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tables/table3.xml" ContentType="application/vnd.openxmlformats-officedocument.spreadsheetml.table+xml"/>
  <Override PartName="/xl/drawings/drawing1.xml" ContentType="application/vnd.openxmlformats-officedocument.drawing+xml"/>
  <Override PartName="/xl/tables/table4.xml" ContentType="application/vnd.openxmlformats-officedocument.spreadsheetml.table+xml"/>
  <Override PartName="/xl/slicers/slicer1.xml" ContentType="application/vnd.ms-excel.slicer+xml"/>
  <Override PartName="/xl/drawings/drawing2.xml" ContentType="application/vnd.openxmlformats-officedocument.drawing+xml"/>
  <Override PartName="/xl/tables/table5.xml" ContentType="application/vnd.openxmlformats-officedocument.spreadsheetml.table+xml"/>
  <Override PartName="/xl/slicers/slicer2.xml" ContentType="application/vnd.ms-excel.slicer+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https://regulator-my.sharepoint.com/personal/brian_devlin_tpr_gov_uk/Documents/Documents/"/>
    </mc:Choice>
  </mc:AlternateContent>
  <xr:revisionPtr revIDLastSave="0" documentId="8_{72F07381-716C-48B7-A2F7-777E4D341B8E}" xr6:coauthVersionLast="47" xr6:coauthVersionMax="47" xr10:uidLastSave="{00000000-0000-0000-0000-000000000000}"/>
  <workbookProtection workbookAlgorithmName="SHA-512" workbookHashValue="73/AW48OTg1BP59r98j35KvzeVKq8Tv+fJRQSb/iGWzPphKpB5PCUXzej0uXf/XxXJt2De7FF/5APTHQPsl8OQ==" workbookSaltValue="+vj+XgWXc3N00KYXGipK9w==" workbookSpinCount="100000" lockStructure="1"/>
  <bookViews>
    <workbookView xWindow="-110" yWindow="-110" windowWidth="19420" windowHeight="11500" xr2:uid="{73D4E4FC-1D90-4F55-B8A2-5B1C4DE1E80A}"/>
  </bookViews>
  <sheets>
    <sheet name="Table of Contents" sheetId="30" r:id="rId1"/>
    <sheet name="Start here" sheetId="31" r:id="rId2"/>
    <sheet name="Actuarial info &gt;&gt;" sheetId="1" r:id="rId3"/>
    <sheet name="Funding and investment strategy" sheetId="2" r:id="rId4"/>
    <sheet name="Summary of actuarial valuation" sheetId="8" r:id="rId5"/>
    <sheet name="Summary of recovery plan" sheetId="43" r:id="rId6"/>
    <sheet name="Deficit repair contributions" sheetId="44" r:id="rId7"/>
    <sheet name="Discount rates" sheetId="4" r:id="rId8"/>
    <sheet name="Other assumptions" sheetId="5" r:id="rId9"/>
    <sheet name="40-year assumptions" sheetId="6" r:id="rId10"/>
    <sheet name="Scheme benefit cash flow" sheetId="32" r:id="rId11"/>
    <sheet name="Annual scheme cash flows" sheetId="21" r:id="rId12"/>
    <sheet name="Investment info &gt;&gt;&gt;" sheetId="29" r:id="rId13"/>
    <sheet name="Investment risk - current level" sheetId="17" r:id="rId14"/>
    <sheet name="Liquidity" sheetId="45" r:id="rId15"/>
    <sheet name="Invest journey plan-risk level" sheetId="46" r:id="rId16"/>
    <sheet name="Covenant info &gt;&gt;&gt;" sheetId="28" r:id="rId17"/>
    <sheet name="Covenant summary information" sheetId="49" r:id="rId18"/>
    <sheet name="Employer CF and liquid assets" sheetId="47" r:id="rId19"/>
    <sheet name="Guarantees" sheetId="51" r:id="rId20"/>
    <sheet name="Securities" sheetId="48" r:id="rId21"/>
    <sheet name="Other contingent assets" sheetId="50" r:id="rId22"/>
    <sheet name="Asset-backed contributions" sheetId="52" r:id="rId23"/>
    <sheet name="ABC income stream" sheetId="54" r:id="rId24"/>
    <sheet name="Error report" sheetId="55" r:id="rId25"/>
    <sheet name="Statement of strategy" sheetId="57" r:id="rId26"/>
    <sheet name="All Statement of strategy (D)" sheetId="41" state="hidden" r:id="rId27"/>
    <sheet name="Reconciliation report" sheetId="35" state="hidden" r:id="rId28"/>
    <sheet name="ErrorMsgs" sheetId="42" state="hidden" r:id="rId29"/>
    <sheet name="RefData" sheetId="36" state="hidden" r:id="rId30"/>
    <sheet name="Questions" sheetId="37" state="hidden" r:id="rId31"/>
    <sheet name="Guidance" sheetId="38" state="hidden" r:id="rId32"/>
  </sheets>
  <definedNames>
    <definedName name="_xlnm._FilterDatabase" localSheetId="26" hidden="1">'All Statement of strategy (D)'!$A$3:$I$1913</definedName>
    <definedName name="_xlnm._FilterDatabase" localSheetId="22" hidden="1">'Asset-backed contributions'!$A$6:$XFB$73</definedName>
    <definedName name="_xlnm._FilterDatabase" localSheetId="28" hidden="1">ErrorMsgs!$A$1:$J$1088</definedName>
    <definedName name="_xlnm._FilterDatabase" localSheetId="19" hidden="1">Guarantees!$A$1:$F$173</definedName>
    <definedName name="_xlnm._FilterDatabase" localSheetId="31" hidden="1">Guidance!$A$1:$B$287</definedName>
    <definedName name="_xlnm._FilterDatabase" localSheetId="15" hidden="1">'Invest journey plan-risk level'!$A$6:$XFB$6</definedName>
    <definedName name="_xlnm._FilterDatabase" localSheetId="21" hidden="1">'Other contingent assets'!$A$1:$F$118</definedName>
    <definedName name="_xlnm._FilterDatabase" localSheetId="30" hidden="1">Questions!$A$1:$D$776</definedName>
    <definedName name="_xlnm._FilterDatabase" localSheetId="27" hidden="1">'Reconciliation report'!$A$1:$Y$1088</definedName>
    <definedName name="_xlnm._FilterDatabase" localSheetId="29" hidden="1">RefData!$A$1:$C$432</definedName>
    <definedName name="_xlnm._FilterDatabase" localSheetId="20" hidden="1">Securities!$A$6:$XFB$118</definedName>
    <definedName name="_xlnm._FilterDatabase" localSheetId="4" hidden="1">'Summary of actuarial valuation'!$A$5:$G$62</definedName>
    <definedName name="AboutThisDataFileSECTION" localSheetId="1">'Start here'!$B$6:$C$16</definedName>
    <definedName name="AboutThisSectionACTUARIAL" localSheetId="2">'Actuarial info &gt;&gt;'!$A$2:$A$3</definedName>
    <definedName name="AboutThisSectionCOVENANT" localSheetId="16">'Covenant info &gt;&gt;&gt;'!$A$2:$A$3</definedName>
    <definedName name="AboutThisSectionINVESTMENT" localSheetId="12">'Investment info &gt;&gt;&gt;'!$A$2:$A$3</definedName>
    <definedName name="AboutThisWorksheet" localSheetId="9">'40-year assumptions'!$B$2:$B$3</definedName>
    <definedName name="ActuarialInformationContentsHEADING" localSheetId="2">'Actuarial info &gt;&gt;'!$A$4</definedName>
    <definedName name="ActuarialInformationOverviewTITLE" localSheetId="2">'Actuarial info &gt;&gt;'!$A$1</definedName>
    <definedName name="AdviceAndOutlookTITLE" localSheetId="23">'ABC income stream'!$A$1</definedName>
    <definedName name="AdviceAndOutlookTITLE" localSheetId="22">'Asset-backed contributions'!$A$1</definedName>
    <definedName name="AdviceAndOutlookTITLE" localSheetId="17">'Covenant summary information'!$A$1</definedName>
    <definedName name="AdviceAndOutlookTITLE" localSheetId="19">Guarantees!$A$1</definedName>
    <definedName name="AdviceAndOutlookTITLE" localSheetId="21">'Other contingent assets'!$A$1</definedName>
    <definedName name="AdviceAndOutlookTITLE" localSheetId="20">Securities!$A$1</definedName>
    <definedName name="AdviceSECTION" localSheetId="22">'Asset-backed contributions'!$B$5:$E$7</definedName>
    <definedName name="AdviceSECTION" localSheetId="17">'Covenant summary information'!$B$5:$E$7</definedName>
    <definedName name="AdviceSECTION" localSheetId="18">'Employer CF and liquid assets'!$D$79:$F$81</definedName>
    <definedName name="AdviceSECTION" localSheetId="19">'Covenant summary information'!$B$80:$E$82</definedName>
    <definedName name="AdviceSECTION" localSheetId="21">'Other contingent assets'!$B$5:$E$8</definedName>
    <definedName name="AdviceSECTION" localSheetId="20">'Covenant summary information'!$B$80:$E$82</definedName>
    <definedName name="ApplicableDatesSECTION" localSheetId="3">'Funding and investment strategy'!$B$13:$E$17</definedName>
    <definedName name="BasisComparisonSECTION" localSheetId="8">'Other assumptions'!$B$22:$E$25</definedName>
    <definedName name="BuyoutBasisSECTION" localSheetId="4">'Summary of actuarial valuation'!$B$41:$E$52</definedName>
    <definedName name="CommutationSECTION" localSheetId="8">'Other assumptions'!$B$13:$E$14</definedName>
    <definedName name="CovenantInformationOverviewTITLE" localSheetId="16">'Covenant info &gt;&gt;&gt;'!$A$1</definedName>
    <definedName name="CurrentLevelTITLE" localSheetId="13">'Investment risk - current level'!$A$1</definedName>
    <definedName name="DiscountRatesTITLE" localSheetId="7">'Discount rates'!$A$1</definedName>
    <definedName name="HelpToCompleteThisWorksheet" localSheetId="23">'ABC income stream'!$B$2:$B$3</definedName>
    <definedName name="HelpToCompleteThisWorksheet" localSheetId="11">'Annual scheme cash flows'!$B$2:$B$3</definedName>
    <definedName name="HelpToCompleteThisWorksheet" localSheetId="22">'Asset-backed contributions'!$B$2:$B$3</definedName>
    <definedName name="HelpToCompleteThisWorksheet" localSheetId="17">'Covenant summary information'!$B$2:$B$3</definedName>
    <definedName name="HelpToCompleteThisWorksheet" localSheetId="6">'Deficit repair contributions'!$B$2:$B$3</definedName>
    <definedName name="HelpToCompleteThisWorksheet" localSheetId="7">'Discount rates'!$B$2:$B$3</definedName>
    <definedName name="HelpToCompleteThisWorksheet" localSheetId="3">'Funding and investment strategy'!$B$2:$B$3</definedName>
    <definedName name="HelpToCompleteThisWorksheet" localSheetId="19">Guarantees!$B$2:$B$3</definedName>
    <definedName name="HelpToCompleteThisWorksheet" localSheetId="13">'Investment risk - current level'!$B$2:$B$3</definedName>
    <definedName name="HelpToCompleteThisWorksheet" localSheetId="8">'Other assumptions'!$B$2:$B$3</definedName>
    <definedName name="HelpToCompleteThisWorksheet" localSheetId="21">'Other contingent assets'!$B$2:$B$3</definedName>
    <definedName name="HelpToCompleteThisWorksheet" localSheetId="20">Securities!$B$2:$B$3</definedName>
    <definedName name="HelpToCompleteThisWorksheet" localSheetId="4">'Summary of actuarial valuation'!$B$2:$B$3</definedName>
    <definedName name="InvestmentInformationContentsHEADING" localSheetId="12">'Investment info &gt;&gt;&gt;'!$A$4</definedName>
    <definedName name="InvestmentInformationOverviewTITLE" localSheetId="12">'Investment info &gt;&gt;&gt;'!$A$1</definedName>
    <definedName name="InvestmentRiskSECTION" localSheetId="13">'Investment risk - current level'!$B$12:$E$16</definedName>
    <definedName name="LongTermFundingStrategyTITLE" localSheetId="3">'Funding and investment strategy'!$A$1</definedName>
    <definedName name="LowDependencyBasisSECTION" localSheetId="4">'Summary of actuarial valuation'!$B$28:$E$38</definedName>
    <definedName name="MethodologyYieldCurveAndChangeOverTimeSECTION" localSheetId="7">'Discount rates'!$B$5:$E$12</definedName>
    <definedName name="OtherAssumptions">'Other assumptions'!$A$1</definedName>
    <definedName name="OtherAssumptionsTITLE" localSheetId="8">'Other assumptions'!$A$1</definedName>
    <definedName name="_xlnm.Print_Area" localSheetId="25">'Statement of strategy'!$A$25:$L$1227</definedName>
    <definedName name="SchemeAssumptionsOverNext100YearsTITLE" localSheetId="9">'40-year assumptions'!$A$1</definedName>
    <definedName name="SchemeCashflowsOverNext100YearsTITLE" localSheetId="11">'Annual scheme cash flows'!$A$1</definedName>
    <definedName name="SchemeCashflowsOverNext100YearsTITLE" localSheetId="6">'Deficit repair contributions'!$A$1</definedName>
    <definedName name="SchemeMaturitySECTION" localSheetId="3">'Funding and investment strategy'!$B$5:$E$10</definedName>
    <definedName name="Slicer_Refresh">#N/A</definedName>
    <definedName name="Slicer_SOS_refresh">#N/A</definedName>
    <definedName name="SubmitYourSchemeValuationDataTITLE" localSheetId="1">'Start here'!$A$1</definedName>
    <definedName name="SubmitYourSchemeValuationDataTITLE" localSheetId="0">'Table of Contents'!$A$1</definedName>
    <definedName name="SummaryOfActuarialValuationTITLE" localSheetId="4">'Summary of actuarial valuation'!$A$1</definedName>
    <definedName name="TechnicalProvisionsBasisSECTION" localSheetId="4">'Summary of actuarial valuation'!$B$10:$E$21</definedName>
    <definedName name="TemplateHelpAndGuidance">'Actuarial info &gt;&gt;'!$A$1</definedName>
  </definedNames>
  <calcPr calcId="191029"/>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33"/>
        <x14:slicerCache r:id="rId34"/>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31" l="1"/>
  <c r="C687" i="42"/>
  <c r="C659" i="42"/>
  <c r="C631" i="42"/>
  <c r="C603" i="42"/>
  <c r="C575" i="42"/>
  <c r="F571" i="42"/>
  <c r="H538" i="42"/>
  <c r="H528" i="42"/>
  <c r="H518" i="42"/>
  <c r="H508" i="42"/>
  <c r="H498" i="42"/>
  <c r="E856" i="42"/>
  <c r="E839" i="42"/>
  <c r="E822" i="42"/>
  <c r="E805" i="42"/>
  <c r="E788" i="42"/>
  <c r="E860" i="42"/>
  <c r="E843" i="42"/>
  <c r="E826" i="42"/>
  <c r="E809" i="42"/>
  <c r="E792" i="42"/>
  <c r="F862" i="42"/>
  <c r="F845" i="42"/>
  <c r="F828" i="42"/>
  <c r="F811" i="42"/>
  <c r="F794" i="42"/>
  <c r="G864" i="42"/>
  <c r="G847" i="42"/>
  <c r="G830" i="42"/>
  <c r="G813" i="42"/>
  <c r="G796" i="42"/>
  <c r="G556" i="42"/>
  <c r="G545" i="42"/>
  <c r="G546" i="42"/>
  <c r="G547" i="42"/>
  <c r="G548" i="42"/>
  <c r="G549" i="42"/>
  <c r="G544" i="42"/>
  <c r="B251" i="41"/>
  <c r="B250" i="41"/>
  <c r="B249" i="41"/>
  <c r="B248" i="41"/>
  <c r="B247" i="41"/>
  <c r="B241" i="41"/>
  <c r="B240" i="41"/>
  <c r="B239" i="41"/>
  <c r="B238" i="41"/>
  <c r="B237" i="41"/>
  <c r="N34" i="57" l="1"/>
  <c r="N35" i="57"/>
  <c r="N36" i="57"/>
  <c r="N37" i="57"/>
  <c r="N38" i="57"/>
  <c r="N39" i="57"/>
  <c r="N40" i="57"/>
  <c r="N41" i="57"/>
  <c r="N42" i="57"/>
  <c r="N43" i="57"/>
  <c r="N44" i="57"/>
  <c r="N45" i="57"/>
  <c r="N46" i="57"/>
  <c r="N47" i="57"/>
  <c r="N48" i="57"/>
  <c r="N49" i="57"/>
  <c r="N50" i="57"/>
  <c r="N51" i="57"/>
  <c r="N52" i="57"/>
  <c r="N53" i="57"/>
  <c r="N54" i="57"/>
  <c r="N55" i="57"/>
  <c r="N56" i="57"/>
  <c r="N57" i="57"/>
  <c r="N58" i="57"/>
  <c r="N59" i="57"/>
  <c r="N60" i="57"/>
  <c r="N61" i="57"/>
  <c r="N62" i="57"/>
  <c r="N63" i="57"/>
  <c r="N64" i="57"/>
  <c r="N65" i="57"/>
  <c r="N66" i="57"/>
  <c r="N67" i="57"/>
  <c r="N68" i="57"/>
  <c r="N69" i="57"/>
  <c r="N70" i="57"/>
  <c r="N71" i="57"/>
  <c r="N72" i="57"/>
  <c r="N73" i="57"/>
  <c r="N74" i="57"/>
  <c r="N75" i="57"/>
  <c r="N76" i="57"/>
  <c r="N77" i="57"/>
  <c r="N78" i="57"/>
  <c r="N79" i="57"/>
  <c r="N80" i="57"/>
  <c r="N81" i="57"/>
  <c r="N82" i="57"/>
  <c r="N83" i="57"/>
  <c r="N84" i="57"/>
  <c r="N85" i="57"/>
  <c r="N87" i="57"/>
  <c r="N89" i="57"/>
  <c r="N90" i="57"/>
  <c r="N92" i="57"/>
  <c r="N93" i="57"/>
  <c r="N94" i="57"/>
  <c r="N105" i="57"/>
  <c r="N107" i="57"/>
  <c r="N110" i="57"/>
  <c r="N117" i="57"/>
  <c r="N133" i="57"/>
  <c r="N135" i="57"/>
  <c r="N137" i="57"/>
  <c r="N142" i="57"/>
  <c r="N144" i="57"/>
  <c r="N147" i="57"/>
  <c r="N203" i="57"/>
  <c r="N205" i="57"/>
  <c r="N290" i="57"/>
  <c r="N485" i="57"/>
  <c r="N487" i="57"/>
  <c r="N496" i="57"/>
  <c r="N498" i="57"/>
  <c r="N500" i="57"/>
  <c r="N526" i="57"/>
  <c r="N673" i="57"/>
  <c r="E135" i="42"/>
  <c r="E136" i="42"/>
  <c r="E137" i="42"/>
  <c r="E138" i="42"/>
  <c r="E139" i="42"/>
  <c r="E140" i="42"/>
  <c r="E141" i="42"/>
  <c r="E142" i="42"/>
  <c r="E143" i="42"/>
  <c r="E144" i="42"/>
  <c r="E145" i="42"/>
  <c r="E146" i="42"/>
  <c r="E147" i="42"/>
  <c r="E148" i="42"/>
  <c r="E149" i="42"/>
  <c r="E150" i="42"/>
  <c r="E151" i="42"/>
  <c r="E152" i="42"/>
  <c r="E153" i="42"/>
  <c r="E154" i="42"/>
  <c r="E155" i="42"/>
  <c r="E156" i="42"/>
  <c r="E157" i="42"/>
  <c r="E158" i="42"/>
  <c r="E159" i="42"/>
  <c r="E160" i="42"/>
  <c r="E161" i="42"/>
  <c r="E162" i="42"/>
  <c r="E163" i="42"/>
  <c r="E164" i="42"/>
  <c r="E165" i="42"/>
  <c r="E166" i="42"/>
  <c r="E167" i="42"/>
  <c r="E168" i="42"/>
  <c r="E169" i="42"/>
  <c r="E170" i="42"/>
  <c r="E171" i="42"/>
  <c r="E172" i="42"/>
  <c r="E173" i="42"/>
  <c r="E134" i="42"/>
  <c r="G539" i="42"/>
  <c r="G543" i="42"/>
  <c r="H543" i="42"/>
  <c r="G542" i="42"/>
  <c r="G541" i="42"/>
  <c r="H542" i="42"/>
  <c r="H541" i="42"/>
  <c r="G553" i="42"/>
  <c r="G554" i="42"/>
  <c r="G555" i="42"/>
  <c r="G552" i="42"/>
  <c r="G551" i="42"/>
  <c r="G550" i="42"/>
  <c r="D575" i="42"/>
  <c r="C683" i="42"/>
  <c r="C655" i="42"/>
  <c r="C627" i="42"/>
  <c r="C599" i="42"/>
  <c r="C571" i="42"/>
  <c r="C682" i="42"/>
  <c r="C654" i="42"/>
  <c r="C626" i="42"/>
  <c r="C598" i="42"/>
  <c r="C570" i="42"/>
  <c r="C681" i="42"/>
  <c r="C653" i="42"/>
  <c r="C625" i="42"/>
  <c r="C597" i="42"/>
  <c r="C569" i="42"/>
  <c r="C568" i="42"/>
  <c r="C680" i="42"/>
  <c r="C652" i="42"/>
  <c r="C624" i="42"/>
  <c r="C596" i="42"/>
  <c r="C567" i="42"/>
  <c r="C679" i="42"/>
  <c r="C651" i="42"/>
  <c r="C623" i="42"/>
  <c r="C595" i="42"/>
  <c r="C566" i="42"/>
  <c r="C678" i="42"/>
  <c r="C650" i="42"/>
  <c r="C622" i="42"/>
  <c r="C594" i="42"/>
  <c r="C565" i="42"/>
  <c r="C677" i="42"/>
  <c r="C649" i="42"/>
  <c r="C621" i="42"/>
  <c r="C593" i="42"/>
  <c r="C564" i="42"/>
  <c r="C676" i="42"/>
  <c r="C648" i="42"/>
  <c r="C620" i="42"/>
  <c r="C592" i="42"/>
  <c r="C675" i="42"/>
  <c r="C647" i="42"/>
  <c r="C619" i="42"/>
  <c r="C591" i="42"/>
  <c r="C563" i="42"/>
  <c r="C562" i="42"/>
  <c r="C674" i="42"/>
  <c r="C646" i="42"/>
  <c r="C618" i="42"/>
  <c r="C590" i="42"/>
  <c r="D589" i="42"/>
  <c r="D701" i="42"/>
  <c r="D673" i="42"/>
  <c r="D645" i="42"/>
  <c r="D617" i="42"/>
  <c r="D700" i="42"/>
  <c r="D672" i="42"/>
  <c r="D644" i="42"/>
  <c r="D616" i="42"/>
  <c r="D588" i="42"/>
  <c r="D587" i="42"/>
  <c r="D699" i="42"/>
  <c r="D671" i="42"/>
  <c r="D643" i="42"/>
  <c r="D615" i="42"/>
  <c r="D586" i="42"/>
  <c r="D698" i="42"/>
  <c r="D670" i="42"/>
  <c r="D642" i="42"/>
  <c r="D614" i="42"/>
  <c r="D584" i="42"/>
  <c r="D696" i="42"/>
  <c r="D668" i="42"/>
  <c r="D640" i="42"/>
  <c r="D612" i="42"/>
  <c r="D583" i="42"/>
  <c r="D695" i="42"/>
  <c r="D667" i="42"/>
  <c r="D639" i="42"/>
  <c r="D611" i="42"/>
  <c r="D582" i="42"/>
  <c r="D694" i="42"/>
  <c r="D666" i="42"/>
  <c r="D638" i="42"/>
  <c r="D610" i="42"/>
  <c r="D693" i="42"/>
  <c r="D665" i="42"/>
  <c r="D637" i="42"/>
  <c r="D609" i="42"/>
  <c r="D581" i="42"/>
  <c r="D692" i="42"/>
  <c r="D664" i="42"/>
  <c r="D636" i="42"/>
  <c r="D608" i="42"/>
  <c r="D580" i="42"/>
  <c r="C691" i="42"/>
  <c r="C663" i="42"/>
  <c r="C635" i="42"/>
  <c r="C607" i="42"/>
  <c r="C579" i="42"/>
  <c r="C690" i="42"/>
  <c r="C662" i="42"/>
  <c r="C634" i="42"/>
  <c r="C606" i="42"/>
  <c r="C578" i="42"/>
  <c r="D689" i="42"/>
  <c r="D661" i="42"/>
  <c r="D633" i="42"/>
  <c r="D605" i="42"/>
  <c r="D577" i="42"/>
  <c r="D688" i="42"/>
  <c r="D660" i="42"/>
  <c r="D632" i="42"/>
  <c r="D604" i="42"/>
  <c r="D576" i="42"/>
  <c r="C686" i="42"/>
  <c r="C658" i="42"/>
  <c r="C630" i="42"/>
  <c r="C602" i="42"/>
  <c r="C574" i="42"/>
  <c r="C685" i="42"/>
  <c r="C657" i="42"/>
  <c r="C629" i="42"/>
  <c r="C601" i="42"/>
  <c r="C573" i="42"/>
  <c r="D684" i="42"/>
  <c r="D656" i="42"/>
  <c r="D628" i="42"/>
  <c r="D600" i="42"/>
  <c r="D572" i="42"/>
  <c r="G694" i="42"/>
  <c r="G666" i="42"/>
  <c r="G638" i="42"/>
  <c r="G610" i="42"/>
  <c r="G582" i="42"/>
  <c r="C694" i="42"/>
  <c r="C666" i="42"/>
  <c r="C638" i="42"/>
  <c r="C610" i="42"/>
  <c r="C582" i="42"/>
  <c r="E700" i="42"/>
  <c r="E672" i="42"/>
  <c r="E644" i="42"/>
  <c r="E616" i="42"/>
  <c r="E588" i="42"/>
  <c r="E699" i="42"/>
  <c r="E671" i="42"/>
  <c r="E643" i="42"/>
  <c r="E615" i="42"/>
  <c r="E587" i="42"/>
  <c r="C699" i="42"/>
  <c r="C671" i="42"/>
  <c r="C643" i="42"/>
  <c r="C615" i="42"/>
  <c r="C587" i="42"/>
  <c r="C700" i="42"/>
  <c r="C672" i="42"/>
  <c r="C644" i="42"/>
  <c r="C616" i="42"/>
  <c r="C588" i="42"/>
  <c r="C698" i="42"/>
  <c r="C670" i="42"/>
  <c r="C642" i="42"/>
  <c r="C614" i="42"/>
  <c r="C586" i="42"/>
  <c r="C697" i="42"/>
  <c r="C669" i="42"/>
  <c r="C641" i="42"/>
  <c r="C613" i="42"/>
  <c r="C585" i="42"/>
  <c r="C696" i="42"/>
  <c r="C668" i="42"/>
  <c r="C640" i="42"/>
  <c r="C612" i="42"/>
  <c r="C584" i="42"/>
  <c r="C695" i="42"/>
  <c r="C667" i="42"/>
  <c r="C639" i="42"/>
  <c r="C611" i="42"/>
  <c r="C583" i="42"/>
  <c r="E693" i="42"/>
  <c r="E665" i="42"/>
  <c r="E637" i="42"/>
  <c r="E609" i="42"/>
  <c r="E581" i="42"/>
  <c r="C693" i="42"/>
  <c r="C665" i="42"/>
  <c r="C637" i="42"/>
  <c r="C609" i="42"/>
  <c r="C581" i="42"/>
  <c r="C692" i="42"/>
  <c r="C664" i="42"/>
  <c r="C636" i="42"/>
  <c r="C608" i="42"/>
  <c r="C580" i="42"/>
  <c r="B580" i="42"/>
  <c r="E690" i="42"/>
  <c r="E662" i="42"/>
  <c r="E634" i="42"/>
  <c r="E606" i="42"/>
  <c r="E578" i="42"/>
  <c r="F689" i="42"/>
  <c r="F661" i="42"/>
  <c r="F633" i="42"/>
  <c r="F605" i="42"/>
  <c r="F577" i="42"/>
  <c r="E689" i="42"/>
  <c r="E661" i="42"/>
  <c r="E633" i="42"/>
  <c r="E605" i="42"/>
  <c r="E577" i="42"/>
  <c r="C689" i="42"/>
  <c r="C661" i="42"/>
  <c r="C633" i="42"/>
  <c r="C605" i="42"/>
  <c r="C577" i="42"/>
  <c r="F660" i="42"/>
  <c r="F688" i="42"/>
  <c r="F632" i="42"/>
  <c r="F604" i="42"/>
  <c r="F576" i="42"/>
  <c r="E688" i="42"/>
  <c r="E660" i="42"/>
  <c r="E632" i="42"/>
  <c r="E604" i="42"/>
  <c r="E576" i="42"/>
  <c r="C688" i="42"/>
  <c r="C660" i="42"/>
  <c r="C632" i="42"/>
  <c r="C604" i="42"/>
  <c r="C576" i="42"/>
  <c r="D687" i="42"/>
  <c r="D659" i="42"/>
  <c r="D631" i="42"/>
  <c r="D603" i="42"/>
  <c r="E686" i="42"/>
  <c r="E658" i="42"/>
  <c r="E630" i="42"/>
  <c r="E602" i="42"/>
  <c r="E574" i="42"/>
  <c r="D574" i="42"/>
  <c r="E684" i="42"/>
  <c r="E656" i="42"/>
  <c r="E628" i="42"/>
  <c r="E600" i="42"/>
  <c r="E572" i="42"/>
  <c r="C684" i="42"/>
  <c r="C656" i="42"/>
  <c r="C628" i="42"/>
  <c r="C600" i="42"/>
  <c r="C572" i="42"/>
  <c r="B106" i="41"/>
  <c r="B105" i="41"/>
  <c r="B104" i="41"/>
  <c r="B103" i="41"/>
  <c r="B102" i="41"/>
  <c r="C9" i="30" l="1"/>
  <c r="C22" i="30" s="1"/>
  <c r="C29" i="30" s="1"/>
  <c r="C40" i="30" s="1"/>
  <c r="D37" i="30" l="1"/>
  <c r="D36" i="30"/>
  <c r="D35" i="30"/>
  <c r="D34" i="30"/>
  <c r="D33" i="30"/>
  <c r="D32" i="30"/>
  <c r="D31" i="30"/>
  <c r="D26" i="30"/>
  <c r="D25" i="30"/>
  <c r="D24" i="30"/>
  <c r="D19" i="30"/>
  <c r="D18" i="30"/>
  <c r="D17" i="30"/>
  <c r="D16" i="30"/>
  <c r="D15" i="30"/>
  <c r="D14" i="30"/>
  <c r="D13" i="30"/>
  <c r="D12" i="30"/>
  <c r="D11" i="30"/>
  <c r="D6" i="30"/>
  <c r="A42" i="17"/>
  <c r="B42" i="17"/>
  <c r="E26" i="30"/>
  <c r="E11" i="30"/>
  <c r="E13" i="30"/>
  <c r="E19" i="30"/>
  <c r="E24" i="30"/>
  <c r="E35" i="30"/>
  <c r="E16" i="30"/>
  <c r="E18" i="30"/>
  <c r="E34" i="30"/>
  <c r="E33" i="30"/>
  <c r="E12" i="30"/>
  <c r="E36" i="30"/>
  <c r="E15" i="30"/>
  <c r="E25" i="30"/>
  <c r="E6" i="30"/>
  <c r="E31" i="30"/>
  <c r="E17" i="30"/>
  <c r="I1088" i="35"/>
  <c r="E32" i="30"/>
  <c r="E37" i="30"/>
  <c r="E14" i="30"/>
  <c r="F37" i="30" l="1"/>
  <c r="F32" i="30"/>
  <c r="F33" i="30"/>
  <c r="F36" i="30"/>
  <c r="F31" i="30"/>
  <c r="F35" i="30"/>
  <c r="F34" i="30"/>
  <c r="F25" i="30"/>
  <c r="F26" i="30"/>
  <c r="F24" i="30"/>
  <c r="F19" i="30"/>
  <c r="F15" i="30"/>
  <c r="F13" i="30"/>
  <c r="F17" i="30"/>
  <c r="F11" i="30"/>
  <c r="F18" i="30"/>
  <c r="F14" i="30"/>
  <c r="F12" i="30"/>
  <c r="F16" i="30"/>
  <c r="F6" i="30"/>
  <c r="B1088" i="35"/>
  <c r="F545" i="42"/>
  <c r="F546" i="42"/>
  <c r="F547" i="42"/>
  <c r="F548" i="42"/>
  <c r="F549" i="42"/>
  <c r="F550" i="42"/>
  <c r="F551" i="42"/>
  <c r="F552" i="42"/>
  <c r="F553" i="42"/>
  <c r="F554" i="42"/>
  <c r="F555" i="42"/>
  <c r="F556" i="42"/>
  <c r="F544" i="42"/>
  <c r="E545" i="42"/>
  <c r="E546" i="42"/>
  <c r="E547" i="42"/>
  <c r="E548" i="42"/>
  <c r="E549" i="42"/>
  <c r="E550" i="42"/>
  <c r="E551" i="42"/>
  <c r="E552" i="42"/>
  <c r="E553" i="42"/>
  <c r="E554" i="42"/>
  <c r="E555" i="42"/>
  <c r="E556" i="42"/>
  <c r="E544" i="42"/>
  <c r="C550" i="42"/>
  <c r="C551" i="42"/>
  <c r="C552" i="42"/>
  <c r="C553" i="42"/>
  <c r="C554" i="42"/>
  <c r="C555" i="42"/>
  <c r="C556" i="42"/>
  <c r="C557" i="42"/>
  <c r="F541" i="42"/>
  <c r="F1088" i="35" a="1"/>
  <c r="V1088" i="35" a="1"/>
  <c r="V1088" i="35" l="1"/>
  <c r="F1088" i="35"/>
  <c r="A1093" i="55" s="1"/>
  <c r="D1075" i="42"/>
  <c r="F1079" i="42"/>
  <c r="C1084" i="42"/>
  <c r="C1085" i="42"/>
  <c r="C1082" i="42"/>
  <c r="C1083" i="42"/>
  <c r="C1080" i="42"/>
  <c r="C1081" i="42"/>
  <c r="C1079" i="42"/>
  <c r="C1077" i="42"/>
  <c r="C1078" i="42"/>
  <c r="C1076" i="42"/>
  <c r="C1074" i="42"/>
  <c r="C1075" i="42"/>
  <c r="C1072" i="42"/>
  <c r="C1073" i="42"/>
  <c r="C1070" i="42"/>
  <c r="C1071" i="42"/>
  <c r="C1068" i="42"/>
  <c r="C1069" i="42"/>
  <c r="C1067" i="42"/>
  <c r="C1066" i="42"/>
  <c r="E876" i="42"/>
  <c r="G1079" i="42"/>
  <c r="E1085" i="42"/>
  <c r="D1085" i="42"/>
  <c r="G1084" i="42"/>
  <c r="H1084" i="42"/>
  <c r="F1084" i="42"/>
  <c r="E1084" i="42"/>
  <c r="D1084" i="42"/>
  <c r="F1083" i="42"/>
  <c r="E1083" i="42"/>
  <c r="D1083" i="42"/>
  <c r="H1082" i="42"/>
  <c r="G1082" i="42"/>
  <c r="F1082" i="42"/>
  <c r="E1082" i="42"/>
  <c r="D1082" i="42"/>
  <c r="H1081" i="42"/>
  <c r="G1081" i="42"/>
  <c r="F1081" i="42"/>
  <c r="E1081" i="42"/>
  <c r="D1081" i="42"/>
  <c r="G1080" i="42"/>
  <c r="H1080" i="42"/>
  <c r="F1080" i="42"/>
  <c r="E1080" i="42"/>
  <c r="D1080" i="42"/>
  <c r="E1079" i="42"/>
  <c r="D1079" i="42"/>
  <c r="E1078" i="42"/>
  <c r="D1078" i="42"/>
  <c r="F1077" i="42"/>
  <c r="E1077" i="42"/>
  <c r="D1077" i="42"/>
  <c r="E1070" i="42" l="1"/>
  <c r="H873" i="42"/>
  <c r="C6" i="44"/>
  <c r="E374" i="42"/>
  <c r="E7" i="5"/>
  <c r="G82" i="42"/>
  <c r="F82" i="42"/>
  <c r="E82" i="42"/>
  <c r="D81" i="42"/>
  <c r="E78" i="42"/>
  <c r="B23" i="42"/>
  <c r="B22" i="42"/>
  <c r="C22" i="42"/>
  <c r="C23" i="42"/>
  <c r="D1049" i="42"/>
  <c r="D1050" i="42"/>
  <c r="D1051" i="42"/>
  <c r="D1052" i="42"/>
  <c r="D1053" i="42"/>
  <c r="D1054" i="42"/>
  <c r="D1055" i="42"/>
  <c r="D1056" i="42"/>
  <c r="C1049" i="42"/>
  <c r="C1050" i="42"/>
  <c r="C1051" i="42"/>
  <c r="C1052" i="42"/>
  <c r="C1053" i="42"/>
  <c r="C1054" i="42"/>
  <c r="C1055" i="42"/>
  <c r="C1056" i="42"/>
  <c r="B1049" i="42"/>
  <c r="B1050" i="42"/>
  <c r="B1051" i="42"/>
  <c r="B1052" i="42"/>
  <c r="B1053" i="42"/>
  <c r="B1054" i="42"/>
  <c r="B1055" i="42"/>
  <c r="B1056" i="42"/>
  <c r="D1048" i="42"/>
  <c r="C1048" i="42"/>
  <c r="B1048" i="42"/>
  <c r="D70" i="42"/>
  <c r="C72" i="42"/>
  <c r="B72" i="42"/>
  <c r="I873" i="42"/>
  <c r="D881" i="42"/>
  <c r="E881" i="42"/>
  <c r="F881" i="42"/>
  <c r="G879" i="42"/>
  <c r="F879" i="42"/>
  <c r="E879" i="42"/>
  <c r="C622" i="41"/>
  <c r="C600" i="41"/>
  <c r="C587" i="41"/>
  <c r="B24" i="41"/>
  <c r="G114" i="42"/>
  <c r="C1047" i="42"/>
  <c r="D1047" i="42"/>
  <c r="C1044" i="42"/>
  <c r="D1044" i="42"/>
  <c r="C1045" i="42"/>
  <c r="D1045" i="42"/>
  <c r="C1046" i="42"/>
  <c r="D1046" i="42"/>
  <c r="B1045" i="42"/>
  <c r="B1046" i="42"/>
  <c r="B1047" i="42"/>
  <c r="B1044" i="42"/>
  <c r="F1038" i="42"/>
  <c r="F1037" i="42"/>
  <c r="H1037" i="42"/>
  <c r="H1036" i="42"/>
  <c r="F1035" i="42"/>
  <c r="D48" i="42"/>
  <c r="C59" i="42"/>
  <c r="B59" i="42"/>
  <c r="B70" i="42"/>
  <c r="C70" i="42"/>
  <c r="B69" i="42"/>
  <c r="B68" i="42"/>
  <c r="D67" i="42"/>
  <c r="D66" i="42"/>
  <c r="B65" i="42"/>
  <c r="B64" i="42"/>
  <c r="B63" i="42"/>
  <c r="B62" i="42"/>
  <c r="B61" i="42"/>
  <c r="F58" i="42"/>
  <c r="B54" i="42"/>
  <c r="B53" i="42"/>
  <c r="B52" i="42"/>
  <c r="B51" i="42"/>
  <c r="B50" i="42"/>
  <c r="C38" i="42"/>
  <c r="B38" i="42"/>
  <c r="E47" i="42"/>
  <c r="C47" i="42"/>
  <c r="D47" i="42"/>
  <c r="B47" i="42"/>
  <c r="E46" i="42"/>
  <c r="D46" i="42"/>
  <c r="C46" i="42"/>
  <c r="B46" i="42"/>
  <c r="F45" i="42"/>
  <c r="E45" i="42"/>
  <c r="D45" i="42"/>
  <c r="B45" i="42"/>
  <c r="F44" i="42"/>
  <c r="E44" i="42"/>
  <c r="D44" i="42"/>
  <c r="B44" i="42"/>
  <c r="B40" i="42"/>
  <c r="C40" i="42"/>
  <c r="D40" i="42"/>
  <c r="E40" i="42"/>
  <c r="B41" i="42"/>
  <c r="C41" i="42"/>
  <c r="D41" i="42"/>
  <c r="E41" i="42"/>
  <c r="B42" i="42"/>
  <c r="C42" i="42"/>
  <c r="D42" i="42"/>
  <c r="E42" i="42"/>
  <c r="B43" i="42"/>
  <c r="C43" i="42"/>
  <c r="D43" i="42"/>
  <c r="E43" i="42"/>
  <c r="E39" i="42"/>
  <c r="C39" i="42"/>
  <c r="D39" i="42"/>
  <c r="B39" i="42"/>
  <c r="C35" i="42"/>
  <c r="B35" i="42"/>
  <c r="C19" i="42"/>
  <c r="C28" i="42"/>
  <c r="B28" i="42"/>
  <c r="B27" i="42"/>
  <c r="E18" i="42"/>
  <c r="D18" i="42"/>
  <c r="E17" i="42"/>
  <c r="D17" i="42"/>
  <c r="D16" i="42"/>
  <c r="E16" i="42"/>
  <c r="D76" i="42"/>
  <c r="F77" i="42"/>
  <c r="E77" i="42"/>
  <c r="D77" i="42"/>
  <c r="D75" i="42"/>
  <c r="D106" i="42"/>
  <c r="B119" i="42"/>
  <c r="D131" i="42"/>
  <c r="C130" i="42"/>
  <c r="B130" i="42"/>
  <c r="D125" i="42"/>
  <c r="F378" i="42"/>
  <c r="F379" i="42"/>
  <c r="F380" i="42"/>
  <c r="F381" i="42"/>
  <c r="F382" i="42"/>
  <c r="F383" i="42"/>
  <c r="F384" i="42"/>
  <c r="F385" i="42"/>
  <c r="F386" i="42"/>
  <c r="F387" i="42"/>
  <c r="F388" i="42"/>
  <c r="F389" i="42"/>
  <c r="F390" i="42"/>
  <c r="F391" i="42"/>
  <c r="F392" i="42"/>
  <c r="F393" i="42"/>
  <c r="F394" i="42"/>
  <c r="F395" i="42"/>
  <c r="F396" i="42"/>
  <c r="F397" i="42"/>
  <c r="F398" i="42"/>
  <c r="F399" i="42"/>
  <c r="F400" i="42"/>
  <c r="F401" i="42"/>
  <c r="F402" i="42"/>
  <c r="F403" i="42"/>
  <c r="F404" i="42"/>
  <c r="F405" i="42"/>
  <c r="F406" i="42"/>
  <c r="F407" i="42"/>
  <c r="F408" i="42"/>
  <c r="F409" i="42"/>
  <c r="F410" i="42"/>
  <c r="F411" i="42"/>
  <c r="F412" i="42"/>
  <c r="F413" i="42"/>
  <c r="F414" i="42"/>
  <c r="F415" i="42"/>
  <c r="F377" i="42"/>
  <c r="F376" i="42"/>
  <c r="D1065" i="42"/>
  <c r="B1064" i="42"/>
  <c r="B1063" i="42"/>
  <c r="E8" i="32"/>
  <c r="E7" i="32"/>
  <c r="G107" i="42" l="1"/>
  <c r="E108" i="50"/>
  <c r="E85" i="50"/>
  <c r="E62" i="50"/>
  <c r="E39" i="50"/>
  <c r="E16" i="50"/>
  <c r="E108" i="48"/>
  <c r="E85" i="48"/>
  <c r="E39" i="48"/>
  <c r="E62" i="48"/>
  <c r="E16" i="48"/>
  <c r="E163" i="51"/>
  <c r="E129" i="51"/>
  <c r="E95" i="51"/>
  <c r="E61" i="51"/>
  <c r="E27" i="51"/>
  <c r="B668" i="41" l="1"/>
  <c r="B674" i="41"/>
  <c r="B673" i="41"/>
  <c r="B672" i="41"/>
  <c r="B671" i="41"/>
  <c r="B670" i="41"/>
  <c r="B669" i="41"/>
  <c r="H33" i="41"/>
  <c r="G34" i="41"/>
  <c r="E34" i="41"/>
  <c r="F33" i="41"/>
  <c r="H282" i="41" l="1"/>
  <c r="G282" i="41"/>
  <c r="H281" i="41"/>
  <c r="G281" i="41"/>
  <c r="H280" i="41"/>
  <c r="G280" i="41"/>
  <c r="H13" i="41"/>
  <c r="G13" i="41"/>
  <c r="F13" i="41"/>
  <c r="E13" i="41"/>
  <c r="H12" i="41"/>
  <c r="G12" i="41"/>
  <c r="F12" i="41"/>
  <c r="E12" i="41"/>
  <c r="H11" i="41"/>
  <c r="G11" i="41"/>
  <c r="F11" i="41"/>
  <c r="E11" i="41"/>
  <c r="H10" i="41"/>
  <c r="G10" i="41"/>
  <c r="F10" i="41"/>
  <c r="E10" i="41"/>
  <c r="H308" i="41"/>
  <c r="H307" i="41"/>
  <c r="H306" i="41"/>
  <c r="G308" i="41"/>
  <c r="G307" i="41"/>
  <c r="G306" i="41"/>
  <c r="F308" i="41"/>
  <c r="F307" i="41"/>
  <c r="F306" i="41"/>
  <c r="E28" i="17"/>
  <c r="B1912" i="41"/>
  <c r="A3" i="55"/>
  <c r="C384" i="37"/>
  <c r="E46" i="17" l="1"/>
  <c r="F166" i="41"/>
  <c r="E167" i="41"/>
  <c r="G167" i="41"/>
  <c r="H166" i="41"/>
  <c r="B1909" i="41"/>
  <c r="B1659" i="41"/>
  <c r="B1041" i="41"/>
  <c r="H8" i="41" l="1"/>
  <c r="G8" i="41"/>
  <c r="F8" i="41"/>
  <c r="E8" i="41"/>
  <c r="E68" i="52"/>
  <c r="E55" i="52"/>
  <c r="E42" i="52"/>
  <c r="E29" i="52"/>
  <c r="E16" i="52"/>
  <c r="E54" i="52"/>
  <c r="E41" i="52"/>
  <c r="E28" i="52"/>
  <c r="E15" i="52"/>
  <c r="E7" i="52"/>
  <c r="E8" i="52"/>
  <c r="B956" i="41"/>
  <c r="H956" i="41" s="1"/>
  <c r="H955" i="41"/>
  <c r="G955" i="41"/>
  <c r="F955" i="41"/>
  <c r="E955" i="41"/>
  <c r="H1658" i="41"/>
  <c r="G1658" i="41"/>
  <c r="F1658" i="41"/>
  <c r="E1658" i="41"/>
  <c r="H1040" i="41"/>
  <c r="G1040" i="41"/>
  <c r="F1040" i="41"/>
  <c r="E1040" i="41"/>
  <c r="G956" i="41" l="1"/>
  <c r="L1062" i="35"/>
  <c r="L1061" i="35"/>
  <c r="C182" i="37" l="1"/>
  <c r="C181" i="37"/>
  <c r="D1041" i="42"/>
  <c r="E571" i="42"/>
  <c r="E570" i="42"/>
  <c r="E569" i="42"/>
  <c r="E568" i="42"/>
  <c r="E567" i="42"/>
  <c r="E566" i="42"/>
  <c r="E565" i="42"/>
  <c r="D571" i="42"/>
  <c r="D570" i="42"/>
  <c r="D569" i="42"/>
  <c r="D568" i="42"/>
  <c r="D567" i="42"/>
  <c r="D566" i="42"/>
  <c r="D565" i="42"/>
  <c r="F1087" i="42"/>
  <c r="F1086" i="42"/>
  <c r="E1030" i="42"/>
  <c r="D1030" i="42"/>
  <c r="D60" i="42" l="1"/>
  <c r="D59" i="42"/>
  <c r="C368" i="37"/>
  <c r="E78" i="49"/>
  <c r="E77" i="49"/>
  <c r="E76" i="49"/>
  <c r="E75" i="49"/>
  <c r="E74" i="49"/>
  <c r="E73" i="49"/>
  <c r="E65" i="49"/>
  <c r="E64" i="49"/>
  <c r="E63" i="49"/>
  <c r="E62" i="49"/>
  <c r="E61" i="49"/>
  <c r="E60" i="49"/>
  <c r="E52" i="49"/>
  <c r="E51" i="49"/>
  <c r="E50" i="49"/>
  <c r="E49" i="49"/>
  <c r="E48" i="49"/>
  <c r="E47" i="49"/>
  <c r="E39" i="49"/>
  <c r="E38" i="49"/>
  <c r="E37" i="49"/>
  <c r="E36" i="49"/>
  <c r="E35" i="49"/>
  <c r="E34" i="49"/>
  <c r="E21" i="49"/>
  <c r="E72" i="49"/>
  <c r="E59" i="49"/>
  <c r="E46" i="49"/>
  <c r="E33" i="49"/>
  <c r="E20" i="49"/>
  <c r="E71" i="49"/>
  <c r="E58" i="49"/>
  <c r="E45" i="49"/>
  <c r="E32" i="49"/>
  <c r="E19" i="49"/>
  <c r="E70" i="49"/>
  <c r="E57" i="49"/>
  <c r="E44" i="49"/>
  <c r="E31" i="49"/>
  <c r="E18" i="49"/>
  <c r="E69" i="49"/>
  <c r="E56" i="49"/>
  <c r="E43" i="49"/>
  <c r="E30" i="49"/>
  <c r="E17" i="49"/>
  <c r="E26" i="49"/>
  <c r="E25" i="49"/>
  <c r="E24" i="49"/>
  <c r="E23" i="49"/>
  <c r="E22" i="49"/>
  <c r="B34" i="2"/>
  <c r="B423" i="36"/>
  <c r="E102" i="50"/>
  <c r="E79" i="50"/>
  <c r="E56" i="50"/>
  <c r="E33" i="50"/>
  <c r="E10" i="50"/>
  <c r="E56" i="48"/>
  <c r="E102" i="48"/>
  <c r="E79" i="48"/>
  <c r="E33" i="48"/>
  <c r="E10" i="48"/>
  <c r="B8" i="31"/>
  <c r="B10" i="31"/>
  <c r="E152" i="51"/>
  <c r="E151" i="51"/>
  <c r="E150" i="51"/>
  <c r="E149" i="51"/>
  <c r="E148" i="51"/>
  <c r="E147" i="51"/>
  <c r="E118" i="51"/>
  <c r="E117" i="51"/>
  <c r="E116" i="51"/>
  <c r="E115" i="51"/>
  <c r="E114" i="51"/>
  <c r="E113" i="51"/>
  <c r="E84" i="51"/>
  <c r="E83" i="51"/>
  <c r="E82" i="51"/>
  <c r="E81" i="51"/>
  <c r="E80" i="51"/>
  <c r="E79" i="51"/>
  <c r="E16" i="51"/>
  <c r="E15" i="51"/>
  <c r="E14" i="51"/>
  <c r="E13" i="51"/>
  <c r="E12" i="51"/>
  <c r="E11" i="51"/>
  <c r="E50" i="51"/>
  <c r="E49" i="51"/>
  <c r="E48" i="51"/>
  <c r="E47" i="51"/>
  <c r="E46" i="51"/>
  <c r="E45" i="51"/>
  <c r="F15" i="47"/>
  <c r="E157" i="51"/>
  <c r="E123" i="51"/>
  <c r="E89" i="51"/>
  <c r="E55" i="51"/>
  <c r="E21" i="51"/>
  <c r="E19" i="51"/>
  <c r="E155" i="51"/>
  <c r="E121" i="51"/>
  <c r="E87" i="51"/>
  <c r="E53" i="51"/>
  <c r="E12" i="4"/>
  <c r="E11" i="4"/>
  <c r="F72" i="47"/>
  <c r="F71" i="47"/>
  <c r="F70" i="47"/>
  <c r="F69" i="47"/>
  <c r="F68" i="47"/>
  <c r="F67" i="47"/>
  <c r="F59" i="47"/>
  <c r="F58" i="47"/>
  <c r="F57" i="47"/>
  <c r="F56" i="47"/>
  <c r="F55" i="47"/>
  <c r="F54" i="47"/>
  <c r="F46" i="47"/>
  <c r="F100" i="47"/>
  <c r="F99" i="47"/>
  <c r="F98" i="47"/>
  <c r="E8" i="49"/>
  <c r="F45" i="47"/>
  <c r="F44" i="47"/>
  <c r="F43" i="47"/>
  <c r="F42" i="47"/>
  <c r="F41" i="47"/>
  <c r="F33" i="47"/>
  <c r="F32" i="47"/>
  <c r="F31" i="47"/>
  <c r="F30" i="47"/>
  <c r="F29" i="47"/>
  <c r="F28" i="47"/>
  <c r="F20" i="47"/>
  <c r="F19" i="47"/>
  <c r="F18" i="47"/>
  <c r="F17" i="47"/>
  <c r="F16" i="47"/>
  <c r="E34" i="2"/>
  <c r="E35" i="2"/>
  <c r="E36" i="2"/>
  <c r="E37" i="2"/>
  <c r="E38" i="2"/>
  <c r="C399" i="37"/>
  <c r="H1774" i="41"/>
  <c r="H1773" i="41"/>
  <c r="H1772" i="41"/>
  <c r="H1771" i="41"/>
  <c r="H1770" i="41"/>
  <c r="G1774" i="41"/>
  <c r="G1773" i="41"/>
  <c r="G1772" i="41"/>
  <c r="G1771" i="41"/>
  <c r="G1770" i="41"/>
  <c r="H1751" i="41"/>
  <c r="H1750" i="41"/>
  <c r="H1749" i="41"/>
  <c r="H1748" i="41"/>
  <c r="H1747" i="41"/>
  <c r="G1751" i="41"/>
  <c r="G1750" i="41"/>
  <c r="G1749" i="41"/>
  <c r="G1748" i="41"/>
  <c r="G1747" i="41"/>
  <c r="G1728" i="41"/>
  <c r="G1727" i="41"/>
  <c r="G1726" i="41"/>
  <c r="G1725" i="41"/>
  <c r="G1724" i="41"/>
  <c r="H1728" i="41"/>
  <c r="H1727" i="41"/>
  <c r="H1726" i="41"/>
  <c r="H1725" i="41"/>
  <c r="H1724" i="41"/>
  <c r="H1705" i="41"/>
  <c r="H1704" i="41"/>
  <c r="H1703" i="41"/>
  <c r="H1702" i="41"/>
  <c r="H1701" i="41"/>
  <c r="G1705" i="41"/>
  <c r="G1704" i="41"/>
  <c r="G1703" i="41"/>
  <c r="G1702" i="41"/>
  <c r="G1701" i="41"/>
  <c r="H1682" i="41"/>
  <c r="H1681" i="41"/>
  <c r="H1680" i="41"/>
  <c r="H1679" i="41"/>
  <c r="G1682" i="41"/>
  <c r="G1681" i="41"/>
  <c r="G1680" i="41"/>
  <c r="G1679" i="41"/>
  <c r="G1678" i="41"/>
  <c r="H1678" i="41"/>
  <c r="H609" i="41"/>
  <c r="E610" i="41"/>
  <c r="G623" i="41"/>
  <c r="H595" i="41"/>
  <c r="B6" i="28"/>
  <c r="B7" i="28"/>
  <c r="B8" i="28"/>
  <c r="B9" i="28"/>
  <c r="B10" i="28"/>
  <c r="B11" i="28"/>
  <c r="B12" i="28"/>
  <c r="B7" i="29"/>
  <c r="B6" i="29"/>
  <c r="B8" i="29"/>
  <c r="B6" i="1"/>
  <c r="B7" i="1"/>
  <c r="B8" i="1"/>
  <c r="B9" i="1"/>
  <c r="B10" i="1"/>
  <c r="B11" i="1"/>
  <c r="B12" i="1"/>
  <c r="B13" i="1"/>
  <c r="B14" i="1"/>
  <c r="H1910" i="41"/>
  <c r="G1910" i="41"/>
  <c r="E19" i="46"/>
  <c r="B17" i="5"/>
  <c r="E18" i="17"/>
  <c r="C539" i="37"/>
  <c r="C511" i="37"/>
  <c r="C483" i="37"/>
  <c r="C455" i="37"/>
  <c r="C427" i="37"/>
  <c r="H1633" i="41"/>
  <c r="G1633" i="41"/>
  <c r="H1632" i="41"/>
  <c r="G1632" i="41"/>
  <c r="H1631" i="41"/>
  <c r="G1631" i="41"/>
  <c r="H1630" i="41"/>
  <c r="G1630" i="41"/>
  <c r="H1629" i="41"/>
  <c r="G1629" i="41"/>
  <c r="H1628" i="41"/>
  <c r="G1628" i="41"/>
  <c r="H1627" i="41"/>
  <c r="G1627" i="41"/>
  <c r="H1657" i="41"/>
  <c r="G1657" i="41"/>
  <c r="H1656" i="41"/>
  <c r="G1656" i="41"/>
  <c r="H1655" i="41"/>
  <c r="G1655" i="41"/>
  <c r="H1654" i="41"/>
  <c r="G1654" i="41"/>
  <c r="H1653" i="41"/>
  <c r="G1653" i="41"/>
  <c r="H1652" i="41"/>
  <c r="G1652" i="41"/>
  <c r="H1651" i="41"/>
  <c r="G1651" i="41"/>
  <c r="H1650" i="41"/>
  <c r="G1650" i="41"/>
  <c r="H1649" i="41"/>
  <c r="G1649" i="41"/>
  <c r="H1648" i="41"/>
  <c r="G1648" i="41"/>
  <c r="H1647" i="41"/>
  <c r="G1647" i="41"/>
  <c r="H1646" i="41"/>
  <c r="G1646" i="41"/>
  <c r="H1645" i="41"/>
  <c r="G1645" i="41"/>
  <c r="H1644" i="41"/>
  <c r="G1644" i="41"/>
  <c r="H1643" i="41"/>
  <c r="G1643" i="41"/>
  <c r="H1642" i="41"/>
  <c r="G1642" i="41"/>
  <c r="H1641" i="41"/>
  <c r="G1641" i="41"/>
  <c r="H1640" i="41"/>
  <c r="G1640" i="41"/>
  <c r="H1639" i="41"/>
  <c r="G1639" i="41"/>
  <c r="H1638" i="41"/>
  <c r="G1638" i="41"/>
  <c r="H1637" i="41"/>
  <c r="G1637" i="41"/>
  <c r="H1618" i="41"/>
  <c r="G1618" i="41"/>
  <c r="H1617" i="41"/>
  <c r="G1617" i="41"/>
  <c r="H1616" i="41"/>
  <c r="G1616" i="41"/>
  <c r="H1615" i="41"/>
  <c r="G1615" i="41"/>
  <c r="H1614" i="41"/>
  <c r="G1614" i="41"/>
  <c r="H1613" i="41"/>
  <c r="G1613" i="41"/>
  <c r="H1612" i="41"/>
  <c r="G1612" i="41"/>
  <c r="H1611" i="41"/>
  <c r="G1611" i="41"/>
  <c r="H1610" i="41"/>
  <c r="G1610" i="41"/>
  <c r="H1609" i="41"/>
  <c r="G1609" i="41"/>
  <c r="H1608" i="41"/>
  <c r="G1608" i="41"/>
  <c r="H1607" i="41"/>
  <c r="G1607" i="41"/>
  <c r="H1606" i="41"/>
  <c r="G1606" i="41"/>
  <c r="H1605" i="41"/>
  <c r="G1605" i="41"/>
  <c r="H1604" i="41"/>
  <c r="G1604" i="41"/>
  <c r="H1603" i="41"/>
  <c r="G1603" i="41"/>
  <c r="H1602" i="41"/>
  <c r="G1602" i="41"/>
  <c r="H1601" i="41"/>
  <c r="G1601" i="41"/>
  <c r="H1600" i="41"/>
  <c r="G1600" i="41"/>
  <c r="H1599" i="41"/>
  <c r="G1599" i="41"/>
  <c r="H1598" i="41"/>
  <c r="G1598" i="41"/>
  <c r="H1594" i="41"/>
  <c r="G1594" i="41"/>
  <c r="H1593" i="41"/>
  <c r="G1593" i="41"/>
  <c r="H1592" i="41"/>
  <c r="G1592" i="41"/>
  <c r="H1591" i="41"/>
  <c r="G1591" i="41"/>
  <c r="H1590" i="41"/>
  <c r="G1590" i="41"/>
  <c r="H1589" i="41"/>
  <c r="G1589" i="41"/>
  <c r="H1588" i="41"/>
  <c r="G1588" i="41"/>
  <c r="H1555" i="41"/>
  <c r="G1555" i="41"/>
  <c r="H1554" i="41"/>
  <c r="G1554" i="41"/>
  <c r="H1553" i="41"/>
  <c r="G1553" i="41"/>
  <c r="H1552" i="41"/>
  <c r="G1552" i="41"/>
  <c r="H1551" i="41"/>
  <c r="G1551" i="41"/>
  <c r="H1550" i="41"/>
  <c r="G1550" i="41"/>
  <c r="H1549" i="41"/>
  <c r="G1549" i="41"/>
  <c r="H1579" i="41"/>
  <c r="G1579" i="41"/>
  <c r="H1578" i="41"/>
  <c r="G1578" i="41"/>
  <c r="H1577" i="41"/>
  <c r="G1577" i="41"/>
  <c r="H1576" i="41"/>
  <c r="G1576" i="41"/>
  <c r="H1575" i="41"/>
  <c r="G1575" i="41"/>
  <c r="H1574" i="41"/>
  <c r="G1574" i="41"/>
  <c r="H1573" i="41"/>
  <c r="G1573" i="41"/>
  <c r="H1572" i="41"/>
  <c r="G1572" i="41"/>
  <c r="H1571" i="41"/>
  <c r="G1571" i="41"/>
  <c r="H1570" i="41"/>
  <c r="G1570" i="41"/>
  <c r="H1569" i="41"/>
  <c r="G1569" i="41"/>
  <c r="H1568" i="41"/>
  <c r="G1568" i="41"/>
  <c r="H1567" i="41"/>
  <c r="G1567" i="41"/>
  <c r="H1566" i="41"/>
  <c r="G1566" i="41"/>
  <c r="H1565" i="41"/>
  <c r="G1565" i="41"/>
  <c r="H1564" i="41"/>
  <c r="G1564" i="41"/>
  <c r="H1563" i="41"/>
  <c r="G1563" i="41"/>
  <c r="H1562" i="41"/>
  <c r="G1562" i="41"/>
  <c r="H1561" i="41"/>
  <c r="G1561" i="41"/>
  <c r="H1560" i="41"/>
  <c r="G1560" i="41"/>
  <c r="H1559" i="41"/>
  <c r="G1559" i="41"/>
  <c r="H1540" i="41"/>
  <c r="G1540" i="41"/>
  <c r="H1539" i="41"/>
  <c r="G1539" i="41"/>
  <c r="H1538" i="41"/>
  <c r="G1538" i="41"/>
  <c r="H1537" i="41"/>
  <c r="G1537" i="41"/>
  <c r="H1536" i="41"/>
  <c r="G1536" i="41"/>
  <c r="H1535" i="41"/>
  <c r="G1535" i="41"/>
  <c r="H1534" i="41"/>
  <c r="G1534" i="41"/>
  <c r="H1533" i="41"/>
  <c r="G1533" i="41"/>
  <c r="H1532" i="41"/>
  <c r="G1532" i="41"/>
  <c r="H1531" i="41"/>
  <c r="G1531" i="41"/>
  <c r="H1530" i="41"/>
  <c r="G1530" i="41"/>
  <c r="H1529" i="41"/>
  <c r="G1529" i="41"/>
  <c r="H1528" i="41"/>
  <c r="G1528" i="41"/>
  <c r="H1527" i="41"/>
  <c r="G1527" i="41"/>
  <c r="H1526" i="41"/>
  <c r="G1526" i="41"/>
  <c r="H1525" i="41"/>
  <c r="G1525" i="41"/>
  <c r="H1524" i="41"/>
  <c r="G1524" i="41"/>
  <c r="H1523" i="41"/>
  <c r="G1523" i="41"/>
  <c r="H1522" i="41"/>
  <c r="G1522" i="41"/>
  <c r="H1521" i="41"/>
  <c r="G1521" i="41"/>
  <c r="H1520" i="41"/>
  <c r="G1520" i="41"/>
  <c r="H1516" i="41"/>
  <c r="G1516" i="41"/>
  <c r="H1515" i="41"/>
  <c r="G1515" i="41"/>
  <c r="H1514" i="41"/>
  <c r="G1514" i="41"/>
  <c r="H1513" i="41"/>
  <c r="G1513" i="41"/>
  <c r="H1512" i="41"/>
  <c r="G1512" i="41"/>
  <c r="H1511" i="41"/>
  <c r="G1511" i="41"/>
  <c r="H1510" i="41"/>
  <c r="G1510" i="41"/>
  <c r="H1477" i="41"/>
  <c r="G1477" i="41"/>
  <c r="H1476" i="41"/>
  <c r="G1476" i="41"/>
  <c r="H1475" i="41"/>
  <c r="G1475" i="41"/>
  <c r="H1474" i="41"/>
  <c r="G1474" i="41"/>
  <c r="H1473" i="41"/>
  <c r="G1473" i="41"/>
  <c r="H1472" i="41"/>
  <c r="G1472" i="41"/>
  <c r="H1471" i="41"/>
  <c r="G1471" i="41"/>
  <c r="C537" i="37"/>
  <c r="C509" i="37"/>
  <c r="C481" i="37"/>
  <c r="H1501" i="41"/>
  <c r="G1501" i="41"/>
  <c r="H1500" i="41"/>
  <c r="G1500" i="41"/>
  <c r="H1499" i="41"/>
  <c r="G1499" i="41"/>
  <c r="H1498" i="41"/>
  <c r="G1498" i="41"/>
  <c r="H1497" i="41"/>
  <c r="G1497" i="41"/>
  <c r="H1496" i="41"/>
  <c r="G1496" i="41"/>
  <c r="H1495" i="41"/>
  <c r="G1495" i="41"/>
  <c r="H1494" i="41"/>
  <c r="G1494" i="41"/>
  <c r="H1493" i="41"/>
  <c r="G1493" i="41"/>
  <c r="H1492" i="41"/>
  <c r="G1492" i="41"/>
  <c r="H1491" i="41"/>
  <c r="G1491" i="41"/>
  <c r="H1490" i="41"/>
  <c r="G1490" i="41"/>
  <c r="H1489" i="41"/>
  <c r="G1489" i="41"/>
  <c r="H1488" i="41"/>
  <c r="G1488" i="41"/>
  <c r="H1487" i="41"/>
  <c r="G1487" i="41"/>
  <c r="H1486" i="41"/>
  <c r="G1486" i="41"/>
  <c r="H1485" i="41"/>
  <c r="G1485" i="41"/>
  <c r="H1484" i="41"/>
  <c r="G1484" i="41"/>
  <c r="H1483" i="41"/>
  <c r="G1483" i="41"/>
  <c r="H1482" i="41"/>
  <c r="G1482" i="41"/>
  <c r="H1481" i="41"/>
  <c r="C453" i="37"/>
  <c r="G1481" i="41"/>
  <c r="C425" i="37"/>
  <c r="C536" i="37"/>
  <c r="C508" i="37"/>
  <c r="C480" i="37"/>
  <c r="C452" i="37"/>
  <c r="C424" i="37"/>
  <c r="C535" i="37"/>
  <c r="C507" i="37"/>
  <c r="C479" i="37"/>
  <c r="C451" i="37"/>
  <c r="C423" i="37"/>
  <c r="C534" i="37"/>
  <c r="C506" i="37"/>
  <c r="C478" i="37"/>
  <c r="C450" i="37"/>
  <c r="C422" i="37"/>
  <c r="C533" i="37"/>
  <c r="C505" i="37"/>
  <c r="C477" i="37"/>
  <c r="C449" i="37"/>
  <c r="C421" i="37"/>
  <c r="C538" i="37"/>
  <c r="C510" i="37"/>
  <c r="C482" i="37"/>
  <c r="C454" i="37"/>
  <c r="C426" i="37"/>
  <c r="H1461" i="41"/>
  <c r="G1461" i="41"/>
  <c r="H1460" i="41"/>
  <c r="G1460" i="41"/>
  <c r="H1459" i="41"/>
  <c r="G1459" i="41"/>
  <c r="H1458" i="41"/>
  <c r="G1458" i="41"/>
  <c r="H1457" i="41"/>
  <c r="G1457" i="41"/>
  <c r="H1456" i="41"/>
  <c r="G1456" i="41"/>
  <c r="H1455" i="41"/>
  <c r="G1455" i="41"/>
  <c r="H1454" i="41"/>
  <c r="G1454" i="41"/>
  <c r="H1453" i="41"/>
  <c r="G1453" i="41"/>
  <c r="H1452" i="41"/>
  <c r="G1452" i="41"/>
  <c r="H1451" i="41"/>
  <c r="G1451" i="41"/>
  <c r="H1450" i="41"/>
  <c r="G1450" i="41"/>
  <c r="H1449" i="41"/>
  <c r="G1449" i="41"/>
  <c r="H1448" i="41"/>
  <c r="G1448" i="41"/>
  <c r="H1447" i="41"/>
  <c r="G1447" i="41"/>
  <c r="H1446" i="41"/>
  <c r="G1446" i="41"/>
  <c r="H1445" i="41"/>
  <c r="G1445" i="41"/>
  <c r="H1444" i="41"/>
  <c r="G1444" i="41"/>
  <c r="H1443" i="41"/>
  <c r="G1443" i="41"/>
  <c r="H1442" i="41"/>
  <c r="G1442" i="41"/>
  <c r="H1441" i="41"/>
  <c r="G1441" i="41"/>
  <c r="H1437" i="41"/>
  <c r="G1437" i="41"/>
  <c r="H1436" i="41"/>
  <c r="G1436" i="41"/>
  <c r="H1435" i="41"/>
  <c r="G1435" i="41"/>
  <c r="H1434" i="41"/>
  <c r="G1434" i="41"/>
  <c r="H1433" i="41"/>
  <c r="G1433" i="41"/>
  <c r="H1432" i="41"/>
  <c r="G1432" i="41"/>
  <c r="H1431" i="41"/>
  <c r="G1431" i="41"/>
  <c r="H1422" i="41"/>
  <c r="G1422" i="41"/>
  <c r="H1421" i="41"/>
  <c r="G1421" i="41"/>
  <c r="H1420" i="41"/>
  <c r="G1420" i="41"/>
  <c r="H1419" i="41"/>
  <c r="G1419" i="41"/>
  <c r="H1418" i="41"/>
  <c r="G1418" i="41"/>
  <c r="H1417" i="41"/>
  <c r="G1417" i="41"/>
  <c r="H1416" i="41"/>
  <c r="G1416" i="41"/>
  <c r="H1415" i="41"/>
  <c r="G1415" i="41"/>
  <c r="H1414" i="41"/>
  <c r="G1414" i="41"/>
  <c r="H1413" i="41"/>
  <c r="G1413" i="41"/>
  <c r="H1412" i="41"/>
  <c r="G1412" i="41"/>
  <c r="H1411" i="41"/>
  <c r="G1411" i="41"/>
  <c r="H1410" i="41"/>
  <c r="G1410" i="41"/>
  <c r="H1409" i="41"/>
  <c r="G1409" i="41"/>
  <c r="H1408" i="41"/>
  <c r="G1408" i="41"/>
  <c r="H1407" i="41"/>
  <c r="G1407" i="41"/>
  <c r="H1406" i="41"/>
  <c r="G1406" i="41"/>
  <c r="H1405" i="41"/>
  <c r="G1405" i="41"/>
  <c r="H1404" i="41"/>
  <c r="G1404" i="41"/>
  <c r="H1403" i="41"/>
  <c r="G1403" i="41"/>
  <c r="H1402" i="41"/>
  <c r="G1402" i="41"/>
  <c r="H1398" i="41"/>
  <c r="G1398" i="41"/>
  <c r="H1397" i="41"/>
  <c r="G1397" i="41"/>
  <c r="H1396" i="41"/>
  <c r="G1396" i="41"/>
  <c r="H1395" i="41"/>
  <c r="G1395" i="41"/>
  <c r="H1394" i="41"/>
  <c r="G1394" i="41"/>
  <c r="H1393" i="41"/>
  <c r="G1393" i="41"/>
  <c r="H1392" i="41"/>
  <c r="G1392" i="41"/>
  <c r="H1383" i="41"/>
  <c r="G1383" i="41"/>
  <c r="H1382" i="41"/>
  <c r="G1382" i="41"/>
  <c r="H1381" i="41"/>
  <c r="G1381" i="41"/>
  <c r="H1380" i="41"/>
  <c r="G1380" i="41"/>
  <c r="H1379" i="41"/>
  <c r="G1379" i="41"/>
  <c r="H1378" i="41"/>
  <c r="G1378" i="41"/>
  <c r="H1377" i="41"/>
  <c r="G1377" i="41"/>
  <c r="H1376" i="41"/>
  <c r="G1376" i="41"/>
  <c r="H1375" i="41"/>
  <c r="G1375" i="41"/>
  <c r="H1374" i="41"/>
  <c r="G1374" i="41"/>
  <c r="H1373" i="41"/>
  <c r="G1373" i="41"/>
  <c r="H1372" i="41"/>
  <c r="G1372" i="41"/>
  <c r="H1371" i="41"/>
  <c r="G1371" i="41"/>
  <c r="H1370" i="41"/>
  <c r="G1370" i="41"/>
  <c r="H1369" i="41"/>
  <c r="G1369" i="41"/>
  <c r="H1368" i="41"/>
  <c r="G1368" i="41"/>
  <c r="H1367" i="41"/>
  <c r="G1367" i="41"/>
  <c r="H1366" i="41"/>
  <c r="G1366" i="41"/>
  <c r="H1365" i="41"/>
  <c r="G1365" i="41"/>
  <c r="H1364" i="41"/>
  <c r="G1364" i="41"/>
  <c r="H1363" i="41"/>
  <c r="G1363" i="41"/>
  <c r="H1359" i="41"/>
  <c r="G1359" i="41"/>
  <c r="H1358" i="41"/>
  <c r="G1358" i="41"/>
  <c r="H1357" i="41"/>
  <c r="G1357" i="41"/>
  <c r="H1356" i="41"/>
  <c r="G1356" i="41"/>
  <c r="H1355" i="41"/>
  <c r="G1355" i="41"/>
  <c r="H1354" i="41"/>
  <c r="G1354" i="41"/>
  <c r="H1353" i="41"/>
  <c r="G1353" i="41"/>
  <c r="H1344" i="41"/>
  <c r="G1344" i="41"/>
  <c r="H1343" i="41"/>
  <c r="G1343" i="41"/>
  <c r="H1342" i="41"/>
  <c r="G1342" i="41"/>
  <c r="H1341" i="41"/>
  <c r="G1341" i="41"/>
  <c r="H1340" i="41"/>
  <c r="G1340" i="41"/>
  <c r="H1339" i="41"/>
  <c r="G1339" i="41"/>
  <c r="H1338" i="41"/>
  <c r="G1338" i="41"/>
  <c r="H1337" i="41"/>
  <c r="G1337" i="41"/>
  <c r="H1336" i="41"/>
  <c r="G1336" i="41"/>
  <c r="H1335" i="41"/>
  <c r="G1335" i="41"/>
  <c r="H1334" i="41"/>
  <c r="G1334" i="41"/>
  <c r="H1333" i="41"/>
  <c r="G1333" i="41"/>
  <c r="H1332" i="41"/>
  <c r="G1332" i="41"/>
  <c r="H1331" i="41"/>
  <c r="G1331" i="41"/>
  <c r="H1330" i="41"/>
  <c r="G1330" i="41"/>
  <c r="H1329" i="41"/>
  <c r="G1329" i="41"/>
  <c r="H1328" i="41"/>
  <c r="G1328" i="41"/>
  <c r="H1327" i="41"/>
  <c r="G1327" i="41"/>
  <c r="H1326" i="41"/>
  <c r="G1326" i="41"/>
  <c r="H1325" i="41"/>
  <c r="G1325" i="41"/>
  <c r="H1324" i="41"/>
  <c r="G1324" i="41"/>
  <c r="H1320" i="41"/>
  <c r="G1320" i="41"/>
  <c r="H1319" i="41"/>
  <c r="G1319" i="41"/>
  <c r="H1318" i="41"/>
  <c r="G1318" i="41"/>
  <c r="H1317" i="41"/>
  <c r="G1317" i="41"/>
  <c r="H1316" i="41"/>
  <c r="G1316" i="41"/>
  <c r="H1315" i="41"/>
  <c r="G1315" i="41"/>
  <c r="H1314" i="41"/>
  <c r="G1314" i="41"/>
  <c r="H1306" i="41"/>
  <c r="G1306" i="41"/>
  <c r="H1305" i="41"/>
  <c r="G1305" i="41"/>
  <c r="H1304" i="41"/>
  <c r="G1304" i="41"/>
  <c r="H1303" i="41"/>
  <c r="G1303" i="41"/>
  <c r="H1302" i="41"/>
  <c r="G1302" i="41"/>
  <c r="H1301" i="41"/>
  <c r="G1301" i="41"/>
  <c r="H1300" i="41"/>
  <c r="G1300" i="41"/>
  <c r="H1299" i="41"/>
  <c r="G1299" i="41"/>
  <c r="H1298" i="41"/>
  <c r="G1298" i="41"/>
  <c r="H1297" i="41"/>
  <c r="G1297" i="41"/>
  <c r="H1296" i="41"/>
  <c r="G1296" i="41"/>
  <c r="H1295" i="41"/>
  <c r="G1295" i="41"/>
  <c r="H1294" i="41"/>
  <c r="G1294" i="41"/>
  <c r="H1293" i="41"/>
  <c r="G1293" i="41"/>
  <c r="H1292" i="41"/>
  <c r="G1292" i="41"/>
  <c r="H1291" i="41"/>
  <c r="G1291" i="41"/>
  <c r="H1290" i="41"/>
  <c r="G1290" i="41"/>
  <c r="H1289" i="41"/>
  <c r="G1289" i="41"/>
  <c r="H1288" i="41"/>
  <c r="G1288" i="41"/>
  <c r="H1287" i="41"/>
  <c r="G1287" i="41"/>
  <c r="H1286" i="41"/>
  <c r="G1286" i="41"/>
  <c r="H1282" i="41"/>
  <c r="G1282" i="41"/>
  <c r="H1281" i="41"/>
  <c r="G1281" i="41"/>
  <c r="H1280" i="41"/>
  <c r="G1280" i="41"/>
  <c r="H1279" i="41"/>
  <c r="G1279" i="41"/>
  <c r="H1278" i="41"/>
  <c r="G1278" i="41"/>
  <c r="H1277" i="41"/>
  <c r="G1277" i="41"/>
  <c r="H1276" i="41"/>
  <c r="G1276" i="41"/>
  <c r="H1268" i="41"/>
  <c r="H1267" i="41"/>
  <c r="H1266" i="41"/>
  <c r="H1265" i="41"/>
  <c r="H1264" i="41"/>
  <c r="H1263" i="41"/>
  <c r="H1262" i="41"/>
  <c r="H1261" i="41"/>
  <c r="H1260" i="41"/>
  <c r="H1259" i="41"/>
  <c r="H1258" i="41"/>
  <c r="H1257" i="41"/>
  <c r="H1256" i="41"/>
  <c r="H1255" i="41"/>
  <c r="H1254" i="41"/>
  <c r="H1253" i="41"/>
  <c r="H1252" i="41"/>
  <c r="H1251" i="41"/>
  <c r="H1250" i="41"/>
  <c r="H1249" i="41"/>
  <c r="H1248" i="41"/>
  <c r="G1268" i="41"/>
  <c r="G1267" i="41"/>
  <c r="G1266" i="41"/>
  <c r="G1265" i="41"/>
  <c r="G1264" i="41"/>
  <c r="G1263" i="41"/>
  <c r="G1262" i="41"/>
  <c r="G1261" i="41"/>
  <c r="G1260" i="41"/>
  <c r="G1259" i="41"/>
  <c r="G1258" i="41"/>
  <c r="G1257" i="41"/>
  <c r="G1256" i="41"/>
  <c r="G1255" i="41"/>
  <c r="G1254" i="41"/>
  <c r="G1253" i="41"/>
  <c r="G1252" i="41"/>
  <c r="G1251" i="41"/>
  <c r="G1250" i="41"/>
  <c r="G1249" i="41"/>
  <c r="G1248" i="41"/>
  <c r="H1244" i="41"/>
  <c r="H1243" i="41"/>
  <c r="H1242" i="41"/>
  <c r="H1241" i="41"/>
  <c r="H1240" i="41"/>
  <c r="G1244" i="41"/>
  <c r="G1243" i="41"/>
  <c r="G1242" i="41"/>
  <c r="G1241" i="41"/>
  <c r="G1240" i="41"/>
  <c r="H1233" i="41"/>
  <c r="G1233" i="41"/>
  <c r="H1222" i="41"/>
  <c r="H1221" i="41"/>
  <c r="H1220" i="41"/>
  <c r="H1219" i="41"/>
  <c r="H1218" i="41"/>
  <c r="H1217" i="41"/>
  <c r="H1216" i="41"/>
  <c r="H1215" i="41"/>
  <c r="H1214" i="41"/>
  <c r="H1213" i="41"/>
  <c r="H1212" i="41"/>
  <c r="H1211" i="41"/>
  <c r="H1210" i="41"/>
  <c r="H1209" i="41"/>
  <c r="H1208" i="41"/>
  <c r="H1207" i="41"/>
  <c r="H1206" i="41"/>
  <c r="H1205" i="41"/>
  <c r="H1204" i="41"/>
  <c r="H1203" i="41"/>
  <c r="G1222" i="41"/>
  <c r="G1221" i="41"/>
  <c r="G1220" i="41"/>
  <c r="G1219" i="41"/>
  <c r="G1218" i="41"/>
  <c r="G1217" i="41"/>
  <c r="G1216" i="41"/>
  <c r="G1215" i="41"/>
  <c r="G1214" i="41"/>
  <c r="G1213" i="41"/>
  <c r="G1212" i="41"/>
  <c r="G1211" i="41"/>
  <c r="G1210" i="41"/>
  <c r="G1209" i="41"/>
  <c r="G1208" i="41"/>
  <c r="G1207" i="41"/>
  <c r="G1206" i="41"/>
  <c r="G1205" i="41"/>
  <c r="G1204" i="41"/>
  <c r="G1203" i="41"/>
  <c r="H1199" i="41"/>
  <c r="H1198" i="41"/>
  <c r="H1197" i="41"/>
  <c r="H1196" i="41"/>
  <c r="H1195" i="41"/>
  <c r="G1199" i="41"/>
  <c r="G1198" i="41"/>
  <c r="G1197" i="41"/>
  <c r="G1196" i="41"/>
  <c r="G1195" i="41"/>
  <c r="H1188" i="41"/>
  <c r="G1188" i="41"/>
  <c r="H1177" i="41"/>
  <c r="H1176" i="41"/>
  <c r="H1175" i="41"/>
  <c r="H1174" i="41"/>
  <c r="H1173" i="41"/>
  <c r="H1172" i="41"/>
  <c r="H1171" i="41"/>
  <c r="H1170" i="41"/>
  <c r="H1169" i="41"/>
  <c r="H1168" i="41"/>
  <c r="H1167" i="41"/>
  <c r="H1166" i="41"/>
  <c r="H1165" i="41"/>
  <c r="H1164" i="41"/>
  <c r="H1163" i="41"/>
  <c r="H1162" i="41"/>
  <c r="H1161" i="41"/>
  <c r="H1160" i="41"/>
  <c r="H1159" i="41"/>
  <c r="H1158" i="41"/>
  <c r="G1177" i="41"/>
  <c r="G1176" i="41"/>
  <c r="G1175" i="41"/>
  <c r="G1174" i="41"/>
  <c r="G1173" i="41"/>
  <c r="G1172" i="41"/>
  <c r="G1171" i="41"/>
  <c r="G1170" i="41"/>
  <c r="G1169" i="41"/>
  <c r="G1168" i="41"/>
  <c r="G1167" i="41"/>
  <c r="G1166" i="41"/>
  <c r="G1165" i="41"/>
  <c r="G1164" i="41"/>
  <c r="G1163" i="41"/>
  <c r="G1162" i="41"/>
  <c r="G1161" i="41"/>
  <c r="G1160" i="41"/>
  <c r="G1159" i="41"/>
  <c r="G1158" i="41"/>
  <c r="H1154" i="41"/>
  <c r="H1153" i="41"/>
  <c r="H1152" i="41"/>
  <c r="H1151" i="41"/>
  <c r="H1150" i="41"/>
  <c r="G1154" i="41"/>
  <c r="G1153" i="41"/>
  <c r="G1152" i="41"/>
  <c r="G1151" i="41"/>
  <c r="G1150" i="41"/>
  <c r="H1143" i="41"/>
  <c r="G1143" i="41"/>
  <c r="H1132" i="41"/>
  <c r="H1131" i="41"/>
  <c r="H1130" i="41"/>
  <c r="H1129" i="41"/>
  <c r="H1128" i="41"/>
  <c r="H1127" i="41"/>
  <c r="H1126" i="41"/>
  <c r="H1125" i="41"/>
  <c r="H1124" i="41"/>
  <c r="H1123" i="41"/>
  <c r="H1122" i="41"/>
  <c r="H1121" i="41"/>
  <c r="H1120" i="41"/>
  <c r="H1119" i="41"/>
  <c r="H1118" i="41"/>
  <c r="H1117" i="41"/>
  <c r="H1116" i="41"/>
  <c r="H1115" i="41"/>
  <c r="H1114" i="41"/>
  <c r="H1113" i="41"/>
  <c r="G1132" i="41"/>
  <c r="G1131" i="41"/>
  <c r="G1130" i="41"/>
  <c r="G1129" i="41"/>
  <c r="G1128" i="41"/>
  <c r="G1127" i="41"/>
  <c r="G1126" i="41"/>
  <c r="G1125" i="41"/>
  <c r="G1124" i="41"/>
  <c r="G1123" i="41"/>
  <c r="G1122" i="41"/>
  <c r="G1121" i="41"/>
  <c r="G1120" i="41"/>
  <c r="G1119" i="41"/>
  <c r="G1118" i="41"/>
  <c r="G1117" i="41"/>
  <c r="G1116" i="41"/>
  <c r="G1115" i="41"/>
  <c r="G1114" i="41"/>
  <c r="G1113" i="41"/>
  <c r="H1109" i="41"/>
  <c r="H1108" i="41"/>
  <c r="H1107" i="41"/>
  <c r="H1106" i="41"/>
  <c r="H1105" i="41"/>
  <c r="G1109" i="41"/>
  <c r="G1108" i="41"/>
  <c r="G1107" i="41"/>
  <c r="G1106" i="41"/>
  <c r="G1105" i="41"/>
  <c r="H1098" i="41"/>
  <c r="G1098" i="41"/>
  <c r="H1087" i="41"/>
  <c r="H1086" i="41"/>
  <c r="H1085" i="41"/>
  <c r="H1084" i="41"/>
  <c r="H1083" i="41"/>
  <c r="H1082" i="41"/>
  <c r="H1081" i="41"/>
  <c r="H1080" i="41"/>
  <c r="H1079" i="41"/>
  <c r="H1078" i="41"/>
  <c r="H1077" i="41"/>
  <c r="H1076" i="41"/>
  <c r="H1075" i="41"/>
  <c r="H1074" i="41"/>
  <c r="H1073" i="41"/>
  <c r="H1072" i="41"/>
  <c r="H1071" i="41"/>
  <c r="H1070" i="41"/>
  <c r="H1069" i="41"/>
  <c r="H1068" i="41"/>
  <c r="G1087" i="41"/>
  <c r="G1086" i="41"/>
  <c r="G1085" i="41"/>
  <c r="G1084" i="41"/>
  <c r="G1083" i="41"/>
  <c r="G1082" i="41"/>
  <c r="G1081" i="41"/>
  <c r="G1080" i="41"/>
  <c r="G1079" i="41"/>
  <c r="G1078" i="41"/>
  <c r="G1077" i="41"/>
  <c r="G1076" i="41"/>
  <c r="G1075" i="41"/>
  <c r="G1074" i="41"/>
  <c r="G1073" i="41"/>
  <c r="G1072" i="41"/>
  <c r="G1071" i="41"/>
  <c r="G1070" i="41"/>
  <c r="G1069" i="41"/>
  <c r="G1068" i="41"/>
  <c r="H1064" i="41"/>
  <c r="H1063" i="41"/>
  <c r="H1062" i="41"/>
  <c r="H1061" i="41"/>
  <c r="H1060" i="41"/>
  <c r="G1064" i="41"/>
  <c r="G1063" i="41"/>
  <c r="G1062" i="41"/>
  <c r="G1061" i="41"/>
  <c r="G1060" i="41"/>
  <c r="H1053" i="41"/>
  <c r="G1053" i="41"/>
  <c r="F7" i="47"/>
  <c r="F12" i="47"/>
  <c r="F11" i="47"/>
  <c r="H440" i="41"/>
  <c r="G440" i="41"/>
  <c r="G451" i="41"/>
  <c r="H451" i="41"/>
  <c r="H462" i="41"/>
  <c r="G462" i="41"/>
  <c r="G473" i="41"/>
  <c r="H473" i="41"/>
  <c r="H484" i="41"/>
  <c r="G484" i="41"/>
  <c r="G230" i="41"/>
  <c r="E230" i="41"/>
  <c r="G229" i="41"/>
  <c r="E229" i="41"/>
  <c r="G228" i="41"/>
  <c r="E228" i="41"/>
  <c r="G227" i="41"/>
  <c r="E227" i="41"/>
  <c r="C416" i="42"/>
  <c r="B416" i="42"/>
  <c r="C51" i="42"/>
  <c r="C50" i="42"/>
  <c r="E38" i="50" l="1"/>
  <c r="E37" i="50"/>
  <c r="B7" i="54"/>
  <c r="H488" i="42"/>
  <c r="E916" i="42"/>
  <c r="E906" i="42"/>
  <c r="E896" i="42"/>
  <c r="E886" i="42"/>
  <c r="E1028" i="42"/>
  <c r="E1027" i="42"/>
  <c r="E1026" i="42"/>
  <c r="E1025" i="42"/>
  <c r="E1024" i="42"/>
  <c r="E1023" i="42"/>
  <c r="E1022" i="42"/>
  <c r="E1021" i="42"/>
  <c r="E1020" i="42"/>
  <c r="E1019" i="42"/>
  <c r="E1018" i="42"/>
  <c r="E1017" i="42"/>
  <c r="E1016" i="42"/>
  <c r="E1015" i="42"/>
  <c r="E1014" i="42"/>
  <c r="E1013" i="42"/>
  <c r="E1012" i="42"/>
  <c r="E1011" i="42"/>
  <c r="E1010" i="42"/>
  <c r="E1009" i="42"/>
  <c r="E1008" i="42"/>
  <c r="E1007" i="42"/>
  <c r="E1006" i="42"/>
  <c r="E1005" i="42"/>
  <c r="E1004" i="42"/>
  <c r="E1003" i="42"/>
  <c r="E1002" i="42"/>
  <c r="E1001" i="42"/>
  <c r="E1000" i="42"/>
  <c r="E999" i="42"/>
  <c r="E998" i="42"/>
  <c r="E997" i="42"/>
  <c r="E996" i="42"/>
  <c r="E995" i="42"/>
  <c r="E994" i="42"/>
  <c r="E993" i="42"/>
  <c r="E992" i="42"/>
  <c r="E991" i="42"/>
  <c r="E990" i="42"/>
  <c r="E989" i="42"/>
  <c r="E988" i="42"/>
  <c r="E987" i="42"/>
  <c r="E986" i="42"/>
  <c r="E985" i="42"/>
  <c r="E984" i="42"/>
  <c r="E983" i="42"/>
  <c r="E982" i="42"/>
  <c r="E981" i="42"/>
  <c r="E980" i="42"/>
  <c r="E979" i="42"/>
  <c r="E978" i="42"/>
  <c r="E977" i="42"/>
  <c r="E976" i="42"/>
  <c r="E975" i="42"/>
  <c r="E974" i="42"/>
  <c r="E973" i="42"/>
  <c r="E972" i="42"/>
  <c r="E971" i="42"/>
  <c r="E970" i="42"/>
  <c r="E969" i="42"/>
  <c r="E968" i="42"/>
  <c r="E967" i="42"/>
  <c r="E966" i="42"/>
  <c r="E965" i="42"/>
  <c r="E964" i="42"/>
  <c r="E963" i="42"/>
  <c r="E962" i="42"/>
  <c r="E961" i="42"/>
  <c r="E960" i="42"/>
  <c r="E959" i="42"/>
  <c r="E958" i="42"/>
  <c r="E957" i="42"/>
  <c r="E956" i="42"/>
  <c r="E955" i="42"/>
  <c r="E954" i="42"/>
  <c r="E953" i="42"/>
  <c r="E952" i="42"/>
  <c r="E951" i="42"/>
  <c r="E950" i="42"/>
  <c r="E949" i="42"/>
  <c r="E948" i="42"/>
  <c r="E947" i="42"/>
  <c r="E946" i="42"/>
  <c r="E945" i="42"/>
  <c r="E944" i="42"/>
  <c r="E943" i="42"/>
  <c r="E942" i="42"/>
  <c r="E941" i="42"/>
  <c r="E940" i="42"/>
  <c r="E939" i="42"/>
  <c r="E938" i="42"/>
  <c r="E937" i="42"/>
  <c r="E936" i="42"/>
  <c r="E935" i="42"/>
  <c r="E934" i="42"/>
  <c r="E933" i="42"/>
  <c r="E932" i="42"/>
  <c r="E931" i="42"/>
  <c r="E930" i="42"/>
  <c r="E929" i="42"/>
  <c r="E928" i="42"/>
  <c r="E927" i="42"/>
  <c r="E926" i="42"/>
  <c r="E925" i="42"/>
  <c r="E924" i="42"/>
  <c r="E911" i="42"/>
  <c r="E901" i="42"/>
  <c r="E891" i="42"/>
  <c r="D891" i="42"/>
  <c r="D901" i="42"/>
  <c r="D911" i="42"/>
  <c r="D921" i="42"/>
  <c r="E921" i="42"/>
  <c r="F921" i="42"/>
  <c r="F911" i="42"/>
  <c r="F901" i="42"/>
  <c r="F891" i="42"/>
  <c r="F909" i="42"/>
  <c r="F899" i="42"/>
  <c r="F889" i="42"/>
  <c r="G889" i="42"/>
  <c r="G899" i="42"/>
  <c r="G909" i="42"/>
  <c r="G919" i="42"/>
  <c r="F919" i="42"/>
  <c r="E919" i="42"/>
  <c r="E909" i="42"/>
  <c r="E899" i="42"/>
  <c r="E889" i="42"/>
  <c r="G779" i="42"/>
  <c r="G762" i="42"/>
  <c r="G745" i="42"/>
  <c r="G728" i="42"/>
  <c r="G711" i="42"/>
  <c r="E775" i="42"/>
  <c r="E758" i="42"/>
  <c r="E741" i="42"/>
  <c r="E724" i="42"/>
  <c r="E707" i="42"/>
  <c r="D477" i="42"/>
  <c r="E477" i="42"/>
  <c r="F477" i="42"/>
  <c r="C4" i="37"/>
  <c r="C23" i="31"/>
  <c r="C12" i="36" s="1"/>
  <c r="C188" i="37" l="1"/>
  <c r="B9" i="46" s="1"/>
  <c r="C410" i="37"/>
  <c r="C522" i="37"/>
  <c r="C466" i="37"/>
  <c r="C438" i="37"/>
  <c r="C494" i="37"/>
  <c r="C216" i="37"/>
  <c r="E12" i="49" l="1"/>
  <c r="H436" i="41"/>
  <c r="G436" i="41"/>
  <c r="C73" i="42"/>
  <c r="B73" i="42"/>
  <c r="H430" i="35"/>
  <c r="H431" i="35"/>
  <c r="H435" i="41"/>
  <c r="H434" i="41"/>
  <c r="H433" i="41"/>
  <c r="H432" i="41"/>
  <c r="G435" i="41"/>
  <c r="G434" i="41"/>
  <c r="G433" i="41"/>
  <c r="G432" i="41"/>
  <c r="H303" i="41"/>
  <c r="G303" i="41"/>
  <c r="F303" i="41"/>
  <c r="H302" i="41"/>
  <c r="G302" i="41"/>
  <c r="F302" i="41"/>
  <c r="H301" i="41"/>
  <c r="G301" i="41"/>
  <c r="F301" i="41"/>
  <c r="H329" i="41"/>
  <c r="G329" i="41"/>
  <c r="F329" i="41"/>
  <c r="H328" i="41"/>
  <c r="G328" i="41"/>
  <c r="F328" i="41"/>
  <c r="H327" i="41"/>
  <c r="G327" i="41"/>
  <c r="F327" i="41"/>
  <c r="H326" i="41"/>
  <c r="G326" i="41"/>
  <c r="F326" i="41"/>
  <c r="H338" i="41"/>
  <c r="G338" i="41"/>
  <c r="F338" i="41"/>
  <c r="H337" i="41"/>
  <c r="G337" i="41"/>
  <c r="F337" i="41"/>
  <c r="H336" i="41"/>
  <c r="G336" i="41"/>
  <c r="F336" i="41"/>
  <c r="H335" i="41"/>
  <c r="G335" i="41"/>
  <c r="F335" i="41"/>
  <c r="H345" i="41"/>
  <c r="G345" i="41"/>
  <c r="F345" i="41"/>
  <c r="H344" i="41"/>
  <c r="G344" i="41"/>
  <c r="F344" i="41"/>
  <c r="H343" i="41"/>
  <c r="G343" i="41"/>
  <c r="F343" i="41"/>
  <c r="H556" i="41" l="1"/>
  <c r="G173" i="41"/>
  <c r="H568" i="41"/>
  <c r="G568" i="41"/>
  <c r="H567" i="41"/>
  <c r="G567" i="41"/>
  <c r="H566" i="41"/>
  <c r="G566" i="41"/>
  <c r="H565" i="41"/>
  <c r="G565" i="41"/>
  <c r="H564" i="41"/>
  <c r="G564" i="41"/>
  <c r="H418" i="41"/>
  <c r="G418" i="41"/>
  <c r="H417" i="41"/>
  <c r="G417" i="41"/>
  <c r="H416" i="41"/>
  <c r="G416" i="41"/>
  <c r="H627" i="41"/>
  <c r="G627" i="41"/>
  <c r="H626" i="41"/>
  <c r="G626" i="41"/>
  <c r="H625" i="41"/>
  <c r="G625" i="41"/>
  <c r="H624" i="41"/>
  <c r="G624" i="41"/>
  <c r="H623" i="41"/>
  <c r="H605" i="41"/>
  <c r="G605" i="41"/>
  <c r="H604" i="41"/>
  <c r="G604" i="41"/>
  <c r="H603" i="41"/>
  <c r="G603" i="41"/>
  <c r="H602" i="41"/>
  <c r="G602" i="41"/>
  <c r="H601" i="41"/>
  <c r="G601" i="41"/>
  <c r="H592" i="41"/>
  <c r="G592" i="41"/>
  <c r="H591" i="41"/>
  <c r="G591" i="41"/>
  <c r="H590" i="41"/>
  <c r="G590" i="41"/>
  <c r="H589" i="41"/>
  <c r="G589" i="41"/>
  <c r="H588" i="41"/>
  <c r="G588" i="41"/>
  <c r="H527" i="41"/>
  <c r="G527" i="41"/>
  <c r="H526" i="41"/>
  <c r="G526" i="41"/>
  <c r="H525" i="41"/>
  <c r="G525" i="41"/>
  <c r="H497" i="41"/>
  <c r="G497" i="41"/>
  <c r="H496" i="41"/>
  <c r="G496" i="41"/>
  <c r="H495" i="41"/>
  <c r="G495" i="41"/>
  <c r="F503" i="41"/>
  <c r="E503" i="41"/>
  <c r="F502" i="41"/>
  <c r="E502" i="41"/>
  <c r="F501" i="41"/>
  <c r="E501" i="41"/>
  <c r="H362" i="41"/>
  <c r="G362" i="41"/>
  <c r="H361" i="41"/>
  <c r="G361" i="41"/>
  <c r="H360" i="41"/>
  <c r="G360" i="41"/>
  <c r="H319" i="41"/>
  <c r="G319" i="41"/>
  <c r="F319" i="41"/>
  <c r="H318" i="41"/>
  <c r="G318" i="41"/>
  <c r="F318" i="41"/>
  <c r="H317" i="41"/>
  <c r="G317" i="41"/>
  <c r="F317" i="41"/>
  <c r="H258" i="41"/>
  <c r="G258" i="41"/>
  <c r="H257" i="41"/>
  <c r="G257" i="41"/>
  <c r="H256" i="41"/>
  <c r="G256" i="41"/>
  <c r="H75" i="41"/>
  <c r="G75" i="41"/>
  <c r="H74" i="41"/>
  <c r="G74" i="41"/>
  <c r="H73" i="41"/>
  <c r="G73" i="41"/>
  <c r="E26" i="51"/>
  <c r="F694" i="42"/>
  <c r="F666" i="42"/>
  <c r="F638" i="42"/>
  <c r="F610" i="42"/>
  <c r="C6" i="42"/>
  <c r="D6" i="42"/>
  <c r="E103" i="42"/>
  <c r="E102" i="42"/>
  <c r="E101" i="42"/>
  <c r="E100" i="42"/>
  <c r="E99" i="42"/>
  <c r="E98" i="42"/>
  <c r="E97" i="42"/>
  <c r="E96" i="42"/>
  <c r="E95" i="42"/>
  <c r="E94" i="42"/>
  <c r="E93" i="42"/>
  <c r="E92" i="42"/>
  <c r="E91" i="42"/>
  <c r="E90" i="42"/>
  <c r="E89" i="42"/>
  <c r="F88" i="42"/>
  <c r="F87" i="42"/>
  <c r="F86" i="42"/>
  <c r="D85" i="42"/>
  <c r="D84" i="42"/>
  <c r="D83" i="42"/>
  <c r="B74" i="42"/>
  <c r="G494" i="41"/>
  <c r="H424" i="41"/>
  <c r="H415" i="41"/>
  <c r="H414" i="41"/>
  <c r="H413" i="41"/>
  <c r="H412" i="41"/>
  <c r="H411" i="41"/>
  <c r="H410" i="41"/>
  <c r="H409" i="41"/>
  <c r="H408" i="41"/>
  <c r="H407" i="41"/>
  <c r="H406" i="41"/>
  <c r="H405" i="41"/>
  <c r="H404" i="41"/>
  <c r="H403" i="41"/>
  <c r="H402" i="41"/>
  <c r="H401" i="41"/>
  <c r="H400" i="41"/>
  <c r="H399" i="41"/>
  <c r="H398" i="41"/>
  <c r="H397" i="41"/>
  <c r="H396" i="41"/>
  <c r="H395" i="41"/>
  <c r="H394" i="41"/>
  <c r="H393" i="41"/>
  <c r="H392" i="41"/>
  <c r="H391" i="41"/>
  <c r="H390" i="41"/>
  <c r="H389" i="41"/>
  <c r="H388" i="41"/>
  <c r="H387" i="41"/>
  <c r="H386" i="41"/>
  <c r="H385" i="41"/>
  <c r="H384" i="41"/>
  <c r="H383" i="41"/>
  <c r="H382" i="41"/>
  <c r="H381" i="41"/>
  <c r="H380" i="41"/>
  <c r="H379" i="41"/>
  <c r="H378" i="41"/>
  <c r="H377" i="41"/>
  <c r="H376" i="41"/>
  <c r="H375" i="41"/>
  <c r="H374" i="41"/>
  <c r="H373" i="41"/>
  <c r="H372" i="41"/>
  <c r="H371" i="41"/>
  <c r="H370" i="41"/>
  <c r="H369" i="41"/>
  <c r="H368" i="41"/>
  <c r="H367" i="41"/>
  <c r="H366" i="41"/>
  <c r="H365" i="41"/>
  <c r="H364" i="41"/>
  <c r="H363" i="41"/>
  <c r="H359" i="41"/>
  <c r="H358" i="41"/>
  <c r="H353" i="41"/>
  <c r="H352" i="41"/>
  <c r="H1039" i="41"/>
  <c r="H1038" i="41"/>
  <c r="H1037" i="41"/>
  <c r="H1036" i="41"/>
  <c r="H1035" i="41"/>
  <c r="H1034" i="41"/>
  <c r="H1033" i="41"/>
  <c r="H1032" i="41"/>
  <c r="H1031" i="41"/>
  <c r="H1030" i="41"/>
  <c r="H1029" i="41"/>
  <c r="H1028" i="41"/>
  <c r="H1027" i="41"/>
  <c r="H1026" i="41"/>
  <c r="H1025" i="41"/>
  <c r="H1024" i="41"/>
  <c r="H1023" i="41"/>
  <c r="H1022" i="41"/>
  <c r="H1021" i="41"/>
  <c r="H1020" i="41"/>
  <c r="H1019" i="41"/>
  <c r="H1018" i="41"/>
  <c r="H1017" i="41"/>
  <c r="H1016" i="41"/>
  <c r="H1015" i="41"/>
  <c r="H1014" i="41"/>
  <c r="H1013" i="41"/>
  <c r="H1012" i="41"/>
  <c r="H1011" i="41"/>
  <c r="H1010" i="41"/>
  <c r="H1009" i="41"/>
  <c r="H1008" i="41"/>
  <c r="H1007" i="41"/>
  <c r="H1006" i="41"/>
  <c r="H1005" i="41"/>
  <c r="H1004" i="41"/>
  <c r="H1003" i="41"/>
  <c r="H1002" i="41"/>
  <c r="H1001" i="41"/>
  <c r="H1000" i="41"/>
  <c r="H999" i="41"/>
  <c r="H998" i="41"/>
  <c r="H997" i="41"/>
  <c r="H996" i="41"/>
  <c r="H995" i="41"/>
  <c r="H994" i="41"/>
  <c r="H993" i="41"/>
  <c r="H992" i="41"/>
  <c r="H991" i="41"/>
  <c r="H990" i="41"/>
  <c r="H989" i="41"/>
  <c r="H988" i="41"/>
  <c r="H987" i="41"/>
  <c r="H986" i="41"/>
  <c r="H985" i="41"/>
  <c r="H984" i="41"/>
  <c r="H983" i="41"/>
  <c r="H982" i="41"/>
  <c r="H981" i="41"/>
  <c r="H980" i="41"/>
  <c r="H979" i="41"/>
  <c r="H978" i="41"/>
  <c r="H977" i="41"/>
  <c r="H976" i="41"/>
  <c r="H975" i="41"/>
  <c r="H974" i="41"/>
  <c r="H973" i="41"/>
  <c r="H972" i="41"/>
  <c r="H971" i="41"/>
  <c r="H970" i="41"/>
  <c r="H969" i="41"/>
  <c r="H968" i="41"/>
  <c r="H967" i="41"/>
  <c r="H966" i="41"/>
  <c r="H965" i="41"/>
  <c r="H964" i="41"/>
  <c r="H963" i="41"/>
  <c r="H962" i="41"/>
  <c r="H961" i="41"/>
  <c r="H960" i="41"/>
  <c r="H959" i="41"/>
  <c r="H958" i="41"/>
  <c r="H957" i="41"/>
  <c r="H660" i="41"/>
  <c r="H658" i="41"/>
  <c r="H656" i="41"/>
  <c r="H655" i="41"/>
  <c r="H650" i="41"/>
  <c r="H644" i="41"/>
  <c r="H643" i="41"/>
  <c r="H631" i="41"/>
  <c r="G598" i="41"/>
  <c r="H597" i="41"/>
  <c r="H572" i="41"/>
  <c r="H542" i="41"/>
  <c r="H173" i="41"/>
  <c r="F866" i="42"/>
  <c r="F849" i="42"/>
  <c r="F832" i="42"/>
  <c r="F815" i="42"/>
  <c r="F798" i="42"/>
  <c r="G957" i="41"/>
  <c r="G958" i="41"/>
  <c r="G959" i="41"/>
  <c r="G960" i="41"/>
  <c r="G961" i="41"/>
  <c r="G962" i="41"/>
  <c r="G963" i="41"/>
  <c r="G964" i="41"/>
  <c r="G965" i="41"/>
  <c r="G966" i="41"/>
  <c r="G967" i="41"/>
  <c r="G968" i="41"/>
  <c r="G969" i="41"/>
  <c r="G970" i="41"/>
  <c r="G971" i="41"/>
  <c r="G972" i="41"/>
  <c r="G973" i="41"/>
  <c r="G974" i="41"/>
  <c r="G975" i="41"/>
  <c r="G976" i="41"/>
  <c r="G977" i="41"/>
  <c r="G978" i="41"/>
  <c r="G979" i="41"/>
  <c r="G980" i="41"/>
  <c r="G981" i="41"/>
  <c r="G982" i="41"/>
  <c r="G983" i="41"/>
  <c r="G984" i="41"/>
  <c r="G985" i="41"/>
  <c r="G986" i="41"/>
  <c r="G987" i="41"/>
  <c r="G988" i="41"/>
  <c r="G989" i="41"/>
  <c r="G990" i="41"/>
  <c r="G991" i="41"/>
  <c r="G992" i="41"/>
  <c r="G993" i="41"/>
  <c r="G994" i="41"/>
  <c r="G995" i="41"/>
  <c r="G996" i="41"/>
  <c r="G997" i="41"/>
  <c r="G998" i="41"/>
  <c r="G999" i="41"/>
  <c r="G1000" i="41"/>
  <c r="G1001" i="41"/>
  <c r="G1002" i="41"/>
  <c r="G1003" i="41"/>
  <c r="G1004" i="41"/>
  <c r="G1005" i="41"/>
  <c r="G1006" i="41"/>
  <c r="G1007" i="41"/>
  <c r="G1008" i="41"/>
  <c r="G1009" i="41"/>
  <c r="G1010" i="41"/>
  <c r="G1011" i="41"/>
  <c r="G1012" i="41"/>
  <c r="G1013" i="41"/>
  <c r="G1014" i="41"/>
  <c r="G1015" i="41"/>
  <c r="G1016" i="41"/>
  <c r="G1017" i="41"/>
  <c r="G1018" i="41"/>
  <c r="G1019" i="41"/>
  <c r="G1020" i="41"/>
  <c r="G1021" i="41"/>
  <c r="G1022" i="41"/>
  <c r="G1023" i="41"/>
  <c r="G1024" i="41"/>
  <c r="G1025" i="41"/>
  <c r="G1026" i="41"/>
  <c r="G1027" i="41"/>
  <c r="G1028" i="41"/>
  <c r="G1029" i="41"/>
  <c r="G1030" i="41"/>
  <c r="G1031" i="41"/>
  <c r="G1032" i="41"/>
  <c r="G1033" i="41"/>
  <c r="G1034" i="41"/>
  <c r="G1035" i="41"/>
  <c r="G1036" i="41"/>
  <c r="G1037" i="41"/>
  <c r="G1038" i="41"/>
  <c r="G1039" i="41"/>
  <c r="G643" i="41"/>
  <c r="G644" i="41"/>
  <c r="G650" i="41"/>
  <c r="G655" i="41"/>
  <c r="G657" i="41"/>
  <c r="G659" i="41"/>
  <c r="G661" i="41"/>
  <c r="F650" i="41"/>
  <c r="F655" i="41"/>
  <c r="G632" i="41"/>
  <c r="G610" i="41"/>
  <c r="G596" i="41"/>
  <c r="G573" i="41"/>
  <c r="G557" i="41"/>
  <c r="G542" i="41"/>
  <c r="G493" i="41"/>
  <c r="G492" i="41"/>
  <c r="F660" i="41"/>
  <c r="E661" i="41"/>
  <c r="F658" i="41"/>
  <c r="E659" i="41"/>
  <c r="F656" i="41"/>
  <c r="E657" i="41"/>
  <c r="F644" i="41"/>
  <c r="F643" i="41"/>
  <c r="F631" i="41"/>
  <c r="E632" i="41"/>
  <c r="F609" i="41"/>
  <c r="E598" i="41"/>
  <c r="F597" i="41"/>
  <c r="F595" i="41"/>
  <c r="E596" i="41"/>
  <c r="F572" i="41"/>
  <c r="E573" i="41"/>
  <c r="F556" i="41"/>
  <c r="E557" i="41"/>
  <c r="H201" i="41"/>
  <c r="H200" i="41"/>
  <c r="H199" i="41"/>
  <c r="H198" i="41"/>
  <c r="H197" i="41"/>
  <c r="H196" i="41"/>
  <c r="H195" i="41"/>
  <c r="H194" i="41"/>
  <c r="H193" i="41"/>
  <c r="H192" i="41"/>
  <c r="H191" i="41"/>
  <c r="H190" i="41"/>
  <c r="H189" i="41"/>
  <c r="H188" i="41"/>
  <c r="H187" i="41"/>
  <c r="H186" i="41"/>
  <c r="H185" i="41"/>
  <c r="H184" i="41"/>
  <c r="G201" i="41"/>
  <c r="G200" i="41"/>
  <c r="G199" i="41"/>
  <c r="G198" i="41"/>
  <c r="G197" i="41"/>
  <c r="G196" i="41"/>
  <c r="G195" i="41"/>
  <c r="G194" i="41"/>
  <c r="G193" i="41"/>
  <c r="G192" i="41"/>
  <c r="G191" i="41"/>
  <c r="G190" i="41"/>
  <c r="G189" i="41"/>
  <c r="G188" i="41"/>
  <c r="G187" i="41"/>
  <c r="G208" i="41"/>
  <c r="G209" i="41"/>
  <c r="G210" i="41"/>
  <c r="G211" i="41"/>
  <c r="G212" i="41"/>
  <c r="G213" i="41"/>
  <c r="G214" i="41"/>
  <c r="G215" i="41"/>
  <c r="G216" i="41"/>
  <c r="G217" i="41"/>
  <c r="G218" i="41"/>
  <c r="G219" i="41"/>
  <c r="G220" i="41"/>
  <c r="G221" i="41"/>
  <c r="G222" i="41"/>
  <c r="F542" i="41"/>
  <c r="E655" i="41"/>
  <c r="E650" i="41"/>
  <c r="E644" i="41"/>
  <c r="E643" i="41"/>
  <c r="F89" i="47"/>
  <c r="E499" i="41"/>
  <c r="F499" i="41"/>
  <c r="E500" i="41"/>
  <c r="F500" i="41"/>
  <c r="H491" i="41"/>
  <c r="H490" i="41"/>
  <c r="H489" i="41"/>
  <c r="H488" i="41"/>
  <c r="H487" i="41"/>
  <c r="H486" i="41"/>
  <c r="H485" i="41"/>
  <c r="H483" i="41"/>
  <c r="H482" i="41"/>
  <c r="H481" i="41"/>
  <c r="H480" i="41"/>
  <c r="H479" i="41"/>
  <c r="H478" i="41"/>
  <c r="H477" i="41"/>
  <c r="H476" i="41"/>
  <c r="H475" i="41"/>
  <c r="H474" i="41"/>
  <c r="H472" i="41"/>
  <c r="H471" i="41"/>
  <c r="H470" i="41"/>
  <c r="H469" i="41"/>
  <c r="H468" i="41"/>
  <c r="H467" i="41"/>
  <c r="H466" i="41"/>
  <c r="H465" i="41"/>
  <c r="H464" i="41"/>
  <c r="H463" i="41"/>
  <c r="H461" i="41"/>
  <c r="H460" i="41"/>
  <c r="H459" i="41"/>
  <c r="H458" i="41"/>
  <c r="H457" i="41"/>
  <c r="H456" i="41"/>
  <c r="H455" i="41"/>
  <c r="H454" i="41"/>
  <c r="H453" i="41"/>
  <c r="H452" i="41"/>
  <c r="H450" i="41"/>
  <c r="H449" i="41"/>
  <c r="H448" i="41"/>
  <c r="H447" i="41"/>
  <c r="H446" i="41"/>
  <c r="H445" i="41"/>
  <c r="G491" i="41"/>
  <c r="G490" i="41"/>
  <c r="G489" i="41"/>
  <c r="G488" i="41"/>
  <c r="G487" i="41"/>
  <c r="G486" i="41"/>
  <c r="G485" i="41"/>
  <c r="G483" i="41"/>
  <c r="G482" i="41"/>
  <c r="G481" i="41"/>
  <c r="G480" i="41"/>
  <c r="G479" i="41"/>
  <c r="G478" i="41"/>
  <c r="G477" i="41"/>
  <c r="G476" i="41"/>
  <c r="G475" i="41"/>
  <c r="G474" i="41"/>
  <c r="G472" i="41"/>
  <c r="G471" i="41"/>
  <c r="G470" i="41"/>
  <c r="G469" i="41"/>
  <c r="G468" i="41"/>
  <c r="G467" i="41"/>
  <c r="G466" i="41"/>
  <c r="G465" i="41"/>
  <c r="G464" i="41"/>
  <c r="G463" i="41"/>
  <c r="G461" i="41"/>
  <c r="G460" i="41"/>
  <c r="G459" i="41"/>
  <c r="G458" i="41"/>
  <c r="G457" i="41"/>
  <c r="G456" i="41"/>
  <c r="G455" i="41"/>
  <c r="G454" i="41"/>
  <c r="G453" i="41"/>
  <c r="G452" i="41"/>
  <c r="G450" i="41"/>
  <c r="G449" i="41"/>
  <c r="G448" i="41"/>
  <c r="G447" i="41"/>
  <c r="G446" i="41"/>
  <c r="H431" i="41"/>
  <c r="G431" i="41"/>
  <c r="H430" i="41"/>
  <c r="G430" i="41"/>
  <c r="H429" i="41"/>
  <c r="G429" i="41"/>
  <c r="H428" i="41"/>
  <c r="G428" i="41"/>
  <c r="H427" i="41"/>
  <c r="G427" i="41"/>
  <c r="G424" i="41"/>
  <c r="G359" i="41"/>
  <c r="G358" i="41"/>
  <c r="G353" i="41"/>
  <c r="G352" i="41"/>
  <c r="E542" i="41"/>
  <c r="H27" i="41"/>
  <c r="H176" i="41"/>
  <c r="H260" i="41"/>
  <c r="H261" i="41"/>
  <c r="H504" i="41"/>
  <c r="H505" i="41"/>
  <c r="H506" i="41"/>
  <c r="H507" i="41"/>
  <c r="H508" i="41"/>
  <c r="H509" i="41"/>
  <c r="H510" i="41"/>
  <c r="H511" i="41"/>
  <c r="H512" i="41"/>
  <c r="H513" i="41"/>
  <c r="H514" i="41"/>
  <c r="H515" i="41"/>
  <c r="H516" i="41"/>
  <c r="H517" i="41"/>
  <c r="H518" i="41"/>
  <c r="H519" i="41"/>
  <c r="H520" i="41"/>
  <c r="H521" i="41"/>
  <c r="H522" i="41"/>
  <c r="H523" i="41"/>
  <c r="H524" i="41"/>
  <c r="G504" i="41"/>
  <c r="F231" i="41"/>
  <c r="E232" i="41"/>
  <c r="H231" i="41"/>
  <c r="G232" i="41"/>
  <c r="H533" i="41"/>
  <c r="H493" i="41" l="1"/>
  <c r="H492" i="41"/>
  <c r="H444" i="41"/>
  <c r="H443" i="41"/>
  <c r="H442" i="41"/>
  <c r="H441" i="41"/>
  <c r="H439" i="41"/>
  <c r="H438" i="41"/>
  <c r="H437" i="41"/>
  <c r="H494" i="41"/>
  <c r="H348" i="41"/>
  <c r="H347" i="41"/>
  <c r="H346" i="41"/>
  <c r="H342" i="41"/>
  <c r="H341" i="41"/>
  <c r="H340" i="41"/>
  <c r="H339" i="41"/>
  <c r="H334" i="41"/>
  <c r="H333" i="41"/>
  <c r="H332" i="41"/>
  <c r="H331" i="41"/>
  <c r="H330" i="41"/>
  <c r="H325" i="41"/>
  <c r="H324" i="41"/>
  <c r="H323" i="41"/>
  <c r="H322" i="41"/>
  <c r="H321" i="41"/>
  <c r="H320" i="41"/>
  <c r="H316" i="41"/>
  <c r="H315" i="41"/>
  <c r="H314" i="41"/>
  <c r="H313" i="41"/>
  <c r="H312" i="41"/>
  <c r="H311" i="41"/>
  <c r="H310" i="41"/>
  <c r="H309" i="41"/>
  <c r="H305" i="41"/>
  <c r="H304" i="41"/>
  <c r="H300" i="41"/>
  <c r="H299" i="41"/>
  <c r="H298" i="41"/>
  <c r="H297" i="41"/>
  <c r="H296" i="41"/>
  <c r="H295" i="41"/>
  <c r="H294" i="41"/>
  <c r="H293" i="41"/>
  <c r="H290" i="41"/>
  <c r="H289" i="41"/>
  <c r="H288" i="41"/>
  <c r="H287" i="41"/>
  <c r="H286" i="41"/>
  <c r="H285" i="41"/>
  <c r="H284" i="41"/>
  <c r="H283" i="41"/>
  <c r="H279" i="41"/>
  <c r="H278" i="41"/>
  <c r="H277" i="41"/>
  <c r="H262" i="41"/>
  <c r="H259" i="41"/>
  <c r="H255" i="41"/>
  <c r="H254" i="41"/>
  <c r="H253" i="41"/>
  <c r="H252" i="41"/>
  <c r="H251" i="41"/>
  <c r="H250" i="41"/>
  <c r="H249" i="41"/>
  <c r="H248" i="41"/>
  <c r="H247" i="41"/>
  <c r="H246" i="41"/>
  <c r="H245" i="41"/>
  <c r="H244" i="41"/>
  <c r="H243" i="41"/>
  <c r="H242" i="41"/>
  <c r="H241" i="41"/>
  <c r="H240" i="41"/>
  <c r="H239" i="41"/>
  <c r="H238" i="41"/>
  <c r="H237" i="41"/>
  <c r="H236" i="41"/>
  <c r="H235" i="41"/>
  <c r="H234" i="41"/>
  <c r="H233" i="41"/>
  <c r="G231" i="41"/>
  <c r="H232" i="41"/>
  <c r="F232" i="41"/>
  <c r="H226" i="41"/>
  <c r="H224" i="41"/>
  <c r="H223" i="41"/>
  <c r="H222" i="41"/>
  <c r="H221" i="41"/>
  <c r="H220" i="41"/>
  <c r="H219" i="41"/>
  <c r="H218" i="41"/>
  <c r="H217" i="41"/>
  <c r="H216" i="41"/>
  <c r="H215" i="41"/>
  <c r="H214" i="41"/>
  <c r="H213" i="41"/>
  <c r="H212" i="41"/>
  <c r="H211" i="41"/>
  <c r="H210" i="41"/>
  <c r="H209" i="41"/>
  <c r="H208" i="41"/>
  <c r="H207" i="41"/>
  <c r="H206" i="41"/>
  <c r="H205" i="41"/>
  <c r="H177" i="41"/>
  <c r="G178" i="41"/>
  <c r="F178" i="41"/>
  <c r="E178" i="41"/>
  <c r="H168" i="41"/>
  <c r="H124" i="41"/>
  <c r="H123" i="41"/>
  <c r="H122" i="41"/>
  <c r="H119" i="41"/>
  <c r="H118" i="41"/>
  <c r="H116" i="41"/>
  <c r="H115" i="41"/>
  <c r="H114" i="41"/>
  <c r="H113" i="41"/>
  <c r="H112" i="41"/>
  <c r="H111" i="41"/>
  <c r="H108" i="41"/>
  <c r="H107" i="41"/>
  <c r="H106" i="41"/>
  <c r="H105" i="41"/>
  <c r="H101" i="41"/>
  <c r="H100" i="41"/>
  <c r="H99" i="41"/>
  <c r="H88" i="41"/>
  <c r="H76" i="41"/>
  <c r="H72" i="41"/>
  <c r="H71" i="41"/>
  <c r="H70" i="41"/>
  <c r="H69" i="41"/>
  <c r="G69" i="41"/>
  <c r="H68" i="41"/>
  <c r="H65" i="41"/>
  <c r="H60" i="41"/>
  <c r="H59" i="41"/>
  <c r="H46" i="41"/>
  <c r="H44" i="41"/>
  <c r="H45" i="41"/>
  <c r="H43" i="41"/>
  <c r="H42" i="41"/>
  <c r="H40" i="41"/>
  <c r="H39" i="41"/>
  <c r="H41" i="41"/>
  <c r="H37" i="41"/>
  <c r="H38" i="41"/>
  <c r="H30" i="41"/>
  <c r="H29" i="41"/>
  <c r="G28" i="41"/>
  <c r="H26" i="41"/>
  <c r="H25" i="41"/>
  <c r="H24" i="41"/>
  <c r="H22" i="41"/>
  <c r="H21" i="41"/>
  <c r="H18" i="41"/>
  <c r="H16" i="41"/>
  <c r="H15" i="41"/>
  <c r="H14" i="41"/>
  <c r="H5" i="41"/>
  <c r="G533" i="41"/>
  <c r="G524" i="41"/>
  <c r="G523" i="41"/>
  <c r="G261" i="41"/>
  <c r="G260" i="41"/>
  <c r="G234" i="41"/>
  <c r="G226" i="41"/>
  <c r="G522" i="41"/>
  <c r="G521" i="41"/>
  <c r="G520" i="41"/>
  <c r="G519" i="41"/>
  <c r="G518" i="41"/>
  <c r="G517" i="41"/>
  <c r="G516" i="41"/>
  <c r="G515" i="41"/>
  <c r="G514" i="41"/>
  <c r="G513" i="41"/>
  <c r="G512" i="41"/>
  <c r="G511" i="41"/>
  <c r="G510" i="41"/>
  <c r="G509" i="41"/>
  <c r="G508" i="41"/>
  <c r="G507" i="41"/>
  <c r="G506" i="41"/>
  <c r="G505" i="41"/>
  <c r="G445" i="41"/>
  <c r="G444" i="41"/>
  <c r="G443" i="41"/>
  <c r="G442" i="41"/>
  <c r="G441" i="41"/>
  <c r="G439" i="41"/>
  <c r="G438" i="41"/>
  <c r="G437" i="41"/>
  <c r="G415" i="41"/>
  <c r="G414" i="41"/>
  <c r="G413" i="41"/>
  <c r="G412" i="41"/>
  <c r="G411" i="41"/>
  <c r="G410" i="41"/>
  <c r="G409" i="41"/>
  <c r="G408" i="41"/>
  <c r="G407" i="41"/>
  <c r="G406" i="41"/>
  <c r="G405" i="41"/>
  <c r="G404" i="41"/>
  <c r="G403" i="41"/>
  <c r="G402" i="41"/>
  <c r="G401" i="41"/>
  <c r="G400" i="41"/>
  <c r="G399" i="41"/>
  <c r="G398" i="41"/>
  <c r="G397" i="41"/>
  <c r="G396" i="41"/>
  <c r="G395" i="41"/>
  <c r="G394" i="41"/>
  <c r="G393" i="41"/>
  <c r="G392" i="41"/>
  <c r="G391" i="41"/>
  <c r="G390" i="41"/>
  <c r="G389" i="41"/>
  <c r="G388" i="41"/>
  <c r="G387" i="41"/>
  <c r="G386" i="41"/>
  <c r="G385" i="41"/>
  <c r="G384" i="41"/>
  <c r="G383" i="41"/>
  <c r="G382" i="41"/>
  <c r="G381" i="41"/>
  <c r="G380" i="41"/>
  <c r="G379" i="41"/>
  <c r="G378" i="41"/>
  <c r="G377" i="41"/>
  <c r="G376" i="41"/>
  <c r="G375" i="41"/>
  <c r="G374" i="41"/>
  <c r="G373" i="41"/>
  <c r="G372" i="41"/>
  <c r="G371" i="41"/>
  <c r="G370" i="41"/>
  <c r="G369" i="41"/>
  <c r="G368" i="41"/>
  <c r="G367" i="41"/>
  <c r="G366" i="41"/>
  <c r="G365" i="41"/>
  <c r="G364" i="41"/>
  <c r="G363" i="41"/>
  <c r="G348" i="41"/>
  <c r="G347" i="41"/>
  <c r="G346" i="41"/>
  <c r="G342" i="41"/>
  <c r="G341" i="41"/>
  <c r="G340" i="41"/>
  <c r="G339" i="41"/>
  <c r="G334" i="41"/>
  <c r="G333" i="41"/>
  <c r="G332" i="41"/>
  <c r="G331" i="41"/>
  <c r="G330" i="41"/>
  <c r="G325" i="41"/>
  <c r="G324" i="41"/>
  <c r="G323" i="41"/>
  <c r="G322" i="41"/>
  <c r="G321" i="41"/>
  <c r="G320" i="41"/>
  <c r="G316" i="41"/>
  <c r="G315" i="41"/>
  <c r="G314" i="41"/>
  <c r="G313" i="41"/>
  <c r="G312" i="41"/>
  <c r="G311" i="41"/>
  <c r="G310" i="41"/>
  <c r="G309" i="41"/>
  <c r="G305" i="41"/>
  <c r="G304" i="41"/>
  <c r="G300" i="41"/>
  <c r="G299" i="41"/>
  <c r="G298" i="41"/>
  <c r="G297" i="41"/>
  <c r="G296" i="41"/>
  <c r="G295" i="41"/>
  <c r="G293" i="41"/>
  <c r="G294" i="41"/>
  <c r="G290" i="41"/>
  <c r="G289" i="41"/>
  <c r="G288" i="41"/>
  <c r="G287" i="41"/>
  <c r="G286" i="41"/>
  <c r="G285" i="41"/>
  <c r="G284" i="41"/>
  <c r="G283" i="41"/>
  <c r="G279" i="41"/>
  <c r="G278" i="41"/>
  <c r="G277" i="41"/>
  <c r="G262" i="41"/>
  <c r="F262" i="41"/>
  <c r="E262" i="41"/>
  <c r="G259" i="41"/>
  <c r="G255" i="41"/>
  <c r="G254" i="41"/>
  <c r="G253" i="41"/>
  <c r="G252" i="41"/>
  <c r="G251" i="41"/>
  <c r="G250" i="41"/>
  <c r="G249" i="41"/>
  <c r="G248" i="41"/>
  <c r="G247" i="41"/>
  <c r="G246" i="41"/>
  <c r="G245" i="41"/>
  <c r="G244" i="41"/>
  <c r="G243" i="41"/>
  <c r="G242" i="41"/>
  <c r="G241" i="41"/>
  <c r="G240" i="41"/>
  <c r="G239" i="41"/>
  <c r="G238" i="41"/>
  <c r="G237" i="41"/>
  <c r="G236" i="41"/>
  <c r="G235" i="41"/>
  <c r="G233" i="41"/>
  <c r="G224" i="41"/>
  <c r="G223" i="41"/>
  <c r="F177" i="41"/>
  <c r="E177" i="41"/>
  <c r="G176" i="41"/>
  <c r="G168" i="41"/>
  <c r="G124" i="41"/>
  <c r="G123" i="41"/>
  <c r="G122" i="41"/>
  <c r="G119" i="41"/>
  <c r="G118" i="41"/>
  <c r="G116" i="41"/>
  <c r="G115" i="41"/>
  <c r="G114" i="41"/>
  <c r="G113" i="41"/>
  <c r="G112" i="41"/>
  <c r="G111" i="41"/>
  <c r="G108" i="41"/>
  <c r="G107" i="41"/>
  <c r="G101" i="41"/>
  <c r="G100" i="41"/>
  <c r="G99" i="41"/>
  <c r="G88" i="41"/>
  <c r="G76" i="41"/>
  <c r="G72" i="41"/>
  <c r="G71" i="41"/>
  <c r="G70" i="41"/>
  <c r="G68" i="41"/>
  <c r="G65" i="41"/>
  <c r="G60" i="41"/>
  <c r="G59" i="41"/>
  <c r="G46" i="41"/>
  <c r="G45" i="41"/>
  <c r="G44" i="41"/>
  <c r="G43" i="41"/>
  <c r="G42" i="41"/>
  <c r="G41" i="41"/>
  <c r="G38" i="41"/>
  <c r="G37" i="41"/>
  <c r="G30" i="41"/>
  <c r="G29" i="41"/>
  <c r="G26" i="41"/>
  <c r="G25" i="41"/>
  <c r="G23" i="41"/>
  <c r="G21" i="41"/>
  <c r="G18" i="41"/>
  <c r="G16" i="41"/>
  <c r="G15" i="41"/>
  <c r="G14" i="41"/>
  <c r="G5" i="41"/>
  <c r="F533" i="41"/>
  <c r="F348" i="41"/>
  <c r="F347" i="41"/>
  <c r="F346" i="41"/>
  <c r="F342" i="41"/>
  <c r="F341" i="41"/>
  <c r="F340" i="41"/>
  <c r="F339" i="41"/>
  <c r="F334" i="41"/>
  <c r="F333" i="41"/>
  <c r="F332" i="41"/>
  <c r="F331" i="41"/>
  <c r="F330" i="41"/>
  <c r="F325" i="41"/>
  <c r="F324" i="41"/>
  <c r="F323" i="41"/>
  <c r="F322" i="41"/>
  <c r="F321" i="41"/>
  <c r="F320" i="41"/>
  <c r="F316" i="41"/>
  <c r="F315" i="41"/>
  <c r="F314" i="41"/>
  <c r="F313" i="41"/>
  <c r="F312" i="41"/>
  <c r="F311" i="41"/>
  <c r="F310" i="41"/>
  <c r="F309" i="41"/>
  <c r="F305" i="41"/>
  <c r="F304" i="41"/>
  <c r="F300" i="41"/>
  <c r="F299" i="41"/>
  <c r="F298" i="41"/>
  <c r="F297" i="41"/>
  <c r="F296" i="41"/>
  <c r="F295" i="41"/>
  <c r="F294" i="41"/>
  <c r="F290" i="41"/>
  <c r="F277" i="41"/>
  <c r="F259" i="41"/>
  <c r="F226" i="41"/>
  <c r="E226" i="41"/>
  <c r="F224" i="41"/>
  <c r="F223" i="41"/>
  <c r="F124" i="41"/>
  <c r="F123" i="41"/>
  <c r="F122" i="41"/>
  <c r="F119" i="41"/>
  <c r="F118" i="41"/>
  <c r="F116" i="41"/>
  <c r="F115" i="41"/>
  <c r="F114" i="41"/>
  <c r="F113" i="41"/>
  <c r="F112" i="41"/>
  <c r="F111" i="41"/>
  <c r="F108" i="41"/>
  <c r="F107" i="41"/>
  <c r="F106" i="41"/>
  <c r="F105" i="41"/>
  <c r="F101" i="41"/>
  <c r="F100" i="41"/>
  <c r="F99" i="41"/>
  <c r="F88" i="41"/>
  <c r="F76" i="41"/>
  <c r="F71" i="41"/>
  <c r="F70" i="41"/>
  <c r="F69" i="41"/>
  <c r="F68" i="41"/>
  <c r="E533" i="41"/>
  <c r="E351" i="41"/>
  <c r="E350" i="41"/>
  <c r="E348" i="41"/>
  <c r="E347" i="41"/>
  <c r="E321" i="41"/>
  <c r="E320" i="41"/>
  <c r="E315" i="41"/>
  <c r="E295" i="41"/>
  <c r="E294" i="41"/>
  <c r="E290" i="41"/>
  <c r="E289" i="41"/>
  <c r="E277" i="41"/>
  <c r="E259" i="41"/>
  <c r="F861" i="42"/>
  <c r="F844" i="42"/>
  <c r="F827" i="42"/>
  <c r="F810" i="42"/>
  <c r="F793" i="42"/>
  <c r="B7" i="49"/>
  <c r="E231" i="41"/>
  <c r="E224" i="41"/>
  <c r="E223" i="41"/>
  <c r="E111" i="41"/>
  <c r="E124" i="41"/>
  <c r="E123" i="41"/>
  <c r="E122" i="41"/>
  <c r="E119" i="41"/>
  <c r="E118" i="41"/>
  <c r="E116" i="41"/>
  <c r="E115" i="41"/>
  <c r="E114" i="41"/>
  <c r="E113" i="41"/>
  <c r="E112" i="41"/>
  <c r="E108" i="41"/>
  <c r="E107" i="41"/>
  <c r="E101" i="41"/>
  <c r="E100" i="41"/>
  <c r="E99" i="41"/>
  <c r="E88" i="41"/>
  <c r="C42" i="17"/>
  <c r="E76" i="41"/>
  <c r="E71" i="41"/>
  <c r="E70" i="41"/>
  <c r="E69" i="41"/>
  <c r="E68" i="41"/>
  <c r="F40" i="41"/>
  <c r="F39" i="41"/>
  <c r="F29" i="41"/>
  <c r="F27" i="41"/>
  <c r="F25" i="41"/>
  <c r="F24" i="41"/>
  <c r="F65" i="41"/>
  <c r="F60" i="41"/>
  <c r="F59" i="41"/>
  <c r="F46" i="41"/>
  <c r="F45" i="41"/>
  <c r="E45" i="41"/>
  <c r="F44" i="41"/>
  <c r="F43" i="41"/>
  <c r="F42" i="41"/>
  <c r="F41" i="41"/>
  <c r="E41" i="41"/>
  <c r="F38" i="41"/>
  <c r="F37" i="41"/>
  <c r="E38" i="41"/>
  <c r="F30" i="41"/>
  <c r="E30" i="41"/>
  <c r="E28" i="41"/>
  <c r="F26" i="41"/>
  <c r="E26" i="41"/>
  <c r="F22" i="41"/>
  <c r="E23" i="41"/>
  <c r="F21" i="41"/>
  <c r="F18" i="41"/>
  <c r="F16" i="41"/>
  <c r="F15" i="41"/>
  <c r="F14" i="41"/>
  <c r="F5" i="41"/>
  <c r="E5" i="41"/>
  <c r="E65" i="41"/>
  <c r="E60" i="41"/>
  <c r="E59" i="41"/>
  <c r="E46" i="41"/>
  <c r="E44" i="41"/>
  <c r="E43" i="41"/>
  <c r="E42" i="41"/>
  <c r="E37" i="41"/>
  <c r="E25" i="41"/>
  <c r="E29" i="41"/>
  <c r="E18" i="41"/>
  <c r="E21" i="41"/>
  <c r="E16" i="41"/>
  <c r="E15" i="41"/>
  <c r="E14" i="41"/>
  <c r="C1088" i="35" a="1"/>
  <c r="E1088" i="35" a="1"/>
  <c r="C1088" i="35" l="1"/>
  <c r="E1088" i="35"/>
  <c r="U1088" i="35" s="1"/>
  <c r="H1088" i="35"/>
  <c r="B17" i="2"/>
  <c r="C724" i="37"/>
  <c r="C714" i="37"/>
  <c r="C704" i="37"/>
  <c r="C694" i="37"/>
  <c r="C684" i="37"/>
  <c r="B8" i="2"/>
  <c r="G1088" i="35" l="1"/>
  <c r="B1093" i="55"/>
  <c r="W1088" i="35"/>
  <c r="Y1088" i="35"/>
  <c r="K1088" i="35"/>
  <c r="J1088" i="35" s="1" a="1"/>
  <c r="J1088" i="35" s="1"/>
  <c r="D1088" i="35" s="1"/>
  <c r="C1093" i="55" s="1"/>
  <c r="C206" i="37"/>
  <c r="C725" i="37"/>
  <c r="C109" i="37"/>
  <c r="B35" i="2" s="1"/>
  <c r="D30" i="42"/>
  <c r="C374" i="37"/>
  <c r="B15" i="2" s="1"/>
  <c r="D683" i="42"/>
  <c r="E683" i="42"/>
  <c r="G683" i="42"/>
  <c r="D655" i="42"/>
  <c r="E655" i="42"/>
  <c r="G655" i="42"/>
  <c r="D627" i="42"/>
  <c r="E627" i="42"/>
  <c r="G627" i="42"/>
  <c r="D599" i="42"/>
  <c r="E599" i="42"/>
  <c r="G599" i="42"/>
  <c r="G571" i="42"/>
  <c r="D682" i="42"/>
  <c r="E682" i="42"/>
  <c r="G682" i="42"/>
  <c r="D654" i="42"/>
  <c r="E654" i="42"/>
  <c r="G654" i="42"/>
  <c r="D626" i="42"/>
  <c r="E626" i="42"/>
  <c r="G626" i="42"/>
  <c r="D598" i="42"/>
  <c r="E598" i="42"/>
  <c r="G598" i="42"/>
  <c r="G570" i="42"/>
  <c r="D681" i="42"/>
  <c r="E681" i="42"/>
  <c r="G681" i="42"/>
  <c r="D653" i="42"/>
  <c r="E653" i="42"/>
  <c r="G653" i="42"/>
  <c r="D625" i="42"/>
  <c r="E625" i="42"/>
  <c r="G625" i="42"/>
  <c r="D597" i="42"/>
  <c r="E597" i="42"/>
  <c r="G597" i="42"/>
  <c r="G569" i="42"/>
  <c r="D680" i="42"/>
  <c r="E680" i="42"/>
  <c r="F680" i="42"/>
  <c r="D652" i="42"/>
  <c r="E652" i="42"/>
  <c r="F652" i="42"/>
  <c r="D624" i="42"/>
  <c r="E624" i="42"/>
  <c r="F624" i="42"/>
  <c r="D596" i="42"/>
  <c r="E596" i="42"/>
  <c r="F596" i="42"/>
  <c r="F568" i="42"/>
  <c r="D679" i="42"/>
  <c r="E679" i="42"/>
  <c r="F679" i="42"/>
  <c r="D651" i="42"/>
  <c r="E651" i="42"/>
  <c r="F651" i="42"/>
  <c r="D623" i="42"/>
  <c r="E623" i="42"/>
  <c r="F623" i="42"/>
  <c r="D595" i="42"/>
  <c r="E595" i="42"/>
  <c r="F595" i="42"/>
  <c r="F567" i="42"/>
  <c r="D678" i="42"/>
  <c r="E678" i="42"/>
  <c r="G678" i="42"/>
  <c r="D650" i="42"/>
  <c r="E650" i="42"/>
  <c r="G650" i="42"/>
  <c r="D622" i="42"/>
  <c r="E622" i="42"/>
  <c r="G622" i="42"/>
  <c r="D594" i="42"/>
  <c r="E594" i="42"/>
  <c r="G594" i="42"/>
  <c r="G566" i="42"/>
  <c r="D677" i="42"/>
  <c r="E677" i="42"/>
  <c r="G677" i="42"/>
  <c r="D649" i="42"/>
  <c r="E649" i="42"/>
  <c r="G649" i="42"/>
  <c r="D621" i="42"/>
  <c r="E621" i="42"/>
  <c r="G621" i="42"/>
  <c r="D593" i="42"/>
  <c r="E593" i="42"/>
  <c r="G593" i="42"/>
  <c r="G565" i="42"/>
  <c r="D564" i="42"/>
  <c r="D676" i="42"/>
  <c r="D648" i="42"/>
  <c r="D620" i="42"/>
  <c r="D592" i="42"/>
  <c r="E674" i="42"/>
  <c r="E646" i="42"/>
  <c r="E618" i="42"/>
  <c r="E590" i="42"/>
  <c r="E562" i="42"/>
  <c r="F701" i="42"/>
  <c r="F673" i="42"/>
  <c r="F645" i="42"/>
  <c r="F617" i="42"/>
  <c r="F589" i="42"/>
  <c r="G700" i="42"/>
  <c r="G672" i="42"/>
  <c r="G644" i="42"/>
  <c r="G616" i="42"/>
  <c r="G588" i="42"/>
  <c r="F699" i="42"/>
  <c r="F671" i="42"/>
  <c r="F643" i="42"/>
  <c r="F615" i="42"/>
  <c r="F587" i="42"/>
  <c r="F698" i="42"/>
  <c r="F642" i="42"/>
  <c r="F670" i="42"/>
  <c r="F614" i="42"/>
  <c r="F586" i="42"/>
  <c r="F697" i="42"/>
  <c r="F669" i="42"/>
  <c r="F641" i="42"/>
  <c r="F613" i="42"/>
  <c r="F585" i="42"/>
  <c r="F696" i="42"/>
  <c r="F668" i="42"/>
  <c r="F640" i="42"/>
  <c r="F612" i="42"/>
  <c r="F584" i="42"/>
  <c r="F695" i="42"/>
  <c r="F667" i="42"/>
  <c r="F639" i="42"/>
  <c r="F611" i="42"/>
  <c r="F583" i="42"/>
  <c r="G693" i="42"/>
  <c r="G665" i="42"/>
  <c r="G637" i="42"/>
  <c r="G609" i="42"/>
  <c r="G581" i="42"/>
  <c r="E691" i="42"/>
  <c r="E663" i="42"/>
  <c r="E635" i="42"/>
  <c r="E607" i="42"/>
  <c r="E579" i="42"/>
  <c r="G689" i="42"/>
  <c r="G661" i="42"/>
  <c r="G633" i="42"/>
  <c r="G605" i="42"/>
  <c r="G577" i="42"/>
  <c r="G688" i="42"/>
  <c r="G660" i="42"/>
  <c r="G632" i="42"/>
  <c r="G604" i="42"/>
  <c r="G576" i="42"/>
  <c r="F687" i="42"/>
  <c r="F659" i="42"/>
  <c r="F631" i="42"/>
  <c r="F603" i="42"/>
  <c r="F575" i="42"/>
  <c r="F686" i="42"/>
  <c r="F658" i="42"/>
  <c r="F630" i="42"/>
  <c r="F602" i="42"/>
  <c r="F574" i="42"/>
  <c r="E685" i="42"/>
  <c r="E657" i="42"/>
  <c r="E629" i="42"/>
  <c r="E601" i="42"/>
  <c r="E573" i="42"/>
  <c r="B36" i="17"/>
  <c r="F684" i="42"/>
  <c r="F656" i="42"/>
  <c r="F628" i="42"/>
  <c r="F600" i="42"/>
  <c r="F572" i="42"/>
  <c r="I538" i="42"/>
  <c r="I537" i="42"/>
  <c r="I536" i="42"/>
  <c r="H535" i="42"/>
  <c r="H534" i="42"/>
  <c r="I533" i="42"/>
  <c r="I532" i="42"/>
  <c r="G531" i="42"/>
  <c r="G529" i="42"/>
  <c r="I528" i="42"/>
  <c r="I527" i="42"/>
  <c r="I526" i="42"/>
  <c r="H525" i="42"/>
  <c r="H524" i="42"/>
  <c r="I523" i="42"/>
  <c r="I522" i="42"/>
  <c r="G521" i="42"/>
  <c r="G519" i="42"/>
  <c r="I518" i="42"/>
  <c r="I517" i="42"/>
  <c r="I516" i="42"/>
  <c r="H515" i="42"/>
  <c r="H514" i="42"/>
  <c r="I513" i="42"/>
  <c r="I512" i="42"/>
  <c r="G511" i="42"/>
  <c r="G509" i="42"/>
  <c r="I508" i="42"/>
  <c r="I507" i="42"/>
  <c r="I506" i="42"/>
  <c r="H505" i="42"/>
  <c r="H504" i="42"/>
  <c r="I503" i="42"/>
  <c r="I502" i="42"/>
  <c r="G501" i="42"/>
  <c r="G499" i="42"/>
  <c r="H538" i="35"/>
  <c r="H537" i="35"/>
  <c r="H536" i="35"/>
  <c r="H535" i="35"/>
  <c r="H534" i="35"/>
  <c r="H533" i="35"/>
  <c r="H532" i="35"/>
  <c r="H531" i="35"/>
  <c r="H530" i="35"/>
  <c r="H529" i="35"/>
  <c r="H528" i="35"/>
  <c r="H527" i="35"/>
  <c r="H526" i="35"/>
  <c r="H525" i="35"/>
  <c r="H524" i="35"/>
  <c r="H523" i="35"/>
  <c r="H522" i="35"/>
  <c r="H521" i="35"/>
  <c r="H520" i="35"/>
  <c r="H519" i="35"/>
  <c r="H518" i="35"/>
  <c r="H517" i="35"/>
  <c r="H516" i="35"/>
  <c r="H515" i="35"/>
  <c r="H514" i="35"/>
  <c r="H513" i="35"/>
  <c r="H512" i="35"/>
  <c r="H511" i="35"/>
  <c r="H510" i="35"/>
  <c r="H509" i="35"/>
  <c r="H508" i="35"/>
  <c r="H507" i="35"/>
  <c r="H506" i="35"/>
  <c r="H505" i="35"/>
  <c r="H504" i="35"/>
  <c r="H503" i="35"/>
  <c r="H502" i="35"/>
  <c r="H501" i="35"/>
  <c r="H500" i="35"/>
  <c r="H499" i="35"/>
  <c r="I498" i="42"/>
  <c r="I497" i="42"/>
  <c r="I496" i="42"/>
  <c r="H495" i="42"/>
  <c r="H494" i="42"/>
  <c r="I493" i="42"/>
  <c r="I492" i="42"/>
  <c r="G491" i="42"/>
  <c r="G489" i="42"/>
  <c r="H488" i="35"/>
  <c r="H498" i="35"/>
  <c r="H497" i="35"/>
  <c r="H496" i="35"/>
  <c r="H495" i="35"/>
  <c r="H494" i="35"/>
  <c r="H493" i="35"/>
  <c r="H492" i="35"/>
  <c r="H491" i="35"/>
  <c r="H490" i="35"/>
  <c r="H489" i="35"/>
  <c r="B94" i="47"/>
  <c r="H1028" i="35"/>
  <c r="H1027" i="35"/>
  <c r="H1026" i="35"/>
  <c r="H1025" i="35"/>
  <c r="H1024" i="35"/>
  <c r="H1023" i="35"/>
  <c r="H1022" i="35"/>
  <c r="H1021" i="35"/>
  <c r="H1020" i="35"/>
  <c r="H1019" i="35"/>
  <c r="H1018" i="35"/>
  <c r="H1017" i="35"/>
  <c r="H1016" i="35"/>
  <c r="H1015" i="35"/>
  <c r="H1014" i="35"/>
  <c r="H1013" i="35"/>
  <c r="H1012" i="35"/>
  <c r="H1011" i="35"/>
  <c r="H1010" i="35"/>
  <c r="H1009" i="35"/>
  <c r="H1008" i="35"/>
  <c r="H1007" i="35"/>
  <c r="H1006" i="35"/>
  <c r="H1005" i="35"/>
  <c r="H1004" i="35"/>
  <c r="H1003" i="35"/>
  <c r="H1002" i="35"/>
  <c r="H1001" i="35"/>
  <c r="H1000" i="35"/>
  <c r="H999" i="35"/>
  <c r="H998" i="35"/>
  <c r="H997" i="35"/>
  <c r="H996" i="35"/>
  <c r="H995" i="35"/>
  <c r="H994" i="35"/>
  <c r="H993" i="35"/>
  <c r="H992" i="35"/>
  <c r="H991" i="35"/>
  <c r="H990" i="35"/>
  <c r="H989" i="35"/>
  <c r="H988" i="35"/>
  <c r="H987" i="35"/>
  <c r="H986" i="35"/>
  <c r="H985" i="35"/>
  <c r="H984" i="35"/>
  <c r="H983" i="35"/>
  <c r="H982" i="35"/>
  <c r="H981" i="35"/>
  <c r="H980" i="35"/>
  <c r="H979" i="35"/>
  <c r="H978" i="35"/>
  <c r="H977" i="35"/>
  <c r="H976" i="35"/>
  <c r="H975" i="35"/>
  <c r="H974" i="35"/>
  <c r="H973" i="35"/>
  <c r="H972" i="35"/>
  <c r="H971" i="35"/>
  <c r="H970" i="35"/>
  <c r="H969" i="35"/>
  <c r="H968" i="35"/>
  <c r="H967" i="35"/>
  <c r="H966" i="35"/>
  <c r="H965" i="35"/>
  <c r="H964" i="35"/>
  <c r="H963" i="35"/>
  <c r="H962" i="35"/>
  <c r="H961" i="35"/>
  <c r="H960" i="35"/>
  <c r="H959" i="35"/>
  <c r="H958" i="35"/>
  <c r="H957" i="35"/>
  <c r="H956" i="35"/>
  <c r="H955" i="35"/>
  <c r="H954" i="35"/>
  <c r="H953" i="35"/>
  <c r="H952" i="35"/>
  <c r="H951" i="35"/>
  <c r="H950" i="35"/>
  <c r="H949" i="35"/>
  <c r="H948" i="35"/>
  <c r="H947" i="35"/>
  <c r="H946" i="35"/>
  <c r="H945" i="35"/>
  <c r="F718" i="42"/>
  <c r="F786" i="42"/>
  <c r="F769" i="42"/>
  <c r="F752" i="42"/>
  <c r="F735" i="42"/>
  <c r="G785" i="42"/>
  <c r="G768" i="42"/>
  <c r="G751" i="42"/>
  <c r="G734" i="42"/>
  <c r="G717" i="42"/>
  <c r="F784" i="42"/>
  <c r="F767" i="42"/>
  <c r="F750" i="42"/>
  <c r="F733" i="42"/>
  <c r="F716" i="42"/>
  <c r="F732" i="42"/>
  <c r="F783" i="42"/>
  <c r="F766" i="42"/>
  <c r="F749" i="42"/>
  <c r="F715" i="42"/>
  <c r="F782" i="42"/>
  <c r="F765" i="42"/>
  <c r="F748" i="42"/>
  <c r="F731" i="42"/>
  <c r="F714" i="42"/>
  <c r="F781" i="42"/>
  <c r="F764" i="42"/>
  <c r="F747" i="42"/>
  <c r="F730" i="42"/>
  <c r="F713" i="42"/>
  <c r="F780" i="42"/>
  <c r="F763" i="42"/>
  <c r="F746" i="42"/>
  <c r="F729" i="42"/>
  <c r="F712" i="42"/>
  <c r="E779" i="42"/>
  <c r="F779" i="42"/>
  <c r="E762" i="42"/>
  <c r="F762" i="42"/>
  <c r="E745" i="42"/>
  <c r="F745" i="42"/>
  <c r="E728" i="42"/>
  <c r="F728" i="42"/>
  <c r="E711" i="42"/>
  <c r="F711" i="42"/>
  <c r="G778" i="42"/>
  <c r="G761" i="42"/>
  <c r="G744" i="42"/>
  <c r="G727" i="42"/>
  <c r="G710" i="42"/>
  <c r="E776" i="42"/>
  <c r="E759" i="42"/>
  <c r="E742" i="42"/>
  <c r="E725" i="42"/>
  <c r="E708" i="42"/>
  <c r="G774" i="42"/>
  <c r="G757" i="42"/>
  <c r="G740" i="42"/>
  <c r="G723" i="42"/>
  <c r="G706" i="42"/>
  <c r="G773" i="42"/>
  <c r="G756" i="42"/>
  <c r="G739" i="42"/>
  <c r="G722" i="42"/>
  <c r="G705" i="42"/>
  <c r="F772" i="42"/>
  <c r="F755" i="42"/>
  <c r="F738" i="42"/>
  <c r="F721" i="42"/>
  <c r="F704" i="42"/>
  <c r="E720" i="42"/>
  <c r="E771" i="42"/>
  <c r="E754" i="42"/>
  <c r="E737" i="42"/>
  <c r="E703" i="42"/>
  <c r="E770" i="42"/>
  <c r="E753" i="42"/>
  <c r="E736" i="42"/>
  <c r="E719" i="42"/>
  <c r="E702" i="42"/>
  <c r="C719" i="37"/>
  <c r="B68" i="52" s="1"/>
  <c r="C709" i="37"/>
  <c r="B55" i="52" s="1"/>
  <c r="C699" i="37"/>
  <c r="B42" i="52" s="1"/>
  <c r="C689" i="37"/>
  <c r="B29" i="52" s="1"/>
  <c r="C718" i="37"/>
  <c r="B67" i="52" s="1"/>
  <c r="C708" i="37"/>
  <c r="B54" i="52" s="1"/>
  <c r="C698" i="37"/>
  <c r="B41" i="52" s="1"/>
  <c r="C688" i="37"/>
  <c r="B28" i="52" s="1"/>
  <c r="B73" i="52"/>
  <c r="B60" i="52"/>
  <c r="B47" i="52"/>
  <c r="B34" i="52"/>
  <c r="B21" i="52"/>
  <c r="F917" i="42"/>
  <c r="F907" i="42"/>
  <c r="F897" i="42"/>
  <c r="F887" i="42"/>
  <c r="F877" i="42"/>
  <c r="F923" i="42"/>
  <c r="F913" i="42"/>
  <c r="F903" i="42"/>
  <c r="F893" i="42"/>
  <c r="F883" i="42"/>
  <c r="D922" i="42"/>
  <c r="D912" i="42"/>
  <c r="D902" i="42"/>
  <c r="D892" i="42"/>
  <c r="D882" i="42"/>
  <c r="E920" i="42"/>
  <c r="E910" i="42"/>
  <c r="E900" i="42"/>
  <c r="E890" i="42"/>
  <c r="E880" i="42"/>
  <c r="F918" i="42"/>
  <c r="F908" i="42"/>
  <c r="F898" i="42"/>
  <c r="F888" i="42"/>
  <c r="F878" i="42"/>
  <c r="E915" i="42"/>
  <c r="E905" i="42"/>
  <c r="E895" i="42"/>
  <c r="E885" i="42"/>
  <c r="E875" i="42"/>
  <c r="E914" i="42"/>
  <c r="E904" i="42"/>
  <c r="E894" i="42"/>
  <c r="E884" i="42"/>
  <c r="E874" i="42"/>
  <c r="E922" i="42"/>
  <c r="F920" i="42"/>
  <c r="E912" i="42"/>
  <c r="F910" i="42"/>
  <c r="E902" i="42"/>
  <c r="F900" i="42"/>
  <c r="H923" i="35"/>
  <c r="H922" i="35"/>
  <c r="H921" i="35"/>
  <c r="H920" i="35"/>
  <c r="H919" i="35"/>
  <c r="H918" i="35"/>
  <c r="H917" i="35"/>
  <c r="H916" i="35"/>
  <c r="H915" i="35"/>
  <c r="H914" i="35"/>
  <c r="H913" i="35"/>
  <c r="H912" i="35"/>
  <c r="H911" i="35"/>
  <c r="H910" i="35"/>
  <c r="H909" i="35"/>
  <c r="H908" i="35"/>
  <c r="H907" i="35"/>
  <c r="H906" i="35"/>
  <c r="H905" i="35"/>
  <c r="H904" i="35"/>
  <c r="H903" i="35"/>
  <c r="H902" i="35"/>
  <c r="H901" i="35"/>
  <c r="H900" i="35"/>
  <c r="H899" i="35"/>
  <c r="H898" i="35"/>
  <c r="H897" i="35"/>
  <c r="H896" i="35"/>
  <c r="H895" i="35"/>
  <c r="H894" i="35"/>
  <c r="H893" i="35"/>
  <c r="H892" i="35"/>
  <c r="H891" i="35"/>
  <c r="H890" i="35"/>
  <c r="H889" i="35"/>
  <c r="H888" i="35"/>
  <c r="H887" i="35"/>
  <c r="H886" i="35"/>
  <c r="H885" i="35"/>
  <c r="H884" i="35"/>
  <c r="E892" i="42"/>
  <c r="F890" i="42"/>
  <c r="C723" i="37"/>
  <c r="B72" i="52" s="1"/>
  <c r="C722" i="37"/>
  <c r="B71" i="52" s="1"/>
  <c r="C721" i="37"/>
  <c r="B70" i="52" s="1"/>
  <c r="C720" i="37"/>
  <c r="B69" i="52" s="1"/>
  <c r="C717" i="37"/>
  <c r="B66" i="52" s="1"/>
  <c r="C716" i="37"/>
  <c r="B65" i="52" s="1"/>
  <c r="C715" i="37"/>
  <c r="B64" i="52" s="1"/>
  <c r="C713" i="37"/>
  <c r="B59" i="52" s="1"/>
  <c r="C712" i="37"/>
  <c r="B58" i="52" s="1"/>
  <c r="C711" i="37"/>
  <c r="B57" i="52" s="1"/>
  <c r="C710" i="37"/>
  <c r="B56" i="52" s="1"/>
  <c r="C707" i="37"/>
  <c r="B53" i="52" s="1"/>
  <c r="C706" i="37"/>
  <c r="B52" i="52" s="1"/>
  <c r="C705" i="37"/>
  <c r="B51" i="52" s="1"/>
  <c r="C703" i="37"/>
  <c r="B46" i="52" s="1"/>
  <c r="C702" i="37"/>
  <c r="B45" i="52" s="1"/>
  <c r="C701" i="37"/>
  <c r="B44" i="52" s="1"/>
  <c r="C700" i="37"/>
  <c r="B43" i="52" s="1"/>
  <c r="C697" i="37"/>
  <c r="B40" i="52" s="1"/>
  <c r="C696" i="37"/>
  <c r="B39" i="52" s="1"/>
  <c r="C695" i="37"/>
  <c r="B38" i="52" s="1"/>
  <c r="C693" i="37"/>
  <c r="B33" i="52" s="1"/>
  <c r="C692" i="37"/>
  <c r="B32" i="52" s="1"/>
  <c r="C691" i="37"/>
  <c r="B31" i="52" s="1"/>
  <c r="C690" i="37"/>
  <c r="B30" i="52" s="1"/>
  <c r="C687" i="37"/>
  <c r="B27" i="52" s="1"/>
  <c r="C686" i="37"/>
  <c r="B26" i="52" s="1"/>
  <c r="C685" i="37"/>
  <c r="B25" i="52" s="1"/>
  <c r="C683" i="37"/>
  <c r="B20" i="52" s="1"/>
  <c r="C682" i="37"/>
  <c r="B19" i="52" s="1"/>
  <c r="C681" i="37"/>
  <c r="B18" i="52" s="1"/>
  <c r="C680" i="37"/>
  <c r="B17" i="52" s="1"/>
  <c r="C679" i="37"/>
  <c r="B16" i="52" s="1"/>
  <c r="C678" i="37"/>
  <c r="B15" i="52" s="1"/>
  <c r="C677" i="37"/>
  <c r="B14" i="52" s="1"/>
  <c r="C676" i="37"/>
  <c r="B13" i="52" s="1"/>
  <c r="C675" i="37"/>
  <c r="B12" i="52" s="1"/>
  <c r="E73" i="52"/>
  <c r="E72" i="52"/>
  <c r="E71" i="52"/>
  <c r="E70" i="52"/>
  <c r="E69" i="52"/>
  <c r="E67" i="52"/>
  <c r="E66" i="52"/>
  <c r="E65" i="52"/>
  <c r="E64" i="52"/>
  <c r="E60" i="52"/>
  <c r="E59" i="52"/>
  <c r="E58" i="52"/>
  <c r="E57" i="52"/>
  <c r="E56" i="52"/>
  <c r="E53" i="52"/>
  <c r="E52" i="52"/>
  <c r="E51" i="52"/>
  <c r="E47" i="52"/>
  <c r="E46" i="52"/>
  <c r="E45" i="52"/>
  <c r="E44" i="52"/>
  <c r="E43" i="52"/>
  <c r="E40" i="52"/>
  <c r="E39" i="52"/>
  <c r="E38" i="52"/>
  <c r="E34" i="52"/>
  <c r="E33" i="52"/>
  <c r="E32" i="52"/>
  <c r="E31" i="52"/>
  <c r="E30" i="52"/>
  <c r="E27" i="52"/>
  <c r="E26" i="52"/>
  <c r="E25" i="52"/>
  <c r="H472" i="42"/>
  <c r="H471" i="42"/>
  <c r="H470" i="42"/>
  <c r="G469" i="42"/>
  <c r="G468" i="42"/>
  <c r="H467" i="42"/>
  <c r="H466" i="42"/>
  <c r="F465" i="42"/>
  <c r="F463" i="42"/>
  <c r="H462" i="42"/>
  <c r="H461" i="42"/>
  <c r="H460" i="42"/>
  <c r="G459" i="42"/>
  <c r="G458" i="42"/>
  <c r="H457" i="42"/>
  <c r="H456" i="42"/>
  <c r="F455" i="42"/>
  <c r="F453" i="42"/>
  <c r="H452" i="42"/>
  <c r="H451" i="42"/>
  <c r="H450" i="42"/>
  <c r="G449" i="42"/>
  <c r="G448" i="42"/>
  <c r="H447" i="42"/>
  <c r="H446" i="42"/>
  <c r="F445" i="42"/>
  <c r="F443" i="42"/>
  <c r="H472" i="35"/>
  <c r="H471" i="35"/>
  <c r="H470" i="35"/>
  <c r="H469" i="35"/>
  <c r="H468" i="35"/>
  <c r="H467" i="35"/>
  <c r="H466" i="35"/>
  <c r="H465" i="35"/>
  <c r="H464" i="35"/>
  <c r="H463" i="35"/>
  <c r="H462" i="35"/>
  <c r="H461" i="35"/>
  <c r="H460" i="35"/>
  <c r="H459" i="35"/>
  <c r="H458" i="35"/>
  <c r="H457" i="35"/>
  <c r="H456" i="35"/>
  <c r="H455" i="35"/>
  <c r="H454" i="35"/>
  <c r="H453" i="35"/>
  <c r="H452" i="35"/>
  <c r="H451" i="35"/>
  <c r="H450" i="35"/>
  <c r="H449" i="35"/>
  <c r="H448" i="35"/>
  <c r="H447" i="35"/>
  <c r="H446" i="35"/>
  <c r="H445" i="35"/>
  <c r="H444" i="35"/>
  <c r="H443" i="35"/>
  <c r="H442" i="42"/>
  <c r="H441" i="42"/>
  <c r="H440" i="42"/>
  <c r="G439" i="42"/>
  <c r="G438" i="42"/>
  <c r="H437" i="42"/>
  <c r="H436" i="42"/>
  <c r="F435" i="42"/>
  <c r="F433" i="42"/>
  <c r="H442" i="35"/>
  <c r="H441" i="35"/>
  <c r="H440" i="35"/>
  <c r="H439" i="35"/>
  <c r="H438" i="35"/>
  <c r="H437" i="35"/>
  <c r="H436" i="35"/>
  <c r="H435" i="35"/>
  <c r="H434" i="35"/>
  <c r="H433" i="35"/>
  <c r="H432" i="42"/>
  <c r="H431" i="42"/>
  <c r="H430" i="42"/>
  <c r="G429" i="42"/>
  <c r="G428" i="42"/>
  <c r="H427" i="42"/>
  <c r="H426" i="42"/>
  <c r="F425" i="42"/>
  <c r="F423" i="42"/>
  <c r="H432" i="35"/>
  <c r="H429" i="35"/>
  <c r="H428" i="35"/>
  <c r="H427" i="35"/>
  <c r="H426" i="35"/>
  <c r="H425" i="35"/>
  <c r="H423" i="35"/>
  <c r="F871" i="42"/>
  <c r="F854" i="42"/>
  <c r="F837" i="42"/>
  <c r="F820" i="42"/>
  <c r="F803" i="42"/>
  <c r="G870" i="42"/>
  <c r="G853" i="42"/>
  <c r="G836" i="42"/>
  <c r="G819" i="42"/>
  <c r="G802" i="42"/>
  <c r="F869" i="42"/>
  <c r="F852" i="42"/>
  <c r="F835" i="42"/>
  <c r="F818" i="42"/>
  <c r="F801" i="42"/>
  <c r="F868" i="42"/>
  <c r="F851" i="42"/>
  <c r="F834" i="42"/>
  <c r="F817" i="42"/>
  <c r="F800" i="42"/>
  <c r="F867" i="42"/>
  <c r="F850" i="42"/>
  <c r="F833" i="42"/>
  <c r="F816" i="42"/>
  <c r="F799" i="42"/>
  <c r="F865" i="42"/>
  <c r="F848" i="42"/>
  <c r="F831" i="42"/>
  <c r="F814" i="42"/>
  <c r="F797" i="42"/>
  <c r="G863" i="42"/>
  <c r="G846" i="42"/>
  <c r="G829" i="42"/>
  <c r="G812" i="42"/>
  <c r="G795" i="42"/>
  <c r="E861" i="42"/>
  <c r="E844" i="42"/>
  <c r="E827" i="42"/>
  <c r="E810" i="42"/>
  <c r="E793" i="42"/>
  <c r="G859" i="42"/>
  <c r="G842" i="42"/>
  <c r="G825" i="42"/>
  <c r="G808" i="42"/>
  <c r="G791" i="42"/>
  <c r="G858" i="42"/>
  <c r="G841" i="42"/>
  <c r="G824" i="42"/>
  <c r="G807" i="42"/>
  <c r="G790" i="42"/>
  <c r="F857" i="42"/>
  <c r="F840" i="42"/>
  <c r="F823" i="42"/>
  <c r="F806" i="42"/>
  <c r="F789" i="42"/>
  <c r="F788" i="42"/>
  <c r="E855" i="42"/>
  <c r="E838" i="42"/>
  <c r="E821" i="42"/>
  <c r="E804" i="42"/>
  <c r="E787" i="42"/>
  <c r="E33" i="42"/>
  <c r="E32" i="42"/>
  <c r="E31" i="42"/>
  <c r="D42" i="17" l="1"/>
  <c r="C765" i="37"/>
  <c r="B59" i="47" s="1"/>
  <c r="C745" i="37"/>
  <c r="B33" i="47" s="1"/>
  <c r="C755" i="37"/>
  <c r="B46" i="47" s="1"/>
  <c r="C735" i="37"/>
  <c r="B20" i="47" s="1"/>
  <c r="C775" i="37"/>
  <c r="B72" i="47" s="1"/>
  <c r="C774" i="37"/>
  <c r="B71" i="47" s="1"/>
  <c r="C744" i="37"/>
  <c r="B32" i="47" s="1"/>
  <c r="C764" i="37"/>
  <c r="B58" i="47" s="1"/>
  <c r="C754" i="37"/>
  <c r="B45" i="47" s="1"/>
  <c r="C734" i="37"/>
  <c r="B19" i="47" s="1"/>
  <c r="C773" i="37"/>
  <c r="B70" i="47" s="1"/>
  <c r="C733" i="37"/>
  <c r="B18" i="47" s="1"/>
  <c r="C763" i="37"/>
  <c r="B57" i="47" s="1"/>
  <c r="C753" i="37"/>
  <c r="B44" i="47" s="1"/>
  <c r="C743" i="37"/>
  <c r="B31" i="47" s="1"/>
  <c r="C762" i="37"/>
  <c r="B56" i="47" s="1"/>
  <c r="C732" i="37"/>
  <c r="B17" i="47" s="1"/>
  <c r="C752" i="37"/>
  <c r="B43" i="47" s="1"/>
  <c r="C742" i="37"/>
  <c r="B30" i="47" s="1"/>
  <c r="C772" i="37"/>
  <c r="B69" i="47" s="1"/>
  <c r="C771" i="37"/>
  <c r="B68" i="47" s="1"/>
  <c r="C741" i="37"/>
  <c r="B29" i="47" s="1"/>
  <c r="C731" i="37"/>
  <c r="B16" i="47" s="1"/>
  <c r="C761" i="37"/>
  <c r="B55" i="47" s="1"/>
  <c r="C751" i="37"/>
  <c r="B42" i="47" s="1"/>
  <c r="C750" i="37"/>
  <c r="B41" i="47" s="1"/>
  <c r="C740" i="37"/>
  <c r="B28" i="47" s="1"/>
  <c r="C770" i="37"/>
  <c r="B67" i="47" s="1"/>
  <c r="C730" i="37"/>
  <c r="B15" i="47" s="1"/>
  <c r="C760" i="37"/>
  <c r="B54" i="47" s="1"/>
  <c r="C769" i="37"/>
  <c r="B66" i="47" s="1"/>
  <c r="C729" i="37"/>
  <c r="B14" i="47" s="1"/>
  <c r="C759" i="37"/>
  <c r="B53" i="47" s="1"/>
  <c r="C739" i="37"/>
  <c r="B27" i="47" s="1"/>
  <c r="C749" i="37"/>
  <c r="B40" i="47" s="1"/>
  <c r="C768" i="37"/>
  <c r="B65" i="47" s="1"/>
  <c r="C758" i="37"/>
  <c r="B52" i="47" s="1"/>
  <c r="C738" i="37"/>
  <c r="B26" i="47" s="1"/>
  <c r="C728" i="37"/>
  <c r="B13" i="47" s="1"/>
  <c r="C748" i="37"/>
  <c r="B39" i="47" s="1"/>
  <c r="C767" i="37"/>
  <c r="B64" i="47" s="1"/>
  <c r="C757" i="37"/>
  <c r="B51" i="47" s="1"/>
  <c r="C747" i="37"/>
  <c r="B38" i="47" s="1"/>
  <c r="C737" i="37"/>
  <c r="B25" i="47" s="1"/>
  <c r="C727" i="37"/>
  <c r="B12" i="47" s="1"/>
  <c r="C766" i="37"/>
  <c r="B63" i="47" s="1"/>
  <c r="C736" i="37"/>
  <c r="B24" i="47" s="1"/>
  <c r="C756" i="37"/>
  <c r="B50" i="47" s="1"/>
  <c r="C746" i="37"/>
  <c r="B37" i="47" s="1"/>
  <c r="C726" i="37"/>
  <c r="B11" i="47" s="1"/>
  <c r="B7" i="47"/>
  <c r="C31" i="37"/>
  <c r="B26" i="8" s="1"/>
  <c r="C30" i="37"/>
  <c r="B25" i="8" s="1"/>
  <c r="B21" i="2"/>
  <c r="H22" i="35"/>
  <c r="H23" i="35"/>
  <c r="E21" i="2"/>
  <c r="E22" i="2"/>
  <c r="B22" i="2"/>
  <c r="B37" i="8"/>
  <c r="F856" i="42"/>
  <c r="H871" i="35"/>
  <c r="H870" i="35"/>
  <c r="H869" i="35"/>
  <c r="H868" i="35"/>
  <c r="H867" i="35"/>
  <c r="H866" i="35"/>
  <c r="H865" i="35"/>
  <c r="H864" i="35"/>
  <c r="H863" i="35"/>
  <c r="H862" i="35"/>
  <c r="H861" i="35"/>
  <c r="H860" i="35"/>
  <c r="H859" i="35"/>
  <c r="H858" i="35"/>
  <c r="H857" i="35"/>
  <c r="H856" i="35"/>
  <c r="H855" i="35"/>
  <c r="H854" i="35"/>
  <c r="H853" i="35"/>
  <c r="H852" i="35"/>
  <c r="H851" i="35"/>
  <c r="H850" i="35"/>
  <c r="H849" i="35"/>
  <c r="H848" i="35"/>
  <c r="H847" i="35"/>
  <c r="H846" i="35"/>
  <c r="H845" i="35"/>
  <c r="H844" i="35"/>
  <c r="H843" i="35"/>
  <c r="H842" i="35"/>
  <c r="H841" i="35"/>
  <c r="H840" i="35"/>
  <c r="H839" i="35"/>
  <c r="H838" i="35"/>
  <c r="F839" i="42"/>
  <c r="H832" i="35"/>
  <c r="H833" i="35"/>
  <c r="H834" i="35"/>
  <c r="H835" i="35"/>
  <c r="H836" i="35"/>
  <c r="H837" i="35"/>
  <c r="H831" i="35"/>
  <c r="H824" i="35"/>
  <c r="H825" i="35"/>
  <c r="H826" i="35"/>
  <c r="H827" i="35"/>
  <c r="H828" i="35"/>
  <c r="H829" i="35"/>
  <c r="H830" i="35"/>
  <c r="H823" i="35"/>
  <c r="H822" i="35"/>
  <c r="H821" i="35"/>
  <c r="F822" i="42"/>
  <c r="F805" i="42"/>
  <c r="H819" i="35"/>
  <c r="H820" i="35"/>
  <c r="H815" i="35"/>
  <c r="H816" i="35"/>
  <c r="H817" i="35"/>
  <c r="H818" i="35"/>
  <c r="H814" i="35"/>
  <c r="H812" i="35"/>
  <c r="H813" i="35"/>
  <c r="H808" i="35"/>
  <c r="H809" i="35"/>
  <c r="H810" i="35"/>
  <c r="H811" i="35"/>
  <c r="H805" i="35"/>
  <c r="H806" i="35"/>
  <c r="H807" i="35"/>
  <c r="H804" i="35"/>
  <c r="H872" i="35"/>
  <c r="I1012" i="35"/>
  <c r="I986" i="35"/>
  <c r="I921" i="35"/>
  <c r="I1016" i="35"/>
  <c r="I506" i="35"/>
  <c r="I979" i="35"/>
  <c r="I949" i="35"/>
  <c r="I428" i="35"/>
  <c r="I988" i="35"/>
  <c r="I971" i="35"/>
  <c r="I911" i="35"/>
  <c r="I892" i="35"/>
  <c r="I1002" i="35"/>
  <c r="I980" i="35"/>
  <c r="I1005" i="35"/>
  <c r="I962" i="35"/>
  <c r="I970" i="35"/>
  <c r="I439" i="35"/>
  <c r="I990" i="35"/>
  <c r="I530" i="35"/>
  <c r="I967" i="35"/>
  <c r="I503" i="35"/>
  <c r="I1022" i="35"/>
  <c r="I884" i="35"/>
  <c r="I424" i="35"/>
  <c r="I913" i="35"/>
  <c r="I973" i="35"/>
  <c r="I535" i="35"/>
  <c r="I890" i="35"/>
  <c r="I1008" i="35"/>
  <c r="I534" i="35"/>
  <c r="I1010" i="35"/>
  <c r="I469" i="35"/>
  <c r="I983" i="35"/>
  <c r="I954" i="35"/>
  <c r="I431" i="35"/>
  <c r="I969" i="35"/>
  <c r="I501" i="35"/>
  <c r="I991" i="35"/>
  <c r="I918" i="35"/>
  <c r="I519" i="35"/>
  <c r="I947" i="35"/>
  <c r="I993" i="35"/>
  <c r="I456" i="35"/>
  <c r="I502" i="35"/>
  <c r="I915" i="35"/>
  <c r="I536" i="35"/>
  <c r="I499" i="35"/>
  <c r="I908" i="35"/>
  <c r="I910" i="35"/>
  <c r="I512" i="35"/>
  <c r="I454" i="35"/>
  <c r="I899" i="35"/>
  <c r="I441" i="35"/>
  <c r="I462" i="35"/>
  <c r="I517" i="35"/>
  <c r="I451" i="35"/>
  <c r="I518" i="35"/>
  <c r="I513" i="35"/>
  <c r="I948" i="35"/>
  <c r="I992" i="35"/>
  <c r="I950" i="35"/>
  <c r="I1025" i="35"/>
  <c r="I532" i="35"/>
  <c r="I965" i="35"/>
  <c r="I425" i="35"/>
  <c r="I998" i="35"/>
  <c r="I430" i="35"/>
  <c r="I444" i="35"/>
  <c r="I923" i="35"/>
  <c r="I515" i="35"/>
  <c r="I957" i="35"/>
  <c r="I956" i="35"/>
  <c r="I520" i="35"/>
  <c r="I891" i="35"/>
  <c r="I464" i="35"/>
  <c r="I470" i="35"/>
  <c r="I507" i="35"/>
  <c r="I952" i="35"/>
  <c r="I914" i="35"/>
  <c r="I1026" i="35"/>
  <c r="I471" i="35"/>
  <c r="I505" i="35"/>
  <c r="I960" i="35"/>
  <c r="I500" i="35"/>
  <c r="I516" i="35"/>
  <c r="I442" i="35"/>
  <c r="I982" i="35"/>
  <c r="I1024" i="35"/>
  <c r="I920" i="35"/>
  <c r="I963" i="35"/>
  <c r="I522" i="35"/>
  <c r="I521" i="35"/>
  <c r="I468" i="35"/>
  <c r="I966" i="35"/>
  <c r="I895" i="35"/>
  <c r="I885" i="35"/>
  <c r="I985" i="35"/>
  <c r="I447" i="35"/>
  <c r="I997" i="35"/>
  <c r="I445" i="35"/>
  <c r="I1019" i="35"/>
  <c r="I976" i="35"/>
  <c r="I449" i="35"/>
  <c r="I429" i="35"/>
  <c r="I436" i="35"/>
  <c r="I450" i="35"/>
  <c r="I972" i="35"/>
  <c r="I1015" i="35"/>
  <c r="I996" i="35"/>
  <c r="I1027" i="35"/>
  <c r="I946" i="35"/>
  <c r="I897" i="35"/>
  <c r="I989" i="35"/>
  <c r="I887" i="35"/>
  <c r="I467" i="35"/>
  <c r="I1021" i="35"/>
  <c r="I975" i="35"/>
  <c r="I1004" i="35"/>
  <c r="I435" i="35"/>
  <c r="I525" i="35"/>
  <c r="I901" i="35"/>
  <c r="I889" i="35"/>
  <c r="I968" i="35"/>
  <c r="I443" i="35"/>
  <c r="I1017" i="35"/>
  <c r="I538" i="35"/>
  <c r="I526" i="35"/>
  <c r="I461" i="35"/>
  <c r="I906" i="35"/>
  <c r="I452" i="35"/>
  <c r="I1007" i="35"/>
  <c r="I922" i="35"/>
  <c r="I987" i="35"/>
  <c r="I528" i="35"/>
  <c r="I1023" i="35"/>
  <c r="I438" i="35"/>
  <c r="I981" i="35"/>
  <c r="I465" i="35"/>
  <c r="I1028" i="35"/>
  <c r="I907" i="35"/>
  <c r="I510" i="35"/>
  <c r="I423" i="35"/>
  <c r="I898" i="35"/>
  <c r="I440" i="35"/>
  <c r="I426" i="35"/>
  <c r="I959" i="35"/>
  <c r="I453" i="35"/>
  <c r="I514" i="35"/>
  <c r="I472" i="35"/>
  <c r="I504" i="35"/>
  <c r="I511" i="35"/>
  <c r="I509" i="35"/>
  <c r="I1020" i="35"/>
  <c r="I1014" i="35"/>
  <c r="I974" i="35"/>
  <c r="I458" i="35"/>
  <c r="I1013" i="35"/>
  <c r="I919" i="35"/>
  <c r="I527" i="35"/>
  <c r="I917" i="35"/>
  <c r="I964" i="35"/>
  <c r="I995" i="35"/>
  <c r="I432" i="35"/>
  <c r="I893" i="35"/>
  <c r="I459" i="35"/>
  <c r="I904" i="35"/>
  <c r="I529" i="35"/>
  <c r="I523" i="35"/>
  <c r="I1011" i="35"/>
  <c r="I433" i="35"/>
  <c r="I984" i="35"/>
  <c r="I463" i="35"/>
  <c r="I1006" i="35"/>
  <c r="I448" i="35"/>
  <c r="I1000" i="35"/>
  <c r="I900" i="35"/>
  <c r="I1009" i="35"/>
  <c r="I909" i="35"/>
  <c r="I457" i="35"/>
  <c r="I977" i="35"/>
  <c r="I434" i="35"/>
  <c r="I958" i="35"/>
  <c r="I1003" i="35"/>
  <c r="I466" i="35"/>
  <c r="I961" i="35"/>
  <c r="I437" i="35"/>
  <c r="I1001" i="35"/>
  <c r="I427" i="35"/>
  <c r="I894" i="35"/>
  <c r="I902" i="35"/>
  <c r="I916" i="35"/>
  <c r="I460" i="35"/>
  <c r="I524" i="35"/>
  <c r="I446" i="35"/>
  <c r="I531" i="35"/>
  <c r="I912" i="35"/>
  <c r="I537" i="35"/>
  <c r="I953" i="35"/>
  <c r="I886" i="35"/>
  <c r="I945" i="35"/>
  <c r="I903" i="35"/>
  <c r="I508" i="35"/>
  <c r="I896" i="35"/>
  <c r="I994" i="35"/>
  <c r="I455" i="35"/>
  <c r="I955" i="35"/>
  <c r="I978" i="35"/>
  <c r="I905" i="35"/>
  <c r="I533" i="35"/>
  <c r="I951" i="35"/>
  <c r="I888" i="35"/>
  <c r="I1018" i="35"/>
  <c r="I488" i="35"/>
  <c r="I999" i="35"/>
  <c r="B955" i="35" l="1"/>
  <c r="B910" i="35"/>
  <c r="B431" i="35"/>
  <c r="B505" i="35"/>
  <c r="B960" i="35"/>
  <c r="B1009" i="35"/>
  <c r="B899" i="35"/>
  <c r="B889" i="35"/>
  <c r="B536" i="35"/>
  <c r="B906" i="35"/>
  <c r="B506" i="35"/>
  <c r="B916" i="35"/>
  <c r="B909" i="35"/>
  <c r="B454" i="35"/>
  <c r="B537" i="35"/>
  <c r="B444" i="35"/>
  <c r="B964" i="35"/>
  <c r="B1016" i="35"/>
  <c r="B894" i="35"/>
  <c r="B995" i="35"/>
  <c r="B975" i="35"/>
  <c r="B429" i="35"/>
  <c r="B891" i="35"/>
  <c r="B1002" i="35"/>
  <c r="B451" i="35"/>
  <c r="B508" i="35"/>
  <c r="B463" i="35"/>
  <c r="B504" i="35"/>
  <c r="B1027" i="35"/>
  <c r="B970" i="35"/>
  <c r="B466" i="35"/>
  <c r="B533" i="35"/>
  <c r="B440" i="35"/>
  <c r="B1025" i="35"/>
  <c r="B888" i="35"/>
  <c r="B923" i="35"/>
  <c r="B458" i="35"/>
  <c r="B973" i="35"/>
  <c r="B977" i="35"/>
  <c r="B432" i="35"/>
  <c r="B426" i="35"/>
  <c r="B907" i="35"/>
  <c r="B523" i="35"/>
  <c r="B956" i="35"/>
  <c r="B1017" i="35"/>
  <c r="B965" i="35"/>
  <c r="B902" i="35"/>
  <c r="B521" i="35"/>
  <c r="B1011" i="35"/>
  <c r="B951" i="35"/>
  <c r="B465" i="35"/>
  <c r="B893" i="35"/>
  <c r="B969" i="35"/>
  <c r="B890" i="35"/>
  <c r="B989" i="35"/>
  <c r="B984" i="35"/>
  <c r="B946" i="35"/>
  <c r="B437" i="35"/>
  <c r="B1018" i="35"/>
  <c r="B433" i="35"/>
  <c r="B446" i="35"/>
  <c r="B447" i="35"/>
  <c r="B515" i="35"/>
  <c r="B1015" i="35"/>
  <c r="B897" i="35"/>
  <c r="B453" i="35"/>
  <c r="B1004" i="35"/>
  <c r="B959" i="35"/>
  <c r="B1024" i="35"/>
  <c r="B443" i="35"/>
  <c r="B531" i="35"/>
  <c r="B471" i="35"/>
  <c r="B524" i="35"/>
  <c r="B503" i="35"/>
  <c r="B991" i="35"/>
  <c r="B1003" i="35"/>
  <c r="B992" i="35"/>
  <c r="B467" i="35"/>
  <c r="B461" i="35"/>
  <c r="B908" i="35"/>
  <c r="B1026" i="35"/>
  <c r="B986" i="35"/>
  <c r="B425" i="35"/>
  <c r="B530" i="35"/>
  <c r="B987" i="35"/>
  <c r="B514" i="35"/>
  <c r="B971" i="35"/>
  <c r="B1007" i="35"/>
  <c r="B922" i="35"/>
  <c r="B441" i="35"/>
  <c r="B911" i="35"/>
  <c r="B501" i="35"/>
  <c r="B520" i="35"/>
  <c r="B1005" i="35"/>
  <c r="B456" i="35"/>
  <c r="B1006" i="35"/>
  <c r="B904" i="35"/>
  <c r="B448" i="35"/>
  <c r="B920" i="35"/>
  <c r="B962" i="35"/>
  <c r="B978" i="35"/>
  <c r="B517" i="35"/>
  <c r="B947" i="35"/>
  <c r="B993" i="35"/>
  <c r="B921" i="35"/>
  <c r="B510" i="35"/>
  <c r="B1013" i="35"/>
  <c r="B1014" i="35"/>
  <c r="B519" i="35"/>
  <c r="B887" i="35"/>
  <c r="B423" i="35"/>
  <c r="B1019" i="35"/>
  <c r="B500" i="35"/>
  <c r="B455" i="35"/>
  <c r="B952" i="35"/>
  <c r="B905" i="35"/>
  <c r="B449" i="35"/>
  <c r="B945" i="35"/>
  <c r="B957" i="35"/>
  <c r="B918" i="35"/>
  <c r="B527" i="35"/>
  <c r="B1028" i="35"/>
  <c r="B972" i="35"/>
  <c r="B439" i="35"/>
  <c r="B1001" i="35"/>
  <c r="B979" i="35"/>
  <c r="B538" i="35"/>
  <c r="B997" i="35"/>
  <c r="B976" i="35"/>
  <c r="B1000" i="35"/>
  <c r="B438" i="35"/>
  <c r="B450" i="35"/>
  <c r="B435" i="35"/>
  <c r="B895" i="35"/>
  <c r="B516" i="35"/>
  <c r="B966" i="35"/>
  <c r="B459" i="35"/>
  <c r="B901" i="35"/>
  <c r="B424" i="35"/>
  <c r="B1012" i="35"/>
  <c r="B452" i="35"/>
  <c r="B967" i="35"/>
  <c r="B919" i="35"/>
  <c r="B900" i="35"/>
  <c r="B469" i="35"/>
  <c r="B988" i="35"/>
  <c r="B999" i="35"/>
  <c r="B1021" i="35"/>
  <c r="B903" i="35"/>
  <c r="B915" i="35"/>
  <c r="B885" i="35"/>
  <c r="B981" i="35"/>
  <c r="B445" i="35"/>
  <c r="B884" i="35"/>
  <c r="B968" i="35"/>
  <c r="B534" i="35"/>
  <c r="B985" i="35"/>
  <c r="B990" i="35"/>
  <c r="B460" i="35"/>
  <c r="B502" i="35"/>
  <c r="B1020" i="35"/>
  <c r="B996" i="35"/>
  <c r="B518" i="35"/>
  <c r="B958" i="35"/>
  <c r="B526" i="35"/>
  <c r="B532" i="35"/>
  <c r="B468" i="35"/>
  <c r="B535" i="35"/>
  <c r="B436" i="35"/>
  <c r="B434" i="35"/>
  <c r="B470" i="35"/>
  <c r="B1010" i="35"/>
  <c r="B949" i="35"/>
  <c r="B427" i="35"/>
  <c r="B917" i="35"/>
  <c r="B948" i="35"/>
  <c r="B428" i="35"/>
  <c r="B462" i="35"/>
  <c r="B913" i="35"/>
  <c r="B896" i="35"/>
  <c r="B509" i="35"/>
  <c r="B472" i="35"/>
  <c r="B980" i="35"/>
  <c r="B954" i="35"/>
  <c r="B963" i="35"/>
  <c r="B898" i="35"/>
  <c r="B464" i="35"/>
  <c r="B892" i="35"/>
  <c r="B499" i="35"/>
  <c r="B430" i="35"/>
  <c r="B525" i="35"/>
  <c r="B507" i="35"/>
  <c r="B950" i="35"/>
  <c r="B886" i="35"/>
  <c r="B998" i="35"/>
  <c r="B1022" i="35"/>
  <c r="B513" i="35"/>
  <c r="B488" i="35"/>
  <c r="B457" i="35"/>
  <c r="B974" i="35"/>
  <c r="B912" i="35"/>
  <c r="B961" i="35"/>
  <c r="B953" i="35"/>
  <c r="B983" i="35"/>
  <c r="B529" i="35"/>
  <c r="B442" i="35"/>
  <c r="B528" i="35"/>
  <c r="B1023" i="35"/>
  <c r="B994" i="35"/>
  <c r="B522" i="35"/>
  <c r="B914" i="35"/>
  <c r="B512" i="35"/>
  <c r="B982" i="35"/>
  <c r="B1008" i="35"/>
  <c r="B511" i="35"/>
  <c r="H796" i="35"/>
  <c r="F776" i="42"/>
  <c r="H786" i="35"/>
  <c r="H785" i="35"/>
  <c r="H784" i="35"/>
  <c r="H783" i="35"/>
  <c r="H782" i="35"/>
  <c r="H781" i="35"/>
  <c r="H780" i="35"/>
  <c r="H779" i="35"/>
  <c r="H778" i="35"/>
  <c r="H777" i="35"/>
  <c r="H776" i="35"/>
  <c r="H775" i="35"/>
  <c r="H774" i="35"/>
  <c r="H773" i="35"/>
  <c r="H772" i="35"/>
  <c r="H771" i="35"/>
  <c r="H770" i="35"/>
  <c r="F759" i="42"/>
  <c r="H769" i="35"/>
  <c r="H768" i="35"/>
  <c r="H767" i="35"/>
  <c r="H766" i="35"/>
  <c r="H765" i="35"/>
  <c r="H764" i="35"/>
  <c r="H763" i="35"/>
  <c r="H762" i="35"/>
  <c r="H761" i="35"/>
  <c r="H760" i="35"/>
  <c r="H759" i="35"/>
  <c r="H758" i="35"/>
  <c r="H757" i="35"/>
  <c r="H756" i="35"/>
  <c r="H755" i="35"/>
  <c r="H754" i="35"/>
  <c r="H753" i="35"/>
  <c r="H787" i="35"/>
  <c r="E948" i="35" a="1"/>
  <c r="E468" i="35" a="1"/>
  <c r="E902" i="35" a="1"/>
  <c r="E457" i="35" a="1"/>
  <c r="E992" i="35" a="1"/>
  <c r="E432" i="35" a="1"/>
  <c r="E998" i="35" a="1"/>
  <c r="E439" i="35" a="1"/>
  <c r="E1015" i="35" a="1"/>
  <c r="E984" i="35" a="1"/>
  <c r="E982" i="35" a="1"/>
  <c r="E976" i="35" a="1"/>
  <c r="E980" i="35" a="1"/>
  <c r="E429" i="35" a="1"/>
  <c r="E968" i="35" a="1"/>
  <c r="E465" i="35" a="1"/>
  <c r="E514" i="35" a="1"/>
  <c r="E906" i="35" a="1"/>
  <c r="E1009" i="35" a="1"/>
  <c r="E517" i="35" a="1"/>
  <c r="E956" i="35" a="1"/>
  <c r="E442" i="35" a="1"/>
  <c r="E511" i="35" a="1"/>
  <c r="E974" i="35" a="1"/>
  <c r="E913" i="35" a="1"/>
  <c r="E461" i="35" a="1"/>
  <c r="E444" i="35" a="1"/>
  <c r="E469" i="35" a="1"/>
  <c r="E955" i="35" a="1"/>
  <c r="E890" i="35" a="1"/>
  <c r="E427" i="35" a="1"/>
  <c r="E425" i="35" a="1"/>
  <c r="E1005" i="35" a="1"/>
  <c r="E515" i="35" a="1"/>
  <c r="E520" i="35" a="1"/>
  <c r="E915" i="35" a="1"/>
  <c r="E988" i="35" a="1"/>
  <c r="E1025" i="35" a="1"/>
  <c r="E961" i="35" a="1"/>
  <c r="E997" i="35" a="1"/>
  <c r="E1027" i="35" a="1"/>
  <c r="E471" i="35" a="1"/>
  <c r="E464" i="35" a="1"/>
  <c r="E967" i="35" a="1"/>
  <c r="E885" i="35" a="1"/>
  <c r="E1028" i="35" a="1"/>
  <c r="E962" i="35" a="1"/>
  <c r="E446" i="35" a="1"/>
  <c r="E945" i="35" a="1"/>
  <c r="E966" i="35" a="1"/>
  <c r="E990" i="35" a="1"/>
  <c r="E921" i="35" a="1"/>
  <c r="E538" i="35" a="1"/>
  <c r="E512" i="35" a="1"/>
  <c r="E441" i="35" a="1"/>
  <c r="E889" i="35" a="1"/>
  <c r="E888" i="35" a="1"/>
  <c r="E462" i="35" a="1"/>
  <c r="E949" i="35" a="1"/>
  <c r="E533" i="35" a="1"/>
  <c r="E897" i="35" a="1"/>
  <c r="E896" i="35" a="1"/>
  <c r="E521" i="35" a="1"/>
  <c r="E951" i="35" a="1"/>
  <c r="E526" i="35" a="1"/>
  <c r="E504" i="35" a="1"/>
  <c r="E952" i="35" a="1"/>
  <c r="E1008" i="35" a="1"/>
  <c r="E424" i="35" a="1"/>
  <c r="E467" i="35" a="1"/>
  <c r="E534" i="35" a="1"/>
  <c r="E518" i="35" a="1"/>
  <c r="E470" i="35" a="1"/>
  <c r="E910" i="35" a="1"/>
  <c r="E1004" i="35" a="1"/>
  <c r="E983" i="35" a="1"/>
  <c r="E911" i="35" a="1"/>
  <c r="E900" i="35" a="1"/>
  <c r="E433" i="35" a="1"/>
  <c r="E528" i="35" a="1"/>
  <c r="E435" i="35" a="1"/>
  <c r="E1010" i="35" a="1"/>
  <c r="E437" i="35" a="1"/>
  <c r="E516" i="35" a="1"/>
  <c r="E908" i="35" a="1"/>
  <c r="E1020" i="35" a="1"/>
  <c r="E996" i="35" a="1"/>
  <c r="E886" i="35" a="1"/>
  <c r="E969" i="35" a="1"/>
  <c r="E979" i="35" a="1"/>
  <c r="E898" i="35" a="1"/>
  <c r="E959" i="35" a="1"/>
  <c r="E466" i="35" a="1"/>
  <c r="E532" i="35" a="1"/>
  <c r="E1014" i="35" a="1"/>
  <c r="E1006" i="35" a="1"/>
  <c r="E438" i="35" a="1"/>
  <c r="E907" i="35" a="1"/>
  <c r="E960" i="35" a="1"/>
  <c r="E905" i="35" a="1"/>
  <c r="E501" i="35" a="1"/>
  <c r="E918" i="35" a="1"/>
  <c r="E1011" i="35" a="1"/>
  <c r="E899" i="35" a="1"/>
  <c r="E894" i="35" a="1"/>
  <c r="E920" i="35" a="1"/>
  <c r="E903" i="35" a="1"/>
  <c r="E923" i="35" a="1"/>
  <c r="E999" i="35" a="1"/>
  <c r="E891" i="35" a="1"/>
  <c r="E502" i="35" a="1"/>
  <c r="E912" i="35" a="1"/>
  <c r="E1022" i="35" a="1"/>
  <c r="E460" i="35" a="1"/>
  <c r="E985" i="35" a="1"/>
  <c r="E989" i="35" a="1"/>
  <c r="E893" i="35" a="1"/>
  <c r="E454" i="35" a="1"/>
  <c r="E1018" i="35" a="1"/>
  <c r="E426" i="35" a="1"/>
  <c r="E452" i="35" a="1"/>
  <c r="E488" i="35" a="1"/>
  <c r="E1002" i="35" a="1"/>
  <c r="E901" i="35" a="1"/>
  <c r="E977" i="35" a="1"/>
  <c r="E884" i="35" a="1"/>
  <c r="E447" i="35" a="1"/>
  <c r="E499" i="35" a="1"/>
  <c r="E917" i="35" a="1"/>
  <c r="E503" i="35" a="1"/>
  <c r="E448" i="35" a="1"/>
  <c r="E451" i="35" a="1"/>
  <c r="E973" i="35" a="1"/>
  <c r="E975" i="35" a="1"/>
  <c r="E1001" i="35" a="1"/>
  <c r="E537" i="35" a="1"/>
  <c r="E991" i="35" a="1"/>
  <c r="E431" i="35" a="1"/>
  <c r="E530" i="35" a="1"/>
  <c r="E1017" i="35" a="1"/>
  <c r="E971" i="35" a="1"/>
  <c r="E508" i="35" a="1"/>
  <c r="E1024" i="35" a="1"/>
  <c r="E535" i="35" a="1"/>
  <c r="E459" i="35" a="1"/>
  <c r="E505" i="35" a="1"/>
  <c r="E529" i="35" a="1"/>
  <c r="E887" i="35" a="1"/>
  <c r="E506" i="35" a="1"/>
  <c r="E1000" i="35" a="1"/>
  <c r="E428" i="35" a="1"/>
  <c r="E527" i="35" a="1"/>
  <c r="E436" i="35" a="1"/>
  <c r="E434" i="35" a="1"/>
  <c r="E430" i="35" a="1"/>
  <c r="E970" i="35" a="1"/>
  <c r="E916" i="35" a="1"/>
  <c r="E1013" i="35" a="1"/>
  <c r="E994" i="35" a="1"/>
  <c r="E456" i="35" a="1"/>
  <c r="E443" i="35" a="1"/>
  <c r="E500" i="35" a="1"/>
  <c r="E953" i="35" a="1"/>
  <c r="E892" i="35" a="1"/>
  <c r="E946" i="35" a="1"/>
  <c r="E972" i="35" a="1"/>
  <c r="E986" i="35" a="1"/>
  <c r="E519" i="35" a="1"/>
  <c r="E909" i="35" a="1"/>
  <c r="E455" i="35" a="1"/>
  <c r="E993" i="35" a="1"/>
  <c r="E904" i="35" a="1"/>
  <c r="E523" i="35" a="1"/>
  <c r="E522" i="35" a="1"/>
  <c r="E524" i="35" a="1"/>
  <c r="E1012" i="35" a="1"/>
  <c r="E947" i="35" a="1"/>
  <c r="E995" i="35" a="1"/>
  <c r="E978" i="35" a="1"/>
  <c r="E1016" i="35" a="1"/>
  <c r="E965" i="35" a="1"/>
  <c r="E958" i="35" a="1"/>
  <c r="E507" i="35" a="1"/>
  <c r="E964" i="35" a="1"/>
  <c r="E954" i="35" a="1"/>
  <c r="E450" i="35" a="1"/>
  <c r="E536" i="35" a="1"/>
  <c r="E1021" i="35" a="1"/>
  <c r="E531" i="35" a="1"/>
  <c r="E525" i="35" a="1"/>
  <c r="E453" i="35" a="1"/>
  <c r="E963" i="35" a="1"/>
  <c r="E513" i="35" a="1"/>
  <c r="E472" i="35" a="1"/>
  <c r="E510" i="35" a="1"/>
  <c r="E1003" i="35" a="1"/>
  <c r="E509" i="35" a="1"/>
  <c r="E1007" i="35" a="1"/>
  <c r="E919" i="35" a="1"/>
  <c r="E895" i="35" a="1"/>
  <c r="E449" i="35" a="1"/>
  <c r="E1019" i="35" a="1"/>
  <c r="E914" i="35" a="1"/>
  <c r="E981" i="35" a="1"/>
  <c r="E957" i="35" a="1"/>
  <c r="E463" i="35" a="1"/>
  <c r="E445" i="35" a="1"/>
  <c r="E987" i="35" a="1"/>
  <c r="E440" i="35" a="1"/>
  <c r="E458" i="35" a="1"/>
  <c r="E922" i="35" a="1"/>
  <c r="E950" i="35" a="1"/>
  <c r="E1026" i="35" a="1"/>
  <c r="E1023" i="35" a="1"/>
  <c r="E423" i="35" a="1"/>
  <c r="E963" i="35" l="1"/>
  <c r="E1010" i="35"/>
  <c r="E920" i="35"/>
  <c r="N920" i="35" s="1"/>
  <c r="E471" i="35"/>
  <c r="E454" i="35"/>
  <c r="E997" i="35"/>
  <c r="E504" i="35"/>
  <c r="N504" i="35" s="1"/>
  <c r="E538" i="35"/>
  <c r="N538" i="35" s="1"/>
  <c r="E448" i="35"/>
  <c r="E530" i="35"/>
  <c r="E1024" i="35"/>
  <c r="E426" i="35"/>
  <c r="E994" i="35"/>
  <c r="E980" i="35"/>
  <c r="E445" i="35"/>
  <c r="E506" i="35"/>
  <c r="E998" i="35"/>
  <c r="E526" i="35"/>
  <c r="E519" i="35"/>
  <c r="E958" i="35"/>
  <c r="E453" i="35"/>
  <c r="E1014" i="35"/>
  <c r="E897" i="35"/>
  <c r="O897" i="35" s="1"/>
  <c r="E442" i="35"/>
  <c r="E518" i="35"/>
  <c r="N518" i="35" s="1"/>
  <c r="E915" i="35"/>
  <c r="E1013" i="35"/>
  <c r="E975" i="35"/>
  <c r="E529" i="35"/>
  <c r="E992" i="35"/>
  <c r="E996" i="35"/>
  <c r="E515" i="35"/>
  <c r="N515" i="35" s="1"/>
  <c r="E440" i="35"/>
  <c r="E983" i="35"/>
  <c r="E921" i="35"/>
  <c r="E1009" i="35"/>
  <c r="E957" i="35"/>
  <c r="E991" i="35"/>
  <c r="E533" i="35"/>
  <c r="E502" i="35"/>
  <c r="E464" i="35"/>
  <c r="E427" i="35"/>
  <c r="E438" i="35"/>
  <c r="E945" i="35"/>
  <c r="E1007" i="35"/>
  <c r="E503" i="35"/>
  <c r="E446" i="35"/>
  <c r="E466" i="35"/>
  <c r="E912" i="35"/>
  <c r="M912" i="35" s="1"/>
  <c r="E949" i="35"/>
  <c r="E1000" i="35"/>
  <c r="E1016" i="35"/>
  <c r="E511" i="35"/>
  <c r="N511" i="35" s="1"/>
  <c r="E449" i="35"/>
  <c r="E971" i="35"/>
  <c r="E956" i="35"/>
  <c r="E970" i="35"/>
  <c r="E523" i="35"/>
  <c r="E488" i="35"/>
  <c r="E967" i="35"/>
  <c r="E1027" i="35"/>
  <c r="E987" i="35"/>
  <c r="E907" i="35"/>
  <c r="O907" i="35" s="1"/>
  <c r="E954" i="35"/>
  <c r="E989" i="35"/>
  <c r="E513" i="35"/>
  <c r="E884" i="35"/>
  <c r="E452" i="35"/>
  <c r="E1022" i="35"/>
  <c r="E904" i="35"/>
  <c r="E425" i="35"/>
  <c r="E890" i="35"/>
  <c r="N890" i="35" s="1"/>
  <c r="E432" i="35"/>
  <c r="E472" i="35"/>
  <c r="E1012" i="35"/>
  <c r="E887" i="35"/>
  <c r="O887" i="35" s="1"/>
  <c r="E451" i="35"/>
  <c r="E1023" i="35"/>
  <c r="E981" i="35"/>
  <c r="E424" i="35"/>
  <c r="E439" i="35"/>
  <c r="E1006" i="35"/>
  <c r="E969" i="35"/>
  <c r="E456" i="35"/>
  <c r="E906" i="35"/>
  <c r="E528" i="35"/>
  <c r="N528" i="35" s="1"/>
  <c r="E893" i="35"/>
  <c r="E536" i="35"/>
  <c r="E886" i="35"/>
  <c r="E885" i="35"/>
  <c r="E1005" i="35"/>
  <c r="E923" i="35"/>
  <c r="E429" i="35"/>
  <c r="E950" i="35"/>
  <c r="E465" i="35"/>
  <c r="E527" i="35"/>
  <c r="E1015" i="35"/>
  <c r="E889" i="35"/>
  <c r="E903" i="35"/>
  <c r="E918" i="35"/>
  <c r="E899" i="35"/>
  <c r="E948" i="35"/>
  <c r="E510" i="35"/>
  <c r="E1003" i="35"/>
  <c r="E1020" i="35"/>
  <c r="E450" i="35"/>
  <c r="E995" i="35"/>
  <c r="E917" i="35"/>
  <c r="O917" i="35" s="1"/>
  <c r="E894" i="35"/>
  <c r="E988" i="35"/>
  <c r="E447" i="35"/>
  <c r="E898" i="35"/>
  <c r="E985" i="35"/>
  <c r="E919" i="35"/>
  <c r="E976" i="35"/>
  <c r="E514" i="35"/>
  <c r="N514" i="35" s="1"/>
  <c r="E524" i="35"/>
  <c r="N524" i="35" s="1"/>
  <c r="E470" i="35"/>
  <c r="E901" i="35"/>
  <c r="E905" i="35"/>
  <c r="E951" i="35"/>
  <c r="E977" i="35"/>
  <c r="E964" i="35"/>
  <c r="E953" i="35"/>
  <c r="E507" i="35"/>
  <c r="E509" i="35"/>
  <c r="N509" i="35" s="1"/>
  <c r="E434" i="35"/>
  <c r="E979" i="35"/>
  <c r="E952" i="35"/>
  <c r="E520" i="35"/>
  <c r="E433" i="35"/>
  <c r="E463" i="35"/>
  <c r="E1008" i="35"/>
  <c r="E460" i="35"/>
  <c r="E1021" i="35"/>
  <c r="E459" i="35"/>
  <c r="E993" i="35"/>
  <c r="E986" i="35"/>
  <c r="E531" i="35"/>
  <c r="N531" i="35" s="1"/>
  <c r="E1011" i="35"/>
  <c r="E973" i="35"/>
  <c r="E444" i="35"/>
  <c r="E960" i="35"/>
  <c r="E525" i="35"/>
  <c r="N525" i="35" s="1"/>
  <c r="E896" i="35"/>
  <c r="E947" i="35"/>
  <c r="E501" i="35"/>
  <c r="N501" i="35" s="1"/>
  <c r="E1026" i="35"/>
  <c r="E1018" i="35"/>
  <c r="E521" i="35"/>
  <c r="N521" i="35" s="1"/>
  <c r="E458" i="35"/>
  <c r="E537" i="35"/>
  <c r="E505" i="35"/>
  <c r="N505" i="35" s="1"/>
  <c r="E982" i="35"/>
  <c r="E961" i="35"/>
  <c r="E436" i="35"/>
  <c r="E990" i="35"/>
  <c r="E999" i="35"/>
  <c r="E966" i="35"/>
  <c r="E1001" i="35"/>
  <c r="E455" i="35"/>
  <c r="E443" i="35"/>
  <c r="E508" i="35"/>
  <c r="N508" i="35" s="1"/>
  <c r="E431" i="35"/>
  <c r="E512" i="35"/>
  <c r="E430" i="35"/>
  <c r="E913" i="35"/>
  <c r="E535" i="35"/>
  <c r="N535" i="35" s="1"/>
  <c r="E516" i="35"/>
  <c r="E500" i="35"/>
  <c r="E517" i="35"/>
  <c r="E911" i="35"/>
  <c r="E908" i="35"/>
  <c r="E437" i="35"/>
  <c r="E902" i="35"/>
  <c r="M902" i="35" s="1"/>
  <c r="E914" i="35"/>
  <c r="E499" i="35"/>
  <c r="E534" i="35"/>
  <c r="N534" i="35" s="1"/>
  <c r="E469" i="35"/>
  <c r="E895" i="35"/>
  <c r="E441" i="35"/>
  <c r="E946" i="35"/>
  <c r="E888" i="35"/>
  <c r="E1002" i="35"/>
  <c r="E910" i="35"/>
  <c r="N910" i="35" s="1"/>
  <c r="E974" i="35"/>
  <c r="E462" i="35"/>
  <c r="E468" i="35"/>
  <c r="E972" i="35"/>
  <c r="E1019" i="35"/>
  <c r="E978" i="35"/>
  <c r="E461" i="35"/>
  <c r="E959" i="35"/>
  <c r="E965" i="35"/>
  <c r="E909" i="35"/>
  <c r="E522" i="35"/>
  <c r="E968" i="35"/>
  <c r="E1028" i="35"/>
  <c r="E423" i="35"/>
  <c r="E962" i="35"/>
  <c r="E467" i="35"/>
  <c r="E1004" i="35"/>
  <c r="E984" i="35"/>
  <c r="E1017" i="35"/>
  <c r="E916" i="35"/>
  <c r="E955" i="35"/>
  <c r="E457" i="35"/>
  <c r="E892" i="35"/>
  <c r="M892" i="35" s="1"/>
  <c r="E428" i="35"/>
  <c r="E532" i="35"/>
  <c r="E900" i="35"/>
  <c r="N900" i="35" s="1"/>
  <c r="E435" i="35"/>
  <c r="E922" i="35"/>
  <c r="M922" i="35" s="1"/>
  <c r="E1025" i="35"/>
  <c r="E891" i="35"/>
  <c r="F742" i="42"/>
  <c r="H752" i="35"/>
  <c r="H751" i="35"/>
  <c r="H750" i="35"/>
  <c r="H749" i="35"/>
  <c r="H748" i="35"/>
  <c r="H747" i="35"/>
  <c r="H746" i="35"/>
  <c r="H745" i="35"/>
  <c r="H744" i="35"/>
  <c r="H743" i="35"/>
  <c r="H742" i="35"/>
  <c r="H741" i="35"/>
  <c r="H740" i="35"/>
  <c r="H739" i="35"/>
  <c r="H738" i="35"/>
  <c r="H737" i="35"/>
  <c r="H736" i="35"/>
  <c r="H735" i="35"/>
  <c r="H734" i="35"/>
  <c r="H733" i="35"/>
  <c r="H732" i="35"/>
  <c r="H731" i="35"/>
  <c r="H730" i="35"/>
  <c r="H729" i="35"/>
  <c r="H728" i="35"/>
  <c r="H711" i="35"/>
  <c r="H727" i="35"/>
  <c r="H726" i="35"/>
  <c r="H725" i="35"/>
  <c r="H724" i="35"/>
  <c r="H723" i="35"/>
  <c r="H722" i="35"/>
  <c r="H721" i="35"/>
  <c r="H720" i="35"/>
  <c r="H719" i="35"/>
  <c r="F725" i="42"/>
  <c r="C102" i="37"/>
  <c r="C101" i="37"/>
  <c r="C100" i="37"/>
  <c r="H1066" i="35"/>
  <c r="J486" i="35" a="1"/>
  <c r="J486" i="35" s="1"/>
  <c r="J485" i="35" a="1"/>
  <c r="J485" i="35" s="1"/>
  <c r="B172" i="51"/>
  <c r="B138" i="51"/>
  <c r="B104" i="51"/>
  <c r="B70" i="51"/>
  <c r="B173" i="51"/>
  <c r="B171" i="51"/>
  <c r="B170" i="51"/>
  <c r="B169" i="51"/>
  <c r="B168" i="51"/>
  <c r="B167" i="51"/>
  <c r="B139" i="51"/>
  <c r="B137" i="51"/>
  <c r="B136" i="51"/>
  <c r="B135" i="51"/>
  <c r="B134" i="51"/>
  <c r="B133" i="51"/>
  <c r="B105" i="51"/>
  <c r="B103" i="51"/>
  <c r="B102" i="51"/>
  <c r="B101" i="51"/>
  <c r="B100" i="51"/>
  <c r="B99" i="51"/>
  <c r="B71" i="51"/>
  <c r="B69" i="51"/>
  <c r="B68" i="51"/>
  <c r="B67" i="51"/>
  <c r="B66" i="51"/>
  <c r="B65" i="51"/>
  <c r="B32" i="51"/>
  <c r="B31" i="51"/>
  <c r="B37" i="51"/>
  <c r="B36" i="51"/>
  <c r="B35" i="51"/>
  <c r="B34" i="51"/>
  <c r="B33" i="51"/>
  <c r="F691" i="42"/>
  <c r="H701" i="35"/>
  <c r="H700" i="35"/>
  <c r="H699" i="35"/>
  <c r="H698" i="35"/>
  <c r="H697" i="35"/>
  <c r="H696" i="35"/>
  <c r="H695" i="35"/>
  <c r="H694" i="35"/>
  <c r="H693" i="35"/>
  <c r="H692" i="35"/>
  <c r="H691" i="35"/>
  <c r="H690" i="35"/>
  <c r="H689" i="35"/>
  <c r="H688" i="35"/>
  <c r="H687" i="35"/>
  <c r="H686" i="35"/>
  <c r="H685" i="35"/>
  <c r="H684" i="35"/>
  <c r="H683" i="35"/>
  <c r="H682" i="35"/>
  <c r="H681" i="35"/>
  <c r="H680" i="35"/>
  <c r="H679" i="35"/>
  <c r="H678" i="35"/>
  <c r="H677" i="35"/>
  <c r="H676" i="35"/>
  <c r="H675" i="35"/>
  <c r="H674" i="35"/>
  <c r="H673" i="35"/>
  <c r="H672" i="35"/>
  <c r="H671" i="35"/>
  <c r="H670" i="35"/>
  <c r="H669" i="35"/>
  <c r="H668" i="35"/>
  <c r="H667" i="35"/>
  <c r="H666" i="35"/>
  <c r="H665" i="35"/>
  <c r="H664" i="35"/>
  <c r="H663" i="35"/>
  <c r="H662" i="35"/>
  <c r="H661" i="35"/>
  <c r="H660" i="35"/>
  <c r="H659" i="35"/>
  <c r="H658" i="35"/>
  <c r="H657" i="35"/>
  <c r="H656" i="35"/>
  <c r="H655" i="35"/>
  <c r="H654" i="35"/>
  <c r="H653" i="35"/>
  <c r="H652" i="35"/>
  <c r="H651" i="35"/>
  <c r="H650" i="35"/>
  <c r="H649" i="35"/>
  <c r="H648" i="35"/>
  <c r="H647" i="35"/>
  <c r="H646" i="35"/>
  <c r="F663" i="42"/>
  <c r="H645" i="35"/>
  <c r="H644" i="35"/>
  <c r="H643" i="35"/>
  <c r="H642" i="35"/>
  <c r="H641" i="35"/>
  <c r="H640" i="35"/>
  <c r="H639" i="35"/>
  <c r="H638" i="35"/>
  <c r="H637" i="35"/>
  <c r="H636" i="35"/>
  <c r="H635" i="35"/>
  <c r="H634" i="35"/>
  <c r="H633" i="35"/>
  <c r="H632" i="35"/>
  <c r="H631" i="35"/>
  <c r="H630" i="35"/>
  <c r="H629" i="35"/>
  <c r="H628" i="35"/>
  <c r="H627" i="35"/>
  <c r="H626" i="35"/>
  <c r="H625" i="35"/>
  <c r="H624" i="35"/>
  <c r="H623" i="35"/>
  <c r="H622" i="35"/>
  <c r="H621" i="35"/>
  <c r="H620" i="35"/>
  <c r="H619" i="35"/>
  <c r="H618" i="35"/>
  <c r="F635" i="42"/>
  <c r="F607" i="42"/>
  <c r="H617" i="35"/>
  <c r="H616" i="35"/>
  <c r="H615" i="35"/>
  <c r="H614" i="35"/>
  <c r="H613" i="35"/>
  <c r="H612" i="35"/>
  <c r="H611" i="35"/>
  <c r="H610" i="35"/>
  <c r="H609" i="35"/>
  <c r="H608" i="35"/>
  <c r="H607" i="35"/>
  <c r="H606" i="35"/>
  <c r="H605" i="35"/>
  <c r="H604" i="35"/>
  <c r="H603" i="35"/>
  <c r="H602" i="35"/>
  <c r="H601" i="35"/>
  <c r="H600" i="35"/>
  <c r="H599" i="35"/>
  <c r="H598" i="35"/>
  <c r="H597" i="35"/>
  <c r="H596" i="35"/>
  <c r="H595" i="35"/>
  <c r="H594" i="35"/>
  <c r="H593" i="35"/>
  <c r="H592" i="35"/>
  <c r="H591" i="35"/>
  <c r="H590" i="35"/>
  <c r="G85" i="47"/>
  <c r="G84" i="47"/>
  <c r="G83" i="47"/>
  <c r="G82" i="47"/>
  <c r="G81" i="47"/>
  <c r="P442" i="35" l="1"/>
  <c r="Q527" i="35"/>
  <c r="P528" i="35"/>
  <c r="P462" i="35"/>
  <c r="Q507" i="35"/>
  <c r="P508" i="35"/>
  <c r="P452" i="35"/>
  <c r="Q517" i="35"/>
  <c r="P518" i="35"/>
  <c r="Q537" i="35"/>
  <c r="P538" i="35"/>
  <c r="P472" i="35"/>
  <c r="P432" i="35"/>
  <c r="N452" i="35"/>
  <c r="N432" i="35"/>
  <c r="N471" i="35"/>
  <c r="N472" i="35"/>
  <c r="N462" i="35"/>
  <c r="N441" i="35"/>
  <c r="N442" i="35"/>
  <c r="P537" i="35"/>
  <c r="N537" i="35"/>
  <c r="P527" i="35"/>
  <c r="N527" i="35"/>
  <c r="P517" i="35"/>
  <c r="N517" i="35"/>
  <c r="P507" i="35"/>
  <c r="N507" i="35"/>
  <c r="N431" i="35"/>
  <c r="N451" i="35"/>
  <c r="N461" i="35"/>
  <c r="P471" i="35"/>
  <c r="P451" i="35"/>
  <c r="N470" i="35"/>
  <c r="N536" i="35"/>
  <c r="N526" i="35"/>
  <c r="N516" i="35"/>
  <c r="N460" i="35"/>
  <c r="P506" i="35"/>
  <c r="N506" i="35"/>
  <c r="N450" i="35"/>
  <c r="P450" i="35"/>
  <c r="N440" i="35"/>
  <c r="P470" i="35"/>
  <c r="N469" i="35"/>
  <c r="N429" i="35"/>
  <c r="N449" i="35"/>
  <c r="N439" i="35"/>
  <c r="N459" i="35"/>
  <c r="N448" i="35"/>
  <c r="N468" i="35"/>
  <c r="N458" i="35"/>
  <c r="N438" i="35"/>
  <c r="N533" i="35"/>
  <c r="N523" i="35"/>
  <c r="N513" i="35"/>
  <c r="P503" i="35"/>
  <c r="N503" i="35"/>
  <c r="N466" i="35"/>
  <c r="N467" i="35"/>
  <c r="N457" i="35"/>
  <c r="N446" i="35"/>
  <c r="N447" i="35"/>
  <c r="N436" i="35"/>
  <c r="N437" i="35"/>
  <c r="N532" i="35"/>
  <c r="P522" i="35"/>
  <c r="N522" i="35"/>
  <c r="P512" i="35"/>
  <c r="N512" i="35"/>
  <c r="P502" i="35"/>
  <c r="N502" i="35"/>
  <c r="N456" i="35"/>
  <c r="N425" i="35"/>
  <c r="N465" i="35"/>
  <c r="N455" i="35"/>
  <c r="N435" i="35"/>
  <c r="N445" i="35"/>
  <c r="P467" i="35"/>
  <c r="P447" i="35"/>
  <c r="P466" i="35"/>
  <c r="H582" i="35"/>
  <c r="H564" i="35"/>
  <c r="H565" i="35"/>
  <c r="H566" i="35"/>
  <c r="H567" i="35"/>
  <c r="H568" i="35"/>
  <c r="H569" i="35"/>
  <c r="H570" i="35"/>
  <c r="H571" i="35"/>
  <c r="H563" i="35"/>
  <c r="H562" i="35"/>
  <c r="C148" i="37"/>
  <c r="C147" i="37"/>
  <c r="C146" i="37"/>
  <c r="C145" i="37"/>
  <c r="C144" i="37"/>
  <c r="D5" i="6" s="1"/>
  <c r="C143" i="37"/>
  <c r="J483" i="42"/>
  <c r="E15" i="48"/>
  <c r="Q1038" i="35"/>
  <c r="E1075" i="42"/>
  <c r="G1071" i="42"/>
  <c r="D1068" i="42"/>
  <c r="F1059" i="42"/>
  <c r="H1038" i="42"/>
  <c r="G133" i="42"/>
  <c r="E109" i="42"/>
  <c r="C398" i="37" l="1"/>
  <c r="B25" i="2" s="1"/>
  <c r="C397" i="37"/>
  <c r="B24" i="2" s="1"/>
  <c r="C99" i="37"/>
  <c r="C98" i="37"/>
  <c r="C104" i="37"/>
  <c r="C103" i="37"/>
  <c r="C97" i="37"/>
  <c r="C154" i="37"/>
  <c r="E173" i="51"/>
  <c r="E172" i="51"/>
  <c r="E171" i="51"/>
  <c r="E170" i="51"/>
  <c r="E169" i="51"/>
  <c r="E168" i="51"/>
  <c r="E167" i="51"/>
  <c r="E162" i="51"/>
  <c r="E161" i="51"/>
  <c r="E160" i="51"/>
  <c r="E159" i="51"/>
  <c r="E158" i="51"/>
  <c r="E156" i="51"/>
  <c r="E154" i="51"/>
  <c r="E153" i="51"/>
  <c r="E146" i="51"/>
  <c r="E145" i="51"/>
  <c r="E144" i="51"/>
  <c r="E139" i="51"/>
  <c r="E138" i="51"/>
  <c r="E137" i="51"/>
  <c r="E136" i="51"/>
  <c r="E135" i="51"/>
  <c r="E134" i="51"/>
  <c r="E133" i="51"/>
  <c r="E128" i="51"/>
  <c r="E127" i="51"/>
  <c r="E126" i="51"/>
  <c r="E125" i="51"/>
  <c r="E124" i="51"/>
  <c r="E122" i="51"/>
  <c r="E120" i="51"/>
  <c r="E119" i="51"/>
  <c r="E112" i="51"/>
  <c r="E111" i="51"/>
  <c r="E110" i="51"/>
  <c r="E105" i="51"/>
  <c r="E104" i="51"/>
  <c r="E103" i="51"/>
  <c r="E102" i="51"/>
  <c r="E101" i="51"/>
  <c r="E100" i="51"/>
  <c r="E99" i="51"/>
  <c r="E94" i="51"/>
  <c r="E93" i="51"/>
  <c r="E92" i="51"/>
  <c r="E91" i="51"/>
  <c r="E90" i="51"/>
  <c r="E88" i="51"/>
  <c r="E86" i="51"/>
  <c r="E85" i="51"/>
  <c r="E78" i="51"/>
  <c r="E77" i="51"/>
  <c r="E76" i="51"/>
  <c r="E71" i="51"/>
  <c r="E70" i="51"/>
  <c r="E69" i="51"/>
  <c r="E68" i="51"/>
  <c r="E67" i="51"/>
  <c r="E66" i="51"/>
  <c r="E65" i="51"/>
  <c r="E60" i="51"/>
  <c r="E59" i="51"/>
  <c r="E58" i="51"/>
  <c r="E57" i="51"/>
  <c r="E56" i="51"/>
  <c r="E54" i="51"/>
  <c r="E52" i="51"/>
  <c r="E51" i="51"/>
  <c r="E44" i="51"/>
  <c r="E43" i="51"/>
  <c r="E42" i="51"/>
  <c r="E10" i="51"/>
  <c r="E9" i="51"/>
  <c r="E8" i="51"/>
  <c r="E21" i="8"/>
  <c r="I7" i="54"/>
  <c r="F40" i="47"/>
  <c r="F39" i="47"/>
  <c r="F38" i="47"/>
  <c r="F37" i="47"/>
  <c r="F27" i="47"/>
  <c r="F26" i="47"/>
  <c r="F25" i="47"/>
  <c r="F24" i="47"/>
  <c r="F53" i="47"/>
  <c r="F52" i="47"/>
  <c r="F51" i="47"/>
  <c r="F50" i="47"/>
  <c r="F14" i="47"/>
  <c r="F13" i="47"/>
  <c r="F66" i="47"/>
  <c r="F65" i="47"/>
  <c r="F64" i="47"/>
  <c r="F63" i="47"/>
  <c r="G421" i="42"/>
  <c r="D416" i="42"/>
  <c r="B29" i="42"/>
  <c r="H925" i="35"/>
  <c r="H926" i="35"/>
  <c r="H927" i="35"/>
  <c r="H928" i="35"/>
  <c r="H929" i="35"/>
  <c r="H930" i="35"/>
  <c r="H931" i="35"/>
  <c r="H932" i="35"/>
  <c r="H933" i="35"/>
  <c r="H934" i="35"/>
  <c r="H935" i="35"/>
  <c r="H936" i="35"/>
  <c r="H937" i="35"/>
  <c r="H938" i="35"/>
  <c r="H939" i="35"/>
  <c r="H940" i="35"/>
  <c r="H941" i="35"/>
  <c r="H942" i="35"/>
  <c r="H943" i="35"/>
  <c r="H944" i="35"/>
  <c r="H924" i="35"/>
  <c r="C2" i="42"/>
  <c r="B2" i="42"/>
  <c r="B4" i="42"/>
  <c r="C4" i="42"/>
  <c r="B5" i="42"/>
  <c r="C5" i="42"/>
  <c r="E1034" i="42"/>
  <c r="D1033" i="42"/>
  <c r="D1032" i="42"/>
  <c r="B6" i="42"/>
  <c r="B15" i="42"/>
  <c r="C26" i="42"/>
  <c r="C25" i="42"/>
  <c r="B24" i="42"/>
  <c r="E557" i="42"/>
  <c r="E118" i="50"/>
  <c r="E117" i="50"/>
  <c r="E116" i="50"/>
  <c r="E115" i="50"/>
  <c r="E114" i="50"/>
  <c r="E113" i="50"/>
  <c r="E112" i="50"/>
  <c r="E107" i="50"/>
  <c r="E106" i="50"/>
  <c r="E105" i="50"/>
  <c r="E104" i="50"/>
  <c r="E103" i="50"/>
  <c r="E101" i="50"/>
  <c r="E100" i="50"/>
  <c r="E99" i="50"/>
  <c r="E95" i="50"/>
  <c r="E94" i="50"/>
  <c r="E93" i="50"/>
  <c r="E92" i="50"/>
  <c r="E91" i="50"/>
  <c r="E90" i="50"/>
  <c r="E89" i="50"/>
  <c r="E84" i="50"/>
  <c r="E83" i="50"/>
  <c r="E82" i="50"/>
  <c r="E81" i="50"/>
  <c r="E80" i="50"/>
  <c r="E78" i="50"/>
  <c r="E77" i="50"/>
  <c r="E76" i="50"/>
  <c r="E72" i="50"/>
  <c r="E71" i="50"/>
  <c r="E70" i="50"/>
  <c r="E69" i="50"/>
  <c r="E68" i="50"/>
  <c r="E67" i="50"/>
  <c r="E66" i="50"/>
  <c r="E61" i="50"/>
  <c r="E60" i="50"/>
  <c r="E59" i="50"/>
  <c r="E58" i="50"/>
  <c r="E57" i="50"/>
  <c r="E55" i="50"/>
  <c r="E54" i="50"/>
  <c r="E53" i="50"/>
  <c r="E49" i="50"/>
  <c r="E48" i="50"/>
  <c r="E47" i="50"/>
  <c r="E46" i="50"/>
  <c r="E45" i="50"/>
  <c r="E44" i="50"/>
  <c r="E43" i="50"/>
  <c r="E36" i="50"/>
  <c r="E35" i="50"/>
  <c r="E34" i="50"/>
  <c r="E32" i="50"/>
  <c r="E31" i="50"/>
  <c r="E30" i="50"/>
  <c r="E26" i="50"/>
  <c r="E25" i="50"/>
  <c r="E24" i="50"/>
  <c r="E23" i="50"/>
  <c r="E22" i="50"/>
  <c r="E21" i="50"/>
  <c r="E20" i="50"/>
  <c r="E15" i="50"/>
  <c r="E14" i="50"/>
  <c r="E13" i="50"/>
  <c r="E12" i="50"/>
  <c r="E11" i="50"/>
  <c r="E9" i="50"/>
  <c r="E8" i="50"/>
  <c r="E7" i="50"/>
  <c r="E21" i="52"/>
  <c r="E20" i="52"/>
  <c r="E19" i="52"/>
  <c r="E18" i="52"/>
  <c r="E17" i="52"/>
  <c r="E14" i="52"/>
  <c r="E13" i="52"/>
  <c r="E12" i="52"/>
  <c r="B7" i="52"/>
  <c r="E118" i="48"/>
  <c r="E117" i="48"/>
  <c r="E116" i="48"/>
  <c r="E115" i="48"/>
  <c r="E114" i="48"/>
  <c r="E113" i="48"/>
  <c r="E112" i="48"/>
  <c r="E107" i="48"/>
  <c r="E106" i="48"/>
  <c r="E105" i="48"/>
  <c r="E104" i="48"/>
  <c r="E103" i="48"/>
  <c r="E101" i="48"/>
  <c r="E100" i="48"/>
  <c r="E99" i="48"/>
  <c r="E95" i="48"/>
  <c r="E94" i="48"/>
  <c r="E93" i="48"/>
  <c r="E92" i="48"/>
  <c r="E91" i="48"/>
  <c r="E90" i="48"/>
  <c r="E89" i="48"/>
  <c r="E84" i="48"/>
  <c r="E83" i="48"/>
  <c r="E82" i="48"/>
  <c r="E81" i="48"/>
  <c r="E80" i="48"/>
  <c r="E78" i="48"/>
  <c r="E77" i="48"/>
  <c r="E76" i="48"/>
  <c r="E72" i="48"/>
  <c r="E71" i="48"/>
  <c r="E70" i="48"/>
  <c r="E69" i="48"/>
  <c r="E68" i="48"/>
  <c r="E67" i="48"/>
  <c r="E66" i="48"/>
  <c r="E61" i="48"/>
  <c r="E60" i="48"/>
  <c r="E59" i="48"/>
  <c r="E58" i="48"/>
  <c r="E57" i="48"/>
  <c r="E55" i="48"/>
  <c r="E54" i="48"/>
  <c r="E53" i="48"/>
  <c r="E49" i="48"/>
  <c r="E48" i="48"/>
  <c r="E47" i="48"/>
  <c r="E46" i="48"/>
  <c r="E45" i="48"/>
  <c r="E44" i="48"/>
  <c r="E43" i="48"/>
  <c r="E38" i="48"/>
  <c r="E37" i="48"/>
  <c r="E36" i="48"/>
  <c r="E35" i="48"/>
  <c r="E34" i="48"/>
  <c r="E32" i="48"/>
  <c r="E31" i="48"/>
  <c r="E30" i="48"/>
  <c r="E26" i="48"/>
  <c r="E25" i="48"/>
  <c r="E24" i="48"/>
  <c r="E23" i="48"/>
  <c r="E22" i="48"/>
  <c r="E21" i="48"/>
  <c r="E20" i="48"/>
  <c r="E14" i="48"/>
  <c r="E13" i="48"/>
  <c r="E12" i="48"/>
  <c r="E11" i="48"/>
  <c r="E9" i="48"/>
  <c r="E8" i="48"/>
  <c r="E7" i="48"/>
  <c r="D540" i="42"/>
  <c r="H539" i="42"/>
  <c r="D1031" i="42"/>
  <c r="D1029" i="42"/>
  <c r="E37" i="51"/>
  <c r="E36" i="51"/>
  <c r="E35" i="51"/>
  <c r="E34" i="51"/>
  <c r="E33" i="51"/>
  <c r="E32" i="51"/>
  <c r="E31" i="51"/>
  <c r="E25" i="51"/>
  <c r="E24" i="51"/>
  <c r="E23" i="51"/>
  <c r="E22" i="51"/>
  <c r="E20" i="51"/>
  <c r="E18" i="51"/>
  <c r="E17" i="51"/>
  <c r="E882" i="42"/>
  <c r="F880" i="42"/>
  <c r="H546" i="35"/>
  <c r="G482" i="42"/>
  <c r="G481" i="42"/>
  <c r="H549" i="35"/>
  <c r="H555" i="35"/>
  <c r="H552" i="35"/>
  <c r="E422" i="42" l="1"/>
  <c r="E418" i="42"/>
  <c r="H419" i="42"/>
  <c r="F421" i="42"/>
  <c r="E421" i="42"/>
  <c r="F420" i="42"/>
  <c r="F417" i="42"/>
  <c r="E107" i="49"/>
  <c r="E106" i="49"/>
  <c r="E85" i="49"/>
  <c r="E84" i="49"/>
  <c r="E83" i="49"/>
  <c r="E13" i="49"/>
  <c r="E9" i="49"/>
  <c r="E7" i="49"/>
  <c r="E97" i="49"/>
  <c r="E96" i="49"/>
  <c r="E92" i="49"/>
  <c r="E80" i="47"/>
  <c r="G334" i="42"/>
  <c r="H334" i="42"/>
  <c r="G335" i="42"/>
  <c r="H335" i="42"/>
  <c r="G336" i="42"/>
  <c r="H336" i="42"/>
  <c r="G337" i="42"/>
  <c r="H337" i="42"/>
  <c r="G338" i="42"/>
  <c r="H338" i="42"/>
  <c r="G339" i="42"/>
  <c r="H339" i="42"/>
  <c r="G340" i="42"/>
  <c r="H340" i="42"/>
  <c r="G341" i="42"/>
  <c r="H341" i="42"/>
  <c r="G342" i="42"/>
  <c r="H342" i="42"/>
  <c r="G343" i="42"/>
  <c r="H343" i="42"/>
  <c r="G344" i="42"/>
  <c r="H344" i="42"/>
  <c r="G345" i="42"/>
  <c r="H345" i="42"/>
  <c r="G346" i="42"/>
  <c r="H346" i="42"/>
  <c r="G347" i="42"/>
  <c r="H347" i="42"/>
  <c r="G348" i="42"/>
  <c r="H348" i="42"/>
  <c r="G349" i="42"/>
  <c r="H349" i="42"/>
  <c r="G350" i="42"/>
  <c r="H350" i="42"/>
  <c r="G351" i="42"/>
  <c r="H351" i="42"/>
  <c r="G352" i="42"/>
  <c r="H352" i="42"/>
  <c r="G353" i="42"/>
  <c r="H353" i="42"/>
  <c r="G354" i="42"/>
  <c r="H354" i="42"/>
  <c r="G355" i="42"/>
  <c r="H355" i="42"/>
  <c r="G356" i="42"/>
  <c r="H356" i="42"/>
  <c r="G357" i="42"/>
  <c r="H357" i="42"/>
  <c r="G358" i="42"/>
  <c r="H358" i="42"/>
  <c r="G359" i="42"/>
  <c r="H359" i="42"/>
  <c r="G360" i="42"/>
  <c r="H360" i="42"/>
  <c r="G361" i="42"/>
  <c r="H361" i="42"/>
  <c r="G362" i="42"/>
  <c r="H362" i="42"/>
  <c r="G363" i="42"/>
  <c r="H363" i="42"/>
  <c r="G364" i="42"/>
  <c r="H364" i="42"/>
  <c r="G365" i="42"/>
  <c r="H365" i="42"/>
  <c r="G366" i="42"/>
  <c r="H366" i="42"/>
  <c r="G367" i="42"/>
  <c r="H367" i="42"/>
  <c r="G368" i="42"/>
  <c r="H368" i="42"/>
  <c r="G369" i="42"/>
  <c r="H369" i="42"/>
  <c r="G370" i="42"/>
  <c r="H370" i="42"/>
  <c r="G371" i="42"/>
  <c r="H371" i="42"/>
  <c r="G372" i="42"/>
  <c r="H372" i="42"/>
  <c r="G373" i="42"/>
  <c r="H373" i="42"/>
  <c r="G294" i="42"/>
  <c r="H294" i="42"/>
  <c r="G295" i="42"/>
  <c r="H295" i="42"/>
  <c r="G296" i="42"/>
  <c r="H296" i="42"/>
  <c r="G297" i="42"/>
  <c r="H297" i="42"/>
  <c r="G298" i="42"/>
  <c r="H298" i="42"/>
  <c r="G299" i="42"/>
  <c r="H299" i="42"/>
  <c r="G300" i="42"/>
  <c r="H300" i="42"/>
  <c r="G301" i="42"/>
  <c r="H301" i="42"/>
  <c r="G302" i="42"/>
  <c r="H302" i="42"/>
  <c r="G303" i="42"/>
  <c r="H303" i="42"/>
  <c r="G304" i="42"/>
  <c r="H304" i="42"/>
  <c r="G305" i="42"/>
  <c r="H305" i="42"/>
  <c r="G306" i="42"/>
  <c r="H306" i="42"/>
  <c r="G307" i="42"/>
  <c r="H307" i="42"/>
  <c r="G308" i="42"/>
  <c r="H308" i="42"/>
  <c r="G309" i="42"/>
  <c r="H309" i="42"/>
  <c r="G310" i="42"/>
  <c r="H310" i="42"/>
  <c r="G311" i="42"/>
  <c r="H311" i="42"/>
  <c r="G312" i="42"/>
  <c r="H312" i="42"/>
  <c r="G313" i="42"/>
  <c r="H313" i="42"/>
  <c r="G314" i="42"/>
  <c r="H314" i="42"/>
  <c r="G315" i="42"/>
  <c r="H315" i="42"/>
  <c r="G316" i="42"/>
  <c r="H316" i="42"/>
  <c r="G317" i="42"/>
  <c r="H317" i="42"/>
  <c r="G318" i="42"/>
  <c r="H318" i="42"/>
  <c r="G319" i="42"/>
  <c r="H319" i="42"/>
  <c r="G320" i="42"/>
  <c r="H320" i="42"/>
  <c r="G321" i="42"/>
  <c r="H321" i="42"/>
  <c r="G322" i="42"/>
  <c r="H322" i="42"/>
  <c r="G323" i="42"/>
  <c r="H323" i="42"/>
  <c r="G324" i="42"/>
  <c r="H324" i="42"/>
  <c r="G325" i="42"/>
  <c r="H325" i="42"/>
  <c r="G326" i="42"/>
  <c r="H326" i="42"/>
  <c r="G327" i="42"/>
  <c r="H327" i="42"/>
  <c r="G328" i="42"/>
  <c r="H328" i="42"/>
  <c r="G329" i="42"/>
  <c r="H329" i="42"/>
  <c r="G330" i="42"/>
  <c r="H330" i="42"/>
  <c r="G331" i="42"/>
  <c r="H331" i="42"/>
  <c r="G332" i="42"/>
  <c r="H332" i="42"/>
  <c r="G333" i="42"/>
  <c r="H333" i="42"/>
  <c r="G254" i="42"/>
  <c r="H254" i="42"/>
  <c r="G255" i="42"/>
  <c r="H255" i="42"/>
  <c r="G256" i="42"/>
  <c r="H256" i="42"/>
  <c r="G257" i="42"/>
  <c r="H257" i="42"/>
  <c r="G258" i="42"/>
  <c r="H258" i="42"/>
  <c r="G259" i="42"/>
  <c r="H259" i="42"/>
  <c r="G260" i="42"/>
  <c r="H260" i="42"/>
  <c r="G261" i="42"/>
  <c r="H261" i="42"/>
  <c r="G262" i="42"/>
  <c r="H262" i="42"/>
  <c r="G263" i="42"/>
  <c r="H263" i="42"/>
  <c r="G264" i="42"/>
  <c r="H264" i="42"/>
  <c r="G265" i="42"/>
  <c r="H265" i="42"/>
  <c r="G266" i="42"/>
  <c r="H266" i="42"/>
  <c r="G267" i="42"/>
  <c r="H267" i="42"/>
  <c r="G268" i="42"/>
  <c r="H268" i="42"/>
  <c r="G269" i="42"/>
  <c r="H269" i="42"/>
  <c r="G270" i="42"/>
  <c r="H270" i="42"/>
  <c r="G271" i="42"/>
  <c r="H271" i="42"/>
  <c r="G272" i="42"/>
  <c r="H272" i="42"/>
  <c r="G273" i="42"/>
  <c r="H273" i="42"/>
  <c r="G274" i="42"/>
  <c r="H274" i="42"/>
  <c r="G275" i="42"/>
  <c r="H275" i="42"/>
  <c r="G276" i="42"/>
  <c r="H276" i="42"/>
  <c r="G277" i="42"/>
  <c r="H277" i="42"/>
  <c r="G278" i="42"/>
  <c r="H278" i="42"/>
  <c r="G279" i="42"/>
  <c r="H279" i="42"/>
  <c r="G280" i="42"/>
  <c r="H280" i="42"/>
  <c r="G281" i="42"/>
  <c r="H281" i="42"/>
  <c r="G282" i="42"/>
  <c r="H282" i="42"/>
  <c r="G283" i="42"/>
  <c r="H283" i="42"/>
  <c r="G284" i="42"/>
  <c r="H284" i="42"/>
  <c r="G285" i="42"/>
  <c r="H285" i="42"/>
  <c r="G286" i="42"/>
  <c r="H286" i="42"/>
  <c r="G287" i="42"/>
  <c r="H287" i="42"/>
  <c r="G288" i="42"/>
  <c r="H288" i="42"/>
  <c r="G289" i="42"/>
  <c r="H289" i="42"/>
  <c r="G290" i="42"/>
  <c r="H290" i="42"/>
  <c r="G291" i="42"/>
  <c r="H291" i="42"/>
  <c r="G292" i="42"/>
  <c r="H292" i="42"/>
  <c r="G293" i="42"/>
  <c r="H293" i="42"/>
  <c r="G214" i="42"/>
  <c r="H214" i="42"/>
  <c r="G215" i="42"/>
  <c r="H215" i="42"/>
  <c r="G216" i="42"/>
  <c r="H216" i="42"/>
  <c r="G217" i="42"/>
  <c r="H217" i="42"/>
  <c r="G218" i="42"/>
  <c r="H218" i="42"/>
  <c r="G219" i="42"/>
  <c r="H219" i="42"/>
  <c r="G220" i="42"/>
  <c r="H220" i="42"/>
  <c r="G221" i="42"/>
  <c r="H221" i="42"/>
  <c r="G222" i="42"/>
  <c r="H222" i="42"/>
  <c r="G223" i="42"/>
  <c r="H223" i="42"/>
  <c r="G224" i="42"/>
  <c r="H224" i="42"/>
  <c r="G225" i="42"/>
  <c r="H225" i="42"/>
  <c r="G226" i="42"/>
  <c r="H226" i="42"/>
  <c r="G227" i="42"/>
  <c r="H227" i="42"/>
  <c r="G228" i="42"/>
  <c r="H228" i="42"/>
  <c r="G229" i="42"/>
  <c r="H229" i="42"/>
  <c r="G230" i="42"/>
  <c r="H230" i="42"/>
  <c r="G231" i="42"/>
  <c r="H231" i="42"/>
  <c r="G232" i="42"/>
  <c r="H232" i="42"/>
  <c r="G233" i="42"/>
  <c r="H233" i="42"/>
  <c r="G234" i="42"/>
  <c r="H234" i="42"/>
  <c r="G235" i="42"/>
  <c r="H235" i="42"/>
  <c r="G236" i="42"/>
  <c r="H236" i="42"/>
  <c r="G237" i="42"/>
  <c r="H237" i="42"/>
  <c r="G238" i="42"/>
  <c r="H238" i="42"/>
  <c r="G239" i="42"/>
  <c r="H239" i="42"/>
  <c r="G240" i="42"/>
  <c r="H240" i="42"/>
  <c r="G241" i="42"/>
  <c r="H241" i="42"/>
  <c r="G242" i="42"/>
  <c r="H242" i="42"/>
  <c r="G243" i="42"/>
  <c r="H243" i="42"/>
  <c r="G244" i="42"/>
  <c r="H244" i="42"/>
  <c r="G245" i="42"/>
  <c r="H245" i="42"/>
  <c r="G246" i="42"/>
  <c r="H246" i="42"/>
  <c r="G247" i="42"/>
  <c r="H247" i="42"/>
  <c r="G248" i="42"/>
  <c r="H248" i="42"/>
  <c r="G249" i="42"/>
  <c r="H249" i="42"/>
  <c r="G250" i="42"/>
  <c r="H250" i="42"/>
  <c r="G251" i="42"/>
  <c r="H251" i="42"/>
  <c r="G252" i="42"/>
  <c r="H252" i="42"/>
  <c r="G253" i="42"/>
  <c r="H253" i="42"/>
  <c r="H174" i="42"/>
  <c r="H175" i="42"/>
  <c r="H176" i="42"/>
  <c r="H177" i="42"/>
  <c r="H178" i="42"/>
  <c r="H179" i="42"/>
  <c r="H180" i="42"/>
  <c r="H181" i="42"/>
  <c r="H182" i="42"/>
  <c r="H183" i="42"/>
  <c r="H184" i="42"/>
  <c r="H185" i="42"/>
  <c r="H186" i="42"/>
  <c r="H187" i="42"/>
  <c r="H188" i="42"/>
  <c r="H189" i="42"/>
  <c r="H190" i="42"/>
  <c r="H191" i="42"/>
  <c r="H192" i="42"/>
  <c r="H193" i="42"/>
  <c r="H194" i="42"/>
  <c r="H195" i="42"/>
  <c r="H196" i="42"/>
  <c r="H197" i="42"/>
  <c r="H198" i="42"/>
  <c r="H199" i="42"/>
  <c r="H200" i="42"/>
  <c r="H201" i="42"/>
  <c r="H202" i="42"/>
  <c r="H203" i="42"/>
  <c r="H204" i="42"/>
  <c r="H205" i="42"/>
  <c r="H206" i="42"/>
  <c r="H207" i="42"/>
  <c r="H208" i="42"/>
  <c r="H209" i="42"/>
  <c r="H210" i="42"/>
  <c r="H211" i="42"/>
  <c r="H212" i="42"/>
  <c r="H213" i="42"/>
  <c r="G174" i="42"/>
  <c r="G175" i="42"/>
  <c r="G176" i="42"/>
  <c r="G177" i="42"/>
  <c r="G178" i="42"/>
  <c r="G179" i="42"/>
  <c r="G180" i="42"/>
  <c r="G181" i="42"/>
  <c r="G182" i="42"/>
  <c r="G183" i="42"/>
  <c r="G184" i="42"/>
  <c r="G185" i="42"/>
  <c r="G186" i="42"/>
  <c r="G187" i="42"/>
  <c r="G188" i="42"/>
  <c r="G189" i="42"/>
  <c r="G190" i="42"/>
  <c r="G191" i="42"/>
  <c r="G192" i="42"/>
  <c r="G193" i="42"/>
  <c r="G194" i="42"/>
  <c r="G195" i="42"/>
  <c r="G196" i="42"/>
  <c r="G197" i="42"/>
  <c r="G198" i="42"/>
  <c r="G199" i="42"/>
  <c r="G200" i="42"/>
  <c r="G201" i="42"/>
  <c r="G202" i="42"/>
  <c r="G203" i="42"/>
  <c r="G204" i="42"/>
  <c r="G205" i="42"/>
  <c r="G206" i="42"/>
  <c r="G207" i="42"/>
  <c r="G208" i="42"/>
  <c r="G209" i="42"/>
  <c r="G210" i="42"/>
  <c r="G211" i="42"/>
  <c r="G212" i="42"/>
  <c r="G213" i="42"/>
  <c r="E7" i="8"/>
  <c r="E8" i="8"/>
  <c r="E12" i="8"/>
  <c r="E13" i="8"/>
  <c r="E14" i="8"/>
  <c r="E15" i="8"/>
  <c r="E16" i="8"/>
  <c r="E17" i="8"/>
  <c r="E18" i="8"/>
  <c r="E19" i="8"/>
  <c r="E20" i="8"/>
  <c r="E25" i="8"/>
  <c r="E26" i="8"/>
  <c r="E30" i="8"/>
  <c r="E31" i="8"/>
  <c r="E32" i="8"/>
  <c r="E33" i="8"/>
  <c r="E34" i="8"/>
  <c r="E35" i="8"/>
  <c r="E36" i="8"/>
  <c r="E37" i="8"/>
  <c r="E38" i="8"/>
  <c r="E39" i="8"/>
  <c r="E43" i="8"/>
  <c r="E44" i="8"/>
  <c r="E45" i="8"/>
  <c r="E46" i="8"/>
  <c r="E47" i="8"/>
  <c r="E48" i="8"/>
  <c r="E49" i="8"/>
  <c r="E50" i="8"/>
  <c r="E51" i="8"/>
  <c r="E52" i="8"/>
  <c r="E56" i="8"/>
  <c r="E60" i="8"/>
  <c r="E61" i="8"/>
  <c r="E62" i="8"/>
  <c r="C142" i="37"/>
  <c r="C137" i="37"/>
  <c r="C135" i="37"/>
  <c r="C136" i="37"/>
  <c r="C47" i="37"/>
  <c r="C46" i="37"/>
  <c r="C38" i="37"/>
  <c r="C37" i="37"/>
  <c r="C25" i="37"/>
  <c r="C24" i="37"/>
  <c r="C15" i="37"/>
  <c r="B22" i="31" s="1"/>
  <c r="C12" i="37"/>
  <c r="C11" i="37"/>
  <c r="C7" i="37"/>
  <c r="C105" i="42"/>
  <c r="B105" i="42"/>
  <c r="E16" i="2"/>
  <c r="D36" i="42"/>
  <c r="D561" i="42"/>
  <c r="F480" i="42"/>
  <c r="D20" i="42"/>
  <c r="H479" i="42"/>
  <c r="H478" i="42"/>
  <c r="H107" i="35"/>
  <c r="B34" i="42"/>
  <c r="E10" i="4"/>
  <c r="B558" i="42"/>
  <c r="C2" i="37"/>
  <c r="B21" i="31" s="1"/>
  <c r="B872" i="42"/>
  <c r="C560" i="42"/>
  <c r="B560" i="42"/>
  <c r="C559" i="42"/>
  <c r="B559" i="42"/>
  <c r="D476" i="42"/>
  <c r="E476" i="42"/>
  <c r="D475" i="42"/>
  <c r="E475" i="42"/>
  <c r="C133" i="37" l="1"/>
  <c r="C121" i="37"/>
  <c r="C119" i="37"/>
  <c r="C132" i="37"/>
  <c r="C120" i="37"/>
  <c r="C131" i="37"/>
  <c r="C118" i="37"/>
  <c r="C129" i="37"/>
  <c r="C117" i="37"/>
  <c r="C128" i="37"/>
  <c r="C127" i="37"/>
  <c r="C126" i="37"/>
  <c r="C125" i="37"/>
  <c r="C124" i="37"/>
  <c r="C123" i="37"/>
  <c r="C122" i="37"/>
  <c r="C130" i="37"/>
  <c r="C111" i="37"/>
  <c r="C116" i="37"/>
  <c r="C213" i="37"/>
  <c r="C248" i="37"/>
  <c r="C247" i="37"/>
  <c r="B97" i="49"/>
  <c r="C215" i="37"/>
  <c r="C6" i="37"/>
  <c r="B10" i="4"/>
  <c r="C242" i="37"/>
  <c r="C18" i="37"/>
  <c r="E474" i="42"/>
  <c r="D474" i="42"/>
  <c r="H473" i="42"/>
  <c r="C654" i="37" l="1"/>
  <c r="B52" i="49" s="1"/>
  <c r="C644" i="37"/>
  <c r="B39" i="49" s="1"/>
  <c r="C634" i="37"/>
  <c r="C674" i="37"/>
  <c r="B78" i="49" s="1"/>
  <c r="C664" i="37"/>
  <c r="B65" i="49" s="1"/>
  <c r="C673" i="37"/>
  <c r="B77" i="49" s="1"/>
  <c r="C633" i="37"/>
  <c r="C653" i="37"/>
  <c r="B51" i="49" s="1"/>
  <c r="C643" i="37"/>
  <c r="B38" i="49" s="1"/>
  <c r="C663" i="37"/>
  <c r="B64" i="49" s="1"/>
  <c r="C672" i="37"/>
  <c r="B76" i="49" s="1"/>
  <c r="C652" i="37"/>
  <c r="B50" i="49" s="1"/>
  <c r="C642" i="37"/>
  <c r="B37" i="49" s="1"/>
  <c r="C632" i="37"/>
  <c r="C662" i="37"/>
  <c r="B63" i="49" s="1"/>
  <c r="C671" i="37"/>
  <c r="B75" i="49" s="1"/>
  <c r="C651" i="37"/>
  <c r="B49" i="49" s="1"/>
  <c r="C641" i="37"/>
  <c r="B36" i="49" s="1"/>
  <c r="C631" i="37"/>
  <c r="C661" i="37"/>
  <c r="B62" i="49" s="1"/>
  <c r="C660" i="37"/>
  <c r="B61" i="49" s="1"/>
  <c r="C650" i="37"/>
  <c r="B48" i="49" s="1"/>
  <c r="C670" i="37"/>
  <c r="B74" i="49" s="1"/>
  <c r="C640" i="37"/>
  <c r="B35" i="49" s="1"/>
  <c r="C630" i="37"/>
  <c r="C669" i="37"/>
  <c r="B73" i="49" s="1"/>
  <c r="C659" i="37"/>
  <c r="B60" i="49" s="1"/>
  <c r="C639" i="37"/>
  <c r="B34" i="49" s="1"/>
  <c r="C649" i="37"/>
  <c r="B47" i="49" s="1"/>
  <c r="C629" i="37"/>
  <c r="C668" i="37"/>
  <c r="B72" i="49" s="1"/>
  <c r="C658" i="37"/>
  <c r="B59" i="49" s="1"/>
  <c r="C648" i="37"/>
  <c r="B46" i="49" s="1"/>
  <c r="C638" i="37"/>
  <c r="B33" i="49" s="1"/>
  <c r="C628" i="37"/>
  <c r="C657" i="37"/>
  <c r="B58" i="49" s="1"/>
  <c r="C637" i="37"/>
  <c r="B32" i="49" s="1"/>
  <c r="C667" i="37"/>
  <c r="B71" i="49" s="1"/>
  <c r="C647" i="37"/>
  <c r="B45" i="49" s="1"/>
  <c r="C627" i="37"/>
  <c r="C666" i="37"/>
  <c r="B70" i="49" s="1"/>
  <c r="C656" i="37"/>
  <c r="B57" i="49" s="1"/>
  <c r="C646" i="37"/>
  <c r="B44" i="49" s="1"/>
  <c r="C636" i="37"/>
  <c r="B31" i="49" s="1"/>
  <c r="C626" i="37"/>
  <c r="B18" i="49" s="1"/>
  <c r="C665" i="37"/>
  <c r="B69" i="49" s="1"/>
  <c r="C655" i="37"/>
  <c r="B56" i="49" s="1"/>
  <c r="C645" i="37"/>
  <c r="B43" i="49" s="1"/>
  <c r="C635" i="37"/>
  <c r="B30" i="49" s="1"/>
  <c r="C625" i="37"/>
  <c r="B17" i="49" s="1"/>
  <c r="B8" i="52"/>
  <c r="F708" i="42"/>
  <c r="B487" i="42"/>
  <c r="H61" i="35"/>
  <c r="H63" i="35"/>
  <c r="H26" i="35"/>
  <c r="H25" i="35"/>
  <c r="H24" i="35"/>
  <c r="F484" i="42"/>
  <c r="E25" i="2"/>
  <c r="E24" i="2"/>
  <c r="E23" i="2"/>
  <c r="B23" i="2"/>
  <c r="H27" i="35"/>
  <c r="E26" i="2"/>
  <c r="B26" i="2"/>
  <c r="E19" i="4"/>
  <c r="D485" i="35" l="1"/>
  <c r="C490" i="55" s="1"/>
  <c r="D486" i="35"/>
  <c r="C491" i="55" s="1"/>
  <c r="E1039" i="42"/>
  <c r="F579" i="42" l="1"/>
  <c r="E110" i="42"/>
  <c r="D108" i="42"/>
  <c r="C343" i="37" l="1"/>
  <c r="B8" i="54" s="1"/>
  <c r="C344" i="37"/>
  <c r="B9" i="54" s="1"/>
  <c r="C345" i="37"/>
  <c r="B10" i="54" s="1"/>
  <c r="C346" i="37"/>
  <c r="B11" i="54" s="1"/>
  <c r="C347" i="37"/>
  <c r="B12" i="54" s="1"/>
  <c r="C348" i="37"/>
  <c r="B13" i="54" s="1"/>
  <c r="C349" i="37"/>
  <c r="B14" i="54" s="1"/>
  <c r="C350" i="37"/>
  <c r="B15" i="54" s="1"/>
  <c r="C351" i="37"/>
  <c r="B16" i="54" s="1"/>
  <c r="C352" i="37"/>
  <c r="B17" i="54" s="1"/>
  <c r="C353" i="37"/>
  <c r="B18" i="54" s="1"/>
  <c r="C354" i="37"/>
  <c r="B19" i="54" s="1"/>
  <c r="C355" i="37"/>
  <c r="B20" i="54" s="1"/>
  <c r="C356" i="37"/>
  <c r="B21" i="54" s="1"/>
  <c r="C357" i="37"/>
  <c r="B22" i="54" s="1"/>
  <c r="C392" i="37"/>
  <c r="B41" i="2" l="1"/>
  <c r="B77" i="47"/>
  <c r="C358" i="37"/>
  <c r="B23" i="54" s="1"/>
  <c r="C359" i="37"/>
  <c r="B24" i="54" s="1"/>
  <c r="C360" i="37"/>
  <c r="B25" i="54" s="1"/>
  <c r="C361" i="37"/>
  <c r="B26" i="54" s="1"/>
  <c r="C362" i="37"/>
  <c r="B27" i="54" s="1"/>
  <c r="C363" i="37"/>
  <c r="B28" i="54" s="1"/>
  <c r="H873" i="35"/>
  <c r="H703" i="35"/>
  <c r="H704" i="35"/>
  <c r="H705" i="35"/>
  <c r="H706" i="35"/>
  <c r="H707" i="35"/>
  <c r="H708" i="35"/>
  <c r="H709" i="35"/>
  <c r="H710" i="35"/>
  <c r="H712" i="35"/>
  <c r="H713" i="35"/>
  <c r="H714" i="35"/>
  <c r="H715" i="35"/>
  <c r="H716" i="35"/>
  <c r="H717" i="35"/>
  <c r="H718" i="35"/>
  <c r="H702" i="35"/>
  <c r="H560" i="35"/>
  <c r="H561" i="35"/>
  <c r="H559" i="35"/>
  <c r="H486" i="35"/>
  <c r="H545" i="35"/>
  <c r="H544" i="35"/>
  <c r="H542" i="35"/>
  <c r="H541" i="35"/>
  <c r="H540" i="35"/>
  <c r="H539" i="35"/>
  <c r="H487" i="35"/>
  <c r="H485" i="35"/>
  <c r="H484" i="35"/>
  <c r="H483" i="35"/>
  <c r="H482" i="35"/>
  <c r="H479" i="35"/>
  <c r="H480" i="35"/>
  <c r="H478" i="35"/>
  <c r="H374" i="35"/>
  <c r="H375" i="35" l="1"/>
  <c r="B26" i="49" l="1"/>
  <c r="B19" i="49"/>
  <c r="B25" i="49"/>
  <c r="B21" i="49"/>
  <c r="B24" i="49"/>
  <c r="B23" i="49"/>
  <c r="H424" i="35"/>
  <c r="B22" i="49"/>
  <c r="B20" i="49"/>
  <c r="H376" i="35"/>
  <c r="H377" i="35" l="1"/>
  <c r="H378" i="35" l="1"/>
  <c r="H379" i="35" l="1"/>
  <c r="H380" i="35" l="1"/>
  <c r="H381" i="35" l="1"/>
  <c r="H382" i="35" l="1"/>
  <c r="H34" i="35" l="1"/>
  <c r="H35" i="35"/>
  <c r="H36" i="35"/>
  <c r="E40" i="2" l="1"/>
  <c r="E41" i="2"/>
  <c r="E39" i="2"/>
  <c r="B40" i="2"/>
  <c r="B39" i="2"/>
  <c r="H21" i="35"/>
  <c r="H28" i="35" l="1"/>
  <c r="H5" i="35" l="1"/>
  <c r="H4" i="35"/>
  <c r="B17" i="31"/>
  <c r="B16" i="31"/>
  <c r="H366" i="35"/>
  <c r="H367" i="35"/>
  <c r="H368" i="35"/>
  <c r="H369" i="35"/>
  <c r="H370" i="35"/>
  <c r="H371" i="35"/>
  <c r="H372" i="35"/>
  <c r="H373" i="35"/>
  <c r="H335" i="35"/>
  <c r="H336" i="35"/>
  <c r="H337" i="35"/>
  <c r="H338" i="35"/>
  <c r="H339" i="35"/>
  <c r="H340" i="35"/>
  <c r="H341" i="35"/>
  <c r="H342" i="35"/>
  <c r="H343" i="35"/>
  <c r="H344" i="35"/>
  <c r="H345" i="35"/>
  <c r="H346" i="35"/>
  <c r="H347" i="35"/>
  <c r="H348" i="35"/>
  <c r="H349" i="35"/>
  <c r="H350" i="35"/>
  <c r="H351" i="35"/>
  <c r="H352" i="35"/>
  <c r="H353" i="35"/>
  <c r="H354" i="35"/>
  <c r="H355" i="35"/>
  <c r="H356" i="35"/>
  <c r="H357" i="35"/>
  <c r="H358" i="35"/>
  <c r="H359" i="35"/>
  <c r="H360" i="35"/>
  <c r="H361" i="35"/>
  <c r="H362" i="35"/>
  <c r="H363" i="35"/>
  <c r="H364" i="35"/>
  <c r="H365" i="35"/>
  <c r="H334" i="35"/>
  <c r="H333" i="35"/>
  <c r="H328" i="35"/>
  <c r="H329" i="35"/>
  <c r="H330" i="35"/>
  <c r="H331" i="35"/>
  <c r="H332" i="35"/>
  <c r="H295" i="35"/>
  <c r="H296" i="35"/>
  <c r="H297" i="35"/>
  <c r="H298" i="35"/>
  <c r="H299" i="35"/>
  <c r="H300" i="35"/>
  <c r="H301" i="35"/>
  <c r="H302" i="35"/>
  <c r="H303" i="35"/>
  <c r="H304" i="35"/>
  <c r="H305" i="35"/>
  <c r="H306" i="35"/>
  <c r="H307" i="35"/>
  <c r="H308" i="35"/>
  <c r="H309" i="35"/>
  <c r="H310" i="35"/>
  <c r="H311" i="35"/>
  <c r="H312" i="35"/>
  <c r="H313" i="35"/>
  <c r="H314" i="35"/>
  <c r="H315" i="35"/>
  <c r="H316" i="35"/>
  <c r="H317" i="35"/>
  <c r="H318" i="35"/>
  <c r="H319" i="35"/>
  <c r="H320" i="35"/>
  <c r="H321" i="35"/>
  <c r="H322" i="35"/>
  <c r="H323" i="35"/>
  <c r="H324" i="35"/>
  <c r="H325" i="35"/>
  <c r="H326" i="35"/>
  <c r="H327" i="35"/>
  <c r="H294" i="35"/>
  <c r="H285" i="35"/>
  <c r="H286" i="35"/>
  <c r="H287" i="35"/>
  <c r="H288" i="35"/>
  <c r="H289" i="35"/>
  <c r="H290" i="35"/>
  <c r="H291" i="35"/>
  <c r="H292" i="35"/>
  <c r="H293" i="35"/>
  <c r="H255" i="35"/>
  <c r="H256" i="35"/>
  <c r="H257" i="35"/>
  <c r="H258" i="35"/>
  <c r="H259" i="35"/>
  <c r="H260" i="35"/>
  <c r="H261" i="35"/>
  <c r="H262" i="35"/>
  <c r="H263" i="35"/>
  <c r="H264" i="35"/>
  <c r="H265" i="35"/>
  <c r="H266" i="35"/>
  <c r="H267" i="35"/>
  <c r="H268" i="35"/>
  <c r="H269" i="35"/>
  <c r="H270" i="35"/>
  <c r="H271" i="35"/>
  <c r="H272" i="35"/>
  <c r="H273" i="35"/>
  <c r="H274" i="35"/>
  <c r="H275" i="35"/>
  <c r="H276" i="35"/>
  <c r="H277" i="35"/>
  <c r="H278" i="35"/>
  <c r="H279" i="35"/>
  <c r="H280" i="35"/>
  <c r="H281" i="35"/>
  <c r="H282" i="35"/>
  <c r="H283" i="35"/>
  <c r="H284" i="35"/>
  <c r="H254" i="35"/>
  <c r="H247" i="35"/>
  <c r="H248" i="35"/>
  <c r="H249" i="35"/>
  <c r="H250" i="35"/>
  <c r="H251" i="35"/>
  <c r="H252" i="35"/>
  <c r="H253" i="35"/>
  <c r="H215" i="35"/>
  <c r="H216" i="35"/>
  <c r="H217" i="35"/>
  <c r="H218" i="35"/>
  <c r="H219" i="35"/>
  <c r="H220" i="35"/>
  <c r="H221" i="35"/>
  <c r="H222" i="35"/>
  <c r="H223" i="35"/>
  <c r="H224" i="35"/>
  <c r="H225" i="35"/>
  <c r="H226" i="35"/>
  <c r="H227" i="35"/>
  <c r="H228" i="35"/>
  <c r="H229" i="35"/>
  <c r="H230" i="35"/>
  <c r="H231" i="35"/>
  <c r="H232" i="35"/>
  <c r="H233" i="35"/>
  <c r="H234" i="35"/>
  <c r="H235" i="35"/>
  <c r="H236" i="35"/>
  <c r="H237" i="35"/>
  <c r="H238" i="35"/>
  <c r="H239" i="35"/>
  <c r="H240" i="35"/>
  <c r="H241" i="35"/>
  <c r="H242" i="35"/>
  <c r="H243" i="35"/>
  <c r="H244" i="35"/>
  <c r="H245" i="35"/>
  <c r="H246" i="35"/>
  <c r="H214" i="35"/>
  <c r="H175" i="35"/>
  <c r="H176" i="35"/>
  <c r="H177" i="35"/>
  <c r="H178" i="35"/>
  <c r="H179" i="35"/>
  <c r="H180" i="35"/>
  <c r="H181" i="35"/>
  <c r="H182" i="35"/>
  <c r="H183" i="35"/>
  <c r="H184" i="35"/>
  <c r="H185" i="35"/>
  <c r="H186" i="35"/>
  <c r="H187" i="35"/>
  <c r="H188" i="35"/>
  <c r="H189" i="35"/>
  <c r="H190" i="35"/>
  <c r="H191" i="35"/>
  <c r="H192" i="35"/>
  <c r="H193" i="35"/>
  <c r="H194" i="35"/>
  <c r="H195" i="35"/>
  <c r="H196" i="35"/>
  <c r="H197" i="35"/>
  <c r="H198" i="35"/>
  <c r="H199" i="35"/>
  <c r="H200" i="35"/>
  <c r="H201" i="35"/>
  <c r="H202" i="35"/>
  <c r="H203" i="35"/>
  <c r="H204" i="35"/>
  <c r="H205" i="35"/>
  <c r="H206" i="35"/>
  <c r="H207" i="35"/>
  <c r="H208" i="35"/>
  <c r="H209" i="35"/>
  <c r="H210" i="35"/>
  <c r="H211" i="35"/>
  <c r="H212" i="35"/>
  <c r="H213" i="35"/>
  <c r="H174" i="35"/>
  <c r="H135" i="35"/>
  <c r="H136" i="35"/>
  <c r="H137" i="35"/>
  <c r="H138" i="35"/>
  <c r="H139" i="35"/>
  <c r="H140" i="35"/>
  <c r="H141" i="35"/>
  <c r="H142" i="35"/>
  <c r="H143" i="35"/>
  <c r="H144" i="35"/>
  <c r="H145" i="35"/>
  <c r="H146" i="35"/>
  <c r="H147" i="35"/>
  <c r="H148" i="35"/>
  <c r="H149" i="35"/>
  <c r="H150" i="35"/>
  <c r="H151" i="35"/>
  <c r="H152" i="35"/>
  <c r="H153" i="35"/>
  <c r="H154" i="35"/>
  <c r="H155" i="35"/>
  <c r="H156" i="35"/>
  <c r="H157" i="35"/>
  <c r="H158" i="35"/>
  <c r="H159" i="35"/>
  <c r="H160" i="35"/>
  <c r="H161" i="35"/>
  <c r="H162" i="35"/>
  <c r="H163" i="35"/>
  <c r="H164" i="35"/>
  <c r="H165" i="35"/>
  <c r="H166" i="35"/>
  <c r="H167" i="35"/>
  <c r="H168" i="35"/>
  <c r="H169" i="35"/>
  <c r="H170" i="35"/>
  <c r="H171" i="35"/>
  <c r="H172" i="35"/>
  <c r="H173" i="35"/>
  <c r="H558" i="35"/>
  <c r="H557" i="35"/>
  <c r="H556" i="35"/>
  <c r="H554" i="35"/>
  <c r="H553" i="35"/>
  <c r="H875" i="35"/>
  <c r="H876" i="35"/>
  <c r="H877" i="35"/>
  <c r="H878" i="35"/>
  <c r="H879" i="35"/>
  <c r="H880" i="35"/>
  <c r="H881" i="35"/>
  <c r="H882" i="35"/>
  <c r="H883" i="35"/>
  <c r="H874" i="35"/>
  <c r="H548" i="35"/>
  <c r="H547" i="35"/>
  <c r="H551" i="35"/>
  <c r="H550" i="35"/>
  <c r="B12" i="31" l="1"/>
  <c r="C387" i="37"/>
  <c r="B100" i="47" s="1"/>
  <c r="B99" i="47"/>
  <c r="B98" i="47"/>
  <c r="H477" i="35"/>
  <c r="H476" i="35"/>
  <c r="H475" i="35"/>
  <c r="H474" i="35"/>
  <c r="H473" i="35"/>
  <c r="C241" i="37"/>
  <c r="B86" i="49" s="1"/>
  <c r="H419" i="35"/>
  <c r="E10" i="49"/>
  <c r="H133" i="35"/>
  <c r="H132" i="35"/>
  <c r="H131" i="35"/>
  <c r="H130" i="35"/>
  <c r="F123" i="42"/>
  <c r="H71" i="35"/>
  <c r="C383" i="37"/>
  <c r="C382" i="37"/>
  <c r="H422" i="35"/>
  <c r="H421" i="35"/>
  <c r="H420" i="35"/>
  <c r="H418" i="35"/>
  <c r="H417" i="35"/>
  <c r="H416" i="35"/>
  <c r="C376" i="37" l="1"/>
  <c r="B16" i="5" s="1"/>
  <c r="H59" i="35"/>
  <c r="H589" i="35"/>
  <c r="H588" i="35"/>
  <c r="H587" i="35"/>
  <c r="H586" i="35"/>
  <c r="H585" i="35"/>
  <c r="H584" i="35"/>
  <c r="H583" i="35"/>
  <c r="H581" i="35"/>
  <c r="H580" i="35"/>
  <c r="H579" i="35"/>
  <c r="H578" i="35"/>
  <c r="H577" i="35"/>
  <c r="H576" i="35"/>
  <c r="H575" i="35"/>
  <c r="H574" i="35"/>
  <c r="H573" i="35"/>
  <c r="H572" i="35"/>
  <c r="H803" i="35"/>
  <c r="H802" i="35"/>
  <c r="H801" i="35"/>
  <c r="H800" i="35"/>
  <c r="H799" i="35"/>
  <c r="H798" i="35"/>
  <c r="H797" i="35"/>
  <c r="H795" i="35"/>
  <c r="H794" i="35"/>
  <c r="H793" i="35"/>
  <c r="H792" i="35"/>
  <c r="H791" i="35"/>
  <c r="H790" i="35"/>
  <c r="H789" i="35"/>
  <c r="H788" i="35"/>
  <c r="E25" i="5"/>
  <c r="E26" i="5"/>
  <c r="E27" i="5"/>
  <c r="E24" i="5"/>
  <c r="B24" i="5"/>
  <c r="C69" i="42"/>
  <c r="H62" i="35"/>
  <c r="H129" i="35"/>
  <c r="H128" i="35"/>
  <c r="H127" i="35"/>
  <c r="H126" i="35"/>
  <c r="E17" i="5"/>
  <c r="E18" i="5"/>
  <c r="E19" i="5"/>
  <c r="E20" i="5"/>
  <c r="B20" i="5"/>
  <c r="B19" i="5"/>
  <c r="B18" i="5"/>
  <c r="E16" i="5"/>
  <c r="E15" i="5"/>
  <c r="H125" i="35"/>
  <c r="H124" i="35"/>
  <c r="B124" i="42"/>
  <c r="B15" i="5"/>
  <c r="H123" i="35"/>
  <c r="H122" i="35"/>
  <c r="B122" i="42"/>
  <c r="H121" i="35"/>
  <c r="H120" i="35"/>
  <c r="H119" i="35"/>
  <c r="B25" i="5" l="1"/>
  <c r="B26" i="5"/>
  <c r="B27" i="5"/>
  <c r="F121" i="42"/>
  <c r="F120" i="42"/>
  <c r="C140" i="37"/>
  <c r="C139" i="37"/>
  <c r="H109" i="35"/>
  <c r="H108" i="35"/>
  <c r="B11" i="4" l="1"/>
  <c r="E7" i="2"/>
  <c r="H19" i="35"/>
  <c r="E15" i="2"/>
  <c r="H60" i="35"/>
  <c r="B21" i="8"/>
  <c r="H118" i="35"/>
  <c r="H117" i="35"/>
  <c r="H116" i="35"/>
  <c r="H115" i="35"/>
  <c r="H114" i="35"/>
  <c r="H113" i="35"/>
  <c r="H112" i="35"/>
  <c r="H111" i="35"/>
  <c r="H110" i="35"/>
  <c r="D118" i="42"/>
  <c r="B118" i="42"/>
  <c r="D117" i="42"/>
  <c r="B117" i="42"/>
  <c r="D116" i="42"/>
  <c r="B116" i="42"/>
  <c r="F115" i="42"/>
  <c r="F113" i="42"/>
  <c r="F112" i="42"/>
  <c r="C369" i="37"/>
  <c r="B18" i="4" s="1"/>
  <c r="B17" i="4"/>
  <c r="C367" i="37"/>
  <c r="B16" i="4" s="1"/>
  <c r="C366" i="37"/>
  <c r="B15" i="4" s="1"/>
  <c r="C365" i="37"/>
  <c r="B14" i="4" s="1"/>
  <c r="C372" i="37"/>
  <c r="B21" i="4" s="1"/>
  <c r="C371" i="37"/>
  <c r="B20" i="4" s="1"/>
  <c r="C370" i="37"/>
  <c r="B19" i="4" s="1"/>
  <c r="E17" i="4"/>
  <c r="F94" i="47"/>
  <c r="E13" i="4"/>
  <c r="E14" i="4"/>
  <c r="E15" i="4"/>
  <c r="E16" i="4"/>
  <c r="E18" i="4"/>
  <c r="E21" i="4"/>
  <c r="C364" i="37"/>
  <c r="B13" i="4" s="1"/>
  <c r="E20" i="4"/>
  <c r="H481" i="35" l="1"/>
  <c r="H1087" i="35"/>
  <c r="H1086" i="35"/>
  <c r="H1085" i="35"/>
  <c r="B111" i="49"/>
  <c r="E82" i="49"/>
  <c r="E86" i="49"/>
  <c r="H1084" i="35"/>
  <c r="H1083" i="35"/>
  <c r="H1082" i="35"/>
  <c r="H1081" i="35"/>
  <c r="H1080" i="35"/>
  <c r="H1079" i="35"/>
  <c r="H1078" i="35"/>
  <c r="H1077" i="35"/>
  <c r="H1076" i="35"/>
  <c r="E101" i="49"/>
  <c r="E102" i="49"/>
  <c r="B222" i="38"/>
  <c r="B180" i="38"/>
  <c r="B178" i="38"/>
  <c r="B174" i="38"/>
  <c r="F1078" i="42"/>
  <c r="E1076" i="42"/>
  <c r="F1074" i="42"/>
  <c r="F1073" i="42"/>
  <c r="F1072" i="42"/>
  <c r="F1071" i="42"/>
  <c r="E1071" i="42"/>
  <c r="F1070" i="42"/>
  <c r="D1070" i="42"/>
  <c r="E1069" i="42"/>
  <c r="H1075" i="35"/>
  <c r="H1074" i="35"/>
  <c r="H1073" i="35"/>
  <c r="H1072" i="35"/>
  <c r="H1071" i="35"/>
  <c r="H1070" i="35"/>
  <c r="H1069" i="35"/>
  <c r="H1068" i="35"/>
  <c r="H1067" i="35"/>
  <c r="E1067" i="42"/>
  <c r="E1066" i="42"/>
  <c r="H1065" i="35"/>
  <c r="H1064" i="35"/>
  <c r="H1063" i="35"/>
  <c r="E1060" i="42"/>
  <c r="B13" i="49"/>
  <c r="B12" i="49"/>
  <c r="E109" i="51" l="1"/>
  <c r="E143" i="51"/>
  <c r="E41" i="51"/>
  <c r="E7" i="51"/>
  <c r="E75" i="51"/>
  <c r="F1040" i="42"/>
  <c r="E1058" i="42"/>
  <c r="E111" i="49"/>
  <c r="D80" i="47"/>
  <c r="C80" i="47"/>
  <c r="F76" i="47"/>
  <c r="H1062" i="35"/>
  <c r="H1061" i="35"/>
  <c r="H1060" i="35"/>
  <c r="H1059" i="35"/>
  <c r="H1058" i="35"/>
  <c r="H1057" i="35"/>
  <c r="F1062" i="42" l="1"/>
  <c r="F1061" i="42"/>
  <c r="D1057" i="42"/>
  <c r="E1040" i="42"/>
  <c r="E1043" i="42"/>
  <c r="E1042" i="42"/>
  <c r="B30" i="17" l="1"/>
  <c r="H1056" i="35"/>
  <c r="H1055" i="35"/>
  <c r="H1054" i="35"/>
  <c r="H1044" i="35"/>
  <c r="H1045" i="35"/>
  <c r="H1046" i="35"/>
  <c r="H1047" i="35"/>
  <c r="H1048" i="35"/>
  <c r="H1049" i="35"/>
  <c r="H1050" i="35"/>
  <c r="H1051" i="35"/>
  <c r="H1052" i="35"/>
  <c r="H1053" i="35"/>
  <c r="E90" i="49"/>
  <c r="E91" i="49"/>
  <c r="E11" i="49"/>
  <c r="F93" i="47"/>
  <c r="H1043" i="35"/>
  <c r="H1042" i="35"/>
  <c r="H1041" i="35"/>
  <c r="H1040" i="35"/>
  <c r="H1039" i="35"/>
  <c r="N1063" i="35" l="1"/>
  <c r="N1064" i="35"/>
  <c r="F77" i="47"/>
  <c r="H32" i="35"/>
  <c r="H33" i="35"/>
  <c r="H31" i="35"/>
  <c r="C56" i="37"/>
  <c r="C55" i="37"/>
  <c r="B7" i="32" s="1"/>
  <c r="H18" i="35"/>
  <c r="H14" i="35" l="1"/>
  <c r="B7" i="2"/>
  <c r="B39" i="8"/>
  <c r="H30" i="35"/>
  <c r="H29" i="35"/>
  <c r="H1035" i="35"/>
  <c r="H1036" i="35"/>
  <c r="H1037" i="35"/>
  <c r="H1038" i="35"/>
  <c r="H1034" i="35"/>
  <c r="H1033" i="35"/>
  <c r="H1032" i="35"/>
  <c r="C185" i="37"/>
  <c r="B9" i="45" s="1"/>
  <c r="C180" i="37"/>
  <c r="B46" i="17" s="1"/>
  <c r="C179" i="37"/>
  <c r="B45" i="17" s="1"/>
  <c r="C178" i="37"/>
  <c r="B44" i="17" s="1"/>
  <c r="C177" i="37"/>
  <c r="B43" i="17" s="1"/>
  <c r="C163" i="37"/>
  <c r="B28" i="17" s="1"/>
  <c r="C162" i="37"/>
  <c r="B27" i="17" s="1"/>
  <c r="C161" i="37"/>
  <c r="B26" i="17" s="1"/>
  <c r="C160" i="37"/>
  <c r="B22" i="17" s="1"/>
  <c r="C159" i="37"/>
  <c r="B21" i="17" s="1"/>
  <c r="C158" i="37"/>
  <c r="B20" i="17" s="1"/>
  <c r="C157" i="37"/>
  <c r="B19" i="17" s="1"/>
  <c r="C156" i="37"/>
  <c r="B18" i="17" s="1"/>
  <c r="C155" i="37"/>
  <c r="B17" i="17" s="1"/>
  <c r="C153" i="37"/>
  <c r="B15" i="17" s="1"/>
  <c r="B16" i="17"/>
  <c r="C152" i="37"/>
  <c r="B14" i="17" s="1"/>
  <c r="E33" i="46"/>
  <c r="E34" i="46"/>
  <c r="E32" i="46"/>
  <c r="E24" i="46"/>
  <c r="E25" i="46"/>
  <c r="E26" i="46"/>
  <c r="E27" i="46"/>
  <c r="E28" i="46"/>
  <c r="E29" i="46"/>
  <c r="E30" i="46"/>
  <c r="E31" i="46"/>
  <c r="E23" i="46"/>
  <c r="E43" i="17"/>
  <c r="E44" i="17"/>
  <c r="E45" i="17"/>
  <c r="E47" i="17"/>
  <c r="E48" i="17"/>
  <c r="E30" i="17"/>
  <c r="E31" i="17"/>
  <c r="E32" i="17"/>
  <c r="E33" i="17"/>
  <c r="E34" i="17"/>
  <c r="E35" i="17"/>
  <c r="E36" i="17"/>
  <c r="E37" i="17"/>
  <c r="E38" i="17"/>
  <c r="E39" i="17"/>
  <c r="E40" i="17"/>
  <c r="E41" i="17"/>
  <c r="E29" i="17"/>
  <c r="B29" i="17"/>
  <c r="B31" i="17"/>
  <c r="B32" i="17"/>
  <c r="B33" i="17"/>
  <c r="B34" i="17"/>
  <c r="B35" i="17"/>
  <c r="B37" i="17"/>
  <c r="B38" i="17"/>
  <c r="B39" i="17"/>
  <c r="B40" i="17"/>
  <c r="B41" i="17"/>
  <c r="E14" i="46"/>
  <c r="E15" i="46"/>
  <c r="E16" i="46"/>
  <c r="E17" i="46"/>
  <c r="E18" i="46"/>
  <c r="E13" i="46"/>
  <c r="E9" i="46"/>
  <c r="E8" i="46"/>
  <c r="E7" i="46"/>
  <c r="E9" i="45"/>
  <c r="E8" i="45"/>
  <c r="E7" i="45"/>
  <c r="B8" i="45"/>
  <c r="B7" i="45"/>
  <c r="C150" i="37"/>
  <c r="B9" i="17" s="1"/>
  <c r="C149" i="37"/>
  <c r="B8" i="17" s="1"/>
  <c r="E27" i="17"/>
  <c r="E26" i="17"/>
  <c r="H1030" i="35"/>
  <c r="H1031" i="35"/>
  <c r="H1029" i="35"/>
  <c r="E21" i="17"/>
  <c r="E22" i="17"/>
  <c r="E20" i="17"/>
  <c r="E17" i="17"/>
  <c r="E19" i="17"/>
  <c r="E10" i="17"/>
  <c r="E9" i="17"/>
  <c r="E8" i="17"/>
  <c r="E15" i="17"/>
  <c r="E16" i="17"/>
  <c r="E14" i="17"/>
  <c r="H98" i="35"/>
  <c r="H99" i="35"/>
  <c r="H100" i="35"/>
  <c r="H101" i="35"/>
  <c r="H102" i="35"/>
  <c r="H103" i="35"/>
  <c r="H106" i="35"/>
  <c r="H105" i="35"/>
  <c r="B9" i="5"/>
  <c r="B8" i="5"/>
  <c r="E8" i="5"/>
  <c r="B52" i="36"/>
  <c r="H5" i="6"/>
  <c r="G5" i="6"/>
  <c r="F5" i="6"/>
  <c r="E5" i="6"/>
  <c r="B10" i="5"/>
  <c r="B11" i="5"/>
  <c r="E11" i="5"/>
  <c r="E10" i="5"/>
  <c r="E9" i="5"/>
  <c r="B7" i="5"/>
  <c r="C6" i="6"/>
  <c r="H6" i="6"/>
  <c r="G6" i="6"/>
  <c r="F6" i="6"/>
  <c r="E6" i="6"/>
  <c r="D6" i="6"/>
  <c r="B12" i="4"/>
  <c r="B9" i="4"/>
  <c r="E9" i="4"/>
  <c r="E8" i="4"/>
  <c r="B8" i="4"/>
  <c r="E30" i="2"/>
  <c r="B30" i="2"/>
  <c r="E11" i="2"/>
  <c r="C5" i="6" l="1"/>
  <c r="B13" i="43"/>
  <c r="B12" i="43"/>
  <c r="B11" i="43"/>
  <c r="B10" i="43"/>
  <c r="B7" i="43"/>
  <c r="B8" i="43"/>
  <c r="B9" i="43"/>
  <c r="B6" i="43"/>
  <c r="H84" i="35"/>
  <c r="H85" i="35"/>
  <c r="H86" i="35"/>
  <c r="H87" i="35"/>
  <c r="H88" i="35"/>
  <c r="H89" i="35"/>
  <c r="H90" i="35"/>
  <c r="H91" i="35"/>
  <c r="H92" i="35"/>
  <c r="H93" i="35"/>
  <c r="H94" i="35"/>
  <c r="H95" i="35"/>
  <c r="H96" i="35"/>
  <c r="H97" i="35"/>
  <c r="H83" i="35"/>
  <c r="B17" i="8"/>
  <c r="C114" i="37"/>
  <c r="B8" i="44" s="1"/>
  <c r="C115" i="37"/>
  <c r="B9" i="44" s="1"/>
  <c r="B13" i="44"/>
  <c r="B14" i="44"/>
  <c r="B15" i="44"/>
  <c r="B16" i="44"/>
  <c r="B17" i="44"/>
  <c r="B18" i="44"/>
  <c r="B19" i="44"/>
  <c r="B20" i="44"/>
  <c r="B21" i="44"/>
  <c r="B22" i="44"/>
  <c r="B23" i="44"/>
  <c r="B24" i="44"/>
  <c r="B25" i="44"/>
  <c r="B26" i="44"/>
  <c r="B27" i="44"/>
  <c r="C113" i="37"/>
  <c r="B7" i="44" s="1"/>
  <c r="E17" i="2"/>
  <c r="H76" i="35" l="1"/>
  <c r="H77" i="35"/>
  <c r="H78" i="35"/>
  <c r="H79" i="35"/>
  <c r="H80" i="35"/>
  <c r="H81" i="35"/>
  <c r="H82" i="35"/>
  <c r="H75" i="35"/>
  <c r="E7" i="43"/>
  <c r="E8" i="43"/>
  <c r="E9" i="43"/>
  <c r="E10" i="43"/>
  <c r="E11" i="43"/>
  <c r="E12" i="43"/>
  <c r="E13" i="43"/>
  <c r="E6" i="43"/>
  <c r="H16" i="35"/>
  <c r="H17" i="35"/>
  <c r="B10" i="2"/>
  <c r="B9" i="2"/>
  <c r="E10" i="2"/>
  <c r="E9" i="2"/>
  <c r="E8" i="2"/>
  <c r="H37" i="35"/>
  <c r="H383" i="35" l="1"/>
  <c r="H384" i="35"/>
  <c r="H385" i="35"/>
  <c r="H386" i="35"/>
  <c r="H387" i="35"/>
  <c r="H388" i="35"/>
  <c r="H389" i="35"/>
  <c r="H390" i="35"/>
  <c r="H391" i="35"/>
  <c r="H392" i="35"/>
  <c r="H393" i="35"/>
  <c r="H394" i="35"/>
  <c r="H395" i="35"/>
  <c r="H396" i="35"/>
  <c r="H397" i="35"/>
  <c r="H398" i="35"/>
  <c r="H399" i="35"/>
  <c r="H400" i="35"/>
  <c r="H401" i="35"/>
  <c r="H402" i="35"/>
  <c r="H403" i="35"/>
  <c r="H404" i="35"/>
  <c r="H405" i="35"/>
  <c r="H406" i="35"/>
  <c r="H407" i="35"/>
  <c r="H408" i="35"/>
  <c r="H409" i="35"/>
  <c r="H410" i="35"/>
  <c r="H411" i="35"/>
  <c r="H412" i="35"/>
  <c r="H413" i="35"/>
  <c r="H414" i="35"/>
  <c r="H415" i="35"/>
  <c r="H73" i="35"/>
  <c r="H74" i="35"/>
  <c r="H72" i="35"/>
  <c r="H70" i="35"/>
  <c r="H64" i="35" l="1"/>
  <c r="H65" i="35"/>
  <c r="H66" i="35"/>
  <c r="H67" i="35"/>
  <c r="H68" i="35"/>
  <c r="H69" i="35"/>
  <c r="O69" i="35" l="1" a="1"/>
  <c r="O69" i="35" s="1"/>
  <c r="C58" i="37"/>
  <c r="C59" i="37"/>
  <c r="C60" i="37"/>
  <c r="C61" i="37"/>
  <c r="C62" i="37"/>
  <c r="C63" i="37"/>
  <c r="C64" i="37"/>
  <c r="C65" i="37"/>
  <c r="C66" i="37"/>
  <c r="C67" i="37"/>
  <c r="C68" i="37"/>
  <c r="C69" i="37"/>
  <c r="C70" i="37"/>
  <c r="C71" i="37"/>
  <c r="C72" i="37"/>
  <c r="C73" i="37"/>
  <c r="C74" i="37"/>
  <c r="C75" i="37"/>
  <c r="C76" i="37"/>
  <c r="C77" i="37"/>
  <c r="C78" i="37"/>
  <c r="C79" i="37"/>
  <c r="C80" i="37"/>
  <c r="C81" i="37"/>
  <c r="C82" i="37"/>
  <c r="C83" i="37"/>
  <c r="C84" i="37"/>
  <c r="C85" i="37"/>
  <c r="C86" i="37"/>
  <c r="C87" i="37"/>
  <c r="C88" i="37"/>
  <c r="C89" i="37"/>
  <c r="C90" i="37"/>
  <c r="C91" i="37"/>
  <c r="C92" i="37"/>
  <c r="C93" i="37"/>
  <c r="C94" i="37"/>
  <c r="C95" i="37"/>
  <c r="C96" i="37"/>
  <c r="C57" i="37"/>
  <c r="B8" i="32"/>
  <c r="C1837" i="41" l="1"/>
  <c r="W958" i="35"/>
  <c r="Y958" i="35"/>
  <c r="L958" i="35"/>
  <c r="N958" i="35"/>
  <c r="W974" i="35"/>
  <c r="C1853" i="41"/>
  <c r="N974" i="35"/>
  <c r="L974" i="35"/>
  <c r="Y974" i="35"/>
  <c r="Y469" i="35"/>
  <c r="C410" i="41"/>
  <c r="W469" i="35"/>
  <c r="L469" i="35"/>
  <c r="P469" i="35"/>
  <c r="C465" i="41"/>
  <c r="M514" i="35"/>
  <c r="L514" i="35"/>
  <c r="O514" i="35"/>
  <c r="P514" i="35"/>
  <c r="Y514" i="35"/>
  <c r="K514" i="35"/>
  <c r="W514" i="35"/>
  <c r="Q456" i="35"/>
  <c r="W456" i="35"/>
  <c r="K456" i="35"/>
  <c r="Y456" i="35"/>
  <c r="L456" i="35"/>
  <c r="C397" i="41"/>
  <c r="M456" i="35"/>
  <c r="N919" i="35"/>
  <c r="W919" i="35"/>
  <c r="C1765" i="41"/>
  <c r="Y919" i="35"/>
  <c r="L449" i="35"/>
  <c r="P449" i="35"/>
  <c r="Y449" i="35"/>
  <c r="C390" i="41"/>
  <c r="W449" i="35"/>
  <c r="N971" i="35"/>
  <c r="Y971" i="35"/>
  <c r="C1850" i="41"/>
  <c r="L971" i="35"/>
  <c r="W971" i="35"/>
  <c r="W978" i="35"/>
  <c r="N978" i="35"/>
  <c r="C1857" i="41"/>
  <c r="Y978" i="35"/>
  <c r="L978" i="35"/>
  <c r="Q431" i="35"/>
  <c r="C372" i="41"/>
  <c r="Y431" i="35"/>
  <c r="W431" i="35"/>
  <c r="Q432" i="35"/>
  <c r="L981" i="35"/>
  <c r="Y981" i="35"/>
  <c r="N981" i="35"/>
  <c r="C1860" i="41"/>
  <c r="W981" i="35"/>
  <c r="W1025" i="35"/>
  <c r="N1025" i="35"/>
  <c r="C1904" i="41"/>
  <c r="L1025" i="35"/>
  <c r="Y1025" i="35"/>
  <c r="N984" i="35"/>
  <c r="W984" i="35"/>
  <c r="Y984" i="35"/>
  <c r="L984" i="35"/>
  <c r="C1863" i="41"/>
  <c r="C409" i="41"/>
  <c r="W468" i="35"/>
  <c r="Y468" i="35"/>
  <c r="P468" i="35"/>
  <c r="L468" i="35"/>
  <c r="W452" i="35"/>
  <c r="C393" i="41"/>
  <c r="Y452" i="35"/>
  <c r="C1866" i="41"/>
  <c r="Y987" i="35"/>
  <c r="L987" i="35"/>
  <c r="W987" i="35"/>
  <c r="N987" i="35"/>
  <c r="C1855" i="41"/>
  <c r="L976" i="35"/>
  <c r="N976" i="35"/>
  <c r="Y976" i="35"/>
  <c r="W976" i="35"/>
  <c r="Y972" i="35"/>
  <c r="L972" i="35"/>
  <c r="W972" i="35"/>
  <c r="C1851" i="41"/>
  <c r="N972" i="35"/>
  <c r="N954" i="35"/>
  <c r="Y954" i="35"/>
  <c r="L954" i="35"/>
  <c r="W954" i="35"/>
  <c r="C1833" i="41"/>
  <c r="W443" i="35"/>
  <c r="X443" i="35" s="1"/>
  <c r="C384" i="41"/>
  <c r="Y443" i="35"/>
  <c r="O443" i="35"/>
  <c r="Y920" i="35"/>
  <c r="C1766" i="41"/>
  <c r="O920" i="35"/>
  <c r="W920" i="35"/>
  <c r="Y430" i="35"/>
  <c r="W430" i="35"/>
  <c r="Q430" i="35"/>
  <c r="C371" i="41"/>
  <c r="C1696" i="41"/>
  <c r="W889" i="35"/>
  <c r="Y889" i="35"/>
  <c r="N889" i="35"/>
  <c r="B1725" i="41"/>
  <c r="B1727" i="41"/>
  <c r="B1728" i="41"/>
  <c r="B1726" i="41"/>
  <c r="O903" i="35"/>
  <c r="W903" i="35"/>
  <c r="Y903" i="35"/>
  <c r="W538" i="35"/>
  <c r="X538" i="35" s="1"/>
  <c r="O538" i="35"/>
  <c r="L538" i="35"/>
  <c r="K538" i="35"/>
  <c r="M538" i="35"/>
  <c r="Y538" i="35"/>
  <c r="C491" i="41"/>
  <c r="C1737" i="41"/>
  <c r="W907" i="35"/>
  <c r="M907" i="35"/>
  <c r="Y907" i="35"/>
  <c r="Y951" i="35"/>
  <c r="L951" i="35"/>
  <c r="N951" i="35"/>
  <c r="W951" i="35"/>
  <c r="C1830" i="41"/>
  <c r="C413" i="41"/>
  <c r="W472" i="35"/>
  <c r="Y472" i="35"/>
  <c r="C388" i="41"/>
  <c r="Q447" i="35"/>
  <c r="Y447" i="35"/>
  <c r="W447" i="35"/>
  <c r="L447" i="35"/>
  <c r="N980" i="35"/>
  <c r="L980" i="35"/>
  <c r="W980" i="35"/>
  <c r="X980" i="35" s="1"/>
  <c r="Y980" i="35"/>
  <c r="C1859" i="41"/>
  <c r="W891" i="35"/>
  <c r="X891" i="35" s="1"/>
  <c r="M891" i="35"/>
  <c r="Y891" i="35"/>
  <c r="C1699" i="41"/>
  <c r="O501" i="35"/>
  <c r="W501" i="35"/>
  <c r="X501" i="35" s="1"/>
  <c r="C451" i="41"/>
  <c r="Y501" i="35"/>
  <c r="W1007" i="35"/>
  <c r="N1007" i="35"/>
  <c r="L1007" i="35"/>
  <c r="C1886" i="41"/>
  <c r="Y1007" i="35"/>
  <c r="Y1023" i="35"/>
  <c r="L1023" i="35"/>
  <c r="W1023" i="35"/>
  <c r="N1023" i="35"/>
  <c r="C1902" i="41"/>
  <c r="N1026" i="35"/>
  <c r="W1026" i="35"/>
  <c r="C1905" i="41"/>
  <c r="L1026" i="35"/>
  <c r="Y1026" i="35"/>
  <c r="C1691" i="41"/>
  <c r="Y887" i="35"/>
  <c r="W887" i="35"/>
  <c r="B1705" i="41"/>
  <c r="Y893" i="35"/>
  <c r="W893" i="35"/>
  <c r="B1704" i="41"/>
  <c r="B1702" i="41"/>
  <c r="O893" i="35"/>
  <c r="B1703" i="41"/>
  <c r="M527" i="35"/>
  <c r="L527" i="35"/>
  <c r="Q528" i="35"/>
  <c r="Y527" i="35"/>
  <c r="O527" i="35"/>
  <c r="K527" i="35"/>
  <c r="C479" i="41"/>
  <c r="W527" i="35"/>
  <c r="C1697" i="41"/>
  <c r="Y890" i="35"/>
  <c r="O890" i="35"/>
  <c r="W890" i="35"/>
  <c r="N959" i="35"/>
  <c r="W959" i="35"/>
  <c r="X959" i="35" s="1"/>
  <c r="L959" i="35"/>
  <c r="Y959" i="35"/>
  <c r="C1838" i="41"/>
  <c r="Y463" i="35"/>
  <c r="C404" i="41"/>
  <c r="W463" i="35"/>
  <c r="O463" i="35"/>
  <c r="Y515" i="35"/>
  <c r="O515" i="35"/>
  <c r="L515" i="35"/>
  <c r="W515" i="35"/>
  <c r="P515" i="35"/>
  <c r="K515" i="35"/>
  <c r="C466" i="41"/>
  <c r="M515" i="35"/>
  <c r="Y1009" i="35"/>
  <c r="N1009" i="35"/>
  <c r="L1009" i="35"/>
  <c r="W1009" i="35"/>
  <c r="C1888" i="41"/>
  <c r="W985" i="35"/>
  <c r="N985" i="35"/>
  <c r="Y985" i="35"/>
  <c r="L985" i="35"/>
  <c r="C1864" i="41"/>
  <c r="N961" i="35"/>
  <c r="C1840" i="41"/>
  <c r="L961" i="35"/>
  <c r="W961" i="35"/>
  <c r="Y961" i="35"/>
  <c r="L1002" i="35"/>
  <c r="Y1002" i="35"/>
  <c r="C1881" i="41"/>
  <c r="W1002" i="35"/>
  <c r="N1002" i="35"/>
  <c r="B1690" i="41"/>
  <c r="B1695" i="41"/>
  <c r="B1691" i="41"/>
  <c r="B1693" i="41"/>
  <c r="W886" i="35"/>
  <c r="B1694" i="41"/>
  <c r="N886" i="35"/>
  <c r="B1692" i="41"/>
  <c r="Y886" i="35"/>
  <c r="C462" i="41"/>
  <c r="O511" i="35"/>
  <c r="W511" i="35"/>
  <c r="Y511" i="35"/>
  <c r="Y915" i="35"/>
  <c r="B1756" i="41"/>
  <c r="C1754" i="41"/>
  <c r="B1757" i="41"/>
  <c r="B1755" i="41"/>
  <c r="N915" i="35"/>
  <c r="W915" i="35"/>
  <c r="W997" i="35"/>
  <c r="X997" i="35" s="1"/>
  <c r="C1876" i="41"/>
  <c r="N997" i="35"/>
  <c r="L997" i="35"/>
  <c r="Y997" i="35"/>
  <c r="C1862" i="41"/>
  <c r="W983" i="35"/>
  <c r="N983" i="35"/>
  <c r="L983" i="35"/>
  <c r="Y983" i="35"/>
  <c r="C369" i="41"/>
  <c r="P428" i="35"/>
  <c r="Y428" i="35"/>
  <c r="W428" i="35"/>
  <c r="C1849" i="41"/>
  <c r="N970" i="35"/>
  <c r="Y970" i="35"/>
  <c r="L970" i="35"/>
  <c r="W970" i="35"/>
  <c r="W424" i="35"/>
  <c r="Y424" i="35"/>
  <c r="C365" i="41"/>
  <c r="Q522" i="35"/>
  <c r="Y522" i="35"/>
  <c r="W522" i="35"/>
  <c r="C474" i="41"/>
  <c r="C486" i="41"/>
  <c r="K533" i="35"/>
  <c r="Q533" i="35"/>
  <c r="L533" i="35"/>
  <c r="M533" i="35"/>
  <c r="O533" i="35"/>
  <c r="W533" i="35"/>
  <c r="Y533" i="35"/>
  <c r="L1008" i="35"/>
  <c r="N1008" i="35"/>
  <c r="Y1008" i="35"/>
  <c r="W1008" i="35"/>
  <c r="C1887" i="41"/>
  <c r="C1760" i="41"/>
  <c r="W917" i="35"/>
  <c r="Y917" i="35"/>
  <c r="M917" i="35"/>
  <c r="C395" i="41"/>
  <c r="W454" i="35"/>
  <c r="Y454" i="35"/>
  <c r="C1831" i="41"/>
  <c r="Y952" i="35"/>
  <c r="L952" i="35"/>
  <c r="N952" i="35"/>
  <c r="W952" i="35"/>
  <c r="Y966" i="35"/>
  <c r="C1845" i="41"/>
  <c r="N966" i="35"/>
  <c r="L966" i="35"/>
  <c r="W966" i="35"/>
  <c r="L986" i="35"/>
  <c r="N986" i="35"/>
  <c r="C1865" i="41"/>
  <c r="W986" i="35"/>
  <c r="Y986" i="35"/>
  <c r="C483" i="41"/>
  <c r="W530" i="35"/>
  <c r="X530" i="35" s="1"/>
  <c r="K530" i="35"/>
  <c r="Y530" i="35"/>
  <c r="N892" i="35"/>
  <c r="Y892" i="35"/>
  <c r="C1700" i="41"/>
  <c r="W892" i="35"/>
  <c r="W1013" i="35"/>
  <c r="X1013" i="35" s="1"/>
  <c r="L1013" i="35"/>
  <c r="Y1013" i="35"/>
  <c r="C1892" i="41"/>
  <c r="N1013" i="35"/>
  <c r="W901" i="35"/>
  <c r="M901" i="35"/>
  <c r="Y901" i="35"/>
  <c r="C1722" i="41"/>
  <c r="W908" i="35"/>
  <c r="Y908" i="35"/>
  <c r="O908" i="35"/>
  <c r="O428" i="35"/>
  <c r="O427" i="35"/>
  <c r="O431" i="35"/>
  <c r="O430" i="35"/>
  <c r="W425" i="35"/>
  <c r="O432" i="35"/>
  <c r="O429" i="35"/>
  <c r="C366" i="41"/>
  <c r="O425" i="35"/>
  <c r="Y425" i="35"/>
  <c r="Y432" i="35"/>
  <c r="W432" i="35"/>
  <c r="C373" i="41"/>
  <c r="K534" i="35"/>
  <c r="L534" i="35"/>
  <c r="W534" i="35"/>
  <c r="Y534" i="35"/>
  <c r="M534" i="35"/>
  <c r="O534" i="35"/>
  <c r="C487" i="41"/>
  <c r="P534" i="35"/>
  <c r="P509" i="35"/>
  <c r="C460" i="41"/>
  <c r="Y509" i="35"/>
  <c r="B459" i="41"/>
  <c r="W509" i="35"/>
  <c r="N914" i="35"/>
  <c r="B1753" i="41"/>
  <c r="W914" i="35"/>
  <c r="Y914" i="35"/>
  <c r="C1753" i="41"/>
  <c r="B1754" i="41"/>
  <c r="B1730" i="41"/>
  <c r="B1731" i="41"/>
  <c r="Y904" i="35"/>
  <c r="W904" i="35"/>
  <c r="N904" i="35"/>
  <c r="C1730" i="41"/>
  <c r="M458" i="35"/>
  <c r="L458" i="35"/>
  <c r="W458" i="35"/>
  <c r="P458" i="35"/>
  <c r="Y458" i="35"/>
  <c r="C399" i="41"/>
  <c r="K524" i="35"/>
  <c r="L524" i="35"/>
  <c r="O524" i="35"/>
  <c r="C476" i="41"/>
  <c r="P524" i="35"/>
  <c r="W524" i="35"/>
  <c r="M524" i="35"/>
  <c r="Y524" i="35"/>
  <c r="C398" i="41"/>
  <c r="M457" i="35"/>
  <c r="W457" i="35"/>
  <c r="L457" i="35"/>
  <c r="Q457" i="35"/>
  <c r="Y457" i="35"/>
  <c r="Y1005" i="35"/>
  <c r="N1005" i="35"/>
  <c r="W1005" i="35"/>
  <c r="C1884" i="41"/>
  <c r="L1005" i="35"/>
  <c r="L992" i="35"/>
  <c r="C1871" i="41"/>
  <c r="N992" i="35"/>
  <c r="W992" i="35"/>
  <c r="Y992" i="35"/>
  <c r="W957" i="35"/>
  <c r="Y957" i="35"/>
  <c r="L957" i="35"/>
  <c r="C1836" i="41"/>
  <c r="N957" i="35"/>
  <c r="W1000" i="35"/>
  <c r="Y1000" i="35"/>
  <c r="N1000" i="35"/>
  <c r="C1879" i="41"/>
  <c r="L1000" i="35"/>
  <c r="L949" i="35"/>
  <c r="N949" i="35"/>
  <c r="C1828" i="41"/>
  <c r="W949" i="35"/>
  <c r="Y949" i="35"/>
  <c r="B1732" i="41"/>
  <c r="C1731" i="41"/>
  <c r="N905" i="35"/>
  <c r="Y905" i="35"/>
  <c r="W905" i="35"/>
  <c r="B1733" i="41"/>
  <c r="B1734" i="41"/>
  <c r="W448" i="35"/>
  <c r="P448" i="35"/>
  <c r="C389" i="41"/>
  <c r="L448" i="35"/>
  <c r="Y448" i="35"/>
  <c r="Y433" i="35"/>
  <c r="W433" i="35"/>
  <c r="C374" i="41"/>
  <c r="O433" i="35"/>
  <c r="W505" i="35"/>
  <c r="X505" i="35" s="1"/>
  <c r="C455" i="41"/>
  <c r="P505" i="35"/>
  <c r="K505" i="35"/>
  <c r="Y505" i="35"/>
  <c r="W918" i="35"/>
  <c r="O918" i="35"/>
  <c r="Y918" i="35"/>
  <c r="Y979" i="35"/>
  <c r="W979" i="35"/>
  <c r="C1858" i="41"/>
  <c r="N979" i="35"/>
  <c r="L979" i="35"/>
  <c r="W1015" i="35"/>
  <c r="X1015" i="35" s="1"/>
  <c r="N1015" i="35"/>
  <c r="L1015" i="35"/>
  <c r="C1894" i="41"/>
  <c r="Y1015" i="35"/>
  <c r="O513" i="35"/>
  <c r="Y513" i="35"/>
  <c r="W513" i="35"/>
  <c r="M513" i="35"/>
  <c r="K513" i="35"/>
  <c r="L513" i="35"/>
  <c r="C464" i="41"/>
  <c r="Q513" i="35"/>
  <c r="W1020" i="35"/>
  <c r="N1020" i="35"/>
  <c r="L1020" i="35"/>
  <c r="C1899" i="41"/>
  <c r="Y1020" i="35"/>
  <c r="W499" i="35"/>
  <c r="Y499" i="35"/>
  <c r="C449" i="41"/>
  <c r="P499" i="35"/>
  <c r="B448" i="41"/>
  <c r="N1021" i="35"/>
  <c r="Y1021" i="35"/>
  <c r="L1021" i="35"/>
  <c r="C1900" i="41"/>
  <c r="W1021" i="35"/>
  <c r="W982" i="35"/>
  <c r="X982" i="35" s="1"/>
  <c r="L982" i="35"/>
  <c r="Y982" i="35"/>
  <c r="C1861" i="41"/>
  <c r="N982" i="35"/>
  <c r="K536" i="35"/>
  <c r="Y536" i="35"/>
  <c r="W536" i="35"/>
  <c r="Q536" i="35"/>
  <c r="C489" i="41"/>
  <c r="M536" i="35"/>
  <c r="L536" i="35"/>
  <c r="O536" i="35"/>
  <c r="W921" i="35"/>
  <c r="X921" i="35" s="1"/>
  <c r="M921" i="35"/>
  <c r="C1768" i="41"/>
  <c r="Y921" i="35"/>
  <c r="L967" i="35"/>
  <c r="Y967" i="35"/>
  <c r="C1846" i="41"/>
  <c r="N967" i="35"/>
  <c r="W967" i="35"/>
  <c r="N960" i="35"/>
  <c r="L960" i="35"/>
  <c r="C1839" i="41"/>
  <c r="Y960" i="35"/>
  <c r="W960" i="35"/>
  <c r="C370" i="41"/>
  <c r="W429" i="35"/>
  <c r="Y429" i="35"/>
  <c r="P429" i="35"/>
  <c r="C1890" i="41"/>
  <c r="L1011" i="35"/>
  <c r="Y1011" i="35"/>
  <c r="N1011" i="35"/>
  <c r="W1011" i="35"/>
  <c r="Q523" i="35"/>
  <c r="L523" i="35"/>
  <c r="M523" i="35"/>
  <c r="O523" i="35"/>
  <c r="C475" i="41"/>
  <c r="W523" i="35"/>
  <c r="Y523" i="35"/>
  <c r="W1016" i="35"/>
  <c r="L1016" i="35"/>
  <c r="N1016" i="35"/>
  <c r="Y1016" i="35"/>
  <c r="C1895" i="41"/>
  <c r="N1024" i="35"/>
  <c r="C1903" i="41"/>
  <c r="L1024" i="35"/>
  <c r="Y1024" i="35"/>
  <c r="W1024" i="35"/>
  <c r="Y520" i="35"/>
  <c r="K520" i="35"/>
  <c r="W520" i="35"/>
  <c r="C472" i="41"/>
  <c r="W450" i="35"/>
  <c r="C391" i="41"/>
  <c r="Y450" i="35"/>
  <c r="Q450" i="35"/>
  <c r="L450" i="35"/>
  <c r="C1742" i="41"/>
  <c r="N909" i="35"/>
  <c r="Y909" i="35"/>
  <c r="W909" i="35"/>
  <c r="O535" i="35"/>
  <c r="K535" i="35"/>
  <c r="L535" i="35"/>
  <c r="P535" i="35"/>
  <c r="W535" i="35"/>
  <c r="M535" i="35"/>
  <c r="C488" i="41"/>
  <c r="Y535" i="35"/>
  <c r="B1763" i="41"/>
  <c r="B1760" i="41"/>
  <c r="B1764" i="41"/>
  <c r="W916" i="35"/>
  <c r="Y916" i="35"/>
  <c r="B1759" i="41"/>
  <c r="N916" i="35"/>
  <c r="B1762" i="41"/>
  <c r="B1761" i="41"/>
  <c r="C1684" i="41"/>
  <c r="N884" i="35"/>
  <c r="B1684" i="41"/>
  <c r="W884" i="35"/>
  <c r="Y884" i="35"/>
  <c r="B1685" i="41"/>
  <c r="N956" i="35"/>
  <c r="L956" i="35"/>
  <c r="Y956" i="35"/>
  <c r="W956" i="35"/>
  <c r="C1835" i="41"/>
  <c r="L1028" i="35"/>
  <c r="N1028" i="35"/>
  <c r="Y1028" i="35"/>
  <c r="C1907" i="41"/>
  <c r="W1028" i="35"/>
  <c r="W965" i="35"/>
  <c r="N965" i="35"/>
  <c r="Y965" i="35"/>
  <c r="C1844" i="41"/>
  <c r="L965" i="35"/>
  <c r="W902" i="35"/>
  <c r="X902" i="35" s="1"/>
  <c r="N902" i="35"/>
  <c r="C1723" i="41"/>
  <c r="Y902" i="35"/>
  <c r="N994" i="35"/>
  <c r="Y994" i="35"/>
  <c r="L994" i="35"/>
  <c r="W994" i="35"/>
  <c r="C1873" i="41"/>
  <c r="W998" i="35"/>
  <c r="Y998" i="35"/>
  <c r="N998" i="35"/>
  <c r="L998" i="35"/>
  <c r="C1877" i="41"/>
  <c r="N912" i="35"/>
  <c r="C1746" i="41"/>
  <c r="Y912" i="35"/>
  <c r="W912" i="35"/>
  <c r="L1019" i="35"/>
  <c r="W1019" i="35"/>
  <c r="Y1019" i="35"/>
  <c r="C1898" i="41"/>
  <c r="N1019" i="35"/>
  <c r="N1014" i="35"/>
  <c r="C1893" i="41"/>
  <c r="W1014" i="35"/>
  <c r="L1014" i="35"/>
  <c r="Y1014" i="35"/>
  <c r="Y948" i="35"/>
  <c r="W948" i="35"/>
  <c r="N948" i="35"/>
  <c r="L948" i="35"/>
  <c r="C1827" i="41"/>
  <c r="W973" i="35"/>
  <c r="C1852" i="41"/>
  <c r="Y973" i="35"/>
  <c r="L973" i="35"/>
  <c r="N973" i="35"/>
  <c r="O465" i="35"/>
  <c r="Y465" i="35"/>
  <c r="C406" i="41"/>
  <c r="L465" i="35"/>
  <c r="W465" i="35"/>
  <c r="C1875" i="41"/>
  <c r="W996" i="35"/>
  <c r="Y996" i="35"/>
  <c r="N996" i="35"/>
  <c r="L996" i="35"/>
  <c r="Y962" i="35"/>
  <c r="W962" i="35"/>
  <c r="C1841" i="41"/>
  <c r="L962" i="35"/>
  <c r="N962" i="35"/>
  <c r="N896" i="35"/>
  <c r="Y896" i="35"/>
  <c r="W896" i="35"/>
  <c r="B1714" i="41"/>
  <c r="B1717" i="41"/>
  <c r="B1718" i="41"/>
  <c r="B1715" i="41"/>
  <c r="B1713" i="41"/>
  <c r="B1716" i="41"/>
  <c r="W1018" i="35"/>
  <c r="X1018" i="35" s="1"/>
  <c r="C1897" i="41"/>
  <c r="N1018" i="35"/>
  <c r="L1018" i="35"/>
  <c r="Y1018" i="35"/>
  <c r="W462" i="35"/>
  <c r="C403" i="41"/>
  <c r="Y462" i="35"/>
  <c r="Q526" i="35"/>
  <c r="L526" i="35"/>
  <c r="O526" i="35"/>
  <c r="Y526" i="35"/>
  <c r="W526" i="35"/>
  <c r="C478" i="41"/>
  <c r="K526" i="35"/>
  <c r="M526" i="35"/>
  <c r="W537" i="35"/>
  <c r="K537" i="35"/>
  <c r="M537" i="35"/>
  <c r="O537" i="35"/>
  <c r="C490" i="41"/>
  <c r="L537" i="35"/>
  <c r="Q538" i="35"/>
  <c r="Y537" i="35"/>
  <c r="Y507" i="35"/>
  <c r="M507" i="35"/>
  <c r="W507" i="35"/>
  <c r="K507" i="35"/>
  <c r="L507" i="35"/>
  <c r="C457" i="41"/>
  <c r="Q508" i="35"/>
  <c r="O507" i="35"/>
  <c r="Y968" i="35"/>
  <c r="N968" i="35"/>
  <c r="L968" i="35"/>
  <c r="W968" i="35"/>
  <c r="C1847" i="41"/>
  <c r="Y995" i="35"/>
  <c r="L995" i="35"/>
  <c r="W995" i="35"/>
  <c r="C1874" i="41"/>
  <c r="N995" i="35"/>
  <c r="N899" i="35"/>
  <c r="C1719" i="41"/>
  <c r="Y899" i="35"/>
  <c r="W899" i="35"/>
  <c r="Y423" i="35"/>
  <c r="O423" i="35"/>
  <c r="W423" i="35"/>
  <c r="C364" i="41"/>
  <c r="W1006" i="35"/>
  <c r="Y1006" i="35"/>
  <c r="C1885" i="41"/>
  <c r="N1006" i="35"/>
  <c r="L1006" i="35"/>
  <c r="O898" i="35"/>
  <c r="W898" i="35"/>
  <c r="Y898" i="35"/>
  <c r="W471" i="35"/>
  <c r="X471" i="35" s="1"/>
  <c r="Y471" i="35"/>
  <c r="Q471" i="35"/>
  <c r="Q472" i="35"/>
  <c r="C412" i="41"/>
  <c r="B1772" i="41"/>
  <c r="B1771" i="41"/>
  <c r="W923" i="35"/>
  <c r="Y923" i="35"/>
  <c r="B1774" i="41"/>
  <c r="B1773" i="41"/>
  <c r="O923" i="35"/>
  <c r="W504" i="35"/>
  <c r="K504" i="35"/>
  <c r="C454" i="41"/>
  <c r="Y504" i="35"/>
  <c r="P504" i="35"/>
  <c r="N894" i="35"/>
  <c r="B1707" i="41"/>
  <c r="C1707" i="41"/>
  <c r="Y894" i="35"/>
  <c r="B1708" i="41"/>
  <c r="W894" i="35"/>
  <c r="Y953" i="35"/>
  <c r="N953" i="35"/>
  <c r="C1832" i="41"/>
  <c r="W953" i="35"/>
  <c r="L953" i="35"/>
  <c r="K436" i="35"/>
  <c r="W436" i="35"/>
  <c r="L436" i="35"/>
  <c r="Y436" i="35"/>
  <c r="C377" i="41"/>
  <c r="Q436" i="35"/>
  <c r="M436" i="35"/>
  <c r="K439" i="35"/>
  <c r="M439" i="35"/>
  <c r="P439" i="35"/>
  <c r="W439" i="35"/>
  <c r="Y439" i="35"/>
  <c r="C380" i="41"/>
  <c r="L439" i="35"/>
  <c r="Y444" i="35"/>
  <c r="C385" i="41"/>
  <c r="W444" i="35"/>
  <c r="W989" i="35"/>
  <c r="Y989" i="35"/>
  <c r="L989" i="35"/>
  <c r="N989" i="35"/>
  <c r="C1868" i="41"/>
  <c r="Y521" i="35"/>
  <c r="W521" i="35"/>
  <c r="C473" i="41"/>
  <c r="O521" i="35"/>
  <c r="B1739" i="41"/>
  <c r="B1740" i="41"/>
  <c r="N906" i="35"/>
  <c r="Y906" i="35"/>
  <c r="B1738" i="41"/>
  <c r="W906" i="35"/>
  <c r="B1736" i="41"/>
  <c r="B1737" i="41"/>
  <c r="B1741" i="41"/>
  <c r="C400" i="41"/>
  <c r="P459" i="35"/>
  <c r="L459" i="35"/>
  <c r="Y459" i="35"/>
  <c r="M459" i="35"/>
  <c r="W459" i="35"/>
  <c r="W897" i="35"/>
  <c r="Y897" i="35"/>
  <c r="C1714" i="41"/>
  <c r="B1750" i="41"/>
  <c r="O913" i="35"/>
  <c r="Y913" i="35"/>
  <c r="B1751" i="41"/>
  <c r="B1748" i="41"/>
  <c r="B1749" i="41"/>
  <c r="W913" i="35"/>
  <c r="W464" i="35"/>
  <c r="Y464" i="35"/>
  <c r="C405" i="41"/>
  <c r="L1027" i="35"/>
  <c r="W1027" i="35"/>
  <c r="X1027" i="35" s="1"/>
  <c r="N1027" i="35"/>
  <c r="C1906" i="41"/>
  <c r="Y1027" i="35"/>
  <c r="Q467" i="35"/>
  <c r="C408" i="41"/>
  <c r="W467" i="35"/>
  <c r="Y467" i="35"/>
  <c r="L467" i="35"/>
  <c r="Y888" i="35"/>
  <c r="O888" i="35"/>
  <c r="W888" i="35"/>
  <c r="Y506" i="35"/>
  <c r="K506" i="35"/>
  <c r="W506" i="35"/>
  <c r="C456" i="41"/>
  <c r="Q506" i="35"/>
  <c r="O528" i="35"/>
  <c r="L528" i="35"/>
  <c r="K528" i="35"/>
  <c r="Y528" i="35"/>
  <c r="C480" i="41"/>
  <c r="M528" i="35"/>
  <c r="W528" i="35"/>
  <c r="Y532" i="35"/>
  <c r="K532" i="35"/>
  <c r="M532" i="35"/>
  <c r="C485" i="41"/>
  <c r="L532" i="35"/>
  <c r="Q532" i="35"/>
  <c r="W532" i="35"/>
  <c r="O532" i="35"/>
  <c r="W434" i="35"/>
  <c r="Y434" i="35"/>
  <c r="C375" i="41"/>
  <c r="W437" i="35"/>
  <c r="Y437" i="35"/>
  <c r="M437" i="35"/>
  <c r="C378" i="41"/>
  <c r="L437" i="35"/>
  <c r="K437" i="35"/>
  <c r="Q437" i="35"/>
  <c r="Q470" i="35"/>
  <c r="C411" i="41"/>
  <c r="W470" i="35"/>
  <c r="Y470" i="35"/>
  <c r="L470" i="35"/>
  <c r="O531" i="35"/>
  <c r="C484" i="41"/>
  <c r="W531" i="35"/>
  <c r="Y531" i="35"/>
  <c r="C394" i="41"/>
  <c r="W453" i="35"/>
  <c r="O453" i="35"/>
  <c r="Y453" i="35"/>
  <c r="W461" i="35"/>
  <c r="C402" i="41"/>
  <c r="Q462" i="35"/>
  <c r="Q461" i="35"/>
  <c r="Y461" i="35"/>
  <c r="W426" i="35"/>
  <c r="C367" i="41"/>
  <c r="Q426" i="35"/>
  <c r="Y426" i="35"/>
  <c r="C1891" i="41"/>
  <c r="N1012" i="35"/>
  <c r="Y1012" i="35"/>
  <c r="L1012" i="35"/>
  <c r="W1012" i="35"/>
  <c r="K446" i="35"/>
  <c r="Q446" i="35"/>
  <c r="L446" i="35"/>
  <c r="Y446" i="35"/>
  <c r="W446" i="35"/>
  <c r="C387" i="41"/>
  <c r="M446" i="35"/>
  <c r="C1901" i="41"/>
  <c r="W1022" i="35"/>
  <c r="X1022" i="35" s="1"/>
  <c r="L1022" i="35"/>
  <c r="Y1022" i="35"/>
  <c r="N1022" i="35"/>
  <c r="L977" i="35"/>
  <c r="C1856" i="41"/>
  <c r="N977" i="35"/>
  <c r="W977" i="35"/>
  <c r="Y977" i="35"/>
  <c r="K516" i="35"/>
  <c r="C467" i="41"/>
  <c r="M516" i="35"/>
  <c r="W516" i="35"/>
  <c r="Q516" i="35"/>
  <c r="Y516" i="35"/>
  <c r="L516" i="35"/>
  <c r="O516" i="35"/>
  <c r="Y488" i="35"/>
  <c r="W488" i="35"/>
  <c r="Q488" i="35"/>
  <c r="K518" i="35"/>
  <c r="C469" i="41"/>
  <c r="W518" i="35"/>
  <c r="L518" i="35"/>
  <c r="Y518" i="35"/>
  <c r="O518" i="35"/>
  <c r="M518" i="35"/>
  <c r="Y969" i="35"/>
  <c r="L969" i="35"/>
  <c r="C1848" i="41"/>
  <c r="N969" i="35"/>
  <c r="W969" i="35"/>
  <c r="Y988" i="35"/>
  <c r="N988" i="35"/>
  <c r="L988" i="35"/>
  <c r="W988" i="35"/>
  <c r="C1867" i="41"/>
  <c r="C1708" i="41"/>
  <c r="B1710" i="41"/>
  <c r="W895" i="35"/>
  <c r="B1709" i="41"/>
  <c r="Y895" i="35"/>
  <c r="N895" i="35"/>
  <c r="B1711" i="41"/>
  <c r="W441" i="35"/>
  <c r="Q441" i="35"/>
  <c r="Y441" i="35"/>
  <c r="Q442" i="35"/>
  <c r="C382" i="41"/>
  <c r="B470" i="41"/>
  <c r="C471" i="41"/>
  <c r="W519" i="35"/>
  <c r="Y519" i="35"/>
  <c r="P519" i="35"/>
  <c r="L975" i="35"/>
  <c r="N975" i="35"/>
  <c r="W975" i="35"/>
  <c r="C1854" i="41"/>
  <c r="Y975" i="35"/>
  <c r="Q518" i="35"/>
  <c r="O517" i="35"/>
  <c r="K517" i="35"/>
  <c r="Y517" i="35"/>
  <c r="M517" i="35"/>
  <c r="L517" i="35"/>
  <c r="W517" i="35"/>
  <c r="C468" i="41"/>
  <c r="N955" i="35"/>
  <c r="C1834" i="41"/>
  <c r="L955" i="35"/>
  <c r="Y955" i="35"/>
  <c r="W955" i="35"/>
  <c r="Y427" i="35"/>
  <c r="C368" i="41"/>
  <c r="Q427" i="35"/>
  <c r="W427" i="35"/>
  <c r="K525" i="35"/>
  <c r="O525" i="35"/>
  <c r="C477" i="41"/>
  <c r="W525" i="35"/>
  <c r="X525" i="35" s="1"/>
  <c r="L525" i="35"/>
  <c r="P525" i="35"/>
  <c r="M525" i="35"/>
  <c r="Y525" i="35"/>
  <c r="W999" i="35"/>
  <c r="X999" i="35" s="1"/>
  <c r="L999" i="35"/>
  <c r="Y999" i="35"/>
  <c r="C1878" i="41"/>
  <c r="N999" i="35"/>
  <c r="Y435" i="35"/>
  <c r="C376" i="41"/>
  <c r="O435" i="35"/>
  <c r="W435" i="35"/>
  <c r="K508" i="35"/>
  <c r="Y508" i="35"/>
  <c r="C458" i="41"/>
  <c r="L508" i="35"/>
  <c r="W508" i="35"/>
  <c r="O508" i="35"/>
  <c r="M508" i="35"/>
  <c r="Y1004" i="35"/>
  <c r="L1004" i="35"/>
  <c r="W1004" i="35"/>
  <c r="C1883" i="41"/>
  <c r="N1004" i="35"/>
  <c r="N950" i="35"/>
  <c r="C1829" i="41"/>
  <c r="L950" i="35"/>
  <c r="Y950" i="35"/>
  <c r="W950" i="35"/>
  <c r="Y442" i="35"/>
  <c r="C383" i="41"/>
  <c r="W442" i="35"/>
  <c r="L440" i="35"/>
  <c r="W440" i="35"/>
  <c r="Y440" i="35"/>
  <c r="Q440" i="35"/>
  <c r="K440" i="35"/>
  <c r="C381" i="41"/>
  <c r="C1872" i="41"/>
  <c r="N993" i="35"/>
  <c r="L993" i="35"/>
  <c r="W993" i="35"/>
  <c r="Y993" i="35"/>
  <c r="K502" i="35"/>
  <c r="Y502" i="35"/>
  <c r="W502" i="35"/>
  <c r="Q502" i="35"/>
  <c r="C452" i="41"/>
  <c r="C1880" i="41"/>
  <c r="Y1001" i="35"/>
  <c r="N1001" i="35"/>
  <c r="W1001" i="35"/>
  <c r="L1001" i="35"/>
  <c r="W964" i="35"/>
  <c r="X964" i="35" s="1"/>
  <c r="C1843" i="41"/>
  <c r="Y964" i="35"/>
  <c r="L964" i="35"/>
  <c r="N964" i="35"/>
  <c r="C463" i="41"/>
  <c r="Q512" i="35"/>
  <c r="Y512" i="35"/>
  <c r="K512" i="35"/>
  <c r="W512" i="35"/>
  <c r="L1017" i="35"/>
  <c r="W1017" i="35"/>
  <c r="X1017" i="35" s="1"/>
  <c r="Y1017" i="35"/>
  <c r="C1896" i="41"/>
  <c r="N1017" i="35"/>
  <c r="C450" i="41"/>
  <c r="K500" i="35"/>
  <c r="W500" i="35"/>
  <c r="Y500" i="35"/>
  <c r="C386" i="41"/>
  <c r="W445" i="35"/>
  <c r="O445" i="35"/>
  <c r="Y445" i="35"/>
  <c r="C1889" i="41"/>
  <c r="Y1010" i="35"/>
  <c r="N1010" i="35"/>
  <c r="W1010" i="35"/>
  <c r="L1010" i="35"/>
  <c r="Y922" i="35"/>
  <c r="C1769" i="41"/>
  <c r="N922" i="35"/>
  <c r="W922" i="35"/>
  <c r="Q452" i="35"/>
  <c r="C392" i="41"/>
  <c r="Y451" i="35"/>
  <c r="Q451" i="35"/>
  <c r="W451" i="35"/>
  <c r="N1003" i="35"/>
  <c r="Y1003" i="35"/>
  <c r="C1882" i="41"/>
  <c r="W1003" i="35"/>
  <c r="L1003" i="35"/>
  <c r="B1687" i="41"/>
  <c r="B1686" i="41"/>
  <c r="B1688" i="41"/>
  <c r="C1685" i="41"/>
  <c r="Y885" i="35"/>
  <c r="N885" i="35"/>
  <c r="W885" i="35"/>
  <c r="C1870" i="41"/>
  <c r="W991" i="35"/>
  <c r="N991" i="35"/>
  <c r="L991" i="35"/>
  <c r="Y991" i="35"/>
  <c r="L945" i="35"/>
  <c r="Y945" i="35"/>
  <c r="C1824" i="41"/>
  <c r="N945" i="35"/>
  <c r="W945" i="35"/>
  <c r="O900" i="35"/>
  <c r="C1720" i="41"/>
  <c r="Y900" i="35"/>
  <c r="W900" i="35"/>
  <c r="W466" i="35"/>
  <c r="X466" i="35" s="1"/>
  <c r="Q466" i="35"/>
  <c r="Y466" i="35"/>
  <c r="C407" i="41"/>
  <c r="L466" i="35"/>
  <c r="W911" i="35"/>
  <c r="Y911" i="35"/>
  <c r="C1745" i="41"/>
  <c r="M911" i="35"/>
  <c r="Y460" i="35"/>
  <c r="Q460" i="35"/>
  <c r="W460" i="35"/>
  <c r="C401" i="41"/>
  <c r="W510" i="35"/>
  <c r="X510" i="35" s="1"/>
  <c r="Y510" i="35"/>
  <c r="K510" i="35"/>
  <c r="C461" i="41"/>
  <c r="Y455" i="35"/>
  <c r="W455" i="35"/>
  <c r="O455" i="35"/>
  <c r="C396" i="41"/>
  <c r="L947" i="35"/>
  <c r="C1826" i="41"/>
  <c r="W947" i="35"/>
  <c r="Y947" i="35"/>
  <c r="N947" i="35"/>
  <c r="C1743" i="41"/>
  <c r="Y910" i="35"/>
  <c r="W910" i="35"/>
  <c r="O910" i="35"/>
  <c r="Y503" i="35"/>
  <c r="C453" i="41"/>
  <c r="W503" i="35"/>
  <c r="K503" i="35"/>
  <c r="Q503" i="35"/>
  <c r="W963" i="35"/>
  <c r="C1842" i="41"/>
  <c r="L963" i="35"/>
  <c r="Y963" i="35"/>
  <c r="N963" i="35"/>
  <c r="N946" i="35"/>
  <c r="Y946" i="35"/>
  <c r="L946" i="35"/>
  <c r="C1825" i="41"/>
  <c r="W946" i="35"/>
  <c r="C1869" i="41"/>
  <c r="Y990" i="35"/>
  <c r="W990" i="35"/>
  <c r="N990" i="35"/>
  <c r="L990" i="35"/>
  <c r="K438" i="35"/>
  <c r="M438" i="35"/>
  <c r="P438" i="35"/>
  <c r="Y438" i="35"/>
  <c r="W438" i="35"/>
  <c r="L438" i="35"/>
  <c r="C379" i="41"/>
  <c r="Y529" i="35"/>
  <c r="P529" i="35"/>
  <c r="C482" i="41"/>
  <c r="B481" i="41"/>
  <c r="W529" i="35"/>
  <c r="B38" i="21"/>
  <c r="B22" i="21"/>
  <c r="B14" i="21"/>
  <c r="B45" i="21"/>
  <c r="B21" i="21"/>
  <c r="B36" i="21"/>
  <c r="B20" i="21"/>
  <c r="B12" i="21"/>
  <c r="B43" i="21"/>
  <c r="B19" i="21"/>
  <c r="B34" i="21"/>
  <c r="B18" i="21"/>
  <c r="B33" i="21"/>
  <c r="B17" i="21"/>
  <c r="B40" i="21"/>
  <c r="B32" i="21"/>
  <c r="B24" i="21"/>
  <c r="B16" i="21"/>
  <c r="B8" i="21"/>
  <c r="B46" i="21"/>
  <c r="B30" i="21"/>
  <c r="B37" i="21"/>
  <c r="B29" i="21"/>
  <c r="B13" i="21"/>
  <c r="B44" i="21"/>
  <c r="B28" i="21"/>
  <c r="B35" i="21"/>
  <c r="B27" i="21"/>
  <c r="B11" i="21"/>
  <c r="B42" i="21"/>
  <c r="B26" i="21"/>
  <c r="B10" i="21"/>
  <c r="B41" i="21"/>
  <c r="B25" i="21"/>
  <c r="B9" i="21"/>
  <c r="B7" i="21"/>
  <c r="B39" i="21"/>
  <c r="B31" i="21"/>
  <c r="B23" i="21"/>
  <c r="B15" i="21"/>
  <c r="U510" i="35" l="1"/>
  <c r="U1027" i="35"/>
  <c r="U1017" i="35"/>
  <c r="U471" i="35"/>
  <c r="U1022" i="35"/>
  <c r="U959" i="35"/>
  <c r="U505" i="35"/>
  <c r="U443" i="35"/>
  <c r="U525" i="35"/>
  <c r="U1010" i="35"/>
  <c r="X1010" i="35"/>
  <c r="U438" i="35"/>
  <c r="X438" i="35"/>
  <c r="U964" i="35"/>
  <c r="X1001" i="35"/>
  <c r="U1001" i="35"/>
  <c r="X502" i="35"/>
  <c r="U502" i="35"/>
  <c r="X975" i="35"/>
  <c r="U975" i="35"/>
  <c r="X439" i="35"/>
  <c r="U439" i="35"/>
  <c r="X923" i="35"/>
  <c r="U923" i="35"/>
  <c r="U968" i="35"/>
  <c r="X968" i="35"/>
  <c r="E459" i="42"/>
  <c r="E458" i="42"/>
  <c r="E461" i="42"/>
  <c r="E462" i="42"/>
  <c r="E457" i="42"/>
  <c r="E456" i="42"/>
  <c r="E460" i="42"/>
  <c r="E455" i="42"/>
  <c r="X949" i="35"/>
  <c r="U949" i="35"/>
  <c r="F507" i="42"/>
  <c r="F501" i="42"/>
  <c r="F506" i="42"/>
  <c r="F505" i="42"/>
  <c r="F508" i="42"/>
  <c r="F502" i="42"/>
  <c r="F503" i="42"/>
  <c r="F504" i="42"/>
  <c r="X990" i="35"/>
  <c r="U990" i="35"/>
  <c r="X455" i="35"/>
  <c r="U455" i="35"/>
  <c r="X885" i="35"/>
  <c r="U885" i="35"/>
  <c r="X977" i="35"/>
  <c r="U977" i="35"/>
  <c r="G527" i="42"/>
  <c r="G528" i="42"/>
  <c r="G525" i="42"/>
  <c r="G523" i="42"/>
  <c r="G522" i="42"/>
  <c r="O522" i="35" s="1"/>
  <c r="G524" i="42"/>
  <c r="G526" i="42"/>
  <c r="U532" i="35"/>
  <c r="X532" i="35"/>
  <c r="U528" i="35"/>
  <c r="X528" i="35"/>
  <c r="X467" i="35"/>
  <c r="U467" i="35"/>
  <c r="X953" i="35"/>
  <c r="U953" i="35"/>
  <c r="X537" i="35"/>
  <c r="U537" i="35"/>
  <c r="U462" i="35"/>
  <c r="X462" i="35"/>
  <c r="X973" i="35"/>
  <c r="U973" i="35"/>
  <c r="X450" i="35"/>
  <c r="U450" i="35"/>
  <c r="X429" i="35"/>
  <c r="U429" i="35"/>
  <c r="X960" i="35"/>
  <c r="U960" i="35"/>
  <c r="U1015" i="35"/>
  <c r="X957" i="35"/>
  <c r="U957" i="35"/>
  <c r="U509" i="35"/>
  <c r="X509" i="35"/>
  <c r="X908" i="35"/>
  <c r="U908" i="35"/>
  <c r="E467" i="42"/>
  <c r="E465" i="42"/>
  <c r="E466" i="42"/>
  <c r="E470" i="42"/>
  <c r="E471" i="42"/>
  <c r="E469" i="42"/>
  <c r="E468" i="42"/>
  <c r="E472" i="42"/>
  <c r="U530" i="35"/>
  <c r="X983" i="35"/>
  <c r="U983" i="35"/>
  <c r="X515" i="35"/>
  <c r="U515" i="35"/>
  <c r="X527" i="35"/>
  <c r="U527" i="35"/>
  <c r="X1007" i="35"/>
  <c r="U1007" i="35"/>
  <c r="U980" i="35"/>
  <c r="U447" i="35"/>
  <c r="X447" i="35"/>
  <c r="X472" i="35"/>
  <c r="U472" i="35"/>
  <c r="X984" i="35"/>
  <c r="U984" i="35"/>
  <c r="X469" i="35"/>
  <c r="U469" i="35"/>
  <c r="F437" i="42"/>
  <c r="O437" i="35" s="1"/>
  <c r="F439" i="42"/>
  <c r="O439" i="35" s="1"/>
  <c r="F440" i="42"/>
  <c r="O440" i="35" s="1"/>
  <c r="F442" i="42"/>
  <c r="O442" i="35" s="1"/>
  <c r="F436" i="42"/>
  <c r="O436" i="35" s="1"/>
  <c r="F441" i="42"/>
  <c r="O441" i="35" s="1"/>
  <c r="F438" i="42"/>
  <c r="O438" i="35" s="1"/>
  <c r="X888" i="35"/>
  <c r="U888" i="35"/>
  <c r="X899" i="35"/>
  <c r="U899" i="35"/>
  <c r="U507" i="35"/>
  <c r="X507" i="35"/>
  <c r="X996" i="35"/>
  <c r="U996" i="35"/>
  <c r="X465" i="35"/>
  <c r="U465" i="35"/>
  <c r="X998" i="35"/>
  <c r="U998" i="35"/>
  <c r="X884" i="35"/>
  <c r="U884" i="35"/>
  <c r="X1011" i="35"/>
  <c r="U1011" i="35"/>
  <c r="X1000" i="35"/>
  <c r="U1000" i="35"/>
  <c r="X458" i="35"/>
  <c r="U458" i="35"/>
  <c r="U970" i="35"/>
  <c r="X970" i="35"/>
  <c r="X961" i="35"/>
  <c r="U961" i="35"/>
  <c r="F537" i="42"/>
  <c r="F532" i="42"/>
  <c r="F535" i="42"/>
  <c r="F533" i="42"/>
  <c r="F538" i="42"/>
  <c r="F536" i="42"/>
  <c r="F534" i="42"/>
  <c r="F531" i="42"/>
  <c r="X1026" i="35"/>
  <c r="U1026" i="35"/>
  <c r="U920" i="35"/>
  <c r="X920" i="35"/>
  <c r="X976" i="35"/>
  <c r="U976" i="35"/>
  <c r="X987" i="35"/>
  <c r="U987" i="35"/>
  <c r="G518" i="42"/>
  <c r="G517" i="42"/>
  <c r="G512" i="42"/>
  <c r="O512" i="35" s="1"/>
  <c r="G515" i="42"/>
  <c r="G514" i="42"/>
  <c r="G516" i="42"/>
  <c r="G513" i="42"/>
  <c r="U981" i="35"/>
  <c r="X981" i="35"/>
  <c r="X974" i="35"/>
  <c r="U974" i="35"/>
  <c r="X516" i="35"/>
  <c r="U516" i="35"/>
  <c r="X504" i="35"/>
  <c r="U504" i="35"/>
  <c r="X1003" i="35"/>
  <c r="U1003" i="35"/>
  <c r="X500" i="35"/>
  <c r="U500" i="35"/>
  <c r="X950" i="35"/>
  <c r="U950" i="35"/>
  <c r="X517" i="35"/>
  <c r="U517" i="35"/>
  <c r="X518" i="35"/>
  <c r="U518" i="35"/>
  <c r="U488" i="35"/>
  <c r="X488" i="35"/>
  <c r="X913" i="35"/>
  <c r="U913" i="35"/>
  <c r="X436" i="35"/>
  <c r="U436" i="35"/>
  <c r="U523" i="35"/>
  <c r="X523" i="35"/>
  <c r="X1021" i="35"/>
  <c r="U1021" i="35"/>
  <c r="U1020" i="35"/>
  <c r="X1020" i="35"/>
  <c r="X513" i="35"/>
  <c r="U513" i="35"/>
  <c r="U918" i="35"/>
  <c r="X918" i="35"/>
  <c r="X992" i="35"/>
  <c r="U992" i="35"/>
  <c r="U892" i="35"/>
  <c r="X892" i="35"/>
  <c r="X952" i="35"/>
  <c r="U952" i="35"/>
  <c r="X468" i="35"/>
  <c r="U468" i="35"/>
  <c r="X900" i="35"/>
  <c r="U900" i="35"/>
  <c r="X922" i="35"/>
  <c r="U922" i="35"/>
  <c r="X1004" i="35"/>
  <c r="U1004" i="35"/>
  <c r="X508" i="35"/>
  <c r="U508" i="35"/>
  <c r="X459" i="35"/>
  <c r="U459" i="35"/>
  <c r="G507" i="42"/>
  <c r="G502" i="42"/>
  <c r="O502" i="35" s="1"/>
  <c r="G505" i="42"/>
  <c r="O505" i="35" s="1"/>
  <c r="G506" i="42"/>
  <c r="O506" i="35" s="1"/>
  <c r="G504" i="42"/>
  <c r="O504" i="35" s="1"/>
  <c r="G503" i="42"/>
  <c r="O503" i="35" s="1"/>
  <c r="G508" i="42"/>
  <c r="X526" i="35"/>
  <c r="U526" i="35"/>
  <c r="X1012" i="35"/>
  <c r="U1012" i="35"/>
  <c r="U426" i="35"/>
  <c r="X426" i="35"/>
  <c r="X896" i="35"/>
  <c r="U896" i="35"/>
  <c r="X962" i="35"/>
  <c r="U962" i="35"/>
  <c r="U946" i="35"/>
  <c r="X946" i="35"/>
  <c r="X947" i="35"/>
  <c r="U947" i="35"/>
  <c r="X911" i="35"/>
  <c r="U911" i="35"/>
  <c r="U466" i="35"/>
  <c r="U440" i="35"/>
  <c r="X440" i="35"/>
  <c r="U442" i="35"/>
  <c r="X442" i="35"/>
  <c r="U999" i="35"/>
  <c r="X427" i="35"/>
  <c r="U427" i="35"/>
  <c r="U955" i="35"/>
  <c r="X955" i="35"/>
  <c r="U441" i="35"/>
  <c r="X441" i="35"/>
  <c r="X437" i="35"/>
  <c r="U437" i="35"/>
  <c r="X906" i="35"/>
  <c r="U906" i="35"/>
  <c r="U989" i="35"/>
  <c r="X989" i="35"/>
  <c r="U444" i="35"/>
  <c r="X444" i="35"/>
  <c r="U1018" i="35"/>
  <c r="X994" i="35"/>
  <c r="U994" i="35"/>
  <c r="U902" i="35"/>
  <c r="X956" i="35"/>
  <c r="U956" i="35"/>
  <c r="X520" i="35"/>
  <c r="U520" i="35"/>
  <c r="X432" i="35"/>
  <c r="U432" i="35"/>
  <c r="X966" i="35"/>
  <c r="U966" i="35"/>
  <c r="X915" i="35"/>
  <c r="U915" i="35"/>
  <c r="X511" i="35"/>
  <c r="U511" i="35"/>
  <c r="X903" i="35"/>
  <c r="U903" i="35"/>
  <c r="X452" i="35"/>
  <c r="U452" i="35"/>
  <c r="X449" i="35"/>
  <c r="U449" i="35"/>
  <c r="U512" i="35"/>
  <c r="X512" i="35"/>
  <c r="F524" i="42"/>
  <c r="F523" i="42"/>
  <c r="F525" i="42"/>
  <c r="F527" i="42"/>
  <c r="F526" i="42"/>
  <c r="F528" i="42"/>
  <c r="F522" i="42"/>
  <c r="F521" i="42"/>
  <c r="X519" i="35"/>
  <c r="U519" i="35"/>
  <c r="X988" i="35"/>
  <c r="U988" i="35"/>
  <c r="U453" i="35"/>
  <c r="X453" i="35"/>
  <c r="X470" i="35"/>
  <c r="U470" i="35"/>
  <c r="U464" i="35"/>
  <c r="X464" i="35"/>
  <c r="U521" i="35"/>
  <c r="X521" i="35"/>
  <c r="X894" i="35"/>
  <c r="U894" i="35"/>
  <c r="X1006" i="35"/>
  <c r="U1006" i="35"/>
  <c r="X1014" i="35"/>
  <c r="U1014" i="35"/>
  <c r="X1019" i="35"/>
  <c r="U1019" i="35"/>
  <c r="X916" i="35"/>
  <c r="U916" i="35"/>
  <c r="X1016" i="35"/>
  <c r="U1016" i="35"/>
  <c r="U921" i="35"/>
  <c r="U536" i="35"/>
  <c r="X536" i="35"/>
  <c r="X979" i="35"/>
  <c r="U979" i="35"/>
  <c r="X1005" i="35"/>
  <c r="U1005" i="35"/>
  <c r="X524" i="35"/>
  <c r="U524" i="35"/>
  <c r="X533" i="35"/>
  <c r="U533" i="35"/>
  <c r="X890" i="35"/>
  <c r="U890" i="35"/>
  <c r="X887" i="35"/>
  <c r="U887" i="35"/>
  <c r="U891" i="35"/>
  <c r="U538" i="35"/>
  <c r="X954" i="35"/>
  <c r="U954" i="35"/>
  <c r="F516" i="42"/>
  <c r="F514" i="42"/>
  <c r="F517" i="42"/>
  <c r="F515" i="42"/>
  <c r="F518" i="42"/>
  <c r="F513" i="42"/>
  <c r="F511" i="42"/>
  <c r="F512" i="42"/>
  <c r="X460" i="35"/>
  <c r="U460" i="35"/>
  <c r="X445" i="35"/>
  <c r="U445" i="35"/>
  <c r="E430" i="42"/>
  <c r="N430" i="35" s="1"/>
  <c r="E431" i="42"/>
  <c r="E425" i="42"/>
  <c r="E432" i="42"/>
  <c r="E427" i="42"/>
  <c r="N427" i="35" s="1"/>
  <c r="E429" i="42"/>
  <c r="E428" i="42"/>
  <c r="N428" i="35" s="1"/>
  <c r="E426" i="42"/>
  <c r="N426" i="35" s="1"/>
  <c r="U995" i="35"/>
  <c r="X995" i="35"/>
  <c r="X1028" i="35"/>
  <c r="U1028" i="35"/>
  <c r="F467" i="42"/>
  <c r="O467" i="35" s="1"/>
  <c r="F466" i="42"/>
  <c r="O466" i="35" s="1"/>
  <c r="F471" i="42"/>
  <c r="O471" i="35" s="1"/>
  <c r="F469" i="42"/>
  <c r="O469" i="35" s="1"/>
  <c r="F470" i="42"/>
  <c r="O470" i="35" s="1"/>
  <c r="F472" i="42"/>
  <c r="O472" i="35" s="1"/>
  <c r="F468" i="42"/>
  <c r="O468" i="35" s="1"/>
  <c r="X535" i="35"/>
  <c r="U535" i="35"/>
  <c r="X909" i="35"/>
  <c r="U909" i="35"/>
  <c r="X967" i="35"/>
  <c r="U967" i="35"/>
  <c r="X499" i="35"/>
  <c r="U499" i="35"/>
  <c r="X905" i="35"/>
  <c r="U905" i="35"/>
  <c r="X914" i="35"/>
  <c r="U914" i="35"/>
  <c r="X425" i="35"/>
  <c r="U425" i="35"/>
  <c r="X986" i="35"/>
  <c r="U986" i="35"/>
  <c r="X454" i="35"/>
  <c r="U454" i="35"/>
  <c r="X917" i="35"/>
  <c r="U917" i="35"/>
  <c r="U985" i="35"/>
  <c r="X985" i="35"/>
  <c r="X1009" i="35"/>
  <c r="U1009" i="35"/>
  <c r="X463" i="35"/>
  <c r="U463" i="35"/>
  <c r="X951" i="35"/>
  <c r="U951" i="35"/>
  <c r="U889" i="35"/>
  <c r="X889" i="35"/>
  <c r="X430" i="35"/>
  <c r="U430" i="35"/>
  <c r="X431" i="35"/>
  <c r="U431" i="35"/>
  <c r="X978" i="35"/>
  <c r="U978" i="35"/>
  <c r="X456" i="35"/>
  <c r="U456" i="35"/>
  <c r="X958" i="35"/>
  <c r="U958" i="35"/>
  <c r="U503" i="35"/>
  <c r="X503" i="35"/>
  <c r="U506" i="35"/>
  <c r="X506" i="35"/>
  <c r="X963" i="35"/>
  <c r="U963" i="35"/>
  <c r="X910" i="35"/>
  <c r="U910" i="35"/>
  <c r="X945" i="35"/>
  <c r="U945" i="35"/>
  <c r="X991" i="35"/>
  <c r="U991" i="35"/>
  <c r="U451" i="35"/>
  <c r="X451" i="35"/>
  <c r="X895" i="35"/>
  <c r="U895" i="35"/>
  <c r="X969" i="35"/>
  <c r="U969" i="35"/>
  <c r="U434" i="35"/>
  <c r="X434" i="35"/>
  <c r="X897" i="35"/>
  <c r="U897" i="35"/>
  <c r="X898" i="35"/>
  <c r="U898" i="35"/>
  <c r="X423" i="35"/>
  <c r="U423" i="35"/>
  <c r="G532" i="42"/>
  <c r="G538" i="42"/>
  <c r="G535" i="42"/>
  <c r="G537" i="42"/>
  <c r="G536" i="42"/>
  <c r="G533" i="42"/>
  <c r="G534" i="42"/>
  <c r="U948" i="35"/>
  <c r="X948" i="35"/>
  <c r="X912" i="35"/>
  <c r="U912" i="35"/>
  <c r="U965" i="35"/>
  <c r="X965" i="35"/>
  <c r="E436" i="42"/>
  <c r="E442" i="42"/>
  <c r="E438" i="42"/>
  <c r="E440" i="42"/>
  <c r="E435" i="42"/>
  <c r="E441" i="42"/>
  <c r="E437" i="42"/>
  <c r="E439" i="42"/>
  <c r="F428" i="42"/>
  <c r="F427" i="42"/>
  <c r="F430" i="42"/>
  <c r="F429" i="42"/>
  <c r="F432" i="42"/>
  <c r="F431" i="42"/>
  <c r="F426" i="42"/>
  <c r="O426" i="35" s="1"/>
  <c r="U433" i="35"/>
  <c r="X433" i="35"/>
  <c r="X448" i="35"/>
  <c r="U448" i="35"/>
  <c r="X457" i="35"/>
  <c r="U457" i="35"/>
  <c r="X904" i="35"/>
  <c r="U904" i="35"/>
  <c r="F446" i="42"/>
  <c r="O446" i="35" s="1"/>
  <c r="F451" i="42"/>
  <c r="O451" i="35" s="1"/>
  <c r="F448" i="42"/>
  <c r="O448" i="35" s="1"/>
  <c r="F447" i="42"/>
  <c r="O447" i="35" s="1"/>
  <c r="F452" i="42"/>
  <c r="O452" i="35" s="1"/>
  <c r="F450" i="42"/>
  <c r="O450" i="35" s="1"/>
  <c r="F449" i="42"/>
  <c r="O449" i="35" s="1"/>
  <c r="U534" i="35"/>
  <c r="X534" i="35"/>
  <c r="X901" i="35"/>
  <c r="U901" i="35"/>
  <c r="X428" i="35"/>
  <c r="U428" i="35"/>
  <c r="U997" i="35"/>
  <c r="X886" i="35"/>
  <c r="U886" i="35"/>
  <c r="U1002" i="35"/>
  <c r="X1002" i="35"/>
  <c r="X907" i="35"/>
  <c r="U907" i="35"/>
  <c r="X972" i="35"/>
  <c r="U972" i="35"/>
  <c r="X1025" i="35"/>
  <c r="U1025" i="35"/>
  <c r="U971" i="35"/>
  <c r="X971" i="35"/>
  <c r="X919" i="35"/>
  <c r="U919" i="35"/>
  <c r="U529" i="35"/>
  <c r="X529" i="35"/>
  <c r="X993" i="35"/>
  <c r="U993" i="35"/>
  <c r="X435" i="35"/>
  <c r="U435" i="35"/>
  <c r="X446" i="35"/>
  <c r="U446" i="35"/>
  <c r="X461" i="35"/>
  <c r="U461" i="35"/>
  <c r="X531" i="35"/>
  <c r="U531" i="35"/>
  <c r="U1024" i="35"/>
  <c r="X1024" i="35"/>
  <c r="U982" i="35"/>
  <c r="U1013" i="35"/>
  <c r="X1008" i="35"/>
  <c r="U1008" i="35"/>
  <c r="U522" i="35"/>
  <c r="X522" i="35"/>
  <c r="X424" i="35"/>
  <c r="U424" i="35"/>
  <c r="E452" i="42"/>
  <c r="E451" i="42"/>
  <c r="E445" i="42"/>
  <c r="E446" i="42"/>
  <c r="E448" i="42"/>
  <c r="E447" i="42"/>
  <c r="E449" i="42"/>
  <c r="E450" i="42"/>
  <c r="F462" i="42"/>
  <c r="O462" i="35" s="1"/>
  <c r="F460" i="42"/>
  <c r="O460" i="35" s="1"/>
  <c r="F458" i="42"/>
  <c r="O458" i="35" s="1"/>
  <c r="F461" i="42"/>
  <c r="O461" i="35" s="1"/>
  <c r="F459" i="42"/>
  <c r="O459" i="35" s="1"/>
  <c r="F457" i="42"/>
  <c r="O457" i="35" s="1"/>
  <c r="F456" i="42"/>
  <c r="O456" i="35" s="1"/>
  <c r="X893" i="35"/>
  <c r="U893" i="35"/>
  <c r="X1023" i="35"/>
  <c r="U1023" i="35"/>
  <c r="U501" i="35"/>
  <c r="U514" i="35"/>
  <c r="X514" i="35"/>
  <c r="D25" i="42"/>
  <c r="H2" i="35"/>
  <c r="D23" i="42" l="1"/>
  <c r="M23" i="35" s="1"/>
  <c r="D22" i="42"/>
  <c r="M22" i="35" s="1"/>
  <c r="D26" i="42"/>
  <c r="E813" i="42"/>
  <c r="F813" i="42"/>
  <c r="E864" i="42"/>
  <c r="F864" i="42"/>
  <c r="F830" i="42"/>
  <c r="E830" i="42"/>
  <c r="B882" i="42"/>
  <c r="C1018" i="42"/>
  <c r="C1025" i="42"/>
  <c r="B941" i="42"/>
  <c r="C993" i="42"/>
  <c r="C1007" i="42"/>
  <c r="C938" i="42"/>
  <c r="C1021" i="42"/>
  <c r="B999" i="42"/>
  <c r="K999" i="35" s="1"/>
  <c r="C1017" i="42"/>
  <c r="D993" i="42"/>
  <c r="M993" i="35" s="1"/>
  <c r="B922" i="42"/>
  <c r="K922" i="35" s="1"/>
  <c r="C927" i="42"/>
  <c r="C907" i="42"/>
  <c r="L907" i="35" s="1"/>
  <c r="D890" i="42"/>
  <c r="M890" i="35" s="1"/>
  <c r="B975" i="42"/>
  <c r="K975" i="35" s="1"/>
  <c r="B1003" i="42"/>
  <c r="K1003" i="35" s="1"/>
  <c r="B1011" i="42"/>
  <c r="K1011" i="35" s="1"/>
  <c r="D1001" i="42"/>
  <c r="M1001" i="35" s="1"/>
  <c r="C917" i="42"/>
  <c r="L917" i="35" s="1"/>
  <c r="E917" i="42"/>
  <c r="N917" i="35" s="1"/>
  <c r="B995" i="42"/>
  <c r="K995" i="35" s="1"/>
  <c r="D915" i="42"/>
  <c r="M915" i="35" s="1"/>
  <c r="B1007" i="42"/>
  <c r="K1007" i="35" s="1"/>
  <c r="B961" i="42"/>
  <c r="K961" i="35" s="1"/>
  <c r="D950" i="42"/>
  <c r="M950" i="35" s="1"/>
  <c r="B943" i="42"/>
  <c r="B1006" i="42"/>
  <c r="K1006" i="35" s="1"/>
  <c r="D982" i="42"/>
  <c r="M982" i="35" s="1"/>
  <c r="C965" i="42"/>
  <c r="B958" i="42"/>
  <c r="K958" i="35" s="1"/>
  <c r="C1003" i="42"/>
  <c r="D932" i="42"/>
  <c r="B1027" i="42"/>
  <c r="K1027" i="35" s="1"/>
  <c r="B970" i="42"/>
  <c r="K970" i="35" s="1"/>
  <c r="C1027" i="42"/>
  <c r="D983" i="42"/>
  <c r="M983" i="35" s="1"/>
  <c r="D1008" i="42"/>
  <c r="M1008" i="35" s="1"/>
  <c r="B1019" i="42"/>
  <c r="K1019" i="35" s="1"/>
  <c r="C991" i="42"/>
  <c r="B980" i="42"/>
  <c r="K980" i="35" s="1"/>
  <c r="D906" i="42"/>
  <c r="M906" i="35" s="1"/>
  <c r="D976" i="42"/>
  <c r="M976" i="35" s="1"/>
  <c r="B997" i="42"/>
  <c r="K997" i="35" s="1"/>
  <c r="D952" i="42"/>
  <c r="M952" i="35" s="1"/>
  <c r="B889" i="42"/>
  <c r="K889" i="35" s="1"/>
  <c r="B960" i="42"/>
  <c r="K960" i="35" s="1"/>
  <c r="C946" i="42"/>
  <c r="B1017" i="42"/>
  <c r="K1017" i="35" s="1"/>
  <c r="D886" i="42"/>
  <c r="M886" i="35" s="1"/>
  <c r="D1004" i="42"/>
  <c r="M1004" i="35" s="1"/>
  <c r="C972" i="42"/>
  <c r="C897" i="42"/>
  <c r="L897" i="35" s="1"/>
  <c r="D1002" i="42"/>
  <c r="M1002" i="35" s="1"/>
  <c r="D963" i="42"/>
  <c r="M963" i="35" s="1"/>
  <c r="B1001" i="42"/>
  <c r="K1001" i="35" s="1"/>
  <c r="C931" i="42"/>
  <c r="C947" i="42"/>
  <c r="B969" i="42"/>
  <c r="K969" i="35" s="1"/>
  <c r="C876" i="42"/>
  <c r="E907" i="42"/>
  <c r="N907" i="35" s="1"/>
  <c r="C1000" i="42"/>
  <c r="B886" i="42"/>
  <c r="K886" i="35" s="1"/>
  <c r="B876" i="42"/>
  <c r="B1024" i="42"/>
  <c r="K1024" i="35" s="1"/>
  <c r="B1000" i="42"/>
  <c r="K1000" i="35" s="1"/>
  <c r="C900" i="42"/>
  <c r="L900" i="35" s="1"/>
  <c r="D900" i="42"/>
  <c r="M900" i="35" s="1"/>
  <c r="B994" i="42"/>
  <c r="K994" i="35" s="1"/>
  <c r="B962" i="42"/>
  <c r="K962" i="35" s="1"/>
  <c r="D984" i="42"/>
  <c r="M984" i="35" s="1"/>
  <c r="C888" i="42"/>
  <c r="L888" i="35" s="1"/>
  <c r="D885" i="42"/>
  <c r="M885" i="35" s="1"/>
  <c r="C971" i="42"/>
  <c r="C895" i="42"/>
  <c r="L895" i="35" s="1"/>
  <c r="C952" i="42"/>
  <c r="B998" i="42"/>
  <c r="K998" i="35" s="1"/>
  <c r="D987" i="42"/>
  <c r="M987" i="35" s="1"/>
  <c r="D925" i="42"/>
  <c r="B1022" i="42"/>
  <c r="K1022" i="35" s="1"/>
  <c r="D1015" i="42"/>
  <c r="M1015" i="35" s="1"/>
  <c r="C904" i="42"/>
  <c r="L904" i="35" s="1"/>
  <c r="D1014" i="42"/>
  <c r="M1014" i="35" s="1"/>
  <c r="C976" i="42"/>
  <c r="D958" i="42"/>
  <c r="M958" i="35" s="1"/>
  <c r="C922" i="42"/>
  <c r="L922" i="35" s="1"/>
  <c r="C988" i="42"/>
  <c r="B968" i="42"/>
  <c r="K968" i="35" s="1"/>
  <c r="B945" i="42"/>
  <c r="K945" i="35" s="1"/>
  <c r="D919" i="42"/>
  <c r="M919" i="35" s="1"/>
  <c r="C1015" i="42"/>
  <c r="D938" i="42"/>
  <c r="C879" i="42"/>
  <c r="D875" i="42"/>
  <c r="B973" i="42"/>
  <c r="K973" i="35" s="1"/>
  <c r="C998" i="42"/>
  <c r="C921" i="42"/>
  <c r="L921" i="35" s="1"/>
  <c r="C905" i="42"/>
  <c r="L905" i="35" s="1"/>
  <c r="D966" i="42"/>
  <c r="M966" i="35" s="1"/>
  <c r="B1002" i="42"/>
  <c r="K1002" i="35" s="1"/>
  <c r="D933" i="42"/>
  <c r="C936" i="42"/>
  <c r="C956" i="42"/>
  <c r="C962" i="42"/>
  <c r="D951" i="42"/>
  <c r="M951" i="35" s="1"/>
  <c r="B972" i="42"/>
  <c r="K972" i="35" s="1"/>
  <c r="B982" i="42"/>
  <c r="K982" i="35" s="1"/>
  <c r="C935" i="42"/>
  <c r="B931" i="42"/>
  <c r="D1010" i="42"/>
  <c r="M1010" i="35" s="1"/>
  <c r="B955" i="42"/>
  <c r="K955" i="35" s="1"/>
  <c r="B892" i="42"/>
  <c r="K892" i="35" s="1"/>
  <c r="B879" i="42"/>
  <c r="B983" i="42"/>
  <c r="K983" i="35" s="1"/>
  <c r="C944" i="42"/>
  <c r="D909" i="42"/>
  <c r="M909" i="35" s="1"/>
  <c r="C974" i="42"/>
  <c r="B966" i="42"/>
  <c r="K966" i="35" s="1"/>
  <c r="C1016" i="42"/>
  <c r="D1020" i="42"/>
  <c r="M1020" i="35" s="1"/>
  <c r="B936" i="42"/>
  <c r="B898" i="42"/>
  <c r="K898" i="35" s="1"/>
  <c r="B987" i="42"/>
  <c r="K987" i="35" s="1"/>
  <c r="C911" i="42"/>
  <c r="L911" i="35" s="1"/>
  <c r="D898" i="42"/>
  <c r="M898" i="35" s="1"/>
  <c r="B926" i="42"/>
  <c r="B963" i="42"/>
  <c r="K963" i="35" s="1"/>
  <c r="B965" i="42"/>
  <c r="K965" i="35" s="1"/>
  <c r="C957" i="42"/>
  <c r="D937" i="42"/>
  <c r="C994" i="42"/>
  <c r="C1005" i="42"/>
  <c r="B1014" i="42"/>
  <c r="K1014" i="35" s="1"/>
  <c r="C882" i="42"/>
  <c r="B950" i="42"/>
  <c r="K950" i="35" s="1"/>
  <c r="D939" i="42"/>
  <c r="B952" i="42"/>
  <c r="K952" i="35" s="1"/>
  <c r="B940" i="42"/>
  <c r="B900" i="42"/>
  <c r="K900" i="35" s="1"/>
  <c r="B976" i="42"/>
  <c r="K976" i="35" s="1"/>
  <c r="D931" i="42"/>
  <c r="B925" i="42"/>
  <c r="E898" i="42"/>
  <c r="N898" i="35" s="1"/>
  <c r="C982" i="42"/>
  <c r="B918" i="42"/>
  <c r="K918" i="35" s="1"/>
  <c r="D1017" i="42"/>
  <c r="M1017" i="35" s="1"/>
  <c r="D945" i="42"/>
  <c r="M945" i="35" s="1"/>
  <c r="E918" i="42"/>
  <c r="N918" i="35" s="1"/>
  <c r="D979" i="42"/>
  <c r="M979" i="35" s="1"/>
  <c r="C989" i="42"/>
  <c r="C967" i="42"/>
  <c r="B932" i="42"/>
  <c r="B914" i="42"/>
  <c r="K914" i="35" s="1"/>
  <c r="C955" i="42"/>
  <c r="B887" i="42"/>
  <c r="K887" i="35" s="1"/>
  <c r="C983" i="42"/>
  <c r="B901" i="42"/>
  <c r="K901" i="35" s="1"/>
  <c r="D879" i="42"/>
  <c r="D907" i="42"/>
  <c r="B991" i="42"/>
  <c r="K991" i="35" s="1"/>
  <c r="C887" i="42"/>
  <c r="L887" i="35" s="1"/>
  <c r="B894" i="42"/>
  <c r="K894" i="35" s="1"/>
  <c r="B939" i="42"/>
  <c r="C990" i="42"/>
  <c r="D986" i="42"/>
  <c r="M986" i="35" s="1"/>
  <c r="E897" i="42"/>
  <c r="N897" i="35" s="1"/>
  <c r="D974" i="42"/>
  <c r="M974" i="35" s="1"/>
  <c r="C959" i="42"/>
  <c r="D996" i="42"/>
  <c r="M996" i="35" s="1"/>
  <c r="C1022" i="42"/>
  <c r="B904" i="42"/>
  <c r="K904" i="35" s="1"/>
  <c r="C896" i="42"/>
  <c r="L896" i="35" s="1"/>
  <c r="B875" i="42"/>
  <c r="B1028" i="42"/>
  <c r="K1028" i="35" s="1"/>
  <c r="C953" i="42"/>
  <c r="C891" i="42"/>
  <c r="L891" i="35" s="1"/>
  <c r="B902" i="42"/>
  <c r="K902" i="35" s="1"/>
  <c r="D899" i="42"/>
  <c r="M899" i="35" s="1"/>
  <c r="D972" i="42"/>
  <c r="M972" i="35" s="1"/>
  <c r="B1016" i="42"/>
  <c r="K1016" i="35" s="1"/>
  <c r="D964" i="42"/>
  <c r="M964" i="35" s="1"/>
  <c r="D942" i="42"/>
  <c r="E888" i="42"/>
  <c r="N888" i="35" s="1"/>
  <c r="D991" i="42"/>
  <c r="M991" i="35" s="1"/>
  <c r="D949" i="42"/>
  <c r="M949" i="35" s="1"/>
  <c r="C894" i="42"/>
  <c r="L894" i="35" s="1"/>
  <c r="C985" i="42"/>
  <c r="C940" i="42"/>
  <c r="C970" i="42"/>
  <c r="C880" i="42"/>
  <c r="D924" i="42"/>
  <c r="B938" i="42"/>
  <c r="C1023" i="42"/>
  <c r="D889" i="42"/>
  <c r="M889" i="35" s="1"/>
  <c r="C937" i="42"/>
  <c r="D1026" i="42"/>
  <c r="M1026" i="35" s="1"/>
  <c r="C898" i="42"/>
  <c r="L898" i="35" s="1"/>
  <c r="C933" i="42"/>
  <c r="C1026" i="42"/>
  <c r="D1009" i="42"/>
  <c r="M1009" i="35" s="1"/>
  <c r="C912" i="42"/>
  <c r="L912" i="35" s="1"/>
  <c r="D968" i="42"/>
  <c r="M968" i="35" s="1"/>
  <c r="C901" i="42"/>
  <c r="L901" i="35" s="1"/>
  <c r="D888" i="42"/>
  <c r="M888" i="35" s="1"/>
  <c r="C910" i="42"/>
  <c r="L910" i="35" s="1"/>
  <c r="B927" i="42"/>
  <c r="D957" i="42"/>
  <c r="M957" i="35" s="1"/>
  <c r="B881" i="42"/>
  <c r="D944" i="42"/>
  <c r="D940" i="42"/>
  <c r="C1028" i="42"/>
  <c r="B947" i="42"/>
  <c r="K947" i="35" s="1"/>
  <c r="D895" i="42"/>
  <c r="M895" i="35" s="1"/>
  <c r="C984" i="42"/>
  <c r="C981" i="42"/>
  <c r="C1013" i="42"/>
  <c r="D961" i="42"/>
  <c r="M961" i="35" s="1"/>
  <c r="B956" i="42"/>
  <c r="K956" i="35" s="1"/>
  <c r="C1001" i="42"/>
  <c r="B1026" i="42"/>
  <c r="K1026" i="35" s="1"/>
  <c r="B985" i="42"/>
  <c r="K985" i="35" s="1"/>
  <c r="B977" i="42"/>
  <c r="K977" i="35" s="1"/>
  <c r="B895" i="42"/>
  <c r="K895" i="35" s="1"/>
  <c r="B874" i="42"/>
  <c r="B919" i="42"/>
  <c r="K919" i="35" s="1"/>
  <c r="C973" i="42"/>
  <c r="C925" i="42"/>
  <c r="C945" i="42"/>
  <c r="D941" i="42"/>
  <c r="D917" i="42"/>
  <c r="E908" i="42"/>
  <c r="N908" i="35" s="1"/>
  <c r="C979" i="42"/>
  <c r="B890" i="42"/>
  <c r="K890" i="35" s="1"/>
  <c r="C987" i="42"/>
  <c r="D967" i="42"/>
  <c r="M967" i="35" s="1"/>
  <c r="D1007" i="42"/>
  <c r="M1007" i="35" s="1"/>
  <c r="C978" i="42"/>
  <c r="C980" i="42"/>
  <c r="B908" i="42"/>
  <c r="K908" i="35" s="1"/>
  <c r="D908" i="42"/>
  <c r="M908" i="35" s="1"/>
  <c r="D975" i="42"/>
  <c r="M975" i="35" s="1"/>
  <c r="B930" i="42"/>
  <c r="D894" i="42"/>
  <c r="M894" i="35" s="1"/>
  <c r="C890" i="42"/>
  <c r="L890" i="35" s="1"/>
  <c r="B946" i="42"/>
  <c r="K946" i="35" s="1"/>
  <c r="B877" i="42"/>
  <c r="D981" i="42"/>
  <c r="M981" i="35" s="1"/>
  <c r="D994" i="42"/>
  <c r="M994" i="35" s="1"/>
  <c r="D1013" i="42"/>
  <c r="M1013" i="35" s="1"/>
  <c r="B986" i="42"/>
  <c r="K986" i="35" s="1"/>
  <c r="D926" i="42"/>
  <c r="B988" i="42"/>
  <c r="K988" i="35" s="1"/>
  <c r="B1020" i="42"/>
  <c r="K1020" i="35" s="1"/>
  <c r="D946" i="42"/>
  <c r="M946" i="35" s="1"/>
  <c r="D962" i="42"/>
  <c r="M962" i="35" s="1"/>
  <c r="B910" i="42"/>
  <c r="K910" i="35" s="1"/>
  <c r="D971" i="42"/>
  <c r="M971" i="35" s="1"/>
  <c r="D960" i="42"/>
  <c r="M960" i="35" s="1"/>
  <c r="D1018" i="42"/>
  <c r="M1018" i="35" s="1"/>
  <c r="D980" i="42"/>
  <c r="M980" i="35" s="1"/>
  <c r="C916" i="42"/>
  <c r="L916" i="35" s="1"/>
  <c r="C986" i="42"/>
  <c r="C1010" i="42"/>
  <c r="B1012" i="42"/>
  <c r="K1012" i="35" s="1"/>
  <c r="B964" i="42"/>
  <c r="K964" i="35" s="1"/>
  <c r="D884" i="42"/>
  <c r="M884" i="35" s="1"/>
  <c r="C878" i="42"/>
  <c r="C932" i="42"/>
  <c r="D876" i="42"/>
  <c r="B993" i="42"/>
  <c r="K993" i="35" s="1"/>
  <c r="C926" i="42"/>
  <c r="D954" i="42"/>
  <c r="M954" i="35" s="1"/>
  <c r="D959" i="42"/>
  <c r="M959" i="35" s="1"/>
  <c r="C999" i="42"/>
  <c r="C966" i="42"/>
  <c r="C995" i="42"/>
  <c r="B934" i="42"/>
  <c r="D989" i="42"/>
  <c r="M989" i="35" s="1"/>
  <c r="C1019" i="42"/>
  <c r="D1006" i="42"/>
  <c r="M1006" i="35" s="1"/>
  <c r="C914" i="42"/>
  <c r="L914" i="35" s="1"/>
  <c r="D935" i="42"/>
  <c r="D955" i="42"/>
  <c r="M955" i="35" s="1"/>
  <c r="B1025" i="42"/>
  <c r="K1025" i="35" s="1"/>
  <c r="D1012" i="42"/>
  <c r="M1012" i="35" s="1"/>
  <c r="D948" i="42"/>
  <c r="M948" i="35" s="1"/>
  <c r="B906" i="42"/>
  <c r="K906" i="35" s="1"/>
  <c r="B884" i="42"/>
  <c r="K884" i="35" s="1"/>
  <c r="C996" i="42"/>
  <c r="D995" i="42"/>
  <c r="M995" i="35" s="1"/>
  <c r="C1012" i="42"/>
  <c r="B949" i="42"/>
  <c r="K949" i="35" s="1"/>
  <c r="C875" i="42"/>
  <c r="B984" i="42"/>
  <c r="K984" i="35" s="1"/>
  <c r="B967" i="42"/>
  <c r="K967" i="35" s="1"/>
  <c r="D880" i="42"/>
  <c r="C943" i="42"/>
  <c r="D997" i="42"/>
  <c r="M997" i="35" s="1"/>
  <c r="C951" i="42"/>
  <c r="C920" i="42"/>
  <c r="L920" i="35" s="1"/>
  <c r="C958" i="42"/>
  <c r="D970" i="42"/>
  <c r="M970" i="35" s="1"/>
  <c r="B971" i="42"/>
  <c r="K971" i="35" s="1"/>
  <c r="D998" i="42"/>
  <c r="M998" i="35" s="1"/>
  <c r="C928" i="42"/>
  <c r="D1027" i="42"/>
  <c r="M1027" i="35" s="1"/>
  <c r="D1011" i="42"/>
  <c r="M1011" i="35" s="1"/>
  <c r="B873" i="42"/>
  <c r="B880" i="42"/>
  <c r="B951" i="42"/>
  <c r="K951" i="35" s="1"/>
  <c r="B954" i="42"/>
  <c r="K954" i="35" s="1"/>
  <c r="D1023" i="42"/>
  <c r="M1023" i="35" s="1"/>
  <c r="C997" i="42"/>
  <c r="B915" i="42"/>
  <c r="K915" i="35" s="1"/>
  <c r="B885" i="42"/>
  <c r="K885" i="35" s="1"/>
  <c r="B937" i="42"/>
  <c r="C919" i="42"/>
  <c r="L919" i="35" s="1"/>
  <c r="B989" i="42"/>
  <c r="K989" i="35" s="1"/>
  <c r="B888" i="42"/>
  <c r="K888" i="35" s="1"/>
  <c r="C954" i="42"/>
  <c r="D910" i="42"/>
  <c r="M910" i="35" s="1"/>
  <c r="B896" i="42"/>
  <c r="K896" i="35" s="1"/>
  <c r="C968" i="42"/>
  <c r="B996" i="42"/>
  <c r="K996" i="35" s="1"/>
  <c r="C1006" i="42"/>
  <c r="D988" i="42"/>
  <c r="M988" i="35" s="1"/>
  <c r="D927" i="42"/>
  <c r="B953" i="42"/>
  <c r="K953" i="35" s="1"/>
  <c r="D947" i="42"/>
  <c r="M947" i="35" s="1"/>
  <c r="E887" i="42"/>
  <c r="N887" i="35" s="1"/>
  <c r="B1013" i="42"/>
  <c r="K1013" i="35" s="1"/>
  <c r="C909" i="42"/>
  <c r="L909" i="35" s="1"/>
  <c r="D934" i="42"/>
  <c r="C949" i="42"/>
  <c r="D929" i="42"/>
  <c r="D916" i="42"/>
  <c r="M916" i="35" s="1"/>
  <c r="C884" i="42"/>
  <c r="L884" i="35" s="1"/>
  <c r="D887" i="42"/>
  <c r="M887" i="35" s="1"/>
  <c r="C874" i="42"/>
  <c r="B1005" i="42"/>
  <c r="K1005" i="35" s="1"/>
  <c r="B921" i="42"/>
  <c r="K921" i="35" s="1"/>
  <c r="B916" i="42"/>
  <c r="K916" i="35" s="1"/>
  <c r="D1005" i="42"/>
  <c r="M1005" i="35" s="1"/>
  <c r="B1021" i="42"/>
  <c r="K1021" i="35" s="1"/>
  <c r="D874" i="42"/>
  <c r="D1028" i="42"/>
  <c r="M1028" i="35" s="1"/>
  <c r="B948" i="42"/>
  <c r="K948" i="35" s="1"/>
  <c r="C941" i="42"/>
  <c r="C1002" i="42"/>
  <c r="D936" i="42"/>
  <c r="D999" i="42"/>
  <c r="M999" i="35" s="1"/>
  <c r="D897" i="42"/>
  <c r="M897" i="35" s="1"/>
  <c r="B992" i="42"/>
  <c r="K992" i="35" s="1"/>
  <c r="C881" i="42"/>
  <c r="B959" i="42"/>
  <c r="K959" i="35" s="1"/>
  <c r="C886" i="42"/>
  <c r="L886" i="35" s="1"/>
  <c r="B1008" i="42"/>
  <c r="K1008" i="35" s="1"/>
  <c r="B920" i="42"/>
  <c r="K920" i="35" s="1"/>
  <c r="B1004" i="42"/>
  <c r="K1004" i="35" s="1"/>
  <c r="C915" i="42"/>
  <c r="L915" i="35" s="1"/>
  <c r="B1009" i="42"/>
  <c r="K1009" i="35" s="1"/>
  <c r="D896" i="42"/>
  <c r="M896" i="35" s="1"/>
  <c r="C906" i="42"/>
  <c r="L906" i="35" s="1"/>
  <c r="D956" i="42"/>
  <c r="M956" i="35" s="1"/>
  <c r="C885" i="42"/>
  <c r="L885" i="35" s="1"/>
  <c r="B981" i="42"/>
  <c r="K981" i="35" s="1"/>
  <c r="C902" i="42"/>
  <c r="L902" i="35" s="1"/>
  <c r="D930" i="42"/>
  <c r="B1015" i="42"/>
  <c r="K1015" i="35" s="1"/>
  <c r="C892" i="42"/>
  <c r="L892" i="35" s="1"/>
  <c r="C960" i="42"/>
  <c r="D918" i="42"/>
  <c r="M918" i="35" s="1"/>
  <c r="D965" i="42"/>
  <c r="M965" i="35" s="1"/>
  <c r="C939" i="42"/>
  <c r="C1009" i="42"/>
  <c r="D920" i="42"/>
  <c r="M920" i="35" s="1"/>
  <c r="D973" i="42"/>
  <c r="M973" i="35" s="1"/>
  <c r="D1021" i="42"/>
  <c r="M1021" i="35" s="1"/>
  <c r="C908" i="42"/>
  <c r="L908" i="35" s="1"/>
  <c r="C950" i="42"/>
  <c r="B912" i="42"/>
  <c r="K912" i="35" s="1"/>
  <c r="C1008" i="42"/>
  <c r="B907" i="42"/>
  <c r="K907" i="35" s="1"/>
  <c r="B917" i="42"/>
  <c r="K917" i="35" s="1"/>
  <c r="D985" i="42"/>
  <c r="M985" i="35" s="1"/>
  <c r="D1003" i="42"/>
  <c r="M1003" i="35" s="1"/>
  <c r="D990" i="42"/>
  <c r="M990" i="35" s="1"/>
  <c r="C975" i="42"/>
  <c r="B1010" i="42"/>
  <c r="K1010" i="35" s="1"/>
  <c r="B979" i="42"/>
  <c r="K979" i="35" s="1"/>
  <c r="C924" i="42"/>
  <c r="B899" i="42"/>
  <c r="K899" i="35" s="1"/>
  <c r="C1011" i="42"/>
  <c r="B957" i="42"/>
  <c r="K957" i="35" s="1"/>
  <c r="D943" i="42"/>
  <c r="B924" i="42"/>
  <c r="B911" i="42"/>
  <c r="K911" i="35" s="1"/>
  <c r="C992" i="42"/>
  <c r="C1020" i="42"/>
  <c r="B929" i="42"/>
  <c r="C889" i="42"/>
  <c r="L889" i="35" s="1"/>
  <c r="C977" i="42"/>
  <c r="D992" i="42"/>
  <c r="M992" i="35" s="1"/>
  <c r="B974" i="42"/>
  <c r="K974" i="35" s="1"/>
  <c r="C961" i="42"/>
  <c r="B1023" i="42"/>
  <c r="K1023" i="35" s="1"/>
  <c r="D1016" i="42"/>
  <c r="M1016" i="35" s="1"/>
  <c r="C969" i="42"/>
  <c r="D1024" i="42"/>
  <c r="M1024" i="35" s="1"/>
  <c r="D904" i="42"/>
  <c r="M904" i="35" s="1"/>
  <c r="C1024" i="42"/>
  <c r="B990" i="42"/>
  <c r="K990" i="35" s="1"/>
  <c r="D977" i="42"/>
  <c r="M977" i="35" s="1"/>
  <c r="C930" i="42"/>
  <c r="C1014" i="42"/>
  <c r="B942" i="42"/>
  <c r="B897" i="42"/>
  <c r="K897" i="35" s="1"/>
  <c r="B909" i="42"/>
  <c r="K909" i="35" s="1"/>
  <c r="B944" i="42"/>
  <c r="B891" i="42"/>
  <c r="K891" i="35" s="1"/>
  <c r="C948" i="42"/>
  <c r="B1018" i="42"/>
  <c r="K1018" i="35" s="1"/>
  <c r="D969" i="42"/>
  <c r="M969" i="35" s="1"/>
  <c r="D1025" i="42"/>
  <c r="M1025" i="35" s="1"/>
  <c r="D1022" i="42"/>
  <c r="M1022" i="35" s="1"/>
  <c r="C934" i="42"/>
  <c r="C942" i="42"/>
  <c r="D1000" i="42"/>
  <c r="M1000" i="35" s="1"/>
  <c r="D914" i="42"/>
  <c r="M914" i="35" s="1"/>
  <c r="C918" i="42"/>
  <c r="L918" i="35" s="1"/>
  <c r="B905" i="42"/>
  <c r="K905" i="35" s="1"/>
  <c r="C899" i="42"/>
  <c r="L899" i="35" s="1"/>
  <c r="D953" i="42"/>
  <c r="M953" i="35" s="1"/>
  <c r="B878" i="42"/>
  <c r="C964" i="42"/>
  <c r="D928" i="42"/>
  <c r="C929" i="42"/>
  <c r="B978" i="42"/>
  <c r="K978" i="35" s="1"/>
  <c r="D905" i="42"/>
  <c r="M905" i="35" s="1"/>
  <c r="C1004" i="42"/>
  <c r="C963" i="42"/>
  <c r="D978" i="42"/>
  <c r="M978" i="35" s="1"/>
  <c r="D1019" i="42"/>
  <c r="M1019" i="35" s="1"/>
  <c r="B933" i="42"/>
  <c r="B928" i="42"/>
  <c r="B935" i="42"/>
  <c r="E847" i="42"/>
  <c r="F847" i="42"/>
  <c r="B26" i="42"/>
  <c r="B25" i="42"/>
  <c r="B12" i="8"/>
  <c r="B13" i="8"/>
  <c r="B14" i="8"/>
  <c r="B15" i="8"/>
  <c r="B16" i="8"/>
  <c r="B19" i="8"/>
  <c r="B20" i="8"/>
  <c r="B43" i="8"/>
  <c r="B44" i="8"/>
  <c r="B45" i="8"/>
  <c r="B46" i="8"/>
  <c r="B47" i="8"/>
  <c r="B50" i="8"/>
  <c r="B51" i="8"/>
  <c r="B52" i="8"/>
  <c r="B49" i="8"/>
  <c r="B48" i="8"/>
  <c r="B18" i="8"/>
  <c r="B36" i="8"/>
  <c r="B35" i="8"/>
  <c r="B7" i="8"/>
  <c r="H56" i="35"/>
  <c r="H57" i="35"/>
  <c r="H58" i="35"/>
  <c r="H55" i="35"/>
  <c r="H53" i="35"/>
  <c r="H54" i="35"/>
  <c r="H51" i="35"/>
  <c r="H52" i="35"/>
  <c r="H50" i="35"/>
  <c r="H46" i="35"/>
  <c r="H45" i="35"/>
  <c r="H44" i="35"/>
  <c r="H43" i="35"/>
  <c r="H42" i="35"/>
  <c r="H40" i="35"/>
  <c r="H41" i="35"/>
  <c r="H39" i="35"/>
  <c r="H38" i="35"/>
  <c r="J963" i="35" l="1" a="1"/>
  <c r="J963" i="35" s="1"/>
  <c r="D963" i="35" s="1"/>
  <c r="C968" i="55" s="1"/>
  <c r="J1015" i="35" a="1"/>
  <c r="J1015" i="35" s="1"/>
  <c r="D1015" i="35" s="1"/>
  <c r="C1020" i="55" s="1"/>
  <c r="J989" i="35" a="1"/>
  <c r="J989" i="35" s="1"/>
  <c r="D989" i="35" s="1"/>
  <c r="C994" i="55" s="1"/>
  <c r="J1026" i="35" a="1"/>
  <c r="J1026" i="35" s="1"/>
  <c r="D1026" i="35" s="1"/>
  <c r="C1031" i="55" s="1"/>
  <c r="J891" i="35" a="1"/>
  <c r="J891" i="35" s="1"/>
  <c r="D891" i="35" s="1"/>
  <c r="C896" i="55" s="1"/>
  <c r="J974" i="35" a="1"/>
  <c r="J974" i="35" s="1"/>
  <c r="D974" i="35" s="1"/>
  <c r="C979" i="55" s="1"/>
  <c r="J1004" i="35" a="1"/>
  <c r="J1004" i="35" s="1"/>
  <c r="D1004" i="35" s="1"/>
  <c r="C1009" i="55" s="1"/>
  <c r="J1009" i="35" a="1"/>
  <c r="J1009" i="35" s="1"/>
  <c r="D1009" i="35" s="1"/>
  <c r="C1014" i="55" s="1"/>
  <c r="J954" i="35" a="1"/>
  <c r="J954" i="35" s="1"/>
  <c r="D954" i="35" s="1"/>
  <c r="C959" i="55" s="1"/>
  <c r="J1010" i="35" a="1"/>
  <c r="J1010" i="35" s="1"/>
  <c r="D1010" i="35" s="1"/>
  <c r="C1015" i="55" s="1"/>
  <c r="J1008" i="35" a="1"/>
  <c r="J1008" i="35" s="1"/>
  <c r="D1008" i="35" s="1"/>
  <c r="C1013" i="55" s="1"/>
  <c r="J948" i="35" a="1"/>
  <c r="J948" i="35" s="1"/>
  <c r="D948" i="35" s="1"/>
  <c r="C953" i="55" s="1"/>
  <c r="J987" i="35" a="1"/>
  <c r="J987" i="35" s="1"/>
  <c r="D987" i="35" s="1"/>
  <c r="C992" i="55" s="1"/>
  <c r="J1023" i="35" a="1"/>
  <c r="J1023" i="35" s="1"/>
  <c r="D1023" i="35" s="1"/>
  <c r="C1028" i="55" s="1"/>
  <c r="J911" i="35" a="1"/>
  <c r="J911" i="35" s="1"/>
  <c r="D911" i="35" s="1"/>
  <c r="C916" i="55" s="1"/>
  <c r="J1018" i="35" a="1"/>
  <c r="J1018" i="35" s="1"/>
  <c r="D1018" i="35" s="1"/>
  <c r="C1023" i="55" s="1"/>
  <c r="J951" i="35" a="1"/>
  <c r="J951" i="35" s="1"/>
  <c r="D951" i="35" s="1"/>
  <c r="C956" i="55" s="1"/>
  <c r="J984" i="35" a="1"/>
  <c r="J984" i="35" s="1"/>
  <c r="D984" i="35" s="1"/>
  <c r="C989" i="55" s="1"/>
  <c r="J993" i="35" a="1"/>
  <c r="J993" i="35" s="1"/>
  <c r="D993" i="35" s="1"/>
  <c r="C998" i="55" s="1"/>
  <c r="J912" i="35" a="1"/>
  <c r="J912" i="35" s="1"/>
  <c r="D912" i="35" s="1"/>
  <c r="C917" i="55" s="1"/>
  <c r="J921" i="35" a="1"/>
  <c r="J921" i="35" s="1"/>
  <c r="D921" i="35" s="1"/>
  <c r="C926" i="55" s="1"/>
  <c r="J1020" i="35" a="1"/>
  <c r="J1020" i="35" s="1"/>
  <c r="D1020" i="35" s="1"/>
  <c r="C1025" i="55" s="1"/>
  <c r="J996" i="35" a="1"/>
  <c r="J996" i="35" s="1"/>
  <c r="D996" i="35" s="1"/>
  <c r="C1001" i="55" s="1"/>
  <c r="J949" i="35" a="1"/>
  <c r="J949" i="35" s="1"/>
  <c r="D949" i="35" s="1"/>
  <c r="C954" i="55" s="1"/>
  <c r="J959" i="35" a="1"/>
  <c r="J959" i="35" s="1"/>
  <c r="D959" i="35" s="1"/>
  <c r="C964" i="55" s="1"/>
  <c r="J1013" i="35" a="1"/>
  <c r="J1013" i="35" s="1"/>
  <c r="D1013" i="35" s="1"/>
  <c r="C1018" i="55" s="1"/>
  <c r="J978" i="35" a="1"/>
  <c r="J978" i="35" s="1"/>
  <c r="D978" i="35" s="1"/>
  <c r="C983" i="55" s="1"/>
  <c r="J979" i="35" a="1"/>
  <c r="J979" i="35" s="1"/>
  <c r="D979" i="35" s="1"/>
  <c r="C984" i="55" s="1"/>
  <c r="J981" i="35" a="1"/>
  <c r="J981" i="35" s="1"/>
  <c r="D981" i="35" s="1"/>
  <c r="C986" i="55" s="1"/>
  <c r="J920" i="35" a="1"/>
  <c r="J920" i="35" s="1"/>
  <c r="D920" i="35" s="1"/>
  <c r="C925" i="55" s="1"/>
  <c r="J916" i="35" a="1"/>
  <c r="J916" i="35" s="1"/>
  <c r="D916" i="35" s="1"/>
  <c r="C921" i="55" s="1"/>
  <c r="J982" i="35" a="1"/>
  <c r="J982" i="35" s="1"/>
  <c r="D982" i="35" s="1"/>
  <c r="C987" i="55" s="1"/>
  <c r="J909" i="35" a="1"/>
  <c r="J909" i="35" s="1"/>
  <c r="D909" i="35" s="1"/>
  <c r="C914" i="55" s="1"/>
  <c r="J957" i="35" a="1"/>
  <c r="J957" i="35" s="1"/>
  <c r="D957" i="35" s="1"/>
  <c r="C962" i="55" s="1"/>
  <c r="J915" i="35" a="1"/>
  <c r="J915" i="35" s="1"/>
  <c r="D915" i="35" s="1"/>
  <c r="C920" i="55" s="1"/>
  <c r="J986" i="35" a="1"/>
  <c r="J986" i="35" s="1"/>
  <c r="D986" i="35" s="1"/>
  <c r="C991" i="55" s="1"/>
  <c r="J983" i="35" a="1"/>
  <c r="J983" i="35" s="1"/>
  <c r="D983" i="35" s="1"/>
  <c r="C988" i="55" s="1"/>
  <c r="J900" i="35" a="1"/>
  <c r="J900" i="35" s="1"/>
  <c r="D900" i="35" s="1"/>
  <c r="C905" i="55" s="1"/>
  <c r="J964" i="35" a="1"/>
  <c r="J964" i="35" s="1"/>
  <c r="D964" i="35" s="1"/>
  <c r="C969" i="55" s="1"/>
  <c r="J952" i="35" a="1"/>
  <c r="J952" i="35" s="1"/>
  <c r="D952" i="35" s="1"/>
  <c r="C957" i="55" s="1"/>
  <c r="J966" i="35" a="1"/>
  <c r="J966" i="35" s="1"/>
  <c r="D966" i="35" s="1"/>
  <c r="C971" i="55" s="1"/>
  <c r="J1025" i="35" a="1"/>
  <c r="J1025" i="35" s="1"/>
  <c r="D1025" i="35" s="1"/>
  <c r="C1030" i="55" s="1"/>
  <c r="J976" i="35" a="1"/>
  <c r="J976" i="35" s="1"/>
  <c r="D976" i="35" s="1"/>
  <c r="C981" i="55" s="1"/>
  <c r="J946" i="35" a="1"/>
  <c r="J946" i="35" s="1"/>
  <c r="D946" i="35" s="1"/>
  <c r="C951" i="55" s="1"/>
  <c r="J1014" i="35" a="1"/>
  <c r="J1014" i="35" s="1"/>
  <c r="D1014" i="35" s="1"/>
  <c r="C1019" i="55" s="1"/>
  <c r="J998" i="35" a="1"/>
  <c r="J998" i="35" s="1"/>
  <c r="D998" i="35" s="1"/>
  <c r="C1003" i="55" s="1"/>
  <c r="J994" i="35" a="1"/>
  <c r="J994" i="35" s="1"/>
  <c r="D994" i="35" s="1"/>
  <c r="C999" i="55" s="1"/>
  <c r="J990" i="35" a="1"/>
  <c r="J990" i="35" s="1"/>
  <c r="D990" i="35" s="1"/>
  <c r="C995" i="55" s="1"/>
  <c r="J1005" i="35" a="1"/>
  <c r="J1005" i="35" s="1"/>
  <c r="D1005" i="35" s="1"/>
  <c r="C1010" i="55" s="1"/>
  <c r="J1002" i="35" a="1"/>
  <c r="J1002" i="35" s="1"/>
  <c r="D1002" i="35" s="1"/>
  <c r="C1007" i="55" s="1"/>
  <c r="J890" i="35" a="1"/>
  <c r="J890" i="35" s="1"/>
  <c r="D890" i="35" s="1"/>
  <c r="C895" i="55" s="1"/>
  <c r="J902" i="35" a="1"/>
  <c r="J902" i="35" s="1"/>
  <c r="D902" i="35" s="1"/>
  <c r="C907" i="55" s="1"/>
  <c r="J992" i="35" a="1"/>
  <c r="J992" i="35" s="1"/>
  <c r="D992" i="35" s="1"/>
  <c r="C997" i="55" s="1"/>
  <c r="J919" i="35" a="1"/>
  <c r="J919" i="35" s="1"/>
  <c r="D919" i="35" s="1"/>
  <c r="C924" i="55" s="1"/>
  <c r="J899" i="35" a="1"/>
  <c r="J899" i="35" s="1"/>
  <c r="D899" i="35" s="1"/>
  <c r="C904" i="55" s="1"/>
  <c r="J1021" i="35" a="1"/>
  <c r="J1021" i="35" s="1"/>
  <c r="D1021" i="35" s="1"/>
  <c r="C1026" i="55" s="1"/>
  <c r="J953" i="35" a="1"/>
  <c r="J953" i="35" s="1"/>
  <c r="D953" i="35" s="1"/>
  <c r="C958" i="55" s="1"/>
  <c r="J884" i="35" a="1"/>
  <c r="J884" i="35" s="1"/>
  <c r="D884" i="35" s="1"/>
  <c r="C889" i="55" s="1"/>
  <c r="J1012" i="35" a="1"/>
  <c r="J1012" i="35" s="1"/>
  <c r="D1012" i="35" s="1"/>
  <c r="C1017" i="55" s="1"/>
  <c r="J910" i="35" a="1"/>
  <c r="J910" i="35" s="1"/>
  <c r="D910" i="35" s="1"/>
  <c r="C915" i="55" s="1"/>
  <c r="J991" i="35" a="1"/>
  <c r="J991" i="35" s="1"/>
  <c r="D991" i="35" s="1"/>
  <c r="C996" i="55" s="1"/>
  <c r="J965" i="35" a="1"/>
  <c r="J965" i="35" s="1"/>
  <c r="D965" i="35" s="1"/>
  <c r="C970" i="55" s="1"/>
  <c r="J892" i="35" a="1"/>
  <c r="J892" i="35" s="1"/>
  <c r="D892" i="35" s="1"/>
  <c r="C897" i="55" s="1"/>
  <c r="J968" i="35" a="1"/>
  <c r="J968" i="35" s="1"/>
  <c r="D968" i="35" s="1"/>
  <c r="C973" i="55" s="1"/>
  <c r="J1022" i="35" a="1"/>
  <c r="J1022" i="35" s="1"/>
  <c r="D1022" i="35" s="1"/>
  <c r="C1027" i="55" s="1"/>
  <c r="J1001" i="35" a="1"/>
  <c r="J1001" i="35" s="1"/>
  <c r="D1001" i="35" s="1"/>
  <c r="C1006" i="55" s="1"/>
  <c r="J1007" i="35" a="1"/>
  <c r="J1007" i="35" s="1"/>
  <c r="D1007" i="35" s="1"/>
  <c r="C1012" i="55" s="1"/>
  <c r="J975" i="35" a="1"/>
  <c r="J975" i="35" s="1"/>
  <c r="D975" i="35" s="1"/>
  <c r="C980" i="55" s="1"/>
  <c r="J905" i="35" a="1"/>
  <c r="J905" i="35" s="1"/>
  <c r="D905" i="35" s="1"/>
  <c r="C910" i="55" s="1"/>
  <c r="J888" i="35" a="1"/>
  <c r="J888" i="35" s="1"/>
  <c r="D888" i="35" s="1"/>
  <c r="C893" i="55" s="1"/>
  <c r="J971" i="35" a="1"/>
  <c r="J971" i="35" s="1"/>
  <c r="D971" i="35" s="1"/>
  <c r="C976" i="55" s="1"/>
  <c r="J967" i="35" a="1"/>
  <c r="J967" i="35" s="1"/>
  <c r="D967" i="35" s="1"/>
  <c r="C972" i="55" s="1"/>
  <c r="J906" i="35" a="1"/>
  <c r="J906" i="35" s="1"/>
  <c r="D906" i="35" s="1"/>
  <c r="C911" i="55" s="1"/>
  <c r="J908" i="35" a="1"/>
  <c r="J908" i="35" s="1"/>
  <c r="D908" i="35" s="1"/>
  <c r="C913" i="55" s="1"/>
  <c r="J895" i="35" a="1"/>
  <c r="J895" i="35" s="1"/>
  <c r="D895" i="35" s="1"/>
  <c r="C900" i="55" s="1"/>
  <c r="J950" i="35" a="1"/>
  <c r="J950" i="35" s="1"/>
  <c r="D950" i="35" s="1"/>
  <c r="C955" i="55" s="1"/>
  <c r="J955" i="35" a="1"/>
  <c r="J955" i="35" s="1"/>
  <c r="D955" i="35" s="1"/>
  <c r="C960" i="55" s="1"/>
  <c r="J973" i="35" a="1"/>
  <c r="J973" i="35" s="1"/>
  <c r="D973" i="35" s="1"/>
  <c r="C978" i="55" s="1"/>
  <c r="J886" i="35" a="1"/>
  <c r="J886" i="35" s="1"/>
  <c r="D886" i="35" s="1"/>
  <c r="C891" i="55" s="1"/>
  <c r="J960" i="35" a="1"/>
  <c r="J960" i="35" s="1"/>
  <c r="D960" i="35" s="1"/>
  <c r="C965" i="55" s="1"/>
  <c r="J1019" i="35" a="1"/>
  <c r="J1019" i="35" s="1"/>
  <c r="D1019" i="35" s="1"/>
  <c r="C1024" i="55" s="1"/>
  <c r="J958" i="35" a="1"/>
  <c r="J958" i="35" s="1"/>
  <c r="D958" i="35" s="1"/>
  <c r="C963" i="55" s="1"/>
  <c r="J977" i="35" a="1"/>
  <c r="J977" i="35" s="1"/>
  <c r="D977" i="35" s="1"/>
  <c r="C982" i="55" s="1"/>
  <c r="J1028" i="35" a="1"/>
  <c r="J1028" i="35" s="1"/>
  <c r="D1028" i="35" s="1"/>
  <c r="C1033" i="55" s="1"/>
  <c r="J962" i="35" a="1"/>
  <c r="J962" i="35" s="1"/>
  <c r="D962" i="35" s="1"/>
  <c r="C967" i="55" s="1"/>
  <c r="J889" i="35" a="1"/>
  <c r="J889" i="35" s="1"/>
  <c r="D889" i="35" s="1"/>
  <c r="C894" i="55" s="1"/>
  <c r="J995" i="35" a="1"/>
  <c r="J995" i="35" s="1"/>
  <c r="D995" i="35" s="1"/>
  <c r="C1000" i="55" s="1"/>
  <c r="J985" i="35" a="1"/>
  <c r="J985" i="35" s="1"/>
  <c r="D985" i="35" s="1"/>
  <c r="C990" i="55" s="1"/>
  <c r="J901" i="35" a="1"/>
  <c r="J901" i="35" s="1"/>
  <c r="D901" i="35" s="1"/>
  <c r="C906" i="55" s="1"/>
  <c r="J988" i="35" a="1"/>
  <c r="J988" i="35" s="1"/>
  <c r="D988" i="35" s="1"/>
  <c r="C993" i="55" s="1"/>
  <c r="J947" i="35" a="1"/>
  <c r="J947" i="35" s="1"/>
  <c r="D947" i="35" s="1"/>
  <c r="C952" i="55" s="1"/>
  <c r="J1016" i="35" a="1"/>
  <c r="J1016" i="35" s="1"/>
  <c r="D1016" i="35" s="1"/>
  <c r="C1021" i="55" s="1"/>
  <c r="J997" i="35" a="1"/>
  <c r="J997" i="35" s="1"/>
  <c r="D997" i="35" s="1"/>
  <c r="C1002" i="55" s="1"/>
  <c r="J1006" i="35" a="1"/>
  <c r="J1006" i="35" s="1"/>
  <c r="D1006" i="35" s="1"/>
  <c r="C1011" i="55" s="1"/>
  <c r="J922" i="35" a="1"/>
  <c r="J922" i="35" s="1"/>
  <c r="D922" i="35" s="1"/>
  <c r="C927" i="55" s="1"/>
  <c r="J885" i="35" a="1"/>
  <c r="J885" i="35" s="1"/>
  <c r="D885" i="35" s="1"/>
  <c r="C890" i="55" s="1"/>
  <c r="J904" i="35" a="1"/>
  <c r="J904" i="35" s="1"/>
  <c r="D904" i="35" s="1"/>
  <c r="C909" i="55" s="1"/>
  <c r="J969" i="35" a="1"/>
  <c r="J969" i="35" s="1"/>
  <c r="D969" i="35" s="1"/>
  <c r="C974" i="55" s="1"/>
  <c r="J970" i="35" a="1"/>
  <c r="J970" i="35" s="1"/>
  <c r="D970" i="35" s="1"/>
  <c r="C975" i="55" s="1"/>
  <c r="J896" i="35" a="1"/>
  <c r="J896" i="35" s="1"/>
  <c r="D896" i="35" s="1"/>
  <c r="C901" i="55" s="1"/>
  <c r="J956" i="35" a="1"/>
  <c r="J956" i="35" s="1"/>
  <c r="D956" i="35" s="1"/>
  <c r="C961" i="55" s="1"/>
  <c r="J894" i="35" a="1"/>
  <c r="J894" i="35" s="1"/>
  <c r="D894" i="35" s="1"/>
  <c r="C899" i="55" s="1"/>
  <c r="J898" i="35" a="1"/>
  <c r="J898" i="35" s="1"/>
  <c r="D898" i="35" s="1"/>
  <c r="C903" i="55" s="1"/>
  <c r="J972" i="35" a="1"/>
  <c r="J972" i="35" s="1"/>
  <c r="D972" i="35" s="1"/>
  <c r="C977" i="55" s="1"/>
  <c r="J1000" i="35" a="1"/>
  <c r="J1000" i="35" s="1"/>
  <c r="D1000" i="35" s="1"/>
  <c r="C1005" i="55" s="1"/>
  <c r="J1027" i="35" a="1"/>
  <c r="J1027" i="35" s="1"/>
  <c r="D1027" i="35" s="1"/>
  <c r="C1032" i="55" s="1"/>
  <c r="J1011" i="35" a="1"/>
  <c r="J1011" i="35" s="1"/>
  <c r="D1011" i="35" s="1"/>
  <c r="C1016" i="55" s="1"/>
  <c r="J914" i="35" a="1"/>
  <c r="J914" i="35" s="1"/>
  <c r="D914" i="35" s="1"/>
  <c r="C919" i="55" s="1"/>
  <c r="J918" i="35" a="1"/>
  <c r="J918" i="35" s="1"/>
  <c r="D918" i="35" s="1"/>
  <c r="C923" i="55" s="1"/>
  <c r="J945" i="35" a="1"/>
  <c r="J945" i="35" s="1"/>
  <c r="D945" i="35" s="1"/>
  <c r="C950" i="55" s="1"/>
  <c r="J1024" i="35" a="1"/>
  <c r="J1024" i="35" s="1"/>
  <c r="D1024" i="35" s="1"/>
  <c r="C1029" i="55" s="1"/>
  <c r="J1017" i="35" a="1"/>
  <c r="J1017" i="35" s="1"/>
  <c r="D1017" i="35" s="1"/>
  <c r="C1022" i="55" s="1"/>
  <c r="J980" i="35" a="1"/>
  <c r="J980" i="35" s="1"/>
  <c r="D980" i="35" s="1"/>
  <c r="C985" i="55" s="1"/>
  <c r="J961" i="35" a="1"/>
  <c r="J961" i="35" s="1"/>
  <c r="D961" i="35" s="1"/>
  <c r="C966" i="55" s="1"/>
  <c r="J1003" i="35" a="1"/>
  <c r="J1003" i="35" s="1"/>
  <c r="D1003" i="35" s="1"/>
  <c r="C1008" i="55" s="1"/>
  <c r="J999" i="35" a="1"/>
  <c r="J999" i="35" s="1"/>
  <c r="D999" i="35" s="1"/>
  <c r="C1004" i="55" s="1"/>
  <c r="O58" i="35"/>
  <c r="H104" i="35"/>
  <c r="H13" i="35"/>
  <c r="H12" i="35"/>
  <c r="H11" i="35"/>
  <c r="H10" i="35"/>
  <c r="H9" i="35"/>
  <c r="H7" i="35"/>
  <c r="H20" i="35"/>
  <c r="H15" i="35"/>
  <c r="H6" i="35"/>
  <c r="D44" i="52" l="1"/>
  <c r="D46" i="52"/>
  <c r="D56" i="52"/>
  <c r="D32" i="52"/>
  <c r="D70" i="52"/>
  <c r="D65" i="52"/>
  <c r="D66" i="52"/>
  <c r="D58" i="52"/>
  <c r="D71" i="52"/>
  <c r="D59" i="52"/>
  <c r="D31" i="52"/>
  <c r="D68" i="52"/>
  <c r="D53" i="52"/>
  <c r="D38" i="52"/>
  <c r="D57" i="52"/>
  <c r="D51" i="52"/>
  <c r="D27" i="52"/>
  <c r="D42" i="52"/>
  <c r="D64" i="52"/>
  <c r="D26" i="52"/>
  <c r="D29" i="52"/>
  <c r="D25" i="52"/>
  <c r="D52" i="52"/>
  <c r="D72" i="52"/>
  <c r="D45" i="52"/>
  <c r="D39" i="52"/>
  <c r="D33" i="52"/>
  <c r="D43" i="52"/>
  <c r="D40" i="52"/>
  <c r="D30" i="52"/>
  <c r="D55" i="52"/>
  <c r="D69" i="52"/>
  <c r="H3" i="35"/>
  <c r="B60" i="8" l="1"/>
  <c r="B61" i="8"/>
  <c r="B62" i="8"/>
  <c r="B56" i="8"/>
  <c r="B38" i="8"/>
  <c r="B31" i="8"/>
  <c r="B32" i="8"/>
  <c r="B33" i="8"/>
  <c r="B34" i="8"/>
  <c r="B30" i="8"/>
  <c r="B8" i="8"/>
  <c r="F117" i="41" l="1"/>
  <c r="E117" i="41"/>
  <c r="G117" i="41"/>
  <c r="H117" i="41"/>
  <c r="H47" i="35"/>
  <c r="B11" i="31" l="1"/>
  <c r="N463" i="35" l="1"/>
  <c r="K431" i="35"/>
  <c r="K432" i="35"/>
  <c r="K430" i="35"/>
  <c r="K441" i="35"/>
  <c r="L441" i="35"/>
  <c r="L461" i="35"/>
  <c r="L471" i="35"/>
  <c r="P897" i="35"/>
  <c r="J897" i="35" s="1" a="1"/>
  <c r="J897" i="35" s="1"/>
  <c r="D897" i="35" s="1"/>
  <c r="C902" i="55" s="1"/>
  <c r="L432" i="35"/>
  <c r="P887" i="35"/>
  <c r="J887" i="35" s="1" a="1"/>
  <c r="J887" i="35" s="1"/>
  <c r="D887" i="35" s="1"/>
  <c r="C892" i="55" s="1"/>
  <c r="P917" i="35"/>
  <c r="J917" i="35" s="1" a="1"/>
  <c r="J917" i="35" s="1"/>
  <c r="D917" i="35" s="1"/>
  <c r="C922" i="55" s="1"/>
  <c r="P907" i="35"/>
  <c r="J907" i="35" s="1" a="1"/>
  <c r="J907" i="35" s="1"/>
  <c r="D907" i="35" s="1"/>
  <c r="C912" i="55" s="1"/>
  <c r="L430" i="35"/>
  <c r="L452" i="35"/>
  <c r="L451" i="35"/>
  <c r="L431" i="35"/>
  <c r="L472" i="35"/>
  <c r="D67" i="52" l="1"/>
  <c r="D54" i="52"/>
  <c r="D41" i="52"/>
  <c r="D28" i="52"/>
  <c r="H543" i="35"/>
  <c r="E22" i="31"/>
  <c r="B28" i="31"/>
  <c r="E28" i="31"/>
  <c r="B16" i="2" l="1"/>
  <c r="C340" i="37"/>
  <c r="B101" i="49" s="1"/>
  <c r="C342" i="37"/>
  <c r="B107" i="49" s="1"/>
  <c r="C341" i="37"/>
  <c r="B106" i="49" s="1"/>
  <c r="C220" i="37"/>
  <c r="C234" i="37"/>
  <c r="B93" i="47" s="1"/>
  <c r="C233" i="37"/>
  <c r="B89" i="47" s="1"/>
  <c r="C229" i="37"/>
  <c r="B85" i="47" s="1"/>
  <c r="C212" i="37"/>
  <c r="B76" i="47" s="1"/>
  <c r="C208" i="37"/>
  <c r="B81" i="47" s="1"/>
  <c r="C221" i="37"/>
  <c r="B83" i="47" s="1"/>
  <c r="C217" i="37"/>
  <c r="B82" i="47" s="1"/>
  <c r="C219" i="37"/>
  <c r="C218" i="37"/>
  <c r="C225" i="37"/>
  <c r="B84" i="47" s="1"/>
  <c r="C214" i="37"/>
  <c r="B102" i="49" s="1"/>
  <c r="C251" i="37"/>
  <c r="B91" i="49" s="1"/>
  <c r="B96" i="49"/>
  <c r="B10" i="44"/>
  <c r="B11" i="44"/>
  <c r="B12" i="44"/>
  <c r="C112" i="37"/>
  <c r="B38" i="2" s="1"/>
  <c r="B37" i="2"/>
  <c r="C236" i="37"/>
  <c r="C110" i="37"/>
  <c r="B36" i="2" s="1"/>
  <c r="C249" i="37"/>
  <c r="B10" i="49" s="1"/>
  <c r="C192" i="37"/>
  <c r="B16" i="46" s="1"/>
  <c r="C190" i="37"/>
  <c r="B14" i="46" s="1"/>
  <c r="C195" i="37"/>
  <c r="B19" i="46" s="1"/>
  <c r="C250" i="37"/>
  <c r="B90" i="49" s="1"/>
  <c r="C252" i="37"/>
  <c r="B92" i="49" s="1"/>
  <c r="C11" i="36"/>
  <c r="C245" i="37"/>
  <c r="B11" i="49" s="1"/>
  <c r="C244" i="37"/>
  <c r="C105" i="37"/>
  <c r="B11" i="2" s="1"/>
  <c r="C207" i="37"/>
  <c r="B34" i="46" s="1"/>
  <c r="C204" i="37"/>
  <c r="B31" i="46" s="1"/>
  <c r="C196" i="37"/>
  <c r="B23" i="46" s="1"/>
  <c r="B33" i="46"/>
  <c r="C203" i="37"/>
  <c r="B30" i="46" s="1"/>
  <c r="C202" i="37"/>
  <c r="B29" i="46" s="1"/>
  <c r="C201" i="37"/>
  <c r="B28" i="46" s="1"/>
  <c r="C200" i="37"/>
  <c r="B27" i="46" s="1"/>
  <c r="C205" i="37"/>
  <c r="B32" i="46" s="1"/>
  <c r="C199" i="37"/>
  <c r="B26" i="46" s="1"/>
  <c r="C198" i="37"/>
  <c r="B25" i="46" s="1"/>
  <c r="C197" i="37"/>
  <c r="B24" i="46" s="1"/>
  <c r="C194" i="37"/>
  <c r="B18" i="46" s="1"/>
  <c r="C193" i="37"/>
  <c r="B17" i="46" s="1"/>
  <c r="C191" i="37"/>
  <c r="B15" i="46" s="1"/>
  <c r="C186" i="37"/>
  <c r="B7" i="46" s="1"/>
  <c r="C189" i="37"/>
  <c r="B13" i="46" s="1"/>
  <c r="C187" i="37"/>
  <c r="B8" i="46" s="1"/>
  <c r="B48" i="17"/>
  <c r="B47" i="17"/>
  <c r="C151" i="37"/>
  <c r="B10" i="17" s="1"/>
  <c r="B27" i="31"/>
  <c r="H8" i="35"/>
  <c r="E23" i="31"/>
  <c r="B23" i="31"/>
  <c r="E25" i="31"/>
  <c r="B25" i="31"/>
  <c r="C7" i="36"/>
  <c r="C8" i="36"/>
  <c r="I211" i="35"/>
  <c r="I809" i="35"/>
  <c r="I628" i="35"/>
  <c r="I563" i="35"/>
  <c r="I259" i="35"/>
  <c r="F990" i="35" a="1"/>
  <c r="F951" i="35" a="1"/>
  <c r="I708" i="35"/>
  <c r="C1019" i="35" a="1"/>
  <c r="F893" i="35" a="1"/>
  <c r="I23" i="35"/>
  <c r="I242" i="35"/>
  <c r="I234" i="35"/>
  <c r="I729" i="35"/>
  <c r="I326" i="35"/>
  <c r="I294" i="35"/>
  <c r="I634" i="35"/>
  <c r="I172" i="35"/>
  <c r="I605" i="35"/>
  <c r="F954" i="35" a="1"/>
  <c r="I687" i="35"/>
  <c r="C896" i="35" a="1"/>
  <c r="C949" i="35" a="1"/>
  <c r="I762" i="35"/>
  <c r="F885" i="35" a="1"/>
  <c r="C1000" i="35" a="1"/>
  <c r="I229" i="35"/>
  <c r="C520" i="35" a="1"/>
  <c r="I622" i="35"/>
  <c r="C450" i="35" a="1"/>
  <c r="F462" i="35" a="1"/>
  <c r="V431" i="35" a="1"/>
  <c r="I227" i="35"/>
  <c r="I335" i="35"/>
  <c r="V528" i="35" a="1"/>
  <c r="C986" i="35" a="1"/>
  <c r="C1009" i="35" a="1"/>
  <c r="C977" i="35" a="1"/>
  <c r="I243" i="35"/>
  <c r="I698" i="35"/>
  <c r="I478" i="35"/>
  <c r="V981" i="35" a="1"/>
  <c r="C453" i="35" a="1"/>
  <c r="F906" i="35" a="1"/>
  <c r="F469" i="35" a="1"/>
  <c r="C906" i="35" a="1"/>
  <c r="I755" i="35"/>
  <c r="V456" i="35" a="1"/>
  <c r="I314" i="35"/>
  <c r="I170" i="35"/>
  <c r="I202" i="35"/>
  <c r="F424" i="35" a="1"/>
  <c r="I731" i="35"/>
  <c r="F998" i="35" a="1"/>
  <c r="I380" i="35"/>
  <c r="V425" i="35" a="1"/>
  <c r="I342" i="35"/>
  <c r="F446" i="35" a="1"/>
  <c r="V450" i="35" a="1"/>
  <c r="C960" i="35" a="1"/>
  <c r="I596" i="35"/>
  <c r="C446" i="35" a="1"/>
  <c r="F958" i="35" a="1"/>
  <c r="V898" i="35" a="1"/>
  <c r="F894" i="35" a="1"/>
  <c r="F459" i="35" a="1"/>
  <c r="V890" i="35" a="1"/>
  <c r="F440" i="35" a="1"/>
  <c r="I615" i="35"/>
  <c r="F981" i="35" a="1"/>
  <c r="I783" i="35"/>
  <c r="V999" i="35" a="1"/>
  <c r="F955" i="35" a="1"/>
  <c r="F899" i="35" a="1"/>
  <c r="I815" i="35"/>
  <c r="I814" i="35"/>
  <c r="V907" i="35" a="1"/>
  <c r="V508" i="35" a="1"/>
  <c r="I870" i="35"/>
  <c r="F526" i="35" a="1"/>
  <c r="C500" i="35" a="1"/>
  <c r="I868" i="35"/>
  <c r="F988" i="35" a="1"/>
  <c r="F504" i="35" a="1"/>
  <c r="I864" i="35"/>
  <c r="V888" i="35" a="1"/>
  <c r="I662" i="35"/>
  <c r="F427" i="35" a="1"/>
  <c r="V506" i="35" a="1"/>
  <c r="V1027" i="35" a="1"/>
  <c r="F994" i="35" a="1"/>
  <c r="F465" i="35" a="1"/>
  <c r="I704" i="35"/>
  <c r="C469" i="35" a="1"/>
  <c r="F911" i="35" a="1"/>
  <c r="F1028" i="35" a="1"/>
  <c r="F953" i="35" a="1"/>
  <c r="F889" i="35" a="1"/>
  <c r="I736" i="35"/>
  <c r="V966" i="35" a="1"/>
  <c r="I226" i="35"/>
  <c r="V959" i="35" a="1"/>
  <c r="F957" i="35" a="1"/>
  <c r="I251" i="35"/>
  <c r="C974" i="35" a="1"/>
  <c r="I138" i="35"/>
  <c r="I759" i="35"/>
  <c r="V1001" i="35" a="1"/>
  <c r="V906" i="35" a="1"/>
  <c r="C504" i="35" a="1"/>
  <c r="V947" i="35" a="1"/>
  <c r="I160" i="35"/>
  <c r="I677" i="35"/>
  <c r="F898" i="35" a="1"/>
  <c r="V501" i="35" a="1"/>
  <c r="I253" i="35"/>
  <c r="V922" i="35" a="1"/>
  <c r="C950" i="35" a="1"/>
  <c r="C448" i="35" a="1"/>
  <c r="I747" i="35"/>
  <c r="V530" i="35" a="1"/>
  <c r="I169" i="35"/>
  <c r="I281" i="35"/>
  <c r="I315" i="35"/>
  <c r="I723" i="35"/>
  <c r="V1026" i="35" a="1"/>
  <c r="F983" i="35" a="1"/>
  <c r="I778" i="35"/>
  <c r="I744" i="35"/>
  <c r="V428" i="35" a="1"/>
  <c r="F472" i="35" a="1"/>
  <c r="I145" i="35"/>
  <c r="C1002" i="35" a="1"/>
  <c r="F1010" i="35" a="1"/>
  <c r="F1004" i="35" a="1"/>
  <c r="I673" i="35"/>
  <c r="I806" i="35"/>
  <c r="I725" i="35"/>
  <c r="I321" i="35"/>
  <c r="I837" i="35"/>
  <c r="V973" i="35" a="1"/>
  <c r="I689" i="35"/>
  <c r="I710" i="35"/>
  <c r="I250" i="35"/>
  <c r="V427" i="35" a="1"/>
  <c r="I361" i="35"/>
  <c r="F507" i="35" a="1"/>
  <c r="I827" i="35"/>
  <c r="V503" i="35" a="1"/>
  <c r="I375" i="35"/>
  <c r="I826" i="35"/>
  <c r="F1026" i="35" a="1"/>
  <c r="I688" i="35"/>
  <c r="I830" i="35"/>
  <c r="I674" i="35"/>
  <c r="I151" i="35"/>
  <c r="I855" i="35"/>
  <c r="I851" i="35"/>
  <c r="I732" i="35"/>
  <c r="F538" i="35" a="1"/>
  <c r="C972" i="35" a="1"/>
  <c r="V519" i="35" a="1"/>
  <c r="C913" i="35" a="1"/>
  <c r="V884" i="35" a="1"/>
  <c r="F488" i="35" a="1"/>
  <c r="I219" i="35"/>
  <c r="F919" i="35" a="1"/>
  <c r="F922" i="35" a="1"/>
  <c r="C954" i="35" a="1"/>
  <c r="I302" i="35"/>
  <c r="V1014" i="35" a="1"/>
  <c r="I776" i="35"/>
  <c r="V1017" i="35" a="1"/>
  <c r="V968" i="35" a="1"/>
  <c r="I339" i="35"/>
  <c r="I480" i="35"/>
  <c r="I559" i="35"/>
  <c r="F961" i="35" a="1"/>
  <c r="I843" i="35"/>
  <c r="I721" i="35"/>
  <c r="I680" i="35"/>
  <c r="I280" i="35"/>
  <c r="I565" i="35"/>
  <c r="C885" i="35" a="1"/>
  <c r="V538" i="35" a="1"/>
  <c r="V526" i="35" a="1"/>
  <c r="C1001" i="35" a="1"/>
  <c r="V894" i="35" a="1"/>
  <c r="I292" i="35"/>
  <c r="C903" i="35" a="1"/>
  <c r="F969" i="35" a="1"/>
  <c r="I263" i="35"/>
  <c r="V1009" i="35" a="1"/>
  <c r="V955" i="35" a="1"/>
  <c r="C456" i="35" a="1"/>
  <c r="C530" i="35" a="1"/>
  <c r="I722" i="35"/>
  <c r="I360" i="35"/>
  <c r="C516" i="35" a="1"/>
  <c r="I246" i="35"/>
  <c r="I249" i="35"/>
  <c r="C1017" i="35" a="1"/>
  <c r="C1018" i="35" a="1"/>
  <c r="F887" i="35" a="1"/>
  <c r="I607" i="35"/>
  <c r="I299" i="35"/>
  <c r="V889" i="35" a="1"/>
  <c r="C433" i="35" a="1"/>
  <c r="I362" i="35"/>
  <c r="F979" i="35" a="1"/>
  <c r="F447" i="35" a="1"/>
  <c r="V897" i="35" a="1"/>
  <c r="C440" i="35" a="1"/>
  <c r="C905" i="35" a="1"/>
  <c r="F917" i="35" a="1"/>
  <c r="I210" i="35"/>
  <c r="I366" i="35"/>
  <c r="I187" i="35"/>
  <c r="C955" i="35" a="1"/>
  <c r="C912" i="35" a="1"/>
  <c r="V892" i="35" a="1"/>
  <c r="I282" i="35"/>
  <c r="F514" i="35" a="1"/>
  <c r="V455" i="35" a="1"/>
  <c r="F1008" i="35" a="1"/>
  <c r="I648" i="35"/>
  <c r="C989" i="35" a="1"/>
  <c r="I176" i="35"/>
  <c r="V954" i="35" a="1"/>
  <c r="I738" i="35"/>
  <c r="I854" i="35"/>
  <c r="C892" i="35" a="1"/>
  <c r="C525" i="35" a="1"/>
  <c r="I157" i="35"/>
  <c r="V446" i="35" a="1"/>
  <c r="I235" i="35"/>
  <c r="V453" i="35" a="1"/>
  <c r="I717" i="35"/>
  <c r="I146" i="35"/>
  <c r="I165" i="35"/>
  <c r="I681" i="35"/>
  <c r="I309" i="35"/>
  <c r="I317" i="35"/>
  <c r="I262" i="35"/>
  <c r="I483" i="35"/>
  <c r="I748" i="35"/>
  <c r="I709" i="35"/>
  <c r="I562" i="35"/>
  <c r="I347" i="35"/>
  <c r="I200" i="35"/>
  <c r="V953" i="35" a="1"/>
  <c r="C916" i="35" a="1"/>
  <c r="I655" i="35"/>
  <c r="F974" i="35" a="1"/>
  <c r="I685" i="35"/>
  <c r="I318" i="35"/>
  <c r="F525" i="35" a="1"/>
  <c r="I711" i="35"/>
  <c r="C428" i="35" a="1"/>
  <c r="C1014" i="35" a="1"/>
  <c r="F946" i="35" a="1"/>
  <c r="C1010" i="35" a="1"/>
  <c r="F435" i="35" a="1"/>
  <c r="C512" i="35" a="1"/>
  <c r="C467" i="35" a="1"/>
  <c r="I807" i="35"/>
  <c r="I691" i="35"/>
  <c r="I848" i="35"/>
  <c r="V967" i="35" a="1"/>
  <c r="V990" i="35" a="1"/>
  <c r="I839" i="35"/>
  <c r="F437" i="35" a="1"/>
  <c r="F1024" i="35" a="1"/>
  <c r="V948" i="35" a="1"/>
  <c r="I635" i="35"/>
  <c r="I594" i="35"/>
  <c r="F966" i="35" a="1"/>
  <c r="I774" i="35"/>
  <c r="I136" i="35"/>
  <c r="I304" i="35"/>
  <c r="F884" i="35" a="1"/>
  <c r="I288" i="35"/>
  <c r="I693" i="35"/>
  <c r="I212" i="35"/>
  <c r="F923" i="35" a="1"/>
  <c r="C510" i="35" a="1"/>
  <c r="C923" i="35" a="1"/>
  <c r="I737" i="35"/>
  <c r="I28" i="35"/>
  <c r="F451" i="35" a="1"/>
  <c r="I599" i="35"/>
  <c r="I201" i="35"/>
  <c r="F982" i="35" a="1"/>
  <c r="V436" i="35" a="1"/>
  <c r="F443" i="35" a="1"/>
  <c r="I275" i="35"/>
  <c r="I606" i="35"/>
  <c r="V995" i="35" a="1"/>
  <c r="C988" i="35" a="1"/>
  <c r="C435" i="35" a="1"/>
  <c r="F1021" i="35" a="1"/>
  <c r="I695" i="35"/>
  <c r="I633" i="35"/>
  <c r="C506" i="35" a="1"/>
  <c r="I671" i="35"/>
  <c r="C890" i="35" a="1"/>
  <c r="I241" i="35"/>
  <c r="I141" i="35"/>
  <c r="C946" i="35" a="1"/>
  <c r="I269" i="35"/>
  <c r="I844" i="35"/>
  <c r="I657" i="35"/>
  <c r="I564" i="35"/>
  <c r="I333" i="35"/>
  <c r="V1024" i="35" a="1"/>
  <c r="I609" i="35"/>
  <c r="I703" i="35"/>
  <c r="V945" i="35" a="1"/>
  <c r="V470" i="35" a="1"/>
  <c r="V507" i="35" a="1"/>
  <c r="F463" i="35" a="1"/>
  <c r="I636" i="35"/>
  <c r="C1020" i="35" a="1"/>
  <c r="I735" i="35"/>
  <c r="C982" i="35" a="1"/>
  <c r="V970" i="35" a="1"/>
  <c r="I374" i="35"/>
  <c r="I746" i="35"/>
  <c r="C1028" i="35" a="1"/>
  <c r="V426" i="35" a="1"/>
  <c r="I371" i="35"/>
  <c r="V438" i="35" a="1"/>
  <c r="I643" i="35"/>
  <c r="V965" i="35" a="1"/>
  <c r="V460" i="35" a="1"/>
  <c r="V991" i="35" a="1"/>
  <c r="I156" i="35"/>
  <c r="F534" i="35" a="1"/>
  <c r="V465" i="35" a="1"/>
  <c r="I231" i="35"/>
  <c r="F1007" i="35" a="1"/>
  <c r="I567" i="35"/>
  <c r="V437" i="35" a="1"/>
  <c r="C901" i="35" a="1"/>
  <c r="C886" i="35" a="1"/>
  <c r="V435" i="35" a="1"/>
  <c r="I245" i="35"/>
  <c r="F521" i="35" a="1"/>
  <c r="F517" i="35" a="1"/>
  <c r="V434" i="35" a="1"/>
  <c r="I185" i="35"/>
  <c r="I370" i="35"/>
  <c r="I845" i="35"/>
  <c r="C502" i="35" a="1"/>
  <c r="V983" i="35" a="1"/>
  <c r="C514" i="35" a="1"/>
  <c r="I813" i="35"/>
  <c r="V1007" i="35" a="1"/>
  <c r="V1006" i="35" a="1"/>
  <c r="F997" i="35" a="1"/>
  <c r="I319" i="35"/>
  <c r="F431" i="35" a="1"/>
  <c r="I656" i="35"/>
  <c r="I256" i="35"/>
  <c r="V454" i="35" a="1"/>
  <c r="I690" i="35"/>
  <c r="F444" i="35" a="1"/>
  <c r="V439" i="35" a="1"/>
  <c r="I174" i="35"/>
  <c r="I582" i="35"/>
  <c r="F503" i="35" a="1"/>
  <c r="F989" i="35" a="1"/>
  <c r="V996" i="35" a="1"/>
  <c r="I646" i="35"/>
  <c r="V988" i="35" a="1"/>
  <c r="I842" i="35"/>
  <c r="F991" i="35" a="1"/>
  <c r="F978" i="35" a="1"/>
  <c r="I859" i="35"/>
  <c r="I180" i="35"/>
  <c r="V952" i="35" a="1"/>
  <c r="F439" i="35" a="1"/>
  <c r="C995" i="35" a="1"/>
  <c r="I733" i="35"/>
  <c r="F980" i="35" a="1"/>
  <c r="I34" i="35"/>
  <c r="F1014" i="35" a="1"/>
  <c r="I365" i="35"/>
  <c r="I247" i="35"/>
  <c r="I367" i="35"/>
  <c r="C887" i="35" a="1"/>
  <c r="I344" i="35"/>
  <c r="I773" i="35"/>
  <c r="I668" i="35"/>
  <c r="F501" i="35" a="1"/>
  <c r="F524" i="35" a="1"/>
  <c r="I218" i="35"/>
  <c r="C533" i="35" a="1"/>
  <c r="C951" i="35" a="1"/>
  <c r="I479" i="35"/>
  <c r="F905" i="35" a="1"/>
  <c r="V1023" i="35" a="1"/>
  <c r="I777" i="35"/>
  <c r="C994" i="35" a="1"/>
  <c r="I556" i="35"/>
  <c r="I484" i="35"/>
  <c r="V886" i="35" a="1"/>
  <c r="I184" i="35"/>
  <c r="F895" i="35" a="1"/>
  <c r="I631" i="35"/>
  <c r="C457" i="35" a="1"/>
  <c r="I661" i="35"/>
  <c r="I487" i="35"/>
  <c r="I293" i="35"/>
  <c r="C466" i="35" a="1"/>
  <c r="V1013" i="35" a="1"/>
  <c r="C434" i="35" a="1"/>
  <c r="C515" i="35" a="1"/>
  <c r="F945" i="35" a="1"/>
  <c r="C441" i="35" a="1"/>
  <c r="V518" i="35" a="1"/>
  <c r="C517" i="35" a="1"/>
  <c r="F904" i="35" a="1"/>
  <c r="I623" i="35"/>
  <c r="I358" i="35"/>
  <c r="F977" i="35" a="1"/>
  <c r="C959" i="35" a="1"/>
  <c r="C472" i="35" a="1"/>
  <c r="F515" i="35" a="1"/>
  <c r="F987" i="35" a="1"/>
  <c r="V951" i="35" a="1"/>
  <c r="I150" i="35"/>
  <c r="I163" i="35"/>
  <c r="I812" i="35"/>
  <c r="C534" i="35" a="1"/>
  <c r="C524" i="35" a="1"/>
  <c r="I223" i="35"/>
  <c r="I334" i="35"/>
  <c r="I279" i="35"/>
  <c r="F438" i="35" a="1"/>
  <c r="V1020" i="35" a="1"/>
  <c r="C922" i="35" a="1"/>
  <c r="I306" i="35"/>
  <c r="F1003" i="35" a="1"/>
  <c r="I189" i="35"/>
  <c r="I642" i="35"/>
  <c r="I208" i="35"/>
  <c r="F890" i="35" a="1"/>
  <c r="I600" i="35"/>
  <c r="I351" i="35"/>
  <c r="V457" i="35" a="1"/>
  <c r="I364" i="35"/>
  <c r="F442" i="35" a="1"/>
  <c r="V517" i="35" a="1"/>
  <c r="C535" i="35" a="1"/>
  <c r="F910" i="35" a="1"/>
  <c r="I166" i="35"/>
  <c r="I617" i="35"/>
  <c r="I663" i="35"/>
  <c r="I272" i="35"/>
  <c r="F915" i="35" a="1"/>
  <c r="I856" i="35"/>
  <c r="I753" i="35"/>
  <c r="V462" i="35" a="1"/>
  <c r="F920" i="35" a="1"/>
  <c r="C519" i="35" a="1"/>
  <c r="F508" i="35" a="1"/>
  <c r="I24" i="35"/>
  <c r="C966" i="35" a="1"/>
  <c r="I5" i="35"/>
  <c r="I265" i="35"/>
  <c r="I819" i="35"/>
  <c r="F956" i="35" a="1"/>
  <c r="I699" i="35"/>
  <c r="I618" i="35"/>
  <c r="C1024" i="35" a="1"/>
  <c r="C1003" i="35" a="1"/>
  <c r="V899" i="35" a="1"/>
  <c r="V914" i="35" a="1"/>
  <c r="I378" i="35"/>
  <c r="F1027" i="35" a="1"/>
  <c r="V912" i="35" a="1"/>
  <c r="I353" i="35"/>
  <c r="I767" i="35"/>
  <c r="I796" i="35"/>
  <c r="I595" i="35"/>
  <c r="I356" i="35"/>
  <c r="V900" i="35" a="1"/>
  <c r="I675" i="35"/>
  <c r="C1023" i="35" a="1"/>
  <c r="C526" i="35" a="1"/>
  <c r="V522" i="35" a="1"/>
  <c r="I672" i="35"/>
  <c r="F530" i="35" a="1"/>
  <c r="C443" i="35" a="1"/>
  <c r="I707" i="35"/>
  <c r="V1004" i="35" a="1"/>
  <c r="I612" i="35"/>
  <c r="I311" i="35"/>
  <c r="V997" i="35" a="1"/>
  <c r="I267" i="35"/>
  <c r="F464" i="35" a="1"/>
  <c r="V535" i="35" a="1"/>
  <c r="C527" i="35" a="1"/>
  <c r="I765" i="35"/>
  <c r="V979" i="35" a="1"/>
  <c r="I194" i="35"/>
  <c r="I107" i="35"/>
  <c r="I613" i="35"/>
  <c r="C915" i="35" a="1"/>
  <c r="I186" i="35"/>
  <c r="I313" i="35"/>
  <c r="V509" i="35" a="1"/>
  <c r="V975" i="35" a="1"/>
  <c r="F972" i="35" a="1"/>
  <c r="V993" i="35" a="1"/>
  <c r="I25" i="35"/>
  <c r="I660" i="35"/>
  <c r="I644" i="35"/>
  <c r="I638" i="35"/>
  <c r="F897" i="35" a="1"/>
  <c r="C501" i="35" a="1"/>
  <c r="I787" i="35"/>
  <c r="I485" i="35"/>
  <c r="I284" i="35"/>
  <c r="I363" i="35"/>
  <c r="V504" i="35" a="1"/>
  <c r="F536" i="35" a="1"/>
  <c r="F505" i="35" a="1"/>
  <c r="V515" i="35" a="1"/>
  <c r="F896" i="35" a="1"/>
  <c r="V527" i="35" a="1"/>
  <c r="I650" i="35"/>
  <c r="I739" i="35"/>
  <c r="I718" i="35"/>
  <c r="V921" i="35" a="1"/>
  <c r="V957" i="35" a="1"/>
  <c r="C897" i="35" a="1"/>
  <c r="I676" i="35"/>
  <c r="I620" i="35"/>
  <c r="I686" i="35"/>
  <c r="F1011" i="35" a="1"/>
  <c r="I769" i="35"/>
  <c r="I821" i="35"/>
  <c r="I568" i="35"/>
  <c r="I786" i="35"/>
  <c r="V1021" i="35" a="1"/>
  <c r="I632" i="35"/>
  <c r="I692" i="35"/>
  <c r="F454" i="35" a="1"/>
  <c r="F986" i="35" a="1"/>
  <c r="I818" i="35"/>
  <c r="C971" i="35" a="1"/>
  <c r="C952" i="35" a="1"/>
  <c r="I726" i="35"/>
  <c r="I213" i="35"/>
  <c r="I173" i="35"/>
  <c r="I621" i="35"/>
  <c r="C917" i="35" a="1"/>
  <c r="F992" i="35" a="1"/>
  <c r="F985" i="35" a="1"/>
  <c r="F452" i="35" a="1"/>
  <c r="I327" i="35"/>
  <c r="I546" i="35"/>
  <c r="I161" i="35"/>
  <c r="V901" i="35" a="1"/>
  <c r="C426" i="35" a="1"/>
  <c r="F962" i="35" a="1"/>
  <c r="F903" i="35" a="1"/>
  <c r="C447" i="35" a="1"/>
  <c r="F533" i="35" a="1"/>
  <c r="I820" i="35"/>
  <c r="V1019" i="35" a="1"/>
  <c r="I345" i="35"/>
  <c r="V977" i="35" a="1"/>
  <c r="F888" i="35" a="1"/>
  <c r="C953" i="35" a="1"/>
  <c r="I329" i="35"/>
  <c r="V423" i="35" a="1"/>
  <c r="I749" i="35"/>
  <c r="I822" i="35"/>
  <c r="I167" i="35"/>
  <c r="V505" i="35" a="1"/>
  <c r="I205" i="35"/>
  <c r="C889" i="35" a="1"/>
  <c r="V514" i="35" a="1"/>
  <c r="I35" i="35"/>
  <c r="I679" i="35"/>
  <c r="I182" i="35"/>
  <c r="I352" i="35"/>
  <c r="F965" i="35" a="1"/>
  <c r="I825" i="35"/>
  <c r="I682" i="35"/>
  <c r="V521" i="35" a="1"/>
  <c r="C465" i="35" a="1"/>
  <c r="F537" i="35" a="1"/>
  <c r="I276" i="35"/>
  <c r="I808" i="35"/>
  <c r="F913" i="35" a="1"/>
  <c r="V533" i="35" a="1"/>
  <c r="F518" i="35" a="1"/>
  <c r="I678" i="35"/>
  <c r="V903" i="35" a="1"/>
  <c r="I757" i="35"/>
  <c r="I343" i="35"/>
  <c r="I823" i="35"/>
  <c r="C503" i="35" a="1"/>
  <c r="F441" i="35" a="1"/>
  <c r="C980" i="35" a="1"/>
  <c r="C894" i="35" a="1"/>
  <c r="F428" i="35" a="1"/>
  <c r="I604" i="35"/>
  <c r="V451" i="35" a="1"/>
  <c r="C893" i="35" a="1"/>
  <c r="I142" i="35"/>
  <c r="F968" i="35" a="1"/>
  <c r="V512" i="35" a="1"/>
  <c r="C425" i="35" a="1"/>
  <c r="I598" i="35"/>
  <c r="I728" i="35"/>
  <c r="F513" i="35" a="1"/>
  <c r="F964" i="35" a="1"/>
  <c r="F528" i="35" a="1"/>
  <c r="C518" i="35" a="1"/>
  <c r="V960" i="35" a="1"/>
  <c r="I27" i="35"/>
  <c r="V963" i="35" a="1"/>
  <c r="I255" i="35"/>
  <c r="I368" i="35"/>
  <c r="C460" i="35" a="1"/>
  <c r="I716" i="35"/>
  <c r="V905" i="35" a="1"/>
  <c r="V1010" i="35" a="1"/>
  <c r="C899" i="35" a="1"/>
  <c r="I348" i="35"/>
  <c r="I658" i="35"/>
  <c r="C461" i="35" a="1"/>
  <c r="V915" i="35" a="1"/>
  <c r="I357" i="35"/>
  <c r="V987" i="35" a="1"/>
  <c r="V443" i="35" a="1"/>
  <c r="I258" i="35"/>
  <c r="I847" i="35"/>
  <c r="V440" i="35" a="1"/>
  <c r="I665" i="35"/>
  <c r="I810" i="35"/>
  <c r="I377" i="35"/>
  <c r="F506" i="35" a="1"/>
  <c r="I684" i="35"/>
  <c r="I155" i="35"/>
  <c r="C984" i="35" a="1"/>
  <c r="F918" i="35" a="1"/>
  <c r="F509" i="35" a="1"/>
  <c r="I266" i="35"/>
  <c r="I193" i="35"/>
  <c r="F993" i="35" a="1"/>
  <c r="C451" i="35" a="1"/>
  <c r="I697" i="35"/>
  <c r="V1015" i="35" a="1"/>
  <c r="I287" i="35"/>
  <c r="F959" i="35" a="1"/>
  <c r="V998" i="35" a="1"/>
  <c r="F1025" i="35" a="1"/>
  <c r="I237" i="35"/>
  <c r="I852" i="35"/>
  <c r="I217" i="35"/>
  <c r="C948" i="35" a="1"/>
  <c r="I866" i="35"/>
  <c r="F995" i="35" a="1"/>
  <c r="C529" i="35" a="1"/>
  <c r="V430" i="35" a="1"/>
  <c r="F467" i="35" a="1"/>
  <c r="I486" i="35"/>
  <c r="V445" i="35" a="1"/>
  <c r="I850" i="35"/>
  <c r="C967" i="35" a="1"/>
  <c r="F996" i="35" a="1"/>
  <c r="I143" i="35"/>
  <c r="I159" i="35"/>
  <c r="C1026" i="35" a="1"/>
  <c r="F423" i="35" a="1"/>
  <c r="I740" i="35"/>
  <c r="I863" i="35"/>
  <c r="V525" i="35" a="1"/>
  <c r="I745" i="35"/>
  <c r="F1016" i="35" a="1"/>
  <c r="F510" i="35" a="1"/>
  <c r="I627" i="35"/>
  <c r="I372" i="35"/>
  <c r="I647" i="35"/>
  <c r="C996" i="35" a="1"/>
  <c r="I307" i="35"/>
  <c r="V982" i="35" a="1"/>
  <c r="C910" i="35" a="1"/>
  <c r="F535" i="35" a="1"/>
  <c r="I175" i="35"/>
  <c r="I316" i="35"/>
  <c r="F434" i="35" a="1"/>
  <c r="I190" i="35"/>
  <c r="I239" i="35"/>
  <c r="I149" i="35"/>
  <c r="I724" i="35"/>
  <c r="F971" i="35" a="1"/>
  <c r="I817" i="35"/>
  <c r="I139" i="35"/>
  <c r="I645" i="35"/>
  <c r="I804" i="35"/>
  <c r="I206" i="35"/>
  <c r="I148" i="35"/>
  <c r="I752" i="35"/>
  <c r="I696" i="35"/>
  <c r="F522" i="35" a="1"/>
  <c r="I4" i="35"/>
  <c r="F523" i="35" a="1"/>
  <c r="I254" i="35"/>
  <c r="V424" i="35" a="1"/>
  <c r="C452" i="35" a="1"/>
  <c r="I225" i="35"/>
  <c r="I312" i="35"/>
  <c r="C444" i="35" a="1"/>
  <c r="C1027" i="35" a="1"/>
  <c r="C979" i="35" a="1"/>
  <c r="C981" i="35" a="1"/>
  <c r="I171" i="35"/>
  <c r="I248" i="35"/>
  <c r="C532" i="35" a="1"/>
  <c r="I741" i="35"/>
  <c r="C968" i="35" a="1"/>
  <c r="I296" i="35"/>
  <c r="C957" i="35" a="1"/>
  <c r="C908" i="35" a="1"/>
  <c r="I177" i="35"/>
  <c r="F502" i="35" a="1"/>
  <c r="C439" i="35" a="1"/>
  <c r="I853" i="35"/>
  <c r="V471" i="35" a="1"/>
  <c r="I569" i="35"/>
  <c r="I782" i="35"/>
  <c r="C987" i="35" a="1"/>
  <c r="I285" i="35"/>
  <c r="F520" i="35" a="1"/>
  <c r="I629" i="35"/>
  <c r="F947" i="35" a="1"/>
  <c r="I240" i="35"/>
  <c r="I867" i="35"/>
  <c r="F429" i="35" a="1"/>
  <c r="F902" i="35" a="1"/>
  <c r="V433" i="35" a="1"/>
  <c r="V1028" i="35" a="1"/>
  <c r="C462" i="35" a="1"/>
  <c r="F963" i="35" a="1"/>
  <c r="I135" i="35"/>
  <c r="V523" i="35" a="1"/>
  <c r="F1020" i="35" a="1"/>
  <c r="I603" i="35"/>
  <c r="V980" i="35" a="1"/>
  <c r="I857" i="35"/>
  <c r="V464" i="35" a="1"/>
  <c r="V1012" i="35" a="1"/>
  <c r="I670" i="35"/>
  <c r="C963" i="35" a="1"/>
  <c r="F912" i="35" a="1"/>
  <c r="C523" i="35" a="1"/>
  <c r="C909" i="35" a="1"/>
  <c r="I355" i="35"/>
  <c r="I619" i="35"/>
  <c r="F967" i="35" a="1"/>
  <c r="V463" i="35" a="1"/>
  <c r="C1012" i="35" a="1"/>
  <c r="V511" i="35" a="1"/>
  <c r="I865" i="35"/>
  <c r="V908" i="35" a="1"/>
  <c r="I203" i="35"/>
  <c r="V994" i="35" a="1"/>
  <c r="I862" i="35"/>
  <c r="C919" i="35" a="1"/>
  <c r="V461" i="35" a="1"/>
  <c r="F908" i="35" a="1"/>
  <c r="I824" i="35"/>
  <c r="I611" i="35"/>
  <c r="I630" i="35"/>
  <c r="C911" i="35" a="1"/>
  <c r="I481" i="35"/>
  <c r="V532" i="35" a="1"/>
  <c r="C969" i="35" a="1"/>
  <c r="F1019" i="35" a="1"/>
  <c r="I381" i="35"/>
  <c r="I664" i="35"/>
  <c r="V468" i="35" a="1"/>
  <c r="I340" i="35"/>
  <c r="I346" i="35"/>
  <c r="V974" i="35" a="1"/>
  <c r="I832" i="35"/>
  <c r="F973" i="35" a="1"/>
  <c r="I861" i="35"/>
  <c r="I705" i="35"/>
  <c r="I869" i="35"/>
  <c r="I700" i="35"/>
  <c r="I780" i="35"/>
  <c r="C431" i="35" a="1"/>
  <c r="C1005" i="35" a="1"/>
  <c r="C522" i="35" a="1"/>
  <c r="F1012" i="35" a="1"/>
  <c r="I560" i="35"/>
  <c r="V510" i="35" a="1"/>
  <c r="I714" i="35"/>
  <c r="F432" i="35" a="1"/>
  <c r="F921" i="35" a="1"/>
  <c r="I743" i="35"/>
  <c r="I702" i="35"/>
  <c r="C888" i="35" a="1"/>
  <c r="I833" i="35"/>
  <c r="I322" i="35"/>
  <c r="C442" i="35" a="1"/>
  <c r="I779" i="35"/>
  <c r="I214" i="35"/>
  <c r="I651" i="35"/>
  <c r="I734" i="35"/>
  <c r="F984" i="35" a="1"/>
  <c r="I273" i="35"/>
  <c r="I816" i="35"/>
  <c r="F952" i="35" a="1"/>
  <c r="I652" i="35"/>
  <c r="C1011" i="35" a="1"/>
  <c r="C424" i="35" a="1"/>
  <c r="C961" i="35" a="1"/>
  <c r="F457" i="35" a="1"/>
  <c r="I271" i="35"/>
  <c r="C902" i="35" a="1"/>
  <c r="I701" i="35"/>
  <c r="V1018" i="35" a="1"/>
  <c r="V891" i="35" a="1"/>
  <c r="I840" i="35"/>
  <c r="I720" i="35"/>
  <c r="I625" i="35"/>
  <c r="V520" i="35" a="1"/>
  <c r="I713" i="35"/>
  <c r="I639" i="35"/>
  <c r="I220" i="35"/>
  <c r="I666" i="35"/>
  <c r="C975" i="35" a="1"/>
  <c r="V958" i="35" a="1"/>
  <c r="F1017" i="35" a="1"/>
  <c r="I768" i="35"/>
  <c r="C1022" i="35" a="1"/>
  <c r="C997" i="35" a="1"/>
  <c r="I350" i="35"/>
  <c r="C998" i="35" a="1"/>
  <c r="I775" i="35"/>
  <c r="F512" i="35" a="1"/>
  <c r="F529" i="35" a="1"/>
  <c r="V1025" i="35" a="1"/>
  <c r="I715" i="35"/>
  <c r="C958" i="35" a="1"/>
  <c r="C511" i="35" a="1"/>
  <c r="F425" i="35" a="1"/>
  <c r="I168" i="35"/>
  <c r="C918" i="35" a="1"/>
  <c r="I300" i="35"/>
  <c r="F466" i="35" a="1"/>
  <c r="I291" i="35"/>
  <c r="V1005" i="35" a="1"/>
  <c r="C956" i="35" a="1"/>
  <c r="I164" i="35"/>
  <c r="I766" i="35"/>
  <c r="C921" i="35" a="1"/>
  <c r="I236" i="35"/>
  <c r="I144" i="35"/>
  <c r="C985" i="35" a="1"/>
  <c r="C536" i="35" a="1"/>
  <c r="I137" i="35"/>
  <c r="I295" i="35"/>
  <c r="V441" i="35" a="1"/>
  <c r="I597" i="35"/>
  <c r="I376" i="35"/>
  <c r="I179" i="35"/>
  <c r="I841" i="35"/>
  <c r="I858" i="35"/>
  <c r="F449" i="35" a="1"/>
  <c r="C1016" i="35" a="1"/>
  <c r="F950" i="35" a="1"/>
  <c r="V513" i="35" a="1"/>
  <c r="F892" i="35" a="1"/>
  <c r="I216" i="35"/>
  <c r="V984" i="35" a="1"/>
  <c r="I228" i="35"/>
  <c r="I553" i="35"/>
  <c r="C965" i="35" a="1"/>
  <c r="C455" i="35" a="1"/>
  <c r="V537" i="35" a="1"/>
  <c r="C531" i="35" a="1"/>
  <c r="V992" i="35" a="1"/>
  <c r="F460" i="35" a="1"/>
  <c r="I330" i="35"/>
  <c r="I610" i="35"/>
  <c r="I338" i="35"/>
  <c r="V971" i="35" a="1"/>
  <c r="F516" i="35" a="1"/>
  <c r="V536" i="35" a="1"/>
  <c r="I750" i="35"/>
  <c r="C1007" i="35" a="1"/>
  <c r="I191" i="35"/>
  <c r="F900" i="35" a="1"/>
  <c r="V466" i="35" a="1"/>
  <c r="I649" i="35"/>
  <c r="C983" i="35" a="1"/>
  <c r="V909" i="35" a="1"/>
  <c r="I204" i="35"/>
  <c r="I616" i="35"/>
  <c r="F976" i="35" a="1"/>
  <c r="C454" i="35" a="1"/>
  <c r="C521" i="35" a="1"/>
  <c r="I754" i="35"/>
  <c r="F448" i="35" a="1"/>
  <c r="I558" i="35"/>
  <c r="F500" i="35" a="1"/>
  <c r="V452" i="35" a="1"/>
  <c r="I298" i="35"/>
  <c r="I637" i="35"/>
  <c r="F471" i="35" a="1"/>
  <c r="F909" i="35" a="1"/>
  <c r="I805" i="35"/>
  <c r="V469" i="35" a="1"/>
  <c r="C470" i="35" a="1"/>
  <c r="C904" i="35" a="1"/>
  <c r="I727" i="35"/>
  <c r="I751" i="35"/>
  <c r="V1011" i="35" a="1"/>
  <c r="I305" i="35"/>
  <c r="V458" i="35" a="1"/>
  <c r="I828" i="35"/>
  <c r="V969" i="35" a="1"/>
  <c r="F1022" i="35" a="1"/>
  <c r="V500" i="35" a="1"/>
  <c r="F999" i="35" a="1"/>
  <c r="I297" i="35"/>
  <c r="V972" i="35" a="1"/>
  <c r="F450" i="35" a="1"/>
  <c r="I764" i="35"/>
  <c r="C445" i="35" a="1"/>
  <c r="I590" i="35"/>
  <c r="F527" i="35" a="1"/>
  <c r="V911" i="35" a="1"/>
  <c r="C992" i="35" a="1"/>
  <c r="I323" i="35"/>
  <c r="V985" i="35" a="1"/>
  <c r="V893" i="35" a="1"/>
  <c r="V1003" i="35" a="1"/>
  <c r="V459" i="35" a="1"/>
  <c r="V516" i="35" a="1"/>
  <c r="I667" i="35"/>
  <c r="I289" i="35"/>
  <c r="C436" i="35" a="1"/>
  <c r="V946" i="35" a="1"/>
  <c r="I706" i="35"/>
  <c r="I188" i="35"/>
  <c r="I303" i="35"/>
  <c r="I379" i="35"/>
  <c r="I325" i="35"/>
  <c r="V956" i="35" a="1"/>
  <c r="F1009" i="35" a="1"/>
  <c r="I209" i="35"/>
  <c r="C945" i="35" a="1"/>
  <c r="I301" i="35"/>
  <c r="C976" i="35" a="1"/>
  <c r="F468" i="35" a="1"/>
  <c r="C884" i="35" a="1"/>
  <c r="I694" i="35"/>
  <c r="V916" i="35" a="1"/>
  <c r="I838" i="35"/>
  <c r="I349" i="35"/>
  <c r="I215" i="35"/>
  <c r="F1000" i="35" a="1"/>
  <c r="I626" i="35"/>
  <c r="I555" i="35"/>
  <c r="C1008" i="35" a="1"/>
  <c r="F1005" i="35" a="1"/>
  <c r="I36" i="35"/>
  <c r="C947" i="35" a="1"/>
  <c r="I22" i="35"/>
  <c r="F531" i="35" a="1"/>
  <c r="F1001" i="35" a="1"/>
  <c r="I482" i="35"/>
  <c r="I712" i="35"/>
  <c r="I268" i="35"/>
  <c r="I183" i="35"/>
  <c r="V472" i="35" a="1"/>
  <c r="I761" i="35"/>
  <c r="F901" i="35" a="1"/>
  <c r="I784" i="35"/>
  <c r="V920" i="35" a="1"/>
  <c r="F916" i="35" a="1"/>
  <c r="C538" i="35" a="1"/>
  <c r="I341" i="35"/>
  <c r="V978" i="35" a="1"/>
  <c r="I641" i="35"/>
  <c r="I260" i="35"/>
  <c r="V449" i="35" a="1"/>
  <c r="I659" i="35"/>
  <c r="F1018" i="35" a="1"/>
  <c r="I831" i="35"/>
  <c r="I152" i="35"/>
  <c r="F914" i="35" a="1"/>
  <c r="I771" i="35"/>
  <c r="I871" i="35"/>
  <c r="C468" i="35" a="1"/>
  <c r="V923" i="35" a="1"/>
  <c r="I195" i="35"/>
  <c r="I561" i="35"/>
  <c r="I653" i="35"/>
  <c r="C990" i="35" a="1"/>
  <c r="I872" i="35"/>
  <c r="F1015" i="35" a="1"/>
  <c r="V1016" i="35" a="1"/>
  <c r="C914" i="35" a="1"/>
  <c r="C459" i="35" a="1"/>
  <c r="I199" i="35"/>
  <c r="F433" i="35" a="1"/>
  <c r="V902" i="35" a="1"/>
  <c r="I554" i="35"/>
  <c r="C449" i="35" a="1"/>
  <c r="I331" i="35"/>
  <c r="I601" i="35"/>
  <c r="C488" i="35" a="1"/>
  <c r="I835" i="35"/>
  <c r="I781" i="35"/>
  <c r="I320" i="35"/>
  <c r="C438" i="35" a="1"/>
  <c r="C528" i="35" a="1"/>
  <c r="I134" i="35"/>
  <c r="C507" i="35" a="1"/>
  <c r="I829" i="35"/>
  <c r="C430" i="35" a="1"/>
  <c r="F453" i="35" a="1"/>
  <c r="C978" i="35" a="1"/>
  <c r="I846" i="35"/>
  <c r="V887" i="35" a="1"/>
  <c r="C1006" i="35" a="1"/>
  <c r="V534" i="35" a="1"/>
  <c r="I261" i="35"/>
  <c r="I873" i="35"/>
  <c r="V918" i="35" a="1"/>
  <c r="F907" i="35" a="1"/>
  <c r="V467" i="35" a="1"/>
  <c r="V964" i="35" a="1"/>
  <c r="C993" i="35" a="1"/>
  <c r="C999" i="35" a="1"/>
  <c r="V442" i="35" a="1"/>
  <c r="V913" i="35" a="1"/>
  <c r="C962" i="35" a="1"/>
  <c r="I719" i="35"/>
  <c r="I290" i="35"/>
  <c r="I181" i="35"/>
  <c r="V949" i="35" a="1"/>
  <c r="I592" i="35"/>
  <c r="I26" i="35"/>
  <c r="C423" i="35" a="1"/>
  <c r="C891" i="35" a="1"/>
  <c r="C429" i="35" a="1"/>
  <c r="F461" i="35" a="1"/>
  <c r="F960" i="35" a="1"/>
  <c r="C920" i="35" a="1"/>
  <c r="I196" i="35"/>
  <c r="V885" i="35" a="1"/>
  <c r="C499" i="35" a="1"/>
  <c r="I244" i="35"/>
  <c r="F1023" i="35" a="1"/>
  <c r="I571" i="35"/>
  <c r="I834" i="35"/>
  <c r="I277" i="35"/>
  <c r="V976" i="35" a="1"/>
  <c r="C1004" i="35" a="1"/>
  <c r="F436" i="35" a="1"/>
  <c r="V1008" i="35" a="1"/>
  <c r="I238" i="35"/>
  <c r="F949" i="35" a="1"/>
  <c r="C1025" i="35" a="1"/>
  <c r="I224" i="35"/>
  <c r="I233" i="35"/>
  <c r="C537" i="35" a="1"/>
  <c r="I860" i="35"/>
  <c r="F1002" i="35" a="1"/>
  <c r="I557" i="35"/>
  <c r="C463" i="35" a="1"/>
  <c r="C432" i="35" a="1"/>
  <c r="V531" i="35" a="1"/>
  <c r="F1013" i="35" a="1"/>
  <c r="V895" i="35" a="1"/>
  <c r="V896" i="35" a="1"/>
  <c r="F532" i="35" a="1"/>
  <c r="I278" i="35"/>
  <c r="F891" i="35" a="1"/>
  <c r="C907" i="35" a="1"/>
  <c r="C505" i="35" a="1"/>
  <c r="I21" i="35"/>
  <c r="I162" i="35"/>
  <c r="I198" i="35"/>
  <c r="F426" i="35" a="1"/>
  <c r="V1002" i="35" a="1"/>
  <c r="C900" i="35" a="1"/>
  <c r="I760" i="35"/>
  <c r="F948" i="35" a="1"/>
  <c r="I730" i="35"/>
  <c r="V917" i="35" a="1"/>
  <c r="I836" i="35"/>
  <c r="C1013" i="35" a="1"/>
  <c r="I310" i="35"/>
  <c r="F430" i="35" a="1"/>
  <c r="I373" i="35"/>
  <c r="I207" i="35"/>
  <c r="V904" i="35" a="1"/>
  <c r="C991" i="35" a="1"/>
  <c r="I274" i="35"/>
  <c r="V499" i="35" a="1"/>
  <c r="I591" i="35"/>
  <c r="I742" i="35"/>
  <c r="V986" i="35" a="1"/>
  <c r="C508" i="35" a="1"/>
  <c r="V962" i="35" a="1"/>
  <c r="I849" i="35"/>
  <c r="F970" i="35" a="1"/>
  <c r="C895" i="35" a="1"/>
  <c r="F975" i="35" a="1"/>
  <c r="F445" i="35" a="1"/>
  <c r="F511" i="35" a="1"/>
  <c r="I283" i="35"/>
  <c r="C464" i="35" a="1"/>
  <c r="V910" i="35" a="1"/>
  <c r="I324" i="35"/>
  <c r="I337" i="35"/>
  <c r="V448" i="35" a="1"/>
  <c r="V961" i="35" a="1"/>
  <c r="I669" i="35"/>
  <c r="V488" i="35" a="1"/>
  <c r="C458" i="35" a="1"/>
  <c r="I270" i="35"/>
  <c r="V529" i="35" a="1"/>
  <c r="I654" i="35"/>
  <c r="V502" i="35" a="1"/>
  <c r="C898" i="35" a="1"/>
  <c r="I608" i="35"/>
  <c r="I257" i="35"/>
  <c r="I570" i="35"/>
  <c r="I811" i="35"/>
  <c r="C437" i="35" a="1"/>
  <c r="F886" i="35" a="1"/>
  <c r="I624" i="35"/>
  <c r="I158" i="35"/>
  <c r="F455" i="35" a="1"/>
  <c r="V950" i="35" a="1"/>
  <c r="I770" i="35"/>
  <c r="I178" i="35"/>
  <c r="C513" i="35" a="1"/>
  <c r="I232" i="35"/>
  <c r="C1021" i="35" a="1"/>
  <c r="F458" i="35" a="1"/>
  <c r="V919" i="35" a="1"/>
  <c r="C964" i="35" a="1"/>
  <c r="F456" i="35" a="1"/>
  <c r="I640" i="35"/>
  <c r="V432" i="35" a="1"/>
  <c r="V429" i="35" a="1"/>
  <c r="I354" i="35"/>
  <c r="I602" i="35"/>
  <c r="V1022" i="35" a="1"/>
  <c r="C1015" i="35" a="1"/>
  <c r="V447" i="35" a="1"/>
  <c r="I221" i="35"/>
  <c r="C970" i="35" a="1"/>
  <c r="I756" i="35"/>
  <c r="I382" i="35"/>
  <c r="I153" i="35"/>
  <c r="I154" i="35"/>
  <c r="I785" i="35"/>
  <c r="C973" i="35" a="1"/>
  <c r="V524" i="35" a="1"/>
  <c r="C427" i="35" a="1"/>
  <c r="V444" i="35" a="1"/>
  <c r="C509" i="35" a="1"/>
  <c r="C471" i="35" a="1"/>
  <c r="V1000" i="35" a="1"/>
  <c r="I763" i="35"/>
  <c r="I566" i="35"/>
  <c r="I252" i="35"/>
  <c r="F470" i="35" a="1"/>
  <c r="I359" i="35"/>
  <c r="I286" i="35"/>
  <c r="I336" i="35"/>
  <c r="I328" i="35"/>
  <c r="I758" i="35"/>
  <c r="I614" i="35"/>
  <c r="I683" i="35"/>
  <c r="V989" i="35" a="1"/>
  <c r="F1006" i="35" a="1"/>
  <c r="I192" i="35"/>
  <c r="I593" i="35"/>
  <c r="I230" i="35"/>
  <c r="F499" i="35" a="1"/>
  <c r="I772" i="35"/>
  <c r="F519" i="35" a="1"/>
  <c r="I308" i="35"/>
  <c r="I140" i="35"/>
  <c r="C891" i="35" l="1"/>
  <c r="B896" i="55" s="1"/>
  <c r="F500" i="35"/>
  <c r="A505" i="55" s="1"/>
  <c r="F459" i="35"/>
  <c r="A464" i="55" s="1"/>
  <c r="B566" i="35"/>
  <c r="V900" i="35"/>
  <c r="B590" i="35"/>
  <c r="B768" i="35"/>
  <c r="F994" i="35"/>
  <c r="A999" i="55" s="1"/>
  <c r="F913" i="35"/>
  <c r="A918" i="55" s="1"/>
  <c r="F884" i="35"/>
  <c r="A889" i="55" s="1"/>
  <c r="B368" i="35"/>
  <c r="F993" i="35"/>
  <c r="A998" i="55" s="1"/>
  <c r="F521" i="35"/>
  <c r="A526" i="55" s="1"/>
  <c r="F957" i="35"/>
  <c r="A962" i="55" s="1"/>
  <c r="B860" i="35"/>
  <c r="C896" i="35"/>
  <c r="G896" i="35" s="1"/>
  <c r="V913" i="35"/>
  <c r="C970" i="35"/>
  <c r="G970" i="35" s="1"/>
  <c r="B669" i="35"/>
  <c r="C501" i="35"/>
  <c r="B506" i="55" s="1"/>
  <c r="C453" i="35"/>
  <c r="G453" i="35" s="1"/>
  <c r="V996" i="35"/>
  <c r="F538" i="35"/>
  <c r="A543" i="55" s="1"/>
  <c r="B621" i="35"/>
  <c r="V976" i="35"/>
  <c r="B570" i="35"/>
  <c r="B560" i="35"/>
  <c r="B731" i="35"/>
  <c r="B747" i="35"/>
  <c r="F447" i="35"/>
  <c r="A452" i="55" s="1"/>
  <c r="F502" i="35"/>
  <c r="A507" i="55" s="1"/>
  <c r="B653" i="35"/>
  <c r="B675" i="35"/>
  <c r="F534" i="35"/>
  <c r="A539" i="55" s="1"/>
  <c r="C998" i="35"/>
  <c r="G998" i="35" s="1"/>
  <c r="F524" i="35"/>
  <c r="A529" i="55" s="1"/>
  <c r="B810" i="35"/>
  <c r="V982" i="35"/>
  <c r="B671" i="35"/>
  <c r="B741" i="35"/>
  <c r="C912" i="35"/>
  <c r="G912" i="35" s="1"/>
  <c r="B134" i="35"/>
  <c r="C895" i="35"/>
  <c r="B900" i="55" s="1"/>
  <c r="F449" i="35"/>
  <c r="A454" i="55" s="1"/>
  <c r="B149" i="35"/>
  <c r="F438" i="35"/>
  <c r="A443" i="55" s="1"/>
  <c r="B712" i="35"/>
  <c r="B291" i="35"/>
  <c r="C446" i="35"/>
  <c r="G446" i="35" s="1"/>
  <c r="V440" i="35"/>
  <c r="B306" i="35"/>
  <c r="F982" i="35"/>
  <c r="A987" i="55" s="1"/>
  <c r="V437" i="35"/>
  <c r="B556" i="35"/>
  <c r="B245" i="35"/>
  <c r="V1002" i="35"/>
  <c r="B223" i="35"/>
  <c r="V535" i="35"/>
  <c r="B767" i="35"/>
  <c r="V499" i="35"/>
  <c r="B364" i="35"/>
  <c r="V433" i="35"/>
  <c r="F1026" i="35"/>
  <c r="A1031" i="55" s="1"/>
  <c r="B662" i="35"/>
  <c r="V512" i="35"/>
  <c r="C527" i="35"/>
  <c r="B532" i="55" s="1"/>
  <c r="F893" i="35"/>
  <c r="A898" i="55" s="1"/>
  <c r="B622" i="35"/>
  <c r="C507" i="35"/>
  <c r="G507" i="35" s="1"/>
  <c r="F978" i="35"/>
  <c r="A983" i="55" s="1"/>
  <c r="V959" i="35"/>
  <c r="V455" i="35"/>
  <c r="F908" i="35"/>
  <c r="A913" i="55" s="1"/>
  <c r="B36" i="35"/>
  <c r="F1024" i="35"/>
  <c r="A1029" i="55" s="1"/>
  <c r="B596" i="35"/>
  <c r="V912" i="35"/>
  <c r="F437" i="35"/>
  <c r="A442" i="55" s="1"/>
  <c r="B379" i="35"/>
  <c r="V984" i="35"/>
  <c r="C457" i="35"/>
  <c r="B462" i="55" s="1"/>
  <c r="C528" i="35"/>
  <c r="B533" i="55" s="1"/>
  <c r="B703" i="35"/>
  <c r="F898" i="35"/>
  <c r="A903" i="55" s="1"/>
  <c r="B167" i="35"/>
  <c r="B815" i="35"/>
  <c r="V961" i="35"/>
  <c r="V1019" i="35"/>
  <c r="B157" i="35"/>
  <c r="B255" i="35"/>
  <c r="B190" i="35"/>
  <c r="B200" i="35"/>
  <c r="F505" i="35"/>
  <c r="A510" i="55" s="1"/>
  <c r="V521" i="35"/>
  <c r="B658" i="35"/>
  <c r="V919" i="35"/>
  <c r="V518" i="35"/>
  <c r="B830" i="35"/>
  <c r="B707" i="35"/>
  <c r="V969" i="35"/>
  <c r="C907" i="35"/>
  <c r="B912" i="55" s="1"/>
  <c r="C1015" i="35"/>
  <c r="G1015" i="35" s="1"/>
  <c r="B582" i="35"/>
  <c r="C952" i="35"/>
  <c r="B957" i="55" s="1"/>
  <c r="B567" i="35"/>
  <c r="V906" i="35"/>
  <c r="C921" i="35"/>
  <c r="B926" i="55" s="1"/>
  <c r="B784" i="35"/>
  <c r="B618" i="35"/>
  <c r="V922" i="35"/>
  <c r="C999" i="35"/>
  <c r="B1004" i="55" s="1"/>
  <c r="C901" i="35"/>
  <c r="B906" i="55" s="1"/>
  <c r="C468" i="35"/>
  <c r="G468" i="35" s="1"/>
  <c r="F995" i="35"/>
  <c r="A1000" i="55" s="1"/>
  <c r="C520" i="35"/>
  <c r="G520" i="35" s="1"/>
  <c r="B642" i="35"/>
  <c r="B681" i="35"/>
  <c r="C983" i="35"/>
  <c r="B988" i="55" s="1"/>
  <c r="V948" i="35"/>
  <c r="B250" i="35"/>
  <c r="F894" i="35"/>
  <c r="A899" i="55" s="1"/>
  <c r="C920" i="35"/>
  <c r="B597" i="35"/>
  <c r="B382" i="35"/>
  <c r="B689" i="35"/>
  <c r="B221" i="35"/>
  <c r="B737" i="35"/>
  <c r="V921" i="35"/>
  <c r="C997" i="35"/>
  <c r="G997" i="35" s="1"/>
  <c r="B765" i="35"/>
  <c r="V983" i="35"/>
  <c r="B288" i="35"/>
  <c r="B228" i="35"/>
  <c r="V456" i="35"/>
  <c r="C1021" i="35"/>
  <c r="B1026" i="55" s="1"/>
  <c r="V533" i="35"/>
  <c r="B606" i="35"/>
  <c r="C431" i="35"/>
  <c r="G431" i="35" s="1"/>
  <c r="B664" i="35"/>
  <c r="C1018" i="35"/>
  <c r="B1023" i="55" s="1"/>
  <c r="B339" i="35"/>
  <c r="V434" i="35"/>
  <c r="B842" i="35"/>
  <c r="F1015" i="35"/>
  <c r="A1020" i="55" s="1"/>
  <c r="B706" i="35"/>
  <c r="C465" i="35"/>
  <c r="G465" i="35" s="1"/>
  <c r="B826" i="35"/>
  <c r="B835" i="35"/>
  <c r="C988" i="35"/>
  <c r="G988" i="35" s="1"/>
  <c r="B309" i="35"/>
  <c r="B715" i="35"/>
  <c r="B478" i="35"/>
  <c r="F508" i="35"/>
  <c r="A513" i="55" s="1"/>
  <c r="B378" i="35"/>
  <c r="V992" i="35"/>
  <c r="V973" i="35"/>
  <c r="B816" i="35"/>
  <c r="B755" i="35"/>
  <c r="V958" i="35"/>
  <c r="C959" i="35"/>
  <c r="B964" i="55" s="1"/>
  <c r="B614" i="35"/>
  <c r="F989" i="35"/>
  <c r="A994" i="55" s="1"/>
  <c r="B704" i="35"/>
  <c r="F973" i="35"/>
  <c r="A978" i="55" s="1"/>
  <c r="B682" i="35"/>
  <c r="V430" i="35"/>
  <c r="B678" i="35"/>
  <c r="B632" i="35"/>
  <c r="B872" i="35"/>
  <c r="B696" i="35"/>
  <c r="C994" i="35"/>
  <c r="G994" i="35" s="1"/>
  <c r="B820" i="35"/>
  <c r="C441" i="35"/>
  <c r="G441" i="35" s="1"/>
  <c r="B619" i="35"/>
  <c r="B562" i="35"/>
  <c r="B630" i="35"/>
  <c r="C957" i="35"/>
  <c r="B962" i="55" s="1"/>
  <c r="C436" i="35"/>
  <c r="G436" i="35" s="1"/>
  <c r="B323" i="35"/>
  <c r="F975" i="35"/>
  <c r="A980" i="55" s="1"/>
  <c r="V423" i="35"/>
  <c r="V504" i="35"/>
  <c r="B818" i="35"/>
  <c r="V970" i="35"/>
  <c r="C450" i="35"/>
  <c r="G450" i="35" s="1"/>
  <c r="C885" i="35"/>
  <c r="B890" i="55" s="1"/>
  <c r="B266" i="35"/>
  <c r="B807" i="35"/>
  <c r="F455" i="35"/>
  <c r="A460" i="55" s="1"/>
  <c r="B667" i="35"/>
  <c r="V458" i="35"/>
  <c r="B28" i="35"/>
  <c r="B325" i="35"/>
  <c r="B635" i="35"/>
  <c r="V915" i="35"/>
  <c r="V1018" i="35"/>
  <c r="B232" i="35"/>
  <c r="B819" i="35"/>
  <c r="B298" i="35"/>
  <c r="F517" i="35"/>
  <c r="A522" i="55" s="1"/>
  <c r="C955" i="35"/>
  <c r="G955" i="35" s="1"/>
  <c r="F454" i="35"/>
  <c r="A459" i="55" s="1"/>
  <c r="B559" i="35"/>
  <c r="B34" i="35"/>
  <c r="B301" i="35"/>
  <c r="C897" i="35"/>
  <c r="B902" i="55" s="1"/>
  <c r="B677" i="35"/>
  <c r="B750" i="35"/>
  <c r="B191" i="35"/>
  <c r="B651" i="35"/>
  <c r="C899" i="35"/>
  <c r="B904" i="55" s="1"/>
  <c r="B175" i="35"/>
  <c r="B748" i="35"/>
  <c r="C438" i="35"/>
  <c r="G438" i="35" s="1"/>
  <c r="B616" i="35"/>
  <c r="V972" i="35"/>
  <c r="B219" i="35"/>
  <c r="B680" i="35"/>
  <c r="C440" i="35"/>
  <c r="B235" i="35"/>
  <c r="B351" i="35"/>
  <c r="F959" i="35"/>
  <c r="A964" i="55" s="1"/>
  <c r="B728" i="35"/>
  <c r="V980" i="35"/>
  <c r="V463" i="35"/>
  <c r="B257" i="35"/>
  <c r="B811" i="35"/>
  <c r="B646" i="35"/>
  <c r="B239" i="35"/>
  <c r="C984" i="35"/>
  <c r="G984" i="35" s="1"/>
  <c r="V964" i="35"/>
  <c r="B844" i="35"/>
  <c r="V896" i="35"/>
  <c r="B171" i="35"/>
  <c r="B813" i="35"/>
  <c r="B353" i="35"/>
  <c r="B571" i="35"/>
  <c r="F537" i="35"/>
  <c r="A542" i="55" s="1"/>
  <c r="F522" i="35"/>
  <c r="A527" i="55" s="1"/>
  <c r="B267" i="35"/>
  <c r="B205" i="35"/>
  <c r="B204" i="35"/>
  <c r="V461" i="35"/>
  <c r="B717" i="35"/>
  <c r="B311" i="35"/>
  <c r="B354" i="35"/>
  <c r="B679" i="35"/>
  <c r="B666" i="35"/>
  <c r="B655" i="35"/>
  <c r="B672" i="35"/>
  <c r="B346" i="35"/>
  <c r="F536" i="35"/>
  <c r="A541" i="55" s="1"/>
  <c r="B26" i="35"/>
  <c r="B211" i="35"/>
  <c r="C469" i="35"/>
  <c r="V488" i="35"/>
  <c r="V500" i="35"/>
  <c r="B359" i="35"/>
  <c r="F921" i="35"/>
  <c r="A926" i="55" s="1"/>
  <c r="F464" i="35"/>
  <c r="A469" i="55" s="1"/>
  <c r="B852" i="35"/>
  <c r="B247" i="35"/>
  <c r="B690" i="35"/>
  <c r="F987" i="35"/>
  <c r="A992" i="55" s="1"/>
  <c r="V1025" i="35"/>
  <c r="B595" i="35"/>
  <c r="B639" i="35"/>
  <c r="B143" i="35"/>
  <c r="C951" i="35"/>
  <c r="V918" i="35"/>
  <c r="B140" i="35"/>
  <c r="F466" i="35"/>
  <c r="A471" i="55" s="1"/>
  <c r="V1013" i="35"/>
  <c r="B591" i="35"/>
  <c r="B324" i="35"/>
  <c r="B279" i="35"/>
  <c r="V451" i="35"/>
  <c r="F996" i="35"/>
  <c r="A1001" i="55" s="1"/>
  <c r="V524" i="35"/>
  <c r="F525" i="35"/>
  <c r="A530" i="55" s="1"/>
  <c r="V914" i="35"/>
  <c r="C946" i="35"/>
  <c r="B951" i="55" s="1"/>
  <c r="B850" i="35"/>
  <c r="V427" i="35"/>
  <c r="B139" i="35"/>
  <c r="F1014" i="35"/>
  <c r="A1019" i="55" s="1"/>
  <c r="B734" i="35"/>
  <c r="B687" i="35"/>
  <c r="B144" i="35"/>
  <c r="C1017" i="35"/>
  <c r="B692" i="35"/>
  <c r="B853" i="35"/>
  <c r="V954" i="35"/>
  <c r="B873" i="35"/>
  <c r="F901" i="35"/>
  <c r="A906" i="55" s="1"/>
  <c r="B668" i="35"/>
  <c r="B749" i="35"/>
  <c r="C916" i="35"/>
  <c r="B216" i="35"/>
  <c r="B479" i="35"/>
  <c r="B725" i="35"/>
  <c r="F956" i="35"/>
  <c r="A961" i="55" s="1"/>
  <c r="V460" i="35"/>
  <c r="B246" i="35"/>
  <c r="F958" i="35"/>
  <c r="A963" i="55" s="1"/>
  <c r="V435" i="35"/>
  <c r="B249" i="35"/>
  <c r="B234" i="35"/>
  <c r="C500" i="35"/>
  <c r="V506" i="35"/>
  <c r="B762" i="35"/>
  <c r="B322" i="35"/>
  <c r="B837" i="35"/>
  <c r="V431" i="35"/>
  <c r="B361" i="35"/>
  <c r="F962" i="35"/>
  <c r="A967" i="55" s="1"/>
  <c r="B781" i="35"/>
  <c r="B251" i="35"/>
  <c r="B861" i="35"/>
  <c r="F909" i="35"/>
  <c r="A914" i="55" s="1"/>
  <c r="C462" i="35"/>
  <c r="B467" i="55" s="1"/>
  <c r="B745" i="35"/>
  <c r="V975" i="35"/>
  <c r="F984" i="35"/>
  <c r="A989" i="55" s="1"/>
  <c r="F905" i="35"/>
  <c r="A910" i="55" s="1"/>
  <c r="F1020" i="35"/>
  <c r="A1025" i="55" s="1"/>
  <c r="B164" i="35"/>
  <c r="B270" i="35"/>
  <c r="C509" i="35"/>
  <c r="B160" i="35"/>
  <c r="V902" i="35"/>
  <c r="V949" i="35"/>
  <c r="B563" i="35"/>
  <c r="B366" i="35"/>
  <c r="V1014" i="35"/>
  <c r="C1012" i="35"/>
  <c r="G1012" i="35" s="1"/>
  <c r="C444" i="35"/>
  <c r="V465" i="35"/>
  <c r="V531" i="35"/>
  <c r="B287" i="35"/>
  <c r="F948" i="35"/>
  <c r="A953" i="55" s="1"/>
  <c r="C538" i="35"/>
  <c r="B833" i="35"/>
  <c r="B480" i="35"/>
  <c r="B182" i="35"/>
  <c r="C445" i="35"/>
  <c r="B450" i="55" s="1"/>
  <c r="B766" i="35"/>
  <c r="B168" i="35"/>
  <c r="B729" i="35"/>
  <c r="B485" i="35"/>
  <c r="B329" i="35"/>
  <c r="V965" i="35"/>
  <c r="C466" i="35"/>
  <c r="F985" i="35"/>
  <c r="A990" i="55" s="1"/>
  <c r="V502" i="35"/>
  <c r="C966" i="35"/>
  <c r="C512" i="35"/>
  <c r="B764" i="35"/>
  <c r="C506" i="35"/>
  <c r="F509" i="35"/>
  <c r="A514" i="55" s="1"/>
  <c r="C442" i="35"/>
  <c r="B337" i="35"/>
  <c r="V450" i="35"/>
  <c r="B605" i="35"/>
  <c r="C956" i="35"/>
  <c r="B733" i="35"/>
  <c r="C972" i="35"/>
  <c r="F507" i="35"/>
  <c r="A512" i="55" s="1"/>
  <c r="F952" i="35"/>
  <c r="A957" i="55" s="1"/>
  <c r="B593" i="35"/>
  <c r="V889" i="35"/>
  <c r="B187" i="35"/>
  <c r="B598" i="35"/>
  <c r="B217" i="35"/>
  <c r="B822" i="35"/>
  <c r="F461" i="35"/>
  <c r="A466" i="55" s="1"/>
  <c r="C978" i="35"/>
  <c r="F450" i="35"/>
  <c r="A455" i="55" s="1"/>
  <c r="C459" i="35"/>
  <c r="B569" i="35"/>
  <c r="V471" i="35"/>
  <c r="V981" i="35"/>
  <c r="B693" i="35"/>
  <c r="B772" i="35"/>
  <c r="B603" i="35"/>
  <c r="B136" i="35"/>
  <c r="V999" i="35"/>
  <c r="C434" i="35"/>
  <c r="B740" i="35"/>
  <c r="F968" i="35"/>
  <c r="A973" i="55" s="1"/>
  <c r="F967" i="35"/>
  <c r="A972" i="55" s="1"/>
  <c r="F533" i="35"/>
  <c r="A538" i="55" s="1"/>
  <c r="F965" i="35"/>
  <c r="A970" i="55" s="1"/>
  <c r="V1028" i="35"/>
  <c r="B859" i="35"/>
  <c r="C448" i="35"/>
  <c r="F997" i="35"/>
  <c r="A1002" i="55" s="1"/>
  <c r="F1018" i="35"/>
  <c r="A1023" i="55" s="1"/>
  <c r="B481" i="35"/>
  <c r="C521" i="35"/>
  <c r="V990" i="35"/>
  <c r="B637" i="35"/>
  <c r="B865" i="35"/>
  <c r="B198" i="35"/>
  <c r="B849" i="35"/>
  <c r="B326" i="35"/>
  <c r="B716" i="35"/>
  <c r="B193" i="35"/>
  <c r="C471" i="35"/>
  <c r="B380" i="35"/>
  <c r="B358" i="35"/>
  <c r="C514" i="35"/>
  <c r="G514" i="35" s="1"/>
  <c r="B695" i="35"/>
  <c r="F972" i="35"/>
  <c r="A977" i="55" s="1"/>
  <c r="V1001" i="35"/>
  <c r="F992" i="35"/>
  <c r="A997" i="55" s="1"/>
  <c r="F951" i="35"/>
  <c r="A956" i="55" s="1"/>
  <c r="B225" i="35"/>
  <c r="V897" i="35"/>
  <c r="F955" i="35"/>
  <c r="A960" i="55" s="1"/>
  <c r="F998" i="35"/>
  <c r="A1003" i="55" s="1"/>
  <c r="B770" i="35"/>
  <c r="B203" i="35"/>
  <c r="V907" i="35"/>
  <c r="V967" i="35"/>
  <c r="C982" i="35"/>
  <c r="B987" i="55" s="1"/>
  <c r="B735" i="35"/>
  <c r="B215" i="35"/>
  <c r="F1021" i="35"/>
  <c r="A1026" i="55" s="1"/>
  <c r="B786" i="35"/>
  <c r="F885" i="35"/>
  <c r="A890" i="55" s="1"/>
  <c r="B763" i="35"/>
  <c r="B620" i="35"/>
  <c r="F977" i="35"/>
  <c r="A982" i="55" s="1"/>
  <c r="V507" i="35"/>
  <c r="V446" i="35"/>
  <c r="B272" i="35"/>
  <c r="B328" i="35"/>
  <c r="B828" i="35"/>
  <c r="F911" i="35"/>
  <c r="A916" i="55" s="1"/>
  <c r="F983" i="35"/>
  <c r="A988" i="55" s="1"/>
  <c r="B751" i="35"/>
  <c r="B282" i="35"/>
  <c r="B636" i="35"/>
  <c r="F436" i="35"/>
  <c r="A441" i="55" s="1"/>
  <c r="B154" i="35"/>
  <c r="V986" i="35"/>
  <c r="C887" i="35"/>
  <c r="B701" i="35"/>
  <c r="F920" i="35"/>
  <c r="A925" i="55" s="1"/>
  <c r="V516" i="35"/>
  <c r="B300" i="35"/>
  <c r="B487" i="35"/>
  <c r="B831" i="35"/>
  <c r="B713" i="35"/>
  <c r="B377" i="35"/>
  <c r="B674" i="35"/>
  <c r="C980" i="35"/>
  <c r="C981" i="35"/>
  <c r="V448" i="35"/>
  <c r="V441" i="35"/>
  <c r="C529" i="35"/>
  <c r="C971" i="35"/>
  <c r="C537" i="35"/>
  <c r="B233" i="35"/>
  <c r="V895" i="35"/>
  <c r="C533" i="35"/>
  <c r="V1009" i="35"/>
  <c r="C454" i="35"/>
  <c r="C948" i="35"/>
  <c r="B777" i="35"/>
  <c r="C510" i="35"/>
  <c r="C536" i="35"/>
  <c r="C913" i="35"/>
  <c r="V537" i="35"/>
  <c r="B686" i="35"/>
  <c r="B173" i="35"/>
  <c r="V469" i="35"/>
  <c r="C915" i="35"/>
  <c r="V985" i="35"/>
  <c r="B343" i="35"/>
  <c r="F896" i="35"/>
  <c r="A901" i="55" s="1"/>
  <c r="B260" i="35"/>
  <c r="B360" i="35"/>
  <c r="B24" i="35"/>
  <c r="F1003" i="35"/>
  <c r="A1008" i="55" s="1"/>
  <c r="B320" i="35"/>
  <c r="V1022" i="35"/>
  <c r="B697" i="35"/>
  <c r="C950" i="35"/>
  <c r="B710" i="35"/>
  <c r="B138" i="35"/>
  <c r="B732" i="35"/>
  <c r="V950" i="35"/>
  <c r="B711" i="35"/>
  <c r="F457" i="35"/>
  <c r="A462" i="55" s="1"/>
  <c r="B592" i="35"/>
  <c r="F526" i="35"/>
  <c r="A531" i="55" s="1"/>
  <c r="B286" i="35"/>
  <c r="C461" i="35"/>
  <c r="F897" i="35"/>
  <c r="A902" i="55" s="1"/>
  <c r="B278" i="35"/>
  <c r="V989" i="35"/>
  <c r="F976" i="35"/>
  <c r="A981" i="55" s="1"/>
  <c r="B165" i="35"/>
  <c r="F915" i="35"/>
  <c r="A920" i="55" s="1"/>
  <c r="B836" i="35"/>
  <c r="C979" i="35"/>
  <c r="B381" i="35"/>
  <c r="C923" i="35"/>
  <c r="B303" i="35"/>
  <c r="F953" i="35"/>
  <c r="A958" i="55" s="1"/>
  <c r="F889" i="35"/>
  <c r="A894" i="55" s="1"/>
  <c r="C525" i="35"/>
  <c r="B530" i="55" s="1"/>
  <c r="B631" i="35"/>
  <c r="B186" i="35"/>
  <c r="B362" i="35"/>
  <c r="B352" i="35"/>
  <c r="F1023" i="35"/>
  <c r="A1028" i="55" s="1"/>
  <c r="B201" i="35"/>
  <c r="C435" i="35"/>
  <c r="B705" i="35"/>
  <c r="V429" i="35"/>
  <c r="F999" i="35"/>
  <c r="A1004" i="55" s="1"/>
  <c r="B564" i="35"/>
  <c r="F1009" i="35"/>
  <c r="A1014" i="55" s="1"/>
  <c r="B349" i="35"/>
  <c r="B373" i="35"/>
  <c r="B628" i="35"/>
  <c r="B771" i="35"/>
  <c r="B295" i="35"/>
  <c r="B600" i="35"/>
  <c r="C987" i="35"/>
  <c r="B992" i="55" s="1"/>
  <c r="V953" i="35"/>
  <c r="C432" i="35"/>
  <c r="B624" i="35"/>
  <c r="B857" i="35"/>
  <c r="C505" i="35"/>
  <c r="V470" i="35"/>
  <c r="C488" i="35"/>
  <c r="J538" i="35" s="1" a="1"/>
  <c r="J538" i="35" s="1"/>
  <c r="D538" i="35" s="1"/>
  <c r="C543" i="55" s="1"/>
  <c r="F916" i="35"/>
  <c r="A921" i="55" s="1"/>
  <c r="V527" i="35"/>
  <c r="B218" i="35"/>
  <c r="V905" i="35"/>
  <c r="B546" i="35"/>
  <c r="F888" i="35"/>
  <c r="A893" i="55" s="1"/>
  <c r="B827" i="35"/>
  <c r="B753" i="35"/>
  <c r="C889" i="35"/>
  <c r="B141" i="35"/>
  <c r="B804" i="35"/>
  <c r="B265" i="35"/>
  <c r="V1003" i="35"/>
  <c r="F501" i="35"/>
  <c r="A506" i="55" s="1"/>
  <c r="C513" i="35"/>
  <c r="B594" i="35"/>
  <c r="B268" i="35"/>
  <c r="F1004" i="35"/>
  <c r="A1009" i="55" s="1"/>
  <c r="F949" i="35"/>
  <c r="A954" i="55" s="1"/>
  <c r="V884" i="35"/>
  <c r="B626" i="35"/>
  <c r="F1017" i="35"/>
  <c r="A1022" i="55" s="1"/>
  <c r="C504" i="35"/>
  <c r="V514" i="35"/>
  <c r="B336" i="35"/>
  <c r="B280" i="35"/>
  <c r="V443" i="35"/>
  <c r="B634" i="35"/>
  <c r="V971" i="35"/>
  <c r="B718" i="35"/>
  <c r="B599" i="35"/>
  <c r="C433" i="35"/>
  <c r="F971" i="35"/>
  <c r="A976" i="55" s="1"/>
  <c r="B868" i="35"/>
  <c r="B375" i="35"/>
  <c r="V910" i="35"/>
  <c r="C439" i="35"/>
  <c r="V1004" i="35"/>
  <c r="B304" i="35"/>
  <c r="C892" i="35"/>
  <c r="V436" i="35"/>
  <c r="C886" i="35"/>
  <c r="F440" i="35"/>
  <c r="A445" i="55" s="1"/>
  <c r="B846" i="35"/>
  <c r="B196" i="35"/>
  <c r="B345" i="35"/>
  <c r="V464" i="35"/>
  <c r="B192" i="35"/>
  <c r="C953" i="35"/>
  <c r="C975" i="35"/>
  <c r="C451" i="35"/>
  <c r="C1005" i="35"/>
  <c r="B845" i="35"/>
  <c r="V508" i="35"/>
  <c r="C898" i="35"/>
  <c r="V962" i="35"/>
  <c r="C516" i="35"/>
  <c r="C911" i="35"/>
  <c r="B370" i="35"/>
  <c r="B357" i="35"/>
  <c r="B709" i="35"/>
  <c r="C902" i="35"/>
  <c r="B869" i="35"/>
  <c r="B107" i="35"/>
  <c r="B814" i="35"/>
  <c r="B699" i="35"/>
  <c r="B856" i="35"/>
  <c r="B214" i="35"/>
  <c r="V453" i="35"/>
  <c r="F467" i="35"/>
  <c r="A472" i="55" s="1"/>
  <c r="B736" i="35"/>
  <c r="C508" i="35"/>
  <c r="B317" i="35"/>
  <c r="C977" i="35"/>
  <c r="B757" i="35"/>
  <c r="B783" i="35"/>
  <c r="B206" i="35"/>
  <c r="F472" i="35"/>
  <c r="A477" i="55" s="1"/>
  <c r="B714" i="35"/>
  <c r="V1027" i="35"/>
  <c r="V432" i="35"/>
  <c r="B665" i="35"/>
  <c r="B342" i="35"/>
  <c r="F462" i="35"/>
  <c r="A467" i="55" s="1"/>
  <c r="B261" i="35"/>
  <c r="C511" i="35"/>
  <c r="C963" i="35"/>
  <c r="F428" i="35"/>
  <c r="A433" i="55" s="1"/>
  <c r="B371" i="35"/>
  <c r="B365" i="35"/>
  <c r="B269" i="35"/>
  <c r="C535" i="35"/>
  <c r="V1023" i="35"/>
  <c r="B773" i="35"/>
  <c r="B557" i="35"/>
  <c r="V445" i="35"/>
  <c r="B601" i="35"/>
  <c r="V424" i="35"/>
  <c r="F519" i="35"/>
  <c r="A524" i="55" s="1"/>
  <c r="V888" i="35"/>
  <c r="C969" i="35"/>
  <c r="B656" i="35"/>
  <c r="F961" i="35"/>
  <c r="A966" i="55" s="1"/>
  <c r="B660" i="35"/>
  <c r="F1002" i="35"/>
  <c r="A1007" i="55" s="1"/>
  <c r="B22" i="35"/>
  <c r="C424" i="35"/>
  <c r="B727" i="35"/>
  <c r="C502" i="35"/>
  <c r="G502" i="35" s="1"/>
  <c r="B253" i="35"/>
  <c r="B702" i="35"/>
  <c r="B654" i="35"/>
  <c r="V519" i="35"/>
  <c r="F945" i="35"/>
  <c r="A950" i="55" s="1"/>
  <c r="C910" i="35"/>
  <c r="B293" i="35"/>
  <c r="C949" i="35"/>
  <c r="F981" i="35"/>
  <c r="A986" i="55" s="1"/>
  <c r="C968" i="35"/>
  <c r="G968" i="35" s="1"/>
  <c r="B152" i="35"/>
  <c r="B285" i="35"/>
  <c r="B752" i="35"/>
  <c r="B258" i="35"/>
  <c r="F471" i="35"/>
  <c r="A476" i="55" s="1"/>
  <c r="B333" i="35"/>
  <c r="B650" i="35"/>
  <c r="F426" i="35"/>
  <c r="A431" i="55" s="1"/>
  <c r="V909" i="35"/>
  <c r="F506" i="35"/>
  <c r="A511" i="55" s="1"/>
  <c r="B263" i="35"/>
  <c r="C467" i="35"/>
  <c r="F458" i="35"/>
  <c r="A463" i="55" s="1"/>
  <c r="B723" i="35"/>
  <c r="V960" i="35"/>
  <c r="B212" i="35"/>
  <c r="V449" i="35"/>
  <c r="V945" i="35"/>
  <c r="V963" i="35"/>
  <c r="C1020" i="35"/>
  <c r="B244" i="35"/>
  <c r="V978" i="35"/>
  <c r="B652" i="35"/>
  <c r="B231" i="35"/>
  <c r="C437" i="35"/>
  <c r="B442" i="55" s="1"/>
  <c r="C908" i="35"/>
  <c r="B775" i="35"/>
  <c r="B166" i="35"/>
  <c r="V898" i="35"/>
  <c r="F430" i="35"/>
  <c r="A435" i="55" s="1"/>
  <c r="B647" i="35"/>
  <c r="F1025" i="35"/>
  <c r="A1030" i="55" s="1"/>
  <c r="V993" i="35"/>
  <c r="B610" i="35"/>
  <c r="F520" i="35"/>
  <c r="A525" i="55" s="1"/>
  <c r="B778" i="35"/>
  <c r="V452" i="35"/>
  <c r="F1011" i="35"/>
  <c r="A1016" i="55" s="1"/>
  <c r="C990" i="35"/>
  <c r="F510" i="35"/>
  <c r="A515" i="55" s="1"/>
  <c r="B722" i="35"/>
  <c r="V1007" i="35"/>
  <c r="F468" i="35"/>
  <c r="A473" i="55" s="1"/>
  <c r="F532" i="35"/>
  <c r="A537" i="55" s="1"/>
  <c r="B854" i="35"/>
  <c r="B208" i="35"/>
  <c r="F1019" i="35"/>
  <c r="A1024" i="55" s="1"/>
  <c r="B156" i="35"/>
  <c r="B319" i="35"/>
  <c r="V501" i="35"/>
  <c r="C1010" i="35"/>
  <c r="G1010" i="35" s="1"/>
  <c r="B806" i="35"/>
  <c r="B602" i="35"/>
  <c r="B553" i="35"/>
  <c r="V1015" i="35"/>
  <c r="V1006" i="35"/>
  <c r="F991" i="35"/>
  <c r="A996" i="55" s="1"/>
  <c r="B158" i="35"/>
  <c r="B645" i="35"/>
  <c r="B613" i="35"/>
  <c r="B871" i="35"/>
  <c r="V462" i="35"/>
  <c r="V505" i="35"/>
  <c r="B172" i="35"/>
  <c r="B229" i="35"/>
  <c r="B744" i="35"/>
  <c r="B561" i="35"/>
  <c r="V428" i="35"/>
  <c r="B863" i="35"/>
  <c r="F964" i="35"/>
  <c r="A969" i="55" s="1"/>
  <c r="B785" i="35"/>
  <c r="B238" i="35"/>
  <c r="C890" i="35"/>
  <c r="B895" i="55" s="1"/>
  <c r="F439" i="35"/>
  <c r="A444" i="55" s="1"/>
  <c r="V513" i="35"/>
  <c r="F919" i="35"/>
  <c r="A924" i="55" s="1"/>
  <c r="B776" i="35"/>
  <c r="F452" i="35"/>
  <c r="A457" i="55" s="1"/>
  <c r="F1006" i="35"/>
  <c r="A1011" i="55" s="1"/>
  <c r="B348" i="35"/>
  <c r="F960" i="35"/>
  <c r="A965" i="55" s="1"/>
  <c r="F504" i="35"/>
  <c r="A509" i="55" s="1"/>
  <c r="F516" i="35"/>
  <c r="A521" i="55" s="1"/>
  <c r="C452" i="35"/>
  <c r="B457" i="55" s="1"/>
  <c r="F890" i="35"/>
  <c r="A895" i="55" s="1"/>
  <c r="C965" i="35"/>
  <c r="B321" i="35"/>
  <c r="V468" i="35"/>
  <c r="F1027" i="35"/>
  <c r="A1032" i="55" s="1"/>
  <c r="B809" i="35"/>
  <c r="B236" i="35"/>
  <c r="F912" i="35"/>
  <c r="A917" i="55" s="1"/>
  <c r="F503" i="35"/>
  <c r="A508" i="55" s="1"/>
  <c r="B644" i="35"/>
  <c r="F448" i="35"/>
  <c r="A453" i="55" s="1"/>
  <c r="F963" i="35"/>
  <c r="A968" i="55" s="1"/>
  <c r="C464" i="35"/>
  <c r="G464" i="35" s="1"/>
  <c r="B23" i="35"/>
  <c r="V994" i="35"/>
  <c r="C423" i="35"/>
  <c r="B428" i="55" s="1"/>
  <c r="B179" i="35"/>
  <c r="B220" i="35"/>
  <c r="F906" i="35"/>
  <c r="A911" i="55" s="1"/>
  <c r="B310" i="35"/>
  <c r="F1028" i="35"/>
  <c r="A1033" i="55" s="1"/>
  <c r="B305" i="35"/>
  <c r="B870" i="35"/>
  <c r="V957" i="35"/>
  <c r="F530" i="35"/>
  <c r="A535" i="55" s="1"/>
  <c r="C1009" i="35"/>
  <c r="B1014" i="55" s="1"/>
  <c r="B209" i="35"/>
  <c r="B178" i="35"/>
  <c r="B271" i="35"/>
  <c r="F902" i="35"/>
  <c r="A907" i="55" s="1"/>
  <c r="B185" i="35"/>
  <c r="F895" i="35"/>
  <c r="A900" i="55" s="1"/>
  <c r="F425" i="35"/>
  <c r="A430" i="55" s="1"/>
  <c r="B825" i="35"/>
  <c r="V530" i="35"/>
  <c r="V1005" i="35"/>
  <c r="B256" i="35"/>
  <c r="B774" i="35"/>
  <c r="B169" i="35"/>
  <c r="C443" i="35"/>
  <c r="V911" i="35"/>
  <c r="B292" i="35"/>
  <c r="V528" i="35"/>
  <c r="B683" i="35"/>
  <c r="C1014" i="35"/>
  <c r="G1014" i="35" s="1"/>
  <c r="F914" i="35"/>
  <c r="A919" i="55" s="1"/>
  <c r="F918" i="35"/>
  <c r="A923" i="55" s="1"/>
  <c r="B730" i="35"/>
  <c r="B739" i="35"/>
  <c r="F443" i="35"/>
  <c r="A448" i="55" s="1"/>
  <c r="F980" i="35"/>
  <c r="A985" i="55" s="1"/>
  <c r="B274" i="35"/>
  <c r="B254" i="35"/>
  <c r="B363" i="35"/>
  <c r="F446" i="35"/>
  <c r="A451" i="55" s="1"/>
  <c r="V510" i="35"/>
  <c r="B142" i="35"/>
  <c r="B761" i="35"/>
  <c r="B308" i="35"/>
  <c r="F432" i="35"/>
  <c r="A437" i="55" s="1"/>
  <c r="B259" i="35"/>
  <c r="V920" i="35"/>
  <c r="C1011" i="35"/>
  <c r="F1016" i="35"/>
  <c r="A1021" i="55" s="1"/>
  <c r="C428" i="35"/>
  <c r="B817" i="35"/>
  <c r="C894" i="35"/>
  <c r="G894" i="35" s="1"/>
  <c r="B344" i="35"/>
  <c r="V503" i="35"/>
  <c r="B832" i="35"/>
  <c r="C1000" i="35"/>
  <c r="B1005" i="55" s="1"/>
  <c r="V1021" i="35"/>
  <c r="C922" i="35"/>
  <c r="B927" i="55" s="1"/>
  <c r="F922" i="35"/>
  <c r="A927" i="55" s="1"/>
  <c r="C989" i="35"/>
  <c r="G989" i="35" s="1"/>
  <c r="B821" i="35"/>
  <c r="B374" i="35"/>
  <c r="F979" i="35"/>
  <c r="A984" i="55" s="1"/>
  <c r="C499" i="35"/>
  <c r="G499" i="35" s="1"/>
  <c r="B181" i="35"/>
  <c r="V522" i="35"/>
  <c r="V1010" i="35"/>
  <c r="B284" i="35"/>
  <c r="B609" i="35"/>
  <c r="C919" i="35"/>
  <c r="B924" i="55" s="1"/>
  <c r="B302" i="35"/>
  <c r="B839" i="35"/>
  <c r="B170" i="35"/>
  <c r="F515" i="35"/>
  <c r="A520" i="55" s="1"/>
  <c r="C917" i="35"/>
  <c r="B163" i="35"/>
  <c r="V1024" i="35"/>
  <c r="F529" i="35"/>
  <c r="A534" i="55" s="1"/>
  <c r="B294" i="35"/>
  <c r="C947" i="35"/>
  <c r="G947" i="35" s="1"/>
  <c r="V894" i="35"/>
  <c r="C515" i="35"/>
  <c r="G515" i="35" s="1"/>
  <c r="C1025" i="35"/>
  <c r="G1025" i="35" s="1"/>
  <c r="F435" i="35"/>
  <c r="A440" i="55" s="1"/>
  <c r="B243" i="35"/>
  <c r="F1007" i="35"/>
  <c r="A1012" i="55" s="1"/>
  <c r="C1008" i="35"/>
  <c r="G1008" i="35" s="1"/>
  <c r="F528" i="35"/>
  <c r="A533" i="55" s="1"/>
  <c r="B555" i="35"/>
  <c r="C992" i="35"/>
  <c r="G992" i="35" s="1"/>
  <c r="B754" i="35"/>
  <c r="B568" i="35"/>
  <c r="B151" i="35"/>
  <c r="C526" i="35"/>
  <c r="G526" i="35" s="1"/>
  <c r="B290" i="35"/>
  <c r="B161" i="35"/>
  <c r="F429" i="35"/>
  <c r="A434" i="55" s="1"/>
  <c r="C472" i="35"/>
  <c r="B477" i="55" s="1"/>
  <c r="V979" i="35"/>
  <c r="B779" i="35"/>
  <c r="V917" i="35"/>
  <c r="C1016" i="35"/>
  <c r="B1021" i="55" s="1"/>
  <c r="F950" i="35"/>
  <c r="A955" i="55" s="1"/>
  <c r="C470" i="35"/>
  <c r="B475" i="55" s="1"/>
  <c r="F499" i="35"/>
  <c r="A504" i="55" s="1"/>
  <c r="B867" i="35"/>
  <c r="C995" i="35"/>
  <c r="G995" i="35" s="1"/>
  <c r="C534" i="35"/>
  <c r="G534" i="35" s="1"/>
  <c r="V1017" i="35"/>
  <c r="B864" i="35"/>
  <c r="B629" i="35"/>
  <c r="B756" i="35"/>
  <c r="V466" i="35"/>
  <c r="V515" i="35"/>
  <c r="B276" i="35"/>
  <c r="B663" i="35"/>
  <c r="B210" i="35"/>
  <c r="B847" i="35"/>
  <c r="F900" i="35"/>
  <c r="A905" i="55" s="1"/>
  <c r="B313" i="35"/>
  <c r="B183" i="35"/>
  <c r="C893" i="35"/>
  <c r="G893" i="35" s="1"/>
  <c r="F907" i="35"/>
  <c r="A912" i="55" s="1"/>
  <c r="V899" i="35"/>
  <c r="C954" i="35"/>
  <c r="G954" i="35" s="1"/>
  <c r="B153" i="35"/>
  <c r="F903" i="35"/>
  <c r="A908" i="55" s="1"/>
  <c r="V893" i="35"/>
  <c r="F511" i="35"/>
  <c r="A516" i="55" s="1"/>
  <c r="B649" i="35"/>
  <c r="F523" i="35"/>
  <c r="A528" i="55" s="1"/>
  <c r="F453" i="35"/>
  <c r="A458" i="55" s="1"/>
  <c r="C425" i="35"/>
  <c r="F1010" i="35"/>
  <c r="A1015" i="55" s="1"/>
  <c r="V908" i="35"/>
  <c r="B691" i="35"/>
  <c r="F988" i="35"/>
  <c r="A993" i="55" s="1"/>
  <c r="F424" i="35"/>
  <c r="A429" i="55" s="1"/>
  <c r="F1022" i="35"/>
  <c r="A1027" i="55" s="1"/>
  <c r="F947" i="35"/>
  <c r="A952" i="55" s="1"/>
  <c r="V525" i="35"/>
  <c r="C967" i="35"/>
  <c r="G967" i="35" s="1"/>
  <c r="B5" i="35"/>
  <c r="C531" i="35"/>
  <c r="B536" i="55" s="1"/>
  <c r="B277" i="35"/>
  <c r="B330" i="35"/>
  <c r="B708" i="35"/>
  <c r="B760" i="35"/>
  <c r="V538" i="35"/>
  <c r="B347" i="35"/>
  <c r="C426" i="35"/>
  <c r="G426" i="35" s="1"/>
  <c r="B782" i="35"/>
  <c r="B638" i="35"/>
  <c r="B612" i="35"/>
  <c r="V916" i="35"/>
  <c r="V526" i="35"/>
  <c r="C460" i="35"/>
  <c r="B465" i="55" s="1"/>
  <c r="V1012" i="35"/>
  <c r="B633" i="35"/>
  <c r="V536" i="35"/>
  <c r="C1027" i="35"/>
  <c r="B207" i="35"/>
  <c r="B155" i="35"/>
  <c r="C517" i="35"/>
  <c r="G517" i="35" s="1"/>
  <c r="C456" i="35"/>
  <c r="B461" i="55" s="1"/>
  <c r="C958" i="35"/>
  <c r="B963" i="55" s="1"/>
  <c r="B625" i="35"/>
  <c r="B673" i="35"/>
  <c r="B554" i="35"/>
  <c r="V891" i="35"/>
  <c r="B177" i="35"/>
  <c r="F970" i="35"/>
  <c r="A975" i="55" s="1"/>
  <c r="B607" i="35"/>
  <c r="C905" i="35"/>
  <c r="B910" i="55" s="1"/>
  <c r="F488" i="35"/>
  <c r="A493" i="55" s="1"/>
  <c r="V946" i="35"/>
  <c r="B224" i="35"/>
  <c r="V991" i="35"/>
  <c r="F923" i="35"/>
  <c r="A928" i="55" s="1"/>
  <c r="B700" i="35"/>
  <c r="B230" i="35"/>
  <c r="C900" i="35"/>
  <c r="G900" i="35" s="1"/>
  <c r="C447" i="35"/>
  <c r="B315" i="35"/>
  <c r="F451" i="35"/>
  <c r="A456" i="55" s="1"/>
  <c r="B137" i="35"/>
  <c r="B787" i="35"/>
  <c r="C961" i="35"/>
  <c r="B966" i="55" s="1"/>
  <c r="F969" i="35"/>
  <c r="A974" i="55" s="1"/>
  <c r="B743" i="35"/>
  <c r="V534" i="35"/>
  <c r="F535" i="35"/>
  <c r="A540" i="55" s="1"/>
  <c r="V426" i="35"/>
  <c r="C991" i="35"/>
  <c r="B996" i="55" s="1"/>
  <c r="V947" i="35"/>
  <c r="F1001" i="35"/>
  <c r="A1006" i="55" s="1"/>
  <c r="C1023" i="35"/>
  <c r="B841" i="35"/>
  <c r="C1007" i="35"/>
  <c r="G1007" i="35" s="1"/>
  <c r="B643" i="35"/>
  <c r="B615" i="35"/>
  <c r="B641" i="35"/>
  <c r="B372" i="35"/>
  <c r="B297" i="35"/>
  <c r="B148" i="35"/>
  <c r="B840" i="35"/>
  <c r="V997" i="35"/>
  <c r="B376" i="35"/>
  <c r="C909" i="35"/>
  <c r="B914" i="55" s="1"/>
  <c r="F513" i="35"/>
  <c r="A518" i="55" s="1"/>
  <c r="V511" i="35"/>
  <c r="F512" i="35"/>
  <c r="A517" i="55" s="1"/>
  <c r="V1016" i="35"/>
  <c r="F910" i="35"/>
  <c r="A915" i="55" s="1"/>
  <c r="C519" i="35"/>
  <c r="B524" i="55" s="1"/>
  <c r="C976" i="35"/>
  <c r="B146" i="35"/>
  <c r="B648" i="35"/>
  <c r="B162" i="35"/>
  <c r="B283" i="35"/>
  <c r="F442" i="35"/>
  <c r="A447" i="55" s="1"/>
  <c r="B242" i="35"/>
  <c r="C945" i="35"/>
  <c r="B950" i="55" s="1"/>
  <c r="F445" i="35"/>
  <c r="A450" i="55" s="1"/>
  <c r="B194" i="35"/>
  <c r="V890" i="35"/>
  <c r="V442" i="35"/>
  <c r="B275" i="35"/>
  <c r="F954" i="35"/>
  <c r="A959" i="55" s="1"/>
  <c r="B241" i="35"/>
  <c r="B657" i="35"/>
  <c r="C1002" i="35"/>
  <c r="G1002" i="35" s="1"/>
  <c r="F527" i="35"/>
  <c r="A532" i="55" s="1"/>
  <c r="F444" i="35"/>
  <c r="A449" i="55" s="1"/>
  <c r="F986" i="35"/>
  <c r="A991" i="55" s="1"/>
  <c r="C1003" i="35"/>
  <c r="G1003" i="35" s="1"/>
  <c r="B617" i="35"/>
  <c r="F1013" i="35"/>
  <c r="A1018" i="55" s="1"/>
  <c r="B721" i="35"/>
  <c r="B367" i="35"/>
  <c r="B558" i="35"/>
  <c r="V974" i="35"/>
  <c r="B738" i="35"/>
  <c r="B312" i="35"/>
  <c r="C430" i="35"/>
  <c r="B435" i="55" s="1"/>
  <c r="V425" i="35"/>
  <c r="B758" i="35"/>
  <c r="F966" i="35"/>
  <c r="A971" i="55" s="1"/>
  <c r="B659" i="35"/>
  <c r="B159" i="35"/>
  <c r="B35" i="35"/>
  <c r="B483" i="35"/>
  <c r="B855" i="35"/>
  <c r="F456" i="35"/>
  <c r="A461" i="55" s="1"/>
  <c r="B604" i="35"/>
  <c r="B726" i="35"/>
  <c r="C524" i="35"/>
  <c r="B240" i="35"/>
  <c r="V952" i="35"/>
  <c r="C1013" i="35"/>
  <c r="G1013" i="35" s="1"/>
  <c r="B640" i="35"/>
  <c r="F891" i="35"/>
  <c r="A896" i="55" s="1"/>
  <c r="F433" i="35"/>
  <c r="A438" i="55" s="1"/>
  <c r="B482" i="35"/>
  <c r="V509" i="35"/>
  <c r="V998" i="35"/>
  <c r="B184" i="35"/>
  <c r="C1006" i="35"/>
  <c r="B1011" i="55" s="1"/>
  <c r="V923" i="35"/>
  <c r="C964" i="35"/>
  <c r="B969" i="55" s="1"/>
  <c r="B824" i="35"/>
  <c r="B565" i="35"/>
  <c r="B202" i="35"/>
  <c r="V439" i="35"/>
  <c r="C429" i="35"/>
  <c r="G429" i="35" s="1"/>
  <c r="F887" i="35"/>
  <c r="A892" i="55" s="1"/>
  <c r="B866" i="35"/>
  <c r="V1020" i="35"/>
  <c r="C884" i="35"/>
  <c r="B889" i="55" s="1"/>
  <c r="B684" i="35"/>
  <c r="C523" i="35"/>
  <c r="G523" i="35" s="1"/>
  <c r="B226" i="35"/>
  <c r="C1022" i="35"/>
  <c r="B1027" i="55" s="1"/>
  <c r="V995" i="35"/>
  <c r="B720" i="35"/>
  <c r="C1028" i="35"/>
  <c r="G1028" i="35" s="1"/>
  <c r="B623" i="35"/>
  <c r="C993" i="35"/>
  <c r="B145" i="35"/>
  <c r="B289" i="35"/>
  <c r="C503" i="35"/>
  <c r="B508" i="55" s="1"/>
  <c r="C1024" i="35"/>
  <c r="G1024" i="35" s="1"/>
  <c r="B698" i="35"/>
  <c r="B273" i="35"/>
  <c r="B176" i="35"/>
  <c r="B281" i="35"/>
  <c r="F899" i="35"/>
  <c r="A904" i="55" s="1"/>
  <c r="V987" i="35"/>
  <c r="B823" i="35"/>
  <c r="B611" i="35"/>
  <c r="C906" i="35"/>
  <c r="G906" i="35" s="1"/>
  <c r="B189" i="35"/>
  <c r="B812" i="35"/>
  <c r="V1000" i="35"/>
  <c r="C962" i="35"/>
  <c r="B967" i="55" s="1"/>
  <c r="B676" i="35"/>
  <c r="V532" i="35"/>
  <c r="B851" i="35"/>
  <c r="B252" i="35"/>
  <c r="F469" i="35"/>
  <c r="A474" i="55" s="1"/>
  <c r="B627" i="35"/>
  <c r="V444" i="35"/>
  <c r="C458" i="35"/>
  <c r="G458" i="35" s="1"/>
  <c r="V517" i="35"/>
  <c r="B262" i="35"/>
  <c r="V988" i="35"/>
  <c r="C532" i="35"/>
  <c r="G532" i="35" s="1"/>
  <c r="B4" i="35"/>
  <c r="C530" i="35"/>
  <c r="B535" i="55" s="1"/>
  <c r="B237" i="35"/>
  <c r="F427" i="35"/>
  <c r="A432" i="55" s="1"/>
  <c r="V1011" i="35"/>
  <c r="V1026" i="35"/>
  <c r="B769" i="35"/>
  <c r="F917" i="35"/>
  <c r="A922" i="55" s="1"/>
  <c r="V977" i="35"/>
  <c r="B829" i="35"/>
  <c r="F423" i="35"/>
  <c r="A428" i="55" s="1"/>
  <c r="F514" i="35"/>
  <c r="A519" i="55" s="1"/>
  <c r="B759" i="35"/>
  <c r="V885" i="35"/>
  <c r="V438" i="35"/>
  <c r="B608" i="35"/>
  <c r="B188" i="35"/>
  <c r="C914" i="35"/>
  <c r="B919" i="55" s="1"/>
  <c r="F904" i="35"/>
  <c r="A909" i="55" s="1"/>
  <c r="F886" i="35"/>
  <c r="A891" i="55" s="1"/>
  <c r="F470" i="35"/>
  <c r="A475" i="55" s="1"/>
  <c r="C986" i="35"/>
  <c r="B746" i="35"/>
  <c r="C904" i="35"/>
  <c r="B909" i="55" s="1"/>
  <c r="B848" i="35"/>
  <c r="F465" i="35"/>
  <c r="A470" i="55" s="1"/>
  <c r="B796" i="35"/>
  <c r="V454" i="35"/>
  <c r="F974" i="35"/>
  <c r="A979" i="55" s="1"/>
  <c r="B341" i="35"/>
  <c r="B340" i="35"/>
  <c r="B356" i="35"/>
  <c r="B335" i="35"/>
  <c r="V457" i="35"/>
  <c r="V901" i="35"/>
  <c r="B327" i="35"/>
  <c r="C1026" i="35"/>
  <c r="B1031" i="55" s="1"/>
  <c r="B296" i="35"/>
  <c r="B174" i="35"/>
  <c r="V459" i="35"/>
  <c r="F463" i="35"/>
  <c r="A468" i="55" s="1"/>
  <c r="F1008" i="35"/>
  <c r="A1013" i="55" s="1"/>
  <c r="V447" i="35"/>
  <c r="C918" i="35"/>
  <c r="B923" i="55" s="1"/>
  <c r="B685" i="35"/>
  <c r="C974" i="35"/>
  <c r="G974" i="35" s="1"/>
  <c r="V904" i="35"/>
  <c r="B350" i="35"/>
  <c r="F441" i="35"/>
  <c r="A446" i="55" s="1"/>
  <c r="V966" i="35"/>
  <c r="B858" i="35"/>
  <c r="F434" i="35"/>
  <c r="A439" i="55" s="1"/>
  <c r="B742" i="35"/>
  <c r="F1005" i="35"/>
  <c r="A1010" i="55" s="1"/>
  <c r="B299" i="35"/>
  <c r="F531" i="35"/>
  <c r="A536" i="55" s="1"/>
  <c r="F990" i="35"/>
  <c r="A995" i="55" s="1"/>
  <c r="V467" i="35"/>
  <c r="V903" i="35"/>
  <c r="B843" i="35"/>
  <c r="V892" i="35"/>
  <c r="C973" i="35"/>
  <c r="G973" i="35" s="1"/>
  <c r="B316" i="35"/>
  <c r="C455" i="35"/>
  <c r="B460" i="55" s="1"/>
  <c r="B334" i="35"/>
  <c r="B25" i="35"/>
  <c r="C903" i="35"/>
  <c r="G903" i="35" s="1"/>
  <c r="B318" i="35"/>
  <c r="B862" i="35"/>
  <c r="B180" i="35"/>
  <c r="B805" i="35"/>
  <c r="F892" i="35"/>
  <c r="A897" i="55" s="1"/>
  <c r="C449" i="35"/>
  <c r="B454" i="55" s="1"/>
  <c r="C960" i="35"/>
  <c r="G960" i="35" s="1"/>
  <c r="B199" i="35"/>
  <c r="V1008" i="35"/>
  <c r="F518" i="35"/>
  <c r="A523" i="55" s="1"/>
  <c r="B661" i="35"/>
  <c r="C888" i="35"/>
  <c r="B893" i="55" s="1"/>
  <c r="B780" i="35"/>
  <c r="C463" i="35"/>
  <c r="G463" i="35" s="1"/>
  <c r="B484" i="35"/>
  <c r="B213" i="35"/>
  <c r="C985" i="35"/>
  <c r="B990" i="55" s="1"/>
  <c r="B355" i="35"/>
  <c r="B195" i="35"/>
  <c r="B694" i="35"/>
  <c r="V968" i="35"/>
  <c r="B135" i="35"/>
  <c r="C1004" i="35"/>
  <c r="B1009" i="55" s="1"/>
  <c r="B227" i="35"/>
  <c r="F946" i="35"/>
  <c r="A951" i="55" s="1"/>
  <c r="V955" i="35"/>
  <c r="V523" i="35"/>
  <c r="V887" i="35"/>
  <c r="V529" i="35"/>
  <c r="F1000" i="35"/>
  <c r="A1005" i="55" s="1"/>
  <c r="B838" i="35"/>
  <c r="B670" i="35"/>
  <c r="B486" i="35"/>
  <c r="B724" i="35"/>
  <c r="C522" i="35"/>
  <c r="B527" i="55" s="1"/>
  <c r="B307" i="35"/>
  <c r="C1019" i="35"/>
  <c r="G1019" i="35" s="1"/>
  <c r="B314" i="35"/>
  <c r="B338" i="35"/>
  <c r="B248" i="35"/>
  <c r="B21" i="35"/>
  <c r="V472" i="35"/>
  <c r="V520" i="35"/>
  <c r="C996" i="35"/>
  <c r="B1001" i="55" s="1"/>
  <c r="F460" i="35"/>
  <c r="A465" i="55" s="1"/>
  <c r="B808" i="35"/>
  <c r="C518" i="35"/>
  <c r="G518" i="35" s="1"/>
  <c r="C1001" i="35"/>
  <c r="G1001" i="35" s="1"/>
  <c r="V956" i="35"/>
  <c r="B719" i="35"/>
  <c r="B688" i="35"/>
  <c r="V951" i="35"/>
  <c r="C427" i="35"/>
  <c r="B432" i="55" s="1"/>
  <c r="F431" i="35"/>
  <c r="A436" i="55" s="1"/>
  <c r="B834" i="35"/>
  <c r="B150" i="35"/>
  <c r="B27" i="35"/>
  <c r="F1012" i="35"/>
  <c r="A1017" i="55" s="1"/>
  <c r="V886" i="35"/>
  <c r="B331" i="35"/>
  <c r="C238" i="37"/>
  <c r="C239" i="37"/>
  <c r="B82" i="49"/>
  <c r="C237" i="37"/>
  <c r="B8" i="49"/>
  <c r="C246" i="37"/>
  <c r="B9" i="49" s="1"/>
  <c r="B1015" i="55" l="1"/>
  <c r="G1021" i="35"/>
  <c r="B441" i="55"/>
  <c r="B994" i="55"/>
  <c r="G987" i="35"/>
  <c r="B959" i="55"/>
  <c r="B1012" i="55"/>
  <c r="B1030" i="55"/>
  <c r="B436" i="55"/>
  <c r="G957" i="35"/>
  <c r="G999" i="35"/>
  <c r="B525" i="55"/>
  <c r="G891" i="35"/>
  <c r="B960" i="55"/>
  <c r="B451" i="55"/>
  <c r="G519" i="35"/>
  <c r="B539" i="55"/>
  <c r="B473" i="55"/>
  <c r="B901" i="55"/>
  <c r="G888" i="35"/>
  <c r="G983" i="35"/>
  <c r="J515" i="35" a="1"/>
  <c r="J515" i="35" s="1"/>
  <c r="D515" i="35" s="1"/>
  <c r="C520" i="55" s="1"/>
  <c r="J534" i="35" a="1"/>
  <c r="J534" i="35" s="1"/>
  <c r="D534" i="35" s="1"/>
  <c r="C539" i="55" s="1"/>
  <c r="G946" i="35"/>
  <c r="B443" i="55"/>
  <c r="B952" i="55"/>
  <c r="G884" i="35"/>
  <c r="G1016" i="35"/>
  <c r="G922" i="35"/>
  <c r="G449" i="35"/>
  <c r="G437" i="35"/>
  <c r="B997" i="55"/>
  <c r="B1006" i="55"/>
  <c r="G460" i="35"/>
  <c r="G430" i="35"/>
  <c r="B431" i="55"/>
  <c r="G909" i="35"/>
  <c r="B531" i="55"/>
  <c r="B1029" i="55"/>
  <c r="B522" i="55"/>
  <c r="G455" i="35"/>
  <c r="G472" i="35"/>
  <c r="B1013" i="55"/>
  <c r="J518" i="35" a="1"/>
  <c r="J518" i="35" s="1"/>
  <c r="D518" i="35" s="1"/>
  <c r="C523" i="55" s="1"/>
  <c r="G885" i="35"/>
  <c r="G899" i="35"/>
  <c r="G952" i="35"/>
  <c r="B507" i="55"/>
  <c r="G423" i="35"/>
  <c r="B455" i="55"/>
  <c r="G470" i="35"/>
  <c r="B512" i="55"/>
  <c r="G901" i="35"/>
  <c r="G996" i="35"/>
  <c r="G501" i="35"/>
  <c r="G918" i="35"/>
  <c r="G1022" i="35"/>
  <c r="B1003" i="55"/>
  <c r="G1009" i="35"/>
  <c r="B1000" i="55"/>
  <c r="B1007" i="55"/>
  <c r="G527" i="35"/>
  <c r="B446" i="55"/>
  <c r="B537" i="55"/>
  <c r="B972" i="55"/>
  <c r="G456" i="35"/>
  <c r="G528" i="35"/>
  <c r="B993" i="55"/>
  <c r="B463" i="55"/>
  <c r="G985" i="35"/>
  <c r="B458" i="55"/>
  <c r="G959" i="35"/>
  <c r="G895" i="35"/>
  <c r="B1008" i="55"/>
  <c r="B898" i="55"/>
  <c r="G961" i="35"/>
  <c r="G921" i="35"/>
  <c r="B908" i="55"/>
  <c r="B973" i="55"/>
  <c r="B999" i="55"/>
  <c r="G530" i="35"/>
  <c r="G452" i="35"/>
  <c r="B1002" i="55"/>
  <c r="G1000" i="35"/>
  <c r="G462" i="35"/>
  <c r="G945" i="35"/>
  <c r="B519" i="55"/>
  <c r="B975" i="55"/>
  <c r="B434" i="55"/>
  <c r="B917" i="55"/>
  <c r="G457" i="35"/>
  <c r="G905" i="35"/>
  <c r="G897" i="35"/>
  <c r="B1020" i="55"/>
  <c r="G982" i="35"/>
  <c r="B1018" i="55"/>
  <c r="G525" i="35"/>
  <c r="B470" i="55"/>
  <c r="B989" i="55"/>
  <c r="G904" i="35"/>
  <c r="G427" i="35"/>
  <c r="G907" i="35"/>
  <c r="G1018" i="35"/>
  <c r="G531" i="35"/>
  <c r="G445" i="35"/>
  <c r="J524" i="35" a="1"/>
  <c r="J524" i="35" s="1"/>
  <c r="D524" i="35" s="1"/>
  <c r="C529" i="55" s="1"/>
  <c r="G962" i="35"/>
  <c r="B523" i="55"/>
  <c r="J535" i="35" a="1"/>
  <c r="J535" i="35" s="1"/>
  <c r="D535" i="35" s="1"/>
  <c r="C540" i="55" s="1"/>
  <c r="G890" i="35"/>
  <c r="B528" i="55"/>
  <c r="B469" i="55"/>
  <c r="B965" i="55"/>
  <c r="G958" i="35"/>
  <c r="B520" i="55"/>
  <c r="B1017" i="55"/>
  <c r="J525" i="35" a="1"/>
  <c r="J525" i="35" s="1"/>
  <c r="D525" i="35" s="1"/>
  <c r="C530" i="55" s="1"/>
  <c r="J528" i="35" a="1"/>
  <c r="J528" i="35" s="1"/>
  <c r="D528" i="35" s="1"/>
  <c r="C533" i="55" s="1"/>
  <c r="G1004" i="35"/>
  <c r="B979" i="55"/>
  <c r="G522" i="35"/>
  <c r="B1033" i="55"/>
  <c r="B493" i="55"/>
  <c r="G503" i="35"/>
  <c r="G914" i="35"/>
  <c r="G919" i="35"/>
  <c r="B891" i="55"/>
  <c r="G886" i="35"/>
  <c r="B513" i="55"/>
  <c r="G508" i="35"/>
  <c r="J514" i="35" a="1"/>
  <c r="J514" i="35" s="1"/>
  <c r="D514" i="35" s="1"/>
  <c r="C519" i="55" s="1"/>
  <c r="J508" i="35" a="1"/>
  <c r="J508" i="35" s="1"/>
  <c r="D508" i="35" s="1"/>
  <c r="C513" i="55" s="1"/>
  <c r="G488" i="35"/>
  <c r="G448" i="35"/>
  <c r="B453" i="55"/>
  <c r="B899" i="55"/>
  <c r="B911" i="55"/>
  <c r="B472" i="55"/>
  <c r="G467" i="35"/>
  <c r="B429" i="55"/>
  <c r="G424" i="35"/>
  <c r="B509" i="55"/>
  <c r="G504" i="35"/>
  <c r="G915" i="35"/>
  <c r="B920" i="55"/>
  <c r="G533" i="35"/>
  <c r="B538" i="55"/>
  <c r="G506" i="35"/>
  <c r="B511" i="55"/>
  <c r="G911" i="35"/>
  <c r="B916" i="55"/>
  <c r="B510" i="55"/>
  <c r="G505" i="35"/>
  <c r="G950" i="35"/>
  <c r="B955" i="55"/>
  <c r="B921" i="55"/>
  <c r="G916" i="35"/>
  <c r="G1006" i="35"/>
  <c r="G949" i="35"/>
  <c r="B954" i="55"/>
  <c r="G516" i="35"/>
  <c r="B521" i="55"/>
  <c r="B894" i="55"/>
  <c r="G889" i="35"/>
  <c r="G512" i="35"/>
  <c r="B517" i="55"/>
  <c r="G500" i="35"/>
  <c r="B505" i="55"/>
  <c r="B540" i="55"/>
  <c r="G535" i="35"/>
  <c r="B438" i="55"/>
  <c r="G433" i="35"/>
  <c r="G461" i="35"/>
  <c r="B466" i="55"/>
  <c r="G537" i="35"/>
  <c r="B542" i="55"/>
  <c r="B971" i="55"/>
  <c r="G966" i="35"/>
  <c r="B1024" i="55"/>
  <c r="B978" i="55"/>
  <c r="B529" i="55"/>
  <c r="G524" i="35"/>
  <c r="B1028" i="55"/>
  <c r="G1023" i="35"/>
  <c r="G1027" i="35"/>
  <c r="B1032" i="55"/>
  <c r="G1020" i="35"/>
  <c r="B1025" i="55"/>
  <c r="B915" i="55"/>
  <c r="G910" i="35"/>
  <c r="B903" i="55"/>
  <c r="G898" i="35"/>
  <c r="B437" i="55"/>
  <c r="G432" i="35"/>
  <c r="B976" i="55"/>
  <c r="G971" i="35"/>
  <c r="B464" i="55"/>
  <c r="G459" i="35"/>
  <c r="G972" i="35"/>
  <c r="B977" i="55"/>
  <c r="G923" i="35"/>
  <c r="B928" i="55"/>
  <c r="G913" i="35"/>
  <c r="B918" i="55"/>
  <c r="B534" i="55"/>
  <c r="G529" i="35"/>
  <c r="B543" i="55"/>
  <c r="G538" i="35"/>
  <c r="G991" i="35"/>
  <c r="B504" i="55"/>
  <c r="B991" i="55"/>
  <c r="G986" i="35"/>
  <c r="G447" i="35"/>
  <c r="B452" i="55"/>
  <c r="G917" i="35"/>
  <c r="B922" i="55"/>
  <c r="B974" i="55"/>
  <c r="G969" i="35"/>
  <c r="B440" i="55"/>
  <c r="G435" i="35"/>
  <c r="G536" i="35"/>
  <c r="B541" i="55"/>
  <c r="B983" i="55"/>
  <c r="G978" i="35"/>
  <c r="B961" i="55"/>
  <c r="G956" i="35"/>
  <c r="B471" i="55"/>
  <c r="G466" i="35"/>
  <c r="B514" i="55"/>
  <c r="G509" i="35"/>
  <c r="G951" i="35"/>
  <c r="B956" i="55"/>
  <c r="B433" i="55"/>
  <c r="G428" i="35"/>
  <c r="B1010" i="55"/>
  <c r="G1005" i="35"/>
  <c r="G892" i="35"/>
  <c r="B897" i="55"/>
  <c r="B984" i="55"/>
  <c r="G979" i="35"/>
  <c r="B515" i="55"/>
  <c r="G510" i="35"/>
  <c r="B892" i="55"/>
  <c r="G887" i="35"/>
  <c r="G521" i="35"/>
  <c r="B526" i="55"/>
  <c r="B439" i="55"/>
  <c r="G434" i="35"/>
  <c r="G443" i="35"/>
  <c r="B448" i="55"/>
  <c r="B968" i="55"/>
  <c r="G963" i="35"/>
  <c r="G451" i="35"/>
  <c r="B456" i="55"/>
  <c r="B518" i="55"/>
  <c r="G513" i="35"/>
  <c r="G981" i="35"/>
  <c r="B986" i="55"/>
  <c r="B474" i="55"/>
  <c r="G469" i="35"/>
  <c r="B445" i="55"/>
  <c r="G440" i="35"/>
  <c r="G964" i="35"/>
  <c r="B468" i="55"/>
  <c r="B905" i="55"/>
  <c r="B1019" i="55"/>
  <c r="B998" i="55"/>
  <c r="G993" i="35"/>
  <c r="G976" i="35"/>
  <c r="B981" i="55"/>
  <c r="B1016" i="55"/>
  <c r="G1011" i="35"/>
  <c r="G990" i="35"/>
  <c r="B995" i="55"/>
  <c r="B516" i="55"/>
  <c r="G511" i="35"/>
  <c r="B982" i="55"/>
  <c r="G977" i="35"/>
  <c r="B907" i="55"/>
  <c r="G902" i="35"/>
  <c r="G975" i="35"/>
  <c r="B980" i="55"/>
  <c r="B953" i="55"/>
  <c r="G948" i="35"/>
  <c r="G980" i="35"/>
  <c r="B985" i="55"/>
  <c r="B1022" i="55"/>
  <c r="G1017" i="35"/>
  <c r="B925" i="55"/>
  <c r="G920" i="35"/>
  <c r="B430" i="55"/>
  <c r="G425" i="35"/>
  <c r="G1026" i="35"/>
  <c r="G965" i="35"/>
  <c r="B970" i="55"/>
  <c r="B913" i="55"/>
  <c r="G908" i="35"/>
  <c r="G953" i="35"/>
  <c r="B958" i="55"/>
  <c r="B444" i="55"/>
  <c r="G439" i="35"/>
  <c r="G454" i="35"/>
  <c r="B459" i="55"/>
  <c r="G471" i="35"/>
  <c r="B476" i="55"/>
  <c r="G442" i="35"/>
  <c r="B447" i="55"/>
  <c r="G444" i="35"/>
  <c r="B449" i="55"/>
  <c r="E72" i="47"/>
  <c r="C521" i="37"/>
  <c r="B152" i="51" s="1"/>
  <c r="C493" i="37"/>
  <c r="B118" i="51" s="1"/>
  <c r="C465" i="37"/>
  <c r="B84" i="51" s="1"/>
  <c r="C437" i="37"/>
  <c r="B50" i="51" s="1"/>
  <c r="C409" i="37"/>
  <c r="B16" i="51" s="1"/>
  <c r="C520" i="37"/>
  <c r="B151" i="51" s="1"/>
  <c r="C492" i="37"/>
  <c r="B117" i="51" s="1"/>
  <c r="C436" i="37"/>
  <c r="B49" i="51" s="1"/>
  <c r="C464" i="37"/>
  <c r="B83" i="51" s="1"/>
  <c r="C408" i="37"/>
  <c r="B15" i="51" s="1"/>
  <c r="C519" i="37"/>
  <c r="B150" i="51" s="1"/>
  <c r="C491" i="37"/>
  <c r="B116" i="51" s="1"/>
  <c r="C463" i="37"/>
  <c r="B82" i="51" s="1"/>
  <c r="C435" i="37"/>
  <c r="B48" i="51" s="1"/>
  <c r="C407" i="37"/>
  <c r="B14" i="51" s="1"/>
  <c r="C518" i="37"/>
  <c r="B149" i="51" s="1"/>
  <c r="C490" i="37"/>
  <c r="B115" i="51" s="1"/>
  <c r="C434" i="37"/>
  <c r="B47" i="51" s="1"/>
  <c r="C462" i="37"/>
  <c r="B81" i="51" s="1"/>
  <c r="C406" i="37"/>
  <c r="B13" i="51" s="1"/>
  <c r="C461" i="37"/>
  <c r="B80" i="51" s="1"/>
  <c r="C517" i="37"/>
  <c r="B148" i="51" s="1"/>
  <c r="C433" i="37"/>
  <c r="B46" i="51" s="1"/>
  <c r="C405" i="37"/>
  <c r="B12" i="51" s="1"/>
  <c r="C489" i="37"/>
  <c r="B114" i="51" s="1"/>
  <c r="C488" i="37"/>
  <c r="B113" i="51" s="1"/>
  <c r="C460" i="37"/>
  <c r="B79" i="51" s="1"/>
  <c r="C432" i="37"/>
  <c r="B45" i="51" s="1"/>
  <c r="C404" i="37"/>
  <c r="B11" i="51" s="1"/>
  <c r="C516" i="37"/>
  <c r="B147" i="51" s="1"/>
  <c r="C515" i="37"/>
  <c r="B146" i="51" s="1"/>
  <c r="C403" i="37"/>
  <c r="B10" i="51" s="1"/>
  <c r="C487" i="37"/>
  <c r="B112" i="51" s="1"/>
  <c r="C431" i="37"/>
  <c r="B44" i="51" s="1"/>
  <c r="C459" i="37"/>
  <c r="B78" i="51" s="1"/>
  <c r="C430" i="37"/>
  <c r="B43" i="51" s="1"/>
  <c r="C402" i="37"/>
  <c r="B9" i="51" s="1"/>
  <c r="C514" i="37"/>
  <c r="B145" i="51" s="1"/>
  <c r="C486" i="37"/>
  <c r="B111" i="51" s="1"/>
  <c r="C458" i="37"/>
  <c r="B77" i="51" s="1"/>
  <c r="C556" i="37"/>
  <c r="B26" i="50" s="1"/>
  <c r="C623" i="37"/>
  <c r="B117" i="50" s="1"/>
  <c r="C606" i="37"/>
  <c r="B94" i="50" s="1"/>
  <c r="C589" i="37"/>
  <c r="B71" i="50" s="1"/>
  <c r="C572" i="37"/>
  <c r="B48" i="50" s="1"/>
  <c r="C573" i="37"/>
  <c r="B49" i="50" s="1"/>
  <c r="C555" i="37"/>
  <c r="B25" i="50" s="1"/>
  <c r="C624" i="37"/>
  <c r="B118" i="50" s="1"/>
  <c r="C607" i="37"/>
  <c r="B95" i="50" s="1"/>
  <c r="C590" i="37"/>
  <c r="B72" i="50" s="1"/>
  <c r="C554" i="37"/>
  <c r="B24" i="50" s="1"/>
  <c r="C622" i="37"/>
  <c r="B116" i="50" s="1"/>
  <c r="C588" i="37"/>
  <c r="B70" i="50" s="1"/>
  <c r="C605" i="37"/>
  <c r="B93" i="50" s="1"/>
  <c r="C571" i="37"/>
  <c r="B47" i="50" s="1"/>
  <c r="C621" i="37"/>
  <c r="B115" i="50" s="1"/>
  <c r="C604" i="37"/>
  <c r="B92" i="50" s="1"/>
  <c r="C587" i="37"/>
  <c r="B69" i="50" s="1"/>
  <c r="C570" i="37"/>
  <c r="B46" i="50" s="1"/>
  <c r="C553" i="37"/>
  <c r="B23" i="50" s="1"/>
  <c r="C620" i="37"/>
  <c r="B114" i="50" s="1"/>
  <c r="C603" i="37"/>
  <c r="B91" i="50" s="1"/>
  <c r="C586" i="37"/>
  <c r="B68" i="50" s="1"/>
  <c r="C569" i="37"/>
  <c r="B45" i="50" s="1"/>
  <c r="C552" i="37"/>
  <c r="B22" i="50" s="1"/>
  <c r="C551" i="37"/>
  <c r="B21" i="50" s="1"/>
  <c r="C619" i="37"/>
  <c r="B113" i="50" s="1"/>
  <c r="C602" i="37"/>
  <c r="B90" i="50" s="1"/>
  <c r="C585" i="37"/>
  <c r="B67" i="50" s="1"/>
  <c r="C568" i="37"/>
  <c r="B44" i="50" s="1"/>
  <c r="C618" i="37"/>
  <c r="B112" i="50" s="1"/>
  <c r="C601" i="37"/>
  <c r="B89" i="50" s="1"/>
  <c r="C584" i="37"/>
  <c r="B66" i="50" s="1"/>
  <c r="C567" i="37"/>
  <c r="B43" i="50" s="1"/>
  <c r="C550" i="37"/>
  <c r="B20" i="50" s="1"/>
  <c r="C549" i="37"/>
  <c r="B16" i="50" s="1"/>
  <c r="C617" i="37"/>
  <c r="B108" i="50" s="1"/>
  <c r="C600" i="37"/>
  <c r="B85" i="50" s="1"/>
  <c r="C583" i="37"/>
  <c r="B62" i="50" s="1"/>
  <c r="C566" i="37"/>
  <c r="B39" i="50" s="1"/>
  <c r="C616" i="37"/>
  <c r="B107" i="50" s="1"/>
  <c r="C599" i="37"/>
  <c r="B84" i="50" s="1"/>
  <c r="C582" i="37"/>
  <c r="B61" i="50" s="1"/>
  <c r="C615" i="37"/>
  <c r="B106" i="50" s="1"/>
  <c r="C565" i="37"/>
  <c r="B38" i="50" s="1"/>
  <c r="C564" i="37"/>
  <c r="B37" i="50" s="1"/>
  <c r="C547" i="37"/>
  <c r="B14" i="50" s="1"/>
  <c r="C598" i="37"/>
  <c r="B83" i="50" s="1"/>
  <c r="C548" i="37"/>
  <c r="B15" i="50" s="1"/>
  <c r="C581" i="37"/>
  <c r="B60" i="50" s="1"/>
  <c r="C614" i="37"/>
  <c r="B105" i="50" s="1"/>
  <c r="C597" i="37"/>
  <c r="B82" i="50" s="1"/>
  <c r="C580" i="37"/>
  <c r="B59" i="50" s="1"/>
  <c r="C563" i="37"/>
  <c r="B36" i="50" s="1"/>
  <c r="C546" i="37"/>
  <c r="B13" i="50" s="1"/>
  <c r="C613" i="37"/>
  <c r="B104" i="50" s="1"/>
  <c r="C596" i="37"/>
  <c r="B81" i="50" s="1"/>
  <c r="C579" i="37"/>
  <c r="B58" i="50" s="1"/>
  <c r="C562" i="37"/>
  <c r="B35" i="50" s="1"/>
  <c r="C545" i="37"/>
  <c r="B12" i="50" s="1"/>
  <c r="C612" i="37"/>
  <c r="B103" i="50" s="1"/>
  <c r="C595" i="37"/>
  <c r="B80" i="50" s="1"/>
  <c r="C578" i="37"/>
  <c r="B57" i="50" s="1"/>
  <c r="C561" i="37"/>
  <c r="B34" i="50" s="1"/>
  <c r="C544" i="37"/>
  <c r="B11" i="50" s="1"/>
  <c r="C611" i="37"/>
  <c r="B102" i="50" s="1"/>
  <c r="C594" i="37"/>
  <c r="B79" i="50" s="1"/>
  <c r="C577" i="37"/>
  <c r="B56" i="50" s="1"/>
  <c r="C560" i="37"/>
  <c r="B33" i="50" s="1"/>
  <c r="C543" i="37"/>
  <c r="B10" i="50" s="1"/>
  <c r="C610" i="37"/>
  <c r="B101" i="50" s="1"/>
  <c r="C593" i="37"/>
  <c r="B78" i="50" s="1"/>
  <c r="C576" i="37"/>
  <c r="B55" i="50" s="1"/>
  <c r="C559" i="37"/>
  <c r="B32" i="50" s="1"/>
  <c r="C542" i="37"/>
  <c r="B9" i="50" s="1"/>
  <c r="C609" i="37"/>
  <c r="B100" i="50" s="1"/>
  <c r="C592" i="37"/>
  <c r="B77" i="50" s="1"/>
  <c r="C575" i="37"/>
  <c r="B54" i="50" s="1"/>
  <c r="C558" i="37"/>
  <c r="B31" i="50" s="1"/>
  <c r="C541" i="37"/>
  <c r="B8" i="50" s="1"/>
  <c r="B85" i="49"/>
  <c r="C608" i="37"/>
  <c r="B99" i="50" s="1"/>
  <c r="C591" i="37"/>
  <c r="B76" i="50" s="1"/>
  <c r="C574" i="37"/>
  <c r="B53" i="50" s="1"/>
  <c r="C557" i="37"/>
  <c r="B30" i="50" s="1"/>
  <c r="C540" i="37"/>
  <c r="B7" i="50" s="1"/>
  <c r="C339" i="37"/>
  <c r="B118" i="48" s="1"/>
  <c r="C322" i="37"/>
  <c r="B95" i="48" s="1"/>
  <c r="C305" i="37"/>
  <c r="B72" i="48" s="1"/>
  <c r="C288" i="37"/>
  <c r="B49" i="48" s="1"/>
  <c r="C271" i="37"/>
  <c r="B26" i="48" s="1"/>
  <c r="C338" i="37"/>
  <c r="B117" i="48" s="1"/>
  <c r="C321" i="37"/>
  <c r="B94" i="48" s="1"/>
  <c r="C304" i="37"/>
  <c r="B71" i="48" s="1"/>
  <c r="C287" i="37"/>
  <c r="B48" i="48" s="1"/>
  <c r="C270" i="37"/>
  <c r="B25" i="48" s="1"/>
  <c r="C320" i="37"/>
  <c r="B93" i="48" s="1"/>
  <c r="C303" i="37"/>
  <c r="B70" i="48" s="1"/>
  <c r="C286" i="37"/>
  <c r="B47" i="48" s="1"/>
  <c r="C269" i="37"/>
  <c r="B24" i="48" s="1"/>
  <c r="C337" i="37"/>
  <c r="B116" i="48" s="1"/>
  <c r="C336" i="37"/>
  <c r="B115" i="48" s="1"/>
  <c r="C319" i="37"/>
  <c r="B92" i="48" s="1"/>
  <c r="C302" i="37"/>
  <c r="B69" i="48" s="1"/>
  <c r="C285" i="37"/>
  <c r="B46" i="48" s="1"/>
  <c r="C268" i="37"/>
  <c r="B23" i="48" s="1"/>
  <c r="C266" i="37"/>
  <c r="B21" i="48" s="1"/>
  <c r="C284" i="37"/>
  <c r="B45" i="48" s="1"/>
  <c r="C335" i="37"/>
  <c r="B114" i="48" s="1"/>
  <c r="C301" i="37"/>
  <c r="B68" i="48" s="1"/>
  <c r="C318" i="37"/>
  <c r="B91" i="48" s="1"/>
  <c r="C267" i="37"/>
  <c r="B22" i="48" s="1"/>
  <c r="C334" i="37"/>
  <c r="B113" i="48" s="1"/>
  <c r="C317" i="37"/>
  <c r="B90" i="48" s="1"/>
  <c r="C300" i="37"/>
  <c r="B67" i="48" s="1"/>
  <c r="C283" i="37"/>
  <c r="B44" i="48" s="1"/>
  <c r="C333" i="37"/>
  <c r="B112" i="48" s="1"/>
  <c r="C316" i="37"/>
  <c r="B89" i="48" s="1"/>
  <c r="C299" i="37"/>
  <c r="B66" i="48" s="1"/>
  <c r="C282" i="37"/>
  <c r="B43" i="48" s="1"/>
  <c r="C265" i="37"/>
  <c r="B20" i="48" s="1"/>
  <c r="C332" i="37"/>
  <c r="B108" i="48" s="1"/>
  <c r="C298" i="37"/>
  <c r="B62" i="48" s="1"/>
  <c r="C315" i="37"/>
  <c r="B85" i="48" s="1"/>
  <c r="C281" i="37"/>
  <c r="B39" i="48" s="1"/>
  <c r="C264" i="37"/>
  <c r="B16" i="48" s="1"/>
  <c r="C331" i="37"/>
  <c r="B107" i="48" s="1"/>
  <c r="C314" i="37"/>
  <c r="B84" i="48" s="1"/>
  <c r="C297" i="37"/>
  <c r="B61" i="48" s="1"/>
  <c r="C280" i="37"/>
  <c r="B38" i="48" s="1"/>
  <c r="C263" i="37"/>
  <c r="B15" i="48" s="1"/>
  <c r="C330" i="37"/>
  <c r="B106" i="48" s="1"/>
  <c r="C313" i="37"/>
  <c r="B83" i="48" s="1"/>
  <c r="C296" i="37"/>
  <c r="B60" i="48" s="1"/>
  <c r="C279" i="37"/>
  <c r="B37" i="48" s="1"/>
  <c r="C262" i="37"/>
  <c r="B14" i="48" s="1"/>
  <c r="C329" i="37"/>
  <c r="B105" i="48" s="1"/>
  <c r="C312" i="37"/>
  <c r="B82" i="48" s="1"/>
  <c r="C295" i="37"/>
  <c r="B59" i="48" s="1"/>
  <c r="C278" i="37"/>
  <c r="B36" i="48" s="1"/>
  <c r="C261" i="37"/>
  <c r="B13" i="48" s="1"/>
  <c r="C328" i="37"/>
  <c r="B104" i="48" s="1"/>
  <c r="C311" i="37"/>
  <c r="B81" i="48" s="1"/>
  <c r="C294" i="37"/>
  <c r="B58" i="48" s="1"/>
  <c r="C277" i="37"/>
  <c r="B35" i="48" s="1"/>
  <c r="C260" i="37"/>
  <c r="B12" i="48" s="1"/>
  <c r="C327" i="37"/>
  <c r="B103" i="48" s="1"/>
  <c r="C310" i="37"/>
  <c r="B80" i="48" s="1"/>
  <c r="C293" i="37"/>
  <c r="B57" i="48" s="1"/>
  <c r="C276" i="37"/>
  <c r="B34" i="48" s="1"/>
  <c r="C259" i="37"/>
  <c r="B11" i="48" s="1"/>
  <c r="C326" i="37"/>
  <c r="B102" i="48" s="1"/>
  <c r="C309" i="37"/>
  <c r="B79" i="48" s="1"/>
  <c r="C292" i="37"/>
  <c r="B56" i="48" s="1"/>
  <c r="C275" i="37"/>
  <c r="B33" i="48" s="1"/>
  <c r="C258" i="37"/>
  <c r="B10" i="48" s="1"/>
  <c r="C325" i="37"/>
  <c r="B101" i="48" s="1"/>
  <c r="C291" i="37"/>
  <c r="B55" i="48" s="1"/>
  <c r="C308" i="37"/>
  <c r="B78" i="48" s="1"/>
  <c r="C274" i="37"/>
  <c r="B32" i="48" s="1"/>
  <c r="C257" i="37"/>
  <c r="B9" i="48" s="1"/>
  <c r="C324" i="37"/>
  <c r="B100" i="48" s="1"/>
  <c r="C307" i="37"/>
  <c r="B77" i="48" s="1"/>
  <c r="C290" i="37"/>
  <c r="B54" i="48" s="1"/>
  <c r="C273" i="37"/>
  <c r="B31" i="48" s="1"/>
  <c r="C256" i="37"/>
  <c r="B8" i="48" s="1"/>
  <c r="B84" i="49"/>
  <c r="C323" i="37"/>
  <c r="B99" i="48" s="1"/>
  <c r="C306" i="37"/>
  <c r="B76" i="48" s="1"/>
  <c r="C289" i="37"/>
  <c r="B53" i="48" s="1"/>
  <c r="C272" i="37"/>
  <c r="B30" i="48" s="1"/>
  <c r="C255" i="37"/>
  <c r="B7" i="48" s="1"/>
  <c r="C476" i="37"/>
  <c r="B95" i="51" s="1"/>
  <c r="C448" i="37"/>
  <c r="B61" i="51" s="1"/>
  <c r="C420" i="37"/>
  <c r="B27" i="51" s="1"/>
  <c r="C532" i="37"/>
  <c r="B163" i="51" s="1"/>
  <c r="C504" i="37"/>
  <c r="B129" i="51" s="1"/>
  <c r="C531" i="37"/>
  <c r="B162" i="51" s="1"/>
  <c r="C503" i="37"/>
  <c r="B128" i="51" s="1"/>
  <c r="C475" i="37"/>
  <c r="B94" i="51" s="1"/>
  <c r="C447" i="37"/>
  <c r="B60" i="51" s="1"/>
  <c r="C419" i="37"/>
  <c r="B26" i="51" s="1"/>
  <c r="C530" i="37"/>
  <c r="B161" i="51" s="1"/>
  <c r="C502" i="37"/>
  <c r="B127" i="51" s="1"/>
  <c r="C474" i="37"/>
  <c r="B93" i="51" s="1"/>
  <c r="C446" i="37"/>
  <c r="B59" i="51" s="1"/>
  <c r="C418" i="37"/>
  <c r="B25" i="51" s="1"/>
  <c r="C529" i="37"/>
  <c r="B160" i="51" s="1"/>
  <c r="C501" i="37"/>
  <c r="B126" i="51" s="1"/>
  <c r="C473" i="37"/>
  <c r="B92" i="51" s="1"/>
  <c r="C445" i="37"/>
  <c r="B58" i="51" s="1"/>
  <c r="C417" i="37"/>
  <c r="B24" i="51" s="1"/>
  <c r="C472" i="37"/>
  <c r="B91" i="51" s="1"/>
  <c r="C500" i="37"/>
  <c r="B125" i="51" s="1"/>
  <c r="C444" i="37"/>
  <c r="B57" i="51" s="1"/>
  <c r="C416" i="37"/>
  <c r="B23" i="51" s="1"/>
  <c r="C528" i="37"/>
  <c r="B159" i="51" s="1"/>
  <c r="C527" i="37"/>
  <c r="B158" i="51" s="1"/>
  <c r="C499" i="37"/>
  <c r="B124" i="51" s="1"/>
  <c r="C471" i="37"/>
  <c r="B90" i="51" s="1"/>
  <c r="C443" i="37"/>
  <c r="B56" i="51" s="1"/>
  <c r="C415" i="37"/>
  <c r="B22" i="51" s="1"/>
  <c r="C526" i="37"/>
  <c r="B157" i="51" s="1"/>
  <c r="C498" i="37"/>
  <c r="B123" i="51" s="1"/>
  <c r="C470" i="37"/>
  <c r="B89" i="51" s="1"/>
  <c r="C442" i="37"/>
  <c r="B55" i="51" s="1"/>
  <c r="C414" i="37"/>
  <c r="B21" i="51" s="1"/>
  <c r="C525" i="37"/>
  <c r="B156" i="51" s="1"/>
  <c r="C497" i="37"/>
  <c r="B122" i="51" s="1"/>
  <c r="C469" i="37"/>
  <c r="B88" i="51" s="1"/>
  <c r="C441" i="37"/>
  <c r="B54" i="51" s="1"/>
  <c r="C413" i="37"/>
  <c r="B20" i="51" s="1"/>
  <c r="C524" i="37"/>
  <c r="B155" i="51" s="1"/>
  <c r="C496" i="37"/>
  <c r="B121" i="51" s="1"/>
  <c r="C468" i="37"/>
  <c r="B87" i="51" s="1"/>
  <c r="C440" i="37"/>
  <c r="B53" i="51" s="1"/>
  <c r="C412" i="37"/>
  <c r="B19" i="51" s="1"/>
  <c r="C523" i="37"/>
  <c r="B154" i="51" s="1"/>
  <c r="C495" i="37"/>
  <c r="B120" i="51" s="1"/>
  <c r="C467" i="37"/>
  <c r="B86" i="51" s="1"/>
  <c r="C439" i="37"/>
  <c r="B52" i="51" s="1"/>
  <c r="C411" i="37"/>
  <c r="B18" i="51" s="1"/>
  <c r="B153" i="51"/>
  <c r="B119" i="51"/>
  <c r="B85" i="51"/>
  <c r="B51" i="51"/>
  <c r="B17" i="51"/>
  <c r="C513" i="37"/>
  <c r="B144" i="51" s="1"/>
  <c r="C485" i="37"/>
  <c r="B110" i="51" s="1"/>
  <c r="C457" i="37"/>
  <c r="B76" i="51" s="1"/>
  <c r="C429" i="37"/>
  <c r="B42" i="51" s="1"/>
  <c r="C401" i="37"/>
  <c r="B8" i="51" s="1"/>
  <c r="C512" i="37"/>
  <c r="B143" i="51" s="1"/>
  <c r="C484" i="37"/>
  <c r="B109" i="51" s="1"/>
  <c r="C456" i="37"/>
  <c r="B75" i="51" s="1"/>
  <c r="C428" i="37"/>
  <c r="B41" i="51" s="1"/>
  <c r="C400" i="37"/>
  <c r="B7" i="51" s="1"/>
  <c r="B83" i="49"/>
  <c r="E27" i="31"/>
  <c r="E26" i="31"/>
  <c r="E24" i="31"/>
  <c r="E21" i="31"/>
  <c r="E7" i="4"/>
  <c r="B26" i="31"/>
  <c r="E68" i="47" l="1"/>
  <c r="E43" i="47"/>
  <c r="E46" i="47"/>
  <c r="E69" i="47"/>
  <c r="E55" i="47"/>
  <c r="E59" i="47"/>
  <c r="E56" i="47"/>
  <c r="E33" i="47"/>
  <c r="E42" i="47"/>
  <c r="B7" i="4"/>
  <c r="B24" i="31"/>
  <c r="H134" i="35" l="1"/>
  <c r="H48" i="35" l="1"/>
  <c r="H49" i="35"/>
  <c r="O519" i="35" l="1"/>
  <c r="O529" i="35"/>
  <c r="D375" i="42" l="1"/>
  <c r="C36" i="42" l="1"/>
  <c r="B36" i="42"/>
  <c r="B561" i="42"/>
  <c r="C561" i="42"/>
  <c r="C418" i="42" l="1"/>
  <c r="D121" i="42"/>
  <c r="C66" i="42"/>
  <c r="C1036" i="42"/>
  <c r="B476" i="42"/>
  <c r="C1043" i="42"/>
  <c r="E262" i="42"/>
  <c r="C56" i="42"/>
  <c r="E246" i="42"/>
  <c r="B20" i="42"/>
  <c r="D878" i="42"/>
  <c r="D1087" i="42"/>
  <c r="D515" i="42"/>
  <c r="E75" i="42"/>
  <c r="C422" i="42"/>
  <c r="D346" i="42"/>
  <c r="F133" i="42"/>
  <c r="D1064" i="42"/>
  <c r="C1064" i="42"/>
  <c r="E1064" i="42"/>
  <c r="C44" i="42"/>
  <c r="G1037" i="42"/>
  <c r="G1038" i="42"/>
  <c r="F1036" i="42"/>
  <c r="G1036" i="42"/>
  <c r="D417" i="42"/>
  <c r="H482" i="42"/>
  <c r="C352" i="42"/>
  <c r="E371" i="42"/>
  <c r="E346" i="42"/>
  <c r="E347" i="42"/>
  <c r="C341" i="42"/>
  <c r="C361" i="42"/>
  <c r="C351" i="42"/>
  <c r="E335" i="42"/>
  <c r="E353" i="42"/>
  <c r="E344" i="42"/>
  <c r="E338" i="42"/>
  <c r="C349" i="42"/>
  <c r="C336" i="42"/>
  <c r="C345" i="42"/>
  <c r="E368" i="42"/>
  <c r="C338" i="42"/>
  <c r="C354" i="42"/>
  <c r="C353" i="42"/>
  <c r="E342" i="42"/>
  <c r="E366" i="42"/>
  <c r="E337" i="42"/>
  <c r="C369" i="42"/>
  <c r="E352" i="42"/>
  <c r="C363" i="42"/>
  <c r="C372" i="42"/>
  <c r="E351" i="42"/>
  <c r="C346" i="42"/>
  <c r="E348" i="42"/>
  <c r="C368" i="42"/>
  <c r="C370" i="42"/>
  <c r="E373" i="42"/>
  <c r="C359" i="42"/>
  <c r="E365" i="42"/>
  <c r="E360" i="42"/>
  <c r="C337" i="42"/>
  <c r="E343" i="42"/>
  <c r="E369" i="42"/>
  <c r="C343" i="42"/>
  <c r="E339" i="42"/>
  <c r="C362" i="42"/>
  <c r="E361" i="42"/>
  <c r="C340" i="42"/>
  <c r="E364" i="42"/>
  <c r="E349" i="42"/>
  <c r="E357" i="42"/>
  <c r="C360" i="42"/>
  <c r="E336" i="42"/>
  <c r="E356" i="42"/>
  <c r="E350" i="42"/>
  <c r="E372" i="42"/>
  <c r="C339" i="42"/>
  <c r="C364" i="42"/>
  <c r="E341" i="42"/>
  <c r="C367" i="42"/>
  <c r="C358" i="42"/>
  <c r="E370" i="42"/>
  <c r="C348" i="42"/>
  <c r="C373" i="42"/>
  <c r="E345" i="42"/>
  <c r="C355" i="42"/>
  <c r="C366" i="42"/>
  <c r="C344" i="42"/>
  <c r="E358" i="42"/>
  <c r="C365" i="42"/>
  <c r="C371" i="42"/>
  <c r="E354" i="42"/>
  <c r="C347" i="42"/>
  <c r="C357" i="42"/>
  <c r="C342" i="42"/>
  <c r="E334" i="42"/>
  <c r="C334" i="42"/>
  <c r="E359" i="42"/>
  <c r="E340" i="42"/>
  <c r="C335" i="42"/>
  <c r="E367" i="42"/>
  <c r="E362" i="42"/>
  <c r="E355" i="42"/>
  <c r="C356" i="42"/>
  <c r="C350" i="42"/>
  <c r="E363" i="42"/>
  <c r="H722" i="42"/>
  <c r="H756" i="42"/>
  <c r="H790" i="42"/>
  <c r="H858" i="42"/>
  <c r="E76" i="42"/>
  <c r="H576" i="42"/>
  <c r="G907" i="42"/>
  <c r="H705" i="42"/>
  <c r="H632" i="42"/>
  <c r="H688" i="42"/>
  <c r="H604" i="42"/>
  <c r="H841" i="42"/>
  <c r="G111" i="42"/>
  <c r="H773" i="42"/>
  <c r="G897" i="42"/>
  <c r="G887" i="42"/>
  <c r="H807" i="42"/>
  <c r="G917" i="42"/>
  <c r="H739" i="42"/>
  <c r="H660" i="42"/>
  <c r="H824" i="42"/>
  <c r="G877" i="42"/>
  <c r="E482" i="42"/>
  <c r="E481" i="42"/>
  <c r="D483" i="42"/>
  <c r="B475" i="42" l="1"/>
  <c r="C1039" i="42"/>
  <c r="C475" i="42"/>
  <c r="B474" i="42"/>
  <c r="C477" i="42"/>
  <c r="B477" i="42"/>
  <c r="C474" i="42"/>
  <c r="C476" i="42"/>
  <c r="D877" i="42"/>
  <c r="E877" i="42"/>
  <c r="C877" i="42"/>
  <c r="E878" i="42"/>
  <c r="E531" i="42"/>
  <c r="M531" i="35" s="1"/>
  <c r="C522" i="42"/>
  <c r="K522" i="35" s="1"/>
  <c r="D532" i="42"/>
  <c r="H522" i="42"/>
  <c r="E521" i="42"/>
  <c r="M521" i="35" s="1"/>
  <c r="C512" i="42"/>
  <c r="C497" i="42"/>
  <c r="E517" i="42"/>
  <c r="F488" i="42"/>
  <c r="O488" i="35" s="1"/>
  <c r="C549" i="42"/>
  <c r="C1034" i="42"/>
  <c r="D1039" i="42"/>
  <c r="D1040" i="42"/>
  <c r="C1037" i="42"/>
  <c r="C1033" i="42"/>
  <c r="B1033" i="42"/>
  <c r="C1040" i="42"/>
  <c r="C1035" i="42"/>
  <c r="C1038" i="42"/>
  <c r="D1034" i="42"/>
  <c r="C55" i="42"/>
  <c r="B55" i="42"/>
  <c r="E309" i="42"/>
  <c r="B66" i="42"/>
  <c r="C267" i="42"/>
  <c r="E228" i="42"/>
  <c r="D112" i="42"/>
  <c r="E534" i="42"/>
  <c r="D533" i="42"/>
  <c r="E533" i="42"/>
  <c r="E511" i="42"/>
  <c r="M511" i="35" s="1"/>
  <c r="D353" i="42"/>
  <c r="E216" i="42"/>
  <c r="C238" i="42"/>
  <c r="C214" i="42"/>
  <c r="E250" i="42"/>
  <c r="E236" i="42"/>
  <c r="D113" i="42"/>
  <c r="E239" i="42"/>
  <c r="C242" i="42"/>
  <c r="C246" i="42"/>
  <c r="E234" i="42"/>
  <c r="C207" i="42"/>
  <c r="D1071" i="42"/>
  <c r="C1086" i="42"/>
  <c r="C543" i="42"/>
  <c r="C547" i="42"/>
  <c r="C484" i="42"/>
  <c r="E541" i="42"/>
  <c r="C541" i="42"/>
  <c r="E484" i="42"/>
  <c r="F542" i="42"/>
  <c r="F543" i="42"/>
  <c r="E488" i="42"/>
  <c r="N488" i="35" s="1"/>
  <c r="C20" i="42"/>
  <c r="E542" i="42"/>
  <c r="E539" i="42"/>
  <c r="D484" i="42"/>
  <c r="C542" i="42"/>
  <c r="D1069" i="42"/>
  <c r="B18" i="42"/>
  <c r="B1031" i="42"/>
  <c r="C539" i="42"/>
  <c r="C1031" i="42"/>
  <c r="C546" i="42"/>
  <c r="C1061" i="42"/>
  <c r="C482" i="42"/>
  <c r="C1062" i="42"/>
  <c r="D1066" i="42"/>
  <c r="C548" i="42"/>
  <c r="C481" i="42"/>
  <c r="C545" i="42"/>
  <c r="D1067" i="42"/>
  <c r="E1087" i="42"/>
  <c r="C544" i="42"/>
  <c r="E543" i="42"/>
  <c r="C31" i="42"/>
  <c r="F539" i="42"/>
  <c r="D349" i="42"/>
  <c r="B279" i="42"/>
  <c r="B365" i="42"/>
  <c r="B353" i="42"/>
  <c r="B368" i="42"/>
  <c r="B328" i="42"/>
  <c r="D368" i="42"/>
  <c r="B206" i="42"/>
  <c r="B340" i="42"/>
  <c r="B327" i="42"/>
  <c r="B296" i="42"/>
  <c r="D355" i="42"/>
  <c r="B358" i="42"/>
  <c r="D360" i="42"/>
  <c r="B196" i="42"/>
  <c r="D358" i="42"/>
  <c r="D342" i="42"/>
  <c r="D361" i="42"/>
  <c r="D338" i="42"/>
  <c r="E526" i="42"/>
  <c r="D538" i="42"/>
  <c r="H502" i="42"/>
  <c r="D555" i="42"/>
  <c r="B202" i="42"/>
  <c r="E217" i="42"/>
  <c r="C114" i="42"/>
  <c r="D206" i="42"/>
  <c r="C230" i="42"/>
  <c r="E227" i="42"/>
  <c r="E114" i="42"/>
  <c r="D252" i="42"/>
  <c r="E215" i="42"/>
  <c r="C224" i="42"/>
  <c r="C178" i="42"/>
  <c r="C231" i="42"/>
  <c r="E253" i="42"/>
  <c r="C234" i="42"/>
  <c r="C227" i="42"/>
  <c r="C232" i="42"/>
  <c r="D247" i="42"/>
  <c r="C107" i="42"/>
  <c r="E231" i="42"/>
  <c r="C223" i="42"/>
  <c r="C239" i="42"/>
  <c r="E180" i="42"/>
  <c r="C225" i="42"/>
  <c r="E218" i="42"/>
  <c r="E219" i="42"/>
  <c r="C229" i="42"/>
  <c r="D115" i="42"/>
  <c r="C247" i="42"/>
  <c r="E233" i="42"/>
  <c r="C228" i="42"/>
  <c r="E201" i="42"/>
  <c r="E243" i="42"/>
  <c r="E214" i="42"/>
  <c r="C226" i="42"/>
  <c r="E221" i="42"/>
  <c r="C208" i="42"/>
  <c r="E252" i="42"/>
  <c r="E213" i="42"/>
  <c r="E223" i="42"/>
  <c r="C252" i="42"/>
  <c r="E238" i="42"/>
  <c r="E244" i="42"/>
  <c r="E178" i="42"/>
  <c r="E225" i="42"/>
  <c r="C221" i="42"/>
  <c r="C184" i="42"/>
  <c r="E235" i="42"/>
  <c r="E226" i="42"/>
  <c r="C243" i="42"/>
  <c r="C237" i="42"/>
  <c r="B180" i="42"/>
  <c r="E248" i="42"/>
  <c r="E205" i="42"/>
  <c r="C236" i="42"/>
  <c r="E249" i="42"/>
  <c r="E247" i="42"/>
  <c r="E220" i="42"/>
  <c r="C241" i="42"/>
  <c r="C248" i="42"/>
  <c r="E222" i="42"/>
  <c r="C216" i="42"/>
  <c r="E242" i="42"/>
  <c r="C188" i="42"/>
  <c r="E181" i="42"/>
  <c r="C249" i="42"/>
  <c r="C244" i="42"/>
  <c r="E224" i="42"/>
  <c r="C235" i="42"/>
  <c r="C204" i="42"/>
  <c r="E230" i="42"/>
  <c r="C215" i="42"/>
  <c r="C219" i="42"/>
  <c r="B227" i="42"/>
  <c r="C245" i="42"/>
  <c r="C220" i="42"/>
  <c r="B200" i="42"/>
  <c r="C217" i="42"/>
  <c r="E107" i="42"/>
  <c r="E245" i="42"/>
  <c r="C250" i="42"/>
  <c r="E251" i="42"/>
  <c r="E240" i="42"/>
  <c r="E204" i="42"/>
  <c r="C222" i="42"/>
  <c r="C218" i="42"/>
  <c r="C106" i="42"/>
  <c r="C253" i="42"/>
  <c r="D189" i="42"/>
  <c r="D111" i="42"/>
  <c r="B106" i="42"/>
  <c r="D218" i="42"/>
  <c r="E232" i="42"/>
  <c r="E241" i="42"/>
  <c r="B114" i="42"/>
  <c r="C251" i="42"/>
  <c r="C233" i="42"/>
  <c r="E237" i="42"/>
  <c r="E195" i="42"/>
  <c r="B107" i="42"/>
  <c r="E229" i="42"/>
  <c r="C240" i="42"/>
  <c r="F474" i="42"/>
  <c r="P474" i="35" s="1"/>
  <c r="C421" i="42"/>
  <c r="D176" i="42"/>
  <c r="D359" i="42"/>
  <c r="D365" i="42"/>
  <c r="B233" i="42"/>
  <c r="B192" i="42"/>
  <c r="B256" i="42"/>
  <c r="C175" i="42"/>
  <c r="B372" i="42"/>
  <c r="C191" i="42"/>
  <c r="D319" i="42"/>
  <c r="B337" i="42"/>
  <c r="D357" i="42"/>
  <c r="B338" i="42"/>
  <c r="C67" i="42"/>
  <c r="B230" i="42"/>
  <c r="B334" i="42"/>
  <c r="D345" i="42"/>
  <c r="D364" i="42"/>
  <c r="B351" i="42"/>
  <c r="B359" i="42"/>
  <c r="B341" i="42"/>
  <c r="B350" i="42"/>
  <c r="B367" i="42"/>
  <c r="B56" i="42"/>
  <c r="E203" i="42"/>
  <c r="C193" i="42"/>
  <c r="B240" i="42"/>
  <c r="B208" i="42"/>
  <c r="B221" i="42"/>
  <c r="D250" i="42"/>
  <c r="B245" i="42"/>
  <c r="D187" i="42"/>
  <c r="C189" i="42"/>
  <c r="D251" i="42"/>
  <c r="D316" i="42"/>
  <c r="D344" i="42"/>
  <c r="D348" i="42"/>
  <c r="B185" i="42"/>
  <c r="D335" i="42"/>
  <c r="B373" i="42"/>
  <c r="D337" i="42"/>
  <c r="B366" i="42"/>
  <c r="C45" i="42"/>
  <c r="B236" i="42"/>
  <c r="B195" i="42"/>
  <c r="D225" i="42"/>
  <c r="C213" i="42"/>
  <c r="C186" i="42"/>
  <c r="D198" i="42"/>
  <c r="C190" i="42"/>
  <c r="D178" i="42"/>
  <c r="D226" i="42"/>
  <c r="E192" i="42"/>
  <c r="D294" i="42"/>
  <c r="B355" i="42"/>
  <c r="D232" i="42"/>
  <c r="B216" i="42"/>
  <c r="B174" i="42"/>
  <c r="D372" i="42"/>
  <c r="D373" i="42"/>
  <c r="D236" i="42"/>
  <c r="D200" i="42"/>
  <c r="D203" i="42"/>
  <c r="D188" i="42"/>
  <c r="B320" i="42"/>
  <c r="D350" i="42"/>
  <c r="D339" i="42"/>
  <c r="D367" i="42"/>
  <c r="B343" i="42"/>
  <c r="B363" i="42"/>
  <c r="B354" i="42"/>
  <c r="B339" i="42"/>
  <c r="D341" i="42"/>
  <c r="B346" i="42"/>
  <c r="D351" i="42"/>
  <c r="B67" i="42"/>
  <c r="E174" i="42"/>
  <c r="E190" i="42"/>
  <c r="C212" i="42"/>
  <c r="C192" i="42"/>
  <c r="C185" i="42"/>
  <c r="B212" i="42"/>
  <c r="E202" i="42"/>
  <c r="B189" i="42"/>
  <c r="D195" i="42"/>
  <c r="D175" i="42"/>
  <c r="D180" i="42"/>
  <c r="B324" i="42"/>
  <c r="D347" i="42"/>
  <c r="D228" i="42"/>
  <c r="E208" i="42"/>
  <c r="B234" i="42"/>
  <c r="D214" i="42"/>
  <c r="D231" i="42"/>
  <c r="D366" i="42"/>
  <c r="B349" i="42"/>
  <c r="B344" i="42"/>
  <c r="B186" i="42"/>
  <c r="D230" i="42"/>
  <c r="D217" i="42"/>
  <c r="B181" i="42"/>
  <c r="B223" i="42"/>
  <c r="B300" i="42"/>
  <c r="B364" i="42"/>
  <c r="B357" i="42"/>
  <c r="D340" i="42"/>
  <c r="D336" i="42"/>
  <c r="D334" i="42"/>
  <c r="B335" i="42"/>
  <c r="B336" i="42"/>
  <c r="B361" i="42"/>
  <c r="B371" i="42"/>
  <c r="B184" i="42"/>
  <c r="B215" i="42"/>
  <c r="B241" i="42"/>
  <c r="B250" i="42"/>
  <c r="D205" i="42"/>
  <c r="D185" i="42"/>
  <c r="D248" i="42"/>
  <c r="B188" i="42"/>
  <c r="B205" i="42"/>
  <c r="B213" i="42"/>
  <c r="C205" i="42"/>
  <c r="B255" i="42"/>
  <c r="B307" i="42"/>
  <c r="C1087" i="42"/>
  <c r="C18" i="42"/>
  <c r="C262" i="42"/>
  <c r="C302" i="42"/>
  <c r="E288" i="42"/>
  <c r="E307" i="42"/>
  <c r="C290" i="42"/>
  <c r="E316" i="42"/>
  <c r="E276" i="42"/>
  <c r="C273" i="42"/>
  <c r="C268" i="42"/>
  <c r="E330" i="42"/>
  <c r="E275" i="42"/>
  <c r="E270" i="42"/>
  <c r="C310" i="42"/>
  <c r="E265" i="42"/>
  <c r="B316" i="42"/>
  <c r="D313" i="42"/>
  <c r="B315" i="42"/>
  <c r="B259" i="42"/>
  <c r="D327" i="42"/>
  <c r="B303" i="42"/>
  <c r="D305" i="42"/>
  <c r="B290" i="42"/>
  <c r="B270" i="42"/>
  <c r="D332" i="42"/>
  <c r="B260" i="42"/>
  <c r="B266" i="42"/>
  <c r="B325" i="42"/>
  <c r="B298" i="42"/>
  <c r="E323" i="42"/>
  <c r="E286" i="42"/>
  <c r="C294" i="42"/>
  <c r="C277" i="42"/>
  <c r="E318" i="42"/>
  <c r="E301" i="42"/>
  <c r="E305" i="42"/>
  <c r="C301" i="42"/>
  <c r="E281" i="42"/>
  <c r="E303" i="42"/>
  <c r="C329" i="42"/>
  <c r="E299" i="42"/>
  <c r="C326" i="42"/>
  <c r="C317" i="42"/>
  <c r="B305" i="42"/>
  <c r="B284" i="42"/>
  <c r="B272" i="42"/>
  <c r="D323" i="42"/>
  <c r="B309" i="42"/>
  <c r="B297" i="42"/>
  <c r="D303" i="42"/>
  <c r="D324" i="42"/>
  <c r="B313" i="42"/>
  <c r="B291" i="42"/>
  <c r="D300" i="42"/>
  <c r="D314" i="42"/>
  <c r="B265" i="42"/>
  <c r="B268" i="42"/>
  <c r="E289" i="42"/>
  <c r="C264" i="42"/>
  <c r="C255" i="42"/>
  <c r="E313" i="42"/>
  <c r="E279" i="42"/>
  <c r="C304" i="42"/>
  <c r="E329" i="42"/>
  <c r="B261" i="42"/>
  <c r="D297" i="42"/>
  <c r="D329" i="42"/>
  <c r="B262" i="42"/>
  <c r="B330" i="42"/>
  <c r="B277" i="42"/>
  <c r="B258" i="42"/>
  <c r="B331" i="42"/>
  <c r="B317" i="42"/>
  <c r="B293" i="42"/>
  <c r="B314" i="42"/>
  <c r="D321" i="42"/>
  <c r="B281" i="42"/>
  <c r="D331" i="42"/>
  <c r="E308" i="42"/>
  <c r="C312" i="42"/>
  <c r="E282" i="42"/>
  <c r="C270" i="42"/>
  <c r="C276" i="42"/>
  <c r="E284" i="42"/>
  <c r="C256" i="42"/>
  <c r="D328" i="42"/>
  <c r="D333" i="42"/>
  <c r="B274" i="42"/>
  <c r="B319" i="42"/>
  <c r="B310" i="42"/>
  <c r="B285" i="42"/>
  <c r="B264" i="42"/>
  <c r="D307" i="42"/>
  <c r="B271" i="42"/>
  <c r="D295" i="42"/>
  <c r="D308" i="42"/>
  <c r="B287" i="42"/>
  <c r="D322" i="42"/>
  <c r="D311" i="42"/>
  <c r="D304" i="42"/>
  <c r="B301" i="42"/>
  <c r="D519" i="42"/>
  <c r="M519" i="35" s="1"/>
  <c r="C493" i="42"/>
  <c r="D212" i="42"/>
  <c r="B248" i="42"/>
  <c r="B226" i="42"/>
  <c r="B210" i="42"/>
  <c r="B198" i="42"/>
  <c r="B217" i="42"/>
  <c r="D199" i="42"/>
  <c r="C182" i="42"/>
  <c r="C196" i="42"/>
  <c r="B178" i="42"/>
  <c r="B244" i="42"/>
  <c r="B179" i="42"/>
  <c r="D234" i="42"/>
  <c r="E182" i="42"/>
  <c r="C194" i="42"/>
  <c r="B209" i="42"/>
  <c r="E191" i="42"/>
  <c r="E199" i="42"/>
  <c r="D302" i="42"/>
  <c r="D318" i="42"/>
  <c r="B254" i="42"/>
  <c r="B326" i="42"/>
  <c r="B269" i="42"/>
  <c r="D301" i="42"/>
  <c r="D298" i="42"/>
  <c r="E489" i="42"/>
  <c r="H523" i="42"/>
  <c r="P523" i="35" s="1"/>
  <c r="E490" i="42"/>
  <c r="D503" i="42"/>
  <c r="L503" i="35" s="1"/>
  <c r="C519" i="42"/>
  <c r="L519" i="35" s="1"/>
  <c r="C87" i="42"/>
  <c r="D507" i="42"/>
  <c r="D521" i="42"/>
  <c r="L521" i="35" s="1"/>
  <c r="E315" i="42"/>
  <c r="C278" i="42"/>
  <c r="C501" i="42"/>
  <c r="K501" i="35" s="1"/>
  <c r="F519" i="42"/>
  <c r="D502" i="42"/>
  <c r="L502" i="35" s="1"/>
  <c r="G479" i="42"/>
  <c r="E532" i="42"/>
  <c r="D551" i="42"/>
  <c r="D508" i="42"/>
  <c r="F529" i="42"/>
  <c r="D548" i="42"/>
  <c r="G628" i="42"/>
  <c r="C517" i="42"/>
  <c r="D499" i="42"/>
  <c r="M499" i="35" s="1"/>
  <c r="C524" i="42"/>
  <c r="E530" i="42"/>
  <c r="M530" i="35" s="1"/>
  <c r="D505" i="42"/>
  <c r="L505" i="35" s="1"/>
  <c r="E512" i="42"/>
  <c r="M512" i="35" s="1"/>
  <c r="D509" i="42"/>
  <c r="M509" i="35" s="1"/>
  <c r="C488" i="42"/>
  <c r="L488" i="35" s="1"/>
  <c r="E500" i="42"/>
  <c r="M500" i="35" s="1"/>
  <c r="F489" i="42"/>
  <c r="E417" i="42"/>
  <c r="E507" i="42"/>
  <c r="H512" i="42"/>
  <c r="C507" i="42"/>
  <c r="D493" i="42"/>
  <c r="E495" i="42"/>
  <c r="D513" i="42"/>
  <c r="I483" i="42"/>
  <c r="C530" i="42"/>
  <c r="E504" i="42"/>
  <c r="M504" i="35" s="1"/>
  <c r="C490" i="42"/>
  <c r="D504" i="42"/>
  <c r="L504" i="35" s="1"/>
  <c r="H506" i="42"/>
  <c r="D492" i="42"/>
  <c r="D86" i="42"/>
  <c r="E509" i="42"/>
  <c r="D524" i="42"/>
  <c r="C506" i="42"/>
  <c r="D498" i="42"/>
  <c r="D494" i="42"/>
  <c r="C505" i="42"/>
  <c r="G419" i="42"/>
  <c r="C536" i="42"/>
  <c r="C533" i="42"/>
  <c r="C504" i="42"/>
  <c r="D535" i="42"/>
  <c r="D491" i="42"/>
  <c r="C502" i="42"/>
  <c r="D497" i="42"/>
  <c r="C537" i="42"/>
  <c r="D506" i="42"/>
  <c r="L506" i="35" s="1"/>
  <c r="D490" i="42"/>
  <c r="E524" i="42"/>
  <c r="H536" i="42"/>
  <c r="P536" i="35" s="1"/>
  <c r="J536" i="35" s="1" a="1"/>
  <c r="J536" i="35" s="1"/>
  <c r="D536" i="35" s="1"/>
  <c r="C541" i="55" s="1"/>
  <c r="F499" i="42"/>
  <c r="O499" i="35" s="1"/>
  <c r="C420" i="42"/>
  <c r="D530" i="42"/>
  <c r="L530" i="35" s="1"/>
  <c r="H483" i="42"/>
  <c r="H533" i="42"/>
  <c r="P533" i="35" s="1"/>
  <c r="J533" i="35" s="1" a="1"/>
  <c r="J533" i="35" s="1"/>
  <c r="D533" i="35" s="1"/>
  <c r="C538" i="55" s="1"/>
  <c r="C491" i="42"/>
  <c r="E518" i="42"/>
  <c r="G473" i="42"/>
  <c r="E529" i="42"/>
  <c r="N529" i="35" s="1"/>
  <c r="E483" i="42"/>
  <c r="H527" i="42"/>
  <c r="C529" i="42"/>
  <c r="L529" i="35" s="1"/>
  <c r="E510" i="42"/>
  <c r="M510" i="35" s="1"/>
  <c r="D496" i="42"/>
  <c r="H526" i="42"/>
  <c r="P526" i="35" s="1"/>
  <c r="J526" i="35" s="1" a="1"/>
  <c r="J526" i="35" s="1"/>
  <c r="D526" i="35" s="1"/>
  <c r="C531" i="55" s="1"/>
  <c r="D315" i="42"/>
  <c r="C528" i="42"/>
  <c r="B273" i="42"/>
  <c r="B311" i="42"/>
  <c r="B333" i="42"/>
  <c r="D325" i="42"/>
  <c r="B318" i="42"/>
  <c r="B312" i="42"/>
  <c r="B275" i="42"/>
  <c r="C523" i="42"/>
  <c r="K523" i="35" s="1"/>
  <c r="E527" i="42"/>
  <c r="C521" i="42"/>
  <c r="K521" i="35" s="1"/>
  <c r="E538" i="42"/>
  <c r="C503" i="42"/>
  <c r="D550" i="42"/>
  <c r="D520" i="42"/>
  <c r="L520" i="35" s="1"/>
  <c r="E519" i="42"/>
  <c r="N519" i="35" s="1"/>
  <c r="D529" i="42"/>
  <c r="M529" i="35" s="1"/>
  <c r="E498" i="42"/>
  <c r="D500" i="42"/>
  <c r="L500" i="35" s="1"/>
  <c r="E272" i="42"/>
  <c r="E333" i="42"/>
  <c r="E300" i="42"/>
  <c r="C311" i="42"/>
  <c r="B321" i="42"/>
  <c r="D330" i="42"/>
  <c r="C535" i="42"/>
  <c r="C534" i="42"/>
  <c r="D296" i="42"/>
  <c r="B323" i="42"/>
  <c r="B276" i="42"/>
  <c r="E493" i="42"/>
  <c r="C492" i="42"/>
  <c r="H507" i="42"/>
  <c r="C538" i="42"/>
  <c r="C527" i="42"/>
  <c r="D219" i="42"/>
  <c r="B243" i="42"/>
  <c r="B231" i="42"/>
  <c r="E189" i="42"/>
  <c r="D221" i="42"/>
  <c r="E210" i="42"/>
  <c r="B252" i="42"/>
  <c r="B246" i="42"/>
  <c r="C201" i="42"/>
  <c r="C203" i="42"/>
  <c r="D192" i="42"/>
  <c r="D207" i="42"/>
  <c r="D186" i="42"/>
  <c r="D211" i="42"/>
  <c r="B224" i="42"/>
  <c r="B242" i="42"/>
  <c r="B222" i="42"/>
  <c r="E211" i="42"/>
  <c r="B247" i="42"/>
  <c r="D245" i="42"/>
  <c r="E206" i="42"/>
  <c r="B175" i="42"/>
  <c r="E207" i="42"/>
  <c r="C202" i="42"/>
  <c r="D253" i="42"/>
  <c r="E179" i="42"/>
  <c r="D183" i="42"/>
  <c r="B251" i="42"/>
  <c r="D179" i="42"/>
  <c r="E197" i="42"/>
  <c r="B219" i="42"/>
  <c r="E177" i="42"/>
  <c r="B182" i="42"/>
  <c r="B203" i="42"/>
  <c r="D190" i="42"/>
  <c r="B237" i="42"/>
  <c r="B249" i="42"/>
  <c r="C195" i="42"/>
  <c r="B225" i="42"/>
  <c r="B183" i="42"/>
  <c r="C206" i="42"/>
  <c r="B193" i="42"/>
  <c r="B229" i="42"/>
  <c r="E188" i="42"/>
  <c r="B207" i="42"/>
  <c r="B218" i="42"/>
  <c r="D242" i="42"/>
  <c r="E209" i="42"/>
  <c r="D227" i="42"/>
  <c r="D229" i="42"/>
  <c r="E187" i="42"/>
  <c r="B197" i="42"/>
  <c r="D191" i="42"/>
  <c r="D215" i="42"/>
  <c r="C181" i="42"/>
  <c r="D194" i="42"/>
  <c r="B228" i="42"/>
  <c r="C180" i="42"/>
  <c r="D204" i="42"/>
  <c r="E176" i="42"/>
  <c r="B190" i="42"/>
  <c r="D202" i="42"/>
  <c r="E185" i="42"/>
  <c r="D237" i="42"/>
  <c r="B187" i="42"/>
  <c r="D174" i="42"/>
  <c r="D216" i="42"/>
  <c r="D241" i="42"/>
  <c r="B211" i="42"/>
  <c r="C183" i="42"/>
  <c r="E175" i="42"/>
  <c r="B235" i="42"/>
  <c r="B220" i="42"/>
  <c r="D223" i="42"/>
  <c r="D243" i="42"/>
  <c r="D235" i="42"/>
  <c r="B253" i="42"/>
  <c r="B232" i="42"/>
  <c r="C197" i="42"/>
  <c r="B199" i="42"/>
  <c r="D196" i="42"/>
  <c r="B176" i="42"/>
  <c r="D181" i="42"/>
  <c r="D233" i="42"/>
  <c r="C176" i="42"/>
  <c r="D177" i="42"/>
  <c r="B201" i="42"/>
  <c r="D239" i="42"/>
  <c r="E193" i="42"/>
  <c r="C177" i="42"/>
  <c r="E186" i="42"/>
  <c r="E184" i="42"/>
  <c r="C199" i="42"/>
  <c r="C179" i="42"/>
  <c r="B194" i="42"/>
  <c r="C209" i="42"/>
  <c r="D518" i="42"/>
  <c r="D343" i="42"/>
  <c r="B348" i="42"/>
  <c r="D370" i="42"/>
  <c r="B370" i="42"/>
  <c r="B352" i="42"/>
  <c r="D362" i="42"/>
  <c r="B369" i="42"/>
  <c r="B356" i="42"/>
  <c r="E1086" i="42"/>
  <c r="C187" i="42"/>
  <c r="B238" i="42"/>
  <c r="D222" i="42"/>
  <c r="C210" i="42"/>
  <c r="B204" i="42"/>
  <c r="C211" i="42"/>
  <c r="D209" i="42"/>
  <c r="B191" i="42"/>
  <c r="D249" i="42"/>
  <c r="E200" i="42"/>
  <c r="C200" i="42"/>
  <c r="E196" i="42"/>
  <c r="C174" i="42"/>
  <c r="B239" i="42"/>
  <c r="D224" i="42"/>
  <c r="B214" i="42"/>
  <c r="D238" i="42"/>
  <c r="D182" i="42"/>
  <c r="B322" i="42"/>
  <c r="B306" i="42"/>
  <c r="D299" i="42"/>
  <c r="D312" i="42"/>
  <c r="B299" i="42"/>
  <c r="B294" i="42"/>
  <c r="D309" i="42"/>
  <c r="D489" i="42"/>
  <c r="E523" i="42"/>
  <c r="C525" i="42"/>
  <c r="D554" i="42"/>
  <c r="E515" i="42"/>
  <c r="C515" i="42"/>
  <c r="C526" i="42"/>
  <c r="E478" i="42"/>
  <c r="H537" i="42"/>
  <c r="E319" i="42"/>
  <c r="C258" i="42"/>
  <c r="D1042" i="42"/>
  <c r="D1043" i="42"/>
  <c r="B308" i="42"/>
  <c r="B295" i="42"/>
  <c r="E528" i="42"/>
  <c r="H532" i="42"/>
  <c r="P532" i="35" s="1"/>
  <c r="J532" i="35" s="1" a="1"/>
  <c r="J532" i="35" s="1"/>
  <c r="D532" i="35" s="1"/>
  <c r="C537" i="55" s="1"/>
  <c r="B267" i="42"/>
  <c r="D310" i="42"/>
  <c r="D306" i="42"/>
  <c r="B263" i="42"/>
  <c r="D495" i="42"/>
  <c r="C518" i="42"/>
  <c r="C494" i="42"/>
  <c r="C498" i="42"/>
  <c r="E505" i="42"/>
  <c r="M505" i="35" s="1"/>
  <c r="C1042" i="42"/>
  <c r="B360" i="42"/>
  <c r="B345" i="42"/>
  <c r="B347" i="42"/>
  <c r="D369" i="42"/>
  <c r="D371" i="42"/>
  <c r="D356" i="42"/>
  <c r="B362" i="42"/>
  <c r="D354" i="42"/>
  <c r="D363" i="42"/>
  <c r="D352" i="42"/>
  <c r="B342" i="42"/>
  <c r="D1086" i="42"/>
  <c r="D208" i="42"/>
  <c r="D193" i="42"/>
  <c r="B177" i="42"/>
  <c r="D201" i="42"/>
  <c r="E183" i="42"/>
  <c r="D210" i="42"/>
  <c r="D184" i="42"/>
  <c r="D240" i="42"/>
  <c r="D246" i="42"/>
  <c r="D244" i="42"/>
  <c r="E198" i="42"/>
  <c r="E212" i="42"/>
  <c r="D197" i="42"/>
  <c r="C198" i="42"/>
  <c r="E194" i="42"/>
  <c r="D220" i="42"/>
  <c r="D213" i="42"/>
  <c r="B289" i="42"/>
  <c r="B302" i="42"/>
  <c r="B283" i="42"/>
  <c r="D326" i="42"/>
  <c r="B257" i="42"/>
  <c r="B332" i="42"/>
  <c r="D516" i="42"/>
  <c r="D543" i="42"/>
  <c r="F873" i="42"/>
  <c r="E502" i="42"/>
  <c r="M502" i="35" s="1"/>
  <c r="D1076" i="42"/>
  <c r="E501" i="42"/>
  <c r="M501" i="35" s="1"/>
  <c r="E535" i="42"/>
  <c r="D514" i="42"/>
  <c r="C322" i="42"/>
  <c r="D32" i="42"/>
  <c r="D123" i="42"/>
  <c r="H493" i="42"/>
  <c r="H628" i="42"/>
  <c r="H572" i="42"/>
  <c r="H496" i="42"/>
  <c r="H684" i="42"/>
  <c r="H497" i="42"/>
  <c r="F481" i="42"/>
  <c r="D33" i="42"/>
  <c r="E285" i="42"/>
  <c r="C325" i="42"/>
  <c r="C292" i="42"/>
  <c r="C289" i="42"/>
  <c r="E325" i="42"/>
  <c r="E268" i="42"/>
  <c r="E293" i="42"/>
  <c r="C295" i="42"/>
  <c r="C306" i="42"/>
  <c r="E320" i="42"/>
  <c r="E258" i="42"/>
  <c r="C328" i="42"/>
  <c r="E255" i="42"/>
  <c r="E267" i="42"/>
  <c r="C300" i="42"/>
  <c r="E332" i="42"/>
  <c r="C299" i="42"/>
  <c r="C324" i="42"/>
  <c r="C287" i="42"/>
  <c r="C330" i="42"/>
  <c r="C286" i="42"/>
  <c r="E331" i="42"/>
  <c r="C318" i="42"/>
  <c r="E277" i="42"/>
  <c r="E310" i="42"/>
  <c r="E314" i="42"/>
  <c r="C265" i="42"/>
  <c r="E295" i="42"/>
  <c r="E302" i="42"/>
  <c r="E317" i="42"/>
  <c r="E274" i="42"/>
  <c r="C331" i="42"/>
  <c r="C279" i="42"/>
  <c r="C320" i="42"/>
  <c r="E328" i="42"/>
  <c r="C333" i="42"/>
  <c r="E257" i="42"/>
  <c r="E304" i="42"/>
  <c r="E322" i="42"/>
  <c r="C271" i="42"/>
  <c r="E271" i="42"/>
  <c r="E306" i="42"/>
  <c r="C280" i="42"/>
  <c r="C327" i="42"/>
  <c r="E311" i="42"/>
  <c r="C323" i="42"/>
  <c r="E266" i="42"/>
  <c r="E259" i="42"/>
  <c r="E261" i="42"/>
  <c r="E260" i="42"/>
  <c r="C281" i="42"/>
  <c r="C293" i="42"/>
  <c r="C314" i="42"/>
  <c r="C307" i="42"/>
  <c r="E326" i="42"/>
  <c r="C332" i="42"/>
  <c r="C305" i="42"/>
  <c r="E297" i="42"/>
  <c r="C319" i="42"/>
  <c r="C254" i="42"/>
  <c r="C316" i="42"/>
  <c r="C309" i="42"/>
  <c r="C291" i="42"/>
  <c r="C298" i="42"/>
  <c r="E324" i="42"/>
  <c r="E269" i="42"/>
  <c r="C303" i="42"/>
  <c r="E287" i="42"/>
  <c r="C285" i="42"/>
  <c r="D120" i="42"/>
  <c r="C261" i="42"/>
  <c r="C263" i="42"/>
  <c r="C297" i="42"/>
  <c r="E327" i="42"/>
  <c r="C313" i="42"/>
  <c r="C284" i="42"/>
  <c r="C260" i="42"/>
  <c r="E278" i="42"/>
  <c r="C282" i="42"/>
  <c r="E321" i="42"/>
  <c r="C275" i="42"/>
  <c r="C296" i="42"/>
  <c r="E294" i="42"/>
  <c r="C259" i="42"/>
  <c r="C283" i="42"/>
  <c r="C321" i="42"/>
  <c r="C308" i="42"/>
  <c r="E290" i="42"/>
  <c r="C257" i="42"/>
  <c r="C266" i="42"/>
  <c r="E254" i="42"/>
  <c r="C315" i="42"/>
  <c r="E256" i="42"/>
  <c r="C269" i="42"/>
  <c r="C272" i="42"/>
  <c r="E291" i="42"/>
  <c r="E280" i="42"/>
  <c r="E292" i="42"/>
  <c r="E283" i="42"/>
  <c r="E264" i="42"/>
  <c r="E298" i="42"/>
  <c r="E296" i="42"/>
  <c r="E312" i="42"/>
  <c r="E273" i="42"/>
  <c r="E263" i="42"/>
  <c r="C274" i="42"/>
  <c r="C288" i="42"/>
  <c r="B125" i="42"/>
  <c r="C125" i="42"/>
  <c r="C478" i="42"/>
  <c r="H476" i="42"/>
  <c r="C483" i="42"/>
  <c r="H475" i="42"/>
  <c r="D873" i="42"/>
  <c r="C473" i="42"/>
  <c r="C480" i="42"/>
  <c r="C479" i="42"/>
  <c r="C419" i="42"/>
  <c r="H474" i="42"/>
  <c r="G495" i="42"/>
  <c r="G493" i="42"/>
  <c r="G492" i="42"/>
  <c r="G497" i="42"/>
  <c r="G494" i="42"/>
  <c r="G498" i="42"/>
  <c r="G496" i="42"/>
  <c r="E1037" i="42"/>
  <c r="E1035" i="42"/>
  <c r="D1036" i="42"/>
  <c r="E1038" i="42"/>
  <c r="D1035" i="42"/>
  <c r="D1037" i="42"/>
  <c r="E1036" i="42"/>
  <c r="D1038" i="42"/>
  <c r="D109" i="42"/>
  <c r="C109" i="42"/>
  <c r="C860" i="42"/>
  <c r="C792" i="42"/>
  <c r="C843" i="42"/>
  <c r="B793" i="42"/>
  <c r="D792" i="42"/>
  <c r="D809" i="42"/>
  <c r="B839" i="42"/>
  <c r="B843" i="42"/>
  <c r="B838" i="42"/>
  <c r="C796" i="42"/>
  <c r="D826" i="42"/>
  <c r="C847" i="42"/>
  <c r="C838" i="42"/>
  <c r="C864" i="42"/>
  <c r="B804" i="42"/>
  <c r="B861" i="42"/>
  <c r="C861" i="42"/>
  <c r="B787" i="42"/>
  <c r="C830" i="42"/>
  <c r="D838" i="42"/>
  <c r="C787" i="42"/>
  <c r="B788" i="42"/>
  <c r="C827" i="42"/>
  <c r="D844" i="42"/>
  <c r="C804" i="42"/>
  <c r="D827" i="42"/>
  <c r="C809" i="42"/>
  <c r="D860" i="42"/>
  <c r="D804" i="42"/>
  <c r="B822" i="42"/>
  <c r="C856" i="42"/>
  <c r="B805" i="42"/>
  <c r="B792" i="42"/>
  <c r="B856" i="42"/>
  <c r="D855" i="42"/>
  <c r="B827" i="42"/>
  <c r="B860" i="42"/>
  <c r="B826" i="42"/>
  <c r="C805" i="42"/>
  <c r="C822" i="42"/>
  <c r="B809" i="42"/>
  <c r="C813" i="42"/>
  <c r="C839" i="42"/>
  <c r="B855" i="42"/>
  <c r="D861" i="42"/>
  <c r="B844" i="42"/>
  <c r="C855" i="42"/>
  <c r="C821" i="42"/>
  <c r="D843" i="42"/>
  <c r="C810" i="42"/>
  <c r="D810" i="42"/>
  <c r="C844" i="42"/>
  <c r="D821" i="42"/>
  <c r="B810" i="42"/>
  <c r="C826" i="42"/>
  <c r="C793" i="42"/>
  <c r="D787" i="42"/>
  <c r="C788" i="42"/>
  <c r="B821" i="42"/>
  <c r="D793" i="42"/>
  <c r="F494" i="42"/>
  <c r="F497" i="42"/>
  <c r="F491" i="42"/>
  <c r="F495" i="42"/>
  <c r="F493" i="42"/>
  <c r="F496" i="42"/>
  <c r="F492" i="42"/>
  <c r="F498" i="42"/>
  <c r="E1072" i="42"/>
  <c r="E1073" i="42"/>
  <c r="D1074" i="42"/>
  <c r="D1073" i="42"/>
  <c r="D1072" i="42"/>
  <c r="E1074" i="42"/>
  <c r="C759" i="42"/>
  <c r="D707" i="42"/>
  <c r="C753" i="42"/>
  <c r="B719" i="42"/>
  <c r="B753" i="42"/>
  <c r="D770" i="42"/>
  <c r="B776" i="42"/>
  <c r="B754" i="42"/>
  <c r="B741" i="42"/>
  <c r="B708" i="42"/>
  <c r="C736" i="42"/>
  <c r="D741" i="42"/>
  <c r="C725" i="42"/>
  <c r="D725" i="42"/>
  <c r="C779" i="42"/>
  <c r="D702" i="42"/>
  <c r="D737" i="42"/>
  <c r="B725" i="42"/>
  <c r="B758" i="42"/>
  <c r="C720" i="42"/>
  <c r="B724" i="42"/>
  <c r="D708" i="42"/>
  <c r="C742" i="42"/>
  <c r="C702" i="42"/>
  <c r="C745" i="42"/>
  <c r="D771" i="42"/>
  <c r="D775" i="42"/>
  <c r="C728" i="42"/>
  <c r="D736" i="42"/>
  <c r="C754" i="42"/>
  <c r="B702" i="42"/>
  <c r="B736" i="42"/>
  <c r="B703" i="42"/>
  <c r="D753" i="42"/>
  <c r="C741" i="42"/>
  <c r="C724" i="42"/>
  <c r="B770" i="42"/>
  <c r="C711" i="42"/>
  <c r="D724" i="42"/>
  <c r="C770" i="42"/>
  <c r="B771" i="42"/>
  <c r="C703" i="42"/>
  <c r="C737" i="42"/>
  <c r="D754" i="42"/>
  <c r="D759" i="42"/>
  <c r="C708" i="42"/>
  <c r="B737" i="42"/>
  <c r="B759" i="42"/>
  <c r="D788" i="42"/>
  <c r="C719" i="42"/>
  <c r="B720" i="42"/>
  <c r="C776" i="42"/>
  <c r="C775" i="42"/>
  <c r="C771" i="42"/>
  <c r="B707" i="42"/>
  <c r="D776" i="42"/>
  <c r="D719" i="42"/>
  <c r="B742" i="42"/>
  <c r="D742" i="42"/>
  <c r="D758" i="42"/>
  <c r="C758" i="42"/>
  <c r="D720" i="42"/>
  <c r="B775" i="42"/>
  <c r="C707" i="42"/>
  <c r="D703" i="42"/>
  <c r="C762" i="42"/>
  <c r="C133" i="42"/>
  <c r="D133" i="42"/>
  <c r="D1059" i="42"/>
  <c r="E1059" i="42"/>
  <c r="D1061" i="42"/>
  <c r="D1058" i="42"/>
  <c r="C1058" i="42"/>
  <c r="D1062" i="42"/>
  <c r="C1059" i="42"/>
  <c r="E1061" i="42"/>
  <c r="C1060" i="42"/>
  <c r="E1062" i="42"/>
  <c r="D1060" i="42"/>
  <c r="C82" i="42"/>
  <c r="B86" i="42"/>
  <c r="B75" i="42"/>
  <c r="C77" i="42"/>
  <c r="B90" i="42"/>
  <c r="C84" i="42"/>
  <c r="B84" i="42"/>
  <c r="B94" i="42"/>
  <c r="B99" i="42"/>
  <c r="C85" i="42"/>
  <c r="B87" i="42"/>
  <c r="B102" i="42"/>
  <c r="D82" i="42"/>
  <c r="D482" i="42"/>
  <c r="B76" i="42"/>
  <c r="B93" i="42"/>
  <c r="B103" i="42"/>
  <c r="B85" i="42"/>
  <c r="C81" i="42"/>
  <c r="B80" i="42"/>
  <c r="B96" i="42"/>
  <c r="B97" i="42"/>
  <c r="B88" i="42"/>
  <c r="B83" i="42"/>
  <c r="B95" i="42"/>
  <c r="B82" i="42"/>
  <c r="B78" i="42"/>
  <c r="B89" i="42"/>
  <c r="D481" i="42"/>
  <c r="C79" i="42"/>
  <c r="B98" i="42"/>
  <c r="C83" i="42"/>
  <c r="B91" i="42"/>
  <c r="B81" i="42"/>
  <c r="C80" i="42"/>
  <c r="C78" i="42"/>
  <c r="D78" i="42"/>
  <c r="C76" i="42"/>
  <c r="C75" i="42"/>
  <c r="B77" i="42"/>
  <c r="B92" i="42"/>
  <c r="B101" i="42"/>
  <c r="B100" i="42"/>
  <c r="B79" i="42"/>
  <c r="G457" i="42"/>
  <c r="P457" i="35" s="1"/>
  <c r="E797" i="42"/>
  <c r="C812" i="42"/>
  <c r="E858" i="42"/>
  <c r="E388" i="42"/>
  <c r="D409" i="42"/>
  <c r="G432" i="42"/>
  <c r="C468" i="42"/>
  <c r="D833" i="42"/>
  <c r="C814" i="42"/>
  <c r="E869" i="42"/>
  <c r="E395" i="42"/>
  <c r="G474" i="42"/>
  <c r="E790" i="42"/>
  <c r="C794" i="42"/>
  <c r="C802" i="42"/>
  <c r="D403" i="42"/>
  <c r="C817" i="42"/>
  <c r="E816" i="42"/>
  <c r="D386" i="42"/>
  <c r="E377" i="42"/>
  <c r="E423" i="42"/>
  <c r="N423" i="35" s="1"/>
  <c r="C442" i="42"/>
  <c r="L442" i="35" s="1"/>
  <c r="C829" i="42"/>
  <c r="F863" i="42"/>
  <c r="E819" i="42"/>
  <c r="D845" i="42"/>
  <c r="D414" i="42"/>
  <c r="C408" i="42"/>
  <c r="E463" i="42"/>
  <c r="D439" i="42"/>
  <c r="C852" i="42"/>
  <c r="E828" i="42"/>
  <c r="E835" i="42"/>
  <c r="E806" i="42"/>
  <c r="E379" i="42"/>
  <c r="C871" i="42"/>
  <c r="C848" i="42"/>
  <c r="C461" i="42"/>
  <c r="G437" i="42"/>
  <c r="P437" i="35" s="1"/>
  <c r="I474" i="42"/>
  <c r="G472" i="42"/>
  <c r="E800" i="42"/>
  <c r="D419" i="42"/>
  <c r="C426" i="42"/>
  <c r="L426" i="35" s="1"/>
  <c r="E516" i="42"/>
  <c r="D432" i="42"/>
  <c r="M432" i="35" s="1"/>
  <c r="C413" i="42"/>
  <c r="E814" i="42"/>
  <c r="E791" i="42"/>
  <c r="G440" i="42"/>
  <c r="P440" i="35" s="1"/>
  <c r="C465" i="42"/>
  <c r="D525" i="42"/>
  <c r="H503" i="42"/>
  <c r="D862" i="42"/>
  <c r="C429" i="42"/>
  <c r="L429" i="35" s="1"/>
  <c r="E406" i="42"/>
  <c r="D435" i="42"/>
  <c r="M435" i="35" s="1"/>
  <c r="C500" i="42"/>
  <c r="C424" i="42"/>
  <c r="L424" i="35" s="1"/>
  <c r="D794" i="42"/>
  <c r="D818" i="42"/>
  <c r="C385" i="42"/>
  <c r="D424" i="42"/>
  <c r="M424" i="35" s="1"/>
  <c r="D799" i="42"/>
  <c r="C859" i="42"/>
  <c r="D859" i="42"/>
  <c r="D384" i="42"/>
  <c r="B479" i="42"/>
  <c r="D462" i="42"/>
  <c r="M462" i="35" s="1"/>
  <c r="C471" i="42"/>
  <c r="C88" i="42"/>
  <c r="D823" i="42"/>
  <c r="E833" i="42"/>
  <c r="E375" i="42"/>
  <c r="D391" i="42"/>
  <c r="E808" i="42"/>
  <c r="F842" i="42"/>
  <c r="D851" i="42"/>
  <c r="C406" i="42"/>
  <c r="E798" i="42"/>
  <c r="C800" i="42"/>
  <c r="D387" i="42"/>
  <c r="C381" i="42"/>
  <c r="D440" i="42"/>
  <c r="M440" i="35" s="1"/>
  <c r="E433" i="42"/>
  <c r="N433" i="35" s="1"/>
  <c r="E817" i="42"/>
  <c r="D863" i="42"/>
  <c r="D790" i="42"/>
  <c r="C386" i="42"/>
  <c r="B480" i="42"/>
  <c r="D441" i="42"/>
  <c r="M441" i="35" s="1"/>
  <c r="D438" i="42"/>
  <c r="C824" i="42"/>
  <c r="F819" i="42"/>
  <c r="E832" i="42"/>
  <c r="C377" i="42"/>
  <c r="C823" i="42"/>
  <c r="D378" i="42"/>
  <c r="C436" i="42"/>
  <c r="D511" i="42"/>
  <c r="L511" i="35" s="1"/>
  <c r="E443" i="42"/>
  <c r="N443" i="35" s="1"/>
  <c r="G466" i="42"/>
  <c r="D870" i="42"/>
  <c r="D390" i="42"/>
  <c r="D463" i="42"/>
  <c r="M463" i="35" s="1"/>
  <c r="D448" i="42"/>
  <c r="M448" i="35" s="1"/>
  <c r="C455" i="42"/>
  <c r="L455" i="35" s="1"/>
  <c r="E873" i="42"/>
  <c r="C376" i="42"/>
  <c r="E862" i="42"/>
  <c r="D457" i="42"/>
  <c r="D434" i="42"/>
  <c r="M434" i="35" s="1"/>
  <c r="G442" i="42"/>
  <c r="C808" i="42"/>
  <c r="F807" i="42"/>
  <c r="D825" i="42"/>
  <c r="E378" i="42"/>
  <c r="C454" i="42"/>
  <c r="L454" i="35" s="1"/>
  <c r="E499" i="42"/>
  <c r="N499" i="35" s="1"/>
  <c r="C449" i="42"/>
  <c r="D798" i="42"/>
  <c r="E845" i="42"/>
  <c r="E854" i="42"/>
  <c r="D396" i="42"/>
  <c r="E413" i="42"/>
  <c r="D842" i="42"/>
  <c r="D808" i="42"/>
  <c r="C867" i="42"/>
  <c r="E415" i="42"/>
  <c r="B478" i="42"/>
  <c r="D468" i="42"/>
  <c r="M468" i="35" s="1"/>
  <c r="C456" i="42"/>
  <c r="F825" i="42"/>
  <c r="E803" i="42"/>
  <c r="E837" i="42"/>
  <c r="D817" i="42"/>
  <c r="C411" i="42"/>
  <c r="E405" i="42"/>
  <c r="D824" i="42"/>
  <c r="D853" i="42"/>
  <c r="F853" i="42"/>
  <c r="E409" i="42"/>
  <c r="D819" i="42"/>
  <c r="E825" i="42"/>
  <c r="E812" i="42"/>
  <c r="C402" i="42"/>
  <c r="C380" i="42"/>
  <c r="C467" i="42"/>
  <c r="C447" i="42"/>
  <c r="C862" i="42"/>
  <c r="E865" i="42"/>
  <c r="C819" i="42"/>
  <c r="E385" i="42"/>
  <c r="G656" i="42"/>
  <c r="D428" i="42"/>
  <c r="M428" i="35" s="1"/>
  <c r="C460" i="42"/>
  <c r="L460" i="35" s="1"/>
  <c r="C866" i="42"/>
  <c r="C797" i="42"/>
  <c r="C868" i="42"/>
  <c r="C400" i="42"/>
  <c r="C395" i="42"/>
  <c r="C801" i="42"/>
  <c r="D393" i="42"/>
  <c r="G431" i="42"/>
  <c r="P431" i="35" s="1"/>
  <c r="E497" i="42"/>
  <c r="G451" i="42"/>
  <c r="C470" i="42"/>
  <c r="F808" i="42"/>
  <c r="G475" i="42"/>
  <c r="C472" i="42"/>
  <c r="G441" i="42"/>
  <c r="P441" i="35" s="1"/>
  <c r="C396" i="42"/>
  <c r="E376" i="42"/>
  <c r="E853" i="42"/>
  <c r="C469" i="42"/>
  <c r="D522" i="42"/>
  <c r="L522" i="35" s="1"/>
  <c r="C459" i="42"/>
  <c r="D848" i="42"/>
  <c r="C828" i="42"/>
  <c r="C803" i="42"/>
  <c r="D377" i="42"/>
  <c r="D455" i="42"/>
  <c r="M455" i="35" s="1"/>
  <c r="E491" i="42"/>
  <c r="D811" i="42"/>
  <c r="E850" i="42"/>
  <c r="C870" i="42"/>
  <c r="D526" i="42"/>
  <c r="E848" i="42"/>
  <c r="C836" i="42"/>
  <c r="D806" i="42"/>
  <c r="G471" i="42"/>
  <c r="D451" i="42"/>
  <c r="M451" i="35" s="1"/>
  <c r="D865" i="42"/>
  <c r="E836" i="42"/>
  <c r="D411" i="42"/>
  <c r="D797" i="42"/>
  <c r="E849" i="42"/>
  <c r="D836" i="42"/>
  <c r="E829" i="42"/>
  <c r="E871" i="42"/>
  <c r="E389" i="42"/>
  <c r="G436" i="42"/>
  <c r="P436" i="35" s="1"/>
  <c r="D449" i="42"/>
  <c r="M449" i="35" s="1"/>
  <c r="E866" i="42"/>
  <c r="E863" i="42"/>
  <c r="D389" i="42"/>
  <c r="C452" i="42"/>
  <c r="D523" i="42"/>
  <c r="D831" i="42"/>
  <c r="D858" i="42"/>
  <c r="E396" i="42"/>
  <c r="E383" i="42"/>
  <c r="D443" i="42"/>
  <c r="M443" i="35" s="1"/>
  <c r="G460" i="42"/>
  <c r="P460" i="35" s="1"/>
  <c r="D433" i="42"/>
  <c r="M433" i="35" s="1"/>
  <c r="C440" i="42"/>
  <c r="C430" i="42"/>
  <c r="E789" i="42"/>
  <c r="D830" i="42"/>
  <c r="D374" i="42"/>
  <c r="E536" i="42"/>
  <c r="D407" i="42"/>
  <c r="C384" i="42"/>
  <c r="C450" i="42"/>
  <c r="C514" i="42"/>
  <c r="C423" i="42"/>
  <c r="L423" i="35" s="1"/>
  <c r="D510" i="42"/>
  <c r="L510" i="35" s="1"/>
  <c r="D470" i="42"/>
  <c r="M470" i="35" s="1"/>
  <c r="B731" i="42"/>
  <c r="B866" i="42"/>
  <c r="B394" i="42"/>
  <c r="C101" i="42"/>
  <c r="D749" i="42"/>
  <c r="E760" i="42"/>
  <c r="E778" i="42"/>
  <c r="D780" i="42"/>
  <c r="B471" i="42"/>
  <c r="K471" i="35" s="1"/>
  <c r="B385" i="42"/>
  <c r="B375" i="42"/>
  <c r="B504" i="42"/>
  <c r="B408" i="42"/>
  <c r="C1029" i="42"/>
  <c r="B397" i="42"/>
  <c r="F734" i="42"/>
  <c r="B757" i="42"/>
  <c r="C740" i="42"/>
  <c r="B545" i="42"/>
  <c r="E739" i="42"/>
  <c r="B481" i="42"/>
  <c r="B1073" i="42"/>
  <c r="B845" i="42"/>
  <c r="B503" i="42"/>
  <c r="B840" i="42"/>
  <c r="E774" i="42"/>
  <c r="D710" i="42"/>
  <c r="E777" i="42"/>
  <c r="E583" i="42"/>
  <c r="B425" i="42"/>
  <c r="K425" i="35" s="1"/>
  <c r="C923" i="42"/>
  <c r="L923" i="35" s="1"/>
  <c r="B406" i="42"/>
  <c r="C780" i="42"/>
  <c r="B796" i="42"/>
  <c r="B750" i="42"/>
  <c r="B548" i="42"/>
  <c r="B472" i="42"/>
  <c r="K472" i="35" s="1"/>
  <c r="B499" i="42"/>
  <c r="K499" i="35" s="1"/>
  <c r="B497" i="42"/>
  <c r="B490" i="42"/>
  <c r="B1070" i="42"/>
  <c r="D777" i="42"/>
  <c r="B422" i="42"/>
  <c r="F773" i="42"/>
  <c r="C108" i="42"/>
  <c r="C721" i="42"/>
  <c r="B534" i="42"/>
  <c r="B535" i="42"/>
  <c r="B684" i="42"/>
  <c r="B849" i="42"/>
  <c r="E636" i="42"/>
  <c r="B711" i="42"/>
  <c r="D739" i="42"/>
  <c r="B825" i="42"/>
  <c r="B729" i="42"/>
  <c r="B538" i="42"/>
  <c r="E766" i="42"/>
  <c r="B643" i="42"/>
  <c r="C752" i="42"/>
  <c r="D712" i="42"/>
  <c r="D774" i="42"/>
  <c r="E704" i="42"/>
  <c r="B864" i="42"/>
  <c r="B717" i="42"/>
  <c r="B705" i="42"/>
  <c r="B523" i="42"/>
  <c r="D745" i="42"/>
  <c r="B659" i="42"/>
  <c r="B672" i="42"/>
  <c r="B1059" i="42"/>
  <c r="E710" i="42"/>
  <c r="B763" i="42"/>
  <c r="F672" i="42"/>
  <c r="B515" i="42"/>
  <c r="B495" i="42"/>
  <c r="B638" i="42"/>
  <c r="E729" i="42"/>
  <c r="B768" i="42"/>
  <c r="B823" i="42"/>
  <c r="C751" i="42"/>
  <c r="B393" i="42"/>
  <c r="E667" i="42"/>
  <c r="B527" i="42"/>
  <c r="B488" i="42"/>
  <c r="K488" i="35" s="1"/>
  <c r="C783" i="42"/>
  <c r="B1072" i="42"/>
  <c r="E734" i="42"/>
  <c r="D714" i="42"/>
  <c r="B378" i="42"/>
  <c r="F757" i="42"/>
  <c r="E709" i="42"/>
  <c r="C96" i="42"/>
  <c r="B581" i="42"/>
  <c r="B600" i="42"/>
  <c r="B794" i="42"/>
  <c r="C746" i="42"/>
  <c r="B1040" i="42"/>
  <c r="B615" i="42"/>
  <c r="C786" i="42"/>
  <c r="D394" i="42"/>
  <c r="G600" i="42"/>
  <c r="G488" i="42"/>
  <c r="P488" i="35" s="1"/>
  <c r="E412" i="42"/>
  <c r="F482" i="42"/>
  <c r="D381" i="42"/>
  <c r="D547" i="42"/>
  <c r="G684" i="42"/>
  <c r="E419" i="42"/>
  <c r="C832" i="42"/>
  <c r="C853" i="42"/>
  <c r="C393" i="42"/>
  <c r="G470" i="42"/>
  <c r="C466" i="42"/>
  <c r="D812" i="42"/>
  <c r="F858" i="42"/>
  <c r="G476" i="42"/>
  <c r="E824" i="42"/>
  <c r="C845" i="42"/>
  <c r="C798" i="42"/>
  <c r="D800" i="42"/>
  <c r="D847" i="42"/>
  <c r="C389" i="42"/>
  <c r="D444" i="42"/>
  <c r="M444" i="35" s="1"/>
  <c r="D418" i="42"/>
  <c r="E795" i="42"/>
  <c r="D868" i="42"/>
  <c r="C378" i="42"/>
  <c r="G467" i="42"/>
  <c r="E522" i="42"/>
  <c r="M522" i="35" s="1"/>
  <c r="E823" i="42"/>
  <c r="C391" i="42"/>
  <c r="C401" i="42"/>
  <c r="C398" i="42"/>
  <c r="C438" i="42"/>
  <c r="G456" i="42"/>
  <c r="P456" i="35" s="1"/>
  <c r="C851" i="42"/>
  <c r="D458" i="42"/>
  <c r="C437" i="42"/>
  <c r="D857" i="42"/>
  <c r="D850" i="42"/>
  <c r="D471" i="42"/>
  <c r="M471" i="35" s="1"/>
  <c r="D542" i="42"/>
  <c r="D459" i="42"/>
  <c r="E381" i="42"/>
  <c r="C462" i="42"/>
  <c r="L462" i="35" s="1"/>
  <c r="D501" i="42"/>
  <c r="L501" i="35" s="1"/>
  <c r="H513" i="42"/>
  <c r="P513" i="35" s="1"/>
  <c r="J513" i="35" s="1" a="1"/>
  <c r="J513" i="35" s="1"/>
  <c r="D513" i="35" s="1"/>
  <c r="C518" i="55" s="1"/>
  <c r="G461" i="42"/>
  <c r="P461" i="35" s="1"/>
  <c r="B405" i="42"/>
  <c r="C589" i="42"/>
  <c r="B461" i="42"/>
  <c r="K461" i="35" s="1"/>
  <c r="C102" i="42"/>
  <c r="E715" i="42"/>
  <c r="B748" i="42"/>
  <c r="E668" i="42"/>
  <c r="B795" i="42"/>
  <c r="F588" i="42"/>
  <c r="C748" i="42"/>
  <c r="B698" i="42"/>
  <c r="C766" i="42"/>
  <c r="D903" i="42"/>
  <c r="M903" i="35" s="1"/>
  <c r="B774" i="42"/>
  <c r="D709" i="42"/>
  <c r="D704" i="42"/>
  <c r="B1087" i="42"/>
  <c r="C749" i="42"/>
  <c r="B633" i="42"/>
  <c r="D728" i="42"/>
  <c r="B852" i="42"/>
  <c r="B1058" i="42"/>
  <c r="F774" i="42"/>
  <c r="C1065" i="42"/>
  <c r="D721" i="42"/>
  <c r="D711" i="42"/>
  <c r="B660" i="42"/>
  <c r="B470" i="42"/>
  <c r="K470" i="35" s="1"/>
  <c r="E726" i="42"/>
  <c r="B637" i="42"/>
  <c r="B1076" i="42"/>
  <c r="E716" i="42"/>
  <c r="B745" i="42"/>
  <c r="D726" i="42"/>
  <c r="F705" i="42"/>
  <c r="E782" i="42"/>
  <c r="B469" i="42"/>
  <c r="K469" i="35" s="1"/>
  <c r="C1057" i="42"/>
  <c r="B721" i="42"/>
  <c r="E86" i="42"/>
  <c r="B778" i="42"/>
  <c r="B631" i="42"/>
  <c r="B769" i="42"/>
  <c r="D761" i="42"/>
  <c r="B832" i="42"/>
  <c r="B388" i="42"/>
  <c r="B586" i="42"/>
  <c r="B865" i="42"/>
  <c r="B1081" i="42"/>
  <c r="B871" i="42"/>
  <c r="B696" i="42"/>
  <c r="B1060" i="42"/>
  <c r="B693" i="42"/>
  <c r="C726" i="42"/>
  <c r="B511" i="42"/>
  <c r="B533" i="42"/>
  <c r="B831" i="42"/>
  <c r="B773" i="42"/>
  <c r="B1062" i="42"/>
  <c r="B449" i="42"/>
  <c r="K449" i="35" s="1"/>
  <c r="D744" i="42"/>
  <c r="D94" i="42"/>
  <c r="B466" i="42"/>
  <c r="K466" i="35" s="1"/>
  <c r="B694" i="42"/>
  <c r="B834" i="42"/>
  <c r="B460" i="42"/>
  <c r="K460" i="35" s="1"/>
  <c r="B509" i="42"/>
  <c r="K509" i="35" s="1"/>
  <c r="B764" i="42"/>
  <c r="D893" i="42"/>
  <c r="M893" i="35" s="1"/>
  <c r="E697" i="42"/>
  <c r="E673" i="42"/>
  <c r="E714" i="42"/>
  <c r="B391" i="42"/>
  <c r="B798" i="42"/>
  <c r="B785" i="42"/>
  <c r="F768" i="42"/>
  <c r="D746" i="42"/>
  <c r="E701" i="42"/>
  <c r="B1077" i="42"/>
  <c r="B1041" i="42"/>
  <c r="E575" i="42"/>
  <c r="B500" i="42"/>
  <c r="B811" i="42"/>
  <c r="C1030" i="42"/>
  <c r="B459" i="42"/>
  <c r="K459" i="35" s="1"/>
  <c r="B505" i="42"/>
  <c r="B402" i="42"/>
  <c r="B636" i="42"/>
  <c r="D785" i="42"/>
  <c r="E603" i="42"/>
  <c r="D733" i="42"/>
  <c r="E380" i="42"/>
  <c r="G873" i="42"/>
  <c r="C407" i="42"/>
  <c r="F478" i="42"/>
  <c r="E387" i="42"/>
  <c r="F422" i="42"/>
  <c r="D541" i="42"/>
  <c r="E473" i="42"/>
  <c r="C841" i="42"/>
  <c r="E408" i="42"/>
  <c r="D464" i="42"/>
  <c r="M464" i="35" s="1"/>
  <c r="F509" i="42"/>
  <c r="O509" i="35" s="1"/>
  <c r="F824" i="42"/>
  <c r="D801" i="42"/>
  <c r="D473" i="42"/>
  <c r="C791" i="42"/>
  <c r="F812" i="42"/>
  <c r="C397" i="42"/>
  <c r="C835" i="42"/>
  <c r="E794" i="42"/>
  <c r="E407" i="42"/>
  <c r="D445" i="42"/>
  <c r="M445" i="35" s="1"/>
  <c r="E586" i="42"/>
  <c r="C789" i="42"/>
  <c r="C390" i="42"/>
  <c r="D382" i="42"/>
  <c r="D452" i="42"/>
  <c r="M452" i="35" s="1"/>
  <c r="E867" i="42"/>
  <c r="C404" i="42"/>
  <c r="E400" i="42"/>
  <c r="C403" i="42"/>
  <c r="C516" i="42"/>
  <c r="E494" i="42"/>
  <c r="C825" i="42"/>
  <c r="D469" i="42"/>
  <c r="M469" i="35" s="1"/>
  <c r="D436" i="42"/>
  <c r="D402" i="42"/>
  <c r="D869" i="42"/>
  <c r="C446" i="42"/>
  <c r="D537" i="42"/>
  <c r="D456" i="42"/>
  <c r="D854" i="42"/>
  <c r="D460" i="42"/>
  <c r="M460" i="35" s="1"/>
  <c r="D807" i="42"/>
  <c r="E402" i="42"/>
  <c r="D450" i="42"/>
  <c r="M450" i="35" s="1"/>
  <c r="C427" i="42"/>
  <c r="L427" i="35" s="1"/>
  <c r="B496" i="42"/>
  <c r="D757" i="42"/>
  <c r="B913" i="42"/>
  <c r="K913" i="35" s="1"/>
  <c r="B812" i="42"/>
  <c r="B451" i="42"/>
  <c r="K451" i="35" s="1"/>
  <c r="B837" i="42"/>
  <c r="B381" i="42"/>
  <c r="D729" i="42"/>
  <c r="B396" i="42"/>
  <c r="B706" i="42"/>
  <c r="C760" i="42"/>
  <c r="B726" i="42"/>
  <c r="E763" i="42"/>
  <c r="B614" i="42"/>
  <c r="C100" i="42"/>
  <c r="D92" i="42"/>
  <c r="E664" i="42"/>
  <c r="E752" i="42"/>
  <c r="D839" i="42"/>
  <c r="B1083" i="42"/>
  <c r="B1080" i="42"/>
  <c r="B492" i="42"/>
  <c r="D717" i="42"/>
  <c r="D705" i="42"/>
  <c r="C764" i="42"/>
  <c r="B450" i="42"/>
  <c r="K450" i="35" s="1"/>
  <c r="B728" i="42"/>
  <c r="B661" i="42"/>
  <c r="E687" i="42"/>
  <c r="E727" i="42"/>
  <c r="B462" i="42"/>
  <c r="K462" i="35" s="1"/>
  <c r="F751" i="42"/>
  <c r="B585" i="42"/>
  <c r="B454" i="42"/>
  <c r="K454" i="35" s="1"/>
  <c r="B501" i="42"/>
  <c r="B642" i="42"/>
  <c r="D697" i="42"/>
  <c r="F722" i="42"/>
  <c r="B640" i="42"/>
  <c r="B853" i="42"/>
  <c r="D715" i="42"/>
  <c r="B807" i="42"/>
  <c r="B465" i="42"/>
  <c r="K465" i="35" s="1"/>
  <c r="C772" i="42"/>
  <c r="D613" i="42"/>
  <c r="C765" i="42"/>
  <c r="D784" i="42"/>
  <c r="B489" i="42"/>
  <c r="E772" i="42"/>
  <c r="F710" i="42"/>
  <c r="B687" i="42"/>
  <c r="B1061" i="42"/>
  <c r="B537" i="42"/>
  <c r="E617" i="42"/>
  <c r="B583" i="42"/>
  <c r="E585" i="42"/>
  <c r="D735" i="42"/>
  <c r="B755" i="42"/>
  <c r="B605" i="42"/>
  <c r="E669" i="42"/>
  <c r="B699" i="42"/>
  <c r="D756" i="42"/>
  <c r="B799" i="42"/>
  <c r="D767" i="42"/>
  <c r="B697" i="42"/>
  <c r="B761" i="42"/>
  <c r="D786" i="42"/>
  <c r="C744" i="42"/>
  <c r="D764" i="42"/>
  <c r="D93" i="42"/>
  <c r="B491" i="42"/>
  <c r="F637" i="42"/>
  <c r="B732" i="42"/>
  <c r="B790" i="42"/>
  <c r="E764" i="42"/>
  <c r="B588" i="42"/>
  <c r="E765" i="42"/>
  <c r="B1043" i="42"/>
  <c r="B847" i="42"/>
  <c r="B817" i="42"/>
  <c r="B542" i="42"/>
  <c r="B441" i="42"/>
  <c r="B1069" i="42"/>
  <c r="C733" i="42"/>
  <c r="D760" i="42"/>
  <c r="B850" i="42"/>
  <c r="E613" i="42"/>
  <c r="E631" i="42"/>
  <c r="E733" i="42"/>
  <c r="B1057" i="42"/>
  <c r="B715" i="42"/>
  <c r="B431" i="42"/>
  <c r="E769" i="42"/>
  <c r="D405" i="42"/>
  <c r="D380" i="42"/>
  <c r="C417" i="42"/>
  <c r="E386" i="42"/>
  <c r="E403" i="42"/>
  <c r="E479" i="42"/>
  <c r="E394" i="42"/>
  <c r="E398" i="42"/>
  <c r="D488" i="42"/>
  <c r="M488" i="35" s="1"/>
  <c r="H600" i="42"/>
  <c r="E852" i="42"/>
  <c r="D791" i="42"/>
  <c r="D478" i="42"/>
  <c r="G452" i="42"/>
  <c r="D841" i="42"/>
  <c r="E818" i="42"/>
  <c r="E868" i="42"/>
  <c r="C405" i="42"/>
  <c r="C833" i="42"/>
  <c r="E801" i="42"/>
  <c r="D803" i="42"/>
  <c r="C394" i="42"/>
  <c r="D454" i="42"/>
  <c r="M454" i="35" s="1"/>
  <c r="D461" i="42"/>
  <c r="M461" i="35" s="1"/>
  <c r="E870" i="42"/>
  <c r="C790" i="42"/>
  <c r="C412" i="42"/>
  <c r="C439" i="42"/>
  <c r="C489" i="42"/>
  <c r="F795" i="42"/>
  <c r="C811" i="42"/>
  <c r="D412" i="42"/>
  <c r="D835" i="42"/>
  <c r="D472" i="42"/>
  <c r="M472" i="35" s="1"/>
  <c r="E537" i="42"/>
  <c r="E492" i="42"/>
  <c r="C414" i="42"/>
  <c r="C513" i="42"/>
  <c r="E698" i="42"/>
  <c r="E508" i="42"/>
  <c r="C382" i="42"/>
  <c r="C495" i="42"/>
  <c r="C508" i="42"/>
  <c r="C873" i="42"/>
  <c r="C846" i="42"/>
  <c r="F802" i="42"/>
  <c r="C445" i="42"/>
  <c r="L445" i="35" s="1"/>
  <c r="C520" i="42"/>
  <c r="D423" i="42"/>
  <c r="M423" i="35" s="1"/>
  <c r="H492" i="42"/>
  <c r="D802" i="42"/>
  <c r="C807" i="42"/>
  <c r="F791" i="42"/>
  <c r="D398" i="42"/>
  <c r="G426" i="42"/>
  <c r="P426" i="35" s="1"/>
  <c r="D832" i="42"/>
  <c r="D866" i="42"/>
  <c r="E384" i="42"/>
  <c r="D871" i="42"/>
  <c r="D789" i="42"/>
  <c r="D795" i="42"/>
  <c r="D834" i="42"/>
  <c r="E397" i="42"/>
  <c r="C435" i="42"/>
  <c r="L435" i="35" s="1"/>
  <c r="C451" i="42"/>
  <c r="C865" i="42"/>
  <c r="D385" i="42"/>
  <c r="G447" i="42"/>
  <c r="D527" i="42"/>
  <c r="C818" i="42"/>
  <c r="C831" i="42"/>
  <c r="C392" i="42"/>
  <c r="F841" i="42"/>
  <c r="D431" i="42"/>
  <c r="M431" i="35" s="1"/>
  <c r="C431" i="42"/>
  <c r="D852" i="42"/>
  <c r="C443" i="42"/>
  <c r="L443" i="35" s="1"/>
  <c r="E503" i="42"/>
  <c r="M503" i="35" s="1"/>
  <c r="D864" i="42"/>
  <c r="F473" i="42"/>
  <c r="E401" i="42"/>
  <c r="D536" i="42"/>
  <c r="D531" i="42"/>
  <c r="L531" i="35" s="1"/>
  <c r="B419" i="42"/>
  <c r="G450" i="42"/>
  <c r="H516" i="42"/>
  <c r="P516" i="35" s="1"/>
  <c r="J516" i="35" s="1" a="1"/>
  <c r="J516" i="35" s="1"/>
  <c r="D516" i="35" s="1"/>
  <c r="C521" i="55" s="1"/>
  <c r="D437" i="42"/>
  <c r="D408" i="42"/>
  <c r="D534" i="42"/>
  <c r="H656" i="42"/>
  <c r="C816" i="42"/>
  <c r="D528" i="42"/>
  <c r="D406" i="42"/>
  <c r="E834" i="42"/>
  <c r="C820" i="42"/>
  <c r="C842" i="42"/>
  <c r="C415" i="42"/>
  <c r="C799" i="42"/>
  <c r="C795" i="42"/>
  <c r="C499" i="42"/>
  <c r="L499" i="35" s="1"/>
  <c r="C453" i="42"/>
  <c r="L453" i="35" s="1"/>
  <c r="D867" i="42"/>
  <c r="C432" i="42"/>
  <c r="C457" i="42"/>
  <c r="C425" i="42"/>
  <c r="L425" i="35" s="1"/>
  <c r="B609" i="42"/>
  <c r="B716" i="42"/>
  <c r="B903" i="42"/>
  <c r="K903" i="35" s="1"/>
  <c r="B816" i="42"/>
  <c r="B446" i="42"/>
  <c r="D95" i="42"/>
  <c r="C769" i="42"/>
  <c r="C1032" i="42"/>
  <c r="B1085" i="42"/>
  <c r="B551" i="42"/>
  <c r="B484" i="42"/>
  <c r="C710" i="42"/>
  <c r="B863" i="42"/>
  <c r="B108" i="42"/>
  <c r="B746" i="42"/>
  <c r="B382" i="42"/>
  <c r="D779" i="42"/>
  <c r="B452" i="42"/>
  <c r="K452" i="35" s="1"/>
  <c r="E721" i="42"/>
  <c r="B407" i="42"/>
  <c r="B668" i="42"/>
  <c r="E747" i="42"/>
  <c r="C883" i="42"/>
  <c r="B829" i="42"/>
  <c r="B399" i="42"/>
  <c r="B30" i="42"/>
  <c r="E87" i="42"/>
  <c r="B608" i="42"/>
  <c r="B508" i="42"/>
  <c r="B765" i="42"/>
  <c r="B669" i="42"/>
  <c r="D738" i="42"/>
  <c r="E584" i="42"/>
  <c r="E781" i="42"/>
  <c r="B524" i="42"/>
  <c r="B819" i="42"/>
  <c r="C738" i="42"/>
  <c r="E786" i="42"/>
  <c r="E903" i="42"/>
  <c r="N903" i="35" s="1"/>
  <c r="B572" i="42"/>
  <c r="C705" i="42"/>
  <c r="B448" i="42"/>
  <c r="K448" i="35" s="1"/>
  <c r="B841" i="42"/>
  <c r="B379" i="42"/>
  <c r="C718" i="42"/>
  <c r="B692" i="42"/>
  <c r="B525" i="42"/>
  <c r="B738" i="42"/>
  <c r="B1086" i="42"/>
  <c r="B426" i="42"/>
  <c r="K426" i="35" s="1"/>
  <c r="B401" i="42"/>
  <c r="B857" i="42"/>
  <c r="D743" i="42"/>
  <c r="B786" i="42"/>
  <c r="E390" i="42"/>
  <c r="D549" i="42"/>
  <c r="G483" i="42"/>
  <c r="C409" i="42"/>
  <c r="D815" i="42"/>
  <c r="E404" i="42"/>
  <c r="E842" i="42"/>
  <c r="F846" i="42"/>
  <c r="G446" i="42"/>
  <c r="P446" i="35" s="1"/>
  <c r="E815" i="42"/>
  <c r="C850" i="42"/>
  <c r="E514" i="42"/>
  <c r="C428" i="42"/>
  <c r="L428" i="35" s="1"/>
  <c r="C410" i="42"/>
  <c r="C869" i="42"/>
  <c r="D467" i="42"/>
  <c r="M467" i="35" s="1"/>
  <c r="C903" i="42"/>
  <c r="L903" i="35" s="1"/>
  <c r="B791" i="42"/>
  <c r="E744" i="42"/>
  <c r="B780" i="42"/>
  <c r="B376" i="42"/>
  <c r="B723" i="42"/>
  <c r="B612" i="42"/>
  <c r="B532" i="42"/>
  <c r="B418" i="42"/>
  <c r="D722" i="42"/>
  <c r="E748" i="42"/>
  <c r="B777" i="42"/>
  <c r="B423" i="42"/>
  <c r="K423" i="35" s="1"/>
  <c r="C774" i="42"/>
  <c r="E785" i="42"/>
  <c r="B493" i="42"/>
  <c r="C713" i="42"/>
  <c r="B730" i="42"/>
  <c r="B869" i="42"/>
  <c r="D716" i="42"/>
  <c r="B554" i="42"/>
  <c r="B727" i="42"/>
  <c r="C777" i="42"/>
  <c r="B667" i="42"/>
  <c r="D731" i="42"/>
  <c r="B436" i="42"/>
  <c r="B576" i="42"/>
  <c r="E735" i="42"/>
  <c r="B617" i="42"/>
  <c r="E640" i="42"/>
  <c r="B1038" i="42"/>
  <c r="B610" i="42"/>
  <c r="D90" i="42"/>
  <c r="B530" i="42"/>
  <c r="B432" i="42"/>
  <c r="B413" i="42"/>
  <c r="C93" i="42"/>
  <c r="B743" i="42"/>
  <c r="B392" i="42"/>
  <c r="B666" i="42"/>
  <c r="B830" i="42"/>
  <c r="B1067" i="42"/>
  <c r="E696" i="42"/>
  <c r="B539" i="42"/>
  <c r="B656" i="42"/>
  <c r="C761" i="42"/>
  <c r="C735" i="42"/>
  <c r="B782" i="42"/>
  <c r="B412" i="42"/>
  <c r="B518" i="42"/>
  <c r="B467" i="42"/>
  <c r="K467" i="35" s="1"/>
  <c r="B549" i="42"/>
  <c r="B526" i="42"/>
  <c r="B512" i="42"/>
  <c r="B510" i="42"/>
  <c r="B543" i="42"/>
  <c r="B740" i="42"/>
  <c r="C773" i="42"/>
  <c r="B417" i="42"/>
  <c r="D404" i="42"/>
  <c r="D413" i="42"/>
  <c r="D546" i="42"/>
  <c r="D420" i="42"/>
  <c r="C858" i="42"/>
  <c r="C387" i="42"/>
  <c r="E807" i="42"/>
  <c r="E410" i="42"/>
  <c r="D837" i="42"/>
  <c r="E414" i="42"/>
  <c r="C854" i="42"/>
  <c r="C463" i="42"/>
  <c r="L463" i="35" s="1"/>
  <c r="E670" i="42"/>
  <c r="D828" i="42"/>
  <c r="D447" i="42"/>
  <c r="M447" i="35" s="1"/>
  <c r="E520" i="42"/>
  <c r="M520" i="35" s="1"/>
  <c r="C379" i="42"/>
  <c r="D820" i="42"/>
  <c r="D427" i="42"/>
  <c r="M427" i="35" s="1"/>
  <c r="C785" i="42"/>
  <c r="C731" i="42"/>
  <c r="B552" i="42"/>
  <c r="B883" i="42"/>
  <c r="F609" i="42"/>
  <c r="B445" i="42"/>
  <c r="K445" i="35" s="1"/>
  <c r="B575" i="42"/>
  <c r="B718" i="42"/>
  <c r="B835" i="42"/>
  <c r="D102" i="42"/>
  <c r="C763" i="42"/>
  <c r="B870" i="42"/>
  <c r="F761" i="42"/>
  <c r="B529" i="42"/>
  <c r="K529" i="35" s="1"/>
  <c r="D751" i="42"/>
  <c r="B858" i="42"/>
  <c r="C714" i="42"/>
  <c r="D856" i="42"/>
  <c r="B854" i="42"/>
  <c r="B553" i="42"/>
  <c r="B506" i="42"/>
  <c r="B1079" i="42"/>
  <c r="B427" i="42"/>
  <c r="K427" i="35" s="1"/>
  <c r="B556" i="42"/>
  <c r="C1041" i="42"/>
  <c r="C701" i="42"/>
  <c r="B555" i="42"/>
  <c r="B828" i="42"/>
  <c r="B1074" i="42"/>
  <c r="B689" i="42"/>
  <c r="B516" i="42"/>
  <c r="E718" i="42"/>
  <c r="B1034" i="42"/>
  <c r="D706" i="42"/>
  <c r="B603" i="42"/>
  <c r="B1039" i="42"/>
  <c r="D641" i="42"/>
  <c r="B710" i="42"/>
  <c r="B439" i="42"/>
  <c r="B665" i="42"/>
  <c r="B762" i="42"/>
  <c r="B453" i="42"/>
  <c r="K453" i="35" s="1"/>
  <c r="B589" i="42"/>
  <c r="E706" i="42"/>
  <c r="D718" i="42"/>
  <c r="E750" i="42"/>
  <c r="B513" i="42"/>
  <c r="B374" i="42"/>
  <c r="E746" i="42"/>
  <c r="B1082" i="42"/>
  <c r="C767" i="42"/>
  <c r="D730" i="42"/>
  <c r="B639" i="42"/>
  <c r="C94" i="42"/>
  <c r="E659" i="42"/>
  <c r="F581" i="42"/>
  <c r="E399" i="42"/>
  <c r="D392" i="42"/>
  <c r="D539" i="42"/>
  <c r="D87" i="42"/>
  <c r="C86" i="42"/>
  <c r="D388" i="42"/>
  <c r="C849" i="42"/>
  <c r="C388" i="42"/>
  <c r="D816" i="42"/>
  <c r="C840" i="42"/>
  <c r="D796" i="42"/>
  <c r="C399" i="42"/>
  <c r="C815" i="42"/>
  <c r="C448" i="42"/>
  <c r="E841" i="42"/>
  <c r="F419" i="42"/>
  <c r="E496" i="42"/>
  <c r="E525" i="42"/>
  <c r="D430" i="42"/>
  <c r="M430" i="35" s="1"/>
  <c r="F829" i="42"/>
  <c r="D512" i="42"/>
  <c r="L512" i="35" s="1"/>
  <c r="E513" i="42"/>
  <c r="D778" i="42"/>
  <c r="B457" i="42"/>
  <c r="K457" i="35" s="1"/>
  <c r="C722" i="42"/>
  <c r="C706" i="42"/>
  <c r="B433" i="42"/>
  <c r="K433" i="35" s="1"/>
  <c r="C715" i="42"/>
  <c r="E883" i="42"/>
  <c r="B766" i="42"/>
  <c r="D91" i="42"/>
  <c r="B420" i="42"/>
  <c r="B700" i="42"/>
  <c r="B444" i="42"/>
  <c r="K444" i="35" s="1"/>
  <c r="C784" i="42"/>
  <c r="B442" i="42"/>
  <c r="K442" i="35" s="1"/>
  <c r="C755" i="42"/>
  <c r="D783" i="42"/>
  <c r="E755" i="42"/>
  <c r="C89" i="42"/>
  <c r="B851" i="42"/>
  <c r="D669" i="42"/>
  <c r="B383" i="42"/>
  <c r="B722" i="42"/>
  <c r="E730" i="42"/>
  <c r="D755" i="42"/>
  <c r="C709" i="42"/>
  <c r="E749" i="42"/>
  <c r="B550" i="42"/>
  <c r="C727" i="42"/>
  <c r="D763" i="42"/>
  <c r="F616" i="42"/>
  <c r="B1084" i="42"/>
  <c r="B712" i="42"/>
  <c r="B502" i="42"/>
  <c r="F756" i="42"/>
  <c r="B767" i="42"/>
  <c r="B604" i="42"/>
  <c r="F717" i="42"/>
  <c r="D740" i="42"/>
  <c r="B713" i="42"/>
  <c r="F778" i="42"/>
  <c r="F739" i="42"/>
  <c r="E713" i="42"/>
  <c r="B434" i="42"/>
  <c r="K434" i="35" s="1"/>
  <c r="B482" i="42"/>
  <c r="D773" i="42"/>
  <c r="B688" i="42"/>
  <c r="B733" i="42"/>
  <c r="B709" i="42"/>
  <c r="D768" i="42"/>
  <c r="B814" i="42"/>
  <c r="B1037" i="42"/>
  <c r="D96" i="42"/>
  <c r="E695" i="42"/>
  <c r="B893" i="42"/>
  <c r="K893" i="35" s="1"/>
  <c r="B802" i="42"/>
  <c r="E773" i="42"/>
  <c r="B1032" i="42"/>
  <c r="B1042" i="42"/>
  <c r="E382" i="42"/>
  <c r="D545" i="42"/>
  <c r="H421" i="42"/>
  <c r="D88" i="42"/>
  <c r="E411" i="42"/>
  <c r="C444" i="42"/>
  <c r="L444" i="35" s="1"/>
  <c r="F790" i="42"/>
  <c r="D429" i="42"/>
  <c r="M429" i="35" s="1"/>
  <c r="F870" i="42"/>
  <c r="E857" i="42"/>
  <c r="D840" i="42"/>
  <c r="D453" i="42"/>
  <c r="M453" i="35" s="1"/>
  <c r="E840" i="42"/>
  <c r="D442" i="42"/>
  <c r="M442" i="35" s="1"/>
  <c r="B473" i="42"/>
  <c r="G430" i="42"/>
  <c r="P430" i="35" s="1"/>
  <c r="F836" i="42"/>
  <c r="B483" i="42"/>
  <c r="D426" i="42"/>
  <c r="M426" i="35" s="1"/>
  <c r="C510" i="42"/>
  <c r="E802" i="42"/>
  <c r="E88" i="42"/>
  <c r="D727" i="42"/>
  <c r="E732" i="42"/>
  <c r="B739" i="42"/>
  <c r="B735" i="42"/>
  <c r="B611" i="42"/>
  <c r="B377" i="42"/>
  <c r="E645" i="42"/>
  <c r="C99" i="42"/>
  <c r="B862" i="42"/>
  <c r="C92" i="42"/>
  <c r="D103" i="42"/>
  <c r="D99" i="42"/>
  <c r="B403" i="42"/>
  <c r="B541" i="42"/>
  <c r="B784" i="42"/>
  <c r="F785" i="42"/>
  <c r="B1035" i="42"/>
  <c r="B437" i="42"/>
  <c r="B522" i="42"/>
  <c r="B714" i="42"/>
  <c r="E784" i="42"/>
  <c r="C30" i="42"/>
  <c r="E923" i="42"/>
  <c r="N923" i="35" s="1"/>
  <c r="B411" i="42"/>
  <c r="B384" i="42"/>
  <c r="B842" i="42"/>
  <c r="E761" i="42"/>
  <c r="D101" i="42"/>
  <c r="B536" i="42"/>
  <c r="B440" i="42"/>
  <c r="D585" i="42"/>
  <c r="C757" i="42"/>
  <c r="B494" i="42"/>
  <c r="D769" i="42"/>
  <c r="B435" i="42"/>
  <c r="K435" i="35" s="1"/>
  <c r="E768" i="42"/>
  <c r="D723" i="42"/>
  <c r="B781" i="42"/>
  <c r="B531" i="42"/>
  <c r="B752" i="42"/>
  <c r="E608" i="42"/>
  <c r="B1065" i="42"/>
  <c r="B447" i="42"/>
  <c r="K447" i="35" s="1"/>
  <c r="E913" i="42"/>
  <c r="N913" i="35" s="1"/>
  <c r="C716" i="42"/>
  <c r="D747" i="42"/>
  <c r="B507" i="42"/>
  <c r="C732" i="42"/>
  <c r="B468" i="42"/>
  <c r="K468" i="35" s="1"/>
  <c r="E641" i="42"/>
  <c r="B404" i="42"/>
  <c r="B859" i="42"/>
  <c r="B734" i="42"/>
  <c r="B430" i="42"/>
  <c r="D544" i="42"/>
  <c r="G478" i="42"/>
  <c r="E393" i="42"/>
  <c r="E391" i="42"/>
  <c r="D395" i="42"/>
  <c r="D552" i="42"/>
  <c r="E614" i="42"/>
  <c r="C458" i="42"/>
  <c r="E811" i="42"/>
  <c r="C857" i="42"/>
  <c r="D829" i="42"/>
  <c r="C433" i="42"/>
  <c r="L433" i="35" s="1"/>
  <c r="C375" i="42"/>
  <c r="H517" i="42"/>
  <c r="D410" i="42"/>
  <c r="C531" i="42"/>
  <c r="K531" i="35" s="1"/>
  <c r="E859" i="42"/>
  <c r="D421" i="42"/>
  <c r="D425" i="42"/>
  <c r="M425" i="35" s="1"/>
  <c r="E642" i="42"/>
  <c r="E506" i="42"/>
  <c r="M506" i="35" s="1"/>
  <c r="B868" i="42"/>
  <c r="C673" i="42"/>
  <c r="C747" i="42"/>
  <c r="C645" i="42"/>
  <c r="C704" i="42"/>
  <c r="B557" i="42"/>
  <c r="B398" i="42"/>
  <c r="B1071" i="42"/>
  <c r="B1078" i="42"/>
  <c r="E767" i="42"/>
  <c r="F644" i="42"/>
  <c r="B824" i="42"/>
  <c r="C743" i="42"/>
  <c r="B582" i="42"/>
  <c r="D97" i="42"/>
  <c r="E756" i="42"/>
  <c r="B520" i="42"/>
  <c r="B760" i="42"/>
  <c r="B751" i="42"/>
  <c r="C98" i="42"/>
  <c r="F723" i="42"/>
  <c r="C717" i="42"/>
  <c r="B644" i="42"/>
  <c r="B464" i="42"/>
  <c r="K464" i="35" s="1"/>
  <c r="D766" i="42"/>
  <c r="B783" i="42"/>
  <c r="F693" i="42"/>
  <c r="D762" i="42"/>
  <c r="C750" i="42"/>
  <c r="B1036" i="42"/>
  <c r="C90" i="42"/>
  <c r="B789" i="42"/>
  <c r="E722" i="42"/>
  <c r="B815" i="42"/>
  <c r="B514" i="42"/>
  <c r="E639" i="42"/>
  <c r="B389" i="42"/>
  <c r="B846" i="42"/>
  <c r="D557" i="42"/>
  <c r="C97" i="42"/>
  <c r="B1066" i="42"/>
  <c r="E717" i="42"/>
  <c r="B409" i="42"/>
  <c r="B421" i="42"/>
  <c r="B800" i="42"/>
  <c r="D89" i="42"/>
  <c r="D98" i="42"/>
  <c r="C768" i="42"/>
  <c r="E738" i="42"/>
  <c r="B577" i="42"/>
  <c r="B808" i="42"/>
  <c r="E731" i="42"/>
  <c r="E723" i="42"/>
  <c r="B867" i="42"/>
  <c r="F744" i="42"/>
  <c r="E611" i="42"/>
  <c r="I476" i="42"/>
  <c r="F479" i="42"/>
  <c r="D383" i="42"/>
  <c r="D400" i="42"/>
  <c r="E420" i="42"/>
  <c r="C532" i="42"/>
  <c r="C837" i="42"/>
  <c r="D517" i="42"/>
  <c r="E799" i="42"/>
  <c r="C806" i="42"/>
  <c r="E820" i="42"/>
  <c r="D465" i="42"/>
  <c r="M465" i="35" s="1"/>
  <c r="D397" i="42"/>
  <c r="D813" i="42"/>
  <c r="D376" i="42"/>
  <c r="D422" i="42"/>
  <c r="D466" i="42"/>
  <c r="M466" i="35" s="1"/>
  <c r="C511" i="42"/>
  <c r="K511" i="35" s="1"/>
  <c r="E453" i="42"/>
  <c r="N453" i="35" s="1"/>
  <c r="G462" i="42"/>
  <c r="D446" i="42"/>
  <c r="E589" i="42"/>
  <c r="E751" i="42"/>
  <c r="D752" i="42"/>
  <c r="B519" i="42"/>
  <c r="K519" i="35" s="1"/>
  <c r="C730" i="42"/>
  <c r="E705" i="42"/>
  <c r="C893" i="42"/>
  <c r="L893" i="35" s="1"/>
  <c r="B801" i="42"/>
  <c r="D732" i="42"/>
  <c r="B528" i="42"/>
  <c r="F706" i="42"/>
  <c r="E712" i="42"/>
  <c r="B109" i="42"/>
  <c r="B616" i="42"/>
  <c r="D734" i="42"/>
  <c r="E893" i="42"/>
  <c r="N893" i="35" s="1"/>
  <c r="D750" i="42"/>
  <c r="B797" i="42"/>
  <c r="B390" i="42"/>
  <c r="B803" i="42"/>
  <c r="C617" i="42"/>
  <c r="C782" i="42"/>
  <c r="B517" i="42"/>
  <c r="B747" i="42"/>
  <c r="C781" i="42"/>
  <c r="B836" i="42"/>
  <c r="C95" i="42"/>
  <c r="B587" i="42"/>
  <c r="B673" i="42"/>
  <c r="B395" i="42"/>
  <c r="D782" i="42"/>
  <c r="D713" i="42"/>
  <c r="F665" i="42"/>
  <c r="B547" i="42"/>
  <c r="B1068" i="42"/>
  <c r="B414" i="42"/>
  <c r="D913" i="42"/>
  <c r="M913" i="35" s="1"/>
  <c r="D781" i="42"/>
  <c r="B429" i="42"/>
  <c r="K429" i="35" s="1"/>
  <c r="C734" i="42"/>
  <c r="D100" i="42"/>
  <c r="D772" i="42"/>
  <c r="B704" i="42"/>
  <c r="D805" i="42"/>
  <c r="B1029" i="42"/>
  <c r="B544" i="42"/>
  <c r="B400" i="42"/>
  <c r="F700" i="42"/>
  <c r="B641" i="42"/>
  <c r="D748" i="42"/>
  <c r="B645" i="42"/>
  <c r="B744" i="42"/>
  <c r="E743" i="42"/>
  <c r="B386" i="42"/>
  <c r="D883" i="42"/>
  <c r="B455" i="42"/>
  <c r="K455" i="35" s="1"/>
  <c r="D479" i="42"/>
  <c r="C383" i="42"/>
  <c r="E392" i="42"/>
  <c r="D553" i="42"/>
  <c r="I475" i="42"/>
  <c r="G427" i="42"/>
  <c r="P427" i="35" s="1"/>
  <c r="C496" i="42"/>
  <c r="B749" i="42"/>
  <c r="B1030" i="42"/>
  <c r="B818" i="42"/>
  <c r="B833" i="42"/>
  <c r="B546" i="42"/>
  <c r="B438" i="42"/>
  <c r="C712" i="42"/>
  <c r="B498" i="42"/>
  <c r="D415" i="42"/>
  <c r="E846" i="42"/>
  <c r="D849" i="42"/>
  <c r="E580" i="42"/>
  <c r="B701" i="42"/>
  <c r="B806" i="42"/>
  <c r="B671" i="42"/>
  <c r="F727" i="42"/>
  <c r="B424" i="42"/>
  <c r="K424" i="35" s="1"/>
  <c r="E780" i="42"/>
  <c r="D401" i="42"/>
  <c r="C464" i="42"/>
  <c r="L464" i="35" s="1"/>
  <c r="C441" i="42"/>
  <c r="B848" i="42"/>
  <c r="E783" i="42"/>
  <c r="B463" i="42"/>
  <c r="K463" i="35" s="1"/>
  <c r="B387" i="42"/>
  <c r="B521" i="42"/>
  <c r="C723" i="42"/>
  <c r="E851" i="42"/>
  <c r="D846" i="42"/>
  <c r="C778" i="42"/>
  <c r="D923" i="42"/>
  <c r="M923" i="35" s="1"/>
  <c r="B772" i="42"/>
  <c r="D822" i="42"/>
  <c r="B415" i="42"/>
  <c r="C103" i="42"/>
  <c r="D399" i="42"/>
  <c r="E831" i="42"/>
  <c r="D814" i="42"/>
  <c r="B456" i="42"/>
  <c r="C756" i="42"/>
  <c r="B695" i="42"/>
  <c r="B628" i="42"/>
  <c r="B756" i="42"/>
  <c r="F740" i="42"/>
  <c r="B613" i="42"/>
  <c r="C729" i="42"/>
  <c r="E480" i="42"/>
  <c r="C863" i="42"/>
  <c r="C434" i="42"/>
  <c r="L434" i="35" s="1"/>
  <c r="B380" i="42"/>
  <c r="B779" i="42"/>
  <c r="B670" i="42"/>
  <c r="C913" i="42"/>
  <c r="L913" i="35" s="1"/>
  <c r="B813" i="42"/>
  <c r="C91" i="42"/>
  <c r="B1075" i="42"/>
  <c r="D556" i="42"/>
  <c r="F483" i="42"/>
  <c r="C834" i="42"/>
  <c r="B584" i="42"/>
  <c r="B410" i="42"/>
  <c r="B428" i="42"/>
  <c r="K428" i="35" s="1"/>
  <c r="B820" i="42"/>
  <c r="B632" i="42"/>
  <c r="E612" i="42"/>
  <c r="E692" i="42"/>
  <c r="D765" i="42"/>
  <c r="G572" i="42"/>
  <c r="F859" i="42"/>
  <c r="C509" i="42"/>
  <c r="L509" i="35" s="1"/>
  <c r="B458" i="42"/>
  <c r="K458" i="35" s="1"/>
  <c r="B443" i="42"/>
  <c r="K443" i="35" s="1"/>
  <c r="C739" i="42"/>
  <c r="E740" i="42"/>
  <c r="E757" i="42"/>
  <c r="B923" i="42"/>
  <c r="K923" i="35" s="1"/>
  <c r="B664" i="42"/>
  <c r="D379" i="42"/>
  <c r="B32" i="42"/>
  <c r="B33" i="42"/>
  <c r="C33" i="42"/>
  <c r="C32" i="42"/>
  <c r="F76" i="42"/>
  <c r="G76" i="42"/>
  <c r="C1063" i="42"/>
  <c r="D1063" i="42"/>
  <c r="E1063" i="42"/>
  <c r="D80" i="42"/>
  <c r="E79" i="42"/>
  <c r="D79" i="42"/>
  <c r="E80" i="42"/>
  <c r="B49" i="42"/>
  <c r="B17" i="42"/>
  <c r="B19" i="42"/>
  <c r="B16" i="42"/>
  <c r="C17" i="42"/>
  <c r="B48" i="42"/>
  <c r="C48" i="42"/>
  <c r="C16" i="42"/>
  <c r="C49" i="42"/>
  <c r="C112" i="42"/>
  <c r="C113" i="42"/>
  <c r="C111" i="42"/>
  <c r="C110" i="42"/>
  <c r="C115" i="42"/>
  <c r="C540" i="42"/>
  <c r="B540" i="42"/>
  <c r="F475" i="42"/>
  <c r="P475" i="35" s="1"/>
  <c r="F622" i="42"/>
  <c r="B651" i="42"/>
  <c r="F655" i="42"/>
  <c r="B675" i="42"/>
  <c r="B679" i="42"/>
  <c r="B653" i="42"/>
  <c r="B591" i="42"/>
  <c r="F677" i="42"/>
  <c r="B626" i="42"/>
  <c r="F621" i="42"/>
  <c r="D630" i="42"/>
  <c r="D646" i="42"/>
  <c r="D662" i="42"/>
  <c r="B655" i="42"/>
  <c r="F681" i="42"/>
  <c r="D579" i="42"/>
  <c r="D573" i="42"/>
  <c r="B674" i="42"/>
  <c r="B565" i="42"/>
  <c r="B677" i="42"/>
  <c r="B606" i="42"/>
  <c r="D674" i="42"/>
  <c r="B681" i="42"/>
  <c r="D657" i="42"/>
  <c r="F570" i="42"/>
  <c r="B624" i="42"/>
  <c r="F476" i="42"/>
  <c r="P476" i="35" s="1"/>
  <c r="B663" i="42"/>
  <c r="B567" i="42"/>
  <c r="B634" i="42"/>
  <c r="B686" i="42"/>
  <c r="B635" i="42"/>
  <c r="F626" i="42"/>
  <c r="F582" i="42"/>
  <c r="F594" i="42"/>
  <c r="B566" i="42"/>
  <c r="D562" i="42"/>
  <c r="D618" i="42"/>
  <c r="F565" i="42"/>
  <c r="D606" i="42"/>
  <c r="B646" i="42"/>
  <c r="B648" i="42"/>
  <c r="B683" i="42"/>
  <c r="F593" i="42"/>
  <c r="D691" i="42"/>
  <c r="F649" i="42"/>
  <c r="B680" i="42"/>
  <c r="B621" i="42"/>
  <c r="D602" i="42"/>
  <c r="F569" i="42"/>
  <c r="D607" i="42"/>
  <c r="F654" i="42"/>
  <c r="E638" i="42"/>
  <c r="D578" i="42"/>
  <c r="B568" i="42"/>
  <c r="B647" i="42"/>
  <c r="D658" i="42"/>
  <c r="B574" i="42"/>
  <c r="B662" i="42"/>
  <c r="B652" i="42"/>
  <c r="E610" i="42"/>
  <c r="F627" i="42"/>
  <c r="B595" i="42"/>
  <c r="D685" i="42"/>
  <c r="B678" i="42"/>
  <c r="B597" i="42"/>
  <c r="F653" i="42"/>
  <c r="F597" i="42"/>
  <c r="B685" i="42"/>
  <c r="F678" i="42"/>
  <c r="B601" i="42"/>
  <c r="B590" i="42"/>
  <c r="B691" i="42"/>
  <c r="D635" i="42"/>
  <c r="B594" i="42"/>
  <c r="B618" i="42"/>
  <c r="D690" i="42"/>
  <c r="E666" i="42"/>
  <c r="B690" i="42"/>
  <c r="F625" i="42"/>
  <c r="D634" i="42"/>
  <c r="B602" i="42"/>
  <c r="B578" i="42"/>
  <c r="F683" i="42"/>
  <c r="F566" i="42"/>
  <c r="B654" i="42"/>
  <c r="D686" i="42"/>
  <c r="F650" i="42"/>
  <c r="F598" i="42"/>
  <c r="B623" i="42"/>
  <c r="B596" i="42"/>
  <c r="F682" i="42"/>
  <c r="B599" i="42"/>
  <c r="B607" i="42"/>
  <c r="B569" i="42"/>
  <c r="B593" i="42"/>
  <c r="D601" i="42"/>
  <c r="B592" i="42"/>
  <c r="D629" i="42"/>
  <c r="F599" i="42"/>
  <c r="B620" i="42"/>
  <c r="B579" i="42"/>
  <c r="B570" i="42"/>
  <c r="B564" i="42"/>
  <c r="B627" i="42"/>
  <c r="B657" i="42"/>
  <c r="B650" i="42"/>
  <c r="B562" i="42"/>
  <c r="B571" i="42"/>
  <c r="D663" i="42"/>
  <c r="B598" i="42"/>
  <c r="B622" i="42"/>
  <c r="E582" i="42"/>
  <c r="B625" i="42"/>
  <c r="B649" i="42"/>
  <c r="B563" i="42"/>
  <c r="B630" i="42"/>
  <c r="B619" i="42"/>
  <c r="B676" i="42"/>
  <c r="B658" i="42"/>
  <c r="E694" i="42"/>
  <c r="B573" i="42"/>
  <c r="B682" i="42"/>
  <c r="D590" i="42"/>
  <c r="B629" i="42"/>
  <c r="F796" i="42"/>
  <c r="E796" i="42"/>
  <c r="F305" i="42"/>
  <c r="D159" i="42"/>
  <c r="B141" i="42"/>
  <c r="F337" i="42"/>
  <c r="F361" i="42"/>
  <c r="F306" i="42"/>
  <c r="F185" i="42"/>
  <c r="F213" i="42"/>
  <c r="B173" i="42"/>
  <c r="F344" i="42"/>
  <c r="B145" i="42"/>
  <c r="F293" i="42"/>
  <c r="F240" i="42"/>
  <c r="F228" i="42"/>
  <c r="F259" i="42"/>
  <c r="F255" i="42"/>
  <c r="F291" i="42"/>
  <c r="B162" i="42"/>
  <c r="B137" i="42"/>
  <c r="F369" i="42"/>
  <c r="F365" i="42"/>
  <c r="F226" i="42"/>
  <c r="D148" i="42"/>
  <c r="C149" i="42"/>
  <c r="C156" i="42"/>
  <c r="F182" i="42"/>
  <c r="F289" i="42"/>
  <c r="F254" i="42"/>
  <c r="F216" i="42"/>
  <c r="F184" i="42"/>
  <c r="B135" i="42"/>
  <c r="B136" i="42"/>
  <c r="F331" i="42"/>
  <c r="F315" i="42"/>
  <c r="B165" i="42"/>
  <c r="F175" i="42"/>
  <c r="F326" i="42"/>
  <c r="F360" i="42"/>
  <c r="F311" i="42"/>
  <c r="F341" i="42"/>
  <c r="B167" i="42"/>
  <c r="F292" i="42"/>
  <c r="F269" i="42"/>
  <c r="F242" i="42"/>
  <c r="F197" i="42"/>
  <c r="F247" i="42"/>
  <c r="F362" i="42"/>
  <c r="F275" i="42"/>
  <c r="F223" i="42"/>
  <c r="F355" i="42"/>
  <c r="F364" i="42"/>
  <c r="B104" i="42"/>
  <c r="F232" i="42"/>
  <c r="B160" i="42"/>
  <c r="F277" i="42"/>
  <c r="F319" i="42"/>
  <c r="D150" i="42"/>
  <c r="B172" i="42"/>
  <c r="D158" i="42"/>
  <c r="C135" i="42"/>
  <c r="F349" i="42"/>
  <c r="E123" i="42"/>
  <c r="F363" i="42"/>
  <c r="F295" i="42"/>
  <c r="F321" i="42"/>
  <c r="B161" i="42"/>
  <c r="F249" i="42"/>
  <c r="F333" i="42"/>
  <c r="B168" i="42"/>
  <c r="B152" i="42"/>
  <c r="F280" i="42"/>
  <c r="F187" i="42"/>
  <c r="F211" i="42"/>
  <c r="F193" i="42"/>
  <c r="F270" i="42"/>
  <c r="B164" i="42"/>
  <c r="F285" i="42"/>
  <c r="F297" i="42"/>
  <c r="F207" i="42"/>
  <c r="B138" i="42"/>
  <c r="F284" i="42"/>
  <c r="F342" i="42"/>
  <c r="F246" i="42"/>
  <c r="F244" i="42"/>
  <c r="D142" i="42"/>
  <c r="F300" i="42"/>
  <c r="F215" i="42"/>
  <c r="F327" i="42"/>
  <c r="F324" i="42"/>
  <c r="B140" i="42"/>
  <c r="F336" i="42"/>
  <c r="C159" i="42"/>
  <c r="C171" i="42"/>
  <c r="B134" i="42"/>
  <c r="F208" i="42"/>
  <c r="F236" i="42"/>
  <c r="F180" i="42"/>
  <c r="B112" i="42"/>
  <c r="F335" i="42"/>
  <c r="F346" i="42"/>
  <c r="F206" i="42"/>
  <c r="B139" i="42"/>
  <c r="B150" i="42"/>
  <c r="F343" i="42"/>
  <c r="F260" i="42"/>
  <c r="F189" i="42"/>
  <c r="F304" i="42"/>
  <c r="F179" i="42"/>
  <c r="F373" i="42"/>
  <c r="F177" i="42"/>
  <c r="F188" i="42"/>
  <c r="F243" i="42"/>
  <c r="B121" i="42"/>
  <c r="F352" i="42"/>
  <c r="F340" i="42"/>
  <c r="F288" i="42"/>
  <c r="F314" i="42"/>
  <c r="F278" i="42"/>
  <c r="F309" i="42"/>
  <c r="B113" i="42"/>
  <c r="F256" i="42"/>
  <c r="B111" i="42"/>
  <c r="C134" i="42"/>
  <c r="F195" i="42"/>
  <c r="F190" i="42"/>
  <c r="F301" i="42"/>
  <c r="B144" i="42"/>
  <c r="B123" i="42"/>
  <c r="F323" i="42"/>
  <c r="B115" i="42"/>
  <c r="F322" i="42"/>
  <c r="F253" i="42"/>
  <c r="F196" i="42"/>
  <c r="F220" i="42"/>
  <c r="F347" i="42"/>
  <c r="B166" i="42"/>
  <c r="B292" i="42"/>
  <c r="B304" i="42"/>
  <c r="B280" i="42"/>
  <c r="D143" i="42"/>
  <c r="D264" i="42"/>
  <c r="D140" i="42"/>
  <c r="D266" i="42"/>
  <c r="C146" i="42"/>
  <c r="D273" i="42"/>
  <c r="D270" i="42"/>
  <c r="D289" i="42"/>
  <c r="D272" i="42"/>
  <c r="D263" i="42"/>
  <c r="C123" i="42"/>
  <c r="D265" i="42"/>
  <c r="D268" i="42"/>
  <c r="C169" i="42"/>
  <c r="F356" i="42"/>
  <c r="F287" i="42"/>
  <c r="F310" i="42"/>
  <c r="F296" i="42"/>
  <c r="F194" i="42"/>
  <c r="B151" i="42"/>
  <c r="F334" i="42"/>
  <c r="D292" i="42"/>
  <c r="B147" i="42"/>
  <c r="F368" i="42"/>
  <c r="B153" i="42"/>
  <c r="F209" i="42"/>
  <c r="F370" i="42"/>
  <c r="F178" i="42"/>
  <c r="F258" i="42"/>
  <c r="F348" i="42"/>
  <c r="F198" i="42"/>
  <c r="F210" i="42"/>
  <c r="D317" i="42"/>
  <c r="D163" i="42"/>
  <c r="D261" i="42"/>
  <c r="C164" i="42"/>
  <c r="D282" i="42"/>
  <c r="D137" i="42"/>
  <c r="D285" i="42"/>
  <c r="C142" i="42"/>
  <c r="D281" i="42"/>
  <c r="C147" i="42"/>
  <c r="D258" i="42"/>
  <c r="D274" i="42"/>
  <c r="C138" i="42"/>
  <c r="D279" i="42"/>
  <c r="D278" i="42"/>
  <c r="F329" i="42"/>
  <c r="F299" i="42"/>
  <c r="F268" i="42"/>
  <c r="C155" i="42"/>
  <c r="C141" i="42"/>
  <c r="F230" i="42"/>
  <c r="F224" i="42"/>
  <c r="B169" i="42"/>
  <c r="F283" i="42"/>
  <c r="B155" i="42"/>
  <c r="F251" i="42"/>
  <c r="F345" i="42"/>
  <c r="F308" i="42"/>
  <c r="F366" i="42"/>
  <c r="B142" i="42"/>
  <c r="F290" i="42"/>
  <c r="F252" i="42"/>
  <c r="B286" i="42"/>
  <c r="C157" i="42"/>
  <c r="D287" i="42"/>
  <c r="C173" i="42"/>
  <c r="D255" i="42"/>
  <c r="C151" i="42"/>
  <c r="D276" i="42"/>
  <c r="D161" i="42"/>
  <c r="D267" i="42"/>
  <c r="E120" i="42"/>
  <c r="D168" i="42"/>
  <c r="D256" i="42"/>
  <c r="C168" i="42"/>
  <c r="C144" i="42"/>
  <c r="D254" i="42"/>
  <c r="F353" i="42"/>
  <c r="F239" i="42"/>
  <c r="B156" i="42"/>
  <c r="C143" i="42"/>
  <c r="D139" i="42"/>
  <c r="F231" i="42"/>
  <c r="F201" i="42"/>
  <c r="F200" i="42"/>
  <c r="F273" i="42"/>
  <c r="D167" i="42"/>
  <c r="D138" i="42"/>
  <c r="D141" i="42"/>
  <c r="C152" i="42"/>
  <c r="F241" i="42"/>
  <c r="B157" i="42"/>
  <c r="F371" i="42"/>
  <c r="F174" i="42"/>
  <c r="F372" i="42"/>
  <c r="F227" i="42"/>
  <c r="F282" i="42"/>
  <c r="B149" i="42"/>
  <c r="F214" i="42"/>
  <c r="B120" i="42"/>
  <c r="C136" i="42"/>
  <c r="B171" i="42"/>
  <c r="F225" i="42"/>
  <c r="F205" i="42"/>
  <c r="F203" i="42"/>
  <c r="F318" i="42"/>
  <c r="F338" i="42"/>
  <c r="B158" i="42"/>
  <c r="F250" i="42"/>
  <c r="B159" i="42"/>
  <c r="F302" i="42"/>
  <c r="B163" i="42"/>
  <c r="F262" i="42"/>
  <c r="F245" i="42"/>
  <c r="F265" i="42"/>
  <c r="F279" i="42"/>
  <c r="F217" i="42"/>
  <c r="F221" i="42"/>
  <c r="F332" i="42"/>
  <c r="F276" i="42"/>
  <c r="D147" i="42"/>
  <c r="D171" i="42"/>
  <c r="F367" i="42"/>
  <c r="C104" i="42"/>
  <c r="C374" i="42"/>
  <c r="F266" i="42"/>
  <c r="F313" i="42"/>
  <c r="F238" i="42"/>
  <c r="F358" i="42"/>
  <c r="F320" i="42"/>
  <c r="F219" i="42"/>
  <c r="F183" i="42"/>
  <c r="F191" i="42"/>
  <c r="F298" i="42"/>
  <c r="F351" i="42"/>
  <c r="F267" i="42"/>
  <c r="F316" i="42"/>
  <c r="F257" i="42"/>
  <c r="F294" i="42"/>
  <c r="F274" i="42"/>
  <c r="B110" i="42"/>
  <c r="F350" i="42"/>
  <c r="F272" i="42"/>
  <c r="B282" i="42"/>
  <c r="B329" i="42"/>
  <c r="F114" i="42"/>
  <c r="D277" i="42"/>
  <c r="D134" i="42"/>
  <c r="C154" i="42"/>
  <c r="D144" i="42"/>
  <c r="C160" i="42"/>
  <c r="D166" i="42"/>
  <c r="D110" i="42"/>
  <c r="F286" i="42"/>
  <c r="F234" i="42"/>
  <c r="F186" i="42"/>
  <c r="F325" i="42"/>
  <c r="F303" i="42"/>
  <c r="D269" i="42"/>
  <c r="D135" i="42"/>
  <c r="F107" i="42"/>
  <c r="C163" i="42"/>
  <c r="D152" i="42"/>
  <c r="D170" i="42"/>
  <c r="C170" i="42"/>
  <c r="C121" i="42"/>
  <c r="C167" i="42"/>
  <c r="B170" i="42"/>
  <c r="F235" i="42"/>
  <c r="F202" i="42"/>
  <c r="F181" i="42"/>
  <c r="D164" i="42"/>
  <c r="C148" i="42"/>
  <c r="D259" i="42"/>
  <c r="D107" i="42"/>
  <c r="D155" i="42"/>
  <c r="D172" i="42"/>
  <c r="D162" i="42"/>
  <c r="C140" i="42"/>
  <c r="C161" i="42"/>
  <c r="F264" i="42"/>
  <c r="F237" i="42"/>
  <c r="F281" i="42"/>
  <c r="F339" i="42"/>
  <c r="F199" i="42"/>
  <c r="B288" i="42"/>
  <c r="C150" i="42"/>
  <c r="C145" i="42"/>
  <c r="D149" i="42"/>
  <c r="E112" i="42"/>
  <c r="C166" i="42"/>
  <c r="C158" i="42"/>
  <c r="C153" i="42"/>
  <c r="D114" i="42"/>
  <c r="E121" i="42"/>
  <c r="F218" i="42"/>
  <c r="F354" i="42"/>
  <c r="F312" i="42"/>
  <c r="F328" i="42"/>
  <c r="F263" i="42"/>
  <c r="D154" i="42"/>
  <c r="D165" i="42"/>
  <c r="D173" i="42"/>
  <c r="D145" i="42"/>
  <c r="E113" i="42"/>
  <c r="D286" i="42"/>
  <c r="C120" i="42"/>
  <c r="B146" i="42"/>
  <c r="F233" i="42"/>
  <c r="F359" i="42"/>
  <c r="F212" i="42"/>
  <c r="F248" i="42"/>
  <c r="B154" i="42"/>
  <c r="B148" i="42"/>
  <c r="B278" i="42"/>
  <c r="D136" i="42"/>
  <c r="D153" i="42"/>
  <c r="D157" i="42"/>
  <c r="D284" i="42"/>
  <c r="D275" i="42"/>
  <c r="D293" i="42"/>
  <c r="D262" i="42"/>
  <c r="E115" i="42"/>
  <c r="F261" i="42"/>
  <c r="F357" i="42"/>
  <c r="F330" i="42"/>
  <c r="F176" i="42"/>
  <c r="F204" i="42"/>
  <c r="F229" i="42"/>
  <c r="F222" i="42"/>
  <c r="D146" i="42"/>
  <c r="E111" i="42"/>
  <c r="C162" i="42"/>
  <c r="C137" i="42"/>
  <c r="D169" i="42"/>
  <c r="D283" i="42"/>
  <c r="D280" i="42"/>
  <c r="D257" i="42"/>
  <c r="B143" i="42"/>
  <c r="D291" i="42"/>
  <c r="F307" i="42"/>
  <c r="D288" i="42"/>
  <c r="F317" i="42"/>
  <c r="D290" i="42"/>
  <c r="F192" i="42"/>
  <c r="C165" i="42"/>
  <c r="F271" i="42"/>
  <c r="D320" i="42"/>
  <c r="C139" i="42"/>
  <c r="D156" i="42"/>
  <c r="D151" i="42"/>
  <c r="C172" i="42"/>
  <c r="D160" i="42"/>
  <c r="D260" i="42"/>
  <c r="D271" i="42"/>
  <c r="B132" i="42"/>
  <c r="C132" i="42"/>
  <c r="B133" i="42"/>
  <c r="D132" i="42"/>
  <c r="C131" i="42"/>
  <c r="B131" i="42"/>
  <c r="D31" i="42"/>
  <c r="B31" i="42"/>
  <c r="J523" i="35" l="1" a="1"/>
  <c r="J523" i="35" s="1"/>
  <c r="D523" i="35" s="1"/>
  <c r="C528" i="55" s="1"/>
  <c r="E57" i="47"/>
  <c r="E41" i="47"/>
  <c r="E70" i="47"/>
  <c r="E44" i="47"/>
  <c r="E66" i="47"/>
  <c r="E67" i="47"/>
  <c r="J488" i="35" a="1"/>
  <c r="J488" i="35" s="1"/>
  <c r="J499" i="35" a="1"/>
  <c r="J499" i="35" s="1"/>
  <c r="D499" i="35" s="1"/>
  <c r="C504" i="55" s="1"/>
  <c r="J903" i="35" a="1"/>
  <c r="J903" i="35" s="1"/>
  <c r="D903" i="35" s="1"/>
  <c r="C908" i="55" s="1"/>
  <c r="J893" i="35" a="1"/>
  <c r="J893" i="35" s="1"/>
  <c r="D893" i="35" s="1"/>
  <c r="C898" i="55" s="1"/>
  <c r="J913" i="35" a="1"/>
  <c r="J913" i="35" s="1"/>
  <c r="D913" i="35" s="1"/>
  <c r="C918" i="55" s="1"/>
  <c r="J923" i="35" a="1"/>
  <c r="J923" i="35" s="1"/>
  <c r="D923" i="35" s="1"/>
  <c r="C928" i="55" s="1"/>
  <c r="D488" i="35" l="1"/>
  <c r="C493" i="55" s="1"/>
  <c r="J517" i="35" a="1"/>
  <c r="J517" i="35" s="1"/>
  <c r="D517" i="35" s="1"/>
  <c r="J527" i="35" a="1"/>
  <c r="J527" i="35" s="1"/>
  <c r="D527" i="35" s="1"/>
  <c r="J537" i="35" a="1"/>
  <c r="J537" i="35" s="1"/>
  <c r="D537" i="35" s="1"/>
  <c r="J507" i="35" a="1"/>
  <c r="J507" i="35" s="1"/>
  <c r="D507" i="35" s="1"/>
  <c r="E54" i="47"/>
  <c r="J529" i="35" a="1"/>
  <c r="J529" i="35" s="1"/>
  <c r="D529" i="35" s="1"/>
  <c r="C534" i="55" s="1"/>
  <c r="J531" i="35" a="1"/>
  <c r="J531" i="35" s="1"/>
  <c r="D531" i="35" s="1"/>
  <c r="C536" i="55" s="1"/>
  <c r="J502" i="35" a="1"/>
  <c r="J502" i="35" s="1"/>
  <c r="D502" i="35" s="1"/>
  <c r="C507" i="55" s="1"/>
  <c r="J511" i="35" a="1"/>
  <c r="J511" i="35" s="1"/>
  <c r="D511" i="35" s="1"/>
  <c r="C516" i="55" s="1"/>
  <c r="J506" i="35" a="1"/>
  <c r="J506" i="35" s="1"/>
  <c r="D506" i="35" s="1"/>
  <c r="C511" i="55" s="1"/>
  <c r="J519" i="35" a="1"/>
  <c r="J519" i="35" s="1"/>
  <c r="D519" i="35" s="1"/>
  <c r="C524" i="55" s="1"/>
  <c r="J522" i="35" a="1"/>
  <c r="J522" i="35" s="1"/>
  <c r="D522" i="35" s="1"/>
  <c r="C527" i="55" s="1"/>
  <c r="J503" i="35" a="1"/>
  <c r="J503" i="35" s="1"/>
  <c r="D503" i="35" s="1"/>
  <c r="C508" i="55" s="1"/>
  <c r="J504" i="35" a="1"/>
  <c r="J504" i="35" s="1"/>
  <c r="D504" i="35" s="1"/>
  <c r="C509" i="55" s="1"/>
  <c r="J505" i="35" a="1"/>
  <c r="J505" i="35" s="1"/>
  <c r="D505" i="35" s="1"/>
  <c r="C510" i="55" s="1"/>
  <c r="J521" i="35" a="1"/>
  <c r="J521" i="35" s="1"/>
  <c r="D521" i="35" s="1"/>
  <c r="C526" i="55" s="1"/>
  <c r="J501" i="35" a="1"/>
  <c r="J501" i="35" s="1"/>
  <c r="D501" i="35" s="1"/>
  <c r="C506" i="55" s="1"/>
  <c r="J512" i="35" a="1"/>
  <c r="J512" i="35" s="1"/>
  <c r="D512" i="35" s="1"/>
  <c r="C517" i="55" s="1"/>
  <c r="E24" i="47"/>
  <c r="D47" i="52"/>
  <c r="D73" i="52"/>
  <c r="D34" i="52"/>
  <c r="D60" i="52"/>
  <c r="E7" i="47" l="1"/>
  <c r="C542" i="55"/>
  <c r="E71" i="47"/>
  <c r="C532" i="55"/>
  <c r="E58" i="47"/>
  <c r="C522" i="55"/>
  <c r="E45" i="47"/>
  <c r="C512" i="55"/>
  <c r="E32" i="47"/>
  <c r="N500" i="35"/>
  <c r="J500" i="35" s="1" a="1"/>
  <c r="J500" i="35" s="1"/>
  <c r="D500" i="35" s="1"/>
  <c r="C505" i="55" s="1"/>
  <c r="E31" i="47"/>
  <c r="E30" i="47"/>
  <c r="N510" i="35"/>
  <c r="J510" i="35" s="1" a="1"/>
  <c r="J510" i="35" s="1"/>
  <c r="D510" i="35" s="1"/>
  <c r="C515" i="55" s="1"/>
  <c r="E40" i="47"/>
  <c r="E63" i="47"/>
  <c r="N520" i="35"/>
  <c r="J520" i="35" s="1" a="1"/>
  <c r="J520" i="35" s="1"/>
  <c r="D520" i="35" s="1"/>
  <c r="C525" i="55" s="1"/>
  <c r="E53" i="47"/>
  <c r="E27" i="47"/>
  <c r="E50" i="47"/>
  <c r="N530" i="35"/>
  <c r="J530" i="35" s="1" a="1"/>
  <c r="J530" i="35" s="1"/>
  <c r="D530" i="35" s="1"/>
  <c r="C535" i="55" s="1"/>
  <c r="E29" i="47"/>
  <c r="E28" i="47"/>
  <c r="E52" i="47"/>
  <c r="E26" i="47"/>
  <c r="E39" i="47"/>
  <c r="E65" i="47"/>
  <c r="J509" i="35" a="1"/>
  <c r="J509" i="35" s="1"/>
  <c r="D509" i="35" s="1"/>
  <c r="C514" i="55" s="1"/>
  <c r="E51" i="47" l="1"/>
  <c r="E25" i="47"/>
  <c r="E64" i="47"/>
  <c r="E38" i="47"/>
  <c r="E37" i="47"/>
  <c r="D514" i="55" l="1"/>
  <c r="D536" i="55"/>
  <c r="D954" i="55"/>
  <c r="D998" i="55"/>
  <c r="D955" i="55"/>
  <c r="D977" i="55"/>
  <c r="D891" i="55"/>
  <c r="D913" i="55"/>
  <c r="D957" i="55"/>
  <c r="D979" i="55"/>
  <c r="D540" i="55"/>
  <c r="D893" i="55"/>
  <c r="D916" i="55"/>
  <c r="D960" i="55"/>
  <c r="D982" i="55"/>
  <c r="D1026" i="55"/>
  <c r="D895" i="55"/>
  <c r="D917" i="55"/>
  <c r="D983" i="55"/>
  <c r="D1005" i="55"/>
  <c r="D970" i="55"/>
  <c r="D1008" i="55"/>
  <c r="D971" i="55"/>
  <c r="D1009" i="55"/>
  <c r="D527" i="55"/>
  <c r="D964" i="55"/>
  <c r="D1006" i="55"/>
  <c r="D490" i="55"/>
  <c r="D533" i="55"/>
  <c r="D923" i="55"/>
  <c r="D965" i="55"/>
  <c r="D1011" i="55"/>
  <c r="D924" i="55"/>
  <c r="D1012" i="55"/>
  <c r="D925" i="55"/>
  <c r="D1013" i="55"/>
  <c r="D926" i="55"/>
  <c r="D972" i="55"/>
  <c r="D1014" i="55"/>
  <c r="D927" i="55"/>
  <c r="D973" i="55"/>
  <c r="D1015" i="55"/>
  <c r="D974" i="55"/>
  <c r="D978" i="55"/>
  <c r="D1016" i="55"/>
  <c r="D952" i="55"/>
  <c r="D1030" i="55"/>
  <c r="D902" i="55"/>
  <c r="D1033" i="55"/>
  <c r="D907" i="55"/>
  <c r="D509" i="55"/>
  <c r="D908" i="55"/>
  <c r="D904" i="55"/>
  <c r="D963" i="55"/>
  <c r="D986" i="55"/>
  <c r="D995" i="55"/>
  <c r="D992" i="55"/>
  <c r="D993" i="55"/>
  <c r="D523" i="55"/>
  <c r="D996" i="55"/>
  <c r="D951" i="55"/>
  <c r="D1004" i="55"/>
  <c r="D531" i="55"/>
  <c r="D950" i="55"/>
  <c r="D491" i="55"/>
  <c r="D513" i="55"/>
  <c r="D535" i="55"/>
  <c r="D909" i="55"/>
  <c r="D953" i="55"/>
  <c r="D975" i="55"/>
  <c r="D997" i="55"/>
  <c r="D1019" i="55"/>
  <c r="D521" i="55"/>
  <c r="D901" i="55"/>
  <c r="D522" i="55"/>
  <c r="D515" i="55"/>
  <c r="D541" i="55"/>
  <c r="D981" i="55"/>
  <c r="D1029" i="55"/>
  <c r="D516" i="55"/>
  <c r="D542" i="55"/>
  <c r="D958" i="55"/>
  <c r="D517" i="55"/>
  <c r="D543" i="55"/>
  <c r="D910" i="55"/>
  <c r="D959" i="55"/>
  <c r="D1007" i="55"/>
  <c r="D1031" i="55"/>
  <c r="D518" i="55"/>
  <c r="D911" i="55"/>
  <c r="D984" i="55"/>
  <c r="D1032" i="55"/>
  <c r="D507" i="55"/>
  <c r="D539" i="55"/>
  <c r="D922" i="55"/>
  <c r="D985" i="55"/>
  <c r="D508" i="55"/>
  <c r="D894" i="55"/>
  <c r="D987" i="55"/>
  <c r="D510" i="55"/>
  <c r="D896" i="55"/>
  <c r="D956" i="55"/>
  <c r="D988" i="55"/>
  <c r="D1017" i="55"/>
  <c r="D511" i="55"/>
  <c r="D897" i="55"/>
  <c r="D928" i="55"/>
  <c r="D961" i="55"/>
  <c r="D989" i="55"/>
  <c r="D1018" i="55"/>
  <c r="D525" i="55"/>
  <c r="D892" i="55"/>
  <c r="D1010" i="55"/>
  <c r="D526" i="55"/>
  <c r="D898" i="55"/>
  <c r="D899" i="55"/>
  <c r="D528" i="55"/>
  <c r="D900" i="55"/>
  <c r="D976" i="55"/>
  <c r="D1020" i="55"/>
  <c r="D1027" i="55"/>
  <c r="D538" i="55"/>
  <c r="D1028" i="55"/>
  <c r="D504" i="55"/>
  <c r="D919" i="55"/>
  <c r="D999" i="55"/>
  <c r="D921" i="55"/>
  <c r="D1001" i="55"/>
  <c r="D519" i="55"/>
  <c r="D967" i="55"/>
  <c r="D1003" i="55"/>
  <c r="D890" i="55"/>
  <c r="D969" i="55"/>
  <c r="D529" i="55"/>
  <c r="D903" i="55"/>
  <c r="D1021" i="55"/>
  <c r="D1093" i="55"/>
  <c r="D493" i="55"/>
  <c r="D530" i="55"/>
  <c r="D1022" i="55"/>
  <c r="D905" i="55"/>
  <c r="D1023" i="55"/>
  <c r="D532" i="55"/>
  <c r="D906" i="55"/>
  <c r="D980" i="55"/>
  <c r="D1024" i="55"/>
  <c r="D912" i="55"/>
  <c r="D990" i="55"/>
  <c r="D1025" i="55"/>
  <c r="D534" i="55"/>
  <c r="D991" i="55"/>
  <c r="D537" i="55"/>
  <c r="D914" i="55"/>
  <c r="D915" i="55"/>
  <c r="D994" i="55"/>
  <c r="D962" i="55"/>
  <c r="D918" i="55"/>
  <c r="D505" i="55"/>
  <c r="D506" i="55"/>
  <c r="D920" i="55"/>
  <c r="D1000" i="55"/>
  <c r="D512" i="55"/>
  <c r="D966" i="55"/>
  <c r="D1002" i="55"/>
  <c r="D520" i="55"/>
  <c r="D889" i="55"/>
  <c r="D968" i="55"/>
  <c r="D524" i="55"/>
  <c r="C337" i="35" a="1"/>
  <c r="V615" i="35" a="1"/>
  <c r="I16" i="35"/>
  <c r="C177" i="35" a="1"/>
  <c r="E728" i="35" a="1"/>
  <c r="I579" i="35"/>
  <c r="V165" i="35" a="1"/>
  <c r="F211" i="35" a="1"/>
  <c r="V352" i="35" a="1"/>
  <c r="F841" i="35" a="1"/>
  <c r="V325" i="35" a="1"/>
  <c r="C843" i="35" a="1"/>
  <c r="C629" i="35" a="1"/>
  <c r="C603" i="35" a="1"/>
  <c r="C668" i="35" a="1"/>
  <c r="E773" i="35" a="1"/>
  <c r="V669" i="35" a="1"/>
  <c r="V677" i="35" a="1"/>
  <c r="C733" i="35" a="1"/>
  <c r="V232" i="35" a="1"/>
  <c r="I122" i="35"/>
  <c r="C839" i="35" a="1"/>
  <c r="E244" i="35" a="1"/>
  <c r="F273" i="35" a="1"/>
  <c r="E719" i="35" a="1"/>
  <c r="V290" i="35" a="1"/>
  <c r="E622" i="35" a="1"/>
  <c r="C365" i="35" a="1"/>
  <c r="F563" i="35" a="1"/>
  <c r="I29" i="35"/>
  <c r="F256" i="35" a="1"/>
  <c r="V724" i="35" a="1"/>
  <c r="E187" i="35" a="1"/>
  <c r="V298" i="35" a="1"/>
  <c r="C811" i="35" a="1"/>
  <c r="V706" i="35" a="1"/>
  <c r="C314" i="35" a="1"/>
  <c r="I1067" i="35"/>
  <c r="C23" i="35" a="1"/>
  <c r="I44" i="35"/>
  <c r="V854" i="35" a="1"/>
  <c r="F207" i="35" a="1"/>
  <c r="E705" i="35" a="1"/>
  <c r="F240" i="35" a="1"/>
  <c r="F672" i="35" a="1"/>
  <c r="I125" i="35"/>
  <c r="F673" i="35" a="1"/>
  <c r="F739" i="35" a="1"/>
  <c r="C841" i="35" a="1"/>
  <c r="I98" i="35"/>
  <c r="E364" i="35" a="1"/>
  <c r="V172" i="35" a="1"/>
  <c r="E668" i="35" a="1"/>
  <c r="C642" i="35" a="1"/>
  <c r="E178" i="35" a="1"/>
  <c r="C143" i="35" a="1"/>
  <c r="I89" i="35"/>
  <c r="E680" i="35" a="1"/>
  <c r="I927" i="35"/>
  <c r="F604" i="35" a="1"/>
  <c r="C5" i="35" a="1"/>
  <c r="E734" i="35" a="1"/>
  <c r="C690" i="35" a="1"/>
  <c r="F283" i="35" a="1"/>
  <c r="F705" i="35" a="1"/>
  <c r="I407" i="35"/>
  <c r="C233" i="35" a="1"/>
  <c r="F860" i="35" a="1"/>
  <c r="F827" i="35" a="1"/>
  <c r="F818" i="35" a="1"/>
  <c r="E312" i="35" a="1"/>
  <c r="C713" i="35" a="1"/>
  <c r="I931" i="35"/>
  <c r="C154" i="35" a="1"/>
  <c r="C262" i="35" a="1"/>
  <c r="F778" i="35" a="1"/>
  <c r="I133" i="35"/>
  <c r="I1040" i="35"/>
  <c r="E836" i="35" a="1"/>
  <c r="V750" i="35" a="1"/>
  <c r="V843" i="35" a="1"/>
  <c r="C293" i="35" a="1"/>
  <c r="E211" i="35" a="1"/>
  <c r="F785" i="35" a="1"/>
  <c r="F151" i="35" a="1"/>
  <c r="I926" i="35"/>
  <c r="C653" i="35" a="1"/>
  <c r="E567" i="35" a="1"/>
  <c r="E263" i="35" a="1"/>
  <c r="E779" i="35" a="1"/>
  <c r="V698" i="35" a="1"/>
  <c r="E667" i="35" a="1"/>
  <c r="F708" i="35" a="1"/>
  <c r="I408" i="35"/>
  <c r="F725" i="35" a="1"/>
  <c r="V870" i="35" a="1"/>
  <c r="C334" i="35" a="1"/>
  <c r="F732" i="35" a="1"/>
  <c r="F321" i="35" a="1"/>
  <c r="V283" i="35" a="1"/>
  <c r="E739" i="35" a="1"/>
  <c r="F243" i="35" a="1"/>
  <c r="C346" i="35" a="1"/>
  <c r="C195" i="35" a="1"/>
  <c r="E185" i="35" a="1"/>
  <c r="C755" i="35" a="1"/>
  <c r="C202" i="35" a="1"/>
  <c r="V187" i="35" a="1"/>
  <c r="V582" i="35" a="1"/>
  <c r="F806" i="35" a="1"/>
  <c r="C735" i="35" a="1"/>
  <c r="V381" i="35" a="1"/>
  <c r="C774" i="35" a="1"/>
  <c r="V809" i="35" a="1"/>
  <c r="V695" i="35" a="1"/>
  <c r="F624" i="35" a="1"/>
  <c r="I1068" i="35"/>
  <c r="C327" i="35" a="1"/>
  <c r="E662" i="35" a="1"/>
  <c r="I91" i="35"/>
  <c r="E623" i="35" a="1"/>
  <c r="E824" i="35" a="1"/>
  <c r="F594" i="35" a="1"/>
  <c r="F718" i="35" a="1"/>
  <c r="C484" i="35" a="1"/>
  <c r="I1062" i="35"/>
  <c r="V266" i="35" a="1"/>
  <c r="E612" i="35" a="1"/>
  <c r="C671" i="35" a="1"/>
  <c r="V641" i="35" a="1"/>
  <c r="C255" i="35" a="1"/>
  <c r="I129" i="35"/>
  <c r="V850" i="35" a="1"/>
  <c r="C315" i="35" a="1"/>
  <c r="C284" i="35" a="1"/>
  <c r="C631" i="35" a="1"/>
  <c r="I573" i="35"/>
  <c r="E485" i="35" a="1"/>
  <c r="E678" i="35" a="1"/>
  <c r="C822" i="35" a="1"/>
  <c r="E769" i="35" a="1"/>
  <c r="C333" i="35" a="1"/>
  <c r="I580" i="35"/>
  <c r="V776" i="35" a="1"/>
  <c r="F808" i="35" a="1"/>
  <c r="V341" i="35" a="1"/>
  <c r="E693" i="35" a="1"/>
  <c r="C379" i="35" a="1"/>
  <c r="F144" i="35" a="1"/>
  <c r="I2" i="35"/>
  <c r="E153" i="35" a="1"/>
  <c r="I264" i="35"/>
  <c r="C836" i="35" a="1"/>
  <c r="E590" i="35" a="1"/>
  <c r="E309" i="35" a="1"/>
  <c r="E283" i="35" a="1"/>
  <c r="E808" i="35" a="1"/>
  <c r="V163" i="35" a="1"/>
  <c r="I47" i="35"/>
  <c r="E770" i="35" a="1"/>
  <c r="C322" i="35" a="1"/>
  <c r="I878" i="35"/>
  <c r="V591" i="35" a="1"/>
  <c r="F210" i="35" a="1"/>
  <c r="C252" i="35" a="1"/>
  <c r="V380" i="35" a="1"/>
  <c r="E250" i="35" a="1"/>
  <c r="C720" i="35" a="1"/>
  <c r="I48" i="35"/>
  <c r="E556" i="35" a="1"/>
  <c r="E856" i="35" a="1"/>
  <c r="V329" i="35" a="1"/>
  <c r="F783" i="35" a="1"/>
  <c r="C241" i="35" a="1"/>
  <c r="C480" i="35" a="1"/>
  <c r="V688" i="35" a="1"/>
  <c r="V649" i="35" a="1"/>
  <c r="C173" i="35" a="1"/>
  <c r="E762" i="35" a="1"/>
  <c r="V348" i="35" a="1"/>
  <c r="E825" i="35" a="1"/>
  <c r="F701" i="35" a="1"/>
  <c r="I14" i="35"/>
  <c r="V770" i="35" a="1"/>
  <c r="I51" i="35"/>
  <c r="I111" i="35"/>
  <c r="F640" i="35" a="1"/>
  <c r="C664" i="35" a="1"/>
  <c r="E741" i="35" a="1"/>
  <c r="E343" i="35" a="1"/>
  <c r="E333" i="35" a="1"/>
  <c r="F781" i="35" a="1"/>
  <c r="F669" i="35" a="1"/>
  <c r="V635" i="35" a="1"/>
  <c r="I109" i="35"/>
  <c r="I38" i="35"/>
  <c r="I147" i="35"/>
  <c r="C872" i="35" a="1"/>
  <c r="F174" i="35" a="1"/>
  <c r="V702" i="35" a="1"/>
  <c r="F603" i="35" a="1"/>
  <c r="C815" i="35" a="1"/>
  <c r="I490" i="35"/>
  <c r="E737" i="35" a="1"/>
  <c r="I934" i="35"/>
  <c r="C356" i="35" a="1"/>
  <c r="E479" i="35" a="1"/>
  <c r="F654" i="35" a="1"/>
  <c r="V323" i="35" a="1"/>
  <c r="E670" i="35" a="1"/>
  <c r="V748" i="35" a="1"/>
  <c r="E481" i="35" a="1"/>
  <c r="F367" i="35" a="1"/>
  <c r="F361" i="35" a="1"/>
  <c r="V344" i="35" a="1"/>
  <c r="C289" i="35" a="1"/>
  <c r="V664" i="35" a="1"/>
  <c r="F865" i="35" a="1"/>
  <c r="C848" i="35" a="1"/>
  <c r="I46" i="35"/>
  <c r="V373" i="35" a="1"/>
  <c r="F613" i="35" a="1"/>
  <c r="C145" i="35" a="1"/>
  <c r="C162" i="35" a="1"/>
  <c r="F632" i="35" a="1"/>
  <c r="I30" i="35"/>
  <c r="E257" i="35" a="1"/>
  <c r="C166" i="35" a="1"/>
  <c r="V136" i="35" a="1"/>
  <c r="E251" i="35" a="1"/>
  <c r="F191" i="35" a="1"/>
  <c r="F262" i="35" a="1"/>
  <c r="E765" i="35" a="1"/>
  <c r="C569" i="35" a="1"/>
  <c r="F629" i="35" a="1"/>
  <c r="E772" i="35" a="1"/>
  <c r="F212" i="35" a="1"/>
  <c r="C291" i="35" a="1"/>
  <c r="V846" i="35" a="1"/>
  <c r="V285" i="35" a="1"/>
  <c r="I8" i="35"/>
  <c r="F200" i="35" a="1"/>
  <c r="V650" i="35" a="1"/>
  <c r="V21" i="35" a="1"/>
  <c r="E156" i="35" a="1"/>
  <c r="I552" i="35"/>
  <c r="C153" i="35" a="1"/>
  <c r="C819" i="35" a="1"/>
  <c r="E817" i="35" a="1"/>
  <c r="E650" i="35" a="1"/>
  <c r="V307" i="35" a="1"/>
  <c r="F182" i="35" a="1"/>
  <c r="I498" i="35"/>
  <c r="V600" i="35" a="1"/>
  <c r="V144" i="35" a="1"/>
  <c r="I121" i="35"/>
  <c r="E642" i="35" a="1"/>
  <c r="E289" i="35" a="1"/>
  <c r="V182" i="35" a="1"/>
  <c r="E27" i="35" a="1"/>
  <c r="I39" i="35"/>
  <c r="C605" i="35" a="1"/>
  <c r="E236" i="35" a="1"/>
  <c r="C649" i="35" a="1"/>
  <c r="F769" i="35" a="1"/>
  <c r="F684" i="35" a="1"/>
  <c r="V319" i="35" a="1"/>
  <c r="I790" i="35"/>
  <c r="C699" i="35" a="1"/>
  <c r="E736" i="35" a="1"/>
  <c r="I1063" i="35"/>
  <c r="C777" i="35" a="1"/>
  <c r="C149" i="35" a="1"/>
  <c r="V622" i="35" a="1"/>
  <c r="I97" i="35"/>
  <c r="C859" i="35" a="1"/>
  <c r="E370" i="35" a="1"/>
  <c r="V177" i="35" a="1"/>
  <c r="I1087" i="35"/>
  <c r="C352" i="35" a="1"/>
  <c r="E835" i="35" a="1"/>
  <c r="E689" i="35" a="1"/>
  <c r="E365" i="35" a="1"/>
  <c r="V279" i="35" a="1"/>
  <c r="V666" i="35" a="1"/>
  <c r="C364" i="35" a="1"/>
  <c r="V286" i="35" a="1"/>
  <c r="E295" i="35" a="1"/>
  <c r="E771" i="35" a="1"/>
  <c r="C357" i="35" a="1"/>
  <c r="E215" i="35" a="1"/>
  <c r="C205" i="35" a="1"/>
  <c r="I383" i="35"/>
  <c r="E837" i="35" a="1"/>
  <c r="V292" i="35" a="1"/>
  <c r="C769" i="35" a="1"/>
  <c r="C846" i="35" a="1"/>
  <c r="C612" i="35" a="1"/>
  <c r="E717" i="35" a="1"/>
  <c r="F365" i="35" a="1"/>
  <c r="V814" i="35" a="1"/>
  <c r="E750" i="35" a="1"/>
  <c r="I883" i="35"/>
  <c r="E170" i="35" a="1"/>
  <c r="E600" i="35" a="1"/>
  <c r="I788" i="35"/>
  <c r="V676" i="35" a="1"/>
  <c r="C27" i="35" a="1"/>
  <c r="C661" i="35" a="1"/>
  <c r="F772" i="35" a="1"/>
  <c r="C372" i="35" a="1"/>
  <c r="C167" i="35" a="1"/>
  <c r="V753" i="35" a="1"/>
  <c r="F248" i="35" a="1"/>
  <c r="C764" i="35" a="1"/>
  <c r="C312" i="35" a="1"/>
  <c r="F326" i="35" a="1"/>
  <c r="C483" i="35" a="1"/>
  <c r="V149" i="35" a="1"/>
  <c r="F565" i="35" a="1"/>
  <c r="V774" i="35" a="1"/>
  <c r="C207" i="35" a="1"/>
  <c r="V327" i="35" a="1"/>
  <c r="F379" i="35" a="1"/>
  <c r="E645" i="35" a="1"/>
  <c r="C729" i="35" a="1"/>
  <c r="F655" i="35" a="1"/>
  <c r="F145" i="35" a="1"/>
  <c r="E233" i="35" a="1"/>
  <c r="E225" i="35" a="1"/>
  <c r="C728" i="35" a="1"/>
  <c r="I928" i="35"/>
  <c r="C748" i="35" a="1"/>
  <c r="V258" i="35" a="1"/>
  <c r="I123" i="35"/>
  <c r="E181" i="35" a="1"/>
  <c r="C704" i="35" a="1"/>
  <c r="E870" i="35" a="1"/>
  <c r="E200" i="35" a="1"/>
  <c r="F721" i="35" a="1"/>
  <c r="I412" i="35"/>
  <c r="C168" i="35" a="1"/>
  <c r="E183" i="35" a="1"/>
  <c r="F173" i="35" a="1"/>
  <c r="V869" i="35" a="1"/>
  <c r="C277" i="35" a="1"/>
  <c r="F777" i="35" a="1"/>
  <c r="I1051" i="35"/>
  <c r="E617" i="35" a="1"/>
  <c r="C814" i="35" a="1"/>
  <c r="V317" i="35" a="1"/>
  <c r="F355" i="35" a="1"/>
  <c r="I801" i="35"/>
  <c r="I940" i="35"/>
  <c r="V726" i="35" a="1"/>
  <c r="F266" i="35" a="1"/>
  <c r="F319" i="35" a="1"/>
  <c r="V277" i="35" a="1"/>
  <c r="E484" i="35" a="1"/>
  <c r="I418" i="35"/>
  <c r="I550" i="35"/>
  <c r="F171" i="35" a="1"/>
  <c r="E554" i="35" a="1"/>
  <c r="F280" i="35" a="1"/>
  <c r="E778" i="35" a="1"/>
  <c r="C660" i="35" a="1"/>
  <c r="E376" i="35" a="1"/>
  <c r="C571" i="35" a="1"/>
  <c r="C180" i="35" a="1"/>
  <c r="V782" i="35" a="1"/>
  <c r="E340" i="35" a="1"/>
  <c r="V146" i="35" a="1"/>
  <c r="V284" i="35" a="1"/>
  <c r="F823" i="35" a="1"/>
  <c r="F140" i="35" a="1"/>
  <c r="F247" i="35" a="1"/>
  <c r="I113" i="35"/>
  <c r="C257" i="35" a="1"/>
  <c r="V675" i="35" a="1"/>
  <c r="F859" i="35" a="1"/>
  <c r="E861" i="35" a="1"/>
  <c r="V296" i="35" a="1"/>
  <c r="V345" i="35" a="1"/>
  <c r="I197" i="35"/>
  <c r="F591" i="35" a="1"/>
  <c r="E262" i="35" a="1"/>
  <c r="E342" i="35" a="1"/>
  <c r="C302" i="35" a="1"/>
  <c r="V227" i="35" a="1"/>
  <c r="I1074" i="35"/>
  <c r="I924" i="35"/>
  <c r="I874" i="35"/>
  <c r="V607" i="35" a="1"/>
  <c r="E478" i="35" a="1"/>
  <c r="V778" i="35" a="1"/>
  <c r="F107" i="35" a="1"/>
  <c r="C607" i="35" a="1"/>
  <c r="C567" i="35" a="1"/>
  <c r="E621" i="35" a="1"/>
  <c r="E868" i="35" a="1"/>
  <c r="C636" i="35" a="1"/>
  <c r="C693" i="35" a="1"/>
  <c r="C594" i="35" a="1"/>
  <c r="C203" i="35" a="1"/>
  <c r="V269" i="35" a="1"/>
  <c r="F566" i="35" a="1"/>
  <c r="V826" i="35" a="1"/>
  <c r="E813" i="35" a="1"/>
  <c r="F657" i="35" a="1"/>
  <c r="E351" i="35" a="1"/>
  <c r="V167" i="35" a="1"/>
  <c r="F707" i="35" a="1"/>
  <c r="C831" i="35" a="1"/>
  <c r="C186" i="35" a="1"/>
  <c r="C813" i="35" a="1"/>
  <c r="V769" i="35" a="1"/>
  <c r="V320" i="35" a="1"/>
  <c r="F770" i="35" a="1"/>
  <c r="F218" i="35" a="1"/>
  <c r="I61" i="35"/>
  <c r="C865" i="35" a="1"/>
  <c r="I102" i="35"/>
  <c r="F238" i="35" a="1"/>
  <c r="F602" i="35" a="1"/>
  <c r="E862" i="35" a="1"/>
  <c r="V553" i="35" a="1"/>
  <c r="I1084" i="35"/>
  <c r="F325" i="35" a="1"/>
  <c r="E248" i="35" a="1"/>
  <c r="F812" i="35" a="1"/>
  <c r="E234" i="35" a="1"/>
  <c r="C701" i="35" a="1"/>
  <c r="I110" i="35"/>
  <c r="C300" i="35" a="1"/>
  <c r="V27" i="35" a="1"/>
  <c r="C652" i="35" a="1"/>
  <c r="F350" i="35" a="1"/>
  <c r="F224" i="35" a="1"/>
  <c r="V712" i="35" a="1"/>
  <c r="F276" i="35" a="1"/>
  <c r="V202" i="35" a="1"/>
  <c r="V546" i="35" a="1"/>
  <c r="V681" i="35" a="1"/>
  <c r="C201" i="35" a="1"/>
  <c r="E744" i="35" a="1"/>
  <c r="C853" i="35" a="1"/>
  <c r="V817" i="35" a="1"/>
  <c r="C767" i="35" a="1"/>
  <c r="I475" i="35"/>
  <c r="V265" i="35" a="1"/>
  <c r="V196" i="35" a="1"/>
  <c r="C338" i="35" a="1"/>
  <c r="F186" i="35" a="1"/>
  <c r="F196" i="35" a="1"/>
  <c r="E845" i="35" a="1"/>
  <c r="V754" i="35" a="1"/>
  <c r="F305" i="35" a="1"/>
  <c r="C596" i="35" a="1"/>
  <c r="F863" i="35" a="1"/>
  <c r="V363" i="35" a="1"/>
  <c r="C298" i="35" a="1"/>
  <c r="C288" i="35" a="1"/>
  <c r="V282" i="35" a="1"/>
  <c r="V225" i="35" a="1"/>
  <c r="E256" i="35" a="1"/>
  <c r="F746" i="35" a="1"/>
  <c r="C684" i="35" a="1"/>
  <c r="V640" i="35" a="1"/>
  <c r="C304" i="35" a="1"/>
  <c r="E857" i="35" a="1"/>
  <c r="F618" i="35" a="1"/>
  <c r="I1082" i="35"/>
  <c r="E5" i="35" a="1"/>
  <c r="V270" i="35" a="1"/>
  <c r="F857" i="35" a="1"/>
  <c r="V722" i="35" a="1"/>
  <c r="V210" i="35" a="1"/>
  <c r="C805" i="35" a="1"/>
  <c r="C746" i="35" a="1"/>
  <c r="E743" i="35" a="1"/>
  <c r="I1069" i="35"/>
  <c r="C679" i="35" a="1"/>
  <c r="F631" i="35" a="1"/>
  <c r="F24" i="35" a="1"/>
  <c r="C632" i="35" a="1"/>
  <c r="E687" i="35" a="1"/>
  <c r="I80" i="35"/>
  <c r="C740" i="35" a="1"/>
  <c r="C169" i="35" a="1"/>
  <c r="V315" i="35" a="1"/>
  <c r="C486" i="35" a="1"/>
  <c r="F570" i="35" a="1"/>
  <c r="E843" i="35" a="1"/>
  <c r="C715" i="35" a="1"/>
  <c r="I58" i="35"/>
  <c r="C672" i="35" a="1"/>
  <c r="I106" i="35"/>
  <c r="V299" i="35" a="1"/>
  <c r="E294" i="35" a="1"/>
  <c r="E660" i="35" a="1"/>
  <c r="C770" i="35" a="1"/>
  <c r="C292" i="35" a="1"/>
  <c r="E760" i="35" a="1"/>
  <c r="V481" i="35" a="1"/>
  <c r="I489" i="35"/>
  <c r="C606" i="35" a="1"/>
  <c r="E627" i="35" a="1"/>
  <c r="E279" i="35" a="1"/>
  <c r="E865" i="35" a="1"/>
  <c r="F293" i="35" a="1"/>
  <c r="F330" i="35" a="1"/>
  <c r="E253" i="35" a="1"/>
  <c r="C821" i="35" a="1"/>
  <c r="I589" i="35"/>
  <c r="F676" i="35" a="1"/>
  <c r="I1055" i="35"/>
  <c r="C772" i="35" a="1"/>
  <c r="C754" i="35" a="1"/>
  <c r="V602" i="35" a="1"/>
  <c r="F232" i="35" a="1"/>
  <c r="C566" i="35" a="1"/>
  <c r="E712" i="35" a="1"/>
  <c r="F871" i="35" a="1"/>
  <c r="V214" i="35" a="1"/>
  <c r="V873" i="35" a="1"/>
  <c r="I56" i="35"/>
  <c r="C624" i="35" a="1"/>
  <c r="C662" i="35" a="1"/>
  <c r="C343" i="35" a="1"/>
  <c r="F357" i="35" a="1"/>
  <c r="E184" i="35" a="1"/>
  <c r="F555" i="35" a="1"/>
  <c r="C245" i="35" a="1"/>
  <c r="F160" i="35" a="1"/>
  <c r="V760" i="35" a="1"/>
  <c r="C667" i="35" a="1"/>
  <c r="E605" i="35" a="1"/>
  <c r="F185" i="35" a="1"/>
  <c r="F622" i="35" a="1"/>
  <c r="V720" i="35" a="1"/>
  <c r="V243" i="35" a="1"/>
  <c r="E869" i="35" a="1"/>
  <c r="C825" i="35" a="1"/>
  <c r="I416" i="35"/>
  <c r="E310" i="35" a="1"/>
  <c r="V786" i="35" a="1"/>
  <c r="E354" i="35" a="1"/>
  <c r="V204" i="35" a="1"/>
  <c r="F356" i="35" a="1"/>
  <c r="V195" i="35" a="1"/>
  <c r="I880" i="35"/>
  <c r="C758" i="35" a="1"/>
  <c r="E267" i="35" a="1"/>
  <c r="E626" i="35" a="1"/>
  <c r="F616" i="35" a="1"/>
  <c r="V216" i="35" a="1"/>
  <c r="F571" i="35" a="1"/>
  <c r="F250" i="35" a="1"/>
  <c r="C329" i="35" a="1"/>
  <c r="C756" i="35" a="1"/>
  <c r="C198" i="35" a="1"/>
  <c r="I18" i="35"/>
  <c r="C597" i="35" a="1"/>
  <c r="F720" i="35" a="1"/>
  <c r="I491" i="35"/>
  <c r="V559" i="35" a="1"/>
  <c r="I118" i="35"/>
  <c r="C725" i="35" a="1"/>
  <c r="E561" i="35" a="1"/>
  <c r="F636" i="35" a="1"/>
  <c r="V590" i="35" a="1"/>
  <c r="C724" i="35" a="1"/>
  <c r="F340" i="35" a="1"/>
  <c r="E321" i="35" a="1"/>
  <c r="I84" i="35"/>
  <c r="E319" i="35" a="1"/>
  <c r="C199" i="35" a="1"/>
  <c r="V156" i="35" a="1"/>
  <c r="C211" i="35" a="1"/>
  <c r="C227" i="35" a="1"/>
  <c r="C555" i="35" a="1"/>
  <c r="C864" i="35" a="1"/>
  <c r="C310" i="35" a="1"/>
  <c r="F849" i="35" a="1"/>
  <c r="C747" i="35" a="1"/>
  <c r="C268" i="35" a="1"/>
  <c r="E822" i="35" a="1"/>
  <c r="I586" i="35"/>
  <c r="F219" i="35" a="1"/>
  <c r="C867" i="35" a="1"/>
  <c r="C172" i="35" a="1"/>
  <c r="E180" i="35" a="1"/>
  <c r="V36" i="35" a="1"/>
  <c r="E210" i="35" a="1"/>
  <c r="V164" i="35" a="1"/>
  <c r="F867" i="35" a="1"/>
  <c r="C174" i="35" a="1"/>
  <c r="F206" i="35" a="1"/>
  <c r="V140" i="35" a="1"/>
  <c r="F208" i="35" a="1"/>
  <c r="C301" i="35" a="1"/>
  <c r="C368" i="35" a="1"/>
  <c r="F172" i="35" a="1"/>
  <c r="E767" i="35" a="1"/>
  <c r="V780" i="35" a="1"/>
  <c r="E872" i="35" a="1"/>
  <c r="V339" i="35" a="1"/>
  <c r="E260" i="35" a="1"/>
  <c r="I6" i="35"/>
  <c r="F568" i="35" a="1"/>
  <c r="I7" i="35"/>
  <c r="I117" i="35"/>
  <c r="C308" i="35" a="1"/>
  <c r="C651" i="35" a="1"/>
  <c r="V866" i="35" a="1"/>
  <c r="F731" i="35" a="1"/>
  <c r="F556" i="35" a="1"/>
  <c r="E154" i="35" a="1"/>
  <c r="I1057" i="35"/>
  <c r="C283" i="35" a="1"/>
  <c r="F372" i="35" a="1"/>
  <c r="F203" i="35" a="1"/>
  <c r="V812" i="35" a="1"/>
  <c r="C235" i="35" a="1"/>
  <c r="V857" i="35" a="1"/>
  <c r="I802" i="35"/>
  <c r="V334" i="35" a="1"/>
  <c r="V291" i="35" a="1"/>
  <c r="I1081" i="35"/>
  <c r="F343" i="35" a="1"/>
  <c r="V616" i="35" a="1"/>
  <c r="C743" i="35" a="1"/>
  <c r="C600" i="35" a="1"/>
  <c r="C858" i="35" a="1"/>
  <c r="E866" i="35" a="1"/>
  <c r="C279" i="35" a="1"/>
  <c r="C763" i="35" a="1"/>
  <c r="F303" i="35" a="1"/>
  <c r="F176" i="35" a="1"/>
  <c r="I1061" i="35"/>
  <c r="V568" i="35" a="1"/>
  <c r="F759" i="35" a="1"/>
  <c r="V560" i="35" a="1"/>
  <c r="V604" i="35" a="1"/>
  <c r="E774" i="35" a="1"/>
  <c r="E565" i="35" a="1"/>
  <c r="V714" i="35" a="1"/>
  <c r="C711" i="35" a="1"/>
  <c r="F327" i="35" a="1"/>
  <c r="C816" i="35" a="1"/>
  <c r="E293" i="35" a="1"/>
  <c r="F832" i="35" a="1"/>
  <c r="V644" i="35" a="1"/>
  <c r="F698" i="35" a="1"/>
  <c r="F758" i="35" a="1"/>
  <c r="V734" i="35" a="1"/>
  <c r="F205" i="35" a="1"/>
  <c r="F246" i="35" a="1"/>
  <c r="E308" i="35" a="1"/>
  <c r="C367" i="35" a="1"/>
  <c r="C152" i="35" a="1"/>
  <c r="V685" i="35" a="1"/>
  <c r="I932" i="35"/>
  <c r="F610" i="35" a="1"/>
  <c r="F744" i="35" a="1"/>
  <c r="V25" i="35" a="1"/>
  <c r="E606" i="35" a="1"/>
  <c r="V683" i="35" a="1"/>
  <c r="I1035" i="35"/>
  <c r="F265" i="35" a="1"/>
  <c r="V629" i="35" a="1"/>
  <c r="F269" i="35" a="1"/>
  <c r="C184" i="35" a="1"/>
  <c r="E298" i="35" a="1"/>
  <c r="V697" i="35" a="1"/>
  <c r="V656" i="35" a="1"/>
  <c r="F765" i="35" a="1"/>
  <c r="E258" i="35" a="1"/>
  <c r="V603" i="35" a="1"/>
  <c r="V834" i="35" a="1"/>
  <c r="V382" i="35" a="1"/>
  <c r="E635" i="35" a="1"/>
  <c r="V735" i="35" a="1"/>
  <c r="C752" i="35" a="1"/>
  <c r="V597" i="35" a="1"/>
  <c r="F702" i="35" a="1"/>
  <c r="F294" i="35" a="1"/>
  <c r="V594" i="35" a="1"/>
  <c r="C175" i="35" a="1"/>
  <c r="V761" i="35" a="1"/>
  <c r="V353" i="35" a="1"/>
  <c r="F202" i="35" a="1"/>
  <c r="V637" i="35" a="1"/>
  <c r="C750" i="35" a="1"/>
  <c r="E775" i="35" a="1"/>
  <c r="E833" i="35" a="1"/>
  <c r="C150" i="35" a="1"/>
  <c r="C107" i="35" a="1"/>
  <c r="E278" i="35" a="1"/>
  <c r="I76" i="35"/>
  <c r="V643" i="35" a="1"/>
  <c r="V696" i="35" a="1"/>
  <c r="E196" i="35" a="1"/>
  <c r="C655" i="35" a="1"/>
  <c r="E756" i="35" a="1"/>
  <c r="V221" i="35" a="1"/>
  <c r="I1076" i="35"/>
  <c r="F714" i="35" a="1"/>
  <c r="V211" i="35" a="1"/>
  <c r="F582" i="35" a="1"/>
  <c r="E691" i="35" a="1"/>
  <c r="F726" i="35" a="1"/>
  <c r="V360" i="35" a="1"/>
  <c r="F270" i="35" a="1"/>
  <c r="F268" i="35" a="1"/>
  <c r="C779" i="35" a="1"/>
  <c r="C870" i="35" a="1"/>
  <c r="I938" i="35"/>
  <c r="E487" i="35" a="1"/>
  <c r="F704" i="35" a="1"/>
  <c r="C707" i="35" a="1"/>
  <c r="C717" i="35" a="1"/>
  <c r="I789" i="35"/>
  <c r="I99" i="35"/>
  <c r="I879" i="35"/>
  <c r="C700" i="35" a="1"/>
  <c r="E34" i="35" a="1"/>
  <c r="E205" i="35" a="1"/>
  <c r="V755" i="35" a="1"/>
  <c r="C256" i="35" a="1"/>
  <c r="C647" i="35" a="1"/>
  <c r="V158" i="35" a="1"/>
  <c r="E704" i="35" a="1"/>
  <c r="C847" i="35" a="1"/>
  <c r="F482" i="35" a="1"/>
  <c r="C625" i="35" a="1"/>
  <c r="C565" i="35" a="1"/>
  <c r="C623" i="35" a="1"/>
  <c r="E685" i="35" a="1"/>
  <c r="C260" i="35" a="1"/>
  <c r="F807" i="35" a="1"/>
  <c r="V692" i="35" a="1"/>
  <c r="E786" i="35" a="1"/>
  <c r="V703" i="35" a="1"/>
  <c r="C319" i="35" a="1"/>
  <c r="V372" i="35" a="1"/>
  <c r="I387" i="35"/>
  <c r="V308" i="35" a="1"/>
  <c r="V356" i="35" a="1"/>
  <c r="F630" i="35" a="1"/>
  <c r="V819" i="35" a="1"/>
  <c r="E784" i="35" a="1"/>
  <c r="C675" i="35" a="1"/>
  <c r="C745" i="35" a="1"/>
  <c r="F837" i="35" a="1"/>
  <c r="F281" i="35" a="1"/>
  <c r="V239" i="35" a="1"/>
  <c r="V557" i="35" a="1"/>
  <c r="C663" i="35" a="1"/>
  <c r="F844" i="35" a="1"/>
  <c r="C692" i="35" a="1"/>
  <c r="V555" i="35" a="1"/>
  <c r="V634" i="35" a="1"/>
  <c r="I1054" i="35"/>
  <c r="E189" i="35" a="1"/>
  <c r="E214" i="35" a="1"/>
  <c r="I551" i="35"/>
  <c r="E207" i="35" a="1"/>
  <c r="V847" i="35" a="1"/>
  <c r="F717" i="35" a="1"/>
  <c r="C559" i="35" a="1"/>
  <c r="C741" i="35" a="1"/>
  <c r="E609" i="35" a="1"/>
  <c r="V689" i="35" a="1"/>
  <c r="F764" i="35" a="1"/>
  <c r="C806" i="35" a="1"/>
  <c r="E281" i="35" a="1"/>
  <c r="I1086" i="35"/>
  <c r="E806" i="35" a="1"/>
  <c r="C609" i="35" a="1"/>
  <c r="I474" i="35"/>
  <c r="E602" i="35" a="1"/>
  <c r="V556" i="35" a="1"/>
  <c r="F290" i="35" a="1"/>
  <c r="C225" i="35" a="1"/>
  <c r="V751" i="35" a="1"/>
  <c r="V259" i="35" a="1"/>
  <c r="V614" i="35" a="1"/>
  <c r="C229" i="35" a="1"/>
  <c r="V28" i="35" a="1"/>
  <c r="E709" i="35" a="1"/>
  <c r="F734" i="35" a="1"/>
  <c r="I1038" i="35"/>
  <c r="V721" i="35" a="1"/>
  <c r="C344" i="35" a="1"/>
  <c r="E697" i="35" a="1"/>
  <c r="F190" i="35" a="1"/>
  <c r="E847" i="35" a="1"/>
  <c r="V828" i="35" a="1"/>
  <c r="V651" i="35" a="1"/>
  <c r="F641" i="35" a="1"/>
  <c r="V668" i="35" a="1"/>
  <c r="F317" i="35" a="1"/>
  <c r="V775" i="35" a="1"/>
  <c r="E255" i="35" a="1"/>
  <c r="C137" i="35" a="1"/>
  <c r="E208" i="35" a="1"/>
  <c r="I929" i="35"/>
  <c r="E827" i="35" a="1"/>
  <c r="C481" i="35" a="1"/>
  <c r="E242" i="35" a="1"/>
  <c r="E363" i="35" a="1"/>
  <c r="E828" i="35" a="1"/>
  <c r="V658" i="35" a="1"/>
  <c r="E348" i="35" a="1"/>
  <c r="I59" i="35"/>
  <c r="V254" i="35" a="1"/>
  <c r="E840" i="35" a="1"/>
  <c r="F481" i="35" a="1"/>
  <c r="F644" i="35" a="1"/>
  <c r="F567" i="35" a="1"/>
  <c r="E223" i="35" a="1"/>
  <c r="I798" i="35"/>
  <c r="C273" i="35" a="1"/>
  <c r="E601" i="35" a="1"/>
  <c r="E345" i="35" a="1"/>
  <c r="E780" i="35" a="1"/>
  <c r="E226" i="35" a="1"/>
  <c r="C309" i="35" a="1"/>
  <c r="F601" i="35" a="1"/>
  <c r="E241" i="35" a="1"/>
  <c r="C721" i="35" a="1"/>
  <c r="E270" i="35" a="1"/>
  <c r="E853" i="35" a="1"/>
  <c r="V151" i="35" a="1"/>
  <c r="I1052" i="35"/>
  <c r="V24" i="35" a="1"/>
  <c r="E167" i="35" a="1"/>
  <c r="E206" i="35" a="1"/>
  <c r="V148" i="35" a="1"/>
  <c r="E764" i="35" a="1"/>
  <c r="C851" i="35" a="1"/>
  <c r="F253" i="35" a="1"/>
  <c r="F308" i="35" a="1"/>
  <c r="F866" i="35" a="1"/>
  <c r="C242" i="35" a="1"/>
  <c r="I577" i="35"/>
  <c r="I405" i="35"/>
  <c r="E592" i="35" a="1"/>
  <c r="E26" i="35" a="1"/>
  <c r="V701" i="35" a="1"/>
  <c r="E235" i="35" a="1"/>
  <c r="F757" i="35" a="1"/>
  <c r="V183" i="35" a="1"/>
  <c r="F235" i="35" a="1"/>
  <c r="C714" i="35" a="1"/>
  <c r="C187" i="35" a="1"/>
  <c r="F663" i="35" a="1"/>
  <c r="F285" i="35" a="1"/>
  <c r="V483" i="35" a="1"/>
  <c r="E637" i="35" a="1"/>
  <c r="F338" i="35" a="1"/>
  <c r="E684" i="35" a="1"/>
  <c r="C331" i="35" a="1"/>
  <c r="F810" i="35" a="1"/>
  <c r="E873" i="35" a="1"/>
  <c r="E35" i="35" a="1"/>
  <c r="C837" i="35" a="1"/>
  <c r="I493" i="35"/>
  <c r="I936" i="35"/>
  <c r="C768" i="35" a="1"/>
  <c r="E730" i="35" a="1"/>
  <c r="C220" i="35" a="1"/>
  <c r="V756" i="35" a="1"/>
  <c r="F599" i="35" a="1"/>
  <c r="V562" i="35" a="1"/>
  <c r="V278" i="35" a="1"/>
  <c r="E823" i="35" a="1"/>
  <c r="C634" i="35" a="1"/>
  <c r="V192" i="35" a="1"/>
  <c r="E669" i="35" a="1"/>
  <c r="C224" i="35" a="1"/>
  <c r="C213" i="35" a="1"/>
  <c r="F349" i="35" a="1"/>
  <c r="E341" i="35" a="1"/>
  <c r="F667" i="35" a="1"/>
  <c r="E738" i="35" a="1"/>
  <c r="F680" i="35" a="1"/>
  <c r="F695" i="35" a="1"/>
  <c r="F237" i="35" a="1"/>
  <c r="V134" i="35" a="1"/>
  <c r="C266" i="35" a="1"/>
  <c r="V687" i="35" a="1"/>
  <c r="E359" i="35" a="1"/>
  <c r="E346" i="35" a="1"/>
  <c r="C723" i="35" a="1"/>
  <c r="V237" i="35" a="1"/>
  <c r="C328" i="35" a="1"/>
  <c r="C842" i="35" a="1"/>
  <c r="C159" i="35" a="1"/>
  <c r="E716" i="35" a="1"/>
  <c r="F310" i="35" a="1"/>
  <c r="I588" i="35"/>
  <c r="V856" i="35" a="1"/>
  <c r="E651" i="35" a="1"/>
  <c r="V742" i="35" a="1"/>
  <c r="C276" i="35" a="1"/>
  <c r="V35" i="35" a="1"/>
  <c r="V725" i="35" a="1"/>
  <c r="F686" i="35" a="1"/>
  <c r="F307" i="35" a="1"/>
  <c r="C698" i="35" a="1"/>
  <c r="V806" i="35" a="1"/>
  <c r="F374" i="35" a="1"/>
  <c r="E751" i="35" a="1"/>
  <c r="V821" i="35" a="1"/>
  <c r="V359" i="35" a="1"/>
  <c r="C226" i="35" a="1"/>
  <c r="F715" i="35" a="1"/>
  <c r="E240" i="35" a="1"/>
  <c r="V709" i="35" a="1"/>
  <c r="C869" i="35" a="1"/>
  <c r="I943" i="35"/>
  <c r="V680" i="35" a="1"/>
  <c r="F554" i="35" a="1"/>
  <c r="C674" i="35" a="1"/>
  <c r="I1050" i="35"/>
  <c r="I79" i="35"/>
  <c r="V368" i="35" a="1"/>
  <c r="I41" i="35"/>
  <c r="C258" i="35" a="1"/>
  <c r="E165" i="35" a="1"/>
  <c r="F180" i="35" a="1"/>
  <c r="I94" i="35"/>
  <c r="E266" i="35" a="1"/>
  <c r="V228" i="35" a="1"/>
  <c r="V350" i="35" a="1"/>
  <c r="E830" i="35" a="1"/>
  <c r="I1078" i="35"/>
  <c r="F162" i="35" a="1"/>
  <c r="E229" i="35" a="1"/>
  <c r="C22" i="35" a="1"/>
  <c r="V281" i="35" a="1"/>
  <c r="E599" i="35" a="1"/>
  <c r="F612" i="35" a="1"/>
  <c r="F608" i="35" a="1"/>
  <c r="C269" i="35" a="1"/>
  <c r="F766" i="35" a="1"/>
  <c r="F692" i="35" a="1"/>
  <c r="E239" i="35" a="1"/>
  <c r="E713" i="35" a="1"/>
  <c r="F165" i="35" a="1"/>
  <c r="F257" i="35" a="1"/>
  <c r="E282" i="35" a="1"/>
  <c r="F233" i="35" a="1"/>
  <c r="C251" i="35" a="1"/>
  <c r="F184" i="35" a="1"/>
  <c r="F671" i="35" a="1"/>
  <c r="E323" i="35" a="1"/>
  <c r="C852" i="35" a="1"/>
  <c r="C601" i="35" a="1"/>
  <c r="I1065" i="35"/>
  <c r="I414" i="35"/>
  <c r="V733" i="35" a="1"/>
  <c r="F668" i="35" a="1"/>
  <c r="C170" i="35" a="1"/>
  <c r="E285" i="35" a="1"/>
  <c r="C182" i="35" a="1"/>
  <c r="E299" i="35" a="1"/>
  <c r="V861" i="35" a="1"/>
  <c r="V711" i="35" a="1"/>
  <c r="V235" i="35" a="1"/>
  <c r="V813" i="35" a="1"/>
  <c r="V719" i="35" a="1"/>
  <c r="F741" i="35" a="1"/>
  <c r="F648" i="35" a="1"/>
  <c r="F607" i="35" a="1"/>
  <c r="C656" i="35" a="1"/>
  <c r="V747" i="35" a="1"/>
  <c r="V759" i="35" a="1"/>
  <c r="I92" i="35"/>
  <c r="V229" i="35" a="1"/>
  <c r="F359" i="35" a="1"/>
  <c r="I584" i="35"/>
  <c r="C214" i="35" a="1"/>
  <c r="V174" i="35" a="1"/>
  <c r="V827" i="35" a="1"/>
  <c r="C141" i="35" a="1"/>
  <c r="E711" i="35" a="1"/>
  <c r="E690" i="35" a="1"/>
  <c r="V619" i="35" a="1"/>
  <c r="F193" i="35" a="1"/>
  <c r="E839" i="35" a="1"/>
  <c r="V779" i="35" a="1"/>
  <c r="V841" i="35" a="1"/>
  <c r="V173" i="35" a="1"/>
  <c r="E821" i="35" a="1"/>
  <c r="V342" i="35" a="1"/>
  <c r="F177" i="35" a="1"/>
  <c r="E192" i="35" a="1"/>
  <c r="E331" i="35" a="1"/>
  <c r="C208" i="35" a="1"/>
  <c r="V592" i="35" a="1"/>
  <c r="F223" i="35" a="1"/>
  <c r="I410" i="35"/>
  <c r="V250" i="35" a="1"/>
  <c r="V155" i="35" a="1"/>
  <c r="F742" i="35" a="1"/>
  <c r="I413" i="35"/>
  <c r="C648" i="35" a="1"/>
  <c r="I545" i="35"/>
  <c r="E818" i="35" a="1"/>
  <c r="C855" i="35" a="1"/>
  <c r="C673" i="35" a="1"/>
  <c r="F712" i="35" a="1"/>
  <c r="I42" i="35"/>
  <c r="F809" i="35" a="1"/>
  <c r="E271" i="35" a="1"/>
  <c r="V271" i="35" a="1"/>
  <c r="F209" i="35" a="1"/>
  <c r="V213" i="35" a="1"/>
  <c r="C820" i="35" a="1"/>
  <c r="E162" i="35" a="1"/>
  <c r="F231" i="35" a="1"/>
  <c r="F697" i="35" a="1"/>
  <c r="I95" i="35"/>
  <c r="I64" i="35"/>
  <c r="E252" i="35" a="1"/>
  <c r="C240" i="35" a="1"/>
  <c r="E4" i="35" a="1"/>
  <c r="I477" i="35"/>
  <c r="F297" i="35" a="1"/>
  <c r="C744" i="35" a="1"/>
  <c r="I794" i="35"/>
  <c r="C206" i="35" a="1"/>
  <c r="E175" i="35" a="1"/>
  <c r="I105" i="35"/>
  <c r="V639" i="35" a="1"/>
  <c r="I1041" i="35"/>
  <c r="F255" i="35" a="1"/>
  <c r="C146" i="35" a="1"/>
  <c r="E216" i="35" a="1"/>
  <c r="F175" i="35" a="1"/>
  <c r="F249" i="35" a="1"/>
  <c r="V357" i="35" a="1"/>
  <c r="V822" i="35" a="1"/>
  <c r="C817" i="35" a="1"/>
  <c r="F593" i="35" a="1"/>
  <c r="C620" i="35" a="1"/>
  <c r="E740" i="35" a="1"/>
  <c r="F302" i="35" a="1"/>
  <c r="I104" i="35"/>
  <c r="I60" i="35"/>
  <c r="C216" i="35" a="1"/>
  <c r="E141" i="35" a="1"/>
  <c r="V354" i="35" a="1"/>
  <c r="V621" i="35" a="1"/>
  <c r="V749" i="35" a="1"/>
  <c r="E28" i="35" a="1"/>
  <c r="C36" i="35" a="1"/>
  <c r="I576" i="35"/>
  <c r="F28" i="35" a="1"/>
  <c r="E698" i="35" a="1"/>
  <c r="F346" i="35" a="1"/>
  <c r="C810" i="35" a="1"/>
  <c r="V868" i="35" a="1"/>
  <c r="V745" i="35" a="1"/>
  <c r="F216" i="35" a="1"/>
  <c r="F681" i="35" a="1"/>
  <c r="F339" i="35" a="1"/>
  <c r="V660" i="35" a="1"/>
  <c r="E812" i="35" a="1"/>
  <c r="F711" i="35" a="1"/>
  <c r="C665" i="35" a="1"/>
  <c r="F689" i="35" a="1"/>
  <c r="C554" i="35" a="1"/>
  <c r="C340" i="35" a="1"/>
  <c r="I90" i="35"/>
  <c r="C157" i="35" a="1"/>
  <c r="E677" i="35" a="1"/>
  <c r="F750" i="35" a="1"/>
  <c r="E754" i="35" a="1"/>
  <c r="E571" i="35" a="1"/>
  <c r="V631" i="35" a="1"/>
  <c r="F569" i="35" a="1"/>
  <c r="C622" i="35" a="1"/>
  <c r="F598" i="35" a="1"/>
  <c r="I385" i="35"/>
  <c r="E731" i="35" a="1"/>
  <c r="V610" i="35" a="1"/>
  <c r="F870" i="35" a="1"/>
  <c r="E732" i="35" a="1"/>
  <c r="E777" i="35" a="1"/>
  <c r="I1058" i="35"/>
  <c r="E648" i="35" a="1"/>
  <c r="V159" i="35" a="1"/>
  <c r="F304" i="35" a="1"/>
  <c r="V138" i="35" a="1"/>
  <c r="E246" i="35" a="1"/>
  <c r="V717" i="35" a="1"/>
  <c r="E814" i="35" a="1"/>
  <c r="E374" i="35" a="1"/>
  <c r="C590" i="35" a="1"/>
  <c r="F138" i="35" a="1"/>
  <c r="C694" i="35" a="1"/>
  <c r="V330" i="35" a="1"/>
  <c r="V337" i="35" a="1"/>
  <c r="F753" i="35" a="1"/>
  <c r="C845" i="35" a="1"/>
  <c r="V705" i="35" a="1"/>
  <c r="C347" i="35" a="1"/>
  <c r="F557" i="35" a="1"/>
  <c r="V727" i="35" a="1"/>
  <c r="F282" i="35" a="1"/>
  <c r="F34" i="35" a="1"/>
  <c r="I1059" i="35"/>
  <c r="F199" i="35" a="1"/>
  <c r="V620" i="35" a="1"/>
  <c r="F215" i="35" a="1"/>
  <c r="V646" i="35" a="1"/>
  <c r="E752" i="35" a="1"/>
  <c r="C809" i="35" a="1"/>
  <c r="V781" i="35" a="1"/>
  <c r="E159" i="35" a="1"/>
  <c r="V263" i="35" a="1"/>
  <c r="E681" i="35" a="1"/>
  <c r="C804" i="35" a="1"/>
  <c r="C563" i="35" a="1"/>
  <c r="E202" i="35" a="1"/>
  <c r="E758" i="35" a="1"/>
  <c r="V864" i="35" a="1"/>
  <c r="F159" i="35" a="1"/>
  <c r="C626" i="35" a="1"/>
  <c r="C780" i="35" a="1"/>
  <c r="E325" i="35" a="1"/>
  <c r="I797" i="35"/>
  <c r="C646" i="35" a="1"/>
  <c r="V824" i="35" a="1"/>
  <c r="E379" i="35" a="1"/>
  <c r="V564" i="35" a="1"/>
  <c r="V787" i="35" a="1"/>
  <c r="V247" i="35" a="1"/>
  <c r="F843" i="35" a="1"/>
  <c r="C359" i="35" a="1"/>
  <c r="F335" i="35" a="1"/>
  <c r="V171" i="35" a="1"/>
  <c r="C244" i="35" a="1"/>
  <c r="I542" i="35"/>
  <c r="F748" i="35" a="1"/>
  <c r="F839" i="35" a="1"/>
  <c r="V730" i="35" a="1"/>
  <c r="C270" i="35" a="1"/>
  <c r="V805" i="35" a="1"/>
  <c r="V340" i="35" a="1"/>
  <c r="E607" i="35" a="1"/>
  <c r="F661" i="35" a="1"/>
  <c r="V274" i="35" a="1"/>
  <c r="F164" i="35" a="1"/>
  <c r="V624" i="35" a="1"/>
  <c r="V700" i="35" a="1"/>
  <c r="E367" i="35" a="1"/>
  <c r="I50" i="35"/>
  <c r="I19" i="35"/>
  <c r="I85" i="35"/>
  <c r="C234" i="35" a="1"/>
  <c r="I544" i="35"/>
  <c r="V309" i="35" a="1"/>
  <c r="F239" i="35" a="1"/>
  <c r="E749" i="35" a="1"/>
  <c r="V366" i="35" a="1"/>
  <c r="I384" i="35"/>
  <c r="C807" i="35" a="1"/>
  <c r="F814" i="35" a="1"/>
  <c r="C183" i="35" a="1"/>
  <c r="F724" i="35" a="1"/>
  <c r="C326" i="35" a="1"/>
  <c r="I1072" i="35"/>
  <c r="C317" i="35" a="1"/>
  <c r="C835" i="35" a="1"/>
  <c r="F749" i="35" a="1"/>
  <c r="E155" i="35" a="1"/>
  <c r="C479" i="35" a="1"/>
  <c r="V375" i="35" a="1"/>
  <c r="F4" i="35" a="1"/>
  <c r="F558" i="35" a="1"/>
  <c r="V34" i="35" a="1"/>
  <c r="I126" i="35"/>
  <c r="E620" i="35" a="1"/>
  <c r="C593" i="35" a="1"/>
  <c r="E566" i="35" a="1"/>
  <c r="V694" i="35" a="1"/>
  <c r="V609" i="35" a="1"/>
  <c r="C726" i="35" a="1"/>
  <c r="E568" i="35" a="1"/>
  <c r="V845" i="35" a="1"/>
  <c r="E221" i="35" a="1"/>
  <c r="V766" i="35" a="1"/>
  <c r="I882" i="35"/>
  <c r="I543" i="35"/>
  <c r="E307" i="35" a="1"/>
  <c r="V710" i="35" a="1"/>
  <c r="C261" i="35" a="1"/>
  <c r="V783" i="35" a="1"/>
  <c r="C285" i="35" a="1"/>
  <c r="F279" i="35" a="1"/>
  <c r="V313" i="35" a="1"/>
  <c r="V653" i="35" a="1"/>
  <c r="V611" i="35" a="1"/>
  <c r="F830" i="35" a="1"/>
  <c r="C785" i="35" a="1"/>
  <c r="E274" i="35" a="1"/>
  <c r="E366" i="35" a="1"/>
  <c r="F635" i="35" a="1"/>
  <c r="V820" i="35" a="1"/>
  <c r="C155" i="35" a="1"/>
  <c r="C812" i="35" a="1"/>
  <c r="I496" i="35"/>
  <c r="E350" i="35" a="1"/>
  <c r="V272" i="35" a="1"/>
  <c r="I476" i="35"/>
  <c r="F143" i="35" a="1"/>
  <c r="E723" i="35" a="1"/>
  <c r="V169" i="35" a="1"/>
  <c r="E614" i="35" a="1"/>
  <c r="C330" i="35" a="1"/>
  <c r="E613" i="35" a="1"/>
  <c r="I392" i="35"/>
  <c r="C321" i="35" a="1"/>
  <c r="C259" i="35" a="1"/>
  <c r="E195" i="35" a="1"/>
  <c r="E871" i="35" a="1"/>
  <c r="V633" i="35" a="1"/>
  <c r="V487" i="35" a="1"/>
  <c r="V207" i="35" a="1"/>
  <c r="I400" i="35"/>
  <c r="F851" i="35" a="1"/>
  <c r="C189" i="35" a="1"/>
  <c r="C670" i="35" a="1"/>
  <c r="C139" i="35" a="1"/>
  <c r="F152" i="35" a="1"/>
  <c r="V374" i="35" a="1"/>
  <c r="E826" i="35" a="1"/>
  <c r="E24" i="35" a="1"/>
  <c r="I1053" i="35"/>
  <c r="F149" i="35" a="1"/>
  <c r="I791" i="35"/>
  <c r="F342" i="35" a="1"/>
  <c r="I40" i="35"/>
  <c r="E273" i="35" a="1"/>
  <c r="V358" i="35" a="1"/>
  <c r="E311" i="35" a="1"/>
  <c r="V224" i="35" a="1"/>
  <c r="C355" i="35" a="1"/>
  <c r="F736" i="35" a="1"/>
  <c r="F693" i="35" a="1"/>
  <c r="V713" i="35" a="1"/>
  <c r="V484" i="35" a="1"/>
  <c r="I411" i="35"/>
  <c r="F141" i="35" a="1"/>
  <c r="I875" i="35"/>
  <c r="V256" i="35" a="1"/>
  <c r="F856" i="35" a="1"/>
  <c r="F831" i="35" a="1"/>
  <c r="C759" i="35" a="1"/>
  <c r="F595" i="35" a="1"/>
  <c r="F242" i="35" a="1"/>
  <c r="I369" i="35"/>
  <c r="E150" i="35" a="1"/>
  <c r="F627" i="35" a="1"/>
  <c r="V335" i="35" a="1"/>
  <c r="F483" i="35" a="1"/>
  <c r="F842" i="35" a="1"/>
  <c r="C296" i="35" a="1"/>
  <c r="C683" i="35" a="1"/>
  <c r="I130" i="35"/>
  <c r="I793" i="35"/>
  <c r="C320" i="35" a="1"/>
  <c r="C860" i="35" a="1"/>
  <c r="V206" i="35" a="1"/>
  <c r="F620" i="35" a="1"/>
  <c r="C218" i="35" a="1"/>
  <c r="I1079" i="35"/>
  <c r="E220" i="35" a="1"/>
  <c r="I925" i="35"/>
  <c r="C160" i="35" a="1"/>
  <c r="V872" i="35" a="1"/>
  <c r="E277" i="35" a="1"/>
  <c r="V157" i="35" a="1"/>
  <c r="V663" i="35" a="1"/>
  <c r="C254" i="35" a="1"/>
  <c r="E735" i="35" a="1"/>
  <c r="V715" i="35" a="1"/>
  <c r="V773" i="35" a="1"/>
  <c r="F553" i="35" a="1"/>
  <c r="V347" i="35" a="1"/>
  <c r="E781" i="35" a="1"/>
  <c r="F306" i="35" a="1"/>
  <c r="F786" i="35" a="1"/>
  <c r="V840" i="35" a="1"/>
  <c r="F845" i="35" a="1"/>
  <c r="V261" i="35" a="1"/>
  <c r="C702" i="35" a="1"/>
  <c r="F345" i="35" a="1"/>
  <c r="V170" i="35" a="1"/>
  <c r="I69" i="35"/>
  <c r="C760" i="35" a="1"/>
  <c r="E611" i="35" a="1"/>
  <c r="I404" i="35"/>
  <c r="C28" i="35" a="1"/>
  <c r="V744" i="35" a="1"/>
  <c r="V365" i="35" a="1"/>
  <c r="E715" i="35" a="1"/>
  <c r="I1080" i="35"/>
  <c r="E218" i="35" a="1"/>
  <c r="C370" i="35" a="1"/>
  <c r="V152" i="35" a="1"/>
  <c r="F709" i="35" a="1"/>
  <c r="C602" i="35" a="1"/>
  <c r="C689" i="35" a="1"/>
  <c r="F596" i="35" a="1"/>
  <c r="I390" i="35"/>
  <c r="V838" i="35" a="1"/>
  <c r="C350" i="35" a="1"/>
  <c r="C164" i="35" a="1"/>
  <c r="I222" i="35"/>
  <c r="F683" i="35" a="1"/>
  <c r="C246" i="35" a="1"/>
  <c r="F478" i="35" a="1"/>
  <c r="C826" i="35" a="1"/>
  <c r="F862" i="35" a="1"/>
  <c r="E652" i="35" a="1"/>
  <c r="E306" i="35" a="1"/>
  <c r="V849" i="35" a="1"/>
  <c r="C866" i="35" a="1"/>
  <c r="C688" i="35" a="1"/>
  <c r="V693" i="35" a="1"/>
  <c r="E624" i="35" a="1"/>
  <c r="F621" i="35" a="1"/>
  <c r="C223" i="35" a="1"/>
  <c r="V670" i="35" a="1"/>
  <c r="F301" i="35" a="1"/>
  <c r="I572" i="35"/>
  <c r="C263" i="35" a="1"/>
  <c r="E755" i="35" a="1"/>
  <c r="I581" i="35"/>
  <c r="C854" i="35" a="1"/>
  <c r="E194" i="35" a="1"/>
  <c r="E144" i="35" a="1"/>
  <c r="I62" i="35"/>
  <c r="V295" i="35" a="1"/>
  <c r="E360" i="35" a="1"/>
  <c r="C781" i="35" a="1"/>
  <c r="I398" i="35"/>
  <c r="C219" i="35" a="1"/>
  <c r="V767" i="35" a="1"/>
  <c r="E301" i="35" a="1"/>
  <c r="F735" i="35" a="1"/>
  <c r="I495" i="35"/>
  <c r="E636" i="35" a="1"/>
  <c r="I114" i="35"/>
  <c r="V300" i="35" a="1"/>
  <c r="C161" i="35" a="1"/>
  <c r="F666" i="35" a="1"/>
  <c r="F220" i="35" a="1"/>
  <c r="C561" i="35" a="1"/>
  <c r="C695" i="35" a="1"/>
  <c r="F260" i="35" a="1"/>
  <c r="F848" i="35" a="1"/>
  <c r="I1083" i="35"/>
  <c r="C382" i="35" a="1"/>
  <c r="E238" i="35" a="1"/>
  <c r="E859" i="35" a="1"/>
  <c r="V189" i="35" a="1"/>
  <c r="C705" i="35" a="1"/>
  <c r="I31" i="35"/>
  <c r="C784" i="35" a="1"/>
  <c r="F752" i="35" a="1"/>
  <c r="F154" i="35" a="1"/>
  <c r="V349" i="35" a="1"/>
  <c r="E217" i="35" a="1"/>
  <c r="C192" i="35" a="1"/>
  <c r="V741" i="35" a="1"/>
  <c r="C630" i="35" a="1"/>
  <c r="I420" i="35"/>
  <c r="V682" i="35" a="1"/>
  <c r="F653" i="35" a="1"/>
  <c r="F854" i="35" a="1"/>
  <c r="I415" i="35"/>
  <c r="E107" i="35" a="1"/>
  <c r="V617" i="35" a="1"/>
  <c r="E597" i="35" a="1"/>
  <c r="F226" i="35" a="1"/>
  <c r="V684" i="35" a="1"/>
  <c r="E328" i="35" a="1"/>
  <c r="V623" i="35" a="1"/>
  <c r="E838" i="35" a="1"/>
  <c r="V304" i="35" a="1"/>
  <c r="I422" i="35"/>
  <c r="F194" i="35" a="1"/>
  <c r="E742" i="35" a="1"/>
  <c r="V378" i="35" a="1"/>
  <c r="E322" i="35" a="1"/>
  <c r="C134" i="35" a="1"/>
  <c r="F650" i="35" a="1"/>
  <c r="F687" i="35" a="1"/>
  <c r="I933" i="35"/>
  <c r="F360" i="35" a="1"/>
  <c r="E863" i="35" a="1"/>
  <c r="C163" i="35" a="1"/>
  <c r="F358" i="35" a="1"/>
  <c r="C351" i="35" a="1"/>
  <c r="V808" i="35" a="1"/>
  <c r="C739" i="35" a="1"/>
  <c r="F292" i="35" a="1"/>
  <c r="I417" i="35"/>
  <c r="F21" i="35" a="1"/>
  <c r="I539" i="35"/>
  <c r="F625" i="35" a="1"/>
  <c r="V371" i="35" a="1"/>
  <c r="F36" i="35" a="1"/>
  <c r="V217" i="35" a="1"/>
  <c r="V23" i="35" a="1"/>
  <c r="F737" i="35" a="1"/>
  <c r="I396" i="35"/>
  <c r="E603" i="35" a="1"/>
  <c r="I1070" i="35"/>
  <c r="E296" i="35" a="1"/>
  <c r="E710" i="35" a="1"/>
  <c r="V739" i="35" a="1"/>
  <c r="V606" i="35" a="1"/>
  <c r="C232" i="35" a="1"/>
  <c r="V723" i="35" a="1"/>
  <c r="I1064" i="35"/>
  <c r="F611" i="35" a="1"/>
  <c r="E610" i="35" a="1"/>
  <c r="E653" i="35" a="1"/>
  <c r="E560" i="35" a="1"/>
  <c r="E174" i="35" a="1"/>
  <c r="E562" i="35" a="1"/>
  <c r="E380" i="35" a="1"/>
  <c r="F834" i="35" a="1"/>
  <c r="C868" i="35" a="1"/>
  <c r="E371" i="35" a="1"/>
  <c r="E708" i="35" a="1"/>
  <c r="C204" i="35" a="1"/>
  <c r="I1029" i="35"/>
  <c r="V836" i="35" a="1"/>
  <c r="E288" i="35" a="1"/>
  <c r="F564" i="35" a="1"/>
  <c r="F320" i="35" a="1"/>
  <c r="E237" i="35" a="1"/>
  <c r="C299" i="35" a="1"/>
  <c r="I930" i="35"/>
  <c r="F277" i="35" a="1"/>
  <c r="F633" i="35" a="1"/>
  <c r="C238" i="35" a="1"/>
  <c r="C307" i="35" a="1"/>
  <c r="F26" i="35" a="1"/>
  <c r="F382" i="35" a="1"/>
  <c r="E486" i="35" a="1"/>
  <c r="E137" i="35" a="1"/>
  <c r="I71" i="35"/>
  <c r="C275" i="35" a="1"/>
  <c r="E284" i="35" a="1"/>
  <c r="E596" i="35" a="1"/>
  <c r="C349" i="35" a="1"/>
  <c r="F634" i="35" a="1"/>
  <c r="I1042" i="35"/>
  <c r="C151" i="35" a="1"/>
  <c r="E337" i="35" a="1"/>
  <c r="V328" i="35" a="1"/>
  <c r="E640" i="35" a="1"/>
  <c r="V234" i="35" a="1"/>
  <c r="C844" i="35" a="1"/>
  <c r="V162" i="35" a="1"/>
  <c r="F658" i="35" a="1"/>
  <c r="E782" i="35" a="1"/>
  <c r="E619" i="35" a="1"/>
  <c r="E594" i="35" a="1"/>
  <c r="F782" i="35" a="1"/>
  <c r="V690" i="35" a="1"/>
  <c r="V185" i="35" a="1"/>
  <c r="E149" i="35" a="1"/>
  <c r="E336" i="35" a="1"/>
  <c r="E146" i="35" a="1"/>
  <c r="C716" i="35" a="1"/>
  <c r="E654" i="35" a="1"/>
  <c r="E357" i="35" a="1"/>
  <c r="V554" i="35" a="1"/>
  <c r="V837" i="35" a="1"/>
  <c r="E143" i="35" a="1"/>
  <c r="C614" i="35" a="1"/>
  <c r="F729" i="35" a="1"/>
  <c r="C592" i="35" a="1"/>
  <c r="C687" i="35" a="1"/>
  <c r="F826" i="35" a="1"/>
  <c r="V302" i="35" a="1"/>
  <c r="F677" i="35" a="1"/>
  <c r="E841" i="35" a="1"/>
  <c r="C861" i="35" a="1"/>
  <c r="F606" i="35" a="1"/>
  <c r="E699" i="35" a="1"/>
  <c r="C637" i="35" a="1"/>
  <c r="V190" i="35" a="1"/>
  <c r="E482" i="35" a="1"/>
  <c r="V807" i="35" a="1"/>
  <c r="V245" i="35" a="1"/>
  <c r="C176" i="35" a="1"/>
  <c r="F674" i="35" a="1"/>
  <c r="F228" i="35" a="1"/>
  <c r="C731" i="35" a="1"/>
  <c r="E191" i="35" a="1"/>
  <c r="C345" i="35" a="1"/>
  <c r="F710" i="35" a="1"/>
  <c r="F137" i="35" a="1"/>
  <c r="C295" i="35" a="1"/>
  <c r="V835" i="35" a="1"/>
  <c r="F312" i="35" a="1"/>
  <c r="V478" i="35" a="1"/>
  <c r="C685" i="35" a="1"/>
  <c r="I1033" i="35"/>
  <c r="C335" i="35" a="1"/>
  <c r="C140" i="35" a="1"/>
  <c r="C253" i="35" a="1"/>
  <c r="I67" i="35"/>
  <c r="E867" i="35" a="1"/>
  <c r="E247" i="35" a="1"/>
  <c r="V22" i="35" a="1"/>
  <c r="V141" i="35" a="1"/>
  <c r="I124" i="35"/>
  <c r="F649" i="35" a="1"/>
  <c r="F761" i="35" a="1"/>
  <c r="I70" i="35"/>
  <c r="V636" i="35" a="1"/>
  <c r="C236" i="35" a="1"/>
  <c r="V362" i="35" a="1"/>
  <c r="F315" i="35" a="1"/>
  <c r="C373" i="35" a="1"/>
  <c r="F820" i="35" a="1"/>
  <c r="V479" i="35" a="1"/>
  <c r="C657" i="35" a="1"/>
  <c r="I1036" i="35"/>
  <c r="V331" i="35" a="1"/>
  <c r="F195" i="35" a="1"/>
  <c r="F271" i="35" a="1"/>
  <c r="F181" i="35" a="1"/>
  <c r="C644" i="35" a="1"/>
  <c r="C196" i="35" a="1"/>
  <c r="C610" i="35" a="1"/>
  <c r="E204" i="35" a="1"/>
  <c r="V180" i="35" a="1"/>
  <c r="V728" i="35" a="1"/>
  <c r="F723" i="35" a="1"/>
  <c r="I87" i="35"/>
  <c r="E320" i="35" a="1"/>
  <c r="V310" i="35" a="1"/>
  <c r="V143" i="35" a="1"/>
  <c r="I1075" i="35"/>
  <c r="F773" i="35" a="1"/>
  <c r="F660" i="35" a="1"/>
  <c r="E658" i="35" a="1"/>
  <c r="F651" i="35" a="1"/>
  <c r="E746" i="35" a="1"/>
  <c r="E701" i="35" a="1"/>
  <c r="C243" i="35" a="1"/>
  <c r="F299" i="35" a="1"/>
  <c r="V326" i="35" a="1"/>
  <c r="F858" i="35" a="1"/>
  <c r="C762" i="35" a="1"/>
  <c r="F484" i="35" a="1"/>
  <c r="F377" i="35" a="1"/>
  <c r="C297" i="35" a="1"/>
  <c r="E671" i="35" a="1"/>
  <c r="C478" i="35" a="1"/>
  <c r="I792" i="35"/>
  <c r="C363" i="35" a="1"/>
  <c r="F227" i="35" a="1"/>
  <c r="E848" i="35" a="1"/>
  <c r="F267" i="35" a="1"/>
  <c r="C706" i="35" a="1"/>
  <c r="E720" i="35" a="1"/>
  <c r="I128" i="35"/>
  <c r="V707" i="35" a="1"/>
  <c r="V608" i="35" a="1"/>
  <c r="C138" i="35" a="1"/>
  <c r="F287" i="35" a="1"/>
  <c r="I68" i="35"/>
  <c r="I9" i="35"/>
  <c r="E686" i="35" a="1"/>
  <c r="V370" i="35" a="1"/>
  <c r="V150" i="35" a="1"/>
  <c r="F560" i="35" a="1"/>
  <c r="V566" i="35" a="1"/>
  <c r="C560" i="35" a="1"/>
  <c r="C342" i="35" a="1"/>
  <c r="E171" i="35" a="1"/>
  <c r="C185" i="35" a="1"/>
  <c r="C272" i="35" a="1"/>
  <c r="F679" i="35" a="1"/>
  <c r="V267" i="35" a="1"/>
  <c r="C710" i="35" a="1"/>
  <c r="C360" i="35" a="1"/>
  <c r="V699" i="35" a="1"/>
  <c r="C871" i="35" a="1"/>
  <c r="C591" i="35" a="1"/>
  <c r="C286" i="35" a="1"/>
  <c r="E300" i="35" a="1"/>
  <c r="F179" i="35" a="1"/>
  <c r="I585" i="35"/>
  <c r="V336" i="35" a="1"/>
  <c r="C761" i="35" a="1"/>
  <c r="I583" i="35"/>
  <c r="F699" i="35" a="1"/>
  <c r="F853" i="35" a="1"/>
  <c r="V333" i="35" a="1"/>
  <c r="C838" i="35" a="1"/>
  <c r="E245" i="35" a="1"/>
  <c r="V379" i="35" a="1"/>
  <c r="E714" i="35" a="1"/>
  <c r="V276" i="35" a="1"/>
  <c r="E318" i="35" a="1"/>
  <c r="V26" i="35" a="1"/>
  <c r="E598" i="35" a="1"/>
  <c r="F324" i="35" a="1"/>
  <c r="C323" i="35" a="1"/>
  <c r="E776" i="35" a="1"/>
  <c r="E733" i="35" a="1"/>
  <c r="I1060" i="35"/>
  <c r="C271" i="35" a="1"/>
  <c r="V480" i="35" a="1"/>
  <c r="F311" i="35" a="1"/>
  <c r="V815" i="35" a="1"/>
  <c r="V647" i="35" a="1"/>
  <c r="E616" i="35" a="1"/>
  <c r="C228" i="35" a="1"/>
  <c r="C247" i="35" a="1"/>
  <c r="V853" i="35" a="1"/>
  <c r="E664" i="35" a="1"/>
  <c r="F811" i="35" a="1"/>
  <c r="I115" i="35"/>
  <c r="C691" i="35" a="1"/>
  <c r="C144" i="35" a="1"/>
  <c r="I1034" i="35"/>
  <c r="E649" i="35" a="1"/>
  <c r="E641" i="35" a="1"/>
  <c r="E688" i="35" a="1"/>
  <c r="E145" i="35" a="1"/>
  <c r="V768" i="35" a="1"/>
  <c r="F221" i="35" a="1"/>
  <c r="E326" i="35" a="1"/>
  <c r="C682" i="35" a="1"/>
  <c r="C325" i="35" a="1"/>
  <c r="V762" i="35" a="1"/>
  <c r="F362" i="35" a="1"/>
  <c r="C824" i="35" a="1"/>
  <c r="E659" i="35" a="1"/>
  <c r="C833" i="35" a="1"/>
  <c r="F381" i="35" a="1"/>
  <c r="F706" i="35" a="1"/>
  <c r="C635" i="35" a="1"/>
  <c r="E372" i="35" a="1"/>
  <c r="V160" i="35" a="1"/>
  <c r="C732" i="35" a="1"/>
  <c r="I45" i="35"/>
  <c r="I881" i="35"/>
  <c r="V194" i="35" a="1"/>
  <c r="V240" i="35" a="1"/>
  <c r="F479" i="35" a="1"/>
  <c r="I876" i="35"/>
  <c r="V674" i="35" a="1"/>
  <c r="F183" i="35" a="1"/>
  <c r="C823" i="35" a="1"/>
  <c r="V716" i="35" a="1"/>
  <c r="E304" i="35" a="1"/>
  <c r="V648" i="35" a="1"/>
  <c r="F824" i="35" a="1"/>
  <c r="I1066" i="35"/>
  <c r="V595" i="35" a="1"/>
  <c r="V248" i="35" a="1"/>
  <c r="E186" i="35" a="1"/>
  <c r="C708" i="35" a="1"/>
  <c r="I88" i="35"/>
  <c r="V561" i="35" a="1"/>
  <c r="F780" i="35" a="1"/>
  <c r="F626" i="35" a="1"/>
  <c r="E290" i="35" a="1"/>
  <c r="E761" i="35" a="1"/>
  <c r="V765" i="35" a="1"/>
  <c r="F274" i="35" a="1"/>
  <c r="F213" i="35" a="1"/>
  <c r="I1085" i="35"/>
  <c r="V361" i="35" a="1"/>
  <c r="E725" i="35" a="1"/>
  <c r="C562" i="35" a="1"/>
  <c r="E631" i="35" a="1"/>
  <c r="I81" i="35"/>
  <c r="I127" i="35"/>
  <c r="C828" i="35" a="1"/>
  <c r="F609" i="35" a="1"/>
  <c r="V657" i="35" a="1"/>
  <c r="F639" i="35" a="1"/>
  <c r="F833" i="35" a="1"/>
  <c r="F637" i="35" a="1"/>
  <c r="E135" i="35" a="1"/>
  <c r="V691" i="35" a="1"/>
  <c r="V825" i="35" a="1"/>
  <c r="I74" i="35"/>
  <c r="V5" i="35" a="1"/>
  <c r="F645" i="35" a="1"/>
  <c r="F546" i="35" a="1"/>
  <c r="V137" i="35" a="1"/>
  <c r="I799" i="35"/>
  <c r="V731" i="35" a="1"/>
  <c r="C217" i="35" a="1"/>
  <c r="V257" i="35" a="1"/>
  <c r="C336" i="35" a="1"/>
  <c r="F779" i="35" a="1"/>
  <c r="V638" i="35" a="1"/>
  <c r="C736" i="35" a="1"/>
  <c r="C482" i="35" a="1"/>
  <c r="C680" i="35" a="1"/>
  <c r="I73" i="35"/>
  <c r="F819" i="35" a="1"/>
  <c r="E313" i="35" a="1"/>
  <c r="E819" i="35" a="1"/>
  <c r="I1077" i="35"/>
  <c r="V771" i="35" a="1"/>
  <c r="V142" i="35" a="1"/>
  <c r="V593" i="35" a="1"/>
  <c r="F486" i="35" a="1"/>
  <c r="E842" i="35" a="1"/>
  <c r="F139" i="35" a="1"/>
  <c r="F337" i="35" a="1"/>
  <c r="F23" i="35" a="1"/>
  <c r="F562" i="35" a="1"/>
  <c r="F796" i="35" a="1"/>
  <c r="C190" i="35" a="1"/>
  <c r="F289" i="35" a="1"/>
  <c r="V563" i="35" a="1"/>
  <c r="F864" i="35" a="1"/>
  <c r="E243" i="35" a="1"/>
  <c r="C676" i="35" a="1"/>
  <c r="C771" i="35" a="1"/>
  <c r="E151" i="35" a="1"/>
  <c r="C639" i="35" a="1"/>
  <c r="E864" i="35" a="1"/>
  <c r="V855" i="35" a="1"/>
  <c r="E615" i="35" a="1"/>
  <c r="C787" i="35" a="1"/>
  <c r="E378" i="35" a="1"/>
  <c r="E672" i="35" a="1"/>
  <c r="F258" i="35" a="1"/>
  <c r="E286" i="35" a="1"/>
  <c r="E820" i="35" a="1"/>
  <c r="V612" i="35" a="1"/>
  <c r="V686" i="35" a="1"/>
  <c r="C712" i="35" a="1"/>
  <c r="F821" i="35" a="1"/>
  <c r="F817" i="35" a="1"/>
  <c r="V772" i="35" a="1"/>
  <c r="F804" i="35" a="1"/>
  <c r="I421" i="35"/>
  <c r="I1037" i="35"/>
  <c r="F170" i="35" a="1"/>
  <c r="F329" i="35" a="1"/>
  <c r="V661" i="35" a="1"/>
  <c r="V312" i="35" a="1"/>
  <c r="V865" i="35" a="1"/>
  <c r="F614" i="35" a="1"/>
  <c r="E851" i="35" a="1"/>
  <c r="V740" i="35" a="1"/>
  <c r="V324" i="35" a="1"/>
  <c r="C628" i="35" a="1"/>
  <c r="V738" i="35" a="1"/>
  <c r="V485" i="35" a="1"/>
  <c r="V859" i="35" a="1"/>
  <c r="C324" i="35" a="1"/>
  <c r="F740" i="35" a="1"/>
  <c r="V212" i="35" a="1"/>
  <c r="F719" i="35" a="1"/>
  <c r="E727" i="35" a="1"/>
  <c r="F241" i="35" a="1"/>
  <c r="V810" i="35" a="1"/>
  <c r="F166" i="35" a="1"/>
  <c r="F354" i="35" a="1"/>
  <c r="F245" i="35" a="1"/>
  <c r="E291" i="35" a="1"/>
  <c r="E356" i="35" a="1"/>
  <c r="V338" i="35" a="1"/>
  <c r="I497" i="35"/>
  <c r="C303" i="35" a="1"/>
  <c r="F351" i="35" a="1"/>
  <c r="I77" i="35"/>
  <c r="I386" i="35"/>
  <c r="V242" i="35" a="1"/>
  <c r="I131" i="35"/>
  <c r="V569" i="35" a="1"/>
  <c r="C546" i="35" a="1"/>
  <c r="E480" i="35" a="1"/>
  <c r="C135" i="35" a="1"/>
  <c r="E629" i="35" a="1"/>
  <c r="F682" i="35" a="1"/>
  <c r="C366" i="35" a="1"/>
  <c r="C696" i="35" a="1"/>
  <c r="C645" i="35" a="1"/>
  <c r="F855" i="35" a="1"/>
  <c r="F646" i="35" a="1"/>
  <c r="V230" i="35" a="1"/>
  <c r="F642" i="35" a="1"/>
  <c r="V613" i="35" a="1"/>
  <c r="E630" i="35" a="1"/>
  <c r="I401" i="35"/>
  <c r="E674" i="35" a="1"/>
  <c r="E349" i="35" a="1"/>
  <c r="F188" i="35" a="1"/>
  <c r="E663" i="35" a="1"/>
  <c r="E855" i="35" a="1"/>
  <c r="F730" i="35" a="1"/>
  <c r="F767" i="35" a="1"/>
  <c r="V736" i="35" a="1"/>
  <c r="V343" i="35" a="1"/>
  <c r="V346" i="35" a="1"/>
  <c r="I132" i="35"/>
  <c r="V618" i="35" a="1"/>
  <c r="E618" i="35" a="1"/>
  <c r="F373" i="35" a="1"/>
  <c r="C354" i="35" a="1"/>
  <c r="C827" i="35" a="1"/>
  <c r="V678" i="35" a="1"/>
  <c r="C25" i="35" a="1"/>
  <c r="F713" i="35" a="1"/>
  <c r="V667" i="35" a="1"/>
  <c r="C381" i="35" a="1"/>
  <c r="E373" i="35" a="1"/>
  <c r="F288" i="35" a="1"/>
  <c r="E846" i="35" a="1"/>
  <c r="E700" i="35" a="1"/>
  <c r="F805" i="35" a="1"/>
  <c r="F716" i="35" a="1"/>
  <c r="V287" i="35" a="1"/>
  <c r="E324" i="35" a="1"/>
  <c r="I12" i="35"/>
  <c r="E849" i="35" a="1"/>
  <c r="F272" i="35" a="1"/>
  <c r="F135" i="35" a="1"/>
  <c r="C650" i="35" a="1"/>
  <c r="C738" i="35" a="1"/>
  <c r="C215" i="35" a="1"/>
  <c r="I473" i="35"/>
  <c r="E785" i="35" a="1"/>
  <c r="F348" i="35" a="1"/>
  <c r="F275" i="35" a="1"/>
  <c r="V293" i="35" a="1"/>
  <c r="E265" i="35" a="1"/>
  <c r="E292" i="35" a="1"/>
  <c r="E858" i="35" a="1"/>
  <c r="F167" i="35" a="1"/>
  <c r="C849" i="35" a="1"/>
  <c r="C640" i="35" a="1"/>
  <c r="E199" i="35" a="1"/>
  <c r="E807" i="35" a="1"/>
  <c r="V823" i="35" a="1"/>
  <c r="C181" i="35" a="1"/>
  <c r="I395" i="35"/>
  <c r="E706" i="35" a="1"/>
  <c r="F375" i="35" a="1"/>
  <c r="V176" i="35" a="1"/>
  <c r="V829" i="35" a="1"/>
  <c r="F754" i="35" a="1"/>
  <c r="C316" i="35" a="1"/>
  <c r="I96" i="35"/>
  <c r="C487" i="35" a="1"/>
  <c r="V571" i="35" a="1"/>
  <c r="E315" i="35" a="1"/>
  <c r="I17" i="35"/>
  <c r="F825" i="35" a="1"/>
  <c r="V255" i="35" a="1"/>
  <c r="V851" i="35" a="1"/>
  <c r="F376" i="35" a="1"/>
  <c r="I75" i="35"/>
  <c r="F142" i="35" a="1"/>
  <c r="V704" i="35" a="1"/>
  <c r="F322" i="35" a="1"/>
  <c r="C280" i="35" a="1"/>
  <c r="F318" i="35" a="1"/>
  <c r="E25" i="35" a="1"/>
  <c r="V632" i="35" a="1"/>
  <c r="V220" i="35" a="1"/>
  <c r="V260" i="35" a="1"/>
  <c r="V376" i="35" a="1"/>
  <c r="E694" i="35" a="1"/>
  <c r="I540" i="35"/>
  <c r="I43" i="35"/>
  <c r="V181" i="35" a="1"/>
  <c r="F363" i="35" a="1"/>
  <c r="E647" i="35" a="1"/>
  <c r="F700" i="35" a="1"/>
  <c r="C604" i="35" a="1"/>
  <c r="C659" i="35" a="1"/>
  <c r="F774" i="35" a="1"/>
  <c r="C265" i="35" a="1"/>
  <c r="V178" i="35" a="1"/>
  <c r="F813" i="35" a="1"/>
  <c r="C751" i="35" a="1"/>
  <c r="E362" i="35" a="1"/>
  <c r="V179" i="35" a="1"/>
  <c r="E230" i="35" a="1"/>
  <c r="F784" i="35" a="1"/>
  <c r="V570" i="35" a="1"/>
  <c r="C737" i="35" a="1"/>
  <c r="E209" i="35" a="1"/>
  <c r="E546" i="35" a="1"/>
  <c r="E595" i="35" a="1"/>
  <c r="V280" i="35" a="1"/>
  <c r="I403" i="35"/>
  <c r="C611" i="35" a="1"/>
  <c r="C200" i="35" a="1"/>
  <c r="I13" i="35"/>
  <c r="C850" i="35" a="1"/>
  <c r="E787" i="35" a="1"/>
  <c r="F296" i="35" a="1"/>
  <c r="V301" i="35" a="1"/>
  <c r="I78" i="35"/>
  <c r="F22" i="35" a="1"/>
  <c r="I1031" i="35"/>
  <c r="E344" i="35" a="1"/>
  <c r="V567" i="35" a="1"/>
  <c r="E182" i="35" a="1"/>
  <c r="C818" i="35" a="1"/>
  <c r="F155" i="35" a="1"/>
  <c r="E854" i="35" a="1"/>
  <c r="E36" i="35" a="1"/>
  <c r="F485" i="35" a="1"/>
  <c r="V708" i="35" a="1"/>
  <c r="V785" i="35" a="1"/>
  <c r="E582" i="35" a="1"/>
  <c r="E555" i="35" a="1"/>
  <c r="I941" i="35"/>
  <c r="F872" i="35" a="1"/>
  <c r="E136" i="35" a="1"/>
  <c r="V135" i="35" a="1"/>
  <c r="C374" i="35" a="1"/>
  <c r="V4" i="35" a="1"/>
  <c r="F829" i="35" a="1"/>
  <c r="E643" i="35" a="1"/>
  <c r="F690" i="35" a="1"/>
  <c r="C194" i="35" a="1"/>
  <c r="I406" i="35"/>
  <c r="I332" i="35"/>
  <c r="C766" i="35" a="1"/>
  <c r="C210" i="35" a="1"/>
  <c r="V218" i="35" a="1"/>
  <c r="F169" i="35" a="1"/>
  <c r="E632" i="35" a="1"/>
  <c r="E355" i="35" a="1"/>
  <c r="F675" i="35" a="1"/>
  <c r="F161" i="35" a="1"/>
  <c r="V804" i="35" a="1"/>
  <c r="C598" i="35" a="1"/>
  <c r="F605" i="35" a="1"/>
  <c r="E729" i="35" a="1"/>
  <c r="F230" i="35" a="1"/>
  <c r="C832" i="35" a="1"/>
  <c r="F148" i="35" a="1"/>
  <c r="V203" i="35" a="1"/>
  <c r="C873" i="35" a="1"/>
  <c r="V645" i="35" a="1"/>
  <c r="V231" i="35" a="1"/>
  <c r="F688" i="35" a="1"/>
  <c r="F685" i="35" a="1"/>
  <c r="E261" i="35" a="1"/>
  <c r="E329" i="35" a="1"/>
  <c r="F665" i="35" a="1"/>
  <c r="C171" i="35" a="1"/>
  <c r="F286" i="35" a="1"/>
  <c r="I20" i="35"/>
  <c r="V626" i="35" a="1"/>
  <c r="F225" i="35" a="1"/>
  <c r="V236" i="35" a="1"/>
  <c r="E275" i="35" a="1"/>
  <c r="V252" i="35" a="1"/>
  <c r="E231" i="35" a="1"/>
  <c r="C840" i="35" a="1"/>
  <c r="C765" i="35" a="1"/>
  <c r="C776" i="35" a="1"/>
  <c r="V867" i="35" a="1"/>
  <c r="V306" i="35" a="1"/>
  <c r="C856" i="35" a="1"/>
  <c r="E831" i="35" a="1"/>
  <c r="E139" i="35" a="1"/>
  <c r="V268" i="35" a="1"/>
  <c r="F747" i="35" a="1"/>
  <c r="F696" i="35" a="1"/>
  <c r="I116" i="35"/>
  <c r="C658" i="35" a="1"/>
  <c r="C281" i="35" a="1"/>
  <c r="C796" i="35" a="1"/>
  <c r="E166" i="35" a="1"/>
  <c r="F733" i="35" a="1"/>
  <c r="F251" i="35" a="1"/>
  <c r="E483" i="35" a="1"/>
  <c r="V811" i="35" a="1"/>
  <c r="F775" i="35" a="1"/>
  <c r="E335" i="35" a="1"/>
  <c r="F150" i="35" a="1"/>
  <c r="I587" i="35"/>
  <c r="V316" i="35" a="1"/>
  <c r="F847" i="35" a="1"/>
  <c r="V729" i="35" a="1"/>
  <c r="V764" i="35" a="1"/>
  <c r="F5" i="35" a="1"/>
  <c r="V321" i="35" a="1"/>
  <c r="V863" i="35" a="1"/>
  <c r="F336" i="35" a="1"/>
  <c r="V219" i="35" a="1"/>
  <c r="I402" i="35"/>
  <c r="C485" i="35" a="1"/>
  <c r="E179" i="35" a="1"/>
  <c r="V482" i="35" a="1"/>
  <c r="E747" i="35" a="1"/>
  <c r="E249" i="35" a="1"/>
  <c r="F364" i="35" a="1"/>
  <c r="F204" i="35" a="1"/>
  <c r="F252" i="35" a="1"/>
  <c r="V107" i="35" a="1"/>
  <c r="E763" i="35" a="1"/>
  <c r="F559" i="35" a="1"/>
  <c r="E834" i="35" a="1"/>
  <c r="I100" i="35"/>
  <c r="E638" i="35" a="1"/>
  <c r="E644" i="35" a="1"/>
  <c r="F768" i="35" a="1"/>
  <c r="I1056" i="35"/>
  <c r="F35" i="35" a="1"/>
  <c r="V777" i="35" a="1"/>
  <c r="I575" i="35"/>
  <c r="V198" i="35" a="1"/>
  <c r="V168" i="35" a="1"/>
  <c r="C305" i="35" a="1"/>
  <c r="V625" i="35" a="1"/>
  <c r="E646" i="35" a="1"/>
  <c r="V262" i="35" a="1"/>
  <c r="C239" i="35" a="1"/>
  <c r="I800" i="35"/>
  <c r="E860" i="35" a="1"/>
  <c r="V246" i="35" a="1"/>
  <c r="I55" i="35"/>
  <c r="E254" i="35" a="1"/>
  <c r="E702" i="35" a="1"/>
  <c r="E766" i="35" a="1"/>
  <c r="C615" i="35" a="1"/>
  <c r="V598" i="35" a="1"/>
  <c r="F234" i="35" a="1"/>
  <c r="F217" i="35" a="1"/>
  <c r="F309" i="35" a="1"/>
  <c r="C666" i="35" a="1"/>
  <c r="F157" i="35" a="1"/>
  <c r="E722" i="35" a="1"/>
  <c r="E302" i="35" a="1"/>
  <c r="I72" i="35"/>
  <c r="F370" i="35" a="1"/>
  <c r="V486" i="35" a="1"/>
  <c r="V796" i="35" a="1"/>
  <c r="F776" i="35" a="1"/>
  <c r="E569" i="35" a="1"/>
  <c r="F745" i="35" a="1"/>
  <c r="F861" i="35" a="1"/>
  <c r="E748" i="35" a="1"/>
  <c r="E177" i="35" a="1"/>
  <c r="C193" i="35" a="1"/>
  <c r="V830" i="35" a="1"/>
  <c r="V839" i="35" a="1"/>
  <c r="E23" i="35" a="1"/>
  <c r="C862" i="35" a="1"/>
  <c r="I574" i="35"/>
  <c r="F756" i="35" a="1"/>
  <c r="C26" i="35" a="1"/>
  <c r="C619" i="35" a="1"/>
  <c r="V188" i="35" a="1"/>
  <c r="E656" i="35" a="1"/>
  <c r="V322" i="35" a="1"/>
  <c r="I1032" i="35"/>
  <c r="I409" i="35"/>
  <c r="E759" i="35" a="1"/>
  <c r="I66" i="35"/>
  <c r="F331" i="35" a="1"/>
  <c r="F694" i="35" a="1"/>
  <c r="E232" i="35" a="1"/>
  <c r="F368" i="35" a="1"/>
  <c r="I578" i="35"/>
  <c r="C136" i="35" a="1"/>
  <c r="F835" i="35" a="1"/>
  <c r="V193" i="35" a="1"/>
  <c r="C191" i="35" a="1"/>
  <c r="V599" i="35" a="1"/>
  <c r="C274" i="35" a="1"/>
  <c r="F771" i="35" a="1"/>
  <c r="E368" i="35" a="1"/>
  <c r="C778" i="35" a="1"/>
  <c r="F163" i="35" a="1"/>
  <c r="F691" i="35" a="1"/>
  <c r="C595" i="35" a="1"/>
  <c r="V627" i="35" a="1"/>
  <c r="V758" i="35" a="1"/>
  <c r="V630" i="35" a="1"/>
  <c r="F295" i="35" a="1"/>
  <c r="F628" i="35" a="1"/>
  <c r="E804" i="35" a="1"/>
  <c r="E682" i="35" a="1"/>
  <c r="F727" i="35" a="1"/>
  <c r="C282" i="35" a="1"/>
  <c r="V565" i="35" a="1"/>
  <c r="E193" i="35" a="1"/>
  <c r="C188" i="35" a="1"/>
  <c r="F134" i="35" a="1"/>
  <c r="F158" i="35" a="1"/>
  <c r="V249" i="35" a="1"/>
  <c r="F615" i="35" a="1"/>
  <c r="C703" i="35" a="1"/>
  <c r="I1048" i="35"/>
  <c r="C24" i="35" a="1"/>
  <c r="V672" i="35" a="1"/>
  <c r="V784" i="35" a="1"/>
  <c r="V673" i="35" a="1"/>
  <c r="C753" i="35" a="1"/>
  <c r="C353" i="35" a="1"/>
  <c r="E692" i="35" a="1"/>
  <c r="F378" i="35" a="1"/>
  <c r="C564" i="35" a="1"/>
  <c r="V844" i="35" a="1"/>
  <c r="F678" i="35" a="1"/>
  <c r="C616" i="35" a="1"/>
  <c r="E665" i="35" a="1"/>
  <c r="F751" i="35" a="1"/>
  <c r="C757" i="35" a="1"/>
  <c r="E316" i="35" a="1"/>
  <c r="V139" i="35" a="1"/>
  <c r="F838" i="35" a="1"/>
  <c r="C278" i="35" a="1"/>
  <c r="E695" i="35" a="1"/>
  <c r="C377" i="35" a="1"/>
  <c r="C618" i="35" a="1"/>
  <c r="F600" i="35" a="1"/>
  <c r="C686" i="35" a="1"/>
  <c r="V652" i="35" a="1"/>
  <c r="I394" i="35"/>
  <c r="E213" i="35" a="1"/>
  <c r="F314" i="35" a="1"/>
  <c r="E657" i="35" a="1"/>
  <c r="V351" i="35" a="1"/>
  <c r="E268" i="35" a="1"/>
  <c r="E161" i="35" a="1"/>
  <c r="E358" i="35" a="1"/>
  <c r="V757" i="35" a="1"/>
  <c r="F852" i="35" a="1"/>
  <c r="F868" i="35" a="1"/>
  <c r="V377" i="35" a="1"/>
  <c r="E314" i="35" a="1"/>
  <c r="E757" i="35" a="1"/>
  <c r="E810" i="35" a="1"/>
  <c r="E696" i="35" a="1"/>
  <c r="E327" i="35" a="1"/>
  <c r="F344" i="35" a="1"/>
  <c r="I1043" i="35"/>
  <c r="C148" i="35" a="1"/>
  <c r="C582" i="35" a="1"/>
  <c r="I1073" i="35"/>
  <c r="I49" i="35"/>
  <c r="E625" i="35" a="1"/>
  <c r="C633" i="35" a="1"/>
  <c r="C617" i="35" a="1"/>
  <c r="E608" i="35" a="1"/>
  <c r="F236" i="35" a="1"/>
  <c r="E280" i="35" a="1"/>
  <c r="E721" i="35" a="1"/>
  <c r="E352" i="35" a="1"/>
  <c r="C179" i="35" a="1"/>
  <c r="I942" i="35"/>
  <c r="C718" i="35" a="1"/>
  <c r="E675" i="35" a="1"/>
  <c r="E173" i="35" a="1"/>
  <c r="V166" i="35" a="1"/>
  <c r="E375" i="35" a="1"/>
  <c r="I37" i="35"/>
  <c r="F647" i="35" a="1"/>
  <c r="E172" i="35" a="1"/>
  <c r="E148" i="35" a="1"/>
  <c r="C730" i="35" a="1"/>
  <c r="F284" i="35" a="1"/>
  <c r="F259" i="35" a="1"/>
  <c r="C641" i="35" a="1"/>
  <c r="E228" i="35" a="1"/>
  <c r="V311" i="35" a="1"/>
  <c r="C783" i="35" a="1"/>
  <c r="I944" i="35"/>
  <c r="C4" i="35" a="1"/>
  <c r="F27" i="35" a="1"/>
  <c r="F366" i="35" a="1"/>
  <c r="C570" i="35" a="1"/>
  <c r="C749" i="35" a="1"/>
  <c r="C318" i="35" a="1"/>
  <c r="E198" i="35" a="1"/>
  <c r="C380" i="35" a="1"/>
  <c r="I1039" i="35"/>
  <c r="F738" i="35" a="1"/>
  <c r="C553" i="35" a="1"/>
  <c r="E21" i="35" a="1"/>
  <c r="F229" i="35" a="1"/>
  <c r="E553" i="35" a="1"/>
  <c r="C654" i="35" a="1"/>
  <c r="E703" i="35" a="1"/>
  <c r="F561" i="35" a="1"/>
  <c r="I795" i="35"/>
  <c r="F722" i="35" a="1"/>
  <c r="I939" i="35"/>
  <c r="C35" i="35" a="1"/>
  <c r="C376" i="35" a="1"/>
  <c r="F25" i="35" a="1"/>
  <c r="V253" i="35" a="1"/>
  <c r="V732" i="35" a="1"/>
  <c r="E852" i="35" a="1"/>
  <c r="V244" i="35" a="1"/>
  <c r="E593" i="35" a="1"/>
  <c r="V858" i="35" a="1"/>
  <c r="V832" i="35" a="1"/>
  <c r="V842" i="35" a="1"/>
  <c r="C599" i="35" a="1"/>
  <c r="V318" i="35" a="1"/>
  <c r="V288" i="35" a="1"/>
  <c r="E305" i="35" a="1"/>
  <c r="C677" i="35" a="1"/>
  <c r="E224" i="35" a="1"/>
  <c r="F263" i="35" a="1"/>
  <c r="F619" i="35" a="1"/>
  <c r="V251" i="35" a="1"/>
  <c r="E163" i="35" a="1"/>
  <c r="E564" i="35" a="1"/>
  <c r="C568" i="35" a="1"/>
  <c r="C142" i="35" a="1"/>
  <c r="V367" i="35" a="1"/>
  <c r="V233" i="35" a="1"/>
  <c r="E347" i="35" a="1"/>
  <c r="C158" i="35" a="1"/>
  <c r="V186" i="35" a="1"/>
  <c r="E190" i="35" a="1"/>
  <c r="V743" i="35" a="1"/>
  <c r="E203" i="35" a="1"/>
  <c r="F192" i="35" a="1"/>
  <c r="F328" i="35" a="1"/>
  <c r="C212" i="35" a="1"/>
  <c r="E377" i="35" a="1"/>
  <c r="F815" i="35" a="1"/>
  <c r="E338" i="35" a="1"/>
  <c r="E844" i="35" a="1"/>
  <c r="I1071" i="35"/>
  <c r="V153" i="35" a="1"/>
  <c r="E816" i="35" a="1"/>
  <c r="I541" i="35"/>
  <c r="I547" i="35"/>
  <c r="V297" i="35" a="1"/>
  <c r="F597" i="35" a="1"/>
  <c r="E724" i="35" a="1"/>
  <c r="I86" i="35"/>
  <c r="V294" i="35" a="1"/>
  <c r="C375" i="35" a="1"/>
  <c r="C341" i="35" a="1"/>
  <c r="C709" i="35" a="1"/>
  <c r="E297" i="35" a="1"/>
  <c r="V209" i="35" a="1"/>
  <c r="V305" i="35" a="1"/>
  <c r="C638" i="35" a="1"/>
  <c r="V238" i="35" a="1"/>
  <c r="F743" i="35" a="1"/>
  <c r="E639" i="35" a="1"/>
  <c r="V154" i="35" a="1"/>
  <c r="V175" i="35" a="1"/>
  <c r="C834" i="35" a="1"/>
  <c r="F822" i="35" a="1"/>
  <c r="E382" i="35" a="1"/>
  <c r="F313" i="35" a="1"/>
  <c r="E330" i="35" a="1"/>
  <c r="F347" i="35" a="1"/>
  <c r="E676" i="35" a="1"/>
  <c r="E666" i="35" a="1"/>
  <c r="V871" i="35" a="1"/>
  <c r="V860" i="35" a="1"/>
  <c r="C697" i="35" a="1"/>
  <c r="F623" i="35" a="1"/>
  <c r="C361" i="35" a="1"/>
  <c r="F652" i="35" a="1"/>
  <c r="F136" i="35" a="1"/>
  <c r="E726" i="35" a="1"/>
  <c r="V596" i="35" a="1"/>
  <c r="C627" i="35" a="1"/>
  <c r="F278" i="35" a="1"/>
  <c r="C719" i="35" a="1"/>
  <c r="V314" i="35" a="1"/>
  <c r="I1044" i="35"/>
  <c r="C786" i="35" a="1"/>
  <c r="V659" i="35" a="1"/>
  <c r="C237" i="35" a="1"/>
  <c r="E269" i="35" a="1"/>
  <c r="V671" i="35" a="1"/>
  <c r="I393" i="35"/>
  <c r="C156" i="35" a="1"/>
  <c r="E628" i="35" a="1"/>
  <c r="F487" i="35" a="1"/>
  <c r="C311" i="35" a="1"/>
  <c r="V275" i="35" a="1"/>
  <c r="E673" i="35" a="1"/>
  <c r="V718" i="35" a="1"/>
  <c r="C678" i="35" a="1"/>
  <c r="E140" i="35" a="1"/>
  <c r="E718" i="35" a="1"/>
  <c r="E811" i="35" a="1"/>
  <c r="F187" i="35" a="1"/>
  <c r="E850" i="35" a="1"/>
  <c r="E134" i="35" a="1"/>
  <c r="E227" i="35" a="1"/>
  <c r="C209" i="35" a="1"/>
  <c r="C734" i="35" a="1"/>
  <c r="C313" i="35" a="1"/>
  <c r="I935" i="35"/>
  <c r="C165" i="35" a="1"/>
  <c r="I3" i="35"/>
  <c r="F291" i="35" a="1"/>
  <c r="C829" i="35" a="1"/>
  <c r="I937" i="35"/>
  <c r="C643" i="35" a="1"/>
  <c r="I397" i="35"/>
  <c r="E570" i="35" a="1"/>
  <c r="E832" i="35" a="1"/>
  <c r="I1047" i="35"/>
  <c r="F153" i="35" a="1"/>
  <c r="E557" i="35" a="1"/>
  <c r="F592" i="35" a="1"/>
  <c r="V161" i="35" a="1"/>
  <c r="C287" i="35" a="1"/>
  <c r="C371" i="35" a="1"/>
  <c r="E169" i="35" a="1"/>
  <c r="I419" i="35"/>
  <c r="V642" i="35" a="1"/>
  <c r="F480" i="35" a="1"/>
  <c r="F316" i="35" a="1"/>
  <c r="I63" i="35"/>
  <c r="F643" i="35" a="1"/>
  <c r="E176" i="35" a="1"/>
  <c r="V662" i="35" a="1"/>
  <c r="V199" i="35" a="1"/>
  <c r="V816" i="35" a="1"/>
  <c r="I65" i="35"/>
  <c r="C782" i="35" a="1"/>
  <c r="E796" i="35" a="1"/>
  <c r="E745" i="35" a="1"/>
  <c r="I492" i="35"/>
  <c r="F760" i="35" a="1"/>
  <c r="C358" i="35" a="1"/>
  <c r="I1045" i="35"/>
  <c r="C857" i="35" a="1"/>
  <c r="V628" i="35" a="1"/>
  <c r="F755" i="35" a="1"/>
  <c r="V818" i="35" a="1"/>
  <c r="I1030" i="35"/>
  <c r="I399" i="35"/>
  <c r="I52" i="35"/>
  <c r="E287" i="35" a="1"/>
  <c r="C830" i="35" a="1"/>
  <c r="E829" i="35" a="1"/>
  <c r="V601" i="35" a="1"/>
  <c r="E157" i="35" a="1"/>
  <c r="F656" i="35" a="1"/>
  <c r="V831" i="35" a="1"/>
  <c r="C775" i="35" a="1"/>
  <c r="C621" i="35" a="1"/>
  <c r="C742" i="35" a="1"/>
  <c r="F168" i="35" a="1"/>
  <c r="I53" i="35"/>
  <c r="F334" i="35" a="1"/>
  <c r="C267" i="35" a="1"/>
  <c r="E212" i="35" a="1"/>
  <c r="F728" i="35" a="1"/>
  <c r="V852" i="35" a="1"/>
  <c r="E809" i="35" a="1"/>
  <c r="V273" i="35" a="1"/>
  <c r="V605" i="35" a="1"/>
  <c r="I1046" i="35"/>
  <c r="E707" i="35" a="1"/>
  <c r="F254" i="35" a="1"/>
  <c r="V208" i="35" a="1"/>
  <c r="C248" i="35" a="1"/>
  <c r="I549" i="35"/>
  <c r="F333" i="35" a="1"/>
  <c r="V848" i="35" a="1"/>
  <c r="F323" i="35" a="1"/>
  <c r="I494" i="35"/>
  <c r="I54" i="35"/>
  <c r="F662" i="35" a="1"/>
  <c r="V364" i="35" a="1"/>
  <c r="F846" i="35" a="1"/>
  <c r="F816" i="35" a="1"/>
  <c r="F703" i="35" a="1"/>
  <c r="V303" i="35" a="1"/>
  <c r="C21" i="35" a="1"/>
  <c r="E201" i="35" a="1"/>
  <c r="I803" i="35"/>
  <c r="E152" i="35" a="1"/>
  <c r="V752" i="35" a="1"/>
  <c r="C556" i="35" a="1"/>
  <c r="C306" i="35" a="1"/>
  <c r="F353" i="35" a="1"/>
  <c r="E168" i="35" a="1"/>
  <c r="V862" i="35" a="1"/>
  <c r="C722" i="35" a="1"/>
  <c r="F638" i="35" a="1"/>
  <c r="I93" i="35"/>
  <c r="I391" i="35"/>
  <c r="V558" i="35" a="1"/>
  <c r="I33" i="35"/>
  <c r="V191" i="35" a="1"/>
  <c r="E339" i="35" a="1"/>
  <c r="E559" i="35" a="1"/>
  <c r="C231" i="35" a="1"/>
  <c r="V665" i="35" a="1"/>
  <c r="F146" i="35" a="1"/>
  <c r="I32" i="35"/>
  <c r="E219" i="35" a="1"/>
  <c r="E683" i="35" a="1"/>
  <c r="I101" i="35"/>
  <c r="C669" i="35" a="1"/>
  <c r="I82" i="35"/>
  <c r="E361" i="35" a="1"/>
  <c r="F198" i="35" a="1"/>
  <c r="C558" i="35" a="1"/>
  <c r="V763" i="35" a="1"/>
  <c r="I108" i="35"/>
  <c r="E783" i="35" a="1"/>
  <c r="E679" i="35" a="1"/>
  <c r="F298" i="35" a="1"/>
  <c r="E591" i="35" a="1"/>
  <c r="E604" i="35" a="1"/>
  <c r="I103" i="35"/>
  <c r="C249" i="35" a="1"/>
  <c r="C378" i="35" a="1"/>
  <c r="F840" i="35" a="1"/>
  <c r="F664" i="35" a="1"/>
  <c r="I10" i="35"/>
  <c r="C178" i="35" a="1"/>
  <c r="C613" i="35" a="1"/>
  <c r="F341" i="35" a="1"/>
  <c r="F380" i="35" a="1"/>
  <c r="F836" i="35" a="1"/>
  <c r="E655" i="35" a="1"/>
  <c r="I119" i="35"/>
  <c r="V200" i="35" a="1"/>
  <c r="E142" i="35" a="1"/>
  <c r="E558" i="35" a="1"/>
  <c r="I877" i="35"/>
  <c r="V226" i="35" a="1"/>
  <c r="I389" i="35"/>
  <c r="I548" i="35"/>
  <c r="F763" i="35" a="1"/>
  <c r="E661" i="35" a="1"/>
  <c r="V145" i="35" a="1"/>
  <c r="C863" i="35" a="1"/>
  <c r="V679" i="35" a="1"/>
  <c r="V241" i="35" a="1"/>
  <c r="F214" i="35" a="1"/>
  <c r="I388" i="35"/>
  <c r="E334" i="35" a="1"/>
  <c r="E160" i="35" a="1"/>
  <c r="F178" i="35" a="1"/>
  <c r="C362" i="35" a="1"/>
  <c r="F244" i="35" a="1"/>
  <c r="E753" i="35" a="1"/>
  <c r="F352" i="35" a="1"/>
  <c r="V223" i="35" a="1"/>
  <c r="C221" i="35" a="1"/>
  <c r="C681" i="35" a="1"/>
  <c r="F189" i="35" a="1"/>
  <c r="F873" i="35" a="1"/>
  <c r="V205" i="35" a="1"/>
  <c r="C773" i="35" a="1"/>
  <c r="E381" i="35" a="1"/>
  <c r="V289" i="35" a="1"/>
  <c r="F787" i="35" a="1"/>
  <c r="E303" i="35" a="1"/>
  <c r="C34" i="35" a="1"/>
  <c r="F850" i="35" a="1"/>
  <c r="C727" i="35" a="1"/>
  <c r="C608" i="35" a="1"/>
  <c r="I120" i="35"/>
  <c r="F590" i="35" a="1"/>
  <c r="E138" i="35" a="1"/>
  <c r="C230" i="35" a="1"/>
  <c r="C339" i="35" a="1"/>
  <c r="V833" i="35" a="1"/>
  <c r="F201" i="35" a="1"/>
  <c r="F659" i="35" a="1"/>
  <c r="E317" i="35" a="1"/>
  <c r="V184" i="35" a="1"/>
  <c r="E563" i="35" a="1"/>
  <c r="E22" i="35" a="1"/>
  <c r="E815" i="35" a="1"/>
  <c r="F371" i="35" a="1"/>
  <c r="F762" i="35" a="1"/>
  <c r="E276" i="35" a="1"/>
  <c r="I15" i="35"/>
  <c r="C557" i="35" a="1"/>
  <c r="F156" i="35" a="1"/>
  <c r="F828" i="35" a="1"/>
  <c r="E768" i="35" a="1"/>
  <c r="I11" i="35"/>
  <c r="V201" i="35" a="1"/>
  <c r="C290" i="35" a="1"/>
  <c r="F869" i="35" a="1"/>
  <c r="C294" i="35" a="1"/>
  <c r="E164" i="35" a="1"/>
  <c r="V654" i="35" a="1"/>
  <c r="I112" i="35"/>
  <c r="E272" i="35" a="1"/>
  <c r="C250" i="35" a="1"/>
  <c r="F300" i="35" a="1"/>
  <c r="E805" i="35" a="1"/>
  <c r="F670" i="35" a="1"/>
  <c r="V355" i="35" a="1"/>
  <c r="C808" i="35" a="1"/>
  <c r="E633" i="35" a="1"/>
  <c r="F261" i="35" a="1"/>
  <c r="I1049" i="35"/>
  <c r="C348" i="35" a="1"/>
  <c r="E353" i="35" a="1"/>
  <c r="E259" i="35" a="1"/>
  <c r="F617" i="35" a="1"/>
  <c r="V746" i="35" a="1"/>
  <c r="V655" i="35" a="1"/>
  <c r="V215" i="35" a="1"/>
  <c r="E158" i="35" a="1"/>
  <c r="E188" i="35" a="1"/>
  <c r="E634" i="35" a="1"/>
  <c r="V737" i="35" a="1"/>
  <c r="I83" i="35"/>
  <c r="I57" i="35"/>
  <c r="E227" i="35" l="1"/>
  <c r="F813" i="35"/>
  <c r="A818" i="55" s="1"/>
  <c r="B1080" i="35"/>
  <c r="B398" i="35"/>
  <c r="C286" i="35"/>
  <c r="F715" i="35"/>
  <c r="A720" i="55" s="1"/>
  <c r="B94" i="35"/>
  <c r="C233" i="35"/>
  <c r="B552" i="35"/>
  <c r="C658" i="35"/>
  <c r="C217" i="35"/>
  <c r="F299" i="35"/>
  <c r="A304" i="55" s="1"/>
  <c r="C226" i="35"/>
  <c r="F145" i="35"/>
  <c r="A150" i="55" s="1"/>
  <c r="C266" i="35"/>
  <c r="C716" i="35"/>
  <c r="F234" i="35"/>
  <c r="A239" i="55" s="1"/>
  <c r="C726" i="35"/>
  <c r="F286" i="35"/>
  <c r="A291" i="55" s="1"/>
  <c r="F272" i="35"/>
  <c r="A277" i="55" s="1"/>
  <c r="F25" i="35"/>
  <c r="A30" i="55" s="1"/>
  <c r="E654" i="35"/>
  <c r="V871" i="35"/>
  <c r="F755" i="35"/>
  <c r="A760" i="55" s="1"/>
  <c r="E646" i="35"/>
  <c r="V641" i="35"/>
  <c r="V870" i="35"/>
  <c r="E817" i="35"/>
  <c r="E749" i="35"/>
  <c r="V599" i="35"/>
  <c r="E662" i="35"/>
  <c r="V860" i="35"/>
  <c r="E630" i="35"/>
  <c r="E847" i="35"/>
  <c r="C751" i="35"/>
  <c r="C313" i="35"/>
  <c r="F4" i="35"/>
  <c r="A9" i="55" s="1"/>
  <c r="F819" i="35"/>
  <c r="A824" i="55" s="1"/>
  <c r="F709" i="35"/>
  <c r="A714" i="55" s="1"/>
  <c r="E824" i="35"/>
  <c r="P824" i="35" s="1"/>
  <c r="E595" i="35"/>
  <c r="C615" i="35"/>
  <c r="F666" i="35"/>
  <c r="A671" i="55" s="1"/>
  <c r="E203" i="35"/>
  <c r="F737" i="35"/>
  <c r="A742" i="55" s="1"/>
  <c r="F655" i="35"/>
  <c r="A660" i="55" s="1"/>
  <c r="E599" i="35"/>
  <c r="E636" i="35"/>
  <c r="B403" i="35"/>
  <c r="E761" i="35"/>
  <c r="C676" i="35"/>
  <c r="B79" i="35"/>
  <c r="E724" i="35"/>
  <c r="C853" i="35"/>
  <c r="F858" i="35"/>
  <c r="A863" i="55" s="1"/>
  <c r="E694" i="35"/>
  <c r="C675" i="35"/>
  <c r="V296" i="35"/>
  <c r="E345" i="35"/>
  <c r="C360" i="35"/>
  <c r="E836" i="35"/>
  <c r="F233" i="35"/>
  <c r="A238" i="55" s="1"/>
  <c r="C796" i="35"/>
  <c r="F693" i="35"/>
  <c r="A698" i="55" s="1"/>
  <c r="C650" i="35"/>
  <c r="C241" i="35"/>
  <c r="C561" i="35"/>
  <c r="V605" i="35"/>
  <c r="V873" i="35"/>
  <c r="C820" i="35"/>
  <c r="F710" i="35"/>
  <c r="A715" i="55" s="1"/>
  <c r="V143" i="35"/>
  <c r="C817" i="35"/>
  <c r="F352" i="35"/>
  <c r="A357" i="55" s="1"/>
  <c r="V313" i="35"/>
  <c r="V356" i="35"/>
  <c r="F161" i="35"/>
  <c r="A166" i="55" s="1"/>
  <c r="C343" i="35"/>
  <c r="C606" i="35"/>
  <c r="F236" i="35"/>
  <c r="A241" i="55" s="1"/>
  <c r="V270" i="35"/>
  <c r="C687" i="35"/>
  <c r="V621" i="35"/>
  <c r="F756" i="35"/>
  <c r="A761" i="55" s="1"/>
  <c r="F838" i="35"/>
  <c r="A843" i="55" s="1"/>
  <c r="E613" i="35"/>
  <c r="F571" i="35"/>
  <c r="A576" i="55" s="1"/>
  <c r="E218" i="35"/>
  <c r="F818" i="35"/>
  <c r="A823" i="55" s="1"/>
  <c r="E316" i="35"/>
  <c r="V753" i="35"/>
  <c r="E484" i="35"/>
  <c r="V770" i="35"/>
  <c r="E618" i="35"/>
  <c r="E597" i="35"/>
  <c r="E280" i="35"/>
  <c r="B881" i="35"/>
  <c r="V558" i="35"/>
  <c r="B85" i="35"/>
  <c r="V750" i="35"/>
  <c r="E21" i="35"/>
  <c r="F370" i="35"/>
  <c r="A375" i="55" s="1"/>
  <c r="F676" i="35"/>
  <c r="A681" i="55" s="1"/>
  <c r="B389" i="35"/>
  <c r="B420" i="35"/>
  <c r="V34" i="35"/>
  <c r="B8" i="35"/>
  <c r="E364" i="35"/>
  <c r="E303" i="35"/>
  <c r="E631" i="35"/>
  <c r="F355" i="35"/>
  <c r="A360" i="55" s="1"/>
  <c r="C625" i="35"/>
  <c r="E870" i="35"/>
  <c r="E663" i="35"/>
  <c r="N663" i="35" s="1"/>
  <c r="C618" i="35"/>
  <c r="C694" i="35"/>
  <c r="E806" i="35"/>
  <c r="E284" i="35"/>
  <c r="C265" i="35"/>
  <c r="C141" i="35"/>
  <c r="E257" i="35"/>
  <c r="V646" i="35"/>
  <c r="C204" i="35"/>
  <c r="F172" i="35"/>
  <c r="A177" i="55" s="1"/>
  <c r="C858" i="35"/>
  <c r="E758" i="35"/>
  <c r="C186" i="35"/>
  <c r="C348" i="35"/>
  <c r="V170" i="35"/>
  <c r="V202" i="35"/>
  <c r="B74" i="35"/>
  <c r="V708" i="35"/>
  <c r="V553" i="35"/>
  <c r="B1054" i="35"/>
  <c r="C284" i="35"/>
  <c r="F173" i="35"/>
  <c r="A178" i="55" s="1"/>
  <c r="F287" i="35"/>
  <c r="A292" i="55" s="1"/>
  <c r="F241" i="35"/>
  <c r="A246" i="55" s="1"/>
  <c r="C733" i="35"/>
  <c r="C149" i="35"/>
  <c r="C238" i="35"/>
  <c r="C379" i="35"/>
  <c r="B412" i="35"/>
  <c r="F557" i="35"/>
  <c r="A562" i="55" s="1"/>
  <c r="V360" i="35"/>
  <c r="B1064" i="35"/>
  <c r="F692" i="35"/>
  <c r="A697" i="55" s="1"/>
  <c r="E233" i="35"/>
  <c r="V592" i="35"/>
  <c r="E208" i="35"/>
  <c r="V734" i="35"/>
  <c r="E737" i="35"/>
  <c r="V629" i="35"/>
  <c r="V760" i="35"/>
  <c r="E207" i="35"/>
  <c r="F626" i="35"/>
  <c r="A631" i="55" s="1"/>
  <c r="F651" i="35"/>
  <c r="A656" i="55" s="1"/>
  <c r="F864" i="35"/>
  <c r="A869" i="55" s="1"/>
  <c r="V761" i="35"/>
  <c r="E721" i="35"/>
  <c r="B114" i="35"/>
  <c r="F766" i="35"/>
  <c r="A771" i="55" s="1"/>
  <c r="C826" i="35"/>
  <c r="V193" i="35"/>
  <c r="F832" i="35"/>
  <c r="A837" i="55" s="1"/>
  <c r="B1071" i="35"/>
  <c r="V189" i="35"/>
  <c r="E154" i="35"/>
  <c r="F200" i="35"/>
  <c r="A205" i="55" s="1"/>
  <c r="F771" i="35"/>
  <c r="A776" i="55" s="1"/>
  <c r="C356" i="35"/>
  <c r="C664" i="35"/>
  <c r="E738" i="35"/>
  <c r="F331" i="35"/>
  <c r="A336" i="55" s="1"/>
  <c r="F837" i="35"/>
  <c r="A842" i="55" s="1"/>
  <c r="C180" i="35"/>
  <c r="V220" i="35"/>
  <c r="F834" i="35"/>
  <c r="A839" i="55" s="1"/>
  <c r="C227" i="35"/>
  <c r="V140" i="35"/>
  <c r="F247" i="35"/>
  <c r="A252" i="55" s="1"/>
  <c r="F201" i="35"/>
  <c r="A206" i="55" s="1"/>
  <c r="B12" i="35"/>
  <c r="C235" i="35"/>
  <c r="B58" i="35"/>
  <c r="C253" i="35"/>
  <c r="V224" i="35"/>
  <c r="C662" i="35"/>
  <c r="C715" i="35"/>
  <c r="C353" i="35"/>
  <c r="C843" i="35"/>
  <c r="B115" i="35"/>
  <c r="F199" i="35"/>
  <c r="A204" i="55" s="1"/>
  <c r="C603" i="35"/>
  <c r="C145" i="35"/>
  <c r="F230" i="35"/>
  <c r="A235" i="55" s="1"/>
  <c r="B1033" i="35"/>
  <c r="C780" i="35"/>
  <c r="E174" i="35"/>
  <c r="E605" i="35"/>
  <c r="E334" i="35"/>
  <c r="F668" i="35"/>
  <c r="A673" i="55" s="1"/>
  <c r="V783" i="35"/>
  <c r="F869" i="35"/>
  <c r="A874" i="55" s="1"/>
  <c r="E235" i="35"/>
  <c r="E313" i="35"/>
  <c r="E615" i="35"/>
  <c r="E777" i="35"/>
  <c r="E739" i="35"/>
  <c r="P739" i="35" s="1"/>
  <c r="E641" i="35"/>
  <c r="V654" i="35"/>
  <c r="C23" i="35"/>
  <c r="B1077" i="35"/>
  <c r="V215" i="35"/>
  <c r="V867" i="35"/>
  <c r="V619" i="35"/>
  <c r="C762" i="35"/>
  <c r="F817" i="35"/>
  <c r="A822" i="55" s="1"/>
  <c r="E223" i="35"/>
  <c r="B112" i="35"/>
  <c r="C24" i="35"/>
  <c r="C220" i="35"/>
  <c r="E328" i="35"/>
  <c r="F591" i="35"/>
  <c r="A596" i="55" s="1"/>
  <c r="F339" i="35"/>
  <c r="A344" i="55" s="1"/>
  <c r="V153" i="35"/>
  <c r="E187" i="35"/>
  <c r="C35" i="35"/>
  <c r="C184" i="35"/>
  <c r="F689" i="35"/>
  <c r="A694" i="55" s="1"/>
  <c r="C593" i="35"/>
  <c r="C609" i="35"/>
  <c r="C652" i="35"/>
  <c r="F699" i="35"/>
  <c r="A704" i="55" s="1"/>
  <c r="C706" i="35"/>
  <c r="C659" i="35"/>
  <c r="F280" i="35"/>
  <c r="A285" i="55" s="1"/>
  <c r="C140" i="35"/>
  <c r="B1070" i="35"/>
  <c r="F159" i="35"/>
  <c r="A164" i="55" s="1"/>
  <c r="B399" i="35"/>
  <c r="B81" i="35"/>
  <c r="C153" i="35"/>
  <c r="C170" i="35"/>
  <c r="F216" i="35"/>
  <c r="A221" i="55" s="1"/>
  <c r="V557" i="35"/>
  <c r="C744" i="35"/>
  <c r="C272" i="35"/>
  <c r="E25" i="35"/>
  <c r="E807" i="35"/>
  <c r="P807" i="35" s="1"/>
  <c r="E259" i="35"/>
  <c r="V666" i="35"/>
  <c r="E286" i="35"/>
  <c r="V845" i="35"/>
  <c r="F629" i="35"/>
  <c r="A634" i="55" s="1"/>
  <c r="V724" i="35"/>
  <c r="F643" i="35"/>
  <c r="A648" i="55" s="1"/>
  <c r="E603" i="35"/>
  <c r="F618" i="35"/>
  <c r="A623" i="55" s="1"/>
  <c r="E632" i="35"/>
  <c r="P632" i="35" s="1"/>
  <c r="F830" i="35"/>
  <c r="A835" i="55" s="1"/>
  <c r="E616" i="35"/>
  <c r="B3" i="35"/>
  <c r="C154" i="35"/>
  <c r="E288" i="35"/>
  <c r="V205" i="35"/>
  <c r="F485" i="35"/>
  <c r="A490" i="55" s="1"/>
  <c r="E312" i="35"/>
  <c r="F480" i="35"/>
  <c r="A485" i="55" s="1"/>
  <c r="E820" i="35"/>
  <c r="C760" i="35"/>
  <c r="C335" i="35"/>
  <c r="E209" i="35"/>
  <c r="C382" i="35"/>
  <c r="V377" i="35"/>
  <c r="V768" i="35"/>
  <c r="V741" i="35"/>
  <c r="C775" i="35"/>
  <c r="C841" i="35"/>
  <c r="V290" i="35"/>
  <c r="E346" i="35"/>
  <c r="E748" i="35"/>
  <c r="C276" i="35"/>
  <c r="F570" i="35"/>
  <c r="A575" i="55" s="1"/>
  <c r="C846" i="35"/>
  <c r="B1081" i="35"/>
  <c r="C814" i="35"/>
  <c r="V188" i="35"/>
  <c r="C660" i="35"/>
  <c r="C708" i="35"/>
  <c r="V201" i="35"/>
  <c r="F210" i="35"/>
  <c r="A215" i="55" s="1"/>
  <c r="B1067" i="35"/>
  <c r="F361" i="35"/>
  <c r="A366" i="55" s="1"/>
  <c r="C651" i="35"/>
  <c r="V191" i="35"/>
  <c r="B130" i="35"/>
  <c r="C269" i="35"/>
  <c r="C135" i="35"/>
  <c r="V364" i="35"/>
  <c r="V256" i="35"/>
  <c r="V231" i="35"/>
  <c r="V161" i="35"/>
  <c r="V192" i="35"/>
  <c r="C483" i="35"/>
  <c r="C183" i="35"/>
  <c r="B496" i="35"/>
  <c r="C596" i="35"/>
  <c r="E480" i="35"/>
  <c r="E854" i="35"/>
  <c r="E253" i="35"/>
  <c r="V648" i="35"/>
  <c r="F663" i="35"/>
  <c r="A668" i="55" s="1"/>
  <c r="V861" i="35"/>
  <c r="V723" i="35"/>
  <c r="F640" i="35"/>
  <c r="A645" i="55" s="1"/>
  <c r="C668" i="35"/>
  <c r="V858" i="35"/>
  <c r="F861" i="35"/>
  <c r="A866" i="55" s="1"/>
  <c r="F761" i="35"/>
  <c r="A766" i="55" s="1"/>
  <c r="E819" i="35"/>
  <c r="E150" i="35"/>
  <c r="V716" i="35"/>
  <c r="C761" i="35"/>
  <c r="E371" i="35"/>
  <c r="F690" i="35"/>
  <c r="A695" i="55" s="1"/>
  <c r="C570" i="35"/>
  <c r="B414" i="35"/>
  <c r="V717" i="35"/>
  <c r="C176" i="35"/>
  <c r="F217" i="35"/>
  <c r="A222" i="55" s="1"/>
  <c r="B14" i="35"/>
  <c r="E204" i="35"/>
  <c r="E591" i="35"/>
  <c r="V728" i="35"/>
  <c r="F597" i="35"/>
  <c r="A602" i="55" s="1"/>
  <c r="E700" i="35"/>
  <c r="E326" i="35"/>
  <c r="C673" i="35"/>
  <c r="V812" i="35"/>
  <c r="F660" i="35"/>
  <c r="A665" i="55" s="1"/>
  <c r="E607" i="35"/>
  <c r="N607" i="35" s="1"/>
  <c r="E296" i="35"/>
  <c r="E686" i="35"/>
  <c r="E214" i="35"/>
  <c r="V759" i="35"/>
  <c r="B89" i="35"/>
  <c r="B497" i="35"/>
  <c r="V691" i="35"/>
  <c r="C375" i="35"/>
  <c r="C824" i="35"/>
  <c r="E258" i="35"/>
  <c r="F151" i="35"/>
  <c r="A156" i="55" s="1"/>
  <c r="F862" i="35"/>
  <c r="A867" i="55" s="1"/>
  <c r="B37" i="35"/>
  <c r="V260" i="35"/>
  <c r="C221" i="35"/>
  <c r="C162" i="35"/>
  <c r="C754" i="35"/>
  <c r="B76" i="35"/>
  <c r="F171" i="35"/>
  <c r="A176" i="55" s="1"/>
  <c r="B42" i="35"/>
  <c r="F290" i="35"/>
  <c r="A295" i="55" s="1"/>
  <c r="C485" i="35"/>
  <c r="V278" i="35"/>
  <c r="F224" i="35"/>
  <c r="A229" i="55" s="1"/>
  <c r="C691" i="35"/>
  <c r="B800" i="35"/>
  <c r="C635" i="35"/>
  <c r="C250" i="35"/>
  <c r="B573" i="35"/>
  <c r="E602" i="35"/>
  <c r="E298" i="35"/>
  <c r="F639" i="35"/>
  <c r="A644" i="55" s="1"/>
  <c r="E143" i="35"/>
  <c r="E743" i="35"/>
  <c r="F682" i="35"/>
  <c r="A687" i="55" s="1"/>
  <c r="E168" i="35"/>
  <c r="E248" i="35"/>
  <c r="E665" i="35"/>
  <c r="F833" i="35"/>
  <c r="A838" i="55" s="1"/>
  <c r="E184" i="35"/>
  <c r="V27" i="35"/>
  <c r="V730" i="35"/>
  <c r="F735" i="35"/>
  <c r="A740" i="55" s="1"/>
  <c r="C600" i="35"/>
  <c r="F380" i="35"/>
  <c r="A385" i="55" s="1"/>
  <c r="E558" i="35"/>
  <c r="C193" i="35"/>
  <c r="B580" i="35"/>
  <c r="V283" i="35"/>
  <c r="V625" i="35"/>
  <c r="B1056" i="35"/>
  <c r="F822" i="35"/>
  <c r="A827" i="55" s="1"/>
  <c r="V4" i="35"/>
  <c r="V136" i="35"/>
  <c r="F180" i="35"/>
  <c r="A185" i="55" s="1"/>
  <c r="C486" i="35"/>
  <c r="B1031" i="35"/>
  <c r="V156" i="35"/>
  <c r="B106" i="35"/>
  <c r="F142" i="35"/>
  <c r="A147" i="55" s="1"/>
  <c r="C243" i="35"/>
  <c r="C259" i="35"/>
  <c r="B56" i="35"/>
  <c r="C216" i="35"/>
  <c r="V216" i="35"/>
  <c r="F153" i="35"/>
  <c r="A158" i="55" s="1"/>
  <c r="F706" i="35"/>
  <c r="A711" i="55" s="1"/>
  <c r="V323" i="35"/>
  <c r="C862" i="35"/>
  <c r="V718" i="35"/>
  <c r="B411" i="35"/>
  <c r="E564" i="35"/>
  <c r="E741" i="35"/>
  <c r="E325" i="35"/>
  <c r="V645" i="35"/>
  <c r="E701" i="35"/>
  <c r="V782" i="35"/>
  <c r="V686" i="35"/>
  <c r="F617" i="35"/>
  <c r="A622" i="55" s="1"/>
  <c r="E242" i="35"/>
  <c r="F546" i="35"/>
  <c r="A551" i="55" s="1"/>
  <c r="V655" i="35"/>
  <c r="C107" i="35"/>
  <c r="E245" i="35"/>
  <c r="E273" i="35"/>
  <c r="C765" i="35"/>
  <c r="E300" i="35"/>
  <c r="C301" i="35"/>
  <c r="F138" i="35"/>
  <c r="A143" i="55" s="1"/>
  <c r="C728" i="35"/>
  <c r="E322" i="35"/>
  <c r="B91" i="35"/>
  <c r="E782" i="35"/>
  <c r="F170" i="35"/>
  <c r="A175" i="55" s="1"/>
  <c r="E628" i="35"/>
  <c r="F708" i="35"/>
  <c r="A713" i="55" s="1"/>
  <c r="B88" i="35"/>
  <c r="B109" i="35"/>
  <c r="V152" i="35"/>
  <c r="B797" i="35"/>
  <c r="V344" i="35"/>
  <c r="V226" i="35"/>
  <c r="F249" i="35"/>
  <c r="A254" i="55" s="1"/>
  <c r="F308" i="35"/>
  <c r="A313" i="55" s="1"/>
  <c r="C774" i="35"/>
  <c r="B802" i="35"/>
  <c r="B386" i="35"/>
  <c r="B118" i="35"/>
  <c r="V277" i="35"/>
  <c r="C164" i="35"/>
  <c r="V293" i="35"/>
  <c r="C263" i="35"/>
  <c r="V357" i="35"/>
  <c r="V204" i="35"/>
  <c r="C322" i="35"/>
  <c r="F192" i="35"/>
  <c r="A197" i="55" s="1"/>
  <c r="V632" i="35"/>
  <c r="E315" i="35"/>
  <c r="E872" i="35"/>
  <c r="E696" i="35"/>
  <c r="F750" i="35"/>
  <c r="A755" i="55" s="1"/>
  <c r="E262" i="35"/>
  <c r="E571" i="35"/>
  <c r="V663" i="35"/>
  <c r="F592" i="35"/>
  <c r="A597" i="55" s="1"/>
  <c r="F871" i="35"/>
  <c r="A876" i="55" s="1"/>
  <c r="E784" i="35"/>
  <c r="F619" i="35"/>
  <c r="A624" i="55" s="1"/>
  <c r="E146" i="35"/>
  <c r="F784" i="35"/>
  <c r="A789" i="55" s="1"/>
  <c r="V606" i="35"/>
  <c r="V779" i="35"/>
  <c r="V752" i="35"/>
  <c r="B583" i="35"/>
  <c r="C350" i="35"/>
  <c r="F266" i="35"/>
  <c r="A271" i="55" s="1"/>
  <c r="C811" i="35"/>
  <c r="E868" i="35"/>
  <c r="E370" i="35"/>
  <c r="V24" i="35"/>
  <c r="E161" i="35"/>
  <c r="E225" i="35"/>
  <c r="E730" i="35"/>
  <c r="F835" i="35"/>
  <c r="A840" i="55" s="1"/>
  <c r="V865" i="35"/>
  <c r="V744" i="35"/>
  <c r="V643" i="35"/>
  <c r="E811" i="35"/>
  <c r="F850" i="35"/>
  <c r="A855" i="55" s="1"/>
  <c r="V767" i="35"/>
  <c r="V627" i="35"/>
  <c r="V634" i="35"/>
  <c r="V319" i="35"/>
  <c r="E626" i="35"/>
  <c r="F614" i="35"/>
  <c r="A619" i="55" s="1"/>
  <c r="V242" i="35"/>
  <c r="F135" i="35"/>
  <c r="A140" i="55" s="1"/>
  <c r="C211" i="35"/>
  <c r="B477" i="35"/>
  <c r="C189" i="35"/>
  <c r="F256" i="35"/>
  <c r="A261" i="55" s="1"/>
  <c r="F177" i="35"/>
  <c r="A182" i="55" s="1"/>
  <c r="E699" i="35"/>
  <c r="E311" i="35"/>
  <c r="E731" i="35"/>
  <c r="F694" i="35"/>
  <c r="A699" i="55" s="1"/>
  <c r="V598" i="35"/>
  <c r="E815" i="35"/>
  <c r="V661" i="35"/>
  <c r="E200" i="35"/>
  <c r="V811" i="35"/>
  <c r="V590" i="35"/>
  <c r="V749" i="35"/>
  <c r="F695" i="35"/>
  <c r="A700" i="55" s="1"/>
  <c r="E382" i="35"/>
  <c r="F868" i="35"/>
  <c r="A873" i="55" s="1"/>
  <c r="C366" i="35"/>
  <c r="E825" i="35"/>
  <c r="V709" i="35"/>
  <c r="B30" i="35"/>
  <c r="V707" i="35"/>
  <c r="E736" i="35"/>
  <c r="F343" i="35"/>
  <c r="A348" i="55" s="1"/>
  <c r="F598" i="35"/>
  <c r="A603" i="55" s="1"/>
  <c r="E702" i="35"/>
  <c r="F294" i="35"/>
  <c r="A299" i="55" s="1"/>
  <c r="V253" i="35"/>
  <c r="E281" i="35"/>
  <c r="E873" i="35"/>
  <c r="V198" i="35"/>
  <c r="C720" i="35"/>
  <c r="F568" i="35"/>
  <c r="A573" i="55" s="1"/>
  <c r="B1045" i="35"/>
  <c r="V308" i="35"/>
  <c r="V195" i="35"/>
  <c r="V775" i="35"/>
  <c r="V303" i="35"/>
  <c r="B586" i="35"/>
  <c r="V365" i="35"/>
  <c r="V254" i="35"/>
  <c r="V271" i="35"/>
  <c r="C646" i="35"/>
  <c r="C657" i="35"/>
  <c r="C710" i="35"/>
  <c r="C166" i="35"/>
  <c r="F353" i="35"/>
  <c r="A358" i="55" s="1"/>
  <c r="C725" i="35"/>
  <c r="V164" i="35"/>
  <c r="C351" i="35"/>
  <c r="C566" i="35"/>
  <c r="C207" i="35"/>
  <c r="V298" i="35"/>
  <c r="B794" i="35"/>
  <c r="V176" i="35"/>
  <c r="V328" i="35"/>
  <c r="C781" i="35"/>
  <c r="V274" i="35"/>
  <c r="V225" i="35"/>
  <c r="F148" i="35"/>
  <c r="A153" i="55" s="1"/>
  <c r="F225" i="35"/>
  <c r="A230" i="55" s="1"/>
  <c r="C283" i="35"/>
  <c r="B383" i="35"/>
  <c r="C4" i="35"/>
  <c r="C368" i="35"/>
  <c r="F261" i="35"/>
  <c r="A266" i="55" s="1"/>
  <c r="C214" i="35"/>
  <c r="V560" i="35"/>
  <c r="C278" i="35"/>
  <c r="C582" i="35"/>
  <c r="F777" i="35"/>
  <c r="A782" i="55" s="1"/>
  <c r="V785" i="35"/>
  <c r="V662" i="35"/>
  <c r="F773" i="35"/>
  <c r="A778" i="55" s="1"/>
  <c r="E594" i="35"/>
  <c r="V626" i="35"/>
  <c r="C697" i="35"/>
  <c r="F721" i="35"/>
  <c r="A726" i="55" s="1"/>
  <c r="E239" i="35"/>
  <c r="F820" i="35"/>
  <c r="A825" i="55" s="1"/>
  <c r="E669" i="35"/>
  <c r="V738" i="35"/>
  <c r="E710" i="35"/>
  <c r="F691" i="35"/>
  <c r="A696" i="55" s="1"/>
  <c r="C688" i="35"/>
  <c r="V651" i="35"/>
  <c r="C291" i="35"/>
  <c r="E232" i="35"/>
  <c r="V141" i="35"/>
  <c r="B104" i="35"/>
  <c r="E27" i="35"/>
  <c r="F301" i="35"/>
  <c r="A306" i="55" s="1"/>
  <c r="C209" i="35"/>
  <c r="E363" i="35"/>
  <c r="C757" i="35"/>
  <c r="V561" i="35"/>
  <c r="F665" i="35"/>
  <c r="A670" i="55" s="1"/>
  <c r="C245" i="35"/>
  <c r="C480" i="35"/>
  <c r="E155" i="35"/>
  <c r="C292" i="35"/>
  <c r="V285" i="35"/>
  <c r="V272" i="35"/>
  <c r="B793" i="35"/>
  <c r="C805" i="35"/>
  <c r="C844" i="35"/>
  <c r="C865" i="35"/>
  <c r="C656" i="35"/>
  <c r="V325" i="35"/>
  <c r="C560" i="35"/>
  <c r="F347" i="35"/>
  <c r="A352" i="55" s="1"/>
  <c r="B64" i="35"/>
  <c r="V174" i="35"/>
  <c r="B1073" i="35"/>
  <c r="B87" i="35"/>
  <c r="V234" i="35"/>
  <c r="V329" i="35"/>
  <c r="C262" i="35"/>
  <c r="V326" i="35"/>
  <c r="C326" i="35"/>
  <c r="C310" i="35"/>
  <c r="F176" i="35"/>
  <c r="A181" i="55" s="1"/>
  <c r="F378" i="35"/>
  <c r="A383" i="55" s="1"/>
  <c r="C478" i="35"/>
  <c r="B1087" i="35"/>
  <c r="V184" i="35"/>
  <c r="V363" i="35"/>
  <c r="F268" i="35"/>
  <c r="A273" i="55" s="1"/>
  <c r="C347" i="35"/>
  <c r="V372" i="35"/>
  <c r="C327" i="35"/>
  <c r="F306" i="35"/>
  <c r="A311" i="55" s="1"/>
  <c r="C169" i="35"/>
  <c r="C724" i="35"/>
  <c r="E810" i="35"/>
  <c r="N810" i="35" s="1"/>
  <c r="F753" i="35"/>
  <c r="A758" i="55" s="1"/>
  <c r="V566" i="35"/>
  <c r="F854" i="35"/>
  <c r="A859" i="55" s="1"/>
  <c r="V620" i="35"/>
  <c r="F751" i="35"/>
  <c r="A756" i="55" s="1"/>
  <c r="V769" i="35"/>
  <c r="V720" i="35"/>
  <c r="V866" i="35"/>
  <c r="V680" i="35"/>
  <c r="F814" i="35"/>
  <c r="A819" i="55" s="1"/>
  <c r="F687" i="35"/>
  <c r="A692" i="55" s="1"/>
  <c r="V22" i="35"/>
  <c r="E684" i="35"/>
  <c r="F333" i="35"/>
  <c r="A338" i="55" s="1"/>
  <c r="F711" i="35"/>
  <c r="A716" i="55" s="1"/>
  <c r="F232" i="35"/>
  <c r="A237" i="55" s="1"/>
  <c r="V701" i="35"/>
  <c r="V742" i="35"/>
  <c r="F156" i="35"/>
  <c r="A161" i="55" s="1"/>
  <c r="F615" i="35"/>
  <c r="A620" i="55" s="1"/>
  <c r="F285" i="35"/>
  <c r="A290" i="55" s="1"/>
  <c r="V302" i="35"/>
  <c r="V276" i="35"/>
  <c r="V571" i="35"/>
  <c r="C807" i="35"/>
  <c r="C627" i="35"/>
  <c r="E274" i="35"/>
  <c r="C653" i="35"/>
  <c r="F731" i="35"/>
  <c r="A736" i="55" s="1"/>
  <c r="C290" i="35"/>
  <c r="V228" i="35"/>
  <c r="V183" i="35"/>
  <c r="C239" i="35"/>
  <c r="C860" i="35"/>
  <c r="V309" i="35"/>
  <c r="C373" i="35"/>
  <c r="C869" i="35"/>
  <c r="F139" i="35"/>
  <c r="A144" i="55" s="1"/>
  <c r="B31" i="35"/>
  <c r="C304" i="35"/>
  <c r="V349" i="35"/>
  <c r="C773" i="35"/>
  <c r="C608" i="35"/>
  <c r="B1039" i="35"/>
  <c r="C311" i="35"/>
  <c r="V336" i="35"/>
  <c r="C232" i="35"/>
  <c r="B490" i="35"/>
  <c r="B795" i="35"/>
  <c r="F284" i="35"/>
  <c r="A289" i="55" s="1"/>
  <c r="F263" i="35"/>
  <c r="A268" i="55" s="1"/>
  <c r="V366" i="35"/>
  <c r="C247" i="35"/>
  <c r="B124" i="35"/>
  <c r="C21" i="35"/>
  <c r="B929" i="35"/>
  <c r="C150" i="35"/>
  <c r="B78" i="35"/>
  <c r="C563" i="35"/>
  <c r="C861" i="35"/>
  <c r="V337" i="35"/>
  <c r="V145" i="35"/>
  <c r="F169" i="35"/>
  <c r="A174" i="55" s="1"/>
  <c r="V343" i="35"/>
  <c r="B1085" i="35"/>
  <c r="E768" i="35"/>
  <c r="E719" i="35"/>
  <c r="V683" i="35"/>
  <c r="E261" i="35"/>
  <c r="E289" i="35"/>
  <c r="V595" i="35"/>
  <c r="E230" i="35"/>
  <c r="C671" i="35"/>
  <c r="F683" i="35"/>
  <c r="A688" i="55" s="1"/>
  <c r="V745" i="35"/>
  <c r="E249" i="35"/>
  <c r="E752" i="35"/>
  <c r="E642" i="35"/>
  <c r="E680" i="35"/>
  <c r="C294" i="35"/>
  <c r="B120" i="35"/>
  <c r="C556" i="35"/>
  <c r="B943" i="35"/>
  <c r="V178" i="35"/>
  <c r="B1029" i="35"/>
  <c r="B1034" i="35"/>
  <c r="V146" i="35"/>
  <c r="C267" i="35"/>
  <c r="F326" i="35"/>
  <c r="A331" i="55" s="1"/>
  <c r="B129" i="35"/>
  <c r="C201" i="35"/>
  <c r="B401" i="35"/>
  <c r="B1048" i="35"/>
  <c r="F238" i="35"/>
  <c r="A243" i="55" s="1"/>
  <c r="V288" i="35"/>
  <c r="F340" i="35"/>
  <c r="A345" i="55" s="1"/>
  <c r="C663" i="35"/>
  <c r="F162" i="35"/>
  <c r="A167" i="55" s="1"/>
  <c r="B385" i="35"/>
  <c r="V203" i="35"/>
  <c r="C758" i="35"/>
  <c r="F36" i="35"/>
  <c r="A41" i="55" s="1"/>
  <c r="B46" i="35"/>
  <c r="F228" i="35"/>
  <c r="A233" i="55" s="1"/>
  <c r="F209" i="35"/>
  <c r="A214" i="55" s="1"/>
  <c r="F705" i="35"/>
  <c r="A710" i="55" s="1"/>
  <c r="C630" i="35"/>
  <c r="B934" i="35"/>
  <c r="B1082" i="35"/>
  <c r="V304" i="35"/>
  <c r="C839" i="35"/>
  <c r="F251" i="35"/>
  <c r="A256" i="55" s="1"/>
  <c r="C187" i="35"/>
  <c r="V275" i="35"/>
  <c r="F168" i="35"/>
  <c r="A173" i="55" s="1"/>
  <c r="B68" i="35"/>
  <c r="V294" i="35"/>
  <c r="V208" i="35"/>
  <c r="F160" i="35"/>
  <c r="A165" i="55" s="1"/>
  <c r="C346" i="35"/>
  <c r="C871" i="35"/>
  <c r="C734" i="35"/>
  <c r="V289" i="35"/>
  <c r="C361" i="35"/>
  <c r="C308" i="35"/>
  <c r="C747" i="35"/>
  <c r="B98" i="35"/>
  <c r="V233" i="35"/>
  <c r="C713" i="35"/>
  <c r="C569" i="35"/>
  <c r="C628" i="35"/>
  <c r="V258" i="35"/>
  <c r="C231" i="35"/>
  <c r="V318" i="35"/>
  <c r="V722" i="35"/>
  <c r="F741" i="35"/>
  <c r="A746" i="55" s="1"/>
  <c r="E34" i="35"/>
  <c r="E377" i="35"/>
  <c r="E762" i="35"/>
  <c r="E831" i="35"/>
  <c r="E865" i="35"/>
  <c r="E635" i="35"/>
  <c r="N635" i="35" s="1"/>
  <c r="E570" i="35"/>
  <c r="F848" i="35"/>
  <c r="A853" i="55" s="1"/>
  <c r="E375" i="35"/>
  <c r="E767" i="35"/>
  <c r="E765" i="35"/>
  <c r="E683" i="35"/>
  <c r="F749" i="35"/>
  <c r="A754" i="55" s="1"/>
  <c r="V673" i="35"/>
  <c r="F729" i="35"/>
  <c r="A734" i="55" s="1"/>
  <c r="V764" i="35"/>
  <c r="E374" i="35"/>
  <c r="E324" i="35"/>
  <c r="E341" i="35"/>
  <c r="E293" i="35"/>
  <c r="E220" i="35"/>
  <c r="E163" i="35"/>
  <c r="V778" i="35"/>
  <c r="E833" i="35"/>
  <c r="E786" i="35"/>
  <c r="E717" i="35"/>
  <c r="V847" i="35"/>
  <c r="V635" i="35"/>
  <c r="F631" i="35"/>
  <c r="A636" i="55" s="1"/>
  <c r="F740" i="35"/>
  <c r="A745" i="55" s="1"/>
  <c r="F870" i="35"/>
  <c r="A875" i="55" s="1"/>
  <c r="F841" i="35"/>
  <c r="A846" i="55" s="1"/>
  <c r="C643" i="35"/>
  <c r="F600" i="35"/>
  <c r="A605" i="55" s="1"/>
  <c r="V773" i="35"/>
  <c r="F804" i="35"/>
  <c r="A809" i="55" s="1"/>
  <c r="V733" i="35"/>
  <c r="F606" i="35"/>
  <c r="A611" i="55" s="1"/>
  <c r="V684" i="35"/>
  <c r="E706" i="35"/>
  <c r="V809" i="35"/>
  <c r="V628" i="35"/>
  <c r="E295" i="35"/>
  <c r="F604" i="35"/>
  <c r="A609" i="55" s="1"/>
  <c r="V623" i="35"/>
  <c r="E271" i="35"/>
  <c r="E185" i="35"/>
  <c r="E725" i="35"/>
  <c r="E373" i="35"/>
  <c r="F686" i="35"/>
  <c r="A691" i="55" s="1"/>
  <c r="C718" i="35"/>
  <c r="C309" i="35"/>
  <c r="B788" i="35"/>
  <c r="F273" i="35"/>
  <c r="A278" i="55" s="1"/>
  <c r="B7" i="35"/>
  <c r="V715" i="35"/>
  <c r="F360" i="35"/>
  <c r="A365" i="55" s="1"/>
  <c r="F554" i="35"/>
  <c r="A559" i="55" s="1"/>
  <c r="C324" i="35"/>
  <c r="B2" i="35"/>
  <c r="F481" i="35"/>
  <c r="A486" i="55" s="1"/>
  <c r="B80" i="35"/>
  <c r="C599" i="35"/>
  <c r="C143" i="35"/>
  <c r="B47" i="35"/>
  <c r="B548" i="35"/>
  <c r="B417" i="35"/>
  <c r="V713" i="35"/>
  <c r="V167" i="35"/>
  <c r="B1059" i="35"/>
  <c r="F195" i="35"/>
  <c r="A200" i="55" s="1"/>
  <c r="B73" i="35"/>
  <c r="C823" i="35"/>
  <c r="F327" i="35"/>
  <c r="A332" i="55" s="1"/>
  <c r="C838" i="35"/>
  <c r="B82" i="35"/>
  <c r="B61" i="35"/>
  <c r="C840" i="35"/>
  <c r="C661" i="35"/>
  <c r="B940" i="35"/>
  <c r="V267" i="35"/>
  <c r="F150" i="35"/>
  <c r="A155" i="55" s="1"/>
  <c r="F486" i="35"/>
  <c r="A491" i="55" s="1"/>
  <c r="F221" i="35"/>
  <c r="A226" i="55" s="1"/>
  <c r="F337" i="35"/>
  <c r="A342" i="55" s="1"/>
  <c r="V217" i="35"/>
  <c r="V381" i="35"/>
  <c r="V559" i="35"/>
  <c r="C684" i="35"/>
  <c r="V331" i="35"/>
  <c r="F204" i="35"/>
  <c r="A209" i="55" s="1"/>
  <c r="V379" i="35"/>
  <c r="C177" i="35"/>
  <c r="V371" i="35"/>
  <c r="C731" i="35"/>
  <c r="V252" i="35"/>
  <c r="B578" i="35"/>
  <c r="B941" i="35"/>
  <c r="F257" i="35"/>
  <c r="A262" i="55" s="1"/>
  <c r="E297" i="35"/>
  <c r="F727" i="35"/>
  <c r="A732" i="55" s="1"/>
  <c r="E688" i="35"/>
  <c r="P688" i="35" s="1"/>
  <c r="E670" i="35"/>
  <c r="E622" i="35"/>
  <c r="F616" i="35"/>
  <c r="A621" i="55" s="1"/>
  <c r="E652" i="35"/>
  <c r="E199" i="35"/>
  <c r="V824" i="35"/>
  <c r="E677" i="35"/>
  <c r="F667" i="35"/>
  <c r="A672" i="55" s="1"/>
  <c r="E358" i="35"/>
  <c r="E659" i="35"/>
  <c r="F612" i="35"/>
  <c r="A617" i="55" s="1"/>
  <c r="E314" i="35"/>
  <c r="V796" i="35"/>
  <c r="C27" i="35"/>
  <c r="E192" i="35"/>
  <c r="E776" i="35"/>
  <c r="E821" i="35"/>
  <c r="C22" i="35"/>
  <c r="F681" i="35"/>
  <c r="A686" i="55" s="1"/>
  <c r="F745" i="35"/>
  <c r="A750" i="55" s="1"/>
  <c r="E277" i="35"/>
  <c r="F652" i="35"/>
  <c r="A657" i="55" s="1"/>
  <c r="F672" i="35"/>
  <c r="A677" i="55" s="1"/>
  <c r="E255" i="35"/>
  <c r="E858" i="35"/>
  <c r="P858" i="35" s="1"/>
  <c r="V765" i="35"/>
  <c r="E215" i="35"/>
  <c r="E849" i="35"/>
  <c r="E843" i="35"/>
  <c r="E714" i="35"/>
  <c r="V774" i="35"/>
  <c r="E342" i="35"/>
  <c r="E592" i="35"/>
  <c r="E169" i="35"/>
  <c r="V630" i="35"/>
  <c r="E621" i="35"/>
  <c r="C616" i="35"/>
  <c r="E219" i="35"/>
  <c r="V604" i="35"/>
  <c r="E845" i="35"/>
  <c r="E243" i="35"/>
  <c r="F829" i="35"/>
  <c r="A834" i="55" s="1"/>
  <c r="E647" i="35"/>
  <c r="V692" i="35"/>
  <c r="E639" i="35"/>
  <c r="V776" i="35"/>
  <c r="E780" i="35"/>
  <c r="E565" i="35"/>
  <c r="F620" i="35"/>
  <c r="A625" i="55" s="1"/>
  <c r="C188" i="35"/>
  <c r="C730" i="35"/>
  <c r="F315" i="35"/>
  <c r="A320" i="55" s="1"/>
  <c r="F372" i="35"/>
  <c r="A377" i="55" s="1"/>
  <c r="C594" i="35"/>
  <c r="B1079" i="35"/>
  <c r="C296" i="35"/>
  <c r="F357" i="35"/>
  <c r="A362" i="55" s="1"/>
  <c r="F219" i="35"/>
  <c r="A224" i="55" s="1"/>
  <c r="V359" i="35"/>
  <c r="C682" i="35"/>
  <c r="C592" i="35"/>
  <c r="B1066" i="35"/>
  <c r="C34" i="35"/>
  <c r="C825" i="35"/>
  <c r="C759" i="35"/>
  <c r="V158" i="35"/>
  <c r="B419" i="35"/>
  <c r="F377" i="35"/>
  <c r="A382" i="55" s="1"/>
  <c r="C601" i="35"/>
  <c r="B491" i="35"/>
  <c r="V160" i="35"/>
  <c r="C741" i="35"/>
  <c r="C855" i="35"/>
  <c r="C631" i="35"/>
  <c r="C312" i="35"/>
  <c r="C138" i="35"/>
  <c r="B1044" i="35"/>
  <c r="V255" i="35"/>
  <c r="F702" i="35"/>
  <c r="A707" i="55" s="1"/>
  <c r="B944" i="35"/>
  <c r="B803" i="35"/>
  <c r="B883" i="35"/>
  <c r="F373" i="35"/>
  <c r="A378" i="55" s="1"/>
  <c r="C240" i="35"/>
  <c r="C365" i="35"/>
  <c r="C857" i="35"/>
  <c r="B77" i="35"/>
  <c r="B332" i="35"/>
  <c r="C134" i="35"/>
  <c r="F559" i="35"/>
  <c r="A564" i="55" s="1"/>
  <c r="F183" i="35"/>
  <c r="A188" i="55" s="1"/>
  <c r="B935" i="35"/>
  <c r="C251" i="35"/>
  <c r="C703" i="35"/>
  <c r="B928" i="35"/>
  <c r="C249" i="35"/>
  <c r="C567" i="35"/>
  <c r="B404" i="35"/>
  <c r="V151" i="35"/>
  <c r="V266" i="35"/>
  <c r="B938" i="35"/>
  <c r="C602" i="35"/>
  <c r="V137" i="35"/>
  <c r="C852" i="35"/>
  <c r="B415" i="35"/>
  <c r="C205" i="35"/>
  <c r="C289" i="35"/>
  <c r="C719" i="35"/>
  <c r="F293" i="35"/>
  <c r="A298" i="55" s="1"/>
  <c r="C740" i="35"/>
  <c r="F202" i="35"/>
  <c r="A207" i="55" s="1"/>
  <c r="F321" i="35"/>
  <c r="A326" i="55" s="1"/>
  <c r="C282" i="35"/>
  <c r="B40" i="35"/>
  <c r="V307" i="35"/>
  <c r="V362" i="35"/>
  <c r="F300" i="35"/>
  <c r="A305" i="55" s="1"/>
  <c r="V677" i="35"/>
  <c r="E657" i="35"/>
  <c r="F594" i="35"/>
  <c r="A599" i="55" s="1"/>
  <c r="E600" i="35"/>
  <c r="F719" i="35"/>
  <c r="A724" i="55" s="1"/>
  <c r="E35" i="35"/>
  <c r="E142" i="35"/>
  <c r="E362" i="35"/>
  <c r="E173" i="35"/>
  <c r="E181" i="35"/>
  <c r="F678" i="35"/>
  <c r="A683" i="55" s="1"/>
  <c r="F636" i="35"/>
  <c r="A641" i="55" s="1"/>
  <c r="V853" i="35"/>
  <c r="V808" i="35"/>
  <c r="E869" i="35"/>
  <c r="V565" i="35"/>
  <c r="E186" i="35"/>
  <c r="E148" i="35"/>
  <c r="E593" i="35"/>
  <c r="F644" i="35"/>
  <c r="A649" i="55" s="1"/>
  <c r="E664" i="35"/>
  <c r="E816" i="35"/>
  <c r="V682" i="35"/>
  <c r="E559" i="35"/>
  <c r="E735" i="35"/>
  <c r="V617" i="35"/>
  <c r="F664" i="35"/>
  <c r="A669" i="55" s="1"/>
  <c r="V612" i="35"/>
  <c r="E265" i="35"/>
  <c r="V762" i="35"/>
  <c r="F815" i="35"/>
  <c r="A820" i="55" s="1"/>
  <c r="V665" i="35"/>
  <c r="F779" i="35"/>
  <c r="A784" i="55" s="1"/>
  <c r="F852" i="35"/>
  <c r="A857" i="55" s="1"/>
  <c r="V597" i="35"/>
  <c r="E171" i="35"/>
  <c r="E252" i="35"/>
  <c r="E224" i="35"/>
  <c r="V568" i="35"/>
  <c r="E763" i="35"/>
  <c r="F840" i="35"/>
  <c r="A845" i="55" s="1"/>
  <c r="C641" i="35"/>
  <c r="F823" i="35"/>
  <c r="A828" i="55" s="1"/>
  <c r="E152" i="35"/>
  <c r="E658" i="35"/>
  <c r="E818" i="35"/>
  <c r="V659" i="35"/>
  <c r="F724" i="35"/>
  <c r="A729" i="55" s="1"/>
  <c r="E689" i="35"/>
  <c r="E673" i="35"/>
  <c r="V721" i="35"/>
  <c r="F634" i="35"/>
  <c r="A639" i="55" s="1"/>
  <c r="F366" i="35"/>
  <c r="A371" i="55" s="1"/>
  <c r="V347" i="35"/>
  <c r="F319" i="35"/>
  <c r="A324" i="55" s="1"/>
  <c r="F235" i="35"/>
  <c r="A240" i="55" s="1"/>
  <c r="B71" i="35"/>
  <c r="B125" i="35"/>
  <c r="F317" i="35"/>
  <c r="A322" i="55" s="1"/>
  <c r="C764" i="35"/>
  <c r="B1062" i="35"/>
  <c r="F155" i="35"/>
  <c r="A160" i="55" s="1"/>
  <c r="C815" i="35"/>
  <c r="F322" i="35"/>
  <c r="A327" i="55" s="1"/>
  <c r="F713" i="35"/>
  <c r="A718" i="55" s="1"/>
  <c r="F342" i="35"/>
  <c r="A347" i="55" s="1"/>
  <c r="C268" i="35"/>
  <c r="V211" i="35"/>
  <c r="C822" i="35"/>
  <c r="C870" i="35"/>
  <c r="V213" i="35"/>
  <c r="B418" i="35"/>
  <c r="B932" i="35"/>
  <c r="C685" i="35"/>
  <c r="B1083" i="35"/>
  <c r="F292" i="35"/>
  <c r="A297" i="55" s="1"/>
  <c r="C381" i="35"/>
  <c r="V327" i="35"/>
  <c r="C206" i="35"/>
  <c r="C597" i="35"/>
  <c r="F367" i="35"/>
  <c r="A372" i="55" s="1"/>
  <c r="B1057" i="35"/>
  <c r="B72" i="35"/>
  <c r="F144" i="35"/>
  <c r="A149" i="55" s="1"/>
  <c r="B1060" i="35"/>
  <c r="C607" i="35"/>
  <c r="F166" i="35"/>
  <c r="A171" i="55" s="1"/>
  <c r="V322" i="35"/>
  <c r="B540" i="35"/>
  <c r="C367" i="35"/>
  <c r="V262" i="35"/>
  <c r="C248" i="35"/>
  <c r="B1063" i="35"/>
  <c r="C629" i="35"/>
  <c r="B407" i="35"/>
  <c r="B880" i="35"/>
  <c r="C564" i="35"/>
  <c r="B545" i="35"/>
  <c r="C727" i="35"/>
  <c r="V245" i="35"/>
  <c r="V368" i="35"/>
  <c r="F189" i="35"/>
  <c r="A194" i="55" s="1"/>
  <c r="C328" i="35"/>
  <c r="F716" i="35"/>
  <c r="A721" i="55" s="1"/>
  <c r="F5" i="35"/>
  <c r="A10" i="55" s="1"/>
  <c r="F717" i="35"/>
  <c r="A722" i="55" s="1"/>
  <c r="F382" i="35"/>
  <c r="A387" i="55" s="1"/>
  <c r="C863" i="35"/>
  <c r="B1072" i="35"/>
  <c r="B585" i="35"/>
  <c r="V714" i="35"/>
  <c r="B123" i="35"/>
  <c r="C136" i="35"/>
  <c r="V706" i="35"/>
  <c r="C339" i="35"/>
  <c r="B105" i="35"/>
  <c r="B52" i="35"/>
  <c r="V238" i="35"/>
  <c r="E671" i="35"/>
  <c r="V593" i="35"/>
  <c r="E554" i="35"/>
  <c r="F787" i="35"/>
  <c r="A792" i="55" s="1"/>
  <c r="C695" i="35"/>
  <c r="F688" i="35"/>
  <c r="A693" i="55" s="1"/>
  <c r="E625" i="35"/>
  <c r="E862" i="35"/>
  <c r="V600" i="35"/>
  <c r="V836" i="35"/>
  <c r="E747" i="35"/>
  <c r="V864" i="35"/>
  <c r="V754" i="35"/>
  <c r="E744" i="35"/>
  <c r="V647" i="35"/>
  <c r="E606" i="35"/>
  <c r="E742" i="35"/>
  <c r="V850" i="35"/>
  <c r="V719" i="35"/>
  <c r="E620" i="35"/>
  <c r="F764" i="35"/>
  <c r="A769" i="55" s="1"/>
  <c r="E338" i="35"/>
  <c r="F646" i="35"/>
  <c r="A651" i="55" s="1"/>
  <c r="E5" i="35"/>
  <c r="E481" i="35"/>
  <c r="F872" i="35"/>
  <c r="A877" i="55" s="1"/>
  <c r="F725" i="35"/>
  <c r="A730" i="55" s="1"/>
  <c r="E478" i="35"/>
  <c r="V26" i="35"/>
  <c r="E773" i="35"/>
  <c r="P773" i="35" s="1"/>
  <c r="F633" i="35"/>
  <c r="A638" i="55" s="1"/>
  <c r="E841" i="35"/>
  <c r="P841" i="35" s="1"/>
  <c r="E668" i="35"/>
  <c r="E368" i="35"/>
  <c r="V725" i="35"/>
  <c r="F567" i="35"/>
  <c r="A572" i="55" s="1"/>
  <c r="E180" i="35"/>
  <c r="E722" i="35"/>
  <c r="P722" i="35" s="1"/>
  <c r="V638" i="35"/>
  <c r="E769" i="35"/>
  <c r="F684" i="35"/>
  <c r="A689" i="55" s="1"/>
  <c r="F780" i="35"/>
  <c r="A785" i="55" s="1"/>
  <c r="E317" i="35"/>
  <c r="E623" i="35"/>
  <c r="F582" i="35"/>
  <c r="A587" i="55" s="1"/>
  <c r="F637" i="35"/>
  <c r="A642" i="55" s="1"/>
  <c r="C672" i="35"/>
  <c r="F630" i="35"/>
  <c r="A635" i="55" s="1"/>
  <c r="V624" i="35"/>
  <c r="E306" i="35"/>
  <c r="E666" i="35"/>
  <c r="F736" i="35"/>
  <c r="A741" i="55" s="1"/>
  <c r="C179" i="35"/>
  <c r="B86" i="35"/>
  <c r="B395" i="35"/>
  <c r="C812" i="35"/>
  <c r="F309" i="35"/>
  <c r="A314" i="55" s="1"/>
  <c r="F231" i="35"/>
  <c r="A236" i="55" s="1"/>
  <c r="C297" i="35"/>
  <c r="F325" i="35"/>
  <c r="A330" i="55" s="1"/>
  <c r="C778" i="35"/>
  <c r="F487" i="35"/>
  <c r="A492" i="55" s="1"/>
  <c r="B400" i="35"/>
  <c r="V214" i="35"/>
  <c r="B397" i="35"/>
  <c r="C302" i="35"/>
  <c r="F35" i="35"/>
  <c r="A40" i="55" s="1"/>
  <c r="B495" i="35"/>
  <c r="C619" i="35"/>
  <c r="C236" i="35"/>
  <c r="F275" i="35"/>
  <c r="A280" i="55" s="1"/>
  <c r="C338" i="35"/>
  <c r="B392" i="35"/>
  <c r="B925" i="35"/>
  <c r="C281" i="35"/>
  <c r="C827" i="35"/>
  <c r="F556" i="35"/>
  <c r="A561" i="55" s="1"/>
  <c r="B102" i="35"/>
  <c r="V485" i="35"/>
  <c r="C746" i="35"/>
  <c r="V299" i="35"/>
  <c r="V382" i="35"/>
  <c r="C559" i="35"/>
  <c r="B41" i="35"/>
  <c r="B927" i="35"/>
  <c r="F324" i="35"/>
  <c r="A329" i="55" s="1"/>
  <c r="V177" i="35"/>
  <c r="C319" i="35"/>
  <c r="F255" i="35"/>
  <c r="A260" i="55" s="1"/>
  <c r="C690" i="35"/>
  <c r="C331" i="35"/>
  <c r="V187" i="35"/>
  <c r="C363" i="35"/>
  <c r="C847" i="35"/>
  <c r="C317" i="35"/>
  <c r="B792" i="35"/>
  <c r="C849" i="35"/>
  <c r="F270" i="35"/>
  <c r="A275" i="55" s="1"/>
  <c r="C182" i="35"/>
  <c r="F218" i="35"/>
  <c r="A223" i="55" s="1"/>
  <c r="C732" i="35"/>
  <c r="C856" i="35"/>
  <c r="F718" i="35"/>
  <c r="A723" i="55" s="1"/>
  <c r="B1074" i="35"/>
  <c r="C712" i="35"/>
  <c r="V185" i="35"/>
  <c r="F482" i="35"/>
  <c r="A487" i="55" s="1"/>
  <c r="C159" i="35"/>
  <c r="F179" i="35"/>
  <c r="A184" i="55" s="1"/>
  <c r="B876" i="35"/>
  <c r="F207" i="35"/>
  <c r="A212" i="55" s="1"/>
  <c r="B65" i="35"/>
  <c r="V273" i="35"/>
  <c r="F188" i="35"/>
  <c r="A193" i="55" s="1"/>
  <c r="F483" i="35"/>
  <c r="A488" i="55" s="1"/>
  <c r="C270" i="35"/>
  <c r="V305" i="35"/>
  <c r="V194" i="35"/>
  <c r="V341" i="35"/>
  <c r="F732" i="35"/>
  <c r="A737" i="55" s="1"/>
  <c r="V633" i="35"/>
  <c r="E294" i="35"/>
  <c r="C872" i="35"/>
  <c r="E310" i="35"/>
  <c r="C699" i="35"/>
  <c r="V660" i="35"/>
  <c r="E848" i="35"/>
  <c r="E138" i="35"/>
  <c r="E176" i="35"/>
  <c r="V727" i="35"/>
  <c r="F856" i="35"/>
  <c r="A861" i="55" s="1"/>
  <c r="V657" i="35"/>
  <c r="E660" i="35"/>
  <c r="P660" i="35" s="1"/>
  <c r="V667" i="35"/>
  <c r="F742" i="35"/>
  <c r="A747" i="55" s="1"/>
  <c r="E350" i="35"/>
  <c r="F657" i="35"/>
  <c r="A662" i="55" s="1"/>
  <c r="E640" i="35"/>
  <c r="E226" i="35"/>
  <c r="F734" i="35"/>
  <c r="A739" i="55" s="1"/>
  <c r="E287" i="35"/>
  <c r="C645" i="35"/>
  <c r="E560" i="35"/>
  <c r="F726" i="35"/>
  <c r="A731" i="55" s="1"/>
  <c r="E381" i="35"/>
  <c r="F656" i="35"/>
  <c r="A661" i="55" s="1"/>
  <c r="V841" i="35"/>
  <c r="E335" i="35"/>
  <c r="V546" i="35"/>
  <c r="F821" i="35"/>
  <c r="A826" i="55" s="1"/>
  <c r="E770" i="35"/>
  <c r="V807" i="35"/>
  <c r="E756" i="35"/>
  <c r="P756" i="35" s="1"/>
  <c r="E188" i="35"/>
  <c r="E755" i="35"/>
  <c r="V820" i="35"/>
  <c r="E567" i="35"/>
  <c r="E237" i="35"/>
  <c r="V819" i="35"/>
  <c r="E611" i="35"/>
  <c r="V787" i="35"/>
  <c r="E778" i="35"/>
  <c r="E26" i="35"/>
  <c r="V747" i="35"/>
  <c r="E781" i="35"/>
  <c r="F621" i="35"/>
  <c r="A626" i="55" s="1"/>
  <c r="E153" i="35"/>
  <c r="V835" i="35"/>
  <c r="E172" i="35"/>
  <c r="F562" i="35"/>
  <c r="A567" i="55" s="1"/>
  <c r="F762" i="35"/>
  <c r="A767" i="55" s="1"/>
  <c r="F703" i="35"/>
  <c r="A708" i="55" s="1"/>
  <c r="F349" i="35"/>
  <c r="A354" i="55" s="1"/>
  <c r="B388" i="35"/>
  <c r="B576" i="35"/>
  <c r="B475" i="35"/>
  <c r="V339" i="35"/>
  <c r="V251" i="35"/>
  <c r="C246" i="35"/>
  <c r="B410" i="35"/>
  <c r="C750" i="35"/>
  <c r="V265" i="35"/>
  <c r="C229" i="35"/>
  <c r="B122" i="35"/>
  <c r="C555" i="35"/>
  <c r="V150" i="35"/>
  <c r="C633" i="35"/>
  <c r="B1036" i="35"/>
  <c r="B13" i="35"/>
  <c r="C337" i="35"/>
  <c r="C679" i="35"/>
  <c r="C174" i="35"/>
  <c r="V317" i="35"/>
  <c r="B878" i="35"/>
  <c r="V350" i="35"/>
  <c r="B147" i="35"/>
  <c r="B1055" i="35"/>
  <c r="V173" i="35"/>
  <c r="V186" i="35"/>
  <c r="C487" i="35"/>
  <c r="V333" i="35"/>
  <c r="V247" i="35"/>
  <c r="F227" i="35"/>
  <c r="A232" i="55" s="1"/>
  <c r="F288" i="35"/>
  <c r="A293" i="55" s="1"/>
  <c r="C155" i="35"/>
  <c r="B384" i="35"/>
  <c r="B111" i="35"/>
  <c r="F220" i="35"/>
  <c r="A225" i="55" s="1"/>
  <c r="C334" i="35"/>
  <c r="C371" i="35"/>
  <c r="C215" i="35"/>
  <c r="V702" i="35"/>
  <c r="V134" i="35"/>
  <c r="C763" i="35"/>
  <c r="B57" i="35"/>
  <c r="B416" i="35"/>
  <c r="C257" i="35"/>
  <c r="F190" i="35"/>
  <c r="A195" i="55" s="1"/>
  <c r="B1040" i="35"/>
  <c r="C256" i="35"/>
  <c r="F282" i="35"/>
  <c r="A287" i="55" s="1"/>
  <c r="V162" i="35"/>
  <c r="C190" i="35"/>
  <c r="V35" i="35"/>
  <c r="F298" i="35"/>
  <c r="A303" i="55" s="1"/>
  <c r="F252" i="35"/>
  <c r="A257" i="55" s="1"/>
  <c r="F28" i="35"/>
  <c r="A33" i="55" s="1"/>
  <c r="V480" i="35"/>
  <c r="C702" i="35"/>
  <c r="B18" i="35"/>
  <c r="V351" i="35"/>
  <c r="V259" i="35"/>
  <c r="C254" i="35"/>
  <c r="F281" i="35"/>
  <c r="A286" i="55" s="1"/>
  <c r="V172" i="35"/>
  <c r="B799" i="35"/>
  <c r="F191" i="35"/>
  <c r="A196" i="55" s="1"/>
  <c r="B83" i="35"/>
  <c r="C355" i="35"/>
  <c r="F335" i="35"/>
  <c r="A340" i="55" s="1"/>
  <c r="C224" i="35"/>
  <c r="F375" i="35"/>
  <c r="A380" i="55" s="1"/>
  <c r="B45" i="35"/>
  <c r="C329" i="35"/>
  <c r="B19" i="35"/>
  <c r="F623" i="35"/>
  <c r="A628" i="55" s="1"/>
  <c r="E601" i="35"/>
  <c r="V755" i="35"/>
  <c r="V831" i="35"/>
  <c r="C670" i="35"/>
  <c r="E378" i="35"/>
  <c r="E651" i="35"/>
  <c r="F622" i="35"/>
  <c r="A627" i="55" s="1"/>
  <c r="C617" i="35"/>
  <c r="E228" i="35"/>
  <c r="V615" i="35"/>
  <c r="V687" i="35"/>
  <c r="V602" i="35"/>
  <c r="E813" i="35"/>
  <c r="E775" i="35"/>
  <c r="F596" i="35"/>
  <c r="A601" i="55" s="1"/>
  <c r="C613" i="35"/>
  <c r="E198" i="35"/>
  <c r="E643" i="35"/>
  <c r="E351" i="35"/>
  <c r="E695" i="35"/>
  <c r="V743" i="35"/>
  <c r="E278" i="35"/>
  <c r="E723" i="35"/>
  <c r="V856" i="35"/>
  <c r="V616" i="35"/>
  <c r="V658" i="35"/>
  <c r="V685" i="35"/>
  <c r="F728" i="35"/>
  <c r="A733" i="55" s="1"/>
  <c r="E734" i="35"/>
  <c r="V736" i="35"/>
  <c r="C612" i="35"/>
  <c r="E279" i="35"/>
  <c r="E553" i="35"/>
  <c r="E304" i="35"/>
  <c r="E149" i="35"/>
  <c r="F599" i="35"/>
  <c r="A604" i="55" s="1"/>
  <c r="E675" i="35"/>
  <c r="V732" i="35"/>
  <c r="E733" i="35"/>
  <c r="C611" i="35"/>
  <c r="F627" i="35"/>
  <c r="A632" i="55" s="1"/>
  <c r="C614" i="35"/>
  <c r="E855" i="35"/>
  <c r="E774" i="35"/>
  <c r="V729" i="35"/>
  <c r="V821" i="35"/>
  <c r="F685" i="35"/>
  <c r="A690" i="55" s="1"/>
  <c r="F810" i="35"/>
  <c r="A815" i="55" s="1"/>
  <c r="E829" i="35"/>
  <c r="V757" i="35"/>
  <c r="V564" i="35"/>
  <c r="C782" i="35"/>
  <c r="F364" i="35"/>
  <c r="A369" i="55" s="1"/>
  <c r="C854" i="35"/>
  <c r="C649" i="35"/>
  <c r="F303" i="35"/>
  <c r="A308" i="55" s="1"/>
  <c r="B103" i="35"/>
  <c r="F356" i="35"/>
  <c r="A361" i="55" s="1"/>
  <c r="B801" i="35"/>
  <c r="C836" i="35"/>
  <c r="F305" i="35"/>
  <c r="A310" i="55" s="1"/>
  <c r="V301" i="35"/>
  <c r="V180" i="35"/>
  <c r="C681" i="35"/>
  <c r="V705" i="35"/>
  <c r="V28" i="35"/>
  <c r="C704" i="35"/>
  <c r="B1030" i="35"/>
  <c r="B1065" i="35"/>
  <c r="B572" i="35"/>
  <c r="B1075" i="35"/>
  <c r="V207" i="35"/>
  <c r="C203" i="35"/>
  <c r="V169" i="35"/>
  <c r="C568" i="35"/>
  <c r="V374" i="35"/>
  <c r="C620" i="35"/>
  <c r="C634" i="35"/>
  <c r="C212" i="35"/>
  <c r="B1069" i="35"/>
  <c r="B264" i="35"/>
  <c r="C610" i="35"/>
  <c r="V175" i="35"/>
  <c r="B474" i="35"/>
  <c r="B119" i="35"/>
  <c r="V223" i="35"/>
  <c r="C666" i="35"/>
  <c r="V196" i="35"/>
  <c r="C558" i="35"/>
  <c r="B69" i="35"/>
  <c r="C255" i="35"/>
  <c r="B1041" i="35"/>
  <c r="B1046" i="35"/>
  <c r="B222" i="35"/>
  <c r="V324" i="35"/>
  <c r="B391" i="35"/>
  <c r="C745" i="35"/>
  <c r="B930" i="35"/>
  <c r="F302" i="35"/>
  <c r="A307" i="55" s="1"/>
  <c r="B127" i="35"/>
  <c r="C362" i="35"/>
  <c r="C275" i="35"/>
  <c r="V210" i="35"/>
  <c r="F164" i="35"/>
  <c r="A169" i="55" s="1"/>
  <c r="C771" i="35"/>
  <c r="C370" i="35"/>
  <c r="C364" i="35"/>
  <c r="C748" i="35"/>
  <c r="V212" i="35"/>
  <c r="F743" i="35"/>
  <c r="A748" i="55" s="1"/>
  <c r="F601" i="35"/>
  <c r="A606" i="55" s="1"/>
  <c r="E372" i="35"/>
  <c r="E290" i="35"/>
  <c r="V766" i="35"/>
  <c r="E193" i="35"/>
  <c r="E687" i="35"/>
  <c r="E216" i="35"/>
  <c r="V818" i="35"/>
  <c r="E661" i="35"/>
  <c r="C642" i="35"/>
  <c r="E291" i="35"/>
  <c r="E650" i="35"/>
  <c r="V838" i="35"/>
  <c r="E229" i="35"/>
  <c r="F866" i="35"/>
  <c r="A871" i="55" s="1"/>
  <c r="F786" i="35"/>
  <c r="A791" i="55" s="1"/>
  <c r="E871" i="35"/>
  <c r="E863" i="35"/>
  <c r="F805" i="35"/>
  <c r="A810" i="55" s="1"/>
  <c r="F645" i="35"/>
  <c r="A650" i="55" s="1"/>
  <c r="F602" i="35"/>
  <c r="A607" i="55" s="1"/>
  <c r="V740" i="35"/>
  <c r="V777" i="35"/>
  <c r="E250" i="35"/>
  <c r="E839" i="35"/>
  <c r="F613" i="35"/>
  <c r="A618" i="55" s="1"/>
  <c r="F653" i="35"/>
  <c r="A658" i="55" s="1"/>
  <c r="V671" i="35"/>
  <c r="F624" i="35"/>
  <c r="A629" i="55" s="1"/>
  <c r="E644" i="35"/>
  <c r="E260" i="35"/>
  <c r="V690" i="35"/>
  <c r="F675" i="35"/>
  <c r="A680" i="55" s="1"/>
  <c r="E713" i="35"/>
  <c r="V591" i="35"/>
  <c r="F648" i="35"/>
  <c r="A653" i="55" s="1"/>
  <c r="E561" i="35"/>
  <c r="E827" i="35"/>
  <c r="N827" i="35" s="1"/>
  <c r="F747" i="35"/>
  <c r="A752" i="55" s="1"/>
  <c r="E136" i="35"/>
  <c r="F859" i="35"/>
  <c r="A864" i="55" s="1"/>
  <c r="E189" i="35"/>
  <c r="E157" i="35"/>
  <c r="V614" i="35"/>
  <c r="V843" i="35"/>
  <c r="F860" i="35"/>
  <c r="A865" i="55" s="1"/>
  <c r="E715" i="35"/>
  <c r="V868" i="35"/>
  <c r="F658" i="35"/>
  <c r="A663" i="55" s="1"/>
  <c r="E582" i="35"/>
  <c r="E211" i="35"/>
  <c r="C816" i="35"/>
  <c r="F334" i="35"/>
  <c r="A339" i="55" s="1"/>
  <c r="B790" i="35"/>
  <c r="V200" i="35"/>
  <c r="V486" i="35"/>
  <c r="V353" i="35"/>
  <c r="B390" i="35"/>
  <c r="F371" i="35"/>
  <c r="A376" i="55" s="1"/>
  <c r="C280" i="35"/>
  <c r="C714" i="35"/>
  <c r="C285" i="35"/>
  <c r="C167" i="35"/>
  <c r="C830" i="35"/>
  <c r="B75" i="35"/>
  <c r="B1035" i="35"/>
  <c r="V237" i="35"/>
  <c r="B587" i="35"/>
  <c r="V36" i="35"/>
  <c r="B387" i="35"/>
  <c r="V311" i="35"/>
  <c r="B97" i="35"/>
  <c r="C766" i="35"/>
  <c r="V484" i="35"/>
  <c r="V138" i="35"/>
  <c r="C342" i="35"/>
  <c r="B422" i="35"/>
  <c r="F350" i="35"/>
  <c r="A355" i="55" s="1"/>
  <c r="C234" i="35"/>
  <c r="B60" i="35"/>
  <c r="V378" i="35"/>
  <c r="F146" i="35"/>
  <c r="A151" i="55" s="1"/>
  <c r="V142" i="35"/>
  <c r="C5" i="35"/>
  <c r="B17" i="35"/>
  <c r="C636" i="35"/>
  <c r="V704" i="35"/>
  <c r="V291" i="35"/>
  <c r="V481" i="35"/>
  <c r="V358" i="35"/>
  <c r="F307" i="35"/>
  <c r="A312" i="55" s="1"/>
  <c r="V479" i="35"/>
  <c r="F198" i="35"/>
  <c r="A203" i="55" s="1"/>
  <c r="B579" i="35"/>
  <c r="V703" i="35"/>
  <c r="V710" i="35"/>
  <c r="V310" i="35"/>
  <c r="F274" i="35"/>
  <c r="A279" i="55" s="1"/>
  <c r="C352" i="35"/>
  <c r="B406" i="35"/>
  <c r="B16" i="35"/>
  <c r="B108" i="35"/>
  <c r="V297" i="35"/>
  <c r="F165" i="35"/>
  <c r="A170" i="55" s="1"/>
  <c r="F553" i="35"/>
  <c r="A558" i="55" s="1"/>
  <c r="B492" i="35"/>
  <c r="C345" i="35"/>
  <c r="B874" i="35"/>
  <c r="B879" i="35"/>
  <c r="C307" i="35"/>
  <c r="C804" i="35"/>
  <c r="C237" i="35"/>
  <c r="F314" i="35"/>
  <c r="A319" i="55" s="1"/>
  <c r="V243" i="35"/>
  <c r="B936" i="35"/>
  <c r="C199" i="35"/>
  <c r="F365" i="35"/>
  <c r="A370" i="55" s="1"/>
  <c r="V257" i="35"/>
  <c r="C866" i="35"/>
  <c r="C163" i="35"/>
  <c r="V261" i="35"/>
  <c r="V330" i="35"/>
  <c r="C323" i="35"/>
  <c r="C341" i="35"/>
  <c r="F157" i="35"/>
  <c r="A162" i="55" s="1"/>
  <c r="C139" i="35"/>
  <c r="E609" i="35"/>
  <c r="V711" i="35"/>
  <c r="V872" i="35"/>
  <c r="V607" i="35"/>
  <c r="E318" i="35"/>
  <c r="E840" i="35"/>
  <c r="E336" i="35"/>
  <c r="V826" i="35"/>
  <c r="F828" i="35"/>
  <c r="A833" i="55" s="1"/>
  <c r="F844" i="35"/>
  <c r="A849" i="55" s="1"/>
  <c r="V814" i="35"/>
  <c r="F563" i="35"/>
  <c r="A568" i="55" s="1"/>
  <c r="F696" i="35"/>
  <c r="A701" i="55" s="1"/>
  <c r="E166" i="35"/>
  <c r="E269" i="35"/>
  <c r="E655" i="35"/>
  <c r="E835" i="35"/>
  <c r="E812" i="35"/>
  <c r="F843" i="35"/>
  <c r="A848" i="55" s="1"/>
  <c r="E633" i="35"/>
  <c r="E221" i="35"/>
  <c r="V603" i="35"/>
  <c r="E693" i="35"/>
  <c r="E727" i="35"/>
  <c r="F757" i="35"/>
  <c r="A762" i="55" s="1"/>
  <c r="V815" i="35"/>
  <c r="E319" i="35"/>
  <c r="V863" i="35"/>
  <c r="E353" i="35"/>
  <c r="E656" i="35"/>
  <c r="E482" i="35"/>
  <c r="E691" i="35"/>
  <c r="N691" i="35" s="1"/>
  <c r="V731" i="35"/>
  <c r="E190" i="35"/>
  <c r="E634" i="35"/>
  <c r="E610" i="35"/>
  <c r="F847" i="35"/>
  <c r="A852" i="55" s="1"/>
  <c r="F759" i="35"/>
  <c r="A764" i="55" s="1"/>
  <c r="F641" i="35"/>
  <c r="A646" i="55" s="1"/>
  <c r="E712" i="35"/>
  <c r="V842" i="35"/>
  <c r="F853" i="35"/>
  <c r="A858" i="55" s="1"/>
  <c r="E158" i="35"/>
  <c r="E732" i="35"/>
  <c r="E327" i="35"/>
  <c r="F638" i="35"/>
  <c r="A643" i="55" s="1"/>
  <c r="V642" i="35"/>
  <c r="V669" i="35"/>
  <c r="E299" i="35"/>
  <c r="E681" i="35"/>
  <c r="E860" i="35"/>
  <c r="F825" i="35"/>
  <c r="A830" i="55" s="1"/>
  <c r="C735" i="35"/>
  <c r="F181" i="35"/>
  <c r="A186" i="55" s="1"/>
  <c r="F320" i="35"/>
  <c r="A325" i="55" s="1"/>
  <c r="B877" i="35"/>
  <c r="V269" i="35"/>
  <c r="B100" i="35"/>
  <c r="B92" i="35"/>
  <c r="B577" i="35"/>
  <c r="C160" i="35"/>
  <c r="B93" i="35"/>
  <c r="V159" i="35"/>
  <c r="V5" i="35"/>
  <c r="V219" i="35"/>
  <c r="V295" i="35"/>
  <c r="B550" i="35"/>
  <c r="C318" i="35"/>
  <c r="C151" i="35"/>
  <c r="F291" i="35"/>
  <c r="A296" i="55" s="1"/>
  <c r="F478" i="35"/>
  <c r="A483" i="55" s="1"/>
  <c r="V478" i="35"/>
  <c r="V235" i="35"/>
  <c r="V555" i="35"/>
  <c r="V171" i="35"/>
  <c r="C219" i="35"/>
  <c r="B543" i="35"/>
  <c r="C707" i="35"/>
  <c r="B32" i="35"/>
  <c r="V355" i="35"/>
  <c r="B29" i="35"/>
  <c r="F296" i="35"/>
  <c r="A301" i="55" s="1"/>
  <c r="B413" i="35"/>
  <c r="C299" i="35"/>
  <c r="F267" i="35"/>
  <c r="A272" i="55" s="1"/>
  <c r="C295" i="35"/>
  <c r="C228" i="35"/>
  <c r="B38" i="35"/>
  <c r="C637" i="35"/>
  <c r="F211" i="35"/>
  <c r="A216" i="55" s="1"/>
  <c r="F379" i="35"/>
  <c r="A384" i="55" s="1"/>
  <c r="C36" i="35"/>
  <c r="V346" i="35"/>
  <c r="C225" i="35"/>
  <c r="F297" i="35"/>
  <c r="A302" i="55" s="1"/>
  <c r="B1051" i="35"/>
  <c r="F262" i="35"/>
  <c r="A267" i="55" s="1"/>
  <c r="B1068" i="35"/>
  <c r="V182" i="35"/>
  <c r="B408" i="35"/>
  <c r="C340" i="35"/>
  <c r="C738" i="35"/>
  <c r="C622" i="35"/>
  <c r="C786" i="35"/>
  <c r="F310" i="35"/>
  <c r="A315" i="55" s="1"/>
  <c r="F345" i="35"/>
  <c r="A350" i="55" s="1"/>
  <c r="C344" i="35"/>
  <c r="F867" i="35"/>
  <c r="A872" i="55" s="1"/>
  <c r="V675" i="35"/>
  <c r="V693" i="35"/>
  <c r="V649" i="35"/>
  <c r="E486" i="35"/>
  <c r="E347" i="35"/>
  <c r="F697" i="35"/>
  <c r="A702" i="55" s="1"/>
  <c r="E751" i="35"/>
  <c r="V855" i="35"/>
  <c r="E292" i="35"/>
  <c r="E753" i="35"/>
  <c r="V746" i="35"/>
  <c r="F808" i="35"/>
  <c r="A813" i="55" s="1"/>
  <c r="F765" i="35"/>
  <c r="A770" i="55" s="1"/>
  <c r="E195" i="35"/>
  <c r="E617" i="35"/>
  <c r="E256" i="35"/>
  <c r="E329" i="35"/>
  <c r="E107" i="35"/>
  <c r="F611" i="35"/>
  <c r="A616" i="55" s="1"/>
  <c r="E672" i="35"/>
  <c r="F722" i="35"/>
  <c r="A727" i="55" s="1"/>
  <c r="F607" i="35"/>
  <c r="A612" i="55" s="1"/>
  <c r="F608" i="35"/>
  <c r="A613" i="55" s="1"/>
  <c r="E556" i="35"/>
  <c r="E134" i="35"/>
  <c r="E648" i="35"/>
  <c r="E23" i="35"/>
  <c r="E380" i="35"/>
  <c r="F669" i="35"/>
  <c r="A674" i="55" s="1"/>
  <c r="F625" i="35"/>
  <c r="A630" i="55" s="1"/>
  <c r="E852" i="35"/>
  <c r="E137" i="35"/>
  <c r="V694" i="35"/>
  <c r="E598" i="35"/>
  <c r="E144" i="35"/>
  <c r="F769" i="35"/>
  <c r="A774" i="55" s="1"/>
  <c r="F642" i="35"/>
  <c r="A647" i="55" s="1"/>
  <c r="F635" i="35"/>
  <c r="A640" i="55" s="1"/>
  <c r="E546" i="35"/>
  <c r="E367" i="35"/>
  <c r="E832" i="35"/>
  <c r="E194" i="35"/>
  <c r="V570" i="35"/>
  <c r="F632" i="35"/>
  <c r="A637" i="55" s="1"/>
  <c r="E210" i="35"/>
  <c r="E562" i="35"/>
  <c r="V832" i="35"/>
  <c r="V668" i="35"/>
  <c r="C669" i="35"/>
  <c r="E487" i="35"/>
  <c r="V869" i="35"/>
  <c r="F260" i="35"/>
  <c r="A265" i="55" s="1"/>
  <c r="C168" i="35"/>
  <c r="C273" i="35"/>
  <c r="B10" i="35"/>
  <c r="F329" i="35"/>
  <c r="A334" i="55" s="1"/>
  <c r="C867" i="35"/>
  <c r="C198" i="35"/>
  <c r="F336" i="35"/>
  <c r="A341" i="55" s="1"/>
  <c r="C605" i="35"/>
  <c r="C686" i="35"/>
  <c r="B498" i="35"/>
  <c r="B101" i="35"/>
  <c r="C674" i="35"/>
  <c r="F158" i="35"/>
  <c r="A163" i="55" s="1"/>
  <c r="V483" i="35"/>
  <c r="F248" i="35"/>
  <c r="A253" i="55" s="1"/>
  <c r="F143" i="35"/>
  <c r="A148" i="55" s="1"/>
  <c r="C833" i="35"/>
  <c r="B113" i="35"/>
  <c r="C813" i="35"/>
  <c r="F182" i="35"/>
  <c r="A187" i="55" s="1"/>
  <c r="C357" i="35"/>
  <c r="F154" i="35"/>
  <c r="A159" i="55" s="1"/>
  <c r="F330" i="35"/>
  <c r="A335" i="55" s="1"/>
  <c r="B926" i="35"/>
  <c r="C809" i="35"/>
  <c r="C828" i="35"/>
  <c r="C306" i="35"/>
  <c r="V249" i="35"/>
  <c r="F193" i="35"/>
  <c r="A198" i="55" s="1"/>
  <c r="C806" i="35"/>
  <c r="F278" i="35"/>
  <c r="A283" i="55" s="1"/>
  <c r="C665" i="35"/>
  <c r="B396" i="35"/>
  <c r="V482" i="35"/>
  <c r="V250" i="35"/>
  <c r="V292" i="35"/>
  <c r="F215" i="35"/>
  <c r="A220" i="55" s="1"/>
  <c r="C336" i="35"/>
  <c r="C260" i="35"/>
  <c r="B44" i="35"/>
  <c r="V376" i="35"/>
  <c r="C654" i="35"/>
  <c r="V321" i="35"/>
  <c r="C185" i="35"/>
  <c r="F558" i="35"/>
  <c r="A563" i="55" s="1"/>
  <c r="F141" i="35"/>
  <c r="A146" i="55" s="1"/>
  <c r="V230" i="35"/>
  <c r="B547" i="35"/>
  <c r="F214" i="35"/>
  <c r="A219" i="55" s="1"/>
  <c r="V190" i="35"/>
  <c r="E349" i="35"/>
  <c r="E750" i="35"/>
  <c r="V689" i="35"/>
  <c r="V631" i="35"/>
  <c r="E557" i="35"/>
  <c r="C696" i="35"/>
  <c r="E217" i="35"/>
  <c r="E645" i="35"/>
  <c r="E720" i="35"/>
  <c r="E140" i="35"/>
  <c r="V563" i="35"/>
  <c r="F661" i="35"/>
  <c r="A666" i="55" s="1"/>
  <c r="E850" i="35"/>
  <c r="E859" i="35"/>
  <c r="V854" i="35"/>
  <c r="E555" i="35"/>
  <c r="F781" i="35"/>
  <c r="A786" i="55" s="1"/>
  <c r="E844" i="35"/>
  <c r="N844" i="35" s="1"/>
  <c r="E842" i="35"/>
  <c r="F754" i="35"/>
  <c r="A759" i="55" s="1"/>
  <c r="E302" i="35"/>
  <c r="F564" i="35"/>
  <c r="A569" i="55" s="1"/>
  <c r="E766" i="35"/>
  <c r="C25" i="35"/>
  <c r="V756" i="35"/>
  <c r="V699" i="35"/>
  <c r="F851" i="35"/>
  <c r="A856" i="55" s="1"/>
  <c r="V672" i="35"/>
  <c r="V852" i="35"/>
  <c r="E740" i="35"/>
  <c r="F809" i="35"/>
  <c r="A814" i="55" s="1"/>
  <c r="V804" i="35"/>
  <c r="E754" i="35"/>
  <c r="F783" i="35"/>
  <c r="A788" i="55" s="1"/>
  <c r="E268" i="35"/>
  <c r="E851" i="35"/>
  <c r="E759" i="35"/>
  <c r="E283" i="35"/>
  <c r="F733" i="35"/>
  <c r="A738" i="55" s="1"/>
  <c r="E348" i="35"/>
  <c r="E856" i="35"/>
  <c r="E674" i="35"/>
  <c r="E614" i="35"/>
  <c r="E485" i="35"/>
  <c r="F806" i="35"/>
  <c r="A811" i="55" s="1"/>
  <c r="E305" i="35"/>
  <c r="E165" i="35"/>
  <c r="E809" i="35"/>
  <c r="V758" i="35"/>
  <c r="E240" i="35"/>
  <c r="E275" i="35"/>
  <c r="F746" i="35"/>
  <c r="A751" i="55" s="1"/>
  <c r="C873" i="35"/>
  <c r="C554" i="35"/>
  <c r="B1047" i="35"/>
  <c r="B575" i="35"/>
  <c r="V335" i="35"/>
  <c r="B409" i="35"/>
  <c r="V284" i="35"/>
  <c r="C783" i="35"/>
  <c r="C692" i="35"/>
  <c r="F163" i="35"/>
  <c r="A168" i="55" s="1"/>
  <c r="C721" i="35"/>
  <c r="F208" i="35"/>
  <c r="A213" i="55" s="1"/>
  <c r="C810" i="35"/>
  <c r="B121" i="35"/>
  <c r="V338" i="35"/>
  <c r="F194" i="35"/>
  <c r="A199" i="55" s="1"/>
  <c r="C835" i="35"/>
  <c r="V154" i="35"/>
  <c r="F259" i="35"/>
  <c r="A264" i="55" s="1"/>
  <c r="C279" i="35"/>
  <c r="V239" i="35"/>
  <c r="C252" i="35"/>
  <c r="F237" i="35"/>
  <c r="A242" i="55" s="1"/>
  <c r="B1058" i="35"/>
  <c r="F283" i="35"/>
  <c r="A288" i="55" s="1"/>
  <c r="F561" i="35"/>
  <c r="A566" i="55" s="1"/>
  <c r="C693" i="35"/>
  <c r="B55" i="35"/>
  <c r="F175" i="35"/>
  <c r="A180" i="55" s="1"/>
  <c r="C604" i="35"/>
  <c r="V334" i="35"/>
  <c r="C315" i="35"/>
  <c r="C137" i="35"/>
  <c r="F376" i="35"/>
  <c r="A381" i="55" s="1"/>
  <c r="C258" i="35"/>
  <c r="F242" i="35"/>
  <c r="A247" i="55" s="1"/>
  <c r="V148" i="35"/>
  <c r="F203" i="35"/>
  <c r="A208" i="55" s="1"/>
  <c r="F258" i="35"/>
  <c r="A263" i="55" s="1"/>
  <c r="C717" i="35"/>
  <c r="B126" i="35"/>
  <c r="B59" i="35"/>
  <c r="V199" i="35"/>
  <c r="C784" i="35"/>
  <c r="B789" i="35"/>
  <c r="F246" i="35"/>
  <c r="A251" i="55" s="1"/>
  <c r="C626" i="35"/>
  <c r="V244" i="35"/>
  <c r="C621" i="35"/>
  <c r="F704" i="35"/>
  <c r="A709" i="55" s="1"/>
  <c r="V248" i="35"/>
  <c r="B9" i="35"/>
  <c r="V810" i="35"/>
  <c r="V748" i="35"/>
  <c r="E139" i="35"/>
  <c r="E202" i="35"/>
  <c r="V596" i="35"/>
  <c r="V849" i="35"/>
  <c r="E709" i="35"/>
  <c r="E141" i="35"/>
  <c r="E175" i="35"/>
  <c r="E354" i="35"/>
  <c r="E266" i="35"/>
  <c r="E183" i="35"/>
  <c r="F824" i="35"/>
  <c r="A829" i="55" s="1"/>
  <c r="V839" i="35"/>
  <c r="V696" i="35"/>
  <c r="E251" i="35"/>
  <c r="V681" i="35"/>
  <c r="F723" i="35"/>
  <c r="A728" i="55" s="1"/>
  <c r="F863" i="35"/>
  <c r="A868" i="55" s="1"/>
  <c r="V618" i="35"/>
  <c r="F23" i="35"/>
  <c r="A28" i="55" s="1"/>
  <c r="E796" i="35"/>
  <c r="V639" i="35"/>
  <c r="E708" i="35"/>
  <c r="F865" i="35"/>
  <c r="A870" i="55" s="1"/>
  <c r="E376" i="35"/>
  <c r="V823" i="35"/>
  <c r="E826" i="35"/>
  <c r="V830" i="35"/>
  <c r="F107" i="35"/>
  <c r="A112" i="55" s="1"/>
  <c r="V737" i="35"/>
  <c r="V107" i="35"/>
  <c r="F654" i="35"/>
  <c r="A659" i="55" s="1"/>
  <c r="F610" i="35"/>
  <c r="A615" i="55" s="1"/>
  <c r="E236" i="35"/>
  <c r="F839" i="35"/>
  <c r="A844" i="55" s="1"/>
  <c r="E164" i="35"/>
  <c r="E330" i="35"/>
  <c r="V784" i="35"/>
  <c r="E685" i="35"/>
  <c r="E608" i="35"/>
  <c r="V851" i="35"/>
  <c r="V697" i="35"/>
  <c r="V829" i="35"/>
  <c r="F811" i="35"/>
  <c r="A816" i="55" s="1"/>
  <c r="F826" i="35"/>
  <c r="A831" i="55" s="1"/>
  <c r="E837" i="35"/>
  <c r="E834" i="35"/>
  <c r="E159" i="35"/>
  <c r="E857" i="35"/>
  <c r="V763" i="35"/>
  <c r="E234" i="35"/>
  <c r="V149" i="35"/>
  <c r="F265" i="35"/>
  <c r="A270" i="55" s="1"/>
  <c r="F313" i="35"/>
  <c r="A318" i="55" s="1"/>
  <c r="F271" i="35"/>
  <c r="A276" i="55" s="1"/>
  <c r="C173" i="35"/>
  <c r="C321" i="35"/>
  <c r="B589" i="35"/>
  <c r="V268" i="35"/>
  <c r="F359" i="35"/>
  <c r="A364" i="55" s="1"/>
  <c r="C376" i="35"/>
  <c r="V286" i="35"/>
  <c r="C158" i="35"/>
  <c r="B476" i="35"/>
  <c r="B117" i="35"/>
  <c r="F206" i="35"/>
  <c r="A211" i="55" s="1"/>
  <c r="F174" i="35"/>
  <c r="A179" i="55" s="1"/>
  <c r="V287" i="35"/>
  <c r="B1050" i="35"/>
  <c r="C196" i="35"/>
  <c r="F243" i="35"/>
  <c r="A248" i="55" s="1"/>
  <c r="C829" i="35"/>
  <c r="B939" i="35"/>
  <c r="B933" i="35"/>
  <c r="V361" i="35"/>
  <c r="C333" i="35"/>
  <c r="F140" i="35"/>
  <c r="A145" i="55" s="1"/>
  <c r="C358" i="35"/>
  <c r="C223" i="35"/>
  <c r="C218" i="35"/>
  <c r="V21" i="35"/>
  <c r="F253" i="35"/>
  <c r="A258" i="55" s="1"/>
  <c r="F707" i="35"/>
  <c r="A712" i="55" s="1"/>
  <c r="V221" i="35"/>
  <c r="C729" i="35"/>
  <c r="C546" i="35"/>
  <c r="F136" i="35"/>
  <c r="A141" i="55" s="1"/>
  <c r="B50" i="35"/>
  <c r="V218" i="35"/>
  <c r="F714" i="35"/>
  <c r="A719" i="55" s="1"/>
  <c r="B1049" i="35"/>
  <c r="C818" i="35"/>
  <c r="C851" i="35"/>
  <c r="B882" i="35"/>
  <c r="C680" i="35"/>
  <c r="V352" i="35"/>
  <c r="V232" i="35"/>
  <c r="C562" i="35"/>
  <c r="F187" i="35"/>
  <c r="A192" i="55" s="1"/>
  <c r="B937" i="35"/>
  <c r="F311" i="35"/>
  <c r="A316" i="55" s="1"/>
  <c r="F21" i="35"/>
  <c r="A26" i="55" s="1"/>
  <c r="V139" i="35"/>
  <c r="C557" i="35"/>
  <c r="C677" i="35"/>
  <c r="C171" i="35"/>
  <c r="E301" i="35"/>
  <c r="F27" i="35"/>
  <c r="A32" i="55" s="1"/>
  <c r="E270" i="35"/>
  <c r="F785" i="35"/>
  <c r="A790" i="55" s="1"/>
  <c r="E822" i="35"/>
  <c r="F26" i="35"/>
  <c r="A31" i="55" s="1"/>
  <c r="F24" i="35"/>
  <c r="A29" i="55" s="1"/>
  <c r="E162" i="35"/>
  <c r="E379" i="35"/>
  <c r="E726" i="35"/>
  <c r="E679" i="35"/>
  <c r="V698" i="35"/>
  <c r="E604" i="35"/>
  <c r="P604" i="35" s="1"/>
  <c r="E339" i="35"/>
  <c r="E846" i="35"/>
  <c r="E728" i="35"/>
  <c r="E746" i="35"/>
  <c r="E653" i="35"/>
  <c r="E619" i="35"/>
  <c r="E272" i="35"/>
  <c r="F739" i="35"/>
  <c r="A744" i="55" s="1"/>
  <c r="F772" i="35"/>
  <c r="A777" i="55" s="1"/>
  <c r="F758" i="35"/>
  <c r="A763" i="55" s="1"/>
  <c r="V813" i="35"/>
  <c r="V637" i="35"/>
  <c r="V772" i="35"/>
  <c r="E36" i="35"/>
  <c r="F659" i="35"/>
  <c r="A664" i="55" s="1"/>
  <c r="E705" i="35"/>
  <c r="P705" i="35" s="1"/>
  <c r="V679" i="35"/>
  <c r="C700" i="35"/>
  <c r="E177" i="35"/>
  <c r="F593" i="35"/>
  <c r="A598" i="55" s="1"/>
  <c r="F744" i="35"/>
  <c r="A749" i="55" s="1"/>
  <c r="V610" i="35"/>
  <c r="E716" i="35"/>
  <c r="V609" i="35"/>
  <c r="E814" i="35"/>
  <c r="V862" i="35"/>
  <c r="E167" i="35"/>
  <c r="F782" i="35"/>
  <c r="A787" i="55" s="1"/>
  <c r="E483" i="35"/>
  <c r="E238" i="35"/>
  <c r="V837" i="35"/>
  <c r="V827" i="35"/>
  <c r="E596" i="35"/>
  <c r="E637" i="35"/>
  <c r="E205" i="35"/>
  <c r="V780" i="35"/>
  <c r="F827" i="35"/>
  <c r="A832" i="55" s="1"/>
  <c r="E212" i="35"/>
  <c r="B33" i="35"/>
  <c r="V166" i="35"/>
  <c r="V316" i="35"/>
  <c r="F239" i="35"/>
  <c r="A244" i="55" s="1"/>
  <c r="B402" i="35"/>
  <c r="V345" i="35"/>
  <c r="B544" i="35"/>
  <c r="F178" i="35"/>
  <c r="A183" i="55" s="1"/>
  <c r="C624" i="35"/>
  <c r="C148" i="35"/>
  <c r="C683" i="35"/>
  <c r="B90" i="35"/>
  <c r="F555" i="35"/>
  <c r="A560" i="55" s="1"/>
  <c r="V312" i="35"/>
  <c r="V712" i="35"/>
  <c r="C359" i="35"/>
  <c r="C737" i="35"/>
  <c r="C770" i="35"/>
  <c r="B588" i="35"/>
  <c r="C743" i="35"/>
  <c r="F362" i="35"/>
  <c r="A367" i="55" s="1"/>
  <c r="C28" i="35"/>
  <c r="V380" i="35"/>
  <c r="C868" i="35"/>
  <c r="C767" i="35"/>
  <c r="C191" i="35"/>
  <c r="B131" i="35"/>
  <c r="V315" i="35"/>
  <c r="V163" i="35"/>
  <c r="V279" i="35"/>
  <c r="B541" i="35"/>
  <c r="F185" i="35"/>
  <c r="A190" i="55" s="1"/>
  <c r="B15" i="35"/>
  <c r="B791" i="35"/>
  <c r="C210" i="35"/>
  <c r="B549" i="35"/>
  <c r="F229" i="35"/>
  <c r="A234" i="55" s="1"/>
  <c r="C277" i="35"/>
  <c r="B542" i="35"/>
  <c r="C157" i="35"/>
  <c r="B95" i="35"/>
  <c r="C749" i="35"/>
  <c r="B51" i="35"/>
  <c r="F279" i="35"/>
  <c r="A284" i="55" s="1"/>
  <c r="V209" i="35"/>
  <c r="C739" i="35"/>
  <c r="F344" i="35"/>
  <c r="A349" i="55" s="1"/>
  <c r="C175" i="35"/>
  <c r="V487" i="35"/>
  <c r="F213" i="35"/>
  <c r="A218" i="55" s="1"/>
  <c r="C261" i="35"/>
  <c r="B942" i="35"/>
  <c r="B49" i="35"/>
  <c r="V157" i="35"/>
  <c r="F269" i="35"/>
  <c r="A274" i="55" s="1"/>
  <c r="V181" i="35"/>
  <c r="C821" i="35"/>
  <c r="B1037" i="35"/>
  <c r="C648" i="35"/>
  <c r="V373" i="35"/>
  <c r="B798" i="35"/>
  <c r="F774" i="35"/>
  <c r="A779" i="55" s="1"/>
  <c r="V674" i="35"/>
  <c r="F565" i="35"/>
  <c r="A570" i="55" s="1"/>
  <c r="E246" i="35"/>
  <c r="E697" i="35"/>
  <c r="E241" i="35"/>
  <c r="F857" i="35"/>
  <c r="A862" i="55" s="1"/>
  <c r="F605" i="35"/>
  <c r="A610" i="55" s="1"/>
  <c r="V640" i="35"/>
  <c r="E247" i="35"/>
  <c r="E745" i="35"/>
  <c r="E612" i="35"/>
  <c r="E867" i="35"/>
  <c r="F842" i="35"/>
  <c r="A847" i="55" s="1"/>
  <c r="E178" i="35"/>
  <c r="F770" i="35"/>
  <c r="A775" i="55" s="1"/>
  <c r="F569" i="35"/>
  <c r="A574" i="55" s="1"/>
  <c r="V594" i="35"/>
  <c r="E213" i="35"/>
  <c r="E823" i="35"/>
  <c r="E676" i="35"/>
  <c r="E864" i="35"/>
  <c r="C698" i="35"/>
  <c r="V23" i="35"/>
  <c r="V644" i="35"/>
  <c r="E282" i="35"/>
  <c r="E179" i="35"/>
  <c r="E182" i="35"/>
  <c r="C701" i="35"/>
  <c r="E359" i="35"/>
  <c r="V700" i="35"/>
  <c r="F566" i="35"/>
  <c r="A571" i="55" s="1"/>
  <c r="V848" i="35"/>
  <c r="V825" i="35"/>
  <c r="E321" i="35"/>
  <c r="V822" i="35"/>
  <c r="F738" i="35"/>
  <c r="A743" i="55" s="1"/>
  <c r="E690" i="35"/>
  <c r="E703" i="35"/>
  <c r="F807" i="35"/>
  <c r="A812" i="55" s="1"/>
  <c r="F812" i="35"/>
  <c r="A817" i="55" s="1"/>
  <c r="E667" i="35"/>
  <c r="E323" i="35"/>
  <c r="E804" i="35"/>
  <c r="E254" i="35"/>
  <c r="F836" i="35"/>
  <c r="A841" i="55" s="1"/>
  <c r="E337" i="35"/>
  <c r="E201" i="35"/>
  <c r="E711" i="35"/>
  <c r="E830" i="35"/>
  <c r="C640" i="35"/>
  <c r="C756" i="35"/>
  <c r="B539" i="35"/>
  <c r="V282" i="35"/>
  <c r="C711" i="35"/>
  <c r="V367" i="35"/>
  <c r="C864" i="35"/>
  <c r="C305" i="35"/>
  <c r="V155" i="35"/>
  <c r="B1032" i="35"/>
  <c r="V246" i="35"/>
  <c r="B67" i="35"/>
  <c r="V281" i="35"/>
  <c r="F289" i="35"/>
  <c r="A294" i="55" s="1"/>
  <c r="V370" i="35"/>
  <c r="F149" i="35"/>
  <c r="A154" i="55" s="1"/>
  <c r="B48" i="35"/>
  <c r="B128" i="35"/>
  <c r="B1078" i="35"/>
  <c r="V348" i="35"/>
  <c r="C591" i="35"/>
  <c r="C374" i="35"/>
  <c r="B875" i="35"/>
  <c r="C808" i="35"/>
  <c r="C330" i="35"/>
  <c r="C230" i="35"/>
  <c r="C769" i="35"/>
  <c r="B584" i="35"/>
  <c r="V179" i="35"/>
  <c r="F381" i="35"/>
  <c r="A386" i="55" s="1"/>
  <c r="F484" i="35"/>
  <c r="A489" i="55" s="1"/>
  <c r="C689" i="35"/>
  <c r="C195" i="35"/>
  <c r="V135" i="35"/>
  <c r="B394" i="35"/>
  <c r="V342" i="35"/>
  <c r="B99" i="35"/>
  <c r="F354" i="35"/>
  <c r="A359" i="55" s="1"/>
  <c r="C598" i="35"/>
  <c r="C842" i="35"/>
  <c r="C274" i="35"/>
  <c r="B11" i="35"/>
  <c r="B96" i="35"/>
  <c r="F358" i="35"/>
  <c r="A363" i="55" s="1"/>
  <c r="B39" i="35"/>
  <c r="C293" i="35"/>
  <c r="F277" i="35"/>
  <c r="A282" i="55" s="1"/>
  <c r="F137" i="35"/>
  <c r="A142" i="55" s="1"/>
  <c r="F240" i="35"/>
  <c r="A245" i="55" s="1"/>
  <c r="B494" i="35"/>
  <c r="B1061" i="35"/>
  <c r="B20" i="35"/>
  <c r="F346" i="35"/>
  <c r="A351" i="55" s="1"/>
  <c r="B116" i="35"/>
  <c r="V227" i="35"/>
  <c r="V165" i="35"/>
  <c r="F368" i="35"/>
  <c r="A373" i="55" s="1"/>
  <c r="C354" i="35"/>
  <c r="C723" i="35"/>
  <c r="B53" i="35"/>
  <c r="C316" i="35"/>
  <c r="B70" i="35"/>
  <c r="C632" i="35"/>
  <c r="F186" i="35"/>
  <c r="A191" i="55" s="1"/>
  <c r="C156" i="35"/>
  <c r="V236" i="35"/>
  <c r="F212" i="35"/>
  <c r="A217" i="55" s="1"/>
  <c r="C378" i="35"/>
  <c r="C152" i="35"/>
  <c r="F152" i="35"/>
  <c r="A157" i="55" s="1"/>
  <c r="C200" i="35"/>
  <c r="C638" i="35"/>
  <c r="F316" i="35"/>
  <c r="A321" i="55" s="1"/>
  <c r="B1043" i="35"/>
  <c r="B84" i="35"/>
  <c r="V300" i="35"/>
  <c r="C779" i="35"/>
  <c r="E692" i="35"/>
  <c r="V735" i="35"/>
  <c r="E590" i="35"/>
  <c r="E757" i="35"/>
  <c r="E196" i="35"/>
  <c r="E244" i="35"/>
  <c r="E365" i="35"/>
  <c r="E568" i="35"/>
  <c r="V611" i="35"/>
  <c r="E285" i="35"/>
  <c r="E355" i="35"/>
  <c r="E309" i="35"/>
  <c r="V569" i="35"/>
  <c r="E356" i="35"/>
  <c r="V25" i="35"/>
  <c r="E22" i="35"/>
  <c r="E566" i="35"/>
  <c r="E729" i="35"/>
  <c r="V751" i="35"/>
  <c r="V834" i="35"/>
  <c r="E361" i="35"/>
  <c r="F679" i="35"/>
  <c r="A684" i="55" s="1"/>
  <c r="E307" i="35"/>
  <c r="E156" i="35"/>
  <c r="C644" i="35"/>
  <c r="E343" i="35"/>
  <c r="E771" i="35"/>
  <c r="E805" i="35"/>
  <c r="E649" i="35"/>
  <c r="F748" i="35"/>
  <c r="A753" i="55" s="1"/>
  <c r="E718" i="35"/>
  <c r="V613" i="35"/>
  <c r="V676" i="35"/>
  <c r="E808" i="35"/>
  <c r="E563" i="35"/>
  <c r="F628" i="35"/>
  <c r="A633" i="55" s="1"/>
  <c r="E357" i="35"/>
  <c r="F816" i="35"/>
  <c r="A821" i="55" s="1"/>
  <c r="F674" i="35"/>
  <c r="A679" i="55" s="1"/>
  <c r="F680" i="35"/>
  <c r="A685" i="55" s="1"/>
  <c r="F649" i="35"/>
  <c r="A654" i="55" s="1"/>
  <c r="F775" i="35"/>
  <c r="A780" i="55" s="1"/>
  <c r="V828" i="35"/>
  <c r="F846" i="35"/>
  <c r="A851" i="55" s="1"/>
  <c r="F603" i="35"/>
  <c r="A608" i="55" s="1"/>
  <c r="F673" i="35"/>
  <c r="A678" i="55" s="1"/>
  <c r="F855" i="35"/>
  <c r="A860" i="55" s="1"/>
  <c r="V656" i="35"/>
  <c r="F831" i="35"/>
  <c r="A836" i="55" s="1"/>
  <c r="E479" i="35"/>
  <c r="F730" i="35"/>
  <c r="A735" i="55" s="1"/>
  <c r="V554" i="35"/>
  <c r="C208" i="35"/>
  <c r="B6" i="35"/>
  <c r="B132" i="35"/>
  <c r="F318" i="35"/>
  <c r="A323" i="55" s="1"/>
  <c r="B1038" i="35"/>
  <c r="F295" i="35"/>
  <c r="A300" i="55" s="1"/>
  <c r="C678" i="35"/>
  <c r="C242" i="35"/>
  <c r="F245" i="35"/>
  <c r="A250" i="55" s="1"/>
  <c r="C742" i="35"/>
  <c r="C837" i="35"/>
  <c r="C192" i="35"/>
  <c r="F479" i="35"/>
  <c r="A484" i="55" s="1"/>
  <c r="C271" i="35"/>
  <c r="B931" i="35"/>
  <c r="B62" i="35"/>
  <c r="C202" i="35"/>
  <c r="C785" i="35"/>
  <c r="B369" i="35"/>
  <c r="F167" i="35"/>
  <c r="A172" i="55" s="1"/>
  <c r="C553" i="35"/>
  <c r="V168" i="35"/>
  <c r="F244" i="35"/>
  <c r="A249" i="55" s="1"/>
  <c r="C647" i="35"/>
  <c r="C482" i="35"/>
  <c r="C161" i="35"/>
  <c r="B54" i="35"/>
  <c r="V556" i="35"/>
  <c r="B110" i="35"/>
  <c r="B1053" i="35"/>
  <c r="F341" i="35"/>
  <c r="A346" i="55" s="1"/>
  <c r="F184" i="35"/>
  <c r="A189" i="55" s="1"/>
  <c r="C655" i="35"/>
  <c r="C244" i="35"/>
  <c r="F226" i="35"/>
  <c r="A231" i="55" s="1"/>
  <c r="V314" i="35"/>
  <c r="V340" i="35"/>
  <c r="F196" i="35"/>
  <c r="A201" i="55" s="1"/>
  <c r="C859" i="35"/>
  <c r="C165" i="35"/>
  <c r="C178" i="35"/>
  <c r="F254" i="35"/>
  <c r="A259" i="55" s="1"/>
  <c r="C287" i="35"/>
  <c r="C194" i="35"/>
  <c r="V280" i="35"/>
  <c r="C705" i="35"/>
  <c r="C571" i="35"/>
  <c r="C314" i="35"/>
  <c r="B1084" i="35"/>
  <c r="B1042" i="35"/>
  <c r="C325" i="35"/>
  <c r="C845" i="35"/>
  <c r="B924" i="35"/>
  <c r="C736" i="35"/>
  <c r="C848" i="35"/>
  <c r="F351" i="35"/>
  <c r="A356" i="55" s="1"/>
  <c r="C777" i="35"/>
  <c r="B493" i="35"/>
  <c r="B473" i="35"/>
  <c r="C834" i="35"/>
  <c r="B551" i="35"/>
  <c r="C752" i="35"/>
  <c r="F328" i="35"/>
  <c r="A333" i="55" s="1"/>
  <c r="V206" i="35"/>
  <c r="B133" i="35"/>
  <c r="C753" i="35"/>
  <c r="F304" i="35"/>
  <c r="A309" i="55" s="1"/>
  <c r="F698" i="35"/>
  <c r="A703" i="55" s="1"/>
  <c r="F760" i="35"/>
  <c r="A765" i="55" s="1"/>
  <c r="E787" i="35"/>
  <c r="F671" i="35"/>
  <c r="A676" i="55" s="1"/>
  <c r="E624" i="35"/>
  <c r="V859" i="35"/>
  <c r="C667" i="35"/>
  <c r="F845" i="35"/>
  <c r="A850" i="55" s="1"/>
  <c r="V653" i="35"/>
  <c r="F701" i="35"/>
  <c r="A706" i="55" s="1"/>
  <c r="V664" i="35"/>
  <c r="E785" i="35"/>
  <c r="E638" i="35"/>
  <c r="E160" i="35"/>
  <c r="E828" i="35"/>
  <c r="V840" i="35"/>
  <c r="V817" i="35"/>
  <c r="E629" i="35"/>
  <c r="V650" i="35"/>
  <c r="V567" i="35"/>
  <c r="E678" i="35"/>
  <c r="E360" i="35"/>
  <c r="E838" i="35"/>
  <c r="V816" i="35"/>
  <c r="F768" i="35"/>
  <c r="A773" i="55" s="1"/>
  <c r="F796" i="35"/>
  <c r="A801" i="55" s="1"/>
  <c r="V652" i="35"/>
  <c r="E331" i="35"/>
  <c r="V833" i="35"/>
  <c r="F720" i="35"/>
  <c r="A725" i="55" s="1"/>
  <c r="E320" i="35"/>
  <c r="F849" i="35"/>
  <c r="A854" i="55" s="1"/>
  <c r="V622" i="35"/>
  <c r="V726" i="35"/>
  <c r="E340" i="35"/>
  <c r="F662" i="35"/>
  <c r="A667" i="55" s="1"/>
  <c r="E698" i="35"/>
  <c r="E366" i="35"/>
  <c r="E191" i="35"/>
  <c r="F700" i="35"/>
  <c r="A705" i="55" s="1"/>
  <c r="E231" i="35"/>
  <c r="F647" i="35"/>
  <c r="A652" i="55" s="1"/>
  <c r="F22" i="35"/>
  <c r="A27" i="55" s="1"/>
  <c r="C26" i="35"/>
  <c r="F767" i="35"/>
  <c r="A772" i="55" s="1"/>
  <c r="E866" i="35"/>
  <c r="E569" i="35"/>
  <c r="E704" i="35"/>
  <c r="V562" i="35"/>
  <c r="E627" i="35"/>
  <c r="V608" i="35"/>
  <c r="B63" i="35"/>
  <c r="C623" i="35"/>
  <c r="C181" i="35"/>
  <c r="C298" i="35"/>
  <c r="F276" i="35"/>
  <c r="A281" i="55" s="1"/>
  <c r="C144" i="35"/>
  <c r="V375" i="35"/>
  <c r="B1076" i="35"/>
  <c r="B1086" i="35"/>
  <c r="V354" i="35"/>
  <c r="F223" i="35"/>
  <c r="A228" i="55" s="1"/>
  <c r="F250" i="35"/>
  <c r="A255" i="55" s="1"/>
  <c r="C755" i="35"/>
  <c r="C776" i="35"/>
  <c r="V241" i="35"/>
  <c r="C590" i="35"/>
  <c r="F560" i="35"/>
  <c r="A565" i="55" s="1"/>
  <c r="B43" i="35"/>
  <c r="C832" i="35"/>
  <c r="V320" i="35"/>
  <c r="C484" i="35"/>
  <c r="C377" i="35"/>
  <c r="V240" i="35"/>
  <c r="C595" i="35"/>
  <c r="B405" i="35"/>
  <c r="C819" i="35"/>
  <c r="C372" i="35"/>
  <c r="C831" i="35"/>
  <c r="F312" i="35"/>
  <c r="A317" i="55" s="1"/>
  <c r="C772" i="35"/>
  <c r="B1052" i="35"/>
  <c r="B489" i="35"/>
  <c r="C481" i="35"/>
  <c r="F205" i="35"/>
  <c r="A210" i="55" s="1"/>
  <c r="F873" i="35"/>
  <c r="A878" i="55" s="1"/>
  <c r="C300" i="35"/>
  <c r="C146" i="35"/>
  <c r="V229" i="35"/>
  <c r="F363" i="35"/>
  <c r="A368" i="55" s="1"/>
  <c r="F34" i="35"/>
  <c r="A39" i="55" s="1"/>
  <c r="B66" i="35"/>
  <c r="V144" i="35"/>
  <c r="C709" i="35"/>
  <c r="F323" i="35"/>
  <c r="A328" i="55" s="1"/>
  <c r="B574" i="35"/>
  <c r="C349" i="35"/>
  <c r="F712" i="35"/>
  <c r="A717" i="55" s="1"/>
  <c r="B581" i="35"/>
  <c r="B393" i="35"/>
  <c r="C320" i="35"/>
  <c r="C142" i="35"/>
  <c r="F338" i="35"/>
  <c r="A343" i="55" s="1"/>
  <c r="C768" i="35"/>
  <c r="F348" i="35"/>
  <c r="A353" i="55" s="1"/>
  <c r="C565" i="35"/>
  <c r="V263" i="35"/>
  <c r="C380" i="35"/>
  <c r="V306" i="35"/>
  <c r="C479" i="35"/>
  <c r="C787" i="35"/>
  <c r="C213" i="35"/>
  <c r="C850" i="35"/>
  <c r="C722" i="35"/>
  <c r="B421" i="35"/>
  <c r="F134" i="35"/>
  <c r="A139" i="55" s="1"/>
  <c r="F374" i="35"/>
  <c r="A379" i="55" s="1"/>
  <c r="C303" i="35"/>
  <c r="C288" i="35"/>
  <c r="C172" i="35"/>
  <c r="B197" i="35"/>
  <c r="E707" i="35"/>
  <c r="E352" i="35"/>
  <c r="V688" i="35"/>
  <c r="V678" i="35"/>
  <c r="V846" i="35"/>
  <c r="F595" i="35"/>
  <c r="A600" i="55" s="1"/>
  <c r="V636" i="35"/>
  <c r="E853" i="35"/>
  <c r="F650" i="35"/>
  <c r="A655" i="55" s="1"/>
  <c r="E764" i="35"/>
  <c r="V739" i="35"/>
  <c r="V695" i="35"/>
  <c r="V805" i="35"/>
  <c r="E151" i="35"/>
  <c r="E206" i="35"/>
  <c r="V806" i="35"/>
  <c r="E861" i="35"/>
  <c r="N861" i="35" s="1"/>
  <c r="E772" i="35"/>
  <c r="E783" i="35"/>
  <c r="V771" i="35"/>
  <c r="F752" i="35"/>
  <c r="A757" i="55" s="1"/>
  <c r="E145" i="35"/>
  <c r="E276" i="35"/>
  <c r="E344" i="35"/>
  <c r="E263" i="35"/>
  <c r="V670" i="35"/>
  <c r="F778" i="35"/>
  <c r="A783" i="55" s="1"/>
  <c r="F677" i="35"/>
  <c r="A682" i="55" s="1"/>
  <c r="V601" i="35"/>
  <c r="V857" i="35"/>
  <c r="E4" i="35"/>
  <c r="E24" i="35"/>
  <c r="F670" i="35"/>
  <c r="A675" i="55" s="1"/>
  <c r="C639" i="35"/>
  <c r="E135" i="35"/>
  <c r="E760" i="35"/>
  <c r="E333" i="35"/>
  <c r="E308" i="35"/>
  <c r="E28" i="35"/>
  <c r="E779" i="35"/>
  <c r="V786" i="35"/>
  <c r="V582" i="35"/>
  <c r="E682" i="35"/>
  <c r="E170" i="35"/>
  <c r="F609" i="35"/>
  <c r="A614" i="55" s="1"/>
  <c r="F763" i="35"/>
  <c r="A768" i="55" s="1"/>
  <c r="F590" i="35"/>
  <c r="A595" i="55" s="1"/>
  <c r="F776" i="35"/>
  <c r="A781" i="55" s="1"/>
  <c r="V844" i="35"/>
  <c r="E267" i="35"/>
  <c r="V781" i="35"/>
  <c r="G743" i="35" l="1"/>
  <c r="B748" i="55"/>
  <c r="L832" i="35"/>
  <c r="M832" i="35"/>
  <c r="C1568" i="41"/>
  <c r="W832" i="35"/>
  <c r="K832" i="35"/>
  <c r="Y832" i="35"/>
  <c r="O832" i="35"/>
  <c r="N832" i="35"/>
  <c r="M714" i="35"/>
  <c r="L714" i="35"/>
  <c r="O714" i="35"/>
  <c r="K714" i="35"/>
  <c r="W714" i="35"/>
  <c r="X714" i="35" s="1"/>
  <c r="C1296" i="41"/>
  <c r="N714" i="35"/>
  <c r="Y714" i="35"/>
  <c r="G840" i="35"/>
  <c r="B845" i="55"/>
  <c r="K683" i="35"/>
  <c r="W683" i="35"/>
  <c r="X683" i="35" s="1"/>
  <c r="L683" i="35"/>
  <c r="O683" i="35"/>
  <c r="Y683" i="35"/>
  <c r="C1232" i="41"/>
  <c r="G150" i="35"/>
  <c r="B155" i="55"/>
  <c r="B874" i="55"/>
  <c r="G869" i="35"/>
  <c r="B9" i="55"/>
  <c r="G4" i="35"/>
  <c r="G351" i="35"/>
  <c r="B356" i="55"/>
  <c r="K262" i="35"/>
  <c r="P262" i="35"/>
  <c r="M262" i="35"/>
  <c r="Q262" i="35"/>
  <c r="O262" i="35"/>
  <c r="Y262" i="35"/>
  <c r="N262" i="35"/>
  <c r="B843" i="41"/>
  <c r="L262" i="35"/>
  <c r="W262" i="35"/>
  <c r="N245" i="35"/>
  <c r="B826" i="41"/>
  <c r="Y245" i="35"/>
  <c r="K245" i="35"/>
  <c r="O245" i="35"/>
  <c r="Q245" i="35"/>
  <c r="L245" i="35"/>
  <c r="P245" i="35"/>
  <c r="M245" i="35"/>
  <c r="W245" i="35"/>
  <c r="B491" i="55"/>
  <c r="G486" i="35"/>
  <c r="G635" i="35"/>
  <c r="B640" i="55"/>
  <c r="G754" i="35"/>
  <c r="B759" i="55"/>
  <c r="B851" i="55"/>
  <c r="G846" i="35"/>
  <c r="G706" i="35"/>
  <c r="B711" i="55"/>
  <c r="G762" i="35"/>
  <c r="B767" i="55"/>
  <c r="L174" i="35"/>
  <c r="Y174" i="35"/>
  <c r="W174" i="35"/>
  <c r="M174" i="35"/>
  <c r="P174" i="35"/>
  <c r="O174" i="35"/>
  <c r="Q174" i="35"/>
  <c r="K174" i="35"/>
  <c r="N174" i="35"/>
  <c r="B755" i="41"/>
  <c r="B361" i="55"/>
  <c r="G356" i="35"/>
  <c r="B1152" i="41"/>
  <c r="L631" i="35"/>
  <c r="K631" i="35"/>
  <c r="O631" i="35"/>
  <c r="B1153" i="41"/>
  <c r="B1150" i="41"/>
  <c r="B1151" i="41" s="1"/>
  <c r="N631" i="35"/>
  <c r="W631" i="35"/>
  <c r="B1154" i="41"/>
  <c r="M631" i="35"/>
  <c r="Y631" i="35"/>
  <c r="N613" i="35"/>
  <c r="C1122" i="41"/>
  <c r="Y613" i="35"/>
  <c r="W613" i="35"/>
  <c r="K613" i="35"/>
  <c r="M613" i="35"/>
  <c r="L613" i="35"/>
  <c r="O613" i="35"/>
  <c r="L817" i="35"/>
  <c r="M817" i="35"/>
  <c r="K817" i="35"/>
  <c r="O817" i="35"/>
  <c r="Y817" i="35"/>
  <c r="C1531" i="41"/>
  <c r="N817" i="35"/>
  <c r="W817" i="35"/>
  <c r="W323" i="35"/>
  <c r="P323" i="35"/>
  <c r="N323" i="35"/>
  <c r="B904" i="41"/>
  <c r="K323" i="35"/>
  <c r="L323" i="35"/>
  <c r="M323" i="35"/>
  <c r="Y323" i="35"/>
  <c r="Q323" i="35"/>
  <c r="O323" i="35"/>
  <c r="B162" i="55"/>
  <c r="G157" i="35"/>
  <c r="O691" i="35"/>
  <c r="K691" i="35"/>
  <c r="C1247" i="41"/>
  <c r="Y691" i="35"/>
  <c r="M691" i="35"/>
  <c r="W691" i="35"/>
  <c r="L691" i="35"/>
  <c r="K675" i="35"/>
  <c r="C1225" i="41"/>
  <c r="W675" i="35"/>
  <c r="Y675" i="35"/>
  <c r="L675" i="35"/>
  <c r="M683" i="35"/>
  <c r="G254" i="35"/>
  <c r="B259" i="55"/>
  <c r="N310" i="35"/>
  <c r="P310" i="35"/>
  <c r="Y310" i="35"/>
  <c r="L310" i="35"/>
  <c r="Q310" i="35"/>
  <c r="W310" i="35"/>
  <c r="X310" i="35" s="1"/>
  <c r="B891" i="41"/>
  <c r="K310" i="35"/>
  <c r="O310" i="35"/>
  <c r="M310" i="35"/>
  <c r="G338" i="35"/>
  <c r="B343" i="55"/>
  <c r="L649" i="35"/>
  <c r="K649" i="35"/>
  <c r="O649" i="35"/>
  <c r="W649" i="35"/>
  <c r="P649" i="35"/>
  <c r="M649" i="35"/>
  <c r="N649" i="35"/>
  <c r="C1181" i="41"/>
  <c r="Y649" i="35"/>
  <c r="W365" i="35"/>
  <c r="X365" i="35" s="1"/>
  <c r="Y365" i="35"/>
  <c r="L365" i="35"/>
  <c r="O365" i="35"/>
  <c r="Q365" i="35"/>
  <c r="K365" i="35"/>
  <c r="M365" i="35"/>
  <c r="N365" i="35"/>
  <c r="P365" i="35"/>
  <c r="B946" i="41"/>
  <c r="N283" i="35"/>
  <c r="P283" i="35"/>
  <c r="Y283" i="35"/>
  <c r="W283" i="35"/>
  <c r="O283" i="35"/>
  <c r="B864" i="41"/>
  <c r="L283" i="35"/>
  <c r="M283" i="35"/>
  <c r="Q283" i="35"/>
  <c r="K283" i="35"/>
  <c r="O555" i="35"/>
  <c r="Y555" i="35"/>
  <c r="C520" i="41"/>
  <c r="K555" i="35"/>
  <c r="W555" i="35"/>
  <c r="N555" i="35"/>
  <c r="M555" i="35"/>
  <c r="L555" i="35"/>
  <c r="P555" i="35"/>
  <c r="B203" i="55"/>
  <c r="G198" i="35"/>
  <c r="M367" i="35"/>
  <c r="B948" i="41"/>
  <c r="Q367" i="35"/>
  <c r="P367" i="35"/>
  <c r="Y367" i="35"/>
  <c r="K367" i="35"/>
  <c r="L367" i="35"/>
  <c r="N367" i="35"/>
  <c r="O367" i="35"/>
  <c r="W367" i="35"/>
  <c r="X367" i="35" s="1"/>
  <c r="M107" i="35"/>
  <c r="Y107" i="35"/>
  <c r="L107" i="35"/>
  <c r="W107" i="35"/>
  <c r="B49" i="41"/>
  <c r="B50" i="41"/>
  <c r="N107" i="35"/>
  <c r="B52" i="41"/>
  <c r="O107" i="35"/>
  <c r="P107" i="35"/>
  <c r="B51" i="41"/>
  <c r="O124" i="57" s="1"/>
  <c r="N124" i="57" s="1"/>
  <c r="K107" i="35"/>
  <c r="B791" i="55"/>
  <c r="G786" i="35"/>
  <c r="G735" i="35"/>
  <c r="B740" i="55"/>
  <c r="O482" i="35"/>
  <c r="Y482" i="35"/>
  <c r="Q482" i="35"/>
  <c r="M482" i="35"/>
  <c r="W482" i="35"/>
  <c r="K482" i="35"/>
  <c r="P482" i="35"/>
  <c r="L482" i="35"/>
  <c r="N482" i="35"/>
  <c r="L260" i="35"/>
  <c r="Y260" i="35"/>
  <c r="M260" i="35"/>
  <c r="N260" i="35"/>
  <c r="B841" i="41"/>
  <c r="W260" i="35"/>
  <c r="O260" i="35"/>
  <c r="Q260" i="35"/>
  <c r="K260" i="35"/>
  <c r="P260" i="35"/>
  <c r="L661" i="35"/>
  <c r="P661" i="35"/>
  <c r="W661" i="35"/>
  <c r="M661" i="35"/>
  <c r="Y661" i="35"/>
  <c r="O661" i="35"/>
  <c r="K661" i="35"/>
  <c r="N661" i="35"/>
  <c r="G634" i="35"/>
  <c r="B639" i="55"/>
  <c r="C1439" i="41"/>
  <c r="K775" i="35"/>
  <c r="L775" i="35"/>
  <c r="M775" i="35"/>
  <c r="Y775" i="35"/>
  <c r="N775" i="35"/>
  <c r="W775" i="35"/>
  <c r="M153" i="35"/>
  <c r="W153" i="35"/>
  <c r="K153" i="35"/>
  <c r="Y153" i="35"/>
  <c r="B734" i="41"/>
  <c r="L153" i="35"/>
  <c r="N153" i="35"/>
  <c r="B1005" i="41"/>
  <c r="L381" i="35"/>
  <c r="Y381" i="35"/>
  <c r="M381" i="35"/>
  <c r="K381" i="35"/>
  <c r="W381" i="35"/>
  <c r="N381" i="35"/>
  <c r="O381" i="35"/>
  <c r="B877" i="55"/>
  <c r="G872" i="35"/>
  <c r="B322" i="55"/>
  <c r="G317" i="35"/>
  <c r="G778" i="35"/>
  <c r="B783" i="55"/>
  <c r="B677" i="55"/>
  <c r="G672" i="35"/>
  <c r="W481" i="35"/>
  <c r="Y481" i="35"/>
  <c r="L481" i="35"/>
  <c r="O481" i="35"/>
  <c r="N481" i="35"/>
  <c r="K481" i="35"/>
  <c r="P481" i="35"/>
  <c r="M481" i="35"/>
  <c r="M554" i="35"/>
  <c r="Y554" i="35"/>
  <c r="O554" i="35"/>
  <c r="K554" i="35"/>
  <c r="N554" i="35"/>
  <c r="P554" i="35"/>
  <c r="W554" i="35"/>
  <c r="X554" i="35" s="1"/>
  <c r="L554" i="35"/>
  <c r="C519" i="41"/>
  <c r="O664" i="35"/>
  <c r="M664" i="35"/>
  <c r="B1205" i="41"/>
  <c r="W664" i="35"/>
  <c r="B1207" i="41"/>
  <c r="Y664" i="35"/>
  <c r="B1203" i="41"/>
  <c r="B1204" i="41" s="1"/>
  <c r="K664" i="35"/>
  <c r="N664" i="35"/>
  <c r="B1206" i="41"/>
  <c r="L664" i="35"/>
  <c r="G602" i="35"/>
  <c r="B607" i="55"/>
  <c r="G759" i="35"/>
  <c r="B764" i="55"/>
  <c r="G730" i="35"/>
  <c r="B735" i="55"/>
  <c r="M843" i="35"/>
  <c r="L843" i="35"/>
  <c r="W843" i="35"/>
  <c r="Y843" i="35"/>
  <c r="N843" i="35"/>
  <c r="C1596" i="41"/>
  <c r="K843" i="35"/>
  <c r="M677" i="35"/>
  <c r="W677" i="35"/>
  <c r="N677" i="35"/>
  <c r="P677" i="35"/>
  <c r="K677" i="35"/>
  <c r="O677" i="35"/>
  <c r="C1226" i="41"/>
  <c r="L677" i="35"/>
  <c r="Y677" i="35"/>
  <c r="B736" i="55"/>
  <c r="G731" i="35"/>
  <c r="G643" i="35"/>
  <c r="B648" i="55"/>
  <c r="C1412" i="41"/>
  <c r="Y765" i="35"/>
  <c r="K765" i="35"/>
  <c r="W765" i="35"/>
  <c r="N765" i="35"/>
  <c r="M765" i="35"/>
  <c r="L765" i="35"/>
  <c r="O765" i="35"/>
  <c r="G839" i="35"/>
  <c r="B844" i="55"/>
  <c r="G758" i="35"/>
  <c r="B763" i="55"/>
  <c r="Q289" i="35"/>
  <c r="L289" i="35"/>
  <c r="O289" i="35"/>
  <c r="B870" i="41"/>
  <c r="N289" i="35"/>
  <c r="P289" i="35"/>
  <c r="K289" i="35"/>
  <c r="Y289" i="35"/>
  <c r="W289" i="35"/>
  <c r="M289" i="35"/>
  <c r="G373" i="35"/>
  <c r="B378" i="55"/>
  <c r="B693" i="55"/>
  <c r="G688" i="35"/>
  <c r="O370" i="35"/>
  <c r="W370" i="35"/>
  <c r="K370" i="35"/>
  <c r="Q370" i="35"/>
  <c r="Y370" i="35"/>
  <c r="B951" i="41"/>
  <c r="N370" i="35"/>
  <c r="P370" i="35"/>
  <c r="M370" i="35"/>
  <c r="L370" i="35"/>
  <c r="B112" i="55"/>
  <c r="G107" i="35"/>
  <c r="B605" i="55"/>
  <c r="G600" i="35"/>
  <c r="G162" i="35"/>
  <c r="B167" i="55"/>
  <c r="B181" i="55"/>
  <c r="G176" i="35"/>
  <c r="G170" i="35"/>
  <c r="B175" i="55"/>
  <c r="G780" i="35"/>
  <c r="B785" i="55"/>
  <c r="G379" i="35"/>
  <c r="B384" i="55"/>
  <c r="Q303" i="35"/>
  <c r="M303" i="35"/>
  <c r="L303" i="35"/>
  <c r="O303" i="35"/>
  <c r="K303" i="35"/>
  <c r="W303" i="35"/>
  <c r="X303" i="35" s="1"/>
  <c r="Y303" i="35"/>
  <c r="N303" i="35"/>
  <c r="B884" i="41"/>
  <c r="P303" i="35"/>
  <c r="G796" i="35"/>
  <c r="B801" i="55"/>
  <c r="G200" i="35"/>
  <c r="B205" i="55"/>
  <c r="B279" i="55"/>
  <c r="G274" i="35"/>
  <c r="G19" i="30"/>
  <c r="O637" i="35"/>
  <c r="L637" i="35"/>
  <c r="Y637" i="35"/>
  <c r="W637" i="35"/>
  <c r="X637" i="35" s="1"/>
  <c r="M637" i="35"/>
  <c r="P637" i="35"/>
  <c r="K637" i="35"/>
  <c r="N637" i="35"/>
  <c r="P270" i="35"/>
  <c r="O270" i="35"/>
  <c r="K270" i="35"/>
  <c r="M270" i="35"/>
  <c r="Y270" i="35"/>
  <c r="L270" i="35"/>
  <c r="N270" i="35"/>
  <c r="W270" i="35"/>
  <c r="Q270" i="35"/>
  <c r="B851" i="41"/>
  <c r="B163" i="55"/>
  <c r="G158" i="35"/>
  <c r="C1285" i="41"/>
  <c r="K708" i="35"/>
  <c r="W708" i="35"/>
  <c r="X708" i="35" s="1"/>
  <c r="O708" i="35"/>
  <c r="N708" i="35"/>
  <c r="Y708" i="35"/>
  <c r="M708" i="35"/>
  <c r="L708" i="35"/>
  <c r="B253" i="55"/>
  <c r="G248" i="35"/>
  <c r="W152" i="35"/>
  <c r="X152" i="35" s="1"/>
  <c r="B733" i="41"/>
  <c r="N152" i="35"/>
  <c r="L152" i="35"/>
  <c r="Y152" i="35"/>
  <c r="K152" i="35"/>
  <c r="M152" i="35"/>
  <c r="W816" i="35"/>
  <c r="X816" i="35" s="1"/>
  <c r="C1530" i="41"/>
  <c r="O816" i="35"/>
  <c r="N816" i="35"/>
  <c r="M816" i="35"/>
  <c r="Y816" i="35"/>
  <c r="L816" i="35"/>
  <c r="K816" i="35"/>
  <c r="B256" i="55"/>
  <c r="G251" i="35"/>
  <c r="Y783" i="35"/>
  <c r="K783" i="35"/>
  <c r="W783" i="35"/>
  <c r="M783" i="35"/>
  <c r="O783" i="35"/>
  <c r="C1452" i="41"/>
  <c r="L783" i="35"/>
  <c r="N783" i="35"/>
  <c r="G768" i="35"/>
  <c r="B773" i="55"/>
  <c r="B714" i="55"/>
  <c r="G709" i="35"/>
  <c r="W231" i="35"/>
  <c r="X231" i="35" s="1"/>
  <c r="N231" i="35"/>
  <c r="M231" i="35"/>
  <c r="Y231" i="35"/>
  <c r="K231" i="35"/>
  <c r="L231" i="35"/>
  <c r="P231" i="35"/>
  <c r="Q231" i="35"/>
  <c r="O231" i="35"/>
  <c r="B812" i="41"/>
  <c r="G314" i="35"/>
  <c r="B319" i="55"/>
  <c r="G842" i="35"/>
  <c r="B847" i="55"/>
  <c r="Y667" i="35"/>
  <c r="C1210" i="41"/>
  <c r="L667" i="35"/>
  <c r="K667" i="35"/>
  <c r="O667" i="35"/>
  <c r="N667" i="35"/>
  <c r="W667" i="35"/>
  <c r="M667" i="35"/>
  <c r="M823" i="35"/>
  <c r="O823" i="35"/>
  <c r="L823" i="35"/>
  <c r="B1550" i="41"/>
  <c r="B1551" i="41" s="1"/>
  <c r="B1552" i="41" s="1"/>
  <c r="W823" i="35"/>
  <c r="X823" i="35" s="1"/>
  <c r="B1555" i="41"/>
  <c r="B1554" i="41"/>
  <c r="K823" i="35"/>
  <c r="N823" i="35"/>
  <c r="B1553" i="41"/>
  <c r="Y823" i="35"/>
  <c r="L596" i="35"/>
  <c r="Y596" i="35"/>
  <c r="N596" i="35"/>
  <c r="M596" i="35"/>
  <c r="C1094" i="41"/>
  <c r="O596" i="35"/>
  <c r="K596" i="35"/>
  <c r="W596" i="35"/>
  <c r="L779" i="35"/>
  <c r="Y779" i="35"/>
  <c r="C1447" i="41"/>
  <c r="P779" i="35"/>
  <c r="K779" i="35"/>
  <c r="W779" i="35"/>
  <c r="M779" i="35"/>
  <c r="O779" i="35"/>
  <c r="N779" i="35"/>
  <c r="N773" i="35"/>
  <c r="W772" i="35"/>
  <c r="B1437" i="41"/>
  <c r="N774" i="35"/>
  <c r="O772" i="35"/>
  <c r="B1435" i="41"/>
  <c r="O773" i="35"/>
  <c r="O774" i="35"/>
  <c r="N772" i="35"/>
  <c r="B1436" i="41"/>
  <c r="K772" i="35"/>
  <c r="L772" i="35"/>
  <c r="Y772" i="35"/>
  <c r="M772" i="35"/>
  <c r="B1432" i="41"/>
  <c r="B1433" i="41" s="1"/>
  <c r="B1434" i="41" s="1"/>
  <c r="Y629" i="35"/>
  <c r="N630" i="35"/>
  <c r="L629" i="35"/>
  <c r="K629" i="35"/>
  <c r="W629" i="35"/>
  <c r="B1145" i="41"/>
  <c r="B1146" i="41" s="1"/>
  <c r="N629" i="35"/>
  <c r="B1149" i="41"/>
  <c r="B1147" i="41"/>
  <c r="M630" i="35"/>
  <c r="B1148" i="41"/>
  <c r="M629" i="35"/>
  <c r="B782" i="55"/>
  <c r="G777" i="35"/>
  <c r="B576" i="55"/>
  <c r="G571" i="35"/>
  <c r="G242" i="35"/>
  <c r="B247" i="55"/>
  <c r="M479" i="35"/>
  <c r="P479" i="35"/>
  <c r="W479" i="35"/>
  <c r="N479" i="35"/>
  <c r="K479" i="35"/>
  <c r="Y479" i="35"/>
  <c r="C357" i="41"/>
  <c r="D357" i="41" s="1"/>
  <c r="E357" i="41" s="1"/>
  <c r="O479" i="35"/>
  <c r="L479" i="35"/>
  <c r="Q479" i="35"/>
  <c r="M805" i="35"/>
  <c r="O805" i="35"/>
  <c r="N805" i="35"/>
  <c r="K805" i="35"/>
  <c r="W805" i="35"/>
  <c r="Y805" i="35"/>
  <c r="L805" i="35"/>
  <c r="P244" i="35"/>
  <c r="Q244" i="35"/>
  <c r="K244" i="35"/>
  <c r="W244" i="35"/>
  <c r="X244" i="35" s="1"/>
  <c r="M244" i="35"/>
  <c r="Y244" i="35"/>
  <c r="N244" i="35"/>
  <c r="B825" i="41"/>
  <c r="O244" i="35"/>
  <c r="L244" i="35"/>
  <c r="B157" i="55"/>
  <c r="G152" i="35"/>
  <c r="G598" i="35"/>
  <c r="B603" i="55"/>
  <c r="Q213" i="35"/>
  <c r="B794" i="41"/>
  <c r="P213" i="35"/>
  <c r="O213" i="35"/>
  <c r="K213" i="35"/>
  <c r="W213" i="35"/>
  <c r="L213" i="35"/>
  <c r="M213" i="35"/>
  <c r="N213" i="35"/>
  <c r="Y213" i="35"/>
  <c r="B882" i="41"/>
  <c r="L301" i="35"/>
  <c r="P301" i="35"/>
  <c r="K301" i="35"/>
  <c r="Y301" i="35"/>
  <c r="M301" i="35"/>
  <c r="O301" i="35"/>
  <c r="N301" i="35"/>
  <c r="Q301" i="35"/>
  <c r="W301" i="35"/>
  <c r="G851" i="35"/>
  <c r="B856" i="55"/>
  <c r="B381" i="55"/>
  <c r="G376" i="35"/>
  <c r="Y796" i="35"/>
  <c r="P796" i="35"/>
  <c r="N796" i="35"/>
  <c r="K796" i="35"/>
  <c r="W796" i="35"/>
  <c r="M796" i="35"/>
  <c r="O796" i="35"/>
  <c r="L796" i="35"/>
  <c r="C1487" i="41"/>
  <c r="O759" i="35"/>
  <c r="N759" i="35"/>
  <c r="L759" i="35"/>
  <c r="W759" i="35"/>
  <c r="M759" i="35"/>
  <c r="K759" i="35"/>
  <c r="Y759" i="35"/>
  <c r="C1401" i="41"/>
  <c r="G867" i="35"/>
  <c r="B872" i="55"/>
  <c r="O546" i="35"/>
  <c r="M546" i="35"/>
  <c r="C508" i="41"/>
  <c r="L546" i="35"/>
  <c r="P546" i="35"/>
  <c r="W546" i="35"/>
  <c r="K546" i="35"/>
  <c r="Y546" i="35"/>
  <c r="N546" i="35"/>
  <c r="M329" i="35"/>
  <c r="Q329" i="35"/>
  <c r="O329" i="35"/>
  <c r="L329" i="35"/>
  <c r="W329" i="35"/>
  <c r="X329" i="35" s="1"/>
  <c r="Y329" i="35"/>
  <c r="K329" i="35"/>
  <c r="P329" i="35"/>
  <c r="N329" i="35"/>
  <c r="B910" i="41"/>
  <c r="G622" i="35"/>
  <c r="B627" i="55"/>
  <c r="O656" i="35"/>
  <c r="Q656" i="35"/>
  <c r="K656" i="35"/>
  <c r="P656" i="35"/>
  <c r="C1188" i="41"/>
  <c r="W656" i="35"/>
  <c r="L656" i="35"/>
  <c r="M656" i="35"/>
  <c r="N656" i="35"/>
  <c r="Y656" i="35"/>
  <c r="G816" i="35"/>
  <c r="B821" i="55"/>
  <c r="K644" i="35"/>
  <c r="N644" i="35"/>
  <c r="L644" i="35"/>
  <c r="P644" i="35"/>
  <c r="W644" i="35"/>
  <c r="Y644" i="35"/>
  <c r="M644" i="35"/>
  <c r="O644" i="35"/>
  <c r="G620" i="35"/>
  <c r="B625" i="55"/>
  <c r="W149" i="35"/>
  <c r="X149" i="35" s="1"/>
  <c r="M149" i="35"/>
  <c r="B730" i="41"/>
  <c r="N149" i="35"/>
  <c r="Y149" i="35"/>
  <c r="L149" i="35"/>
  <c r="K149" i="35"/>
  <c r="W813" i="35"/>
  <c r="X813" i="35" s="1"/>
  <c r="C1526" i="41"/>
  <c r="N813" i="35"/>
  <c r="P813" i="35"/>
  <c r="M813" i="35"/>
  <c r="K813" i="35"/>
  <c r="O813" i="35"/>
  <c r="Y813" i="35"/>
  <c r="L813" i="35"/>
  <c r="B262" i="55"/>
  <c r="G257" i="35"/>
  <c r="K294" i="35"/>
  <c r="W294" i="35"/>
  <c r="X294" i="35" s="1"/>
  <c r="P294" i="35"/>
  <c r="M294" i="35"/>
  <c r="Q294" i="35"/>
  <c r="L294" i="35"/>
  <c r="O294" i="35"/>
  <c r="B875" i="41"/>
  <c r="N294" i="35"/>
  <c r="Y294" i="35"/>
  <c r="G159" i="35"/>
  <c r="B164" i="55"/>
  <c r="B852" i="55"/>
  <c r="G847" i="35"/>
  <c r="B751" i="55"/>
  <c r="G746" i="35"/>
  <c r="G236" i="35"/>
  <c r="B241" i="55"/>
  <c r="K5" i="35"/>
  <c r="W5" i="35"/>
  <c r="X5" i="35" s="1"/>
  <c r="Y5" i="35"/>
  <c r="L5" i="35"/>
  <c r="B372" i="55"/>
  <c r="G367" i="35"/>
  <c r="B646" i="55"/>
  <c r="G641" i="35"/>
  <c r="G825" i="35"/>
  <c r="B830" i="55"/>
  <c r="B193" i="55"/>
  <c r="G188" i="35"/>
  <c r="O849" i="35"/>
  <c r="Y849" i="35"/>
  <c r="K849" i="35"/>
  <c r="L849" i="35"/>
  <c r="C1607" i="41"/>
  <c r="N849" i="35"/>
  <c r="W849" i="35"/>
  <c r="M849" i="35"/>
  <c r="O767" i="35"/>
  <c r="B1417" i="41"/>
  <c r="B1416" i="41"/>
  <c r="L767" i="35"/>
  <c r="M767" i="35"/>
  <c r="K767" i="35"/>
  <c r="B1414" i="41"/>
  <c r="B1415" i="41"/>
  <c r="N767" i="35"/>
  <c r="Y767" i="35"/>
  <c r="W767" i="35"/>
  <c r="M261" i="35"/>
  <c r="B842" i="41"/>
  <c r="K261" i="35"/>
  <c r="P261" i="35"/>
  <c r="Y261" i="35"/>
  <c r="N261" i="35"/>
  <c r="L261" i="35"/>
  <c r="Q261" i="35"/>
  <c r="W261" i="35"/>
  <c r="O261" i="35"/>
  <c r="L684" i="35"/>
  <c r="Q684" i="35"/>
  <c r="K684" i="35"/>
  <c r="W684" i="35"/>
  <c r="N684" i="35"/>
  <c r="O684" i="35"/>
  <c r="C1233" i="41"/>
  <c r="M684" i="35"/>
  <c r="Y684" i="35"/>
  <c r="P684" i="35"/>
  <c r="B730" i="55"/>
  <c r="G725" i="35"/>
  <c r="W825" i="35"/>
  <c r="N825" i="35"/>
  <c r="L825" i="35"/>
  <c r="K825" i="35"/>
  <c r="Y825" i="35"/>
  <c r="P825" i="35"/>
  <c r="O825" i="35"/>
  <c r="M825" i="35"/>
  <c r="N868" i="35"/>
  <c r="L868" i="35"/>
  <c r="C1648" i="41"/>
  <c r="K868" i="35"/>
  <c r="O868" i="35"/>
  <c r="W868" i="35"/>
  <c r="Y868" i="35"/>
  <c r="M868" i="35"/>
  <c r="M696" i="35"/>
  <c r="Y696" i="35"/>
  <c r="K696" i="35"/>
  <c r="O696" i="35"/>
  <c r="C1257" i="41"/>
  <c r="L696" i="35"/>
  <c r="W696" i="35"/>
  <c r="N696" i="35"/>
  <c r="G216" i="35"/>
  <c r="B221" i="55"/>
  <c r="B226" i="55"/>
  <c r="G221" i="35"/>
  <c r="K253" i="35"/>
  <c r="B834" i="41"/>
  <c r="L253" i="35"/>
  <c r="N253" i="35"/>
  <c r="Y253" i="35"/>
  <c r="W253" i="35"/>
  <c r="P253" i="35"/>
  <c r="M253" i="35"/>
  <c r="Q253" i="35"/>
  <c r="O253" i="35"/>
  <c r="G276" i="35"/>
  <c r="B281" i="55"/>
  <c r="B158" i="55"/>
  <c r="G153" i="35"/>
  <c r="G652" i="35"/>
  <c r="B657" i="55"/>
  <c r="Q207" i="35"/>
  <c r="M207" i="35"/>
  <c r="B788" i="41"/>
  <c r="P207" i="35"/>
  <c r="N207" i="35"/>
  <c r="Y207" i="35"/>
  <c r="L207" i="35"/>
  <c r="W207" i="35"/>
  <c r="K207" i="35"/>
  <c r="O207" i="35"/>
  <c r="B243" i="55"/>
  <c r="G238" i="35"/>
  <c r="O364" i="35"/>
  <c r="B945" i="41"/>
  <c r="Y364" i="35"/>
  <c r="K364" i="35"/>
  <c r="M364" i="35"/>
  <c r="N364" i="35"/>
  <c r="Q364" i="35"/>
  <c r="W364" i="35"/>
  <c r="P364" i="35"/>
  <c r="L364" i="35"/>
  <c r="W636" i="35"/>
  <c r="K636" i="35"/>
  <c r="B1162" i="41"/>
  <c r="M636" i="35"/>
  <c r="B1160" i="41"/>
  <c r="O636" i="35"/>
  <c r="N636" i="35"/>
  <c r="B1158" i="41"/>
  <c r="B1159" i="41" s="1"/>
  <c r="B1161" i="41"/>
  <c r="L636" i="35"/>
  <c r="Y636" i="35"/>
  <c r="B238" i="55"/>
  <c r="G233" i="35"/>
  <c r="W4" i="35"/>
  <c r="L4" i="35"/>
  <c r="Y4" i="35"/>
  <c r="B9" i="41"/>
  <c r="K4" i="35"/>
  <c r="G742" i="35"/>
  <c r="B747" i="55"/>
  <c r="O568" i="35"/>
  <c r="W568" i="35"/>
  <c r="K568" i="35"/>
  <c r="M568" i="35"/>
  <c r="C1049" i="41"/>
  <c r="Y568" i="35"/>
  <c r="L568" i="35"/>
  <c r="N568" i="35"/>
  <c r="G196" i="35"/>
  <c r="B201" i="55"/>
  <c r="G5" i="35"/>
  <c r="B10" i="55"/>
  <c r="G642" i="35"/>
  <c r="B647" i="55"/>
  <c r="W28" i="35"/>
  <c r="X28" i="35" s="1"/>
  <c r="L28" i="35"/>
  <c r="K28" i="35"/>
  <c r="B64" i="41"/>
  <c r="B61" i="41"/>
  <c r="B62" i="41"/>
  <c r="Y28" i="35"/>
  <c r="B63" i="41"/>
  <c r="M861" i="35"/>
  <c r="Y861" i="35"/>
  <c r="C1636" i="41"/>
  <c r="W861" i="35"/>
  <c r="O861" i="35"/>
  <c r="L861" i="35"/>
  <c r="K861" i="35"/>
  <c r="G172" i="35"/>
  <c r="B177" i="55"/>
  <c r="B147" i="55"/>
  <c r="G142" i="35"/>
  <c r="G144" i="35"/>
  <c r="B149" i="55"/>
  <c r="B772" i="41"/>
  <c r="W191" i="35"/>
  <c r="P191" i="35"/>
  <c r="N191" i="35"/>
  <c r="L191" i="35"/>
  <c r="Y191" i="35"/>
  <c r="K191" i="35"/>
  <c r="O191" i="35"/>
  <c r="M191" i="35"/>
  <c r="Q191" i="35"/>
  <c r="G705" i="35"/>
  <c r="B710" i="55"/>
  <c r="B683" i="55"/>
  <c r="G678" i="35"/>
  <c r="B1430" i="41"/>
  <c r="K771" i="35"/>
  <c r="M771" i="35"/>
  <c r="B1428" i="41"/>
  <c r="Y771" i="35"/>
  <c r="B1429" i="41"/>
  <c r="N771" i="35"/>
  <c r="B1427" i="41"/>
  <c r="L771" i="35"/>
  <c r="W771" i="35"/>
  <c r="W196" i="35"/>
  <c r="X196" i="35" s="1"/>
  <c r="B777" i="41"/>
  <c r="N196" i="35"/>
  <c r="K196" i="35"/>
  <c r="P196" i="35"/>
  <c r="M196" i="35"/>
  <c r="O196" i="35"/>
  <c r="Q196" i="35"/>
  <c r="Y196" i="35"/>
  <c r="L196" i="35"/>
  <c r="B383" i="55"/>
  <c r="G378" i="35"/>
  <c r="B310" i="55"/>
  <c r="G305" i="35"/>
  <c r="G261" i="35"/>
  <c r="B266" i="55"/>
  <c r="G171" i="35"/>
  <c r="B176" i="55"/>
  <c r="G818" i="35"/>
  <c r="B823" i="55"/>
  <c r="B698" i="55"/>
  <c r="G693" i="35"/>
  <c r="B815" i="55"/>
  <c r="G810" i="35"/>
  <c r="L851" i="35"/>
  <c r="W851" i="35"/>
  <c r="N851" i="35"/>
  <c r="C1609" i="41"/>
  <c r="K851" i="35"/>
  <c r="Y851" i="35"/>
  <c r="O851" i="35"/>
  <c r="M851" i="35"/>
  <c r="N859" i="35"/>
  <c r="Y859" i="35"/>
  <c r="K859" i="35"/>
  <c r="O859" i="35"/>
  <c r="W859" i="35"/>
  <c r="P859" i="35"/>
  <c r="L859" i="35"/>
  <c r="M859" i="35"/>
  <c r="B670" i="55"/>
  <c r="G665" i="35"/>
  <c r="Q256" i="35"/>
  <c r="W256" i="35"/>
  <c r="B837" i="41"/>
  <c r="L256" i="35"/>
  <c r="M256" i="35"/>
  <c r="K256" i="35"/>
  <c r="O256" i="35"/>
  <c r="P256" i="35"/>
  <c r="Y256" i="35"/>
  <c r="N256" i="35"/>
  <c r="B743" i="55"/>
  <c r="G738" i="35"/>
  <c r="G33" i="30"/>
  <c r="G25" i="30"/>
  <c r="G31" i="30"/>
  <c r="G32" i="30"/>
  <c r="G26" i="30"/>
  <c r="C1635" i="41"/>
  <c r="M860" i="35"/>
  <c r="L860" i="35"/>
  <c r="N860" i="35"/>
  <c r="K860" i="35"/>
  <c r="W860" i="35"/>
  <c r="Y860" i="35"/>
  <c r="L353" i="35"/>
  <c r="K353" i="35"/>
  <c r="B934" i="41"/>
  <c r="W353" i="35"/>
  <c r="X353" i="35" s="1"/>
  <c r="Q353" i="35"/>
  <c r="M353" i="35"/>
  <c r="Y353" i="35"/>
  <c r="N353" i="35"/>
  <c r="O353" i="35"/>
  <c r="P353" i="35"/>
  <c r="Y336" i="35"/>
  <c r="Q336" i="35"/>
  <c r="L336" i="35"/>
  <c r="M336" i="35"/>
  <c r="P336" i="35"/>
  <c r="O336" i="35"/>
  <c r="B917" i="41"/>
  <c r="N336" i="35"/>
  <c r="W336" i="35"/>
  <c r="X336" i="35" s="1"/>
  <c r="K336" i="35"/>
  <c r="O211" i="35"/>
  <c r="L211" i="35"/>
  <c r="B792" i="41"/>
  <c r="Y211" i="35"/>
  <c r="W211" i="35"/>
  <c r="N211" i="35"/>
  <c r="K211" i="35"/>
  <c r="M211" i="35"/>
  <c r="P211" i="35"/>
  <c r="Q211" i="35"/>
  <c r="Y216" i="35"/>
  <c r="W216" i="35"/>
  <c r="N216" i="35"/>
  <c r="L216" i="35"/>
  <c r="M216" i="35"/>
  <c r="K216" i="35"/>
  <c r="Q216" i="35"/>
  <c r="O216" i="35"/>
  <c r="B797" i="41"/>
  <c r="P216" i="35"/>
  <c r="W304" i="35"/>
  <c r="N304" i="35"/>
  <c r="M304" i="35"/>
  <c r="P304" i="35"/>
  <c r="L304" i="35"/>
  <c r="K304" i="35"/>
  <c r="B885" i="41"/>
  <c r="Q304" i="35"/>
  <c r="Y304" i="35"/>
  <c r="O304" i="35"/>
  <c r="W781" i="35"/>
  <c r="X781" i="35" s="1"/>
  <c r="K781" i="35"/>
  <c r="O781" i="35"/>
  <c r="Y781" i="35"/>
  <c r="C1450" i="41"/>
  <c r="L781" i="35"/>
  <c r="M781" i="35"/>
  <c r="N781" i="35"/>
  <c r="W560" i="35"/>
  <c r="X560" i="35" s="1"/>
  <c r="F535" i="41"/>
  <c r="H535" i="41"/>
  <c r="L560" i="35"/>
  <c r="H536" i="41"/>
  <c r="E536" i="41"/>
  <c r="F536" i="41"/>
  <c r="Y560" i="35"/>
  <c r="G536" i="41"/>
  <c r="K560" i="35"/>
  <c r="G535" i="41"/>
  <c r="E535" i="41"/>
  <c r="B368" i="55"/>
  <c r="G363" i="35"/>
  <c r="G619" i="35"/>
  <c r="B624" i="55"/>
  <c r="G297" i="35"/>
  <c r="B302" i="55"/>
  <c r="W671" i="35"/>
  <c r="X671" i="35" s="1"/>
  <c r="L671" i="35"/>
  <c r="M671" i="35"/>
  <c r="N671" i="35"/>
  <c r="K671" i="35"/>
  <c r="Y671" i="35"/>
  <c r="O671" i="35"/>
  <c r="B1215" i="41"/>
  <c r="B1216" i="41"/>
  <c r="B1214" i="41"/>
  <c r="B1217" i="41"/>
  <c r="P593" i="35"/>
  <c r="M593" i="35"/>
  <c r="W593" i="35"/>
  <c r="K593" i="35"/>
  <c r="O593" i="35"/>
  <c r="C1091" i="41"/>
  <c r="Y593" i="35"/>
  <c r="N593" i="35"/>
  <c r="L593" i="35"/>
  <c r="B39" i="55"/>
  <c r="G34" i="35"/>
  <c r="N215" i="35"/>
  <c r="B796" i="41"/>
  <c r="K215" i="35"/>
  <c r="W215" i="35"/>
  <c r="Y215" i="35"/>
  <c r="L215" i="35"/>
  <c r="O215" i="35"/>
  <c r="M215" i="35"/>
  <c r="P215" i="35"/>
  <c r="Q215" i="35"/>
  <c r="K199" i="35"/>
  <c r="P199" i="35"/>
  <c r="O199" i="35"/>
  <c r="Q199" i="35"/>
  <c r="B780" i="41"/>
  <c r="W199" i="35"/>
  <c r="Y199" i="35"/>
  <c r="M199" i="35"/>
  <c r="N199" i="35"/>
  <c r="L199" i="35"/>
  <c r="G177" i="35"/>
  <c r="B182" i="55"/>
  <c r="W375" i="35"/>
  <c r="Y375" i="35"/>
  <c r="M375" i="35"/>
  <c r="O375" i="35"/>
  <c r="K375" i="35"/>
  <c r="L375" i="35"/>
  <c r="C957" i="41"/>
  <c r="N375" i="35"/>
  <c r="G860" i="35"/>
  <c r="B865" i="55"/>
  <c r="G292" i="35"/>
  <c r="B297" i="55"/>
  <c r="N710" i="35"/>
  <c r="L710" i="35"/>
  <c r="K710" i="35"/>
  <c r="P710" i="35"/>
  <c r="M710" i="35"/>
  <c r="O710" i="35"/>
  <c r="Y710" i="35"/>
  <c r="W710" i="35"/>
  <c r="G366" i="35"/>
  <c r="B371" i="55"/>
  <c r="B816" i="55"/>
  <c r="G811" i="35"/>
  <c r="G1715" i="41"/>
  <c r="H1752" i="41"/>
  <c r="E1791" i="41"/>
  <c r="E1694" i="41"/>
  <c r="F1788" i="41"/>
  <c r="G1684" i="41"/>
  <c r="G1732" i="41"/>
  <c r="E1751" i="41"/>
  <c r="F1866" i="41"/>
  <c r="F1780" i="41"/>
  <c r="H1846" i="41"/>
  <c r="H1765" i="41"/>
  <c r="H1720" i="41"/>
  <c r="H1730" i="41"/>
  <c r="F1719" i="41"/>
  <c r="E1888" i="41"/>
  <c r="F1833" i="41"/>
  <c r="E1831" i="41"/>
  <c r="H1892" i="41"/>
  <c r="F1705" i="41"/>
  <c r="H1769" i="41"/>
  <c r="H1754" i="41"/>
  <c r="F1747" i="41"/>
  <c r="E1907" i="41"/>
  <c r="E1712" i="41"/>
  <c r="G1791" i="41"/>
  <c r="G1841" i="41"/>
  <c r="F1894" i="41"/>
  <c r="F1714" i="41"/>
  <c r="H1735" i="41"/>
  <c r="F1791" i="41"/>
  <c r="E1720" i="41"/>
  <c r="F1826" i="41"/>
  <c r="H1874" i="41"/>
  <c r="H1731" i="41"/>
  <c r="E1889" i="41"/>
  <c r="G1694" i="41"/>
  <c r="F1711" i="41"/>
  <c r="G1730" i="41"/>
  <c r="H1833" i="41"/>
  <c r="E1882" i="41"/>
  <c r="G1766" i="41"/>
  <c r="H1742" i="41"/>
  <c r="H1729" i="41"/>
  <c r="E1850" i="41"/>
  <c r="H1687" i="41"/>
  <c r="F1735" i="41"/>
  <c r="F1845" i="41"/>
  <c r="G1879" i="41"/>
  <c r="F1695" i="41"/>
  <c r="F1796" i="41"/>
  <c r="E1747" i="41"/>
  <c r="H1887" i="41"/>
  <c r="H1755" i="41"/>
  <c r="H1666" i="41"/>
  <c r="H1743" i="41"/>
  <c r="G1685" i="41"/>
  <c r="G1852" i="41"/>
  <c r="F1889" i="41"/>
  <c r="F1854" i="41"/>
  <c r="G1902" i="41"/>
  <c r="G1746" i="41"/>
  <c r="F1843" i="41"/>
  <c r="F1697" i="41"/>
  <c r="F1759" i="41"/>
  <c r="F1775" i="41"/>
  <c r="E1709" i="41"/>
  <c r="G1706" i="41"/>
  <c r="H1899" i="41"/>
  <c r="E1898" i="41"/>
  <c r="E1826" i="41"/>
  <c r="H1714" i="41"/>
  <c r="E1704" i="41"/>
  <c r="G1775" i="41"/>
  <c r="H1783" i="41"/>
  <c r="H1721" i="41"/>
  <c r="F1864" i="41"/>
  <c r="E1744" i="41"/>
  <c r="F1841" i="41"/>
  <c r="F1895" i="41"/>
  <c r="H1767" i="41"/>
  <c r="E1829" i="41"/>
  <c r="E1763" i="41"/>
  <c r="G1880" i="41"/>
  <c r="H1904" i="41"/>
  <c r="H1894" i="41"/>
  <c r="F1710" i="41"/>
  <c r="G1762" i="41"/>
  <c r="F1782" i="41"/>
  <c r="G1886" i="41"/>
  <c r="F1860" i="41"/>
  <c r="G1729" i="41"/>
  <c r="G1787" i="41"/>
  <c r="H1863" i="41"/>
  <c r="F1792" i="41"/>
  <c r="G1697" i="41"/>
  <c r="H1871" i="41"/>
  <c r="G1850" i="41"/>
  <c r="E1825" i="41"/>
  <c r="F1755" i="41"/>
  <c r="H1784" i="41"/>
  <c r="G1754" i="41"/>
  <c r="G1777" i="41"/>
  <c r="H1689" i="41"/>
  <c r="E1779" i="41"/>
  <c r="E1858" i="41"/>
  <c r="H1698" i="41"/>
  <c r="H1745" i="41"/>
  <c r="E1706" i="41"/>
  <c r="G1710" i="41"/>
  <c r="F1769" i="41"/>
  <c r="F1783" i="41"/>
  <c r="H1768" i="41"/>
  <c r="F1881" i="41"/>
  <c r="E1836" i="41"/>
  <c r="E1753" i="41"/>
  <c r="F1837" i="41"/>
  <c r="E1846" i="41"/>
  <c r="F1904" i="41"/>
  <c r="F1830" i="41"/>
  <c r="G1731" i="41"/>
  <c r="E1726" i="41"/>
  <c r="E1702" i="41"/>
  <c r="E1824" i="41"/>
  <c r="F1855" i="41"/>
  <c r="E1748" i="41"/>
  <c r="E1686" i="41"/>
  <c r="F1689" i="41"/>
  <c r="H1883" i="41"/>
  <c r="H1835" i="41"/>
  <c r="G1853" i="41"/>
  <c r="F1720" i="41"/>
  <c r="H1700" i="41"/>
  <c r="F1717" i="41"/>
  <c r="F1787" i="41"/>
  <c r="E1792" i="41"/>
  <c r="F1701" i="41"/>
  <c r="F1801" i="41"/>
  <c r="G1897" i="41"/>
  <c r="E1754" i="41"/>
  <c r="G1798" i="41"/>
  <c r="H1744" i="41"/>
  <c r="G1855" i="41"/>
  <c r="F1752" i="41"/>
  <c r="F1799" i="41"/>
  <c r="H1782" i="41"/>
  <c r="H1692" i="41"/>
  <c r="G1860" i="41"/>
  <c r="G1839" i="41"/>
  <c r="F1856" i="41"/>
  <c r="F1828" i="41"/>
  <c r="H1688" i="41"/>
  <c r="G1835" i="41"/>
  <c r="F1862" i="41"/>
  <c r="H1826" i="41"/>
  <c r="G1695" i="41"/>
  <c r="H1775" i="41"/>
  <c r="F1847" i="41"/>
  <c r="F1831" i="41"/>
  <c r="G1832" i="41"/>
  <c r="G1691" i="41"/>
  <c r="G1887" i="41"/>
  <c r="E1879" i="41"/>
  <c r="F1863" i="41"/>
  <c r="G1802" i="41"/>
  <c r="G1828" i="41"/>
  <c r="G1785" i="41"/>
  <c r="E1715" i="41"/>
  <c r="H1880" i="41"/>
  <c r="F1737" i="41"/>
  <c r="Y872" i="35"/>
  <c r="H1834" i="41"/>
  <c r="F1724" i="41"/>
  <c r="F1692" i="41"/>
  <c r="E1760" i="41"/>
  <c r="F1793" i="41"/>
  <c r="F1702" i="41"/>
  <c r="G1708" i="41"/>
  <c r="E1745" i="41"/>
  <c r="H1888" i="41"/>
  <c r="F1772" i="41"/>
  <c r="H1746" i="41"/>
  <c r="G1840" i="41"/>
  <c r="F276" i="41"/>
  <c r="H1840" i="41"/>
  <c r="E1796" i="41"/>
  <c r="H1757" i="41"/>
  <c r="H1759" i="41"/>
  <c r="G1764" i="41"/>
  <c r="F1742" i="41"/>
  <c r="G1683" i="41"/>
  <c r="F1878" i="41"/>
  <c r="G1854" i="41"/>
  <c r="G1896" i="41"/>
  <c r="E1874" i="41"/>
  <c r="H1845" i="41"/>
  <c r="G1906" i="41"/>
  <c r="E1797" i="41"/>
  <c r="H1789" i="41"/>
  <c r="H1760" i="41"/>
  <c r="H1855" i="41"/>
  <c r="H1895" i="41"/>
  <c r="F1838" i="41"/>
  <c r="H1722" i="41"/>
  <c r="E1878" i="41"/>
  <c r="H1866" i="41"/>
  <c r="H1732" i="41"/>
  <c r="E1893" i="41"/>
  <c r="H1869" i="41"/>
  <c r="E1689" i="41"/>
  <c r="E1659" i="41"/>
  <c r="F1797" i="41"/>
  <c r="E1725" i="41"/>
  <c r="G1799" i="41"/>
  <c r="F1731" i="41"/>
  <c r="G1699" i="41"/>
  <c r="F1853" i="41"/>
  <c r="G1689" i="41"/>
  <c r="H1907" i="41"/>
  <c r="E1703" i="41"/>
  <c r="H1797" i="41"/>
  <c r="H1699" i="41"/>
  <c r="E1721" i="41"/>
  <c r="F1901" i="41"/>
  <c r="F1660" i="41"/>
  <c r="G1873" i="41"/>
  <c r="H1786" i="41"/>
  <c r="F1765" i="41"/>
  <c r="F1876" i="41"/>
  <c r="G1745" i="41"/>
  <c r="E1832" i="41"/>
  <c r="H1684" i="41"/>
  <c r="E1733" i="41"/>
  <c r="E1789" i="41"/>
  <c r="G1687" i="41"/>
  <c r="H1851" i="41"/>
  <c r="E1880" i="41"/>
  <c r="G1834" i="41"/>
  <c r="E1736" i="41"/>
  <c r="F1771" i="41"/>
  <c r="E1713" i="41"/>
  <c r="E1722" i="41"/>
  <c r="H1828" i="41"/>
  <c r="F1706" i="41"/>
  <c r="F1730" i="41"/>
  <c r="H1860" i="41"/>
  <c r="G1882" i="41"/>
  <c r="E1690" i="41"/>
  <c r="G1836" i="41"/>
  <c r="H1832" i="41"/>
  <c r="F1842" i="41"/>
  <c r="H1800" i="41"/>
  <c r="F1893" i="41"/>
  <c r="F1907" i="41"/>
  <c r="H1875" i="41"/>
  <c r="H1848" i="41"/>
  <c r="F1707" i="41"/>
  <c r="H1881" i="41"/>
  <c r="E1835" i="41"/>
  <c r="E1794" i="41"/>
  <c r="H1685" i="41"/>
  <c r="H276" i="41"/>
  <c r="H1793" i="41"/>
  <c r="H1868" i="41"/>
  <c r="F1800" i="41"/>
  <c r="F1868" i="41"/>
  <c r="H1691" i="41"/>
  <c r="H1802" i="41"/>
  <c r="F1849" i="41"/>
  <c r="E1666" i="41"/>
  <c r="G1875" i="41"/>
  <c r="G1858" i="41"/>
  <c r="H1857" i="41"/>
  <c r="G1871" i="41"/>
  <c r="F1802" i="41"/>
  <c r="E1693" i="41"/>
  <c r="G1698" i="41"/>
  <c r="F1736" i="41"/>
  <c r="E1687" i="41"/>
  <c r="F1906" i="41"/>
  <c r="H1716" i="41"/>
  <c r="G1720" i="41"/>
  <c r="G1786" i="41"/>
  <c r="F1825" i="41"/>
  <c r="E1742" i="41"/>
  <c r="F1721" i="41"/>
  <c r="H1711" i="41"/>
  <c r="E1729" i="41"/>
  <c r="E1685" i="41"/>
  <c r="G1763" i="41"/>
  <c r="G1781" i="41"/>
  <c r="E1837" i="41"/>
  <c r="E1683" i="41"/>
  <c r="F1685" i="41"/>
  <c r="H1890" i="41"/>
  <c r="E1905" i="41"/>
  <c r="E1718" i="41"/>
  <c r="F1760" i="41"/>
  <c r="H1830" i="41"/>
  <c r="F1716" i="41"/>
  <c r="E1728" i="41"/>
  <c r="E1660" i="41"/>
  <c r="F1827" i="41"/>
  <c r="H1737" i="41"/>
  <c r="H1734" i="41"/>
  <c r="G1723" i="41"/>
  <c r="F1880" i="41"/>
  <c r="H1795" i="41"/>
  <c r="G1735" i="41"/>
  <c r="G1890" i="41"/>
  <c r="G1883" i="41"/>
  <c r="E1738" i="41"/>
  <c r="G1844" i="41"/>
  <c r="H1690" i="41"/>
  <c r="E1710" i="41"/>
  <c r="G1797" i="41"/>
  <c r="F1764" i="41"/>
  <c r="G1788" i="41"/>
  <c r="F1744" i="41"/>
  <c r="H1723" i="41"/>
  <c r="F1888" i="41"/>
  <c r="H1763" i="41"/>
  <c r="H1885" i="41"/>
  <c r="F1829" i="41"/>
  <c r="H1779" i="41"/>
  <c r="G1758" i="41"/>
  <c r="G1714" i="41"/>
  <c r="G1863" i="41"/>
  <c r="F1750" i="41"/>
  <c r="H1884" i="41"/>
  <c r="E1801" i="41"/>
  <c r="F1865" i="41"/>
  <c r="H1901" i="41"/>
  <c r="H1856" i="41"/>
  <c r="E1852" i="41"/>
  <c r="E1699" i="41"/>
  <c r="F1897" i="41"/>
  <c r="H1776" i="41"/>
  <c r="E1731" i="41"/>
  <c r="L872" i="35"/>
  <c r="G1877" i="41"/>
  <c r="H1736" i="41"/>
  <c r="F1738" i="41"/>
  <c r="G1885" i="41"/>
  <c r="G1768" i="41"/>
  <c r="F1832" i="41"/>
  <c r="H1842" i="41"/>
  <c r="F1739" i="41"/>
  <c r="E1793" i="41"/>
  <c r="G1857" i="41"/>
  <c r="E1771" i="41"/>
  <c r="F1770" i="41"/>
  <c r="E1885" i="41"/>
  <c r="H1843" i="41"/>
  <c r="F1729" i="41"/>
  <c r="H1778" i="41"/>
  <c r="G1718" i="41"/>
  <c r="H1739" i="41"/>
  <c r="H1683" i="41"/>
  <c r="F1659" i="41"/>
  <c r="F1768" i="41"/>
  <c r="F1749" i="41"/>
  <c r="G1743" i="41"/>
  <c r="H1838" i="41"/>
  <c r="H1708" i="41"/>
  <c r="G1778" i="41"/>
  <c r="H1706" i="41"/>
  <c r="H1659" i="41"/>
  <c r="G1765" i="41"/>
  <c r="F1795" i="41"/>
  <c r="G1878" i="41"/>
  <c r="E1773" i="41"/>
  <c r="G1736" i="41"/>
  <c r="H1766" i="41"/>
  <c r="G1895" i="41"/>
  <c r="F1743" i="41"/>
  <c r="G1894" i="41"/>
  <c r="F1798" i="41"/>
  <c r="F1708" i="41"/>
  <c r="G1905" i="41"/>
  <c r="H1695" i="41"/>
  <c r="E1863" i="41"/>
  <c r="G1744" i="41"/>
  <c r="H1788" i="41"/>
  <c r="H1850" i="41"/>
  <c r="E1743" i="41"/>
  <c r="E1781" i="41"/>
  <c r="F1728" i="41"/>
  <c r="E1783" i="41"/>
  <c r="H1831" i="41"/>
  <c r="H1844" i="41"/>
  <c r="H1852" i="41"/>
  <c r="G1899" i="41"/>
  <c r="E1782" i="41"/>
  <c r="H1853" i="41"/>
  <c r="E1755" i="41"/>
  <c r="G1893" i="41"/>
  <c r="H1898" i="41"/>
  <c r="G1760" i="41"/>
  <c r="F1722" i="41"/>
  <c r="E1802" i="41"/>
  <c r="H1781" i="41"/>
  <c r="F1774" i="41"/>
  <c r="E1840" i="41"/>
  <c r="G1859" i="41"/>
  <c r="E1752" i="41"/>
  <c r="F1777" i="41"/>
  <c r="E1776" i="41"/>
  <c r="E1735" i="41"/>
  <c r="G1870" i="41"/>
  <c r="F1839" i="41"/>
  <c r="G1755" i="41"/>
  <c r="F1766" i="41"/>
  <c r="G1827" i="41"/>
  <c r="H1896" i="41"/>
  <c r="E1799" i="41"/>
  <c r="F1757" i="41"/>
  <c r="F1779" i="41"/>
  <c r="H1693" i="41"/>
  <c r="H1740" i="41"/>
  <c r="F1886" i="41"/>
  <c r="G1867" i="41"/>
  <c r="G1904" i="41"/>
  <c r="G1862" i="41"/>
  <c r="H1718" i="41"/>
  <c r="F1756" i="41"/>
  <c r="E1732" i="41"/>
  <c r="E1780" i="41"/>
  <c r="E1904" i="41"/>
  <c r="F1858" i="41"/>
  <c r="H1697" i="41"/>
  <c r="G1900" i="41"/>
  <c r="F1903" i="41"/>
  <c r="G1686" i="41"/>
  <c r="E1855" i="41"/>
  <c r="F1684" i="41"/>
  <c r="F1846" i="41"/>
  <c r="E1727" i="41"/>
  <c r="E1854" i="41"/>
  <c r="E1739" i="41"/>
  <c r="E1873" i="41"/>
  <c r="H1870" i="41"/>
  <c r="F1754" i="41"/>
  <c r="G1876" i="41"/>
  <c r="H1790" i="41"/>
  <c r="H1753" i="41"/>
  <c r="G1719" i="41"/>
  <c r="E1857" i="41"/>
  <c r="G1722" i="41"/>
  <c r="H1709" i="41"/>
  <c r="E1895" i="41"/>
  <c r="F1698" i="41"/>
  <c r="F1786" i="41"/>
  <c r="H1707" i="41"/>
  <c r="E1758" i="41"/>
  <c r="E1903" i="41"/>
  <c r="E1697" i="41"/>
  <c r="F1885" i="41"/>
  <c r="E1756" i="41"/>
  <c r="H1862" i="41"/>
  <c r="G1666" i="41"/>
  <c r="H1864" i="41"/>
  <c r="F1781" i="41"/>
  <c r="E1894" i="41"/>
  <c r="G1776" i="41"/>
  <c r="F1873" i="41"/>
  <c r="H1906" i="41"/>
  <c r="F1709" i="41"/>
  <c r="E1876" i="41"/>
  <c r="E1701" i="41"/>
  <c r="G1865" i="41"/>
  <c r="H1787" i="41"/>
  <c r="E1786" i="41"/>
  <c r="E1900" i="41"/>
  <c r="E1844" i="41"/>
  <c r="H1841" i="41"/>
  <c r="W872" i="35"/>
  <c r="G1796" i="41"/>
  <c r="E1839" i="41"/>
  <c r="H1825" i="41"/>
  <c r="E1881" i="41"/>
  <c r="E1769" i="41"/>
  <c r="G1759" i="41"/>
  <c r="E1730" i="41"/>
  <c r="G1756" i="41"/>
  <c r="F1758" i="41"/>
  <c r="G1761" i="41"/>
  <c r="E1798" i="41"/>
  <c r="H1660" i="41"/>
  <c r="E1688" i="41"/>
  <c r="E1700" i="41"/>
  <c r="H1905" i="41"/>
  <c r="F1872" i="41"/>
  <c r="G1838" i="41"/>
  <c r="G1741" i="41"/>
  <c r="G1659" i="41"/>
  <c r="G1847" i="41"/>
  <c r="H1867" i="41"/>
  <c r="E1716" i="41"/>
  <c r="G1892" i="41"/>
  <c r="G1737" i="41"/>
  <c r="H1764" i="41"/>
  <c r="G1742" i="41"/>
  <c r="G1889" i="41"/>
  <c r="E1707" i="41"/>
  <c r="F1726" i="41"/>
  <c r="H1791" i="41"/>
  <c r="H1886" i="41"/>
  <c r="E1849" i="41"/>
  <c r="E1800" i="41"/>
  <c r="H1738" i="41"/>
  <c r="F1688" i="41"/>
  <c r="E1866" i="41"/>
  <c r="E1869" i="41"/>
  <c r="E1891" i="41"/>
  <c r="H1741" i="41"/>
  <c r="G1717" i="41"/>
  <c r="G1757" i="41"/>
  <c r="G1767" i="41"/>
  <c r="G1898" i="41"/>
  <c r="E1765" i="41"/>
  <c r="E1886" i="41"/>
  <c r="G1738" i="41"/>
  <c r="E1833" i="41"/>
  <c r="F1712" i="41"/>
  <c r="F1773" i="41"/>
  <c r="G1707" i="41"/>
  <c r="F1732" i="41"/>
  <c r="F1746" i="41"/>
  <c r="E1785" i="41"/>
  <c r="H1794" i="41"/>
  <c r="G1752" i="41"/>
  <c r="F1687" i="41"/>
  <c r="F1700" i="41"/>
  <c r="F1834" i="41"/>
  <c r="F1723" i="41"/>
  <c r="F1693" i="41"/>
  <c r="E1897" i="41"/>
  <c r="F1859" i="41"/>
  <c r="F1900" i="41"/>
  <c r="E1790" i="41"/>
  <c r="G1801" i="41"/>
  <c r="F1875" i="41"/>
  <c r="E1737" i="41"/>
  <c r="G1864" i="41"/>
  <c r="E1708" i="41"/>
  <c r="H1837" i="41"/>
  <c r="H1902" i="41"/>
  <c r="E1749" i="41"/>
  <c r="G1830" i="41"/>
  <c r="F1784" i="41"/>
  <c r="G1846" i="41"/>
  <c r="E1717" i="41"/>
  <c r="F1790" i="41"/>
  <c r="G1795" i="41"/>
  <c r="F1699" i="41"/>
  <c r="G276" i="41"/>
  <c r="F1704" i="41"/>
  <c r="E1734" i="41"/>
  <c r="H1796" i="41"/>
  <c r="F1767" i="41"/>
  <c r="E1772" i="41"/>
  <c r="G1903" i="41"/>
  <c r="E1711" i="41"/>
  <c r="G1793" i="41"/>
  <c r="K872" i="35"/>
  <c r="E1719" i="41"/>
  <c r="G1866" i="41"/>
  <c r="H1758" i="41"/>
  <c r="F1740" i="41"/>
  <c r="E1848" i="41"/>
  <c r="F1896" i="41"/>
  <c r="E1795" i="41"/>
  <c r="G1660" i="41"/>
  <c r="G1794" i="41"/>
  <c r="F1884" i="41"/>
  <c r="E1828" i="41"/>
  <c r="G1872" i="41"/>
  <c r="F1874" i="41"/>
  <c r="F1745" i="41"/>
  <c r="F1713" i="41"/>
  <c r="H1827" i="41"/>
  <c r="G1693" i="41"/>
  <c r="E1841" i="41"/>
  <c r="H1858" i="41"/>
  <c r="H1849" i="41"/>
  <c r="G1753" i="41"/>
  <c r="H1836" i="41"/>
  <c r="H1873" i="41"/>
  <c r="G1688" i="41"/>
  <c r="G1784" i="41"/>
  <c r="H1756" i="41"/>
  <c r="F1748" i="41"/>
  <c r="E1696" i="41"/>
  <c r="F1785" i="41"/>
  <c r="F1848" i="41"/>
  <c r="H1872" i="41"/>
  <c r="H1762" i="41"/>
  <c r="E1875" i="41"/>
  <c r="F1763" i="41"/>
  <c r="H1893" i="41"/>
  <c r="F1703" i="41"/>
  <c r="G1712" i="41"/>
  <c r="E1902" i="41"/>
  <c r="F1879" i="41"/>
  <c r="F1836" i="41"/>
  <c r="F1882" i="41"/>
  <c r="H1801" i="41"/>
  <c r="G1881" i="41"/>
  <c r="E1906" i="41"/>
  <c r="E1860" i="41"/>
  <c r="E1887" i="41"/>
  <c r="G1901" i="41"/>
  <c r="E1691" i="41"/>
  <c r="E1867" i="41"/>
  <c r="F1844" i="41"/>
  <c r="E1787" i="41"/>
  <c r="H1686" i="41"/>
  <c r="E1870" i="41"/>
  <c r="E1764" i="41"/>
  <c r="E1757" i="41"/>
  <c r="F1761" i="41"/>
  <c r="G1692" i="41"/>
  <c r="F1869" i="41"/>
  <c r="G1824" i="41"/>
  <c r="E1740" i="41"/>
  <c r="F1727" i="41"/>
  <c r="G1790" i="41"/>
  <c r="G1700" i="41"/>
  <c r="G1842" i="41"/>
  <c r="F1883" i="41"/>
  <c r="G1837" i="41"/>
  <c r="E1845" i="41"/>
  <c r="G1888" i="41"/>
  <c r="G1851" i="41"/>
  <c r="F1725" i="41"/>
  <c r="G1825" i="41"/>
  <c r="H1799" i="41"/>
  <c r="G1833" i="41"/>
  <c r="E1678" i="41"/>
  <c r="F1905" i="41"/>
  <c r="H1717" i="41"/>
  <c r="F1776" i="41"/>
  <c r="E1827" i="41"/>
  <c r="G1721" i="41"/>
  <c r="F1741" i="41"/>
  <c r="F1877" i="41"/>
  <c r="H1719" i="41"/>
  <c r="F1762" i="41"/>
  <c r="F1898" i="41"/>
  <c r="F1718" i="41"/>
  <c r="E1830" i="41"/>
  <c r="H1710" i="41"/>
  <c r="H1798" i="41"/>
  <c r="F1715" i="41"/>
  <c r="H1854" i="41"/>
  <c r="H1780" i="41"/>
  <c r="E1746" i="41"/>
  <c r="E1714" i="41"/>
  <c r="F1887" i="41"/>
  <c r="E1684" i="41"/>
  <c r="F1690" i="41"/>
  <c r="F1870" i="41"/>
  <c r="F1891" i="41"/>
  <c r="G1734" i="41"/>
  <c r="H1824" i="41"/>
  <c r="G1782" i="41"/>
  <c r="F1899" i="41"/>
  <c r="E1864" i="41"/>
  <c r="G1907" i="41"/>
  <c r="G1739" i="41"/>
  <c r="H1877" i="41"/>
  <c r="H1761" i="41"/>
  <c r="E1896" i="41"/>
  <c r="E1843" i="41"/>
  <c r="E1762" i="41"/>
  <c r="F1666" i="41"/>
  <c r="E1770" i="41"/>
  <c r="H1785" i="41"/>
  <c r="H1876" i="41"/>
  <c r="F1794" i="41"/>
  <c r="G1848" i="41"/>
  <c r="H1839" i="41"/>
  <c r="H1861" i="41"/>
  <c r="H1829" i="41"/>
  <c r="E1750" i="41"/>
  <c r="E1865" i="41"/>
  <c r="H1889" i="41"/>
  <c r="G1831" i="41"/>
  <c r="F1778" i="41"/>
  <c r="G1792" i="41"/>
  <c r="E1767" i="41"/>
  <c r="E1890" i="41"/>
  <c r="G1789" i="41"/>
  <c r="G1861" i="41"/>
  <c r="G1829" i="41"/>
  <c r="F1861" i="41"/>
  <c r="E1723" i="41"/>
  <c r="E1899" i="41"/>
  <c r="F1691" i="41"/>
  <c r="G1891" i="41"/>
  <c r="E1862" i="41"/>
  <c r="E276" i="41"/>
  <c r="E1759" i="41"/>
  <c r="F1678" i="41"/>
  <c r="E1851" i="41"/>
  <c r="E1871" i="41"/>
  <c r="E1861" i="41"/>
  <c r="E1856" i="41"/>
  <c r="E1761" i="41"/>
  <c r="H1903" i="41"/>
  <c r="G1709" i="41"/>
  <c r="G1874" i="41"/>
  <c r="E1768" i="41"/>
  <c r="H1792" i="41"/>
  <c r="G1696" i="41"/>
  <c r="E1847" i="41"/>
  <c r="F1867" i="41"/>
  <c r="G1884" i="41"/>
  <c r="F1857" i="41"/>
  <c r="H1713" i="41"/>
  <c r="F1892" i="41"/>
  <c r="E1883" i="41"/>
  <c r="F1694" i="41"/>
  <c r="H1712" i="41"/>
  <c r="H1897" i="41"/>
  <c r="E1698" i="41"/>
  <c r="G1690" i="41"/>
  <c r="E1884" i="41"/>
  <c r="F1871" i="41"/>
  <c r="E1788" i="41"/>
  <c r="E1741" i="41"/>
  <c r="G1716" i="41"/>
  <c r="G1856" i="41"/>
  <c r="F1852" i="41"/>
  <c r="F1753" i="41"/>
  <c r="F1851" i="41"/>
  <c r="E1868" i="41"/>
  <c r="G1845" i="41"/>
  <c r="F1850" i="41"/>
  <c r="F1890" i="41"/>
  <c r="E1901" i="41"/>
  <c r="H1859" i="41"/>
  <c r="H1694" i="41"/>
  <c r="E1775" i="41"/>
  <c r="G1740" i="41"/>
  <c r="E1877" i="41"/>
  <c r="G1849" i="41"/>
  <c r="H1900" i="41"/>
  <c r="G1826" i="41"/>
  <c r="F1734" i="41"/>
  <c r="G1843" i="41"/>
  <c r="F1789" i="41"/>
  <c r="E1695" i="41"/>
  <c r="E1859" i="41"/>
  <c r="H1882" i="41"/>
  <c r="G1713" i="41"/>
  <c r="E1853" i="41"/>
  <c r="H1847" i="41"/>
  <c r="E1842" i="41"/>
  <c r="F1683" i="41"/>
  <c r="H1865" i="41"/>
  <c r="E1784" i="41"/>
  <c r="G1733" i="41"/>
  <c r="F1696" i="41"/>
  <c r="E1777" i="41"/>
  <c r="F1824" i="41"/>
  <c r="E1892" i="41"/>
  <c r="F1835" i="41"/>
  <c r="G1868" i="41"/>
  <c r="G1779" i="41"/>
  <c r="E1778" i="41"/>
  <c r="H1733" i="41"/>
  <c r="F1840" i="41"/>
  <c r="F1751" i="41"/>
  <c r="E1705" i="41"/>
  <c r="F1902" i="41"/>
  <c r="E1724" i="41"/>
  <c r="F1686" i="41"/>
  <c r="H1696" i="41"/>
  <c r="E1872" i="41"/>
  <c r="G1780" i="41"/>
  <c r="H1715" i="41"/>
  <c r="H1879" i="41"/>
  <c r="E1774" i="41"/>
  <c r="F1733" i="41"/>
  <c r="G1800" i="41"/>
  <c r="G1769" i="41"/>
  <c r="E1838" i="41"/>
  <c r="E1692" i="41"/>
  <c r="E1834" i="41"/>
  <c r="H1891" i="41"/>
  <c r="G1783" i="41"/>
  <c r="H1878" i="41"/>
  <c r="G1869" i="41"/>
  <c r="H1777" i="41"/>
  <c r="G1711" i="41"/>
  <c r="E1766" i="41"/>
  <c r="L854" i="35"/>
  <c r="B1615" i="41"/>
  <c r="W854" i="35"/>
  <c r="B1616" i="41"/>
  <c r="O854" i="35"/>
  <c r="M854" i="35"/>
  <c r="B1618" i="41"/>
  <c r="Y854" i="35"/>
  <c r="N854" i="35"/>
  <c r="B1617" i="41"/>
  <c r="K854" i="35"/>
  <c r="C1373" i="41"/>
  <c r="N748" i="35"/>
  <c r="L748" i="35"/>
  <c r="K748" i="35"/>
  <c r="Y748" i="35"/>
  <c r="M748" i="35"/>
  <c r="O748" i="35"/>
  <c r="W748" i="35"/>
  <c r="G609" i="35"/>
  <c r="B614" i="55"/>
  <c r="Y154" i="35"/>
  <c r="K154" i="35"/>
  <c r="W154" i="35"/>
  <c r="X154" i="35" s="1"/>
  <c r="N154" i="35"/>
  <c r="B735" i="41"/>
  <c r="M154" i="35"/>
  <c r="L154" i="35"/>
  <c r="B154" i="55"/>
  <c r="G149" i="35"/>
  <c r="O836" i="35"/>
  <c r="N836" i="35"/>
  <c r="L836" i="35"/>
  <c r="M836" i="35"/>
  <c r="P836" i="35"/>
  <c r="K836" i="35"/>
  <c r="Y836" i="35"/>
  <c r="W836" i="35"/>
  <c r="W599" i="35"/>
  <c r="X599" i="35" s="1"/>
  <c r="Y599" i="35"/>
  <c r="K599" i="35"/>
  <c r="C1097" i="41"/>
  <c r="L599" i="35"/>
  <c r="O599" i="35"/>
  <c r="N646" i="35"/>
  <c r="L646" i="35"/>
  <c r="C1179" i="41"/>
  <c r="K646" i="35"/>
  <c r="W646" i="35"/>
  <c r="X646" i="35" s="1"/>
  <c r="Y646" i="35"/>
  <c r="M646" i="35"/>
  <c r="B178" i="55"/>
  <c r="G173" i="35"/>
  <c r="G288" i="35"/>
  <c r="B293" i="55"/>
  <c r="G320" i="35"/>
  <c r="B325" i="55"/>
  <c r="L366" i="35"/>
  <c r="N366" i="35"/>
  <c r="P366" i="35"/>
  <c r="Q366" i="35"/>
  <c r="O366" i="35"/>
  <c r="K366" i="35"/>
  <c r="Y366" i="35"/>
  <c r="W366" i="35"/>
  <c r="M366" i="35"/>
  <c r="B947" i="41"/>
  <c r="B853" i="55"/>
  <c r="G848" i="35"/>
  <c r="L343" i="35"/>
  <c r="B924" i="41"/>
  <c r="M343" i="35"/>
  <c r="W343" i="35"/>
  <c r="X343" i="35" s="1"/>
  <c r="P343" i="35"/>
  <c r="Q343" i="35"/>
  <c r="O343" i="35"/>
  <c r="N343" i="35"/>
  <c r="Y343" i="35"/>
  <c r="K343" i="35"/>
  <c r="L757" i="35"/>
  <c r="Y757" i="35"/>
  <c r="M757" i="35"/>
  <c r="K757" i="35"/>
  <c r="P757" i="35"/>
  <c r="W757" i="35"/>
  <c r="G769" i="35"/>
  <c r="B774" i="55"/>
  <c r="G864" i="35"/>
  <c r="B869" i="55"/>
  <c r="M703" i="35"/>
  <c r="B1273" i="41"/>
  <c r="W703" i="35"/>
  <c r="B1272" i="41"/>
  <c r="Y703" i="35"/>
  <c r="L703" i="35"/>
  <c r="B1275" i="41"/>
  <c r="B1274" i="41"/>
  <c r="N703" i="35"/>
  <c r="K703" i="35"/>
  <c r="P238" i="35"/>
  <c r="W238" i="35"/>
  <c r="O238" i="35"/>
  <c r="Y238" i="35"/>
  <c r="L238" i="35"/>
  <c r="M238" i="35"/>
  <c r="N238" i="35"/>
  <c r="K238" i="35"/>
  <c r="Q238" i="35"/>
  <c r="B819" i="41"/>
  <c r="B682" i="55"/>
  <c r="G677" i="35"/>
  <c r="G218" i="35"/>
  <c r="B223" i="55"/>
  <c r="O268" i="35"/>
  <c r="M268" i="35"/>
  <c r="Q268" i="35"/>
  <c r="Y268" i="35"/>
  <c r="P268" i="35"/>
  <c r="L268" i="35"/>
  <c r="W268" i="35"/>
  <c r="N268" i="35"/>
  <c r="K268" i="35"/>
  <c r="B849" i="41"/>
  <c r="K850" i="35"/>
  <c r="W850" i="35"/>
  <c r="M850" i="35"/>
  <c r="C1608" i="41"/>
  <c r="O850" i="35"/>
  <c r="Y850" i="35"/>
  <c r="L850" i="35"/>
  <c r="N850" i="35"/>
  <c r="G833" i="35"/>
  <c r="B838" i="55"/>
  <c r="O617" i="35"/>
  <c r="B1131" i="41"/>
  <c r="M617" i="35"/>
  <c r="B1130" i="41"/>
  <c r="L617" i="35"/>
  <c r="N617" i="35"/>
  <c r="B1132" i="41"/>
  <c r="W617" i="35"/>
  <c r="B1129" i="41"/>
  <c r="K617" i="35"/>
  <c r="Y617" i="35"/>
  <c r="B345" i="55"/>
  <c r="G340" i="35"/>
  <c r="G225" i="35"/>
  <c r="B230" i="55"/>
  <c r="C1230" i="41"/>
  <c r="O681" i="35"/>
  <c r="M681" i="35"/>
  <c r="Y681" i="35"/>
  <c r="N681" i="35"/>
  <c r="K681" i="35"/>
  <c r="L681" i="35"/>
  <c r="W681" i="35"/>
  <c r="P681" i="35"/>
  <c r="W840" i="35"/>
  <c r="M840" i="35"/>
  <c r="K840" i="35"/>
  <c r="B1593" i="41"/>
  <c r="N840" i="35"/>
  <c r="O840" i="35"/>
  <c r="B1589" i="41"/>
  <c r="B1590" i="41" s="1"/>
  <c r="B1591" i="41" s="1"/>
  <c r="B1594" i="41"/>
  <c r="Y840" i="35"/>
  <c r="L840" i="35"/>
  <c r="B1592" i="41"/>
  <c r="G830" i="35"/>
  <c r="B835" i="55"/>
  <c r="C1073" i="41"/>
  <c r="K582" i="35"/>
  <c r="Y582" i="35"/>
  <c r="L582" i="35"/>
  <c r="M582" i="35"/>
  <c r="N582" i="35"/>
  <c r="W582" i="35"/>
  <c r="P582" i="35"/>
  <c r="O582" i="35"/>
  <c r="N687" i="35"/>
  <c r="B1243" i="41"/>
  <c r="B1242" i="41"/>
  <c r="B1240" i="41"/>
  <c r="B1241" i="41" s="1"/>
  <c r="Y687" i="35"/>
  <c r="L687" i="35"/>
  <c r="B1244" i="41"/>
  <c r="O687" i="35"/>
  <c r="W687" i="35"/>
  <c r="K687" i="35"/>
  <c r="M687" i="35"/>
  <c r="G568" i="35"/>
  <c r="B573" i="55"/>
  <c r="G649" i="35"/>
  <c r="B654" i="55"/>
  <c r="O553" i="35"/>
  <c r="N553" i="35"/>
  <c r="M553" i="35"/>
  <c r="L553" i="35"/>
  <c r="P553" i="35"/>
  <c r="Y553" i="35"/>
  <c r="C518" i="41"/>
  <c r="W553" i="35"/>
  <c r="X553" i="35" s="1"/>
  <c r="K553" i="35"/>
  <c r="B650" i="55"/>
  <c r="G645" i="35"/>
  <c r="L623" i="35"/>
  <c r="Y623" i="35"/>
  <c r="O623" i="35"/>
  <c r="W623" i="35"/>
  <c r="M623" i="35"/>
  <c r="C1138" i="41"/>
  <c r="K623" i="35"/>
  <c r="N623" i="35"/>
  <c r="W338" i="35"/>
  <c r="X338" i="35" s="1"/>
  <c r="K338" i="35"/>
  <c r="B919" i="41"/>
  <c r="M338" i="35"/>
  <c r="L338" i="35"/>
  <c r="Q338" i="35"/>
  <c r="O338" i="35"/>
  <c r="Y338" i="35"/>
  <c r="N338" i="35"/>
  <c r="P338" i="35"/>
  <c r="K763" i="35"/>
  <c r="N763" i="35"/>
  <c r="L763" i="35"/>
  <c r="C1410" i="41"/>
  <c r="Y763" i="35"/>
  <c r="W763" i="35"/>
  <c r="O763" i="35"/>
  <c r="M763" i="35"/>
  <c r="M148" i="35"/>
  <c r="B729" i="41"/>
  <c r="L148" i="35"/>
  <c r="N148" i="35"/>
  <c r="Y148" i="35"/>
  <c r="W148" i="35"/>
  <c r="K148" i="35"/>
  <c r="B143" i="55"/>
  <c r="G138" i="35"/>
  <c r="Y565" i="35"/>
  <c r="K565" i="35"/>
  <c r="L565" i="35"/>
  <c r="O565" i="35"/>
  <c r="P565" i="35"/>
  <c r="N565" i="35"/>
  <c r="C1046" i="41"/>
  <c r="M565" i="35"/>
  <c r="W565" i="35"/>
  <c r="N652" i="35"/>
  <c r="W652" i="35"/>
  <c r="X652" i="35" s="1"/>
  <c r="K652" i="35"/>
  <c r="C1184" i="41"/>
  <c r="O652" i="35"/>
  <c r="M652" i="35"/>
  <c r="Y652" i="35"/>
  <c r="L652" i="35"/>
  <c r="B314" i="55"/>
  <c r="G309" i="35"/>
  <c r="G747" i="35"/>
  <c r="B752" i="55"/>
  <c r="B206" i="55"/>
  <c r="G201" i="35"/>
  <c r="Y719" i="35"/>
  <c r="K719" i="35"/>
  <c r="L719" i="35"/>
  <c r="B1308" i="41"/>
  <c r="W719" i="35"/>
  <c r="N719" i="35"/>
  <c r="M719" i="35"/>
  <c r="G232" i="35"/>
  <c r="B237" i="55"/>
  <c r="B244" i="55"/>
  <c r="G239" i="35"/>
  <c r="N155" i="35"/>
  <c r="W155" i="35"/>
  <c r="L155" i="35"/>
  <c r="Y155" i="35"/>
  <c r="K155" i="35"/>
  <c r="M155" i="35"/>
  <c r="B736" i="41"/>
  <c r="G166" i="35"/>
  <c r="B171" i="55"/>
  <c r="B216" i="55"/>
  <c r="G211" i="35"/>
  <c r="P315" i="35"/>
  <c r="K315" i="35"/>
  <c r="L315" i="35"/>
  <c r="Q315" i="35"/>
  <c r="B896" i="41"/>
  <c r="W315" i="35"/>
  <c r="N315" i="35"/>
  <c r="Y315" i="35"/>
  <c r="M315" i="35"/>
  <c r="O315" i="35"/>
  <c r="B823" i="41"/>
  <c r="L242" i="35"/>
  <c r="N242" i="35"/>
  <c r="Y242" i="35"/>
  <c r="W242" i="35"/>
  <c r="Q242" i="35"/>
  <c r="K242" i="35"/>
  <c r="O242" i="35"/>
  <c r="P242" i="35"/>
  <c r="M242" i="35"/>
  <c r="M214" i="35"/>
  <c r="P214" i="35"/>
  <c r="N214" i="35"/>
  <c r="O214" i="35"/>
  <c r="K214" i="35"/>
  <c r="B795" i="41"/>
  <c r="Q214" i="35"/>
  <c r="L214" i="35"/>
  <c r="Y214" i="35"/>
  <c r="W214" i="35"/>
  <c r="X214" i="35" s="1"/>
  <c r="B420" i="41"/>
  <c r="E420" i="41" s="1"/>
  <c r="E419" i="41"/>
  <c r="N480" i="35"/>
  <c r="E423" i="41"/>
  <c r="O480" i="35"/>
  <c r="W480" i="35"/>
  <c r="B422" i="41"/>
  <c r="E422" i="41" s="1"/>
  <c r="B423" i="41"/>
  <c r="K480" i="35"/>
  <c r="Y480" i="35"/>
  <c r="L480" i="35"/>
  <c r="B421" i="41"/>
  <c r="E421" i="41" s="1"/>
  <c r="G651" i="35"/>
  <c r="B656" i="55"/>
  <c r="Q346" i="35"/>
  <c r="O346" i="35"/>
  <c r="K346" i="35"/>
  <c r="Y346" i="35"/>
  <c r="M346" i="35"/>
  <c r="W346" i="35"/>
  <c r="X346" i="35" s="1"/>
  <c r="P346" i="35"/>
  <c r="L346" i="35"/>
  <c r="N346" i="35"/>
  <c r="B927" i="41"/>
  <c r="B598" i="55"/>
  <c r="G593" i="35"/>
  <c r="B738" i="55"/>
  <c r="G733" i="35"/>
  <c r="G348" i="35"/>
  <c r="B353" i="55"/>
  <c r="B692" i="55"/>
  <c r="G687" i="35"/>
  <c r="B365" i="55"/>
  <c r="G360" i="35"/>
  <c r="Y853" i="35"/>
  <c r="L853" i="35"/>
  <c r="N853" i="35"/>
  <c r="M853" i="35"/>
  <c r="K853" i="35"/>
  <c r="O853" i="35"/>
  <c r="P853" i="35"/>
  <c r="W853" i="35"/>
  <c r="G832" i="35"/>
  <c r="B837" i="55"/>
  <c r="O333" i="35"/>
  <c r="K333" i="35"/>
  <c r="W333" i="35"/>
  <c r="N333" i="35"/>
  <c r="Y333" i="35"/>
  <c r="B914" i="41"/>
  <c r="Q333" i="35"/>
  <c r="P333" i="35"/>
  <c r="L333" i="35"/>
  <c r="M333" i="35"/>
  <c r="N206" i="35"/>
  <c r="B787" i="41"/>
  <c r="Q206" i="35"/>
  <c r="K206" i="35"/>
  <c r="W206" i="35"/>
  <c r="Y206" i="35"/>
  <c r="L206" i="35"/>
  <c r="P206" i="35"/>
  <c r="M206" i="35"/>
  <c r="O206" i="35"/>
  <c r="G303" i="35"/>
  <c r="B308" i="55"/>
  <c r="G298" i="35"/>
  <c r="B303" i="55"/>
  <c r="C1259" i="41"/>
  <c r="K698" i="35"/>
  <c r="L698" i="35"/>
  <c r="W698" i="35"/>
  <c r="Y698" i="35"/>
  <c r="O698" i="35"/>
  <c r="N698" i="35"/>
  <c r="M698" i="35"/>
  <c r="B1562" i="41"/>
  <c r="W828" i="35"/>
  <c r="X828" i="35" s="1"/>
  <c r="N828" i="35"/>
  <c r="K828" i="35"/>
  <c r="O828" i="35"/>
  <c r="L828" i="35"/>
  <c r="B1563" i="41"/>
  <c r="B1564" i="41"/>
  <c r="Y828" i="35"/>
  <c r="M828" i="35"/>
  <c r="B1560" i="41"/>
  <c r="B1561" i="41" s="1"/>
  <c r="G736" i="35"/>
  <c r="B741" i="55"/>
  <c r="B199" i="55"/>
  <c r="G194" i="35"/>
  <c r="G230" i="35"/>
  <c r="B235" i="55"/>
  <c r="B726" i="55"/>
  <c r="G721" i="35"/>
  <c r="G185" i="35"/>
  <c r="B190" i="55"/>
  <c r="B811" i="55"/>
  <c r="G806" i="35"/>
  <c r="G14" i="30"/>
  <c r="N195" i="35"/>
  <c r="Q195" i="35"/>
  <c r="L195" i="35"/>
  <c r="P195" i="35"/>
  <c r="O195" i="35"/>
  <c r="W195" i="35"/>
  <c r="M195" i="35"/>
  <c r="B776" i="41"/>
  <c r="K195" i="35"/>
  <c r="Y195" i="35"/>
  <c r="B156" i="55"/>
  <c r="G151" i="35"/>
  <c r="B880" i="41"/>
  <c r="Y299" i="35"/>
  <c r="M299" i="35"/>
  <c r="O299" i="35"/>
  <c r="K299" i="35"/>
  <c r="Q299" i="35"/>
  <c r="N299" i="35"/>
  <c r="L299" i="35"/>
  <c r="P299" i="35"/>
  <c r="W299" i="35"/>
  <c r="L319" i="35"/>
  <c r="O319" i="35"/>
  <c r="B900" i="41"/>
  <c r="Q319" i="35"/>
  <c r="K319" i="35"/>
  <c r="W319" i="35"/>
  <c r="N319" i="35"/>
  <c r="Y319" i="35"/>
  <c r="M319" i="35"/>
  <c r="P319" i="35"/>
  <c r="O318" i="35"/>
  <c r="B899" i="41"/>
  <c r="N318" i="35"/>
  <c r="Y318" i="35"/>
  <c r="K318" i="35"/>
  <c r="L318" i="35"/>
  <c r="W318" i="35"/>
  <c r="X318" i="35" s="1"/>
  <c r="Q318" i="35"/>
  <c r="P318" i="35"/>
  <c r="M318" i="35"/>
  <c r="B172" i="55"/>
  <c r="G167" i="35"/>
  <c r="W193" i="35"/>
  <c r="O193" i="35"/>
  <c r="N193" i="35"/>
  <c r="Y193" i="35"/>
  <c r="B774" i="41"/>
  <c r="Q193" i="35"/>
  <c r="L193" i="35"/>
  <c r="M193" i="35"/>
  <c r="P193" i="35"/>
  <c r="K193" i="35"/>
  <c r="G854" i="35"/>
  <c r="B859" i="55"/>
  <c r="K279" i="35"/>
  <c r="W279" i="35"/>
  <c r="X279" i="35" s="1"/>
  <c r="B860" i="41"/>
  <c r="P279" i="35"/>
  <c r="L279" i="35"/>
  <c r="Q279" i="35"/>
  <c r="N279" i="35"/>
  <c r="M279" i="35"/>
  <c r="Y279" i="35"/>
  <c r="O279" i="35"/>
  <c r="B638" i="55"/>
  <c r="G633" i="35"/>
  <c r="M26" i="35"/>
  <c r="L26" i="35"/>
  <c r="C36" i="41"/>
  <c r="H36" i="41" s="1"/>
  <c r="K26" i="35"/>
  <c r="W26" i="35"/>
  <c r="Y26" i="35"/>
  <c r="O287" i="35"/>
  <c r="L287" i="35"/>
  <c r="N287" i="35"/>
  <c r="W287" i="35"/>
  <c r="B868" i="41"/>
  <c r="Q287" i="35"/>
  <c r="K287" i="35"/>
  <c r="M287" i="35"/>
  <c r="P287" i="35"/>
  <c r="Y287" i="35"/>
  <c r="B717" i="55"/>
  <c r="G712" i="35"/>
  <c r="G331" i="35"/>
  <c r="B336" i="55"/>
  <c r="B898" i="41"/>
  <c r="N317" i="35"/>
  <c r="M317" i="35"/>
  <c r="Q317" i="35"/>
  <c r="K317" i="35"/>
  <c r="Y317" i="35"/>
  <c r="P317" i="35"/>
  <c r="O317" i="35"/>
  <c r="W317" i="35"/>
  <c r="X317" i="35" s="1"/>
  <c r="L317" i="35"/>
  <c r="G564" i="35"/>
  <c r="B569" i="55"/>
  <c r="Q186" i="35"/>
  <c r="L186" i="35"/>
  <c r="Y186" i="35"/>
  <c r="M186" i="35"/>
  <c r="B767" i="41"/>
  <c r="P186" i="35"/>
  <c r="W186" i="35"/>
  <c r="O186" i="35"/>
  <c r="N186" i="35"/>
  <c r="K186" i="35"/>
  <c r="B317" i="55"/>
  <c r="G312" i="35"/>
  <c r="W780" i="35"/>
  <c r="N780" i="35"/>
  <c r="M780" i="35"/>
  <c r="Y780" i="35"/>
  <c r="L780" i="35"/>
  <c r="O780" i="35"/>
  <c r="C1449" i="41"/>
  <c r="K780" i="35"/>
  <c r="O858" i="35"/>
  <c r="W858" i="35"/>
  <c r="K858" i="35"/>
  <c r="M858" i="35"/>
  <c r="N858" i="35"/>
  <c r="Q858" i="35"/>
  <c r="L858" i="35"/>
  <c r="Y858" i="35"/>
  <c r="B723" i="55"/>
  <c r="G718" i="35"/>
  <c r="P571" i="35"/>
  <c r="Y570" i="35"/>
  <c r="C1051" i="41"/>
  <c r="K570" i="35"/>
  <c r="N570" i="35"/>
  <c r="O570" i="35"/>
  <c r="W570" i="35"/>
  <c r="L570" i="35"/>
  <c r="M570" i="35"/>
  <c r="P570" i="35"/>
  <c r="B313" i="55"/>
  <c r="G308" i="35"/>
  <c r="W768" i="35"/>
  <c r="M768" i="35"/>
  <c r="O768" i="35"/>
  <c r="P768" i="35"/>
  <c r="L768" i="35"/>
  <c r="N768" i="35"/>
  <c r="Y768" i="35"/>
  <c r="K768" i="35"/>
  <c r="B485" i="55"/>
  <c r="G480" i="35"/>
  <c r="C1212" i="41"/>
  <c r="N669" i="35"/>
  <c r="W669" i="35"/>
  <c r="M669" i="35"/>
  <c r="K669" i="35"/>
  <c r="Y669" i="35"/>
  <c r="L669" i="35"/>
  <c r="O669" i="35"/>
  <c r="G710" i="35"/>
  <c r="B715" i="55"/>
  <c r="K382" i="35"/>
  <c r="B1006" i="41"/>
  <c r="L382" i="35"/>
  <c r="O382" i="35"/>
  <c r="N382" i="35"/>
  <c r="W382" i="35"/>
  <c r="X382" i="35" s="1"/>
  <c r="Y382" i="35"/>
  <c r="M382" i="35"/>
  <c r="B355" i="55"/>
  <c r="G350" i="35"/>
  <c r="W184" i="35"/>
  <c r="K184" i="35"/>
  <c r="N184" i="35"/>
  <c r="Y184" i="35"/>
  <c r="M184" i="35"/>
  <c r="L184" i="35"/>
  <c r="P184" i="35"/>
  <c r="O184" i="35"/>
  <c r="Q184" i="35"/>
  <c r="B765" i="41"/>
  <c r="Y686" i="35"/>
  <c r="L686" i="35"/>
  <c r="O686" i="35"/>
  <c r="K686" i="35"/>
  <c r="W686" i="35"/>
  <c r="G596" i="35"/>
  <c r="B601" i="55"/>
  <c r="P616" i="35"/>
  <c r="O616" i="35"/>
  <c r="Y616" i="35"/>
  <c r="L616" i="35"/>
  <c r="W616" i="35"/>
  <c r="N616" i="35"/>
  <c r="K616" i="35"/>
  <c r="M616" i="35"/>
  <c r="G235" i="35"/>
  <c r="B240" i="55"/>
  <c r="B1351" i="41"/>
  <c r="B1350" i="41"/>
  <c r="B1352" i="41"/>
  <c r="M737" i="35"/>
  <c r="W737" i="35"/>
  <c r="Y737" i="35"/>
  <c r="B1349" i="41"/>
  <c r="N737" i="35"/>
  <c r="L737" i="35"/>
  <c r="K737" i="35"/>
  <c r="B191" i="55"/>
  <c r="G186" i="35"/>
  <c r="L345" i="35"/>
  <c r="Q345" i="35"/>
  <c r="B926" i="41"/>
  <c r="K345" i="35"/>
  <c r="Y345" i="35"/>
  <c r="M345" i="35"/>
  <c r="W345" i="35"/>
  <c r="X345" i="35" s="1"/>
  <c r="P345" i="35"/>
  <c r="O345" i="35"/>
  <c r="N345" i="35"/>
  <c r="G644" i="35"/>
  <c r="B649" i="55"/>
  <c r="N590" i="35"/>
  <c r="K590" i="35"/>
  <c r="C1089" i="41"/>
  <c r="M590" i="35"/>
  <c r="L590" i="35"/>
  <c r="W590" i="35"/>
  <c r="Y590" i="35"/>
  <c r="B298" i="55"/>
  <c r="G293" i="35"/>
  <c r="K690" i="35"/>
  <c r="W690" i="35"/>
  <c r="M690" i="35"/>
  <c r="L690" i="35"/>
  <c r="Y690" i="35"/>
  <c r="C1246" i="41"/>
  <c r="N690" i="35"/>
  <c r="B653" i="55"/>
  <c r="G648" i="35"/>
  <c r="Q483" i="35"/>
  <c r="W483" i="35"/>
  <c r="X483" i="35" s="1"/>
  <c r="R483" i="35"/>
  <c r="T483" i="35"/>
  <c r="Y483" i="35"/>
  <c r="M483" i="35"/>
  <c r="O483" i="35"/>
  <c r="P483" i="35"/>
  <c r="L483" i="35"/>
  <c r="N483" i="35"/>
  <c r="K483" i="35"/>
  <c r="C426" i="41"/>
  <c r="S483" i="35"/>
  <c r="N272" i="35"/>
  <c r="M272" i="35"/>
  <c r="K272" i="35"/>
  <c r="Q272" i="35"/>
  <c r="W272" i="35"/>
  <c r="O272" i="35"/>
  <c r="Y272" i="35"/>
  <c r="P272" i="35"/>
  <c r="L272" i="35"/>
  <c r="B853" i="41"/>
  <c r="G557" i="35"/>
  <c r="B562" i="55"/>
  <c r="G223" i="35"/>
  <c r="B228" i="55"/>
  <c r="W608" i="35"/>
  <c r="L608" i="35"/>
  <c r="B1115" i="41"/>
  <c r="K608" i="35"/>
  <c r="O608" i="35"/>
  <c r="B1113" i="41"/>
  <c r="B1114" i="41" s="1"/>
  <c r="Y608" i="35"/>
  <c r="B1117" i="41"/>
  <c r="M608" i="35"/>
  <c r="N608" i="35"/>
  <c r="B1116" i="41"/>
  <c r="B1403" i="41"/>
  <c r="B1404" i="41" s="1"/>
  <c r="B1407" i="41"/>
  <c r="N760" i="35"/>
  <c r="O760" i="35"/>
  <c r="Y760" i="35"/>
  <c r="B1405" i="41"/>
  <c r="K760" i="35"/>
  <c r="W760" i="35"/>
  <c r="B1406" i="41"/>
  <c r="M760" i="35"/>
  <c r="L760" i="35"/>
  <c r="M151" i="35"/>
  <c r="Y151" i="35"/>
  <c r="B732" i="41"/>
  <c r="N151" i="35"/>
  <c r="L151" i="35"/>
  <c r="K151" i="35"/>
  <c r="W151" i="35"/>
  <c r="X151" i="35" s="1"/>
  <c r="G181" i="35"/>
  <c r="B186" i="55"/>
  <c r="B741" i="41"/>
  <c r="M160" i="35"/>
  <c r="Y160" i="35"/>
  <c r="L160" i="35"/>
  <c r="N160" i="35"/>
  <c r="K160" i="35"/>
  <c r="W160" i="35"/>
  <c r="X160" i="35" s="1"/>
  <c r="B292" i="55"/>
  <c r="G287" i="35"/>
  <c r="G785" i="35"/>
  <c r="B790" i="55"/>
  <c r="Y156" i="35"/>
  <c r="M156" i="35"/>
  <c r="W156" i="35"/>
  <c r="X156" i="35" s="1"/>
  <c r="B737" i="41"/>
  <c r="L156" i="35"/>
  <c r="K156" i="35"/>
  <c r="N156" i="35"/>
  <c r="B161" i="55"/>
  <c r="G156" i="35"/>
  <c r="G330" i="35"/>
  <c r="B335" i="55"/>
  <c r="G711" i="35"/>
  <c r="B716" i="55"/>
  <c r="L178" i="35"/>
  <c r="P178" i="35"/>
  <c r="Q178" i="35"/>
  <c r="B759" i="41"/>
  <c r="K178" i="35"/>
  <c r="W178" i="35"/>
  <c r="M178" i="35"/>
  <c r="Y178" i="35"/>
  <c r="N178" i="35"/>
  <c r="O178" i="35"/>
  <c r="B180" i="55"/>
  <c r="G175" i="35"/>
  <c r="B282" i="55"/>
  <c r="G277" i="35"/>
  <c r="G770" i="35"/>
  <c r="B775" i="55"/>
  <c r="C1135" i="41"/>
  <c r="M627" i="35"/>
  <c r="W619" i="35"/>
  <c r="K619" i="35"/>
  <c r="L619" i="35"/>
  <c r="Y619" i="35"/>
  <c r="B363" i="55"/>
  <c r="G358" i="35"/>
  <c r="B1239" i="41"/>
  <c r="N685" i="35"/>
  <c r="W685" i="35"/>
  <c r="N686" i="35"/>
  <c r="K685" i="35"/>
  <c r="B1237" i="41"/>
  <c r="M685" i="35"/>
  <c r="L685" i="35"/>
  <c r="B1235" i="41"/>
  <c r="B1236" i="41" s="1"/>
  <c r="M686" i="35"/>
  <c r="B1238" i="41"/>
  <c r="Y685" i="35"/>
  <c r="G13" i="30"/>
  <c r="Y754" i="35"/>
  <c r="B1391" i="41"/>
  <c r="M754" i="35"/>
  <c r="B1390" i="41"/>
  <c r="B1389" i="41"/>
  <c r="B1388" i="41"/>
  <c r="K754" i="35"/>
  <c r="L754" i="35"/>
  <c r="W754" i="35"/>
  <c r="N754" i="35"/>
  <c r="N144" i="35"/>
  <c r="L144" i="35"/>
  <c r="Y144" i="35"/>
  <c r="K144" i="35"/>
  <c r="W144" i="35"/>
  <c r="X144" i="35" s="1"/>
  <c r="B725" i="41"/>
  <c r="M144" i="35"/>
  <c r="B41" i="55"/>
  <c r="G36" i="35"/>
  <c r="G318" i="35"/>
  <c r="B323" i="55"/>
  <c r="B242" i="55"/>
  <c r="G237" i="35"/>
  <c r="G285" i="35"/>
  <c r="B290" i="55"/>
  <c r="B208" i="55"/>
  <c r="G203" i="35"/>
  <c r="B709" i="55"/>
  <c r="G704" i="35"/>
  <c r="G612" i="35"/>
  <c r="B617" i="55"/>
  <c r="M228" i="35"/>
  <c r="B809" i="41"/>
  <c r="N228" i="35"/>
  <c r="P228" i="35"/>
  <c r="K228" i="35"/>
  <c r="L228" i="35"/>
  <c r="Y228" i="35"/>
  <c r="W228" i="35"/>
  <c r="Q228" i="35"/>
  <c r="O228" i="35"/>
  <c r="B229" i="55"/>
  <c r="G224" i="35"/>
  <c r="W778" i="35"/>
  <c r="K778" i="35"/>
  <c r="Y778" i="35"/>
  <c r="M778" i="35"/>
  <c r="L778" i="35"/>
  <c r="P778" i="35"/>
  <c r="N778" i="35"/>
  <c r="O778" i="35"/>
  <c r="B695" i="55"/>
  <c r="G690" i="35"/>
  <c r="G812" i="35"/>
  <c r="B817" i="55"/>
  <c r="K620" i="35"/>
  <c r="M620" i="35"/>
  <c r="W620" i="35"/>
  <c r="X620" i="35" s="1"/>
  <c r="L620" i="35"/>
  <c r="Y620" i="35"/>
  <c r="N620" i="35"/>
  <c r="N627" i="35"/>
  <c r="G597" i="35"/>
  <c r="B602" i="55"/>
  <c r="G870" i="35"/>
  <c r="B875" i="55"/>
  <c r="W224" i="35"/>
  <c r="L224" i="35"/>
  <c r="Y224" i="35"/>
  <c r="N224" i="35"/>
  <c r="P224" i="35"/>
  <c r="M224" i="35"/>
  <c r="K224" i="35"/>
  <c r="O224" i="35"/>
  <c r="B805" i="41"/>
  <c r="Q224" i="35"/>
  <c r="B636" i="55"/>
  <c r="G631" i="35"/>
  <c r="N255" i="35"/>
  <c r="P255" i="35"/>
  <c r="W255" i="35"/>
  <c r="B836" i="41"/>
  <c r="Y255" i="35"/>
  <c r="L255" i="35"/>
  <c r="Q255" i="35"/>
  <c r="O255" i="35"/>
  <c r="K255" i="35"/>
  <c r="M255" i="35"/>
  <c r="N622" i="35"/>
  <c r="P622" i="35"/>
  <c r="W622" i="35"/>
  <c r="K622" i="35"/>
  <c r="Y622" i="35"/>
  <c r="C1137" i="41"/>
  <c r="M622" i="35"/>
  <c r="O622" i="35"/>
  <c r="L622" i="35"/>
  <c r="O635" i="35"/>
  <c r="M635" i="35"/>
  <c r="C1157" i="41"/>
  <c r="L635" i="35"/>
  <c r="Y635" i="35"/>
  <c r="W635" i="35"/>
  <c r="K635" i="35"/>
  <c r="G361" i="35"/>
  <c r="B366" i="55"/>
  <c r="B26" i="55"/>
  <c r="G21" i="35"/>
  <c r="B316" i="55"/>
  <c r="G311" i="35"/>
  <c r="G245" i="35"/>
  <c r="B250" i="55"/>
  <c r="B288" i="55"/>
  <c r="G283" i="35"/>
  <c r="G657" i="35"/>
  <c r="B662" i="55"/>
  <c r="B696" i="55"/>
  <c r="G691" i="35"/>
  <c r="Y296" i="35"/>
  <c r="M296" i="35"/>
  <c r="P296" i="35"/>
  <c r="K296" i="35"/>
  <c r="B877" i="41"/>
  <c r="W296" i="35"/>
  <c r="X296" i="35" s="1"/>
  <c r="O296" i="35"/>
  <c r="L296" i="35"/>
  <c r="Q296" i="35"/>
  <c r="N296" i="35"/>
  <c r="B846" i="55"/>
  <c r="G841" i="35"/>
  <c r="B189" i="55"/>
  <c r="G184" i="35"/>
  <c r="G16" i="30"/>
  <c r="L758" i="35"/>
  <c r="M758" i="35"/>
  <c r="K758" i="35"/>
  <c r="C1400" i="41"/>
  <c r="N758" i="35"/>
  <c r="Y758" i="35"/>
  <c r="W758" i="35"/>
  <c r="B784" i="41"/>
  <c r="Y203" i="35"/>
  <c r="O203" i="35"/>
  <c r="Q203" i="35"/>
  <c r="K203" i="35"/>
  <c r="P203" i="35"/>
  <c r="W203" i="35"/>
  <c r="L203" i="35"/>
  <c r="M203" i="35"/>
  <c r="N203" i="35"/>
  <c r="P654" i="35"/>
  <c r="L654" i="35"/>
  <c r="P655" i="35"/>
  <c r="Y654" i="35"/>
  <c r="M654" i="35"/>
  <c r="C1186" i="41"/>
  <c r="K654" i="35"/>
  <c r="N654" i="35"/>
  <c r="W654" i="35"/>
  <c r="O654" i="35"/>
  <c r="N683" i="35"/>
  <c r="K676" i="35"/>
  <c r="L676" i="35"/>
  <c r="M676" i="35"/>
  <c r="N676" i="35"/>
  <c r="W676" i="35"/>
  <c r="Y676" i="35"/>
  <c r="G772" i="35"/>
  <c r="B777" i="55"/>
  <c r="G590" i="35"/>
  <c r="B595" i="55"/>
  <c r="B628" i="55"/>
  <c r="G623" i="35"/>
  <c r="Y340" i="35"/>
  <c r="Q340" i="35"/>
  <c r="K340" i="35"/>
  <c r="O340" i="35"/>
  <c r="M340" i="35"/>
  <c r="N340" i="35"/>
  <c r="W340" i="35"/>
  <c r="X340" i="35" s="1"/>
  <c r="P340" i="35"/>
  <c r="L340" i="35"/>
  <c r="B921" i="41"/>
  <c r="Y638" i="35"/>
  <c r="O638" i="35"/>
  <c r="N638" i="35"/>
  <c r="P638" i="35"/>
  <c r="K638" i="35"/>
  <c r="L638" i="35"/>
  <c r="W638" i="35"/>
  <c r="M638" i="35"/>
  <c r="C1163" i="41"/>
  <c r="B757" i="55"/>
  <c r="G752" i="35"/>
  <c r="B207" i="55"/>
  <c r="G202" i="35"/>
  <c r="W307" i="35"/>
  <c r="B888" i="41"/>
  <c r="O307" i="35"/>
  <c r="K307" i="35"/>
  <c r="Y307" i="35"/>
  <c r="L307" i="35"/>
  <c r="N307" i="35"/>
  <c r="M307" i="35"/>
  <c r="P307" i="35"/>
  <c r="Q307" i="35"/>
  <c r="W692" i="35"/>
  <c r="X692" i="35" s="1"/>
  <c r="B1253" i="41"/>
  <c r="K692" i="35"/>
  <c r="O692" i="35"/>
  <c r="M692" i="35"/>
  <c r="L692" i="35"/>
  <c r="B1249" i="41"/>
  <c r="B1250" i="41" s="1"/>
  <c r="N692" i="35"/>
  <c r="B1252" i="41"/>
  <c r="Y692" i="35"/>
  <c r="B1251" i="41"/>
  <c r="G808" i="35"/>
  <c r="B813" i="55"/>
  <c r="G737" i="35"/>
  <c r="B742" i="55"/>
  <c r="M167" i="35"/>
  <c r="K167" i="35"/>
  <c r="L167" i="35"/>
  <c r="B748" i="41"/>
  <c r="N167" i="35"/>
  <c r="Y167" i="35"/>
  <c r="W167" i="35"/>
  <c r="M653" i="35"/>
  <c r="N653" i="35"/>
  <c r="W653" i="35"/>
  <c r="C1185" i="41"/>
  <c r="Y653" i="35"/>
  <c r="O653" i="35"/>
  <c r="L653" i="35"/>
  <c r="P653" i="35"/>
  <c r="K653" i="35"/>
  <c r="G692" i="35"/>
  <c r="B697" i="55"/>
  <c r="G554" i="35"/>
  <c r="B559" i="55"/>
  <c r="B721" i="41"/>
  <c r="L140" i="35"/>
  <c r="N140" i="35"/>
  <c r="Y140" i="35"/>
  <c r="M140" i="35"/>
  <c r="K140" i="35"/>
  <c r="W140" i="35"/>
  <c r="X140" i="35" s="1"/>
  <c r="B659" i="55"/>
  <c r="G654" i="35"/>
  <c r="L598" i="35"/>
  <c r="P599" i="35"/>
  <c r="K598" i="35"/>
  <c r="W598" i="35"/>
  <c r="M598" i="35"/>
  <c r="C1096" i="41"/>
  <c r="N598" i="35"/>
  <c r="P598" i="35"/>
  <c r="Y598" i="35"/>
  <c r="O598" i="35"/>
  <c r="B809" i="55"/>
  <c r="G804" i="35"/>
  <c r="G714" i="35"/>
  <c r="B719" i="55"/>
  <c r="W715" i="35"/>
  <c r="Y715" i="35"/>
  <c r="O715" i="35"/>
  <c r="N715" i="35"/>
  <c r="L715" i="35"/>
  <c r="C1297" i="41"/>
  <c r="K715" i="35"/>
  <c r="M715" i="35"/>
  <c r="M839" i="35"/>
  <c r="N839" i="35"/>
  <c r="O839" i="35"/>
  <c r="K839" i="35"/>
  <c r="W839" i="35"/>
  <c r="Y839" i="35"/>
  <c r="L839" i="35"/>
  <c r="P290" i="35"/>
  <c r="O290" i="35"/>
  <c r="M290" i="35"/>
  <c r="B871" i="41"/>
  <c r="Q290" i="35"/>
  <c r="L290" i="35"/>
  <c r="N290" i="35"/>
  <c r="Y290" i="35"/>
  <c r="W290" i="35"/>
  <c r="K290" i="35"/>
  <c r="G782" i="35"/>
  <c r="B787" i="55"/>
  <c r="G617" i="35"/>
  <c r="B622" i="55"/>
  <c r="B560" i="55"/>
  <c r="G555" i="35"/>
  <c r="M226" i="35"/>
  <c r="Q226" i="35"/>
  <c r="N226" i="35"/>
  <c r="B807" i="41"/>
  <c r="K226" i="35"/>
  <c r="P226" i="35"/>
  <c r="L226" i="35"/>
  <c r="Y226" i="35"/>
  <c r="W226" i="35"/>
  <c r="O226" i="35"/>
  <c r="G206" i="35"/>
  <c r="B211" i="55"/>
  <c r="G822" i="35"/>
  <c r="B827" i="55"/>
  <c r="P252" i="35"/>
  <c r="L252" i="35"/>
  <c r="W252" i="35"/>
  <c r="K252" i="35"/>
  <c r="B833" i="41"/>
  <c r="N252" i="35"/>
  <c r="Y252" i="35"/>
  <c r="Q252" i="35"/>
  <c r="M252" i="35"/>
  <c r="O252" i="35"/>
  <c r="B1652" i="41"/>
  <c r="N869" i="35"/>
  <c r="B1650" i="41"/>
  <c r="B1651" i="41"/>
  <c r="O869" i="35"/>
  <c r="L869" i="35"/>
  <c r="B1649" i="41"/>
  <c r="W869" i="35"/>
  <c r="K869" i="35"/>
  <c r="M869" i="35"/>
  <c r="Y869" i="35"/>
  <c r="G855" i="35"/>
  <c r="B860" i="55"/>
  <c r="K639" i="35"/>
  <c r="L639" i="35"/>
  <c r="C1165" i="41"/>
  <c r="O639" i="35"/>
  <c r="M639" i="35"/>
  <c r="Y639" i="35"/>
  <c r="N639" i="35"/>
  <c r="W639" i="35"/>
  <c r="X639" i="35" s="1"/>
  <c r="M670" i="35"/>
  <c r="L670" i="35"/>
  <c r="K670" i="35"/>
  <c r="N670" i="35"/>
  <c r="W670" i="35"/>
  <c r="C1213" i="41"/>
  <c r="O670" i="35"/>
  <c r="Y670" i="35"/>
  <c r="B689" i="55"/>
  <c r="G684" i="35"/>
  <c r="W373" i="35"/>
  <c r="Y373" i="35"/>
  <c r="M373" i="35"/>
  <c r="Q373" i="35"/>
  <c r="O373" i="35"/>
  <c r="K373" i="35"/>
  <c r="P373" i="35"/>
  <c r="N373" i="35"/>
  <c r="B954" i="41"/>
  <c r="L373" i="35"/>
  <c r="W865" i="35"/>
  <c r="O865" i="35"/>
  <c r="Y865" i="35"/>
  <c r="K865" i="35"/>
  <c r="M865" i="35"/>
  <c r="L865" i="35"/>
  <c r="C1645" i="41"/>
  <c r="N865" i="35"/>
  <c r="G556" i="35"/>
  <c r="B561" i="55"/>
  <c r="G290" i="35"/>
  <c r="B295" i="55"/>
  <c r="W239" i="35"/>
  <c r="X239" i="35" s="1"/>
  <c r="K239" i="35"/>
  <c r="Y239" i="35"/>
  <c r="O239" i="35"/>
  <c r="M239" i="35"/>
  <c r="B820" i="41"/>
  <c r="N239" i="35"/>
  <c r="P239" i="35"/>
  <c r="Q239" i="35"/>
  <c r="L239" i="35"/>
  <c r="B651" i="55"/>
  <c r="G646" i="35"/>
  <c r="G720" i="35"/>
  <c r="B725" i="55"/>
  <c r="B327" i="55"/>
  <c r="G322" i="35"/>
  <c r="B779" i="55"/>
  <c r="G774" i="35"/>
  <c r="P628" i="35"/>
  <c r="O628" i="35"/>
  <c r="C1143" i="41"/>
  <c r="M628" i="35"/>
  <c r="K628" i="35"/>
  <c r="Y628" i="35"/>
  <c r="L628" i="35"/>
  <c r="Q628" i="35"/>
  <c r="N628" i="35"/>
  <c r="W628" i="35"/>
  <c r="W665" i="35"/>
  <c r="X665" i="35" s="1"/>
  <c r="N665" i="35"/>
  <c r="M665" i="35"/>
  <c r="K665" i="35"/>
  <c r="O665" i="35"/>
  <c r="P665" i="35"/>
  <c r="Y665" i="35"/>
  <c r="L665" i="35"/>
  <c r="L607" i="35"/>
  <c r="K607" i="35"/>
  <c r="Y607" i="35"/>
  <c r="O607" i="35"/>
  <c r="W607" i="35"/>
  <c r="M607" i="35"/>
  <c r="C1112" i="41"/>
  <c r="B780" i="55"/>
  <c r="G775" i="35"/>
  <c r="Q632" i="35"/>
  <c r="M632" i="35"/>
  <c r="W632" i="35"/>
  <c r="N632" i="35"/>
  <c r="Y632" i="35"/>
  <c r="K632" i="35"/>
  <c r="O632" i="35"/>
  <c r="L632" i="35"/>
  <c r="G35" i="35"/>
  <c r="B40" i="55"/>
  <c r="L208" i="35"/>
  <c r="N208" i="35"/>
  <c r="O208" i="35"/>
  <c r="Y208" i="35"/>
  <c r="Q208" i="35"/>
  <c r="K208" i="35"/>
  <c r="B789" i="41"/>
  <c r="W208" i="35"/>
  <c r="M208" i="35"/>
  <c r="P208" i="35"/>
  <c r="B863" i="55"/>
  <c r="G858" i="35"/>
  <c r="G12" i="30"/>
  <c r="B611" i="55"/>
  <c r="G606" i="35"/>
  <c r="B680" i="55"/>
  <c r="G675" i="35"/>
  <c r="B784" i="55"/>
  <c r="G779" i="35"/>
  <c r="B637" i="55"/>
  <c r="G632" i="35"/>
  <c r="W321" i="35"/>
  <c r="X321" i="35" s="1"/>
  <c r="Y321" i="35"/>
  <c r="Q321" i="35"/>
  <c r="M321" i="35"/>
  <c r="B902" i="41"/>
  <c r="P321" i="35"/>
  <c r="N321" i="35"/>
  <c r="L321" i="35"/>
  <c r="K321" i="35"/>
  <c r="O321" i="35"/>
  <c r="C1647" i="41"/>
  <c r="W867" i="35"/>
  <c r="O867" i="35"/>
  <c r="N867" i="35"/>
  <c r="K867" i="35"/>
  <c r="M867" i="35"/>
  <c r="L867" i="35"/>
  <c r="Y867" i="35"/>
  <c r="G739" i="35"/>
  <c r="B744" i="55"/>
  <c r="B364" i="55"/>
  <c r="G359" i="35"/>
  <c r="L746" i="35"/>
  <c r="K746" i="35"/>
  <c r="C1371" i="41"/>
  <c r="W746" i="35"/>
  <c r="O746" i="35"/>
  <c r="Y746" i="35"/>
  <c r="M746" i="35"/>
  <c r="N746" i="35"/>
  <c r="B338" i="55"/>
  <c r="G333" i="35"/>
  <c r="Y330" i="35"/>
  <c r="Q330" i="35"/>
  <c r="K330" i="35"/>
  <c r="W330" i="35"/>
  <c r="X330" i="35" s="1"/>
  <c r="N330" i="35"/>
  <c r="B911" i="41"/>
  <c r="P330" i="35"/>
  <c r="L330" i="35"/>
  <c r="O330" i="35"/>
  <c r="M330" i="35"/>
  <c r="L251" i="35"/>
  <c r="P251" i="35"/>
  <c r="K251" i="35"/>
  <c r="N251" i="35"/>
  <c r="O251" i="35"/>
  <c r="Y251" i="35"/>
  <c r="W251" i="35"/>
  <c r="M251" i="35"/>
  <c r="Q251" i="35"/>
  <c r="B832" i="41"/>
  <c r="G717" i="35"/>
  <c r="B722" i="55"/>
  <c r="G783" i="35"/>
  <c r="B788" i="55"/>
  <c r="B878" i="55"/>
  <c r="G873" i="35"/>
  <c r="B1313" i="41"/>
  <c r="W720" i="35"/>
  <c r="X720" i="35" s="1"/>
  <c r="L720" i="35"/>
  <c r="B1310" i="41"/>
  <c r="B1312" i="41"/>
  <c r="N720" i="35"/>
  <c r="M720" i="35"/>
  <c r="Y720" i="35"/>
  <c r="K720" i="35"/>
  <c r="B1311" i="41"/>
  <c r="G306" i="35"/>
  <c r="B311" i="55"/>
  <c r="M727" i="35"/>
  <c r="L727" i="35"/>
  <c r="Y727" i="35"/>
  <c r="P727" i="35"/>
  <c r="K727" i="35"/>
  <c r="N727" i="35"/>
  <c r="W727" i="35"/>
  <c r="X727" i="35" s="1"/>
  <c r="O727" i="35"/>
  <c r="G307" i="35"/>
  <c r="B312" i="55"/>
  <c r="G280" i="35"/>
  <c r="B285" i="55"/>
  <c r="W250" i="35"/>
  <c r="X250" i="35" s="1"/>
  <c r="N250" i="35"/>
  <c r="L250" i="35"/>
  <c r="B831" i="41"/>
  <c r="K250" i="35"/>
  <c r="M250" i="35"/>
  <c r="P250" i="35"/>
  <c r="Q250" i="35"/>
  <c r="Y250" i="35"/>
  <c r="O250" i="35"/>
  <c r="Y372" i="35"/>
  <c r="P372" i="35"/>
  <c r="O372" i="35"/>
  <c r="N372" i="35"/>
  <c r="W372" i="35"/>
  <c r="B953" i="41"/>
  <c r="M372" i="35"/>
  <c r="K372" i="35"/>
  <c r="Q372" i="35"/>
  <c r="L372" i="35"/>
  <c r="L734" i="35"/>
  <c r="K734" i="35"/>
  <c r="M734" i="35"/>
  <c r="P734" i="35"/>
  <c r="O734" i="35"/>
  <c r="Y734" i="35"/>
  <c r="N734" i="35"/>
  <c r="W734" i="35"/>
  <c r="B360" i="55"/>
  <c r="G355" i="35"/>
  <c r="B707" i="55"/>
  <c r="G702" i="35"/>
  <c r="G155" i="35"/>
  <c r="B160" i="55"/>
  <c r="K611" i="35"/>
  <c r="Y611" i="35"/>
  <c r="O611" i="35"/>
  <c r="L611" i="35"/>
  <c r="C1120" i="41"/>
  <c r="W611" i="35"/>
  <c r="N611" i="35"/>
  <c r="M611" i="35"/>
  <c r="Y640" i="35"/>
  <c r="N640" i="35"/>
  <c r="L640" i="35"/>
  <c r="C1166" i="41"/>
  <c r="M640" i="35"/>
  <c r="K640" i="35"/>
  <c r="O640" i="35"/>
  <c r="W640" i="35"/>
  <c r="B275" i="55"/>
  <c r="G270" i="35"/>
  <c r="B324" i="55"/>
  <c r="G319" i="35"/>
  <c r="M769" i="35"/>
  <c r="Y769" i="35"/>
  <c r="B1421" i="41"/>
  <c r="B1422" i="41"/>
  <c r="O769" i="35"/>
  <c r="W769" i="35"/>
  <c r="K769" i="35"/>
  <c r="L769" i="35"/>
  <c r="B1420" i="41"/>
  <c r="N769" i="35"/>
  <c r="B1419" i="41"/>
  <c r="W171" i="35"/>
  <c r="B752" i="41"/>
  <c r="L171" i="35"/>
  <c r="N171" i="35"/>
  <c r="Y171" i="35"/>
  <c r="M171" i="35"/>
  <c r="K171" i="35"/>
  <c r="G282" i="35"/>
  <c r="B287" i="55"/>
  <c r="B139" i="55"/>
  <c r="G134" i="35"/>
  <c r="B746" i="55"/>
  <c r="G741" i="35"/>
  <c r="O688" i="35"/>
  <c r="Y688" i="35"/>
  <c r="W688" i="35"/>
  <c r="L688" i="35"/>
  <c r="N688" i="35"/>
  <c r="M688" i="35"/>
  <c r="K688" i="35"/>
  <c r="Q688" i="35"/>
  <c r="K725" i="35"/>
  <c r="N725" i="35"/>
  <c r="C1323" i="41"/>
  <c r="Y725" i="35"/>
  <c r="M725" i="35"/>
  <c r="L725" i="35"/>
  <c r="O725" i="35"/>
  <c r="W725" i="35"/>
  <c r="K717" i="35"/>
  <c r="L717" i="35"/>
  <c r="M717" i="35"/>
  <c r="Y717" i="35"/>
  <c r="W717" i="35"/>
  <c r="P717" i="35"/>
  <c r="N717" i="35"/>
  <c r="O717" i="35"/>
  <c r="L831" i="35"/>
  <c r="C1567" i="41"/>
  <c r="N831" i="35"/>
  <c r="Y831" i="35"/>
  <c r="M831" i="35"/>
  <c r="K831" i="35"/>
  <c r="O831" i="35"/>
  <c r="W831" i="35"/>
  <c r="B739" i="55"/>
  <c r="G734" i="35"/>
  <c r="B483" i="55"/>
  <c r="G478" i="35"/>
  <c r="N626" i="35"/>
  <c r="C1141" i="41"/>
  <c r="Y626" i="35"/>
  <c r="O626" i="35"/>
  <c r="W626" i="35"/>
  <c r="M626" i="35"/>
  <c r="P626" i="35"/>
  <c r="K626" i="35"/>
  <c r="L626" i="35"/>
  <c r="P627" i="35"/>
  <c r="O701" i="35"/>
  <c r="Y701" i="35"/>
  <c r="M701" i="35"/>
  <c r="B1267" i="41"/>
  <c r="B1266" i="41"/>
  <c r="K701" i="35"/>
  <c r="B1268" i="41"/>
  <c r="L701" i="35"/>
  <c r="W701" i="35"/>
  <c r="N701" i="35"/>
  <c r="B1265" i="41"/>
  <c r="G259" i="35"/>
  <c r="B264" i="55"/>
  <c r="O248" i="35"/>
  <c r="L248" i="35"/>
  <c r="Q248" i="35"/>
  <c r="B829" i="41"/>
  <c r="Y248" i="35"/>
  <c r="M248" i="35"/>
  <c r="W248" i="35"/>
  <c r="P248" i="35"/>
  <c r="K248" i="35"/>
  <c r="N248" i="35"/>
  <c r="B575" i="55"/>
  <c r="G570" i="35"/>
  <c r="P187" i="35"/>
  <c r="O187" i="35"/>
  <c r="Q187" i="35"/>
  <c r="K187" i="35"/>
  <c r="M187" i="35"/>
  <c r="W187" i="35"/>
  <c r="X187" i="35" s="1"/>
  <c r="N187" i="35"/>
  <c r="B768" i="41"/>
  <c r="L187" i="35"/>
  <c r="Y187" i="35"/>
  <c r="G145" i="35"/>
  <c r="B150" i="55"/>
  <c r="G284" i="35"/>
  <c r="B289" i="55"/>
  <c r="G343" i="35"/>
  <c r="B348" i="55"/>
  <c r="Y694" i="35"/>
  <c r="P694" i="35"/>
  <c r="W694" i="35"/>
  <c r="M694" i="35"/>
  <c r="O694" i="35"/>
  <c r="C1254" i="41"/>
  <c r="L694" i="35"/>
  <c r="N694" i="35"/>
  <c r="K694" i="35"/>
  <c r="B620" i="55"/>
  <c r="G615" i="35"/>
  <c r="O320" i="35"/>
  <c r="P320" i="35"/>
  <c r="Y320" i="35"/>
  <c r="L320" i="35"/>
  <c r="K320" i="35"/>
  <c r="M320" i="35"/>
  <c r="B901" i="41"/>
  <c r="Q320" i="35"/>
  <c r="W320" i="35"/>
  <c r="X320" i="35" s="1"/>
  <c r="N320" i="35"/>
  <c r="B850" i="55"/>
  <c r="G845" i="35"/>
  <c r="B826" i="55"/>
  <c r="G821" i="35"/>
  <c r="G212" i="35"/>
  <c r="B217" i="55"/>
  <c r="N308" i="35"/>
  <c r="M308" i="35"/>
  <c r="P308" i="35"/>
  <c r="K308" i="35"/>
  <c r="O308" i="35"/>
  <c r="B889" i="41"/>
  <c r="Y308" i="35"/>
  <c r="L308" i="35"/>
  <c r="Q308" i="35"/>
  <c r="W308" i="35"/>
  <c r="X308" i="35" s="1"/>
  <c r="B716" i="41"/>
  <c r="L135" i="35"/>
  <c r="K135" i="35"/>
  <c r="N135" i="35"/>
  <c r="W135" i="35"/>
  <c r="M135" i="35"/>
  <c r="Y135" i="35"/>
  <c r="B644" i="55"/>
  <c r="G639" i="35"/>
  <c r="W785" i="35"/>
  <c r="X785" i="35" s="1"/>
  <c r="N785" i="35"/>
  <c r="K785" i="35"/>
  <c r="Y785" i="35"/>
  <c r="P785" i="35"/>
  <c r="L785" i="35"/>
  <c r="O785" i="35"/>
  <c r="M785" i="35"/>
  <c r="G178" i="35"/>
  <c r="B183" i="55"/>
  <c r="B836" i="55"/>
  <c r="G831" i="35"/>
  <c r="G776" i="35"/>
  <c r="B781" i="55"/>
  <c r="G165" i="35"/>
  <c r="B170" i="55"/>
  <c r="W361" i="35"/>
  <c r="B942" i="41"/>
  <c r="N361" i="35"/>
  <c r="O361" i="35"/>
  <c r="P361" i="35"/>
  <c r="Y361" i="35"/>
  <c r="Q361" i="35"/>
  <c r="L361" i="35"/>
  <c r="M361" i="35"/>
  <c r="K361" i="35"/>
  <c r="M612" i="35"/>
  <c r="N612" i="35"/>
  <c r="K612" i="35"/>
  <c r="W612" i="35"/>
  <c r="X612" i="35" s="1"/>
  <c r="L612" i="35"/>
  <c r="O612" i="35"/>
  <c r="Y612" i="35"/>
  <c r="C1121" i="41"/>
  <c r="W814" i="35"/>
  <c r="L814" i="35"/>
  <c r="O814" i="35"/>
  <c r="N814" i="35"/>
  <c r="Y814" i="35"/>
  <c r="M814" i="35"/>
  <c r="C1528" i="41"/>
  <c r="K814" i="35"/>
  <c r="L728" i="35"/>
  <c r="P728" i="35"/>
  <c r="Y728" i="35"/>
  <c r="M728" i="35"/>
  <c r="O728" i="35"/>
  <c r="C1330" i="41"/>
  <c r="W728" i="35"/>
  <c r="N728" i="35"/>
  <c r="K728" i="35"/>
  <c r="L164" i="35"/>
  <c r="B745" i="41"/>
  <c r="M164" i="35"/>
  <c r="W164" i="35"/>
  <c r="Y164" i="35"/>
  <c r="K164" i="35"/>
  <c r="N164" i="35"/>
  <c r="G621" i="35"/>
  <c r="B626" i="55"/>
  <c r="M740" i="35"/>
  <c r="K740" i="35"/>
  <c r="P740" i="35"/>
  <c r="L740" i="35"/>
  <c r="W740" i="35"/>
  <c r="Y740" i="35"/>
  <c r="B1174" i="41"/>
  <c r="K645" i="35"/>
  <c r="O645" i="35"/>
  <c r="Y645" i="35"/>
  <c r="B1175" i="41"/>
  <c r="B1177" i="41"/>
  <c r="L645" i="35"/>
  <c r="M645" i="35"/>
  <c r="N645" i="35"/>
  <c r="W645" i="35"/>
  <c r="B1176" i="41"/>
  <c r="G828" i="35"/>
  <c r="B833" i="55"/>
  <c r="G674" i="35"/>
  <c r="B679" i="55"/>
  <c r="B278" i="55"/>
  <c r="G273" i="35"/>
  <c r="L137" i="35"/>
  <c r="B718" i="41"/>
  <c r="M137" i="35"/>
  <c r="N137" i="35"/>
  <c r="W137" i="35"/>
  <c r="K137" i="35"/>
  <c r="Y137" i="35"/>
  <c r="W753" i="35"/>
  <c r="X753" i="35" s="1"/>
  <c r="K753" i="35"/>
  <c r="Y753" i="35"/>
  <c r="B1386" i="41"/>
  <c r="M753" i="35"/>
  <c r="L753" i="35"/>
  <c r="N753" i="35"/>
  <c r="G637" i="35"/>
  <c r="B642" i="55"/>
  <c r="Y327" i="35"/>
  <c r="N327" i="35"/>
  <c r="Q327" i="35"/>
  <c r="K327" i="35"/>
  <c r="M327" i="35"/>
  <c r="P327" i="35"/>
  <c r="B908" i="41"/>
  <c r="L327" i="35"/>
  <c r="W327" i="35"/>
  <c r="O327" i="35"/>
  <c r="Y693" i="35"/>
  <c r="W693" i="35"/>
  <c r="M693" i="35"/>
  <c r="K693" i="35"/>
  <c r="L693" i="35"/>
  <c r="N693" i="35"/>
  <c r="O693" i="35"/>
  <c r="P693" i="35"/>
  <c r="Y609" i="35"/>
  <c r="O609" i="35"/>
  <c r="N609" i="35"/>
  <c r="L609" i="35"/>
  <c r="M609" i="35"/>
  <c r="K609" i="35"/>
  <c r="P609" i="35"/>
  <c r="W609" i="35"/>
  <c r="B239" i="55"/>
  <c r="G234" i="35"/>
  <c r="G745" i="35"/>
  <c r="B750" i="55"/>
  <c r="G681" i="35"/>
  <c r="B686" i="55"/>
  <c r="W651" i="35"/>
  <c r="M651" i="35"/>
  <c r="N651" i="35"/>
  <c r="K651" i="35"/>
  <c r="Y651" i="35"/>
  <c r="O651" i="35"/>
  <c r="L651" i="35"/>
  <c r="C1183" i="41"/>
  <c r="O742" i="35"/>
  <c r="L742" i="35"/>
  <c r="N742" i="35"/>
  <c r="M742" i="35"/>
  <c r="K742" i="35"/>
  <c r="C1362" i="41"/>
  <c r="Y742" i="35"/>
  <c r="W742" i="35"/>
  <c r="G381" i="35"/>
  <c r="B386" i="55"/>
  <c r="B273" i="55"/>
  <c r="G268" i="35"/>
  <c r="G592" i="35"/>
  <c r="B597" i="55"/>
  <c r="K647" i="35"/>
  <c r="Y647" i="35"/>
  <c r="M655" i="35"/>
  <c r="L647" i="35"/>
  <c r="W647" i="35"/>
  <c r="C1180" i="41"/>
  <c r="W277" i="35"/>
  <c r="L277" i="35"/>
  <c r="Y277" i="35"/>
  <c r="Q277" i="35"/>
  <c r="B858" i="41"/>
  <c r="P277" i="35"/>
  <c r="O277" i="35"/>
  <c r="M277" i="35"/>
  <c r="K277" i="35"/>
  <c r="N277" i="35"/>
  <c r="K185" i="35"/>
  <c r="O185" i="35"/>
  <c r="Q185" i="35"/>
  <c r="L185" i="35"/>
  <c r="N185" i="35"/>
  <c r="B766" i="41"/>
  <c r="Y185" i="35"/>
  <c r="P185" i="35"/>
  <c r="M185" i="35"/>
  <c r="W185" i="35"/>
  <c r="B1460" i="41"/>
  <c r="M786" i="35"/>
  <c r="C1457" i="41"/>
  <c r="L786" i="35"/>
  <c r="B1458" i="41"/>
  <c r="Y786" i="35"/>
  <c r="B1459" i="41"/>
  <c r="N786" i="35"/>
  <c r="W786" i="35"/>
  <c r="B1461" i="41"/>
  <c r="O786" i="35"/>
  <c r="K786" i="35"/>
  <c r="N762" i="35"/>
  <c r="M762" i="35"/>
  <c r="P762" i="35"/>
  <c r="Y762" i="35"/>
  <c r="W762" i="35"/>
  <c r="O762" i="35"/>
  <c r="L762" i="35"/>
  <c r="K762" i="35"/>
  <c r="C1408" i="41"/>
  <c r="B876" i="55"/>
  <c r="G871" i="35"/>
  <c r="G663" i="35"/>
  <c r="B668" i="55"/>
  <c r="G653" i="35"/>
  <c r="B658" i="55"/>
  <c r="G757" i="35"/>
  <c r="B762" i="55"/>
  <c r="B702" i="55"/>
  <c r="G697" i="35"/>
  <c r="N873" i="35"/>
  <c r="O873" i="35"/>
  <c r="P873" i="35"/>
  <c r="L873" i="35"/>
  <c r="D355" i="41"/>
  <c r="M873" i="35"/>
  <c r="S873" i="35"/>
  <c r="W873" i="35"/>
  <c r="K873" i="35"/>
  <c r="Y873" i="35"/>
  <c r="Q873" i="35"/>
  <c r="R873" i="35"/>
  <c r="M782" i="35"/>
  <c r="C1451" i="41"/>
  <c r="N782" i="35"/>
  <c r="O782" i="35"/>
  <c r="W782" i="35"/>
  <c r="Y782" i="35"/>
  <c r="K782" i="35"/>
  <c r="L782" i="35"/>
  <c r="G243" i="35"/>
  <c r="B248" i="55"/>
  <c r="M168" i="35"/>
  <c r="L168" i="35"/>
  <c r="Y168" i="35"/>
  <c r="N168" i="35"/>
  <c r="W168" i="35"/>
  <c r="B749" i="41"/>
  <c r="K168" i="35"/>
  <c r="B490" i="55"/>
  <c r="G485" i="35"/>
  <c r="L603" i="35"/>
  <c r="N603" i="35"/>
  <c r="B1108" i="41"/>
  <c r="W603" i="35"/>
  <c r="Y603" i="35"/>
  <c r="B1105" i="41"/>
  <c r="B1106" i="41" s="1"/>
  <c r="M603" i="35"/>
  <c r="B1107" i="41"/>
  <c r="O603" i="35"/>
  <c r="B1109" i="41"/>
  <c r="K603" i="35"/>
  <c r="B28" i="55"/>
  <c r="G23" i="35"/>
  <c r="B608" i="55"/>
  <c r="G603" i="35"/>
  <c r="M233" i="35"/>
  <c r="N233" i="35"/>
  <c r="K233" i="35"/>
  <c r="B814" i="41"/>
  <c r="Y233" i="35"/>
  <c r="L233" i="35"/>
  <c r="W233" i="35"/>
  <c r="P233" i="35"/>
  <c r="Q233" i="35"/>
  <c r="O233" i="35"/>
  <c r="B209" i="55"/>
  <c r="G204" i="35"/>
  <c r="C1093" i="41"/>
  <c r="M595" i="35"/>
  <c r="L595" i="35"/>
  <c r="Y595" i="35"/>
  <c r="K595" i="35"/>
  <c r="O595" i="35"/>
  <c r="W595" i="35"/>
  <c r="N595" i="35"/>
  <c r="G286" i="35"/>
  <c r="B291" i="55"/>
  <c r="Y24" i="35"/>
  <c r="K24" i="35"/>
  <c r="J24" i="35" s="1" a="1"/>
  <c r="J24" i="35" s="1"/>
  <c r="D24" i="35" s="1"/>
  <c r="W24" i="35"/>
  <c r="E33" i="41"/>
  <c r="G33" i="41"/>
  <c r="H34" i="41"/>
  <c r="F34" i="41"/>
  <c r="C1411" i="41"/>
  <c r="N764" i="35"/>
  <c r="L764" i="35"/>
  <c r="M764" i="35"/>
  <c r="W764" i="35"/>
  <c r="Y764" i="35"/>
  <c r="K764" i="35"/>
  <c r="O764" i="35"/>
  <c r="B377" i="55"/>
  <c r="G372" i="35"/>
  <c r="B760" i="55"/>
  <c r="G755" i="35"/>
  <c r="B864" i="55"/>
  <c r="G859" i="35"/>
  <c r="N745" i="35"/>
  <c r="C1369" i="41"/>
  <c r="O745" i="35"/>
  <c r="L745" i="35"/>
  <c r="W745" i="35"/>
  <c r="Y745" i="35"/>
  <c r="K745" i="35"/>
  <c r="P745" i="35"/>
  <c r="M745" i="35"/>
  <c r="N846" i="35"/>
  <c r="P846" i="35"/>
  <c r="W846" i="35"/>
  <c r="L846" i="35"/>
  <c r="M846" i="35"/>
  <c r="Y846" i="35"/>
  <c r="K846" i="35"/>
  <c r="O846" i="35"/>
  <c r="G321" i="35"/>
  <c r="B326" i="55"/>
  <c r="K275" i="35"/>
  <c r="N275" i="35"/>
  <c r="P275" i="35"/>
  <c r="B856" i="41"/>
  <c r="O275" i="35"/>
  <c r="W275" i="35"/>
  <c r="M275" i="35"/>
  <c r="Q275" i="35"/>
  <c r="Y275" i="35"/>
  <c r="L275" i="35"/>
  <c r="B798" i="41"/>
  <c r="W217" i="35"/>
  <c r="Q217" i="35"/>
  <c r="O217" i="35"/>
  <c r="Y217" i="35"/>
  <c r="P217" i="35"/>
  <c r="K217" i="35"/>
  <c r="M217" i="35"/>
  <c r="L217" i="35"/>
  <c r="N217" i="35"/>
  <c r="B814" i="55"/>
  <c r="G809" i="35"/>
  <c r="B173" i="55"/>
  <c r="G168" i="35"/>
  <c r="W852" i="35"/>
  <c r="X852" i="35" s="1"/>
  <c r="M852" i="35"/>
  <c r="K852" i="35"/>
  <c r="N852" i="35"/>
  <c r="Y852" i="35"/>
  <c r="O852" i="35"/>
  <c r="B1613" i="41"/>
  <c r="B1612" i="41"/>
  <c r="B1611" i="41"/>
  <c r="L852" i="35"/>
  <c r="B1610" i="41"/>
  <c r="O292" i="35"/>
  <c r="M292" i="35"/>
  <c r="N292" i="35"/>
  <c r="K292" i="35"/>
  <c r="P292" i="35"/>
  <c r="B873" i="41"/>
  <c r="L292" i="35"/>
  <c r="Y292" i="35"/>
  <c r="Q292" i="35"/>
  <c r="W292" i="35"/>
  <c r="Y732" i="35"/>
  <c r="C1335" i="41"/>
  <c r="L732" i="35"/>
  <c r="W732" i="35"/>
  <c r="N732" i="35"/>
  <c r="O732" i="35"/>
  <c r="K732" i="35"/>
  <c r="M732" i="35"/>
  <c r="B144" i="55"/>
  <c r="G139" i="35"/>
  <c r="L829" i="35"/>
  <c r="N829" i="35"/>
  <c r="W829" i="35"/>
  <c r="M829" i="35"/>
  <c r="P829" i="35"/>
  <c r="O829" i="35"/>
  <c r="Y829" i="35"/>
  <c r="K829" i="35"/>
  <c r="O378" i="35"/>
  <c r="W378" i="35"/>
  <c r="N378" i="35"/>
  <c r="L378" i="35"/>
  <c r="M378" i="35"/>
  <c r="K378" i="35"/>
  <c r="Y378" i="35"/>
  <c r="B1002" i="41"/>
  <c r="N237" i="35"/>
  <c r="Q237" i="35"/>
  <c r="M237" i="35"/>
  <c r="P237" i="35"/>
  <c r="Y237" i="35"/>
  <c r="B818" i="41"/>
  <c r="O237" i="35"/>
  <c r="W237" i="35"/>
  <c r="L237" i="35"/>
  <c r="K237" i="35"/>
  <c r="O350" i="35"/>
  <c r="W350" i="35"/>
  <c r="L350" i="35"/>
  <c r="K350" i="35"/>
  <c r="M350" i="35"/>
  <c r="P350" i="35"/>
  <c r="B931" i="41"/>
  <c r="N350" i="35"/>
  <c r="Y350" i="35"/>
  <c r="Q350" i="35"/>
  <c r="B832" i="55"/>
  <c r="G827" i="35"/>
  <c r="G302" i="35"/>
  <c r="B307" i="55"/>
  <c r="L722" i="35"/>
  <c r="W722" i="35"/>
  <c r="Y722" i="35"/>
  <c r="M722" i="35"/>
  <c r="Q722" i="35"/>
  <c r="K722" i="35"/>
  <c r="W606" i="35"/>
  <c r="M606" i="35"/>
  <c r="K606" i="35"/>
  <c r="Y606" i="35"/>
  <c r="L606" i="35"/>
  <c r="N606" i="35"/>
  <c r="C1111" i="41"/>
  <c r="G607" i="35"/>
  <c r="B612" i="55"/>
  <c r="B687" i="55"/>
  <c r="G682" i="35"/>
  <c r="L297" i="35"/>
  <c r="Q297" i="35"/>
  <c r="B878" i="41"/>
  <c r="M297" i="35"/>
  <c r="O297" i="35"/>
  <c r="N297" i="35"/>
  <c r="P297" i="35"/>
  <c r="Y297" i="35"/>
  <c r="K297" i="35"/>
  <c r="W297" i="35"/>
  <c r="G6" i="30"/>
  <c r="Y271" i="35"/>
  <c r="W271" i="35"/>
  <c r="P271" i="35"/>
  <c r="O271" i="35"/>
  <c r="B852" i="41"/>
  <c r="M271" i="35"/>
  <c r="Q271" i="35"/>
  <c r="L271" i="35"/>
  <c r="K271" i="35"/>
  <c r="N271" i="35"/>
  <c r="K833" i="35"/>
  <c r="O833" i="35"/>
  <c r="L833" i="35"/>
  <c r="M833" i="35"/>
  <c r="W833" i="35"/>
  <c r="Y833" i="35"/>
  <c r="N833" i="35"/>
  <c r="C1569" i="41"/>
  <c r="Y377" i="35"/>
  <c r="N377" i="35"/>
  <c r="L377" i="35"/>
  <c r="W377" i="35"/>
  <c r="B1001" i="41"/>
  <c r="M377" i="35"/>
  <c r="K377" i="35"/>
  <c r="O377" i="35"/>
  <c r="G346" i="35"/>
  <c r="B351" i="55"/>
  <c r="Q274" i="35"/>
  <c r="N274" i="35"/>
  <c r="B855" i="41"/>
  <c r="Y274" i="35"/>
  <c r="P274" i="35"/>
  <c r="M274" i="35"/>
  <c r="L274" i="35"/>
  <c r="W274" i="35"/>
  <c r="O274" i="35"/>
  <c r="K274" i="35"/>
  <c r="M363" i="35"/>
  <c r="L363" i="35"/>
  <c r="W363" i="35"/>
  <c r="X363" i="35" s="1"/>
  <c r="N363" i="35"/>
  <c r="K363" i="35"/>
  <c r="P363" i="35"/>
  <c r="Q363" i="35"/>
  <c r="B944" i="41"/>
  <c r="Y363" i="35"/>
  <c r="O363" i="35"/>
  <c r="P281" i="35"/>
  <c r="Y281" i="35"/>
  <c r="W281" i="35"/>
  <c r="K281" i="35"/>
  <c r="M281" i="35"/>
  <c r="B862" i="41"/>
  <c r="N281" i="35"/>
  <c r="Q281" i="35"/>
  <c r="L281" i="35"/>
  <c r="O281" i="35"/>
  <c r="P200" i="35"/>
  <c r="W200" i="35"/>
  <c r="M200" i="35"/>
  <c r="O200" i="35"/>
  <c r="Q200" i="35"/>
  <c r="Y200" i="35"/>
  <c r="K200" i="35"/>
  <c r="L200" i="35"/>
  <c r="B781" i="41"/>
  <c r="N200" i="35"/>
  <c r="G263" i="35"/>
  <c r="B268" i="55"/>
  <c r="K325" i="35"/>
  <c r="P325" i="35"/>
  <c r="O325" i="35"/>
  <c r="L325" i="35"/>
  <c r="B906" i="41"/>
  <c r="W325" i="35"/>
  <c r="N325" i="35"/>
  <c r="Y325" i="35"/>
  <c r="M325" i="35"/>
  <c r="Q325" i="35"/>
  <c r="G673" i="35"/>
  <c r="B678" i="55"/>
  <c r="Q371" i="35"/>
  <c r="M371" i="35"/>
  <c r="O371" i="35"/>
  <c r="L371" i="35"/>
  <c r="W371" i="35"/>
  <c r="B952" i="41"/>
  <c r="P371" i="35"/>
  <c r="N371" i="35"/>
  <c r="K371" i="35"/>
  <c r="Y371" i="35"/>
  <c r="B858" i="55"/>
  <c r="G853" i="35"/>
  <c r="O824" i="35"/>
  <c r="K824" i="35"/>
  <c r="Q824" i="35"/>
  <c r="L824" i="35"/>
  <c r="M824" i="35"/>
  <c r="W824" i="35"/>
  <c r="Y824" i="35"/>
  <c r="N824" i="35"/>
  <c r="G726" i="35"/>
  <c r="B731" i="55"/>
  <c r="O236" i="35"/>
  <c r="B817" i="41"/>
  <c r="N236" i="35"/>
  <c r="Y236" i="35"/>
  <c r="K236" i="35"/>
  <c r="W236" i="35"/>
  <c r="Q236" i="35"/>
  <c r="M236" i="35"/>
  <c r="L236" i="35"/>
  <c r="P236" i="35"/>
  <c r="G626" i="35"/>
  <c r="B631" i="55"/>
  <c r="P240" i="35"/>
  <c r="B821" i="41"/>
  <c r="Q240" i="35"/>
  <c r="N240" i="35"/>
  <c r="W240" i="35"/>
  <c r="L240" i="35"/>
  <c r="M240" i="35"/>
  <c r="Y240" i="35"/>
  <c r="K240" i="35"/>
  <c r="O240" i="35"/>
  <c r="B701" i="55"/>
  <c r="G696" i="35"/>
  <c r="M158" i="35"/>
  <c r="K158" i="35"/>
  <c r="B739" i="41"/>
  <c r="Y158" i="35"/>
  <c r="L158" i="35"/>
  <c r="N158" i="35"/>
  <c r="W158" i="35"/>
  <c r="P221" i="35"/>
  <c r="B802" i="41"/>
  <c r="L221" i="35"/>
  <c r="M221" i="35"/>
  <c r="K221" i="35"/>
  <c r="W221" i="35"/>
  <c r="Y221" i="35"/>
  <c r="O221" i="35"/>
  <c r="Q221" i="35"/>
  <c r="N221" i="35"/>
  <c r="M157" i="35"/>
  <c r="L157" i="35"/>
  <c r="B738" i="41"/>
  <c r="Y157" i="35"/>
  <c r="W157" i="35"/>
  <c r="K157" i="35"/>
  <c r="N157" i="35"/>
  <c r="B615" i="55"/>
  <c r="G610" i="35"/>
  <c r="G670" i="35"/>
  <c r="B675" i="55"/>
  <c r="W567" i="35"/>
  <c r="C1048" i="41"/>
  <c r="N567" i="35"/>
  <c r="O567" i="35"/>
  <c r="L567" i="35"/>
  <c r="Y567" i="35"/>
  <c r="K567" i="35"/>
  <c r="M567" i="35"/>
  <c r="B286" i="55"/>
  <c r="G281" i="35"/>
  <c r="Y180" i="35"/>
  <c r="L180" i="35"/>
  <c r="K180" i="35"/>
  <c r="B761" i="41"/>
  <c r="N180" i="35"/>
  <c r="Q180" i="35"/>
  <c r="M180" i="35"/>
  <c r="O180" i="35"/>
  <c r="W180" i="35"/>
  <c r="P180" i="35"/>
  <c r="G740" i="35"/>
  <c r="B745" i="55"/>
  <c r="O243" i="35"/>
  <c r="M243" i="35"/>
  <c r="N243" i="35"/>
  <c r="L243" i="35"/>
  <c r="Q243" i="35"/>
  <c r="P243" i="35"/>
  <c r="Y243" i="35"/>
  <c r="W243" i="35"/>
  <c r="K243" i="35"/>
  <c r="B824" i="41"/>
  <c r="B843" i="55"/>
  <c r="G838" i="35"/>
  <c r="G324" i="35"/>
  <c r="B329" i="55"/>
  <c r="B89" i="41"/>
  <c r="Y34" i="35"/>
  <c r="B91" i="41"/>
  <c r="L34" i="35"/>
  <c r="K34" i="35"/>
  <c r="B90" i="41"/>
  <c r="W34" i="35"/>
  <c r="B92" i="41"/>
  <c r="G267" i="35"/>
  <c r="B272" i="55"/>
  <c r="G627" i="35"/>
  <c r="B632" i="55"/>
  <c r="B315" i="55"/>
  <c r="G310" i="35"/>
  <c r="B214" i="55"/>
  <c r="G209" i="35"/>
  <c r="P594" i="35"/>
  <c r="O594" i="35"/>
  <c r="Y594" i="35"/>
  <c r="C1092" i="41"/>
  <c r="L594" i="35"/>
  <c r="N594" i="35"/>
  <c r="M594" i="35"/>
  <c r="K594" i="35"/>
  <c r="W594" i="35"/>
  <c r="G781" i="35"/>
  <c r="B786" i="55"/>
  <c r="M741" i="35"/>
  <c r="N741" i="35"/>
  <c r="L741" i="35"/>
  <c r="C1361" i="41"/>
  <c r="W741" i="35"/>
  <c r="X741" i="35" s="1"/>
  <c r="Y741" i="35"/>
  <c r="K741" i="35"/>
  <c r="N743" i="35"/>
  <c r="M743" i="35"/>
  <c r="O743" i="35"/>
  <c r="Y743" i="35"/>
  <c r="B1368" i="41"/>
  <c r="K743" i="35"/>
  <c r="L743" i="35"/>
  <c r="B1367" i="41"/>
  <c r="B1364" i="41"/>
  <c r="B1365" i="41" s="1"/>
  <c r="B1366" i="41"/>
  <c r="W743" i="35"/>
  <c r="P258" i="35"/>
  <c r="W258" i="35"/>
  <c r="X258" i="35" s="1"/>
  <c r="L258" i="35"/>
  <c r="N258" i="35"/>
  <c r="Y258" i="35"/>
  <c r="Q258" i="35"/>
  <c r="M258" i="35"/>
  <c r="O258" i="35"/>
  <c r="B839" i="41"/>
  <c r="K258" i="35"/>
  <c r="M326" i="35"/>
  <c r="L326" i="35"/>
  <c r="Q326" i="35"/>
  <c r="K326" i="35"/>
  <c r="P326" i="35"/>
  <c r="W326" i="35"/>
  <c r="X326" i="35" s="1"/>
  <c r="O326" i="35"/>
  <c r="N326" i="35"/>
  <c r="B907" i="41"/>
  <c r="Y326" i="35"/>
  <c r="B766" i="55"/>
  <c r="G761" i="35"/>
  <c r="G183" i="35"/>
  <c r="B188" i="55"/>
  <c r="G382" i="35"/>
  <c r="B387" i="55"/>
  <c r="Y641" i="35"/>
  <c r="L641" i="35"/>
  <c r="O641" i="35"/>
  <c r="M641" i="35"/>
  <c r="W641" i="35"/>
  <c r="N641" i="35"/>
  <c r="K641" i="35"/>
  <c r="C1167" i="41"/>
  <c r="W257" i="35"/>
  <c r="L257" i="35"/>
  <c r="O257" i="35"/>
  <c r="N257" i="35"/>
  <c r="P257" i="35"/>
  <c r="K257" i="35"/>
  <c r="B838" i="41"/>
  <c r="Q257" i="35"/>
  <c r="Y257" i="35"/>
  <c r="M257" i="35"/>
  <c r="L724" i="35"/>
  <c r="K724" i="35"/>
  <c r="W724" i="35"/>
  <c r="Y724" i="35"/>
  <c r="C1322" i="41"/>
  <c r="M724" i="35"/>
  <c r="N724" i="35"/>
  <c r="B824" i="55"/>
  <c r="G819" i="35"/>
  <c r="B1601" i="41"/>
  <c r="Y845" i="35"/>
  <c r="B1599" i="41"/>
  <c r="B1600" i="41" s="1"/>
  <c r="B1603" i="41"/>
  <c r="K845" i="35"/>
  <c r="N845" i="35"/>
  <c r="M845" i="35"/>
  <c r="O845" i="35"/>
  <c r="W845" i="35"/>
  <c r="B1602" i="41"/>
  <c r="L845" i="35"/>
  <c r="G22" i="35"/>
  <c r="B27" i="55"/>
  <c r="K163" i="35"/>
  <c r="M163" i="35"/>
  <c r="Y163" i="35"/>
  <c r="L163" i="35"/>
  <c r="B744" i="41"/>
  <c r="W163" i="35"/>
  <c r="X163" i="35" s="1"/>
  <c r="N163" i="35"/>
  <c r="G247" i="35"/>
  <c r="B252" i="55"/>
  <c r="G608" i="35"/>
  <c r="B613" i="55"/>
  <c r="G807" i="35"/>
  <c r="B812" i="55"/>
  <c r="G326" i="35"/>
  <c r="B331" i="55"/>
  <c r="B565" i="55"/>
  <c r="G560" i="35"/>
  <c r="N815" i="35"/>
  <c r="K815" i="35"/>
  <c r="Y815" i="35"/>
  <c r="C1529" i="41"/>
  <c r="W815" i="35"/>
  <c r="O815" i="35"/>
  <c r="M815" i="35"/>
  <c r="L815" i="35"/>
  <c r="B169" i="55"/>
  <c r="G164" i="35"/>
  <c r="N571" i="35"/>
  <c r="N564" i="35"/>
  <c r="Y564" i="35"/>
  <c r="K564" i="35"/>
  <c r="L564" i="35"/>
  <c r="W564" i="35"/>
  <c r="M564" i="35"/>
  <c r="Y143" i="35"/>
  <c r="K143" i="35"/>
  <c r="B724" i="41"/>
  <c r="M143" i="35"/>
  <c r="W143" i="35"/>
  <c r="L143" i="35"/>
  <c r="N143" i="35"/>
  <c r="G824" i="35"/>
  <c r="B829" i="55"/>
  <c r="K700" i="35"/>
  <c r="N700" i="35"/>
  <c r="Y700" i="35"/>
  <c r="M700" i="35"/>
  <c r="W700" i="35"/>
  <c r="P700" i="35"/>
  <c r="L700" i="35"/>
  <c r="O700" i="35"/>
  <c r="B488" i="55"/>
  <c r="G483" i="35"/>
  <c r="B790" i="41"/>
  <c r="M209" i="35"/>
  <c r="N209" i="35"/>
  <c r="O209" i="35"/>
  <c r="K209" i="35"/>
  <c r="W209" i="35"/>
  <c r="Q209" i="35"/>
  <c r="L209" i="35"/>
  <c r="P209" i="35"/>
  <c r="Y209" i="35"/>
  <c r="O328" i="35"/>
  <c r="N328" i="35"/>
  <c r="M328" i="35"/>
  <c r="W328" i="35"/>
  <c r="X328" i="35" s="1"/>
  <c r="K328" i="35"/>
  <c r="Y328" i="35"/>
  <c r="B909" i="41"/>
  <c r="Q328" i="35"/>
  <c r="L328" i="35"/>
  <c r="P328" i="35"/>
  <c r="Q739" i="35"/>
  <c r="W739" i="35"/>
  <c r="Y739" i="35"/>
  <c r="K739" i="35"/>
  <c r="M739" i="35"/>
  <c r="L739" i="35"/>
  <c r="B831" i="55"/>
  <c r="G826" i="35"/>
  <c r="B146" i="55"/>
  <c r="G141" i="35"/>
  <c r="Y280" i="35"/>
  <c r="O280" i="35"/>
  <c r="L280" i="35"/>
  <c r="B861" i="41"/>
  <c r="Q280" i="35"/>
  <c r="M280" i="35"/>
  <c r="K280" i="35"/>
  <c r="P280" i="35"/>
  <c r="N280" i="35"/>
  <c r="W280" i="35"/>
  <c r="B721" i="55"/>
  <c r="G716" i="35"/>
  <c r="B305" i="55"/>
  <c r="G300" i="35"/>
  <c r="C1332" i="41"/>
  <c r="K729" i="35"/>
  <c r="L729" i="35"/>
  <c r="Y729" i="35"/>
  <c r="O729" i="35"/>
  <c r="W729" i="35"/>
  <c r="M729" i="35"/>
  <c r="N729" i="35"/>
  <c r="B861" i="55"/>
  <c r="G856" i="35"/>
  <c r="N744" i="35"/>
  <c r="P744" i="35"/>
  <c r="L744" i="35"/>
  <c r="W744" i="35"/>
  <c r="X744" i="35" s="1"/>
  <c r="Y744" i="35"/>
  <c r="O744" i="35"/>
  <c r="M744" i="35"/>
  <c r="K744" i="35"/>
  <c r="B868" i="55"/>
  <c r="G863" i="35"/>
  <c r="B761" i="55"/>
  <c r="G756" i="35"/>
  <c r="M266" i="35"/>
  <c r="W266" i="35"/>
  <c r="Q266" i="35"/>
  <c r="P266" i="35"/>
  <c r="N266" i="35"/>
  <c r="K266" i="35"/>
  <c r="Y266" i="35"/>
  <c r="O266" i="35"/>
  <c r="B847" i="41"/>
  <c r="L266" i="35"/>
  <c r="G258" i="35"/>
  <c r="B263" i="55"/>
  <c r="M809" i="35"/>
  <c r="N809" i="35"/>
  <c r="Y809" i="35"/>
  <c r="C1518" i="41"/>
  <c r="W809" i="35"/>
  <c r="L809" i="35"/>
  <c r="K809" i="35"/>
  <c r="Y487" i="35"/>
  <c r="K487" i="35"/>
  <c r="W487" i="35"/>
  <c r="L487" i="35"/>
  <c r="C349" i="41"/>
  <c r="B1004" i="41"/>
  <c r="Y380" i="35"/>
  <c r="M380" i="35"/>
  <c r="L380" i="35"/>
  <c r="K380" i="35"/>
  <c r="O380" i="35"/>
  <c r="W380" i="35"/>
  <c r="N380" i="35"/>
  <c r="G36" i="30"/>
  <c r="G323" i="35"/>
  <c r="B328" i="55"/>
  <c r="G364" i="35"/>
  <c r="B369" i="55"/>
  <c r="G836" i="35"/>
  <c r="B841" i="55"/>
  <c r="B768" i="55"/>
  <c r="G763" i="35"/>
  <c r="G487" i="35"/>
  <c r="B492" i="55"/>
  <c r="B234" i="55"/>
  <c r="G229" i="35"/>
  <c r="K755" i="35"/>
  <c r="O756" i="35"/>
  <c r="N755" i="35"/>
  <c r="B1397" i="41"/>
  <c r="N757" i="35"/>
  <c r="B1398" i="41"/>
  <c r="O755" i="35"/>
  <c r="B1396" i="41"/>
  <c r="L755" i="35"/>
  <c r="Y755" i="35"/>
  <c r="W755" i="35"/>
  <c r="X755" i="35" s="1"/>
  <c r="O757" i="35"/>
  <c r="M755" i="35"/>
  <c r="B1393" i="41"/>
  <c r="B1394" i="41" s="1"/>
  <c r="B1395" i="41" s="1"/>
  <c r="N756" i="35"/>
  <c r="L660" i="35"/>
  <c r="W660" i="35"/>
  <c r="Q660" i="35"/>
  <c r="N660" i="35"/>
  <c r="M660" i="35"/>
  <c r="O660" i="35"/>
  <c r="K660" i="35"/>
  <c r="Y660" i="35"/>
  <c r="B737" i="55"/>
  <c r="G732" i="35"/>
  <c r="B820" i="55"/>
  <c r="G815" i="35"/>
  <c r="Y173" i="35"/>
  <c r="B754" i="41"/>
  <c r="M173" i="35"/>
  <c r="N173" i="35"/>
  <c r="K173" i="35"/>
  <c r="L173" i="35"/>
  <c r="W173" i="35"/>
  <c r="X173" i="35" s="1"/>
  <c r="G719" i="35"/>
  <c r="B724" i="55"/>
  <c r="M821" i="35"/>
  <c r="L821" i="35"/>
  <c r="C1544" i="41"/>
  <c r="N821" i="35"/>
  <c r="Y821" i="35"/>
  <c r="B1548" i="41"/>
  <c r="B1547" i="41"/>
  <c r="W821" i="35"/>
  <c r="B1543" i="41"/>
  <c r="B1544" i="41" s="1"/>
  <c r="B1545" i="41" s="1"/>
  <c r="K821" i="35"/>
  <c r="B1546" i="41"/>
  <c r="G823" i="35"/>
  <c r="B828" i="55"/>
  <c r="L295" i="35"/>
  <c r="B876" i="41"/>
  <c r="O295" i="35"/>
  <c r="P295" i="35"/>
  <c r="K295" i="35"/>
  <c r="N295" i="35"/>
  <c r="M295" i="35"/>
  <c r="W295" i="35"/>
  <c r="Q295" i="35"/>
  <c r="Y295" i="35"/>
  <c r="M220" i="35"/>
  <c r="O220" i="35"/>
  <c r="Y220" i="35"/>
  <c r="W220" i="35"/>
  <c r="Q220" i="35"/>
  <c r="B801" i="41"/>
  <c r="K220" i="35"/>
  <c r="N220" i="35"/>
  <c r="L220" i="35"/>
  <c r="P220" i="35"/>
  <c r="G630" i="35"/>
  <c r="B635" i="55"/>
  <c r="B299" i="55"/>
  <c r="G294" i="35"/>
  <c r="G773" i="35"/>
  <c r="B778" i="55"/>
  <c r="B54" i="41"/>
  <c r="H54" i="41" s="1"/>
  <c r="B55" i="41"/>
  <c r="G55" i="41" s="1"/>
  <c r="B56" i="41"/>
  <c r="G56" i="41" s="1"/>
  <c r="W27" i="35"/>
  <c r="K27" i="35"/>
  <c r="J27" i="35" s="1" a="1"/>
  <c r="J27" i="35" s="1"/>
  <c r="D27" i="35" s="1"/>
  <c r="Y27" i="35"/>
  <c r="B57" i="41"/>
  <c r="H57" i="41" s="1"/>
  <c r="B58" i="41"/>
  <c r="G58" i="41" s="1"/>
  <c r="Y702" i="35"/>
  <c r="W702" i="35"/>
  <c r="N702" i="35"/>
  <c r="B1271" i="41"/>
  <c r="L702" i="35"/>
  <c r="K702" i="35"/>
  <c r="M702" i="35"/>
  <c r="B380" i="55"/>
  <c r="G375" i="35"/>
  <c r="N150" i="35"/>
  <c r="W150" i="35"/>
  <c r="M150" i="35"/>
  <c r="K150" i="35"/>
  <c r="L150" i="35"/>
  <c r="B731" i="41"/>
  <c r="Y150" i="35"/>
  <c r="G708" i="35"/>
  <c r="B713" i="55"/>
  <c r="B340" i="55"/>
  <c r="G335" i="35"/>
  <c r="G220" i="35"/>
  <c r="B225" i="55"/>
  <c r="L777" i="35"/>
  <c r="O777" i="35"/>
  <c r="B1445" i="41"/>
  <c r="W777" i="35"/>
  <c r="Y777" i="35"/>
  <c r="B1446" i="41"/>
  <c r="M777" i="35"/>
  <c r="N777" i="35"/>
  <c r="B1444" i="41"/>
  <c r="K777" i="35"/>
  <c r="B1442" i="41"/>
  <c r="B1443" i="41" s="1"/>
  <c r="G265" i="35"/>
  <c r="B270" i="55"/>
  <c r="W597" i="35"/>
  <c r="Y597" i="35"/>
  <c r="K597" i="35"/>
  <c r="M597" i="35"/>
  <c r="C1095" i="41"/>
  <c r="O597" i="35"/>
  <c r="L597" i="35"/>
  <c r="N597" i="35"/>
  <c r="P597" i="35"/>
  <c r="B822" i="55"/>
  <c r="G817" i="35"/>
  <c r="G266" i="35"/>
  <c r="B271" i="55"/>
  <c r="B727" i="55"/>
  <c r="G722" i="35"/>
  <c r="G667" i="35"/>
  <c r="B672" i="55"/>
  <c r="G834" i="35"/>
  <c r="B839" i="55"/>
  <c r="G24" i="30"/>
  <c r="G374" i="35"/>
  <c r="B379" i="55"/>
  <c r="B215" i="55"/>
  <c r="G210" i="35"/>
  <c r="G850" i="35"/>
  <c r="B855" i="55"/>
  <c r="W22" i="35"/>
  <c r="Y22" i="35"/>
  <c r="C32" i="41"/>
  <c r="L22" i="35"/>
  <c r="K22" i="35"/>
  <c r="B321" i="55"/>
  <c r="G316" i="35"/>
  <c r="G591" i="35"/>
  <c r="B596" i="55"/>
  <c r="B645" i="55"/>
  <c r="G640" i="35"/>
  <c r="B706" i="55"/>
  <c r="G701" i="35"/>
  <c r="N679" i="35"/>
  <c r="K679" i="35"/>
  <c r="O679" i="35"/>
  <c r="L679" i="35"/>
  <c r="Y679" i="35"/>
  <c r="C1228" i="41"/>
  <c r="W679" i="35"/>
  <c r="M679" i="35"/>
  <c r="K354" i="35"/>
  <c r="W354" i="35"/>
  <c r="L354" i="35"/>
  <c r="P354" i="35"/>
  <c r="Q354" i="35"/>
  <c r="Y354" i="35"/>
  <c r="B935" i="41"/>
  <c r="N354" i="35"/>
  <c r="O354" i="35"/>
  <c r="M354" i="35"/>
  <c r="B284" i="55"/>
  <c r="G279" i="35"/>
  <c r="B746" i="41"/>
  <c r="W165" i="35"/>
  <c r="X165" i="35" s="1"/>
  <c r="M165" i="35"/>
  <c r="Y165" i="35"/>
  <c r="K165" i="35"/>
  <c r="L165" i="35"/>
  <c r="N165" i="35"/>
  <c r="G260" i="35"/>
  <c r="B265" i="55"/>
  <c r="B674" i="55"/>
  <c r="G669" i="35"/>
  <c r="Y23" i="35"/>
  <c r="L23" i="35"/>
  <c r="W23" i="35"/>
  <c r="K23" i="35"/>
  <c r="C31" i="41"/>
  <c r="P347" i="35"/>
  <c r="O347" i="35"/>
  <c r="K347" i="35"/>
  <c r="Q347" i="35"/>
  <c r="L347" i="35"/>
  <c r="M347" i="35"/>
  <c r="Y347" i="35"/>
  <c r="N347" i="35"/>
  <c r="B928" i="41"/>
  <c r="W347" i="35"/>
  <c r="X347" i="35" s="1"/>
  <c r="G707" i="35"/>
  <c r="B712" i="55"/>
  <c r="O712" i="35"/>
  <c r="L712" i="35"/>
  <c r="M712" i="35"/>
  <c r="K712" i="35"/>
  <c r="Y712" i="35"/>
  <c r="N712" i="35"/>
  <c r="C1294" i="41"/>
  <c r="W712" i="35"/>
  <c r="M812" i="35"/>
  <c r="P812" i="35"/>
  <c r="K812" i="35"/>
  <c r="O812" i="35"/>
  <c r="N812" i="35"/>
  <c r="L812" i="35"/>
  <c r="Y812" i="35"/>
  <c r="W812" i="35"/>
  <c r="L136" i="35"/>
  <c r="B717" i="41"/>
  <c r="W136" i="35"/>
  <c r="K136" i="35"/>
  <c r="Y136" i="35"/>
  <c r="N136" i="35"/>
  <c r="M136" i="35"/>
  <c r="O863" i="35"/>
  <c r="M863" i="35"/>
  <c r="W863" i="35"/>
  <c r="K863" i="35"/>
  <c r="N863" i="35"/>
  <c r="Y863" i="35"/>
  <c r="L863" i="35"/>
  <c r="P863" i="35"/>
  <c r="G370" i="35"/>
  <c r="B375" i="55"/>
  <c r="Y723" i="35"/>
  <c r="L723" i="35"/>
  <c r="M723" i="35"/>
  <c r="K723" i="35"/>
  <c r="P723" i="35"/>
  <c r="W723" i="35"/>
  <c r="B1104" i="41"/>
  <c r="B1103" i="41"/>
  <c r="L601" i="35"/>
  <c r="B1102" i="41"/>
  <c r="N602" i="35"/>
  <c r="M602" i="35"/>
  <c r="M601" i="35"/>
  <c r="W601" i="35"/>
  <c r="N601" i="35"/>
  <c r="B1100" i="41"/>
  <c r="B1101" i="41" s="1"/>
  <c r="K601" i="35"/>
  <c r="Y601" i="35"/>
  <c r="G190" i="35"/>
  <c r="B195" i="55"/>
  <c r="G174" i="35"/>
  <c r="B179" i="55"/>
  <c r="L188" i="35"/>
  <c r="B769" i="41"/>
  <c r="W188" i="35"/>
  <c r="N188" i="35"/>
  <c r="Y188" i="35"/>
  <c r="O188" i="35"/>
  <c r="P188" i="35"/>
  <c r="Q188" i="35"/>
  <c r="K188" i="35"/>
  <c r="M188" i="35"/>
  <c r="Q368" i="35"/>
  <c r="K368" i="35"/>
  <c r="L368" i="35"/>
  <c r="W368" i="35"/>
  <c r="O368" i="35"/>
  <c r="M368" i="35"/>
  <c r="B949" i="41"/>
  <c r="P368" i="35"/>
  <c r="N368" i="35"/>
  <c r="Y368" i="35"/>
  <c r="B943" i="41"/>
  <c r="L362" i="35"/>
  <c r="M362" i="35"/>
  <c r="P362" i="35"/>
  <c r="K362" i="35"/>
  <c r="Q362" i="35"/>
  <c r="Y362" i="35"/>
  <c r="W362" i="35"/>
  <c r="X362" i="35" s="1"/>
  <c r="O362" i="35"/>
  <c r="N362" i="35"/>
  <c r="G289" i="35"/>
  <c r="B294" i="55"/>
  <c r="G567" i="35"/>
  <c r="B572" i="55"/>
  <c r="G296" i="35"/>
  <c r="B301" i="55"/>
  <c r="N219" i="35"/>
  <c r="P219" i="35"/>
  <c r="M219" i="35"/>
  <c r="L219" i="35"/>
  <c r="O219" i="35"/>
  <c r="W219" i="35"/>
  <c r="B800" i="41"/>
  <c r="Y219" i="35"/>
  <c r="Q219" i="35"/>
  <c r="K219" i="35"/>
  <c r="O776" i="35"/>
  <c r="M776" i="35"/>
  <c r="K776" i="35"/>
  <c r="Y776" i="35"/>
  <c r="N776" i="35"/>
  <c r="C1440" i="41"/>
  <c r="L776" i="35"/>
  <c r="W776" i="35"/>
  <c r="W293" i="35"/>
  <c r="Y293" i="35"/>
  <c r="B874" i="41"/>
  <c r="P293" i="35"/>
  <c r="L293" i="35"/>
  <c r="O293" i="35"/>
  <c r="K293" i="35"/>
  <c r="M293" i="35"/>
  <c r="N293" i="35"/>
  <c r="Q293" i="35"/>
  <c r="K680" i="35"/>
  <c r="Y680" i="35"/>
  <c r="W680" i="35"/>
  <c r="N680" i="35"/>
  <c r="L680" i="35"/>
  <c r="O680" i="35"/>
  <c r="C1229" i="41"/>
  <c r="M680" i="35"/>
  <c r="B267" i="55"/>
  <c r="G262" i="35"/>
  <c r="B661" i="55"/>
  <c r="G656" i="35"/>
  <c r="W811" i="35"/>
  <c r="B1525" i="41"/>
  <c r="K811" i="35"/>
  <c r="B1523" i="41"/>
  <c r="M811" i="35"/>
  <c r="Y811" i="35"/>
  <c r="B1521" i="41"/>
  <c r="B1522" i="41" s="1"/>
  <c r="L811" i="35"/>
  <c r="B1524" i="41"/>
  <c r="N811" i="35"/>
  <c r="O811" i="35"/>
  <c r="Q298" i="35"/>
  <c r="M298" i="35"/>
  <c r="Y298" i="35"/>
  <c r="O298" i="35"/>
  <c r="P298" i="35"/>
  <c r="B879" i="41"/>
  <c r="K298" i="35"/>
  <c r="W298" i="35"/>
  <c r="X298" i="35" s="1"/>
  <c r="L298" i="35"/>
  <c r="N298" i="35"/>
  <c r="Y819" i="35"/>
  <c r="W819" i="35"/>
  <c r="L819" i="35"/>
  <c r="N819" i="35"/>
  <c r="M819" i="35"/>
  <c r="K819" i="35"/>
  <c r="P819" i="35"/>
  <c r="O819" i="35"/>
  <c r="B665" i="55"/>
  <c r="G660" i="35"/>
  <c r="G760" i="35"/>
  <c r="B765" i="55"/>
  <c r="Q286" i="35"/>
  <c r="O286" i="35"/>
  <c r="K286" i="35"/>
  <c r="M286" i="35"/>
  <c r="N286" i="35"/>
  <c r="Y286" i="35"/>
  <c r="L286" i="35"/>
  <c r="P286" i="35"/>
  <c r="B867" i="41"/>
  <c r="W286" i="35"/>
  <c r="G24" i="35"/>
  <c r="B29" i="55"/>
  <c r="N615" i="35"/>
  <c r="M615" i="35"/>
  <c r="B1126" i="41"/>
  <c r="B1124" i="41"/>
  <c r="W615" i="35"/>
  <c r="B1127" i="41"/>
  <c r="L615" i="35"/>
  <c r="Y615" i="35"/>
  <c r="K615" i="35"/>
  <c r="B1125" i="41"/>
  <c r="O615" i="35"/>
  <c r="B232" i="55"/>
  <c r="G227" i="35"/>
  <c r="K284" i="35"/>
  <c r="W284" i="35"/>
  <c r="P284" i="35"/>
  <c r="B865" i="41"/>
  <c r="Y284" i="35"/>
  <c r="L284" i="35"/>
  <c r="M284" i="35"/>
  <c r="N284" i="35"/>
  <c r="O284" i="35"/>
  <c r="Q284" i="35"/>
  <c r="L618" i="35"/>
  <c r="W618" i="35"/>
  <c r="X618" i="35" s="1"/>
  <c r="C1134" i="41"/>
  <c r="N618" i="35"/>
  <c r="M618" i="35"/>
  <c r="K618" i="35"/>
  <c r="Y618" i="35"/>
  <c r="G313" i="35"/>
  <c r="B318" i="55"/>
  <c r="P181" i="35"/>
  <c r="Q181" i="35"/>
  <c r="N181" i="35"/>
  <c r="K181" i="35"/>
  <c r="Y181" i="35"/>
  <c r="O181" i="35"/>
  <c r="L181" i="35"/>
  <c r="B762" i="41"/>
  <c r="M181" i="35"/>
  <c r="W181" i="35"/>
  <c r="N566" i="35"/>
  <c r="W566" i="35"/>
  <c r="L566" i="35"/>
  <c r="K566" i="35"/>
  <c r="Y566" i="35"/>
  <c r="O566" i="35"/>
  <c r="P566" i="35"/>
  <c r="M566" i="35"/>
  <c r="C1047" i="41"/>
  <c r="Q359" i="35"/>
  <c r="W359" i="35"/>
  <c r="P359" i="35"/>
  <c r="O359" i="35"/>
  <c r="L359" i="35"/>
  <c r="Y359" i="35"/>
  <c r="B940" i="41"/>
  <c r="N359" i="35"/>
  <c r="M359" i="35"/>
  <c r="K359" i="35"/>
  <c r="G213" i="35"/>
  <c r="B218" i="55"/>
  <c r="B486" i="55"/>
  <c r="G481" i="35"/>
  <c r="W624" i="35"/>
  <c r="X624" i="35" s="1"/>
  <c r="N624" i="35"/>
  <c r="O624" i="35"/>
  <c r="C1139" i="41"/>
  <c r="M624" i="35"/>
  <c r="L624" i="35"/>
  <c r="Y624" i="35"/>
  <c r="K624" i="35"/>
  <c r="B249" i="55"/>
  <c r="G244" i="35"/>
  <c r="W357" i="35"/>
  <c r="L357" i="35"/>
  <c r="B938" i="41"/>
  <c r="K357" i="35"/>
  <c r="Y357" i="35"/>
  <c r="O357" i="35"/>
  <c r="N357" i="35"/>
  <c r="Q357" i="35"/>
  <c r="M357" i="35"/>
  <c r="P357" i="35"/>
  <c r="L830" i="35"/>
  <c r="O830" i="35"/>
  <c r="K830" i="35"/>
  <c r="M830" i="35"/>
  <c r="P830" i="35"/>
  <c r="W830" i="35"/>
  <c r="Y830" i="35"/>
  <c r="N830" i="35"/>
  <c r="C1565" i="41"/>
  <c r="P182" i="35"/>
  <c r="M182" i="35"/>
  <c r="N182" i="35"/>
  <c r="K182" i="35"/>
  <c r="O182" i="35"/>
  <c r="Q182" i="35"/>
  <c r="W182" i="35"/>
  <c r="B763" i="41"/>
  <c r="Y182" i="35"/>
  <c r="L182" i="35"/>
  <c r="O241" i="35"/>
  <c r="M241" i="35"/>
  <c r="K241" i="35"/>
  <c r="P241" i="35"/>
  <c r="Q241" i="35"/>
  <c r="B822" i="41"/>
  <c r="Y241" i="35"/>
  <c r="W241" i="35"/>
  <c r="N241" i="35"/>
  <c r="L241" i="35"/>
  <c r="B758" i="41"/>
  <c r="P177" i="35"/>
  <c r="O177" i="35"/>
  <c r="Y177" i="35"/>
  <c r="N177" i="35"/>
  <c r="L177" i="35"/>
  <c r="Q177" i="35"/>
  <c r="K177" i="35"/>
  <c r="M177" i="35"/>
  <c r="W177" i="35"/>
  <c r="B1329" i="41"/>
  <c r="M726" i="35"/>
  <c r="K726" i="35"/>
  <c r="B1328" i="41"/>
  <c r="N726" i="35"/>
  <c r="Y726" i="35"/>
  <c r="B1325" i="41"/>
  <c r="B1326" i="41" s="1"/>
  <c r="B1327" i="41"/>
  <c r="L726" i="35"/>
  <c r="O726" i="35"/>
  <c r="W726" i="35"/>
  <c r="B567" i="55"/>
  <c r="G562" i="35"/>
  <c r="Y175" i="35"/>
  <c r="N175" i="35"/>
  <c r="B756" i="41"/>
  <c r="O175" i="35"/>
  <c r="K175" i="35"/>
  <c r="M175" i="35"/>
  <c r="P175" i="35"/>
  <c r="Q175" i="35"/>
  <c r="W175" i="35"/>
  <c r="L175" i="35"/>
  <c r="G137" i="35"/>
  <c r="B142" i="55"/>
  <c r="L305" i="35"/>
  <c r="O305" i="35"/>
  <c r="N305" i="35"/>
  <c r="W305" i="35"/>
  <c r="P305" i="35"/>
  <c r="K305" i="35"/>
  <c r="Q305" i="35"/>
  <c r="B886" i="41"/>
  <c r="M305" i="35"/>
  <c r="Y305" i="35"/>
  <c r="B30" i="55"/>
  <c r="G25" i="35"/>
  <c r="L750" i="35"/>
  <c r="B1378" i="41"/>
  <c r="O750" i="35"/>
  <c r="W750" i="35"/>
  <c r="K750" i="35"/>
  <c r="M750" i="35"/>
  <c r="Y750" i="35"/>
  <c r="B1375" i="41"/>
  <c r="B1377" i="41"/>
  <c r="B1376" i="41"/>
  <c r="N750" i="35"/>
  <c r="B341" i="55"/>
  <c r="G336" i="35"/>
  <c r="L648" i="35"/>
  <c r="W648" i="35"/>
  <c r="K648" i="35"/>
  <c r="N648" i="35"/>
  <c r="N655" i="35"/>
  <c r="M648" i="35"/>
  <c r="Y648" i="35"/>
  <c r="Y486" i="35"/>
  <c r="W486" i="35"/>
  <c r="G228" i="35"/>
  <c r="B233" i="55"/>
  <c r="N835" i="35"/>
  <c r="L835" i="35"/>
  <c r="O835" i="35"/>
  <c r="M835" i="35"/>
  <c r="B1571" i="41"/>
  <c r="W835" i="35"/>
  <c r="K835" i="35"/>
  <c r="B1573" i="41"/>
  <c r="Y835" i="35"/>
  <c r="B1572" i="41"/>
  <c r="B1574" i="41"/>
  <c r="K871" i="35"/>
  <c r="O871" i="35"/>
  <c r="N871" i="35"/>
  <c r="L871" i="35"/>
  <c r="W871" i="35"/>
  <c r="Y871" i="35"/>
  <c r="B1656" i="41"/>
  <c r="B1655" i="41"/>
  <c r="B1657" i="41"/>
  <c r="M871" i="35"/>
  <c r="B1654" i="41"/>
  <c r="G771" i="35"/>
  <c r="B776" i="55"/>
  <c r="Y774" i="35"/>
  <c r="P774" i="35"/>
  <c r="W774" i="35"/>
  <c r="M774" i="35"/>
  <c r="K774" i="35"/>
  <c r="L774" i="35"/>
  <c r="B859" i="41"/>
  <c r="Y278" i="35"/>
  <c r="K278" i="35"/>
  <c r="L278" i="35"/>
  <c r="O278" i="35"/>
  <c r="P278" i="35"/>
  <c r="Q278" i="35"/>
  <c r="M278" i="35"/>
  <c r="W278" i="35"/>
  <c r="N278" i="35"/>
  <c r="G679" i="35"/>
  <c r="B684" i="55"/>
  <c r="B755" i="55"/>
  <c r="G750" i="35"/>
  <c r="Q756" i="35"/>
  <c r="M756" i="35"/>
  <c r="L756" i="35"/>
  <c r="W756" i="35"/>
  <c r="Y756" i="35"/>
  <c r="K756" i="35"/>
  <c r="B187" i="55"/>
  <c r="G182" i="35"/>
  <c r="L668" i="35"/>
  <c r="W668" i="35"/>
  <c r="X668" i="35" s="1"/>
  <c r="N668" i="35"/>
  <c r="M668" i="35"/>
  <c r="Y668" i="35"/>
  <c r="C1211" i="41"/>
  <c r="O668" i="35"/>
  <c r="K668" i="35"/>
  <c r="L747" i="35"/>
  <c r="C1372" i="41"/>
  <c r="N747" i="35"/>
  <c r="O747" i="35"/>
  <c r="M747" i="35"/>
  <c r="W747" i="35"/>
  <c r="Y747" i="35"/>
  <c r="K747" i="35"/>
  <c r="B344" i="55"/>
  <c r="G339" i="35"/>
  <c r="K265" i="35"/>
  <c r="W265" i="35"/>
  <c r="N265" i="35"/>
  <c r="O265" i="35"/>
  <c r="P265" i="35"/>
  <c r="B846" i="41"/>
  <c r="Y265" i="35"/>
  <c r="L265" i="35"/>
  <c r="Q265" i="35"/>
  <c r="M265" i="35"/>
  <c r="W142" i="35"/>
  <c r="L142" i="35"/>
  <c r="M142" i="35"/>
  <c r="B723" i="41"/>
  <c r="Y142" i="35"/>
  <c r="K142" i="35"/>
  <c r="N142" i="35"/>
  <c r="B210" i="55"/>
  <c r="G205" i="35"/>
  <c r="B254" i="55"/>
  <c r="G249" i="35"/>
  <c r="G601" i="35"/>
  <c r="B606" i="55"/>
  <c r="B621" i="55"/>
  <c r="G616" i="35"/>
  <c r="Y192" i="35"/>
  <c r="W192" i="35"/>
  <c r="M192" i="35"/>
  <c r="O192" i="35"/>
  <c r="B773" i="41"/>
  <c r="L192" i="35"/>
  <c r="Q192" i="35"/>
  <c r="P192" i="35"/>
  <c r="N192" i="35"/>
  <c r="K192" i="35"/>
  <c r="L341" i="35"/>
  <c r="Y341" i="35"/>
  <c r="N341" i="35"/>
  <c r="W341" i="35"/>
  <c r="M341" i="35"/>
  <c r="O341" i="35"/>
  <c r="B922" i="41"/>
  <c r="K341" i="35"/>
  <c r="Q341" i="35"/>
  <c r="P341" i="35"/>
  <c r="B236" i="55"/>
  <c r="G231" i="35"/>
  <c r="W642" i="35"/>
  <c r="X642" i="35" s="1"/>
  <c r="N642" i="35"/>
  <c r="M642" i="35"/>
  <c r="L642" i="35"/>
  <c r="Y642" i="35"/>
  <c r="O642" i="35"/>
  <c r="K642" i="35"/>
  <c r="C1168" i="41"/>
  <c r="B866" i="55"/>
  <c r="G861" i="35"/>
  <c r="B309" i="55"/>
  <c r="G304" i="35"/>
  <c r="Y810" i="35"/>
  <c r="O810" i="35"/>
  <c r="L810" i="35"/>
  <c r="W810" i="35"/>
  <c r="K810" i="35"/>
  <c r="M810" i="35"/>
  <c r="C1519" i="41"/>
  <c r="B870" i="55"/>
  <c r="G865" i="35"/>
  <c r="Y731" i="35"/>
  <c r="L731" i="35"/>
  <c r="O731" i="35"/>
  <c r="N731" i="35"/>
  <c r="M731" i="35"/>
  <c r="C1334" i="41"/>
  <c r="W731" i="35"/>
  <c r="K731" i="35"/>
  <c r="W146" i="35"/>
  <c r="L146" i="35"/>
  <c r="M146" i="35"/>
  <c r="N146" i="35"/>
  <c r="Y146" i="35"/>
  <c r="K146" i="35"/>
  <c r="B727" i="41"/>
  <c r="Q322" i="35"/>
  <c r="M322" i="35"/>
  <c r="N322" i="35"/>
  <c r="K322" i="35"/>
  <c r="O322" i="35"/>
  <c r="L322" i="35"/>
  <c r="P322" i="35"/>
  <c r="W322" i="35"/>
  <c r="Y322" i="35"/>
  <c r="B903" i="41"/>
  <c r="L602" i="35"/>
  <c r="O602" i="35"/>
  <c r="W602" i="35"/>
  <c r="K602" i="35"/>
  <c r="Y602" i="35"/>
  <c r="W591" i="35"/>
  <c r="C1090" i="41"/>
  <c r="K591" i="35"/>
  <c r="M599" i="35"/>
  <c r="Y591" i="35"/>
  <c r="L591" i="35"/>
  <c r="B1539" i="41"/>
  <c r="B1538" i="41"/>
  <c r="B1540" i="41"/>
  <c r="K820" i="35"/>
  <c r="L820" i="35"/>
  <c r="B1537" i="41"/>
  <c r="Y820" i="35"/>
  <c r="W820" i="35"/>
  <c r="M820" i="35"/>
  <c r="O820" i="35"/>
  <c r="N820" i="35"/>
  <c r="O313" i="35"/>
  <c r="L313" i="35"/>
  <c r="K313" i="35"/>
  <c r="W313" i="35"/>
  <c r="X313" i="35" s="1"/>
  <c r="Y313" i="35"/>
  <c r="B894" i="41"/>
  <c r="N313" i="35"/>
  <c r="M313" i="35"/>
  <c r="P313" i="35"/>
  <c r="Q313" i="35"/>
  <c r="B1515" i="41"/>
  <c r="N806" i="35"/>
  <c r="L806" i="35"/>
  <c r="K806" i="35"/>
  <c r="M806" i="35"/>
  <c r="B1516" i="41"/>
  <c r="O806" i="35"/>
  <c r="Y806" i="35"/>
  <c r="B1514" i="41"/>
  <c r="W806" i="35"/>
  <c r="X806" i="35" s="1"/>
  <c r="B1511" i="41"/>
  <c r="B1512" i="41" s="1"/>
  <c r="B1513" i="41" s="1"/>
  <c r="G751" i="35"/>
  <c r="B756" i="55"/>
  <c r="B231" i="55"/>
  <c r="G226" i="35"/>
  <c r="Y557" i="35"/>
  <c r="B524" i="41"/>
  <c r="W557" i="35"/>
  <c r="N557" i="35"/>
  <c r="B525" i="41"/>
  <c r="B527" i="41"/>
  <c r="L557" i="35"/>
  <c r="K557" i="35"/>
  <c r="B526" i="41"/>
  <c r="M557" i="35"/>
  <c r="N751" i="35"/>
  <c r="O751" i="35"/>
  <c r="K751" i="35"/>
  <c r="Y751" i="35"/>
  <c r="W751" i="35"/>
  <c r="M751" i="35"/>
  <c r="L751" i="35"/>
  <c r="P751" i="35"/>
  <c r="K633" i="35"/>
  <c r="O633" i="35"/>
  <c r="P633" i="35"/>
  <c r="W633" i="35"/>
  <c r="M633" i="35"/>
  <c r="Y633" i="35"/>
  <c r="L633" i="35"/>
  <c r="N633" i="35"/>
  <c r="G341" i="35"/>
  <c r="B346" i="55"/>
  <c r="O189" i="35"/>
  <c r="W189" i="35"/>
  <c r="X189" i="35" s="1"/>
  <c r="Q189" i="35"/>
  <c r="N189" i="35"/>
  <c r="Y189" i="35"/>
  <c r="L189" i="35"/>
  <c r="B770" i="41"/>
  <c r="P189" i="35"/>
  <c r="M189" i="35"/>
  <c r="K189" i="35"/>
  <c r="G748" i="35"/>
  <c r="B753" i="55"/>
  <c r="G255" i="35"/>
  <c r="B260" i="55"/>
  <c r="B354" i="55"/>
  <c r="G349" i="35"/>
  <c r="B200" i="55"/>
  <c r="G195" i="35"/>
  <c r="M711" i="35"/>
  <c r="K711" i="35"/>
  <c r="W711" i="35"/>
  <c r="X711" i="35" s="1"/>
  <c r="N711" i="35"/>
  <c r="C1292" i="41"/>
  <c r="P711" i="35"/>
  <c r="L711" i="35"/>
  <c r="O711" i="35"/>
  <c r="Y711" i="35"/>
  <c r="W179" i="35"/>
  <c r="N179" i="35"/>
  <c r="Q179" i="35"/>
  <c r="Y179" i="35"/>
  <c r="M179" i="35"/>
  <c r="O179" i="35"/>
  <c r="K179" i="35"/>
  <c r="L179" i="35"/>
  <c r="P179" i="35"/>
  <c r="B760" i="41"/>
  <c r="O697" i="35"/>
  <c r="L697" i="35"/>
  <c r="C1258" i="41"/>
  <c r="M697" i="35"/>
  <c r="N697" i="35"/>
  <c r="Y697" i="35"/>
  <c r="K697" i="35"/>
  <c r="W697" i="35"/>
  <c r="G749" i="35"/>
  <c r="B754" i="55"/>
  <c r="G191" i="35"/>
  <c r="B196" i="55"/>
  <c r="B705" i="55"/>
  <c r="G700" i="35"/>
  <c r="L379" i="35"/>
  <c r="W379" i="35"/>
  <c r="K379" i="35"/>
  <c r="O379" i="35"/>
  <c r="Y379" i="35"/>
  <c r="M379" i="35"/>
  <c r="N379" i="35"/>
  <c r="B1003" i="41"/>
  <c r="K234" i="35"/>
  <c r="M234" i="35"/>
  <c r="L234" i="35"/>
  <c r="Y234" i="35"/>
  <c r="O234" i="35"/>
  <c r="B815" i="41"/>
  <c r="N234" i="35"/>
  <c r="Q234" i="35"/>
  <c r="P234" i="35"/>
  <c r="W234" i="35"/>
  <c r="L141" i="35"/>
  <c r="B722" i="41"/>
  <c r="N141" i="35"/>
  <c r="K141" i="35"/>
  <c r="M141" i="35"/>
  <c r="Y141" i="35"/>
  <c r="W141" i="35"/>
  <c r="X141" i="35" s="1"/>
  <c r="G315" i="35"/>
  <c r="B320" i="55"/>
  <c r="K766" i="35"/>
  <c r="O766" i="35"/>
  <c r="L766" i="35"/>
  <c r="M766" i="35"/>
  <c r="Y766" i="35"/>
  <c r="N766" i="35"/>
  <c r="W766" i="35"/>
  <c r="C1413" i="41"/>
  <c r="O349" i="35"/>
  <c r="K349" i="35"/>
  <c r="M349" i="35"/>
  <c r="P349" i="35"/>
  <c r="Y349" i="35"/>
  <c r="L349" i="35"/>
  <c r="Q349" i="35"/>
  <c r="W349" i="35"/>
  <c r="B930" i="41"/>
  <c r="N349" i="35"/>
  <c r="M134" i="35"/>
  <c r="W134" i="35"/>
  <c r="X134" i="35" s="1"/>
  <c r="L134" i="35"/>
  <c r="Y134" i="35"/>
  <c r="N134" i="35"/>
  <c r="K134" i="35"/>
  <c r="B715" i="41"/>
  <c r="G295" i="35"/>
  <c r="B300" i="55"/>
  <c r="Y655" i="35"/>
  <c r="L655" i="35"/>
  <c r="W655" i="35"/>
  <c r="O655" i="35"/>
  <c r="C1187" i="41"/>
  <c r="K655" i="35"/>
  <c r="G163" i="35"/>
  <c r="B168" i="55"/>
  <c r="B641" i="55"/>
  <c r="G636" i="35"/>
  <c r="G342" i="35"/>
  <c r="B347" i="55"/>
  <c r="M827" i="35"/>
  <c r="C1558" i="41"/>
  <c r="K827" i="35"/>
  <c r="O827" i="35"/>
  <c r="W827" i="35"/>
  <c r="L827" i="35"/>
  <c r="Y827" i="35"/>
  <c r="B1626" i="41"/>
  <c r="M855" i="35"/>
  <c r="N855" i="35"/>
  <c r="K855" i="35"/>
  <c r="B1624" i="41"/>
  <c r="B1625" i="41"/>
  <c r="B1621" i="41"/>
  <c r="B1622" i="41" s="1"/>
  <c r="B1623" i="41" s="1"/>
  <c r="L855" i="35"/>
  <c r="C1622" i="41"/>
  <c r="W855" i="35"/>
  <c r="Y855" i="35"/>
  <c r="B220" i="55"/>
  <c r="G215" i="35"/>
  <c r="G337" i="35"/>
  <c r="B342" i="55"/>
  <c r="Y841" i="35"/>
  <c r="Q841" i="35"/>
  <c r="L841" i="35"/>
  <c r="M841" i="35"/>
  <c r="K841" i="35"/>
  <c r="W841" i="35"/>
  <c r="N841" i="35"/>
  <c r="O841" i="35"/>
  <c r="B634" i="55"/>
  <c r="G629" i="35"/>
  <c r="G685" i="35"/>
  <c r="B690" i="55"/>
  <c r="O673" i="35"/>
  <c r="K673" i="35"/>
  <c r="M673" i="35"/>
  <c r="W673" i="35"/>
  <c r="L673" i="35"/>
  <c r="B1222" i="41"/>
  <c r="B1221" i="41"/>
  <c r="B1219" i="41"/>
  <c r="B1220" i="41"/>
  <c r="Y673" i="35"/>
  <c r="N673" i="35"/>
  <c r="H93" i="41"/>
  <c r="H94" i="41"/>
  <c r="K35" i="35"/>
  <c r="W35" i="35"/>
  <c r="G93" i="41"/>
  <c r="G94" i="41"/>
  <c r="F93" i="41"/>
  <c r="L35" i="35"/>
  <c r="F94" i="41"/>
  <c r="Y35" i="35"/>
  <c r="E93" i="41"/>
  <c r="E94" i="41"/>
  <c r="O621" i="35"/>
  <c r="M621" i="35"/>
  <c r="K621" i="35"/>
  <c r="N621" i="35"/>
  <c r="Y621" i="35"/>
  <c r="W621" i="35"/>
  <c r="C1136" i="41"/>
  <c r="L621" i="35"/>
  <c r="P621" i="35"/>
  <c r="B32" i="55"/>
  <c r="G27" i="35"/>
  <c r="Y706" i="35"/>
  <c r="L706" i="35"/>
  <c r="W706" i="35"/>
  <c r="K706" i="35"/>
  <c r="P706" i="35"/>
  <c r="M706" i="35"/>
  <c r="O324" i="35"/>
  <c r="Y324" i="35"/>
  <c r="N324" i="35"/>
  <c r="L324" i="35"/>
  <c r="K324" i="35"/>
  <c r="W324" i="35"/>
  <c r="X324" i="35" s="1"/>
  <c r="P324" i="35"/>
  <c r="M324" i="35"/>
  <c r="Q324" i="35"/>
  <c r="B905" i="41"/>
  <c r="B1380" i="41"/>
  <c r="B1383" i="41"/>
  <c r="B1382" i="41"/>
  <c r="O752" i="35"/>
  <c r="L752" i="35"/>
  <c r="K752" i="35"/>
  <c r="W752" i="35"/>
  <c r="Y752" i="35"/>
  <c r="N752" i="35"/>
  <c r="B1381" i="41"/>
  <c r="M752" i="35"/>
  <c r="B568" i="55"/>
  <c r="G563" i="35"/>
  <c r="B729" i="55"/>
  <c r="G724" i="35"/>
  <c r="B849" i="55"/>
  <c r="G844" i="35"/>
  <c r="B587" i="55"/>
  <c r="G582" i="35"/>
  <c r="Y736" i="35"/>
  <c r="W736" i="35"/>
  <c r="K736" i="35"/>
  <c r="M736" i="35"/>
  <c r="N736" i="35"/>
  <c r="L736" i="35"/>
  <c r="B1347" i="41"/>
  <c r="K311" i="35"/>
  <c r="B892" i="41"/>
  <c r="W311" i="35"/>
  <c r="O311" i="35"/>
  <c r="L311" i="35"/>
  <c r="N311" i="35"/>
  <c r="Y311" i="35"/>
  <c r="M311" i="35"/>
  <c r="P311" i="35"/>
  <c r="Q311" i="35"/>
  <c r="B733" i="55"/>
  <c r="G728" i="35"/>
  <c r="Y204" i="35"/>
  <c r="B785" i="41"/>
  <c r="W204" i="35"/>
  <c r="K204" i="35"/>
  <c r="O204" i="35"/>
  <c r="Q204" i="35"/>
  <c r="P204" i="35"/>
  <c r="L204" i="35"/>
  <c r="M204" i="35"/>
  <c r="N204" i="35"/>
  <c r="G814" i="35"/>
  <c r="B819" i="55"/>
  <c r="N259" i="35"/>
  <c r="B840" i="41"/>
  <c r="O259" i="35"/>
  <c r="P259" i="35"/>
  <c r="K259" i="35"/>
  <c r="W259" i="35"/>
  <c r="Y259" i="35"/>
  <c r="M259" i="35"/>
  <c r="Q259" i="35"/>
  <c r="L259" i="35"/>
  <c r="Y235" i="35"/>
  <c r="P235" i="35"/>
  <c r="Q235" i="35"/>
  <c r="M235" i="35"/>
  <c r="B816" i="41"/>
  <c r="W235" i="35"/>
  <c r="N235" i="35"/>
  <c r="O235" i="35"/>
  <c r="K235" i="35"/>
  <c r="L235" i="35"/>
  <c r="G843" i="35"/>
  <c r="B848" i="55"/>
  <c r="B699" i="55"/>
  <c r="G694" i="35"/>
  <c r="B494" i="41"/>
  <c r="B502" i="41"/>
  <c r="B497" i="41"/>
  <c r="M484" i="35"/>
  <c r="O484" i="35"/>
  <c r="N484" i="35"/>
  <c r="B503" i="41"/>
  <c r="Y484" i="35"/>
  <c r="B500" i="41"/>
  <c r="K484" i="35"/>
  <c r="L484" i="35"/>
  <c r="B495" i="41"/>
  <c r="B501" i="41"/>
  <c r="W484" i="35"/>
  <c r="B496" i="41"/>
  <c r="G820" i="35"/>
  <c r="B825" i="55"/>
  <c r="P847" i="35"/>
  <c r="W847" i="35"/>
  <c r="K847" i="35"/>
  <c r="M847" i="35"/>
  <c r="L847" i="35"/>
  <c r="N847" i="35"/>
  <c r="Y847" i="35"/>
  <c r="C1604" i="41"/>
  <c r="O847" i="35"/>
  <c r="O716" i="35"/>
  <c r="L716" i="35"/>
  <c r="W716" i="35"/>
  <c r="Y716" i="35"/>
  <c r="N716" i="35"/>
  <c r="K716" i="35"/>
  <c r="M716" i="35"/>
  <c r="B1301" i="41"/>
  <c r="B1300" i="41"/>
  <c r="B1298" i="41"/>
  <c r="B1299" i="41"/>
  <c r="K339" i="35"/>
  <c r="P339" i="35"/>
  <c r="Y339" i="35"/>
  <c r="N339" i="35"/>
  <c r="W339" i="35"/>
  <c r="L339" i="35"/>
  <c r="B920" i="41"/>
  <c r="O339" i="35"/>
  <c r="Q339" i="35"/>
  <c r="M339" i="35"/>
  <c r="B330" i="55"/>
  <c r="G325" i="35"/>
  <c r="N267" i="35"/>
  <c r="W267" i="35"/>
  <c r="B848" i="41"/>
  <c r="K267" i="35"/>
  <c r="M267" i="35"/>
  <c r="L267" i="35"/>
  <c r="O267" i="35"/>
  <c r="Y267" i="35"/>
  <c r="Q267" i="35"/>
  <c r="P267" i="35"/>
  <c r="K627" i="35"/>
  <c r="Y627" i="35"/>
  <c r="O627" i="35"/>
  <c r="C1142" i="41"/>
  <c r="L627" i="35"/>
  <c r="W627" i="35"/>
  <c r="M331" i="35"/>
  <c r="Q331" i="35"/>
  <c r="W331" i="35"/>
  <c r="O331" i="35"/>
  <c r="L331" i="35"/>
  <c r="N331" i="35"/>
  <c r="K331" i="35"/>
  <c r="P331" i="35"/>
  <c r="B912" i="41"/>
  <c r="Y331" i="35"/>
  <c r="G787" i="35"/>
  <c r="B792" i="55"/>
  <c r="O740" i="35"/>
  <c r="O705" i="35"/>
  <c r="N740" i="35"/>
  <c r="O704" i="35"/>
  <c r="B1277" i="41"/>
  <c r="B1278" i="41" s="1"/>
  <c r="B1279" i="41" s="1"/>
  <c r="O706" i="35"/>
  <c r="B1280" i="41"/>
  <c r="B1282" i="41"/>
  <c r="B1281" i="41"/>
  <c r="N706" i="35"/>
  <c r="L704" i="35"/>
  <c r="W704" i="35"/>
  <c r="Y704" i="35"/>
  <c r="N704" i="35"/>
  <c r="K704" i="35"/>
  <c r="M704" i="35"/>
  <c r="N705" i="35"/>
  <c r="B660" i="55"/>
  <c r="G655" i="35"/>
  <c r="B166" i="55"/>
  <c r="G161" i="35"/>
  <c r="K356" i="35"/>
  <c r="N356" i="35"/>
  <c r="O356" i="35"/>
  <c r="Y356" i="35"/>
  <c r="Q356" i="35"/>
  <c r="B937" i="41"/>
  <c r="W356" i="35"/>
  <c r="L356" i="35"/>
  <c r="M356" i="35"/>
  <c r="P356" i="35"/>
  <c r="O263" i="35"/>
  <c r="W263" i="35"/>
  <c r="X263" i="35" s="1"/>
  <c r="M263" i="35"/>
  <c r="P263" i="35"/>
  <c r="B844" i="41"/>
  <c r="L263" i="35"/>
  <c r="N263" i="35"/>
  <c r="Y263" i="35"/>
  <c r="K263" i="35"/>
  <c r="Q263" i="35"/>
  <c r="B484" i="55"/>
  <c r="G479" i="35"/>
  <c r="B600" i="55"/>
  <c r="G595" i="35"/>
  <c r="C1050" i="41"/>
  <c r="N569" i="35"/>
  <c r="Y569" i="35"/>
  <c r="K569" i="35"/>
  <c r="L569" i="35"/>
  <c r="M569" i="35"/>
  <c r="P569" i="35"/>
  <c r="W569" i="35"/>
  <c r="O569" i="35"/>
  <c r="K787" i="35"/>
  <c r="M787" i="35"/>
  <c r="B1469" i="41"/>
  <c r="L787" i="35"/>
  <c r="Y787" i="35"/>
  <c r="B1468" i="41"/>
  <c r="W787" i="35"/>
  <c r="N787" i="35"/>
  <c r="C1466" i="41"/>
  <c r="B1470" i="41"/>
  <c r="B1465" i="41"/>
  <c r="B1466" i="41" s="1"/>
  <c r="B1467" i="41" s="1"/>
  <c r="B487" i="55"/>
  <c r="G482" i="35"/>
  <c r="W563" i="35"/>
  <c r="X563" i="35" s="1"/>
  <c r="L563" i="35"/>
  <c r="K563" i="35"/>
  <c r="Y563" i="35"/>
  <c r="M571" i="35"/>
  <c r="C1045" i="41"/>
  <c r="B694" i="55"/>
  <c r="G689" i="35"/>
  <c r="N201" i="35"/>
  <c r="O201" i="35"/>
  <c r="P201" i="35"/>
  <c r="B782" i="41"/>
  <c r="M201" i="35"/>
  <c r="Y201" i="35"/>
  <c r="L201" i="35"/>
  <c r="Q201" i="35"/>
  <c r="K201" i="35"/>
  <c r="W201" i="35"/>
  <c r="P282" i="35"/>
  <c r="Y282" i="35"/>
  <c r="K282" i="35"/>
  <c r="Q282" i="35"/>
  <c r="L282" i="35"/>
  <c r="W282" i="35"/>
  <c r="M282" i="35"/>
  <c r="O282" i="35"/>
  <c r="B863" i="41"/>
  <c r="N282" i="35"/>
  <c r="L246" i="35"/>
  <c r="M246" i="35"/>
  <c r="Y246" i="35"/>
  <c r="B827" i="41"/>
  <c r="Q246" i="35"/>
  <c r="W246" i="35"/>
  <c r="N246" i="35"/>
  <c r="O246" i="35"/>
  <c r="K246" i="35"/>
  <c r="P246" i="35"/>
  <c r="G767" i="35"/>
  <c r="B772" i="55"/>
  <c r="B688" i="55"/>
  <c r="G683" i="35"/>
  <c r="G37" i="30"/>
  <c r="L162" i="35"/>
  <c r="M162" i="35"/>
  <c r="K162" i="35"/>
  <c r="Y162" i="35"/>
  <c r="W162" i="35"/>
  <c r="X162" i="35" s="1"/>
  <c r="N162" i="35"/>
  <c r="B743" i="41"/>
  <c r="B1289" i="41"/>
  <c r="L709" i="35"/>
  <c r="K709" i="35"/>
  <c r="Y709" i="35"/>
  <c r="N709" i="35"/>
  <c r="B1287" i="41"/>
  <c r="B1288" i="41" s="1"/>
  <c r="B1290" i="41"/>
  <c r="W709" i="35"/>
  <c r="B1291" i="41"/>
  <c r="O709" i="35"/>
  <c r="M709" i="35"/>
  <c r="G835" i="35"/>
  <c r="B840" i="55"/>
  <c r="W485" i="35"/>
  <c r="X485" i="35" s="1"/>
  <c r="Y485" i="35"/>
  <c r="W562" i="35"/>
  <c r="X562" i="35" s="1"/>
  <c r="N562" i="35"/>
  <c r="K562" i="35"/>
  <c r="C1044" i="41"/>
  <c r="M562" i="35"/>
  <c r="L562" i="35"/>
  <c r="Y562" i="35"/>
  <c r="K556" i="35"/>
  <c r="O556" i="35"/>
  <c r="N556" i="35"/>
  <c r="C522" i="41"/>
  <c r="L556" i="35"/>
  <c r="M556" i="35"/>
  <c r="P556" i="35"/>
  <c r="W556" i="35"/>
  <c r="Y556" i="35"/>
  <c r="W269" i="35"/>
  <c r="X269" i="35" s="1"/>
  <c r="L269" i="35"/>
  <c r="N269" i="35"/>
  <c r="Q269" i="35"/>
  <c r="M269" i="35"/>
  <c r="B850" i="41"/>
  <c r="Y269" i="35"/>
  <c r="O269" i="35"/>
  <c r="K269" i="35"/>
  <c r="P269" i="35"/>
  <c r="B871" i="55"/>
  <c r="G866" i="35"/>
  <c r="B538" i="41"/>
  <c r="H538" i="41" s="1"/>
  <c r="Y561" i="35"/>
  <c r="L561" i="35"/>
  <c r="B539" i="41"/>
  <c r="F539" i="41" s="1"/>
  <c r="B540" i="41"/>
  <c r="F540" i="41" s="1"/>
  <c r="K561" i="35"/>
  <c r="B537" i="41"/>
  <c r="G537" i="41" s="1"/>
  <c r="W561" i="35"/>
  <c r="M561" i="35"/>
  <c r="G614" i="35"/>
  <c r="B619" i="55"/>
  <c r="L695" i="35"/>
  <c r="O695" i="35"/>
  <c r="N695" i="35"/>
  <c r="K695" i="35"/>
  <c r="M695" i="35"/>
  <c r="W695" i="35"/>
  <c r="Y695" i="35"/>
  <c r="C1256" i="41"/>
  <c r="G256" i="35"/>
  <c r="B261" i="55"/>
  <c r="B376" i="55"/>
  <c r="G371" i="35"/>
  <c r="L770" i="35"/>
  <c r="M770" i="35"/>
  <c r="W770" i="35"/>
  <c r="K770" i="35"/>
  <c r="N770" i="35"/>
  <c r="Y770" i="35"/>
  <c r="B1425" i="41"/>
  <c r="P176" i="35"/>
  <c r="N176" i="35"/>
  <c r="O176" i="35"/>
  <c r="Q176" i="35"/>
  <c r="W176" i="35"/>
  <c r="K176" i="35"/>
  <c r="B757" i="41"/>
  <c r="M176" i="35"/>
  <c r="Y176" i="35"/>
  <c r="L176" i="35"/>
  <c r="G849" i="35"/>
  <c r="B854" i="55"/>
  <c r="B184" i="55"/>
  <c r="G179" i="35"/>
  <c r="B141" i="55"/>
  <c r="G136" i="35"/>
  <c r="G328" i="35"/>
  <c r="B333" i="55"/>
  <c r="L689" i="35"/>
  <c r="O689" i="35"/>
  <c r="W689" i="35"/>
  <c r="M689" i="35"/>
  <c r="P689" i="35"/>
  <c r="Y689" i="35"/>
  <c r="N689" i="35"/>
  <c r="K689" i="35"/>
  <c r="W374" i="35"/>
  <c r="X374" i="35" s="1"/>
  <c r="K374" i="35"/>
  <c r="N374" i="35"/>
  <c r="L374" i="35"/>
  <c r="Y374" i="35"/>
  <c r="M374" i="35"/>
  <c r="G628" i="35"/>
  <c r="B633" i="55"/>
  <c r="L249" i="35"/>
  <c r="W249" i="35"/>
  <c r="O249" i="35"/>
  <c r="P249" i="35"/>
  <c r="K249" i="35"/>
  <c r="B830" i="41"/>
  <c r="N249" i="35"/>
  <c r="M249" i="35"/>
  <c r="Y249" i="35"/>
  <c r="Q249" i="35"/>
  <c r="G169" i="35"/>
  <c r="B174" i="55"/>
  <c r="B810" i="55"/>
  <c r="G805" i="35"/>
  <c r="G278" i="35"/>
  <c r="B283" i="55"/>
  <c r="M699" i="35"/>
  <c r="B1260" i="41"/>
  <c r="O699" i="35"/>
  <c r="B1261" i="41"/>
  <c r="B1262" i="41"/>
  <c r="Y699" i="35"/>
  <c r="B1263" i="41"/>
  <c r="L699" i="35"/>
  <c r="W699" i="35"/>
  <c r="N699" i="35"/>
  <c r="K699" i="35"/>
  <c r="B1455" i="41"/>
  <c r="L784" i="35"/>
  <c r="W784" i="35"/>
  <c r="Y784" i="35"/>
  <c r="B1453" i="41"/>
  <c r="O784" i="35"/>
  <c r="M784" i="35"/>
  <c r="N784" i="35"/>
  <c r="B1456" i="41"/>
  <c r="B1454" i="41"/>
  <c r="K784" i="35"/>
  <c r="W312" i="35"/>
  <c r="X312" i="35" s="1"/>
  <c r="O312" i="35"/>
  <c r="P312" i="35"/>
  <c r="B893" i="41"/>
  <c r="L312" i="35"/>
  <c r="Y312" i="35"/>
  <c r="M312" i="35"/>
  <c r="Q312" i="35"/>
  <c r="N312" i="35"/>
  <c r="K312" i="35"/>
  <c r="M807" i="35"/>
  <c r="K807" i="35"/>
  <c r="Q807" i="35"/>
  <c r="N807" i="35"/>
  <c r="L807" i="35"/>
  <c r="Y807" i="35"/>
  <c r="W807" i="35"/>
  <c r="O807" i="35"/>
  <c r="G353" i="35"/>
  <c r="B358" i="55"/>
  <c r="G180" i="35"/>
  <c r="B185" i="55"/>
  <c r="B623" i="55"/>
  <c r="G618" i="35"/>
  <c r="B681" i="55"/>
  <c r="G676" i="35"/>
  <c r="O630" i="35"/>
  <c r="W630" i="35"/>
  <c r="K630" i="35"/>
  <c r="L630" i="35"/>
  <c r="Y630" i="35"/>
  <c r="B222" i="55"/>
  <c r="G217" i="35"/>
  <c r="Q604" i="35"/>
  <c r="L604" i="35"/>
  <c r="K604" i="35"/>
  <c r="N604" i="35"/>
  <c r="O604" i="35"/>
  <c r="Y604" i="35"/>
  <c r="W604" i="35"/>
  <c r="M604" i="35"/>
  <c r="P183" i="35"/>
  <c r="K183" i="35"/>
  <c r="B764" i="41"/>
  <c r="Q183" i="35"/>
  <c r="L183" i="35"/>
  <c r="O183" i="35"/>
  <c r="M183" i="35"/>
  <c r="W183" i="35"/>
  <c r="Y183" i="35"/>
  <c r="N183" i="35"/>
  <c r="B257" i="55"/>
  <c r="G252" i="35"/>
  <c r="P344" i="35"/>
  <c r="K344" i="35"/>
  <c r="O344" i="35"/>
  <c r="L344" i="35"/>
  <c r="N344" i="35"/>
  <c r="W344" i="35"/>
  <c r="X344" i="35" s="1"/>
  <c r="B925" i="41"/>
  <c r="M344" i="35"/>
  <c r="Q344" i="35"/>
  <c r="Y344" i="35"/>
  <c r="O352" i="35"/>
  <c r="Y352" i="35"/>
  <c r="Q352" i="35"/>
  <c r="K352" i="35"/>
  <c r="P352" i="35"/>
  <c r="N352" i="35"/>
  <c r="L352" i="35"/>
  <c r="B933" i="41"/>
  <c r="M352" i="35"/>
  <c r="W352" i="35"/>
  <c r="X352" i="35" s="1"/>
  <c r="W866" i="35"/>
  <c r="N866" i="35"/>
  <c r="M866" i="35"/>
  <c r="L866" i="35"/>
  <c r="K866" i="35"/>
  <c r="O866" i="35"/>
  <c r="C1646" i="41"/>
  <c r="Y866" i="35"/>
  <c r="G647" i="35"/>
  <c r="B652" i="55"/>
  <c r="B276" i="55"/>
  <c r="G271" i="35"/>
  <c r="W808" i="35"/>
  <c r="M808" i="35"/>
  <c r="N808" i="35"/>
  <c r="O808" i="35"/>
  <c r="Y808" i="35"/>
  <c r="L808" i="35"/>
  <c r="P808" i="35"/>
  <c r="K808" i="35"/>
  <c r="B890" i="41"/>
  <c r="W309" i="35"/>
  <c r="M309" i="35"/>
  <c r="N309" i="35"/>
  <c r="Q309" i="35"/>
  <c r="Y309" i="35"/>
  <c r="O309" i="35"/>
  <c r="K309" i="35"/>
  <c r="P309" i="35"/>
  <c r="L309" i="35"/>
  <c r="N337" i="35"/>
  <c r="Q337" i="35"/>
  <c r="Y337" i="35"/>
  <c r="O337" i="35"/>
  <c r="P337" i="35"/>
  <c r="W337" i="35"/>
  <c r="M337" i="35"/>
  <c r="B918" i="41"/>
  <c r="K337" i="35"/>
  <c r="L337" i="35"/>
  <c r="B873" i="55"/>
  <c r="G868" i="35"/>
  <c r="G148" i="35"/>
  <c r="B153" i="55"/>
  <c r="O212" i="35"/>
  <c r="Q212" i="35"/>
  <c r="K212" i="35"/>
  <c r="L212" i="35"/>
  <c r="P212" i="35"/>
  <c r="W212" i="35"/>
  <c r="B793" i="41"/>
  <c r="Y212" i="35"/>
  <c r="N212" i="35"/>
  <c r="M212" i="35"/>
  <c r="Y705" i="35"/>
  <c r="M705" i="35"/>
  <c r="W705" i="35"/>
  <c r="Q705" i="35"/>
  <c r="L705" i="35"/>
  <c r="K705" i="35"/>
  <c r="B685" i="55"/>
  <c r="G680" i="35"/>
  <c r="K857" i="35"/>
  <c r="O857" i="35"/>
  <c r="M857" i="35"/>
  <c r="N857" i="35"/>
  <c r="Y857" i="35"/>
  <c r="W857" i="35"/>
  <c r="B1633" i="41"/>
  <c r="B1631" i="41"/>
  <c r="L857" i="35"/>
  <c r="B1628" i="41"/>
  <c r="B1629" i="41" s="1"/>
  <c r="B1630" i="41" s="1"/>
  <c r="B1632" i="41"/>
  <c r="K826" i="35"/>
  <c r="L826" i="35"/>
  <c r="Y826" i="35"/>
  <c r="W826" i="35"/>
  <c r="M826" i="35"/>
  <c r="N826" i="35"/>
  <c r="C1557" i="41"/>
  <c r="B789" i="55"/>
  <c r="G784" i="35"/>
  <c r="B609" i="55"/>
  <c r="G604" i="35"/>
  <c r="O614" i="35"/>
  <c r="M614" i="35"/>
  <c r="W614" i="35"/>
  <c r="N614" i="35"/>
  <c r="K614" i="35"/>
  <c r="Y614" i="35"/>
  <c r="C1123" i="41"/>
  <c r="L614" i="35"/>
  <c r="N302" i="35"/>
  <c r="P302" i="35"/>
  <c r="B883" i="41"/>
  <c r="Y302" i="35"/>
  <c r="Q302" i="35"/>
  <c r="O302" i="35"/>
  <c r="K302" i="35"/>
  <c r="W302" i="35"/>
  <c r="M302" i="35"/>
  <c r="L302" i="35"/>
  <c r="G357" i="35"/>
  <c r="B362" i="55"/>
  <c r="L210" i="35"/>
  <c r="Y210" i="35"/>
  <c r="P210" i="35"/>
  <c r="Q210" i="35"/>
  <c r="N210" i="35"/>
  <c r="B791" i="41"/>
  <c r="O210" i="35"/>
  <c r="K210" i="35"/>
  <c r="M210" i="35"/>
  <c r="W210" i="35"/>
  <c r="B304" i="55"/>
  <c r="G299" i="35"/>
  <c r="K610" i="35"/>
  <c r="L610" i="35"/>
  <c r="N610" i="35"/>
  <c r="W610" i="35"/>
  <c r="Y610" i="35"/>
  <c r="M610" i="35"/>
  <c r="C1118" i="41"/>
  <c r="O610" i="35"/>
  <c r="P610" i="35"/>
  <c r="M166" i="35"/>
  <c r="B747" i="41"/>
  <c r="K166" i="35"/>
  <c r="W166" i="35"/>
  <c r="N166" i="35"/>
  <c r="L166" i="35"/>
  <c r="Y166" i="35"/>
  <c r="N229" i="35"/>
  <c r="Y229" i="35"/>
  <c r="O229" i="35"/>
  <c r="W229" i="35"/>
  <c r="K229" i="35"/>
  <c r="B810" i="41"/>
  <c r="P229" i="35"/>
  <c r="Q229" i="35"/>
  <c r="L229" i="35"/>
  <c r="M229" i="35"/>
  <c r="G275" i="35"/>
  <c r="B280" i="55"/>
  <c r="G558" i="35"/>
  <c r="B563" i="55"/>
  <c r="O351" i="35"/>
  <c r="Y351" i="35"/>
  <c r="Q351" i="35"/>
  <c r="N351" i="35"/>
  <c r="K351" i="35"/>
  <c r="B932" i="41"/>
  <c r="W351" i="35"/>
  <c r="X351" i="35" s="1"/>
  <c r="L351" i="35"/>
  <c r="P351" i="35"/>
  <c r="M351" i="35"/>
  <c r="B339" i="55"/>
  <c r="G334" i="35"/>
  <c r="M138" i="35"/>
  <c r="B719" i="41"/>
  <c r="L138" i="35"/>
  <c r="K138" i="35"/>
  <c r="W138" i="35"/>
  <c r="X138" i="35" s="1"/>
  <c r="N138" i="35"/>
  <c r="Y138" i="35"/>
  <c r="L773" i="35"/>
  <c r="K773" i="35"/>
  <c r="Y773" i="35"/>
  <c r="W773" i="35"/>
  <c r="M773" i="35"/>
  <c r="Q773" i="35"/>
  <c r="W862" i="35"/>
  <c r="X862" i="35" s="1"/>
  <c r="K862" i="35"/>
  <c r="B1642" i="41"/>
  <c r="Y862" i="35"/>
  <c r="B1641" i="41"/>
  <c r="M862" i="35"/>
  <c r="N862" i="35"/>
  <c r="B1638" i="41"/>
  <c r="B1639" i="41" s="1"/>
  <c r="O862" i="35"/>
  <c r="L862" i="35"/>
  <c r="B1640" i="41"/>
  <c r="N600" i="35"/>
  <c r="P600" i="35"/>
  <c r="M600" i="35"/>
  <c r="W600" i="35"/>
  <c r="O600" i="35"/>
  <c r="Q600" i="35"/>
  <c r="Y600" i="35"/>
  <c r="C1098" i="41"/>
  <c r="K600" i="35"/>
  <c r="L600" i="35"/>
  <c r="M169" i="35"/>
  <c r="L169" i="35"/>
  <c r="N169" i="35"/>
  <c r="K169" i="35"/>
  <c r="B750" i="41"/>
  <c r="Y169" i="35"/>
  <c r="W169" i="35"/>
  <c r="X169" i="35" s="1"/>
  <c r="L314" i="35"/>
  <c r="Q314" i="35"/>
  <c r="Y314" i="35"/>
  <c r="K314" i="35"/>
  <c r="N314" i="35"/>
  <c r="M314" i="35"/>
  <c r="P314" i="35"/>
  <c r="O314" i="35"/>
  <c r="B895" i="41"/>
  <c r="W314" i="35"/>
  <c r="X314" i="35" s="1"/>
  <c r="B574" i="55"/>
  <c r="G569" i="35"/>
  <c r="G35" i="30"/>
  <c r="G301" i="35"/>
  <c r="B306" i="55"/>
  <c r="B673" i="55"/>
  <c r="G668" i="35"/>
  <c r="B140" i="55"/>
  <c r="G135" i="35"/>
  <c r="K25" i="35"/>
  <c r="M25" i="35"/>
  <c r="Y25" i="35"/>
  <c r="C35" i="41"/>
  <c r="H35" i="41" s="1"/>
  <c r="L25" i="35"/>
  <c r="W25" i="35"/>
  <c r="G715" i="35"/>
  <c r="B720" i="55"/>
  <c r="L663" i="35"/>
  <c r="Y663" i="35"/>
  <c r="K663" i="35"/>
  <c r="M663" i="35"/>
  <c r="W663" i="35"/>
  <c r="C1202" i="41"/>
  <c r="O663" i="35"/>
  <c r="Q316" i="35"/>
  <c r="O316" i="35"/>
  <c r="W316" i="35"/>
  <c r="X316" i="35" s="1"/>
  <c r="Y316" i="35"/>
  <c r="M316" i="35"/>
  <c r="L316" i="35"/>
  <c r="N316" i="35"/>
  <c r="P316" i="35"/>
  <c r="B897" i="41"/>
  <c r="K316" i="35"/>
  <c r="K761" i="35"/>
  <c r="L761" i="35"/>
  <c r="N761" i="35"/>
  <c r="M761" i="35"/>
  <c r="Y761" i="35"/>
  <c r="W761" i="35"/>
  <c r="P761" i="35"/>
  <c r="O761" i="35"/>
  <c r="G658" i="35"/>
  <c r="B663" i="55"/>
  <c r="G380" i="35"/>
  <c r="B385" i="55"/>
  <c r="K674" i="35"/>
  <c r="L674" i="35"/>
  <c r="W674" i="35"/>
  <c r="Y674" i="35"/>
  <c r="M674" i="35"/>
  <c r="C1224" i="41"/>
  <c r="N674" i="35"/>
  <c r="Y634" i="35"/>
  <c r="L634" i="35"/>
  <c r="C1156" i="41"/>
  <c r="K634" i="35"/>
  <c r="N634" i="35"/>
  <c r="M634" i="35"/>
  <c r="W634" i="35"/>
  <c r="B350" i="55"/>
  <c r="G345" i="35"/>
  <c r="B771" i="55"/>
  <c r="G766" i="35"/>
  <c r="B367" i="55"/>
  <c r="G362" i="35"/>
  <c r="G611" i="35"/>
  <c r="B616" i="55"/>
  <c r="B1169" i="41"/>
  <c r="K643" i="35"/>
  <c r="O643" i="35"/>
  <c r="W643" i="35"/>
  <c r="Y643" i="35"/>
  <c r="B1172" i="41"/>
  <c r="N643" i="35"/>
  <c r="B1171" i="41"/>
  <c r="B1170" i="41"/>
  <c r="M643" i="35"/>
  <c r="L643" i="35"/>
  <c r="L848" i="35"/>
  <c r="Y848" i="35"/>
  <c r="M848" i="35"/>
  <c r="C1606" i="41"/>
  <c r="K848" i="35"/>
  <c r="N848" i="35"/>
  <c r="O848" i="35"/>
  <c r="W848" i="35"/>
  <c r="O666" i="35"/>
  <c r="C1208" i="41"/>
  <c r="N666" i="35"/>
  <c r="K666" i="35"/>
  <c r="M666" i="35"/>
  <c r="P666" i="35"/>
  <c r="W666" i="35"/>
  <c r="Y666" i="35"/>
  <c r="L666" i="35"/>
  <c r="L625" i="35"/>
  <c r="O625" i="35"/>
  <c r="N625" i="35"/>
  <c r="M625" i="35"/>
  <c r="C1140" i="41"/>
  <c r="W625" i="35"/>
  <c r="X625" i="35" s="1"/>
  <c r="Y625" i="35"/>
  <c r="P625" i="35"/>
  <c r="K625" i="35"/>
  <c r="N735" i="35"/>
  <c r="M735" i="35"/>
  <c r="K735" i="35"/>
  <c r="B1341" i="41"/>
  <c r="B1344" i="41"/>
  <c r="L735" i="35"/>
  <c r="B1342" i="41"/>
  <c r="O735" i="35"/>
  <c r="W735" i="35"/>
  <c r="Y735" i="35"/>
  <c r="B1343" i="41"/>
  <c r="G857" i="35"/>
  <c r="B862" i="55"/>
  <c r="N592" i="35"/>
  <c r="N599" i="35"/>
  <c r="W592" i="35"/>
  <c r="M592" i="35"/>
  <c r="Y592" i="35"/>
  <c r="K592" i="35"/>
  <c r="L592" i="35"/>
  <c r="G11" i="30"/>
  <c r="G713" i="35"/>
  <c r="B718" i="55"/>
  <c r="G327" i="35"/>
  <c r="B332" i="55"/>
  <c r="G214" i="35"/>
  <c r="B219" i="55"/>
  <c r="O730" i="35"/>
  <c r="W730" i="35"/>
  <c r="M730" i="35"/>
  <c r="Y730" i="35"/>
  <c r="L730" i="35"/>
  <c r="C1333" i="41"/>
  <c r="K730" i="35"/>
  <c r="N730" i="35"/>
  <c r="Y300" i="35"/>
  <c r="K300" i="35"/>
  <c r="W300" i="35"/>
  <c r="X300" i="35" s="1"/>
  <c r="B881" i="41"/>
  <c r="M300" i="35"/>
  <c r="O300" i="35"/>
  <c r="N300" i="35"/>
  <c r="Q300" i="35"/>
  <c r="P300" i="35"/>
  <c r="L300" i="35"/>
  <c r="G862" i="35"/>
  <c r="B867" i="55"/>
  <c r="B274" i="55"/>
  <c r="G269" i="35"/>
  <c r="G272" i="35"/>
  <c r="B277" i="55"/>
  <c r="G140" i="35"/>
  <c r="B145" i="55"/>
  <c r="B667" i="55"/>
  <c r="G662" i="35"/>
  <c r="Y721" i="35"/>
  <c r="O722" i="35"/>
  <c r="B1318" i="41"/>
  <c r="N722" i="35"/>
  <c r="N723" i="35"/>
  <c r="K721" i="35"/>
  <c r="M721" i="35"/>
  <c r="N721" i="35"/>
  <c r="B1315" i="41"/>
  <c r="B1316" i="41" s="1"/>
  <c r="B1317" i="41" s="1"/>
  <c r="L721" i="35"/>
  <c r="O723" i="35"/>
  <c r="W721" i="35"/>
  <c r="B1320" i="41"/>
  <c r="O721" i="35"/>
  <c r="B1319" i="41"/>
  <c r="Y870" i="35"/>
  <c r="M870" i="35"/>
  <c r="W870" i="35"/>
  <c r="O870" i="35"/>
  <c r="L870" i="35"/>
  <c r="K870" i="35"/>
  <c r="P870" i="35"/>
  <c r="N870" i="35"/>
  <c r="B566" i="55"/>
  <c r="G561" i="35"/>
  <c r="K662" i="35"/>
  <c r="C1201" i="41"/>
  <c r="Y662" i="35"/>
  <c r="W662" i="35"/>
  <c r="L662" i="35"/>
  <c r="N662" i="35"/>
  <c r="M662" i="35"/>
  <c r="B151" i="55"/>
  <c r="G146" i="35"/>
  <c r="G377" i="35"/>
  <c r="B382" i="55"/>
  <c r="K170" i="35"/>
  <c r="L170" i="35"/>
  <c r="N170" i="35"/>
  <c r="M170" i="35"/>
  <c r="W170" i="35"/>
  <c r="Y170" i="35"/>
  <c r="B751" i="41"/>
  <c r="K145" i="35"/>
  <c r="N145" i="35"/>
  <c r="Y145" i="35"/>
  <c r="M145" i="35"/>
  <c r="W145" i="35"/>
  <c r="B726" i="41"/>
  <c r="L145" i="35"/>
  <c r="B489" i="55"/>
  <c r="G484" i="35"/>
  <c r="B31" i="55"/>
  <c r="G26" i="35"/>
  <c r="P360" i="35"/>
  <c r="Q360" i="35"/>
  <c r="M360" i="35"/>
  <c r="K360" i="35"/>
  <c r="W360" i="35"/>
  <c r="O360" i="35"/>
  <c r="N360" i="35"/>
  <c r="L360" i="35"/>
  <c r="B941" i="41"/>
  <c r="Y360" i="35"/>
  <c r="B197" i="55"/>
  <c r="G192" i="35"/>
  <c r="W285" i="35"/>
  <c r="X285" i="35" s="1"/>
  <c r="P285" i="35"/>
  <c r="L285" i="35"/>
  <c r="Y285" i="35"/>
  <c r="O285" i="35"/>
  <c r="Q285" i="35"/>
  <c r="N285" i="35"/>
  <c r="M285" i="35"/>
  <c r="K285" i="35"/>
  <c r="B866" i="41"/>
  <c r="B728" i="55"/>
  <c r="G723" i="35"/>
  <c r="M254" i="35"/>
  <c r="K254" i="35"/>
  <c r="L254" i="35"/>
  <c r="Q254" i="35"/>
  <c r="W254" i="35"/>
  <c r="Y254" i="35"/>
  <c r="P254" i="35"/>
  <c r="N254" i="35"/>
  <c r="B835" i="41"/>
  <c r="O254" i="35"/>
  <c r="G698" i="35"/>
  <c r="B703" i="55"/>
  <c r="B33" i="55"/>
  <c r="G28" i="35"/>
  <c r="Y36" i="35"/>
  <c r="M36" i="35"/>
  <c r="L36" i="35"/>
  <c r="W36" i="35"/>
  <c r="B98" i="41"/>
  <c r="H98" i="41" s="1"/>
  <c r="K36" i="35"/>
  <c r="B96" i="41"/>
  <c r="H96" i="41" s="1"/>
  <c r="B95" i="41"/>
  <c r="H95" i="41" s="1"/>
  <c r="B97" i="41"/>
  <c r="F97" i="41" s="1"/>
  <c r="W822" i="35"/>
  <c r="O822" i="35"/>
  <c r="Y822" i="35"/>
  <c r="L822" i="35"/>
  <c r="N822" i="35"/>
  <c r="K822" i="35"/>
  <c r="M822" i="35"/>
  <c r="B551" i="55"/>
  <c r="G546" i="35"/>
  <c r="G829" i="35"/>
  <c r="B834" i="55"/>
  <c r="M834" i="35"/>
  <c r="Y834" i="35"/>
  <c r="C1570" i="41"/>
  <c r="W834" i="35"/>
  <c r="N834" i="35"/>
  <c r="K834" i="35"/>
  <c r="L834" i="35"/>
  <c r="O834" i="35"/>
  <c r="B1000" i="41"/>
  <c r="L376" i="35"/>
  <c r="N376" i="35"/>
  <c r="W376" i="35"/>
  <c r="K376" i="35"/>
  <c r="O376" i="35"/>
  <c r="M376" i="35"/>
  <c r="Y376" i="35"/>
  <c r="K202" i="35"/>
  <c r="P202" i="35"/>
  <c r="N202" i="35"/>
  <c r="L202" i="35"/>
  <c r="W202" i="35"/>
  <c r="O202" i="35"/>
  <c r="M202" i="35"/>
  <c r="Y202" i="35"/>
  <c r="B783" i="41"/>
  <c r="Q202" i="35"/>
  <c r="O856" i="35"/>
  <c r="L856" i="35"/>
  <c r="W856" i="35"/>
  <c r="Y856" i="35"/>
  <c r="K856" i="35"/>
  <c r="M856" i="35"/>
  <c r="N856" i="35"/>
  <c r="M842" i="35"/>
  <c r="P842" i="35"/>
  <c r="O842" i="35"/>
  <c r="K842" i="35"/>
  <c r="Y842" i="35"/>
  <c r="N842" i="35"/>
  <c r="W842" i="35"/>
  <c r="L842" i="35"/>
  <c r="G813" i="35"/>
  <c r="B818" i="55"/>
  <c r="B691" i="55"/>
  <c r="G686" i="35"/>
  <c r="G344" i="35"/>
  <c r="B349" i="55"/>
  <c r="G219" i="35"/>
  <c r="B224" i="55"/>
  <c r="P190" i="35"/>
  <c r="Y190" i="35"/>
  <c r="M190" i="35"/>
  <c r="L190" i="35"/>
  <c r="N190" i="35"/>
  <c r="K190" i="35"/>
  <c r="B771" i="41"/>
  <c r="W190" i="35"/>
  <c r="O190" i="35"/>
  <c r="Q190" i="35"/>
  <c r="G199" i="35"/>
  <c r="B204" i="55"/>
  <c r="Y713" i="35"/>
  <c r="O713" i="35"/>
  <c r="N713" i="35"/>
  <c r="C1295" i="41"/>
  <c r="M713" i="35"/>
  <c r="W713" i="35"/>
  <c r="K713" i="35"/>
  <c r="L713" i="35"/>
  <c r="C1182" i="41"/>
  <c r="L650" i="35"/>
  <c r="M650" i="35"/>
  <c r="N650" i="35"/>
  <c r="Y650" i="35"/>
  <c r="P650" i="35"/>
  <c r="O650" i="35"/>
  <c r="W650" i="35"/>
  <c r="X650" i="35" s="1"/>
  <c r="K650" i="35"/>
  <c r="G666" i="35"/>
  <c r="B671" i="55"/>
  <c r="B1337" i="41"/>
  <c r="W733" i="35"/>
  <c r="B1339" i="41"/>
  <c r="N733" i="35"/>
  <c r="B1336" i="41"/>
  <c r="Y733" i="35"/>
  <c r="B1338" i="41"/>
  <c r="O733" i="35"/>
  <c r="M733" i="35"/>
  <c r="K733" i="35"/>
  <c r="L733" i="35"/>
  <c r="K198" i="35"/>
  <c r="M198" i="35"/>
  <c r="Y198" i="35"/>
  <c r="P198" i="35"/>
  <c r="N198" i="35"/>
  <c r="B779" i="41"/>
  <c r="W198" i="35"/>
  <c r="X198" i="35" s="1"/>
  <c r="O198" i="35"/>
  <c r="L198" i="35"/>
  <c r="Q198" i="35"/>
  <c r="B916" i="41"/>
  <c r="P335" i="35"/>
  <c r="K335" i="35"/>
  <c r="Y335" i="35"/>
  <c r="O335" i="35"/>
  <c r="M335" i="35"/>
  <c r="Q335" i="35"/>
  <c r="L335" i="35"/>
  <c r="N335" i="35"/>
  <c r="W335" i="35"/>
  <c r="B887" i="41"/>
  <c r="Q306" i="35"/>
  <c r="W306" i="35"/>
  <c r="X306" i="35" s="1"/>
  <c r="P306" i="35"/>
  <c r="K306" i="35"/>
  <c r="O306" i="35"/>
  <c r="M306" i="35"/>
  <c r="Y306" i="35"/>
  <c r="L306" i="35"/>
  <c r="N306" i="35"/>
  <c r="C356" i="41"/>
  <c r="D356" i="41" s="1"/>
  <c r="E356" i="41" s="1"/>
  <c r="W478" i="35"/>
  <c r="X478" i="35" s="1"/>
  <c r="L478" i="35"/>
  <c r="K478" i="35"/>
  <c r="O478" i="35"/>
  <c r="M478" i="35"/>
  <c r="Y478" i="35"/>
  <c r="P478" i="35"/>
  <c r="Q478" i="35"/>
  <c r="N478" i="35"/>
  <c r="G764" i="35"/>
  <c r="B769" i="55"/>
  <c r="B1535" i="41"/>
  <c r="B1533" i="41"/>
  <c r="W818" i="35"/>
  <c r="L818" i="35"/>
  <c r="K818" i="35"/>
  <c r="N818" i="35"/>
  <c r="M818" i="35"/>
  <c r="B1534" i="41"/>
  <c r="Y818" i="35"/>
  <c r="O818" i="35"/>
  <c r="B1532" i="41"/>
  <c r="W559" i="35"/>
  <c r="Y559" i="35"/>
  <c r="L559" i="35"/>
  <c r="K559" i="35"/>
  <c r="B534" i="41"/>
  <c r="L657" i="35"/>
  <c r="B1193" i="41"/>
  <c r="K657" i="35"/>
  <c r="Y657" i="35"/>
  <c r="B1190" i="41"/>
  <c r="B1191" i="41" s="1"/>
  <c r="N658" i="35"/>
  <c r="W657" i="35"/>
  <c r="B1192" i="41"/>
  <c r="M657" i="35"/>
  <c r="N657" i="35"/>
  <c r="B1194" i="41"/>
  <c r="M658" i="35"/>
  <c r="B370" i="55"/>
  <c r="G365" i="35"/>
  <c r="B599" i="55"/>
  <c r="G594" i="35"/>
  <c r="B923" i="41"/>
  <c r="N342" i="35"/>
  <c r="O342" i="35"/>
  <c r="P342" i="35"/>
  <c r="M342" i="35"/>
  <c r="Y342" i="35"/>
  <c r="L342" i="35"/>
  <c r="Q342" i="35"/>
  <c r="W342" i="35"/>
  <c r="K342" i="35"/>
  <c r="B1197" i="41"/>
  <c r="B1199" i="41"/>
  <c r="B1195" i="41"/>
  <c r="B1196" i="41" s="1"/>
  <c r="B1198" i="41"/>
  <c r="N659" i="35"/>
  <c r="O659" i="35"/>
  <c r="Y659" i="35"/>
  <c r="K659" i="35"/>
  <c r="W659" i="35"/>
  <c r="M659" i="35"/>
  <c r="L659" i="35"/>
  <c r="B148" i="55"/>
  <c r="G143" i="35"/>
  <c r="G671" i="35"/>
  <c r="B676" i="55"/>
  <c r="L232" i="35"/>
  <c r="P232" i="35"/>
  <c r="Q232" i="35"/>
  <c r="K232" i="35"/>
  <c r="Y232" i="35"/>
  <c r="B813" i="41"/>
  <c r="W232" i="35"/>
  <c r="O232" i="35"/>
  <c r="N232" i="35"/>
  <c r="M232" i="35"/>
  <c r="B212" i="55"/>
  <c r="G207" i="35"/>
  <c r="N34" i="30"/>
  <c r="H34" i="30"/>
  <c r="J34" i="30" s="1"/>
  <c r="G34" i="30"/>
  <c r="O34" i="30"/>
  <c r="G189" i="35"/>
  <c r="B194" i="55"/>
  <c r="Q225" i="35"/>
  <c r="B806" i="41"/>
  <c r="P225" i="35"/>
  <c r="O225" i="35"/>
  <c r="M225" i="35"/>
  <c r="N225" i="35"/>
  <c r="W225" i="35"/>
  <c r="Y225" i="35"/>
  <c r="K225" i="35"/>
  <c r="L225" i="35"/>
  <c r="B770" i="55"/>
  <c r="G765" i="35"/>
  <c r="B198" i="55"/>
  <c r="G193" i="35"/>
  <c r="N288" i="35"/>
  <c r="L288" i="35"/>
  <c r="K288" i="35"/>
  <c r="Q288" i="35"/>
  <c r="M288" i="35"/>
  <c r="W288" i="35"/>
  <c r="Y288" i="35"/>
  <c r="B869" i="41"/>
  <c r="O288" i="35"/>
  <c r="P288" i="35"/>
  <c r="B749" i="55"/>
  <c r="G744" i="35"/>
  <c r="Y223" i="35"/>
  <c r="L223" i="35"/>
  <c r="B804" i="41"/>
  <c r="P223" i="35"/>
  <c r="O223" i="35"/>
  <c r="M223" i="35"/>
  <c r="N223" i="35"/>
  <c r="Q223" i="35"/>
  <c r="W223" i="35"/>
  <c r="K223" i="35"/>
  <c r="O334" i="35"/>
  <c r="Y334" i="35"/>
  <c r="K334" i="35"/>
  <c r="Q334" i="35"/>
  <c r="B915" i="41"/>
  <c r="P334" i="35"/>
  <c r="M334" i="35"/>
  <c r="N334" i="35"/>
  <c r="W334" i="35"/>
  <c r="X334" i="35" s="1"/>
  <c r="L334" i="35"/>
  <c r="B1358" i="41"/>
  <c r="L738" i="35"/>
  <c r="W738" i="35"/>
  <c r="B1357" i="41"/>
  <c r="B1359" i="41"/>
  <c r="M738" i="35"/>
  <c r="K738" i="35"/>
  <c r="O738" i="35"/>
  <c r="Y738" i="35"/>
  <c r="B1354" i="41"/>
  <c r="B1355" i="41" s="1"/>
  <c r="B1356" i="41" s="1"/>
  <c r="N738" i="35"/>
  <c r="N739" i="35"/>
  <c r="O739" i="35"/>
  <c r="B630" i="55"/>
  <c r="G625" i="35"/>
  <c r="L218" i="35"/>
  <c r="W218" i="35"/>
  <c r="X218" i="35" s="1"/>
  <c r="M218" i="35"/>
  <c r="O218" i="35"/>
  <c r="P218" i="35"/>
  <c r="B799" i="41"/>
  <c r="K218" i="35"/>
  <c r="Y218" i="35"/>
  <c r="N218" i="35"/>
  <c r="Q218" i="35"/>
  <c r="G241" i="35"/>
  <c r="B246" i="55"/>
  <c r="Q247" i="35"/>
  <c r="N247" i="35"/>
  <c r="Y247" i="35"/>
  <c r="O247" i="35"/>
  <c r="B828" i="41"/>
  <c r="K247" i="35"/>
  <c r="M247" i="35"/>
  <c r="P247" i="35"/>
  <c r="W247" i="35"/>
  <c r="L247" i="35"/>
  <c r="O276" i="35"/>
  <c r="B857" i="41"/>
  <c r="K276" i="35"/>
  <c r="N276" i="35"/>
  <c r="M276" i="35"/>
  <c r="P276" i="35"/>
  <c r="W276" i="35"/>
  <c r="X276" i="35" s="1"/>
  <c r="Q276" i="35"/>
  <c r="Y276" i="35"/>
  <c r="L276" i="35"/>
  <c r="W707" i="35"/>
  <c r="X707" i="35" s="1"/>
  <c r="L707" i="35"/>
  <c r="C1284" i="41"/>
  <c r="Y707" i="35"/>
  <c r="M707" i="35"/>
  <c r="K707" i="35"/>
  <c r="N707" i="35"/>
  <c r="B1585" i="41"/>
  <c r="B1586" i="41"/>
  <c r="K838" i="35"/>
  <c r="N838" i="35"/>
  <c r="B1582" i="41"/>
  <c r="B1583" i="41" s="1"/>
  <c r="B1584" i="41" s="1"/>
  <c r="W838" i="35"/>
  <c r="B1587" i="41"/>
  <c r="C1583" i="41"/>
  <c r="L838" i="35"/>
  <c r="Y838" i="35"/>
  <c r="M838" i="35"/>
  <c r="P355" i="35"/>
  <c r="W355" i="35"/>
  <c r="K355" i="35"/>
  <c r="M355" i="35"/>
  <c r="N355" i="35"/>
  <c r="O355" i="35"/>
  <c r="Y355" i="35"/>
  <c r="L355" i="35"/>
  <c r="B936" i="41"/>
  <c r="Q355" i="35"/>
  <c r="G624" i="35"/>
  <c r="B629" i="55"/>
  <c r="N159" i="35"/>
  <c r="L159" i="35"/>
  <c r="B740" i="41"/>
  <c r="Y159" i="35"/>
  <c r="W159" i="35"/>
  <c r="X159" i="35" s="1"/>
  <c r="K159" i="35"/>
  <c r="M159" i="35"/>
  <c r="P683" i="35"/>
  <c r="L682" i="35"/>
  <c r="N682" i="35"/>
  <c r="M682" i="35"/>
  <c r="O682" i="35"/>
  <c r="W682" i="35"/>
  <c r="P682" i="35"/>
  <c r="K682" i="35"/>
  <c r="Y682" i="35"/>
  <c r="C1231" i="41"/>
  <c r="G565" i="35"/>
  <c r="B570" i="55"/>
  <c r="M678" i="35"/>
  <c r="C1227" i="41"/>
  <c r="N678" i="35"/>
  <c r="L678" i="35"/>
  <c r="P678" i="35"/>
  <c r="Y678" i="35"/>
  <c r="W678" i="35"/>
  <c r="K678" i="35"/>
  <c r="O678" i="35"/>
  <c r="G753" i="35"/>
  <c r="B758" i="55"/>
  <c r="B558" i="55"/>
  <c r="G553" i="35"/>
  <c r="G837" i="35"/>
  <c r="B842" i="55"/>
  <c r="G208" i="35"/>
  <c r="B213" i="55"/>
  <c r="B1306" i="41"/>
  <c r="Y718" i="35"/>
  <c r="O718" i="35"/>
  <c r="L718" i="35"/>
  <c r="M718" i="35"/>
  <c r="B1303" i="41"/>
  <c r="B1304" i="41"/>
  <c r="N718" i="35"/>
  <c r="B1305" i="41"/>
  <c r="K718" i="35"/>
  <c r="W718" i="35"/>
  <c r="G638" i="35"/>
  <c r="B643" i="55"/>
  <c r="G354" i="35"/>
  <c r="B359" i="55"/>
  <c r="G15" i="30"/>
  <c r="L804" i="35"/>
  <c r="B1508" i="41"/>
  <c r="B1507" i="41"/>
  <c r="W804" i="35"/>
  <c r="B1509" i="41"/>
  <c r="N804" i="35"/>
  <c r="B1504" i="41"/>
  <c r="B1505" i="41" s="1"/>
  <c r="B1506" i="41" s="1"/>
  <c r="K804" i="35"/>
  <c r="M804" i="35"/>
  <c r="Y804" i="35"/>
  <c r="Y864" i="35"/>
  <c r="L864" i="35"/>
  <c r="N864" i="35"/>
  <c r="W864" i="35"/>
  <c r="C1643" i="41"/>
  <c r="P864" i="35"/>
  <c r="K864" i="35"/>
  <c r="O864" i="35"/>
  <c r="M864" i="35"/>
  <c r="W205" i="35"/>
  <c r="X205" i="35" s="1"/>
  <c r="B786" i="41"/>
  <c r="L205" i="35"/>
  <c r="K205" i="35"/>
  <c r="P205" i="35"/>
  <c r="N205" i="35"/>
  <c r="O205" i="35"/>
  <c r="M205" i="35"/>
  <c r="Y205" i="35"/>
  <c r="Q205" i="35"/>
  <c r="B734" i="55"/>
  <c r="G729" i="35"/>
  <c r="Y837" i="35"/>
  <c r="B1577" i="41"/>
  <c r="M837" i="35"/>
  <c r="B1578" i="41"/>
  <c r="N837" i="35"/>
  <c r="B1576" i="41"/>
  <c r="W837" i="35"/>
  <c r="K837" i="35"/>
  <c r="O837" i="35"/>
  <c r="L837" i="35"/>
  <c r="B1579" i="41"/>
  <c r="L139" i="35"/>
  <c r="K139" i="35"/>
  <c r="W139" i="35"/>
  <c r="B720" i="41"/>
  <c r="N139" i="35"/>
  <c r="M139" i="35"/>
  <c r="Y139" i="35"/>
  <c r="Y348" i="35"/>
  <c r="N348" i="35"/>
  <c r="K348" i="35"/>
  <c r="L348" i="35"/>
  <c r="W348" i="35"/>
  <c r="X348" i="35" s="1"/>
  <c r="Q348" i="35"/>
  <c r="P348" i="35"/>
  <c r="O348" i="35"/>
  <c r="M348" i="35"/>
  <c r="B929" i="41"/>
  <c r="M844" i="35"/>
  <c r="C1597" i="41"/>
  <c r="W844" i="35"/>
  <c r="Y844" i="35"/>
  <c r="O844" i="35"/>
  <c r="L844" i="35"/>
  <c r="K844" i="35"/>
  <c r="G605" i="35"/>
  <c r="B610" i="55"/>
  <c r="L194" i="35"/>
  <c r="O194" i="35"/>
  <c r="Y194" i="35"/>
  <c r="N194" i="35"/>
  <c r="M194" i="35"/>
  <c r="B775" i="41"/>
  <c r="P194" i="35"/>
  <c r="W194" i="35"/>
  <c r="K194" i="35"/>
  <c r="Q194" i="35"/>
  <c r="L672" i="35"/>
  <c r="K672" i="35"/>
  <c r="W672" i="35"/>
  <c r="O672" i="35"/>
  <c r="Y672" i="35"/>
  <c r="N672" i="35"/>
  <c r="M672" i="35"/>
  <c r="P672" i="35"/>
  <c r="G160" i="35"/>
  <c r="B165" i="55"/>
  <c r="B357" i="55"/>
  <c r="G352" i="35"/>
  <c r="Q291" i="35"/>
  <c r="P291" i="35"/>
  <c r="K291" i="35"/>
  <c r="N291" i="35"/>
  <c r="W291" i="35"/>
  <c r="X291" i="35" s="1"/>
  <c r="M291" i="35"/>
  <c r="B872" i="41"/>
  <c r="O291" i="35"/>
  <c r="Y291" i="35"/>
  <c r="L291" i="35"/>
  <c r="B618" i="55"/>
  <c r="G613" i="35"/>
  <c r="G329" i="35"/>
  <c r="B334" i="55"/>
  <c r="G17" i="30"/>
  <c r="B251" i="55"/>
  <c r="G246" i="35"/>
  <c r="L172" i="35"/>
  <c r="N172" i="35"/>
  <c r="M172" i="35"/>
  <c r="Y172" i="35"/>
  <c r="K172" i="35"/>
  <c r="B753" i="41"/>
  <c r="W172" i="35"/>
  <c r="X172" i="35" s="1"/>
  <c r="G699" i="35"/>
  <c r="B704" i="55"/>
  <c r="B564" i="55"/>
  <c r="G559" i="35"/>
  <c r="B700" i="55"/>
  <c r="G695" i="35"/>
  <c r="G727" i="35"/>
  <c r="B732" i="55"/>
  <c r="W658" i="35"/>
  <c r="O658" i="35"/>
  <c r="K658" i="35"/>
  <c r="Y658" i="35"/>
  <c r="L658" i="35"/>
  <c r="G852" i="35"/>
  <c r="B857" i="55"/>
  <c r="B708" i="55"/>
  <c r="G703" i="35"/>
  <c r="G240" i="35"/>
  <c r="B245" i="55"/>
  <c r="Y358" i="35"/>
  <c r="L358" i="35"/>
  <c r="B939" i="41"/>
  <c r="O358" i="35"/>
  <c r="K358" i="35"/>
  <c r="N358" i="35"/>
  <c r="W358" i="35"/>
  <c r="X358" i="35" s="1"/>
  <c r="Q358" i="35"/>
  <c r="P358" i="35"/>
  <c r="M358" i="35"/>
  <c r="G661" i="35"/>
  <c r="B666" i="55"/>
  <c r="G599" i="35"/>
  <c r="B604" i="55"/>
  <c r="B192" i="55"/>
  <c r="G187" i="35"/>
  <c r="Y230" i="35"/>
  <c r="M230" i="35"/>
  <c r="O230" i="35"/>
  <c r="W230" i="35"/>
  <c r="Q230" i="35"/>
  <c r="K230" i="35"/>
  <c r="N230" i="35"/>
  <c r="B811" i="41"/>
  <c r="L230" i="35"/>
  <c r="P230" i="35"/>
  <c r="B352" i="55"/>
  <c r="G347" i="35"/>
  <c r="G291" i="35"/>
  <c r="B296" i="55"/>
  <c r="G368" i="35"/>
  <c r="B373" i="55"/>
  <c r="G566" i="35"/>
  <c r="B571" i="55"/>
  <c r="Y161" i="35"/>
  <c r="W161" i="35"/>
  <c r="M161" i="35"/>
  <c r="K161" i="35"/>
  <c r="N161" i="35"/>
  <c r="L161" i="35"/>
  <c r="B742" i="41"/>
  <c r="W571" i="35"/>
  <c r="K571" i="35"/>
  <c r="Y571" i="35"/>
  <c r="O571" i="35"/>
  <c r="C1052" i="41"/>
  <c r="L571" i="35"/>
  <c r="P273" i="35"/>
  <c r="L273" i="35"/>
  <c r="W273" i="35"/>
  <c r="M273" i="35"/>
  <c r="Q273" i="35"/>
  <c r="N273" i="35"/>
  <c r="K273" i="35"/>
  <c r="Y273" i="35"/>
  <c r="O273" i="35"/>
  <c r="B854" i="41"/>
  <c r="H528" i="41"/>
  <c r="B530" i="41"/>
  <c r="K558" i="35"/>
  <c r="J558" i="35" s="1" a="1"/>
  <c r="J558" i="35" s="1"/>
  <c r="D558" i="35" s="1"/>
  <c r="G528" i="41"/>
  <c r="Y558" i="35"/>
  <c r="E528" i="41"/>
  <c r="B532" i="41"/>
  <c r="B529" i="41"/>
  <c r="B531" i="41"/>
  <c r="F528" i="41"/>
  <c r="W558" i="35"/>
  <c r="G250" i="35"/>
  <c r="B255" i="55"/>
  <c r="N18" i="30"/>
  <c r="O18" i="30"/>
  <c r="H18" i="30"/>
  <c r="J18" i="30" s="1"/>
  <c r="G18" i="30"/>
  <c r="B159" i="55"/>
  <c r="G154" i="35"/>
  <c r="B664" i="55"/>
  <c r="G659" i="35"/>
  <c r="L605" i="35"/>
  <c r="M605" i="35"/>
  <c r="W605" i="35"/>
  <c r="X605" i="35" s="1"/>
  <c r="Y605" i="35"/>
  <c r="K605" i="35"/>
  <c r="P605" i="35"/>
  <c r="N605" i="35"/>
  <c r="O605" i="35"/>
  <c r="B258" i="55"/>
  <c r="G253" i="35"/>
  <c r="G664" i="35"/>
  <c r="B669" i="55"/>
  <c r="C28" i="41"/>
  <c r="L21" i="35"/>
  <c r="Y21" i="35"/>
  <c r="W21" i="35"/>
  <c r="C27" i="41"/>
  <c r="K21" i="35"/>
  <c r="G650" i="35"/>
  <c r="B655" i="55"/>
  <c r="L749" i="35"/>
  <c r="W749" i="35"/>
  <c r="O749" i="35"/>
  <c r="K749" i="35"/>
  <c r="Y749" i="35"/>
  <c r="N749" i="35"/>
  <c r="M749" i="35"/>
  <c r="C1374" i="41"/>
  <c r="W227" i="35"/>
  <c r="M227" i="35"/>
  <c r="Q227" i="35"/>
  <c r="Y227" i="35"/>
  <c r="B808" i="41"/>
  <c r="L227" i="35"/>
  <c r="K227" i="35"/>
  <c r="N227" i="35"/>
  <c r="P227" i="35"/>
  <c r="O227" i="35"/>
  <c r="E94" i="35" a="1"/>
  <c r="E936" i="35" a="1"/>
  <c r="V129" i="35" a="1"/>
  <c r="V121" i="35" a="1"/>
  <c r="F1068" i="35" a="1"/>
  <c r="F65" i="35" a="1"/>
  <c r="E1084" i="35" a="1"/>
  <c r="C412" i="35" a="1"/>
  <c r="F95" i="35" a="1"/>
  <c r="C1059" i="35" a="1"/>
  <c r="M1052" i="35" a="1"/>
  <c r="F577" i="35" a="1"/>
  <c r="F391" i="35" a="1"/>
  <c r="V1059" i="35" a="1"/>
  <c r="V19" i="35" a="1"/>
  <c r="E580" i="35" a="1"/>
  <c r="C1042" i="35" a="1"/>
  <c r="F74" i="35" a="1"/>
  <c r="C1050" i="35" a="1"/>
  <c r="C397" i="35" a="1"/>
  <c r="L1051" i="35" a="1"/>
  <c r="C1065" i="35" a="1"/>
  <c r="E69" i="35" a="1"/>
  <c r="F495" i="35" a="1"/>
  <c r="E99" i="35" a="1"/>
  <c r="E801" i="35" a="1"/>
  <c r="E74" i="35" a="1"/>
  <c r="E79" i="35" a="1"/>
  <c r="C798" i="35" a="1"/>
  <c r="E418" i="35" a="1"/>
  <c r="F880" i="35" a="1"/>
  <c r="C60" i="35" a="1"/>
  <c r="E3" i="35" a="1"/>
  <c r="E541" i="35" a="1"/>
  <c r="E1060" i="35" a="1"/>
  <c r="E880" i="35" a="1"/>
  <c r="E410" i="35" a="1"/>
  <c r="F547" i="35" a="1"/>
  <c r="V942" i="35" a="1"/>
  <c r="F39" i="35" a="1"/>
  <c r="C476" i="35" a="1"/>
  <c r="C1079" i="35" a="1"/>
  <c r="C393" i="35" a="1"/>
  <c r="C404" i="35" a="1"/>
  <c r="F551" i="35" a="1"/>
  <c r="E579" i="35" a="1"/>
  <c r="C390" i="35" a="1"/>
  <c r="V580" i="35" a="1"/>
  <c r="E332" i="35" a="1"/>
  <c r="E78" i="35" a="1"/>
  <c r="V792" i="35" a="1"/>
  <c r="C43" i="35" a="1"/>
  <c r="E45" i="35" a="1"/>
  <c r="F587" i="35" a="1"/>
  <c r="C588" i="35" a="1"/>
  <c r="F1059" i="35" a="1"/>
  <c r="C90" i="35" a="1"/>
  <c r="C67" i="35" a="1"/>
  <c r="E1073" i="35" a="1"/>
  <c r="E115" i="35" a="1"/>
  <c r="V10" i="35" a="1"/>
  <c r="C489" i="35" a="1"/>
  <c r="E119" i="35" a="1"/>
  <c r="E6" i="35" a="1"/>
  <c r="V72" i="35" a="1"/>
  <c r="F581" i="35" a="1"/>
  <c r="C398" i="35" a="1"/>
  <c r="F64" i="35" a="1"/>
  <c r="E543" i="35" a="1"/>
  <c r="V411" i="35" a="1"/>
  <c r="F934" i="35" a="1"/>
  <c r="F408" i="35" a="1"/>
  <c r="F122" i="35" a="1"/>
  <c r="F60" i="35" a="1"/>
  <c r="V879" i="35" a="1"/>
  <c r="C1052" i="35" a="1"/>
  <c r="K1051" i="35" a="1"/>
  <c r="E1077" i="35" a="1"/>
  <c r="V392" i="35" a="1"/>
  <c r="C400" i="35" a="1"/>
  <c r="F79" i="35" a="1"/>
  <c r="F132" i="35" a="1"/>
  <c r="E400" i="35" a="1"/>
  <c r="F108" i="35" a="1"/>
  <c r="E123" i="35" a="1"/>
  <c r="E1063" i="35" a="1"/>
  <c r="C222" i="35" a="1"/>
  <c r="K1046" i="35" a="1"/>
  <c r="E552" i="35" a="1"/>
  <c r="F1066" i="35" a="1"/>
  <c r="E112" i="35" a="1"/>
  <c r="E547" i="35" a="1"/>
  <c r="E18" i="35" a="1"/>
  <c r="C113" i="35" a="1"/>
  <c r="V1067" i="35" a="1"/>
  <c r="E932" i="35" a="1"/>
  <c r="C1066" i="35" a="1"/>
  <c r="C83" i="35" a="1"/>
  <c r="V474" i="35" a="1"/>
  <c r="V84" i="35" a="1"/>
  <c r="E12" i="35" a="1"/>
  <c r="F407" i="35" a="1"/>
  <c r="C132" i="35" a="1"/>
  <c r="F1065" i="35" a="1"/>
  <c r="C111" i="35" a="1"/>
  <c r="F1032" i="35" a="1"/>
  <c r="C29" i="35" a="1"/>
  <c r="V12" i="35" a="1"/>
  <c r="F550" i="35" a="1"/>
  <c r="C493" i="35" a="1"/>
  <c r="V420" i="35" a="1"/>
  <c r="F578" i="35" a="1"/>
  <c r="V123" i="35" a="1"/>
  <c r="E60" i="35" a="1"/>
  <c r="F544" i="35" a="1"/>
  <c r="E96" i="35" a="1"/>
  <c r="L1056" i="35" a="1"/>
  <c r="E51" i="35" a="1"/>
  <c r="C1062" i="35" a="1"/>
  <c r="V15" i="35" a="1"/>
  <c r="C392" i="35" a="1"/>
  <c r="F1056" i="35" a="1"/>
  <c r="V369" i="35" a="1"/>
  <c r="F491" i="35" a="1"/>
  <c r="F545" i="35" a="1"/>
  <c r="V925" i="35" a="1"/>
  <c r="C47" i="35" a="1"/>
  <c r="F332" i="35" a="1"/>
  <c r="F52" i="35" a="1"/>
  <c r="C575" i="35" a="1"/>
  <c r="C31" i="35" a="1"/>
  <c r="C63" i="35" a="1"/>
  <c r="V110" i="35" a="1"/>
  <c r="E1046" i="35" a="1"/>
  <c r="F798" i="35" a="1"/>
  <c r="V81" i="35" a="1"/>
  <c r="E939" i="35" a="1"/>
  <c r="V47" i="35" a="1"/>
  <c r="V1057" i="35" a="1"/>
  <c r="V82" i="35" a="1"/>
  <c r="F539" i="35" a="1"/>
  <c r="E492" i="35" a="1"/>
  <c r="F944" i="35" a="1"/>
  <c r="V1085" i="35" a="1"/>
  <c r="C491" i="35" a="1"/>
  <c r="C114" i="35" a="1"/>
  <c r="F103" i="35" a="1"/>
  <c r="C1080" i="35" a="1"/>
  <c r="C572" i="35" a="1"/>
  <c r="L1054" i="35" a="1"/>
  <c r="E412" i="35" a="1"/>
  <c r="F88" i="35" a="1"/>
  <c r="V66" i="35" a="1"/>
  <c r="E925" i="35" a="1"/>
  <c r="C797" i="35" a="1"/>
  <c r="E100" i="35" a="1"/>
  <c r="E879" i="35" a="1"/>
  <c r="V53" i="35" a="1"/>
  <c r="F790" i="35" a="1"/>
  <c r="F498" i="35" a="1"/>
  <c r="F1074" i="35" a="1"/>
  <c r="F1033" i="35" a="1"/>
  <c r="C926" i="35" a="1"/>
  <c r="C46" i="35" a="1"/>
  <c r="E935" i="35" a="1"/>
  <c r="E47" i="35" a="1"/>
  <c r="V49" i="35" a="1"/>
  <c r="E572" i="35" a="1"/>
  <c r="F392" i="35" a="1"/>
  <c r="E589" i="35" a="1"/>
  <c r="C15" i="35" a="1"/>
  <c r="M1055" i="35" a="1"/>
  <c r="V1042" i="35" a="1"/>
  <c r="E408" i="35" a="1"/>
  <c r="E539" i="35" a="1"/>
  <c r="E102" i="35" a="1"/>
  <c r="V222" i="35" a="1"/>
  <c r="F70" i="35" a="1"/>
  <c r="V1056" i="35" a="1"/>
  <c r="E72" i="35" a="1"/>
  <c r="V1033" i="35" a="1"/>
  <c r="C394" i="35" a="1"/>
  <c r="F56" i="35" a="1"/>
  <c r="V89" i="35" a="1"/>
  <c r="E85" i="35" a="1"/>
  <c r="V928" i="35" a="1"/>
  <c r="V495" i="35" a="1"/>
  <c r="F1086" i="35" a="1"/>
  <c r="E120" i="35" a="1"/>
  <c r="V410" i="35" a="1"/>
  <c r="V1066" i="35" a="1"/>
  <c r="V542" i="35" a="1"/>
  <c r="F881" i="35" a="1"/>
  <c r="C130" i="35" a="1"/>
  <c r="V927" i="35" a="1"/>
  <c r="F420" i="35" a="1"/>
  <c r="V790" i="35" a="1"/>
  <c r="C800" i="35" a="1"/>
  <c r="V874" i="35" a="1"/>
  <c r="E799" i="35" a="1"/>
  <c r="V1082" i="35" a="1"/>
  <c r="F405" i="35" a="1"/>
  <c r="L1046" i="35" a="1"/>
  <c r="E114" i="35" a="1"/>
  <c r="V403" i="35" a="1"/>
  <c r="F1043" i="35" a="1"/>
  <c r="V415" i="35" a="1"/>
  <c r="E882" i="35" a="1"/>
  <c r="V476" i="35" a="1"/>
  <c r="F496" i="35" a="1"/>
  <c r="F415" i="35" a="1"/>
  <c r="V391" i="35" a="1"/>
  <c r="F411" i="35" a="1"/>
  <c r="V414" i="35" a="1"/>
  <c r="V489" i="35" a="1"/>
  <c r="C112" i="35" a="1"/>
  <c r="C1045" i="35" a="1"/>
  <c r="V1061" i="35" a="1"/>
  <c r="C876" i="35" a="1"/>
  <c r="F16" i="35" a="1"/>
  <c r="V473" i="35" a="1"/>
  <c r="F133" i="35" a="1"/>
  <c r="E551" i="35" a="1"/>
  <c r="C73" i="35" a="1"/>
  <c r="C544" i="35" a="1"/>
  <c r="C406" i="35" a="1"/>
  <c r="V574" i="35" a="1"/>
  <c r="E1066" i="35" a="1"/>
  <c r="C1033" i="35" a="1"/>
  <c r="C84" i="35" a="1"/>
  <c r="V1084" i="35" a="1"/>
  <c r="V100" i="35" a="1"/>
  <c r="V332" i="35" a="1"/>
  <c r="F90" i="35" a="1"/>
  <c r="C70" i="35" a="1"/>
  <c r="E388" i="35" a="1"/>
  <c r="E117" i="35" a="1"/>
  <c r="E419" i="35" a="1"/>
  <c r="E1058" i="35" a="1"/>
  <c r="V29" i="35" a="1"/>
  <c r="V497" i="35" a="1"/>
  <c r="E878" i="35" a="1"/>
  <c r="E1039" i="35" a="1"/>
  <c r="C50" i="35" a="1"/>
  <c r="V48" i="35" a="1"/>
  <c r="F416" i="35" a="1"/>
  <c r="V85" i="35" a="1"/>
  <c r="E132" i="35" a="1"/>
  <c r="F497" i="35" a="1"/>
  <c r="E581" i="35" a="1"/>
  <c r="V791" i="35" a="1"/>
  <c r="V1039" i="35" a="1"/>
  <c r="C385" i="35" a="1"/>
  <c r="F1077" i="35" a="1"/>
  <c r="F394" i="35" a="1"/>
  <c r="C934" i="35" a="1"/>
  <c r="E938" i="35" a="1"/>
  <c r="F396" i="35" a="1"/>
  <c r="E1083" i="35" a="1"/>
  <c r="F1087" i="35" a="1"/>
  <c r="L1047" i="35" a="1"/>
  <c r="V881" i="35" a="1"/>
  <c r="F384" i="35" a="1"/>
  <c r="F1034" i="35" a="1"/>
  <c r="V387" i="35" a="1"/>
  <c r="V493" i="35" a="1"/>
  <c r="E76" i="35" a="1"/>
  <c r="E98" i="35" a="1"/>
  <c r="E127" i="35" a="1"/>
  <c r="C1078" i="35" a="1"/>
  <c r="V119" i="35" a="1"/>
  <c r="F78" i="35" a="1"/>
  <c r="C128" i="35" a="1"/>
  <c r="F585" i="35" a="1"/>
  <c r="F789" i="35" a="1"/>
  <c r="V477" i="35" a="1"/>
  <c r="C96" i="35" a="1"/>
  <c r="C877" i="35" a="1"/>
  <c r="C82" i="35" a="1"/>
  <c r="C133" i="35" a="1"/>
  <c r="V475" i="35" a="1"/>
  <c r="V800" i="35" a="1"/>
  <c r="C388" i="35" a="1"/>
  <c r="E494" i="35" a="1"/>
  <c r="F63" i="35" a="1"/>
  <c r="F883" i="35" a="1"/>
  <c r="E403" i="35" a="1"/>
  <c r="F876" i="35" a="1"/>
  <c r="C147" i="35" a="1"/>
  <c r="C943" i="35" a="1"/>
  <c r="F397" i="35" a="1"/>
  <c r="F803" i="35" a="1"/>
  <c r="V40" i="35" a="1"/>
  <c r="E14" i="35" a="1"/>
  <c r="F941" i="35" a="1"/>
  <c r="V1064" i="35" a="1"/>
  <c r="C85" i="35" a="1"/>
  <c r="F939" i="35" a="1"/>
  <c r="V802" i="35" a="1"/>
  <c r="C1068" i="35" a="1"/>
  <c r="E68" i="35" a="1"/>
  <c r="C583" i="35" a="1"/>
  <c r="C574" i="35" a="1"/>
  <c r="V68" i="35" a="1"/>
  <c r="C1055" i="35" a="1"/>
  <c r="F403" i="35" a="1"/>
  <c r="L1053" i="35" a="1"/>
  <c r="F1075" i="35" a="1"/>
  <c r="E2" i="35" a="1"/>
  <c r="V124" i="35" a="1"/>
  <c r="C944" i="35" a="1"/>
  <c r="E414" i="35" a="1"/>
  <c r="V78" i="35" a="1"/>
  <c r="V393" i="35" a="1"/>
  <c r="C420" i="35" a="1"/>
  <c r="E71" i="35" a="1"/>
  <c r="V549" i="35" a="1"/>
  <c r="E1061" i="35" a="1"/>
  <c r="E131" i="35" a="1"/>
  <c r="C422" i="35" a="1"/>
  <c r="F47" i="35" a="1"/>
  <c r="V93" i="35" a="1"/>
  <c r="V1063" i="35" a="1"/>
  <c r="E64" i="35" a="1"/>
  <c r="E1057" i="35" a="1"/>
  <c r="F124" i="35" a="1"/>
  <c r="C64" i="35" a="1"/>
  <c r="V416" i="35" a="1"/>
  <c r="V801" i="35" a="1"/>
  <c r="F492" i="35" a="1"/>
  <c r="C587" i="35" a="1"/>
  <c r="V80" i="35" a="1"/>
  <c r="F112" i="35" a="1"/>
  <c r="C48" i="35" a="1"/>
  <c r="E475" i="35" a="1"/>
  <c r="V120" i="35" a="1"/>
  <c r="V1076" i="35" a="1"/>
  <c r="E573" i="35" a="1"/>
  <c r="V421" i="35" a="1"/>
  <c r="E795" i="35" a="1"/>
  <c r="F1080" i="35" a="1"/>
  <c r="E1038" i="35" a="1"/>
  <c r="C1072" i="35" a="1"/>
  <c r="C91" i="35" a="1"/>
  <c r="C105" i="35" a="1"/>
  <c r="C103" i="35" a="1"/>
  <c r="C880" i="35" a="1"/>
  <c r="E67" i="35" a="1"/>
  <c r="C793" i="35" a="1"/>
  <c r="V938" i="35" a="1"/>
  <c r="C801" i="35" a="1"/>
  <c r="C11" i="35" a="1"/>
  <c r="F552" i="35" a="1"/>
  <c r="C792" i="35" a="1"/>
  <c r="F1058" i="35" a="1"/>
  <c r="C790" i="35" a="1"/>
  <c r="E118" i="35" a="1"/>
  <c r="E1033" i="35" a="1"/>
  <c r="F418" i="35" a="1"/>
  <c r="E802" i="35" a="1"/>
  <c r="E791" i="35" a="1"/>
  <c r="C414" i="35" a="1"/>
  <c r="C547" i="35" a="1"/>
  <c r="E93" i="35" a="1"/>
  <c r="E1054" i="35" a="1"/>
  <c r="V581" i="35" a="1"/>
  <c r="F1046" i="35" a="1"/>
  <c r="C542" i="35" a="1"/>
  <c r="E128" i="35" a="1"/>
  <c r="V878" i="35" a="1"/>
  <c r="V386" i="35" a="1"/>
  <c r="E877" i="35" a="1"/>
  <c r="F406" i="35" a="1"/>
  <c r="V389" i="35" a="1"/>
  <c r="L1055" i="35" a="1"/>
  <c r="C1046" i="35" a="1"/>
  <c r="C56" i="35" a="1"/>
  <c r="F584" i="35" a="1"/>
  <c r="V13" i="35" a="1"/>
  <c r="V934" i="35" a="1"/>
  <c r="K1050" i="35" a="1"/>
  <c r="C76" i="35" a="1"/>
  <c r="F94" i="35" a="1"/>
  <c r="F131" i="35" a="1"/>
  <c r="F99" i="35" a="1"/>
  <c r="V118" i="35" a="1"/>
  <c r="E88" i="35" a="1"/>
  <c r="V401" i="35" a="1"/>
  <c r="F575" i="35" a="1"/>
  <c r="V1083" i="35" a="1"/>
  <c r="C1064" i="35" a="1"/>
  <c r="V264" i="35" a="1"/>
  <c r="C581" i="35" a="1"/>
  <c r="C66" i="35" a="1"/>
  <c r="C125" i="35" a="1"/>
  <c r="V65" i="35" a="1"/>
  <c r="V104" i="35" a="1"/>
  <c r="V33" i="35" a="1"/>
  <c r="V41" i="35" a="1"/>
  <c r="C795" i="35" a="1"/>
  <c r="E406" i="35" a="1"/>
  <c r="F126" i="35" a="1"/>
  <c r="F1048" i="35" a="1"/>
  <c r="C74" i="35" a="1"/>
  <c r="E584" i="35" a="1"/>
  <c r="C791" i="35" a="1"/>
  <c r="M1049" i="35" a="1"/>
  <c r="V1062" i="35" a="1"/>
  <c r="V133" i="35" a="1"/>
  <c r="F75" i="35" a="1"/>
  <c r="C45" i="35" a="1"/>
  <c r="V69" i="35" a="1"/>
  <c r="V132" i="35" a="1"/>
  <c r="V73" i="35" a="1"/>
  <c r="F801" i="35" a="1"/>
  <c r="F1071" i="35" a="1"/>
  <c r="E1034" i="35" a="1"/>
  <c r="C1054" i="35" a="1"/>
  <c r="F875" i="35" a="1"/>
  <c r="C803" i="35" a="1"/>
  <c r="V930" i="35" a="1"/>
  <c r="F404" i="35" a="1"/>
  <c r="C121" i="35" a="1"/>
  <c r="F399" i="35" a="1"/>
  <c r="F494" i="35" a="1"/>
  <c r="C1070" i="35" a="1"/>
  <c r="F932" i="35" a="1"/>
  <c r="K1048" i="35" a="1"/>
  <c r="F85" i="35" a="1"/>
  <c r="C925" i="35" a="1"/>
  <c r="E413" i="35" a="1"/>
  <c r="V43" i="35" a="1"/>
  <c r="C875" i="35" a="1"/>
  <c r="F1040" i="35" a="1"/>
  <c r="F389" i="35" a="1"/>
  <c r="C7" i="35" a="1"/>
  <c r="F92" i="35" a="1"/>
  <c r="F104" i="35" a="1"/>
  <c r="C49" i="35" a="1"/>
  <c r="E1056" i="35" a="1"/>
  <c r="V880" i="35" a="1"/>
  <c r="F1073" i="35" a="1"/>
  <c r="E59" i="35" a="1"/>
  <c r="C799" i="35" a="1"/>
  <c r="E934" i="35" a="1"/>
  <c r="C883" i="35" a="1"/>
  <c r="V113" i="35" a="1"/>
  <c r="V39" i="35" a="1"/>
  <c r="E1079" i="35" a="1"/>
  <c r="E1050" i="35" a="1"/>
  <c r="E549" i="35" a="1"/>
  <c r="F1039" i="35" a="1"/>
  <c r="E1029" i="35" a="1"/>
  <c r="F69" i="35" a="1"/>
  <c r="V59" i="35" a="1"/>
  <c r="V103" i="35" a="1"/>
  <c r="V1040" i="35" a="1"/>
  <c r="E588" i="35" a="1"/>
  <c r="E65" i="35" a="1"/>
  <c r="V197" i="35" a="1"/>
  <c r="C383" i="35" a="1"/>
  <c r="E87" i="35" a="1"/>
  <c r="C1036" i="35" a="1"/>
  <c r="E586" i="35" a="1"/>
  <c r="V491" i="35" a="1"/>
  <c r="C549" i="35" a="1"/>
  <c r="F1049" i="35" a="1"/>
  <c r="C589" i="35" a="1"/>
  <c r="V877" i="35" a="1"/>
  <c r="V404" i="35" a="1"/>
  <c r="V37" i="35" a="1"/>
  <c r="F13" i="35" a="1"/>
  <c r="C929" i="35" a="1"/>
  <c r="F120" i="35" a="1"/>
  <c r="V42" i="35" a="1"/>
  <c r="E789" i="35" a="1"/>
  <c r="V67" i="35" a="1"/>
  <c r="F574" i="35" a="1"/>
  <c r="F1063" i="35" a="1"/>
  <c r="V539" i="35" a="1"/>
  <c r="E63" i="35" a="1"/>
  <c r="F38" i="35" a="1"/>
  <c r="V1049" i="35" a="1"/>
  <c r="C410" i="35" a="1"/>
  <c r="C41" i="35" a="1"/>
  <c r="M1051" i="35" a="1"/>
  <c r="E15" i="35" a="1"/>
  <c r="V798" i="35" a="1"/>
  <c r="F72" i="35" a="1"/>
  <c r="V75" i="35" a="1"/>
  <c r="F1036" i="35" a="1"/>
  <c r="C585" i="35" a="1"/>
  <c r="V61" i="35" a="1"/>
  <c r="V494" i="35" a="1"/>
  <c r="F125" i="35" a="1"/>
  <c r="V793" i="35" a="1"/>
  <c r="C927" i="35" a="1"/>
  <c r="E1030" i="35" a="1"/>
  <c r="E113" i="35" a="1"/>
  <c r="C802" i="35" a="1"/>
  <c r="L1045" i="35" a="1"/>
  <c r="F882" i="35" a="1"/>
  <c r="F549" i="35" a="1"/>
  <c r="V1086" i="35" a="1"/>
  <c r="C1061" i="35" a="1"/>
  <c r="V941" i="35" a="1"/>
  <c r="C874" i="35" a="1"/>
  <c r="V412" i="35" a="1"/>
  <c r="E387" i="35" a="1"/>
  <c r="V936" i="35" a="1"/>
  <c r="E57" i="35" a="1"/>
  <c r="C122" i="35" a="1"/>
  <c r="C401" i="35" a="1"/>
  <c r="C1060" i="35" a="1"/>
  <c r="V114" i="35" a="1"/>
  <c r="C1073" i="35" a="1"/>
  <c r="F37" i="35" a="1"/>
  <c r="F935" i="35" a="1"/>
  <c r="F100" i="35" a="1"/>
  <c r="F1061" i="35" a="1"/>
  <c r="V1053" i="35" a="1"/>
  <c r="F489" i="35" a="1"/>
  <c r="C492" i="35" a="1"/>
  <c r="F1076" i="35" a="1"/>
  <c r="V413" i="35" a="1"/>
  <c r="K1049" i="35" a="1"/>
  <c r="E800" i="35" a="1"/>
  <c r="F80" i="35" a="1"/>
  <c r="V788" i="35" a="1"/>
  <c r="C1043" i="35" a="1"/>
  <c r="C586" i="35" a="1"/>
  <c r="C1048" i="35" a="1"/>
  <c r="C59" i="35" a="1"/>
  <c r="F7" i="35" a="1"/>
  <c r="F410" i="35" a="1"/>
  <c r="F933" i="35" a="1"/>
  <c r="V795" i="35" a="1"/>
  <c r="E574" i="35" a="1"/>
  <c r="C1056" i="35" a="1"/>
  <c r="V45" i="35" a="1"/>
  <c r="F588" i="35" a="1"/>
  <c r="F197" i="35" a="1"/>
  <c r="V131" i="35" a="1"/>
  <c r="F943" i="35" a="1"/>
  <c r="E402" i="35" a="1"/>
  <c r="F51" i="35" a="1"/>
  <c r="F6" i="35" a="1"/>
  <c r="F799" i="35" a="1"/>
  <c r="F385" i="35" a="1"/>
  <c r="C119" i="35" a="1"/>
  <c r="C386" i="35" a="1"/>
  <c r="F1069" i="35" a="1"/>
  <c r="C473" i="35" a="1"/>
  <c r="E929" i="35" a="1"/>
  <c r="V125" i="35" a="1"/>
  <c r="E1032" i="35" a="1"/>
  <c r="E1036" i="35" a="1"/>
  <c r="V492" i="35" a="1"/>
  <c r="V83" i="35" a="1"/>
  <c r="E1072" i="35" a="1"/>
  <c r="E875" i="35" a="1"/>
  <c r="E407" i="35" a="1"/>
  <c r="C101" i="35" a="1"/>
  <c r="V18" i="35" a="1"/>
  <c r="V876" i="35" a="1"/>
  <c r="E545" i="35" a="1"/>
  <c r="V1052" i="35" a="1"/>
  <c r="E1031" i="35" a="1"/>
  <c r="F66" i="35" a="1"/>
  <c r="E396" i="35" a="1"/>
  <c r="E493" i="35" a="1"/>
  <c r="E43" i="35" a="1"/>
  <c r="V102" i="35" a="1"/>
  <c r="V803" i="35" a="1"/>
  <c r="V1034" i="35" a="1"/>
  <c r="C1057" i="35" a="1"/>
  <c r="E122" i="35" a="1"/>
  <c r="E1070" i="35" a="1"/>
  <c r="C1032" i="35" a="1"/>
  <c r="E496" i="35" a="1"/>
  <c r="V576" i="35" a="1"/>
  <c r="C52" i="35" a="1"/>
  <c r="E30" i="35" a="1"/>
  <c r="V1077" i="35" a="1"/>
  <c r="F936" i="35" a="1"/>
  <c r="V1073" i="35" a="1"/>
  <c r="E109" i="35" a="1"/>
  <c r="E411" i="35" a="1"/>
  <c r="C58" i="35" a="1"/>
  <c r="F89" i="35" a="1"/>
  <c r="C550" i="35" a="1"/>
  <c r="E48" i="35" a="1"/>
  <c r="C332" i="35" a="1"/>
  <c r="L1044" i="35" a="1"/>
  <c r="E129" i="35" a="1"/>
  <c r="F475" i="35" a="1"/>
  <c r="E417" i="35" a="1"/>
  <c r="E1041" i="35" a="1"/>
  <c r="E477" i="35" a="1"/>
  <c r="C395" i="35" a="1"/>
  <c r="F67" i="35" a="1"/>
  <c r="F412" i="35" a="1"/>
  <c r="C2" i="35" a="1"/>
  <c r="V56" i="35" a="1"/>
  <c r="C93" i="35" a="1"/>
  <c r="V1038" i="35" a="1"/>
  <c r="F393" i="35" a="1"/>
  <c r="C98" i="35" a="1"/>
  <c r="C1031" i="35" a="1"/>
  <c r="E491" i="35" a="1"/>
  <c r="E73" i="35" a="1"/>
  <c r="F926" i="35" a="1"/>
  <c r="F797" i="35" a="1"/>
  <c r="C80" i="35" a="1"/>
  <c r="F924" i="35" a="1"/>
  <c r="K1047" i="35" a="1"/>
  <c r="C411" i="35" a="1"/>
  <c r="C106" i="35" a="1"/>
  <c r="E97" i="35" a="1"/>
  <c r="C123" i="35" a="1"/>
  <c r="E9" i="35" a="1"/>
  <c r="V38" i="35" a="1"/>
  <c r="F925" i="35" a="1"/>
  <c r="E941" i="35" a="1"/>
  <c r="F71" i="35" a="1"/>
  <c r="F29" i="35" a="1"/>
  <c r="C942" i="35" a="1"/>
  <c r="F795" i="35" a="1"/>
  <c r="E264" i="35" a="1"/>
  <c r="V1070" i="35" a="1"/>
  <c r="L1048" i="35" a="1"/>
  <c r="C8" i="35" a="1"/>
  <c r="V405" i="35" a="1"/>
  <c r="F474" i="35" a="1"/>
  <c r="C391" i="35" a="1"/>
  <c r="F106" i="35" a="1"/>
  <c r="E58" i="35" a="1"/>
  <c r="E550" i="35" a="1"/>
  <c r="C940" i="35" a="1"/>
  <c r="F55" i="35" a="1"/>
  <c r="C415" i="35" a="1"/>
  <c r="C104" i="35" a="1"/>
  <c r="C494" i="35" a="1"/>
  <c r="E13" i="35" a="1"/>
  <c r="C548" i="35" a="1"/>
  <c r="C109" i="35" a="1"/>
  <c r="V1046" i="35" a="1"/>
  <c r="C1081" i="35" a="1"/>
  <c r="E61" i="35" a="1"/>
  <c r="F117" i="35" a="1"/>
  <c r="L1050" i="35" a="1"/>
  <c r="E81" i="35" a="1"/>
  <c r="V60" i="35" a="1"/>
  <c r="F1084" i="35" a="1"/>
  <c r="V1035" i="35" a="1"/>
  <c r="F1083" i="35" a="1"/>
  <c r="V407" i="35" a="1"/>
  <c r="F19" i="35" a="1"/>
  <c r="C551" i="35" a="1"/>
  <c r="K1056" i="35" a="1"/>
  <c r="E924" i="35" a="1"/>
  <c r="E928" i="35" a="1"/>
  <c r="E876" i="35" a="1"/>
  <c r="C127" i="35" a="1"/>
  <c r="E77" i="35" a="1"/>
  <c r="V932" i="35" a="1"/>
  <c r="V585" i="35" a="1"/>
  <c r="E92" i="35" a="1"/>
  <c r="V1074" i="35" a="1"/>
  <c r="C37" i="35" a="1"/>
  <c r="V77" i="35" a="1"/>
  <c r="C1051" i="35" a="1"/>
  <c r="C552" i="35" a="1"/>
  <c r="V31" i="35" a="1"/>
  <c r="E130" i="35" a="1"/>
  <c r="C933" i="35" a="1"/>
  <c r="C97" i="35" a="1"/>
  <c r="E415" i="35" a="1"/>
  <c r="E126" i="35" a="1"/>
  <c r="V58" i="35" a="1"/>
  <c r="E422" i="35" a="1"/>
  <c r="V96" i="35" a="1"/>
  <c r="F121" i="35" a="1"/>
  <c r="F105" i="35" a="1"/>
  <c r="F543" i="35" a="1"/>
  <c r="C68" i="35" a="1"/>
  <c r="E542" i="35" a="1"/>
  <c r="F68" i="35" a="1"/>
  <c r="F1038" i="35" a="1"/>
  <c r="V76" i="35" a="1"/>
  <c r="E383" i="35" a="1"/>
  <c r="V408" i="35" a="1"/>
  <c r="C497" i="35" a="1"/>
  <c r="C935" i="35" a="1"/>
  <c r="C1053" i="35" a="1"/>
  <c r="C789" i="35" a="1"/>
  <c r="E133" i="35" a="1"/>
  <c r="E1042" i="35" a="1"/>
  <c r="C1039" i="35" a="1"/>
  <c r="E8" i="35" a="1"/>
  <c r="C42" i="35" a="1"/>
  <c r="C573" i="35" a="1"/>
  <c r="V1031" i="35" a="1"/>
  <c r="C496" i="35" a="1"/>
  <c r="V419" i="35" a="1"/>
  <c r="F2" i="35" a="1"/>
  <c r="F1035" i="35" a="1"/>
  <c r="M1047" i="35" a="1"/>
  <c r="E794" i="35" a="1"/>
  <c r="E927" i="35" a="1"/>
  <c r="C1067" i="35" a="1"/>
  <c r="E1082" i="35" a="1"/>
  <c r="C3" i="35" a="1"/>
  <c r="K1053" i="35" a="1"/>
  <c r="C924" i="35" a="1"/>
  <c r="F48" i="35" a="1"/>
  <c r="C1085" i="35" a="1"/>
  <c r="V106" i="35" a="1"/>
  <c r="F402" i="35" a="1"/>
  <c r="C936" i="35" a="1"/>
  <c r="C39" i="35" a="1"/>
  <c r="E125" i="35" a="1"/>
  <c r="F10" i="35" a="1"/>
  <c r="E29" i="35" a="1"/>
  <c r="F82" i="35" a="1"/>
  <c r="C1075" i="35" a="1"/>
  <c r="F222" i="35" a="1"/>
  <c r="V540" i="35" a="1"/>
  <c r="E392" i="35" a="1"/>
  <c r="C576" i="35" a="1"/>
  <c r="F130" i="35" a="1"/>
  <c r="F401" i="35" a="1"/>
  <c r="F128" i="35" a="1"/>
  <c r="E1055" i="35" a="1"/>
  <c r="F414" i="35" a="1"/>
  <c r="E62" i="35" a="1"/>
  <c r="V1050" i="35" a="1"/>
  <c r="V1080" i="35" a="1"/>
  <c r="V384" i="35" a="1"/>
  <c r="F421" i="35" a="1"/>
  <c r="V55" i="35" a="1"/>
  <c r="V587" i="35" a="1"/>
  <c r="C57" i="35" a="1"/>
  <c r="F118" i="35" a="1"/>
  <c r="F45" i="35" a="1"/>
  <c r="V97" i="35" a="1"/>
  <c r="E391" i="35" a="1"/>
  <c r="V1069" i="35" a="1"/>
  <c r="F490" i="35" a="1"/>
  <c r="V583" i="35" a="1"/>
  <c r="F1064" i="35" a="1"/>
  <c r="V545" i="35" a="1"/>
  <c r="V112" i="35" a="1"/>
  <c r="F101" i="35" a="1"/>
  <c r="K1055" i="35" a="1"/>
  <c r="F110" i="35" a="1"/>
  <c r="V1051" i="35" a="1"/>
  <c r="E80" i="35" a="1"/>
  <c r="C882" i="35" a="1"/>
  <c r="E409" i="35" a="1"/>
  <c r="F123" i="35" a="1"/>
  <c r="V16" i="35" a="1"/>
  <c r="F30" i="35" a="1"/>
  <c r="C17" i="35" a="1"/>
  <c r="E490" i="35" a="1"/>
  <c r="F422" i="35" a="1"/>
  <c r="V789" i="35" a="1"/>
  <c r="F1031" i="35" a="1"/>
  <c r="F874" i="35" a="1"/>
  <c r="E31" i="35" a="1"/>
  <c r="V46" i="35" a="1"/>
  <c r="F878" i="35" a="1"/>
  <c r="C81" i="35" a="1"/>
  <c r="C1034" i="35" a="1"/>
  <c r="F879" i="35" a="1"/>
  <c r="E397" i="35" a="1"/>
  <c r="M1056" i="35" a="1"/>
  <c r="F928" i="35" a="1"/>
  <c r="C930" i="35" a="1"/>
  <c r="V584" i="35" a="1"/>
  <c r="V552" i="35" a="1"/>
  <c r="F1044" i="35" a="1"/>
  <c r="F586" i="35" a="1"/>
  <c r="F1029" i="35" a="1"/>
  <c r="C129" i="35" a="1"/>
  <c r="E53" i="35" a="1"/>
  <c r="K1045" i="35" a="1"/>
  <c r="E103" i="35" a="1"/>
  <c r="C475" i="35" a="1"/>
  <c r="V390" i="35" a="1"/>
  <c r="F802" i="35" a="1"/>
  <c r="E10" i="35" a="1"/>
  <c r="V51" i="35" a="1"/>
  <c r="C1082" i="35" a="1"/>
  <c r="V14" i="35" a="1"/>
  <c r="E52" i="35" a="1"/>
  <c r="F50" i="35" a="1"/>
  <c r="E101" i="35" a="1"/>
  <c r="C1086" i="35" a="1"/>
  <c r="E474" i="35" a="1"/>
  <c r="E489" i="35" a="1"/>
  <c r="F113" i="35" a="1"/>
  <c r="E398" i="35" a="1"/>
  <c r="V1044" i="35" a="1"/>
  <c r="F583" i="35" a="1"/>
  <c r="C399" i="35" a="1"/>
  <c r="C61" i="35" a="1"/>
  <c r="C77" i="35" a="1"/>
  <c r="E944" i="35" a="1"/>
  <c r="M1048" i="35" a="1"/>
  <c r="E540" i="35" a="1"/>
  <c r="C881" i="35" a="1"/>
  <c r="C1038" i="35" a="1"/>
  <c r="C419" i="35" a="1"/>
  <c r="E1037" i="35" a="1"/>
  <c r="V398" i="35" a="1"/>
  <c r="V91" i="35" a="1"/>
  <c r="E390" i="35" a="1"/>
  <c r="V1041" i="35" a="1"/>
  <c r="V935" i="35" a="1"/>
  <c r="F44" i="35" a="1"/>
  <c r="E197" i="35" a="1"/>
  <c r="V130" i="35" a="1"/>
  <c r="E54" i="35" a="1"/>
  <c r="F573" i="35" a="1"/>
  <c r="V402" i="35" a="1"/>
  <c r="V586" i="35" a="1"/>
  <c r="M1044" i="35" a="1"/>
  <c r="V79" i="35" a="1"/>
  <c r="E1043" i="35" a="1"/>
  <c r="E124" i="35" a="1"/>
  <c r="C88" i="35" a="1"/>
  <c r="C1074" i="35" a="1"/>
  <c r="V1065" i="35" a="1"/>
  <c r="F1042" i="35" a="1"/>
  <c r="F14" i="35" a="1"/>
  <c r="C100" i="35" a="1"/>
  <c r="C932" i="35" a="1"/>
  <c r="F548" i="35" a="1"/>
  <c r="E1071" i="35" a="1"/>
  <c r="V2" i="35" a="1"/>
  <c r="V1048" i="35" a="1"/>
  <c r="V30" i="35" a="1"/>
  <c r="C131" i="35" a="1"/>
  <c r="V550" i="35" a="1"/>
  <c r="C10" i="35" a="1"/>
  <c r="E498" i="35" a="1"/>
  <c r="E942" i="35" a="1"/>
  <c r="E389" i="35" a="1"/>
  <c r="V111" i="35" a="1"/>
  <c r="F17" i="35" a="1"/>
  <c r="C1069" i="35" a="1"/>
  <c r="C14" i="35" a="1"/>
  <c r="V395" i="35" a="1"/>
  <c r="V64" i="35" a="1"/>
  <c r="E1048" i="35" a="1"/>
  <c r="E404" i="35" a="1"/>
  <c r="E798" i="35" a="1"/>
  <c r="C38" i="35" a="1"/>
  <c r="F41" i="35" a="1"/>
  <c r="C928" i="35" a="1"/>
  <c r="F97" i="35" a="1"/>
  <c r="V74" i="35" a="1"/>
  <c r="E19" i="35" a="1"/>
  <c r="C1058" i="35" a="1"/>
  <c r="C86" i="35" a="1"/>
  <c r="M1050" i="35" a="1"/>
  <c r="E1062" i="35" a="1"/>
  <c r="F8" i="35" a="1"/>
  <c r="C405" i="35" a="1"/>
  <c r="E46" i="35" a="1"/>
  <c r="E40" i="35" a="1"/>
  <c r="C1083" i="35" a="1"/>
  <c r="V573" i="35" a="1"/>
  <c r="E11" i="35" a="1"/>
  <c r="F477" i="35" a="1"/>
  <c r="F540" i="35" a="1"/>
  <c r="L1052" i="35" a="1"/>
  <c r="E106" i="35" a="1"/>
  <c r="V9" i="35" a="1"/>
  <c r="V108" i="35" a="1"/>
  <c r="E943" i="35" a="1"/>
  <c r="K1054" i="35" a="1"/>
  <c r="V541" i="35" a="1"/>
  <c r="C417" i="35" a="1"/>
  <c r="V1055" i="35" a="1"/>
  <c r="F541" i="35" a="1"/>
  <c r="F938" i="35" a="1"/>
  <c r="C78" i="35" a="1"/>
  <c r="E883" i="35" a="1"/>
  <c r="V1058" i="35" a="1"/>
  <c r="V3" i="35" a="1"/>
  <c r="E116" i="35" a="1"/>
  <c r="E803" i="35" a="1"/>
  <c r="F42" i="35" a="1"/>
  <c r="C99" i="35" a="1"/>
  <c r="C416" i="35" a="1"/>
  <c r="C788" i="35" a="1"/>
  <c r="E1051" i="35" a="1"/>
  <c r="F77" i="35" a="1"/>
  <c r="F61" i="35" a="1"/>
  <c r="C40" i="35" a="1"/>
  <c r="C69" i="35" a="1"/>
  <c r="E790" i="35" a="1"/>
  <c r="V490" i="35" a="1"/>
  <c r="F589" i="35" a="1"/>
  <c r="E7" i="35" a="1"/>
  <c r="C579" i="35" a="1"/>
  <c r="V1032" i="35" a="1"/>
  <c r="E393" i="35" a="1"/>
  <c r="K1052" i="35" a="1"/>
  <c r="F417" i="35" a="1"/>
  <c r="F1051" i="35" a="1"/>
  <c r="F572" i="35" a="1"/>
  <c r="F793" i="35" a="1"/>
  <c r="V418" i="35" a="1"/>
  <c r="E55" i="35" a="1"/>
  <c r="F927" i="35" a="1"/>
  <c r="C110" i="35" a="1"/>
  <c r="V147" i="35" a="1"/>
  <c r="F46" i="35" a="1"/>
  <c r="E1085" i="35" a="1"/>
  <c r="F115" i="35" a="1"/>
  <c r="F91" i="35" a="1"/>
  <c r="F1030" i="35" a="1"/>
  <c r="C44" i="35" a="1"/>
  <c r="V98" i="35" a="1"/>
  <c r="E548" i="35" a="1"/>
  <c r="V799" i="35" a="1"/>
  <c r="C126" i="35" a="1"/>
  <c r="F542" i="35" a="1"/>
  <c r="C65" i="35" a="1"/>
  <c r="C1040" i="35" a="1"/>
  <c r="E95" i="35" a="1"/>
  <c r="F111" i="35" a="1"/>
  <c r="C18" i="35" a="1"/>
  <c r="E42" i="35" a="1"/>
  <c r="C577" i="35" a="1"/>
  <c r="F15" i="35" a="1"/>
  <c r="F791" i="35" a="1"/>
  <c r="F83" i="35" a="1"/>
  <c r="C1035" i="35" a="1"/>
  <c r="E395" i="35" a="1"/>
  <c r="V422" i="35" a="1"/>
  <c r="F1041" i="35" a="1"/>
  <c r="V94" i="35" a="1"/>
  <c r="F147" i="35" a="1"/>
  <c r="F1067" i="35" a="1"/>
  <c r="E66" i="35" a="1"/>
  <c r="V1037" i="35" a="1"/>
  <c r="C474" i="35" a="1"/>
  <c r="V875" i="35" a="1"/>
  <c r="E20" i="35" a="1"/>
  <c r="F1082" i="35" a="1"/>
  <c r="V88" i="35" a="1"/>
  <c r="C495" i="35" a="1"/>
  <c r="F409" i="35" a="1"/>
  <c r="C1063" i="35" a="1"/>
  <c r="V99" i="35" a="1"/>
  <c r="C418" i="35" a="1"/>
  <c r="C54" i="35" a="1"/>
  <c r="V90" i="35" a="1"/>
  <c r="F119" i="35" a="1"/>
  <c r="C62" i="35" a="1"/>
  <c r="C937" i="35" a="1"/>
  <c r="V396" i="35" a="1"/>
  <c r="E1074" i="35" a="1"/>
  <c r="F1085" i="35" a="1"/>
  <c r="V939" i="35" a="1"/>
  <c r="V1087" i="35" a="1"/>
  <c r="E793" i="35" a="1"/>
  <c r="E583" i="35" a="1"/>
  <c r="V924" i="35" a="1"/>
  <c r="F1054" i="35" a="1"/>
  <c r="F1057" i="35" a="1"/>
  <c r="E937" i="35" a="1"/>
  <c r="V71" i="35" a="1"/>
  <c r="E1044" i="35" a="1"/>
  <c r="C1037" i="35" a="1"/>
  <c r="F264" i="35" a="1"/>
  <c r="V128" i="35" a="1"/>
  <c r="F1072" i="35" a="1"/>
  <c r="V54" i="35" a="1"/>
  <c r="C13" i="35" a="1"/>
  <c r="F388" i="35" a="1"/>
  <c r="E587" i="35" a="1"/>
  <c r="F53" i="35" a="1"/>
  <c r="F387" i="35" a="1"/>
  <c r="V1079" i="35" a="1"/>
  <c r="C939" i="35" a="1"/>
  <c r="C409" i="35" a="1"/>
  <c r="V62" i="35" a="1"/>
  <c r="V20" i="35" a="1"/>
  <c r="E32" i="35" a="1"/>
  <c r="C421" i="35" a="1"/>
  <c r="F87" i="35" a="1"/>
  <c r="F1062" i="35" a="1"/>
  <c r="E1047" i="35" a="1"/>
  <c r="V101" i="35" a="1"/>
  <c r="V543" i="35" a="1"/>
  <c r="C403" i="35" a="1"/>
  <c r="C1047" i="35" a="1"/>
  <c r="C794" i="35" a="1"/>
  <c r="E70" i="35" a="1"/>
  <c r="C402" i="35" a="1"/>
  <c r="F576" i="35" a="1"/>
  <c r="C118" i="35" a="1"/>
  <c r="E874" i="35" a="1"/>
  <c r="F32" i="35" a="1"/>
  <c r="C490" i="35" a="1"/>
  <c r="E473" i="35" a="1"/>
  <c r="F1037" i="35" a="1"/>
  <c r="V1078" i="35" a="1"/>
  <c r="V116" i="35" a="1"/>
  <c r="V496" i="35" a="1"/>
  <c r="V589" i="35" a="1"/>
  <c r="F390" i="35" a="1"/>
  <c r="E108" i="35" a="1"/>
  <c r="F1060" i="35" a="1"/>
  <c r="C124" i="35" a="1"/>
  <c r="F9" i="35" a="1"/>
  <c r="C407" i="35" a="1"/>
  <c r="E33" i="35" a="1"/>
  <c r="V544" i="35" a="1"/>
  <c r="E110" i="35" a="1"/>
  <c r="C941" i="35" a="1"/>
  <c r="V388" i="35" a="1"/>
  <c r="V548" i="35" a="1"/>
  <c r="V50" i="35" a="1"/>
  <c r="V122" i="35" a="1"/>
  <c r="C19" i="35" a="1"/>
  <c r="V498" i="35" a="1"/>
  <c r="F73" i="35" a="1"/>
  <c r="V32" i="35" a="1"/>
  <c r="E1080" i="35" a="1"/>
  <c r="F43" i="35" a="1"/>
  <c r="C369" i="35" a="1"/>
  <c r="E90" i="35" a="1"/>
  <c r="V52" i="35" a="1"/>
  <c r="C477" i="35" a="1"/>
  <c r="V1072" i="35" a="1"/>
  <c r="C30" i="35" a="1"/>
  <c r="C541" i="35" a="1"/>
  <c r="E1067" i="35" a="1"/>
  <c r="E1059" i="35" a="1"/>
  <c r="E16" i="35" a="1"/>
  <c r="C20" i="35" a="1"/>
  <c r="C879" i="35" a="1"/>
  <c r="F98" i="35" a="1"/>
  <c r="C117" i="35" a="1"/>
  <c r="F788" i="35" a="1"/>
  <c r="V944" i="35" a="1"/>
  <c r="E84" i="35" a="1"/>
  <c r="F579" i="35" a="1"/>
  <c r="F86" i="35" a="1"/>
  <c r="F93" i="35" a="1"/>
  <c r="E38" i="35" a="1"/>
  <c r="E222" i="35" a="1"/>
  <c r="C53" i="35" a="1"/>
  <c r="V575" i="35" a="1"/>
  <c r="C498" i="35" a="1"/>
  <c r="V931" i="35" a="1"/>
  <c r="E384" i="35" a="1"/>
  <c r="V1029" i="35" a="1"/>
  <c r="C878" i="35" a="1"/>
  <c r="F40" i="35" a="1"/>
  <c r="E797" i="35" a="1"/>
  <c r="F3" i="35" a="1"/>
  <c r="C120" i="35" a="1"/>
  <c r="F20" i="35" a="1"/>
  <c r="V7" i="35" a="1"/>
  <c r="C108" i="35" a="1"/>
  <c r="E421" i="35" a="1"/>
  <c r="E1086" i="35" a="1"/>
  <c r="E75" i="35" a="1"/>
  <c r="C543" i="35" a="1"/>
  <c r="V127" i="35" a="1"/>
  <c r="L1049" i="35" a="1"/>
  <c r="V1047" i="35" a="1"/>
  <c r="F96" i="35" a="1"/>
  <c r="F1078" i="35" a="1"/>
  <c r="F794" i="35" a="1"/>
  <c r="V400" i="35" a="1"/>
  <c r="F369" i="35" a="1"/>
  <c r="C1044" i="35" a="1"/>
  <c r="C16" i="35" a="1"/>
  <c r="E49" i="35" a="1"/>
  <c r="E386" i="35" a="1"/>
  <c r="C197" i="35" a="1"/>
  <c r="C71" i="35" a="1"/>
  <c r="C384" i="35" a="1"/>
  <c r="C931" i="35" a="1"/>
  <c r="C540" i="35" a="1"/>
  <c r="E926" i="35" a="1"/>
  <c r="V57" i="35" a="1"/>
  <c r="F49" i="35" a="1"/>
  <c r="E50" i="35" a="1"/>
  <c r="F931" i="35" a="1"/>
  <c r="V578" i="35" a="1"/>
  <c r="V1030" i="35" a="1"/>
  <c r="E1035" i="35" a="1"/>
  <c r="E39" i="35" a="1"/>
  <c r="F476" i="35" a="1"/>
  <c r="E385" i="35" a="1"/>
  <c r="V63" i="35" a="1"/>
  <c r="E1068" i="35" a="1"/>
  <c r="F473" i="35" a="1"/>
  <c r="E931" i="35" a="1"/>
  <c r="V399" i="35" a="1"/>
  <c r="E104" i="35" a="1"/>
  <c r="V397" i="35" a="1"/>
  <c r="E41" i="35" a="1"/>
  <c r="E576" i="35" a="1"/>
  <c r="E1065" i="35" a="1"/>
  <c r="C408" i="35" a="1"/>
  <c r="F792" i="35" a="1"/>
  <c r="V1075" i="35" a="1"/>
  <c r="V95" i="35" a="1"/>
  <c r="F419" i="35" a="1"/>
  <c r="V940" i="35" a="1"/>
  <c r="E105" i="35" a="1"/>
  <c r="F942" i="35" a="1"/>
  <c r="C584" i="35" a="1"/>
  <c r="V1071" i="35" a="1"/>
  <c r="F58" i="35" a="1"/>
  <c r="E577" i="35" a="1"/>
  <c r="F1070" i="35" a="1"/>
  <c r="F580" i="35" a="1"/>
  <c r="E405" i="35" a="1"/>
  <c r="C9" i="35" a="1"/>
  <c r="V417" i="35" a="1"/>
  <c r="F1047" i="35" a="1"/>
  <c r="E930" i="35" a="1"/>
  <c r="C94" i="35" a="1"/>
  <c r="C1076" i="35" a="1"/>
  <c r="M1045" i="35" a="1"/>
  <c r="E497" i="35" a="1"/>
  <c r="E420" i="35" a="1"/>
  <c r="V579" i="35" a="1"/>
  <c r="F1052" i="35" a="1"/>
  <c r="F937" i="35" a="1"/>
  <c r="E121" i="35" a="1"/>
  <c r="V926" i="35" a="1"/>
  <c r="C1087" i="35" a="1"/>
  <c r="M1053" i="35" a="1"/>
  <c r="V406" i="35" a="1"/>
  <c r="F877" i="35" a="1"/>
  <c r="V109" i="35" a="1"/>
  <c r="C72" i="35" a="1"/>
  <c r="C1030" i="35" a="1"/>
  <c r="F413" i="35" a="1"/>
  <c r="V92" i="35" a="1"/>
  <c r="V1081" i="35" a="1"/>
  <c r="E788" i="35" a="1"/>
  <c r="E575" i="35" a="1"/>
  <c r="F398" i="35" a="1"/>
  <c r="C116" i="35" a="1"/>
  <c r="C89" i="35" a="1"/>
  <c r="V797" i="35" a="1"/>
  <c r="F1053" i="35" a="1"/>
  <c r="E1064" i="35" a="1"/>
  <c r="V6" i="35" a="1"/>
  <c r="E82" i="35" a="1"/>
  <c r="E1075" i="35" a="1"/>
  <c r="E940" i="35" a="1"/>
  <c r="E111" i="35" a="1"/>
  <c r="E544" i="35" a="1"/>
  <c r="F84" i="35" a="1"/>
  <c r="E416" i="35" a="1"/>
  <c r="C580" i="35" a="1"/>
  <c r="F62" i="35" a="1"/>
  <c r="E91" i="35" a="1"/>
  <c r="E369" i="35" a="1"/>
  <c r="C75" i="35" a="1"/>
  <c r="E1045" i="35" a="1"/>
  <c r="V86" i="35" a="1"/>
  <c r="F1081" i="35" a="1"/>
  <c r="C51" i="35" a="1"/>
  <c r="V70" i="35" a="1"/>
  <c r="V883" i="35" a="1"/>
  <c r="F400" i="35" a="1"/>
  <c r="F1050" i="35" a="1"/>
  <c r="F116" i="35" a="1"/>
  <c r="C413" i="35" a="1"/>
  <c r="C6" i="35" a="1"/>
  <c r="E1053" i="35" a="1"/>
  <c r="E578" i="35" a="1"/>
  <c r="E56" i="35" a="1"/>
  <c r="C389" i="35" a="1"/>
  <c r="E1081" i="35" a="1"/>
  <c r="C1071" i="35" a="1"/>
  <c r="F129" i="35" a="1"/>
  <c r="C95" i="35" a="1"/>
  <c r="C92" i="35" a="1"/>
  <c r="V115" i="35" a="1"/>
  <c r="F76" i="35" a="1"/>
  <c r="C33" i="35" a="1"/>
  <c r="E792" i="35" a="1"/>
  <c r="F383" i="35" a="1"/>
  <c r="F940" i="35" a="1"/>
  <c r="C1041" i="35" a="1"/>
  <c r="V577" i="35" a="1"/>
  <c r="V1036" i="35" a="1"/>
  <c r="E37" i="35" a="1"/>
  <c r="E147" i="35" a="1"/>
  <c r="F493" i="35" a="1"/>
  <c r="F11" i="35" a="1"/>
  <c r="C12" i="35" a="1"/>
  <c r="V933" i="35" a="1"/>
  <c r="E86" i="35" a="1"/>
  <c r="K1044" i="35" a="1"/>
  <c r="F127" i="35" a="1"/>
  <c r="V572" i="35" a="1"/>
  <c r="C578" i="35" a="1"/>
  <c r="E401" i="35" a="1"/>
  <c r="V1054" i="35" a="1"/>
  <c r="M1046" i="35" a="1"/>
  <c r="C545" i="35" a="1"/>
  <c r="C87" i="35" a="1"/>
  <c r="V105" i="35" a="1"/>
  <c r="F800" i="35" a="1"/>
  <c r="F1045" i="35" a="1"/>
  <c r="E1087" i="35" a="1"/>
  <c r="F18" i="35" a="1"/>
  <c r="F33" i="35" a="1"/>
  <c r="E1076" i="35" a="1"/>
  <c r="C938" i="35" a="1"/>
  <c r="F929" i="35" a="1"/>
  <c r="E881" i="35" a="1"/>
  <c r="C396" i="35" a="1"/>
  <c r="E1069" i="35" a="1"/>
  <c r="C32" i="35" a="1"/>
  <c r="V1045" i="35" a="1"/>
  <c r="C1049" i="35" a="1"/>
  <c r="C264" i="35" a="1"/>
  <c r="V87" i="35" a="1"/>
  <c r="F57" i="35" a="1"/>
  <c r="C1084" i="35" a="1"/>
  <c r="F54" i="35" a="1"/>
  <c r="V126" i="35" a="1"/>
  <c r="E399" i="35" a="1"/>
  <c r="E1078" i="35" a="1"/>
  <c r="F1079" i="35" a="1"/>
  <c r="V943" i="35" a="1"/>
  <c r="V794" i="35" a="1"/>
  <c r="E1040" i="35" a="1"/>
  <c r="V117" i="35" a="1"/>
  <c r="E933" i="35" a="1"/>
  <c r="C539" i="35" a="1"/>
  <c r="E585" i="35" a="1"/>
  <c r="V1043" i="35" a="1"/>
  <c r="E17" i="35" a="1"/>
  <c r="F930" i="35" a="1"/>
  <c r="V11" i="35" a="1"/>
  <c r="V588" i="35" a="1"/>
  <c r="V929" i="35" a="1"/>
  <c r="E44" i="35" a="1"/>
  <c r="V17" i="35" a="1"/>
  <c r="V551" i="35" a="1"/>
  <c r="V1068" i="35" a="1"/>
  <c r="F395" i="35" a="1"/>
  <c r="C102" i="35" a="1"/>
  <c r="F1055" i="35" a="1"/>
  <c r="E394" i="35" a="1"/>
  <c r="V385" i="35" a="1"/>
  <c r="M1054" i="35" a="1"/>
  <c r="C1029" i="35" a="1"/>
  <c r="F31" i="35" a="1"/>
  <c r="C55" i="35" a="1"/>
  <c r="V409" i="35" a="1"/>
  <c r="V8" i="35" a="1"/>
  <c r="F109" i="35" a="1"/>
  <c r="C387" i="35" a="1"/>
  <c r="F114" i="35" a="1"/>
  <c r="V547" i="35" a="1"/>
  <c r="F59" i="35" a="1"/>
  <c r="F386" i="35" a="1"/>
  <c r="E495" i="35" a="1"/>
  <c r="V44" i="35" a="1"/>
  <c r="F102" i="35" a="1"/>
  <c r="E83" i="35" a="1"/>
  <c r="E1049" i="35" a="1"/>
  <c r="V394" i="35" a="1"/>
  <c r="V882" i="35" a="1"/>
  <c r="F12" i="35" a="1"/>
  <c r="F81" i="35" a="1"/>
  <c r="E89" i="35" a="1"/>
  <c r="C1077" i="35" a="1"/>
  <c r="V937" i="35" a="1"/>
  <c r="V383" i="35" a="1"/>
  <c r="V1060" i="35" a="1"/>
  <c r="E476" i="35" a="1"/>
  <c r="E1052" i="35" a="1"/>
  <c r="C115" i="35" a="1"/>
  <c r="C79" i="35" a="1"/>
  <c r="F403" i="35" l="1"/>
  <c r="A408" i="55" s="1"/>
  <c r="V79" i="35"/>
  <c r="C398" i="35"/>
  <c r="E577" i="35"/>
  <c r="Y577" i="35" s="1"/>
  <c r="F332" i="35"/>
  <c r="A337" i="55" s="1"/>
  <c r="C38" i="35"/>
  <c r="B43" i="55" s="1"/>
  <c r="C41" i="35"/>
  <c r="V384" i="35"/>
  <c r="V417" i="35"/>
  <c r="V65" i="35"/>
  <c r="V102" i="35"/>
  <c r="V222" i="35"/>
  <c r="C874" i="35"/>
  <c r="F495" i="35"/>
  <c r="A500" i="55" s="1"/>
  <c r="V11" i="35"/>
  <c r="F16" i="35"/>
  <c r="A21" i="55" s="1"/>
  <c r="V129" i="35"/>
  <c r="F94" i="35"/>
  <c r="A99" i="55" s="1"/>
  <c r="C876" i="35"/>
  <c r="F1078" i="35"/>
  <c r="A1083" i="55" s="1"/>
  <c r="E1030" i="35"/>
  <c r="V410" i="35"/>
  <c r="C409" i="35"/>
  <c r="C84" i="35"/>
  <c r="F1083" i="35"/>
  <c r="A1088" i="55" s="1"/>
  <c r="F1055" i="35"/>
  <c r="A1060" i="55" s="1"/>
  <c r="E421" i="35"/>
  <c r="E377" i="41" s="1"/>
  <c r="E795" i="35"/>
  <c r="O795" i="35" s="1"/>
  <c r="E103" i="35"/>
  <c r="P103" i="35" s="1"/>
  <c r="V1057" i="35"/>
  <c r="F396" i="35"/>
  <c r="A401" i="55" s="1"/>
  <c r="E414" i="35"/>
  <c r="K414" i="35" s="1"/>
  <c r="F48" i="35"/>
  <c r="A53" i="55" s="1"/>
  <c r="C122" i="35"/>
  <c r="G122" i="35" s="1"/>
  <c r="E489" i="35"/>
  <c r="O489" i="35" s="1"/>
  <c r="V550" i="35"/>
  <c r="F1047" i="35"/>
  <c r="A1052" i="55" s="1"/>
  <c r="C1034" i="35"/>
  <c r="E126" i="35"/>
  <c r="V793" i="35"/>
  <c r="V76" i="35"/>
  <c r="C476" i="35"/>
  <c r="C477" i="35"/>
  <c r="G477" i="35" s="1"/>
  <c r="V578" i="35"/>
  <c r="E85" i="35"/>
  <c r="M85" i="35" s="1"/>
  <c r="F1068" i="35"/>
  <c r="A1073" i="55" s="1"/>
  <c r="F127" i="35"/>
  <c r="A132" i="55" s="1"/>
  <c r="F412" i="35"/>
  <c r="A417" i="55" s="1"/>
  <c r="M1054" i="35"/>
  <c r="V50" i="35"/>
  <c r="C407" i="35"/>
  <c r="B412" i="55" s="1"/>
  <c r="V574" i="35"/>
  <c r="C408" i="35"/>
  <c r="B413" i="55" s="1"/>
  <c r="E109" i="35"/>
  <c r="C418" i="35"/>
  <c r="G418" i="35" s="1"/>
  <c r="F802" i="35"/>
  <c r="A807" i="55" s="1"/>
  <c r="C587" i="35"/>
  <c r="B592" i="55" s="1"/>
  <c r="C395" i="35"/>
  <c r="B400" i="55" s="1"/>
  <c r="E1056" i="35"/>
  <c r="Y1056" i="35" s="1"/>
  <c r="F1045" i="35"/>
  <c r="A1050" i="55" s="1"/>
  <c r="V100" i="35"/>
  <c r="E57" i="35"/>
  <c r="F413" i="35"/>
  <c r="A418" i="55" s="1"/>
  <c r="E938" i="35"/>
  <c r="Y938" i="35" s="1"/>
  <c r="C589" i="35"/>
  <c r="M1051" i="35"/>
  <c r="F97" i="35"/>
  <c r="A102" i="55" s="1"/>
  <c r="F788" i="35"/>
  <c r="A793" i="55" s="1"/>
  <c r="F54" i="35"/>
  <c r="A59" i="55" s="1"/>
  <c r="E14" i="35"/>
  <c r="Y14" i="35" s="1"/>
  <c r="F934" i="35"/>
  <c r="A939" i="55" s="1"/>
  <c r="C878" i="35"/>
  <c r="G878" i="35" s="1"/>
  <c r="E67" i="35"/>
  <c r="Y67" i="35" s="1"/>
  <c r="M1050" i="35"/>
  <c r="K1052" i="35"/>
  <c r="V128" i="35"/>
  <c r="C1071" i="35"/>
  <c r="C1059" i="35"/>
  <c r="B1064" i="55" s="1"/>
  <c r="V90" i="35"/>
  <c r="F926" i="35"/>
  <c r="A931" i="55" s="1"/>
  <c r="F1029" i="35"/>
  <c r="A1034" i="55" s="1"/>
  <c r="V1063" i="35"/>
  <c r="F89" i="35"/>
  <c r="A94" i="55" s="1"/>
  <c r="C115" i="35"/>
  <c r="C416" i="35"/>
  <c r="F45" i="35"/>
  <c r="A50" i="55" s="1"/>
  <c r="C933" i="35"/>
  <c r="V879" i="35"/>
  <c r="V1049" i="35"/>
  <c r="L1045" i="35"/>
  <c r="F37" i="35"/>
  <c r="A42" i="55" s="1"/>
  <c r="C406" i="35"/>
  <c r="B411" i="55" s="1"/>
  <c r="V101" i="35"/>
  <c r="E944" i="35"/>
  <c r="W944" i="35" s="1"/>
  <c r="E882" i="35"/>
  <c r="M882" i="35" s="1"/>
  <c r="E578" i="35"/>
  <c r="C1066" i="41" s="1"/>
  <c r="C99" i="35"/>
  <c r="B104" i="55" s="1"/>
  <c r="E552" i="35"/>
  <c r="O552" i="35" s="1"/>
  <c r="V925" i="35"/>
  <c r="C1073" i="35"/>
  <c r="G1073" i="35" s="1"/>
  <c r="E61" i="35"/>
  <c r="M61" i="35" s="1"/>
  <c r="E932" i="35"/>
  <c r="N932" i="35" s="1"/>
  <c r="E1037" i="35"/>
  <c r="M1037" i="35" s="1"/>
  <c r="C387" i="35"/>
  <c r="V876" i="35"/>
  <c r="C405" i="35"/>
  <c r="V583" i="35"/>
  <c r="F76" i="35"/>
  <c r="A81" i="55" s="1"/>
  <c r="C130" i="35"/>
  <c r="K1049" i="35"/>
  <c r="V402" i="35"/>
  <c r="E497" i="35"/>
  <c r="Y497" i="35" s="1"/>
  <c r="V73" i="35"/>
  <c r="E127" i="35"/>
  <c r="M127" i="35" s="1"/>
  <c r="E574" i="35"/>
  <c r="K574" i="35" s="1"/>
  <c r="C50" i="35"/>
  <c r="B55" i="55" s="1"/>
  <c r="E6" i="35"/>
  <c r="K6" i="35" s="1"/>
  <c r="V1061" i="35"/>
  <c r="C412" i="35"/>
  <c r="B417" i="55" s="1"/>
  <c r="F1087" i="35"/>
  <c r="A1092" i="55" s="1"/>
  <c r="C75" i="35"/>
  <c r="C1030" i="35"/>
  <c r="L1055" i="35"/>
  <c r="E64" i="35"/>
  <c r="Y64" i="35" s="1"/>
  <c r="V111" i="35"/>
  <c r="C113" i="35"/>
  <c r="B118" i="55" s="1"/>
  <c r="F93" i="35"/>
  <c r="A98" i="55" s="1"/>
  <c r="C82" i="35"/>
  <c r="E589" i="35"/>
  <c r="F1043" i="35"/>
  <c r="A1048" i="55" s="1"/>
  <c r="E477" i="35"/>
  <c r="C71" i="35"/>
  <c r="C61" i="35"/>
  <c r="B66" i="55" s="1"/>
  <c r="V1087" i="35"/>
  <c r="C1087" i="35"/>
  <c r="C586" i="35"/>
  <c r="F31" i="35"/>
  <c r="A36" i="55" s="1"/>
  <c r="V85" i="35"/>
  <c r="E76" i="35"/>
  <c r="M76" i="35" s="1"/>
  <c r="C1075" i="35"/>
  <c r="G1075" i="35" s="1"/>
  <c r="V392" i="35"/>
  <c r="E494" i="35"/>
  <c r="P494" i="35" s="1"/>
  <c r="E114" i="35"/>
  <c r="K114" i="35" s="1"/>
  <c r="F65" i="35"/>
  <c r="A70" i="55" s="1"/>
  <c r="F789" i="35"/>
  <c r="A794" i="55" s="1"/>
  <c r="E102" i="35"/>
  <c r="K102" i="35" s="1"/>
  <c r="E1034" i="35"/>
  <c r="V42" i="35"/>
  <c r="C1054" i="35"/>
  <c r="C937" i="35"/>
  <c r="E390" i="35"/>
  <c r="K390" i="35" s="1"/>
  <c r="C1058" i="35"/>
  <c r="C473" i="35"/>
  <c r="E937" i="35"/>
  <c r="E583" i="35"/>
  <c r="M583" i="35" s="1"/>
  <c r="E1038" i="35"/>
  <c r="C251" i="41" s="1"/>
  <c r="E99" i="35"/>
  <c r="O99" i="35" s="1"/>
  <c r="E420" i="35"/>
  <c r="L420" i="35" s="1"/>
  <c r="V96" i="35"/>
  <c r="V115" i="35"/>
  <c r="V103" i="35"/>
  <c r="F587" i="35"/>
  <c r="A592" i="55" s="1"/>
  <c r="V393" i="35"/>
  <c r="E1073" i="35"/>
  <c r="V797" i="35"/>
  <c r="C46" i="35"/>
  <c r="B51" i="55" s="1"/>
  <c r="F7" i="35"/>
  <c r="A12" i="55" s="1"/>
  <c r="V584" i="35"/>
  <c r="E15" i="35"/>
  <c r="F882" i="35"/>
  <c r="A887" i="55" s="1"/>
  <c r="V47" i="35"/>
  <c r="E419" i="35"/>
  <c r="E524" i="41" s="1"/>
  <c r="E540" i="35"/>
  <c r="F930" i="35"/>
  <c r="A935" i="55" s="1"/>
  <c r="C383" i="35"/>
  <c r="E492" i="35"/>
  <c r="E90" i="35"/>
  <c r="B209" i="41" s="1"/>
  <c r="F47" i="35"/>
  <c r="A52" i="55" s="1"/>
  <c r="V64" i="35"/>
  <c r="V400" i="35"/>
  <c r="F387" i="35"/>
  <c r="A392" i="55" s="1"/>
  <c r="C70" i="35"/>
  <c r="B75" i="55" s="1"/>
  <c r="F119" i="35"/>
  <c r="A124" i="55" s="1"/>
  <c r="V543" i="35"/>
  <c r="E1054" i="35"/>
  <c r="Y1054" i="35" s="1"/>
  <c r="C65" i="35"/>
  <c r="B70" i="55" s="1"/>
  <c r="F875" i="35"/>
  <c r="A880" i="55" s="1"/>
  <c r="V936" i="35"/>
  <c r="V800" i="35"/>
  <c r="V419" i="35"/>
  <c r="V12" i="35"/>
  <c r="C1077" i="35"/>
  <c r="V1035" i="35"/>
  <c r="V86" i="35"/>
  <c r="E77" i="35"/>
  <c r="F85" i="35"/>
  <c r="A90" i="55" s="1"/>
  <c r="C540" i="35"/>
  <c r="F1034" i="35"/>
  <c r="A1039" i="55" s="1"/>
  <c r="V498" i="35"/>
  <c r="F943" i="35"/>
  <c r="A948" i="55" s="1"/>
  <c r="C936" i="35"/>
  <c r="B941" i="55" s="1"/>
  <c r="E70" i="35"/>
  <c r="K70" i="35" s="1"/>
  <c r="E120" i="35"/>
  <c r="L120" i="35" s="1"/>
  <c r="C69" i="35"/>
  <c r="B74" i="55" s="1"/>
  <c r="E933" i="35"/>
  <c r="N933" i="35" s="1"/>
  <c r="V264" i="35"/>
  <c r="C10" i="35"/>
  <c r="C795" i="35"/>
  <c r="G795" i="35" s="1"/>
  <c r="C475" i="35"/>
  <c r="J750" i="35" s="1" a="1"/>
  <c r="J750" i="35" s="1"/>
  <c r="D750" i="35" s="1"/>
  <c r="F491" i="35"/>
  <c r="A496" i="55" s="1"/>
  <c r="V18" i="35"/>
  <c r="E547" i="35"/>
  <c r="L547" i="35" s="1"/>
  <c r="F1072" i="35"/>
  <c r="A1077" i="55" s="1"/>
  <c r="V1068" i="35"/>
  <c r="V132" i="35"/>
  <c r="E53" i="35"/>
  <c r="C16" i="35"/>
  <c r="C3" i="35"/>
  <c r="G3" i="35" s="1"/>
  <c r="E550" i="35"/>
  <c r="K1046" i="35"/>
  <c r="V1050" i="35"/>
  <c r="E395" i="35"/>
  <c r="W395" i="35" s="1"/>
  <c r="E935" i="35"/>
  <c r="W935" i="35" s="1"/>
  <c r="E40" i="35"/>
  <c r="Y40" i="35" s="1"/>
  <c r="E545" i="35"/>
  <c r="W545" i="35" s="1"/>
  <c r="E29" i="35"/>
  <c r="G67" i="41" s="1"/>
  <c r="C86" i="35"/>
  <c r="B91" i="55" s="1"/>
  <c r="V16" i="35"/>
  <c r="V122" i="35"/>
  <c r="E7" i="35"/>
  <c r="L7" i="35" s="1"/>
  <c r="V542" i="35"/>
  <c r="F126" i="35"/>
  <c r="A131" i="55" s="1"/>
  <c r="F878" i="35"/>
  <c r="A883" i="55" s="1"/>
  <c r="E1069" i="35"/>
  <c r="M1069" i="35" s="1"/>
  <c r="E1080" i="35"/>
  <c r="W1080" i="35" s="1"/>
  <c r="E875" i="35"/>
  <c r="B1663" i="41" s="1"/>
  <c r="V880" i="35"/>
  <c r="V1054" i="35"/>
  <c r="F15" i="35"/>
  <c r="A20" i="55" s="1"/>
  <c r="F408" i="35"/>
  <c r="A413" i="55" s="1"/>
  <c r="V44" i="35"/>
  <c r="E332" i="35"/>
  <c r="M332" i="35" s="1"/>
  <c r="V133" i="35"/>
  <c r="E1087" i="35"/>
  <c r="Y1087" i="35" s="1"/>
  <c r="V792" i="35"/>
  <c r="F580" i="35"/>
  <c r="A585" i="55" s="1"/>
  <c r="V406" i="35"/>
  <c r="E387" i="35"/>
  <c r="B1011" i="41" s="1"/>
  <c r="F81" i="35"/>
  <c r="A86" i="55" s="1"/>
  <c r="C49" i="35"/>
  <c r="B54" i="55" s="1"/>
  <c r="F402" i="35"/>
  <c r="A407" i="55" s="1"/>
  <c r="V930" i="35"/>
  <c r="V1065" i="35"/>
  <c r="C42" i="35"/>
  <c r="C584" i="35"/>
  <c r="V55" i="35"/>
  <c r="V803" i="35"/>
  <c r="C121" i="35"/>
  <c r="B126" i="55" s="1"/>
  <c r="V77" i="35"/>
  <c r="V45" i="35"/>
  <c r="F74" i="35"/>
  <c r="A79" i="55" s="1"/>
  <c r="E1071" i="35"/>
  <c r="Y1071" i="35" s="1"/>
  <c r="C1050" i="35"/>
  <c r="B1055" i="55" s="1"/>
  <c r="F925" i="35"/>
  <c r="A930" i="55" s="1"/>
  <c r="F575" i="35"/>
  <c r="A580" i="55" s="1"/>
  <c r="V72" i="35"/>
  <c r="E411" i="35"/>
  <c r="M411" i="35" s="1"/>
  <c r="F30" i="35"/>
  <c r="A35" i="55" s="1"/>
  <c r="C1079" i="35"/>
  <c r="G1079" i="35" s="1"/>
  <c r="F73" i="35"/>
  <c r="A78" i="55" s="1"/>
  <c r="M1053" i="35"/>
  <c r="E1070" i="35"/>
  <c r="W1070" i="35" s="1"/>
  <c r="V405" i="35"/>
  <c r="F120" i="35"/>
  <c r="A125" i="55" s="1"/>
  <c r="V934" i="35"/>
  <c r="V387" i="35"/>
  <c r="F552" i="35"/>
  <c r="A557" i="55" s="1"/>
  <c r="C96" i="35"/>
  <c r="B101" i="55" s="1"/>
  <c r="C551" i="35"/>
  <c r="B556" i="55" s="1"/>
  <c r="C1047" i="35"/>
  <c r="V490" i="35"/>
  <c r="V928" i="35"/>
  <c r="F1052" i="35"/>
  <c r="A1057" i="55" s="1"/>
  <c r="F1076" i="35"/>
  <c r="A1081" i="55" s="1"/>
  <c r="V927" i="35"/>
  <c r="F1050" i="35"/>
  <c r="A1055" i="55" s="1"/>
  <c r="F122" i="35"/>
  <c r="A127" i="55" s="1"/>
  <c r="C882" i="35"/>
  <c r="G882" i="35" s="1"/>
  <c r="F125" i="35"/>
  <c r="A130" i="55" s="1"/>
  <c r="C1035" i="35"/>
  <c r="G1035" i="35" s="1"/>
  <c r="C1062" i="35"/>
  <c r="G1062" i="35" s="1"/>
  <c r="C574" i="35"/>
  <c r="B579" i="55" s="1"/>
  <c r="C414" i="35"/>
  <c r="G414" i="35" s="1"/>
  <c r="C929" i="35"/>
  <c r="G929" i="35" s="1"/>
  <c r="E490" i="35"/>
  <c r="L490" i="35" s="1"/>
  <c r="F17" i="35"/>
  <c r="A22" i="55" s="1"/>
  <c r="V539" i="35"/>
  <c r="C392" i="35"/>
  <c r="M1045" i="35"/>
  <c r="E20" i="35"/>
  <c r="M20" i="35" s="1"/>
  <c r="C797" i="35"/>
  <c r="G797" i="35" s="1"/>
  <c r="F33" i="35"/>
  <c r="A38" i="55" s="1"/>
  <c r="F32" i="35"/>
  <c r="A37" i="55" s="1"/>
  <c r="V15" i="35"/>
  <c r="F406" i="35"/>
  <c r="A411" i="55" s="1"/>
  <c r="V877" i="35"/>
  <c r="F114" i="35"/>
  <c r="A119" i="55" s="1"/>
  <c r="E82" i="35"/>
  <c r="C175" i="41" s="1"/>
  <c r="F58" i="35"/>
  <c r="A63" i="55" s="1"/>
  <c r="V791" i="35"/>
  <c r="F585" i="35"/>
  <c r="A590" i="55" s="1"/>
  <c r="V394" i="35"/>
  <c r="E551" i="35"/>
  <c r="L551" i="35" s="1"/>
  <c r="C419" i="35"/>
  <c r="G419" i="35" s="1"/>
  <c r="E1077" i="35"/>
  <c r="O1077" i="35" s="1"/>
  <c r="K1047" i="35"/>
  <c r="C54" i="35"/>
  <c r="G54" i="35" s="1"/>
  <c r="V416" i="35"/>
  <c r="E79" i="35"/>
  <c r="K79" i="35" s="1"/>
  <c r="E1064" i="35"/>
  <c r="V131" i="35"/>
  <c r="E1068" i="35"/>
  <c r="Y1068" i="35" s="1"/>
  <c r="E587" i="35"/>
  <c r="W587" i="35" s="1"/>
  <c r="E799" i="35"/>
  <c r="W799" i="35" s="1"/>
  <c r="F1064" i="35"/>
  <c r="A1069" i="55" s="1"/>
  <c r="V1044" i="35"/>
  <c r="V92" i="35"/>
  <c r="E117" i="35"/>
  <c r="V572" i="35"/>
  <c r="C100" i="35"/>
  <c r="B105" i="55" s="1"/>
  <c r="V1059" i="35"/>
  <c r="E801" i="35"/>
  <c r="W801" i="35" s="1"/>
  <c r="C57" i="35"/>
  <c r="B62" i="55" s="1"/>
  <c r="C119" i="35"/>
  <c r="G119" i="35" s="1"/>
  <c r="V120" i="35"/>
  <c r="V924" i="35"/>
  <c r="V59" i="35"/>
  <c r="F128" i="35"/>
  <c r="A133" i="55" s="1"/>
  <c r="F1053" i="35"/>
  <c r="A1058" i="55" s="1"/>
  <c r="E93" i="35"/>
  <c r="V415" i="35"/>
  <c r="E575" i="35"/>
  <c r="B1062" i="41" s="1"/>
  <c r="E498" i="35"/>
  <c r="C106" i="35"/>
  <c r="C1082" i="35"/>
  <c r="B1087" i="55" s="1"/>
  <c r="E16" i="35"/>
  <c r="L16" i="35" s="1"/>
  <c r="F388" i="35"/>
  <c r="A393" i="55" s="1"/>
  <c r="F49" i="35"/>
  <c r="A54" i="55" s="1"/>
  <c r="F1085" i="35"/>
  <c r="A1090" i="55" s="1"/>
  <c r="E51" i="35"/>
  <c r="L51" i="35" s="1"/>
  <c r="E2" i="35"/>
  <c r="W2" i="35" s="1"/>
  <c r="F1066" i="35"/>
  <c r="A1071" i="55" s="1"/>
  <c r="V126" i="35"/>
  <c r="E48" i="35"/>
  <c r="Y48" i="35" s="1"/>
  <c r="V197" i="35"/>
  <c r="M1049" i="35"/>
  <c r="E1057" i="35"/>
  <c r="F283" i="41" s="1"/>
  <c r="C1068" i="35"/>
  <c r="B1073" i="55" s="1"/>
  <c r="F68" i="35"/>
  <c r="A73" i="55" s="1"/>
  <c r="C496" i="35"/>
  <c r="G496" i="35" s="1"/>
  <c r="C1029" i="35"/>
  <c r="G1029" i="35" s="1"/>
  <c r="C91" i="35"/>
  <c r="B96" i="55" s="1"/>
  <c r="V1079" i="35"/>
  <c r="E95" i="35"/>
  <c r="Y95" i="35" s="1"/>
  <c r="C1056" i="35"/>
  <c r="B1061" i="55" s="1"/>
  <c r="E81" i="35"/>
  <c r="Y81" i="35" s="1"/>
  <c r="C403" i="35"/>
  <c r="B408" i="55" s="1"/>
  <c r="F474" i="35"/>
  <c r="A479" i="55" s="1"/>
  <c r="V124" i="35"/>
  <c r="C792" i="35"/>
  <c r="F1082" i="35"/>
  <c r="A1087" i="55" s="1"/>
  <c r="C7" i="35"/>
  <c r="V110" i="35"/>
  <c r="E413" i="35"/>
  <c r="M413" i="35" s="1"/>
  <c r="C53" i="35"/>
  <c r="F83" i="35"/>
  <c r="A88" i="55" s="1"/>
  <c r="V1053" i="35"/>
  <c r="E1039" i="35"/>
  <c r="Y1039" i="35" s="1"/>
  <c r="F577" i="35"/>
  <c r="A582" i="55" s="1"/>
  <c r="E13" i="35"/>
  <c r="M13" i="35" s="1"/>
  <c r="V489" i="35"/>
  <c r="E405" i="35"/>
  <c r="B1029" i="41" s="1"/>
  <c r="C77" i="35"/>
  <c r="B82" i="55" s="1"/>
  <c r="F1031" i="35"/>
  <c r="A1036" i="55" s="1"/>
  <c r="V67" i="35"/>
  <c r="V39" i="35"/>
  <c r="E1049" i="35"/>
  <c r="F66" i="35"/>
  <c r="A71" i="55" s="1"/>
  <c r="V30" i="35"/>
  <c r="V581" i="35"/>
  <c r="F1054" i="35"/>
  <c r="A1059" i="55" s="1"/>
  <c r="C1041" i="35"/>
  <c r="V495" i="35"/>
  <c r="F1040" i="35"/>
  <c r="A1045" i="55" s="1"/>
  <c r="E1081" i="35"/>
  <c r="E78" i="35"/>
  <c r="Y78" i="35" s="1"/>
  <c r="C1052" i="35"/>
  <c r="B1057" i="55" s="1"/>
  <c r="E106" i="35"/>
  <c r="Y106" i="35" s="1"/>
  <c r="V1071" i="35"/>
  <c r="M1048" i="35"/>
  <c r="C577" i="35"/>
  <c r="G577" i="35" s="1"/>
  <c r="C55" i="35"/>
  <c r="B60" i="55" s="1"/>
  <c r="F415" i="35"/>
  <c r="A420" i="55" s="1"/>
  <c r="E12" i="35"/>
  <c r="F483" i="41" s="1"/>
  <c r="V544" i="35"/>
  <c r="F98" i="35"/>
  <c r="A103" i="55" s="1"/>
  <c r="C73" i="35"/>
  <c r="E105" i="35"/>
  <c r="B562" i="41" s="1"/>
  <c r="C1049" i="35"/>
  <c r="V1076" i="35"/>
  <c r="F395" i="35"/>
  <c r="A400" i="55" s="1"/>
  <c r="V790" i="35"/>
  <c r="V80" i="35"/>
  <c r="V397" i="35"/>
  <c r="C879" i="35"/>
  <c r="F1037" i="35"/>
  <c r="A1042" i="55" s="1"/>
  <c r="F99" i="35"/>
  <c r="A104" i="55" s="1"/>
  <c r="V105" i="35"/>
  <c r="F877" i="35"/>
  <c r="A882" i="55" s="1"/>
  <c r="F880" i="35"/>
  <c r="A885" i="55" s="1"/>
  <c r="C97" i="35"/>
  <c r="G97" i="35" s="1"/>
  <c r="E800" i="35"/>
  <c r="N800" i="35" s="1"/>
  <c r="C264" i="35"/>
  <c r="V874" i="35"/>
  <c r="C58" i="35"/>
  <c r="G58" i="35" s="1"/>
  <c r="F46" i="35"/>
  <c r="A51" i="55" s="1"/>
  <c r="F876" i="35"/>
  <c r="A881" i="55" s="1"/>
  <c r="V1042" i="35"/>
  <c r="F116" i="35"/>
  <c r="A121" i="55" s="1"/>
  <c r="F496" i="35"/>
  <c r="A501" i="55" s="1"/>
  <c r="E132" i="35"/>
  <c r="C78" i="35"/>
  <c r="G78" i="35" s="1"/>
  <c r="C94" i="35"/>
  <c r="B99" i="55" s="1"/>
  <c r="F53" i="35"/>
  <c r="A58" i="55" s="1"/>
  <c r="E1072" i="35"/>
  <c r="C48" i="35"/>
  <c r="F1032" i="35"/>
  <c r="A1037" i="55" s="1"/>
  <c r="V794" i="35"/>
  <c r="E38" i="35"/>
  <c r="F936" i="35"/>
  <c r="A941" i="55" s="1"/>
  <c r="E403" i="35"/>
  <c r="O403" i="35" s="1"/>
  <c r="E924" i="35"/>
  <c r="L924" i="35" s="1"/>
  <c r="F1044" i="35"/>
  <c r="A1049" i="55" s="1"/>
  <c r="F1065" i="35"/>
  <c r="A1070" i="55" s="1"/>
  <c r="C72" i="35"/>
  <c r="G72" i="35" s="1"/>
  <c r="C788" i="35"/>
  <c r="G788" i="35" s="1"/>
  <c r="V882" i="35"/>
  <c r="V95" i="35"/>
  <c r="C51" i="35"/>
  <c r="G51" i="35" s="1"/>
  <c r="E1035" i="35"/>
  <c r="M1035" i="35" s="1"/>
  <c r="K1045" i="35"/>
  <c r="C573" i="35"/>
  <c r="G573" i="35" s="1"/>
  <c r="F106" i="35"/>
  <c r="A111" i="55" s="1"/>
  <c r="E45" i="35"/>
  <c r="O45" i="35" s="1"/>
  <c r="C402" i="35"/>
  <c r="E39" i="35"/>
  <c r="W39" i="35" s="1"/>
  <c r="E86" i="35"/>
  <c r="B205" i="41" s="1"/>
  <c r="C118" i="35"/>
  <c r="E1075" i="35"/>
  <c r="V938" i="35"/>
  <c r="F539" i="35"/>
  <c r="A544" i="55" s="1"/>
  <c r="E384" i="35"/>
  <c r="F942" i="35"/>
  <c r="A947" i="55" s="1"/>
  <c r="V13" i="35"/>
  <c r="V580" i="35"/>
  <c r="F1067" i="35"/>
  <c r="A1072" i="55" s="1"/>
  <c r="V58" i="35"/>
  <c r="C938" i="35"/>
  <c r="B943" i="55" s="1"/>
  <c r="L1052" i="35"/>
  <c r="C588" i="35"/>
  <c r="G588" i="35" s="1"/>
  <c r="F63" i="35"/>
  <c r="A68" i="55" s="1"/>
  <c r="E88" i="35"/>
  <c r="K1056" i="35"/>
  <c r="C935" i="35"/>
  <c r="B940" i="55" s="1"/>
  <c r="F57" i="35"/>
  <c r="A62" i="55" s="1"/>
  <c r="C9" i="35"/>
  <c r="B14" i="55" s="1"/>
  <c r="C497" i="35"/>
  <c r="G497" i="35" s="1"/>
  <c r="C930" i="35"/>
  <c r="V127" i="35"/>
  <c r="F801" i="35"/>
  <c r="A806" i="55" s="1"/>
  <c r="F394" i="35"/>
  <c r="A399" i="55" s="1"/>
  <c r="F1056" i="35"/>
  <c r="A1061" i="55" s="1"/>
  <c r="E60" i="35"/>
  <c r="W60" i="35" s="1"/>
  <c r="X60" i="35" s="1"/>
  <c r="V401" i="35"/>
  <c r="V404" i="35"/>
  <c r="F1077" i="35"/>
  <c r="A1082" i="55" s="1"/>
  <c r="E496" i="35"/>
  <c r="V20" i="35"/>
  <c r="V418" i="35"/>
  <c r="E408" i="35"/>
  <c r="M408" i="35" s="1"/>
  <c r="V496" i="35"/>
  <c r="F584" i="35"/>
  <c r="A589" i="55" s="1"/>
  <c r="E123" i="35"/>
  <c r="Y123" i="35" s="1"/>
  <c r="C794" i="35"/>
  <c r="E572" i="35"/>
  <c r="L572" i="35" s="1"/>
  <c r="E1044" i="35"/>
  <c r="W1044" i="35" s="1"/>
  <c r="F411" i="35"/>
  <c r="A416" i="55" s="1"/>
  <c r="F64" i="35"/>
  <c r="A69" i="55" s="1"/>
  <c r="V944" i="35"/>
  <c r="V117" i="35"/>
  <c r="C18" i="35"/>
  <c r="C944" i="35"/>
  <c r="V943" i="35"/>
  <c r="C579" i="35"/>
  <c r="V147" i="35"/>
  <c r="E584" i="35"/>
  <c r="L584" i="35" s="1"/>
  <c r="C109" i="35"/>
  <c r="B114" i="55" s="1"/>
  <c r="C1046" i="35"/>
  <c r="B1051" i="55" s="1"/>
  <c r="E385" i="35"/>
  <c r="O385" i="35" s="1"/>
  <c r="F1038" i="35"/>
  <c r="A1043" i="55" s="1"/>
  <c r="E573" i="35"/>
  <c r="M573" i="35" s="1"/>
  <c r="F117" i="35"/>
  <c r="A122" i="55" s="1"/>
  <c r="F490" i="35"/>
  <c r="A495" i="55" s="1"/>
  <c r="F932" i="35"/>
  <c r="A937" i="55" s="1"/>
  <c r="E52" i="35"/>
  <c r="C137" i="41" s="1"/>
  <c r="C495" i="35"/>
  <c r="M1055" i="35"/>
  <c r="V1062" i="35"/>
  <c r="C404" i="35"/>
  <c r="V420" i="35"/>
  <c r="F3" i="35"/>
  <c r="A8" i="55" s="1"/>
  <c r="F19" i="35"/>
  <c r="A24" i="55" s="1"/>
  <c r="V385" i="35"/>
  <c r="E942" i="35"/>
  <c r="C128" i="35"/>
  <c r="V407" i="35"/>
  <c r="C390" i="35"/>
  <c r="C578" i="35"/>
  <c r="F105" i="35"/>
  <c r="A110" i="55" s="1"/>
  <c r="V475" i="35"/>
  <c r="F79" i="35"/>
  <c r="A84" i="55" s="1"/>
  <c r="C877" i="35"/>
  <c r="G877" i="35" s="1"/>
  <c r="F543" i="35"/>
  <c r="A548" i="55" s="1"/>
  <c r="E1059" i="35"/>
  <c r="K1059" i="35" s="1"/>
  <c r="V493" i="35"/>
  <c r="F1042" i="35"/>
  <c r="A1047" i="55" s="1"/>
  <c r="E400" i="35"/>
  <c r="N400" i="35" s="1"/>
  <c r="E1033" i="35"/>
  <c r="Y1033" i="35" s="1"/>
  <c r="C1048" i="35"/>
  <c r="E115" i="35"/>
  <c r="W115" i="35" s="1"/>
  <c r="V94" i="35"/>
  <c r="V391" i="35"/>
  <c r="V941" i="35"/>
  <c r="C95" i="35"/>
  <c r="V399" i="35"/>
  <c r="E43" i="35"/>
  <c r="C56" i="35"/>
  <c r="V411" i="35"/>
  <c r="V37" i="35"/>
  <c r="F104" i="35"/>
  <c r="A109" i="55" s="1"/>
  <c r="E1040" i="35"/>
  <c r="M1040" i="35" s="1"/>
  <c r="E588" i="35"/>
  <c r="Y588" i="35" s="1"/>
  <c r="E876" i="35"/>
  <c r="L876" i="35" s="1"/>
  <c r="V548" i="35"/>
  <c r="E1042" i="35"/>
  <c r="L1042" i="35" s="1"/>
  <c r="C803" i="35"/>
  <c r="G803" i="35" s="1"/>
  <c r="C492" i="35"/>
  <c r="G492" i="35" s="1"/>
  <c r="V40" i="35"/>
  <c r="F422" i="35"/>
  <c r="A427" i="55" s="1"/>
  <c r="V1046" i="35"/>
  <c r="F86" i="35"/>
  <c r="A91" i="55" s="1"/>
  <c r="C941" i="35"/>
  <c r="B946" i="55" s="1"/>
  <c r="C40" i="35"/>
  <c r="C1064" i="35"/>
  <c r="B1069" i="55" s="1"/>
  <c r="M1052" i="35"/>
  <c r="E87" i="35"/>
  <c r="P87" i="35" s="1"/>
  <c r="F1041" i="35"/>
  <c r="A1046" i="55" s="1"/>
  <c r="E73" i="35"/>
  <c r="E80" i="35"/>
  <c r="V408" i="35"/>
  <c r="V421" i="35"/>
  <c r="E412" i="35"/>
  <c r="K412" i="35" s="1"/>
  <c r="V875" i="35"/>
  <c r="V586" i="35"/>
  <c r="E930" i="35"/>
  <c r="C401" i="35"/>
  <c r="B406" i="55" s="1"/>
  <c r="L1056" i="35"/>
  <c r="E63" i="35"/>
  <c r="N63" i="35" s="1"/>
  <c r="C415" i="35"/>
  <c r="G415" i="35" s="1"/>
  <c r="C111" i="35"/>
  <c r="G111" i="35" s="1"/>
  <c r="V1074" i="35"/>
  <c r="F548" i="35"/>
  <c r="A553" i="55" s="1"/>
  <c r="E10" i="35"/>
  <c r="E216" i="41" s="1"/>
  <c r="E66" i="35"/>
  <c r="M1046" i="35"/>
  <c r="C396" i="35"/>
  <c r="G396" i="35" s="1"/>
  <c r="E121" i="35"/>
  <c r="Y121" i="35" s="1"/>
  <c r="F795" i="35"/>
  <c r="A800" i="55" s="1"/>
  <c r="F1030" i="35"/>
  <c r="A1035" i="55" s="1"/>
  <c r="F386" i="35"/>
  <c r="A391" i="55" s="1"/>
  <c r="F44" i="35"/>
  <c r="A49" i="55" s="1"/>
  <c r="C14" i="35"/>
  <c r="V1067" i="35"/>
  <c r="F494" i="35"/>
  <c r="A499" i="55" s="1"/>
  <c r="E128" i="35"/>
  <c r="K128" i="35" s="1"/>
  <c r="V396" i="35"/>
  <c r="F91" i="35"/>
  <c r="A96" i="55" s="1"/>
  <c r="V588" i="35"/>
  <c r="F62" i="35"/>
  <c r="A67" i="55" s="1"/>
  <c r="F545" i="35"/>
  <c r="A550" i="55" s="1"/>
  <c r="C549" i="35"/>
  <c r="B554" i="55" s="1"/>
  <c r="V112" i="35"/>
  <c r="E1063" i="35"/>
  <c r="K1063" i="35" s="1"/>
  <c r="F121" i="35"/>
  <c r="A126" i="55" s="1"/>
  <c r="C942" i="35"/>
  <c r="V788" i="35"/>
  <c r="E124" i="35"/>
  <c r="L124" i="35" s="1"/>
  <c r="F71" i="35"/>
  <c r="A76" i="55" s="1"/>
  <c r="C881" i="35"/>
  <c r="B886" i="55" s="1"/>
  <c r="E586" i="35"/>
  <c r="N586" i="35" s="1"/>
  <c r="C926" i="35"/>
  <c r="F549" i="35"/>
  <c r="A554" i="55" s="1"/>
  <c r="V106" i="35"/>
  <c r="F933" i="35"/>
  <c r="A938" i="55" s="1"/>
  <c r="F56" i="35"/>
  <c r="A61" i="55" s="1"/>
  <c r="E396" i="35"/>
  <c r="N396" i="35" s="1"/>
  <c r="V32" i="35"/>
  <c r="F935" i="35"/>
  <c r="A940" i="55" s="1"/>
  <c r="V494" i="35"/>
  <c r="C15" i="35"/>
  <c r="B20" i="55" s="1"/>
  <c r="F78" i="35"/>
  <c r="A83" i="55" s="1"/>
  <c r="V93" i="35"/>
  <c r="C59" i="35"/>
  <c r="G59" i="35" s="1"/>
  <c r="C498" i="35"/>
  <c r="G498" i="35" s="1"/>
  <c r="V413" i="35"/>
  <c r="C1032" i="35"/>
  <c r="B1037" i="55" s="1"/>
  <c r="E576" i="35"/>
  <c r="C68" i="35"/>
  <c r="G68" i="35" s="1"/>
  <c r="F61" i="35"/>
  <c r="A66" i="55" s="1"/>
  <c r="C45" i="35"/>
  <c r="G45" i="35" s="1"/>
  <c r="E119" i="35"/>
  <c r="K119" i="35" s="1"/>
  <c r="C793" i="35"/>
  <c r="B798" i="55" s="1"/>
  <c r="V98" i="35"/>
  <c r="E473" i="35"/>
  <c r="F410" i="35"/>
  <c r="A415" i="55" s="1"/>
  <c r="E11" i="35"/>
  <c r="E585" i="35"/>
  <c r="N585" i="35" s="1"/>
  <c r="C129" i="35"/>
  <c r="L1049" i="35"/>
  <c r="F1086" i="35"/>
  <c r="A1091" i="55" s="1"/>
  <c r="E790" i="35"/>
  <c r="L1046" i="35"/>
  <c r="C1074" i="35"/>
  <c r="G1074" i="35" s="1"/>
  <c r="E83" i="35"/>
  <c r="K83" i="35" s="1"/>
  <c r="E881" i="35"/>
  <c r="G1675" i="41" s="1"/>
  <c r="C493" i="35"/>
  <c r="B498" i="55" s="1"/>
  <c r="E264" i="35"/>
  <c r="M264" i="35" s="1"/>
  <c r="E118" i="35"/>
  <c r="M118" i="35" s="1"/>
  <c r="F572" i="35"/>
  <c r="A577" i="55" s="1"/>
  <c r="F1061" i="35"/>
  <c r="A1066" i="55" s="1"/>
  <c r="E542" i="35"/>
  <c r="N542" i="35" s="1"/>
  <c r="E927" i="35"/>
  <c r="W927" i="35" s="1"/>
  <c r="V1075" i="35"/>
  <c r="E392" i="35"/>
  <c r="N392" i="35" s="1"/>
  <c r="F879" i="35"/>
  <c r="A884" i="55" s="1"/>
  <c r="E803" i="35"/>
  <c r="C85" i="35"/>
  <c r="F1069" i="35"/>
  <c r="A1074" i="55" s="1"/>
  <c r="F929" i="35"/>
  <c r="A934" i="55" s="1"/>
  <c r="V1070" i="35"/>
  <c r="F115" i="35"/>
  <c r="A120" i="55" s="1"/>
  <c r="E112" i="35"/>
  <c r="N112" i="35" s="1"/>
  <c r="V114" i="35"/>
  <c r="E1066" i="35"/>
  <c r="K1066" i="35" s="1"/>
  <c r="V19" i="35"/>
  <c r="V547" i="35"/>
  <c r="E941" i="35"/>
  <c r="C1820" i="41" s="1"/>
  <c r="F222" i="35"/>
  <c r="A227" i="55" s="1"/>
  <c r="F799" i="35"/>
  <c r="A804" i="55" s="1"/>
  <c r="V71" i="35"/>
  <c r="F43" i="35"/>
  <c r="A48" i="55" s="1"/>
  <c r="V116" i="35"/>
  <c r="K1055" i="35"/>
  <c r="E389" i="35"/>
  <c r="K389" i="35" s="1"/>
  <c r="F1074" i="35"/>
  <c r="A1079" i="55" s="1"/>
  <c r="V579" i="35"/>
  <c r="C116" i="35"/>
  <c r="E104" i="35"/>
  <c r="V130" i="35"/>
  <c r="C1067" i="35"/>
  <c r="F1051" i="35"/>
  <c r="A1056" i="55" s="1"/>
  <c r="F52" i="35"/>
  <c r="A57" i="55" s="1"/>
  <c r="V940" i="35"/>
  <c r="V1064" i="35"/>
  <c r="F416" i="35"/>
  <c r="A421" i="55" s="1"/>
  <c r="V937" i="35"/>
  <c r="F60" i="35"/>
  <c r="A65" i="55" s="1"/>
  <c r="V78" i="35"/>
  <c r="V1040" i="35"/>
  <c r="V589" i="35"/>
  <c r="E581" i="35"/>
  <c r="P581" i="35" s="1"/>
  <c r="C43" i="35"/>
  <c r="V54" i="35"/>
  <c r="V802" i="35"/>
  <c r="C552" i="35"/>
  <c r="G552" i="35" s="1"/>
  <c r="V932" i="35"/>
  <c r="E925" i="35"/>
  <c r="C1804" i="41" s="1"/>
  <c r="F939" i="35"/>
  <c r="A944" i="55" s="1"/>
  <c r="C1055" i="35"/>
  <c r="E369" i="35"/>
  <c r="E383" i="35"/>
  <c r="E791" i="35"/>
  <c r="C2" i="35"/>
  <c r="F404" i="35"/>
  <c r="A409" i="55" s="1"/>
  <c r="V795" i="35"/>
  <c r="F793" i="35"/>
  <c r="A798" i="55" s="1"/>
  <c r="E476" i="35"/>
  <c r="W476" i="35" s="1"/>
  <c r="C11" i="35"/>
  <c r="G11" i="35" s="1"/>
  <c r="C60" i="35"/>
  <c r="G60" i="35" s="1"/>
  <c r="F118" i="35"/>
  <c r="A123" i="55" s="1"/>
  <c r="F407" i="35"/>
  <c r="A412" i="55" s="1"/>
  <c r="F583" i="35"/>
  <c r="A588" i="55" s="1"/>
  <c r="F418" i="35"/>
  <c r="A423" i="55" s="1"/>
  <c r="V1032" i="35"/>
  <c r="F578" i="35"/>
  <c r="A583" i="55" s="1"/>
  <c r="E44" i="35"/>
  <c r="C1057" i="35"/>
  <c r="B1062" i="55" s="1"/>
  <c r="F390" i="35"/>
  <c r="A395" i="55" s="1"/>
  <c r="E62" i="35"/>
  <c r="Y62" i="35" s="1"/>
  <c r="F100" i="35"/>
  <c r="A105" i="55" s="1"/>
  <c r="E936" i="35"/>
  <c r="E50" i="35"/>
  <c r="E54" i="35"/>
  <c r="C491" i="35"/>
  <c r="C539" i="35"/>
  <c r="C110" i="35"/>
  <c r="B115" i="55" s="1"/>
  <c r="V388" i="35"/>
  <c r="V1082" i="35"/>
  <c r="F41" i="35"/>
  <c r="A46" i="55" s="1"/>
  <c r="F881" i="35"/>
  <c r="A886" i="55" s="1"/>
  <c r="C67" i="35"/>
  <c r="B72" i="55" s="1"/>
  <c r="V88" i="35"/>
  <c r="F129" i="35"/>
  <c r="A134" i="55" s="1"/>
  <c r="F1075" i="35"/>
  <c r="A1080" i="55" s="1"/>
  <c r="E543" i="35"/>
  <c r="C547" i="35"/>
  <c r="B552" i="55" s="1"/>
  <c r="V125" i="35"/>
  <c r="V1052" i="35"/>
  <c r="V422" i="35"/>
  <c r="V492" i="35"/>
  <c r="E37" i="35"/>
  <c r="F140" i="41" s="1"/>
  <c r="V108" i="35"/>
  <c r="E1048" i="35"/>
  <c r="C267" i="41" s="1"/>
  <c r="E939" i="35"/>
  <c r="V1047" i="35"/>
  <c r="F398" i="35"/>
  <c r="A403" i="55" s="1"/>
  <c r="E418" i="35"/>
  <c r="C32" i="35"/>
  <c r="B37" i="55" s="1"/>
  <c r="V1033" i="35"/>
  <c r="E72" i="35"/>
  <c r="W72" i="35" s="1"/>
  <c r="X72" i="35" s="1"/>
  <c r="C384" i="35"/>
  <c r="G384" i="35" s="1"/>
  <c r="E92" i="35"/>
  <c r="N92" i="35" s="1"/>
  <c r="C47" i="35"/>
  <c r="G47" i="35" s="1"/>
  <c r="C385" i="35"/>
  <c r="G385" i="35" s="1"/>
  <c r="F1070" i="35"/>
  <c r="A1075" i="55" s="1"/>
  <c r="F392" i="35"/>
  <c r="A397" i="55" s="1"/>
  <c r="E579" i="35"/>
  <c r="F133" i="35"/>
  <c r="A138" i="55" s="1"/>
  <c r="C222" i="35"/>
  <c r="B227" i="55" s="1"/>
  <c r="C104" i="35"/>
  <c r="C489" i="35"/>
  <c r="B494" i="55" s="1"/>
  <c r="E49" i="35"/>
  <c r="W49" i="35" s="1"/>
  <c r="E416" i="35"/>
  <c r="L416" i="35" s="1"/>
  <c r="F384" i="35"/>
  <c r="A389" i="55" s="1"/>
  <c r="C1031" i="35"/>
  <c r="B1036" i="55" s="1"/>
  <c r="F420" i="35"/>
  <c r="A425" i="55" s="1"/>
  <c r="V575" i="35"/>
  <c r="V881" i="35"/>
  <c r="V491" i="35"/>
  <c r="V386" i="35"/>
  <c r="F589" i="35"/>
  <c r="A594" i="55" s="1"/>
  <c r="E1041" i="35"/>
  <c r="E261" i="41" s="1"/>
  <c r="F113" i="35"/>
  <c r="A118" i="55" s="1"/>
  <c r="E407" i="35"/>
  <c r="Y407" i="35" s="1"/>
  <c r="F95" i="35"/>
  <c r="A100" i="55" s="1"/>
  <c r="V1037" i="35"/>
  <c r="F419" i="35"/>
  <c r="A424" i="55" s="1"/>
  <c r="F20" i="35"/>
  <c r="A25" i="55" s="1"/>
  <c r="F492" i="35"/>
  <c r="A497" i="55" s="1"/>
  <c r="C543" i="35"/>
  <c r="E111" i="35"/>
  <c r="O111" i="35" s="1"/>
  <c r="E1043" i="35"/>
  <c r="K1043" i="35" s="1"/>
  <c r="F475" i="35"/>
  <c r="A480" i="55" s="1"/>
  <c r="E877" i="35"/>
  <c r="F798" i="35"/>
  <c r="A803" i="55" s="1"/>
  <c r="E802" i="35"/>
  <c r="P802" i="35" s="1"/>
  <c r="F51" i="35"/>
  <c r="A56" i="55" s="1"/>
  <c r="E19" i="35"/>
  <c r="C490" i="35"/>
  <c r="M1056" i="35"/>
  <c r="C1037" i="35"/>
  <c r="G1037" i="35" s="1"/>
  <c r="F6" i="35"/>
  <c r="A11" i="55" s="1"/>
  <c r="E1065" i="35"/>
  <c r="W1065" i="35" s="1"/>
  <c r="C394" i="35"/>
  <c r="G394" i="35" s="1"/>
  <c r="E56" i="35"/>
  <c r="K56" i="35" s="1"/>
  <c r="F573" i="35"/>
  <c r="A578" i="55" s="1"/>
  <c r="V9" i="35"/>
  <c r="C1036" i="35"/>
  <c r="G1036" i="35" s="1"/>
  <c r="E493" i="35"/>
  <c r="O493" i="35" s="1"/>
  <c r="F588" i="35"/>
  <c r="A593" i="55" s="1"/>
  <c r="C389" i="35"/>
  <c r="G389" i="35" s="1"/>
  <c r="V1031" i="35"/>
  <c r="E398" i="35"/>
  <c r="V66" i="35"/>
  <c r="E1074" i="35"/>
  <c r="V83" i="35"/>
  <c r="E401" i="35"/>
  <c r="W401" i="35" s="1"/>
  <c r="F797" i="35"/>
  <c r="A802" i="55" s="1"/>
  <c r="C411" i="35"/>
  <c r="G411" i="35" s="1"/>
  <c r="C131" i="35"/>
  <c r="C33" i="35"/>
  <c r="V7" i="35"/>
  <c r="V49" i="35"/>
  <c r="F77" i="35"/>
  <c r="A82" i="55" s="1"/>
  <c r="F498" i="35"/>
  <c r="A503" i="55" s="1"/>
  <c r="E97" i="35"/>
  <c r="N97" i="35" s="1"/>
  <c r="F1035" i="35"/>
  <c r="A1040" i="55" s="1"/>
  <c r="V63" i="35"/>
  <c r="F9" i="35"/>
  <c r="A14" i="55" s="1"/>
  <c r="V48" i="35"/>
  <c r="V121" i="35"/>
  <c r="C1084" i="35"/>
  <c r="B1089" i="55" s="1"/>
  <c r="F72" i="35"/>
  <c r="A77" i="55" s="1"/>
  <c r="C1051" i="35"/>
  <c r="F391" i="35"/>
  <c r="A396" i="55" s="1"/>
  <c r="F29" i="35"/>
  <c r="A34" i="55" s="1"/>
  <c r="F18" i="35"/>
  <c r="A23" i="55" s="1"/>
  <c r="C369" i="35"/>
  <c r="B374" i="55" s="1"/>
  <c r="F791" i="35"/>
  <c r="A796" i="55" s="1"/>
  <c r="F112" i="35"/>
  <c r="A117" i="55" s="1"/>
  <c r="C1044" i="35"/>
  <c r="E931" i="35"/>
  <c r="F1084" i="35"/>
  <c r="A1089" i="55" s="1"/>
  <c r="F111" i="35"/>
  <c r="A116" i="55" s="1"/>
  <c r="C133" i="35"/>
  <c r="F393" i="35"/>
  <c r="A398" i="55" s="1"/>
  <c r="C332" i="35"/>
  <c r="B337" i="55" s="1"/>
  <c r="C8" i="35"/>
  <c r="G8" i="35" s="1"/>
  <c r="V1073" i="35"/>
  <c r="E474" i="35"/>
  <c r="S474" i="35" s="1"/>
  <c r="C101" i="35"/>
  <c r="G101" i="35" s="1"/>
  <c r="E110" i="35"/>
  <c r="Y110" i="35" s="1"/>
  <c r="E1045" i="35"/>
  <c r="C264" i="41" s="1"/>
  <c r="F792" i="35"/>
  <c r="A797" i="55" s="1"/>
  <c r="E32" i="35"/>
  <c r="N32" i="35" s="1"/>
  <c r="E495" i="35"/>
  <c r="W495" i="35" s="1"/>
  <c r="E410" i="35"/>
  <c r="F130" i="35"/>
  <c r="A135" i="55" s="1"/>
  <c r="C399" i="35"/>
  <c r="B404" i="55" s="1"/>
  <c r="V1056" i="35"/>
  <c r="V942" i="35"/>
  <c r="E391" i="35"/>
  <c r="N391" i="35" s="1"/>
  <c r="V1080" i="35"/>
  <c r="F1039" i="35"/>
  <c r="A1044" i="55" s="1"/>
  <c r="V51" i="35"/>
  <c r="C1045" i="35"/>
  <c r="V395" i="35"/>
  <c r="F40" i="35"/>
  <c r="A45" i="55" s="1"/>
  <c r="V551" i="35"/>
  <c r="C1061" i="35"/>
  <c r="B1066" i="55" s="1"/>
  <c r="F14" i="35"/>
  <c r="A19" i="55" s="1"/>
  <c r="E71" i="35"/>
  <c r="B160" i="41" s="1"/>
  <c r="C541" i="35"/>
  <c r="E75" i="35"/>
  <c r="E1086" i="35"/>
  <c r="L1086" i="35" s="1"/>
  <c r="E9" i="35"/>
  <c r="E1002" i="41" s="1"/>
  <c r="C92" i="35"/>
  <c r="G92" i="35" s="1"/>
  <c r="K1053" i="35"/>
  <c r="E31" i="35"/>
  <c r="H83" i="41" s="1"/>
  <c r="F405" i="35"/>
  <c r="A410" i="55" s="1"/>
  <c r="F883" i="35"/>
  <c r="A888" i="55" s="1"/>
  <c r="V931" i="35"/>
  <c r="F542" i="35"/>
  <c r="A547" i="55" s="1"/>
  <c r="F385" i="35"/>
  <c r="A390" i="55" s="1"/>
  <c r="C44" i="35"/>
  <c r="C6" i="35"/>
  <c r="C1083" i="35"/>
  <c r="E8" i="35"/>
  <c r="V91" i="35"/>
  <c r="F131" i="35"/>
  <c r="A136" i="55" s="1"/>
  <c r="F944" i="35"/>
  <c r="A949" i="55" s="1"/>
  <c r="E940" i="35"/>
  <c r="W940" i="35" s="1"/>
  <c r="V383" i="35"/>
  <c r="E17" i="35"/>
  <c r="L17" i="35" s="1"/>
  <c r="C117" i="35"/>
  <c r="G117" i="35" s="1"/>
  <c r="V62" i="35"/>
  <c r="C98" i="35"/>
  <c r="V1086" i="35"/>
  <c r="V798" i="35"/>
  <c r="C66" i="35"/>
  <c r="B71" i="55" s="1"/>
  <c r="E874" i="35"/>
  <c r="F924" i="35"/>
  <c r="A929" i="55" s="1"/>
  <c r="V403" i="35"/>
  <c r="V1072" i="35"/>
  <c r="C1085" i="35"/>
  <c r="E3" i="35"/>
  <c r="Y3" i="35" s="1"/>
  <c r="V6" i="35"/>
  <c r="V476" i="35"/>
  <c r="V926" i="35"/>
  <c r="F938" i="35"/>
  <c r="A943" i="55" s="1"/>
  <c r="F541" i="35"/>
  <c r="A546" i="55" s="1"/>
  <c r="E131" i="35"/>
  <c r="F369" i="35"/>
  <c r="A374" i="55" s="1"/>
  <c r="C87" i="35"/>
  <c r="G87" i="35" s="1"/>
  <c r="F13" i="35"/>
  <c r="A18" i="55" s="1"/>
  <c r="V1066" i="35"/>
  <c r="V68" i="35"/>
  <c r="C64" i="35"/>
  <c r="G64" i="35" s="1"/>
  <c r="E222" i="35"/>
  <c r="M222" i="35" s="1"/>
  <c r="V414" i="35"/>
  <c r="C102" i="35"/>
  <c r="G102" i="35" s="1"/>
  <c r="C30" i="35"/>
  <c r="E404" i="35"/>
  <c r="C581" i="35"/>
  <c r="B586" i="55" s="1"/>
  <c r="C13" i="35"/>
  <c r="C108" i="35"/>
  <c r="G108" i="35" s="1"/>
  <c r="V89" i="35"/>
  <c r="C1039" i="35"/>
  <c r="G1039" i="35" s="1"/>
  <c r="C1076" i="35"/>
  <c r="C123" i="35"/>
  <c r="F101" i="35"/>
  <c r="A106" i="55" s="1"/>
  <c r="C126" i="35"/>
  <c r="F42" i="35"/>
  <c r="A47" i="55" s="1"/>
  <c r="V573" i="35"/>
  <c r="E883" i="35"/>
  <c r="L883" i="35" s="1"/>
  <c r="E65" i="35"/>
  <c r="M65" i="35" s="1"/>
  <c r="F794" i="35"/>
  <c r="A799" i="55" s="1"/>
  <c r="E794" i="35"/>
  <c r="K794" i="35" s="1"/>
  <c r="F10" i="35"/>
  <c r="A15" i="55" s="1"/>
  <c r="C393" i="35"/>
  <c r="B398" i="55" s="1"/>
  <c r="V3" i="35"/>
  <c r="E1032" i="35"/>
  <c r="E244" i="41" s="1"/>
  <c r="C542" i="35"/>
  <c r="B547" i="55" s="1"/>
  <c r="E96" i="35"/>
  <c r="O96" i="35" s="1"/>
  <c r="V332" i="35"/>
  <c r="F800" i="35"/>
  <c r="A805" i="55" s="1"/>
  <c r="V1069" i="35"/>
  <c r="V1084" i="35"/>
  <c r="C1033" i="35"/>
  <c r="G1033" i="35" s="1"/>
  <c r="C880" i="35"/>
  <c r="C421" i="35"/>
  <c r="J469" i="35" s="1" a="1"/>
  <c r="J469" i="35" s="1"/>
  <c r="D469" i="35" s="1"/>
  <c r="C90" i="35"/>
  <c r="V398" i="35"/>
  <c r="C20" i="35"/>
  <c r="F1036" i="35"/>
  <c r="A1041" i="55" s="1"/>
  <c r="F803" i="35"/>
  <c r="A808" i="55" s="1"/>
  <c r="F389" i="35"/>
  <c r="A394" i="55" s="1"/>
  <c r="C545" i="35"/>
  <c r="B550" i="55" s="1"/>
  <c r="C790" i="35"/>
  <c r="B795" i="55" s="1"/>
  <c r="V87" i="35"/>
  <c r="C1078" i="35"/>
  <c r="B1083" i="55" s="1"/>
  <c r="E926" i="35"/>
  <c r="N926" i="35" s="1"/>
  <c r="C1065" i="35"/>
  <c r="G1065" i="35" s="1"/>
  <c r="E1067" i="35"/>
  <c r="L1067" i="35" s="1"/>
  <c r="E33" i="35"/>
  <c r="N33" i="35" s="1"/>
  <c r="C81" i="35"/>
  <c r="B86" i="55" s="1"/>
  <c r="F940" i="35"/>
  <c r="A945" i="55" s="1"/>
  <c r="E46" i="35"/>
  <c r="C76" i="35"/>
  <c r="V82" i="35"/>
  <c r="C548" i="35"/>
  <c r="G548" i="35" s="1"/>
  <c r="V369" i="35"/>
  <c r="C1043" i="35"/>
  <c r="G1043" i="35" s="1"/>
  <c r="V933" i="35"/>
  <c r="F581" i="35"/>
  <c r="A586" i="55" s="1"/>
  <c r="E789" i="35"/>
  <c r="F108" i="35"/>
  <c r="A113" i="55" s="1"/>
  <c r="C583" i="35"/>
  <c r="L1050" i="35"/>
  <c r="E544" i="35"/>
  <c r="N544" i="35" s="1"/>
  <c r="E94" i="35"/>
  <c r="Y94" i="35" s="1"/>
  <c r="C474" i="35"/>
  <c r="J635" i="35" s="1" a="1"/>
  <c r="J635" i="35" s="1"/>
  <c r="D635" i="35" s="1"/>
  <c r="V10" i="35"/>
  <c r="C799" i="35"/>
  <c r="G799" i="35" s="1"/>
  <c r="V33" i="35"/>
  <c r="V878" i="35"/>
  <c r="F70" i="35"/>
  <c r="A75" i="55" s="1"/>
  <c r="V545" i="35"/>
  <c r="C31" i="35"/>
  <c r="B36" i="55" s="1"/>
  <c r="E74" i="35"/>
  <c r="C163" i="41" s="1"/>
  <c r="F87" i="35"/>
  <c r="A92" i="55" s="1"/>
  <c r="F38" i="35"/>
  <c r="A43" i="55" s="1"/>
  <c r="C1060" i="35"/>
  <c r="G1060" i="35" s="1"/>
  <c r="F1062" i="35"/>
  <c r="A1067" i="55" s="1"/>
  <c r="V53" i="35"/>
  <c r="V1055" i="35"/>
  <c r="E1052" i="35"/>
  <c r="C386" i="35"/>
  <c r="V99" i="35"/>
  <c r="E1078" i="35"/>
  <c r="E1061" i="35"/>
  <c r="Y1061" i="35" s="1"/>
  <c r="C1081" i="35"/>
  <c r="B1086" i="55" s="1"/>
  <c r="E399" i="35"/>
  <c r="W399" i="35" s="1"/>
  <c r="C52" i="35"/>
  <c r="G52" i="35" s="1"/>
  <c r="F1059" i="35"/>
  <c r="A1064" i="55" s="1"/>
  <c r="C1069" i="35"/>
  <c r="G1069" i="35" s="1"/>
  <c r="E793" i="35"/>
  <c r="F147" i="35"/>
  <c r="A152" i="55" s="1"/>
  <c r="V97" i="35"/>
  <c r="C114" i="35"/>
  <c r="G114" i="35" s="1"/>
  <c r="E1046" i="35"/>
  <c r="W1046" i="35" s="1"/>
  <c r="X1046" i="35" s="1"/>
  <c r="C939" i="35"/>
  <c r="B944" i="55" s="1"/>
  <c r="F1046" i="35"/>
  <c r="A1051" i="55" s="1"/>
  <c r="E113" i="35"/>
  <c r="M113" i="35" s="1"/>
  <c r="C197" i="35"/>
  <c r="B202" i="55" s="1"/>
  <c r="C802" i="35"/>
  <c r="C1063" i="35"/>
  <c r="C875" i="35"/>
  <c r="C931" i="35"/>
  <c r="B936" i="55" s="1"/>
  <c r="C798" i="35"/>
  <c r="E1051" i="35"/>
  <c r="F586" i="35"/>
  <c r="A591" i="55" s="1"/>
  <c r="V1039" i="35"/>
  <c r="F489" i="35"/>
  <c r="A494" i="55" s="1"/>
  <c r="F103" i="35"/>
  <c r="A108" i="55" s="1"/>
  <c r="V75" i="35"/>
  <c r="C1066" i="35"/>
  <c r="B1071" i="55" s="1"/>
  <c r="F1049" i="35"/>
  <c r="A1054" i="55" s="1"/>
  <c r="F50" i="35"/>
  <c r="A55" i="55" s="1"/>
  <c r="C62" i="35"/>
  <c r="B67" i="55" s="1"/>
  <c r="E130" i="35"/>
  <c r="Y130" i="35" s="1"/>
  <c r="F937" i="35"/>
  <c r="A942" i="55" s="1"/>
  <c r="V389" i="35"/>
  <c r="E55" i="35"/>
  <c r="C883" i="35"/>
  <c r="G883" i="35" s="1"/>
  <c r="F12" i="35"/>
  <c r="A17" i="55" s="1"/>
  <c r="V412" i="35"/>
  <c r="M1044" i="35"/>
  <c r="C585" i="35"/>
  <c r="E1084" i="35"/>
  <c r="C105" i="35"/>
  <c r="C89" i="35"/>
  <c r="F941" i="35"/>
  <c r="A946" i="55" s="1"/>
  <c r="V1034" i="35"/>
  <c r="F92" i="35"/>
  <c r="A97" i="55" s="1"/>
  <c r="C93" i="35"/>
  <c r="B98" i="55" s="1"/>
  <c r="V1045" i="35"/>
  <c r="E1082" i="35"/>
  <c r="Y1082" i="35" s="1"/>
  <c r="V799" i="35"/>
  <c r="C934" i="35"/>
  <c r="B939" i="55" s="1"/>
  <c r="V74" i="35"/>
  <c r="C576" i="35"/>
  <c r="G576" i="35" s="1"/>
  <c r="V123" i="35"/>
  <c r="F123" i="35"/>
  <c r="A128" i="55" s="1"/>
  <c r="F1033" i="35"/>
  <c r="A1038" i="55" s="1"/>
  <c r="L1051" i="35"/>
  <c r="V31" i="35"/>
  <c r="F1079" i="35"/>
  <c r="A1084" i="55" s="1"/>
  <c r="V1048" i="35"/>
  <c r="C1072" i="35"/>
  <c r="B1077" i="55" s="1"/>
  <c r="C29" i="35"/>
  <c r="C575" i="35"/>
  <c r="C391" i="35"/>
  <c r="E30" i="35"/>
  <c r="E1031" i="35"/>
  <c r="V8" i="35"/>
  <c r="E47" i="35"/>
  <c r="L47" i="35" s="1"/>
  <c r="F132" i="35"/>
  <c r="A137" i="55" s="1"/>
  <c r="E580" i="35"/>
  <c r="N580" i="35" s="1"/>
  <c r="C417" i="35"/>
  <c r="B422" i="55" s="1"/>
  <c r="V104" i="35"/>
  <c r="F476" i="35"/>
  <c r="A481" i="55" s="1"/>
  <c r="C12" i="35"/>
  <c r="G12" i="35" s="1"/>
  <c r="V81" i="35"/>
  <c r="M1047" i="35"/>
  <c r="V935" i="35"/>
  <c r="V789" i="35"/>
  <c r="V118" i="35"/>
  <c r="V883" i="35"/>
  <c r="V84" i="35"/>
  <c r="V1029" i="35"/>
  <c r="K1048" i="35"/>
  <c r="V577" i="35"/>
  <c r="E108" i="35"/>
  <c r="K1051" i="35"/>
  <c r="E41" i="35"/>
  <c r="C112" i="35"/>
  <c r="C88" i="35"/>
  <c r="G88" i="35" s="1"/>
  <c r="E1055" i="35"/>
  <c r="C274" i="41" s="1"/>
  <c r="F1048" i="35"/>
  <c r="A1053" i="55" s="1"/>
  <c r="F547" i="35"/>
  <c r="A552" i="55" s="1"/>
  <c r="C37" i="35"/>
  <c r="B42" i="55" s="1"/>
  <c r="V390" i="35"/>
  <c r="F1060" i="35"/>
  <c r="A1065" i="55" s="1"/>
  <c r="C410" i="35"/>
  <c r="G410" i="35" s="1"/>
  <c r="C124" i="35"/>
  <c r="B129" i="55" s="1"/>
  <c r="E58" i="35"/>
  <c r="F576" i="35"/>
  <c r="A581" i="55" s="1"/>
  <c r="F409" i="35"/>
  <c r="A414" i="55" s="1"/>
  <c r="E1050" i="35"/>
  <c r="Y1050" i="35" s="1"/>
  <c r="E1036" i="35"/>
  <c r="O1036" i="35" s="1"/>
  <c r="F1071" i="35"/>
  <c r="A1076" i="55" s="1"/>
  <c r="E548" i="35"/>
  <c r="C511" i="41" s="1"/>
  <c r="F88" i="35"/>
  <c r="A93" i="55" s="1"/>
  <c r="E880" i="35"/>
  <c r="F497" i="35"/>
  <c r="A502" i="55" s="1"/>
  <c r="C125" i="35"/>
  <c r="G125" i="35" s="1"/>
  <c r="F544" i="35"/>
  <c r="A549" i="55" s="1"/>
  <c r="F11" i="35"/>
  <c r="A16" i="55" s="1"/>
  <c r="C544" i="35"/>
  <c r="V70" i="35"/>
  <c r="F414" i="35"/>
  <c r="A419" i="55" s="1"/>
  <c r="F67" i="35"/>
  <c r="A72" i="55" s="1"/>
  <c r="E943" i="35"/>
  <c r="Y943" i="35" s="1"/>
  <c r="V939" i="35"/>
  <c r="V1051" i="35"/>
  <c r="C789" i="35"/>
  <c r="B794" i="55" s="1"/>
  <c r="C924" i="35"/>
  <c r="G924" i="35" s="1"/>
  <c r="V1078" i="35"/>
  <c r="V409" i="35"/>
  <c r="L1047" i="35"/>
  <c r="V69" i="35"/>
  <c r="F400" i="35"/>
  <c r="A405" i="55" s="1"/>
  <c r="C388" i="35"/>
  <c r="G388" i="35" s="1"/>
  <c r="E549" i="35"/>
  <c r="P549" i="35" s="1"/>
  <c r="V549" i="35"/>
  <c r="F1073" i="35"/>
  <c r="A1078" i="55" s="1"/>
  <c r="V29" i="35"/>
  <c r="V474" i="35"/>
  <c r="C63" i="35"/>
  <c r="E386" i="35"/>
  <c r="C927" i="35"/>
  <c r="F69" i="35"/>
  <c r="A74" i="55" s="1"/>
  <c r="E422" i="35"/>
  <c r="B417" i="41" s="1"/>
  <c r="E100" i="35"/>
  <c r="Y100" i="35" s="1"/>
  <c r="C17" i="35"/>
  <c r="G17" i="35" s="1"/>
  <c r="F1058" i="35"/>
  <c r="A1063" i="55" s="1"/>
  <c r="C127" i="35"/>
  <c r="G127" i="35" s="1"/>
  <c r="E98" i="35"/>
  <c r="K98" i="35" s="1"/>
  <c r="C1040" i="35"/>
  <c r="G1040" i="35" s="1"/>
  <c r="F39" i="35"/>
  <c r="A44" i="55" s="1"/>
  <c r="V576" i="35"/>
  <c r="C925" i="35"/>
  <c r="F82" i="35"/>
  <c r="A87" i="55" s="1"/>
  <c r="E116" i="35"/>
  <c r="K116" i="35" s="1"/>
  <c r="V1083" i="35"/>
  <c r="E1058" i="35"/>
  <c r="B282" i="41" s="1"/>
  <c r="V585" i="35"/>
  <c r="C397" i="35"/>
  <c r="C74" i="35"/>
  <c r="C120" i="35"/>
  <c r="E1085" i="35"/>
  <c r="E539" i="35"/>
  <c r="C932" i="35"/>
  <c r="V497" i="35"/>
  <c r="C420" i="35"/>
  <c r="B425" i="55" s="1"/>
  <c r="V801" i="35"/>
  <c r="E928" i="35"/>
  <c r="C1807" i="41" s="1"/>
  <c r="F80" i="35"/>
  <c r="A85" i="55" s="1"/>
  <c r="E101" i="35"/>
  <c r="K101" i="35" s="1"/>
  <c r="E797" i="35"/>
  <c r="Y797" i="35" s="1"/>
  <c r="C79" i="35"/>
  <c r="B84" i="55" s="1"/>
  <c r="E1083" i="35"/>
  <c r="L1083" i="35" s="1"/>
  <c r="K1054" i="35"/>
  <c r="C147" i="35"/>
  <c r="G147" i="35" s="1"/>
  <c r="F874" i="35"/>
  <c r="A879" i="55" s="1"/>
  <c r="C103" i="35"/>
  <c r="G103" i="35" s="1"/>
  <c r="V57" i="35"/>
  <c r="E792" i="35"/>
  <c r="C1479" i="41" s="1"/>
  <c r="E388" i="35"/>
  <c r="N388" i="35" s="1"/>
  <c r="F477" i="35"/>
  <c r="A482" i="55" s="1"/>
  <c r="F927" i="35"/>
  <c r="A932" i="55" s="1"/>
  <c r="V2" i="35"/>
  <c r="E878" i="35"/>
  <c r="F84" i="35"/>
  <c r="A89" i="55" s="1"/>
  <c r="F55" i="35"/>
  <c r="A60" i="55" s="1"/>
  <c r="V1058" i="35"/>
  <c r="E393" i="35"/>
  <c r="W393" i="35" s="1"/>
  <c r="C413" i="35"/>
  <c r="B418" i="55" s="1"/>
  <c r="V540" i="35"/>
  <c r="F493" i="35"/>
  <c r="A498" i="55" s="1"/>
  <c r="E934" i="35"/>
  <c r="M934" i="35" s="1"/>
  <c r="F110" i="35"/>
  <c r="A115" i="55" s="1"/>
  <c r="C422" i="35"/>
  <c r="F383" i="35"/>
  <c r="A388" i="55" s="1"/>
  <c r="E1047" i="35"/>
  <c r="C1038" i="35"/>
  <c r="G1038" i="35" s="1"/>
  <c r="V61" i="35"/>
  <c r="E406" i="35"/>
  <c r="E798" i="35"/>
  <c r="Y798" i="35" s="1"/>
  <c r="C801" i="35"/>
  <c r="B806" i="55" s="1"/>
  <c r="V587" i="35"/>
  <c r="E1053" i="35"/>
  <c r="V1038" i="35"/>
  <c r="F90" i="35"/>
  <c r="A95" i="55" s="1"/>
  <c r="C80" i="35"/>
  <c r="G80" i="35" s="1"/>
  <c r="F397" i="35"/>
  <c r="A402" i="55" s="1"/>
  <c r="E402" i="35"/>
  <c r="W402" i="35" s="1"/>
  <c r="F124" i="35"/>
  <c r="A129" i="55" s="1"/>
  <c r="C572" i="35"/>
  <c r="G572" i="35" s="1"/>
  <c r="F197" i="35"/>
  <c r="A202" i="55" s="1"/>
  <c r="F1081" i="35"/>
  <c r="A1086" i="55" s="1"/>
  <c r="V473" i="35"/>
  <c r="E1076" i="35"/>
  <c r="E340" i="41" s="1"/>
  <c r="V541" i="35"/>
  <c r="V1030" i="35"/>
  <c r="V1036" i="35"/>
  <c r="F96" i="35"/>
  <c r="A101" i="55" s="1"/>
  <c r="F473" i="35"/>
  <c r="A478" i="55" s="1"/>
  <c r="E929" i="35"/>
  <c r="K929" i="35" s="1"/>
  <c r="C19" i="35"/>
  <c r="B24" i="55" s="1"/>
  <c r="K1044" i="35"/>
  <c r="F401" i="35"/>
  <c r="A406" i="55" s="1"/>
  <c r="V52" i="35"/>
  <c r="E125" i="35"/>
  <c r="F1063" i="35"/>
  <c r="A1068" i="55" s="1"/>
  <c r="E69" i="35"/>
  <c r="M69" i="35" s="1"/>
  <c r="L1048" i="35"/>
  <c r="C400" i="35"/>
  <c r="B405" i="55" s="1"/>
  <c r="F75" i="35"/>
  <c r="A80" i="55" s="1"/>
  <c r="F1080" i="35"/>
  <c r="A1085" i="55" s="1"/>
  <c r="V929" i="35"/>
  <c r="V1060" i="35"/>
  <c r="F102" i="35"/>
  <c r="A107" i="55" s="1"/>
  <c r="F8" i="35"/>
  <c r="A13" i="55" s="1"/>
  <c r="V14" i="35"/>
  <c r="C132" i="35"/>
  <c r="B137" i="55" s="1"/>
  <c r="L1044" i="35"/>
  <c r="E491" i="35"/>
  <c r="O491" i="35" s="1"/>
  <c r="E68" i="35"/>
  <c r="Y68" i="35" s="1"/>
  <c r="F109" i="35"/>
  <c r="A114" i="55" s="1"/>
  <c r="E18" i="35"/>
  <c r="C105" i="41" s="1"/>
  <c r="C943" i="35"/>
  <c r="G943" i="35" s="1"/>
  <c r="V1085" i="35"/>
  <c r="V552" i="35"/>
  <c r="C1080" i="35"/>
  <c r="G1080" i="35" s="1"/>
  <c r="F540" i="35"/>
  <c r="A545" i="55" s="1"/>
  <c r="E397" i="35"/>
  <c r="F417" i="35"/>
  <c r="A422" i="55" s="1"/>
  <c r="E147" i="35"/>
  <c r="V113" i="35"/>
  <c r="E129" i="35"/>
  <c r="K129" i="35" s="1"/>
  <c r="L1054" i="35"/>
  <c r="V43" i="35"/>
  <c r="V46" i="35"/>
  <c r="L1053" i="35"/>
  <c r="E122" i="35"/>
  <c r="L122" i="35" s="1"/>
  <c r="E1079" i="35"/>
  <c r="W1079" i="35" s="1"/>
  <c r="F1057" i="35"/>
  <c r="A1062" i="55" s="1"/>
  <c r="F551" i="35"/>
  <c r="A556" i="55" s="1"/>
  <c r="V1077" i="35"/>
  <c r="V119" i="35"/>
  <c r="C1042" i="35"/>
  <c r="B1047" i="55" s="1"/>
  <c r="V1041" i="35"/>
  <c r="E59" i="35"/>
  <c r="C19" i="41" s="1"/>
  <c r="E788" i="35"/>
  <c r="K788" i="35" s="1"/>
  <c r="E475" i="35"/>
  <c r="N475" i="35" s="1"/>
  <c r="F2" i="35"/>
  <c r="A7" i="55" s="1"/>
  <c r="F579" i="35"/>
  <c r="A584" i="55" s="1"/>
  <c r="C928" i="35"/>
  <c r="C550" i="35"/>
  <c r="C83" i="35"/>
  <c r="C791" i="35"/>
  <c r="F574" i="35"/>
  <c r="A579" i="55" s="1"/>
  <c r="C580" i="35"/>
  <c r="G580" i="35" s="1"/>
  <c r="V17" i="35"/>
  <c r="V60" i="35"/>
  <c r="V56" i="35"/>
  <c r="V1043" i="35"/>
  <c r="E1062" i="35"/>
  <c r="C1070" i="35"/>
  <c r="B1075" i="55" s="1"/>
  <c r="V41" i="35"/>
  <c r="E409" i="35"/>
  <c r="W409" i="35" s="1"/>
  <c r="E879" i="35"/>
  <c r="K1050" i="35"/>
  <c r="F928" i="35"/>
  <c r="A933" i="55" s="1"/>
  <c r="V1081" i="35"/>
  <c r="E42" i="35"/>
  <c r="K42" i="35" s="1"/>
  <c r="F931" i="35"/>
  <c r="A936" i="55" s="1"/>
  <c r="E84" i="35"/>
  <c r="W84" i="35" s="1"/>
  <c r="C940" i="35"/>
  <c r="G940" i="35" s="1"/>
  <c r="E1029" i="35"/>
  <c r="F264" i="35"/>
  <c r="A269" i="55" s="1"/>
  <c r="E1060" i="35"/>
  <c r="C39" i="35"/>
  <c r="F399" i="35"/>
  <c r="A404" i="55" s="1"/>
  <c r="C1086" i="35"/>
  <c r="G1086" i="35" s="1"/>
  <c r="E394" i="35"/>
  <c r="N394" i="35" s="1"/>
  <c r="V38" i="35"/>
  <c r="E197" i="35"/>
  <c r="K197" i="35" s="1"/>
  <c r="V109" i="35"/>
  <c r="E91" i="35"/>
  <c r="K91" i="35" s="1"/>
  <c r="C800" i="35"/>
  <c r="G800" i="35" s="1"/>
  <c r="F790" i="35"/>
  <c r="A795" i="55" s="1"/>
  <c r="E415" i="35"/>
  <c r="N415" i="35" s="1"/>
  <c r="C494" i="35"/>
  <c r="G494" i="35" s="1"/>
  <c r="F550" i="35"/>
  <c r="A555" i="55" s="1"/>
  <c r="E89" i="35"/>
  <c r="P89" i="35" s="1"/>
  <c r="F421" i="35"/>
  <c r="A426" i="55" s="1"/>
  <c r="V477" i="35"/>
  <c r="C1053" i="35"/>
  <c r="E417" i="35"/>
  <c r="N417" i="35" s="1"/>
  <c r="E133" i="35"/>
  <c r="W133" i="35" s="1"/>
  <c r="E541" i="35"/>
  <c r="F59" i="35"/>
  <c r="A64" i="55" s="1"/>
  <c r="U154" i="35"/>
  <c r="U707" i="35"/>
  <c r="U298" i="35"/>
  <c r="E36" i="41"/>
  <c r="U347" i="35"/>
  <c r="U665" i="35"/>
  <c r="U172" i="35"/>
  <c r="U258" i="35"/>
  <c r="U294" i="35"/>
  <c r="J479" i="35" a="1"/>
  <c r="J479" i="35" s="1"/>
  <c r="D479" i="35" s="1"/>
  <c r="C484" i="55" s="1"/>
  <c r="D484" i="55" s="1"/>
  <c r="J34" i="35" a="1"/>
  <c r="J34" i="35" s="1"/>
  <c r="D34" i="35" s="1"/>
  <c r="D39" i="2" s="1"/>
  <c r="U196" i="35"/>
  <c r="U285" i="35"/>
  <c r="U141" i="35"/>
  <c r="U149" i="35"/>
  <c r="U346" i="35"/>
  <c r="U320" i="35"/>
  <c r="U620" i="35"/>
  <c r="U276" i="35"/>
  <c r="U618" i="35"/>
  <c r="G54" i="41"/>
  <c r="U605" i="35"/>
  <c r="U169" i="35"/>
  <c r="U753" i="35"/>
  <c r="U683" i="35"/>
  <c r="J342" i="35" a="1"/>
  <c r="J342" i="35" s="1"/>
  <c r="D342" i="35" s="1"/>
  <c r="C347" i="55" s="1"/>
  <c r="D347" i="55" s="1"/>
  <c r="U348" i="35"/>
  <c r="U478" i="35"/>
  <c r="J189" i="35" a="1"/>
  <c r="J189" i="35" s="1"/>
  <c r="D189" i="35" s="1"/>
  <c r="C194" i="55" s="1"/>
  <c r="D194" i="55" s="1"/>
  <c r="U727" i="35"/>
  <c r="U28" i="35"/>
  <c r="J4" i="35" a="1"/>
  <c r="J4" i="35" s="1"/>
  <c r="D4" i="35" s="1"/>
  <c r="D16" i="31" s="1"/>
  <c r="U250" i="35"/>
  <c r="U144" i="35"/>
  <c r="U160" i="35"/>
  <c r="J172" i="35" a="1"/>
  <c r="J172" i="35" s="1"/>
  <c r="D172" i="35" s="1"/>
  <c r="C177" i="55" s="1"/>
  <c r="D177" i="55" s="1"/>
  <c r="U324" i="35"/>
  <c r="J160" i="35" a="1"/>
  <c r="J160" i="35" s="1"/>
  <c r="D160" i="35" s="1"/>
  <c r="C165" i="55" s="1"/>
  <c r="D165" i="55" s="1"/>
  <c r="U336" i="35"/>
  <c r="J22" i="35" a="1"/>
  <c r="J22" i="35" s="1"/>
  <c r="D22" i="35" s="1"/>
  <c r="C27" i="55" s="1"/>
  <c r="D27" i="55" s="1"/>
  <c r="J23" i="35" a="1"/>
  <c r="J23" i="35" s="1"/>
  <c r="D23" i="35" s="1"/>
  <c r="C28" i="55" s="1"/>
  <c r="D28" i="55" s="1"/>
  <c r="H56" i="41"/>
  <c r="U612" i="35"/>
  <c r="U624" i="35"/>
  <c r="H58" i="41"/>
  <c r="U741" i="35"/>
  <c r="J309" i="35" a="1"/>
  <c r="J309" i="35" s="1"/>
  <c r="D309" i="35" s="1"/>
  <c r="C314" i="55" s="1"/>
  <c r="D314" i="55" s="1"/>
  <c r="J35" i="35" a="1"/>
  <c r="J35" i="35" s="1"/>
  <c r="D35" i="35" s="1"/>
  <c r="C40" i="55" s="1"/>
  <c r="D40" i="55" s="1"/>
  <c r="J379" i="35" a="1"/>
  <c r="J379" i="35" s="1"/>
  <c r="D379" i="35" s="1"/>
  <c r="C384" i="55" s="1"/>
  <c r="D384" i="55" s="1"/>
  <c r="J302" i="35" a="1"/>
  <c r="J302" i="35" s="1"/>
  <c r="D302" i="35" s="1"/>
  <c r="C307" i="55" s="1"/>
  <c r="D307" i="55" s="1"/>
  <c r="U329" i="35"/>
  <c r="J142" i="35" a="1"/>
  <c r="J142" i="35" s="1"/>
  <c r="D142" i="35" s="1"/>
  <c r="C147" i="55" s="1"/>
  <c r="D147" i="55" s="1"/>
  <c r="H539" i="41"/>
  <c r="J153" i="35" a="1"/>
  <c r="J153" i="35" s="1"/>
  <c r="D153" i="35" s="1"/>
  <c r="C158" i="55" s="1"/>
  <c r="D158" i="55" s="1"/>
  <c r="U562" i="35"/>
  <c r="E54" i="41"/>
  <c r="J247" i="35" a="1"/>
  <c r="J247" i="35" s="1"/>
  <c r="D247" i="35" s="1"/>
  <c r="C252" i="55" s="1"/>
  <c r="D252" i="55" s="1"/>
  <c r="E98" i="41"/>
  <c r="J262" i="35" a="1"/>
  <c r="J262" i="35" s="1"/>
  <c r="D262" i="35" s="1"/>
  <c r="C267" i="55" s="1"/>
  <c r="D267" i="55" s="1"/>
  <c r="U553" i="35"/>
  <c r="J315" i="35" a="1"/>
  <c r="J315" i="35" s="1"/>
  <c r="D315" i="35" s="1"/>
  <c r="C320" i="55" s="1"/>
  <c r="D320" i="55" s="1"/>
  <c r="U352" i="35"/>
  <c r="G57" i="41"/>
  <c r="J360" i="35" a="1"/>
  <c r="J360" i="35" s="1"/>
  <c r="D360" i="35" s="1"/>
  <c r="C365" i="55" s="1"/>
  <c r="D365" i="55" s="1"/>
  <c r="U668" i="35"/>
  <c r="F54" i="41"/>
  <c r="F36" i="41"/>
  <c r="J487" i="35" a="1"/>
  <c r="J487" i="35" s="1"/>
  <c r="D487" i="35" s="1"/>
  <c r="C492" i="55" s="1"/>
  <c r="D492" i="55" s="1"/>
  <c r="J300" i="35" a="1"/>
  <c r="J300" i="35" s="1"/>
  <c r="D300" i="35" s="1"/>
  <c r="C305" i="55" s="1"/>
  <c r="D305" i="55" s="1"/>
  <c r="J484" i="35" a="1"/>
  <c r="J484" i="35" s="1"/>
  <c r="D484" i="35" s="1"/>
  <c r="C489" i="55" s="1"/>
  <c r="D489" i="55" s="1"/>
  <c r="G98" i="41"/>
  <c r="F58" i="41"/>
  <c r="P18" i="30"/>
  <c r="I18" i="30" s="1"/>
  <c r="K18" i="30" s="1"/>
  <c r="U755" i="35"/>
  <c r="U316" i="35"/>
  <c r="E58" i="41"/>
  <c r="F57" i="41"/>
  <c r="U637" i="35"/>
  <c r="U334" i="35"/>
  <c r="J190" i="35" a="1"/>
  <c r="J190" i="35" s="1"/>
  <c r="D190" i="35" s="1"/>
  <c r="C195" i="55" s="1"/>
  <c r="D195" i="55" s="1"/>
  <c r="F56" i="41"/>
  <c r="G36" i="41"/>
  <c r="U239" i="35"/>
  <c r="J238" i="35" a="1"/>
  <c r="J238" i="35" s="1"/>
  <c r="D238" i="35" s="1"/>
  <c r="C243" i="55" s="1"/>
  <c r="D243" i="55" s="1"/>
  <c r="J366" i="35" a="1"/>
  <c r="J366" i="35" s="1"/>
  <c r="D366" i="35" s="1"/>
  <c r="C371" i="55" s="1"/>
  <c r="D371" i="55" s="1"/>
  <c r="J188" i="35" a="1"/>
  <c r="J188" i="35" s="1"/>
  <c r="D188" i="35" s="1"/>
  <c r="C193" i="55" s="1"/>
  <c r="D193" i="55" s="1"/>
  <c r="J136" i="35" a="1"/>
  <c r="J136" i="35" s="1"/>
  <c r="D136" i="35" s="1"/>
  <c r="C141" i="55" s="1"/>
  <c r="D141" i="55" s="1"/>
  <c r="U806" i="35"/>
  <c r="J255" i="35" a="1"/>
  <c r="J255" i="35" s="1"/>
  <c r="D255" i="35" s="1"/>
  <c r="C260" i="55" s="1"/>
  <c r="D260" i="55" s="1"/>
  <c r="U306" i="35"/>
  <c r="J348" i="35" a="1"/>
  <c r="J348" i="35" s="1"/>
  <c r="D348" i="35" s="1"/>
  <c r="C353" i="55" s="1"/>
  <c r="D353" i="55" s="1"/>
  <c r="E96" i="41"/>
  <c r="U343" i="35"/>
  <c r="F96" i="41"/>
  <c r="J244" i="35" a="1"/>
  <c r="J244" i="35" s="1"/>
  <c r="D244" i="35" s="1"/>
  <c r="C249" i="55" s="1"/>
  <c r="D249" i="55" s="1"/>
  <c r="U351" i="35"/>
  <c r="J556" i="35" a="1"/>
  <c r="J556" i="35" s="1"/>
  <c r="D556" i="35" s="1"/>
  <c r="C561" i="55" s="1"/>
  <c r="D561" i="55" s="1"/>
  <c r="J254" i="35" a="1"/>
  <c r="J254" i="35" s="1"/>
  <c r="D254" i="35" s="1"/>
  <c r="C259" i="55" s="1"/>
  <c r="D259" i="55" s="1"/>
  <c r="E56" i="41"/>
  <c r="J137" i="35" a="1"/>
  <c r="J137" i="35" s="1"/>
  <c r="D137" i="35" s="1"/>
  <c r="C142" i="55" s="1"/>
  <c r="D142" i="55" s="1"/>
  <c r="J321" i="35" a="1"/>
  <c r="J321" i="35" s="1"/>
  <c r="D321" i="35" s="1"/>
  <c r="C326" i="55" s="1"/>
  <c r="D326" i="55" s="1"/>
  <c r="J239" i="35" a="1"/>
  <c r="J239" i="35" s="1"/>
  <c r="D239" i="35" s="1"/>
  <c r="C244" i="55" s="1"/>
  <c r="D244" i="55" s="1"/>
  <c r="J272" i="35" a="1"/>
  <c r="J272" i="35" s="1"/>
  <c r="D272" i="35" s="1"/>
  <c r="C277" i="55" s="1"/>
  <c r="D277" i="55" s="1"/>
  <c r="U382" i="35"/>
  <c r="U816" i="35"/>
  <c r="J245" i="35" a="1"/>
  <c r="J245" i="35" s="1"/>
  <c r="D245" i="35" s="1"/>
  <c r="C250" i="55" s="1"/>
  <c r="D250" i="55" s="1"/>
  <c r="G96" i="41"/>
  <c r="X265" i="35"/>
  <c r="U265" i="35"/>
  <c r="U165" i="35"/>
  <c r="J380" i="35" a="1"/>
  <c r="J380" i="35" s="1"/>
  <c r="D380" i="35" s="1"/>
  <c r="X143" i="35"/>
  <c r="U143" i="35" s="1"/>
  <c r="J274" i="35" a="1"/>
  <c r="J274" i="35" s="1"/>
  <c r="D274" i="35" s="1"/>
  <c r="C279" i="55" s="1"/>
  <c r="D279" i="55" s="1"/>
  <c r="J297" i="35" a="1"/>
  <c r="J297" i="35" s="1"/>
  <c r="D297" i="35" s="1"/>
  <c r="C302" i="55" s="1"/>
  <c r="D302" i="55" s="1"/>
  <c r="X217" i="35"/>
  <c r="U217" i="35"/>
  <c r="X831" i="35"/>
  <c r="U831" i="35"/>
  <c r="X865" i="35"/>
  <c r="U865" i="35"/>
  <c r="J228" i="35" a="1"/>
  <c r="J228" i="35" s="1"/>
  <c r="D228" i="35" s="1"/>
  <c r="C233" i="55" s="1"/>
  <c r="D233" i="55" s="1"/>
  <c r="U156" i="35"/>
  <c r="X608" i="35"/>
  <c r="U608" i="35"/>
  <c r="X570" i="35"/>
  <c r="U570" i="35"/>
  <c r="J26" i="35" a="1"/>
  <c r="J26" i="35" s="1"/>
  <c r="D26" i="35" s="1"/>
  <c r="X319" i="35"/>
  <c r="U319" i="35" s="1"/>
  <c r="X195" i="35"/>
  <c r="U195" i="35"/>
  <c r="J333" i="35" a="1"/>
  <c r="J333" i="35" s="1"/>
  <c r="D333" i="35" s="1"/>
  <c r="C338" i="55" s="1"/>
  <c r="D338" i="55" s="1"/>
  <c r="X763" i="35"/>
  <c r="U763" i="35"/>
  <c r="X617" i="35"/>
  <c r="U617" i="35"/>
  <c r="X860" i="35"/>
  <c r="U860" i="35"/>
  <c r="U303" i="35"/>
  <c r="J555" i="35" a="1"/>
  <c r="J555" i="35" s="1"/>
  <c r="D555" i="35" s="1"/>
  <c r="C560" i="55" s="1"/>
  <c r="D560" i="55" s="1"/>
  <c r="X174" i="35"/>
  <c r="U174" i="35" s="1"/>
  <c r="W583" i="35"/>
  <c r="L583" i="35"/>
  <c r="Y583" i="35"/>
  <c r="X614" i="35"/>
  <c r="U614" i="35"/>
  <c r="X331" i="35"/>
  <c r="U331" i="35" s="1"/>
  <c r="X597" i="35"/>
  <c r="U597" i="35"/>
  <c r="X749" i="35"/>
  <c r="U749" i="35"/>
  <c r="X706" i="35"/>
  <c r="U706" i="35"/>
  <c r="E97" i="41"/>
  <c r="X379" i="35"/>
  <c r="U379" i="35"/>
  <c r="J351" i="35" a="1"/>
  <c r="J351" i="35" s="1"/>
  <c r="D351" i="35" s="1"/>
  <c r="C356" i="55" s="1"/>
  <c r="D356" i="55" s="1"/>
  <c r="X166" i="35"/>
  <c r="U166" i="35" s="1"/>
  <c r="X183" i="35"/>
  <c r="U183" i="35"/>
  <c r="X630" i="35"/>
  <c r="U630" i="35"/>
  <c r="X249" i="35"/>
  <c r="U249" i="35"/>
  <c r="J276" i="35" a="1"/>
  <c r="J276" i="35" s="1"/>
  <c r="D276" i="35" s="1"/>
  <c r="C281" i="55" s="1"/>
  <c r="D281" i="55" s="1"/>
  <c r="X288" i="35"/>
  <c r="U288" i="35"/>
  <c r="X848" i="35"/>
  <c r="U848" i="35"/>
  <c r="J166" i="35" a="1"/>
  <c r="J166" i="35" s="1"/>
  <c r="D166" i="35" s="1"/>
  <c r="U162" i="35"/>
  <c r="X627" i="35"/>
  <c r="U627" i="35"/>
  <c r="X311" i="35"/>
  <c r="U311" i="35" s="1"/>
  <c r="X752" i="35"/>
  <c r="U752" i="35"/>
  <c r="H97" i="41"/>
  <c r="X349" i="35"/>
  <c r="U349" i="35" s="1"/>
  <c r="J141" i="35" a="1"/>
  <c r="J141" i="35" s="1"/>
  <c r="D141" i="35" s="1"/>
  <c r="J265" i="35" a="1"/>
  <c r="J265" i="35" s="1"/>
  <c r="D265" i="35" s="1"/>
  <c r="C270" i="55" s="1"/>
  <c r="D270" i="55" s="1"/>
  <c r="X835" i="35"/>
  <c r="U835" i="35"/>
  <c r="X284" i="35"/>
  <c r="U284" i="35"/>
  <c r="U362" i="35"/>
  <c r="X723" i="35"/>
  <c r="U723" i="35"/>
  <c r="X150" i="35"/>
  <c r="U150" i="35" s="1"/>
  <c r="J220" i="35" a="1"/>
  <c r="J220" i="35" s="1"/>
  <c r="D220" i="35" s="1"/>
  <c r="C225" i="55" s="1"/>
  <c r="D225" i="55" s="1"/>
  <c r="X821" i="35"/>
  <c r="U821" i="35"/>
  <c r="J266" i="35" a="1"/>
  <c r="J266" i="35" s="1"/>
  <c r="D266" i="35" s="1"/>
  <c r="C271" i="55" s="1"/>
  <c r="D271" i="55" s="1"/>
  <c r="X729" i="35"/>
  <c r="U729" i="35"/>
  <c r="X845" i="35"/>
  <c r="U845" i="35"/>
  <c r="J257" i="35" a="1"/>
  <c r="J257" i="35" s="1"/>
  <c r="D257" i="35" s="1"/>
  <c r="C262" i="55" s="1"/>
  <c r="D262" i="55" s="1"/>
  <c r="J221" i="35" a="1"/>
  <c r="J221" i="35" s="1"/>
  <c r="D221" i="35" s="1"/>
  <c r="C226" i="55" s="1"/>
  <c r="D226" i="55" s="1"/>
  <c r="X833" i="35"/>
  <c r="U833" i="35"/>
  <c r="X782" i="35"/>
  <c r="U782" i="35"/>
  <c r="X171" i="35"/>
  <c r="U171" i="35" s="1"/>
  <c r="U639" i="35"/>
  <c r="X167" i="35"/>
  <c r="U167" i="35" s="1"/>
  <c r="X758" i="35"/>
  <c r="U758" i="35"/>
  <c r="J296" i="35" a="1"/>
  <c r="J296" i="35" s="1"/>
  <c r="D296" i="35" s="1"/>
  <c r="C301" i="55" s="1"/>
  <c r="D301" i="55" s="1"/>
  <c r="U483" i="35"/>
  <c r="J317" i="35" a="1"/>
  <c r="J317" i="35" s="1"/>
  <c r="D317" i="35" s="1"/>
  <c r="C322" i="55" s="1"/>
  <c r="D322" i="55" s="1"/>
  <c r="J319" i="35" a="1"/>
  <c r="J319" i="35" s="1"/>
  <c r="D319" i="35" s="1"/>
  <c r="C324" i="55" s="1"/>
  <c r="D324" i="55" s="1"/>
  <c r="X710" i="35"/>
  <c r="U710" i="35"/>
  <c r="J336" i="35" a="1"/>
  <c r="J336" i="35" s="1"/>
  <c r="D336" i="35" s="1"/>
  <c r="C341" i="55" s="1"/>
  <c r="D341" i="55" s="1"/>
  <c r="J261" i="35" a="1"/>
  <c r="J261" i="35" s="1"/>
  <c r="D261" i="35" s="1"/>
  <c r="C266" i="55" s="1"/>
  <c r="D266" i="55" s="1"/>
  <c r="X849" i="35"/>
  <c r="U849" i="35"/>
  <c r="X783" i="35"/>
  <c r="U783" i="35"/>
  <c r="J303" i="35" a="1"/>
  <c r="J303" i="35" s="1"/>
  <c r="D303" i="35" s="1"/>
  <c r="C308" i="55" s="1"/>
  <c r="D308" i="55" s="1"/>
  <c r="X677" i="35"/>
  <c r="U677" i="35"/>
  <c r="X664" i="35"/>
  <c r="U664" i="35"/>
  <c r="X107" i="35"/>
  <c r="U107" i="35"/>
  <c r="U365" i="35"/>
  <c r="E406" i="41"/>
  <c r="X844" i="35"/>
  <c r="U844" i="35"/>
  <c r="X659" i="35"/>
  <c r="U659" i="35"/>
  <c r="U650" i="35"/>
  <c r="J36" i="35" a="1"/>
  <c r="J36" i="35" s="1"/>
  <c r="D36" i="35" s="1"/>
  <c r="X569" i="35"/>
  <c r="U569" i="35"/>
  <c r="X339" i="35"/>
  <c r="U339" i="35" s="1"/>
  <c r="G97" i="41"/>
  <c r="X179" i="35"/>
  <c r="U179" i="35"/>
  <c r="J322" i="35" a="1"/>
  <c r="J322" i="35" s="1"/>
  <c r="D322" i="35" s="1"/>
  <c r="C327" i="55" s="1"/>
  <c r="D327" i="55" s="1"/>
  <c r="X774" i="35"/>
  <c r="U774" i="35"/>
  <c r="X175" i="35"/>
  <c r="U175" i="35"/>
  <c r="X177" i="35"/>
  <c r="U177" i="35"/>
  <c r="J181" i="35" a="1"/>
  <c r="J181" i="35" s="1"/>
  <c r="D181" i="35" s="1"/>
  <c r="C186" i="55" s="1"/>
  <c r="D186" i="55" s="1"/>
  <c r="J284" i="35" a="1"/>
  <c r="J284" i="35" s="1"/>
  <c r="D284" i="35" s="1"/>
  <c r="C289" i="55" s="1"/>
  <c r="D289" i="55" s="1"/>
  <c r="X812" i="35"/>
  <c r="U812" i="35"/>
  <c r="E55" i="41"/>
  <c r="X209" i="35"/>
  <c r="U209" i="35"/>
  <c r="X824" i="35"/>
  <c r="U824" i="35"/>
  <c r="X274" i="35"/>
  <c r="U274" i="35"/>
  <c r="G35" i="41"/>
  <c r="X277" i="35"/>
  <c r="U277" i="35"/>
  <c r="J308" i="35" a="1"/>
  <c r="J308" i="35" s="1"/>
  <c r="D308" i="35" s="1"/>
  <c r="C313" i="55" s="1"/>
  <c r="D313" i="55" s="1"/>
  <c r="J252" i="35" a="1"/>
  <c r="J252" i="35" s="1"/>
  <c r="D252" i="35" s="1"/>
  <c r="C257" i="55" s="1"/>
  <c r="D257" i="55" s="1"/>
  <c r="X565" i="35"/>
  <c r="U565" i="35"/>
  <c r="G539" i="41"/>
  <c r="X304" i="35"/>
  <c r="U304" i="35" s="1"/>
  <c r="J207" i="35" a="1"/>
  <c r="J207" i="35" s="1"/>
  <c r="D207" i="35" s="1"/>
  <c r="C212" i="55" s="1"/>
  <c r="D212" i="55" s="1"/>
  <c r="X261" i="35"/>
  <c r="U261" i="35"/>
  <c r="X699" i="35"/>
  <c r="U699" i="35"/>
  <c r="X704" i="35"/>
  <c r="U704" i="35"/>
  <c r="X751" i="35"/>
  <c r="U751" i="35"/>
  <c r="X658" i="35"/>
  <c r="U658" i="35"/>
  <c r="X721" i="35"/>
  <c r="U721" i="35"/>
  <c r="X663" i="35"/>
  <c r="U663" i="35"/>
  <c r="J273" i="35" a="1"/>
  <c r="J273" i="35" s="1"/>
  <c r="D273" i="35" s="1"/>
  <c r="C278" i="55" s="1"/>
  <c r="D278" i="55" s="1"/>
  <c r="X672" i="35"/>
  <c r="U672" i="35"/>
  <c r="X837" i="35"/>
  <c r="U837" i="35"/>
  <c r="J159" i="35" a="1"/>
  <c r="J159" i="35" s="1"/>
  <c r="D159" i="35" s="1"/>
  <c r="J21" i="35" a="1"/>
  <c r="J21" i="35" s="1"/>
  <c r="D21" i="35" s="1"/>
  <c r="U159" i="35"/>
  <c r="X838" i="35"/>
  <c r="U838" i="35"/>
  <c r="X856" i="35"/>
  <c r="U856" i="35"/>
  <c r="J285" i="35" a="1"/>
  <c r="J285" i="35" s="1"/>
  <c r="D285" i="35" s="1"/>
  <c r="C290" i="55" s="1"/>
  <c r="D290" i="55" s="1"/>
  <c r="X773" i="35"/>
  <c r="U773" i="35"/>
  <c r="J337" i="35" a="1"/>
  <c r="J337" i="35" s="1"/>
  <c r="D337" i="35" s="1"/>
  <c r="C342" i="55" s="1"/>
  <c r="D342" i="55" s="1"/>
  <c r="J269" i="35" a="1"/>
  <c r="J269" i="35" s="1"/>
  <c r="D269" i="35" s="1"/>
  <c r="C274" i="55" s="1"/>
  <c r="D274" i="55" s="1"/>
  <c r="J162" i="35" a="1"/>
  <c r="J162" i="35" s="1"/>
  <c r="D162" i="35" s="1"/>
  <c r="J282" i="35" a="1"/>
  <c r="J282" i="35" s="1"/>
  <c r="D282" i="35" s="1"/>
  <c r="C287" i="55" s="1"/>
  <c r="D287" i="55" s="1"/>
  <c r="X847" i="35"/>
  <c r="U847" i="35"/>
  <c r="J311" i="35" a="1"/>
  <c r="J311" i="35" s="1"/>
  <c r="D311" i="35" s="1"/>
  <c r="C316" i="55" s="1"/>
  <c r="D316" i="55" s="1"/>
  <c r="G95" i="41"/>
  <c r="U711" i="35"/>
  <c r="U189" i="35"/>
  <c r="J341" i="35" a="1"/>
  <c r="J341" i="35" s="1"/>
  <c r="D341" i="35" s="1"/>
  <c r="C346" i="55" s="1"/>
  <c r="D346" i="55" s="1"/>
  <c r="X756" i="35"/>
  <c r="U756" i="35"/>
  <c r="X182" i="35"/>
  <c r="U182" i="35"/>
  <c r="J357" i="35" a="1"/>
  <c r="J357" i="35" s="1"/>
  <c r="D357" i="35" s="1"/>
  <c r="C362" i="55" s="1"/>
  <c r="D362" i="55" s="1"/>
  <c r="J286" i="35" a="1"/>
  <c r="J286" i="35" s="1"/>
  <c r="D286" i="35" s="1"/>
  <c r="C291" i="55" s="1"/>
  <c r="D291" i="55" s="1"/>
  <c r="H55" i="41"/>
  <c r="J209" i="35" a="1"/>
  <c r="J209" i="35" s="1"/>
  <c r="D209" i="35" s="1"/>
  <c r="C214" i="55" s="1"/>
  <c r="D214" i="55" s="1"/>
  <c r="J143" i="35" a="1"/>
  <c r="J143" i="35" s="1"/>
  <c r="D143" i="35" s="1"/>
  <c r="U326" i="35"/>
  <c r="J243" i="35" a="1"/>
  <c r="J243" i="35" s="1"/>
  <c r="D243" i="35" s="1"/>
  <c r="C248" i="55" s="1"/>
  <c r="D248" i="55" s="1"/>
  <c r="X240" i="35"/>
  <c r="U240" i="35"/>
  <c r="X722" i="35"/>
  <c r="U722" i="35"/>
  <c r="U330" i="35"/>
  <c r="U140" i="35"/>
  <c r="X780" i="35"/>
  <c r="U780" i="35"/>
  <c r="U214" i="35"/>
  <c r="U646" i="35"/>
  <c r="J154" i="35" a="1"/>
  <c r="J154" i="35" s="1"/>
  <c r="D154" i="35" s="1"/>
  <c r="J872" i="35" a="1"/>
  <c r="J872" i="35" s="1"/>
  <c r="D872" i="35" s="1"/>
  <c r="X207" i="35"/>
  <c r="U207" i="35"/>
  <c r="X796" i="35"/>
  <c r="U796" i="35" s="1"/>
  <c r="U823" i="35"/>
  <c r="J323" i="35" a="1"/>
  <c r="J323" i="35" s="1"/>
  <c r="D323" i="35" s="1"/>
  <c r="C328" i="55" s="1"/>
  <c r="D328" i="55" s="1"/>
  <c r="X262" i="35"/>
  <c r="U262" i="35"/>
  <c r="G406" i="35"/>
  <c r="G38" i="35"/>
  <c r="X161" i="35"/>
  <c r="U161" i="35" s="1"/>
  <c r="J306" i="35" a="1"/>
  <c r="J306" i="35" s="1"/>
  <c r="D306" i="35" s="1"/>
  <c r="C311" i="55" s="1"/>
  <c r="D311" i="55" s="1"/>
  <c r="U198" i="35"/>
  <c r="X36" i="35"/>
  <c r="U36" i="35"/>
  <c r="X761" i="35"/>
  <c r="U761" i="35"/>
  <c r="J352" i="35" a="1"/>
  <c r="J352" i="35" s="1"/>
  <c r="D352" i="35" s="1"/>
  <c r="C357" i="55" s="1"/>
  <c r="D357" i="55" s="1"/>
  <c r="X673" i="35"/>
  <c r="U673" i="35"/>
  <c r="J177" i="35" a="1"/>
  <c r="J177" i="35" s="1"/>
  <c r="D177" i="35" s="1"/>
  <c r="C182" i="55" s="1"/>
  <c r="D182" i="55" s="1"/>
  <c r="X188" i="35"/>
  <c r="U188" i="35"/>
  <c r="F55" i="41"/>
  <c r="X220" i="35"/>
  <c r="U220" i="35"/>
  <c r="X243" i="35"/>
  <c r="U243" i="35"/>
  <c r="X728" i="35"/>
  <c r="U728" i="35"/>
  <c r="J330" i="35" a="1"/>
  <c r="J330" i="35" s="1"/>
  <c r="D330" i="35" s="1"/>
  <c r="C335" i="55" s="1"/>
  <c r="D335" i="55" s="1"/>
  <c r="J140" i="35" a="1"/>
  <c r="J140" i="35" s="1"/>
  <c r="D140" i="35" s="1"/>
  <c r="X654" i="35"/>
  <c r="U654" i="35"/>
  <c r="X760" i="35"/>
  <c r="U760" i="35"/>
  <c r="X669" i="35"/>
  <c r="U669" i="35"/>
  <c r="X853" i="35"/>
  <c r="U853" i="35"/>
  <c r="X315" i="35"/>
  <c r="U315" i="35" s="1"/>
  <c r="J553" i="35" a="1"/>
  <c r="J553" i="35" s="1"/>
  <c r="D553" i="35" s="1"/>
  <c r="X872" i="35"/>
  <c r="U872" i="35"/>
  <c r="X859" i="35"/>
  <c r="U859" i="35"/>
  <c r="J253" i="35" a="1"/>
  <c r="J253" i="35" s="1"/>
  <c r="D253" i="35" s="1"/>
  <c r="C258" i="55" s="1"/>
  <c r="D258" i="55" s="1"/>
  <c r="J546" i="35" a="1"/>
  <c r="J546" i="35" s="1"/>
  <c r="D546" i="35" s="1"/>
  <c r="C551" i="55" s="1"/>
  <c r="D551" i="55" s="1"/>
  <c r="X213" i="35"/>
  <c r="U213" i="35"/>
  <c r="X805" i="35"/>
  <c r="U805" i="35"/>
  <c r="X381" i="35"/>
  <c r="U381" i="35"/>
  <c r="X864" i="35"/>
  <c r="U864" i="35" s="1"/>
  <c r="X678" i="35"/>
  <c r="U678" i="35"/>
  <c r="J334" i="35" a="1"/>
  <c r="J334" i="35" s="1"/>
  <c r="D334" i="35" s="1"/>
  <c r="C339" i="55" s="1"/>
  <c r="D339" i="55" s="1"/>
  <c r="J288" i="35" a="1"/>
  <c r="J288" i="35" s="1"/>
  <c r="D288" i="35" s="1"/>
  <c r="C293" i="55" s="1"/>
  <c r="D293" i="55" s="1"/>
  <c r="J176" i="35" a="1"/>
  <c r="J176" i="35" s="1"/>
  <c r="D176" i="35" s="1"/>
  <c r="C181" i="55" s="1"/>
  <c r="D181" i="55" s="1"/>
  <c r="F95" i="41"/>
  <c r="X855" i="35"/>
  <c r="U855" i="35"/>
  <c r="X21" i="35"/>
  <c r="U21" i="35"/>
  <c r="U358" i="35"/>
  <c r="X718" i="35"/>
  <c r="U718" i="35"/>
  <c r="X247" i="35"/>
  <c r="U247" i="35"/>
  <c r="P34" i="30"/>
  <c r="I34" i="30" s="1"/>
  <c r="K34" i="30" s="1"/>
  <c r="X662" i="35"/>
  <c r="U662" i="35"/>
  <c r="U314" i="35"/>
  <c r="U374" i="35"/>
  <c r="X695" i="35"/>
  <c r="U695" i="35"/>
  <c r="U269" i="35"/>
  <c r="X356" i="35"/>
  <c r="U356" i="35" s="1"/>
  <c r="J235" i="35" a="1"/>
  <c r="J235" i="35" s="1"/>
  <c r="D235" i="35" s="1"/>
  <c r="C240" i="55" s="1"/>
  <c r="D240" i="55" s="1"/>
  <c r="E95" i="41"/>
  <c r="X234" i="35"/>
  <c r="U234" i="35"/>
  <c r="X810" i="35"/>
  <c r="U810" i="35"/>
  <c r="X750" i="35"/>
  <c r="U750" i="35"/>
  <c r="J219" i="35" a="1"/>
  <c r="J219" i="35" s="1"/>
  <c r="D219" i="35" s="1"/>
  <c r="C224" i="55" s="1"/>
  <c r="D224" i="55" s="1"/>
  <c r="J347" i="35" a="1"/>
  <c r="J347" i="35" s="1"/>
  <c r="D347" i="35" s="1"/>
  <c r="C352" i="55" s="1"/>
  <c r="D352" i="55" s="1"/>
  <c r="X266" i="35"/>
  <c r="U266" i="35"/>
  <c r="J326" i="35" a="1"/>
  <c r="J326" i="35" s="1"/>
  <c r="D326" i="35" s="1"/>
  <c r="C331" i="55" s="1"/>
  <c r="D331" i="55" s="1"/>
  <c r="X221" i="35"/>
  <c r="U221" i="35"/>
  <c r="X325" i="35"/>
  <c r="U325" i="35" s="1"/>
  <c r="U852" i="35"/>
  <c r="X745" i="35"/>
  <c r="U745" i="35"/>
  <c r="X603" i="35"/>
  <c r="U603" i="35"/>
  <c r="X185" i="35"/>
  <c r="U185" i="35"/>
  <c r="X647" i="35"/>
  <c r="U647" i="35"/>
  <c r="J361" i="35" a="1"/>
  <c r="J361" i="35" s="1"/>
  <c r="D361" i="35" s="1"/>
  <c r="C366" i="55" s="1"/>
  <c r="D366" i="55" s="1"/>
  <c r="U785" i="35"/>
  <c r="X611" i="35"/>
  <c r="U611" i="35"/>
  <c r="J372" i="35" a="1"/>
  <c r="J372" i="35" s="1"/>
  <c r="D372" i="35" s="1"/>
  <c r="C377" i="55" s="1"/>
  <c r="D377" i="55" s="1"/>
  <c r="X867" i="35"/>
  <c r="U867" i="35"/>
  <c r="X628" i="35"/>
  <c r="U628" i="35"/>
  <c r="J373" i="35" a="1"/>
  <c r="J373" i="35" s="1"/>
  <c r="D373" i="35" s="1"/>
  <c r="C378" i="55" s="1"/>
  <c r="D378" i="55" s="1"/>
  <c r="X252" i="35"/>
  <c r="U252" i="35"/>
  <c r="U340" i="35"/>
  <c r="X754" i="35"/>
  <c r="U754" i="35"/>
  <c r="X193" i="35"/>
  <c r="U193" i="35"/>
  <c r="U828" i="35"/>
  <c r="X719" i="35"/>
  <c r="U719" i="35"/>
  <c r="X840" i="35"/>
  <c r="U840" i="35"/>
  <c r="U703" i="35"/>
  <c r="X703" i="35"/>
  <c r="X199" i="35"/>
  <c r="U199" i="35"/>
  <c r="H540" i="41"/>
  <c r="E538" i="41"/>
  <c r="J149" i="35" a="1"/>
  <c r="J149" i="35" s="1"/>
  <c r="D149" i="35" s="1"/>
  <c r="X546" i="35"/>
  <c r="U546" i="35"/>
  <c r="J213" i="35" a="1"/>
  <c r="J213" i="35" s="1"/>
  <c r="D213" i="35" s="1"/>
  <c r="C218" i="55" s="1"/>
  <c r="D218" i="55" s="1"/>
  <c r="J370" i="35" a="1"/>
  <c r="J370" i="35" s="1"/>
  <c r="D370" i="35" s="1"/>
  <c r="C375" i="55" s="1"/>
  <c r="D375" i="55" s="1"/>
  <c r="J381" i="35" a="1"/>
  <c r="J381" i="35" s="1"/>
  <c r="D381" i="35" s="1"/>
  <c r="J482" i="35" a="1"/>
  <c r="J482" i="35" s="1"/>
  <c r="D482" i="35" s="1"/>
  <c r="U367" i="35"/>
  <c r="X631" i="35"/>
  <c r="U631" i="35"/>
  <c r="P1038" i="35"/>
  <c r="N1038" i="35" s="1"/>
  <c r="O1038" i="35"/>
  <c r="K1038" i="35"/>
  <c r="X820" i="35"/>
  <c r="U820" i="35"/>
  <c r="X273" i="35"/>
  <c r="U273" i="35"/>
  <c r="J358" i="35" a="1"/>
  <c r="J358" i="35" s="1"/>
  <c r="D358" i="35" s="1"/>
  <c r="C363" i="55" s="1"/>
  <c r="D363" i="55" s="1"/>
  <c r="U291" i="35"/>
  <c r="J194" i="35" a="1"/>
  <c r="J194" i="35" s="1"/>
  <c r="D194" i="35" s="1"/>
  <c r="C199" i="55" s="1"/>
  <c r="D199" i="55" s="1"/>
  <c r="X818" i="35"/>
  <c r="U818" i="35"/>
  <c r="J198" i="35" a="1"/>
  <c r="J198" i="35" s="1"/>
  <c r="D198" i="35" s="1"/>
  <c r="C203" i="55" s="1"/>
  <c r="D203" i="55" s="1"/>
  <c r="X834" i="35"/>
  <c r="U834" i="35"/>
  <c r="X634" i="35"/>
  <c r="U634" i="35"/>
  <c r="U600" i="35"/>
  <c r="X600" i="35"/>
  <c r="X337" i="35"/>
  <c r="U337" i="35" s="1"/>
  <c r="J183" i="35" a="1"/>
  <c r="J183" i="35" s="1"/>
  <c r="D183" i="35" s="1"/>
  <c r="C188" i="55" s="1"/>
  <c r="D188" i="55" s="1"/>
  <c r="U312" i="35"/>
  <c r="J374" i="35" a="1"/>
  <c r="J374" i="35" s="1"/>
  <c r="D374" i="35" s="1"/>
  <c r="U485" i="35"/>
  <c r="U563" i="35"/>
  <c r="J339" i="35" a="1"/>
  <c r="J339" i="35" s="1"/>
  <c r="D339" i="35" s="1"/>
  <c r="C344" i="55" s="1"/>
  <c r="D344" i="55" s="1"/>
  <c r="J557" i="35" a="1"/>
  <c r="J557" i="35" s="1"/>
  <c r="D557" i="35" s="1"/>
  <c r="X747" i="35"/>
  <c r="U747" i="35"/>
  <c r="J175" i="35" a="1"/>
  <c r="J175" i="35" s="1"/>
  <c r="D175" i="35" s="1"/>
  <c r="C180" i="55" s="1"/>
  <c r="D180" i="55" s="1"/>
  <c r="J182" i="35" a="1"/>
  <c r="J182" i="35" s="1"/>
  <c r="D182" i="35" s="1"/>
  <c r="C187" i="55" s="1"/>
  <c r="D187" i="55" s="1"/>
  <c r="X357" i="35"/>
  <c r="U357" i="35" s="1"/>
  <c r="U680" i="35"/>
  <c r="X680" i="35"/>
  <c r="X660" i="35"/>
  <c r="U660" i="35"/>
  <c r="X564" i="35"/>
  <c r="U564" i="35"/>
  <c r="X257" i="35"/>
  <c r="U257" i="35"/>
  <c r="X275" i="35"/>
  <c r="U275" i="35"/>
  <c r="F35" i="41"/>
  <c r="J233" i="35" a="1"/>
  <c r="J233" i="35" s="1"/>
  <c r="D233" i="35" s="1"/>
  <c r="C238" i="55" s="1"/>
  <c r="D238" i="55" s="1"/>
  <c r="X632" i="35"/>
  <c r="U632" i="35"/>
  <c r="J290" i="35" a="1"/>
  <c r="J290" i="35" s="1"/>
  <c r="D290" i="35" s="1"/>
  <c r="C295" i="55" s="1"/>
  <c r="D295" i="55" s="1"/>
  <c r="J167" i="35" a="1"/>
  <c r="J167" i="35" s="1"/>
  <c r="D167" i="35" s="1"/>
  <c r="X685" i="35"/>
  <c r="U685" i="35"/>
  <c r="U178" i="35"/>
  <c r="X178" i="35"/>
  <c r="J186" i="35" a="1"/>
  <c r="J186" i="35" s="1"/>
  <c r="D186" i="35" s="1"/>
  <c r="C191" i="55" s="1"/>
  <c r="D191" i="55" s="1"/>
  <c r="J279" i="35" a="1"/>
  <c r="J279" i="35" s="1"/>
  <c r="D279" i="35" s="1"/>
  <c r="C284" i="55" s="1"/>
  <c r="D284" i="55" s="1"/>
  <c r="X299" i="35"/>
  <c r="U299" i="35" s="1"/>
  <c r="X854" i="35"/>
  <c r="U854" i="35"/>
  <c r="E539" i="41"/>
  <c r="X656" i="35"/>
  <c r="U656" i="35"/>
  <c r="X772" i="35"/>
  <c r="U772" i="35"/>
  <c r="U708" i="35"/>
  <c r="X370" i="35"/>
  <c r="U370" i="35" s="1"/>
  <c r="X482" i="35"/>
  <c r="U482" i="35"/>
  <c r="J283" i="35" a="1"/>
  <c r="J283" i="35" s="1"/>
  <c r="D283" i="35" s="1"/>
  <c r="C288" i="55" s="1"/>
  <c r="D288" i="55" s="1"/>
  <c r="X309" i="35"/>
  <c r="U309" i="35" s="1"/>
  <c r="X194" i="35"/>
  <c r="U194" i="35"/>
  <c r="J223" i="35" a="1"/>
  <c r="J223" i="35" s="1"/>
  <c r="D223" i="35" s="1"/>
  <c r="C228" i="55" s="1"/>
  <c r="D228" i="55" s="1"/>
  <c r="U300" i="35"/>
  <c r="U625" i="35"/>
  <c r="X302" i="35"/>
  <c r="U302" i="35" s="1"/>
  <c r="X705" i="35"/>
  <c r="U705" i="35"/>
  <c r="X808" i="35"/>
  <c r="U808" i="35"/>
  <c r="X282" i="35"/>
  <c r="U282" i="35"/>
  <c r="X621" i="35"/>
  <c r="U621" i="35"/>
  <c r="J349" i="35" a="1"/>
  <c r="J349" i="35" s="1"/>
  <c r="D349" i="35" s="1"/>
  <c r="C354" i="55" s="1"/>
  <c r="D354" i="55" s="1"/>
  <c r="X697" i="35"/>
  <c r="U697" i="35"/>
  <c r="J146" i="35" a="1"/>
  <c r="J146" i="35" s="1"/>
  <c r="D146" i="35" s="1"/>
  <c r="X341" i="35"/>
  <c r="U341" i="35" s="1"/>
  <c r="X359" i="35"/>
  <c r="U359" i="35" s="1"/>
  <c r="X487" i="35"/>
  <c r="U487" i="35"/>
  <c r="U739" i="35"/>
  <c r="X739" i="35"/>
  <c r="J281" i="35" a="1"/>
  <c r="J281" i="35" s="1"/>
  <c r="D281" i="35" s="1"/>
  <c r="C286" i="55" s="1"/>
  <c r="D286" i="55" s="1"/>
  <c r="J271" i="35" a="1"/>
  <c r="J271" i="35" s="1"/>
  <c r="D271" i="35" s="1"/>
  <c r="C276" i="55" s="1"/>
  <c r="D276" i="55" s="1"/>
  <c r="X732" i="35"/>
  <c r="U732" i="35"/>
  <c r="X769" i="35"/>
  <c r="U769" i="35"/>
  <c r="X290" i="35"/>
  <c r="U290" i="35"/>
  <c r="J307" i="35" a="1"/>
  <c r="J307" i="35" s="1"/>
  <c r="D307" i="35" s="1"/>
  <c r="C312" i="55" s="1"/>
  <c r="D312" i="55" s="1"/>
  <c r="J224" i="35" a="1"/>
  <c r="J224" i="35" s="1"/>
  <c r="D224" i="35" s="1"/>
  <c r="C229" i="55" s="1"/>
  <c r="D229" i="55" s="1"/>
  <c r="J178" i="35" a="1"/>
  <c r="J178" i="35" s="1"/>
  <c r="D178" i="35" s="1"/>
  <c r="C183" i="55" s="1"/>
  <c r="D183" i="55" s="1"/>
  <c r="U345" i="35"/>
  <c r="J184" i="35" a="1"/>
  <c r="J184" i="35" s="1"/>
  <c r="D184" i="35" s="1"/>
  <c r="C189" i="55" s="1"/>
  <c r="D189" i="55" s="1"/>
  <c r="U279" i="35"/>
  <c r="J346" i="35" a="1"/>
  <c r="J346" i="35" s="1"/>
  <c r="D346" i="35" s="1"/>
  <c r="C351" i="55" s="1"/>
  <c r="D351" i="55" s="1"/>
  <c r="J214" i="35" a="1"/>
  <c r="J214" i="35" s="1"/>
  <c r="D214" i="35" s="1"/>
  <c r="C219" i="55" s="1"/>
  <c r="D219" i="55" s="1"/>
  <c r="X681" i="35"/>
  <c r="U681" i="35"/>
  <c r="X593" i="35"/>
  <c r="U593" i="35"/>
  <c r="E540" i="41"/>
  <c r="J216" i="35" a="1"/>
  <c r="J216" i="35" s="1"/>
  <c r="D216" i="35" s="1"/>
  <c r="C221" i="55" s="1"/>
  <c r="D221" i="55" s="1"/>
  <c r="X843" i="35"/>
  <c r="U843" i="35"/>
  <c r="U554" i="35"/>
  <c r="X649" i="35"/>
  <c r="U649" i="35"/>
  <c r="X675" i="35"/>
  <c r="U675" i="35"/>
  <c r="X323" i="35"/>
  <c r="U323" i="35" s="1"/>
  <c r="U714" i="35"/>
  <c r="G61" i="35"/>
  <c r="X484" i="35"/>
  <c r="U484" i="35"/>
  <c r="X235" i="35"/>
  <c r="U235" i="35"/>
  <c r="H31" i="41"/>
  <c r="F31" i="41"/>
  <c r="G31" i="41"/>
  <c r="E31" i="41"/>
  <c r="X777" i="35"/>
  <c r="U777" i="35"/>
  <c r="D26" i="2"/>
  <c r="C32" i="55"/>
  <c r="D32" i="55" s="1"/>
  <c r="X281" i="35"/>
  <c r="U281" i="35"/>
  <c r="X693" i="35"/>
  <c r="U693" i="35"/>
  <c r="X694" i="35"/>
  <c r="U694" i="35"/>
  <c r="X688" i="35"/>
  <c r="U688" i="35"/>
  <c r="X372" i="35"/>
  <c r="U372" i="35" s="1"/>
  <c r="X715" i="35"/>
  <c r="U715" i="35"/>
  <c r="X184" i="35"/>
  <c r="U184" i="35"/>
  <c r="X582" i="35"/>
  <c r="U582" i="35"/>
  <c r="X765" i="35"/>
  <c r="U765" i="35"/>
  <c r="X817" i="35"/>
  <c r="U817" i="35"/>
  <c r="O103" i="35"/>
  <c r="K497" i="35"/>
  <c r="M497" i="35"/>
  <c r="W497" i="35"/>
  <c r="X736" i="35"/>
  <c r="U736" i="35"/>
  <c r="X655" i="35"/>
  <c r="U655" i="35"/>
  <c r="X486" i="35"/>
  <c r="U486" i="35"/>
  <c r="X219" i="35"/>
  <c r="U219" i="35"/>
  <c r="X27" i="35"/>
  <c r="U27" i="35"/>
  <c r="J258" i="35" a="1"/>
  <c r="J258" i="35" s="1"/>
  <c r="D258" i="35" s="1"/>
  <c r="C263" i="55" s="1"/>
  <c r="D263" i="55" s="1"/>
  <c r="J378" i="35" a="1"/>
  <c r="J378" i="35" s="1"/>
  <c r="D378" i="35" s="1"/>
  <c r="E35" i="41"/>
  <c r="X233" i="35"/>
  <c r="U233" i="35"/>
  <c r="J873" i="35" a="1"/>
  <c r="J873" i="35" s="1"/>
  <c r="D873" i="35" s="1"/>
  <c r="X651" i="35"/>
  <c r="U651" i="35"/>
  <c r="X137" i="35"/>
  <c r="U137" i="35" s="1"/>
  <c r="J248" i="35" a="1"/>
  <c r="J248" i="35" s="1"/>
  <c r="D248" i="35" s="1"/>
  <c r="C253" i="55" s="1"/>
  <c r="D253" i="55" s="1"/>
  <c r="J340" i="35" a="1"/>
  <c r="J340" i="35" s="1"/>
  <c r="D340" i="35" s="1"/>
  <c r="C345" i="55" s="1"/>
  <c r="D345" i="55" s="1"/>
  <c r="X616" i="35"/>
  <c r="U616" i="35"/>
  <c r="X186" i="35"/>
  <c r="U186" i="35"/>
  <c r="U206" i="35"/>
  <c r="X206" i="35"/>
  <c r="G540" i="41"/>
  <c r="X861" i="35"/>
  <c r="U861" i="35"/>
  <c r="J231" i="35" a="1"/>
  <c r="J231" i="35" s="1"/>
  <c r="D231" i="35" s="1"/>
  <c r="C236" i="55" s="1"/>
  <c r="D236" i="55" s="1"/>
  <c r="X661" i="35"/>
  <c r="U661" i="35"/>
  <c r="J367" i="35" a="1"/>
  <c r="J367" i="35" s="1"/>
  <c r="D367" i="35" s="1"/>
  <c r="C372" i="55" s="1"/>
  <c r="D372" i="55" s="1"/>
  <c r="J316" i="35" a="1"/>
  <c r="J316" i="35" s="1"/>
  <c r="D316" i="35" s="1"/>
  <c r="C321" i="55" s="1"/>
  <c r="D321" i="55" s="1"/>
  <c r="U138" i="35"/>
  <c r="X604" i="35"/>
  <c r="U604" i="35"/>
  <c r="J204" i="35" a="1"/>
  <c r="J204" i="35" s="1"/>
  <c r="D204" i="35" s="1"/>
  <c r="C209" i="55" s="1"/>
  <c r="D209" i="55" s="1"/>
  <c r="X766" i="35"/>
  <c r="U766" i="35"/>
  <c r="X712" i="35"/>
  <c r="U712" i="35"/>
  <c r="X23" i="35"/>
  <c r="U23" i="35" s="1"/>
  <c r="G32" i="41"/>
  <c r="F32" i="41"/>
  <c r="E32" i="41"/>
  <c r="H32" i="41"/>
  <c r="X702" i="35"/>
  <c r="U702" i="35"/>
  <c r="X295" i="35"/>
  <c r="U295" i="35" s="1"/>
  <c r="J163" i="35" a="1"/>
  <c r="J163" i="35" s="1"/>
  <c r="D163" i="35" s="1"/>
  <c r="U641" i="35"/>
  <c r="X641" i="35"/>
  <c r="J325" i="35" a="1"/>
  <c r="J325" i="35" s="1"/>
  <c r="D325" i="35" s="1"/>
  <c r="C330" i="55" s="1"/>
  <c r="D330" i="55" s="1"/>
  <c r="X873" i="35"/>
  <c r="U873" i="35"/>
  <c r="X762" i="35"/>
  <c r="U762" i="35"/>
  <c r="X740" i="35"/>
  <c r="U740" i="35"/>
  <c r="X248" i="35"/>
  <c r="U248" i="35"/>
  <c r="X373" i="35"/>
  <c r="U373" i="35" s="1"/>
  <c r="X307" i="35"/>
  <c r="U307" i="35" s="1"/>
  <c r="X272" i="35"/>
  <c r="U272" i="35"/>
  <c r="J345" i="35" a="1"/>
  <c r="J345" i="35" s="1"/>
  <c r="D345" i="35" s="1"/>
  <c r="C350" i="55" s="1"/>
  <c r="D350" i="55" s="1"/>
  <c r="J206" i="35" a="1"/>
  <c r="J206" i="35" s="1"/>
  <c r="D206" i="35" s="1"/>
  <c r="C211" i="55" s="1"/>
  <c r="D211" i="55" s="1"/>
  <c r="X366" i="35"/>
  <c r="U366" i="35" s="1"/>
  <c r="J199" i="35" a="1"/>
  <c r="J199" i="35" s="1"/>
  <c r="D199" i="35" s="1"/>
  <c r="C204" i="55" s="1"/>
  <c r="D204" i="55" s="1"/>
  <c r="H537" i="41"/>
  <c r="X636" i="35"/>
  <c r="U636" i="35"/>
  <c r="X696" i="35"/>
  <c r="U696" i="35"/>
  <c r="X825" i="35"/>
  <c r="U825" i="35"/>
  <c r="X629" i="35"/>
  <c r="U629" i="35"/>
  <c r="U231" i="35"/>
  <c r="J554" i="35" a="1"/>
  <c r="J554" i="35" s="1"/>
  <c r="D554" i="35" s="1"/>
  <c r="C559" i="55" s="1"/>
  <c r="D559" i="55" s="1"/>
  <c r="J481" i="35" a="1"/>
  <c r="J481" i="35" s="1"/>
  <c r="D481" i="35" s="1"/>
  <c r="X283" i="35"/>
  <c r="U283" i="35"/>
  <c r="K127" i="35"/>
  <c r="J314" i="35" a="1"/>
  <c r="J314" i="35" s="1"/>
  <c r="D314" i="35" s="1"/>
  <c r="C319" i="55" s="1"/>
  <c r="D319" i="55" s="1"/>
  <c r="J138" i="35" a="1"/>
  <c r="J138" i="35" s="1"/>
  <c r="D138" i="35" s="1"/>
  <c r="X807" i="35"/>
  <c r="U807" i="35"/>
  <c r="J356" i="35" a="1"/>
  <c r="J356" i="35" s="1"/>
  <c r="D356" i="35" s="1"/>
  <c r="C361" i="55" s="1"/>
  <c r="D361" i="55" s="1"/>
  <c r="X204" i="35"/>
  <c r="U204" i="35"/>
  <c r="X557" i="35"/>
  <c r="U557" i="35"/>
  <c r="J192" i="35" a="1"/>
  <c r="J192" i="35" s="1"/>
  <c r="D192" i="35" s="1"/>
  <c r="C197" i="55" s="1"/>
  <c r="D197" i="55" s="1"/>
  <c r="X615" i="35"/>
  <c r="U615" i="35"/>
  <c r="U173" i="35"/>
  <c r="X280" i="35"/>
  <c r="U280" i="35"/>
  <c r="U163" i="35"/>
  <c r="X567" i="35"/>
  <c r="U567" i="35"/>
  <c r="X158" i="35"/>
  <c r="U158" i="35" s="1"/>
  <c r="X292" i="35"/>
  <c r="U292" i="35"/>
  <c r="J275" i="35" a="1"/>
  <c r="J275" i="35" s="1"/>
  <c r="D275" i="35" s="1"/>
  <c r="C280" i="55" s="1"/>
  <c r="D280" i="55" s="1"/>
  <c r="J168" i="35" a="1"/>
  <c r="J168" i="35" s="1"/>
  <c r="D168" i="35" s="1"/>
  <c r="X327" i="35"/>
  <c r="U327" i="35" s="1"/>
  <c r="X717" i="35"/>
  <c r="U717" i="35"/>
  <c r="X622" i="35"/>
  <c r="U622" i="35"/>
  <c r="U318" i="35"/>
  <c r="J299" i="35" a="1"/>
  <c r="J299" i="35" s="1"/>
  <c r="D299" i="35" s="1"/>
  <c r="C304" i="55" s="1"/>
  <c r="D304" i="55" s="1"/>
  <c r="J215" i="35" a="1"/>
  <c r="J215" i="35" s="1"/>
  <c r="D215" i="35" s="1"/>
  <c r="C220" i="55" s="1"/>
  <c r="D220" i="55" s="1"/>
  <c r="F538" i="41"/>
  <c r="U781" i="35"/>
  <c r="X216" i="35"/>
  <c r="U216" i="35"/>
  <c r="X568" i="35"/>
  <c r="U568" i="35"/>
  <c r="X767" i="35"/>
  <c r="U767" i="35"/>
  <c r="X779" i="35"/>
  <c r="U779" i="35"/>
  <c r="X691" i="35"/>
  <c r="U691" i="35"/>
  <c r="P90" i="35"/>
  <c r="W90" i="35"/>
  <c r="N90" i="35"/>
  <c r="L90" i="35"/>
  <c r="K90" i="35"/>
  <c r="O90" i="35"/>
  <c r="Y90" i="35"/>
  <c r="K67" i="35"/>
  <c r="L67" i="35"/>
  <c r="X713" i="35"/>
  <c r="U713" i="35"/>
  <c r="E531" i="41"/>
  <c r="H531" i="41"/>
  <c r="G531" i="41"/>
  <c r="F531" i="41"/>
  <c r="U205" i="35"/>
  <c r="X251" i="35"/>
  <c r="U251" i="35"/>
  <c r="X208" i="35"/>
  <c r="U208" i="35"/>
  <c r="X869" i="35"/>
  <c r="U869" i="35"/>
  <c r="X757" i="35"/>
  <c r="U757" i="35"/>
  <c r="X748" i="35"/>
  <c r="U748" i="35"/>
  <c r="F537" i="41"/>
  <c r="X301" i="35"/>
  <c r="U301" i="35" s="1"/>
  <c r="G529" i="41"/>
  <c r="H529" i="41"/>
  <c r="E529" i="41"/>
  <c r="F529" i="41"/>
  <c r="J25" i="35" a="1"/>
  <c r="J25" i="35" s="1"/>
  <c r="D25" i="35" s="1"/>
  <c r="X556" i="35"/>
  <c r="U556" i="35" s="1"/>
  <c r="X709" i="35"/>
  <c r="U709" i="35"/>
  <c r="X201" i="35"/>
  <c r="U201" i="35"/>
  <c r="J267" i="35" a="1"/>
  <c r="J267" i="35" s="1"/>
  <c r="D267" i="35" s="1"/>
  <c r="C272" i="55" s="1"/>
  <c r="D272" i="55" s="1"/>
  <c r="J324" i="35" a="1"/>
  <c r="J324" i="35" s="1"/>
  <c r="D324" i="35" s="1"/>
  <c r="C329" i="55" s="1"/>
  <c r="D329" i="55" s="1"/>
  <c r="F98" i="41"/>
  <c r="U313" i="35"/>
  <c r="X142" i="35"/>
  <c r="U142" i="35" s="1"/>
  <c r="X871" i="35"/>
  <c r="U871" i="35"/>
  <c r="X726" i="35"/>
  <c r="U726" i="35"/>
  <c r="J241" i="35" a="1"/>
  <c r="J241" i="35" s="1"/>
  <c r="D241" i="35" s="1"/>
  <c r="C246" i="55" s="1"/>
  <c r="D246" i="55" s="1"/>
  <c r="X830" i="35"/>
  <c r="U830" i="35"/>
  <c r="J354" i="35" a="1"/>
  <c r="J354" i="35" s="1"/>
  <c r="D354" i="35" s="1"/>
  <c r="C359" i="55" s="1"/>
  <c r="D359" i="55" s="1"/>
  <c r="E57" i="41"/>
  <c r="J295" i="35" a="1"/>
  <c r="J295" i="35" s="1"/>
  <c r="D295" i="35" s="1"/>
  <c r="C300" i="55" s="1"/>
  <c r="D300" i="55" s="1"/>
  <c r="J173" i="35" a="1"/>
  <c r="J173" i="35" s="1"/>
  <c r="D173" i="35" s="1"/>
  <c r="X700" i="35"/>
  <c r="U700" i="35"/>
  <c r="X34" i="35"/>
  <c r="U34" i="35"/>
  <c r="J377" i="35" a="1"/>
  <c r="J377" i="35" s="1"/>
  <c r="D377" i="35" s="1"/>
  <c r="X378" i="35"/>
  <c r="U378" i="35"/>
  <c r="X24" i="35"/>
  <c r="U24" i="35"/>
  <c r="X168" i="35"/>
  <c r="U168" i="35" s="1"/>
  <c r="X135" i="35"/>
  <c r="U135" i="35" s="1"/>
  <c r="X626" i="35"/>
  <c r="U626" i="35"/>
  <c r="X746" i="35"/>
  <c r="U746" i="35"/>
  <c r="X607" i="35"/>
  <c r="U607" i="35"/>
  <c r="X226" i="35"/>
  <c r="U226" i="35"/>
  <c r="U692" i="35"/>
  <c r="X224" i="35"/>
  <c r="U224" i="35"/>
  <c r="X690" i="35"/>
  <c r="U690" i="35"/>
  <c r="J287" i="35" a="1"/>
  <c r="J287" i="35" s="1"/>
  <c r="D287" i="35" s="1"/>
  <c r="C292" i="55" s="1"/>
  <c r="D292" i="55" s="1"/>
  <c r="J318" i="35" a="1"/>
  <c r="J318" i="35" s="1"/>
  <c r="D318" i="35" s="1"/>
  <c r="C323" i="55" s="1"/>
  <c r="D323" i="55" s="1"/>
  <c r="U599" i="35"/>
  <c r="J375" i="35" a="1"/>
  <c r="J375" i="35" s="1"/>
  <c r="D375" i="35" s="1"/>
  <c r="G538" i="41"/>
  <c r="E63" i="41"/>
  <c r="G63" i="41"/>
  <c r="F63" i="41"/>
  <c r="H63" i="41"/>
  <c r="X364" i="35"/>
  <c r="U364" i="35" s="1"/>
  <c r="X270" i="35"/>
  <c r="U270" i="35"/>
  <c r="X289" i="35"/>
  <c r="U289" i="35"/>
  <c r="J260" i="35" a="1"/>
  <c r="J260" i="35" s="1"/>
  <c r="D260" i="35" s="1"/>
  <c r="C265" i="55" s="1"/>
  <c r="D265" i="55" s="1"/>
  <c r="O577" i="35"/>
  <c r="W577" i="35"/>
  <c r="K577" i="35"/>
  <c r="N577" i="35"/>
  <c r="L577" i="35"/>
  <c r="M577" i="35"/>
  <c r="P577" i="35"/>
  <c r="E27" i="41"/>
  <c r="G27" i="41"/>
  <c r="X223" i="35"/>
  <c r="U223" i="35"/>
  <c r="X25" i="35"/>
  <c r="U25" i="35" s="1"/>
  <c r="J291" i="35" a="1"/>
  <c r="J291" i="35" s="1"/>
  <c r="D291" i="35" s="1"/>
  <c r="C296" i="55" s="1"/>
  <c r="D296" i="55" s="1"/>
  <c r="X22" i="35"/>
  <c r="U22" i="35" s="1"/>
  <c r="X809" i="35"/>
  <c r="U809" i="35" s="1"/>
  <c r="G532" i="41"/>
  <c r="E532" i="41"/>
  <c r="H532" i="41"/>
  <c r="F532" i="41"/>
  <c r="X225" i="35"/>
  <c r="U225" i="35"/>
  <c r="X212" i="35"/>
  <c r="U212" i="35"/>
  <c r="X841" i="35"/>
  <c r="U841" i="35"/>
  <c r="J234" i="35" a="1"/>
  <c r="J234" i="35" s="1"/>
  <c r="D234" i="35" s="1"/>
  <c r="C239" i="55" s="1"/>
  <c r="D239" i="55" s="1"/>
  <c r="X633" i="35"/>
  <c r="U633" i="35"/>
  <c r="X731" i="35"/>
  <c r="U731" i="35"/>
  <c r="X241" i="35"/>
  <c r="U241" i="35"/>
  <c r="X863" i="35"/>
  <c r="U863" i="35"/>
  <c r="U744" i="35"/>
  <c r="J280" i="35" a="1"/>
  <c r="J280" i="35" s="1"/>
  <c r="D280" i="35" s="1"/>
  <c r="C285" i="55" s="1"/>
  <c r="D285" i="55" s="1"/>
  <c r="E90" i="41"/>
  <c r="F90" i="41"/>
  <c r="H90" i="41"/>
  <c r="G90" i="41"/>
  <c r="X236" i="35"/>
  <c r="U236" i="35"/>
  <c r="X271" i="35"/>
  <c r="U271" i="35"/>
  <c r="J292" i="35" a="1"/>
  <c r="J292" i="35" s="1"/>
  <c r="D292" i="35" s="1"/>
  <c r="C297" i="55" s="1"/>
  <c r="D297" i="55" s="1"/>
  <c r="C29" i="55"/>
  <c r="D29" i="55" s="1"/>
  <c r="D23" i="2"/>
  <c r="J185" i="35" a="1"/>
  <c r="J185" i="35" s="1"/>
  <c r="D185" i="35" s="1"/>
  <c r="C190" i="55" s="1"/>
  <c r="D190" i="55" s="1"/>
  <c r="X361" i="35"/>
  <c r="U361" i="35" s="1"/>
  <c r="J320" i="35" a="1"/>
  <c r="J320" i="35" s="1"/>
  <c r="D320" i="35" s="1"/>
  <c r="C325" i="55" s="1"/>
  <c r="D325" i="55" s="1"/>
  <c r="J208" i="35" a="1"/>
  <c r="J208" i="35" s="1"/>
  <c r="D208" i="35" s="1"/>
  <c r="C213" i="55" s="1"/>
  <c r="D213" i="55" s="1"/>
  <c r="X778" i="35"/>
  <c r="U778" i="35"/>
  <c r="X148" i="35"/>
  <c r="U148" i="35" s="1"/>
  <c r="J338" i="35" a="1"/>
  <c r="J338" i="35" s="1"/>
  <c r="D338" i="35" s="1"/>
  <c r="C343" i="55" s="1"/>
  <c r="D343" i="55" s="1"/>
  <c r="J191" i="35" a="1"/>
  <c r="J191" i="35" s="1"/>
  <c r="D191" i="35" s="1"/>
  <c r="C196" i="55" s="1"/>
  <c r="D196" i="55" s="1"/>
  <c r="J152" i="35" a="1"/>
  <c r="J152" i="35" s="1"/>
  <c r="D152" i="35" s="1"/>
  <c r="G398" i="35"/>
  <c r="B403" i="55"/>
  <c r="G84" i="35"/>
  <c r="B89" i="55"/>
  <c r="X822" i="35"/>
  <c r="U822" i="35"/>
  <c r="J227" i="35" a="1"/>
  <c r="J227" i="35" s="1"/>
  <c r="D227" i="35" s="1"/>
  <c r="C232" i="55" s="1"/>
  <c r="D232" i="55" s="1"/>
  <c r="X145" i="35"/>
  <c r="U145" i="35" s="1"/>
  <c r="G92" i="41"/>
  <c r="H92" i="41"/>
  <c r="E92" i="41"/>
  <c r="F92" i="41"/>
  <c r="X842" i="35"/>
  <c r="U842" i="35"/>
  <c r="U561" i="35"/>
  <c r="X561" i="35"/>
  <c r="J202" i="35" a="1"/>
  <c r="J202" i="35" s="1"/>
  <c r="D202" i="35" s="1"/>
  <c r="C207" i="55" s="1"/>
  <c r="D207" i="55" s="1"/>
  <c r="X170" i="35"/>
  <c r="U170" i="35" s="1"/>
  <c r="J263" i="35" a="1"/>
  <c r="J263" i="35" s="1"/>
  <c r="D263" i="35" s="1"/>
  <c r="C268" i="55" s="1"/>
  <c r="D268" i="55" s="1"/>
  <c r="J305" i="35" a="1"/>
  <c r="J305" i="35" s="1"/>
  <c r="D305" i="35" s="1"/>
  <c r="C310" i="55" s="1"/>
  <c r="D310" i="55" s="1"/>
  <c r="X368" i="35"/>
  <c r="U368" i="35" s="1"/>
  <c r="X601" i="35"/>
  <c r="U601" i="35"/>
  <c r="X679" i="35"/>
  <c r="U679" i="35"/>
  <c r="J328" i="35" a="1"/>
  <c r="J328" i="35" s="1"/>
  <c r="D328" i="35" s="1"/>
  <c r="C333" i="55" s="1"/>
  <c r="D333" i="55" s="1"/>
  <c r="J236" i="35" a="1"/>
  <c r="J236" i="35" s="1"/>
  <c r="D236" i="35" s="1"/>
  <c r="C241" i="55" s="1"/>
  <c r="D241" i="55" s="1"/>
  <c r="J350" i="35" a="1"/>
  <c r="J350" i="35" s="1"/>
  <c r="D350" i="35" s="1"/>
  <c r="C355" i="55" s="1"/>
  <c r="D355" i="55" s="1"/>
  <c r="J135" i="35" a="1"/>
  <c r="J135" i="35" s="1"/>
  <c r="D135" i="35" s="1"/>
  <c r="X619" i="35"/>
  <c r="U619" i="35"/>
  <c r="J480" i="35" a="1"/>
  <c r="J480" i="35" s="1"/>
  <c r="D480" i="35" s="1"/>
  <c r="J242" i="35" a="1"/>
  <c r="J242" i="35" s="1"/>
  <c r="D242" i="35" s="1"/>
  <c r="C247" i="55" s="1"/>
  <c r="D247" i="55" s="1"/>
  <c r="U338" i="35"/>
  <c r="X836" i="35"/>
  <c r="U836" i="35"/>
  <c r="U671" i="35"/>
  <c r="J256" i="35" a="1"/>
  <c r="J256" i="35" s="1"/>
  <c r="D256" i="35" s="1"/>
  <c r="C261" i="55" s="1"/>
  <c r="D261" i="55" s="1"/>
  <c r="X851" i="35"/>
  <c r="U851" i="35"/>
  <c r="J196" i="35" a="1"/>
  <c r="J196" i="35" s="1"/>
  <c r="D196" i="35" s="1"/>
  <c r="C201" i="55" s="1"/>
  <c r="D201" i="55" s="1"/>
  <c r="E62" i="41"/>
  <c r="H62" i="41"/>
  <c r="F62" i="41"/>
  <c r="G62" i="41"/>
  <c r="J294" i="35" a="1"/>
  <c r="J294" i="35" s="1"/>
  <c r="D294" i="35" s="1"/>
  <c r="C299" i="55" s="1"/>
  <c r="D299" i="55" s="1"/>
  <c r="J329" i="35" a="1"/>
  <c r="J329" i="35" s="1"/>
  <c r="D329" i="35" s="1"/>
  <c r="C334" i="55" s="1"/>
  <c r="D334" i="55" s="1"/>
  <c r="X667" i="35"/>
  <c r="U667" i="35"/>
  <c r="J289" i="35" a="1"/>
  <c r="J289" i="35" s="1"/>
  <c r="D289" i="35" s="1"/>
  <c r="C294" i="55" s="1"/>
  <c r="D294" i="55" s="1"/>
  <c r="X481" i="35"/>
  <c r="U481" i="35"/>
  <c r="X153" i="35"/>
  <c r="U153" i="35" s="1"/>
  <c r="J107" i="35" a="1"/>
  <c r="J107" i="35" s="1"/>
  <c r="D107" i="35" s="1"/>
  <c r="J310" i="35" a="1"/>
  <c r="J310" i="35" s="1"/>
  <c r="D310" i="35" s="1"/>
  <c r="C315" i="55" s="1"/>
  <c r="D315" i="55" s="1"/>
  <c r="U245" i="35"/>
  <c r="X245" i="35"/>
  <c r="K578" i="35"/>
  <c r="B204" i="41"/>
  <c r="X376" i="35"/>
  <c r="U376" i="35"/>
  <c r="X322" i="35"/>
  <c r="U322" i="35" s="1"/>
  <c r="X380" i="35"/>
  <c r="U380" i="35"/>
  <c r="X826" i="35"/>
  <c r="U826" i="35"/>
  <c r="X176" i="35"/>
  <c r="U176" i="35"/>
  <c r="X558" i="35"/>
  <c r="U558" i="35"/>
  <c r="X202" i="35"/>
  <c r="U202" i="35"/>
  <c r="X592" i="35"/>
  <c r="U592" i="35"/>
  <c r="J225" i="35" a="1"/>
  <c r="J225" i="35" s="1"/>
  <c r="D225" i="35" s="1"/>
  <c r="C230" i="55" s="1"/>
  <c r="D230" i="55" s="1"/>
  <c r="X342" i="35"/>
  <c r="U342" i="35" s="1"/>
  <c r="U344" i="35"/>
  <c r="X227" i="35"/>
  <c r="U227" i="35"/>
  <c r="X571" i="35"/>
  <c r="U571" i="35"/>
  <c r="X230" i="35"/>
  <c r="U230" i="35"/>
  <c r="X804" i="35"/>
  <c r="U804" i="35"/>
  <c r="J232" i="35" a="1"/>
  <c r="J232" i="35" s="1"/>
  <c r="D232" i="35" s="1"/>
  <c r="C237" i="55" s="1"/>
  <c r="D237" i="55" s="1"/>
  <c r="J229" i="35" a="1"/>
  <c r="J229" i="35" s="1"/>
  <c r="D229" i="35" s="1"/>
  <c r="C234" i="55" s="1"/>
  <c r="D234" i="55" s="1"/>
  <c r="X180" i="35"/>
  <c r="U180" i="35"/>
  <c r="X738" i="35"/>
  <c r="U738" i="35"/>
  <c r="J559" i="35" a="1"/>
  <c r="J559" i="35" s="1"/>
  <c r="D559" i="35" s="1"/>
  <c r="J335" i="35" a="1"/>
  <c r="J335" i="35" s="1"/>
  <c r="D335" i="35" s="1"/>
  <c r="C340" i="55" s="1"/>
  <c r="D340" i="55" s="1"/>
  <c r="X733" i="35"/>
  <c r="U733" i="35"/>
  <c r="X870" i="35"/>
  <c r="U870" i="35"/>
  <c r="X730" i="35"/>
  <c r="U730" i="35"/>
  <c r="X666" i="35"/>
  <c r="U666" i="35"/>
  <c r="X643" i="35"/>
  <c r="U643" i="35"/>
  <c r="J344" i="35" a="1"/>
  <c r="J344" i="35" s="1"/>
  <c r="D344" i="35" s="1"/>
  <c r="C349" i="55" s="1"/>
  <c r="D349" i="55" s="1"/>
  <c r="X784" i="35"/>
  <c r="U784" i="35"/>
  <c r="J561" i="35" a="1"/>
  <c r="J561" i="35" s="1"/>
  <c r="D561" i="35" s="1"/>
  <c r="J246" i="35" a="1"/>
  <c r="J246" i="35" s="1"/>
  <c r="D246" i="35" s="1"/>
  <c r="C251" i="55" s="1"/>
  <c r="D251" i="55" s="1"/>
  <c r="X787" i="35"/>
  <c r="U787" i="35"/>
  <c r="U263" i="35"/>
  <c r="J331" i="35" a="1"/>
  <c r="J331" i="35" s="1"/>
  <c r="D331" i="35" s="1"/>
  <c r="C336" i="55" s="1"/>
  <c r="D336" i="55" s="1"/>
  <c r="X827" i="35"/>
  <c r="U827" i="35"/>
  <c r="U642" i="35"/>
  <c r="X648" i="35"/>
  <c r="U648" i="35"/>
  <c r="X566" i="35"/>
  <c r="U566" i="35"/>
  <c r="X819" i="35"/>
  <c r="U819" i="35"/>
  <c r="U328" i="35"/>
  <c r="X724" i="35"/>
  <c r="U724" i="35"/>
  <c r="J157" i="35" a="1"/>
  <c r="J157" i="35" s="1"/>
  <c r="D157" i="35" s="1"/>
  <c r="J158" i="35" a="1"/>
  <c r="J158" i="35" s="1"/>
  <c r="D158" i="35" s="1"/>
  <c r="X371" i="35"/>
  <c r="U371" i="35" s="1"/>
  <c r="J200" i="35" a="1"/>
  <c r="J200" i="35" s="1"/>
  <c r="D200" i="35" s="1"/>
  <c r="C205" i="55" s="1"/>
  <c r="D205" i="55" s="1"/>
  <c r="X377" i="35"/>
  <c r="U377" i="35"/>
  <c r="J277" i="35" a="1"/>
  <c r="J277" i="35" s="1"/>
  <c r="D277" i="35" s="1"/>
  <c r="C282" i="55" s="1"/>
  <c r="D282" i="55" s="1"/>
  <c r="X742" i="35"/>
  <c r="U742" i="35"/>
  <c r="X609" i="35"/>
  <c r="U609" i="35"/>
  <c r="J327" i="35" a="1"/>
  <c r="J327" i="35" s="1"/>
  <c r="D327" i="35" s="1"/>
  <c r="C332" i="55" s="1"/>
  <c r="D332" i="55" s="1"/>
  <c r="X725" i="35"/>
  <c r="U725" i="35"/>
  <c r="J251" i="35" a="1"/>
  <c r="J251" i="35" s="1"/>
  <c r="D251" i="35" s="1"/>
  <c r="C256" i="55" s="1"/>
  <c r="D256" i="55" s="1"/>
  <c r="U321" i="35"/>
  <c r="X670" i="35"/>
  <c r="U670" i="35"/>
  <c r="X203" i="35"/>
  <c r="U203" i="35"/>
  <c r="U151" i="35"/>
  <c r="X686" i="35"/>
  <c r="U686" i="35"/>
  <c r="X768" i="35"/>
  <c r="U768" i="35"/>
  <c r="X858" i="35"/>
  <c r="U858" i="35"/>
  <c r="X287" i="35"/>
  <c r="U287" i="35"/>
  <c r="J155" i="35" a="1"/>
  <c r="J155" i="35" s="1"/>
  <c r="D155" i="35" s="1"/>
  <c r="X850" i="35"/>
  <c r="U850" i="35"/>
  <c r="J560" i="35" a="1"/>
  <c r="J560" i="35" s="1"/>
  <c r="D560" i="35" s="1"/>
  <c r="J211" i="35" a="1"/>
  <c r="J211" i="35" s="1"/>
  <c r="D211" i="35" s="1"/>
  <c r="C216" i="55" s="1"/>
  <c r="D216" i="55" s="1"/>
  <c r="F61" i="41"/>
  <c r="E61" i="41"/>
  <c r="H61" i="41"/>
  <c r="G61" i="41"/>
  <c r="E9" i="41"/>
  <c r="H9" i="41"/>
  <c r="G9" i="41"/>
  <c r="F9" i="41"/>
  <c r="J5" i="35" a="1"/>
  <c r="J5" i="35" s="1"/>
  <c r="D5" i="35" s="1"/>
  <c r="X479" i="35"/>
  <c r="U479" i="35"/>
  <c r="X260" i="35"/>
  <c r="U260" i="35"/>
  <c r="J174" i="35" a="1"/>
  <c r="J174" i="35" s="1"/>
  <c r="D174" i="35" s="1"/>
  <c r="C179" i="55" s="1"/>
  <c r="D179" i="55" s="1"/>
  <c r="X335" i="35"/>
  <c r="U335" i="35" s="1"/>
  <c r="X610" i="35"/>
  <c r="U610" i="35"/>
  <c r="X232" i="35"/>
  <c r="U232" i="35"/>
  <c r="J230" i="35" a="1"/>
  <c r="J230" i="35" s="1"/>
  <c r="D230" i="35" s="1"/>
  <c r="C235" i="55" s="1"/>
  <c r="D235" i="55" s="1"/>
  <c r="X591" i="35"/>
  <c r="U591" i="35"/>
  <c r="X278" i="35"/>
  <c r="U278" i="35"/>
  <c r="X354" i="35"/>
  <c r="U354" i="35" s="1"/>
  <c r="J371" i="35" a="1"/>
  <c r="J371" i="35" s="1"/>
  <c r="D371" i="35" s="1"/>
  <c r="C376" i="55" s="1"/>
  <c r="D376" i="55" s="1"/>
  <c r="J201" i="35" a="1"/>
  <c r="J201" i="35" s="1"/>
  <c r="D201" i="35" s="1"/>
  <c r="C206" i="55" s="1"/>
  <c r="D206" i="55" s="1"/>
  <c r="J313" i="35" a="1"/>
  <c r="J313" i="35" s="1"/>
  <c r="D313" i="35" s="1"/>
  <c r="C318" i="55" s="1"/>
  <c r="D318" i="55" s="1"/>
  <c r="X689" i="35"/>
  <c r="U689" i="35"/>
  <c r="X267" i="35"/>
  <c r="U267" i="35"/>
  <c r="X35" i="35"/>
  <c r="U35" i="35"/>
  <c r="J134" i="35" a="1"/>
  <c r="J134" i="35" s="1"/>
  <c r="D134" i="35" s="1"/>
  <c r="X139" i="35"/>
  <c r="U139" i="35" s="1"/>
  <c r="J355" i="35" a="1"/>
  <c r="J355" i="35" s="1"/>
  <c r="D355" i="35" s="1"/>
  <c r="C360" i="55" s="1"/>
  <c r="D360" i="55" s="1"/>
  <c r="J478" i="35" a="1"/>
  <c r="J478" i="35" s="1"/>
  <c r="D478" i="35" s="1"/>
  <c r="X254" i="35"/>
  <c r="U254" i="35"/>
  <c r="X674" i="35"/>
  <c r="U674" i="35"/>
  <c r="X305" i="35"/>
  <c r="U305" i="35" s="1"/>
  <c r="J368" i="35" a="1"/>
  <c r="J368" i="35" s="1"/>
  <c r="D368" i="35" s="1"/>
  <c r="C373" i="55" s="1"/>
  <c r="D373" i="55" s="1"/>
  <c r="X815" i="35"/>
  <c r="U815" i="35"/>
  <c r="X594" i="35"/>
  <c r="U594" i="35"/>
  <c r="G91" i="41"/>
  <c r="E91" i="41"/>
  <c r="F91" i="41"/>
  <c r="H91" i="41"/>
  <c r="J363" i="35" a="1"/>
  <c r="J363" i="35" s="1"/>
  <c r="D363" i="35" s="1"/>
  <c r="C368" i="55" s="1"/>
  <c r="D368" i="55" s="1"/>
  <c r="X350" i="35"/>
  <c r="U350" i="35" s="1"/>
  <c r="J217" i="35" a="1"/>
  <c r="J217" i="35" s="1"/>
  <c r="D217" i="35" s="1"/>
  <c r="C222" i="55" s="1"/>
  <c r="D222" i="55" s="1"/>
  <c r="U187" i="35"/>
  <c r="J171" i="35" a="1"/>
  <c r="J171" i="35" s="1"/>
  <c r="D171" i="35" s="1"/>
  <c r="X640" i="35"/>
  <c r="U640" i="35"/>
  <c r="X734" i="35"/>
  <c r="U734" i="35"/>
  <c r="U720" i="35"/>
  <c r="J226" i="35" a="1"/>
  <c r="J226" i="35" s="1"/>
  <c r="D226" i="35" s="1"/>
  <c r="C231" i="55" s="1"/>
  <c r="D231" i="55" s="1"/>
  <c r="X638" i="35"/>
  <c r="U638" i="35"/>
  <c r="J151" i="35" a="1"/>
  <c r="J151" i="35" s="1"/>
  <c r="D151" i="35" s="1"/>
  <c r="J483" i="35" a="1"/>
  <c r="J483" i="35" s="1"/>
  <c r="D483" i="35" s="1"/>
  <c r="X242" i="35"/>
  <c r="U242" i="35"/>
  <c r="U652" i="35"/>
  <c r="X215" i="35"/>
  <c r="U215" i="35"/>
  <c r="U353" i="35"/>
  <c r="F64" i="41"/>
  <c r="H64" i="41"/>
  <c r="E64" i="41"/>
  <c r="G64" i="41"/>
  <c r="J364" i="35" a="1"/>
  <c r="J364" i="35" s="1"/>
  <c r="D364" i="35" s="1"/>
  <c r="C369" i="55" s="1"/>
  <c r="D369" i="55" s="1"/>
  <c r="U5" i="35"/>
  <c r="X644" i="35"/>
  <c r="U644" i="35"/>
  <c r="X759" i="35"/>
  <c r="U759" i="35"/>
  <c r="X596" i="35"/>
  <c r="U596" i="35"/>
  <c r="X775" i="35"/>
  <c r="U775" i="35"/>
  <c r="U310" i="35"/>
  <c r="N40" i="35"/>
  <c r="J145" i="35" a="1"/>
  <c r="J145" i="35" s="1"/>
  <c r="D145" i="35" s="1"/>
  <c r="X146" i="35"/>
  <c r="U146" i="35" s="1"/>
  <c r="J293" i="35" a="1"/>
  <c r="J293" i="35" s="1"/>
  <c r="D293" i="35" s="1"/>
  <c r="C298" i="55" s="1"/>
  <c r="D298" i="55" s="1"/>
  <c r="X229" i="35"/>
  <c r="U229" i="35"/>
  <c r="X210" i="35"/>
  <c r="U210" i="35"/>
  <c r="U716" i="35"/>
  <c r="X716" i="35"/>
  <c r="X602" i="35"/>
  <c r="U602" i="35"/>
  <c r="J205" i="35" a="1"/>
  <c r="J205" i="35" s="1"/>
  <c r="D205" i="35" s="1"/>
  <c r="C210" i="55" s="1"/>
  <c r="D210" i="55" s="1"/>
  <c r="X682" i="35"/>
  <c r="U682" i="35"/>
  <c r="J210" i="35" a="1"/>
  <c r="J210" i="35" s="1"/>
  <c r="D210" i="35" s="1"/>
  <c r="C215" i="55" s="1"/>
  <c r="D215" i="55" s="1"/>
  <c r="X857" i="35"/>
  <c r="U857" i="35"/>
  <c r="J212" i="35" a="1"/>
  <c r="J212" i="35" s="1"/>
  <c r="D212" i="35" s="1"/>
  <c r="C217" i="55" s="1"/>
  <c r="D217" i="55" s="1"/>
  <c r="C563" i="55"/>
  <c r="D563" i="55" s="1"/>
  <c r="E94" i="47"/>
  <c r="J161" i="35" a="1"/>
  <c r="J161" i="35" s="1"/>
  <c r="D161" i="35" s="1"/>
  <c r="J139" i="35" a="1"/>
  <c r="J139" i="35" s="1"/>
  <c r="D139" i="35" s="1"/>
  <c r="X355" i="35"/>
  <c r="U355" i="35" s="1"/>
  <c r="U218" i="35"/>
  <c r="X735" i="35"/>
  <c r="U735" i="35"/>
  <c r="J169" i="35" a="1"/>
  <c r="J169" i="35" s="1"/>
  <c r="D169" i="35" s="1"/>
  <c r="X770" i="35"/>
  <c r="U770" i="35"/>
  <c r="X259" i="35"/>
  <c r="U259" i="35"/>
  <c r="J179" i="35" a="1"/>
  <c r="J179" i="35" s="1"/>
  <c r="D179" i="35" s="1"/>
  <c r="C184" i="55" s="1"/>
  <c r="D184" i="55" s="1"/>
  <c r="J278" i="35" a="1"/>
  <c r="J278" i="35" s="1"/>
  <c r="D278" i="35" s="1"/>
  <c r="C283" i="55" s="1"/>
  <c r="D283" i="55" s="1"/>
  <c r="X181" i="35"/>
  <c r="U181" i="35"/>
  <c r="X286" i="35"/>
  <c r="U286" i="35"/>
  <c r="X811" i="35"/>
  <c r="U811" i="35"/>
  <c r="X293" i="35"/>
  <c r="U293" i="35"/>
  <c r="X157" i="35"/>
  <c r="U157" i="35" s="1"/>
  <c r="X786" i="35"/>
  <c r="U786" i="35"/>
  <c r="J164" i="35" a="1"/>
  <c r="J164" i="35" s="1"/>
  <c r="D164" i="35" s="1"/>
  <c r="X814" i="35"/>
  <c r="U814" i="35"/>
  <c r="U308" i="35"/>
  <c r="J187" i="35" a="1"/>
  <c r="J187" i="35" s="1"/>
  <c r="D187" i="35" s="1"/>
  <c r="C192" i="55" s="1"/>
  <c r="D192" i="55" s="1"/>
  <c r="J250" i="35" a="1"/>
  <c r="J250" i="35" s="1"/>
  <c r="D250" i="35" s="1"/>
  <c r="C255" i="55" s="1"/>
  <c r="D255" i="55" s="1"/>
  <c r="X839" i="35"/>
  <c r="U839" i="35"/>
  <c r="J203" i="35" a="1"/>
  <c r="J203" i="35" s="1"/>
  <c r="D203" i="35" s="1"/>
  <c r="C208" i="55" s="1"/>
  <c r="D208" i="55" s="1"/>
  <c r="X590" i="35"/>
  <c r="U590" i="35"/>
  <c r="J382" i="35" a="1"/>
  <c r="J382" i="35" s="1"/>
  <c r="D382" i="35" s="1"/>
  <c r="J193" i="35" a="1"/>
  <c r="J193" i="35" s="1"/>
  <c r="D193" i="35" s="1"/>
  <c r="C198" i="55" s="1"/>
  <c r="D198" i="55" s="1"/>
  <c r="X698" i="35"/>
  <c r="U698" i="35"/>
  <c r="X480" i="35"/>
  <c r="U480" i="35"/>
  <c r="X238" i="35"/>
  <c r="U238" i="35"/>
  <c r="J343" i="35" a="1"/>
  <c r="J343" i="35" s="1"/>
  <c r="D343" i="35" s="1"/>
  <c r="C348" i="55" s="1"/>
  <c r="D348" i="55" s="1"/>
  <c r="U560" i="35"/>
  <c r="X211" i="35"/>
  <c r="U211" i="35"/>
  <c r="J28" i="35" a="1"/>
  <c r="J28" i="35" s="1"/>
  <c r="D28" i="35" s="1"/>
  <c r="J301" i="35" a="1"/>
  <c r="J301" i="35" s="1"/>
  <c r="D301" i="35" s="1"/>
  <c r="C306" i="55" s="1"/>
  <c r="D306" i="55" s="1"/>
  <c r="U244" i="35"/>
  <c r="J270" i="35" a="1"/>
  <c r="J270" i="35" s="1"/>
  <c r="D270" i="35" s="1"/>
  <c r="C275" i="55" s="1"/>
  <c r="D275" i="55" s="1"/>
  <c r="J365" i="35" a="1"/>
  <c r="J365" i="35" s="1"/>
  <c r="D365" i="35" s="1"/>
  <c r="C370" i="55" s="1"/>
  <c r="D370" i="55" s="1"/>
  <c r="H28" i="41"/>
  <c r="F28" i="41"/>
  <c r="X657" i="35"/>
  <c r="U657" i="35"/>
  <c r="H530" i="41"/>
  <c r="G530" i="41"/>
  <c r="F530" i="41"/>
  <c r="E530" i="41"/>
  <c r="J218" i="35" a="1"/>
  <c r="J218" i="35" s="1"/>
  <c r="D218" i="35" s="1"/>
  <c r="C223" i="55" s="1"/>
  <c r="D223" i="55" s="1"/>
  <c r="X559" i="35"/>
  <c r="U559" i="35"/>
  <c r="X190" i="35"/>
  <c r="U190" i="35"/>
  <c r="J376" i="35" a="1"/>
  <c r="J376" i="35" s="1"/>
  <c r="D376" i="35" s="1"/>
  <c r="X360" i="35"/>
  <c r="U360" i="35" s="1"/>
  <c r="J170" i="35" a="1"/>
  <c r="J170" i="35" s="1"/>
  <c r="D170" i="35" s="1"/>
  <c r="U862" i="35"/>
  <c r="X866" i="35"/>
  <c r="U866" i="35"/>
  <c r="J312" i="35" a="1"/>
  <c r="J312" i="35" s="1"/>
  <c r="D312" i="35" s="1"/>
  <c r="C317" i="55" s="1"/>
  <c r="D317" i="55" s="1"/>
  <c r="J249" i="35" a="1"/>
  <c r="J249" i="35" s="1"/>
  <c r="D249" i="35" s="1"/>
  <c r="C254" i="55" s="1"/>
  <c r="D254" i="55" s="1"/>
  <c r="X246" i="35"/>
  <c r="U246" i="35"/>
  <c r="J259" i="35" a="1"/>
  <c r="J259" i="35" s="1"/>
  <c r="D259" i="35" s="1"/>
  <c r="C264" i="55" s="1"/>
  <c r="D264" i="55" s="1"/>
  <c r="U134" i="35"/>
  <c r="X192" i="35"/>
  <c r="U192" i="35" s="1"/>
  <c r="X776" i="35"/>
  <c r="U776" i="35"/>
  <c r="J165" i="35" a="1"/>
  <c r="J165" i="35" s="1"/>
  <c r="D165" i="35" s="1"/>
  <c r="X743" i="35"/>
  <c r="U743" i="35"/>
  <c r="E89" i="41"/>
  <c r="G89" i="41"/>
  <c r="H89" i="41"/>
  <c r="F89" i="41"/>
  <c r="U363" i="35"/>
  <c r="X606" i="35"/>
  <c r="U606" i="35"/>
  <c r="J237" i="35" a="1"/>
  <c r="J237" i="35" s="1"/>
  <c r="D237" i="35" s="1"/>
  <c r="C242" i="55" s="1"/>
  <c r="D242" i="55" s="1"/>
  <c r="X846" i="35"/>
  <c r="U846" i="35"/>
  <c r="X764" i="35"/>
  <c r="U764" i="35"/>
  <c r="X595" i="35"/>
  <c r="U595" i="35"/>
  <c r="X598" i="35"/>
  <c r="U598" i="35"/>
  <c r="X676" i="35"/>
  <c r="U676" i="35"/>
  <c r="X228" i="35"/>
  <c r="U228" i="35"/>
  <c r="J144" i="35" a="1"/>
  <c r="J144" i="35" s="1"/>
  <c r="D144" i="35" s="1"/>
  <c r="J156" i="35" a="1"/>
  <c r="J156" i="35" s="1"/>
  <c r="D156" i="35" s="1"/>
  <c r="U317" i="35"/>
  <c r="J195" i="35" a="1"/>
  <c r="J195" i="35" s="1"/>
  <c r="D195" i="35" s="1"/>
  <c r="C200" i="55" s="1"/>
  <c r="D200" i="55" s="1"/>
  <c r="X155" i="35"/>
  <c r="U155" i="35" s="1"/>
  <c r="J148" i="35" a="1"/>
  <c r="J148" i="35" s="1"/>
  <c r="D148" i="35" s="1"/>
  <c r="X687" i="35"/>
  <c r="U687" i="35"/>
  <c r="J268" i="35" a="1"/>
  <c r="J268" i="35" s="1"/>
  <c r="D268" i="35" s="1"/>
  <c r="C273" i="55" s="1"/>
  <c r="D273" i="55" s="1"/>
  <c r="E537" i="41"/>
  <c r="J304" i="35" a="1"/>
  <c r="J304" i="35" s="1"/>
  <c r="D304" i="35" s="1"/>
  <c r="C309" i="55" s="1"/>
  <c r="D309" i="55" s="1"/>
  <c r="J353" i="35" a="1"/>
  <c r="J353" i="35" s="1"/>
  <c r="D353" i="35" s="1"/>
  <c r="C358" i="55" s="1"/>
  <c r="D358" i="55" s="1"/>
  <c r="X256" i="35"/>
  <c r="U256" i="35"/>
  <c r="X771" i="35"/>
  <c r="U771" i="35"/>
  <c r="X191" i="35"/>
  <c r="U191" i="35"/>
  <c r="X4" i="35"/>
  <c r="U4" i="35"/>
  <c r="X868" i="35"/>
  <c r="U868" i="35"/>
  <c r="X684" i="35"/>
  <c r="U684" i="35"/>
  <c r="U813" i="35"/>
  <c r="X832" i="35"/>
  <c r="U832" i="35"/>
  <c r="C240" i="41"/>
  <c r="X829" i="35"/>
  <c r="U829" i="35"/>
  <c r="X164" i="35"/>
  <c r="U164" i="35" s="1"/>
  <c r="X653" i="35"/>
  <c r="U653" i="35"/>
  <c r="X623" i="35"/>
  <c r="U623" i="35"/>
  <c r="X375" i="35"/>
  <c r="U375" i="35"/>
  <c r="U152" i="35"/>
  <c r="X613" i="35"/>
  <c r="U613" i="35"/>
  <c r="J359" i="35" a="1"/>
  <c r="J359" i="35" s="1"/>
  <c r="D359" i="35" s="1"/>
  <c r="C364" i="55" s="1"/>
  <c r="D364" i="55" s="1"/>
  <c r="J298" i="35" a="1"/>
  <c r="J298" i="35" s="1"/>
  <c r="D298" i="35" s="1"/>
  <c r="C303" i="55" s="1"/>
  <c r="D303" i="55" s="1"/>
  <c r="J362" i="35" a="1"/>
  <c r="J362" i="35" s="1"/>
  <c r="D362" i="35" s="1"/>
  <c r="C367" i="55" s="1"/>
  <c r="D367" i="55" s="1"/>
  <c r="X136" i="35"/>
  <c r="U136" i="35" s="1"/>
  <c r="J150" i="35" a="1"/>
  <c r="J150" i="35" s="1"/>
  <c r="D150" i="35" s="1"/>
  <c r="J180" i="35" a="1"/>
  <c r="J180" i="35" s="1"/>
  <c r="D180" i="35" s="1"/>
  <c r="C185" i="55" s="1"/>
  <c r="D185" i="55" s="1"/>
  <c r="J240" i="35" a="1"/>
  <c r="J240" i="35" s="1"/>
  <c r="D240" i="35" s="1"/>
  <c r="C245" i="55" s="1"/>
  <c r="D245" i="55" s="1"/>
  <c r="X200" i="35"/>
  <c r="U200" i="35"/>
  <c r="X297" i="35"/>
  <c r="U297" i="35" s="1"/>
  <c r="X237" i="35"/>
  <c r="U237" i="35"/>
  <c r="X645" i="35"/>
  <c r="U645" i="35"/>
  <c r="X701" i="35"/>
  <c r="U701" i="35"/>
  <c r="U296" i="35"/>
  <c r="X635" i="35"/>
  <c r="U635" i="35"/>
  <c r="X255" i="35"/>
  <c r="U255" i="35"/>
  <c r="X737" i="35"/>
  <c r="U737" i="35"/>
  <c r="X26" i="35"/>
  <c r="U26" i="35" s="1"/>
  <c r="X333" i="35"/>
  <c r="U333" i="35" s="1"/>
  <c r="X268" i="35"/>
  <c r="U268" i="35"/>
  <c r="X253" i="35"/>
  <c r="U253" i="35"/>
  <c r="X555" i="35"/>
  <c r="U555" i="35"/>
  <c r="L411" i="35"/>
  <c r="G407" i="35"/>
  <c r="L800" i="35"/>
  <c r="C1492" i="41"/>
  <c r="E393" i="41" l="1"/>
  <c r="E382" i="41"/>
  <c r="C446" i="41"/>
  <c r="N583" i="35"/>
  <c r="G936" i="35"/>
  <c r="W1038" i="35"/>
  <c r="N494" i="35"/>
  <c r="L497" i="35"/>
  <c r="Q497" i="35"/>
  <c r="W67" i="35"/>
  <c r="B802" i="55"/>
  <c r="G408" i="35"/>
  <c r="N405" i="35"/>
  <c r="W1056" i="35"/>
  <c r="X1056" i="35" s="1"/>
  <c r="U1056" i="35" s="1"/>
  <c r="L1037" i="35"/>
  <c r="B593" i="55"/>
  <c r="K12" i="35"/>
  <c r="F434" i="41"/>
  <c r="W121" i="35"/>
  <c r="X121" i="35" s="1"/>
  <c r="C250" i="41"/>
  <c r="L121" i="35"/>
  <c r="L6" i="35"/>
  <c r="G587" i="35"/>
  <c r="C22" i="41"/>
  <c r="G22" i="41" s="1"/>
  <c r="W420" i="35"/>
  <c r="X420" i="35" s="1"/>
  <c r="Y7" i="35"/>
  <c r="B800" i="55"/>
  <c r="W7" i="35"/>
  <c r="C23" i="41"/>
  <c r="F23" i="41" s="1"/>
  <c r="N411" i="35"/>
  <c r="W99" i="35"/>
  <c r="X99" i="35" s="1"/>
  <c r="W880" i="35"/>
  <c r="X880" i="35" s="1"/>
  <c r="N880" i="35"/>
  <c r="M877" i="35"/>
  <c r="O877" i="35"/>
  <c r="B883" i="55"/>
  <c r="W795" i="35"/>
  <c r="L795" i="35"/>
  <c r="N795" i="35"/>
  <c r="C1823" i="41"/>
  <c r="F1823" i="41" s="1"/>
  <c r="L944" i="35"/>
  <c r="G50" i="35"/>
  <c r="Y944" i="35"/>
  <c r="U944" i="35" s="1"/>
  <c r="Y795" i="35"/>
  <c r="B124" i="55"/>
  <c r="F450" i="41"/>
  <c r="E998" i="41"/>
  <c r="G493" i="35"/>
  <c r="E995" i="41"/>
  <c r="B501" i="55"/>
  <c r="N103" i="35"/>
  <c r="F356" i="41"/>
  <c r="B222" i="41"/>
  <c r="F470" i="41"/>
  <c r="G49" i="35"/>
  <c r="Y103" i="35"/>
  <c r="F473" i="41"/>
  <c r="W405" i="35"/>
  <c r="F417" i="41"/>
  <c r="F472" i="41"/>
  <c r="M578" i="35"/>
  <c r="B1080" i="55"/>
  <c r="F471" i="41"/>
  <c r="F454" i="41"/>
  <c r="Y405" i="35"/>
  <c r="Y578" i="35"/>
  <c r="W578" i="35"/>
  <c r="X578" i="35" s="1"/>
  <c r="F461" i="41"/>
  <c r="K405" i="35"/>
  <c r="N578" i="35"/>
  <c r="L578" i="35"/>
  <c r="F452" i="41"/>
  <c r="L405" i="35"/>
  <c r="O1070" i="35"/>
  <c r="F489" i="41"/>
  <c r="O405" i="35"/>
  <c r="F449" i="41"/>
  <c r="N1070" i="35"/>
  <c r="M405" i="35"/>
  <c r="F458" i="41"/>
  <c r="F420" i="41"/>
  <c r="F355" i="41"/>
  <c r="F377" i="41"/>
  <c r="F371" i="41"/>
  <c r="E1005" i="41"/>
  <c r="L103" i="35"/>
  <c r="F187" i="41"/>
  <c r="F170" i="41"/>
  <c r="F179" i="41"/>
  <c r="F180" i="41"/>
  <c r="F222" i="41"/>
  <c r="E202" i="41"/>
  <c r="K793" i="35"/>
  <c r="N793" i="35"/>
  <c r="N799" i="35"/>
  <c r="C103" i="41"/>
  <c r="D103" i="41" s="1"/>
  <c r="H103" i="41" s="1"/>
  <c r="E183" i="41"/>
  <c r="F110" i="41"/>
  <c r="Q790" i="35"/>
  <c r="P790" i="35"/>
  <c r="E190" i="41"/>
  <c r="C241" i="41"/>
  <c r="W1054" i="35"/>
  <c r="X1054" i="35" s="1"/>
  <c r="C273" i="41"/>
  <c r="G273" i="41" s="1"/>
  <c r="O581" i="35"/>
  <c r="B1078" i="55"/>
  <c r="G412" i="35"/>
  <c r="P264" i="35"/>
  <c r="G1059" i="35"/>
  <c r="E997" i="41"/>
  <c r="E988" i="41"/>
  <c r="G1056" i="35"/>
  <c r="F965" i="41"/>
  <c r="Y547" i="35"/>
  <c r="M547" i="35"/>
  <c r="M64" i="35"/>
  <c r="W95" i="35"/>
  <c r="U95" i="35" s="1"/>
  <c r="Y581" i="35"/>
  <c r="Y387" i="35"/>
  <c r="M387" i="35"/>
  <c r="G69" i="35"/>
  <c r="W29" i="35"/>
  <c r="X29" i="35" s="1"/>
  <c r="Y29" i="35"/>
  <c r="E67" i="41"/>
  <c r="E66" i="41"/>
  <c r="F488" i="41"/>
  <c r="F998" i="41"/>
  <c r="C298" i="41"/>
  <c r="F67" i="41"/>
  <c r="F982" i="41"/>
  <c r="K40" i="35"/>
  <c r="F414" i="41"/>
  <c r="E970" i="41"/>
  <c r="M40" i="35"/>
  <c r="Y70" i="35"/>
  <c r="E979" i="41"/>
  <c r="K420" i="35"/>
  <c r="W387" i="35"/>
  <c r="X387" i="35" s="1"/>
  <c r="F1006" i="41"/>
  <c r="F963" i="41"/>
  <c r="Y420" i="35"/>
  <c r="O387" i="35"/>
  <c r="F983" i="41"/>
  <c r="N387" i="35"/>
  <c r="K1039" i="35"/>
  <c r="K29" i="35"/>
  <c r="J29" i="35" s="1" a="1"/>
  <c r="J29" i="35" s="1"/>
  <c r="D29" i="35" s="1"/>
  <c r="C34" i="55" s="1"/>
  <c r="D34" i="55" s="1"/>
  <c r="L127" i="35"/>
  <c r="J127" i="35" s="1" a="1"/>
  <c r="J127" i="35" s="1"/>
  <c r="D127" i="35" s="1"/>
  <c r="G1052" i="35"/>
  <c r="C293" i="41"/>
  <c r="H169" i="41"/>
  <c r="W579" i="35"/>
  <c r="X579" i="35" s="1"/>
  <c r="N579" i="35"/>
  <c r="K10" i="35"/>
  <c r="H110" i="41"/>
  <c r="Q576" i="35"/>
  <c r="P576" i="35"/>
  <c r="K932" i="35"/>
  <c r="B1091" i="55"/>
  <c r="B132" i="55"/>
  <c r="L1077" i="35"/>
  <c r="G332" i="35"/>
  <c r="K1077" i="35"/>
  <c r="B420" i="55"/>
  <c r="M103" i="35"/>
  <c r="K933" i="35"/>
  <c r="W933" i="35"/>
  <c r="X933" i="35" s="1"/>
  <c r="K103" i="35"/>
  <c r="Y17" i="35"/>
  <c r="W103" i="35"/>
  <c r="X103" i="35" s="1"/>
  <c r="N67" i="35"/>
  <c r="G86" i="35"/>
  <c r="Y76" i="35"/>
  <c r="O76" i="35"/>
  <c r="M67" i="35"/>
  <c r="C17" i="41"/>
  <c r="F17" i="41" s="1"/>
  <c r="O67" i="35"/>
  <c r="Y6" i="35"/>
  <c r="Y75" i="35"/>
  <c r="M75" i="35"/>
  <c r="M6" i="35"/>
  <c r="B85" i="41"/>
  <c r="E85" i="41" s="1"/>
  <c r="O1059" i="35"/>
  <c r="M63" i="35"/>
  <c r="G182" i="41"/>
  <c r="O121" i="35"/>
  <c r="H179" i="41"/>
  <c r="O120" i="35"/>
  <c r="G179" i="41"/>
  <c r="F200" i="41"/>
  <c r="E189" i="41"/>
  <c r="L68" i="35"/>
  <c r="Y411" i="35"/>
  <c r="O579" i="35"/>
  <c r="F994" i="41"/>
  <c r="C243" i="41"/>
  <c r="N935" i="35"/>
  <c r="O411" i="35"/>
  <c r="F995" i="41"/>
  <c r="Y935" i="35"/>
  <c r="U935" i="35" s="1"/>
  <c r="B1035" i="41"/>
  <c r="Y579" i="35"/>
  <c r="E961" i="41"/>
  <c r="W1040" i="35"/>
  <c r="X1040" i="35" s="1"/>
  <c r="K935" i="35"/>
  <c r="C1814" i="41"/>
  <c r="E1814" i="41" s="1"/>
  <c r="K48" i="35"/>
  <c r="F1001" i="41"/>
  <c r="O1040" i="35"/>
  <c r="W85" i="35"/>
  <c r="X85" i="35" s="1"/>
  <c r="L99" i="35"/>
  <c r="W411" i="35"/>
  <c r="X411" i="35" s="1"/>
  <c r="K411" i="35"/>
  <c r="E1006" i="41"/>
  <c r="Y1040" i="35"/>
  <c r="O85" i="35"/>
  <c r="M128" i="35"/>
  <c r="M99" i="35"/>
  <c r="Y85" i="35"/>
  <c r="Y128" i="35"/>
  <c r="K99" i="35"/>
  <c r="L85" i="35"/>
  <c r="N99" i="35"/>
  <c r="N85" i="35"/>
  <c r="K85" i="35"/>
  <c r="M90" i="35"/>
  <c r="J90" i="35" s="1" a="1"/>
  <c r="J90" i="35" s="1"/>
  <c r="D90" i="35" s="1"/>
  <c r="O583" i="35"/>
  <c r="B641" i="41"/>
  <c r="M801" i="35"/>
  <c r="K118" i="35"/>
  <c r="F966" i="41"/>
  <c r="G542" i="35"/>
  <c r="N68" i="35"/>
  <c r="E989" i="41"/>
  <c r="K583" i="35"/>
  <c r="W924" i="35"/>
  <c r="C1075" i="41"/>
  <c r="F993" i="41"/>
  <c r="B79" i="41"/>
  <c r="G79" i="41" s="1"/>
  <c r="F959" i="41"/>
  <c r="L32" i="35"/>
  <c r="G581" i="35"/>
  <c r="L579" i="35"/>
  <c r="C325" i="41"/>
  <c r="W48" i="35"/>
  <c r="X48" i="35" s="1"/>
  <c r="E1004" i="41"/>
  <c r="E1029" i="41"/>
  <c r="E969" i="41"/>
  <c r="E1001" i="41"/>
  <c r="F980" i="41"/>
  <c r="B1493" i="41"/>
  <c r="F984" i="41"/>
  <c r="E963" i="41"/>
  <c r="E971" i="41"/>
  <c r="B1496" i="41"/>
  <c r="F996" i="41"/>
  <c r="E165" i="41"/>
  <c r="E975" i="41"/>
  <c r="L1087" i="35"/>
  <c r="E974" i="41"/>
  <c r="N801" i="35"/>
  <c r="E978" i="41"/>
  <c r="F967" i="41"/>
  <c r="Y801" i="35"/>
  <c r="U801" i="35" s="1"/>
  <c r="W9" i="35"/>
  <c r="X9" i="35" s="1"/>
  <c r="E956" i="41"/>
  <c r="M924" i="35"/>
  <c r="F987" i="41"/>
  <c r="F957" i="41"/>
  <c r="F964" i="41"/>
  <c r="B1682" i="41"/>
  <c r="F1682" i="41" s="1"/>
  <c r="B1495" i="41"/>
  <c r="G419" i="41"/>
  <c r="E959" i="41"/>
  <c r="E973" i="41"/>
  <c r="M883" i="35"/>
  <c r="N924" i="35"/>
  <c r="B1494" i="41"/>
  <c r="F1008" i="41"/>
  <c r="F991" i="41"/>
  <c r="F973" i="41"/>
  <c r="E986" i="41"/>
  <c r="B1679" i="41"/>
  <c r="F1679" i="41" s="1"/>
  <c r="C1803" i="41"/>
  <c r="H1803" i="41" s="1"/>
  <c r="G109" i="35"/>
  <c r="E1035" i="41"/>
  <c r="O801" i="35"/>
  <c r="E957" i="41"/>
  <c r="E168" i="41"/>
  <c r="E980" i="41"/>
  <c r="F1003" i="41"/>
  <c r="Y924" i="35"/>
  <c r="F1000" i="41"/>
  <c r="F977" i="41"/>
  <c r="E985" i="41"/>
  <c r="L395" i="35"/>
  <c r="L801" i="35"/>
  <c r="M395" i="35"/>
  <c r="N588" i="35"/>
  <c r="W106" i="35"/>
  <c r="X106" i="35" s="1"/>
  <c r="O588" i="35"/>
  <c r="B1019" i="41"/>
  <c r="F1019" i="41" s="1"/>
  <c r="Y393" i="35"/>
  <c r="U393" i="35" s="1"/>
  <c r="F985" i="41"/>
  <c r="E958" i="41"/>
  <c r="E981" i="41"/>
  <c r="N395" i="35"/>
  <c r="M106" i="35"/>
  <c r="L128" i="35"/>
  <c r="L403" i="35"/>
  <c r="M48" i="35"/>
  <c r="E992" i="41"/>
  <c r="L9" i="35"/>
  <c r="Y9" i="35"/>
  <c r="O395" i="35"/>
  <c r="G934" i="35"/>
  <c r="L48" i="35"/>
  <c r="F976" i="41"/>
  <c r="F972" i="41"/>
  <c r="K395" i="35"/>
  <c r="C653" i="41"/>
  <c r="G653" i="41" s="1"/>
  <c r="K801" i="35"/>
  <c r="E972" i="41"/>
  <c r="B887" i="55"/>
  <c r="C155" i="41"/>
  <c r="W408" i="35"/>
  <c r="X408" i="35" s="1"/>
  <c r="W128" i="35"/>
  <c r="X128" i="35" s="1"/>
  <c r="E991" i="41"/>
  <c r="F968" i="41"/>
  <c r="E1000" i="41"/>
  <c r="Y395" i="35"/>
  <c r="U395" i="35" s="1"/>
  <c r="L1040" i="35"/>
  <c r="F986" i="41"/>
  <c r="F168" i="41"/>
  <c r="E976" i="41"/>
  <c r="O408" i="35"/>
  <c r="O883" i="35"/>
  <c r="M385" i="35"/>
  <c r="Y385" i="35"/>
  <c r="B1009" i="41"/>
  <c r="F1009" i="41" s="1"/>
  <c r="J571" i="35" a="1"/>
  <c r="J571" i="35" s="1"/>
  <c r="D571" i="35" s="1"/>
  <c r="D16" i="51" s="1"/>
  <c r="L580" i="35"/>
  <c r="Y1066" i="35"/>
  <c r="E977" i="41"/>
  <c r="E983" i="41"/>
  <c r="F961" i="41"/>
  <c r="K401" i="35"/>
  <c r="W385" i="35"/>
  <c r="X385" i="35" s="1"/>
  <c r="G57" i="35"/>
  <c r="B16" i="55"/>
  <c r="B1681" i="41"/>
  <c r="E1681" i="41" s="1"/>
  <c r="M1066" i="35"/>
  <c r="N883" i="35"/>
  <c r="L385" i="35"/>
  <c r="B1671" i="41"/>
  <c r="G1671" i="41" s="1"/>
  <c r="F234" i="41"/>
  <c r="F254" i="41"/>
  <c r="H357" i="41"/>
  <c r="B1045" i="55"/>
  <c r="M795" i="35"/>
  <c r="F467" i="41"/>
  <c r="B581" i="55"/>
  <c r="Y416" i="35"/>
  <c r="L106" i="35"/>
  <c r="W123" i="35"/>
  <c r="X123" i="35" s="1"/>
  <c r="O115" i="35"/>
  <c r="B127" i="55"/>
  <c r="M115" i="35"/>
  <c r="E523" i="41"/>
  <c r="C1812" i="41"/>
  <c r="G1812" i="41" s="1"/>
  <c r="Y933" i="35"/>
  <c r="M933" i="35"/>
  <c r="L933" i="35"/>
  <c r="B63" i="55"/>
  <c r="B220" i="41"/>
  <c r="L387" i="35"/>
  <c r="B343" i="41"/>
  <c r="Y91" i="35"/>
  <c r="Y1077" i="35"/>
  <c r="K387" i="35"/>
  <c r="L76" i="35"/>
  <c r="M1077" i="35"/>
  <c r="K76" i="35"/>
  <c r="N1077" i="35"/>
  <c r="N76" i="35"/>
  <c r="B344" i="41"/>
  <c r="C171" i="41"/>
  <c r="G46" i="35"/>
  <c r="W76" i="35"/>
  <c r="B342" i="41"/>
  <c r="B345" i="41"/>
  <c r="B497" i="55"/>
  <c r="P76" i="35"/>
  <c r="B419" i="55"/>
  <c r="W1077" i="35"/>
  <c r="X1077" i="35" s="1"/>
  <c r="N401" i="35"/>
  <c r="P99" i="35"/>
  <c r="N16" i="35"/>
  <c r="M83" i="35"/>
  <c r="B218" i="41"/>
  <c r="B579" i="41"/>
  <c r="B82" i="41"/>
  <c r="F82" i="41" s="1"/>
  <c r="Y940" i="35"/>
  <c r="U940" i="35" s="1"/>
  <c r="K112" i="35"/>
  <c r="O112" i="35"/>
  <c r="N1043" i="35"/>
  <c r="M588" i="35"/>
  <c r="L476" i="35"/>
  <c r="L112" i="35"/>
  <c r="N476" i="35"/>
  <c r="Y112" i="35"/>
  <c r="Q476" i="35"/>
  <c r="M476" i="35"/>
  <c r="Y476" i="35"/>
  <c r="U476" i="35" s="1"/>
  <c r="M33" i="35"/>
  <c r="Y544" i="35"/>
  <c r="K33" i="35"/>
  <c r="M1041" i="35"/>
  <c r="S476" i="35"/>
  <c r="Y1041" i="35"/>
  <c r="G1061" i="35"/>
  <c r="H423" i="41"/>
  <c r="B399" i="55"/>
  <c r="L581" i="35"/>
  <c r="B13" i="55"/>
  <c r="W588" i="35"/>
  <c r="X588" i="35" s="1"/>
  <c r="E309" i="41"/>
  <c r="L45" i="35"/>
  <c r="B390" i="55"/>
  <c r="B424" i="55"/>
  <c r="M881" i="35"/>
  <c r="B804" i="55"/>
  <c r="B808" i="55"/>
  <c r="W1069" i="35"/>
  <c r="X1069" i="35" s="1"/>
  <c r="Y45" i="35"/>
  <c r="K881" i="35"/>
  <c r="G356" i="41"/>
  <c r="M932" i="35"/>
  <c r="K13" i="35"/>
  <c r="W883" i="35"/>
  <c r="W83" i="35"/>
  <c r="K47" i="35"/>
  <c r="K1069" i="35"/>
  <c r="H421" i="41"/>
  <c r="G357" i="41"/>
  <c r="G423" i="41"/>
  <c r="W932" i="35"/>
  <c r="X932" i="35" s="1"/>
  <c r="L13" i="35"/>
  <c r="O83" i="35"/>
  <c r="B302" i="41"/>
  <c r="E302" i="41" s="1"/>
  <c r="N797" i="35"/>
  <c r="Y881" i="35"/>
  <c r="C1811" i="41"/>
  <c r="H1811" i="41" s="1"/>
  <c r="W1059" i="35"/>
  <c r="X1059" i="35" s="1"/>
  <c r="W13" i="35"/>
  <c r="N83" i="35"/>
  <c r="Y49" i="35"/>
  <c r="U49" i="35" s="1"/>
  <c r="Y932" i="35"/>
  <c r="C280" i="41"/>
  <c r="D280" i="41" s="1"/>
  <c r="Y13" i="35"/>
  <c r="B202" i="41"/>
  <c r="B303" i="41"/>
  <c r="E303" i="41" s="1"/>
  <c r="K64" i="35"/>
  <c r="P547" i="35"/>
  <c r="L932" i="35"/>
  <c r="C282" i="41"/>
  <c r="D282" i="41" s="1"/>
  <c r="B1680" i="41"/>
  <c r="E1680" i="41" s="1"/>
  <c r="L83" i="35"/>
  <c r="B17" i="55"/>
  <c r="W64" i="35"/>
  <c r="U64" i="35" s="1"/>
  <c r="C510" i="41"/>
  <c r="Y883" i="35"/>
  <c r="Y83" i="35"/>
  <c r="L64" i="35"/>
  <c r="K547" i="35"/>
  <c r="K1061" i="35"/>
  <c r="C147" i="41"/>
  <c r="F147" i="41" s="1"/>
  <c r="K883" i="35"/>
  <c r="K941" i="35"/>
  <c r="B1074" i="55"/>
  <c r="N547" i="35"/>
  <c r="B286" i="41"/>
  <c r="M927" i="35"/>
  <c r="C148" i="41"/>
  <c r="F148" i="41" s="1"/>
  <c r="N64" i="35"/>
  <c r="O547" i="35"/>
  <c r="W63" i="35"/>
  <c r="X63" i="35" s="1"/>
  <c r="W547" i="35"/>
  <c r="B64" i="55"/>
  <c r="Y63" i="35"/>
  <c r="C174" i="41"/>
  <c r="Y1045" i="35"/>
  <c r="P101" i="35"/>
  <c r="G938" i="35"/>
  <c r="M941" i="35"/>
  <c r="H422" i="41"/>
  <c r="K63" i="35"/>
  <c r="L81" i="35"/>
  <c r="L408" i="35"/>
  <c r="G350" i="41"/>
  <c r="M91" i="35"/>
  <c r="L63" i="35"/>
  <c r="M81" i="35"/>
  <c r="K408" i="35"/>
  <c r="K926" i="35"/>
  <c r="C1676" i="41"/>
  <c r="F1676" i="41" s="1"/>
  <c r="G1068" i="35"/>
  <c r="O797" i="35"/>
  <c r="L881" i="35"/>
  <c r="G9" i="35"/>
  <c r="E310" i="41"/>
  <c r="L797" i="35"/>
  <c r="W881" i="35"/>
  <c r="X881" i="35" s="1"/>
  <c r="E304" i="41"/>
  <c r="W928" i="35"/>
  <c r="X928" i="35" s="1"/>
  <c r="W876" i="35"/>
  <c r="X876" i="35" s="1"/>
  <c r="W118" i="35"/>
  <c r="X118" i="35" s="1"/>
  <c r="M495" i="35"/>
  <c r="G1032" i="35"/>
  <c r="N552" i="35"/>
  <c r="M552" i="35"/>
  <c r="L552" i="35"/>
  <c r="B1032" i="41"/>
  <c r="F1032" i="41" s="1"/>
  <c r="G393" i="35"/>
  <c r="B119" i="55"/>
  <c r="P552" i="35"/>
  <c r="G547" i="35"/>
  <c r="C152" i="41"/>
  <c r="H152" i="41" s="1"/>
  <c r="B577" i="55"/>
  <c r="W112" i="35"/>
  <c r="X112" i="35" s="1"/>
  <c r="B69" i="55"/>
  <c r="G65" i="35"/>
  <c r="M580" i="35"/>
  <c r="Y56" i="35"/>
  <c r="Y118" i="35"/>
  <c r="N56" i="35"/>
  <c r="N1066" i="35"/>
  <c r="L70" i="35"/>
  <c r="K264" i="35"/>
  <c r="O123" i="35"/>
  <c r="M52" i="35"/>
  <c r="G184" i="41"/>
  <c r="E195" i="41"/>
  <c r="W264" i="35"/>
  <c r="X264" i="35" s="1"/>
  <c r="N123" i="35"/>
  <c r="Y52" i="35"/>
  <c r="L130" i="35"/>
  <c r="C154" i="41"/>
  <c r="G154" i="41" s="1"/>
  <c r="O420" i="35"/>
  <c r="B559" i="41"/>
  <c r="M581" i="35"/>
  <c r="F206" i="41"/>
  <c r="E215" i="41"/>
  <c r="N264" i="35"/>
  <c r="M123" i="35"/>
  <c r="K52" i="35"/>
  <c r="H657" i="41"/>
  <c r="B545" i="41"/>
  <c r="F545" i="41" s="1"/>
  <c r="G401" i="35"/>
  <c r="H202" i="41"/>
  <c r="G175" i="41"/>
  <c r="F205" i="41"/>
  <c r="Y264" i="35"/>
  <c r="L123" i="35"/>
  <c r="L52" i="35"/>
  <c r="C1808" i="41"/>
  <c r="E1808" i="41" s="1"/>
  <c r="F657" i="41"/>
  <c r="P95" i="35"/>
  <c r="B1039" i="41"/>
  <c r="B291" i="41"/>
  <c r="E291" i="41" s="1"/>
  <c r="C102" i="41"/>
  <c r="D102" i="41" s="1"/>
  <c r="E102" i="41" s="1"/>
  <c r="B561" i="41"/>
  <c r="G99" i="35"/>
  <c r="F418" i="41"/>
  <c r="F285" i="41"/>
  <c r="W70" i="35"/>
  <c r="X70" i="35" s="1"/>
  <c r="F188" i="41"/>
  <c r="Q264" i="35"/>
  <c r="K123" i="35"/>
  <c r="N52" i="35"/>
  <c r="W130" i="35"/>
  <c r="X130" i="35" s="1"/>
  <c r="G166" i="41"/>
  <c r="H181" i="41"/>
  <c r="E181" i="41"/>
  <c r="L264" i="35"/>
  <c r="C648" i="41"/>
  <c r="W52" i="35"/>
  <c r="X52" i="35" s="1"/>
  <c r="E77" i="41"/>
  <c r="B423" i="55"/>
  <c r="Y929" i="35"/>
  <c r="K130" i="35"/>
  <c r="O95" i="35"/>
  <c r="Y415" i="35"/>
  <c r="L1063" i="35"/>
  <c r="K14" i="35"/>
  <c r="J14" i="35" s="1" a="1"/>
  <c r="J14" i="35" s="1"/>
  <c r="D14" i="35" s="1"/>
  <c r="D7" i="2" s="1"/>
  <c r="B544" i="41"/>
  <c r="H544" i="41" s="1"/>
  <c r="K924" i="35"/>
  <c r="P197" i="35"/>
  <c r="W1063" i="35"/>
  <c r="F195" i="41"/>
  <c r="E214" i="41"/>
  <c r="O264" i="35"/>
  <c r="C1067" i="41"/>
  <c r="C126" i="41"/>
  <c r="F126" i="41" s="1"/>
  <c r="E656" i="41"/>
  <c r="W794" i="35"/>
  <c r="X794" i="35" s="1"/>
  <c r="O415" i="35"/>
  <c r="M1063" i="35"/>
  <c r="W14" i="35"/>
  <c r="X14" i="35" s="1"/>
  <c r="M1039" i="35"/>
  <c r="B845" i="41"/>
  <c r="W40" i="35"/>
  <c r="X40" i="35" s="1"/>
  <c r="B1484" i="41"/>
  <c r="K400" i="35"/>
  <c r="Y1063" i="35"/>
  <c r="M579" i="35"/>
  <c r="W1039" i="35"/>
  <c r="X1039" i="35" s="1"/>
  <c r="F183" i="41"/>
  <c r="F196" i="41"/>
  <c r="K579" i="35"/>
  <c r="G164" i="41"/>
  <c r="M112" i="35"/>
  <c r="L40" i="35"/>
  <c r="L794" i="35"/>
  <c r="C252" i="41"/>
  <c r="N17" i="35"/>
  <c r="B97" i="55"/>
  <c r="N1039" i="35"/>
  <c r="O800" i="35"/>
  <c r="H183" i="41"/>
  <c r="K581" i="35"/>
  <c r="C39" i="55"/>
  <c r="D39" i="55" s="1"/>
  <c r="Y32" i="35"/>
  <c r="M420" i="35"/>
  <c r="G790" i="35"/>
  <c r="W127" i="35"/>
  <c r="X127" i="35" s="1"/>
  <c r="B86" i="41"/>
  <c r="H86" i="41" s="1"/>
  <c r="L1041" i="35"/>
  <c r="M800" i="35"/>
  <c r="G186" i="41"/>
  <c r="O407" i="35"/>
  <c r="B161" i="41"/>
  <c r="E161" i="41" s="1"/>
  <c r="W581" i="35"/>
  <c r="X581" i="35" s="1"/>
  <c r="L1043" i="35"/>
  <c r="N115" i="35"/>
  <c r="B80" i="41"/>
  <c r="H80" i="41" s="1"/>
  <c r="E414" i="41"/>
  <c r="Y127" i="35"/>
  <c r="G935" i="35"/>
  <c r="K800" i="35"/>
  <c r="Y71" i="35"/>
  <c r="N581" i="35"/>
  <c r="N420" i="35"/>
  <c r="C652" i="41"/>
  <c r="H652" i="41" s="1"/>
  <c r="K491" i="35"/>
  <c r="Y800" i="35"/>
  <c r="E186" i="41"/>
  <c r="G157" i="41"/>
  <c r="Y580" i="35"/>
  <c r="C297" i="41"/>
  <c r="E297" i="41" s="1"/>
  <c r="B59" i="55"/>
  <c r="F416" i="41"/>
  <c r="L588" i="35"/>
  <c r="L72" i="35"/>
  <c r="P97" i="35"/>
  <c r="J688" i="35" a="1"/>
  <c r="J688" i="35" s="1"/>
  <c r="D688" i="35" s="1"/>
  <c r="C693" i="55" s="1"/>
  <c r="D693" i="55" s="1"/>
  <c r="C170" i="41"/>
  <c r="F287" i="41"/>
  <c r="C353" i="41"/>
  <c r="E353" i="41" s="1"/>
  <c r="H170" i="41"/>
  <c r="E212" i="41"/>
  <c r="F635" i="41"/>
  <c r="N929" i="35"/>
  <c r="B1072" i="41"/>
  <c r="F236" i="41"/>
  <c r="K20" i="35"/>
  <c r="P100" i="35"/>
  <c r="O100" i="35"/>
  <c r="W929" i="35"/>
  <c r="X929" i="35" s="1"/>
  <c r="L929" i="35"/>
  <c r="B1079" i="55"/>
  <c r="B77" i="55"/>
  <c r="G67" i="35"/>
  <c r="K7" i="35"/>
  <c r="B1058" i="41"/>
  <c r="K573" i="35"/>
  <c r="Q1037" i="35"/>
  <c r="L799" i="35"/>
  <c r="M121" i="35"/>
  <c r="B349" i="41"/>
  <c r="F349" i="41" s="1"/>
  <c r="K121" i="35"/>
  <c r="B1485" i="41"/>
  <c r="M793" i="35"/>
  <c r="E155" i="41"/>
  <c r="G121" i="35"/>
  <c r="B1486" i="41"/>
  <c r="L793" i="35"/>
  <c r="Y1037" i="35"/>
  <c r="O799" i="35"/>
  <c r="Y799" i="35"/>
  <c r="U799" i="35" s="1"/>
  <c r="N39" i="35"/>
  <c r="C1491" i="41"/>
  <c r="B1482" i="41"/>
  <c r="B1483" i="41" s="1"/>
  <c r="E1590" i="41"/>
  <c r="G474" i="35"/>
  <c r="G793" i="35"/>
  <c r="M475" i="35"/>
  <c r="M407" i="35"/>
  <c r="Y875" i="35"/>
  <c r="W586" i="35"/>
  <c r="X586" i="35" s="1"/>
  <c r="G15" i="35"/>
  <c r="L1066" i="35"/>
  <c r="L92" i="35"/>
  <c r="W548" i="35"/>
  <c r="X548" i="35" s="1"/>
  <c r="C275" i="41"/>
  <c r="G275" i="41" s="1"/>
  <c r="N407" i="35"/>
  <c r="B1665" i="41"/>
  <c r="F1665" i="41" s="1"/>
  <c r="M586" i="35"/>
  <c r="W1066" i="35"/>
  <c r="C1822" i="41"/>
  <c r="E1822" i="41" s="1"/>
  <c r="K92" i="35"/>
  <c r="B882" i="55"/>
  <c r="K943" i="35"/>
  <c r="O92" i="35"/>
  <c r="B57" i="55"/>
  <c r="W875" i="35"/>
  <c r="X875" i="35" s="1"/>
  <c r="L943" i="35"/>
  <c r="W16" i="35"/>
  <c r="X16" i="35" s="1"/>
  <c r="K586" i="35"/>
  <c r="O1066" i="35"/>
  <c r="B211" i="41"/>
  <c r="G551" i="35"/>
  <c r="L407" i="35"/>
  <c r="K875" i="35"/>
  <c r="B1065" i="55"/>
  <c r="W407" i="35"/>
  <c r="X407" i="35" s="1"/>
  <c r="K407" i="35"/>
  <c r="G801" i="35"/>
  <c r="F150" i="41"/>
  <c r="Y16" i="35"/>
  <c r="O1037" i="35"/>
  <c r="M925" i="35"/>
  <c r="B159" i="41"/>
  <c r="G159" i="41" s="1"/>
  <c r="W1037" i="35"/>
  <c r="X1037" i="35" s="1"/>
  <c r="P98" i="35"/>
  <c r="M1080" i="35"/>
  <c r="F157" i="41"/>
  <c r="P1037" i="35"/>
  <c r="N1037" i="35" s="1"/>
  <c r="B502" i="55"/>
  <c r="C647" i="41"/>
  <c r="L401" i="35"/>
  <c r="L941" i="35"/>
  <c r="Y401" i="35"/>
  <c r="U401" i="35" s="1"/>
  <c r="N941" i="35"/>
  <c r="B158" i="41"/>
  <c r="F158" i="41" s="1"/>
  <c r="K1037" i="35"/>
  <c r="N121" i="35"/>
  <c r="C1489" i="41"/>
  <c r="K71" i="35"/>
  <c r="J71" i="35" s="1" a="1"/>
  <c r="J71" i="35" s="1"/>
  <c r="D71" i="35" s="1"/>
  <c r="C76" i="55" s="1"/>
  <c r="D76" i="55" s="1"/>
  <c r="K799" i="35"/>
  <c r="W42" i="35"/>
  <c r="X42" i="35" s="1"/>
  <c r="B778" i="41"/>
  <c r="Q197" i="35"/>
  <c r="E964" i="41"/>
  <c r="E990" i="41"/>
  <c r="F958" i="41"/>
  <c r="F971" i="41"/>
  <c r="G656" i="41"/>
  <c r="B934" i="55"/>
  <c r="E400" i="41"/>
  <c r="F351" i="41"/>
  <c r="K49" i="35"/>
  <c r="L3" i="35"/>
  <c r="F466" i="41"/>
  <c r="F465" i="41"/>
  <c r="B1044" i="55"/>
  <c r="F478" i="41"/>
  <c r="F419" i="41"/>
  <c r="J1052" i="35" a="1"/>
  <c r="J1052" i="35" s="1"/>
  <c r="D1052" i="35" s="1"/>
  <c r="C1057" i="55" s="1"/>
  <c r="D1057" i="55" s="1"/>
  <c r="K877" i="35"/>
  <c r="F482" i="41"/>
  <c r="F970" i="41"/>
  <c r="E987" i="41"/>
  <c r="E965" i="41"/>
  <c r="E993" i="41"/>
  <c r="B81" i="41"/>
  <c r="H81" i="41" s="1"/>
  <c r="B22" i="55"/>
  <c r="W17" i="35"/>
  <c r="X17" i="35" s="1"/>
  <c r="F255" i="41"/>
  <c r="F462" i="41"/>
  <c r="K32" i="35"/>
  <c r="F428" i="41"/>
  <c r="W797" i="35"/>
  <c r="X797" i="35" s="1"/>
  <c r="B1041" i="55"/>
  <c r="H616" i="41"/>
  <c r="K797" i="35"/>
  <c r="M797" i="35"/>
  <c r="L926" i="35"/>
  <c r="G1070" i="35"/>
  <c r="W1045" i="35"/>
  <c r="X1045" i="35" s="1"/>
  <c r="W943" i="35"/>
  <c r="X943" i="35" s="1"/>
  <c r="K928" i="35"/>
  <c r="M1082" i="35"/>
  <c r="E417" i="41"/>
  <c r="K1082" i="35"/>
  <c r="G1361" i="41"/>
  <c r="E967" i="41"/>
  <c r="E996" i="41"/>
  <c r="F990" i="41"/>
  <c r="E982" i="41"/>
  <c r="E960" i="41"/>
  <c r="K415" i="35"/>
  <c r="B84" i="41"/>
  <c r="H84" i="41" s="1"/>
  <c r="B116" i="55"/>
  <c r="K798" i="35"/>
  <c r="F1378" i="41"/>
  <c r="E1039" i="41"/>
  <c r="L475" i="35"/>
  <c r="O548" i="35"/>
  <c r="M549" i="35"/>
  <c r="F381" i="41"/>
  <c r="F475" i="41"/>
  <c r="M1067" i="35"/>
  <c r="F469" i="41"/>
  <c r="L12" i="35"/>
  <c r="E1562" i="41"/>
  <c r="F375" i="41"/>
  <c r="K9" i="35"/>
  <c r="E984" i="41"/>
  <c r="G351" i="41"/>
  <c r="E966" i="41"/>
  <c r="F978" i="41"/>
  <c r="F252" i="41"/>
  <c r="C440" i="41"/>
  <c r="F440" i="41" s="1"/>
  <c r="F468" i="41"/>
  <c r="F435" i="41"/>
  <c r="F1325" i="41"/>
  <c r="F1005" i="41"/>
  <c r="F988" i="41"/>
  <c r="H350" i="41"/>
  <c r="F992" i="41"/>
  <c r="F167" i="41"/>
  <c r="F243" i="41"/>
  <c r="Y99" i="35"/>
  <c r="F352" i="41"/>
  <c r="F492" i="41"/>
  <c r="E1317" i="41"/>
  <c r="F969" i="41"/>
  <c r="F981" i="41"/>
  <c r="E999" i="41"/>
  <c r="F956" i="41"/>
  <c r="F989" i="41"/>
  <c r="C281" i="41"/>
  <c r="D281" i="41" s="1"/>
  <c r="B793" i="55"/>
  <c r="M415" i="35"/>
  <c r="G574" i="35"/>
  <c r="W12" i="35"/>
  <c r="F432" i="41"/>
  <c r="Y941" i="35"/>
  <c r="K548" i="35"/>
  <c r="S475" i="35"/>
  <c r="G1064" i="35"/>
  <c r="G789" i="35"/>
  <c r="Y102" i="35"/>
  <c r="B415" i="55"/>
  <c r="M102" i="35"/>
  <c r="K81" i="35"/>
  <c r="C1480" i="41"/>
  <c r="O94" i="35"/>
  <c r="O793" i="35"/>
  <c r="L549" i="35"/>
  <c r="B416" i="41"/>
  <c r="E416" i="41" s="1"/>
  <c r="L798" i="35"/>
  <c r="J1053" i="35" a="1"/>
  <c r="J1053" i="35" s="1"/>
  <c r="D1053" i="35" s="1"/>
  <c r="D38" i="17" s="1"/>
  <c r="W475" i="35"/>
  <c r="X475" i="35" s="1"/>
  <c r="Y877" i="35"/>
  <c r="E1410" i="41"/>
  <c r="L1057" i="35"/>
  <c r="E385" i="41"/>
  <c r="E376" i="41"/>
  <c r="E405" i="41"/>
  <c r="E396" i="41"/>
  <c r="B1084" i="55"/>
  <c r="E390" i="41"/>
  <c r="L574" i="35"/>
  <c r="M1057" i="35"/>
  <c r="F405" i="41"/>
  <c r="E413" i="41"/>
  <c r="E379" i="41"/>
  <c r="E368" i="41"/>
  <c r="W574" i="35"/>
  <c r="X574" i="35" s="1"/>
  <c r="F284" i="41"/>
  <c r="P545" i="35"/>
  <c r="E472" i="41"/>
  <c r="F369" i="41"/>
  <c r="F386" i="41"/>
  <c r="E373" i="41"/>
  <c r="E483" i="41"/>
  <c r="B479" i="55"/>
  <c r="Y574" i="35"/>
  <c r="E278" i="41"/>
  <c r="N94" i="35"/>
  <c r="E246" i="41"/>
  <c r="O545" i="35"/>
  <c r="F410" i="41"/>
  <c r="Q421" i="35"/>
  <c r="E461" i="41"/>
  <c r="F391" i="41"/>
  <c r="F388" i="41"/>
  <c r="C646" i="41"/>
  <c r="N120" i="35"/>
  <c r="F400" i="41"/>
  <c r="E283" i="41"/>
  <c r="O197" i="35"/>
  <c r="W197" i="35"/>
  <c r="X197" i="35" s="1"/>
  <c r="J700" i="35" a="1"/>
  <c r="J700" i="35" s="1"/>
  <c r="D700" i="35" s="1"/>
  <c r="C705" i="55" s="1"/>
  <c r="D705" i="55" s="1"/>
  <c r="O574" i="35"/>
  <c r="F289" i="41"/>
  <c r="L545" i="35"/>
  <c r="E403" i="41"/>
  <c r="E404" i="41"/>
  <c r="E410" i="41"/>
  <c r="W800" i="35"/>
  <c r="W10" i="35"/>
  <c r="X10" i="35" s="1"/>
  <c r="M120" i="35"/>
  <c r="E157" i="41"/>
  <c r="N197" i="35"/>
  <c r="E962" i="41"/>
  <c r="E994" i="41"/>
  <c r="F960" i="41"/>
  <c r="H356" i="41"/>
  <c r="G421" i="41"/>
  <c r="P1080" i="35"/>
  <c r="J637" i="35" a="1"/>
  <c r="J637" i="35" s="1"/>
  <c r="D637" i="35" s="1"/>
  <c r="C642" i="55" s="1"/>
  <c r="D642" i="55" s="1"/>
  <c r="K545" i="35"/>
  <c r="E411" i="41"/>
  <c r="E407" i="41"/>
  <c r="E401" i="41"/>
  <c r="F407" i="41"/>
  <c r="C242" i="41"/>
  <c r="E242" i="41" s="1"/>
  <c r="M545" i="35"/>
  <c r="E375" i="41"/>
  <c r="E399" i="41"/>
  <c r="F397" i="41"/>
  <c r="E402" i="41"/>
  <c r="Y120" i="35"/>
  <c r="M197" i="35"/>
  <c r="J569" i="35" a="1"/>
  <c r="J569" i="35" s="1"/>
  <c r="D569" i="35" s="1"/>
  <c r="D14" i="51" s="1"/>
  <c r="E196" i="41"/>
  <c r="W120" i="35"/>
  <c r="X120" i="35" s="1"/>
  <c r="W71" i="35"/>
  <c r="X71" i="35" s="1"/>
  <c r="L197" i="35"/>
  <c r="F975" i="41"/>
  <c r="E1003" i="41"/>
  <c r="F962" i="41"/>
  <c r="F979" i="41"/>
  <c r="F1002" i="41"/>
  <c r="P551" i="35"/>
  <c r="O794" i="35"/>
  <c r="L1039" i="35"/>
  <c r="C507" i="41"/>
  <c r="W421" i="35"/>
  <c r="X421" i="35" s="1"/>
  <c r="F392" i="41"/>
  <c r="F363" i="41"/>
  <c r="E378" i="41"/>
  <c r="B1067" i="55"/>
  <c r="K120" i="35"/>
  <c r="B1040" i="55"/>
  <c r="Y545" i="35"/>
  <c r="U545" i="35" s="1"/>
  <c r="N421" i="35"/>
  <c r="L421" i="35"/>
  <c r="E450" i="41"/>
  <c r="E398" i="41"/>
  <c r="F401" i="41"/>
  <c r="Y197" i="35"/>
  <c r="H157" i="41"/>
  <c r="B1071" i="41"/>
  <c r="G1078" i="35"/>
  <c r="N794" i="35"/>
  <c r="M32" i="35"/>
  <c r="E332" i="41"/>
  <c r="N545" i="35"/>
  <c r="F383" i="41"/>
  <c r="F412" i="41"/>
  <c r="E412" i="41"/>
  <c r="K421" i="35"/>
  <c r="E389" i="41"/>
  <c r="E372" i="41"/>
  <c r="M421" i="35"/>
  <c r="E394" i="41"/>
  <c r="E380" i="41"/>
  <c r="K122" i="35"/>
  <c r="J122" i="35" s="1" a="1"/>
  <c r="J122" i="35" s="1"/>
  <c r="D122" i="35" s="1"/>
  <c r="F402" i="41"/>
  <c r="E388" i="41"/>
  <c r="F376" i="41"/>
  <c r="E287" i="41"/>
  <c r="E384" i="41"/>
  <c r="E366" i="41"/>
  <c r="E363" i="41"/>
  <c r="E391" i="41"/>
  <c r="O421" i="35"/>
  <c r="E286" i="41"/>
  <c r="F370" i="41"/>
  <c r="Y573" i="35"/>
  <c r="K1057" i="35"/>
  <c r="E374" i="41"/>
  <c r="F380" i="41"/>
  <c r="E386" i="41"/>
  <c r="F372" i="41"/>
  <c r="B1031" i="41"/>
  <c r="F1031" i="41" s="1"/>
  <c r="H77" i="41"/>
  <c r="F999" i="41"/>
  <c r="F974" i="41"/>
  <c r="E968" i="41"/>
  <c r="F1004" i="41"/>
  <c r="F997" i="41"/>
  <c r="B1059" i="41"/>
  <c r="B219" i="41"/>
  <c r="M794" i="35"/>
  <c r="W32" i="35"/>
  <c r="X32" i="35" s="1"/>
  <c r="N943" i="35"/>
  <c r="M928" i="35"/>
  <c r="E285" i="41"/>
  <c r="K17" i="35"/>
  <c r="L934" i="35"/>
  <c r="E370" i="41"/>
  <c r="F404" i="41"/>
  <c r="F403" i="41"/>
  <c r="E387" i="41"/>
  <c r="M1062" i="35"/>
  <c r="N573" i="35"/>
  <c r="F278" i="41"/>
  <c r="E284" i="41"/>
  <c r="P421" i="35"/>
  <c r="W1067" i="35"/>
  <c r="X1067" i="35" s="1"/>
  <c r="L415" i="35"/>
  <c r="M92" i="35"/>
  <c r="G417" i="35"/>
  <c r="L33" i="35"/>
  <c r="L491" i="35"/>
  <c r="W1057" i="35"/>
  <c r="X1057" i="35" s="1"/>
  <c r="F385" i="41"/>
  <c r="E371" i="41"/>
  <c r="E381" i="41"/>
  <c r="E392" i="41"/>
  <c r="E408" i="41"/>
  <c r="E409" i="41"/>
  <c r="F409" i="41"/>
  <c r="E383" i="41"/>
  <c r="E365" i="41"/>
  <c r="F390" i="41"/>
  <c r="E395" i="41"/>
  <c r="K1067" i="35"/>
  <c r="Y92" i="35"/>
  <c r="Y33" i="35"/>
  <c r="Y1057" i="35"/>
  <c r="W1032" i="35"/>
  <c r="X1032" i="35" s="1"/>
  <c r="F379" i="41"/>
  <c r="E397" i="41"/>
  <c r="E364" i="41"/>
  <c r="N798" i="35"/>
  <c r="N788" i="35"/>
  <c r="M798" i="35"/>
  <c r="O788" i="35"/>
  <c r="B913" i="41"/>
  <c r="B582" i="55"/>
  <c r="B83" i="55"/>
  <c r="N1069" i="35"/>
  <c r="Y42" i="35"/>
  <c r="Y1069" i="35"/>
  <c r="N927" i="35"/>
  <c r="M42" i="35"/>
  <c r="L1069" i="35"/>
  <c r="B65" i="55"/>
  <c r="Y927" i="35"/>
  <c r="U927" i="35" s="1"/>
  <c r="N42" i="35"/>
  <c r="L42" i="35"/>
  <c r="E311" i="41"/>
  <c r="G395" i="35"/>
  <c r="G96" i="35"/>
  <c r="E312" i="41"/>
  <c r="W45" i="35"/>
  <c r="M45" i="35"/>
  <c r="C128" i="41"/>
  <c r="H128" i="41" s="1"/>
  <c r="K45" i="35"/>
  <c r="C261" i="41"/>
  <c r="B122" i="55"/>
  <c r="Y1079" i="35"/>
  <c r="U1079" i="35" s="1"/>
  <c r="L1068" i="35"/>
  <c r="F258" i="41"/>
  <c r="W81" i="35"/>
  <c r="X81" i="35" s="1"/>
  <c r="K1068" i="35"/>
  <c r="M49" i="35"/>
  <c r="L49" i="35"/>
  <c r="C156" i="41"/>
  <c r="F156" i="41" s="1"/>
  <c r="L877" i="35"/>
  <c r="E299" i="41"/>
  <c r="B50" i="55"/>
  <c r="O798" i="35"/>
  <c r="C173" i="41"/>
  <c r="F173" i="41" s="1"/>
  <c r="B418" i="41"/>
  <c r="E418" i="41" s="1"/>
  <c r="B113" i="55"/>
  <c r="W1041" i="35"/>
  <c r="M788" i="35"/>
  <c r="W6" i="35"/>
  <c r="X6" i="35" s="1"/>
  <c r="L788" i="35"/>
  <c r="P877" i="35"/>
  <c r="L393" i="35"/>
  <c r="Y788" i="35"/>
  <c r="K72" i="35"/>
  <c r="B393" i="55"/>
  <c r="W788" i="35"/>
  <c r="X788" i="35" s="1"/>
  <c r="C162" i="41"/>
  <c r="E162" i="41" s="1"/>
  <c r="N113" i="35"/>
  <c r="K422" i="35"/>
  <c r="M544" i="35"/>
  <c r="K393" i="35"/>
  <c r="C1078" i="41"/>
  <c r="W422" i="35"/>
  <c r="P92" i="35"/>
  <c r="L544" i="35"/>
  <c r="L1082" i="35"/>
  <c r="J582" i="35" a="1"/>
  <c r="J582" i="35" s="1"/>
  <c r="D582" i="35" s="1"/>
  <c r="C587" i="55" s="1"/>
  <c r="D587" i="55" s="1"/>
  <c r="B92" i="55"/>
  <c r="Y422" i="35"/>
  <c r="O544" i="35"/>
  <c r="W1082" i="35"/>
  <c r="X1082" i="35" s="1"/>
  <c r="Y928" i="35"/>
  <c r="J660" i="35" a="1"/>
  <c r="J660" i="35" s="1"/>
  <c r="D660" i="35" s="1"/>
  <c r="D123" i="51" s="1"/>
  <c r="N393" i="35"/>
  <c r="M393" i="35"/>
  <c r="M940" i="35"/>
  <c r="O393" i="35"/>
  <c r="O586" i="35"/>
  <c r="N422" i="35"/>
  <c r="C506" i="41"/>
  <c r="N928" i="35"/>
  <c r="J644" i="35" a="1"/>
  <c r="J644" i="35" s="1"/>
  <c r="D644" i="35" s="1"/>
  <c r="D104" i="51" s="1"/>
  <c r="K544" i="35"/>
  <c r="L928" i="35"/>
  <c r="J564" i="35" a="1"/>
  <c r="J564" i="35" s="1"/>
  <c r="D564" i="35" s="1"/>
  <c r="C569" i="55" s="1"/>
  <c r="D569" i="55" s="1"/>
  <c r="L940" i="35"/>
  <c r="C6" i="41"/>
  <c r="F6" i="41" s="1"/>
  <c r="P544" i="35"/>
  <c r="K65" i="35"/>
  <c r="N65" i="35"/>
  <c r="C104" i="41"/>
  <c r="D104" i="41" s="1"/>
  <c r="C1819" i="41"/>
  <c r="F1819" i="41" s="1"/>
  <c r="K940" i="35"/>
  <c r="N100" i="35"/>
  <c r="Y794" i="35"/>
  <c r="Y65" i="35"/>
  <c r="M17" i="35"/>
  <c r="N940" i="35"/>
  <c r="W65" i="35"/>
  <c r="C125" i="41"/>
  <c r="G125" i="41" s="1"/>
  <c r="G1081" i="35"/>
  <c r="Y39" i="35"/>
  <c r="U39" i="35" s="1"/>
  <c r="M39" i="35"/>
  <c r="L388" i="35"/>
  <c r="B1012" i="41"/>
  <c r="F1012" i="41" s="1"/>
  <c r="M388" i="35"/>
  <c r="M943" i="35"/>
  <c r="G420" i="35"/>
  <c r="W92" i="35"/>
  <c r="X92" i="35" s="1"/>
  <c r="O388" i="35"/>
  <c r="M422" i="35"/>
  <c r="K97" i="35"/>
  <c r="B415" i="41"/>
  <c r="F415" i="41" s="1"/>
  <c r="M97" i="35"/>
  <c r="B1017" i="41"/>
  <c r="E1017" i="41" s="1"/>
  <c r="L422" i="35"/>
  <c r="O422" i="35"/>
  <c r="E298" i="41"/>
  <c r="N1067" i="35"/>
  <c r="Y1067" i="35"/>
  <c r="K1032" i="35"/>
  <c r="E252" i="41"/>
  <c r="G124" i="35"/>
  <c r="G422" i="41"/>
  <c r="E1011" i="41"/>
  <c r="W415" i="35"/>
  <c r="X415" i="35" s="1"/>
  <c r="W33" i="35"/>
  <c r="Y491" i="35"/>
  <c r="Y37" i="35"/>
  <c r="W798" i="35"/>
  <c r="X798" i="35" s="1"/>
  <c r="L1059" i="35"/>
  <c r="F364" i="41"/>
  <c r="Y12" i="35"/>
  <c r="L222" i="35"/>
  <c r="F393" i="41"/>
  <c r="F389" i="41"/>
  <c r="F477" i="41"/>
  <c r="Q222" i="35"/>
  <c r="E1622" i="41"/>
  <c r="F395" i="41"/>
  <c r="F365" i="41"/>
  <c r="F485" i="41"/>
  <c r="K222" i="35"/>
  <c r="M1032" i="35"/>
  <c r="G185" i="41"/>
  <c r="G206" i="41"/>
  <c r="F1391" i="41"/>
  <c r="K16" i="35"/>
  <c r="W396" i="35"/>
  <c r="X396" i="35" s="1"/>
  <c r="F164" i="41"/>
  <c r="M799" i="35"/>
  <c r="G66" i="41"/>
  <c r="K115" i="35"/>
  <c r="W552" i="35"/>
  <c r="X552" i="35" s="1"/>
  <c r="W544" i="35"/>
  <c r="P489" i="35"/>
  <c r="K1041" i="35"/>
  <c r="G113" i="35"/>
  <c r="E471" i="41"/>
  <c r="E1322" i="41"/>
  <c r="M396" i="35"/>
  <c r="N489" i="35"/>
  <c r="E201" i="41"/>
  <c r="E208" i="41"/>
  <c r="L118" i="35"/>
  <c r="M16" i="35"/>
  <c r="B499" i="55"/>
  <c r="H420" i="41"/>
  <c r="H66" i="41"/>
  <c r="K552" i="35"/>
  <c r="F1404" i="41"/>
  <c r="E1583" i="41"/>
  <c r="F1303" i="41"/>
  <c r="W18" i="35"/>
  <c r="X18" i="35" s="1"/>
  <c r="K74" i="35"/>
  <c r="G39" i="41"/>
  <c r="G171" i="41"/>
  <c r="G1360" i="41"/>
  <c r="B619" i="41"/>
  <c r="G1582" i="41"/>
  <c r="G165" i="41"/>
  <c r="B210" i="41"/>
  <c r="O580" i="35"/>
  <c r="G70" i="35"/>
  <c r="G31" i="35"/>
  <c r="W388" i="35"/>
  <c r="W89" i="35"/>
  <c r="X89" i="35" s="1"/>
  <c r="Y79" i="35"/>
  <c r="F66" i="41"/>
  <c r="K100" i="35"/>
  <c r="L95" i="35"/>
  <c r="W56" i="35"/>
  <c r="X56" i="35" s="1"/>
  <c r="W1087" i="35"/>
  <c r="X1087" i="35" s="1"/>
  <c r="Y1038" i="35"/>
  <c r="U1038" i="35" s="1"/>
  <c r="B102" i="55"/>
  <c r="N944" i="35"/>
  <c r="K332" i="35"/>
  <c r="Y332" i="35"/>
  <c r="E1507" i="41"/>
  <c r="F1371" i="41"/>
  <c r="E1531" i="41"/>
  <c r="B1664" i="41"/>
  <c r="F1664" i="41" s="1"/>
  <c r="F210" i="41"/>
  <c r="E182" i="41"/>
  <c r="E345" i="41"/>
  <c r="C1662" i="41"/>
  <c r="H1621" i="41"/>
  <c r="H351" i="41"/>
  <c r="H419" i="41"/>
  <c r="W91" i="35"/>
  <c r="X91" i="35" s="1"/>
  <c r="W580" i="35"/>
  <c r="X580" i="35" s="1"/>
  <c r="C263" i="41"/>
  <c r="G263" i="41" s="1"/>
  <c r="Y388" i="35"/>
  <c r="N89" i="35"/>
  <c r="H67" i="41"/>
  <c r="L100" i="35"/>
  <c r="Y575" i="35"/>
  <c r="P588" i="35"/>
  <c r="Y72" i="35"/>
  <c r="U72" i="35" s="1"/>
  <c r="L56" i="35"/>
  <c r="G1046" i="35"/>
  <c r="K1087" i="35"/>
  <c r="M1038" i="35"/>
  <c r="J745" i="35" a="1"/>
  <c r="J745" i="35" s="1"/>
  <c r="D745" i="35" s="1"/>
  <c r="C750" i="55" s="1"/>
  <c r="D750" i="55" s="1"/>
  <c r="M944" i="35"/>
  <c r="M875" i="35"/>
  <c r="H167" i="41"/>
  <c r="P91" i="35"/>
  <c r="B1070" i="41"/>
  <c r="Y1044" i="35"/>
  <c r="U1044" i="35" s="1"/>
  <c r="M89" i="35"/>
  <c r="M100" i="35"/>
  <c r="L542" i="35"/>
  <c r="L575" i="35"/>
  <c r="K588" i="35"/>
  <c r="M56" i="35"/>
  <c r="L412" i="35"/>
  <c r="L1038" i="35"/>
  <c r="J773" i="35" a="1"/>
  <c r="J773" i="35" s="1"/>
  <c r="D773" i="35" s="1"/>
  <c r="C778" i="55" s="1"/>
  <c r="D778" i="55" s="1"/>
  <c r="K94" i="35"/>
  <c r="K944" i="35"/>
  <c r="G55" i="35"/>
  <c r="L78" i="35"/>
  <c r="O412" i="35"/>
  <c r="F1512" i="41"/>
  <c r="G420" i="41"/>
  <c r="H164" i="41"/>
  <c r="G81" i="35"/>
  <c r="G91" i="35"/>
  <c r="B1068" i="41"/>
  <c r="B1069" i="41" s="1"/>
  <c r="L61" i="35"/>
  <c r="K89" i="35"/>
  <c r="E747" i="41"/>
  <c r="W100" i="35"/>
  <c r="X100" i="35" s="1"/>
  <c r="N408" i="35"/>
  <c r="N385" i="35"/>
  <c r="G93" i="35"/>
  <c r="M494" i="35"/>
  <c r="K795" i="35"/>
  <c r="O56" i="35"/>
  <c r="L1033" i="35"/>
  <c r="L65" i="35"/>
  <c r="L94" i="35"/>
  <c r="F408" i="41"/>
  <c r="C269" i="41"/>
  <c r="E269" i="41" s="1"/>
  <c r="H165" i="41"/>
  <c r="F165" i="41"/>
  <c r="L89" i="35"/>
  <c r="F192" i="41"/>
  <c r="H178" i="41"/>
  <c r="F176" i="41"/>
  <c r="W1050" i="35"/>
  <c r="X1050" i="35" s="1"/>
  <c r="U1050" i="35" s="1"/>
  <c r="B482" i="55"/>
  <c r="N875" i="35"/>
  <c r="H109" i="41"/>
  <c r="G110" i="41"/>
  <c r="F220" i="41"/>
  <c r="G1388" i="41"/>
  <c r="W68" i="35"/>
  <c r="X68" i="35" s="1"/>
  <c r="U68" i="35" s="1"/>
  <c r="L875" i="35"/>
  <c r="G100" i="35"/>
  <c r="E1641" i="41"/>
  <c r="K580" i="35"/>
  <c r="K61" i="35"/>
  <c r="C260" i="41"/>
  <c r="F260" i="41" s="1"/>
  <c r="Y1059" i="35"/>
  <c r="E815" i="41"/>
  <c r="Y408" i="35"/>
  <c r="K75" i="35"/>
  <c r="K385" i="35"/>
  <c r="B1038" i="41"/>
  <c r="E1038" i="41" s="1"/>
  <c r="B586" i="41"/>
  <c r="P795" i="35"/>
  <c r="C149" i="41"/>
  <c r="F149" i="41" s="1"/>
  <c r="P94" i="35"/>
  <c r="G110" i="35"/>
  <c r="E1634" i="41"/>
  <c r="G1427" i="41"/>
  <c r="M880" i="35"/>
  <c r="N78" i="35"/>
  <c r="F1572" i="41"/>
  <c r="F924" i="41"/>
  <c r="J436" i="35" a="1"/>
  <c r="J436" i="35" s="1"/>
  <c r="D436" i="35" s="1"/>
  <c r="C441" i="55" s="1"/>
  <c r="D441" i="55" s="1"/>
  <c r="F1309" i="41"/>
  <c r="Y880" i="35"/>
  <c r="M78" i="35"/>
  <c r="G1596" i="41"/>
  <c r="E710" i="41"/>
  <c r="F194" i="41"/>
  <c r="E110" i="41"/>
  <c r="E193" i="41"/>
  <c r="E1413" i="41"/>
  <c r="M68" i="35"/>
  <c r="K78" i="35"/>
  <c r="E164" i="41"/>
  <c r="E166" i="41"/>
  <c r="K39" i="35"/>
  <c r="M929" i="35"/>
  <c r="W1043" i="35"/>
  <c r="X1043" i="35" s="1"/>
  <c r="K3" i="35"/>
  <c r="B543" i="41"/>
  <c r="E543" i="41" s="1"/>
  <c r="E344" i="41"/>
  <c r="E1450" i="41"/>
  <c r="L101" i="35"/>
  <c r="H943" i="41"/>
  <c r="O1062" i="35"/>
  <c r="J1048" i="35" a="1"/>
  <c r="J1048" i="35" s="1"/>
  <c r="D1048" i="35" s="1"/>
  <c r="D33" i="17" s="1"/>
  <c r="E342" i="41"/>
  <c r="O101" i="35"/>
  <c r="H927" i="41"/>
  <c r="B288" i="41"/>
  <c r="F288" i="41" s="1"/>
  <c r="B328" i="41"/>
  <c r="W101" i="35"/>
  <c r="Y1062" i="35"/>
  <c r="L1079" i="35"/>
  <c r="M101" i="35"/>
  <c r="H934" i="41"/>
  <c r="Q1082" i="35"/>
  <c r="K1079" i="35"/>
  <c r="L91" i="35"/>
  <c r="W3" i="35"/>
  <c r="U3" i="35" s="1"/>
  <c r="Y122" i="35"/>
  <c r="C334" i="41"/>
  <c r="O91" i="35"/>
  <c r="W122" i="35"/>
  <c r="X122" i="35" s="1"/>
  <c r="B336" i="41"/>
  <c r="B335" i="41"/>
  <c r="B1015" i="41"/>
  <c r="E1015" i="41" s="1"/>
  <c r="D334" i="41"/>
  <c r="O1082" i="35"/>
  <c r="Y793" i="35"/>
  <c r="N1062" i="35"/>
  <c r="L391" i="35"/>
  <c r="B329" i="41"/>
  <c r="L1076" i="35"/>
  <c r="K391" i="35"/>
  <c r="B327" i="41"/>
  <c r="M1076" i="35"/>
  <c r="P1082" i="35"/>
  <c r="W793" i="35"/>
  <c r="X793" i="35" s="1"/>
  <c r="P222" i="35"/>
  <c r="N91" i="35"/>
  <c r="W1076" i="35"/>
  <c r="X1076" i="35" s="1"/>
  <c r="F1540" i="41"/>
  <c r="L39" i="35"/>
  <c r="K388" i="35"/>
  <c r="B1016" i="41"/>
  <c r="F1016" i="41" s="1"/>
  <c r="B87" i="41"/>
  <c r="E87" i="41" s="1"/>
  <c r="C1668" i="41"/>
  <c r="E341" i="41"/>
  <c r="G369" i="35"/>
  <c r="C1813" i="41"/>
  <c r="F1813" i="41" s="1"/>
  <c r="F374" i="41"/>
  <c r="F487" i="41"/>
  <c r="F463" i="41"/>
  <c r="N222" i="35"/>
  <c r="E343" i="41"/>
  <c r="G1349" i="41"/>
  <c r="H1391" i="41"/>
  <c r="E322" i="41"/>
  <c r="B805" i="55"/>
  <c r="W934" i="35"/>
  <c r="X934" i="35" s="1"/>
  <c r="E369" i="41"/>
  <c r="Y421" i="35"/>
  <c r="E367" i="41"/>
  <c r="F350" i="41"/>
  <c r="F448" i="41"/>
  <c r="W222" i="35"/>
  <c r="X222" i="35" s="1"/>
  <c r="N1076" i="35"/>
  <c r="N802" i="35"/>
  <c r="N389" i="35"/>
  <c r="C1805" i="41"/>
  <c r="E1805" i="41" s="1"/>
  <c r="W491" i="35"/>
  <c r="X491" i="35" s="1"/>
  <c r="M548" i="35"/>
  <c r="N110" i="35"/>
  <c r="F175" i="41"/>
  <c r="C24" i="41"/>
  <c r="D24" i="41" s="1"/>
  <c r="E24" i="41" s="1"/>
  <c r="M1079" i="35"/>
  <c r="W926" i="35"/>
  <c r="E323" i="41"/>
  <c r="N491" i="35"/>
  <c r="C1490" i="41"/>
  <c r="Y548" i="35"/>
  <c r="J1051" i="35" a="1"/>
  <c r="J1051" i="35" s="1"/>
  <c r="D1051" i="35" s="1"/>
  <c r="C1056" i="55" s="1"/>
  <c r="D1056" i="55" s="1"/>
  <c r="P1079" i="35"/>
  <c r="B338" i="41"/>
  <c r="Y1076" i="35"/>
  <c r="W416" i="35"/>
  <c r="E1337" i="41"/>
  <c r="D325" i="41"/>
  <c r="K1076" i="35"/>
  <c r="K934" i="35"/>
  <c r="Y934" i="35"/>
  <c r="O1083" i="35"/>
  <c r="M51" i="35"/>
  <c r="W75" i="35"/>
  <c r="K1062" i="35"/>
  <c r="B337" i="41"/>
  <c r="N45" i="35"/>
  <c r="L927" i="35"/>
  <c r="G1272" i="41"/>
  <c r="H1285" i="41"/>
  <c r="H1271" i="41"/>
  <c r="Y475" i="35"/>
  <c r="N51" i="35"/>
  <c r="L75" i="35"/>
  <c r="W1062" i="35"/>
  <c r="X1062" i="35" s="1"/>
  <c r="B326" i="41"/>
  <c r="K927" i="35"/>
  <c r="F1280" i="41"/>
  <c r="E1307" i="41"/>
  <c r="Y101" i="35"/>
  <c r="O549" i="35"/>
  <c r="N75" i="35"/>
  <c r="M389" i="35"/>
  <c r="G140" i="41"/>
  <c r="P102" i="35"/>
  <c r="W389" i="35"/>
  <c r="X389" i="35" s="1"/>
  <c r="M926" i="35"/>
  <c r="W37" i="35"/>
  <c r="X37" i="35" s="1"/>
  <c r="K110" i="35"/>
  <c r="N101" i="35"/>
  <c r="L389" i="35"/>
  <c r="Y926" i="35"/>
  <c r="B401" i="55"/>
  <c r="M491" i="35"/>
  <c r="H150" i="41"/>
  <c r="B593" i="41"/>
  <c r="F1276" i="41"/>
  <c r="Y1043" i="35"/>
  <c r="O89" i="35"/>
  <c r="B1013" i="41"/>
  <c r="E1013" i="41" s="1"/>
  <c r="B120" i="41"/>
  <c r="E120" i="41" s="1"/>
  <c r="B1018" i="41"/>
  <c r="D593" i="41"/>
  <c r="H933" i="41"/>
  <c r="F493" i="41"/>
  <c r="E236" i="41"/>
  <c r="Y1032" i="35"/>
  <c r="Y222" i="35"/>
  <c r="M584" i="35"/>
  <c r="C1806" i="41"/>
  <c r="H1806" i="41" s="1"/>
  <c r="F366" i="41"/>
  <c r="F394" i="41"/>
  <c r="F421" i="41"/>
  <c r="F427" i="41"/>
  <c r="F453" i="41"/>
  <c r="L102" i="35"/>
  <c r="B1036" i="41"/>
  <c r="E1036" i="41" s="1"/>
  <c r="K416" i="35"/>
  <c r="B503" i="55"/>
  <c r="W941" i="35"/>
  <c r="X941" i="35" s="1"/>
  <c r="P548" i="35"/>
  <c r="F396" i="41"/>
  <c r="F436" i="41"/>
  <c r="F422" i="41"/>
  <c r="F431" i="41"/>
  <c r="O102" i="35"/>
  <c r="Q87" i="35"/>
  <c r="L548" i="35"/>
  <c r="H104" i="41"/>
  <c r="F429" i="41"/>
  <c r="F474" i="41"/>
  <c r="F459" i="41"/>
  <c r="N548" i="35"/>
  <c r="F491" i="41"/>
  <c r="F486" i="41"/>
  <c r="F451" i="41"/>
  <c r="G595" i="41"/>
  <c r="J1055" i="35" a="1"/>
  <c r="J1055" i="35" s="1"/>
  <c r="D1055" i="35" s="1"/>
  <c r="D40" i="17" s="1"/>
  <c r="J1046" i="35" a="1"/>
  <c r="J1046" i="35" s="1"/>
  <c r="D1046" i="35" s="1"/>
  <c r="D31" i="17" s="1"/>
  <c r="E194" i="41"/>
  <c r="E180" i="41"/>
  <c r="E40" i="41"/>
  <c r="F184" i="41"/>
  <c r="F1271" i="41"/>
  <c r="H1273" i="41"/>
  <c r="W31" i="35"/>
  <c r="X31" i="35" s="1"/>
  <c r="G951" i="41"/>
  <c r="F1912" i="41"/>
  <c r="E39" i="41"/>
  <c r="G181" i="41"/>
  <c r="H1274" i="41"/>
  <c r="E1314" i="41"/>
  <c r="N572" i="35"/>
  <c r="F1493" i="41"/>
  <c r="E179" i="41"/>
  <c r="F209" i="41"/>
  <c r="E175" i="41"/>
  <c r="E1358" i="41"/>
  <c r="E1332" i="41"/>
  <c r="K68" i="35"/>
  <c r="C1053" i="41"/>
  <c r="E1496" i="41"/>
  <c r="E1475" i="41"/>
  <c r="E1644" i="41"/>
  <c r="C134" i="41"/>
  <c r="F134" i="41" s="1"/>
  <c r="F204" i="41"/>
  <c r="G756" i="41"/>
  <c r="M392" i="35"/>
  <c r="G197" i="35"/>
  <c r="B300" i="41"/>
  <c r="E300" i="41" s="1"/>
  <c r="G130" i="41"/>
  <c r="J744" i="35" a="1"/>
  <c r="J744" i="35" s="1"/>
  <c r="D744" i="35" s="1"/>
  <c r="C749" i="55" s="1"/>
  <c r="D749" i="55" s="1"/>
  <c r="W102" i="35"/>
  <c r="X102" i="35" s="1"/>
  <c r="Y10" i="35"/>
  <c r="E200" i="41"/>
  <c r="G32" i="35"/>
  <c r="W572" i="35"/>
  <c r="X572" i="35" s="1"/>
  <c r="E1493" i="41"/>
  <c r="F683" i="41"/>
  <c r="C130" i="41"/>
  <c r="E130" i="41" s="1"/>
  <c r="J738" i="35" a="1"/>
  <c r="J738" i="35" s="1"/>
  <c r="D738" i="35" s="1"/>
  <c r="C743" i="55" s="1"/>
  <c r="D743" i="55" s="1"/>
  <c r="N102" i="35"/>
  <c r="W20" i="35"/>
  <c r="X20" i="35" s="1"/>
  <c r="F1388" i="41"/>
  <c r="G1580" i="41"/>
  <c r="F203" i="41"/>
  <c r="F1319" i="41"/>
  <c r="F1549" i="41"/>
  <c r="G66" i="35"/>
  <c r="Y89" i="35"/>
  <c r="M82" i="35"/>
  <c r="E556" i="41"/>
  <c r="K18" i="35"/>
  <c r="W413" i="35"/>
  <c r="X413" i="35" s="1"/>
  <c r="O389" i="35"/>
  <c r="L392" i="35"/>
  <c r="W414" i="35"/>
  <c r="Y129" i="35"/>
  <c r="G939" i="35"/>
  <c r="W1068" i="35"/>
  <c r="U1068" i="35" s="1"/>
  <c r="H140" i="41"/>
  <c r="J780" i="35" a="1"/>
  <c r="J780" i="35" s="1"/>
  <c r="D780" i="35" s="1"/>
  <c r="C785" i="55" s="1"/>
  <c r="D785" i="55" s="1"/>
  <c r="B221" i="41"/>
  <c r="F211" i="41"/>
  <c r="E78" i="41"/>
  <c r="H945" i="41"/>
  <c r="F174" i="41"/>
  <c r="F1416" i="41"/>
  <c r="O390" i="35"/>
  <c r="K60" i="35"/>
  <c r="W82" i="35"/>
  <c r="X82" i="35" s="1"/>
  <c r="H182" i="41"/>
  <c r="E171" i="41"/>
  <c r="E1368" i="41"/>
  <c r="Y572" i="35"/>
  <c r="G1462" i="41"/>
  <c r="H203" i="41"/>
  <c r="E203" i="41"/>
  <c r="E169" i="41"/>
  <c r="Q475" i="35"/>
  <c r="Q572" i="35"/>
  <c r="F1466" i="41"/>
  <c r="E1598" i="41"/>
  <c r="B208" i="41"/>
  <c r="F774" i="41"/>
  <c r="M18" i="35"/>
  <c r="B578" i="55"/>
  <c r="Y389" i="35"/>
  <c r="L414" i="35"/>
  <c r="M1068" i="35"/>
  <c r="N87" i="35"/>
  <c r="C140" i="41"/>
  <c r="E140" i="41" s="1"/>
  <c r="E1594" i="41"/>
  <c r="E173" i="41"/>
  <c r="F198" i="41"/>
  <c r="E199" i="41"/>
  <c r="H172" i="41"/>
  <c r="F1433" i="41"/>
  <c r="E1340" i="41"/>
  <c r="G1625" i="41"/>
  <c r="E604" i="41"/>
  <c r="F130" i="41"/>
  <c r="N877" i="35"/>
  <c r="B301" i="41"/>
  <c r="E301" i="41" s="1"/>
  <c r="B73" i="55"/>
  <c r="E571" i="41"/>
  <c r="F197" i="41"/>
  <c r="H175" i="41"/>
  <c r="F191" i="41"/>
  <c r="E188" i="41"/>
  <c r="E1287" i="41"/>
  <c r="E1411" i="41"/>
  <c r="H1541" i="41"/>
  <c r="N79" i="35"/>
  <c r="F720" i="41"/>
  <c r="O391" i="35"/>
  <c r="W877" i="35"/>
  <c r="G556" i="41"/>
  <c r="J445" i="35" a="1"/>
  <c r="J445" i="35" s="1"/>
  <c r="D445" i="35" s="1"/>
  <c r="C450" i="55" s="1"/>
  <c r="D450" i="55" s="1"/>
  <c r="G941" i="35"/>
  <c r="B135" i="55"/>
  <c r="G130" i="35"/>
  <c r="B75" i="41"/>
  <c r="E75" i="41" s="1"/>
  <c r="B72" i="41"/>
  <c r="F72" i="41" s="1"/>
  <c r="W30" i="35"/>
  <c r="X30" i="35" s="1"/>
  <c r="B73" i="41"/>
  <c r="F73" i="41" s="1"/>
  <c r="L30" i="35"/>
  <c r="K30" i="35"/>
  <c r="B74" i="41"/>
  <c r="E74" i="41" s="1"/>
  <c r="Y30" i="35"/>
  <c r="M30" i="35"/>
  <c r="G798" i="35"/>
  <c r="B803" i="55"/>
  <c r="G386" i="35"/>
  <c r="B391" i="55"/>
  <c r="B1477" i="41"/>
  <c r="F1477" i="41" s="1"/>
  <c r="O789" i="35"/>
  <c r="B1472" i="41"/>
  <c r="B1473" i="41" s="1"/>
  <c r="B1474" i="41" s="1"/>
  <c r="F1474" i="41" s="1"/>
  <c r="K789" i="35"/>
  <c r="B1476" i="41"/>
  <c r="E1476" i="41" s="1"/>
  <c r="N789" i="35"/>
  <c r="B1475" i="41"/>
  <c r="F1475" i="41" s="1"/>
  <c r="M789" i="35"/>
  <c r="W789" i="35"/>
  <c r="X789" i="35" s="1"/>
  <c r="Y789" i="35"/>
  <c r="L789" i="35"/>
  <c r="G126" i="35"/>
  <c r="B131" i="55"/>
  <c r="J810" i="35" a="1"/>
  <c r="J810" i="35" s="1"/>
  <c r="D810" i="35" s="1"/>
  <c r="D36" i="50" s="1"/>
  <c r="J827" i="35" a="1"/>
  <c r="J827" i="35" s="1"/>
  <c r="D827" i="35" s="1"/>
  <c r="C832" i="55" s="1"/>
  <c r="D832" i="55" s="1"/>
  <c r="J870" i="35" a="1"/>
  <c r="J870" i="35" s="1"/>
  <c r="D870" i="35" s="1"/>
  <c r="D117" i="50" s="1"/>
  <c r="J829" i="35" a="1"/>
  <c r="J829" i="35" s="1"/>
  <c r="D829" i="35" s="1"/>
  <c r="C834" i="55" s="1"/>
  <c r="D834" i="55" s="1"/>
  <c r="J861" i="35" a="1"/>
  <c r="J861" i="35" s="1"/>
  <c r="D861" i="35" s="1"/>
  <c r="D105" i="50" s="1"/>
  <c r="J844" i="35" a="1"/>
  <c r="J844" i="35" s="1"/>
  <c r="D844" i="35" s="1"/>
  <c r="J805" i="35" a="1"/>
  <c r="J805" i="35" s="1"/>
  <c r="D805" i="35" s="1"/>
  <c r="C810" i="55" s="1"/>
  <c r="D810" i="55" s="1"/>
  <c r="J841" i="35" a="1"/>
  <c r="J841" i="35" s="1"/>
  <c r="D841" i="35" s="1"/>
  <c r="D79" i="50" s="1"/>
  <c r="J856" i="35" a="1"/>
  <c r="J856" i="35" s="1"/>
  <c r="D856" i="35" s="1"/>
  <c r="C861" i="55" s="1"/>
  <c r="D861" i="55" s="1"/>
  <c r="J842" i="35" a="1"/>
  <c r="J842" i="35" s="1"/>
  <c r="D842" i="35" s="1"/>
  <c r="J808" i="35" a="1"/>
  <c r="J808" i="35" s="1"/>
  <c r="D808" i="35" s="1"/>
  <c r="J839" i="35" a="1"/>
  <c r="J839" i="35" s="1"/>
  <c r="D839" i="35" s="1"/>
  <c r="J836" i="35" a="1"/>
  <c r="J836" i="35" s="1"/>
  <c r="D836" i="35" s="1"/>
  <c r="D71" i="50" s="1"/>
  <c r="J853" i="35" a="1"/>
  <c r="J853" i="35" s="1"/>
  <c r="D853" i="35" s="1"/>
  <c r="D94" i="50" s="1"/>
  <c r="J863" i="35" a="1"/>
  <c r="J863" i="35" s="1"/>
  <c r="D863" i="35" s="1"/>
  <c r="C868" i="55" s="1"/>
  <c r="D868" i="55" s="1"/>
  <c r="J859" i="35" a="1"/>
  <c r="J859" i="35" s="1"/>
  <c r="D859" i="35" s="1"/>
  <c r="C864" i="55" s="1"/>
  <c r="D864" i="55" s="1"/>
  <c r="G476" i="35"/>
  <c r="J824" i="35" a="1"/>
  <c r="J824" i="35" s="1"/>
  <c r="D824" i="35" s="1"/>
  <c r="D56" i="50" s="1"/>
  <c r="J858" i="35" a="1"/>
  <c r="J858" i="35" s="1"/>
  <c r="D858" i="35" s="1"/>
  <c r="C863" i="55" s="1"/>
  <c r="D863" i="55" s="1"/>
  <c r="J822" i="35" a="1"/>
  <c r="J822" i="35" s="1"/>
  <c r="D822" i="35" s="1"/>
  <c r="C827" i="55" s="1"/>
  <c r="D827" i="55" s="1"/>
  <c r="B481" i="55"/>
  <c r="J807" i="35" a="1"/>
  <c r="J807" i="35" s="1"/>
  <c r="D807" i="35" s="1"/>
  <c r="C812" i="55" s="1"/>
  <c r="D812" i="55" s="1"/>
  <c r="J812" i="35" a="1"/>
  <c r="J812" i="35" s="1"/>
  <c r="D812" i="35" s="1"/>
  <c r="C817" i="55" s="1"/>
  <c r="D817" i="55" s="1"/>
  <c r="G1050" i="35"/>
  <c r="G115" i="35"/>
  <c r="B120" i="55"/>
  <c r="E1632" i="41"/>
  <c r="E682" i="41"/>
  <c r="F1395" i="41"/>
  <c r="F1336" i="41"/>
  <c r="E1281" i="41"/>
  <c r="E1334" i="41"/>
  <c r="F1459" i="41"/>
  <c r="F1427" i="41"/>
  <c r="E1053" i="41"/>
  <c r="H1094" i="41"/>
  <c r="B8" i="55"/>
  <c r="F1498" i="41"/>
  <c r="G1621" i="41"/>
  <c r="E1465" i="41"/>
  <c r="E1602" i="41"/>
  <c r="E1656" i="41"/>
  <c r="H502" i="41"/>
  <c r="G47" i="41"/>
  <c r="H812" i="41"/>
  <c r="H940" i="41"/>
  <c r="H870" i="41"/>
  <c r="G629" i="41"/>
  <c r="E825" i="41"/>
  <c r="G1271" i="41"/>
  <c r="F1272" i="41"/>
  <c r="E1415" i="41"/>
  <c r="F1421" i="41"/>
  <c r="G1387" i="41"/>
  <c r="E1370" i="41"/>
  <c r="E1345" i="41"/>
  <c r="E1276" i="41"/>
  <c r="H845" i="41"/>
  <c r="E1094" i="41"/>
  <c r="G1479" i="41"/>
  <c r="F1655" i="41"/>
  <c r="H1623" i="41"/>
  <c r="E1580" i="41"/>
  <c r="F1619" i="41"/>
  <c r="E707" i="41"/>
  <c r="G935" i="41"/>
  <c r="G744" i="41"/>
  <c r="E594" i="41"/>
  <c r="G715" i="41"/>
  <c r="F1485" i="41"/>
  <c r="E1295" i="41"/>
  <c r="E1460" i="41"/>
  <c r="H1313" i="41"/>
  <c r="F1277" i="41"/>
  <c r="H1311" i="41"/>
  <c r="F1372" i="41"/>
  <c r="G1275" i="41"/>
  <c r="G1346" i="41"/>
  <c r="E1318" i="41"/>
  <c r="G1094" i="41"/>
  <c r="F1473" i="41"/>
  <c r="F1588" i="41"/>
  <c r="F1606" i="41"/>
  <c r="F1469" i="41"/>
  <c r="E750" i="41"/>
  <c r="F727" i="41"/>
  <c r="H828" i="41"/>
  <c r="E822" i="41"/>
  <c r="F687" i="41"/>
  <c r="F513" i="41"/>
  <c r="G473" i="35"/>
  <c r="B478" i="55"/>
  <c r="B94" i="55"/>
  <c r="G89" i="35"/>
  <c r="L390" i="35"/>
  <c r="B1014" i="41"/>
  <c r="E1014" i="41" s="1"/>
  <c r="W390" i="35"/>
  <c r="X390" i="35" s="1"/>
  <c r="Y390" i="35"/>
  <c r="N390" i="35"/>
  <c r="F1645" i="41"/>
  <c r="E1468" i="41"/>
  <c r="E1601" i="41"/>
  <c r="E1361" i="41"/>
  <c r="E1519" i="41"/>
  <c r="C1077" i="41"/>
  <c r="E1077" i="41" s="1"/>
  <c r="F611" i="41"/>
  <c r="F743" i="41"/>
  <c r="F571" i="41"/>
  <c r="G628" i="41"/>
  <c r="F699" i="41"/>
  <c r="H1101" i="41"/>
  <c r="L1060" i="35"/>
  <c r="C279" i="41"/>
  <c r="D279" i="41" s="1"/>
  <c r="N1060" i="35"/>
  <c r="M1060" i="35"/>
  <c r="K1060" i="35"/>
  <c r="W1060" i="35"/>
  <c r="Y1060" i="35"/>
  <c r="B421" i="55"/>
  <c r="G416" i="35"/>
  <c r="G405" i="35"/>
  <c r="B410" i="55"/>
  <c r="G1385" i="41"/>
  <c r="E1461" i="41"/>
  <c r="F1561" i="41"/>
  <c r="E513" i="41"/>
  <c r="F768" i="41"/>
  <c r="G734" i="41"/>
  <c r="F944" i="41"/>
  <c r="G837" i="41"/>
  <c r="H832" i="41"/>
  <c r="F1174" i="41"/>
  <c r="B545" i="55"/>
  <c r="G540" i="35"/>
  <c r="W147" i="35"/>
  <c r="X147" i="35" s="1"/>
  <c r="Y147" i="35"/>
  <c r="N147" i="35"/>
  <c r="B728" i="41"/>
  <c r="G728" i="41" s="1"/>
  <c r="K147" i="35"/>
  <c r="L147" i="35"/>
  <c r="B555" i="55"/>
  <c r="G550" i="35"/>
  <c r="B432" i="41"/>
  <c r="E432" i="41" s="1"/>
  <c r="M540" i="35"/>
  <c r="N540" i="35"/>
  <c r="L540" i="35"/>
  <c r="Y540" i="35"/>
  <c r="W540" i="35"/>
  <c r="G82" i="35"/>
  <c r="B87" i="55"/>
  <c r="E1419" i="41"/>
  <c r="E589" i="41"/>
  <c r="F1422" i="41"/>
  <c r="E1059" i="41"/>
  <c r="F755" i="41"/>
  <c r="E938" i="41"/>
  <c r="H735" i="41"/>
  <c r="H782" i="41"/>
  <c r="H1223" i="41"/>
  <c r="C127" i="41"/>
  <c r="H127" i="41" s="1"/>
  <c r="Y41" i="35"/>
  <c r="L41" i="35"/>
  <c r="W41" i="35"/>
  <c r="X41" i="35" s="1"/>
  <c r="N41" i="35"/>
  <c r="K41" i="35"/>
  <c r="M41" i="35"/>
  <c r="K589" i="35"/>
  <c r="Y589" i="35"/>
  <c r="M589" i="35"/>
  <c r="L589" i="35"/>
  <c r="B1085" i="41"/>
  <c r="E1085" i="41" s="1"/>
  <c r="W589" i="35"/>
  <c r="X589" i="35" s="1"/>
  <c r="N589" i="35"/>
  <c r="B1084" i="41"/>
  <c r="E1084" i="41" s="1"/>
  <c r="B1086" i="41"/>
  <c r="E1086" i="41" s="1"/>
  <c r="B1087" i="41"/>
  <c r="E1087" i="41" s="1"/>
  <c r="O589" i="35"/>
  <c r="F515" i="41"/>
  <c r="F426" i="41"/>
  <c r="E1911" i="41"/>
  <c r="E1908" i="41" s="1"/>
  <c r="E1909" i="41" s="1"/>
  <c r="K419" i="35"/>
  <c r="E475" i="41"/>
  <c r="E474" i="41"/>
  <c r="F497" i="41"/>
  <c r="Q419" i="35"/>
  <c r="E455" i="41"/>
  <c r="E449" i="41"/>
  <c r="Y419" i="35"/>
  <c r="F1911" i="41"/>
  <c r="F1908" i="41" s="1"/>
  <c r="F1909" i="41" s="1"/>
  <c r="H1909" i="41"/>
  <c r="E424" i="41"/>
  <c r="G1913" i="41"/>
  <c r="E451" i="41"/>
  <c r="E486" i="41"/>
  <c r="E425" i="41"/>
  <c r="F1910" i="41"/>
  <c r="E426" i="41"/>
  <c r="E462" i="41"/>
  <c r="E480" i="41"/>
  <c r="E496" i="41"/>
  <c r="E456" i="41"/>
  <c r="E467" i="41"/>
  <c r="E481" i="41"/>
  <c r="H1908" i="41"/>
  <c r="F504" i="41"/>
  <c r="E1912" i="41"/>
  <c r="E458" i="41"/>
  <c r="L419" i="35"/>
  <c r="E460" i="41"/>
  <c r="E488" i="41"/>
  <c r="P419" i="35"/>
  <c r="E454" i="41"/>
  <c r="E492" i="41"/>
  <c r="E1913" i="41"/>
  <c r="M419" i="35"/>
  <c r="E1910" i="41"/>
  <c r="W419" i="35"/>
  <c r="X419" i="35" s="1"/>
  <c r="E464" i="41"/>
  <c r="E491" i="41"/>
  <c r="H1912" i="41"/>
  <c r="E453" i="41"/>
  <c r="E478" i="41"/>
  <c r="G425" i="41"/>
  <c r="E436" i="41"/>
  <c r="E466" i="41"/>
  <c r="H498" i="41"/>
  <c r="G501" i="41"/>
  <c r="E498" i="41"/>
  <c r="E489" i="41"/>
  <c r="H500" i="41"/>
  <c r="E427" i="41"/>
  <c r="E493" i="41"/>
  <c r="E459" i="41"/>
  <c r="F498" i="41"/>
  <c r="G426" i="41"/>
  <c r="E487" i="41"/>
  <c r="E477" i="41"/>
  <c r="E497" i="41"/>
  <c r="G503" i="41"/>
  <c r="N419" i="35"/>
  <c r="E482" i="41"/>
  <c r="H499" i="41"/>
  <c r="F517" i="41"/>
  <c r="E470" i="41"/>
  <c r="E465" i="41"/>
  <c r="F507" i="41"/>
  <c r="F514" i="41"/>
  <c r="E473" i="41"/>
  <c r="E457" i="41"/>
  <c r="E476" i="41"/>
  <c r="F518" i="41"/>
  <c r="E469" i="41"/>
  <c r="G1909" i="41"/>
  <c r="E494" i="41"/>
  <c r="E484" i="41"/>
  <c r="G500" i="41"/>
  <c r="E468" i="41"/>
  <c r="G499" i="41"/>
  <c r="F512" i="41"/>
  <c r="E485" i="41"/>
  <c r="E490" i="41"/>
  <c r="F524" i="41"/>
  <c r="H425" i="41"/>
  <c r="H1911" i="41"/>
  <c r="E505" i="41"/>
  <c r="G1912" i="41"/>
  <c r="F522" i="41"/>
  <c r="E479" i="41"/>
  <c r="G1911" i="41"/>
  <c r="O419" i="35"/>
  <c r="E517" i="41"/>
  <c r="G498" i="41"/>
  <c r="E527" i="41"/>
  <c r="F519" i="41"/>
  <c r="H503" i="41"/>
  <c r="F424" i="41"/>
  <c r="F494" i="41"/>
  <c r="F505" i="41"/>
  <c r="F521" i="41"/>
  <c r="G1908" i="41"/>
  <c r="G502" i="41"/>
  <c r="E942" i="41"/>
  <c r="F1339" i="41"/>
  <c r="F1312" i="41"/>
  <c r="H1111" i="41"/>
  <c r="Y541" i="35"/>
  <c r="O541" i="35"/>
  <c r="W541" i="35"/>
  <c r="X541" i="35" s="1"/>
  <c r="P541" i="35"/>
  <c r="M541" i="35"/>
  <c r="N541" i="35"/>
  <c r="L541" i="35"/>
  <c r="K541" i="35"/>
  <c r="C428" i="41"/>
  <c r="E428" i="41" s="1"/>
  <c r="Q541" i="35"/>
  <c r="B933" i="55"/>
  <c r="G928" i="35"/>
  <c r="K397" i="35"/>
  <c r="N397" i="35"/>
  <c r="W397" i="35"/>
  <c r="X397" i="35" s="1"/>
  <c r="Y397" i="35"/>
  <c r="L397" i="35"/>
  <c r="B1021" i="41"/>
  <c r="E1021" i="41" s="1"/>
  <c r="M397" i="35"/>
  <c r="O397" i="35"/>
  <c r="B79" i="55"/>
  <c r="G74" i="35"/>
  <c r="C569" i="41" a="1"/>
  <c r="C569" i="41" s="1"/>
  <c r="B588" i="41"/>
  <c r="F588" i="41" s="1"/>
  <c r="B604" i="41"/>
  <c r="B602" i="41"/>
  <c r="B564" i="41"/>
  <c r="F564" i="41" s="1"/>
  <c r="B625" i="41"/>
  <c r="F625" i="41" s="1"/>
  <c r="B565" i="41"/>
  <c r="E565" i="41" s="1"/>
  <c r="B601" i="41"/>
  <c r="B605" i="41"/>
  <c r="B623" i="41"/>
  <c r="F623" i="41" s="1"/>
  <c r="B567" i="41"/>
  <c r="F567" i="41" s="1"/>
  <c r="B592" i="41"/>
  <c r="E592" i="41" s="1"/>
  <c r="B566" i="41"/>
  <c r="F566" i="41" s="1"/>
  <c r="B626" i="41"/>
  <c r="F626" i="41" s="1"/>
  <c r="B627" i="41"/>
  <c r="E627" i="41" s="1"/>
  <c r="B589" i="41"/>
  <c r="F589" i="41" s="1"/>
  <c r="B624" i="41"/>
  <c r="E624" i="41" s="1"/>
  <c r="B603" i="41"/>
  <c r="B549" i="41"/>
  <c r="E549" i="41" s="1"/>
  <c r="B552" i="41"/>
  <c r="G552" i="41" s="1"/>
  <c r="B553" i="41"/>
  <c r="G553" i="41" s="1"/>
  <c r="M108" i="35"/>
  <c r="L108" i="35"/>
  <c r="B590" i="41"/>
  <c r="E590" i="41" s="1"/>
  <c r="B550" i="41"/>
  <c r="G550" i="41" s="1"/>
  <c r="B568" i="41"/>
  <c r="F568" i="41" s="1"/>
  <c r="Y108" i="35"/>
  <c r="B551" i="41"/>
  <c r="E551" i="41" s="1"/>
  <c r="W108" i="35"/>
  <c r="X108" i="35" s="1"/>
  <c r="K108" i="35"/>
  <c r="N1084" i="35"/>
  <c r="M1084" i="35"/>
  <c r="K1084" i="35"/>
  <c r="Y1084" i="35"/>
  <c r="P1084" i="35"/>
  <c r="C331" i="41"/>
  <c r="D331" i="41" s="1"/>
  <c r="W1084" i="35"/>
  <c r="L1084" i="35"/>
  <c r="C340" i="41"/>
  <c r="D340" i="41" s="1"/>
  <c r="O1084" i="35"/>
  <c r="B880" i="55"/>
  <c r="G875" i="35"/>
  <c r="B95" i="55"/>
  <c r="G90" i="35"/>
  <c r="G123" i="35"/>
  <c r="B128" i="55"/>
  <c r="G6" i="35"/>
  <c r="B11" i="55"/>
  <c r="Y931" i="35"/>
  <c r="L931" i="35"/>
  <c r="B136" i="55"/>
  <c r="G131" i="35"/>
  <c r="Y19" i="35"/>
  <c r="W19" i="35"/>
  <c r="X19" i="35" s="1"/>
  <c r="L19" i="35"/>
  <c r="K19" i="35"/>
  <c r="M19" i="35"/>
  <c r="Y939" i="35"/>
  <c r="C1818" i="41"/>
  <c r="K939" i="35"/>
  <c r="N939" i="35"/>
  <c r="L939" i="35"/>
  <c r="K369" i="35"/>
  <c r="L369" i="35"/>
  <c r="W369" i="35"/>
  <c r="X369" i="35" s="1"/>
  <c r="Q369" i="35"/>
  <c r="Y369" i="35"/>
  <c r="P369" i="35"/>
  <c r="N369" i="35"/>
  <c r="O803" i="35"/>
  <c r="B1501" i="41"/>
  <c r="E1501" i="41" s="1"/>
  <c r="Y803" i="35"/>
  <c r="K803" i="35"/>
  <c r="W803" i="35"/>
  <c r="B1498" i="41"/>
  <c r="E1498" i="41" s="1"/>
  <c r="L803" i="35"/>
  <c r="B1499" i="41"/>
  <c r="F1499" i="41" s="1"/>
  <c r="N803" i="35"/>
  <c r="M803" i="35"/>
  <c r="B1500" i="41"/>
  <c r="F1500" i="41" s="1"/>
  <c r="K942" i="35"/>
  <c r="M942" i="35"/>
  <c r="C1821" i="41"/>
  <c r="W942" i="35"/>
  <c r="X942" i="35" s="1"/>
  <c r="L942" i="35"/>
  <c r="N942" i="35"/>
  <c r="B123" i="55"/>
  <c r="G118" i="35"/>
  <c r="B53" i="55"/>
  <c r="G48" i="35"/>
  <c r="B1046" i="55"/>
  <c r="G1041" i="35"/>
  <c r="M1042" i="35"/>
  <c r="M1043" i="35"/>
  <c r="G792" i="35"/>
  <c r="B797" i="55"/>
  <c r="N53" i="35"/>
  <c r="M53" i="35"/>
  <c r="W53" i="35"/>
  <c r="X53" i="35" s="1"/>
  <c r="Y53" i="35"/>
  <c r="L53" i="35"/>
  <c r="E1363" i="41"/>
  <c r="F1450" i="41"/>
  <c r="F1387" i="41"/>
  <c r="G1362" i="41"/>
  <c r="E1441" i="41"/>
  <c r="E1372" i="41"/>
  <c r="E1485" i="41"/>
  <c r="E1588" i="41"/>
  <c r="B663" i="41"/>
  <c r="N133" i="35"/>
  <c r="K133" i="35"/>
  <c r="O133" i="35"/>
  <c r="P133" i="35"/>
  <c r="B664" i="41"/>
  <c r="L133" i="35"/>
  <c r="M133" i="35"/>
  <c r="Y133" i="35"/>
  <c r="U133" i="35" s="1"/>
  <c r="B662" i="41"/>
  <c r="G397" i="35"/>
  <c r="B402" i="55"/>
  <c r="C1674" i="41"/>
  <c r="G1674" i="41" s="1"/>
  <c r="O880" i="35"/>
  <c r="K880" i="35"/>
  <c r="L880" i="35"/>
  <c r="G29" i="35"/>
  <c r="B34" i="55"/>
  <c r="G585" i="35"/>
  <c r="B590" i="55"/>
  <c r="J441" i="35" a="1"/>
  <c r="J441" i="35" s="1"/>
  <c r="D441" i="35" s="1"/>
  <c r="C446" i="55" s="1"/>
  <c r="D446" i="55" s="1"/>
  <c r="J437" i="35" a="1"/>
  <c r="J437" i="35" s="1"/>
  <c r="D437" i="35" s="1"/>
  <c r="C442" i="55" s="1"/>
  <c r="D442" i="55" s="1"/>
  <c r="J449" i="35" a="1"/>
  <c r="J449" i="35" s="1"/>
  <c r="D449" i="35" s="1"/>
  <c r="C454" i="55" s="1"/>
  <c r="D454" i="55" s="1"/>
  <c r="J461" i="35" a="1"/>
  <c r="J461" i="35" s="1"/>
  <c r="D461" i="35" s="1"/>
  <c r="C466" i="55" s="1"/>
  <c r="D466" i="55" s="1"/>
  <c r="J429" i="35" a="1"/>
  <c r="J429" i="35" s="1"/>
  <c r="D429" i="35" s="1"/>
  <c r="C434" i="55" s="1"/>
  <c r="D434" i="55" s="1"/>
  <c r="B426" i="55"/>
  <c r="J467" i="35" a="1"/>
  <c r="J467" i="35" s="1"/>
  <c r="D467" i="35" s="1"/>
  <c r="D73" i="49" s="1"/>
  <c r="J462" i="35" a="1"/>
  <c r="J462" i="35" s="1"/>
  <c r="D462" i="35" s="1"/>
  <c r="J435" i="35" a="1"/>
  <c r="J435" i="35" s="1"/>
  <c r="D435" i="35" s="1"/>
  <c r="D32" i="49" s="1"/>
  <c r="J465" i="35" a="1"/>
  <c r="J465" i="35" s="1"/>
  <c r="D465" i="35" s="1"/>
  <c r="N464" i="35" s="1"/>
  <c r="J464" i="35" s="1" a="1"/>
  <c r="J464" i="35" s="1"/>
  <c r="D464" i="35" s="1"/>
  <c r="J463" i="35" a="1"/>
  <c r="J463" i="35" s="1"/>
  <c r="D463" i="35" s="1"/>
  <c r="C468" i="55" s="1"/>
  <c r="D468" i="55" s="1"/>
  <c r="J442" i="35" a="1"/>
  <c r="J442" i="35" s="1"/>
  <c r="D442" i="35" s="1"/>
  <c r="D39" i="49" s="1"/>
  <c r="J458" i="35" a="1"/>
  <c r="J458" i="35" s="1"/>
  <c r="D458" i="35" s="1"/>
  <c r="D61" i="49" s="1"/>
  <c r="J426" i="35" a="1"/>
  <c r="J426" i="35" s="1"/>
  <c r="D426" i="35" s="1"/>
  <c r="J447" i="35" a="1"/>
  <c r="J447" i="35" s="1"/>
  <c r="D447" i="35" s="1"/>
  <c r="D47" i="49" s="1"/>
  <c r="J432" i="35" a="1"/>
  <c r="J432" i="35" s="1"/>
  <c r="D432" i="35" s="1"/>
  <c r="J451" i="35" a="1"/>
  <c r="J451" i="35" s="1"/>
  <c r="D451" i="35" s="1"/>
  <c r="J431" i="35" a="1"/>
  <c r="J431" i="35" s="1"/>
  <c r="D431" i="35" s="1"/>
  <c r="J453" i="35" a="1"/>
  <c r="J453" i="35" s="1"/>
  <c r="D453" i="35" s="1"/>
  <c r="J455" i="35" a="1"/>
  <c r="J455" i="35" s="1"/>
  <c r="D455" i="35" s="1"/>
  <c r="N454" i="35" s="1"/>
  <c r="J454" i="35" s="1" a="1"/>
  <c r="J454" i="35" s="1"/>
  <c r="D454" i="35" s="1"/>
  <c r="J470" i="35" a="1"/>
  <c r="J470" i="35" s="1"/>
  <c r="D470" i="35" s="1"/>
  <c r="C475" i="55" s="1"/>
  <c r="D475" i="55" s="1"/>
  <c r="J425" i="35" a="1"/>
  <c r="J425" i="35" s="1"/>
  <c r="D425" i="35" s="1"/>
  <c r="N424" i="35" s="1"/>
  <c r="J424" i="35" s="1" a="1"/>
  <c r="J424" i="35" s="1"/>
  <c r="D424" i="35" s="1"/>
  <c r="J471" i="35" a="1"/>
  <c r="J471" i="35" s="1"/>
  <c r="D471" i="35" s="1"/>
  <c r="C476" i="55" s="1"/>
  <c r="D476" i="55" s="1"/>
  <c r="J433" i="35" a="1"/>
  <c r="J433" i="35" s="1"/>
  <c r="D433" i="35" s="1"/>
  <c r="C438" i="55" s="1"/>
  <c r="D438" i="55" s="1"/>
  <c r="J472" i="35" a="1"/>
  <c r="J472" i="35" s="1"/>
  <c r="D472" i="35" s="1"/>
  <c r="C477" i="55" s="1"/>
  <c r="D477" i="55" s="1"/>
  <c r="J439" i="35" a="1"/>
  <c r="J439" i="35" s="1"/>
  <c r="D439" i="35" s="1"/>
  <c r="D36" i="49" s="1"/>
  <c r="J452" i="35" a="1"/>
  <c r="J452" i="35" s="1"/>
  <c r="D452" i="35" s="1"/>
  <c r="D52" i="49" s="1"/>
  <c r="J457" i="35" a="1"/>
  <c r="J457" i="35" s="1"/>
  <c r="D457" i="35" s="1"/>
  <c r="C462" i="55" s="1"/>
  <c r="D462" i="55" s="1"/>
  <c r="J450" i="35" a="1"/>
  <c r="J450" i="35" s="1"/>
  <c r="D450" i="35" s="1"/>
  <c r="D50" i="49" s="1"/>
  <c r="G421" i="35"/>
  <c r="J448" i="35" a="1"/>
  <c r="J448" i="35" s="1"/>
  <c r="D448" i="35" s="1"/>
  <c r="C453" i="55" s="1"/>
  <c r="D453" i="55" s="1"/>
  <c r="J423" i="35" a="1"/>
  <c r="J423" i="35" s="1"/>
  <c r="D423" i="35" s="1"/>
  <c r="C428" i="55" s="1"/>
  <c r="D428" i="55" s="1"/>
  <c r="J443" i="35" a="1"/>
  <c r="J443" i="35" s="1"/>
  <c r="D443" i="35" s="1"/>
  <c r="C448" i="55" s="1"/>
  <c r="D448" i="55" s="1"/>
  <c r="J428" i="35" a="1"/>
  <c r="J428" i="35" s="1"/>
  <c r="D428" i="35" s="1"/>
  <c r="D22" i="49" s="1"/>
  <c r="J466" i="35" a="1"/>
  <c r="J466" i="35" s="1"/>
  <c r="D466" i="35" s="1"/>
  <c r="C471" i="55" s="1"/>
  <c r="D471" i="55" s="1"/>
  <c r="J459" i="35" a="1"/>
  <c r="J459" i="35" s="1"/>
  <c r="D459" i="35" s="1"/>
  <c r="J430" i="35" a="1"/>
  <c r="J430" i="35" s="1"/>
  <c r="D430" i="35" s="1"/>
  <c r="D24" i="49" s="1"/>
  <c r="J427" i="35" a="1"/>
  <c r="J427" i="35" s="1"/>
  <c r="D427" i="35" s="1"/>
  <c r="D21" i="49" s="1"/>
  <c r="J438" i="35" a="1"/>
  <c r="J438" i="35" s="1"/>
  <c r="D438" i="35" s="1"/>
  <c r="J456" i="35" a="1"/>
  <c r="J456" i="35" s="1"/>
  <c r="D456" i="35" s="1"/>
  <c r="J446" i="35" a="1"/>
  <c r="J446" i="35" s="1"/>
  <c r="D446" i="35" s="1"/>
  <c r="J468" i="35" a="1"/>
  <c r="J468" i="35" s="1"/>
  <c r="D468" i="35" s="1"/>
  <c r="C473" i="55" s="1"/>
  <c r="D473" i="55" s="1"/>
  <c r="J440" i="35" a="1"/>
  <c r="J440" i="35" s="1"/>
  <c r="D440" i="35" s="1"/>
  <c r="D37" i="49" s="1"/>
  <c r="J460" i="35" a="1"/>
  <c r="J460" i="35" s="1"/>
  <c r="D460" i="35" s="1"/>
  <c r="D63" i="49" s="1"/>
  <c r="G1076" i="35"/>
  <c r="B1081" i="55"/>
  <c r="B49" i="55"/>
  <c r="G44" i="35"/>
  <c r="G1044" i="35"/>
  <c r="B1049" i="55"/>
  <c r="Y1048" i="35"/>
  <c r="W1048" i="35"/>
  <c r="M936" i="35"/>
  <c r="N936" i="35"/>
  <c r="B1060" i="55"/>
  <c r="G1055" i="35"/>
  <c r="G116" i="35"/>
  <c r="B121" i="55"/>
  <c r="B931" i="55"/>
  <c r="G926" i="35"/>
  <c r="B23" i="55"/>
  <c r="G18" i="35"/>
  <c r="M1072" i="35"/>
  <c r="W1072" i="35"/>
  <c r="X1072" i="35" s="1"/>
  <c r="Y1072" i="35"/>
  <c r="O1072" i="35"/>
  <c r="K1072" i="35"/>
  <c r="L1072" i="35"/>
  <c r="N1072" i="35"/>
  <c r="F1400" i="41"/>
  <c r="E1312" i="41"/>
  <c r="E1402" i="41"/>
  <c r="E1379" i="41"/>
  <c r="E1364" i="41"/>
  <c r="G1440" i="41"/>
  <c r="E1335" i="41"/>
  <c r="G1430" i="41"/>
  <c r="E1406" i="41"/>
  <c r="G1390" i="41"/>
  <c r="F1472" i="41"/>
  <c r="E1523" i="41"/>
  <c r="F1623" i="41"/>
  <c r="H1544" i="41"/>
  <c r="E614" i="41"/>
  <c r="F801" i="41"/>
  <c r="F917" i="41"/>
  <c r="E757" i="41"/>
  <c r="H555" i="41"/>
  <c r="E1487" i="41"/>
  <c r="F1392" i="41"/>
  <c r="F1350" i="41"/>
  <c r="E1473" i="41"/>
  <c r="L585" i="35"/>
  <c r="G952" i="41"/>
  <c r="F570" i="41"/>
  <c r="F806" i="41"/>
  <c r="G669" i="41"/>
  <c r="F1295" i="41"/>
  <c r="F1456" i="41"/>
  <c r="E1403" i="41"/>
  <c r="K69" i="35"/>
  <c r="H1041" i="41"/>
  <c r="F1501" i="41"/>
  <c r="F1550" i="41"/>
  <c r="H953" i="41"/>
  <c r="G1097" i="41"/>
  <c r="E1324" i="41"/>
  <c r="F1364" i="41"/>
  <c r="H1387" i="41"/>
  <c r="F1507" i="41"/>
  <c r="E1502" i="41"/>
  <c r="E945" i="41"/>
  <c r="G679" i="41"/>
  <c r="E805" i="41"/>
  <c r="F830" i="41"/>
  <c r="E1408" i="41"/>
  <c r="H1545" i="41"/>
  <c r="G1556" i="41"/>
  <c r="H1390" i="41"/>
  <c r="F1455" i="41"/>
  <c r="H1309" i="41"/>
  <c r="E1272" i="41"/>
  <c r="F1510" i="41"/>
  <c r="F1586" i="41"/>
  <c r="F1058" i="41"/>
  <c r="F1135" i="41"/>
  <c r="F1347" i="41"/>
  <c r="F1362" i="41"/>
  <c r="E1378" i="41"/>
  <c r="F1305" i="41"/>
  <c r="G1478" i="41"/>
  <c r="F1642" i="41"/>
  <c r="F1627" i="41"/>
  <c r="E1505" i="41"/>
  <c r="F1590" i="41"/>
  <c r="G1135" i="41"/>
  <c r="G733" i="41"/>
  <c r="E1356" i="41"/>
  <c r="E1407" i="41"/>
  <c r="F1443" i="41"/>
  <c r="G1401" i="41"/>
  <c r="F1354" i="41"/>
  <c r="F1341" i="41"/>
  <c r="E1437" i="41"/>
  <c r="G1507" i="41"/>
  <c r="E1506" i="41"/>
  <c r="H1622" i="41"/>
  <c r="E1620" i="41"/>
  <c r="H1135" i="41"/>
  <c r="F600" i="41"/>
  <c r="F832" i="41"/>
  <c r="G825" i="41"/>
  <c r="G795" i="41"/>
  <c r="M369" i="35"/>
  <c r="E495" i="41"/>
  <c r="F1447" i="41"/>
  <c r="F1415" i="41"/>
  <c r="F1318" i="41"/>
  <c r="E1331" i="41"/>
  <c r="E1365" i="41"/>
  <c r="G1438" i="41"/>
  <c r="F1343" i="41"/>
  <c r="H1345" i="41"/>
  <c r="F1489" i="41"/>
  <c r="B416" i="55"/>
  <c r="E1527" i="41"/>
  <c r="E1619" i="41"/>
  <c r="F1573" i="41"/>
  <c r="E1463" i="41"/>
  <c r="E1541" i="41"/>
  <c r="F796" i="41"/>
  <c r="G810" i="41"/>
  <c r="G758" i="41"/>
  <c r="H824" i="41"/>
  <c r="O369" i="35"/>
  <c r="E452" i="41"/>
  <c r="E1126" i="41"/>
  <c r="B594" i="55"/>
  <c r="G589" i="35"/>
  <c r="G63" i="35"/>
  <c r="B68" i="55"/>
  <c r="C1817" i="41"/>
  <c r="H1817" i="41" s="1"/>
  <c r="K938" i="35"/>
  <c r="N938" i="35"/>
  <c r="M938" i="35"/>
  <c r="W938" i="35"/>
  <c r="L938" i="35"/>
  <c r="M70" i="35"/>
  <c r="C153" i="41"/>
  <c r="W69" i="35"/>
  <c r="X69" i="35" s="1"/>
  <c r="N69" i="35"/>
  <c r="K77" i="35"/>
  <c r="O77" i="35"/>
  <c r="N77" i="35"/>
  <c r="Y77" i="35"/>
  <c r="L77" i="35"/>
  <c r="M77" i="35"/>
  <c r="C172" i="41"/>
  <c r="G937" i="35"/>
  <c r="B942" i="55"/>
  <c r="G1284" i="41"/>
  <c r="B1059" i="55"/>
  <c r="G1054" i="35"/>
  <c r="F1306" i="41"/>
  <c r="F702" i="41"/>
  <c r="E1567" i="41"/>
  <c r="E1341" i="41"/>
  <c r="F1403" i="41"/>
  <c r="F1559" i="41"/>
  <c r="H1913" i="41"/>
  <c r="H1042" i="41"/>
  <c r="B44" i="55"/>
  <c r="G39" i="35"/>
  <c r="N386" i="35"/>
  <c r="Y386" i="35"/>
  <c r="Y60" i="35"/>
  <c r="U60" i="35" s="1"/>
  <c r="K1085" i="35"/>
  <c r="M1087" i="35"/>
  <c r="O1087" i="35"/>
  <c r="N1085" i="35"/>
  <c r="L1085" i="35"/>
  <c r="M1085" i="35"/>
  <c r="W1085" i="35"/>
  <c r="X1085" i="35" s="1"/>
  <c r="Y1085" i="35"/>
  <c r="E1430" i="41"/>
  <c r="E1555" i="41"/>
  <c r="H1312" i="41"/>
  <c r="F1330" i="41"/>
  <c r="E1269" i="41"/>
  <c r="G1352" i="41"/>
  <c r="Y69" i="35"/>
  <c r="O473" i="35"/>
  <c r="F1488" i="41"/>
  <c r="G1620" i="41"/>
  <c r="G1307" i="41"/>
  <c r="F1357" i="41"/>
  <c r="E1321" i="41"/>
  <c r="E1453" i="41"/>
  <c r="F1454" i="41"/>
  <c r="F1632" i="41"/>
  <c r="F1653" i="41"/>
  <c r="F1546" i="41"/>
  <c r="C138" i="41"/>
  <c r="F138" i="41" s="1"/>
  <c r="F617" i="41"/>
  <c r="G850" i="41"/>
  <c r="E760" i="41"/>
  <c r="E831" i="41"/>
  <c r="W939" i="35"/>
  <c r="X939" i="35" s="1"/>
  <c r="F1441" i="41"/>
  <c r="H1349" i="41"/>
  <c r="E1382" i="41"/>
  <c r="E1304" i="41"/>
  <c r="E1371" i="41"/>
  <c r="E1294" i="41"/>
  <c r="E1429" i="41"/>
  <c r="F1352" i="41"/>
  <c r="Y51" i="35"/>
  <c r="F1592" i="41"/>
  <c r="E1595" i="41"/>
  <c r="F1638" i="41"/>
  <c r="E1623" i="41"/>
  <c r="K53" i="35"/>
  <c r="G780" i="41"/>
  <c r="G701" i="41"/>
  <c r="H772" i="41"/>
  <c r="M939" i="35"/>
  <c r="E463" i="41"/>
  <c r="G112" i="35"/>
  <c r="B117" i="55"/>
  <c r="W1051" i="35"/>
  <c r="X1051" i="35" s="1"/>
  <c r="C270" i="41"/>
  <c r="F270" i="41" s="1"/>
  <c r="G133" i="35"/>
  <c r="B138" i="55"/>
  <c r="L418" i="35"/>
  <c r="B360" i="41"/>
  <c r="E360" i="41" s="1"/>
  <c r="K418" i="35"/>
  <c r="N418" i="35"/>
  <c r="B361" i="41"/>
  <c r="F361" i="41" s="1"/>
  <c r="M418" i="35"/>
  <c r="B362" i="41"/>
  <c r="E362" i="41" s="1"/>
  <c r="W418" i="35"/>
  <c r="Y418" i="35"/>
  <c r="B359" i="41"/>
  <c r="E359" i="41" s="1"/>
  <c r="G539" i="35"/>
  <c r="B544" i="55"/>
  <c r="O585" i="35"/>
  <c r="Y585" i="35"/>
  <c r="M585" i="35"/>
  <c r="K585" i="35"/>
  <c r="B395" i="55"/>
  <c r="G390" i="35"/>
  <c r="L1081" i="35"/>
  <c r="K1081" i="35"/>
  <c r="M1081" i="35"/>
  <c r="W1081" i="35"/>
  <c r="X1081" i="35" s="1"/>
  <c r="P1081" i="35"/>
  <c r="N1081" i="35"/>
  <c r="Q1081" i="35"/>
  <c r="O1081" i="35"/>
  <c r="Y1081" i="35"/>
  <c r="W550" i="35"/>
  <c r="K550" i="35"/>
  <c r="O550" i="35"/>
  <c r="P550" i="35"/>
  <c r="M550" i="35"/>
  <c r="C514" i="41"/>
  <c r="E514" i="41" s="1"/>
  <c r="Y550" i="35"/>
  <c r="L550" i="35"/>
  <c r="N550" i="35"/>
  <c r="K1030" i="35"/>
  <c r="Y1030" i="35"/>
  <c r="W1030" i="35"/>
  <c r="X1030" i="35" s="1"/>
  <c r="L1030" i="35"/>
  <c r="C225" i="41"/>
  <c r="F225" i="41" s="1"/>
  <c r="C296" i="41"/>
  <c r="E296" i="41" s="1"/>
  <c r="K878" i="35"/>
  <c r="W878" i="35"/>
  <c r="X878" i="35" s="1"/>
  <c r="L878" i="35"/>
  <c r="Y878" i="35"/>
  <c r="N878" i="35"/>
  <c r="M878" i="35"/>
  <c r="O878" i="35"/>
  <c r="B25" i="55"/>
  <c r="G20" i="35"/>
  <c r="K8" i="35"/>
  <c r="W8" i="35"/>
  <c r="L8" i="35"/>
  <c r="Y8" i="35"/>
  <c r="G1045" i="35"/>
  <c r="B1050" i="55"/>
  <c r="B496" i="55"/>
  <c r="G491" i="35"/>
  <c r="L791" i="35"/>
  <c r="O791" i="35"/>
  <c r="W791" i="35"/>
  <c r="X791" i="35" s="1"/>
  <c r="Y791" i="35"/>
  <c r="M791" i="35"/>
  <c r="N791" i="35"/>
  <c r="K791" i="35"/>
  <c r="P791" i="35"/>
  <c r="G1067" i="35"/>
  <c r="B1072" i="55"/>
  <c r="C7" i="41"/>
  <c r="F7" i="41" s="1"/>
  <c r="W11" i="35"/>
  <c r="L11" i="35"/>
  <c r="Y11" i="35"/>
  <c r="K11" i="35"/>
  <c r="C1" i="41"/>
  <c r="I1283" i="41" s="1"/>
  <c r="G14" i="35"/>
  <c r="B19" i="55"/>
  <c r="G579" i="35"/>
  <c r="B584" i="55"/>
  <c r="G7" i="35"/>
  <c r="B12" i="55"/>
  <c r="W117" i="35"/>
  <c r="X117" i="35" s="1"/>
  <c r="B618" i="41"/>
  <c r="M1071" i="35"/>
  <c r="N1071" i="35"/>
  <c r="C308" i="41"/>
  <c r="D308" i="41" s="1"/>
  <c r="W1071" i="35"/>
  <c r="U1071" i="35" s="1"/>
  <c r="C306" i="41"/>
  <c r="D306" i="41" s="1"/>
  <c r="C307" i="41"/>
  <c r="D307" i="41" s="1"/>
  <c r="P1071" i="35"/>
  <c r="C305" i="41"/>
  <c r="D305" i="41" s="1"/>
  <c r="O1071" i="35"/>
  <c r="K1071" i="35"/>
  <c r="L1071" i="35"/>
  <c r="L60" i="35"/>
  <c r="Y1051" i="35"/>
  <c r="G120" i="35"/>
  <c r="B125" i="55"/>
  <c r="B396" i="55"/>
  <c r="G391" i="35"/>
  <c r="C271" i="41"/>
  <c r="H271" i="41" s="1"/>
  <c r="W1052" i="35"/>
  <c r="X1052" i="35" s="1"/>
  <c r="Y1052" i="35"/>
  <c r="G1083" i="35"/>
  <c r="B1088" i="55"/>
  <c r="B38" i="55"/>
  <c r="G33" i="35"/>
  <c r="G490" i="35"/>
  <c r="B495" i="55"/>
  <c r="C139" i="41"/>
  <c r="K54" i="35"/>
  <c r="N54" i="35"/>
  <c r="M54" i="35"/>
  <c r="L54" i="35"/>
  <c r="W54" i="35"/>
  <c r="Y54" i="35"/>
  <c r="W383" i="35"/>
  <c r="X383" i="35" s="1"/>
  <c r="M383" i="35"/>
  <c r="L383" i="35"/>
  <c r="N383" i="35"/>
  <c r="Y383" i="35"/>
  <c r="K383" i="35"/>
  <c r="B1007" i="41"/>
  <c r="F1007" i="41" s="1"/>
  <c r="O383" i="35"/>
  <c r="B90" i="55"/>
  <c r="G85" i="35"/>
  <c r="O80" i="35"/>
  <c r="N80" i="35"/>
  <c r="G56" i="35"/>
  <c r="B61" i="55"/>
  <c r="B133" i="55"/>
  <c r="G128" i="35"/>
  <c r="K1075" i="35"/>
  <c r="B319" i="41"/>
  <c r="E319" i="41" s="1"/>
  <c r="M1075" i="35"/>
  <c r="Y1075" i="35"/>
  <c r="N1075" i="35"/>
  <c r="B317" i="41"/>
  <c r="E317" i="41" s="1"/>
  <c r="B316" i="41"/>
  <c r="E316" i="41" s="1"/>
  <c r="B318" i="41"/>
  <c r="E318" i="41" s="1"/>
  <c r="L1075" i="35"/>
  <c r="W1075" i="35"/>
  <c r="G879" i="35"/>
  <c r="B884" i="55"/>
  <c r="B21" i="55"/>
  <c r="G16" i="35"/>
  <c r="B881" i="55"/>
  <c r="G876" i="35"/>
  <c r="K1029" i="35"/>
  <c r="Y1029" i="35"/>
  <c r="L1029" i="35"/>
  <c r="W1029" i="35"/>
  <c r="X1029" i="35" s="1"/>
  <c r="M1029" i="35"/>
  <c r="D225" i="41"/>
  <c r="H225" i="41" s="1"/>
  <c r="G575" i="35"/>
  <c r="B580" i="55"/>
  <c r="N50" i="35"/>
  <c r="C135" i="41"/>
  <c r="W50" i="35"/>
  <c r="K50" i="35"/>
  <c r="Y50" i="35"/>
  <c r="L50" i="35"/>
  <c r="M50" i="35"/>
  <c r="H765" i="41"/>
  <c r="H935" i="41"/>
  <c r="F590" i="41"/>
  <c r="F915" i="41"/>
  <c r="H712" i="41"/>
  <c r="E946" i="41"/>
  <c r="H813" i="41"/>
  <c r="H671" i="41"/>
  <c r="F822" i="41"/>
  <c r="F698" i="41"/>
  <c r="E719" i="41"/>
  <c r="H928" i="41"/>
  <c r="G631" i="41"/>
  <c r="F587" i="41"/>
  <c r="G922" i="41"/>
  <c r="F789" i="41"/>
  <c r="E690" i="41"/>
  <c r="G818" i="41"/>
  <c r="F710" i="41"/>
  <c r="G801" i="41"/>
  <c r="G702" i="41"/>
  <c r="K104" i="35"/>
  <c r="G929" i="41"/>
  <c r="F709" i="41"/>
  <c r="H758" i="41"/>
  <c r="E827" i="41"/>
  <c r="F798" i="41"/>
  <c r="F753" i="41"/>
  <c r="F696" i="41"/>
  <c r="H742" i="41"/>
  <c r="G607" i="41"/>
  <c r="F760" i="41"/>
  <c r="H584" i="41"/>
  <c r="G611" i="41"/>
  <c r="G711" i="41"/>
  <c r="H669" i="41"/>
  <c r="E928" i="41"/>
  <c r="G710" i="41"/>
  <c r="G722" i="41"/>
  <c r="E702" i="41"/>
  <c r="G704" i="41"/>
  <c r="F750" i="41"/>
  <c r="H737" i="41"/>
  <c r="E699" i="41"/>
  <c r="E925" i="41"/>
  <c r="G571" i="41"/>
  <c r="H924" i="41"/>
  <c r="H725" i="41"/>
  <c r="E751" i="41"/>
  <c r="H719" i="41"/>
  <c r="H726" i="41"/>
  <c r="E796" i="41"/>
  <c r="F765" i="41"/>
  <c r="G721" i="41"/>
  <c r="F818" i="41"/>
  <c r="G882" i="41"/>
  <c r="H574" i="41"/>
  <c r="E883" i="41"/>
  <c r="F762" i="41"/>
  <c r="G931" i="41"/>
  <c r="H781" i="41"/>
  <c r="H806" i="41"/>
  <c r="G597" i="41"/>
  <c r="H675" i="41"/>
  <c r="H802" i="41"/>
  <c r="G757" i="41"/>
  <c r="G889" i="41"/>
  <c r="G724" i="41"/>
  <c r="E814" i="41"/>
  <c r="G796" i="41"/>
  <c r="F694" i="41"/>
  <c r="G743" i="41"/>
  <c r="H633" i="41"/>
  <c r="G924" i="41"/>
  <c r="G939" i="41"/>
  <c r="H594" i="41"/>
  <c r="E764" i="41"/>
  <c r="F670" i="41"/>
  <c r="G706" i="41"/>
  <c r="G585" i="41"/>
  <c r="F575" i="41"/>
  <c r="F952" i="41"/>
  <c r="E817" i="41"/>
  <c r="H811" i="41"/>
  <c r="G768" i="41"/>
  <c r="G713" i="41"/>
  <c r="G572" i="41"/>
  <c r="H952" i="41"/>
  <c r="F790" i="41"/>
  <c r="G718" i="41"/>
  <c r="G749" i="41"/>
  <c r="F712" i="41"/>
  <c r="E793" i="41"/>
  <c r="G792" i="41"/>
  <c r="G954" i="41"/>
  <c r="E679" i="41"/>
  <c r="E824" i="41"/>
  <c r="F734" i="41"/>
  <c r="F719" i="41"/>
  <c r="H808" i="41"/>
  <c r="F574" i="41"/>
  <c r="H709" i="41"/>
  <c r="H700" i="41"/>
  <c r="E931" i="41"/>
  <c r="G712" i="41"/>
  <c r="G944" i="41"/>
  <c r="G690" i="41"/>
  <c r="H610" i="41"/>
  <c r="F682" i="41"/>
  <c r="G830" i="41"/>
  <c r="H751" i="41"/>
  <c r="G695" i="41"/>
  <c r="E697" i="41"/>
  <c r="F671" i="41"/>
  <c r="E676" i="41"/>
  <c r="H608" i="41"/>
  <c r="G633" i="41"/>
  <c r="G821" i="41"/>
  <c r="E783" i="41"/>
  <c r="H764" i="41"/>
  <c r="G811" i="41"/>
  <c r="F779" i="41"/>
  <c r="F641" i="41"/>
  <c r="F776" i="41"/>
  <c r="F735" i="41"/>
  <c r="E894" i="41"/>
  <c r="H575" i="41"/>
  <c r="E691" i="41"/>
  <c r="G793" i="41"/>
  <c r="F681" i="41"/>
  <c r="G563" i="41"/>
  <c r="E816" i="41"/>
  <c r="G730" i="41"/>
  <c r="F606" i="41"/>
  <c r="E797" i="41"/>
  <c r="G915" i="41"/>
  <c r="G667" i="41"/>
  <c r="E642" i="41"/>
  <c r="E769" i="41"/>
  <c r="F823" i="41"/>
  <c r="H599" i="41"/>
  <c r="G622" i="41"/>
  <c r="E720" i="41"/>
  <c r="F828" i="41"/>
  <c r="E802" i="41"/>
  <c r="G735" i="41"/>
  <c r="H674" i="41"/>
  <c r="H920" i="41"/>
  <c r="F573" i="41"/>
  <c r="G671" i="41"/>
  <c r="G946" i="41"/>
  <c r="E754" i="41"/>
  <c r="E828" i="41"/>
  <c r="F777" i="41"/>
  <c r="G834" i="41"/>
  <c r="G621" i="41"/>
  <c r="G593" i="41"/>
  <c r="F938" i="41"/>
  <c r="E746" i="41"/>
  <c r="H593" i="41"/>
  <c r="F764" i="41"/>
  <c r="H749" i="41"/>
  <c r="F799" i="41"/>
  <c r="F785" i="41"/>
  <c r="F805" i="41"/>
  <c r="H794" i="41"/>
  <c r="H912" i="41"/>
  <c r="H788" i="41"/>
  <c r="G686" i="41"/>
  <c r="G717" i="41"/>
  <c r="F797" i="41"/>
  <c r="E618" i="41"/>
  <c r="H900" i="41"/>
  <c r="E934" i="41"/>
  <c r="F771" i="41"/>
  <c r="G716" i="41"/>
  <c r="G953" i="41"/>
  <c r="F808" i="41"/>
  <c r="E739" i="41"/>
  <c r="H727" i="41"/>
  <c r="F810" i="41"/>
  <c r="E586" i="41"/>
  <c r="E801" i="41"/>
  <c r="G822" i="41"/>
  <c r="E820" i="41"/>
  <c r="F730" i="41"/>
  <c r="H741" i="41"/>
  <c r="G916" i="41"/>
  <c r="H942" i="41"/>
  <c r="H886" i="41"/>
  <c r="F772" i="41"/>
  <c r="E619" i="41"/>
  <c r="F927" i="41"/>
  <c r="F800" i="41"/>
  <c r="H779" i="41"/>
  <c r="H640" i="41"/>
  <c r="H548" i="41"/>
  <c r="H612" i="41"/>
  <c r="F747" i="41"/>
  <c r="F739" i="41"/>
  <c r="G642" i="41"/>
  <c r="G708" i="41"/>
  <c r="H791" i="41"/>
  <c r="F608" i="41"/>
  <c r="G761" i="41"/>
  <c r="E844" i="41"/>
  <c r="E600" i="41"/>
  <c r="H666" i="41"/>
  <c r="E933" i="41"/>
  <c r="G720" i="41"/>
  <c r="F578" i="41"/>
  <c r="H586" i="41"/>
  <c r="H693" i="41"/>
  <c r="G881" i="41"/>
  <c r="H760" i="41"/>
  <c r="F612" i="41"/>
  <c r="E948" i="41"/>
  <c r="F792" i="41"/>
  <c r="E593" i="41"/>
  <c r="E792" i="41"/>
  <c r="H668" i="41"/>
  <c r="F674" i="41"/>
  <c r="G804" i="41"/>
  <c r="G926" i="41"/>
  <c r="G741" i="41"/>
  <c r="E829" i="41"/>
  <c r="E919" i="41"/>
  <c r="H730" i="41"/>
  <c r="E935" i="41"/>
  <c r="H573" i="41"/>
  <c r="H756" i="41"/>
  <c r="H805" i="41"/>
  <c r="H947" i="41"/>
  <c r="H929" i="41"/>
  <c r="L104" i="35"/>
  <c r="G620" i="41"/>
  <c r="E800" i="41"/>
  <c r="E785" i="41"/>
  <c r="G794" i="41"/>
  <c r="F756" i="41"/>
  <c r="F668" i="41"/>
  <c r="F667" i="41"/>
  <c r="E758" i="41"/>
  <c r="F610" i="41"/>
  <c r="H784" i="41"/>
  <c r="E918" i="41"/>
  <c r="F817" i="41"/>
  <c r="G934" i="41"/>
  <c r="F941" i="41"/>
  <c r="F620" i="41"/>
  <c r="G806" i="41"/>
  <c r="F722" i="41"/>
  <c r="H615" i="41"/>
  <c r="G936" i="41"/>
  <c r="E706" i="41"/>
  <c r="E944" i="41"/>
  <c r="H815" i="41"/>
  <c r="E765" i="41"/>
  <c r="G692" i="41"/>
  <c r="H771" i="41"/>
  <c r="G940" i="41"/>
  <c r="G606" i="41"/>
  <c r="E782" i="41"/>
  <c r="H578" i="41"/>
  <c r="H847" i="41"/>
  <c r="E667" i="41"/>
  <c r="G668" i="41"/>
  <c r="G703" i="41"/>
  <c r="F684" i="41"/>
  <c r="F548" i="41"/>
  <c r="G615" i="41"/>
  <c r="F942" i="41"/>
  <c r="E768" i="41"/>
  <c r="F642" i="41"/>
  <c r="F616" i="41"/>
  <c r="G554" i="41"/>
  <c r="E606" i="41"/>
  <c r="E666" i="41"/>
  <c r="G773" i="41"/>
  <c r="F688" i="41"/>
  <c r="F763" i="41"/>
  <c r="H734" i="41"/>
  <c r="E732" i="41"/>
  <c r="E743" i="41"/>
  <c r="E784" i="41"/>
  <c r="F563" i="41"/>
  <c r="H563" i="41"/>
  <c r="F741" i="41"/>
  <c r="E842" i="41"/>
  <c r="G709" i="41"/>
  <c r="H762" i="41"/>
  <c r="G888" i="41"/>
  <c r="E731" i="41"/>
  <c r="E774" i="41"/>
  <c r="H761" i="41"/>
  <c r="F814" i="41"/>
  <c r="G807" i="41"/>
  <c r="G791" i="41"/>
  <c r="H816" i="41"/>
  <c r="E718" i="41"/>
  <c r="F596" i="41"/>
  <c r="G705" i="41"/>
  <c r="E798" i="41"/>
  <c r="G691" i="41"/>
  <c r="H946" i="41"/>
  <c r="G683" i="41"/>
  <c r="H721" i="41"/>
  <c r="G819" i="41"/>
  <c r="F737" i="41"/>
  <c r="G919" i="41"/>
  <c r="H690" i="41"/>
  <c r="F761" i="41"/>
  <c r="E633" i="41"/>
  <c r="F939" i="41"/>
  <c r="G753" i="41"/>
  <c r="F748" i="41"/>
  <c r="H938" i="41"/>
  <c r="G902" i="41"/>
  <c r="E609" i="41"/>
  <c r="G774" i="41"/>
  <c r="H822" i="41"/>
  <c r="G790" i="41"/>
  <c r="H703" i="41"/>
  <c r="F700" i="41"/>
  <c r="G928" i="41"/>
  <c r="H614" i="41"/>
  <c r="G781" i="41"/>
  <c r="E726" i="41"/>
  <c r="F811" i="41"/>
  <c r="G800" i="41"/>
  <c r="G694" i="41"/>
  <c r="G637" i="41"/>
  <c r="E830" i="41"/>
  <c r="G675" i="41"/>
  <c r="H745" i="41"/>
  <c r="H807" i="41"/>
  <c r="G684" i="41"/>
  <c r="F786" i="41"/>
  <c r="H47" i="41"/>
  <c r="H819" i="41"/>
  <c r="H618" i="41"/>
  <c r="G921" i="41"/>
  <c r="E684" i="41"/>
  <c r="G893" i="41"/>
  <c r="F593" i="41"/>
  <c r="G599" i="41"/>
  <c r="E588" i="41"/>
  <c r="E607" i="41"/>
  <c r="G860" i="41"/>
  <c r="E621" i="41"/>
  <c r="H752" i="41"/>
  <c r="G617" i="41"/>
  <c r="G737" i="41"/>
  <c r="F802" i="41"/>
  <c r="E744" i="41"/>
  <c r="E911" i="41"/>
  <c r="E926" i="41"/>
  <c r="F742" i="41"/>
  <c r="H915" i="41"/>
  <c r="F677" i="41"/>
  <c r="E756" i="41"/>
  <c r="H689" i="41"/>
  <c r="F666" i="41"/>
  <c r="H773" i="41"/>
  <c r="F708" i="41"/>
  <c r="E772" i="41"/>
  <c r="E880" i="41"/>
  <c r="F629" i="41"/>
  <c r="H740" i="41"/>
  <c r="E788" i="41"/>
  <c r="H770" i="41"/>
  <c r="H780" i="41"/>
  <c r="G943" i="41"/>
  <c r="G817" i="41"/>
  <c r="E555" i="41"/>
  <c r="G619" i="41"/>
  <c r="F678" i="41"/>
  <c r="F713" i="41"/>
  <c r="E47" i="41"/>
  <c r="F48" i="41" s="1"/>
  <c r="E611" i="41"/>
  <c r="F744" i="41"/>
  <c r="H683" i="41"/>
  <c r="H907" i="41"/>
  <c r="H695" i="41"/>
  <c r="F804" i="41"/>
  <c r="E865" i="41"/>
  <c r="H821" i="41"/>
  <c r="H715" i="41"/>
  <c r="F726" i="41"/>
  <c r="G779" i="41"/>
  <c r="E717" i="41"/>
  <c r="G681" i="41"/>
  <c r="F695" i="41"/>
  <c r="F758" i="41"/>
  <c r="G762" i="41"/>
  <c r="E675" i="41"/>
  <c r="E722" i="41"/>
  <c r="E637" i="41"/>
  <c r="G727" i="41"/>
  <c r="F751" i="41"/>
  <c r="E738" i="41"/>
  <c r="F686" i="41"/>
  <c r="E687" i="41"/>
  <c r="F949" i="41"/>
  <c r="F916" i="41"/>
  <c r="G938" i="41"/>
  <c r="F705" i="41"/>
  <c r="F948" i="41"/>
  <c r="G782" i="41"/>
  <c r="F555" i="41"/>
  <c r="E668" i="41"/>
  <c r="H887" i="41"/>
  <c r="H637" i="41"/>
  <c r="E905" i="41"/>
  <c r="G707" i="41"/>
  <c r="F827" i="41"/>
  <c r="H777" i="41"/>
  <c r="E698" i="41"/>
  <c r="H866" i="41"/>
  <c r="G699" i="41"/>
  <c r="G729" i="41"/>
  <c r="E777" i="41"/>
  <c r="E689" i="41"/>
  <c r="E713" i="41"/>
  <c r="E674" i="41"/>
  <c r="H554" i="41"/>
  <c r="E636" i="41"/>
  <c r="E859" i="41"/>
  <c r="H687" i="41"/>
  <c r="G586" i="41"/>
  <c r="E749" i="41"/>
  <c r="E742" i="41"/>
  <c r="E921" i="41"/>
  <c r="F945" i="41"/>
  <c r="E680" i="41"/>
  <c r="F890" i="41"/>
  <c r="G809" i="41"/>
  <c r="F829" i="41"/>
  <c r="H717" i="41"/>
  <c r="H681" i="41"/>
  <c r="G828" i="41"/>
  <c r="H733" i="41"/>
  <c r="H645" i="41"/>
  <c r="G674" i="41"/>
  <c r="E936" i="41"/>
  <c r="H879" i="41"/>
  <c r="E572" i="41"/>
  <c r="E641" i="41"/>
  <c r="H872" i="41"/>
  <c r="E761" i="41"/>
  <c r="E622" i="41"/>
  <c r="E582" i="41"/>
  <c r="H881" i="41"/>
  <c r="E715" i="41"/>
  <c r="F638" i="41"/>
  <c r="G582" i="41"/>
  <c r="F880" i="41"/>
  <c r="H918" i="41"/>
  <c r="H667" i="41"/>
  <c r="G802" i="41"/>
  <c r="H632" i="41"/>
  <c r="F707" i="41"/>
  <c r="E578" i="41"/>
  <c r="E605" i="41"/>
  <c r="G945" i="41"/>
  <c r="G53" i="41"/>
  <c r="E737" i="41"/>
  <c r="F788" i="41"/>
  <c r="E723" i="41"/>
  <c r="F601" i="41"/>
  <c r="H676" i="41"/>
  <c r="E639" i="41"/>
  <c r="G696" i="41"/>
  <c r="F770" i="41"/>
  <c r="E729" i="41"/>
  <c r="F943" i="41"/>
  <c r="G555" i="41"/>
  <c r="G759" i="41"/>
  <c r="E806" i="41"/>
  <c r="E937" i="41"/>
  <c r="H860" i="41"/>
  <c r="H932" i="41"/>
  <c r="G750" i="41"/>
  <c r="H825" i="41"/>
  <c r="G742" i="41"/>
  <c r="F604" i="41"/>
  <c r="G941" i="41"/>
  <c r="E779" i="41"/>
  <c r="F940" i="41"/>
  <c r="E752" i="41"/>
  <c r="F701" i="41"/>
  <c r="H753" i="41"/>
  <c r="G885" i="41"/>
  <c r="E901" i="41"/>
  <c r="H707" i="41"/>
  <c r="E834" i="41"/>
  <c r="F930" i="41"/>
  <c r="F602" i="41"/>
  <c r="F740" i="41"/>
  <c r="G745" i="41"/>
  <c r="H827" i="41"/>
  <c r="G765" i="41"/>
  <c r="G925" i="41"/>
  <c r="H684" i="41"/>
  <c r="F903" i="41"/>
  <c r="F691" i="41"/>
  <c r="E704" i="41"/>
  <c r="F627" i="41"/>
  <c r="F775" i="41"/>
  <c r="F936" i="41"/>
  <c r="E939" i="41"/>
  <c r="E753" i="41"/>
  <c r="H53" i="41"/>
  <c r="F599" i="41"/>
  <c r="G680" i="41"/>
  <c r="F585" i="41"/>
  <c r="F784" i="41"/>
  <c r="E786" i="41"/>
  <c r="H871" i="41"/>
  <c r="E584" i="41"/>
  <c r="E922" i="41"/>
  <c r="G670" i="41"/>
  <c r="F714" i="41"/>
  <c r="E694" i="41"/>
  <c r="G799" i="41"/>
  <c r="F731" i="41"/>
  <c r="F736" i="41"/>
  <c r="F624" i="41"/>
  <c r="F931" i="41"/>
  <c r="G942" i="41"/>
  <c r="G638" i="41"/>
  <c r="F724" i="41"/>
  <c r="G677" i="41"/>
  <c r="E631" i="41"/>
  <c r="E949" i="41"/>
  <c r="G616" i="41"/>
  <c r="E915" i="41"/>
  <c r="H736" i="41"/>
  <c r="E940" i="41"/>
  <c r="F749" i="41"/>
  <c r="F693" i="41"/>
  <c r="G867" i="41"/>
  <c r="F863" i="41"/>
  <c r="H800" i="41"/>
  <c r="F821" i="41"/>
  <c r="E917" i="41"/>
  <c r="G748" i="41"/>
  <c r="H702" i="41"/>
  <c r="H917" i="41"/>
  <c r="H809" i="41"/>
  <c r="G833" i="41"/>
  <c r="E703" i="41"/>
  <c r="H766" i="41"/>
  <c r="E603" i="41"/>
  <c r="E670" i="41"/>
  <c r="H743" i="41"/>
  <c r="H694" i="41"/>
  <c r="F921" i="41"/>
  <c r="H716" i="41"/>
  <c r="F752" i="41"/>
  <c r="E813" i="41"/>
  <c r="F679" i="41"/>
  <c r="H729" i="41"/>
  <c r="E599" i="41"/>
  <c r="G901" i="41"/>
  <c r="H864" i="41"/>
  <c r="F813" i="41"/>
  <c r="F619" i="41"/>
  <c r="E791" i="41"/>
  <c r="F953" i="41"/>
  <c r="M104" i="35"/>
  <c r="H869" i="41"/>
  <c r="F628" i="41"/>
  <c r="F834" i="41"/>
  <c r="H799" i="41"/>
  <c r="H923" i="41"/>
  <c r="F926" i="41"/>
  <c r="E602" i="41"/>
  <c r="E808" i="41"/>
  <c r="H939" i="41"/>
  <c r="H926" i="41"/>
  <c r="G634" i="41"/>
  <c r="G714" i="41"/>
  <c r="E583" i="41"/>
  <c r="H557" i="41"/>
  <c r="H696" i="41"/>
  <c r="G689" i="41"/>
  <c r="G594" i="41"/>
  <c r="H757" i="41"/>
  <c r="H705" i="41"/>
  <c r="F614" i="41"/>
  <c r="H826" i="41"/>
  <c r="E686" i="41"/>
  <c r="E616" i="41"/>
  <c r="H829" i="41"/>
  <c r="H680" i="41"/>
  <c r="G746" i="41"/>
  <c r="F855" i="41"/>
  <c r="F715" i="41"/>
  <c r="F824" i="41"/>
  <c r="E612" i="41"/>
  <c r="H677" i="41"/>
  <c r="F928" i="41"/>
  <c r="H921" i="41"/>
  <c r="H954" i="41"/>
  <c r="E819" i="41"/>
  <c r="H746" i="41"/>
  <c r="E941" i="41"/>
  <c r="G908" i="41"/>
  <c r="F923" i="41"/>
  <c r="F632" i="41"/>
  <c r="H846" i="41"/>
  <c r="E885" i="41"/>
  <c r="G769" i="41"/>
  <c r="F935" i="41"/>
  <c r="G752" i="41"/>
  <c r="H748" i="41"/>
  <c r="F954" i="41"/>
  <c r="G823" i="41"/>
  <c r="H619" i="41"/>
  <c r="G949" i="41"/>
  <c r="E587" i="41"/>
  <c r="G700" i="41"/>
  <c r="G890" i="41"/>
  <c r="E947" i="41"/>
  <c r="H769" i="41"/>
  <c r="H768" i="41"/>
  <c r="H724" i="41"/>
  <c r="F729" i="41"/>
  <c r="H630" i="41"/>
  <c r="G846" i="41"/>
  <c r="H710" i="41"/>
  <c r="H600" i="41"/>
  <c r="F787" i="41"/>
  <c r="H951" i="41"/>
  <c r="E623" i="41"/>
  <c r="H691" i="41"/>
  <c r="H596" i="41"/>
  <c r="H937" i="41"/>
  <c r="G797" i="41"/>
  <c r="H692" i="41"/>
  <c r="E771" i="41"/>
  <c r="F621" i="41"/>
  <c r="H629" i="41"/>
  <c r="Y104" i="35"/>
  <c r="H670" i="41"/>
  <c r="H571" i="41"/>
  <c r="H722" i="41"/>
  <c r="E920" i="41"/>
  <c r="F669" i="41"/>
  <c r="H679" i="41"/>
  <c r="G917" i="41"/>
  <c r="G784" i="41"/>
  <c r="H755" i="41"/>
  <c r="G760" i="41"/>
  <c r="H767" i="41"/>
  <c r="F605" i="41"/>
  <c r="G771" i="41"/>
  <c r="H732" i="41"/>
  <c r="E812" i="41"/>
  <c r="F769" i="41"/>
  <c r="F929" i="41"/>
  <c r="H688" i="41"/>
  <c r="G731" i="41"/>
  <c r="H708" i="41"/>
  <c r="F703" i="41"/>
  <c r="G772" i="41"/>
  <c r="G587" i="41"/>
  <c r="F630" i="41"/>
  <c r="G820" i="41"/>
  <c r="E725" i="41"/>
  <c r="G788" i="41"/>
  <c r="G826" i="41"/>
  <c r="F676" i="41"/>
  <c r="F947" i="41"/>
  <c r="G927" i="41"/>
  <c r="G844" i="41"/>
  <c r="G923" i="41"/>
  <c r="G894" i="41"/>
  <c r="H714" i="41"/>
  <c r="H936" i="41"/>
  <c r="E943" i="41"/>
  <c r="E767" i="41"/>
  <c r="G805" i="41"/>
  <c r="G785" i="41"/>
  <c r="F637" i="41"/>
  <c r="F820" i="41"/>
  <c r="H701" i="41"/>
  <c r="E775" i="41"/>
  <c r="G685" i="41"/>
  <c r="E952" i="41"/>
  <c r="E735" i="41"/>
  <c r="G575" i="41"/>
  <c r="F615" i="41"/>
  <c r="E892" i="41"/>
  <c r="F754" i="41"/>
  <c r="G839" i="41"/>
  <c r="H697" i="41"/>
  <c r="H731" i="41"/>
  <c r="H583" i="41"/>
  <c r="F716" i="41"/>
  <c r="F591" i="41"/>
  <c r="F902" i="41"/>
  <c r="F864" i="41"/>
  <c r="G608" i="41"/>
  <c r="H638" i="41"/>
  <c r="G570" i="41"/>
  <c r="F634" i="41"/>
  <c r="F675" i="41"/>
  <c r="H718" i="41"/>
  <c r="F922" i="41"/>
  <c r="F603" i="41"/>
  <c r="H739" i="41"/>
  <c r="H713" i="41"/>
  <c r="G947" i="41"/>
  <c r="H678" i="41"/>
  <c r="H711" i="41"/>
  <c r="F831" i="41"/>
  <c r="F704" i="41"/>
  <c r="E741" i="41"/>
  <c r="F773" i="41"/>
  <c r="G808" i="41"/>
  <c r="H817" i="41"/>
  <c r="E850" i="41"/>
  <c r="H628" i="41"/>
  <c r="F807" i="41"/>
  <c r="F592" i="41"/>
  <c r="H890" i="41"/>
  <c r="H706" i="41"/>
  <c r="G612" i="41"/>
  <c r="F826" i="41"/>
  <c r="H834" i="41"/>
  <c r="E53" i="41"/>
  <c r="G751" i="41"/>
  <c r="E712" i="41"/>
  <c r="E630" i="41"/>
  <c r="G786" i="41"/>
  <c r="F557" i="41"/>
  <c r="H783" i="41"/>
  <c r="G618" i="41"/>
  <c r="G609" i="41"/>
  <c r="G740" i="41"/>
  <c r="E629" i="41"/>
  <c r="G831" i="41"/>
  <c r="H810" i="41"/>
  <c r="E923" i="41"/>
  <c r="H919" i="41"/>
  <c r="G776" i="41"/>
  <c r="H704" i="41"/>
  <c r="H844" i="41"/>
  <c r="G687" i="41"/>
  <c r="E776" i="41"/>
  <c r="F607" i="41"/>
  <c r="G697" i="41"/>
  <c r="E818" i="41"/>
  <c r="H820" i="41"/>
  <c r="E781" i="41"/>
  <c r="H587" i="41"/>
  <c r="G777" i="41"/>
  <c r="H831" i="41"/>
  <c r="G849" i="41"/>
  <c r="E724" i="41"/>
  <c r="G600" i="41"/>
  <c r="H925" i="41"/>
  <c r="G738" i="41"/>
  <c r="E678" i="41"/>
  <c r="F746" i="41"/>
  <c r="F833" i="41"/>
  <c r="E895" i="41"/>
  <c r="G754" i="41"/>
  <c r="F732" i="41"/>
  <c r="F809" i="41"/>
  <c r="H698" i="41"/>
  <c r="F781" i="41"/>
  <c r="F780" i="41"/>
  <c r="E671" i="41"/>
  <c r="E685" i="41"/>
  <c r="G798" i="41"/>
  <c r="E615" i="41"/>
  <c r="G723" i="41"/>
  <c r="E548" i="41"/>
  <c r="E626" i="41"/>
  <c r="E563" i="41"/>
  <c r="G787" i="41"/>
  <c r="F618" i="41"/>
  <c r="F633" i="41"/>
  <c r="G698" i="41"/>
  <c r="E795" i="41"/>
  <c r="F937" i="41"/>
  <c r="E807" i="41"/>
  <c r="H930" i="41"/>
  <c r="H948" i="41"/>
  <c r="H878" i="41"/>
  <c r="F685" i="41"/>
  <c r="F757" i="41"/>
  <c r="H686" i="41"/>
  <c r="H944" i="41"/>
  <c r="E803" i="41"/>
  <c r="F815" i="41"/>
  <c r="F816" i="41"/>
  <c r="F639" i="41"/>
  <c r="F594" i="41"/>
  <c r="E954" i="41"/>
  <c r="E714" i="41"/>
  <c r="E688" i="41"/>
  <c r="E916" i="41"/>
  <c r="G767" i="41"/>
  <c r="F697" i="41"/>
  <c r="E745" i="41"/>
  <c r="F645" i="41"/>
  <c r="H639" i="41"/>
  <c r="G630" i="41"/>
  <c r="F725" i="41"/>
  <c r="E780" i="41"/>
  <c r="H759" i="41"/>
  <c r="H611" i="41"/>
  <c r="H830" i="41"/>
  <c r="E620" i="41"/>
  <c r="G736" i="41"/>
  <c r="H775" i="41"/>
  <c r="E711" i="41"/>
  <c r="F803" i="41"/>
  <c r="F951" i="41"/>
  <c r="F53" i="41"/>
  <c r="E705" i="41"/>
  <c r="H798" i="41"/>
  <c r="F783" i="41"/>
  <c r="H617" i="41"/>
  <c r="H720" i="41"/>
  <c r="F766" i="41"/>
  <c r="E770" i="41"/>
  <c r="E930" i="41"/>
  <c r="G937" i="41"/>
  <c r="G789" i="41"/>
  <c r="E695" i="41"/>
  <c r="E951" i="41"/>
  <c r="G933" i="41"/>
  <c r="H786" i="41"/>
  <c r="E677" i="41"/>
  <c r="H570" i="41"/>
  <c r="E833" i="41"/>
  <c r="E929" i="41"/>
  <c r="H931" i="41"/>
  <c r="G824" i="41"/>
  <c r="E924" i="41"/>
  <c r="G918" i="41"/>
  <c r="E692" i="41"/>
  <c r="H797" i="41"/>
  <c r="F794" i="41"/>
  <c r="H818" i="41"/>
  <c r="E736" i="41"/>
  <c r="F733" i="41"/>
  <c r="H785" i="41"/>
  <c r="G812" i="41"/>
  <c r="G682" i="41"/>
  <c r="G814" i="41"/>
  <c r="H607" i="41"/>
  <c r="G763" i="41"/>
  <c r="H855" i="41"/>
  <c r="E826" i="41"/>
  <c r="H922" i="41"/>
  <c r="F844" i="41"/>
  <c r="H837" i="41"/>
  <c r="E810" i="41"/>
  <c r="W104" i="35"/>
  <c r="X104" i="35" s="1"/>
  <c r="F690" i="41"/>
  <c r="E953" i="41"/>
  <c r="H823" i="41"/>
  <c r="H814" i="41"/>
  <c r="H763" i="41"/>
  <c r="G829" i="41"/>
  <c r="E821" i="41"/>
  <c r="E799" i="41"/>
  <c r="F920" i="41"/>
  <c r="F767" i="41"/>
  <c r="G640" i="41"/>
  <c r="H598" i="41"/>
  <c r="E585" i="41"/>
  <c r="H636" i="41"/>
  <c r="G693" i="41"/>
  <c r="H685" i="41"/>
  <c r="H776" i="41"/>
  <c r="E681" i="41"/>
  <c r="G815" i="41"/>
  <c r="E608" i="41"/>
  <c r="H682" i="41"/>
  <c r="E837" i="41"/>
  <c r="H833" i="41"/>
  <c r="G688" i="41"/>
  <c r="H865" i="41"/>
  <c r="G874" i="41"/>
  <c r="G583" i="41"/>
  <c r="H790" i="41"/>
  <c r="F717" i="41"/>
  <c r="H804" i="41"/>
  <c r="F933" i="41"/>
  <c r="H738" i="41"/>
  <c r="G764" i="41"/>
  <c r="F723" i="41"/>
  <c r="G766" i="41"/>
  <c r="F819" i="41"/>
  <c r="E734" i="41"/>
  <c r="E932" i="41"/>
  <c r="H582" i="41"/>
  <c r="F759" i="41"/>
  <c r="F925" i="41"/>
  <c r="H620" i="41"/>
  <c r="F640" i="41"/>
  <c r="F791" i="41"/>
  <c r="H699" i="41"/>
  <c r="H747" i="41"/>
  <c r="E790" i="41"/>
  <c r="E595" i="41"/>
  <c r="H949" i="41"/>
  <c r="G739" i="41"/>
  <c r="F718" i="41"/>
  <c r="F877" i="41"/>
  <c r="G614" i="41"/>
  <c r="H796" i="41"/>
  <c r="H750" i="41"/>
  <c r="F673" i="41"/>
  <c r="H880" i="41"/>
  <c r="G574" i="41"/>
  <c r="G783" i="41"/>
  <c r="E927" i="41"/>
  <c r="E554" i="41"/>
  <c r="E873" i="41"/>
  <c r="G775" i="41"/>
  <c r="E804" i="41"/>
  <c r="F692" i="41"/>
  <c r="F934" i="41"/>
  <c r="G676" i="41"/>
  <c r="E701" i="41"/>
  <c r="F721" i="41"/>
  <c r="E823" i="41"/>
  <c r="F738" i="41"/>
  <c r="H723" i="41"/>
  <c r="H801" i="41"/>
  <c r="E787" i="41"/>
  <c r="F793" i="41"/>
  <c r="G726" i="41"/>
  <c r="E809" i="41"/>
  <c r="E669" i="41"/>
  <c r="F946" i="41"/>
  <c r="E721" i="41"/>
  <c r="F689" i="41"/>
  <c r="H792" i="41"/>
  <c r="G732" i="41"/>
  <c r="G747" i="41"/>
  <c r="H787" i="41"/>
  <c r="H606" i="41"/>
  <c r="G869" i="41"/>
  <c r="E893" i="41"/>
  <c r="G584" i="41"/>
  <c r="G920" i="41"/>
  <c r="H744" i="41"/>
  <c r="G930" i="41"/>
  <c r="F711" i="41"/>
  <c r="F918" i="41"/>
  <c r="E625" i="41"/>
  <c r="F782" i="41"/>
  <c r="E794" i="41"/>
  <c r="E766" i="41"/>
  <c r="G725" i="41"/>
  <c r="H789" i="41"/>
  <c r="E617" i="41"/>
  <c r="F680" i="41"/>
  <c r="G755" i="41"/>
  <c r="E716" i="41"/>
  <c r="F745" i="41"/>
  <c r="E748" i="41"/>
  <c r="H795" i="41"/>
  <c r="F582" i="41"/>
  <c r="F842" i="41"/>
  <c r="E683" i="41"/>
  <c r="F896" i="41"/>
  <c r="H622" i="41"/>
  <c r="E832" i="41"/>
  <c r="E634" i="41"/>
  <c r="G666" i="41"/>
  <c r="F795" i="41"/>
  <c r="G548" i="41"/>
  <c r="F825" i="41"/>
  <c r="G719" i="41"/>
  <c r="F636" i="41"/>
  <c r="G948" i="41"/>
  <c r="E693" i="41"/>
  <c r="E733" i="41"/>
  <c r="E755" i="41"/>
  <c r="E601" i="41"/>
  <c r="F876" i="41"/>
  <c r="G641" i="41"/>
  <c r="G678" i="41"/>
  <c r="F47" i="41"/>
  <c r="F919" i="41"/>
  <c r="E759" i="41"/>
  <c r="E638" i="41"/>
  <c r="E811" i="41"/>
  <c r="F622" i="41"/>
  <c r="F706" i="41"/>
  <c r="G832" i="41"/>
  <c r="G578" i="41"/>
  <c r="E884" i="41"/>
  <c r="E789" i="41"/>
  <c r="E763" i="41"/>
  <c r="E575" i="41"/>
  <c r="H850" i="41"/>
  <c r="H909" i="41"/>
  <c r="G813" i="41"/>
  <c r="F812" i="41"/>
  <c r="H754" i="41"/>
  <c r="E696" i="41"/>
  <c r="H774" i="41"/>
  <c r="E574" i="41"/>
  <c r="F554" i="41"/>
  <c r="H634" i="41"/>
  <c r="G636" i="41"/>
  <c r="F897" i="41"/>
  <c r="E740" i="41"/>
  <c r="F932" i="41"/>
  <c r="G770" i="41"/>
  <c r="H793" i="41"/>
  <c r="E836" i="41"/>
  <c r="G803" i="41"/>
  <c r="E1194" i="41"/>
  <c r="E1154" i="41"/>
  <c r="G1144" i="41"/>
  <c r="F1181" i="41"/>
  <c r="F1050" i="41"/>
  <c r="H1048" i="41"/>
  <c r="G1052" i="41"/>
  <c r="H1148" i="41"/>
  <c r="F1088" i="41"/>
  <c r="G1189" i="41"/>
  <c r="H1050" i="41"/>
  <c r="E1052" i="41"/>
  <c r="E1175" i="41"/>
  <c r="F1113" i="41"/>
  <c r="F1255" i="41"/>
  <c r="G1091" i="41"/>
  <c r="E1050" i="41"/>
  <c r="F1052" i="41"/>
  <c r="E1133" i="41"/>
  <c r="E1265" i="41"/>
  <c r="G1146" i="41"/>
  <c r="F1091" i="41"/>
  <c r="G1050" i="41"/>
  <c r="G1179" i="41"/>
  <c r="E1151" i="41"/>
  <c r="E1127" i="41"/>
  <c r="F1087" i="41"/>
  <c r="F1209" i="41"/>
  <c r="F1230" i="41"/>
  <c r="F1183" i="41"/>
  <c r="E1124" i="41"/>
  <c r="G1238" i="41"/>
  <c r="E1114" i="41"/>
  <c r="H1137" i="41"/>
  <c r="H1090" i="41"/>
  <c r="H1230" i="41"/>
  <c r="H1194" i="41"/>
  <c r="F1129" i="41"/>
  <c r="E1153" i="41"/>
  <c r="F1142" i="41"/>
  <c r="F1137" i="41"/>
  <c r="G1090" i="41"/>
  <c r="E1230" i="41"/>
  <c r="E1162" i="41"/>
  <c r="E1099" i="41"/>
  <c r="F1244" i="41"/>
  <c r="G1142" i="41"/>
  <c r="E1090" i="41"/>
  <c r="G1230" i="41"/>
  <c r="H1236" i="41"/>
  <c r="G1104" i="41"/>
  <c r="E1248" i="41"/>
  <c r="G1049" i="41"/>
  <c r="F1047" i="41"/>
  <c r="H1231" i="41"/>
  <c r="G1139" i="41"/>
  <c r="F1143" i="41"/>
  <c r="H1043" i="41"/>
  <c r="H1047" i="41"/>
  <c r="E1231" i="41"/>
  <c r="F1139" i="41"/>
  <c r="G1140" i="41"/>
  <c r="H1138" i="41"/>
  <c r="E1185" i="41"/>
  <c r="E1466" i="41"/>
  <c r="F1580" i="41"/>
  <c r="F1612" i="41"/>
  <c r="F1545" i="41"/>
  <c r="E1559" i="41"/>
  <c r="G1584" i="41"/>
  <c r="E1605" i="41"/>
  <c r="F1635" i="41"/>
  <c r="E1630" i="41"/>
  <c r="F1622" i="41"/>
  <c r="F1551" i="41"/>
  <c r="H1507" i="41"/>
  <c r="H1595" i="41"/>
  <c r="F1564" i="41"/>
  <c r="E1649" i="41"/>
  <c r="F1557" i="41"/>
  <c r="F1605" i="41"/>
  <c r="F1610" i="41"/>
  <c r="F1609" i="41"/>
  <c r="F1649" i="41"/>
  <c r="F1583" i="41"/>
  <c r="H1479" i="41"/>
  <c r="F1179" i="41"/>
  <c r="E1246" i="41"/>
  <c r="E1045" i="41"/>
  <c r="E1047" i="41"/>
  <c r="G1231" i="41"/>
  <c r="E1139" i="41"/>
  <c r="F1185" i="41"/>
  <c r="F1628" i="41"/>
  <c r="F1571" i="41"/>
  <c r="E1577" i="41"/>
  <c r="F1520" i="41"/>
  <c r="F1519" i="41"/>
  <c r="E1522" i="41"/>
  <c r="E1525" i="41"/>
  <c r="E1524" i="41"/>
  <c r="H1587" i="41"/>
  <c r="F1575" i="41"/>
  <c r="E1510" i="41"/>
  <c r="H1463" i="41"/>
  <c r="E1599" i="41"/>
  <c r="G1502" i="41"/>
  <c r="E1560" i="41"/>
  <c r="F1511" i="41"/>
  <c r="G1508" i="41"/>
  <c r="F1640" i="41"/>
  <c r="H1518" i="41"/>
  <c r="G1557" i="41"/>
  <c r="F1555" i="41"/>
  <c r="E1474" i="41"/>
  <c r="E1044" i="41"/>
  <c r="F1234" i="41"/>
  <c r="F1231" i="41"/>
  <c r="G1185" i="41"/>
  <c r="E1581" i="41"/>
  <c r="E1503" i="41"/>
  <c r="E1467" i="41"/>
  <c r="F1465" i="41"/>
  <c r="G1581" i="41"/>
  <c r="F1506" i="41"/>
  <c r="E1513" i="41"/>
  <c r="E1589" i="41"/>
  <c r="E1564" i="41"/>
  <c r="G1518" i="41"/>
  <c r="F1656" i="41"/>
  <c r="F1502" i="41"/>
  <c r="F1593" i="41"/>
  <c r="H1620" i="41"/>
  <c r="E1647" i="41"/>
  <c r="H1468" i="41"/>
  <c r="H1547" i="41"/>
  <c r="E1631" i="41"/>
  <c r="E1558" i="41"/>
  <c r="E1657" i="41"/>
  <c r="H1506" i="41"/>
  <c r="E1486" i="41"/>
  <c r="E1197" i="41"/>
  <c r="E1193" i="41"/>
  <c r="E1164" i="41"/>
  <c r="F1256" i="41"/>
  <c r="E1182" i="41"/>
  <c r="E1517" i="41"/>
  <c r="F1053" i="41"/>
  <c r="E1068" i="41"/>
  <c r="G1051" i="41"/>
  <c r="H1182" i="41"/>
  <c r="G1096" i="41"/>
  <c r="E1652" i="41"/>
  <c r="F1637" i="41"/>
  <c r="H1619" i="41"/>
  <c r="H1519" i="41"/>
  <c r="E1579" i="41"/>
  <c r="F1636" i="41"/>
  <c r="H1636" i="41"/>
  <c r="F1518" i="41"/>
  <c r="F1147" i="41"/>
  <c r="F1048" i="41"/>
  <c r="F1228" i="41"/>
  <c r="H1096" i="41"/>
  <c r="E1243" i="41"/>
  <c r="E1048" i="41"/>
  <c r="G1228" i="41"/>
  <c r="E1141" i="41"/>
  <c r="F1096" i="41"/>
  <c r="E1535" i="41"/>
  <c r="G1465" i="41"/>
  <c r="E1553" i="41"/>
  <c r="F1553" i="41"/>
  <c r="G1470" i="41"/>
  <c r="F1624" i="41"/>
  <c r="F1515" i="41"/>
  <c r="G1622" i="41"/>
  <c r="F1534" i="41"/>
  <c r="E1635" i="41"/>
  <c r="F1543" i="41"/>
  <c r="E1603" i="41"/>
  <c r="F1654" i="41"/>
  <c r="H1505" i="41"/>
  <c r="F1552" i="41"/>
  <c r="G1597" i="41"/>
  <c r="E1245" i="41"/>
  <c r="G1048" i="41"/>
  <c r="E1228" i="41"/>
  <c r="G1141" i="41"/>
  <c r="E1096" i="41"/>
  <c r="H1224" i="41"/>
  <c r="E1186" i="41"/>
  <c r="H1097" i="41"/>
  <c r="E1176" i="41"/>
  <c r="F1236" i="41"/>
  <c r="H1049" i="41"/>
  <c r="E1148" i="41"/>
  <c r="H1141" i="41"/>
  <c r="E1563" i="41"/>
  <c r="E1561" i="41"/>
  <c r="E1636" i="41"/>
  <c r="F1514" i="41"/>
  <c r="E1610" i="41"/>
  <c r="F1641" i="41"/>
  <c r="E1616" i="41"/>
  <c r="F1567" i="41"/>
  <c r="E1613" i="41"/>
  <c r="F1532" i="41"/>
  <c r="H1469" i="41"/>
  <c r="E1618" i="41"/>
  <c r="E1504" i="41"/>
  <c r="H1546" i="41"/>
  <c r="E1566" i="41"/>
  <c r="F1471" i="41"/>
  <c r="E1480" i="41"/>
  <c r="N473" i="35"/>
  <c r="F1288" i="41"/>
  <c r="H1429" i="41"/>
  <c r="H1428" i="41"/>
  <c r="E1343" i="41"/>
  <c r="E1374" i="41"/>
  <c r="G1399" i="41"/>
  <c r="E1405" i="41"/>
  <c r="F1296" i="41"/>
  <c r="G1350" i="41"/>
  <c r="E1303" i="41"/>
  <c r="F1390" i="41"/>
  <c r="E1422" i="41"/>
  <c r="E1401" i="41"/>
  <c r="F1351" i="41"/>
  <c r="F1279" i="41"/>
  <c r="H1386" i="41"/>
  <c r="F1431" i="41"/>
  <c r="H1350" i="41"/>
  <c r="F1338" i="41"/>
  <c r="F1461" i="41"/>
  <c r="F1106" i="41"/>
  <c r="H1139" i="41"/>
  <c r="H1228" i="41"/>
  <c r="G1178" i="41"/>
  <c r="H1052" i="41"/>
  <c r="E1095" i="41"/>
  <c r="E1226" i="41"/>
  <c r="F1547" i="41"/>
  <c r="E1600" i="41"/>
  <c r="F1558" i="41"/>
  <c r="F1569" i="41"/>
  <c r="F1463" i="41"/>
  <c r="F1577" i="41"/>
  <c r="H1584" i="41"/>
  <c r="E1621" i="41"/>
  <c r="F1576" i="41"/>
  <c r="F1562" i="41"/>
  <c r="F1503" i="41"/>
  <c r="F1657" i="41"/>
  <c r="F1563" i="41"/>
  <c r="G1466" i="41"/>
  <c r="E1518" i="41"/>
  <c r="E1642" i="41"/>
  <c r="H1480" i="41"/>
  <c r="K473" i="35"/>
  <c r="F1401" i="41"/>
  <c r="F1399" i="41"/>
  <c r="E1417" i="41"/>
  <c r="F1428" i="41"/>
  <c r="H1439" i="41"/>
  <c r="F1337" i="41"/>
  <c r="E1424" i="41"/>
  <c r="G1269" i="41"/>
  <c r="H1430" i="41"/>
  <c r="G1323" i="41"/>
  <c r="G1424" i="41"/>
  <c r="E1457" i="41"/>
  <c r="E1293" i="41"/>
  <c r="F1358" i="41"/>
  <c r="F1449" i="41"/>
  <c r="G1347" i="41"/>
  <c r="F1273" i="41"/>
  <c r="F1439" i="41"/>
  <c r="E1344" i="41"/>
  <c r="E1391" i="41"/>
  <c r="F1377" i="41"/>
  <c r="F1445" i="41"/>
  <c r="E1170" i="41"/>
  <c r="H1136" i="41"/>
  <c r="H1095" i="41"/>
  <c r="G1226" i="41"/>
  <c r="F1646" i="41"/>
  <c r="E1516" i="41"/>
  <c r="F1652" i="41"/>
  <c r="F1531" i="41"/>
  <c r="G1509" i="41"/>
  <c r="E1571" i="41"/>
  <c r="E1542" i="41"/>
  <c r="H1597" i="41"/>
  <c r="E1629" i="41"/>
  <c r="F1625" i="41"/>
  <c r="F1470" i="41"/>
  <c r="H1586" i="41"/>
  <c r="E1550" i="41"/>
  <c r="F1497" i="41"/>
  <c r="H1502" i="41"/>
  <c r="E1609" i="41"/>
  <c r="F1495" i="41"/>
  <c r="L473" i="35"/>
  <c r="E1442" i="41"/>
  <c r="G1310" i="41"/>
  <c r="E1455" i="41"/>
  <c r="F1442" i="41"/>
  <c r="F1363" i="41"/>
  <c r="F1374" i="41"/>
  <c r="E1275" i="41"/>
  <c r="E1289" i="41"/>
  <c r="F1302" i="41"/>
  <c r="F1287" i="41"/>
  <c r="E1329" i="41"/>
  <c r="F1383" i="41"/>
  <c r="F1328" i="41"/>
  <c r="E1459" i="41"/>
  <c r="E1330" i="41"/>
  <c r="E1451" i="41"/>
  <c r="F1207" i="41"/>
  <c r="F1046" i="41"/>
  <c r="F1136" i="41"/>
  <c r="H1225" i="41"/>
  <c r="F1095" i="41"/>
  <c r="H1226" i="41"/>
  <c r="F1539" i="41"/>
  <c r="F1596" i="41"/>
  <c r="H1625" i="41"/>
  <c r="E1470" i="41"/>
  <c r="F1522" i="41"/>
  <c r="F1602" i="41"/>
  <c r="H1543" i="41"/>
  <c r="F1504" i="41"/>
  <c r="E1497" i="41"/>
  <c r="F1599" i="41"/>
  <c r="F1608" i="41"/>
  <c r="E1592" i="41"/>
  <c r="F1585" i="41"/>
  <c r="E1537" i="41"/>
  <c r="E1627" i="41"/>
  <c r="E1477" i="41"/>
  <c r="E1041" i="41"/>
  <c r="H1423" i="41"/>
  <c r="F1452" i="41"/>
  <c r="F1379" i="41"/>
  <c r="F1275" i="41"/>
  <c r="E1319" i="41"/>
  <c r="F1360" i="41"/>
  <c r="E1375" i="41"/>
  <c r="E1452" i="41"/>
  <c r="E1400" i="41"/>
  <c r="F1310" i="41"/>
  <c r="F1313" i="41"/>
  <c r="F1417" i="41"/>
  <c r="F1373" i="41"/>
  <c r="G1429" i="41"/>
  <c r="E1346" i="41"/>
  <c r="F1384" i="41"/>
  <c r="F1324" i="41"/>
  <c r="F1327" i="41"/>
  <c r="E1277" i="41"/>
  <c r="F1344" i="41"/>
  <c r="G1322" i="41"/>
  <c r="H1424" i="41"/>
  <c r="F1192" i="41"/>
  <c r="H1046" i="41"/>
  <c r="F1225" i="41"/>
  <c r="G1095" i="41"/>
  <c r="F1226" i="41"/>
  <c r="F1481" i="41"/>
  <c r="E1521" i="41"/>
  <c r="F1579" i="41"/>
  <c r="G1623" i="41"/>
  <c r="H1462" i="41"/>
  <c r="H1478" i="41"/>
  <c r="E1573" i="41"/>
  <c r="E1611" i="41"/>
  <c r="G1583" i="41"/>
  <c r="F1647" i="41"/>
  <c r="G1503" i="41"/>
  <c r="F1078" i="41"/>
  <c r="E1225" i="41"/>
  <c r="F1487" i="41"/>
  <c r="F1108" i="41"/>
  <c r="H1093" i="41"/>
  <c r="F1090" i="41"/>
  <c r="F1097" i="41"/>
  <c r="F1227" i="41"/>
  <c r="F1525" i="41"/>
  <c r="G1548" i="41"/>
  <c r="E1539" i="41"/>
  <c r="G1545" i="41"/>
  <c r="F1615" i="41"/>
  <c r="F1566" i="41"/>
  <c r="G1469" i="41"/>
  <c r="F1578" i="41"/>
  <c r="F1594" i="41"/>
  <c r="F1468" i="41"/>
  <c r="E1617" i="41"/>
  <c r="E1574" i="41"/>
  <c r="E1585" i="41"/>
  <c r="E1554" i="41"/>
  <c r="F1631" i="41"/>
  <c r="H1583" i="41"/>
  <c r="E1625" i="41"/>
  <c r="F1479" i="41"/>
  <c r="E1097" i="41"/>
  <c r="F1140" i="41"/>
  <c r="G1245" i="41"/>
  <c r="H1186" i="41"/>
  <c r="H1464" i="41"/>
  <c r="E1572" i="41"/>
  <c r="H1504" i="41"/>
  <c r="G1546" i="41"/>
  <c r="E1637" i="41"/>
  <c r="E1536" i="41"/>
  <c r="F1621" i="41"/>
  <c r="G1619" i="41"/>
  <c r="G1519" i="41"/>
  <c r="E1606" i="41"/>
  <c r="F1538" i="41"/>
  <c r="E1568" i="41"/>
  <c r="E1646" i="41"/>
  <c r="E1515" i="41"/>
  <c r="F1617" i="41"/>
  <c r="F1517" i="41"/>
  <c r="E1483" i="41"/>
  <c r="F1476" i="41"/>
  <c r="F1077" i="41"/>
  <c r="H1517" i="41"/>
  <c r="F1603" i="41"/>
  <c r="F1595" i="41"/>
  <c r="E1586" i="41"/>
  <c r="F1523" i="41"/>
  <c r="H1585" i="41"/>
  <c r="E1512" i="41"/>
  <c r="H1580" i="41"/>
  <c r="E1651" i="41"/>
  <c r="F1648" i="41"/>
  <c r="G1468" i="41"/>
  <c r="E1552" i="41"/>
  <c r="E1489" i="41"/>
  <c r="G1232" i="41"/>
  <c r="F1432" i="41"/>
  <c r="F1282" i="41"/>
  <c r="F1460" i="41"/>
  <c r="H1438" i="41"/>
  <c r="F1367" i="41"/>
  <c r="E1377" i="41"/>
  <c r="E1435" i="41"/>
  <c r="F1444" i="41"/>
  <c r="F1326" i="41"/>
  <c r="F1321" i="41"/>
  <c r="E1353" i="41"/>
  <c r="E1438" i="41"/>
  <c r="E1393" i="41"/>
  <c r="G1425" i="41"/>
  <c r="E1425" i="41"/>
  <c r="E1399" i="41"/>
  <c r="E1320" i="41"/>
  <c r="E1449" i="41"/>
  <c r="F1289" i="41"/>
  <c r="F1462" i="41"/>
  <c r="E1528" i="41"/>
  <c r="E1614" i="41"/>
  <c r="E1575" i="41"/>
  <c r="F1530" i="41"/>
  <c r="H1596" i="41"/>
  <c r="F1478" i="41"/>
  <c r="H1634" i="41"/>
  <c r="E1570" i="41"/>
  <c r="F1467" i="41"/>
  <c r="F1480" i="41"/>
  <c r="G354" i="41"/>
  <c r="E1366" i="41"/>
  <c r="E1274" i="41"/>
  <c r="E1416" i="41"/>
  <c r="E1385" i="41"/>
  <c r="E1431" i="41"/>
  <c r="F1290" i="41"/>
  <c r="H1361" i="41"/>
  <c r="E1439" i="41"/>
  <c r="H1322" i="41"/>
  <c r="F1348" i="41"/>
  <c r="G1386" i="41"/>
  <c r="E1423" i="41"/>
  <c r="F1424" i="41"/>
  <c r="F1425" i="41"/>
  <c r="E1352" i="41"/>
  <c r="H1283" i="41"/>
  <c r="F1408" i="41"/>
  <c r="E1283" i="41"/>
  <c r="E1645" i="41"/>
  <c r="F1536" i="41"/>
  <c r="F1509" i="41"/>
  <c r="G1464" i="41"/>
  <c r="E1469" i="41"/>
  <c r="H1548" i="41"/>
  <c r="E1509" i="41"/>
  <c r="E1462" i="41"/>
  <c r="E1654" i="41"/>
  <c r="E1464" i="41"/>
  <c r="F1554" i="41"/>
  <c r="O475" i="35"/>
  <c r="G1391" i="41"/>
  <c r="F1438" i="41"/>
  <c r="H1308" i="41"/>
  <c r="F1453" i="41"/>
  <c r="E1390" i="41"/>
  <c r="E1271" i="41"/>
  <c r="G1423" i="41"/>
  <c r="E1285" i="41"/>
  <c r="G1311" i="41"/>
  <c r="F1332" i="41"/>
  <c r="F1274" i="41"/>
  <c r="E1299" i="41"/>
  <c r="E1369" i="41"/>
  <c r="F1361" i="41"/>
  <c r="E1612" i="41"/>
  <c r="F1591" i="41"/>
  <c r="F1574" i="41"/>
  <c r="G1558" i="41"/>
  <c r="H1470" i="41"/>
  <c r="F1601" i="41"/>
  <c r="E1472" i="41"/>
  <c r="E1443" i="41"/>
  <c r="G1351" i="41"/>
  <c r="E1313" i="41"/>
  <c r="F1411" i="41"/>
  <c r="F1402" i="41"/>
  <c r="G1400" i="41"/>
  <c r="E1357" i="41"/>
  <c r="H1272" i="41"/>
  <c r="E1360" i="41"/>
  <c r="G1544" i="41"/>
  <c r="F1616" i="41"/>
  <c r="F1232" i="41"/>
  <c r="H1284" i="41"/>
  <c r="E1578" i="41"/>
  <c r="E1499" i="41"/>
  <c r="F1382" i="41"/>
  <c r="E1300" i="41"/>
  <c r="E1392" i="41"/>
  <c r="E1432" i="41"/>
  <c r="F1301" i="41"/>
  <c r="E1440" i="41"/>
  <c r="F1281" i="41"/>
  <c r="G1138" i="41"/>
  <c r="F1633" i="41"/>
  <c r="F1644" i="41"/>
  <c r="H1624" i="41"/>
  <c r="E1596" i="41"/>
  <c r="E1547" i="41"/>
  <c r="F1568" i="41"/>
  <c r="F1513" i="41"/>
  <c r="F1597" i="41"/>
  <c r="E1628" i="41"/>
  <c r="F1541" i="41"/>
  <c r="F1464" i="41"/>
  <c r="F1524" i="41"/>
  <c r="E1490" i="41"/>
  <c r="H354" i="41"/>
  <c r="E1326" i="41"/>
  <c r="E1367" i="41"/>
  <c r="F1331" i="41"/>
  <c r="E1286" i="41"/>
  <c r="E1418" i="41"/>
  <c r="E1396" i="41"/>
  <c r="F1293" i="41"/>
  <c r="G1283" i="41"/>
  <c r="F1435" i="41"/>
  <c r="E1388" i="41"/>
  <c r="H1427" i="41"/>
  <c r="F1423" i="41"/>
  <c r="H1426" i="41"/>
  <c r="H1400" i="41"/>
  <c r="F1370" i="41"/>
  <c r="H1384" i="41"/>
  <c r="G1312" i="41"/>
  <c r="H1270" i="41"/>
  <c r="H1626" i="41"/>
  <c r="H1508" i="41"/>
  <c r="H1542" i="41"/>
  <c r="F1548" i="41"/>
  <c r="H1465" i="41"/>
  <c r="E1597" i="41"/>
  <c r="F1521" i="41"/>
  <c r="F1496" i="41"/>
  <c r="P473" i="35"/>
  <c r="F1437" i="41"/>
  <c r="F1394" i="41"/>
  <c r="G1348" i="41"/>
  <c r="E1338" i="41"/>
  <c r="F1345" i="41"/>
  <c r="F1320" i="41"/>
  <c r="E1389" i="41"/>
  <c r="E1359" i="41"/>
  <c r="F1292" i="41"/>
  <c r="E1280" i="41"/>
  <c r="E1342" i="41"/>
  <c r="F1278" i="41"/>
  <c r="E1428" i="41"/>
  <c r="E1328" i="41"/>
  <c r="F1298" i="41"/>
  <c r="F1291" i="41"/>
  <c r="H1323" i="41"/>
  <c r="E1394" i="41"/>
  <c r="E1138" i="41"/>
  <c r="F1544" i="41"/>
  <c r="E1514" i="41"/>
  <c r="H1467" i="41"/>
  <c r="G1541" i="41"/>
  <c r="G1463" i="41"/>
  <c r="E1576" i="41"/>
  <c r="F1560" i="41"/>
  <c r="G1624" i="41"/>
  <c r="H1582" i="41"/>
  <c r="E1543" i="41"/>
  <c r="H1509" i="41"/>
  <c r="F1629" i="41"/>
  <c r="F1482" i="41"/>
  <c r="M473" i="35"/>
  <c r="F1381" i="41"/>
  <c r="F1365" i="41"/>
  <c r="E1434" i="41"/>
  <c r="E1347" i="41"/>
  <c r="G1439" i="41"/>
  <c r="F1409" i="41"/>
  <c r="F1283" i="41"/>
  <c r="E1355" i="41"/>
  <c r="F1429" i="41"/>
  <c r="F1398" i="41"/>
  <c r="E1309" i="41"/>
  <c r="E1284" i="41"/>
  <c r="E1336" i="41"/>
  <c r="E1445" i="41"/>
  <c r="G1309" i="41"/>
  <c r="E1454" i="41"/>
  <c r="F1307" i="41"/>
  <c r="F1410" i="41"/>
  <c r="F1284" i="41"/>
  <c r="E1569" i="41"/>
  <c r="E1587" i="41"/>
  <c r="E1305" i="41"/>
  <c r="F1413" i="41"/>
  <c r="F1138" i="41"/>
  <c r="F1556" i="41"/>
  <c r="G1517" i="41"/>
  <c r="G1636" i="41"/>
  <c r="E1426" i="41"/>
  <c r="F1448" i="41"/>
  <c r="G1428" i="41"/>
  <c r="E1315" i="41"/>
  <c r="E1291" i="41"/>
  <c r="F1346" i="41"/>
  <c r="H1348" i="41"/>
  <c r="F1340" i="41"/>
  <c r="F1368" i="41"/>
  <c r="H1140" i="41"/>
  <c r="H1227" i="41"/>
  <c r="G1586" i="41"/>
  <c r="E1544" i="41"/>
  <c r="G1634" i="41"/>
  <c r="E1639" i="41"/>
  <c r="E1540" i="41"/>
  <c r="G1635" i="41"/>
  <c r="F1613" i="41"/>
  <c r="H1503" i="41"/>
  <c r="F1611" i="41"/>
  <c r="E1508" i="41"/>
  <c r="E1608" i="41"/>
  <c r="F1537" i="41"/>
  <c r="E1484" i="41"/>
  <c r="O474" i="35"/>
  <c r="F1349" i="41"/>
  <c r="F1297" i="41"/>
  <c r="F1317" i="41"/>
  <c r="F1396" i="41"/>
  <c r="E1448" i="41"/>
  <c r="E1384" i="41"/>
  <c r="F1420" i="41"/>
  <c r="G1384" i="41"/>
  <c r="E1140" i="41"/>
  <c r="G1227" i="41"/>
  <c r="G1587" i="41"/>
  <c r="F1634" i="41"/>
  <c r="E1650" i="41"/>
  <c r="E1511" i="41"/>
  <c r="G1506" i="41"/>
  <c r="F1505" i="41"/>
  <c r="E1624" i="41"/>
  <c r="H1466" i="41"/>
  <c r="E1551" i="41"/>
  <c r="F1535" i="41"/>
  <c r="F1618" i="41"/>
  <c r="E1482" i="41"/>
  <c r="O476" i="35"/>
  <c r="G1321" i="41"/>
  <c r="F1334" i="41"/>
  <c r="F1300" i="41"/>
  <c r="H1388" i="41"/>
  <c r="H1310" i="41"/>
  <c r="F1393" i="41"/>
  <c r="E1383" i="41"/>
  <c r="E1376" i="41"/>
  <c r="F1376" i="41"/>
  <c r="G1270" i="41"/>
  <c r="E1297" i="41"/>
  <c r="G1274" i="41"/>
  <c r="H1346" i="41"/>
  <c r="F1397" i="41"/>
  <c r="E1339" i="41"/>
  <c r="F1385" i="41"/>
  <c r="E1350" i="41"/>
  <c r="F1457" i="41"/>
  <c r="E1302" i="41"/>
  <c r="F1650" i="41"/>
  <c r="E1584" i="41"/>
  <c r="E1534" i="41"/>
  <c r="F1620" i="41"/>
  <c r="F1529" i="41"/>
  <c r="E1546" i="41"/>
  <c r="F1651" i="41"/>
  <c r="E1593" i="41"/>
  <c r="E1494" i="41"/>
  <c r="Y473" i="35"/>
  <c r="H1425" i="41"/>
  <c r="E1421" i="41"/>
  <c r="E1278" i="41"/>
  <c r="F1323" i="41"/>
  <c r="H1385" i="41"/>
  <c r="E1327" i="41"/>
  <c r="F1322" i="41"/>
  <c r="E1282" i="41"/>
  <c r="F1286" i="41"/>
  <c r="G1273" i="41"/>
  <c r="E1290" i="41"/>
  <c r="E1381" i="41"/>
  <c r="E1323" i="41"/>
  <c r="F1458" i="41"/>
  <c r="E1409" i="41"/>
  <c r="F1359" i="41"/>
  <c r="F1270" i="41"/>
  <c r="F1314" i="41"/>
  <c r="E1348" i="41"/>
  <c r="E1288" i="41"/>
  <c r="E1316" i="41"/>
  <c r="E1446" i="41"/>
  <c r="H1269" i="41"/>
  <c r="F1451" i="41"/>
  <c r="F1369" i="41"/>
  <c r="E1433" i="41"/>
  <c r="E1325" i="41"/>
  <c r="F1304" i="41"/>
  <c r="H1352" i="41"/>
  <c r="E1354" i="41"/>
  <c r="E1351" i="41"/>
  <c r="H1399" i="41"/>
  <c r="E1478" i="41"/>
  <c r="G1504" i="41"/>
  <c r="G1543" i="41"/>
  <c r="E1184" i="41"/>
  <c r="F354" i="41"/>
  <c r="E1397" i="41"/>
  <c r="H1275" i="41"/>
  <c r="E1427" i="41"/>
  <c r="F1311" i="41"/>
  <c r="E1227" i="41"/>
  <c r="H1185" i="41"/>
  <c r="E1633" i="41"/>
  <c r="H1581" i="41"/>
  <c r="H1635" i="41"/>
  <c r="E1373" i="41"/>
  <c r="F1419" i="41"/>
  <c r="F1630" i="41"/>
  <c r="F1329" i="41"/>
  <c r="E1298" i="41"/>
  <c r="E1638" i="41"/>
  <c r="G1505" i="41"/>
  <c r="F1581" i="41"/>
  <c r="E1488" i="41"/>
  <c r="F1598" i="41"/>
  <c r="F1607" i="41"/>
  <c r="E1591" i="41"/>
  <c r="G1467" i="41"/>
  <c r="E1538" i="41"/>
  <c r="G1542" i="41"/>
  <c r="F1600" i="41"/>
  <c r="F1528" i="41"/>
  <c r="F1491" i="41"/>
  <c r="G1041" i="41"/>
  <c r="F1299" i="41"/>
  <c r="E1362" i="41"/>
  <c r="E1387" i="41"/>
  <c r="E1333" i="41"/>
  <c r="G1626" i="41"/>
  <c r="H1351" i="41"/>
  <c r="E1412" i="41"/>
  <c r="E1549" i="41"/>
  <c r="H1557" i="41"/>
  <c r="F1582" i="41"/>
  <c r="E1533" i="41"/>
  <c r="F1516" i="41"/>
  <c r="F1570" i="41"/>
  <c r="E1556" i="41"/>
  <c r="F1639" i="41"/>
  <c r="G1595" i="41"/>
  <c r="E1481" i="41"/>
  <c r="E1640" i="41"/>
  <c r="E1492" i="41"/>
  <c r="F1184" i="41"/>
  <c r="F1041" i="41"/>
  <c r="F1405" i="41"/>
  <c r="H1362" i="41"/>
  <c r="F1356" i="41"/>
  <c r="E1444" i="41"/>
  <c r="E1308" i="41"/>
  <c r="F1335" i="41"/>
  <c r="F1269" i="41"/>
  <c r="G1313" i="41"/>
  <c r="F1342" i="41"/>
  <c r="F1315" i="41"/>
  <c r="F1355" i="41"/>
  <c r="E1273" i="41"/>
  <c r="F1426" i="41"/>
  <c r="H1321" i="41"/>
  <c r="F1434" i="41"/>
  <c r="E1436" i="41"/>
  <c r="E1398" i="41"/>
  <c r="F1414" i="41"/>
  <c r="E1270" i="41"/>
  <c r="G1187" i="41"/>
  <c r="H1178" i="41"/>
  <c r="G1047" i="41"/>
  <c r="E1557" i="41"/>
  <c r="F1587" i="41"/>
  <c r="E1529" i="41"/>
  <c r="E1582" i="41"/>
  <c r="E1615" i="41"/>
  <c r="E1545" i="41"/>
  <c r="G1547" i="41"/>
  <c r="F1614" i="41"/>
  <c r="F1508" i="41"/>
  <c r="E1626" i="41"/>
  <c r="E1500" i="41"/>
  <c r="F1094" i="41"/>
  <c r="E1232" i="41"/>
  <c r="F1418" i="41"/>
  <c r="G1285" i="41"/>
  <c r="F1406" i="41"/>
  <c r="F1430" i="41"/>
  <c r="H1347" i="41"/>
  <c r="H1440" i="41"/>
  <c r="E1301" i="41"/>
  <c r="E1404" i="41"/>
  <c r="F1386" i="41"/>
  <c r="E1395" i="41"/>
  <c r="G1426" i="41"/>
  <c r="G1345" i="41"/>
  <c r="W73" i="35"/>
  <c r="X73" i="35" s="1"/>
  <c r="Y73" i="35"/>
  <c r="W43" i="35"/>
  <c r="L43" i="35"/>
  <c r="K43" i="35"/>
  <c r="C129" i="41"/>
  <c r="Y43" i="35"/>
  <c r="N43" i="35"/>
  <c r="M43" i="35"/>
  <c r="G944" i="35"/>
  <c r="B949" i="55"/>
  <c r="E1292" i="41"/>
  <c r="F1584" i="41"/>
  <c r="H426" i="41"/>
  <c r="E773" i="41"/>
  <c r="E570" i="41"/>
  <c r="H621" i="41"/>
  <c r="G932" i="41"/>
  <c r="L125" i="35"/>
  <c r="K125" i="35"/>
  <c r="W125" i="35"/>
  <c r="X125" i="35" s="1"/>
  <c r="M125" i="35"/>
  <c r="Y125" i="35"/>
  <c r="C649" i="41"/>
  <c r="E1414" i="41"/>
  <c r="E1306" i="41"/>
  <c r="F1375" i="41"/>
  <c r="F1407" i="41"/>
  <c r="L69" i="35"/>
  <c r="E1520" i="41"/>
  <c r="E1648" i="41"/>
  <c r="E730" i="41"/>
  <c r="E1311" i="41"/>
  <c r="F1294" i="41"/>
  <c r="F1446" i="41"/>
  <c r="E1607" i="41"/>
  <c r="G816" i="41"/>
  <c r="F1145" i="41"/>
  <c r="E1349" i="41"/>
  <c r="E1386" i="41"/>
  <c r="F1285" i="41"/>
  <c r="G1389" i="41"/>
  <c r="E1296" i="41"/>
  <c r="W473" i="35"/>
  <c r="X473" i="35" s="1"/>
  <c r="F1533" i="41"/>
  <c r="W585" i="35"/>
  <c r="H941" i="41"/>
  <c r="H1189" i="41"/>
  <c r="G1184" i="41"/>
  <c r="E1655" i="41"/>
  <c r="E1135" i="41"/>
  <c r="F1412" i="41"/>
  <c r="Q473" i="35"/>
  <c r="H1184" i="41"/>
  <c r="F1589" i="41"/>
  <c r="H1401" i="41"/>
  <c r="F1366" i="41"/>
  <c r="H1307" i="41"/>
  <c r="F1440" i="41"/>
  <c r="E1456" i="41"/>
  <c r="W51" i="35"/>
  <c r="X51" i="35" s="1"/>
  <c r="F1626" i="41"/>
  <c r="B950" i="41"/>
  <c r="H950" i="41" s="1"/>
  <c r="G1308" i="41"/>
  <c r="E1310" i="41"/>
  <c r="F1389" i="41"/>
  <c r="F1380" i="41"/>
  <c r="E1458" i="41"/>
  <c r="H1389" i="41"/>
  <c r="F1308" i="41"/>
  <c r="F1353" i="41"/>
  <c r="M1030" i="35"/>
  <c r="K51" i="35"/>
  <c r="E1548" i="41"/>
  <c r="H1558" i="41"/>
  <c r="E1653" i="41"/>
  <c r="F1542" i="41"/>
  <c r="F1141" i="41"/>
  <c r="E709" i="41"/>
  <c r="E708" i="41"/>
  <c r="H877" i="41"/>
  <c r="E700" i="41"/>
  <c r="B85" i="55"/>
  <c r="G1031" i="35"/>
  <c r="F1913" i="41"/>
  <c r="G791" i="35"/>
  <c r="B796" i="55"/>
  <c r="K477" i="35"/>
  <c r="Y477" i="35"/>
  <c r="M477" i="35"/>
  <c r="N477" i="35"/>
  <c r="W477" i="35"/>
  <c r="L477" i="35"/>
  <c r="D354" i="41"/>
  <c r="O477" i="35"/>
  <c r="B88" i="55"/>
  <c r="G83" i="35"/>
  <c r="B1063" i="55"/>
  <c r="G1058" i="35"/>
  <c r="K57" i="35"/>
  <c r="Y57" i="35"/>
  <c r="M57" i="35"/>
  <c r="C142" i="41"/>
  <c r="F142" i="41" s="1"/>
  <c r="W57" i="35"/>
  <c r="X57" i="35" s="1"/>
  <c r="N57" i="35"/>
  <c r="L57" i="35"/>
  <c r="E1447" i="41"/>
  <c r="H501" i="41"/>
  <c r="E1530" i="41"/>
  <c r="B1048" i="55"/>
  <c r="E1420" i="41"/>
  <c r="F1436" i="41"/>
  <c r="E1380" i="41"/>
  <c r="F1316" i="41"/>
  <c r="H1360" i="41"/>
  <c r="F1333" i="41"/>
  <c r="E1279" i="41"/>
  <c r="M390" i="35"/>
  <c r="H1232" i="41"/>
  <c r="N1030" i="35"/>
  <c r="C136" i="41"/>
  <c r="G136" i="41" s="1"/>
  <c r="E1532" i="41"/>
  <c r="H1556" i="41"/>
  <c r="E1471" i="41"/>
  <c r="F1527" i="41"/>
  <c r="G1585" i="41"/>
  <c r="C20" i="41"/>
  <c r="F20" i="41" s="1"/>
  <c r="B665" i="41"/>
  <c r="H916" i="41"/>
  <c r="E762" i="41"/>
  <c r="G827" i="41"/>
  <c r="E727" i="41"/>
  <c r="B591" i="41"/>
  <c r="E591" i="41" s="1"/>
  <c r="W77" i="35"/>
  <c r="X77" i="35" s="1"/>
  <c r="E448" i="41"/>
  <c r="W129" i="35"/>
  <c r="M129" i="35"/>
  <c r="L129" i="35"/>
  <c r="C654" i="41"/>
  <c r="K402" i="35"/>
  <c r="O402" i="35"/>
  <c r="M402" i="35"/>
  <c r="Y402" i="35"/>
  <c r="U402" i="35" s="1"/>
  <c r="N402" i="35"/>
  <c r="B1026" i="41"/>
  <c r="F1026" i="41" s="1"/>
  <c r="L402" i="35"/>
  <c r="B937" i="55"/>
  <c r="G932" i="35"/>
  <c r="B932" i="55"/>
  <c r="G927" i="35"/>
  <c r="B549" i="55"/>
  <c r="G544" i="35"/>
  <c r="Y1078" i="35"/>
  <c r="E335" i="41"/>
  <c r="L1078" i="35"/>
  <c r="M1078" i="35"/>
  <c r="O1078" i="35"/>
  <c r="C333" i="41"/>
  <c r="E333" i="41" s="1"/>
  <c r="N1078" i="35"/>
  <c r="O1079" i="35"/>
  <c r="N1080" i="35"/>
  <c r="E334" i="41"/>
  <c r="N1082" i="35"/>
  <c r="G583" i="35"/>
  <c r="B588" i="55"/>
  <c r="M131" i="35"/>
  <c r="Y131" i="35"/>
  <c r="L131" i="35"/>
  <c r="W131" i="35"/>
  <c r="K131" i="35"/>
  <c r="B134" i="55"/>
  <c r="G129" i="35"/>
  <c r="L396" i="35"/>
  <c r="K396" i="35"/>
  <c r="O396" i="35"/>
  <c r="B1020" i="41"/>
  <c r="E1020" i="41" s="1"/>
  <c r="Y396" i="35"/>
  <c r="W412" i="35"/>
  <c r="Y412" i="35"/>
  <c r="M412" i="35"/>
  <c r="O584" i="35"/>
  <c r="K584" i="35"/>
  <c r="N584" i="35"/>
  <c r="M384" i="35"/>
  <c r="Y384" i="35"/>
  <c r="W384" i="35"/>
  <c r="O384" i="35"/>
  <c r="B1008" i="41"/>
  <c r="L384" i="35"/>
  <c r="K384" i="35"/>
  <c r="N384" i="35"/>
  <c r="N413" i="35"/>
  <c r="B1037" i="41"/>
  <c r="E1037" i="41" s="1"/>
  <c r="K413" i="35"/>
  <c r="L413" i="35"/>
  <c r="O413" i="35"/>
  <c r="Y413" i="35"/>
  <c r="L82" i="35"/>
  <c r="N82" i="35"/>
  <c r="P82" i="35"/>
  <c r="K82" i="35"/>
  <c r="O82" i="35"/>
  <c r="Y82" i="35"/>
  <c r="Q332" i="35"/>
  <c r="N332" i="35"/>
  <c r="W332" i="35"/>
  <c r="P332" i="35"/>
  <c r="O332" i="35"/>
  <c r="L332" i="35"/>
  <c r="M492" i="35"/>
  <c r="Y492" i="35"/>
  <c r="C441" i="41"/>
  <c r="F441" i="41" s="1"/>
  <c r="Q492" i="35"/>
  <c r="K492" i="35"/>
  <c r="N492" i="35"/>
  <c r="L937" i="35"/>
  <c r="C1816" i="41"/>
  <c r="E1816" i="41" s="1"/>
  <c r="M937" i="35"/>
  <c r="K937" i="35"/>
  <c r="W937" i="35"/>
  <c r="X937" i="35" s="1"/>
  <c r="Y937" i="35"/>
  <c r="N937" i="35"/>
  <c r="G71" i="35"/>
  <c r="B76" i="55"/>
  <c r="F586" i="41"/>
  <c r="W406" i="35"/>
  <c r="B1030" i="41"/>
  <c r="F1030" i="41" s="1"/>
  <c r="B18" i="55"/>
  <c r="G13" i="35"/>
  <c r="W1074" i="35"/>
  <c r="X1074" i="35" s="1"/>
  <c r="L1074" i="35"/>
  <c r="N1074" i="35"/>
  <c r="M1074" i="35"/>
  <c r="C429" i="41"/>
  <c r="E429" i="41" s="1"/>
  <c r="Q542" i="35"/>
  <c r="O542" i="35"/>
  <c r="P542" i="35"/>
  <c r="B45" i="55"/>
  <c r="G40" i="35"/>
  <c r="B1054" i="55"/>
  <c r="G1049" i="35"/>
  <c r="W1049" i="35"/>
  <c r="X1049" i="35" s="1"/>
  <c r="Y1049" i="35"/>
  <c r="C268" i="41"/>
  <c r="W61" i="35"/>
  <c r="C145" i="41"/>
  <c r="H145" i="41" s="1"/>
  <c r="N61" i="35"/>
  <c r="Y61" i="35"/>
  <c r="L489" i="35"/>
  <c r="B437" i="41"/>
  <c r="E437" i="41" s="1"/>
  <c r="C438" i="41"/>
  <c r="F438" i="41" s="1"/>
  <c r="M489" i="35"/>
  <c r="Y489" i="35"/>
  <c r="K489" i="35"/>
  <c r="W489" i="35"/>
  <c r="G874" i="35"/>
  <c r="B879" i="55"/>
  <c r="E221" i="41"/>
  <c r="E185" i="41"/>
  <c r="H171" i="41"/>
  <c r="E176" i="41"/>
  <c r="G204" i="41"/>
  <c r="F189" i="41"/>
  <c r="W542" i="35"/>
  <c r="X542" i="35" s="1"/>
  <c r="N1079" i="35"/>
  <c r="E559" i="41"/>
  <c r="N412" i="35"/>
  <c r="O79" i="35"/>
  <c r="L79" i="35"/>
  <c r="W79" i="35"/>
  <c r="J747" i="35" a="1"/>
  <c r="J747" i="35" s="1"/>
  <c r="D747" i="35" s="1"/>
  <c r="J774" i="35" a="1"/>
  <c r="J774" i="35" s="1"/>
  <c r="D774" i="35" s="1"/>
  <c r="J786" i="35" a="1"/>
  <c r="J786" i="35" s="1"/>
  <c r="D786" i="35" s="1"/>
  <c r="C791" i="55" s="1"/>
  <c r="D791" i="55" s="1"/>
  <c r="J740" i="35" a="1"/>
  <c r="J740" i="35" s="1"/>
  <c r="D740" i="35" s="1"/>
  <c r="C745" i="55" s="1"/>
  <c r="D745" i="55" s="1"/>
  <c r="J778" i="35" a="1"/>
  <c r="J778" i="35" s="1"/>
  <c r="D778" i="35" s="1"/>
  <c r="D107" i="48" s="1"/>
  <c r="J705" i="35" a="1"/>
  <c r="J705" i="35" s="1"/>
  <c r="D705" i="35" s="1"/>
  <c r="C710" i="55" s="1"/>
  <c r="D710" i="55" s="1"/>
  <c r="J724" i="35" a="1"/>
  <c r="J724" i="35" s="1"/>
  <c r="D724" i="35" s="1"/>
  <c r="C729" i="55" s="1"/>
  <c r="D729" i="55" s="1"/>
  <c r="J784" i="35" a="1"/>
  <c r="J784" i="35" s="1"/>
  <c r="D784" i="35" s="1"/>
  <c r="C789" i="55" s="1"/>
  <c r="D789" i="55" s="1"/>
  <c r="J742" i="35" a="1"/>
  <c r="J742" i="35" s="1"/>
  <c r="D742" i="35" s="1"/>
  <c r="D59" i="48" s="1"/>
  <c r="J739" i="35" a="1"/>
  <c r="J739" i="35" s="1"/>
  <c r="D739" i="35" s="1"/>
  <c r="C744" i="55" s="1"/>
  <c r="D744" i="55" s="1"/>
  <c r="G475" i="35"/>
  <c r="J751" i="35" a="1"/>
  <c r="J751" i="35" s="1"/>
  <c r="D751" i="35" s="1"/>
  <c r="D71" i="48" s="1"/>
  <c r="J746" i="35" a="1"/>
  <c r="J746" i="35" s="1"/>
  <c r="D746" i="35" s="1"/>
  <c r="C751" i="55" s="1"/>
  <c r="D751" i="55" s="1"/>
  <c r="J772" i="35" a="1"/>
  <c r="J772" i="35" s="1"/>
  <c r="D772" i="35" s="1"/>
  <c r="C777" i="55" s="1"/>
  <c r="D777" i="55" s="1"/>
  <c r="J757" i="35" a="1"/>
  <c r="J757" i="35" s="1"/>
  <c r="D757" i="35" s="1"/>
  <c r="D80" i="48" s="1"/>
  <c r="J783" i="35" a="1"/>
  <c r="J783" i="35" s="1"/>
  <c r="D783" i="35" s="1"/>
  <c r="D115" i="48" s="1"/>
  <c r="J722" i="35" a="1"/>
  <c r="J722" i="35" s="1"/>
  <c r="D722" i="35" s="1"/>
  <c r="D33" i="48" s="1"/>
  <c r="J761" i="35" a="1"/>
  <c r="J761" i="35" s="1"/>
  <c r="D761" i="35" s="1"/>
  <c r="J718" i="35" a="1"/>
  <c r="J718" i="35" s="1"/>
  <c r="D718" i="35" s="1"/>
  <c r="D26" i="48" s="1"/>
  <c r="J708" i="35" a="1"/>
  <c r="J708" i="35" s="1"/>
  <c r="D708" i="35" s="1"/>
  <c r="C713" i="55" s="1"/>
  <c r="D713" i="55" s="1"/>
  <c r="J717" i="35" a="1"/>
  <c r="J717" i="35" s="1"/>
  <c r="D717" i="35" s="1"/>
  <c r="J741" i="35" a="1"/>
  <c r="J741" i="35" s="1"/>
  <c r="D741" i="35" s="1"/>
  <c r="C746" i="55" s="1"/>
  <c r="D746" i="55" s="1"/>
  <c r="J749" i="35" a="1"/>
  <c r="J749" i="35" s="1"/>
  <c r="D749" i="35" s="1"/>
  <c r="J710" i="35" a="1"/>
  <c r="J710" i="35" s="1"/>
  <c r="D710" i="35" s="1"/>
  <c r="B480" i="55"/>
  <c r="J769" i="35" a="1"/>
  <c r="J769" i="35" s="1"/>
  <c r="D769" i="35" s="1"/>
  <c r="C774" i="55" s="1"/>
  <c r="D774" i="55" s="1"/>
  <c r="J737" i="35" a="1"/>
  <c r="J737" i="35" s="1"/>
  <c r="D737" i="35" s="1"/>
  <c r="C742" i="55" s="1"/>
  <c r="D742" i="55" s="1"/>
  <c r="J781" i="35" a="1"/>
  <c r="J781" i="35" s="1"/>
  <c r="D781" i="35" s="1"/>
  <c r="D113" i="48" s="1"/>
  <c r="J785" i="35" a="1"/>
  <c r="J785" i="35" s="1"/>
  <c r="D785" i="35" s="1"/>
  <c r="C790" i="55" s="1"/>
  <c r="D790" i="55" s="1"/>
  <c r="J782" i="35" a="1"/>
  <c r="J782" i="35" s="1"/>
  <c r="D782" i="35" s="1"/>
  <c r="D114" i="48" s="1"/>
  <c r="J748" i="35" a="1"/>
  <c r="J748" i="35" s="1"/>
  <c r="D748" i="35" s="1"/>
  <c r="C753" i="55" s="1"/>
  <c r="D753" i="55" s="1"/>
  <c r="B80" i="55"/>
  <c r="G75" i="35"/>
  <c r="B1076" i="55"/>
  <c r="G1071" i="35"/>
  <c r="B930" i="55"/>
  <c r="G925" i="35"/>
  <c r="K398" i="35"/>
  <c r="Y398" i="35"/>
  <c r="M398" i="35"/>
  <c r="O398" i="35"/>
  <c r="W398" i="35"/>
  <c r="X398" i="35" s="1"/>
  <c r="C577" i="41"/>
  <c r="G577" i="41" s="1"/>
  <c r="K111" i="35"/>
  <c r="L111" i="35"/>
  <c r="N111" i="35"/>
  <c r="P111" i="35"/>
  <c r="W111" i="35"/>
  <c r="X111" i="35" s="1"/>
  <c r="E191" i="41"/>
  <c r="G1057" i="35"/>
  <c r="M542" i="35"/>
  <c r="O404" i="35"/>
  <c r="M404" i="35"/>
  <c r="L31" i="35"/>
  <c r="F77" i="41"/>
  <c r="F83" i="41"/>
  <c r="Y31" i="35"/>
  <c r="N410" i="35"/>
  <c r="Y410" i="35"/>
  <c r="O410" i="35"/>
  <c r="L410" i="35"/>
  <c r="K410" i="35"/>
  <c r="E109" i="41"/>
  <c r="N31" i="35"/>
  <c r="E220" i="41"/>
  <c r="Y542" i="35"/>
  <c r="E1072" i="41"/>
  <c r="M874" i="35"/>
  <c r="K874" i="35"/>
  <c r="Y874" i="35"/>
  <c r="W874" i="35"/>
  <c r="X874" i="35" s="1"/>
  <c r="B1661" i="41"/>
  <c r="B1662" i="41"/>
  <c r="C1661" i="41"/>
  <c r="O576" i="35"/>
  <c r="L576" i="35"/>
  <c r="N576" i="35"/>
  <c r="Y576" i="35"/>
  <c r="W576" i="35"/>
  <c r="K576" i="35"/>
  <c r="M576" i="35"/>
  <c r="G942" i="35"/>
  <c r="B947" i="55"/>
  <c r="B1053" i="55"/>
  <c r="G1048" i="35"/>
  <c r="M572" i="35"/>
  <c r="K572" i="35"/>
  <c r="P572" i="35"/>
  <c r="O572" i="35"/>
  <c r="F109" i="41"/>
  <c r="F207" i="41"/>
  <c r="F219" i="41"/>
  <c r="H180" i="41"/>
  <c r="E187" i="41"/>
  <c r="L10" i="35"/>
  <c r="J10" i="35" s="1" a="1"/>
  <c r="J10" i="35" s="1"/>
  <c r="D10" i="35" s="1"/>
  <c r="G207" i="41"/>
  <c r="E174" i="41"/>
  <c r="G177" i="41"/>
  <c r="E218" i="41"/>
  <c r="G169" i="41"/>
  <c r="F201" i="41"/>
  <c r="G183" i="41"/>
  <c r="G172" i="41"/>
  <c r="G202" i="41"/>
  <c r="E192" i="41"/>
  <c r="F78" i="41"/>
  <c r="K542" i="35"/>
  <c r="G648" i="41"/>
  <c r="H78" i="41"/>
  <c r="E1070" i="41"/>
  <c r="G83" i="41"/>
  <c r="F647" i="41"/>
  <c r="F1492" i="41"/>
  <c r="F169" i="41"/>
  <c r="G170" i="41"/>
  <c r="H174" i="41"/>
  <c r="G40" i="41"/>
  <c r="E205" i="41"/>
  <c r="G180" i="41"/>
  <c r="F646" i="41"/>
  <c r="E83" i="41"/>
  <c r="F1062" i="41"/>
  <c r="Y584" i="35"/>
  <c r="E213" i="41"/>
  <c r="E197" i="41"/>
  <c r="F199" i="41"/>
  <c r="F193" i="41"/>
  <c r="E184" i="41"/>
  <c r="F181" i="41"/>
  <c r="M31" i="35"/>
  <c r="N874" i="35"/>
  <c r="W584" i="35"/>
  <c r="L874" i="35"/>
  <c r="C1076" i="41"/>
  <c r="K31" i="35"/>
  <c r="Y111" i="35"/>
  <c r="H1067" i="41"/>
  <c r="E1078" i="41"/>
  <c r="G78" i="41"/>
  <c r="G109" i="41"/>
  <c r="F186" i="41"/>
  <c r="F190" i="41"/>
  <c r="E204" i="41"/>
  <c r="F217" i="41"/>
  <c r="H204" i="41"/>
  <c r="G1042" i="35"/>
  <c r="E172" i="41"/>
  <c r="F185" i="41"/>
  <c r="F182" i="41"/>
  <c r="E198" i="41"/>
  <c r="G77" i="41"/>
  <c r="W78" i="35"/>
  <c r="G778" i="41"/>
  <c r="M111" i="35"/>
  <c r="F360" i="41"/>
  <c r="K417" i="35"/>
  <c r="M417" i="35"/>
  <c r="E358" i="41"/>
  <c r="O417" i="35"/>
  <c r="C352" i="41"/>
  <c r="E352" i="41" s="1"/>
  <c r="W417" i="35"/>
  <c r="X417" i="35" s="1"/>
  <c r="Y417" i="35"/>
  <c r="L417" i="35"/>
  <c r="O84" i="35"/>
  <c r="L84" i="35"/>
  <c r="K84" i="35"/>
  <c r="N84" i="35"/>
  <c r="G802" i="35"/>
  <c r="B807" i="55"/>
  <c r="B885" i="55"/>
  <c r="G880" i="35"/>
  <c r="M391" i="35"/>
  <c r="Y391" i="35"/>
  <c r="W391" i="35"/>
  <c r="W802" i="35"/>
  <c r="Y802" i="35"/>
  <c r="O802" i="35"/>
  <c r="L802" i="35"/>
  <c r="K802" i="35"/>
  <c r="M802" i="35"/>
  <c r="Y392" i="35"/>
  <c r="K392" i="35"/>
  <c r="O392" i="35"/>
  <c r="W392" i="35"/>
  <c r="X392" i="35" s="1"/>
  <c r="Y586" i="35"/>
  <c r="L586" i="35"/>
  <c r="Y87" i="35"/>
  <c r="K87" i="35"/>
  <c r="O87" i="35"/>
  <c r="B206" i="41"/>
  <c r="W87" i="35"/>
  <c r="X87" i="35" s="1"/>
  <c r="M87" i="35"/>
  <c r="L87" i="35"/>
  <c r="G95" i="35"/>
  <c r="B100" i="55"/>
  <c r="B935" i="55"/>
  <c r="G930" i="35"/>
  <c r="G1047" i="35"/>
  <c r="B1052" i="55"/>
  <c r="G1077" i="35"/>
  <c r="B1082" i="55"/>
  <c r="G387" i="35"/>
  <c r="B392" i="55"/>
  <c r="B1039" i="55"/>
  <c r="G1034" i="35"/>
  <c r="W879" i="35"/>
  <c r="X879" i="35" s="1"/>
  <c r="N879" i="35"/>
  <c r="M879" i="35"/>
  <c r="K879" i="35"/>
  <c r="C1673" i="41"/>
  <c r="L879" i="35"/>
  <c r="Y879" i="35"/>
  <c r="C266" i="41"/>
  <c r="G266" i="41" s="1"/>
  <c r="Y1047" i="35"/>
  <c r="W1047" i="35"/>
  <c r="Y96" i="35"/>
  <c r="B215" i="41"/>
  <c r="W96" i="35"/>
  <c r="M96" i="35"/>
  <c r="L96" i="35"/>
  <c r="N96" i="35"/>
  <c r="K96" i="35"/>
  <c r="G30" i="35"/>
  <c r="B35" i="55"/>
  <c r="N495" i="35"/>
  <c r="Y495" i="35"/>
  <c r="U495" i="35" s="1"/>
  <c r="P495" i="35"/>
  <c r="C444" i="41"/>
  <c r="E444" i="41" s="1"/>
  <c r="K495" i="35"/>
  <c r="L495" i="35"/>
  <c r="O495" i="35"/>
  <c r="B548" i="55"/>
  <c r="G543" i="35"/>
  <c r="G43" i="35"/>
  <c r="B48" i="55"/>
  <c r="B256" i="41"/>
  <c r="E256" i="41" s="1"/>
  <c r="M1033" i="35"/>
  <c r="W1033" i="35"/>
  <c r="K1033" i="35"/>
  <c r="B258" i="41"/>
  <c r="E258" i="41" s="1"/>
  <c r="B257" i="41"/>
  <c r="F257" i="41" s="1"/>
  <c r="B255" i="41"/>
  <c r="E255" i="41" s="1"/>
  <c r="B500" i="55"/>
  <c r="G495" i="35"/>
  <c r="G794" i="35"/>
  <c r="B799" i="55"/>
  <c r="M88" i="35"/>
  <c r="B207" i="41"/>
  <c r="Y88" i="35"/>
  <c r="O1035" i="35"/>
  <c r="L1035" i="35"/>
  <c r="E237" i="41"/>
  <c r="K1035" i="35"/>
  <c r="W1035" i="35"/>
  <c r="X1035" i="35" s="1"/>
  <c r="Y1035" i="35"/>
  <c r="F249" i="41"/>
  <c r="N1035" i="35"/>
  <c r="E249" i="41"/>
  <c r="E247" i="41"/>
  <c r="F240" i="41"/>
  <c r="W93" i="35"/>
  <c r="N93" i="35"/>
  <c r="L93" i="35"/>
  <c r="O93" i="35"/>
  <c r="P93" i="35"/>
  <c r="Y1073" i="35"/>
  <c r="W1073" i="35"/>
  <c r="X1073" i="35" s="1"/>
  <c r="M1073" i="35"/>
  <c r="O1073" i="35"/>
  <c r="B313" i="41"/>
  <c r="E313" i="41" s="1"/>
  <c r="K1073" i="35"/>
  <c r="L1073" i="35"/>
  <c r="O494" i="35"/>
  <c r="K494" i="35"/>
  <c r="Y494" i="35"/>
  <c r="W494" i="35"/>
  <c r="L494" i="35"/>
  <c r="C443" i="41"/>
  <c r="E443" i="41" s="1"/>
  <c r="C516" i="41"/>
  <c r="E516" i="41" s="1"/>
  <c r="Y552" i="35"/>
  <c r="Y109" i="35"/>
  <c r="M109" i="35"/>
  <c r="K109" i="35"/>
  <c r="L109" i="35"/>
  <c r="N109" i="35"/>
  <c r="W109" i="35"/>
  <c r="Y414" i="35"/>
  <c r="O414" i="35"/>
  <c r="M414" i="35"/>
  <c r="N414" i="35"/>
  <c r="F1483" i="41"/>
  <c r="Y93" i="35"/>
  <c r="M93" i="35"/>
  <c r="E510" i="41"/>
  <c r="G1072" i="35"/>
  <c r="K93" i="35"/>
  <c r="H641" i="41"/>
  <c r="N1073" i="35"/>
  <c r="B212" i="41"/>
  <c r="E1491" i="41"/>
  <c r="E507" i="41"/>
  <c r="F1071" i="41"/>
  <c r="P96" i="35"/>
  <c r="F1486" i="41"/>
  <c r="B1058" i="55"/>
  <c r="G1053" i="35"/>
  <c r="W549" i="35"/>
  <c r="X549" i="35" s="1"/>
  <c r="Y549" i="35"/>
  <c r="C512" i="41"/>
  <c r="E512" i="41" s="1"/>
  <c r="N549" i="35"/>
  <c r="K549" i="35"/>
  <c r="E511" i="41"/>
  <c r="M416" i="35"/>
  <c r="K37" i="35"/>
  <c r="C150" i="41"/>
  <c r="E150" i="41" s="1"/>
  <c r="G150" i="41"/>
  <c r="L37" i="35"/>
  <c r="H130" i="41"/>
  <c r="K587" i="35"/>
  <c r="L587" i="35"/>
  <c r="M587" i="35"/>
  <c r="Y587" i="35"/>
  <c r="U587" i="35" s="1"/>
  <c r="L1080" i="35"/>
  <c r="Q1080" i="35"/>
  <c r="Y1080" i="35"/>
  <c r="U1080" i="35" s="1"/>
  <c r="O1080" i="35"/>
  <c r="K1080" i="35"/>
  <c r="K15" i="35"/>
  <c r="J15" i="35" s="1" a="1"/>
  <c r="J15" i="35" s="1"/>
  <c r="D15" i="35" s="1"/>
  <c r="Y15" i="35"/>
  <c r="W15" i="35"/>
  <c r="M1034" i="35"/>
  <c r="K1034" i="35"/>
  <c r="N1034" i="35"/>
  <c r="Y1034" i="35"/>
  <c r="L1034" i="35"/>
  <c r="W1034" i="35"/>
  <c r="X1034" i="35" s="1"/>
  <c r="C235" i="41"/>
  <c r="E235" i="41" s="1"/>
  <c r="C245" i="41"/>
  <c r="F245" i="41" s="1"/>
  <c r="Y55" i="35"/>
  <c r="K55" i="35"/>
  <c r="L55" i="35"/>
  <c r="W55" i="35"/>
  <c r="X55" i="35" s="1"/>
  <c r="O55" i="35"/>
  <c r="N55" i="35"/>
  <c r="M55" i="35"/>
  <c r="Y46" i="35"/>
  <c r="K46" i="35"/>
  <c r="W44" i="35"/>
  <c r="N44" i="35"/>
  <c r="L44" i="35"/>
  <c r="K44" i="35"/>
  <c r="O44" i="35"/>
  <c r="Y44" i="35"/>
  <c r="M44" i="35"/>
  <c r="M66" i="35"/>
  <c r="O66" i="35"/>
  <c r="L66" i="35"/>
  <c r="Y66" i="35"/>
  <c r="K66" i="35"/>
  <c r="N66" i="35"/>
  <c r="W66" i="35"/>
  <c r="X66" i="35" s="1"/>
  <c r="B595" i="41"/>
  <c r="Y115" i="35"/>
  <c r="U115" i="35" s="1"/>
  <c r="B596" i="41"/>
  <c r="L115" i="35"/>
  <c r="B584" i="41"/>
  <c r="F584" i="41" s="1"/>
  <c r="B546" i="41"/>
  <c r="K105" i="35"/>
  <c r="B558" i="41"/>
  <c r="H558" i="41" s="1"/>
  <c r="B585" i="41"/>
  <c r="H585" i="41" s="1"/>
  <c r="B560" i="41"/>
  <c r="F560" i="41" s="1"/>
  <c r="L105" i="35"/>
  <c r="K106" i="35"/>
  <c r="W105" i="35"/>
  <c r="X105" i="35" s="1"/>
  <c r="N95" i="35"/>
  <c r="M95" i="35"/>
  <c r="K95" i="35"/>
  <c r="B214" i="41"/>
  <c r="B1060" i="41"/>
  <c r="B1061" i="41" s="1"/>
  <c r="E1061" i="41" s="1"/>
  <c r="B1064" i="41"/>
  <c r="E1064" i="41" s="1"/>
  <c r="W575" i="35"/>
  <c r="X575" i="35" s="1"/>
  <c r="B1063" i="41"/>
  <c r="E1063" i="41" s="1"/>
  <c r="M575" i="35"/>
  <c r="N575" i="35"/>
  <c r="O575" i="35"/>
  <c r="M1064" i="35"/>
  <c r="L1064" i="35"/>
  <c r="B292" i="41"/>
  <c r="K1064" i="35"/>
  <c r="W1064" i="35"/>
  <c r="Y1064" i="35"/>
  <c r="B397" i="55"/>
  <c r="G392" i="35"/>
  <c r="B47" i="55"/>
  <c r="G42" i="35"/>
  <c r="B1035" i="55"/>
  <c r="G1030" i="35"/>
  <c r="F562" i="41"/>
  <c r="E1069" i="41"/>
  <c r="G579" i="41"/>
  <c r="B1038" i="55"/>
  <c r="E1066" i="41"/>
  <c r="F1490" i="41"/>
  <c r="E328" i="41"/>
  <c r="H561" i="41"/>
  <c r="F241" i="41"/>
  <c r="L18" i="35"/>
  <c r="B582" i="41"/>
  <c r="Y74" i="35"/>
  <c r="N587" i="35"/>
  <c r="E1495" i="41"/>
  <c r="E210" i="41"/>
  <c r="F208" i="41"/>
  <c r="Y18" i="35"/>
  <c r="L74" i="35"/>
  <c r="B1081" i="41"/>
  <c r="F1494" i="41"/>
  <c r="K575" i="35"/>
  <c r="E338" i="41"/>
  <c r="W74" i="35"/>
  <c r="X74" i="35" s="1"/>
  <c r="B1080" i="41"/>
  <c r="F1484" i="41"/>
  <c r="E336" i="41"/>
  <c r="E506" i="41"/>
  <c r="L113" i="35"/>
  <c r="G1480" i="41"/>
  <c r="K113" i="35"/>
  <c r="B580" i="41"/>
  <c r="E337" i="41"/>
  <c r="Y113" i="35"/>
  <c r="E326" i="41"/>
  <c r="E329" i="41"/>
  <c r="C106" i="41"/>
  <c r="G106" i="41" s="1"/>
  <c r="Y20" i="35"/>
  <c r="E327" i="41"/>
  <c r="L20" i="35"/>
  <c r="J1054" i="35" a="1"/>
  <c r="J1054" i="35" s="1"/>
  <c r="D1054" i="35" s="1"/>
  <c r="C1059" i="55" s="1"/>
  <c r="D1059" i="55" s="1"/>
  <c r="B279" i="41"/>
  <c r="G413" i="35"/>
  <c r="Q86" i="35"/>
  <c r="B1023" i="41"/>
  <c r="F1023" i="41" s="1"/>
  <c r="E1479" i="41"/>
  <c r="E660" i="41"/>
  <c r="L1058" i="35"/>
  <c r="C628" i="41" a="1"/>
  <c r="C628" i="41" s="1"/>
  <c r="E658" i="41"/>
  <c r="B581" i="41"/>
  <c r="F215" i="41"/>
  <c r="E209" i="41"/>
  <c r="B585" i="55"/>
  <c r="G77" i="35"/>
  <c r="E913" i="41"/>
  <c r="B1042" i="55"/>
  <c r="E293" i="41"/>
  <c r="B217" i="41"/>
  <c r="E217" i="41" s="1"/>
  <c r="Y98" i="35"/>
  <c r="O32" i="30"/>
  <c r="C339" i="41"/>
  <c r="E339" i="41" s="1"/>
  <c r="K80" i="35"/>
  <c r="L404" i="35"/>
  <c r="O386" i="35"/>
  <c r="C515" i="41"/>
  <c r="E515" i="41" s="1"/>
  <c r="B1043" i="55"/>
  <c r="L925" i="35"/>
  <c r="W400" i="35"/>
  <c r="N47" i="35"/>
  <c r="G1082" i="35"/>
  <c r="B52" i="55"/>
  <c r="K790" i="35"/>
  <c r="M403" i="35"/>
  <c r="W936" i="35"/>
  <c r="B1672" i="41"/>
  <c r="G1672" i="41" s="1"/>
  <c r="K1086" i="35"/>
  <c r="K86" i="35"/>
  <c r="E519" i="41"/>
  <c r="L1065" i="35"/>
  <c r="M98" i="35"/>
  <c r="B888" i="55"/>
  <c r="M1083" i="35"/>
  <c r="Y80" i="35"/>
  <c r="N404" i="35"/>
  <c r="B1010" i="41"/>
  <c r="E1010" i="41" s="1"/>
  <c r="B1034" i="55"/>
  <c r="N551" i="35"/>
  <c r="Y925" i="35"/>
  <c r="Y400" i="35"/>
  <c r="Y47" i="35"/>
  <c r="C265" i="41"/>
  <c r="E265" i="41" s="1"/>
  <c r="N790" i="35"/>
  <c r="G489" i="35"/>
  <c r="N403" i="35"/>
  <c r="C1815" i="41"/>
  <c r="N876" i="35"/>
  <c r="Y1086" i="35"/>
  <c r="N86" i="35"/>
  <c r="Y1065" i="35"/>
  <c r="U1065" i="35" s="1"/>
  <c r="G881" i="35"/>
  <c r="W98" i="35"/>
  <c r="N1083" i="35"/>
  <c r="W80" i="35"/>
  <c r="X80" i="35" s="1"/>
  <c r="W404" i="35"/>
  <c r="X404" i="35" s="1"/>
  <c r="K386" i="35"/>
  <c r="W551" i="35"/>
  <c r="X551" i="35" s="1"/>
  <c r="K925" i="35"/>
  <c r="B553" i="55"/>
  <c r="O400" i="35"/>
  <c r="C133" i="41"/>
  <c r="G133" i="41" s="1"/>
  <c r="G132" i="35"/>
  <c r="Y1046" i="35"/>
  <c r="U1046" i="35" s="1"/>
  <c r="Y790" i="35"/>
  <c r="Y403" i="35"/>
  <c r="Y936" i="35"/>
  <c r="M1058" i="35"/>
  <c r="M876" i="35"/>
  <c r="Y1058" i="35"/>
  <c r="W1086" i="35"/>
  <c r="B1070" i="55"/>
  <c r="P86" i="35"/>
  <c r="G94" i="35"/>
  <c r="K1065" i="35"/>
  <c r="O98" i="35"/>
  <c r="M60" i="35"/>
  <c r="C330" i="41"/>
  <c r="E330" i="41" s="1"/>
  <c r="L80" i="35"/>
  <c r="B1028" i="41"/>
  <c r="F1028" i="41" s="1"/>
  <c r="G931" i="35"/>
  <c r="M386" i="35"/>
  <c r="O551" i="35"/>
  <c r="W925" i="35"/>
  <c r="X925" i="35" s="1"/>
  <c r="L400" i="35"/>
  <c r="O47" i="35" a="1"/>
  <c r="O47" i="35" s="1"/>
  <c r="G549" i="35"/>
  <c r="M790" i="35"/>
  <c r="K403" i="35"/>
  <c r="N1086" i="35"/>
  <c r="B1667" i="41"/>
  <c r="B281" i="41"/>
  <c r="B394" i="55"/>
  <c r="D569" i="41"/>
  <c r="G1066" i="35"/>
  <c r="F293" i="41"/>
  <c r="G19" i="35"/>
  <c r="N98" i="35"/>
  <c r="W1083" i="35"/>
  <c r="X1083" i="35" s="1"/>
  <c r="K404" i="35"/>
  <c r="W386" i="35"/>
  <c r="X386" i="35" s="1"/>
  <c r="Y551" i="35"/>
  <c r="K551" i="35"/>
  <c r="N925" i="35"/>
  <c r="M400" i="35"/>
  <c r="M47" i="35"/>
  <c r="O790" i="35"/>
  <c r="W403" i="35"/>
  <c r="X403" i="35" s="1"/>
  <c r="K936" i="35"/>
  <c r="N1058" i="35"/>
  <c r="B1668" i="41"/>
  <c r="K876" i="35"/>
  <c r="K1058" i="35"/>
  <c r="L86" i="35"/>
  <c r="M1065" i="35"/>
  <c r="L98" i="35"/>
  <c r="K1083" i="35"/>
  <c r="Y404" i="35"/>
  <c r="L386" i="35"/>
  <c r="M551" i="35"/>
  <c r="G399" i="35"/>
  <c r="B1024" i="41"/>
  <c r="F1024" i="41" s="1"/>
  <c r="W47" i="35"/>
  <c r="X47" i="35" s="1"/>
  <c r="B106" i="55"/>
  <c r="L790" i="35"/>
  <c r="B1027" i="41"/>
  <c r="F1027" i="41" s="1"/>
  <c r="L936" i="35"/>
  <c r="B56" i="55"/>
  <c r="B1670" i="41"/>
  <c r="E1670" i="41" s="1"/>
  <c r="Y876" i="35"/>
  <c r="B130" i="55"/>
  <c r="B280" i="41"/>
  <c r="Y86" i="35"/>
  <c r="Y1083" i="35"/>
  <c r="W790" i="35"/>
  <c r="M1086" i="35"/>
  <c r="B1669" i="41"/>
  <c r="G1669" i="41" s="1"/>
  <c r="W1058" i="35"/>
  <c r="X1058" i="35" s="1"/>
  <c r="M86" i="35"/>
  <c r="Y84" i="35"/>
  <c r="U84" i="35" s="1"/>
  <c r="M147" i="35"/>
  <c r="C346" i="41"/>
  <c r="E346" i="41" s="1"/>
  <c r="M1059" i="35"/>
  <c r="N934" i="35"/>
  <c r="O113" i="35"/>
  <c r="L398" i="35"/>
  <c r="L46" i="35"/>
  <c r="G37" i="35"/>
  <c r="O86" i="35"/>
  <c r="O587" i="35"/>
  <c r="Y1042" i="35"/>
  <c r="E526" i="41"/>
  <c r="E520" i="41"/>
  <c r="Y399" i="35"/>
  <c r="U399" i="35" s="1"/>
  <c r="O1086" i="35"/>
  <c r="N1059" i="35"/>
  <c r="M399" i="35"/>
  <c r="C593" i="41" a="1"/>
  <c r="C593" i="41" s="1"/>
  <c r="W86" i="35"/>
  <c r="B1079" i="41"/>
  <c r="K1042" i="35"/>
  <c r="N399" i="35"/>
  <c r="F261" i="41"/>
  <c r="J1047" i="35" a="1"/>
  <c r="J1047" i="35" s="1"/>
  <c r="D1047" i="35" s="1"/>
  <c r="C1052" i="55" s="1"/>
  <c r="D1052" i="55" s="1"/>
  <c r="J1049" i="35" a="1"/>
  <c r="J1049" i="35" s="1"/>
  <c r="D1049" i="35" s="1"/>
  <c r="C1054" i="55" s="1"/>
  <c r="D1054" i="55" s="1"/>
  <c r="Y1053" i="35"/>
  <c r="C272" i="41"/>
  <c r="F272" i="41" s="1"/>
  <c r="N792" i="35"/>
  <c r="K792" i="35"/>
  <c r="M792" i="35"/>
  <c r="Y792" i="35"/>
  <c r="W792" i="35"/>
  <c r="L792" i="35"/>
  <c r="M539" i="35"/>
  <c r="N539" i="35"/>
  <c r="Y539" i="35"/>
  <c r="P539" i="35"/>
  <c r="B433" i="41"/>
  <c r="F433" i="41" s="1"/>
  <c r="K539" i="35"/>
  <c r="C431" i="41"/>
  <c r="E431" i="41" s="1"/>
  <c r="B434" i="41"/>
  <c r="E434" i="41" s="1"/>
  <c r="W58" i="35"/>
  <c r="X58" i="35" s="1"/>
  <c r="K58" i="35"/>
  <c r="Y58" i="35"/>
  <c r="B228" i="41"/>
  <c r="H228" i="41" s="1"/>
  <c r="Y1031" i="35"/>
  <c r="B229" i="41"/>
  <c r="H229" i="41" s="1"/>
  <c r="W1031" i="35"/>
  <c r="X1031" i="35" s="1"/>
  <c r="B230" i="41"/>
  <c r="H230" i="41" s="1"/>
  <c r="L1031" i="35"/>
  <c r="M1031" i="35"/>
  <c r="K1031" i="35"/>
  <c r="B110" i="55"/>
  <c r="G105" i="35"/>
  <c r="N25" i="30"/>
  <c r="G1063" i="35"/>
  <c r="B1068" i="55"/>
  <c r="N1061" i="35"/>
  <c r="W1061" i="35"/>
  <c r="X1061" i="35" s="1"/>
  <c r="U1061" i="35" s="1"/>
  <c r="O1061" i="35"/>
  <c r="M1061" i="35"/>
  <c r="G76" i="35"/>
  <c r="B81" i="55"/>
  <c r="B1090" i="55"/>
  <c r="G1085" i="35"/>
  <c r="G98" i="35"/>
  <c r="B103" i="55"/>
  <c r="H32" i="30"/>
  <c r="J32" i="30" s="1"/>
  <c r="B546" i="55"/>
  <c r="G541" i="35"/>
  <c r="M410" i="35"/>
  <c r="B1034" i="41"/>
  <c r="E1034" i="41" s="1"/>
  <c r="W410" i="35"/>
  <c r="X410" i="35" s="1"/>
  <c r="B1025" i="41"/>
  <c r="E1025" i="41" s="1"/>
  <c r="M401" i="35"/>
  <c r="O401" i="35"/>
  <c r="L493" i="35"/>
  <c r="W493" i="35"/>
  <c r="X493" i="35" s="1"/>
  <c r="K493" i="35"/>
  <c r="Q493" i="35"/>
  <c r="C442" i="41"/>
  <c r="M493" i="35"/>
  <c r="P493" i="35"/>
  <c r="Y493" i="35"/>
  <c r="N493" i="35"/>
  <c r="O543" i="35"/>
  <c r="C430" i="41"/>
  <c r="E430" i="41" s="1"/>
  <c r="W543" i="35"/>
  <c r="X543" i="35" s="1"/>
  <c r="L543" i="35"/>
  <c r="Q543" i="35"/>
  <c r="K543" i="35"/>
  <c r="P543" i="35"/>
  <c r="N543" i="35"/>
  <c r="M543" i="35"/>
  <c r="M62" i="35"/>
  <c r="N62" i="35"/>
  <c r="L62" i="35"/>
  <c r="C146" i="41"/>
  <c r="B7" i="55"/>
  <c r="G2" i="35"/>
  <c r="Y119" i="35"/>
  <c r="G862" i="41"/>
  <c r="F835" i="41"/>
  <c r="G861" i="41"/>
  <c r="E848" i="41"/>
  <c r="L119" i="35"/>
  <c r="J119" i="35" s="1" a="1"/>
  <c r="J119" i="35" s="1"/>
  <c r="D119" i="35" s="1"/>
  <c r="H861" i="41"/>
  <c r="E866" i="41"/>
  <c r="H904" i="41"/>
  <c r="G897" i="41"/>
  <c r="E849" i="41"/>
  <c r="G872" i="41"/>
  <c r="G912" i="41"/>
  <c r="H836" i="41"/>
  <c r="E903" i="41"/>
  <c r="H856" i="41"/>
  <c r="H873" i="41"/>
  <c r="E909" i="41"/>
  <c r="E841" i="41"/>
  <c r="F878" i="41"/>
  <c r="E876" i="41"/>
  <c r="H910" i="41"/>
  <c r="E881" i="41"/>
  <c r="G899" i="41"/>
  <c r="E856" i="41"/>
  <c r="E874" i="41"/>
  <c r="G836" i="41"/>
  <c r="E912" i="41"/>
  <c r="H868" i="41"/>
  <c r="G895" i="41"/>
  <c r="F839" i="41"/>
  <c r="H839" i="41"/>
  <c r="G871" i="41"/>
  <c r="E882" i="41"/>
  <c r="F858" i="41"/>
  <c r="F848" i="41"/>
  <c r="E838" i="41"/>
  <c r="E869" i="41"/>
  <c r="G848" i="41"/>
  <c r="H908" i="41"/>
  <c r="G878" i="41"/>
  <c r="H882" i="41"/>
  <c r="H843" i="41"/>
  <c r="H673" i="41"/>
  <c r="G903" i="41"/>
  <c r="G645" i="41"/>
  <c r="H842" i="41"/>
  <c r="H894" i="41"/>
  <c r="E853" i="41"/>
  <c r="G853" i="41"/>
  <c r="F874" i="41"/>
  <c r="F875" i="41"/>
  <c r="G866" i="41"/>
  <c r="E886" i="41"/>
  <c r="H835" i="41"/>
  <c r="E840" i="41"/>
  <c r="G909" i="41"/>
  <c r="H892" i="41"/>
  <c r="F836" i="41"/>
  <c r="H848" i="41"/>
  <c r="E887" i="41"/>
  <c r="F891" i="41"/>
  <c r="H875" i="41"/>
  <c r="F911" i="41"/>
  <c r="H905" i="41"/>
  <c r="F849" i="41"/>
  <c r="F885" i="41"/>
  <c r="E910" i="41"/>
  <c r="G904" i="41"/>
  <c r="E890" i="41"/>
  <c r="E861" i="41"/>
  <c r="G851" i="41"/>
  <c r="H899" i="41"/>
  <c r="F892" i="41"/>
  <c r="H902" i="41"/>
  <c r="H897" i="41"/>
  <c r="H889" i="41"/>
  <c r="H838" i="41"/>
  <c r="F894" i="41"/>
  <c r="F847" i="41"/>
  <c r="E860" i="41"/>
  <c r="E871" i="41"/>
  <c r="F914" i="41"/>
  <c r="E864" i="41"/>
  <c r="E863" i="41"/>
  <c r="F900" i="41"/>
  <c r="H911" i="41"/>
  <c r="G883" i="41"/>
  <c r="F869" i="41"/>
  <c r="F857" i="41"/>
  <c r="G879" i="41"/>
  <c r="F865" i="41"/>
  <c r="G911" i="41"/>
  <c r="F893" i="41"/>
  <c r="H901" i="41"/>
  <c r="F912" i="41"/>
  <c r="G855" i="41"/>
  <c r="G852" i="41"/>
  <c r="G672" i="41"/>
  <c r="G906" i="41"/>
  <c r="E843" i="41"/>
  <c r="F841" i="41"/>
  <c r="F838" i="41"/>
  <c r="H874" i="41"/>
  <c r="F884" i="41"/>
  <c r="E862" i="41"/>
  <c r="H893" i="41"/>
  <c r="E852" i="41"/>
  <c r="F905" i="41"/>
  <c r="F872" i="41"/>
  <c r="G838" i="41"/>
  <c r="G847" i="41"/>
  <c r="F850" i="41"/>
  <c r="H885" i="41"/>
  <c r="F853" i="41"/>
  <c r="H876" i="41"/>
  <c r="G907" i="41"/>
  <c r="H851" i="41"/>
  <c r="E870" i="41"/>
  <c r="G864" i="41"/>
  <c r="F904" i="41"/>
  <c r="E835" i="41"/>
  <c r="H841" i="41"/>
  <c r="E875" i="41"/>
  <c r="G880" i="41"/>
  <c r="H914" i="41"/>
  <c r="E868" i="41"/>
  <c r="H895" i="41"/>
  <c r="F883" i="41"/>
  <c r="E914" i="41"/>
  <c r="F866" i="41"/>
  <c r="G865" i="41"/>
  <c r="H883" i="41"/>
  <c r="E889" i="41"/>
  <c r="G887" i="41"/>
  <c r="E906" i="41"/>
  <c r="F886" i="41"/>
  <c r="H859" i="41"/>
  <c r="F909" i="41"/>
  <c r="F908" i="41"/>
  <c r="G842" i="41"/>
  <c r="E857" i="41"/>
  <c r="E879" i="41"/>
  <c r="E897" i="41"/>
  <c r="E908" i="41"/>
  <c r="G896" i="41"/>
  <c r="H672" i="41"/>
  <c r="F843" i="41"/>
  <c r="F870" i="41"/>
  <c r="E854" i="41"/>
  <c r="G856" i="41"/>
  <c r="F907" i="41"/>
  <c r="H857" i="41"/>
  <c r="F860" i="41"/>
  <c r="H840" i="41"/>
  <c r="H862" i="41"/>
  <c r="F901" i="41"/>
  <c r="F906" i="41"/>
  <c r="E907" i="41"/>
  <c r="E673" i="41"/>
  <c r="H867" i="41"/>
  <c r="F881" i="41"/>
  <c r="H852" i="41"/>
  <c r="G892" i="41"/>
  <c r="H891" i="41"/>
  <c r="F895" i="41"/>
  <c r="F899" i="41"/>
  <c r="E904" i="41"/>
  <c r="F882" i="41"/>
  <c r="F873" i="41"/>
  <c r="H906" i="41"/>
  <c r="F852" i="41"/>
  <c r="F898" i="41"/>
  <c r="H898" i="41"/>
  <c r="E878" i="41"/>
  <c r="E891" i="41"/>
  <c r="G854" i="41"/>
  <c r="H854" i="41"/>
  <c r="G841" i="41"/>
  <c r="F861" i="41"/>
  <c r="F856" i="41"/>
  <c r="G840" i="41"/>
  <c r="H903" i="41"/>
  <c r="H863" i="41"/>
  <c r="F871" i="41"/>
  <c r="G898" i="41"/>
  <c r="G868" i="41"/>
  <c r="H858" i="41"/>
  <c r="G859" i="41"/>
  <c r="G905" i="41"/>
  <c r="E839" i="41"/>
  <c r="E846" i="41"/>
  <c r="G835" i="41"/>
  <c r="E898" i="41"/>
  <c r="H884" i="41"/>
  <c r="H849" i="41"/>
  <c r="E858" i="41"/>
  <c r="E902" i="41"/>
  <c r="F889" i="41"/>
  <c r="W119" i="35"/>
  <c r="G876" i="41"/>
  <c r="F867" i="41"/>
  <c r="E851" i="41"/>
  <c r="G863" i="41"/>
  <c r="E888" i="41"/>
  <c r="H896" i="41"/>
  <c r="E896" i="41"/>
  <c r="H853" i="41"/>
  <c r="E867" i="41"/>
  <c r="G886" i="41"/>
  <c r="F910" i="41"/>
  <c r="G870" i="41"/>
  <c r="E899" i="41"/>
  <c r="F888" i="41"/>
  <c r="H888" i="41"/>
  <c r="E900" i="41"/>
  <c r="F672" i="41"/>
  <c r="F837" i="41"/>
  <c r="G914" i="41"/>
  <c r="G873" i="41"/>
  <c r="F840" i="41"/>
  <c r="E672" i="41"/>
  <c r="G858" i="41"/>
  <c r="F851" i="41"/>
  <c r="G891" i="41"/>
  <c r="G857" i="41"/>
  <c r="G910" i="41"/>
  <c r="F868" i="41"/>
  <c r="F854" i="41"/>
  <c r="G900" i="41"/>
  <c r="E645" i="41"/>
  <c r="G673" i="41"/>
  <c r="F887" i="41"/>
  <c r="G843" i="41"/>
  <c r="E847" i="41"/>
  <c r="G884" i="41"/>
  <c r="F862" i="41"/>
  <c r="F846" i="41"/>
  <c r="E877" i="41"/>
  <c r="W124" i="35"/>
  <c r="Y124" i="35"/>
  <c r="K124" i="35"/>
  <c r="J124" i="35" s="1" a="1"/>
  <c r="J124" i="35" s="1"/>
  <c r="D124" i="35" s="1"/>
  <c r="C129" i="55" s="1"/>
  <c r="D129" i="55" s="1"/>
  <c r="W930" i="35"/>
  <c r="Y930" i="35"/>
  <c r="C1809" i="41"/>
  <c r="G1809" i="41" s="1"/>
  <c r="N930" i="35"/>
  <c r="M930" i="35"/>
  <c r="K930" i="35"/>
  <c r="L930" i="35"/>
  <c r="K1040" i="35"/>
  <c r="N1040" i="35"/>
  <c r="C253" i="41"/>
  <c r="D253" i="41" s="1"/>
  <c r="B409" i="55"/>
  <c r="G404" i="35"/>
  <c r="N574" i="35"/>
  <c r="B1057" i="41"/>
  <c r="F1057" i="41" s="1"/>
  <c r="M574" i="35"/>
  <c r="B1055" i="41"/>
  <c r="B1056" i="41" s="1"/>
  <c r="H1056" i="41" s="1"/>
  <c r="W573" i="35"/>
  <c r="L573" i="35"/>
  <c r="L496" i="35"/>
  <c r="M496" i="35"/>
  <c r="C445" i="41"/>
  <c r="F445" i="41" s="1"/>
  <c r="Q496" i="35"/>
  <c r="B407" i="55"/>
  <c r="G402" i="35"/>
  <c r="W38" i="35"/>
  <c r="B121" i="41"/>
  <c r="Y38" i="35"/>
  <c r="L38" i="35"/>
  <c r="C151" i="41"/>
  <c r="E151" i="41" s="1"/>
  <c r="C141" i="41"/>
  <c r="F141" i="41" s="1"/>
  <c r="C131" i="41"/>
  <c r="E131" i="41" s="1"/>
  <c r="F664" i="41"/>
  <c r="H662" i="41"/>
  <c r="E662" i="41"/>
  <c r="M132" i="35"/>
  <c r="F659" i="41"/>
  <c r="E665" i="41"/>
  <c r="F665" i="41"/>
  <c r="Y132" i="35"/>
  <c r="F663" i="41"/>
  <c r="G664" i="41"/>
  <c r="H663" i="41"/>
  <c r="W132" i="35"/>
  <c r="X132" i="35" s="1"/>
  <c r="F662" i="41"/>
  <c r="K132" i="35"/>
  <c r="G663" i="41"/>
  <c r="G665" i="41"/>
  <c r="E663" i="41"/>
  <c r="H664" i="41"/>
  <c r="H665" i="41"/>
  <c r="E664" i="41"/>
  <c r="H659" i="41"/>
  <c r="G662" i="41"/>
  <c r="G658" i="41"/>
  <c r="H661" i="41"/>
  <c r="F661" i="41"/>
  <c r="L132" i="35"/>
  <c r="B269" i="55"/>
  <c r="G264" i="35"/>
  <c r="B78" i="55"/>
  <c r="G73" i="35"/>
  <c r="G53" i="35"/>
  <c r="B58" i="55"/>
  <c r="Y2" i="35"/>
  <c r="U2" i="35" s="1"/>
  <c r="B4" i="41"/>
  <c r="E4" i="41" s="1"/>
  <c r="K2" i="35"/>
  <c r="L2" i="35"/>
  <c r="C534" i="41"/>
  <c r="K498" i="35"/>
  <c r="M498" i="35"/>
  <c r="O498" i="35"/>
  <c r="C447" i="41"/>
  <c r="L498" i="35"/>
  <c r="Q498" i="35"/>
  <c r="Y498" i="35"/>
  <c r="N498" i="35"/>
  <c r="B589" i="55"/>
  <c r="G584" i="35"/>
  <c r="M935" i="35"/>
  <c r="L935" i="35"/>
  <c r="G10" i="35"/>
  <c r="B15" i="55"/>
  <c r="B388" i="55"/>
  <c r="H19" i="30"/>
  <c r="J19" i="30" s="1"/>
  <c r="G383" i="35"/>
  <c r="N114" i="35"/>
  <c r="B620" i="41"/>
  <c r="B598" i="41"/>
  <c r="F576" i="41"/>
  <c r="H635" i="41"/>
  <c r="H576" i="41"/>
  <c r="P114" i="35"/>
  <c r="G576" i="41"/>
  <c r="G635" i="41"/>
  <c r="B597" i="41"/>
  <c r="F613" i="41"/>
  <c r="E613" i="41"/>
  <c r="Y114" i="35"/>
  <c r="E635" i="41"/>
  <c r="W114" i="35"/>
  <c r="X114" i="35" s="1"/>
  <c r="M114" i="35"/>
  <c r="G613" i="41"/>
  <c r="E576" i="41"/>
  <c r="O114" i="35"/>
  <c r="H613" i="41"/>
  <c r="B1092" i="55"/>
  <c r="G1087" i="35"/>
  <c r="W882" i="35"/>
  <c r="C1677" i="41"/>
  <c r="E1677" i="41" s="1"/>
  <c r="L882" i="35"/>
  <c r="Y882" i="35"/>
  <c r="K882" i="35"/>
  <c r="B938" i="55"/>
  <c r="G933" i="35"/>
  <c r="K126" i="35"/>
  <c r="M126" i="35"/>
  <c r="W126" i="35"/>
  <c r="X126" i="35" s="1"/>
  <c r="L126" i="35"/>
  <c r="B414" i="55"/>
  <c r="G409" i="35"/>
  <c r="G41" i="35"/>
  <c r="B46" i="55"/>
  <c r="B227" i="41"/>
  <c r="F227" i="41" s="1"/>
  <c r="L58" i="35"/>
  <c r="K38" i="35"/>
  <c r="W498" i="35"/>
  <c r="X498" i="35" s="1"/>
  <c r="F212" i="41"/>
  <c r="G877" i="41"/>
  <c r="G875" i="41"/>
  <c r="F879" i="41"/>
  <c r="F859" i="41"/>
  <c r="E872" i="41"/>
  <c r="E855" i="41"/>
  <c r="G660" i="41"/>
  <c r="W539" i="35"/>
  <c r="Y543" i="35"/>
  <c r="N882" i="35"/>
  <c r="G403" i="35"/>
  <c r="E219" i="41"/>
  <c r="F202" i="41"/>
  <c r="F172" i="41"/>
  <c r="E207" i="41"/>
  <c r="G174" i="41"/>
  <c r="F214" i="41"/>
  <c r="E170" i="41"/>
  <c r="F649" i="41"/>
  <c r="F171" i="41"/>
  <c r="E1643" i="41"/>
  <c r="E211" i="41"/>
  <c r="E222" i="41"/>
  <c r="E206" i="41"/>
  <c r="Q539" i="35"/>
  <c r="L539" i="35"/>
  <c r="C143" i="41"/>
  <c r="F143" i="41" s="1"/>
  <c r="W1053" i="35"/>
  <c r="W62" i="35"/>
  <c r="L114" i="35"/>
  <c r="K496" i="35"/>
  <c r="O539" i="35"/>
  <c r="N58" i="35"/>
  <c r="K62" i="35"/>
  <c r="Y496" i="35"/>
  <c r="O496" i="35"/>
  <c r="C651" i="41"/>
  <c r="E651" i="41" s="1"/>
  <c r="K490" i="35"/>
  <c r="M58" i="35"/>
  <c r="B557" i="55"/>
  <c r="F218" i="41"/>
  <c r="P496" i="35"/>
  <c r="N496" i="35"/>
  <c r="Y126" i="35"/>
  <c r="W490" i="35"/>
  <c r="B435" i="41"/>
  <c r="E435" i="41" s="1"/>
  <c r="W1055" i="35"/>
  <c r="X1055" i="35" s="1"/>
  <c r="B642" i="41"/>
  <c r="W496" i="35"/>
  <c r="M490" i="35"/>
  <c r="Y1055" i="35"/>
  <c r="B107" i="55"/>
  <c r="C439" i="41"/>
  <c r="B389" i="55"/>
  <c r="Y490" i="35"/>
  <c r="O25" i="30"/>
  <c r="H25" i="30"/>
  <c r="J25" i="30" s="1"/>
  <c r="B945" i="55"/>
  <c r="G222" i="35"/>
  <c r="M110" i="35"/>
  <c r="B152" i="55"/>
  <c r="F526" i="41"/>
  <c r="F511" i="41"/>
  <c r="F520" i="41"/>
  <c r="E522" i="41"/>
  <c r="W394" i="35"/>
  <c r="B1022" i="41"/>
  <c r="G545" i="35"/>
  <c r="W110" i="35"/>
  <c r="U110" i="35" s="1"/>
  <c r="F516" i="41"/>
  <c r="F525" i="41"/>
  <c r="N1042" i="35"/>
  <c r="E1604" i="41"/>
  <c r="J1056" i="35" a="1"/>
  <c r="J1056" i="35" s="1"/>
  <c r="D1056" i="35" s="1"/>
  <c r="B213" i="41"/>
  <c r="F213" i="41" s="1"/>
  <c r="F1102" i="41"/>
  <c r="F238" i="41"/>
  <c r="F256" i="41"/>
  <c r="W113" i="35"/>
  <c r="X113" i="35" s="1"/>
  <c r="F378" i="41"/>
  <c r="F399" i="41"/>
  <c r="F413" i="41"/>
  <c r="F382" i="41"/>
  <c r="F368" i="41"/>
  <c r="F384" i="41"/>
  <c r="F455" i="41"/>
  <c r="F476" i="41"/>
  <c r="F457" i="41"/>
  <c r="F480" i="41"/>
  <c r="F423" i="41"/>
  <c r="F357" i="41"/>
  <c r="F481" i="41"/>
  <c r="F479" i="41"/>
  <c r="F496" i="41"/>
  <c r="F490" i="41"/>
  <c r="N398" i="35"/>
  <c r="Y942" i="35"/>
  <c r="D628" i="41"/>
  <c r="B628" i="41"/>
  <c r="B1082" i="41"/>
  <c r="W1042" i="35"/>
  <c r="X1042" i="35" s="1"/>
  <c r="E508" i="41"/>
  <c r="F506" i="41"/>
  <c r="E504" i="41"/>
  <c r="E518" i="41"/>
  <c r="E509" i="41"/>
  <c r="F523" i="41"/>
  <c r="N31" i="30"/>
  <c r="N1087" i="35"/>
  <c r="W94" i="35"/>
  <c r="U94" i="35" s="1"/>
  <c r="F1130" i="41"/>
  <c r="F1194" i="41"/>
  <c r="L394" i="35"/>
  <c r="E234" i="41"/>
  <c r="F237" i="41"/>
  <c r="E253" i="41"/>
  <c r="F398" i="41"/>
  <c r="F387" i="41"/>
  <c r="F373" i="41"/>
  <c r="F406" i="41"/>
  <c r="F411" i="41"/>
  <c r="F367" i="41"/>
  <c r="O399" i="35"/>
  <c r="M12" i="35"/>
  <c r="F460" i="41"/>
  <c r="F464" i="41"/>
  <c r="F353" i="41"/>
  <c r="F495" i="41"/>
  <c r="F456" i="41"/>
  <c r="F425" i="41"/>
  <c r="F430" i="41"/>
  <c r="F437" i="41"/>
  <c r="F484" i="41"/>
  <c r="F221" i="41"/>
  <c r="L110" i="35"/>
  <c r="F527" i="41"/>
  <c r="E521" i="41"/>
  <c r="F509" i="41"/>
  <c r="E525" i="41"/>
  <c r="F510" i="41"/>
  <c r="H355" i="41"/>
  <c r="F1092" i="41"/>
  <c r="F1254" i="41"/>
  <c r="Q474" i="35"/>
  <c r="E1254" i="41"/>
  <c r="G1155" i="41"/>
  <c r="F1132" i="41"/>
  <c r="F1105" i="41"/>
  <c r="F1116" i="41"/>
  <c r="G1145" i="41"/>
  <c r="H1193" i="41"/>
  <c r="G1223" i="41"/>
  <c r="E1146" i="41"/>
  <c r="H1044" i="41"/>
  <c r="F1044" i="41"/>
  <c r="F1156" i="41"/>
  <c r="E1113" i="41"/>
  <c r="F1153" i="41"/>
  <c r="R476" i="35"/>
  <c r="H1157" i="41"/>
  <c r="E1262" i="41"/>
  <c r="G1058" i="41"/>
  <c r="H1245" i="41"/>
  <c r="F1266" i="41"/>
  <c r="F1264" i="41"/>
  <c r="E1110" i="41"/>
  <c r="E1120" i="41"/>
  <c r="E1207" i="41"/>
  <c r="F1068" i="41"/>
  <c r="E1144" i="41"/>
  <c r="E1161" i="41"/>
  <c r="G1224" i="41"/>
  <c r="E1211" i="41"/>
  <c r="E1116" i="41"/>
  <c r="F1171" i="41"/>
  <c r="E1117" i="41"/>
  <c r="E1257" i="41"/>
  <c r="F1069" i="41"/>
  <c r="F1204" i="41"/>
  <c r="E1266" i="41"/>
  <c r="F1064" i="41"/>
  <c r="G1066" i="41"/>
  <c r="R474" i="35"/>
  <c r="E1173" i="41"/>
  <c r="G1101" i="41"/>
  <c r="G1102" i="41"/>
  <c r="F1173" i="41"/>
  <c r="F1211" i="41"/>
  <c r="E1234" i="41"/>
  <c r="E1169" i="41"/>
  <c r="E1167" i="41"/>
  <c r="F1160" i="41"/>
  <c r="F1238" i="41"/>
  <c r="F1150" i="41"/>
  <c r="H1149" i="41"/>
  <c r="E1103" i="41"/>
  <c r="E1121" i="41"/>
  <c r="F1243" i="41"/>
  <c r="E1057" i="41"/>
  <c r="E1093" i="41"/>
  <c r="G1181" i="41"/>
  <c r="H1180" i="41"/>
  <c r="E1051" i="41"/>
  <c r="E1046" i="41"/>
  <c r="F1182" i="41"/>
  <c r="G1136" i="41"/>
  <c r="H1187" i="41"/>
  <c r="G1186" i="41"/>
  <c r="G1137" i="41"/>
  <c r="F1049" i="41"/>
  <c r="E1092" i="41"/>
  <c r="E1233" i="41"/>
  <c r="H1057" i="41"/>
  <c r="E1042" i="41"/>
  <c r="E1255" i="41"/>
  <c r="F1075" i="41"/>
  <c r="F1188" i="41"/>
  <c r="F1215" i="41"/>
  <c r="F1119" i="41"/>
  <c r="E1263" i="41"/>
  <c r="F1191" i="41"/>
  <c r="H1110" i="41"/>
  <c r="G1246" i="41"/>
  <c r="H1133" i="41"/>
  <c r="E1128" i="41"/>
  <c r="E1204" i="41"/>
  <c r="F1222" i="41"/>
  <c r="F1158" i="41"/>
  <c r="E1122" i="41"/>
  <c r="F1056" i="41"/>
  <c r="G1111" i="41"/>
  <c r="G1194" i="41"/>
  <c r="F1104" i="41"/>
  <c r="G1234" i="41"/>
  <c r="F1134" i="41"/>
  <c r="E1104" i="41"/>
  <c r="E1145" i="41"/>
  <c r="F1125" i="41"/>
  <c r="E1249" i="41"/>
  <c r="H1144" i="41"/>
  <c r="F1127" i="41"/>
  <c r="F1217" i="41"/>
  <c r="F1176" i="41"/>
  <c r="E1200" i="41"/>
  <c r="F1107" i="41"/>
  <c r="F1167" i="41"/>
  <c r="F1101" i="41"/>
  <c r="F1246" i="41"/>
  <c r="F1197" i="41"/>
  <c r="G1043" i="41"/>
  <c r="G1057" i="41"/>
  <c r="E1102" i="41"/>
  <c r="E1168" i="41"/>
  <c r="G1099" i="41"/>
  <c r="E1143" i="41"/>
  <c r="F1148" i="41"/>
  <c r="F1220" i="41"/>
  <c r="F1121" i="41"/>
  <c r="F1152" i="41"/>
  <c r="E1208" i="41"/>
  <c r="E1219" i="41"/>
  <c r="F1063" i="41"/>
  <c r="F1115" i="41"/>
  <c r="E1202" i="41"/>
  <c r="F1178" i="41"/>
  <c r="G1190" i="41"/>
  <c r="E1166" i="41"/>
  <c r="E1056" i="41"/>
  <c r="F1093" i="41"/>
  <c r="E1181" i="41"/>
  <c r="F1180" i="41"/>
  <c r="H1051" i="41"/>
  <c r="H1147" i="41"/>
  <c r="E1115" i="41"/>
  <c r="E1256" i="41"/>
  <c r="F1200" i="41"/>
  <c r="G1236" i="41"/>
  <c r="F1089" i="41"/>
  <c r="F1262" i="41"/>
  <c r="E1172" i="41"/>
  <c r="E1088" i="41"/>
  <c r="F1084" i="41"/>
  <c r="E1149" i="41"/>
  <c r="H1099" i="41"/>
  <c r="F1082" i="41"/>
  <c r="E1131" i="41"/>
  <c r="F1268" i="41"/>
  <c r="E1191" i="41"/>
  <c r="G1112" i="41"/>
  <c r="F1249" i="41"/>
  <c r="F1042" i="41"/>
  <c r="F1247" i="41"/>
  <c r="F1099" i="41"/>
  <c r="F1169" i="41"/>
  <c r="F1061" i="41"/>
  <c r="F1103" i="41"/>
  <c r="E1253" i="41"/>
  <c r="F1241" i="41"/>
  <c r="F1239" i="41"/>
  <c r="F1074" i="41"/>
  <c r="G1147" i="41"/>
  <c r="E1244" i="41"/>
  <c r="H1201" i="41"/>
  <c r="H1234" i="41"/>
  <c r="E1216" i="41"/>
  <c r="E1238" i="41"/>
  <c r="F1208" i="41"/>
  <c r="G1235" i="41"/>
  <c r="F1245" i="41"/>
  <c r="F1175" i="41"/>
  <c r="E1209" i="41"/>
  <c r="Y474" i="35"/>
  <c r="E1132" i="41"/>
  <c r="E1215" i="41"/>
  <c r="F1214" i="41"/>
  <c r="E1247" i="41"/>
  <c r="E1073" i="41"/>
  <c r="F1162" i="41"/>
  <c r="F1161" i="41"/>
  <c r="E1199" i="41"/>
  <c r="F1085" i="41"/>
  <c r="E1108" i="41"/>
  <c r="H1179" i="41"/>
  <c r="G1201" i="41"/>
  <c r="E1171" i="41"/>
  <c r="E1089" i="41"/>
  <c r="E1220" i="41"/>
  <c r="F1237" i="41"/>
  <c r="E1080" i="41"/>
  <c r="E1180" i="41"/>
  <c r="H1045" i="41"/>
  <c r="E1136" i="41"/>
  <c r="E1187" i="41"/>
  <c r="F1186" i="41"/>
  <c r="F1151" i="41"/>
  <c r="E1147" i="41"/>
  <c r="E1074" i="41"/>
  <c r="F1059" i="41"/>
  <c r="E1260" i="41"/>
  <c r="E1160" i="41"/>
  <c r="E1100" i="41"/>
  <c r="E1221" i="41"/>
  <c r="F1126" i="41"/>
  <c r="F1251" i="41"/>
  <c r="E1174" i="41"/>
  <c r="E1157" i="41"/>
  <c r="H1104" i="41"/>
  <c r="F1224" i="41"/>
  <c r="F1081" i="41"/>
  <c r="F1265" i="41"/>
  <c r="G1202" i="41"/>
  <c r="F1120" i="41"/>
  <c r="E1222" i="41"/>
  <c r="F1110" i="41"/>
  <c r="H1089" i="41"/>
  <c r="E1163" i="41"/>
  <c r="F1259" i="41"/>
  <c r="F1199" i="41"/>
  <c r="F1219" i="41"/>
  <c r="E1214" i="41"/>
  <c r="F1258" i="41"/>
  <c r="F1168" i="41"/>
  <c r="F1073" i="41"/>
  <c r="F1210" i="41"/>
  <c r="F1072" i="41"/>
  <c r="F1263" i="41"/>
  <c r="E1196" i="41"/>
  <c r="F1190" i="41"/>
  <c r="E1239" i="41"/>
  <c r="E1083" i="41"/>
  <c r="H1239" i="41"/>
  <c r="F1260" i="41"/>
  <c r="E1258" i="41"/>
  <c r="E1264" i="41"/>
  <c r="E1150" i="41"/>
  <c r="F1154" i="41"/>
  <c r="F1261" i="41"/>
  <c r="G1089" i="41"/>
  <c r="H1237" i="41"/>
  <c r="H1146" i="41"/>
  <c r="E1237" i="41"/>
  <c r="E1267" i="41"/>
  <c r="G1103" i="41"/>
  <c r="E1212" i="41"/>
  <c r="E1155" i="41"/>
  <c r="F1165" i="41"/>
  <c r="E1188" i="41"/>
  <c r="H1065" i="41"/>
  <c r="F1122" i="41"/>
  <c r="F1112" i="41"/>
  <c r="E1060" i="41"/>
  <c r="G1180" i="41"/>
  <c r="G1045" i="41"/>
  <c r="F1187" i="41"/>
  <c r="H1183" i="41"/>
  <c r="F1098" i="41"/>
  <c r="M474" i="35"/>
  <c r="E1195" i="41"/>
  <c r="G1134" i="41"/>
  <c r="G1193" i="41"/>
  <c r="F1131" i="41"/>
  <c r="F1196" i="41"/>
  <c r="F1109" i="41"/>
  <c r="E1268" i="41"/>
  <c r="E1152" i="41"/>
  <c r="E1250" i="41"/>
  <c r="F1212" i="41"/>
  <c r="F1166" i="41"/>
  <c r="F1086" i="41"/>
  <c r="F1066" i="41"/>
  <c r="E1065" i="41"/>
  <c r="E1112" i="41"/>
  <c r="E1201" i="41"/>
  <c r="E1134" i="41"/>
  <c r="F1159" i="41"/>
  <c r="E1177" i="41"/>
  <c r="H1112" i="41"/>
  <c r="G1110" i="41"/>
  <c r="F1216" i="41"/>
  <c r="F1267" i="41"/>
  <c r="F1252" i="41"/>
  <c r="F1248" i="41"/>
  <c r="E1156" i="41"/>
  <c r="E1118" i="41"/>
  <c r="F1257" i="41"/>
  <c r="H1202" i="41"/>
  <c r="F1205" i="41"/>
  <c r="E1206" i="41"/>
  <c r="F1123" i="41"/>
  <c r="G1065" i="41"/>
  <c r="W474" i="35"/>
  <c r="X474" i="35" s="1"/>
  <c r="F1203" i="41"/>
  <c r="E1190" i="41"/>
  <c r="G1055" i="41"/>
  <c r="E1107" i="41"/>
  <c r="E1189" i="41"/>
  <c r="F1172" i="41"/>
  <c r="E1240" i="41"/>
  <c r="E1210" i="41"/>
  <c r="F1195" i="41"/>
  <c r="G1054" i="41"/>
  <c r="F1060" i="41"/>
  <c r="E1109" i="41"/>
  <c r="H1059" i="41"/>
  <c r="G1149" i="41"/>
  <c r="G1191" i="41"/>
  <c r="F1149" i="41"/>
  <c r="F1198" i="41"/>
  <c r="E1165" i="41"/>
  <c r="F1206" i="41"/>
  <c r="H1192" i="41"/>
  <c r="E1067" i="41"/>
  <c r="H1142" i="41"/>
  <c r="E1091" i="41"/>
  <c r="F1045" i="41"/>
  <c r="E1229" i="41"/>
  <c r="E1183" i="41"/>
  <c r="F1253" i="41"/>
  <c r="F1079" i="41"/>
  <c r="E1217" i="41"/>
  <c r="H1235" i="41"/>
  <c r="E1098" i="41"/>
  <c r="R475" i="35"/>
  <c r="F1202" i="41"/>
  <c r="F1223" i="41"/>
  <c r="H1155" i="41"/>
  <c r="G1192" i="41"/>
  <c r="L474" i="35"/>
  <c r="F1240" i="41"/>
  <c r="G1239" i="41"/>
  <c r="F1114" i="41"/>
  <c r="G1042" i="41"/>
  <c r="F1193" i="41"/>
  <c r="E1252" i="41"/>
  <c r="E1106" i="41"/>
  <c r="F1083" i="41"/>
  <c r="H1103" i="41"/>
  <c r="E1043" i="41"/>
  <c r="H1088" i="41"/>
  <c r="E1259" i="41"/>
  <c r="H1102" i="41"/>
  <c r="E1159" i="41"/>
  <c r="G1156" i="41"/>
  <c r="H1156" i="41"/>
  <c r="E1101" i="41"/>
  <c r="F1189" i="41"/>
  <c r="E1198" i="41"/>
  <c r="E1111" i="41"/>
  <c r="E1241" i="41"/>
  <c r="F1157" i="41"/>
  <c r="E1251" i="41"/>
  <c r="H1058" i="41"/>
  <c r="E1158" i="41"/>
  <c r="F1065" i="41"/>
  <c r="G1059" i="41"/>
  <c r="F1133" i="41"/>
  <c r="E1130" i="41"/>
  <c r="F1146" i="41"/>
  <c r="F1250" i="41"/>
  <c r="F1218" i="41"/>
  <c r="F1155" i="41"/>
  <c r="F1043" i="41"/>
  <c r="F1170" i="41"/>
  <c r="E1123" i="41"/>
  <c r="E1242" i="41"/>
  <c r="F1177" i="41"/>
  <c r="E1105" i="41"/>
  <c r="F1144" i="41"/>
  <c r="E1203" i="41"/>
  <c r="E1235" i="41"/>
  <c r="F1201" i="41"/>
  <c r="F1117" i="41"/>
  <c r="E1071" i="41"/>
  <c r="E1055" i="41"/>
  <c r="E1142" i="41"/>
  <c r="G1093" i="41"/>
  <c r="H1181" i="41"/>
  <c r="F1051" i="41"/>
  <c r="G1046" i="41"/>
  <c r="H1091" i="41"/>
  <c r="G1182" i="41"/>
  <c r="E1137" i="41"/>
  <c r="E1049" i="41"/>
  <c r="G1225" i="41"/>
  <c r="M931" i="35"/>
  <c r="W931" i="35"/>
  <c r="X931" i="35" s="1"/>
  <c r="K931" i="35"/>
  <c r="C1810" i="41"/>
  <c r="E1810" i="41" s="1"/>
  <c r="N931" i="35"/>
  <c r="B1056" i="55"/>
  <c r="G1051" i="35"/>
  <c r="L97" i="35"/>
  <c r="W97" i="35"/>
  <c r="B216" i="41"/>
  <c r="F216" i="41" s="1"/>
  <c r="Y97" i="35"/>
  <c r="O97" i="35"/>
  <c r="K73" i="35"/>
  <c r="L73" i="35"/>
  <c r="B163" i="41"/>
  <c r="G578" i="35"/>
  <c r="B583" i="55"/>
  <c r="L88" i="35"/>
  <c r="W88" i="35"/>
  <c r="X88" i="35" s="1"/>
  <c r="P88" i="35"/>
  <c r="N88" i="35"/>
  <c r="O88" i="35"/>
  <c r="K88" i="35"/>
  <c r="Q88" i="35"/>
  <c r="B547" i="41"/>
  <c r="E547" i="41" s="1"/>
  <c r="Y105" i="35"/>
  <c r="B583" i="41"/>
  <c r="F583" i="41" s="1"/>
  <c r="B111" i="55"/>
  <c r="G106" i="35"/>
  <c r="L117" i="35"/>
  <c r="K117" i="35"/>
  <c r="M117" i="35"/>
  <c r="Y117" i="35"/>
  <c r="B640" i="41"/>
  <c r="E640" i="41" s="1"/>
  <c r="B305" i="41"/>
  <c r="Y1070" i="35"/>
  <c r="U1070" i="35" s="1"/>
  <c r="B307" i="41"/>
  <c r="K1070" i="35"/>
  <c r="B306" i="41"/>
  <c r="L1070" i="35"/>
  <c r="M1070" i="35"/>
  <c r="B308" i="41"/>
  <c r="O492" i="35"/>
  <c r="L492" i="35"/>
  <c r="P492" i="35"/>
  <c r="W492" i="35"/>
  <c r="X492" i="35" s="1"/>
  <c r="G586" i="35"/>
  <c r="B591" i="55"/>
  <c r="N497" i="35"/>
  <c r="P498" i="35"/>
  <c r="O497" i="35"/>
  <c r="P497" i="35"/>
  <c r="E1062" i="41"/>
  <c r="F1128" i="41"/>
  <c r="E1192" i="41"/>
  <c r="E1236" i="41"/>
  <c r="F1221" i="41"/>
  <c r="G1088" i="41"/>
  <c r="F1213" i="41"/>
  <c r="F1164" i="41"/>
  <c r="E1224" i="41"/>
  <c r="F1070" i="41"/>
  <c r="G1133" i="41"/>
  <c r="E1213" i="41"/>
  <c r="H1100" i="41"/>
  <c r="F1118" i="41"/>
  <c r="E1119" i="41"/>
  <c r="E1058" i="41"/>
  <c r="E1125" i="41"/>
  <c r="E1054" i="41"/>
  <c r="E1261" i="41"/>
  <c r="F1100" i="41"/>
  <c r="G1100" i="41"/>
  <c r="E1223" i="41"/>
  <c r="F1067" i="41"/>
  <c r="E1205" i="41"/>
  <c r="H1200" i="41"/>
  <c r="F1076" i="41"/>
  <c r="F1242" i="41"/>
  <c r="E1179" i="41"/>
  <c r="G1247" i="41"/>
  <c r="F1080" i="41"/>
  <c r="G1044" i="41"/>
  <c r="E1218" i="41"/>
  <c r="N474" i="35"/>
  <c r="F1054" i="41"/>
  <c r="F1235" i="41"/>
  <c r="F1111" i="41"/>
  <c r="H1066" i="41"/>
  <c r="E1178" i="41"/>
  <c r="F1233" i="41"/>
  <c r="H1134" i="41"/>
  <c r="F1055" i="41"/>
  <c r="H1238" i="41"/>
  <c r="E1129" i="41"/>
  <c r="F1124" i="41"/>
  <c r="F1229" i="41"/>
  <c r="K394" i="35"/>
  <c r="B569" i="41"/>
  <c r="F581" i="41"/>
  <c r="H642" i="41"/>
  <c r="O394" i="35"/>
  <c r="E1082" i="41"/>
  <c r="E597" i="41"/>
  <c r="Y394" i="35"/>
  <c r="E580" i="41"/>
  <c r="E1075" i="41"/>
  <c r="E1079" i="41"/>
  <c r="F1163" i="41"/>
  <c r="E1076" i="41"/>
  <c r="E1081" i="41"/>
  <c r="F598" i="41"/>
  <c r="M394" i="35"/>
  <c r="N11" i="30"/>
  <c r="G422" i="35"/>
  <c r="B803" i="41"/>
  <c r="O222" i="35"/>
  <c r="N36" i="30"/>
  <c r="H6" i="30"/>
  <c r="J6" i="30" s="1"/>
  <c r="F359" i="41"/>
  <c r="F239" i="41"/>
  <c r="B314" i="41"/>
  <c r="E314" i="41" s="1"/>
  <c r="M1036" i="35"/>
  <c r="F247" i="41"/>
  <c r="G1067" i="41"/>
  <c r="H1247" i="41"/>
  <c r="H1055" i="41"/>
  <c r="E257" i="41"/>
  <c r="O19" i="30"/>
  <c r="G205" i="41"/>
  <c r="H1229" i="41"/>
  <c r="E1018" i="41"/>
  <c r="F253" i="41"/>
  <c r="G1183" i="41"/>
  <c r="F358" i="41"/>
  <c r="H33" i="30"/>
  <c r="J33" i="30" s="1"/>
  <c r="O12" i="30"/>
  <c r="O6" i="30"/>
  <c r="O33" i="30"/>
  <c r="K1036" i="35"/>
  <c r="L1036" i="35"/>
  <c r="M94" i="35"/>
  <c r="F1022" i="41"/>
  <c r="Q1036" i="35"/>
  <c r="Y406" i="35"/>
  <c r="G79" i="35"/>
  <c r="E240" i="41"/>
  <c r="B1033" i="41"/>
  <c r="E1033" i="41" s="1"/>
  <c r="N32" i="30"/>
  <c r="J1045" i="35" a="1"/>
  <c r="J1045" i="35" s="1"/>
  <c r="D1045" i="35" s="1"/>
  <c r="C1050" i="55" s="1"/>
  <c r="D1050" i="55" s="1"/>
  <c r="L116" i="35"/>
  <c r="J1050" i="35" a="1"/>
  <c r="J1050" i="35" s="1"/>
  <c r="D1050" i="35" s="1"/>
  <c r="C1055" i="55" s="1"/>
  <c r="D1055" i="55" s="1"/>
  <c r="H17" i="30"/>
  <c r="J17" i="30" s="1"/>
  <c r="K399" i="35"/>
  <c r="N33" i="30"/>
  <c r="L399" i="35"/>
  <c r="F362" i="41"/>
  <c r="O31" i="30"/>
  <c r="C144" i="41"/>
  <c r="F144" i="41" s="1"/>
  <c r="W59" i="35"/>
  <c r="X59" i="35" s="1"/>
  <c r="M59" i="35"/>
  <c r="B427" i="55"/>
  <c r="N16" i="30"/>
  <c r="H36" i="30"/>
  <c r="J36" i="30" s="1"/>
  <c r="O36" i="30"/>
  <c r="F1604" i="41"/>
  <c r="C239" i="41"/>
  <c r="E239" i="41" s="1"/>
  <c r="C249" i="41"/>
  <c r="Y1036" i="35"/>
  <c r="O24" i="30"/>
  <c r="P1036" i="35"/>
  <c r="N1036" i="35" s="1"/>
  <c r="W1036" i="35"/>
  <c r="X1036" i="35" s="1"/>
  <c r="N24" i="30"/>
  <c r="H37" i="30"/>
  <c r="J37" i="30" s="1"/>
  <c r="Y116" i="35"/>
  <c r="B617" i="41"/>
  <c r="E251" i="41"/>
  <c r="Y1074" i="35"/>
  <c r="W116" i="35"/>
  <c r="X116" i="35" s="1"/>
  <c r="L406" i="35"/>
  <c r="M46" i="35"/>
  <c r="B639" i="41"/>
  <c r="G639" i="41" s="1"/>
  <c r="N406" i="35"/>
  <c r="M406" i="35"/>
  <c r="K59" i="35"/>
  <c r="O406" i="35"/>
  <c r="W46" i="35"/>
  <c r="X46" i="35" s="1"/>
  <c r="N6" i="30"/>
  <c r="O17" i="30"/>
  <c r="N12" i="30"/>
  <c r="N14" i="30"/>
  <c r="O14" i="30"/>
  <c r="N19" i="30"/>
  <c r="H16" i="30"/>
  <c r="J16" i="30" s="1"/>
  <c r="H26" i="30"/>
  <c r="J26" i="30" s="1"/>
  <c r="H11" i="30"/>
  <c r="J11" i="30" s="1"/>
  <c r="H31" i="30"/>
  <c r="J31" i="30" s="1"/>
  <c r="Y59" i="35"/>
  <c r="M116" i="35"/>
  <c r="K406" i="35"/>
  <c r="F246" i="41"/>
  <c r="E250" i="41"/>
  <c r="N46" i="35"/>
  <c r="G1084" i="35"/>
  <c r="F251" i="41"/>
  <c r="E245" i="41"/>
  <c r="G400" i="35"/>
  <c r="H24" i="30"/>
  <c r="J24" i="30" s="1"/>
  <c r="B108" i="55"/>
  <c r="O37" i="30"/>
  <c r="O26" i="30"/>
  <c r="J1044" i="35" a="1"/>
  <c r="J1044" i="35" s="1"/>
  <c r="D1044" i="35" s="1"/>
  <c r="C1049" i="55" s="1"/>
  <c r="D1049" i="55" s="1"/>
  <c r="F244" i="41"/>
  <c r="L1032" i="35"/>
  <c r="N13" i="30"/>
  <c r="N15" i="30"/>
  <c r="H35" i="30"/>
  <c r="J35" i="30" s="1"/>
  <c r="B93" i="55"/>
  <c r="K1078" i="35"/>
  <c r="G1157" i="41"/>
  <c r="F250" i="41"/>
  <c r="E248" i="41"/>
  <c r="B929" i="55"/>
  <c r="O1074" i="35"/>
  <c r="L409" i="35"/>
  <c r="W1078" i="35"/>
  <c r="F233" i="41"/>
  <c r="E254" i="41"/>
  <c r="G1229" i="41"/>
  <c r="K1074" i="35"/>
  <c r="G62" i="35"/>
  <c r="O409" i="35"/>
  <c r="G1092" i="41"/>
  <c r="N37" i="30"/>
  <c r="O13" i="30"/>
  <c r="B948" i="55"/>
  <c r="C324" i="41"/>
  <c r="E324" i="41" s="1"/>
  <c r="H1191" i="41"/>
  <c r="G1237" i="41"/>
  <c r="G1056" i="41"/>
  <c r="E233" i="41"/>
  <c r="F248" i="41"/>
  <c r="H803" i="41"/>
  <c r="B109" i="55"/>
  <c r="K409" i="35"/>
  <c r="H1092" i="41"/>
  <c r="H15" i="30"/>
  <c r="J15" i="30" s="1"/>
  <c r="O11" i="30"/>
  <c r="G104" i="35"/>
  <c r="M409" i="35"/>
  <c r="N17" i="30"/>
  <c r="G355" i="41"/>
  <c r="L59" i="35"/>
  <c r="G1148" i="41"/>
  <c r="G1200" i="41"/>
  <c r="H1190" i="41"/>
  <c r="H1246" i="41"/>
  <c r="H1145" i="41"/>
  <c r="H1054" i="41"/>
  <c r="E238" i="41"/>
  <c r="E1008" i="41"/>
  <c r="C132" i="41"/>
  <c r="E628" i="41"/>
  <c r="Y409" i="35"/>
  <c r="U409" i="35" s="1"/>
  <c r="O15" i="30"/>
  <c r="N409" i="35"/>
  <c r="H14" i="30"/>
  <c r="J14" i="30" s="1"/>
  <c r="O16" i="30"/>
  <c r="N26" i="30"/>
  <c r="F1675" i="41"/>
  <c r="E1675" i="41"/>
  <c r="H1675" i="41"/>
  <c r="M84" i="35"/>
  <c r="H12" i="30"/>
  <c r="J12" i="30" s="1"/>
  <c r="H13" i="30"/>
  <c r="J13" i="30" s="1"/>
  <c r="N35" i="30"/>
  <c r="O35" i="30"/>
  <c r="F1565" i="41"/>
  <c r="B203" i="41"/>
  <c r="G203" i="41" s="1"/>
  <c r="B1085" i="55"/>
  <c r="F508" i="41"/>
  <c r="F1643" i="41"/>
  <c r="E1565" i="41"/>
  <c r="F1526" i="41"/>
  <c r="E1526" i="41"/>
  <c r="C9" i="55"/>
  <c r="D9" i="55" s="1"/>
  <c r="D22" i="2"/>
  <c r="D21" i="2"/>
  <c r="F1021" i="41"/>
  <c r="E1030" i="41"/>
  <c r="E560" i="41"/>
  <c r="F1036" i="41"/>
  <c r="H569" i="41"/>
  <c r="J793" i="35" a="1"/>
  <c r="J793" i="35" s="1"/>
  <c r="D793" i="35" s="1"/>
  <c r="D13" i="50" s="1"/>
  <c r="J802" i="35" a="1"/>
  <c r="J802" i="35" s="1"/>
  <c r="D802" i="35" s="1"/>
  <c r="D25" i="50" s="1"/>
  <c r="E1027" i="41"/>
  <c r="J574" i="35" a="1"/>
  <c r="J574" i="35" s="1"/>
  <c r="D574" i="35" s="1"/>
  <c r="D19" i="51" s="1"/>
  <c r="J585" i="35" a="1"/>
  <c r="J585" i="35" s="1"/>
  <c r="D585" i="35" s="1"/>
  <c r="C590" i="55" s="1"/>
  <c r="D590" i="55" s="1"/>
  <c r="J584" i="35" a="1"/>
  <c r="J584" i="35" s="1"/>
  <c r="D584" i="35" s="1"/>
  <c r="C589" i="55" s="1"/>
  <c r="D589" i="55" s="1"/>
  <c r="J586" i="35" a="1"/>
  <c r="J586" i="35" s="1"/>
  <c r="D586" i="35" s="1"/>
  <c r="D34" i="51" s="1"/>
  <c r="J579" i="35" a="1"/>
  <c r="J579" i="35" s="1"/>
  <c r="D579" i="35" s="1"/>
  <c r="C584" i="55" s="1"/>
  <c r="D584" i="55" s="1"/>
  <c r="J791" i="35" a="1"/>
  <c r="J791" i="35" s="1"/>
  <c r="D791" i="35" s="1"/>
  <c r="D11" i="50" s="1"/>
  <c r="J788" i="35" a="1"/>
  <c r="J788" i="35" s="1"/>
  <c r="D788" i="35" s="1"/>
  <c r="C793" i="55" s="1"/>
  <c r="D793" i="55" s="1"/>
  <c r="E1022" i="41"/>
  <c r="D102" i="49"/>
  <c r="J790" i="35" a="1"/>
  <c r="J790" i="35" s="1"/>
  <c r="D790" i="35" s="1"/>
  <c r="C795" i="55" s="1"/>
  <c r="D795" i="55" s="1"/>
  <c r="F1011" i="41"/>
  <c r="D40" i="2"/>
  <c r="H562" i="41"/>
  <c r="G581" i="41"/>
  <c r="F1018" i="41"/>
  <c r="E415" i="41"/>
  <c r="D91" i="49"/>
  <c r="E1032" i="41"/>
  <c r="G647" i="41"/>
  <c r="F1010" i="41"/>
  <c r="F950" i="41"/>
  <c r="F559" i="41"/>
  <c r="G569" i="41"/>
  <c r="F1038" i="41"/>
  <c r="H559" i="41"/>
  <c r="H913" i="41"/>
  <c r="E566" i="41"/>
  <c r="F1029" i="41"/>
  <c r="E562" i="41"/>
  <c r="E325" i="41"/>
  <c r="G950" i="41"/>
  <c r="E1009" i="41"/>
  <c r="E1031" i="41"/>
  <c r="E1028" i="41"/>
  <c r="H649" i="41"/>
  <c r="E579" i="41"/>
  <c r="F104" i="41"/>
  <c r="H647" i="41"/>
  <c r="G561" i="41"/>
  <c r="F1034" i="41"/>
  <c r="E569" i="41"/>
  <c r="E1007" i="41"/>
  <c r="E561" i="41"/>
  <c r="D10" i="21"/>
  <c r="F79" i="41"/>
  <c r="E1023" i="41"/>
  <c r="H581" i="41"/>
  <c r="H646" i="41"/>
  <c r="G559" i="41"/>
  <c r="E433" i="41"/>
  <c r="F561" i="41"/>
  <c r="E1024" i="41"/>
  <c r="E279" i="41"/>
  <c r="H579" i="41"/>
  <c r="G104" i="41"/>
  <c r="E104" i="41"/>
  <c r="H141" i="41"/>
  <c r="G649" i="41"/>
  <c r="H151" i="41"/>
  <c r="F778" i="41"/>
  <c r="E649" i="41"/>
  <c r="F1025" i="41"/>
  <c r="E581" i="41"/>
  <c r="F569" i="41"/>
  <c r="E1019" i="41"/>
  <c r="H728" i="41"/>
  <c r="E845" i="41"/>
  <c r="F1013" i="41"/>
  <c r="E577" i="41"/>
  <c r="F103" i="41"/>
  <c r="G560" i="41"/>
  <c r="E306" i="41"/>
  <c r="F1039" i="41"/>
  <c r="F580" i="41"/>
  <c r="G85" i="41"/>
  <c r="F1015" i="41"/>
  <c r="E646" i="41"/>
  <c r="G558" i="41"/>
  <c r="G580" i="41"/>
  <c r="F1037" i="41"/>
  <c r="H580" i="41"/>
  <c r="G913" i="41"/>
  <c r="F579" i="41"/>
  <c r="F913" i="41"/>
  <c r="E728" i="41"/>
  <c r="D111" i="49"/>
  <c r="E1016" i="41"/>
  <c r="E558" i="41"/>
  <c r="E89" i="47"/>
  <c r="E1026" i="41"/>
  <c r="F1033" i="41"/>
  <c r="F728" i="41"/>
  <c r="H560" i="41"/>
  <c r="F558" i="41"/>
  <c r="G562" i="41"/>
  <c r="X39" i="35"/>
  <c r="C144" i="55"/>
  <c r="D144" i="55" s="1"/>
  <c r="I12" i="6"/>
  <c r="C150" i="55"/>
  <c r="D150" i="55" s="1"/>
  <c r="I18" i="6"/>
  <c r="X1044" i="35"/>
  <c r="F845" i="41"/>
  <c r="G1804" i="41"/>
  <c r="E1804" i="41"/>
  <c r="H1804" i="41"/>
  <c r="F1804" i="41"/>
  <c r="C173" i="55"/>
  <c r="D173" i="55" s="1"/>
  <c r="I41" i="6"/>
  <c r="G103" i="41"/>
  <c r="J494" i="35" a="1"/>
  <c r="J494" i="35" s="1"/>
  <c r="D494" i="35" s="1"/>
  <c r="F282" i="41"/>
  <c r="F235" i="41"/>
  <c r="C166" i="55"/>
  <c r="D166" i="55" s="1"/>
  <c r="I34" i="6"/>
  <c r="X402" i="35"/>
  <c r="E648" i="41"/>
  <c r="E1682" i="41"/>
  <c r="C30" i="55"/>
  <c r="D30" i="55" s="1"/>
  <c r="D24" i="2"/>
  <c r="G156" i="41"/>
  <c r="C168" i="55"/>
  <c r="D168" i="55" s="1"/>
  <c r="I36" i="6"/>
  <c r="X497" i="35"/>
  <c r="U497" i="35"/>
  <c r="E282" i="41"/>
  <c r="E243" i="41"/>
  <c r="X801" i="35"/>
  <c r="C566" i="55"/>
  <c r="D566" i="55" s="1"/>
  <c r="E100" i="47"/>
  <c r="E156" i="41"/>
  <c r="C383" i="55"/>
  <c r="D383" i="55" s="1"/>
  <c r="D9" i="21"/>
  <c r="F1803" i="41"/>
  <c r="E1803" i="41"/>
  <c r="C379" i="55"/>
  <c r="D379" i="55" s="1"/>
  <c r="D7" i="32"/>
  <c r="L18" i="30"/>
  <c r="M18" i="30" s="1"/>
  <c r="C18" i="30" s="1" a="1"/>
  <c r="C18" i="30" s="1"/>
  <c r="C154" i="55"/>
  <c r="D154" i="55" s="1"/>
  <c r="I22" i="6"/>
  <c r="F279" i="41"/>
  <c r="C41" i="55"/>
  <c r="D41" i="55" s="1"/>
  <c r="D41" i="2"/>
  <c r="X399" i="35"/>
  <c r="C565" i="55"/>
  <c r="D565" i="55" s="1"/>
  <c r="E99" i="47"/>
  <c r="F565" i="41"/>
  <c r="E264" i="41"/>
  <c r="F264" i="41"/>
  <c r="H264" i="41"/>
  <c r="G264" i="41"/>
  <c r="G155" i="41"/>
  <c r="E19" i="41"/>
  <c r="G19" i="41"/>
  <c r="F19" i="41"/>
  <c r="H19" i="41"/>
  <c r="E288" i="41"/>
  <c r="C26" i="55"/>
  <c r="D26" i="55" s="1"/>
  <c r="D17" i="2"/>
  <c r="X49" i="35"/>
  <c r="C170" i="55"/>
  <c r="D170" i="55" s="1"/>
  <c r="I38" i="6"/>
  <c r="E103" i="41"/>
  <c r="E307" i="41"/>
  <c r="F280" i="41"/>
  <c r="C164" i="55"/>
  <c r="D164" i="55" s="1"/>
  <c r="I32" i="6"/>
  <c r="H156" i="41"/>
  <c r="C486" i="55"/>
  <c r="D486" i="55" s="1"/>
  <c r="D96" i="49"/>
  <c r="E305" i="41"/>
  <c r="E260" i="41"/>
  <c r="E280" i="41"/>
  <c r="X545" i="35"/>
  <c r="X409" i="35"/>
  <c r="X799" i="35"/>
  <c r="F1017" i="41"/>
  <c r="X401" i="35"/>
  <c r="C160" i="55"/>
  <c r="D160" i="55" s="1"/>
  <c r="I28" i="6"/>
  <c r="E564" i="41"/>
  <c r="G845" i="41"/>
  <c r="C143" i="55"/>
  <c r="D143" i="55" s="1"/>
  <c r="I11" i="6"/>
  <c r="F155" i="41"/>
  <c r="E308" i="41"/>
  <c r="J497" i="35" a="1"/>
  <c r="J497" i="35" s="1"/>
  <c r="D497" i="35" s="1"/>
  <c r="X1038" i="35"/>
  <c r="E281" i="41"/>
  <c r="C171" i="55"/>
  <c r="D171" i="55" s="1"/>
  <c r="I39" i="6"/>
  <c r="X84" i="35"/>
  <c r="E1012" i="41"/>
  <c r="C387" i="55"/>
  <c r="D387" i="55" s="1"/>
  <c r="D13" i="21"/>
  <c r="H155" i="41"/>
  <c r="F281" i="41"/>
  <c r="E267" i="41"/>
  <c r="H267" i="41"/>
  <c r="F267" i="41"/>
  <c r="G267" i="41"/>
  <c r="F577" i="41"/>
  <c r="D10" i="4"/>
  <c r="C112" i="55"/>
  <c r="D112" i="55" s="1"/>
  <c r="X1079" i="35"/>
  <c r="X927" i="35"/>
  <c r="J496" i="35" a="1"/>
  <c r="J496" i="35" s="1"/>
  <c r="D496" i="35" s="1"/>
  <c r="I9" i="6"/>
  <c r="E1663" i="41"/>
  <c r="G1663" i="41"/>
  <c r="H1663" i="41"/>
  <c r="F1663" i="41"/>
  <c r="J495" i="35" a="1"/>
  <c r="J495" i="35" s="1"/>
  <c r="D495" i="35" s="1"/>
  <c r="X395" i="35"/>
  <c r="F137" i="41"/>
  <c r="E137" i="41"/>
  <c r="G137" i="41"/>
  <c r="H137" i="41"/>
  <c r="X133" i="35"/>
  <c r="H577" i="41"/>
  <c r="X577" i="35"/>
  <c r="U577" i="35"/>
  <c r="C380" i="55"/>
  <c r="D380" i="55" s="1"/>
  <c r="D8" i="32"/>
  <c r="I10" i="6"/>
  <c r="C176" i="55"/>
  <c r="D176" i="55" s="1"/>
  <c r="I44" i="6"/>
  <c r="C483" i="55"/>
  <c r="D483" i="55" s="1"/>
  <c r="D90" i="49"/>
  <c r="X935" i="35"/>
  <c r="X2" i="35"/>
  <c r="J498" i="35" a="1"/>
  <c r="J498" i="35" s="1"/>
  <c r="D498" i="35" s="1"/>
  <c r="C755" i="55"/>
  <c r="D755" i="55" s="1"/>
  <c r="D70" i="48"/>
  <c r="X495" i="35"/>
  <c r="E778" i="41"/>
  <c r="G131" i="41"/>
  <c r="C640" i="55"/>
  <c r="D640" i="55" s="1"/>
  <c r="D92" i="51"/>
  <c r="E274" i="41"/>
  <c r="G274" i="41"/>
  <c r="F274" i="41"/>
  <c r="H274" i="41"/>
  <c r="X940" i="35"/>
  <c r="C485" i="55"/>
  <c r="D485" i="55" s="1"/>
  <c r="D92" i="49"/>
  <c r="X476" i="35"/>
  <c r="F1035" i="41"/>
  <c r="H778" i="41"/>
  <c r="E647" i="41"/>
  <c r="X1080" i="35"/>
  <c r="C382" i="55"/>
  <c r="D382" i="55" s="1"/>
  <c r="D8" i="21"/>
  <c r="F151" i="41"/>
  <c r="C167" i="55"/>
  <c r="D167" i="55" s="1"/>
  <c r="I35" i="6"/>
  <c r="G160" i="41"/>
  <c r="H160" i="41"/>
  <c r="E160" i="41"/>
  <c r="F160" i="41"/>
  <c r="C33" i="55"/>
  <c r="D33" i="55" s="1"/>
  <c r="D30" i="2"/>
  <c r="C10" i="55"/>
  <c r="D10" i="55" s="1"/>
  <c r="D17" i="31"/>
  <c r="E950" i="41"/>
  <c r="U67" i="35"/>
  <c r="X67" i="35"/>
  <c r="J489" i="35" a="1"/>
  <c r="J489" i="35" s="1"/>
  <c r="D489" i="35" s="1"/>
  <c r="G151" i="41"/>
  <c r="E1820" i="41"/>
  <c r="G1820" i="41"/>
  <c r="F1820" i="41"/>
  <c r="H1820" i="41"/>
  <c r="C145" i="55"/>
  <c r="D145" i="55" s="1"/>
  <c r="I13" i="6"/>
  <c r="C148" i="55"/>
  <c r="D148" i="55" s="1"/>
  <c r="I16" i="6"/>
  <c r="D101" i="49"/>
  <c r="C488" i="55"/>
  <c r="D488" i="55" s="1"/>
  <c r="C139" i="55"/>
  <c r="D139" i="55" s="1"/>
  <c r="I7" i="6"/>
  <c r="H648" i="41"/>
  <c r="C140" i="55"/>
  <c r="D140" i="55" s="1"/>
  <c r="I8" i="6"/>
  <c r="E361" i="41"/>
  <c r="H131" i="41"/>
  <c r="C174" i="55"/>
  <c r="D174" i="55" s="1"/>
  <c r="C156" i="55"/>
  <c r="D156" i="55" s="1"/>
  <c r="I24" i="6"/>
  <c r="F648" i="41"/>
  <c r="J493" i="35" a="1"/>
  <c r="J493" i="35" s="1"/>
  <c r="D493" i="35" s="1"/>
  <c r="C172" i="55"/>
  <c r="D172" i="55" s="1"/>
  <c r="I40" i="6"/>
  <c r="C562" i="55"/>
  <c r="D562" i="55" s="1"/>
  <c r="E93" i="47"/>
  <c r="C385" i="55"/>
  <c r="D385" i="55" s="1"/>
  <c r="D11" i="21"/>
  <c r="C153" i="55"/>
  <c r="D153" i="55" s="1"/>
  <c r="I21" i="6"/>
  <c r="C155" i="55"/>
  <c r="D155" i="55" s="1"/>
  <c r="I23" i="6"/>
  <c r="X1065" i="35"/>
  <c r="X393" i="35"/>
  <c r="F1020" i="41"/>
  <c r="C564" i="55"/>
  <c r="D564" i="55" s="1"/>
  <c r="E98" i="47"/>
  <c r="E568" i="41"/>
  <c r="X115" i="35"/>
  <c r="I26" i="6"/>
  <c r="E141" i="41"/>
  <c r="C558" i="55"/>
  <c r="D558" i="55" s="1"/>
  <c r="F85" i="47"/>
  <c r="C146" i="55"/>
  <c r="D146" i="55" s="1"/>
  <c r="I14" i="6"/>
  <c r="D25" i="2"/>
  <c r="C31" i="55"/>
  <c r="D31" i="55" s="1"/>
  <c r="C175" i="55"/>
  <c r="D175" i="55" s="1"/>
  <c r="I43" i="6"/>
  <c r="C163" i="55"/>
  <c r="D163" i="55" s="1"/>
  <c r="I31" i="6"/>
  <c r="C178" i="55"/>
  <c r="D178" i="55" s="1"/>
  <c r="I46" i="6"/>
  <c r="U90" i="35"/>
  <c r="X90" i="35"/>
  <c r="E331" i="41"/>
  <c r="I33" i="6"/>
  <c r="G141" i="41"/>
  <c r="C487" i="55"/>
  <c r="D487" i="55" s="1"/>
  <c r="D97" i="49"/>
  <c r="C877" i="55"/>
  <c r="D877" i="55" s="1"/>
  <c r="D7" i="52"/>
  <c r="U583" i="35"/>
  <c r="X583" i="35"/>
  <c r="C157" i="55"/>
  <c r="D157" i="55" s="1"/>
  <c r="I25" i="6"/>
  <c r="C474" i="55"/>
  <c r="D474" i="55" s="1"/>
  <c r="D75" i="49"/>
  <c r="X1070" i="35"/>
  <c r="C386" i="55"/>
  <c r="D386" i="55" s="1"/>
  <c r="D12" i="21"/>
  <c r="C159" i="55"/>
  <c r="D159" i="55" s="1"/>
  <c r="I27" i="6"/>
  <c r="X944" i="35"/>
  <c r="F1014" i="41"/>
  <c r="C169" i="55"/>
  <c r="D169" i="55" s="1"/>
  <c r="I37" i="6"/>
  <c r="C162" i="55"/>
  <c r="D162" i="55" s="1"/>
  <c r="C161" i="55"/>
  <c r="D161" i="55" s="1"/>
  <c r="I29" i="6"/>
  <c r="G646" i="41"/>
  <c r="D105" i="41"/>
  <c r="E105" i="41" s="1"/>
  <c r="C878" i="55"/>
  <c r="D878" i="55" s="1"/>
  <c r="D8" i="52"/>
  <c r="F446" i="41"/>
  <c r="E446" i="41"/>
  <c r="F131" i="41"/>
  <c r="E241" i="41"/>
  <c r="X587" i="35"/>
  <c r="C149" i="55"/>
  <c r="D149" i="55" s="1"/>
  <c r="C381" i="55"/>
  <c r="D381" i="55" s="1"/>
  <c r="D7" i="21"/>
  <c r="E567" i="41"/>
  <c r="J492" i="35" a="1"/>
  <c r="J492" i="35" s="1"/>
  <c r="D492" i="35" s="1"/>
  <c r="G1807" i="41"/>
  <c r="F1807" i="41"/>
  <c r="H1807" i="41"/>
  <c r="E1807" i="41"/>
  <c r="C151" i="55"/>
  <c r="D151" i="55" s="1"/>
  <c r="I19" i="6"/>
  <c r="J491" i="35" a="1"/>
  <c r="J491" i="35" s="1"/>
  <c r="D491" i="35" s="1"/>
  <c r="F286" i="41"/>
  <c r="F242" i="41"/>
  <c r="U121" i="35" l="1"/>
  <c r="U420" i="35"/>
  <c r="U48" i="35"/>
  <c r="E22" i="41"/>
  <c r="H1671" i="41"/>
  <c r="J6" i="35" a="1"/>
  <c r="J6" i="35" s="1"/>
  <c r="D6" i="35" s="1"/>
  <c r="C19" i="55"/>
  <c r="D19" i="55" s="1"/>
  <c r="U75" i="35"/>
  <c r="G1814" i="41"/>
  <c r="H1814" i="41"/>
  <c r="U7" i="35"/>
  <c r="U99" i="35"/>
  <c r="U880" i="35"/>
  <c r="X95" i="35"/>
  <c r="U123" i="35"/>
  <c r="U387" i="35"/>
  <c r="H23" i="41"/>
  <c r="H653" i="41"/>
  <c r="F85" i="41"/>
  <c r="F1814" i="41"/>
  <c r="U29" i="35"/>
  <c r="X7" i="35"/>
  <c r="E1679" i="41"/>
  <c r="H79" i="41"/>
  <c r="G1823" i="41"/>
  <c r="E273" i="41"/>
  <c r="E1823" i="41"/>
  <c r="H273" i="41"/>
  <c r="H1823" i="41"/>
  <c r="F273" i="41"/>
  <c r="E79" i="41"/>
  <c r="U795" i="35"/>
  <c r="U405" i="35"/>
  <c r="E349" i="41"/>
  <c r="X795" i="35"/>
  <c r="U1054" i="35"/>
  <c r="X405" i="35"/>
  <c r="D34" i="2"/>
  <c r="U103" i="35"/>
  <c r="U547" i="35"/>
  <c r="U385" i="35"/>
  <c r="G349" i="41"/>
  <c r="E80" i="41"/>
  <c r="G17" i="41"/>
  <c r="H17" i="41"/>
  <c r="E17" i="41"/>
  <c r="J40" i="35" a="1"/>
  <c r="J40" i="35" s="1"/>
  <c r="D40" i="35" s="1"/>
  <c r="U578" i="35"/>
  <c r="C1058" i="55"/>
  <c r="D1058" i="55" s="1"/>
  <c r="H1808" i="41"/>
  <c r="J387" i="35" a="1"/>
  <c r="J387" i="35" s="1"/>
  <c r="D387" i="35" s="1"/>
  <c r="U579" i="35"/>
  <c r="H82" i="41"/>
  <c r="J85" i="35" a="1"/>
  <c r="J85" i="35" s="1"/>
  <c r="D85" i="35" s="1"/>
  <c r="D9" i="44" s="1"/>
  <c r="J405" i="35" a="1"/>
  <c r="J405" i="35" s="1"/>
  <c r="D405" i="35" s="1"/>
  <c r="D36" i="21" s="1"/>
  <c r="G82" i="41"/>
  <c r="U586" i="35"/>
  <c r="E82" i="41"/>
  <c r="U1045" i="35"/>
  <c r="U70" i="35"/>
  <c r="H159" i="41"/>
  <c r="D55" i="48"/>
  <c r="U881" i="35"/>
  <c r="U85" i="35"/>
  <c r="J48" i="35" a="1"/>
  <c r="J48" i="35" s="1"/>
  <c r="D48" i="35" s="1"/>
  <c r="C53" i="55" s="1"/>
  <c r="D53" i="55" s="1"/>
  <c r="J128" i="35" a="1"/>
  <c r="J128" i="35" s="1"/>
  <c r="D128" i="35" s="1"/>
  <c r="C133" i="55" s="1"/>
  <c r="D133" i="55" s="1"/>
  <c r="J130" i="35" a="1"/>
  <c r="J130" i="35" s="1"/>
  <c r="D130" i="35" s="1"/>
  <c r="C135" i="55" s="1"/>
  <c r="D135" i="55" s="1"/>
  <c r="J932" i="35" a="1"/>
  <c r="J932" i="35" s="1"/>
  <c r="D932" i="35" s="1"/>
  <c r="J67" i="35" a="1"/>
  <c r="J67" i="35" s="1"/>
  <c r="D67" i="35" s="1"/>
  <c r="F1671" i="41"/>
  <c r="H291" i="41"/>
  <c r="E1671" i="41"/>
  <c r="E154" i="41"/>
  <c r="F291" i="41"/>
  <c r="H154" i="41"/>
  <c r="G291" i="41"/>
  <c r="F154" i="41"/>
  <c r="U1077" i="35"/>
  <c r="U9" i="35"/>
  <c r="G84" i="41"/>
  <c r="U875" i="35"/>
  <c r="U1040" i="35"/>
  <c r="C649" i="55"/>
  <c r="D649" i="55" s="1"/>
  <c r="U13" i="35"/>
  <c r="H85" i="41"/>
  <c r="F1680" i="41"/>
  <c r="J103" i="35" a="1"/>
  <c r="J103" i="35" s="1"/>
  <c r="D103" i="35" s="1"/>
  <c r="C108" i="55" s="1"/>
  <c r="D108" i="55" s="1"/>
  <c r="F159" i="41"/>
  <c r="E159" i="41"/>
  <c r="J411" i="35" a="1"/>
  <c r="J411" i="35" s="1"/>
  <c r="D411" i="35" s="1"/>
  <c r="C416" i="55" s="1"/>
  <c r="D416" i="55" s="1"/>
  <c r="U581" i="35"/>
  <c r="F1808" i="41"/>
  <c r="E147" i="41"/>
  <c r="X13" i="35"/>
  <c r="G147" i="41"/>
  <c r="U416" i="35"/>
  <c r="H147" i="41"/>
  <c r="U14" i="35"/>
  <c r="G1808" i="41"/>
  <c r="U106" i="35"/>
  <c r="U411" i="35"/>
  <c r="U933" i="35"/>
  <c r="H1664" i="41"/>
  <c r="U76" i="35"/>
  <c r="H1822" i="41"/>
  <c r="G1822" i="41"/>
  <c r="X547" i="35"/>
  <c r="F1822" i="41"/>
  <c r="F81" i="41"/>
  <c r="G81" i="41"/>
  <c r="E652" i="41"/>
  <c r="G652" i="41"/>
  <c r="E81" i="41"/>
  <c r="U415" i="35"/>
  <c r="J99" i="35" a="1"/>
  <c r="J99" i="35" s="1"/>
  <c r="D99" i="35" s="1"/>
  <c r="U6" i="35"/>
  <c r="D37" i="17"/>
  <c r="U1082" i="35"/>
  <c r="U130" i="35"/>
  <c r="J933" i="35" a="1"/>
  <c r="J933" i="35" s="1"/>
  <c r="D933" i="35" s="1"/>
  <c r="H17" i="54" s="1"/>
  <c r="F80" i="41"/>
  <c r="U928" i="35"/>
  <c r="U71" i="35"/>
  <c r="D62" i="48"/>
  <c r="G80" i="41"/>
  <c r="E275" i="41"/>
  <c r="H275" i="41"/>
  <c r="F275" i="41"/>
  <c r="U1069" i="35"/>
  <c r="J552" i="35" a="1"/>
  <c r="J552" i="35" s="1"/>
  <c r="D552" i="35" s="1"/>
  <c r="C557" i="55" s="1"/>
  <c r="D557" i="55" s="1"/>
  <c r="U924" i="35"/>
  <c r="D56" i="8"/>
  <c r="E1811" i="41"/>
  <c r="G1811" i="41"/>
  <c r="F1811" i="41"/>
  <c r="X76" i="35"/>
  <c r="X924" i="35"/>
  <c r="D112" i="48"/>
  <c r="U407" i="35"/>
  <c r="J924" i="35" a="1"/>
  <c r="J924" i="35" s="1"/>
  <c r="D924" i="35" s="1"/>
  <c r="J395" i="35" a="1"/>
  <c r="J395" i="35" s="1"/>
  <c r="D395" i="35" s="1"/>
  <c r="D26" i="21" s="1"/>
  <c r="J883" i="35" a="1"/>
  <c r="J883" i="35" s="1"/>
  <c r="D883" i="35" s="1"/>
  <c r="C888" i="55" s="1"/>
  <c r="D888" i="55" s="1"/>
  <c r="J1037" i="35" a="1"/>
  <c r="J1037" i="35" s="1"/>
  <c r="D1037" i="35" s="1"/>
  <c r="C1042" i="55" s="1"/>
  <c r="D1042" i="55" s="1"/>
  <c r="U1066" i="35"/>
  <c r="J420" i="35" a="1"/>
  <c r="J420" i="35" s="1"/>
  <c r="D420" i="35" s="1"/>
  <c r="C425" i="55" s="1"/>
  <c r="D425" i="55" s="1"/>
  <c r="J9" i="35" a="1"/>
  <c r="J9" i="35" s="1"/>
  <c r="D9" i="35" s="1"/>
  <c r="C14" i="55" s="1"/>
  <c r="D14" i="55" s="1"/>
  <c r="U52" i="35"/>
  <c r="J63" i="35" a="1"/>
  <c r="J63" i="35" s="1"/>
  <c r="D63" i="35" s="1"/>
  <c r="D45" i="8" s="1"/>
  <c r="U932" i="35"/>
  <c r="J881" i="35" a="1"/>
  <c r="J881" i="35" s="1"/>
  <c r="D881" i="35" s="1"/>
  <c r="J76" i="35" a="1"/>
  <c r="J76" i="35" s="1"/>
  <c r="D76" i="35" s="1"/>
  <c r="C81" i="55" s="1"/>
  <c r="D81" i="55" s="1"/>
  <c r="J118" i="35" a="1"/>
  <c r="J118" i="35" s="1"/>
  <c r="D118" i="35" s="1"/>
  <c r="C123" i="55" s="1"/>
  <c r="D123" i="55" s="1"/>
  <c r="G1803" i="41"/>
  <c r="F652" i="41"/>
  <c r="U40" i="35"/>
  <c r="H349" i="41"/>
  <c r="U45" i="35"/>
  <c r="F1812" i="41"/>
  <c r="F653" i="41"/>
  <c r="U408" i="35"/>
  <c r="J1077" i="35" a="1"/>
  <c r="J1077" i="35" s="1"/>
  <c r="D1077" i="35" s="1"/>
  <c r="C1082" i="55" s="1"/>
  <c r="D1082" i="55" s="1"/>
  <c r="J7" i="35" a="1"/>
  <c r="J7" i="35" s="1"/>
  <c r="D7" i="35" s="1"/>
  <c r="C12" i="55" s="1"/>
  <c r="D12" i="55" s="1"/>
  <c r="U876" i="35"/>
  <c r="H1812" i="41"/>
  <c r="E126" i="41"/>
  <c r="E1812" i="41"/>
  <c r="E653" i="41"/>
  <c r="U128" i="35"/>
  <c r="G126" i="41"/>
  <c r="F1681" i="41"/>
  <c r="X64" i="35"/>
  <c r="C576" i="55"/>
  <c r="D576" i="55" s="1"/>
  <c r="U794" i="35"/>
  <c r="H126" i="41"/>
  <c r="H545" i="41"/>
  <c r="H1819" i="41"/>
  <c r="H158" i="41"/>
  <c r="E1665" i="41"/>
  <c r="U588" i="35"/>
  <c r="E158" i="41"/>
  <c r="G1665" i="41"/>
  <c r="C665" i="55"/>
  <c r="D665" i="55" s="1"/>
  <c r="U264" i="35"/>
  <c r="U544" i="35"/>
  <c r="U1059" i="35"/>
  <c r="J106" i="35" a="1"/>
  <c r="J106" i="35" s="1"/>
  <c r="D106" i="35" s="1"/>
  <c r="C111" i="55" s="1"/>
  <c r="D111" i="55" s="1"/>
  <c r="J121" i="35" a="1"/>
  <c r="J121" i="35" s="1"/>
  <c r="D121" i="35" s="1"/>
  <c r="C126" i="55" s="1"/>
  <c r="D126" i="55" s="1"/>
  <c r="U943" i="35"/>
  <c r="U63" i="35"/>
  <c r="J33" i="35" a="1"/>
  <c r="J33" i="35" s="1"/>
  <c r="D33" i="35" s="1"/>
  <c r="C38" i="55" s="1"/>
  <c r="D38" i="55" s="1"/>
  <c r="G1805" i="41"/>
  <c r="J83" i="35" a="1"/>
  <c r="J83" i="35" s="1"/>
  <c r="D83" i="35" s="1"/>
  <c r="D7" i="44" s="1"/>
  <c r="U56" i="35"/>
  <c r="J408" i="35" a="1"/>
  <c r="J408" i="35" s="1"/>
  <c r="D408" i="35" s="1"/>
  <c r="D39" i="21" s="1"/>
  <c r="X1066" i="35"/>
  <c r="U127" i="35"/>
  <c r="G158" i="41"/>
  <c r="J112" i="35" a="1"/>
  <c r="J112" i="35" s="1"/>
  <c r="D112" i="35" s="1"/>
  <c r="C117" i="55" s="1"/>
  <c r="D117" i="55" s="1"/>
  <c r="D172" i="51"/>
  <c r="F128" i="41"/>
  <c r="E128" i="41"/>
  <c r="J547" i="35" a="1"/>
  <c r="J547" i="35" s="1"/>
  <c r="D547" i="35" s="1"/>
  <c r="G128" i="41"/>
  <c r="J64" i="35" a="1"/>
  <c r="J64" i="35" s="1"/>
  <c r="D64" i="35" s="1"/>
  <c r="C69" i="55" s="1"/>
  <c r="D69" i="55" s="1"/>
  <c r="U83" i="35"/>
  <c r="U1037" i="35"/>
  <c r="J1063" i="35" a="1"/>
  <c r="J1063" i="35" s="1"/>
  <c r="D1063" i="35" s="1"/>
  <c r="C1068" i="55" s="1"/>
  <c r="D1068" i="55" s="1"/>
  <c r="U883" i="35"/>
  <c r="J13" i="35" a="1"/>
  <c r="J13" i="35" s="1"/>
  <c r="D13" i="35" s="1"/>
  <c r="D28" i="31" s="1"/>
  <c r="J70" i="35" a="1"/>
  <c r="J70" i="35" s="1"/>
  <c r="D70" i="35" s="1"/>
  <c r="C75" i="55" s="1"/>
  <c r="D75" i="55" s="1"/>
  <c r="J81" i="35" a="1"/>
  <c r="J81" i="35" s="1"/>
  <c r="D81" i="35" s="1"/>
  <c r="D12" i="43" s="1"/>
  <c r="C1060" i="55"/>
  <c r="D1060" i="55" s="1"/>
  <c r="U877" i="35"/>
  <c r="E1676" i="41"/>
  <c r="U1039" i="35"/>
  <c r="X45" i="35"/>
  <c r="U102" i="35"/>
  <c r="J929" i="35" a="1"/>
  <c r="J929" i="35" s="1"/>
  <c r="D929" i="35" s="1"/>
  <c r="C934" i="55" s="1"/>
  <c r="D934" i="55" s="1"/>
  <c r="C815" i="55"/>
  <c r="D815" i="55" s="1"/>
  <c r="G1676" i="41"/>
  <c r="X83" i="35"/>
  <c r="F544" i="41"/>
  <c r="I336" i="41"/>
  <c r="I1046" i="41"/>
  <c r="E1664" i="41"/>
  <c r="E544" i="41"/>
  <c r="J1041" i="35" a="1"/>
  <c r="J1041" i="35" s="1"/>
  <c r="D1041" i="35" s="1"/>
  <c r="C1046" i="55" s="1"/>
  <c r="D1046" i="55" s="1"/>
  <c r="U1041" i="35"/>
  <c r="J941" i="35" a="1"/>
  <c r="J941" i="35" s="1"/>
  <c r="D941" i="35" s="1"/>
  <c r="H25" i="54" s="1"/>
  <c r="J1066" i="35" a="1"/>
  <c r="J1066" i="35" s="1"/>
  <c r="D1066" i="35" s="1"/>
  <c r="D7" i="46" s="1"/>
  <c r="J415" i="35" a="1"/>
  <c r="J415" i="35" s="1"/>
  <c r="D415" i="35" s="1"/>
  <c r="D46" i="21" s="1"/>
  <c r="J123" i="35" a="1"/>
  <c r="J123" i="35" s="1"/>
  <c r="D123" i="35" s="1"/>
  <c r="D11" i="5" s="1"/>
  <c r="G1819" i="41"/>
  <c r="C1053" i="55"/>
  <c r="D1053" i="55" s="1"/>
  <c r="I833" i="41"/>
  <c r="G1664" i="41"/>
  <c r="D34" i="17"/>
  <c r="E86" i="41"/>
  <c r="I1126" i="41"/>
  <c r="O699" i="57" s="1"/>
  <c r="N699" i="57" s="1"/>
  <c r="G544" i="41"/>
  <c r="I1244" i="41"/>
  <c r="O779" i="57" s="1"/>
  <c r="N779" i="57" s="1"/>
  <c r="U112" i="35"/>
  <c r="I413" i="41"/>
  <c r="E1819" i="41"/>
  <c r="U800" i="35"/>
  <c r="J407" i="35" a="1"/>
  <c r="J407" i="35" s="1"/>
  <c r="D407" i="35" s="1"/>
  <c r="J264" i="35" a="1"/>
  <c r="J264" i="35" s="1"/>
  <c r="D264" i="35" s="1"/>
  <c r="C269" i="55" s="1"/>
  <c r="D269" i="55" s="1"/>
  <c r="J72" i="35" a="1"/>
  <c r="J72" i="35" s="1"/>
  <c r="D72" i="35" s="1"/>
  <c r="D60" i="8" s="1"/>
  <c r="U1063" i="35"/>
  <c r="X883" i="35"/>
  <c r="H1676" i="41"/>
  <c r="F86" i="41"/>
  <c r="U475" i="35"/>
  <c r="E148" i="41"/>
  <c r="G148" i="41"/>
  <c r="U17" i="35"/>
  <c r="H148" i="41"/>
  <c r="E152" i="41"/>
  <c r="U929" i="35"/>
  <c r="F152" i="41"/>
  <c r="G86" i="41"/>
  <c r="G152" i="41"/>
  <c r="H161" i="41"/>
  <c r="X1063" i="35"/>
  <c r="G161" i="41"/>
  <c r="F161" i="41"/>
  <c r="H1665" i="41"/>
  <c r="J1039" i="35" a="1"/>
  <c r="J1039" i="35" s="1"/>
  <c r="D1039" i="35" s="1"/>
  <c r="U42" i="35"/>
  <c r="D39" i="17"/>
  <c r="U548" i="35"/>
  <c r="U118" i="35"/>
  <c r="J52" i="35" a="1"/>
  <c r="J52" i="35" s="1"/>
  <c r="D52" i="35" s="1"/>
  <c r="D32" i="8" s="1"/>
  <c r="J74" i="35" a="1"/>
  <c r="J74" i="35" s="1"/>
  <c r="D74" i="35" s="1"/>
  <c r="C79" i="55" s="1"/>
  <c r="D79" i="55" s="1"/>
  <c r="U18" i="35"/>
  <c r="I1085" i="41"/>
  <c r="O670" i="57" s="1"/>
  <c r="N670" i="57" s="1"/>
  <c r="H263" i="41"/>
  <c r="I324" i="41"/>
  <c r="I939" i="41"/>
  <c r="D157" i="51"/>
  <c r="I386" i="41"/>
  <c r="I891" i="41"/>
  <c r="G545" i="41"/>
  <c r="J1043" i="35" a="1"/>
  <c r="J1043" i="35" s="1"/>
  <c r="D1043" i="35" s="1"/>
  <c r="C1048" i="55" s="1"/>
  <c r="D1048" i="55" s="1"/>
  <c r="E545" i="41"/>
  <c r="U573" i="35"/>
  <c r="J197" i="35" a="1"/>
  <c r="J197" i="35" s="1"/>
  <c r="D197" i="35" s="1"/>
  <c r="C202" i="55" s="1"/>
  <c r="D202" i="55" s="1"/>
  <c r="U222" i="35"/>
  <c r="F162" i="41"/>
  <c r="U81" i="35"/>
  <c r="G162" i="41"/>
  <c r="H162" i="41"/>
  <c r="U197" i="35"/>
  <c r="U580" i="35"/>
  <c r="F87" i="41"/>
  <c r="G87" i="41"/>
  <c r="J1069" i="35" a="1"/>
  <c r="J1069" i="35" s="1"/>
  <c r="D1069" i="35" s="1"/>
  <c r="D13" i="46" s="1"/>
  <c r="U421" i="35"/>
  <c r="F547" i="41"/>
  <c r="J3" i="35" a="1"/>
  <c r="J3" i="35" s="1"/>
  <c r="D3" i="35" s="1"/>
  <c r="C8" i="55" s="1"/>
  <c r="D8" i="55" s="1"/>
  <c r="U1057" i="35"/>
  <c r="U12" i="35"/>
  <c r="J1057" i="35" a="1"/>
  <c r="J1057" i="35" s="1"/>
  <c r="D1057" i="35" s="1"/>
  <c r="C1062" i="55" s="1"/>
  <c r="D1062" i="55" s="1"/>
  <c r="J32" i="35" a="1"/>
  <c r="J32" i="35" s="1"/>
  <c r="D32" i="35" s="1"/>
  <c r="C37" i="55" s="1"/>
  <c r="D37" i="55" s="1"/>
  <c r="J92" i="35" a="1"/>
  <c r="J92" i="35" s="1"/>
  <c r="D92" i="35" s="1"/>
  <c r="C97" i="55" s="1"/>
  <c r="D97" i="55" s="1"/>
  <c r="I1842" i="41"/>
  <c r="E1216" i="57" s="1"/>
  <c r="I185" i="41"/>
  <c r="B246" i="57" s="1"/>
  <c r="U120" i="35"/>
  <c r="I1005" i="41"/>
  <c r="D600" i="57" s="1"/>
  <c r="U798" i="35"/>
  <c r="I1333" i="41"/>
  <c r="I865" i="41"/>
  <c r="U16" i="35"/>
  <c r="I1554" i="41"/>
  <c r="O1013" i="57" s="1"/>
  <c r="N1013" i="57" s="1"/>
  <c r="E440" i="41"/>
  <c r="X12" i="35"/>
  <c r="U10" i="35"/>
  <c r="I1298" i="41"/>
  <c r="O821" i="57" s="1"/>
  <c r="C574" i="55"/>
  <c r="D574" i="55" s="1"/>
  <c r="U1032" i="35"/>
  <c r="H1813" i="41"/>
  <c r="I1843" i="41"/>
  <c r="E1217" i="57" s="1"/>
  <c r="N444" i="35"/>
  <c r="J444" i="35" s="1" a="1"/>
  <c r="J444" i="35" s="1"/>
  <c r="D444" i="35" s="1"/>
  <c r="C449" i="55" s="1"/>
  <c r="D449" i="55" s="1"/>
  <c r="U1067" i="35"/>
  <c r="E84" i="41"/>
  <c r="I1464" i="41"/>
  <c r="D45" i="49"/>
  <c r="C354" i="41"/>
  <c r="E354" i="41" s="1"/>
  <c r="I354" i="41" s="1"/>
  <c r="F84" i="41"/>
  <c r="I110" i="41"/>
  <c r="I453" i="41"/>
  <c r="I951" i="41"/>
  <c r="I1870" i="41"/>
  <c r="I1202" i="57" s="1"/>
  <c r="I260" i="41"/>
  <c r="I1223" i="41"/>
  <c r="A768" i="57" s="1"/>
  <c r="N768" i="57" s="1"/>
  <c r="X800" i="35"/>
  <c r="I108" i="41"/>
  <c r="A200" i="57" s="1"/>
  <c r="I1902" i="41"/>
  <c r="K1213" i="57" s="1"/>
  <c r="U797" i="35"/>
  <c r="J385" i="35" a="1"/>
  <c r="J385" i="35" s="1"/>
  <c r="D385" i="35" s="1"/>
  <c r="D16" i="21" s="1"/>
  <c r="U65" i="35"/>
  <c r="E73" i="41"/>
  <c r="F74" i="41"/>
  <c r="P31" i="30"/>
  <c r="I31" i="30" s="1"/>
  <c r="K31" i="30" s="1"/>
  <c r="J17" i="35" a="1"/>
  <c r="J17" i="35" s="1"/>
  <c r="D17" i="35" s="1"/>
  <c r="C22" i="55" s="1"/>
  <c r="D22" i="55" s="1"/>
  <c r="J926" i="35" a="1"/>
  <c r="J926" i="35" s="1"/>
  <c r="D926" i="35" s="1"/>
  <c r="C931" i="55" s="1"/>
  <c r="D931" i="55" s="1"/>
  <c r="G1662" i="41"/>
  <c r="F1817" i="41"/>
  <c r="D56" i="48"/>
  <c r="C875" i="55"/>
  <c r="D875" i="55" s="1"/>
  <c r="H1662" i="41"/>
  <c r="U491" i="35"/>
  <c r="U104" i="35"/>
  <c r="H125" i="41"/>
  <c r="D33" i="50"/>
  <c r="U388" i="35"/>
  <c r="J940" i="35" a="1"/>
  <c r="J940" i="35" s="1"/>
  <c r="D940" i="35" s="1"/>
  <c r="C945" i="55" s="1"/>
  <c r="D945" i="55" s="1"/>
  <c r="U788" i="35"/>
  <c r="J120" i="35" a="1"/>
  <c r="J120" i="35" s="1"/>
  <c r="D120" i="35" s="1"/>
  <c r="D8" i="5" s="1"/>
  <c r="F125" i="41"/>
  <c r="J393" i="35" a="1"/>
  <c r="J393" i="35" s="1"/>
  <c r="D393" i="35" s="1"/>
  <c r="C398" i="55" s="1"/>
  <c r="D398" i="55" s="1"/>
  <c r="C1051" i="55"/>
  <c r="D1051" i="55" s="1"/>
  <c r="E1817" i="41"/>
  <c r="H20" i="41"/>
  <c r="C457" i="55"/>
  <c r="D457" i="55" s="1"/>
  <c r="U941" i="35"/>
  <c r="G20" i="41"/>
  <c r="E20" i="41"/>
  <c r="J45" i="35" a="1"/>
  <c r="J45" i="35" s="1"/>
  <c r="D45" i="35" s="1"/>
  <c r="D18" i="8" s="1"/>
  <c r="X388" i="35"/>
  <c r="J12" i="35" a="1"/>
  <c r="J12" i="35" s="1"/>
  <c r="D12" i="35" s="1"/>
  <c r="D27" i="31" s="1"/>
  <c r="J422" i="35" a="1"/>
  <c r="J422" i="35" s="1"/>
  <c r="D422" i="35" s="1"/>
  <c r="D13" i="49" s="1"/>
  <c r="U574" i="35"/>
  <c r="D60" i="49"/>
  <c r="G270" i="41"/>
  <c r="J51" i="35" a="1"/>
  <c r="J51" i="35" s="1"/>
  <c r="D51" i="35" s="1"/>
  <c r="C56" i="55" s="1"/>
  <c r="D56" i="55" s="1"/>
  <c r="J421" i="35" a="1"/>
  <c r="J421" i="35" s="1"/>
  <c r="D421" i="35" s="1"/>
  <c r="C426" i="55" s="1"/>
  <c r="D426" i="55" s="1"/>
  <c r="U934" i="35"/>
  <c r="J928" i="35" a="1"/>
  <c r="J928" i="35" s="1"/>
  <c r="D928" i="35" s="1"/>
  <c r="C933" i="55" s="1"/>
  <c r="D933" i="55" s="1"/>
  <c r="E225" i="41"/>
  <c r="D94" i="51"/>
  <c r="X65" i="35"/>
  <c r="U32" i="35"/>
  <c r="F444" i="41"/>
  <c r="G1817" i="41"/>
  <c r="D61" i="50"/>
  <c r="J943" i="35" a="1"/>
  <c r="J943" i="35" s="1"/>
  <c r="D943" i="35" s="1"/>
  <c r="C948" i="55" s="1"/>
  <c r="D948" i="55" s="1"/>
  <c r="J1067" i="35" a="1"/>
  <c r="J1067" i="35" s="1"/>
  <c r="D1067" i="35" s="1"/>
  <c r="D8" i="46" s="1"/>
  <c r="J875" i="35" a="1"/>
  <c r="J875" i="35" s="1"/>
  <c r="D875" i="35" s="1"/>
  <c r="C880" i="55" s="1"/>
  <c r="D880" i="55" s="1"/>
  <c r="U33" i="35"/>
  <c r="J545" i="35" a="1"/>
  <c r="J545" i="35" s="1"/>
  <c r="D545" i="35" s="1"/>
  <c r="C550" i="55" s="1"/>
  <c r="D550" i="55" s="1"/>
  <c r="U551" i="35"/>
  <c r="G149" i="41"/>
  <c r="E1813" i="41"/>
  <c r="H149" i="41"/>
  <c r="F550" i="41"/>
  <c r="E550" i="41"/>
  <c r="G1813" i="41"/>
  <c r="E149" i="41"/>
  <c r="C455" i="55"/>
  <c r="D455" i="55" s="1"/>
  <c r="D36" i="17"/>
  <c r="H550" i="41"/>
  <c r="U413" i="35"/>
  <c r="E270" i="41"/>
  <c r="D23" i="49"/>
  <c r="J20" i="35" a="1"/>
  <c r="J20" i="35" s="1"/>
  <c r="D20" i="35" s="1"/>
  <c r="C25" i="55" s="1"/>
  <c r="D25" i="55" s="1"/>
  <c r="E1662" i="41"/>
  <c r="U926" i="35"/>
  <c r="J78" i="35" a="1"/>
  <c r="J78" i="35" s="1"/>
  <c r="D78" i="35" s="1"/>
  <c r="D9" i="43" s="1"/>
  <c r="J65" i="35" a="1"/>
  <c r="J65" i="35" s="1"/>
  <c r="D65" i="35" s="1"/>
  <c r="C70" i="55" s="1"/>
  <c r="D70" i="55" s="1"/>
  <c r="J101" i="35" a="1"/>
  <c r="J101" i="35" s="1"/>
  <c r="D101" i="35" s="1"/>
  <c r="D25" i="44" s="1"/>
  <c r="D64" i="49"/>
  <c r="J49" i="35" a="1"/>
  <c r="J49" i="35" s="1"/>
  <c r="D49" i="35" s="1"/>
  <c r="D26" i="8" s="1"/>
  <c r="J389" i="35" a="1"/>
  <c r="J389" i="35" s="1"/>
  <c r="D389" i="35" s="1"/>
  <c r="D20" i="21" s="1"/>
  <c r="X877" i="35"/>
  <c r="G142" i="41"/>
  <c r="U793" i="35"/>
  <c r="J1082" i="35" a="1"/>
  <c r="J1082" i="35" s="1"/>
  <c r="D1082" i="35" s="1"/>
  <c r="C1087" i="55" s="1"/>
  <c r="D1087" i="55" s="1"/>
  <c r="J944" i="35" a="1"/>
  <c r="J944" i="35" s="1"/>
  <c r="D944" i="35" s="1"/>
  <c r="C949" i="55" s="1"/>
  <c r="D949" i="55" s="1"/>
  <c r="J42" i="35" a="1"/>
  <c r="J42" i="35" s="1"/>
  <c r="D42" i="35" s="1"/>
  <c r="C47" i="55" s="1"/>
  <c r="D47" i="55" s="1"/>
  <c r="D19" i="49"/>
  <c r="E72" i="41"/>
  <c r="E106" i="41"/>
  <c r="J56" i="35" a="1"/>
  <c r="J56" i="35" s="1"/>
  <c r="D56" i="35" s="1"/>
  <c r="C61" i="55" s="1"/>
  <c r="D61" i="55" s="1"/>
  <c r="U575" i="35"/>
  <c r="U422" i="35"/>
  <c r="D54" i="50"/>
  <c r="J1038" i="35" a="1"/>
  <c r="J1038" i="35" s="1"/>
  <c r="D1038" i="35" s="1"/>
  <c r="C1043" i="55" s="1"/>
  <c r="D1043" i="55" s="1"/>
  <c r="J94" i="35" a="1"/>
  <c r="J94" i="35" s="1"/>
  <c r="D94" i="35" s="1"/>
  <c r="C99" i="55" s="1"/>
  <c r="D99" i="55" s="1"/>
  <c r="J391" i="35" a="1"/>
  <c r="J391" i="35" s="1"/>
  <c r="D391" i="35" s="1"/>
  <c r="C396" i="55" s="1"/>
  <c r="D396" i="55" s="1"/>
  <c r="J544" i="35" a="1"/>
  <c r="J544" i="35" s="1"/>
  <c r="D544" i="35" s="1"/>
  <c r="C549" i="55" s="1"/>
  <c r="D549" i="55" s="1"/>
  <c r="J115" i="35" a="1"/>
  <c r="J115" i="35" s="1"/>
  <c r="D115" i="35" s="1"/>
  <c r="C120" i="55" s="1"/>
  <c r="D120" i="55" s="1"/>
  <c r="X1041" i="35"/>
  <c r="E138" i="41"/>
  <c r="J1068" i="35" a="1"/>
  <c r="J1068" i="35" s="1"/>
  <c r="D1068" i="35" s="1"/>
  <c r="C1073" i="55" s="1"/>
  <c r="D1073" i="55" s="1"/>
  <c r="H138" i="41"/>
  <c r="G138" i="41"/>
  <c r="D118" i="48"/>
  <c r="G49" i="41"/>
  <c r="J222" i="35" a="1"/>
  <c r="J222" i="35" s="1"/>
  <c r="D222" i="35" s="1"/>
  <c r="C227" i="55" s="1"/>
  <c r="D227" i="55" s="1"/>
  <c r="F553" i="41"/>
  <c r="J388" i="35" a="1"/>
  <c r="J388" i="35" s="1"/>
  <c r="D388" i="35" s="1"/>
  <c r="C393" i="55" s="1"/>
  <c r="D393" i="55" s="1"/>
  <c r="D74" i="49"/>
  <c r="X75" i="35"/>
  <c r="G6" i="41"/>
  <c r="G269" i="41"/>
  <c r="H6" i="41"/>
  <c r="C460" i="55"/>
  <c r="D460" i="55" s="1"/>
  <c r="U92" i="35"/>
  <c r="D38" i="49"/>
  <c r="E6" i="41"/>
  <c r="U791" i="35"/>
  <c r="J68" i="35" a="1"/>
  <c r="J68" i="35" s="1"/>
  <c r="D68" i="35" s="1"/>
  <c r="D50" i="8" s="1"/>
  <c r="D33" i="49"/>
  <c r="D27" i="51"/>
  <c r="E125" i="41"/>
  <c r="H87" i="41"/>
  <c r="U46" i="35"/>
  <c r="H1668" i="41"/>
  <c r="H1805" i="41"/>
  <c r="J18" i="35" a="1"/>
  <c r="J18" i="35" s="1"/>
  <c r="D18" i="35" s="1"/>
  <c r="C23" i="55" s="1"/>
  <c r="D23" i="55" s="1"/>
  <c r="U396" i="35"/>
  <c r="J75" i="35" a="1"/>
  <c r="J75" i="35" s="1"/>
  <c r="D75" i="35" s="1"/>
  <c r="C80" i="55" s="1"/>
  <c r="D80" i="55" s="1"/>
  <c r="C829" i="55"/>
  <c r="D829" i="55" s="1"/>
  <c r="F1805" i="41"/>
  <c r="G48" i="41"/>
  <c r="X422" i="35"/>
  <c r="U1087" i="35"/>
  <c r="H1677" i="41"/>
  <c r="M563" i="35"/>
  <c r="J563" i="35" s="1" a="1"/>
  <c r="J563" i="35" s="1"/>
  <c r="D563" i="35" s="1"/>
  <c r="C568" i="55" s="1"/>
  <c r="D568" i="55" s="1"/>
  <c r="D9" i="51"/>
  <c r="U30" i="35"/>
  <c r="D61" i="48"/>
  <c r="X33" i="35"/>
  <c r="U37" i="35"/>
  <c r="E48" i="41"/>
  <c r="H50" i="41" s="1"/>
  <c r="H49" i="41"/>
  <c r="J934" i="35" a="1"/>
  <c r="J934" i="35" s="1"/>
  <c r="D934" i="35" s="1"/>
  <c r="H18" i="54" s="1"/>
  <c r="U101" i="35"/>
  <c r="D102" i="48"/>
  <c r="J1032" i="35" a="1"/>
  <c r="J1032" i="35" s="1"/>
  <c r="D1032" i="35" s="1"/>
  <c r="C1037" i="55" s="1"/>
  <c r="D1037" i="55" s="1"/>
  <c r="G120" i="41"/>
  <c r="H270" i="41"/>
  <c r="U147" i="35"/>
  <c r="G543" i="41"/>
  <c r="H120" i="41"/>
  <c r="E263" i="41"/>
  <c r="F263" i="41"/>
  <c r="U414" i="35"/>
  <c r="J1062" i="35" a="1"/>
  <c r="J1062" i="35" s="1"/>
  <c r="D1062" i="35" s="1"/>
  <c r="C1067" i="55" s="1"/>
  <c r="D1067" i="55" s="1"/>
  <c r="C472" i="55"/>
  <c r="D472" i="55" s="1"/>
  <c r="C756" i="55"/>
  <c r="D756" i="55" s="1"/>
  <c r="U1029" i="35"/>
  <c r="H543" i="41"/>
  <c r="H269" i="41"/>
  <c r="F269" i="41"/>
  <c r="F230" i="41"/>
  <c r="H272" i="41"/>
  <c r="G272" i="41"/>
  <c r="E272" i="41"/>
  <c r="F543" i="41"/>
  <c r="C465" i="55"/>
  <c r="D465" i="55" s="1"/>
  <c r="D59" i="50"/>
  <c r="U1035" i="35"/>
  <c r="J89" i="35" a="1"/>
  <c r="J89" i="35" s="1"/>
  <c r="D89" i="35" s="1"/>
  <c r="D13" i="44" s="1"/>
  <c r="J927" i="35" a="1"/>
  <c r="J927" i="35" s="1"/>
  <c r="D927" i="35" s="1"/>
  <c r="H11" i="54" s="1"/>
  <c r="J100" i="35" a="1"/>
  <c r="J100" i="35" s="1"/>
  <c r="D100" i="35" s="1"/>
  <c r="C105" i="55" s="1"/>
  <c r="D105" i="55" s="1"/>
  <c r="J16" i="35" a="1"/>
  <c r="J16" i="35" s="1"/>
  <c r="D16" i="35" s="1"/>
  <c r="D9" i="2" s="1"/>
  <c r="U389" i="35"/>
  <c r="U1062" i="35"/>
  <c r="F120" i="41"/>
  <c r="J91" i="35" a="1"/>
  <c r="J91" i="35" s="1"/>
  <c r="D91" i="35" s="1"/>
  <c r="C96" i="55" s="1"/>
  <c r="D96" i="55" s="1"/>
  <c r="F1806" i="41"/>
  <c r="X414" i="35"/>
  <c r="E1806" i="41"/>
  <c r="G1806" i="41"/>
  <c r="X544" i="35"/>
  <c r="J1029" i="35" a="1"/>
  <c r="J1029" i="35" s="1"/>
  <c r="D1029" i="35" s="1"/>
  <c r="C1034" i="55" s="1"/>
  <c r="D1034" i="55" s="1"/>
  <c r="J80" i="35" a="1"/>
  <c r="J80" i="35" s="1"/>
  <c r="D80" i="35" s="1"/>
  <c r="C85" i="55" s="1"/>
  <c r="D85" i="55" s="1"/>
  <c r="J543" i="35" a="1"/>
  <c r="J543" i="35" s="1"/>
  <c r="D543" i="35" s="1"/>
  <c r="C548" i="55" s="1"/>
  <c r="D548" i="55" s="1"/>
  <c r="U1034" i="35"/>
  <c r="J131" i="35" a="1"/>
  <c r="J131" i="35" s="1"/>
  <c r="D131" i="35" s="1"/>
  <c r="C136" i="55" s="1"/>
  <c r="D136" i="55" s="1"/>
  <c r="U541" i="35"/>
  <c r="U100" i="35"/>
  <c r="J61" i="35" a="1"/>
  <c r="J61" i="35" s="1"/>
  <c r="D61" i="35" s="1"/>
  <c r="D43" i="8" s="1"/>
  <c r="U89" i="35"/>
  <c r="U552" i="35"/>
  <c r="U91" i="35"/>
  <c r="U47" i="35"/>
  <c r="J39" i="35" a="1"/>
  <c r="J39" i="35" s="1"/>
  <c r="D39" i="35" s="1"/>
  <c r="D12" i="8" s="1"/>
  <c r="U410" i="35"/>
  <c r="U122" i="35"/>
  <c r="X3" i="35"/>
  <c r="C788" i="55"/>
  <c r="D788" i="55" s="1"/>
  <c r="F1677" i="41"/>
  <c r="U400" i="35"/>
  <c r="J133" i="35" a="1"/>
  <c r="J133" i="35" s="1"/>
  <c r="D133" i="35" s="1"/>
  <c r="D27" i="5" s="1"/>
  <c r="H142" i="41"/>
  <c r="U1043" i="35"/>
  <c r="E142" i="41"/>
  <c r="D66" i="48"/>
  <c r="D34" i="49"/>
  <c r="X573" i="35"/>
  <c r="U20" i="35"/>
  <c r="U931" i="35"/>
  <c r="D30" i="49"/>
  <c r="U1076" i="35"/>
  <c r="D38" i="50"/>
  <c r="J88" i="35" a="1"/>
  <c r="J88" i="35" s="1"/>
  <c r="D88" i="35" s="1"/>
  <c r="C93" i="55" s="1"/>
  <c r="D93" i="55" s="1"/>
  <c r="U498" i="35"/>
  <c r="U15" i="35"/>
  <c r="U384" i="35"/>
  <c r="U1072" i="35"/>
  <c r="X101" i="35"/>
  <c r="C444" i="55"/>
  <c r="D444" i="55" s="1"/>
  <c r="C866" i="55"/>
  <c r="D866" i="55" s="1"/>
  <c r="X926" i="35"/>
  <c r="H547" i="41"/>
  <c r="X110" i="35"/>
  <c r="J102" i="35" a="1"/>
  <c r="J102" i="35" s="1"/>
  <c r="D102" i="35" s="1"/>
  <c r="D26" i="44" s="1"/>
  <c r="G1677" i="41"/>
  <c r="J1076" i="35" a="1"/>
  <c r="J1076" i="35" s="1"/>
  <c r="D1076" i="35" s="1"/>
  <c r="C1081" i="55" s="1"/>
  <c r="D1081" i="55" s="1"/>
  <c r="X416" i="35"/>
  <c r="J84" i="35" a="1"/>
  <c r="J84" i="35" s="1"/>
  <c r="D84" i="35" s="1"/>
  <c r="C89" i="55" s="1"/>
  <c r="D89" i="55" s="1"/>
  <c r="J2" i="35" a="1"/>
  <c r="J2" i="35" s="1"/>
  <c r="D2" i="35" s="1"/>
  <c r="U73" i="35"/>
  <c r="U390" i="35"/>
  <c r="J392" i="35" a="1"/>
  <c r="J392" i="35" s="1"/>
  <c r="D392" i="35" s="1"/>
  <c r="C397" i="55" s="1"/>
  <c r="D397" i="55" s="1"/>
  <c r="P25" i="30"/>
  <c r="I25" i="30" s="1"/>
  <c r="K25" i="30" s="1"/>
  <c r="J925" i="35" a="1"/>
  <c r="J925" i="35" s="1"/>
  <c r="D925" i="35" s="1"/>
  <c r="C930" i="55" s="1"/>
  <c r="D930" i="55" s="1"/>
  <c r="U879" i="35"/>
  <c r="U937" i="35"/>
  <c r="E552" i="41"/>
  <c r="J548" i="35" a="1"/>
  <c r="J548" i="35" s="1"/>
  <c r="D548" i="35" s="1"/>
  <c r="C553" i="55" s="1"/>
  <c r="D553" i="55" s="1"/>
  <c r="H552" i="41"/>
  <c r="F75" i="41"/>
  <c r="D57" i="48"/>
  <c r="D102" i="50"/>
  <c r="U1030" i="35"/>
  <c r="U1085" i="35"/>
  <c r="U1073" i="35"/>
  <c r="U114" i="35"/>
  <c r="U1031" i="35"/>
  <c r="J95" i="35" a="1"/>
  <c r="J95" i="35" s="1"/>
  <c r="D95" i="35" s="1"/>
  <c r="C100" i="55" s="1"/>
  <c r="D100" i="55" s="1"/>
  <c r="U392" i="35"/>
  <c r="G1661" i="41"/>
  <c r="U489" i="35"/>
  <c r="U492" i="35"/>
  <c r="J549" i="35" a="1"/>
  <c r="J549" i="35" s="1"/>
  <c r="D549" i="35" s="1"/>
  <c r="C554" i="55" s="1"/>
  <c r="D554" i="55" s="1"/>
  <c r="C445" i="55"/>
  <c r="D445" i="55" s="1"/>
  <c r="U789" i="35"/>
  <c r="C430" i="55"/>
  <c r="D430" i="55" s="1"/>
  <c r="D30" i="17"/>
  <c r="U473" i="35"/>
  <c r="C447" i="55"/>
  <c r="D447" i="55" s="1"/>
  <c r="U403" i="35"/>
  <c r="J113" i="35" a="1"/>
  <c r="J113" i="35" s="1"/>
  <c r="D113" i="35" s="1"/>
  <c r="D16" i="4" s="1"/>
  <c r="J1064" i="35" a="1"/>
  <c r="J1064" i="35" s="1"/>
  <c r="D1064" i="35" s="1"/>
  <c r="C1069" i="55" s="1"/>
  <c r="D1069" i="55" s="1"/>
  <c r="J410" i="35" a="1"/>
  <c r="J410" i="35" s="1"/>
  <c r="D410" i="35" s="1"/>
  <c r="D41" i="21" s="1"/>
  <c r="U69" i="35"/>
  <c r="U132" i="35"/>
  <c r="U87" i="35"/>
  <c r="C846" i="55"/>
  <c r="D846" i="55" s="1"/>
  <c r="J541" i="35" a="1"/>
  <c r="J541" i="35" s="1"/>
  <c r="D541" i="35" s="1"/>
  <c r="C546" i="55" s="1"/>
  <c r="D546" i="55" s="1"/>
  <c r="X400" i="35"/>
  <c r="D31" i="50"/>
  <c r="D100" i="50"/>
  <c r="H4" i="41"/>
  <c r="G4" i="41"/>
  <c r="D43" i="49"/>
  <c r="E134" i="41"/>
  <c r="C727" i="55"/>
  <c r="D727" i="55" s="1"/>
  <c r="G134" i="41"/>
  <c r="F4" i="41"/>
  <c r="G551" i="41"/>
  <c r="H134" i="41"/>
  <c r="C433" i="55"/>
  <c r="D433" i="55" s="1"/>
  <c r="F1670" i="41"/>
  <c r="P33" i="30"/>
  <c r="I33" i="30" s="1"/>
  <c r="K33" i="30" s="1"/>
  <c r="H1670" i="41"/>
  <c r="J404" i="35" a="1"/>
  <c r="J404" i="35" s="1"/>
  <c r="D404" i="35" s="1"/>
  <c r="D35" i="21" s="1"/>
  <c r="F443" i="41"/>
  <c r="H266" i="41"/>
  <c r="G225" i="41"/>
  <c r="G1670" i="41"/>
  <c r="J877" i="35" a="1"/>
  <c r="J877" i="35" s="1"/>
  <c r="D877" i="35" s="1"/>
  <c r="D15" i="52" s="1"/>
  <c r="U41" i="35"/>
  <c r="U98" i="35"/>
  <c r="J1034" i="35" a="1"/>
  <c r="J1034" i="35" s="1"/>
  <c r="D1034" i="35" s="1"/>
  <c r="C1039" i="55" s="1"/>
  <c r="D1039" i="55" s="1"/>
  <c r="J57" i="35" a="1"/>
  <c r="J57" i="35" s="1"/>
  <c r="D57" i="35" s="1"/>
  <c r="D37" i="8" s="1"/>
  <c r="U1052" i="35"/>
  <c r="U572" i="35"/>
  <c r="F266" i="41"/>
  <c r="U108" i="35"/>
  <c r="J1070" i="35" a="1"/>
  <c r="J1070" i="35" s="1"/>
  <c r="D1070" i="35" s="1"/>
  <c r="C1075" i="55" s="1"/>
  <c r="D1075" i="55" s="1"/>
  <c r="U404" i="35"/>
  <c r="J414" i="35" a="1"/>
  <c r="J414" i="35" s="1"/>
  <c r="D414" i="35" s="1"/>
  <c r="D45" i="21" s="1"/>
  <c r="U1042" i="35"/>
  <c r="J417" i="35" a="1"/>
  <c r="J417" i="35" s="1"/>
  <c r="D417" i="35" s="1"/>
  <c r="C422" i="55" s="1"/>
  <c r="D422" i="55" s="1"/>
  <c r="J1087" i="35" a="1"/>
  <c r="J1087" i="35" s="1"/>
  <c r="D1087" i="35" s="1"/>
  <c r="C1092" i="55" s="1"/>
  <c r="D1092" i="55" s="1"/>
  <c r="J369" i="35" a="1"/>
  <c r="J369" i="35" s="1"/>
  <c r="D369" i="35" s="1"/>
  <c r="C374" i="55" s="1"/>
  <c r="D374" i="55" s="1"/>
  <c r="G7" i="41"/>
  <c r="J551" i="35" a="1"/>
  <c r="J551" i="35" s="1"/>
  <c r="D551" i="35" s="1"/>
  <c r="C556" i="55" s="1"/>
  <c r="D556" i="55" s="1"/>
  <c r="U57" i="35"/>
  <c r="U59" i="35"/>
  <c r="J1040" i="35" a="1"/>
  <c r="J1040" i="35" s="1"/>
  <c r="D1040" i="35" s="1"/>
  <c r="D22" i="17" s="1"/>
  <c r="J98" i="35" a="1"/>
  <c r="J98" i="35" s="1"/>
  <c r="D98" i="35" s="1"/>
  <c r="C103" i="55" s="1"/>
  <c r="D103" i="55" s="1"/>
  <c r="J110" i="35" a="1"/>
  <c r="J110" i="35" s="1"/>
  <c r="D110" i="35" s="1"/>
  <c r="D13" i="4" s="1"/>
  <c r="U31" i="35"/>
  <c r="U1049" i="35"/>
  <c r="E445" i="41"/>
  <c r="F127" i="41"/>
  <c r="E266" i="41"/>
  <c r="N434" i="35"/>
  <c r="J434" i="35" s="1" a="1"/>
  <c r="J434" i="35" s="1"/>
  <c r="D434" i="35" s="1"/>
  <c r="D31" i="49" s="1"/>
  <c r="J38" i="35" a="1"/>
  <c r="J38" i="35" s="1"/>
  <c r="D38" i="35" s="1"/>
  <c r="D8" i="8" s="1"/>
  <c r="U493" i="35"/>
  <c r="U542" i="35"/>
  <c r="J1079" i="35" a="1"/>
  <c r="J1079" i="35" s="1"/>
  <c r="D1079" i="35" s="1"/>
  <c r="D26" i="46" s="1"/>
  <c r="J97" i="35" a="1"/>
  <c r="J97" i="35" s="1"/>
  <c r="D97" i="35" s="1"/>
  <c r="C102" i="55" s="1"/>
  <c r="D102" i="55" s="1"/>
  <c r="J114" i="35" a="1"/>
  <c r="J114" i="35" s="1"/>
  <c r="D114" i="35" s="1"/>
  <c r="C119" i="55" s="1"/>
  <c r="D119" i="55" s="1"/>
  <c r="J1059" i="35" a="1"/>
  <c r="J1059" i="35" s="1"/>
  <c r="D1059" i="35" s="1"/>
  <c r="C1064" i="55" s="1"/>
  <c r="D1064" i="55" s="1"/>
  <c r="U1083" i="35"/>
  <c r="J46" i="35" a="1"/>
  <c r="J46" i="35" s="1"/>
  <c r="D46" i="35" s="1"/>
  <c r="C51" i="55" s="1"/>
  <c r="D51" i="55" s="1"/>
  <c r="J1033" i="35" a="1"/>
  <c r="J1033" i="35" s="1"/>
  <c r="D1033" i="35" s="1"/>
  <c r="D15" i="17" s="1"/>
  <c r="J542" i="35" a="1"/>
  <c r="J542" i="35" s="1"/>
  <c r="D542" i="35" s="1"/>
  <c r="C547" i="55" s="1"/>
  <c r="D547" i="55" s="1"/>
  <c r="U82" i="35"/>
  <c r="J473" i="35" a="1"/>
  <c r="J473" i="35" s="1"/>
  <c r="D473" i="35" s="1"/>
  <c r="C478" i="55" s="1"/>
  <c r="D478" i="55" s="1"/>
  <c r="U383" i="35"/>
  <c r="U939" i="35"/>
  <c r="X489" i="35"/>
  <c r="C440" i="55"/>
  <c r="D440" i="55" s="1"/>
  <c r="D69" i="49"/>
  <c r="U19" i="35"/>
  <c r="P36" i="30"/>
  <c r="I36" i="30" s="1"/>
  <c r="K36" i="30" s="1"/>
  <c r="U1055" i="35"/>
  <c r="J105" i="35" a="1"/>
  <c r="J105" i="35" s="1"/>
  <c r="D105" i="35" s="1"/>
  <c r="D8" i="4" s="1"/>
  <c r="U398" i="35"/>
  <c r="J412" i="35" a="1"/>
  <c r="J412" i="35" s="1"/>
  <c r="D412" i="35" s="1"/>
  <c r="D43" i="21" s="1"/>
  <c r="U51" i="35"/>
  <c r="J53" i="35" a="1"/>
  <c r="J53" i="35" s="1"/>
  <c r="D53" i="35" s="1"/>
  <c r="C58" i="55" s="1"/>
  <c r="D58" i="55" s="1"/>
  <c r="U419" i="35"/>
  <c r="F1662" i="41"/>
  <c r="X15" i="35"/>
  <c r="H553" i="41"/>
  <c r="J394" i="35" a="1"/>
  <c r="J394" i="35" s="1"/>
  <c r="D394" i="35" s="1"/>
  <c r="D25" i="21" s="1"/>
  <c r="J58" i="35" a="1"/>
  <c r="J58" i="35" s="1"/>
  <c r="D58" i="35" s="1"/>
  <c r="C63" i="55" s="1"/>
  <c r="D63" i="55" s="1"/>
  <c r="J1065" i="35" a="1"/>
  <c r="J1065" i="35" s="1"/>
  <c r="D1065" i="35" s="1"/>
  <c r="D9" i="45" s="1"/>
  <c r="J44" i="35" a="1"/>
  <c r="J44" i="35" s="1"/>
  <c r="D44" i="35" s="1"/>
  <c r="C49" i="55" s="1"/>
  <c r="D49" i="55" s="1"/>
  <c r="J96" i="35" a="1"/>
  <c r="J96" i="35" s="1"/>
  <c r="D96" i="35" s="1"/>
  <c r="D20" i="44" s="1"/>
  <c r="J384" i="35" a="1"/>
  <c r="J384" i="35" s="1"/>
  <c r="D384" i="35" s="1"/>
  <c r="C389" i="55" s="1"/>
  <c r="D389" i="55" s="1"/>
  <c r="J402" i="35" a="1"/>
  <c r="J402" i="35" s="1"/>
  <c r="D402" i="35" s="1"/>
  <c r="C407" i="55" s="1"/>
  <c r="D407" i="55" s="1"/>
  <c r="J1085" i="35" a="1"/>
  <c r="J1085" i="35" s="1"/>
  <c r="D1085" i="35" s="1"/>
  <c r="C1090" i="55" s="1"/>
  <c r="D1090" i="55" s="1"/>
  <c r="J1072" i="35" a="1"/>
  <c r="J1072" i="35" s="1"/>
  <c r="D1072" i="35" s="1"/>
  <c r="D16" i="46" s="1"/>
  <c r="X1068" i="35"/>
  <c r="D58" i="49"/>
  <c r="F552" i="41"/>
  <c r="J1086" i="35" a="1"/>
  <c r="J1086" i="35" s="1"/>
  <c r="D1086" i="35" s="1"/>
  <c r="C1091" i="55" s="1"/>
  <c r="D1091" i="55" s="1"/>
  <c r="J86" i="35" a="1"/>
  <c r="J86" i="35" s="1"/>
  <c r="D86" i="35" s="1"/>
  <c r="C91" i="55" s="1"/>
  <c r="D91" i="55" s="1"/>
  <c r="U1058" i="35"/>
  <c r="J1080" i="35" a="1"/>
  <c r="J1080" i="35" s="1"/>
  <c r="D1080" i="35" s="1"/>
  <c r="D27" i="46" s="1"/>
  <c r="J874" i="35" a="1"/>
  <c r="J874" i="35" s="1"/>
  <c r="D874" i="35" s="1"/>
  <c r="C879" i="55" s="1"/>
  <c r="D879" i="55" s="1"/>
  <c r="J332" i="35" a="1"/>
  <c r="J332" i="35" s="1"/>
  <c r="D332" i="35" s="1"/>
  <c r="C337" i="55" s="1"/>
  <c r="D337" i="55" s="1"/>
  <c r="J104" i="35" a="1"/>
  <c r="J104" i="35" s="1"/>
  <c r="D104" i="35" s="1"/>
  <c r="D7" i="4" s="1"/>
  <c r="J383" i="35" a="1"/>
  <c r="J383" i="35" s="1"/>
  <c r="D383" i="35" s="1"/>
  <c r="D14" i="21" s="1"/>
  <c r="J1084" i="35" a="1"/>
  <c r="J1084" i="35" s="1"/>
  <c r="D1084" i="35" s="1"/>
  <c r="C1089" i="55" s="1"/>
  <c r="D1089" i="55" s="1"/>
  <c r="X384" i="35"/>
  <c r="D95" i="48"/>
  <c r="H48" i="41"/>
  <c r="U942" i="35"/>
  <c r="U543" i="35"/>
  <c r="J1061" i="35" a="1"/>
  <c r="J1061" i="35" s="1"/>
  <c r="D1061" i="35" s="1"/>
  <c r="C1066" i="55" s="1"/>
  <c r="D1066" i="55" s="1"/>
  <c r="J399" i="35" a="1"/>
  <c r="J399" i="35" s="1"/>
  <c r="D399" i="35" s="1"/>
  <c r="C404" i="55" s="1"/>
  <c r="D404" i="55" s="1"/>
  <c r="U790" i="35"/>
  <c r="J1058" i="35" a="1"/>
  <c r="J1058" i="35" s="1"/>
  <c r="D1058" i="35" s="1"/>
  <c r="C1063" i="55" s="1"/>
  <c r="D1063" i="55" s="1"/>
  <c r="J31" i="35" a="1"/>
  <c r="J31" i="35" s="1"/>
  <c r="D31" i="35" s="1"/>
  <c r="D36" i="2" s="1"/>
  <c r="J129" i="35" a="1"/>
  <c r="J129" i="35" s="1"/>
  <c r="D129" i="35" s="1"/>
  <c r="C134" i="55" s="1"/>
  <c r="D134" i="55" s="1"/>
  <c r="J1030" i="35" a="1"/>
  <c r="J1030" i="35" s="1"/>
  <c r="D1030" i="35" s="1"/>
  <c r="C1035" i="55" s="1"/>
  <c r="D1035" i="55" s="1"/>
  <c r="J11" i="35" a="1"/>
  <c r="J11" i="35" s="1"/>
  <c r="D11" i="35" s="1"/>
  <c r="C16" i="55" s="1"/>
  <c r="D16" i="55" s="1"/>
  <c r="U386" i="35"/>
  <c r="U589" i="35"/>
  <c r="J79" i="35" a="1"/>
  <c r="J79" i="35" s="1"/>
  <c r="D79" i="35" s="1"/>
  <c r="C84" i="55" s="1"/>
  <c r="D84" i="55" s="1"/>
  <c r="J43" i="35" a="1"/>
  <c r="J43" i="35" s="1"/>
  <c r="D43" i="35" s="1"/>
  <c r="D16" i="8" s="1"/>
  <c r="J60" i="35" a="1"/>
  <c r="J60" i="35" s="1"/>
  <c r="D60" i="35" s="1"/>
  <c r="C65" i="55" s="1"/>
  <c r="D65" i="55" s="1"/>
  <c r="H651" i="41"/>
  <c r="J1042" i="35" a="1"/>
  <c r="J1042" i="35" s="1"/>
  <c r="D1042" i="35" s="1"/>
  <c r="C1047" i="55" s="1"/>
  <c r="D1047" i="55" s="1"/>
  <c r="J1071" i="35" a="1"/>
  <c r="J1071" i="35" s="1"/>
  <c r="D1071" i="35" s="1"/>
  <c r="D15" i="46" s="1"/>
  <c r="J41" i="35" a="1"/>
  <c r="J41" i="35" s="1"/>
  <c r="D41" i="35" s="1"/>
  <c r="C46" i="55" s="1"/>
  <c r="D46" i="55" s="1"/>
  <c r="E271" i="41"/>
  <c r="U874" i="35"/>
  <c r="D35" i="48"/>
  <c r="D77" i="49"/>
  <c r="G651" i="41"/>
  <c r="F271" i="41"/>
  <c r="F228" i="41"/>
  <c r="C786" i="55"/>
  <c r="D786" i="55" s="1"/>
  <c r="C787" i="55"/>
  <c r="D787" i="55" s="1"/>
  <c r="G549" i="41"/>
  <c r="U550" i="35"/>
  <c r="J132" i="35" a="1"/>
  <c r="J132" i="35" s="1"/>
  <c r="D132" i="35" s="1"/>
  <c r="C137" i="55" s="1"/>
  <c r="D137" i="55" s="1"/>
  <c r="F229" i="41"/>
  <c r="H549" i="41"/>
  <c r="D116" i="48"/>
  <c r="U124" i="35"/>
  <c r="J47" i="35" a="1"/>
  <c r="J47" i="35" s="1"/>
  <c r="D47" i="35" s="1"/>
  <c r="C52" i="55" s="1"/>
  <c r="D52" i="55" s="1"/>
  <c r="J937" i="35" a="1"/>
  <c r="J937" i="35" s="1"/>
  <c r="D937" i="35" s="1"/>
  <c r="H21" i="54" s="1"/>
  <c r="J54" i="35" a="1"/>
  <c r="J54" i="35" s="1"/>
  <c r="D54" i="35" s="1"/>
  <c r="C59" i="55" s="1"/>
  <c r="D59" i="55" s="1"/>
  <c r="J108" i="35" a="1"/>
  <c r="J108" i="35" s="1"/>
  <c r="D108" i="35" s="1"/>
  <c r="C113" i="55" s="1"/>
  <c r="D113" i="55" s="1"/>
  <c r="J147" i="35" a="1"/>
  <c r="J147" i="35" s="1"/>
  <c r="D147" i="35" s="1"/>
  <c r="D76" i="49"/>
  <c r="F651" i="41"/>
  <c r="U111" i="35"/>
  <c r="E49" i="41"/>
  <c r="E51" i="41" s="1"/>
  <c r="G271" i="41"/>
  <c r="D78" i="49"/>
  <c r="U369" i="35"/>
  <c r="F1661" i="41"/>
  <c r="U80" i="35"/>
  <c r="J62" i="35" a="1"/>
  <c r="J62" i="35" s="1"/>
  <c r="D62" i="35" s="1"/>
  <c r="C67" i="55" s="1"/>
  <c r="D67" i="55" s="1"/>
  <c r="J400" i="35" a="1"/>
  <c r="J400" i="35" s="1"/>
  <c r="D400" i="35" s="1"/>
  <c r="D31" i="21" s="1"/>
  <c r="J125" i="35" a="1"/>
  <c r="J125" i="35" s="1"/>
  <c r="D125" i="35" s="1"/>
  <c r="C130" i="55" s="1"/>
  <c r="D130" i="55" s="1"/>
  <c r="J938" i="35" a="1"/>
  <c r="J938" i="35" s="1"/>
  <c r="D938" i="35" s="1"/>
  <c r="C943" i="55" s="1"/>
  <c r="D943" i="55" s="1"/>
  <c r="J1060" i="35" a="1"/>
  <c r="J1060" i="35" s="1"/>
  <c r="D1060" i="35" s="1"/>
  <c r="C1065" i="55" s="1"/>
  <c r="D1065" i="55" s="1"/>
  <c r="U496" i="35"/>
  <c r="C783" i="55"/>
  <c r="D783" i="55" s="1"/>
  <c r="E438" i="41"/>
  <c r="E1661" i="41"/>
  <c r="E441" i="41"/>
  <c r="E136" i="41"/>
  <c r="F549" i="41"/>
  <c r="D35" i="17"/>
  <c r="U116" i="35"/>
  <c r="U105" i="35"/>
  <c r="U394" i="35"/>
  <c r="J1031" i="35" a="1"/>
  <c r="J1031" i="35" s="1"/>
  <c r="D1031" i="35" s="1"/>
  <c r="C1036" i="55" s="1"/>
  <c r="D1036" i="55" s="1"/>
  <c r="U66" i="35"/>
  <c r="U55" i="35"/>
  <c r="J37" i="35" a="1"/>
  <c r="J37" i="35" s="1"/>
  <c r="D37" i="35" s="1"/>
  <c r="C42" i="55" s="1"/>
  <c r="D42" i="55" s="1"/>
  <c r="J1035" i="35" a="1"/>
  <c r="J1035" i="35" s="1"/>
  <c r="D1035" i="35" s="1"/>
  <c r="D17" i="17" s="1"/>
  <c r="J413" i="35" a="1"/>
  <c r="J413" i="35" s="1"/>
  <c r="D413" i="35" s="1"/>
  <c r="C418" i="55" s="1"/>
  <c r="D418" i="55" s="1"/>
  <c r="J30" i="35" a="1"/>
  <c r="J30" i="35" s="1"/>
  <c r="D30" i="35" s="1"/>
  <c r="C35" i="55" s="1"/>
  <c r="D35" i="55" s="1"/>
  <c r="U58" i="35"/>
  <c r="D10" i="48"/>
  <c r="U88" i="35"/>
  <c r="H136" i="41"/>
  <c r="U1074" i="35"/>
  <c r="F136" i="41"/>
  <c r="D54" i="48"/>
  <c r="E553" i="41"/>
  <c r="D49" i="49"/>
  <c r="J116" i="35" a="1"/>
  <c r="J116" i="35" s="1"/>
  <c r="D116" i="35" s="1"/>
  <c r="C121" i="55" s="1"/>
  <c r="D121" i="55" s="1"/>
  <c r="D32" i="17"/>
  <c r="U474" i="35"/>
  <c r="D117" i="48"/>
  <c r="X98" i="35"/>
  <c r="F49" i="41"/>
  <c r="J935" i="35" a="1"/>
  <c r="J935" i="35" s="1"/>
  <c r="D935" i="35" s="1"/>
  <c r="H19" i="54" s="1"/>
  <c r="J1083" i="35" a="1"/>
  <c r="J1083" i="35" s="1"/>
  <c r="D1083" i="35" s="1"/>
  <c r="D30" i="46" s="1"/>
  <c r="J66" i="35" a="1"/>
  <c r="J66" i="35" s="1"/>
  <c r="D66" i="35" s="1"/>
  <c r="C71" i="55" s="1"/>
  <c r="D71" i="55" s="1"/>
  <c r="J416" i="35" a="1"/>
  <c r="J416" i="35" s="1"/>
  <c r="D416" i="35" s="1"/>
  <c r="C421" i="55" s="1"/>
  <c r="D421" i="55" s="1"/>
  <c r="H1661" i="41"/>
  <c r="U131" i="35"/>
  <c r="J126" i="35" a="1"/>
  <c r="J126" i="35" s="1"/>
  <c r="D126" i="35" s="1"/>
  <c r="C131" i="55" s="1"/>
  <c r="D131" i="55" s="1"/>
  <c r="I1347" i="41"/>
  <c r="A860" i="57" s="1"/>
  <c r="N860" i="57" s="1"/>
  <c r="J73" i="35" a="1"/>
  <c r="J73" i="35" s="1"/>
  <c r="D73" i="35" s="1"/>
  <c r="C78" i="55" s="1"/>
  <c r="D78" i="55" s="1"/>
  <c r="F439" i="41"/>
  <c r="E439" i="41"/>
  <c r="U406" i="35"/>
  <c r="X406" i="35"/>
  <c r="I1065" i="41"/>
  <c r="I975" i="41"/>
  <c r="B610" i="57" s="1"/>
  <c r="I659" i="41"/>
  <c r="C844" i="55"/>
  <c r="D844" i="55" s="1"/>
  <c r="D77" i="50"/>
  <c r="I1798" i="41"/>
  <c r="B1214" i="57" s="1"/>
  <c r="I486" i="41"/>
  <c r="G546" i="41"/>
  <c r="H546" i="41"/>
  <c r="E546" i="41"/>
  <c r="F546" i="41"/>
  <c r="X1047" i="35"/>
  <c r="U1047" i="35"/>
  <c r="U61" i="35"/>
  <c r="X61" i="35"/>
  <c r="C431" i="55"/>
  <c r="D431" i="55" s="1"/>
  <c r="D20" i="49"/>
  <c r="J19" i="35" a="1"/>
  <c r="J19" i="35" s="1"/>
  <c r="D19" i="35" s="1"/>
  <c r="D15" i="2" s="1"/>
  <c r="I779" i="41"/>
  <c r="I883" i="41"/>
  <c r="I868" i="41"/>
  <c r="I1111" i="41"/>
  <c r="I875" i="41"/>
  <c r="I502" i="41"/>
  <c r="O444" i="57" s="1"/>
  <c r="N444" i="57" s="1"/>
  <c r="I1141" i="41"/>
  <c r="I1576" i="41"/>
  <c r="O1029" i="57" s="1"/>
  <c r="I165" i="41"/>
  <c r="I777" i="41"/>
  <c r="I1581" i="41"/>
  <c r="I1465" i="41"/>
  <c r="I1763" i="41"/>
  <c r="O1184" i="57" s="1"/>
  <c r="N1184" i="57" s="1"/>
  <c r="J117" i="35" a="1"/>
  <c r="J117" i="35" s="1"/>
  <c r="D117" i="35" s="1"/>
  <c r="D20" i="4" s="1"/>
  <c r="J1078" i="35" a="1"/>
  <c r="J1078" i="35" s="1"/>
  <c r="D1078" i="35" s="1"/>
  <c r="C1083" i="55" s="1"/>
  <c r="D1083" i="55" s="1"/>
  <c r="U53" i="35"/>
  <c r="I31" i="41"/>
  <c r="I1416" i="41"/>
  <c r="O912" i="57" s="1"/>
  <c r="N912" i="57" s="1"/>
  <c r="I1524" i="41"/>
  <c r="O991" i="57" s="1"/>
  <c r="N991" i="57" s="1"/>
  <c r="I1078" i="41"/>
  <c r="I434" i="41"/>
  <c r="O414" i="57" s="1"/>
  <c r="N414" i="57" s="1"/>
  <c r="I1166" i="41"/>
  <c r="I563" i="41"/>
  <c r="I835" i="41"/>
  <c r="I1903" i="41"/>
  <c r="K1214" i="57" s="1"/>
  <c r="I1102" i="41"/>
  <c r="O680" i="57" s="1"/>
  <c r="N680" i="57" s="1"/>
  <c r="I195" i="41"/>
  <c r="B256" i="57" s="1"/>
  <c r="I1148" i="41"/>
  <c r="O712" i="57" s="1"/>
  <c r="N712" i="57" s="1"/>
  <c r="I1133" i="41"/>
  <c r="A706" i="57" s="1"/>
  <c r="N706" i="57" s="1"/>
  <c r="I747" i="41"/>
  <c r="C579" i="57" s="1"/>
  <c r="F1669" i="41"/>
  <c r="I280" i="41"/>
  <c r="O296" i="57" s="1"/>
  <c r="N296" i="57" s="1"/>
  <c r="I345" i="41"/>
  <c r="X418" i="35"/>
  <c r="U418" i="35"/>
  <c r="I206" i="41"/>
  <c r="D246" i="57" s="1"/>
  <c r="I848" i="41"/>
  <c r="I1885" i="41"/>
  <c r="I1217" i="57" s="1"/>
  <c r="X1053" i="35"/>
  <c r="U1053" i="35"/>
  <c r="X50" i="35"/>
  <c r="U50" i="35"/>
  <c r="X54" i="35"/>
  <c r="U54" i="35"/>
  <c r="X11" i="35"/>
  <c r="U11" i="35"/>
  <c r="C464" i="55"/>
  <c r="D464" i="55" s="1"/>
  <c r="D62" i="49"/>
  <c r="D34" i="50"/>
  <c r="C813" i="55"/>
  <c r="D813" i="55" s="1"/>
  <c r="I1003" i="41"/>
  <c r="D598" i="57" s="1"/>
  <c r="I1560" i="41"/>
  <c r="I334" i="41"/>
  <c r="I1139" i="41"/>
  <c r="I199" i="41"/>
  <c r="B260" i="57" s="1"/>
  <c r="I520" i="41"/>
  <c r="A466" i="57" s="1"/>
  <c r="N466" i="57" s="1"/>
  <c r="I1440" i="41"/>
  <c r="A930" i="57" s="1"/>
  <c r="N930" i="57" s="1"/>
  <c r="I332" i="41"/>
  <c r="I1089" i="41"/>
  <c r="I1070" i="41"/>
  <c r="O657" i="57" s="1"/>
  <c r="N657" i="57" s="1"/>
  <c r="I925" i="41"/>
  <c r="I310" i="41"/>
  <c r="D333" i="57" s="1"/>
  <c r="I1171" i="41"/>
  <c r="O730" i="57" s="1"/>
  <c r="N730" i="57" s="1"/>
  <c r="I499" i="41"/>
  <c r="A440" i="57" s="1"/>
  <c r="O441" i="57" s="1"/>
  <c r="N441" i="57" s="1"/>
  <c r="I224" i="41"/>
  <c r="A266" i="57" s="1"/>
  <c r="O267" i="57" s="1"/>
  <c r="N267" i="57" s="1"/>
  <c r="C435" i="55"/>
  <c r="D435" i="55" s="1"/>
  <c r="E1669" i="41"/>
  <c r="I1669" i="41" s="1"/>
  <c r="I281" i="41"/>
  <c r="O297" i="57" s="1"/>
  <c r="N297" i="57" s="1"/>
  <c r="D58" i="48"/>
  <c r="C452" i="55"/>
  <c r="D452" i="55" s="1"/>
  <c r="H1672" i="41"/>
  <c r="F1672" i="41"/>
  <c r="E1672" i="41"/>
  <c r="I1672" i="41" s="1"/>
  <c r="O1105" i="57" s="1"/>
  <c r="N1105" i="57" s="1"/>
  <c r="I961" i="41"/>
  <c r="B596" i="57" s="1"/>
  <c r="J111" i="35" a="1"/>
  <c r="J111" i="35" s="1"/>
  <c r="D111" i="35" s="1"/>
  <c r="D14" i="4" s="1"/>
  <c r="I551" i="41"/>
  <c r="J550" i="35" a="1"/>
  <c r="J550" i="35" s="1"/>
  <c r="D550" i="35" s="1"/>
  <c r="C555" i="55" s="1"/>
  <c r="D555" i="55" s="1"/>
  <c r="I407" i="41"/>
  <c r="U1064" i="35"/>
  <c r="F145" i="41"/>
  <c r="E145" i="41"/>
  <c r="I145" i="41" s="1"/>
  <c r="I207" i="57" s="1"/>
  <c r="G145" i="41"/>
  <c r="I106" i="41"/>
  <c r="I1638" i="41"/>
  <c r="C754" i="55"/>
  <c r="D754" i="55" s="1"/>
  <c r="D69" i="48"/>
  <c r="X129" i="35"/>
  <c r="U129" i="35"/>
  <c r="J50" i="35" a="1"/>
  <c r="J50" i="35" s="1"/>
  <c r="D50" i="35" s="1"/>
  <c r="D30" i="8" s="1"/>
  <c r="I1883" i="41"/>
  <c r="I1215" i="57" s="1"/>
  <c r="I1105" i="41"/>
  <c r="I630" i="41"/>
  <c r="I78" i="41"/>
  <c r="I1657" i="41"/>
  <c r="O1089" i="57" s="1"/>
  <c r="N1089" i="57" s="1"/>
  <c r="I661" i="41"/>
  <c r="I1594" i="41"/>
  <c r="O1042" i="57" s="1"/>
  <c r="N1042" i="57" s="1"/>
  <c r="I1710" i="41"/>
  <c r="O1140" i="57" s="1"/>
  <c r="N1140" i="57" s="1"/>
  <c r="I1121" i="41"/>
  <c r="I497" i="41"/>
  <c r="O436" i="57" s="1"/>
  <c r="N436" i="57" s="1"/>
  <c r="I1537" i="41"/>
  <c r="O1001" i="57" s="1"/>
  <c r="I813" i="41"/>
  <c r="I535" i="41"/>
  <c r="I1551" i="41"/>
  <c r="I501" i="41"/>
  <c r="O443" i="57" s="1"/>
  <c r="N443" i="57" s="1"/>
  <c r="I1455" i="41"/>
  <c r="O941" i="57" s="1"/>
  <c r="N941" i="57" s="1"/>
  <c r="I649" i="41"/>
  <c r="U1075" i="35"/>
  <c r="X1075" i="35"/>
  <c r="F1815" i="41"/>
  <c r="H1815" i="41"/>
  <c r="E1815" i="41"/>
  <c r="I1815" i="41" s="1"/>
  <c r="C1210" i="57" s="1"/>
  <c r="G1815" i="41"/>
  <c r="J477" i="35" a="1"/>
  <c r="J477" i="35" s="1"/>
  <c r="D477" i="35" s="1"/>
  <c r="C482" i="55" s="1"/>
  <c r="D482" i="55" s="1"/>
  <c r="I723" i="41"/>
  <c r="C555" i="57" s="1"/>
  <c r="I330" i="41"/>
  <c r="I792" i="41"/>
  <c r="I1501" i="41"/>
  <c r="O976" i="57" s="1"/>
  <c r="N976" i="57" s="1"/>
  <c r="I800" i="41"/>
  <c r="I205" i="41"/>
  <c r="D245" i="57" s="1"/>
  <c r="I265" i="41"/>
  <c r="X790" i="35"/>
  <c r="I1237" i="41"/>
  <c r="O773" i="57" s="1"/>
  <c r="N773" i="57" s="1"/>
  <c r="I1605" i="41"/>
  <c r="A1051" i="57" s="1"/>
  <c r="N1051" i="57" s="1"/>
  <c r="U539" i="35"/>
  <c r="X539" i="35"/>
  <c r="X93" i="35"/>
  <c r="U93" i="35"/>
  <c r="I1042" i="41"/>
  <c r="A640" i="57" s="1"/>
  <c r="N640" i="57" s="1"/>
  <c r="X1033" i="35"/>
  <c r="U1033" i="35"/>
  <c r="X477" i="35"/>
  <c r="U477" i="35"/>
  <c r="H1674" i="41"/>
  <c r="E1674" i="41"/>
  <c r="I1674" i="41" s="1"/>
  <c r="A1107" i="57" s="1"/>
  <c r="N1107" i="57" s="1"/>
  <c r="F1674" i="41"/>
  <c r="I929" i="41"/>
  <c r="I1173" i="41"/>
  <c r="I63" i="41"/>
  <c r="O140" i="57" s="1"/>
  <c r="N140" i="57" s="1"/>
  <c r="F163" i="41"/>
  <c r="E163" i="41"/>
  <c r="I163" i="41" s="1"/>
  <c r="A231" i="57" s="1"/>
  <c r="O232" i="57" s="1"/>
  <c r="N232" i="57" s="1"/>
  <c r="G163" i="41"/>
  <c r="H163" i="41"/>
  <c r="X86" i="35"/>
  <c r="U86" i="35"/>
  <c r="D8" i="2"/>
  <c r="C20" i="55"/>
  <c r="D20" i="55" s="1"/>
  <c r="C715" i="55"/>
  <c r="D715" i="55" s="1"/>
  <c r="D15" i="48"/>
  <c r="X332" i="35"/>
  <c r="U332" i="35"/>
  <c r="D46" i="49"/>
  <c r="C451" i="55"/>
  <c r="D451" i="55" s="1"/>
  <c r="D56" i="49"/>
  <c r="C458" i="55"/>
  <c r="D458" i="55" s="1"/>
  <c r="H1821" i="41"/>
  <c r="G1821" i="41"/>
  <c r="F1821" i="41"/>
  <c r="E1821" i="41"/>
  <c r="I1821" i="41" s="1"/>
  <c r="C1216" i="57" s="1"/>
  <c r="X540" i="35"/>
  <c r="U540" i="35"/>
  <c r="J930" i="35" a="1"/>
  <c r="J930" i="35" s="1"/>
  <c r="D930" i="35" s="1"/>
  <c r="H14" i="54" s="1"/>
  <c r="I1492" i="41"/>
  <c r="I1057" i="41"/>
  <c r="O647" i="57" s="1"/>
  <c r="N647" i="57" s="1"/>
  <c r="I1311" i="41"/>
  <c r="O833" i="57" s="1"/>
  <c r="N833" i="57" s="1"/>
  <c r="I1352" i="41"/>
  <c r="O865" i="57" s="1"/>
  <c r="N865" i="57" s="1"/>
  <c r="I189" i="41"/>
  <c r="B250" i="57" s="1"/>
  <c r="I360" i="41"/>
  <c r="O374" i="57" s="1"/>
  <c r="N374" i="57" s="1"/>
  <c r="I1043" i="41"/>
  <c r="A642" i="57" s="1"/>
  <c r="I1761" i="41"/>
  <c r="I1226" i="41"/>
  <c r="I1567" i="41"/>
  <c r="I1124" i="41"/>
  <c r="O697" i="57" s="1"/>
  <c r="I1904" i="41"/>
  <c r="K1215" i="57" s="1"/>
  <c r="I1158" i="41"/>
  <c r="I538" i="41"/>
  <c r="O491" i="57" s="1"/>
  <c r="N491" i="57" s="1"/>
  <c r="I1137" i="41"/>
  <c r="I1231" i="41"/>
  <c r="I524" i="41"/>
  <c r="O472" i="57" s="1"/>
  <c r="I1580" i="41"/>
  <c r="A1034" i="57" s="1"/>
  <c r="N1034" i="57" s="1"/>
  <c r="I1051" i="41"/>
  <c r="I1906" i="41"/>
  <c r="K1217" i="57" s="1"/>
  <c r="I898" i="41"/>
  <c r="I1319" i="41"/>
  <c r="O838" i="57" s="1"/>
  <c r="N838" i="57" s="1"/>
  <c r="I1874" i="41"/>
  <c r="I1206" i="57" s="1"/>
  <c r="I1642" i="41"/>
  <c r="O1077" i="57" s="1"/>
  <c r="N1077" i="57" s="1"/>
  <c r="I678" i="41"/>
  <c r="B550" i="57" s="1"/>
  <c r="I44" i="41"/>
  <c r="I906" i="41"/>
  <c r="I841" i="41"/>
  <c r="I171" i="41"/>
  <c r="I1059" i="41"/>
  <c r="O649" i="57" s="1"/>
  <c r="N649" i="57" s="1"/>
  <c r="I846" i="41"/>
  <c r="I1496" i="41"/>
  <c r="O972" i="57" s="1"/>
  <c r="N972" i="57" s="1"/>
  <c r="I1844" i="41"/>
  <c r="E1218" i="57" s="1"/>
  <c r="I1604" i="41"/>
  <c r="A1049" i="57" s="1"/>
  <c r="N1049" i="57" s="1"/>
  <c r="I1692" i="41"/>
  <c r="I1277" i="41"/>
  <c r="I1208" i="41"/>
  <c r="A755" i="57" s="1"/>
  <c r="N755" i="57" s="1"/>
  <c r="I963" i="41"/>
  <c r="B598" i="57" s="1"/>
  <c r="I500" i="41"/>
  <c r="O442" i="57" s="1"/>
  <c r="I1160" i="41"/>
  <c r="O721" i="57" s="1"/>
  <c r="N721" i="57" s="1"/>
  <c r="I295" i="41"/>
  <c r="A313" i="57" s="1"/>
  <c r="N313" i="57" s="1"/>
  <c r="I1780" i="41"/>
  <c r="I1197" i="57" s="1"/>
  <c r="I1910" i="41"/>
  <c r="I676" i="41"/>
  <c r="B548" i="57" s="1"/>
  <c r="I1150" i="41"/>
  <c r="I394" i="41"/>
  <c r="I690" i="41"/>
  <c r="B562" i="57" s="1"/>
  <c r="I94" i="41"/>
  <c r="I1242" i="41"/>
  <c r="O777" i="57" s="1"/>
  <c r="N777" i="57" s="1"/>
  <c r="I1835" i="41"/>
  <c r="E1209" i="57" s="1"/>
  <c r="I1880" i="41"/>
  <c r="I1212" i="57" s="1"/>
  <c r="I590" i="41"/>
  <c r="I1836" i="41"/>
  <c r="E1210" i="57" s="1"/>
  <c r="I1014" i="41"/>
  <c r="D609" i="57" s="1"/>
  <c r="I1659" i="41"/>
  <c r="A1093" i="57" s="1"/>
  <c r="N1093" i="57" s="1"/>
  <c r="I426" i="41"/>
  <c r="A406" i="57" s="1"/>
  <c r="O407" i="57" s="1"/>
  <c r="N407" i="57" s="1"/>
  <c r="C541" i="41"/>
  <c r="F541" i="41" s="1"/>
  <c r="I1451" i="41"/>
  <c r="I837" i="41"/>
  <c r="I304" i="41"/>
  <c r="A326" i="57" s="1"/>
  <c r="N326" i="57" s="1"/>
  <c r="I1038" i="41"/>
  <c r="D633" i="57" s="1"/>
  <c r="I393" i="41"/>
  <c r="I529" i="41"/>
  <c r="O479" i="57" s="1"/>
  <c r="I858" i="41"/>
  <c r="I1179" i="41"/>
  <c r="I1036" i="41"/>
  <c r="D631" i="57" s="1"/>
  <c r="I1720" i="41"/>
  <c r="A1147" i="57" s="1"/>
  <c r="N1147" i="57" s="1"/>
  <c r="I418" i="41"/>
  <c r="O394" i="57" s="1"/>
  <c r="N394" i="57" s="1"/>
  <c r="I346" i="41"/>
  <c r="A357" i="57" s="1"/>
  <c r="O358" i="57" s="1"/>
  <c r="N358" i="57" s="1"/>
  <c r="I315" i="41"/>
  <c r="A337" i="57" s="1"/>
  <c r="O337" i="57" s="1"/>
  <c r="N337" i="57" s="1"/>
  <c r="I1439" i="41"/>
  <c r="I213" i="41"/>
  <c r="D253" i="57" s="1"/>
  <c r="I789" i="41"/>
  <c r="I814" i="41"/>
  <c r="I1658" i="41"/>
  <c r="A1091" i="57" s="1"/>
  <c r="N1091" i="57" s="1"/>
  <c r="I194" i="41"/>
  <c r="B255" i="57" s="1"/>
  <c r="I1289" i="41"/>
  <c r="O814" i="57" s="1"/>
  <c r="N814" i="57" s="1"/>
  <c r="I772" i="41"/>
  <c r="I286" i="41"/>
  <c r="D301" i="57" s="1"/>
  <c r="I1482" i="41"/>
  <c r="I1542" i="41"/>
  <c r="I1740" i="41"/>
  <c r="O1164" i="57" s="1"/>
  <c r="N1164" i="57" s="1"/>
  <c r="I1901" i="41"/>
  <c r="K1212" i="57" s="1"/>
  <c r="I1450" i="41"/>
  <c r="I583" i="41"/>
  <c r="I253" i="41"/>
  <c r="I1335" i="41"/>
  <c r="I113" i="41"/>
  <c r="G206" i="57" s="1"/>
  <c r="I60" i="41"/>
  <c r="A136" i="57" s="1"/>
  <c r="N136" i="57" s="1"/>
  <c r="I1438" i="41"/>
  <c r="I404" i="41"/>
  <c r="I416" i="41"/>
  <c r="O392" i="57" s="1"/>
  <c r="N392" i="57" s="1"/>
  <c r="I198" i="41"/>
  <c r="B259" i="57" s="1"/>
  <c r="I239" i="41"/>
  <c r="I1561" i="41"/>
  <c r="O1017" i="57" s="1"/>
  <c r="I1047" i="41"/>
  <c r="I974" i="41"/>
  <c r="B609" i="57" s="1"/>
  <c r="I1448" i="41"/>
  <c r="A937" i="57" s="1"/>
  <c r="N937" i="57" s="1"/>
  <c r="I593" i="41"/>
  <c r="I1357" i="41"/>
  <c r="O867" i="57" s="1"/>
  <c r="N867" i="57" s="1"/>
  <c r="I1079" i="41"/>
  <c r="O665" i="57" s="1"/>
  <c r="I914" i="41"/>
  <c r="I965" i="41"/>
  <c r="B600" i="57" s="1"/>
  <c r="I1115" i="41"/>
  <c r="O690" i="57" s="1"/>
  <c r="N690" i="57" s="1"/>
  <c r="I1188" i="41"/>
  <c r="I589" i="41"/>
  <c r="I993" i="41"/>
  <c r="B628" i="57" s="1"/>
  <c r="I503" i="41"/>
  <c r="O445" i="57" s="1"/>
  <c r="N445" i="57" s="1"/>
  <c r="I303" i="41"/>
  <c r="O324" i="57" s="1"/>
  <c r="N324" i="57" s="1"/>
  <c r="I64" i="41"/>
  <c r="O141" i="57" s="1"/>
  <c r="N141" i="57" s="1"/>
  <c r="I1713" i="41"/>
  <c r="I1698" i="41"/>
  <c r="I170" i="41"/>
  <c r="I634" i="41"/>
  <c r="I1838" i="41"/>
  <c r="E1212" i="57" s="1"/>
  <c r="I953" i="41"/>
  <c r="I1247" i="41"/>
  <c r="A781" i="57" s="1"/>
  <c r="N781" i="57" s="1"/>
  <c r="I735" i="41"/>
  <c r="C567" i="57" s="1"/>
  <c r="I1445" i="41"/>
  <c r="O933" i="57" s="1"/>
  <c r="N933" i="57" s="1"/>
  <c r="I1884" i="41"/>
  <c r="I1216" i="57" s="1"/>
  <c r="I1191" i="41"/>
  <c r="O741" i="57" s="1"/>
  <c r="I1872" i="41"/>
  <c r="I1204" i="57" s="1"/>
  <c r="I565" i="41"/>
  <c r="I1729" i="41"/>
  <c r="A1155" i="57" s="1"/>
  <c r="O1156" i="57" s="1"/>
  <c r="N1156" i="57" s="1"/>
  <c r="I1178" i="41"/>
  <c r="A737" i="57" s="1"/>
  <c r="I513" i="41"/>
  <c r="A458" i="57" s="1"/>
  <c r="O462" i="57" s="1"/>
  <c r="N462" i="57" s="1"/>
  <c r="I32" i="41"/>
  <c r="I1433" i="41"/>
  <c r="I168" i="41"/>
  <c r="A235" i="57" s="1"/>
  <c r="I1582" i="41"/>
  <c r="I1695" i="41"/>
  <c r="O1125" i="57" s="1"/>
  <c r="N1125" i="57" s="1"/>
  <c r="I421" i="41"/>
  <c r="O399" i="57" s="1"/>
  <c r="N399" i="57" s="1"/>
  <c r="I1020" i="41"/>
  <c r="D615" i="57" s="1"/>
  <c r="I1163" i="41"/>
  <c r="A724" i="57" s="1"/>
  <c r="N724" i="57" s="1"/>
  <c r="I1039" i="41"/>
  <c r="D634" i="57" s="1"/>
  <c r="I1375" i="41"/>
  <c r="O880" i="57" s="1"/>
  <c r="I1291" i="41"/>
  <c r="O816" i="57" s="1"/>
  <c r="N816" i="57" s="1"/>
  <c r="I892" i="41"/>
  <c r="I406" i="41"/>
  <c r="I818" i="41"/>
  <c r="I1532" i="41"/>
  <c r="O997" i="57" s="1"/>
  <c r="I1520" i="41"/>
  <c r="I1095" i="41"/>
  <c r="I114" i="41"/>
  <c r="I206" i="57" s="1"/>
  <c r="I379" i="41"/>
  <c r="I1514" i="41"/>
  <c r="O984" i="57" s="1"/>
  <c r="N984" i="57" s="1"/>
  <c r="I1577" i="41"/>
  <c r="O1030" i="57" s="1"/>
  <c r="N1030" i="57" s="1"/>
  <c r="I40" i="41"/>
  <c r="I1575" i="41"/>
  <c r="I1770" i="41"/>
  <c r="I209" i="41"/>
  <c r="D249" i="57" s="1"/>
  <c r="I1651" i="41"/>
  <c r="O1084" i="57" s="1"/>
  <c r="N1084" i="57" s="1"/>
  <c r="I12" i="41"/>
  <c r="A91" i="57" s="1"/>
  <c r="I997" i="41"/>
  <c r="B632" i="57" s="1"/>
  <c r="I1717" i="41"/>
  <c r="O1144" i="57" s="1"/>
  <c r="N1144" i="57" s="1"/>
  <c r="I1637" i="41"/>
  <c r="A1073" i="57" s="1"/>
  <c r="N1073" i="57" s="1"/>
  <c r="I437" i="41"/>
  <c r="I1058" i="41"/>
  <c r="O648" i="57" s="1"/>
  <c r="N648" i="57" s="1"/>
  <c r="I1483" i="41"/>
  <c r="O961" i="57" s="1"/>
  <c r="I1484" i="41"/>
  <c r="O962" i="57" s="1"/>
  <c r="N962" i="57" s="1"/>
  <c r="I1229" i="41"/>
  <c r="I1511" i="41"/>
  <c r="I756" i="41"/>
  <c r="I693" i="41"/>
  <c r="B565" i="57" s="1"/>
  <c r="I869" i="41"/>
  <c r="I1368" i="41"/>
  <c r="O875" i="57" s="1"/>
  <c r="N875" i="57" s="1"/>
  <c r="I468" i="41"/>
  <c r="I411" i="41"/>
  <c r="I591" i="41"/>
  <c r="I1570" i="41"/>
  <c r="I1384" i="41"/>
  <c r="A889" i="57" s="1"/>
  <c r="N889" i="57" s="1"/>
  <c r="I1355" i="41"/>
  <c r="I1742" i="41"/>
  <c r="A1166" i="57" s="1"/>
  <c r="N1166" i="57" s="1"/>
  <c r="I456" i="41"/>
  <c r="I1290" i="41"/>
  <c r="O815" i="57" s="1"/>
  <c r="N815" i="57" s="1"/>
  <c r="I369" i="41"/>
  <c r="I172" i="41"/>
  <c r="I380" i="41"/>
  <c r="I1202" i="41"/>
  <c r="A750" i="57" s="1"/>
  <c r="N750" i="57" s="1"/>
  <c r="I1066" i="41"/>
  <c r="I1755" i="41"/>
  <c r="O1179" i="57" s="1"/>
  <c r="N1179" i="57" s="1"/>
  <c r="I957" i="41"/>
  <c r="A592" i="57" s="1"/>
  <c r="O593" i="57" s="1"/>
  <c r="N593" i="57" s="1"/>
  <c r="I1875" i="41"/>
  <c r="I1207" i="57" s="1"/>
  <c r="I466" i="41"/>
  <c r="I576" i="41"/>
  <c r="I90" i="41"/>
  <c r="O180" i="57" s="1"/>
  <c r="N180" i="57" s="1"/>
  <c r="I1234" i="41"/>
  <c r="A771" i="57" s="1"/>
  <c r="N771" i="57" s="1"/>
  <c r="I1120" i="41"/>
  <c r="I1826" i="41"/>
  <c r="E1200" i="57" s="1"/>
  <c r="I1379" i="41"/>
  <c r="I1119" i="41"/>
  <c r="A695" i="57" s="1"/>
  <c r="N695" i="57" s="1"/>
  <c r="I781" i="41"/>
  <c r="I1848" i="41"/>
  <c r="G1201" i="57" s="1"/>
  <c r="I242" i="41"/>
  <c r="I1840" i="41"/>
  <c r="E1214" i="57" s="1"/>
  <c r="I1337" i="41"/>
  <c r="O851" i="57" s="1"/>
  <c r="N851" i="57" s="1"/>
  <c r="I1621" i="41"/>
  <c r="I252" i="41"/>
  <c r="I1646" i="41"/>
  <c r="I632" i="41"/>
  <c r="I1342" i="41"/>
  <c r="O855" i="57" s="1"/>
  <c r="N855" i="57" s="1"/>
  <c r="I1292" i="41"/>
  <c r="A817" i="57" s="1"/>
  <c r="N817" i="57" s="1"/>
  <c r="I1114" i="41"/>
  <c r="O689" i="57" s="1"/>
  <c r="I364" i="41"/>
  <c r="I347" i="41"/>
  <c r="A359" i="57" s="1"/>
  <c r="N359" i="57" s="1"/>
  <c r="I496" i="41"/>
  <c r="O435" i="57" s="1"/>
  <c r="N435" i="57" s="1"/>
  <c r="I1533" i="41"/>
  <c r="O998" i="57" s="1"/>
  <c r="N998" i="57" s="1"/>
  <c r="I210" i="41"/>
  <c r="D250" i="57" s="1"/>
  <c r="I342" i="41"/>
  <c r="I320" i="41"/>
  <c r="A344" i="57" s="1"/>
  <c r="O345" i="57" s="1"/>
  <c r="N345" i="57" s="1"/>
  <c r="I1107" i="41"/>
  <c r="O684" i="57" s="1"/>
  <c r="N684" i="57" s="1"/>
  <c r="I259" i="41"/>
  <c r="A286" i="57" s="1"/>
  <c r="O285" i="57" s="1"/>
  <c r="N285" i="57" s="1"/>
  <c r="I311" i="41"/>
  <c r="B334" i="57" s="1"/>
  <c r="I1727" i="41"/>
  <c r="O1152" i="57" s="1"/>
  <c r="N1152" i="57" s="1"/>
  <c r="I1497" i="41"/>
  <c r="I1546" i="41"/>
  <c r="O1008" i="57" s="1"/>
  <c r="N1008" i="57" s="1"/>
  <c r="I672" i="41"/>
  <c r="I764" i="41"/>
  <c r="I840" i="41"/>
  <c r="I712" i="41"/>
  <c r="B584" i="57" s="1"/>
  <c r="I1748" i="41"/>
  <c r="I687" i="41"/>
  <c r="B559" i="57" s="1"/>
  <c r="I1162" i="41"/>
  <c r="O723" i="57" s="1"/>
  <c r="N723" i="57" s="1"/>
  <c r="I1050" i="41"/>
  <c r="I897" i="41"/>
  <c r="I1834" i="41"/>
  <c r="E1208" i="57" s="1"/>
  <c r="I766" i="41"/>
  <c r="I118" i="41"/>
  <c r="A210" i="57" s="1"/>
  <c r="I409" i="41"/>
  <c r="I1387" i="41"/>
  <c r="A891" i="57" s="1"/>
  <c r="N891" i="57" s="1"/>
  <c r="I1547" i="41"/>
  <c r="O1009" i="57" s="1"/>
  <c r="N1009" i="57" s="1"/>
  <c r="I187" i="41"/>
  <c r="B248" i="57" s="1"/>
  <c r="I470" i="41"/>
  <c r="I1495" i="41"/>
  <c r="O971" i="57" s="1"/>
  <c r="N971" i="57" s="1"/>
  <c r="I97" i="41"/>
  <c r="O188" i="57" s="1"/>
  <c r="N188" i="57" s="1"/>
  <c r="I1696" i="41"/>
  <c r="A1126" i="57" s="1"/>
  <c r="N1126" i="57" s="1"/>
  <c r="I1854" i="41"/>
  <c r="G1207" i="57" s="1"/>
  <c r="I1489" i="41"/>
  <c r="I1055" i="41"/>
  <c r="I1068" i="41"/>
  <c r="I1477" i="41"/>
  <c r="O958" i="57" s="1"/>
  <c r="N958" i="57" s="1"/>
  <c r="I793" i="41"/>
  <c r="I867" i="41"/>
  <c r="I1122" i="41"/>
  <c r="I918" i="41"/>
  <c r="I1802" i="41"/>
  <c r="B1218" i="57" s="1"/>
  <c r="I109" i="41"/>
  <c r="I1708" i="41"/>
  <c r="O1138" i="57" s="1"/>
  <c r="I1203" i="41"/>
  <c r="I908" i="41"/>
  <c r="I247" i="41"/>
  <c r="I1339" i="41"/>
  <c r="O853" i="57" s="1"/>
  <c r="N853" i="57" s="1"/>
  <c r="I878" i="41"/>
  <c r="I992" i="41"/>
  <c r="B627" i="57" s="1"/>
  <c r="I27" i="41"/>
  <c r="I424" i="41"/>
  <c r="A403" i="57" s="1"/>
  <c r="N403" i="57" s="1"/>
  <c r="I88" i="41"/>
  <c r="A177" i="57" s="1"/>
  <c r="O177" i="57" s="1"/>
  <c r="N177" i="57" s="1"/>
  <c r="I1878" i="41"/>
  <c r="I1210" i="57" s="1"/>
  <c r="I609" i="41"/>
  <c r="I1730" i="41"/>
  <c r="A1157" i="57" s="1"/>
  <c r="N1157" i="57" s="1"/>
  <c r="I1195" i="41"/>
  <c r="I921" i="41"/>
  <c r="I518" i="41"/>
  <c r="A464" i="57" s="1"/>
  <c r="N464" i="57" s="1"/>
  <c r="I1640" i="41"/>
  <c r="O1075" i="57" s="1"/>
  <c r="N1075" i="57" s="1"/>
  <c r="I1699" i="41"/>
  <c r="I222" i="41"/>
  <c r="D262" i="57" s="1"/>
  <c r="I1213" i="41"/>
  <c r="I1650" i="41"/>
  <c r="O1083" i="57" s="1"/>
  <c r="N1083" i="57" s="1"/>
  <c r="I157" i="41"/>
  <c r="A222" i="57" s="1"/>
  <c r="N222" i="57" s="1"/>
  <c r="I478" i="41"/>
  <c r="I692" i="41"/>
  <c r="B564" i="57" s="1"/>
  <c r="I614" i="41"/>
  <c r="I378" i="41"/>
  <c r="I587" i="41"/>
  <c r="I808" i="41"/>
  <c r="I1541" i="41"/>
  <c r="A1006" i="57" s="1"/>
  <c r="N1006" i="57" s="1"/>
  <c r="I1167" i="41"/>
  <c r="I1563" i="41"/>
  <c r="O1019" i="57" s="1"/>
  <c r="N1019" i="57" s="1"/>
  <c r="I1588" i="41"/>
  <c r="I107" i="41"/>
  <c r="A198" i="57" s="1"/>
  <c r="O199" i="57" s="1"/>
  <c r="N199" i="57" s="1"/>
  <c r="I902" i="41"/>
  <c r="I1222" i="41"/>
  <c r="O766" i="57" s="1"/>
  <c r="N766" i="57" s="1"/>
  <c r="I1833" i="41"/>
  <c r="E1207" i="57" s="1"/>
  <c r="I1629" i="41"/>
  <c r="I1359" i="41"/>
  <c r="O869" i="57" s="1"/>
  <c r="N869" i="57" s="1"/>
  <c r="I477" i="41"/>
  <c r="I641" i="41"/>
  <c r="I429" i="41"/>
  <c r="A410" i="57" s="1"/>
  <c r="N410" i="57" s="1"/>
  <c r="I45" i="41"/>
  <c r="I1151" i="41"/>
  <c r="O714" i="57" s="1"/>
  <c r="I705" i="41"/>
  <c r="B577" i="57" s="1"/>
  <c r="I1543" i="41"/>
  <c r="I483" i="41"/>
  <c r="I1716" i="41"/>
  <c r="O1143" i="57" s="1"/>
  <c r="N1143" i="57" s="1"/>
  <c r="I879" i="41"/>
  <c r="I1303" i="41"/>
  <c r="O825" i="57" s="1"/>
  <c r="I1624" i="41"/>
  <c r="O1064" i="57" s="1"/>
  <c r="N1064" i="57" s="1"/>
  <c r="I989" i="41"/>
  <c r="B624" i="57" s="1"/>
  <c r="I1499" i="41"/>
  <c r="O974" i="57" s="1"/>
  <c r="N974" i="57" s="1"/>
  <c r="I560" i="41"/>
  <c r="I912" i="41"/>
  <c r="I1766" i="41"/>
  <c r="A1187" i="57" s="1"/>
  <c r="N1187" i="57" s="1"/>
  <c r="I1332" i="41"/>
  <c r="I1108" i="41"/>
  <c r="O685" i="57" s="1"/>
  <c r="N685" i="57" s="1"/>
  <c r="I1407" i="41"/>
  <c r="O905" i="57" s="1"/>
  <c r="N905" i="57" s="1"/>
  <c r="I1409" i="41"/>
  <c r="A908" i="57" s="1"/>
  <c r="N908" i="57" s="1"/>
  <c r="I55" i="41"/>
  <c r="O129" i="57" s="1"/>
  <c r="I474" i="41"/>
  <c r="I515" i="41"/>
  <c r="A460" i="57" s="1"/>
  <c r="N460" i="57" s="1"/>
  <c r="I682" i="41"/>
  <c r="B554" i="57" s="1"/>
  <c r="I806" i="41"/>
  <c r="I983" i="41"/>
  <c r="B618" i="57" s="1"/>
  <c r="I990" i="41"/>
  <c r="B625" i="57" s="1"/>
  <c r="I832" i="41"/>
  <c r="I1001" i="41"/>
  <c r="D596" i="57" s="1"/>
  <c r="I1306" i="41"/>
  <c r="O828" i="57" s="1"/>
  <c r="N828" i="57" s="1"/>
  <c r="I1131" i="41"/>
  <c r="O703" i="57" s="1"/>
  <c r="N703" i="57" s="1"/>
  <c r="I664" i="41"/>
  <c r="O541" i="57" s="1"/>
  <c r="N541" i="57" s="1"/>
  <c r="I1330" i="41"/>
  <c r="A846" i="57" s="1"/>
  <c r="N846" i="57" s="1"/>
  <c r="I1215" i="41"/>
  <c r="O760" i="57" s="1"/>
  <c r="N760" i="57" s="1"/>
  <c r="I68" i="41"/>
  <c r="A148" i="57" s="1"/>
  <c r="O149" i="57" s="1"/>
  <c r="N149" i="57" s="1"/>
  <c r="I1847" i="41"/>
  <c r="G1200" i="57" s="1"/>
  <c r="I1488" i="41"/>
  <c r="A967" i="57" s="1"/>
  <c r="N967" i="57" s="1"/>
  <c r="I1790" i="41"/>
  <c r="B1206" i="57" s="1"/>
  <c r="I1892" i="41"/>
  <c r="K1203" i="57" s="1"/>
  <c r="I830" i="41"/>
  <c r="I1279" i="41"/>
  <c r="O807" i="57" s="1"/>
  <c r="I464" i="41"/>
  <c r="I1586" i="41"/>
  <c r="O1037" i="57" s="1"/>
  <c r="N1037" i="57" s="1"/>
  <c r="I1508" i="41"/>
  <c r="O981" i="57" s="1"/>
  <c r="N981" i="57" s="1"/>
  <c r="I911" i="41"/>
  <c r="I612" i="41"/>
  <c r="I1719" i="41"/>
  <c r="A1146" i="57" s="1"/>
  <c r="N1146" i="57" s="1"/>
  <c r="I847" i="41"/>
  <c r="I261" i="41"/>
  <c r="I1417" i="41"/>
  <c r="O913" i="57" s="1"/>
  <c r="N913" i="57" s="1"/>
  <c r="I33" i="41"/>
  <c r="I1614" i="41"/>
  <c r="I299" i="41"/>
  <c r="A319" i="57" s="1"/>
  <c r="N319" i="57" s="1"/>
  <c r="I1224" i="41"/>
  <c r="I1487" i="41"/>
  <c r="A965" i="57" s="1"/>
  <c r="N965" i="57" s="1"/>
  <c r="I758" i="41"/>
  <c r="I970" i="41"/>
  <c r="B605" i="57" s="1"/>
  <c r="I1777" i="41"/>
  <c r="C1197" i="57" s="1"/>
  <c r="I533" i="41"/>
  <c r="A484" i="57" s="1"/>
  <c r="N484" i="57" s="1"/>
  <c r="I357" i="41"/>
  <c r="I1029" i="41"/>
  <c r="D624" i="57" s="1"/>
  <c r="I372" i="41"/>
  <c r="I1056" i="41"/>
  <c r="O646" i="57" s="1"/>
  <c r="I368" i="41"/>
  <c r="I784" i="41"/>
  <c r="I201" i="41"/>
  <c r="B262" i="57" s="1"/>
  <c r="I1470" i="41"/>
  <c r="O954" i="57" s="1"/>
  <c r="N954" i="57" s="1"/>
  <c r="I673" i="41"/>
  <c r="I1794" i="41"/>
  <c r="B1210" i="57" s="1"/>
  <c r="I940" i="41"/>
  <c r="I752" i="41"/>
  <c r="C584" i="57" s="1"/>
  <c r="I1408" i="41"/>
  <c r="A906" i="57" s="1"/>
  <c r="N906" i="57" s="1"/>
  <c r="I1200" i="41"/>
  <c r="I340" i="41"/>
  <c r="I215" i="41"/>
  <c r="D255" i="57" s="1"/>
  <c r="I919" i="41"/>
  <c r="I1893" i="41"/>
  <c r="K1204" i="57" s="1"/>
  <c r="I854" i="41"/>
  <c r="I1314" i="41"/>
  <c r="I363" i="41"/>
  <c r="O378" i="57" s="1"/>
  <c r="I488" i="41"/>
  <c r="I622" i="41"/>
  <c r="I1591" i="41"/>
  <c r="O1039" i="57" s="1"/>
  <c r="I1398" i="41"/>
  <c r="O899" i="57" s="1"/>
  <c r="N899" i="57" s="1"/>
  <c r="I1405" i="41"/>
  <c r="O903" i="57" s="1"/>
  <c r="N903" i="57" s="1"/>
  <c r="I1017" i="41"/>
  <c r="D612" i="57" s="1"/>
  <c r="I639" i="41"/>
  <c r="I522" i="41"/>
  <c r="A469" i="57" s="1"/>
  <c r="N469" i="57" s="1"/>
  <c r="I1411" i="41"/>
  <c r="I276" i="41"/>
  <c r="A291" i="57" s="1"/>
  <c r="N291" i="57" s="1"/>
  <c r="I197" i="41"/>
  <c r="B258" i="57" s="1"/>
  <c r="I1795" i="41"/>
  <c r="B1211" i="57" s="1"/>
  <c r="I5" i="41"/>
  <c r="A25" i="57" s="1"/>
  <c r="N25" i="57" s="1"/>
  <c r="I1548" i="41"/>
  <c r="O1010" i="57" s="1"/>
  <c r="N1010" i="57" s="1"/>
  <c r="I1090" i="41"/>
  <c r="I1523" i="41"/>
  <c r="O990" i="57" s="1"/>
  <c r="N990" i="57" s="1"/>
  <c r="I1528" i="41"/>
  <c r="I697" i="41"/>
  <c r="B569" i="57" s="1"/>
  <c r="I1362" i="41"/>
  <c r="A871" i="57" s="1"/>
  <c r="N871" i="57" s="1"/>
  <c r="I1064" i="41"/>
  <c r="O653" i="57" s="1"/>
  <c r="N653" i="57" s="1"/>
  <c r="I472" i="41"/>
  <c r="I1210" i="41"/>
  <c r="I36" i="41"/>
  <c r="I708" i="41"/>
  <c r="B580" i="57" s="1"/>
  <c r="I1851" i="41"/>
  <c r="G1204" i="57" s="1"/>
  <c r="I618" i="41"/>
  <c r="I318" i="41"/>
  <c r="O341" i="57" s="1"/>
  <c r="N341" i="57" s="1"/>
  <c r="I182" i="41"/>
  <c r="B243" i="57" s="1"/>
  <c r="I973" i="41"/>
  <c r="B608" i="57" s="1"/>
  <c r="I885" i="41"/>
  <c r="I1779" i="41"/>
  <c r="G1197" i="57" s="1"/>
  <c r="I1572" i="41"/>
  <c r="O1026" i="57" s="1"/>
  <c r="N1026" i="57" s="1"/>
  <c r="I1161" i="41"/>
  <c r="O722" i="57" s="1"/>
  <c r="N722" i="57" s="1"/>
  <c r="I1420" i="41"/>
  <c r="O915" i="57" s="1"/>
  <c r="N915" i="57" s="1"/>
  <c r="I915" i="41"/>
  <c r="I635" i="41"/>
  <c r="I1897" i="41"/>
  <c r="K1208" i="57" s="1"/>
  <c r="I1886" i="41"/>
  <c r="I1218" i="57" s="1"/>
  <c r="I774" i="41"/>
  <c r="I721" i="41"/>
  <c r="C553" i="57" s="1"/>
  <c r="I1517" i="41"/>
  <c r="I629" i="41"/>
  <c r="I1049" i="41"/>
  <c r="I1536" i="41"/>
  <c r="I1060" i="41"/>
  <c r="I1140" i="41"/>
  <c r="I688" i="41"/>
  <c r="B560" i="57" s="1"/>
  <c r="I1008" i="41"/>
  <c r="D603" i="57" s="1"/>
  <c r="I11" i="41"/>
  <c r="A88" i="57" s="1"/>
  <c r="N88" i="57" s="1"/>
  <c r="I1412" i="41"/>
  <c r="I701" i="41"/>
  <c r="B573" i="57" s="1"/>
  <c r="I917" i="41"/>
  <c r="I9" i="41"/>
  <c r="I1276" i="41"/>
  <c r="I605" i="41"/>
  <c r="I460" i="41"/>
  <c r="I1225" i="41"/>
  <c r="I838" i="41"/>
  <c r="I1462" i="41"/>
  <c r="A948" i="57" s="1"/>
  <c r="N948" i="57" s="1"/>
  <c r="I1443" i="41"/>
  <c r="O931" i="57" s="1"/>
  <c r="I943" i="41"/>
  <c r="I920" i="41"/>
  <c r="I1860" i="41"/>
  <c r="G1213" i="57" s="1"/>
  <c r="I711" i="41"/>
  <c r="B583" i="57" s="1"/>
  <c r="I714" i="41"/>
  <c r="B586" i="57" s="1"/>
  <c r="I1841" i="41"/>
  <c r="E1215" i="57" s="1"/>
  <c r="I1707" i="41"/>
  <c r="A1137" i="57" s="1"/>
  <c r="N1137" i="57" s="1"/>
  <c r="I451" i="41"/>
  <c r="I1402" i="41"/>
  <c r="I677" i="41"/>
  <c r="B549" i="57" s="1"/>
  <c r="I1454" i="41"/>
  <c r="O940" i="57" s="1"/>
  <c r="N940" i="57" s="1"/>
  <c r="I1348" i="41"/>
  <c r="A861" i="57" s="1"/>
  <c r="N861" i="57" s="1"/>
  <c r="I257" i="41"/>
  <c r="O283" i="57" s="1"/>
  <c r="N283" i="57" s="1"/>
  <c r="I811" i="41"/>
  <c r="I290" i="41"/>
  <c r="A306" i="57" s="1"/>
  <c r="N306" i="57" s="1"/>
  <c r="I1324" i="41"/>
  <c r="I857" i="41"/>
  <c r="I1251" i="41"/>
  <c r="O783" i="57" s="1"/>
  <c r="N783" i="57" s="1"/>
  <c r="I1788" i="41"/>
  <c r="B1204" i="57" s="1"/>
  <c r="I1643" i="41"/>
  <c r="A1078" i="57" s="1"/>
  <c r="N1078" i="57" s="1"/>
  <c r="I842" i="41"/>
  <c r="I603" i="41"/>
  <c r="I1128" i="41"/>
  <c r="I791" i="41"/>
  <c r="I14" i="41"/>
  <c r="A95" i="57" s="1"/>
  <c r="O96" i="57" s="1"/>
  <c r="N96" i="57" s="1"/>
  <c r="I1096" i="41"/>
  <c r="I525" i="41"/>
  <c r="O473" i="57" s="1"/>
  <c r="N473" i="57" s="1"/>
  <c r="I1796" i="41"/>
  <c r="B1212" i="57" s="1"/>
  <c r="I1383" i="41"/>
  <c r="O887" i="57" s="1"/>
  <c r="N887" i="57" s="1"/>
  <c r="I322" i="41"/>
  <c r="I493" i="41"/>
  <c r="A431" i="57" s="1"/>
  <c r="O437" i="57" s="1"/>
  <c r="N437" i="57" s="1"/>
  <c r="I1666" i="41"/>
  <c r="I1371" i="41"/>
  <c r="I760" i="41"/>
  <c r="I596" i="41"/>
  <c r="I448" i="41"/>
  <c r="I836" i="41"/>
  <c r="I389" i="41"/>
  <c r="I258" i="41"/>
  <c r="O284" i="57" s="1"/>
  <c r="N284" i="57" s="1"/>
  <c r="I1077" i="41"/>
  <c r="I1380" i="41"/>
  <c r="O884" i="57" s="1"/>
  <c r="I996" i="41"/>
  <c r="B631" i="57" s="1"/>
  <c r="I1598" i="41"/>
  <c r="I1601" i="41"/>
  <c r="O1046" i="57" s="1"/>
  <c r="N1046" i="57" s="1"/>
  <c r="I316" i="41"/>
  <c r="O339" i="57" s="1"/>
  <c r="I1260" i="41"/>
  <c r="O790" i="57" s="1"/>
  <c r="I1441" i="41"/>
  <c r="I1081" i="41"/>
  <c r="O667" i="57" s="1"/>
  <c r="N667" i="57" s="1"/>
  <c r="I155" i="41"/>
  <c r="A218" i="57" s="1"/>
  <c r="N218" i="57" s="1"/>
  <c r="I1238" i="41"/>
  <c r="O774" i="57" s="1"/>
  <c r="N774" i="57" s="1"/>
  <c r="I1756" i="41"/>
  <c r="O1180" i="57" s="1"/>
  <c r="N1180" i="57" s="1"/>
  <c r="I352" i="41"/>
  <c r="I1442" i="41"/>
  <c r="I1345" i="41"/>
  <c r="A859" i="57" s="1"/>
  <c r="N859" i="57" s="1"/>
  <c r="I296" i="41"/>
  <c r="A315" i="57" s="1"/>
  <c r="N315" i="57" s="1"/>
  <c r="I326" i="41"/>
  <c r="I1092" i="41"/>
  <c r="I366" i="41"/>
  <c r="I521" i="41"/>
  <c r="A468" i="57" s="1"/>
  <c r="N468" i="57" s="1"/>
  <c r="I1072" i="41"/>
  <c r="O659" i="57" s="1"/>
  <c r="N659" i="57" s="1"/>
  <c r="I1317" i="41"/>
  <c r="O836" i="57" s="1"/>
  <c r="I1648" i="41"/>
  <c r="I584" i="41"/>
  <c r="I1711" i="41"/>
  <c r="O1141" i="57" s="1"/>
  <c r="N1141" i="57" s="1"/>
  <c r="I1721" i="41"/>
  <c r="I941" i="41"/>
  <c r="I1281" i="41"/>
  <c r="O809" i="57" s="1"/>
  <c r="N809" i="57" s="1"/>
  <c r="I1607" i="41"/>
  <c r="I1446" i="41"/>
  <c r="O934" i="57" s="1"/>
  <c r="N934" i="57" s="1"/>
  <c r="I1830" i="41"/>
  <c r="E1204" i="57" s="1"/>
  <c r="I1602" i="41"/>
  <c r="O1047" i="57" s="1"/>
  <c r="N1047" i="57" s="1"/>
  <c r="I698" i="41"/>
  <c r="B570" i="57" s="1"/>
  <c r="I703" i="41"/>
  <c r="B575" i="57" s="1"/>
  <c r="I277" i="41"/>
  <c r="A293" i="57" s="1"/>
  <c r="N293" i="57" s="1"/>
  <c r="I41" i="41"/>
  <c r="I776" i="41"/>
  <c r="I1424" i="41"/>
  <c r="I175" i="41"/>
  <c r="I34" i="41"/>
  <c r="I704" i="41"/>
  <c r="B576" i="57" s="1"/>
  <c r="I1846" i="41"/>
  <c r="G1199" i="57" s="1"/>
  <c r="I1152" i="41"/>
  <c r="O715" i="57" s="1"/>
  <c r="N715" i="57" s="1"/>
  <c r="I1381" i="41"/>
  <c r="O885" i="57" s="1"/>
  <c r="N885" i="57" s="1"/>
  <c r="I1146" i="41"/>
  <c r="O710" i="57" s="1"/>
  <c r="I631" i="41"/>
  <c r="I1295" i="41"/>
  <c r="I100" i="41"/>
  <c r="A193" i="57" s="1"/>
  <c r="N193" i="57" s="1"/>
  <c r="I1344" i="41"/>
  <c r="O857" i="57" s="1"/>
  <c r="N857" i="57" s="1"/>
  <c r="I1282" i="41"/>
  <c r="O810" i="57" s="1"/>
  <c r="N810" i="57" s="1"/>
  <c r="I1644" i="41"/>
  <c r="A1080" i="57" s="1"/>
  <c r="N1080" i="57" s="1"/>
  <c r="I1363" i="41"/>
  <c r="I211" i="41"/>
  <c r="D251" i="57" s="1"/>
  <c r="I1595" i="41"/>
  <c r="I401" i="41"/>
  <c r="I489" i="41"/>
  <c r="I1549" i="41"/>
  <c r="I1900" i="41"/>
  <c r="K1211" i="57" s="1"/>
  <c r="I459" i="41"/>
  <c r="I111" i="41"/>
  <c r="A204" i="57" s="1"/>
  <c r="N204" i="57" s="1"/>
  <c r="I536" i="41"/>
  <c r="I1157" i="41"/>
  <c r="A719" i="57" s="1"/>
  <c r="N719" i="57" s="1"/>
  <c r="I775" i="41"/>
  <c r="I768" i="41"/>
  <c r="I314" i="41"/>
  <c r="D335" i="57" s="1"/>
  <c r="I627" i="41"/>
  <c r="I644" i="41"/>
  <c r="A525" i="57" s="1"/>
  <c r="N525" i="57" s="1"/>
  <c r="I115" i="41"/>
  <c r="A207" i="57" s="1"/>
  <c r="I1360" i="41"/>
  <c r="I1616" i="41"/>
  <c r="O1058" i="57" s="1"/>
  <c r="N1058" i="57" s="1"/>
  <c r="I1366" i="41"/>
  <c r="O873" i="57" s="1"/>
  <c r="N873" i="57" s="1"/>
  <c r="I476" i="41"/>
  <c r="I1449" i="41"/>
  <c r="I748" i="41"/>
  <c r="C580" i="57" s="1"/>
  <c r="I1712" i="41"/>
  <c r="I1201" i="41"/>
  <c r="I1771" i="41"/>
  <c r="I116" i="41"/>
  <c r="A208" i="57" s="1"/>
  <c r="I773" i="41"/>
  <c r="I1239" i="41"/>
  <c r="O775" i="57" s="1"/>
  <c r="N775" i="57" s="1"/>
  <c r="I300" i="41"/>
  <c r="O321" i="57" s="1"/>
  <c r="I1626" i="41"/>
  <c r="O1066" i="57" s="1"/>
  <c r="N1066" i="57" s="1"/>
  <c r="I18" i="41"/>
  <c r="A103" i="57" s="1"/>
  <c r="O103" i="57" s="1"/>
  <c r="N103" i="57" s="1"/>
  <c r="I831" i="41"/>
  <c r="I1539" i="41"/>
  <c r="O1003" i="57" s="1"/>
  <c r="N1003" i="57" s="1"/>
  <c r="I371" i="41"/>
  <c r="I1341" i="41"/>
  <c r="O854" i="57" s="1"/>
  <c r="I1458" i="41"/>
  <c r="O943" i="57" s="1"/>
  <c r="I338" i="41"/>
  <c r="I1199" i="41"/>
  <c r="O748" i="57" s="1"/>
  <c r="N748" i="57" s="1"/>
  <c r="I83" i="41"/>
  <c r="A170" i="57" s="1"/>
  <c r="O171" i="57" s="1"/>
  <c r="N171" i="57" s="1"/>
  <c r="I1185" i="41"/>
  <c r="I463" i="41"/>
  <c r="I47" i="41"/>
  <c r="I586" i="41"/>
  <c r="I1343" i="41"/>
  <c r="O856" i="57" s="1"/>
  <c r="N856" i="57" s="1"/>
  <c r="I827" i="41"/>
  <c r="I1557" i="41"/>
  <c r="I1067" i="41"/>
  <c r="A655" i="57" s="1"/>
  <c r="N655" i="57" s="1"/>
  <c r="I1792" i="41"/>
  <c r="B1208" i="57" s="1"/>
  <c r="I810" i="41"/>
  <c r="I976" i="41"/>
  <c r="B611" i="57" s="1"/>
  <c r="I543" i="41"/>
  <c r="I200" i="41"/>
  <c r="B261" i="57" s="1"/>
  <c r="I1853" i="41"/>
  <c r="G1206" i="57" s="1"/>
  <c r="I1689" i="41"/>
  <c r="I628" i="41"/>
  <c r="I312" i="41"/>
  <c r="B335" i="57" s="1"/>
  <c r="I1630" i="41"/>
  <c r="O1067" i="57" s="1"/>
  <c r="I204" i="41"/>
  <c r="D244" i="57" s="1"/>
  <c r="I191" i="41"/>
  <c r="B252" i="57" s="1"/>
  <c r="I1315" i="41"/>
  <c r="I1859" i="41"/>
  <c r="G1212" i="57" s="1"/>
  <c r="I1862" i="41"/>
  <c r="G1215" i="57" s="1"/>
  <c r="I786" i="41"/>
  <c r="I1437" i="41"/>
  <c r="O928" i="57" s="1"/>
  <c r="N928" i="57" s="1"/>
  <c r="I888" i="41"/>
  <c r="I1824" i="41"/>
  <c r="E1198" i="57" s="1"/>
  <c r="I893" i="41"/>
  <c r="I1305" i="41"/>
  <c r="O827" i="57" s="1"/>
  <c r="N827" i="57" s="1"/>
  <c r="I1264" i="41"/>
  <c r="I623" i="41"/>
  <c r="I602" i="41"/>
  <c r="I1507" i="41"/>
  <c r="O980" i="57" s="1"/>
  <c r="N980" i="57" s="1"/>
  <c r="I1156" i="41"/>
  <c r="I124" i="41"/>
  <c r="A216" i="57" s="1"/>
  <c r="O217" i="57" s="1"/>
  <c r="N217" i="57" s="1"/>
  <c r="I679" i="41"/>
  <c r="B551" i="57" s="1"/>
  <c r="I301" i="41"/>
  <c r="O322" i="57" s="1"/>
  <c r="N322" i="57" s="1"/>
  <c r="I1736" i="41"/>
  <c r="I164" i="41"/>
  <c r="I1248" i="41"/>
  <c r="I387" i="41"/>
  <c r="I1468" i="41"/>
  <c r="O952" i="57" s="1"/>
  <c r="N952" i="57" s="1"/>
  <c r="I667" i="41"/>
  <c r="I112" i="41"/>
  <c r="E206" i="57" s="1"/>
  <c r="I1094" i="41"/>
  <c r="I861" i="41"/>
  <c r="I29" i="41"/>
  <c r="I1461" i="41"/>
  <c r="O946" i="57" s="1"/>
  <c r="N946" i="57" s="1"/>
  <c r="I669" i="41"/>
  <c r="C546" i="57" s="1"/>
  <c r="I744" i="41"/>
  <c r="C576" i="57" s="1"/>
  <c r="I1257" i="41"/>
  <c r="I903" i="41"/>
  <c r="I1784" i="41"/>
  <c r="B1200" i="57" s="1"/>
  <c r="I1469" i="41"/>
  <c r="O953" i="57" s="1"/>
  <c r="N953" i="57" s="1"/>
  <c r="I1258" i="41"/>
  <c r="I449" i="41"/>
  <c r="I1088" i="41"/>
  <c r="A675" i="57" s="1"/>
  <c r="N675" i="57" s="1"/>
  <c r="I1034" i="41"/>
  <c r="D629" i="57" s="1"/>
  <c r="I1083" i="41"/>
  <c r="I1500" i="41"/>
  <c r="O975" i="57" s="1"/>
  <c r="N975" i="57" s="1"/>
  <c r="I1475" i="41"/>
  <c r="O956" i="57" s="1"/>
  <c r="N956" i="57" s="1"/>
  <c r="I498" i="41"/>
  <c r="A438" i="57" s="1"/>
  <c r="O439" i="57" s="1"/>
  <c r="N439" i="57" s="1"/>
  <c r="I1431" i="41"/>
  <c r="I828" i="41"/>
  <c r="I555" i="41"/>
  <c r="I179" i="41"/>
  <c r="B241" i="57" s="1"/>
  <c r="I1404" i="41"/>
  <c r="O902" i="57" s="1"/>
  <c r="I1562" i="41"/>
  <c r="O1018" i="57" s="1"/>
  <c r="N1018" i="57" s="1"/>
  <c r="I435" i="41"/>
  <c r="O415" i="57" s="1"/>
  <c r="N415" i="57" s="1"/>
  <c r="I889" i="41"/>
  <c r="I1907" i="41"/>
  <c r="K1218" i="57" s="1"/>
  <c r="I1400" i="41"/>
  <c r="I98" i="41"/>
  <c r="O189" i="57" s="1"/>
  <c r="N189" i="57" s="1"/>
  <c r="I1635" i="41"/>
  <c r="I706" i="41"/>
  <c r="B578" i="57" s="1"/>
  <c r="I1597" i="41"/>
  <c r="A1044" i="57" s="1"/>
  <c r="N1044" i="57" s="1"/>
  <c r="I1015" i="41"/>
  <c r="D610" i="57" s="1"/>
  <c r="I219" i="41"/>
  <c r="D259" i="57" s="1"/>
  <c r="I1739" i="41"/>
  <c r="O1163" i="57" s="1"/>
  <c r="N1163" i="57" s="1"/>
  <c r="I863" i="41"/>
  <c r="I1723" i="41"/>
  <c r="A1149" i="57" s="1"/>
  <c r="N1149" i="57" s="1"/>
  <c r="I971" i="41"/>
  <c r="B606" i="57" s="1"/>
  <c r="I770" i="41"/>
  <c r="I1579" i="41"/>
  <c r="O1032" i="57" s="1"/>
  <c r="N1032" i="57" s="1"/>
  <c r="I1273" i="41"/>
  <c r="O804" i="57" s="1"/>
  <c r="N804" i="57" s="1"/>
  <c r="I1453" i="41"/>
  <c r="O939" i="57" s="1"/>
  <c r="I1463" i="41"/>
  <c r="A950" i="57" s="1"/>
  <c r="N950" i="57" s="1"/>
  <c r="I1253" i="41"/>
  <c r="O785" i="57" s="1"/>
  <c r="N785" i="57" s="1"/>
  <c r="I1329" i="41"/>
  <c r="O845" i="57" s="1"/>
  <c r="N845" i="57" s="1"/>
  <c r="I233" i="41"/>
  <c r="I872" i="41"/>
  <c r="I1218" i="41"/>
  <c r="I572" i="41"/>
  <c r="I506" i="41"/>
  <c r="A449" i="57" s="1"/>
  <c r="N449" i="57" s="1"/>
  <c r="I218" i="41"/>
  <c r="D258" i="57" s="1"/>
  <c r="I1207" i="41"/>
  <c r="O754" i="57" s="1"/>
  <c r="N754" i="57" s="1"/>
  <c r="I1063" i="41"/>
  <c r="O652" i="57" s="1"/>
  <c r="N652" i="57" s="1"/>
  <c r="I621" i="41"/>
  <c r="I844" i="41"/>
  <c r="I439" i="41"/>
  <c r="I1758" i="41"/>
  <c r="I1564" i="41"/>
  <c r="O1020" i="57" s="1"/>
  <c r="N1020" i="57" s="1"/>
  <c r="I699" i="41"/>
  <c r="B571" i="57" s="1"/>
  <c r="I998" i="41"/>
  <c r="B633" i="57" s="1"/>
  <c r="I1895" i="41"/>
  <c r="K1206" i="57" s="1"/>
  <c r="I370" i="41"/>
  <c r="I1566" i="41"/>
  <c r="A1023" i="57" s="1"/>
  <c r="N1023" i="57" s="1"/>
  <c r="I492" i="41"/>
  <c r="A429" i="57" s="1"/>
  <c r="O430" i="57" s="1"/>
  <c r="N430" i="57" s="1"/>
  <c r="I1912" i="41"/>
  <c r="I1909" i="41"/>
  <c r="I329" i="41"/>
  <c r="I1190" i="41"/>
  <c r="I753" i="41"/>
  <c r="C585" i="57" s="1"/>
  <c r="I181" i="41"/>
  <c r="B242" i="57" s="1"/>
  <c r="I207" i="41"/>
  <c r="D247" i="57" s="1"/>
  <c r="I516" i="41"/>
  <c r="A461" i="57" s="1"/>
  <c r="N461" i="57" s="1"/>
  <c r="I1685" i="41"/>
  <c r="O1118" i="57" s="1"/>
  <c r="I552" i="41"/>
  <c r="I1857" i="41"/>
  <c r="G1210" i="57" s="1"/>
  <c r="I795" i="41"/>
  <c r="I1356" i="41"/>
  <c r="O866" i="57" s="1"/>
  <c r="I1030" i="41"/>
  <c r="D625" i="57" s="1"/>
  <c r="I1297" i="41"/>
  <c r="I1423" i="41"/>
  <c r="A919" i="57" s="1"/>
  <c r="N919" i="57" s="1"/>
  <c r="I58" i="41"/>
  <c r="O132" i="57" s="1"/>
  <c r="N132" i="57" s="1"/>
  <c r="I510" i="41"/>
  <c r="A454" i="57" s="1"/>
  <c r="N454" i="57" s="1"/>
  <c r="I1527" i="41"/>
  <c r="A995" i="57" s="1"/>
  <c r="N995" i="57" s="1"/>
  <c r="I821" i="41"/>
  <c r="I1426" i="41"/>
  <c r="I877" i="41"/>
  <c r="I601" i="41"/>
  <c r="I1430" i="41"/>
  <c r="O924" i="57" s="1"/>
  <c r="N924" i="57" s="1"/>
  <c r="I117" i="41"/>
  <c r="A209" i="57" s="1"/>
  <c r="I373" i="41"/>
  <c r="I1143" i="41"/>
  <c r="I1393" i="41"/>
  <c r="I1189" i="41"/>
  <c r="A740" i="57" s="1"/>
  <c r="N740" i="57" s="1"/>
  <c r="I834" i="41"/>
  <c r="I592" i="41"/>
  <c r="I256" i="41"/>
  <c r="O282" i="57" s="1"/>
  <c r="N282" i="57" s="1"/>
  <c r="I843" i="41"/>
  <c r="I89" i="41"/>
  <c r="O179" i="57" s="1"/>
  <c r="I374" i="41"/>
  <c r="I742" i="41"/>
  <c r="C574" i="57" s="1"/>
  <c r="I1116" i="41"/>
  <c r="O691" i="57" s="1"/>
  <c r="N691" i="57" s="1"/>
  <c r="I1228" i="41"/>
  <c r="I1211" i="41"/>
  <c r="I1004" i="41"/>
  <c r="D599" i="57" s="1"/>
  <c r="I240" i="41"/>
  <c r="I805" i="41"/>
  <c r="I1447" i="41"/>
  <c r="A935" i="57" s="1"/>
  <c r="N935" i="57" s="1"/>
  <c r="I92" i="41"/>
  <c r="O182" i="57" s="1"/>
  <c r="N182" i="57" s="1"/>
  <c r="I819" i="41"/>
  <c r="I588" i="41"/>
  <c r="I1136" i="41"/>
  <c r="I1048" i="41"/>
  <c r="I978" i="41"/>
  <c r="B613" i="57" s="1"/>
  <c r="I1690" i="41"/>
  <c r="I820" i="41"/>
  <c r="I736" i="41"/>
  <c r="C568" i="57" s="1"/>
  <c r="I1325" i="41"/>
  <c r="I1652" i="41"/>
  <c r="O1085" i="57" s="1"/>
  <c r="N1085" i="57" s="1"/>
  <c r="I1738" i="41"/>
  <c r="I1531" i="41"/>
  <c r="I462" i="41"/>
  <c r="I59" i="41"/>
  <c r="A134" i="57" s="1"/>
  <c r="N134" i="57" s="1"/>
  <c r="I1896" i="41"/>
  <c r="K1207" i="57" s="1"/>
  <c r="I1655" i="41"/>
  <c r="O1087" i="57" s="1"/>
  <c r="N1087" i="57" s="1"/>
  <c r="I1494" i="41"/>
  <c r="O970" i="57" s="1"/>
  <c r="N970" i="57" s="1"/>
  <c r="I1485" i="41"/>
  <c r="O963" i="57" s="1"/>
  <c r="N963" i="57" s="1"/>
  <c r="I1071" i="41"/>
  <c r="O658" i="57" s="1"/>
  <c r="N658" i="57" s="1"/>
  <c r="I1422" i="41"/>
  <c r="O917" i="57" s="1"/>
  <c r="N917" i="57" s="1"/>
  <c r="I1123" i="41"/>
  <c r="I720" i="41"/>
  <c r="C552" i="57" s="1"/>
  <c r="I323" i="41"/>
  <c r="I1479" i="41"/>
  <c r="I302" i="41"/>
  <c r="O323" i="57" s="1"/>
  <c r="N323" i="57" s="1"/>
  <c r="I1099" i="41"/>
  <c r="A678" i="57" s="1"/>
  <c r="N678" i="57" s="1"/>
  <c r="I491" i="41"/>
  <c r="I527" i="41"/>
  <c r="O475" i="57" s="1"/>
  <c r="N475" i="57" s="1"/>
  <c r="I597" i="41"/>
  <c r="I1037" i="41"/>
  <c r="D632" i="57" s="1"/>
  <c r="I733" i="41"/>
  <c r="C565" i="57" s="1"/>
  <c r="I1480" i="41"/>
  <c r="A960" i="57" s="1"/>
  <c r="N960" i="57" s="1"/>
  <c r="I46" i="41"/>
  <c r="A120" i="57" s="1"/>
  <c r="O120" i="57" s="1"/>
  <c r="N120" i="57" s="1"/>
  <c r="I1683" i="41"/>
  <c r="A1115" i="57" s="1"/>
  <c r="N1115" i="57" s="1"/>
  <c r="I517" i="41"/>
  <c r="A463" i="57" s="1"/>
  <c r="O467" i="57" s="1"/>
  <c r="N467" i="57" s="1"/>
  <c r="I1308" i="41"/>
  <c r="A831" i="57" s="1"/>
  <c r="O888" i="57" s="1"/>
  <c r="N888" i="57" s="1"/>
  <c r="I1571" i="41"/>
  <c r="O1025" i="57" s="1"/>
  <c r="I933" i="41"/>
  <c r="I880" i="41"/>
  <c r="I432" i="41"/>
  <c r="I381" i="41"/>
  <c r="I250" i="41"/>
  <c r="I1700" i="41"/>
  <c r="A1129" i="57" s="1"/>
  <c r="N1129" i="57" s="1"/>
  <c r="I479" i="41"/>
  <c r="I1762" i="41"/>
  <c r="O1183" i="57" s="1"/>
  <c r="N1183" i="57" s="1"/>
  <c r="I797" i="41"/>
  <c r="I1574" i="41"/>
  <c r="O1028" i="57" s="1"/>
  <c r="N1028" i="57" s="1"/>
  <c r="I101" i="41"/>
  <c r="A195" i="57" s="1"/>
  <c r="N195" i="57" s="1"/>
  <c r="I960" i="41"/>
  <c r="B595" i="57" s="1"/>
  <c r="I1376" i="41"/>
  <c r="O881" i="57" s="1"/>
  <c r="N881" i="57" s="1"/>
  <c r="I1413" i="41"/>
  <c r="I739" i="41"/>
  <c r="C571" i="57" s="1"/>
  <c r="I484" i="41"/>
  <c r="I670" i="41"/>
  <c r="I685" i="41"/>
  <c r="B557" i="57" s="1"/>
  <c r="I1839" i="41"/>
  <c r="E1213" i="57" s="1"/>
  <c r="I365" i="41"/>
  <c r="I392" i="41"/>
  <c r="I1775" i="41"/>
  <c r="A1195" i="57" s="1"/>
  <c r="O1196" i="57" s="1"/>
  <c r="N1196" i="57" s="1"/>
  <c r="I1686" i="41"/>
  <c r="O1119" i="57" s="1"/>
  <c r="N1119" i="57" s="1"/>
  <c r="I928" i="41"/>
  <c r="I1898" i="41"/>
  <c r="K1209" i="57" s="1"/>
  <c r="I1187" i="41"/>
  <c r="I309" i="41"/>
  <c r="B333" i="57" s="1"/>
  <c r="I422" i="41"/>
  <c r="O400" i="57" s="1"/>
  <c r="N400" i="57" s="1"/>
  <c r="I508" i="41"/>
  <c r="A451" i="57" s="1"/>
  <c r="N451" i="57" s="1"/>
  <c r="I1530" i="41"/>
  <c r="I633" i="41"/>
  <c r="I1478" i="41"/>
  <c r="I1097" i="41"/>
  <c r="I388" i="41"/>
  <c r="I1263" i="41"/>
  <c r="O793" i="57" s="1"/>
  <c r="N793" i="57" s="1"/>
  <c r="I850" i="41"/>
  <c r="I700" i="41"/>
  <c r="B572" i="57" s="1"/>
  <c r="I151" i="41"/>
  <c r="I213" i="57" s="1"/>
  <c r="I485" i="41"/>
  <c r="I1390" i="41"/>
  <c r="O894" i="57" s="1"/>
  <c r="N894" i="57" s="1"/>
  <c r="I1232" i="41"/>
  <c r="I1526" i="41"/>
  <c r="A993" i="57" s="1"/>
  <c r="N993" i="57" s="1"/>
  <c r="I1863" i="41"/>
  <c r="G1216" i="57" s="1"/>
  <c r="I794" i="41"/>
  <c r="I391" i="41"/>
  <c r="I481" i="41"/>
  <c r="I1354" i="41"/>
  <c r="I362" i="41"/>
  <c r="O376" i="57" s="1"/>
  <c r="N376" i="57" s="1"/>
  <c r="I1510" i="41"/>
  <c r="I1334" i="41"/>
  <c r="I1249" i="41"/>
  <c r="I620" i="41"/>
  <c r="I166" i="41"/>
  <c r="I1587" i="41"/>
  <c r="O1038" i="57" s="1"/>
  <c r="N1038" i="57" s="1"/>
  <c r="I1759" i="41"/>
  <c r="I1204" i="41"/>
  <c r="O751" i="57" s="1"/>
  <c r="I1435" i="41"/>
  <c r="O926" i="57" s="1"/>
  <c r="N926" i="57" s="1"/>
  <c r="I1472" i="41"/>
  <c r="I1490" i="41"/>
  <c r="I465" i="41"/>
  <c r="I119" i="41"/>
  <c r="A211" i="57" s="1"/>
  <c r="I1512" i="41"/>
  <c r="I150" i="41"/>
  <c r="I212" i="57" s="1"/>
  <c r="I1245" i="41"/>
  <c r="I1731" i="41"/>
  <c r="I1227" i="41"/>
  <c r="I1623" i="41"/>
  <c r="O1063" i="57" s="1"/>
  <c r="I1212" i="41"/>
  <c r="I866" i="41"/>
  <c r="I1894" i="41"/>
  <c r="K1205" i="57" s="1"/>
  <c r="I1610" i="41"/>
  <c r="O1053" i="57" s="1"/>
  <c r="I812" i="41"/>
  <c r="I410" i="41"/>
  <c r="I856" i="41"/>
  <c r="I1087" i="41"/>
  <c r="O672" i="57" s="1"/>
  <c r="N672" i="57" s="1"/>
  <c r="I1509" i="41"/>
  <c r="O982" i="57" s="1"/>
  <c r="N982" i="57" s="1"/>
  <c r="I289" i="41"/>
  <c r="A304" i="57" s="1"/>
  <c r="O305" i="57" s="1"/>
  <c r="N305" i="57" s="1"/>
  <c r="I1765" i="41"/>
  <c r="A1186" i="57" s="1"/>
  <c r="N1186" i="57" s="1"/>
  <c r="I1793" i="41"/>
  <c r="B1209" i="57" s="1"/>
  <c r="I1326" i="41"/>
  <c r="I707" i="41"/>
  <c r="B579" i="57" s="1"/>
  <c r="I384" i="41"/>
  <c r="I1641" i="41"/>
  <c r="O1076" i="57" s="1"/>
  <c r="N1076" i="57" s="1"/>
  <c r="I1217" i="41"/>
  <c r="O762" i="57" s="1"/>
  <c r="N762" i="57" s="1"/>
  <c r="I1254" i="41"/>
  <c r="A786" i="57" s="1"/>
  <c r="N786" i="57" s="1"/>
  <c r="I899" i="41"/>
  <c r="I1377" i="41"/>
  <c r="O882" i="57" s="1"/>
  <c r="N882" i="57" s="1"/>
  <c r="I1565" i="41"/>
  <c r="A1021" i="57" s="1"/>
  <c r="N1021" i="57" s="1"/>
  <c r="I743" i="41"/>
  <c r="C575" i="57" s="1"/>
  <c r="I1504" i="41"/>
  <c r="I327" i="41"/>
  <c r="I1552" i="41"/>
  <c r="O1011" i="57" s="1"/>
  <c r="I1061" i="41"/>
  <c r="O650" i="57" s="1"/>
  <c r="I684" i="41"/>
  <c r="B556" i="57" s="1"/>
  <c r="I1318" i="41"/>
  <c r="O837" i="57" s="1"/>
  <c r="N837" i="57" s="1"/>
  <c r="I936" i="41"/>
  <c r="I849" i="41"/>
  <c r="I556" i="41"/>
  <c r="I1370" i="41"/>
  <c r="A878" i="57" s="1"/>
  <c r="N878" i="57" s="1"/>
  <c r="I663" i="41"/>
  <c r="O540" i="57" s="1"/>
  <c r="N540" i="57" s="1"/>
  <c r="I1278" i="41"/>
  <c r="I695" i="41"/>
  <c r="B567" i="57" s="1"/>
  <c r="I1369" i="41"/>
  <c r="A876" i="57" s="1"/>
  <c r="N876" i="57" s="1"/>
  <c r="I1180" i="41"/>
  <c r="I1724" i="41"/>
  <c r="I994" i="41"/>
  <c r="B629" i="57" s="1"/>
  <c r="I140" i="41"/>
  <c r="G212" i="57" s="1"/>
  <c r="I947" i="41"/>
  <c r="I757" i="41"/>
  <c r="I99" i="41"/>
  <c r="A191" i="57" s="1"/>
  <c r="N191" i="57" s="1"/>
  <c r="I1732" i="41"/>
  <c r="O1159" i="57" s="1"/>
  <c r="N1159" i="57" s="1"/>
  <c r="I1312" i="41"/>
  <c r="O834" i="57" s="1"/>
  <c r="N834" i="57" s="1"/>
  <c r="I1000" i="41"/>
  <c r="D595" i="57" s="1"/>
  <c r="I26" i="41"/>
  <c r="I1304" i="41"/>
  <c r="O826" i="57" s="1"/>
  <c r="N826" i="57" s="1"/>
  <c r="I1378" i="41"/>
  <c r="O883" i="57" s="1"/>
  <c r="N883" i="57" s="1"/>
  <c r="I54" i="41"/>
  <c r="A127" i="57" s="1"/>
  <c r="O128" i="57" s="1"/>
  <c r="N128" i="57" s="1"/>
  <c r="I454" i="41"/>
  <c r="I1145" i="41"/>
  <c r="I1889" i="41"/>
  <c r="K1200" i="57" s="1"/>
  <c r="I1845" i="41"/>
  <c r="G1198" i="57" s="1"/>
  <c r="I236" i="41"/>
  <c r="I1098" i="41"/>
  <c r="I229" i="41"/>
  <c r="O274" i="57" s="1"/>
  <c r="N274" i="57" s="1"/>
  <c r="I1513" i="41"/>
  <c r="O983" i="57" s="1"/>
  <c r="I382" i="41"/>
  <c r="I1789" i="41"/>
  <c r="B1205" i="57" s="1"/>
  <c r="I1268" i="41"/>
  <c r="O797" i="57" s="1"/>
  <c r="N797" i="57" s="1"/>
  <c r="I1877" i="41"/>
  <c r="I1209" i="57" s="1"/>
  <c r="I344" i="41"/>
  <c r="I982" i="41"/>
  <c r="B617" i="57" s="1"/>
  <c r="I1230" i="41"/>
  <c r="I1569" i="41"/>
  <c r="I759" i="41"/>
  <c r="I1436" i="41"/>
  <c r="O927" i="57" s="1"/>
  <c r="N927" i="57" s="1"/>
  <c r="I780" i="41"/>
  <c r="I1476" i="41"/>
  <c r="O957" i="57" s="1"/>
  <c r="N957" i="57" s="1"/>
  <c r="I1147" i="41"/>
  <c r="O711" i="57" s="1"/>
  <c r="N711" i="57" s="1"/>
  <c r="I509" i="41"/>
  <c r="A453" i="57" s="1"/>
  <c r="N453" i="57" s="1"/>
  <c r="I1385" i="41"/>
  <c r="I248" i="41"/>
  <c r="I1832" i="41"/>
  <c r="E1206" i="57" s="1"/>
  <c r="I1076" i="41"/>
  <c r="I420" i="41"/>
  <c r="O398" i="57" s="1"/>
  <c r="I722" i="41"/>
  <c r="C554" i="57" s="1"/>
  <c r="I1336" i="41"/>
  <c r="O850" i="57" s="1"/>
  <c r="I123" i="41"/>
  <c r="A215" i="57" s="1"/>
  <c r="I244" i="41"/>
  <c r="I1491" i="41"/>
  <c r="I1320" i="41"/>
  <c r="O839" i="57" s="1"/>
  <c r="N839" i="57" s="1"/>
  <c r="I8" i="41"/>
  <c r="I979" i="41"/>
  <c r="B614" i="57" s="1"/>
  <c r="I1321" i="41"/>
  <c r="I227" i="41"/>
  <c r="O272" i="57" s="1"/>
  <c r="I1181" i="41"/>
  <c r="I1620" i="41"/>
  <c r="I816" i="41"/>
  <c r="I1797" i="41"/>
  <c r="B1213" i="57" s="1"/>
  <c r="I1118" i="41"/>
  <c r="A693" i="57" s="1"/>
  <c r="N693" i="57" s="1"/>
  <c r="I1750" i="41"/>
  <c r="O1172" i="57" s="1"/>
  <c r="N1172" i="57" s="1"/>
  <c r="I1787" i="41"/>
  <c r="B1203" i="57" s="1"/>
  <c r="I1734" i="41"/>
  <c r="O1161" i="57" s="1"/>
  <c r="N1161" i="57" s="1"/>
  <c r="I436" i="41"/>
  <c r="A417" i="57" s="1"/>
  <c r="N417" i="57" s="1"/>
  <c r="I431" i="41"/>
  <c r="I1296" i="41"/>
  <c r="I769" i="41"/>
  <c r="I916" i="41"/>
  <c r="I297" i="41"/>
  <c r="A316" i="57" s="1"/>
  <c r="O316" i="57" s="1"/>
  <c r="N316" i="57" s="1"/>
  <c r="I1773" i="41"/>
  <c r="O1192" i="57" s="1"/>
  <c r="N1192" i="57" s="1"/>
  <c r="I545" i="41"/>
  <c r="I909" i="41"/>
  <c r="I763" i="41"/>
  <c r="I71" i="41"/>
  <c r="A154" i="57" s="1"/>
  <c r="O154" i="57" s="1"/>
  <c r="N154" i="57" s="1"/>
  <c r="I1093" i="41"/>
  <c r="I1691" i="41"/>
  <c r="I809" i="41"/>
  <c r="I988" i="41"/>
  <c r="B623" i="57" s="1"/>
  <c r="I1654" i="41"/>
  <c r="O1086" i="57" s="1"/>
  <c r="I13" i="41"/>
  <c r="J91" i="57" s="1"/>
  <c r="I1609" i="41"/>
  <c r="I1205" i="41"/>
  <c r="O752" i="57" s="1"/>
  <c r="N752" i="57" s="1"/>
  <c r="I1799" i="41"/>
  <c r="B1215" i="57" s="1"/>
  <c r="I1159" i="41"/>
  <c r="O720" i="57" s="1"/>
  <c r="I1256" i="41"/>
  <c r="I927" i="41"/>
  <c r="I637" i="41"/>
  <c r="I519" i="41"/>
  <c r="A465" i="57" s="1"/>
  <c r="N465" i="57" s="1"/>
  <c r="I1656" i="41"/>
  <c r="O1088" i="57" s="1"/>
  <c r="N1088" i="57" s="1"/>
  <c r="I626" i="41"/>
  <c r="I335" i="41"/>
  <c r="I1684" i="41"/>
  <c r="A1117" i="57" s="1"/>
  <c r="N1117" i="57" s="1"/>
  <c r="I1428" i="41"/>
  <c r="O922" i="57" s="1"/>
  <c r="N922" i="57" s="1"/>
  <c r="I725" i="41"/>
  <c r="C557" i="57" s="1"/>
  <c r="I553" i="41"/>
  <c r="I1358" i="41"/>
  <c r="O868" i="57" s="1"/>
  <c r="N868" i="57" s="1"/>
  <c r="I896" i="41"/>
  <c r="I67" i="41"/>
  <c r="I1660" i="41"/>
  <c r="A1095" i="57" s="1"/>
  <c r="O1096" i="57" s="1"/>
  <c r="N1096" i="57" s="1"/>
  <c r="I790" i="41"/>
  <c r="I1165" i="41"/>
  <c r="I1184" i="41"/>
  <c r="C498" i="41"/>
  <c r="I1002" i="41"/>
  <c r="D597" i="57" s="1"/>
  <c r="I1153" i="41"/>
  <c r="O716" i="57" s="1"/>
  <c r="N716" i="57" s="1"/>
  <c r="I38" i="41"/>
  <c r="I220" i="41"/>
  <c r="D260" i="57" s="1"/>
  <c r="I749" i="41"/>
  <c r="C581" i="57" s="1"/>
  <c r="I15" i="41"/>
  <c r="A97" i="57" s="1"/>
  <c r="O97" i="57" s="1"/>
  <c r="N97" i="57" s="1"/>
  <c r="I425" i="41"/>
  <c r="A405" i="57" s="1"/>
  <c r="N405" i="57" s="1"/>
  <c r="I43" i="41"/>
  <c r="I1613" i="41"/>
  <c r="O1056" i="57" s="1"/>
  <c r="N1056" i="57" s="1"/>
  <c r="I640" i="41"/>
  <c r="I376" i="41"/>
  <c r="I1259" i="41"/>
  <c r="I1104" i="41"/>
  <c r="O682" i="57" s="1"/>
  <c r="N682" i="57" s="1"/>
  <c r="I39" i="41"/>
  <c r="I741" i="41"/>
  <c r="C573" i="57" s="1"/>
  <c r="I716" i="41"/>
  <c r="C548" i="57" s="1"/>
  <c r="I1899" i="41"/>
  <c r="K1210" i="57" s="1"/>
  <c r="I935" i="41"/>
  <c r="I1274" i="41"/>
  <c r="O805" i="57" s="1"/>
  <c r="N805" i="57" s="1"/>
  <c r="I948" i="41"/>
  <c r="I1386" i="41"/>
  <c r="A890" i="57" s="1"/>
  <c r="O918" i="57" s="1"/>
  <c r="N918" i="57" s="1"/>
  <c r="I1887" i="41"/>
  <c r="K1198" i="57" s="1"/>
  <c r="I969" i="41"/>
  <c r="B604" i="57" s="1"/>
  <c r="I1169" i="41"/>
  <c r="O728" i="57" s="1"/>
  <c r="I546" i="41"/>
  <c r="I455" i="41"/>
  <c r="I930" i="41"/>
  <c r="I550" i="41"/>
  <c r="I1869" i="41"/>
  <c r="I1201" i="57" s="1"/>
  <c r="I1767" i="41"/>
  <c r="I1361" i="41"/>
  <c r="I1774" i="41"/>
  <c r="O1193" i="57" s="1"/>
  <c r="N1193" i="57" s="1"/>
  <c r="I881" i="41"/>
  <c r="I122" i="41"/>
  <c r="A214" i="57" s="1"/>
  <c r="O223" i="57" s="1"/>
  <c r="N223" i="57" s="1"/>
  <c r="I871" i="41"/>
  <c r="I1540" i="41"/>
  <c r="O1004" i="57" s="1"/>
  <c r="N1004" i="57" s="1"/>
  <c r="I450" i="41"/>
  <c r="I1675" i="41"/>
  <c r="I1301" i="41"/>
  <c r="O824" i="57" s="1"/>
  <c r="N824" i="57" s="1"/>
  <c r="I48" i="41"/>
  <c r="I852" i="41"/>
  <c r="I1113" i="41"/>
  <c r="I1323" i="41"/>
  <c r="A841" i="57" s="1"/>
  <c r="N841" i="57" s="1"/>
  <c r="I890" i="41"/>
  <c r="I1174" i="41"/>
  <c r="O732" i="57" s="1"/>
  <c r="I952" i="41"/>
  <c r="I512" i="41"/>
  <c r="A456" i="57" s="1"/>
  <c r="N456" i="57" s="1"/>
  <c r="I1338" i="41"/>
  <c r="O852" i="57" s="1"/>
  <c r="N852" i="57" s="1"/>
  <c r="I480" i="41"/>
  <c r="I662" i="41"/>
  <c r="O539" i="57" s="1"/>
  <c r="I82" i="41"/>
  <c r="O168" i="57" s="1"/>
  <c r="N168" i="57" s="1"/>
  <c r="I1800" i="41"/>
  <c r="B1216" i="57" s="1"/>
  <c r="I924" i="41"/>
  <c r="I188" i="41"/>
  <c r="B249" i="57" s="1"/>
  <c r="I860" i="41"/>
  <c r="I1481" i="41"/>
  <c r="I1186" i="41"/>
  <c r="I1905" i="41"/>
  <c r="K1216" i="57" s="1"/>
  <c r="I715" i="41"/>
  <c r="C547" i="57" s="1"/>
  <c r="I859" i="41"/>
  <c r="I351" i="41"/>
  <c r="A367" i="57" s="1"/>
  <c r="N367" i="57" s="1"/>
  <c r="I1101" i="41"/>
  <c r="O679" i="57" s="1"/>
  <c r="I966" i="41"/>
  <c r="B601" i="57" s="1"/>
  <c r="I1243" i="41"/>
  <c r="O778" i="57" s="1"/>
  <c r="N778" i="57" s="1"/>
  <c r="I607" i="41"/>
  <c r="I884" i="41"/>
  <c r="I1328" i="41"/>
  <c r="O844" i="57" s="1"/>
  <c r="N844" i="57" s="1"/>
  <c r="I1694" i="41"/>
  <c r="O1124" i="57" s="1"/>
  <c r="N1124" i="57" s="1"/>
  <c r="I1752" i="41"/>
  <c r="A1175" i="57" s="1"/>
  <c r="N1175" i="57" s="1"/>
  <c r="I390" i="41"/>
  <c r="I95" i="41"/>
  <c r="O186" i="57" s="1"/>
  <c r="I1172" i="41"/>
  <c r="O731" i="57" s="1"/>
  <c r="N731" i="57" s="1"/>
  <c r="I754" i="41"/>
  <c r="C586" i="57" s="1"/>
  <c r="I1062" i="41"/>
  <c r="O651" i="57" s="1"/>
  <c r="N651" i="57" s="1"/>
  <c r="I1396" i="41"/>
  <c r="O897" i="57" s="1"/>
  <c r="N897" i="57" s="1"/>
  <c r="I212" i="41"/>
  <c r="D252" i="57" s="1"/>
  <c r="I1534" i="41"/>
  <c r="O999" i="57" s="1"/>
  <c r="N999" i="57" s="1"/>
  <c r="I1706" i="41"/>
  <c r="A1135" i="57" s="1"/>
  <c r="O1136" i="57" s="1"/>
  <c r="N1136" i="57" s="1"/>
  <c r="I1890" i="41"/>
  <c r="K1201" i="57" s="1"/>
  <c r="I1778" i="41"/>
  <c r="E1197" i="57" s="1"/>
  <c r="I1608" i="41"/>
  <c r="I1781" i="41"/>
  <c r="K1197" i="57" s="1"/>
  <c r="I1645" i="41"/>
  <c r="I1559" i="41"/>
  <c r="I823" i="41"/>
  <c r="I76" i="41"/>
  <c r="A161" i="57" s="1"/>
  <c r="O162" i="57" s="1"/>
  <c r="N162" i="57" s="1"/>
  <c r="I862" i="41"/>
  <c r="I1709" i="41"/>
  <c r="O1139" i="57" s="1"/>
  <c r="N1139" i="57" s="1"/>
  <c r="I1164" i="41"/>
  <c r="A726" i="57" s="1"/>
  <c r="N726" i="57" s="1"/>
  <c r="I1735" i="41"/>
  <c r="I377" i="41"/>
  <c r="I1155" i="41"/>
  <c r="I1649" i="41"/>
  <c r="O1082" i="57" s="1"/>
  <c r="I1106" i="41"/>
  <c r="I1233" i="41"/>
  <c r="I1035" i="41"/>
  <c r="D630" i="57" s="1"/>
  <c r="I895" i="41"/>
  <c r="I870" i="41"/>
  <c r="I528" i="41"/>
  <c r="A477" i="57" s="1"/>
  <c r="N477" i="57" s="1"/>
  <c r="I675" i="41"/>
  <c r="B547" i="57" s="1"/>
  <c r="I430" i="41"/>
  <c r="A411" i="57" s="1"/>
  <c r="N411" i="57" s="1"/>
  <c r="I755" i="41"/>
  <c r="I938" i="41"/>
  <c r="I1600" i="41"/>
  <c r="O1045" i="57" s="1"/>
  <c r="I801" i="41"/>
  <c r="I900" i="41"/>
  <c r="I1891" i="41"/>
  <c r="K1202" i="57" s="1"/>
  <c r="I217" i="41"/>
  <c r="D257" i="57" s="1"/>
  <c r="I28" i="41"/>
  <c r="I1617" i="41"/>
  <c r="O1059" i="57" s="1"/>
  <c r="N1059" i="57" s="1"/>
  <c r="I202" i="41"/>
  <c r="D242" i="57" s="1"/>
  <c r="I1753" i="41"/>
  <c r="A1177" i="57" s="1"/>
  <c r="N1177" i="57" s="1"/>
  <c r="I1888" i="41"/>
  <c r="K1199" i="57" s="1"/>
  <c r="I298" i="41"/>
  <c r="A317" i="57" s="1"/>
  <c r="O317" i="57" s="1"/>
  <c r="N317" i="57" s="1"/>
  <c r="I717" i="41"/>
  <c r="C549" i="57" s="1"/>
  <c r="I1760" i="41"/>
  <c r="I10" i="41"/>
  <c r="A86" i="57" s="1"/>
  <c r="N86" i="57" s="1"/>
  <c r="I70" i="41"/>
  <c r="A152" i="57" s="1"/>
  <c r="N152" i="57" s="1"/>
  <c r="I615" i="41"/>
  <c r="I343" i="41"/>
  <c r="I967" i="41"/>
  <c r="B602" i="57" s="1"/>
  <c r="I1556" i="41"/>
  <c r="I1406" i="41"/>
  <c r="O904" i="57" s="1"/>
  <c r="N904" i="57" s="1"/>
  <c r="I1858" i="41"/>
  <c r="G1211" i="57" s="1"/>
  <c r="I1367" i="41"/>
  <c r="O874" i="57" s="1"/>
  <c r="N874" i="57" s="1"/>
  <c r="I69" i="41"/>
  <c r="A150" i="57" s="1"/>
  <c r="N150" i="57" s="1"/>
  <c r="I944" i="41"/>
  <c r="I751" i="41"/>
  <c r="C583" i="57" s="1"/>
  <c r="I817" i="41"/>
  <c r="I214" i="41"/>
  <c r="D254" i="57" s="1"/>
  <c r="I1553" i="41"/>
  <c r="O1012" i="57" s="1"/>
  <c r="N1012" i="57" s="1"/>
  <c r="I1040" i="41"/>
  <c r="A636" i="57" s="1"/>
  <c r="O637" i="57" s="1"/>
  <c r="N637" i="57" s="1"/>
  <c r="I1744" i="41"/>
  <c r="I604" i="41"/>
  <c r="I1714" i="41"/>
  <c r="I617" i="41"/>
  <c r="I1627" i="41"/>
  <c r="I1592" i="41"/>
  <c r="O1040" i="57" s="1"/>
  <c r="N1040" i="57" s="1"/>
  <c r="I1611" i="41"/>
  <c r="O1054" i="57" s="1"/>
  <c r="N1054" i="57" s="1"/>
  <c r="I1418" i="41"/>
  <c r="I1419" i="41"/>
  <c r="O914" i="57" s="1"/>
  <c r="I359" i="41"/>
  <c r="O373" i="57" s="1"/>
  <c r="I539" i="41"/>
  <c r="O492" i="57" s="1"/>
  <c r="N492" i="57" s="1"/>
  <c r="I1313" i="41"/>
  <c r="O835" i="57" s="1"/>
  <c r="N835" i="57" s="1"/>
  <c r="I1849" i="41"/>
  <c r="G1202" i="57" s="1"/>
  <c r="I608" i="41"/>
  <c r="I1585" i="41"/>
  <c r="O1036" i="57" s="1"/>
  <c r="N1036" i="57" s="1"/>
  <c r="I1091" i="41"/>
  <c r="I610" i="41"/>
  <c r="I724" i="41"/>
  <c r="C556" i="57" s="1"/>
  <c r="I232" i="41"/>
  <c r="I1432" i="41"/>
  <c r="I1867" i="41"/>
  <c r="I1199" i="57" s="1"/>
  <c r="I231" i="41"/>
  <c r="I645" i="41"/>
  <c r="I180" i="41"/>
  <c r="D241" i="57" s="1"/>
  <c r="I636" i="41"/>
  <c r="I526" i="41"/>
  <c r="O474" i="57" s="1"/>
  <c r="N474" i="57" s="1"/>
  <c r="I1856" i="41"/>
  <c r="G1209" i="57" s="1"/>
  <c r="I796" i="41"/>
  <c r="I223" i="41"/>
  <c r="A264" i="57" s="1"/>
  <c r="N264" i="57" s="1"/>
  <c r="I981" i="41"/>
  <c r="B616" i="57" s="1"/>
  <c r="I829" i="41"/>
  <c r="I1866" i="41"/>
  <c r="I1198" i="57" s="1"/>
  <c r="I1583" i="41"/>
  <c r="I638" i="41"/>
  <c r="I337" i="41"/>
  <c r="I1415" i="41"/>
  <c r="O911" i="57" s="1"/>
  <c r="N911" i="57" s="1"/>
  <c r="I1397" i="41"/>
  <c r="O898" i="57" s="1"/>
  <c r="N898" i="57" s="1"/>
  <c r="I1873" i="41"/>
  <c r="I1205" i="57" s="1"/>
  <c r="I1741" i="41"/>
  <c r="O1165" i="57" s="1"/>
  <c r="N1165" i="57" s="1"/>
  <c r="I1908" i="41"/>
  <c r="A1220" i="57" s="1"/>
  <c r="O1220" i="57" s="1"/>
  <c r="N1220" i="57" s="1"/>
  <c r="I169" i="41"/>
  <c r="I923" i="41"/>
  <c r="I907" i="41"/>
  <c r="I1221" i="41"/>
  <c r="O765" i="57" s="1"/>
  <c r="N765" i="57" s="1"/>
  <c r="I904" i="41"/>
  <c r="I1350" i="41"/>
  <c r="O863" i="57" s="1"/>
  <c r="N863" i="57" s="1"/>
  <c r="I1117" i="41"/>
  <c r="O692" i="57" s="1"/>
  <c r="N692" i="57" s="1"/>
  <c r="I825" i="41"/>
  <c r="I1033" i="41"/>
  <c r="D628" i="57" s="1"/>
  <c r="I1596" i="41"/>
  <c r="I802" i="41"/>
  <c r="I1287" i="41"/>
  <c r="I1535" i="41"/>
  <c r="O1000" i="57" s="1"/>
  <c r="N1000" i="57" s="1"/>
  <c r="I61" i="41"/>
  <c r="O138" i="57" s="1"/>
  <c r="I1018" i="41"/>
  <c r="D613" i="57" s="1"/>
  <c r="I1634" i="41"/>
  <c r="I771" i="41"/>
  <c r="I1346" i="41"/>
  <c r="I184" i="41"/>
  <c r="B245" i="57" s="1"/>
  <c r="I1280" i="41"/>
  <c r="O808" i="57" s="1"/>
  <c r="N808" i="57" s="1"/>
  <c r="I1782" i="41"/>
  <c r="B1198" i="57" s="1"/>
  <c r="I1746" i="41"/>
  <c r="A1169" i="57" s="1"/>
  <c r="N1169" i="57" s="1"/>
  <c r="I62" i="41"/>
  <c r="O139" i="57" s="1"/>
  <c r="N139" i="57" s="1"/>
  <c r="I787" i="41"/>
  <c r="I230" i="41"/>
  <c r="O275" i="57" s="1"/>
  <c r="N275" i="57" s="1"/>
  <c r="I658" i="41"/>
  <c r="I1364" i="41"/>
  <c r="I962" i="41"/>
  <c r="B597" i="57" s="1"/>
  <c r="I1471" i="41"/>
  <c r="I782" i="41"/>
  <c r="I910" i="41"/>
  <c r="I807" i="41"/>
  <c r="I548" i="41"/>
  <c r="I294" i="41"/>
  <c r="A311" i="57" s="1"/>
  <c r="O312" i="57" s="1"/>
  <c r="N312" i="57" s="1"/>
  <c r="I1457" i="41"/>
  <c r="I383" i="41"/>
  <c r="I504" i="41"/>
  <c r="A447" i="57" s="1"/>
  <c r="N447" i="57" s="1"/>
  <c r="I689" i="41"/>
  <c r="B561" i="57" s="1"/>
  <c r="I1456" i="41"/>
  <c r="O942" i="57" s="1"/>
  <c r="N942" i="57" s="1"/>
  <c r="I822" i="41"/>
  <c r="I839" i="41"/>
  <c r="I1743" i="41"/>
  <c r="A1167" i="57" s="1"/>
  <c r="N1167" i="57" s="1"/>
  <c r="I1828" i="41"/>
  <c r="E1202" i="57" s="1"/>
  <c r="I399" i="41"/>
  <c r="I1294" i="41"/>
  <c r="I1876" i="41"/>
  <c r="I1208" i="57" s="1"/>
  <c r="I1284" i="41"/>
  <c r="A811" i="57" s="1"/>
  <c r="O811" i="57" s="1"/>
  <c r="N811" i="57" s="1"/>
  <c r="I1100" i="41"/>
  <c r="I66" i="41"/>
  <c r="I1252" i="41"/>
  <c r="O784" i="57" s="1"/>
  <c r="N784" i="57" s="1"/>
  <c r="I1911" i="41"/>
  <c r="A1224" i="57" s="1"/>
  <c r="O1227" i="57" s="1"/>
  <c r="N1227" i="57" s="1"/>
  <c r="I178" i="41"/>
  <c r="I1515" i="41"/>
  <c r="O985" i="57" s="1"/>
  <c r="N985" i="57" s="1"/>
  <c r="I1103" i="41"/>
  <c r="O681" i="57" s="1"/>
  <c r="N681" i="57" s="1"/>
  <c r="I557" i="41"/>
  <c r="I624" i="41"/>
  <c r="I1130" i="41"/>
  <c r="O702" i="57" s="1"/>
  <c r="N702" i="57" s="1"/>
  <c r="I1704" i="41"/>
  <c r="O1132" i="57" s="1"/>
  <c r="N1132" i="57" s="1"/>
  <c r="I1831" i="41"/>
  <c r="E1205" i="57" s="1"/>
  <c r="I339" i="41"/>
  <c r="I49" i="41"/>
  <c r="O122" i="57" s="1"/>
  <c r="I1783" i="41"/>
  <c r="B1199" i="57" s="1"/>
  <c r="I1129" i="41"/>
  <c r="O701" i="57" s="1"/>
  <c r="I1293" i="41"/>
  <c r="A819" i="57" s="1"/>
  <c r="N819" i="57" s="1"/>
  <c r="I1703" i="41"/>
  <c r="O1131" i="57" s="1"/>
  <c r="N1131" i="57" s="1"/>
  <c r="I788" i="41"/>
  <c r="I1568" i="41"/>
  <c r="I1262" i="41"/>
  <c r="O792" i="57" s="1"/>
  <c r="N792" i="57" s="1"/>
  <c r="I216" i="41"/>
  <c r="D256" i="57" s="1"/>
  <c r="I91" i="41"/>
  <c r="O181" i="57" s="1"/>
  <c r="N181" i="57" s="1"/>
  <c r="I694" i="41"/>
  <c r="B566" i="57" s="1"/>
  <c r="I53" i="41"/>
  <c r="I246" i="41"/>
  <c r="I1275" i="41"/>
  <c r="O806" i="57" s="1"/>
  <c r="N806" i="57" s="1"/>
  <c r="I931" i="41"/>
  <c r="I1516" i="41"/>
  <c r="O986" i="57" s="1"/>
  <c r="N986" i="57" s="1"/>
  <c r="I901" i="41"/>
  <c r="I177" i="41"/>
  <c r="I1786" i="41"/>
  <c r="B1202" i="57" s="1"/>
  <c r="I1827" i="41"/>
  <c r="E1201" i="57" s="1"/>
  <c r="I1460" i="41"/>
  <c r="O945" i="57" s="1"/>
  <c r="N945" i="57" s="1"/>
  <c r="I469" i="41"/>
  <c r="I573" i="41"/>
  <c r="I937" i="41"/>
  <c r="I642" i="41"/>
  <c r="I238" i="41"/>
  <c r="I350" i="41"/>
  <c r="A365" i="57" s="1"/>
  <c r="N365" i="57" s="1"/>
  <c r="I1603" i="41"/>
  <c r="O1048" i="57" s="1"/>
  <c r="N1048" i="57" s="1"/>
  <c r="I1183" i="41"/>
  <c r="I1331" i="41"/>
  <c r="A848" i="57" s="1"/>
  <c r="N848" i="57" s="1"/>
  <c r="I1881" i="41"/>
  <c r="I1213" i="57" s="1"/>
  <c r="I1837" i="41"/>
  <c r="E1211" i="57" s="1"/>
  <c r="I650" i="41"/>
  <c r="A529" i="57" s="1"/>
  <c r="N529" i="57" s="1"/>
  <c r="I740" i="41"/>
  <c r="C572" i="57" s="1"/>
  <c r="I574" i="41"/>
  <c r="I1382" i="41"/>
  <c r="O886" i="57" s="1"/>
  <c r="N886" i="57" s="1"/>
  <c r="I729" i="41"/>
  <c r="C561" i="57" s="1"/>
  <c r="I245" i="41"/>
  <c r="I21" i="41"/>
  <c r="A106" i="57" s="1"/>
  <c r="N106" i="57" s="1"/>
  <c r="I1240" i="41"/>
  <c r="I1429" i="41"/>
  <c r="O923" i="57" s="1"/>
  <c r="N923" i="57" s="1"/>
  <c r="I655" i="41"/>
  <c r="A535" i="57" s="1"/>
  <c r="N535" i="57" s="1"/>
  <c r="I1868" i="41"/>
  <c r="I1200" i="57" s="1"/>
  <c r="I278" i="41"/>
  <c r="A294" i="57" s="1"/>
  <c r="O294" i="57" s="1"/>
  <c r="N294" i="57" s="1"/>
  <c r="I1054" i="41"/>
  <c r="A645" i="57" s="1"/>
  <c r="N645" i="57" s="1"/>
  <c r="I285" i="41"/>
  <c r="B301" i="57" s="1"/>
  <c r="I643" i="41"/>
  <c r="A523" i="57" s="1"/>
  <c r="O524" i="57" s="1"/>
  <c r="N524" i="57" s="1"/>
  <c r="I619" i="41"/>
  <c r="I1209" i="41"/>
  <c r="A757" i="57" s="1"/>
  <c r="N757" i="57" s="1"/>
  <c r="I1474" i="41"/>
  <c r="O955" i="57" s="1"/>
  <c r="I293" i="41"/>
  <c r="A309" i="57" s="1"/>
  <c r="O309" i="57" s="1"/>
  <c r="N309" i="57" s="1"/>
  <c r="I523" i="41"/>
  <c r="A471" i="57" s="1"/>
  <c r="N471" i="57" s="1"/>
  <c r="I1175" i="41"/>
  <c r="O733" i="57" s="1"/>
  <c r="N733" i="57" s="1"/>
  <c r="I1353" i="41"/>
  <c r="I542" i="41"/>
  <c r="A497" i="57" s="1"/>
  <c r="N497" i="57" s="1"/>
  <c r="I767" i="41"/>
  <c r="I932" i="41"/>
  <c r="I783" i="41"/>
  <c r="I414" i="41"/>
  <c r="A389" i="57" s="1"/>
  <c r="N389" i="57" s="1"/>
  <c r="I1266" i="41"/>
  <c r="O795" i="57" s="1"/>
  <c r="N795" i="57" s="1"/>
  <c r="I1852" i="41"/>
  <c r="G1205" i="57" s="1"/>
  <c r="I1466" i="41"/>
  <c r="I922" i="41"/>
  <c r="I1394" i="41"/>
  <c r="I1702" i="41"/>
  <c r="I575" i="41"/>
  <c r="I668" i="41"/>
  <c r="B546" i="57" s="1"/>
  <c r="O587" i="57" s="1"/>
  <c r="N587" i="57" s="1"/>
  <c r="I1701" i="41"/>
  <c r="I531" i="41"/>
  <c r="O481" i="57" s="1"/>
  <c r="N481" i="57" s="1"/>
  <c r="I656" i="41"/>
  <c r="I864" i="41"/>
  <c r="I968" i="41"/>
  <c r="B603" i="57" s="1"/>
  <c r="I666" i="41"/>
  <c r="A544" i="57" s="1"/>
  <c r="N544" i="57" s="1"/>
  <c r="I317" i="41"/>
  <c r="O340" i="57" s="1"/>
  <c r="N340" i="57" s="1"/>
  <c r="I1850" i="41"/>
  <c r="G1203" i="57" s="1"/>
  <c r="I514" i="41"/>
  <c r="A459" i="57" s="1"/>
  <c r="N459" i="57" s="1"/>
  <c r="I1246" i="41"/>
  <c r="I482" i="41"/>
  <c r="I1622" i="41"/>
  <c r="I1011" i="41"/>
  <c r="D606" i="57" s="1"/>
  <c r="I761" i="41"/>
  <c r="I594" i="41"/>
  <c r="I1434" i="41"/>
  <c r="O925" i="57" s="1"/>
  <c r="I926" i="41"/>
  <c r="I949" i="41"/>
  <c r="I1425" i="41"/>
  <c r="A920" i="57" s="1"/>
  <c r="O947" i="57" s="1"/>
  <c r="N947" i="57" s="1"/>
  <c r="I1206" i="41"/>
  <c r="O753" i="57" s="1"/>
  <c r="N753" i="57" s="1"/>
  <c r="I1170" i="41"/>
  <c r="O729" i="57" s="1"/>
  <c r="N729" i="57" s="1"/>
  <c r="I1519" i="41"/>
  <c r="A988" i="57" s="1"/>
  <c r="N988" i="57" s="1"/>
  <c r="I196" i="41"/>
  <c r="B257" i="57" s="1"/>
  <c r="I611" i="41"/>
  <c r="I511" i="41"/>
  <c r="A455" i="57" s="1"/>
  <c r="N455" i="57" s="1"/>
  <c r="I798" i="41"/>
  <c r="I625" i="41"/>
  <c r="I1196" i="41"/>
  <c r="O745" i="57" s="1"/>
  <c r="I737" i="41"/>
  <c r="C569" i="57" s="1"/>
  <c r="I1192" i="41"/>
  <c r="O742" i="57" s="1"/>
  <c r="N742" i="57" s="1"/>
  <c r="I1365" i="41"/>
  <c r="I1261" i="41"/>
  <c r="O791" i="57" s="1"/>
  <c r="N791" i="57" s="1"/>
  <c r="I571" i="41"/>
  <c r="I1725" i="41"/>
  <c r="I208" i="41"/>
  <c r="D248" i="57" s="1"/>
  <c r="I1589" i="41"/>
  <c r="I945" i="41"/>
  <c r="I1525" i="41"/>
  <c r="O992" i="57" s="1"/>
  <c r="N992" i="57" s="1"/>
  <c r="I1149" i="41"/>
  <c r="O713" i="57" s="1"/>
  <c r="N713" i="57" s="1"/>
  <c r="I1327" i="41"/>
  <c r="O843" i="57" s="1"/>
  <c r="N843" i="57" s="1"/>
  <c r="I176" i="41"/>
  <c r="I398" i="41"/>
  <c r="I1299" i="41"/>
  <c r="O822" i="57" s="1"/>
  <c r="N822" i="57" s="1"/>
  <c r="I1498" i="41"/>
  <c r="O973" i="57" s="1"/>
  <c r="I408" i="41"/>
  <c r="I467" i="41"/>
  <c r="I972" i="41"/>
  <c r="B607" i="57" s="1"/>
  <c r="I580" i="41"/>
  <c r="I1785" i="41"/>
  <c r="B1201" i="57" s="1"/>
  <c r="I1075" i="41"/>
  <c r="I1726" i="41"/>
  <c r="O1151" i="57" s="1"/>
  <c r="N1151" i="57" s="1"/>
  <c r="I1764" i="41"/>
  <c r="O1185" i="57" s="1"/>
  <c r="N1185" i="57" s="1"/>
  <c r="I1615" i="41"/>
  <c r="O1057" i="57" s="1"/>
  <c r="I1865" i="41"/>
  <c r="G1218" i="57" s="1"/>
  <c r="I16" i="41"/>
  <c r="A99" i="57" s="1"/>
  <c r="N99" i="57" s="1"/>
  <c r="I532" i="41"/>
  <c r="O482" i="57" s="1"/>
  <c r="N482" i="57" s="1"/>
  <c r="I1628" i="41"/>
  <c r="I726" i="41"/>
  <c r="C558" i="57" s="1"/>
  <c r="I1373" i="41"/>
  <c r="I696" i="41"/>
  <c r="B568" i="57" s="1"/>
  <c r="I1388" i="41"/>
  <c r="O892" i="57" s="1"/>
  <c r="I400" i="41"/>
  <c r="I375" i="41"/>
  <c r="I1235" i="41"/>
  <c r="I1718" i="41"/>
  <c r="O1145" i="57" s="1"/>
  <c r="N1145" i="57" s="1"/>
  <c r="I1631" i="41"/>
  <c r="O1068" i="57" s="1"/>
  <c r="N1068" i="57" s="1"/>
  <c r="I1647" i="41"/>
  <c r="I1241" i="41"/>
  <c r="O776" i="57" s="1"/>
  <c r="I1236" i="41"/>
  <c r="I1395" i="41"/>
  <c r="O896" i="57" s="1"/>
  <c r="I894" i="41"/>
  <c r="I955" i="41"/>
  <c r="A588" i="57" s="1"/>
  <c r="N588" i="57" s="1"/>
  <c r="I887" i="41"/>
  <c r="I600" i="41"/>
  <c r="I1493" i="41"/>
  <c r="O969" i="57" s="1"/>
  <c r="I1080" i="41"/>
  <c r="O666" i="57" s="1"/>
  <c r="N666" i="57" s="1"/>
  <c r="I1486" i="41"/>
  <c r="O964" i="57" s="1"/>
  <c r="N964" i="57" s="1"/>
  <c r="I1678" i="41"/>
  <c r="I367" i="41"/>
  <c r="I1074" i="41"/>
  <c r="A663" i="57" s="1"/>
  <c r="N663" i="57" s="1"/>
  <c r="I226" i="41"/>
  <c r="O270" i="57" s="1"/>
  <c r="I1593" i="41"/>
  <c r="O1041" i="57" s="1"/>
  <c r="N1041" i="57" s="1"/>
  <c r="I876" i="41"/>
  <c r="I959" i="41"/>
  <c r="D594" i="57" s="1"/>
  <c r="I1286" i="41"/>
  <c r="I348" i="41"/>
  <c r="A361" i="57" s="1"/>
  <c r="N361" i="57" s="1"/>
  <c r="I1632" i="41"/>
  <c r="O1069" i="57" s="1"/>
  <c r="N1069" i="57" s="1"/>
  <c r="I762" i="41"/>
  <c r="I405" i="41"/>
  <c r="I537" i="41"/>
  <c r="O490" i="57" s="1"/>
  <c r="I734" i="41"/>
  <c r="C566" i="57" s="1"/>
  <c r="I1109" i="41"/>
  <c r="O686" i="57" s="1"/>
  <c r="N686" i="57" s="1"/>
  <c r="I598" i="41"/>
  <c r="I1506" i="41"/>
  <c r="O979" i="57" s="1"/>
  <c r="I1871" i="41"/>
  <c r="I1203" i="57" s="1"/>
  <c r="I333" i="41"/>
  <c r="I731" i="41"/>
  <c r="C563" i="57" s="1"/>
  <c r="I954" i="41"/>
  <c r="I1127" i="41"/>
  <c r="O700" i="57" s="1"/>
  <c r="N700" i="57" s="1"/>
  <c r="I730" i="41"/>
  <c r="C562" i="57" s="1"/>
  <c r="I1214" i="41"/>
  <c r="O759" i="57" s="1"/>
  <c r="I1550" i="41"/>
  <c r="I995" i="41"/>
  <c r="B630" i="57" s="1"/>
  <c r="I599" i="41"/>
  <c r="I254" i="41"/>
  <c r="I495" i="41"/>
  <c r="O434" i="57" s="1"/>
  <c r="N434" i="57" s="1"/>
  <c r="I461" i="41"/>
  <c r="I255" i="41"/>
  <c r="O281" i="57" s="1"/>
  <c r="I1757" i="41"/>
  <c r="O1181" i="57" s="1"/>
  <c r="N1181" i="57" s="1"/>
  <c r="I507" i="41"/>
  <c r="A450" i="57" s="1"/>
  <c r="N450" i="57" s="1"/>
  <c r="I1403" i="41"/>
  <c r="I1138" i="41"/>
  <c r="I1340" i="41"/>
  <c r="I660" i="41"/>
  <c r="I1578" i="41"/>
  <c r="O1031" i="57" s="1"/>
  <c r="N1031" i="57" s="1"/>
  <c r="I385" i="41"/>
  <c r="I30" i="41"/>
  <c r="I395" i="41"/>
  <c r="I1053" i="41"/>
  <c r="I1270" i="41"/>
  <c r="A801" i="57" s="1"/>
  <c r="N801" i="57" s="1"/>
  <c r="I96" i="41"/>
  <c r="O187" i="57" s="1"/>
  <c r="N187" i="57" s="1"/>
  <c r="I991" i="41"/>
  <c r="B626" i="57" s="1"/>
  <c r="I942" i="41"/>
  <c r="I1288" i="41"/>
  <c r="O813" i="57" s="1"/>
  <c r="I745" i="41"/>
  <c r="C577" i="57" s="1"/>
  <c r="I709" i="41"/>
  <c r="B581" i="57" s="1"/>
  <c r="I1705" i="41"/>
  <c r="O1133" i="57" s="1"/>
  <c r="N1133" i="57" s="1"/>
  <c r="I1544" i="41"/>
  <c r="I702" i="41"/>
  <c r="B574" i="57" s="1"/>
  <c r="I1518" i="41"/>
  <c r="I487" i="41"/>
  <c r="I1687" i="41"/>
  <c r="O1120" i="57" s="1"/>
  <c r="N1120" i="57" s="1"/>
  <c r="I1154" i="41"/>
  <c r="O717" i="57" s="1"/>
  <c r="N717" i="57" s="1"/>
  <c r="I1006" i="41"/>
  <c r="D601" i="57" s="1"/>
  <c r="I613" i="41"/>
  <c r="I1768" i="41"/>
  <c r="I457" i="41"/>
  <c r="I680" i="41"/>
  <c r="B552" i="57" s="1"/>
  <c r="I1144" i="41"/>
  <c r="A709" i="57" s="1"/>
  <c r="N709" i="57" s="1"/>
  <c r="I1025" i="41"/>
  <c r="D620" i="57" s="1"/>
  <c r="I1633" i="41"/>
  <c r="O1070" i="57" s="1"/>
  <c r="N1070" i="57" s="1"/>
  <c r="I1459" i="41"/>
  <c r="O944" i="57" s="1"/>
  <c r="N944" i="57" s="1"/>
  <c r="I544" i="41"/>
  <c r="I1861" i="41"/>
  <c r="G1214" i="57" s="1"/>
  <c r="I1084" i="41"/>
  <c r="O669" i="57" s="1"/>
  <c r="I458" i="41"/>
  <c r="I190" i="41"/>
  <c r="B251" i="57" s="1"/>
  <c r="I56" i="41"/>
  <c r="O130" i="57" s="1"/>
  <c r="N130" i="57" s="1"/>
  <c r="I886" i="41"/>
  <c r="I423" i="41"/>
  <c r="O401" i="57" s="1"/>
  <c r="N401" i="57" s="1"/>
  <c r="I203" i="41"/>
  <c r="D243" i="57" s="1"/>
  <c r="I905" i="41"/>
  <c r="I1882" i="41"/>
  <c r="I1214" i="57" s="1"/>
  <c r="I427" i="41"/>
  <c r="A408" i="57" s="1"/>
  <c r="N408" i="57" s="1"/>
  <c r="I475" i="41"/>
  <c r="I882" i="41"/>
  <c r="I1855" i="41"/>
  <c r="G1208" i="57" s="1"/>
  <c r="I235" i="41"/>
  <c r="I1639" i="41"/>
  <c r="O1074" i="57" s="1"/>
  <c r="I237" i="41"/>
  <c r="I1309" i="41"/>
  <c r="I356" i="41"/>
  <c r="I1132" i="41"/>
  <c r="O704" i="57" s="1"/>
  <c r="N704" i="57" s="1"/>
  <c r="I396" i="41"/>
  <c r="I473" i="41"/>
  <c r="I710" i="41"/>
  <c r="B582" i="57" s="1"/>
  <c r="I1216" i="41"/>
  <c r="O761" i="57" s="1"/>
  <c r="N761" i="57" s="1"/>
  <c r="I681" i="41"/>
  <c r="B553" i="57" s="1"/>
  <c r="C461" i="55"/>
  <c r="D461" i="55" s="1"/>
  <c r="D59" i="49"/>
  <c r="I1198" i="41"/>
  <c r="O747" i="57" s="1"/>
  <c r="N747" i="57" s="1"/>
  <c r="I167" i="41"/>
  <c r="I1073" i="41"/>
  <c r="A661" i="57" s="1"/>
  <c r="N661" i="57" s="1"/>
  <c r="U549" i="35"/>
  <c r="I305" i="41"/>
  <c r="O328" i="57" s="1"/>
  <c r="J539" i="35" a="1"/>
  <c r="J539" i="35" s="1"/>
  <c r="D539" i="35" s="1"/>
  <c r="E76" i="47" s="1"/>
  <c r="H1667" i="41"/>
  <c r="G1667" i="41"/>
  <c r="U44" i="35"/>
  <c r="X44" i="35"/>
  <c r="U391" i="35"/>
  <c r="X391" i="35"/>
  <c r="G129" i="41"/>
  <c r="F129" i="41"/>
  <c r="H129" i="41"/>
  <c r="E129" i="41"/>
  <c r="I129" i="41" s="1"/>
  <c r="E211" i="57" s="1"/>
  <c r="D35" i="49"/>
  <c r="C443" i="55"/>
  <c r="D443" i="55" s="1"/>
  <c r="J942" i="35" a="1"/>
  <c r="J942" i="35" s="1"/>
  <c r="D942" i="35" s="1"/>
  <c r="C947" i="55" s="1"/>
  <c r="D947" i="55" s="1"/>
  <c r="I1737" i="41"/>
  <c r="I547" i="41"/>
  <c r="C858" i="55"/>
  <c r="D858" i="55" s="1"/>
  <c r="H1809" i="41"/>
  <c r="F1809" i="41"/>
  <c r="E1809" i="41"/>
  <c r="I1809" i="41" s="1"/>
  <c r="C1204" i="57" s="1"/>
  <c r="F442" i="41"/>
  <c r="E442" i="41"/>
  <c r="I442" i="41" s="1"/>
  <c r="F1668" i="41"/>
  <c r="E1668" i="41"/>
  <c r="I1668" i="41" s="1"/>
  <c r="J397" i="35" a="1"/>
  <c r="J397" i="35" s="1"/>
  <c r="D397" i="35" s="1"/>
  <c r="C402" i="55" s="1"/>
  <c r="D402" i="55" s="1"/>
  <c r="I1864" i="41"/>
  <c r="G1217" i="57" s="1"/>
  <c r="I582" i="41"/>
  <c r="I1389" i="41"/>
  <c r="O893" i="57" s="1"/>
  <c r="N893" i="57" s="1"/>
  <c r="I1502" i="41"/>
  <c r="A978" i="57" s="1"/>
  <c r="N978" i="57" s="1"/>
  <c r="I1421" i="41"/>
  <c r="O916" i="57" s="1"/>
  <c r="N916" i="57" s="1"/>
  <c r="I913" i="41"/>
  <c r="I1267" i="41"/>
  <c r="O796" i="57" s="1"/>
  <c r="N796" i="57" s="1"/>
  <c r="I1300" i="41"/>
  <c r="O823" i="57" s="1"/>
  <c r="N823" i="57" s="1"/>
  <c r="U119" i="35"/>
  <c r="X119" i="35"/>
  <c r="J82" i="35" a="1"/>
  <c r="J82" i="35" s="1"/>
  <c r="D82" i="35" s="1"/>
  <c r="C87" i="55" s="1"/>
  <c r="D87" i="55" s="1"/>
  <c r="U43" i="35"/>
  <c r="X43" i="35"/>
  <c r="I1041" i="41"/>
  <c r="A638" i="57" s="1"/>
  <c r="N638" i="57" s="1"/>
  <c r="I826" i="41"/>
  <c r="H1669" i="41"/>
  <c r="I1351" i="41"/>
  <c r="O864" i="57" s="1"/>
  <c r="N864" i="57" s="1"/>
  <c r="I328" i="41"/>
  <c r="I1427" i="41"/>
  <c r="I665" i="41"/>
  <c r="O542" i="57" s="1"/>
  <c r="N542" i="57" s="1"/>
  <c r="I683" i="41"/>
  <c r="B555" i="57" s="1"/>
  <c r="X550" i="35"/>
  <c r="I803" i="41"/>
  <c r="I691" i="41"/>
  <c r="B563" i="57" s="1"/>
  <c r="I1272" i="41"/>
  <c r="O803" i="57" s="1"/>
  <c r="I657" i="41"/>
  <c r="I1769" i="41"/>
  <c r="A1189" i="57" s="1"/>
  <c r="N1189" i="57" s="1"/>
  <c r="I1612" i="41"/>
  <c r="O1055" i="57" s="1"/>
  <c r="N1055" i="57" s="1"/>
  <c r="I186" i="41"/>
  <c r="B247" i="57" s="1"/>
  <c r="E1667" i="41"/>
  <c r="I1667" i="41" s="1"/>
  <c r="C432" i="55"/>
  <c r="D432" i="55" s="1"/>
  <c r="C723" i="55"/>
  <c r="D723" i="55" s="1"/>
  <c r="D13" i="48"/>
  <c r="D103" i="50"/>
  <c r="I1776" i="41"/>
  <c r="B1197" i="57" s="1"/>
  <c r="I251" i="41"/>
  <c r="I606" i="41"/>
  <c r="I713" i="41"/>
  <c r="B585" i="57" s="1"/>
  <c r="I1618" i="41"/>
  <c r="O1060" i="57" s="1"/>
  <c r="N1060" i="57" s="1"/>
  <c r="F1667" i="41"/>
  <c r="I985" i="41"/>
  <c r="B620" i="57" s="1"/>
  <c r="I1142" i="41"/>
  <c r="I1082" i="41"/>
  <c r="O668" i="57" s="1"/>
  <c r="N668" i="57" s="1"/>
  <c r="U397" i="35"/>
  <c r="I228" i="41"/>
  <c r="O273" i="57" s="1"/>
  <c r="N273" i="57" s="1"/>
  <c r="I234" i="41"/>
  <c r="I804" i="41"/>
  <c r="I719" i="41"/>
  <c r="C551" i="57" s="1"/>
  <c r="I1307" i="41"/>
  <c r="A830" i="57" s="1"/>
  <c r="N830" i="57" s="1"/>
  <c r="I419" i="41"/>
  <c r="A396" i="57" s="1"/>
  <c r="O402" i="57" s="1"/>
  <c r="N402" i="57" s="1"/>
  <c r="I577" i="41"/>
  <c r="I149" i="41"/>
  <c r="I211" i="57" s="1"/>
  <c r="I1728" i="41"/>
  <c r="O1153" i="57" s="1"/>
  <c r="N1153" i="57" s="1"/>
  <c r="I452" i="41"/>
  <c r="I750" i="41"/>
  <c r="C582" i="57" s="1"/>
  <c r="I1372" i="41"/>
  <c r="I1879" i="41"/>
  <c r="I1211" i="57" s="1"/>
  <c r="I855" i="41"/>
  <c r="I1697" i="41"/>
  <c r="A1127" i="57" s="1"/>
  <c r="N1127" i="57" s="1"/>
  <c r="I1125" i="41"/>
  <c r="O698" i="57" s="1"/>
  <c r="N698" i="57" s="1"/>
  <c r="I505" i="41"/>
  <c r="A448" i="57" s="1"/>
  <c r="O452" i="57" s="1"/>
  <c r="N452" i="57" s="1"/>
  <c r="I93" i="41"/>
  <c r="I262" i="41"/>
  <c r="I1316" i="41"/>
  <c r="I1197" i="41"/>
  <c r="O746" i="57" s="1"/>
  <c r="N746" i="57" s="1"/>
  <c r="I1135" i="41"/>
  <c r="I142" i="41"/>
  <c r="G214" i="57" s="1"/>
  <c r="I264" i="41"/>
  <c r="J403" i="35" a="1"/>
  <c r="J403" i="35" s="1"/>
  <c r="D403" i="35" s="1"/>
  <c r="C408" i="55" s="1"/>
  <c r="D408" i="55" s="1"/>
  <c r="I674" i="41"/>
  <c r="I1722" i="41"/>
  <c r="I554" i="41"/>
  <c r="I1661" i="41"/>
  <c r="A1097" i="57" s="1"/>
  <c r="O1097" i="57" s="1"/>
  <c r="N1097" i="57" s="1"/>
  <c r="J109" i="35" a="1"/>
  <c r="J109" i="35" s="1"/>
  <c r="D109" i="35" s="1"/>
  <c r="C114" i="55" s="1"/>
  <c r="D114" i="55" s="1"/>
  <c r="C722" i="55"/>
  <c r="D722" i="55" s="1"/>
  <c r="D25" i="48"/>
  <c r="C437" i="55"/>
  <c r="D437" i="55" s="1"/>
  <c r="D26" i="49"/>
  <c r="I193" i="41"/>
  <c r="B254" i="57" s="1"/>
  <c r="I1045" i="41"/>
  <c r="I987" i="41"/>
  <c r="B622" i="57" s="1"/>
  <c r="I1112" i="41"/>
  <c r="A688" i="57" s="1"/>
  <c r="N688" i="57" s="1"/>
  <c r="I1374" i="41"/>
  <c r="I1302" i="41"/>
  <c r="I1505" i="41"/>
  <c r="I671" i="41"/>
  <c r="I173" i="41"/>
  <c r="D107" i="50"/>
  <c r="F534" i="41"/>
  <c r="G534" i="41"/>
  <c r="H534" i="41"/>
  <c r="E534" i="41"/>
  <c r="I534" i="41" s="1"/>
  <c r="A486" i="57" s="1"/>
  <c r="O486" i="57" s="1"/>
  <c r="N486" i="57" s="1"/>
  <c r="I815" i="41"/>
  <c r="I1168" i="41"/>
  <c r="I1555" i="41"/>
  <c r="O1014" i="57" s="1"/>
  <c r="N1014" i="57" s="1"/>
  <c r="I57" i="41"/>
  <c r="O131" i="57" s="1"/>
  <c r="N131" i="57" s="1"/>
  <c r="I1414" i="41"/>
  <c r="O910" i="57" s="1"/>
  <c r="I1619" i="41"/>
  <c r="A1062" i="57" s="1"/>
  <c r="N1062" i="57" s="1"/>
  <c r="I738" i="41"/>
  <c r="C570" i="57" s="1"/>
  <c r="I874" i="41"/>
  <c r="I192" i="41"/>
  <c r="B253" i="57" s="1"/>
  <c r="I1271" i="41"/>
  <c r="A802" i="57" s="1"/>
  <c r="O818" i="57" s="1"/>
  <c r="N818" i="57" s="1"/>
  <c r="I433" i="41"/>
  <c r="O413" i="57" s="1"/>
  <c r="N413" i="57" s="1"/>
  <c r="I686" i="41"/>
  <c r="B558" i="57" s="1"/>
  <c r="I1473" i="41"/>
  <c r="I1810" i="41"/>
  <c r="C1205" i="57" s="1"/>
  <c r="I174" i="41"/>
  <c r="I765" i="41"/>
  <c r="I319" i="41"/>
  <c r="O342" i="57" s="1"/>
  <c r="N342" i="57" s="1"/>
  <c r="I851" i="41"/>
  <c r="I595" i="41"/>
  <c r="I183" i="41"/>
  <c r="B244" i="57" s="1"/>
  <c r="I1410" i="41"/>
  <c r="I402" i="41"/>
  <c r="I35" i="41"/>
  <c r="I221" i="41"/>
  <c r="D261" i="57" s="1"/>
  <c r="I785" i="41"/>
  <c r="I403" i="41"/>
  <c r="I853" i="41"/>
  <c r="I1010" i="41"/>
  <c r="D605" i="57" s="1"/>
  <c r="I873" i="41"/>
  <c r="I353" i="41"/>
  <c r="I1529" i="41"/>
  <c r="I718" i="41"/>
  <c r="C550" i="57" s="1"/>
  <c r="I1503" i="41"/>
  <c r="I1745" i="41"/>
  <c r="I570" i="41"/>
  <c r="I1584" i="41"/>
  <c r="I540" i="41"/>
  <c r="O493" i="57" s="1"/>
  <c r="N493" i="57" s="1"/>
  <c r="I417" i="41"/>
  <c r="O393" i="57" s="1"/>
  <c r="N393" i="57" s="1"/>
  <c r="I1733" i="41"/>
  <c r="O1160" i="57" s="1"/>
  <c r="N1160" i="57" s="1"/>
  <c r="X1064" i="35"/>
  <c r="I946" i="41"/>
  <c r="I1193" i="41"/>
  <c r="O743" i="57" s="1"/>
  <c r="N743" i="57" s="1"/>
  <c r="I1522" i="41"/>
  <c r="O989" i="57" s="1"/>
  <c r="I1715" i="41"/>
  <c r="I1545" i="41"/>
  <c r="O1007" i="57" s="1"/>
  <c r="I1913" i="41"/>
  <c r="I530" i="41"/>
  <c r="O480" i="57" s="1"/>
  <c r="N480" i="57" s="1"/>
  <c r="I980" i="41"/>
  <c r="B615" i="57" s="1"/>
  <c r="I77" i="41"/>
  <c r="I727" i="41"/>
  <c r="C559" i="57" s="1"/>
  <c r="I1521" i="41"/>
  <c r="I313" i="41"/>
  <c r="D334" i="57" s="1"/>
  <c r="I746" i="41"/>
  <c r="C578" i="57" s="1"/>
  <c r="I1052" i="41"/>
  <c r="U1086" i="35"/>
  <c r="X1086" i="35"/>
  <c r="U584" i="35"/>
  <c r="X584" i="35"/>
  <c r="D103" i="48"/>
  <c r="C779" i="55"/>
  <c r="D779" i="55" s="1"/>
  <c r="E447" i="41"/>
  <c r="I447" i="41" s="1"/>
  <c r="F447" i="41"/>
  <c r="X936" i="35"/>
  <c r="U936" i="35"/>
  <c r="C752" i="55"/>
  <c r="D752" i="55" s="1"/>
  <c r="D67" i="48"/>
  <c r="G654" i="41"/>
  <c r="H654" i="41"/>
  <c r="F654" i="41"/>
  <c r="E654" i="41"/>
  <c r="I654" i="41" s="1"/>
  <c r="A533" i="57" s="1"/>
  <c r="N533" i="57" s="1"/>
  <c r="U8" i="35"/>
  <c r="X8" i="35"/>
  <c r="C436" i="55"/>
  <c r="D436" i="55" s="1"/>
  <c r="D25" i="49"/>
  <c r="J939" i="35" a="1"/>
  <c r="J939" i="35" s="1"/>
  <c r="D939" i="35" s="1"/>
  <c r="H23" i="54" s="1"/>
  <c r="I1086" i="41"/>
  <c r="O671" i="57" s="1"/>
  <c r="N671" i="57" s="1"/>
  <c r="I412" i="41"/>
  <c r="I1606" i="41"/>
  <c r="I1269" i="41"/>
  <c r="A799" i="57" s="1"/>
  <c r="N799" i="57" s="1"/>
  <c r="I1653" i="41"/>
  <c r="I1392" i="41"/>
  <c r="I1044" i="41"/>
  <c r="U96" i="35"/>
  <c r="X96" i="35"/>
  <c r="U78" i="35"/>
  <c r="X78" i="35"/>
  <c r="U79" i="35"/>
  <c r="X79" i="35"/>
  <c r="J8" i="35" a="1"/>
  <c r="J8" i="35" s="1"/>
  <c r="D8" i="35" s="1"/>
  <c r="C13" i="55" s="1"/>
  <c r="D13" i="55" s="1"/>
  <c r="C456" i="55"/>
  <c r="D456" i="55" s="1"/>
  <c r="D51" i="49"/>
  <c r="J880" i="35" a="1"/>
  <c r="J880" i="35" s="1"/>
  <c r="D880" i="35" s="1"/>
  <c r="C885" i="55" s="1"/>
  <c r="D885" i="55" s="1"/>
  <c r="F1818" i="41"/>
  <c r="G1818" i="41"/>
  <c r="H1818" i="41"/>
  <c r="E1818" i="41"/>
  <c r="I1818" i="41" s="1"/>
  <c r="C1213" i="57" s="1"/>
  <c r="U1084" i="35"/>
  <c r="X1084" i="35"/>
  <c r="I1194" i="41"/>
  <c r="O744" i="57" s="1"/>
  <c r="N744" i="57" s="1"/>
  <c r="I65" i="41"/>
  <c r="A143" i="57" s="1"/>
  <c r="N143" i="57" s="1"/>
  <c r="I321" i="41"/>
  <c r="A346" i="57" s="1"/>
  <c r="O347" i="57" s="1"/>
  <c r="N347" i="57" s="1"/>
  <c r="I1219" i="41"/>
  <c r="I358" i="41"/>
  <c r="A371" i="57" s="1"/>
  <c r="O377" i="57" s="1"/>
  <c r="N377" i="57" s="1"/>
  <c r="I1250" i="41"/>
  <c r="D41" i="17"/>
  <c r="C1061" i="55"/>
  <c r="D1061" i="55" s="1"/>
  <c r="H121" i="41"/>
  <c r="G121" i="41"/>
  <c r="F121" i="41"/>
  <c r="E121" i="41"/>
  <c r="I121" i="41" s="1"/>
  <c r="A213" i="57" s="1"/>
  <c r="J876" i="35" a="1"/>
  <c r="J876" i="35" s="1"/>
  <c r="D876" i="35" s="1"/>
  <c r="C881" i="55" s="1"/>
  <c r="D881" i="55" s="1"/>
  <c r="J882" i="35" a="1"/>
  <c r="J882" i="35" s="1"/>
  <c r="D882" i="35" s="1"/>
  <c r="C887" i="55" s="1"/>
  <c r="D887" i="55" s="1"/>
  <c r="U38" i="35"/>
  <c r="X38" i="35"/>
  <c r="I249" i="41"/>
  <c r="I1349" i="41"/>
  <c r="O862" i="57" s="1"/>
  <c r="I585" i="41"/>
  <c r="I1134" i="41"/>
  <c r="I1220" i="41"/>
  <c r="O764" i="57" s="1"/>
  <c r="N764" i="57" s="1"/>
  <c r="I1177" i="41"/>
  <c r="O735" i="57" s="1"/>
  <c r="N735" i="57" s="1"/>
  <c r="I42" i="41"/>
  <c r="I1625" i="41"/>
  <c r="O1065" i="57" s="1"/>
  <c r="N1065" i="57" s="1"/>
  <c r="I1693" i="41"/>
  <c r="O1123" i="57" s="1"/>
  <c r="N1123" i="57" s="1"/>
  <c r="I1110" i="41"/>
  <c r="I578" i="41"/>
  <c r="I549" i="41"/>
  <c r="I1801" i="41"/>
  <c r="B1217" i="57" s="1"/>
  <c r="I1452" i="41"/>
  <c r="I490" i="41"/>
  <c r="I1747" i="41"/>
  <c r="J419" i="35" a="1"/>
  <c r="J419" i="35" s="1"/>
  <c r="D419" i="35" s="1"/>
  <c r="D10" i="49" s="1"/>
  <c r="I1069" i="41"/>
  <c r="O656" i="57" s="1"/>
  <c r="I1791" i="41"/>
  <c r="B1207" i="57" s="1"/>
  <c r="I616" i="41"/>
  <c r="I1285" i="41"/>
  <c r="A812" i="57" s="1"/>
  <c r="N812" i="57" s="1"/>
  <c r="I1021" i="41"/>
  <c r="D616" i="57" s="1"/>
  <c r="I1444" i="41"/>
  <c r="O932" i="57" s="1"/>
  <c r="N932" i="57" s="1"/>
  <c r="C841" i="55"/>
  <c r="D841" i="55" s="1"/>
  <c r="C355" i="41"/>
  <c r="E355" i="41" s="1"/>
  <c r="I355" i="41" s="1"/>
  <c r="I1538" i="41"/>
  <c r="O1002" i="57" s="1"/>
  <c r="N1002" i="57" s="1"/>
  <c r="I130" i="41"/>
  <c r="E212" i="57" s="1"/>
  <c r="I428" i="41"/>
  <c r="A409" i="57" s="1"/>
  <c r="N409" i="57" s="1"/>
  <c r="I1310" i="41"/>
  <c r="O832" i="57" s="1"/>
  <c r="I341" i="41"/>
  <c r="I1558" i="41"/>
  <c r="A1016" i="57" s="1"/>
  <c r="N1016" i="57" s="1"/>
  <c r="I397" i="41"/>
  <c r="I1391" i="41"/>
  <c r="O895" i="57" s="1"/>
  <c r="N895" i="57" s="1"/>
  <c r="I964" i="41"/>
  <c r="B599" i="57" s="1"/>
  <c r="I1599" i="41"/>
  <c r="I1751" i="41"/>
  <c r="O1173" i="57" s="1"/>
  <c r="N1173" i="57" s="1"/>
  <c r="I799" i="41"/>
  <c r="I1829" i="41"/>
  <c r="E1203" i="57" s="1"/>
  <c r="I1265" i="41"/>
  <c r="O794" i="57" s="1"/>
  <c r="I1688" i="41"/>
  <c r="O1121" i="57" s="1"/>
  <c r="N1121" i="57" s="1"/>
  <c r="I1322" i="41"/>
  <c r="I732" i="41"/>
  <c r="C564" i="57" s="1"/>
  <c r="I283" i="41"/>
  <c r="B300" i="57" s="1"/>
  <c r="I1573" i="41"/>
  <c r="O1027" i="57" s="1"/>
  <c r="N1027" i="57" s="1"/>
  <c r="I956" i="41"/>
  <c r="A590" i="57" s="1"/>
  <c r="O591" i="57" s="1"/>
  <c r="N591" i="57" s="1"/>
  <c r="I1255" i="41"/>
  <c r="A788" i="57" s="1"/>
  <c r="N788" i="57" s="1"/>
  <c r="I1749" i="41"/>
  <c r="O1171" i="57" s="1"/>
  <c r="N1171" i="57" s="1"/>
  <c r="I1176" i="41"/>
  <c r="O734" i="57" s="1"/>
  <c r="N734" i="57" s="1"/>
  <c r="I1590" i="41"/>
  <c r="I977" i="41"/>
  <c r="B612" i="57" s="1"/>
  <c r="I494" i="41"/>
  <c r="I934" i="41"/>
  <c r="I984" i="41"/>
  <c r="B619" i="57" s="1"/>
  <c r="I958" i="41"/>
  <c r="B594" i="57" s="1"/>
  <c r="I1772" i="41"/>
  <c r="O1191" i="57" s="1"/>
  <c r="N1191" i="57" s="1"/>
  <c r="I986" i="41"/>
  <c r="B621" i="57" s="1"/>
  <c r="I161" i="41"/>
  <c r="O227" i="57" s="1"/>
  <c r="N227" i="57" s="1"/>
  <c r="U109" i="35"/>
  <c r="X109" i="35"/>
  <c r="U802" i="35"/>
  <c r="X802" i="35"/>
  <c r="J77" i="35" a="1"/>
  <c r="J77" i="35" s="1"/>
  <c r="D77" i="35" s="1"/>
  <c r="C82" i="55" s="1"/>
  <c r="D82" i="55" s="1"/>
  <c r="U62" i="35"/>
  <c r="X62" i="35"/>
  <c r="I1399" i="41"/>
  <c r="G1668" i="41"/>
  <c r="I1401" i="41"/>
  <c r="A901" i="57" s="1"/>
  <c r="N901" i="57" s="1"/>
  <c r="I471" i="41"/>
  <c r="I37" i="41"/>
  <c r="I1013" i="41"/>
  <c r="D608" i="57" s="1"/>
  <c r="I287" i="41"/>
  <c r="B302" i="57" s="1"/>
  <c r="I999" i="41"/>
  <c r="B634" i="57" s="1"/>
  <c r="I1754" i="41"/>
  <c r="O1178" i="57" s="1"/>
  <c r="I1467" i="41"/>
  <c r="O951" i="57" s="1"/>
  <c r="I1182" i="41"/>
  <c r="I824" i="41"/>
  <c r="I25" i="41"/>
  <c r="I1636" i="41"/>
  <c r="A1072" i="57" s="1"/>
  <c r="N1072" i="57" s="1"/>
  <c r="I1825" i="41"/>
  <c r="E1199" i="57" s="1"/>
  <c r="I284" i="41"/>
  <c r="D300" i="57" s="1"/>
  <c r="U930" i="35"/>
  <c r="X930" i="35"/>
  <c r="F265" i="41"/>
  <c r="H265" i="41"/>
  <c r="G265" i="41"/>
  <c r="G268" i="41"/>
  <c r="E268" i="41"/>
  <c r="I268" i="41" s="1"/>
  <c r="F268" i="41"/>
  <c r="U77" i="35"/>
  <c r="U585" i="35"/>
  <c r="X585" i="35"/>
  <c r="F135" i="41"/>
  <c r="H135" i="41"/>
  <c r="E135" i="41"/>
  <c r="I135" i="41" s="1"/>
  <c r="G207" i="57" s="1"/>
  <c r="G135" i="41"/>
  <c r="E7" i="41"/>
  <c r="I7" i="41" s="1"/>
  <c r="A31" i="57" s="1"/>
  <c r="N31" i="57" s="1"/>
  <c r="H7" i="41"/>
  <c r="H153" i="41"/>
  <c r="F153" i="41"/>
  <c r="G153" i="41"/>
  <c r="E153" i="41"/>
  <c r="I153" i="41" s="1"/>
  <c r="I215" i="57" s="1"/>
  <c r="I438" i="41"/>
  <c r="I4" i="41"/>
  <c r="A27" i="57" s="1"/>
  <c r="N27" i="57" s="1"/>
  <c r="H1810" i="41"/>
  <c r="I1016" i="41"/>
  <c r="D611" i="57" s="1"/>
  <c r="I104" i="41"/>
  <c r="I1812" i="41"/>
  <c r="C1207" i="57" s="1"/>
  <c r="I74" i="41"/>
  <c r="O158" i="57" s="1"/>
  <c r="N158" i="57" s="1"/>
  <c r="I778" i="41"/>
  <c r="I558" i="41"/>
  <c r="U97" i="35"/>
  <c r="J936" i="35" a="1"/>
  <c r="J936" i="35" s="1"/>
  <c r="D936" i="35" s="1"/>
  <c r="H20" i="54" s="1"/>
  <c r="F292" i="41"/>
  <c r="H292" i="41"/>
  <c r="E292" i="41"/>
  <c r="I292" i="41" s="1"/>
  <c r="A308" i="57" s="1"/>
  <c r="O308" i="57" s="1"/>
  <c r="N308" i="57" s="1"/>
  <c r="G292" i="41"/>
  <c r="J398" i="35" a="1"/>
  <c r="J398" i="35" s="1"/>
  <c r="D398" i="35" s="1"/>
  <c r="C403" i="55" s="1"/>
  <c r="D403" i="55" s="1"/>
  <c r="D84" i="48"/>
  <c r="C766" i="55"/>
  <c r="D766" i="55" s="1"/>
  <c r="U412" i="35"/>
  <c r="X412" i="35"/>
  <c r="J69" i="35" a="1"/>
  <c r="J69" i="35" s="1"/>
  <c r="D69" i="35" s="1"/>
  <c r="C74" i="55" s="1"/>
  <c r="D74" i="55" s="1"/>
  <c r="C847" i="55"/>
  <c r="D847" i="55" s="1"/>
  <c r="D80" i="50"/>
  <c r="U925" i="35"/>
  <c r="U878" i="35"/>
  <c r="I1665" i="41"/>
  <c r="O1101" i="57" s="1"/>
  <c r="N1101" i="57" s="1"/>
  <c r="P11" i="30"/>
  <c r="I11" i="30" s="1"/>
  <c r="K11" i="30" s="1"/>
  <c r="J386" i="35" a="1"/>
  <c r="J386" i="35" s="1"/>
  <c r="D386" i="35" s="1"/>
  <c r="D17" i="21" s="1"/>
  <c r="D65" i="49"/>
  <c r="C467" i="55"/>
  <c r="D467" i="55" s="1"/>
  <c r="D101" i="48"/>
  <c r="I443" i="41"/>
  <c r="D48" i="49"/>
  <c r="I152" i="41"/>
  <c r="I214" i="57" s="1"/>
  <c r="I1679" i="41"/>
  <c r="I728" i="41"/>
  <c r="C560" i="57" s="1"/>
  <c r="I1032" i="41"/>
  <c r="D627" i="57" s="1"/>
  <c r="I103" i="41"/>
  <c r="I273" i="41"/>
  <c r="I1009" i="41"/>
  <c r="D604" i="57" s="1"/>
  <c r="I87" i="41"/>
  <c r="O175" i="57" s="1"/>
  <c r="N175" i="57" s="1"/>
  <c r="J418" i="35" a="1"/>
  <c r="J418" i="35" s="1"/>
  <c r="D418" i="35" s="1"/>
  <c r="D9" i="49" s="1"/>
  <c r="I6" i="41"/>
  <c r="A29" i="57" s="1"/>
  <c r="N29" i="57" s="1"/>
  <c r="J879" i="35" a="1"/>
  <c r="J879" i="35" s="1"/>
  <c r="D879" i="35" s="1"/>
  <c r="D17" i="52" s="1"/>
  <c r="I331" i="41"/>
  <c r="C762" i="55"/>
  <c r="D762" i="55" s="1"/>
  <c r="I73" i="41"/>
  <c r="O157" i="57" s="1"/>
  <c r="N157" i="57" s="1"/>
  <c r="U1081" i="35"/>
  <c r="I1811" i="41"/>
  <c r="C1206" i="57" s="1"/>
  <c r="I128" i="41"/>
  <c r="E210" i="57" s="1"/>
  <c r="F133" i="41"/>
  <c r="H133" i="41"/>
  <c r="E133" i="41"/>
  <c r="I133" i="41" s="1"/>
  <c r="E215" i="57" s="1"/>
  <c r="D71" i="49"/>
  <c r="C470" i="55"/>
  <c r="D470" i="55" s="1"/>
  <c r="X803" i="35"/>
  <c r="U803" i="35"/>
  <c r="I325" i="41"/>
  <c r="G132" i="41"/>
  <c r="H132" i="41"/>
  <c r="U576" i="35"/>
  <c r="X576" i="35"/>
  <c r="J401" i="35" a="1"/>
  <c r="J401" i="35" s="1"/>
  <c r="D401" i="35" s="1"/>
  <c r="C406" i="55" s="1"/>
  <c r="D406" i="55" s="1"/>
  <c r="J55" i="35" a="1"/>
  <c r="J55" i="35" s="1"/>
  <c r="D55" i="35" s="1"/>
  <c r="C60" i="55" s="1"/>
  <c r="D60" i="55" s="1"/>
  <c r="X494" i="35"/>
  <c r="U494" i="35"/>
  <c r="G127" i="41"/>
  <c r="E127" i="41"/>
  <c r="I127" i="41" s="1"/>
  <c r="E209" i="57" s="1"/>
  <c r="I1671" i="41"/>
  <c r="O1104" i="57" s="1"/>
  <c r="N1104" i="57" s="1"/>
  <c r="I1028" i="41"/>
  <c r="D623" i="57" s="1"/>
  <c r="J878" i="35" a="1"/>
  <c r="J878" i="35" s="1"/>
  <c r="D878" i="35" s="1"/>
  <c r="C883" i="55" s="1"/>
  <c r="D883" i="55" s="1"/>
  <c r="U1048" i="35"/>
  <c r="X1048" i="35"/>
  <c r="J931" i="35" a="1"/>
  <c r="J931" i="35" s="1"/>
  <c r="D931" i="35" s="1"/>
  <c r="C936" i="55" s="1"/>
  <c r="D936" i="55" s="1"/>
  <c r="D17" i="49"/>
  <c r="I134" i="41"/>
  <c r="E216" i="57" s="1"/>
  <c r="I361" i="41"/>
  <c r="O375" i="57" s="1"/>
  <c r="N375" i="57" s="1"/>
  <c r="I349" i="41"/>
  <c r="A363" i="57" s="1"/>
  <c r="O364" i="57" s="1"/>
  <c r="N364" i="57" s="1"/>
  <c r="I51" i="41"/>
  <c r="X124" i="35"/>
  <c r="I266" i="41"/>
  <c r="G143" i="41"/>
  <c r="I17" i="41"/>
  <c r="A101" i="57" s="1"/>
  <c r="O102" i="57" s="1"/>
  <c r="N102" i="57" s="1"/>
  <c r="I263" i="41"/>
  <c r="X94" i="35"/>
  <c r="H268" i="41"/>
  <c r="I1805" i="41"/>
  <c r="C1200" i="57" s="1"/>
  <c r="I137" i="41"/>
  <c r="G209" i="57" s="1"/>
  <c r="I148" i="41"/>
  <c r="I210" i="57" s="1"/>
  <c r="E143" i="41"/>
  <c r="I143" i="41" s="1"/>
  <c r="G215" i="57" s="1"/>
  <c r="H227" i="41"/>
  <c r="X97" i="35"/>
  <c r="I581" i="41"/>
  <c r="I1024" i="41"/>
  <c r="D619" i="57" s="1"/>
  <c r="J1075" i="35" a="1"/>
  <c r="J1075" i="35" s="1"/>
  <c r="D1075" i="35" s="1"/>
  <c r="C1080" i="55" s="1"/>
  <c r="D1080" i="55" s="1"/>
  <c r="U1060" i="35"/>
  <c r="X1060" i="35"/>
  <c r="I271" i="41"/>
  <c r="I446" i="41"/>
  <c r="D72" i="49"/>
  <c r="X1071" i="35"/>
  <c r="I270" i="41"/>
  <c r="H143" i="41"/>
  <c r="I1813" i="41"/>
  <c r="C1208" i="57" s="1"/>
  <c r="I561" i="41"/>
  <c r="I1027" i="41"/>
  <c r="D622" i="57" s="1"/>
  <c r="X792" i="35"/>
  <c r="U792" i="35"/>
  <c r="U938" i="35"/>
  <c r="X938" i="35"/>
  <c r="J390" i="35" a="1"/>
  <c r="J390" i="35" s="1"/>
  <c r="D390" i="35" s="1"/>
  <c r="C395" i="55" s="1"/>
  <c r="D395" i="55" s="1"/>
  <c r="I1822" i="41"/>
  <c r="C1217" i="57" s="1"/>
  <c r="F1810" i="41"/>
  <c r="G1810" i="41"/>
  <c r="C463" i="55"/>
  <c r="D463" i="55" s="1"/>
  <c r="I86" i="41"/>
  <c r="O174" i="57" s="1"/>
  <c r="N174" i="57" s="1"/>
  <c r="G1673" i="41"/>
  <c r="F1673" i="41"/>
  <c r="H1673" i="41"/>
  <c r="E1673" i="41"/>
  <c r="I1673" i="41" s="1"/>
  <c r="A1106" i="57" s="1"/>
  <c r="N1106" i="57" s="1"/>
  <c r="E139" i="41"/>
  <c r="I139" i="41" s="1"/>
  <c r="G211" i="57" s="1"/>
  <c r="G139" i="41"/>
  <c r="H139" i="41"/>
  <c r="F139" i="41"/>
  <c r="J93" i="35" a="1"/>
  <c r="J93" i="35" s="1"/>
  <c r="D93" i="35" s="1"/>
  <c r="C98" i="55" s="1"/>
  <c r="D98" i="55" s="1"/>
  <c r="U125" i="35"/>
  <c r="X394" i="35"/>
  <c r="U1051" i="35"/>
  <c r="I445" i="41"/>
  <c r="I569" i="41"/>
  <c r="U882" i="35"/>
  <c r="X882" i="35"/>
  <c r="F146" i="41"/>
  <c r="E146" i="41"/>
  <c r="I146" i="41" s="1"/>
  <c r="I208" i="57" s="1"/>
  <c r="G146" i="41"/>
  <c r="H146" i="41"/>
  <c r="X490" i="35"/>
  <c r="U490" i="35"/>
  <c r="J87" i="35" a="1"/>
  <c r="J87" i="35" s="1"/>
  <c r="D87" i="35" s="1"/>
  <c r="C92" i="55" s="1"/>
  <c r="D92" i="55" s="1"/>
  <c r="J396" i="35" a="1"/>
  <c r="J396" i="35" s="1"/>
  <c r="D396" i="35" s="1"/>
  <c r="C401" i="55" s="1"/>
  <c r="D401" i="55" s="1"/>
  <c r="D82" i="50"/>
  <c r="C849" i="55"/>
  <c r="D849" i="55" s="1"/>
  <c r="I1816" i="41"/>
  <c r="C1211" i="57" s="1"/>
  <c r="J1081" i="35" a="1"/>
  <c r="J1081" i="35" s="1"/>
  <c r="D1081" i="35" s="1"/>
  <c r="C1086" i="55" s="1"/>
  <c r="D1086" i="55" s="1"/>
  <c r="H551" i="41"/>
  <c r="F551" i="41"/>
  <c r="I154" i="41"/>
  <c r="I216" i="57" s="1"/>
  <c r="I275" i="41"/>
  <c r="I1807" i="41"/>
  <c r="C1202" i="57" s="1"/>
  <c r="F1816" i="41"/>
  <c r="I567" i="41"/>
  <c r="G1816" i="41"/>
  <c r="H1816" i="41"/>
  <c r="I653" i="41"/>
  <c r="A532" i="57" s="1"/>
  <c r="N532" i="57" s="1"/>
  <c r="X496" i="35"/>
  <c r="U126" i="35"/>
  <c r="I1808" i="41"/>
  <c r="C1203" i="57" s="1"/>
  <c r="I160" i="41"/>
  <c r="O226" i="57" s="1"/>
  <c r="N226" i="57" s="1"/>
  <c r="I23" i="41"/>
  <c r="I126" i="41"/>
  <c r="E208" i="57" s="1"/>
  <c r="I147" i="41"/>
  <c r="I209" i="57" s="1"/>
  <c r="I1806" i="41"/>
  <c r="C1201" i="57" s="1"/>
  <c r="I1803" i="41"/>
  <c r="C1198" i="57" s="1"/>
  <c r="I1677" i="41"/>
  <c r="A1109" i="57" s="1"/>
  <c r="N1109" i="57" s="1"/>
  <c r="I308" i="41"/>
  <c r="O331" i="57" s="1"/>
  <c r="N331" i="57" s="1"/>
  <c r="I1664" i="41"/>
  <c r="O1100" i="57" s="1"/>
  <c r="N1100" i="57" s="1"/>
  <c r="I562" i="41"/>
  <c r="I84" i="41"/>
  <c r="O172" i="57" s="1"/>
  <c r="I20" i="41"/>
  <c r="I138" i="41"/>
  <c r="G210" i="57" s="1"/>
  <c r="I444" i="41"/>
  <c r="I22" i="41"/>
  <c r="I564" i="41"/>
  <c r="I272" i="41"/>
  <c r="I1682" i="41"/>
  <c r="O1113" i="57" s="1"/>
  <c r="N1113" i="57" s="1"/>
  <c r="I415" i="41"/>
  <c r="O391" i="57" s="1"/>
  <c r="U74" i="35"/>
  <c r="J1073" i="35" a="1"/>
  <c r="J1073" i="35" s="1"/>
  <c r="D1073" i="35" s="1"/>
  <c r="D17" i="46" s="1"/>
  <c r="I1681" i="41"/>
  <c r="O1112" i="57" s="1"/>
  <c r="N1112" i="57" s="1"/>
  <c r="I85" i="41"/>
  <c r="O173" i="57" s="1"/>
  <c r="N173" i="57" s="1"/>
  <c r="I648" i="41"/>
  <c r="I1819" i="41"/>
  <c r="C1214" i="57" s="1"/>
  <c r="I1680" i="41"/>
  <c r="O1111" i="57" s="1"/>
  <c r="N1111" i="57" s="1"/>
  <c r="X131" i="35"/>
  <c r="I1676" i="41"/>
  <c r="I243" i="41"/>
  <c r="I75" i="41"/>
  <c r="O159" i="57" s="1"/>
  <c r="N159" i="57" s="1"/>
  <c r="I141" i="41"/>
  <c r="G213" i="57" s="1"/>
  <c r="I72" i="41"/>
  <c r="I652" i="41"/>
  <c r="A531" i="57" s="1"/>
  <c r="N531" i="57" s="1"/>
  <c r="I291" i="41"/>
  <c r="A307" i="57" s="1"/>
  <c r="O307" i="57" s="1"/>
  <c r="N307" i="57" s="1"/>
  <c r="I1817" i="41"/>
  <c r="C1212" i="57" s="1"/>
  <c r="I1814" i="41"/>
  <c r="C1209" i="57" s="1"/>
  <c r="I288" i="41"/>
  <c r="D302" i="57" s="1"/>
  <c r="I282" i="41"/>
  <c r="O298" i="57" s="1"/>
  <c r="N298" i="57" s="1"/>
  <c r="I1019" i="41"/>
  <c r="D614" i="57" s="1"/>
  <c r="I441" i="41"/>
  <c r="I81" i="41"/>
  <c r="O167" i="57" s="1"/>
  <c r="N167" i="57" s="1"/>
  <c r="I241" i="41"/>
  <c r="U417" i="35"/>
  <c r="I162" i="41"/>
  <c r="A229" i="57" s="1"/>
  <c r="N229" i="57" s="1"/>
  <c r="I1663" i="41"/>
  <c r="O1099" i="57" s="1"/>
  <c r="N1099" i="57" s="1"/>
  <c r="I950" i="41"/>
  <c r="I647" i="41"/>
  <c r="I307" i="41"/>
  <c r="O330" i="57" s="1"/>
  <c r="N330" i="57" s="1"/>
  <c r="D68" i="48"/>
  <c r="I159" i="41"/>
  <c r="O225" i="57" s="1"/>
  <c r="N225" i="57" s="1"/>
  <c r="I1026" i="41"/>
  <c r="D621" i="57" s="1"/>
  <c r="I279" i="41"/>
  <c r="O295" i="57" s="1"/>
  <c r="U113" i="35"/>
  <c r="I120" i="41"/>
  <c r="A212" i="57" s="1"/>
  <c r="C747" i="55"/>
  <c r="D747" i="55" s="1"/>
  <c r="I1820" i="41"/>
  <c r="C1215" i="57" s="1"/>
  <c r="I158" i="41"/>
  <c r="O224" i="57" s="1"/>
  <c r="I1012" i="41"/>
  <c r="D607" i="57" s="1"/>
  <c r="U1078" i="35"/>
  <c r="I440" i="41"/>
  <c r="I1823" i="41"/>
  <c r="C1218" i="57" s="1"/>
  <c r="I1662" i="41"/>
  <c r="O1098" i="57" s="1"/>
  <c r="I131" i="41"/>
  <c r="E213" i="57" s="1"/>
  <c r="I1804" i="41"/>
  <c r="C1199" i="57" s="1"/>
  <c r="I79" i="41"/>
  <c r="O165" i="57" s="1"/>
  <c r="I1023" i="41"/>
  <c r="D618" i="57" s="1"/>
  <c r="I566" i="41"/>
  <c r="I568" i="41"/>
  <c r="I225" i="41"/>
  <c r="A268" i="57" s="1"/>
  <c r="O269" i="57" s="1"/>
  <c r="N269" i="57" s="1"/>
  <c r="I267" i="41"/>
  <c r="U117" i="35"/>
  <c r="I646" i="41"/>
  <c r="I845" i="41"/>
  <c r="I579" i="41"/>
  <c r="I269" i="41"/>
  <c r="I136" i="41"/>
  <c r="G208" i="57" s="1"/>
  <c r="I19" i="41"/>
  <c r="I156" i="41"/>
  <c r="A220" i="57" s="1"/>
  <c r="O221" i="57" s="1"/>
  <c r="N221" i="57" s="1"/>
  <c r="G547" i="41"/>
  <c r="I306" i="41"/>
  <c r="O329" i="57" s="1"/>
  <c r="N329" i="57" s="1"/>
  <c r="I1007" i="41"/>
  <c r="D602" i="57" s="1"/>
  <c r="I1031" i="41"/>
  <c r="D626" i="57" s="1"/>
  <c r="I125" i="41"/>
  <c r="E207" i="57" s="1"/>
  <c r="I651" i="41"/>
  <c r="A530" i="57" s="1"/>
  <c r="N530" i="57" s="1"/>
  <c r="I559" i="41"/>
  <c r="I80" i="41"/>
  <c r="O166" i="57" s="1"/>
  <c r="N166" i="57" s="1"/>
  <c r="P19" i="30"/>
  <c r="I19" i="30" s="1"/>
  <c r="K19" i="30" s="1"/>
  <c r="P32" i="30"/>
  <c r="I32" i="30" s="1"/>
  <c r="K32" i="30" s="1"/>
  <c r="I274" i="41"/>
  <c r="I1670" i="41"/>
  <c r="O1103" i="57" s="1"/>
  <c r="N1103" i="57" s="1"/>
  <c r="I1022" i="41"/>
  <c r="D617" i="57" s="1"/>
  <c r="J1074" i="35" a="1"/>
  <c r="J1074" i="35" s="1"/>
  <c r="D1074" i="35" s="1"/>
  <c r="C1079" i="55" s="1"/>
  <c r="D1079" i="55" s="1"/>
  <c r="P16" i="30"/>
  <c r="I16" i="30" s="1"/>
  <c r="K16" i="30" s="1"/>
  <c r="X1078" i="35"/>
  <c r="F132" i="41"/>
  <c r="E132" i="41"/>
  <c r="I132" i="41" s="1"/>
  <c r="E214" i="57" s="1"/>
  <c r="J1036" i="35" a="1"/>
  <c r="J1036" i="35" s="1"/>
  <c r="D1036" i="35" s="1"/>
  <c r="C1041" i="55" s="1"/>
  <c r="D1041" i="55" s="1"/>
  <c r="J59" i="35" a="1"/>
  <c r="J59" i="35" s="1"/>
  <c r="D59" i="35" s="1"/>
  <c r="P13" i="30"/>
  <c r="I13" i="30" s="1"/>
  <c r="K13" i="30" s="1"/>
  <c r="P6" i="30"/>
  <c r="I6" i="30" s="1"/>
  <c r="K6" i="30" s="1"/>
  <c r="G144" i="41"/>
  <c r="H144" i="41"/>
  <c r="P12" i="30"/>
  <c r="I12" i="30" s="1"/>
  <c r="K12" i="30" s="1"/>
  <c r="E144" i="41"/>
  <c r="I144" i="41" s="1"/>
  <c r="G216" i="57" s="1"/>
  <c r="P24" i="30"/>
  <c r="I24" i="30" s="1"/>
  <c r="K24" i="30" s="1"/>
  <c r="J406" i="35" a="1"/>
  <c r="J406" i="35" s="1"/>
  <c r="D406" i="35" s="1"/>
  <c r="C411" i="55" s="1"/>
  <c r="D411" i="55" s="1"/>
  <c r="J409" i="35" a="1"/>
  <c r="J409" i="35" s="1"/>
  <c r="D409" i="35" s="1"/>
  <c r="C414" i="55" s="1"/>
  <c r="D414" i="55" s="1"/>
  <c r="P15" i="30"/>
  <c r="I15" i="30" s="1"/>
  <c r="K15" i="30" s="1"/>
  <c r="P37" i="30"/>
  <c r="I37" i="30" s="1"/>
  <c r="K37" i="30" s="1"/>
  <c r="P14" i="30"/>
  <c r="I14" i="30" s="1"/>
  <c r="K14" i="30" s="1"/>
  <c r="P17" i="30"/>
  <c r="I17" i="30" s="1"/>
  <c r="K17" i="30" s="1"/>
  <c r="P26" i="30"/>
  <c r="I26" i="30" s="1"/>
  <c r="K26" i="30" s="1"/>
  <c r="U1036" i="35"/>
  <c r="P35" i="30"/>
  <c r="I35" i="30" s="1"/>
  <c r="K35" i="30" s="1"/>
  <c r="D29" i="17"/>
  <c r="D33" i="51"/>
  <c r="D24" i="51"/>
  <c r="D8" i="50"/>
  <c r="I42" i="6"/>
  <c r="C591" i="55"/>
  <c r="D591" i="55" s="1"/>
  <c r="D42" i="21"/>
  <c r="D10" i="50"/>
  <c r="D32" i="51"/>
  <c r="C807" i="55"/>
  <c r="D807" i="55" s="1"/>
  <c r="C798" i="55"/>
  <c r="D798" i="55" s="1"/>
  <c r="C579" i="55"/>
  <c r="D579" i="55" s="1"/>
  <c r="C796" i="55"/>
  <c r="D796" i="55" s="1"/>
  <c r="D15" i="5"/>
  <c r="C90" i="55"/>
  <c r="D90" i="55" s="1"/>
  <c r="D24" i="5"/>
  <c r="G102" i="41"/>
  <c r="I102" i="41" s="1"/>
  <c r="H102" i="41"/>
  <c r="F102" i="41"/>
  <c r="G24" i="41"/>
  <c r="I24" i="41" s="1"/>
  <c r="A109" i="57" s="1"/>
  <c r="O109" i="57" s="1"/>
  <c r="N109" i="57" s="1"/>
  <c r="G105" i="41"/>
  <c r="I105" i="41" s="1"/>
  <c r="C429" i="55"/>
  <c r="D429" i="55" s="1"/>
  <c r="D18" i="49"/>
  <c r="C497" i="55"/>
  <c r="D497" i="55" s="1"/>
  <c r="E14" i="47"/>
  <c r="C937" i="55"/>
  <c r="D937" i="55" s="1"/>
  <c r="H16" i="54"/>
  <c r="C502" i="55"/>
  <c r="D502" i="55" s="1"/>
  <c r="E19" i="47"/>
  <c r="C128" i="55"/>
  <c r="D128" i="55" s="1"/>
  <c r="C124" i="55"/>
  <c r="D124" i="55" s="1"/>
  <c r="D7" i="5"/>
  <c r="C72" i="55"/>
  <c r="D72" i="55" s="1"/>
  <c r="D49" i="8"/>
  <c r="C500" i="55"/>
  <c r="D500" i="55" s="1"/>
  <c r="E17" i="47"/>
  <c r="C499" i="55"/>
  <c r="D499" i="55" s="1"/>
  <c r="E16" i="47"/>
  <c r="C127" i="55"/>
  <c r="D127" i="55" s="1"/>
  <c r="D10" i="5"/>
  <c r="C501" i="55"/>
  <c r="D501" i="55" s="1"/>
  <c r="E18" i="47"/>
  <c r="C496" i="55"/>
  <c r="D496" i="55" s="1"/>
  <c r="E13" i="47"/>
  <c r="N490" i="35"/>
  <c r="J490" i="35" s="1" a="1"/>
  <c r="J490" i="35" s="1"/>
  <c r="D490" i="35" s="1"/>
  <c r="D21" i="52"/>
  <c r="C494" i="55"/>
  <c r="D494" i="55" s="1"/>
  <c r="E11" i="47"/>
  <c r="C412" i="55"/>
  <c r="D412" i="55" s="1"/>
  <c r="D38" i="21"/>
  <c r="C1044" i="55"/>
  <c r="D1044" i="55" s="1"/>
  <c r="D21" i="17"/>
  <c r="C459" i="55"/>
  <c r="D459" i="55" s="1"/>
  <c r="D57" i="49"/>
  <c r="C95" i="55"/>
  <c r="D95" i="55" s="1"/>
  <c r="D14" i="44"/>
  <c r="C552" i="55"/>
  <c r="D552" i="55" s="1"/>
  <c r="O200" i="57"/>
  <c r="N200" i="57" s="1"/>
  <c r="O201" i="57"/>
  <c r="N201" i="57" s="1"/>
  <c r="C392" i="55"/>
  <c r="D392" i="55" s="1"/>
  <c r="D18" i="21"/>
  <c r="C45" i="55"/>
  <c r="D45" i="55" s="1"/>
  <c r="D13" i="8"/>
  <c r="C15" i="55"/>
  <c r="D15" i="55" s="1"/>
  <c r="D25" i="31"/>
  <c r="C886" i="55"/>
  <c r="D886" i="55" s="1"/>
  <c r="D19" i="52"/>
  <c r="C410" i="55"/>
  <c r="D410" i="55" s="1"/>
  <c r="C132" i="55"/>
  <c r="D132" i="55" s="1"/>
  <c r="D18" i="5"/>
  <c r="C104" i="55"/>
  <c r="D104" i="55" s="1"/>
  <c r="D23" i="44"/>
  <c r="C929" i="55"/>
  <c r="D929" i="55" s="1"/>
  <c r="H8" i="54"/>
  <c r="C498" i="55"/>
  <c r="D498" i="55" s="1"/>
  <c r="E15" i="47"/>
  <c r="C11" i="55"/>
  <c r="D11" i="55" s="1"/>
  <c r="D21" i="31"/>
  <c r="C469" i="55"/>
  <c r="D469" i="55" s="1"/>
  <c r="D70" i="49"/>
  <c r="C503" i="55"/>
  <c r="D503" i="55" s="1"/>
  <c r="E20" i="47"/>
  <c r="D21" i="4" l="1"/>
  <c r="D19" i="5"/>
  <c r="C413" i="55"/>
  <c r="D413" i="55" s="1"/>
  <c r="D44" i="49"/>
  <c r="C68" i="55"/>
  <c r="D68" i="55" s="1"/>
  <c r="C420" i="55"/>
  <c r="D420" i="55" s="1"/>
  <c r="D7" i="43"/>
  <c r="C54" i="55"/>
  <c r="D54" i="55" s="1"/>
  <c r="C88" i="55"/>
  <c r="D88" i="55" s="1"/>
  <c r="D10" i="2"/>
  <c r="D16" i="44"/>
  <c r="C427" i="55"/>
  <c r="D427" i="55" s="1"/>
  <c r="C439" i="55"/>
  <c r="D439" i="55" s="1"/>
  <c r="C939" i="55"/>
  <c r="D939" i="55" s="1"/>
  <c r="D25" i="8"/>
  <c r="D27" i="44"/>
  <c r="D19" i="17"/>
  <c r="H10" i="54"/>
  <c r="C18" i="55"/>
  <c r="D18" i="55" s="1"/>
  <c r="C1074" i="55"/>
  <c r="D1074" i="55" s="1"/>
  <c r="A1015" i="57"/>
  <c r="C417" i="55"/>
  <c r="D417" i="55" s="1"/>
  <c r="A349" i="57"/>
  <c r="N349" i="57" s="1"/>
  <c r="D38" i="2"/>
  <c r="D47" i="8"/>
  <c r="C83" i="55"/>
  <c r="D83" i="55" s="1"/>
  <c r="C86" i="55"/>
  <c r="D86" i="55" s="1"/>
  <c r="D12" i="31"/>
  <c r="C1072" i="55"/>
  <c r="D1072" i="55" s="1"/>
  <c r="D18" i="4"/>
  <c r="D24" i="31"/>
  <c r="C62" i="55"/>
  <c r="D62" i="55" s="1"/>
  <c r="D11" i="49"/>
  <c r="F50" i="41"/>
  <c r="D26" i="31"/>
  <c r="C21" i="55"/>
  <c r="D21" i="55" s="1"/>
  <c r="E50" i="41"/>
  <c r="E52" i="41" s="1"/>
  <c r="I52" i="41" s="1"/>
  <c r="O125" i="57" s="1"/>
  <c r="N125" i="57" s="1"/>
  <c r="G50" i="41"/>
  <c r="C43" i="55"/>
  <c r="D43" i="55" s="1"/>
  <c r="D9" i="5"/>
  <c r="D25" i="5"/>
  <c r="C118" i="55"/>
  <c r="D118" i="55" s="1"/>
  <c r="C110" i="55"/>
  <c r="D110" i="55" s="1"/>
  <c r="D9" i="46"/>
  <c r="D10" i="43"/>
  <c r="C50" i="55"/>
  <c r="D50" i="55" s="1"/>
  <c r="D43" i="17"/>
  <c r="D23" i="21"/>
  <c r="C394" i="55"/>
  <c r="D394" i="55" s="1"/>
  <c r="D37" i="2"/>
  <c r="D8" i="44"/>
  <c r="D8" i="17"/>
  <c r="D20" i="5"/>
  <c r="C36" i="55"/>
  <c r="D36" i="55" s="1"/>
  <c r="C1084" i="55"/>
  <c r="D1084" i="55" s="1"/>
  <c r="D46" i="8"/>
  <c r="C77" i="55"/>
  <c r="D77" i="55" s="1"/>
  <c r="C125" i="55"/>
  <c r="D125" i="55" s="1"/>
  <c r="D26" i="17"/>
  <c r="D24" i="46"/>
  <c r="I17" i="6"/>
  <c r="D10" i="44"/>
  <c r="D17" i="8"/>
  <c r="D15" i="4"/>
  <c r="C938" i="55"/>
  <c r="D938" i="55" s="1"/>
  <c r="I30" i="6"/>
  <c r="H28" i="54"/>
  <c r="D38" i="8"/>
  <c r="D12" i="49"/>
  <c r="O235" i="57"/>
  <c r="N235" i="57" s="1"/>
  <c r="C106" i="55"/>
  <c r="D106" i="55" s="1"/>
  <c r="C1085" i="55"/>
  <c r="D1085" i="55" s="1"/>
  <c r="D20" i="8"/>
  <c r="C48" i="55"/>
  <c r="D48" i="55" s="1"/>
  <c r="C1038" i="55"/>
  <c r="D1038" i="55" s="1"/>
  <c r="C940" i="55"/>
  <c r="D940" i="55" s="1"/>
  <c r="O360" i="57"/>
  <c r="N360" i="57" s="1"/>
  <c r="D12" i="52"/>
  <c r="H13" i="54"/>
  <c r="D28" i="17"/>
  <c r="D10" i="17"/>
  <c r="C415" i="55"/>
  <c r="D415" i="55" s="1"/>
  <c r="D15" i="44"/>
  <c r="D36" i="8"/>
  <c r="C400" i="55"/>
  <c r="D400" i="55" s="1"/>
  <c r="D44" i="17"/>
  <c r="C390" i="55"/>
  <c r="D390" i="55" s="1"/>
  <c r="C107" i="55"/>
  <c r="D107" i="55" s="1"/>
  <c r="C882" i="55"/>
  <c r="D882" i="55" s="1"/>
  <c r="C115" i="55"/>
  <c r="D115" i="55" s="1"/>
  <c r="C946" i="55"/>
  <c r="D946" i="55" s="1"/>
  <c r="C1071" i="55"/>
  <c r="D1071" i="55" s="1"/>
  <c r="D15" i="8"/>
  <c r="C57" i="55"/>
  <c r="D57" i="55" s="1"/>
  <c r="D19" i="21"/>
  <c r="D9" i="4"/>
  <c r="D31" i="8"/>
  <c r="D62" i="8"/>
  <c r="D7" i="45"/>
  <c r="D16" i="2"/>
  <c r="D34" i="8"/>
  <c r="A202" i="57"/>
  <c r="N202" i="57" s="1"/>
  <c r="A687" i="57"/>
  <c r="O687" i="57" s="1"/>
  <c r="N687" i="57" s="1"/>
  <c r="D29" i="46"/>
  <c r="C94" i="55"/>
  <c r="D94" i="55" s="1"/>
  <c r="D22" i="31"/>
  <c r="N266" i="57"/>
  <c r="N463" i="57"/>
  <c r="K475" i="35"/>
  <c r="J475" i="35" s="1" a="1"/>
  <c r="J475" i="35" s="1"/>
  <c r="D475" i="35" s="1"/>
  <c r="C480" i="55" s="1"/>
  <c r="D480" i="55" s="1"/>
  <c r="C1088" i="55"/>
  <c r="D1088" i="55" s="1"/>
  <c r="C101" i="55"/>
  <c r="D101" i="55" s="1"/>
  <c r="O470" i="57"/>
  <c r="N470" i="57" s="1"/>
  <c r="D47" i="17"/>
  <c r="D13" i="52"/>
  <c r="N598" i="57"/>
  <c r="D21" i="8"/>
  <c r="O320" i="57"/>
  <c r="N320" i="57" s="1"/>
  <c r="D33" i="8"/>
  <c r="D33" i="46"/>
  <c r="D14" i="17"/>
  <c r="D52" i="8"/>
  <c r="D22" i="21"/>
  <c r="D34" i="46"/>
  <c r="C44" i="55"/>
  <c r="D44" i="55" s="1"/>
  <c r="F83" i="47"/>
  <c r="C73" i="55"/>
  <c r="D73" i="55" s="1"/>
  <c r="D14" i="8"/>
  <c r="D20" i="17"/>
  <c r="N246" i="57"/>
  <c r="A987" i="57"/>
  <c r="O987" i="57" s="1"/>
  <c r="N987" i="57" s="1"/>
  <c r="D13" i="43"/>
  <c r="N613" i="57"/>
  <c r="C942" i="55"/>
  <c r="D942" i="55" s="1"/>
  <c r="N600" i="57"/>
  <c r="O231" i="57"/>
  <c r="N231" i="57" s="1"/>
  <c r="C55" i="55"/>
  <c r="D55" i="55" s="1"/>
  <c r="C405" i="55"/>
  <c r="D405" i="55" s="1"/>
  <c r="H27" i="54"/>
  <c r="D16" i="17"/>
  <c r="H22" i="54"/>
  <c r="D18" i="44"/>
  <c r="G541" i="41"/>
  <c r="D35" i="2"/>
  <c r="E541" i="41"/>
  <c r="I541" i="41" s="1"/>
  <c r="A495" i="57" s="1"/>
  <c r="N495" i="57" s="1"/>
  <c r="D23" i="46"/>
  <c r="D16" i="5"/>
  <c r="C1070" i="55"/>
  <c r="D1070" i="55" s="1"/>
  <c r="O1174" i="57"/>
  <c r="N1174" i="57" s="1"/>
  <c r="N198" i="57"/>
  <c r="D19" i="44"/>
  <c r="H12" i="54"/>
  <c r="G51" i="41"/>
  <c r="N286" i="57"/>
  <c r="D9" i="17"/>
  <c r="C1077" i="55"/>
  <c r="D1077" i="55" s="1"/>
  <c r="O327" i="57"/>
  <c r="N327" i="57" s="1"/>
  <c r="D26" i="5"/>
  <c r="O287" i="57"/>
  <c r="N287" i="57" s="1"/>
  <c r="L16" i="30"/>
  <c r="M16" i="30" s="1"/>
  <c r="C16" i="30" s="1" a="1"/>
  <c r="C16" i="30" s="1"/>
  <c r="N440" i="57"/>
  <c r="O446" i="57"/>
  <c r="N446" i="57" s="1"/>
  <c r="D11" i="43"/>
  <c r="D61" i="8"/>
  <c r="H541" i="41"/>
  <c r="N615" i="57"/>
  <c r="O178" i="57"/>
  <c r="N178" i="57" s="1"/>
  <c r="N255" i="57"/>
  <c r="N609" i="57"/>
  <c r="A488" i="57"/>
  <c r="O489" i="57" s="1"/>
  <c r="N489" i="57" s="1"/>
  <c r="N161" i="57"/>
  <c r="A1128" i="57"/>
  <c r="N1128" i="57" s="1"/>
  <c r="D25" i="46"/>
  <c r="C122" i="55"/>
  <c r="D122" i="55" s="1"/>
  <c r="D48" i="8"/>
  <c r="K474" i="35"/>
  <c r="J474" i="35" s="1" a="1"/>
  <c r="J474" i="35" s="1"/>
  <c r="J674" i="35" s="1" a="1"/>
  <c r="J674" i="35" s="1"/>
  <c r="D674" i="35" s="1"/>
  <c r="C679" i="55" s="1"/>
  <c r="D679" i="55" s="1"/>
  <c r="E519" i="57"/>
  <c r="D8" i="51"/>
  <c r="K476" i="35"/>
  <c r="J476" i="35" s="1" a="1"/>
  <c r="J476" i="35" s="1"/>
  <c r="J852" i="35" s="1" a="1"/>
  <c r="J852" i="35" s="1"/>
  <c r="D852" i="35" s="1"/>
  <c r="C857" i="55" s="1"/>
  <c r="D857" i="55" s="1"/>
  <c r="N242" i="57"/>
  <c r="N333" i="57"/>
  <c r="A929" i="57"/>
  <c r="O929" i="57" s="1"/>
  <c r="N929" i="57" s="1"/>
  <c r="O98" i="57"/>
  <c r="N98" i="57" s="1"/>
  <c r="F51" i="41"/>
  <c r="C1040" i="55"/>
  <c r="D1040" i="55" s="1"/>
  <c r="O641" i="57"/>
  <c r="N641" i="57" s="1"/>
  <c r="C409" i="55"/>
  <c r="D409" i="55" s="1"/>
  <c r="O194" i="57"/>
  <c r="N194" i="57" s="1"/>
  <c r="O642" i="57"/>
  <c r="N642" i="57" s="1"/>
  <c r="D15" i="21"/>
  <c r="O1094" i="57"/>
  <c r="N1094" i="57" s="1"/>
  <c r="C1045" i="55"/>
  <c r="D1045" i="55" s="1"/>
  <c r="D8" i="45"/>
  <c r="C138" i="55"/>
  <c r="D138" i="55" s="1"/>
  <c r="H24" i="54"/>
  <c r="D7" i="49"/>
  <c r="D33" i="21"/>
  <c r="O318" i="57"/>
  <c r="N318" i="57" s="1"/>
  <c r="D7" i="8"/>
  <c r="D24" i="21"/>
  <c r="F81" i="47"/>
  <c r="D30" i="21"/>
  <c r="O1092" i="57"/>
  <c r="N1092" i="57" s="1"/>
  <c r="D48" i="17"/>
  <c r="L25" i="30"/>
  <c r="M25" i="30" s="1"/>
  <c r="C25" i="30" s="1" a="1"/>
  <c r="C25" i="30" s="1"/>
  <c r="O153" i="57"/>
  <c r="N153" i="57" s="1"/>
  <c r="H51" i="41"/>
  <c r="C17" i="55"/>
  <c r="D17" i="55" s="1"/>
  <c r="N633" i="57"/>
  <c r="N594" i="57"/>
  <c r="A433" i="57"/>
  <c r="O1134" i="57"/>
  <c r="N1134" i="57" s="1"/>
  <c r="N612" i="57"/>
  <c r="O433" i="57"/>
  <c r="N438" i="57"/>
  <c r="N1195" i="57"/>
  <c r="A654" i="57"/>
  <c r="O654" i="57" s="1"/>
  <c r="N654" i="57" s="1"/>
  <c r="O192" i="57"/>
  <c r="N192" i="57" s="1"/>
  <c r="O314" i="57"/>
  <c r="N314" i="57" s="1"/>
  <c r="A163" i="57"/>
  <c r="O163" i="57" s="1"/>
  <c r="N163" i="57" s="1"/>
  <c r="N256" i="57"/>
  <c r="I45" i="6"/>
  <c r="F82" i="47"/>
  <c r="A354" i="57"/>
  <c r="N354" i="57" s="1"/>
  <c r="A749" i="57"/>
  <c r="O749" i="57" s="1"/>
  <c r="N749" i="57" s="1"/>
  <c r="O265" i="57"/>
  <c r="N265" i="57" s="1"/>
  <c r="N250" i="57"/>
  <c r="N597" i="57"/>
  <c r="L17" i="30"/>
  <c r="M17" i="30" s="1"/>
  <c r="C17" i="30" s="1" a="1"/>
  <c r="C17" i="30" s="1"/>
  <c r="A355" i="57"/>
  <c r="N355" i="57" s="1"/>
  <c r="O829" i="57"/>
  <c r="N829" i="57" s="1"/>
  <c r="A758" i="57"/>
  <c r="O758" i="57" s="1"/>
  <c r="N758" i="57" s="1"/>
  <c r="N335" i="57"/>
  <c r="A113" i="57"/>
  <c r="O113" i="57" s="1"/>
  <c r="N113" i="57" s="1"/>
  <c r="N610" i="57"/>
  <c r="O1182" i="57"/>
  <c r="D32" i="46"/>
  <c r="C24" i="55"/>
  <c r="D24" i="55" s="1"/>
  <c r="N625" i="57"/>
  <c r="N259" i="57"/>
  <c r="O1102" i="57"/>
  <c r="A116" i="57"/>
  <c r="N116" i="57" s="1"/>
  <c r="N260" i="57"/>
  <c r="C152" i="55"/>
  <c r="D152" i="55" s="1"/>
  <c r="N262" i="57"/>
  <c r="L15" i="30"/>
  <c r="M15" i="30" s="1"/>
  <c r="C15" i="30" s="1" a="1"/>
  <c r="C15" i="30" s="1"/>
  <c r="D31" i="46"/>
  <c r="C388" i="55"/>
  <c r="D388" i="55" s="1"/>
  <c r="D17" i="4"/>
  <c r="O357" i="57"/>
  <c r="N357" i="57" s="1"/>
  <c r="I20" i="6"/>
  <c r="D14" i="46"/>
  <c r="N618" i="57"/>
  <c r="A145" i="57"/>
  <c r="O146" i="57" s="1"/>
  <c r="N146" i="57" s="1"/>
  <c r="D8" i="49"/>
  <c r="O292" i="57"/>
  <c r="N292" i="57" s="1"/>
  <c r="C1076" i="55"/>
  <c r="D1076" i="55" s="1"/>
  <c r="O1225" i="57"/>
  <c r="N1225" i="57" s="1"/>
  <c r="C66" i="55"/>
  <c r="D66" i="55" s="1"/>
  <c r="E521" i="57"/>
  <c r="A780" i="57"/>
  <c r="O780" i="57" s="1"/>
  <c r="N780" i="57" s="1"/>
  <c r="N636" i="57"/>
  <c r="F84" i="47"/>
  <c r="O1223" i="57"/>
  <c r="N1223" i="57" s="1"/>
  <c r="D45" i="17"/>
  <c r="N245" i="57"/>
  <c r="O338" i="57"/>
  <c r="N338" i="57" s="1"/>
  <c r="C419" i="55"/>
  <c r="D419" i="55" s="1"/>
  <c r="I15" i="6"/>
  <c r="O126" i="57"/>
  <c r="N126" i="57" s="1"/>
  <c r="O336" i="57"/>
  <c r="N336" i="57" s="1"/>
  <c r="D27" i="17"/>
  <c r="N127" i="57"/>
  <c r="C935" i="55"/>
  <c r="D935" i="55" s="1"/>
  <c r="N599" i="57"/>
  <c r="O1194" i="57"/>
  <c r="N1194" i="57" s="1"/>
  <c r="D19" i="4"/>
  <c r="O1176" i="57"/>
  <c r="N1176" i="57" s="1"/>
  <c r="D12" i="4"/>
  <c r="D21" i="44"/>
  <c r="C109" i="55"/>
  <c r="D109" i="55" s="1"/>
  <c r="N207" i="57"/>
  <c r="O1122" i="57"/>
  <c r="A184" i="57"/>
  <c r="O184" i="57" s="1"/>
  <c r="N184" i="57" s="1"/>
  <c r="D11" i="4"/>
  <c r="N890" i="57"/>
  <c r="C116" i="55"/>
  <c r="D116" i="55" s="1"/>
  <c r="L11" i="30"/>
  <c r="M11" i="30" s="1"/>
  <c r="C11" i="30" s="1" a="1"/>
  <c r="C11" i="30" s="1"/>
  <c r="C932" i="55"/>
  <c r="D932" i="55" s="1"/>
  <c r="N604" i="57"/>
  <c r="N249" i="57"/>
  <c r="D11" i="2"/>
  <c r="D24" i="44"/>
  <c r="D12" i="44"/>
  <c r="D18" i="52"/>
  <c r="D6" i="43"/>
  <c r="H9" i="54"/>
  <c r="N608" i="57"/>
  <c r="N628" i="57"/>
  <c r="A1222" i="57"/>
  <c r="O1222" i="57" s="1"/>
  <c r="N1222" i="57" s="1"/>
  <c r="A870" i="57"/>
  <c r="O870" i="57" s="1"/>
  <c r="N870" i="57" s="1"/>
  <c r="N631" i="57"/>
  <c r="N1224" i="57"/>
  <c r="N614" i="57"/>
  <c r="E518" i="57"/>
  <c r="O522" i="57" s="1"/>
  <c r="N522" i="57" s="1"/>
  <c r="N258" i="57"/>
  <c r="O507" i="57"/>
  <c r="N252" i="57"/>
  <c r="A776" i="57"/>
  <c r="N776" i="57" s="1"/>
  <c r="C399" i="55"/>
  <c r="D399" i="55" s="1"/>
  <c r="O169" i="57"/>
  <c r="N169" i="57" s="1"/>
  <c r="O907" i="57"/>
  <c r="N907" i="57" s="1"/>
  <c r="D19" i="8"/>
  <c r="O170" i="57"/>
  <c r="N170" i="57" s="1"/>
  <c r="O155" i="57"/>
  <c r="N155" i="57" s="1"/>
  <c r="O366" i="57"/>
  <c r="N366" i="57" s="1"/>
  <c r="N429" i="57"/>
  <c r="O1116" i="57"/>
  <c r="N1116" i="57" s="1"/>
  <c r="O151" i="57"/>
  <c r="N151" i="57" s="1"/>
  <c r="A104" i="57"/>
  <c r="O104" i="57" s="1"/>
  <c r="N104" i="57" s="1"/>
  <c r="N253" i="57"/>
  <c r="O412" i="57"/>
  <c r="N523" i="57"/>
  <c r="N458" i="57"/>
  <c r="O145" i="57"/>
  <c r="A909" i="57"/>
  <c r="O909" i="57" s="1"/>
  <c r="N909" i="57" s="1"/>
  <c r="O404" i="57"/>
  <c r="N404" i="57" s="1"/>
  <c r="O1190" i="57"/>
  <c r="A772" i="57"/>
  <c r="A378" i="57"/>
  <c r="N378" i="57" s="1"/>
  <c r="N301" i="57"/>
  <c r="O502" i="57"/>
  <c r="N502" i="57" s="1"/>
  <c r="N1155" i="57"/>
  <c r="N632" i="57"/>
  <c r="N243" i="57"/>
  <c r="D44" i="8"/>
  <c r="D17" i="5"/>
  <c r="O390" i="57"/>
  <c r="N390" i="57" s="1"/>
  <c r="N148" i="57"/>
  <c r="D22" i="44"/>
  <c r="D44" i="21"/>
  <c r="A794" i="57"/>
  <c r="N794" i="57" s="1"/>
  <c r="C424" i="55"/>
  <c r="D424" i="55" s="1"/>
  <c r="N630" i="57"/>
  <c r="N254" i="57"/>
  <c r="A879" i="57"/>
  <c r="O879" i="57" s="1"/>
  <c r="N879" i="57" s="1"/>
  <c r="A1086" i="57"/>
  <c r="N1086" i="57" s="1"/>
  <c r="O504" i="57"/>
  <c r="N504" i="57" s="1"/>
  <c r="O1110" i="57"/>
  <c r="C391" i="55"/>
  <c r="D391" i="55" s="1"/>
  <c r="O457" i="57"/>
  <c r="N457" i="57" s="1"/>
  <c r="A854" i="57"/>
  <c r="N854" i="57" s="1"/>
  <c r="O1219" i="57"/>
  <c r="N1219" i="57" s="1"/>
  <c r="N595" i="57"/>
  <c r="O476" i="57"/>
  <c r="N476" i="57" s="1"/>
  <c r="A1024" i="57"/>
  <c r="O1024" i="57" s="1"/>
  <c r="N1024" i="57" s="1"/>
  <c r="A1188" i="57"/>
  <c r="N1188" i="57" s="1"/>
  <c r="A840" i="57"/>
  <c r="O840" i="57" s="1"/>
  <c r="N840" i="57" s="1"/>
  <c r="A421" i="57"/>
  <c r="O421" i="57" s="1"/>
  <c r="N421" i="57" s="1"/>
  <c r="A718" i="57"/>
  <c r="O718" i="57" s="1"/>
  <c r="N718" i="57" s="1"/>
  <c r="O534" i="57"/>
  <c r="N534" i="57" s="1"/>
  <c r="N220" i="57"/>
  <c r="A646" i="57"/>
  <c r="N646" i="57" s="1"/>
  <c r="N257" i="57"/>
  <c r="O1150" i="57"/>
  <c r="A884" i="57"/>
  <c r="N884" i="57" s="1"/>
  <c r="A1043" i="57"/>
  <c r="O1043" i="57" s="1"/>
  <c r="N1043" i="57" s="1"/>
  <c r="A179" i="57"/>
  <c r="N179" i="57" s="1"/>
  <c r="A1226" i="57"/>
  <c r="O1226" i="57" s="1"/>
  <c r="N1226" i="57" s="1"/>
  <c r="D14" i="52"/>
  <c r="A751" i="57"/>
  <c r="N751" i="57" s="1"/>
  <c r="O219" i="57"/>
  <c r="N219" i="57" s="1"/>
  <c r="N91" i="57"/>
  <c r="N606" i="57"/>
  <c r="A1081" i="57"/>
  <c r="O1081" i="57" s="1"/>
  <c r="N1081" i="57" s="1"/>
  <c r="A1158" i="57"/>
  <c r="A1170" i="57"/>
  <c r="N244" i="57"/>
  <c r="A118" i="57"/>
  <c r="N118" i="57" s="1"/>
  <c r="A849" i="57"/>
  <c r="O849" i="57" s="1"/>
  <c r="N849" i="57" s="1"/>
  <c r="A442" i="57"/>
  <c r="N442" i="57" s="1"/>
  <c r="A656" i="57"/>
  <c r="N656" i="57" s="1"/>
  <c r="A108" i="57"/>
  <c r="N108" i="57" s="1"/>
  <c r="D86" i="49"/>
  <c r="O350" i="57"/>
  <c r="A836" i="57"/>
  <c r="N836" i="57" s="1"/>
  <c r="D23" i="31"/>
  <c r="A1052" i="57"/>
  <c r="O1052" i="57" s="1"/>
  <c r="N1052" i="57" s="1"/>
  <c r="A1168" i="57"/>
  <c r="N1168" i="57" s="1"/>
  <c r="A914" i="57"/>
  <c r="N914" i="57" s="1"/>
  <c r="L13" i="30"/>
  <c r="M13" i="30" s="1"/>
  <c r="C13" i="30" s="1" a="1"/>
  <c r="C13" i="30" s="1"/>
  <c r="D8" i="43"/>
  <c r="O1158" i="57"/>
  <c r="O509" i="57"/>
  <c r="N509" i="57" s="1"/>
  <c r="A850" i="57"/>
  <c r="N850" i="57" s="1"/>
  <c r="A707" i="57"/>
  <c r="O708" i="57" s="1"/>
  <c r="N708" i="57" s="1"/>
  <c r="N1213" i="57"/>
  <c r="A1138" i="57"/>
  <c r="N1138" i="57" s="1"/>
  <c r="A813" i="57"/>
  <c r="N813" i="57" s="1"/>
  <c r="D37" i="21"/>
  <c r="H26" i="54"/>
  <c r="A880" i="57"/>
  <c r="N880" i="57" s="1"/>
  <c r="O432" i="57"/>
  <c r="N432" i="57" s="1"/>
  <c r="A720" i="57"/>
  <c r="N720" i="57" s="1"/>
  <c r="N431" i="57"/>
  <c r="N603" i="57"/>
  <c r="D28" i="46"/>
  <c r="O368" i="57"/>
  <c r="N368" i="57" s="1"/>
  <c r="A472" i="57"/>
  <c r="N472" i="57" s="1"/>
  <c r="D34" i="21"/>
  <c r="A938" i="57"/>
  <c r="O938" i="57" s="1"/>
  <c r="N938" i="57" s="1"/>
  <c r="A499" i="57"/>
  <c r="O499" i="57" s="1"/>
  <c r="N499" i="57" s="1"/>
  <c r="A111" i="57"/>
  <c r="N111" i="57" s="1"/>
  <c r="A520" i="57"/>
  <c r="A288" i="57"/>
  <c r="O288" i="57" s="1"/>
  <c r="N288" i="57" s="1"/>
  <c r="A921" i="57"/>
  <c r="A1071" i="57"/>
  <c r="O1071" i="57" s="1"/>
  <c r="N1071" i="57" s="1"/>
  <c r="A789" i="57"/>
  <c r="O789" i="57" s="1"/>
  <c r="N789" i="57" s="1"/>
  <c r="A279" i="57"/>
  <c r="N279" i="57" s="1"/>
  <c r="O510" i="57"/>
  <c r="N510" i="57" s="1"/>
  <c r="N605" i="57"/>
  <c r="O1170" i="57"/>
  <c r="O363" i="57"/>
  <c r="N363" i="57" s="1"/>
  <c r="O877" i="57"/>
  <c r="N877" i="57" s="1"/>
  <c r="N1209" i="57"/>
  <c r="A239" i="57"/>
  <c r="O263" i="57" s="1"/>
  <c r="N263" i="57" s="1"/>
  <c r="O351" i="57"/>
  <c r="N351" i="57" s="1"/>
  <c r="O26" i="57"/>
  <c r="N26" i="57" s="1"/>
  <c r="A398" i="57"/>
  <c r="N398" i="57" s="1"/>
  <c r="A119" i="57"/>
  <c r="O119" i="57" s="1"/>
  <c r="N119" i="57" s="1"/>
  <c r="N616" i="57"/>
  <c r="D46" i="17"/>
  <c r="O847" i="57"/>
  <c r="N847" i="57" s="1"/>
  <c r="N406" i="57"/>
  <c r="N831" i="57"/>
  <c r="O32" i="57"/>
  <c r="N32" i="57" s="1"/>
  <c r="N634" i="57"/>
  <c r="O858" i="57"/>
  <c r="N858" i="57" s="1"/>
  <c r="O503" i="57"/>
  <c r="N503" i="57" s="1"/>
  <c r="N251" i="57"/>
  <c r="A683" i="57"/>
  <c r="A412" i="57"/>
  <c r="O418" i="57" s="1"/>
  <c r="N418" i="57" s="1"/>
  <c r="A959" i="57"/>
  <c r="O959" i="57" s="1"/>
  <c r="N959" i="57" s="1"/>
  <c r="O353" i="57"/>
  <c r="N353" i="57" s="1"/>
  <c r="A114" i="57"/>
  <c r="O114" i="57" s="1"/>
  <c r="N114" i="57" s="1"/>
  <c r="N596" i="57"/>
  <c r="N1207" i="57"/>
  <c r="A387" i="57"/>
  <c r="O388" i="57" s="1"/>
  <c r="N388" i="57" s="1"/>
  <c r="N1197" i="57"/>
  <c r="L24" i="30"/>
  <c r="M24" i="30" s="1"/>
  <c r="C24" i="30" s="1" a="1"/>
  <c r="C24" i="30" s="1"/>
  <c r="A763" i="57"/>
  <c r="A1035" i="57"/>
  <c r="O1050" i="57" s="1"/>
  <c r="N1050" i="57" s="1"/>
  <c r="N1205" i="57"/>
  <c r="N1200" i="57"/>
  <c r="A696" i="57"/>
  <c r="O696" i="57" s="1"/>
  <c r="N696" i="57" s="1"/>
  <c r="O30" i="57"/>
  <c r="N30" i="57" s="1"/>
  <c r="A423" i="57"/>
  <c r="O423" i="57" s="1"/>
  <c r="N423" i="57" s="1"/>
  <c r="E520" i="57"/>
  <c r="A842" i="57"/>
  <c r="A832" i="57"/>
  <c r="N832" i="57" s="1"/>
  <c r="A233" i="57"/>
  <c r="O233" i="57" s="1"/>
  <c r="N233" i="57" s="1"/>
  <c r="A925" i="57"/>
  <c r="N925" i="57" s="1"/>
  <c r="N101" i="57"/>
  <c r="N1215" i="57"/>
  <c r="O1015" i="57"/>
  <c r="N214" i="57"/>
  <c r="N241" i="57"/>
  <c r="O949" i="57"/>
  <c r="N949" i="57" s="1"/>
  <c r="O639" i="57"/>
  <c r="N639" i="57" s="1"/>
  <c r="O635" i="57"/>
  <c r="N635" i="57" s="1"/>
  <c r="O346" i="57"/>
  <c r="N346" i="57" s="1"/>
  <c r="N1201" i="57"/>
  <c r="N300" i="57"/>
  <c r="A519" i="57"/>
  <c r="A689" i="57"/>
  <c r="N689" i="57" s="1"/>
  <c r="N617" i="57"/>
  <c r="A521" i="57"/>
  <c r="N261" i="57"/>
  <c r="A727" i="57"/>
  <c r="O727" i="57" s="1"/>
  <c r="N727" i="57" s="1"/>
  <c r="A369" i="57"/>
  <c r="O369" i="57" s="1"/>
  <c r="N369" i="57" s="1"/>
  <c r="A112" i="57"/>
  <c r="N112" i="57" s="1"/>
  <c r="A506" i="57"/>
  <c r="A1007" i="57"/>
  <c r="O1022" i="57" s="1"/>
  <c r="N1022" i="57" s="1"/>
  <c r="A1025" i="57"/>
  <c r="N1025" i="57" s="1"/>
  <c r="A1082" i="57"/>
  <c r="N1082" i="57" s="1"/>
  <c r="N592" i="57"/>
  <c r="O683" i="57"/>
  <c r="N311" i="57"/>
  <c r="O230" i="57"/>
  <c r="N230" i="57" s="1"/>
  <c r="A391" i="57"/>
  <c r="N391" i="57" s="1"/>
  <c r="D17" i="44"/>
  <c r="O1154" i="57"/>
  <c r="N1154" i="57" s="1"/>
  <c r="A270" i="57"/>
  <c r="O271" i="57" s="1"/>
  <c r="N271" i="57" s="1"/>
  <c r="O303" i="57"/>
  <c r="N303" i="57" s="1"/>
  <c r="A1039" i="57"/>
  <c r="N1039" i="57" s="1"/>
  <c r="A539" i="57"/>
  <c r="N539" i="57" s="1"/>
  <c r="O1114" i="57"/>
  <c r="N1114" i="57" s="1"/>
  <c r="A825" i="57"/>
  <c r="N825" i="57" s="1"/>
  <c r="A955" i="57"/>
  <c r="N955" i="57" s="1"/>
  <c r="N1095" i="57"/>
  <c r="A1150" i="57"/>
  <c r="N1135" i="57"/>
  <c r="O508" i="57"/>
  <c r="N508" i="57" s="1"/>
  <c r="N1206" i="57"/>
  <c r="A383" i="57"/>
  <c r="O384" i="57" s="1"/>
  <c r="N384" i="57" s="1"/>
  <c r="A664" i="57"/>
  <c r="O664" i="57" s="1"/>
  <c r="N664" i="57" s="1"/>
  <c r="A820" i="57"/>
  <c r="O820" i="57" s="1"/>
  <c r="N820" i="57" s="1"/>
  <c r="A277" i="57"/>
  <c r="O278" i="57" s="1"/>
  <c r="N278" i="57" s="1"/>
  <c r="G518" i="57"/>
  <c r="N607" i="57"/>
  <c r="A516" i="57"/>
  <c r="O517" i="57" s="1"/>
  <c r="N517" i="57" s="1"/>
  <c r="A769" i="57"/>
  <c r="O769" i="57" s="1"/>
  <c r="N769" i="57" s="1"/>
  <c r="A348" i="57"/>
  <c r="N348" i="57" s="1"/>
  <c r="N247" i="57"/>
  <c r="A33" i="57"/>
  <c r="N33" i="57" s="1"/>
  <c r="N620" i="57"/>
  <c r="A379" i="57"/>
  <c r="O379" i="57" s="1"/>
  <c r="N379" i="57" s="1"/>
  <c r="O921" i="57"/>
  <c r="N1214" i="57"/>
  <c r="N95" i="57"/>
  <c r="A910" i="57"/>
  <c r="N910" i="57" s="1"/>
  <c r="D21" i="21"/>
  <c r="D35" i="8"/>
  <c r="G519" i="57"/>
  <c r="N213" i="57"/>
  <c r="A537" i="57"/>
  <c r="O536" i="57" s="1"/>
  <c r="N536" i="57" s="1"/>
  <c r="N601" i="57"/>
  <c r="A738" i="57"/>
  <c r="O767" i="57" s="1"/>
  <c r="N767" i="57" s="1"/>
  <c r="A1063" i="57"/>
  <c r="N1063" i="57" s="1"/>
  <c r="A165" i="57"/>
  <c r="N165" i="57" s="1"/>
  <c r="A989" i="57"/>
  <c r="N989" i="57" s="1"/>
  <c r="D28" i="21"/>
  <c r="N1210" i="57"/>
  <c r="N1216" i="57"/>
  <c r="A1108" i="57"/>
  <c r="N1108" i="57" s="1"/>
  <c r="O28" i="57"/>
  <c r="N28" i="57" s="1"/>
  <c r="N371" i="57"/>
  <c r="N448" i="57"/>
  <c r="A714" i="57"/>
  <c r="N714" i="57" s="1"/>
  <c r="N1218" i="57"/>
  <c r="N621" i="57"/>
  <c r="A643" i="57"/>
  <c r="O643" i="57" s="1"/>
  <c r="N643" i="57" s="1"/>
  <c r="N1212" i="57"/>
  <c r="A1130" i="57"/>
  <c r="A381" i="57"/>
  <c r="O382" i="57" s="1"/>
  <c r="N382" i="57" s="1"/>
  <c r="N215" i="57"/>
  <c r="A1142" i="57"/>
  <c r="N1204" i="57"/>
  <c r="N624" i="57"/>
  <c r="N627" i="57"/>
  <c r="N248" i="57"/>
  <c r="N206" i="57"/>
  <c r="A1178" i="57"/>
  <c r="N1178" i="57" s="1"/>
  <c r="O800" i="57"/>
  <c r="N800" i="57" s="1"/>
  <c r="O772" i="57"/>
  <c r="O662" i="57"/>
  <c r="N662" i="57" s="1"/>
  <c r="N622" i="57"/>
  <c r="O310" i="57"/>
  <c r="N310" i="57" s="1"/>
  <c r="A951" i="57"/>
  <c r="O966" i="57" s="1"/>
  <c r="N966" i="57" s="1"/>
  <c r="A676" i="57"/>
  <c r="O705" i="57" s="1"/>
  <c r="N705" i="57" s="1"/>
  <c r="A1148" i="57"/>
  <c r="N1148" i="57" s="1"/>
  <c r="A156" i="57"/>
  <c r="N302" i="57"/>
  <c r="A996" i="57"/>
  <c r="O996" i="57" s="1"/>
  <c r="N996" i="57" s="1"/>
  <c r="A129" i="57"/>
  <c r="N129" i="57" s="1"/>
  <c r="O936" i="57"/>
  <c r="N936" i="57" s="1"/>
  <c r="O1221" i="57"/>
  <c r="N1221" i="57" s="1"/>
  <c r="O842" i="57"/>
  <c r="A745" i="57"/>
  <c r="N745" i="57" s="1"/>
  <c r="N334" i="57"/>
  <c r="A821" i="57"/>
  <c r="N821" i="57" s="1"/>
  <c r="C423" i="55"/>
  <c r="D423" i="55" s="1"/>
  <c r="A979" i="57"/>
  <c r="N979" i="57" s="1"/>
  <c r="A1053" i="57"/>
  <c r="N1053" i="57" s="1"/>
  <c r="A669" i="57"/>
  <c r="N669" i="57" s="1"/>
  <c r="N920" i="57"/>
  <c r="C884" i="55"/>
  <c r="D884" i="55" s="1"/>
  <c r="N304" i="57"/>
  <c r="N626" i="57"/>
  <c r="O545" i="57"/>
  <c r="N545" i="57" s="1"/>
  <c r="O501" i="57"/>
  <c r="A121" i="57"/>
  <c r="O121" i="57" s="1"/>
  <c r="N121" i="57" s="1"/>
  <c r="A1162" i="57"/>
  <c r="N212" i="57"/>
  <c r="O802" i="57"/>
  <c r="N802" i="57" s="1"/>
  <c r="A807" i="57"/>
  <c r="N807" i="57" s="1"/>
  <c r="C1078" i="55"/>
  <c r="D1078" i="55" s="1"/>
  <c r="A896" i="57"/>
  <c r="N896" i="57" s="1"/>
  <c r="A803" i="57"/>
  <c r="N803" i="57" s="1"/>
  <c r="C944" i="55"/>
  <c r="D944" i="55" s="1"/>
  <c r="A289" i="57"/>
  <c r="O289" i="57" s="1"/>
  <c r="N289" i="57" s="1"/>
  <c r="A900" i="57"/>
  <c r="O900" i="57" s="1"/>
  <c r="N900" i="57" s="1"/>
  <c r="A872" i="57"/>
  <c r="A997" i="57"/>
  <c r="N997" i="57" s="1"/>
  <c r="A527" i="57"/>
  <c r="O527" i="57" s="1"/>
  <c r="N527" i="57" s="1"/>
  <c r="A514" i="57"/>
  <c r="O515" i="57" s="1"/>
  <c r="N515" i="57" s="1"/>
  <c r="A385" i="57"/>
  <c r="O385" i="57" s="1"/>
  <c r="N385" i="57" s="1"/>
  <c r="N1203" i="57"/>
  <c r="A665" i="57"/>
  <c r="N665" i="57" s="1"/>
  <c r="A728" i="57"/>
  <c r="N728" i="57" s="1"/>
  <c r="O478" i="57"/>
  <c r="N478" i="57" s="1"/>
  <c r="O1035" i="57"/>
  <c r="N623" i="57"/>
  <c r="O763" i="57"/>
  <c r="O1142" i="57"/>
  <c r="A961" i="57"/>
  <c r="N961" i="57" s="1"/>
  <c r="A280" i="57"/>
  <c r="O280" i="57" s="1"/>
  <c r="N280" i="57" s="1"/>
  <c r="N208" i="57"/>
  <c r="N209" i="57"/>
  <c r="N1208" i="57"/>
  <c r="A1045" i="57"/>
  <c r="N1045" i="57" s="1"/>
  <c r="D18" i="17"/>
  <c r="N590" i="57"/>
  <c r="A943" i="57"/>
  <c r="N943" i="57" s="1"/>
  <c r="A501" i="57"/>
  <c r="A295" i="57"/>
  <c r="O299" i="57" s="1"/>
  <c r="N299" i="57" s="1"/>
  <c r="O589" i="57"/>
  <c r="N589" i="57" s="1"/>
  <c r="A419" i="57"/>
  <c r="O420" i="57" s="1"/>
  <c r="N420" i="57" s="1"/>
  <c r="N1199" i="57"/>
  <c r="N1217" i="57"/>
  <c r="A237" i="57"/>
  <c r="O238" i="57" s="1"/>
  <c r="N238" i="57" s="1"/>
  <c r="A1102" i="57"/>
  <c r="A425" i="57"/>
  <c r="O426" i="57" s="1"/>
  <c r="N426" i="57" s="1"/>
  <c r="N629" i="57"/>
  <c r="O1130" i="57"/>
  <c r="A983" i="57"/>
  <c r="N983" i="57" s="1"/>
  <c r="A281" i="57"/>
  <c r="N281" i="57" s="1"/>
  <c r="A866" i="57"/>
  <c r="N866" i="57" s="1"/>
  <c r="A186" i="57"/>
  <c r="N186" i="57" s="1"/>
  <c r="A862" i="57"/>
  <c r="N862" i="57" s="1"/>
  <c r="A697" i="57"/>
  <c r="N697" i="57" s="1"/>
  <c r="A138" i="57"/>
  <c r="N138" i="57" s="1"/>
  <c r="A782" i="57"/>
  <c r="D546" i="57" a="1"/>
  <c r="D546" i="57" s="1"/>
  <c r="E546" i="57" s="1" a="1"/>
  <c r="E546" i="57" s="1"/>
  <c r="E567" i="57" s="1" a="1"/>
  <c r="E567" i="57" s="1"/>
  <c r="A350" i="57"/>
  <c r="N1202" i="57"/>
  <c r="A968" i="57"/>
  <c r="O968" i="57" s="1"/>
  <c r="N968" i="57" s="1"/>
  <c r="N211" i="57"/>
  <c r="A427" i="57"/>
  <c r="O427" i="57" s="1"/>
  <c r="N427" i="57" s="1"/>
  <c r="A1029" i="57"/>
  <c r="N1029" i="57" s="1"/>
  <c r="A321" i="57"/>
  <c r="O325" i="57" s="1"/>
  <c r="N325" i="57" s="1"/>
  <c r="A1001" i="57"/>
  <c r="N1001" i="57" s="1"/>
  <c r="A892" i="57"/>
  <c r="N892" i="57" s="1"/>
  <c r="A512" i="57"/>
  <c r="N512" i="57" s="1"/>
  <c r="O1162" i="57"/>
  <c r="O156" i="57"/>
  <c r="N619" i="57"/>
  <c r="N344" i="57"/>
  <c r="D29" i="21"/>
  <c r="N210" i="57"/>
  <c r="O100" i="57"/>
  <c r="N100" i="57" s="1"/>
  <c r="A1190" i="57"/>
  <c r="O362" i="57"/>
  <c r="N362" i="57" s="1"/>
  <c r="A679" i="57"/>
  <c r="N679" i="57" s="1"/>
  <c r="A1122" i="57"/>
  <c r="A931" i="57"/>
  <c r="N931" i="57" s="1"/>
  <c r="A507" i="57"/>
  <c r="A759" i="57"/>
  <c r="N759" i="57" s="1"/>
  <c r="A490" i="57"/>
  <c r="N490" i="57" s="1"/>
  <c r="L36" i="30"/>
  <c r="M36" i="30" s="1"/>
  <c r="C36" i="30" s="1" a="1"/>
  <c r="C36" i="30" s="1"/>
  <c r="N1211" i="57"/>
  <c r="A1110" i="57"/>
  <c r="A650" i="57"/>
  <c r="N650" i="57" s="1"/>
  <c r="A790" i="57"/>
  <c r="N790" i="57" s="1"/>
  <c r="A1017" i="57"/>
  <c r="N1017" i="57" s="1"/>
  <c r="A710" i="57"/>
  <c r="N710" i="57" s="1"/>
  <c r="D16" i="52"/>
  <c r="N1198" i="57"/>
  <c r="N602" i="57"/>
  <c r="O396" i="57"/>
  <c r="N396" i="57" s="1"/>
  <c r="A1057" i="57"/>
  <c r="N1057" i="57" s="1"/>
  <c r="A732" i="57"/>
  <c r="O736" i="57" s="1"/>
  <c r="N736" i="57" s="1"/>
  <c r="A939" i="57"/>
  <c r="N939" i="57" s="1"/>
  <c r="O268" i="57"/>
  <c r="N268" i="57" s="1"/>
  <c r="O397" i="57"/>
  <c r="N397" i="57" s="1"/>
  <c r="A272" i="57"/>
  <c r="N272" i="57" s="1"/>
  <c r="A1074" i="57"/>
  <c r="N1074" i="57" s="1"/>
  <c r="A373" i="57"/>
  <c r="N373" i="57" s="1"/>
  <c r="O352" i="57"/>
  <c r="N352" i="57" s="1"/>
  <c r="L12" i="30"/>
  <c r="M12" i="30" s="1"/>
  <c r="C12" i="30" s="1" a="1"/>
  <c r="C12" i="30" s="1"/>
  <c r="D19" i="46"/>
  <c r="A339" i="57"/>
  <c r="O343" i="57" s="1"/>
  <c r="N343" i="57" s="1"/>
  <c r="A973" i="57"/>
  <c r="N973" i="57" s="1"/>
  <c r="D32" i="21"/>
  <c r="A1098" i="57"/>
  <c r="N1098" i="57" s="1"/>
  <c r="C941" i="55"/>
  <c r="D941" i="55" s="1"/>
  <c r="A172" i="57"/>
  <c r="N172" i="57" s="1"/>
  <c r="A479" i="57"/>
  <c r="N479" i="57" s="1"/>
  <c r="A1011" i="57"/>
  <c r="N1011" i="57" s="1"/>
  <c r="A902" i="57"/>
  <c r="N902" i="57" s="1"/>
  <c r="A969" i="57"/>
  <c r="N969" i="57" s="1"/>
  <c r="A224" i="57"/>
  <c r="N224" i="57" s="1"/>
  <c r="A701" i="57"/>
  <c r="N701" i="57" s="1"/>
  <c r="D51" i="8"/>
  <c r="O872" i="57"/>
  <c r="A1067" i="57"/>
  <c r="N1067" i="57" s="1"/>
  <c r="A1182" i="57"/>
  <c r="D27" i="21"/>
  <c r="L26" i="30"/>
  <c r="M26" i="30" s="1"/>
  <c r="C26" i="30" s="1" a="1"/>
  <c r="C26" i="30" s="1"/>
  <c r="D18" i="46"/>
  <c r="N216" i="57"/>
  <c r="L37" i="30"/>
  <c r="M37" i="30" s="1"/>
  <c r="C37" i="30" s="1" a="1"/>
  <c r="C37" i="30" s="1"/>
  <c r="H15" i="54"/>
  <c r="D11" i="44"/>
  <c r="K540" i="35"/>
  <c r="J540" i="35" s="1" a="1"/>
  <c r="J540" i="35" s="1"/>
  <c r="D540" i="35" s="1"/>
  <c r="E77" i="47" s="1"/>
  <c r="N611" i="57"/>
  <c r="A328" i="57"/>
  <c r="O332" i="57" s="1"/>
  <c r="N332" i="57" s="1"/>
  <c r="A1118" i="57"/>
  <c r="N1118" i="57" s="1"/>
  <c r="D20" i="52"/>
  <c r="O782" i="57"/>
  <c r="L14" i="30"/>
  <c r="M14" i="30" s="1"/>
  <c r="C14" i="30" s="1" a="1"/>
  <c r="C14" i="30" s="1"/>
  <c r="A741" i="57"/>
  <c r="N741" i="57" s="1"/>
  <c r="L19" i="30"/>
  <c r="M19" i="30" s="1"/>
  <c r="C19" i="30" s="1" a="1"/>
  <c r="C19" i="30" s="1"/>
  <c r="C64" i="55"/>
  <c r="D64" i="55" s="1"/>
  <c r="D39" i="8"/>
  <c r="D40" i="21"/>
  <c r="J865" i="35" a="1"/>
  <c r="J865" i="35" s="1"/>
  <c r="D865" i="35" s="1"/>
  <c r="C870" i="55" s="1"/>
  <c r="D870" i="55" s="1"/>
  <c r="J804" i="35" a="1"/>
  <c r="J804" i="35" s="1"/>
  <c r="D804" i="35" s="1"/>
  <c r="C809" i="55" s="1"/>
  <c r="D809" i="55" s="1"/>
  <c r="J797" i="35" a="1"/>
  <c r="J797" i="35" s="1"/>
  <c r="D797" i="35" s="1"/>
  <c r="C802" i="55" s="1"/>
  <c r="D802" i="55" s="1"/>
  <c r="C544" i="55"/>
  <c r="D544" i="55" s="1"/>
  <c r="J868" i="35" a="1"/>
  <c r="J868" i="35" s="1"/>
  <c r="D868" i="35" s="1"/>
  <c r="C873" i="55" s="1"/>
  <c r="D873" i="55" s="1"/>
  <c r="J857" i="35" a="1"/>
  <c r="J857" i="35" s="1"/>
  <c r="D857" i="35" s="1"/>
  <c r="C862" i="55" s="1"/>
  <c r="D862" i="55" s="1"/>
  <c r="J815" i="35" a="1"/>
  <c r="J815" i="35" s="1"/>
  <c r="D815" i="35" s="1"/>
  <c r="D44" i="50" s="1"/>
  <c r="J799" i="35" a="1"/>
  <c r="J799" i="35" s="1"/>
  <c r="D799" i="35" s="1"/>
  <c r="D22" i="50" s="1"/>
  <c r="J803" i="35" a="1"/>
  <c r="J803" i="35" s="1"/>
  <c r="D803" i="35" s="1"/>
  <c r="D26" i="50" s="1"/>
  <c r="J845" i="35" a="1"/>
  <c r="J845" i="35" s="1"/>
  <c r="D845" i="35" s="1"/>
  <c r="C850" i="55" s="1"/>
  <c r="D850" i="55" s="1"/>
  <c r="D82" i="49"/>
  <c r="J854" i="35" a="1"/>
  <c r="J854" i="35" s="1"/>
  <c r="D854" i="35" s="1"/>
  <c r="D95" i="50" s="1"/>
  <c r="J828" i="35" a="1"/>
  <c r="J828" i="35" s="1"/>
  <c r="D828" i="35" s="1"/>
  <c r="D60" i="50" s="1"/>
  <c r="J819" i="35" a="1"/>
  <c r="J819" i="35" s="1"/>
  <c r="D819" i="35" s="1"/>
  <c r="D48" i="50" s="1"/>
  <c r="J795" i="35" a="1"/>
  <c r="J795" i="35" s="1"/>
  <c r="D795" i="35" s="1"/>
  <c r="D15" i="50" s="1"/>
  <c r="J869" i="35" a="1"/>
  <c r="J869" i="35" s="1"/>
  <c r="D869" i="35" s="1"/>
  <c r="C874" i="55" s="1"/>
  <c r="D874" i="55" s="1"/>
  <c r="J823" i="35" a="1"/>
  <c r="J823" i="35" s="1"/>
  <c r="D823" i="35" s="1"/>
  <c r="D55" i="50" s="1"/>
  <c r="J830" i="35" a="1"/>
  <c r="J830" i="35" s="1"/>
  <c r="D830" i="35" s="1"/>
  <c r="C835" i="55" s="1"/>
  <c r="D835" i="55" s="1"/>
  <c r="J851" i="35" a="1"/>
  <c r="J851" i="35" s="1"/>
  <c r="D851" i="35" s="1"/>
  <c r="C856" i="55" s="1"/>
  <c r="D856" i="55" s="1"/>
  <c r="J818" i="35" a="1"/>
  <c r="J818" i="35" s="1"/>
  <c r="D818" i="35" s="1"/>
  <c r="C823" i="55" s="1"/>
  <c r="D823" i="55" s="1"/>
  <c r="J860" i="35" a="1"/>
  <c r="J860" i="35" s="1"/>
  <c r="D860" i="35" s="1"/>
  <c r="C865" i="55" s="1"/>
  <c r="D865" i="55" s="1"/>
  <c r="J796" i="35" a="1"/>
  <c r="J796" i="35" s="1"/>
  <c r="D796" i="35" s="1"/>
  <c r="C801" i="55" s="1"/>
  <c r="D801" i="55" s="1"/>
  <c r="J798" i="35" a="1"/>
  <c r="J798" i="35" s="1"/>
  <c r="D798" i="35" s="1"/>
  <c r="D21" i="50" s="1"/>
  <c r="J826" i="35" a="1"/>
  <c r="J826" i="35" s="1"/>
  <c r="D826" i="35" s="1"/>
  <c r="D58" i="50" s="1"/>
  <c r="J867" i="35" a="1"/>
  <c r="J867" i="35" s="1"/>
  <c r="D867" i="35" s="1"/>
  <c r="D114" i="50" s="1"/>
  <c r="J835" i="35" a="1"/>
  <c r="J835" i="35" s="1"/>
  <c r="D835" i="35" s="1"/>
  <c r="D70" i="50" s="1"/>
  <c r="J846" i="35" a="1"/>
  <c r="J846" i="35" s="1"/>
  <c r="D846" i="35" s="1"/>
  <c r="D84" i="50" s="1"/>
  <c r="J837" i="35" a="1"/>
  <c r="J837" i="35" s="1"/>
  <c r="D837" i="35" s="1"/>
  <c r="D72" i="50" s="1"/>
  <c r="J801" i="35" a="1"/>
  <c r="J801" i="35" s="1"/>
  <c r="D801" i="35" s="1"/>
  <c r="C806" i="55" s="1"/>
  <c r="D806" i="55" s="1"/>
  <c r="J682" i="35" a="1"/>
  <c r="J682" i="35" s="1"/>
  <c r="D682" i="35" s="1"/>
  <c r="C687" i="55" s="1"/>
  <c r="D687" i="55" s="1"/>
  <c r="J862" i="35" a="1"/>
  <c r="J862" i="35" s="1"/>
  <c r="D862" i="35" s="1"/>
  <c r="D106" i="50" s="1"/>
  <c r="J668" i="35" a="1"/>
  <c r="J668" i="35" s="1"/>
  <c r="D668" i="35" s="1"/>
  <c r="C673" i="55" s="1"/>
  <c r="D673" i="55" s="1"/>
  <c r="J568" i="35" a="1"/>
  <c r="J568" i="35" s="1"/>
  <c r="D568" i="35" s="1"/>
  <c r="D13" i="51" s="1"/>
  <c r="J840" i="35" a="1"/>
  <c r="J840" i="35" s="1"/>
  <c r="D840" i="35" s="1"/>
  <c r="C845" i="55" s="1"/>
  <c r="D845" i="55" s="1"/>
  <c r="J864" i="35" a="1"/>
  <c r="J864" i="35" s="1"/>
  <c r="D864" i="35" s="1"/>
  <c r="C869" i="55" s="1"/>
  <c r="D869" i="55" s="1"/>
  <c r="J850" i="35" a="1"/>
  <c r="J850" i="35" s="1"/>
  <c r="D850" i="35" s="1"/>
  <c r="D91" i="50" s="1"/>
  <c r="J820" i="35" a="1"/>
  <c r="J820" i="35" s="1"/>
  <c r="D820" i="35" s="1"/>
  <c r="C825" i="55" s="1"/>
  <c r="D825" i="55" s="1"/>
  <c r="J855" i="35" a="1"/>
  <c r="J855" i="35" s="1"/>
  <c r="D855" i="35" s="1"/>
  <c r="C860" i="55" s="1"/>
  <c r="D860" i="55" s="1"/>
  <c r="J806" i="35" a="1"/>
  <c r="J806" i="35" s="1"/>
  <c r="D806" i="35" s="1"/>
  <c r="D32" i="50" s="1"/>
  <c r="J847" i="35" a="1"/>
  <c r="J847" i="35" s="1"/>
  <c r="D847" i="35" s="1"/>
  <c r="C852" i="55" s="1"/>
  <c r="D852" i="55" s="1"/>
  <c r="J792" i="35" a="1"/>
  <c r="J792" i="35" s="1"/>
  <c r="D792" i="35" s="1"/>
  <c r="C797" i="55" s="1"/>
  <c r="D797" i="55" s="1"/>
  <c r="J832" i="35" a="1"/>
  <c r="J832" i="35" s="1"/>
  <c r="D832" i="35" s="1"/>
  <c r="C837" i="55" s="1"/>
  <c r="D837" i="55" s="1"/>
  <c r="J721" i="35" a="1"/>
  <c r="J721" i="35" s="1"/>
  <c r="D721" i="35" s="1"/>
  <c r="C726" i="55" s="1"/>
  <c r="D726" i="55" s="1"/>
  <c r="J834" i="35" a="1"/>
  <c r="J834" i="35" s="1"/>
  <c r="D834" i="35" s="1"/>
  <c r="C839" i="55" s="1"/>
  <c r="D839" i="55" s="1"/>
  <c r="J816" i="35" a="1"/>
  <c r="J816" i="35" s="1"/>
  <c r="D816" i="35" s="1"/>
  <c r="C821" i="55" s="1"/>
  <c r="D821" i="55" s="1"/>
  <c r="J709" i="35" a="1"/>
  <c r="J709" i="35" s="1"/>
  <c r="D709" i="35" s="1"/>
  <c r="C714" i="55" s="1"/>
  <c r="D714" i="55" s="1"/>
  <c r="J734" i="35" a="1"/>
  <c r="J734" i="35" s="1"/>
  <c r="D734" i="35" s="1"/>
  <c r="C739" i="55" s="1"/>
  <c r="D739" i="55" s="1"/>
  <c r="J800" i="35" a="1"/>
  <c r="J800" i="35" s="1"/>
  <c r="D800" i="35" s="1"/>
  <c r="D23" i="50" s="1"/>
  <c r="J849" i="35" a="1"/>
  <c r="J849" i="35" s="1"/>
  <c r="D849" i="35" s="1"/>
  <c r="C854" i="55" s="1"/>
  <c r="D854" i="55" s="1"/>
  <c r="J719" i="35" a="1"/>
  <c r="J719" i="35" s="1"/>
  <c r="D719" i="35" s="1"/>
  <c r="C724" i="55" s="1"/>
  <c r="D724" i="55" s="1"/>
  <c r="J729" i="35" a="1"/>
  <c r="J729" i="35" s="1"/>
  <c r="D729" i="35" s="1"/>
  <c r="D43" i="48" s="1"/>
  <c r="J754" i="35" a="1"/>
  <c r="J754" i="35" s="1"/>
  <c r="D754" i="35" s="1"/>
  <c r="D77" i="48" s="1"/>
  <c r="J763" i="35" a="1"/>
  <c r="J763" i="35" s="1"/>
  <c r="D763" i="35" s="1"/>
  <c r="D89" i="48" s="1"/>
  <c r="J752" i="35" a="1"/>
  <c r="J752" i="35" s="1"/>
  <c r="D752" i="35" s="1"/>
  <c r="C757" i="55" s="1"/>
  <c r="D757" i="55" s="1"/>
  <c r="J831" i="35" a="1"/>
  <c r="J831" i="35" s="1"/>
  <c r="D831" i="35" s="1"/>
  <c r="D66" i="50" s="1"/>
  <c r="J813" i="35" a="1"/>
  <c r="J813" i="35" s="1"/>
  <c r="D813" i="35" s="1"/>
  <c r="C818" i="55" s="1"/>
  <c r="D818" i="55" s="1"/>
  <c r="J825" i="35" a="1"/>
  <c r="J825" i="35" s="1"/>
  <c r="D825" i="35" s="1"/>
  <c r="C830" i="55" s="1"/>
  <c r="D830" i="55" s="1"/>
  <c r="J821" i="35" a="1"/>
  <c r="J821" i="35" s="1"/>
  <c r="D821" i="35" s="1"/>
  <c r="C826" i="55" s="1"/>
  <c r="D826" i="55" s="1"/>
  <c r="J658" i="35" a="1"/>
  <c r="J658" i="35" s="1"/>
  <c r="D658" i="35" s="1"/>
  <c r="C663" i="55" s="1"/>
  <c r="D663" i="55" s="1"/>
  <c r="J789" i="35" a="1"/>
  <c r="J789" i="35" s="1"/>
  <c r="D789" i="35" s="1"/>
  <c r="C794" i="55" s="1"/>
  <c r="D794" i="55" s="1"/>
  <c r="J598" i="35" a="1"/>
  <c r="J598" i="35" s="1"/>
  <c r="D598" i="35" s="1"/>
  <c r="D49" i="51" s="1"/>
  <c r="J570" i="35" a="1"/>
  <c r="J570" i="35" s="1"/>
  <c r="D570" i="35" s="1"/>
  <c r="C575" i="55" s="1"/>
  <c r="D575" i="55" s="1"/>
  <c r="J775" i="35" a="1"/>
  <c r="J775" i="35" s="1"/>
  <c r="D775" i="35" s="1"/>
  <c r="D104" i="48" s="1"/>
  <c r="J765" i="35" a="1"/>
  <c r="J765" i="35" s="1"/>
  <c r="D765" i="35" s="1"/>
  <c r="C770" i="55" s="1"/>
  <c r="D770" i="55" s="1"/>
  <c r="J735" i="35" a="1"/>
  <c r="J735" i="35" s="1"/>
  <c r="D735" i="35" s="1"/>
  <c r="C740" i="55" s="1"/>
  <c r="D740" i="55" s="1"/>
  <c r="J764" i="35" a="1"/>
  <c r="J764" i="35" s="1"/>
  <c r="D764" i="35" s="1"/>
  <c r="D90" i="48" s="1"/>
  <c r="J771" i="35" a="1"/>
  <c r="J771" i="35" s="1"/>
  <c r="D771" i="35" s="1"/>
  <c r="D100" i="48" s="1"/>
  <c r="J716" i="35" a="1"/>
  <c r="J716" i="35" s="1"/>
  <c r="D716" i="35" s="1"/>
  <c r="C721" i="55" s="1"/>
  <c r="D721" i="55" s="1"/>
  <c r="J731" i="35" a="1"/>
  <c r="J731" i="35" s="1"/>
  <c r="D731" i="35" s="1"/>
  <c r="C736" i="55" s="1"/>
  <c r="D736" i="55" s="1"/>
  <c r="J743" i="35" a="1"/>
  <c r="J743" i="35" s="1"/>
  <c r="D743" i="35" s="1"/>
  <c r="C748" i="55" s="1"/>
  <c r="D748" i="55" s="1"/>
  <c r="J755" i="35" a="1"/>
  <c r="J755" i="35" s="1"/>
  <c r="D755" i="35" s="1"/>
  <c r="C760" i="55" s="1"/>
  <c r="D760" i="55" s="1"/>
  <c r="J759" i="35" a="1"/>
  <c r="J759" i="35" s="1"/>
  <c r="D759" i="35" s="1"/>
  <c r="C764" i="55" s="1"/>
  <c r="D764" i="55" s="1"/>
  <c r="J662" i="35" a="1"/>
  <c r="J662" i="35" s="1"/>
  <c r="D662" i="35" s="1"/>
  <c r="C667" i="55" s="1"/>
  <c r="D667" i="55" s="1"/>
  <c r="J726" i="35" a="1"/>
  <c r="J726" i="35" s="1"/>
  <c r="D726" i="35" s="1"/>
  <c r="C731" i="55" s="1"/>
  <c r="D731" i="55" s="1"/>
  <c r="J699" i="35" a="1"/>
  <c r="J699" i="35" s="1"/>
  <c r="D699" i="35" s="1"/>
  <c r="C704" i="55" s="1"/>
  <c r="D704" i="55" s="1"/>
  <c r="J725" i="35" a="1"/>
  <c r="J725" i="35" s="1"/>
  <c r="D725" i="35" s="1"/>
  <c r="C730" i="55" s="1"/>
  <c r="D730" i="55" s="1"/>
  <c r="J672" i="35" a="1"/>
  <c r="J672" i="35" s="1"/>
  <c r="D672" i="35" s="1"/>
  <c r="C677" i="55" s="1"/>
  <c r="D677" i="55" s="1"/>
  <c r="J713" i="35" a="1"/>
  <c r="J713" i="35" s="1"/>
  <c r="D713" i="35" s="1"/>
  <c r="C718" i="55" s="1"/>
  <c r="D718" i="55" s="1"/>
  <c r="J720" i="35" a="1"/>
  <c r="J720" i="35" s="1"/>
  <c r="D720" i="35" s="1"/>
  <c r="C725" i="55" s="1"/>
  <c r="D725" i="55" s="1"/>
  <c r="J727" i="35" a="1"/>
  <c r="J727" i="35" s="1"/>
  <c r="D727" i="35" s="1"/>
  <c r="C732" i="55" s="1"/>
  <c r="D732" i="55" s="1"/>
  <c r="J758" i="35" a="1"/>
  <c r="J758" i="35" s="1"/>
  <c r="D758" i="35" s="1"/>
  <c r="C763" i="55" s="1"/>
  <c r="D763" i="55" s="1"/>
  <c r="J728" i="35" a="1"/>
  <c r="J728" i="35" s="1"/>
  <c r="D728" i="35" s="1"/>
  <c r="C733" i="55" s="1"/>
  <c r="D733" i="55" s="1"/>
  <c r="J711" i="35" a="1"/>
  <c r="J711" i="35" s="1"/>
  <c r="D711" i="35" s="1"/>
  <c r="D16" i="48" s="1"/>
  <c r="J762" i="35" a="1"/>
  <c r="J762" i="35" s="1"/>
  <c r="D762" i="35" s="1"/>
  <c r="C767" i="55" s="1"/>
  <c r="D767" i="55" s="1"/>
  <c r="J768" i="35" a="1"/>
  <c r="J768" i="35" s="1"/>
  <c r="D768" i="35" s="1"/>
  <c r="C773" i="55" s="1"/>
  <c r="D773" i="55" s="1"/>
  <c r="J753" i="35" a="1"/>
  <c r="J753" i="35" s="1"/>
  <c r="D753" i="35" s="1"/>
  <c r="D76" i="48" s="1"/>
  <c r="J715" i="35" a="1"/>
  <c r="J715" i="35" s="1"/>
  <c r="D715" i="35" s="1"/>
  <c r="D23" i="48" s="1"/>
  <c r="J714" i="35" a="1"/>
  <c r="J714" i="35" s="1"/>
  <c r="D714" i="35" s="1"/>
  <c r="C719" i="55" s="1"/>
  <c r="D719" i="55" s="1"/>
  <c r="J706" i="35" a="1"/>
  <c r="J706" i="35" s="1"/>
  <c r="D706" i="35" s="1"/>
  <c r="D11" i="48" s="1"/>
  <c r="J733" i="35" a="1"/>
  <c r="J733" i="35" s="1"/>
  <c r="D733" i="35" s="1"/>
  <c r="C738" i="55" s="1"/>
  <c r="D738" i="55" s="1"/>
  <c r="J766" i="35" a="1"/>
  <c r="J766" i="35" s="1"/>
  <c r="D766" i="35" s="1"/>
  <c r="C771" i="55" s="1"/>
  <c r="D771" i="55" s="1"/>
  <c r="J776" i="35" a="1"/>
  <c r="J776" i="35" s="1"/>
  <c r="D776" i="35" s="1"/>
  <c r="D105" i="48" s="1"/>
  <c r="J704" i="35" a="1"/>
  <c r="J704" i="35" s="1"/>
  <c r="D704" i="35" s="1"/>
  <c r="C709" i="55" s="1"/>
  <c r="D709" i="55" s="1"/>
  <c r="J712" i="35" a="1"/>
  <c r="J712" i="35" s="1"/>
  <c r="D712" i="35" s="1"/>
  <c r="C717" i="55" s="1"/>
  <c r="D717" i="55" s="1"/>
  <c r="J779" i="35" a="1"/>
  <c r="J779" i="35" s="1"/>
  <c r="D779" i="35" s="1"/>
  <c r="D108" i="48" s="1"/>
  <c r="J702" i="35" a="1"/>
  <c r="J702" i="35" s="1"/>
  <c r="D702" i="35" s="1"/>
  <c r="C707" i="55" s="1"/>
  <c r="D707" i="55" s="1"/>
  <c r="J760" i="35" a="1"/>
  <c r="J760" i="35" s="1"/>
  <c r="D760" i="35" s="1"/>
  <c r="C765" i="55" s="1"/>
  <c r="D765" i="55" s="1"/>
  <c r="J723" i="35" a="1"/>
  <c r="J723" i="35" s="1"/>
  <c r="D723" i="35" s="1"/>
  <c r="D34" i="48" s="1"/>
  <c r="J703" i="35" a="1"/>
  <c r="J703" i="35" s="1"/>
  <c r="D703" i="35" s="1"/>
  <c r="C708" i="55" s="1"/>
  <c r="D708" i="55" s="1"/>
  <c r="J767" i="35" a="1"/>
  <c r="J767" i="35" s="1"/>
  <c r="D767" i="35" s="1"/>
  <c r="C772" i="55" s="1"/>
  <c r="D772" i="55" s="1"/>
  <c r="J736" i="35" a="1"/>
  <c r="J736" i="35" s="1"/>
  <c r="D736" i="35" s="1"/>
  <c r="C741" i="55" s="1"/>
  <c r="D741" i="55" s="1"/>
  <c r="J777" i="35" a="1"/>
  <c r="J777" i="35" s="1"/>
  <c r="D777" i="35" s="1"/>
  <c r="C782" i="55" s="1"/>
  <c r="D782" i="55" s="1"/>
  <c r="J770" i="35" a="1"/>
  <c r="J770" i="35" s="1"/>
  <c r="D770" i="35" s="1"/>
  <c r="C775" i="55" s="1"/>
  <c r="D775" i="55" s="1"/>
  <c r="J707" i="35" a="1"/>
  <c r="J707" i="35" s="1"/>
  <c r="D707" i="35" s="1"/>
  <c r="C712" i="55" s="1"/>
  <c r="D712" i="55" s="1"/>
  <c r="J756" i="35" a="1"/>
  <c r="J756" i="35" s="1"/>
  <c r="D756" i="35" s="1"/>
  <c r="C761" i="55" s="1"/>
  <c r="D761" i="55" s="1"/>
  <c r="J732" i="35" a="1"/>
  <c r="J732" i="35" s="1"/>
  <c r="D732" i="35" s="1"/>
  <c r="C737" i="55" s="1"/>
  <c r="D737" i="55" s="1"/>
  <c r="J730" i="35" a="1"/>
  <c r="J730" i="35" s="1"/>
  <c r="D730" i="35" s="1"/>
  <c r="C735" i="55" s="1"/>
  <c r="D735" i="55" s="1"/>
  <c r="J567" i="35" a="1"/>
  <c r="J567" i="35" s="1"/>
  <c r="D567" i="35" s="1"/>
  <c r="C572" i="55" s="1"/>
  <c r="D572" i="55" s="1"/>
  <c r="J628" i="35" a="1"/>
  <c r="J628" i="35" s="1"/>
  <c r="D628" i="35" s="1"/>
  <c r="C633" i="55" s="1"/>
  <c r="D633" i="55" s="1"/>
  <c r="J581" i="35" a="1"/>
  <c r="J581" i="35" s="1"/>
  <c r="D581" i="35" s="1"/>
  <c r="D26" i="51" s="1"/>
  <c r="J578" i="35" a="1"/>
  <c r="J578" i="35" s="1"/>
  <c r="D578" i="35" s="1"/>
  <c r="D23" i="51" s="1"/>
  <c r="J701" i="35" a="1"/>
  <c r="J701" i="35" s="1"/>
  <c r="D701" i="35" s="1"/>
  <c r="C706" i="55" s="1"/>
  <c r="D706" i="55" s="1"/>
  <c r="J687" i="35" a="1"/>
  <c r="J687" i="35" s="1"/>
  <c r="D687" i="35" s="1"/>
  <c r="C692" i="55" s="1"/>
  <c r="D692" i="55" s="1"/>
  <c r="J610" i="35" a="1"/>
  <c r="J610" i="35" s="1"/>
  <c r="D610" i="35" s="1"/>
  <c r="C615" i="55" s="1"/>
  <c r="D615" i="55" s="1"/>
  <c r="J618" i="35" a="1"/>
  <c r="J618" i="35" s="1"/>
  <c r="D618" i="35" s="1"/>
  <c r="C623" i="55" s="1"/>
  <c r="D623" i="55" s="1"/>
  <c r="J684" i="35" a="1"/>
  <c r="J684" i="35" s="1"/>
  <c r="D684" i="35" s="1"/>
  <c r="D153" i="51" s="1"/>
  <c r="J664" i="35" a="1"/>
  <c r="J664" i="35" s="1"/>
  <c r="D664" i="35" s="1"/>
  <c r="C669" i="55" s="1"/>
  <c r="D669" i="55" s="1"/>
  <c r="J624" i="35" a="1"/>
  <c r="J624" i="35" s="1"/>
  <c r="D624" i="35" s="1"/>
  <c r="C629" i="55" s="1"/>
  <c r="D629" i="55" s="1"/>
  <c r="J605" i="35" a="1"/>
  <c r="J605" i="35" s="1"/>
  <c r="D605" i="35" s="1"/>
  <c r="C610" i="55" s="1"/>
  <c r="D610" i="55" s="1"/>
  <c r="J604" i="35" a="1"/>
  <c r="J604" i="35" s="1"/>
  <c r="D604" i="35" s="1"/>
  <c r="D55" i="51" s="1"/>
  <c r="J670" i="35" a="1"/>
  <c r="J670" i="35" s="1"/>
  <c r="D670" i="35" s="1"/>
  <c r="D136" i="51" s="1"/>
  <c r="J683" i="35" a="1"/>
  <c r="J683" i="35" s="1"/>
  <c r="D683" i="35" s="1"/>
  <c r="C688" i="55" s="1"/>
  <c r="D688" i="55" s="1"/>
  <c r="J652" i="35" a="1"/>
  <c r="J652" i="35" s="1"/>
  <c r="D652" i="35" s="1"/>
  <c r="D115" i="51" s="1"/>
  <c r="J648" i="35" a="1"/>
  <c r="J648" i="35" s="1"/>
  <c r="D648" i="35" s="1"/>
  <c r="M647" i="35" s="1"/>
  <c r="J647" i="35" s="1" a="1"/>
  <c r="J647" i="35" s="1"/>
  <c r="D647" i="35" s="1"/>
  <c r="J590" i="35" a="1"/>
  <c r="J590" i="35" s="1"/>
  <c r="D590" i="35" s="1"/>
  <c r="C595" i="55" s="1"/>
  <c r="D595" i="55" s="1"/>
  <c r="J693" i="35" a="1"/>
  <c r="J693" i="35" s="1"/>
  <c r="D693" i="35" s="1"/>
  <c r="D162" i="51" s="1"/>
  <c r="J696" i="35" a="1"/>
  <c r="J696" i="35" s="1"/>
  <c r="D696" i="35" s="1"/>
  <c r="C701" i="55" s="1"/>
  <c r="D701" i="55" s="1"/>
  <c r="J576" i="35" a="1"/>
  <c r="J576" i="35" s="1"/>
  <c r="D576" i="35" s="1"/>
  <c r="D21" i="51" s="1"/>
  <c r="J838" i="35" a="1"/>
  <c r="J838" i="35" s="1"/>
  <c r="D838" i="35" s="1"/>
  <c r="C843" i="55" s="1"/>
  <c r="D843" i="55" s="1"/>
  <c r="J848" i="35" a="1"/>
  <c r="J848" i="35" s="1"/>
  <c r="D848" i="35" s="1"/>
  <c r="C853" i="55" s="1"/>
  <c r="D853" i="55" s="1"/>
  <c r="J866" i="35" a="1"/>
  <c r="J866" i="35" s="1"/>
  <c r="D866" i="35" s="1"/>
  <c r="C871" i="55" s="1"/>
  <c r="D871" i="55" s="1"/>
  <c r="J655" i="35" a="1"/>
  <c r="J655" i="35" s="1"/>
  <c r="D655" i="35" s="1"/>
  <c r="D118" i="51" s="1"/>
  <c r="J606" i="35" a="1"/>
  <c r="J606" i="35" s="1"/>
  <c r="D606" i="35" s="1"/>
  <c r="C611" i="55" s="1"/>
  <c r="D611" i="55" s="1"/>
  <c r="J843" i="35" a="1"/>
  <c r="J843" i="35" s="1"/>
  <c r="D843" i="35" s="1"/>
  <c r="C848" i="55" s="1"/>
  <c r="D848" i="55" s="1"/>
  <c r="J809" i="35" a="1"/>
  <c r="J809" i="35" s="1"/>
  <c r="D809" i="35" s="1"/>
  <c r="C814" i="55" s="1"/>
  <c r="D814" i="55" s="1"/>
  <c r="J614" i="35" a="1"/>
  <c r="J614" i="35" s="1"/>
  <c r="D614" i="35" s="1"/>
  <c r="C619" i="55" s="1"/>
  <c r="D619" i="55" s="1"/>
  <c r="J650" i="35" a="1"/>
  <c r="J650" i="35" s="1"/>
  <c r="D650" i="35" s="1"/>
  <c r="C655" i="55" s="1"/>
  <c r="D655" i="55" s="1"/>
  <c r="J833" i="35" a="1"/>
  <c r="J833" i="35" s="1"/>
  <c r="D833" i="35" s="1"/>
  <c r="D68" i="50" s="1"/>
  <c r="J814" i="35" a="1"/>
  <c r="J814" i="35" s="1"/>
  <c r="D814" i="35" s="1"/>
  <c r="C819" i="55" s="1"/>
  <c r="D819" i="55" s="1"/>
  <c r="J794" i="35" a="1"/>
  <c r="J794" i="35" s="1"/>
  <c r="D794" i="35" s="1"/>
  <c r="C799" i="55" s="1"/>
  <c r="D799" i="55" s="1"/>
  <c r="J600" i="35" a="1"/>
  <c r="J600" i="35" s="1"/>
  <c r="D600" i="35" s="1"/>
  <c r="D51" i="51" s="1"/>
  <c r="J631" i="35" a="1"/>
  <c r="J631" i="35" s="1"/>
  <c r="D631" i="35" s="1"/>
  <c r="D88" i="51" s="1"/>
  <c r="J659" i="35" a="1"/>
  <c r="J659" i="35" s="1"/>
  <c r="D659" i="35" s="1"/>
  <c r="D122" i="51" s="1"/>
  <c r="J613" i="35" a="1"/>
  <c r="J613" i="35" s="1"/>
  <c r="D613" i="35" s="1"/>
  <c r="C618" i="55" s="1"/>
  <c r="D618" i="55" s="1"/>
  <c r="J787" i="35" a="1"/>
  <c r="J787" i="35" s="1"/>
  <c r="D787" i="35" s="1"/>
  <c r="D7" i="50" s="1"/>
  <c r="J817" i="35" a="1"/>
  <c r="J817" i="35" s="1"/>
  <c r="D817" i="35" s="1"/>
  <c r="C822" i="55" s="1"/>
  <c r="D822" i="55" s="1"/>
  <c r="J653" i="35" a="1"/>
  <c r="J653" i="35" s="1"/>
  <c r="D653" i="35" s="1"/>
  <c r="D116" i="51" s="1"/>
  <c r="J649" i="35" a="1"/>
  <c r="J649" i="35" s="1"/>
  <c r="D649" i="35" s="1"/>
  <c r="D112" i="51" s="1"/>
  <c r="J871" i="35" a="1"/>
  <c r="J871" i="35" s="1"/>
  <c r="D871" i="35" s="1"/>
  <c r="C876" i="55" s="1"/>
  <c r="D876" i="55" s="1"/>
  <c r="J811" i="35" a="1"/>
  <c r="J811" i="35" s="1"/>
  <c r="D811" i="35" s="1"/>
  <c r="C816" i="55" s="1"/>
  <c r="D816" i="55" s="1"/>
  <c r="J695" i="35" a="1"/>
  <c r="J695" i="35" s="1"/>
  <c r="D695" i="35" s="1"/>
  <c r="C700" i="55" s="1"/>
  <c r="D700" i="55" s="1"/>
  <c r="J663" i="35" a="1"/>
  <c r="J663" i="35" s="1"/>
  <c r="D663" i="35" s="1"/>
  <c r="D126" i="51" s="1"/>
  <c r="J580" i="35" a="1"/>
  <c r="J580" i="35" s="1"/>
  <c r="D580" i="35" s="1"/>
  <c r="C585" i="55" s="1"/>
  <c r="D585" i="55" s="1"/>
  <c r="J669" i="35" a="1"/>
  <c r="J669" i="35" s="1"/>
  <c r="D669" i="35" s="1"/>
  <c r="D135" i="51" s="1"/>
  <c r="J627" i="35" a="1"/>
  <c r="J627" i="35" s="1"/>
  <c r="D627" i="35" s="1"/>
  <c r="C632" i="55" s="1"/>
  <c r="D632" i="55" s="1"/>
  <c r="J678" i="35" a="1"/>
  <c r="J678" i="35" s="1"/>
  <c r="D678" i="35" s="1"/>
  <c r="C683" i="55" s="1"/>
  <c r="D683" i="55" s="1"/>
  <c r="J595" i="35" a="1"/>
  <c r="J595" i="35" s="1"/>
  <c r="D595" i="35" s="1"/>
  <c r="D46" i="51" s="1"/>
  <c r="J615" i="35" a="1"/>
  <c r="J615" i="35" s="1"/>
  <c r="D615" i="35" s="1"/>
  <c r="C620" i="55" s="1"/>
  <c r="D620" i="55" s="1"/>
  <c r="J685" i="35" a="1"/>
  <c r="J685" i="35" s="1"/>
  <c r="D685" i="35" s="1"/>
  <c r="C690" i="55" s="1"/>
  <c r="D690" i="55" s="1"/>
  <c r="J657" i="35" a="1"/>
  <c r="J657" i="35" s="1"/>
  <c r="D657" i="35" s="1"/>
  <c r="C662" i="55" s="1"/>
  <c r="D662" i="55" s="1"/>
  <c r="J632" i="35" a="1"/>
  <c r="J632" i="35" s="1"/>
  <c r="D632" i="35" s="1"/>
  <c r="C637" i="55" s="1"/>
  <c r="D637" i="55" s="1"/>
  <c r="J566" i="35" a="1"/>
  <c r="J566" i="35" s="1"/>
  <c r="D566" i="35" s="1"/>
  <c r="C571" i="55" s="1"/>
  <c r="D571" i="55" s="1"/>
  <c r="J612" i="35" a="1"/>
  <c r="J612" i="35" s="1"/>
  <c r="D612" i="35" s="1"/>
  <c r="C617" i="55" s="1"/>
  <c r="D617" i="55" s="1"/>
  <c r="J623" i="35" a="1"/>
  <c r="J623" i="35" s="1"/>
  <c r="D623" i="35" s="1"/>
  <c r="D80" i="51" s="1"/>
  <c r="J680" i="35" a="1"/>
  <c r="J680" i="35" s="1"/>
  <c r="D680" i="35" s="1"/>
  <c r="D149" i="51" s="1"/>
  <c r="J634" i="35" a="1"/>
  <c r="J634" i="35" s="1"/>
  <c r="D634" i="35" s="1"/>
  <c r="C639" i="55" s="1"/>
  <c r="D639" i="55" s="1"/>
  <c r="J573" i="35" a="1"/>
  <c r="J573" i="35" s="1"/>
  <c r="D573" i="35" s="1"/>
  <c r="D18" i="51" s="1"/>
  <c r="J654" i="35" a="1"/>
  <c r="J654" i="35" s="1"/>
  <c r="D654" i="35" s="1"/>
  <c r="C659" i="55" s="1"/>
  <c r="D659" i="55" s="1"/>
  <c r="J588" i="35" a="1"/>
  <c r="J588" i="35" s="1"/>
  <c r="D588" i="35" s="1"/>
  <c r="D36" i="51" s="1"/>
  <c r="J596" i="35" a="1"/>
  <c r="J596" i="35" s="1"/>
  <c r="D596" i="35" s="1"/>
  <c r="D47" i="51" s="1"/>
  <c r="J626" i="35" a="1"/>
  <c r="J626" i="35" s="1"/>
  <c r="D626" i="35" s="1"/>
  <c r="C631" i="55" s="1"/>
  <c r="D631" i="55" s="1"/>
  <c r="J620" i="35" a="1"/>
  <c r="J620" i="35" s="1"/>
  <c r="D620" i="35" s="1"/>
  <c r="C625" i="55" s="1"/>
  <c r="D625" i="55" s="1"/>
  <c r="J616" i="35" a="1"/>
  <c r="J616" i="35" s="1"/>
  <c r="D616" i="35" s="1"/>
  <c r="C621" i="55" s="1"/>
  <c r="D621" i="55" s="1"/>
  <c r="J690" i="35" a="1"/>
  <c r="J690" i="35" s="1"/>
  <c r="D690" i="35" s="1"/>
  <c r="D159" i="51" s="1"/>
  <c r="J603" i="35" a="1"/>
  <c r="J603" i="35" s="1"/>
  <c r="D603" i="35" s="1"/>
  <c r="C608" i="55" s="1"/>
  <c r="D608" i="55" s="1"/>
  <c r="J686" i="35" a="1"/>
  <c r="J686" i="35" s="1"/>
  <c r="D686" i="35" s="1"/>
  <c r="D155" i="51" s="1"/>
  <c r="J562" i="35" a="1"/>
  <c r="J562" i="35" s="1"/>
  <c r="D562" i="35" s="1"/>
  <c r="D7" i="51" s="1"/>
  <c r="J617" i="35" a="1"/>
  <c r="J617" i="35" s="1"/>
  <c r="D617" i="35" s="1"/>
  <c r="C622" i="55" s="1"/>
  <c r="D622" i="55" s="1"/>
  <c r="J698" i="35" a="1"/>
  <c r="J698" i="35" s="1"/>
  <c r="D698" i="35" s="1"/>
  <c r="C703" i="55" s="1"/>
  <c r="D703" i="55" s="1"/>
  <c r="J694" i="35" a="1"/>
  <c r="J694" i="35" s="1"/>
  <c r="D694" i="35" s="1"/>
  <c r="D163" i="51" s="1"/>
  <c r="J583" i="35" a="1"/>
  <c r="J583" i="35" s="1"/>
  <c r="D583" i="35" s="1"/>
  <c r="C588" i="55" s="1"/>
  <c r="D588" i="55" s="1"/>
  <c r="J593" i="35" a="1"/>
  <c r="J593" i="35" s="1"/>
  <c r="D593" i="35" s="1"/>
  <c r="D44" i="51" s="1"/>
  <c r="J667" i="35" a="1"/>
  <c r="J667" i="35" s="1"/>
  <c r="D667" i="35" s="1"/>
  <c r="C672" i="55" s="1"/>
  <c r="D672" i="55" s="1"/>
  <c r="J646" i="35" a="1"/>
  <c r="J646" i="35" s="1"/>
  <c r="D646" i="35" s="1"/>
  <c r="C651" i="55" s="1"/>
  <c r="D651" i="55" s="1"/>
  <c r="J601" i="35" a="1"/>
  <c r="J601" i="35" s="1"/>
  <c r="D601" i="35" s="1"/>
  <c r="C606" i="55" s="1"/>
  <c r="D606" i="55" s="1"/>
  <c r="J587" i="35" a="1"/>
  <c r="J587" i="35" s="1"/>
  <c r="D587" i="35" s="1"/>
  <c r="C592" i="55" s="1"/>
  <c r="D592" i="55" s="1"/>
  <c r="J643" i="35" a="1"/>
  <c r="J643" i="35" s="1"/>
  <c r="D643" i="35" s="1"/>
  <c r="C648" i="55" s="1"/>
  <c r="D648" i="55" s="1"/>
  <c r="J665" i="35" a="1"/>
  <c r="J665" i="35" s="1"/>
  <c r="D665" i="35" s="1"/>
  <c r="C670" i="55" s="1"/>
  <c r="D670" i="55" s="1"/>
  <c r="J636" i="35" a="1"/>
  <c r="J636" i="35" s="1"/>
  <c r="D636" i="35" s="1"/>
  <c r="C641" i="55" s="1"/>
  <c r="D641" i="55" s="1"/>
  <c r="J607" i="35" a="1"/>
  <c r="J607" i="35" s="1"/>
  <c r="D607" i="35" s="1"/>
  <c r="C612" i="55" s="1"/>
  <c r="D612" i="55" s="1"/>
  <c r="J677" i="35" a="1"/>
  <c r="J677" i="35" s="1"/>
  <c r="D677" i="35" s="1"/>
  <c r="C682" i="55" s="1"/>
  <c r="D682" i="55" s="1"/>
  <c r="J651" i="35" a="1"/>
  <c r="J651" i="35" s="1"/>
  <c r="D651" i="35" s="1"/>
  <c r="D114" i="51" s="1"/>
  <c r="J599" i="35" a="1"/>
  <c r="J599" i="35" s="1"/>
  <c r="D599" i="35" s="1"/>
  <c r="C604" i="55" s="1"/>
  <c r="D604" i="55" s="1"/>
  <c r="J645" i="35" a="1"/>
  <c r="J645" i="35" s="1"/>
  <c r="D645" i="35" s="1"/>
  <c r="C650" i="55" s="1"/>
  <c r="D650" i="55" s="1"/>
  <c r="J622" i="35" a="1"/>
  <c r="J622" i="35" s="1"/>
  <c r="D622" i="35" s="1"/>
  <c r="D79" i="51" s="1"/>
  <c r="J609" i="35" a="1"/>
  <c r="J609" i="35" s="1"/>
  <c r="D609" i="35" s="1"/>
  <c r="C614" i="55" s="1"/>
  <c r="D614" i="55" s="1"/>
  <c r="J697" i="35" a="1"/>
  <c r="J697" i="35" s="1"/>
  <c r="D697" i="35" s="1"/>
  <c r="D169" i="51" s="1"/>
  <c r="J639" i="35" a="1"/>
  <c r="J639" i="35" s="1"/>
  <c r="D639" i="35" s="1"/>
  <c r="C644" i="55" s="1"/>
  <c r="D644" i="55" s="1"/>
  <c r="J691" i="35" a="1"/>
  <c r="J691" i="35" s="1"/>
  <c r="D691" i="35" s="1"/>
  <c r="D160" i="51" s="1"/>
  <c r="J575" i="35" a="1"/>
  <c r="J575" i="35" s="1"/>
  <c r="D575" i="35" s="1"/>
  <c r="C580" i="55" s="1"/>
  <c r="D580" i="55" s="1"/>
  <c r="J608" i="35" a="1"/>
  <c r="J608" i="35" s="1"/>
  <c r="D608" i="35" s="1"/>
  <c r="D59" i="51" s="1"/>
  <c r="J689" i="35" a="1"/>
  <c r="J689" i="35" s="1"/>
  <c r="D689" i="35" s="1"/>
  <c r="C694" i="55" s="1"/>
  <c r="D694" i="55" s="1"/>
  <c r="J592" i="35" a="1"/>
  <c r="J592" i="35" s="1"/>
  <c r="D592" i="35" s="1"/>
  <c r="C597" i="55" s="1"/>
  <c r="D597" i="55" s="1"/>
  <c r="J642" i="35" a="1"/>
  <c r="J642" i="35" s="1"/>
  <c r="D642" i="35" s="1"/>
  <c r="C647" i="55" s="1"/>
  <c r="D647" i="55" s="1"/>
  <c r="J638" i="35" a="1"/>
  <c r="J638" i="35" s="1"/>
  <c r="D638" i="35" s="1"/>
  <c r="C643" i="55" s="1"/>
  <c r="D643" i="55" s="1"/>
  <c r="J676" i="35" a="1"/>
  <c r="J676" i="35" s="1"/>
  <c r="D676" i="35" s="1"/>
  <c r="C681" i="55" s="1"/>
  <c r="D681" i="55" s="1"/>
  <c r="J640" i="35" a="1"/>
  <c r="J640" i="35" s="1"/>
  <c r="D640" i="35" s="1"/>
  <c r="D100" i="51" s="1"/>
  <c r="J611" i="35" a="1"/>
  <c r="J611" i="35" s="1"/>
  <c r="D611" i="35" s="1"/>
  <c r="C616" i="55" s="1"/>
  <c r="D616" i="55" s="1"/>
  <c r="J633" i="35" a="1"/>
  <c r="J633" i="35" s="1"/>
  <c r="D633" i="35" s="1"/>
  <c r="C638" i="55" s="1"/>
  <c r="D638" i="55" s="1"/>
  <c r="J625" i="35" a="1"/>
  <c r="J625" i="35" s="1"/>
  <c r="D625" i="35" s="1"/>
  <c r="C630" i="55" s="1"/>
  <c r="D630" i="55" s="1"/>
  <c r="J565" i="35" a="1"/>
  <c r="J565" i="35" s="1"/>
  <c r="D565" i="35" s="1"/>
  <c r="D10" i="51" s="1"/>
  <c r="J681" i="35" a="1"/>
  <c r="J681" i="35" s="1"/>
  <c r="D681" i="35" s="1"/>
  <c r="C686" i="55" s="1"/>
  <c r="D686" i="55" s="1"/>
  <c r="J621" i="35" a="1"/>
  <c r="J621" i="35" s="1"/>
  <c r="D621" i="35" s="1"/>
  <c r="C626" i="55" s="1"/>
  <c r="D626" i="55" s="1"/>
  <c r="J572" i="35" a="1"/>
  <c r="J572" i="35" s="1"/>
  <c r="D572" i="35" s="1"/>
  <c r="C577" i="55" s="1"/>
  <c r="D577" i="55" s="1"/>
  <c r="J656" i="35" a="1"/>
  <c r="J656" i="35" s="1"/>
  <c r="D656" i="35" s="1"/>
  <c r="C661" i="55" s="1"/>
  <c r="D661" i="55" s="1"/>
  <c r="J679" i="35" a="1"/>
  <c r="J679" i="35" s="1"/>
  <c r="D679" i="35" s="1"/>
  <c r="C684" i="55" s="1"/>
  <c r="D684" i="55" s="1"/>
  <c r="J602" i="35" a="1"/>
  <c r="J602" i="35" s="1"/>
  <c r="D602" i="35" s="1"/>
  <c r="C607" i="55" s="1"/>
  <c r="D607" i="55" s="1"/>
  <c r="J641" i="35" a="1"/>
  <c r="J641" i="35" s="1"/>
  <c r="D641" i="35" s="1"/>
  <c r="D101" i="51" s="1"/>
  <c r="J661" i="35" a="1"/>
  <c r="J661" i="35" s="1"/>
  <c r="D661" i="35" s="1"/>
  <c r="C666" i="55" s="1"/>
  <c r="D666" i="55" s="1"/>
  <c r="J692" i="35" a="1"/>
  <c r="J692" i="35" s="1"/>
  <c r="D692" i="35" s="1"/>
  <c r="C697" i="55" s="1"/>
  <c r="D697" i="55" s="1"/>
  <c r="J577" i="35" a="1"/>
  <c r="J577" i="35" s="1"/>
  <c r="D577" i="35" s="1"/>
  <c r="C582" i="55" s="1"/>
  <c r="D582" i="55" s="1"/>
  <c r="J594" i="35" a="1"/>
  <c r="J594" i="35" s="1"/>
  <c r="D594" i="35" s="1"/>
  <c r="C599" i="55" s="1"/>
  <c r="D599" i="55" s="1"/>
  <c r="J666" i="35" a="1"/>
  <c r="J666" i="35" s="1"/>
  <c r="D666" i="35" s="1"/>
  <c r="C671" i="55" s="1"/>
  <c r="D671" i="55" s="1"/>
  <c r="J597" i="35" a="1"/>
  <c r="J597" i="35" s="1"/>
  <c r="D597" i="35" s="1"/>
  <c r="C602" i="55" s="1"/>
  <c r="D602" i="55" s="1"/>
  <c r="J589" i="35" a="1"/>
  <c r="J589" i="35" s="1"/>
  <c r="D589" i="35" s="1"/>
  <c r="C594" i="55" s="1"/>
  <c r="D594" i="55" s="1"/>
  <c r="J673" i="35" a="1"/>
  <c r="J673" i="35" s="1"/>
  <c r="D673" i="35" s="1"/>
  <c r="C678" i="55" s="1"/>
  <c r="D678" i="55" s="1"/>
  <c r="J630" i="35" a="1"/>
  <c r="J630" i="35" s="1"/>
  <c r="D630" i="35" s="1"/>
  <c r="D87" i="51" s="1"/>
  <c r="J671" i="35" a="1"/>
  <c r="J671" i="35" s="1"/>
  <c r="D671" i="35" s="1"/>
  <c r="D137" i="51" s="1"/>
  <c r="J629" i="35" a="1"/>
  <c r="J629" i="35" s="1"/>
  <c r="D629" i="35" s="1"/>
  <c r="D86" i="51" s="1"/>
  <c r="A196" i="57"/>
  <c r="O197" i="57" s="1"/>
  <c r="N197" i="57" s="1"/>
  <c r="O236" i="57"/>
  <c r="N236" i="57" s="1"/>
  <c r="C495" i="55"/>
  <c r="D495" i="55" s="1"/>
  <c r="E12" i="47"/>
  <c r="I50" i="41"/>
  <c r="C7" i="55"/>
  <c r="D7" i="55" s="1"/>
  <c r="D11" i="31"/>
  <c r="L6" i="30"/>
  <c r="M6" i="30" s="1"/>
  <c r="C6" i="30" s="1" a="1"/>
  <c r="C6" i="30" s="1"/>
  <c r="N1015" i="57" l="1"/>
  <c r="H52" i="41"/>
  <c r="G52" i="41"/>
  <c r="F52" i="41"/>
  <c r="D84" i="49"/>
  <c r="N1182" i="57"/>
  <c r="N488" i="57"/>
  <c r="N433" i="57"/>
  <c r="N1122" i="57"/>
  <c r="O234" i="57"/>
  <c r="N234" i="57" s="1"/>
  <c r="D474" i="35"/>
  <c r="D83" i="49" s="1"/>
  <c r="N1158" i="57"/>
  <c r="D143" i="51"/>
  <c r="N1170" i="57"/>
  <c r="N507" i="57"/>
  <c r="D93" i="50"/>
  <c r="D476" i="35"/>
  <c r="C481" i="55" s="1"/>
  <c r="D481" i="55" s="1"/>
  <c r="O514" i="57"/>
  <c r="N514" i="57" s="1"/>
  <c r="O164" i="57"/>
  <c r="N164" i="57" s="1"/>
  <c r="O1033" i="57"/>
  <c r="N1033" i="57" s="1"/>
  <c r="N1007" i="57"/>
  <c r="O737" i="57"/>
  <c r="N737" i="57" s="1"/>
  <c r="O707" i="57"/>
  <c r="N707" i="57" s="1"/>
  <c r="N683" i="57"/>
  <c r="O356" i="57"/>
  <c r="N356" i="57" s="1"/>
  <c r="N145" i="57"/>
  <c r="O725" i="57"/>
  <c r="N725" i="57" s="1"/>
  <c r="O416" i="57"/>
  <c r="N416" i="57" s="1"/>
  <c r="N1102" i="57"/>
  <c r="O511" i="57"/>
  <c r="N511" i="57" s="1"/>
  <c r="O115" i="57"/>
  <c r="N115" i="57" s="1"/>
  <c r="O1090" i="57"/>
  <c r="N1090" i="57" s="1"/>
  <c r="O383" i="57"/>
  <c r="N383" i="57" s="1"/>
  <c r="O537" i="57"/>
  <c r="N537" i="57" s="1"/>
  <c r="O1079" i="57"/>
  <c r="N1079" i="57" s="1"/>
  <c r="F546" i="57" a="1"/>
  <c r="F546" i="57" s="1"/>
  <c r="F584" i="57" s="1" a="1"/>
  <c r="F584" i="57" s="1"/>
  <c r="N521" i="57"/>
  <c r="N1190" i="57"/>
  <c r="N412" i="57"/>
  <c r="O419" i="57"/>
  <c r="N419" i="57" s="1"/>
  <c r="N772" i="57"/>
  <c r="O185" i="57"/>
  <c r="N185" i="57" s="1"/>
  <c r="N1110" i="57"/>
  <c r="N518" i="57"/>
  <c r="D584" i="57" a="1"/>
  <c r="D584" i="57" s="1"/>
  <c r="O506" i="57"/>
  <c r="N506" i="57" s="1"/>
  <c r="D585" i="57" a="1"/>
  <c r="D585" i="57" s="1"/>
  <c r="O538" i="57"/>
  <c r="N538" i="57" s="1"/>
  <c r="O528" i="57"/>
  <c r="N528" i="57" s="1"/>
  <c r="O228" i="57"/>
  <c r="N228" i="57" s="1"/>
  <c r="O183" i="57"/>
  <c r="N183" i="57" s="1"/>
  <c r="N1150" i="57"/>
  <c r="O380" i="57"/>
  <c r="N380" i="57" s="1"/>
  <c r="O543" i="57"/>
  <c r="N543" i="57" s="1"/>
  <c r="O381" i="57"/>
  <c r="N381" i="57" s="1"/>
  <c r="N842" i="57"/>
  <c r="O387" i="57"/>
  <c r="N387" i="57" s="1"/>
  <c r="O422" i="57"/>
  <c r="N422" i="57" s="1"/>
  <c r="N516" i="57"/>
  <c r="O240" i="57"/>
  <c r="N240" i="57" s="1"/>
  <c r="N239" i="57"/>
  <c r="O372" i="57"/>
  <c r="N372" i="57" s="1"/>
  <c r="N156" i="57"/>
  <c r="N921" i="57"/>
  <c r="N763" i="57"/>
  <c r="N321" i="57"/>
  <c r="O787" i="57"/>
  <c r="N787" i="57" s="1"/>
  <c r="O798" i="57"/>
  <c r="N798" i="57" s="1"/>
  <c r="N1130" i="57"/>
  <c r="O160" i="57"/>
  <c r="N160" i="57" s="1"/>
  <c r="O1061" i="57"/>
  <c r="N1061" i="57" s="1"/>
  <c r="N350" i="57"/>
  <c r="N519" i="57"/>
  <c r="N270" i="57"/>
  <c r="N520" i="57"/>
  <c r="N872" i="57"/>
  <c r="O674" i="57"/>
  <c r="N674" i="57" s="1"/>
  <c r="D556" i="57" a="1"/>
  <c r="D556" i="57" s="1"/>
  <c r="O644" i="57"/>
  <c r="N644" i="57" s="1"/>
  <c r="D580" i="57" a="1"/>
  <c r="D580" i="57" s="1"/>
  <c r="D558" i="57" a="1"/>
  <c r="D558" i="57" s="1"/>
  <c r="D550" i="57" a="1"/>
  <c r="D550" i="57" s="1"/>
  <c r="O977" i="57"/>
  <c r="N977" i="57" s="1"/>
  <c r="O676" i="57"/>
  <c r="N676" i="57" s="1"/>
  <c r="O694" i="57"/>
  <c r="N694" i="57" s="1"/>
  <c r="D563" i="57" a="1"/>
  <c r="D563" i="57" s="1"/>
  <c r="N951" i="57"/>
  <c r="D549" i="57" a="1"/>
  <c r="D549" i="57" s="1"/>
  <c r="O677" i="57"/>
  <c r="N677" i="57" s="1"/>
  <c r="D547" i="57" a="1"/>
  <c r="D547" i="57" s="1"/>
  <c r="O424" i="57"/>
  <c r="N424" i="57" s="1"/>
  <c r="D562" i="57" a="1"/>
  <c r="D562" i="57" s="1"/>
  <c r="D548" i="57" a="1"/>
  <c r="D548" i="57" s="1"/>
  <c r="O660" i="57"/>
  <c r="N660" i="57" s="1"/>
  <c r="N501" i="57"/>
  <c r="O370" i="57"/>
  <c r="N370" i="57" s="1"/>
  <c r="E578" i="57" a="1"/>
  <c r="E578" i="57" s="1"/>
  <c r="N1142" i="57"/>
  <c r="E551" i="57" a="1"/>
  <c r="E551" i="57" s="1"/>
  <c r="N295" i="57"/>
  <c r="O494" i="57"/>
  <c r="N494" i="57" s="1"/>
  <c r="N277" i="57"/>
  <c r="O994" i="57"/>
  <c r="N994" i="57" s="1"/>
  <c r="E548" i="57" a="1"/>
  <c r="E548" i="57" s="1"/>
  <c r="E557" i="57" a="1"/>
  <c r="E557" i="57" s="1"/>
  <c r="O1005" i="57"/>
  <c r="N1005" i="57" s="1"/>
  <c r="O505" i="57"/>
  <c r="N505" i="57" s="1"/>
  <c r="E560" i="57" a="1"/>
  <c r="E560" i="57" s="1"/>
  <c r="O770" i="57"/>
  <c r="N770" i="57" s="1"/>
  <c r="O276" i="57"/>
  <c r="N276" i="57" s="1"/>
  <c r="O738" i="57"/>
  <c r="N738" i="57" s="1"/>
  <c r="E561" i="57" a="1"/>
  <c r="E561" i="57" s="1"/>
  <c r="O739" i="57"/>
  <c r="N739" i="57" s="1"/>
  <c r="O395" i="57"/>
  <c r="N395" i="57" s="1"/>
  <c r="E559" i="57" a="1"/>
  <c r="E559" i="57" s="1"/>
  <c r="D576" i="57" a="1"/>
  <c r="D576" i="57" s="1"/>
  <c r="D579" i="57" a="1"/>
  <c r="D579" i="57" s="1"/>
  <c r="N1035" i="57"/>
  <c r="D573" i="57" a="1"/>
  <c r="D573" i="57" s="1"/>
  <c r="O756" i="57"/>
  <c r="N756" i="57" s="1"/>
  <c r="E586" i="57" a="1"/>
  <c r="E586" i="57" s="1"/>
  <c r="O428" i="57"/>
  <c r="N428" i="57" s="1"/>
  <c r="D551" i="57" a="1"/>
  <c r="D551" i="57" s="1"/>
  <c r="E549" i="57" a="1"/>
  <c r="E549" i="57" s="1"/>
  <c r="N1162" i="57"/>
  <c r="D570" i="57" a="1"/>
  <c r="D570" i="57" s="1"/>
  <c r="D564" i="57" a="1"/>
  <c r="D564" i="57" s="1"/>
  <c r="E553" i="57" a="1"/>
  <c r="E553" i="57" s="1"/>
  <c r="E547" i="57" a="1"/>
  <c r="E547" i="57" s="1"/>
  <c r="D555" i="57" a="1"/>
  <c r="D555" i="57" s="1"/>
  <c r="D572" i="57" a="1"/>
  <c r="D572" i="57" s="1"/>
  <c r="E581" i="57" a="1"/>
  <c r="E581" i="57" s="1"/>
  <c r="E556" i="57" a="1"/>
  <c r="E556" i="57" s="1"/>
  <c r="E562" i="57" a="1"/>
  <c r="E562" i="57" s="1"/>
  <c r="E552" i="57" a="1"/>
  <c r="E552" i="57" s="1"/>
  <c r="E568" i="57" a="1"/>
  <c r="E568" i="57" s="1"/>
  <c r="D575" i="57" a="1"/>
  <c r="D575" i="57" s="1"/>
  <c r="E585" i="57" a="1"/>
  <c r="E585" i="57" s="1"/>
  <c r="E583" i="57" a="1"/>
  <c r="E583" i="57" s="1"/>
  <c r="D559" i="57" a="1"/>
  <c r="D559" i="57" s="1"/>
  <c r="E558" i="57" a="1"/>
  <c r="E558" i="57" s="1"/>
  <c r="E570" i="57" a="1"/>
  <c r="E570" i="57" s="1"/>
  <c r="O237" i="57"/>
  <c r="N237" i="57" s="1"/>
  <c r="D565" i="57" a="1"/>
  <c r="D565" i="57" s="1"/>
  <c r="D574" i="57" a="1"/>
  <c r="D574" i="57" s="1"/>
  <c r="D552" i="57" a="1"/>
  <c r="D552" i="57" s="1"/>
  <c r="O386" i="57"/>
  <c r="N386" i="57" s="1"/>
  <c r="E576" i="57" a="1"/>
  <c r="E576" i="57" s="1"/>
  <c r="E563" i="57" a="1"/>
  <c r="E563" i="57" s="1"/>
  <c r="O513" i="57"/>
  <c r="N513" i="57" s="1"/>
  <c r="D571" i="57" a="1"/>
  <c r="D571" i="57" s="1"/>
  <c r="E582" i="57" a="1"/>
  <c r="E582" i="57" s="1"/>
  <c r="E580" i="57" a="1"/>
  <c r="E580" i="57" s="1"/>
  <c r="D557" i="57" a="1"/>
  <c r="D557" i="57" s="1"/>
  <c r="E566" i="57" a="1"/>
  <c r="E566" i="57" s="1"/>
  <c r="D560" i="57" a="1"/>
  <c r="D560" i="57" s="1"/>
  <c r="D577" i="57" a="1"/>
  <c r="D577" i="57" s="1"/>
  <c r="E550" i="57" a="1"/>
  <c r="E550" i="57" s="1"/>
  <c r="E577" i="57" a="1"/>
  <c r="E577" i="57" s="1"/>
  <c r="D568" i="57" a="1"/>
  <c r="D568" i="57" s="1"/>
  <c r="E564" i="57" a="1"/>
  <c r="E564" i="57" s="1"/>
  <c r="E569" i="57" a="1"/>
  <c r="E569" i="57" s="1"/>
  <c r="D586" i="57" a="1"/>
  <c r="D586" i="57" s="1"/>
  <c r="D578" i="57" a="1"/>
  <c r="D578" i="57" s="1"/>
  <c r="D583" i="57" a="1"/>
  <c r="D583" i="57" s="1"/>
  <c r="E572" i="57" a="1"/>
  <c r="E572" i="57" s="1"/>
  <c r="E575" i="57" a="1"/>
  <c r="E575" i="57" s="1"/>
  <c r="D566" i="57" a="1"/>
  <c r="D566" i="57" s="1"/>
  <c r="E584" i="57" a="1"/>
  <c r="E584" i="57" s="1"/>
  <c r="N782" i="57"/>
  <c r="E579" i="57" a="1"/>
  <c r="E579" i="57" s="1"/>
  <c r="D569" i="57" a="1"/>
  <c r="D569" i="57" s="1"/>
  <c r="D553" i="57" a="1"/>
  <c r="D553" i="57" s="1"/>
  <c r="D567" i="57" a="1"/>
  <c r="D567" i="57" s="1"/>
  <c r="E573" i="57" a="1"/>
  <c r="E573" i="57" s="1"/>
  <c r="E555" i="57" a="1"/>
  <c r="E555" i="57" s="1"/>
  <c r="D561" i="57" a="1"/>
  <c r="D561" i="57" s="1"/>
  <c r="D582" i="57" a="1"/>
  <c r="D582" i="57" s="1"/>
  <c r="O425" i="57"/>
  <c r="N425" i="57" s="1"/>
  <c r="E565" i="57" a="1"/>
  <c r="E565" i="57" s="1"/>
  <c r="E554" i="57" a="1"/>
  <c r="E554" i="57" s="1"/>
  <c r="D581" i="57" a="1"/>
  <c r="D581" i="57" s="1"/>
  <c r="D554" i="57" a="1"/>
  <c r="D554" i="57" s="1"/>
  <c r="E571" i="57" a="1"/>
  <c r="E571" i="57" s="1"/>
  <c r="E574" i="57" a="1"/>
  <c r="E574" i="57" s="1"/>
  <c r="O190" i="57"/>
  <c r="N190" i="57" s="1"/>
  <c r="N732" i="57"/>
  <c r="C545" i="55"/>
  <c r="D545" i="55" s="1"/>
  <c r="O483" i="57"/>
  <c r="N483" i="57" s="1"/>
  <c r="N339" i="57"/>
  <c r="O176" i="57"/>
  <c r="N176" i="57" s="1"/>
  <c r="N328" i="57"/>
  <c r="L32" i="30"/>
  <c r="M32" i="30" s="1"/>
  <c r="C32" i="30" s="1" a="1"/>
  <c r="C32" i="30" s="1"/>
  <c r="D112" i="50"/>
  <c r="D30" i="50"/>
  <c r="D20" i="50"/>
  <c r="D14" i="48"/>
  <c r="C776" i="55"/>
  <c r="D776" i="55" s="1"/>
  <c r="C872" i="55"/>
  <c r="D872" i="55" s="1"/>
  <c r="D45" i="50"/>
  <c r="C691" i="55"/>
  <c r="D691" i="55" s="1"/>
  <c r="C831" i="55"/>
  <c r="D831" i="55" s="1"/>
  <c r="C674" i="55"/>
  <c r="D674" i="55" s="1"/>
  <c r="C781" i="55"/>
  <c r="D781" i="55" s="1"/>
  <c r="D111" i="51"/>
  <c r="D24" i="48"/>
  <c r="D47" i="48"/>
  <c r="D81" i="50"/>
  <c r="D9" i="48"/>
  <c r="C840" i="55"/>
  <c r="D840" i="55" s="1"/>
  <c r="C711" i="55"/>
  <c r="D711" i="55" s="1"/>
  <c r="D78" i="48"/>
  <c r="D75" i="51"/>
  <c r="D90" i="50"/>
  <c r="C867" i="55"/>
  <c r="D867" i="55" s="1"/>
  <c r="D101" i="50"/>
  <c r="D61" i="51"/>
  <c r="C851" i="55"/>
  <c r="D851" i="55" s="1"/>
  <c r="C805" i="55"/>
  <c r="D805" i="55" s="1"/>
  <c r="D60" i="48"/>
  <c r="C808" i="55"/>
  <c r="D808" i="55" s="1"/>
  <c r="C820" i="55"/>
  <c r="D820" i="55" s="1"/>
  <c r="C842" i="55"/>
  <c r="D842" i="55" s="1"/>
  <c r="D68" i="51"/>
  <c r="C784" i="55"/>
  <c r="D784" i="55" s="1"/>
  <c r="C759" i="55"/>
  <c r="D759" i="55" s="1"/>
  <c r="C804" i="55"/>
  <c r="D804" i="55" s="1"/>
  <c r="C859" i="55"/>
  <c r="D859" i="55" s="1"/>
  <c r="D151" i="51"/>
  <c r="C573" i="55"/>
  <c r="D573" i="55" s="1"/>
  <c r="D134" i="51"/>
  <c r="D30" i="48"/>
  <c r="D115" i="50"/>
  <c r="D156" i="51"/>
  <c r="D147" i="51"/>
  <c r="D48" i="48"/>
  <c r="D45" i="48"/>
  <c r="D35" i="50"/>
  <c r="D92" i="48"/>
  <c r="D7" i="48"/>
  <c r="D24" i="50"/>
  <c r="C836" i="55"/>
  <c r="D836" i="55" s="1"/>
  <c r="C768" i="55"/>
  <c r="D768" i="55" s="1"/>
  <c r="D78" i="50"/>
  <c r="C605" i="55"/>
  <c r="D605" i="55" s="1"/>
  <c r="D83" i="50"/>
  <c r="C653" i="55"/>
  <c r="D653" i="55" s="1"/>
  <c r="D72" i="48"/>
  <c r="D83" i="48"/>
  <c r="C728" i="55"/>
  <c r="D728" i="55" s="1"/>
  <c r="C833" i="55"/>
  <c r="D833" i="55" s="1"/>
  <c r="C800" i="55"/>
  <c r="D800" i="55" s="1"/>
  <c r="C792" i="55"/>
  <c r="D792" i="55" s="1"/>
  <c r="D38" i="48"/>
  <c r="D39" i="50"/>
  <c r="D84" i="51"/>
  <c r="C855" i="55"/>
  <c r="D855" i="55" s="1"/>
  <c r="C824" i="55"/>
  <c r="D824" i="55" s="1"/>
  <c r="C811" i="55"/>
  <c r="D811" i="55" s="1"/>
  <c r="D108" i="50"/>
  <c r="D106" i="48"/>
  <c r="D47" i="50"/>
  <c r="C828" i="55"/>
  <c r="D828" i="55" s="1"/>
  <c r="D85" i="48"/>
  <c r="D39" i="48"/>
  <c r="D116" i="50"/>
  <c r="D16" i="50"/>
  <c r="D99" i="50"/>
  <c r="C803" i="55"/>
  <c r="D803" i="55" s="1"/>
  <c r="C734" i="55"/>
  <c r="D734" i="55" s="1"/>
  <c r="D121" i="51"/>
  <c r="C758" i="55"/>
  <c r="D758" i="55" s="1"/>
  <c r="D104" i="50"/>
  <c r="D32" i="48"/>
  <c r="D92" i="50"/>
  <c r="D70" i="51"/>
  <c r="C586" i="55"/>
  <c r="D586" i="55" s="1"/>
  <c r="D62" i="50"/>
  <c r="D25" i="51"/>
  <c r="D22" i="48"/>
  <c r="D44" i="48"/>
  <c r="D12" i="50"/>
  <c r="D67" i="50"/>
  <c r="C668" i="55"/>
  <c r="D668" i="55" s="1"/>
  <c r="D67" i="51"/>
  <c r="D49" i="50"/>
  <c r="D94" i="48"/>
  <c r="C581" i="55"/>
  <c r="D581" i="55" s="1"/>
  <c r="C716" i="55"/>
  <c r="D716" i="55" s="1"/>
  <c r="D53" i="50"/>
  <c r="D78" i="51"/>
  <c r="D81" i="48"/>
  <c r="D91" i="48"/>
  <c r="C603" i="55"/>
  <c r="D603" i="55" s="1"/>
  <c r="D85" i="50"/>
  <c r="C780" i="55"/>
  <c r="D780" i="55" s="1"/>
  <c r="C720" i="55"/>
  <c r="D720" i="55" s="1"/>
  <c r="D12" i="51"/>
  <c r="D79" i="48"/>
  <c r="C698" i="55"/>
  <c r="D698" i="55" s="1"/>
  <c r="D69" i="50"/>
  <c r="D53" i="51"/>
  <c r="C769" i="55"/>
  <c r="D769" i="55" s="1"/>
  <c r="C660" i="55"/>
  <c r="D660" i="55" s="1"/>
  <c r="D57" i="50"/>
  <c r="D138" i="51"/>
  <c r="D9" i="50"/>
  <c r="C601" i="55"/>
  <c r="D601" i="55" s="1"/>
  <c r="C664" i="55"/>
  <c r="D664" i="55" s="1"/>
  <c r="D150" i="51"/>
  <c r="D12" i="48"/>
  <c r="D146" i="51"/>
  <c r="D46" i="48"/>
  <c r="D168" i="51"/>
  <c r="D99" i="48"/>
  <c r="D93" i="51"/>
  <c r="C702" i="55"/>
  <c r="D702" i="55" s="1"/>
  <c r="C583" i="55"/>
  <c r="D583" i="55" s="1"/>
  <c r="D85" i="51"/>
  <c r="D15" i="51"/>
  <c r="D49" i="48"/>
  <c r="D53" i="48"/>
  <c r="D36" i="48"/>
  <c r="C657" i="55"/>
  <c r="D657" i="55" s="1"/>
  <c r="D125" i="51"/>
  <c r="D37" i="48"/>
  <c r="D93" i="48"/>
  <c r="D20" i="48"/>
  <c r="D21" i="48"/>
  <c r="C609" i="55"/>
  <c r="D609" i="55" s="1"/>
  <c r="D31" i="48"/>
  <c r="D152" i="51"/>
  <c r="C685" i="55"/>
  <c r="D685" i="55" s="1"/>
  <c r="D65" i="51"/>
  <c r="D8" i="48"/>
  <c r="D56" i="51"/>
  <c r="D171" i="51"/>
  <c r="D82" i="48"/>
  <c r="L34" i="30"/>
  <c r="M34" i="30" s="1"/>
  <c r="C34" i="30" s="1" a="1"/>
  <c r="C34" i="30" s="1"/>
  <c r="D113" i="50"/>
  <c r="D173" i="51"/>
  <c r="C689" i="55"/>
  <c r="D689" i="55" s="1"/>
  <c r="C699" i="55"/>
  <c r="D699" i="55" s="1"/>
  <c r="D45" i="51"/>
  <c r="C636" i="55"/>
  <c r="D636" i="55" s="1"/>
  <c r="C838" i="55"/>
  <c r="D838" i="55" s="1"/>
  <c r="D81" i="51"/>
  <c r="D127" i="51"/>
  <c r="C675" i="55"/>
  <c r="D675" i="55" s="1"/>
  <c r="C634" i="55"/>
  <c r="D634" i="55" s="1"/>
  <c r="D128" i="51"/>
  <c r="D91" i="51"/>
  <c r="L35" i="30"/>
  <c r="M35" i="30" s="1"/>
  <c r="C35" i="30" s="1" a="1"/>
  <c r="C35" i="30" s="1"/>
  <c r="D89" i="51"/>
  <c r="D14" i="50"/>
  <c r="C676" i="55"/>
  <c r="D676" i="55" s="1"/>
  <c r="D82" i="51"/>
  <c r="D139" i="51"/>
  <c r="D43" i="50"/>
  <c r="D167" i="51"/>
  <c r="C654" i="55"/>
  <c r="D654" i="55" s="1"/>
  <c r="C627" i="55"/>
  <c r="D627" i="55" s="1"/>
  <c r="D41" i="51"/>
  <c r="D37" i="50"/>
  <c r="D117" i="51"/>
  <c r="D83" i="51"/>
  <c r="D105" i="51"/>
  <c r="M619" i="35"/>
  <c r="J619" i="35" s="1" a="1"/>
  <c r="J619" i="35" s="1"/>
  <c r="D619" i="35" s="1"/>
  <c r="C624" i="55" s="1"/>
  <c r="D624" i="55" s="1"/>
  <c r="D89" i="50"/>
  <c r="D77" i="51"/>
  <c r="D46" i="50"/>
  <c r="D118" i="50"/>
  <c r="D76" i="50"/>
  <c r="D148" i="51"/>
  <c r="D58" i="51"/>
  <c r="C695" i="55"/>
  <c r="D695" i="55" s="1"/>
  <c r="D17" i="51"/>
  <c r="C570" i="55"/>
  <c r="D570" i="55" s="1"/>
  <c r="C593" i="55"/>
  <c r="D593" i="55" s="1"/>
  <c r="C578" i="55"/>
  <c r="D578" i="55" s="1"/>
  <c r="C656" i="55"/>
  <c r="D656" i="55" s="1"/>
  <c r="D113" i="51"/>
  <c r="C658" i="55"/>
  <c r="D658" i="55" s="1"/>
  <c r="D50" i="51"/>
  <c r="D71" i="51"/>
  <c r="D170" i="51"/>
  <c r="C646" i="55"/>
  <c r="D646" i="55" s="1"/>
  <c r="C600" i="55"/>
  <c r="D600" i="55" s="1"/>
  <c r="D57" i="51"/>
  <c r="C613" i="55"/>
  <c r="D613" i="55" s="1"/>
  <c r="D60" i="51"/>
  <c r="D20" i="51"/>
  <c r="D69" i="51"/>
  <c r="C696" i="55"/>
  <c r="D696" i="55" s="1"/>
  <c r="D54" i="51"/>
  <c r="D37" i="51"/>
  <c r="C628" i="55"/>
  <c r="D628" i="55" s="1"/>
  <c r="C598" i="55"/>
  <c r="D598" i="55" s="1"/>
  <c r="D11" i="51"/>
  <c r="D35" i="51"/>
  <c r="D154" i="51"/>
  <c r="M675" i="35"/>
  <c r="J675" i="35" s="1" a="1"/>
  <c r="J675" i="35" s="1"/>
  <c r="D675" i="35" s="1"/>
  <c r="C680" i="55" s="1"/>
  <c r="D680" i="55" s="1"/>
  <c r="D31" i="51"/>
  <c r="D52" i="51"/>
  <c r="D66" i="51"/>
  <c r="D103" i="51"/>
  <c r="D120" i="51"/>
  <c r="D109" i="51"/>
  <c r="D119" i="51"/>
  <c r="C645" i="55"/>
  <c r="D645" i="55" s="1"/>
  <c r="C567" i="55"/>
  <c r="D567" i="55" s="1"/>
  <c r="D22" i="51"/>
  <c r="D124" i="51"/>
  <c r="D161" i="51"/>
  <c r="M591" i="35"/>
  <c r="J591" i="35" s="1" a="1"/>
  <c r="J591" i="35" s="1"/>
  <c r="D591" i="35" s="1"/>
  <c r="D42" i="51" s="1"/>
  <c r="D102" i="51"/>
  <c r="D48" i="51"/>
  <c r="D43" i="51"/>
  <c r="D129" i="51"/>
  <c r="D99" i="51"/>
  <c r="D158" i="51"/>
  <c r="D133" i="51"/>
  <c r="D95" i="51"/>
  <c r="D90" i="51"/>
  <c r="D145" i="51"/>
  <c r="C635" i="55"/>
  <c r="D635" i="55" s="1"/>
  <c r="O196" i="57"/>
  <c r="N196" i="57" s="1"/>
  <c r="O123" i="57"/>
  <c r="N123" i="57" s="1"/>
  <c r="A122" i="57"/>
  <c r="N122" i="57" s="1"/>
  <c r="C652" i="55"/>
  <c r="D652" i="55" s="1"/>
  <c r="D110" i="51"/>
  <c r="L31" i="30" l="1"/>
  <c r="M31" i="30" s="1"/>
  <c r="C31" i="30" s="1" a="1"/>
  <c r="C31" i="30" s="1"/>
  <c r="C479" i="55"/>
  <c r="D479" i="55" s="1"/>
  <c r="D85" i="49"/>
  <c r="F565" i="57" a="1"/>
  <c r="F565" i="57" s="1"/>
  <c r="F552" i="57" a="1"/>
  <c r="F552" i="57" s="1"/>
  <c r="F582" i="57" a="1"/>
  <c r="F582" i="57" s="1"/>
  <c r="F553" i="57" a="1"/>
  <c r="F553" i="57" s="1"/>
  <c r="F555" i="57" a="1"/>
  <c r="F555" i="57" s="1"/>
  <c r="F551" i="57" a="1"/>
  <c r="F551" i="57" s="1"/>
  <c r="F547" i="57" a="1"/>
  <c r="F547" i="57" s="1"/>
  <c r="F561" i="57" a="1"/>
  <c r="F561" i="57" s="1"/>
  <c r="F568" i="57" a="1"/>
  <c r="F568" i="57" s="1"/>
  <c r="F566" i="57" a="1"/>
  <c r="F566" i="57" s="1"/>
  <c r="F575" i="57" a="1"/>
  <c r="F575" i="57" s="1"/>
  <c r="F550" i="57" a="1"/>
  <c r="F550" i="57" s="1"/>
  <c r="F578" i="57" a="1"/>
  <c r="F578" i="57" s="1"/>
  <c r="F563" i="57" a="1"/>
  <c r="F563" i="57" s="1"/>
  <c r="F560" i="57" a="1"/>
  <c r="F560" i="57" s="1"/>
  <c r="F554" i="57" a="1"/>
  <c r="F554" i="57" s="1"/>
  <c r="F583" i="57" a="1"/>
  <c r="F583" i="57" s="1"/>
  <c r="F549" i="57" a="1"/>
  <c r="F549" i="57" s="1"/>
  <c r="F556" i="57" a="1"/>
  <c r="F556" i="57" s="1"/>
  <c r="F586" i="57" a="1"/>
  <c r="F586" i="57" s="1"/>
  <c r="F562" i="57" a="1"/>
  <c r="F562" i="57" s="1"/>
  <c r="F548" i="57" a="1"/>
  <c r="F548" i="57" s="1"/>
  <c r="F579" i="57" a="1"/>
  <c r="F579" i="57" s="1"/>
  <c r="F573" i="57" a="1"/>
  <c r="F573" i="57" s="1"/>
  <c r="F559" i="57" a="1"/>
  <c r="F559" i="57" s="1"/>
  <c r="F572" i="57" a="1"/>
  <c r="F572" i="57" s="1"/>
  <c r="F580" i="57" a="1"/>
  <c r="F580" i="57" s="1"/>
  <c r="F577" i="57" a="1"/>
  <c r="F577" i="57" s="1"/>
  <c r="F564" i="57" a="1"/>
  <c r="F564" i="57" s="1"/>
  <c r="F571" i="57" a="1"/>
  <c r="F571" i="57" s="1"/>
  <c r="F567" i="57" a="1"/>
  <c r="F567" i="57" s="1"/>
  <c r="F557" i="57" a="1"/>
  <c r="F557" i="57" s="1"/>
  <c r="F585" i="57" a="1"/>
  <c r="F585" i="57" s="1"/>
  <c r="F581" i="57" a="1"/>
  <c r="F581" i="57" s="1"/>
  <c r="G546" i="57" a="1"/>
  <c r="G546" i="57" s="1"/>
  <c r="G583" i="57" s="1" a="1"/>
  <c r="G583" i="57" s="1"/>
  <c r="F570" i="57" a="1"/>
  <c r="F570" i="57" s="1"/>
  <c r="F574" i="57" a="1"/>
  <c r="F574" i="57" s="1"/>
  <c r="F558" i="57" a="1"/>
  <c r="F558" i="57" s="1"/>
  <c r="F569" i="57" a="1"/>
  <c r="F569" i="57" s="1"/>
  <c r="F576" i="57" a="1"/>
  <c r="F576" i="57" s="1"/>
  <c r="L33" i="30"/>
  <c r="M33" i="30" s="1"/>
  <c r="C33" i="30" s="1" a="1"/>
  <c r="C33" i="30" s="1"/>
  <c r="D76" i="51"/>
  <c r="C422" i="36"/>
  <c r="C1094" i="55" s="1"/>
  <c r="D1094" i="55" s="1"/>
  <c r="C596" i="55"/>
  <c r="D596" i="55" s="1"/>
  <c r="D144" i="51"/>
  <c r="G559" i="57" l="1" a="1"/>
  <c r="G559" i="57" s="1"/>
  <c r="G576" i="57" a="1"/>
  <c r="G576" i="57" s="1"/>
  <c r="G564" i="57" a="1"/>
  <c r="G564" i="57" s="1"/>
  <c r="G574" i="57" a="1"/>
  <c r="G574" i="57" s="1"/>
  <c r="G582" i="57" a="1"/>
  <c r="G582" i="57" s="1"/>
  <c r="G575" i="57" a="1"/>
  <c r="G575" i="57" s="1"/>
  <c r="G563" i="57" a="1"/>
  <c r="G563" i="57" s="1"/>
  <c r="G581" i="57" a="1"/>
  <c r="G581" i="57" s="1"/>
  <c r="H546" i="57" a="1"/>
  <c r="H546" i="57" s="1"/>
  <c r="H583" i="57" s="1" a="1"/>
  <c r="H583" i="57" s="1"/>
  <c r="N583" i="57" s="1"/>
  <c r="G554" i="57" a="1"/>
  <c r="G554" i="57" s="1"/>
  <c r="G586" i="57" a="1"/>
  <c r="G586" i="57" s="1"/>
  <c r="G584" i="57" a="1"/>
  <c r="G584" i="57" s="1"/>
  <c r="G548" i="57" a="1"/>
  <c r="G548" i="57" s="1"/>
  <c r="G552" i="57" a="1"/>
  <c r="G552" i="57" s="1"/>
  <c r="G553" i="57" a="1"/>
  <c r="G553" i="57" s="1"/>
  <c r="G565" i="57" a="1"/>
  <c r="G565" i="57" s="1"/>
  <c r="G568" i="57" a="1"/>
  <c r="G568" i="57" s="1"/>
  <c r="G578" i="57" a="1"/>
  <c r="G578" i="57" s="1"/>
  <c r="G569" i="57" a="1"/>
  <c r="G569" i="57" s="1"/>
  <c r="G567" i="57" a="1"/>
  <c r="G567" i="57" s="1"/>
  <c r="G580" i="57" a="1"/>
  <c r="G580" i="57" s="1"/>
  <c r="G558" i="57" a="1"/>
  <c r="G558" i="57" s="1"/>
  <c r="G573" i="57" a="1"/>
  <c r="G573" i="57" s="1"/>
  <c r="G560" i="57" a="1"/>
  <c r="G560" i="57" s="1"/>
  <c r="G550" i="57" a="1"/>
  <c r="G550" i="57" s="1"/>
  <c r="G577" i="57" a="1"/>
  <c r="G577" i="57" s="1"/>
  <c r="G566" i="57" a="1"/>
  <c r="G566" i="57" s="1"/>
  <c r="G579" i="57" a="1"/>
  <c r="G579" i="57" s="1"/>
  <c r="G556" i="57" a="1"/>
  <c r="G556" i="57" s="1"/>
  <c r="G571" i="57" a="1"/>
  <c r="G571" i="57" s="1"/>
  <c r="G549" i="57" a="1"/>
  <c r="G549" i="57" s="1"/>
  <c r="G562" i="57" a="1"/>
  <c r="G562" i="57" s="1"/>
  <c r="G572" i="57" a="1"/>
  <c r="G572" i="57" s="1"/>
  <c r="G555" i="57" a="1"/>
  <c r="G555" i="57" s="1"/>
  <c r="G547" i="57" a="1"/>
  <c r="G547" i="57" s="1"/>
  <c r="G585" i="57" a="1"/>
  <c r="G585" i="57" s="1"/>
  <c r="G557" i="57" a="1"/>
  <c r="G557" i="57" s="1"/>
  <c r="G570" i="57" a="1"/>
  <c r="G570" i="57" s="1"/>
  <c r="G551" i="57" a="1"/>
  <c r="G551" i="57" s="1"/>
  <c r="G561" i="57" a="1"/>
  <c r="G561" i="57" s="1"/>
  <c r="H580" i="57" l="1" a="1"/>
  <c r="H580" i="57" s="1"/>
  <c r="N580" i="57" s="1"/>
  <c r="H549" i="57" a="1"/>
  <c r="H549" i="57" s="1"/>
  <c r="N549" i="57" s="1"/>
  <c r="H555" i="57" a="1"/>
  <c r="H555" i="57" s="1"/>
  <c r="N555" i="57" s="1"/>
  <c r="H563" i="57" a="1"/>
  <c r="H563" i="57" s="1"/>
  <c r="N563" i="57" s="1"/>
  <c r="H581" i="57" a="1"/>
  <c r="H581" i="57" s="1"/>
  <c r="N581" i="57" s="1"/>
  <c r="H574" i="57" a="1"/>
  <c r="H574" i="57" s="1"/>
  <c r="N574" i="57" s="1"/>
  <c r="H558" i="57" a="1"/>
  <c r="H558" i="57" s="1"/>
  <c r="N558" i="57" s="1"/>
  <c r="H552" i="57" a="1"/>
  <c r="H552" i="57" s="1"/>
  <c r="N552" i="57" s="1"/>
  <c r="N546" i="57"/>
  <c r="H572" i="57" a="1"/>
  <c r="H572" i="57" s="1"/>
  <c r="N572" i="57" s="1"/>
  <c r="H568" i="57" a="1"/>
  <c r="H568" i="57" s="1"/>
  <c r="N568" i="57" s="1"/>
  <c r="H579" i="57" a="1"/>
  <c r="H579" i="57" s="1"/>
  <c r="N579" i="57" s="1"/>
  <c r="H564" i="57" a="1"/>
  <c r="H564" i="57" s="1"/>
  <c r="N564" i="57" s="1"/>
  <c r="H547" i="57" a="1"/>
  <c r="H547" i="57" s="1"/>
  <c r="N547" i="57" s="1"/>
  <c r="H582" i="57" a="1"/>
  <c r="H582" i="57" s="1"/>
  <c r="N582" i="57" s="1"/>
  <c r="H585" i="57" a="1"/>
  <c r="H585" i="57" s="1"/>
  <c r="N585" i="57" s="1"/>
  <c r="H575" i="57" a="1"/>
  <c r="H575" i="57" s="1"/>
  <c r="N575" i="57" s="1"/>
  <c r="H551" i="57" a="1"/>
  <c r="H551" i="57" s="1"/>
  <c r="N551" i="57" s="1"/>
  <c r="H560" i="57" a="1"/>
  <c r="H560" i="57" s="1"/>
  <c r="N560" i="57" s="1"/>
  <c r="H557" i="57" a="1"/>
  <c r="H557" i="57" s="1"/>
  <c r="N557" i="57" s="1"/>
  <c r="H559" i="57" a="1"/>
  <c r="H559" i="57" s="1"/>
  <c r="N559" i="57" s="1"/>
  <c r="H556" i="57" a="1"/>
  <c r="H556" i="57" s="1"/>
  <c r="N556" i="57" s="1"/>
  <c r="H566" i="57" a="1"/>
  <c r="H566" i="57" s="1"/>
  <c r="N566" i="57" s="1"/>
  <c r="H578" i="57" a="1"/>
  <c r="H578" i="57" s="1"/>
  <c r="N578" i="57" s="1"/>
  <c r="H569" i="57" a="1"/>
  <c r="H569" i="57" s="1"/>
  <c r="N569" i="57" s="1"/>
  <c r="H571" i="57" a="1"/>
  <c r="H571" i="57" s="1"/>
  <c r="N571" i="57" s="1"/>
  <c r="H553" i="57" a="1"/>
  <c r="H553" i="57" s="1"/>
  <c r="N553" i="57" s="1"/>
  <c r="H573" i="57" a="1"/>
  <c r="H573" i="57" s="1"/>
  <c r="N573" i="57" s="1"/>
  <c r="H584" i="57" a="1"/>
  <c r="H584" i="57" s="1"/>
  <c r="N584" i="57" s="1"/>
  <c r="H562" i="57" a="1"/>
  <c r="H562" i="57" s="1"/>
  <c r="N562" i="57" s="1"/>
  <c r="H576" i="57" a="1"/>
  <c r="H576" i="57" s="1"/>
  <c r="N576" i="57" s="1"/>
  <c r="H567" i="57" a="1"/>
  <c r="H567" i="57" s="1"/>
  <c r="N567" i="57" s="1"/>
  <c r="H570" i="57" a="1"/>
  <c r="H570" i="57" s="1"/>
  <c r="N570" i="57" s="1"/>
  <c r="H550" i="57" a="1"/>
  <c r="H550" i="57" s="1"/>
  <c r="N550" i="57" s="1"/>
  <c r="H586" i="57" a="1"/>
  <c r="H586" i="57" s="1"/>
  <c r="N586" i="57" s="1"/>
  <c r="H554" i="57" a="1"/>
  <c r="H554" i="57" s="1"/>
  <c r="N554" i="57" s="1"/>
  <c r="H577" i="57" a="1"/>
  <c r="H577" i="57" s="1"/>
  <c r="N577" i="57" s="1"/>
  <c r="H565" i="57" a="1"/>
  <c r="H565" i="57" s="1"/>
  <c r="N565" i="57" s="1"/>
  <c r="H561" i="57" a="1"/>
  <c r="H561" i="57" s="1"/>
  <c r="N561" i="57" s="1"/>
  <c r="H548" i="57" a="1"/>
  <c r="H548" i="57" s="1"/>
  <c r="N548" i="5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Bennett, Jodi</author>
  </authors>
  <commentList>
    <comment ref="E13" authorId="0" shapeId="0" xr:uid="{E82E35CD-F321-4C2C-A4A6-EC3272FC3833}">
      <text>
        <r>
          <rPr>
            <b/>
            <sz val="9"/>
            <color indexed="81"/>
            <rFont val="Tahoma"/>
            <family val="2"/>
          </rPr>
          <t>Bennett, Jodi:</t>
        </r>
        <r>
          <rPr>
            <sz val="9"/>
            <color indexed="81"/>
            <rFont val="Tahoma"/>
            <family val="2"/>
          </rPr>
          <t xml:space="preserve">
Change to: The date at which the scheme is expected to reach significant maturity. This is defined by reference to duration years as defined by TPR.</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<sst xmlns="http://schemas.openxmlformats.org/spreadsheetml/2006/main" count="10388" uniqueCount="4785">
  <si>
    <t xml:space="preserve">
Table of contents
</t>
  </si>
  <si>
    <t xml:space="preserve">
About this worksheet
</t>
  </si>
  <si>
    <t>This statement of strategy spreadsheet collects data from the valuation that is required to complete your scheme's statement of strategy.
There are six tables on this worksheet, including this one. Each table is positioned one below the other with blank rows between them.
There are two columns on this worksheet. Column A contains headings for each section and links to the worksheets within each section. Column B contains brief descriptions of those worksheets.</t>
  </si>
  <si>
    <t xml:space="preserve">
</t>
  </si>
  <si>
    <t xml:space="preserve">
General
</t>
  </si>
  <si>
    <r>
      <t xml:space="preserve">Worksheet link </t>
    </r>
    <r>
      <rPr>
        <b/>
        <sz val="12"/>
        <color theme="0"/>
        <rFont val="Arial"/>
        <family val="2"/>
      </rPr>
      <t>(General information)</t>
    </r>
  </si>
  <si>
    <r>
      <t xml:space="preserve">About the worksheet </t>
    </r>
    <r>
      <rPr>
        <b/>
        <sz val="12"/>
        <color theme="0"/>
        <rFont val="Arial"/>
        <family val="2"/>
      </rPr>
      <t>(General information)</t>
    </r>
  </si>
  <si>
    <t>Status of sheet</t>
  </si>
  <si>
    <t>Completion Status</t>
  </si>
  <si>
    <t>Status Location</t>
  </si>
  <si>
    <t>Sheet</t>
  </si>
  <si>
    <t>Questions</t>
  </si>
  <si>
    <t>Not Ans Required</t>
  </si>
  <si>
    <t>Required</t>
  </si>
  <si>
    <t>Not Answered</t>
  </si>
  <si>
    <t>Answered (non optional)</t>
  </si>
  <si>
    <t>No Errors</t>
  </si>
  <si>
    <t>Errors</t>
  </si>
  <si>
    <t xml:space="preserve">Optional </t>
  </si>
  <si>
    <t>Optional Not Answered</t>
  </si>
  <si>
    <t>Optional Answered</t>
  </si>
  <si>
    <t>Start here</t>
  </si>
  <si>
    <t>Start entering data here. Questions on this worksheet will affect the questions you are asked later in this worksheet. This worksheet includes important scheme dates, general membership and deficit information, and submission track information.</t>
  </si>
  <si>
    <t>Blank row. Table follows.</t>
  </si>
  <si>
    <t>Actuarial information</t>
  </si>
  <si>
    <r>
      <t xml:space="preserve">Worksheet link </t>
    </r>
    <r>
      <rPr>
        <b/>
        <sz val="12"/>
        <color theme="0"/>
        <rFont val="Arial"/>
        <family val="2"/>
      </rPr>
      <t>(Actuarial information)</t>
    </r>
  </si>
  <si>
    <r>
      <t xml:space="preserve">About the worksheet </t>
    </r>
    <r>
      <rPr>
        <b/>
        <sz val="12"/>
        <color theme="0"/>
        <rFont val="Arial"/>
        <family val="2"/>
      </rPr>
      <t>(Actuarial information)</t>
    </r>
  </si>
  <si>
    <t>Actuarial information overview</t>
  </si>
  <si>
    <t>An overview of the worksheets included in the 'Actuarial information' section.</t>
  </si>
  <si>
    <t>Not applicable</t>
  </si>
  <si>
    <t>Funding and investment strategy</t>
  </si>
  <si>
    <t xml:space="preserve">Data and information relating to the scheme's long-term funding and investment strategy and the trustees’ assessment of it. </t>
  </si>
  <si>
    <t>Summary of actuarial valuation</t>
  </si>
  <si>
    <t>A summary of the funding position of the scheme as set out in the actuarial valuation.</t>
  </si>
  <si>
    <t>Summary of recovery plan</t>
  </si>
  <si>
    <t xml:space="preserve">For schemes in deficit, data relating to the scheme’s recovery plan. </t>
  </si>
  <si>
    <t>Deficit repair contributions</t>
  </si>
  <si>
    <t>For schemes in deficit, the annual deficit repair contributions relating to the recovery plan.</t>
  </si>
  <si>
    <t>Discount rates</t>
  </si>
  <si>
    <t xml:space="preserve">Data and information about the discount rate methodology used to calculate the technical provisions. </t>
  </si>
  <si>
    <t>Other assumptions</t>
  </si>
  <si>
    <t>Data and information about the other assumptions used to calculate the technical provisions and the low dependency liabilities.</t>
  </si>
  <si>
    <t>Scheme assumptions over the next 40 years</t>
  </si>
  <si>
    <t>The scheme’s term-dependant financial assumptions over the next 40 years used to calculate the technical provisions and the low dependency liabilities.</t>
  </si>
  <si>
    <t>Scheme benefit cash flow</t>
  </si>
  <si>
    <t xml:space="preserve">Information about the scheme's cash flow separation. </t>
  </si>
  <si>
    <t>Annual scheme cash flows</t>
  </si>
  <si>
    <t>Scheme benefit cash flows over the next 40  years based on the assumptions underlying the low dependency basis but not discounted.</t>
  </si>
  <si>
    <t>Investment information</t>
  </si>
  <si>
    <r>
      <t xml:space="preserve">Worksheet link </t>
    </r>
    <r>
      <rPr>
        <b/>
        <sz val="12"/>
        <color theme="0"/>
        <rFont val="Arial"/>
        <family val="2"/>
      </rPr>
      <t>(Investment information)</t>
    </r>
  </si>
  <si>
    <r>
      <t xml:space="preserve">About the worksheet </t>
    </r>
    <r>
      <rPr>
        <b/>
        <sz val="12"/>
        <color theme="0"/>
        <rFont val="Arial"/>
        <family val="2"/>
      </rPr>
      <t>(Investment information)</t>
    </r>
  </si>
  <si>
    <t>Investment information overview</t>
  </si>
  <si>
    <t>An overview of the worksheets included in the ‘Investment information' section.</t>
  </si>
  <si>
    <t>Current level of investment risk</t>
  </si>
  <si>
    <t xml:space="preserve">Data and information related to the current level of investment risk in the scheme’s notional investment allocation. </t>
  </si>
  <si>
    <t>Liquidity</t>
  </si>
  <si>
    <t>Data and information related to the scheme’s liquidity.</t>
  </si>
  <si>
    <t>Risk level in journey plan</t>
  </si>
  <si>
    <t>Data and information about the level of investment risk within the scheme’s journey plan from the current notional investment allocation to the intended allocation at the relevant date.</t>
  </si>
  <si>
    <t>Covenant information</t>
  </si>
  <si>
    <r>
      <t xml:space="preserve">Worksheet link </t>
    </r>
    <r>
      <rPr>
        <b/>
        <sz val="12"/>
        <color theme="0"/>
        <rFont val="Arial"/>
        <family val="2"/>
      </rPr>
      <t>(Covenant information)</t>
    </r>
  </si>
  <si>
    <r>
      <t xml:space="preserve">About the worksheet </t>
    </r>
    <r>
      <rPr>
        <b/>
        <sz val="12"/>
        <color theme="0"/>
        <rFont val="Arial"/>
        <family val="2"/>
      </rPr>
      <t>(Covenant information)</t>
    </r>
  </si>
  <si>
    <t>Covenant information overview</t>
  </si>
  <si>
    <t>An overview of the worksheets included in the 'Covenant information' section.</t>
  </si>
  <si>
    <t>Covenant summary information</t>
  </si>
  <si>
    <t>Summary information and data relating to the scheme’s employer covenant.</t>
  </si>
  <si>
    <t>Employer cash flow and liquid assets</t>
  </si>
  <si>
    <t>Data and information relating to the employer cash flow and liquid assets.</t>
  </si>
  <si>
    <t>Guarantees</t>
  </si>
  <si>
    <t xml:space="preserve">Data and information about guarantees which the scheme relies on to take funding and investment risk above what the employer can support.  </t>
  </si>
  <si>
    <t>Securities</t>
  </si>
  <si>
    <t xml:space="preserve">Data and information about securities which the scheme relies on to take funding and investment risk above what the employer can support. </t>
  </si>
  <si>
    <t>Other contingent assets</t>
  </si>
  <si>
    <t>Data and information about other contingent assets which the scheme relies on to take funding and investment risk above what the employer can support.</t>
  </si>
  <si>
    <t>Asset-backed contributions (ABCs)</t>
  </si>
  <si>
    <t xml:space="preserve">Data and information about any asset-backed contribution arrangements the scheme is party to. </t>
  </si>
  <si>
    <t>ABC income stream</t>
  </si>
  <si>
    <t>The expected future income steam for the asset-backed contributions.</t>
  </si>
  <si>
    <t>Review and prepare a statement of strategy</t>
  </si>
  <si>
    <t>Error report</t>
  </si>
  <si>
    <t xml:space="preserve">
A report identifying any errors on the spreadsheet to be reconciled.  
</t>
  </si>
  <si>
    <t>Statement of strategy</t>
  </si>
  <si>
    <t xml:space="preserve">A worksheet to print your statement of strategy, share it with stakeholders and get it signed off by the chair of trustees. </t>
  </si>
  <si>
    <t xml:space="preserve">
Start here
</t>
  </si>
  <si>
    <t xml:space="preserve">
</t>
  </si>
  <si>
    <t xml:space="preserve">
Help to complete this worksheet
</t>
  </si>
  <si>
    <r>
      <t xml:space="preserve">This worksheet collects the first set of data and information required to complete your statement of strategy.
There are four tables on the worksheet, including this one. Each table is positioned below the other with blank rows between them.
Columns on this worksheet:
-	 A: the unique question number.
-	 B: the question.
-	 C: the answer.
-	 D: an error message will appear here if there has been an error.
For tables 1 and 2:
-	 E: a place to annotate questions and answers for those checking the spreadsheet. This is not for The Pensions Regulator (TPR), and you must delete the notes from the final worksheet before submitting the spreadsheet.
For table 3:
-	 E: guidance on how to answer the question.
-	 F: a place to annotate questions and answers for those checking the spreadsheet. This is not for The Pensions Regulator (TPR), and you must delete the notes from the final worksheet before submitting the spreadsheet.
The answers you give on this worksheet will determine the questions you are asked in later worksheets. Therefore, answer the questions on this worksheet first.
</t>
    </r>
    <r>
      <rPr>
        <b/>
        <sz val="12"/>
        <rFont val="Arial"/>
        <family val="2"/>
      </rPr>
      <t>Before you start</t>
    </r>
    <r>
      <rPr>
        <sz val="12"/>
        <rFont val="Arial"/>
        <family val="2"/>
      </rPr>
      <t xml:space="preserve">
Ensure the Workbook Calculation setting is automatic before you start completing the spreadsheet.
1.	 Select File &gt; Option.
2.	 Select Formulas.
3.	 Under Workbook Calculation, select Automatic.
You should download the spreadsheet and complete it in the Excel desktop application. Do not use the web version of Excel.</t>
    </r>
  </si>
  <si>
    <t>Blank row. Table follows</t>
  </si>
  <si>
    <t>About this data file</t>
  </si>
  <si>
    <t xml:space="preserve">
ID
</t>
  </si>
  <si>
    <t>Question</t>
  </si>
  <si>
    <t>Answer</t>
  </si>
  <si>
    <t>Error</t>
  </si>
  <si>
    <t>Internal review (not for TPR use)</t>
  </si>
  <si>
    <t>SH 1.0</t>
  </si>
  <si>
    <t>SH 2.0</t>
  </si>
  <si>
    <t>SH 3.0</t>
  </si>
  <si>
    <t>For scheme valuations with an effective date from 22 September 2024</t>
  </si>
  <si>
    <t>SH 4.0</t>
  </si>
  <si>
    <t>SH 5.0</t>
  </si>
  <si>
    <t>Chair of trustees</t>
  </si>
  <si>
    <t>SH 6.0</t>
  </si>
  <si>
    <t>SH 7.0</t>
  </si>
  <si>
    <t xml:space="preserve">
Details
</t>
  </si>
  <si>
    <t>Guidance</t>
  </si>
  <si>
    <t>SH 8.0</t>
  </si>
  <si>
    <t>SH 9.0</t>
  </si>
  <si>
    <t>SH 10.0</t>
  </si>
  <si>
    <t>SH 11.0</t>
  </si>
  <si>
    <t>No, the scheme does not meet the 'small scheme' definition</t>
  </si>
  <si>
    <t>SH 12.0</t>
  </si>
  <si>
    <t>In surplus</t>
  </si>
  <si>
    <t>SH 13.0</t>
  </si>
  <si>
    <t>Bespoke</t>
  </si>
  <si>
    <t>SH 14.0</t>
  </si>
  <si>
    <t>SH 15.0</t>
  </si>
  <si>
    <t>Yes, the scheme meets the 'Fast Track low-risk scheme' requirements</t>
  </si>
  <si>
    <t>Worksheet Completion Check</t>
  </si>
  <si>
    <t xml:space="preserve">
Have you completed this worksheet?
</t>
  </si>
  <si>
    <t xml:space="preserve">
Actuarial information overview
</t>
  </si>
  <si>
    <t>This section collects the actuarial information and data from the valuation that is required to complete your scheme's statement of strategy.
There are two tables on this worksheet. Each table is positioned one below the other with blank rows between them.
Column A contains links to the nine worksheets in this section. Column B contains brief descriptions of those worksheets.
You should work through each worksheet in sequence (from left to right). Questions you answer earlier in the section will determine the questions you are asked later.</t>
  </si>
  <si>
    <t>Actuarial information contents</t>
  </si>
  <si>
    <t>Worksheet link</t>
  </si>
  <si>
    <t>About the worksheet</t>
  </si>
  <si>
    <t xml:space="preserve">
Funding and investment strategy
</t>
  </si>
  <si>
    <t>This worksheet collects data relating to the long-term funding strategy and the trustees’ assessment of it.
There are six tables on this worksheet, including this one. Each table is positioned one below the other with blank rows between them. 
Columns on this worksheet:
- A: the unique question number.
- B: the question.
- C: the answer.
- D: an error message appears here if there has been an error.
- E: guidance on how to answer the question.
- F: a place for you to annotate questions and answers for those checking the spreadsheet. This is not for The Pensions Regulator (TPR), and you must delete the notes from the final worksheet before submitting the spreadsheet.
Work through questions in sequence. Questions you answer earlier in the worksheet will determine the questions you are asked later.</t>
  </si>
  <si>
    <t xml:space="preserve">
Estimate of scheme maturity and evidence for how that estimate will change
</t>
  </si>
  <si>
    <t>FIS 1.0</t>
  </si>
  <si>
    <t>FIS 2.0</t>
  </si>
  <si>
    <t>Yes, the scheme is open to accrual</t>
  </si>
  <si>
    <t>FIS 3.0</t>
  </si>
  <si>
    <t>FIS 4.0</t>
  </si>
  <si>
    <t>FIS 5.0</t>
  </si>
  <si>
    <t>Relevant dates</t>
  </si>
  <si>
    <t>FIS 6.0</t>
  </si>
  <si>
    <t>No, not all active members belong both to a section that provides cash balance benefits and a section which is a collective money purchase scheme</t>
  </si>
  <si>
    <t>FIS 7.0</t>
  </si>
  <si>
    <t>FIS 8.0</t>
  </si>
  <si>
    <t>Funding journey plan</t>
  </si>
  <si>
    <t>FIS 9.0</t>
  </si>
  <si>
    <t>FIS 10.0</t>
  </si>
  <si>
    <t>FIS 11.0</t>
  </si>
  <si>
    <t>Yes, there is a plan to allocate surplus investments at the relevant date in a different way to those that relate to the minimum funding level</t>
  </si>
  <si>
    <t>FIS 12.0</t>
  </si>
  <si>
    <t>FIS 13.0</t>
  </si>
  <si>
    <t>FIS 14.0</t>
  </si>
  <si>
    <t>Long term objective</t>
  </si>
  <si>
    <t>FIS 15.0</t>
  </si>
  <si>
    <t>Trustee assessment of the funding and investment strategy</t>
  </si>
  <si>
    <t>FIS 16.0</t>
  </si>
  <si>
    <t>Yes, the rates of contributions are determined unilaterally by the trustees and only the trustees can reduce those rates or suspend payment of contributions</t>
  </si>
  <si>
    <t>FIS 17.0</t>
  </si>
  <si>
    <t>FIS 18.0</t>
  </si>
  <si>
    <t>FIS 19.0</t>
  </si>
  <si>
    <t>FIS 20.0</t>
  </si>
  <si>
    <t>FIS 21.0</t>
  </si>
  <si>
    <t>FIS 22.0</t>
  </si>
  <si>
    <t>Yes, there are significant past decisions relevant to the funding and investment strategy</t>
  </si>
  <si>
    <t xml:space="preserve">
We'll need to know the answer to this question for the purposes of asking for the right information and providing the correct narrative in the statement of strategy
</t>
  </si>
  <si>
    <t>FIS 23.0</t>
  </si>
  <si>
    <t xml:space="preserve">
We would expect to see narrative here where the funding and investment strategy is not consistent with previous funding and investments strategies. Trustees should describe significant past decisions which have impacted the funding and investment strategy, whether positively or negatively. This should include why the decision was justified and considered to be in the best interests of members, and any lessons which have been learnt as a result of these significant past decisions.
</t>
  </si>
  <si>
    <t xml:space="preserve">
Summary of actuarial valuation
</t>
  </si>
  <si>
    <t xml:space="preserve"> 
Help to complete this worksheet
</t>
  </si>
  <si>
    <t xml:space="preserve">
This worksheet collects data relating to the summary of the funding position of the scheme as set out in the actuarial valuation.
There are eight tables on this worksheet, including this one. Each table is positioned one below the other with blank rows between them.
Columns on this worksheet:
- A: the unique question number.
- B: the question.
- C: the answer.
- D: an error message appears here if there has been an error.
- E: guidance on how to answer the question.
- F: a place for you to annotate questions and answers for those checking the spreadsheet. This is not for The Pensions Regulator (TPR), and you must delete the notes from the final worksheet before submitting the spreadsheet.
Work through questions in sequence. Questions you answer earlier in the worksheet will determine the questions you are asked later.
</t>
  </si>
  <si>
    <t>SAV 1.0</t>
  </si>
  <si>
    <t>No, the scheme does not have any defined contributions (DC) liabilities or DC additional voluntary contributions (AVC) that have been included in the actuarial valuation</t>
  </si>
  <si>
    <t>SAV 2.0</t>
  </si>
  <si>
    <t>Yes, the valuation includes cash balance liabilities</t>
  </si>
  <si>
    <t>Technical provisions basis</t>
  </si>
  <si>
    <t>SAV 3.0</t>
  </si>
  <si>
    <t>SAV 4.0</t>
  </si>
  <si>
    <t>SAV 5.0</t>
  </si>
  <si>
    <t>SAV 6.0</t>
  </si>
  <si>
    <t>SAV 7.0</t>
  </si>
  <si>
    <t>SAV 8.0</t>
  </si>
  <si>
    <t>SAV 9.0</t>
  </si>
  <si>
    <t>SAV 10.0</t>
  </si>
  <si>
    <t>SAV 11.0</t>
  </si>
  <si>
    <t>SAV 12.0</t>
  </si>
  <si>
    <t>Future service accrual</t>
  </si>
  <si>
    <t>SAV 13.0</t>
  </si>
  <si>
    <t>SAV 14.0</t>
  </si>
  <si>
    <t>Low dependency basis</t>
  </si>
  <si>
    <t>SAV 15.0</t>
  </si>
  <si>
    <t>SAV 16.0</t>
  </si>
  <si>
    <t>SAV 17.0</t>
  </si>
  <si>
    <t>SAV 18.0</t>
  </si>
  <si>
    <t>SAV 19.0</t>
  </si>
  <si>
    <t>SAV 20.0</t>
  </si>
  <si>
    <t>SAV 21.0</t>
  </si>
  <si>
    <t>SAV 22.0</t>
  </si>
  <si>
    <t>SAV 23.0</t>
  </si>
  <si>
    <t>SAV 24.0</t>
  </si>
  <si>
    <t>Solvency basis</t>
  </si>
  <si>
    <t>SAV 25.0</t>
  </si>
  <si>
    <t>SAV 26.0</t>
  </si>
  <si>
    <t>SAV 27.0</t>
  </si>
  <si>
    <t>SAV 28.0</t>
  </si>
  <si>
    <t>SAV 29.0</t>
  </si>
  <si>
    <t>SAV 30.0</t>
  </si>
  <si>
    <t>SAV 31.0</t>
  </si>
  <si>
    <t>SAV 32.0</t>
  </si>
  <si>
    <t>SAV 33.0</t>
  </si>
  <si>
    <t>SAV 34.0</t>
  </si>
  <si>
    <t>Additional comments</t>
  </si>
  <si>
    <t>SAV 35.0</t>
  </si>
  <si>
    <t>Valuation results - sensitivities to inflation</t>
  </si>
  <si>
    <t>SAV 36.0</t>
  </si>
  <si>
    <t>SAV 37.0</t>
  </si>
  <si>
    <t>SAV 38.0</t>
  </si>
  <si>
    <t xml:space="preserve">
Summary of recovery plan
</t>
  </si>
  <si>
    <t xml:space="preserve">
This worksheet collects data relating to the recovery plan from schemes which are in deficit.
There are two tables on this worksheet, including this one. Each table is positioned one below the other with blank rows between them.
Columns on this worksheet:
- A: the unique question number.
- B: the question.
- C: the answer.
- D: an error message appears here if there has been an error.
- E: guidance on how to answer the question.
- F: a place for you to annotate questions and answers for those checking the spreadsheet. This is not for The Pensions Regulator (TPR), and you must delete the notes from the final worksheet before submitting the spreadsheet.
Work through questions in sequence. Questions you answer earlier in the worksheet will determine the questions you are asked later.
</t>
  </si>
  <si>
    <t>SRP 1.0</t>
  </si>
  <si>
    <t>SRP 2.0</t>
  </si>
  <si>
    <t>SRP 3.0</t>
  </si>
  <si>
    <t>SRP 4.0</t>
  </si>
  <si>
    <t>Margin over gilts</t>
  </si>
  <si>
    <t>SRP 5.0</t>
  </si>
  <si>
    <t>SRP 6.0</t>
  </si>
  <si>
    <t>SRP 7.0</t>
  </si>
  <si>
    <t>Yes, allowance has been made for post-valuation experience</t>
  </si>
  <si>
    <t>SRP 8.0</t>
  </si>
  <si>
    <t xml:space="preserve">
Deficit repair contributions
</t>
  </si>
  <si>
    <t xml:space="preserve">
This worksheet collects data relating to the annual deficit repair contributions relating to the recovery plan from schemes which are in deficit.
There are two tables on this worksheet, including this one. Each table is positioned one below the other with blank rows between them.
Row 5 contains the question in column A and the currency in column C.
Row 6 contains the titles for each column, except for column D which contains the guidance for every question.
Columns for the rest of the worksheet:
- A: the unique question number.
- B: the year.
- C: the answer.
- D: an error message appears here if there has been an error.
- E: a place to annotate questions and answers for those checking the spreadsheet. This is not for The Pensions Regulator (TPR), and you must delete the notes from the final worksheet before submitting the spreadsheet.
</t>
  </si>
  <si>
    <t>What are the annual deficit repair contributions for each year for the first 20 years of the plan and the total thereafter?</t>
  </si>
  <si>
    <t>(£)</t>
  </si>
  <si>
    <t>DRC 1.0</t>
  </si>
  <si>
    <t>DRC 2.0</t>
  </si>
  <si>
    <t>DRC 3.0</t>
  </si>
  <si>
    <t>DRC 4.0</t>
  </si>
  <si>
    <t>DRC 5.0</t>
  </si>
  <si>
    <t>DRC 6.0</t>
  </si>
  <si>
    <t>DRC 7.0</t>
  </si>
  <si>
    <t>DRC 8.0</t>
  </si>
  <si>
    <t>DRC 9.0</t>
  </si>
  <si>
    <t>DRC 10.0</t>
  </si>
  <si>
    <t>DRC 11.0</t>
  </si>
  <si>
    <t>DRC 12.0</t>
  </si>
  <si>
    <t>DRC 13.0</t>
  </si>
  <si>
    <t>DRC 14.0</t>
  </si>
  <si>
    <t>DRC 15.0</t>
  </si>
  <si>
    <t>DRC 16.0</t>
  </si>
  <si>
    <t>DRC 17.0</t>
  </si>
  <si>
    <t>DRC 18.0</t>
  </si>
  <si>
    <t>DRC 19.0</t>
  </si>
  <si>
    <t>DRC 20.0</t>
  </si>
  <si>
    <t>DRC 21.0</t>
  </si>
  <si>
    <t xml:space="preserve">
Discount rates
</t>
  </si>
  <si>
    <t>This worksheet collects data and information relating to the discount rates used to calculate the technical provisions and low dependency liabilities.
There are two tables on this worksheet, including this one. Each table is positioned one below the other with blank rows between them.
Columns on this worksheet:
- A: the unique question number.
- B: the question.
- C: the answer.
- D: an error message appears here if there has been an error.
- E: guidance on how to answer the question.
- F: a place for you to annotate questions and answers for those checking the spreadsheet. This is not for The Pensions Regulator (TPR), and you must delete the notes from the final worksheet before submitting the spreadsheet.
Work through questions in sequence. Questions you answer earlier in the worksheet will determine the questions you are asked later.</t>
  </si>
  <si>
    <t>Methodology, yield curve, and change over time</t>
  </si>
  <si>
    <t>DR 1.0</t>
  </si>
  <si>
    <t>Spot rate</t>
  </si>
  <si>
    <t>DR 2.0</t>
  </si>
  <si>
    <t>Horizon method</t>
  </si>
  <si>
    <t>DR 3.0</t>
  </si>
  <si>
    <t>DR 4.0</t>
  </si>
  <si>
    <t>DR 5.0</t>
  </si>
  <si>
    <t>Other</t>
  </si>
  <si>
    <t>DR 6.0</t>
  </si>
  <si>
    <t>DR 7.0</t>
  </si>
  <si>
    <t>DR 8.0</t>
  </si>
  <si>
    <t>DR 9.0</t>
  </si>
  <si>
    <t>DR 10.0</t>
  </si>
  <si>
    <t>DR 11.0</t>
  </si>
  <si>
    <t>DR 12.0</t>
  </si>
  <si>
    <t>DR 13.0</t>
  </si>
  <si>
    <t>DR 14.0</t>
  </si>
  <si>
    <t>DR 15.0</t>
  </si>
  <si>
    <t xml:space="preserve">
Other assumptions
</t>
  </si>
  <si>
    <t>This worksheet collects data and information relating to the other assumptions used to calculate the technical provisions and low dependency liabilities.
There are four tables on this worksheet, including this one. Each table is positioned one below the other with blank rows between them.
Columns on this worksheet:
- A: the unique question number.
- B: the question.
- C: the answer.
- D: an error message appears here if there has been an error.
- E: guidance on how to answer the question.
- F: a place for you to annotate questions and answers for those checking the spreadsheet. This is not for The Pensions Regulator (TPR), and you must delete the notes from the final worksheet before submitting the spreadsheet.
Work through questions in sequence. Questions you answer earlier in the worksheet will determine the questions you are asked later.</t>
  </si>
  <si>
    <t xml:space="preserve">
Benefit assumptions
</t>
  </si>
  <si>
    <t>OAS 1.0</t>
  </si>
  <si>
    <t>Some benefit revaluation and/or indexation linked to both RPI and CPI</t>
  </si>
  <si>
    <t>OAS 2.0</t>
  </si>
  <si>
    <t>OAS 3.0</t>
  </si>
  <si>
    <t>OAS 4.0</t>
  </si>
  <si>
    <t>Yes, some benefits have a salary link</t>
  </si>
  <si>
    <t>OAS 5.0</t>
  </si>
  <si>
    <t>Commutation</t>
  </si>
  <si>
    <t>OAS 6.0</t>
  </si>
  <si>
    <t>Yes, allowance has been made for pensions to be commuted for tax-free cash on retirement within the calculation of technical provisions</t>
  </si>
  <si>
    <t>OAS 7.0</t>
  </si>
  <si>
    <t>OAS 8.0</t>
  </si>
  <si>
    <t>OAS 9.0</t>
  </si>
  <si>
    <t>OAS 10.0</t>
  </si>
  <si>
    <t>OAS 11.0</t>
  </si>
  <si>
    <t>Basis comparison</t>
  </si>
  <si>
    <t>OAS 12.0</t>
  </si>
  <si>
    <t>No, the technical provisions basis is not the same as the low dependency basis in all respects</t>
  </si>
  <si>
    <t>OAS 13.0</t>
  </si>
  <si>
    <t>Yes, the same underlying yield curve has been used for the low dependency basis and the technical provisions basis</t>
  </si>
  <si>
    <t>OAS 14.0</t>
  </si>
  <si>
    <t>Yes, excluding discount rates, the technical provisions basis is the same as the low dependency funding basis</t>
  </si>
  <si>
    <t>OAS 15.0</t>
  </si>
  <si>
    <t xml:space="preserve">
Scheme assumptions over the next 40 years
</t>
  </si>
  <si>
    <t>This worksheet collects data relating to the scheme’s term-dependant financial assumptions over the next 40 years used to calculate the technical provisions and the low dependency liabilities.
There are two tables on this worksheet, including this one. Each table is positioned one below the other with blank rows between them.
Columns on this worksheet:
- A: the unique question number.
- B: the year.
- C to H: 
  - Row 5, the assumption.
  - Row 6, guidance for each assumption.
  - Row 7 onwards, your data for each year. 
- I: an error message appears here if there has been an error.
- J: a place for you to annotate questions and answers for those checking the spreadsheet. This is not for The Pensions Regulator (TPR), and you must delete the notes from the final worksheet before submitting the spreadsheet.
We're asking for the forward rates over the next 40 years. If there is no assumption for a particular year, you can leave the cells empty.</t>
  </si>
  <si>
    <t>Assumption</t>
  </si>
  <si>
    <t>ID</t>
  </si>
  <si>
    <t>FYA 1.0</t>
  </si>
  <si>
    <t>Year 1</t>
  </si>
  <si>
    <t>FYA 2.0</t>
  </si>
  <si>
    <t>Year 2</t>
  </si>
  <si>
    <t>FYA 3.0</t>
  </si>
  <si>
    <t>Year 3</t>
  </si>
  <si>
    <t>FYA 4.0</t>
  </si>
  <si>
    <t>Year 4</t>
  </si>
  <si>
    <t>FYA 5.0</t>
  </si>
  <si>
    <t>Year 5</t>
  </si>
  <si>
    <t>FYA 6.0</t>
  </si>
  <si>
    <t>Year 6</t>
  </si>
  <si>
    <t>FYA 7.0</t>
  </si>
  <si>
    <t>Year 7</t>
  </si>
  <si>
    <t>FYA 8.0</t>
  </si>
  <si>
    <t>Year 8</t>
  </si>
  <si>
    <t>FYA 9.0</t>
  </si>
  <si>
    <t>Year 9</t>
  </si>
  <si>
    <t>FYA 10.0</t>
  </si>
  <si>
    <t>Year 10</t>
  </si>
  <si>
    <t>FYA 11.0</t>
  </si>
  <si>
    <t>Year 11</t>
  </si>
  <si>
    <t>FYA 12.0</t>
  </si>
  <si>
    <t>Year 12</t>
  </si>
  <si>
    <t>FYA 13.0</t>
  </si>
  <si>
    <t>Year 13</t>
  </si>
  <si>
    <t>FYA 14.0</t>
  </si>
  <si>
    <t>Year 14</t>
  </si>
  <si>
    <t>FYA 15.0</t>
  </si>
  <si>
    <t>Year 15</t>
  </si>
  <si>
    <t>FYA 16.0</t>
  </si>
  <si>
    <t>Year 16</t>
  </si>
  <si>
    <t>FYA 17.0</t>
  </si>
  <si>
    <t>Year 17</t>
  </si>
  <si>
    <t>FYA 18.0</t>
  </si>
  <si>
    <t>Year 18</t>
  </si>
  <si>
    <t>FYA 19.0</t>
  </si>
  <si>
    <t>Year 19</t>
  </si>
  <si>
    <t>FYA 20.0</t>
  </si>
  <si>
    <t>Year 20</t>
  </si>
  <si>
    <t>FYA 21.0</t>
  </si>
  <si>
    <t>Year 21</t>
  </si>
  <si>
    <t>FYA 22.0</t>
  </si>
  <si>
    <t>Year 22</t>
  </si>
  <si>
    <t>FYA 23.0</t>
  </si>
  <si>
    <t>Year 23</t>
  </si>
  <si>
    <t>FYA 24.0</t>
  </si>
  <si>
    <t>Year 24</t>
  </si>
  <si>
    <t>FYA 25.0</t>
  </si>
  <si>
    <t>Year 25</t>
  </si>
  <si>
    <t>FYA 26.0</t>
  </si>
  <si>
    <t>Year 26</t>
  </si>
  <si>
    <t>FYA 27.0</t>
  </si>
  <si>
    <t>Year 27</t>
  </si>
  <si>
    <t>FYA 28.0</t>
  </si>
  <si>
    <t>Year 28</t>
  </si>
  <si>
    <t>FYA 29.0</t>
  </si>
  <si>
    <t>Year 29</t>
  </si>
  <si>
    <t>FYA 30.0</t>
  </si>
  <si>
    <t>Year 30</t>
  </si>
  <si>
    <t>FYA 31.0</t>
  </si>
  <si>
    <t>Year 31</t>
  </si>
  <si>
    <t>FYA 32.0</t>
  </si>
  <si>
    <t>Year 32</t>
  </si>
  <si>
    <t>FYA 33.0</t>
  </si>
  <si>
    <t>Year 33</t>
  </si>
  <si>
    <t>FYA 34.0</t>
  </si>
  <si>
    <t>Year 34</t>
  </si>
  <si>
    <t>FYA 35.0</t>
  </si>
  <si>
    <t>Year 35</t>
  </si>
  <si>
    <t>FYA 36.0</t>
  </si>
  <si>
    <t>Year 36</t>
  </si>
  <si>
    <t>FYA 37.0</t>
  </si>
  <si>
    <t>Year 37</t>
  </si>
  <si>
    <t>FYA 38.0</t>
  </si>
  <si>
    <t>Year 38</t>
  </si>
  <si>
    <t>FYA 39.0</t>
  </si>
  <si>
    <t>Year 39</t>
  </si>
  <si>
    <t>FYA 40.0</t>
  </si>
  <si>
    <t>Year 40</t>
  </si>
  <si>
    <t xml:space="preserve">
Scheme benefit cash flow
</t>
  </si>
  <si>
    <t>This worksheet collects data related to the scheme's cash flow separation and future accrual allowance. It refers to the data collected in the 'Annual scheme cash flows’ worksheet.
There are two tables on this worksheet, including this one. Each table is positioned one below the other with blank rows between them.
Columns on this worksheet:
- A: the unique question number.
- B: the question.
- C: the answer.
- D: an error message appears here if there has been an error.
- E: guidance on how to answer the question.
- F: a place for you to annotate questions and answers for those checking the spreadsheet. This is not for The Pensions Regulator (TPR), and you must delete the notes from the final worksheet before submitting the spreadsheet.</t>
  </si>
  <si>
    <t xml:space="preserve">
Separation and future accrual allowance
</t>
  </si>
  <si>
    <t>SBC 1.0</t>
  </si>
  <si>
    <t>SBC 2.0</t>
  </si>
  <si>
    <t>No, the cash flows do not include insured benefits where these are included in the calculation of technical provisions liabilities</t>
  </si>
  <si>
    <t xml:space="preserve">
Annual scheme cash flows
</t>
  </si>
  <si>
    <t xml:space="preserve">
This worksheet collects data relating to the benefit cash flows which should be based on the assumptions underlying the low dependency basis but not discounted.
There are two tables on this worksheet, including this one. Each table is positioned one below the other with blank rows between them.
Columns on this worksheet:
- A: the unique question number
- B: the question
- C: the annual scheme cash flows for past service benefit for each year.
- D: an error message appears here if there has been an error.
- E: guidance on how to answer the question.
- F: a place for you to annotate questions and answers for those checking the spreadsheet. This is not for The Pensions Regulator (TPR), and you must delete the notes from the final worksheet before submitting the spreadsheet.
For schemes that have not reached the relevant date, the trustees or managers of the scheme need to show evidence of how the scheme maturity will change over time. 
Providing scheme benefit cash flows is likely to provide clear evidence for how maturity is expected to change over time.
If there is no cash flow for a particular year, you can leave the cells empty.
</t>
  </si>
  <si>
    <t>Member cash flow</t>
  </si>
  <si>
    <t>Annual scheme cash flows for past service benefits (£)</t>
  </si>
  <si>
    <t xml:space="preserve">
Projected member benefit payments over the next 40 years in respect of accrued service benefits only.
These are the total benefit payments for active, deferred and pensioner members combined, and where applicable, insured members.
</t>
  </si>
  <si>
    <t>ASC 1.0</t>
  </si>
  <si>
    <t>ASC 2.0</t>
  </si>
  <si>
    <t>ASC 3.0</t>
  </si>
  <si>
    <t>ASC 4.0</t>
  </si>
  <si>
    <t>ASC 5.0</t>
  </si>
  <si>
    <t>ASC 6.0</t>
  </si>
  <si>
    <t>ASC 7.0</t>
  </si>
  <si>
    <t>ASC 8.0</t>
  </si>
  <si>
    <t>ASC 9.0</t>
  </si>
  <si>
    <t>ASC 10.0</t>
  </si>
  <si>
    <t>ASC 11.0</t>
  </si>
  <si>
    <t>ASC 12.0</t>
  </si>
  <si>
    <t>ASC 13.0</t>
  </si>
  <si>
    <t>ASC 14.0</t>
  </si>
  <si>
    <t>ASC 15.0</t>
  </si>
  <si>
    <t>ASC 16.0</t>
  </si>
  <si>
    <t>ASC 17.0</t>
  </si>
  <si>
    <t>ASC 18.0</t>
  </si>
  <si>
    <t>ASC 19.0</t>
  </si>
  <si>
    <t>ASC 20.0</t>
  </si>
  <si>
    <t>ASC 21.0</t>
  </si>
  <si>
    <t>ASC 22.0</t>
  </si>
  <si>
    <t>ASC 23.0</t>
  </si>
  <si>
    <t>ASC 24.0</t>
  </si>
  <si>
    <t>ASC 25.0</t>
  </si>
  <si>
    <t>ASC 26.0</t>
  </si>
  <si>
    <t>ASC 27.0</t>
  </si>
  <si>
    <t>ASC 28.0</t>
  </si>
  <si>
    <t>ASC 29.0</t>
  </si>
  <si>
    <t>ASC 30.0</t>
  </si>
  <si>
    <t>ASC 31.0</t>
  </si>
  <si>
    <t>ASC 32.0</t>
  </si>
  <si>
    <t>ASC 33.0</t>
  </si>
  <si>
    <t>ASC 34.0</t>
  </si>
  <si>
    <t>ASC 35.0</t>
  </si>
  <si>
    <t>ASC 36.0</t>
  </si>
  <si>
    <t>ASC 37.0</t>
  </si>
  <si>
    <t>ASC 38.0</t>
  </si>
  <si>
    <t>ASC 39.0</t>
  </si>
  <si>
    <t>ASC 40.0</t>
  </si>
  <si>
    <t xml:space="preserve">
Investment information overview
</t>
  </si>
  <si>
    <t>This section collects the investment data and information from the valuation that is required to complete your scheme's statement of strategy.
There are two tables on this worksheet. Each table is positioned one below the other with blank rows between them.
Column A contains links to the three worksheets in this section. Column B contains brief descriptions of those worksheets.
You should work through each worksheet in sequence (from left to right). Questions you answer earlier in the section will determine the questions you are asked later.</t>
  </si>
  <si>
    <t>Investment information contents</t>
  </si>
  <si>
    <t xml:space="preserve">
Current level of investment risk
</t>
  </si>
  <si>
    <t>IRC 1.0</t>
  </si>
  <si>
    <t>IRC 2.0</t>
  </si>
  <si>
    <t>IRC 3.0</t>
  </si>
  <si>
    <t>Current level of investment risk - evidence basis</t>
  </si>
  <si>
    <t>IRC 4.0</t>
  </si>
  <si>
    <t>Value at Risk (VAR)</t>
  </si>
  <si>
    <t>IRC 5.0</t>
  </si>
  <si>
    <t>IRC 6.0</t>
  </si>
  <si>
    <t>Liabilities and assets</t>
  </si>
  <si>
    <t>IRC 7.0</t>
  </si>
  <si>
    <t>IRC 8.0</t>
  </si>
  <si>
    <t>IRC 9.0</t>
  </si>
  <si>
    <t>IRC 10.0</t>
  </si>
  <si>
    <t>IRC 11.0</t>
  </si>
  <si>
    <t>IRC 12.0</t>
  </si>
  <si>
    <t>Current level of investment risk-notional investment allocation</t>
  </si>
  <si>
    <t>IRC 13.0</t>
  </si>
  <si>
    <t>Nominal value</t>
  </si>
  <si>
    <t>IRC 14.0</t>
  </si>
  <si>
    <t>IRC 15.0</t>
  </si>
  <si>
    <t>IRC 16.0</t>
  </si>
  <si>
    <t>IRC 17.0</t>
  </si>
  <si>
    <t>IRC 18.0</t>
  </si>
  <si>
    <t>IRC 19.0</t>
  </si>
  <si>
    <t>IRC 20.0</t>
  </si>
  <si>
    <t>IRC 21.0</t>
  </si>
  <si>
    <t>IRC 22.0</t>
  </si>
  <si>
    <t>IRC 23.0</t>
  </si>
  <si>
    <t>IRC 24.0</t>
  </si>
  <si>
    <t>IRC 25.0</t>
  </si>
  <si>
    <t>IRC 26.0</t>
  </si>
  <si>
    <t>IRC 27.0</t>
  </si>
  <si>
    <t>IRC 28.0</t>
  </si>
  <si>
    <t>IRC 29.0</t>
  </si>
  <si>
    <t>Yes, the scheme does currently have an explicit interest rate or inflation-hedging target</t>
  </si>
  <si>
    <t>IRC 30.0</t>
  </si>
  <si>
    <t>IRC 31.0</t>
  </si>
  <si>
    <t>IRC 32.0</t>
  </si>
  <si>
    <t>No, the current target interest and inflation hedging ratios do not include insured annuities</t>
  </si>
  <si>
    <t>IRC 33.0</t>
  </si>
  <si>
    <t>IRC 34.0</t>
  </si>
  <si>
    <t xml:space="preserve">
Liquidity
</t>
  </si>
  <si>
    <t>This worksheet collects data and information relating to the scheme’s liquidity.
There are two tables on this worksheet, including this one. Each table is positioned one below the other with blank rows between them.
Columns on this worksheet:
- A: the unique question number.
- B: the question.
- C: the answer.
- D: an error message appears here if there has been an error.
- E: guidance on how to answer the question.
- F: a place for you to annotate questions and answers for those checking the spreadsheet. This is not for The Pensions Regulator (TPR), and you must delete the notes from the final worksheet before submitting the spreadsheet.
Work through questions in sequence. Questions you answer earlier in the worksheet will determine the questions you are asked later.</t>
  </si>
  <si>
    <t>LIQ 1.0</t>
  </si>
  <si>
    <t>LIQ 2.0</t>
  </si>
  <si>
    <t>LIQ 3.0</t>
  </si>
  <si>
    <t xml:space="preserve">
Risk level in journey plan
</t>
  </si>
  <si>
    <t xml:space="preserve">
This worksheet collects data and information about the level of investment risk within the scheme’s journey plan from the current notional investment allocation to the intended allocation at the relevant date.
There are four tables on this worksheet, including this one. Each table is positioned one below the other with blank rows between them.
Columns on this worksheet:
- A: the unique question number.
- B: the question.
- C: the answer.
- D: an error message appears here if there has been an error.
- E: guidance on how to answer the question.
- F: a place for you to annotate questions and answers for those checking the spreadsheet. This is not for The Pensions Regulator (TPR), and you must delete the notes from the final worksheet before submitting the spreadsheet.
Work through questions in sequence. Questions you answer earlier in the worksheet will determine the questions you are asked later.
Determine the level of risk as at the relevant date.
</t>
  </si>
  <si>
    <t>Level of risk</t>
  </si>
  <si>
    <t>IJP 1.0</t>
  </si>
  <si>
    <t>IJP 2.0</t>
  </si>
  <si>
    <t>IJP 3.0</t>
  </si>
  <si>
    <t>Hedging</t>
  </si>
  <si>
    <t>IJP 4.0</t>
  </si>
  <si>
    <t>Yes, the scheme has an explicit interest rate or inflation hedging target at the relevant date</t>
  </si>
  <si>
    <t>IJP 5.0</t>
  </si>
  <si>
    <t>Low dependency liabilities</t>
  </si>
  <si>
    <t>IJP 6.0</t>
  </si>
  <si>
    <t>IJP 7.0</t>
  </si>
  <si>
    <t>Yes, the target interest rate and inflation hedging ratios include insured annuities at the relevant date</t>
  </si>
  <si>
    <t>IJP 8.0</t>
  </si>
  <si>
    <t>IJP 9.0</t>
  </si>
  <si>
    <t>IJP 10.0</t>
  </si>
  <si>
    <t>Level of risk in the journey plan evidence</t>
  </si>
  <si>
    <t>IJP 11.0</t>
  </si>
  <si>
    <t>IJP 12.0</t>
  </si>
  <si>
    <t>IJP 13.0</t>
  </si>
  <si>
    <t>IJP 14.0</t>
  </si>
  <si>
    <t>IJP 15.0</t>
  </si>
  <si>
    <t>IJP 16.0</t>
  </si>
  <si>
    <t>IJP 17.0</t>
  </si>
  <si>
    <t>IJP 18.0</t>
  </si>
  <si>
    <t>IJP 19.0</t>
  </si>
  <si>
    <t>IJP 20.0</t>
  </si>
  <si>
    <t>IJP 21.0</t>
  </si>
  <si>
    <t>IJP 22.0</t>
  </si>
  <si>
    <t xml:space="preserve">
Covenant information overview
</t>
  </si>
  <si>
    <t>This section collects the covenant data from the valuation that is required to complete your scheme's statement of strategy.
There are two tables on this worksheet. Each table is positioned one below the other with blank rows between them.
Column A contains links to the seven worksheets in this section. Column B contains brief descriptions of those worksheets.
You should work through each worksheet in sequence (from left to right). Questions you answer earlier in the section will determine the questions you are asked later.
Find further guidance in The Pension Regulator's guidance: Assessing covenant.</t>
  </si>
  <si>
    <t>Covenant information contents</t>
  </si>
  <si>
    <t xml:space="preserve">
Covenant summary information
</t>
  </si>
  <si>
    <t>This worksheet collects summary information and data relating to the scheme’s employer covenant.
There are 13 tables on this worksheet, each positioned one below the other with blank rows between them.
Columns on this worksheet:
- A: the unique question number.
- B: the question.
- C: the answer.
- D: an error message appears here if there has been an error.
- E: guidance on how to answer the question.
- F: a place for you to annotate questions and answers for those checking the spreadsheet. This is not for The Pensions Regulator (TPR), and you must delete the notes from the final worksheet before submitting the spreadsheet.
You should work through questions in sequence. Questions you answer earlier in the worksheet will determine the questions you are asked later.   
Find further guidance in The Pension Regulator's guidance: Assessing covenant.</t>
  </si>
  <si>
    <t xml:space="preserve">
Background
</t>
  </si>
  <si>
    <t>CSI 1.0</t>
  </si>
  <si>
    <t>CSI 2.0</t>
  </si>
  <si>
    <t>No, professional covenant advice was not taken for this valuation</t>
  </si>
  <si>
    <t>CSI 3.0</t>
  </si>
  <si>
    <t>CSI 4.0</t>
  </si>
  <si>
    <t>No, the scheme is not a non-segregated non-associated multi-employer scheme</t>
  </si>
  <si>
    <t>CSI 5.0</t>
  </si>
  <si>
    <t>Yes, in determining covenant strength, we do place reliance on any entity other than statutory employers and their subsidiaries</t>
  </si>
  <si>
    <t>CSI 6.0</t>
  </si>
  <si>
    <t>CSI 7.0</t>
  </si>
  <si>
    <t xml:space="preserve">
Non-statutory employer 1
</t>
  </si>
  <si>
    <t>CSI 8.0/1</t>
  </si>
  <si>
    <t>CSI 9.0/1</t>
  </si>
  <si>
    <t>CSI 10.0/1</t>
  </si>
  <si>
    <t>CSI 11.0/1</t>
  </si>
  <si>
    <t>CSI 12.0/1</t>
  </si>
  <si>
    <t>CSI 13.0/1</t>
  </si>
  <si>
    <t>CSI 14.0/1</t>
  </si>
  <si>
    <t>CSI 15.0/1</t>
  </si>
  <si>
    <t>CSI 16.0/1</t>
  </si>
  <si>
    <t>CSI 17.0/1</t>
  </si>
  <si>
    <t xml:space="preserve">
Non-statutory employer 2
</t>
  </si>
  <si>
    <t>CSI 8.0/2</t>
  </si>
  <si>
    <t>CSI 9.0/2</t>
  </si>
  <si>
    <t>CSI 10.0/2</t>
  </si>
  <si>
    <t>CSI 11.0/2</t>
  </si>
  <si>
    <t>CSI 12.0/2</t>
  </si>
  <si>
    <t>CSI 13.0/2</t>
  </si>
  <si>
    <t>CSI 14.0/2</t>
  </si>
  <si>
    <t>CSI 15.0/2</t>
  </si>
  <si>
    <t>CSI 16.0/2</t>
  </si>
  <si>
    <t>CSI 17.0/2</t>
  </si>
  <si>
    <t xml:space="preserve">
Non-statutory employer 3
</t>
  </si>
  <si>
    <t>CSI 8.0/3</t>
  </si>
  <si>
    <t>CSI 9.0/3</t>
  </si>
  <si>
    <t>CSI 10.0/3</t>
  </si>
  <si>
    <t>CSI 11.0/3</t>
  </si>
  <si>
    <t>CSI 12.0/3</t>
  </si>
  <si>
    <t>CSI 13.0/3</t>
  </si>
  <si>
    <t>CSI 14.0/3</t>
  </si>
  <si>
    <t>CSI 15.0/3</t>
  </si>
  <si>
    <t>CSI 16.0/3</t>
  </si>
  <si>
    <t>Azerbaijan</t>
  </si>
  <si>
    <t>CSI 17.0/3</t>
  </si>
  <si>
    <t xml:space="preserve">
Non-statutory employer 4
</t>
  </si>
  <si>
    <t>CSI 8.0/4</t>
  </si>
  <si>
    <t>CSI 9.0/4</t>
  </si>
  <si>
    <t>CSI 10.0/4</t>
  </si>
  <si>
    <t>CSI 11.0/4</t>
  </si>
  <si>
    <t>CSI 12.0/4</t>
  </si>
  <si>
    <t>CSI 13.0/4</t>
  </si>
  <si>
    <t>CSI 14.0/4</t>
  </si>
  <si>
    <t>CSI 15.0/4</t>
  </si>
  <si>
    <t>CSI 16.0/4</t>
  </si>
  <si>
    <t>CSI 17.0/4</t>
  </si>
  <si>
    <t xml:space="preserve">
Non-statutory employer 5
</t>
  </si>
  <si>
    <t>CSI 8.0/5</t>
  </si>
  <si>
    <t>CSI 9.0/5</t>
  </si>
  <si>
    <t>CSI 10.0/5</t>
  </si>
  <si>
    <t>CSI 11.0/5</t>
  </si>
  <si>
    <t>CSI 12.0/5</t>
  </si>
  <si>
    <t>CSI 13.0/5</t>
  </si>
  <si>
    <t>CSI 14.0/5</t>
  </si>
  <si>
    <t>CSI 15.0/5</t>
  </si>
  <si>
    <t>CSI 16.0/5</t>
  </si>
  <si>
    <t>United Kingdom</t>
  </si>
  <si>
    <t>CSI 17.0/5</t>
  </si>
  <si>
    <t xml:space="preserve">
Contingent assets
</t>
  </si>
  <si>
    <t>CSI 18.0</t>
  </si>
  <si>
    <t>No, the scheme does not rely on contingent assets to take funding and investment risk above what the employer can support</t>
  </si>
  <si>
    <t>CSI 19.0</t>
  </si>
  <si>
    <t>CSI 20.0</t>
  </si>
  <si>
    <t>CSI 21.0</t>
  </si>
  <si>
    <t>CSI 22.0</t>
  </si>
  <si>
    <t xml:space="preserve">
Reliability and longevity
</t>
  </si>
  <si>
    <t xml:space="preserve">
Question
</t>
  </si>
  <si>
    <t>CSI 23.0</t>
  </si>
  <si>
    <t>CSI 24.0</t>
  </si>
  <si>
    <t>CSI 25.0</t>
  </si>
  <si>
    <t xml:space="preserve">
Recovery plan
</t>
  </si>
  <si>
    <t>CSI 26.0</t>
  </si>
  <si>
    <t>Yes, the recovery plan is longer than the reliability period or more than 6 years</t>
  </si>
  <si>
    <t>CSI 27.0</t>
  </si>
  <si>
    <t xml:space="preserve">
Maximum affordable contributions
</t>
  </si>
  <si>
    <t>CSI 28.0</t>
  </si>
  <si>
    <t>CSI 29.0</t>
  </si>
  <si>
    <t xml:space="preserve">
Attachments
</t>
  </si>
  <si>
    <t>CSI 30.0</t>
  </si>
  <si>
    <t>CSI 31.0</t>
  </si>
  <si>
    <t xml:space="preserve">
Adequacy of available covenant support
</t>
  </si>
  <si>
    <t>CSI 32.0</t>
  </si>
  <si>
    <t>No, the strength of the employer covenant is not adequate by reference to the actuarial valuation to which the funding and investments strategy relates</t>
  </si>
  <si>
    <t xml:space="preserve">
Employer cash flow and liquid assets
</t>
  </si>
  <si>
    <t>This worksheet collects the data and information relating to the employer cash flow and liquid assets.  
There are 12 tables on this worksheet, each positioned one below the other with blank rows between them.
Columns on this worksheet:
- A: the unique question number.
- B: the question.
- D: the answer.
- E: an error message appears here if there has been an error.
- F: guidance on how to answer the question.
- H: a place for you to annotate questions and answers for those checking the spreadsheet. This is not for The Pensions Regulator (TPR), and you must delete the notes from the final worksheet before submitting the spreadsheet.
You should work through questions in sequence. Questions you answer earlier in the worksheet will determine the questions you are asked later.
On this worksheet, entities can be employers or other relevant entities considered when determining cash flow.
Find further guidance in The Pension Regulator's covenant guidance: Assessing cash flow.</t>
  </si>
  <si>
    <t>Entities considered when determining employer cash flow</t>
  </si>
  <si>
    <t xml:space="preserve">
Answer
</t>
  </si>
  <si>
    <t xml:space="preserve">
Guidance
</t>
  </si>
  <si>
    <t>SASV-00669</t>
  </si>
  <si>
    <t>ECI 0.0</t>
  </si>
  <si>
    <t xml:space="preserve">
Entity 1
</t>
  </si>
  <si>
    <t>SASV-00670.1</t>
  </si>
  <si>
    <t>ECI 1.0/1</t>
  </si>
  <si>
    <t>SASV-00671.1</t>
  </si>
  <si>
    <t>ECI 2.0/1</t>
  </si>
  <si>
    <t>SASV-00672.1</t>
  </si>
  <si>
    <t>ECI 3.0/1</t>
  </si>
  <si>
    <t>SASV-00673.1</t>
  </si>
  <si>
    <t>ECI 4.0/1</t>
  </si>
  <si>
    <t>SASV-00674.1</t>
  </si>
  <si>
    <t>ECI 5.0/1</t>
  </si>
  <si>
    <t>SASV-00675.1</t>
  </si>
  <si>
    <t>ECI 6.0/1</t>
  </si>
  <si>
    <t>SASV-00676.1</t>
  </si>
  <si>
    <t>ECI 7.0/1</t>
  </si>
  <si>
    <t>SASV-00677.1</t>
  </si>
  <si>
    <t>ECI 8.0/1</t>
  </si>
  <si>
    <t>SASV-00678.1</t>
  </si>
  <si>
    <t>ECI 9.0/1</t>
  </si>
  <si>
    <t>SASV-00679.1</t>
  </si>
  <si>
    <t>ECI 10.0/1</t>
  </si>
  <si>
    <t xml:space="preserve">
Entity 2
</t>
  </si>
  <si>
    <t>SASV-00670.2</t>
  </si>
  <si>
    <t>ECI 1.0/2</t>
  </si>
  <si>
    <t>SASV-00671.2</t>
  </si>
  <si>
    <t>ECI 2.0/2</t>
  </si>
  <si>
    <t>SASV-00672.2</t>
  </si>
  <si>
    <t>ECI 3.0/2</t>
  </si>
  <si>
    <t>SASV-00673.2</t>
  </si>
  <si>
    <t>ECI 4.0/2</t>
  </si>
  <si>
    <t>SASV-00674.2</t>
  </si>
  <si>
    <t>ECI 5.0/2</t>
  </si>
  <si>
    <t>SASV-00675.2</t>
  </si>
  <si>
    <t>ECI 6.0/2</t>
  </si>
  <si>
    <t>SASV-00676.2</t>
  </si>
  <si>
    <t>ECI 7.0/2</t>
  </si>
  <si>
    <t>SASV-00677.2</t>
  </si>
  <si>
    <t>ECI 8.0/2</t>
  </si>
  <si>
    <t>SASV-00678.2</t>
  </si>
  <si>
    <t>ECI 9.0/2</t>
  </si>
  <si>
    <t>SASV-00679.2</t>
  </si>
  <si>
    <t>ECI 10.0/2</t>
  </si>
  <si>
    <t xml:space="preserve">
Entity 3
</t>
  </si>
  <si>
    <t>SASV-00670.3</t>
  </si>
  <si>
    <t>ECI 1.0/3</t>
  </si>
  <si>
    <t>SASV-00671.3</t>
  </si>
  <si>
    <t>ECI 2.0/3</t>
  </si>
  <si>
    <t>SASV-00672.3</t>
  </si>
  <si>
    <t>ECI 3.0/3</t>
  </si>
  <si>
    <t>SASV-00673.3</t>
  </si>
  <si>
    <t>ECI 4.0/3</t>
  </si>
  <si>
    <t>SASV-00674.3</t>
  </si>
  <si>
    <t>ECI 5.0/3</t>
  </si>
  <si>
    <t>SASV-00675.3</t>
  </si>
  <si>
    <t>ECI 6.0/3</t>
  </si>
  <si>
    <t>SASV-00676.3</t>
  </si>
  <si>
    <t>ECI 7.0/3</t>
  </si>
  <si>
    <t>SASV-00677.3</t>
  </si>
  <si>
    <t>ECI 8.0/3</t>
  </si>
  <si>
    <t>SASV-00678.3</t>
  </si>
  <si>
    <t>ECI 9.0/3</t>
  </si>
  <si>
    <t>SASV-00679.3</t>
  </si>
  <si>
    <t>ECI 10.0/3</t>
  </si>
  <si>
    <t xml:space="preserve">
Entity 4
</t>
  </si>
  <si>
    <t>SASV-00670.4</t>
  </si>
  <si>
    <t>ECI 1.0/4</t>
  </si>
  <si>
    <t>SASV-00671.4</t>
  </si>
  <si>
    <t>ECI 2.0/4</t>
  </si>
  <si>
    <t>SASV-00672.4</t>
  </si>
  <si>
    <t>ECI 3.0/4</t>
  </si>
  <si>
    <t>SASV-00673.4</t>
  </si>
  <si>
    <t>ECI 4.0/4</t>
  </si>
  <si>
    <t>SASV-00674.4</t>
  </si>
  <si>
    <t>ECI 5.0/4</t>
  </si>
  <si>
    <t>SASV-00675.4</t>
  </si>
  <si>
    <t>ECI 6.0/4</t>
  </si>
  <si>
    <t>SASV-00676.4</t>
  </si>
  <si>
    <t>ECI 7.0/4</t>
  </si>
  <si>
    <t>SASV-00677.4</t>
  </si>
  <si>
    <t>ECI 8.0/4</t>
  </si>
  <si>
    <t>SASV-00678.4</t>
  </si>
  <si>
    <t>ECI 9.0/4</t>
  </si>
  <si>
    <t>SASV-00679.4</t>
  </si>
  <si>
    <t>ECI 10.0/4</t>
  </si>
  <si>
    <t xml:space="preserve">
Entity 5
</t>
  </si>
  <si>
    <t>SASV-00670.5</t>
  </si>
  <si>
    <t>ECI 1.0/5</t>
  </si>
  <si>
    <t>SASV-00671.5</t>
  </si>
  <si>
    <t>ECI 2.0/5</t>
  </si>
  <si>
    <t>SASV-00672.5</t>
  </si>
  <si>
    <t>ECI 3.0/5</t>
  </si>
  <si>
    <t>SASV-00673.5</t>
  </si>
  <si>
    <t>ECI 4.0/5</t>
  </si>
  <si>
    <t>SASV-00674.5</t>
  </si>
  <si>
    <t>ECI 5.0/5</t>
  </si>
  <si>
    <t>SASV-00675.5</t>
  </si>
  <si>
    <t>ECI 6.0/5</t>
  </si>
  <si>
    <t>SASV-00676.5</t>
  </si>
  <si>
    <t>ECI 7.0/5</t>
  </si>
  <si>
    <t>SASV-00677.5</t>
  </si>
  <si>
    <t>ECI 8.0/5</t>
  </si>
  <si>
    <t>SASV-00678.5</t>
  </si>
  <si>
    <t>ECI 9.0/5</t>
  </si>
  <si>
    <t>SASV-00679.5</t>
  </si>
  <si>
    <t>ECI 10.0/5</t>
  </si>
  <si>
    <t xml:space="preserve">
Basis of cash flow assessment (free cash flow or proxy)
</t>
  </si>
  <si>
    <t>ECI 11.0</t>
  </si>
  <si>
    <t>ECI 12.0</t>
  </si>
  <si>
    <t>Employers' free cash flows (or proxy) and alternative uses of cash</t>
  </si>
  <si>
    <t>ECI 13.0</t>
  </si>
  <si>
    <t>ECI 14.0</t>
  </si>
  <si>
    <t>ECI 15.0</t>
  </si>
  <si>
    <t>ECI 16.0</t>
  </si>
  <si>
    <t>ECI 17.0</t>
  </si>
  <si>
    <t>Liquid assets</t>
  </si>
  <si>
    <t>ECI 18.0</t>
  </si>
  <si>
    <t xml:space="preserve">
Additional information
</t>
  </si>
  <si>
    <t>ECI 19.0</t>
  </si>
  <si>
    <t>ECI 20.0</t>
  </si>
  <si>
    <t xml:space="preserve">
Employer consultation
</t>
  </si>
  <si>
    <t>ECI 21.0</t>
  </si>
  <si>
    <t>ECI 22.0</t>
  </si>
  <si>
    <t>Yes, the employer has asked for any comments to be included in the document</t>
  </si>
  <si>
    <t>ECI 23.0</t>
  </si>
  <si>
    <t xml:space="preserve">
Guarantees
</t>
  </si>
  <si>
    <t xml:space="preserve">
This worksheet collects data and information relating to guarantees which the scheme relies on to take funding and investment risk above what the employer can support. You will be asked for details about each guarantee you indicated you wish to include details about in question CSI 19.0 and its triggers for access to value.
There are 11 tables on this worksheet, each positioned one below the other with blank rows between them.
Columns on this worksheet:
- A: the unique question number.
- B: the question.
- C: the answer.
- D: an error message appears here if there has been an error.
- E: guidance on how to answer the question.
- F: a place for you to annotate questions and answers for those checking the spreadsheet. This is not for The Pensions Regulator (TPR), and you must delete the notes from the final worksheet before submitting the spreadsheet.
Enter details only for the number of guarantees you indicated you wish to include details about (CSI 19.0).
Find further guidance in The Pension Regulator's covenant guidance: Contingent assets.
</t>
  </si>
  <si>
    <t>Guarantee 1</t>
  </si>
  <si>
    <t>SASV-00541.1</t>
  </si>
  <si>
    <t>GTE 1.0/1</t>
  </si>
  <si>
    <t>SASV-00542.1</t>
  </si>
  <si>
    <t>GTE 2.0/1</t>
  </si>
  <si>
    <t>SASV-00658.1</t>
  </si>
  <si>
    <t>GTE 3.0/1</t>
  </si>
  <si>
    <t>SASV-00659.1</t>
  </si>
  <si>
    <t>GTE 4.0/1</t>
  </si>
  <si>
    <t>SASV-00660.1</t>
  </si>
  <si>
    <t>GTE 5.0/1</t>
  </si>
  <si>
    <t>SASV-00661.1</t>
  </si>
  <si>
    <t>GTE 6.0/1</t>
  </si>
  <si>
    <t>SASV-00662.1</t>
  </si>
  <si>
    <t>GTE 7.0/1</t>
  </si>
  <si>
    <t>SASV-00663.1</t>
  </si>
  <si>
    <t>GTE 8.0/1</t>
  </si>
  <si>
    <t>SASV-00664.1</t>
  </si>
  <si>
    <t>GTE 9.0/1</t>
  </si>
  <si>
    <t>SASV-00665.1</t>
  </si>
  <si>
    <t>GTE 10.0/1</t>
  </si>
  <si>
    <t>SASV-00543.1</t>
  </si>
  <si>
    <t>GTE 11.0/1</t>
  </si>
  <si>
    <t>Yes, contingent asset guarantee: the guarantor is an associated company</t>
  </si>
  <si>
    <t>SASV-00544.1</t>
  </si>
  <si>
    <t>GTE 12.0/1</t>
  </si>
  <si>
    <t>SASV-00545.1</t>
  </si>
  <si>
    <t>GTE 13.0/1</t>
  </si>
  <si>
    <t>SASV-00546.1</t>
  </si>
  <si>
    <t>GTE 14.0/1</t>
  </si>
  <si>
    <t>Fixed expiry with a maturity date</t>
  </si>
  <si>
    <t>SASV-00547.1</t>
  </si>
  <si>
    <t>GTE 15.0/1</t>
  </si>
  <si>
    <t>SASV-00548.1</t>
  </si>
  <si>
    <t>GTE 16.0/1</t>
  </si>
  <si>
    <t>SASV-00549.1</t>
  </si>
  <si>
    <t>GTE 17.0/1</t>
  </si>
  <si>
    <t>SASV-00550.1</t>
  </si>
  <si>
    <t>GTE 18.0/1</t>
  </si>
  <si>
    <t>SASV-00551.1</t>
  </si>
  <si>
    <t>GTE 19.0/1</t>
  </si>
  <si>
    <t>SASV-00552.1</t>
  </si>
  <si>
    <t>GTE 20.0/1</t>
  </si>
  <si>
    <t>SASV-00666.1</t>
  </si>
  <si>
    <t>GTE 21.0/1</t>
  </si>
  <si>
    <t xml:space="preserve">
Triggers for access to value 1
</t>
  </si>
  <si>
    <t>SASV-00553.1</t>
  </si>
  <si>
    <t>GTE 22.0/1</t>
  </si>
  <si>
    <t>Yes</t>
  </si>
  <si>
    <t>SASV-00554.1</t>
  </si>
  <si>
    <t>GTE 23.0/1</t>
  </si>
  <si>
    <t>SASV-00555.1</t>
  </si>
  <si>
    <t>GTE 24.0/1</t>
  </si>
  <si>
    <t>SASV-00556.1</t>
  </si>
  <si>
    <t>GTE 25.0/1</t>
  </si>
  <si>
    <t>SASV-00557.1</t>
  </si>
  <si>
    <t>GTE 26.0/1</t>
  </si>
  <si>
    <t>SASV-00558.1</t>
  </si>
  <si>
    <t>GTE 27.0/1</t>
  </si>
  <si>
    <t>SASV-00559.1</t>
  </si>
  <si>
    <t>GTE 28.0/1</t>
  </si>
  <si>
    <t xml:space="preserve">
Guarantee 2
</t>
  </si>
  <si>
    <t>SASV-00541.2</t>
  </si>
  <si>
    <t>GTE 1.0/2</t>
  </si>
  <si>
    <t>SASV-00542.2</t>
  </si>
  <si>
    <t>GTE 2.0/2</t>
  </si>
  <si>
    <t>SASV-00658.2</t>
  </si>
  <si>
    <t>GTE 3.0/2</t>
  </si>
  <si>
    <t>SASV-00659.2</t>
  </si>
  <si>
    <t>GTE 4.0/2</t>
  </si>
  <si>
    <t>SASV-00660.2</t>
  </si>
  <si>
    <t>GTE 5.0/2</t>
  </si>
  <si>
    <t>SASV-00661.2</t>
  </si>
  <si>
    <t>GTE 6.0/2</t>
  </si>
  <si>
    <t>SASV-00662.2</t>
  </si>
  <si>
    <t>GTE 7.0/2</t>
  </si>
  <si>
    <t>SASV-00663.2</t>
  </si>
  <si>
    <t>GTE 8.0/2</t>
  </si>
  <si>
    <t>SASV-00664.2</t>
  </si>
  <si>
    <t>GTE 9.0/2</t>
  </si>
  <si>
    <t>Saint Lucia</t>
  </si>
  <si>
    <t>SASV-00665.2</t>
  </si>
  <si>
    <t>GTE 10.0/2</t>
  </si>
  <si>
    <t>SASV-00543.2</t>
  </si>
  <si>
    <t>GTE 11.0/2</t>
  </si>
  <si>
    <t>No, contingent asset guarantee: the guarantor is not an associated company</t>
  </si>
  <si>
    <t>SASV-00544.2</t>
  </si>
  <si>
    <t>GTE 12.0/2</t>
  </si>
  <si>
    <t>SASV-00545.2</t>
  </si>
  <si>
    <t>GTE 13.0/2</t>
  </si>
  <si>
    <t>SASV-00546.2</t>
  </si>
  <si>
    <t>GTE 14.0/2</t>
  </si>
  <si>
    <t>SASV-00547.2</t>
  </si>
  <si>
    <t>GTE 15.0/2</t>
  </si>
  <si>
    <t>SASV-00548.2</t>
  </si>
  <si>
    <t>GTE 16.0/2</t>
  </si>
  <si>
    <t>SASV-00549.2</t>
  </si>
  <si>
    <t>GTE 17.0/2</t>
  </si>
  <si>
    <t>SASV-00550.2</t>
  </si>
  <si>
    <t>GTE 18.0/2</t>
  </si>
  <si>
    <t>SASV-00551.2</t>
  </si>
  <si>
    <t>GTE 19.0/2</t>
  </si>
  <si>
    <t>Fixed cap</t>
  </si>
  <si>
    <t>SASV-00552.2</t>
  </si>
  <si>
    <t>GTE 20.0/2</t>
  </si>
  <si>
    <t>SASV-00666.2</t>
  </si>
  <si>
    <t>GTE 21.0/2</t>
  </si>
  <si>
    <t xml:space="preserve">
Triggers for access to value 2
</t>
  </si>
  <si>
    <t>SASV-00553.2</t>
  </si>
  <si>
    <t>GTE 22.0/2</t>
  </si>
  <si>
    <t>No</t>
  </si>
  <si>
    <t>SASV-00554.2</t>
  </si>
  <si>
    <t>GTE 23.0/2</t>
  </si>
  <si>
    <t>SASV-00555.2</t>
  </si>
  <si>
    <t>GTE 24.0/2</t>
  </si>
  <si>
    <t>SASV-00556.2</t>
  </si>
  <si>
    <t>GTE 25.0/2</t>
  </si>
  <si>
    <t>SASV-00557.2</t>
  </si>
  <si>
    <t>GTE 26.0/2</t>
  </si>
  <si>
    <t>SASV-00558.2</t>
  </si>
  <si>
    <t>GTE 27.0/2</t>
  </si>
  <si>
    <t>SASV-00559.2</t>
  </si>
  <si>
    <t>GTE 28.0/2</t>
  </si>
  <si>
    <t xml:space="preserve">
Guarantee 3
</t>
  </si>
  <si>
    <t>SASV-00541.3</t>
  </si>
  <si>
    <t>GTE 1.0/3</t>
  </si>
  <si>
    <t>SASV-00542.3</t>
  </si>
  <si>
    <t>GTE 2.0/3</t>
  </si>
  <si>
    <t>SASV-00658.3</t>
  </si>
  <si>
    <t>GTE 3.0/3</t>
  </si>
  <si>
    <t>SASV-00659.3</t>
  </si>
  <si>
    <t>GTE 4.0/3</t>
  </si>
  <si>
    <t>SASV-00660.3</t>
  </si>
  <si>
    <t>GTE 5.0/3</t>
  </si>
  <si>
    <t>SASV-00661.3</t>
  </si>
  <si>
    <t>GTE 6.0/3</t>
  </si>
  <si>
    <t>SASV-00662.3</t>
  </si>
  <si>
    <t>GTE 7.0/3</t>
  </si>
  <si>
    <t>SASV-00663.3</t>
  </si>
  <si>
    <t>GTE 8.0/3</t>
  </si>
  <si>
    <t>SASV-00664.3</t>
  </si>
  <si>
    <t>GTE 9.0/3</t>
  </si>
  <si>
    <t>SASV-00665.3</t>
  </si>
  <si>
    <t>GTE 10.0/3</t>
  </si>
  <si>
    <t>SASV-00543.3</t>
  </si>
  <si>
    <t>GTE 11.0/3</t>
  </si>
  <si>
    <t>SASV-00544.3</t>
  </si>
  <si>
    <t>GTE 12.0/3</t>
  </si>
  <si>
    <t>SASV-00545.3</t>
  </si>
  <si>
    <t>GTE 13.0/3</t>
  </si>
  <si>
    <t>SASV-00546.3</t>
  </si>
  <si>
    <t>GTE 14.0/3</t>
  </si>
  <si>
    <t>SASV-00547.3</t>
  </si>
  <si>
    <t>GTE 15.0/3</t>
  </si>
  <si>
    <t>SASV-00548.3</t>
  </si>
  <si>
    <t>GTE 16.0/3</t>
  </si>
  <si>
    <t>SASV-00549.3</t>
  </si>
  <si>
    <t>GTE 17.0/3</t>
  </si>
  <si>
    <t>SASV-00550.3</t>
  </si>
  <si>
    <t>GTE 18.0/3</t>
  </si>
  <si>
    <t>SASV-00551.3</t>
  </si>
  <si>
    <t>GTE 19.0/3</t>
  </si>
  <si>
    <t>SASV-00552.3</t>
  </si>
  <si>
    <t>GTE 20.0/3</t>
  </si>
  <si>
    <t>SASV-00666.3</t>
  </si>
  <si>
    <t>GTE 21.0/3</t>
  </si>
  <si>
    <t xml:space="preserve">
Triggers for access to value 3
</t>
  </si>
  <si>
    <t>SASV-00553.3</t>
  </si>
  <si>
    <t>GTE 22.0/3</t>
  </si>
  <si>
    <t>SASV-00554.3</t>
  </si>
  <si>
    <t>GTE 23.0/3</t>
  </si>
  <si>
    <t>SASV-00555.3</t>
  </si>
  <si>
    <t>GTE 24.0/3</t>
  </si>
  <si>
    <t>SASV-00556.3</t>
  </si>
  <si>
    <t>GTE 25.0/3</t>
  </si>
  <si>
    <t>SASV-00557.3</t>
  </si>
  <si>
    <t>GTE 26.0/3</t>
  </si>
  <si>
    <t>SASV-00558.3</t>
  </si>
  <si>
    <t>GTE 27.0/3</t>
  </si>
  <si>
    <t>SASV-00559.3</t>
  </si>
  <si>
    <t>GTE 28.0/3</t>
  </si>
  <si>
    <t xml:space="preserve">
Guarantee 4
</t>
  </si>
  <si>
    <t>SASV-00541.4</t>
  </si>
  <si>
    <t>GTE 1.0/4</t>
  </si>
  <si>
    <t>SASV-00542.4</t>
  </si>
  <si>
    <t>GTE 2.0/4</t>
  </si>
  <si>
    <t>SASV-00658.4</t>
  </si>
  <si>
    <t>GTE 3.0/4</t>
  </si>
  <si>
    <t>SASV-00659.4</t>
  </si>
  <si>
    <t>GTE 4.0/4</t>
  </si>
  <si>
    <t>SASV-00660.4</t>
  </si>
  <si>
    <t>GTE 5.0/4</t>
  </si>
  <si>
    <t>SASV-00661.4</t>
  </si>
  <si>
    <t>GTE 6.0/4</t>
  </si>
  <si>
    <t>SASV-00662.4</t>
  </si>
  <si>
    <t>GTE 7.0/4</t>
  </si>
  <si>
    <t>SASV-00663.4</t>
  </si>
  <si>
    <t>GTE 8.0/4</t>
  </si>
  <si>
    <t>SASV-00664.4</t>
  </si>
  <si>
    <t>GTE 9.0/4</t>
  </si>
  <si>
    <t>SASV-00665.4</t>
  </si>
  <si>
    <t>GTE 10.0/4</t>
  </si>
  <si>
    <t>SASV-00543.4</t>
  </si>
  <si>
    <t>GTE 11.0/4</t>
  </si>
  <si>
    <t>SASV-00544.4</t>
  </si>
  <si>
    <t>GTE 12.0/4</t>
  </si>
  <si>
    <t>Look-through guarantee subject to limitation</t>
  </si>
  <si>
    <t>SASV-00545.4</t>
  </si>
  <si>
    <t>GTE 13.0/4</t>
  </si>
  <si>
    <t>SASV-00546.4</t>
  </si>
  <si>
    <t>GTE 14.0/4</t>
  </si>
  <si>
    <t>SASV-00547.4</t>
  </si>
  <si>
    <t>GTE 15.0/4</t>
  </si>
  <si>
    <t>SASV-00548.4</t>
  </si>
  <si>
    <t>GTE 16.0/4</t>
  </si>
  <si>
    <t>SASV-00549.4</t>
  </si>
  <si>
    <t>GTE 17.0/4</t>
  </si>
  <si>
    <t>SASV-00550.4</t>
  </si>
  <si>
    <t>GTE 18.0/4</t>
  </si>
  <si>
    <t>SASV-00551.4</t>
  </si>
  <si>
    <t>GTE 19.0/4</t>
  </si>
  <si>
    <t>SASV-00552.4</t>
  </si>
  <si>
    <t>GTE 20.0/4</t>
  </si>
  <si>
    <t>SASV-00666.4</t>
  </si>
  <si>
    <t>GTE 21.0/4</t>
  </si>
  <si>
    <t xml:space="preserve">
Triggers for access to value 4
</t>
  </si>
  <si>
    <t>SASV-00553.4</t>
  </si>
  <si>
    <t>GTE 22.0/4</t>
  </si>
  <si>
    <t>SASV-00554.4</t>
  </si>
  <si>
    <t>GTE 23.0/4</t>
  </si>
  <si>
    <t>SASV-00555.4</t>
  </si>
  <si>
    <t>GTE 24.0/4</t>
  </si>
  <si>
    <t>SASV-00556.4</t>
  </si>
  <si>
    <t>GTE 25.0/4</t>
  </si>
  <si>
    <t>SASV-00557.4</t>
  </si>
  <si>
    <t>GTE 26.0/4</t>
  </si>
  <si>
    <t>SASV-00558.4</t>
  </si>
  <si>
    <t>GTE 27.0/4</t>
  </si>
  <si>
    <t>SASV-00559.4</t>
  </si>
  <si>
    <t>GTE 28.0/4</t>
  </si>
  <si>
    <t xml:space="preserve">
Guarantee 5
</t>
  </si>
  <si>
    <t>SASV-00541.5</t>
  </si>
  <si>
    <t>GTE 1.0/5</t>
  </si>
  <si>
    <t>SASV-00542.5</t>
  </si>
  <si>
    <t>GTE 2.0/5</t>
  </si>
  <si>
    <t>SASV-00658.5</t>
  </si>
  <si>
    <t>GTE 3.0/5</t>
  </si>
  <si>
    <t>SASV-00659.5</t>
  </si>
  <si>
    <t>GTE 4.0/5</t>
  </si>
  <si>
    <t>SASV-00660.5</t>
  </si>
  <si>
    <t>GTE 5.0/5</t>
  </si>
  <si>
    <t>SASV-00661.5</t>
  </si>
  <si>
    <t>GTE 6.0/5</t>
  </si>
  <si>
    <t>SASV-00662.5</t>
  </si>
  <si>
    <t>GTE 7.0/5</t>
  </si>
  <si>
    <t>SASV-00663.5</t>
  </si>
  <si>
    <t>GTE 8.0/5</t>
  </si>
  <si>
    <t>SASV-00664.5</t>
  </si>
  <si>
    <t>GTE 9.0/5</t>
  </si>
  <si>
    <t>SASV-00665.5</t>
  </si>
  <si>
    <t>GTE 10.0/5</t>
  </si>
  <si>
    <t>SASV-00543.5</t>
  </si>
  <si>
    <t>GTE 11.0/5</t>
  </si>
  <si>
    <t>SASV-00544.5</t>
  </si>
  <si>
    <t>GTE 12.0/5</t>
  </si>
  <si>
    <t>SASV-00545.5</t>
  </si>
  <si>
    <t>GTE 13.0/5</t>
  </si>
  <si>
    <t>SASV-00546.5</t>
  </si>
  <si>
    <t>GTE 14.0/5</t>
  </si>
  <si>
    <t>SASV-00547.5</t>
  </si>
  <si>
    <t>GTE 15.0/5</t>
  </si>
  <si>
    <t>SASV-00548.5</t>
  </si>
  <si>
    <t>GTE 16.0/5</t>
  </si>
  <si>
    <t>SASV-00549.5</t>
  </si>
  <si>
    <t>GTE 17.0/5</t>
  </si>
  <si>
    <t>SASV-00550.5</t>
  </si>
  <si>
    <t>GTE 18.0/5</t>
  </si>
  <si>
    <t>SASV-00551.5</t>
  </si>
  <si>
    <t>GTE 19.0/5</t>
  </si>
  <si>
    <t>SASV-00552.5</t>
  </si>
  <si>
    <t>GTE 20.0/5</t>
  </si>
  <si>
    <t>SASV-00666.5</t>
  </si>
  <si>
    <t>GTE 21.0/5</t>
  </si>
  <si>
    <t xml:space="preserve">
Triggers for access to value 5
</t>
  </si>
  <si>
    <t>SASV-00553.5</t>
  </si>
  <si>
    <t>GTE 22.0/5</t>
  </si>
  <si>
    <t>SASV-00554.5</t>
  </si>
  <si>
    <t>GTE 23.0/5</t>
  </si>
  <si>
    <t>SASV-00555.5</t>
  </si>
  <si>
    <t>GTE 24.0/5</t>
  </si>
  <si>
    <t>SASV-00556.5</t>
  </si>
  <si>
    <t>GTE 25.0/5</t>
  </si>
  <si>
    <t>SASV-00557.5</t>
  </si>
  <si>
    <t>GTE 26.0/5</t>
  </si>
  <si>
    <t>SASV-00558.5</t>
  </si>
  <si>
    <t>GTE 27.0/5</t>
  </si>
  <si>
    <t>SASV-00559.5</t>
  </si>
  <si>
    <t>GTE 28.0/5</t>
  </si>
  <si>
    <t xml:space="preserve">
Securities
</t>
  </si>
  <si>
    <t>This worksheet collects data and information relating to securities which the scheme relies on to take funding and investment risk above what the employer can support. You will be asked for details about each of the guarantees you indicated you wished to include details about in question CSI 20.0 and its triggers for access to value.
There are 11 tables on this worksheet, each positioned one below the other with blank rows between them.
Columns on this worksheet:
- A: the unique question number.
- B: the question.
- C: the answer.
- D: an error message appears here if there has been an error.
- E: guidance on how to answer the question.
- F: a place for you to annotate questions and answers for those checking the spreadsheet. This is not for The Pensions Regulator (TPR), and you must delete the notes from the final worksheet before submitting the spreadsheet.
Enter details only for the number of securities you indicated you wish to include details about (CSI 20.0).
Find further guidance in The Pension Regulator's covenant guidance: Contingent assets.</t>
  </si>
  <si>
    <t xml:space="preserve">
Security 1
</t>
  </si>
  <si>
    <t>SASV-00560.1</t>
  </si>
  <si>
    <t>SEC 1.0/1</t>
  </si>
  <si>
    <t>Security over intangible assets</t>
  </si>
  <si>
    <t>SASV-00561.1</t>
  </si>
  <si>
    <t>SEC 2.0/1</t>
  </si>
  <si>
    <t>SASV-00562.1</t>
  </si>
  <si>
    <t>SEC 3.0/1</t>
  </si>
  <si>
    <t>SASV-00563.1</t>
  </si>
  <si>
    <t>SEC 4.0/1</t>
  </si>
  <si>
    <t>SASV-00564.1</t>
  </si>
  <si>
    <t>SEC 5.0/1</t>
  </si>
  <si>
    <t>SASV-00565.1</t>
  </si>
  <si>
    <t>SEC 6.0/1</t>
  </si>
  <si>
    <t>SASV-00566.1</t>
  </si>
  <si>
    <t>SEC 7.0/1</t>
  </si>
  <si>
    <t>SASV-00567.1</t>
  </si>
  <si>
    <t>SEC 8.0/1</t>
  </si>
  <si>
    <t>SASV-00568.1</t>
  </si>
  <si>
    <t>SEC 9.0/1</t>
  </si>
  <si>
    <t>SASV-00667.1</t>
  </si>
  <si>
    <t>SEC 10.0/1</t>
  </si>
  <si>
    <t>SASV-00569.1</t>
  </si>
  <si>
    <t>SEC 11.0/1</t>
  </si>
  <si>
    <t>SASV-00570.1</t>
  </si>
  <si>
    <t>SEC 12.0/1</t>
  </si>
  <si>
    <t>SASV-00571.1</t>
  </si>
  <si>
    <t>SEC 13.0/1</t>
  </si>
  <si>
    <t>SASV-00572.1</t>
  </si>
  <si>
    <t>SEC 14.0/1</t>
  </si>
  <si>
    <t>SASV-00573.1</t>
  </si>
  <si>
    <t>SEC 15.0/1</t>
  </si>
  <si>
    <t>SASV-00574.1</t>
  </si>
  <si>
    <t>SEC 16.0/1</t>
  </si>
  <si>
    <t>SASV-00575.1</t>
  </si>
  <si>
    <t>SEC 17.0/1</t>
  </si>
  <si>
    <t xml:space="preserve">
Security 2
</t>
  </si>
  <si>
    <t>SASV-00560.2</t>
  </si>
  <si>
    <t>SEC 1.0/2</t>
  </si>
  <si>
    <t>SASV-00561.2</t>
  </si>
  <si>
    <t>SEC 2.0/2</t>
  </si>
  <si>
    <t>SASV-00562.2</t>
  </si>
  <si>
    <t>SEC 3.0/2</t>
  </si>
  <si>
    <t>SASV-00563.2</t>
  </si>
  <si>
    <t>SEC 4.0/2</t>
  </si>
  <si>
    <t>SASV-00564.2</t>
  </si>
  <si>
    <t>SEC 5.0/2</t>
  </si>
  <si>
    <t>SASV-00565.2</t>
  </si>
  <si>
    <t>SEC 6.0/2</t>
  </si>
  <si>
    <t>SASV-00566.2</t>
  </si>
  <si>
    <t>SEC 7.0/2</t>
  </si>
  <si>
    <t>SASV-00567.2</t>
  </si>
  <si>
    <t>SEC 8.0/2</t>
  </si>
  <si>
    <t>SASV-00568.2</t>
  </si>
  <si>
    <t>SEC 9.0/2</t>
  </si>
  <si>
    <t>SASV-00667.2</t>
  </si>
  <si>
    <t>SEC 10.0/2</t>
  </si>
  <si>
    <t>SASV-00569.2</t>
  </si>
  <si>
    <t>SEC 11.0/2</t>
  </si>
  <si>
    <t>SASV-00570.2</t>
  </si>
  <si>
    <t>SEC 12.0/2</t>
  </si>
  <si>
    <t>SASV-00571.2</t>
  </si>
  <si>
    <t>SEC 13.0/2</t>
  </si>
  <si>
    <t>SASV-00572.2</t>
  </si>
  <si>
    <t>SEC 14.0/2</t>
  </si>
  <si>
    <t>SASV-00573.2</t>
  </si>
  <si>
    <t>SEC 15.0/2</t>
  </si>
  <si>
    <t>SASV-00574.2</t>
  </si>
  <si>
    <t>SEC 16.0/2</t>
  </si>
  <si>
    <t>SASV-00575.2</t>
  </si>
  <si>
    <t>SEC 17.0/2</t>
  </si>
  <si>
    <t xml:space="preserve">
Security 3
</t>
  </si>
  <si>
    <t>SASV-00560.3</t>
  </si>
  <si>
    <t>SEC 1.0/3</t>
  </si>
  <si>
    <t>Security over property</t>
  </si>
  <si>
    <t>SASV-00561.3</t>
  </si>
  <si>
    <t>SEC 2.0/3</t>
  </si>
  <si>
    <t>SASV-00562.3</t>
  </si>
  <si>
    <t>SEC 3.0/3</t>
  </si>
  <si>
    <t>SASV-00563.3</t>
  </si>
  <si>
    <t>SEC 4.0/3</t>
  </si>
  <si>
    <t>SASV-00564.3</t>
  </si>
  <si>
    <t>SEC 5.0/3</t>
  </si>
  <si>
    <t>SASV-00565.3</t>
  </si>
  <si>
    <t>SEC 6.0/3</t>
  </si>
  <si>
    <t>SASV-00566.3</t>
  </si>
  <si>
    <t>SEC 7.0/3</t>
  </si>
  <si>
    <t>SASV-00567.3</t>
  </si>
  <si>
    <t>SEC 8.0/3</t>
  </si>
  <si>
    <t>SASV-00568.3</t>
  </si>
  <si>
    <t>SEC 9.0/3</t>
  </si>
  <si>
    <t>SASV-00667.3</t>
  </si>
  <si>
    <t>SEC 10.0/3</t>
  </si>
  <si>
    <t>SASV-00569.3</t>
  </si>
  <si>
    <t>SEC 11.0/3</t>
  </si>
  <si>
    <t>SASV-00570.3</t>
  </si>
  <si>
    <t>SEC 12.0/3</t>
  </si>
  <si>
    <t>SASV-00571.3</t>
  </si>
  <si>
    <t>SEC 13.0/3</t>
  </si>
  <si>
    <t>SASV-00572.3</t>
  </si>
  <si>
    <t>SEC 14.0/3</t>
  </si>
  <si>
    <t>SASV-00573.3</t>
  </si>
  <si>
    <t>SEC 15.0/3</t>
  </si>
  <si>
    <t>SASV-00574.3</t>
  </si>
  <si>
    <t>SEC 16.0/3</t>
  </si>
  <si>
    <t>SASV-00575.3</t>
  </si>
  <si>
    <t>SEC 17.0/3</t>
  </si>
  <si>
    <t xml:space="preserve">
Security 4
</t>
  </si>
  <si>
    <t>SASV-00560.4</t>
  </si>
  <si>
    <t>SEC 1.0/4</t>
  </si>
  <si>
    <t>SASV-00561.4</t>
  </si>
  <si>
    <t>SEC 2.0/4</t>
  </si>
  <si>
    <t>SASV-00562.4</t>
  </si>
  <si>
    <t>SEC 3.0/4</t>
  </si>
  <si>
    <t>SASV-00563.4</t>
  </si>
  <si>
    <t>SEC 4.0/4</t>
  </si>
  <si>
    <t>SASV-00564.4</t>
  </si>
  <si>
    <t>SEC 5.0/4</t>
  </si>
  <si>
    <t>SASV-00565.4</t>
  </si>
  <si>
    <t>SEC 6.0/4</t>
  </si>
  <si>
    <t>SASV-00566.4</t>
  </si>
  <si>
    <t>SEC 7.0/4</t>
  </si>
  <si>
    <t>SASV-00567.4</t>
  </si>
  <si>
    <t>SEC 8.0/4</t>
  </si>
  <si>
    <t>SASV-00568.4</t>
  </si>
  <si>
    <t>SEC 9.0/4</t>
  </si>
  <si>
    <t>SASV-00667.4</t>
  </si>
  <si>
    <t>SEC 10.0/4</t>
  </si>
  <si>
    <t>SASV-00569.4</t>
  </si>
  <si>
    <t>SEC 11.0/4</t>
  </si>
  <si>
    <t>SASV-00570.4</t>
  </si>
  <si>
    <t>SEC 12.0/4</t>
  </si>
  <si>
    <t>SASV-00571.4</t>
  </si>
  <si>
    <t>SEC 13.0/4</t>
  </si>
  <si>
    <t>SASV-00572.4</t>
  </si>
  <si>
    <t>SEC 14.0/4</t>
  </si>
  <si>
    <t>SASV-00573.4</t>
  </si>
  <si>
    <t>SEC 15.0/4</t>
  </si>
  <si>
    <t>SASV-00574.4</t>
  </si>
  <si>
    <t>SEC 16.0/4</t>
  </si>
  <si>
    <t>SASV-00575.4</t>
  </si>
  <si>
    <t>SEC 17.0/4</t>
  </si>
  <si>
    <t xml:space="preserve">
Security 5
</t>
  </si>
  <si>
    <t>SEC 1.0/5</t>
  </si>
  <si>
    <t>SASV-00561.5</t>
  </si>
  <si>
    <t>SEC 2.0/5</t>
  </si>
  <si>
    <t>SASV-00562.5</t>
  </si>
  <si>
    <t>SEC 3.0/5</t>
  </si>
  <si>
    <t>SASV-00563.5</t>
  </si>
  <si>
    <t>SEC 4.0/5</t>
  </si>
  <si>
    <t>SASV-00564.5</t>
  </si>
  <si>
    <t>SEC 5.0/5</t>
  </si>
  <si>
    <t>SASV-00565.5</t>
  </si>
  <si>
    <t>SEC 6.0/5</t>
  </si>
  <si>
    <t>SASV-00566.5</t>
  </si>
  <si>
    <t>SEC 7.0/5</t>
  </si>
  <si>
    <t>SASV-00567.5</t>
  </si>
  <si>
    <t>SEC 8.0/5</t>
  </si>
  <si>
    <t>SASV-00568.5</t>
  </si>
  <si>
    <t>SEC 9.0/5</t>
  </si>
  <si>
    <t>SASV-00667.5</t>
  </si>
  <si>
    <t>SEC 10.0/5</t>
  </si>
  <si>
    <t>SASV-00569.5</t>
  </si>
  <si>
    <t>SEC 11.0/5</t>
  </si>
  <si>
    <t>SASV-00570.5</t>
  </si>
  <si>
    <t>SEC 12.0/5</t>
  </si>
  <si>
    <t>SASV-00571.5</t>
  </si>
  <si>
    <t>SEC 13.0/5</t>
  </si>
  <si>
    <t>SASV-00572.5</t>
  </si>
  <si>
    <t>SEC 14.0/5</t>
  </si>
  <si>
    <t>SASV-00573.5</t>
  </si>
  <si>
    <t>SEC 15.0/5</t>
  </si>
  <si>
    <t>SASV-00574.5</t>
  </si>
  <si>
    <t>SEC 16.0/5</t>
  </si>
  <si>
    <t>SASV-00575.5</t>
  </si>
  <si>
    <t>SEC 17.0/5</t>
  </si>
  <si>
    <t xml:space="preserve">
Other contingent assets
</t>
  </si>
  <si>
    <t>This worksheet collects data and information relating to other contingent assets which the scheme relies on to take funding and investment risk above what the employer can support. You will be asked for details about each of the other contingent assets you indicated you wished to include details about in question CSI 21.0 and its triggers for access to value. 
There are 11 tables on this worksheet, each positioned one below the other with blank rows between them.
Columns on this worksheet:
- A: the unique question number.
- B: the question.
- C: the answer.
- D: an error message appears here if there has been an error.
- E: guidance on how to answer the question.
- F: a place for you to annotate questions and answers for those checking the spreadsheet. This is not for The Pensions Regulator (TPR), and you must delete the notes from the final worksheet before submitting the spreadsheet.
Enter details only for the number of other contingent assets you indicated you wish to include details about (CSI.21.0).
Find further guidance in The Pension Regulator's covenant guidance: Contingent assets.</t>
  </si>
  <si>
    <t>Other contingent assets 1</t>
  </si>
  <si>
    <t>SASV-00576.1</t>
  </si>
  <si>
    <t>OA 1.0/1</t>
  </si>
  <si>
    <t>SASV-00577.1</t>
  </si>
  <si>
    <t>OA 2.0/1</t>
  </si>
  <si>
    <t>SASV-00578.1</t>
  </si>
  <si>
    <t>OA 3.0/1</t>
  </si>
  <si>
    <t>Evergreen</t>
  </si>
  <si>
    <t>SASV-00579.1</t>
  </si>
  <si>
    <t>OA 4.0/1</t>
  </si>
  <si>
    <t>SASV-00580.1</t>
  </si>
  <si>
    <t>OA 5.0/1</t>
  </si>
  <si>
    <t>SASV-00581.1</t>
  </si>
  <si>
    <t>OA 6.0/1</t>
  </si>
  <si>
    <t>SASV-00582.1</t>
  </si>
  <si>
    <t>OA 7.0/1</t>
  </si>
  <si>
    <t>SASV-00583.1</t>
  </si>
  <si>
    <t>OA 8.0/1</t>
  </si>
  <si>
    <t>SASV-00584.1</t>
  </si>
  <si>
    <t>OA 9.0/1</t>
  </si>
  <si>
    <t>SASV-00668.1</t>
  </si>
  <si>
    <t>OA 10.0/1</t>
  </si>
  <si>
    <t>SASV-00585.1</t>
  </si>
  <si>
    <t>OA 11.0/1</t>
  </si>
  <si>
    <t>SASV-00586.1</t>
  </si>
  <si>
    <t>OA 12.0/1</t>
  </si>
  <si>
    <t>SASV-00587.1</t>
  </si>
  <si>
    <t>OA 13.0/1</t>
  </si>
  <si>
    <t>SASV-00588.1</t>
  </si>
  <si>
    <t>OA 14.0/1</t>
  </si>
  <si>
    <t>SASV-00589.1</t>
  </si>
  <si>
    <t>OA 15.0/1</t>
  </si>
  <si>
    <t>SASV-00590.1</t>
  </si>
  <si>
    <t>OA 16.0/1</t>
  </si>
  <si>
    <t>SASV-00591.1</t>
  </si>
  <si>
    <t>OA 17.0/1</t>
  </si>
  <si>
    <t xml:space="preserve">
Other contingent assets 2
</t>
  </si>
  <si>
    <t>SASV-00576.2</t>
  </si>
  <si>
    <t>OA 1.0/2</t>
  </si>
  <si>
    <t>Surety bond</t>
  </si>
  <si>
    <t>SASV-00577.2</t>
  </si>
  <si>
    <t>OA 2.0/2</t>
  </si>
  <si>
    <t>SASV-00578.2</t>
  </si>
  <si>
    <t>OA 3.0/2</t>
  </si>
  <si>
    <t>SASV-00579.2</t>
  </si>
  <si>
    <t>OA 4.0/2</t>
  </si>
  <si>
    <t>SASV-00580.2</t>
  </si>
  <si>
    <t>OA 5.0/2</t>
  </si>
  <si>
    <t>SASV-00581.2</t>
  </si>
  <si>
    <t>OA 6.0/2</t>
  </si>
  <si>
    <t>SASV-00582.2</t>
  </si>
  <si>
    <t>OA 7.0/2</t>
  </si>
  <si>
    <t>SASV-00583.2</t>
  </si>
  <si>
    <t>OA 8.0/2</t>
  </si>
  <si>
    <t>SASV-00584.2</t>
  </si>
  <si>
    <t>OA 9.0/2</t>
  </si>
  <si>
    <t>SASV-00668.2</t>
  </si>
  <si>
    <t>OA 10.0/2</t>
  </si>
  <si>
    <t>SASV-00585.2</t>
  </si>
  <si>
    <t>OA 11.0/2</t>
  </si>
  <si>
    <t>SASV-00586.2</t>
  </si>
  <si>
    <t>OA 12.0/2</t>
  </si>
  <si>
    <t>SASV-00587.2</t>
  </si>
  <si>
    <t>OA 13.0/2</t>
  </si>
  <si>
    <t>SASV-00588.2</t>
  </si>
  <si>
    <t>OA 14.0/2</t>
  </si>
  <si>
    <t>SASV-00589.2</t>
  </si>
  <si>
    <t>OA 15.0/2</t>
  </si>
  <si>
    <t>SASV-00590.2</t>
  </si>
  <si>
    <t>OA 16.0/2</t>
  </si>
  <si>
    <t>SASV-00591.2</t>
  </si>
  <si>
    <t>OA 17.0/2</t>
  </si>
  <si>
    <t xml:space="preserve">
Other contingent assets 3
</t>
  </si>
  <si>
    <t>SASV-00576.3</t>
  </si>
  <si>
    <t>OA 1.0/3</t>
  </si>
  <si>
    <t>Letter of credit</t>
  </si>
  <si>
    <t>SASV-00577.3</t>
  </si>
  <si>
    <t>OA 2.0/3</t>
  </si>
  <si>
    <t>SASV-00578.3</t>
  </si>
  <si>
    <t>OA 3.0/3</t>
  </si>
  <si>
    <t>SASV-00579.3</t>
  </si>
  <si>
    <t>OA 4.0/3</t>
  </si>
  <si>
    <t>SASV-00580.3</t>
  </si>
  <si>
    <t>OA 5.0/3</t>
  </si>
  <si>
    <t>SASV-00581.3</t>
  </si>
  <si>
    <t>OA 6.0/3</t>
  </si>
  <si>
    <t>SASV-00582.3</t>
  </si>
  <si>
    <t>OA 7.0/3</t>
  </si>
  <si>
    <t>SASV-00583.3</t>
  </si>
  <si>
    <t>OA 8.0/3</t>
  </si>
  <si>
    <t>SASV-00584.3</t>
  </si>
  <si>
    <t>OA 9.0/3</t>
  </si>
  <si>
    <t>SASV-00668.3</t>
  </si>
  <si>
    <t>OA 10.0/3</t>
  </si>
  <si>
    <t>SASV-00585.3</t>
  </si>
  <si>
    <t>OA 11.0/3</t>
  </si>
  <si>
    <t>SASV-00586.3</t>
  </si>
  <si>
    <t>OA 12.0/3</t>
  </si>
  <si>
    <t>SASV-00587.3</t>
  </si>
  <si>
    <t>OA 13.0/3</t>
  </si>
  <si>
    <t>SASV-00588.3</t>
  </si>
  <si>
    <t>OA 14.0/3</t>
  </si>
  <si>
    <t>SASV-00589.3</t>
  </si>
  <si>
    <t>OA 15.0/3</t>
  </si>
  <si>
    <t>SASV-00590.3</t>
  </si>
  <si>
    <t>OA 16.0/3</t>
  </si>
  <si>
    <t>SASV-00591.3</t>
  </si>
  <si>
    <t>OA 17.0/3</t>
  </si>
  <si>
    <t xml:space="preserve">
Other contingent assets 4
</t>
  </si>
  <si>
    <t>SASV-00576.4</t>
  </si>
  <si>
    <t>OA 1.0/4</t>
  </si>
  <si>
    <t>Bank guarantee</t>
  </si>
  <si>
    <t>SASV-00577.4</t>
  </si>
  <si>
    <t>OA 2.0/4</t>
  </si>
  <si>
    <t>SASV-00578.4</t>
  </si>
  <si>
    <t>OA 3.0/4</t>
  </si>
  <si>
    <t>SASV-00579.4</t>
  </si>
  <si>
    <t>OA 4.0/4</t>
  </si>
  <si>
    <t>SASV-00580.4</t>
  </si>
  <si>
    <t>OA 5.0/4</t>
  </si>
  <si>
    <t>SASV-00581.4</t>
  </si>
  <si>
    <t>OA 6.0/4</t>
  </si>
  <si>
    <t>SASV-00582.4</t>
  </si>
  <si>
    <t>OA 7.0/4</t>
  </si>
  <si>
    <t>SASV-00583.4</t>
  </si>
  <si>
    <t>OA 8.0/4</t>
  </si>
  <si>
    <t>SASV-00584.4</t>
  </si>
  <si>
    <t>OA 9.0/4</t>
  </si>
  <si>
    <t>SASV-00668.4</t>
  </si>
  <si>
    <t>OA 10.0/4</t>
  </si>
  <si>
    <t>SASV-00585.4</t>
  </si>
  <si>
    <t>OA 11.0/4</t>
  </si>
  <si>
    <t>SASV-00586.4</t>
  </si>
  <si>
    <t>OA 12.0/4</t>
  </si>
  <si>
    <t>SASV-00587.4</t>
  </si>
  <si>
    <t>OA 13.0/4</t>
  </si>
  <si>
    <t>SASV-00588.4</t>
  </si>
  <si>
    <t>OA 14.0/4</t>
  </si>
  <si>
    <t>SASV-00589.4</t>
  </si>
  <si>
    <t>OA 15.0/4</t>
  </si>
  <si>
    <t>SASV-00590.4</t>
  </si>
  <si>
    <t>OA 16.0/4</t>
  </si>
  <si>
    <t>SASV-00591.4</t>
  </si>
  <si>
    <t>OA 17.0/4</t>
  </si>
  <si>
    <t xml:space="preserve">
Other contingent assets 5
</t>
  </si>
  <si>
    <t>SASV-00576.5</t>
  </si>
  <si>
    <t>OA 1.0/5</t>
  </si>
  <si>
    <t>SASV-00577.5</t>
  </si>
  <si>
    <t>OA 2.0/5</t>
  </si>
  <si>
    <t>SASV-00578.5</t>
  </si>
  <si>
    <t>OA 3.0/5</t>
  </si>
  <si>
    <t>SASV-00579.5</t>
  </si>
  <si>
    <t>OA 4.0/5</t>
  </si>
  <si>
    <t>SASV-00580.5</t>
  </si>
  <si>
    <t>OA 5.0/5</t>
  </si>
  <si>
    <t>SASV-00581.5</t>
  </si>
  <si>
    <t>OA 6.0/5</t>
  </si>
  <si>
    <t>SASV-00582.5</t>
  </si>
  <si>
    <t>OA 7.0/5</t>
  </si>
  <si>
    <t>SASV-00583.5</t>
  </si>
  <si>
    <t>OA 8.0/5</t>
  </si>
  <si>
    <t>SASV-00584.5</t>
  </si>
  <si>
    <t>OA 9.0/5</t>
  </si>
  <si>
    <t>SASV-00668.5</t>
  </si>
  <si>
    <t>OA 10.0/5</t>
  </si>
  <si>
    <t>SASV-00585.5</t>
  </si>
  <si>
    <t>OA 11.0/5</t>
  </si>
  <si>
    <t>SASV-00586.5</t>
  </si>
  <si>
    <t>OA 12.0/5</t>
  </si>
  <si>
    <t>SASV-00587.5</t>
  </si>
  <si>
    <t>OA 13.0/5</t>
  </si>
  <si>
    <t>SASV-00588.5</t>
  </si>
  <si>
    <t>OA 14.0/5</t>
  </si>
  <si>
    <t>SASV-00589.5</t>
  </si>
  <si>
    <t>OA 15.0/5</t>
  </si>
  <si>
    <t>SASV-00590.5</t>
  </si>
  <si>
    <t>OA 16.0/5</t>
  </si>
  <si>
    <t>SASV-00591.5</t>
  </si>
  <si>
    <t>OA 17.0/5</t>
  </si>
  <si>
    <t xml:space="preserve">
Asset-backed contributions (ABCs)
</t>
  </si>
  <si>
    <t>This worksheet collects data relating to any asset-backed contribution arrangements the scheme is party to. 
There are seven tables on this worksheet, each positioned one below the other with blank rows between them.
Columns on this worksheet:
- A: the unique question number.
- B: the question.
- C: the answer.
- D: an error message appears here if there has been an error.
- E: guidance on how to answer the question.
- F: a place for you to annotate questions and answers for those checking the spreadsheet. This is not for The Pensions Regulator (TPR), and you must delete the notes from the final worksheet before submitting the spreadsheet.
Enter details only for the number of asset-backed contributions you indicate in question ABC 1.0 that you wish to include details about.
Find further guidance in The Pension Regulator's covenant guidance: Contingent assets.</t>
  </si>
  <si>
    <t>Asset-backed contributions</t>
  </si>
  <si>
    <t>ABC 1.0</t>
  </si>
  <si>
    <t>ABC 2.0</t>
  </si>
  <si>
    <t>Asset-backed contribution details 1</t>
  </si>
  <si>
    <t>ABC 3.0/1</t>
  </si>
  <si>
    <t>ABC 4.0/1</t>
  </si>
  <si>
    <t>ABC 5.0/1</t>
  </si>
  <si>
    <t>ABC 6.0/1</t>
  </si>
  <si>
    <t>ABC 7.0/1</t>
  </si>
  <si>
    <t>ABC 8.0/1</t>
  </si>
  <si>
    <t>ABC 9.0/1</t>
  </si>
  <si>
    <t>ABC 10.0/1</t>
  </si>
  <si>
    <t>ABC 11.0/1</t>
  </si>
  <si>
    <t>ABC 12.0/1</t>
  </si>
  <si>
    <t>Asset-backed contribution details 2</t>
  </si>
  <si>
    <t>ABC 3.0/2</t>
  </si>
  <si>
    <t>Cash</t>
  </si>
  <si>
    <t>ABC 4.0/2</t>
  </si>
  <si>
    <t>ABC 5.0/2</t>
  </si>
  <si>
    <t>ABC 6.0/2</t>
  </si>
  <si>
    <t>ABC 7.0/2</t>
  </si>
  <si>
    <t>ABC 8.0/2</t>
  </si>
  <si>
    <t>ABC 9.0/2</t>
  </si>
  <si>
    <t>ABC 10.0/2</t>
  </si>
  <si>
    <t>ABC 11.0/2</t>
  </si>
  <si>
    <t>ABC 12.0/2</t>
  </si>
  <si>
    <t>Asset-backed contribution details 3</t>
  </si>
  <si>
    <t>ABC 3.0/3</t>
  </si>
  <si>
    <t>Security over other tangible assets</t>
  </si>
  <si>
    <t>ABC 4.0/3</t>
  </si>
  <si>
    <t>ABC 5.0/3</t>
  </si>
  <si>
    <t>ABC 6.0/3</t>
  </si>
  <si>
    <t>ABC 7.0/3</t>
  </si>
  <si>
    <t>ABC 8.0/3</t>
  </si>
  <si>
    <t>ABC 9.0/3</t>
  </si>
  <si>
    <t>ABC 10.0/3</t>
  </si>
  <si>
    <t>ABC 11.0/3</t>
  </si>
  <si>
    <t>ABC 12.0/3</t>
  </si>
  <si>
    <t>Asset-backed contribution details 4</t>
  </si>
  <si>
    <t>ABC 3.0/4</t>
  </si>
  <si>
    <t>ABC 4.0/4</t>
  </si>
  <si>
    <t>ABC 5.0/4</t>
  </si>
  <si>
    <t>ABC 6.0/4</t>
  </si>
  <si>
    <t>ABC 7.0/4</t>
  </si>
  <si>
    <t>ABC 8.0/4</t>
  </si>
  <si>
    <t>ABC 9.0/4</t>
  </si>
  <si>
    <t>ABC 10.0/4</t>
  </si>
  <si>
    <t>ABC 11.0/4</t>
  </si>
  <si>
    <t>ABC 12.0/4</t>
  </si>
  <si>
    <t>Asset-backed contribution details 5</t>
  </si>
  <si>
    <t>ABC 3.0/5</t>
  </si>
  <si>
    <t>Security over receivable balances</t>
  </si>
  <si>
    <t>ABC 4.0/5</t>
  </si>
  <si>
    <t>ABC 5.0/5</t>
  </si>
  <si>
    <t>ABC 6.0/5</t>
  </si>
  <si>
    <t>ABC 7.0/5</t>
  </si>
  <si>
    <t>ABC 8.0/5</t>
  </si>
  <si>
    <t>ABC 9.0/5</t>
  </si>
  <si>
    <t>ABC 10.0/5</t>
  </si>
  <si>
    <t>ABC 11.0/5</t>
  </si>
  <si>
    <t>ABC 12.0/5</t>
  </si>
  <si>
    <t xml:space="preserve">
ABC income stream
</t>
  </si>
  <si>
    <t>This worksheet collects data on the expected future income streams for the asset-backed contributions (ABC) you wish to include details about.
There are two tables on this worksheet, each positioned one below the other with blank rows between them.
Columns on this worksheet:
- A: the unique question number.
- B: the question.
- C to G: input your expected future income from years 1 to 20 and the total thereafter.
- H: an error message appears here if there has been an error.
- I: guidance on how to answer the question.
- J: a place for you to annotate questions and answers for those checking the spreadsheet. This is not for The Pensions Regulator (TPR), and you must delete the notes from the final worksheet before submitting the spreadsheet.
Find further guidance in The Pension Regulator's covenant guidance: Contingent assets.</t>
  </si>
  <si>
    <t>ABC Income Stream</t>
  </si>
  <si>
    <t>ABC 1
(£)</t>
  </si>
  <si>
    <t>ABC 2
(£)</t>
  </si>
  <si>
    <t>ABC 3
(£)</t>
  </si>
  <si>
    <t>ABC 4
(£)</t>
  </si>
  <si>
    <t>ABC 5
(£)</t>
  </si>
  <si>
    <t>AIS 1.0/1-5</t>
  </si>
  <si>
    <t>AIS 2.0/1-5</t>
  </si>
  <si>
    <t>AIS 3.0/1-5</t>
  </si>
  <si>
    <t>AIS 4.0/1-5</t>
  </si>
  <si>
    <t>AIS 5.0/1-5</t>
  </si>
  <si>
    <t>AIS 6.0/1-5</t>
  </si>
  <si>
    <t>AIS 7.0/1-5</t>
  </si>
  <si>
    <t>AIS 8.0/1-5</t>
  </si>
  <si>
    <t>AIS 9.0/1-5</t>
  </si>
  <si>
    <t>AIS 10.0/1-5</t>
  </si>
  <si>
    <t>AIS 11.0/1-5</t>
  </si>
  <si>
    <t>AIS 12.0/1-5</t>
  </si>
  <si>
    <t>AIS 13.0/1-5</t>
  </si>
  <si>
    <t>AIS 14.0/1-5</t>
  </si>
  <si>
    <t>AIS 15.0/1-5</t>
  </si>
  <si>
    <t>AIS 16.0/1-5</t>
  </si>
  <si>
    <t>AIS 17.0/1-5</t>
  </si>
  <si>
    <t>AIS 18.0/1-5</t>
  </si>
  <si>
    <t>AIS 19.0/1-5</t>
  </si>
  <si>
    <t>AIS 20.0/1-5</t>
  </si>
  <si>
    <t>AIS 21.0/1-5</t>
  </si>
  <si>
    <t xml:space="preserve">
Error report
</t>
  </si>
  <si>
    <t xml:space="preserve">
Help to use this worksheet
</t>
  </si>
  <si>
    <t>Refresh</t>
  </si>
  <si>
    <t xml:space="preserve">
Statement of strategy
</t>
  </si>
  <si>
    <t>Help to use this worksheet</t>
  </si>
  <si>
    <t xml:space="preserve">
Use this worksheet to print your statement of strategy, share it with your stakeholders, and get it signed off by the chair of trustees.
When you have filled in every required field and fixed any errors on the spreadsheet, complete the following steps to ensure the statement of strategy is laid out correctly.
1. Select all the rows in the statement of strategy worksheet.
2. Select Home &gt; Cells &gt; Format.
3. Select AutoFit Row Height.
4. Click the refresh the statement button.</t>
  </si>
  <si>
    <t>Note to dev: this column should be 115 width</t>
  </si>
  <si>
    <t>Important</t>
  </si>
  <si>
    <t xml:space="preserve">
While reviewing your output PDF, you may find that some sentences have been split across pages. If this happens, go back to the relevant cell in the spreadsheet that contains your answer and insert a line break before the split sentence (using Alt+Enter).
Note: If you make further changes to any of the worksheets, repeat this process before printing.</t>
  </si>
  <si>
    <t>SOS refresh</t>
  </si>
  <si>
    <t>Row Heights</t>
  </si>
  <si>
    <t>Blank row</t>
  </si>
  <si>
    <t>Control:</t>
  </si>
  <si>
    <t>SASV ID</t>
  </si>
  <si>
    <t>Base content 1</t>
  </si>
  <si>
    <t>Base content 2</t>
  </si>
  <si>
    <t>Base content 3</t>
  </si>
  <si>
    <t>Bespoke pre-relevant content</t>
  </si>
  <si>
    <t>Bespoke post-relevant content</t>
  </si>
  <si>
    <t>Fast track pre-relevant content</t>
  </si>
  <si>
    <t>Fast track post-relevant content</t>
  </si>
  <si>
    <t>To spreadsheet</t>
  </si>
  <si>
    <t>[SASV-00008]</t>
  </si>
  <si>
    <t>[SASV-00009]</t>
  </si>
  <si>
    <t xml:space="preserve">Pension Scheme Regsitry (PSR) number: </t>
  </si>
  <si>
    <t xml:space="preserve">Statement type: </t>
  </si>
  <si>
    <t xml:space="preserve">Name of the chair of trustees: </t>
  </si>
  <si>
    <t>[SASV-00190] 
[SASV-00191]</t>
  </si>
  <si>
    <t>Signature of the chair of trustees</t>
  </si>
  <si>
    <t>This document is signed by the chair of trustees on behalf of the trustees of the scheme.</t>
  </si>
  <si>
    <t>Signature of the chair of trustees:</t>
  </si>
  <si>
    <t>Date:</t>
  </si>
  <si>
    <t>Part 1: funding and investment strategy</t>
  </si>
  <si>
    <t>This funding and investment strategy sets out the trustees’ strategy for ensuring that pensions and other benefits under the scheme can be provided over the long term.</t>
  </si>
  <si>
    <t>Actuarial valuation</t>
  </si>
  <si>
    <t>[SASV-00011]</t>
  </si>
  <si>
    <t xml:space="preserve">The actuarial valuation to which this funding and investment strategy relates has an effective date of </t>
  </si>
  <si>
    <t>The scheme’s funding level as at the effective date of the actuarial valuation is as follows:</t>
  </si>
  <si>
    <t>[SASV-00012]</t>
  </si>
  <si>
    <t xml:space="preserve">• Low dependency funding basis: </t>
  </si>
  <si>
    <t>[SASV-00013]</t>
  </si>
  <si>
    <t xml:space="preserve">• Technical provisions basis: </t>
  </si>
  <si>
    <t>Relevant date</t>
  </si>
  <si>
    <t>[SASV-00015]</t>
  </si>
  <si>
    <t xml:space="preserve">The trustees have selected </t>
  </si>
  <si>
    <t xml:space="preserve"> as the scheme’s relevant date.</t>
  </si>
  <si>
    <t xml:space="preserve">The scheme's relevant date is </t>
  </si>
  <si>
    <t>[SASV-00016]</t>
  </si>
  <si>
    <t>The trustees intend that as at the relevant date:</t>
  </si>
  <si>
    <t>The trustees' intention was that as at the relevant date:</t>
  </si>
  <si>
    <t>[SASV-00017]</t>
  </si>
  <si>
    <t xml:space="preserve">•   the scheme’s funding level on a low dependency funding basis will be </t>
  </si>
  <si>
    <t xml:space="preserve">•   the scheme’s funding level on a low dependency funding basis should have been </t>
  </si>
  <si>
    <t>•   the assets of the scheme will be invested as follows:</t>
  </si>
  <si>
    <t>•   the assets of the scheme should have been invested as follows:</t>
  </si>
  <si>
    <t>[SASV-00018]</t>
  </si>
  <si>
    <t xml:space="preserve">    o   Growth: </t>
  </si>
  <si>
    <t>[SASV-00019]</t>
  </si>
  <si>
    <t xml:space="preserve">    o   Matching: </t>
  </si>
  <si>
    <t>•   of these assets, those that represent any anticipated surplus assets above the minimum funding level will be invested as follows:</t>
  </si>
  <si>
    <t>•   of these assets, those that represent any anticipated surplus assets above the minimum funding level should have been invested as follows:</t>
  </si>
  <si>
    <t>[SASV-00021]</t>
  </si>
  <si>
    <t>[SASV-00022]</t>
  </si>
  <si>
    <t>Long-term funding strategy</t>
  </si>
  <si>
    <t>The trustees’ funding journey plan is illustrated by the following:</t>
  </si>
  <si>
    <t>The trustees’ funding journey plan, once fully funded on a technical provisions basis, is illustrated by the following:</t>
  </si>
  <si>
    <t>The trustees’ long-term funding strategy is illustrated by the following:</t>
  </si>
  <si>
    <t>•   The discount rates and other assumptions used to calculate the:</t>
  </si>
  <si>
    <t xml:space="preserve">    o   scheme’s technical provisions in the actuarial valuation</t>
  </si>
  <si>
    <t xml:space="preserve">    o   intended low dependency funding level at the relevant date, as set out in Appendix 1 </t>
  </si>
  <si>
    <t xml:space="preserve">    o   low dependency funding level in the actuarial valuation, as set out in Appendix 1</t>
  </si>
  <si>
    <t xml:space="preserve">•   The differences between the above two sets of assumptions, as set out in Appendix 1. </t>
  </si>
  <si>
    <t xml:space="preserve">•   How the trustees expect the discount rate or rates to change over time, which can be summarised as follows: </t>
  </si>
  <si>
    <t>[SASV-00023]</t>
  </si>
  <si>
    <t>•   How the trustees expect the discount rate or rates to change over time, as set out in Appendix 1.</t>
  </si>
  <si>
    <t>[SASV-00024] - first 1000 characters</t>
  </si>
  <si>
    <t>[SASV-00024] - 1001 to 2000 characters</t>
  </si>
  <si>
    <t>[SASV-00024] - 2001 to 3000 characters</t>
  </si>
  <si>
    <t>[SASV-00024] - 3001 to 4000 characters</t>
  </si>
  <si>
    <t>Long-term objective</t>
  </si>
  <si>
    <t>The trustees’ current strategy is for benefits to be provided over the long term in the following way:</t>
  </si>
  <si>
    <t>[SASV-00025]</t>
  </si>
  <si>
    <t>Confirmation of agreement</t>
  </si>
  <si>
    <t>This funding and investment strategy has been agreed by the trustees and the employers.</t>
  </si>
  <si>
    <t xml:space="preserve">This funding and investment strategy has been agreed by the trustees following consultation with the employer or employers. </t>
  </si>
  <si>
    <t>Part 2: supplementary matters</t>
  </si>
  <si>
    <t>Trustee assessment</t>
  </si>
  <si>
    <t xml:space="preserve">How appropriate the funding and investment strategy is </t>
  </si>
  <si>
    <t xml:space="preserve">The trustees have considered whether, and to what extent, the funding and investment strategy is, or remains, appropriate. They have concluded the following:  </t>
  </si>
  <si>
    <t>[SASV-00027]</t>
  </si>
  <si>
    <t xml:space="preserve">Implementing the funding and investment strategy </t>
  </si>
  <si>
    <t xml:space="preserve">In the trustees’ opinion, the funding and investment strategy is being successfully implemented. </t>
  </si>
  <si>
    <t>In the trustees’ opinion, the extent to which the funding and investment strategy is being successfully implemented is as follows:</t>
  </si>
  <si>
    <t>[SASV-00028]</t>
  </si>
  <si>
    <t>Where the trustees do not consider that the funding and investment strategy is being successfully implemented in all respects, they propose taking the following steps to remedy the position (including details on timing):</t>
  </si>
  <si>
    <t>[SASV-00030]</t>
  </si>
  <si>
    <t>The main risks to the implementation of the funding and investment strategy, together with details of how the trustees intend to mitigate them, manage them, or both, are as follows:</t>
  </si>
  <si>
    <t>[SASV-00031]</t>
  </si>
  <si>
    <t xml:space="preserve">The trustees have not identified any significant past decisions relevant to the funding and investment strategy. </t>
  </si>
  <si>
    <t>The trustees have the following reflections on significant past decisions that are relevant to the funding and investment strategy. This includes any lessons learned that have affected other decisions or that may do so in the future:</t>
  </si>
  <si>
    <t>[SASV-00033]</t>
  </si>
  <si>
    <t>Estimate of scheme maturity</t>
  </si>
  <si>
    <r>
      <t>The actuary’s estimates of scheme maturity in the actuarial valuation</t>
    </r>
    <r>
      <rPr>
        <sz val="11"/>
        <color rgb="FFFFC000"/>
        <rFont val="Arial"/>
        <family val="2"/>
      </rPr>
      <t xml:space="preserve"> </t>
    </r>
    <r>
      <rPr>
        <sz val="11"/>
        <color rgb="FF000000"/>
        <rFont val="Arial"/>
        <family val="2"/>
      </rPr>
      <t>are as follows:</t>
    </r>
  </si>
  <si>
    <t>[SASV-00034]</t>
  </si>
  <si>
    <t>[SASV-00035]</t>
  </si>
  <si>
    <t>[SASV-00036]</t>
  </si>
  <si>
    <t>[SASV-00037]</t>
  </si>
  <si>
    <t>Evidence of how maturity is expected to change over time</t>
  </si>
  <si>
    <t xml:space="preserve">The scheme actuary’s estimates of maturity, as shown above, evidence how the maturity of the scheme is expected to change over time by demonstrating the expected change in the scheme’s duration over the journey plan, including when it is expected to reach significant maturity. </t>
  </si>
  <si>
    <t>Summary of actuarial valuation and recovery plan</t>
  </si>
  <si>
    <t>The existing funding position of the scheme as set out in the actuarial valuation is as follows:</t>
  </si>
  <si>
    <t>Technical provisions</t>
  </si>
  <si>
    <t>Low dependency</t>
  </si>
  <si>
    <t>Solvency</t>
  </si>
  <si>
    <t>Total assets</t>
  </si>
  <si>
    <t>Active member liabilities</t>
  </si>
  <si>
    <t>Deferred member liabilities</t>
  </si>
  <si>
    <t>Pensioner member liabilities</t>
  </si>
  <si>
    <t>Insured liabilities</t>
  </si>
  <si>
    <t>Expense reserves</t>
  </si>
  <si>
    <t>Total liabilities</t>
  </si>
  <si>
    <t>Funding level</t>
  </si>
  <si>
    <t>[SASV-00038]</t>
  </si>
  <si>
    <t>Total assets: Technical provisions</t>
  </si>
  <si>
    <t>[SASV-00039]</t>
  </si>
  <si>
    <t>Active member liabilities: Technical provisions</t>
  </si>
  <si>
    <t>[SASV-00040]</t>
  </si>
  <si>
    <t>Deferred member liabilities: Technical provisions</t>
  </si>
  <si>
    <t>[SASV-00041]</t>
  </si>
  <si>
    <t>Pensioner member liabilities: Technical provisions</t>
  </si>
  <si>
    <t>[SASV-00042]</t>
  </si>
  <si>
    <t>Insured liabilities: Technical provisions</t>
  </si>
  <si>
    <t>[SASV-00628]</t>
  </si>
  <si>
    <t>Defined contribution liabilities: Technical provisions</t>
  </si>
  <si>
    <t>[SASV-00629]</t>
  </si>
  <si>
    <t>Cash balance liabilities: Technical provisions</t>
  </si>
  <si>
    <t>[SASV-00043]</t>
  </si>
  <si>
    <t>Expense reserves: Technical provisions</t>
  </si>
  <si>
    <t>[SASV-00044]</t>
  </si>
  <si>
    <t>Total liabilities: Technical provisions</t>
  </si>
  <si>
    <t>Funding level: Technical provisions</t>
  </si>
  <si>
    <t>[SASV-00046]</t>
  </si>
  <si>
    <t>Total assets: Low dependency</t>
  </si>
  <si>
    <t>[SASV-00047]</t>
  </si>
  <si>
    <t>Active member liabilities: Low dependency</t>
  </si>
  <si>
    <t>[SASV-00048]</t>
  </si>
  <si>
    <t>Deferred member liabilities: Low dependency</t>
  </si>
  <si>
    <t>[SASV-00049]</t>
  </si>
  <si>
    <t>Pensioner member liabilities: Low dependency</t>
  </si>
  <si>
    <t>[SASV-00050]</t>
  </si>
  <si>
    <t>Insured liabilities: Low dependency</t>
  </si>
  <si>
    <t>[SASV-00630]</t>
  </si>
  <si>
    <t>Defined contribution liabilities: Low dependency</t>
  </si>
  <si>
    <t>[SASV-00631]</t>
  </si>
  <si>
    <t>Cash balance liabilities: Low dependency</t>
  </si>
  <si>
    <t>[SASV-00051]</t>
  </si>
  <si>
    <t>Expense reserves: Low dependency</t>
  </si>
  <si>
    <t>[SASV-00052]</t>
  </si>
  <si>
    <t>Total liabilities: Low dependency</t>
  </si>
  <si>
    <t>Funding level: Low dependency</t>
  </si>
  <si>
    <t>[SASV-00054]</t>
  </si>
  <si>
    <t>Total assets: Solvency</t>
  </si>
  <si>
    <t>[SASV-00055]</t>
  </si>
  <si>
    <t>Active member liabilities: Solvency</t>
  </si>
  <si>
    <t>[SASV-00056]</t>
  </si>
  <si>
    <t>Deferred member liabilities: Solvency</t>
  </si>
  <si>
    <t>[SASV-00057]</t>
  </si>
  <si>
    <t>Pensioner member liabilities: Solvency</t>
  </si>
  <si>
    <t>[SASV-00058]</t>
  </si>
  <si>
    <t>Insured liabilities: Solvency</t>
  </si>
  <si>
    <t>[SASV-00632]</t>
  </si>
  <si>
    <t>Defined contribution liabilities: Solvency</t>
  </si>
  <si>
    <t>[SASV-00633]</t>
  </si>
  <si>
    <t>Cash balance liabilities: Solvency</t>
  </si>
  <si>
    <t>[SASV-00059]</t>
  </si>
  <si>
    <t>Expense reserves: Solvency</t>
  </si>
  <si>
    <t>[SASV-00060]</t>
  </si>
  <si>
    <t>Total liabilities: Solvency</t>
  </si>
  <si>
    <t>[SASV-00061]</t>
  </si>
  <si>
    <t>Funding level: Solvency</t>
  </si>
  <si>
    <t>[SASV-00634]</t>
  </si>
  <si>
    <t xml:space="preserve">The future service contribution rate on an ongoing basis is </t>
  </si>
  <si>
    <t xml:space="preserve"> of pensionable salary.</t>
  </si>
  <si>
    <t>[SASV-00635]</t>
  </si>
  <si>
    <t xml:space="preserve">Pensionable salary at the valuation date was </t>
  </si>
  <si>
    <t>In relation to expense reserves, the trustees make the following observations:</t>
  </si>
  <si>
    <t>[SASV-00062]</t>
  </si>
  <si>
    <t>[SASV-00063]</t>
  </si>
  <si>
    <t xml:space="preserve">The proportion of the liabilities on a low dependency funding basis that are linked to inflation is </t>
  </si>
  <si>
    <t>[SASV-00064] and [SASV-00065]</t>
  </si>
  <si>
    <t xml:space="preserve">The forward yields table in Appendix 1 details the forward rates and premiums used to: </t>
  </si>
  <si>
    <t xml:space="preserve">•   calculate the technical provisions. </t>
  </si>
  <si>
    <t xml:space="preserve">•   specify the funding level, calculated in accordance with the low dependency funding basis, the trustees intend the scheme to have achieved at the relevant date. </t>
  </si>
  <si>
    <t>•   specify the funding level, calculated in accordance with the low dependency funding basis, as at the effective date of the actuarial valuation.</t>
  </si>
  <si>
    <t>Details of the undiscounted cash flows for the next 40 years, as used to calculate technical provisions, are shown in the cash flows table 
in Appendix 2.</t>
  </si>
  <si>
    <t>The scheme’s recovery plan can be summarised as follows:</t>
  </si>
  <si>
    <t>[SASV-00066]</t>
  </si>
  <si>
    <t xml:space="preserve">•   Date recovery plan commenced: </t>
  </si>
  <si>
    <t>[SASV-00067]</t>
  </si>
  <si>
    <t xml:space="preserve">•   Date recovery plan ends: </t>
  </si>
  <si>
    <t>[SASV-00068]</t>
  </si>
  <si>
    <t xml:space="preserve">•   Technical provisions deficit at valuation date: </t>
  </si>
  <si>
    <t>[SASV-00637] OR [SASV-00069]</t>
  </si>
  <si>
    <t xml:space="preserve">•   Assumed investment return over recovery plan period: </t>
  </si>
  <si>
    <t>[SASV-00070]</t>
  </si>
  <si>
    <t xml:space="preserve">•   Is there allowance for post valuation experience?: </t>
  </si>
  <si>
    <t>[SASV-00071]</t>
  </si>
  <si>
    <t xml:space="preserve">•   Estimated technical provisions deficit used for recovery plan purposes: </t>
  </si>
  <si>
    <t xml:space="preserve">The deficit repair contributions for each of the 20 years after the valuation date, and the total scheduled at any time thereafter are as follows: </t>
  </si>
  <si>
    <t xml:space="preserve">The deficit repair contributions for each of the first six years after the valuation date are as follows: </t>
  </si>
  <si>
    <t>The deficit repair contributions for each of the first three years after the valuation date:</t>
  </si>
  <si>
    <t>DRC Year</t>
  </si>
  <si>
    <t>DRC</t>
  </si>
  <si>
    <t>21+</t>
  </si>
  <si>
    <t>[SASV-00072]</t>
  </si>
  <si>
    <t>[SASV-00073]</t>
  </si>
  <si>
    <t>[SASV-00074]</t>
  </si>
  <si>
    <t>[SASV-00075]</t>
  </si>
  <si>
    <t>[SASV-00076]</t>
  </si>
  <si>
    <t>[SASV-00077]</t>
  </si>
  <si>
    <t>[SASV-00078]</t>
  </si>
  <si>
    <t>[SASV-00079]</t>
  </si>
  <si>
    <t>[SASV-00080]</t>
  </si>
  <si>
    <t>[SASV-00081]</t>
  </si>
  <si>
    <t>[SASV-00082]</t>
  </si>
  <si>
    <t>[SASV-00083]</t>
  </si>
  <si>
    <t>[SASV-00084]</t>
  </si>
  <si>
    <t>[SASV-00085]</t>
  </si>
  <si>
    <t>[SASV-00086]</t>
  </si>
  <si>
    <t>[SASV-00087]</t>
  </si>
  <si>
    <t>[SASV-00088]</t>
  </si>
  <si>
    <t>[SASV-00089]</t>
  </si>
  <si>
    <t>[SASV-00090]</t>
  </si>
  <si>
    <t>[SASV-00091]</t>
  </si>
  <si>
    <t>[SASV-00092]</t>
  </si>
  <si>
    <t>Investment information  </t>
  </si>
  <si>
    <t>Current level of investment risk </t>
  </si>
  <si>
    <t>[SASV-00093]</t>
  </si>
  <si>
    <t xml:space="preserve">The trustees have assessed the level of risk in the scheme’s current notional investment allocation (relating to the actuarial valuation to which the funding and investment strategy relates). They have determined that the level of risk is </t>
  </si>
  <si>
    <t xml:space="preserve">How this level of risk complies with the objective that, on and after the relevant date, the assets to which the minimum funding level relates are invested in accordance with a low dependency investment allocation can be described as follows: </t>
  </si>
  <si>
    <t>[SASV-00146]</t>
  </si>
  <si>
    <t xml:space="preserve">Evidence for level of investment risk  </t>
  </si>
  <si>
    <t>Evidence for level of risk</t>
  </si>
  <si>
    <t xml:space="preserve">The trustees have determined the level of risk using a TPR Fast Track stress test. </t>
  </si>
  <si>
    <t>The trustees have determined the level of risk using a value at risk calculation as follows:</t>
  </si>
  <si>
    <t>[SASV-00096]</t>
  </si>
  <si>
    <t xml:space="preserve">•   Type of calculation: </t>
  </si>
  <si>
    <t>[SASV-00097]</t>
  </si>
  <si>
    <t xml:space="preserve">•   Liability basis: </t>
  </si>
  <si>
    <t>[SASV-00098]</t>
  </si>
  <si>
    <t>[SASV-00099]</t>
  </si>
  <si>
    <t>[SASV-00100]</t>
  </si>
  <si>
    <t>[SASV-00101]</t>
  </si>
  <si>
    <t xml:space="preserve">•   Percentile: </t>
  </si>
  <si>
    <t>[SASV-00102]</t>
  </si>
  <si>
    <t xml:space="preserve">•   Period: </t>
  </si>
  <si>
    <t>The trustees have determined the level of risk using a conditional value at risk calculation as follows:</t>
  </si>
  <si>
    <t>The trustees have determined the level of risk as follows:</t>
  </si>
  <si>
    <t>[SASV-00095]</t>
  </si>
  <si>
    <t xml:space="preserve">In making their assessment, the trustees have also taken the following information into account.  </t>
  </si>
  <si>
    <t>[SASV-00103]</t>
  </si>
  <si>
    <t xml:space="preserve">The current notional investment allocation relating to defined benefits, which is expected to provide a long-term return of </t>
  </si>
  <si>
    <t xml:space="preserve"> per annum, can be broken down into the following:</t>
  </si>
  <si>
    <t>[SASV-00640]</t>
  </si>
  <si>
    <t xml:space="preserve">The current notional investment allocation relating to defined benefits, which is expected to provide a long-term return of gilts + </t>
  </si>
  <si>
    <t>The current notional investment allocation relating to defined benefits can be broken down into the following:</t>
  </si>
  <si>
    <t>[SASV-00104]</t>
  </si>
  <si>
    <t xml:space="preserve">    o   Fixed-interest UK government bonds: </t>
  </si>
  <si>
    <t>[SASV-00105]</t>
  </si>
  <si>
    <t xml:space="preserve">    o   Fixed-interest investment grade bonds (excluding UK government): </t>
  </si>
  <si>
    <t>[SASV-00106]</t>
  </si>
  <si>
    <t xml:space="preserve">    o   Fixed interest sub-investment grade bonds: </t>
  </si>
  <si>
    <t>[SASV-00107]</t>
  </si>
  <si>
    <t xml:space="preserve">    o   UK inflation-linked government bonds: </t>
  </si>
  <si>
    <t>[SASV-00108]</t>
  </si>
  <si>
    <t xml:space="preserve">    o   UK quoted equities: </t>
  </si>
  <si>
    <t>[SASV-00109]</t>
  </si>
  <si>
    <t xml:space="preserve">    o   Overseas quoted equities: </t>
  </si>
  <si>
    <t>[SASV-00110]</t>
  </si>
  <si>
    <t xml:space="preserve">    o   Unquoted or private equities: </t>
  </si>
  <si>
    <t>[SASV-00111]</t>
  </si>
  <si>
    <t xml:space="preserve">    o   Property: </t>
  </si>
  <si>
    <t>[SASV-00112]</t>
  </si>
  <si>
    <t xml:space="preserve">    o   Deferred or immediate fully-insured annuities: </t>
  </si>
  <si>
    <t>[SASV-00113]</t>
  </si>
  <si>
    <t xml:space="preserve">    o   Diversified growth funds: </t>
  </si>
  <si>
    <t>[SASV-00114]</t>
  </si>
  <si>
    <t xml:space="preserve">    o   Cash and net current assets: </t>
  </si>
  <si>
    <t>[SASV-00115]</t>
  </si>
  <si>
    <t xml:space="preserve">    o   Asset-backed contributions (ABCs): </t>
  </si>
  <si>
    <t>[SASV-00116]</t>
  </si>
  <si>
    <t xml:space="preserve">    o   Other: </t>
  </si>
  <si>
    <t>Further information about the ABC arrangements can be found in Appendix 4</t>
  </si>
  <si>
    <t>Additionally,</t>
  </si>
  <si>
    <t>•   The scheme’s current notional investment allocation does not involve an explicit interest rate or inflation hedging target.</t>
  </si>
  <si>
    <t>[SASV-00118] or [SASV-00119] or [SASV-00120]</t>
  </si>
  <si>
    <t>[SASV-00119]</t>
  </si>
  <si>
    <t>Type of hedging</t>
  </si>
  <si>
    <t>Target hedging ratio</t>
  </si>
  <si>
    <t xml:space="preserve">Interest rate: </t>
  </si>
  <si>
    <t>[SASV-00121]</t>
  </si>
  <si>
    <t xml:space="preserve">Inflation: </t>
  </si>
  <si>
    <t>[SASV-00122]</t>
  </si>
  <si>
    <t xml:space="preserve">The trustees’ current notional investment allocation includes: </t>
  </si>
  <si>
    <t>[SASV-00123]</t>
  </si>
  <si>
    <t xml:space="preserve"> of highly liquid investments </t>
  </si>
  <si>
    <t>[SASV-00124]</t>
  </si>
  <si>
    <t xml:space="preserve"> of illiquid investments </t>
  </si>
  <si>
    <t>[SASV-00125]</t>
  </si>
  <si>
    <t xml:space="preserve">•   leveraged investments that could result in unexpected demands on liquidity from the rest of the scheme’s assets </t>
  </si>
  <si>
    <t xml:space="preserve">Level of investment risk in the journey plan  </t>
  </si>
  <si>
    <t>The level of investment risk the trustees intend to take as the scheme moves along its journey plan is as follows:</t>
  </si>
  <si>
    <t xml:space="preserve">•   The level of risk in the current notional investment allocation is </t>
  </si>
  <si>
    <t>, as set out above.</t>
  </si>
  <si>
    <t>[SASV-00126]</t>
  </si>
  <si>
    <t xml:space="preserve">•   The level of investment risk the trustees expect to take in the intended investment allocation at the relevant date, expressed as a percentage drop in funding level, is </t>
  </si>
  <si>
    <t>[SASV-00127]</t>
  </si>
  <si>
    <t xml:space="preserve">•   From the choice of options available, the trustees’ intended de-risking approach over the intervening period is closest to: </t>
  </si>
  <si>
    <t>Further detail is as follows:</t>
  </si>
  <si>
    <t>[SASV-00128]</t>
  </si>
  <si>
    <t>When making their assessment, the trustees have considered the following:</t>
  </si>
  <si>
    <t>[SASV-00130] or [SASV-00131]</t>
  </si>
  <si>
    <t>[SASV-00131]</t>
  </si>
  <si>
    <t>[SASV-00133]</t>
  </si>
  <si>
    <t>[SASV-00134]</t>
  </si>
  <si>
    <t>The way the trustees intend to achieve the objective of assets underpinning the minimum funding level being invested in accordance with a low dependency investment allocation on and after the relevant date is as follows:</t>
  </si>
  <si>
    <t>[SASV-00135]</t>
  </si>
  <si>
    <t>Evidence this assessment is based on</t>
  </si>
  <si>
    <t>Evidence to support the level of risk in the current notional investment allocation strategy is set out above in the first two paragraphs appearing under the section ‘Evidence for level of investment risk’.</t>
  </si>
  <si>
    <t>The trustees have determined the intended level of risk at the relevant date using a TPR Fast Track stress test.</t>
  </si>
  <si>
    <t>The trustees have determined the intended level of risk at the relevant date using a value at risk calculation as follows:</t>
  </si>
  <si>
    <t>[SASV-00138]</t>
  </si>
  <si>
    <t>[SASV-00139] or [SASV-00140] or [SASV-00141]</t>
  </si>
  <si>
    <t>[SASV-00142]</t>
  </si>
  <si>
    <t>[SASV-00143]</t>
  </si>
  <si>
    <t>[SASV-00144]</t>
  </si>
  <si>
    <t>The trustees have determined the intended level of risk at the relevant date using a conditional value at risk calculation as follows:</t>
  </si>
  <si>
    <t>The trustees have determined the intended level of risk at the relevant date as follows:</t>
  </si>
  <si>
    <t>[SASV-00137]</t>
  </si>
  <si>
    <t>[SASV-00145] or [SASV-00642]</t>
  </si>
  <si>
    <t xml:space="preserve">In making their assessment, the trustees have also considered their intended investment allocation at the relevant date, as set out in Part 1 of this statement of strategy. This is expected to provide a long-term return of </t>
  </si>
  <si>
    <t xml:space="preserve"> per year. </t>
  </si>
  <si>
    <t>Covenant information </t>
  </si>
  <si>
    <t xml:space="preserve">Assessment of employer covenant </t>
  </si>
  <si>
    <t>[SASV-00147] and [SASV-00148]</t>
  </si>
  <si>
    <t>by reference to the actuarial valuation to which this funding and investment strategy relates.</t>
  </si>
  <si>
    <t>In making the above assessment, the trustees have considered the following:</t>
  </si>
  <si>
    <t>[SASV-00149]</t>
  </si>
  <si>
    <t xml:space="preserve">•   Professional covenant advice: </t>
  </si>
  <si>
    <t>[SASV-00150]</t>
  </si>
  <si>
    <t xml:space="preserve">•   Reliance on other entities than statutory employers: </t>
  </si>
  <si>
    <t>[SASV-00156]</t>
  </si>
  <si>
    <t xml:space="preserve">•   Total value given to contingent assets relied on, as detailed in </t>
  </si>
  <si>
    <t>[SASV-00643]</t>
  </si>
  <si>
    <t xml:space="preserve">•   Value of scheme’s interest in ABCs (net present value) as detailed in </t>
  </si>
  <si>
    <t>[SASV-00157]</t>
  </si>
  <si>
    <t xml:space="preserve">•   Assessment of reliability period: equal to or at least </t>
  </si>
  <si>
    <t>[SASV-00158]</t>
  </si>
  <si>
    <t xml:space="preserve">•   Assessment of covenant longevity period: equal to or at least </t>
  </si>
  <si>
    <t>The trustees have the following experience that allows them to assess covenant without professional covenant advice:</t>
  </si>
  <si>
    <t>[SASV-00181]</t>
  </si>
  <si>
    <t>The following outlines any entities other than the statutory employers that have been considered in the assessment of the covenant:</t>
  </si>
  <si>
    <t>[SASV-00648.1]</t>
  </si>
  <si>
    <t xml:space="preserve">Legal Name: </t>
  </si>
  <si>
    <t>[SASV-00649.1]</t>
  </si>
  <si>
    <t xml:space="preserve">Companies House number: </t>
  </si>
  <si>
    <t>[SASV-00650.1]</t>
  </si>
  <si>
    <t xml:space="preserve">Charity number: </t>
  </si>
  <si>
    <t>[SASV-00651.1]</t>
  </si>
  <si>
    <t xml:space="preserve">Trading name: </t>
  </si>
  <si>
    <t>[SASV-00652.1]</t>
  </si>
  <si>
    <t xml:space="preserve">Address line 1: </t>
  </si>
  <si>
    <t>[SASV-00653.1]</t>
  </si>
  <si>
    <t xml:space="preserve">Address line 2: </t>
  </si>
  <si>
    <t>[SASV-00654.1]</t>
  </si>
  <si>
    <t xml:space="preserve">Address line 3: </t>
  </si>
  <si>
    <t>[SASV-00655.1]</t>
  </si>
  <si>
    <t xml:space="preserve">Post town or city: </t>
  </si>
  <si>
    <t>[SASV-00656.1]</t>
  </si>
  <si>
    <t xml:space="preserve">Country: </t>
  </si>
  <si>
    <t>[SASV-00657.1]</t>
  </si>
  <si>
    <t xml:space="preserve">Post code: </t>
  </si>
  <si>
    <t>[SASV-00648.2]</t>
  </si>
  <si>
    <t>[SASV-00649.2]</t>
  </si>
  <si>
    <t>[SASV-00650.2]</t>
  </si>
  <si>
    <t>[SASV-00651.2]</t>
  </si>
  <si>
    <t>[SASV-00652.2]</t>
  </si>
  <si>
    <t>[SASV-00653.2]</t>
  </si>
  <si>
    <t>[SASV-00654.2]</t>
  </si>
  <si>
    <t>[SASV-00655.2]</t>
  </si>
  <si>
    <t>[SASV-00656.2]</t>
  </si>
  <si>
    <t>[SASV-00657.2]</t>
  </si>
  <si>
    <t>[SASV-00648.3]</t>
  </si>
  <si>
    <t>[SASV-00649.3]</t>
  </si>
  <si>
    <t>[SASV-00650.3]</t>
  </si>
  <si>
    <t>[SASV-00651.3]</t>
  </si>
  <si>
    <t>[SASV-00652.3]</t>
  </si>
  <si>
    <t>[SASV-00653.3]</t>
  </si>
  <si>
    <t>[SASV-00654.3]</t>
  </si>
  <si>
    <t>[SASV-00655.3]</t>
  </si>
  <si>
    <t>[SASV-00656.3]</t>
  </si>
  <si>
    <t>[SASV-00657.3]</t>
  </si>
  <si>
    <t>[SASV-00648.4]</t>
  </si>
  <si>
    <t>[SASV-00649.4]</t>
  </si>
  <si>
    <t>[SASV-00650.4]</t>
  </si>
  <si>
    <t>[SASV-00651.4]</t>
  </si>
  <si>
    <t>[SASV-00652.4]</t>
  </si>
  <si>
    <t>[SASV-00653.4]</t>
  </si>
  <si>
    <t>[SASV-00654.4]</t>
  </si>
  <si>
    <t>[SASV-00655.4]</t>
  </si>
  <si>
    <t>[SASV-00656.4]</t>
  </si>
  <si>
    <t>[SASV-00657.4]</t>
  </si>
  <si>
    <t>[SASV-00648.5]</t>
  </si>
  <si>
    <t>[SASV-00649.5]</t>
  </si>
  <si>
    <t>[SASV-00650.5]</t>
  </si>
  <si>
    <t>[SASV-00651.5]</t>
  </si>
  <si>
    <t>[SASV-00652.5]</t>
  </si>
  <si>
    <t>[SASV-00653.5]</t>
  </si>
  <si>
    <t>[SASV-00654.5]</t>
  </si>
  <si>
    <t>[SASV-00655.5]</t>
  </si>
  <si>
    <t>[SASV-00656.5]</t>
  </si>
  <si>
    <t>[SASV-00657.5]</t>
  </si>
  <si>
    <t>The reason(s) it is appropriate to include these non-statutory employers in the covenant assessment is as follows:</t>
  </si>
  <si>
    <t>[SASV-00183]</t>
  </si>
  <si>
    <t>The trustees have the following comments on their approach to assessing reliability and covenant longevity periods:</t>
  </si>
  <si>
    <t>[SASV-00644]</t>
  </si>
  <si>
    <t>In making the above assessment, the trustees have also considered the following:</t>
  </si>
  <si>
    <t>Trustees’ assessment of maximum affordable contributions after deficit-repair contributions over the reliability period:</t>
  </si>
  <si>
    <t>[SASV-00160]</t>
  </si>
  <si>
    <t xml:space="preserve">•   Equal to or at least </t>
  </si>
  <si>
    <t xml:space="preserve">Employers’ free cash flows or proxy: </t>
  </si>
  <si>
    <t>[SASV-00161]</t>
  </si>
  <si>
    <t xml:space="preserve">•   Prior year – actual: </t>
  </si>
  <si>
    <t>[SASV-00162]</t>
  </si>
  <si>
    <t xml:space="preserve">•   Current year – forecast: equal to or at least </t>
  </si>
  <si>
    <t>[SASV-00163]</t>
  </si>
  <si>
    <t xml:space="preserve">•   Year 1 – forecast: equal to or at least </t>
  </si>
  <si>
    <t>[SASV-00164]</t>
  </si>
  <si>
    <t xml:space="preserve">•   Basis of assessment:  </t>
  </si>
  <si>
    <t>[SASV-00165]</t>
  </si>
  <si>
    <t xml:space="preserve">The following entities have been considered when determining the employer cash flows: </t>
  </si>
  <si>
    <t>[SASV-00669.1]</t>
  </si>
  <si>
    <t>[SASV-00670.1]</t>
  </si>
  <si>
    <t>[SASV-00671.1]</t>
  </si>
  <si>
    <t>[SASV-00672.1]</t>
  </si>
  <si>
    <t>[SASV-00673.1]</t>
  </si>
  <si>
    <t>[SASV-00674.1]</t>
  </si>
  <si>
    <t>[SASV-00675.1]</t>
  </si>
  <si>
    <t>[SASV-00676.1]</t>
  </si>
  <si>
    <t>[SASV-00677.1]</t>
  </si>
  <si>
    <t>[SASV-00678.1]</t>
  </si>
  <si>
    <t>[SASV-00679.1]</t>
  </si>
  <si>
    <t>[SASV-00669.2]</t>
  </si>
  <si>
    <t>[SASV-00670.2]</t>
  </si>
  <si>
    <t>[SASV-00671.2]</t>
  </si>
  <si>
    <t>[SASV-00672.2]</t>
  </si>
  <si>
    <t>[SASV-00673.2]</t>
  </si>
  <si>
    <t>[SASV-00674.2]</t>
  </si>
  <si>
    <t>[SASV-00675.2]</t>
  </si>
  <si>
    <t>[SASV-00676.2]</t>
  </si>
  <si>
    <t>[SASV-00677.2]</t>
  </si>
  <si>
    <t>[SASV-00678.2]</t>
  </si>
  <si>
    <t>[SASV-00679.2]</t>
  </si>
  <si>
    <t>[SASV-00669.3]</t>
  </si>
  <si>
    <t>[SASV-00670.3]</t>
  </si>
  <si>
    <t>[SASV-00671.3]</t>
  </si>
  <si>
    <t>[SASV-00672.3]</t>
  </si>
  <si>
    <t>[SASV-00673.3]</t>
  </si>
  <si>
    <t>[SASV-00674.3]</t>
  </si>
  <si>
    <t>[SASV-00675.3]</t>
  </si>
  <si>
    <t>[SASV-00676.3]</t>
  </si>
  <si>
    <t>[SASV-00677.3]</t>
  </si>
  <si>
    <t>[SASV-00678.3]</t>
  </si>
  <si>
    <t>[SASV-00679.3]</t>
  </si>
  <si>
    <t>[SASV-00669.4]</t>
  </si>
  <si>
    <t>[SASV-00670.4]</t>
  </si>
  <si>
    <t>[SASV-00671.4]</t>
  </si>
  <si>
    <t>[SASV-00672.4]</t>
  </si>
  <si>
    <t>[SASV-00673.4]</t>
  </si>
  <si>
    <t>[SASV-00674.4]</t>
  </si>
  <si>
    <t>[SASV-00675.4]</t>
  </si>
  <si>
    <t>[SASV-00676.4]</t>
  </si>
  <si>
    <t>[SASV-00677.4]</t>
  </si>
  <si>
    <t>[SASV-00678.4]</t>
  </si>
  <si>
    <t>[SASV-00679.4]</t>
  </si>
  <si>
    <t>[SASV-00669.5]</t>
  </si>
  <si>
    <t>[SASV-00670.5]</t>
  </si>
  <si>
    <t>[SASV-00671.5]</t>
  </si>
  <si>
    <t>[SASV-00672.5]</t>
  </si>
  <si>
    <t>[SASV-00673.5]</t>
  </si>
  <si>
    <t>[SASV-00674.5]</t>
  </si>
  <si>
    <t>[SASV-00675.5]</t>
  </si>
  <si>
    <t>[SASV-00676.5]</t>
  </si>
  <si>
    <t>[SASV-00677.5]</t>
  </si>
  <si>
    <t>[SASV-00678.5]</t>
  </si>
  <si>
    <t>[SASV-00679.5]</t>
  </si>
  <si>
    <t>A summary of the trustees’ analysis of maximum affordable contributions after deficit-repair contributions is attached as Appendix 5.</t>
  </si>
  <si>
    <t>The trustees have the following further comments on employer cash flows, their approach to assessing maximum affordable contributions, or both:</t>
  </si>
  <si>
    <t>[SASV-00645]</t>
  </si>
  <si>
    <t xml:space="preserve">A summary of the trustees’ assessment of supportable risk over the reliability period is attached as Appendix </t>
  </si>
  <si>
    <t xml:space="preserve">The trustees also have the following comments. </t>
  </si>
  <si>
    <t>In making the above assessment, the trustees have also considered the following.</t>
  </si>
  <si>
    <t>Employers’ investment in sustainable growth:</t>
  </si>
  <si>
    <t>[SASV-00168]</t>
  </si>
  <si>
    <t>[SASV-00169]</t>
  </si>
  <si>
    <t xml:space="preserve">•   Current year – forecast: equal to or no more than </t>
  </si>
  <si>
    <t>[SASV-00170]</t>
  </si>
  <si>
    <t xml:space="preserve">•   Year 1 – forecast: equal to or no more than </t>
  </si>
  <si>
    <t>Shareholder returns:</t>
  </si>
  <si>
    <t>[SASV-00171]</t>
  </si>
  <si>
    <t>[SASV-00172]</t>
  </si>
  <si>
    <t>[SASV-00173]</t>
  </si>
  <si>
    <t>Payments to other defined benefit pension schemes:</t>
  </si>
  <si>
    <t>[SASV-00174]</t>
  </si>
  <si>
    <t>[SASV-00175]</t>
  </si>
  <si>
    <t>[SASV-00176]</t>
  </si>
  <si>
    <t>Other alternative uses of cash by employers:</t>
  </si>
  <si>
    <t>[SASV-00177]</t>
  </si>
  <si>
    <t>[SASV-00178]</t>
  </si>
  <si>
    <t>[SASV-00179]</t>
  </si>
  <si>
    <t>Value of employers' liquid assets at the time of agreeing the recovery plan</t>
  </si>
  <si>
    <t>[SASV-00180]</t>
  </si>
  <si>
    <t xml:space="preserve">The trustees have the following further comments on alternative uses of cash and employers’ liquid assets. </t>
  </si>
  <si>
    <t>[SASV-00646]</t>
  </si>
  <si>
    <t>The trustees also have the following comments:</t>
  </si>
  <si>
    <t>[SASV-00186]</t>
  </si>
  <si>
    <t>Employer consultation</t>
  </si>
  <si>
    <t>[SASV-00008] 
[SASV-00187]</t>
  </si>
  <si>
    <t xml:space="preserve"> in the preparation or revision of Part 2 of the statement of strategy.</t>
  </si>
  <si>
    <t>The employers have not asked to include any comments in this document.</t>
  </si>
  <si>
    <t>The employers have asked for the following comments to be included in this document:</t>
  </si>
  <si>
    <t>[SASV-00189]</t>
  </si>
  <si>
    <t xml:space="preserve">Appendix 1: </t>
  </si>
  <si>
    <t>[SASV-00193]</t>
  </si>
  <si>
    <t>[SASV-00194]</t>
  </si>
  <si>
    <t xml:space="preserve">The discount rate is derived by </t>
  </si>
  <si>
    <t>[SASV-00195], if other [00196]</t>
  </si>
  <si>
    <t>[SASV-00196]</t>
  </si>
  <si>
    <t>The forward yields table at the end of this appendix sets out the forward rates used in:</t>
  </si>
  <si>
    <t xml:space="preserve">•    calculating the scheme’s technical provisions in the actuarial valuation </t>
  </si>
  <si>
    <t xml:space="preserve">•    specifying the funding level, calculated in accordance with the low dependency funding basis, the trustees intend the scheme to have achieved at the relevant date </t>
  </si>
  <si>
    <t>•    specifying the funding level, calculated in accordance with the low dependency funding basis, as at the effective date of the actuarial valuation</t>
  </si>
  <si>
    <t>applying a premium to gilt yields</t>
  </si>
  <si>
    <t>[SASV-00197]</t>
  </si>
  <si>
    <t xml:space="preserve">Premiums above this underlying spot rate are used to derive the discount rates used in: </t>
  </si>
  <si>
    <t>These premiums are as follows:</t>
  </si>
  <si>
    <t>[SASV-00198]</t>
  </si>
  <si>
    <t xml:space="preserve">Premium before </t>
  </si>
  <si>
    <t>Premium after that date</t>
  </si>
  <si>
    <t>[SASV-00199]</t>
  </si>
  <si>
    <t>[SASV-00200]</t>
  </si>
  <si>
    <t>[SASV-00201]</t>
  </si>
  <si>
    <t>[SASV-00195]</t>
  </si>
  <si>
    <t>The premium applied above this underlying spot rate is equivalent to:</t>
  </si>
  <si>
    <t>[SASV-00202]</t>
  </si>
  <si>
    <t xml:space="preserve"> for the purposes of calculating the scheme’s technical provisions in the actuarial valuation</t>
  </si>
  <si>
    <t xml:space="preserve"> for the purposes of the technical provisions in the actuarial valuation</t>
  </si>
  <si>
    <t xml:space="preserve"> for the purposes of specifying the funding level, calculated in accordance with the low dependency funding basis, the trustees intend the scheme to have achieved at the relevant date</t>
  </si>
  <si>
    <t xml:space="preserve"> for the purposes of specifying the funding level, calculated in accordance with the low dependency funding basis, as at the effective date of the actuarial valuation</t>
  </si>
  <si>
    <t>The trustees use different pre- and post-retirement discount rates.</t>
  </si>
  <si>
    <t>These are set out in the forward yields table at the end of this appendix.</t>
  </si>
  <si>
    <t>Premiums are applied above these yields to derive the pre- and post-discount rates used in:</t>
  </si>
  <si>
    <t>•    calculating the scheme’s technical provisions in the actuarial valuation</t>
  </si>
  <si>
    <t>•    specifying the funding level, calculated in accordance with the low dependency funding basis, the trustees intend the scheme to have achieved at the relevant date</t>
  </si>
  <si>
    <t>•    specifying the funding level, calculated in accordance with the low dependency funding basis as at the effective date of the actuarial valuation</t>
  </si>
  <si>
    <t>Pre-retirement premium</t>
  </si>
  <si>
    <t>Post-retirement premium</t>
  </si>
  <si>
    <t>Pensioner premium</t>
  </si>
  <si>
    <t>[SASV-00203]</t>
  </si>
  <si>
    <t>[SASV-00204]</t>
  </si>
  <si>
    <t>[SASV-00205]</t>
  </si>
  <si>
    <t>Premiums are applied above this spot rate to derive the discount rates used in:</t>
  </si>
  <si>
    <t xml:space="preserve">These premiums are as follows. </t>
  </si>
  <si>
    <t>The other assumptions used to calculate the scheme’s technical provisions at the effective date of the actuarial valuation are as follows:</t>
  </si>
  <si>
    <t>•    The RPI, CPI, and pay increase assumptions are set out in the forward yields table at the end of this appendix.</t>
  </si>
  <si>
    <t>[SASV-00207]</t>
  </si>
  <si>
    <t xml:space="preserve">•    An RPI assumption of </t>
  </si>
  <si>
    <t>[SASV-00208]</t>
  </si>
  <si>
    <t xml:space="preserve">•    A CPI assumption of </t>
  </si>
  <si>
    <t>[SASV-00210]</t>
  </si>
  <si>
    <t xml:space="preserve">•    A pay increase assumption of </t>
  </si>
  <si>
    <t>[SASV-00212]</t>
  </si>
  <si>
    <t xml:space="preserve">•    An increase in the technical provisions if no allowance is made for commutation of </t>
  </si>
  <si>
    <t xml:space="preserve">Mortality assumptions of: </t>
  </si>
  <si>
    <t>[SASV-00213]</t>
  </si>
  <si>
    <t xml:space="preserve">•    an expected age of death for male pensioners aged 65 at the valuation date of </t>
  </si>
  <si>
    <t>[SASV-00214]</t>
  </si>
  <si>
    <t xml:space="preserve">•    an expected age of death for female pensioners aged 65 at the valuation date of </t>
  </si>
  <si>
    <t>[SASV-00215]</t>
  </si>
  <si>
    <t xml:space="preserve">•    an expected age of death for future male pensioners aged 45 at the valuation date of </t>
  </si>
  <si>
    <t>[SASV-00216]</t>
  </si>
  <si>
    <t xml:space="preserve">•    an expected age of death for future female pensioners aged 45 at the valuation date of </t>
  </si>
  <si>
    <t xml:space="preserve">Differences between technical provisions and low dependency funding basis assumptions </t>
  </si>
  <si>
    <t>There are no differences between the assumptions used to calculate the scheme’s technical provisions in the actuarial valuation and those used in specifying the funding level, calculated in accordance with the low dependency funding basis, the trustees intend the scheme to have achieved at the relevant date.</t>
  </si>
  <si>
    <t>There are no differences between the assumptions used to calculate the scheme’s technical provisions in the actuarial valuation and those used in specifying the funding level, calculated in accordance with the low dependency funding basis, as at the effective date of the actuarial valuation.</t>
  </si>
  <si>
    <t>Other than the differences in the discount rate premiums set out above, there are no differences between the assumptions used to calculate the scheme’s technical provisions in the actuarial valuation and those used in specifying the funding level, calculated in accordance with the low dependency funding basis, the trustees intend the scheme to have achieved at the relevant date.</t>
  </si>
  <si>
    <t>In addition to any differences in the discount rate premiums set out above, there are also the following differences between the assumptions used to calculate the scheme’s technical provisions in the actuarial valuation and those used in specifying the funding level, calculated in accordance with the low dependency funding basis, the trustees intend the scheme to have achieved at the relevant date.</t>
  </si>
  <si>
    <t>In addition to any differences in the discount rate premiums set out above, there are also the following differences between the assumptions used to calculate the scheme’s technical provisions in the actuarial valuation and those used in specifying the funding level, calculated in accordance with the low dependency funding basis, as at the effective date of the actuarial valuation:</t>
  </si>
  <si>
    <t>[SASV-00219]</t>
  </si>
  <si>
    <t>Forward yields table</t>
  </si>
  <si>
    <t>Forward yields</t>
  </si>
  <si>
    <t>[SASV-00220]</t>
  </si>
  <si>
    <t>[SASV-00221]</t>
  </si>
  <si>
    <t>[SASV-00222]</t>
  </si>
  <si>
    <t>[SASV-00223]</t>
  </si>
  <si>
    <t>[SASV-00224]</t>
  </si>
  <si>
    <t>[SASV-00225]</t>
  </si>
  <si>
    <t>[SASV-00226]</t>
  </si>
  <si>
    <t>[SASV-00227]</t>
  </si>
  <si>
    <t>[SASV-00228]</t>
  </si>
  <si>
    <t>[SASV-00229]</t>
  </si>
  <si>
    <t>[SASV-00230]</t>
  </si>
  <si>
    <t>[SASV-00231]</t>
  </si>
  <si>
    <t>[SASV-00232]</t>
  </si>
  <si>
    <t>[SASV-00233]</t>
  </si>
  <si>
    <t>[SASV-00234]</t>
  </si>
  <si>
    <t>[SASV-00235]</t>
  </si>
  <si>
    <t>[SASV-00236]</t>
  </si>
  <si>
    <t>[SASV-00237]</t>
  </si>
  <si>
    <t>[SASV-00238]</t>
  </si>
  <si>
    <t>[SASV-00239]</t>
  </si>
  <si>
    <t>[SASV-00240]</t>
  </si>
  <si>
    <t>[SASV-00241]</t>
  </si>
  <si>
    <t>[SASV-00242]</t>
  </si>
  <si>
    <t>[SASV-00243]</t>
  </si>
  <si>
    <t>[SASV-00244]</t>
  </si>
  <si>
    <t>[SASV-00245]</t>
  </si>
  <si>
    <t>[SASV-00246]</t>
  </si>
  <si>
    <t>[SASV-00247]</t>
  </si>
  <si>
    <t>[SASV-00248]</t>
  </si>
  <si>
    <t>[SASV-00249]</t>
  </si>
  <si>
    <t>[SASV-00250]</t>
  </si>
  <si>
    <t>[SASV-00251]</t>
  </si>
  <si>
    <t>[SASV-00252]</t>
  </si>
  <si>
    <t>[SASV-00253]</t>
  </si>
  <si>
    <t>[SASV-00254]</t>
  </si>
  <si>
    <t>[SASV-00255]</t>
  </si>
  <si>
    <t>[SASV-00256]</t>
  </si>
  <si>
    <t>[SASV-00257]</t>
  </si>
  <si>
    <t>[SASV-00258]</t>
  </si>
  <si>
    <t>[SASV-00259]</t>
  </si>
  <si>
    <t>[SASV-00260]</t>
  </si>
  <si>
    <t>[SASV-00261]</t>
  </si>
  <si>
    <t>[SASV-00262]</t>
  </si>
  <si>
    <t>[SASV-00263]</t>
  </si>
  <si>
    <t>[SASV-00264]</t>
  </si>
  <si>
    <t>[SASV-00265]</t>
  </si>
  <si>
    <t>[SASV-00266]</t>
  </si>
  <si>
    <t>[SASV-00267]</t>
  </si>
  <si>
    <t>[SASV-00268]</t>
  </si>
  <si>
    <t>[SASV-00269]</t>
  </si>
  <si>
    <t>[SASV-00270]</t>
  </si>
  <si>
    <t>[SASV-00271]</t>
  </si>
  <si>
    <t>[SASV-00272]</t>
  </si>
  <si>
    <t>[SASV-00273]</t>
  </si>
  <si>
    <t>[SASV-00274]</t>
  </si>
  <si>
    <t>[SASV-00275]</t>
  </si>
  <si>
    <t>[SASV-00276]</t>
  </si>
  <si>
    <t>[SASV-00277]</t>
  </si>
  <si>
    <t>[SASV-00278]</t>
  </si>
  <si>
    <t>[SASV-00279]</t>
  </si>
  <si>
    <t>[SASV-00280]</t>
  </si>
  <si>
    <t>[SASV-00281]</t>
  </si>
  <si>
    <t>[SASV-00282]</t>
  </si>
  <si>
    <t>[SASV-00283]</t>
  </si>
  <si>
    <t>[SASV-00284]</t>
  </si>
  <si>
    <t>[SASV-00285]</t>
  </si>
  <si>
    <t>[SASV-00286]</t>
  </si>
  <si>
    <t>[SASV-00287]</t>
  </si>
  <si>
    <t>[SASV-00288]</t>
  </si>
  <si>
    <t>[SASV-00289]</t>
  </si>
  <si>
    <t>[SASV-00290]</t>
  </si>
  <si>
    <t>[SASV-00291]</t>
  </si>
  <si>
    <t>[SASV-00292]</t>
  </si>
  <si>
    <t>[SASV-00293]</t>
  </si>
  <si>
    <t>[SASV-00294]</t>
  </si>
  <si>
    <t>[SASV-00295]</t>
  </si>
  <si>
    <t>[SASV-00296]</t>
  </si>
  <si>
    <t>[SASV-00297]</t>
  </si>
  <si>
    <t>[SASV-00298]</t>
  </si>
  <si>
    <t>[SASV-00299]</t>
  </si>
  <si>
    <t>[SASV-00300]</t>
  </si>
  <si>
    <t>[SASV-00301]</t>
  </si>
  <si>
    <t>[SASV-00302]</t>
  </si>
  <si>
    <t>[SASV-00303]</t>
  </si>
  <si>
    <t>[SASV-00304]</t>
  </si>
  <si>
    <t>[SASV-00305]</t>
  </si>
  <si>
    <t>[SASV-00306]</t>
  </si>
  <si>
    <t>[SASV-00307]</t>
  </si>
  <si>
    <t>[SASV-00308]</t>
  </si>
  <si>
    <t>[SASV-00309]</t>
  </si>
  <si>
    <t>[SASV-00310]</t>
  </si>
  <si>
    <t>[SASV-00311]</t>
  </si>
  <si>
    <t>[SASV-00312]</t>
  </si>
  <si>
    <t>[SASV-00313]</t>
  </si>
  <si>
    <t>[SASV-00314]</t>
  </si>
  <si>
    <t>[SASV-00315]</t>
  </si>
  <si>
    <t>[SASV-00316]</t>
  </si>
  <si>
    <t>[SASV-00317]</t>
  </si>
  <si>
    <t>[SASV-00318]</t>
  </si>
  <si>
    <t>[SASV-00319]</t>
  </si>
  <si>
    <t>[SASV-00320]</t>
  </si>
  <si>
    <t>[SASV-00321]</t>
  </si>
  <si>
    <t>[SASV-00322]</t>
  </si>
  <si>
    <t>[SASV-00323]</t>
  </si>
  <si>
    <t>[SASV-00324]</t>
  </si>
  <si>
    <t>[SASV-00325]</t>
  </si>
  <si>
    <t>[SASV-00326]</t>
  </si>
  <si>
    <t>[SASV-00327]</t>
  </si>
  <si>
    <t>[SASV-00328]</t>
  </si>
  <si>
    <t>[SASV-00329]</t>
  </si>
  <si>
    <t>[SASV-00330]</t>
  </si>
  <si>
    <t>[SASV-00331]</t>
  </si>
  <si>
    <t>[SASV-00332]</t>
  </si>
  <si>
    <t>[SASV-00333]</t>
  </si>
  <si>
    <t>[SASV-00334]</t>
  </si>
  <si>
    <t>[SASV-00335]</t>
  </si>
  <si>
    <t>[SASV-00336]</t>
  </si>
  <si>
    <t>[SASV-00337]</t>
  </si>
  <si>
    <t>[SASV-00338]</t>
  </si>
  <si>
    <t>[SASV-00339]</t>
  </si>
  <si>
    <t>[SASV-00340]</t>
  </si>
  <si>
    <t>[SASV-00341]</t>
  </si>
  <si>
    <t>[SASV-00342]</t>
  </si>
  <si>
    <t>[SASV-00343]</t>
  </si>
  <si>
    <t>[SASV-00344]</t>
  </si>
  <si>
    <t>[SASV-00345]</t>
  </si>
  <si>
    <t>[SASV-00346]</t>
  </si>
  <si>
    <t>[SASV-00347]</t>
  </si>
  <si>
    <t>[SASV-00348]</t>
  </si>
  <si>
    <t>[SASV-00349]</t>
  </si>
  <si>
    <t>[SASV-00350]</t>
  </si>
  <si>
    <t>[SASV-00351]</t>
  </si>
  <si>
    <t>[SASV-00352]</t>
  </si>
  <si>
    <t>[SASV-00353]</t>
  </si>
  <si>
    <t>[SASV-00354]</t>
  </si>
  <si>
    <t>[SASV-00355]</t>
  </si>
  <si>
    <t>[SASV-00356]</t>
  </si>
  <si>
    <t>[SASV-00357]</t>
  </si>
  <si>
    <t>[SASV-00358]</t>
  </si>
  <si>
    <t>[SASV-00359]</t>
  </si>
  <si>
    <t>[SASV-00360]</t>
  </si>
  <si>
    <t>[SASV-00361]</t>
  </si>
  <si>
    <t>[SASV-00362]</t>
  </si>
  <si>
    <t>[SASV-00363]</t>
  </si>
  <si>
    <t>[SASV-00364]</t>
  </si>
  <si>
    <t>[SASV-00365]</t>
  </si>
  <si>
    <t>[SASV-00366]</t>
  </si>
  <si>
    <t>[SASV-00367]</t>
  </si>
  <si>
    <t>[SASV-00368]</t>
  </si>
  <si>
    <t>[SASV-00369]</t>
  </si>
  <si>
    <t>[SASV-00370]</t>
  </si>
  <si>
    <t>[SASV-00371]</t>
  </si>
  <si>
    <t>[SASV-00372]</t>
  </si>
  <si>
    <t>[SASV-00373]</t>
  </si>
  <si>
    <t>[SASV-00374]</t>
  </si>
  <si>
    <t>[SASV-00375]</t>
  </si>
  <si>
    <t>[SASV-00376]</t>
  </si>
  <si>
    <t>[SASV-00377]</t>
  </si>
  <si>
    <t>[SASV-00378]</t>
  </si>
  <si>
    <t>[SASV-00379]</t>
  </si>
  <si>
    <t>[SASV-00380]</t>
  </si>
  <si>
    <t>[SASV-00381]</t>
  </si>
  <si>
    <t>[SASV-00382]</t>
  </si>
  <si>
    <t>[SASV-00383]</t>
  </si>
  <si>
    <t>[SASV-00384]</t>
  </si>
  <si>
    <t>[SASV-00385]</t>
  </si>
  <si>
    <t>[SASV-00386]</t>
  </si>
  <si>
    <t>[SASV-00387]</t>
  </si>
  <si>
    <t>[SASV-00388]</t>
  </si>
  <si>
    <t>[SASV-00389]</t>
  </si>
  <si>
    <t>[SASV-00390]</t>
  </si>
  <si>
    <t>[SASV-00391]</t>
  </si>
  <si>
    <t>[SASV-00392]</t>
  </si>
  <si>
    <t>[SASV-00393]</t>
  </si>
  <si>
    <t>[SASV-00394]</t>
  </si>
  <si>
    <t>[SASV-00395]</t>
  </si>
  <si>
    <t>[SASV-00396]</t>
  </si>
  <si>
    <t>[SASV-00397]</t>
  </si>
  <si>
    <t>[SASV-00398]</t>
  </si>
  <si>
    <t>[SASV-00399]</t>
  </si>
  <si>
    <t>[SASV-00400]</t>
  </si>
  <si>
    <t>[SASV-00401]</t>
  </si>
  <si>
    <t>[SASV-00402]</t>
  </si>
  <si>
    <t>[SASV-00403]</t>
  </si>
  <si>
    <t>[SASV-00404]</t>
  </si>
  <si>
    <t>[SASV-00405]</t>
  </si>
  <si>
    <t>[SASV-00406]</t>
  </si>
  <si>
    <t>[SASV-00407]</t>
  </si>
  <si>
    <t>[SASV-00408]</t>
  </si>
  <si>
    <t>[SASV-00409]</t>
  </si>
  <si>
    <t>[SASV-00410]</t>
  </si>
  <si>
    <t>[SASV-00411]</t>
  </si>
  <si>
    <t>[SASV-00412]</t>
  </si>
  <si>
    <t>[SASV-00413]</t>
  </si>
  <si>
    <t>[SASV-00414]</t>
  </si>
  <si>
    <t>[SASV-00415]</t>
  </si>
  <si>
    <t>[SASV-00416]</t>
  </si>
  <si>
    <t>[SASV-00417]</t>
  </si>
  <si>
    <t>[SASV-00418]</t>
  </si>
  <si>
    <t>[SASV-00419]</t>
  </si>
  <si>
    <t>[SASV-00420]</t>
  </si>
  <si>
    <t>[SASV-00421]</t>
  </si>
  <si>
    <t>[SASV-00422]</t>
  </si>
  <si>
    <t>[SASV-00423]</t>
  </si>
  <si>
    <t>[SASV-00424]</t>
  </si>
  <si>
    <t>[SASV-00425]</t>
  </si>
  <si>
    <t>[SASV-00426]</t>
  </si>
  <si>
    <t>[SASV-00427]</t>
  </si>
  <si>
    <t>[SASV-00428]</t>
  </si>
  <si>
    <t>[SASV-00429]</t>
  </si>
  <si>
    <t>[SASV-00430]</t>
  </si>
  <si>
    <t>[SASV-00431]</t>
  </si>
  <si>
    <t>[SASV-00432]</t>
  </si>
  <si>
    <t>[SASV-00433]</t>
  </si>
  <si>
    <t>[SASV-00434]</t>
  </si>
  <si>
    <t>[SASV-00435]</t>
  </si>
  <si>
    <t>[SASV-00436]</t>
  </si>
  <si>
    <t>[SASV-00437]</t>
  </si>
  <si>
    <t>[SASV-00438]</t>
  </si>
  <si>
    <t>[SASV-00439]</t>
  </si>
  <si>
    <t>[SASV-00440]</t>
  </si>
  <si>
    <t>[SASV-00441]</t>
  </si>
  <si>
    <t>[SASV-00442]</t>
  </si>
  <si>
    <t>[SASV-00443]</t>
  </si>
  <si>
    <t>[SASV-00444]</t>
  </si>
  <si>
    <t>[SASV-00445]</t>
  </si>
  <si>
    <t>[SASV-00446]</t>
  </si>
  <si>
    <t>[SASV-00447]</t>
  </si>
  <si>
    <t>[SASV-00448]</t>
  </si>
  <si>
    <t>[SASV-00449]</t>
  </si>
  <si>
    <t>[SASV-00450]</t>
  </si>
  <si>
    <t>[SASV-00451]</t>
  </si>
  <si>
    <t>[SASV-00452]</t>
  </si>
  <si>
    <t>[SASV-00453]</t>
  </si>
  <si>
    <t>[SASV-00454]</t>
  </si>
  <si>
    <t>[SASV-00455]</t>
  </si>
  <si>
    <t>[SASV-00456]</t>
  </si>
  <si>
    <t>[SASV-00457]</t>
  </si>
  <si>
    <t>[SASV-00458]</t>
  </si>
  <si>
    <t>[SASV-00459]</t>
  </si>
  <si>
    <t xml:space="preserve">Appendix 2: </t>
  </si>
  <si>
    <t xml:space="preserve">Annual scheme cash flows table  </t>
  </si>
  <si>
    <t xml:space="preserve">These cash flows </t>
  </si>
  <si>
    <t xml:space="preserve">insured benefits where these are included when calculating the technical provisions. </t>
  </si>
  <si>
    <t>Year</t>
  </si>
  <si>
    <t>Annual cash flows: Accrued benefits</t>
  </si>
  <si>
    <t>[SASV-00501]</t>
  </si>
  <si>
    <t>[SASV-00502]</t>
  </si>
  <si>
    <t>[SASV-00503]</t>
  </si>
  <si>
    <t>[SASV-00504]</t>
  </si>
  <si>
    <t>[SASV-00505]</t>
  </si>
  <si>
    <t>[SASV-00506]</t>
  </si>
  <si>
    <t>[SASV-00507]</t>
  </si>
  <si>
    <t>[SASV-00508]</t>
  </si>
  <si>
    <t>[SASV-00509]</t>
  </si>
  <si>
    <t>[SASV-00510]</t>
  </si>
  <si>
    <t>[SASV-00511]</t>
  </si>
  <si>
    <t>[SASV-00512]</t>
  </si>
  <si>
    <t>[SASV-00513]</t>
  </si>
  <si>
    <t>[SASV-00514]</t>
  </si>
  <si>
    <t>[SASV-00515]</t>
  </si>
  <si>
    <t>[SASV-00516]</t>
  </si>
  <si>
    <t>[SASV-00517]</t>
  </si>
  <si>
    <t>[SASV-00518]</t>
  </si>
  <si>
    <t>[SASV-00519]</t>
  </si>
  <si>
    <t>[SASV-00520]</t>
  </si>
  <si>
    <t>[SASV-00521]</t>
  </si>
  <si>
    <t>[SASV-00522]</t>
  </si>
  <si>
    <t>[SASV-00523]</t>
  </si>
  <si>
    <t>[SASV-00524]</t>
  </si>
  <si>
    <t>[SASV-00525]</t>
  </si>
  <si>
    <t>[SASV-00526]</t>
  </si>
  <si>
    <t>[SASV-00527]</t>
  </si>
  <si>
    <t>[SASV-00528]</t>
  </si>
  <si>
    <t>[SASV-00529]</t>
  </si>
  <si>
    <t>[SASV-00530]</t>
  </si>
  <si>
    <t>[SASV-00531]</t>
  </si>
  <si>
    <t>[SASV-00532]</t>
  </si>
  <si>
    <t>[SASV-00533]</t>
  </si>
  <si>
    <t>[SASV-00534]</t>
  </si>
  <si>
    <t>[SASV-00535]</t>
  </si>
  <si>
    <t>[SASV-00536]</t>
  </si>
  <si>
    <t>[SASV-00537]</t>
  </si>
  <si>
    <t>[SASV-00538]</t>
  </si>
  <si>
    <t>[SASV-00539]</t>
  </si>
  <si>
    <t>[SASV-00540]</t>
  </si>
  <si>
    <t xml:space="preserve">Appendix 3: </t>
  </si>
  <si>
    <t>Contingent assets</t>
  </si>
  <si>
    <t>Guarantee</t>
  </si>
  <si>
    <t>Guarantor 1</t>
  </si>
  <si>
    <t>[SASV-00541.1]</t>
  </si>
  <si>
    <t xml:space="preserve">Name of guarantor: </t>
  </si>
  <si>
    <t>[SASV-00542.1] or [SASV-00658.1]</t>
  </si>
  <si>
    <t xml:space="preserve">Guarantor </t>
  </si>
  <si>
    <t>[SASV-00659.1]</t>
  </si>
  <si>
    <t>[SASV-00660.1]</t>
  </si>
  <si>
    <t>[SASV-00661.1]</t>
  </si>
  <si>
    <t>[SASV-00662.1]</t>
  </si>
  <si>
    <t>Address line 3:</t>
  </si>
  <si>
    <t>[SASV-00663.1]</t>
  </si>
  <si>
    <t>[SASV-00664.1]</t>
  </si>
  <si>
    <t>[SASV-00665.1]</t>
  </si>
  <si>
    <t>[SASV-00543.1]</t>
  </si>
  <si>
    <t xml:space="preserve">Is the guarantor an associated company?: </t>
  </si>
  <si>
    <t>[SASV-00544.1]</t>
  </si>
  <si>
    <t>[SASV-00545.1]</t>
  </si>
  <si>
    <t>[SASV-00546.1] or [SASV-00547.1]</t>
  </si>
  <si>
    <t>[SASV-00548.1]</t>
  </si>
  <si>
    <t>[SASV-00549.1]</t>
  </si>
  <si>
    <t xml:space="preserve">Value ascribed: </t>
  </si>
  <si>
    <t xml:space="preserve">Equal to or at least </t>
  </si>
  <si>
    <t>[SASV-00550.1]</t>
  </si>
  <si>
    <t xml:space="preserve">Date of valuation: </t>
  </si>
  <si>
    <t>[SASV-00551.1]</t>
  </si>
  <si>
    <t>[SASV-00552.1]</t>
  </si>
  <si>
    <t>[SASV-00666.1]</t>
  </si>
  <si>
    <t xml:space="preserve">Amount of value cap: </t>
  </si>
  <si>
    <t>Triggers for access to value</t>
  </si>
  <si>
    <t>[SASV-00553.1]</t>
  </si>
  <si>
    <t xml:space="preserve">Participating employers insolvency: </t>
  </si>
  <si>
    <t>[SASV-00554.1]</t>
  </si>
  <si>
    <t xml:space="preserve">Insolvency of associated company: </t>
  </si>
  <si>
    <t>[SASV-00555.1]</t>
  </si>
  <si>
    <t xml:space="preserve">Non-payment of contributions: </t>
  </si>
  <si>
    <t>[SASV-00556.1]</t>
  </si>
  <si>
    <t xml:space="preserve">Crystallisation of investment risk: </t>
  </si>
  <si>
    <t>[SASV-00558.1]</t>
  </si>
  <si>
    <t xml:space="preserve">Triggers for termination: </t>
  </si>
  <si>
    <t>[SASV-00559.1]</t>
  </si>
  <si>
    <t>Guarantor 2</t>
  </si>
  <si>
    <t>[SASV-00541.2]</t>
  </si>
  <si>
    <t>[SASV-00542.2] or [SASV-00658.2]</t>
  </si>
  <si>
    <t>[SASV-00659.2]</t>
  </si>
  <si>
    <t>[SASV-00660.2]</t>
  </si>
  <si>
    <t>[SASV-00661.2]</t>
  </si>
  <si>
    <t>[SASV-00662.2]</t>
  </si>
  <si>
    <t>[SASV-00663.2]</t>
  </si>
  <si>
    <t>[SASV-00664.2]</t>
  </si>
  <si>
    <t>[SASV-00665.2]</t>
  </si>
  <si>
    <t>[SASV-00543.2]</t>
  </si>
  <si>
    <t>Guarantee 2</t>
  </si>
  <si>
    <t>[SASV-00544.2]</t>
  </si>
  <si>
    <t>[SASV-00545.2]</t>
  </si>
  <si>
    <t>[SASV-00546.2] or [SASV-00547.2]</t>
  </si>
  <si>
    <t>[SASV-00548.2]</t>
  </si>
  <si>
    <t>[SASV-00549.2]</t>
  </si>
  <si>
    <t>[SASV-00550.2]</t>
  </si>
  <si>
    <t>[SASV-00551.2]</t>
  </si>
  <si>
    <t>[SASV-00552.2]</t>
  </si>
  <si>
    <t>[SASV-00666.2]</t>
  </si>
  <si>
    <t>[SASV-00553.2]</t>
  </si>
  <si>
    <t>[SASV-00554.2]</t>
  </si>
  <si>
    <t>[SASV-00555.2]</t>
  </si>
  <si>
    <t>[SASV-00556.2]</t>
  </si>
  <si>
    <t>[SASV-00558.2]</t>
  </si>
  <si>
    <t>[SASV-00559.2]</t>
  </si>
  <si>
    <t>Guarantor 3</t>
  </si>
  <si>
    <t>[SASV-00541.3]</t>
  </si>
  <si>
    <t>[SASV-00542.3] or [SASV-00658.3]</t>
  </si>
  <si>
    <t>[SASV-00659.3]</t>
  </si>
  <si>
    <t>[SASV-00660.3]</t>
  </si>
  <si>
    <t>[SASV-00661.3]</t>
  </si>
  <si>
    <t>[SASV-00662.3]</t>
  </si>
  <si>
    <t>[SASV-00663.3]</t>
  </si>
  <si>
    <t>[SASV-00664.3]</t>
  </si>
  <si>
    <t>[SASV-00665.3]</t>
  </si>
  <si>
    <t>[SASV-00543.3]</t>
  </si>
  <si>
    <t>Guarantee 3</t>
  </si>
  <si>
    <t>[SASV-00544.3]</t>
  </si>
  <si>
    <t>[SASV-00545.3]</t>
  </si>
  <si>
    <t>[SASV-00546.3] or [SASV-00547.3]</t>
  </si>
  <si>
    <t>[SASV-00548.3]</t>
  </si>
  <si>
    <t>[SASV-00549.3]</t>
  </si>
  <si>
    <t>[SASV-00550.3]</t>
  </si>
  <si>
    <t>[SASV-00551.3]</t>
  </si>
  <si>
    <t>[SASV-00552.3]</t>
  </si>
  <si>
    <t>[SASV-00666.3]</t>
  </si>
  <si>
    <t>[SASV-00553.3]</t>
  </si>
  <si>
    <t>[SASV-00554.3]</t>
  </si>
  <si>
    <t>[SASV-00555.3]</t>
  </si>
  <si>
    <t>[SASV-00556.3]</t>
  </si>
  <si>
    <t>[SASV-00558.3]</t>
  </si>
  <si>
    <t>[SASV-00559.3]</t>
  </si>
  <si>
    <t>Guarantor 4</t>
  </si>
  <si>
    <t>[SASV-00541.4]</t>
  </si>
  <si>
    <t>[SASV-00542.4] or [SASV-00658.4]</t>
  </si>
  <si>
    <t>[SASV-00659.4]</t>
  </si>
  <si>
    <t>[SASV-00660.4]</t>
  </si>
  <si>
    <t>[SASV-00661.4]</t>
  </si>
  <si>
    <t>[SASV-00662.4]</t>
  </si>
  <si>
    <t>[SASV-00663.4]</t>
  </si>
  <si>
    <t>[SASV-00664.4]</t>
  </si>
  <si>
    <t>[SASV-00665.4]</t>
  </si>
  <si>
    <t>[SASV-00543.4]</t>
  </si>
  <si>
    <t>Guarantee 4</t>
  </si>
  <si>
    <t>[SASV-00544.4]</t>
  </si>
  <si>
    <t>[SASV-00545.4]</t>
  </si>
  <si>
    <t>[SASV-00546.4] or [SASV-00547.4]</t>
  </si>
  <si>
    <t>[SASV-00548.4]</t>
  </si>
  <si>
    <t>[SASV-00549.4]</t>
  </si>
  <si>
    <t>[SASV-00550.4]</t>
  </si>
  <si>
    <t>[SASV-00551.4]</t>
  </si>
  <si>
    <t>[SASV-00552.4]</t>
  </si>
  <si>
    <t>[SASV-00666.4]</t>
  </si>
  <si>
    <t>[SASV-00553.4]</t>
  </si>
  <si>
    <t>[SASV-00554.4]</t>
  </si>
  <si>
    <t>[SASV-00555.4]</t>
  </si>
  <si>
    <t>[SASV-00556.4]</t>
  </si>
  <si>
    <t>[SASV-00558.4]</t>
  </si>
  <si>
    <t>[SASV-00559.4]</t>
  </si>
  <si>
    <t>Guarantor 5</t>
  </si>
  <si>
    <t>[SASV-00541.5]</t>
  </si>
  <si>
    <t>[SASV-00542.5] or [SASV-00658.5]</t>
  </si>
  <si>
    <t>[SASV-00659.5]</t>
  </si>
  <si>
    <t>[SASV-00660.5]</t>
  </si>
  <si>
    <t>[SASV-00661.5]</t>
  </si>
  <si>
    <t>[SASV-00662.5]</t>
  </si>
  <si>
    <t>[SASV-00663.5]</t>
  </si>
  <si>
    <t>[SASV-00664.5]</t>
  </si>
  <si>
    <t>[SASV-00665.5]</t>
  </si>
  <si>
    <t>[SASV-00543.5]</t>
  </si>
  <si>
    <t>Guarantee 5</t>
  </si>
  <si>
    <t>[SASV-00544.5]</t>
  </si>
  <si>
    <t>[SASV-00545.5]</t>
  </si>
  <si>
    <t>[SASV-00546.5] or [SASV-00547.5]</t>
  </si>
  <si>
    <t>[SASV-00548.5]</t>
  </si>
  <si>
    <t>[SASV-00549.5]</t>
  </si>
  <si>
    <t>[SASV-00550.5]</t>
  </si>
  <si>
    <t xml:space="preserve">Value cap: </t>
  </si>
  <si>
    <t>[SASV-00551.5]</t>
  </si>
  <si>
    <t>[SASV-00552.5]</t>
  </si>
  <si>
    <t>[SASV-00666.5]</t>
  </si>
  <si>
    <t>[SASV-00553.5]</t>
  </si>
  <si>
    <t>[SASV-00554.5]</t>
  </si>
  <si>
    <t>[SASV-00555.5]</t>
  </si>
  <si>
    <t>[SASV-00556.5]</t>
  </si>
  <si>
    <t>[SASV-00558.5]</t>
  </si>
  <si>
    <t>[SASV-00559.5]</t>
  </si>
  <si>
    <t>Security</t>
  </si>
  <si>
    <t>Security 1</t>
  </si>
  <si>
    <t>[SASV-00560.1]</t>
  </si>
  <si>
    <t>[SASV-00561.1]</t>
  </si>
  <si>
    <t xml:space="preserve">Type of maturity: </t>
  </si>
  <si>
    <t>[SASV-00562.1]</t>
  </si>
  <si>
    <t>[SASV-00563.1]</t>
  </si>
  <si>
    <t>[SASV-00564.1]</t>
  </si>
  <si>
    <t>[SASV-00565.1]</t>
  </si>
  <si>
    <t>[SASV-00566.1]</t>
  </si>
  <si>
    <t>[SASV-00567.1]</t>
  </si>
  <si>
    <t>[SASV-00568.1]</t>
  </si>
  <si>
    <t>[SASV-00667.1]</t>
  </si>
  <si>
    <t>[SASV-00569.1]</t>
  </si>
  <si>
    <t>[SASV-00570.1]</t>
  </si>
  <si>
    <t>[SASV-00571.1]</t>
  </si>
  <si>
    <t>[SASV-00572.1]</t>
  </si>
  <si>
    <t>[SASV-00574.1]</t>
  </si>
  <si>
    <t>[SASV-00575.1]</t>
  </si>
  <si>
    <t>Security 2</t>
  </si>
  <si>
    <t>[SASV-00560.2]</t>
  </si>
  <si>
    <t xml:space="preserve">Provide specific details of the underlying asset: </t>
  </si>
  <si>
    <t>[SASV-00561.2]</t>
  </si>
  <si>
    <t>[SASV-00562.2]</t>
  </si>
  <si>
    <t>[SASV-00563.2]</t>
  </si>
  <si>
    <t>[SASV-00564.2]</t>
  </si>
  <si>
    <t>[SASV-00565.2]</t>
  </si>
  <si>
    <t>[SASV-00566.2]</t>
  </si>
  <si>
    <t>[SASV-00567.2]</t>
  </si>
  <si>
    <t>[SASV-00568.2]</t>
  </si>
  <si>
    <t>[SASV-00667.2]</t>
  </si>
  <si>
    <t>[SASV-00569.2]</t>
  </si>
  <si>
    <t>[SASV-00570.2]</t>
  </si>
  <si>
    <t>[SASV-00571.2]</t>
  </si>
  <si>
    <t>[SASV-00572.2]</t>
  </si>
  <si>
    <t>[SASV-00574.2]</t>
  </si>
  <si>
    <t>[SASV-00575.2]</t>
  </si>
  <si>
    <t>Security 3</t>
  </si>
  <si>
    <t xml:space="preserve">Type of security: </t>
  </si>
  <si>
    <t>[SASV-00560.3]</t>
  </si>
  <si>
    <t>Provide specific details of the underlying asset:</t>
  </si>
  <si>
    <t>[SASV-00561.3]</t>
  </si>
  <si>
    <t>[SASV-00562.3]</t>
  </si>
  <si>
    <t>[SASV-00563.3]</t>
  </si>
  <si>
    <t>[SASV-00564.3]</t>
  </si>
  <si>
    <t>[SASV-00565.3]</t>
  </si>
  <si>
    <t>[SASV-00566.3]</t>
  </si>
  <si>
    <t>[SASV-00567.3]</t>
  </si>
  <si>
    <t>[SASV-00568.3]</t>
  </si>
  <si>
    <t>[SASV-00667.3]</t>
  </si>
  <si>
    <t>[SASV-00569.3]</t>
  </si>
  <si>
    <t>[SASV-00570.3]</t>
  </si>
  <si>
    <t>[SASV-00571.3]</t>
  </si>
  <si>
    <t>[SASV-00572.3]</t>
  </si>
  <si>
    <t>[SASV-00574.3]</t>
  </si>
  <si>
    <t>[SASV-00575.3]</t>
  </si>
  <si>
    <t>Security 4</t>
  </si>
  <si>
    <t>[SASV-00560.4]</t>
  </si>
  <si>
    <t>[SASV-00561.4]</t>
  </si>
  <si>
    <t>[SASV-00562.4]</t>
  </si>
  <si>
    <t>[SASV-00563.4]</t>
  </si>
  <si>
    <t>[SASV-00564.4]</t>
  </si>
  <si>
    <t>[SASV-00565.4]</t>
  </si>
  <si>
    <t>[SASV-00566.4]</t>
  </si>
  <si>
    <t>[SASV-00567.4]</t>
  </si>
  <si>
    <t>[SASV-00568.4]</t>
  </si>
  <si>
    <t>[SASV-00667.4]</t>
  </si>
  <si>
    <t>[SASV-00569.4]</t>
  </si>
  <si>
    <t>[SASV-00570.4]</t>
  </si>
  <si>
    <t>[SASV-00571.4]</t>
  </si>
  <si>
    <t>[SASV-00572.4]</t>
  </si>
  <si>
    <t>[SASV-00574.4]</t>
  </si>
  <si>
    <t>[SASV-00575.4]</t>
  </si>
  <si>
    <t>Security 5</t>
  </si>
  <si>
    <t>[SASV-00560.5]</t>
  </si>
  <si>
    <t>[SASV-00561.5]</t>
  </si>
  <si>
    <t>[SASV-00562.5]</t>
  </si>
  <si>
    <t>[SASV-00563.5]</t>
  </si>
  <si>
    <t>[SASV-00564.5]</t>
  </si>
  <si>
    <t>[SASV-00565.5]</t>
  </si>
  <si>
    <t>[SASV-00566.5]</t>
  </si>
  <si>
    <t>[SASV-00567.5]</t>
  </si>
  <si>
    <t>[SASV-00568.5]</t>
  </si>
  <si>
    <t>[SASV-00667.5]</t>
  </si>
  <si>
    <t>[SASV-00569.5]</t>
  </si>
  <si>
    <t>[SASV-00570.5]</t>
  </si>
  <si>
    <t>[SASV-00571.5]</t>
  </si>
  <si>
    <t>[SASV-00572.5]</t>
  </si>
  <si>
    <t>[SASV-00574.5]</t>
  </si>
  <si>
    <t>[SASV-00575.5]</t>
  </si>
  <si>
    <t>Other types of contingent asset</t>
  </si>
  <si>
    <t>Other types of contingent asset 1</t>
  </si>
  <si>
    <t xml:space="preserve">Type of contingent asset: </t>
  </si>
  <si>
    <t>[SASV-00576.1]</t>
  </si>
  <si>
    <t>if 576 = Other or Third Party</t>
  </si>
  <si>
    <t>[SASV-00577.1]</t>
  </si>
  <si>
    <t>[SASV-00578.1]</t>
  </si>
  <si>
    <t>[SASV-00579.1]</t>
  </si>
  <si>
    <t>[SASV-00580.1]</t>
  </si>
  <si>
    <t>[SASV-00581.1]</t>
  </si>
  <si>
    <t>[SASV-00582.1]</t>
  </si>
  <si>
    <t>[SASV-00583.1]</t>
  </si>
  <si>
    <t>[SASV-00584.1]</t>
  </si>
  <si>
    <t>[SASV-00668.1]</t>
  </si>
  <si>
    <t>[SASV-00585.1]</t>
  </si>
  <si>
    <t>[SASV-00586.1]</t>
  </si>
  <si>
    <t>[SASV-00587.1]</t>
  </si>
  <si>
    <t>[SASV-00588.1]</t>
  </si>
  <si>
    <t>[SASV-00590.1]</t>
  </si>
  <si>
    <t>[SASV-00591.1]</t>
  </si>
  <si>
    <t>Other types of contingent asset 2</t>
  </si>
  <si>
    <t>[SASV-00576.2]</t>
  </si>
  <si>
    <t xml:space="preserve"> if 576 = Other or Third Party</t>
  </si>
  <si>
    <t>[SASV-00577.2]</t>
  </si>
  <si>
    <t>[SASV-00578.2]</t>
  </si>
  <si>
    <t>[SASV-00579.2]</t>
  </si>
  <si>
    <t>[SASV-00580.2]</t>
  </si>
  <si>
    <t>[SASV-00581.2]</t>
  </si>
  <si>
    <t>[SASV-00582.2]</t>
  </si>
  <si>
    <t>[SASV-00583.2]</t>
  </si>
  <si>
    <t xml:space="preserve">[SASV-00584.2] </t>
  </si>
  <si>
    <t>[SASV-00668.2]</t>
  </si>
  <si>
    <t>[SASV-00585.2]</t>
  </si>
  <si>
    <t>[SASV-00586.2]</t>
  </si>
  <si>
    <t>[SASV-00587.2]</t>
  </si>
  <si>
    <t>[SASV-00588.2]</t>
  </si>
  <si>
    <t>[SASV-00590.2]</t>
  </si>
  <si>
    <t>[SASV-00591.2]</t>
  </si>
  <si>
    <t>Other types of contingent asset 3</t>
  </si>
  <si>
    <t>[SASV-00576.3]</t>
  </si>
  <si>
    <t>[SASV-00577.3]</t>
  </si>
  <si>
    <t>[SASV-00578.3]</t>
  </si>
  <si>
    <t>[SASV-00579.3]</t>
  </si>
  <si>
    <t>[SASV-00580.3]</t>
  </si>
  <si>
    <t>[SASV-00581.3]</t>
  </si>
  <si>
    <t>[SASV-00582.3]</t>
  </si>
  <si>
    <t>[SASV-00583.3]</t>
  </si>
  <si>
    <t>[SASV-00584.3]</t>
  </si>
  <si>
    <t>[SASV-00668.3]</t>
  </si>
  <si>
    <t>[SASV-00585.3]</t>
  </si>
  <si>
    <t>[SASV-00586.3]</t>
  </si>
  <si>
    <t>[SASV-00587.3]</t>
  </si>
  <si>
    <t>[SASV-00588.3]</t>
  </si>
  <si>
    <t>[SASV-00590.3]</t>
  </si>
  <si>
    <t>[SASV-00591.3]</t>
  </si>
  <si>
    <t>Other types of contingent asset 4</t>
  </si>
  <si>
    <t>[SASV-00576.4]</t>
  </si>
  <si>
    <t>[SASV-00577.4]</t>
  </si>
  <si>
    <t>[SASV-00578.4]</t>
  </si>
  <si>
    <t>[SASV-00579.4]</t>
  </si>
  <si>
    <t>[SASV-00580.4]</t>
  </si>
  <si>
    <t>[SASV-00581.4]</t>
  </si>
  <si>
    <t>[SASV-00582.4]</t>
  </si>
  <si>
    <t>[SASV-00583.4]</t>
  </si>
  <si>
    <t>[SASV-00584.4]</t>
  </si>
  <si>
    <t>[SASV-00668.4]</t>
  </si>
  <si>
    <t>[SASV-00585.4]</t>
  </si>
  <si>
    <t>[SASV-00586.4]</t>
  </si>
  <si>
    <t>[SASV-00587.4]</t>
  </si>
  <si>
    <t>[SASV-00588.4]</t>
  </si>
  <si>
    <t>[SASV-00590.4]</t>
  </si>
  <si>
    <t>[SASV-00591.4]</t>
  </si>
  <si>
    <t>Other types of contingent asset 5</t>
  </si>
  <si>
    <t>[SASV-00576.5]</t>
  </si>
  <si>
    <t>[SASV-00577.5]</t>
  </si>
  <si>
    <t>[SASV-00578.5]</t>
  </si>
  <si>
    <t>[SASV-00579.5]</t>
  </si>
  <si>
    <t>[SASV-00580.5]</t>
  </si>
  <si>
    <t>[SASV-00581.5]</t>
  </si>
  <si>
    <t>[SASV-00582.5]</t>
  </si>
  <si>
    <t>[SASV-00583.5]</t>
  </si>
  <si>
    <t>[SASV-00584.5]</t>
  </si>
  <si>
    <t>[SASV-00668.5]</t>
  </si>
  <si>
    <t>[SASV-00585.5]</t>
  </si>
  <si>
    <t>[SASV-00586.5]</t>
  </si>
  <si>
    <t>[SASV-00587.5]</t>
  </si>
  <si>
    <t>[SASV-00588.5]</t>
  </si>
  <si>
    <t>[SASV-00590.5]</t>
  </si>
  <si>
    <t>[SASV-00591.5]</t>
  </si>
  <si>
    <t xml:space="preserve">Appendix 4: </t>
  </si>
  <si>
    <t>ABC 1</t>
  </si>
  <si>
    <t>[SASV-00592.1]</t>
  </si>
  <si>
    <t>[SASV-00593.1]</t>
  </si>
  <si>
    <t>[SASV-00594.1]</t>
  </si>
  <si>
    <t>[SASV-00595.1]</t>
  </si>
  <si>
    <t>[SASV-00596.1]</t>
  </si>
  <si>
    <t>[SASV-00597.1]</t>
  </si>
  <si>
    <t xml:space="preserve">Value of the scheme's interest in the ABC (net present value): </t>
  </si>
  <si>
    <t>[SASV-00598.1]</t>
  </si>
  <si>
    <t xml:space="preserve">Date of net present value calculation: </t>
  </si>
  <si>
    <t xml:space="preserve">Valuation of underlying asset: </t>
  </si>
  <si>
    <t>[SASV-00600.1]</t>
  </si>
  <si>
    <t>[SASV-00601.1]</t>
  </si>
  <si>
    <t xml:space="preserve">Date of valuation of underlying asset: </t>
  </si>
  <si>
    <t xml:space="preserve">Triggers for any cessation of payment schedule or termination of ABC: </t>
  </si>
  <si>
    <t>[SASV-00602.1]</t>
  </si>
  <si>
    <t>ABC 2</t>
  </si>
  <si>
    <t>[SASV-00592.2]</t>
  </si>
  <si>
    <t>[SASV-00593.2]</t>
  </si>
  <si>
    <t>[SASV-00594.2]</t>
  </si>
  <si>
    <t>[SASV-00595.2]</t>
  </si>
  <si>
    <t>[SASV-00596.2]</t>
  </si>
  <si>
    <t>[SASV-00597.2]</t>
  </si>
  <si>
    <t>[SASV-00598.2]</t>
  </si>
  <si>
    <t>[SASV-00600.2]</t>
  </si>
  <si>
    <t>[SASV-00601.2]</t>
  </si>
  <si>
    <t>[SASV-00602.2]</t>
  </si>
  <si>
    <t>ABC 3</t>
  </si>
  <si>
    <t>[SASV-00592.3]</t>
  </si>
  <si>
    <t>[SASV-00593.3]</t>
  </si>
  <si>
    <t>[SASV-00594.3]</t>
  </si>
  <si>
    <t>[SASV-00595.3]</t>
  </si>
  <si>
    <t>[SASV-00596.3]</t>
  </si>
  <si>
    <t>[SASV-00597.3]</t>
  </si>
  <si>
    <t>[SASV-00598.3]</t>
  </si>
  <si>
    <t>[SASV-00600.3]</t>
  </si>
  <si>
    <t>[SASV-00601.3]</t>
  </si>
  <si>
    <t>[SASV-00602.3]</t>
  </si>
  <si>
    <t>ABC 4</t>
  </si>
  <si>
    <t>[SASV-00592.4]</t>
  </si>
  <si>
    <t>[SASV-00593.4]</t>
  </si>
  <si>
    <t>[SASV-00594.4]</t>
  </si>
  <si>
    <t>[SASV-00595.4]</t>
  </si>
  <si>
    <t>[SASV-00596.4]</t>
  </si>
  <si>
    <t>[SASV-00597.4]</t>
  </si>
  <si>
    <t>[SASV-00598.4]</t>
  </si>
  <si>
    <t>[SASV-00600.4]</t>
  </si>
  <si>
    <t>[SASV-00601.4]</t>
  </si>
  <si>
    <t>[SASV-00602.4]</t>
  </si>
  <si>
    <t>ABC 5</t>
  </si>
  <si>
    <t>[SASV-00592.5]</t>
  </si>
  <si>
    <t>[SASV-00593.5]</t>
  </si>
  <si>
    <t>[SASV-00594.5]</t>
  </si>
  <si>
    <t>[SASV-00595.5]</t>
  </si>
  <si>
    <t>[SASV-00596.5]</t>
  </si>
  <si>
    <t>[SASV-00597.5]</t>
  </si>
  <si>
    <t>[SASV-00598.5]</t>
  </si>
  <si>
    <t>[SASV-00600.5]</t>
  </si>
  <si>
    <t>[SASV-00601.5]</t>
  </si>
  <si>
    <t>[SASV-00602.5]</t>
  </si>
  <si>
    <t>Income stream</t>
  </si>
  <si>
    <t>Years</t>
  </si>
  <si>
    <t>[SASV-00603.1]</t>
  </si>
  <si>
    <t xml:space="preserve">ABC 1: Year 1 </t>
  </si>
  <si>
    <t>[SASV-00604.1]</t>
  </si>
  <si>
    <t xml:space="preserve">ABC 1: Year 2 </t>
  </si>
  <si>
    <t>[SASV-00605.1]</t>
  </si>
  <si>
    <t xml:space="preserve">ABC 1: Year 3 </t>
  </si>
  <si>
    <t>[SASV-00606.1]</t>
  </si>
  <si>
    <t xml:space="preserve">ABC 1: Year 4 </t>
  </si>
  <si>
    <t>[SASV-00607.1]</t>
  </si>
  <si>
    <t xml:space="preserve">ABC 1: Year 5 </t>
  </si>
  <si>
    <t>[SASV-00608.1]</t>
  </si>
  <si>
    <t xml:space="preserve">ABC 1: Year 6 </t>
  </si>
  <si>
    <t>[SASV-00609.1]</t>
  </si>
  <si>
    <t xml:space="preserve">ABC 1: Year 7 </t>
  </si>
  <si>
    <t>[SASV-00610.1]</t>
  </si>
  <si>
    <t xml:space="preserve">ABC 1: Year 8 </t>
  </si>
  <si>
    <t>[SASV-00611.1]</t>
  </si>
  <si>
    <t xml:space="preserve">ABC 1: Year 9 </t>
  </si>
  <si>
    <t>[SASV-00612.1]</t>
  </si>
  <si>
    <t xml:space="preserve">ABC 1: Year 10 </t>
  </si>
  <si>
    <t>[SASV-00613.1]</t>
  </si>
  <si>
    <t xml:space="preserve">ABC 1: Year 11 </t>
  </si>
  <si>
    <t>[SASV-00614.1]</t>
  </si>
  <si>
    <t xml:space="preserve">ABC 1: Year 12 </t>
  </si>
  <si>
    <t>[SASV-00615.1]</t>
  </si>
  <si>
    <t xml:space="preserve">ABC 1: Year 13 </t>
  </si>
  <si>
    <t>[SASV-00616.1]</t>
  </si>
  <si>
    <t xml:space="preserve">ABC 1: Year 14 </t>
  </si>
  <si>
    <t>[SASV-00617.1]</t>
  </si>
  <si>
    <t xml:space="preserve">ABC 1: Year 15 </t>
  </si>
  <si>
    <t>[SASV-00618.1]</t>
  </si>
  <si>
    <t xml:space="preserve">ABC 1: Year 16 </t>
  </si>
  <si>
    <t>[SASV-00619.1]</t>
  </si>
  <si>
    <t xml:space="preserve">ABC 1: Year 17 </t>
  </si>
  <si>
    <t>[SASV-00620.1]</t>
  </si>
  <si>
    <t xml:space="preserve">ABC 1: Year 18 </t>
  </si>
  <si>
    <t>[SASV-00621.1]</t>
  </si>
  <si>
    <t xml:space="preserve">ABC 1: Year 19 </t>
  </si>
  <si>
    <t>[SASV-00622.1]</t>
  </si>
  <si>
    <t xml:space="preserve">ABC 1: Year 20 </t>
  </si>
  <si>
    <t>[SASV-00623.1]</t>
  </si>
  <si>
    <t xml:space="preserve">ABC 1: Year 21+ </t>
  </si>
  <si>
    <t>[SASV-00603.2]</t>
  </si>
  <si>
    <t xml:space="preserve">ABC 2: Year 1 </t>
  </si>
  <si>
    <t>[SASV-00604.2]</t>
  </si>
  <si>
    <t xml:space="preserve">ABC 2: Year 2 </t>
  </si>
  <si>
    <t>[SASV-00605.2]</t>
  </si>
  <si>
    <t xml:space="preserve">ABC 2: Year 3 </t>
  </si>
  <si>
    <t>[SASV-00606.2]</t>
  </si>
  <si>
    <t xml:space="preserve">ABC 2: Year 4 </t>
  </si>
  <si>
    <t>[SASV-00607.2]</t>
  </si>
  <si>
    <t xml:space="preserve">ABC 2: Year 5 </t>
  </si>
  <si>
    <t>[SASV-00608.2]</t>
  </si>
  <si>
    <t xml:space="preserve">ABC 2: Year 6 </t>
  </si>
  <si>
    <t>[SASV-00609.2]</t>
  </si>
  <si>
    <t xml:space="preserve">ABC 2: Year 7 </t>
  </si>
  <si>
    <t>[SASV-00610.2]</t>
  </si>
  <si>
    <t xml:space="preserve">ABC 2: Year 8 </t>
  </si>
  <si>
    <t>[SASV-00611.2]</t>
  </si>
  <si>
    <t xml:space="preserve">ABC 2: Year 9 </t>
  </si>
  <si>
    <t>[SASV-00612.2]</t>
  </si>
  <si>
    <t xml:space="preserve">ABC 2: Year 10 </t>
  </si>
  <si>
    <t>[SASV-00613.2]</t>
  </si>
  <si>
    <t xml:space="preserve">ABC 2: Year 11 </t>
  </si>
  <si>
    <t>[SASV-00614.2]</t>
  </si>
  <si>
    <t xml:space="preserve">ABC 2: Year 12 </t>
  </si>
  <si>
    <t>[SASV-00615.2]</t>
  </si>
  <si>
    <t xml:space="preserve">ABC 2: Year 13 </t>
  </si>
  <si>
    <t>[SASV-00616.2]</t>
  </si>
  <si>
    <t xml:space="preserve">ABC 2: Year 14 </t>
  </si>
  <si>
    <t>[SASV-00617.2]</t>
  </si>
  <si>
    <t xml:space="preserve">ABC 2: Year 15 </t>
  </si>
  <si>
    <t>[SASV-00618.2]</t>
  </si>
  <si>
    <t xml:space="preserve">ABC 2: Year 16 </t>
  </si>
  <si>
    <t>[SASV-00619.2]</t>
  </si>
  <si>
    <t xml:space="preserve">ABC 2: Year 17 </t>
  </si>
  <si>
    <t>[SASV-00620.2]</t>
  </si>
  <si>
    <t xml:space="preserve">ABC 2: Year 18 </t>
  </si>
  <si>
    <t>[SASV-00621.2]</t>
  </si>
  <si>
    <t xml:space="preserve">ABC 2: Year 19 </t>
  </si>
  <si>
    <t>[SASV-00622.2]</t>
  </si>
  <si>
    <t xml:space="preserve">ABC 2: Year 20 </t>
  </si>
  <si>
    <t>[SASV-00623.2]</t>
  </si>
  <si>
    <t xml:space="preserve">ABC 2: Year 21+ </t>
  </si>
  <si>
    <t>[SASV-00603.3]</t>
  </si>
  <si>
    <t xml:space="preserve">ABC 3: Year 1 </t>
  </si>
  <si>
    <t>[SASV-00604.3]</t>
  </si>
  <si>
    <t xml:space="preserve">ABC 3: Year 2 </t>
  </si>
  <si>
    <t>[SASV-00605.3]</t>
  </si>
  <si>
    <t xml:space="preserve">ABC 3: Year 3 </t>
  </si>
  <si>
    <t>[SASV-00606.3]</t>
  </si>
  <si>
    <t xml:space="preserve">ABC 3: Year 4 </t>
  </si>
  <si>
    <t>[SASV-00607.3]</t>
  </si>
  <si>
    <t xml:space="preserve">ABC 3: Year 5 </t>
  </si>
  <si>
    <t>[SASV-00608.3]</t>
  </si>
  <si>
    <t xml:space="preserve">ABC 3: Year 6 </t>
  </si>
  <si>
    <t>[SASV-00609.3]</t>
  </si>
  <si>
    <t xml:space="preserve">ABC 3: Year 7 </t>
  </si>
  <si>
    <t>[SASV-00610.3]</t>
  </si>
  <si>
    <t xml:space="preserve">ABC 3: Year 8 </t>
  </si>
  <si>
    <t>[SASV-00611.3]</t>
  </si>
  <si>
    <t xml:space="preserve">ABC 3: Year 9 </t>
  </si>
  <si>
    <t>[SASV-00612.3]</t>
  </si>
  <si>
    <t xml:space="preserve">ABC 3: Year 10 </t>
  </si>
  <si>
    <t>[SASV-00613.3]</t>
  </si>
  <si>
    <t xml:space="preserve">ABC 3: Year 11 </t>
  </si>
  <si>
    <t>[SASV-00614.3]</t>
  </si>
  <si>
    <t xml:space="preserve">ABC 3: Year 12 </t>
  </si>
  <si>
    <t>[SASV-00615.3]</t>
  </si>
  <si>
    <t xml:space="preserve">ABC 3: Year 13 </t>
  </si>
  <si>
    <t>[SASV-00616.3]</t>
  </si>
  <si>
    <t xml:space="preserve">ABC 3: Year 14 </t>
  </si>
  <si>
    <t>[SASV-00617.3]</t>
  </si>
  <si>
    <t xml:space="preserve">ABC 3: Year 15 </t>
  </si>
  <si>
    <t>[SASV-00618.3]</t>
  </si>
  <si>
    <t xml:space="preserve">ABC 3: Year 16 </t>
  </si>
  <si>
    <t>[SASV-00619.3]</t>
  </si>
  <si>
    <t xml:space="preserve">ABC 3: Year 17 </t>
  </si>
  <si>
    <t>[SASV-00620.3]</t>
  </si>
  <si>
    <t xml:space="preserve">ABC 3: Year 18 </t>
  </si>
  <si>
    <t>[SASV-00621.3]</t>
  </si>
  <si>
    <t xml:space="preserve">ABC 3: Year 19 </t>
  </si>
  <si>
    <t>[SASV-00622.3]</t>
  </si>
  <si>
    <t xml:space="preserve">ABC 3: Year 20 </t>
  </si>
  <si>
    <t>[SASV-00623.3]</t>
  </si>
  <si>
    <t xml:space="preserve">ABC 3: Year 21+ </t>
  </si>
  <si>
    <t>[SASV-00603.4]</t>
  </si>
  <si>
    <t xml:space="preserve">ABC 4: Year 1 </t>
  </si>
  <si>
    <t>[SASV-00604.4]</t>
  </si>
  <si>
    <t xml:space="preserve">ABC 4: Year 2 </t>
  </si>
  <si>
    <t>[SASV-00605.4]</t>
  </si>
  <si>
    <t xml:space="preserve">ABC 4: Year 3 </t>
  </si>
  <si>
    <t>[SASV-00606.4]</t>
  </si>
  <si>
    <t xml:space="preserve">ABC 4: Year 4 </t>
  </si>
  <si>
    <t>[SASV-00607.4]</t>
  </si>
  <si>
    <t xml:space="preserve">ABC 4: Year 5 </t>
  </si>
  <si>
    <t>[SASV-00608.4]</t>
  </si>
  <si>
    <t xml:space="preserve">ABC 4: Year 6 </t>
  </si>
  <si>
    <t>[SASV-00609.4]</t>
  </si>
  <si>
    <t xml:space="preserve">ABC 4: Year 7 </t>
  </si>
  <si>
    <t>[SASV-00610.4]</t>
  </si>
  <si>
    <t xml:space="preserve">ABC 4: Year 8 </t>
  </si>
  <si>
    <t>[SASV-00611.4]</t>
  </si>
  <si>
    <t xml:space="preserve">ABC 4: Year 9 </t>
  </si>
  <si>
    <t>[SASV-00612.4]</t>
  </si>
  <si>
    <t xml:space="preserve">ABC 4: Year 10 </t>
  </si>
  <si>
    <t>[SASV-00613.4]</t>
  </si>
  <si>
    <t xml:space="preserve">ABC 4: Year 11 </t>
  </si>
  <si>
    <t>[SASV-00614.4]</t>
  </si>
  <si>
    <t xml:space="preserve">ABC 4: Year 12 </t>
  </si>
  <si>
    <t>[SASV-00615.4]</t>
  </si>
  <si>
    <t xml:space="preserve">ABC 4: Year 13 </t>
  </si>
  <si>
    <t>[SASV-00616.4]</t>
  </si>
  <si>
    <t xml:space="preserve">ABC 4: Year 14 </t>
  </si>
  <si>
    <t>[SASV-00617.4]</t>
  </si>
  <si>
    <t xml:space="preserve">ABC 4: Year 15 </t>
  </si>
  <si>
    <t>[SASV-00618.4]</t>
  </si>
  <si>
    <t xml:space="preserve">ABC 4: Year 16 </t>
  </si>
  <si>
    <t>[SASV-00619.4]</t>
  </si>
  <si>
    <t xml:space="preserve">ABC 4: Year 17 </t>
  </si>
  <si>
    <t>[SASV-00620.4]</t>
  </si>
  <si>
    <t xml:space="preserve">ABC 4: Year 18 </t>
  </si>
  <si>
    <t>[SASV-00621.4]</t>
  </si>
  <si>
    <t xml:space="preserve">ABC 4: Year 19 </t>
  </si>
  <si>
    <t>[SASV-00622.4]</t>
  </si>
  <si>
    <t xml:space="preserve">ABC 4: Year 20 </t>
  </si>
  <si>
    <t>[SASV-00623.4]</t>
  </si>
  <si>
    <t xml:space="preserve">ABC 4: Year 21+ </t>
  </si>
  <si>
    <t>[SASV-00603.5]</t>
  </si>
  <si>
    <t xml:space="preserve">ABC 5: Year 1 </t>
  </si>
  <si>
    <t>[SASV-00604.5]</t>
  </si>
  <si>
    <t xml:space="preserve">ABC 5: Year 2 </t>
  </si>
  <si>
    <t>[SASV-00605.5]</t>
  </si>
  <si>
    <t xml:space="preserve">ABC 5: Year 3 </t>
  </si>
  <si>
    <t>[SASV-00606.5]</t>
  </si>
  <si>
    <t xml:space="preserve">ABC 5: Year 4 </t>
  </si>
  <si>
    <t>[SASV-00607.5]</t>
  </si>
  <si>
    <t xml:space="preserve">ABC 5: Year 5 </t>
  </si>
  <si>
    <t>[SASV-00608.5]</t>
  </si>
  <si>
    <t xml:space="preserve">ABC 5: Year 6 </t>
  </si>
  <si>
    <t>[SASV-00609.5]</t>
  </si>
  <si>
    <t xml:space="preserve">ABC 5: Year 7 </t>
  </si>
  <si>
    <t>[SASV-00610.5]</t>
  </si>
  <si>
    <t xml:space="preserve">ABC 5: Year 8 </t>
  </si>
  <si>
    <t>[SASV-00611.5]</t>
  </si>
  <si>
    <t xml:space="preserve">ABC 5: Year 9 </t>
  </si>
  <si>
    <t>[SASV-00612.5]</t>
  </si>
  <si>
    <t xml:space="preserve">ABC 5: Year 10 </t>
  </si>
  <si>
    <t>[SASV-00613.5]</t>
  </si>
  <si>
    <t xml:space="preserve">ABC 5: Year 11 </t>
  </si>
  <si>
    <t>[SASV-00614.5]</t>
  </si>
  <si>
    <t xml:space="preserve">ABC 5: Year 12 </t>
  </si>
  <si>
    <t>[SASV-00615.5]</t>
  </si>
  <si>
    <t xml:space="preserve">ABC 5: Year 13 </t>
  </si>
  <si>
    <t>[SASV-00616.5]</t>
  </si>
  <si>
    <t xml:space="preserve">ABC 5: Year 14 </t>
  </si>
  <si>
    <t>[SASV-00617.5]</t>
  </si>
  <si>
    <t xml:space="preserve">ABC 5: Year 15 </t>
  </si>
  <si>
    <t>[SASV-00618.5]</t>
  </si>
  <si>
    <t xml:space="preserve">ABC 5: Year 16 </t>
  </si>
  <si>
    <t>[SASV-00619.5]</t>
  </si>
  <si>
    <t xml:space="preserve">ABC 5: Year 17 </t>
  </si>
  <si>
    <t>[SASV-00620.5]</t>
  </si>
  <si>
    <t xml:space="preserve">ABC 5: Year 18 </t>
  </si>
  <si>
    <t>[SASV-00621.5]</t>
  </si>
  <si>
    <t xml:space="preserve">ABC 5: Year 19 </t>
  </si>
  <si>
    <t>[SASV-00622.5]</t>
  </si>
  <si>
    <t xml:space="preserve">ABC 5: Year 20 </t>
  </si>
  <si>
    <t>[SASV-00623.5]</t>
  </si>
  <si>
    <t xml:space="preserve">ABC 5: Year 21+ </t>
  </si>
  <si>
    <t xml:space="preserve">Appendix 5: </t>
  </si>
  <si>
    <t>Summary of trustees' analysis of maximum affordable contributions after deficit repair contributions</t>
  </si>
  <si>
    <t>The trustees should append the PDF of the analysis of maximum affordable contributions here. This will also need to be uploaded when the statement of strategy is submitted.</t>
  </si>
  <si>
    <t xml:space="preserve">Appendix 6: </t>
  </si>
  <si>
    <t xml:space="preserve">Summary of trustees’ assessment of supportable risk over the reliability period    </t>
  </si>
  <si>
    <t xml:space="preserve">The trustees should append the PDF of the assessment of supportable risk over the reliability period here. This will also need to be uploaded when the Statement of strategy is submitted. </t>
  </si>
  <si>
    <t>Location Hyperlink</t>
  </si>
  <si>
    <t>What you have entered</t>
  </si>
  <si>
    <t>User ID</t>
  </si>
  <si>
    <t>Answer Required</t>
  </si>
  <si>
    <t>Data Location</t>
  </si>
  <si>
    <t>Cell Short Address</t>
  </si>
  <si>
    <t>Error Handling</t>
  </si>
  <si>
    <t>Error 1</t>
  </si>
  <si>
    <t>Error 2</t>
  </si>
  <si>
    <t>Error 3</t>
  </si>
  <si>
    <t>Error 4</t>
  </si>
  <si>
    <t>Error 5</t>
  </si>
  <si>
    <t>Error 6</t>
  </si>
  <si>
    <t>Error 7</t>
  </si>
  <si>
    <t>Error 8</t>
  </si>
  <si>
    <t>Error 9</t>
  </si>
  <si>
    <t>Error 10</t>
  </si>
  <si>
    <t>Upload Ready</t>
  </si>
  <si>
    <t>Source cell format</t>
  </si>
  <si>
    <t>Contains floating point number</t>
  </si>
  <si>
    <t>Floating point format</t>
  </si>
  <si>
    <t>Is text</t>
  </si>
  <si>
    <t>SASV-00008</t>
  </si>
  <si>
    <t>SASV-00009</t>
  </si>
  <si>
    <t>SASV-00190</t>
  </si>
  <si>
    <t>SASV-00191</t>
  </si>
  <si>
    <t>SASV-00011</t>
  </si>
  <si>
    <t>SASV-00015</t>
  </si>
  <si>
    <t>SASV-00006</t>
  </si>
  <si>
    <t>SASV-00001</t>
  </si>
  <si>
    <t>SASV-00007</t>
  </si>
  <si>
    <t>SASV-00003</t>
  </si>
  <si>
    <t>SASV-00625</t>
  </si>
  <si>
    <t>SASV-00004</t>
  </si>
  <si>
    <t>SASV-00034</t>
  </si>
  <si>
    <t>SASV-00005</t>
  </si>
  <si>
    <t>SASV-00035</t>
  </si>
  <si>
    <t>SASV-00036</t>
  </si>
  <si>
    <t>SASV-00016</t>
  </si>
  <si>
    <t>SASV-00014</t>
  </si>
  <si>
    <t>SASV-00037</t>
  </si>
  <si>
    <t>SASV-00017</t>
  </si>
  <si>
    <t>SASV-00019</t>
  </si>
  <si>
    <t>SASV-00018</t>
  </si>
  <si>
    <t>SASV-00020</t>
  </si>
  <si>
    <t>SASV-00021</t>
  </si>
  <si>
    <t>SASV-00022</t>
  </si>
  <si>
    <t>SASV-00024</t>
  </si>
  <si>
    <t>SASV-00025</t>
  </si>
  <si>
    <t>SASV-00026</t>
  </si>
  <si>
    <t>SASV-00027</t>
  </si>
  <si>
    <t>SASV-00029</t>
  </si>
  <si>
    <t>SASV-00028</t>
  </si>
  <si>
    <t>SASV-00030</t>
  </si>
  <si>
    <t>SASV-00031</t>
  </si>
  <si>
    <t>SASV-00032</t>
  </si>
  <si>
    <t>SASV-00033</t>
  </si>
  <si>
    <t>SASV-00626</t>
  </si>
  <si>
    <t>SASV-00627</t>
  </si>
  <si>
    <t>SASV-00038</t>
  </si>
  <si>
    <t>SASV-00039</t>
  </si>
  <si>
    <t>SASV-00040</t>
  </si>
  <si>
    <t>SASV-00041</t>
  </si>
  <si>
    <t>SASV-00042</t>
  </si>
  <si>
    <t>SASV-00628</t>
  </si>
  <si>
    <t>SASV-00629</t>
  </si>
  <si>
    <t>SASV-00043</t>
  </si>
  <si>
    <t>SASV-00044</t>
  </si>
  <si>
    <t>SASV-00634</t>
  </si>
  <si>
    <t>SASV-00635</t>
  </si>
  <si>
    <t>SASV-00046</t>
  </si>
  <si>
    <t>SASV-00047</t>
  </si>
  <si>
    <t>SASV-00048</t>
  </si>
  <si>
    <t>SASV-00049</t>
  </si>
  <si>
    <t>SASV-00050</t>
  </si>
  <si>
    <t>SASV-00630</t>
  </si>
  <si>
    <t>SASV-00631</t>
  </si>
  <si>
    <t>SASV-00051</t>
  </si>
  <si>
    <t>SASV-00052</t>
  </si>
  <si>
    <t>SASV-00012</t>
  </si>
  <si>
    <t>SASV-00013</t>
  </si>
  <si>
    <t>SASV-00054</t>
  </si>
  <si>
    <t>SASV-00055</t>
  </si>
  <si>
    <t>SASV-00056</t>
  </si>
  <si>
    <t>SASV-00057</t>
  </si>
  <si>
    <t>SASV-00058</t>
  </si>
  <si>
    <t>SASV-00632</t>
  </si>
  <si>
    <t>SASV-00633</t>
  </si>
  <si>
    <t>SASV-00059</t>
  </si>
  <si>
    <t>SASV-00060</t>
  </si>
  <si>
    <t>SASV-00061</t>
  </si>
  <si>
    <t>SASV-00062</t>
  </si>
  <si>
    <t>SASV-00063</t>
  </si>
  <si>
    <t>SASV-00064</t>
  </si>
  <si>
    <t>SASV-00065</t>
  </si>
  <si>
    <t>SASV-00066</t>
  </si>
  <si>
    <t>SASV-00067</t>
  </si>
  <si>
    <t>SASV-00068</t>
  </si>
  <si>
    <t>SASV-00636</t>
  </si>
  <si>
    <t>SASV-00637</t>
  </si>
  <si>
    <t>SASV-00069</t>
  </si>
  <si>
    <t>SASV-00070</t>
  </si>
  <si>
    <t>SASV-00071</t>
  </si>
  <si>
    <t>SASV-00072</t>
  </si>
  <si>
    <t>SASV-00073</t>
  </si>
  <si>
    <t>SASV-00074</t>
  </si>
  <si>
    <t>SASV-00075</t>
  </si>
  <si>
    <t>SASV-00076</t>
  </si>
  <si>
    <t>SASV-00077</t>
  </si>
  <si>
    <t>SASV-00078</t>
  </si>
  <si>
    <t>SASV-00079</t>
  </si>
  <si>
    <t>SASV-00080</t>
  </si>
  <si>
    <t>SASV-00081</t>
  </si>
  <si>
    <t>SASV-00082</t>
  </si>
  <si>
    <t>SASV-00083</t>
  </si>
  <si>
    <t>SASV-00084</t>
  </si>
  <si>
    <t>SASV-00085</t>
  </si>
  <si>
    <t>SASV-00086</t>
  </si>
  <si>
    <t>SASV-00087</t>
  </si>
  <si>
    <t>SASV-00088</t>
  </si>
  <si>
    <t>SASV-00089</t>
  </si>
  <si>
    <t>SASV-00090</t>
  </si>
  <si>
    <t>SASV-00091</t>
  </si>
  <si>
    <t>SASV-00092</t>
  </si>
  <si>
    <t>SASV-00002</t>
  </si>
  <si>
    <t>SASV-00193</t>
  </si>
  <si>
    <t>SASV-00194</t>
  </si>
  <si>
    <t>SASV-00023</t>
  </si>
  <si>
    <t>SASV-00195</t>
  </si>
  <si>
    <t>SASV-00196</t>
  </si>
  <si>
    <t>SASV-00197</t>
  </si>
  <si>
    <t>SASV-00198</t>
  </si>
  <si>
    <t>SASV-00199</t>
  </si>
  <si>
    <t>SASV-00200</t>
  </si>
  <si>
    <t>SASV-00201</t>
  </si>
  <si>
    <t>SASV-00202</t>
  </si>
  <si>
    <t>SASV-00203</t>
  </si>
  <si>
    <t>SASV-00204</t>
  </si>
  <si>
    <t>SASV-00205</t>
  </si>
  <si>
    <t>SASV-00206</t>
  </si>
  <si>
    <t>SASV-00207</t>
  </si>
  <si>
    <t>SASV-00208</t>
  </si>
  <si>
    <t>SASV-00209</t>
  </si>
  <si>
    <t>SASV-00210</t>
  </si>
  <si>
    <t>SASV-00211</t>
  </si>
  <si>
    <t>SASV-00212</t>
  </si>
  <si>
    <t>SASV-00213</t>
  </si>
  <si>
    <t>SASV-00214</t>
  </si>
  <si>
    <t>SASV-00215</t>
  </si>
  <si>
    <t>SASV-00216</t>
  </si>
  <si>
    <t>SASV-00647</t>
  </si>
  <si>
    <t>SASV-00217</t>
  </si>
  <si>
    <t>SASV-00218</t>
  </si>
  <si>
    <t>SASV-00219</t>
  </si>
  <si>
    <t>SASV-00220</t>
  </si>
  <si>
    <t>SASV-00221</t>
  </si>
  <si>
    <t>SASV-00222</t>
  </si>
  <si>
    <t>SASV-00223</t>
  </si>
  <si>
    <t>SASV-00224</t>
  </si>
  <si>
    <t>SASV-00225</t>
  </si>
  <si>
    <t>SASV-00226</t>
  </si>
  <si>
    <t>SASV-00227</t>
  </si>
  <si>
    <t>SASV-00228</t>
  </si>
  <si>
    <t>SASV-00229</t>
  </si>
  <si>
    <t>SASV-00230</t>
  </si>
  <si>
    <t>SASV-00231</t>
  </si>
  <si>
    <t>SASV-00232</t>
  </si>
  <si>
    <t>SASV-00233</t>
  </si>
  <si>
    <t>SASV-00234</t>
  </si>
  <si>
    <t>SASV-00235</t>
  </si>
  <si>
    <t>SASV-00236</t>
  </si>
  <si>
    <t>SASV-00237</t>
  </si>
  <si>
    <t>SASV-00238</t>
  </si>
  <si>
    <t>SASV-00239</t>
  </si>
  <si>
    <t>SASV-00240</t>
  </si>
  <si>
    <t>SASV-00241</t>
  </si>
  <si>
    <t>SASV-00242</t>
  </si>
  <si>
    <t>SASV-00243</t>
  </si>
  <si>
    <t>SASV-00244</t>
  </si>
  <si>
    <t>SASV-00245</t>
  </si>
  <si>
    <t>SASV-00246</t>
  </si>
  <si>
    <t>SASV-00247</t>
  </si>
  <si>
    <t>SASV-00248</t>
  </si>
  <si>
    <t>SASV-00249</t>
  </si>
  <si>
    <t>SASV-00250</t>
  </si>
  <si>
    <t>SASV-00251</t>
  </si>
  <si>
    <t>SASV-00252</t>
  </si>
  <si>
    <t>SASV-00253</t>
  </si>
  <si>
    <t>SASV-00254</t>
  </si>
  <si>
    <t>SASV-00255</t>
  </si>
  <si>
    <t>SASV-00256</t>
  </si>
  <si>
    <t>SASV-00257</t>
  </si>
  <si>
    <t>SASV-00258</t>
  </si>
  <si>
    <t>SASV-00259</t>
  </si>
  <si>
    <t>SASV-00260</t>
  </si>
  <si>
    <t>SASV-00261</t>
  </si>
  <si>
    <t>SASV-00262</t>
  </si>
  <si>
    <t>SASV-00263</t>
  </si>
  <si>
    <t>SASV-00264</t>
  </si>
  <si>
    <t>SASV-00265</t>
  </si>
  <si>
    <t>SASV-00266</t>
  </si>
  <si>
    <t>SASV-00267</t>
  </si>
  <si>
    <t>SASV-00268</t>
  </si>
  <si>
    <t>SASV-00269</t>
  </si>
  <si>
    <t>SASV-00270</t>
  </si>
  <si>
    <t>SASV-00271</t>
  </si>
  <si>
    <t>SASV-00272</t>
  </si>
  <si>
    <t>SASV-00273</t>
  </si>
  <si>
    <t>SASV-00274</t>
  </si>
  <si>
    <t>SASV-00275</t>
  </si>
  <si>
    <t>SASV-00276</t>
  </si>
  <si>
    <t>SASV-00277</t>
  </si>
  <si>
    <t>SASV-00278</t>
  </si>
  <si>
    <t>SASV-00279</t>
  </si>
  <si>
    <t>SASV-00280</t>
  </si>
  <si>
    <t>SASV-00281</t>
  </si>
  <si>
    <t>SASV-00282</t>
  </si>
  <si>
    <t>SASV-00283</t>
  </si>
  <si>
    <t>SASV-00284</t>
  </si>
  <si>
    <t>SASV-00285</t>
  </si>
  <si>
    <t>SASV-00286</t>
  </si>
  <si>
    <t>SASV-00287</t>
  </si>
  <si>
    <t>SASV-00288</t>
  </si>
  <si>
    <t>SASV-00289</t>
  </si>
  <si>
    <t>SASV-00290</t>
  </si>
  <si>
    <t>SASV-00291</t>
  </si>
  <si>
    <t>SASV-00292</t>
  </si>
  <si>
    <t>SASV-00293</t>
  </si>
  <si>
    <t>SASV-00294</t>
  </si>
  <si>
    <t>SASV-00295</t>
  </si>
  <si>
    <t>SASV-00296</t>
  </si>
  <si>
    <t>SASV-00297</t>
  </si>
  <si>
    <t>SASV-00298</t>
  </si>
  <si>
    <t>SASV-00299</t>
  </si>
  <si>
    <t>SASV-00300</t>
  </si>
  <si>
    <t>SASV-00301</t>
  </si>
  <si>
    <t>SASV-00302</t>
  </si>
  <si>
    <t>SASV-00303</t>
  </si>
  <si>
    <t>SASV-00304</t>
  </si>
  <si>
    <t>SASV-00305</t>
  </si>
  <si>
    <t>SASV-00306</t>
  </si>
  <si>
    <t>SASV-00307</t>
  </si>
  <si>
    <t>SASV-00308</t>
  </si>
  <si>
    <t>SASV-00309</t>
  </si>
  <si>
    <t>SASV-00310</t>
  </si>
  <si>
    <t>SASV-00311</t>
  </si>
  <si>
    <t>SASV-00312</t>
  </si>
  <si>
    <t>SASV-00313</t>
  </si>
  <si>
    <t>SASV-00314</t>
  </si>
  <si>
    <t>SASV-00315</t>
  </si>
  <si>
    <t>SASV-00316</t>
  </si>
  <si>
    <t>SASV-00317</t>
  </si>
  <si>
    <t>SASV-00318</t>
  </si>
  <si>
    <t>SASV-00319</t>
  </si>
  <si>
    <t>SASV-00320</t>
  </si>
  <si>
    <t>SASV-00321</t>
  </si>
  <si>
    <t>SASV-00322</t>
  </si>
  <si>
    <t>SASV-00323</t>
  </si>
  <si>
    <t>SASV-00324</t>
  </si>
  <si>
    <t>SASV-00325</t>
  </si>
  <si>
    <t>SASV-00326</t>
  </si>
  <si>
    <t>SASV-00327</t>
  </si>
  <si>
    <t>SASV-00328</t>
  </si>
  <si>
    <t>SASV-00329</t>
  </si>
  <si>
    <t>SASV-00330</t>
  </si>
  <si>
    <t>SASV-00331</t>
  </si>
  <si>
    <t>SASV-00332</t>
  </si>
  <si>
    <t>SASV-00333</t>
  </si>
  <si>
    <t>SASV-00334</t>
  </si>
  <si>
    <t>SASV-00335</t>
  </si>
  <si>
    <t>SASV-00336</t>
  </si>
  <si>
    <t>SASV-00337</t>
  </si>
  <si>
    <t>SASV-00338</t>
  </si>
  <si>
    <t>SASV-00339</t>
  </si>
  <si>
    <t>SASV-00340</t>
  </si>
  <si>
    <t>SASV-00341</t>
  </si>
  <si>
    <t>SASV-00342</t>
  </si>
  <si>
    <t>SASV-00343</t>
  </si>
  <si>
    <t>SASV-00344</t>
  </si>
  <si>
    <t>SASV-00345</t>
  </si>
  <si>
    <t>SASV-00346</t>
  </si>
  <si>
    <t>SASV-00347</t>
  </si>
  <si>
    <t>SASV-00348</t>
  </si>
  <si>
    <t>SASV-00349</t>
  </si>
  <si>
    <t>SASV-00350</t>
  </si>
  <si>
    <t>SASV-00351</t>
  </si>
  <si>
    <t>SASV-00352</t>
  </si>
  <si>
    <t>SASV-00353</t>
  </si>
  <si>
    <t>SASV-00354</t>
  </si>
  <si>
    <t>SASV-00355</t>
  </si>
  <si>
    <t>SASV-00356</t>
  </si>
  <si>
    <t>SASV-00357</t>
  </si>
  <si>
    <t>SASV-00358</t>
  </si>
  <si>
    <t>SASV-00359</t>
  </si>
  <si>
    <t>SASV-00360</t>
  </si>
  <si>
    <t>SASV-00361</t>
  </si>
  <si>
    <t>SASV-00362</t>
  </si>
  <si>
    <t>SASV-00363</t>
  </si>
  <si>
    <t>SASV-00364</t>
  </si>
  <si>
    <t>SASV-00365</t>
  </si>
  <si>
    <t>SASV-00366</t>
  </si>
  <si>
    <t>SASV-00367</t>
  </si>
  <si>
    <t>SASV-00368</t>
  </si>
  <si>
    <t>SASV-00369</t>
  </si>
  <si>
    <t>SASV-00370</t>
  </si>
  <si>
    <t>SASV-00371</t>
  </si>
  <si>
    <t>SASV-00372</t>
  </si>
  <si>
    <t>SASV-00373</t>
  </si>
  <si>
    <t>SASV-00374</t>
  </si>
  <si>
    <t>SASV-00375</t>
  </si>
  <si>
    <t>SASV-00376</t>
  </si>
  <si>
    <t>SASV-00377</t>
  </si>
  <si>
    <t>SASV-00378</t>
  </si>
  <si>
    <t>SASV-00379</t>
  </si>
  <si>
    <t>SASV-00380</t>
  </si>
  <si>
    <t>SASV-00381</t>
  </si>
  <si>
    <t>SASV-00382</t>
  </si>
  <si>
    <t>SASV-00383</t>
  </si>
  <si>
    <t>SASV-00384</t>
  </si>
  <si>
    <t>SASV-00385</t>
  </si>
  <si>
    <t>SASV-00386</t>
  </si>
  <si>
    <t>SASV-00387</t>
  </si>
  <si>
    <t>SASV-00388</t>
  </si>
  <si>
    <t>SASV-00389</t>
  </si>
  <si>
    <t>SASV-00390</t>
  </si>
  <si>
    <t>SASV-00391</t>
  </si>
  <si>
    <t>SASV-00392</t>
  </si>
  <si>
    <t>SASV-00393</t>
  </si>
  <si>
    <t>SASV-00394</t>
  </si>
  <si>
    <t>SASV-00395</t>
  </si>
  <si>
    <t>SASV-00396</t>
  </si>
  <si>
    <t>SASV-00397</t>
  </si>
  <si>
    <t>SASV-00398</t>
  </si>
  <si>
    <t>SASV-00399</t>
  </si>
  <si>
    <t>SASV-00400</t>
  </si>
  <si>
    <t>SASV-00401</t>
  </si>
  <si>
    <t>SASV-00402</t>
  </si>
  <si>
    <t>SASV-00403</t>
  </si>
  <si>
    <t>SASV-00404</t>
  </si>
  <si>
    <t>SASV-00405</t>
  </si>
  <si>
    <t>SASV-00406</t>
  </si>
  <si>
    <t>SASV-00407</t>
  </si>
  <si>
    <t>SASV-00408</t>
  </si>
  <si>
    <t>SASV-00409</t>
  </si>
  <si>
    <t>SASV-00410</t>
  </si>
  <si>
    <t>SASV-00411</t>
  </si>
  <si>
    <t>SASV-00412</t>
  </si>
  <si>
    <t>SASV-00413</t>
  </si>
  <si>
    <t>SASV-00414</t>
  </si>
  <si>
    <t>SASV-00415</t>
  </si>
  <si>
    <t>SASV-00416</t>
  </si>
  <si>
    <t>SASV-00417</t>
  </si>
  <si>
    <t>SASV-00418</t>
  </si>
  <si>
    <t>SASV-00419</t>
  </si>
  <si>
    <t>SASV-00420</t>
  </si>
  <si>
    <t>SASV-00421</t>
  </si>
  <si>
    <t>SASV-00422</t>
  </si>
  <si>
    <t>SASV-00423</t>
  </si>
  <si>
    <t>SASV-00424</t>
  </si>
  <si>
    <t>SASV-00425</t>
  </si>
  <si>
    <t>SASV-00426</t>
  </si>
  <si>
    <t>SASV-00427</t>
  </si>
  <si>
    <t>SASV-00428</t>
  </si>
  <si>
    <t>SASV-00429</t>
  </si>
  <si>
    <t>SASV-00430</t>
  </si>
  <si>
    <t>SASV-00431</t>
  </si>
  <si>
    <t>SASV-00432</t>
  </si>
  <si>
    <t>SASV-00433</t>
  </si>
  <si>
    <t>SASV-00434</t>
  </si>
  <si>
    <t>SASV-00435</t>
  </si>
  <si>
    <t>SASV-00436</t>
  </si>
  <si>
    <t>SASV-00437</t>
  </si>
  <si>
    <t>SASV-00438</t>
  </si>
  <si>
    <t>SASV-00439</t>
  </si>
  <si>
    <t>SASV-00440</t>
  </si>
  <si>
    <t>SASV-00441</t>
  </si>
  <si>
    <t>SASV-00442</t>
  </si>
  <si>
    <t>SASV-00443</t>
  </si>
  <si>
    <t>SASV-00444</t>
  </si>
  <si>
    <t>SASV-00445</t>
  </si>
  <si>
    <t>SASV-00446</t>
  </si>
  <si>
    <t>SASV-00447</t>
  </si>
  <si>
    <t>SASV-00448</t>
  </si>
  <si>
    <t>SASV-00449</t>
  </si>
  <si>
    <t>SASV-00450</t>
  </si>
  <si>
    <t>SASV-00451</t>
  </si>
  <si>
    <t>SASV-00452</t>
  </si>
  <si>
    <t>SASV-00453</t>
  </si>
  <si>
    <t>SASV-00454</t>
  </si>
  <si>
    <t>SASV-00455</t>
  </si>
  <si>
    <t>SASV-00456</t>
  </si>
  <si>
    <t>SASV-00457</t>
  </si>
  <si>
    <t>SASV-00458</t>
  </si>
  <si>
    <t>SASV-00459</t>
  </si>
  <si>
    <t>SASV-00624</t>
  </si>
  <si>
    <t>SASV-00460</t>
  </si>
  <si>
    <t>SASV-00501</t>
  </si>
  <si>
    <t>SASV-00502</t>
  </si>
  <si>
    <t>SASV-00503</t>
  </si>
  <si>
    <t>SASV-00504</t>
  </si>
  <si>
    <t>SASV-00505</t>
  </si>
  <si>
    <t>SASV-00506</t>
  </si>
  <si>
    <t>SASV-00507</t>
  </si>
  <si>
    <t>SASV-00508</t>
  </si>
  <si>
    <t>SASV-00509</t>
  </si>
  <si>
    <t>SASV-00510</t>
  </si>
  <si>
    <t>SASV-00511</t>
  </si>
  <si>
    <t>SASV-00512</t>
  </si>
  <si>
    <t>SASV-00513</t>
  </si>
  <si>
    <t>SASV-00514</t>
  </si>
  <si>
    <t>SASV-00515</t>
  </si>
  <si>
    <t>SASV-00516</t>
  </si>
  <si>
    <t>SASV-00517</t>
  </si>
  <si>
    <t>SASV-00518</t>
  </si>
  <si>
    <t>SASV-00519</t>
  </si>
  <si>
    <t>SASV-00520</t>
  </si>
  <si>
    <t>SASV-00521</t>
  </si>
  <si>
    <t>SASV-00522</t>
  </si>
  <si>
    <t>SASV-00523</t>
  </si>
  <si>
    <t>SASV-00524</t>
  </si>
  <si>
    <t>SASV-00525</t>
  </si>
  <si>
    <t>SASV-00526</t>
  </si>
  <si>
    <t>SASV-00527</t>
  </si>
  <si>
    <t>SASV-00528</t>
  </si>
  <si>
    <t>SASV-00529</t>
  </si>
  <si>
    <t>SASV-00530</t>
  </si>
  <si>
    <t>SASV-00531</t>
  </si>
  <si>
    <t>SASV-00532</t>
  </si>
  <si>
    <t>SASV-00533</t>
  </si>
  <si>
    <t>SASV-00534</t>
  </si>
  <si>
    <t>SASV-00535</t>
  </si>
  <si>
    <t>SASV-00536</t>
  </si>
  <si>
    <t>SASV-00537</t>
  </si>
  <si>
    <t>SASV-00538</t>
  </si>
  <si>
    <t>SASV-00539</t>
  </si>
  <si>
    <t>SASV-00540</t>
  </si>
  <si>
    <t>SASV-00147</t>
  </si>
  <si>
    <t>SASV-00149</t>
  </si>
  <si>
    <t>SASV-00181</t>
  </si>
  <si>
    <t>SASV-00159</t>
  </si>
  <si>
    <t>SASV-00150</t>
  </si>
  <si>
    <t>SASV-00182</t>
  </si>
  <si>
    <t>SASV-00183</t>
  </si>
  <si>
    <t>SASV-00648.1</t>
  </si>
  <si>
    <t>SASV-00649.1</t>
  </si>
  <si>
    <t>SASV-00650.1</t>
  </si>
  <si>
    <t>SASV-00651.1</t>
  </si>
  <si>
    <t>SASV-00652.1</t>
  </si>
  <si>
    <t>SASV-00653.1</t>
  </si>
  <si>
    <t>SASV-00654.1</t>
  </si>
  <si>
    <t>SASV-00655.1</t>
  </si>
  <si>
    <t>SASV-00656.1</t>
  </si>
  <si>
    <t>SASV-00657.1</t>
  </si>
  <si>
    <t>SASV-00648.2</t>
  </si>
  <si>
    <t>SASV-00649.2</t>
  </si>
  <si>
    <t>SASV-00650.2</t>
  </si>
  <si>
    <t>SASV-00651.2</t>
  </si>
  <si>
    <t>SASV-00652.2</t>
  </si>
  <si>
    <t>SASV-00653.2</t>
  </si>
  <si>
    <t>SASV-00654.2</t>
  </si>
  <si>
    <t>SASV-00655.2</t>
  </si>
  <si>
    <t>SASV-00656.2</t>
  </si>
  <si>
    <t>SASV-00657.2</t>
  </si>
  <si>
    <t>SASV-00648.3</t>
  </si>
  <si>
    <t>SASV-00649.3</t>
  </si>
  <si>
    <t>SASV-00650.3</t>
  </si>
  <si>
    <t>SASV-00651.3</t>
  </si>
  <si>
    <t>SASV-00652.3</t>
  </si>
  <si>
    <t>SASV-00653.3</t>
  </si>
  <si>
    <t>SASV-00654.3</t>
  </si>
  <si>
    <t>SASV-00655.3</t>
  </si>
  <si>
    <t>SASV-00656.3</t>
  </si>
  <si>
    <t>SASV-00657.3</t>
  </si>
  <si>
    <t>SASV-00648.4</t>
  </si>
  <si>
    <t>SASV-00649.4</t>
  </si>
  <si>
    <t>SASV-00650.4</t>
  </si>
  <si>
    <t>SASV-00651.4</t>
  </si>
  <si>
    <t>SASV-00652.4</t>
  </si>
  <si>
    <t>SASV-00653.4</t>
  </si>
  <si>
    <t>SASV-00654.4</t>
  </si>
  <si>
    <t>SASV-00655.4</t>
  </si>
  <si>
    <t>SASV-00656.4</t>
  </si>
  <si>
    <t>SASV-00657.4</t>
  </si>
  <si>
    <t>SASV-00648.5</t>
  </si>
  <si>
    <t>SASV-00649.5</t>
  </si>
  <si>
    <t>SASV-00650.5</t>
  </si>
  <si>
    <t>SASV-00651.5</t>
  </si>
  <si>
    <t>SASV-00652.5</t>
  </si>
  <si>
    <t>SASV-00653.5</t>
  </si>
  <si>
    <t>SASV-00654.5</t>
  </si>
  <si>
    <t>SASV-00655.5</t>
  </si>
  <si>
    <t>SASV-00656.5</t>
  </si>
  <si>
    <t>SASV-00657.5</t>
  </si>
  <si>
    <t>SASV-00151</t>
  </si>
  <si>
    <t>SASV-00152</t>
  </si>
  <si>
    <t>SASV-00153</t>
  </si>
  <si>
    <t>SASV-00154</t>
  </si>
  <si>
    <t>SASV-00156</t>
  </si>
  <si>
    <t>SASV-00157</t>
  </si>
  <si>
    <t>SASV-00158</t>
  </si>
  <si>
    <t>SASV-00644</t>
  </si>
  <si>
    <t>SASV-00166</t>
  </si>
  <si>
    <t>SASV-00167</t>
  </si>
  <si>
    <t>SASV-00160</t>
  </si>
  <si>
    <t>SASV-00645</t>
  </si>
  <si>
    <t>SASV-00185</t>
  </si>
  <si>
    <t>SASV-00184</t>
  </si>
  <si>
    <t>SASV-00148</t>
  </si>
  <si>
    <t>SASV-00164</t>
  </si>
  <si>
    <t>SASV-00165</t>
  </si>
  <si>
    <t>SASV-00161</t>
  </si>
  <si>
    <t>SASV-00162</t>
  </si>
  <si>
    <t>SASV-00163</t>
  </si>
  <si>
    <t>SASV-00168</t>
  </si>
  <si>
    <t>SASV-00169</t>
  </si>
  <si>
    <t>SASV-00170</t>
  </si>
  <si>
    <t>SASV-00171</t>
  </si>
  <si>
    <t>SASV-00172</t>
  </si>
  <si>
    <t>SASV-00173</t>
  </si>
  <si>
    <t>SASV-00174</t>
  </si>
  <si>
    <t>SASV-00175</t>
  </si>
  <si>
    <t>SASV-00176</t>
  </si>
  <si>
    <t>SASV-00177</t>
  </si>
  <si>
    <t>SASV-00178</t>
  </si>
  <si>
    <t>SASV-00179</t>
  </si>
  <si>
    <t>SASV-00180</t>
  </si>
  <si>
    <t>SASV-00646</t>
  </si>
  <si>
    <t>SASV-00186</t>
  </si>
  <si>
    <t>SASV-00187</t>
  </si>
  <si>
    <t>SASV-00188</t>
  </si>
  <si>
    <t>SASV-00189</t>
  </si>
  <si>
    <t>SASV-00560.5</t>
  </si>
  <si>
    <t>SASV-00155</t>
  </si>
  <si>
    <t>SASV-00643</t>
  </si>
  <si>
    <t>SASV-00592.1</t>
  </si>
  <si>
    <t>SASV-00593.1</t>
  </si>
  <si>
    <t>SASV-00594.1</t>
  </si>
  <si>
    <t>SASV-00595.1</t>
  </si>
  <si>
    <t>SASV-00596.1</t>
  </si>
  <si>
    <t>SASV-00597.1</t>
  </si>
  <si>
    <t>SASV-00598.1</t>
  </si>
  <si>
    <t>SASV-00600.1</t>
  </si>
  <si>
    <t>SASV-00601.1</t>
  </si>
  <si>
    <t>SASV-00602.1</t>
  </si>
  <si>
    <t>SASV-00592.2</t>
  </si>
  <si>
    <t>SASV-00593.2</t>
  </si>
  <si>
    <t>SASV-00594.2</t>
  </si>
  <si>
    <t>SASV-00595.2</t>
  </si>
  <si>
    <t>SASV-00596.2</t>
  </si>
  <si>
    <t>SASV-00597.2</t>
  </si>
  <si>
    <t>SASV-00598.2</t>
  </si>
  <si>
    <t>SASV-00600.2</t>
  </si>
  <si>
    <t>SASV-00601.2</t>
  </si>
  <si>
    <t>SASV-00602.2</t>
  </si>
  <si>
    <t>SASV-00592.3</t>
  </si>
  <si>
    <t>SASV-00593.3</t>
  </si>
  <si>
    <t>SASV-00594.3</t>
  </si>
  <si>
    <t>SASV-00595.3</t>
  </si>
  <si>
    <t>SASV-00596.3</t>
  </si>
  <si>
    <t>SASV-00597.3</t>
  </si>
  <si>
    <t>SASV-00598.3</t>
  </si>
  <si>
    <t>SASV-00600.3</t>
  </si>
  <si>
    <t>SASV-00601.3</t>
  </si>
  <si>
    <t>SASV-00602.3</t>
  </si>
  <si>
    <t>SASV-00592.4</t>
  </si>
  <si>
    <t>SASV-00593.4</t>
  </si>
  <si>
    <t>SASV-00594.4</t>
  </si>
  <si>
    <t>SASV-00595.4</t>
  </si>
  <si>
    <t>SASV-00596.4</t>
  </si>
  <si>
    <t>SASV-00597.4</t>
  </si>
  <si>
    <t>SASV-00598.4</t>
  </si>
  <si>
    <t>SASV-00600.4</t>
  </si>
  <si>
    <t>SASV-00601.4</t>
  </si>
  <si>
    <t>SASV-00602.4</t>
  </si>
  <si>
    <t>SASV-00592.5</t>
  </si>
  <si>
    <t>SASV-00593.5</t>
  </si>
  <si>
    <t>SASV-00594.5</t>
  </si>
  <si>
    <t>SASV-00595.5</t>
  </si>
  <si>
    <t>SASV-00596.5</t>
  </si>
  <si>
    <t>SASV-00597.5</t>
  </si>
  <si>
    <t>SASV-00598.5</t>
  </si>
  <si>
    <t>SASV-00600.5</t>
  </si>
  <si>
    <t>SASV-00601.5</t>
  </si>
  <si>
    <t>SASV-00602.5</t>
  </si>
  <si>
    <t>SASV-00603.1</t>
  </si>
  <si>
    <t>SASV-00604.1</t>
  </si>
  <si>
    <t>SASV-00605.1</t>
  </si>
  <si>
    <t>SASV-00606.1</t>
  </si>
  <si>
    <t>SASV-00607.1</t>
  </si>
  <si>
    <t>SASV-00608.1</t>
  </si>
  <si>
    <t>SASV-00609.1</t>
  </si>
  <si>
    <t>SASV-00610.1</t>
  </si>
  <si>
    <t>SASV-00611.1</t>
  </si>
  <si>
    <t>SASV-00612.1</t>
  </si>
  <si>
    <t>SASV-00613.1</t>
  </si>
  <si>
    <t>SASV-00614.1</t>
  </si>
  <si>
    <t>SASV-00615.1</t>
  </si>
  <si>
    <t>SASV-00616.1</t>
  </si>
  <si>
    <t>SASV-00617.1</t>
  </si>
  <si>
    <t>SASV-00618.1</t>
  </si>
  <si>
    <t>SASV-00619.1</t>
  </si>
  <si>
    <t>SASV-00620.1</t>
  </si>
  <si>
    <t>SASV-00621.1</t>
  </si>
  <si>
    <t>SASV-00622.1</t>
  </si>
  <si>
    <t>SASV-00623.1</t>
  </si>
  <si>
    <t>SASV-00603.2</t>
  </si>
  <si>
    <t>SASV-00604.2</t>
  </si>
  <si>
    <t>SASV-00605.2</t>
  </si>
  <si>
    <t>SASV-00606.2</t>
  </si>
  <si>
    <t>SASV-00607.2</t>
  </si>
  <si>
    <t>SASV-00608.2</t>
  </si>
  <si>
    <t>SASV-00609.2</t>
  </si>
  <si>
    <t>SASV-00610.2</t>
  </si>
  <si>
    <t>SASV-00611.2</t>
  </si>
  <si>
    <t>SASV-00612.2</t>
  </si>
  <si>
    <t>SASV-00613.2</t>
  </si>
  <si>
    <t>SASV-00614.2</t>
  </si>
  <si>
    <t>SASV-00615.2</t>
  </si>
  <si>
    <t>SASV-00616.2</t>
  </si>
  <si>
    <t>SASV-00617.2</t>
  </si>
  <si>
    <t>SASV-00618.2</t>
  </si>
  <si>
    <t>SASV-00619.2</t>
  </si>
  <si>
    <t>SASV-00620.2</t>
  </si>
  <si>
    <t>SASV-00621.2</t>
  </si>
  <si>
    <t>SASV-00622.2</t>
  </si>
  <si>
    <t>SASV-00623.2</t>
  </si>
  <si>
    <t>SASV-00603.3</t>
  </si>
  <si>
    <t>SASV-00604.3</t>
  </si>
  <si>
    <t>SASV-00605.3</t>
  </si>
  <si>
    <t>SASV-00606.3</t>
  </si>
  <si>
    <t>SASV-00607.3</t>
  </si>
  <si>
    <t>SASV-00608.3</t>
  </si>
  <si>
    <t>SASV-00609.3</t>
  </si>
  <si>
    <t>SASV-00610.3</t>
  </si>
  <si>
    <t>SASV-00611.3</t>
  </si>
  <si>
    <t>SASV-00612.3</t>
  </si>
  <si>
    <t>SASV-00613.3</t>
  </si>
  <si>
    <t>SASV-00614.3</t>
  </si>
  <si>
    <t>SASV-00615.3</t>
  </si>
  <si>
    <t>SASV-00616.3</t>
  </si>
  <si>
    <t>SASV-00617.3</t>
  </si>
  <si>
    <t>SASV-00618.3</t>
  </si>
  <si>
    <t>SASV-00619.3</t>
  </si>
  <si>
    <t>SASV-00620.3</t>
  </si>
  <si>
    <t>SASV-00621.3</t>
  </si>
  <si>
    <t>SASV-00622.3</t>
  </si>
  <si>
    <t>SASV-00623.3</t>
  </si>
  <si>
    <t>SASV-00603.4</t>
  </si>
  <si>
    <t>SASV-00604.4</t>
  </si>
  <si>
    <t>SASV-00605.4</t>
  </si>
  <si>
    <t>SASV-00606.4</t>
  </si>
  <si>
    <t>SASV-00607.4</t>
  </si>
  <si>
    <t>SASV-00608.4</t>
  </si>
  <si>
    <t>SASV-00609.4</t>
  </si>
  <si>
    <t>SASV-00610.4</t>
  </si>
  <si>
    <t>SASV-00611.4</t>
  </si>
  <si>
    <t>SASV-00612.4</t>
  </si>
  <si>
    <t>SASV-00613.4</t>
  </si>
  <si>
    <t>SASV-00614.4</t>
  </si>
  <si>
    <t>SASV-00615.4</t>
  </si>
  <si>
    <t>SASV-00616.4</t>
  </si>
  <si>
    <t>SASV-00617.4</t>
  </si>
  <si>
    <t>SASV-00618.4</t>
  </si>
  <si>
    <t>SASV-00619.4</t>
  </si>
  <si>
    <t>SASV-00620.4</t>
  </si>
  <si>
    <t>SASV-00621.4</t>
  </si>
  <si>
    <t>SASV-00622.4</t>
  </si>
  <si>
    <t>SASV-00623.4</t>
  </si>
  <si>
    <t>SASV-00603.5</t>
  </si>
  <si>
    <t>SASV-00604.5</t>
  </si>
  <si>
    <t>SASV-00605.5</t>
  </si>
  <si>
    <t>SASV-00606.5</t>
  </si>
  <si>
    <t>SASV-00607.5</t>
  </si>
  <si>
    <t>SASV-00608.5</t>
  </si>
  <si>
    <t>SASV-00609.5</t>
  </si>
  <si>
    <t>SASV-00610.5</t>
  </si>
  <si>
    <t>SASV-00611.5</t>
  </si>
  <si>
    <t>SASV-00612.5</t>
  </si>
  <si>
    <t>SASV-00613.5</t>
  </si>
  <si>
    <t>SASV-00614.5</t>
  </si>
  <si>
    <t>SASV-00615.5</t>
  </si>
  <si>
    <t>SASV-00616.5</t>
  </si>
  <si>
    <t>SASV-00617.5</t>
  </si>
  <si>
    <t>SASV-00618.5</t>
  </si>
  <si>
    <t>SASV-00619.5</t>
  </si>
  <si>
    <t>SASV-00620.5</t>
  </si>
  <si>
    <t>SASV-00621.5</t>
  </si>
  <si>
    <t>SASV-00622.5</t>
  </si>
  <si>
    <t>SASV-00623.5</t>
  </si>
  <si>
    <t>SASV-00638</t>
  </si>
  <si>
    <t>SASV-00093</t>
  </si>
  <si>
    <t>SASV-00146</t>
  </si>
  <si>
    <t>SASV-00094</t>
  </si>
  <si>
    <t>SASV-00095</t>
  </si>
  <si>
    <t>SASV-00096</t>
  </si>
  <si>
    <t>SASV-00097</t>
  </si>
  <si>
    <t>SASV-00098</t>
  </si>
  <si>
    <t>SASV-00099</t>
  </si>
  <si>
    <t>SASV-00100</t>
  </si>
  <si>
    <t>SASV-00101</t>
  </si>
  <si>
    <t>SASV-00102</t>
  </si>
  <si>
    <t>SASV-00639</t>
  </si>
  <si>
    <t>SASV-00640</t>
  </si>
  <si>
    <t>SASV-00103</t>
  </si>
  <si>
    <t>SASV-00104</t>
  </si>
  <si>
    <t>SASV-00105</t>
  </si>
  <si>
    <t>SASV-00106</t>
  </si>
  <si>
    <t>SASV-00107</t>
  </si>
  <si>
    <t>SASV-00108</t>
  </si>
  <si>
    <t>SASV-00109</t>
  </si>
  <si>
    <t>SASV-00110</t>
  </si>
  <si>
    <t>SASV-00111</t>
  </si>
  <si>
    <t>SASV-00112</t>
  </si>
  <si>
    <t>SASV-00113</t>
  </si>
  <si>
    <t>SASV-00114</t>
  </si>
  <si>
    <t>SASV-00115</t>
  </si>
  <si>
    <t>SASV-00116</t>
  </si>
  <si>
    <t>SASV-00117</t>
  </si>
  <si>
    <t>SASV-00118</t>
  </si>
  <si>
    <t>SASV-00119</t>
  </si>
  <si>
    <t>SASV-00120</t>
  </si>
  <si>
    <t>SASV-00121</t>
  </si>
  <si>
    <t>SASV-00122</t>
  </si>
  <si>
    <t>SASV-00123</t>
  </si>
  <si>
    <t>SASV-00124</t>
  </si>
  <si>
    <t>SASV-00125</t>
  </si>
  <si>
    <t>SASV-00126</t>
  </si>
  <si>
    <t>SASV-00127</t>
  </si>
  <si>
    <t>SASV-00128</t>
  </si>
  <si>
    <t>SASV-00129</t>
  </si>
  <si>
    <t>SASV-00130</t>
  </si>
  <si>
    <t>SASV-00131</t>
  </si>
  <si>
    <t>SASV-00132</t>
  </si>
  <si>
    <t>SASV-00133</t>
  </si>
  <si>
    <t>SASV-00134</t>
  </si>
  <si>
    <t>SASV-00135</t>
  </si>
  <si>
    <t>SASV-00136</t>
  </si>
  <si>
    <t>SASV-00137</t>
  </si>
  <si>
    <t>SASV-00138</t>
  </si>
  <si>
    <t>SASV-00139</t>
  </si>
  <si>
    <t>SASV-00140</t>
  </si>
  <si>
    <t>SASV-00141</t>
  </si>
  <si>
    <t>SASV-00142</t>
  </si>
  <si>
    <t>SASV-00143</t>
  </si>
  <si>
    <t>SASV-00144</t>
  </si>
  <si>
    <t>SASV-00641</t>
  </si>
  <si>
    <t>SASV-00642</t>
  </si>
  <si>
    <t>SASV-00145</t>
  </si>
  <si>
    <t>SASV-00684</t>
  </si>
  <si>
    <t>0.00</t>
  </si>
  <si>
    <t>Ref ID</t>
  </si>
  <si>
    <t>Enter an eight-digit PSR number beginning with '1'. For example, 12345678.</t>
  </si>
  <si>
    <t xml:space="preserve">
Enter a date in the format dd/mm/yyyy.
</t>
  </si>
  <si>
    <t>Select ‘Yes' if the scheme has reached its relevant date on or before the effective date of the valuation or 'No' if it has not.</t>
  </si>
  <si>
    <t>Select ‘Yes’ if the scheme meets the 'small scheme' definition on the effective date of the valuation and ‘No’ if it does not.</t>
  </si>
  <si>
    <t>Select ‘In surplus’ if the scheme is in surplus on a technical provisions basis at the effective date of valuation or ‘In deficit’ if it is in deficit.</t>
  </si>
  <si>
    <t>Select 'Fast Track' if the scheme follows a Fast Track approach or 'Bespoke' if it follows a Bespoke approach.</t>
  </si>
  <si>
    <t>Select ‘Yes' if the scheme meets the 'Bespoke low-risk scheme' requirements or 'No' if it does not.</t>
  </si>
  <si>
    <t>Do not answer this question if you have indicated that your scheme follows a Fast Track approach.</t>
  </si>
  <si>
    <t>Do not answer this question if the valuation is pre-relevant date.</t>
  </si>
  <si>
    <t>Select "Yes, the scheme meets the 'Fast Track low-risk scheme" requirements' if the scheme meets the 'Fast Track low-risk scheme' requirements or "No, the scheme does not meet the 'Fast Track low-risk scheme' requirements" if the scheme does not meet the 'Fast Track low-risk scheme' requirements.</t>
  </si>
  <si>
    <t>Do not answer this question if you have indicated that your scheme follows a Bespoke approach.</t>
  </si>
  <si>
    <t xml:space="preserve">
Enter a value greater than 0. It can be accurate to one decimal place.
</t>
  </si>
  <si>
    <t>Enter a percentage value that is equal to or greater than 100.</t>
  </si>
  <si>
    <t xml:space="preserve">
You must answer this question. The answer must be no more than 4000 characters.
</t>
  </si>
  <si>
    <t>Select ‘Yes’ if the scheme has defined contributions (DC) liabilities or DC additional voluntary contributions (AVC) that have been included in the actuarial valuation or ‘No’ if it does not.</t>
  </si>
  <si>
    <t>Select ‘Yes’ if the scheme has defined contributions (DC) liabilities or DC additional voluntary contributions (AVC) that have been included in the actuarial valuation or ‘No’ if it does not..</t>
  </si>
  <si>
    <t xml:space="preserve">
The value you enter must equal the sum of all the the liabilities you have entered on a technical provisions basis.
</t>
  </si>
  <si>
    <t xml:space="preserve">
Enter a value equal to or greater than 0 and less than 1,000,000,000,000 (1 trillion). It can be accurate to two decimal places.
</t>
  </si>
  <si>
    <t xml:space="preserve">
Enter a value between 0 and 1,000,000,000,000 (1 trillion). It can be accurate to two decimal places.
</t>
  </si>
  <si>
    <t xml:space="preserve">
Enter a percentage value that is greater than or equal to 0. It can be accurate to two decimal places.
</t>
  </si>
  <si>
    <t>The amount entered does not match the sum of the amounts entered for the Solvency liabilities and expenses categories</t>
  </si>
  <si>
    <t>The answer must be no more than 4000 characters.</t>
  </si>
  <si>
    <t xml:space="preserve">
Enter a percentage value between 0 and 100.
</t>
  </si>
  <si>
    <t xml:space="preserve">
Select 'Yield curve discount rate' if you are providing yield curve information or 'Spot rate' if you are providing a spot rate.
</t>
  </si>
  <si>
    <t>Enter a valid date in the format dd/mm/yyyy.</t>
  </si>
  <si>
    <t>You must answer this question if the scheme uses a pre and post retirement discount rate methodology.</t>
  </si>
  <si>
    <t xml:space="preserve">
Enter a number between 65 and 125 to 1 decimal place.
</t>
  </si>
  <si>
    <t xml:space="preserve">
You must answer this question if the same underlying yield curve has not been used for the low dependency basis and the technical provisions basis (OAS 13.0).
</t>
  </si>
  <si>
    <t xml:space="preserve">
Select ‘Yes' if the cash flows include insured benefits where these are included in the calculation of technical provisions liabilities or 'No' if they do not.
</t>
  </si>
  <si>
    <t>The answer must have between 6 and 8 characters.</t>
  </si>
  <si>
    <t xml:space="preserve">
Select one of the following options from the drop-down list:
• None
• Full s.75 (solvency) deficit
• 105% of PPF (s.179) deficit               
• Low dependency deficit
• Technical Provisions deficit
• Fixed cap
• Other</t>
  </si>
  <si>
    <t>Select one of the following options from the drop-down list:
• None
• Full s.75 (solvency) deficit
• 105% of PPF (s.179) deficit               
• Low dependency deficit
• Technical Provisions deficit
• Fixed cap
• Other</t>
  </si>
  <si>
    <t xml:space="preserve">
The total 'Notional asset investment allocations' percentages cannot total to more than 100%
</t>
  </si>
  <si>
    <t xml:space="preserve">
The total of the above percentages does not equal 100%.
</t>
  </si>
  <si>
    <t>Data Element ID</t>
  </si>
  <si>
    <t>Ref Data</t>
  </si>
  <si>
    <t>Dynamic Data</t>
  </si>
  <si>
    <t>ID00000</t>
  </si>
  <si>
    <t>No answer required</t>
  </si>
  <si>
    <t>ID00001</t>
  </si>
  <si>
    <t>Successful: Ready for upload</t>
  </si>
  <si>
    <t>Yes, the scheme meets the 'small scheme' definition</t>
  </si>
  <si>
    <t>Yield curve discount rate</t>
  </si>
  <si>
    <t>Fast Track</t>
  </si>
  <si>
    <t>Yes, the scheme meets the 'Bespoke low-risk scheme' requirements</t>
  </si>
  <si>
    <t>No, the scheme does not meet the 'Bespoke low-risk scheme' requirements</t>
  </si>
  <si>
    <t>No, the scheme does not meet the 'Fast Track low-risk scheme' requirements</t>
  </si>
  <si>
    <t>In deficit</t>
  </si>
  <si>
    <t>Yes, valuation is post-relevant date</t>
  </si>
  <si>
    <t>No, valuation is pre-relevant date</t>
  </si>
  <si>
    <t>Yes, the scheme has defined contributions (DC) liabilities or DC additional voluntary contributions (AVC) that have been included in the actuarial valuation</t>
  </si>
  <si>
    <t>No, the valuation does not include any cash balance liabilities</t>
  </si>
  <si>
    <t>No, the scheme is closed to accrual</t>
  </si>
  <si>
    <t>Yes, the scheme benefit cash flows are provided</t>
  </si>
  <si>
    <t>No, the scheme benefit cash flows are not provided</t>
  </si>
  <si>
    <t>Yes, the cash flows include insured benefits where these are included in the calculation of technical provisions liabilities</t>
  </si>
  <si>
    <t>No, allowance has not been made for post-valuation experience</t>
  </si>
  <si>
    <t>No, the rates of contributions are not determined unilaterally by the trustees</t>
  </si>
  <si>
    <t>Pre and post retirement</t>
  </si>
  <si>
    <t>Multiple horizon</t>
  </si>
  <si>
    <t>Dynamic</t>
  </si>
  <si>
    <t>Constant addition</t>
  </si>
  <si>
    <t>Applying a premium to gilt yields</t>
  </si>
  <si>
    <t>Applying a premium to swap yields</t>
  </si>
  <si>
    <t>Applying a premium to inflation yields</t>
  </si>
  <si>
    <t>Applying a premium to composite yields</t>
  </si>
  <si>
    <t>Some benefit revaluation and/or indexation linked to CPI only</t>
  </si>
  <si>
    <t>Some benefit revaluation and/or indexation linked to RPI only</t>
  </si>
  <si>
    <t>No benefit revaluation and indexation linked to either RPI or CPI</t>
  </si>
  <si>
    <t>No, benefits do not have a salary link</t>
  </si>
  <si>
    <t>SASV-00072 to SASV-00092</t>
  </si>
  <si>
    <t>TPR Fast Track stress test</t>
  </si>
  <si>
    <t>Conditional Value at Risk (CVAR)</t>
  </si>
  <si>
    <t>Assets only</t>
  </si>
  <si>
    <t>Low dependency funding</t>
  </si>
  <si>
    <t>Gilts/margin over gilts</t>
  </si>
  <si>
    <t>Swaps/margin over swaps</t>
  </si>
  <si>
    <t>Yes, the scheme’s notional investment allocation includes leveraged investments that could result in unexpected demands on liquidity from the rest of the scheme’s assets</t>
  </si>
  <si>
    <t>No, the scheme’s notional investment allocation does not include leveraged investments that could result in unexpected demands on liquidity from the rest of the scheme’s assets</t>
  </si>
  <si>
    <t>A linear evolution</t>
  </si>
  <si>
    <t>A linear evolution from the end of the reliability period</t>
  </si>
  <si>
    <t>A stepped evolution</t>
  </si>
  <si>
    <t>A stepped evolution from the end of the reliability period</t>
  </si>
  <si>
    <t>No change from current notional investment allocation</t>
  </si>
  <si>
    <t>No, the scheme does not have an explicit interest rate or inflation hedging target at the relevant date</t>
  </si>
  <si>
    <t>Assets (funded liabilities)</t>
  </si>
  <si>
    <t>Technical provisions liabilities</t>
  </si>
  <si>
    <t>No, the target interest rate and inflation hedging ratios do not include insured annuities at the relevant date</t>
  </si>
  <si>
    <t>No, the scheme does not currently have an explicit interest rate or inflation-hedging target</t>
  </si>
  <si>
    <t>Yes, the current target interest and inflation hedging ratios include insured annuities</t>
  </si>
  <si>
    <t>Gilts/ Margin over gilts</t>
  </si>
  <si>
    <t>Swaps/ Margin over swaps</t>
  </si>
  <si>
    <t>Yes, the trustees consider that the funding and investment strategy is being successfully implemented in all respects</t>
  </si>
  <si>
    <t>No, the trustees do not consider that the funding and investment strategy is being successfully implemented in all respects</t>
  </si>
  <si>
    <t>Adjusted cash flows</t>
  </si>
  <si>
    <t>Adjusted profit before tax</t>
  </si>
  <si>
    <t>Adjusted EBITDA</t>
  </si>
  <si>
    <t>No, the recovery plan is not longer than the reliability period or more than 6 years</t>
  </si>
  <si>
    <t>Yes, the recovery plan is longer than the reliability period or more than 3 years</t>
  </si>
  <si>
    <t>No, the recovery plan is not longer than the reliability period or more than 3 years</t>
  </si>
  <si>
    <t>Yes, the scheme relies on contingent assets to take funding and investment risk above what the employer can support</t>
  </si>
  <si>
    <t>Yes, professional covenant advice was taken for this valuation</t>
  </si>
  <si>
    <t>No, in determining covenant strength, we do not place reliance on any entity other than statutory employers and their subsidiaries</t>
  </si>
  <si>
    <t>Yes, the scheme is a non-segregated non-associated multi-employer scheme</t>
  </si>
  <si>
    <t>Yes, the strength of the employer covenant is adequate by reference to the actuarial valuation to which the funding and investments strategy relates</t>
  </si>
  <si>
    <t>No, there are not significant past decisions relevant to the funding and investment strategy</t>
  </si>
  <si>
    <t>SASV-00543</t>
  </si>
  <si>
    <t>SASV-00544</t>
  </si>
  <si>
    <t>Formal look-through guarantee</t>
  </si>
  <si>
    <t>Non look-through guarantee</t>
  </si>
  <si>
    <t>SASV-00546</t>
  </si>
  <si>
    <t>SASV-00551</t>
  </si>
  <si>
    <t>None</t>
  </si>
  <si>
    <t>Full s.75 (solvency) deficit</t>
  </si>
  <si>
    <t>105% of PPF (s.179) deficit</t>
  </si>
  <si>
    <t>Low dependency deficit</t>
  </si>
  <si>
    <t>Technical Provisions deficit</t>
  </si>
  <si>
    <t>SASV-00553 to SASV-00557</t>
  </si>
  <si>
    <t>SASV-00560</t>
  </si>
  <si>
    <t>Cash in escrow</t>
  </si>
  <si>
    <t>Co-investment vehicle</t>
  </si>
  <si>
    <t>SASV-00562</t>
  </si>
  <si>
    <t>SASV-00567</t>
  </si>
  <si>
    <t>SASV-00569 to SASV-00573</t>
  </si>
  <si>
    <t>SASV-00576</t>
  </si>
  <si>
    <t>Contingent funding mechanism from a third party</t>
  </si>
  <si>
    <t>SASV-00578</t>
  </si>
  <si>
    <t>SASV-00583</t>
  </si>
  <si>
    <t>SASV-00585 to SASV-00589</t>
  </si>
  <si>
    <t>Participating employer insolvency</t>
  </si>
  <si>
    <t>Insolvency of associated company</t>
  </si>
  <si>
    <t>Non-payment of contributions</t>
  </si>
  <si>
    <t>Crystallisation of investment risk</t>
  </si>
  <si>
    <t>SASV-00592</t>
  </si>
  <si>
    <t>SASV-00594</t>
  </si>
  <si>
    <t>Yes, information has been appended showing a summary of the trustees' assessment of supportable risk over the reliability period</t>
  </si>
  <si>
    <t>No, information has not been appended showing a summary of the trustees' assessment of supportable risk over the reliability period"</t>
  </si>
  <si>
    <t>Yes, information has been appended showing a summary of the trustees' analysis of maximum affordable contribution</t>
  </si>
  <si>
    <t>No, information has not been appended showing a summary of the trustees' analysis of maximum affordable contribution</t>
  </si>
  <si>
    <t>Yes, all active members belong both to a section that provides cash balance benefits and a section which is a collective money purchase scheme</t>
  </si>
  <si>
    <t>No, allowance has not been made for pensions to be commuted for tax-free cash on retirement within the calculation of technical provisions</t>
  </si>
  <si>
    <t>Yes, the technical provisions basis is the same as the low dependency basis in all respects</t>
  </si>
  <si>
    <t>No, the same underlying yield curve has not been used for the low dependency basis and the technical provisions basis</t>
  </si>
  <si>
    <t>No, excluding discount rates, the technical provisions basis is not the same as the low dependency funding basis</t>
  </si>
  <si>
    <t>SASV-00664, SASV-00656</t>
  </si>
  <si>
    <t>Afghanistan</t>
  </si>
  <si>
    <t>Albania</t>
  </si>
  <si>
    <t>Algeria</t>
  </si>
  <si>
    <t>Andorra</t>
  </si>
  <si>
    <t>Angola</t>
  </si>
  <si>
    <t>Antigua &amp; Barbuda</t>
  </si>
  <si>
    <t>Argentina</t>
  </si>
  <si>
    <t>Armenia</t>
  </si>
  <si>
    <t>Australia</t>
  </si>
  <si>
    <t>Austria</t>
  </si>
  <si>
    <t>Bahamas</t>
  </si>
  <si>
    <t>Bahrain</t>
  </si>
  <si>
    <t>Bangladesh</t>
  </si>
  <si>
    <t>Barbados</t>
  </si>
  <si>
    <t>Belarus</t>
  </si>
  <si>
    <t>Belgium</t>
  </si>
  <si>
    <t>Belize</t>
  </si>
  <si>
    <t>Benin</t>
  </si>
  <si>
    <t>Bhutan</t>
  </si>
  <si>
    <t>Bolivia</t>
  </si>
  <si>
    <t>Bosnia &amp; Herzegovina</t>
  </si>
  <si>
    <t>Botswana</t>
  </si>
  <si>
    <t>Brazil</t>
  </si>
  <si>
    <t>Brunei</t>
  </si>
  <si>
    <t>Bulgaria</t>
  </si>
  <si>
    <t>Burkina Faso</t>
  </si>
  <si>
    <t>Burundi</t>
  </si>
  <si>
    <t>Cabo Verde</t>
  </si>
  <si>
    <t>Cambodia</t>
  </si>
  <si>
    <t>Cameroon</t>
  </si>
  <si>
    <t>Canada</t>
  </si>
  <si>
    <t>Central African Republic</t>
  </si>
  <si>
    <t>Chad</t>
  </si>
  <si>
    <t>Chile</t>
  </si>
  <si>
    <t>China</t>
  </si>
  <si>
    <t>Colombia</t>
  </si>
  <si>
    <t>Comoros</t>
  </si>
  <si>
    <t>Congo</t>
  </si>
  <si>
    <t>Costa Rica</t>
  </si>
  <si>
    <t>Côte d'Ivoire</t>
  </si>
  <si>
    <t>Croatia</t>
  </si>
  <si>
    <t>Cuba</t>
  </si>
  <si>
    <t>Cyprus</t>
  </si>
  <si>
    <t>Czech Republic</t>
  </si>
  <si>
    <t>Denmark</t>
  </si>
  <si>
    <t>Djibouti</t>
  </si>
  <si>
    <t>Dominica</t>
  </si>
  <si>
    <t>Dominican Republic</t>
  </si>
  <si>
    <t>DR Congo</t>
  </si>
  <si>
    <t>Ecuador</t>
  </si>
  <si>
    <t>Egypt</t>
  </si>
  <si>
    <t>El Salvador</t>
  </si>
  <si>
    <t>Equatorial Guinea</t>
  </si>
  <si>
    <t>Eritrea</t>
  </si>
  <si>
    <t>Estonia</t>
  </si>
  <si>
    <t>Eswatini</t>
  </si>
  <si>
    <t>Ethiopia</t>
  </si>
  <si>
    <t>Fiji</t>
  </si>
  <si>
    <t>Finland</t>
  </si>
  <si>
    <t>France</t>
  </si>
  <si>
    <t>Gabon</t>
  </si>
  <si>
    <t>Gambia</t>
  </si>
  <si>
    <t>Georgia</t>
  </si>
  <si>
    <t>Germany</t>
  </si>
  <si>
    <t>Ghana</t>
  </si>
  <si>
    <t>Greece</t>
  </si>
  <si>
    <t>Grenada</t>
  </si>
  <si>
    <t>Guatemala</t>
  </si>
  <si>
    <t>Guinea</t>
  </si>
  <si>
    <t>Guinea-Bissau</t>
  </si>
  <si>
    <t>Guyana</t>
  </si>
  <si>
    <t>Haiti</t>
  </si>
  <si>
    <t>Honduras</t>
  </si>
  <si>
    <t>Hungary</t>
  </si>
  <si>
    <t>Iceland</t>
  </si>
  <si>
    <t>India</t>
  </si>
  <si>
    <t>Indonesia</t>
  </si>
  <si>
    <t>Iran</t>
  </si>
  <si>
    <t>Iraq</t>
  </si>
  <si>
    <t>Ireland</t>
  </si>
  <si>
    <t>Israel</t>
  </si>
  <si>
    <t>Italy</t>
  </si>
  <si>
    <t>Jamaica</t>
  </si>
  <si>
    <t>Japan</t>
  </si>
  <si>
    <t>Jordan</t>
  </si>
  <si>
    <t>Kazakhstan</t>
  </si>
  <si>
    <t>Kenya</t>
  </si>
  <si>
    <t>Kiribati</t>
  </si>
  <si>
    <t>Kuwait</t>
  </si>
  <si>
    <t>Kyrgyzstan</t>
  </si>
  <si>
    <t>Laos</t>
  </si>
  <si>
    <t>Latvia</t>
  </si>
  <si>
    <t>Lebanon</t>
  </si>
  <si>
    <t>Lesotho</t>
  </si>
  <si>
    <t>Liberia</t>
  </si>
  <si>
    <t>Libya</t>
  </si>
  <si>
    <t>Liechtenstein</t>
  </si>
  <si>
    <t>Lithuania</t>
  </si>
  <si>
    <t>Luxembourg</t>
  </si>
  <si>
    <t>Madagascar</t>
  </si>
  <si>
    <t>Malawi</t>
  </si>
  <si>
    <t>Malaysia</t>
  </si>
  <si>
    <t>Maldives</t>
  </si>
  <si>
    <t>Mali</t>
  </si>
  <si>
    <t>Malta</t>
  </si>
  <si>
    <t>Marshall Islands</t>
  </si>
  <si>
    <t>Mauritania</t>
  </si>
  <si>
    <t>Mauritius</t>
  </si>
  <si>
    <t>Mexico</t>
  </si>
  <si>
    <t>Micronesia</t>
  </si>
  <si>
    <t>Moldova</t>
  </si>
  <si>
    <t>Monaco</t>
  </si>
  <si>
    <t>Mongolia</t>
  </si>
  <si>
    <t>Montenegro</t>
  </si>
  <si>
    <t>Morocco</t>
  </si>
  <si>
    <t>Mozambique</t>
  </si>
  <si>
    <t>Myanmar</t>
  </si>
  <si>
    <t>Namibia</t>
  </si>
  <si>
    <t>Nauru</t>
  </si>
  <si>
    <t>Nepal</t>
  </si>
  <si>
    <t>Netherlands</t>
  </si>
  <si>
    <t>New Zealand</t>
  </si>
  <si>
    <t>Nicaragua</t>
  </si>
  <si>
    <t>Niger</t>
  </si>
  <si>
    <t>Nigeria</t>
  </si>
  <si>
    <t>North Korea</t>
  </si>
  <si>
    <t>North Macedonia</t>
  </si>
  <si>
    <t>Norway</t>
  </si>
  <si>
    <t>Oman</t>
  </si>
  <si>
    <t>Pakistan</t>
  </si>
  <si>
    <t>Palau</t>
  </si>
  <si>
    <t>Panama</t>
  </si>
  <si>
    <t>Papua New Guinea</t>
  </si>
  <si>
    <t>Paraguay</t>
  </si>
  <si>
    <t>Peru</t>
  </si>
  <si>
    <t>Philippines</t>
  </si>
  <si>
    <t>Poland</t>
  </si>
  <si>
    <t>Portugal</t>
  </si>
  <si>
    <t>Qatar</t>
  </si>
  <si>
    <t>Romania</t>
  </si>
  <si>
    <t>Russia</t>
  </si>
  <si>
    <t>Rwanda</t>
  </si>
  <si>
    <t>Saint Kitts &amp; Nevis</t>
  </si>
  <si>
    <t>Samoa</t>
  </si>
  <si>
    <t>San Marino</t>
  </si>
  <si>
    <t>Sao Tome &amp; Principe</t>
  </si>
  <si>
    <t>Saudi Arabia</t>
  </si>
  <si>
    <t>Senegal</t>
  </si>
  <si>
    <t>Serbia</t>
  </si>
  <si>
    <t>Seychelles</t>
  </si>
  <si>
    <t>Sierra Leone</t>
  </si>
  <si>
    <t>Singapore</t>
  </si>
  <si>
    <t>Slovakia</t>
  </si>
  <si>
    <t>Slovenia</t>
  </si>
  <si>
    <t>Solomon Islands</t>
  </si>
  <si>
    <t>Somalia</t>
  </si>
  <si>
    <t>South Africa</t>
  </si>
  <si>
    <t>South Korea</t>
  </si>
  <si>
    <t>South Sudan</t>
  </si>
  <si>
    <t>Spain</t>
  </si>
  <si>
    <t>Sri Lanka</t>
  </si>
  <si>
    <t>St. Vincent &amp; Grenadines</t>
  </si>
  <si>
    <t>State of Palestine</t>
  </si>
  <si>
    <t>Sudan</t>
  </si>
  <si>
    <t>Suriname</t>
  </si>
  <si>
    <t>Sweden</t>
  </si>
  <si>
    <t>Switzerland</t>
  </si>
  <si>
    <t>Syria</t>
  </si>
  <si>
    <t>Tajikistan</t>
  </si>
  <si>
    <t>Tanzania</t>
  </si>
  <si>
    <t>Thailand</t>
  </si>
  <si>
    <t>Timor-Leste</t>
  </si>
  <si>
    <t>Togo</t>
  </si>
  <si>
    <t>Tonga</t>
  </si>
  <si>
    <t>Trinidad &amp; Tobago</t>
  </si>
  <si>
    <t>Tunisia</t>
  </si>
  <si>
    <t>Turkey</t>
  </si>
  <si>
    <t>Turkmenistan</t>
  </si>
  <si>
    <t>Tuvalu</t>
  </si>
  <si>
    <t>Uganda</t>
  </si>
  <si>
    <t>Ukraine</t>
  </si>
  <si>
    <t>United Arab Emirates</t>
  </si>
  <si>
    <t>United States</t>
  </si>
  <si>
    <t>Uruguay</t>
  </si>
  <si>
    <t>Uzbekistan</t>
  </si>
  <si>
    <t>Vatican City</t>
  </si>
  <si>
    <t>Vanuatu</t>
  </si>
  <si>
    <t>Venezuela</t>
  </si>
  <si>
    <t>Vietnam</t>
  </si>
  <si>
    <t>Yemen</t>
  </si>
  <si>
    <t>Zambia</t>
  </si>
  <si>
    <t>Zimbabwe</t>
  </si>
  <si>
    <t>Yes, the trustees have consulted the employer in the preparation or revision of Part 2 ("Supplementary matters") of the statement of strategy</t>
  </si>
  <si>
    <t>No, the trustees have not consulted the employer in the preparation or revision of Part 2 ("Supplementary matters") of the statement of strategy</t>
  </si>
  <si>
    <t>No, the employer has not asked for any comments to be included in the document</t>
  </si>
  <si>
    <t>No, there is not a plan to allocate surplus investments at the relevant date in a different way to those that relate to the minimum funding level</t>
  </si>
  <si>
    <t>SASV-00220 to SASV-00259</t>
  </si>
  <si>
    <t>Underlying yield curve</t>
  </si>
  <si>
    <t>SASV-00260 to SASV-00299</t>
  </si>
  <si>
    <t>SASV-00300 to SASV-00339</t>
  </si>
  <si>
    <t>SASV-00340 to SASV-00379</t>
  </si>
  <si>
    <t>RPI Assumptions</t>
  </si>
  <si>
    <t>SASV-00380 to SASV-00419</t>
  </si>
  <si>
    <t>CPI Assumptions</t>
  </si>
  <si>
    <t>SASV-00420 to SASV-00459</t>
  </si>
  <si>
    <t>Pay increase assumptions</t>
  </si>
  <si>
    <t>SASV-00603.1-5 to SASV-00623.1-5</t>
  </si>
  <si>
    <t>SOS</t>
  </si>
  <si>
    <t>Bespoke pre-relevant date</t>
  </si>
  <si>
    <t>Bespoke post-relevant date</t>
  </si>
  <si>
    <t>Fast Track pre-relevant date</t>
  </si>
  <si>
    <t>Fast Track post-relevant date</t>
  </si>
  <si>
    <t>Success: there are no errors on your document.</t>
  </si>
  <si>
    <t>Percentage formatting for SOS</t>
  </si>
  <si>
    <t>dd/mm/yyyy</t>
  </si>
  <si>
    <t>Date format for SOS</t>
  </si>
  <si>
    <t>£#,##0.00</t>
  </si>
  <si>
    <t>Currency format for SOS</t>
  </si>
  <si>
    <t>RECON_Q</t>
  </si>
  <si>
    <t>C</t>
  </si>
  <si>
    <t>RECON_UID</t>
  </si>
  <si>
    <t>B</t>
  </si>
  <si>
    <t>Based on the information provided, Appendix 2 is not required.</t>
  </si>
  <si>
    <t>Based on the information provided, Appendix 3 is not required.</t>
  </si>
  <si>
    <t>Based on the information provided, Appendix 4 is not required.</t>
  </si>
  <si>
    <t>Based on the information provided, Appendix 5 is not required.</t>
  </si>
  <si>
    <t>#.0</t>
  </si>
  <si>
    <t>Enforced 1 DP</t>
  </si>
  <si>
    <t>Worksheet Completion Status</t>
  </si>
  <si>
    <t>This worksheet is still in progress</t>
  </si>
  <si>
    <t>This worksheet has been reviewed</t>
  </si>
  <si>
    <t>This worksheet has been authorised</t>
  </si>
  <si>
    <t>Progress Status</t>
  </si>
  <si>
    <t>Cannot start yet</t>
  </si>
  <si>
    <t>Not yet started</t>
  </si>
  <si>
    <t>In progress</t>
  </si>
  <si>
    <t>There is a problem</t>
  </si>
  <si>
    <t>All questions answered</t>
  </si>
  <si>
    <t>Responses reviewed</t>
  </si>
  <si>
    <t>Worksheet authorised</t>
  </si>
  <si>
    <t>Not required</t>
  </si>
  <si>
    <t>Text</t>
  </si>
  <si>
    <t>Dynamic Text</t>
  </si>
  <si>
    <t xml:space="preserve">
What is the effective date of the actuarial valuation this statement of strategy relates to? (dd/mm/yyyy)
</t>
  </si>
  <si>
    <t xml:space="preserve">
Is the scheme a 'small scheme' on the effective date of the valuation?
</t>
  </si>
  <si>
    <t xml:space="preserve">
Are you providing yield curve information or a spot rate?
</t>
  </si>
  <si>
    <t xml:space="preserve">
Does the scheme follow a Fast Track or Bespoke approach?
</t>
  </si>
  <si>
    <t xml:space="preserve">
Does the scheme meet the 'Bespoke low-risk scheme' requirements?
</t>
  </si>
  <si>
    <t xml:space="preserve">
Does the scheme meet the 'Fast Track low-risk scheme' requirements?
</t>
  </si>
  <si>
    <t xml:space="preserve">
What is the low dependency funding level at the effective date of the actuarial valuation? (%)
</t>
  </si>
  <si>
    <t xml:space="preserve">
For past service benefits only, what is the scheme actuary's estimate of the maturity of the scheme expressed in years of duration as at the effective date of the valuation?
</t>
  </si>
  <si>
    <t xml:space="preserve">
Is the scheme open to accrual?
</t>
  </si>
  <si>
    <t xml:space="preserve">
When estimating the date of significant maturity, what are the number of years included in the allowance for future accrual?
</t>
  </si>
  <si>
    <t xml:space="preserve">
Including any allowance for future accrual, what is the scheme actuary's estimate of the maturity (duration) of the scheme as at the effective date of the valuation?
</t>
  </si>
  <si>
    <t xml:space="preserve">
Is the scheme in surplus or deficit on a technical provisions (TP) basis at the effective date of valuation?
</t>
  </si>
  <si>
    <t xml:space="preserve">
Has the scheme reached its relevant date on or before the effective date of the valuation? (The answer has been or will be derived from the answers given to questions SH 8.0 and SH 9.0)
</t>
  </si>
  <si>
    <t xml:space="preserve">
What is the scheme's relevant date? (dd/mm/yyyy)
</t>
  </si>
  <si>
    <t xml:space="preserve">
Pension Scheme Registration (PSR) number
</t>
  </si>
  <si>
    <t xml:space="preserve">
Scheme name
</t>
  </si>
  <si>
    <t xml:space="preserve">
What is the scheme's date of significant maturity?
</t>
  </si>
  <si>
    <t xml:space="preserve">
Technical provisions basis: total scheme assets (£)
</t>
  </si>
  <si>
    <t xml:space="preserve">
Technical provisions basis: active member liabilities (£)
</t>
  </si>
  <si>
    <t xml:space="preserve">
Technical provisions basis: deferred member liabilities (£)
</t>
  </si>
  <si>
    <t xml:space="preserve">
Technical provisions basis: pensioner member liabilities (£)
</t>
  </si>
  <si>
    <t xml:space="preserve">
Technical provisions basis: insured member liabilities (£)
</t>
  </si>
  <si>
    <t xml:space="preserve">
Technical provisions basis: DC liabilities (£)
</t>
  </si>
  <si>
    <t xml:space="preserve">
Technical Provisions basis: cash balance liabilities (£)
</t>
  </si>
  <si>
    <t xml:space="preserve">
Technical provisions basis: expense reserves (£)
</t>
  </si>
  <si>
    <t xml:space="preserve">
Technical provisions basis: total liabilities (£)
</t>
  </si>
  <si>
    <t xml:space="preserve">
Does the scheme have any defined contributions (DC) liabilities or DC additional voluntary contributions (AVC) that have been included in the actuarial valuation?
</t>
  </si>
  <si>
    <t xml:space="preserve">
Does the valuation include any cash balance liabilities?
</t>
  </si>
  <si>
    <t xml:space="preserve">
What is the future service contribution rate on an ongoing basis as a percentage of pensionable salary? (%)
</t>
  </si>
  <si>
    <t xml:space="preserve">
What is the total annual pensionable salary at the effective date of the valuation? (£)
</t>
  </si>
  <si>
    <t xml:space="preserve">
Low dependency basis: total scheme assets (£)
</t>
  </si>
  <si>
    <t xml:space="preserve">
Low dependency basis: active member liabilities (£)
</t>
  </si>
  <si>
    <t xml:space="preserve">
Low dependency basis: deferred member liabilities (£)
</t>
  </si>
  <si>
    <t xml:space="preserve">
Low dependency basis: pensioner member liabilities (£)
</t>
  </si>
  <si>
    <t xml:space="preserve">
Low dependency basis: insured member liabilities (£)
</t>
  </si>
  <si>
    <t xml:space="preserve">
Low dependency basis: DC liabilities (£)
</t>
  </si>
  <si>
    <t xml:space="preserve">
Low dependency basis: cash balance liabilities (£)
</t>
  </si>
  <si>
    <t xml:space="preserve">
Low dependency basis: expense reserves (£)
</t>
  </si>
  <si>
    <t xml:space="preserve">
Low dependency basis: total liabilities (£)
</t>
  </si>
  <si>
    <r>
      <t xml:space="preserve">
Solvency basis: total scheme assets </t>
    </r>
    <r>
      <rPr>
        <sz val="11"/>
        <color rgb="FF242424"/>
        <rFont val="Aptos Narrow"/>
        <family val="2"/>
      </rPr>
      <t xml:space="preserve">(£)
</t>
    </r>
  </si>
  <si>
    <t xml:space="preserve">
Solvency basis: active member liabilities (£)
</t>
  </si>
  <si>
    <t xml:space="preserve">
Solvency basis: deferred member liabilities (£)
</t>
  </si>
  <si>
    <t xml:space="preserve">
Solvency basis: pensioner member liabilities (£)
</t>
  </si>
  <si>
    <t xml:space="preserve">
Solvency basis: insured member liabilities (£)
</t>
  </si>
  <si>
    <t xml:space="preserve">
Solvency basis: DC liabilities (£)
</t>
  </si>
  <si>
    <t xml:space="preserve">
Solvency basis: cash balance liabilities (£)
</t>
  </si>
  <si>
    <t xml:space="preserve">
Solvency basis: expense reserve (£)
</t>
  </si>
  <si>
    <t xml:space="preserve">
Solvency basis: total liabilities (£)
</t>
  </si>
  <si>
    <t xml:space="preserve">
Solvency basis: funding level (%)
</t>
  </si>
  <si>
    <t xml:space="preserve">
Any additional comments the trustees have in relation to expense reserves (optional)
</t>
  </si>
  <si>
    <t xml:space="preserve">
What proportion of the liabilities on a low dependency basis are linked to inflation? (%)
</t>
  </si>
  <si>
    <t xml:space="preserve">
What is the assumed change in retail price index (RPI) and consumer price index (CPI) – underpinning the related assumptions – for the inflation rate sensitivity? (Basis points)
</t>
  </si>
  <si>
    <t xml:space="preserve">
What is the change in the technical provisions liabilities given this inflation sensitivity? (£)
</t>
  </si>
  <si>
    <t xml:space="preserve">
Are you providing scheme benefit cash flow information?
</t>
  </si>
  <si>
    <t xml:space="preserve">
Do the cash flows include insured benefits where these are included in the calculation of technical provisions liabilities?
</t>
  </si>
  <si>
    <t xml:space="preserve">
Year 1
</t>
  </si>
  <si>
    <t xml:space="preserve">
Year 2
</t>
  </si>
  <si>
    <t xml:space="preserve">
Year 3
</t>
  </si>
  <si>
    <t xml:space="preserve">
Year 4
</t>
  </si>
  <si>
    <t xml:space="preserve">
Year 5
</t>
  </si>
  <si>
    <t xml:space="preserve">
Year 6
</t>
  </si>
  <si>
    <t xml:space="preserve">
Year 7
</t>
  </si>
  <si>
    <t xml:space="preserve">
Year 8
</t>
  </si>
  <si>
    <t xml:space="preserve">
Year 9
</t>
  </si>
  <si>
    <t xml:space="preserve">
Year 10
</t>
  </si>
  <si>
    <t xml:space="preserve">
Year 11
</t>
  </si>
  <si>
    <t xml:space="preserve">
Year 12
</t>
  </si>
  <si>
    <t xml:space="preserve">
Year 13
</t>
  </si>
  <si>
    <t xml:space="preserve">
Year 14
</t>
  </si>
  <si>
    <t xml:space="preserve">
Year 15
</t>
  </si>
  <si>
    <t xml:space="preserve">
Year 16
</t>
  </si>
  <si>
    <t xml:space="preserve">
Year 17
</t>
  </si>
  <si>
    <t xml:space="preserve">
Year 18
</t>
  </si>
  <si>
    <t xml:space="preserve">
Year 19
</t>
  </si>
  <si>
    <t xml:space="preserve">
Year 20
</t>
  </si>
  <si>
    <t xml:space="preserve">
Year 21
</t>
  </si>
  <si>
    <t xml:space="preserve">
Year 22
</t>
  </si>
  <si>
    <t xml:space="preserve">
Year 23
</t>
  </si>
  <si>
    <t xml:space="preserve">
Year 24
</t>
  </si>
  <si>
    <t xml:space="preserve">
Year 25
</t>
  </si>
  <si>
    <t xml:space="preserve">
Year 26
</t>
  </si>
  <si>
    <t xml:space="preserve">
Year 27
</t>
  </si>
  <si>
    <t xml:space="preserve">
Year 28
</t>
  </si>
  <si>
    <t xml:space="preserve">
Year 29
</t>
  </si>
  <si>
    <t xml:space="preserve">
Year 30
</t>
  </si>
  <si>
    <t xml:space="preserve">
Year 31
</t>
  </si>
  <si>
    <t xml:space="preserve">
Year 32
</t>
  </si>
  <si>
    <t xml:space="preserve">
Year 33
</t>
  </si>
  <si>
    <t xml:space="preserve">
Year 34
</t>
  </si>
  <si>
    <t xml:space="preserve">
Year 35
</t>
  </si>
  <si>
    <t xml:space="preserve">
Year 36
</t>
  </si>
  <si>
    <t xml:space="preserve">
Year 37
</t>
  </si>
  <si>
    <t xml:space="preserve">
Year 38
</t>
  </si>
  <si>
    <t xml:space="preserve">
Year 39
</t>
  </si>
  <si>
    <t xml:space="preserve">
Year 40
</t>
  </si>
  <si>
    <t xml:space="preserve">
Recovery plan commencement date
</t>
  </si>
  <si>
    <t xml:space="preserve">
Recovery plan end date
</t>
  </si>
  <si>
    <t xml:space="preserve">
What is the technical provision deficit at the valuation date? (£)
</t>
  </si>
  <si>
    <t xml:space="preserve">
Is the assumed expected return on assets for the purposes of the recovery plan expressed as a nominal value or as a margin over gilts?
</t>
  </si>
  <si>
    <t xml:space="preserve">
What is the assumed investment return over recovery plan expressed as a margin over gilts? (%)
</t>
  </si>
  <si>
    <t xml:space="preserve">
What is the assumed investment return over recovery plan expressed as a nominal value? (%)
</t>
  </si>
  <si>
    <t xml:space="preserve">
Has any allowance been made for post-valuation experience?
</t>
  </si>
  <si>
    <t xml:space="preserve">
What is the estimated technical provisions deficit used for recovery plan purposes? (£)
</t>
  </si>
  <si>
    <t xml:space="preserve">
What is the expected maturity at the relevant date expressed in years of duration?
</t>
  </si>
  <si>
    <t xml:space="preserve">
What is the funding level which is or was intended to be achieved at the relevant date expressed as a percentage? (%)
</t>
  </si>
  <si>
    <t>What is the way the trustees intend benefits to be provided over the long term?</t>
  </si>
  <si>
    <t xml:space="preserve">
Are the rates of contributions determined unilaterally by the trustees and only the trustees can reduce those rates or suspend payment of contributions?
</t>
  </si>
  <si>
    <t xml:space="preserve">
To what extent does the funding and investment strategy remain appropriate? Please provide detail about the trustees' conclusion.
</t>
  </si>
  <si>
    <t xml:space="preserve">
Do the trustees consider that the funding and investment strategy is being successfully implemented in all respects?
</t>
  </si>
  <si>
    <t xml:space="preserve">
Describe the elements of the funding and investment strategy that are being successfully implemented and those that are not.
</t>
  </si>
  <si>
    <t xml:space="preserve">
What steps (including timings) do the trustees intend to take to remedy the position?
</t>
  </si>
  <si>
    <t xml:space="preserve">
Year 21+
</t>
  </si>
  <si>
    <t xml:space="preserve">
What is the discount rate methodology used to calculate the technical provisions?
</t>
  </si>
  <si>
    <t xml:space="preserve">
Describe the discount rate methodology used.
</t>
  </si>
  <si>
    <t xml:space="preserve">
How is the discount rate derived?
</t>
  </si>
  <si>
    <t xml:space="preserve">
Describe how the discount rate is derived
</t>
  </si>
  <si>
    <t xml:space="preserve">
Is any benefit revaluation or indexation linked to inflation?
</t>
  </si>
  <si>
    <t xml:space="preserve">
What is the single equivalent RPI assumption?
</t>
  </si>
  <si>
    <t xml:space="preserve">
What is the single equivalent CPI assumption?
</t>
  </si>
  <si>
    <t xml:space="preserve">
Do any benefits have a salary link?
</t>
  </si>
  <si>
    <t xml:space="preserve">
Pay increases: active members (excluding promotional scale).
</t>
  </si>
  <si>
    <t xml:space="preserve">
Underlying yield curve: forward discount rates over the next 40 years (%)
</t>
  </si>
  <si>
    <t xml:space="preserve">
Technical provisions discount rate addition to the curve over the next 40 years (%)
</t>
  </si>
  <si>
    <t xml:space="preserve">
Low dependency discount rate addition to the curve over the next 40 years (%)
</t>
  </si>
  <si>
    <t xml:space="preserve">
RPI assumptions forward curve over the next 40 years (%)
</t>
  </si>
  <si>
    <t xml:space="preserve">
CPI assumptions forward curve over the next 40 years (%)
</t>
  </si>
  <si>
    <t xml:space="preserve">
Pay increase assumptions forward curve over the next 40 years (%)
</t>
  </si>
  <si>
    <t xml:space="preserve">
What is the scheme's current level of investment risk calculated according to the Fast Track stress test expressed as a percentage? (%)
</t>
  </si>
  <si>
    <t xml:space="preserve">
What is the scheme's current level of investment risk expressed as a pound value? (£)
</t>
  </si>
  <si>
    <t xml:space="preserve">
How does the scheme's intended investment allocation at the relevant date comply with the objective that assets of at least the value of the scheme's liabilities (calculated on a low dependency funding basis) are invested in accordance with a low dependency investment allocation?
</t>
  </si>
  <si>
    <t xml:space="preserve">
How has the current level of risk in the scheme's notional investment strategy been determined?
</t>
  </si>
  <si>
    <t xml:space="preserve">
Explain how the level of risk has been determined.
</t>
  </si>
  <si>
    <t xml:space="preserve">
Has the investment risk calculation been based on liabilities and assets or assets only?
</t>
  </si>
  <si>
    <t xml:space="preserve">
What liability basis has been used?
</t>
  </si>
  <si>
    <t xml:space="preserve">
What margin over gilts has been used? (%)
</t>
  </si>
  <si>
    <t xml:space="preserve">
What margin over swaps has been used? (%)
</t>
  </si>
  <si>
    <t xml:space="preserve">
Describe the liability basis.
</t>
  </si>
  <si>
    <t xml:space="preserve">
At or to which percentile point has the investment risk been calculated? (%)
</t>
  </si>
  <si>
    <t xml:space="preserve">
Over what period has the investment risk been calculated?
</t>
  </si>
  <si>
    <t xml:space="preserve">
Is the expected long-term return that the notional investment allocation is assumed to provide expressed as a nominal value or as a margin over gilts?
</t>
  </si>
  <si>
    <t xml:space="preserve">
What is the expected long-term return that the notional investment allocation is assumed to provide, expressed as a margin over gilts? (%)
</t>
  </si>
  <si>
    <t xml:space="preserve">
What is the expected long-term return that the notional investment allocation is assumed to provide expressed as a nominal value?
</t>
  </si>
  <si>
    <t xml:space="preserve">
Notional asset investment allocation: fixed interest – UK Government bonds (%)
</t>
  </si>
  <si>
    <t xml:space="preserve">
Notional asset investment allocation: fixed interest investment grade bonds (excluding UK Government) (%)
</t>
  </si>
  <si>
    <t xml:space="preserve">
Notional asset investment allocation: fixed interest – sub-investment grade bonds (%)
</t>
  </si>
  <si>
    <t xml:space="preserve">
Notional asset investment allocation: UK inflation-linked – government bonds (%)
</t>
  </si>
  <si>
    <t xml:space="preserve">
Notional asset investment allocation: UK quoted equities (%)
</t>
  </si>
  <si>
    <t xml:space="preserve">
Notional asset investment allocation: overseas quoted equities (%)
</t>
  </si>
  <si>
    <t xml:space="preserve">
Notional asset investment allocation: unquoted and private equity (%)
</t>
  </si>
  <si>
    <t xml:space="preserve">
Notional asset investment allocation: property (%)
</t>
  </si>
  <si>
    <t xml:space="preserve">
Notional asset investment allocation: deferred or immediate fully insured annuities (%)
</t>
  </si>
  <si>
    <t xml:space="preserve">
Notional asset investment allocation: diversified growth funds (%)
</t>
  </si>
  <si>
    <t xml:space="preserve">
Notional asset investment allocation: cash and net current assets (%)
</t>
  </si>
  <si>
    <t xml:space="preserve">
Notional asset investment allocation: asset-backed contributions (ABCs) (%)
</t>
  </si>
  <si>
    <t xml:space="preserve">
Notional asset investment allocation: other (%)
</t>
  </si>
  <si>
    <t xml:space="preserve">
Does the scheme currently have an explicit interest rate or inflation-hedging target?
</t>
  </si>
  <si>
    <t xml:space="preserve">
What are the current hedging targets measured as a proportion of?
</t>
  </si>
  <si>
    <t xml:space="preserve">
Explain what the scheme's interest and/or inflation hedging targets are measured against.
</t>
  </si>
  <si>
    <t xml:space="preserve">
Do the current target interest and inflation hedging ratios include insured annuities?
</t>
  </si>
  <si>
    <t xml:space="preserve">
What is the target interest rate hedging ratio? (%)
</t>
  </si>
  <si>
    <t xml:space="preserve">
What is the target inflation rate hedging ratio? (%)
</t>
  </si>
  <si>
    <t xml:space="preserve">
What is the proportion of highly liquid investments? (%)
</t>
  </si>
  <si>
    <t xml:space="preserve">
What is the proportion of illiquid investments? (%)
</t>
  </si>
  <si>
    <t xml:space="preserve">
Does the scheme’s notional investment allocation include leveraged investments that could result in unexpected demands on liquidity from the rest of the scheme’s assets?
</t>
  </si>
  <si>
    <t xml:space="preserve">
What will be the intended investment risk at the relevant date expressed as a percentage drop in funding level? (%)
</t>
  </si>
  <si>
    <t xml:space="preserve">
What is the scheme's de-risking approach?
</t>
  </si>
  <si>
    <t xml:space="preserve">
Provide further information that may be helpful to understand the level of risk in the journey plan. (Optional)
</t>
  </si>
  <si>
    <t xml:space="preserve">
Does the scheme have an explicit interest rate or inflation hedging target at the relevant date?
</t>
  </si>
  <si>
    <t xml:space="preserve">
What are the relevant date hedging targets measured as a proportion of?
</t>
  </si>
  <si>
    <t xml:space="preserve">
Describe what the scheme's interest rate or inflation hedging targets at relevant date are measured against.
</t>
  </si>
  <si>
    <t xml:space="preserve">
Do the target interest rate and inflation hedging ratios include insured annuities at the relevant date?
</t>
  </si>
  <si>
    <t xml:space="preserve">
What is the scheme's intended interest rate hedging as a proportion of liabilities at the relevant date? (%)
</t>
  </si>
  <si>
    <t xml:space="preserve">
What is the scheme's intended inflation hedging as a proportion of liabilities at the relevant date? (%)
</t>
  </si>
  <si>
    <t xml:space="preserve">
How do the trustees intend to achieve the objective that the assets underpinning the minimum funding level are invested in accordance with a low dependency investment allocation on and after the relevant date?
</t>
  </si>
  <si>
    <t xml:space="preserve">
How has the level of investment risk at the relevant date been determined?
</t>
  </si>
  <si>
    <t xml:space="preserve">
Explain how the level of risk at the relevant date has been determined.
</t>
  </si>
  <si>
    <t xml:space="preserve">
Has the investment risk calculation at the relevant date been based on liabilities and assets or assets only?
</t>
  </si>
  <si>
    <t xml:space="preserve">
What margin over gilts has been used? (%)
</t>
  </si>
  <si>
    <t xml:space="preserve">
What margin over swaps has been used? (%)
</t>
  </si>
  <si>
    <t xml:space="preserve">
Describe the liability basis.
</t>
  </si>
  <si>
    <t xml:space="preserve">
At or to which percentile point has the investment risk been calculated? (%)
</t>
  </si>
  <si>
    <t xml:space="preserve">
Over what period has the investment risk been calculated?
</t>
  </si>
  <si>
    <t xml:space="preserve">
Is the expected long-term return that the intended investment allocation at the relevant date is assumed to provide expressed as a nominal value or as a margin over gilts?
</t>
  </si>
  <si>
    <t xml:space="preserve"> 
What is the expected long-term return that the intended investment allocation at the relevant date is assumed to provide expressed as a margin over gilts? (%)
</t>
  </si>
  <si>
    <t xml:space="preserve"> 
What is the expected long-term return that the intended investment allocation at the relevant date is assumed to provide expressed a nominal value? (%)
</t>
  </si>
  <si>
    <t>SASV-00161 to SASV-00163</t>
  </si>
  <si>
    <t xml:space="preserve">
Employer free cash flows (FCF)
</t>
  </si>
  <si>
    <t xml:space="preserve">
Prior year actual free cash flows (FCF) (£)
</t>
  </si>
  <si>
    <t xml:space="preserve">
Current year forecast free cash flows (£)
</t>
  </si>
  <si>
    <t xml:space="preserve">
Year 1 forecast FCF (£)
</t>
  </si>
  <si>
    <t xml:space="preserve">
Employer cash flow: basis of assessment
</t>
  </si>
  <si>
    <t xml:space="preserve">
Describe the basis of assessment of employer cash flow.
</t>
  </si>
  <si>
    <t xml:space="preserve">
Add any additional information that will help us understand trustees' approach to assessing employer cash flows or maximum affordable contributions or both. (Optional)
</t>
  </si>
  <si>
    <t xml:space="preserve">
Is the recovery plan longer than the reliability period or more than 6 years?
</t>
  </si>
  <si>
    <t xml:space="preserve">
Is the recovery plan longer than the reliability period or more than 3 years?
</t>
  </si>
  <si>
    <t>SASV-00168 to SASV-00170</t>
  </si>
  <si>
    <t xml:space="preserve">
Employer Investment in sustainable growth
</t>
  </si>
  <si>
    <t xml:space="preserve">
Employer Investment in sustainable growth: prior year actuals (£)
</t>
  </si>
  <si>
    <t xml:space="preserve">
Employer Investment in sustainable growth: current year forecasts (£)
</t>
  </si>
  <si>
    <t xml:space="preserve">
Employer Investment in sustainable growth: year 1 forecasts (£)
</t>
  </si>
  <si>
    <t>SASV-00171 to SASV-00173</t>
  </si>
  <si>
    <t xml:space="preserve">
Shareholder returns
</t>
  </si>
  <si>
    <t xml:space="preserve">
Prior year actuals (£)
</t>
  </si>
  <si>
    <t xml:space="preserve">
Current year forecasts (£)
</t>
  </si>
  <si>
    <t xml:space="preserve">
Year 1 forecasts (£)
</t>
  </si>
  <si>
    <t>SASV-00174 to SASV-00176</t>
  </si>
  <si>
    <t xml:space="preserve">
Employer payments to other DB schemes
</t>
  </si>
  <si>
    <t>SASV-00177 to SASV-00179</t>
  </si>
  <si>
    <t xml:space="preserve">
Other alternative uses of cash by employer
</t>
  </si>
  <si>
    <t xml:space="preserve">
What is the value of the employer(s) liquid assets at the time of agreeing the recovery plan? (£)
</t>
  </si>
  <si>
    <t xml:space="preserve">
Provide any further information on the alternative uses of cash and liquid assets. (Optional)
</t>
  </si>
  <si>
    <t xml:space="preserve">
Provide any further information relevant to covenant not covered elsewhere. (Optional)
</t>
  </si>
  <si>
    <t xml:space="preserve">
Does the scheme rely on contingent assets to take funding and investment risk above what the employer can support?
</t>
  </si>
  <si>
    <t xml:space="preserve">
How many guarantees do the trustees wish to include details about?
</t>
  </si>
  <si>
    <t xml:space="preserve">
How many securities do the trustees wish to include details about?
</t>
  </si>
  <si>
    <t xml:space="preserve">
How many other contingent assets do the trustees wish to include details about (excl ABCs)?
</t>
  </si>
  <si>
    <t xml:space="preserve">
How many asset-backed contribution (ABC) arrangements do the trustees wish to include details about?
</t>
  </si>
  <si>
    <t xml:space="preserve">
What is the total value ascribed to contingent assets? (£)
</t>
  </si>
  <si>
    <t xml:space="preserve">
What is the total value of scheme's interest in any ABC (also known as net present value)? (£)
</t>
  </si>
  <si>
    <t xml:space="preserve">
As at what date have the trustees assessed the employer covenant?
</t>
  </si>
  <si>
    <t xml:space="preserve">
Was professional covenant advice taken for this valuation?
</t>
  </si>
  <si>
    <t xml:space="preserve">
In determining covenant strength, do you place reliance on any entity other than statutory employers and their subsidiaries?
</t>
  </si>
  <si>
    <t xml:space="preserve">
What experience do the trustees have to enable them to assess covenant without professional covenant advice?
</t>
  </si>
  <si>
    <t xml:space="preserve">
Upon how many entities other than statutory employers is covenant reliance placed?
</t>
  </si>
  <si>
    <t xml:space="preserve">
For what reason or reasons is it appropriate to place reliance on the entities (other than statutory employers) on which covenant reliance is placed?
</t>
  </si>
  <si>
    <t xml:space="preserve">
Is the scheme a non-segregated non-associated multi-employer scheme?
</t>
  </si>
  <si>
    <t xml:space="preserve">
What is the reliability period?
</t>
  </si>
  <si>
    <t xml:space="preserve">
What is the covenant longevity? 
</t>
  </si>
  <si>
    <t xml:space="preserve">
Add any additional information that will help us understand the trustees' approach to assessing reliability and longevity periods. (Optional)
</t>
  </si>
  <si>
    <t xml:space="preserve">
Is the strength of the employer covenant adequate by reference to the actuarial valuation to which the funding and investments strategy relates?
</t>
  </si>
  <si>
    <t>SASV-00603 to SASV-00623</t>
  </si>
  <si>
    <t xml:space="preserve">
What are the expected future income streams from the ABC, split for the first 20 years from the effective date of the valuation, and the total thereafter? (£)
</t>
  </si>
  <si>
    <t xml:space="preserve">
What is the type of underlying asset that the scheme has security over?
</t>
  </si>
  <si>
    <t xml:space="preserve">
Provide specific details of the underlying asset
</t>
  </si>
  <si>
    <t xml:space="preserve">
Type of maturity
</t>
  </si>
  <si>
    <t xml:space="preserve">
Date of maturity
</t>
  </si>
  <si>
    <t xml:space="preserve">
Maturity date narrative
</t>
  </si>
  <si>
    <t xml:space="preserve">
Value ascribed (£)
</t>
  </si>
  <si>
    <t xml:space="preserve">
Date of valuation
</t>
  </si>
  <si>
    <t xml:space="preserve">
Value cap
</t>
  </si>
  <si>
    <t xml:space="preserve">
Narrative regarding value cap
</t>
  </si>
  <si>
    <t xml:space="preserve">
Fixed cap amount (£)
</t>
  </si>
  <si>
    <t xml:space="preserve">
Participating employer insolvency
</t>
  </si>
  <si>
    <t xml:space="preserve">
Insolvency of associated company
</t>
  </si>
  <si>
    <t xml:space="preserve">
Non payment of contributions
</t>
  </si>
  <si>
    <t xml:space="preserve">
Crystallisation of investment risk
</t>
  </si>
  <si>
    <t xml:space="preserve">
Other
</t>
  </si>
  <si>
    <t xml:space="preserve">
Describe the other triggers for access to value
</t>
  </si>
  <si>
    <t xml:space="preserve">
Triggers for termination
</t>
  </si>
  <si>
    <t xml:space="preserve">
What are the maximum affordable contributions over the reliability period after deficit repair contributions (DRCs)? (£)
</t>
  </si>
  <si>
    <t xml:space="preserve">
You are required to upload a PDF document showing a summary of the trustees' assessment of supportable risk over the reliability period
</t>
  </si>
  <si>
    <t xml:space="preserve">
You are required to upload a PDF document showing a summary of the trustees' analysis of maximum affordable contributions
</t>
  </si>
  <si>
    <t>SASV-00603</t>
  </si>
  <si>
    <t>SASV-00604</t>
  </si>
  <si>
    <t>SASV-00605</t>
  </si>
  <si>
    <t>SASV-00606</t>
  </si>
  <si>
    <t>SASV-00607</t>
  </si>
  <si>
    <t>SASV-00608</t>
  </si>
  <si>
    <t>SASV-00609</t>
  </si>
  <si>
    <t>SASV-00610</t>
  </si>
  <si>
    <t>SASV-00611</t>
  </si>
  <si>
    <t>SASV-00612</t>
  </si>
  <si>
    <t>SASV-00613</t>
  </si>
  <si>
    <t>SASV-00614</t>
  </si>
  <si>
    <t>SASV-00615</t>
  </si>
  <si>
    <t>SASV-00616</t>
  </si>
  <si>
    <t>SASV-00617</t>
  </si>
  <si>
    <t>SASV-00618</t>
  </si>
  <si>
    <t>SASV-00619</t>
  </si>
  <si>
    <t>SASV-00620</t>
  </si>
  <si>
    <t>SASV-00621</t>
  </si>
  <si>
    <t>SASV-00622</t>
  </si>
  <si>
    <t>SASV-00623</t>
  </si>
  <si>
    <t xml:space="preserve">
What is the spot rate associated with the underlying yield curve? (%)
</t>
  </si>
  <si>
    <t xml:space="preserve">
At what date does the discount rate premium apply under a horizon method?
</t>
  </si>
  <si>
    <t xml:space="preserve">
What are the pre-horizon discount rate premiums on a technical provisions basis? (%)
</t>
  </si>
  <si>
    <t xml:space="preserve">
What is the post-horizon date discount rate premium on a technical provisions basis? (%)
</t>
  </si>
  <si>
    <t xml:space="preserve">
What is the discount rate premium on a low-dependency basis? (%)
</t>
  </si>
  <si>
    <t xml:space="preserve">
What is the single equivalent discount rate premium on a technical provisions basis? (%)
</t>
  </si>
  <si>
    <t xml:space="preserve">
What is the pre-retirement discount rate premium on a technical provisions basis? (%)
</t>
  </si>
  <si>
    <t xml:space="preserve">
What is the post-retirement discount rate premium on a technical provisions basis? (%)
</t>
  </si>
  <si>
    <t xml:space="preserve">
What is the current pensioner discount rate premium on a technical provisions basis? (%)
</t>
  </si>
  <si>
    <t xml:space="preserve">
What is the technical provisions funding level at the effective date of the actuarial valuation? (%)
</t>
  </si>
  <si>
    <t xml:space="preserve">
Do all active members belong to both:
- a section that provides cash balance benefits
- a section which is a collective money purchase scheme?
</t>
  </si>
  <si>
    <t xml:space="preserve">
Has allowance been made for pensions to be commuted for tax-free cash on retirement within the calculation of technical provisions?
</t>
  </si>
  <si>
    <t xml:space="preserve">
What is the assumed increase in the technical provisions liabilities if there were no allowance for commutation? (£)</t>
  </si>
  <si>
    <t xml:space="preserve">
What is the male cohort expected age of death, for current pensioners aged 65 at valuation date on a technical provisions basis?
</t>
  </si>
  <si>
    <t xml:space="preserve">
What is the female cohort expected age of death, for current pensioners aged 65 at valuation date on a technical provisions basis?
</t>
  </si>
  <si>
    <t xml:space="preserve">
What is the male cohort expected age of death, for future pensioners aged 45 at valuation date on a technical provisions basis, assuming they survive to age 65?
</t>
  </si>
  <si>
    <t xml:space="preserve">
What is the female cohort expected age of death, for future pensioners aged 45 at valuation date on a technical provisions basis, assuming they survive to age 65?
</t>
  </si>
  <si>
    <t xml:space="preserve">
Is the technical provisions basis the same as the low dependency basis in all aspects?
</t>
  </si>
  <si>
    <t xml:space="preserve">
Has the same underlying yield curve been used for the low dependency basis and the technical provisions basis?
</t>
  </si>
  <si>
    <t xml:space="preserve">
Excluding discount rates, is your technical provisions basis the same as your low dependency funding basis?
</t>
  </si>
  <si>
    <t xml:space="preserve">
Explain the differences between the technical provisions assumptions and the low dependency assumptions (with the exception of discount rate premiums).
</t>
  </si>
  <si>
    <t xml:space="preserve">
Have the trustees consulted the employer in the preparation or revision of 'Part 2: supplementary matters' of the statement of strategy?
</t>
  </si>
  <si>
    <t xml:space="preserve">
Has the employer asked for any comments to be included in the document?
</t>
  </si>
  <si>
    <t xml:space="preserve">
Add the comments the employer has asked to be included.
</t>
  </si>
  <si>
    <t xml:space="preserve">
First name
</t>
  </si>
  <si>
    <t xml:space="preserve">	
Last name
</t>
  </si>
  <si>
    <t xml:space="preserve">
Describe the main risks faced by the scheme in implementing the funding and investment strategy. Provide details of how the trustees intend to mitigate and/or manage the risks in the event they materialise.
</t>
  </si>
  <si>
    <t xml:space="preserve">
Are there any significant past decisions relevant to the funding and investment strategy?
</t>
  </si>
  <si>
    <t xml:space="preserve">
Describe these significant past decisions. What are the trustees' reflections on them, including any lessons learned that have or may affect other decisions?
</t>
  </si>
  <si>
    <t xml:space="preserve">
Any additional comments on the funding journey plan or long term funding strategy. (Optional)
</t>
  </si>
  <si>
    <t xml:space="preserve">
What is the intended investment allocation to matching assets at the relevant date? (%)
</t>
  </si>
  <si>
    <t xml:space="preserve">
What is the intended investment allocation to growth assets at the relevant date? (%)
</t>
  </si>
  <si>
    <t xml:space="preserve">
Is there a plan to allocate surplus investments at the relevant date in a different way to those which relate to the minimum funding level?
</t>
  </si>
  <si>
    <t xml:space="preserve">
What is the intended investment allocation to growth assets at the relevant date for the surplus allocation? (%) (Optional)
</t>
  </si>
  <si>
    <t xml:space="preserve">
What is the intended investment allocation to matching assets at the relevant date for the surplus allocation? (%) (Optional)
</t>
  </si>
  <si>
    <t xml:space="preserve">
Briefly explain how the trustees expect the discount rate to change over time?
</t>
  </si>
  <si>
    <t xml:space="preserve">
Legal name
</t>
  </si>
  <si>
    <t xml:space="preserve">
Companies House number (if applicable)
</t>
  </si>
  <si>
    <t xml:space="preserve">
Charity number (if applicable)
</t>
  </si>
  <si>
    <t xml:space="preserve">
Trading name
</t>
  </si>
  <si>
    <t xml:space="preserve">
Address line 1
</t>
  </si>
  <si>
    <t xml:space="preserve">
Address line 2 (optional)
</t>
  </si>
  <si>
    <t xml:space="preserve">
Address line 3 (optional)
</t>
  </si>
  <si>
    <t xml:space="preserve">
Post town or city
</t>
  </si>
  <si>
    <t xml:space="preserve">
Country
</t>
  </si>
  <si>
    <t xml:space="preserve">
Postcode
</t>
  </si>
  <si>
    <t xml:space="preserve">
Is the guarantor an associated company?
</t>
  </si>
  <si>
    <t xml:space="preserve">
What is type of guarantee?
</t>
  </si>
  <si>
    <t xml:space="preserve">
Describe the other type of guarantee.
</t>
  </si>
  <si>
    <t xml:space="preserve">
What is the type of contingent asset?
</t>
  </si>
  <si>
    <t xml:space="preserve">
Provide specific details of the contingent asset
</t>
  </si>
  <si>
    <t xml:space="preserve">
Maturity type
</t>
  </si>
  <si>
    <t xml:space="preserve">
Date of Maturity
</t>
  </si>
  <si>
    <t xml:space="preserve">
Narrative regarding triggers for access to value
</t>
  </si>
  <si>
    <t xml:space="preserve">
What is the type of security underlying the asset backed contribution arrangement?
</t>
  </si>
  <si>
    <t xml:space="preserve">
A summary of the underlying asset
</t>
  </si>
  <si>
    <t xml:space="preserve">
Net present value (NPV) (£)
</t>
  </si>
  <si>
    <t xml:space="preserve">
Date NPV calculated
</t>
  </si>
  <si>
    <t xml:space="preserve">
Value of underlying asset (£) (optional)
</t>
  </si>
  <si>
    <t xml:space="preserve">
Date of valuation of underlying asset (optional)
</t>
  </si>
  <si>
    <t xml:space="preserve">
Triggers for any cessation of payment schedule, or for termination of ABC
</t>
  </si>
  <si>
    <t xml:space="preserve">
How many entities have been considered when determining the employer cash flow?
</t>
  </si>
  <si>
    <t xml:space="preserve">
Total value of assets
</t>
  </si>
  <si>
    <t>IRC 28.1</t>
  </si>
  <si>
    <t xml:space="preserve">
The effective date is date at which the assets are valued and the Technical Provisions of the scheme are calculated.
</t>
  </si>
  <si>
    <t xml:space="preserve">
We'll need to know if the scheme is 'small' for the purposes of asking for the correct information and providing the correct template. We have defined a small scheme as:
"Schemes with 200 members or less, excluding:
- members only eligible for lump sum death benefit;
- members with only defined contribution (DC) benefits; and
- wholly insured annuitants where they are not included in the calculation of Technical Provision liabilities".
</t>
  </si>
  <si>
    <t xml:space="preserve">
Schemes have the option to provide either single equivalent discount rates (and spot rates) or provide full yield curve based discount rates in their funding and investment strategy. However, schemes other than small schemes will be asked to provide a full yield curve as part of the summary of the actuarial valuation. Our expectation is therefore that all schemes other than small schemes will also provide them here as otherwise they will be giving us two sets of data where they only need to give us one.
</t>
  </si>
  <si>
    <t xml:space="preserve">
We'll need to know if the scheme follows a Fast Track or Bespoke approach for the purposes of asking for the correct information and providing the correct template.
</t>
  </si>
  <si>
    <t xml:space="preserve">
If your scheme follows the Bespoke approach and is post-relevant date, we need to know if your scheme meets the requirements for being a Bespoke low-risk scheme. If it does, this reduces the data that we will ask from you. 
We have defined a Bespoke low-risk scheme as a scheme that is:
"in surplus on their low dependency funding basis after applying an immediate stress  based on their notional investment allocation".
</t>
  </si>
  <si>
    <t xml:space="preserve">
We will ask this question if you have selected 'Fast Track approach' in the previous question.
If your scheme follows a Fast Track approach, we'll ask if your scheme meets the requirements for being a 'Fast Track low-risk scheme'. If it does, this reduces the data that we will ask from you.
We have defined a Fast Track low-risk scheme as a scheme that is:
"either:
a) in surplus on a low dependency funding basis after applying an immediate Fast Track stress; or
b) in a position where full benefits for all members have been secured/bought in with an insurer."
</t>
  </si>
  <si>
    <t xml:space="preserve">
Whether your scheme is in surplus or deficit on a technical provisions basis at the effective date of the valuation defines whether we will ask you for recovery plan information.
</t>
  </si>
  <si>
    <t xml:space="preserve">
We need to know if the scheme is pre or post relevant date for the purposes of asking for the correct information and providing the correct template. In this context, ‘post relevant date’ means on or after the relevant date.
This information has been derived from your answers to the two previous questions. 
</t>
  </si>
  <si>
    <t xml:space="preserve">
The date at which the trustee is targeting (at least) 100% funding on a low dependency funding basis and the scheme is planning to be invested in low dependency investment allocation.
</t>
  </si>
  <si>
    <t xml:space="preserve">
The market value of scheme assets on a technical provisions basis as recorded in the valuation report.
</t>
  </si>
  <si>
    <t xml:space="preserve">
The value of the active member liabilities on a technical provisions basis as recorded in the valuation report.
</t>
  </si>
  <si>
    <t xml:space="preserve">
The value of the deferred member liabilities on a technical provisions basis as recorded in the valuation report.
</t>
  </si>
  <si>
    <t xml:space="preserve">
The value of the pensioner member liabilities on a technical provisions basis as recorded in the valuation report.
</t>
  </si>
  <si>
    <t xml:space="preserve">
The value of the insured member liabilities on a technical provisions basis as recorded in the valuation report.
</t>
  </si>
  <si>
    <t xml:space="preserve">
The value of the DC liabilities on a technical provisions basis as recorded in the valuation report.
</t>
  </si>
  <si>
    <t xml:space="preserve">
The value of the cash balance liabilities on a technical provisions basis as recorded in the valuation report. This should include the total of active and deferred cash balance liabilities. Cash balance liabilities should not be included elsewhere.
</t>
  </si>
  <si>
    <t xml:space="preserve">
The value of the expense reserve on a technical provisions basis as recorded in the valuation report.
</t>
  </si>
  <si>
    <t xml:space="preserve">
The value of the sum of the liabilities on a technical provisions basis as recorded in the valuation report.
</t>
  </si>
  <si>
    <t xml:space="preserve">
We'll need to know the answer to this question for the purposes of asking for the right information and providing the correct format in the statement of strategy.
</t>
  </si>
  <si>
    <t xml:space="preserve">
These are liabilities in relation to cash balance benefits.
We'll need to know the answer to this question for the purposes of asking for the right information and providing the correct format in the statement of strategy.
</t>
  </si>
  <si>
    <t xml:space="preserve">
The annual cost of future service benefits as a percentage of pensionable salaries, calculated on the future service basis assumptions at the effective date of the valuation.
</t>
  </si>
  <si>
    <t xml:space="preserve">
The total of active members' annual pensionable salaries at the effective date of the valuation (which can be called pensionable pay, earnings or other definitions within the scheme's rules).
</t>
  </si>
  <si>
    <t xml:space="preserve">
The market value of scheme assets on a low dependency basis as recorded in the valuation report.
</t>
  </si>
  <si>
    <t xml:space="preserve">
The value of the active member liabilities on a low dependency basis as recorded in the valuation report.
</t>
  </si>
  <si>
    <t xml:space="preserve">
The value of the deferred member liabilities on a low dependency basis as recorded in the valuation report.
</t>
  </si>
  <si>
    <t xml:space="preserve">
The value of the pensioner member liabilities on a low dependency basis as recorded in the valuation report.
</t>
  </si>
  <si>
    <t xml:space="preserve">
The value of the insured member liabilities on a low dependency basis as recorded in the valuation report.
</t>
  </si>
  <si>
    <t xml:space="preserve">
The value of the DC liabilities on a low dependency basis as recorded in the valuation report.
</t>
  </si>
  <si>
    <t xml:space="preserve">
The value of the cash balance liabilities on a low dependency basis as recorded in the valuation report. This should include the total of active and deferred cash balance liabilities. Cash balance liabilities should not be included elsewhere.
</t>
  </si>
  <si>
    <t xml:space="preserve">
The value of the expense reserve on a low dependency basis as recorded in the valuation report.
</t>
  </si>
  <si>
    <t xml:space="preserve">
The value of the sum of the liabilities on a low dependency basis as recorded in the valuation report.
</t>
  </si>
  <si>
    <t xml:space="preserve">
The market value of scheme assets on a solvency basis as recorded in the valuation report.
</t>
  </si>
  <si>
    <t xml:space="preserve">
The value of the active member liabilities on a solvency basis as recorded in the valuation report.
</t>
  </si>
  <si>
    <t xml:space="preserve">
The value of the deferred member liabilities on a solvency basis as recorded in the valuation report.
</t>
  </si>
  <si>
    <t xml:space="preserve">
The value of the pensioner member liabilities on a solvency basis as recorded in the valuation report.
</t>
  </si>
  <si>
    <t xml:space="preserve">
The value of the insured member liabilities on a solvency basis as recorded in the valuation report.
</t>
  </si>
  <si>
    <t xml:space="preserve">
The value of the DC liabilities on a solvency basis as recorded in the valuation report.
</t>
  </si>
  <si>
    <t xml:space="preserve">
The value of the cash balance liabilities on a solvency basis as recorded in the valuation report. This should include the total of active and deferred cash balance liabilities. Cash balance liabilities should not be included elsewhere.
</t>
  </si>
  <si>
    <t xml:space="preserve">
The value of the expense reserve on a solvency basis as recorded in the valuation report.
</t>
  </si>
  <si>
    <t xml:space="preserve">
The value of the sum of the liabilities on a solvency basis as recorded in the valuation report.
</t>
  </si>
  <si>
    <t xml:space="preserve">
The ratio of assets to total liabilities on a solvency basis.
</t>
  </si>
  <si>
    <t xml:space="preserve">
Any additional comments the trustees have in relation to expense reserves.
</t>
  </si>
  <si>
    <t xml:space="preserve">
The proportion of liabilities, on a low dependency basis, which are linked to inflation.
</t>
  </si>
  <si>
    <t xml:space="preserve">
This is the basis point change used within the sensitivity calculation for the inflation assumption.
</t>
  </si>
  <si>
    <t xml:space="preserve">
This is the change (£) amount to the technical provisions as a result of the inflation sensitivity calculation.
</t>
  </si>
  <si>
    <t>SASV-00501 to SASV-00540</t>
  </si>
  <si>
    <t xml:space="preserve">
The low dependency funding level is the scheme assets divided by the liabilities, calculated on a low dependency basis. The answer is expressed as a percentage.
</t>
  </si>
  <si>
    <t xml:space="preserve">
The actuary's estimate of the maturity of the scheme as at the effective date of the valuation, as set out in that valuation, expressed as a duration in years. This represents the mean term of the liabilities weighted by the value of the scheme’s future cash flows. This calculation is in respect of accrued past service benefits only.
Further detail about calculating the duration is set out in the DB funding code.
</t>
  </si>
  <si>
    <t xml:space="preserve">
We'll need to know if the scheme is 'open to accrual' for the purposes of asking the correct information.
Open to accrual includes scheme that are:
- open to new entrants and future accrual
- closed to new entrants but still have active members who accrue additional pension benefits.
</t>
  </si>
  <si>
    <t xml:space="preserve">
We will ask this question if you have indicated that your scheme is open to future accrual.
Further details about allowance for future accrual for open scheme are set out in the DB funding code.
</t>
  </si>
  <si>
    <t xml:space="preserve">
We will ask this question if you have indicated that your scheme is open to future accrual.
The actuary's estimate of the maturity of the scheme as at the effective date of the valuation, as set out in that valuation, expressed as a duration in years, with allowance for future accrual. This represents the mean term of the liabilities weighted by the value of the scheme’s future cash flows. This calculation is in respect to accrued past service benefits plus future service benefits over the number of years that are included in the estimate of the date of significant maturity.
Further detail about calculating the duration is set out in the DB funding code.
This is optional for bespoke schemes, as the figure may not be readily available.
</t>
  </si>
  <si>
    <t xml:space="preserve">
We will ask this question if you have indicated that your scheme is in deficit.
The date the recovery plan starts.
</t>
  </si>
  <si>
    <t xml:space="preserve">
We will ask this question if you have indicated that your scheme is in deficit.
The date that the recovery plan is expected to end.
</t>
  </si>
  <si>
    <t xml:space="preserve">
We will ask this question if you have indicated that your scheme is in deficit.
This will be the TP liabilities at the date of valuation minus the TP assets at the date of valuation.
</t>
  </si>
  <si>
    <t xml:space="preserve">
We'll need to know the answer to this question for the purposes of asking for the right information.
</t>
  </si>
  <si>
    <t xml:space="preserve">
The overall assumed investment return expected over the recovery plan period, expressed as a margin over gilts.
</t>
  </si>
  <si>
    <t xml:space="preserve">
The overall assumed investment return expected over the recovery plan period, expressed as a nominal value.
</t>
  </si>
  <si>
    <t xml:space="preserve">
Whether allowance has been made for post-valuation experience when determining the recovery plan.
</t>
  </si>
  <si>
    <t xml:space="preserve">
Where the trustees have made allowance for post-valuation experience, the technical provisions deficit allowed for when determining the recovery plan and certifying the schedule of contributions.
</t>
  </si>
  <si>
    <t xml:space="preserve">
The scheme actuary will need to estimate the duration of the scheme as at the relevant date. Detailed information about calculating the duration is set out in the DB funding code.
</t>
  </si>
  <si>
    <t>For schemes that are pre relevant date, this is the funding level which is intended to be achieved at the relevant date as a ratio of assets to low dependency liabilities.
For schemes that are post relevant date, this is the funding level the trustees intended to be achieved at the relevant date. In this context, ‘post relevant date’ means on or after the relevant date.</t>
  </si>
  <si>
    <t xml:space="preserve">
A description of the way the trustees intend to provide benefits over the long term (known as the long-term objective). In describing the long-term objective, we would usually expect trustees to include a summary of the desired funding target within the description.
For schemes that are open to new entrants, this description can be expanded to include details regarding expectations of whether the scheme will reach significantly maturity and the low dependency target.
Further guidance can be found in the DB funding code, in respect of providing benefits over the long term, including guidance for open schemes.
</t>
  </si>
  <si>
    <t xml:space="preserve">
We will need to know whether the funding and investment strategy needs to be agreed with the employer or only needs employer consultation, which is only possible if the trustees have the unilateral power to set, reduce or suspend contributions.
</t>
  </si>
  <si>
    <t xml:space="preserve">
Trustees and scheme managers must explain the extent to which the funding and investment strategy is, or remains, appropriate. Trustees will need to show they have considered this matter carefully and provide detail about their conclusion.
</t>
  </si>
  <si>
    <t xml:space="preserve">
Trustees should describe which elements are being successfully implemented and which are not. They can provide further reflections on what has or has not been successfully implemented and why they consider this to be the case if they wish.  Please note that we will always expect to see an answer here if there is a deficit after the relevant date, as this should not be the case if the funding and investment strategy had been successfully implemented in all respects.
</t>
  </si>
  <si>
    <t xml:space="preserve">
You will be asked this question if you answer 'No' to the question 'do the trustees consider that the funding and investment strategy is being successfully implemented in all respects?', or if you have a deficit after the relevant date.
Describe the steps trustees propose to take to remedy the elements that are not being successfully implemented. Include timings in your answer.
</t>
  </si>
  <si>
    <t>SASV-00072 to SASV-00092</t>
  </si>
  <si>
    <t xml:space="preserve">
The amount of contributions payable in each year of the recovery plan by, or on behalf of, the employer (and where applicable, scheme members) in respect of the technical provisions deficit. This is for all years following the effective date of the valuation (even if you are allowing for post-valuation experience) as recorded in the recovery plan and schedule of contributions.
</t>
  </si>
  <si>
    <t xml:space="preserve">
These options are intended to cover the majority of discount rate approaches. Linear or stepped de-risking strategies fall under the 'Multiple horizon' method.  Single or constant discount rates fall under 'Constant addition'. For guidance on dynamic discount rates please see the DB funding code. If you use more than one method, please choose 'other' and describe the approaches used.
</t>
  </si>
  <si>
    <t xml:space="preserve">
If 'Other' is chosen, narrative to explain the discount rate methodology used.
</t>
  </si>
  <si>
    <t xml:space="preserve">
The underlying curve or yield from which the total discount rates are constructed.
We do not expect the use of an inflation curve to be one of the main approaches trustees take when setting the discounting assumptions. If the scheme uses this option, it may face difficulty in planning for and demonstrating the convergence of the technical provisions with the low-dependency funding basis.
If a scheme uses a composite approach (for example based on a mixture of different indices such as gilts and bonds) then this should be captured under the composite option.
</t>
  </si>
  <si>
    <t>If 'Other' is chosen, narrative to explain the discount rate is derived.</t>
  </si>
  <si>
    <t xml:space="preserve">
We'll need to know if the scheme benefits are linked to inflation for the purposes of asking for the appropriate RPI and/or CPI information.
</t>
  </si>
  <si>
    <t xml:space="preserve">
For small schemes, we only require the single RPI spot rate, however small schemes using a yield curve approach can instead provide the next 40 years RPI forward rates.
</t>
  </si>
  <si>
    <t>For small schemes, we only require the single CPI spot rate, however small schemes using a yield curve approach can instead provide the next 40 years CPI forward rates.</t>
  </si>
  <si>
    <t xml:space="preserve">
We'll need to know if any scheme benefits are linked to salary increases to determine whether salary increase rates need to be provided. Benefits linked to salary increases include both any future accrual, and any deferred benefits that remain linked to salary increases.
</t>
  </si>
  <si>
    <t xml:space="preserve">
For small schemes, we will only require the single salary increase rate, however small schemes using a yield curve approach can provide the next 40 years salary increase forward rates.
</t>
  </si>
  <si>
    <t xml:space="preserve">
These are the one-year forward rates.
Where a scheme adopts a single yield in respect of a whole curve, we expect trustees would still provide the 40 years of discount rate data, albeit that this would be the same single yield for each year.
</t>
  </si>
  <si>
    <t xml:space="preserve">
The addition or premium that is applied to the yield curve at each term over the next 40 years for the technical provisions discount rates.
When combined with the yield curve, these will provide the total forward discount rates used in the calculation of the technical provisions liabilities.
</t>
  </si>
  <si>
    <t>The addition or premium that is applied to the yield curve at each term over the next 40 years for the low dependency discount rates.
When combined with the yield curve, these will provide the total forward discount rates used in the calculation of the low dependency liabilities.</t>
  </si>
  <si>
    <t xml:space="preserve">
These are the one-year forward RPI inflation rates.
Given the change in inflation measures in 2030, we ask for both the RPI inflation curve and CPI inflation curve.
Where a scheme only provides benefit indexation in line with RPI inflation, it will only be necessary to provide the RPI inflation curve.
</t>
  </si>
  <si>
    <t xml:space="preserve">
There are the one-year forward CPI inflation rates.
Given the change in inflation measures in 2030, we ask for both the RPI inflation curve and CPI inflation curve.
Where a scheme only provides benefit indexation in line with CPI inflation, it will only be necessary to provide the CPI inflation curve.
</t>
  </si>
  <si>
    <t xml:space="preserve">
For those schemes which provide salary-linked benefits, this is the pay award curve.
These assumptions are required for all schemes that are:
- open to new entrants and future accrual
- closed to new entrants but open to future accrual for existing active members
- closed to new entrants and closed to accrual, but where accrued benefits retain a link to salary awards
</t>
  </si>
  <si>
    <t xml:space="preserve">
The monetary amount for the level of risk, based on the scheme’s notional investment strategy applied to the total scheme assets on the valuation date.
This should be at least a one in six risk level 1 year figure. In the unlikely event that the impact of the stress is positive, enter 0 as the value.
</t>
  </si>
  <si>
    <t xml:space="preserve">
For those schemes that are post-relevant date, a narrative description of how the intended investment allocation at the relevant date complies with the objective that assets of at least the value of the scheme's liabilities (calculated on a low dependency funding basis) are invested in accordance with a low dependency investment allocation.
</t>
  </si>
  <si>
    <t xml:space="preserve">
Indicate the method used to determine investment risk. Trustees who select 'other' will be asked to  explain the method used.
</t>
  </si>
  <si>
    <t xml:space="preserve">
If none of TPR FastTrack stress, VaR or CVaR calculation methods are used, please explain what is the method of determining risk. Please include in the explanation any suitable figures (e.g. percentiles), whether the method considers both assets and liabilities and, if the method includes liabilities, on what basis those liabilities are considered. Please also include any results of this calculation.
</t>
  </si>
  <si>
    <t xml:space="preserve">
The answer should depend on whether the stresses are applied to notional assets and liabilities or notional assets only. We would expect that, in most cases, the answer will be assets and liabilities, to produce a funding level stress rather than just an asset-only stress.
</t>
  </si>
  <si>
    <t xml:space="preserve">
For value at risk, conditional value at risk and other calculations, if the person completing this is not certain, they should be able to take advice from the scheme actuary on the liability basis.
</t>
  </si>
  <si>
    <t xml:space="preserve">
Where a value at risk or conditional value at risk approach has been adopted and the liabilities are calculated with reference to gilts, the premium applied to the gilts curve (or spot rate) when calculating the liabilities. If there is no premium applied then enter 0.
</t>
  </si>
  <si>
    <t xml:space="preserve">
Where a value at risk or conditional value at risk approach has been adopted and the liabilities are calculated with reference to swaps, the premium applied to the swaps curve (or spot rate) when calculating the liabilities. If there is no premium applied then enter 0.
</t>
  </si>
  <si>
    <t xml:space="preserve">
Where a value at risk or conditional value at risk approach has been adopted and the liabilities are calculated with reference to 'Other', a description of the discount rates used when calculating the liabilities.
</t>
  </si>
  <si>
    <t xml:space="preserve">
This is the percentile level of the calculation. If it is a value at risk or conditional value at risk calculation, we need the 1-tailed percentile. For example, if it is a 1 in 20 stress, this means that there is 5% of the area under the distribution curve below the cut-off point and we would expect this to be expressed as 5%.
</t>
  </si>
  <si>
    <t xml:space="preserve">
Please input a figure in years. For example, if you have calculated a one-year 5% stress, input 1.
</t>
  </si>
  <si>
    <t xml:space="preserve">
We'll need to know the answer to this question for the purposes of asking for the right information.
Whether the expected investment return to be achieved over the long term from the notional investment strategy with no adjustment applied for prudence is expressed as a 'nominal value' or expressed as the 'margin over the gilt return'.
If the scheme is a DC scheme with no final salary benefits other than a GMP underpin, please select 'margin over gilts'.
</t>
  </si>
  <si>
    <t xml:space="preserve">
This is the expected investment return to be achieved over the long term from the notional investment strategy with no adjustment applied for prudence, expressed as a margin over the return on gilts.
If the scheme is a DC scheme with no final salary benefits other than a GMP underpin, please put 0% as the margin over gilts.
</t>
  </si>
  <si>
    <t xml:space="preserve">
This is the expected investment return to be achieved over the long term from the notional investment strategy, with no adjustment applied for prudence.
</t>
  </si>
  <si>
    <t xml:space="preserve">
Include in this category UK government bonds (gilts) and other bonds with explicit UK government guarantees. One example of this could be supranationals with UK government guarantees.
If the scheme is a DC scheme with no final salary benefits other than a GMP underpin, please allocate 100% to this category, regardless of the actual investments made.
</t>
  </si>
  <si>
    <t xml:space="preserve">
Include bonds (except UK gilts) with investment grade credit ratings where investment grade is defined as a credit rating of at least BBB (Standard and Poor’s/Fitch) or Baa (Moody’s).
Although this is a fixed-interest category, inflation-linked corporate bonds and inflation-linked overseas government bonds should also be included here.
Examples of these include:  
• UK corporate bonds
• overseas government and corporate bonds
• UK and overseas debt-like investments
• convertible bonds where they are classified as debt-like
• asset-backed securities (ABS)
• mortgage-backed securities (MBS)
• sterling inflation-linked corporate bonds
• inflation-linked bonds issued by overseas governments or corporates (for example, treasury inflation-protected securities (TIPS))
• senior debt with an investment grade rating which forms part of structured credit
• supranationals and other sub-sovereigns (for example, bonds issued by supranational agencies) where there is no UK government guarantee
</t>
  </si>
  <si>
    <t xml:space="preserve">
Include UK and overseas corporate and government bonds and debt-like investments with below investment grade credit ratings where investment grade is defined as a credit rating at least BBB (Standard and Poor’s/Fitch) or Baa (Moody’s).
Examples of these include:
• high yield bonds
• distressed debt
• subordinated debt
• mezzanine debt
• leveraged loans
• private debt
</t>
  </si>
  <si>
    <t xml:space="preserve">
Include the following:
• UK government inflation-linked bonds (index-linked gilts)
• Inflation-linked bonds with explicit UK government guarantees
</t>
  </si>
  <si>
    <t xml:space="preserve">
Include all equity investments where the underlying shares are quoted on the London Stock Exchange or Alternative Investment Market (AIM) unless those shares are denominated in currencies other than sterling.
Trustees who do not split their notional quoted equity allocation between UK quoted equities and overseas quoted equities can allocate 100% of quoted equities to overseas equities.
This category may also include convertible bonds where they are classified as equity-like. In these types of cases, schemes should consult their asset manager or investment adviser to understand the most appropriate category in the context of current market conditions.
</t>
  </si>
  <si>
    <t xml:space="preserve">
Include all equity investments where the underlying investments are quoted on the stock exchanges of (non-UK) markets – regardless of whether developed or emerging markets – or which are quoted on a UK market but are not denominated in sterling.
</t>
  </si>
  <si>
    <t xml:space="preserve">
Unquoted equities and private equity represent investments in the equity capital of unlisted companies or investment structures. Equity capital is a form of investment in which the investor shares in the profits of the company or structure but is exposed to the first loss on capital.
Assets that can be allocated to this category include:
• UK and overseas unquoted equity shares
• private equity
• venture capital
• leveraged buy-outs
</t>
  </si>
  <si>
    <t xml:space="preserve">
Assets that should be captured here include:
• all UK and overseas land or property (commercial, residential and industrial)
• any land or property owned by the pension scheme that is occupied by a scheme sponsor
• holdings in non-listed property funds (for example, property unit trusts)
We wouldn’t expect you to include real estate debt unless it is part of a property investment vehicle – such as real estate investment trusts (REITS) – in which there is debt and where the total value of the investment vehicle is included here. Listed property funds such as REITS may be included here where the holding is explicitly intended to provide exposure to the property sector. However, small concentrations of these held as part of a larger equity portfolio do not need to be separately identified. They can be included along with the rest of the portfolio as UK or overseas quoted equities.
</t>
  </si>
  <si>
    <t xml:space="preserve">Insured annuities are contracts through which payments in respect of a portion of the scheme’s liabilities are met by a third-party insurance company. Typically, such contracts will be written in the name of the pension scheme trustees. These annuities relate to a particular group of named members and dependents of the scheme.
Include in this category the proportion of total assets invested in annuities where the audited accounts reflect a value for these assets.
If annuity assets (and matching liabilities) are excluded from the scheme accounts, then the asset breakdown here should not include these assets either.
</t>
  </si>
  <si>
    <t xml:space="preserve">
A diversified growth fund (DGF) invests across a range of asset classes with the aim of generating growth with lower volatility than equities.
DGFs have a volatility (risk) target. Typically, this is expressed in relation to equity markets, often within the range 1/3 to 2/3 of equity market volatility.
The difference between DGFs and absolute returns funds is that DGFs generate growth which is sensitive to movements in typical major asset classes (beta). This may be through a mix of direct holdings and investments in other funds (both internal and external), although it may also be achieved using derivatives. In contrast, absolute return funds predominately use derivative-based strategies to reduce performance sensitivity to the typical major asset classes. Look at the guidance on absolute return funds (Tiers 2 and 3 only) for more information.
You can take one of the following approaches, depending on the characteristics of the fund:
• Allocate to the DGF asset category (all tiers).
• Get a breakdown of the underlying asset classes and allocate to the available asset categories.
• Allocate to the ‘Other’ asset category.
Trustees have full discretion to allocating according to the breakdown of the underlying assets in the multi-asset fund. Keep in mind that if a fund generates returns regardless of market movements (for example, a long-short absolute return fund), then splitting the fund by asset categories is not a suitable way of capturing the level of risk.
</t>
  </si>
  <si>
    <t xml:space="preserve">
Cash investments have high liquidity and short maturities (usually 90 days or less).
Include in this category:
• cash in any currency or denomination
• cash held in savings accounts, bank accounts, money market funds, negotiable certificates of deposit (CDs), commercial paper and floating rate notes (FRNs)
• net current assets
</t>
  </si>
  <si>
    <t xml:space="preserve">
An asset-backed contribution arrangement (ABC) is a contractual arrangement between trustees and one or more entities within the sponsoring employer’s group. ABCs involve regular payments to the scheme for the duration of the arrangement, often being indirectly funded by the sponsoring employer. Such arrangements are underpinned by an asset.
</t>
  </si>
  <si>
    <t xml:space="preserve">
Some notional allocations to assets do not obviously fall into any of the available categories.
A general description of the key characteristics of each asset category has been provided so that in such circumstances the trustees, in conjunction with their investment adviser or asset manager, can judge which category best reflects that allocation’s risk characteristics. This may involve dividing the allocation amongst more than one category.
Only asset allocations that cannot be assigned in this way, should  be recorded in this category as ‘Other’.
Examples of asset allocations that could be included here are:
• absolute return funds or other hedge funds, where it would be inappropriate to split them up into constituent parts because they are not thought to have significant and stable beta exposures
• insurance funds that cannot be split up into constituent parts
• commodities
</t>
  </si>
  <si>
    <t xml:space="preserve">
Many schemes will have set target hedge ratios for interest rates and inflation as part of their investment strategy and consider their notional investment allocation to include these. We are only asking trustee of schemes that have target hedging ratios for their strategy as a whole to answer these questions.
</t>
  </si>
  <si>
    <t xml:space="preserve">
A multiple choice to indicate what hedging targets are currently measured as a proportion of. Those selecting 'Other' will be asked to explain what their scheme's interest and/or inflation hedging targets are measured against.
</t>
  </si>
  <si>
    <t xml:space="preserve">
Where a scheme has a target hedge ratio for interest rates and inflation and has chosen 'Other', a description of how the target hedge ratio is calculated and monitored.
</t>
  </si>
  <si>
    <t xml:space="preserve">
This is important because the inclusion of insured annuities in the denominator when calculating a hedging ratio can make a considerable difference to the outcome and without this information there would be the potential for the result to be misinterpreted.
We expect trustees to be consistent in the inclusion or exclusion of insured annuities when calculating hedging ratios for both interest rates and inflation.  Please ensure that this is the case.
Where insured annuities are included, they should be included within both the numerator and the denominator in determining a percentage hedge ratio.
</t>
  </si>
  <si>
    <t xml:space="preserve">
This is a percentage figure relating to the proportion of the measure selected in the question 'what are the current hedging targets measured as a proportion of?'
For example, if current hedging targets are measured as a proportion of 'assets (funded liabilities)' and it is 80% of assets, the answer would be 80%.
If the target is a range, rather than a single number, please enter the single number that is at the centre of the range.
</t>
  </si>
  <si>
    <t xml:space="preserve">
Investments which the trustees can reasonably expect to be able to call upon to meet unexpected liquidity needs at very short notice without incurring any significant penalties or other losses.
We would consider assets which can be consistently available within five working days (irrespective of the date and of market conditions) to be highly liquid. The five working days period includes the notice period and settlement time.
</t>
  </si>
  <si>
    <t xml:space="preserve">
Assets which may take a long time to sell without accepting a significant discount to their fair value.
The use of the word 'may' is deliberate to include assets which are realisable monthly or at less frequent dates, so where there could be a long period until they are realisable (even though they may be realisable at short notice at certain specific times). Assets which are, for example, daily traded but can only be realised at a significant discount would also be regarded as illiquid. 
</t>
  </si>
  <si>
    <t xml:space="preserve">
Whether the scheme’s notional investment allocation includes leveraged investments that could result in unexpected demands on liquidity from the rest of the scheme’s assets.
Leverage is when the exposure to movements in prices is greater than the value of the allocation. A common example of where this could result in unexpected demands on liquidity results from investment in derivatives (including repos) in a liability-driven investment (LDI) portfolio, where leverage is used to allow a scheme to gain a higher exposure to long-term interest rates and/or inflation than the total value of the LDI portfolio.
If there is an allocation to LDI, we would expect the answer to this question to be 'yes'. Even if outside an LDI portfolio, the use of derivatives is highly likely to involve leverage that could result in unexpected demands on liquidity from other scheme assets. Common examples of derivatives are interest rate swaps and swaptions, equity options and futures, credit default swaps and currency forwards.
If the only leveraged investments are in respect of currency hedging, then answer 'No' to this question.
</t>
  </si>
  <si>
    <t xml:space="preserve">
Our expectation is that the intended investment risk at the relevant date will reflect the objective of a low dependency investment allocation at that date. If for any reason this is not the case, the reasons for this should be explained in the later narrative regarding the level of risk in the journey plan.
</t>
  </si>
  <si>
    <t xml:space="preserve">
Select the option which most closely aligns with the trustees' approach.
If there are no plans to de-risk from the current strategy, then select the option "no change from current notional investment allocation" This may be because the current notional investment allocation is already a low dependency investment allocation. Another possible reason would be that the trustee accepts that the sponsor cannot afford to pay contributions which are sufficient to close the funding gap if an investment strategy which meets the requirements of the DB funding code is followed.
If there are plans to begin de-risking only after the reliability period, then select one of the options in which de-risking only begins after the reliability period.
If the approach is to reduce the level of risk annually, then select one of the linear de-risking approaches. If the intention is to reduce the level of risk in a few steps to get to the LDIA, then one of the stepped options is likely to be most appropriate. If many steps are anticipated to get from the current allocation to the LDIA, and steps are not as frequent as once every two years, then one of the stepped options should be selected. If the period between steps is 2 years then a judgement will need to be made about whether this should be considered a stepped evolution or a linear evolution with the former being more appropriate if the period to the relevant date is not expected to be many years.
</t>
  </si>
  <si>
    <t xml:space="preserve">
Trustees may provide further information on the progression of the investment strategy through the journey plan. This may include the time-frame, the frequency and level of de-risking, and any metrics that might trigger de-risking to take place.
For example, they may have felt that none of the options available to describe their de-risking approach adequately describe it. In this case, they can add an explanation of what their approach is.  
Also, if they do not think that it would be appropriate for the scheme to get to a low dependency investment allocation by the time they reach the relevant date, they may wish to explain why.
</t>
  </si>
  <si>
    <t xml:space="preserve">
Many schemes will have set target hedge ratios for interest rates and inflation as part of their investment strategy, which includes strategies aligned with their low dependency investment allocation.
We are only asking schemes that have target hedging ratios for their strategy at the relevant date to answer the following five questions.
</t>
  </si>
  <si>
    <t xml:space="preserve">
If the options do not include one which applies to the scheme, trustees will be able to use the 'other' box and provide an explanation of the measure to which the percentage hedging level applies.
</t>
  </si>
  <si>
    <t xml:space="preserve">
This explanation will be available for trustees who have chosen 'other' in the question above.
</t>
  </si>
  <si>
    <t xml:space="preserve">
This is a percentage figure relating to the proportion of the measure selected in the question 'what are the current hedging targets measured as a proportion of?'
For example, if hedging targets at the relevant date are measured as a proportion of 'assets (funded liabilities)' and it is 80% of assets, the answer would be 80%.
</t>
  </si>
  <si>
    <t xml:space="preserve">
A description of how the trustees expect their investment allocation to evolve to achieve the objective of a low dependency investment allocation by the relevant date - at least for the assets backing the low dependency liabilities. We provide some examples below.
Example 1: We are adopting a linear approach, which we anticipate will become consistent with a low dependency investment allocation by duration 10.5. We intend to revise the de-risking trajectory, as required, to achieve this, should investment conditions and other factors vary significantly from those anticipated.
Example 2: We are following a stepped evolution and intend to de-risk whenever the average maturity of liabilities, on a low dependency funding basis, falls below the next integer value – or earlier if there is a 7% or greater improvement in that funding level.  Our modelling indicates that this should enable us to achieve full funding on a low dependency funding basis by the relevant date.
Example 3: The situation for this scheme is that, when the FIS regulations came into force, the funding level was below 60% on a low dependency basis and the average duration of the scheme’s liabilities was around 11 years. The trustees are seeking to address the deficit through a combination of employer support and investment returns. The approach is, therefore, to maintain the current investment strategy in order to achieve the investment returns required to reach full funding on a low dependency basis by the relevant date.
</t>
  </si>
  <si>
    <t xml:space="preserve">
A multiple choice to indicate the method used to determine investment risk at the relevant date. Trustees who select 'other' will be asked to explain the method used. We recommend that trustees are pragmatic in this calculation. 
For example, a calculation which is the same as a value at risk calculation at the valuation date, but with a Low Dependency Investment Allocation would be a reasonable method - i.e. it is not necessary to allow for demographic changes in the scheme up to the relevant date and/or anticipated changes in yield curves or other investment parameters.
</t>
  </si>
  <si>
    <t xml:space="preserve">
If none of TPR FastTrack stress, VaR or CVaR calculation methods are used, please explain what is the method of determining risk. Please include in the explanation any suitable figures (e.g. percentiles), whether the method considers both assets and liabilities and, if the method includes liabilities, on what basis those liabilities are considered.
</t>
  </si>
  <si>
    <t xml:space="preserve">
The answer should depend on whether the stresses are applied to notional assets and liabilities or notional assets (both at the relevant date) only.
We would expect that in most cases the answer will be assets and liabilities, to produce a funding level stress rather than just an asset-only stress.
</t>
  </si>
  <si>
    <t xml:space="preserve">
For value at risk, conditional value at risk and other stresses, if the person completing this is not certain about the actuarial basis used, they should be able to take advice from the scheme actuary on the approach that has been adopted.
</t>
  </si>
  <si>
    <t xml:space="preserve">
Where a value at risk or conditional value at risk approach has been adopted and the liabilities are calculated with reference to swaps, the premium applied to the swaps curve (or spot rate) when calculating the liabilities. If there is no premium applied then enter '0'.
</t>
  </si>
  <si>
    <t xml:space="preserve">
Where a value at risk or conditional value at risk approach or Other approach has been adopted and the liabilities are calculated with reference to 'other', a description of the discount rates when calculating the liabilities.
</t>
  </si>
  <si>
    <t xml:space="preserve">
If it is a value at risk or conditional value at risk calculation, we need the one-tailed percentile. For example, if it is a 1 in 20 stress, this means that there is 5% of the area under the distribution curve below the cut-off point. We would expect this to be expressed as 5%.
</t>
  </si>
  <si>
    <t xml:space="preserve">
Enter a figure in years. For example, if the calculation is at the 5% tail level over a one year period, enter '1'.
</t>
  </si>
  <si>
    <t xml:space="preserve">
We'll need to know the answer to this question for the purposes of asking for the right information.
Whether the expected investment return to be achieved over the long term from the notional investment strategy with no adjustment applied for prudence is expressed as a 'Nominal value' figure or expressed as the 'Margin over the gilt return'.
</t>
  </si>
  <si>
    <t xml:space="preserve">
Enter the margin over gilts expected expressed as %p.a.
</t>
  </si>
  <si>
    <t xml:space="preserve">
This return should be consistent with the objective of a low dependency investment allocation unless there is a good reason why the trustees do not consider it appropriate to intend to invest the assets in line with the LDIA.
</t>
  </si>
  <si>
    <t xml:space="preserve">
Free cash flow (FCF) generated by the employers (and other relevant entity used to determine employer cash flow) after taking into account reasonable operational costs and committed finance costs (for example, utility costs, essential maintenance, staff costs, committed debt service costs) but before deficit repair contributions (DRCs) to the scheme or other reasonable alternative uses of free cash.
</t>
  </si>
  <si>
    <t xml:space="preserve">
Employer’s cash flow means the free cash flow generated by the employer adjusted to take into account reasonable operational and committed finance costs. Where cash flow information is not produced for the employer (or it is not proportionate to produce it for covenant assessment purposes), trustees should work with the employer to find a suitable proxy (for example, earnings before interest, tax, depreciation, and amortisation (EBITDA), profit before tax or consolidated cash flow), adjusted as necessary to best reflect the employer’s cash flow position.
</t>
  </si>
  <si>
    <t xml:space="preserve">
Provide further comments on the trustees' approach to formulating their view on cash flow. Comment on how you aggregated cash flow into your calculation of employer cash flows, and why you have followed this approach.
</t>
  </si>
  <si>
    <t xml:space="preserve">
An optional text box to provide any additional information that the trustees consider relevant relating to cash flow information that is provided to TPR and/or relied upon for the purposes of assessing maximum affordable contributions.
</t>
  </si>
  <si>
    <t xml:space="preserve">
We will ask this question if your scheme is pre-relevant date.
</t>
  </si>
  <si>
    <t xml:space="preserve">
We will ask this question if your scheme is post-relevant date.
</t>
  </si>
  <si>
    <t xml:space="preserve">
In general terms, this involves the employer (and other relevant entity used to determine employer cash flow) using available cash to finance investment in its business. Sustainable growth refers to the growth a business could realistically achieve and maintain without creating a heightened risk of running into difficulty. Please add cash outflow amounts as negative numbers.
</t>
  </si>
  <si>
    <t xml:space="preserve">
This includes ordinary dividends, special dividends and share buybacks. Please add cash outflow amounts as negative numbers.
</t>
  </si>
  <si>
    <t xml:space="preserve">
Employer (and other relevant entity used to determine employer cash flow) payments to other defined benefit schemes. Please add cash outflow amounts as negative numbers.
</t>
  </si>
  <si>
    <t xml:space="preserve">
Including but not limited to:
- other forms of covenant leakage such as intercompany loans that are unlikely to be recovered
- non-arms length management fees
- discretionary payments to other creditors - such as early repayment of bank debt
Please add cash outflow amounts as negative numbers.
</t>
  </si>
  <si>
    <t xml:space="preserve">
We would expect the value of an employer's liquid assets to reflect the value of the employer's assets shown on the balance sheet which can be readily converted into cash after making reasonable adjustments for working capital. Liquid assets can include cash, intercompany debtor balances that relate to pooled or swept cash, credit facilities to the extent these support liquidity requirements, proceeds of debt or equity raises and other liquid assets to the extent that these are on the balance sheet and not already factored into cash.
</t>
  </si>
  <si>
    <t xml:space="preserve">
An optional text box to provide any additional information that the trustees consider relevant relating to alternative uses of employer cash and/or employer liquid assets.
</t>
  </si>
  <si>
    <t xml:space="preserve">
Where providing this discretionary information, this should be limited to [1000] words.
</t>
  </si>
  <si>
    <t xml:space="preserve">
Contingent assets are arrangements that can be put in place to support the level of scheme funding, including in the event of employer insolvency. They can provide valuable support to a scheme that is not otherwise available from the employer or can enhance a scheme’s existing claim against its employer. For example, contingent assets might be relied upon to support funding and investment risk before reaching ‘significant maturity’, or to underpin a longer recovery plan for affordability reasons.
</t>
  </si>
  <si>
    <t xml:space="preserve">
For example, list the guarantee the trustees are placing reliance on. 
A guarantee is a legal agreement between a guarantor and the scheme which provides the latter with legal recourse to a party other than its employer in a pre-defined situation (for example, non-payment of obligations to the scheme by the employer).
</t>
  </si>
  <si>
    <t xml:space="preserve">
For example, list the security arrangements where the trustees are placing reliance on. 
Security arrangements provide schemes with direct security, or a legally binding promise over a tangible or intangible asset, where a monetary value can be assigned.
</t>
  </si>
  <si>
    <t xml:space="preserve">
For example, list the other contingent assets where the trustees are placing reliance on. 
Other contingent assets which are not guarantees of security arrangements can still provide valuable support to a scheme that is not otherwise available from the employer, or can enhance a scheme’s existing claim against its employer. To factor these into the assessment of the covenant available to the scheme, these should be legally enforceable, and sufficient to provide the specified level of support when required.
</t>
  </si>
  <si>
    <t xml:space="preserve">
The total expected realisable value of all contingent assets when called upon, taking account of the scenario the security(s) is/are intended to provide support for. This can be in terms of 'equal to or at least'.
</t>
  </si>
  <si>
    <t xml:space="preserve">
This is the total net present value of any ABC(s).
</t>
  </si>
  <si>
    <t xml:space="preserve">
The purpose of this question is to understand how recent the covenant assessment is. If you are unsure of the specific date, choose a day within that month.
</t>
  </si>
  <si>
    <t xml:space="preserve">
Some schemes may have non-statutory employers with direct funding obligations to the scheme by way of agreement made with those entities or under the provisions of the scheme's trust deed and rules. This differs from contingent asset support, which is considered separately.
</t>
  </si>
  <si>
    <t xml:space="preserve">
Describe any professional qualifications or experience the trustees have that enables them to assess covenant without professional covenant advice.
</t>
  </si>
  <si>
    <t xml:space="preserve">
We will ask for details for up to 5 entities on which covenant reliance is placed (in the question CSI 5.0). If the scheme has more than that, select ‘5’ and provide details for those 5 which provide all or most of the covenant support.
</t>
  </si>
  <si>
    <t xml:space="preserve">
Describe the direct funding obligations to the scheme that these entities have that make it appropriate to place reliance on them.
</t>
  </si>
  <si>
    <t xml:space="preserve">
A multi-employer scheme is a pension scheme that has more than one employer. Schemes may be either segregated or non-segregated. When we refer to a non-associated multi-employer scheme, we refer to the relationship between the scheme's employers which may have no connection other than operating in the same general industry or sector.
</t>
  </si>
  <si>
    <t xml:space="preserve">
The period, in years, over which trustees can be reasonably certain of the employer’s cash flows and its future ability to support the scheme. This can be in terms of 'equal to or at least'.
When assessing the reliability period, trustees should consider the employer's current and forecast cash flows, to the extent that these are available and deemed reasonable, and the employer’s prospects (further guidance is included within the DB funding code).  
Most employers will only have reliability over the short to medium term (three to six years). However, some employers’ reliability periods may extend to the longer term based on employer-specific circumstances.
</t>
  </si>
  <si>
    <t xml:space="preserve">
How long (in years) the trustee can be reasonably certain (based on information available at the time) that the employer will be able to continue to support the scheme. This can be in terms of 'equal to or at least'.  
Covenant longevity will end when trustees do not have reasonable certainty that the employer will be able to continue to support the scheme or where uncertainty over the viability of the employer exists, which could lead to an insolvency or other event that could trigger the crystallisation of the scheme’s solvency deficit. 
We expect that reasonable certainty over the covenant longevity for most employers will not exceed ten years.                     
</t>
  </si>
  <si>
    <t xml:space="preserve">
In determining the adequacy of the employer covenant to support the scheme, we would expect trustees to consider the employer's cash flows and contingent assets. Further guidance on how to assess the covenant is set out in the DB funding code.
</t>
  </si>
  <si>
    <t>SASV-00541</t>
  </si>
  <si>
    <t>SASV-00542</t>
  </si>
  <si>
    <t xml:space="preserve">
If the entity is a UK registered company, enter its unique registration number from Companies House.
</t>
  </si>
  <si>
    <t xml:space="preserve">
Companies are generally associated if one has control of the other or if both are under the control of the same person or group of people. If trustees are unsure as to whether the guarantor is associated with the employer(s), they should consider seeking legal advice.
</t>
  </si>
  <si>
    <t xml:space="preserve">
A 'formal look-through guarantee' enables trustees to claim against the guarantor in respect of all monies owed by the employer to the scheme without restrictions or qualifications once a trigger event has taken place and is structured in such a way that they largely replicate the obligations placed on a statutory employer.
'Look-through guarantees subject to limitation(s)' also enable trustees to claim against the guarantor in a similar way to a 'formal look through guarantee' but are subject to some restrictions or qualifications, for example, limiting the amount that can be claimed. Non look-through guarantees do not have a legal mechanism enabling trustees to look through to the guarantor’s cash flows when setting contributions.
</t>
  </si>
  <si>
    <t>SASV-00545</t>
  </si>
  <si>
    <t xml:space="preserve">
Multiple choice answer setting out details regarding the maturity date of the guarantee. Select 'evergreen' when there is no fixed expiry date. Otherwise, provide the date of maturity, which is when the scheme's legal access to or the term of the guarantee  is due to end. If neither of these options apply, select 'Other'.
</t>
  </si>
  <si>
    <t>SASV-00547</t>
  </si>
  <si>
    <t>SASV-00548</t>
  </si>
  <si>
    <t xml:space="preserve">
If the answer to the maturity date question above is 'Other', describe the maturity date (for example, what drives the maturity).
</t>
  </si>
  <si>
    <t>SASV-00549</t>
  </si>
  <si>
    <t xml:space="preserve">
The amount expected to be realisable from the guarantee. This can be in terms of 'equal to or at least'.
This should take into account the scenarios the security is intended to address, and any keep well agreements or pre-insolvency triggered included. For example, if the guarantee is triggered on an employer's insolvency, this is the amount expected to be recovered from the guarantor in that scenario.
</t>
  </si>
  <si>
    <t>SASV-00550</t>
  </si>
  <si>
    <t xml:space="preserve">
The date as at which the guarantee was valued.
</t>
  </si>
  <si>
    <t xml:space="preserve">
This is the maximum amount payable to the scheme pursuant to the terms of the guarantee when called upon. 
</t>
  </si>
  <si>
    <t>SASV-00552</t>
  </si>
  <si>
    <t xml:space="preserve">
If the answer to the value cap question above is 'Other', describe the value cap.
</t>
  </si>
  <si>
    <t>SASV-00553</t>
  </si>
  <si>
    <t xml:space="preserve">
If insolvency of a participating employer is a circumstance in which the trustees may seek payment from the guarantor under the terms of the guarantee. 
</t>
  </si>
  <si>
    <t>SASV-00554</t>
  </si>
  <si>
    <t xml:space="preserve">
If insolvency of an associated company is a circumstance in which the trustees may seek payment from the guarantor under the terms of the guarantee.
</t>
  </si>
  <si>
    <t>SASV-00555</t>
  </si>
  <si>
    <t xml:space="preserve">
If non-payment of contributions is a circumstance in which the trustees may seek payment from the guarantor under the terms of the guarantee.
</t>
  </si>
  <si>
    <t>SASV-00556</t>
  </si>
  <si>
    <t xml:space="preserve">
If crystallisation of investment risk is a circumstance in which the trustees may seek payment from the guarantor under the terms of the guarantee.
</t>
  </si>
  <si>
    <t>SASV-00557</t>
  </si>
  <si>
    <t xml:space="preserve">
If there are other circumstances in which the trustees may seek payment from the guarantor under the terms of the guarantee.
</t>
  </si>
  <si>
    <t>SASV-00558</t>
  </si>
  <si>
    <t xml:space="preserve">
Specific description of the 'other' circumstances in which the trustees may seek payment from the guarantor under the terms of the guarantee.
</t>
  </si>
  <si>
    <t>SASV-00559</t>
  </si>
  <si>
    <t xml:space="preserve">
The circumstances specified in the guarantee under which the guarantee will terminate or cease to have effect
</t>
  </si>
  <si>
    <t xml:space="preserve">
Any other type of contingent asset that has been provided to the scheme.
</t>
  </si>
  <si>
    <t>SASV-00577</t>
  </si>
  <si>
    <t xml:space="preserve">
Specific description of the contingent asset provided to the scheme, including the name of the entity providing it.
</t>
  </si>
  <si>
    <t xml:space="preserve">
Multiple choice answer setting out details regarding the maturity date of the asset. Select 'Evergreen' when there is no fixed expiry date. Otherwise, provide the date of maturity, which is when the scheme's legal access to the contingent asset or the term of the contingent asset agreement is due to end. If neither of these options apply, select 'Other'.
</t>
  </si>
  <si>
    <t>SASV-00579</t>
  </si>
  <si>
    <t>SASV-00580</t>
  </si>
  <si>
    <t xml:space="preserve">
If the answer to the maturity type question above is 'Other', describe the maturity date (for example, what drives the maturity).
</t>
  </si>
  <si>
    <t>SASV-00581</t>
  </si>
  <si>
    <t xml:space="preserve">
The amount expected to be realisable from the contingent asset. This can be in terms of 'equal to or at least'. This should take into account of the scenarios the contingent asset is intended to address. For example, if the security is triggered on an employer's insolvency, this is the amount expected to be recovered in that scenario.
</t>
  </si>
  <si>
    <t>SASV-00582</t>
  </si>
  <si>
    <t xml:space="preserve">
The date as at which the contingent asset was valued.
</t>
  </si>
  <si>
    <t xml:space="preserve">
The maximum amount payable to the scheme pursuant to the terms of the contingent asset agreement.
</t>
  </si>
  <si>
    <t>SASV-00584</t>
  </si>
  <si>
    <t>SASV-00585</t>
  </si>
  <si>
    <t xml:space="preserve">
If insolvency of a participating employer is a circumstance in which the trustees may seek payment under the terms of the contingent asset agreement.
</t>
  </si>
  <si>
    <t>SASV-00586</t>
  </si>
  <si>
    <t xml:space="preserve">
If insolvency of an associated company is a circumstance in which the trustees may seek payment under the terms of the contingent asset agreement.
</t>
  </si>
  <si>
    <t>SASV-00587</t>
  </si>
  <si>
    <t xml:space="preserve">
If non-payment of contributions is a circumstance in which the trustees may seek payment under the terms of the contingent asset agreement.
</t>
  </si>
  <si>
    <t>SASV-00588</t>
  </si>
  <si>
    <t xml:space="preserve">
If crystallisation of investment risk is a circumstance in which the trustees may seek payment under the terms of the contingent asset agreement.
</t>
  </si>
  <si>
    <t>SASV-00589</t>
  </si>
  <si>
    <t xml:space="preserve">
If there are other circumstances in which the trustees may seek payment under the terms of the contingent asset agreement.
</t>
  </si>
  <si>
    <t>SASV-00590</t>
  </si>
  <si>
    <t xml:space="preserve">
Specific description of the 'other' circumstances in which the trustees may seek payment under the terms of the contingent asset agreement.
</t>
  </si>
  <si>
    <t>SASV-00591</t>
  </si>
  <si>
    <t xml:space="preserve">
The circumstances specified in the contingent asset agreement under which the agreement will terminate or cease to have effect.
</t>
  </si>
  <si>
    <t xml:space="preserve">
The type of asset underlying the ABC arrangement.
</t>
  </si>
  <si>
    <t>SASV-00593</t>
  </si>
  <si>
    <t xml:space="preserve">
Specific details of the asset underlying the ABC arrangement.
</t>
  </si>
  <si>
    <t xml:space="preserve">
Confirm the form in which the term of the ABC arrangement will come to an l end. If it doesn't have a fixed end date then, select 'other'.
</t>
  </si>
  <si>
    <t>SASV-00595</t>
  </si>
  <si>
    <t xml:space="preserve">
This is the date as at which the ABC arrangement is due to end.
</t>
  </si>
  <si>
    <t>SASV-00596</t>
  </si>
  <si>
    <t>SASV-00597</t>
  </si>
  <si>
    <t xml:space="preserve">
The value that has been attributed to the ABC in the assets reported in the scheme report and accounts as at the effective date of the valuation.  If the scheme report and accounts does not include the value of the ABC, please provide the latest valuation of the ABC.
</t>
  </si>
  <si>
    <t>SASV-00598</t>
  </si>
  <si>
    <t xml:space="preserve">
Date as at which the net present value (NPV) of the income stream to the scheme has been calculated.
</t>
  </si>
  <si>
    <t>SASV-00600</t>
  </si>
  <si>
    <t xml:space="preserve">
The estimated value of the asset underlying the ABC arrangement in an insolvency scenario. This can be in terms of 'equal to or at least'.
</t>
  </si>
  <si>
    <t>SASV-00601</t>
  </si>
  <si>
    <t xml:space="preserve">
The date as at which the value of the asset underlying the ABC was assessed. This can be in terms of 'equal to or at least'.
</t>
  </si>
  <si>
    <t xml:space="preserve">
The expected income stream expected to be received annually by the scheme from the ABC arrangement, starting from the effective date of the actuarial valuation to which the statement of strategy relates.
</t>
  </si>
  <si>
    <t xml:space="preserve">
Please note that letters of credit, bank guarantees, surety bonds and contingent funding mechanisms are covered in the 'Other assets' section.
</t>
  </si>
  <si>
    <t>SASV-00561</t>
  </si>
  <si>
    <t xml:space="preserve">
Specific details of the underlying asset over which the security has been provided.
</t>
  </si>
  <si>
    <t xml:space="preserve">
Multiple choice answer setting out details regarding the maturity date of the security. Select 'evergreen' when there is no fixed expiry date. Otherwise, provide the date of maturity, which is when the scheme's legal access to the security or the term of the security arrangement is due to end. If neither of these options apply, select 'other'.
</t>
  </si>
  <si>
    <t>SASV-00563</t>
  </si>
  <si>
    <t>SASV-00564</t>
  </si>
  <si>
    <t xml:space="preserve">
If the answer to the maturity date query above is 'Other', include some narrative related to the maturity date or likely maturity date of the contingent asset.
</t>
  </si>
  <si>
    <t>SASV-00565</t>
  </si>
  <si>
    <t xml:space="preserve">
The amount expected to be realisable under the security arrangement. This can be in terms of 'equal to or at least'.
This should take into account the scenarios the security is intended to address. For example, if the security is triggered on an employer's insolvency, this is the amount expected to be recovered in that scenario.     
</t>
  </si>
  <si>
    <t>SASV-00566</t>
  </si>
  <si>
    <t xml:space="preserve">
The date as at which the value of the security has been assessed.
</t>
  </si>
  <si>
    <t xml:space="preserve">
This is the maximum amount payable to the scheme pursuant to the terms of the security agreement when called upon.
</t>
  </si>
  <si>
    <t>SASV-00568</t>
  </si>
  <si>
    <t>SASV-00569</t>
  </si>
  <si>
    <t xml:space="preserve">
If insolvency of a participating employer is a circumstance in which the trustees may seek to enforce the security provided under the terms of the agreement.
</t>
  </si>
  <si>
    <t>SASV-00570</t>
  </si>
  <si>
    <t xml:space="preserve">
If insolvency of an associated company is a circumstance in which the trustees may seek to enforce the security provided under the terms of the agreement.
</t>
  </si>
  <si>
    <t>SASV-00571</t>
  </si>
  <si>
    <t xml:space="preserve">
If non-payment of contributions is a circumstance in which the trustees may seek to enforce the security provided under the terms of the agreement.
</t>
  </si>
  <si>
    <t>SASV-00572</t>
  </si>
  <si>
    <t xml:space="preserve">
If crystallisation of investment risk is a circumstance in which the trustees may seek to enforce the security provided under the terms of the agreement.
</t>
  </si>
  <si>
    <t>SASV-00573</t>
  </si>
  <si>
    <t xml:space="preserve">
If there are other circumstances in which the trustees may seek to enforce the security provided under the terms of the agreement.
</t>
  </si>
  <si>
    <t>SASV-00574</t>
  </si>
  <si>
    <t xml:space="preserve">
Specific description of the 'other' circumstances in which the trustees may seek to enforce the security provided under the terms of the agreement.
</t>
  </si>
  <si>
    <t>SASV-00575</t>
  </si>
  <si>
    <t xml:space="preserve">
The circumstances specified in the security agreement under which the agreement will be terminated or will cease to have effect.
</t>
  </si>
  <si>
    <t xml:space="preserve">
Over the 'reliability period', what your view is on the aggregate level of maximum affordable contributions your employer(s) could afford to pay to your scheme after taking into account reasonable adjustments for alternative uses of cash as well as deficit-repair contributions to your scheme and other defined benefit schemes supported by the employer(s).
</t>
  </si>
  <si>
    <t xml:space="preserve">
This should include details of the trustees' assessment of the covenant and the level of supportable risk over the reliability period, including key assumptions and financial information (for example, cash flow, guarantee or other contingent assets relied upon).
</t>
  </si>
  <si>
    <t xml:space="preserve">
This should include details of how the trustees have assessed the employer’s current and future cash flow to determine the maximum affordable contributions over the employer’s reliability period and  key underlying assumptions.
</t>
  </si>
  <si>
    <t xml:space="preserve">
This single yield should be the underlying yield for which the overall discount rate is determined. For example, if schemes use a discount rate approach that is equivalent to gilts + 1% p.a., the figure should be the appropriate gilt yield.
If the discount rate is not derived by reference to an underlying figure, this can be entered as 0.
</t>
  </si>
  <si>
    <t xml:space="preserve">
For schemes with multiple horizon dates and various premiums applying to those different periods, for example, linear de-risking, stepped de-risking approaches, please use the date that the last horizon period ends and calculate the 'average' addition/premium over the whole period from the valuation date to the end horizon date.
</t>
  </si>
  <si>
    <t xml:space="preserve">
For schemes with multiple horizon dates and various premiums applying to those different periods, for example, linear de-risking, stepped de-risking approaches, please use the date that the last horizon period ends and calculate the 'average' addition/premium over the whole period from the valuation date to the end horizon date.  
This figure added to any underlying yield provided should equal the total discount rate.
For schemes that have followed a horizon or multiple horizon discount rate methodology but have not given values for an underlying spot rate then please enter the total discount rate.
For schemes which have provided underlying yields or spot rates we simply request the discount rate premium above these.
</t>
  </si>
  <si>
    <t xml:space="preserve">
This figure added to any underlying yield provided should equal the total discount rate in the calculation of the low dependency liabilities.
For schemes that have not given values for an underlying spot rate then please enter the total low dependency discount rate.
For schemes which have provided underlying yields or spot rates we simply request the low dependency discount rate premium above these.
</t>
  </si>
  <si>
    <t xml:space="preserve">
For schemes adopting a single equivalent approach, we request the premium to the underlying yield that has been used to determine the discount rate.
For schemes following a dynamic discount rate or other discount rate approach, we request the premium is calculated as the difference between the single equivalent discount rate and the underlying spot yield on a technical provisions basis.
This figure, added to any underlying yield, should equal the total discount rate. Therefore, for schemes that have not given values for an underlying spot rate, please enter the total discount rate.
For schemes which have provided underlying spot rates, we simply request the discount rate premium above these.
</t>
  </si>
  <si>
    <t xml:space="preserve">
The premium applied to the yield curve for post-retirement discount rate with respect to the technical provisions discount rates. 
This figure, added to any underlying yield, should equal the total discount rate. 
For schemes that have not given values for an underlying spot rate or yields, please enter the total discount rate. 
For schemes which have provided underlying yields or spot rates, we simply request the discount rate premium above these. 
</t>
  </si>
  <si>
    <t xml:space="preserve">
The premium applied to the yield curve for the current pensioner discount rate with respect to the technical provisions discount rates.
This figure, added to any underlying yield, should equal the total discount rate. 
For schemes that have not given values for an underlying spot rate or yields, please enter the total discount rate. 
For schemes which have provided underlying yields or spot rates, we simply request the discount rate premium above these.  
</t>
  </si>
  <si>
    <t xml:space="preserve">
The technical provisions funding level is the scheme assets divided by the liabilities, calculated on a technical provisions basis. The answer is expressed as a percentage.
</t>
  </si>
  <si>
    <t xml:space="preserve">
We'll need to know whether these provisions apply for the purposes of applying the cash balance exemption.
</t>
  </si>
  <si>
    <t xml:space="preserve">
We need to know whether allowance has been made for pensions to be commuted for tax free cash on retirement within the calculation of technical provisions. This is only when pension is commuted for cash lump sums (it is not including allowances for cash benefits paid separately/in addition).
</t>
  </si>
  <si>
    <t xml:space="preserve">
For those schemes who make allowance for cash commutation, given the variety of commutation factors that might be applied in the valuation, we simply ask for the impact (increase) in the value technical provisions if no allowance for commutation was made.
</t>
  </si>
  <si>
    <t xml:space="preserve">
The expected age of death for male members aged 65 at the valuation date.  
This should be calculated using the mortality assumptions used in the calculation of the pensioner liabilities for the technical provisions.  
Where individual mortality assumptions are applied to each member when calculating the technical provisions, we expect this answer to be in line with the mortality assumption which best represents the male pensioner cohort as a whole. 
</t>
  </si>
  <si>
    <t xml:space="preserve">
The expected age of death for female members aged 65 at the valuation date.  
This should be calculated using the mortality assumptions used in the calculation of the pensioner liabilities for the technical provisions.  
Where individual mortality assumptions are applied to each member when calculating the technical provisions, we expect this answer to be in line with the mortality assumption which best represents the female pensioner cohort as a whole.
</t>
  </si>
  <si>
    <t xml:space="preserve">
The expected future age of death for male members currently aged 45 at the valuation date, when they reach age 65. For these purposes assume that the member survives to age 65 (i.e. make no allowance for pre retirement mortality between the ages of 45 and 65).
This should be calculated using the mortality assumptions used in the calculation of the technical provisions.  
Where individual mortality assumptions are applied to each member when calculating the technical provisions, we expect this answer to be in line with the mortality assumption which best represents the Male non-pensioner cohort as a whole.
</t>
  </si>
  <si>
    <t xml:space="preserve">
The expected future age of death for female members currently aged 45 at the valuation date, when they reach age 65. For these purposes assume that the member survives to age 65 (i.e. make no allowance for pre retirement mortality between the ages of 45 and 65).
This should be calculated using the mortality assumptions used in the calculation of the technical provisions.  
Where individual mortality assumptions are applied to each member when calculating the technical provisions, we expect this answer to be in line with the mortality assumption which best represents the Female non-pensioner cohort as a whole.
</t>
  </si>
  <si>
    <t xml:space="preserve">
We need to know if the technical provisions basis is the same as the low dependency basis in all respects (i.e. whether all financial and demographic assumptions are the same). This is for the purposes of determining the appropriate wording in this section of the statement of strategy.
</t>
  </si>
  <si>
    <t xml:space="preserve">
We'll need to know the answer to this question for the purposes of determining the appropriate wording in this section of the statement of strategy.
Exclude any discount rate premiums applied when determining whether the same underlying yield curve is used for both technical provisions and the low dependency liabilities.
</t>
  </si>
  <si>
    <t xml:space="preserve">
We'll need to know the answer to this question for the purposes of determining the appropriate wording in this section of the statement of strategy.
Include all other financial assumptions and all demographic assumptions when answering this question.
</t>
  </si>
  <si>
    <t xml:space="preserve">
List any assumptions which are different and in each case briefly explain the differences.
</t>
  </si>
  <si>
    <t>SASV-00658</t>
  </si>
  <si>
    <t xml:space="preserve">
If the entity is a UK registered charity, provide its unique registration number from the relevant charity commission.
</t>
  </si>
  <si>
    <t>SASV-00659</t>
  </si>
  <si>
    <t xml:space="preserve">
This is the name the entity uses in its day-to-day business, which might differ from its legal name.
</t>
  </si>
  <si>
    <t>SASV-00648</t>
  </si>
  <si>
    <t xml:space="preserve">
Provide the official name of the entity as it appears on legal documents.
</t>
  </si>
  <si>
    <t>SASV-00649</t>
  </si>
  <si>
    <t>SASV-00650</t>
  </si>
  <si>
    <t>SASV-00651</t>
  </si>
  <si>
    <t>SASV-00652</t>
  </si>
  <si>
    <t>SASV-00653</t>
  </si>
  <si>
    <t>SASV-00654</t>
  </si>
  <si>
    <t>SASV-00655</t>
  </si>
  <si>
    <t>SASV-00656</t>
  </si>
  <si>
    <t>SASV-00657</t>
  </si>
  <si>
    <t xml:space="preserve">
Describe the main risks faced by the trustees in implementing the funding and investment strategy and any management or mitigation plans. We would expect the detail provided by the trustees to reflect the level and complexity of the risk being taken
</t>
  </si>
  <si>
    <t xml:space="preserve">
An optional narrative description of additional details regarding the funding journey plan, for those schemes that have not yet reached relevant date, or long-term funding strategy for those schemes that have. We expect that most trustees will not need to provide further commentary as the standard wording in the proposed statement of strategy template will be sufficient.
</t>
  </si>
  <si>
    <t xml:space="preserve">
The percentage of growth assets that the trustees are targeting within their investments at the relevant date.
Any target allocations which cannot justifiably be included in matching assets should be included in growth assets, so it is worth reading the guidance on matching assets first.
However, in essence growth assets are assets which are not cash and money market instruments and do not have stable and predictable cash flows (in either nominal or real terms). Examples are: equity portfolios, absolute return funds, other hedge funds, most property assets and many infrastructure assets. Cash and money market instruments need not be included here even though it may be argued that their cash flows are uncertain.
Note that, even if a hedge fund is based on bonds, because the constituents within the fund are not used for matching purposes, they should not be classed as matching assets. There are other bond portfolios, some or all of which should not be included here. These could be due to duration mismatching, high use of active management, highly uncertain cash flows (for example, because of very low credit ratings or currency mismatching) or other reasons which make it hard to justify the inclusion of some or all of a bond portfolio as a matching asset.
Where derivatives which are linked to growth assets are included within the intended investment allocation at the relevant date, allowance should be made for the exposures to growth and matching asset categories created by those derivatives (and whether positive or negative).
</t>
  </si>
  <si>
    <t xml:space="preserve">
The percentage of matching assets that the trustees are targeting within their investments at the relevant date.
Matching assets are either cash and money market instruments or assets with fixed or inflation-linked cash flows which have a high degree of certainty. Examples include fixed interest gilts, index-linked gilts and sterling-denominated investment grade corporate bonds.
In relation to derivatives, as stated in the guidance for growth assets, the general principles to be followed  is to consider the anticipated exposures to growth and matching assets of any derivatives (rather than their values).  Derivatives which provide exposure to nominal or real interest rates (including gilt repos) to help match the liabilities of the scheme may be included to the value of the derivative, rather than the exposure.  This may, at first, sound odd, but it allows for the offsetting of a cash position against an exposure to a matching asset.
Other types of assets may be included where they still provide stable and predictable (fixed or inflation-linked) cash flows. These could, for example, include property or infrastructure assets which have been constructed to provide stable cash flows and where there is no uncertainty in timing and/or amount of sale proceeds provided that there are no defaults. While we would expect matching assets to be heavily weighted towards investment grade assets, some sub-investment grade bonds may also be included as matching assets.
Where pension schemes invest in multi-asset pooled funds, there may be elements of the pooled funds which are matching in nature. If the proportions of these assets are:
- fairly static (so that the actual split within the pooled funds gives a reasonable indication of the strategic split); and
- the fund is exposed to the beta of those asset classes (so that there is a consistent beta exposure)
it would be acceptable to consider the notional investment allocation to include those allocations.
Where the notional investment strategy includes an allocation to DGFs within which the allocations are static in nature, whilst it can be argued that even the bonds within the fund are there for return-seeking reasons rather than for matching, we will allow up to 20% of the allocation to be considered matching in nature.
</t>
  </si>
  <si>
    <t xml:space="preserve">
Where trustees do not expect there to be any surplus over and above the minimum funding level at the relevant date, or expect that any such surplus investments would be invested in accordance with the objective of low dependency investment allocation, the answer should be 'No'.
</t>
  </si>
  <si>
    <t xml:space="preserve">
The percentage of growth assets that the trustees are targeting within their investments at the relevant date. 
Any target allocations which cannot justifiably be included in matching assets should be included in growth assets, so it is worth reading the guidance on matching assets first.
However, in essence growth assets are assets which are not cash and money market instruments and do not have stable and predictable cash flows (in either nominal or real terms). Examples include equity portfolios, absolute return funds, other hedge funds, most property assets and many infrastructure assets. Cash and money market instruments need not be included here even though it may be argued that their cash flows are uncertain.
Note that, even if a hedge fund is based on bonds, because the constituents within the fund are not used for matching purposes, they should not be classed as matching assets. There are other bond portfolios, some or all of which should not be included here. These could be due to duration mismatching, high use of active management, highly uncertain cash flows (for example, because of very low credit ratings or currency mismatching) or other reasons which make it hard to justify the inclusion of some or all of a bond portfolio as a matching asset.
Where derivatives which are linked to growth assets are included within the intended investment allocation at the relevant date, allowance should be made for the exposures to growth and matching asset categories created by those derivatives (and whether positive or negative).
</t>
  </si>
  <si>
    <t xml:space="preserve">
The level of matching assets that the trustees are targeting at the relevant date for any surplus investments.
Matching assets are either cash and money market instruments or assets with fixed or inflation-linked cash flows which have a high degree of certainty. Examples include fixed interest gilts, index-linked gilts and sterling-denominated investment grade corporate bonds.
In relation to derivatives, as stated in the guidance for growth assets, the general principles to be followed is to consider the anticipated exposures to growth and matching assets of any derivatives (rather than their values). Derivatives which provide exposure to nominal or real interest rates (including gilt repos) to help match the liabilities of the scheme may be included to the value of the derivative, rather than the exposure.  This may, at first, sound odd, but it allows for the offsetting of a cash position against an exposure to a matching asset.
Other types of assets may be included where they still provide stable and predictable (fixed or inflation-linked) cash flows. These could, for example, include property or infrastructure assets which have been constructed to provide stable cash flows and where there is no uncertainty in timing and/or amount of sale proceeds provided that there are no defaults. While we would expect matching assets to be heavily weighted towards investment grade assets, some sub-investment grade bonds may also be included as matching assets.
Where pension schemes invest in multi-asset pooled funds, there may be elements of the pooled funds which are matching in nature. If the proportions of these assets are:
- fairly static (so that the actual split within the pooled funds gives a reasonable indication of the strategic split); and
- the fund is exposed to the beta of those asset classes (so that there is a consistent beta exposure)
it would be acceptable to consider the notional investment allocation to include those allocations.
Where the notional investment strategy includes an allocation to DGFs within which the allocations are static in nature, whilst it can be argued that even the bonds within the fund are there for return-seeking reasons rather than for matching, we will allow up to 20% of the allocation to be considered matching in nature.
</t>
  </si>
  <si>
    <t xml:space="preserve">
A description of how the trustees expect the assumptions used to calculate the technical provisions will change over time. For schemes that have not yet reached their relevant date, we expect this to illustrate how the assumptions used to calculate the technical provisions will move to be consistent with full funding on a low dependency funding basis by the relevant date.
</t>
  </si>
  <si>
    <t xml:space="preserve">
The date at which the scheme is expected to reach significant maturity, which is defined by reference to duration in years as defined by The Pensions Regulator.
</t>
  </si>
  <si>
    <t xml:space="preserve">
Comment on the risks or limiting factors that drove your consideration around the reliability and longevity periods. For example, the length of forecasts available, whether they are considered reasonable and any relevant risks over to short-medium-long term to which the employers' guarantor and the wider industry are exposed to. This commentary is particularly relevant if the trustees reached a conclusion on the reliability period being longer than three to six years, and or the covenant longevity being longer than ten years or both.
</t>
  </si>
  <si>
    <t xml:space="preserve">
Entities considered when determining employer cash flows could include statutory employers, non-statutory employers or guarantors. We will ask for details for up to 5 entities. If the scheme has more than that, select ‘5’ and provide details for those 5 which you consider most relevant for determining employer cash flows.
</t>
  </si>
  <si>
    <t>Blank guidance cells</t>
  </si>
  <si>
    <t>Guidance is not required for this question.</t>
  </si>
  <si>
    <t xml:space="preserve">
Schemes which meet the small scheme definition and follow a Bespoke approach have the option to provide scheme benefit cash flow information if they wish. All other Bespoke schemes must provide this information.
Schemes following a Fast Track approach do not need to provide scheme benefit cash flow information.
</t>
  </si>
  <si>
    <t xml:space="preserve">
We'll need to know the answer to this question for the purposes of determining the appropriate wording in this section of the statement of strategy.
Insured benefits are benefits that are paid to members who have their benefits secured with insurance companies.
</t>
  </si>
  <si>
    <t xml:space="preserve">This worksheet collects data and information relating to the scheme’s current level of investment risk in the scheme’s notional investment allocation.
There are four tables on this worksheet, including this one. Each table is positioned one below the other with blank rows between them.
Columns on this worksheet:
- A: the unique question number.
- B: the question.
- C: the answer.
- D: an error message appears here if there has been an error.
- E: guidance on how to answer the question.
- F: a place for you to annotate questions and answers for those checking the spreadsheet. This is not for The Pensions Regulator (TPR), and you must delete the notes from the final worksheet before submitting the spreadsheet.
Work through questions in sequence. Questions you answer earlier in the worksheet will determine the questions you are asked later.
Determine the level of investment risk as at the valuation effective date.
Throughout this section, we are asking for information about the 'notional investment allocation'. Where the trustees choose an investment strategy for the purposes of deriving and supporting actuarial assumptions, we refer to this as a 'notional investment allocation'. For example, the current notional investment allocation refers to the investment strategy used to support the scheme's current funding assumptions. For all schemes post-relevant date, we would expect the information in this section to describe the scheme’s low dependency investment allocation (LDIA), as we would expect the funding basis to be based on that strategy.
We expect that, for most schemes, the actual investment allocation will be the same as, or similar to, the scheme's notional investment allocation. </t>
  </si>
  <si>
    <t>A</t>
  </si>
  <si>
    <t>Scheme-valuation_Statement_of_strategy_2024_2</t>
  </si>
  <si>
    <t xml:space="preserve">
The percentage drop in funding level for the level of risk based on the scheme’s notional investment strategy applied to the total scheme assets on the valuation date. This is calculated according to the Fast Track stress test parameters.
Provide the figure found from the calculation:
1 minus 
minimum (Fast Track TP parameter, stressed funding level)
divided by
minimum (Fast Track TP parameter, unstressed funding level)
</t>
  </si>
  <si>
    <t xml:space="preserve">
Enter 8 characters in one of the following sequences:
• 8 numbers (for example, 12345678).
• 2 letters followed by 6 numbers (for example, AB123456).
• 1 letter followed by 7 numbers (for example, A1234567).
• 2 letters, 5 numbers and 1 letter (for example, AB123456C).
• 2 letters, 4 numbers and 2 letters (for example, AB1234CD).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</si>
</sst>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7" formatCode="&quot;£&quot;#,##0.00;\-&quot;£&quot;#,##0.00"/>
    <numFmt numFmtId="8" formatCode="&quot;£&quot;#,##0.00;[Red]\-&quot;£&quot;#,##0.00"/>
    <numFmt numFmtId="164" formatCode="&quot;£&quot;#,##0.00"/>
    <numFmt numFmtId="165" formatCode="dd/mm/yyyy;@"/>
    <numFmt numFmtId="166" formatCode="0.0"/>
    <numFmt numFmtId="167" formatCode="&quot;£&quot;#,##0"/>
    <numFmt numFmtId="168" formatCode="[$-F800]dddd\,\ mmmm\ dd\,\ yyyy"/>
    <numFmt numFmtId="169" formatCode="0.00##%"/>
  </numFmts>
  <fonts count="64">
    <font>
      <sz val="12"/>
      <color rgb="FF000000"/>
      <name val="Arial"/>
      <family val="2"/>
    </font>
    <font>
      <sz val="12"/>
      <color rgb="FF9C0006"/>
      <name val="Arial"/>
      <family val="2"/>
    </font>
    <font>
      <sz val="12"/>
      <color rgb="FF9C5700"/>
      <name val="Arial"/>
      <family val="2"/>
    </font>
    <font>
      <sz val="12"/>
      <color rgb="FF000000"/>
      <name val="Arial"/>
      <family val="2"/>
    </font>
    <font>
      <sz val="10"/>
      <color rgb="FF000000"/>
      <name val="Arial"/>
      <family val="2"/>
    </font>
    <font>
      <u/>
      <sz val="12"/>
      <color rgb="FF006EBC"/>
      <name val="Arial"/>
      <family val="2"/>
    </font>
    <font>
      <sz val="11"/>
      <color rgb="FF9C5700"/>
      <name val="Calibri"/>
      <family val="2"/>
    </font>
    <font>
      <b/>
      <sz val="14"/>
      <name val="Arial"/>
      <family val="2"/>
    </font>
    <font>
      <b/>
      <sz val="12"/>
      <name val="Arial"/>
      <family val="2"/>
    </font>
    <font>
      <sz val="12"/>
      <name val="Arial"/>
      <family val="2"/>
    </font>
    <font>
      <sz val="11"/>
      <name val="Arial"/>
      <family val="2"/>
    </font>
    <font>
      <sz val="8"/>
      <name val="Arial"/>
      <family val="2"/>
    </font>
    <font>
      <b/>
      <sz val="18"/>
      <name val="Arial"/>
      <family val="2"/>
    </font>
    <font>
      <b/>
      <sz val="18"/>
      <color rgb="FF9C0006"/>
      <name val="Arial"/>
      <family val="2"/>
    </font>
    <font>
      <sz val="12"/>
      <name val="Arial"/>
      <family val="2"/>
      <scheme val="major"/>
    </font>
    <font>
      <sz val="12"/>
      <name val="Calibri"/>
      <family val="2"/>
    </font>
    <font>
      <u/>
      <sz val="12"/>
      <name val="Arial"/>
      <family val="2"/>
    </font>
    <font>
      <b/>
      <sz val="12"/>
      <color rgb="FFA91717"/>
      <name val="Arial"/>
      <family val="2"/>
    </font>
    <font>
      <b/>
      <sz val="12"/>
      <color theme="0"/>
      <name val="Arial"/>
      <family val="2"/>
    </font>
    <font>
      <b/>
      <u/>
      <sz val="14"/>
      <color rgb="FF006EBC"/>
      <name val="Arial"/>
      <family val="2"/>
    </font>
    <font>
      <b/>
      <u/>
      <sz val="12"/>
      <color rgb="FF006EBC"/>
      <name val="Arial"/>
      <family val="2"/>
    </font>
    <font>
      <sz val="20"/>
      <name val="Arial"/>
      <family val="2"/>
      <scheme val="major"/>
    </font>
    <font>
      <sz val="12"/>
      <color rgb="FFD9D9D9"/>
      <name val="Arial"/>
      <family val="2"/>
    </font>
    <font>
      <sz val="14"/>
      <name val="Arial"/>
      <family val="2"/>
    </font>
    <font>
      <sz val="9"/>
      <color indexed="81"/>
      <name val="Tahoma"/>
      <family val="2"/>
    </font>
    <font>
      <b/>
      <sz val="9"/>
      <color indexed="81"/>
      <name val="Tahoma"/>
      <family val="2"/>
    </font>
    <font>
      <b/>
      <sz val="10"/>
      <color rgb="FF000000"/>
      <name val="Arial"/>
      <family val="2"/>
    </font>
    <font>
      <i/>
      <sz val="10"/>
      <name val="Arial"/>
      <family val="2"/>
    </font>
    <font>
      <sz val="12"/>
      <color rgb="FF474747"/>
      <name val="Arial"/>
      <family val="2"/>
      <scheme val="major"/>
    </font>
    <font>
      <sz val="11"/>
      <color rgb="FF242424"/>
      <name val="Aptos Narrow"/>
      <family val="2"/>
    </font>
    <font>
      <sz val="16"/>
      <color rgb="FF000000"/>
      <name val="Arial"/>
      <family val="2"/>
    </font>
    <font>
      <b/>
      <sz val="18"/>
      <color rgb="FF000000"/>
      <name val="Arial"/>
      <family val="2"/>
    </font>
    <font>
      <b/>
      <sz val="16"/>
      <color rgb="FF000000"/>
      <name val="Arial"/>
      <family val="2"/>
    </font>
    <font>
      <sz val="11"/>
      <color rgb="FF000000"/>
      <name val="Arial"/>
      <family val="2"/>
    </font>
    <font>
      <sz val="14"/>
      <color rgb="FF000000"/>
      <name val="Arial"/>
      <family val="2"/>
    </font>
    <font>
      <b/>
      <sz val="14"/>
      <color rgb="FF000000"/>
      <name val="Arial"/>
      <family val="2"/>
    </font>
    <font>
      <i/>
      <sz val="12"/>
      <color rgb="FF000000"/>
      <name val="Arial"/>
      <family val="2"/>
    </font>
    <font>
      <sz val="11"/>
      <color rgb="FFFFC000"/>
      <name val="Arial"/>
      <family val="2"/>
    </font>
    <font>
      <b/>
      <sz val="12"/>
      <color rgb="FFFF0000"/>
      <name val="Arial"/>
      <family val="2"/>
    </font>
    <font>
      <b/>
      <sz val="12"/>
      <color rgb="FF000000"/>
      <name val="Arial"/>
      <family val="2"/>
    </font>
    <font>
      <i/>
      <sz val="12"/>
      <name val="Arial"/>
      <family val="2"/>
    </font>
    <font>
      <sz val="12"/>
      <name val="Calibri"/>
      <family val="2"/>
    </font>
    <font>
      <sz val="12"/>
      <name val="Calibri"/>
      <family val="2"/>
    </font>
    <font>
      <sz val="12"/>
      <name val="Calibri"/>
      <family val="2"/>
    </font>
    <font>
      <strike/>
      <sz val="12"/>
      <color rgb="FF000000"/>
      <name val="Arial"/>
      <family val="2"/>
    </font>
    <font>
      <strike/>
      <sz val="12"/>
      <name val="Arial"/>
      <family val="2"/>
    </font>
    <font>
      <sz val="12"/>
      <color rgb="FF000000"/>
      <name val="Arial"/>
      <family val="2"/>
      <scheme val="major"/>
    </font>
    <font>
      <sz val="12"/>
      <color theme="5"/>
      <name val="Arial"/>
      <family val="2"/>
    </font>
    <font>
      <b/>
      <sz val="14"/>
      <color theme="5"/>
      <name val="Arial"/>
      <family val="2"/>
    </font>
    <font>
      <sz val="10"/>
      <color rgb="FF242424"/>
      <name val="Arial Unicode MS"/>
    </font>
    <font>
      <sz val="12"/>
      <color rgb="FFA91717"/>
      <name val="Arial"/>
      <family val="2"/>
    </font>
    <font>
      <sz val="12"/>
      <color rgb="FF242424"/>
      <name val="Arial"/>
      <family val="2"/>
    </font>
    <font>
      <b/>
      <sz val="11"/>
      <color rgb="FF000000"/>
      <name val="Arial"/>
      <family val="2"/>
    </font>
    <font>
      <sz val="8"/>
      <color rgb="FF000000"/>
      <name val="Arial"/>
      <family val="2"/>
    </font>
    <font>
      <sz val="12"/>
      <color theme="0"/>
      <name val="Arial"/>
      <family val="2"/>
    </font>
    <font>
      <sz val="12"/>
      <color rgb="FF242424"/>
      <name val="Arial"/>
      <family val="2"/>
      <scheme val="major"/>
    </font>
    <font>
      <sz val="12"/>
      <name val="Calibri"/>
      <family val="2"/>
    </font>
    <font>
      <sz val="8"/>
      <color rgb="FF424242"/>
      <name val="Inherit"/>
    </font>
    <font>
      <sz val="12"/>
      <name val="Calibri"/>
      <family val="2"/>
    </font>
    <font>
      <sz val="12"/>
      <name val="Arial"/>
      <family val="2"/>
      <scheme val="minor"/>
    </font>
    <font>
      <sz val="12"/>
      <color rgb="FF242424"/>
      <name val="Arial"/>
      <family val="2"/>
      <scheme val="minor"/>
    </font>
    <font>
      <b/>
      <sz val="20"/>
      <color rgb="FF000000"/>
      <name val="Arial"/>
      <family val="2"/>
    </font>
    <font>
      <sz val="12"/>
      <color rgb="FF424242"/>
      <name val="Arial"/>
      <family val="2"/>
      <scheme val="major"/>
    </font>
    <font>
      <b/>
      <sz val="11"/>
      <name val="Arial"/>
      <family val="2"/>
    </font>
  </fonts>
  <fills count="16">
    <fill>
      <patternFill patternType="none"/>
    </fill>
    <fill>
      <patternFill patternType="gray125"/>
    </fill>
    <fill>
      <patternFill patternType="solid">
        <fgColor rgb="FFFFC7CE"/>
      </patternFill>
    </fill>
    <fill>
      <patternFill patternType="solid">
        <fgColor rgb="FFFFEB9C"/>
      </patternFill>
    </fill>
    <fill>
      <patternFill patternType="solid">
        <fgColor rgb="FFFFEB9C"/>
        <bgColor rgb="FFFFEB9C"/>
      </patternFill>
    </fill>
    <fill>
      <patternFill patternType="solid">
        <fgColor rgb="FFFFFF00"/>
        <bgColor indexed="64"/>
      </patternFill>
    </fill>
    <fill>
      <patternFill patternType="solid">
        <fgColor theme="0"/>
        <bgColor indexed="64"/>
      </patternFill>
    </fill>
    <fill>
      <patternFill patternType="solid">
        <fgColor rgb="FFFFCC99"/>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EED1D1"/>
        <bgColor indexed="64"/>
      </patternFill>
    </fill>
    <fill>
      <patternFill patternType="solid">
        <fgColor theme="9" tint="0.79998168889431442"/>
        <bgColor indexed="64"/>
      </patternFill>
    </fill>
    <fill>
      <patternFill patternType="solid">
        <fgColor rgb="FFFFFFFF"/>
        <bgColor rgb="FF000000"/>
      </patternFill>
    </fill>
  </fills>
  <borders count="190">
    <border>
      <left/>
      <right/>
      <top/>
      <bottom/>
      <diagonal/>
    </border>
    <border>
      <left/>
      <right/>
      <top/>
      <bottom style="medium">
        <color rgb="FF000000"/>
      </bottom>
      <diagonal/>
    </border>
    <border>
      <left/>
      <right/>
      <top/>
      <bottom style="medium">
        <color indexed="64"/>
      </bottom>
      <diagonal/>
    </border>
    <border>
      <left/>
      <right/>
      <top style="medium">
        <color indexed="64"/>
      </top>
      <bottom style="medium">
        <color indexed="64"/>
      </bottom>
      <diagonal/>
    </border>
    <border>
      <left style="thin">
        <color theme="0" tint="-0.14999847407452621"/>
      </left>
      <right/>
      <top/>
      <bottom style="medium">
        <color indexed="64"/>
      </bottom>
      <diagonal/>
    </border>
    <border>
      <left style="thin">
        <color theme="0" tint="-0.14999847407452621"/>
      </left>
      <right/>
      <top/>
      <bottom/>
      <diagonal/>
    </border>
    <border>
      <left style="thin">
        <color theme="0" tint="-0.14999847407452621"/>
      </left>
      <right/>
      <top/>
      <bottom style="medium">
        <color rgb="FF000000"/>
      </bottom>
      <diagonal/>
    </border>
    <border>
      <left/>
      <right/>
      <top/>
      <bottom style="thick">
        <color auto="1"/>
      </bottom>
      <diagonal/>
    </border>
    <border>
      <left/>
      <right/>
      <top/>
      <bottom style="thick">
        <color theme="1" tint="0.59996337778862885"/>
      </bottom>
      <diagonal/>
    </border>
    <border>
      <left/>
      <right/>
      <top/>
      <bottom style="thin">
        <color auto="1"/>
      </bottom>
      <diagonal/>
    </border>
    <border>
      <left/>
      <right/>
      <top/>
      <bottom style="double">
        <color theme="1" tint="0.59996337778862885"/>
      </bottom>
      <diagonal/>
    </border>
    <border>
      <left/>
      <right style="thin">
        <color theme="0" tint="-0.14999847407452621"/>
      </right>
      <top style="thick">
        <color theme="1" tint="0.59996337778862885"/>
      </top>
      <bottom style="thin">
        <color indexed="64"/>
      </bottom>
      <diagonal/>
    </border>
    <border>
      <left/>
      <right/>
      <top style="thick">
        <color theme="1" tint="0.59996337778862885"/>
      </top>
      <bottom style="thin">
        <color indexed="64"/>
      </bottom>
      <diagonal/>
    </border>
    <border>
      <left/>
      <right style="thin">
        <color theme="0" tint="-0.14999847407452621"/>
      </right>
      <top/>
      <bottom style="thin">
        <color indexed="64"/>
      </bottom>
      <diagonal/>
    </border>
    <border>
      <left/>
      <right style="mediumDashed">
        <color indexed="64"/>
      </right>
      <top/>
      <bottom/>
      <diagonal/>
    </border>
    <border>
      <left style="mediumDashed">
        <color indexed="64"/>
      </left>
      <right style="mediumDashed">
        <color indexed="64"/>
      </right>
      <top style="mediumDashed">
        <color indexed="64"/>
      </top>
      <bottom style="mediumDashed">
        <color indexed="64"/>
      </bottom>
      <diagonal/>
    </border>
    <border>
      <left/>
      <right style="mediumDashed">
        <color indexed="64"/>
      </right>
      <top/>
      <bottom style="medium">
        <color indexed="64"/>
      </bottom>
      <diagonal/>
    </border>
    <border>
      <left/>
      <right/>
      <top style="medium">
        <color indexed="64"/>
      </top>
      <bottom/>
      <diagonal/>
    </border>
    <border>
      <left/>
      <right/>
      <top style="thin">
        <color theme="1"/>
      </top>
      <bottom/>
      <diagonal/>
    </border>
    <border>
      <left/>
      <right style="thin">
        <color theme="0" tint="-0.14999847407452621"/>
      </right>
      <top style="thick">
        <color theme="1" tint="0.59996337778862885"/>
      </top>
      <bottom style="medium">
        <color indexed="64"/>
      </bottom>
      <diagonal/>
    </border>
    <border>
      <left/>
      <right style="thin">
        <color theme="0" tint="-0.249977111117893"/>
      </right>
      <top/>
      <bottom/>
      <diagonal/>
    </border>
    <border>
      <left/>
      <right/>
      <top style="medium">
        <color rgb="FF000000"/>
      </top>
      <bottom style="thick">
        <color theme="1" tint="0.59996337778862885"/>
      </bottom>
      <diagonal/>
    </border>
    <border>
      <left/>
      <right style="thin">
        <color theme="0" tint="-0.14999847407452621"/>
      </right>
      <top/>
      <bottom style="medium">
        <color indexed="64"/>
      </bottom>
      <diagonal/>
    </border>
    <border>
      <left/>
      <right style="thin">
        <color theme="0" tint="-0.14999847407452621"/>
      </right>
      <top/>
      <bottom/>
      <diagonal/>
    </border>
    <border>
      <left/>
      <right/>
      <top style="double">
        <color theme="1" tint="0.59996337778862885"/>
      </top>
      <bottom/>
      <diagonal/>
    </border>
    <border>
      <left/>
      <right/>
      <top style="thick">
        <color auto="1"/>
      </top>
      <bottom/>
      <diagonal/>
    </border>
    <border>
      <left/>
      <right style="thin">
        <color rgb="FFD9D9D9"/>
      </right>
      <top/>
      <bottom/>
      <diagonal/>
    </border>
    <border>
      <left style="thin">
        <color theme="4" tint="0.39997558519241921"/>
      </left>
      <right/>
      <top/>
      <bottom style="medium">
        <color indexed="64"/>
      </bottom>
      <diagonal/>
    </border>
    <border>
      <left/>
      <right/>
      <top/>
      <bottom style="thick">
        <color theme="0" tint="-0.249977111117893"/>
      </bottom>
      <diagonal/>
    </border>
    <border>
      <left style="thin">
        <color theme="0" tint="-0.14999847407452621"/>
      </left>
      <right style="thin">
        <color rgb="FFD9D9D9"/>
      </right>
      <top/>
      <bottom/>
      <diagonal/>
    </border>
    <border>
      <left style="thin">
        <color theme="0" tint="-0.14999847407452621"/>
      </left>
      <right style="thin">
        <color theme="0" tint="-0.14999847407452621"/>
      </right>
      <top/>
      <bottom/>
      <diagonal/>
    </border>
    <border>
      <left/>
      <right style="thin">
        <color theme="0" tint="-0.14999847407452621"/>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theme="1" tint="0.59996337778862885"/>
      </right>
      <top/>
      <bottom/>
      <diagonal/>
    </border>
    <border>
      <left/>
      <right style="thin">
        <color theme="0" tint="-0.249977111117893"/>
      </right>
      <top/>
      <bottom style="medium">
        <color rgb="FF000000"/>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Dashed">
        <color indexed="64"/>
      </left>
      <right style="mediumDashed">
        <color indexed="64"/>
      </right>
      <top style="mediumDashed">
        <color indexed="64"/>
      </top>
      <bottom style="medium">
        <color theme="1"/>
      </bottom>
      <diagonal/>
    </border>
    <border>
      <left/>
      <right/>
      <top style="medium">
        <color indexed="64"/>
      </top>
      <bottom style="thick">
        <color theme="1" tint="0.59996337778862885"/>
      </bottom>
      <diagonal/>
    </border>
    <border>
      <left/>
      <right style="thin">
        <color indexed="64"/>
      </right>
      <top style="thin">
        <color indexed="64"/>
      </top>
      <bottom style="thin">
        <color indexed="64"/>
      </bottom>
      <diagonal/>
    </border>
    <border>
      <left/>
      <right/>
      <top style="mediumDashed">
        <color indexed="64"/>
      </top>
      <bottom/>
      <diagonal/>
    </border>
    <border>
      <left/>
      <right style="thin">
        <color theme="0" tint="-0.14999847407452621"/>
      </right>
      <top/>
      <bottom style="medium">
        <color theme="1"/>
      </bottom>
      <diagonal/>
    </border>
    <border>
      <left/>
      <right/>
      <top/>
      <bottom style="medium">
        <color theme="1"/>
      </bottom>
      <diagonal/>
    </border>
    <border>
      <left/>
      <right style="thin">
        <color theme="0" tint="-0.14999847407452621"/>
      </right>
      <top style="double">
        <color theme="1" tint="0.59996337778862885"/>
      </top>
      <bottom/>
      <diagonal/>
    </border>
    <border>
      <left/>
      <right style="thin">
        <color theme="0" tint="-0.14999847407452621"/>
      </right>
      <top style="double">
        <color theme="1" tint="0.59996337778862885"/>
      </top>
      <bottom style="medium">
        <color auto="1"/>
      </bottom>
      <diagonal/>
    </border>
    <border>
      <left style="mediumDashed">
        <color auto="1"/>
      </left>
      <right style="mediumDashed">
        <color auto="1"/>
      </right>
      <top style="double">
        <color theme="1" tint="0.59996337778862885"/>
      </top>
      <bottom style="mediumDashed">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style="hair">
        <color auto="1"/>
      </right>
      <top style="hair">
        <color auto="1"/>
      </top>
      <bottom style="medium">
        <color auto="1"/>
      </bottom>
      <diagonal/>
    </border>
    <border>
      <left style="hair">
        <color auto="1"/>
      </left>
      <right style="hair">
        <color auto="1"/>
      </right>
      <top style="hair">
        <color auto="1"/>
      </top>
      <bottom/>
      <diagonal/>
    </border>
    <border>
      <left style="hair">
        <color auto="1"/>
      </left>
      <right style="hair">
        <color auto="1"/>
      </right>
      <top/>
      <bottom style="medium">
        <color auto="1"/>
      </bottom>
      <diagonal/>
    </border>
    <border>
      <left style="hair">
        <color auto="1"/>
      </left>
      <right style="hair">
        <color auto="1"/>
      </right>
      <top/>
      <bottom style="hair">
        <color auto="1"/>
      </bottom>
      <diagonal/>
    </border>
    <border>
      <left/>
      <right style="hair">
        <color auto="1"/>
      </right>
      <top/>
      <bottom style="hair">
        <color auto="1"/>
      </bottom>
      <diagonal/>
    </border>
    <border>
      <left style="hair">
        <color auto="1"/>
      </left>
      <right/>
      <top/>
      <bottom/>
      <diagonal/>
    </border>
    <border>
      <left/>
      <right style="hair">
        <color auto="1"/>
      </right>
      <top/>
      <bottom/>
      <diagonal/>
    </border>
    <border>
      <left style="hair">
        <color auto="1"/>
      </left>
      <right/>
      <top style="hair">
        <color auto="1"/>
      </top>
      <bottom style="medium">
        <color auto="1"/>
      </bottom>
      <diagonal/>
    </border>
    <border>
      <left/>
      <right style="hair">
        <color auto="1"/>
      </right>
      <top style="hair">
        <color auto="1"/>
      </top>
      <bottom style="medium">
        <color auto="1"/>
      </bottom>
      <diagonal/>
    </border>
    <border>
      <left/>
      <right/>
      <top/>
      <bottom style="hair">
        <color auto="1"/>
      </bottom>
      <diagonal/>
    </border>
    <border>
      <left/>
      <right/>
      <top style="thick">
        <color theme="1" tint="0.59996337778862885"/>
      </top>
      <bottom style="medium">
        <color indexed="64"/>
      </bottom>
      <diagonal/>
    </border>
    <border>
      <left/>
      <right style="hair">
        <color auto="1"/>
      </right>
      <top/>
      <bottom style="medium">
        <color auto="1"/>
      </bottom>
      <diagonal/>
    </border>
    <border>
      <left/>
      <right style="double">
        <color theme="1" tint="0.59996337778862885"/>
      </right>
      <top style="double">
        <color theme="1" tint="0.59996337778862885"/>
      </top>
      <bottom/>
      <diagonal/>
    </border>
    <border>
      <left/>
      <right style="double">
        <color theme="1" tint="0.59996337778862885"/>
      </right>
      <top/>
      <bottom/>
      <diagonal/>
    </border>
    <border>
      <left/>
      <right style="double">
        <color theme="1" tint="0.59996337778862885"/>
      </right>
      <top/>
      <bottom style="medium">
        <color rgb="FF000000"/>
      </bottom>
      <diagonal/>
    </border>
    <border>
      <left/>
      <right/>
      <top style="thick">
        <color theme="1" tint="0.59996337778862885"/>
      </top>
      <bottom style="double">
        <color theme="1" tint="0.59996337778862885"/>
      </bottom>
      <diagonal/>
    </border>
    <border>
      <left/>
      <right style="hair">
        <color auto="1"/>
      </right>
      <top style="thick">
        <color theme="1" tint="0.59996337778862885"/>
      </top>
      <bottom style="double">
        <color theme="1" tint="0.59996337778862885"/>
      </bottom>
      <diagonal/>
    </border>
    <border>
      <left style="thin">
        <color indexed="64"/>
      </left>
      <right style="thin">
        <color indexed="64"/>
      </right>
      <top/>
      <bottom/>
      <diagonal/>
    </border>
    <border>
      <left style="hair">
        <color theme="1" tint="0.59996337778862885"/>
      </left>
      <right style="hair">
        <color theme="1" tint="0.59996337778862885"/>
      </right>
      <top style="hair">
        <color auto="1"/>
      </top>
      <bottom style="hair">
        <color auto="1"/>
      </bottom>
      <diagonal/>
    </border>
    <border>
      <left style="hair">
        <color theme="1" tint="0.59996337778862885"/>
      </left>
      <right style="hair">
        <color theme="1" tint="0.59996337778862885"/>
      </right>
      <top style="hair">
        <color auto="1"/>
      </top>
      <bottom style="medium">
        <color auto="1"/>
      </bottom>
      <diagonal/>
    </border>
    <border>
      <left style="hair">
        <color auto="1"/>
      </left>
      <right style="hair">
        <color auto="1"/>
      </right>
      <top style="double">
        <color theme="1" tint="0.59996337778862885"/>
      </top>
      <bottom style="hair">
        <color auto="1"/>
      </bottom>
      <diagonal/>
    </border>
    <border>
      <left style="hair">
        <color theme="1" tint="0.59996337778862885"/>
      </left>
      <right/>
      <top style="double">
        <color theme="1" tint="0.59996337778862885"/>
      </top>
      <bottom/>
      <diagonal/>
    </border>
    <border>
      <left style="hair">
        <color theme="1" tint="0.59996337778862885"/>
      </left>
      <right/>
      <top/>
      <bottom/>
      <diagonal/>
    </border>
    <border>
      <left style="hair">
        <color auto="1"/>
      </left>
      <right/>
      <top/>
      <bottom style="hair">
        <color auto="1"/>
      </bottom>
      <diagonal/>
    </border>
    <border>
      <left style="hair">
        <color auto="1"/>
      </left>
      <right style="hair">
        <color auto="1"/>
      </right>
      <top/>
      <bottom/>
      <diagonal/>
    </border>
    <border>
      <left style="hair">
        <color theme="1" tint="0.59996337778862885"/>
      </left>
      <right/>
      <top style="hair">
        <color auto="1"/>
      </top>
      <bottom style="hair">
        <color auto="1"/>
      </bottom>
      <diagonal/>
    </border>
    <border>
      <left/>
      <right style="hair">
        <color theme="1" tint="0.59996337778862885"/>
      </right>
      <top style="hair">
        <color auto="1"/>
      </top>
      <bottom style="hair">
        <color auto="1"/>
      </bottom>
      <diagonal/>
    </border>
    <border>
      <left/>
      <right style="hair">
        <color theme="1" tint="0.59996337778862885"/>
      </right>
      <top style="double">
        <color theme="1" tint="0.59996337778862885"/>
      </top>
      <bottom style="hair">
        <color theme="1" tint="0.59996337778862885"/>
      </bottom>
      <diagonal/>
    </border>
    <border>
      <left/>
      <right style="hair">
        <color theme="1" tint="0.59996337778862885"/>
      </right>
      <top style="hair">
        <color theme="1" tint="0.59996337778862885"/>
      </top>
      <bottom style="hair">
        <color theme="1" tint="0.59996337778862885"/>
      </bottom>
      <diagonal/>
    </border>
    <border>
      <left/>
      <right style="hair">
        <color theme="1" tint="0.59996337778862885"/>
      </right>
      <top style="hair">
        <color theme="1" tint="0.59996337778862885"/>
      </top>
      <bottom style="medium">
        <color auto="1"/>
      </bottom>
      <diagonal/>
    </border>
    <border>
      <left/>
      <right/>
      <top style="hair">
        <color auto="1"/>
      </top>
      <bottom style="hair">
        <color auto="1"/>
      </bottom>
      <diagonal/>
    </border>
    <border>
      <left style="mediumDashed">
        <color auto="1"/>
      </left>
      <right style="mediumDashed">
        <color auto="1"/>
      </right>
      <top style="double">
        <color theme="0" tint="-0.24994659260841701"/>
      </top>
      <bottom/>
      <diagonal/>
    </border>
    <border>
      <left style="hair">
        <color auto="1"/>
      </left>
      <right/>
      <top/>
      <bottom style="medium">
        <color auto="1"/>
      </bottom>
      <diagonal/>
    </border>
    <border>
      <left/>
      <right/>
      <top style="double">
        <color theme="1" tint="0.59996337778862885"/>
      </top>
      <bottom style="medium">
        <color auto="1"/>
      </bottom>
      <diagonal/>
    </border>
    <border>
      <left style="thin">
        <color indexed="64"/>
      </left>
      <right style="thin">
        <color indexed="64"/>
      </right>
      <top/>
      <bottom style="thin">
        <color indexed="64"/>
      </bottom>
      <diagonal/>
    </border>
    <border>
      <left style="hair">
        <color auto="1"/>
      </left>
      <right style="mediumDashed">
        <color indexed="64"/>
      </right>
      <top style="hair">
        <color auto="1"/>
      </top>
      <bottom style="hair">
        <color auto="1"/>
      </bottom>
      <diagonal/>
    </border>
    <border>
      <left style="hair">
        <color theme="1" tint="0.59996337778862885"/>
      </left>
      <right style="mediumDashed">
        <color indexed="64"/>
      </right>
      <top style="double">
        <color theme="1" tint="0.59996337778862885"/>
      </top>
      <bottom style="hair">
        <color auto="1"/>
      </bottom>
      <diagonal/>
    </border>
    <border>
      <left style="hair">
        <color auto="1"/>
      </left>
      <right style="hair">
        <color auto="1"/>
      </right>
      <top style="double">
        <color theme="0" tint="-0.14996795556505021"/>
      </top>
      <bottom style="hair">
        <color auto="1"/>
      </bottom>
      <diagonal/>
    </border>
    <border>
      <left style="hair">
        <color auto="1"/>
      </left>
      <right style="hair">
        <color auto="1"/>
      </right>
      <top style="hair">
        <color auto="1"/>
      </top>
      <bottom style="mediumDashed">
        <color indexed="64"/>
      </bottom>
      <diagonal/>
    </border>
    <border>
      <left style="hair">
        <color indexed="64"/>
      </left>
      <right style="mediumDashed">
        <color indexed="64"/>
      </right>
      <top/>
      <bottom/>
      <diagonal/>
    </border>
    <border>
      <left/>
      <right/>
      <top style="thin">
        <color theme="1"/>
      </top>
      <bottom style="thin">
        <color theme="1"/>
      </bottom>
      <diagonal/>
    </border>
    <border>
      <left/>
      <right/>
      <top style="thick">
        <color indexed="64"/>
      </top>
      <bottom style="thick">
        <color theme="1" tint="0.59996337778862885"/>
      </bottom>
      <diagonal/>
    </border>
    <border>
      <left/>
      <right style="hair">
        <color indexed="64"/>
      </right>
      <top style="double">
        <color theme="1" tint="0.59996337778862885"/>
      </top>
      <bottom/>
      <diagonal/>
    </border>
    <border>
      <left style="hair">
        <color theme="1" tint="0.59996337778862885"/>
      </left>
      <right style="hair">
        <color theme="1" tint="0.59996337778862885"/>
      </right>
      <top style="double">
        <color theme="1" tint="0.59996337778862885"/>
      </top>
      <bottom style="hair">
        <color theme="1" tint="0.59996337778862885"/>
      </bottom>
      <diagonal/>
    </border>
    <border>
      <left/>
      <right/>
      <top style="medium">
        <color rgb="FF000000"/>
      </top>
      <bottom style="medium">
        <color rgb="FF000000"/>
      </bottom>
      <diagonal/>
    </border>
    <border>
      <left style="hair">
        <color theme="1" tint="0.59996337778862885"/>
      </left>
      <right style="mediumDashed">
        <color indexed="64"/>
      </right>
      <top style="double">
        <color theme="1" tint="0.59996337778862885"/>
      </top>
      <bottom style="hair">
        <color theme="1" tint="0.59996337778862885"/>
      </bottom>
      <diagonal/>
    </border>
    <border>
      <left style="hair">
        <color theme="1" tint="0.59996337778862885"/>
      </left>
      <right style="mediumDashed">
        <color indexed="64"/>
      </right>
      <top style="hair">
        <color theme="1" tint="0.59996337778862885"/>
      </top>
      <bottom style="medium">
        <color theme="1"/>
      </bottom>
      <diagonal/>
    </border>
    <border>
      <left style="hair">
        <color indexed="64"/>
      </left>
      <right style="hair">
        <color indexed="64"/>
      </right>
      <top style="hair">
        <color auto="1"/>
      </top>
      <bottom style="medium">
        <color theme="1"/>
      </bottom>
      <diagonal/>
    </border>
    <border>
      <left style="hair">
        <color auto="1"/>
      </left>
      <right style="thin">
        <color theme="0" tint="-0.14999847407452621"/>
      </right>
      <top style="double">
        <color theme="1" tint="0.59996337778862885"/>
      </top>
      <bottom style="hair">
        <color auto="1"/>
      </bottom>
      <diagonal/>
    </border>
    <border>
      <left style="hair">
        <color auto="1"/>
      </left>
      <right style="hair">
        <color auto="1"/>
      </right>
      <top style="hair">
        <color auto="1"/>
      </top>
      <bottom style="thin">
        <color theme="1"/>
      </bottom>
      <diagonal/>
    </border>
    <border>
      <left style="hair">
        <color auto="1"/>
      </left>
      <right/>
      <top style="thin">
        <color theme="1"/>
      </top>
      <bottom/>
      <diagonal/>
    </border>
    <border>
      <left style="hair">
        <color auto="1"/>
      </left>
      <right/>
      <top style="hair">
        <color auto="1"/>
      </top>
      <bottom style="thin">
        <color theme="1"/>
      </bottom>
      <diagonal/>
    </border>
    <border>
      <left style="hair">
        <color auto="1"/>
      </left>
      <right/>
      <top style="double">
        <color theme="1" tint="0.59996337778862885"/>
      </top>
      <bottom style="hair">
        <color auto="1"/>
      </bottom>
      <diagonal/>
    </border>
    <border>
      <left/>
      <right style="hair">
        <color auto="1"/>
      </right>
      <top style="double">
        <color theme="1" tint="0.59996337778862885"/>
      </top>
      <bottom style="hair">
        <color auto="1"/>
      </bottom>
      <diagonal/>
    </border>
    <border>
      <left/>
      <right/>
      <top style="double">
        <color theme="1" tint="0.59996337778862885"/>
      </top>
      <bottom style="hair">
        <color auto="1"/>
      </bottom>
      <diagonal/>
    </border>
    <border>
      <left style="hair">
        <color theme="1" tint="0.59996337778862885"/>
      </left>
      <right style="hair">
        <color auto="1"/>
      </right>
      <top/>
      <bottom style="medium">
        <color indexed="64"/>
      </bottom>
      <diagonal/>
    </border>
    <border>
      <left style="hair">
        <color theme="1" tint="0.59996337778862885"/>
      </left>
      <right style="hair">
        <color auto="1"/>
      </right>
      <top style="hair">
        <color theme="1" tint="0.59996337778862885"/>
      </top>
      <bottom style="hair">
        <color theme="1" tint="0.59996337778862885"/>
      </bottom>
      <diagonal/>
    </border>
    <border>
      <left style="hair">
        <color theme="1" tint="0.59996337778862885"/>
      </left>
      <right style="hair">
        <color theme="1" tint="0.59996337778862885"/>
      </right>
      <top style="hair">
        <color theme="1" tint="0.59996337778862885"/>
      </top>
      <bottom style="hair">
        <color theme="1" tint="0.59996337778862885"/>
      </bottom>
      <diagonal/>
    </border>
    <border>
      <left style="hair">
        <color theme="1" tint="0.59996337778862885"/>
      </left>
      <right style="hair">
        <color theme="1" tint="0.59996337778862885"/>
      </right>
      <top style="hair">
        <color theme="1" tint="0.59996337778862885"/>
      </top>
      <bottom style="medium">
        <color indexed="64"/>
      </bottom>
      <diagonal/>
    </border>
    <border>
      <left style="hair">
        <color theme="1"/>
      </left>
      <right style="hair">
        <color theme="1"/>
      </right>
      <top style="thin">
        <color theme="1"/>
      </top>
      <bottom style="hair">
        <color auto="1"/>
      </bottom>
      <diagonal/>
    </border>
    <border>
      <left style="hair">
        <color indexed="64"/>
      </left>
      <right style="hair">
        <color indexed="64"/>
      </right>
      <top/>
      <bottom style="medium">
        <color theme="1"/>
      </bottom>
      <diagonal/>
    </border>
    <border>
      <left/>
      <right/>
      <top style="thick">
        <color theme="1" tint="0.59996337778862885"/>
      </top>
      <bottom/>
      <diagonal/>
    </border>
    <border>
      <left style="hair">
        <color theme="1" tint="0.59996337778862885"/>
      </left>
      <right style="hair">
        <color auto="1"/>
      </right>
      <top style="hair">
        <color theme="1" tint="0.59996337778862885"/>
      </top>
      <bottom/>
      <diagonal/>
    </border>
    <border>
      <left style="hair">
        <color theme="1" tint="0.59996337778862885"/>
      </left>
      <right style="hair">
        <color auto="1"/>
      </right>
      <top/>
      <bottom/>
      <diagonal/>
    </border>
    <border>
      <left style="hair">
        <color theme="1" tint="0.59996337778862885"/>
      </left>
      <right style="hair">
        <color auto="1"/>
      </right>
      <top style="hair">
        <color theme="1" tint="0.59996337778862885"/>
      </top>
      <bottom style="medium">
        <color auto="1"/>
      </bottom>
      <diagonal/>
    </border>
    <border>
      <left style="medium">
        <color rgb="FF000000"/>
      </left>
      <right style="medium">
        <color rgb="FF000000"/>
      </right>
      <top style="medium">
        <color rgb="FF000000"/>
      </top>
      <bottom style="medium">
        <color rgb="FF000000"/>
      </bottom>
      <diagonal/>
    </border>
    <border>
      <left/>
      <right/>
      <top style="hair">
        <color auto="1"/>
      </top>
      <bottom style="medium">
        <color auto="1"/>
      </bottom>
      <diagonal/>
    </border>
    <border>
      <left style="thin">
        <color rgb="FFA91717"/>
      </left>
      <right style="thin">
        <color rgb="FFA91717"/>
      </right>
      <top style="thin">
        <color rgb="FFA91717"/>
      </top>
      <bottom style="thin">
        <color rgb="FFA91717"/>
      </bottom>
      <diagonal/>
    </border>
    <border>
      <left style="dotted">
        <color theme="1" tint="0.59996337778862885"/>
      </left>
      <right style="hair">
        <color auto="1"/>
      </right>
      <top style="double">
        <color theme="1" tint="0.59996337778862885"/>
      </top>
      <bottom style="medium">
        <color auto="1"/>
      </bottom>
      <diagonal/>
    </border>
    <border>
      <left/>
      <right style="thin">
        <color theme="0" tint="-0.14999847407452621"/>
      </right>
      <top style="thick">
        <color theme="0" tint="-0.24994659260841701"/>
      </top>
      <bottom style="medium">
        <color indexed="64"/>
      </bottom>
      <diagonal/>
    </border>
    <border>
      <left/>
      <right/>
      <top style="thick">
        <color theme="0" tint="-0.24994659260841701"/>
      </top>
      <bottom style="medium">
        <color indexed="64"/>
      </bottom>
      <diagonal/>
    </border>
    <border>
      <left/>
      <right style="thin">
        <color theme="0" tint="-0.14999847407452621"/>
      </right>
      <top style="thick">
        <color theme="1" tint="0.59996337778862885"/>
      </top>
      <bottom/>
      <diagonal/>
    </border>
    <border>
      <left/>
      <right style="thin">
        <color theme="0" tint="-0.14999847407452621"/>
      </right>
      <top style="thick">
        <color auto="1"/>
      </top>
      <bottom style="thick">
        <color theme="1" tint="0.59996337778862885"/>
      </bottom>
      <diagonal/>
    </border>
    <border>
      <left style="mediumDashed">
        <color indexed="64"/>
      </left>
      <right/>
      <top/>
      <bottom style="medium">
        <color indexed="64"/>
      </bottom>
      <diagonal/>
    </border>
    <border>
      <left/>
      <right style="thin">
        <color theme="0" tint="-0.14999847407452621"/>
      </right>
      <top style="thin">
        <color theme="0" tint="-0.14996795556505021"/>
      </top>
      <bottom style="thin">
        <color theme="0" tint="-0.14996795556505021"/>
      </bottom>
      <diagonal/>
    </border>
    <border>
      <left style="hair">
        <color auto="1"/>
      </left>
      <right/>
      <top style="mediumDashed">
        <color indexed="64"/>
      </top>
      <bottom style="medium">
        <color auto="1"/>
      </bottom>
      <diagonal/>
    </border>
    <border>
      <left/>
      <right style="thin">
        <color theme="0" tint="-0.14999847407452621"/>
      </right>
      <top style="hair">
        <color auto="1"/>
      </top>
      <bottom style="medium">
        <color indexed="64"/>
      </bottom>
      <diagonal/>
    </border>
    <border>
      <left/>
      <right style="dotted">
        <color theme="1" tint="0.59996337778862885"/>
      </right>
      <top style="double">
        <color theme="1" tint="0.59996337778862885"/>
      </top>
      <bottom style="medium">
        <color auto="1"/>
      </bottom>
      <diagonal/>
    </border>
    <border>
      <left style="hair">
        <color auto="1"/>
      </left>
      <right/>
      <top style="double">
        <color theme="1" tint="0.59996337778862885"/>
      </top>
      <bottom/>
      <diagonal/>
    </border>
    <border>
      <left style="hair">
        <color auto="1"/>
      </left>
      <right style="hair">
        <color auto="1"/>
      </right>
      <top style="double">
        <color theme="1" tint="0.59996337778862885"/>
      </top>
      <bottom style="medium">
        <color indexed="64"/>
      </bottom>
      <diagonal/>
    </border>
    <border>
      <left style="hair">
        <color indexed="64"/>
      </left>
      <right/>
      <top style="mediumDashed">
        <color indexed="64"/>
      </top>
      <bottom style="mediumDashed">
        <color indexed="64"/>
      </bottom>
      <diagonal/>
    </border>
    <border>
      <left style="hair">
        <color theme="1" tint="0.59996337778862885"/>
      </left>
      <right/>
      <top/>
      <bottom style="hair">
        <color auto="1"/>
      </bottom>
      <diagonal/>
    </border>
    <border>
      <left style="hair">
        <color theme="1" tint="0.59996337778862885"/>
      </left>
      <right/>
      <top style="hair">
        <color auto="1"/>
      </top>
      <bottom/>
      <diagonal/>
    </border>
    <border>
      <left style="hair">
        <color theme="1" tint="0.59996337778862885"/>
      </left>
      <right/>
      <top style="hair">
        <color auto="1"/>
      </top>
      <bottom style="medium">
        <color auto="1"/>
      </bottom>
      <diagonal/>
    </border>
    <border>
      <left style="hair">
        <color auto="1"/>
      </left>
      <right/>
      <top style="mediumDashed">
        <color indexed="64"/>
      </top>
      <bottom/>
      <diagonal/>
    </border>
    <border>
      <left style="hair">
        <color auto="1"/>
      </left>
      <right/>
      <top style="mediumDashed">
        <color indexed="64"/>
      </top>
      <bottom style="hair">
        <color auto="1"/>
      </bottom>
      <diagonal/>
    </border>
    <border>
      <left/>
      <right style="hair">
        <color theme="1" tint="0.59996337778862885"/>
      </right>
      <top style="hair">
        <color auto="1"/>
      </top>
      <bottom style="medium">
        <color auto="1"/>
      </bottom>
      <diagonal/>
    </border>
    <border>
      <left style="hair">
        <color theme="1" tint="0.59996337778862885"/>
      </left>
      <right/>
      <top style="double">
        <color theme="1" tint="0.59996337778862885"/>
      </top>
      <bottom style="hair">
        <color theme="1" tint="0.59996337778862885"/>
      </bottom>
      <diagonal/>
    </border>
    <border>
      <left style="hair">
        <color theme="1" tint="0.59996337778862885"/>
      </left>
      <right/>
      <top style="hair">
        <color theme="1" tint="0.59996337778862885"/>
      </top>
      <bottom style="hair">
        <color theme="1" tint="0.59996337778862885"/>
      </bottom>
      <diagonal/>
    </border>
    <border>
      <left style="hair">
        <color theme="1" tint="0.59996337778862885"/>
      </left>
      <right/>
      <top style="hair">
        <color theme="1" tint="0.59996337778862885"/>
      </top>
      <bottom style="medium">
        <color indexed="64"/>
      </bottom>
      <diagonal/>
    </border>
    <border>
      <left/>
      <right style="hair">
        <color auto="1"/>
      </right>
      <top style="double">
        <color theme="1" tint="0.59996337778862885"/>
      </top>
      <bottom style="hair">
        <color theme="1" tint="0.59996337778862885"/>
      </bottom>
      <diagonal/>
    </border>
    <border>
      <left/>
      <right style="hair">
        <color auto="1"/>
      </right>
      <top style="hair">
        <color theme="1" tint="0.59996337778862885"/>
      </top>
      <bottom style="hair">
        <color theme="1" tint="0.59996337778862885"/>
      </bottom>
      <diagonal/>
    </border>
    <border>
      <left style="thin">
        <color rgb="FFA91717"/>
      </left>
      <right style="thin">
        <color rgb="FFA91717"/>
      </right>
      <top/>
      <bottom style="thin">
        <color rgb="FFA91717"/>
      </bottom>
      <diagonal/>
    </border>
    <border>
      <left style="thin">
        <color rgb="FFA91717"/>
      </left>
      <right style="thin">
        <color rgb="FFA91717"/>
      </right>
      <top style="thin">
        <color rgb="FFA91717"/>
      </top>
      <bottom/>
      <diagonal/>
    </border>
    <border>
      <left style="hair">
        <color auto="1"/>
      </left>
      <right style="hair">
        <color theme="1" tint="0.59996337778862885"/>
      </right>
      <top style="hair">
        <color auto="1"/>
      </top>
      <bottom style="medium">
        <color indexed="64"/>
      </bottom>
      <diagonal/>
    </border>
    <border>
      <left style="mediumDashed">
        <color indexed="64"/>
      </left>
      <right style="mediumDashed">
        <color indexed="64"/>
      </right>
      <top/>
      <bottom style="medium">
        <color auto="1"/>
      </bottom>
      <diagonal/>
    </border>
    <border>
      <left style="mediumDashed">
        <color auto="1"/>
      </left>
      <right style="mediumDashed">
        <color auto="1"/>
      </right>
      <top/>
      <bottom style="mediumDashed">
        <color auto="1"/>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auto="1"/>
      </right>
      <top style="double">
        <color theme="1" tint="0.59996337778862885"/>
      </top>
      <bottom style="medium">
        <color indexed="64"/>
      </bottom>
      <diagonal/>
    </border>
    <border>
      <left style="mediumDashed">
        <color indexed="64"/>
      </left>
      <right style="mediumDashed">
        <color indexed="64"/>
      </right>
      <top style="mediumDashed">
        <color indexed="64"/>
      </top>
      <bottom/>
      <diagonal/>
    </border>
    <border>
      <left/>
      <right style="hair">
        <color theme="1" tint="0.59996337778862885"/>
      </right>
      <top/>
      <bottom/>
      <diagonal/>
    </border>
    <border>
      <left style="hair">
        <color theme="1" tint="0.59996337778862885"/>
      </left>
      <right style="hair">
        <color theme="1" tint="0.59996337778862885"/>
      </right>
      <top/>
      <bottom/>
      <diagonal/>
    </border>
    <border>
      <left style="hair">
        <color auto="1"/>
      </left>
      <right style="hair">
        <color auto="1"/>
      </right>
      <top style="thick">
        <color theme="1" tint="0.59996337778862885"/>
      </top>
      <bottom style="hair">
        <color auto="1"/>
      </bottom>
      <diagonal/>
    </border>
    <border>
      <left style="thin">
        <color theme="0" tint="-0.14999847407452621"/>
      </left>
      <right/>
      <top style="thick">
        <color theme="1" tint="0.59996337778862885"/>
      </top>
      <bottom/>
      <diagonal/>
    </border>
    <border>
      <left style="thin">
        <color rgb="FFA91717"/>
      </left>
      <right/>
      <top style="double">
        <color theme="1" tint="0.59996337778862885"/>
      </top>
      <bottom/>
      <diagonal/>
    </border>
    <border>
      <left style="thin">
        <color rgb="FFA91717"/>
      </left>
      <right/>
      <top/>
      <bottom/>
      <diagonal/>
    </border>
    <border>
      <left style="thin">
        <color rgb="FFA91717"/>
      </left>
      <right/>
      <top/>
      <bottom style="medium">
        <color indexed="64"/>
      </bottom>
      <diagonal/>
    </border>
    <border>
      <left style="mediumDashed">
        <color indexed="64"/>
      </left>
      <right style="mediumDashed">
        <color indexed="64"/>
      </right>
      <top style="mediumDashed">
        <color auto="1"/>
      </top>
      <bottom style="medium">
        <color indexed="64"/>
      </bottom>
      <diagonal/>
    </border>
    <border>
      <left/>
      <right style="thin">
        <color theme="0" tint="-0.14999847407452621"/>
      </right>
      <top/>
      <bottom style="thick">
        <color theme="1" tint="0.59996337778862885"/>
      </bottom>
      <diagonal/>
    </border>
    <border>
      <left/>
      <right style="thin">
        <color theme="0" tint="-0.14999847407452621"/>
      </right>
      <top/>
      <bottom style="double">
        <color theme="1" tint="0.59996337778862885"/>
      </bottom>
      <diagonal/>
    </border>
    <border>
      <left style="mediumDashed">
        <color auto="1"/>
      </left>
      <right style="mediumDashed">
        <color auto="1"/>
      </right>
      <top style="double">
        <color theme="1" tint="0.59996337778862885"/>
      </top>
      <bottom style="medium">
        <color auto="1"/>
      </bottom>
      <diagonal/>
    </border>
    <border>
      <left/>
      <right/>
      <top style="thick">
        <color auto="1"/>
      </top>
      <bottom style="medium">
        <color indexed="64"/>
      </bottom>
      <diagonal/>
    </border>
    <border>
      <left/>
      <right style="thick">
        <color theme="1" tint="0.59996337778862885"/>
      </right>
      <top style="thick">
        <color theme="1" tint="0.59996337778862885"/>
      </top>
      <bottom style="double">
        <color theme="1" tint="0.59996337778862885"/>
      </bottom>
      <diagonal/>
    </border>
    <border>
      <left style="thick">
        <color theme="1" tint="0.59996337778862885"/>
      </left>
      <right/>
      <top/>
      <bottom/>
      <diagonal/>
    </border>
    <border>
      <left style="thick">
        <color theme="1" tint="0.59996337778862885"/>
      </left>
      <right/>
      <top style="thick">
        <color theme="1" tint="0.59996337778862885"/>
      </top>
      <bottom/>
      <diagonal/>
    </border>
    <border>
      <left style="hair">
        <color auto="1"/>
      </left>
      <right style="hair">
        <color auto="1"/>
      </right>
      <top style="mediumDashed">
        <color indexed="64"/>
      </top>
      <bottom style="hair">
        <color auto="1"/>
      </bottom>
      <diagonal/>
    </border>
    <border>
      <left/>
      <right/>
      <top style="thick">
        <color rgb="FFB0B0B0"/>
      </top>
      <bottom style="thin">
        <color indexed="64"/>
      </bottom>
      <diagonal/>
    </border>
    <border>
      <left style="thin">
        <color theme="0" tint="-0.14999847407452621"/>
      </left>
      <right style="thin">
        <color theme="0" tint="-0.14999847407452621"/>
      </right>
      <top style="thick">
        <color rgb="FFB0B0B0"/>
      </top>
      <bottom style="thin">
        <color indexed="64"/>
      </bottom>
      <diagonal/>
    </border>
    <border>
      <left/>
      <right style="thin">
        <color rgb="FFD9D9D9"/>
      </right>
      <top/>
      <bottom style="medium">
        <color indexed="64"/>
      </bottom>
      <diagonal/>
    </border>
    <border>
      <left style="thin">
        <color theme="0" tint="-0.14999847407452621"/>
      </left>
      <right style="thin">
        <color rgb="FFD9D9D9"/>
      </right>
      <top/>
      <bottom style="medium">
        <color rgb="FF000000"/>
      </bottom>
      <diagonal/>
    </border>
    <border>
      <left/>
      <right style="mediumDashed">
        <color indexed="64"/>
      </right>
      <top style="thick">
        <color theme="1" tint="0.59996337778862885"/>
      </top>
      <bottom/>
      <diagonal/>
    </border>
    <border>
      <left style="mediumDashed">
        <color indexed="64"/>
      </left>
      <right style="mediumDashed">
        <color indexed="64"/>
      </right>
      <top/>
      <bottom/>
      <diagonal/>
    </border>
    <border>
      <left/>
      <right style="hair">
        <color rgb="FFB0B0B0"/>
      </right>
      <top/>
      <bottom/>
      <diagonal/>
    </border>
    <border>
      <left/>
      <right/>
      <top style="medium">
        <color auto="1"/>
      </top>
      <bottom style="hair">
        <color auto="1"/>
      </bottom>
      <diagonal/>
    </border>
    <border>
      <left/>
      <right style="hair">
        <color theme="1" tint="0.59996337778862885"/>
      </right>
      <top style="hair">
        <color auto="1"/>
      </top>
      <bottom/>
      <diagonal/>
    </border>
    <border>
      <left style="hair">
        <color theme="1" tint="0.59996337778862885"/>
      </left>
      <right style="hair">
        <color theme="1" tint="0.59996337778862885"/>
      </right>
      <top style="hair">
        <color auto="1"/>
      </top>
      <bottom/>
      <diagonal/>
    </border>
  </borders>
  <cellStyleXfs count="23">
    <xf numFmtId="0" fontId="0" fillId="0" borderId="0">
      <alignment horizontal="left" vertical="center" wrapText="1" indent="1"/>
    </xf>
    <xf numFmtId="0" fontId="12" fillId="0" borderId="7">
      <alignment horizontal="left" vertical="center" indent="1"/>
    </xf>
    <xf numFmtId="0" fontId="7" fillId="0" borderId="8">
      <alignment horizontal="left" vertical="center" wrapText="1" indent="1"/>
    </xf>
    <xf numFmtId="0" fontId="8" fillId="0" borderId="10">
      <alignment horizontal="left" vertical="center" wrapText="1" indent="1"/>
    </xf>
    <xf numFmtId="0" fontId="1" fillId="2" borderId="0" applyNumberFormat="0" applyBorder="0" applyAlignment="0" applyProtection="0"/>
    <xf numFmtId="0" fontId="2" fillId="3" borderId="0" applyNumberFormat="0" applyBorder="0" applyAlignment="0" applyProtection="0"/>
    <xf numFmtId="0" fontId="5" fillId="0" borderId="0">
      <alignment horizontal="left" vertical="center" wrapText="1" indent="1"/>
    </xf>
    <xf numFmtId="0" fontId="4" fillId="0" borderId="0" applyNumberFormat="0" applyBorder="0" applyProtection="0"/>
    <xf numFmtId="0" fontId="6" fillId="4" borderId="0" applyNumberFormat="0" applyBorder="0" applyAlignment="0" applyProtection="0"/>
    <xf numFmtId="0" fontId="12" fillId="0" borderId="0" applyNumberFormat="0" applyFill="0" applyProtection="0">
      <alignment horizontal="left" vertical="center" indent="1"/>
    </xf>
    <xf numFmtId="0" fontId="3" fillId="0" borderId="0">
      <alignment horizontal="left" vertical="center" wrapText="1" indent="1"/>
    </xf>
    <xf numFmtId="0" fontId="7" fillId="0" borderId="0" applyNumberFormat="0" applyFill="0" applyProtection="0">
      <alignment horizontal="left" vertical="center" wrapText="1" indent="1"/>
    </xf>
    <xf numFmtId="0" fontId="8" fillId="0" borderId="0" applyNumberFormat="0" applyProtection="0">
      <alignment horizontal="left" vertical="center" wrapText="1" indent="1"/>
    </xf>
    <xf numFmtId="0" fontId="2" fillId="4" borderId="0" applyNumberFormat="0" applyBorder="0" applyProtection="0">
      <alignment horizontal="left" vertical="center" wrapText="1" indent="1"/>
    </xf>
    <xf numFmtId="0" fontId="9" fillId="7" borderId="0">
      <alignment horizontal="right" vertical="center" wrapText="1" indent="1"/>
    </xf>
    <xf numFmtId="0" fontId="19" fillId="9" borderId="28">
      <alignment horizontal="left" vertical="center" wrapText="1" indent="1"/>
    </xf>
    <xf numFmtId="0" fontId="20" fillId="0" borderId="28">
      <alignment horizontal="left" vertical="center" wrapText="1" indent="1"/>
    </xf>
    <xf numFmtId="0" fontId="21" fillId="0" borderId="0" applyNumberFormat="0" applyFill="0" applyBorder="0" applyAlignment="0" applyProtection="0"/>
    <xf numFmtId="9" fontId="3" fillId="0" borderId="0" applyFont="0" applyFill="0" applyBorder="0" applyAlignment="0" applyProtection="0"/>
    <xf numFmtId="0" fontId="3" fillId="0" borderId="0">
      <alignment horizontal="left" vertical="center" wrapText="1" indent="1"/>
    </xf>
    <xf numFmtId="0" fontId="12" fillId="0" borderId="7">
      <alignment horizontal="left" vertical="center" indent="1"/>
    </xf>
    <xf numFmtId="0" fontId="7" fillId="0" borderId="8">
      <alignment horizontal="left" vertical="center" wrapText="1" indent="1"/>
    </xf>
    <xf numFmtId="0" fontId="8" fillId="0" borderId="10" applyFill="0">
      <alignment horizontal="left" vertical="center" wrapText="1" indent="1"/>
    </xf>
  </cellStyleXfs>
  <cellXfs count="883">
    <xf numFmtId="0" fontId="0" fillId="0" borderId="0" xfId="0">
      <alignment horizontal="left" vertical="center" wrapText="1" indent="1"/>
    </xf>
    <xf numFmtId="0" fontId="5" fillId="0" borderId="0" xfId="6">
      <alignment horizontal="left" vertical="center" wrapText="1" indent="1"/>
    </xf>
    <xf numFmtId="0" fontId="9" fillId="0" borderId="0" xfId="10" applyFont="1">
      <alignment horizontal="left" vertical="center" wrapText="1" indent="1"/>
    </xf>
    <xf numFmtId="0" fontId="0" fillId="0" borderId="2" xfId="0" applyBorder="1">
      <alignment horizontal="left" vertical="center" wrapText="1" indent="1"/>
    </xf>
    <xf numFmtId="0" fontId="9" fillId="6" borderId="0" xfId="10" applyFont="1" applyFill="1">
      <alignment horizontal="left" vertical="center" wrapText="1" indent="1"/>
    </xf>
    <xf numFmtId="0" fontId="9" fillId="0" borderId="0" xfId="0" applyFont="1">
      <alignment horizontal="left" vertical="center" wrapText="1" indent="1"/>
    </xf>
    <xf numFmtId="0" fontId="9" fillId="0" borderId="16" xfId="0" applyFont="1" applyBorder="1">
      <alignment horizontal="left" vertical="center" wrapText="1" indent="1"/>
    </xf>
    <xf numFmtId="0" fontId="9" fillId="0" borderId="2" xfId="10" applyFont="1" applyBorder="1">
      <alignment horizontal="left" vertical="center" wrapText="1" indent="1"/>
    </xf>
    <xf numFmtId="0" fontId="8" fillId="0" borderId="10" xfId="3">
      <alignment horizontal="left" vertical="center" wrapText="1" indent="1"/>
    </xf>
    <xf numFmtId="0" fontId="14" fillId="6" borderId="5" xfId="10" applyFont="1" applyFill="1" applyBorder="1" applyAlignment="1">
      <alignment horizontal="left" vertical="center" indent="1"/>
    </xf>
    <xf numFmtId="0" fontId="8" fillId="0" borderId="12" xfId="3" applyBorder="1">
      <alignment horizontal="left" vertical="center" wrapText="1" indent="1"/>
    </xf>
    <xf numFmtId="0" fontId="8" fillId="0" borderId="11" xfId="3" applyBorder="1">
      <alignment horizontal="left" vertical="center" wrapText="1" indent="1"/>
    </xf>
    <xf numFmtId="0" fontId="8" fillId="0" borderId="9" xfId="3" applyBorder="1">
      <alignment horizontal="left" vertical="center" wrapText="1" indent="1"/>
    </xf>
    <xf numFmtId="0" fontId="12" fillId="0" borderId="7" xfId="1">
      <alignment horizontal="left" vertical="center" indent="1"/>
    </xf>
    <xf numFmtId="0" fontId="15" fillId="6" borderId="0" xfId="10" applyFont="1" applyFill="1">
      <alignment horizontal="left" vertical="center" wrapText="1" indent="1"/>
    </xf>
    <xf numFmtId="0" fontId="15" fillId="0" borderId="0" xfId="10" applyFont="1">
      <alignment horizontal="left" vertical="center" wrapText="1" indent="1"/>
    </xf>
    <xf numFmtId="0" fontId="14" fillId="6" borderId="5" xfId="10" applyFont="1" applyFill="1" applyBorder="1">
      <alignment horizontal="left" vertical="center" wrapText="1" indent="1"/>
    </xf>
    <xf numFmtId="0" fontId="14" fillId="6" borderId="5" xfId="0" applyFont="1" applyFill="1" applyBorder="1">
      <alignment horizontal="left" vertical="center" wrapText="1" indent="1"/>
    </xf>
    <xf numFmtId="0" fontId="14" fillId="0" borderId="0" xfId="0" applyFont="1">
      <alignment horizontal="left" vertical="center" wrapText="1" indent="1"/>
    </xf>
    <xf numFmtId="0" fontId="14" fillId="6" borderId="0" xfId="0" applyFont="1" applyFill="1">
      <alignment horizontal="left" vertical="center" wrapText="1" indent="1"/>
    </xf>
    <xf numFmtId="0" fontId="9" fillId="6" borderId="0" xfId="0" applyFont="1" applyFill="1">
      <alignment horizontal="left" vertical="center" wrapText="1" indent="1"/>
    </xf>
    <xf numFmtId="0" fontId="15" fillId="0" borderId="0" xfId="0" applyFont="1" applyAlignment="1">
      <alignment horizontal="left" vertical="center" indent="1"/>
    </xf>
    <xf numFmtId="0" fontId="9" fillId="6" borderId="6" xfId="0" applyFont="1" applyFill="1" applyBorder="1">
      <alignment horizontal="left" vertical="center" wrapText="1" indent="1"/>
    </xf>
    <xf numFmtId="0" fontId="9" fillId="0" borderId="1" xfId="0" applyFont="1" applyBorder="1">
      <alignment horizontal="left" vertical="center" wrapText="1" indent="1"/>
    </xf>
    <xf numFmtId="0" fontId="9" fillId="6" borderId="5" xfId="0" applyFont="1" applyFill="1" applyBorder="1">
      <alignment horizontal="left" vertical="center" wrapText="1" indent="1"/>
    </xf>
    <xf numFmtId="0" fontId="9" fillId="6" borderId="4" xfId="0" applyFont="1" applyFill="1" applyBorder="1">
      <alignment horizontal="left" vertical="center" wrapText="1" indent="1"/>
    </xf>
    <xf numFmtId="0" fontId="9" fillId="6" borderId="2" xfId="0" applyFont="1" applyFill="1" applyBorder="1">
      <alignment horizontal="left" vertical="center" wrapText="1" indent="1"/>
    </xf>
    <xf numFmtId="0" fontId="15" fillId="0" borderId="0" xfId="0" applyFont="1">
      <alignment horizontal="left" vertical="center" wrapText="1" indent="1"/>
    </xf>
    <xf numFmtId="0" fontId="9" fillId="0" borderId="18" xfId="0" applyFont="1" applyBorder="1">
      <alignment horizontal="left" vertical="center" wrapText="1" indent="1"/>
    </xf>
    <xf numFmtId="0" fontId="9" fillId="0" borderId="0" xfId="2" applyFont="1" applyBorder="1">
      <alignment horizontal="left" vertical="center" wrapText="1" indent="1"/>
    </xf>
    <xf numFmtId="0" fontId="10" fillId="0" borderId="0" xfId="0" applyFont="1">
      <alignment horizontal="left" vertical="center" wrapText="1" indent="1"/>
    </xf>
    <xf numFmtId="0" fontId="8" fillId="0" borderId="0" xfId="3" applyBorder="1">
      <alignment horizontal="left" vertical="center" wrapText="1" indent="1"/>
    </xf>
    <xf numFmtId="0" fontId="15" fillId="0" borderId="0" xfId="0" applyFont="1" applyAlignment="1">
      <alignment horizontal="left" vertical="center" wrapText="1"/>
    </xf>
    <xf numFmtId="164" fontId="9" fillId="0" borderId="0" xfId="0" applyNumberFormat="1" applyFont="1" applyAlignment="1" applyProtection="1">
      <alignment horizontal="right" vertical="center" wrapText="1" indent="1"/>
      <protection locked="0"/>
    </xf>
    <xf numFmtId="0" fontId="9" fillId="0" borderId="2" xfId="0" applyFont="1" applyBorder="1">
      <alignment horizontal="left" vertical="center" wrapText="1" indent="1"/>
    </xf>
    <xf numFmtId="0" fontId="9" fillId="0" borderId="0" xfId="0" applyFont="1" applyAlignment="1">
      <alignment horizontal="left" wrapText="1"/>
    </xf>
    <xf numFmtId="0" fontId="9" fillId="6" borderId="0" xfId="0" applyFont="1" applyFill="1" applyAlignment="1">
      <alignment horizontal="left" vertical="center" wrapText="1"/>
    </xf>
    <xf numFmtId="0" fontId="12" fillId="6" borderId="7" xfId="1" applyFill="1">
      <alignment horizontal="left" vertical="center" indent="1"/>
    </xf>
    <xf numFmtId="0" fontId="8" fillId="0" borderId="0" xfId="2" applyFont="1" applyBorder="1" applyAlignment="1">
      <alignment horizontal="right" vertical="center" wrapText="1" indent="1"/>
    </xf>
    <xf numFmtId="0" fontId="9" fillId="0" borderId="0" xfId="0" applyFont="1" applyAlignment="1">
      <alignment vertical="center" wrapText="1"/>
    </xf>
    <xf numFmtId="0" fontId="15" fillId="6" borderId="0" xfId="0" applyFont="1" applyFill="1">
      <alignment horizontal="left" vertical="center" wrapText="1" indent="1"/>
    </xf>
    <xf numFmtId="0" fontId="9" fillId="0" borderId="2" xfId="2" applyFont="1" applyBorder="1">
      <alignment horizontal="left" vertical="center" wrapText="1" indent="1"/>
    </xf>
    <xf numFmtId="0" fontId="9" fillId="0" borderId="0" xfId="0" applyFont="1" applyAlignment="1">
      <alignment horizontal="left" vertical="center"/>
    </xf>
    <xf numFmtId="0" fontId="9" fillId="6" borderId="0" xfId="0" applyFont="1" applyFill="1" applyAlignment="1">
      <alignment horizontal="left" vertical="center"/>
    </xf>
    <xf numFmtId="0" fontId="9" fillId="6" borderId="0" xfId="0" applyFont="1" applyFill="1" applyAlignment="1">
      <alignment horizontal="center" vertical="center"/>
    </xf>
    <xf numFmtId="0" fontId="12" fillId="6" borderId="0" xfId="1" applyFill="1" applyBorder="1">
      <alignment horizontal="left" vertical="center" indent="1"/>
    </xf>
    <xf numFmtId="0" fontId="9" fillId="0" borderId="14" xfId="2" applyFont="1" applyBorder="1">
      <alignment horizontal="left" vertical="center" wrapText="1" indent="1"/>
    </xf>
    <xf numFmtId="0" fontId="10" fillId="6" borderId="0" xfId="0" applyFont="1" applyFill="1">
      <alignment horizontal="left" vertical="center" wrapText="1" indent="1"/>
    </xf>
    <xf numFmtId="14" fontId="9" fillId="0" borderId="0" xfId="0" applyNumberFormat="1" applyFont="1" applyProtection="1">
      <alignment horizontal="left" vertical="center" wrapText="1" indent="1"/>
      <protection locked="0"/>
    </xf>
    <xf numFmtId="0" fontId="10" fillId="6" borderId="5" xfId="0" applyFont="1" applyFill="1" applyBorder="1">
      <alignment horizontal="left" vertical="center" wrapText="1" indent="1"/>
    </xf>
    <xf numFmtId="0" fontId="9" fillId="0" borderId="1" xfId="2" applyFont="1" applyBorder="1">
      <alignment horizontal="left" vertical="center" wrapText="1" indent="1"/>
    </xf>
    <xf numFmtId="0" fontId="8" fillId="6" borderId="0" xfId="2" applyFont="1" applyFill="1" applyBorder="1">
      <alignment horizontal="left" vertical="center" wrapText="1" indent="1"/>
    </xf>
    <xf numFmtId="0" fontId="9" fillId="6" borderId="0" xfId="7" applyFont="1" applyFill="1" applyAlignment="1">
      <alignment horizontal="left" vertical="center" wrapText="1" indent="1"/>
    </xf>
    <xf numFmtId="0" fontId="16" fillId="6" borderId="0" xfId="6" applyFont="1" applyFill="1">
      <alignment horizontal="left" vertical="center" wrapText="1" indent="1"/>
    </xf>
    <xf numFmtId="0" fontId="0" fillId="6" borderId="2" xfId="0" applyFill="1" applyBorder="1">
      <alignment horizontal="left" vertical="center" wrapText="1" indent="1"/>
    </xf>
    <xf numFmtId="0" fontId="12" fillId="6" borderId="2" xfId="1" applyFill="1" applyBorder="1">
      <alignment horizontal="left" vertical="center" indent="1"/>
    </xf>
    <xf numFmtId="0" fontId="9" fillId="0" borderId="24" xfId="2" applyFont="1" applyBorder="1">
      <alignment horizontal="left" vertical="center" wrapText="1" indent="1"/>
    </xf>
    <xf numFmtId="0" fontId="7" fillId="9" borderId="8" xfId="2" applyFill="1">
      <alignment horizontal="left" vertical="center" wrapText="1" indent="1"/>
    </xf>
    <xf numFmtId="0" fontId="9" fillId="0" borderId="14" xfId="0" applyFont="1" applyBorder="1">
      <alignment horizontal="left" vertical="center" wrapText="1" indent="1"/>
    </xf>
    <xf numFmtId="0" fontId="9" fillId="0" borderId="23" xfId="0" applyFont="1" applyBorder="1">
      <alignment horizontal="left" vertical="center" wrapText="1" indent="1"/>
    </xf>
    <xf numFmtId="0" fontId="9" fillId="0" borderId="26" xfId="0" applyFont="1" applyBorder="1">
      <alignment horizontal="left" vertical="center" wrapText="1" indent="1"/>
    </xf>
    <xf numFmtId="0" fontId="9" fillId="0" borderId="29" xfId="0" applyFont="1" applyBorder="1">
      <alignment horizontal="left" vertical="center" wrapText="1" indent="1"/>
    </xf>
    <xf numFmtId="0" fontId="7" fillId="9" borderId="0" xfId="2" applyFill="1" applyBorder="1">
      <alignment horizontal="left" vertical="center" wrapText="1" indent="1"/>
    </xf>
    <xf numFmtId="0" fontId="9" fillId="0" borderId="30" xfId="0" applyFont="1" applyBorder="1">
      <alignment horizontal="left" vertical="center" wrapText="1" indent="1"/>
    </xf>
    <xf numFmtId="0" fontId="8" fillId="0" borderId="13" xfId="3" applyBorder="1">
      <alignment horizontal="left" vertical="center" wrapText="1" indent="1"/>
    </xf>
    <xf numFmtId="0" fontId="9" fillId="0" borderId="27" xfId="0" applyFont="1" applyBorder="1">
      <alignment horizontal="left" vertical="center" wrapText="1" indent="1"/>
    </xf>
    <xf numFmtId="0" fontId="9" fillId="0" borderId="22" xfId="0" applyFont="1" applyBorder="1">
      <alignment horizontal="left" vertical="center" wrapText="1" indent="1"/>
    </xf>
    <xf numFmtId="0" fontId="9" fillId="6" borderId="2" xfId="10" applyFont="1" applyFill="1" applyBorder="1">
      <alignment horizontal="left" vertical="center" wrapText="1" indent="1"/>
    </xf>
    <xf numFmtId="0" fontId="9" fillId="8" borderId="2" xfId="0" applyFont="1" applyFill="1" applyBorder="1">
      <alignment horizontal="left" vertical="center" wrapText="1" indent="1"/>
    </xf>
    <xf numFmtId="0" fontId="22" fillId="8" borderId="2" xfId="0" applyFont="1" applyFill="1" applyBorder="1">
      <alignment horizontal="left" vertical="center" wrapText="1" indent="1"/>
    </xf>
    <xf numFmtId="0" fontId="9" fillId="10" borderId="22" xfId="0" applyFont="1" applyFill="1" applyBorder="1">
      <alignment horizontal="left" vertical="center" wrapText="1" indent="1"/>
    </xf>
    <xf numFmtId="0" fontId="22" fillId="10" borderId="3" xfId="0" applyFont="1" applyFill="1" applyBorder="1">
      <alignment horizontal="left" vertical="center" wrapText="1" indent="1"/>
    </xf>
    <xf numFmtId="0" fontId="22" fillId="10" borderId="1" xfId="0" applyFont="1" applyFill="1" applyBorder="1">
      <alignment horizontal="left" vertical="center" wrapText="1" indent="1"/>
    </xf>
    <xf numFmtId="0" fontId="7" fillId="6" borderId="0" xfId="2" applyFill="1" applyBorder="1">
      <alignment horizontal="left" vertical="center" wrapText="1" indent="1"/>
    </xf>
    <xf numFmtId="0" fontId="23" fillId="0" borderId="0" xfId="0" applyFont="1">
      <alignment horizontal="left" vertical="center" wrapText="1" indent="1"/>
    </xf>
    <xf numFmtId="0" fontId="22" fillId="8" borderId="3" xfId="0" applyFont="1" applyFill="1" applyBorder="1">
      <alignment horizontal="left" vertical="center" wrapText="1" indent="1"/>
    </xf>
    <xf numFmtId="0" fontId="5" fillId="0" borderId="2" xfId="6" applyBorder="1">
      <alignment horizontal="left" vertical="center" wrapText="1" indent="1"/>
    </xf>
    <xf numFmtId="0" fontId="9" fillId="0" borderId="0" xfId="3" applyFont="1" applyBorder="1">
      <alignment horizontal="left" vertical="center" wrapText="1" indent="1"/>
    </xf>
    <xf numFmtId="0" fontId="26" fillId="9" borderId="38" xfId="0" applyFont="1" applyFill="1" applyBorder="1" applyAlignment="1">
      <alignment horizontal="center" vertical="center" wrapText="1"/>
    </xf>
    <xf numFmtId="0" fontId="10" fillId="6" borderId="0" xfId="0" applyFont="1" applyFill="1" applyProtection="1">
      <alignment horizontal="left" vertical="center" wrapText="1" indent="1"/>
      <protection locked="0"/>
    </xf>
    <xf numFmtId="0" fontId="0" fillId="0" borderId="40" xfId="0" applyBorder="1">
      <alignment horizontal="left" vertical="center" wrapText="1" indent="1"/>
    </xf>
    <xf numFmtId="165" fontId="0" fillId="0" borderId="40" xfId="0" applyNumberFormat="1" applyBorder="1">
      <alignment horizontal="left" vertical="center" wrapText="1" indent="1"/>
    </xf>
    <xf numFmtId="0" fontId="26" fillId="9" borderId="40" xfId="0" applyFont="1" applyFill="1" applyBorder="1" applyAlignment="1">
      <alignment horizontal="center" vertical="center" wrapText="1"/>
    </xf>
    <xf numFmtId="0" fontId="9" fillId="0" borderId="40" xfId="0" applyFont="1" applyBorder="1">
      <alignment horizontal="left" vertical="center" wrapText="1" indent="1"/>
    </xf>
    <xf numFmtId="14" fontId="9" fillId="0" borderId="14" xfId="0" applyNumberFormat="1" applyFont="1" applyBorder="1">
      <alignment horizontal="left" vertical="center" wrapText="1" indent="1"/>
    </xf>
    <xf numFmtId="14" fontId="9" fillId="0" borderId="0" xfId="0" applyNumberFormat="1" applyFont="1">
      <alignment horizontal="left" vertical="center" wrapText="1" indent="1"/>
    </xf>
    <xf numFmtId="0" fontId="0" fillId="0" borderId="0" xfId="0" applyAlignment="1">
      <alignment horizontal="left" vertical="top" wrapText="1"/>
    </xf>
    <xf numFmtId="0" fontId="0" fillId="0" borderId="0" xfId="0" applyAlignment="1">
      <alignment horizontal="left" vertical="top"/>
    </xf>
    <xf numFmtId="0" fontId="32" fillId="0" borderId="0" xfId="0" applyFont="1" applyAlignment="1">
      <alignment horizontal="left" vertical="top" wrapText="1"/>
    </xf>
    <xf numFmtId="0" fontId="33" fillId="0" borderId="0" xfId="0" applyFont="1" applyAlignment="1">
      <alignment horizontal="left" vertical="top" wrapText="1"/>
    </xf>
    <xf numFmtId="0" fontId="35" fillId="0" borderId="0" xfId="0" applyFont="1" applyAlignment="1">
      <alignment horizontal="left" vertical="top" wrapText="1"/>
    </xf>
    <xf numFmtId="0" fontId="34" fillId="0" borderId="0" xfId="0" applyFont="1" applyAlignment="1">
      <alignment horizontal="left" vertical="top" wrapText="1"/>
    </xf>
    <xf numFmtId="0" fontId="0" fillId="0" borderId="40" xfId="0" applyBorder="1" applyAlignment="1">
      <alignment horizontal="left" vertical="center" wrapText="1"/>
    </xf>
    <xf numFmtId="0" fontId="0" fillId="0" borderId="0" xfId="0" applyAlignment="1">
      <alignment horizontal="center" vertical="center" wrapText="1"/>
    </xf>
    <xf numFmtId="0" fontId="7" fillId="9" borderId="48" xfId="2" applyFill="1" applyBorder="1">
      <alignment horizontal="left" vertical="center" wrapText="1" indent="1"/>
    </xf>
    <xf numFmtId="9" fontId="27" fillId="0" borderId="40" xfId="18" applyFont="1" applyFill="1" applyBorder="1" applyAlignment="1">
      <alignment horizontal="left" vertical="center"/>
    </xf>
    <xf numFmtId="164" fontId="27" fillId="0" borderId="40" xfId="18" applyNumberFormat="1" applyFont="1" applyFill="1" applyBorder="1" applyAlignment="1">
      <alignment horizontal="left" vertical="center"/>
    </xf>
    <xf numFmtId="0" fontId="9" fillId="0" borderId="0" xfId="0" applyFont="1" applyAlignment="1">
      <alignment horizontal="center" vertical="center"/>
    </xf>
    <xf numFmtId="0" fontId="0" fillId="0" borderId="0" xfId="0" applyAlignment="1">
      <alignment horizontal="left" vertical="center" wrapText="1"/>
    </xf>
    <xf numFmtId="0" fontId="9" fillId="8" borderId="3" xfId="0" applyFont="1" applyFill="1" applyBorder="1">
      <alignment horizontal="left" vertical="center" wrapText="1" indent="1"/>
    </xf>
    <xf numFmtId="0" fontId="8" fillId="0" borderId="18" xfId="2" applyFont="1" applyBorder="1" applyAlignment="1">
      <alignment horizontal="center" vertical="center" wrapText="1"/>
    </xf>
    <xf numFmtId="0" fontId="26" fillId="9" borderId="38" xfId="0" applyFont="1" applyFill="1" applyBorder="1" applyAlignment="1">
      <alignment horizontal="left" vertical="center" wrapText="1"/>
    </xf>
    <xf numFmtId="0" fontId="4" fillId="0" borderId="39" xfId="0" applyFont="1" applyBorder="1" applyAlignment="1">
      <alignment horizontal="left" vertical="center" wrapText="1"/>
    </xf>
    <xf numFmtId="0" fontId="9" fillId="0" borderId="24" xfId="0" applyFont="1" applyBorder="1">
      <alignment horizontal="left" vertical="center" wrapText="1" indent="1"/>
    </xf>
    <xf numFmtId="0" fontId="8" fillId="0" borderId="52" xfId="2" applyFont="1" applyBorder="1" applyAlignment="1">
      <alignment horizontal="right" vertical="center" wrapText="1" indent="1"/>
    </xf>
    <xf numFmtId="0" fontId="26" fillId="9" borderId="40" xfId="0" applyFont="1" applyFill="1" applyBorder="1" applyAlignment="1">
      <alignment horizontal="left" vertical="center" wrapText="1"/>
    </xf>
    <xf numFmtId="0" fontId="9" fillId="0" borderId="2" xfId="10" applyFont="1" applyBorder="1" applyProtection="1">
      <alignment horizontal="left" vertical="center" wrapText="1" indent="1"/>
      <protection locked="0"/>
    </xf>
    <xf numFmtId="10" fontId="27" fillId="0" borderId="40" xfId="18" applyNumberFormat="1" applyFont="1" applyFill="1" applyBorder="1" applyAlignment="1">
      <alignment horizontal="left" vertical="center"/>
    </xf>
    <xf numFmtId="167" fontId="27" fillId="0" borderId="40" xfId="18" applyNumberFormat="1" applyFont="1" applyFill="1" applyBorder="1" applyAlignment="1">
      <alignment horizontal="left" vertical="center"/>
    </xf>
    <xf numFmtId="14" fontId="9" fillId="0" borderId="53" xfId="0" applyNumberFormat="1" applyFont="1" applyBorder="1">
      <alignment horizontal="left" vertical="center" wrapText="1" indent="1"/>
    </xf>
    <xf numFmtId="14" fontId="9" fillId="0" borderId="23" xfId="0" applyNumberFormat="1" applyFont="1" applyBorder="1">
      <alignment horizontal="left" vertical="center" wrapText="1" indent="1"/>
    </xf>
    <xf numFmtId="14" fontId="9" fillId="0" borderId="54" xfId="0" applyNumberFormat="1" applyFont="1" applyBorder="1">
      <alignment horizontal="left" vertical="center" wrapText="1" indent="1"/>
    </xf>
    <xf numFmtId="0" fontId="9" fillId="0" borderId="0" xfId="10" applyFont="1" applyProtection="1">
      <alignment horizontal="left" vertical="center" wrapText="1" indent="1"/>
      <protection locked="0"/>
    </xf>
    <xf numFmtId="0" fontId="27" fillId="0" borderId="40" xfId="18" applyNumberFormat="1" applyFont="1" applyFill="1" applyBorder="1" applyAlignment="1">
      <alignment horizontal="left" vertical="center"/>
    </xf>
    <xf numFmtId="0" fontId="8" fillId="0" borderId="40" xfId="0" applyFont="1" applyBorder="1" applyAlignment="1">
      <alignment horizontal="left" vertical="top" wrapText="1"/>
    </xf>
    <xf numFmtId="166" fontId="27" fillId="0" borderId="40" xfId="18" applyNumberFormat="1" applyFont="1" applyFill="1" applyBorder="1" applyAlignment="1">
      <alignment horizontal="left" vertical="center"/>
    </xf>
    <xf numFmtId="0" fontId="9" fillId="6" borderId="63" xfId="0" applyFont="1" applyFill="1" applyBorder="1">
      <alignment horizontal="left" vertical="center" wrapText="1" indent="1"/>
    </xf>
    <xf numFmtId="0" fontId="9" fillId="6" borderId="56" xfId="0" applyFont="1" applyFill="1" applyBorder="1">
      <alignment horizontal="left" vertical="center" wrapText="1" indent="1"/>
    </xf>
    <xf numFmtId="0" fontId="9" fillId="0" borderId="58" xfId="2" applyFont="1" applyBorder="1">
      <alignment horizontal="left" vertical="center" wrapText="1" indent="1"/>
    </xf>
    <xf numFmtId="0" fontId="9" fillId="0" borderId="58" xfId="0" applyFont="1" applyBorder="1">
      <alignment horizontal="left" vertical="center" wrapText="1" indent="1"/>
    </xf>
    <xf numFmtId="164" fontId="9" fillId="0" borderId="58" xfId="0" applyNumberFormat="1" applyFont="1" applyBorder="1" applyProtection="1">
      <alignment horizontal="left" vertical="center" wrapText="1" indent="1"/>
      <protection locked="0"/>
    </xf>
    <xf numFmtId="0" fontId="9" fillId="0" borderId="56" xfId="2" applyFont="1" applyBorder="1">
      <alignment horizontal="left" vertical="center" wrapText="1" indent="1"/>
    </xf>
    <xf numFmtId="0" fontId="9" fillId="0" borderId="57" xfId="0" applyFont="1" applyBorder="1">
      <alignment horizontal="left" vertical="center" wrapText="1" indent="1"/>
    </xf>
    <xf numFmtId="0" fontId="41" fillId="0" borderId="0" xfId="0" applyFont="1">
      <alignment horizontal="left" vertical="center" wrapText="1" indent="1"/>
    </xf>
    <xf numFmtId="0" fontId="9" fillId="0" borderId="66" xfId="0" applyFont="1" applyBorder="1">
      <alignment horizontal="left" vertical="center" wrapText="1" indent="1"/>
    </xf>
    <xf numFmtId="0" fontId="9" fillId="0" borderId="69" xfId="2" applyFont="1" applyBorder="1">
      <alignment horizontal="left" vertical="center" wrapText="1" indent="1"/>
    </xf>
    <xf numFmtId="0" fontId="9" fillId="0" borderId="70" xfId="0" applyFont="1" applyBorder="1">
      <alignment horizontal="left" vertical="center" wrapText="1" indent="1"/>
    </xf>
    <xf numFmtId="0" fontId="41" fillId="0" borderId="0" xfId="0" applyFont="1" applyAlignment="1">
      <alignment horizontal="left" vertical="center" indent="1"/>
    </xf>
    <xf numFmtId="0" fontId="9" fillId="0" borderId="58" xfId="0" applyFont="1" applyBorder="1" applyProtection="1">
      <alignment horizontal="left" vertical="center" wrapText="1" indent="1"/>
      <protection locked="0"/>
    </xf>
    <xf numFmtId="0" fontId="41" fillId="0" borderId="0" xfId="0" applyFont="1" applyAlignment="1">
      <alignment horizontal="left" vertical="center" wrapText="1"/>
    </xf>
    <xf numFmtId="0" fontId="22" fillId="8" borderId="0" xfId="0" applyFont="1" applyFill="1">
      <alignment horizontal="left" vertical="center" wrapText="1" indent="1"/>
    </xf>
    <xf numFmtId="0" fontId="7" fillId="9" borderId="17" xfId="2" applyFill="1" applyBorder="1">
      <alignment horizontal="left" vertical="center" wrapText="1" indent="1"/>
    </xf>
    <xf numFmtId="0" fontId="9" fillId="0" borderId="73" xfId="0" applyFont="1" applyBorder="1">
      <alignment horizontal="left" vertical="center" wrapText="1" indent="1"/>
    </xf>
    <xf numFmtId="0" fontId="8" fillId="0" borderId="77" xfId="3" applyBorder="1">
      <alignment horizontal="left" vertical="center" wrapText="1" indent="1"/>
    </xf>
    <xf numFmtId="0" fontId="15" fillId="0" borderId="71" xfId="0" applyFont="1" applyBorder="1">
      <alignment horizontal="left" vertical="center" wrapText="1" indent="1"/>
    </xf>
    <xf numFmtId="0" fontId="9" fillId="0" borderId="79" xfId="0" applyFont="1" applyBorder="1">
      <alignment horizontal="left" vertical="center" wrapText="1" indent="1"/>
    </xf>
    <xf numFmtId="0" fontId="9" fillId="0" borderId="64" xfId="2" applyFont="1" applyBorder="1">
      <alignment horizontal="left" vertical="center" wrapText="1" indent="1"/>
    </xf>
    <xf numFmtId="0" fontId="9" fillId="0" borderId="64" xfId="0" applyFont="1" applyBorder="1">
      <alignment horizontal="left" vertical="center" wrapText="1" indent="1"/>
    </xf>
    <xf numFmtId="0" fontId="42" fillId="0" borderId="0" xfId="0" applyFont="1">
      <alignment horizontal="left" vertical="center" wrapText="1" indent="1"/>
    </xf>
    <xf numFmtId="0" fontId="42" fillId="0" borderId="0" xfId="0" applyFont="1" applyAlignment="1">
      <alignment horizontal="left" vertical="center" indent="1"/>
    </xf>
    <xf numFmtId="0" fontId="9" fillId="0" borderId="59" xfId="2" applyFont="1" applyBorder="1">
      <alignment horizontal="left" vertical="center" wrapText="1" indent="1"/>
    </xf>
    <xf numFmtId="0" fontId="9" fillId="0" borderId="61" xfId="0" applyFont="1" applyBorder="1">
      <alignment horizontal="left" vertical="center" wrapText="1" indent="1"/>
    </xf>
    <xf numFmtId="0" fontId="43" fillId="0" borderId="0" xfId="0" applyFont="1">
      <alignment horizontal="left" vertical="center" wrapText="1" indent="1"/>
    </xf>
    <xf numFmtId="0" fontId="43" fillId="0" borderId="0" xfId="0" applyFont="1" applyAlignment="1">
      <alignment horizontal="left" vertical="center" wrapText="1"/>
    </xf>
    <xf numFmtId="0" fontId="43" fillId="0" borderId="0" xfId="0" applyFont="1" applyAlignment="1">
      <alignment horizontal="left" vertical="center" indent="1"/>
    </xf>
    <xf numFmtId="0" fontId="8" fillId="0" borderId="83" xfId="2" applyFont="1" applyBorder="1" applyAlignment="1">
      <alignment horizontal="right" vertical="center" wrapText="1" indent="1"/>
    </xf>
    <xf numFmtId="0" fontId="8" fillId="0" borderId="84" xfId="2" applyFont="1" applyBorder="1" applyAlignment="1">
      <alignment horizontal="right" vertical="center" wrapText="1" indent="1"/>
    </xf>
    <xf numFmtId="1" fontId="9" fillId="0" borderId="87" xfId="0" applyNumberFormat="1" applyFont="1" applyBorder="1">
      <alignment horizontal="left" vertical="center" wrapText="1" indent="1"/>
    </xf>
    <xf numFmtId="1" fontId="9" fillId="0" borderId="88" xfId="0" applyNumberFormat="1" applyFont="1" applyBorder="1">
      <alignment horizontal="left" vertical="center" wrapText="1" indent="1"/>
    </xf>
    <xf numFmtId="0" fontId="9" fillId="0" borderId="62" xfId="0" applyFont="1" applyBorder="1">
      <alignment horizontal="left" vertical="center" wrapText="1" indent="1"/>
    </xf>
    <xf numFmtId="0" fontId="9" fillId="6" borderId="58" xfId="0" applyFont="1" applyFill="1" applyBorder="1" applyProtection="1">
      <alignment horizontal="left" vertical="center" wrapText="1" indent="1"/>
      <protection locked="0"/>
    </xf>
    <xf numFmtId="0" fontId="9" fillId="0" borderId="65" xfId="0" applyFont="1" applyBorder="1" applyProtection="1">
      <alignment horizontal="left" vertical="center" wrapText="1" indent="1"/>
      <protection locked="0"/>
    </xf>
    <xf numFmtId="0" fontId="9" fillId="0" borderId="63" xfId="0" applyFont="1" applyBorder="1">
      <alignment horizontal="left" vertical="center" wrapText="1" indent="1"/>
    </xf>
    <xf numFmtId="1" fontId="9" fillId="0" borderId="66" xfId="0" applyNumberFormat="1" applyFont="1" applyBorder="1">
      <alignment horizontal="left" vertical="center" wrapText="1" indent="1"/>
    </xf>
    <xf numFmtId="0" fontId="9" fillId="0" borderId="86" xfId="0" applyFont="1" applyBorder="1" applyProtection="1">
      <alignment horizontal="left" vertical="center" wrapText="1" indent="1"/>
      <protection locked="0"/>
    </xf>
    <xf numFmtId="0" fontId="9" fillId="0" borderId="64" xfId="0" applyFont="1" applyBorder="1" applyProtection="1">
      <alignment horizontal="left" vertical="center" wrapText="1" indent="1"/>
      <protection locked="0"/>
    </xf>
    <xf numFmtId="0" fontId="9" fillId="0" borderId="56" xfId="0" applyFont="1" applyBorder="1">
      <alignment horizontal="left" vertical="center" wrapText="1" indent="1"/>
    </xf>
    <xf numFmtId="0" fontId="0" fillId="6" borderId="58" xfId="0" applyFill="1" applyBorder="1">
      <alignment horizontal="left" vertical="center" wrapText="1" indent="1"/>
    </xf>
    <xf numFmtId="0" fontId="9" fillId="0" borderId="57" xfId="2" applyFont="1" applyBorder="1">
      <alignment horizontal="left" vertical="center" wrapText="1" indent="1"/>
    </xf>
    <xf numFmtId="0" fontId="0" fillId="6" borderId="62" xfId="0" applyFill="1" applyBorder="1">
      <alignment horizontal="left" vertical="center" wrapText="1" indent="1"/>
    </xf>
    <xf numFmtId="0" fontId="14" fillId="0" borderId="58" xfId="0" applyFont="1" applyBorder="1">
      <alignment horizontal="left" vertical="center" wrapText="1" indent="1"/>
    </xf>
    <xf numFmtId="0" fontId="14" fillId="0" borderId="56" xfId="0" applyFont="1" applyBorder="1">
      <alignment horizontal="left" vertical="center" wrapText="1" indent="1"/>
    </xf>
    <xf numFmtId="0" fontId="9" fillId="0" borderId="85" xfId="0" applyFont="1" applyBorder="1">
      <alignment horizontal="left" vertical="center" wrapText="1" indent="1"/>
    </xf>
    <xf numFmtId="0" fontId="0" fillId="6" borderId="63" xfId="0" applyFill="1" applyBorder="1">
      <alignment horizontal="left" vertical="center" wrapText="1" indent="1"/>
    </xf>
    <xf numFmtId="0" fontId="9" fillId="0" borderId="89" xfId="0" applyFont="1" applyBorder="1">
      <alignment horizontal="left" vertical="center" wrapText="1" indent="1"/>
    </xf>
    <xf numFmtId="0" fontId="9" fillId="0" borderId="90" xfId="0" applyFont="1" applyBorder="1">
      <alignment horizontal="left" vertical="center" wrapText="1" indent="1"/>
    </xf>
    <xf numFmtId="0" fontId="9" fillId="0" borderId="91" xfId="0" applyFont="1" applyBorder="1">
      <alignment horizontal="left" vertical="center" wrapText="1" indent="1"/>
    </xf>
    <xf numFmtId="0" fontId="44" fillId="0" borderId="40" xfId="0" applyFont="1" applyBorder="1" applyAlignment="1">
      <alignment horizontal="left" vertical="center" wrapText="1"/>
    </xf>
    <xf numFmtId="0" fontId="44" fillId="0" borderId="40" xfId="0" applyFont="1" applyBorder="1">
      <alignment horizontal="left" vertical="center" wrapText="1" indent="1"/>
    </xf>
    <xf numFmtId="0" fontId="9" fillId="0" borderId="63" xfId="0" applyFont="1" applyBorder="1" applyProtection="1">
      <alignment horizontal="left" vertical="center" wrapText="1" indent="1"/>
      <protection locked="0"/>
    </xf>
    <xf numFmtId="0" fontId="9" fillId="0" borderId="62" xfId="2" applyFont="1" applyBorder="1">
      <alignment horizontal="left" vertical="center" wrapText="1" indent="1"/>
    </xf>
    <xf numFmtId="0" fontId="9" fillId="0" borderId="62" xfId="0" applyFont="1" applyBorder="1" applyProtection="1">
      <alignment horizontal="left" vertical="center" wrapText="1" indent="1"/>
      <protection locked="0"/>
    </xf>
    <xf numFmtId="0" fontId="9" fillId="0" borderId="94" xfId="2" applyFont="1" applyBorder="1">
      <alignment horizontal="left" vertical="center" wrapText="1" indent="1"/>
    </xf>
    <xf numFmtId="49" fontId="9" fillId="0" borderId="0" xfId="0" applyNumberFormat="1" applyFont="1" applyProtection="1">
      <alignment horizontal="left" vertical="center" wrapText="1" indent="1"/>
      <protection locked="0"/>
    </xf>
    <xf numFmtId="0" fontId="14" fillId="0" borderId="95" xfId="0" applyFont="1" applyBorder="1">
      <alignment horizontal="left" vertical="center" wrapText="1" indent="1"/>
    </xf>
    <xf numFmtId="0" fontId="14" fillId="0" borderId="94" xfId="2" applyFont="1" applyBorder="1">
      <alignment horizontal="left" vertical="center" wrapText="1" indent="1"/>
    </xf>
    <xf numFmtId="0" fontId="14" fillId="6" borderId="69" xfId="0" applyFont="1" applyFill="1" applyBorder="1" applyProtection="1">
      <alignment horizontal="left" vertical="center" wrapText="1" indent="1"/>
      <protection locked="0"/>
    </xf>
    <xf numFmtId="0" fontId="45" fillId="0" borderId="40" xfId="0" applyFont="1" applyBorder="1">
      <alignment horizontal="left" vertical="center" wrapText="1" indent="1"/>
    </xf>
    <xf numFmtId="0" fontId="9" fillId="0" borderId="58" xfId="3" applyFont="1" applyBorder="1">
      <alignment horizontal="left" vertical="center" wrapText="1" indent="1"/>
    </xf>
    <xf numFmtId="0" fontId="9" fillId="0" borderId="63" xfId="3" applyFont="1" applyBorder="1">
      <alignment horizontal="left" vertical="center" wrapText="1" indent="1"/>
    </xf>
    <xf numFmtId="164" fontId="9" fillId="0" borderId="63" xfId="0" applyNumberFormat="1" applyFont="1" applyBorder="1" applyProtection="1">
      <alignment horizontal="left" vertical="center" wrapText="1" indent="1"/>
      <protection locked="0"/>
    </xf>
    <xf numFmtId="0" fontId="14" fillId="0" borderId="62" xfId="0" applyFont="1" applyBorder="1">
      <alignment horizontal="left" vertical="center" wrapText="1" indent="1"/>
    </xf>
    <xf numFmtId="0" fontId="9" fillId="0" borderId="59" xfId="0" applyFont="1" applyBorder="1">
      <alignment horizontal="left" vertical="center" wrapText="1" indent="1"/>
    </xf>
    <xf numFmtId="0" fontId="9" fillId="0" borderId="60" xfId="0" applyFont="1" applyBorder="1">
      <alignment horizontal="left" vertical="center" wrapText="1" indent="1"/>
    </xf>
    <xf numFmtId="0" fontId="26" fillId="11" borderId="40" xfId="0" applyFont="1" applyFill="1" applyBorder="1" applyAlignment="1">
      <alignment horizontal="center" vertical="center" wrapText="1"/>
    </xf>
    <xf numFmtId="0" fontId="4" fillId="11" borderId="40" xfId="0" applyFont="1" applyFill="1" applyBorder="1" applyAlignment="1">
      <alignment horizontal="center" vertical="center" wrapText="1"/>
    </xf>
    <xf numFmtId="0" fontId="0" fillId="0" borderId="0" xfId="0" applyAlignment="1">
      <alignment horizontal="center" vertical="center"/>
    </xf>
    <xf numFmtId="49" fontId="9" fillId="0" borderId="55" xfId="0" applyNumberFormat="1" applyFont="1" applyBorder="1" applyProtection="1">
      <alignment horizontal="left" vertical="center" wrapText="1" indent="1"/>
      <protection locked="0"/>
    </xf>
    <xf numFmtId="0" fontId="9" fillId="0" borderId="97" xfId="0" applyFont="1" applyBorder="1">
      <alignment horizontal="left" vertical="center" wrapText="1" indent="1"/>
    </xf>
    <xf numFmtId="0" fontId="9" fillId="0" borderId="98" xfId="0" applyFont="1" applyBorder="1">
      <alignment horizontal="left" vertical="center" wrapText="1" indent="1"/>
    </xf>
    <xf numFmtId="0" fontId="4" fillId="11" borderId="44" xfId="0" applyFont="1" applyFill="1" applyBorder="1" applyAlignment="1">
      <alignment horizontal="center" vertical="center" wrapText="1"/>
    </xf>
    <xf numFmtId="0" fontId="14" fillId="0" borderId="99" xfId="2" applyFont="1" applyBorder="1">
      <alignment horizontal="left" vertical="center" wrapText="1" indent="1"/>
    </xf>
    <xf numFmtId="0" fontId="14" fillId="0" borderId="62" xfId="2" applyFont="1" applyBorder="1">
      <alignment horizontal="left" vertical="center" wrapText="1" indent="1"/>
    </xf>
    <xf numFmtId="49" fontId="9" fillId="0" borderId="100" xfId="0" applyNumberFormat="1" applyFont="1" applyBorder="1" applyProtection="1">
      <alignment horizontal="left" vertical="center" wrapText="1" indent="1"/>
      <protection locked="0"/>
    </xf>
    <xf numFmtId="0" fontId="7" fillId="9" borderId="8" xfId="2" applyFill="1" applyAlignment="1">
      <alignment horizontal="left" vertical="center" indent="1"/>
    </xf>
    <xf numFmtId="0" fontId="9" fillId="6" borderId="0" xfId="0" applyFont="1" applyFill="1" applyAlignment="1">
      <alignment horizontal="left" vertical="center" indent="1"/>
    </xf>
    <xf numFmtId="49" fontId="7" fillId="9" borderId="8" xfId="2" applyNumberFormat="1" applyFill="1">
      <alignment horizontal="left" vertical="center" wrapText="1" indent="1"/>
    </xf>
    <xf numFmtId="49" fontId="0" fillId="6" borderId="0" xfId="0" applyNumberFormat="1" applyFill="1">
      <alignment horizontal="left" vertical="center" wrapText="1" indent="1"/>
    </xf>
    <xf numFmtId="49" fontId="7" fillId="9" borderId="8" xfId="2" applyNumberFormat="1" applyFill="1" applyAlignment="1">
      <alignment horizontal="left" vertical="center" indent="1"/>
    </xf>
    <xf numFmtId="49" fontId="8" fillId="0" borderId="10" xfId="3" applyNumberFormat="1">
      <alignment horizontal="left" vertical="center" wrapText="1" indent="1"/>
    </xf>
    <xf numFmtId="49" fontId="22" fillId="8" borderId="3" xfId="0" applyNumberFormat="1" applyFont="1" applyFill="1" applyBorder="1">
      <alignment horizontal="left" vertical="center" wrapText="1" indent="1"/>
    </xf>
    <xf numFmtId="49" fontId="9" fillId="6" borderId="0" xfId="0" applyNumberFormat="1" applyFont="1" applyFill="1">
      <alignment horizontal="left" vertical="center" wrapText="1" indent="1"/>
    </xf>
    <xf numFmtId="49" fontId="0" fillId="6" borderId="2" xfId="0" applyNumberFormat="1" applyFill="1" applyBorder="1">
      <alignment horizontal="left" vertical="center" wrapText="1" indent="1"/>
    </xf>
    <xf numFmtId="49" fontId="9" fillId="9" borderId="0" xfId="0" applyNumberFormat="1" applyFont="1" applyFill="1">
      <alignment horizontal="left" vertical="center" wrapText="1" indent="1"/>
    </xf>
    <xf numFmtId="49" fontId="14" fillId="9" borderId="0" xfId="10" applyNumberFormat="1" applyFont="1" applyFill="1">
      <alignment horizontal="left" vertical="center" wrapText="1" indent="1"/>
    </xf>
    <xf numFmtId="49" fontId="9" fillId="0" borderId="0" xfId="10" applyNumberFormat="1" applyFont="1" applyProtection="1">
      <alignment horizontal="left" vertical="center" wrapText="1" indent="1"/>
      <protection locked="0"/>
    </xf>
    <xf numFmtId="49" fontId="9" fillId="0" borderId="0" xfId="3" applyNumberFormat="1" applyFont="1" applyBorder="1" applyProtection="1">
      <alignment horizontal="left" vertical="center" wrapText="1" indent="1"/>
      <protection locked="0"/>
    </xf>
    <xf numFmtId="49" fontId="9" fillId="6" borderId="0" xfId="0" applyNumberFormat="1" applyFont="1" applyFill="1" applyProtection="1">
      <alignment horizontal="left" vertical="center" wrapText="1" indent="1"/>
      <protection locked="0"/>
    </xf>
    <xf numFmtId="0" fontId="9" fillId="0" borderId="101" xfId="0" applyFont="1" applyBorder="1">
      <alignment horizontal="left" vertical="center" wrapText="1" indent="1"/>
    </xf>
    <xf numFmtId="0" fontId="9" fillId="6" borderId="1" xfId="0" applyFont="1" applyFill="1" applyBorder="1">
      <alignment horizontal="left" vertical="center" wrapText="1" indent="1"/>
    </xf>
    <xf numFmtId="49" fontId="12" fillId="0" borderId="7" xfId="1" applyNumberFormat="1">
      <alignment horizontal="left" vertical="center" indent="1"/>
    </xf>
    <xf numFmtId="0" fontId="0" fillId="6" borderId="0" xfId="0" applyFill="1">
      <alignment horizontal="left" vertical="center" wrapText="1" indent="1"/>
    </xf>
    <xf numFmtId="0" fontId="9" fillId="0" borderId="68" xfId="0" applyFont="1" applyBorder="1">
      <alignment horizontal="left" vertical="center" wrapText="1" indent="1"/>
    </xf>
    <xf numFmtId="0" fontId="9" fillId="8" borderId="31" xfId="0" applyFont="1" applyFill="1" applyBorder="1">
      <alignment horizontal="left" vertical="center" wrapText="1" indent="1"/>
    </xf>
    <xf numFmtId="0" fontId="9" fillId="0" borderId="41" xfId="0" applyFont="1" applyBorder="1" applyProtection="1">
      <alignment horizontal="left" vertical="center" wrapText="1" indent="1"/>
      <protection locked="0"/>
    </xf>
    <xf numFmtId="0" fontId="9" fillId="0" borderId="0" xfId="0" applyFont="1" applyProtection="1">
      <alignment horizontal="left" vertical="center" wrapText="1" indent="1"/>
      <protection locked="0"/>
    </xf>
    <xf numFmtId="0" fontId="8" fillId="0" borderId="59" xfId="2" applyFont="1" applyBorder="1" applyAlignment="1">
      <alignment horizontal="right" vertical="center" wrapText="1" indent="1"/>
    </xf>
    <xf numFmtId="0" fontId="8" fillId="0" borderId="69" xfId="2" applyFont="1" applyBorder="1" applyAlignment="1">
      <alignment horizontal="right" vertical="center" wrapText="1" indent="1"/>
    </xf>
    <xf numFmtId="0" fontId="7" fillId="9" borderId="103" xfId="2" applyFill="1" applyBorder="1">
      <alignment horizontal="left" vertical="center" wrapText="1" indent="1"/>
    </xf>
    <xf numFmtId="49" fontId="8" fillId="0" borderId="10" xfId="3" applyNumberFormat="1" applyAlignment="1">
      <alignment horizontal="right" vertical="center" wrapText="1" indent="1"/>
    </xf>
    <xf numFmtId="49" fontId="9" fillId="0" borderId="10" xfId="3" applyNumberFormat="1" applyFont="1">
      <alignment horizontal="left" vertical="center" wrapText="1" indent="1"/>
    </xf>
    <xf numFmtId="0" fontId="9" fillId="0" borderId="68" xfId="2" applyFont="1" applyBorder="1">
      <alignment horizontal="left" vertical="center" wrapText="1" indent="1"/>
    </xf>
    <xf numFmtId="0" fontId="9" fillId="0" borderId="66" xfId="2" applyFont="1" applyBorder="1">
      <alignment horizontal="left" vertical="center" wrapText="1" indent="1"/>
    </xf>
    <xf numFmtId="14" fontId="9" fillId="0" borderId="104" xfId="0" applyNumberFormat="1" applyFont="1" applyBorder="1" applyProtection="1">
      <alignment horizontal="left" vertical="center" wrapText="1" indent="1"/>
      <protection locked="0"/>
    </xf>
    <xf numFmtId="0" fontId="9" fillId="0" borderId="73" xfId="0" applyFont="1" applyBorder="1" applyProtection="1">
      <alignment horizontal="left" vertical="center" wrapText="1" indent="1"/>
      <protection locked="0"/>
    </xf>
    <xf numFmtId="0" fontId="14" fillId="0" borderId="59" xfId="0" applyFont="1" applyBorder="1">
      <alignment horizontal="left" vertical="center" wrapText="1" indent="1"/>
    </xf>
    <xf numFmtId="0" fontId="9" fillId="0" borderId="66" xfId="0" applyFont="1" applyBorder="1" applyProtection="1">
      <alignment horizontal="left" vertical="center" wrapText="1" indent="1"/>
      <protection locked="0"/>
    </xf>
    <xf numFmtId="0" fontId="9" fillId="0" borderId="57" xfId="0" applyFont="1" applyBorder="1" applyProtection="1">
      <alignment horizontal="left" vertical="center" wrapText="1" indent="1"/>
      <protection locked="0"/>
    </xf>
    <xf numFmtId="0" fontId="9" fillId="0" borderId="57" xfId="2" applyFont="1" applyBorder="1" applyProtection="1">
      <alignment horizontal="left" vertical="center" wrapText="1" indent="1"/>
      <protection locked="0"/>
    </xf>
    <xf numFmtId="0" fontId="0" fillId="6" borderId="63" xfId="0" applyFill="1" applyBorder="1" applyProtection="1">
      <alignment horizontal="left" vertical="center" wrapText="1" indent="1"/>
      <protection locked="0"/>
    </xf>
    <xf numFmtId="0" fontId="0" fillId="6" borderId="58" xfId="0" applyFill="1" applyBorder="1" applyProtection="1">
      <alignment horizontal="left" vertical="center" wrapText="1" indent="1"/>
      <protection locked="0"/>
    </xf>
    <xf numFmtId="0" fontId="0" fillId="6" borderId="62" xfId="0" applyFill="1" applyBorder="1" applyProtection="1">
      <alignment horizontal="left" vertical="center" wrapText="1" indent="1"/>
      <protection locked="0"/>
    </xf>
    <xf numFmtId="0" fontId="9" fillId="0" borderId="89" xfId="0" applyFont="1" applyBorder="1" applyProtection="1">
      <alignment horizontal="left" vertical="center" wrapText="1" indent="1"/>
      <protection locked="0"/>
    </xf>
    <xf numFmtId="0" fontId="9" fillId="0" borderId="90" xfId="0" applyFont="1" applyBorder="1" applyProtection="1">
      <alignment horizontal="left" vertical="center" wrapText="1" indent="1"/>
      <protection locked="0"/>
    </xf>
    <xf numFmtId="0" fontId="9" fillId="0" borderId="91" xfId="0" applyFont="1" applyBorder="1" applyProtection="1">
      <alignment horizontal="left" vertical="center" wrapText="1" indent="1"/>
      <protection locked="0"/>
    </xf>
    <xf numFmtId="0" fontId="8" fillId="0" borderId="102" xfId="2" applyFont="1" applyBorder="1" applyAlignment="1">
      <alignment horizontal="center" vertical="center" wrapText="1"/>
    </xf>
    <xf numFmtId="0" fontId="8" fillId="0" borderId="18" xfId="12" applyBorder="1" applyAlignment="1">
      <alignment horizontal="center" vertical="center" wrapText="1"/>
    </xf>
    <xf numFmtId="0" fontId="0" fillId="0" borderId="56" xfId="0" applyBorder="1">
      <alignment horizontal="left" vertical="center" wrapText="1" indent="1"/>
    </xf>
    <xf numFmtId="0" fontId="15" fillId="0" borderId="56" xfId="0" applyFont="1" applyBorder="1">
      <alignment horizontal="left" vertical="center" wrapText="1" indent="1"/>
    </xf>
    <xf numFmtId="0" fontId="14" fillId="0" borderId="63" xfId="0" applyFont="1" applyBorder="1">
      <alignment horizontal="left" vertical="center" wrapText="1" indent="1"/>
    </xf>
    <xf numFmtId="0" fontId="12" fillId="0" borderId="7" xfId="1" applyAlignment="1">
      <alignment horizontal="left" vertical="center"/>
    </xf>
    <xf numFmtId="0" fontId="7" fillId="9" borderId="8" xfId="2" applyFill="1" applyAlignment="1">
      <alignment horizontal="left" vertical="center" wrapText="1"/>
    </xf>
    <xf numFmtId="0" fontId="9" fillId="6" borderId="4" xfId="0" applyFont="1" applyFill="1" applyBorder="1" applyAlignment="1">
      <alignment horizontal="left" vertical="center" wrapText="1"/>
    </xf>
    <xf numFmtId="0" fontId="8" fillId="0" borderId="10" xfId="3" applyAlignment="1">
      <alignment horizontal="left" vertical="center" wrapText="1"/>
    </xf>
    <xf numFmtId="0" fontId="15" fillId="0" borderId="59" xfId="0" applyFont="1" applyBorder="1">
      <alignment horizontal="left" vertical="center" wrapText="1" indent="1"/>
    </xf>
    <xf numFmtId="0" fontId="13" fillId="0" borderId="7" xfId="4" applyFont="1" applyFill="1" applyBorder="1" applyAlignment="1">
      <alignment horizontal="left" vertical="center" indent="1"/>
    </xf>
    <xf numFmtId="0" fontId="15" fillId="0" borderId="73" xfId="0" applyFont="1" applyBorder="1">
      <alignment horizontal="left" vertical="center" wrapText="1" indent="1"/>
    </xf>
    <xf numFmtId="1" fontId="9" fillId="0" borderId="88" xfId="0" applyNumberFormat="1" applyFont="1" applyBorder="1" applyProtection="1">
      <alignment horizontal="left" vertical="center" wrapText="1" indent="1"/>
      <protection locked="0"/>
    </xf>
    <xf numFmtId="164" fontId="9" fillId="0" borderId="81" xfId="0" applyNumberFormat="1" applyFont="1" applyBorder="1" applyProtection="1">
      <alignment horizontal="left" vertical="center" wrapText="1" indent="1"/>
      <protection locked="0"/>
    </xf>
    <xf numFmtId="0" fontId="9" fillId="0" borderId="10" xfId="3" applyFont="1">
      <alignment horizontal="left" vertical="center" wrapText="1" indent="1"/>
    </xf>
    <xf numFmtId="0" fontId="15" fillId="0" borderId="2" xfId="10" applyFont="1" applyBorder="1">
      <alignment horizontal="left" vertical="center" wrapText="1" indent="1"/>
    </xf>
    <xf numFmtId="0" fontId="9" fillId="0" borderId="24" xfId="0" applyFont="1" applyBorder="1" applyProtection="1">
      <alignment horizontal="left" vertical="center" wrapText="1" indent="1"/>
      <protection locked="0"/>
    </xf>
    <xf numFmtId="14" fontId="9" fillId="0" borderId="53" xfId="0" applyNumberFormat="1" applyFont="1" applyBorder="1" applyProtection="1">
      <alignment horizontal="left" vertical="center" wrapText="1" indent="1"/>
      <protection locked="0"/>
    </xf>
    <xf numFmtId="14" fontId="9" fillId="0" borderId="23" xfId="0" applyNumberFormat="1" applyFont="1" applyBorder="1" applyProtection="1">
      <alignment horizontal="left" vertical="center" wrapText="1" indent="1"/>
      <protection locked="0"/>
    </xf>
    <xf numFmtId="0" fontId="22" fillId="10" borderId="106" xfId="0" applyFont="1" applyFill="1" applyBorder="1">
      <alignment horizontal="left" vertical="center" wrapText="1" indent="1"/>
    </xf>
    <xf numFmtId="0" fontId="9" fillId="6" borderId="17" xfId="0" applyFont="1" applyFill="1" applyBorder="1">
      <alignment horizontal="left" vertical="center" wrapText="1" indent="1"/>
    </xf>
    <xf numFmtId="0" fontId="9" fillId="0" borderId="0" xfId="0" applyFont="1" applyAlignment="1">
      <alignment horizontal="left" vertical="center" wrapText="1"/>
    </xf>
    <xf numFmtId="0" fontId="22" fillId="8" borderId="3" xfId="0" applyFont="1" applyFill="1" applyBorder="1" applyAlignment="1">
      <alignment horizontal="left" vertical="center" wrapText="1"/>
    </xf>
    <xf numFmtId="0" fontId="9" fillId="0" borderId="0" xfId="0" applyFont="1" applyAlignment="1">
      <alignment horizontal="left" vertical="center" indent="1"/>
    </xf>
    <xf numFmtId="0" fontId="9" fillId="0" borderId="52" xfId="0" applyFont="1" applyBorder="1">
      <alignment horizontal="left" vertical="center" wrapText="1" indent="1"/>
    </xf>
    <xf numFmtId="14" fontId="9" fillId="0" borderId="51" xfId="0" applyNumberFormat="1" applyFont="1" applyBorder="1" applyProtection="1">
      <alignment horizontal="left" vertical="center" wrapText="1" indent="1"/>
      <protection locked="0"/>
    </xf>
    <xf numFmtId="0" fontId="9" fillId="0" borderId="107" xfId="0" applyFont="1" applyBorder="1">
      <alignment horizontal="left" vertical="center" wrapText="1" indent="1"/>
    </xf>
    <xf numFmtId="0" fontId="9" fillId="0" borderId="108" xfId="0" applyFont="1" applyBorder="1">
      <alignment horizontal="left" vertical="center" wrapText="1" indent="1"/>
    </xf>
    <xf numFmtId="14" fontId="9" fillId="0" borderId="82" xfId="0" applyNumberFormat="1" applyFont="1" applyBorder="1">
      <alignment horizontal="left" vertical="center" wrapText="1" indent="1"/>
    </xf>
    <xf numFmtId="14" fontId="9" fillId="0" borderId="109" xfId="0" applyNumberFormat="1" applyFont="1" applyBorder="1">
      <alignment horizontal="left" vertical="center" wrapText="1" indent="1"/>
    </xf>
    <xf numFmtId="14" fontId="9" fillId="0" borderId="110" xfId="0" applyNumberFormat="1" applyFont="1" applyBorder="1" applyProtection="1">
      <alignment horizontal="left" vertical="center" wrapText="1" indent="1"/>
      <protection locked="0"/>
    </xf>
    <xf numFmtId="0" fontId="9" fillId="0" borderId="63" xfId="2" applyFont="1" applyBorder="1">
      <alignment horizontal="left" vertical="center" wrapText="1" indent="1"/>
    </xf>
    <xf numFmtId="0" fontId="9" fillId="6" borderId="58" xfId="0" applyFont="1" applyFill="1" applyBorder="1">
      <alignment horizontal="left" vertical="center" wrapText="1" indent="1"/>
    </xf>
    <xf numFmtId="0" fontId="8" fillId="0" borderId="112" xfId="2" applyFont="1" applyBorder="1" applyAlignment="1">
      <alignment horizontal="right" vertical="center" wrapText="1" indent="1"/>
    </xf>
    <xf numFmtId="164" fontId="9" fillId="0" borderId="59" xfId="0" applyNumberFormat="1" applyFont="1" applyBorder="1">
      <alignment horizontal="left" vertical="center" wrapText="1" indent="1"/>
    </xf>
    <xf numFmtId="0" fontId="8" fillId="0" borderId="113" xfId="2" applyFont="1" applyBorder="1" applyAlignment="1">
      <alignment horizontal="right" vertical="center" wrapText="1" indent="1"/>
    </xf>
    <xf numFmtId="164" fontId="9" fillId="0" borderId="113" xfId="0" applyNumberFormat="1" applyFont="1" applyBorder="1">
      <alignment horizontal="left" vertical="center" wrapText="1" indent="1"/>
    </xf>
    <xf numFmtId="0" fontId="8" fillId="0" borderId="112" xfId="2" applyFont="1" applyBorder="1">
      <alignment horizontal="left" vertical="center" wrapText="1" indent="1"/>
    </xf>
    <xf numFmtId="0" fontId="8" fillId="0" borderId="18" xfId="2" applyFont="1" applyBorder="1">
      <alignment horizontal="left" vertical="center" wrapText="1" indent="1"/>
    </xf>
    <xf numFmtId="0" fontId="12" fillId="0" borderId="2" xfId="1" applyBorder="1">
      <alignment horizontal="left" vertical="center" indent="1"/>
    </xf>
    <xf numFmtId="0" fontId="9" fillId="6" borderId="56" xfId="0" applyFont="1" applyFill="1" applyBorder="1" applyProtection="1">
      <alignment horizontal="left" vertical="center" wrapText="1" indent="1"/>
      <protection locked="0"/>
    </xf>
    <xf numFmtId="0" fontId="9" fillId="6" borderId="67" xfId="0" applyFont="1" applyFill="1" applyBorder="1" applyProtection="1">
      <alignment horizontal="left" vertical="center" wrapText="1" indent="1"/>
      <protection locked="0"/>
    </xf>
    <xf numFmtId="164" fontId="9" fillId="6" borderId="67" xfId="0" applyNumberFormat="1" applyFont="1" applyFill="1" applyBorder="1" applyProtection="1">
      <alignment horizontal="left" vertical="center" wrapText="1" indent="1"/>
      <protection locked="0"/>
    </xf>
    <xf numFmtId="0" fontId="9" fillId="6" borderId="85" xfId="0" applyFont="1" applyFill="1" applyBorder="1" applyProtection="1">
      <alignment horizontal="left" vertical="center" wrapText="1" indent="1"/>
      <protection locked="0"/>
    </xf>
    <xf numFmtId="0" fontId="9" fillId="6" borderId="62" xfId="0" applyFont="1" applyFill="1" applyBorder="1" applyProtection="1">
      <alignment horizontal="left" vertical="center" wrapText="1" indent="1"/>
      <protection locked="0"/>
    </xf>
    <xf numFmtId="0" fontId="15" fillId="0" borderId="85" xfId="0" applyFont="1" applyBorder="1">
      <alignment horizontal="left" vertical="center" wrapText="1" indent="1"/>
    </xf>
    <xf numFmtId="0" fontId="15" fillId="0" borderId="117" xfId="0" applyFont="1" applyBorder="1">
      <alignment horizontal="left" vertical="center" wrapText="1" indent="1"/>
    </xf>
    <xf numFmtId="0" fontId="15" fillId="0" borderId="118" xfId="0" applyFont="1" applyBorder="1">
      <alignment horizontal="left" vertical="center" wrapText="1" indent="1"/>
    </xf>
    <xf numFmtId="0" fontId="47" fillId="8" borderId="2" xfId="0" applyFont="1" applyFill="1" applyBorder="1">
      <alignment horizontal="left" vertical="center" wrapText="1" indent="1"/>
    </xf>
    <xf numFmtId="0" fontId="48" fillId="9" borderId="8" xfId="2" applyFont="1" applyFill="1">
      <alignment horizontal="left" vertical="center" wrapText="1" indent="1"/>
    </xf>
    <xf numFmtId="0" fontId="47" fillId="10" borderId="22" xfId="0" applyFont="1" applyFill="1" applyBorder="1">
      <alignment horizontal="left" vertical="center" wrapText="1" indent="1"/>
    </xf>
    <xf numFmtId="164" fontId="9" fillId="0" borderId="92" xfId="0" applyNumberFormat="1" applyFont="1" applyBorder="1" applyProtection="1">
      <alignment horizontal="left" vertical="center" wrapText="1" indent="1"/>
      <protection locked="0"/>
    </xf>
    <xf numFmtId="0" fontId="9" fillId="0" borderId="41" xfId="0" applyFont="1" applyBorder="1">
      <alignment horizontal="left" vertical="center" wrapText="1" indent="1"/>
    </xf>
    <xf numFmtId="0" fontId="9" fillId="0" borderId="20" xfId="0" applyFont="1" applyBorder="1">
      <alignment horizontal="left" vertical="center" wrapText="1" indent="1"/>
    </xf>
    <xf numFmtId="0" fontId="9" fillId="0" borderId="42" xfId="0" applyFont="1" applyBorder="1">
      <alignment horizontal="left" vertical="center" wrapText="1" indent="1"/>
    </xf>
    <xf numFmtId="0" fontId="9" fillId="0" borderId="2" xfId="0" applyFont="1" applyBorder="1" applyProtection="1">
      <alignment horizontal="left" vertical="center" wrapText="1" indent="1"/>
      <protection locked="0"/>
    </xf>
    <xf numFmtId="0" fontId="9" fillId="0" borderId="23" xfId="0" applyFont="1" applyBorder="1" applyProtection="1">
      <alignment horizontal="left" vertical="center" wrapText="1" indent="1"/>
      <protection locked="0"/>
    </xf>
    <xf numFmtId="0" fontId="9" fillId="0" borderId="20" xfId="0" applyFont="1" applyBorder="1" applyProtection="1">
      <alignment horizontal="left" vertical="center" wrapText="1" indent="1"/>
      <protection locked="0"/>
    </xf>
    <xf numFmtId="0" fontId="9" fillId="0" borderId="42" xfId="0" applyFont="1" applyBorder="1" applyProtection="1">
      <alignment horizontal="left" vertical="center" wrapText="1" indent="1"/>
      <protection locked="0"/>
    </xf>
    <xf numFmtId="0" fontId="9" fillId="0" borderId="74" xfId="0" applyFont="1" applyBorder="1" applyProtection="1">
      <alignment horizontal="left" vertical="center" wrapText="1" indent="1"/>
      <protection locked="0"/>
    </xf>
    <xf numFmtId="0" fontId="9" fillId="0" borderId="75" xfId="0" applyFont="1" applyBorder="1" applyProtection="1">
      <alignment horizontal="left" vertical="center" wrapText="1" indent="1"/>
      <protection locked="0"/>
    </xf>
    <xf numFmtId="0" fontId="9" fillId="0" borderId="76" xfId="0" applyFont="1" applyBorder="1" applyProtection="1">
      <alignment horizontal="left" vertical="center" wrapText="1" indent="1"/>
      <protection locked="0"/>
    </xf>
    <xf numFmtId="0" fontId="9" fillId="0" borderId="68" xfId="0" applyFont="1" applyBorder="1" applyProtection="1">
      <alignment horizontal="left" vertical="center" wrapText="1" indent="1"/>
      <protection locked="0"/>
    </xf>
    <xf numFmtId="14" fontId="9" fillId="0" borderId="105" xfId="0" applyNumberFormat="1" applyFont="1" applyBorder="1">
      <alignment horizontal="left" vertical="center" wrapText="1" indent="1"/>
    </xf>
    <xf numFmtId="0" fontId="9" fillId="0" borderId="86" xfId="0" applyFont="1" applyBorder="1">
      <alignment horizontal="left" vertical="center" wrapText="1" indent="1"/>
    </xf>
    <xf numFmtId="0" fontId="9" fillId="0" borderId="65" xfId="0" applyFont="1" applyBorder="1">
      <alignment horizontal="left" vertical="center" wrapText="1" indent="1"/>
    </xf>
    <xf numFmtId="10" fontId="9" fillId="0" borderId="58" xfId="18" applyNumberFormat="1" applyFont="1" applyBorder="1" applyAlignment="1" applyProtection="1">
      <alignment horizontal="right" vertical="center" wrapText="1"/>
      <protection locked="0"/>
    </xf>
    <xf numFmtId="0" fontId="9" fillId="0" borderId="121" xfId="0" applyFont="1" applyBorder="1">
      <alignment horizontal="left" vertical="center" wrapText="1" indent="1"/>
    </xf>
    <xf numFmtId="10" fontId="9" fillId="0" borderId="62" xfId="18" applyNumberFormat="1" applyFont="1" applyBorder="1" applyAlignment="1" applyProtection="1">
      <alignment horizontal="right" vertical="center" wrapText="1"/>
      <protection locked="0"/>
    </xf>
    <xf numFmtId="164" fontId="9" fillId="0" borderId="59" xfId="0" applyNumberFormat="1" applyFont="1" applyBorder="1" applyAlignment="1" applyProtection="1">
      <alignment horizontal="right" vertical="center" wrapText="1" indent="1"/>
      <protection locked="0"/>
    </xf>
    <xf numFmtId="164" fontId="9" fillId="0" borderId="113" xfId="0" applyNumberFormat="1" applyFont="1" applyBorder="1" applyAlignment="1" applyProtection="1">
      <alignment horizontal="right" vertical="center" wrapText="1" indent="1"/>
      <protection locked="0"/>
    </xf>
    <xf numFmtId="164" fontId="9" fillId="0" borderId="111" xfId="0" applyNumberFormat="1" applyFont="1" applyBorder="1" applyProtection="1">
      <alignment horizontal="left" vertical="center" wrapText="1" indent="1"/>
      <protection locked="0"/>
    </xf>
    <xf numFmtId="0" fontId="14" fillId="0" borderId="66" xfId="0" applyFont="1" applyBorder="1">
      <alignment horizontal="left" vertical="center" wrapText="1" indent="1"/>
    </xf>
    <xf numFmtId="0" fontId="14" fillId="0" borderId="70" xfId="0" applyFont="1" applyBorder="1">
      <alignment horizontal="left" vertical="center" wrapText="1" indent="1"/>
    </xf>
    <xf numFmtId="0" fontId="9" fillId="0" borderId="70" xfId="0" applyFont="1" applyBorder="1" applyProtection="1">
      <alignment horizontal="left" vertical="center" wrapText="1" indent="1"/>
      <protection locked="0"/>
    </xf>
    <xf numFmtId="0" fontId="14" fillId="0" borderId="66" xfId="0" applyFont="1" applyBorder="1" applyProtection="1">
      <alignment horizontal="left" vertical="center" wrapText="1" indent="1"/>
      <protection locked="0"/>
    </xf>
    <xf numFmtId="0" fontId="14" fillId="0" borderId="70" xfId="0" applyFont="1" applyBorder="1" applyProtection="1">
      <alignment horizontal="left" vertical="center" wrapText="1" indent="1"/>
      <protection locked="0"/>
    </xf>
    <xf numFmtId="0" fontId="14" fillId="0" borderId="58" xfId="0" applyFont="1" applyBorder="1" applyProtection="1">
      <alignment horizontal="left" vertical="center" wrapText="1" indent="1"/>
      <protection locked="0"/>
    </xf>
    <xf numFmtId="0" fontId="14" fillId="0" borderId="62" xfId="0" applyFont="1" applyBorder="1" applyProtection="1">
      <alignment horizontal="left" vertical="center" wrapText="1" indent="1"/>
      <protection locked="0"/>
    </xf>
    <xf numFmtId="0" fontId="0" fillId="0" borderId="69" xfId="0" applyBorder="1" applyAlignment="1" applyProtection="1">
      <alignment wrapText="1"/>
      <protection locked="0"/>
    </xf>
    <xf numFmtId="0" fontId="9" fillId="0" borderId="71" xfId="0" applyFont="1" applyBorder="1" applyProtection="1">
      <alignment horizontal="left" vertical="center" wrapText="1" indent="1"/>
      <protection locked="0"/>
    </xf>
    <xf numFmtId="1" fontId="9" fillId="0" borderId="80" xfId="0" applyNumberFormat="1" applyFont="1" applyBorder="1" applyProtection="1">
      <alignment horizontal="left" vertical="center" wrapText="1" indent="1"/>
      <protection locked="0"/>
    </xf>
    <xf numFmtId="0" fontId="9" fillId="0" borderId="61" xfId="0" applyFont="1" applyBorder="1" applyProtection="1">
      <alignment horizontal="left" vertical="center" wrapText="1" indent="1"/>
      <protection locked="0"/>
    </xf>
    <xf numFmtId="14" fontId="9" fillId="0" borderId="122" xfId="0" applyNumberFormat="1" applyFont="1" applyBorder="1">
      <alignment horizontal="left" vertical="center" wrapText="1" indent="1"/>
    </xf>
    <xf numFmtId="0" fontId="9" fillId="0" borderId="105" xfId="0" applyFont="1" applyBorder="1" applyProtection="1">
      <alignment horizontal="left" vertical="center" wrapText="1" indent="1"/>
      <protection locked="0"/>
    </xf>
    <xf numFmtId="0" fontId="9" fillId="0" borderId="119" xfId="0" applyFont="1" applyBorder="1" applyProtection="1">
      <alignment horizontal="left" vertical="center" wrapText="1" indent="1"/>
      <protection locked="0"/>
    </xf>
    <xf numFmtId="0" fontId="9" fillId="0" borderId="120" xfId="0" applyFont="1" applyBorder="1" applyProtection="1">
      <alignment horizontal="left" vertical="center" wrapText="1" indent="1"/>
      <protection locked="0"/>
    </xf>
    <xf numFmtId="0" fontId="0" fillId="0" borderId="0" xfId="0" applyAlignment="1">
      <alignment vertical="center"/>
    </xf>
    <xf numFmtId="0" fontId="15" fillId="0" borderId="2" xfId="0" applyFont="1" applyBorder="1">
      <alignment horizontal="left" vertical="center" wrapText="1" indent="1"/>
    </xf>
    <xf numFmtId="0" fontId="9" fillId="0" borderId="85" xfId="2" applyFont="1" applyBorder="1">
      <alignment horizontal="left" vertical="center" wrapText="1" indent="1"/>
    </xf>
    <xf numFmtId="0" fontId="43" fillId="0" borderId="2" xfId="0" applyFont="1" applyBorder="1" applyAlignment="1">
      <alignment horizontal="left" vertical="center" wrapText="1"/>
    </xf>
    <xf numFmtId="0" fontId="9" fillId="6" borderId="2" xfId="0" applyFont="1" applyFill="1" applyBorder="1" applyAlignment="1">
      <alignment horizontal="left" vertical="center" wrapText="1"/>
    </xf>
    <xf numFmtId="0" fontId="8" fillId="0" borderId="10" xfId="3" applyAlignment="1">
      <alignment horizontal="center" vertical="center" wrapText="1"/>
    </xf>
    <xf numFmtId="0" fontId="8" fillId="0" borderId="123" xfId="3" applyBorder="1">
      <alignment horizontal="left" vertical="center" wrapText="1" indent="1"/>
    </xf>
    <xf numFmtId="0" fontId="15" fillId="0" borderId="124" xfId="0" applyFont="1" applyBorder="1">
      <alignment horizontal="left" vertical="center" wrapText="1" indent="1"/>
    </xf>
    <xf numFmtId="0" fontId="15" fillId="0" borderId="125" xfId="0" applyFont="1" applyBorder="1">
      <alignment horizontal="left" vertical="center" wrapText="1" indent="1"/>
    </xf>
    <xf numFmtId="0" fontId="15" fillId="0" borderId="58" xfId="0" applyFont="1" applyBorder="1">
      <alignment horizontal="left" vertical="center" wrapText="1" indent="1"/>
    </xf>
    <xf numFmtId="0" fontId="9" fillId="6" borderId="71" xfId="0" applyFont="1" applyFill="1" applyBorder="1">
      <alignment horizontal="left" vertical="center" wrapText="1" indent="1"/>
    </xf>
    <xf numFmtId="1" fontId="9" fillId="0" borderId="58" xfId="0" applyNumberFormat="1" applyFont="1" applyBorder="1">
      <alignment horizontal="left" vertical="center" wrapText="1" indent="1"/>
    </xf>
    <xf numFmtId="0" fontId="15" fillId="0" borderId="126" xfId="0" applyFont="1" applyBorder="1">
      <alignment horizontal="left" vertical="center" wrapText="1" indent="1"/>
    </xf>
    <xf numFmtId="165" fontId="9" fillId="0" borderId="68" xfId="0" applyNumberFormat="1" applyFont="1" applyBorder="1" applyProtection="1">
      <alignment horizontal="left" vertical="center" wrapText="1" indent="1"/>
      <protection locked="0"/>
    </xf>
    <xf numFmtId="0" fontId="9" fillId="0" borderId="40" xfId="0" applyFont="1" applyBorder="1" applyAlignment="1">
      <alignment horizontal="left" vertical="center" wrapText="1"/>
    </xf>
    <xf numFmtId="0" fontId="7" fillId="9" borderId="8" xfId="18" applyNumberFormat="1" applyFont="1" applyFill="1" applyBorder="1" applyAlignment="1">
      <alignment horizontal="left" vertical="center" wrapText="1" indent="1"/>
    </xf>
    <xf numFmtId="10" fontId="9" fillId="0" borderId="58" xfId="18" applyNumberFormat="1" applyFont="1" applyBorder="1" applyAlignment="1" applyProtection="1">
      <alignment horizontal="left" vertical="top" wrapText="1"/>
    </xf>
    <xf numFmtId="0" fontId="17" fillId="13" borderId="129" xfId="19" applyFont="1" applyFill="1" applyBorder="1">
      <alignment horizontal="left" vertical="center" wrapText="1" indent="1"/>
    </xf>
    <xf numFmtId="0" fontId="9" fillId="0" borderId="58" xfId="18" applyNumberFormat="1" applyFont="1" applyBorder="1" applyAlignment="1" applyProtection="1">
      <alignment horizontal="right" vertical="center" wrapText="1"/>
      <protection locked="0"/>
    </xf>
    <xf numFmtId="0" fontId="9" fillId="0" borderId="2" xfId="0" applyFont="1" applyBorder="1" applyAlignment="1">
      <alignment horizontal="left" vertical="center" indent="1"/>
    </xf>
    <xf numFmtId="0" fontId="14" fillId="0" borderId="130" xfId="3" applyFont="1" applyBorder="1" applyProtection="1">
      <alignment horizontal="left" vertical="center" wrapText="1" indent="1"/>
      <protection locked="0"/>
    </xf>
    <xf numFmtId="49" fontId="9" fillId="0" borderId="15" xfId="0" applyNumberFormat="1" applyFont="1" applyBorder="1" applyProtection="1">
      <alignment horizontal="left" vertical="center" wrapText="1" indent="1"/>
      <protection locked="0"/>
    </xf>
    <xf numFmtId="2" fontId="27" fillId="0" borderId="40" xfId="18" applyNumberFormat="1" applyFont="1" applyFill="1" applyBorder="1" applyAlignment="1">
      <alignment horizontal="left" vertical="center"/>
    </xf>
    <xf numFmtId="0" fontId="0" fillId="0" borderId="40" xfId="0" applyBorder="1" applyAlignment="1">
      <alignment horizontal="left" vertical="center" indent="1"/>
    </xf>
    <xf numFmtId="0" fontId="9" fillId="8" borderId="22" xfId="0" applyFont="1" applyFill="1" applyBorder="1">
      <alignment horizontal="left" vertical="center" wrapText="1" indent="1"/>
    </xf>
    <xf numFmtId="0" fontId="8" fillId="0" borderId="0" xfId="19" applyFont="1">
      <alignment horizontal="left" vertical="center" wrapText="1" indent="1"/>
    </xf>
    <xf numFmtId="0" fontId="9" fillId="0" borderId="136" xfId="0" applyFont="1" applyBorder="1">
      <alignment horizontal="left" vertical="center" wrapText="1" indent="1"/>
    </xf>
    <xf numFmtId="49" fontId="9" fillId="0" borderId="67" xfId="10" applyNumberFormat="1" applyFont="1" applyBorder="1" applyProtection="1">
      <alignment horizontal="left" vertical="center" wrapText="1" indent="1"/>
      <protection locked="0"/>
    </xf>
    <xf numFmtId="0" fontId="9" fillId="0" borderId="0" xfId="19" applyFont="1">
      <alignment horizontal="left" vertical="center" wrapText="1" indent="1"/>
    </xf>
    <xf numFmtId="0" fontId="9" fillId="0" borderId="129" xfId="19" applyFont="1" applyBorder="1">
      <alignment horizontal="left" vertical="center" wrapText="1" indent="1"/>
    </xf>
    <xf numFmtId="0" fontId="9" fillId="0" borderId="2" xfId="19" applyFont="1" applyBorder="1">
      <alignment horizontal="left" vertical="center" wrapText="1" indent="1"/>
    </xf>
    <xf numFmtId="49" fontId="9" fillId="0" borderId="0" xfId="0" applyNumberFormat="1" applyFont="1" applyAlignment="1" applyProtection="1">
      <alignment horizontal="right" vertical="center" wrapText="1" indent="1"/>
      <protection locked="0"/>
    </xf>
    <xf numFmtId="49" fontId="9" fillId="0" borderId="60" xfId="0" applyNumberFormat="1" applyFont="1" applyBorder="1" applyAlignment="1" applyProtection="1">
      <alignment horizontal="right" vertical="center" wrapText="1" indent="1"/>
      <protection locked="0"/>
    </xf>
    <xf numFmtId="49" fontId="9" fillId="0" borderId="138" xfId="0" applyNumberFormat="1" applyFont="1" applyBorder="1" applyAlignment="1" applyProtection="1">
      <alignment horizontal="right" vertical="center" wrapText="1" indent="1"/>
      <protection locked="0"/>
    </xf>
    <xf numFmtId="0" fontId="50" fillId="0" borderId="58" xfId="19" applyFont="1" applyBorder="1">
      <alignment horizontal="left" vertical="center" wrapText="1" indent="1"/>
    </xf>
    <xf numFmtId="0" fontId="50" fillId="0" borderId="62" xfId="19" applyFont="1" applyBorder="1">
      <alignment horizontal="left" vertical="center" wrapText="1" indent="1"/>
    </xf>
    <xf numFmtId="0" fontId="14" fillId="6" borderId="128" xfId="0" applyFont="1" applyFill="1" applyBorder="1">
      <alignment horizontal="left" vertical="center" wrapText="1" indent="1"/>
    </xf>
    <xf numFmtId="0" fontId="14" fillId="0" borderId="139" xfId="3" applyFont="1" applyBorder="1">
      <alignment horizontal="left" vertical="center" wrapText="1" indent="1"/>
    </xf>
    <xf numFmtId="0" fontId="9" fillId="0" borderId="95" xfId="19" applyFont="1" applyBorder="1">
      <alignment horizontal="left" vertical="center" wrapText="1" indent="1"/>
    </xf>
    <xf numFmtId="0" fontId="9" fillId="0" borderId="58" xfId="19" applyFont="1" applyBorder="1">
      <alignment horizontal="left" vertical="center" wrapText="1" indent="1"/>
    </xf>
    <xf numFmtId="0" fontId="9" fillId="0" borderId="62" xfId="19" applyFont="1" applyBorder="1">
      <alignment horizontal="left" vertical="center" wrapText="1" indent="1"/>
    </xf>
    <xf numFmtId="0" fontId="8" fillId="0" borderId="2" xfId="19" applyFont="1" applyBorder="1">
      <alignment horizontal="left" vertical="center" wrapText="1" indent="1"/>
    </xf>
    <xf numFmtId="0" fontId="8" fillId="0" borderId="58" xfId="19" applyFont="1" applyBorder="1">
      <alignment horizontal="left" vertical="center" wrapText="1" indent="1"/>
    </xf>
    <xf numFmtId="0" fontId="8" fillId="0" borderId="62" xfId="19" applyFont="1" applyBorder="1">
      <alignment horizontal="left" vertical="center" wrapText="1" indent="1"/>
    </xf>
    <xf numFmtId="0" fontId="8" fillId="0" borderId="64" xfId="19" applyFont="1" applyBorder="1">
      <alignment horizontal="left" vertical="center" wrapText="1" indent="1"/>
    </xf>
    <xf numFmtId="0" fontId="8" fillId="0" borderId="95" xfId="19" applyFont="1" applyBorder="1">
      <alignment horizontal="left" vertical="center" wrapText="1" indent="1"/>
    </xf>
    <xf numFmtId="0" fontId="8" fillId="0" borderId="57" xfId="19" applyFont="1" applyBorder="1">
      <alignment horizontal="left" vertical="center" wrapText="1" indent="1"/>
    </xf>
    <xf numFmtId="0" fontId="9" fillId="0" borderId="116" xfId="3" applyFont="1" applyBorder="1" applyAlignment="1">
      <alignment horizontal="left" vertical="center" wrapText="1"/>
    </xf>
    <xf numFmtId="0" fontId="9" fillId="0" borderId="92" xfId="3" applyFont="1" applyBorder="1" applyAlignment="1">
      <alignment horizontal="left" vertical="center" wrapText="1"/>
    </xf>
    <xf numFmtId="0" fontId="9" fillId="0" borderId="128" xfId="3" applyFont="1" applyBorder="1" applyAlignment="1">
      <alignment horizontal="left" vertical="center" wrapText="1"/>
    </xf>
    <xf numFmtId="0" fontId="9" fillId="0" borderId="57" xfId="19" applyFont="1" applyBorder="1">
      <alignment horizontal="left" vertical="center" wrapText="1" indent="1"/>
    </xf>
    <xf numFmtId="0" fontId="9" fillId="0" borderId="65" xfId="19" applyFont="1" applyBorder="1">
      <alignment horizontal="left" vertical="center" wrapText="1" indent="1"/>
    </xf>
    <xf numFmtId="0" fontId="9" fillId="0" borderId="120" xfId="19" applyFont="1" applyBorder="1">
      <alignment horizontal="left" vertical="center" wrapText="1" indent="1"/>
    </xf>
    <xf numFmtId="0" fontId="9" fillId="0" borderId="90" xfId="19" applyFont="1" applyBorder="1">
      <alignment horizontal="left" vertical="center" wrapText="1" indent="1"/>
    </xf>
    <xf numFmtId="0" fontId="9" fillId="0" borderId="135" xfId="19" applyFont="1" applyBorder="1">
      <alignment horizontal="left" vertical="center" wrapText="1" indent="1"/>
    </xf>
    <xf numFmtId="0" fontId="9" fillId="0" borderId="85" xfId="0" applyFont="1" applyBorder="1" applyProtection="1">
      <alignment horizontal="left" vertical="center" wrapText="1" indent="1"/>
      <protection locked="0"/>
    </xf>
    <xf numFmtId="164" fontId="9" fillId="0" borderId="148" xfId="0" applyNumberFormat="1" applyFont="1" applyBorder="1">
      <alignment horizontal="left" vertical="center" wrapText="1" indent="1"/>
    </xf>
    <xf numFmtId="49" fontId="9" fillId="0" borderId="145" xfId="0" applyNumberFormat="1" applyFont="1" applyBorder="1" applyProtection="1">
      <alignment horizontal="left" vertical="center" wrapText="1" indent="1"/>
      <protection locked="0"/>
    </xf>
    <xf numFmtId="49" fontId="9" fillId="0" borderId="67" xfId="0" applyNumberFormat="1" applyFont="1" applyBorder="1" applyProtection="1">
      <alignment horizontal="left" vertical="center" wrapText="1" indent="1"/>
      <protection locked="0"/>
    </xf>
    <xf numFmtId="0" fontId="9" fillId="0" borderId="56" xfId="0" applyFont="1" applyBorder="1" applyProtection="1">
      <alignment horizontal="left" vertical="center" wrapText="1" indent="1"/>
      <protection locked="0"/>
    </xf>
    <xf numFmtId="0" fontId="9" fillId="0" borderId="152" xfId="19" applyFont="1" applyBorder="1">
      <alignment horizontal="left" vertical="center" wrapText="1" indent="1"/>
    </xf>
    <xf numFmtId="0" fontId="9" fillId="0" borderId="153" xfId="19" applyFont="1" applyBorder="1">
      <alignment horizontal="left" vertical="center" wrapText="1" indent="1"/>
    </xf>
    <xf numFmtId="0" fontId="9" fillId="0" borderId="118" xfId="19" applyFont="1" applyBorder="1">
      <alignment horizontal="left" vertical="center" wrapText="1" indent="1"/>
    </xf>
    <xf numFmtId="0" fontId="9" fillId="0" borderId="126" xfId="19" applyFont="1" applyBorder="1">
      <alignment horizontal="left" vertical="center" wrapText="1" indent="1"/>
    </xf>
    <xf numFmtId="0" fontId="8" fillId="0" borderId="10" xfId="0" applyFont="1" applyBorder="1">
      <alignment horizontal="left" vertical="center" wrapText="1" indent="1"/>
    </xf>
    <xf numFmtId="0" fontId="17" fillId="13" borderId="154" xfId="19" applyFont="1" applyFill="1" applyBorder="1">
      <alignment horizontal="left" vertical="center" wrapText="1" indent="1"/>
    </xf>
    <xf numFmtId="0" fontId="0" fillId="0" borderId="79" xfId="0" applyBorder="1">
      <alignment horizontal="left" vertical="center" wrapText="1" indent="1"/>
    </xf>
    <xf numFmtId="0" fontId="8" fillId="0" borderId="0" xfId="19" quotePrefix="1" applyFont="1">
      <alignment horizontal="left" vertical="center" wrapText="1" indent="1"/>
    </xf>
    <xf numFmtId="0" fontId="9" fillId="0" borderId="61" xfId="19" applyFont="1" applyBorder="1">
      <alignment horizontal="left" vertical="center" wrapText="1" indent="1"/>
    </xf>
    <xf numFmtId="14" fontId="27" fillId="0" borderId="40" xfId="18" applyNumberFormat="1" applyFont="1" applyFill="1" applyBorder="1" applyAlignment="1">
      <alignment horizontal="left" vertical="center"/>
    </xf>
    <xf numFmtId="14" fontId="9" fillId="0" borderId="68" xfId="0" applyNumberFormat="1" applyFont="1" applyBorder="1" applyProtection="1">
      <alignment horizontal="left" vertical="center" wrapText="1" indent="1"/>
      <protection locked="0"/>
    </xf>
    <xf numFmtId="0" fontId="9" fillId="0" borderId="156" xfId="2" applyFont="1" applyBorder="1">
      <alignment horizontal="left" vertical="center" wrapText="1" indent="1"/>
    </xf>
    <xf numFmtId="0" fontId="9" fillId="0" borderId="58" xfId="19" applyFont="1" applyBorder="1" applyAlignment="1">
      <alignment horizontal="left" vertical="top" wrapText="1" indent="1"/>
    </xf>
    <xf numFmtId="0" fontId="14" fillId="0" borderId="114" xfId="2" applyFont="1" applyBorder="1">
      <alignment horizontal="left" vertical="center" wrapText="1" indent="1"/>
    </xf>
    <xf numFmtId="0" fontId="0" fillId="0" borderId="0" xfId="0" applyAlignment="1">
      <alignment vertical="top" wrapText="1"/>
    </xf>
    <xf numFmtId="164" fontId="36" fillId="0" borderId="0" xfId="0" applyNumberFormat="1" applyFont="1" applyAlignment="1">
      <alignment horizontal="center" vertical="top" wrapText="1"/>
    </xf>
    <xf numFmtId="1" fontId="9" fillId="0" borderId="0" xfId="4" applyNumberFormat="1" applyFont="1" applyFill="1" applyAlignment="1" applyProtection="1">
      <alignment horizontal="right" vertical="center" wrapText="1" indent="1"/>
      <protection locked="0"/>
    </xf>
    <xf numFmtId="166" fontId="9" fillId="0" borderId="24" xfId="3" applyNumberFormat="1" applyFont="1" applyBorder="1" applyAlignment="1" applyProtection="1">
      <alignment horizontal="right" vertical="center" wrapText="1" indent="1"/>
      <protection locked="0"/>
    </xf>
    <xf numFmtId="1" fontId="9" fillId="0" borderId="0" xfId="4" applyNumberFormat="1" applyFont="1" applyFill="1" applyBorder="1" applyAlignment="1" applyProtection="1">
      <alignment horizontal="right" vertical="center" wrapText="1" indent="1"/>
      <protection locked="0"/>
    </xf>
    <xf numFmtId="166" fontId="9" fillId="0" borderId="2" xfId="4" applyNumberFormat="1" applyFont="1" applyFill="1" applyBorder="1" applyAlignment="1" applyProtection="1">
      <alignment horizontal="right" vertical="center" wrapText="1" indent="1"/>
      <protection locked="0"/>
    </xf>
    <xf numFmtId="164" fontId="9" fillId="0" borderId="2" xfId="0" applyNumberFormat="1" applyFont="1" applyBorder="1" applyAlignment="1" applyProtection="1">
      <alignment horizontal="right" vertical="center" wrapText="1" indent="1"/>
      <protection locked="0"/>
    </xf>
    <xf numFmtId="164" fontId="9" fillId="0" borderId="67" xfId="0" applyNumberFormat="1" applyFont="1" applyBorder="1" applyAlignment="1" applyProtection="1">
      <alignment horizontal="right" vertical="center" wrapText="1" indent="1"/>
      <protection locked="0"/>
    </xf>
    <xf numFmtId="164" fontId="51" fillId="0" borderId="59" xfId="0" applyNumberFormat="1" applyFont="1" applyBorder="1" applyAlignment="1" applyProtection="1">
      <alignment horizontal="right" vertical="center" wrapText="1" indent="1"/>
      <protection locked="0"/>
    </xf>
    <xf numFmtId="164" fontId="9" fillId="0" borderId="62" xfId="0" applyNumberFormat="1" applyFont="1" applyBorder="1" applyAlignment="1" applyProtection="1">
      <alignment horizontal="right" vertical="center" wrapText="1" indent="1"/>
      <protection locked="0"/>
    </xf>
    <xf numFmtId="164" fontId="9" fillId="6" borderId="86" xfId="0" applyNumberFormat="1" applyFont="1" applyFill="1" applyBorder="1" applyAlignment="1" applyProtection="1">
      <alignment horizontal="right" vertical="center" wrapText="1" indent="1"/>
      <protection locked="0"/>
    </xf>
    <xf numFmtId="1" fontId="9" fillId="0" borderId="15" xfId="0" applyNumberFormat="1" applyFont="1" applyBorder="1" applyAlignment="1" applyProtection="1">
      <alignment horizontal="right" vertical="center" wrapText="1" indent="1"/>
      <protection locked="0"/>
    </xf>
    <xf numFmtId="164" fontId="9" fillId="0" borderId="94" xfId="0" applyNumberFormat="1" applyFont="1" applyBorder="1" applyAlignment="1" applyProtection="1">
      <alignment horizontal="right" vertical="center" wrapText="1" indent="1"/>
      <protection locked="0"/>
    </xf>
    <xf numFmtId="1" fontId="9" fillId="0" borderId="85" xfId="0" applyNumberFormat="1" applyFont="1" applyBorder="1" applyAlignment="1" applyProtection="1">
      <alignment horizontal="right" vertical="center" wrapText="1" indent="1"/>
      <protection locked="0"/>
    </xf>
    <xf numFmtId="164" fontId="14" fillId="6" borderId="114" xfId="0" applyNumberFormat="1" applyFont="1" applyFill="1" applyBorder="1" applyAlignment="1" applyProtection="1">
      <alignment horizontal="right" vertical="center" wrapText="1" indent="1"/>
      <protection locked="0"/>
    </xf>
    <xf numFmtId="164" fontId="9" fillId="0" borderId="58" xfId="0" applyNumberFormat="1" applyFont="1" applyBorder="1" applyAlignment="1" applyProtection="1">
      <alignment horizontal="right" vertical="center" wrapText="1" indent="1"/>
      <protection locked="0"/>
    </xf>
    <xf numFmtId="164" fontId="9" fillId="0" borderId="56" xfId="0" applyNumberFormat="1" applyFont="1" applyBorder="1" applyAlignment="1" applyProtection="1">
      <alignment horizontal="right" vertical="center" wrapText="1" indent="1"/>
      <protection locked="0"/>
    </xf>
    <xf numFmtId="164" fontId="9" fillId="0" borderId="63" xfId="0" applyNumberFormat="1" applyFont="1" applyBorder="1" applyAlignment="1" applyProtection="1">
      <alignment horizontal="right" vertical="center" wrapText="1" indent="1"/>
      <protection locked="0"/>
    </xf>
    <xf numFmtId="164" fontId="9" fillId="6" borderId="141" xfId="0" applyNumberFormat="1" applyFont="1" applyFill="1" applyBorder="1" applyAlignment="1" applyProtection="1">
      <alignment horizontal="right" vertical="center" wrapText="1" indent="1"/>
      <protection locked="0"/>
    </xf>
    <xf numFmtId="164" fontId="9" fillId="0" borderId="56" xfId="10" applyNumberFormat="1" applyFont="1" applyBorder="1" applyAlignment="1" applyProtection="1">
      <alignment horizontal="right" vertical="center" wrapText="1" indent="1"/>
      <protection locked="0"/>
    </xf>
    <xf numFmtId="164" fontId="9" fillId="0" borderId="59" xfId="10" applyNumberFormat="1" applyFont="1" applyBorder="1" applyAlignment="1" applyProtection="1">
      <alignment horizontal="right" vertical="center" wrapText="1" indent="1"/>
      <protection locked="0"/>
    </xf>
    <xf numFmtId="164" fontId="9" fillId="0" borderId="69" xfId="0" applyNumberFormat="1" applyFont="1" applyBorder="1" applyAlignment="1" applyProtection="1">
      <alignment horizontal="right" vertical="center" wrapText="1" indent="1"/>
      <protection locked="0"/>
    </xf>
    <xf numFmtId="7" fontId="9" fillId="0" borderId="69" xfId="0" applyNumberFormat="1" applyFont="1" applyBorder="1" applyAlignment="1" applyProtection="1">
      <alignment horizontal="right" vertical="center" wrapText="1" indent="1"/>
      <protection locked="0"/>
    </xf>
    <xf numFmtId="7" fontId="9" fillId="0" borderId="94" xfId="0" applyNumberFormat="1" applyFont="1" applyBorder="1" applyAlignment="1" applyProtection="1">
      <alignment horizontal="right" vertical="center" wrapText="1" indent="1"/>
      <protection locked="0"/>
    </xf>
    <xf numFmtId="1" fontId="9" fillId="0" borderId="0" xfId="0" applyNumberFormat="1" applyFont="1" applyAlignment="1" applyProtection="1">
      <alignment horizontal="right" vertical="center" wrapText="1" indent="1"/>
      <protection locked="0"/>
    </xf>
    <xf numFmtId="164" fontId="9" fillId="0" borderId="150" xfId="3" applyNumberFormat="1" applyFont="1" applyBorder="1" applyAlignment="1" applyProtection="1">
      <alignment horizontal="right" vertical="center" wrapText="1" indent="1"/>
      <protection locked="0"/>
    </xf>
    <xf numFmtId="0" fontId="54" fillId="0" borderId="0" xfId="0" applyFont="1" applyAlignment="1">
      <alignment horizontal="left" vertical="top"/>
    </xf>
    <xf numFmtId="164" fontId="9" fillId="0" borderId="87" xfId="0" applyNumberFormat="1" applyFont="1" applyBorder="1" applyAlignment="1" applyProtection="1">
      <alignment horizontal="right" vertical="center" wrapText="1" indent="1"/>
      <protection locked="0"/>
    </xf>
    <xf numFmtId="164" fontId="9" fillId="0" borderId="62" xfId="0" applyNumberFormat="1" applyFont="1" applyBorder="1" applyProtection="1">
      <alignment horizontal="left" vertical="center" wrapText="1" indent="1"/>
      <protection locked="0"/>
    </xf>
    <xf numFmtId="165" fontId="9" fillId="0" borderId="0" xfId="0" applyNumberFormat="1" applyFont="1" applyAlignment="1" applyProtection="1">
      <alignment horizontal="right" vertical="center" wrapText="1" indent="1"/>
      <protection locked="0"/>
    </xf>
    <xf numFmtId="1" fontId="0" fillId="0" borderId="0" xfId="0" applyNumberFormat="1" applyAlignment="1" applyProtection="1">
      <alignment horizontal="right" vertical="center" wrapText="1" indent="1"/>
      <protection locked="0"/>
    </xf>
    <xf numFmtId="49" fontId="14" fillId="0" borderId="15" xfId="0" applyNumberFormat="1" applyFont="1" applyBorder="1" applyProtection="1">
      <alignment horizontal="left" vertical="center" wrapText="1" indent="1"/>
      <protection locked="0"/>
    </xf>
    <xf numFmtId="165" fontId="9" fillId="0" borderId="140" xfId="0" applyNumberFormat="1" applyFont="1" applyBorder="1" applyAlignment="1" applyProtection="1">
      <alignment horizontal="right" vertical="center" wrapText="1" indent="1"/>
      <protection locked="0"/>
    </xf>
    <xf numFmtId="165" fontId="9" fillId="0" borderId="85" xfId="0" applyNumberFormat="1" applyFont="1" applyBorder="1" applyAlignment="1" applyProtection="1">
      <alignment horizontal="right" vertical="center" wrapText="1" indent="1"/>
      <protection locked="0"/>
    </xf>
    <xf numFmtId="165" fontId="9" fillId="0" borderId="143" xfId="0" applyNumberFormat="1" applyFont="1" applyBorder="1" applyAlignment="1" applyProtection="1">
      <alignment horizontal="right" vertical="center" wrapText="1" indent="1"/>
      <protection locked="0"/>
    </xf>
    <xf numFmtId="165" fontId="9" fillId="0" borderId="87" xfId="0" applyNumberFormat="1" applyFont="1" applyBorder="1" applyAlignment="1" applyProtection="1">
      <alignment horizontal="right" vertical="center" wrapText="1" indent="1"/>
      <protection locked="0"/>
    </xf>
    <xf numFmtId="165" fontId="9" fillId="0" borderId="144" xfId="0" applyNumberFormat="1" applyFont="1" applyBorder="1" applyAlignment="1" applyProtection="1">
      <alignment horizontal="right" vertical="center" wrapText="1" indent="1"/>
      <protection locked="0"/>
    </xf>
    <xf numFmtId="0" fontId="33" fillId="0" borderId="0" xfId="0" applyFont="1" applyAlignment="1">
      <alignment vertical="top" wrapText="1"/>
    </xf>
    <xf numFmtId="0" fontId="30" fillId="0" borderId="0" xfId="0" applyFont="1" applyAlignment="1">
      <alignment horizontal="left" vertical="top" wrapText="1"/>
    </xf>
    <xf numFmtId="0" fontId="0" fillId="0" borderId="0" xfId="0" applyAlignment="1">
      <alignment horizontal="center" vertical="top" wrapText="1"/>
    </xf>
    <xf numFmtId="0" fontId="0" fillId="0" borderId="0" xfId="0" applyAlignment="1">
      <alignment horizontal="left" vertical="top" wrapText="1" indent="1"/>
    </xf>
    <xf numFmtId="0" fontId="34" fillId="0" borderId="0" xfId="0" applyFont="1" applyAlignment="1">
      <alignment vertical="top" wrapText="1"/>
    </xf>
    <xf numFmtId="49" fontId="9" fillId="0" borderId="146" xfId="10" applyNumberFormat="1" applyFont="1" applyBorder="1" applyProtection="1">
      <alignment horizontal="left" vertical="center" wrapText="1" indent="1"/>
      <protection locked="0"/>
    </xf>
    <xf numFmtId="0" fontId="10" fillId="6" borderId="17" xfId="0" applyFont="1" applyFill="1" applyBorder="1">
      <alignment horizontal="left" vertical="center" wrapText="1" indent="1"/>
    </xf>
    <xf numFmtId="49" fontId="9" fillId="0" borderId="163" xfId="0" applyNumberFormat="1" applyFont="1" applyBorder="1" applyProtection="1">
      <alignment horizontal="left" vertical="center" wrapText="1" indent="1"/>
      <protection locked="0"/>
    </xf>
    <xf numFmtId="0" fontId="10" fillId="6" borderId="17" xfId="0" applyFont="1" applyFill="1" applyBorder="1" applyAlignment="1">
      <alignment horizontal="center" vertical="center" wrapText="1"/>
    </xf>
    <xf numFmtId="49" fontId="9" fillId="6" borderId="17" xfId="0" applyNumberFormat="1" applyFont="1" applyFill="1" applyBorder="1">
      <alignment horizontal="left" vertical="center" wrapText="1" indent="1"/>
    </xf>
    <xf numFmtId="0" fontId="9" fillId="0" borderId="69" xfId="0" applyFont="1" applyBorder="1" applyProtection="1">
      <alignment horizontal="left" vertical="center" wrapText="1" indent="1"/>
      <protection locked="0"/>
    </xf>
    <xf numFmtId="0" fontId="15" fillId="0" borderId="164" xfId="0" applyFont="1" applyBorder="1">
      <alignment horizontal="left" vertical="center" wrapText="1" indent="1"/>
    </xf>
    <xf numFmtId="0" fontId="8" fillId="0" borderId="165" xfId="2" applyFont="1" applyBorder="1" applyAlignment="1">
      <alignment horizontal="right" vertical="center" wrapText="1" indent="1"/>
    </xf>
    <xf numFmtId="0" fontId="9" fillId="0" borderId="63" xfId="19" applyFont="1" applyBorder="1" applyAlignment="1">
      <alignment horizontal="left" vertical="top" wrapText="1" indent="1"/>
    </xf>
    <xf numFmtId="0" fontId="56" fillId="6" borderId="0" xfId="10" applyFont="1" applyFill="1">
      <alignment horizontal="left" vertical="center" wrapText="1" indent="1"/>
    </xf>
    <xf numFmtId="0" fontId="7" fillId="9" borderId="8" xfId="2" applyFill="1" applyAlignment="1">
      <alignment vertical="center" wrapText="1"/>
    </xf>
    <xf numFmtId="49" fontId="0" fillId="8" borderId="166" xfId="0" applyNumberFormat="1" applyFill="1" applyBorder="1">
      <alignment horizontal="left" vertical="center" wrapText="1" indent="1"/>
    </xf>
    <xf numFmtId="0" fontId="8" fillId="8" borderId="166" xfId="19" applyFont="1" applyFill="1" applyBorder="1">
      <alignment horizontal="left" vertical="center" wrapText="1" indent="1"/>
    </xf>
    <xf numFmtId="168" fontId="9" fillId="8" borderId="58" xfId="0" applyNumberFormat="1" applyFont="1" applyFill="1" applyBorder="1">
      <alignment horizontal="left" vertical="center" wrapText="1" indent="1"/>
    </xf>
    <xf numFmtId="0" fontId="8" fillId="8" borderId="58" xfId="19" applyFont="1" applyFill="1" applyBorder="1">
      <alignment horizontal="left" vertical="center" wrapText="1" indent="1"/>
    </xf>
    <xf numFmtId="49" fontId="9" fillId="8" borderId="58" xfId="5" applyNumberFormat="1" applyFont="1" applyFill="1" applyBorder="1" applyAlignment="1">
      <alignment horizontal="left" vertical="center" wrapText="1" indent="1"/>
    </xf>
    <xf numFmtId="0" fontId="0" fillId="0" borderId="40" xfId="0" applyBorder="1" applyAlignment="1">
      <alignment horizontal="left" vertical="top" wrapText="1"/>
    </xf>
    <xf numFmtId="0" fontId="0" fillId="0" borderId="44" xfId="0" applyBorder="1" applyAlignment="1">
      <alignment horizontal="left" vertical="top" wrapText="1"/>
    </xf>
    <xf numFmtId="0" fontId="0" fillId="0" borderId="45" xfId="0" applyBorder="1" applyAlignment="1">
      <alignment horizontal="left" vertical="top" wrapText="1"/>
    </xf>
    <xf numFmtId="0" fontId="0" fillId="0" borderId="46" xfId="0" applyBorder="1" applyAlignment="1">
      <alignment horizontal="left" vertical="top" wrapText="1"/>
    </xf>
    <xf numFmtId="0" fontId="12" fillId="0" borderId="0" xfId="1" applyBorder="1" applyAlignment="1">
      <alignment horizontal="left" vertical="center"/>
    </xf>
    <xf numFmtId="0" fontId="8" fillId="0" borderId="44" xfId="0" applyFont="1" applyBorder="1" applyAlignment="1">
      <alignment horizontal="left" vertical="top" wrapText="1"/>
    </xf>
    <xf numFmtId="0" fontId="55" fillId="0" borderId="0" xfId="0" applyFont="1" applyAlignment="1">
      <alignment horizontal="left" vertical="center" wrapText="1"/>
    </xf>
    <xf numFmtId="0" fontId="0" fillId="5" borderId="40" xfId="0" applyFill="1" applyBorder="1" applyAlignment="1">
      <alignment horizontal="left" vertical="center" wrapText="1"/>
    </xf>
    <xf numFmtId="0" fontId="0" fillId="0" borderId="44" xfId="0" applyBorder="1" applyAlignment="1">
      <alignment horizontal="left" vertical="center" wrapText="1"/>
    </xf>
    <xf numFmtId="0" fontId="0" fillId="0" borderId="45" xfId="0" applyBorder="1" applyAlignment="1">
      <alignment horizontal="left" vertical="center" wrapText="1"/>
    </xf>
    <xf numFmtId="0" fontId="44" fillId="0" borderId="0" xfId="0" applyFont="1">
      <alignment horizontal="left" vertical="center" wrapText="1" indent="1"/>
    </xf>
    <xf numFmtId="0" fontId="8" fillId="0" borderId="0" xfId="3" applyBorder="1" applyProtection="1">
      <alignment horizontal="left" vertical="center" wrapText="1" indent="1"/>
      <protection locked="0"/>
    </xf>
    <xf numFmtId="8" fontId="9" fillId="0" borderId="20" xfId="0" applyNumberFormat="1" applyFont="1" applyBorder="1" applyProtection="1">
      <alignment horizontal="left" vertical="center" wrapText="1" indent="1"/>
      <protection locked="0"/>
    </xf>
    <xf numFmtId="0" fontId="9" fillId="6" borderId="167" xfId="10" applyFont="1" applyFill="1" applyBorder="1">
      <alignment horizontal="left" vertical="center" wrapText="1" indent="1"/>
    </xf>
    <xf numFmtId="0" fontId="9" fillId="6" borderId="123" xfId="10" applyFont="1" applyFill="1" applyBorder="1">
      <alignment horizontal="left" vertical="center" wrapText="1" indent="1"/>
    </xf>
    <xf numFmtId="0" fontId="9" fillId="0" borderId="62" xfId="19" applyFont="1" applyBorder="1" applyAlignment="1">
      <alignment horizontal="left" vertical="top" wrapText="1" indent="1"/>
    </xf>
    <xf numFmtId="49" fontId="9" fillId="0" borderId="24" xfId="0" applyNumberFormat="1" applyFont="1" applyBorder="1" applyProtection="1">
      <alignment horizontal="left" vertical="center" wrapText="1" indent="1"/>
      <protection locked="0"/>
    </xf>
    <xf numFmtId="0" fontId="9" fillId="0" borderId="155" xfId="19" applyFont="1" applyBorder="1">
      <alignment horizontal="left" vertical="center" wrapText="1" indent="1"/>
    </xf>
    <xf numFmtId="0" fontId="15" fillId="0" borderId="0" xfId="10" applyFont="1" applyAlignment="1">
      <alignment horizontal="center" vertical="center" wrapText="1"/>
    </xf>
    <xf numFmtId="0" fontId="9" fillId="0" borderId="92" xfId="0" applyFont="1" applyBorder="1" applyProtection="1">
      <alignment horizontal="left" vertical="center" wrapText="1" indent="1"/>
      <protection locked="0"/>
    </xf>
    <xf numFmtId="10" fontId="9" fillId="0" borderId="2" xfId="0" applyNumberFormat="1" applyFont="1" applyBorder="1" applyProtection="1">
      <alignment horizontal="left" vertical="center" wrapText="1" indent="1"/>
      <protection locked="0"/>
    </xf>
    <xf numFmtId="0" fontId="0" fillId="0" borderId="0" xfId="0" applyAlignment="1" applyProtection="1">
      <alignment horizontal="center" vertical="center" wrapText="1"/>
      <protection locked="0"/>
    </xf>
    <xf numFmtId="0" fontId="9" fillId="0" borderId="24" xfId="19" applyFont="1" applyBorder="1" applyAlignment="1">
      <alignment horizontal="left" vertical="center" wrapText="1"/>
    </xf>
    <xf numFmtId="0" fontId="9" fillId="0" borderId="0" xfId="19" applyFont="1" applyAlignment="1">
      <alignment horizontal="left" vertical="center" wrapText="1"/>
    </xf>
    <xf numFmtId="166" fontId="9" fillId="6" borderId="56" xfId="0" applyNumberFormat="1" applyFont="1" applyFill="1" applyBorder="1" applyAlignment="1" applyProtection="1">
      <alignment horizontal="right" vertical="center" wrapText="1" indent="1"/>
      <protection locked="0"/>
    </xf>
    <xf numFmtId="49" fontId="9" fillId="6" borderId="2" xfId="0" applyNumberFormat="1" applyFont="1" applyFill="1" applyBorder="1" applyProtection="1">
      <alignment horizontal="left" vertical="center" wrapText="1" indent="1"/>
      <protection locked="0"/>
    </xf>
    <xf numFmtId="49" fontId="9" fillId="6" borderId="56" xfId="0" applyNumberFormat="1" applyFont="1" applyFill="1" applyBorder="1" applyProtection="1">
      <alignment horizontal="left" vertical="center" wrapText="1" indent="1"/>
      <protection locked="0"/>
    </xf>
    <xf numFmtId="49" fontId="9" fillId="0" borderId="59" xfId="0" applyNumberFormat="1" applyFont="1" applyBorder="1" applyProtection="1">
      <alignment horizontal="left" vertical="center" wrapText="1" indent="1"/>
      <protection locked="0"/>
    </xf>
    <xf numFmtId="49" fontId="9" fillId="0" borderId="0" xfId="0" applyNumberFormat="1" applyFont="1">
      <alignment horizontal="left" vertical="center" wrapText="1" indent="1"/>
    </xf>
    <xf numFmtId="1" fontId="9" fillId="0" borderId="56" xfId="0" applyNumberFormat="1" applyFont="1" applyBorder="1" applyAlignment="1" applyProtection="1">
      <alignment horizontal="right" vertical="center" wrapText="1" indent="1"/>
      <protection locked="0"/>
    </xf>
    <xf numFmtId="166" fontId="9" fillId="6" borderId="69" xfId="0" applyNumberFormat="1" applyFont="1" applyFill="1" applyBorder="1" applyAlignment="1" applyProtection="1">
      <alignment horizontal="right" vertical="center" wrapText="1" indent="1"/>
      <protection locked="0"/>
    </xf>
    <xf numFmtId="1" fontId="9" fillId="0" borderId="15" xfId="3" applyNumberFormat="1" applyFont="1" applyBorder="1" applyAlignment="1" applyProtection="1">
      <alignment horizontal="right" vertical="center" wrapText="1" indent="1"/>
      <protection locked="0"/>
    </xf>
    <xf numFmtId="1" fontId="9" fillId="0" borderId="2" xfId="10" applyNumberFormat="1" applyFont="1" applyBorder="1" applyAlignment="1" applyProtection="1">
      <alignment horizontal="right" vertical="center" wrapText="1" indent="1"/>
      <protection locked="0"/>
    </xf>
    <xf numFmtId="49" fontId="9" fillId="6" borderId="15" xfId="0" applyNumberFormat="1" applyFont="1" applyFill="1" applyBorder="1" applyProtection="1">
      <alignment horizontal="left" vertical="center" wrapText="1" indent="1"/>
      <protection locked="0"/>
    </xf>
    <xf numFmtId="49" fontId="9" fillId="0" borderId="1" xfId="2" applyNumberFormat="1" applyFont="1" applyBorder="1" applyProtection="1">
      <alignment horizontal="left" vertical="center" wrapText="1" indent="1"/>
      <protection locked="0"/>
    </xf>
    <xf numFmtId="49" fontId="9" fillId="0" borderId="14" xfId="0" applyNumberFormat="1" applyFont="1" applyBorder="1" applyProtection="1">
      <alignment horizontal="left" vertical="center" wrapText="1" indent="1"/>
      <protection locked="0"/>
    </xf>
    <xf numFmtId="49" fontId="9" fillId="0" borderId="86" xfId="0" applyNumberFormat="1" applyFont="1" applyBorder="1" applyProtection="1">
      <alignment horizontal="left" vertical="center" wrapText="1" indent="1"/>
      <protection locked="0"/>
    </xf>
    <xf numFmtId="49" fontId="9" fillId="0" borderId="65" xfId="0" applyNumberFormat="1" applyFont="1" applyBorder="1" applyProtection="1">
      <alignment horizontal="left" vertical="center" wrapText="1" indent="1"/>
      <protection locked="0"/>
    </xf>
    <xf numFmtId="49" fontId="9" fillId="0" borderId="93" xfId="0" applyNumberFormat="1" applyFont="1" applyBorder="1" applyProtection="1">
      <alignment horizontal="left" vertical="center" wrapText="1" indent="1"/>
      <protection locked="0"/>
    </xf>
    <xf numFmtId="49" fontId="9" fillId="6" borderId="64" xfId="0" applyNumberFormat="1" applyFont="1" applyFill="1" applyBorder="1" applyProtection="1">
      <alignment horizontal="left" vertical="center" wrapText="1" indent="1"/>
      <protection locked="0"/>
    </xf>
    <xf numFmtId="49" fontId="28" fillId="0" borderId="15" xfId="0" applyNumberFormat="1" applyFont="1" applyBorder="1" applyProtection="1">
      <alignment horizontal="left" vertical="center" wrapText="1" indent="1"/>
      <protection locked="0"/>
    </xf>
    <xf numFmtId="49" fontId="28" fillId="0" borderId="47" xfId="0" applyNumberFormat="1" applyFont="1" applyBorder="1" applyProtection="1">
      <alignment horizontal="left" vertical="center" wrapText="1" indent="1"/>
      <protection locked="0"/>
    </xf>
    <xf numFmtId="49" fontId="9" fillId="0" borderId="151" xfId="10" applyNumberFormat="1" applyFont="1" applyBorder="1" applyProtection="1">
      <alignment horizontal="left" vertical="center" wrapText="1" indent="1"/>
      <protection locked="0"/>
    </xf>
    <xf numFmtId="49" fontId="28" fillId="0" borderId="15" xfId="18" applyNumberFormat="1" applyFont="1" applyBorder="1" applyAlignment="1" applyProtection="1">
      <alignment horizontal="left" vertical="center" wrapText="1" indent="1"/>
      <protection locked="0"/>
    </xf>
    <xf numFmtId="49" fontId="9" fillId="0" borderId="2" xfId="10" applyNumberFormat="1" applyFont="1" applyBorder="1" applyProtection="1">
      <alignment horizontal="left" vertical="center" wrapText="1" indent="1"/>
      <protection locked="0"/>
    </xf>
    <xf numFmtId="49" fontId="9" fillId="0" borderId="15" xfId="18" applyNumberFormat="1" applyFont="1" applyFill="1" applyBorder="1" applyAlignment="1" applyProtection="1">
      <alignment horizontal="left" vertical="center" wrapText="1" indent="1"/>
      <protection locked="0"/>
    </xf>
    <xf numFmtId="49" fontId="9" fillId="0" borderId="0" xfId="18" applyNumberFormat="1" applyFont="1" applyFill="1" applyBorder="1" applyAlignment="1" applyProtection="1">
      <alignment horizontal="left" vertical="center" wrapText="1" indent="1"/>
      <protection locked="0"/>
    </xf>
    <xf numFmtId="49" fontId="9" fillId="0" borderId="94" xfId="0" applyNumberFormat="1" applyFont="1" applyBorder="1" applyProtection="1">
      <alignment horizontal="left" vertical="center" wrapText="1" indent="1"/>
      <protection locked="0"/>
    </xf>
    <xf numFmtId="49" fontId="9" fillId="6" borderId="85" xfId="0" applyNumberFormat="1" applyFont="1" applyFill="1" applyBorder="1" applyProtection="1">
      <alignment horizontal="left" vertical="center" wrapText="1" indent="1"/>
      <protection locked="0"/>
    </xf>
    <xf numFmtId="49" fontId="9" fillId="6" borderId="94" xfId="0" applyNumberFormat="1" applyFont="1" applyFill="1" applyBorder="1" applyProtection="1">
      <alignment horizontal="left" vertical="center" wrapText="1" indent="1"/>
      <protection locked="0"/>
    </xf>
    <xf numFmtId="49" fontId="9" fillId="6" borderId="59" xfId="0" applyNumberFormat="1" applyFont="1" applyFill="1" applyBorder="1" applyProtection="1">
      <alignment horizontal="left" vertical="center" wrapText="1" indent="1"/>
      <protection locked="0"/>
    </xf>
    <xf numFmtId="49" fontId="0" fillId="0" borderId="70" xfId="0" applyNumberFormat="1" applyBorder="1" applyProtection="1">
      <alignment horizontal="left" vertical="center" wrapText="1" indent="1"/>
      <protection locked="0"/>
    </xf>
    <xf numFmtId="49" fontId="9" fillId="0" borderId="158" xfId="2" applyNumberFormat="1" applyFont="1" applyBorder="1" applyProtection="1">
      <alignment horizontal="left" vertical="center" wrapText="1" indent="1"/>
      <protection locked="0"/>
    </xf>
    <xf numFmtId="49" fontId="14" fillId="6" borderId="157" xfId="0" applyNumberFormat="1" applyFont="1" applyFill="1" applyBorder="1" applyAlignment="1" applyProtection="1">
      <alignment horizontal="left" vertical="center" wrapText="1"/>
      <protection locked="0"/>
    </xf>
    <xf numFmtId="49" fontId="14" fillId="6" borderId="94" xfId="0" applyNumberFormat="1" applyFont="1" applyFill="1" applyBorder="1" applyProtection="1">
      <alignment horizontal="left" vertical="center" wrapText="1" indent="1"/>
      <protection locked="0"/>
    </xf>
    <xf numFmtId="49" fontId="9" fillId="6" borderId="67" xfId="0" applyNumberFormat="1" applyFont="1" applyFill="1" applyBorder="1" applyProtection="1">
      <alignment horizontal="left" vertical="center" wrapText="1" indent="1"/>
      <protection locked="0"/>
    </xf>
    <xf numFmtId="49" fontId="9" fillId="6" borderId="137" xfId="0" applyNumberFormat="1" applyFont="1" applyFill="1" applyBorder="1" applyProtection="1">
      <alignment horizontal="left" vertical="center" wrapText="1" indent="1"/>
      <protection locked="0"/>
    </xf>
    <xf numFmtId="49" fontId="9" fillId="6" borderId="65" xfId="0" applyNumberFormat="1" applyFont="1" applyFill="1" applyBorder="1" applyProtection="1">
      <alignment horizontal="left" vertical="center" wrapText="1" indent="1"/>
      <protection locked="0"/>
    </xf>
    <xf numFmtId="49" fontId="0" fillId="0" borderId="62" xfId="0" applyNumberFormat="1" applyBorder="1" applyProtection="1">
      <alignment horizontal="left" vertical="center" wrapText="1" indent="1"/>
      <protection locked="0"/>
    </xf>
    <xf numFmtId="49" fontId="9" fillId="6" borderId="55" xfId="0" applyNumberFormat="1" applyFont="1" applyFill="1" applyBorder="1" applyProtection="1">
      <alignment horizontal="left" vertical="center" wrapText="1" indent="1"/>
      <protection locked="0"/>
    </xf>
    <xf numFmtId="49" fontId="9" fillId="0" borderId="94" xfId="10" applyNumberFormat="1" applyFont="1" applyBorder="1" applyProtection="1">
      <alignment horizontal="left" vertical="center" wrapText="1" indent="1"/>
      <protection locked="0"/>
    </xf>
    <xf numFmtId="49" fontId="0" fillId="0" borderId="0" xfId="0" applyNumberFormat="1" applyProtection="1">
      <alignment horizontal="left" vertical="center" wrapText="1" indent="1"/>
      <protection locked="0"/>
    </xf>
    <xf numFmtId="49" fontId="9" fillId="0" borderId="56" xfId="0" applyNumberFormat="1" applyFont="1" applyBorder="1" applyProtection="1">
      <alignment horizontal="left" vertical="center" wrapText="1" indent="1"/>
      <protection locked="0"/>
    </xf>
    <xf numFmtId="49" fontId="9" fillId="0" borderId="85" xfId="0" applyNumberFormat="1" applyFont="1" applyBorder="1" applyProtection="1">
      <alignment horizontal="left" vertical="center" wrapText="1" indent="1"/>
      <protection locked="0"/>
    </xf>
    <xf numFmtId="49" fontId="9" fillId="0" borderId="62" xfId="0" applyNumberFormat="1" applyFont="1" applyBorder="1" applyProtection="1">
      <alignment horizontal="left" vertical="center" wrapText="1" indent="1"/>
      <protection locked="0"/>
    </xf>
    <xf numFmtId="49" fontId="9" fillId="0" borderId="59" xfId="10" applyNumberFormat="1" applyFont="1" applyBorder="1" applyProtection="1">
      <alignment horizontal="left" vertical="center" wrapText="1" indent="1"/>
      <protection locked="0"/>
    </xf>
    <xf numFmtId="49" fontId="9" fillId="0" borderId="69" xfId="10" applyNumberFormat="1" applyFont="1" applyBorder="1" applyProtection="1">
      <alignment horizontal="left" vertical="center" wrapText="1" indent="1"/>
      <protection locked="0"/>
    </xf>
    <xf numFmtId="49" fontId="9" fillId="0" borderId="142" xfId="0" applyNumberFormat="1" applyFont="1" applyBorder="1" applyProtection="1">
      <alignment horizontal="left" vertical="center" wrapText="1" indent="1"/>
      <protection locked="0"/>
    </xf>
    <xf numFmtId="49" fontId="9" fillId="0" borderId="87" xfId="0" applyNumberFormat="1" applyFont="1" applyBorder="1" applyProtection="1">
      <alignment horizontal="left" vertical="center" wrapText="1" indent="1"/>
      <protection locked="0"/>
    </xf>
    <xf numFmtId="49" fontId="9" fillId="0" borderId="143" xfId="0" applyNumberFormat="1" applyFont="1" applyBorder="1" applyProtection="1">
      <alignment horizontal="left" vertical="center" wrapText="1" indent="1"/>
      <protection locked="0"/>
    </xf>
    <xf numFmtId="49" fontId="9" fillId="0" borderId="146" xfId="0" applyNumberFormat="1" applyFont="1" applyBorder="1" applyProtection="1">
      <alignment horizontal="left" vertical="center" wrapText="1" indent="1"/>
      <protection locked="0"/>
    </xf>
    <xf numFmtId="49" fontId="9" fillId="0" borderId="147" xfId="0" applyNumberFormat="1" applyFont="1" applyBorder="1" applyProtection="1">
      <alignment horizontal="left" vertical="center" wrapText="1" indent="1"/>
      <protection locked="0"/>
    </xf>
    <xf numFmtId="49" fontId="0" fillId="0" borderId="0" xfId="0" applyNumberFormat="1" applyAlignment="1">
      <alignment horizontal="center" vertical="center" wrapText="1"/>
    </xf>
    <xf numFmtId="165" fontId="9" fillId="0" borderId="56" xfId="0" applyNumberFormat="1" applyFont="1" applyBorder="1" applyAlignment="1" applyProtection="1">
      <alignment horizontal="right" vertical="center" wrapText="1" indent="1"/>
      <protection locked="0"/>
    </xf>
    <xf numFmtId="165" fontId="9" fillId="0" borderId="59" xfId="0" applyNumberFormat="1" applyFont="1" applyBorder="1" applyAlignment="1" applyProtection="1">
      <alignment horizontal="right" vertical="center" wrapText="1" indent="1"/>
      <protection locked="0"/>
    </xf>
    <xf numFmtId="49" fontId="9" fillId="0" borderId="171" xfId="0" applyNumberFormat="1" applyFont="1" applyBorder="1" applyProtection="1">
      <alignment horizontal="left" vertical="center" wrapText="1" indent="1"/>
      <protection locked="0"/>
    </xf>
    <xf numFmtId="0" fontId="0" fillId="0" borderId="0" xfId="0" applyAlignment="1">
      <alignment vertical="center" wrapText="1"/>
    </xf>
    <xf numFmtId="0" fontId="9" fillId="8" borderId="166" xfId="0" applyFont="1" applyFill="1" applyBorder="1">
      <alignment horizontal="left" vertical="center" wrapText="1" indent="1"/>
    </xf>
    <xf numFmtId="0" fontId="9" fillId="8" borderId="58" xfId="0" applyFont="1" applyFill="1" applyBorder="1">
      <alignment horizontal="left" vertical="center" wrapText="1" indent="1"/>
    </xf>
    <xf numFmtId="0" fontId="7" fillId="9" borderId="48" xfId="2" applyFill="1" applyBorder="1" applyAlignment="1">
      <alignment horizontal="left" vertical="center" indent="1"/>
    </xf>
    <xf numFmtId="0" fontId="22" fillId="10" borderId="3" xfId="0" applyFont="1" applyFill="1" applyBorder="1" applyAlignment="1">
      <alignment horizontal="left" vertical="center" wrapText="1" indent="2"/>
    </xf>
    <xf numFmtId="0" fontId="9" fillId="10" borderId="17" xfId="0" applyFont="1" applyFill="1" applyBorder="1">
      <alignment horizontal="left" vertical="center" wrapText="1" indent="1"/>
    </xf>
    <xf numFmtId="49" fontId="46" fillId="0" borderId="0" xfId="0" applyNumberFormat="1" applyFont="1" applyProtection="1">
      <alignment horizontal="left" vertical="center" wrapText="1" indent="1"/>
      <protection locked="0"/>
    </xf>
    <xf numFmtId="0" fontId="7" fillId="9" borderId="172" xfId="2" applyFill="1" applyBorder="1">
      <alignment horizontal="left" vertical="center" wrapText="1" indent="1"/>
    </xf>
    <xf numFmtId="49" fontId="8" fillId="0" borderId="173" xfId="3" applyNumberFormat="1" applyBorder="1">
      <alignment horizontal="left" vertical="center" wrapText="1" indent="1"/>
    </xf>
    <xf numFmtId="49" fontId="9" fillId="0" borderId="2" xfId="0" applyNumberFormat="1" applyFont="1" applyBorder="1" applyProtection="1">
      <alignment horizontal="left" vertical="center" wrapText="1" indent="1"/>
      <protection locked="0"/>
    </xf>
    <xf numFmtId="0" fontId="9" fillId="0" borderId="18" xfId="2" applyFont="1" applyBorder="1">
      <alignment horizontal="left" vertical="center" wrapText="1" indent="1"/>
    </xf>
    <xf numFmtId="0" fontId="12" fillId="0" borderId="7" xfId="1" applyAlignment="1">
      <alignment vertical="center"/>
    </xf>
    <xf numFmtId="49" fontId="14" fillId="0" borderId="174" xfId="3" applyNumberFormat="1" applyFont="1" applyBorder="1" applyProtection="1">
      <alignment horizontal="left" vertical="center" wrapText="1" indent="1"/>
      <protection locked="0"/>
    </xf>
    <xf numFmtId="0" fontId="45" fillId="12" borderId="0" xfId="0" applyFont="1" applyFill="1">
      <alignment horizontal="left" vertical="center" wrapText="1" indent="1"/>
    </xf>
    <xf numFmtId="0" fontId="9" fillId="6" borderId="57" xfId="0" applyFont="1" applyFill="1" applyBorder="1">
      <alignment horizontal="left" vertical="center" wrapText="1" indent="1"/>
    </xf>
    <xf numFmtId="169" fontId="0" fillId="0" borderId="0" xfId="0" applyNumberFormat="1" applyAlignment="1" applyProtection="1">
      <alignment horizontal="right" vertical="center" wrapText="1" indent="1"/>
      <protection locked="0"/>
    </xf>
    <xf numFmtId="169" fontId="9" fillId="0" borderId="24" xfId="0" applyNumberFormat="1" applyFont="1" applyBorder="1" applyAlignment="1" applyProtection="1">
      <alignment horizontal="right" vertical="center" wrapText="1" indent="1"/>
      <protection locked="0"/>
    </xf>
    <xf numFmtId="169" fontId="9" fillId="0" borderId="0" xfId="0" applyNumberFormat="1" applyFont="1" applyAlignment="1" applyProtection="1">
      <alignment horizontal="right" vertical="center" wrapText="1" indent="1"/>
      <protection locked="0"/>
    </xf>
    <xf numFmtId="169" fontId="9" fillId="0" borderId="2" xfId="0" applyNumberFormat="1" applyFont="1" applyBorder="1" applyAlignment="1" applyProtection="1">
      <alignment horizontal="right" vertical="center" wrapText="1" indent="1"/>
      <protection locked="0"/>
    </xf>
    <xf numFmtId="169" fontId="9" fillId="0" borderId="0" xfId="18" applyNumberFormat="1" applyFont="1" applyBorder="1" applyAlignment="1" applyProtection="1">
      <alignment horizontal="right" vertical="center" wrapText="1" indent="1"/>
      <protection locked="0"/>
    </xf>
    <xf numFmtId="169" fontId="9" fillId="0" borderId="85" xfId="0" applyNumberFormat="1" applyFont="1" applyBorder="1" applyAlignment="1" applyProtection="1">
      <alignment horizontal="right" vertical="center" wrapText="1" indent="1"/>
      <protection locked="0"/>
    </xf>
    <xf numFmtId="169" fontId="9" fillId="0" borderId="56" xfId="0" applyNumberFormat="1" applyFont="1" applyBorder="1" applyAlignment="1" applyProtection="1">
      <alignment horizontal="right" vertical="center" wrapText="1" indent="1"/>
      <protection locked="0"/>
    </xf>
    <xf numFmtId="169" fontId="9" fillId="0" borderId="62" xfId="0" applyNumberFormat="1" applyFont="1" applyBorder="1" applyAlignment="1" applyProtection="1">
      <alignment horizontal="right" vertical="center" wrapText="1" indent="1"/>
      <protection locked="0"/>
    </xf>
    <xf numFmtId="169" fontId="9" fillId="0" borderId="65" xfId="18" applyNumberFormat="1" applyFont="1" applyBorder="1" applyAlignment="1" applyProtection="1">
      <alignment horizontal="right" vertical="center" wrapText="1" indent="1"/>
      <protection locked="0"/>
    </xf>
    <xf numFmtId="169" fontId="9" fillId="0" borderId="58" xfId="18" applyNumberFormat="1" applyFont="1" applyBorder="1" applyAlignment="1" applyProtection="1">
      <alignment horizontal="right" vertical="center" wrapText="1" indent="1"/>
      <protection locked="0"/>
    </xf>
    <xf numFmtId="169" fontId="9" fillId="0" borderId="64" xfId="18" applyNumberFormat="1" applyFont="1" applyBorder="1" applyAlignment="1" applyProtection="1">
      <alignment horizontal="right" vertical="center" wrapText="1" indent="1"/>
      <protection locked="0"/>
    </xf>
    <xf numFmtId="169" fontId="9" fillId="0" borderId="58" xfId="18" applyNumberFormat="1" applyFont="1" applyBorder="1" applyAlignment="1" applyProtection="1">
      <alignment horizontal="right" vertical="center" wrapText="1"/>
      <protection locked="0"/>
    </xf>
    <xf numFmtId="169" fontId="9" fillId="0" borderId="62" xfId="18" applyNumberFormat="1" applyFont="1" applyBorder="1" applyAlignment="1" applyProtection="1">
      <alignment horizontal="right" vertical="center" wrapText="1"/>
      <protection locked="0"/>
    </xf>
    <xf numFmtId="169" fontId="9" fillId="0" borderId="109" xfId="18" applyNumberFormat="1" applyFont="1" applyBorder="1" applyAlignment="1" applyProtection="1">
      <alignment horizontal="right" vertical="center" wrapText="1"/>
      <protection locked="0"/>
    </xf>
    <xf numFmtId="169" fontId="9" fillId="0" borderId="149" xfId="18" applyNumberFormat="1" applyFont="1" applyBorder="1" applyAlignment="1" applyProtection="1">
      <alignment horizontal="right" vertical="center" wrapText="1" indent="1"/>
      <protection locked="0"/>
    </xf>
    <xf numFmtId="169" fontId="9" fillId="0" borderId="50" xfId="0" applyNumberFormat="1" applyFont="1" applyBorder="1" applyAlignment="1" applyProtection="1">
      <alignment horizontal="right" vertical="center" wrapText="1" indent="1"/>
      <protection locked="0"/>
    </xf>
    <xf numFmtId="169" fontId="9" fillId="0" borderId="0" xfId="0" applyNumberFormat="1" applyFont="1" applyAlignment="1">
      <alignment horizontal="right" vertical="center" wrapText="1" indent="1"/>
    </xf>
    <xf numFmtId="169" fontId="28" fillId="0" borderId="0" xfId="18" applyNumberFormat="1" applyFont="1" applyBorder="1" applyAlignment="1" applyProtection="1">
      <alignment horizontal="right" vertical="center" wrapText="1" indent="1"/>
      <protection locked="0"/>
    </xf>
    <xf numFmtId="169" fontId="9" fillId="0" borderId="0" xfId="18" applyNumberFormat="1" applyFont="1" applyFill="1" applyBorder="1" applyAlignment="1" applyProtection="1">
      <alignment horizontal="right" vertical="center" wrapText="1" indent="1"/>
      <protection locked="0"/>
    </xf>
    <xf numFmtId="169" fontId="9" fillId="0" borderId="2" xfId="18" applyNumberFormat="1" applyFont="1" applyFill="1" applyBorder="1" applyAlignment="1" applyProtection="1">
      <alignment horizontal="right" vertical="center" wrapText="1" indent="1"/>
      <protection locked="0"/>
    </xf>
    <xf numFmtId="0" fontId="9" fillId="6" borderId="92" xfId="0" applyFont="1" applyFill="1" applyBorder="1">
      <alignment horizontal="left" vertical="center" wrapText="1" indent="1"/>
    </xf>
    <xf numFmtId="10" fontId="0" fillId="0" borderId="0" xfId="0" applyNumberFormat="1" applyAlignment="1">
      <alignment horizontal="center" vertical="top" wrapText="1"/>
    </xf>
    <xf numFmtId="10" fontId="46" fillId="0" borderId="0" xfId="0" applyNumberFormat="1" applyFont="1" applyAlignment="1" applyProtection="1">
      <alignment horizontal="right" vertical="center" wrapText="1" indent="1"/>
      <protection locked="0"/>
    </xf>
    <xf numFmtId="10" fontId="9" fillId="0" borderId="0" xfId="0" applyNumberFormat="1" applyFont="1" applyAlignment="1" applyProtection="1">
      <alignment horizontal="right" vertical="center" wrapText="1" indent="1"/>
      <protection locked="0"/>
    </xf>
    <xf numFmtId="10" fontId="9" fillId="0" borderId="2" xfId="0" applyNumberFormat="1" applyFont="1" applyBorder="1" applyAlignment="1" applyProtection="1">
      <alignment horizontal="right" vertical="center" wrapText="1" indent="1"/>
      <protection locked="0"/>
    </xf>
    <xf numFmtId="14" fontId="0" fillId="0" borderId="0" xfId="0" applyNumberFormat="1" applyAlignment="1">
      <alignment horizontal="left" vertical="top" wrapText="1"/>
    </xf>
    <xf numFmtId="0" fontId="12" fillId="0" borderId="7" xfId="1" applyAlignment="1">
      <alignment horizontal="left" vertical="center" wrapText="1" indent="1"/>
    </xf>
    <xf numFmtId="0" fontId="58" fillId="0" borderId="0" xfId="0" applyFont="1">
      <alignment horizontal="left" vertical="center" wrapText="1" indent="1"/>
    </xf>
    <xf numFmtId="0" fontId="22" fillId="8" borderId="3" xfId="0" applyFont="1" applyFill="1" applyBorder="1" applyAlignment="1">
      <alignment horizontal="left" vertical="center" indent="1"/>
    </xf>
    <xf numFmtId="0" fontId="22" fillId="8" borderId="2" xfId="0" applyFont="1" applyFill="1" applyBorder="1" applyAlignment="1">
      <alignment horizontal="left" vertical="center" indent="1"/>
    </xf>
    <xf numFmtId="0" fontId="10" fillId="0" borderId="0" xfId="0" applyFont="1" applyAlignment="1">
      <alignment horizontal="left" vertical="center" indent="1"/>
    </xf>
    <xf numFmtId="0" fontId="59" fillId="0" borderId="0" xfId="0" applyFont="1" applyProtection="1">
      <alignment horizontal="left" vertical="center" wrapText="1" indent="1"/>
      <protection locked="0"/>
    </xf>
    <xf numFmtId="0" fontId="59" fillId="0" borderId="164" xfId="0" applyFont="1" applyBorder="1" applyProtection="1">
      <alignment horizontal="left" vertical="center" wrapText="1" indent="1"/>
      <protection locked="0"/>
    </xf>
    <xf numFmtId="49" fontId="60" fillId="0" borderId="60" xfId="0" applyNumberFormat="1" applyFont="1" applyBorder="1" applyAlignment="1" applyProtection="1">
      <alignment horizontal="right" vertical="center" wrapText="1" indent="1"/>
      <protection locked="0"/>
    </xf>
    <xf numFmtId="0" fontId="9" fillId="0" borderId="54" xfId="0" applyFont="1" applyBorder="1" applyProtection="1">
      <alignment horizontal="left" vertical="center" wrapText="1" indent="1"/>
      <protection locked="0"/>
    </xf>
    <xf numFmtId="0" fontId="39" fillId="0" borderId="0" xfId="0" applyFont="1" applyAlignment="1">
      <alignment horizontal="left" vertical="top" wrapText="1"/>
    </xf>
    <xf numFmtId="0" fontId="0" fillId="0" borderId="0" xfId="0" applyAlignment="1">
      <alignment horizontal="right" vertical="top" wrapText="1"/>
    </xf>
    <xf numFmtId="0" fontId="0" fillId="0" borderId="0" xfId="0" applyProtection="1">
      <alignment horizontal="left" vertical="center" wrapText="1" indent="1"/>
      <protection locked="0"/>
    </xf>
    <xf numFmtId="0" fontId="33" fillId="5" borderId="0" xfId="0" applyFont="1" applyFill="1" applyAlignment="1">
      <alignment horizontal="left" vertical="center" indent="1"/>
    </xf>
    <xf numFmtId="0" fontId="53" fillId="0" borderId="0" xfId="0" applyFont="1" applyAlignment="1">
      <alignment horizontal="left" vertical="center"/>
    </xf>
    <xf numFmtId="0" fontId="33" fillId="0" borderId="0" xfId="0" applyFont="1" applyAlignment="1">
      <alignment horizontal="left" vertical="center" indent="1"/>
    </xf>
    <xf numFmtId="49" fontId="33" fillId="0" borderId="0" xfId="0" applyNumberFormat="1" applyFont="1" applyAlignment="1">
      <alignment horizontal="left" vertical="center" indent="1"/>
    </xf>
    <xf numFmtId="0" fontId="0" fillId="0" borderId="0" xfId="0" applyAlignment="1">
      <alignment horizontal="left" vertical="center" indent="1"/>
    </xf>
    <xf numFmtId="0" fontId="52" fillId="0" borderId="0" xfId="0" applyFont="1" applyAlignment="1">
      <alignment horizontal="left" vertical="center" indent="1"/>
    </xf>
    <xf numFmtId="0" fontId="53" fillId="0" borderId="32" xfId="0" applyFont="1" applyBorder="1" applyAlignment="1">
      <alignment horizontal="left" vertical="center"/>
    </xf>
    <xf numFmtId="0" fontId="33" fillId="0" borderId="32" xfId="0" applyFont="1" applyBorder="1" applyAlignment="1">
      <alignment horizontal="left" vertical="center" indent="1"/>
    </xf>
    <xf numFmtId="0" fontId="33" fillId="0" borderId="17" xfId="0" applyFont="1" applyBorder="1" applyAlignment="1">
      <alignment horizontal="left" vertical="center" indent="1"/>
    </xf>
    <xf numFmtId="0" fontId="33" fillId="0" borderId="33" xfId="0" applyFont="1" applyBorder="1" applyAlignment="1">
      <alignment horizontal="left" vertical="center" indent="1"/>
    </xf>
    <xf numFmtId="0" fontId="53" fillId="0" borderId="34" xfId="0" applyFont="1" applyBorder="1" applyAlignment="1">
      <alignment horizontal="left" vertical="center"/>
    </xf>
    <xf numFmtId="0" fontId="33" fillId="0" borderId="34" xfId="0" applyFont="1" applyBorder="1" applyAlignment="1">
      <alignment horizontal="left" vertical="center" indent="1"/>
    </xf>
    <xf numFmtId="0" fontId="33" fillId="0" borderId="35" xfId="0" applyFont="1" applyBorder="1" applyAlignment="1">
      <alignment horizontal="left" vertical="center" indent="1"/>
    </xf>
    <xf numFmtId="0" fontId="53" fillId="0" borderId="36" xfId="0" applyFont="1" applyBorder="1" applyAlignment="1">
      <alignment horizontal="left" vertical="center"/>
    </xf>
    <xf numFmtId="0" fontId="33" fillId="0" borderId="36" xfId="0" applyFont="1" applyBorder="1" applyAlignment="1">
      <alignment horizontal="left" vertical="center" indent="1"/>
    </xf>
    <xf numFmtId="0" fontId="33" fillId="0" borderId="2" xfId="0" applyFont="1" applyBorder="1" applyAlignment="1">
      <alignment horizontal="left" vertical="center" indent="1"/>
    </xf>
    <xf numFmtId="0" fontId="33" fillId="0" borderId="37" xfId="0" applyFont="1" applyBorder="1" applyAlignment="1">
      <alignment horizontal="left" vertical="center" indent="1"/>
    </xf>
    <xf numFmtId="0" fontId="53" fillId="0" borderId="0" xfId="0" applyFont="1" applyAlignment="1">
      <alignment horizontal="left" vertical="top" wrapText="1"/>
    </xf>
    <xf numFmtId="0" fontId="53" fillId="0" borderId="2" xfId="0" applyFont="1" applyBorder="1" applyAlignment="1">
      <alignment horizontal="left" vertical="center"/>
    </xf>
    <xf numFmtId="0" fontId="0" fillId="0" borderId="2" xfId="0" applyBorder="1" applyAlignment="1">
      <alignment horizontal="left" vertical="center" indent="1"/>
    </xf>
    <xf numFmtId="164" fontId="33" fillId="0" borderId="0" xfId="0" applyNumberFormat="1" applyFont="1" applyAlignment="1">
      <alignment horizontal="left" vertical="center" indent="1"/>
    </xf>
    <xf numFmtId="0" fontId="53" fillId="0" borderId="0" xfId="0" applyFont="1" applyAlignment="1">
      <alignment horizontal="left" vertical="center" wrapText="1"/>
    </xf>
    <xf numFmtId="9" fontId="33" fillId="0" borderId="0" xfId="0" applyNumberFormat="1" applyFont="1" applyAlignment="1">
      <alignment horizontal="left" vertical="center" indent="1"/>
    </xf>
    <xf numFmtId="10" fontId="33" fillId="0" borderId="0" xfId="0" applyNumberFormat="1" applyFont="1" applyAlignment="1">
      <alignment horizontal="left" vertical="center" indent="1"/>
    </xf>
    <xf numFmtId="0" fontId="53" fillId="0" borderId="160" xfId="0" applyFont="1" applyBorder="1" applyAlignment="1">
      <alignment horizontal="left" vertical="center"/>
    </xf>
    <xf numFmtId="0" fontId="33" fillId="0" borderId="3" xfId="0" applyFont="1" applyBorder="1" applyAlignment="1">
      <alignment horizontal="left" vertical="center" indent="1"/>
    </xf>
    <xf numFmtId="164" fontId="33" fillId="0" borderId="161" xfId="0" applyNumberFormat="1" applyFont="1" applyBorder="1" applyAlignment="1">
      <alignment horizontal="left" vertical="center" indent="1"/>
    </xf>
    <xf numFmtId="164" fontId="33" fillId="0" borderId="33" xfId="0" applyNumberFormat="1" applyFont="1" applyBorder="1" applyAlignment="1">
      <alignment horizontal="left" vertical="center" indent="1"/>
    </xf>
    <xf numFmtId="164" fontId="33" fillId="0" borderId="35" xfId="0" applyNumberFormat="1" applyFont="1" applyBorder="1" applyAlignment="1">
      <alignment horizontal="left" vertical="center" indent="1"/>
    </xf>
    <xf numFmtId="0" fontId="53" fillId="0" borderId="34" xfId="0" applyFont="1" applyBorder="1" applyAlignment="1">
      <alignment horizontal="left" vertical="center" wrapText="1"/>
    </xf>
    <xf numFmtId="164" fontId="33" fillId="0" borderId="37" xfId="0" applyNumberFormat="1" applyFont="1" applyBorder="1" applyAlignment="1">
      <alignment horizontal="left" vertical="center" indent="1"/>
    </xf>
    <xf numFmtId="0" fontId="53" fillId="0" borderId="36" xfId="0" applyFont="1" applyBorder="1" applyAlignment="1">
      <alignment horizontal="left" vertical="center" wrapText="1"/>
    </xf>
    <xf numFmtId="2" fontId="33" fillId="0" borderId="0" xfId="0" applyNumberFormat="1" applyFont="1" applyAlignment="1">
      <alignment horizontal="left" vertical="center" indent="1"/>
    </xf>
    <xf numFmtId="0" fontId="33" fillId="0" borderId="0" xfId="0" quotePrefix="1" applyFont="1" applyAlignment="1">
      <alignment horizontal="left" vertical="center" indent="1"/>
    </xf>
    <xf numFmtId="0" fontId="33" fillId="0" borderId="34" xfId="0" applyFont="1" applyBorder="1">
      <alignment horizontal="left" vertical="center" wrapText="1" indent="1"/>
    </xf>
    <xf numFmtId="14" fontId="33" fillId="0" borderId="0" xfId="0" applyNumberFormat="1" applyFont="1" applyAlignment="1">
      <alignment horizontal="left" vertical="center" indent="1"/>
    </xf>
    <xf numFmtId="10" fontId="33" fillId="0" borderId="34" xfId="0" applyNumberFormat="1" applyFont="1" applyBorder="1" applyAlignment="1">
      <alignment horizontal="left" vertical="center" indent="1"/>
    </xf>
    <xf numFmtId="10" fontId="33" fillId="0" borderId="36" xfId="0" applyNumberFormat="1" applyFont="1" applyBorder="1" applyAlignment="1">
      <alignment horizontal="left" vertical="center" indent="1"/>
    </xf>
    <xf numFmtId="2" fontId="33" fillId="0" borderId="34" xfId="0" applyNumberFormat="1" applyFont="1" applyBorder="1" applyAlignment="1">
      <alignment horizontal="left" vertical="center" indent="1"/>
    </xf>
    <xf numFmtId="2" fontId="33" fillId="0" borderId="36" xfId="0" applyNumberFormat="1" applyFont="1" applyBorder="1" applyAlignment="1">
      <alignment horizontal="left" vertical="center" indent="1"/>
    </xf>
    <xf numFmtId="2" fontId="33" fillId="0" borderId="17" xfId="0" applyNumberFormat="1" applyFont="1" applyBorder="1" applyAlignment="1">
      <alignment horizontal="left" vertical="center" indent="1"/>
    </xf>
    <xf numFmtId="0" fontId="33" fillId="0" borderId="0" xfId="0" applyFont="1">
      <alignment horizontal="left" vertical="center" wrapText="1" indent="1"/>
    </xf>
    <xf numFmtId="2" fontId="33" fillId="0" borderId="2" xfId="0" applyNumberFormat="1" applyFont="1" applyBorder="1" applyAlignment="1">
      <alignment horizontal="left" vertical="center" indent="1"/>
    </xf>
    <xf numFmtId="0" fontId="33" fillId="0" borderId="160" xfId="0" applyFont="1" applyBorder="1" applyAlignment="1">
      <alignment horizontal="left" vertical="center" indent="1"/>
    </xf>
    <xf numFmtId="0" fontId="33" fillId="0" borderId="161" xfId="0" applyFont="1" applyBorder="1" applyAlignment="1">
      <alignment horizontal="left" vertical="center" indent="1"/>
    </xf>
    <xf numFmtId="0" fontId="33" fillId="0" borderId="17" xfId="0" applyFont="1" applyBorder="1">
      <alignment horizontal="left" vertical="center" wrapText="1" indent="1"/>
    </xf>
    <xf numFmtId="14" fontId="33" fillId="0" borderId="0" xfId="0" quotePrefix="1" applyNumberFormat="1" applyFont="1" applyAlignment="1">
      <alignment horizontal="left" vertical="center" indent="1"/>
    </xf>
    <xf numFmtId="14" fontId="33" fillId="0" borderId="34" xfId="0" quotePrefix="1" applyNumberFormat="1" applyFont="1" applyBorder="1" applyAlignment="1">
      <alignment horizontal="left" vertical="center" indent="1"/>
    </xf>
    <xf numFmtId="0" fontId="0" fillId="0" borderId="0" xfId="0" applyAlignment="1">
      <alignment horizontal="left" vertical="top" shrinkToFit="1"/>
    </xf>
    <xf numFmtId="0" fontId="9" fillId="0" borderId="0" xfId="0" applyFont="1" applyAlignment="1">
      <alignment vertical="top"/>
    </xf>
    <xf numFmtId="2" fontId="33" fillId="0" borderId="32" xfId="0" applyNumberFormat="1" applyFont="1" applyBorder="1" applyAlignment="1">
      <alignment horizontal="left" vertical="center" indent="1"/>
    </xf>
    <xf numFmtId="0" fontId="12" fillId="0" borderId="0" xfId="1" applyBorder="1">
      <alignment horizontal="left" vertical="center" indent="1"/>
    </xf>
    <xf numFmtId="0" fontId="7" fillId="9" borderId="175" xfId="2" applyFill="1" applyBorder="1">
      <alignment horizontal="left" vertical="center" wrapText="1" indent="1"/>
    </xf>
    <xf numFmtId="0" fontId="7" fillId="6" borderId="2" xfId="2" applyFill="1" applyBorder="1">
      <alignment horizontal="left" vertical="center" wrapText="1" indent="1"/>
    </xf>
    <xf numFmtId="0" fontId="8" fillId="0" borderId="0" xfId="1" applyFont="1" applyBorder="1" applyAlignment="1">
      <alignment horizontal="left" vertical="center"/>
    </xf>
    <xf numFmtId="0" fontId="8" fillId="9" borderId="8" xfId="2" applyFont="1" applyFill="1" applyAlignment="1">
      <alignment vertical="center" wrapText="1"/>
    </xf>
    <xf numFmtId="0" fontId="0" fillId="6" borderId="0" xfId="0" applyFill="1" applyAlignment="1">
      <alignment vertical="top" wrapText="1"/>
    </xf>
    <xf numFmtId="0" fontId="39" fillId="6" borderId="0" xfId="0" applyFont="1" applyFill="1" applyAlignment="1">
      <alignment vertical="top" wrapText="1"/>
    </xf>
    <xf numFmtId="49" fontId="33" fillId="0" borderId="0" xfId="0" quotePrefix="1" applyNumberFormat="1" applyFont="1" applyAlignment="1">
      <alignment horizontal="left" vertical="center" indent="1"/>
    </xf>
    <xf numFmtId="49" fontId="33" fillId="0" borderId="17" xfId="0" applyNumberFormat="1" applyFont="1" applyBorder="1" applyAlignment="1">
      <alignment horizontal="left" vertical="center" indent="1"/>
    </xf>
    <xf numFmtId="0" fontId="39" fillId="0" borderId="0" xfId="0" applyFont="1" applyAlignment="1">
      <alignment vertical="top" wrapText="1"/>
    </xf>
    <xf numFmtId="49" fontId="0" fillId="0" borderId="40" xfId="0" applyNumberFormat="1" applyBorder="1">
      <alignment horizontal="left" vertical="center" wrapText="1" indent="1"/>
    </xf>
    <xf numFmtId="0" fontId="53" fillId="14" borderId="0" xfId="0" applyFont="1" applyFill="1" applyAlignment="1">
      <alignment horizontal="left" vertical="center"/>
    </xf>
    <xf numFmtId="0" fontId="33" fillId="14" borderId="0" xfId="0" applyFont="1" applyFill="1" applyAlignment="1">
      <alignment horizontal="left" vertical="center" indent="1"/>
    </xf>
    <xf numFmtId="0" fontId="0" fillId="14" borderId="0" xfId="0" applyFill="1" applyAlignment="1">
      <alignment horizontal="left" vertical="center" indent="1"/>
    </xf>
    <xf numFmtId="2" fontId="33" fillId="0" borderId="3" xfId="0" applyNumberFormat="1" applyFont="1" applyBorder="1" applyAlignment="1">
      <alignment horizontal="left" vertical="center" indent="1"/>
    </xf>
    <xf numFmtId="2" fontId="33" fillId="0" borderId="160" xfId="0" applyNumberFormat="1" applyFont="1" applyBorder="1" applyAlignment="1">
      <alignment horizontal="left" vertical="center" indent="1"/>
    </xf>
    <xf numFmtId="0" fontId="53" fillId="5" borderId="0" xfId="0" applyFont="1" applyFill="1" applyAlignment="1">
      <alignment horizontal="left" vertical="center"/>
    </xf>
    <xf numFmtId="0" fontId="33" fillId="5" borderId="34" xfId="0" applyFont="1" applyFill="1" applyBorder="1" applyAlignment="1">
      <alignment horizontal="left" vertical="center" indent="1"/>
    </xf>
    <xf numFmtId="0" fontId="33" fillId="5" borderId="35" xfId="0" applyFont="1" applyFill="1" applyBorder="1" applyAlignment="1">
      <alignment horizontal="left" vertical="center" indent="1"/>
    </xf>
    <xf numFmtId="0" fontId="0" fillId="5" borderId="0" xfId="0" applyFill="1" applyAlignment="1">
      <alignment horizontal="left" vertical="center" indent="1"/>
    </xf>
    <xf numFmtId="0" fontId="4" fillId="0" borderId="0" xfId="0" applyFont="1" applyAlignment="1">
      <alignment horizontal="left" vertical="top" wrapText="1"/>
    </xf>
    <xf numFmtId="0" fontId="4" fillId="0" borderId="0" xfId="0" applyFont="1" applyAlignment="1">
      <alignment vertical="top" wrapText="1"/>
    </xf>
    <xf numFmtId="0" fontId="8" fillId="0" borderId="32" xfId="0" applyFont="1" applyBorder="1">
      <alignment horizontal="left" vertical="center" wrapText="1" indent="1"/>
    </xf>
    <xf numFmtId="0" fontId="8" fillId="0" borderId="17" xfId="0" applyFont="1" applyBorder="1">
      <alignment horizontal="left" vertical="center" wrapText="1" indent="1"/>
    </xf>
    <xf numFmtId="0" fontId="8" fillId="0" borderId="33" xfId="0" applyFont="1" applyBorder="1">
      <alignment horizontal="left" vertical="center" wrapText="1" indent="1"/>
    </xf>
    <xf numFmtId="0" fontId="15" fillId="0" borderId="68" xfId="0" applyFont="1" applyBorder="1">
      <alignment horizontal="left" vertical="center" wrapText="1" indent="1"/>
    </xf>
    <xf numFmtId="0" fontId="14" fillId="0" borderId="118" xfId="0" applyFont="1" applyBorder="1">
      <alignment horizontal="left" vertical="center" wrapText="1" indent="1"/>
    </xf>
    <xf numFmtId="0" fontId="14" fillId="0" borderId="117" xfId="0" applyFont="1" applyBorder="1">
      <alignment horizontal="left" vertical="center" wrapText="1" indent="1"/>
    </xf>
    <xf numFmtId="49" fontId="0" fillId="6" borderId="56" xfId="0" applyNumberFormat="1" applyFill="1" applyBorder="1" applyProtection="1">
      <alignment horizontal="left" vertical="center" wrapText="1" indent="1"/>
      <protection locked="0"/>
    </xf>
    <xf numFmtId="49" fontId="46" fillId="6" borderId="56" xfId="0" applyNumberFormat="1" applyFont="1" applyFill="1" applyBorder="1" applyProtection="1">
      <alignment horizontal="left" vertical="center" wrapText="1" indent="1"/>
      <protection locked="0"/>
    </xf>
    <xf numFmtId="49" fontId="62" fillId="6" borderId="56" xfId="0" applyNumberFormat="1" applyFont="1" applyFill="1" applyBorder="1" applyProtection="1">
      <alignment horizontal="left" vertical="center" wrapText="1" indent="1"/>
      <protection locked="0"/>
    </xf>
    <xf numFmtId="49" fontId="9" fillId="6" borderId="58" xfId="0" applyNumberFormat="1" applyFont="1" applyFill="1" applyBorder="1" applyProtection="1">
      <alignment horizontal="left" vertical="center" wrapText="1" indent="1"/>
      <protection locked="0"/>
    </xf>
    <xf numFmtId="49" fontId="9" fillId="6" borderId="100" xfId="0" applyNumberFormat="1" applyFont="1" applyFill="1" applyBorder="1" applyProtection="1">
      <alignment horizontal="left" vertical="center" wrapText="1" indent="1"/>
      <protection locked="0"/>
    </xf>
    <xf numFmtId="49" fontId="7" fillId="9" borderId="0" xfId="2" applyNumberFormat="1" applyFill="1" applyBorder="1">
      <alignment horizontal="left" vertical="center" wrapText="1" indent="1"/>
    </xf>
    <xf numFmtId="0" fontId="8" fillId="0" borderId="176" xfId="3" applyBorder="1">
      <alignment horizontal="left" vertical="center" wrapText="1" indent="1"/>
    </xf>
    <xf numFmtId="0" fontId="7" fillId="9" borderId="177" xfId="2" applyFill="1" applyBorder="1">
      <alignment horizontal="left" vertical="center" wrapText="1" indent="1"/>
    </xf>
    <xf numFmtId="0" fontId="7" fillId="9" borderId="123" xfId="2" applyFill="1" applyBorder="1">
      <alignment horizontal="left" vertical="center" wrapText="1" indent="1"/>
    </xf>
    <xf numFmtId="0" fontId="7" fillId="9" borderId="178" xfId="2" applyFill="1" applyBorder="1">
      <alignment horizontal="left" vertical="center" wrapText="1" indent="1"/>
    </xf>
    <xf numFmtId="0" fontId="10" fillId="6" borderId="25" xfId="0" applyFont="1" applyFill="1" applyBorder="1">
      <alignment horizontal="left" vertical="center" wrapText="1" indent="1"/>
    </xf>
    <xf numFmtId="49" fontId="9" fillId="0" borderId="179" xfId="10" applyNumberFormat="1" applyFont="1" applyBorder="1" applyProtection="1">
      <alignment horizontal="left" vertical="center" wrapText="1" indent="1"/>
      <protection locked="0"/>
    </xf>
    <xf numFmtId="49" fontId="9" fillId="0" borderId="58" xfId="10" applyNumberFormat="1" applyFont="1" applyBorder="1" applyProtection="1">
      <alignment horizontal="left" vertical="center" wrapText="1" indent="1"/>
      <protection locked="0"/>
    </xf>
    <xf numFmtId="0" fontId="0" fillId="0" borderId="23" xfId="0" applyBorder="1">
      <alignment horizontal="left" vertical="center" wrapText="1" indent="1"/>
    </xf>
    <xf numFmtId="0" fontId="9" fillId="0" borderId="182" xfId="0" applyFont="1" applyBorder="1">
      <alignment horizontal="left" vertical="center" wrapText="1" indent="1"/>
    </xf>
    <xf numFmtId="0" fontId="8" fillId="0" borderId="180" xfId="12" applyBorder="1">
      <alignment horizontal="left" vertical="center" wrapText="1" indent="1"/>
    </xf>
    <xf numFmtId="0" fontId="8" fillId="0" borderId="181" xfId="12" applyBorder="1">
      <alignment horizontal="left" vertical="center" wrapText="1" indent="1"/>
    </xf>
    <xf numFmtId="0" fontId="9" fillId="0" borderId="183" xfId="0" applyFont="1" applyBorder="1">
      <alignment horizontal="left" vertical="center" wrapText="1" indent="1"/>
    </xf>
    <xf numFmtId="0" fontId="5" fillId="0" borderId="1" xfId="6" applyBorder="1">
      <alignment horizontal="left" vertical="center" wrapText="1" indent="1"/>
    </xf>
    <xf numFmtId="0" fontId="63" fillId="0" borderId="0" xfId="0" applyFont="1">
      <alignment horizontal="left" vertical="center" wrapText="1" indent="1"/>
    </xf>
    <xf numFmtId="0" fontId="63" fillId="0" borderId="0" xfId="0" applyFont="1" applyAlignment="1">
      <alignment horizontal="center" vertical="center" wrapText="1"/>
    </xf>
    <xf numFmtId="0" fontId="9" fillId="15" borderId="185" xfId="0" applyFont="1" applyFill="1" applyBorder="1" applyProtection="1">
      <alignment horizontal="left" vertical="center" wrapText="1" indent="1"/>
      <protection locked="0"/>
    </xf>
    <xf numFmtId="0" fontId="9" fillId="0" borderId="186" xfId="0" applyFont="1" applyBorder="1">
      <alignment horizontal="left" vertical="center" wrapText="1" indent="1"/>
    </xf>
    <xf numFmtId="0" fontId="10" fillId="6" borderId="187" xfId="0" applyFont="1" applyFill="1" applyBorder="1">
      <alignment horizontal="left" vertical="center" wrapText="1" indent="1"/>
    </xf>
    <xf numFmtId="49" fontId="44" fillId="0" borderId="40" xfId="0" applyNumberFormat="1" applyFont="1" applyBorder="1">
      <alignment horizontal="left" vertical="center" wrapText="1" indent="1"/>
    </xf>
    <xf numFmtId="0" fontId="8" fillId="0" borderId="7" xfId="1" applyFont="1" applyAlignment="1">
      <alignment vertical="center" wrapText="1"/>
    </xf>
    <xf numFmtId="0" fontId="14" fillId="6" borderId="0" xfId="10" applyFont="1" applyFill="1">
      <alignment horizontal="left" vertical="center" wrapText="1" indent="1"/>
    </xf>
    <xf numFmtId="0" fontId="0" fillId="0" borderId="0" xfId="0" quotePrefix="1" applyAlignment="1">
      <alignment horizontal="left" vertical="top" wrapText="1"/>
    </xf>
    <xf numFmtId="49" fontId="9" fillId="0" borderId="144" xfId="0" applyNumberFormat="1" applyFont="1" applyBorder="1" applyProtection="1">
      <alignment horizontal="left" vertical="center" wrapText="1" indent="1"/>
      <protection locked="0"/>
    </xf>
    <xf numFmtId="0" fontId="9" fillId="0" borderId="63" xfId="19" applyFont="1" applyBorder="1">
      <alignment horizontal="left" vertical="center" wrapText="1" indent="1"/>
    </xf>
    <xf numFmtId="164" fontId="9" fillId="0" borderId="188" xfId="0" applyNumberFormat="1" applyFont="1" applyBorder="1">
      <alignment horizontal="left" vertical="center" wrapText="1" indent="1"/>
    </xf>
    <xf numFmtId="164" fontId="9" fillId="0" borderId="189" xfId="0" applyNumberFormat="1" applyFont="1" applyBorder="1" applyProtection="1">
      <alignment horizontal="left" vertical="center" wrapText="1" indent="1"/>
      <protection locked="0"/>
    </xf>
    <xf numFmtId="0" fontId="26" fillId="0" borderId="44" xfId="0" applyFont="1" applyBorder="1" applyAlignment="1">
      <alignment horizontal="center" vertical="center" wrapText="1"/>
    </xf>
    <xf numFmtId="0" fontId="26" fillId="0" borderId="40" xfId="0" applyFont="1" applyBorder="1" applyAlignment="1" applyProtection="1">
      <alignment horizontal="center" vertical="center" wrapText="1"/>
      <protection locked="0"/>
    </xf>
    <xf numFmtId="0" fontId="26" fillId="0" borderId="49" xfId="0" applyFont="1" applyBorder="1" applyAlignment="1">
      <alignment horizontal="center" vertical="center" wrapText="1"/>
    </xf>
    <xf numFmtId="0" fontId="26" fillId="0" borderId="40" xfId="0" applyFont="1" applyBorder="1" applyAlignment="1">
      <alignment horizontal="left" vertical="center" wrapText="1"/>
    </xf>
    <xf numFmtId="0" fontId="39" fillId="0" borderId="40" xfId="0" applyFont="1" applyBorder="1" applyAlignment="1">
      <alignment horizontal="left" vertical="center" wrapText="1"/>
    </xf>
    <xf numFmtId="0" fontId="26" fillId="0" borderId="40" xfId="0" applyFont="1" applyBorder="1" applyAlignment="1">
      <alignment horizontal="center" vertical="center" wrapText="1"/>
    </xf>
    <xf numFmtId="0" fontId="8" fillId="0" borderId="40" xfId="0" applyFont="1" applyBorder="1" applyAlignment="1">
      <alignment horizontal="left" vertical="center"/>
    </xf>
    <xf numFmtId="0" fontId="8" fillId="0" borderId="40" xfId="0" applyFont="1" applyBorder="1" applyAlignment="1">
      <alignment horizontal="center" vertical="center"/>
    </xf>
    <xf numFmtId="0" fontId="38" fillId="0" borderId="40" xfId="0" applyFont="1" applyBorder="1" applyAlignment="1">
      <alignment horizontal="left" vertical="center" wrapText="1"/>
    </xf>
    <xf numFmtId="49" fontId="0" fillId="0" borderId="0" xfId="0" applyNumberFormat="1" applyAlignment="1">
      <alignment horizontal="center" vertical="center" wrapText="1" indent="1"/>
    </xf>
    <xf numFmtId="0" fontId="0" fillId="0" borderId="0" xfId="0" applyAlignment="1">
      <alignment horizontal="center" vertical="center" wrapText="1" indent="1"/>
    </xf>
    <xf numFmtId="0" fontId="4" fillId="0" borderId="44" xfId="0" applyFont="1" applyBorder="1" applyAlignment="1">
      <alignment horizontal="center" vertical="center" wrapText="1"/>
    </xf>
    <xf numFmtId="0" fontId="5" fillId="0" borderId="40" xfId="6" quotePrefix="1" applyBorder="1" applyAlignment="1" applyProtection="1">
      <alignment horizontal="center" vertical="center" wrapText="1"/>
      <protection locked="0"/>
    </xf>
    <xf numFmtId="0" fontId="39" fillId="0" borderId="49" xfId="0" applyFont="1" applyBorder="1" applyAlignment="1">
      <alignment horizontal="left" vertical="center" wrapText="1"/>
    </xf>
    <xf numFmtId="0" fontId="40" fillId="0" borderId="40" xfId="0" applyFont="1" applyBorder="1" applyAlignment="1">
      <alignment horizontal="left" vertical="center" wrapText="1"/>
    </xf>
    <xf numFmtId="0" fontId="4" fillId="0" borderId="40" xfId="0" applyFont="1" applyBorder="1" applyAlignment="1">
      <alignment horizontal="left" vertical="center" wrapText="1"/>
    </xf>
    <xf numFmtId="0" fontId="4" fillId="0" borderId="40" xfId="0" applyFont="1" applyBorder="1" applyAlignment="1">
      <alignment horizontal="center" vertical="center" wrapText="1"/>
    </xf>
    <xf numFmtId="0" fontId="27" fillId="0" borderId="40" xfId="0" applyFont="1" applyBorder="1" applyAlignment="1">
      <alignment horizontal="left" vertical="center"/>
    </xf>
    <xf numFmtId="0" fontId="0" fillId="0" borderId="40" xfId="0" applyBorder="1" applyAlignment="1">
      <alignment horizontal="center" vertical="center"/>
    </xf>
    <xf numFmtId="0" fontId="0" fillId="0" borderId="40" xfId="0" applyBorder="1" applyAlignment="1">
      <alignment horizontal="left" vertical="center"/>
    </xf>
    <xf numFmtId="0" fontId="0" fillId="0" borderId="40" xfId="0" applyBorder="1" applyAlignment="1">
      <alignment vertical="center"/>
    </xf>
    <xf numFmtId="0" fontId="57" fillId="0" borderId="0" xfId="0" applyFont="1" applyAlignment="1">
      <alignment horizontal="left" vertical="center" indent="1"/>
    </xf>
    <xf numFmtId="0" fontId="5" fillId="0" borderId="40" xfId="6" applyBorder="1" applyAlignment="1" applyProtection="1">
      <alignment horizontal="center" vertical="center" wrapText="1"/>
      <protection locked="0"/>
    </xf>
    <xf numFmtId="49" fontId="27" fillId="0" borderId="40" xfId="0" applyNumberFormat="1" applyFont="1" applyBorder="1" applyAlignment="1">
      <alignment horizontal="left" vertical="center"/>
    </xf>
    <xf numFmtId="165" fontId="27" fillId="0" borderId="40" xfId="0" applyNumberFormat="1" applyFont="1" applyBorder="1" applyAlignment="1">
      <alignment horizontal="left" vertical="center"/>
    </xf>
    <xf numFmtId="14" fontId="27" fillId="0" borderId="40" xfId="0" applyNumberFormat="1" applyFont="1" applyBorder="1" applyAlignment="1">
      <alignment horizontal="left" vertical="center"/>
    </xf>
    <xf numFmtId="1" fontId="27" fillId="0" borderId="40" xfId="0" applyNumberFormat="1" applyFont="1" applyBorder="1" applyAlignment="1">
      <alignment horizontal="left" vertical="center"/>
    </xf>
    <xf numFmtId="0" fontId="5" fillId="0" borderId="0" xfId="6" applyProtection="1">
      <alignment horizontal="left" vertical="center" wrapText="1" indent="1"/>
      <protection locked="0"/>
    </xf>
    <xf numFmtId="49" fontId="27" fillId="0" borderId="40" xfId="18" applyNumberFormat="1" applyFont="1" applyFill="1" applyBorder="1" applyAlignment="1">
      <alignment horizontal="left" vertical="center"/>
    </xf>
    <xf numFmtId="49" fontId="9" fillId="0" borderId="40" xfId="0" applyNumberFormat="1" applyFont="1" applyBorder="1" applyAlignment="1">
      <alignment horizontal="center" vertical="center"/>
    </xf>
    <xf numFmtId="0" fontId="9" fillId="0" borderId="40" xfId="0" applyFont="1" applyBorder="1" applyAlignment="1">
      <alignment horizontal="center" vertical="center" wrapText="1"/>
    </xf>
    <xf numFmtId="49" fontId="9" fillId="0" borderId="40" xfId="0" applyNumberFormat="1" applyFont="1" applyBorder="1" applyAlignment="1">
      <alignment horizontal="left" vertical="center"/>
    </xf>
    <xf numFmtId="0" fontId="0" fillId="0" borderId="45" xfId="0" applyBorder="1" applyAlignment="1">
      <alignment horizontal="center" vertical="center"/>
    </xf>
    <xf numFmtId="0" fontId="0" fillId="0" borderId="40" xfId="0" quotePrefix="1" applyBorder="1" applyAlignment="1">
      <alignment horizontal="left" vertical="center"/>
    </xf>
    <xf numFmtId="0" fontId="0" fillId="0" borderId="44" xfId="0" applyBorder="1" applyAlignment="1">
      <alignment horizontal="center" vertical="center"/>
    </xf>
    <xf numFmtId="0" fontId="0" fillId="0" borderId="49" xfId="0" applyBorder="1" applyAlignment="1">
      <alignment vertical="center"/>
    </xf>
    <xf numFmtId="0" fontId="0" fillId="0" borderId="96" xfId="0" applyBorder="1" applyAlignment="1">
      <alignment horizontal="center" vertical="center"/>
    </xf>
    <xf numFmtId="0" fontId="9" fillId="0" borderId="40" xfId="0" applyFont="1" applyBorder="1" applyAlignment="1">
      <alignment horizontal="center" vertical="center"/>
    </xf>
    <xf numFmtId="164" fontId="9" fillId="0" borderId="40" xfId="0" applyNumberFormat="1" applyFont="1" applyBorder="1" applyAlignment="1">
      <alignment horizontal="center" vertical="center"/>
    </xf>
    <xf numFmtId="0" fontId="49" fillId="0" borderId="127" xfId="0" applyFont="1" applyBorder="1" applyAlignment="1">
      <alignment horizontal="left" vertical="center" indent="1"/>
    </xf>
    <xf numFmtId="1" fontId="27" fillId="0" borderId="40" xfId="18" applyNumberFormat="1" applyFont="1" applyFill="1" applyBorder="1" applyAlignment="1">
      <alignment horizontal="left" vertical="center"/>
    </xf>
    <xf numFmtId="0" fontId="49" fillId="0" borderId="40" xfId="0" applyFont="1" applyBorder="1" applyAlignment="1">
      <alignment horizontal="left" vertical="center" indent="1"/>
    </xf>
    <xf numFmtId="0" fontId="0" fillId="0" borderId="40" xfId="0" quotePrefix="1" applyBorder="1" applyAlignment="1">
      <alignment horizontal="center" vertical="center"/>
    </xf>
    <xf numFmtId="0" fontId="0" fillId="0" borderId="40" xfId="0" applyBorder="1" applyAlignment="1">
      <alignment horizontal="center" vertical="center" wrapText="1"/>
    </xf>
    <xf numFmtId="0" fontId="0" fillId="0" borderId="45" xfId="0" applyBorder="1" applyAlignment="1">
      <alignment vertical="center"/>
    </xf>
    <xf numFmtId="0" fontId="5" fillId="0" borderId="40" xfId="6" applyBorder="1" applyProtection="1">
      <alignment horizontal="left" vertical="center" wrapText="1" indent="1"/>
      <protection locked="0"/>
    </xf>
    <xf numFmtId="165" fontId="27" fillId="0" borderId="40" xfId="18" applyNumberFormat="1" applyFont="1" applyFill="1" applyBorder="1" applyAlignment="1">
      <alignment horizontal="left" vertical="center"/>
    </xf>
    <xf numFmtId="49" fontId="57" fillId="0" borderId="0" xfId="0" applyNumberFormat="1" applyFont="1" applyAlignment="1">
      <alignment horizontal="left" vertical="center" indent="1"/>
    </xf>
    <xf numFmtId="0" fontId="7" fillId="9" borderId="103" xfId="2" applyFill="1" applyBorder="1">
      <alignment horizontal="left" vertical="center" wrapText="1" indent="1"/>
    </xf>
    <xf numFmtId="0" fontId="0" fillId="0" borderId="103" xfId="0" applyBorder="1">
      <alignment horizontal="left" vertical="center" wrapText="1" indent="1"/>
    </xf>
    <xf numFmtId="0" fontId="9" fillId="0" borderId="123" xfId="0" applyFont="1" applyBorder="1">
      <alignment horizontal="left" vertical="center" wrapText="1" indent="1"/>
    </xf>
    <xf numFmtId="0" fontId="0" fillId="0" borderId="2" xfId="0" applyBorder="1">
      <alignment horizontal="left" vertical="center" wrapText="1" indent="1"/>
    </xf>
    <xf numFmtId="0" fontId="0" fillId="0" borderId="123" xfId="0" applyBorder="1">
      <alignment horizontal="left" vertical="center" wrapText="1" indent="1"/>
    </xf>
    <xf numFmtId="0" fontId="12" fillId="0" borderId="7" xfId="1" applyAlignment="1">
      <alignment horizontal="left" vertical="center" wrapText="1" indent="1"/>
    </xf>
    <xf numFmtId="0" fontId="12" fillId="0" borderId="7" xfId="1">
      <alignment horizontal="left" vertical="center" indent="1"/>
    </xf>
    <xf numFmtId="0" fontId="7" fillId="9" borderId="103" xfId="2" applyFill="1" applyBorder="1" applyAlignment="1">
      <alignment horizontal="left" vertical="center" indent="1"/>
    </xf>
    <xf numFmtId="0" fontId="7" fillId="9" borderId="48" xfId="2" applyFill="1" applyBorder="1">
      <alignment horizontal="left" vertical="center" wrapText="1" indent="1"/>
    </xf>
    <xf numFmtId="0" fontId="0" fillId="0" borderId="48" xfId="0" applyBorder="1">
      <alignment horizontal="left" vertical="center" wrapText="1" indent="1"/>
    </xf>
    <xf numFmtId="0" fontId="8" fillId="0" borderId="77" xfId="3" applyBorder="1">
      <alignment horizontal="left" vertical="center" wrapText="1" indent="1"/>
    </xf>
    <xf numFmtId="0" fontId="0" fillId="0" borderId="77" xfId="0" applyBorder="1">
      <alignment horizontal="left" vertical="center" wrapText="1" indent="1"/>
    </xf>
    <xf numFmtId="0" fontId="0" fillId="0" borderId="184" xfId="0" applyBorder="1">
      <alignment horizontal="left" vertical="center" wrapText="1" indent="1"/>
    </xf>
    <xf numFmtId="0" fontId="7" fillId="9" borderId="48" xfId="2" applyFill="1" applyBorder="1" applyAlignment="1">
      <alignment horizontal="left" vertical="center" indent="1"/>
    </xf>
    <xf numFmtId="49" fontId="9" fillId="0" borderId="2" xfId="0" applyNumberFormat="1" applyFont="1" applyBorder="1">
      <alignment horizontal="left" vertical="center" wrapText="1" indent="1"/>
    </xf>
    <xf numFmtId="49" fontId="9" fillId="0" borderId="24" xfId="0" applyNumberFormat="1" applyFont="1" applyBorder="1">
      <alignment horizontal="left" vertical="center" wrapText="1" indent="1"/>
    </xf>
    <xf numFmtId="0" fontId="0" fillId="0" borderId="24" xfId="0" applyBorder="1">
      <alignment horizontal="left" vertical="center" wrapText="1" indent="1"/>
    </xf>
    <xf numFmtId="49" fontId="9" fillId="0" borderId="0" xfId="0" applyNumberFormat="1" applyFont="1">
      <alignment horizontal="left" vertical="center" wrapText="1" indent="1"/>
    </xf>
    <xf numFmtId="0" fontId="0" fillId="0" borderId="0" xfId="0">
      <alignment horizontal="left" vertical="center" wrapText="1" indent="1"/>
    </xf>
    <xf numFmtId="49" fontId="8" fillId="0" borderId="77" xfId="3" applyNumberFormat="1" applyBorder="1">
      <alignment horizontal="left" vertical="center" wrapText="1" indent="1"/>
    </xf>
    <xf numFmtId="49" fontId="9" fillId="0" borderId="24" xfId="3" applyNumberFormat="1" applyFont="1" applyBorder="1">
      <alignment horizontal="left" vertical="center" wrapText="1" indent="1"/>
    </xf>
    <xf numFmtId="49" fontId="9" fillId="0" borderId="23" xfId="0" applyNumberFormat="1" applyFont="1" applyBorder="1">
      <alignment horizontal="left" vertical="center" wrapText="1" indent="1"/>
    </xf>
    <xf numFmtId="49" fontId="7" fillId="9" borderId="103" xfId="21" applyNumberFormat="1" applyFill="1" applyBorder="1">
      <alignment horizontal="left" vertical="center" wrapText="1" indent="1"/>
    </xf>
    <xf numFmtId="0" fontId="9" fillId="0" borderId="72" xfId="0" applyFont="1" applyBorder="1">
      <alignment horizontal="left" vertical="center" wrapText="1" indent="1"/>
    </xf>
    <xf numFmtId="0" fontId="0" fillId="0" borderId="72" xfId="0" applyBorder="1">
      <alignment horizontal="left" vertical="center" wrapText="1" indent="1"/>
    </xf>
    <xf numFmtId="0" fontId="9" fillId="0" borderId="24" xfId="0" applyFont="1" applyBorder="1">
      <alignment horizontal="left" vertical="center" wrapText="1" indent="1"/>
    </xf>
    <xf numFmtId="0" fontId="9" fillId="0" borderId="0" xfId="0" applyFont="1">
      <alignment horizontal="left" vertical="center" wrapText="1" indent="1"/>
    </xf>
    <xf numFmtId="0" fontId="9" fillId="0" borderId="92" xfId="0" applyFont="1" applyBorder="1">
      <alignment horizontal="left" vertical="center" wrapText="1" indent="1"/>
    </xf>
    <xf numFmtId="0" fontId="9" fillId="0" borderId="57" xfId="0" applyFont="1" applyBorder="1">
      <alignment horizontal="left" vertical="center" wrapText="1" indent="1"/>
    </xf>
    <xf numFmtId="49" fontId="9" fillId="6" borderId="67" xfId="0" applyNumberFormat="1" applyFont="1" applyFill="1" applyBorder="1">
      <alignment horizontal="left" vertical="center" wrapText="1" indent="1"/>
    </xf>
    <xf numFmtId="0" fontId="0" fillId="0" borderId="68" xfId="0" applyBorder="1">
      <alignment horizontal="left" vertical="center" wrapText="1" indent="1"/>
    </xf>
    <xf numFmtId="49" fontId="9" fillId="6" borderId="59" xfId="0" applyNumberFormat="1" applyFont="1" applyFill="1" applyBorder="1">
      <alignment horizontal="left" vertical="center" wrapText="1" indent="1"/>
    </xf>
    <xf numFmtId="0" fontId="0" fillId="0" borderId="61" xfId="0" applyBorder="1">
      <alignment horizontal="left" vertical="center" wrapText="1" indent="1"/>
    </xf>
    <xf numFmtId="49" fontId="9" fillId="6" borderId="128" xfId="0" applyNumberFormat="1" applyFont="1" applyFill="1" applyBorder="1">
      <alignment horizontal="left" vertical="center" wrapText="1" indent="1"/>
    </xf>
    <xf numFmtId="0" fontId="0" fillId="0" borderId="70" xfId="0" applyBorder="1">
      <alignment horizontal="left" vertical="center" wrapText="1" indent="1"/>
    </xf>
    <xf numFmtId="0" fontId="9" fillId="6" borderId="56" xfId="0" applyFont="1" applyFill="1" applyBorder="1">
      <alignment horizontal="left" vertical="center" wrapText="1" indent="1"/>
    </xf>
    <xf numFmtId="0" fontId="9" fillId="6" borderId="57" xfId="0" applyFont="1" applyFill="1" applyBorder="1">
      <alignment horizontal="left" vertical="center" wrapText="1" indent="1"/>
    </xf>
    <xf numFmtId="49" fontId="9" fillId="0" borderId="95" xfId="0" applyNumberFormat="1" applyFont="1" applyBorder="1">
      <alignment horizontal="left" vertical="center" wrapText="1" indent="1"/>
    </xf>
    <xf numFmtId="0" fontId="0" fillId="0" borderId="95" xfId="0" applyBorder="1">
      <alignment horizontal="left" vertical="center" wrapText="1" indent="1"/>
    </xf>
    <xf numFmtId="0" fontId="7" fillId="9" borderId="25" xfId="2" applyFill="1" applyBorder="1">
      <alignment horizontal="left" vertical="center" wrapText="1" indent="1"/>
    </xf>
    <xf numFmtId="0" fontId="0" fillId="0" borderId="25" xfId="0" applyBorder="1">
      <alignment horizontal="left" vertical="center" wrapText="1" indent="1"/>
    </xf>
    <xf numFmtId="0" fontId="0" fillId="0" borderId="132" xfId="0" applyBorder="1">
      <alignment horizontal="left" vertical="center" wrapText="1" indent="1"/>
    </xf>
    <xf numFmtId="0" fontId="0" fillId="0" borderId="131" xfId="0" applyBorder="1">
      <alignment horizontal="left" vertical="center" wrapText="1" indent="1"/>
    </xf>
    <xf numFmtId="0" fontId="7" fillId="9" borderId="8" xfId="2" applyFill="1">
      <alignment horizontal="left" vertical="center" wrapText="1" indent="1"/>
    </xf>
    <xf numFmtId="0" fontId="0" fillId="0" borderId="7" xfId="0" applyBorder="1" applyAlignment="1">
      <alignment horizontal="left" vertical="center" indent="1"/>
    </xf>
    <xf numFmtId="0" fontId="0" fillId="0" borderId="19" xfId="0" applyBorder="1">
      <alignment horizontal="left" vertical="center" wrapText="1" indent="1"/>
    </xf>
    <xf numFmtId="0" fontId="0" fillId="0" borderId="7" xfId="0" applyBorder="1" applyAlignment="1">
      <alignment horizontal="left" vertical="center" indent="2"/>
    </xf>
    <xf numFmtId="0" fontId="0" fillId="0" borderId="103" xfId="0" applyBorder="1" applyAlignment="1">
      <alignment horizontal="left" vertical="center" wrapText="1" indent="2"/>
    </xf>
    <xf numFmtId="0" fontId="0" fillId="0" borderId="133" xfId="0" applyBorder="1">
      <alignment horizontal="left" vertical="center" wrapText="1" indent="1"/>
    </xf>
    <xf numFmtId="0" fontId="0" fillId="0" borderId="134" xfId="0" applyBorder="1">
      <alignment horizontal="left" vertical="center" wrapText="1" indent="1"/>
    </xf>
    <xf numFmtId="0" fontId="9" fillId="0" borderId="72" xfId="0" applyFont="1" applyBorder="1" applyAlignment="1">
      <alignment horizontal="left" vertical="top" wrapText="1" indent="1"/>
    </xf>
    <xf numFmtId="0" fontId="9" fillId="0" borderId="94" xfId="10" applyFont="1" applyBorder="1">
      <alignment horizontal="left" vertical="center" wrapText="1" indent="1"/>
    </xf>
    <xf numFmtId="0" fontId="9" fillId="0" borderId="140" xfId="0" applyFont="1" applyBorder="1">
      <alignment horizontal="left" vertical="center" wrapText="1" indent="1"/>
    </xf>
    <xf numFmtId="0" fontId="9" fillId="0" borderId="67" xfId="0" applyFont="1" applyBorder="1">
      <alignment horizontal="left" vertical="center" wrapText="1" indent="1"/>
    </xf>
    <xf numFmtId="0" fontId="9" fillId="0" borderId="67" xfId="10" applyFont="1" applyBorder="1">
      <alignment horizontal="left" vertical="center" wrapText="1" indent="1"/>
    </xf>
    <xf numFmtId="0" fontId="9" fillId="0" borderId="123" xfId="10" applyFont="1" applyBorder="1">
      <alignment horizontal="left" vertical="center" wrapText="1" indent="1"/>
    </xf>
    <xf numFmtId="0" fontId="9" fillId="0" borderId="2" xfId="10" applyFont="1" applyBorder="1">
      <alignment horizontal="left" vertical="center" wrapText="1" indent="1"/>
    </xf>
    <xf numFmtId="0" fontId="9" fillId="0" borderId="168" xfId="0" applyFont="1" applyBorder="1">
      <alignment horizontal="left" vertical="center" wrapText="1" indent="1"/>
    </xf>
    <xf numFmtId="0" fontId="9" fillId="0" borderId="169" xfId="0" applyFont="1" applyBorder="1">
      <alignment horizontal="left" vertical="center" wrapText="1" indent="1"/>
    </xf>
    <xf numFmtId="0" fontId="9" fillId="0" borderId="169" xfId="10" applyFont="1" applyBorder="1">
      <alignment horizontal="left" vertical="center" wrapText="1" indent="1"/>
    </xf>
    <xf numFmtId="0" fontId="9" fillId="0" borderId="170" xfId="10" applyFont="1" applyBorder="1">
      <alignment horizontal="left" vertical="center" wrapText="1" indent="1"/>
    </xf>
    <xf numFmtId="0" fontId="9" fillId="0" borderId="19" xfId="0" applyFont="1" applyBorder="1">
      <alignment horizontal="left" vertical="center" wrapText="1" indent="1"/>
    </xf>
    <xf numFmtId="0" fontId="7" fillId="9" borderId="21" xfId="2" applyFill="1" applyBorder="1" applyAlignment="1">
      <alignment horizontal="left" vertical="center" indent="1"/>
    </xf>
    <xf numFmtId="0" fontId="7" fillId="9" borderId="21" xfId="2" applyFill="1" applyBorder="1">
      <alignment horizontal="left" vertical="center" wrapText="1" indent="1"/>
    </xf>
    <xf numFmtId="0" fontId="0" fillId="0" borderId="7" xfId="0" applyBorder="1">
      <alignment horizontal="left" vertical="center" wrapText="1" indent="1"/>
    </xf>
    <xf numFmtId="0" fontId="14" fillId="0" borderId="114" xfId="0" applyFont="1" applyBorder="1">
      <alignment horizontal="left" vertical="center" wrapText="1" indent="1"/>
    </xf>
    <xf numFmtId="0" fontId="14" fillId="0" borderId="116" xfId="0" applyFont="1" applyBorder="1">
      <alignment horizontal="left" vertical="center" wrapText="1" indent="1"/>
    </xf>
    <xf numFmtId="0" fontId="14" fillId="0" borderId="115" xfId="0" applyFont="1" applyBorder="1">
      <alignment horizontal="left" vertical="center" wrapText="1" indent="1"/>
    </xf>
    <xf numFmtId="0" fontId="14" fillId="0" borderId="69" xfId="0" applyFont="1" applyBorder="1">
      <alignment horizontal="left" vertical="center" wrapText="1" indent="1"/>
    </xf>
    <xf numFmtId="0" fontId="14" fillId="0" borderId="128" xfId="0" applyFont="1" applyBorder="1">
      <alignment horizontal="left" vertical="center" wrapText="1" indent="1"/>
    </xf>
    <xf numFmtId="0" fontId="14" fillId="0" borderId="70" xfId="0" applyFont="1" applyBorder="1">
      <alignment horizontal="left" vertical="center" wrapText="1" indent="1"/>
    </xf>
    <xf numFmtId="0" fontId="12" fillId="0" borderId="2" xfId="1" applyBorder="1" applyAlignment="1">
      <alignment horizontal="left" vertical="center" wrapText="1" indent="1"/>
    </xf>
    <xf numFmtId="0" fontId="12" fillId="0" borderId="2" xfId="1" applyBorder="1">
      <alignment horizontal="left" vertical="center" indent="1"/>
    </xf>
    <xf numFmtId="0" fontId="9" fillId="0" borderId="69" xfId="2" applyFont="1" applyBorder="1">
      <alignment horizontal="left" vertical="center" wrapText="1" indent="1"/>
    </xf>
    <xf numFmtId="0" fontId="0" fillId="0" borderId="128" xfId="0" applyBorder="1">
      <alignment horizontal="left" vertical="center" wrapText="1" indent="1"/>
    </xf>
    <xf numFmtId="0" fontId="9" fillId="0" borderId="128" xfId="0" applyFont="1" applyBorder="1">
      <alignment horizontal="left" vertical="center" wrapText="1" indent="1"/>
    </xf>
    <xf numFmtId="0" fontId="9" fillId="0" borderId="85" xfId="2" applyFont="1" applyBorder="1">
      <alignment horizontal="left" vertical="center" wrapText="1" indent="1"/>
    </xf>
    <xf numFmtId="0" fontId="0" fillId="0" borderId="71" xfId="0" applyBorder="1">
      <alignment horizontal="left" vertical="center" wrapText="1" indent="1"/>
    </xf>
    <xf numFmtId="0" fontId="9" fillId="0" borderId="71" xfId="0" applyFont="1" applyBorder="1">
      <alignment horizontal="left" vertical="center" wrapText="1" indent="1"/>
    </xf>
    <xf numFmtId="0" fontId="0" fillId="0" borderId="66" xfId="0" applyBorder="1">
      <alignment horizontal="left" vertical="center" wrapText="1" indent="1"/>
    </xf>
    <xf numFmtId="0" fontId="0" fillId="0" borderId="78" xfId="0" applyBorder="1">
      <alignment horizontal="left" vertical="center" wrapText="1" indent="1"/>
    </xf>
    <xf numFmtId="0" fontId="9" fillId="0" borderId="94" xfId="2" applyFont="1" applyBorder="1">
      <alignment horizontal="left" vertical="center" wrapText="1" indent="1"/>
    </xf>
    <xf numFmtId="0" fontId="0" fillId="0" borderId="73" xfId="0" applyBorder="1">
      <alignment horizontal="left" vertical="center" wrapText="1" indent="1"/>
    </xf>
    <xf numFmtId="0" fontId="9" fillId="0" borderId="56" xfId="2" applyFont="1" applyBorder="1">
      <alignment horizontal="left" vertical="center" wrapText="1" indent="1"/>
    </xf>
    <xf numFmtId="0" fontId="9" fillId="0" borderId="57" xfId="2" applyFont="1" applyBorder="1">
      <alignment horizontal="left" vertical="center" wrapText="1" indent="1"/>
    </xf>
    <xf numFmtId="0" fontId="9" fillId="0" borderId="92" xfId="2" applyFont="1" applyBorder="1">
      <alignment horizontal="left" vertical="center" wrapText="1" indent="1"/>
    </xf>
    <xf numFmtId="0" fontId="9" fillId="0" borderId="71" xfId="2" applyFont="1" applyBorder="1">
      <alignment horizontal="left" vertical="center" wrapText="1" indent="1"/>
    </xf>
    <xf numFmtId="0" fontId="9" fillId="0" borderId="95" xfId="3" applyFont="1" applyBorder="1">
      <alignment horizontal="left" vertical="center" wrapText="1" indent="1"/>
    </xf>
    <xf numFmtId="0" fontId="9" fillId="0" borderId="162" xfId="3" applyFont="1" applyBorder="1">
      <alignment horizontal="left" vertical="center" wrapText="1" indent="1"/>
    </xf>
    <xf numFmtId="0" fontId="9" fillId="0" borderId="116" xfId="0" applyFont="1" applyBorder="1">
      <alignment horizontal="left" vertical="center" wrapText="1" indent="1"/>
    </xf>
    <xf numFmtId="0" fontId="0" fillId="0" borderId="115" xfId="0" applyBorder="1">
      <alignment horizontal="left" vertical="center" wrapText="1" indent="1"/>
    </xf>
    <xf numFmtId="0" fontId="9" fillId="0" borderId="92" xfId="3" applyFont="1" applyBorder="1">
      <alignment horizontal="left" vertical="center" wrapText="1" indent="1"/>
    </xf>
    <xf numFmtId="0" fontId="0" fillId="0" borderId="92" xfId="0" applyBorder="1">
      <alignment horizontal="left" vertical="center" wrapText="1" indent="1"/>
    </xf>
    <xf numFmtId="164" fontId="9" fillId="0" borderId="92" xfId="0" applyNumberFormat="1" applyFont="1" applyBorder="1">
      <alignment horizontal="left" vertical="center" wrapText="1" indent="1"/>
    </xf>
    <xf numFmtId="0" fontId="0" fillId="0" borderId="57" xfId="0" applyBorder="1">
      <alignment horizontal="left" vertical="center" wrapText="1" indent="1"/>
    </xf>
    <xf numFmtId="0" fontId="7" fillId="9" borderId="17" xfId="2" applyFill="1" applyBorder="1">
      <alignment horizontal="left" vertical="center" wrapText="1" indent="1"/>
    </xf>
    <xf numFmtId="0" fontId="0" fillId="0" borderId="17" xfId="0" applyBorder="1">
      <alignment horizontal="left" vertical="center" wrapText="1" indent="1"/>
    </xf>
    <xf numFmtId="0" fontId="9" fillId="0" borderId="114" xfId="2" applyFont="1" applyBorder="1">
      <alignment horizontal="left" vertical="center" wrapText="1" indent="1"/>
    </xf>
    <xf numFmtId="0" fontId="9" fillId="0" borderId="115" xfId="2" applyFont="1" applyBorder="1">
      <alignment horizontal="left" vertical="center" wrapText="1" indent="1"/>
    </xf>
    <xf numFmtId="0" fontId="9" fillId="0" borderId="66" xfId="0" applyFont="1" applyBorder="1">
      <alignment horizontal="left" vertical="center" wrapText="1" indent="1"/>
    </xf>
    <xf numFmtId="0" fontId="9" fillId="0" borderId="59" xfId="2" applyFont="1" applyBorder="1">
      <alignment horizontal="left" vertical="center" wrapText="1" indent="1"/>
    </xf>
    <xf numFmtId="0" fontId="9" fillId="0" borderId="61" xfId="2" applyFont="1" applyBorder="1">
      <alignment horizontal="left" vertical="center" wrapText="1" indent="1"/>
    </xf>
    <xf numFmtId="0" fontId="9" fillId="0" borderId="67" xfId="2" applyFont="1" applyBorder="1">
      <alignment horizontal="left" vertical="center" wrapText="1" indent="1"/>
    </xf>
    <xf numFmtId="0" fontId="14" fillId="0" borderId="0" xfId="0" applyFont="1">
      <alignment horizontal="left" vertical="center" wrapText="1" indent="1"/>
    </xf>
    <xf numFmtId="0" fontId="46" fillId="0" borderId="0" xfId="0" applyFont="1">
      <alignment horizontal="left" vertical="center" wrapText="1" indent="1"/>
    </xf>
    <xf numFmtId="0" fontId="12" fillId="0" borderId="0" xfId="1" applyBorder="1" applyAlignment="1">
      <alignment horizontal="left" vertical="center" wrapText="1" indent="1"/>
    </xf>
    <xf numFmtId="0" fontId="12" fillId="0" borderId="0" xfId="1" applyBorder="1">
      <alignment horizontal="left" vertical="center" indent="1"/>
    </xf>
    <xf numFmtId="0" fontId="7" fillId="9" borderId="175" xfId="2" applyFill="1" applyBorder="1">
      <alignment horizontal="left" vertical="center" wrapText="1" indent="1"/>
    </xf>
    <xf numFmtId="0" fontId="0" fillId="0" borderId="175" xfId="0" applyBorder="1">
      <alignment horizontal="left" vertical="center" wrapText="1" indent="1"/>
    </xf>
    <xf numFmtId="0" fontId="9" fillId="6" borderId="0" xfId="0" applyFont="1" applyFill="1">
      <alignment horizontal="left" vertical="center" wrapText="1" indent="1"/>
    </xf>
    <xf numFmtId="0" fontId="0" fillId="6" borderId="0" xfId="0" applyFill="1">
      <alignment horizontal="left" vertical="center" wrapText="1" indent="1"/>
    </xf>
    <xf numFmtId="164" fontId="0" fillId="0" borderId="44" xfId="0" applyNumberFormat="1" applyBorder="1" applyAlignment="1">
      <alignment horizontal="right" vertical="top" wrapText="1"/>
    </xf>
    <xf numFmtId="164" fontId="0" fillId="0" borderId="49" xfId="0" applyNumberFormat="1" applyBorder="1" applyAlignment="1">
      <alignment horizontal="right" vertical="top" wrapText="1"/>
    </xf>
    <xf numFmtId="164" fontId="0" fillId="0" borderId="43" xfId="0" applyNumberFormat="1" applyBorder="1" applyAlignment="1">
      <alignment horizontal="center" vertical="top" wrapText="1"/>
    </xf>
    <xf numFmtId="164" fontId="0" fillId="0" borderId="0" xfId="0" applyNumberFormat="1" applyAlignment="1">
      <alignment horizontal="center" vertical="top" wrapText="1"/>
    </xf>
    <xf numFmtId="0" fontId="0" fillId="0" borderId="0" xfId="0" applyAlignment="1">
      <alignment horizontal="left" vertical="top" wrapText="1"/>
    </xf>
    <xf numFmtId="0" fontId="0" fillId="0" borderId="1" xfId="0" applyBorder="1">
      <alignment horizontal="left" vertical="center" wrapText="1" indent="1"/>
    </xf>
    <xf numFmtId="0" fontId="0" fillId="0" borderId="123" xfId="0" applyBorder="1" applyAlignment="1">
      <alignment horizontal="left" vertical="top" wrapText="1" indent="1"/>
    </xf>
    <xf numFmtId="0" fontId="0" fillId="0" borderId="0" xfId="0" applyAlignment="1">
      <alignment horizontal="left" vertical="top" wrapText="1" indent="1"/>
    </xf>
    <xf numFmtId="0" fontId="39" fillId="0" borderId="0" xfId="0" applyFont="1" applyAlignment="1">
      <alignment horizontal="left" vertical="top" wrapText="1"/>
    </xf>
    <xf numFmtId="0" fontId="0" fillId="0" borderId="44" xfId="0" applyBorder="1" applyAlignment="1">
      <alignment horizontal="left" vertical="top" wrapText="1"/>
    </xf>
    <xf numFmtId="0" fontId="0" fillId="0" borderId="159" xfId="0" applyBorder="1" applyAlignment="1">
      <alignment horizontal="left" vertical="top" wrapText="1"/>
    </xf>
    <xf numFmtId="0" fontId="0" fillId="0" borderId="49" xfId="0" applyBorder="1" applyAlignment="1">
      <alignment horizontal="left" vertical="top" wrapText="1"/>
    </xf>
    <xf numFmtId="0" fontId="35" fillId="0" borderId="0" xfId="0" applyFont="1" applyAlignment="1">
      <alignment horizontal="left" vertical="top" wrapText="1"/>
    </xf>
    <xf numFmtId="0" fontId="0" fillId="0" borderId="43" xfId="0" applyBorder="1" applyAlignment="1">
      <alignment horizontal="center" vertical="center" wrapText="1"/>
    </xf>
    <xf numFmtId="0" fontId="0" fillId="0" borderId="0" xfId="0" applyAlignment="1">
      <alignment horizontal="center" vertical="center" wrapText="1"/>
    </xf>
    <xf numFmtId="0" fontId="0" fillId="0" borderId="44" xfId="0" applyBorder="1" applyAlignment="1">
      <alignment horizontal="center" vertical="center" wrapText="1"/>
    </xf>
    <xf numFmtId="0" fontId="0" fillId="0" borderId="49" xfId="0" applyBorder="1" applyAlignment="1">
      <alignment horizontal="center" vertical="center" wrapText="1"/>
    </xf>
    <xf numFmtId="0" fontId="61" fillId="0" borderId="0" xfId="0" applyFont="1" applyAlignment="1">
      <alignment horizontal="left" vertical="top" wrapText="1"/>
    </xf>
    <xf numFmtId="0" fontId="31" fillId="0" borderId="0" xfId="0" applyFont="1" applyAlignment="1">
      <alignment horizontal="left" vertical="top" wrapText="1"/>
    </xf>
    <xf numFmtId="0" fontId="0" fillId="0" borderId="9" xfId="0" applyBorder="1" applyAlignment="1">
      <alignment horizontal="left"/>
    </xf>
    <xf numFmtId="0" fontId="9" fillId="0" borderId="9" xfId="0" applyFont="1" applyBorder="1" applyAlignment="1">
      <alignment horizontal="left"/>
    </xf>
    <xf numFmtId="14" fontId="0" fillId="0" borderId="0" xfId="0" applyNumberFormat="1" applyAlignment="1">
      <alignment horizontal="left" vertical="top" wrapText="1"/>
    </xf>
    <xf numFmtId="0" fontId="34" fillId="0" borderId="0" xfId="0" applyFont="1" applyAlignment="1">
      <alignment horizontal="left" vertical="top" wrapText="1"/>
    </xf>
    <xf numFmtId="0" fontId="0" fillId="0" borderId="0" xfId="0" applyAlignment="1">
      <alignment horizontal="right" vertical="top" wrapText="1"/>
    </xf>
    <xf numFmtId="0" fontId="0" fillId="0" borderId="0" xfId="0" applyAlignment="1">
      <alignment horizontal="center" vertical="top" wrapText="1"/>
    </xf>
    <xf numFmtId="0" fontId="0" fillId="0" borderId="0" xfId="0" applyAlignment="1">
      <alignment vertical="top" wrapText="1"/>
    </xf>
    <xf numFmtId="0" fontId="0" fillId="0" borderId="0" xfId="0" applyAlignment="1">
      <alignment horizontal="right" vertical="top" wrapText="1" indent="1"/>
    </xf>
    <xf numFmtId="0" fontId="0" fillId="0" borderId="0" xfId="0" applyAlignment="1">
      <alignment horizontal="center" wrapText="1"/>
    </xf>
    <xf numFmtId="14" fontId="39" fillId="0" borderId="0" xfId="0" applyNumberFormat="1" applyFont="1" applyAlignment="1">
      <alignment horizontal="left" vertical="top" wrapText="1"/>
    </xf>
    <xf numFmtId="0" fontId="32" fillId="0" borderId="0" xfId="0" applyFont="1" applyAlignment="1">
      <alignment horizontal="left" vertical="top" wrapText="1"/>
    </xf>
  </cellXfs>
  <cellStyles count="23">
    <cellStyle name="Bad" xfId="4" builtinId="27"/>
    <cellStyle name="Heading 1" xfId="1" builtinId="16" customBuiltin="1"/>
    <cellStyle name="Heading 1 2" xfId="9" xr:uid="{C69592DD-0EBD-464F-90F6-308C48570F3B}"/>
    <cellStyle name="Heading 1 2 2" xfId="20" xr:uid="{82D686E7-89E9-4E2D-9A43-31D4640D57B0}"/>
    <cellStyle name="Heading 2" xfId="2" builtinId="17" customBuiltin="1"/>
    <cellStyle name="Heading 2 2" xfId="11" xr:uid="{A93DA060-847E-4B6C-8DD1-89C499084100}"/>
    <cellStyle name="Heading 2 2 2" xfId="21" xr:uid="{FCFF6C2C-3320-48F1-87C1-97AFB7BADE16}"/>
    <cellStyle name="Heading 2 Hyperlink" xfId="15" xr:uid="{ECA327B5-65CE-457D-8BF8-BE5DBD5184C2}"/>
    <cellStyle name="Heading 3" xfId="3" builtinId="18" customBuiltin="1"/>
    <cellStyle name="Heading 3 2" xfId="12" xr:uid="{44F5277F-242F-46EE-8089-1D6BD5200600}"/>
    <cellStyle name="Heading 3 Hyperlink" xfId="16" xr:uid="{2F164A84-9DBF-418E-BEFD-A62C15038849}"/>
    <cellStyle name="Hyperlink" xfId="6" xr:uid="{7F37AD49-832B-4727-A823-1679BF71E894}"/>
    <cellStyle name="Input" xfId="14" builtinId="20" customBuiltin="1"/>
    <cellStyle name="Neutral" xfId="5" builtinId="28"/>
    <cellStyle name="Neutral 2" xfId="8" xr:uid="{477EED51-EA82-4853-98D5-33AC506DAC48}"/>
    <cellStyle name="Neutral 3" xfId="13" xr:uid="{01DBD052-D10C-44F5-8700-8E082FE0037F}"/>
    <cellStyle name="Normal" xfId="0" builtinId="0" customBuiltin="1"/>
    <cellStyle name="Normal 2" xfId="7" xr:uid="{54D39535-C6DC-4B43-BBA0-D0CB494C59FC}"/>
    <cellStyle name="Normal 2 2 2" xfId="19" xr:uid="{77C016A0-4C30-44CD-8A58-697A34F4D154}"/>
    <cellStyle name="Normal 3" xfId="10" xr:uid="{E9131C63-9199-43CD-9498-C1869B2EA838}"/>
    <cellStyle name="Per cent" xfId="18" builtinId="5"/>
    <cellStyle name="Style 1" xfId="22" xr:uid="{9459C8B4-5F65-4FEE-90D9-80A000B173C6}"/>
    <cellStyle name="Title" xfId="17" builtinId="15" customBuiltin="1"/>
  </cellStyles>
  <dxfs count="862">
    <dxf>
      <fill>
        <patternFill>
          <bgColor theme="0" tint="-0.14996795556505021"/>
        </patternFill>
      </fill>
    </dxf>
    <dxf>
      <fill>
        <patternFill>
          <bgColor rgb="FFFF00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border>
    </dxf>
    <dxf>
      <border>
        <right style="thin">
          <color auto="1"/>
        </right>
        <bottom style="thin">
          <color auto="1"/>
        </bottom>
        <vertical/>
        <horizontal/>
      </border>
    </dxf>
    <dxf>
      <border>
        <left style="thin">
          <color auto="1"/>
        </left>
        <right style="thin">
          <color auto="1"/>
        </right>
        <top style="thin">
          <color auto="1"/>
        </top>
        <bottom style="thin">
          <color auto="1"/>
        </bottom>
        <vertical/>
        <horizontal/>
      </border>
    </dxf>
    <dxf>
      <border>
        <right style="thin">
          <color auto="1"/>
        </right>
        <vertical/>
        <horizontal/>
      </border>
    </dxf>
    <dxf>
      <border>
        <right style="thin">
          <color auto="1"/>
        </right>
        <bottom style="thin">
          <color auto="1"/>
        </bottom>
        <vertical/>
        <horizontal/>
      </border>
    </dxf>
    <dxf>
      <border>
        <left style="thin">
          <color auto="1"/>
        </left>
        <right style="thin">
          <color auto="1"/>
        </right>
        <top style="thin">
          <color auto="1"/>
        </top>
        <bottom style="thin">
          <color auto="1"/>
        </bottom>
        <vertical/>
        <horizontal/>
      </border>
    </dxf>
    <dxf>
      <border>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00703C"/>
      </font>
      <fill>
        <patternFill patternType="solid">
          <fgColor auto="1"/>
          <bgColor rgb="FFDDE8E3"/>
        </patternFill>
      </fill>
      <border>
        <left style="thin">
          <color auto="1"/>
        </left>
        <right style="thin">
          <color auto="1"/>
        </right>
        <top style="thin">
          <color auto="1"/>
        </top>
        <bottom style="thin">
          <color auto="1"/>
        </bottom>
      </border>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EFF5FA"/>
        </patternFill>
      </fill>
    </dxf>
    <dxf>
      <fill>
        <patternFill>
          <bgColor rgb="FFEFF5FA"/>
        </patternFill>
      </fill>
    </dxf>
    <dxf>
      <fill>
        <patternFill>
          <bgColor rgb="FFC6DBED"/>
        </patternFill>
      </fill>
    </dxf>
    <dxf>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ill>
        <patternFill>
          <bgColor rgb="FFC6DBED"/>
        </patternFill>
      </fill>
    </dxf>
    <dxf>
      <fill>
        <patternFill>
          <bgColor rgb="FFEFF5FA"/>
        </patternFill>
      </fill>
    </dxf>
    <dxf>
      <fill>
        <patternFill>
          <bgColor rgb="FFEFF5FA"/>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ill>
        <patternFill>
          <bgColor rgb="FFEFF5FA"/>
        </patternFill>
      </fill>
    </dxf>
    <dxf>
      <fill>
        <patternFill>
          <bgColor rgb="FFC6DBED"/>
        </patternFill>
      </fill>
    </dxf>
    <dxf>
      <fill>
        <patternFill>
          <bgColor rgb="FFEFF5FA"/>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color rgb="FFC00000"/>
      </font>
      <fill>
        <patternFill>
          <bgColor rgb="FFEED1D1"/>
        </patternFill>
      </fill>
      <border>
        <vertical/>
        <horizontal/>
      </border>
    </dxf>
    <dxf>
      <fill>
        <patternFill>
          <bgColor rgb="FFEFF5FA"/>
        </patternFill>
      </fill>
    </dxf>
    <dxf>
      <fill>
        <patternFill>
          <bgColor rgb="FFC6DBED"/>
        </patternFill>
      </fill>
    </dxf>
    <dxf>
      <fill>
        <patternFill>
          <bgColor rgb="FFEFF5FA"/>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ill>
        <patternFill>
          <bgColor rgb="FFEFF5FA"/>
        </patternFill>
      </fill>
    </dxf>
    <dxf>
      <fill>
        <patternFill>
          <bgColor rgb="FFC6DBED"/>
        </patternFill>
      </fill>
    </dxf>
    <dxf>
      <fill>
        <patternFill>
          <bgColor rgb="FFEFF5FA"/>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ill>
        <patternFill>
          <bgColor rgb="FFEFF5FA"/>
        </patternFill>
      </fill>
    </dxf>
    <dxf>
      <fill>
        <patternFill>
          <bgColor rgb="FFEFF5FA"/>
        </patternFill>
      </fill>
    </dxf>
    <dxf>
      <fill>
        <patternFill>
          <bgColor rgb="FFC6DBED"/>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ill>
        <patternFill>
          <bgColor rgb="FFEFF5FA"/>
        </patternFill>
      </fill>
    </dxf>
    <dxf>
      <fill>
        <patternFill>
          <bgColor rgb="FFEFF5FA"/>
        </patternFill>
      </fill>
    </dxf>
    <dxf>
      <fill>
        <patternFill>
          <bgColor rgb="FFC6DBED"/>
        </patternFill>
      </fill>
    </dxf>
    <dxf>
      <font>
        <color rgb="FF5F5F5F"/>
      </font>
      <fill>
        <patternFill>
          <bgColor theme="0" tint="-0.14996795556505021"/>
        </patternFill>
      </fill>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ill>
        <patternFill>
          <bgColor rgb="FFEFF5FA"/>
        </patternFill>
      </fill>
    </dxf>
    <dxf>
      <fill>
        <patternFill>
          <bgColor rgb="FFEFF5FA"/>
        </patternFill>
      </fill>
    </dxf>
    <dxf>
      <fill>
        <patternFill>
          <bgColor rgb="FFC6DBED"/>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ill>
        <patternFill>
          <bgColor rgb="FFEFF5FA"/>
        </patternFill>
      </fill>
    </dxf>
    <dxf>
      <fill>
        <patternFill>
          <bgColor rgb="FFEFF5FA"/>
        </patternFill>
      </fill>
    </dxf>
    <dxf>
      <fill>
        <patternFill>
          <bgColor rgb="FFC6DBED"/>
        </patternFill>
      </fill>
    </dxf>
    <dxf>
      <font>
        <color rgb="FF5F5F5F"/>
      </font>
      <fill>
        <patternFill>
          <bgColor theme="0" tint="-0.14996795556505021"/>
        </patternFill>
      </fill>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ill>
        <patternFill>
          <bgColor rgb="FFEFF5FA"/>
        </patternFill>
      </fill>
    </dxf>
    <dxf>
      <fill>
        <patternFill>
          <bgColor rgb="FFEFF5FA"/>
        </patternFill>
      </fill>
    </dxf>
    <dxf>
      <fill>
        <patternFill>
          <bgColor rgb="FFC6DBED"/>
        </patternFill>
      </fill>
    </dxf>
    <dxf>
      <font>
        <color rgb="FF5F5F5F"/>
      </font>
      <fill>
        <patternFill>
          <bgColor theme="0" tint="-0.14996795556505021"/>
        </patternFill>
      </fill>
    </dxf>
    <dxf>
      <font>
        <color rgb="FF5F5F5F"/>
      </font>
      <fill>
        <patternFill>
          <bgColor theme="0" tint="-0.14996795556505021"/>
        </patternFill>
      </fill>
    </dxf>
    <dxf>
      <font>
        <b/>
        <i val="0"/>
        <color rgb="FFA91717"/>
      </font>
      <fill>
        <patternFill>
          <bgColor rgb="FFEED1D1"/>
        </patternFill>
      </fill>
      <border>
        <left style="thin">
          <color rgb="FFC00000"/>
        </left>
        <right style="thin">
          <color rgb="FFC00000"/>
        </right>
        <top style="thin">
          <color rgb="FFC00000"/>
        </top>
        <bottom style="thin">
          <color rgb="FFC00000"/>
        </bottom>
        <vertical/>
        <horizontal/>
      </border>
    </dxf>
    <dxf>
      <font>
        <b/>
        <i val="0"/>
        <color rgb="FFA91717"/>
      </font>
      <fill>
        <patternFill>
          <bgColor rgb="FFEED1D1"/>
        </patternFill>
      </fill>
      <border>
        <left style="thin">
          <color rgb="FFA91717"/>
        </left>
        <right style="thin">
          <color rgb="FFA91717"/>
        </right>
        <top style="thin">
          <color rgb="FFA91717"/>
        </top>
        <bottom style="thin">
          <color rgb="FFA91717"/>
        </bottom>
        <vertical/>
        <horizontal/>
      </border>
    </dxf>
    <dxf>
      <fill>
        <patternFill>
          <bgColor theme="0" tint="-0.14996795556505021"/>
        </patternFill>
      </fill>
    </dxf>
    <dxf>
      <font>
        <b/>
        <i val="0"/>
        <color rgb="FFA91717"/>
      </font>
      <fill>
        <patternFill>
          <bgColor rgb="FFEED1D1"/>
        </patternFill>
      </fill>
      <border>
        <left style="thin">
          <color rgb="FFA91717"/>
        </left>
        <right style="thin">
          <color rgb="FFA91717"/>
        </right>
        <top style="thin">
          <color rgb="FFA91717"/>
        </top>
        <bottom style="thin">
          <color rgb="FFA91717"/>
        </bottom>
        <vertical/>
        <horizontal/>
      </border>
    </dxf>
    <dxf>
      <fill>
        <patternFill>
          <bgColor theme="0" tint="-0.14996795556505021"/>
        </patternFill>
      </fill>
    </dxf>
    <dxf>
      <font>
        <b/>
        <i val="0"/>
        <color rgb="FFA91717"/>
      </font>
      <fill>
        <patternFill>
          <bgColor rgb="FFEED1D1"/>
        </patternFill>
      </fill>
      <border>
        <left style="thin">
          <color rgb="FFA91717"/>
        </left>
        <right style="thin">
          <color rgb="FFA91717"/>
        </right>
        <top style="thin">
          <color rgb="FFA91717"/>
        </top>
        <bottom style="thin">
          <color rgb="FFA91717"/>
        </bottom>
        <vertical/>
        <horizontal/>
      </border>
    </dxf>
    <dxf>
      <fill>
        <patternFill>
          <bgColor theme="0" tint="-0.14996795556505021"/>
        </patternFill>
      </fill>
    </dxf>
    <dxf>
      <font>
        <b/>
        <i val="0"/>
        <color rgb="FFA91717"/>
      </font>
      <fill>
        <patternFill>
          <bgColor rgb="FFEED1D1"/>
        </patternFill>
      </fill>
      <border>
        <left style="thin">
          <color rgb="FFA91717"/>
        </left>
        <right style="thin">
          <color rgb="FFA91717"/>
        </right>
        <top style="thin">
          <color rgb="FFA91717"/>
        </top>
        <bottom style="thin">
          <color rgb="FFA91717"/>
        </bottom>
        <vertical/>
        <horizontal/>
      </border>
    </dxf>
    <dxf>
      <fill>
        <patternFill>
          <bgColor theme="0" tint="-0.14996795556505021"/>
        </patternFill>
      </fill>
    </dxf>
    <dxf>
      <font>
        <b/>
        <i val="0"/>
        <color rgb="FFA91717"/>
      </font>
      <fill>
        <patternFill>
          <bgColor rgb="FFEED1D1"/>
        </patternFill>
      </fill>
      <border>
        <left style="thin">
          <color rgb="FFA91717"/>
        </left>
        <right style="thin">
          <color rgb="FFA91717"/>
        </right>
        <top style="thin">
          <color rgb="FFA91717"/>
        </top>
        <bottom style="thin">
          <color rgb="FFA91717"/>
        </bottom>
        <vertical/>
        <horizontal/>
      </border>
    </dxf>
    <dxf>
      <fill>
        <patternFill>
          <bgColor theme="0" tint="-0.14996795556505021"/>
        </patternFill>
      </fill>
    </dxf>
    <dxf>
      <fill>
        <patternFill>
          <bgColor rgb="FFEFF5FA"/>
        </patternFill>
      </fill>
    </dxf>
    <dxf>
      <fill>
        <patternFill>
          <bgColor rgb="FFEFF5FA"/>
        </patternFill>
      </fill>
    </dxf>
    <dxf>
      <fill>
        <patternFill>
          <bgColor rgb="FFC6DBED"/>
        </patternFill>
      </fill>
    </dxf>
    <dxf>
      <font>
        <b/>
        <i val="0"/>
        <color rgb="FFA91717"/>
      </font>
      <fill>
        <patternFill>
          <bgColor rgb="FFEED1D1"/>
        </patternFill>
      </fill>
      <border>
        <left style="thin">
          <color rgb="FFA91717"/>
        </left>
        <right style="thin">
          <color rgb="FFA91717"/>
        </right>
        <top style="thin">
          <color rgb="FFA91717"/>
        </top>
        <bottom style="thin">
          <color rgb="FFA91717"/>
        </bottom>
        <vertical/>
        <horizontal/>
      </border>
    </dxf>
    <dxf>
      <fill>
        <patternFill>
          <bgColor theme="0" tint="-0.14996795556505021"/>
        </patternFill>
      </fill>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ill>
        <patternFill>
          <bgColor rgb="FFEFF5FA"/>
        </patternFill>
      </fill>
    </dxf>
    <dxf>
      <fill>
        <patternFill>
          <bgColor rgb="FFEFF5FA"/>
        </patternFill>
      </fill>
    </dxf>
    <dxf>
      <fill>
        <patternFill>
          <bgColor rgb="FFC6DBED"/>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ill>
        <patternFill>
          <bgColor rgb="FFEFF5FA"/>
        </patternFill>
      </fill>
    </dxf>
    <dxf>
      <fill>
        <patternFill>
          <bgColor rgb="FFEFF5FA"/>
        </patternFill>
      </fill>
    </dxf>
    <dxf>
      <fill>
        <patternFill>
          <bgColor rgb="FFC6DBED"/>
        </patternFill>
      </fill>
    </dxf>
    <dxf>
      <font>
        <strike val="0"/>
        <color rgb="FF5F5F5F"/>
      </font>
      <fill>
        <patternFill>
          <bgColor theme="0" tint="-0.14996795556505021"/>
        </patternFill>
      </fill>
    </dxf>
    <dxf>
      <font>
        <strike val="0"/>
        <color rgb="FF5F5F5F"/>
      </font>
      <fill>
        <patternFill>
          <bgColor theme="0" tint="-0.14996795556505021"/>
        </patternFill>
      </fill>
    </dxf>
    <dxf>
      <font>
        <strike val="0"/>
        <color rgb="FF5F5F5F"/>
      </font>
      <fill>
        <patternFill>
          <bgColor theme="0" tint="-0.14996795556505021"/>
        </patternFill>
      </fill>
    </dxf>
    <dxf>
      <font>
        <strike val="0"/>
        <color rgb="FF5F5F5F"/>
      </font>
      <fill>
        <patternFill>
          <bgColor theme="0" tint="-0.14996795556505021"/>
        </patternFill>
      </fill>
    </dxf>
    <dxf>
      <font>
        <strike val="0"/>
        <color rgb="FF5F5F5F"/>
      </font>
      <fill>
        <patternFill>
          <bgColor theme="0" tint="-0.14996795556505021"/>
        </patternFill>
      </fill>
    </dxf>
    <dxf>
      <font>
        <strike val="0"/>
        <color rgb="FF5F5F5F"/>
      </font>
      <fill>
        <patternFill>
          <bgColor theme="0" tint="-0.14996795556505021"/>
        </patternFill>
      </fill>
    </dxf>
    <dxf>
      <font>
        <strike val="0"/>
        <color rgb="FF5F5F5F"/>
      </font>
      <fill>
        <patternFill>
          <bgColor theme="0" tint="-0.14996795556505021"/>
        </patternFill>
      </fill>
    </dxf>
    <dxf>
      <font>
        <strike val="0"/>
        <color rgb="FF5F5F5F"/>
      </font>
      <fill>
        <patternFill>
          <bgColor theme="0" tint="-0.14996795556505021"/>
        </patternFill>
      </fill>
    </dxf>
    <dxf>
      <font>
        <strike val="0"/>
        <color rgb="FF5F5F5F"/>
      </font>
      <fill>
        <patternFill>
          <bgColor theme="0" tint="-0.14996795556505021"/>
        </patternFill>
      </fill>
    </dxf>
    <dxf>
      <font>
        <strike val="0"/>
        <color rgb="FF5F5F5F"/>
      </font>
      <fill>
        <patternFill>
          <bgColor theme="0" tint="-0.14996795556505021"/>
        </patternFill>
      </fill>
    </dxf>
    <dxf>
      <font>
        <strike val="0"/>
        <color rgb="FF5F5F5F"/>
      </font>
      <fill>
        <patternFill>
          <bgColor theme="0" tint="-0.14996795556505021"/>
        </patternFill>
      </fill>
    </dxf>
    <dxf>
      <font>
        <strike val="0"/>
        <color rgb="FF5F5F5F"/>
      </font>
      <fill>
        <patternFill>
          <bgColor theme="0" tint="-0.14996795556505021"/>
        </patternFill>
      </fill>
    </dxf>
    <dxf>
      <font>
        <strike val="0"/>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ill>
        <patternFill>
          <bgColor rgb="FFEFF5FA"/>
        </patternFill>
      </fill>
    </dxf>
    <dxf>
      <fill>
        <patternFill>
          <bgColor rgb="FFEFF5FA"/>
        </patternFill>
      </fill>
    </dxf>
    <dxf>
      <fill>
        <patternFill>
          <bgColor rgb="FFC6DBED"/>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ill>
        <patternFill>
          <bgColor rgb="FFEFF5FA"/>
        </patternFill>
      </fill>
    </dxf>
    <dxf>
      <fill>
        <patternFill>
          <bgColor rgb="FFEFF5FA"/>
        </patternFill>
      </fill>
    </dxf>
    <dxf>
      <fill>
        <patternFill>
          <bgColor rgb="FFC6DBED"/>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color rgb="FF5F5F5F"/>
      </font>
      <fill>
        <patternFill>
          <bgColor theme="0" tint="-0.14996795556505021"/>
        </patternFill>
      </fill>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ill>
        <patternFill>
          <bgColor rgb="FFEFF5FA"/>
        </patternFill>
      </fill>
    </dxf>
    <dxf>
      <fill>
        <patternFill>
          <bgColor rgb="FFEFF5FA"/>
        </patternFill>
      </fill>
    </dxf>
    <dxf>
      <fill>
        <patternFill>
          <bgColor rgb="FFC6DBED"/>
        </patternFill>
      </fill>
    </dxf>
    <dxf>
      <font>
        <color rgb="FF5F5F5F"/>
      </font>
      <fill>
        <patternFill>
          <bgColor theme="0" tint="-0.14996795556505021"/>
        </patternFill>
      </fill>
    </dxf>
    <dxf>
      <fill>
        <patternFill>
          <bgColor theme="0" tint="-0.14996795556505021"/>
        </patternFill>
      </fill>
    </dxf>
    <dxf>
      <fill>
        <patternFill>
          <bgColor theme="0" tint="-0.14996795556505021"/>
        </patternFill>
      </fill>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ill>
        <patternFill>
          <bgColor rgb="FFEFF5FA"/>
        </patternFill>
      </fill>
    </dxf>
    <dxf>
      <fill>
        <patternFill>
          <bgColor rgb="FFEFF5FA"/>
        </patternFill>
      </fill>
    </dxf>
    <dxf>
      <fill>
        <patternFill>
          <bgColor rgb="FFC6DBED"/>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color rgb="FFC00000"/>
      </font>
      <fill>
        <patternFill>
          <bgColor rgb="FFEED1D1"/>
        </patternFill>
      </fill>
      <border>
        <left style="thin">
          <color rgb="FFC00000"/>
        </left>
        <right style="thin">
          <color rgb="FFC00000"/>
        </right>
        <top style="thin">
          <color rgb="FFC00000"/>
        </top>
        <bottom style="thin">
          <color rgb="FFC00000"/>
        </bottom>
        <vertical/>
        <horizontal/>
      </border>
    </dxf>
    <dxf>
      <fill>
        <patternFill>
          <bgColor rgb="FFEFF5FA"/>
        </patternFill>
      </fill>
    </dxf>
    <dxf>
      <fill>
        <patternFill>
          <bgColor rgb="FFEFF5FA"/>
        </patternFill>
      </fill>
    </dxf>
    <dxf>
      <fill>
        <patternFill>
          <bgColor rgb="FFC6DBED"/>
        </patternFill>
      </fill>
    </dxf>
    <dxf>
      <font>
        <color rgb="FF5F5F5F"/>
      </font>
      <fill>
        <patternFill>
          <bgColor theme="0" tint="-0.14996795556505021"/>
        </patternFill>
      </fill>
    </dxf>
    <dxf>
      <font>
        <color rgb="FF5F5F5F"/>
      </font>
      <fill>
        <patternFill>
          <bgColor theme="0" tint="-0.14996795556505021"/>
        </patternFill>
      </fill>
    </dxf>
    <dxf>
      <fill>
        <patternFill>
          <bgColor theme="0" tint="-4.9989318521683403E-2"/>
        </patternFill>
      </fill>
    </dxf>
    <dxf>
      <fill>
        <patternFill>
          <bgColor rgb="FFEFF5FA"/>
        </patternFill>
      </fill>
    </dxf>
    <dxf>
      <fill>
        <patternFill>
          <bgColor rgb="FFC6DBED"/>
        </patternFill>
      </fill>
    </dxf>
    <dxf>
      <fill>
        <patternFill>
          <bgColor theme="0" tint="-4.9989318521683403E-2"/>
        </patternFill>
      </fill>
    </dxf>
    <dxf>
      <fill>
        <patternFill>
          <bgColor rgb="FFEFF5FA"/>
        </patternFill>
      </fill>
    </dxf>
    <dxf>
      <fill>
        <patternFill>
          <bgColor rgb="FFC6DBED"/>
        </patternFill>
      </fill>
    </dxf>
    <dxf>
      <fill>
        <patternFill>
          <bgColor theme="0" tint="-4.9989318521683403E-2"/>
        </patternFill>
      </fill>
    </dxf>
    <dxf>
      <fill>
        <patternFill>
          <bgColor rgb="FFEFF5FA"/>
        </patternFill>
      </fill>
    </dxf>
    <dxf>
      <fill>
        <patternFill>
          <bgColor rgb="FFC6DBED"/>
        </patternFill>
      </fill>
    </dxf>
    <dxf>
      <fill>
        <patternFill>
          <bgColor theme="0" tint="-4.9989318521683403E-2"/>
        </patternFill>
      </fill>
    </dxf>
    <dxf>
      <fill>
        <patternFill>
          <bgColor rgb="FFEFF5FA"/>
        </patternFill>
      </fill>
    </dxf>
    <dxf>
      <fill>
        <patternFill>
          <bgColor rgb="FFC6DBED"/>
        </patternFill>
      </fill>
    </dxf>
    <dxf>
      <fill>
        <patternFill>
          <bgColor theme="0" tint="-4.9989318521683403E-2"/>
        </patternFill>
      </fill>
    </dxf>
    <dxf>
      <fill>
        <patternFill>
          <bgColor rgb="FFEFF5FA"/>
        </patternFill>
      </fill>
    </dxf>
    <dxf>
      <fill>
        <patternFill>
          <bgColor rgb="FFC6DBED"/>
        </patternFill>
      </fill>
    </dxf>
    <dxf>
      <fill>
        <patternFill>
          <bgColor theme="0" tint="-4.9989318521683403E-2"/>
        </patternFill>
      </fill>
    </dxf>
    <dxf>
      <fill>
        <patternFill>
          <bgColor rgb="FFEFF5FA"/>
        </patternFill>
      </fill>
    </dxf>
    <dxf>
      <fill>
        <patternFill>
          <bgColor rgb="FFC6DBED"/>
        </patternFill>
      </fill>
    </dxf>
    <dxf>
      <fill>
        <patternFill>
          <bgColor rgb="FFF3CBCF"/>
        </patternFill>
      </fill>
    </dxf>
    <dxf>
      <fill>
        <patternFill>
          <bgColor rgb="FFEFF5FA"/>
        </patternFill>
      </fill>
    </dxf>
    <dxf>
      <fill>
        <patternFill>
          <bgColor rgb="FFC6DBED"/>
        </patternFill>
      </fill>
    </dxf>
    <dxf>
      <fill>
        <patternFill>
          <bgColor rgb="FFEFF5FA"/>
        </patternFill>
      </fill>
    </dxf>
    <dxf>
      <fill>
        <patternFill>
          <bgColor rgb="FFC6DBED"/>
        </patternFill>
      </fill>
    </dxf>
    <dxf>
      <fill>
        <patternFill>
          <bgColor theme="0" tint="-4.9989318521683403E-2"/>
        </patternFill>
      </fill>
    </dxf>
    <dxf>
      <fill>
        <patternFill>
          <bgColor rgb="FFEFF5FA"/>
        </patternFill>
      </fill>
    </dxf>
    <dxf>
      <fill>
        <patternFill>
          <bgColor theme="0" tint="-4.9989318521683403E-2"/>
        </patternFill>
      </fill>
    </dxf>
    <dxf>
      <fill>
        <patternFill>
          <bgColor rgb="FFC6DBED"/>
        </patternFill>
      </fill>
    </dxf>
    <dxf>
      <fill>
        <patternFill>
          <bgColor rgb="FFC6DBED"/>
        </patternFill>
      </fill>
    </dxf>
    <dxf>
      <fill>
        <patternFill>
          <bgColor theme="0" tint="-4.9989318521683403E-2"/>
        </patternFill>
      </fill>
    </dxf>
    <dxf>
      <fill>
        <patternFill>
          <bgColor rgb="FFEFF5FA"/>
        </patternFill>
      </fill>
    </dxf>
    <dxf>
      <fill>
        <patternFill>
          <bgColor rgb="FFEFF5FA"/>
        </patternFill>
      </fill>
    </dxf>
    <dxf>
      <fill>
        <patternFill>
          <bgColor rgb="FFC6DBED"/>
        </patternFill>
      </fill>
    </dxf>
    <dxf>
      <fill>
        <patternFill>
          <bgColor theme="0" tint="-0.14996795556505021"/>
        </patternFill>
      </fill>
    </dxf>
    <dxf>
      <fill>
        <patternFill>
          <bgColor rgb="FFC6DBED"/>
        </patternFill>
      </fill>
    </dxf>
    <dxf>
      <fill>
        <patternFill>
          <bgColor theme="0" tint="-4.9989318521683403E-2"/>
        </patternFill>
      </fill>
    </dxf>
    <dxf>
      <fill>
        <patternFill>
          <bgColor rgb="FFEFF5FA"/>
        </patternFill>
      </fill>
    </dxf>
    <dxf>
      <fill>
        <patternFill>
          <bgColor rgb="FFC6DBED"/>
        </patternFill>
      </fill>
    </dxf>
    <dxf>
      <fill>
        <patternFill>
          <bgColor theme="0" tint="-4.9989318521683403E-2"/>
        </patternFill>
      </fill>
    </dxf>
    <dxf>
      <fill>
        <patternFill>
          <bgColor rgb="FFEFF5FA"/>
        </patternFill>
      </fill>
    </dxf>
    <dxf>
      <fill>
        <patternFill>
          <bgColor rgb="FFC6DBED"/>
        </patternFill>
      </fill>
    </dxf>
    <dxf>
      <fill>
        <patternFill>
          <bgColor rgb="FFEFF5FA"/>
        </patternFill>
      </fill>
    </dxf>
    <dxf>
      <fill>
        <patternFill>
          <bgColor theme="0" tint="-4.9989318521683403E-2"/>
        </patternFill>
      </fill>
    </dxf>
    <dxf>
      <fill>
        <patternFill>
          <bgColor theme="0" tint="-4.9989318521683403E-2"/>
        </patternFill>
      </fill>
    </dxf>
    <dxf>
      <fill>
        <patternFill>
          <bgColor rgb="FFC6DBED"/>
        </patternFill>
      </fill>
    </dxf>
    <dxf>
      <fill>
        <patternFill>
          <bgColor rgb="FFEFF5FA"/>
        </patternFill>
      </fill>
    </dxf>
    <dxf>
      <fill>
        <patternFill>
          <bgColor theme="0" tint="-4.9989318521683403E-2"/>
        </patternFill>
      </fill>
    </dxf>
    <dxf>
      <fill>
        <patternFill>
          <bgColor rgb="FFEFF5FA"/>
        </patternFill>
      </fill>
    </dxf>
    <dxf>
      <fill>
        <patternFill>
          <bgColor rgb="FFC6DBED"/>
        </patternFill>
      </fill>
    </dxf>
    <dxf>
      <fill>
        <patternFill>
          <bgColor theme="0" tint="-4.9989318521683403E-2"/>
        </patternFill>
      </fill>
    </dxf>
    <dxf>
      <fill>
        <patternFill>
          <bgColor rgb="FFEFF5FA"/>
        </patternFill>
      </fill>
    </dxf>
    <dxf>
      <fill>
        <patternFill>
          <bgColor rgb="FFC6DBED"/>
        </patternFill>
      </fill>
    </dxf>
    <dxf>
      <fill>
        <patternFill>
          <bgColor theme="0" tint="-4.9989318521683403E-2"/>
        </patternFill>
      </fill>
    </dxf>
    <dxf>
      <fill>
        <patternFill>
          <bgColor rgb="FFEFF5FA"/>
        </patternFill>
      </fill>
    </dxf>
    <dxf>
      <fill>
        <patternFill>
          <bgColor rgb="FFC6DBED"/>
        </patternFill>
      </fill>
    </dxf>
    <dxf>
      <fill>
        <patternFill>
          <bgColor rgb="FFEFF5FA"/>
        </patternFill>
      </fill>
    </dxf>
    <dxf>
      <fill>
        <patternFill>
          <bgColor rgb="FFC6DBED"/>
        </patternFill>
      </fill>
    </dxf>
    <dxf>
      <fill>
        <patternFill>
          <bgColor theme="0" tint="-4.9989318521683403E-2"/>
        </patternFill>
      </fill>
    </dxf>
    <dxf>
      <fill>
        <patternFill>
          <bgColor rgb="FFC6DBED"/>
        </patternFill>
      </fill>
    </dxf>
    <dxf>
      <fill>
        <patternFill>
          <bgColor rgb="FFEFF5FA"/>
        </patternFill>
      </fill>
    </dxf>
    <dxf>
      <fill>
        <patternFill>
          <bgColor theme="0" tint="-4.9989318521683403E-2"/>
        </patternFill>
      </fill>
    </dxf>
    <dxf>
      <font>
        <b val="0"/>
        <i val="0"/>
        <strike val="0"/>
        <condense val="0"/>
        <extend val="0"/>
        <outline val="0"/>
        <shadow val="0"/>
        <u val="none"/>
        <vertAlign val="baseline"/>
        <sz val="12"/>
        <color rgb="FF000000"/>
        <name val="Arial"/>
        <family val="2"/>
        <scheme val="none"/>
      </font>
      <numFmt numFmtId="0" formatCode="General"/>
      <alignment horizontal="left" vertical="top" textRotation="0" wrapText="1" indent="0" justifyLastLine="0" shrinkToFit="0" readingOrder="0"/>
      <protection locked="1" hidden="0"/>
    </dxf>
    <dxf>
      <font>
        <b val="0"/>
        <i val="0"/>
        <strike val="0"/>
        <condense val="0"/>
        <extend val="0"/>
        <outline val="0"/>
        <shadow val="0"/>
        <u val="none"/>
        <vertAlign val="baseline"/>
        <sz val="12"/>
        <color rgb="FF000000"/>
        <name val="Arial"/>
        <family val="2"/>
        <scheme val="none"/>
      </font>
      <numFmt numFmtId="0" formatCode="General"/>
      <alignment horizontal="left" vertical="top" textRotation="0" wrapText="0" indent="0" justifyLastLine="0" shrinkToFit="1" readingOrder="0"/>
      <protection locked="1" hidden="0"/>
    </dxf>
    <dxf>
      <font>
        <b/>
        <i val="0"/>
        <strike val="0"/>
        <condense val="0"/>
        <extend val="0"/>
        <outline val="0"/>
        <shadow val="0"/>
        <u val="none"/>
        <vertAlign val="baseline"/>
        <sz val="12"/>
        <color rgb="FFA91717"/>
        <name val="Arial"/>
        <family val="2"/>
        <scheme val="none"/>
      </font>
      <numFmt numFmtId="0" formatCode="General"/>
      <fill>
        <patternFill patternType="solid">
          <fgColor indexed="64"/>
          <bgColor rgb="FFEED1D1"/>
        </patternFill>
      </fill>
      <border diagonalUp="0" diagonalDown="0" outline="0">
        <left style="thin">
          <color rgb="FFA91717"/>
        </left>
        <right style="thin">
          <color rgb="FFA91717"/>
        </right>
        <top style="thin">
          <color rgb="FFA91717"/>
        </top>
        <bottom/>
      </border>
    </dxf>
    <dxf>
      <font>
        <b/>
        <i val="0"/>
        <strike val="0"/>
        <condense val="0"/>
        <extend val="0"/>
        <outline val="0"/>
        <shadow val="0"/>
        <u val="none"/>
        <vertAlign val="baseline"/>
        <sz val="12"/>
        <color rgb="FFA91717"/>
        <name val="Arial"/>
        <family val="2"/>
        <scheme val="none"/>
      </font>
      <numFmt numFmtId="0" formatCode="General"/>
      <fill>
        <patternFill patternType="solid">
          <fgColor indexed="64"/>
          <bgColor rgb="FFEED1D1"/>
        </patternFill>
      </fill>
      <border diagonalUp="0" diagonalDown="0">
        <left style="thin">
          <color rgb="FFA91717"/>
        </left>
        <right style="thin">
          <color rgb="FFA91717"/>
        </right>
        <top style="thin">
          <color rgb="FFA91717"/>
        </top>
        <bottom style="thin">
          <color rgb="FFA91717"/>
        </bottom>
        <vertical/>
        <horizontal/>
      </border>
    </dxf>
    <dxf>
      <font>
        <b/>
        <i val="0"/>
        <strike val="0"/>
        <condense val="0"/>
        <extend val="0"/>
        <outline val="0"/>
        <shadow val="0"/>
        <u val="none"/>
        <vertAlign val="baseline"/>
        <sz val="12"/>
        <color rgb="FFA91717"/>
        <name val="Arial"/>
        <family val="2"/>
        <scheme val="none"/>
      </font>
      <numFmt numFmtId="0" formatCode="General"/>
      <fill>
        <patternFill patternType="solid">
          <fgColor indexed="64"/>
          <bgColor rgb="FFEED1D1"/>
        </patternFill>
      </fill>
      <border diagonalUp="0" diagonalDown="0">
        <left style="thin">
          <color rgb="FFA91717"/>
        </left>
        <right style="thin">
          <color rgb="FFA91717"/>
        </right>
        <top style="thin">
          <color rgb="FFA91717"/>
        </top>
        <bottom style="thin">
          <color rgb="FFA91717"/>
        </bottom>
        <vertical/>
        <horizontal/>
      </border>
    </dxf>
    <dxf>
      <border diagonalUp="0" diagonalDown="0" outline="0">
        <left/>
        <right/>
        <top/>
        <bottom/>
      </border>
    </dxf>
    <dxf>
      <fill>
        <patternFill patternType="none">
          <fgColor indexed="64"/>
          <bgColor indexed="65"/>
        </patternFill>
      </fill>
      <border diagonalUp="0" diagonalDown="0" outline="0">
        <left/>
        <right/>
        <top/>
        <bottom/>
      </border>
    </dxf>
    <dxf>
      <border outline="0">
        <top style="thick">
          <color theme="1" tint="0.59996337778862885"/>
        </top>
      </border>
    </dxf>
    <dxf>
      <border outline="0">
        <bottom style="double">
          <color theme="1" tint="0.59996337778862885"/>
        </bottom>
      </border>
    </dxf>
    <dxf>
      <fill>
        <patternFill patternType="none">
          <fgColor indexed="64"/>
          <bgColor auto="1"/>
        </patternFill>
      </fill>
    </dxf>
    <dxf>
      <numFmt numFmtId="0" formatCode="General"/>
    </dxf>
    <dxf>
      <font>
        <b val="0"/>
        <i val="0"/>
        <strike val="0"/>
        <condense val="0"/>
        <extend val="0"/>
        <outline val="0"/>
        <shadow val="0"/>
        <u/>
        <vertAlign val="baseline"/>
        <sz val="12"/>
        <color rgb="FF006EBC"/>
        <name val="Arial"/>
        <family val="2"/>
        <scheme val="none"/>
      </font>
      <numFmt numFmtId="0" formatCode="General"/>
      <alignment horizontal="left" vertical="center" textRotation="0" wrapText="1" indent="1" justifyLastLine="0" shrinkToFit="0" readingOrder="0"/>
    </dxf>
    <dxf>
      <border outline="0">
        <right style="thin">
          <color theme="0" tint="-0.14999847407452621"/>
        </right>
        <top style="thick">
          <color theme="1" tint="0.59996337778862885"/>
        </top>
        <bottom style="medium">
          <color indexed="64"/>
        </bottom>
      </border>
    </dxf>
    <dxf>
      <border outline="0">
        <bottom style="double">
          <color theme="1" tint="0.59996337778862885"/>
        </bottom>
      </border>
    </dxf>
    <dxf>
      <numFmt numFmtId="0" formatCode="General"/>
    </dxf>
    <dxf>
      <font>
        <b val="0"/>
        <i val="0"/>
        <strike val="0"/>
        <condense val="0"/>
        <extend val="0"/>
        <outline val="0"/>
        <shadow val="0"/>
        <u/>
        <vertAlign val="baseline"/>
        <sz val="12"/>
        <color rgb="FF006EBC"/>
        <name val="Arial"/>
        <family val="2"/>
        <scheme val="none"/>
      </font>
      <numFmt numFmtId="0" formatCode="General"/>
      <alignment horizontal="left" vertical="center" textRotation="0" wrapText="1" indent="1" justifyLastLine="0" shrinkToFit="0" readingOrder="0"/>
    </dxf>
    <dxf>
      <border outline="0">
        <top style="thick">
          <color theme="1" tint="0.59996337778862885"/>
        </top>
        <bottom style="medium">
          <color rgb="FF000000"/>
        </bottom>
      </border>
    </dxf>
    <dxf>
      <border outline="0">
        <bottom style="double">
          <color theme="1" tint="0.59996337778862885"/>
        </bottom>
      </border>
    </dxf>
    <dxf>
      <font>
        <b val="0"/>
        <i val="0"/>
        <strike val="0"/>
        <condense val="0"/>
        <extend val="0"/>
        <outline val="0"/>
        <shadow val="0"/>
        <u val="none"/>
        <vertAlign val="baseline"/>
        <sz val="12"/>
        <color auto="1"/>
        <name val="Arial"/>
        <family val="2"/>
        <scheme val="none"/>
      </font>
      <alignment horizontal="left" vertical="center" textRotation="0" wrapText="1" indent="1" justifyLastLine="0" shrinkToFit="0" readingOrder="0"/>
      <border diagonalUp="0" diagonalDown="0">
        <left/>
        <right style="thin">
          <color rgb="FFD9D9D9"/>
        </right>
        <top/>
        <bottom/>
        <vertical/>
        <horizontal/>
      </border>
    </dxf>
    <dxf>
      <font>
        <b val="0"/>
        <i val="0"/>
        <strike val="0"/>
        <condense val="0"/>
        <extend val="0"/>
        <outline val="0"/>
        <shadow val="0"/>
        <u/>
        <vertAlign val="baseline"/>
        <sz val="12"/>
        <color rgb="FF006EBC"/>
        <name val="Arial"/>
        <family val="2"/>
        <scheme val="none"/>
      </font>
      <numFmt numFmtId="0" formatCode="General"/>
      <alignment horizontal="left" vertical="center" textRotation="0" wrapText="1" indent="1" justifyLastLine="0" shrinkToFit="0" readingOrder="0"/>
    </dxf>
    <dxf>
      <border outline="0">
        <right style="thin">
          <color theme="0" tint="-0.14999847407452621"/>
        </right>
        <top style="thick">
          <color theme="1" tint="0.59996337778862885"/>
        </top>
        <bottom style="medium">
          <color indexed="64"/>
        </bottom>
      </border>
    </dxf>
    <dxf>
      <border outline="0">
        <bottom style="double">
          <color theme="1" tint="0.59996337778862885"/>
        </bottom>
      </border>
    </dxf>
    <dxf>
      <fill>
        <patternFill patternType="none">
          <bgColor auto="1"/>
        </patternFill>
      </fill>
    </dxf>
    <dxf>
      <font>
        <b/>
        <color theme="1"/>
      </font>
      <border>
        <bottom style="thin">
          <color theme="4"/>
        </bottom>
        <vertical/>
        <horizontal/>
      </border>
    </dxf>
    <dxf>
      <font>
        <color theme="1"/>
      </font>
      <border>
        <left style="thin">
          <color theme="4"/>
        </left>
        <right style="thin">
          <color theme="4"/>
        </right>
        <top style="thin">
          <color theme="4"/>
        </top>
        <bottom style="thin">
          <color theme="4"/>
        </bottom>
        <vertical/>
        <horizontal/>
      </border>
    </dxf>
    <dxf>
      <font>
        <b/>
        <color theme="1"/>
      </font>
      <border>
        <bottom style="thin">
          <color theme="4"/>
        </bottom>
        <vertical/>
        <horizontal/>
      </border>
    </dxf>
    <dxf>
      <font>
        <color theme="1"/>
      </font>
      <border>
        <left style="thin">
          <color theme="4"/>
        </left>
        <right style="thin">
          <color theme="4"/>
        </right>
        <top style="thin">
          <color theme="4"/>
        </top>
        <bottom style="thin">
          <color theme="4"/>
        </bottom>
        <vertical/>
        <horizontal/>
      </border>
    </dxf>
    <dxf>
      <font>
        <b/>
        <color theme="1"/>
      </font>
      <border>
        <bottom style="thin">
          <color theme="5"/>
        </bottom>
        <vertical/>
        <horizontal/>
      </border>
    </dxf>
    <dxf>
      <font>
        <color theme="1"/>
      </font>
      <border>
        <left style="thin">
          <color theme="5"/>
        </left>
        <right style="thin">
          <color theme="5"/>
        </right>
        <top style="thin">
          <color theme="5"/>
        </top>
        <bottom style="thin">
          <color theme="5"/>
        </bottom>
        <vertical/>
        <horizontal/>
      </border>
    </dxf>
  </dxfs>
  <tableStyles count="4" defaultTableStyle="TableStyleMedium2" defaultPivotStyle="PivotStyleLight16">
    <tableStyle name="ErrorList" pivot="0" table="0" count="10" xr9:uid="{3F3B96B8-138F-424A-B84F-E5F88A329FDF}">
      <tableStyleElement type="wholeTable" dxfId="861"/>
      <tableStyleElement type="headerRow" dxfId="860"/>
    </tableStyle>
    <tableStyle name="Slicer Refresh White Text" pivot="0" table="0" count="10" xr9:uid="{5B425083-6ECF-41B0-9CE5-629D7C18DA39}">
      <tableStyleElement type="wholeTable" dxfId="859"/>
      <tableStyleElement type="headerRow" dxfId="858"/>
    </tableStyle>
    <tableStyle name="SlicerStyleLight1 2" pivot="0" table="0" count="10" xr9:uid="{F0154EC3-45B1-40A8-BB93-07463B22F512}">
      <tableStyleElement type="wholeTable" dxfId="857"/>
      <tableStyleElement type="headerRow" dxfId="856"/>
    </tableStyle>
    <tableStyle name="Table Style 1" pivot="0" count="1" xr9:uid="{72324271-39DE-48EA-86AB-9DFA7247E3C8}">
      <tableStyleElement type="headerRow" dxfId="855"/>
    </tableStyle>
  </tableStyles>
  <colors>
    <mruColors>
      <color rgb="FFC6DBED"/>
      <color rgb="FFEFF5FA"/>
      <color rgb="FFF3CBCF"/>
      <color rgb="FFDDE8E3"/>
      <color rgb="FF00703C"/>
      <color rgb="FF006100"/>
      <color rgb="FF004F00"/>
      <color rgb="FFC6EFCE"/>
      <color rgb="FF0381A2"/>
      <color rgb="FFD9D9D9"/>
    </mruColors>
  </colors>
  <extLst>
    <ext xmlns:x14="http://schemas.microsoft.com/office/spreadsheetml/2009/9/main" uri="{46F421CA-312F-682f-3DD2-61675219B42D}">
      <x14:dxfs count="24">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0"/>
              <bgColor theme="4" tint="0.79995117038483843"/>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rgb="FF0381A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0381A2"/>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0"/>
              <bgColor theme="4" tint="0.79995117038483843"/>
            </patternFill>
          </fill>
          <border>
            <left style="thin">
              <color rgb="FFCCCCCC"/>
            </left>
            <right style="thin">
              <color rgb="FFCCCCCC"/>
            </right>
            <top style="thin">
              <color rgb="FFCCCCCC"/>
            </top>
            <bottom style="thin">
              <color rgb="FFCCCCCC"/>
            </bottom>
            <vertical/>
            <horizontal/>
          </border>
        </dxf>
        <dxf>
          <font>
            <b/>
            <i val="0"/>
            <color theme="0"/>
          </font>
          <fill>
            <patternFill patternType="solid">
              <fgColor theme="4" tint="0.59999389629810485"/>
              <bgColor rgb="FF0381A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b/>
            <i val="0"/>
            <color theme="0"/>
          </font>
          <fill>
            <patternFill patternType="solid">
              <fgColor rgb="FFFFFFFF"/>
              <bgColor rgb="FF0381A2"/>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5" tint="0.79998168889431442"/>
              <bgColor theme="5"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5" tint="0.59999389629810485"/>
              <bgColor theme="5"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ErrorList">
        <x14:slicerStyle name="ErrorList">
          <x14:slicerStyleElements>
            <x14:slicerStyleElement type="unselectedItemWithData" dxfId="23"/>
            <x14:slicerStyleElement type="unselectedItemWithNoData" dxfId="22"/>
            <x14:slicerStyleElement type="selectedItemWithData" dxfId="21"/>
            <x14:slicerStyleElement type="selectedItemWithNoData" dxfId="20"/>
            <x14:slicerStyleElement type="hoveredUnselectedItemWithData" dxfId="19"/>
            <x14:slicerStyleElement type="hoveredSelectedItemWithData" dxfId="18"/>
            <x14:slicerStyleElement type="hoveredUnselectedItemWithNoData" dxfId="17"/>
            <x14:slicerStyleElement type="hoveredSelectedItemWithNoData" dxfId="16"/>
          </x14:slicerStyleElements>
        </x14:slicerStyle>
        <x14:slicerStyle name="Slicer Refresh White Text">
          <x14:slicerStyleElements>
            <x14:slicerStyleElement type="unselectedItemWithData" dxfId="15"/>
            <x14:slicerStyleElement type="unselectedItemWithNoData" dxfId="14"/>
            <x14:slicerStyleElement type="selectedItemWithData" dxfId="13"/>
            <x14:slicerStyleElement type="selectedItemWithNoData" dxfId="12"/>
            <x14:slicerStyleElement type="hoveredUnselectedItemWithData" dxfId="11"/>
            <x14:slicerStyleElement type="hoveredSelectedItemWithData" dxfId="10"/>
            <x14:slicerStyleElement type="hoveredUnselectedItemWithNoData" dxfId="9"/>
            <x14:slicerStyleElement type="hoveredSelectedItemWithNoData" dxfId="8"/>
          </x14:slicerStyleElements>
        </x14:slicerStyle>
        <x14:slicerStyle name="SlicerStyleLight1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microsoft.com/office/2007/relationships/slicerCache" Target="slicerCaches/slicerCache2.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43" Type="http://schemas.openxmlformats.org/officeDocument/2006/relationships/customXml" Target="../customXml/item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microsoft.com/office/2007/relationships/slicerCache" Target="slicerCaches/slicerCache1.xml"/><Relationship Id="rId38" Type="http://schemas.openxmlformats.org/officeDocument/2006/relationships/sheetMetadata" Target="metadata.xml"/></Relationships>
</file>

<file path=xl/drawings/drawing1.xml><?xml version="1.0" encoding="utf-8"?>
<xdr:wsDr xmlns:xdr="http://schemas.openxmlformats.org/drawingml/2006/spreadsheetDrawing" xmlns:a="http://schemas.openxmlformats.org/drawingml/2006/main">
  <xdr:twoCellAnchor>
    <xdr:from>
      <xdr:col>0</xdr:col>
      <xdr:colOff>38101</xdr:colOff>
      <xdr:row>3</xdr:row>
      <xdr:rowOff>27939</xdr:rowOff>
    </xdr:from>
    <xdr:to>
      <xdr:col>1</xdr:col>
      <xdr:colOff>1724026</xdr:colOff>
      <xdr:row>3</xdr:row>
      <xdr:rowOff>619124</xdr:rowOff>
    </xdr:to>
    <mc:AlternateContent xmlns:mc="http://schemas.openxmlformats.org/markup-compatibility/2006" xmlns:sle15="http://schemas.microsoft.com/office/drawing/2012/slicer">
      <mc:Choice Requires="sle15">
        <xdr:graphicFrame macro="">
          <xdr:nvGraphicFramePr>
            <xdr:cNvPr id="5" name="Refresh">
              <a:extLst>
                <a:ext uri="{FF2B5EF4-FFF2-40B4-BE49-F238E27FC236}">
                  <a16:creationId xmlns:a16="http://schemas.microsoft.com/office/drawing/2014/main" id="{AD2A0B18-D33D-DFBC-7F99-3CEEBC027A5C}"/>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Refresh"/>
            </a:graphicData>
          </a:graphic>
        </xdr:graphicFrame>
      </mc:Choice>
      <mc:Fallback xmlns="">
        <xdr:sp macro="" textlink="">
          <xdr:nvSpPr>
            <xdr:cNvPr id="0" name=""/>
            <xdr:cNvSpPr>
              <a:spLocks noTextEdit="1"/>
            </xdr:cNvSpPr>
          </xdr:nvSpPr>
          <xdr:spPr>
            <a:xfrm>
              <a:off x="38101" y="1913889"/>
              <a:ext cx="2895600" cy="591185"/>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twoCellAnchor>
</xdr:wsDr>
</file>

<file path=xl/drawings/drawing2.xml><?xml version="1.0" encoding="utf-8"?>
<xdr:wsDr xmlns:xdr="http://schemas.openxmlformats.org/drawingml/2006/spreadsheetDrawing" xmlns:a="http://schemas.openxmlformats.org/drawingml/2006/main">
  <xdr:oneCellAnchor>
    <xdr:from>
      <xdr:col>0</xdr:col>
      <xdr:colOff>71437</xdr:colOff>
      <xdr:row>12</xdr:row>
      <xdr:rowOff>90373</xdr:rowOff>
    </xdr:from>
    <xdr:ext cx="3385185" cy="575900"/>
    <mc:AlternateContent xmlns:mc="http://schemas.openxmlformats.org/markup-compatibility/2006" xmlns:sle15="http://schemas.microsoft.com/office/drawing/2012/slicer">
      <mc:Choice Requires="sle15">
        <xdr:graphicFrame macro="">
          <xdr:nvGraphicFramePr>
            <xdr:cNvPr id="11" name="SOS refresh">
              <a:extLst>
                <a:ext uri="{FF2B5EF4-FFF2-40B4-BE49-F238E27FC236}">
                  <a16:creationId xmlns:a16="http://schemas.microsoft.com/office/drawing/2014/main" id="{7BBB3765-35A3-B5C2-6C37-BFAEDCF3A899}"/>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OS refresh"/>
            </a:graphicData>
          </a:graphic>
        </xdr:graphicFrame>
      </mc:Choice>
      <mc:Fallback xmlns="">
        <xdr:sp macro="" textlink="">
          <xdr:nvSpPr>
            <xdr:cNvPr id="0" name=""/>
            <xdr:cNvSpPr>
              <a:spLocks noTextEdit="1"/>
            </xdr:cNvSpPr>
          </xdr:nvSpPr>
          <xdr:spPr>
            <a:xfrm>
              <a:off x="71437" y="3828936"/>
              <a:ext cx="9929812" cy="576377"/>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fPrintsWithSheet="0"/>
  </xdr:one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OS_refresh" xr10:uid="{1864890D-E4E6-4909-B6FC-FAC3FADEB3C0}" sourceName="SOS refresh">
  <extLst>
    <x:ext xmlns:x15="http://schemas.microsoft.com/office/spreadsheetml/2010/11/main" uri="{2F2917AC-EB37-4324-AD4E-5DD8C200BD13}">
      <x15:tableSlicerCache tableId="7" column="1"/>
    </x:ex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fresh" xr10:uid="{E1D20324-7F67-444C-9E67-5C58656F6B26}" sourceName="Refresh">
  <extLst>
    <x:ext xmlns:x15="http://schemas.microsoft.com/office/spreadsheetml/2010/11/main" uri="{2F2917AC-EB37-4324-AD4E-5DD8C200BD13}">
      <x15:tableSlicerCache tableId="5" column="5" sortOrder="descending"/>
    </x:ex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fresh" xr10:uid="{20001028-0CA5-46FB-A4D2-25022F784907}" cache="Slicer_Refresh" caption="Refresh" showCaption="0" style="Slicer Refresh White Text" lockedPosition="1" rowHeight="4191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OS refresh" xr10:uid="{E50EA1C6-BFC5-425F-BE3A-17DA2300E70C}" cache="Slicer_SOS_refresh" showCaption="0" style="Slicer Refresh White Text" lockedPosition="1" rowHeight="4176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944F814-CF7C-49BD-8AC9-6D2922612E4C}" name="ActuarialInfoTableOfContents" displayName="ActuarialInfoTableOfContents" ref="A5:B14" totalsRowShown="0" headerRowBorderDxfId="854" tableBorderDxfId="853" headerRowCellStyle="Heading 3">
  <autoFilter ref="A5:B14" xr:uid="{F944F814-CF7C-49BD-8AC9-6D2922612E4C}">
    <filterColumn colId="0" hiddenButton="1"/>
    <filterColumn colId="1" hiddenButton="1"/>
  </autoFilter>
  <tableColumns count="2">
    <tableColumn id="1" xr3:uid="{452BB3EF-BF8A-4E91-BB9F-C99B602D8280}" name="Worksheet link" dataDxfId="852" dataCellStyle="Hyperlink"/>
    <tableColumn id="2" xr3:uid="{45DA71EC-D05F-4C3B-AFAD-E7944CE4EF03}" name="About the worksheet" dataDxfId="851">
      <calculatedColumnFormula>'Table of Contents'!B11</calculatedColumnFormula>
    </tableColumn>
  </tableColumns>
  <tableStyleInfo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19426EB8-AA7C-4347-B70A-A9BD1436BF9C}" name="InvestmentInfoTableOfContents" displayName="InvestmentInfoTableOfContents" ref="A5:B8" totalsRowShown="0" headerRowBorderDxfId="850" tableBorderDxfId="849" headerRowCellStyle="Heading 3">
  <autoFilter ref="A5:B8" xr:uid="{19426EB8-AA7C-4347-B70A-A9BD1436BF9C}">
    <filterColumn colId="0" hiddenButton="1"/>
    <filterColumn colId="1" hiddenButton="1"/>
  </autoFilter>
  <tableColumns count="2">
    <tableColumn id="1" xr3:uid="{78058401-CFEB-44C3-861E-DAE0437422C6}" name="Worksheet link" dataDxfId="848" dataCellStyle="Hyperlink"/>
    <tableColumn id="2" xr3:uid="{0F22A817-46E5-4D6B-BA4A-061C5695A4D6}" name="About the worksheet" dataDxfId="847">
      <calculatedColumnFormula>'Table of Contents'!B24</calculatedColumnFormula>
    </tableColumn>
  </tableColumns>
  <tableStyleInfo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8AC0BF0-1652-4AFF-9FE6-669CFD428800}" name="CovenantInfoTableOfContents" displayName="CovenantInfoTableOfContents" ref="A5:B12" totalsRowShown="0" headerRowBorderDxfId="846" tableBorderDxfId="845" headerRowCellStyle="Heading 3">
  <autoFilter ref="A5:B12" xr:uid="{C8AC0BF0-1652-4AFF-9FE6-669CFD428800}">
    <filterColumn colId="0" hiddenButton="1"/>
    <filterColumn colId="1" hiddenButton="1"/>
  </autoFilter>
  <tableColumns count="2">
    <tableColumn id="1" xr3:uid="{C972FBAF-8660-4251-B792-3CE8CB6FCEBF}" name="Worksheet link" dataDxfId="844" dataCellStyle="Hyperlink"/>
    <tableColumn id="2" xr3:uid="{87774FBA-D524-4B79-BF7E-8246B5277CFA}" name="About the worksheet" dataDxfId="843">
      <calculatedColumnFormula>'Table of Contents'!B31</calculatedColumnFormula>
    </tableColumn>
  </tableColumns>
  <tableStyleInfo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D035B00-19A5-476D-964F-75EE8A1F2899}" name="Table5" displayName="Table5" ref="A6:D1094" totalsRowShown="0" headerRowDxfId="842" headerRowBorderDxfId="841" tableBorderDxfId="840">
  <autoFilter ref="A6:D1094" xr:uid="{DD035B00-19A5-476D-964F-75EE8A1F2899}">
    <filterColumn colId="0" hiddenButton="1"/>
    <filterColumn colId="1" hiddenButton="1"/>
    <filterColumn colId="2" hiddenButton="1"/>
    <filterColumn colId="3" hiddenButton="1">
      <filters>
        <filter val="Refresh the error report"/>
      </filters>
    </filterColumn>
  </autoFilter>
  <tableColumns count="4">
    <tableColumn id="1" xr3:uid="{5BC98EB2-8736-4879-9C21-73F1E0968FBC}" name="ID" totalsRowDxfId="839" dataCellStyle="Hyperlink" totalsRowCellStyle="Hyperlink">
      <calculatedColumnFormula>HYPERLINK("#" &amp; 'Reconciliation report'!I2,'Reconciliation report'!F2)</calculatedColumnFormula>
    </tableColumn>
    <tableColumn id="2" xr3:uid="{BA343C1A-F84E-47B5-AFF4-1974AE8EF46D}" name="Question" totalsRowDxfId="838">
      <calculatedColumnFormula>'Reconciliation report'!C2</calculatedColumnFormula>
    </tableColumn>
    <tableColumn id="3" xr3:uid="{32C1808B-A13E-412E-A0AA-1F8C1982411A}" name="Error" dataDxfId="837" dataCellStyle="Normal 2 2 2" totalsRowCellStyle="Normal 2 2 2">
      <calculatedColumnFormula>RefData!$C$422</calculatedColumnFormula>
    </tableColumn>
    <tableColumn id="5" xr3:uid="{47C96ECB-EDB0-406D-B59E-37D1EA967A08}" name="Refresh" dataDxfId="836" totalsRowDxfId="835" dataCellStyle="Normal 2 2 2" totalsRowCellStyle="Normal 2 2 2">
      <calculatedColumnFormula>IFERROR(IF(LEN(TRIM(CLEAN(C7))) &gt; 0, "Refresh the error report", ""), "")</calculatedColumnFormula>
    </tableColumn>
  </tableColumns>
  <tableStyleInfo name="TableStyleLight11"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C4E91FDB-2CEB-4B5D-8E80-DB7F2CA50EFB}" name="Table7" displayName="Table7" ref="N24:O1227" totalsRowShown="0">
  <autoFilter ref="N24:O1227" xr:uid="{C4E91FDB-2CEB-4B5D-8E80-DB7F2CA50EFB}">
    <filterColumn colId="0">
      <filters>
        <filter val="Refresh the statement"/>
      </filters>
    </filterColumn>
  </autoFilter>
  <tableColumns count="2">
    <tableColumn id="1" xr3:uid="{18FE3494-6358-4094-9BEA-3B437729FA2C}" name="SOS refresh" dataDxfId="834">
      <calculatedColumnFormula>IF(OR(A25&lt;&gt;"",B25&lt;&gt;"",C25&lt;&gt;"",D25&lt;&gt;"",E25&lt;&gt;"",F25&lt;&gt;"",G25&lt;&gt;"",H25&lt;&gt;"",I25&lt;&gt;"",J25&lt;&gt;"",K25&lt;&gt;"",L25&lt;&gt;"",M25&lt;&gt;"",O25&lt;&gt;""),"Refresh the statement","Scroll up and click refresh")</calculatedColumnFormula>
    </tableColumn>
    <tableColumn id="2" xr3:uid="{36A68456-1D27-47D9-BA19-5B4418F711C9}" name="Row Heights" dataDxfId="833"/>
  </tableColumns>
  <tableStyleInfo name="Table Style 1" showFirstColumn="0" showLastColumn="0" showRowStripes="1" showColumnStripes="0"/>
</table>
</file>

<file path=xl/theme/theme1.xml><?xml version="1.0" encoding="utf-8"?>
<a:theme xmlns:a="http://schemas.openxmlformats.org/drawingml/2006/main" name="TPR-Theme">
  <a:themeElements>
    <a:clrScheme name="TPR Colours">
      <a:dk1>
        <a:srgbClr val="3D3D3D"/>
      </a:dk1>
      <a:lt1>
        <a:sysClr val="window" lastClr="FFFFFF"/>
      </a:lt1>
      <a:dk2>
        <a:srgbClr val="483B8B"/>
      </a:dk2>
      <a:lt2>
        <a:srgbClr val="EDEDED"/>
      </a:lt2>
      <a:accent1>
        <a:srgbClr val="0381A2"/>
      </a:accent1>
      <a:accent2>
        <a:srgbClr val="CD2E25"/>
      </a:accent2>
      <a:accent3>
        <a:srgbClr val="CACACA"/>
      </a:accent3>
      <a:accent4>
        <a:srgbClr val="FED100"/>
      </a:accent4>
      <a:accent5>
        <a:srgbClr val="685CA1"/>
      </a:accent5>
      <a:accent6>
        <a:srgbClr val="CDD500"/>
      </a:accent6>
      <a:hlink>
        <a:srgbClr val="006EBC"/>
      </a:hlink>
      <a:folHlink>
        <a:srgbClr val="483B8B"/>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Retrospect">
      <a:fillStyleLst>
        <a:solidFill>
          <a:schemeClr val="phClr"/>
        </a:solidFill>
        <a:gradFill rotWithShape="1">
          <a:gsLst>
            <a:gs pos="0">
              <a:schemeClr val="phClr">
                <a:tint val="65000"/>
                <a:shade val="92000"/>
                <a:satMod val="130000"/>
              </a:schemeClr>
            </a:gs>
            <a:gs pos="45000">
              <a:schemeClr val="phClr">
                <a:tint val="60000"/>
                <a:shade val="99000"/>
                <a:satMod val="120000"/>
              </a:schemeClr>
            </a:gs>
            <a:gs pos="100000">
              <a:schemeClr val="phClr">
                <a:tint val="55000"/>
                <a:satMod val="140000"/>
              </a:schemeClr>
            </a:gs>
          </a:gsLst>
          <a:path path="circle">
            <a:fillToRect l="100000" t="100000" r="100000" b="100000"/>
          </a:path>
        </a:gradFill>
        <a:gradFill rotWithShape="1">
          <a:gsLst>
            <a:gs pos="0">
              <a:schemeClr val="phClr">
                <a:shade val="85000"/>
                <a:satMod val="130000"/>
              </a:schemeClr>
            </a:gs>
            <a:gs pos="34000">
              <a:schemeClr val="phClr">
                <a:shade val="87000"/>
                <a:satMod val="125000"/>
              </a:schemeClr>
            </a:gs>
            <a:gs pos="70000">
              <a:schemeClr val="phClr">
                <a:tint val="100000"/>
                <a:shade val="90000"/>
                <a:satMod val="130000"/>
              </a:schemeClr>
            </a:gs>
            <a:gs pos="100000">
              <a:schemeClr val="phClr">
                <a:tint val="100000"/>
                <a:shade val="100000"/>
                <a:satMod val="110000"/>
              </a:schemeClr>
            </a:gs>
          </a:gsLst>
          <a:path path="circle">
            <a:fillToRect l="100000" t="100000" r="100000" b="100000"/>
          </a:path>
        </a:gradFill>
      </a:fillStyleLst>
      <a:lnStyleLst>
        <a:ln w="12700" cap="flat" cmpd="sng" algn="ctr">
          <a:solidFill>
            <a:schemeClr val="phClr"/>
          </a:solidFill>
          <a:prstDash val="solid"/>
        </a:ln>
        <a:ln w="15875" cap="flat" cmpd="sng" algn="ctr">
          <a:solidFill>
            <a:schemeClr val="phClr"/>
          </a:solidFill>
          <a:prstDash val="solid"/>
        </a:ln>
        <a:ln w="25400" cap="flat" cmpd="sng" algn="ctr">
          <a:solidFill>
            <a:schemeClr val="phClr"/>
          </a:solidFill>
          <a:prstDash val="solid"/>
        </a:ln>
      </a:lnStyleLst>
      <a:effectStyleLst>
        <a:effectStyle>
          <a:effectLst/>
        </a:effectStyle>
        <a:effectStyle>
          <a:effectLst>
            <a:outerShdw blurRad="38100" dist="25400" dir="2700000" algn="br" rotWithShape="0">
              <a:srgbClr val="000000">
                <a:alpha val="60000"/>
              </a:srgbClr>
            </a:outerShdw>
          </a:effectLst>
        </a:effectStyle>
        <a:effectStyle>
          <a:effectLst>
            <a:outerShdw blurRad="44450" dist="25400" dir="2700000" algn="br" rotWithShape="0">
              <a:srgbClr val="000000">
                <a:alpha val="60000"/>
              </a:srgbClr>
            </a:outerShdw>
          </a:effectLst>
          <a:scene3d>
            <a:camera prst="orthographicFront">
              <a:rot lat="0" lon="0" rev="0"/>
            </a:camera>
            <a:lightRig rig="threePt" dir="t">
              <a:rot lat="0" lon="0" rev="19800000"/>
            </a:lightRig>
          </a:scene3d>
          <a:sp3d prstMaterial="flat">
            <a:bevelT w="25400" h="31750"/>
          </a:sp3d>
        </a:effectStyle>
      </a:effectStyleLst>
      <a:bgFillStyleLst>
        <a:solidFill>
          <a:schemeClr val="phClr"/>
        </a:solidFill>
        <a:solidFill>
          <a:schemeClr val="phClr">
            <a:tint val="90000"/>
            <a:shade val="97000"/>
            <a:satMod val="130000"/>
          </a:schemeClr>
        </a:solidFill>
        <a:gradFill rotWithShape="1">
          <a:gsLst>
            <a:gs pos="0">
              <a:schemeClr val="phClr">
                <a:tint val="96000"/>
                <a:shade val="99000"/>
                <a:satMod val="140000"/>
              </a:schemeClr>
            </a:gs>
            <a:gs pos="65000">
              <a:schemeClr val="phClr">
                <a:tint val="100000"/>
                <a:shade val="80000"/>
                <a:satMod val="130000"/>
              </a:schemeClr>
            </a:gs>
            <a:gs pos="100000">
              <a:schemeClr val="phClr">
                <a:tint val="100000"/>
                <a:shade val="48000"/>
                <a:satMod val="120000"/>
              </a:schemeClr>
            </a:gs>
          </a:gsLst>
          <a:lin ang="16200000" scaled="0"/>
        </a:gradFill>
      </a:bgFillStyleLst>
    </a:fmtScheme>
  </a:themeElements>
  <a:objectDefaults/>
  <a:extraClrSchemeLst/>
  <a:extLst>
    <a:ext uri="{05A4C25C-085E-4340-85A3-A5531E510DB2}">
      <thm15:themeFamily xmlns:thm15="http://schemas.microsoft.com/office/thememl/2012/main" name="Retrospect" id="{5F128B03-DCCA-4EEB-AB3B-CF2899314A46}" vid="{3F1AAB62-24C6-49D2-8E01-B56FAC9A3DCD}"/>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table" Target="../tables/table4.xml"/><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2.xml"/><Relationship Id="rId1" Type="http://schemas.openxmlformats.org/officeDocument/2006/relationships/printerSettings" Target="../printerSettings/printerSettings25.bin"/><Relationship Id="rId4" Type="http://schemas.microsoft.com/office/2007/relationships/slicer" Target="../slicers/slicer2.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3C771-1FF1-447A-8928-381B387126F6}">
  <sheetPr codeName="Sheet1">
    <tabColor theme="1"/>
  </sheetPr>
  <dimension ref="A1:Q1048527"/>
  <sheetViews>
    <sheetView tabSelected="1" zoomScaleNormal="100" workbookViewId="0"/>
  </sheetViews>
  <sheetFormatPr defaultColWidth="0" defaultRowHeight="0" customHeight="1" zeroHeight="1"/>
  <cols>
    <col min="1" max="1" width="63.07421875" style="20" customWidth="1"/>
    <col min="2" max="2" width="62.69140625" style="47" customWidth="1"/>
    <col min="3" max="3" width="30.69140625" style="47" hidden="1" customWidth="1"/>
    <col min="4" max="4" width="35.07421875" style="47" hidden="1" customWidth="1"/>
    <col min="5" max="5" width="31" style="47" hidden="1" customWidth="1"/>
    <col min="6" max="6" width="12.69140625" style="47" hidden="1" customWidth="1"/>
    <col min="7" max="7" width="10.69140625" style="47" hidden="1" customWidth="1"/>
    <col min="8" max="9" width="10.23046875" style="47" hidden="1" customWidth="1"/>
    <col min="10" max="10" width="10.69140625" style="47" hidden="1" customWidth="1"/>
    <col min="11" max="11" width="12.69140625" style="47" hidden="1" customWidth="1"/>
    <col min="12" max="12" width="10.23046875" style="47" hidden="1" customWidth="1"/>
    <col min="13" max="13" width="9" style="47" hidden="1" customWidth="1"/>
    <col min="14" max="14" width="9.69140625" style="47" hidden="1" customWidth="1"/>
    <col min="15" max="15" width="12.69140625" style="47" hidden="1" customWidth="1"/>
    <col min="16" max="17" width="10.69140625" style="47" hidden="1" customWidth="1"/>
    <col min="18" max="16384" width="7.07421875" style="47" hidden="1"/>
  </cols>
  <sheetData>
    <row r="1" spans="1:16" s="30" customFormat="1" ht="50.15" customHeight="1" thickBot="1">
      <c r="A1" s="571" t="s">
        <v>0</v>
      </c>
      <c r="B1" s="13"/>
      <c r="C1" s="13"/>
    </row>
    <row r="2" spans="1:16" s="30" customFormat="1" ht="50.15" customHeight="1" thickTop="1" thickBot="1">
      <c r="A2" s="57" t="s">
        <v>1</v>
      </c>
      <c r="B2" s="57"/>
      <c r="C2" s="57"/>
    </row>
    <row r="3" spans="1:16" s="30" customFormat="1" ht="182.15" customHeight="1" thickTop="1" thickBot="1">
      <c r="A3" s="65" t="s">
        <v>2</v>
      </c>
      <c r="B3" s="3" t="s">
        <v>3</v>
      </c>
      <c r="C3" s="3"/>
    </row>
    <row r="4" spans="1:16" s="5" customFormat="1" ht="50.15" customHeight="1" thickBot="1">
      <c r="A4" s="57" t="s">
        <v>4</v>
      </c>
      <c r="B4" s="57"/>
      <c r="C4" s="57"/>
    </row>
    <row r="5" spans="1:16" s="30" customFormat="1" ht="36" customHeight="1" thickTop="1">
      <c r="A5" s="677" t="s">
        <v>5</v>
      </c>
      <c r="B5" s="678" t="s">
        <v>6</v>
      </c>
      <c r="C5" s="678" t="s">
        <v>7</v>
      </c>
      <c r="D5" s="681" t="s">
        <v>8</v>
      </c>
      <c r="E5" s="681" t="s">
        <v>9</v>
      </c>
      <c r="F5" s="682" t="s">
        <v>10</v>
      </c>
      <c r="G5" s="682" t="s">
        <v>11</v>
      </c>
      <c r="H5" s="682" t="s">
        <v>12</v>
      </c>
      <c r="I5" s="682" t="s">
        <v>13</v>
      </c>
      <c r="J5" s="682" t="s">
        <v>14</v>
      </c>
      <c r="K5" s="682" t="s">
        <v>15</v>
      </c>
      <c r="L5" s="682" t="s">
        <v>16</v>
      </c>
      <c r="M5" s="682" t="s">
        <v>17</v>
      </c>
      <c r="N5" s="682" t="s">
        <v>18</v>
      </c>
      <c r="O5" s="682" t="s">
        <v>19</v>
      </c>
      <c r="P5" s="682" t="s">
        <v>20</v>
      </c>
    </row>
    <row r="6" spans="1:16" s="30" customFormat="1" ht="80.150000000000006" customHeight="1" thickBot="1">
      <c r="A6" s="76" t="s">
        <v>21</v>
      </c>
      <c r="B6" s="676" t="s">
        <v>22</v>
      </c>
      <c r="C6" s="676" t="str" cm="1">
        <f t="array" aca="1" ref="C6" ca="1">_xlfn.IFS(
$H6=$G6,RefData!$B$443,
$K6=0,RefData!$B$437,
$M6&gt;0,RefData!$B$438,
$K6&lt;$I6,RefData!$B$438,
$K6&gt;=$I6,RefData!$B$440
)</f>
        <v>Not yet started</v>
      </c>
      <c r="D6" s="30">
        <f>'Start here'!C32</f>
        <v>0</v>
      </c>
      <c r="E6" s="30" t="str">
        <f ca="1">SUBSTITUTE(_xlfn.FORMULATEXT($D6), "=", "")</f>
        <v>'Start here'!C32</v>
      </c>
      <c r="F6" s="30" t="str">
        <f ca="1">IF(LEFT($E6,1)="'",_xlfn.TEXTBEFORE(_xlfn.TEXTAFTER($E6,"'"),"'"),_xlfn.TEXTBEFORE($E6,"!"))</f>
        <v>Start here</v>
      </c>
      <c r="G6" s="30">
        <f ca="1">COUNTIF('Reconciliation report'!$B2:$B1088,$F6&amp;"*")</f>
        <v>12</v>
      </c>
      <c r="H6" s="30">
        <f ca="1">COUNTIFS('Reconciliation report'!$B2:$B1088,$F6 &amp; "*",'Reconciliation report'!$C2:$C1088,"No Answer Required*")</f>
        <v>0</v>
      </c>
      <c r="I6" s="30">
        <f ca="1">G6-H6-P6</f>
        <v>12</v>
      </c>
      <c r="J6" s="30">
        <f ca="1">COUNTIFS('Reconciliation report'!$B2:$B1088,$F6 &amp; "*",'Reconciliation report'!$E2:$E1088,"")-H6</f>
        <v>12</v>
      </c>
      <c r="K6" s="30">
        <f ca="1">I6-J6</f>
        <v>0</v>
      </c>
      <c r="L6" s="30">
        <f ca="1">COUNTIFS('Reconciliation report'!$B2:$B1088,$F6&amp;"*", 'Reconciliation report'!$D2:$D1088,"")</f>
        <v>2</v>
      </c>
      <c r="M6" s="30">
        <f ca="1">G6-L6</f>
        <v>10</v>
      </c>
      <c r="N6" s="30">
        <f ca="1">COUNTIFS('Reconciliation report'!$B2:$B1088,$F6 &amp; "*",'Reconciliation report'!$C2:$C1088,"*(optional)*")</f>
        <v>0</v>
      </c>
      <c r="O6" s="30">
        <f ca="1">COUNTIFS('Reconciliation report'!$B2:$B1088,$F6 &amp; "*",'Reconciliation report'!$C2:$C1088,"*(optional)*",'Reconciliation report'!$E2:$E1088,"")</f>
        <v>0</v>
      </c>
      <c r="P6" s="30">
        <f ca="1">N6-O6</f>
        <v>0</v>
      </c>
    </row>
    <row r="7" spans="1:16" s="30" customFormat="1" ht="20.149999999999999" customHeight="1" thickBot="1">
      <c r="A7" s="69" t="s">
        <v>23</v>
      </c>
      <c r="B7" s="69" t="s">
        <v>23</v>
      </c>
      <c r="C7" s="69"/>
    </row>
    <row r="8" spans="1:16" s="5" customFormat="1" ht="50.15" customHeight="1" thickBot="1">
      <c r="A8" s="62" t="s">
        <v>24</v>
      </c>
      <c r="B8" s="62"/>
      <c r="C8" s="62"/>
    </row>
    <row r="9" spans="1:16" s="5" customFormat="1" ht="36" customHeight="1" thickTop="1">
      <c r="A9" s="10" t="s">
        <v>25</v>
      </c>
      <c r="B9" s="10" t="s">
        <v>26</v>
      </c>
      <c r="C9" s="678" t="str">
        <f>C5</f>
        <v>Status of sheet</v>
      </c>
    </row>
    <row r="10" spans="1:16" s="5" customFormat="1" ht="50.15" customHeight="1">
      <c r="A10" s="1" t="s">
        <v>27</v>
      </c>
      <c r="B10" t="s">
        <v>28</v>
      </c>
      <c r="C10" s="675" t="s">
        <v>29</v>
      </c>
      <c r="D10" s="681" t="s">
        <v>8</v>
      </c>
      <c r="E10" s="681" t="s">
        <v>9</v>
      </c>
      <c r="F10" s="682" t="s">
        <v>10</v>
      </c>
      <c r="G10" s="682" t="s">
        <v>11</v>
      </c>
      <c r="H10" s="682" t="s">
        <v>12</v>
      </c>
      <c r="I10" s="682" t="s">
        <v>13</v>
      </c>
      <c r="J10" s="682" t="s">
        <v>14</v>
      </c>
      <c r="K10" s="682" t="s">
        <v>15</v>
      </c>
      <c r="L10" s="682" t="s">
        <v>16</v>
      </c>
      <c r="M10" s="682" t="s">
        <v>17</v>
      </c>
      <c r="N10" s="682" t="s">
        <v>18</v>
      </c>
      <c r="O10" s="682" t="s">
        <v>19</v>
      </c>
      <c r="P10" s="682" t="s">
        <v>20</v>
      </c>
    </row>
    <row r="11" spans="1:16" s="30" customFormat="1" ht="50.15" customHeight="1">
      <c r="A11" s="1" t="s">
        <v>30</v>
      </c>
      <c r="B11" s="5" t="s">
        <v>31</v>
      </c>
      <c r="C11" s="5" t="str" cm="1">
        <f t="array" aca="1" ref="C11" ca="1">_xlfn.IFS(
$H11=$G11,RefData!$B$443,
$K11=0,RefData!$B$437,
$M11&gt;0,RefData!$B$438,
$K11&lt;$I11,RefData!$B$438,
$K11&gt;=$I11,RefData!$B$440
)</f>
        <v>Not yet started</v>
      </c>
      <c r="D11" s="30">
        <f>'Funding and investment strategy'!C45</f>
        <v>0</v>
      </c>
      <c r="E11" s="30" t="str">
        <f t="shared" ref="E11:E19" ca="1" si="0">SUBSTITUTE(_xlfn.FORMULATEXT($D11), "=", "")</f>
        <v>'Funding and investment strategy'!C45</v>
      </c>
      <c r="F11" s="30" t="str">
        <f t="shared" ref="F11:F19" ca="1" si="1">IF(LEFT($E11,1)="'",_xlfn.TEXTBEFORE(_xlfn.TEXTAFTER($E11,"'"),"'"),_xlfn.TEXTBEFORE($E11,"!"))</f>
        <v>Funding and investment strategy</v>
      </c>
      <c r="G11" s="30">
        <f ca="1">COUNTIF('Reconciliation report'!$B7:$B1093,$F11&amp;"*")</f>
        <v>23</v>
      </c>
      <c r="H11" s="30">
        <f ca="1">COUNTIFS('Reconciliation report'!$B7:$B1093,$F11 &amp; "*",'Reconciliation report'!$C7:$C1093,"No Answer Required*")</f>
        <v>4</v>
      </c>
      <c r="I11" s="30">
        <f t="shared" ref="I11:I18" ca="1" si="2">G11-H11-P11</f>
        <v>19</v>
      </c>
      <c r="J11" s="30">
        <f ca="1">COUNTIFS('Reconciliation report'!$B7:$B1093,$F11 &amp; "*",'Reconciliation report'!$E7:$E1093,"")-H11</f>
        <v>19</v>
      </c>
      <c r="K11" s="30">
        <f t="shared" ref="K11:K18" ca="1" si="3">I11-J11</f>
        <v>0</v>
      </c>
      <c r="L11" s="30">
        <f ca="1">COUNTIFS('Reconciliation report'!$B7:$B1093,$F11&amp;"*", 'Reconciliation report'!$D7:$D1093,"")</f>
        <v>13</v>
      </c>
      <c r="M11" s="30">
        <f t="shared" ref="M11:M18" ca="1" si="4">G11-L11</f>
        <v>10</v>
      </c>
      <c r="N11" s="30">
        <f ca="1">COUNTIFS('Reconciliation report'!$B7:$B1093,$F11 &amp; "*",'Reconciliation report'!$C7:$C1093,"*(optional)*")</f>
        <v>3</v>
      </c>
      <c r="O11" s="30">
        <f ca="1">COUNTIFS('Reconciliation report'!$B7:$B1093,$F11 &amp; "*",'Reconciliation report'!$C7:$C1093,"*(optional)*",'Reconciliation report'!$E7:$E1093,"")</f>
        <v>3</v>
      </c>
      <c r="P11" s="30">
        <f t="shared" ref="P11:P18" ca="1" si="5">N11-O11</f>
        <v>0</v>
      </c>
    </row>
    <row r="12" spans="1:16" s="30" customFormat="1" ht="50.15" customHeight="1">
      <c r="A12" s="1" t="s">
        <v>32</v>
      </c>
      <c r="B12" s="63" t="s">
        <v>33</v>
      </c>
      <c r="C12" s="63" t="str" cm="1">
        <f t="array" aca="1" ref="C12" ca="1">_xlfn.IFS(
$H12=$G12,RefData!$B$443,
$K12=0,RefData!$B$437,
$M12&gt;0,RefData!$B$438,
$K12&lt;$I12,RefData!$B$438,
$K12&gt;=$I12,RefData!$B$440
)</f>
        <v>Not yet started</v>
      </c>
      <c r="D12" s="30">
        <f>'Summary of actuarial valuation'!C66</f>
        <v>0</v>
      </c>
      <c r="E12" s="30" t="str">
        <f t="shared" ca="1" si="0"/>
        <v>'Summary of actuarial valuation'!C66</v>
      </c>
      <c r="F12" s="30" t="str">
        <f t="shared" ca="1" si="1"/>
        <v>Summary of actuarial valuation</v>
      </c>
      <c r="G12" s="30">
        <f ca="1">COUNTIF('Reconciliation report'!$B8:$B1094,$F12&amp;"*")</f>
        <v>38</v>
      </c>
      <c r="H12" s="30">
        <f ca="1">COUNTIFS('Reconciliation report'!$B8:$B1094,$F12 &amp; "*",'Reconciliation report'!$C8:$C1094,"No Answer Required*")</f>
        <v>0</v>
      </c>
      <c r="I12" s="30">
        <f t="shared" ca="1" si="2"/>
        <v>38</v>
      </c>
      <c r="J12" s="30">
        <f ca="1">COUNTIFS('Reconciliation report'!$B8:$B1094,$F12 &amp; "*",'Reconciliation report'!$E8:$E1094,"")-H12</f>
        <v>38</v>
      </c>
      <c r="K12" s="30">
        <f t="shared" ca="1" si="3"/>
        <v>0</v>
      </c>
      <c r="L12" s="30">
        <f ca="1">COUNTIFS('Reconciliation report'!$B8:$B1094,$F12&amp;"*", 'Reconciliation report'!$D8:$D1094,"")</f>
        <v>9</v>
      </c>
      <c r="M12" s="30">
        <f t="shared" ca="1" si="4"/>
        <v>29</v>
      </c>
      <c r="N12" s="30">
        <f ca="1">COUNTIFS('Reconciliation report'!$B8:$B1094,$F12 &amp; "*",'Reconciliation report'!$C8:$C1094,"*(optional)*")</f>
        <v>1</v>
      </c>
      <c r="O12" s="30">
        <f ca="1">COUNTIFS('Reconciliation report'!$B8:$B1094,$F12 &amp; "*",'Reconciliation report'!$C8:$C1094,"*(optional)*",'Reconciliation report'!$E8:$E1094,"")</f>
        <v>1</v>
      </c>
      <c r="P12" s="30">
        <f t="shared" ca="1" si="5"/>
        <v>0</v>
      </c>
    </row>
    <row r="13" spans="1:16" s="30" customFormat="1" ht="50.15" customHeight="1">
      <c r="A13" s="1" t="s">
        <v>34</v>
      </c>
      <c r="B13" s="60" t="s">
        <v>35</v>
      </c>
      <c r="C13" s="60" t="str" cm="1">
        <f t="array" aca="1" ref="C13" ca="1">_xlfn.IFS(
$H13=$G13,RefData!$B$443,
$K13=0,RefData!$B$437,
$M13&gt;0,RefData!$B$438,
$K13&lt;$I13,RefData!$B$438,
$K13&gt;=$I13,RefData!$B$440
)</f>
        <v>Not yet started</v>
      </c>
      <c r="D13" s="30">
        <f>'Summary of recovery plan'!C17</f>
        <v>0</v>
      </c>
      <c r="E13" s="30" t="str">
        <f t="shared" ca="1" si="0"/>
        <v>'Summary of recovery plan'!C17</v>
      </c>
      <c r="F13" s="30" t="str">
        <f t="shared" ca="1" si="1"/>
        <v>Summary of recovery plan</v>
      </c>
      <c r="G13" s="30">
        <f ca="1">COUNTIF('Reconciliation report'!$B9:$B1095,$F13&amp;"*")</f>
        <v>8</v>
      </c>
      <c r="H13" s="30">
        <f ca="1">COUNTIFS('Reconciliation report'!$B9:$B1095,$F13 &amp; "*",'Reconciliation report'!$C9:$C1095,"No Answer Required*")</f>
        <v>0</v>
      </c>
      <c r="I13" s="30">
        <f t="shared" ca="1" si="2"/>
        <v>8</v>
      </c>
      <c r="J13" s="30">
        <f ca="1">COUNTIFS('Reconciliation report'!$B9:$B1095,$F13 &amp; "*",'Reconciliation report'!$E9:$E1095,"")-H13</f>
        <v>8</v>
      </c>
      <c r="K13" s="30">
        <f t="shared" ca="1" si="3"/>
        <v>0</v>
      </c>
      <c r="L13" s="30">
        <f ca="1">COUNTIFS('Reconciliation report'!$B9:$B1095,$F13&amp;"*", 'Reconciliation report'!$D9:$D1095,"")</f>
        <v>8</v>
      </c>
      <c r="M13" s="30">
        <f t="shared" ca="1" si="4"/>
        <v>0</v>
      </c>
      <c r="N13" s="30">
        <f ca="1">COUNTIFS('Reconciliation report'!$B9:$B1095,$F13 &amp; "*",'Reconciliation report'!$C9:$C1095,"*(optional)*")</f>
        <v>0</v>
      </c>
      <c r="O13" s="30">
        <f ca="1">COUNTIFS('Reconciliation report'!$B9:$B1095,$F13 &amp; "*",'Reconciliation report'!$C9:$C1095,"*(optional)*",'Reconciliation report'!$E9:$E1095,"")</f>
        <v>0</v>
      </c>
      <c r="P13" s="30">
        <f t="shared" ca="1" si="5"/>
        <v>0</v>
      </c>
    </row>
    <row r="14" spans="1:16" s="30" customFormat="1" ht="50.15" customHeight="1">
      <c r="A14" s="1" t="s">
        <v>36</v>
      </c>
      <c r="B14" s="60" t="s">
        <v>37</v>
      </c>
      <c r="C14" s="60" t="str" cm="1">
        <f t="array" aca="1" ref="C14" ca="1">_xlfn.IFS(
$H14=$G14,RefData!$B$443,
$K14=0,RefData!$B$437,
$M14&gt;0,RefData!$B$438,
$K14&lt;$I14,RefData!$B$438,
$K14&gt;=$I14,RefData!$B$440
)</f>
        <v>Not yet started</v>
      </c>
      <c r="D14" s="30">
        <f>'Deficit repair contributions'!C31</f>
        <v>0</v>
      </c>
      <c r="E14" s="30" t="str">
        <f t="shared" ca="1" si="0"/>
        <v>'Deficit repair contributions'!C31</v>
      </c>
      <c r="F14" s="30" t="str">
        <f t="shared" ca="1" si="1"/>
        <v>Deficit repair contributions</v>
      </c>
      <c r="G14" s="30">
        <f ca="1">COUNTIF('Reconciliation report'!$B10:$B1096,$F14&amp;"*")</f>
        <v>21</v>
      </c>
      <c r="H14" s="30">
        <f ca="1">COUNTIFS('Reconciliation report'!$B10:$B1096,$F14 &amp; "*",'Reconciliation report'!$C10:$C1096,"No Answer Required*")</f>
        <v>0</v>
      </c>
      <c r="I14" s="30">
        <f t="shared" ca="1" si="2"/>
        <v>21</v>
      </c>
      <c r="J14" s="30">
        <f ca="1">COUNTIFS('Reconciliation report'!$B10:$B1096,$F14 &amp; "*",'Reconciliation report'!$E10:$E1096,"")-H14</f>
        <v>21</v>
      </c>
      <c r="K14" s="30">
        <f t="shared" ca="1" si="3"/>
        <v>0</v>
      </c>
      <c r="L14" s="30">
        <f ca="1">COUNTIFS('Reconciliation report'!$B10:$B1096,$F14&amp;"*", 'Reconciliation report'!$D10:$D1096,"")</f>
        <v>21</v>
      </c>
      <c r="M14" s="30">
        <f t="shared" ca="1" si="4"/>
        <v>0</v>
      </c>
      <c r="N14" s="30">
        <f ca="1">COUNTIFS('Reconciliation report'!$B10:$B1096,$F14 &amp; "*",'Reconciliation report'!$C10:$C1096,"*(optional)*")</f>
        <v>0</v>
      </c>
      <c r="O14" s="30">
        <f ca="1">COUNTIFS('Reconciliation report'!$B10:$B1096,$F14 &amp; "*",'Reconciliation report'!$C10:$C1096,"*(optional)*",'Reconciliation report'!$E10:$E1096,"")</f>
        <v>0</v>
      </c>
      <c r="P14" s="30">
        <f t="shared" ca="1" si="5"/>
        <v>0</v>
      </c>
    </row>
    <row r="15" spans="1:16" s="30" customFormat="1" ht="50.15" customHeight="1">
      <c r="A15" s="1" t="s">
        <v>38</v>
      </c>
      <c r="B15" s="60" t="s">
        <v>39</v>
      </c>
      <c r="C15" s="60" t="str" cm="1">
        <f t="array" aca="1" ref="C15" ca="1">_xlfn.IFS(
$H15=$G15,RefData!$B$443,
$K15=0,RefData!$B$437,
$M15&gt;0,RefData!$B$438,
$K15&lt;$I15,RefData!$B$438,
$K15&gt;=$I15,RefData!$B$440
)</f>
        <v>Not yet started</v>
      </c>
      <c r="D15" s="30">
        <f>'Discount rates'!C25</f>
        <v>0</v>
      </c>
      <c r="E15" s="30" t="str">
        <f t="shared" ca="1" si="0"/>
        <v>'Discount rates'!C25</v>
      </c>
      <c r="F15" s="30" t="str">
        <f t="shared" ca="1" si="1"/>
        <v>Discount rates</v>
      </c>
      <c r="G15" s="30">
        <f ca="1">COUNTIF('Reconciliation report'!$B11:$B1097,$F15&amp;"*")</f>
        <v>15</v>
      </c>
      <c r="H15" s="30">
        <f ca="1">COUNTIFS('Reconciliation report'!$B11:$B1097,$F15 &amp; "*",'Reconciliation report'!$C11:$C1097,"No Answer Required*")</f>
        <v>2</v>
      </c>
      <c r="I15" s="30">
        <f t="shared" ca="1" si="2"/>
        <v>13</v>
      </c>
      <c r="J15" s="30">
        <f ca="1">COUNTIFS('Reconciliation report'!$B11:$B1097,$F15 &amp; "*",'Reconciliation report'!$E11:$E1097,"")-H15</f>
        <v>13</v>
      </c>
      <c r="K15" s="30">
        <f t="shared" ca="1" si="3"/>
        <v>0</v>
      </c>
      <c r="L15" s="30">
        <f ca="1">COUNTIFS('Reconciliation report'!$B11:$B1097,$F15&amp;"*", 'Reconciliation report'!$D11:$D1097,"")</f>
        <v>13</v>
      </c>
      <c r="M15" s="30">
        <f t="shared" ca="1" si="4"/>
        <v>2</v>
      </c>
      <c r="N15" s="30">
        <f ca="1">COUNTIFS('Reconciliation report'!$B11:$B1097,$F15 &amp; "*",'Reconciliation report'!$C11:$C1097,"*(optional)*")</f>
        <v>0</v>
      </c>
      <c r="O15" s="30">
        <f ca="1">COUNTIFS('Reconciliation report'!$B11:$B1097,$F15 &amp; "*",'Reconciliation report'!$C11:$C1097,"*(optional)*",'Reconciliation report'!$E11:$E1097,"")</f>
        <v>0</v>
      </c>
      <c r="P15" s="30">
        <f t="shared" ca="1" si="5"/>
        <v>0</v>
      </c>
    </row>
    <row r="16" spans="1:16" s="30" customFormat="1" ht="50.15" customHeight="1">
      <c r="A16" s="1" t="s">
        <v>40</v>
      </c>
      <c r="B16" s="60" t="s">
        <v>41</v>
      </c>
      <c r="C16" s="60" t="str" cm="1">
        <f t="array" aca="1" ref="C16" ca="1">_xlfn.IFS(
$H16=$G16,RefData!$B$443,
$K16=0,RefData!$B$437,
$M16&gt;0,RefData!$B$438,
$K16&lt;$I16,RefData!$B$438,
$K16&gt;=$I16,RefData!$B$440
)</f>
        <v>Not yet started</v>
      </c>
      <c r="D16" s="30">
        <f>'Other assumptions'!C31</f>
        <v>0</v>
      </c>
      <c r="E16" s="30" t="str">
        <f t="shared" ca="1" si="0"/>
        <v>'Other assumptions'!C31</v>
      </c>
      <c r="F16" s="30" t="str">
        <f t="shared" ca="1" si="1"/>
        <v>Other assumptions</v>
      </c>
      <c r="G16" s="30">
        <f ca="1">COUNTIF('Reconciliation report'!$B12:$B1098,$F16&amp;"*")</f>
        <v>15</v>
      </c>
      <c r="H16" s="30">
        <f ca="1">COUNTIFS('Reconciliation report'!$B12:$B1098,$F16 &amp; "*",'Reconciliation report'!$C12:$C1098,"No Answer Required*")</f>
        <v>3</v>
      </c>
      <c r="I16" s="30">
        <f t="shared" ca="1" si="2"/>
        <v>12</v>
      </c>
      <c r="J16" s="30">
        <f ca="1">COUNTIFS('Reconciliation report'!$B12:$B1098,$F16 &amp; "*",'Reconciliation report'!$E12:$E1098,"")-H16</f>
        <v>12</v>
      </c>
      <c r="K16" s="30">
        <f t="shared" ca="1" si="3"/>
        <v>0</v>
      </c>
      <c r="L16" s="30">
        <f ca="1">COUNTIFS('Reconciliation report'!$B12:$B1098,$F16&amp;"*", 'Reconciliation report'!$D12:$D1098,"")</f>
        <v>7</v>
      </c>
      <c r="M16" s="30">
        <f t="shared" ca="1" si="4"/>
        <v>8</v>
      </c>
      <c r="N16" s="30">
        <f ca="1">COUNTIFS('Reconciliation report'!$B12:$B1098,$F16 &amp; "*",'Reconciliation report'!$C12:$C1098,"*(optional)*")</f>
        <v>0</v>
      </c>
      <c r="O16" s="30">
        <f ca="1">COUNTIFS('Reconciliation report'!$B12:$B1098,$F16 &amp; "*",'Reconciliation report'!$C12:$C1098,"*(optional)*",'Reconciliation report'!$E12:$E1098,"")</f>
        <v>0</v>
      </c>
      <c r="P16" s="30">
        <f t="shared" ca="1" si="5"/>
        <v>0</v>
      </c>
    </row>
    <row r="17" spans="1:16" s="30" customFormat="1" ht="68.150000000000006" customHeight="1">
      <c r="A17" s="1" t="s">
        <v>42</v>
      </c>
      <c r="B17" s="60" t="s">
        <v>43</v>
      </c>
      <c r="C17" s="60" t="str" cm="1">
        <f t="array" aca="1" ref="C17" ca="1">_xlfn.IFS(
$H17=$G17,RefData!$B$443,
$K17=0,RefData!$B$437,
$M17&gt;0,RefData!$B$438,
$K17&lt;$I17,RefData!$B$438,
$K17&gt;=$I17,RefData!$B$440
)</f>
        <v>Not yet started</v>
      </c>
      <c r="D17" s="30">
        <f>'40-year assumptions'!C50</f>
        <v>0</v>
      </c>
      <c r="E17" s="30" t="str">
        <f t="shared" ca="1" si="0"/>
        <v>'40-year assumptions'!C50</v>
      </c>
      <c r="F17" s="30" t="str">
        <f t="shared" ca="1" si="1"/>
        <v>40-year assumptions</v>
      </c>
      <c r="G17" s="30">
        <f ca="1">COUNTIF('Reconciliation report'!$B13:$B1099,$F17&amp;"*")</f>
        <v>240</v>
      </c>
      <c r="H17" s="30">
        <f ca="1">COUNTIFS('Reconciliation report'!$B13:$B1099,$F17 &amp; "*",'Reconciliation report'!$C13:$C1099,"No Answer Required*")</f>
        <v>0</v>
      </c>
      <c r="I17" s="30">
        <f t="shared" ca="1" si="2"/>
        <v>240</v>
      </c>
      <c r="J17" s="30">
        <f ca="1">COUNTIFS('Reconciliation report'!$B13:$B1099,$F17 &amp; "*",'Reconciliation report'!$E13:$E1099,"")-H17</f>
        <v>240</v>
      </c>
      <c r="K17" s="30">
        <f t="shared" ca="1" si="3"/>
        <v>0</v>
      </c>
      <c r="L17" s="30">
        <f ca="1">COUNTIFS('Reconciliation report'!$B13:$B1099,$F17&amp;"*", 'Reconciliation report'!$D13:$D1099,"")</f>
        <v>240</v>
      </c>
      <c r="M17" s="30">
        <f t="shared" ca="1" si="4"/>
        <v>0</v>
      </c>
      <c r="N17" s="30">
        <f ca="1">COUNTIFS('Reconciliation report'!$B13:$B1099,$F17 &amp; "*",'Reconciliation report'!$C13:$C1099,"*(optional)*")</f>
        <v>0</v>
      </c>
      <c r="O17" s="30">
        <f ca="1">COUNTIFS('Reconciliation report'!$B13:$B1099,$F17 &amp; "*",'Reconciliation report'!$C13:$C1099,"*(optional)*",'Reconciliation report'!$E13:$E1099,"")</f>
        <v>0</v>
      </c>
      <c r="P17" s="30">
        <f t="shared" ca="1" si="5"/>
        <v>0</v>
      </c>
    </row>
    <row r="18" spans="1:16" s="30" customFormat="1" ht="50.15" customHeight="1">
      <c r="A18" s="1" t="s">
        <v>44</v>
      </c>
      <c r="B18" s="60" t="s">
        <v>45</v>
      </c>
      <c r="C18" s="60" t="str" cm="1">
        <f t="array" aca="1" ref="C18" ca="1">_xlfn.IFS(
$H18=$G18,RefData!$B$443,
$K18=0,RefData!$B$437,
$M18&gt;0,RefData!$B$438,
$K18&lt;$I18,RefData!$B$438,
$K18&gt;=$I18,RefData!$B$440
)</f>
        <v>Not yet started</v>
      </c>
      <c r="D18" s="30">
        <f>'Scheme benefit cash flow'!C12</f>
        <v>0</v>
      </c>
      <c r="E18" s="30" t="str">
        <f t="shared" ca="1" si="0"/>
        <v>'Scheme benefit cash flow'!C12</v>
      </c>
      <c r="F18" s="30" t="str">
        <f t="shared" ca="1" si="1"/>
        <v>Scheme benefit cash flow</v>
      </c>
      <c r="G18" s="30">
        <f ca="1">COUNTIF('Reconciliation report'!$B14:$B1100,$F18&amp;"*")</f>
        <v>2</v>
      </c>
      <c r="H18" s="30">
        <f ca="1">COUNTIFS('Reconciliation report'!$B14:$B1100,$F18 &amp; "*",'Reconciliation report'!$C14:$C1100,"No Answer Required*")</f>
        <v>0</v>
      </c>
      <c r="I18" s="30">
        <f t="shared" ca="1" si="2"/>
        <v>2</v>
      </c>
      <c r="J18" s="30">
        <f ca="1">COUNTIFS('Reconciliation report'!$B14:$B1100,$F18 &amp; "*",'Reconciliation report'!$E14:$E1100,"")-H18</f>
        <v>2</v>
      </c>
      <c r="K18" s="30">
        <f t="shared" ca="1" si="3"/>
        <v>0</v>
      </c>
      <c r="L18" s="30">
        <f ca="1">COUNTIFS('Reconciliation report'!$B14:$B1100,$F18&amp;"*", 'Reconciliation report'!$D14:$D1100,"")</f>
        <v>2</v>
      </c>
      <c r="M18" s="30">
        <f t="shared" ca="1" si="4"/>
        <v>0</v>
      </c>
      <c r="N18" s="30">
        <f ca="1">COUNTIFS('Reconciliation report'!$B14:$B1100,$F18 &amp; "*",'Reconciliation report'!$C14:$C1100,"*(optional)*")</f>
        <v>0</v>
      </c>
      <c r="O18" s="30">
        <f ca="1">COUNTIFS('Reconciliation report'!$B14:$B1100,$F18 &amp; "*",'Reconciliation report'!$C14:$C1100,"*(optional)*",'Reconciliation report'!$E14:$E1100,"")</f>
        <v>0</v>
      </c>
      <c r="P18" s="30">
        <f t="shared" ca="1" si="5"/>
        <v>0</v>
      </c>
    </row>
    <row r="19" spans="1:16" s="30" customFormat="1" ht="50.15" customHeight="1" thickBot="1">
      <c r="A19" s="76" t="s">
        <v>46</v>
      </c>
      <c r="B19" s="676" t="s">
        <v>47</v>
      </c>
      <c r="C19" s="676" t="str" cm="1">
        <f t="array" aca="1" ref="C19" ca="1">_xlfn.IFS(
$H19=$G19,RefData!$B$443,
$K19=0,RefData!$B$437,
$M19&gt;0,RefData!$B$438,
$K19&lt;$I19,RefData!$B$438,
$K19&gt;=$I19,RefData!$B$440
)</f>
        <v>Not yet started</v>
      </c>
      <c r="D19" s="30">
        <f>'Annual scheme cash flows'!C50</f>
        <v>0</v>
      </c>
      <c r="E19" s="30" t="str">
        <f t="shared" ca="1" si="0"/>
        <v>'Annual scheme cash flows'!C50</v>
      </c>
      <c r="F19" s="30" t="str">
        <f t="shared" ca="1" si="1"/>
        <v>Annual scheme cash flows</v>
      </c>
      <c r="G19" s="30">
        <f ca="1">COUNTIF('Reconciliation report'!$B15:$B1101,$F19&amp;"*")</f>
        <v>40</v>
      </c>
      <c r="H19" s="30">
        <f ca="1">COUNTIFS('Reconciliation report'!$B15:$B1101,$F19 &amp; "*",'Reconciliation report'!$C15:$C1101,"No Answer Required*")</f>
        <v>0</v>
      </c>
      <c r="I19" s="30">
        <f t="shared" ref="I19" ca="1" si="6">G19-H19-P19</f>
        <v>40</v>
      </c>
      <c r="J19" s="30">
        <f ca="1">COUNTIFS('Reconciliation report'!$B15:$B1101,$F19 &amp; "*",'Reconciliation report'!$E15:$E1101,"")-H19</f>
        <v>40</v>
      </c>
      <c r="K19" s="30">
        <f t="shared" ref="K19" ca="1" si="7">I19-J19</f>
        <v>0</v>
      </c>
      <c r="L19" s="30">
        <f ca="1">COUNTIFS('Reconciliation report'!$B15:$B1101,$F19&amp;"*", 'Reconciliation report'!$D15:$D1101,"")</f>
        <v>40</v>
      </c>
      <c r="M19" s="30">
        <f t="shared" ref="M19" ca="1" si="8">G19-L19</f>
        <v>0</v>
      </c>
      <c r="N19" s="30">
        <f ca="1">COUNTIFS('Reconciliation report'!$B15:$B1101,$F19 &amp; "*",'Reconciliation report'!$C15:$C1101,"*(optional)*")</f>
        <v>0</v>
      </c>
      <c r="O19" s="30">
        <f ca="1">COUNTIFS('Reconciliation report'!$B15:$B1101,$F19 &amp; "*",'Reconciliation report'!$C15:$C1101,"*(optional)*",'Reconciliation report'!$E15:$E1101,"")</f>
        <v>0</v>
      </c>
      <c r="P19" s="30">
        <f t="shared" ref="P19" ca="1" si="9">N19-O19</f>
        <v>0</v>
      </c>
    </row>
    <row r="20" spans="1:16" s="30" customFormat="1" ht="20.149999999999999" customHeight="1" thickBot="1">
      <c r="A20" s="69" t="s">
        <v>23</v>
      </c>
      <c r="B20" s="69" t="s">
        <v>23</v>
      </c>
      <c r="C20" s="69"/>
    </row>
    <row r="21" spans="1:16" s="30" customFormat="1" ht="50.15" customHeight="1" thickBot="1">
      <c r="A21" s="62" t="s">
        <v>48</v>
      </c>
      <c r="B21" s="62"/>
      <c r="C21" s="62"/>
    </row>
    <row r="22" spans="1:16" s="30" customFormat="1" ht="36" customHeight="1" thickTop="1">
      <c r="A22" s="10" t="s">
        <v>49</v>
      </c>
      <c r="B22" s="11" t="s">
        <v>50</v>
      </c>
      <c r="C22" s="11" t="str">
        <f>C9</f>
        <v>Status of sheet</v>
      </c>
    </row>
    <row r="23" spans="1:16" s="30" customFormat="1" ht="49.5" customHeight="1">
      <c r="A23" s="1" t="s">
        <v>51</v>
      </c>
      <c r="B23" s="60" t="s">
        <v>52</v>
      </c>
      <c r="C23" s="60" t="s">
        <v>29</v>
      </c>
      <c r="D23" s="681" t="s">
        <v>8</v>
      </c>
      <c r="E23" s="681" t="s">
        <v>9</v>
      </c>
      <c r="F23" s="682" t="s">
        <v>10</v>
      </c>
      <c r="G23" s="682" t="s">
        <v>11</v>
      </c>
      <c r="H23" s="682" t="s">
        <v>12</v>
      </c>
      <c r="I23" s="682" t="s">
        <v>13</v>
      </c>
      <c r="J23" s="682" t="s">
        <v>14</v>
      </c>
      <c r="K23" s="682" t="s">
        <v>15</v>
      </c>
      <c r="L23" s="682" t="s">
        <v>16</v>
      </c>
      <c r="M23" s="682" t="s">
        <v>17</v>
      </c>
      <c r="N23" s="682" t="s">
        <v>18</v>
      </c>
      <c r="O23" s="682" t="s">
        <v>19</v>
      </c>
      <c r="P23" s="682" t="s">
        <v>20</v>
      </c>
    </row>
    <row r="24" spans="1:16" ht="49.5" customHeight="1">
      <c r="A24" s="1" t="s">
        <v>53</v>
      </c>
      <c r="B24" s="60" t="s">
        <v>54</v>
      </c>
      <c r="C24" s="60" t="str" cm="1">
        <f t="array" aca="1" ref="C24" ca="1">_xlfn.IFS(
$H24=$G24,RefData!$B$443,
$K24=0,RefData!$B$437,
$M24&gt;0,RefData!$B$438,
$K24&lt;$I24,RefData!$B$438,
$K24&gt;=$I24,RefData!$B$440
)</f>
        <v>In progress</v>
      </c>
      <c r="D24" s="30">
        <f>'Investment risk - current level'!C52</f>
        <v>0</v>
      </c>
      <c r="E24" s="30" t="str">
        <f ca="1">SUBSTITUTE(_xlfn.FORMULATEXT($D24), "=", "")</f>
        <v>'Investment risk - current level'!C52</v>
      </c>
      <c r="F24" s="30" t="str">
        <f t="shared" ref="F24:F26" ca="1" si="10">IF(LEFT($E24,1)="'",_xlfn.TEXTBEFORE(_xlfn.TEXTAFTER($E24,"'"),"'"),_xlfn.TEXTBEFORE($E24,"!"))</f>
        <v>Investment risk - current level</v>
      </c>
      <c r="G24" s="30">
        <f ca="1">COUNTIF('Reconciliation report'!$B20:$B1106,$F24&amp;"*")</f>
        <v>35</v>
      </c>
      <c r="H24" s="30">
        <f ca="1">COUNTIFS('Reconciliation report'!$B20:$B1106,$F24 &amp; "*",'Reconciliation report'!$C20:$C1106,"No Answer Required*")</f>
        <v>8</v>
      </c>
      <c r="I24" s="30">
        <f t="shared" ref="I24:I26" ca="1" si="11">G24-H24-P24</f>
        <v>27</v>
      </c>
      <c r="J24" s="30">
        <f ca="1">COUNTIFS('Reconciliation report'!$B20:$B1106,$F24 &amp; "*",'Reconciliation report'!$E20:$E1106,"")-H24</f>
        <v>26</v>
      </c>
      <c r="K24" s="30">
        <f t="shared" ref="K24:K26" ca="1" si="12">I24-J24</f>
        <v>1</v>
      </c>
      <c r="L24" s="30">
        <f ca="1">COUNTIFS('Reconciliation report'!$B20:$B1106,$F24&amp;"*", 'Reconciliation report'!$D20:$D1106,"")</f>
        <v>17</v>
      </c>
      <c r="M24" s="30">
        <f t="shared" ref="M24:M26" ca="1" si="13">G24-L24</f>
        <v>18</v>
      </c>
      <c r="N24" s="30">
        <f ca="1">COUNTIFS('Reconciliation report'!$B20:$B1106,$F24 &amp; "*",'Reconciliation report'!$C20:$C1106,"*(optional)*")</f>
        <v>0</v>
      </c>
      <c r="O24" s="30">
        <f ca="1">COUNTIFS('Reconciliation report'!$B20:$B1106,$F24 &amp; "*",'Reconciliation report'!$C20:$C1106,"*(optional)*",'Reconciliation report'!$E20:$E1106,"")</f>
        <v>0</v>
      </c>
      <c r="P24" s="30">
        <f t="shared" ref="P24:P26" ca="1" si="14">N24-O24</f>
        <v>0</v>
      </c>
    </row>
    <row r="25" spans="1:16" ht="49.5" customHeight="1">
      <c r="A25" s="1" t="s">
        <v>55</v>
      </c>
      <c r="B25" s="61" t="s">
        <v>56</v>
      </c>
      <c r="C25" s="61" t="str" cm="1">
        <f t="array" aca="1" ref="C25" ca="1">_xlfn.IFS(
$H25=$G25,RefData!$B$443,
$K25=0,RefData!$B$437,
$M25&gt;0,RefData!$B$438,
$K25&lt;$I25,RefData!$B$438,
$K25&gt;=$I25,RefData!$B$440
)</f>
        <v>Not yet started</v>
      </c>
      <c r="D25" s="30">
        <f>Liquidity!C13</f>
        <v>0</v>
      </c>
      <c r="E25" s="30" t="str">
        <f ca="1">SUBSTITUTE(_xlfn.FORMULATEXT($D25), "=", "")</f>
        <v>Liquidity!C13</v>
      </c>
      <c r="F25" s="30" t="str">
        <f t="shared" ca="1" si="10"/>
        <v>Liquidity</v>
      </c>
      <c r="G25" s="30">
        <f ca="1">COUNTIF('Reconciliation report'!$B21:$B1107,$F25&amp;"*")</f>
        <v>3</v>
      </c>
      <c r="H25" s="30">
        <f ca="1">COUNTIFS('Reconciliation report'!$B21:$B1107,$F25 &amp; "*",'Reconciliation report'!$C21:$C1107,"No Answer Required*")</f>
        <v>0</v>
      </c>
      <c r="I25" s="30">
        <f t="shared" ca="1" si="11"/>
        <v>3</v>
      </c>
      <c r="J25" s="30">
        <f ca="1">COUNTIFS('Reconciliation report'!$B21:$B1107,$F25 &amp; "*",'Reconciliation report'!$E21:$E1107,"")-H25</f>
        <v>3</v>
      </c>
      <c r="K25" s="30">
        <f t="shared" ca="1" si="12"/>
        <v>0</v>
      </c>
      <c r="L25" s="30">
        <f ca="1">COUNTIFS('Reconciliation report'!$B21:$B1107,$F25&amp;"*", 'Reconciliation report'!$D21:$D1107,"")</f>
        <v>0</v>
      </c>
      <c r="M25" s="30">
        <f t="shared" ca="1" si="13"/>
        <v>3</v>
      </c>
      <c r="N25" s="30">
        <f ca="1">COUNTIFS('Reconciliation report'!$B21:$B1107,$F25 &amp; "*",'Reconciliation report'!$C21:$C1107,"*(optional)*")</f>
        <v>0</v>
      </c>
      <c r="O25" s="30">
        <f ca="1">COUNTIFS('Reconciliation report'!$B21:$B1107,$F25 &amp; "*",'Reconciliation report'!$C21:$C1107,"*(optional)*",'Reconciliation report'!$E21:$E1107,"")</f>
        <v>0</v>
      </c>
      <c r="P25" s="30">
        <f t="shared" ca="1" si="14"/>
        <v>0</v>
      </c>
    </row>
    <row r="26" spans="1:16" ht="67.5" customHeight="1" thickBot="1">
      <c r="A26" s="680" t="s">
        <v>57</v>
      </c>
      <c r="B26" s="679" t="s">
        <v>58</v>
      </c>
      <c r="C26" s="679" t="str" cm="1">
        <f t="array" aca="1" ref="C26" ca="1">_xlfn.IFS(
$H26=$G26,RefData!$B$443,
$K26=0,RefData!$B$437,
$M26&gt;0,RefData!$B$438,
$K26&lt;$I26,RefData!$B$438,
$K26&gt;=$I26,RefData!$B$440
)</f>
        <v>Not yet started</v>
      </c>
      <c r="D26" s="30">
        <f>'Invest journey plan-risk level'!C38</f>
        <v>0</v>
      </c>
      <c r="E26" s="30" t="str">
        <f ca="1">SUBSTITUTE(_xlfn.FORMULATEXT($D26), "=", "")</f>
        <v>'Invest journey plan-risk level'!C38</v>
      </c>
      <c r="F26" s="30" t="str">
        <f t="shared" ca="1" si="10"/>
        <v>Invest journey plan-risk level</v>
      </c>
      <c r="G26" s="30">
        <f ca="1">COUNTIF('Reconciliation report'!$B22:$B1108,$F26&amp;"*")</f>
        <v>22</v>
      </c>
      <c r="H26" s="30">
        <f ca="1">COUNTIFS('Reconciliation report'!$B22:$B1108,$F26 &amp; "*",'Reconciliation report'!$C22:$C1108,"No Answer Required*")</f>
        <v>7</v>
      </c>
      <c r="I26" s="30">
        <f t="shared" ca="1" si="11"/>
        <v>15</v>
      </c>
      <c r="J26" s="30">
        <f ca="1">COUNTIFS('Reconciliation report'!$B22:$B1108,$F26 &amp; "*",'Reconciliation report'!$E22:$E1108,"")-H26</f>
        <v>15</v>
      </c>
      <c r="K26" s="30">
        <f t="shared" ca="1" si="12"/>
        <v>0</v>
      </c>
      <c r="L26" s="30">
        <f ca="1">COUNTIFS('Reconciliation report'!$B22:$B1108,$F26&amp;"*", 'Reconciliation report'!$D22:$D1108,"")</f>
        <v>17</v>
      </c>
      <c r="M26" s="30">
        <f t="shared" ca="1" si="13"/>
        <v>5</v>
      </c>
      <c r="N26" s="30">
        <f ca="1">COUNTIFS('Reconciliation report'!$B22:$B1108,$F26 &amp; "*",'Reconciliation report'!$C22:$C1108,"*(optional)*")</f>
        <v>1</v>
      </c>
      <c r="O26" s="30">
        <f ca="1">COUNTIFS('Reconciliation report'!$B22:$B1108,$F26 &amp; "*",'Reconciliation report'!$C22:$C1108,"*(optional)*",'Reconciliation report'!$E22:$E1108,"")</f>
        <v>1</v>
      </c>
      <c r="P26" s="30">
        <f t="shared" ca="1" si="14"/>
        <v>0</v>
      </c>
    </row>
    <row r="27" spans="1:16" s="30" customFormat="1" ht="20.149999999999999" customHeight="1" thickBot="1">
      <c r="A27" s="69" t="s">
        <v>23</v>
      </c>
      <c r="B27" s="69" t="s">
        <v>23</v>
      </c>
      <c r="C27" s="69"/>
    </row>
    <row r="28" spans="1:16" s="30" customFormat="1" ht="50.15" customHeight="1" thickBot="1">
      <c r="A28" s="62" t="s">
        <v>59</v>
      </c>
      <c r="B28" s="62"/>
      <c r="C28" s="62"/>
    </row>
    <row r="29" spans="1:16" s="30" customFormat="1" ht="36" customHeight="1" thickTop="1">
      <c r="A29" s="10" t="s">
        <v>60</v>
      </c>
      <c r="B29" s="11" t="s">
        <v>61</v>
      </c>
      <c r="C29" s="11" t="str">
        <f>C22</f>
        <v>Status of sheet</v>
      </c>
    </row>
    <row r="30" spans="1:16" s="30" customFormat="1" ht="50.15" customHeight="1">
      <c r="A30" s="1" t="s">
        <v>62</v>
      </c>
      <c r="B30" s="675" t="s">
        <v>63</v>
      </c>
      <c r="C30" s="60" t="s">
        <v>29</v>
      </c>
      <c r="D30" s="681" t="s">
        <v>8</v>
      </c>
      <c r="E30" s="681" t="s">
        <v>9</v>
      </c>
      <c r="F30" s="682" t="s">
        <v>10</v>
      </c>
      <c r="G30" s="682" t="s">
        <v>11</v>
      </c>
      <c r="H30" s="682" t="s">
        <v>12</v>
      </c>
      <c r="I30" s="682" t="s">
        <v>13</v>
      </c>
      <c r="J30" s="682" t="s">
        <v>14</v>
      </c>
      <c r="K30" s="682" t="s">
        <v>15</v>
      </c>
      <c r="L30" s="682" t="s">
        <v>16</v>
      </c>
      <c r="M30" s="682" t="s">
        <v>17</v>
      </c>
      <c r="N30" s="682" t="s">
        <v>18</v>
      </c>
      <c r="O30" s="682" t="s">
        <v>19</v>
      </c>
      <c r="P30" s="682" t="s">
        <v>20</v>
      </c>
    </row>
    <row r="31" spans="1:16" s="30" customFormat="1" ht="50.15" customHeight="1">
      <c r="A31" s="1" t="s">
        <v>64</v>
      </c>
      <c r="B31" s="59" t="s">
        <v>65</v>
      </c>
      <c r="C31" s="59" t="str" cm="1">
        <f t="array" aca="1" ref="C31" ca="1">_xlfn.IFS(
$H31=$G31,RefData!$B$443,
$K31=0,RefData!$B$437,
$M31&gt;0,RefData!$B$438,
$K31&lt;$I31,RefData!$B$438,
$K31&gt;=$I31,RefData!$B$440
)</f>
        <v>Not yet started</v>
      </c>
      <c r="D31" s="30">
        <f>'Covenant summary information'!C115</f>
        <v>0</v>
      </c>
      <c r="E31" s="30" t="str">
        <f t="shared" ref="E31:E33" ca="1" si="15">SUBSTITUTE(_xlfn.FORMULATEXT($D31), "=", "")</f>
        <v>'Covenant summary information'!C115</v>
      </c>
      <c r="F31" s="30" t="str">
        <f t="shared" ref="F31:F37" ca="1" si="16">IF(LEFT($E31,1)="'",_xlfn.TEXTBEFORE(_xlfn.TEXTAFTER($E31,"'"),"'"),_xlfn.TEXTBEFORE($E31,"!"))</f>
        <v>Covenant summary information</v>
      </c>
      <c r="G31" s="30">
        <f ca="1">COUNTIF('Reconciliation report'!$B27:$B1113,$F31&amp;"*")</f>
        <v>72</v>
      </c>
      <c r="H31" s="30">
        <f ca="1">COUNTIFS('Reconciliation report'!$B27:$B1113,$F31 &amp; "*",'Reconciliation report'!$C27:$C1113,"No Answer Required*")</f>
        <v>5</v>
      </c>
      <c r="I31" s="30">
        <f t="shared" ref="I31:I37" ca="1" si="17">G31-H31-P31</f>
        <v>67</v>
      </c>
      <c r="J31" s="30">
        <f ca="1">COUNTIFS('Reconciliation report'!$B27:$B1113,$F31 &amp; "*",'Reconciliation report'!$E27:$E1113,"")-H31</f>
        <v>67</v>
      </c>
      <c r="K31" s="30">
        <f t="shared" ref="K31:K37" ca="1" si="18">I31-J31</f>
        <v>0</v>
      </c>
      <c r="L31" s="30">
        <f ca="1">COUNTIFS('Reconciliation report'!$B27:$B1113,$F31&amp;"*", 'Reconciliation report'!$D27:$D1113,"")</f>
        <v>70</v>
      </c>
      <c r="M31" s="30">
        <f t="shared" ref="M31:M37" ca="1" si="19">G31-L31</f>
        <v>2</v>
      </c>
      <c r="N31" s="30">
        <f ca="1">COUNTIFS('Reconciliation report'!$B27:$B1113,$F31 &amp; "*",'Reconciliation report'!$C27:$C1113,"*(optional)*")</f>
        <v>12</v>
      </c>
      <c r="O31" s="30">
        <f ca="1">COUNTIFS('Reconciliation report'!$B27:$B1113,$F31 &amp; "*",'Reconciliation report'!$C27:$C1113,"*(optional)*",'Reconciliation report'!$E27:$E1113,"")</f>
        <v>12</v>
      </c>
      <c r="P31" s="30">
        <f t="shared" ref="P31:P37" ca="1" si="20">N31-O31</f>
        <v>0</v>
      </c>
    </row>
    <row r="32" spans="1:16" s="30" customFormat="1" ht="50.15" customHeight="1">
      <c r="A32" s="1" t="s">
        <v>66</v>
      </c>
      <c r="B32" s="59" t="s">
        <v>67</v>
      </c>
      <c r="C32" s="59" t="str" cm="1">
        <f t="array" aca="1" ref="C32" ca="1">_xlfn.IFS(
$H32=$G32,RefData!$B$443,
$K32=0,RefData!$B$437,
$M32&gt;0,RefData!$B$438,
$K32&lt;$I32,RefData!$B$438,
$K32&gt;=$I32,RefData!$B$440
)</f>
        <v>Not yet started</v>
      </c>
      <c r="D32" s="30">
        <f>'Employer CF and liquid assets'!C104</f>
        <v>0</v>
      </c>
      <c r="E32" s="30" t="str">
        <f t="shared" ca="1" si="15"/>
        <v>'Employer CF and liquid assets'!C104</v>
      </c>
      <c r="F32" s="30" t="str">
        <f t="shared" ca="1" si="16"/>
        <v>Employer CF and liquid assets</v>
      </c>
      <c r="G32" s="30">
        <f ca="1">COUNTIF('Reconciliation report'!$B28:$B1114,$F32&amp;"*")</f>
        <v>74</v>
      </c>
      <c r="H32" s="30">
        <f ca="1">COUNTIFS('Reconciliation report'!$B28:$B1114,$F32 &amp; "*",'Reconciliation report'!$C28:$C1114,"No Answer Required*")</f>
        <v>20</v>
      </c>
      <c r="I32" s="30">
        <f t="shared" ca="1" si="17"/>
        <v>54</v>
      </c>
      <c r="J32" s="30">
        <f ca="1">COUNTIFS('Reconciliation report'!$B28:$B1114,$F32 &amp; "*",'Reconciliation report'!$E28:$E1114,"")-H32</f>
        <v>54</v>
      </c>
      <c r="K32" s="30">
        <f t="shared" ca="1" si="18"/>
        <v>0</v>
      </c>
      <c r="L32" s="30">
        <f ca="1">COUNTIFS('Reconciliation report'!$B28:$B1114,$F32&amp;"*", 'Reconciliation report'!$D28:$D1114,"")</f>
        <v>72</v>
      </c>
      <c r="M32" s="30">
        <f t="shared" ca="1" si="19"/>
        <v>2</v>
      </c>
      <c r="N32" s="30">
        <f ca="1">COUNTIFS('Reconciliation report'!$B28:$B1114,$F32 &amp; "*",'Reconciliation report'!$C28:$C1114,"*(optional)*")</f>
        <v>12</v>
      </c>
      <c r="O32" s="30">
        <f ca="1">COUNTIFS('Reconciliation report'!$B28:$B1114,$F32 &amp; "*",'Reconciliation report'!$C28:$C1114,"*(optional)*",'Reconciliation report'!$E28:$E1114,"")</f>
        <v>12</v>
      </c>
      <c r="P32" s="30">
        <f t="shared" ca="1" si="20"/>
        <v>0</v>
      </c>
    </row>
    <row r="33" spans="1:16" s="30" customFormat="1" ht="50.15" customHeight="1">
      <c r="A33" s="1" t="s">
        <v>68</v>
      </c>
      <c r="B33" s="59" t="s">
        <v>69</v>
      </c>
      <c r="C33" s="59" t="str" cm="1">
        <f t="array" aca="1" ref="C33" ca="1">_xlfn.IFS(
$H33=$G33,RefData!$B$443,
$K33=0,RefData!$B$437,
$M33&gt;0,RefData!$B$438,
$K33&lt;$I33,RefData!$B$438,
$K33&gt;=$I33,RefData!$B$440
)</f>
        <v>Not yet started</v>
      </c>
      <c r="D33" s="30" t="e">
        <f>Guarantees!#REF!</f>
        <v>#REF!</v>
      </c>
      <c r="E33" s="30" t="str">
        <f t="shared" ca="1" si="15"/>
        <v>Guarantees!#REF!</v>
      </c>
      <c r="F33" s="30" t="str">
        <f t="shared" ca="1" si="16"/>
        <v>Guarantees</v>
      </c>
      <c r="G33" s="30">
        <f ca="1">COUNTIF('Reconciliation report'!$B29:$B1115,$F33&amp;"*")</f>
        <v>140</v>
      </c>
      <c r="H33" s="30">
        <f ca="1">COUNTIFS('Reconciliation report'!$B29:$B1115,$F33 &amp; "*",'Reconciliation report'!$C29:$C1115,"No Answer Required*")</f>
        <v>0</v>
      </c>
      <c r="I33" s="30">
        <f t="shared" ca="1" si="17"/>
        <v>140</v>
      </c>
      <c r="J33" s="30">
        <f ca="1">COUNTIFS('Reconciliation report'!$B29:$B1115,$F33 &amp; "*",'Reconciliation report'!$E29:$E1115,"")-H33</f>
        <v>140</v>
      </c>
      <c r="K33" s="30">
        <f t="shared" ca="1" si="18"/>
        <v>0</v>
      </c>
      <c r="L33" s="30">
        <f ca="1">COUNTIFS('Reconciliation report'!$B29:$B1115,$F33&amp;"*", 'Reconciliation report'!$D29:$D1115,"")</f>
        <v>140</v>
      </c>
      <c r="M33" s="30">
        <f t="shared" ca="1" si="19"/>
        <v>0</v>
      </c>
      <c r="N33" s="30">
        <f ca="1">COUNTIFS('Reconciliation report'!$B29:$B1115,$F33 &amp; "*",'Reconciliation report'!$C29:$C1115,"*(optional)*")</f>
        <v>10</v>
      </c>
      <c r="O33" s="30">
        <f ca="1">COUNTIFS('Reconciliation report'!$B29:$B1115,$F33 &amp; "*",'Reconciliation report'!$C29:$C1115,"*(optional)*",'Reconciliation report'!$E29:$E1115,"")</f>
        <v>10</v>
      </c>
      <c r="P33" s="30">
        <f t="shared" ca="1" si="20"/>
        <v>0</v>
      </c>
    </row>
    <row r="34" spans="1:16" s="30" customFormat="1" ht="50.15" customHeight="1">
      <c r="A34" s="1" t="s">
        <v>70</v>
      </c>
      <c r="B34" s="59" t="s">
        <v>71</v>
      </c>
      <c r="C34" s="59" t="str" cm="1">
        <f t="array" aca="1" ref="C34" ca="1">_xlfn.IFS(
$H34=$G34,RefData!$B$443,
$K34=0,RefData!$B$437,
$M34&gt;0,RefData!$B$438,
$K34&lt;$I34,RefData!$B$438,
$K34&gt;=$I34,RefData!$B$440
)</f>
        <v>Not yet started</v>
      </c>
      <c r="D34" s="30">
        <f>Securities!C122</f>
        <v>0</v>
      </c>
      <c r="E34" s="30" t="str">
        <f t="shared" ref="E34:E37" ca="1" si="21">SUBSTITUTE(_xlfn.FORMULATEXT($D34), "=", "")</f>
        <v>Securities!C122</v>
      </c>
      <c r="F34" s="30" t="str">
        <f t="shared" ca="1" si="16"/>
        <v>Securities</v>
      </c>
      <c r="G34" s="30">
        <f ca="1">COUNTIF('Reconciliation report'!$B30:$B1116,$F34&amp;"*")</f>
        <v>85</v>
      </c>
      <c r="H34" s="30">
        <f ca="1">COUNTIFS('Reconciliation report'!$B30:$B1116,$F34 &amp; "*",'Reconciliation report'!$C30:$C1116,"No Answer Required*")</f>
        <v>0</v>
      </c>
      <c r="I34" s="30">
        <f t="shared" ca="1" si="17"/>
        <v>85</v>
      </c>
      <c r="J34" s="30">
        <f ca="1">COUNTIFS('Reconciliation report'!$B30:$B1116,$F34 &amp; "*",'Reconciliation report'!$E30:$E1116,"")-H34</f>
        <v>85</v>
      </c>
      <c r="K34" s="30">
        <f t="shared" ca="1" si="18"/>
        <v>0</v>
      </c>
      <c r="L34" s="30">
        <f ca="1">COUNTIFS('Reconciliation report'!$B30:$B1116,$F34&amp;"*", 'Reconciliation report'!$D30:$D1116,"")</f>
        <v>85</v>
      </c>
      <c r="M34" s="30">
        <f t="shared" ca="1" si="19"/>
        <v>0</v>
      </c>
      <c r="N34" s="30">
        <f ca="1">COUNTIFS('Reconciliation report'!$B30:$B1116,$F34 &amp; "*",'Reconciliation report'!$C30:$C1116,"*(optional)*")</f>
        <v>0</v>
      </c>
      <c r="O34" s="30">
        <f ca="1">COUNTIFS('Reconciliation report'!$B30:$B1116,$F34 &amp; "*",'Reconciliation report'!$C30:$C1116,"*(optional)*",'Reconciliation report'!$E30:$E1116,"")</f>
        <v>0</v>
      </c>
      <c r="P34" s="30">
        <f t="shared" ca="1" si="20"/>
        <v>0</v>
      </c>
    </row>
    <row r="35" spans="1:16" s="30" customFormat="1" ht="50.15" customHeight="1">
      <c r="A35" s="1" t="s">
        <v>72</v>
      </c>
      <c r="B35" s="59" t="s">
        <v>73</v>
      </c>
      <c r="C35" s="59" t="str" cm="1">
        <f t="array" aca="1" ref="C35" ca="1">_xlfn.IFS(
$H35=$G35,RefData!$B$443,
$K35=0,RefData!$B$437,
$M35&gt;0,RefData!$B$438,
$K35&lt;$I35,RefData!$B$438,
$K35&gt;=$I35,RefData!$B$440
)</f>
        <v>Not yet started</v>
      </c>
      <c r="D35" s="30" t="e">
        <f>'Other contingent assets'!#REF!</f>
        <v>#REF!</v>
      </c>
      <c r="E35" s="30" t="str">
        <f t="shared" ca="1" si="21"/>
        <v>'Other contingent assets'!#REF!</v>
      </c>
      <c r="F35" s="30" t="str">
        <f t="shared" ca="1" si="16"/>
        <v>Other contingent assets</v>
      </c>
      <c r="G35" s="30">
        <f ca="1">COUNTIF('Reconciliation report'!$B31:$B1117,$F35&amp;"*")</f>
        <v>85</v>
      </c>
      <c r="H35" s="30">
        <f ca="1">COUNTIFS('Reconciliation report'!$B31:$B1117,$F35 &amp; "*",'Reconciliation report'!$C31:$C1117,"No Answer Required*")</f>
        <v>0</v>
      </c>
      <c r="I35" s="30">
        <f t="shared" ca="1" si="17"/>
        <v>85</v>
      </c>
      <c r="J35" s="30">
        <f ca="1">COUNTIFS('Reconciliation report'!$B31:$B1117,$F35 &amp; "*",'Reconciliation report'!$E31:$E1117,"")-H35</f>
        <v>85</v>
      </c>
      <c r="K35" s="30">
        <f t="shared" ca="1" si="18"/>
        <v>0</v>
      </c>
      <c r="L35" s="30">
        <f ca="1">COUNTIFS('Reconciliation report'!$B31:$B1117,$F35&amp;"*", 'Reconciliation report'!$D31:$D1117,"")</f>
        <v>85</v>
      </c>
      <c r="M35" s="30">
        <f t="shared" ca="1" si="19"/>
        <v>0</v>
      </c>
      <c r="N35" s="30">
        <f ca="1">COUNTIFS('Reconciliation report'!$B31:$B1117,$F35 &amp; "*",'Reconciliation report'!$C31:$C1117,"*(optional)*")</f>
        <v>0</v>
      </c>
      <c r="O35" s="30">
        <f ca="1">COUNTIFS('Reconciliation report'!$B31:$B1117,$F35 &amp; "*",'Reconciliation report'!$C31:$C1117,"*(optional)*",'Reconciliation report'!$E31:$E1117,"")</f>
        <v>0</v>
      </c>
      <c r="P35" s="30">
        <f t="shared" ca="1" si="20"/>
        <v>0</v>
      </c>
    </row>
    <row r="36" spans="1:16" s="30" customFormat="1" ht="50.15" customHeight="1">
      <c r="A36" s="1" t="s">
        <v>74</v>
      </c>
      <c r="B36" s="59" t="s">
        <v>75</v>
      </c>
      <c r="C36" s="59" t="str" cm="1">
        <f t="array" aca="1" ref="C36" ca="1">_xlfn.IFS(
$H36=$G36,RefData!$B$443,
$K36=0,RefData!$B$437,
$M36&gt;0,RefData!$B$438,
$K36&lt;$I36,RefData!$B$438,
$K36&gt;=$I36,RefData!$B$440
)</f>
        <v>Not yet started</v>
      </c>
      <c r="D36" s="30">
        <f>'Asset-backed contributions'!C77</f>
        <v>0</v>
      </c>
      <c r="E36" s="30" t="str">
        <f t="shared" ca="1" si="21"/>
        <v>'Asset-backed contributions'!C77</v>
      </c>
      <c r="F36" s="30" t="str">
        <f t="shared" ca="1" si="16"/>
        <v>Asset-backed contributions</v>
      </c>
      <c r="G36" s="30">
        <f ca="1">COUNTIF('Reconciliation report'!$B32:$B1118,$F36&amp;"*")</f>
        <v>52</v>
      </c>
      <c r="H36" s="30">
        <f ca="1">COUNTIFS('Reconciliation report'!$B32:$B1118,$F36 &amp; "*",'Reconciliation report'!$C32:$C1118,"No Answer Required*")</f>
        <v>1</v>
      </c>
      <c r="I36" s="30">
        <f t="shared" ca="1" si="17"/>
        <v>51</v>
      </c>
      <c r="J36" s="30">
        <f ca="1">COUNTIFS('Reconciliation report'!$B32:$B1118,$F36 &amp; "*",'Reconciliation report'!$E32:$E1118,"")-H36</f>
        <v>51</v>
      </c>
      <c r="K36" s="30">
        <f t="shared" ca="1" si="18"/>
        <v>0</v>
      </c>
      <c r="L36" s="30">
        <f ca="1">COUNTIFS('Reconciliation report'!$B32:$B1118,$F36&amp;"*", 'Reconciliation report'!$D32:$D1118,"")</f>
        <v>51</v>
      </c>
      <c r="M36" s="30">
        <f t="shared" ca="1" si="19"/>
        <v>1</v>
      </c>
      <c r="N36" s="30">
        <f ca="1">COUNTIFS('Reconciliation report'!$B32:$B1118,$F36 &amp; "*",'Reconciliation report'!$C32:$C1118,"*(optional)*")</f>
        <v>10</v>
      </c>
      <c r="O36" s="30">
        <f ca="1">COUNTIFS('Reconciliation report'!$B32:$B1118,$F36 &amp; "*",'Reconciliation report'!$C32:$C1118,"*(optional)*",'Reconciliation report'!$E32:$E1118,"")</f>
        <v>10</v>
      </c>
      <c r="P36" s="30">
        <f t="shared" ca="1" si="20"/>
        <v>0</v>
      </c>
    </row>
    <row r="37" spans="1:16" s="30" customFormat="1" ht="50.15" customHeight="1" thickBot="1">
      <c r="A37" s="76" t="s">
        <v>76</v>
      </c>
      <c r="B37" s="66" t="s">
        <v>77</v>
      </c>
      <c r="C37" s="66" t="str" cm="1">
        <f t="array" aca="1" ref="C37" ca="1">_xlfn.IFS(
$H37=$G37,RefData!$B$443,
$K37=0,RefData!$B$437,
$M37&gt;0,RefData!$B$438,
$K37&lt;$I37,RefData!$B$438,
$K37&gt;=$I37,RefData!$B$440
)</f>
        <v>Not yet started</v>
      </c>
      <c r="D37" s="30">
        <f>'ABC income stream'!C32</f>
        <v>0</v>
      </c>
      <c r="E37" s="30" t="str">
        <f t="shared" ca="1" si="21"/>
        <v>'ABC income stream'!C32</v>
      </c>
      <c r="F37" s="30" t="str">
        <f t="shared" ca="1" si="16"/>
        <v>ABC income stream</v>
      </c>
      <c r="G37" s="30">
        <f ca="1">COUNTIF('Reconciliation report'!$B33:$B1119,$F37&amp;"*")</f>
        <v>105</v>
      </c>
      <c r="H37" s="30">
        <f ca="1">COUNTIFS('Reconciliation report'!$B33:$B1119,$F37 &amp; "*",'Reconciliation report'!$C33:$C1119,"No Answer Required*")</f>
        <v>0</v>
      </c>
      <c r="I37" s="30">
        <f t="shared" ca="1" si="17"/>
        <v>105</v>
      </c>
      <c r="J37" s="30">
        <f ca="1">COUNTIFS('Reconciliation report'!$B33:$B1119,$F37 &amp; "*",'Reconciliation report'!$E33:$E1119,"")-H37</f>
        <v>105</v>
      </c>
      <c r="K37" s="30">
        <f t="shared" ca="1" si="18"/>
        <v>0</v>
      </c>
      <c r="L37" s="30">
        <f ca="1">COUNTIFS('Reconciliation report'!$B33:$B1119,$F37&amp;"*", 'Reconciliation report'!$D33:$D1119,"")</f>
        <v>105</v>
      </c>
      <c r="M37" s="30">
        <f t="shared" ca="1" si="19"/>
        <v>0</v>
      </c>
      <c r="N37" s="30">
        <f ca="1">COUNTIFS('Reconciliation report'!$B33:$B1119,$F37 &amp; "*",'Reconciliation report'!$C33:$C1119,"*(optional)*")</f>
        <v>0</v>
      </c>
      <c r="O37" s="30">
        <f ca="1">COUNTIFS('Reconciliation report'!$B33:$B1119,$F37 &amp; "*",'Reconciliation report'!$C33:$C1119,"*(optional)*",'Reconciliation report'!$E33:$E1119,"")</f>
        <v>0</v>
      </c>
      <c r="P37" s="30">
        <f t="shared" ca="1" si="20"/>
        <v>0</v>
      </c>
    </row>
    <row r="38" spans="1:16" s="30" customFormat="1" ht="20.149999999999999" customHeight="1" thickBot="1">
      <c r="A38" s="69" t="s">
        <v>23</v>
      </c>
      <c r="B38" s="69" t="s">
        <v>23</v>
      </c>
      <c r="C38" s="69"/>
    </row>
    <row r="39" spans="1:16" s="30" customFormat="1" ht="50.15" customHeight="1" thickBot="1">
      <c r="A39" s="62" t="s">
        <v>78</v>
      </c>
      <c r="B39" s="62"/>
      <c r="C39" s="62"/>
    </row>
    <row r="40" spans="1:16" s="30" customFormat="1" ht="36" customHeight="1" thickTop="1">
      <c r="A40" s="10" t="s">
        <v>60</v>
      </c>
      <c r="B40" s="11" t="s">
        <v>61</v>
      </c>
      <c r="C40" s="11" t="str">
        <f>C29</f>
        <v>Status of sheet</v>
      </c>
    </row>
    <row r="41" spans="1:16" s="30" customFormat="1" ht="49.5" customHeight="1">
      <c r="A41" s="1" t="s">
        <v>79</v>
      </c>
      <c r="B41" s="77" t="s">
        <v>80</v>
      </c>
      <c r="C41" s="77" t="s">
        <v>29</v>
      </c>
    </row>
    <row r="42" spans="1:16" ht="49.5" customHeight="1" thickBot="1">
      <c r="A42" s="76" t="s">
        <v>81</v>
      </c>
      <c r="B42" s="66" t="s">
        <v>82</v>
      </c>
      <c r="C42" s="66" t="s">
        <v>29</v>
      </c>
    </row>
    <row r="43" spans="1:16" ht="50" customHeight="1"/>
    <row r="1048527" ht="27" hidden="1" customHeight="1"/>
  </sheetData>
  <sheetProtection algorithmName="SHA-512" hashValue="Pae0bpFc/OT039VH08AUxuRITQvBPYqK6zivk6KNq/xMMD8JtlRHK46wQn5M5r0Ah2hnQHljmOZ7jG8SHhAtVg==" saltValue="vMa7Vei3N51DHp3Jp1ljdg==" spinCount="100000" sheet="1" objects="1" scenarios="1"/>
  <hyperlinks>
    <hyperlink ref="A10" location="'Actuarial info &gt;&gt;'!A1" display="Actuarial information overview" xr:uid="{33F7721F-C49B-468A-86DE-74E1283E92DC}"/>
    <hyperlink ref="A30" location="'Covenant info &gt;&gt;&gt;'!A1" display="Covenant information overview" xr:uid="{FA893C05-52BC-4C05-8125-5D978E9F3ABD}"/>
    <hyperlink ref="A15" location="'Discount rates'!A1" display="Discount rates" xr:uid="{0054CC19-D4D2-4FF7-BB1A-E5E4F62E26E6}"/>
    <hyperlink ref="A16" location="'Other assumptions'!A1" display="Other assumptions" xr:uid="{C69D4E47-8253-468B-9B4F-ACFA5F9A4CE0}"/>
    <hyperlink ref="A17" location="'40-year assumptions'!A1" display="Scheme assumptions over the next 40 years" xr:uid="{14153C60-D99F-491A-A9DA-5DA8687326DC}"/>
    <hyperlink ref="A12" location="'Summary of Actuarial Valuation'!A1" display="Summary of actuarial valuation" xr:uid="{A9BECD21-CE62-45EB-AA56-1255248BAE46}"/>
    <hyperlink ref="A11" location="'Funding and investment strategy'!A1" display="Funding and investment strategy" xr:uid="{1F4732D5-D6F3-4125-B165-729D0A3C4C6D}"/>
    <hyperlink ref="A14" location="'Deficit repair contributions'!A1" display="Deficit repair contributions" xr:uid="{ECFB57DA-3FDE-4006-BCA9-F22627F65F53}"/>
    <hyperlink ref="A6" location="'Start here'!A1" display="Start here" xr:uid="{3BE67458-8C98-4E8C-98C1-647A94FCFD2F}"/>
    <hyperlink ref="A13" location="'Summary of recovery plan'!A1" display="Summary of recovery plan" xr:uid="{8A709F9A-0F55-431E-90ED-05032955B06B}"/>
    <hyperlink ref="A31" location="'Covenant summary information'!A1" display="Covenant summary information" xr:uid="{986F207A-54D9-405F-B45C-24BB43D6641C}"/>
    <hyperlink ref="A32" location="'Employer CF and liquid assets'!A1" display="Employer cash flow and liquid assets" xr:uid="{A74D9541-BA61-4025-BEF5-0CE82D2423F9}"/>
    <hyperlink ref="A33" location="Guarantees!A1" display="Guarantees" xr:uid="{DB949FF1-E777-4943-940F-686EAEEB972E}"/>
    <hyperlink ref="A34" location="Securities!A1" display="Securities" xr:uid="{6FF0B03C-C36A-445B-A25F-651357A4FA8B}"/>
    <hyperlink ref="A35" location="'Other contingent assets'!A1" display="Other contingent assets" xr:uid="{0D4D3E51-8921-4CF5-8399-AC5A61BF6A5B}"/>
    <hyperlink ref="A36" location="'Asset-backed contributions'!A1" display="Asset-backed contributions (ABCs)" xr:uid="{632BF267-074B-4F2C-8C43-56D6CED77EAC}"/>
    <hyperlink ref="A37" location="'ABC Income Stream'!A1" display="ABC income stream" xr:uid="{FF02AECC-0F44-4A8C-BEA2-C7CF9A484577}"/>
    <hyperlink ref="A24" location="'Investment risk - current level'!A1" display="Current level of investment risk" xr:uid="{26DD3608-E346-4C08-BF45-CF68CDBA7282}"/>
    <hyperlink ref="A25" location="Liquidity!A1" display="Liquidity" xr:uid="{E7A42AFE-74D0-4D5C-BD93-AD5607830B52}"/>
    <hyperlink ref="A26" location="'Invest journey plan-risk level'!A1" display="Risk level in journey plan" xr:uid="{88170F4D-C0E8-42FE-8EDD-42A98147B54B}"/>
    <hyperlink ref="A23" location="'Investment info &gt;&gt;&gt;'!A1" display="Investment information overview" xr:uid="{84BD8606-DB50-4475-9C20-7E9D5EF0E6B3}"/>
    <hyperlink ref="A41" location="'Error report'!A1" display="Error report" xr:uid="{955021CB-E26B-408D-807A-7DEDF7A15B2B}"/>
    <hyperlink ref="A42" location="'Statement of strategy'!A1" display="Statement of strategy" xr:uid="{4481B8D1-BA74-4420-8A88-A6D919848227}"/>
    <hyperlink ref="A18" location="'Scheme benefit cash flow'!A1" display="Scheme benefit cash flow" xr:uid="{E59CE591-50D3-4FBC-A865-1D40F35BCE22}"/>
    <hyperlink ref="A19" location="'Annual scheme cash flows'!A1" display="Annual scheme cash flows" xr:uid="{2B7DE776-3002-415F-A350-18D57DDA2187}"/>
  </hyperlinks>
  <pageMargins left="0.70000000000000007" right="0.70000000000000007" top="0.75" bottom="0.75" header="0.30000000000000004" footer="0.30000000000000004"/>
  <pageSetup paperSize="9" fitToWidth="0"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2" id="{5C5CB7B2-AD75-4FB2-A359-518A2DD293A9}">
            <xm:f>RefData!$B$443=$C$6</xm:f>
            <x14:dxf>
              <fill>
                <patternFill>
                  <bgColor theme="0" tint="-4.9989318521683403E-2"/>
                </patternFill>
              </fill>
            </x14:dxf>
          </x14:cfRule>
          <x14:cfRule type="expression" priority="64" id="{281C7F40-C7D9-4810-BB77-3D5F99ECD63A}">
            <xm:f>RefData!$B$438=$C$6</xm:f>
            <x14:dxf>
              <fill>
                <patternFill>
                  <bgColor rgb="FFEFF5FA"/>
                </patternFill>
              </fill>
            </x14:dxf>
          </x14:cfRule>
          <x14:cfRule type="expression" priority="65" id="{304EBB77-6C16-4157-A7F4-690521A5C028}">
            <xm:f>RefData!$B$437=$C$6</xm:f>
            <x14:dxf>
              <fill>
                <patternFill>
                  <bgColor rgb="FFC6DBED"/>
                </patternFill>
              </fill>
            </x14:dxf>
          </x14:cfRule>
          <xm:sqref>C6</xm:sqref>
        </x14:conditionalFormatting>
        <x14:conditionalFormatting xmlns:xm="http://schemas.microsoft.com/office/excel/2006/main">
          <x14:cfRule type="expression" priority="1" id="{D2216200-E482-4841-8F12-C795422A0FB1}">
            <xm:f>RefData!$B$443=$C$11</xm:f>
            <x14:dxf>
              <fill>
                <patternFill>
                  <bgColor theme="0" tint="-4.9989318521683403E-2"/>
                </patternFill>
              </fill>
            </x14:dxf>
          </x14:cfRule>
          <x14:cfRule type="expression" priority="62" id="{89754E41-F60F-498F-866A-D2E67EF83238}">
            <xm:f>RefData!$B$437=$C$11</xm:f>
            <x14:dxf>
              <fill>
                <patternFill>
                  <bgColor rgb="FFC6DBED"/>
                </patternFill>
              </fill>
            </x14:dxf>
          </x14:cfRule>
          <x14:cfRule type="expression" priority="61" id="{21B9EC8E-D376-49C6-B0CE-E85041FEF636}">
            <xm:f>RefData!$B$438=$C$11</xm:f>
            <x14:dxf>
              <fill>
                <patternFill>
                  <bgColor rgb="FFEFF5FA"/>
                </patternFill>
              </fill>
            </x14:dxf>
          </x14:cfRule>
          <xm:sqref>C11</xm:sqref>
        </x14:conditionalFormatting>
        <x14:conditionalFormatting xmlns:xm="http://schemas.microsoft.com/office/excel/2006/main">
          <x14:cfRule type="expression" priority="59" id="{93CEBC64-A9F6-4415-9931-955241CF4252}">
            <xm:f>RefData!$B$437=$C$12</xm:f>
            <x14:dxf>
              <fill>
                <patternFill>
                  <bgColor rgb="FFC6DBED"/>
                </patternFill>
              </fill>
            </x14:dxf>
          </x14:cfRule>
          <x14:cfRule type="expression" priority="51" id="{69BFF37E-C587-434F-B468-D82B7DE2861E}">
            <xm:f>RefData!$B$438=$C$12</xm:f>
            <x14:dxf>
              <fill>
                <patternFill>
                  <bgColor rgb="FFEFF5FA"/>
                </patternFill>
              </fill>
            </x14:dxf>
          </x14:cfRule>
          <x14:cfRule type="expression" priority="42" id="{692DF617-2627-4552-BD94-591447C12C70}">
            <xm:f>RefData!$B$443=$C$12</xm:f>
            <x14:dxf>
              <fill>
                <patternFill>
                  <bgColor theme="0" tint="-4.9989318521683403E-2"/>
                </patternFill>
              </fill>
            </x14:dxf>
          </x14:cfRule>
          <xm:sqref>C12</xm:sqref>
        </x14:conditionalFormatting>
        <x14:conditionalFormatting xmlns:xm="http://schemas.microsoft.com/office/excel/2006/main">
          <x14:cfRule type="expression" priority="58" id="{5F9B7634-8260-47F9-BF85-60BD8C2DE231}">
            <xm:f>RefData!$B$437=$C$13</xm:f>
            <x14:dxf>
              <fill>
                <patternFill>
                  <bgColor rgb="FFC6DBED"/>
                </patternFill>
              </fill>
            </x14:dxf>
          </x14:cfRule>
          <x14:cfRule type="expression" priority="50" id="{39F2B36F-B81D-4FC1-874C-E1255747BB84}">
            <xm:f>RefData!$B$438=$C$13</xm:f>
            <x14:dxf>
              <fill>
                <patternFill>
                  <bgColor rgb="FFEFF5FA"/>
                </patternFill>
              </fill>
            </x14:dxf>
          </x14:cfRule>
          <x14:cfRule type="expression" priority="41" id="{C8B0373B-0079-46F8-955C-54006940DB14}">
            <xm:f>RefData!$B$443=$C$13</xm:f>
            <x14:dxf>
              <fill>
                <patternFill>
                  <bgColor theme="0" tint="-4.9989318521683403E-2"/>
                </patternFill>
              </fill>
            </x14:dxf>
          </x14:cfRule>
          <xm:sqref>C13</xm:sqref>
        </x14:conditionalFormatting>
        <x14:conditionalFormatting xmlns:xm="http://schemas.microsoft.com/office/excel/2006/main">
          <x14:cfRule type="expression" priority="57" id="{F788B2BC-9376-4622-B1A1-645A8222C58B}">
            <xm:f>RefData!$B$437=$C$14</xm:f>
            <x14:dxf>
              <fill>
                <patternFill>
                  <bgColor rgb="FFC6DBED"/>
                </patternFill>
              </fill>
            </x14:dxf>
          </x14:cfRule>
          <x14:cfRule type="expression" priority="49" id="{0B68B034-BED7-4951-93A9-FE69A056BA23}">
            <xm:f>RefData!$B$438=$C$14</xm:f>
            <x14:dxf>
              <fill>
                <patternFill>
                  <bgColor rgb="FFEFF5FA"/>
                </patternFill>
              </fill>
            </x14:dxf>
          </x14:cfRule>
          <x14:cfRule type="expression" priority="40" id="{C962C27A-CE3C-4CFA-B8F5-9DAB4442AB84}">
            <xm:f>RefData!$B$443=$C$14</xm:f>
            <x14:dxf>
              <fill>
                <patternFill>
                  <bgColor theme="0" tint="-4.9989318521683403E-2"/>
                </patternFill>
              </fill>
            </x14:dxf>
          </x14:cfRule>
          <xm:sqref>C14</xm:sqref>
        </x14:conditionalFormatting>
        <x14:conditionalFormatting xmlns:xm="http://schemas.microsoft.com/office/excel/2006/main">
          <x14:cfRule type="expression" priority="48" id="{D248F2A4-6C68-4001-9132-B926525134F4}">
            <xm:f>RefData!$B$438=$C$15</xm:f>
            <x14:dxf>
              <fill>
                <patternFill>
                  <bgColor rgb="FFEFF5FA"/>
                </patternFill>
              </fill>
            </x14:dxf>
          </x14:cfRule>
          <x14:cfRule type="expression" priority="56" id="{19044CA9-BC20-427F-B6E7-0BF655C50C38}">
            <xm:f>RefData!$B$437=$C$15</xm:f>
            <x14:dxf>
              <fill>
                <patternFill>
                  <bgColor rgb="FFC6DBED"/>
                </patternFill>
              </fill>
            </x14:dxf>
          </x14:cfRule>
          <x14:cfRule type="expression" priority="39" id="{60BD13D1-872D-43F5-90AA-84C55C3137C0}">
            <xm:f>RefData!$B$443=$C$15</xm:f>
            <x14:dxf>
              <fill>
                <patternFill>
                  <bgColor theme="0" tint="-4.9989318521683403E-2"/>
                </patternFill>
              </fill>
            </x14:dxf>
          </x14:cfRule>
          <xm:sqref>C15</xm:sqref>
        </x14:conditionalFormatting>
        <x14:conditionalFormatting xmlns:xm="http://schemas.microsoft.com/office/excel/2006/main">
          <x14:cfRule type="expression" priority="38" id="{6887E8A6-D71B-472D-87C1-3574D204ABCD}">
            <xm:f>RefData!$B$443=$C$16</xm:f>
            <x14:dxf>
              <fill>
                <patternFill>
                  <bgColor theme="0" tint="-4.9989318521683403E-2"/>
                </patternFill>
              </fill>
            </x14:dxf>
          </x14:cfRule>
          <x14:cfRule type="expression" priority="47" id="{5EF30002-47A5-43FD-AD3E-18B0BDB3544B}">
            <xm:f>RefData!$B$438=$C$16</xm:f>
            <x14:dxf>
              <fill>
                <patternFill>
                  <bgColor rgb="FFEFF5FA"/>
                </patternFill>
              </fill>
            </x14:dxf>
          </x14:cfRule>
          <x14:cfRule type="expression" priority="55" id="{16847E37-86A6-4D33-8AD1-3976C08E4944}">
            <xm:f>RefData!$B$437=$C$16</xm:f>
            <x14:dxf>
              <fill>
                <patternFill>
                  <bgColor rgb="FFC6DBED"/>
                </patternFill>
              </fill>
            </x14:dxf>
          </x14:cfRule>
          <xm:sqref>C16</xm:sqref>
        </x14:conditionalFormatting>
        <x14:conditionalFormatting xmlns:xm="http://schemas.microsoft.com/office/excel/2006/main">
          <x14:cfRule type="expression" priority="46" id="{DFDC43FA-F4EC-495C-B7B2-A61623A7087B}">
            <xm:f>RefData!$B$438=$C$17</xm:f>
            <x14:dxf>
              <fill>
                <patternFill>
                  <bgColor rgb="FFEFF5FA"/>
                </patternFill>
              </fill>
            </x14:dxf>
          </x14:cfRule>
          <x14:cfRule type="expression" priority="37" id="{F6B940FA-4D27-408F-B950-B984B47E627B}">
            <xm:f>RefData!$B$443=$C$17</xm:f>
            <x14:dxf>
              <fill>
                <patternFill>
                  <bgColor theme="0" tint="-4.9989318521683403E-2"/>
                </patternFill>
              </fill>
            </x14:dxf>
          </x14:cfRule>
          <x14:cfRule type="expression" priority="54" id="{3BB53512-81FC-40F5-BC69-C81055502B6C}">
            <xm:f>RefData!$B$437=$C$17</xm:f>
            <x14:dxf>
              <fill>
                <patternFill>
                  <bgColor rgb="FFC6DBED"/>
                </patternFill>
              </fill>
            </x14:dxf>
          </x14:cfRule>
          <xm:sqref>C17</xm:sqref>
        </x14:conditionalFormatting>
        <x14:conditionalFormatting xmlns:xm="http://schemas.microsoft.com/office/excel/2006/main">
          <x14:cfRule type="expression" priority="45" id="{9C34BE97-4958-43EC-BE4E-AE2FC936B672}">
            <xm:f>RefData!$B$438=$C$18</xm:f>
            <x14:dxf>
              <fill>
                <patternFill>
                  <bgColor rgb="FFEFF5FA"/>
                </patternFill>
              </fill>
            </x14:dxf>
          </x14:cfRule>
          <x14:cfRule type="expression" priority="36" id="{503A598E-90B3-4B1A-A235-C4829F9260FD}">
            <xm:f>RefData!$B$443=$C$18</xm:f>
            <x14:dxf>
              <fill>
                <patternFill>
                  <bgColor theme="0" tint="-4.9989318521683403E-2"/>
                </patternFill>
              </fill>
            </x14:dxf>
          </x14:cfRule>
          <x14:cfRule type="expression" priority="53" id="{0B082CAB-3E96-4309-9552-4C0472D0ADF2}">
            <xm:f>RefData!$B$437=$C$18</xm:f>
            <x14:dxf>
              <fill>
                <patternFill>
                  <bgColor rgb="FFC6DBED"/>
                </patternFill>
              </fill>
            </x14:dxf>
          </x14:cfRule>
          <xm:sqref>C18</xm:sqref>
        </x14:conditionalFormatting>
        <x14:conditionalFormatting xmlns:xm="http://schemas.microsoft.com/office/excel/2006/main">
          <x14:cfRule type="expression" priority="35" id="{7582DDC1-D07C-4A91-8B58-884877296E59}">
            <xm:f>RefData!$B$443=$C$19</xm:f>
            <x14:dxf>
              <fill>
                <patternFill>
                  <bgColor theme="0" tint="-0.14996795556505021"/>
                </patternFill>
              </fill>
            </x14:dxf>
          </x14:cfRule>
          <x14:cfRule type="expression" priority="52" id="{D7AF0A81-DCC6-4574-9ADF-34AA893C018F}">
            <xm:f>RefData!$B$437=$C$19</xm:f>
            <x14:dxf>
              <fill>
                <patternFill>
                  <bgColor rgb="FFC6DBED"/>
                </patternFill>
              </fill>
            </x14:dxf>
          </x14:cfRule>
          <x14:cfRule type="expression" priority="44" id="{AD6C07CF-30D1-49FA-A7D2-3C45979E65AC}">
            <xm:f>RefData!$B$438=$C$19</xm:f>
            <x14:dxf>
              <fill>
                <patternFill>
                  <bgColor rgb="FFEFF5FA"/>
                </patternFill>
              </fill>
            </x14:dxf>
          </x14:cfRule>
          <xm:sqref>C19</xm:sqref>
        </x14:conditionalFormatting>
        <x14:conditionalFormatting xmlns:xm="http://schemas.microsoft.com/office/excel/2006/main">
          <x14:cfRule type="expression" priority="30" id="{E9751C00-2880-4666-9E92-6586CB0EF7C0}">
            <xm:f>RefData!$B$438=$C$24</xm:f>
            <x14:dxf>
              <fill>
                <patternFill>
                  <bgColor rgb="FFEFF5FA"/>
                </patternFill>
              </fill>
            </x14:dxf>
          </x14:cfRule>
          <x14:cfRule type="expression" priority="26" id="{216FEDC3-B665-45C7-BC23-631A2C6BF667}">
            <xm:f>RefData!$B$443=$C$24</xm:f>
            <x14:dxf>
              <fill>
                <patternFill>
                  <bgColor theme="0" tint="-4.9989318521683403E-2"/>
                </patternFill>
              </fill>
            </x14:dxf>
          </x14:cfRule>
          <x14:cfRule type="expression" priority="33" id="{0FA2C47D-03A1-44D9-9C54-FE4DF57722FA}">
            <xm:f>RefData!$B$437=$C$24</xm:f>
            <x14:dxf>
              <fill>
                <patternFill>
                  <bgColor rgb="FFC6DBED"/>
                </patternFill>
              </fill>
            </x14:dxf>
          </x14:cfRule>
          <xm:sqref>C24</xm:sqref>
        </x14:conditionalFormatting>
        <x14:conditionalFormatting xmlns:xm="http://schemas.microsoft.com/office/excel/2006/main">
          <x14:cfRule type="expression" priority="32" id="{7B23D9FC-479A-4B75-B0DF-8832840D4695}">
            <xm:f>RefData!$B$437=$C$25</xm:f>
            <x14:dxf>
              <fill>
                <patternFill>
                  <bgColor rgb="FFC6DBED"/>
                </patternFill>
              </fill>
            </x14:dxf>
          </x14:cfRule>
          <x14:cfRule type="expression" priority="25" id="{36914057-C0C6-40B4-A2C7-9E838CEA58D7}">
            <xm:f>RefData!$B$443=$C$25</xm:f>
            <x14:dxf>
              <fill>
                <patternFill>
                  <bgColor theme="0" tint="-4.9989318521683403E-2"/>
                </patternFill>
              </fill>
            </x14:dxf>
          </x14:cfRule>
          <x14:cfRule type="expression" priority="29" id="{12AE10D4-2F35-4B46-B4EA-44409185EE06}">
            <xm:f>RefData!$B$438=$C$25</xm:f>
            <x14:dxf>
              <fill>
                <patternFill>
                  <bgColor rgb="FFEFF5FA"/>
                </patternFill>
              </fill>
            </x14:dxf>
          </x14:cfRule>
          <xm:sqref>C25</xm:sqref>
        </x14:conditionalFormatting>
        <x14:conditionalFormatting xmlns:xm="http://schemas.microsoft.com/office/excel/2006/main">
          <x14:cfRule type="expression" priority="24" id="{AB67BC90-B4D3-49E3-B095-660BA2A7A59D}">
            <xm:f>RefData!$B$443=$C$26</xm:f>
            <x14:dxf>
              <fill>
                <patternFill>
                  <bgColor theme="0" tint="-4.9989318521683403E-2"/>
                </patternFill>
              </fill>
            </x14:dxf>
          </x14:cfRule>
          <x14:cfRule type="expression" priority="31" id="{25FC2CBE-5CDD-4D5E-9011-503BD7FCFC05}">
            <xm:f>RefData!$B$437=$C$26</xm:f>
            <x14:dxf>
              <fill>
                <patternFill>
                  <bgColor rgb="FFC6DBED"/>
                </patternFill>
              </fill>
            </x14:dxf>
          </x14:cfRule>
          <x14:cfRule type="expression" priority="28" id="{F8A89771-497D-494E-A794-CCBD73AE504B}">
            <xm:f>RefData!$B$438=$C$26</xm:f>
            <x14:dxf>
              <fill>
                <patternFill>
                  <bgColor rgb="FFEFF5FA"/>
                </patternFill>
              </fill>
            </x14:dxf>
          </x14:cfRule>
          <xm:sqref>C26</xm:sqref>
        </x14:conditionalFormatting>
        <x14:conditionalFormatting xmlns:xm="http://schemas.microsoft.com/office/excel/2006/main">
          <x14:cfRule type="expression" priority="23" id="{0E894F79-4EE6-4650-8B34-B180A41465FC}">
            <xm:f>RefData!$B$437=$C$31</xm:f>
            <x14:dxf>
              <fill>
                <patternFill>
                  <bgColor rgb="FFC6DBED"/>
                </patternFill>
              </fill>
            </x14:dxf>
          </x14:cfRule>
          <x14:cfRule type="expression" priority="22" id="{B98E85A0-B3BC-424D-A7D1-A3199C58B8DF}">
            <xm:f>RefData!$B$438=$C$31</xm:f>
            <x14:dxf>
              <fill>
                <patternFill>
                  <bgColor rgb="FFEFF5FA"/>
                </patternFill>
              </fill>
            </x14:dxf>
          </x14:cfRule>
          <x14:cfRule type="expression" priority="21" id="{9BEF0AE7-1D9E-4672-BA87-41FF2406A354}">
            <xm:f>RefData!$B$439=$C$31</xm:f>
            <x14:dxf>
              <fill>
                <patternFill>
                  <bgColor rgb="FFF3CBCF"/>
                </patternFill>
              </fill>
            </x14:dxf>
          </x14:cfRule>
          <xm:sqref>C31</xm:sqref>
        </x14:conditionalFormatting>
        <x14:conditionalFormatting xmlns:xm="http://schemas.microsoft.com/office/excel/2006/main">
          <x14:cfRule type="expression" priority="20" id="{D830FA70-12EC-4D40-B013-823E61C0D977}">
            <xm:f>RefData!$B$437=$C$32</xm:f>
            <x14:dxf>
              <fill>
                <patternFill>
                  <bgColor rgb="FFC6DBED"/>
                </patternFill>
              </fill>
            </x14:dxf>
          </x14:cfRule>
          <x14:cfRule type="expression" priority="14" id="{B85CDAC7-8C1A-484E-AFBE-6D8C82A1A516}">
            <xm:f>RefData!$B$438=$C$32</xm:f>
            <x14:dxf>
              <fill>
                <patternFill>
                  <bgColor rgb="FFEFF5FA"/>
                </patternFill>
              </fill>
            </x14:dxf>
          </x14:cfRule>
          <x14:cfRule type="expression" priority="8" id="{986CB9DB-7B8C-4D23-9BAA-436E2E78C445}">
            <xm:f>RefData!$B$443=$C$32</xm:f>
            <x14:dxf>
              <fill>
                <patternFill>
                  <bgColor theme="0" tint="-4.9989318521683403E-2"/>
                </patternFill>
              </fill>
            </x14:dxf>
          </x14:cfRule>
          <xm:sqref>C32</xm:sqref>
        </x14:conditionalFormatting>
        <x14:conditionalFormatting xmlns:xm="http://schemas.microsoft.com/office/excel/2006/main">
          <x14:cfRule type="expression" priority="19" id="{F79E2049-EAE1-4A48-9523-4C0BCD12BB2C}">
            <xm:f>RefData!$B$437=$C$33</xm:f>
            <x14:dxf>
              <fill>
                <patternFill>
                  <bgColor rgb="FFC6DBED"/>
                </patternFill>
              </fill>
            </x14:dxf>
          </x14:cfRule>
          <x14:cfRule type="expression" priority="13" id="{E1EEBDC1-B13F-4C5D-9D41-58082AE68DB2}">
            <xm:f>RefData!$B$438=$C$33</xm:f>
            <x14:dxf>
              <fill>
                <patternFill>
                  <bgColor rgb="FFEFF5FA"/>
                </patternFill>
              </fill>
            </x14:dxf>
          </x14:cfRule>
          <x14:cfRule type="expression" priority="7" id="{5AB0CBD0-09C2-4D0B-8D76-D92EAF0733FA}">
            <xm:f>RefData!$B$443=$C$33</xm:f>
            <x14:dxf>
              <fill>
                <patternFill>
                  <bgColor theme="0" tint="-4.9989318521683403E-2"/>
                </patternFill>
              </fill>
            </x14:dxf>
          </x14:cfRule>
          <xm:sqref>C33</xm:sqref>
        </x14:conditionalFormatting>
        <x14:conditionalFormatting xmlns:xm="http://schemas.microsoft.com/office/excel/2006/main">
          <x14:cfRule type="expression" priority="18" id="{39EA2F7A-5B9E-4C0B-990C-AC97BE37FEB3}">
            <xm:f>RefData!$B$437=$C$34</xm:f>
            <x14:dxf>
              <fill>
                <patternFill>
                  <bgColor rgb="FFC6DBED"/>
                </patternFill>
              </fill>
            </x14:dxf>
          </x14:cfRule>
          <x14:cfRule type="expression" priority="12" id="{36962B75-3685-45CF-98EA-837190B64980}">
            <xm:f>RefData!$B$438=$C$34</xm:f>
            <x14:dxf>
              <fill>
                <patternFill>
                  <bgColor rgb="FFEFF5FA"/>
                </patternFill>
              </fill>
            </x14:dxf>
          </x14:cfRule>
          <x14:cfRule type="expression" priority="6" id="{3E610FE7-56F4-4CA0-842D-8B8051A8A7A3}">
            <xm:f>RefData!$B$443=$C$34</xm:f>
            <x14:dxf>
              <fill>
                <patternFill>
                  <bgColor theme="0" tint="-4.9989318521683403E-2"/>
                </patternFill>
              </fill>
            </x14:dxf>
          </x14:cfRule>
          <xm:sqref>C34</xm:sqref>
        </x14:conditionalFormatting>
        <x14:conditionalFormatting xmlns:xm="http://schemas.microsoft.com/office/excel/2006/main">
          <x14:cfRule type="expression" priority="17" id="{43A52616-5133-4AFE-B6CC-86DD0D11B8A6}">
            <xm:f>RefData!$B$437=$C$35</xm:f>
            <x14:dxf>
              <fill>
                <patternFill>
                  <bgColor rgb="FFC6DBED"/>
                </patternFill>
              </fill>
            </x14:dxf>
          </x14:cfRule>
          <x14:cfRule type="expression" priority="11" id="{AC5AFCA6-BBC1-4EA4-99F3-5082D6DF9AAA}">
            <xm:f>RefData!$B$438=$C$35</xm:f>
            <x14:dxf>
              <fill>
                <patternFill>
                  <bgColor rgb="FFEFF5FA"/>
                </patternFill>
              </fill>
            </x14:dxf>
          </x14:cfRule>
          <x14:cfRule type="expression" priority="5" id="{E6DA0ED5-658D-4B08-9A59-7EB7CC997D5B}">
            <xm:f>RefData!$B$443=$C$35</xm:f>
            <x14:dxf>
              <fill>
                <patternFill>
                  <bgColor theme="0" tint="-4.9989318521683403E-2"/>
                </patternFill>
              </fill>
            </x14:dxf>
          </x14:cfRule>
          <xm:sqref>C35</xm:sqref>
        </x14:conditionalFormatting>
        <x14:conditionalFormatting xmlns:xm="http://schemas.microsoft.com/office/excel/2006/main">
          <x14:cfRule type="expression" priority="16" id="{26B43547-89A4-4472-98E1-067B56BB0C5B}">
            <xm:f>RefData!$B$437=$C$36</xm:f>
            <x14:dxf>
              <fill>
                <patternFill>
                  <bgColor rgb="FFC6DBED"/>
                </patternFill>
              </fill>
            </x14:dxf>
          </x14:cfRule>
          <x14:cfRule type="expression" priority="10" id="{3D67E410-4473-4291-B94F-1AEE09578783}">
            <xm:f>RefData!$B$438=$C$36</xm:f>
            <x14:dxf>
              <fill>
                <patternFill>
                  <bgColor rgb="FFEFF5FA"/>
                </patternFill>
              </fill>
            </x14:dxf>
          </x14:cfRule>
          <x14:cfRule type="expression" priority="4" id="{48FB783B-8F65-4A58-AAFE-8DB74FCD9A0F}">
            <xm:f>RefData!$B$443=$C$36</xm:f>
            <x14:dxf>
              <fill>
                <patternFill>
                  <bgColor theme="0" tint="-4.9989318521683403E-2"/>
                </patternFill>
              </fill>
            </x14:dxf>
          </x14:cfRule>
          <xm:sqref>C36</xm:sqref>
        </x14:conditionalFormatting>
        <x14:conditionalFormatting xmlns:xm="http://schemas.microsoft.com/office/excel/2006/main">
          <x14:cfRule type="expression" priority="15" id="{EED50AB3-1A7A-4EA4-B922-343952BEF780}">
            <xm:f>RefData!$B$437=$C$37</xm:f>
            <x14:dxf>
              <fill>
                <patternFill>
                  <bgColor rgb="FFC6DBED"/>
                </patternFill>
              </fill>
            </x14:dxf>
          </x14:cfRule>
          <x14:cfRule type="expression" priority="9" id="{DDA5FE73-D8AA-4719-BD0C-FE66207000EC}">
            <xm:f>RefData!$B$438=$C$37</xm:f>
            <x14:dxf>
              <fill>
                <patternFill>
                  <bgColor rgb="FFEFF5FA"/>
                </patternFill>
              </fill>
            </x14:dxf>
          </x14:cfRule>
          <x14:cfRule type="expression" priority="3" id="{16A174A5-572E-4310-990A-05DD5A47B2CB}">
            <xm:f>RefData!$B$443=$C$37</xm:f>
            <x14:dxf>
              <fill>
                <patternFill>
                  <bgColor theme="0" tint="-4.9989318521683403E-2"/>
                </patternFill>
              </fill>
            </x14:dxf>
          </x14:cfRule>
          <xm:sqref>C37</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6AE74-5AE5-48FF-B822-FDA7D23FE4DB}">
  <sheetPr codeName="Sheet12"/>
  <dimension ref="A1:J52"/>
  <sheetViews>
    <sheetView zoomScaleNormal="100" workbookViewId="0">
      <selection sqref="A1:B1"/>
    </sheetView>
  </sheetViews>
  <sheetFormatPr defaultColWidth="0" defaultRowHeight="15.5" zeroHeight="1"/>
  <cols>
    <col min="1" max="1" width="25.53515625" style="43" customWidth="1"/>
    <col min="2" max="2" width="41.23046875" style="44" customWidth="1"/>
    <col min="3" max="8" width="28.69140625" style="43" customWidth="1"/>
    <col min="9" max="9" width="57.07421875" style="43" customWidth="1"/>
    <col min="10" max="10" width="37.23046875" style="43" customWidth="1"/>
    <col min="11" max="11" width="7.69140625" style="43" hidden="1" customWidth="1"/>
    <col min="12" max="16384" width="7.69140625" style="43" hidden="1"/>
  </cols>
  <sheetData>
    <row r="1" spans="1:10" s="5" customFormat="1" ht="50.15" customHeight="1" thickBot="1">
      <c r="A1" s="747" t="s">
        <v>294</v>
      </c>
      <c r="B1" s="786"/>
      <c r="C1" s="13"/>
      <c r="D1" s="37"/>
      <c r="E1" s="37"/>
      <c r="F1" s="37"/>
      <c r="G1" s="37"/>
      <c r="H1" s="37"/>
      <c r="I1" s="37"/>
      <c r="J1" s="37"/>
    </row>
    <row r="2" spans="1:10" s="5" customFormat="1" ht="50.15" customHeight="1" thickTop="1" thickBot="1">
      <c r="A2" s="742" t="s">
        <v>85</v>
      </c>
      <c r="B2" s="743"/>
      <c r="C2" s="57"/>
      <c r="D2" s="57"/>
      <c r="E2" s="57"/>
      <c r="F2" s="57"/>
      <c r="G2" s="57"/>
      <c r="H2" s="57"/>
      <c r="I2" s="57"/>
      <c r="J2" s="57"/>
    </row>
    <row r="3" spans="1:10" s="5" customFormat="1" ht="384.65" customHeight="1" thickTop="1" thickBot="1">
      <c r="A3" s="765" t="s">
        <v>295</v>
      </c>
      <c r="B3" s="787"/>
      <c r="C3" s="25"/>
      <c r="D3" s="55"/>
      <c r="E3" s="26"/>
      <c r="F3" s="26"/>
      <c r="G3" s="55"/>
      <c r="H3" s="55"/>
      <c r="I3" s="55"/>
      <c r="J3" s="55"/>
    </row>
    <row r="4" spans="1:10" s="20" customFormat="1" ht="20.149999999999999" customHeight="1" thickBot="1">
      <c r="A4" s="257"/>
      <c r="B4" s="257"/>
      <c r="C4" s="257" t="s">
        <v>23</v>
      </c>
      <c r="D4" s="257" t="s">
        <v>23</v>
      </c>
      <c r="E4" s="257" t="s">
        <v>23</v>
      </c>
      <c r="F4" s="257" t="s">
        <v>23</v>
      </c>
      <c r="G4" s="257" t="s">
        <v>23</v>
      </c>
      <c r="H4" s="257" t="s">
        <v>23</v>
      </c>
      <c r="I4" s="69"/>
      <c r="J4" s="69"/>
    </row>
    <row r="5" spans="1:10" s="5" customFormat="1" ht="110.9" customHeight="1">
      <c r="B5" s="236" t="s">
        <v>296</v>
      </c>
      <c r="C5" s="100" t="str">
        <f>Questions!$C143</f>
        <v xml:space="preserve">
Underlying yield curve: forward discount rates over the next 40 years (%)
</v>
      </c>
      <c r="D5" s="100" t="str">
        <f>Questions!$C144</f>
        <v xml:space="preserve">
Technical provisions discount rate addition to the curve over the next 40 years (%)
</v>
      </c>
      <c r="E5" s="100" t="str">
        <f>Questions!$C145</f>
        <v xml:space="preserve">
Low dependency discount rate addition to the curve over the next 40 years (%)
</v>
      </c>
      <c r="F5" s="100" t="str">
        <f>Questions!$C146</f>
        <v xml:space="preserve">
RPI assumptions forward curve over the next 40 years (%)
</v>
      </c>
      <c r="G5" s="100" t="str">
        <f>Questions!$C147</f>
        <v xml:space="preserve">
CPI assumptions forward curve over the next 40 years (%)
</v>
      </c>
      <c r="H5" s="100" t="str">
        <f>Questions!$C148</f>
        <v xml:space="preserve">
Pay increase assumptions forward curve over the next 40 years (%)
</v>
      </c>
      <c r="I5" s="235" t="s">
        <v>92</v>
      </c>
      <c r="J5" s="235" t="s">
        <v>93</v>
      </c>
    </row>
    <row r="6" spans="1:10" s="5" customFormat="1" ht="279">
      <c r="A6" s="236" t="s">
        <v>297</v>
      </c>
      <c r="B6" s="236" t="s">
        <v>104</v>
      </c>
      <c r="C6" s="302" t="str">
        <f>Guidance!$B79</f>
        <v xml:space="preserve">
These are the one-year forward rates.
Where a scheme adopts a single yield in respect of a whole curve, we expect trustees would still provide the 40 years of discount rate data, albeit that this would be the same single yield for each year.
</v>
      </c>
      <c r="D6" s="302" t="str">
        <f>Guidance!$B80</f>
        <v xml:space="preserve">
The addition or premium that is applied to the yield curve at each term over the next 40 years for the technical provisions discount rates.
When combined with the yield curve, these will provide the total forward discount rates used in the calculation of the technical provisions liabilities.
</v>
      </c>
      <c r="E6" s="302" t="str">
        <f>Guidance!$B81</f>
        <v>The addition or premium that is applied to the yield curve at each term over the next 40 years for the low dependency discount rates.
When combined with the yield curve, these will provide the total forward discount rates used in the calculation of the low dependency liabilities.</v>
      </c>
      <c r="F6" s="302" t="str">
        <f>Guidance!$B82</f>
        <v xml:space="preserve">
These are the one-year forward RPI inflation rates.
Given the change in inflation measures in 2030, we ask for both the RPI inflation curve and CPI inflation curve.
Where a scheme only provides benefit indexation in line with RPI inflation, it will only be necessary to provide the RPI inflation curve.
</v>
      </c>
      <c r="G6" s="302" t="str">
        <f>Guidance!$B83</f>
        <v xml:space="preserve">
There are the one-year forward CPI inflation rates.
Given the change in inflation measures in 2030, we ask for both the RPI inflation curve and CPI inflation curve.
Where a scheme only provides benefit indexation in line with CPI inflation, it will only be necessary to provide the CPI inflation curve.
</v>
      </c>
      <c r="H6" s="302" t="str">
        <f>Guidance!$B84</f>
        <v xml:space="preserve">
For those schemes which provide salary-linked benefits, this is the pay award curve.
These assumptions are required for all schemes that are:
- open to new entrants and future accrual
- closed to new entrants but open to future accrual for existing active members
- closed to new entrants and closed to accrual, but where accrued benefits retain a link to salary awards
</v>
      </c>
      <c r="I6" s="302"/>
      <c r="J6" s="302"/>
    </row>
    <row r="7" spans="1:10" s="42" customFormat="1" ht="310.25" customHeight="1">
      <c r="A7" s="258" t="s">
        <v>298</v>
      </c>
      <c r="B7" s="38" t="s">
        <v>299</v>
      </c>
      <c r="C7" s="556"/>
      <c r="D7" s="556"/>
      <c r="E7" s="556"/>
      <c r="F7" s="556"/>
      <c r="G7" s="556"/>
      <c r="H7" s="556"/>
      <c r="I7" s="338" t="str">
        <f ca="1">_xlfn.TEXTJOIN("
",TRUE,
IF('Reconciliation report'!$D134="","",RefData!$B$407&amp;":"&amp;'Reconciliation report'!$D134),
IF('Reconciliation report'!$D174="","",RefData!$B$408&amp;":"&amp;'Reconciliation report'!$D174),
IF('Reconciliation report'!$D214="","",RefData!$B$409&amp;":"&amp;'Reconciliation report'!$D214),
IF('Reconciliation report'!$D254="","",RefData!$B$410&amp;":"&amp;'Reconciliation report'!$D254),
IF('Reconciliation report'!$D294="","",RefData!$B$411&amp;":"&amp;'Reconciliation report'!$D294),
IF('Reconciliation report'!$D334="","",RefData!$B$412&amp;":"&amp;'Reconciliation report'!$D334)
)</f>
        <v/>
      </c>
      <c r="J7" s="340"/>
    </row>
    <row r="8" spans="1:10" s="42" customFormat="1" ht="310.25" customHeight="1">
      <c r="A8" s="258" t="s">
        <v>300</v>
      </c>
      <c r="B8" s="38" t="s">
        <v>301</v>
      </c>
      <c r="C8" s="556"/>
      <c r="D8" s="556"/>
      <c r="E8" s="556"/>
      <c r="F8" s="556"/>
      <c r="G8" s="556"/>
      <c r="H8" s="556"/>
      <c r="I8" s="338" t="str">
        <f ca="1">_xlfn.TEXTJOIN("
",TRUE,
IF('Reconciliation report'!$D135="","",RefData!$B$407&amp;":"&amp;'Reconciliation report'!$D135),
IF('Reconciliation report'!$D175="","",RefData!$B$408&amp;":"&amp;'Reconciliation report'!$D175),
IF('Reconciliation report'!$D215="","",RefData!$B$409&amp;":"&amp;'Reconciliation report'!$D215),
IF('Reconciliation report'!$D255="","",RefData!$B$410&amp;":"&amp;'Reconciliation report'!$D255),
IF('Reconciliation report'!$D295="","",RefData!$B$411&amp;":"&amp;'Reconciliation report'!$D295),
IF('Reconciliation report'!$D335="","",RefData!$B$412&amp;":"&amp;'Reconciliation report'!$D335)
)</f>
        <v/>
      </c>
      <c r="J8" s="301"/>
    </row>
    <row r="9" spans="1:10" s="42" customFormat="1" ht="310.25" customHeight="1">
      <c r="A9" s="258" t="s">
        <v>302</v>
      </c>
      <c r="B9" s="38" t="s">
        <v>303</v>
      </c>
      <c r="C9" s="556"/>
      <c r="D9" s="556"/>
      <c r="E9" s="556"/>
      <c r="F9" s="556"/>
      <c r="G9" s="556"/>
      <c r="H9" s="556"/>
      <c r="I9" s="338" t="str">
        <f ca="1">_xlfn.TEXTJOIN("
",TRUE,
IF('Reconciliation report'!$D136="","",RefData!$B$407&amp;":"&amp;'Reconciliation report'!$D136),
IF('Reconciliation report'!$D176="","",RefData!$B$408&amp;":"&amp;'Reconciliation report'!$D176),
IF('Reconciliation report'!$D216="","",RefData!$B$409&amp;":"&amp;'Reconciliation report'!$D216),
IF('Reconciliation report'!$D256="","",RefData!$B$410&amp;":"&amp;'Reconciliation report'!$D256),
IF('Reconciliation report'!$D296="","",RefData!$B$411&amp;":"&amp;'Reconciliation report'!$D296),
IF('Reconciliation report'!$D336="","",RefData!$B$412&amp;":"&amp;'Reconciliation report'!$D336)
)</f>
        <v/>
      </c>
      <c r="J9" s="301"/>
    </row>
    <row r="10" spans="1:10" s="42" customFormat="1" ht="310.25" customHeight="1">
      <c r="A10" s="258" t="s">
        <v>304</v>
      </c>
      <c r="B10" s="38" t="s">
        <v>305</v>
      </c>
      <c r="C10" s="556"/>
      <c r="D10" s="556"/>
      <c r="E10" s="556"/>
      <c r="F10" s="556"/>
      <c r="G10" s="556"/>
      <c r="H10" s="556"/>
      <c r="I10" s="338" t="str">
        <f ca="1">_xlfn.TEXTJOIN("
",TRUE,
IF('Reconciliation report'!$D137="","",RefData!$B$407&amp;":"&amp;'Reconciliation report'!$D137),
IF('Reconciliation report'!$D177="","",RefData!$B$408&amp;":"&amp;'Reconciliation report'!$D177),
IF('Reconciliation report'!$D217="","",RefData!$B$409&amp;":"&amp;'Reconciliation report'!$D217),
IF('Reconciliation report'!$D257="","",RefData!$B$410&amp;":"&amp;'Reconciliation report'!$D257),
IF('Reconciliation report'!$D297="","",RefData!$B$411&amp;":"&amp;'Reconciliation report'!$D297),
IF('Reconciliation report'!$D337="","",RefData!$B$412&amp;":"&amp;'Reconciliation report'!$D337)
)</f>
        <v/>
      </c>
      <c r="J10" s="301"/>
    </row>
    <row r="11" spans="1:10" s="42" customFormat="1" ht="310.25" customHeight="1">
      <c r="A11" s="258" t="s">
        <v>306</v>
      </c>
      <c r="B11" s="38" t="s">
        <v>307</v>
      </c>
      <c r="C11" s="556"/>
      <c r="D11" s="556"/>
      <c r="E11" s="556"/>
      <c r="F11" s="556"/>
      <c r="G11" s="556"/>
      <c r="H11" s="556"/>
      <c r="I11" s="338" t="str">
        <f ca="1">_xlfn.TEXTJOIN("
",TRUE,
IF('Reconciliation report'!$D138="","",RefData!$B$407&amp;":"&amp;'Reconciliation report'!$D138),
IF('Reconciliation report'!$D178="","",RefData!$B$408&amp;":"&amp;'Reconciliation report'!$D178),
IF('Reconciliation report'!$D218="","",RefData!$B$409&amp;":"&amp;'Reconciliation report'!$D218),
IF('Reconciliation report'!$D258="","",RefData!$B$410&amp;":"&amp;'Reconciliation report'!$D258),
IF('Reconciliation report'!$D298="","",RefData!$B$411&amp;":"&amp;'Reconciliation report'!$D298),
IF('Reconciliation report'!$D338="","",RefData!$B$412&amp;":"&amp;'Reconciliation report'!$D338)
)</f>
        <v/>
      </c>
      <c r="J11" s="301"/>
    </row>
    <row r="12" spans="1:10" s="42" customFormat="1" ht="310.25" customHeight="1">
      <c r="A12" s="258" t="s">
        <v>308</v>
      </c>
      <c r="B12" s="38" t="s">
        <v>309</v>
      </c>
      <c r="C12" s="556"/>
      <c r="D12" s="556"/>
      <c r="E12" s="556"/>
      <c r="F12" s="556"/>
      <c r="G12" s="556"/>
      <c r="H12" s="556"/>
      <c r="I12" s="338" t="str">
        <f ca="1">_xlfn.TEXTJOIN("
",TRUE,
IF('Reconciliation report'!$D139="","",RefData!$B$407&amp;":"&amp;'Reconciliation report'!$D139),
IF('Reconciliation report'!$D179="","",RefData!$B$408&amp;":"&amp;'Reconciliation report'!$D179),
IF('Reconciliation report'!$D219="","",RefData!$B$409&amp;":"&amp;'Reconciliation report'!$D219),
IF('Reconciliation report'!$D259="","",RefData!$B$410&amp;":"&amp;'Reconciliation report'!$D259),
IF('Reconciliation report'!$D299="","",RefData!$B$411&amp;":"&amp;'Reconciliation report'!$D299),
IF('Reconciliation report'!$D339="","",RefData!$B$412&amp;":"&amp;'Reconciliation report'!$D339)
)</f>
        <v/>
      </c>
      <c r="J12" s="301"/>
    </row>
    <row r="13" spans="1:10" s="42" customFormat="1" ht="310.25" customHeight="1">
      <c r="A13" s="258" t="s">
        <v>310</v>
      </c>
      <c r="B13" s="38" t="s">
        <v>311</v>
      </c>
      <c r="C13" s="556"/>
      <c r="D13" s="556"/>
      <c r="E13" s="556"/>
      <c r="F13" s="556"/>
      <c r="G13" s="556"/>
      <c r="H13" s="556"/>
      <c r="I13" s="338" t="str">
        <f ca="1">_xlfn.TEXTJOIN("
",TRUE,
IF('Reconciliation report'!$D140="","",RefData!$B$407&amp;":"&amp;'Reconciliation report'!$D140),
IF('Reconciliation report'!$D180="","",RefData!$B$408&amp;":"&amp;'Reconciliation report'!$D180),
IF('Reconciliation report'!$D220="","",RefData!$B$409&amp;":"&amp;'Reconciliation report'!$D220),
IF('Reconciliation report'!$D260="","",RefData!$B$410&amp;":"&amp;'Reconciliation report'!$D260),
IF('Reconciliation report'!$D300="","",RefData!$B$411&amp;":"&amp;'Reconciliation report'!$D300),
IF('Reconciliation report'!$D340="","",RefData!$B$412&amp;":"&amp;'Reconciliation report'!$D340)
)</f>
        <v/>
      </c>
      <c r="J13" s="301"/>
    </row>
    <row r="14" spans="1:10" s="42" customFormat="1" ht="310.25" customHeight="1">
      <c r="A14" s="258" t="s">
        <v>312</v>
      </c>
      <c r="B14" s="38" t="s">
        <v>313</v>
      </c>
      <c r="C14" s="556"/>
      <c r="D14" s="556"/>
      <c r="E14" s="556"/>
      <c r="F14" s="556"/>
      <c r="G14" s="556"/>
      <c r="H14" s="556"/>
      <c r="I14" s="338" t="str">
        <f ca="1">_xlfn.TEXTJOIN("
",TRUE,
IF('Reconciliation report'!$D141="","",RefData!$B$407&amp;":"&amp;'Reconciliation report'!$D141),
IF('Reconciliation report'!$D181="","",RefData!$B$408&amp;":"&amp;'Reconciliation report'!$D181),
IF('Reconciliation report'!$D221="","",RefData!$B$409&amp;":"&amp;'Reconciliation report'!$D221),
IF('Reconciliation report'!$D261="","",RefData!$B$410&amp;":"&amp;'Reconciliation report'!$D261),
IF('Reconciliation report'!$D301="","",RefData!$B$411&amp;":"&amp;'Reconciliation report'!$D301),
IF('Reconciliation report'!$D341="","",RefData!$B$412&amp;":"&amp;'Reconciliation report'!$D341)
)</f>
        <v/>
      </c>
      <c r="J14" s="301"/>
    </row>
    <row r="15" spans="1:10" s="42" customFormat="1" ht="310.25" customHeight="1">
      <c r="A15" s="258" t="s">
        <v>314</v>
      </c>
      <c r="B15" s="38" t="s">
        <v>315</v>
      </c>
      <c r="C15" s="556"/>
      <c r="D15" s="556"/>
      <c r="E15" s="556"/>
      <c r="F15" s="556"/>
      <c r="G15" s="556"/>
      <c r="H15" s="556"/>
      <c r="I15" s="338" t="str">
        <f ca="1">_xlfn.TEXTJOIN("
",TRUE,
IF('Reconciliation report'!$D142="","",RefData!$B$407&amp;":"&amp;'Reconciliation report'!$D142),
IF('Reconciliation report'!$D182="","",RefData!$B$408&amp;":"&amp;'Reconciliation report'!$D182),
IF('Reconciliation report'!$D222="","",RefData!$B$409&amp;":"&amp;'Reconciliation report'!$D222),
IF('Reconciliation report'!$D262="","",RefData!$B$410&amp;":"&amp;'Reconciliation report'!$D262),
IF('Reconciliation report'!$D302="","",RefData!$B$411&amp;":"&amp;'Reconciliation report'!$D302),
IF('Reconciliation report'!$D342="","",RefData!$B$412&amp;":"&amp;'Reconciliation report'!$D342)
)</f>
        <v/>
      </c>
      <c r="J15" s="301"/>
    </row>
    <row r="16" spans="1:10" s="42" customFormat="1" ht="310.25" customHeight="1">
      <c r="A16" s="258" t="s">
        <v>316</v>
      </c>
      <c r="B16" s="38" t="s">
        <v>317</v>
      </c>
      <c r="C16" s="556"/>
      <c r="D16" s="556"/>
      <c r="E16" s="556"/>
      <c r="F16" s="556"/>
      <c r="G16" s="556"/>
      <c r="H16" s="556"/>
      <c r="I16" s="338" t="str">
        <f ca="1">_xlfn.TEXTJOIN("
",TRUE,
IF('Reconciliation report'!$D143="","",RefData!$B$407&amp;":"&amp;'Reconciliation report'!$D143),
IF('Reconciliation report'!$D183="","",RefData!$B$408&amp;":"&amp;'Reconciliation report'!$D183),
IF('Reconciliation report'!$D223="","",RefData!$B$409&amp;":"&amp;'Reconciliation report'!$D223),
IF('Reconciliation report'!$D263="","",RefData!$B$410&amp;":"&amp;'Reconciliation report'!$D263),
IF('Reconciliation report'!$D303="","",RefData!$B$411&amp;":"&amp;'Reconciliation report'!$D303),
IF('Reconciliation report'!$D343="","",RefData!$B$412&amp;":"&amp;'Reconciliation report'!$D343)
)</f>
        <v/>
      </c>
      <c r="J16" s="301"/>
    </row>
    <row r="17" spans="1:10" s="42" customFormat="1" ht="310.25" customHeight="1">
      <c r="A17" s="258" t="s">
        <v>318</v>
      </c>
      <c r="B17" s="38" t="s">
        <v>319</v>
      </c>
      <c r="C17" s="556"/>
      <c r="D17" s="556"/>
      <c r="E17" s="556"/>
      <c r="F17" s="556"/>
      <c r="G17" s="556"/>
      <c r="H17" s="556"/>
      <c r="I17" s="338" t="str">
        <f ca="1">_xlfn.TEXTJOIN("
",TRUE,
IF('Reconciliation report'!$D144="","",RefData!$B$407&amp;":"&amp;'Reconciliation report'!$D144),
IF('Reconciliation report'!$D184="","",RefData!$B$408&amp;":"&amp;'Reconciliation report'!$D184),
IF('Reconciliation report'!$D224="","",RefData!$B$409&amp;":"&amp;'Reconciliation report'!$D224),
IF('Reconciliation report'!$D264="","",RefData!$B$410&amp;":"&amp;'Reconciliation report'!$D264),
IF('Reconciliation report'!$D304="","",RefData!$B$411&amp;":"&amp;'Reconciliation report'!$D304),
IF('Reconciliation report'!$D344="","",RefData!$B$412&amp;":"&amp;'Reconciliation report'!$D344)
)</f>
        <v/>
      </c>
      <c r="J17" s="301"/>
    </row>
    <row r="18" spans="1:10" s="42" customFormat="1" ht="310.25" customHeight="1">
      <c r="A18" s="258" t="s">
        <v>320</v>
      </c>
      <c r="B18" s="38" t="s">
        <v>321</v>
      </c>
      <c r="C18" s="556"/>
      <c r="D18" s="556"/>
      <c r="E18" s="556"/>
      <c r="F18" s="556"/>
      <c r="G18" s="556"/>
      <c r="H18" s="556"/>
      <c r="I18" s="338" t="str">
        <f ca="1">_xlfn.TEXTJOIN("
",TRUE,
IF('Reconciliation report'!$D145="","",RefData!$B$407&amp;":"&amp;'Reconciliation report'!$D145),
IF('Reconciliation report'!$D185="","",RefData!$B$408&amp;":"&amp;'Reconciliation report'!$D185),
IF('Reconciliation report'!$D225="","",RefData!$B$409&amp;":"&amp;'Reconciliation report'!$D225),
IF('Reconciliation report'!$D265="","",RefData!$B$410&amp;":"&amp;'Reconciliation report'!$D265),
IF('Reconciliation report'!$D305="","",RefData!$B$411&amp;":"&amp;'Reconciliation report'!$D305),
IF('Reconciliation report'!$D345="","",RefData!$B$412&amp;":"&amp;'Reconciliation report'!$D345)
)</f>
        <v/>
      </c>
      <c r="J18" s="301"/>
    </row>
    <row r="19" spans="1:10" s="42" customFormat="1" ht="310.25" customHeight="1">
      <c r="A19" s="258" t="s">
        <v>322</v>
      </c>
      <c r="B19" s="38" t="s">
        <v>323</v>
      </c>
      <c r="C19" s="556"/>
      <c r="D19" s="556"/>
      <c r="E19" s="556"/>
      <c r="F19" s="556"/>
      <c r="G19" s="556"/>
      <c r="H19" s="556"/>
      <c r="I19" s="338" t="str">
        <f ca="1">_xlfn.TEXTJOIN("
",TRUE,
IF('Reconciliation report'!$D146="","",RefData!$B$407&amp;":"&amp;'Reconciliation report'!$D146),
IF('Reconciliation report'!$D186="","",RefData!$B$408&amp;":"&amp;'Reconciliation report'!$D186),
IF('Reconciliation report'!$D226="","",RefData!$B$409&amp;":"&amp;'Reconciliation report'!$D226),
IF('Reconciliation report'!$D266="","",RefData!$B$410&amp;":"&amp;'Reconciliation report'!$D266),
IF('Reconciliation report'!$D306="","",RefData!$B$411&amp;":"&amp;'Reconciliation report'!$D306),
IF('Reconciliation report'!$D346="","",RefData!$B$412&amp;":"&amp;'Reconciliation report'!$D346)
)</f>
        <v/>
      </c>
      <c r="J19" s="301"/>
    </row>
    <row r="20" spans="1:10" s="42" customFormat="1" ht="310.25" customHeight="1">
      <c r="A20" s="258" t="s">
        <v>324</v>
      </c>
      <c r="B20" s="38" t="s">
        <v>325</v>
      </c>
      <c r="C20" s="556"/>
      <c r="D20" s="556"/>
      <c r="E20" s="556"/>
      <c r="F20" s="556"/>
      <c r="G20" s="556"/>
      <c r="H20" s="556"/>
      <c r="I20" s="338" t="str">
        <f ca="1">_xlfn.TEXTJOIN("
",TRUE,
IF('Reconciliation report'!$D147="","",RefData!$B$407&amp;":"&amp;'Reconciliation report'!$D147),
IF('Reconciliation report'!$D187="","",RefData!$B$408&amp;":"&amp;'Reconciliation report'!$D187),
IF('Reconciliation report'!$D227="","",RefData!$B$409&amp;":"&amp;'Reconciliation report'!$D227),
IF('Reconciliation report'!$D267="","",RefData!$B$410&amp;":"&amp;'Reconciliation report'!$D267),
IF('Reconciliation report'!$D307="","",RefData!$B$411&amp;":"&amp;'Reconciliation report'!$D307),
IF('Reconciliation report'!$D347="","",RefData!$B$412&amp;":"&amp;'Reconciliation report'!$D347)
)</f>
        <v/>
      </c>
      <c r="J20" s="301"/>
    </row>
    <row r="21" spans="1:10" s="42" customFormat="1" ht="310.25" customHeight="1">
      <c r="A21" s="258" t="s">
        <v>326</v>
      </c>
      <c r="B21" s="38" t="s">
        <v>327</v>
      </c>
      <c r="C21" s="556"/>
      <c r="D21" s="556"/>
      <c r="E21" s="556"/>
      <c r="F21" s="556"/>
      <c r="G21" s="556"/>
      <c r="H21" s="556"/>
      <c r="I21" s="338" t="str">
        <f ca="1">_xlfn.TEXTJOIN("
",TRUE,
IF('Reconciliation report'!$D148="","",RefData!$B$407&amp;":"&amp;'Reconciliation report'!$D148),
IF('Reconciliation report'!$D188="","",RefData!$B$408&amp;":"&amp;'Reconciliation report'!$D188),
IF('Reconciliation report'!$D228="","",RefData!$B$409&amp;":"&amp;'Reconciliation report'!$D228),
IF('Reconciliation report'!$D268="","",RefData!$B$410&amp;":"&amp;'Reconciliation report'!$D268),
IF('Reconciliation report'!$D308="","",RefData!$B$411&amp;":"&amp;'Reconciliation report'!$D308),
IF('Reconciliation report'!$D348="","",RefData!$B$412&amp;":"&amp;'Reconciliation report'!$D348)
)</f>
        <v/>
      </c>
      <c r="J21" s="301"/>
    </row>
    <row r="22" spans="1:10" s="42" customFormat="1" ht="310.25" customHeight="1">
      <c r="A22" s="258" t="s">
        <v>328</v>
      </c>
      <c r="B22" s="38" t="s">
        <v>329</v>
      </c>
      <c r="C22" s="556"/>
      <c r="D22" s="556"/>
      <c r="E22" s="556"/>
      <c r="F22" s="556"/>
      <c r="G22" s="556"/>
      <c r="H22" s="556"/>
      <c r="I22" s="338" t="str">
        <f ca="1">_xlfn.TEXTJOIN("
",TRUE,
IF('Reconciliation report'!$D149="","",RefData!$B$407&amp;":"&amp;'Reconciliation report'!$D149),
IF('Reconciliation report'!$D189="","",RefData!$B$408&amp;":"&amp;'Reconciliation report'!$D189),
IF('Reconciliation report'!$D229="","",RefData!$B$409&amp;":"&amp;'Reconciliation report'!$D229),
IF('Reconciliation report'!$D269="","",RefData!$B$410&amp;":"&amp;'Reconciliation report'!$D269),
IF('Reconciliation report'!$D309="","",RefData!$B$411&amp;":"&amp;'Reconciliation report'!$D309),
IF('Reconciliation report'!$D349="","",RefData!$B$412&amp;":"&amp;'Reconciliation report'!$D349)
)</f>
        <v/>
      </c>
      <c r="J22" s="301"/>
    </row>
    <row r="23" spans="1:10" s="42" customFormat="1" ht="310.25" customHeight="1">
      <c r="A23" s="258" t="s">
        <v>330</v>
      </c>
      <c r="B23" s="38" t="s">
        <v>331</v>
      </c>
      <c r="C23" s="556"/>
      <c r="D23" s="556"/>
      <c r="E23" s="556"/>
      <c r="F23" s="556"/>
      <c r="G23" s="556"/>
      <c r="H23" s="556"/>
      <c r="I23" s="338" t="str">
        <f ca="1">_xlfn.TEXTJOIN("
",TRUE,
IF('Reconciliation report'!$D150="","",RefData!$B$407&amp;":"&amp;'Reconciliation report'!$D150),
IF('Reconciliation report'!$D190="","",RefData!$B$408&amp;":"&amp;'Reconciliation report'!$D190),
IF('Reconciliation report'!$D230="","",RefData!$B$409&amp;":"&amp;'Reconciliation report'!$D230),
IF('Reconciliation report'!$D270="","",RefData!$B$410&amp;":"&amp;'Reconciliation report'!$D270),
IF('Reconciliation report'!$D310="","",RefData!$B$411&amp;":"&amp;'Reconciliation report'!$D310),
IF('Reconciliation report'!$D350="","",RefData!$B$412&amp;":"&amp;'Reconciliation report'!$D350)
)</f>
        <v/>
      </c>
      <c r="J23" s="301"/>
    </row>
    <row r="24" spans="1:10" s="42" customFormat="1" ht="310.25" customHeight="1">
      <c r="A24" s="258" t="s">
        <v>332</v>
      </c>
      <c r="B24" s="38" t="s">
        <v>333</v>
      </c>
      <c r="C24" s="556"/>
      <c r="D24" s="556"/>
      <c r="E24" s="556"/>
      <c r="F24" s="556"/>
      <c r="G24" s="556"/>
      <c r="H24" s="556"/>
      <c r="I24" s="338" t="str">
        <f ca="1">_xlfn.TEXTJOIN("
",TRUE,
IF('Reconciliation report'!$D151="","",RefData!$B$407&amp;":"&amp;'Reconciliation report'!$D151),
IF('Reconciliation report'!$D191="","",RefData!$B$408&amp;":"&amp;'Reconciliation report'!$D191),
IF('Reconciliation report'!$D231="","",RefData!$B$409&amp;":"&amp;'Reconciliation report'!$D231),
IF('Reconciliation report'!$D271="","",RefData!$B$410&amp;":"&amp;'Reconciliation report'!$D271),
IF('Reconciliation report'!$D311="","",RefData!$B$411&amp;":"&amp;'Reconciliation report'!$D311),
IF('Reconciliation report'!$D351="","",RefData!$B$412&amp;":"&amp;'Reconciliation report'!$D351)
)</f>
        <v/>
      </c>
      <c r="J24" s="301"/>
    </row>
    <row r="25" spans="1:10" s="42" customFormat="1" ht="310.25" customHeight="1">
      <c r="A25" s="258" t="s">
        <v>334</v>
      </c>
      <c r="B25" s="38" t="s">
        <v>335</v>
      </c>
      <c r="C25" s="556"/>
      <c r="D25" s="556"/>
      <c r="E25" s="556"/>
      <c r="F25" s="556"/>
      <c r="G25" s="556"/>
      <c r="H25" s="556"/>
      <c r="I25" s="338" t="str">
        <f ca="1">_xlfn.TEXTJOIN("
",TRUE,
IF('Reconciliation report'!$D152="","",RefData!$B$407&amp;":"&amp;'Reconciliation report'!$D152),
IF('Reconciliation report'!$D192="","",RefData!$B$408&amp;":"&amp;'Reconciliation report'!$D192),
IF('Reconciliation report'!$D232="","",RefData!$B$409&amp;":"&amp;'Reconciliation report'!$D232),
IF('Reconciliation report'!$D272="","",RefData!$B$410&amp;":"&amp;'Reconciliation report'!$D272),
IF('Reconciliation report'!$D312="","",RefData!$B$411&amp;":"&amp;'Reconciliation report'!$D312),
IF('Reconciliation report'!$D352="","",RefData!$B$412&amp;":"&amp;'Reconciliation report'!$D352)
)</f>
        <v/>
      </c>
      <c r="J25" s="301"/>
    </row>
    <row r="26" spans="1:10" s="42" customFormat="1" ht="310.25" customHeight="1">
      <c r="A26" s="258" t="s">
        <v>336</v>
      </c>
      <c r="B26" s="38" t="s">
        <v>337</v>
      </c>
      <c r="C26" s="556"/>
      <c r="D26" s="556"/>
      <c r="E26" s="556"/>
      <c r="F26" s="556"/>
      <c r="G26" s="556"/>
      <c r="H26" s="556"/>
      <c r="I26" s="338" t="str">
        <f ca="1">_xlfn.TEXTJOIN("
",TRUE,
IF('Reconciliation report'!$D153="","",RefData!$B$407&amp;":"&amp;'Reconciliation report'!$D153),
IF('Reconciliation report'!$D193="","",RefData!$B$408&amp;":"&amp;'Reconciliation report'!$D193),
IF('Reconciliation report'!$D233="","",RefData!$B$409&amp;":"&amp;'Reconciliation report'!$D233),
IF('Reconciliation report'!$D273="","",RefData!$B$410&amp;":"&amp;'Reconciliation report'!$D273),
IF('Reconciliation report'!$D313="","",RefData!$B$411&amp;":"&amp;'Reconciliation report'!$D313),
IF('Reconciliation report'!$D353="","",RefData!$B$412&amp;":"&amp;'Reconciliation report'!$D353)
)</f>
        <v/>
      </c>
      <c r="J26" s="301"/>
    </row>
    <row r="27" spans="1:10" s="42" customFormat="1" ht="310.25" customHeight="1">
      <c r="A27" s="258" t="s">
        <v>338</v>
      </c>
      <c r="B27" s="38" t="s">
        <v>339</v>
      </c>
      <c r="C27" s="556"/>
      <c r="D27" s="556"/>
      <c r="E27" s="556"/>
      <c r="F27" s="556"/>
      <c r="G27" s="556"/>
      <c r="H27" s="556"/>
      <c r="I27" s="338" t="str">
        <f ca="1">_xlfn.TEXTJOIN("
",TRUE,
IF('Reconciliation report'!$D154="","",RefData!$B$407&amp;":"&amp;'Reconciliation report'!$D154),
IF('Reconciliation report'!$D194="","",RefData!$B$408&amp;":"&amp;'Reconciliation report'!$D194),
IF('Reconciliation report'!$D234="","",RefData!$B$409&amp;":"&amp;'Reconciliation report'!$D234),
IF('Reconciliation report'!$D274="","",RefData!$B$410&amp;":"&amp;'Reconciliation report'!$D274),
IF('Reconciliation report'!$D314="","",RefData!$B$411&amp;":"&amp;'Reconciliation report'!$D314),
IF('Reconciliation report'!$D354="","",RefData!$B$412&amp;":"&amp;'Reconciliation report'!$D354)
)</f>
        <v/>
      </c>
      <c r="J27" s="301"/>
    </row>
    <row r="28" spans="1:10" s="42" customFormat="1" ht="310.25" customHeight="1">
      <c r="A28" s="258" t="s">
        <v>340</v>
      </c>
      <c r="B28" s="38" t="s">
        <v>341</v>
      </c>
      <c r="C28" s="556"/>
      <c r="D28" s="556"/>
      <c r="E28" s="556"/>
      <c r="F28" s="556"/>
      <c r="G28" s="556"/>
      <c r="H28" s="556"/>
      <c r="I28" s="338" t="str">
        <f ca="1">_xlfn.TEXTJOIN("
",TRUE,
IF('Reconciliation report'!$D155="","",RefData!$B$407&amp;":"&amp;'Reconciliation report'!$D155),
IF('Reconciliation report'!$D195="","",RefData!$B$408&amp;":"&amp;'Reconciliation report'!$D195),
IF('Reconciliation report'!$D235="","",RefData!$B$409&amp;":"&amp;'Reconciliation report'!$D235),
IF('Reconciliation report'!$D275="","",RefData!$B$410&amp;":"&amp;'Reconciliation report'!$D275),
IF('Reconciliation report'!$D315="","",RefData!$B$411&amp;":"&amp;'Reconciliation report'!$D315),
IF('Reconciliation report'!$D355="","",RefData!$B$412&amp;":"&amp;'Reconciliation report'!$D355)
)</f>
        <v/>
      </c>
      <c r="J28" s="301"/>
    </row>
    <row r="29" spans="1:10" s="42" customFormat="1" ht="310.25" customHeight="1">
      <c r="A29" s="258" t="s">
        <v>342</v>
      </c>
      <c r="B29" s="38" t="s">
        <v>343</v>
      </c>
      <c r="C29" s="556"/>
      <c r="D29" s="556"/>
      <c r="E29" s="556"/>
      <c r="F29" s="556"/>
      <c r="G29" s="556"/>
      <c r="H29" s="556"/>
      <c r="I29" s="338" t="str">
        <f ca="1">_xlfn.TEXTJOIN("
",TRUE,
IF('Reconciliation report'!$D156="","",RefData!$B$407&amp;":"&amp;'Reconciliation report'!$D156),
IF('Reconciliation report'!$D196="","",RefData!$B$408&amp;":"&amp;'Reconciliation report'!$D196),
IF('Reconciliation report'!$D236="","",RefData!$B$409&amp;":"&amp;'Reconciliation report'!$D236),
IF('Reconciliation report'!$D276="","",RefData!$B$410&amp;":"&amp;'Reconciliation report'!$D276),
IF('Reconciliation report'!$D316="","",RefData!$B$411&amp;":"&amp;'Reconciliation report'!$D316),
IF('Reconciliation report'!$D356="","",RefData!$B$412&amp;":"&amp;'Reconciliation report'!$D356)
)</f>
        <v/>
      </c>
      <c r="J29" s="301"/>
    </row>
    <row r="30" spans="1:10" s="42" customFormat="1" ht="310.25" customHeight="1">
      <c r="A30" s="258" t="s">
        <v>344</v>
      </c>
      <c r="B30" s="38" t="s">
        <v>345</v>
      </c>
      <c r="C30" s="556"/>
      <c r="D30" s="556"/>
      <c r="E30" s="556"/>
      <c r="F30" s="556"/>
      <c r="G30" s="556"/>
      <c r="H30" s="556"/>
      <c r="I30" s="338" t="str">
        <f ca="1">_xlfn.TEXTJOIN("
",TRUE,
IF('Reconciliation report'!$D157="","",RefData!$B$407&amp;":"&amp;'Reconciliation report'!$D157),
IF('Reconciliation report'!$D197="","",RefData!$B$408&amp;":"&amp;'Reconciliation report'!$D197),
IF('Reconciliation report'!$D237="","",RefData!$B$409&amp;":"&amp;'Reconciliation report'!$D237),
IF('Reconciliation report'!$D277="","",RefData!$B$410&amp;":"&amp;'Reconciliation report'!$D277),
IF('Reconciliation report'!$D317="","",RefData!$B$411&amp;":"&amp;'Reconciliation report'!$D317),
IF('Reconciliation report'!$D357="","",RefData!$B$412&amp;":"&amp;'Reconciliation report'!$D357)
)</f>
        <v/>
      </c>
      <c r="J30" s="301"/>
    </row>
    <row r="31" spans="1:10" s="42" customFormat="1" ht="310.25" customHeight="1">
      <c r="A31" s="258" t="s">
        <v>346</v>
      </c>
      <c r="B31" s="38" t="s">
        <v>347</v>
      </c>
      <c r="C31" s="556"/>
      <c r="D31" s="556"/>
      <c r="E31" s="556"/>
      <c r="F31" s="556"/>
      <c r="G31" s="556"/>
      <c r="H31" s="556"/>
      <c r="I31" s="338" t="str">
        <f ca="1">_xlfn.TEXTJOIN("
",TRUE,
IF('Reconciliation report'!$D158="","",RefData!$B$407&amp;":"&amp;'Reconciliation report'!$D158),
IF('Reconciliation report'!$D198="","",RefData!$B$408&amp;":"&amp;'Reconciliation report'!$D198),
IF('Reconciliation report'!$D238="","",RefData!$B$409&amp;":"&amp;'Reconciliation report'!$D238),
IF('Reconciliation report'!$D278="","",RefData!$B$410&amp;":"&amp;'Reconciliation report'!$D278),
IF('Reconciliation report'!$D318="","",RefData!$B$411&amp;":"&amp;'Reconciliation report'!$D318),
IF('Reconciliation report'!$D358="","",RefData!$B$412&amp;":"&amp;'Reconciliation report'!$D358)
)</f>
        <v/>
      </c>
      <c r="J31" s="301"/>
    </row>
    <row r="32" spans="1:10" s="42" customFormat="1" ht="310.25" customHeight="1">
      <c r="A32" s="258" t="s">
        <v>348</v>
      </c>
      <c r="B32" s="38" t="s">
        <v>349</v>
      </c>
      <c r="C32" s="556"/>
      <c r="D32" s="556"/>
      <c r="E32" s="556"/>
      <c r="F32" s="556"/>
      <c r="G32" s="556"/>
      <c r="H32" s="556"/>
      <c r="I32" s="338" t="str">
        <f ca="1">_xlfn.TEXTJOIN("
",TRUE,
IF('Reconciliation report'!$D159="","",RefData!$B$407&amp;":"&amp;'Reconciliation report'!$D159),
IF('Reconciliation report'!$D199="","",RefData!$B$408&amp;":"&amp;'Reconciliation report'!$D199),
IF('Reconciliation report'!$D239="","",RefData!$B$409&amp;":"&amp;'Reconciliation report'!$D239),
IF('Reconciliation report'!$D279="","",RefData!$B$410&amp;":"&amp;'Reconciliation report'!$D279),
IF('Reconciliation report'!$D319="","",RefData!$B$411&amp;":"&amp;'Reconciliation report'!$D319),
IF('Reconciliation report'!$D359="","",RefData!$B$412&amp;":"&amp;'Reconciliation report'!$D359)
)</f>
        <v/>
      </c>
      <c r="J32" s="301"/>
    </row>
    <row r="33" spans="1:10" s="42" customFormat="1" ht="310.25" customHeight="1">
      <c r="A33" s="258" t="s">
        <v>350</v>
      </c>
      <c r="B33" s="38" t="s">
        <v>351</v>
      </c>
      <c r="C33" s="556"/>
      <c r="D33" s="556"/>
      <c r="E33" s="556"/>
      <c r="F33" s="556"/>
      <c r="G33" s="556"/>
      <c r="H33" s="556"/>
      <c r="I33" s="338" t="str">
        <f ca="1">_xlfn.TEXTJOIN("
",TRUE,
IF('Reconciliation report'!$D160="","",RefData!$B$407&amp;":"&amp;'Reconciliation report'!$D160),
IF('Reconciliation report'!$D200="","",RefData!$B$408&amp;":"&amp;'Reconciliation report'!$D200),
IF('Reconciliation report'!$D240="","",RefData!$B$409&amp;":"&amp;'Reconciliation report'!$D240),
IF('Reconciliation report'!$D280="","",RefData!$B$410&amp;":"&amp;'Reconciliation report'!$D280),
IF('Reconciliation report'!$D320="","",RefData!$B$411&amp;":"&amp;'Reconciliation report'!$D320),
IF('Reconciliation report'!$D360="","",RefData!$B$412&amp;":"&amp;'Reconciliation report'!$D360)
)</f>
        <v/>
      </c>
      <c r="J33" s="301"/>
    </row>
    <row r="34" spans="1:10" s="42" customFormat="1" ht="310.25" customHeight="1">
      <c r="A34" s="258" t="s">
        <v>352</v>
      </c>
      <c r="B34" s="38" t="s">
        <v>353</v>
      </c>
      <c r="C34" s="556"/>
      <c r="D34" s="556"/>
      <c r="E34" s="556"/>
      <c r="F34" s="556"/>
      <c r="G34" s="556"/>
      <c r="H34" s="556"/>
      <c r="I34" s="338" t="str">
        <f ca="1">_xlfn.TEXTJOIN("
",TRUE,
IF('Reconciliation report'!$D161="","",RefData!$B$407&amp;":"&amp;'Reconciliation report'!$D161),
IF('Reconciliation report'!$D201="","",RefData!$B$408&amp;":"&amp;'Reconciliation report'!$D201),
IF('Reconciliation report'!$D241="","",RefData!$B$409&amp;":"&amp;'Reconciliation report'!$D241),
IF('Reconciliation report'!$D281="","",RefData!$B$410&amp;":"&amp;'Reconciliation report'!$D281),
IF('Reconciliation report'!$D321="","",RefData!$B$411&amp;":"&amp;'Reconciliation report'!$D321),
IF('Reconciliation report'!$D361="","",RefData!$B$412&amp;":"&amp;'Reconciliation report'!$D361)
)</f>
        <v/>
      </c>
      <c r="J34" s="301"/>
    </row>
    <row r="35" spans="1:10" s="42" customFormat="1" ht="310.25" customHeight="1">
      <c r="A35" s="258" t="s">
        <v>354</v>
      </c>
      <c r="B35" s="38" t="s">
        <v>355</v>
      </c>
      <c r="C35" s="556"/>
      <c r="D35" s="556"/>
      <c r="E35" s="556"/>
      <c r="F35" s="556"/>
      <c r="G35" s="556"/>
      <c r="H35" s="556"/>
      <c r="I35" s="338" t="str">
        <f ca="1">_xlfn.TEXTJOIN("
",TRUE,
IF('Reconciliation report'!$D162="","",RefData!$B$407&amp;":"&amp;'Reconciliation report'!$D162),
IF('Reconciliation report'!$D202="","",RefData!$B$408&amp;":"&amp;'Reconciliation report'!$D202),
IF('Reconciliation report'!$D242="","",RefData!$B$409&amp;":"&amp;'Reconciliation report'!$D242),
IF('Reconciliation report'!$D282="","",RefData!$B$410&amp;":"&amp;'Reconciliation report'!$D282),
IF('Reconciliation report'!$D322="","",RefData!$B$411&amp;":"&amp;'Reconciliation report'!$D322),
IF('Reconciliation report'!$D362="","",RefData!$B$412&amp;":"&amp;'Reconciliation report'!$D362)
)</f>
        <v/>
      </c>
      <c r="J35" s="301"/>
    </row>
    <row r="36" spans="1:10" s="42" customFormat="1" ht="310.25" customHeight="1">
      <c r="A36" s="258" t="s">
        <v>356</v>
      </c>
      <c r="B36" s="38" t="s">
        <v>357</v>
      </c>
      <c r="C36" s="556"/>
      <c r="D36" s="556"/>
      <c r="E36" s="556"/>
      <c r="F36" s="556"/>
      <c r="G36" s="556"/>
      <c r="H36" s="556"/>
      <c r="I36" s="338" t="str">
        <f ca="1">_xlfn.TEXTJOIN("
",TRUE,
IF('Reconciliation report'!$D163="","",RefData!$B$407&amp;":"&amp;'Reconciliation report'!$D163),
IF('Reconciliation report'!$D203="","",RefData!$B$408&amp;":"&amp;'Reconciliation report'!$D203),
IF('Reconciliation report'!$D243="","",RefData!$B$409&amp;":"&amp;'Reconciliation report'!$D243),
IF('Reconciliation report'!$D283="","",RefData!$B$410&amp;":"&amp;'Reconciliation report'!$D283),
IF('Reconciliation report'!$D323="","",RefData!$B$411&amp;":"&amp;'Reconciliation report'!$D323),
IF('Reconciliation report'!$D363="","",RefData!$B$412&amp;":"&amp;'Reconciliation report'!$D363)
)</f>
        <v/>
      </c>
      <c r="J36" s="301"/>
    </row>
    <row r="37" spans="1:10" s="42" customFormat="1" ht="310.25" customHeight="1">
      <c r="A37" s="258" t="s">
        <v>358</v>
      </c>
      <c r="B37" s="38" t="s">
        <v>359</v>
      </c>
      <c r="C37" s="556"/>
      <c r="D37" s="556"/>
      <c r="E37" s="556"/>
      <c r="F37" s="556"/>
      <c r="G37" s="556"/>
      <c r="H37" s="556"/>
      <c r="I37" s="338" t="str">
        <f ca="1">_xlfn.TEXTJOIN("
",TRUE,
IF('Reconciliation report'!$D164="","",RefData!$B$407&amp;":"&amp;'Reconciliation report'!$D164),
IF('Reconciliation report'!$D204="","",RefData!$B$408&amp;":"&amp;'Reconciliation report'!$D204),
IF('Reconciliation report'!$D244="","",RefData!$B$409&amp;":"&amp;'Reconciliation report'!$D244),
IF('Reconciliation report'!$D284="","",RefData!$B$410&amp;":"&amp;'Reconciliation report'!$D284),
IF('Reconciliation report'!$D324="","",RefData!$B$411&amp;":"&amp;'Reconciliation report'!$D324),
IF('Reconciliation report'!$D364="","",RefData!$B$412&amp;":"&amp;'Reconciliation report'!$D364)
)</f>
        <v/>
      </c>
      <c r="J37" s="301"/>
    </row>
    <row r="38" spans="1:10" s="42" customFormat="1" ht="310.25" customHeight="1">
      <c r="A38" s="258" t="s">
        <v>360</v>
      </c>
      <c r="B38" s="38" t="s">
        <v>361</v>
      </c>
      <c r="C38" s="556"/>
      <c r="D38" s="556"/>
      <c r="E38" s="556"/>
      <c r="F38" s="556"/>
      <c r="G38" s="556"/>
      <c r="H38" s="556"/>
      <c r="I38" s="338" t="str">
        <f ca="1">_xlfn.TEXTJOIN("
",TRUE,
IF('Reconciliation report'!$D165="","",RefData!$B$407&amp;":"&amp;'Reconciliation report'!$D165),
IF('Reconciliation report'!$D205="","",RefData!$B$408&amp;":"&amp;'Reconciliation report'!$D205),
IF('Reconciliation report'!$D245="","",RefData!$B$409&amp;":"&amp;'Reconciliation report'!$D245),
IF('Reconciliation report'!$D285="","",RefData!$B$410&amp;":"&amp;'Reconciliation report'!$D285),
IF('Reconciliation report'!$D325="","",RefData!$B$411&amp;":"&amp;'Reconciliation report'!$D325),
IF('Reconciliation report'!$D365="","",RefData!$B$412&amp;":"&amp;'Reconciliation report'!$D365)
)</f>
        <v/>
      </c>
      <c r="J38" s="301"/>
    </row>
    <row r="39" spans="1:10" s="42" customFormat="1" ht="310.25" customHeight="1">
      <c r="A39" s="258" t="s">
        <v>362</v>
      </c>
      <c r="B39" s="38" t="s">
        <v>363</v>
      </c>
      <c r="C39" s="556"/>
      <c r="D39" s="556"/>
      <c r="E39" s="556"/>
      <c r="F39" s="556"/>
      <c r="G39" s="556"/>
      <c r="H39" s="556"/>
      <c r="I39" s="338" t="str">
        <f ca="1">_xlfn.TEXTJOIN("
",TRUE,
IF('Reconciliation report'!$D166="","",RefData!$B$407&amp;":"&amp;'Reconciliation report'!$D166),
IF('Reconciliation report'!$D206="","",RefData!$B$408&amp;":"&amp;'Reconciliation report'!$D206),
IF('Reconciliation report'!$D246="","",RefData!$B$409&amp;":"&amp;'Reconciliation report'!$D246),
IF('Reconciliation report'!$D286="","",RefData!$B$410&amp;":"&amp;'Reconciliation report'!$D286),
IF('Reconciliation report'!$D326="","",RefData!$B$411&amp;":"&amp;'Reconciliation report'!$D326),
IF('Reconciliation report'!$D366="","",RefData!$B$412&amp;":"&amp;'Reconciliation report'!$D366)
)</f>
        <v/>
      </c>
      <c r="J39" s="301"/>
    </row>
    <row r="40" spans="1:10" s="42" customFormat="1" ht="310.25" customHeight="1">
      <c r="A40" s="258" t="s">
        <v>364</v>
      </c>
      <c r="B40" s="38" t="s">
        <v>365</v>
      </c>
      <c r="C40" s="556"/>
      <c r="D40" s="556"/>
      <c r="E40" s="556"/>
      <c r="F40" s="556"/>
      <c r="G40" s="556"/>
      <c r="H40" s="556"/>
      <c r="I40" s="338" t="str">
        <f ca="1">_xlfn.TEXTJOIN("
",TRUE,
IF('Reconciliation report'!$D167="","",RefData!$B$407&amp;":"&amp;'Reconciliation report'!$D167),
IF('Reconciliation report'!$D207="","",RefData!$B$408&amp;":"&amp;'Reconciliation report'!$D207),
IF('Reconciliation report'!$D247="","",RefData!$B$409&amp;":"&amp;'Reconciliation report'!$D247),
IF('Reconciliation report'!$D287="","",RefData!$B$410&amp;":"&amp;'Reconciliation report'!$D287),
IF('Reconciliation report'!$D327="","",RefData!$B$411&amp;":"&amp;'Reconciliation report'!$D327),
IF('Reconciliation report'!$D367="","",RefData!$B$412&amp;":"&amp;'Reconciliation report'!$D367)
)</f>
        <v/>
      </c>
      <c r="J40" s="301"/>
    </row>
    <row r="41" spans="1:10" s="42" customFormat="1" ht="310.25" customHeight="1">
      <c r="A41" s="258" t="s">
        <v>366</v>
      </c>
      <c r="B41" s="38" t="s">
        <v>367</v>
      </c>
      <c r="C41" s="556"/>
      <c r="D41" s="556"/>
      <c r="E41" s="556"/>
      <c r="F41" s="556"/>
      <c r="G41" s="556"/>
      <c r="H41" s="556"/>
      <c r="I41" s="338" t="str">
        <f ca="1">_xlfn.TEXTJOIN("
",TRUE,
IF('Reconciliation report'!$D168="","",RefData!$B$407&amp;":"&amp;'Reconciliation report'!$D168),
IF('Reconciliation report'!$D208="","",RefData!$B$408&amp;":"&amp;'Reconciliation report'!$D208),
IF('Reconciliation report'!$D248="","",RefData!$B$409&amp;":"&amp;'Reconciliation report'!$D248),
IF('Reconciliation report'!$D288="","",RefData!$B$410&amp;":"&amp;'Reconciliation report'!$D288),
IF('Reconciliation report'!$D328="","",RefData!$B$411&amp;":"&amp;'Reconciliation report'!$D328),
IF('Reconciliation report'!$D368="","",RefData!$B$412&amp;":"&amp;'Reconciliation report'!$D368)
)</f>
        <v/>
      </c>
      <c r="J41" s="301"/>
    </row>
    <row r="42" spans="1:10" s="42" customFormat="1" ht="310.25" customHeight="1">
      <c r="A42" s="258" t="s">
        <v>368</v>
      </c>
      <c r="B42" s="38" t="s">
        <v>369</v>
      </c>
      <c r="C42" s="556"/>
      <c r="D42" s="556"/>
      <c r="E42" s="556"/>
      <c r="F42" s="556"/>
      <c r="G42" s="556"/>
      <c r="H42" s="556"/>
      <c r="I42" s="338" t="str">
        <f ca="1">_xlfn.TEXTJOIN("
",TRUE,
IF('Reconciliation report'!$D169="","",RefData!$B$407&amp;":"&amp;'Reconciliation report'!$D169),
IF('Reconciliation report'!$D209="","",RefData!$B$408&amp;":"&amp;'Reconciliation report'!$D209),
IF('Reconciliation report'!$D249="","",RefData!$B$409&amp;":"&amp;'Reconciliation report'!$D249),
IF('Reconciliation report'!$D289="","",RefData!$B$410&amp;":"&amp;'Reconciliation report'!$D289),
IF('Reconciliation report'!$D329="","",RefData!$B$411&amp;":"&amp;'Reconciliation report'!$D329),
IF('Reconciliation report'!$D369="","",RefData!$B$412&amp;":"&amp;'Reconciliation report'!$D369)
)</f>
        <v/>
      </c>
      <c r="J42" s="301"/>
    </row>
    <row r="43" spans="1:10" s="42" customFormat="1" ht="310.25" customHeight="1">
      <c r="A43" s="258" t="s">
        <v>370</v>
      </c>
      <c r="B43" s="38" t="s">
        <v>371</v>
      </c>
      <c r="C43" s="556"/>
      <c r="D43" s="556"/>
      <c r="E43" s="556"/>
      <c r="F43" s="556"/>
      <c r="G43" s="556"/>
      <c r="H43" s="556"/>
      <c r="I43" s="338" t="str">
        <f ca="1">_xlfn.TEXTJOIN("
",TRUE,
IF('Reconciliation report'!$D170="","",RefData!$B$407&amp;":"&amp;'Reconciliation report'!$D170),
IF('Reconciliation report'!$D210="","",RefData!$B$408&amp;":"&amp;'Reconciliation report'!$D210),
IF('Reconciliation report'!$D250="","",RefData!$B$409&amp;":"&amp;'Reconciliation report'!$D250),
IF('Reconciliation report'!$D290="","",RefData!$B$410&amp;":"&amp;'Reconciliation report'!$D290),
IF('Reconciliation report'!$D330="","",RefData!$B$411&amp;":"&amp;'Reconciliation report'!$D330),
IF('Reconciliation report'!$D370="","",RefData!$B$412&amp;":"&amp;'Reconciliation report'!$D370)
)</f>
        <v/>
      </c>
      <c r="J43" s="301"/>
    </row>
    <row r="44" spans="1:10" s="42" customFormat="1" ht="310.25" customHeight="1">
      <c r="A44" s="258" t="s">
        <v>372</v>
      </c>
      <c r="B44" s="38" t="s">
        <v>373</v>
      </c>
      <c r="C44" s="556"/>
      <c r="D44" s="556"/>
      <c r="E44" s="556"/>
      <c r="F44" s="556"/>
      <c r="G44" s="556"/>
      <c r="H44" s="556"/>
      <c r="I44" s="338" t="str">
        <f ca="1">_xlfn.TEXTJOIN("
",TRUE,
IF('Reconciliation report'!$D171="","",RefData!$B$407&amp;":"&amp;'Reconciliation report'!$D171),
IF('Reconciliation report'!$D211="","",RefData!$B$408&amp;":"&amp;'Reconciliation report'!$D211),
IF('Reconciliation report'!$D251="","",RefData!$B$409&amp;":"&amp;'Reconciliation report'!$D251),
IF('Reconciliation report'!$D291="","",RefData!$B$410&amp;":"&amp;'Reconciliation report'!$D291),
IF('Reconciliation report'!$D331="","",RefData!$B$411&amp;":"&amp;'Reconciliation report'!$D331),
IF('Reconciliation report'!$D371="","",RefData!$B$412&amp;":"&amp;'Reconciliation report'!$D371)
)</f>
        <v/>
      </c>
      <c r="J44" s="301"/>
    </row>
    <row r="45" spans="1:10" s="42" customFormat="1" ht="310.25" customHeight="1">
      <c r="A45" s="258" t="s">
        <v>374</v>
      </c>
      <c r="B45" s="38" t="s">
        <v>375</v>
      </c>
      <c r="C45" s="556"/>
      <c r="D45" s="556"/>
      <c r="E45" s="556"/>
      <c r="F45" s="556"/>
      <c r="G45" s="556"/>
      <c r="H45" s="556"/>
      <c r="I45" s="338" t="str">
        <f ca="1">_xlfn.TEXTJOIN("
",TRUE,
IF('Reconciliation report'!$D172="","",RefData!$B$407&amp;":"&amp;'Reconciliation report'!$D172),
IF('Reconciliation report'!$D212="","",RefData!$B$408&amp;":"&amp;'Reconciliation report'!$D212),
IF('Reconciliation report'!$D252="","",RefData!$B$409&amp;":"&amp;'Reconciliation report'!$D252),
IF('Reconciliation report'!$D292="","",RefData!$B$410&amp;":"&amp;'Reconciliation report'!$D292),
IF('Reconciliation report'!$D332="","",RefData!$B$411&amp;":"&amp;'Reconciliation report'!$D332),
IF('Reconciliation report'!$D372="","",RefData!$B$412&amp;":"&amp;'Reconciliation report'!$D372)
)</f>
        <v/>
      </c>
      <c r="J45" s="301"/>
    </row>
    <row r="46" spans="1:10" s="42" customFormat="1" ht="310.25" customHeight="1" thickBot="1">
      <c r="A46" s="341" t="s">
        <v>376</v>
      </c>
      <c r="B46" s="104" t="s">
        <v>377</v>
      </c>
      <c r="C46" s="557"/>
      <c r="D46" s="558"/>
      <c r="E46" s="558"/>
      <c r="F46" s="558"/>
      <c r="G46" s="558"/>
      <c r="H46" s="558"/>
      <c r="I46" s="338" t="str">
        <f ca="1">_xlfn.TEXTJOIN("
",TRUE,
IF('Reconciliation report'!$D173="","",RefData!$B$407&amp;":"&amp;'Reconciliation report'!$D173),
IF('Reconciliation report'!$D213="","",RefData!$B$408&amp;":"&amp;'Reconciliation report'!$D213),
IF('Reconciliation report'!$D253="","",RefData!$B$409&amp;":"&amp;'Reconciliation report'!$D253),
IF('Reconciliation report'!$D293="","",RefData!$B$410&amp;":"&amp;'Reconciliation report'!$D293),
IF('Reconciliation report'!$D333="","",RefData!$B$411&amp;":"&amp;'Reconciliation report'!$D333),
IF('Reconciliation report'!$D373="","",RefData!$B$412&amp;":"&amp;'Reconciliation report'!$D373)
)</f>
        <v/>
      </c>
      <c r="J46" s="303"/>
    </row>
    <row r="47" spans="1:10" s="200" customFormat="1" ht="20.149999999999999" hidden="1" customHeight="1" thickBot="1">
      <c r="A47" s="75"/>
      <c r="B47" s="75"/>
      <c r="C47" s="75" t="s">
        <v>23</v>
      </c>
      <c r="D47" s="99"/>
    </row>
    <row r="48" spans="1:10" s="57" customFormat="1" ht="50.15" hidden="1" customHeight="1" thickBot="1">
      <c r="A48" s="750" t="s">
        <v>117</v>
      </c>
      <c r="B48" s="751"/>
    </row>
    <row r="49" spans="1:10" s="667" customFormat="1" ht="36" hidden="1" customHeight="1" thickTop="1" thickBot="1">
      <c r="A49" s="752" t="s">
        <v>90</v>
      </c>
      <c r="B49" s="753"/>
      <c r="C49" s="668" t="s">
        <v>91</v>
      </c>
      <c r="D49" s="669"/>
    </row>
    <row r="50" spans="1:10" s="196" customFormat="1" ht="86" hidden="1" customHeight="1" thickTop="1" thickBot="1">
      <c r="A50" s="744" t="s">
        <v>118</v>
      </c>
      <c r="B50" s="754"/>
      <c r="C50" s="683"/>
      <c r="D50" s="62"/>
      <c r="E50" s="667"/>
      <c r="F50" s="667"/>
      <c r="G50" s="667"/>
      <c r="H50" s="667"/>
      <c r="I50" s="667"/>
      <c r="J50" s="667"/>
    </row>
    <row r="51" spans="1:10" s="47" customFormat="1" ht="50.25" customHeight="1">
      <c r="A51" s="439"/>
      <c r="B51" s="255"/>
      <c r="C51" s="439"/>
      <c r="D51" s="439"/>
      <c r="E51" s="439"/>
      <c r="F51" s="439"/>
      <c r="G51" s="439"/>
      <c r="H51" s="439"/>
      <c r="I51" s="439"/>
      <c r="J51" s="439"/>
    </row>
    <row r="52" spans="1:10"/>
  </sheetData>
  <sheetProtection algorithmName="SHA-512" hashValue="r4Lbj8I4mWDzXA4Vsda1YNj5SIVV/ewwVDyuvrVoh4Pgz38z7sIIg4JN5i3+OpV3O1KgMiOSMfLwklPHuQPyrw==" saltValue="hvZ2U5fapOF/LDYq/YKuMQ==" spinCount="100000" sheet="1" objects="1" scenarios="1" sort="0" autoFilter="0"/>
  <mergeCells count="6">
    <mergeCell ref="A50:B50"/>
    <mergeCell ref="A1:B1"/>
    <mergeCell ref="A2:B2"/>
    <mergeCell ref="A3:B3"/>
    <mergeCell ref="A48:B48"/>
    <mergeCell ref="A49:B49"/>
  </mergeCells>
  <phoneticPr fontId="11" type="noConversion"/>
  <conditionalFormatting sqref="C50">
    <cfRule type="expression" dxfId="665" priority="1">
      <formula>$C$50=""</formula>
    </cfRule>
  </conditionalFormatting>
  <conditionalFormatting sqref="I7:I46">
    <cfRule type="notContainsBlanks" dxfId="652" priority="4">
      <formula>LEN(TRIM(I7))&gt;0</formula>
    </cfRule>
  </conditionalFormatting>
  <dataValidations count="4">
    <dataValidation type="decimal" allowBlank="1" showInputMessage="1" showErrorMessage="1" errorTitle="There is a problem" error="You must enter a percentage value that is between -10 and 10." promptTitle="Enter a percentage" prompt="Enter a percentage value" sqref="D7:E46" xr:uid="{99A2EC08-86AD-4B18-BD45-77A7F1417D1B}">
      <formula1>-0.1</formula1>
      <formula2>0.1</formula2>
    </dataValidation>
    <dataValidation type="decimal" allowBlank="1" showInputMessage="1" showErrorMessage="1" errorTitle="There is a problem" error="You must enter a percentage value that is between -25 and 25." promptTitle="Enter a percentage" prompt="Enter a percentage value" sqref="F7:G46 C7:C46" xr:uid="{4B7FE13A-4ED3-4131-9E1D-6E1988763D29}">
      <formula1>-0.25</formula1>
      <formula2>0.25</formula2>
    </dataValidation>
    <dataValidation type="decimal" allowBlank="1" showInputMessage="1" showErrorMessage="1" errorTitle="There is a problem" error="You must enter a percentage value that is between 0 and 25." promptTitle="Enter a percentage" prompt="Enter a percentage value" sqref="H7:H46" xr:uid="{8A6BF929-E05F-4043-B212-024FC27696A2}">
      <formula1>0</formula1>
      <formula2>0.25</formula2>
    </dataValidation>
    <dataValidation allowBlank="1" showInputMessage="1" showErrorMessage="1" error="Select from the list." sqref="C51" xr:uid="{2DB42DC2-FE1A-4D92-A378-B4F8B34E7E7B}"/>
  </dataValidations>
  <pageMargins left="0.70000000000000007" right="0.70000000000000007" top="0.75" bottom="0.75" header="0.30000000000000004" footer="0.30000000000000004"/>
  <pageSetup paperSize="9" fitToWidth="0"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1157" id="{5005300D-4CB4-49E9-86BA-4303A9BF7F24}">
            <xm:f>SEARCH(RefData!$B$2,$C$5)</xm:f>
            <x14:dxf>
              <fill>
                <patternFill>
                  <bgColor theme="0" tint="-0.14996795556505021"/>
                </patternFill>
              </fill>
            </x14:dxf>
          </x14:cfRule>
          <xm:sqref>C5:C46</xm:sqref>
        </x14:conditionalFormatting>
        <x14:conditionalFormatting xmlns:xm="http://schemas.microsoft.com/office/excel/2006/main">
          <x14:cfRule type="expression" priority="12" id="{00000000-000E-0000-0B00-00000D000000}">
            <xm:f>SEARCH(RefData!$B$407,$I7)</xm:f>
            <x14:dxf>
              <font>
                <b/>
                <i val="0"/>
                <color rgb="FFA91717"/>
              </font>
              <fill>
                <patternFill>
                  <bgColor rgb="FFEED1D1"/>
                </patternFill>
              </fill>
              <border>
                <left style="thin">
                  <color rgb="FFA91717"/>
                </left>
                <right style="thin">
                  <color rgb="FFA91717"/>
                </right>
                <top style="thin">
                  <color rgb="FFA91717"/>
                </top>
                <bottom style="thin">
                  <color rgb="FFA91717"/>
                </bottom>
                <vertical/>
                <horizontal/>
              </border>
            </x14:dxf>
          </x14:cfRule>
          <xm:sqref>C7:C46</xm:sqref>
        </x14:conditionalFormatting>
        <x14:conditionalFormatting xmlns:xm="http://schemas.microsoft.com/office/excel/2006/main">
          <x14:cfRule type="expression" priority="2" id="{7E1C2C4B-2896-4CB1-88C0-273F974E3824}">
            <xm:f>$C$50=RefData!$B$433</xm:f>
            <x14:dxf>
              <fill>
                <patternFill>
                  <bgColor rgb="FFEFF5FA"/>
                </patternFill>
              </fill>
            </x14:dxf>
          </x14:cfRule>
          <x14:cfRule type="expression" priority="3" id="{E17A6853-9C6D-4DCF-9605-292F573643AC}">
            <xm:f>$C$50=RefData!$B$434</xm:f>
            <x14:dxf>
              <fill>
                <patternFill>
                  <bgColor rgb="FFEFF5FA"/>
                </patternFill>
              </fill>
            </x14:dxf>
          </x14:cfRule>
          <xm:sqref>C50</xm:sqref>
        </x14:conditionalFormatting>
        <x14:conditionalFormatting xmlns:xm="http://schemas.microsoft.com/office/excel/2006/main">
          <x14:cfRule type="expression" priority="1158" id="{1DDB4227-589C-477F-9854-F2D116FA87D3}">
            <xm:f>SEARCH(RefData!$B$2,$D$5)</xm:f>
            <x14:dxf>
              <fill>
                <patternFill>
                  <bgColor theme="0" tint="-0.14996795556505021"/>
                </patternFill>
              </fill>
            </x14:dxf>
          </x14:cfRule>
          <xm:sqref>D5:D46</xm:sqref>
        </x14:conditionalFormatting>
        <x14:conditionalFormatting xmlns:xm="http://schemas.microsoft.com/office/excel/2006/main">
          <x14:cfRule type="expression" priority="13" id="{00000000-000E-0000-0B00-000009000000}">
            <xm:f>SEARCH(RefData!$B$408,$I7)</xm:f>
            <x14:dxf>
              <font>
                <b/>
                <i val="0"/>
                <color rgb="FFA91717"/>
              </font>
              <fill>
                <patternFill>
                  <bgColor rgb="FFEED1D1"/>
                </patternFill>
              </fill>
              <border>
                <left style="thin">
                  <color rgb="FFA91717"/>
                </left>
                <right style="thin">
                  <color rgb="FFA91717"/>
                </right>
                <top style="thin">
                  <color rgb="FFA91717"/>
                </top>
                <bottom style="thin">
                  <color rgb="FFA91717"/>
                </bottom>
                <vertical/>
                <horizontal/>
              </border>
            </x14:dxf>
          </x14:cfRule>
          <xm:sqref>D7:D46</xm:sqref>
        </x14:conditionalFormatting>
        <x14:conditionalFormatting xmlns:xm="http://schemas.microsoft.com/office/excel/2006/main">
          <x14:cfRule type="expression" priority="1159" id="{3DDDC039-7D40-426E-9AF5-3E29F7731860}">
            <xm:f>SEARCH(RefData!$B$2,$E$5)</xm:f>
            <x14:dxf>
              <fill>
                <patternFill>
                  <bgColor theme="0" tint="-0.14996795556505021"/>
                </patternFill>
              </fill>
            </x14:dxf>
          </x14:cfRule>
          <xm:sqref>E5:E46</xm:sqref>
        </x14:conditionalFormatting>
        <x14:conditionalFormatting xmlns:xm="http://schemas.microsoft.com/office/excel/2006/main">
          <x14:cfRule type="expression" priority="16" id="{00000000-000E-0000-0B00-000012000000}">
            <xm:f>SEARCH(RefData!$B$409,$I7)</xm:f>
            <x14:dxf>
              <font>
                <b/>
                <i val="0"/>
                <color rgb="FFA91717"/>
              </font>
              <fill>
                <patternFill>
                  <bgColor rgb="FFEED1D1"/>
                </patternFill>
              </fill>
              <border>
                <left style="thin">
                  <color rgb="FFA91717"/>
                </left>
                <right style="thin">
                  <color rgb="FFA91717"/>
                </right>
                <top style="thin">
                  <color rgb="FFA91717"/>
                </top>
                <bottom style="thin">
                  <color rgb="FFA91717"/>
                </bottom>
                <vertical/>
                <horizontal/>
              </border>
            </x14:dxf>
          </x14:cfRule>
          <xm:sqref>E7:E46</xm:sqref>
        </x14:conditionalFormatting>
        <x14:conditionalFormatting xmlns:xm="http://schemas.microsoft.com/office/excel/2006/main">
          <x14:cfRule type="expression" priority="1160" id="{FC1F0A73-401C-441F-B8BB-5C0C7CCA7A7A}">
            <xm:f>SEARCH(RefData!$B$2,$F$5)</xm:f>
            <x14:dxf>
              <fill>
                <patternFill>
                  <bgColor theme="0" tint="-0.14996795556505021"/>
                </patternFill>
              </fill>
            </x14:dxf>
          </x14:cfRule>
          <xm:sqref>F5:F46</xm:sqref>
        </x14:conditionalFormatting>
        <x14:conditionalFormatting xmlns:xm="http://schemas.microsoft.com/office/excel/2006/main">
          <x14:cfRule type="expression" priority="21" id="{00000000-000E-0000-0B00-000013000000}">
            <xm:f>SEARCH(RefData!$B$410,$I7)</xm:f>
            <x14:dxf>
              <font>
                <b/>
                <i val="0"/>
                <color rgb="FFA91717"/>
              </font>
              <fill>
                <patternFill>
                  <bgColor rgb="FFEED1D1"/>
                </patternFill>
              </fill>
              <border>
                <left style="thin">
                  <color rgb="FFA91717"/>
                </left>
                <right style="thin">
                  <color rgb="FFA91717"/>
                </right>
                <top style="thin">
                  <color rgb="FFA91717"/>
                </top>
                <bottom style="thin">
                  <color rgb="FFA91717"/>
                </bottom>
                <vertical/>
                <horizontal/>
              </border>
            </x14:dxf>
          </x14:cfRule>
          <xm:sqref>F7:F46</xm:sqref>
        </x14:conditionalFormatting>
        <x14:conditionalFormatting xmlns:xm="http://schemas.microsoft.com/office/excel/2006/main">
          <x14:cfRule type="expression" priority="1161" id="{EB5C3C04-C720-4D05-B44E-EDF1B2085F9F}">
            <xm:f>SEARCH(RefData!$B$2,$G$5)</xm:f>
            <x14:dxf>
              <fill>
                <patternFill>
                  <bgColor theme="0" tint="-0.14996795556505021"/>
                </patternFill>
              </fill>
            </x14:dxf>
          </x14:cfRule>
          <xm:sqref>G5:G46</xm:sqref>
        </x14:conditionalFormatting>
        <x14:conditionalFormatting xmlns:xm="http://schemas.microsoft.com/office/excel/2006/main">
          <x14:cfRule type="expression" priority="22" id="{00000000-000E-0000-0B00-000014000000}">
            <xm:f>SEARCH(RefData!$B$411,$I7)</xm:f>
            <x14:dxf>
              <font>
                <b/>
                <i val="0"/>
                <color rgb="FFA91717"/>
              </font>
              <fill>
                <patternFill>
                  <bgColor rgb="FFEED1D1"/>
                </patternFill>
              </fill>
              <border>
                <left style="thin">
                  <color rgb="FFA91717"/>
                </left>
                <right style="thin">
                  <color rgb="FFA91717"/>
                </right>
                <top style="thin">
                  <color rgb="FFA91717"/>
                </top>
                <bottom style="thin">
                  <color rgb="FFA91717"/>
                </bottom>
                <vertical/>
                <horizontal/>
              </border>
            </x14:dxf>
          </x14:cfRule>
          <xm:sqref>G7:G46</xm:sqref>
        </x14:conditionalFormatting>
        <x14:conditionalFormatting xmlns:xm="http://schemas.microsoft.com/office/excel/2006/main">
          <x14:cfRule type="expression" priority="1162" id="{D7F1C019-6C93-4FBF-A07A-6D742438E5C1}">
            <xm:f>SEARCH(RefData!$B$2,$H$5)</xm:f>
            <x14:dxf>
              <fill>
                <patternFill>
                  <bgColor theme="0" tint="-0.14996795556505021"/>
                </patternFill>
              </fill>
            </x14:dxf>
          </x14:cfRule>
          <xm:sqref>H5:H46</xm:sqref>
        </x14:conditionalFormatting>
        <x14:conditionalFormatting xmlns:xm="http://schemas.microsoft.com/office/excel/2006/main">
          <x14:cfRule type="expression" priority="23" id="{00000000-000E-0000-0B00-000015000000}">
            <xm:f>SEARCH(RefData!$B$412,$I7)</xm:f>
            <x14:dxf>
              <font>
                <b/>
                <i val="0"/>
                <color rgb="FFA91717"/>
              </font>
              <fill>
                <patternFill>
                  <bgColor rgb="FFEED1D1"/>
                </patternFill>
              </fill>
              <border>
                <left style="thin">
                  <color rgb="FFA91717"/>
                </left>
                <right style="thin">
                  <color rgb="FFA91717"/>
                </right>
                <top style="thin">
                  <color rgb="FFA91717"/>
                </top>
                <bottom style="thin">
                  <color rgb="FFA91717"/>
                </bottom>
                <vertical/>
                <horizontal/>
              </border>
            </x14:dxf>
          </x14:cfRule>
          <xm:sqref>H7:H46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003FDEF-7FF8-4178-821C-A6D595A4810D}">
          <x14:formula1>
            <xm:f>RefData!$B$433:$B$435</xm:f>
          </x14:formula1>
          <xm:sqref>C50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14E7E-4A06-4047-8AF6-412F3EAD6DC5}">
  <sheetPr codeName="Sheet13"/>
  <dimension ref="A1:XFC13"/>
  <sheetViews>
    <sheetView zoomScaleNormal="100" workbookViewId="0">
      <selection sqref="A1:B1"/>
    </sheetView>
  </sheetViews>
  <sheetFormatPr defaultColWidth="0" defaultRowHeight="0" customHeight="1" zeroHeight="1"/>
  <cols>
    <col min="1" max="1" width="15.07421875" style="20" customWidth="1"/>
    <col min="2" max="6" width="62.69140625" style="20" customWidth="1"/>
    <col min="7" max="104" width="11.69140625" style="20" hidden="1" customWidth="1"/>
    <col min="105" max="105" width="2.69140625" style="20" hidden="1" customWidth="1"/>
    <col min="106" max="16381" width="11.69140625" style="20" hidden="1"/>
    <col min="16382" max="16383" width="0" style="20" hidden="1"/>
    <col min="16384" max="16384" width="11.69140625" style="20" hidden="1"/>
  </cols>
  <sheetData>
    <row r="1" spans="1:103" ht="50.15" customHeight="1" thickBot="1">
      <c r="A1" s="747" t="s">
        <v>378</v>
      </c>
      <c r="B1" s="786"/>
      <c r="C1" s="13"/>
      <c r="D1" s="13"/>
      <c r="E1" s="37"/>
      <c r="F1" s="37"/>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row>
    <row r="2" spans="1:103" ht="50.15" customHeight="1" thickTop="1" thickBot="1">
      <c r="A2" s="742" t="s">
        <v>85</v>
      </c>
      <c r="B2" s="743"/>
      <c r="C2" s="57"/>
      <c r="D2" s="57"/>
      <c r="E2" s="57"/>
      <c r="F2" s="57"/>
    </row>
    <row r="3" spans="1:103" ht="300" customHeight="1" thickTop="1" thickBot="1">
      <c r="A3" s="765" t="s">
        <v>379</v>
      </c>
      <c r="B3" s="787"/>
      <c r="C3" s="25"/>
      <c r="D3" s="26"/>
      <c r="E3" s="26"/>
      <c r="F3" s="26"/>
    </row>
    <row r="4" spans="1:103" ht="20.149999999999999" customHeight="1" thickBot="1">
      <c r="A4" s="75"/>
      <c r="B4" s="69"/>
      <c r="C4" s="75" t="s">
        <v>23</v>
      </c>
      <c r="D4" s="69"/>
      <c r="E4" s="69"/>
      <c r="F4" s="69"/>
    </row>
    <row r="5" spans="1:103" ht="50.15" customHeight="1" thickBot="1">
      <c r="A5" s="533" t="s">
        <v>380</v>
      </c>
      <c r="B5" s="533"/>
      <c r="C5" s="57"/>
      <c r="D5" s="57"/>
      <c r="E5" s="57"/>
      <c r="F5" s="57"/>
      <c r="G5" s="73"/>
      <c r="H5" s="73"/>
      <c r="I5" s="73"/>
      <c r="J5" s="73"/>
      <c r="K5" s="73"/>
    </row>
    <row r="6" spans="1:103" s="47" customFormat="1" ht="36" customHeight="1" thickTop="1" thickBot="1">
      <c r="A6" s="8" t="s">
        <v>89</v>
      </c>
      <c r="B6" s="8" t="s">
        <v>90</v>
      </c>
      <c r="C6" s="8" t="s">
        <v>91</v>
      </c>
      <c r="D6" s="199" t="s">
        <v>92</v>
      </c>
      <c r="E6" s="199" t="s">
        <v>104</v>
      </c>
      <c r="F6" s="199" t="s">
        <v>93</v>
      </c>
      <c r="G6" s="17"/>
    </row>
    <row r="7" spans="1:103" ht="142.5" customHeight="1" thickTop="1" thickBot="1">
      <c r="A7" s="103" t="s">
        <v>381</v>
      </c>
      <c r="B7" s="261" t="str">
        <f>Questions!C55</f>
        <v xml:space="preserve">
Are you providing scheme benefit cash flow information?
</v>
      </c>
      <c r="C7" s="494"/>
      <c r="D7" s="351" t="str">
        <f ca="1">'Reconciliation report'!D374</f>
        <v/>
      </c>
      <c r="E7" s="263" t="str">
        <f>Guidance!B288</f>
        <v xml:space="preserve">
Schemes which meet the small scheme definition and follow a Bespoke approach have the option to provide scheme benefit cash flow information if they wish. All other Bespoke schemes must provide this information.
Schemes following a Fast Track approach do not need to provide scheme benefit cash flow information.
</v>
      </c>
      <c r="F7" s="265"/>
    </row>
    <row r="8" spans="1:103" ht="120.65" customHeight="1" thickBot="1">
      <c r="A8" s="259" t="s">
        <v>382</v>
      </c>
      <c r="B8" s="262" t="str">
        <f>Questions!C56</f>
        <v xml:space="preserve">
Do the cash flows include insured benefits where these are included in the calculation of technical provisions liabilities?
</v>
      </c>
      <c r="C8" s="495"/>
      <c r="D8" s="351" t="str">
        <f ca="1">'Reconciliation report'!D375</f>
        <v/>
      </c>
      <c r="E8" s="264" t="str">
        <f>Guidance!B289</f>
        <v xml:space="preserve">
We'll need to know the answer to this question for the purposes of determining the appropriate wording in this section of the statement of strategy.
Insured benefits are benefits that are paid to members who have their benefits secured with insurance companies.
</v>
      </c>
      <c r="F8" s="260"/>
    </row>
    <row r="9" spans="1:103" ht="20.149999999999999" hidden="1" customHeight="1" thickBot="1">
      <c r="A9" s="75"/>
      <c r="B9" s="75"/>
      <c r="C9" s="75" t="s">
        <v>23</v>
      </c>
      <c r="D9" s="99"/>
      <c r="E9" s="200"/>
      <c r="F9" s="200"/>
      <c r="G9" s="200"/>
    </row>
    <row r="10" spans="1:103" ht="50.15" hidden="1" customHeight="1" thickBot="1">
      <c r="A10" s="750" t="s">
        <v>117</v>
      </c>
      <c r="B10" s="751"/>
      <c r="C10" s="57"/>
      <c r="D10" s="57"/>
      <c r="E10" s="57"/>
      <c r="F10" s="57"/>
      <c r="G10" s="57"/>
    </row>
    <row r="11" spans="1:103" s="47" customFormat="1" ht="36" hidden="1" customHeight="1" thickTop="1" thickBot="1">
      <c r="A11" s="752" t="s">
        <v>90</v>
      </c>
      <c r="B11" s="753"/>
      <c r="C11" s="668" t="s">
        <v>91</v>
      </c>
      <c r="D11" s="669"/>
      <c r="E11" s="667"/>
      <c r="F11" s="667"/>
      <c r="G11" s="667"/>
      <c r="H11" s="17"/>
    </row>
    <row r="12" spans="1:103" ht="86" hidden="1" customHeight="1" thickTop="1" thickBot="1">
      <c r="A12" s="744" t="s">
        <v>118</v>
      </c>
      <c r="B12" s="754"/>
      <c r="C12" s="683"/>
      <c r="D12" s="62"/>
      <c r="E12" s="667"/>
      <c r="F12" s="667"/>
      <c r="G12" s="196"/>
    </row>
    <row r="13" spans="1:103" s="47" customFormat="1" ht="50.25" customHeight="1">
      <c r="A13" s="439"/>
      <c r="B13" s="255"/>
      <c r="C13" s="439"/>
      <c r="D13" s="439"/>
      <c r="E13" s="439"/>
      <c r="F13" s="439"/>
    </row>
  </sheetData>
  <sheetProtection algorithmName="SHA-512" hashValue="ZJ8Ksp/3w7bXB3NejR2geDb4MYhETTm4661kps8xvQiCgf/KOw9p6PCvKSFQHrUCH4NW3Dd8FgyfR7rAjLaS7A==" saltValue="ERtkLSSb18d3EYu1k6+tog==" spinCount="100000" sheet="1" objects="1" scenarios="1" sort="0" autoFilter="0"/>
  <mergeCells count="6">
    <mergeCell ref="A12:B12"/>
    <mergeCell ref="A1:B1"/>
    <mergeCell ref="A2:B2"/>
    <mergeCell ref="A3:B3"/>
    <mergeCell ref="A10:B10"/>
    <mergeCell ref="A11:B11"/>
  </mergeCells>
  <conditionalFormatting sqref="C12">
    <cfRule type="expression" dxfId="649" priority="1">
      <formula>$C$12=""</formula>
    </cfRule>
  </conditionalFormatting>
  <conditionalFormatting sqref="D7:D8">
    <cfRule type="notContainsBlanks" dxfId="646" priority="4">
      <formula>LEN(TRIM(D7))&gt;0</formula>
    </cfRule>
  </conditionalFormatting>
  <dataValidations count="2">
    <dataValidation allowBlank="1" showInputMessage="1" showErrorMessage="1" errorTitle="There is a problem" sqref="E4" xr:uid="{C146EFDE-7670-409B-B1C9-00CDE42985AD}"/>
    <dataValidation allowBlank="1" showInputMessage="1" showErrorMessage="1" error="Select from the list." sqref="C13" xr:uid="{48ADA0B3-2481-40C7-A792-818074DA677C}"/>
  </dataValidations>
  <pageMargins left="0.70000000000000007" right="0.70000000000000007" top="0.75" bottom="0.75" header="0.30000000000000004" footer="0.30000000000000004"/>
  <pageSetup paperSize="9" fitToWidth="0"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632" id="{386BAC2F-8B6C-46B5-A1C1-39688E0C58FC}">
            <xm:f>SEARCH(RefData!$B$2,$B$7)</xm:f>
            <x14:dxf>
              <font>
                <color rgb="FF5F5F5F"/>
              </font>
              <fill>
                <patternFill>
                  <bgColor theme="0" tint="-0.14996795556505021"/>
                </patternFill>
              </fill>
            </x14:dxf>
          </x14:cfRule>
          <xm:sqref>A7:F7</xm:sqref>
        </x14:conditionalFormatting>
        <x14:conditionalFormatting xmlns:xm="http://schemas.microsoft.com/office/excel/2006/main">
          <x14:cfRule type="expression" priority="633" id="{701BDEE8-6887-4BC7-98F3-C68ED374FF53}">
            <xm:f>SEARCH(RefData!$B$2,$B$8)</xm:f>
            <x14:dxf>
              <font>
                <color rgb="FF5F5F5F"/>
              </font>
              <fill>
                <patternFill>
                  <bgColor theme="0" tint="-0.14996795556505021"/>
                </patternFill>
              </fill>
            </x14:dxf>
          </x14:cfRule>
          <xm:sqref>A8:F8</xm:sqref>
        </x14:conditionalFormatting>
        <x14:conditionalFormatting xmlns:xm="http://schemas.microsoft.com/office/excel/2006/main">
          <x14:cfRule type="expression" priority="2" id="{AE5C5171-57AF-4AAF-8565-6669C7F47745}">
            <xm:f>$C$12=RefData!$B$433</xm:f>
            <x14:dxf>
              <fill>
                <patternFill>
                  <bgColor rgb="FFEFF5FA"/>
                </patternFill>
              </fill>
            </x14:dxf>
          </x14:cfRule>
          <x14:cfRule type="expression" priority="3" id="{D0A14453-838B-401F-90C6-9FFFC5FC1D40}">
            <xm:f>$C$12=RefData!$B$434</xm:f>
            <x14:dxf>
              <fill>
                <patternFill>
                  <bgColor rgb="FFEFF5FA"/>
                </patternFill>
              </fill>
            </x14:dxf>
          </x14:cfRule>
          <xm:sqref>C12</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errorTitle="There is a problem" error="You must select 'Yes' or 'No' from the drop-down list." promptTitle="Select an answer" prompt="Choose from the list provided" xr:uid="{54DC8AF2-8ED7-4F6F-A2C3-96E12337C6C3}">
          <x14:formula1>
            <xm:f>RefData!$B$27:$B$28</xm:f>
          </x14:formula1>
          <xm:sqref>C8</xm:sqref>
        </x14:dataValidation>
        <x14:dataValidation type="list" allowBlank="1" showInputMessage="1" showErrorMessage="1" errorTitle="There is a problem" error="You must select 'Yes' or 'No' from the drop-down list." promptTitle="Select an answer" prompt="Choose from the list provided" xr:uid="{A6FD7772-B493-4EF9-A578-1AE5D0B666C4}">
          <x14:formula1>
            <xm:f>RefData!$B$25:$B$26</xm:f>
          </x14:formula1>
          <xm:sqref>C7</xm:sqref>
        </x14:dataValidation>
        <x14:dataValidation type="list" allowBlank="1" showInputMessage="1" showErrorMessage="1" xr:uid="{6DC93347-A9FD-4183-92D6-776622B5314F}">
          <x14:formula1>
            <xm:f>RefData!$B$433:$B$435</xm:f>
          </x14:formula1>
          <xm:sqref>C12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C3AB1-EB5F-4B3D-B224-D8E0C3C7FF89}">
  <sheetPr codeName="Sheet14"/>
  <dimension ref="A1:H51"/>
  <sheetViews>
    <sheetView zoomScaleNormal="100" workbookViewId="0">
      <selection sqref="A1:B1"/>
    </sheetView>
  </sheetViews>
  <sheetFormatPr defaultColWidth="0" defaultRowHeight="0" customHeight="1" zeroHeight="1"/>
  <cols>
    <col min="1" max="1" width="17.4609375" style="267" customWidth="1"/>
    <col min="2" max="2" width="67.69140625" style="267" customWidth="1"/>
    <col min="3" max="3" width="28.69140625" style="267" customWidth="1"/>
    <col min="4" max="4" width="64.07421875" style="267" customWidth="1"/>
    <col min="5" max="5" width="32.07421875" style="267" customWidth="1"/>
    <col min="6" max="6" width="36.69140625" style="267" customWidth="1"/>
    <col min="7" max="16384" width="7.69140625" style="20" hidden="1"/>
  </cols>
  <sheetData>
    <row r="1" spans="1:7" ht="50.15" customHeight="1" thickBot="1">
      <c r="A1" s="747" t="s">
        <v>384</v>
      </c>
      <c r="B1" s="786"/>
      <c r="C1" s="37"/>
      <c r="D1" s="37"/>
      <c r="E1" s="37"/>
      <c r="F1" s="37"/>
    </row>
    <row r="2" spans="1:7" ht="50.15" customHeight="1" thickTop="1" thickBot="1">
      <c r="A2" s="785" t="s">
        <v>85</v>
      </c>
      <c r="B2" s="743"/>
      <c r="C2" s="57"/>
      <c r="D2" s="57"/>
      <c r="E2" s="57"/>
      <c r="F2" s="57"/>
    </row>
    <row r="3" spans="1:7" ht="300" customHeight="1" thickTop="1" thickBot="1">
      <c r="A3" s="792" t="s">
        <v>385</v>
      </c>
      <c r="B3" s="766"/>
      <c r="C3" s="3"/>
      <c r="D3" s="3"/>
      <c r="E3" s="3"/>
      <c r="F3" s="3"/>
    </row>
    <row r="4" spans="1:7" ht="20.149999999999999" customHeight="1" thickBot="1">
      <c r="A4" s="75"/>
      <c r="B4" s="75"/>
      <c r="C4" s="75" t="s">
        <v>23</v>
      </c>
      <c r="D4" s="75"/>
      <c r="E4" s="75"/>
      <c r="F4" s="75"/>
      <c r="G4" s="69"/>
    </row>
    <row r="5" spans="1:7" s="74" customFormat="1" ht="50.15" customHeight="1" thickBot="1">
      <c r="A5" s="755" t="s">
        <v>386</v>
      </c>
      <c r="B5" s="755"/>
      <c r="C5" s="57"/>
      <c r="D5" s="448"/>
      <c r="E5" s="57" t="s">
        <v>104</v>
      </c>
      <c r="F5" s="57"/>
    </row>
    <row r="6" spans="1:7" s="39" customFormat="1" ht="200.15" customHeight="1" thickTop="1">
      <c r="A6" s="272" t="s">
        <v>297</v>
      </c>
      <c r="B6" s="268" t="s">
        <v>90</v>
      </c>
      <c r="C6" s="273" t="s">
        <v>387</v>
      </c>
      <c r="D6" s="272" t="s">
        <v>92</v>
      </c>
      <c r="E6" s="540" t="s">
        <v>388</v>
      </c>
      <c r="F6" s="273" t="s">
        <v>93</v>
      </c>
    </row>
    <row r="7" spans="1:7" ht="110.25" customHeight="1">
      <c r="A7" s="118" t="s">
        <v>389</v>
      </c>
      <c r="B7" s="216" t="str">
        <f>Questions!C57</f>
        <v xml:space="preserve">
Year 1
</v>
      </c>
      <c r="C7" s="304"/>
      <c r="D7" s="351" t="str">
        <f ca="1">'Reconciliation report'!D376</f>
        <v/>
      </c>
      <c r="E7" s="269"/>
      <c r="F7" s="120"/>
    </row>
    <row r="8" spans="1:7" ht="110.25" customHeight="1">
      <c r="A8" s="118" t="s">
        <v>390</v>
      </c>
      <c r="B8" s="216" t="str">
        <f>Questions!C58</f>
        <v xml:space="preserve">
Year 2
</v>
      </c>
      <c r="C8" s="304"/>
      <c r="D8" s="351" t="str">
        <f ca="1">'Reconciliation report'!D377</f>
        <v/>
      </c>
      <c r="E8" s="269"/>
      <c r="F8" s="180"/>
    </row>
    <row r="9" spans="1:7" ht="110.25" customHeight="1">
      <c r="A9" s="118" t="s">
        <v>391</v>
      </c>
      <c r="B9" s="216" t="str">
        <f>Questions!C59</f>
        <v xml:space="preserve">
Year 3
</v>
      </c>
      <c r="C9" s="304"/>
      <c r="D9" s="351" t="str">
        <f ca="1">'Reconciliation report'!D378</f>
        <v/>
      </c>
      <c r="E9" s="269"/>
      <c r="F9" s="180"/>
    </row>
    <row r="10" spans="1:7" ht="110.25" customHeight="1">
      <c r="A10" s="118" t="s">
        <v>392</v>
      </c>
      <c r="B10" s="216" t="str">
        <f>Questions!C60</f>
        <v xml:space="preserve">
Year 4
</v>
      </c>
      <c r="C10" s="304"/>
      <c r="D10" s="351" t="str">
        <f ca="1">'Reconciliation report'!D379</f>
        <v/>
      </c>
      <c r="E10" s="269"/>
      <c r="F10" s="180"/>
    </row>
    <row r="11" spans="1:7" ht="110.25" customHeight="1">
      <c r="A11" s="118" t="s">
        <v>393</v>
      </c>
      <c r="B11" s="216" t="str">
        <f>Questions!C61</f>
        <v xml:space="preserve">
Year 5
</v>
      </c>
      <c r="C11" s="304"/>
      <c r="D11" s="351" t="str">
        <f ca="1">'Reconciliation report'!D380</f>
        <v/>
      </c>
      <c r="E11" s="269"/>
      <c r="F11" s="180"/>
    </row>
    <row r="12" spans="1:7" ht="110.25" customHeight="1">
      <c r="A12" s="118" t="s">
        <v>394</v>
      </c>
      <c r="B12" s="216" t="str">
        <f>Questions!C62</f>
        <v xml:space="preserve">
Year 6
</v>
      </c>
      <c r="C12" s="304"/>
      <c r="D12" s="351" t="str">
        <f ca="1">'Reconciliation report'!D381</f>
        <v/>
      </c>
      <c r="E12" s="269"/>
      <c r="F12" s="180"/>
    </row>
    <row r="13" spans="1:7" ht="110.25" customHeight="1">
      <c r="A13" s="118" t="s">
        <v>395</v>
      </c>
      <c r="B13" s="216" t="str">
        <f>Questions!C63</f>
        <v xml:space="preserve">
Year 7
</v>
      </c>
      <c r="C13" s="304"/>
      <c r="D13" s="351" t="str">
        <f ca="1">'Reconciliation report'!D382</f>
        <v/>
      </c>
      <c r="E13" s="269"/>
      <c r="F13" s="180"/>
    </row>
    <row r="14" spans="1:7" ht="110.25" customHeight="1">
      <c r="A14" s="118" t="s">
        <v>396</v>
      </c>
      <c r="B14" s="216" t="str">
        <f>Questions!C64</f>
        <v xml:space="preserve">
Year 8
</v>
      </c>
      <c r="C14" s="304"/>
      <c r="D14" s="351" t="str">
        <f ca="1">'Reconciliation report'!D383</f>
        <v/>
      </c>
      <c r="E14" s="269"/>
      <c r="F14" s="180"/>
    </row>
    <row r="15" spans="1:7" ht="110.25" customHeight="1">
      <c r="A15" s="118" t="s">
        <v>397</v>
      </c>
      <c r="B15" s="216" t="str">
        <f>Questions!C65</f>
        <v xml:space="preserve">
Year 9
</v>
      </c>
      <c r="C15" s="304"/>
      <c r="D15" s="351" t="str">
        <f ca="1">'Reconciliation report'!D384</f>
        <v/>
      </c>
      <c r="E15" s="269"/>
      <c r="F15" s="180"/>
    </row>
    <row r="16" spans="1:7" s="24" customFormat="1" ht="110.25" customHeight="1">
      <c r="A16" s="118" t="s">
        <v>398</v>
      </c>
      <c r="B16" s="216" t="str">
        <f>Questions!C66</f>
        <v xml:space="preserve">
Year 10
</v>
      </c>
      <c r="C16" s="304"/>
      <c r="D16" s="351" t="str">
        <f ca="1">'Reconciliation report'!D385</f>
        <v/>
      </c>
      <c r="E16" s="269"/>
      <c r="F16" s="180"/>
      <c r="G16" s="20"/>
    </row>
    <row r="17" spans="1:7" s="24" customFormat="1" ht="110.25" customHeight="1">
      <c r="A17" s="118" t="s">
        <v>399</v>
      </c>
      <c r="B17" s="216" t="str">
        <f>Questions!C67</f>
        <v xml:space="preserve">
Year 11
</v>
      </c>
      <c r="C17" s="304"/>
      <c r="D17" s="351" t="str">
        <f ca="1">'Reconciliation report'!D386</f>
        <v/>
      </c>
      <c r="E17" s="269"/>
      <c r="F17" s="180"/>
      <c r="G17" s="20"/>
    </row>
    <row r="18" spans="1:7" s="24" customFormat="1" ht="110.25" customHeight="1">
      <c r="A18" s="118" t="s">
        <v>400</v>
      </c>
      <c r="B18" s="216" t="str">
        <f>Questions!C68</f>
        <v xml:space="preserve">
Year 12
</v>
      </c>
      <c r="C18" s="304"/>
      <c r="D18" s="351" t="str">
        <f ca="1">'Reconciliation report'!D387</f>
        <v/>
      </c>
      <c r="E18" s="269"/>
      <c r="F18" s="180"/>
      <c r="G18" s="20"/>
    </row>
    <row r="19" spans="1:7" s="24" customFormat="1" ht="110.25" customHeight="1">
      <c r="A19" s="118" t="s">
        <v>401</v>
      </c>
      <c r="B19" s="216" t="str">
        <f>Questions!C69</f>
        <v xml:space="preserve">
Year 13
</v>
      </c>
      <c r="C19" s="304"/>
      <c r="D19" s="351" t="str">
        <f ca="1">'Reconciliation report'!D388</f>
        <v/>
      </c>
      <c r="E19" s="269"/>
      <c r="F19" s="180"/>
      <c r="G19" s="20"/>
    </row>
    <row r="20" spans="1:7" s="24" customFormat="1" ht="110.25" customHeight="1">
      <c r="A20" s="118" t="s">
        <v>402</v>
      </c>
      <c r="B20" s="216" t="str">
        <f>Questions!C70</f>
        <v xml:space="preserve">
Year 14
</v>
      </c>
      <c r="C20" s="304"/>
      <c r="D20" s="351" t="str">
        <f ca="1">'Reconciliation report'!D389</f>
        <v/>
      </c>
      <c r="E20" s="269"/>
      <c r="F20" s="180"/>
      <c r="G20" s="20"/>
    </row>
    <row r="21" spans="1:7" s="24" customFormat="1" ht="110.25" customHeight="1">
      <c r="A21" s="118" t="s">
        <v>403</v>
      </c>
      <c r="B21" s="216" t="str">
        <f>Questions!C71</f>
        <v xml:space="preserve">
Year 15
</v>
      </c>
      <c r="C21" s="304"/>
      <c r="D21" s="351" t="str">
        <f ca="1">'Reconciliation report'!D390</f>
        <v/>
      </c>
      <c r="E21" s="269"/>
      <c r="F21" s="180"/>
      <c r="G21" s="20"/>
    </row>
    <row r="22" spans="1:7" s="24" customFormat="1" ht="110.25" customHeight="1">
      <c r="A22" s="118" t="s">
        <v>404</v>
      </c>
      <c r="B22" s="216" t="str">
        <f>Questions!C72</f>
        <v xml:space="preserve">
Year 16
</v>
      </c>
      <c r="C22" s="304"/>
      <c r="D22" s="351" t="str">
        <f ca="1">'Reconciliation report'!D391</f>
        <v/>
      </c>
      <c r="E22" s="269"/>
      <c r="F22" s="180"/>
      <c r="G22" s="20"/>
    </row>
    <row r="23" spans="1:7" s="24" customFormat="1" ht="110.25" customHeight="1">
      <c r="A23" s="118" t="s">
        <v>405</v>
      </c>
      <c r="B23" s="216" t="str">
        <f>Questions!C73</f>
        <v xml:space="preserve">
Year 17
</v>
      </c>
      <c r="C23" s="304"/>
      <c r="D23" s="351" t="str">
        <f ca="1">'Reconciliation report'!D392</f>
        <v/>
      </c>
      <c r="E23" s="269"/>
      <c r="F23" s="180"/>
      <c r="G23" s="20"/>
    </row>
    <row r="24" spans="1:7" s="24" customFormat="1" ht="110.25" customHeight="1">
      <c r="A24" s="118" t="s">
        <v>406</v>
      </c>
      <c r="B24" s="216" t="str">
        <f>Questions!C74</f>
        <v xml:space="preserve">
Year 18
</v>
      </c>
      <c r="C24" s="304"/>
      <c r="D24" s="351" t="str">
        <f ca="1">'Reconciliation report'!D393</f>
        <v/>
      </c>
      <c r="E24" s="269"/>
      <c r="F24" s="180"/>
      <c r="G24" s="20"/>
    </row>
    <row r="25" spans="1:7" s="24" customFormat="1" ht="110.25" customHeight="1">
      <c r="A25" s="118" t="s">
        <v>407</v>
      </c>
      <c r="B25" s="216" t="str">
        <f>Questions!C75</f>
        <v xml:space="preserve">
Year 19
</v>
      </c>
      <c r="C25" s="304"/>
      <c r="D25" s="351" t="str">
        <f ca="1">'Reconciliation report'!D394</f>
        <v/>
      </c>
      <c r="E25" s="269"/>
      <c r="F25" s="180"/>
      <c r="G25" s="20"/>
    </row>
    <row r="26" spans="1:7" s="24" customFormat="1" ht="110.25" customHeight="1">
      <c r="A26" s="118" t="s">
        <v>408</v>
      </c>
      <c r="B26" s="216" t="str">
        <f>Questions!C76</f>
        <v xml:space="preserve">
Year 20
</v>
      </c>
      <c r="C26" s="304"/>
      <c r="D26" s="351" t="str">
        <f ca="1">'Reconciliation report'!D395</f>
        <v/>
      </c>
      <c r="E26" s="269"/>
      <c r="F26" s="180"/>
      <c r="G26" s="20"/>
    </row>
    <row r="27" spans="1:7" s="24" customFormat="1" ht="110.25" customHeight="1">
      <c r="A27" s="118" t="s">
        <v>409</v>
      </c>
      <c r="B27" s="216" t="str">
        <f>Questions!C77</f>
        <v xml:space="preserve">
Year 21
</v>
      </c>
      <c r="C27" s="304"/>
      <c r="D27" s="351" t="str">
        <f ca="1">'Reconciliation report'!D396</f>
        <v/>
      </c>
      <c r="E27" s="269"/>
      <c r="F27" s="180"/>
      <c r="G27" s="20"/>
    </row>
    <row r="28" spans="1:7" s="24" customFormat="1" ht="110.25" customHeight="1">
      <c r="A28" s="118" t="s">
        <v>410</v>
      </c>
      <c r="B28" s="216" t="str">
        <f>Questions!C78</f>
        <v xml:space="preserve">
Year 22
</v>
      </c>
      <c r="C28" s="304"/>
      <c r="D28" s="351" t="str">
        <f ca="1">'Reconciliation report'!D397</f>
        <v/>
      </c>
      <c r="E28" s="269"/>
      <c r="F28" s="180"/>
      <c r="G28" s="20"/>
    </row>
    <row r="29" spans="1:7" s="24" customFormat="1" ht="110.25" customHeight="1">
      <c r="A29" s="118" t="s">
        <v>411</v>
      </c>
      <c r="B29" s="216" t="str">
        <f>Questions!C79</f>
        <v xml:space="preserve">
Year 23
</v>
      </c>
      <c r="C29" s="304"/>
      <c r="D29" s="351" t="str">
        <f ca="1">'Reconciliation report'!D398</f>
        <v/>
      </c>
      <c r="E29" s="269"/>
      <c r="F29" s="180"/>
      <c r="G29" s="20"/>
    </row>
    <row r="30" spans="1:7" s="24" customFormat="1" ht="110.25" customHeight="1">
      <c r="A30" s="118" t="s">
        <v>412</v>
      </c>
      <c r="B30" s="216" t="str">
        <f>Questions!C80</f>
        <v xml:space="preserve">
Year 24
</v>
      </c>
      <c r="C30" s="304"/>
      <c r="D30" s="351" t="str">
        <f ca="1">'Reconciliation report'!D399</f>
        <v/>
      </c>
      <c r="E30" s="269"/>
      <c r="F30" s="180"/>
      <c r="G30" s="20"/>
    </row>
    <row r="31" spans="1:7" s="24" customFormat="1" ht="110.25" customHeight="1">
      <c r="A31" s="118" t="s">
        <v>413</v>
      </c>
      <c r="B31" s="216" t="str">
        <f>Questions!C81</f>
        <v xml:space="preserve">
Year 25
</v>
      </c>
      <c r="C31" s="304"/>
      <c r="D31" s="351" t="str">
        <f ca="1">'Reconciliation report'!D400</f>
        <v/>
      </c>
      <c r="E31" s="269"/>
      <c r="F31" s="180"/>
      <c r="G31" s="20"/>
    </row>
    <row r="32" spans="1:7" s="24" customFormat="1" ht="110.25" customHeight="1">
      <c r="A32" s="118" t="s">
        <v>414</v>
      </c>
      <c r="B32" s="216" t="str">
        <f>Questions!C82</f>
        <v xml:space="preserve">
Year 26
</v>
      </c>
      <c r="C32" s="304"/>
      <c r="D32" s="351" t="str">
        <f ca="1">'Reconciliation report'!D401</f>
        <v/>
      </c>
      <c r="E32" s="269"/>
      <c r="F32" s="180"/>
      <c r="G32" s="20"/>
    </row>
    <row r="33" spans="1:7" s="24" customFormat="1" ht="110.25" customHeight="1">
      <c r="A33" s="118" t="s">
        <v>415</v>
      </c>
      <c r="B33" s="216" t="str">
        <f>Questions!C83</f>
        <v xml:space="preserve">
Year 27
</v>
      </c>
      <c r="C33" s="304"/>
      <c r="D33" s="351" t="str">
        <f ca="1">'Reconciliation report'!D402</f>
        <v/>
      </c>
      <c r="E33" s="269"/>
      <c r="F33" s="180"/>
      <c r="G33" s="20"/>
    </row>
    <row r="34" spans="1:7" s="24" customFormat="1" ht="110.25" customHeight="1">
      <c r="A34" s="118" t="s">
        <v>416</v>
      </c>
      <c r="B34" s="216" t="str">
        <f>Questions!C84</f>
        <v xml:space="preserve">
Year 28
</v>
      </c>
      <c r="C34" s="304"/>
      <c r="D34" s="351" t="str">
        <f ca="1">'Reconciliation report'!D403</f>
        <v/>
      </c>
      <c r="E34" s="269"/>
      <c r="F34" s="180"/>
      <c r="G34" s="20"/>
    </row>
    <row r="35" spans="1:7" s="24" customFormat="1" ht="110.25" customHeight="1">
      <c r="A35" s="118" t="s">
        <v>417</v>
      </c>
      <c r="B35" s="216" t="str">
        <f>Questions!C85</f>
        <v xml:space="preserve">
Year 29
</v>
      </c>
      <c r="C35" s="304"/>
      <c r="D35" s="351" t="str">
        <f ca="1">'Reconciliation report'!D404</f>
        <v/>
      </c>
      <c r="E35" s="269"/>
      <c r="F35" s="180"/>
      <c r="G35" s="20"/>
    </row>
    <row r="36" spans="1:7" s="24" customFormat="1" ht="110.25" customHeight="1">
      <c r="A36" s="118" t="s">
        <v>418</v>
      </c>
      <c r="B36" s="216" t="str">
        <f>Questions!C86</f>
        <v xml:space="preserve">
Year 30
</v>
      </c>
      <c r="C36" s="304"/>
      <c r="D36" s="351" t="str">
        <f ca="1">'Reconciliation report'!D405</f>
        <v/>
      </c>
      <c r="E36" s="269"/>
      <c r="F36" s="180"/>
      <c r="G36" s="20"/>
    </row>
    <row r="37" spans="1:7" s="24" customFormat="1" ht="110.25" customHeight="1">
      <c r="A37" s="118" t="s">
        <v>419</v>
      </c>
      <c r="B37" s="216" t="str">
        <f>Questions!C87</f>
        <v xml:space="preserve">
Year 31
</v>
      </c>
      <c r="C37" s="304"/>
      <c r="D37" s="351" t="str">
        <f ca="1">'Reconciliation report'!D406</f>
        <v/>
      </c>
      <c r="E37" s="269"/>
      <c r="F37" s="180"/>
      <c r="G37" s="20"/>
    </row>
    <row r="38" spans="1:7" s="24" customFormat="1" ht="110.25" customHeight="1">
      <c r="A38" s="118" t="s">
        <v>420</v>
      </c>
      <c r="B38" s="216" t="str">
        <f>Questions!C88</f>
        <v xml:space="preserve">
Year 32
</v>
      </c>
      <c r="C38" s="304"/>
      <c r="D38" s="351" t="str">
        <f ca="1">'Reconciliation report'!D407</f>
        <v/>
      </c>
      <c r="E38" s="269"/>
      <c r="F38" s="180"/>
      <c r="G38" s="20"/>
    </row>
    <row r="39" spans="1:7" s="24" customFormat="1" ht="110.25" customHeight="1">
      <c r="A39" s="118" t="s">
        <v>421</v>
      </c>
      <c r="B39" s="216" t="str">
        <f>Questions!C89</f>
        <v xml:space="preserve">
Year 33
</v>
      </c>
      <c r="C39" s="304"/>
      <c r="D39" s="351" t="str">
        <f ca="1">'Reconciliation report'!D408</f>
        <v/>
      </c>
      <c r="E39" s="269"/>
      <c r="F39" s="180"/>
      <c r="G39" s="20"/>
    </row>
    <row r="40" spans="1:7" s="24" customFormat="1" ht="110.25" customHeight="1">
      <c r="A40" s="118" t="s">
        <v>422</v>
      </c>
      <c r="B40" s="216" t="str">
        <f>Questions!C90</f>
        <v xml:space="preserve">
Year 34
</v>
      </c>
      <c r="C40" s="304"/>
      <c r="D40" s="351" t="str">
        <f ca="1">'Reconciliation report'!D409</f>
        <v/>
      </c>
      <c r="E40" s="269"/>
      <c r="F40" s="180"/>
      <c r="G40" s="20"/>
    </row>
    <row r="41" spans="1:7" s="24" customFormat="1" ht="110.25" customHeight="1">
      <c r="A41" s="118" t="s">
        <v>423</v>
      </c>
      <c r="B41" s="216" t="str">
        <f>Questions!C91</f>
        <v xml:space="preserve">
Year 35
</v>
      </c>
      <c r="C41" s="304"/>
      <c r="D41" s="351" t="str">
        <f ca="1">'Reconciliation report'!D410</f>
        <v/>
      </c>
      <c r="E41" s="269"/>
      <c r="F41" s="180"/>
      <c r="G41" s="20"/>
    </row>
    <row r="42" spans="1:7" s="24" customFormat="1" ht="110.25" customHeight="1">
      <c r="A42" s="118" t="s">
        <v>424</v>
      </c>
      <c r="B42" s="216" t="str">
        <f>Questions!C92</f>
        <v xml:space="preserve">
Year 36
</v>
      </c>
      <c r="C42" s="304"/>
      <c r="D42" s="351" t="str">
        <f ca="1">'Reconciliation report'!D411</f>
        <v/>
      </c>
      <c r="E42" s="269"/>
      <c r="F42" s="180"/>
      <c r="G42" s="20"/>
    </row>
    <row r="43" spans="1:7" s="24" customFormat="1" ht="110.25" customHeight="1">
      <c r="A43" s="118" t="s">
        <v>425</v>
      </c>
      <c r="B43" s="216" t="str">
        <f>Questions!C93</f>
        <v xml:space="preserve">
Year 37
</v>
      </c>
      <c r="C43" s="304"/>
      <c r="D43" s="351" t="str">
        <f ca="1">'Reconciliation report'!D412</f>
        <v/>
      </c>
      <c r="E43" s="269"/>
      <c r="F43" s="180"/>
      <c r="G43" s="20"/>
    </row>
    <row r="44" spans="1:7" s="24" customFormat="1" ht="110.25" customHeight="1">
      <c r="A44" s="118" t="s">
        <v>426</v>
      </c>
      <c r="B44" s="216" t="str">
        <f>Questions!C94</f>
        <v xml:space="preserve">
Year 38
</v>
      </c>
      <c r="C44" s="304"/>
      <c r="D44" s="351" t="str">
        <f ca="1">'Reconciliation report'!D413</f>
        <v/>
      </c>
      <c r="E44" s="269"/>
      <c r="F44" s="180"/>
      <c r="G44" s="20"/>
    </row>
    <row r="45" spans="1:7" s="24" customFormat="1" ht="110.25" customHeight="1">
      <c r="A45" s="118" t="s">
        <v>427</v>
      </c>
      <c r="B45" s="216" t="str">
        <f>Questions!C95</f>
        <v xml:space="preserve">
Year 39
</v>
      </c>
      <c r="C45" s="304"/>
      <c r="D45" s="351" t="str">
        <f ca="1">'Reconciliation report'!D414</f>
        <v/>
      </c>
      <c r="E45" s="269"/>
      <c r="F45" s="180"/>
      <c r="G45" s="20"/>
    </row>
    <row r="46" spans="1:7" s="5" customFormat="1" ht="110.25" customHeight="1" thickBot="1">
      <c r="A46" s="266" t="s">
        <v>428</v>
      </c>
      <c r="B46" s="270" t="str">
        <f>Questions!C96</f>
        <v xml:space="preserve">
Year 40
</v>
      </c>
      <c r="C46" s="305"/>
      <c r="D46" s="351" t="str">
        <f ca="1">'Reconciliation report'!D415</f>
        <v/>
      </c>
      <c r="E46" s="271"/>
      <c r="F46" s="306"/>
    </row>
    <row r="47" spans="1:7" ht="20.149999999999999" hidden="1" customHeight="1" thickBot="1">
      <c r="A47" s="75"/>
      <c r="B47" s="75"/>
      <c r="C47" s="75" t="s">
        <v>23</v>
      </c>
      <c r="D47" s="99"/>
      <c r="E47" s="200"/>
      <c r="F47" s="200"/>
      <c r="G47" s="200"/>
    </row>
    <row r="48" spans="1:7" ht="50.15" hidden="1" customHeight="1" thickBot="1">
      <c r="A48" s="750" t="s">
        <v>117</v>
      </c>
      <c r="B48" s="751"/>
      <c r="C48" s="57"/>
      <c r="D48" s="57"/>
      <c r="E48" s="57"/>
      <c r="F48" s="57"/>
      <c r="G48" s="57"/>
    </row>
    <row r="49" spans="1:8" s="47" customFormat="1" ht="36" hidden="1" customHeight="1" thickTop="1" thickBot="1">
      <c r="A49" s="752" t="s">
        <v>90</v>
      </c>
      <c r="B49" s="753"/>
      <c r="C49" s="668" t="s">
        <v>91</v>
      </c>
      <c r="D49" s="669"/>
      <c r="E49" s="667"/>
      <c r="F49" s="667"/>
      <c r="G49" s="667"/>
      <c r="H49" s="17"/>
    </row>
    <row r="50" spans="1:8" ht="86" hidden="1" customHeight="1" thickTop="1" thickBot="1">
      <c r="A50" s="744" t="s">
        <v>118</v>
      </c>
      <c r="B50" s="754"/>
      <c r="C50" s="683"/>
      <c r="D50" s="62"/>
      <c r="E50" s="667"/>
      <c r="F50" s="667"/>
      <c r="G50" s="196"/>
    </row>
    <row r="51" spans="1:8" s="47" customFormat="1" ht="50.25" customHeight="1">
      <c r="A51" s="439"/>
      <c r="B51" s="255"/>
      <c r="C51" s="439"/>
      <c r="D51" s="685"/>
      <c r="E51" s="685"/>
      <c r="F51" s="685"/>
    </row>
  </sheetData>
  <sheetProtection algorithmName="SHA-512" hashValue="MxWCSvre4Hk62t3xXZsNL8ifhBkj+y1MvRZ8zfZWP1HtylzWFxYNUMo2qyBNp1Ro2MI1ckkL53cnfXbzWLAKrQ==" saltValue="esbrn61w7vDb8SLPQeM1MA==" spinCount="100000" sheet="1" objects="1" scenarios="1" sort="0" autoFilter="0"/>
  <mergeCells count="7">
    <mergeCell ref="A49:B49"/>
    <mergeCell ref="A50:B50"/>
    <mergeCell ref="A1:B1"/>
    <mergeCell ref="A2:B2"/>
    <mergeCell ref="A3:B3"/>
    <mergeCell ref="A5:B5"/>
    <mergeCell ref="A48:B48"/>
  </mergeCells>
  <phoneticPr fontId="11" type="noConversion"/>
  <conditionalFormatting sqref="C50">
    <cfRule type="expression" dxfId="644" priority="1">
      <formula>$C$50=""</formula>
    </cfRule>
  </conditionalFormatting>
  <conditionalFormatting sqref="D7:D46">
    <cfRule type="notContainsBlanks" dxfId="641" priority="4">
      <formula>LEN(TRIM(D7))&gt;0</formula>
    </cfRule>
  </conditionalFormatting>
  <dataValidations count="3">
    <dataValidation allowBlank="1" showInputMessage="1" showErrorMessage="1" errorTitle="There is a problem" sqref="F4" xr:uid="{25C41C31-5855-4E8C-BF12-26BAC06DF21F}"/>
    <dataValidation type="custom" allowBlank="1" showInputMessage="1" showErrorMessage="1" errorTitle="There is a problem" error="You must enter a number greater than or equal to 0.00 and less than 1,000,000,000,000 (1 trillion) with up to two decimal places." promptTitle="Enter a value" prompt="Enter a number (£)" sqref="C7:C46" xr:uid="{DCF70E6A-B52A-462F-966B-69E5AE39B29C}">
      <formula1>AND(ISNUMBER(VALUE(C7)), VALUE(C7)&gt;=0, VALUE(C7)&lt;=999999999999.99, IF(ISERROR(FIND(".", C7)), VALUE(C7)=INT(VALUE(C7)), LEN(C7)-FIND(".", C7)&lt;=2))</formula1>
    </dataValidation>
    <dataValidation allowBlank="1" showInputMessage="1" showErrorMessage="1" error="Select from the list." sqref="C51" xr:uid="{6A967C8F-FC02-4BAF-A62E-E5938C31FCF5}"/>
  </dataValidations>
  <pageMargins left="0.70000000000000007" right="0.70000000000000007" top="0.75" bottom="0.75" header="0.30000000000000004" footer="0.30000000000000004"/>
  <pageSetup paperSize="9" fitToWidth="0"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634" id="{ED4B99E3-991E-42BD-B61A-C16B7051C798}">
            <xm:f>SEARCH(RefData!$B$2,$B$7)</xm:f>
            <x14:dxf>
              <font>
                <color rgb="FF5F5F5F"/>
              </font>
              <fill>
                <patternFill>
                  <bgColor theme="0" tint="-0.14996795556505021"/>
                </patternFill>
              </fill>
            </x14:dxf>
          </x14:cfRule>
          <xm:sqref>A6:F46</xm:sqref>
        </x14:conditionalFormatting>
        <x14:conditionalFormatting xmlns:xm="http://schemas.microsoft.com/office/excel/2006/main">
          <x14:cfRule type="expression" priority="2" id="{23B783C8-3B8B-406F-9EAE-0DBB80D9E20A}">
            <xm:f>$C$50=RefData!$B$433</xm:f>
            <x14:dxf>
              <fill>
                <patternFill>
                  <bgColor rgb="FFEFF5FA"/>
                </patternFill>
              </fill>
            </x14:dxf>
          </x14:cfRule>
          <x14:cfRule type="expression" priority="3" id="{F9FA22FE-3458-4E32-81C4-6EAB13FCD741}">
            <xm:f>$C$50=RefData!$B$434</xm:f>
            <x14:dxf>
              <fill>
                <patternFill>
                  <bgColor rgb="FFEFF5FA"/>
                </patternFill>
              </fill>
            </x14:dxf>
          </x14:cfRule>
          <xm:sqref>C50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2D19CF99-56B8-46C5-9BE4-CD5C53E88683}">
          <x14:formula1>
            <xm:f>RefData!$B$433:$B$435</xm:f>
          </x14:formula1>
          <xm:sqref>C50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1595C-685A-4A77-877F-280ECD10998B}">
  <sheetPr codeName="Sheet15">
    <tabColor rgb="FF404040"/>
  </sheetPr>
  <dimension ref="A1:XFC42"/>
  <sheetViews>
    <sheetView zoomScaleNormal="100" workbookViewId="0"/>
  </sheetViews>
  <sheetFormatPr defaultRowHeight="20.149999999999999" customHeight="1" zeroHeight="1"/>
  <cols>
    <col min="1" max="1" width="62.69140625" style="20" customWidth="1"/>
    <col min="2" max="2" width="62.69140625" style="47" customWidth="1"/>
    <col min="3" max="3" width="2.69140625" style="20" hidden="1" customWidth="1"/>
    <col min="4" max="4" width="11.07421875" style="47" hidden="1" customWidth="1"/>
    <col min="5" max="16383" width="0" style="47" hidden="1" customWidth="1"/>
    <col min="16384" max="16384" width="7.07421875" style="47" hidden="1" customWidth="1"/>
  </cols>
  <sheetData>
    <row r="1" spans="1:7" s="30" customFormat="1" ht="50.15" customHeight="1" thickBot="1">
      <c r="A1" s="571" t="s">
        <v>429</v>
      </c>
      <c r="B1" s="13"/>
      <c r="C1" s="20"/>
    </row>
    <row r="2" spans="1:7" s="30" customFormat="1" ht="50.15" customHeight="1" thickTop="1" thickBot="1">
      <c r="A2" s="57" t="s">
        <v>1</v>
      </c>
      <c r="B2" s="57"/>
      <c r="C2" s="20"/>
    </row>
    <row r="3" spans="1:7" s="30" customFormat="1" ht="228" customHeight="1" thickTop="1" thickBot="1">
      <c r="A3" s="34" t="s">
        <v>430</v>
      </c>
      <c r="B3" s="22"/>
      <c r="C3" s="20"/>
    </row>
    <row r="4" spans="1:7" s="30" customFormat="1" ht="50.15" customHeight="1" thickBot="1">
      <c r="A4" s="57" t="s">
        <v>431</v>
      </c>
      <c r="B4" s="57"/>
      <c r="C4" s="20"/>
    </row>
    <row r="5" spans="1:7" s="30" customFormat="1" ht="36" customHeight="1" thickTop="1">
      <c r="A5" s="12" t="s">
        <v>122</v>
      </c>
      <c r="B5" s="64" t="s">
        <v>123</v>
      </c>
      <c r="C5" s="24"/>
    </row>
    <row r="6" spans="1:7" s="30" customFormat="1" ht="50.15" customHeight="1">
      <c r="A6" s="1" t="s">
        <v>53</v>
      </c>
      <c r="B6" s="60" t="str">
        <f>'Table of Contents'!B24</f>
        <v xml:space="preserve">Data and information related to the current level of investment risk in the scheme’s notional investment allocation. </v>
      </c>
      <c r="C6" s="24"/>
    </row>
    <row r="7" spans="1:7" s="30" customFormat="1" ht="50.15" customHeight="1">
      <c r="A7" s="1" t="s">
        <v>55</v>
      </c>
      <c r="B7" s="61" t="str">
        <f>'Table of Contents'!B25</f>
        <v>Data and information related to the scheme’s liquidity.</v>
      </c>
      <c r="C7" s="20"/>
    </row>
    <row r="8" spans="1:7" s="30" customFormat="1" ht="72.650000000000006" customHeight="1" thickBot="1">
      <c r="A8" s="1" t="s">
        <v>57</v>
      </c>
      <c r="B8" s="60" t="str">
        <f>'Table of Contents'!B26</f>
        <v>Data and information about the level of investment risk within the scheme’s journey plan from the current notional investment allocation to the intended allocation at the relevant date.</v>
      </c>
      <c r="C8" s="20"/>
    </row>
    <row r="9" spans="1:7" ht="50.25" customHeight="1">
      <c r="A9" s="441"/>
      <c r="B9" s="439"/>
      <c r="C9" s="255"/>
      <c r="D9" s="439"/>
      <c r="E9" s="439"/>
      <c r="F9" s="439"/>
      <c r="G9" s="201"/>
    </row>
    <row r="10" spans="1:7" s="30" customFormat="1" ht="20.149999999999999" hidden="1" customHeight="1">
      <c r="A10" s="52"/>
      <c r="B10" s="47"/>
      <c r="C10" s="20"/>
    </row>
    <row r="11" spans="1:7" ht="20.149999999999999" hidden="1" customHeight="1">
      <c r="A11" s="52"/>
    </row>
    <row r="13" spans="1:7" ht="20.149999999999999" hidden="1" customHeight="1">
      <c r="A13" s="51"/>
    </row>
    <row r="14" spans="1:7" ht="20.149999999999999" hidden="1" customHeight="1">
      <c r="A14" s="53"/>
    </row>
    <row r="15" spans="1:7" ht="20.149999999999999" hidden="1" customHeight="1">
      <c r="A15" s="51"/>
    </row>
    <row r="16" spans="1:7" ht="20.149999999999999" hidden="1" customHeight="1">
      <c r="A16" s="53"/>
    </row>
    <row r="17" spans="1:16383" ht="20.149999999999999" hidden="1" customHeight="1">
      <c r="A17" s="51"/>
    </row>
    <row r="19" spans="1:16383" ht="20.149999999999999" hidden="1" customHeight="1">
      <c r="A19" s="51"/>
    </row>
    <row r="20" spans="1:16383" ht="20.149999999999999" hidden="1" customHeight="1">
      <c r="A20" s="52"/>
    </row>
    <row r="21" spans="1:16383" ht="20.149999999999999" hidden="1" customHeight="1">
      <c r="A21" s="53"/>
    </row>
    <row r="22" spans="1:16383" ht="20.149999999999999" hidden="1" customHeight="1">
      <c r="A22" s="51"/>
    </row>
    <row r="28" spans="1:16383" ht="20.149999999999999" hidden="1" customHeight="1">
      <c r="A28" s="51"/>
    </row>
    <row r="29" spans="1:16383" s="20" customFormat="1" ht="20.149999999999999" hidden="1" customHeight="1">
      <c r="A29" s="52"/>
      <c r="B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A29" s="47"/>
      <c r="MB29" s="47"/>
      <c r="MC29" s="47"/>
      <c r="MD29" s="47"/>
      <c r="ME29" s="47"/>
      <c r="MF29" s="47"/>
      <c r="MG29" s="47"/>
      <c r="MH29" s="47"/>
      <c r="MI29" s="47"/>
      <c r="MJ29" s="47"/>
      <c r="MK29" s="47"/>
      <c r="ML29" s="47"/>
      <c r="MM29" s="47"/>
      <c r="MN29" s="47"/>
      <c r="MO29" s="47"/>
      <c r="MP29" s="47"/>
      <c r="MQ29" s="47"/>
      <c r="MR29" s="47"/>
      <c r="MS29" s="47"/>
      <c r="MT29" s="47"/>
      <c r="MU29" s="47"/>
      <c r="MV29" s="47"/>
      <c r="MW29" s="47"/>
      <c r="MX29" s="47"/>
      <c r="MY29" s="47"/>
      <c r="MZ29" s="47"/>
      <c r="NA29" s="47"/>
      <c r="NB29" s="47"/>
      <c r="NC29" s="47"/>
      <c r="ND29" s="47"/>
      <c r="NE29" s="47"/>
      <c r="NF29" s="47"/>
      <c r="NG29" s="47"/>
      <c r="NH29" s="47"/>
      <c r="NI29" s="47"/>
      <c r="NJ29" s="47"/>
      <c r="NK29" s="47"/>
      <c r="NL29" s="47"/>
      <c r="NM29" s="47"/>
      <c r="NN29" s="47"/>
      <c r="NO29" s="47"/>
      <c r="NP29" s="47"/>
      <c r="NQ29" s="47"/>
      <c r="NR29" s="47"/>
      <c r="NS29" s="47"/>
      <c r="NT29" s="47"/>
      <c r="NU29" s="47"/>
      <c r="NV29" s="47"/>
      <c r="NW29" s="47"/>
      <c r="NX29" s="47"/>
      <c r="NY29" s="47"/>
      <c r="NZ29" s="47"/>
      <c r="OA29" s="47"/>
      <c r="OB29" s="47"/>
      <c r="OC29" s="47"/>
      <c r="OD29" s="47"/>
      <c r="OE29" s="47"/>
      <c r="OF29" s="47"/>
      <c r="OG29" s="47"/>
      <c r="OH29" s="47"/>
      <c r="OI29" s="47"/>
      <c r="OJ29" s="47"/>
      <c r="OK29" s="47"/>
      <c r="OL29" s="47"/>
      <c r="OM29" s="47"/>
      <c r="ON29" s="47"/>
      <c r="OO29" s="47"/>
      <c r="OP29" s="47"/>
      <c r="OQ29" s="47"/>
      <c r="OR29" s="47"/>
      <c r="OS29" s="47"/>
      <c r="OT29" s="47"/>
      <c r="OU29" s="47"/>
      <c r="OV29" s="47"/>
      <c r="OW29" s="47"/>
      <c r="OX29" s="47"/>
      <c r="OY29" s="47"/>
      <c r="OZ29" s="47"/>
      <c r="PA29" s="47"/>
      <c r="PB29" s="47"/>
      <c r="PC29" s="47"/>
      <c r="PD29" s="47"/>
      <c r="PE29" s="47"/>
      <c r="PF29" s="47"/>
      <c r="PG29" s="47"/>
      <c r="PH29" s="47"/>
      <c r="PI29" s="47"/>
      <c r="PJ29" s="47"/>
      <c r="PK29" s="47"/>
      <c r="PL29" s="47"/>
      <c r="PM29" s="47"/>
      <c r="PN29" s="47"/>
      <c r="PO29" s="47"/>
      <c r="PP29" s="47"/>
      <c r="PQ29" s="47"/>
      <c r="PR29" s="47"/>
      <c r="PS29" s="47"/>
      <c r="PT29" s="47"/>
      <c r="PU29" s="47"/>
      <c r="PV29" s="47"/>
      <c r="PW29" s="47"/>
      <c r="PX29" s="47"/>
      <c r="PY29" s="47"/>
      <c r="PZ29" s="47"/>
      <c r="QA29" s="47"/>
      <c r="QB29" s="47"/>
      <c r="QC29" s="47"/>
      <c r="QD29" s="47"/>
      <c r="QE29" s="47"/>
      <c r="QF29" s="47"/>
      <c r="QG29" s="47"/>
      <c r="QH29" s="47"/>
      <c r="QI29" s="47"/>
      <c r="QJ29" s="47"/>
      <c r="QK29" s="47"/>
      <c r="QL29" s="47"/>
      <c r="QM29" s="47"/>
      <c r="QN29" s="47"/>
      <c r="QO29" s="47"/>
      <c r="QP29" s="47"/>
      <c r="QQ29" s="47"/>
      <c r="QR29" s="47"/>
      <c r="QS29" s="47"/>
      <c r="QT29" s="47"/>
      <c r="QU29" s="47"/>
      <c r="QV29" s="47"/>
      <c r="QW29" s="47"/>
      <c r="QX29" s="47"/>
      <c r="QY29" s="47"/>
      <c r="QZ29" s="47"/>
      <c r="RA29" s="47"/>
      <c r="RB29" s="47"/>
      <c r="RC29" s="47"/>
      <c r="RD29" s="47"/>
      <c r="RE29" s="47"/>
      <c r="RF29" s="47"/>
      <c r="RG29" s="47"/>
      <c r="RH29" s="47"/>
      <c r="RI29" s="47"/>
      <c r="RJ29" s="47"/>
      <c r="RK29" s="47"/>
      <c r="RL29" s="47"/>
      <c r="RM29" s="47"/>
      <c r="RN29" s="47"/>
      <c r="RO29" s="47"/>
      <c r="RP29" s="47"/>
      <c r="RQ29" s="47"/>
      <c r="RR29" s="47"/>
      <c r="RS29" s="47"/>
      <c r="RT29" s="47"/>
      <c r="RU29" s="47"/>
      <c r="RV29" s="47"/>
      <c r="RW29" s="47"/>
      <c r="RX29" s="47"/>
      <c r="RY29" s="47"/>
      <c r="RZ29" s="47"/>
      <c r="SA29" s="47"/>
      <c r="SB29" s="47"/>
      <c r="SC29" s="47"/>
      <c r="SD29" s="47"/>
      <c r="SE29" s="47"/>
      <c r="SF29" s="47"/>
      <c r="SG29" s="47"/>
      <c r="SH29" s="47"/>
      <c r="SI29" s="47"/>
      <c r="SJ29" s="47"/>
      <c r="SK29" s="47"/>
      <c r="SL29" s="47"/>
      <c r="SM29" s="47"/>
      <c r="SN29" s="47"/>
      <c r="SO29" s="47"/>
      <c r="SP29" s="47"/>
      <c r="SQ29" s="47"/>
      <c r="SR29" s="47"/>
      <c r="SS29" s="47"/>
      <c r="ST29" s="47"/>
      <c r="SU29" s="47"/>
      <c r="SV29" s="47"/>
      <c r="SW29" s="47"/>
      <c r="SX29" s="47"/>
      <c r="SY29" s="47"/>
      <c r="SZ29" s="47"/>
      <c r="TA29" s="47"/>
      <c r="TB29" s="47"/>
      <c r="TC29" s="47"/>
      <c r="TD29" s="47"/>
      <c r="TE29" s="47"/>
      <c r="TF29" s="47"/>
      <c r="TG29" s="47"/>
      <c r="TH29" s="47"/>
      <c r="TI29" s="47"/>
      <c r="TJ29" s="47"/>
      <c r="TK29" s="47"/>
      <c r="TL29" s="47"/>
      <c r="TM29" s="47"/>
      <c r="TN29" s="47"/>
      <c r="TO29" s="47"/>
      <c r="TP29" s="47"/>
      <c r="TQ29" s="47"/>
      <c r="TR29" s="47"/>
      <c r="TS29" s="47"/>
      <c r="TT29" s="47"/>
      <c r="TU29" s="47"/>
      <c r="TV29" s="47"/>
      <c r="TW29" s="47"/>
      <c r="TX29" s="47"/>
      <c r="TY29" s="47"/>
      <c r="TZ29" s="47"/>
      <c r="UA29" s="47"/>
      <c r="UB29" s="47"/>
      <c r="UC29" s="47"/>
      <c r="UD29" s="47"/>
      <c r="UE29" s="47"/>
      <c r="UF29" s="47"/>
      <c r="UG29" s="47"/>
      <c r="UH29" s="47"/>
      <c r="UI29" s="47"/>
      <c r="UJ29" s="47"/>
      <c r="UK29" s="47"/>
      <c r="UL29" s="47"/>
      <c r="UM29" s="47"/>
      <c r="UN29" s="47"/>
      <c r="UO29" s="47"/>
      <c r="UP29" s="47"/>
      <c r="UQ29" s="47"/>
      <c r="UR29" s="47"/>
      <c r="US29" s="47"/>
      <c r="UT29" s="47"/>
      <c r="UU29" s="47"/>
      <c r="UV29" s="47"/>
      <c r="UW29" s="47"/>
      <c r="UX29" s="47"/>
      <c r="UY29" s="47"/>
      <c r="UZ29" s="47"/>
      <c r="VA29" s="47"/>
      <c r="VB29" s="47"/>
      <c r="VC29" s="47"/>
      <c r="VD29" s="47"/>
      <c r="VE29" s="47"/>
      <c r="VF29" s="47"/>
      <c r="VG29" s="47"/>
      <c r="VH29" s="47"/>
      <c r="VI29" s="47"/>
      <c r="VJ29" s="47"/>
      <c r="VK29" s="47"/>
      <c r="VL29" s="47"/>
      <c r="VM29" s="47"/>
      <c r="VN29" s="47"/>
      <c r="VO29" s="47"/>
      <c r="VP29" s="47"/>
      <c r="VQ29" s="47"/>
      <c r="VR29" s="47"/>
      <c r="VS29" s="47"/>
      <c r="VT29" s="47"/>
      <c r="VU29" s="47"/>
      <c r="VV29" s="47"/>
      <c r="VW29" s="47"/>
      <c r="VX29" s="47"/>
      <c r="VY29" s="47"/>
      <c r="VZ29" s="47"/>
      <c r="WA29" s="47"/>
      <c r="WB29" s="47"/>
      <c r="WC29" s="47"/>
      <c r="WD29" s="47"/>
      <c r="WE29" s="47"/>
      <c r="WF29" s="47"/>
      <c r="WG29" s="47"/>
      <c r="WH29" s="47"/>
      <c r="WI29" s="47"/>
      <c r="WJ29" s="47"/>
      <c r="WK29" s="47"/>
      <c r="WL29" s="47"/>
      <c r="WM29" s="47"/>
      <c r="WN29" s="47"/>
      <c r="WO29" s="47"/>
      <c r="WP29" s="47"/>
      <c r="WQ29" s="47"/>
      <c r="WR29" s="47"/>
      <c r="WS29" s="47"/>
      <c r="WT29" s="47"/>
      <c r="WU29" s="47"/>
      <c r="WV29" s="47"/>
      <c r="WW29" s="47"/>
      <c r="WX29" s="47"/>
      <c r="WY29" s="47"/>
      <c r="WZ29" s="47"/>
      <c r="XA29" s="47"/>
      <c r="XB29" s="47"/>
      <c r="XC29" s="47"/>
      <c r="XD29" s="47"/>
      <c r="XE29" s="47"/>
      <c r="XF29" s="47"/>
      <c r="XG29" s="47"/>
      <c r="XH29" s="47"/>
      <c r="XI29" s="47"/>
      <c r="XJ29" s="47"/>
      <c r="XK29" s="47"/>
      <c r="XL29" s="47"/>
      <c r="XM29" s="47"/>
      <c r="XN29" s="47"/>
      <c r="XO29" s="47"/>
      <c r="XP29" s="47"/>
      <c r="XQ29" s="47"/>
      <c r="XR29" s="47"/>
      <c r="XS29" s="47"/>
      <c r="XT29" s="47"/>
      <c r="XU29" s="47"/>
      <c r="XV29" s="47"/>
      <c r="XW29" s="47"/>
      <c r="XX29" s="47"/>
      <c r="XY29" s="47"/>
      <c r="XZ29" s="47"/>
      <c r="YA29" s="47"/>
      <c r="YB29" s="47"/>
      <c r="YC29" s="47"/>
      <c r="YD29" s="47"/>
      <c r="YE29" s="47"/>
      <c r="YF29" s="47"/>
      <c r="YG29" s="47"/>
      <c r="YH29" s="47"/>
      <c r="YI29" s="47"/>
      <c r="YJ29" s="47"/>
      <c r="YK29" s="47"/>
      <c r="YL29" s="47"/>
      <c r="YM29" s="47"/>
      <c r="YN29" s="47"/>
      <c r="YO29" s="47"/>
      <c r="YP29" s="47"/>
      <c r="YQ29" s="47"/>
      <c r="YR29" s="47"/>
      <c r="YS29" s="47"/>
      <c r="YT29" s="47"/>
      <c r="YU29" s="47"/>
      <c r="YV29" s="47"/>
      <c r="YW29" s="47"/>
      <c r="YX29" s="47"/>
      <c r="YY29" s="47"/>
      <c r="YZ29" s="47"/>
      <c r="ZA29" s="47"/>
      <c r="ZB29" s="47"/>
      <c r="ZC29" s="47"/>
      <c r="ZD29" s="47"/>
      <c r="ZE29" s="47"/>
      <c r="ZF29" s="47"/>
      <c r="ZG29" s="47"/>
      <c r="ZH29" s="47"/>
      <c r="ZI29" s="47"/>
      <c r="ZJ29" s="47"/>
      <c r="ZK29" s="47"/>
      <c r="ZL29" s="47"/>
      <c r="ZM29" s="47"/>
      <c r="ZN29" s="47"/>
      <c r="ZO29" s="47"/>
      <c r="ZP29" s="47"/>
      <c r="ZQ29" s="47"/>
      <c r="ZR29" s="47"/>
      <c r="ZS29" s="47"/>
      <c r="ZT29" s="47"/>
      <c r="ZU29" s="47"/>
      <c r="ZV29" s="47"/>
      <c r="ZW29" s="47"/>
      <c r="ZX29" s="47"/>
      <c r="ZY29" s="47"/>
      <c r="ZZ29" s="47"/>
      <c r="AAA29" s="47"/>
      <c r="AAB29" s="47"/>
      <c r="AAC29" s="47"/>
      <c r="AAD29" s="47"/>
      <c r="AAE29" s="47"/>
      <c r="AAF29" s="47"/>
      <c r="AAG29" s="47"/>
      <c r="AAH29" s="47"/>
      <c r="AAI29" s="47"/>
      <c r="AAJ29" s="47"/>
      <c r="AAK29" s="47"/>
      <c r="AAL29" s="47"/>
      <c r="AAM29" s="47"/>
      <c r="AAN29" s="47"/>
      <c r="AAO29" s="47"/>
      <c r="AAP29" s="47"/>
      <c r="AAQ29" s="47"/>
      <c r="AAR29" s="47"/>
      <c r="AAS29" s="47"/>
      <c r="AAT29" s="47"/>
      <c r="AAU29" s="47"/>
      <c r="AAV29" s="47"/>
      <c r="AAW29" s="47"/>
      <c r="AAX29" s="47"/>
      <c r="AAY29" s="47"/>
      <c r="AAZ29" s="47"/>
      <c r="ABA29" s="47"/>
      <c r="ABB29" s="47"/>
      <c r="ABC29" s="47"/>
      <c r="ABD29" s="47"/>
      <c r="ABE29" s="47"/>
      <c r="ABF29" s="47"/>
      <c r="ABG29" s="47"/>
      <c r="ABH29" s="47"/>
      <c r="ABI29" s="47"/>
      <c r="ABJ29" s="47"/>
      <c r="ABK29" s="47"/>
      <c r="ABL29" s="47"/>
      <c r="ABM29" s="47"/>
      <c r="ABN29" s="47"/>
      <c r="ABO29" s="47"/>
      <c r="ABP29" s="47"/>
      <c r="ABQ29" s="47"/>
      <c r="ABR29" s="47"/>
      <c r="ABS29" s="47"/>
      <c r="ABT29" s="47"/>
      <c r="ABU29" s="47"/>
      <c r="ABV29" s="47"/>
      <c r="ABW29" s="47"/>
      <c r="ABX29" s="47"/>
      <c r="ABY29" s="47"/>
      <c r="ABZ29" s="47"/>
      <c r="ACA29" s="47"/>
      <c r="ACB29" s="47"/>
      <c r="ACC29" s="47"/>
      <c r="ACD29" s="47"/>
      <c r="ACE29" s="47"/>
      <c r="ACF29" s="47"/>
      <c r="ACG29" s="47"/>
      <c r="ACH29" s="47"/>
      <c r="ACI29" s="47"/>
      <c r="ACJ29" s="47"/>
      <c r="ACK29" s="47"/>
      <c r="ACL29" s="47"/>
      <c r="ACM29" s="47"/>
      <c r="ACN29" s="47"/>
      <c r="ACO29" s="47"/>
      <c r="ACP29" s="47"/>
      <c r="ACQ29" s="47"/>
      <c r="ACR29" s="47"/>
      <c r="ACS29" s="47"/>
      <c r="ACT29" s="47"/>
      <c r="ACU29" s="47"/>
      <c r="ACV29" s="47"/>
      <c r="ACW29" s="47"/>
      <c r="ACX29" s="47"/>
      <c r="ACY29" s="47"/>
      <c r="ACZ29" s="47"/>
      <c r="ADA29" s="47"/>
      <c r="ADB29" s="47"/>
      <c r="ADC29" s="47"/>
      <c r="ADD29" s="47"/>
      <c r="ADE29" s="47"/>
      <c r="ADF29" s="47"/>
      <c r="ADG29" s="47"/>
      <c r="ADH29" s="47"/>
      <c r="ADI29" s="47"/>
      <c r="ADJ29" s="47"/>
      <c r="ADK29" s="47"/>
      <c r="ADL29" s="47"/>
      <c r="ADM29" s="47"/>
      <c r="ADN29" s="47"/>
      <c r="ADO29" s="47"/>
      <c r="ADP29" s="47"/>
      <c r="ADQ29" s="47"/>
      <c r="ADR29" s="47"/>
      <c r="ADS29" s="47"/>
      <c r="ADT29" s="47"/>
      <c r="ADU29" s="47"/>
      <c r="ADV29" s="47"/>
      <c r="ADW29" s="47"/>
      <c r="ADX29" s="47"/>
      <c r="ADY29" s="47"/>
      <c r="ADZ29" s="47"/>
      <c r="AEA29" s="47"/>
      <c r="AEB29" s="47"/>
      <c r="AEC29" s="47"/>
      <c r="AED29" s="47"/>
      <c r="AEE29" s="47"/>
      <c r="AEF29" s="47"/>
      <c r="AEG29" s="47"/>
      <c r="AEH29" s="47"/>
      <c r="AEI29" s="47"/>
      <c r="AEJ29" s="47"/>
      <c r="AEK29" s="47"/>
      <c r="AEL29" s="47"/>
      <c r="AEM29" s="47"/>
      <c r="AEN29" s="47"/>
      <c r="AEO29" s="47"/>
      <c r="AEP29" s="47"/>
      <c r="AEQ29" s="47"/>
      <c r="AER29" s="47"/>
      <c r="AES29" s="47"/>
      <c r="AET29" s="47"/>
      <c r="AEU29" s="47"/>
      <c r="AEV29" s="47"/>
      <c r="AEW29" s="47"/>
      <c r="AEX29" s="47"/>
      <c r="AEY29" s="47"/>
      <c r="AEZ29" s="47"/>
      <c r="AFA29" s="47"/>
      <c r="AFB29" s="47"/>
      <c r="AFC29" s="47"/>
      <c r="AFD29" s="47"/>
      <c r="AFE29" s="47"/>
      <c r="AFF29" s="47"/>
      <c r="AFG29" s="47"/>
      <c r="AFH29" s="47"/>
      <c r="AFI29" s="47"/>
      <c r="AFJ29" s="47"/>
      <c r="AFK29" s="47"/>
      <c r="AFL29" s="47"/>
      <c r="AFM29" s="47"/>
      <c r="AFN29" s="47"/>
      <c r="AFO29" s="47"/>
      <c r="AFP29" s="47"/>
      <c r="AFQ29" s="47"/>
      <c r="AFR29" s="47"/>
      <c r="AFS29" s="47"/>
      <c r="AFT29" s="47"/>
      <c r="AFU29" s="47"/>
      <c r="AFV29" s="47"/>
      <c r="AFW29" s="47"/>
      <c r="AFX29" s="47"/>
      <c r="AFY29" s="47"/>
      <c r="AFZ29" s="47"/>
      <c r="AGA29" s="47"/>
      <c r="AGB29" s="47"/>
      <c r="AGC29" s="47"/>
      <c r="AGD29" s="47"/>
      <c r="AGE29" s="47"/>
      <c r="AGF29" s="47"/>
      <c r="AGG29" s="47"/>
      <c r="AGH29" s="47"/>
      <c r="AGI29" s="47"/>
      <c r="AGJ29" s="47"/>
      <c r="AGK29" s="47"/>
      <c r="AGL29" s="47"/>
      <c r="AGM29" s="47"/>
      <c r="AGN29" s="47"/>
      <c r="AGO29" s="47"/>
      <c r="AGP29" s="47"/>
      <c r="AGQ29" s="47"/>
      <c r="AGR29" s="47"/>
      <c r="AGS29" s="47"/>
      <c r="AGT29" s="47"/>
      <c r="AGU29" s="47"/>
      <c r="AGV29" s="47"/>
      <c r="AGW29" s="47"/>
      <c r="AGX29" s="47"/>
      <c r="AGY29" s="47"/>
      <c r="AGZ29" s="47"/>
      <c r="AHA29" s="47"/>
      <c r="AHB29" s="47"/>
      <c r="AHC29" s="47"/>
      <c r="AHD29" s="47"/>
      <c r="AHE29" s="47"/>
      <c r="AHF29" s="47"/>
      <c r="AHG29" s="47"/>
      <c r="AHH29" s="47"/>
      <c r="AHI29" s="47"/>
      <c r="AHJ29" s="47"/>
      <c r="AHK29" s="47"/>
      <c r="AHL29" s="47"/>
      <c r="AHM29" s="47"/>
      <c r="AHN29" s="47"/>
      <c r="AHO29" s="47"/>
      <c r="AHP29" s="47"/>
      <c r="AHQ29" s="47"/>
      <c r="AHR29" s="47"/>
      <c r="AHS29" s="47"/>
      <c r="AHT29" s="47"/>
      <c r="AHU29" s="47"/>
      <c r="AHV29" s="47"/>
      <c r="AHW29" s="47"/>
      <c r="AHX29" s="47"/>
      <c r="AHY29" s="47"/>
      <c r="AHZ29" s="47"/>
      <c r="AIA29" s="47"/>
      <c r="AIB29" s="47"/>
      <c r="AIC29" s="47"/>
      <c r="AID29" s="47"/>
      <c r="AIE29" s="47"/>
      <c r="AIF29" s="47"/>
      <c r="AIG29" s="47"/>
      <c r="AIH29" s="47"/>
      <c r="AII29" s="47"/>
      <c r="AIJ29" s="47"/>
      <c r="AIK29" s="47"/>
      <c r="AIL29" s="47"/>
      <c r="AIM29" s="47"/>
      <c r="AIN29" s="47"/>
      <c r="AIO29" s="47"/>
      <c r="AIP29" s="47"/>
      <c r="AIQ29" s="47"/>
      <c r="AIR29" s="47"/>
      <c r="AIS29" s="47"/>
      <c r="AIT29" s="47"/>
      <c r="AIU29" s="47"/>
      <c r="AIV29" s="47"/>
      <c r="AIW29" s="47"/>
      <c r="AIX29" s="47"/>
      <c r="AIY29" s="47"/>
      <c r="AIZ29" s="47"/>
      <c r="AJA29" s="47"/>
      <c r="AJB29" s="47"/>
      <c r="AJC29" s="47"/>
      <c r="AJD29" s="47"/>
      <c r="AJE29" s="47"/>
      <c r="AJF29" s="47"/>
      <c r="AJG29" s="47"/>
      <c r="AJH29" s="47"/>
      <c r="AJI29" s="47"/>
      <c r="AJJ29" s="47"/>
      <c r="AJK29" s="47"/>
      <c r="AJL29" s="47"/>
      <c r="AJM29" s="47"/>
      <c r="AJN29" s="47"/>
      <c r="AJO29" s="47"/>
      <c r="AJP29" s="47"/>
      <c r="AJQ29" s="47"/>
      <c r="AJR29" s="47"/>
      <c r="AJS29" s="47"/>
      <c r="AJT29" s="47"/>
      <c r="AJU29" s="47"/>
      <c r="AJV29" s="47"/>
      <c r="AJW29" s="47"/>
      <c r="AJX29" s="47"/>
      <c r="AJY29" s="47"/>
      <c r="AJZ29" s="47"/>
      <c r="AKA29" s="47"/>
      <c r="AKB29" s="47"/>
      <c r="AKC29" s="47"/>
      <c r="AKD29" s="47"/>
      <c r="AKE29" s="47"/>
      <c r="AKF29" s="47"/>
      <c r="AKG29" s="47"/>
      <c r="AKH29" s="47"/>
      <c r="AKI29" s="47"/>
      <c r="AKJ29" s="47"/>
      <c r="AKK29" s="47"/>
      <c r="AKL29" s="47"/>
      <c r="AKM29" s="47"/>
      <c r="AKN29" s="47"/>
      <c r="AKO29" s="47"/>
      <c r="AKP29" s="47"/>
      <c r="AKQ29" s="47"/>
      <c r="AKR29" s="47"/>
      <c r="AKS29" s="47"/>
      <c r="AKT29" s="47"/>
      <c r="AKU29" s="47"/>
      <c r="AKV29" s="47"/>
      <c r="AKW29" s="47"/>
      <c r="AKX29" s="47"/>
      <c r="AKY29" s="47"/>
      <c r="AKZ29" s="47"/>
      <c r="ALA29" s="47"/>
      <c r="ALB29" s="47"/>
      <c r="ALC29" s="47"/>
      <c r="ALD29" s="47"/>
      <c r="ALE29" s="47"/>
      <c r="ALF29" s="47"/>
      <c r="ALG29" s="47"/>
      <c r="ALH29" s="47"/>
      <c r="ALI29" s="47"/>
      <c r="ALJ29" s="47"/>
      <c r="ALK29" s="47"/>
      <c r="ALL29" s="47"/>
      <c r="ALM29" s="47"/>
      <c r="ALN29" s="47"/>
      <c r="ALO29" s="47"/>
      <c r="ALP29" s="47"/>
      <c r="ALQ29" s="47"/>
      <c r="ALR29" s="47"/>
      <c r="ALS29" s="47"/>
      <c r="ALT29" s="47"/>
      <c r="ALU29" s="47"/>
      <c r="ALV29" s="47"/>
      <c r="ALW29" s="47"/>
      <c r="ALX29" s="47"/>
      <c r="ALY29" s="47"/>
      <c r="ALZ29" s="47"/>
      <c r="AMA29" s="47"/>
      <c r="AMB29" s="47"/>
      <c r="AMC29" s="47"/>
      <c r="AMD29" s="47"/>
      <c r="AME29" s="47"/>
      <c r="AMF29" s="47"/>
      <c r="AMG29" s="47"/>
      <c r="AMH29" s="47"/>
      <c r="AMI29" s="47"/>
      <c r="AMJ29" s="47"/>
      <c r="AMK29" s="47"/>
      <c r="AML29" s="47"/>
      <c r="AMM29" s="47"/>
      <c r="AMN29" s="47"/>
      <c r="AMO29" s="47"/>
      <c r="AMP29" s="47"/>
      <c r="AMQ29" s="47"/>
      <c r="AMR29" s="47"/>
      <c r="AMS29" s="47"/>
      <c r="AMT29" s="47"/>
      <c r="AMU29" s="47"/>
      <c r="AMV29" s="47"/>
      <c r="AMW29" s="47"/>
      <c r="AMX29" s="47"/>
      <c r="AMY29" s="47"/>
      <c r="AMZ29" s="47"/>
      <c r="ANA29" s="47"/>
      <c r="ANB29" s="47"/>
      <c r="ANC29" s="47"/>
      <c r="AND29" s="47"/>
      <c r="ANE29" s="47"/>
      <c r="ANF29" s="47"/>
      <c r="ANG29" s="47"/>
      <c r="ANH29" s="47"/>
      <c r="ANI29" s="47"/>
      <c r="ANJ29" s="47"/>
      <c r="ANK29" s="47"/>
      <c r="ANL29" s="47"/>
      <c r="ANM29" s="47"/>
      <c r="ANN29" s="47"/>
      <c r="ANO29" s="47"/>
      <c r="ANP29" s="47"/>
      <c r="ANQ29" s="47"/>
      <c r="ANR29" s="47"/>
      <c r="ANS29" s="47"/>
      <c r="ANT29" s="47"/>
      <c r="ANU29" s="47"/>
      <c r="ANV29" s="47"/>
      <c r="ANW29" s="47"/>
      <c r="ANX29" s="47"/>
      <c r="ANY29" s="47"/>
      <c r="ANZ29" s="47"/>
      <c r="AOA29" s="47"/>
      <c r="AOB29" s="47"/>
      <c r="AOC29" s="47"/>
      <c r="AOD29" s="47"/>
      <c r="AOE29" s="47"/>
      <c r="AOF29" s="47"/>
      <c r="AOG29" s="47"/>
      <c r="AOH29" s="47"/>
      <c r="AOI29" s="47"/>
      <c r="AOJ29" s="47"/>
      <c r="AOK29" s="47"/>
      <c r="AOL29" s="47"/>
      <c r="AOM29" s="47"/>
      <c r="AON29" s="47"/>
      <c r="AOO29" s="47"/>
      <c r="AOP29" s="47"/>
      <c r="AOQ29" s="47"/>
      <c r="AOR29" s="47"/>
      <c r="AOS29" s="47"/>
      <c r="AOT29" s="47"/>
      <c r="AOU29" s="47"/>
      <c r="AOV29" s="47"/>
      <c r="AOW29" s="47"/>
      <c r="AOX29" s="47"/>
      <c r="AOY29" s="47"/>
      <c r="AOZ29" s="47"/>
      <c r="APA29" s="47"/>
      <c r="APB29" s="47"/>
      <c r="APC29" s="47"/>
      <c r="APD29" s="47"/>
      <c r="APE29" s="47"/>
      <c r="APF29" s="47"/>
      <c r="APG29" s="47"/>
      <c r="APH29" s="47"/>
      <c r="API29" s="47"/>
      <c r="APJ29" s="47"/>
      <c r="APK29" s="47"/>
      <c r="APL29" s="47"/>
      <c r="APM29" s="47"/>
      <c r="APN29" s="47"/>
      <c r="APO29" s="47"/>
      <c r="APP29" s="47"/>
      <c r="APQ29" s="47"/>
      <c r="APR29" s="47"/>
      <c r="APS29" s="47"/>
      <c r="APT29" s="47"/>
      <c r="APU29" s="47"/>
      <c r="APV29" s="47"/>
      <c r="APW29" s="47"/>
      <c r="APX29" s="47"/>
      <c r="APY29" s="47"/>
      <c r="APZ29" s="47"/>
      <c r="AQA29" s="47"/>
      <c r="AQB29" s="47"/>
      <c r="AQC29" s="47"/>
      <c r="AQD29" s="47"/>
      <c r="AQE29" s="47"/>
      <c r="AQF29" s="47"/>
      <c r="AQG29" s="47"/>
      <c r="AQH29" s="47"/>
      <c r="AQI29" s="47"/>
      <c r="AQJ29" s="47"/>
      <c r="AQK29" s="47"/>
      <c r="AQL29" s="47"/>
      <c r="AQM29" s="47"/>
      <c r="AQN29" s="47"/>
      <c r="AQO29" s="47"/>
      <c r="AQP29" s="47"/>
      <c r="AQQ29" s="47"/>
      <c r="AQR29" s="47"/>
      <c r="AQS29" s="47"/>
      <c r="AQT29" s="47"/>
      <c r="AQU29" s="47"/>
      <c r="AQV29" s="47"/>
      <c r="AQW29" s="47"/>
      <c r="AQX29" s="47"/>
      <c r="AQY29" s="47"/>
      <c r="AQZ29" s="47"/>
      <c r="ARA29" s="47"/>
      <c r="ARB29" s="47"/>
      <c r="ARC29" s="47"/>
      <c r="ARD29" s="47"/>
      <c r="ARE29" s="47"/>
      <c r="ARF29" s="47"/>
      <c r="ARG29" s="47"/>
      <c r="ARH29" s="47"/>
      <c r="ARI29" s="47"/>
      <c r="ARJ29" s="47"/>
      <c r="ARK29" s="47"/>
      <c r="ARL29" s="47"/>
      <c r="ARM29" s="47"/>
      <c r="ARN29" s="47"/>
      <c r="ARO29" s="47"/>
      <c r="ARP29" s="47"/>
      <c r="ARQ29" s="47"/>
      <c r="ARR29" s="47"/>
      <c r="ARS29" s="47"/>
      <c r="ART29" s="47"/>
      <c r="ARU29" s="47"/>
      <c r="ARV29" s="47"/>
      <c r="ARW29" s="47"/>
      <c r="ARX29" s="47"/>
      <c r="ARY29" s="47"/>
      <c r="ARZ29" s="47"/>
      <c r="ASA29" s="47"/>
      <c r="ASB29" s="47"/>
      <c r="ASC29" s="47"/>
      <c r="ASD29" s="47"/>
      <c r="ASE29" s="47"/>
      <c r="ASF29" s="47"/>
      <c r="ASG29" s="47"/>
      <c r="ASH29" s="47"/>
      <c r="ASI29" s="47"/>
      <c r="ASJ29" s="47"/>
      <c r="ASK29" s="47"/>
      <c r="ASL29" s="47"/>
      <c r="ASM29" s="47"/>
      <c r="ASN29" s="47"/>
      <c r="ASO29" s="47"/>
      <c r="ASP29" s="47"/>
      <c r="ASQ29" s="47"/>
      <c r="ASR29" s="47"/>
      <c r="ASS29" s="47"/>
      <c r="AST29" s="47"/>
      <c r="ASU29" s="47"/>
      <c r="ASV29" s="47"/>
      <c r="ASW29" s="47"/>
      <c r="ASX29" s="47"/>
      <c r="ASY29" s="47"/>
      <c r="ASZ29" s="47"/>
      <c r="ATA29" s="47"/>
      <c r="ATB29" s="47"/>
      <c r="ATC29" s="47"/>
      <c r="ATD29" s="47"/>
      <c r="ATE29" s="47"/>
      <c r="ATF29" s="47"/>
      <c r="ATG29" s="47"/>
      <c r="ATH29" s="47"/>
      <c r="ATI29" s="47"/>
      <c r="ATJ29" s="47"/>
      <c r="ATK29" s="47"/>
      <c r="ATL29" s="47"/>
      <c r="ATM29" s="47"/>
      <c r="ATN29" s="47"/>
      <c r="ATO29" s="47"/>
      <c r="ATP29" s="47"/>
      <c r="ATQ29" s="47"/>
      <c r="ATR29" s="47"/>
      <c r="ATS29" s="47"/>
      <c r="ATT29" s="47"/>
      <c r="ATU29" s="47"/>
      <c r="ATV29" s="47"/>
      <c r="ATW29" s="47"/>
      <c r="ATX29" s="47"/>
      <c r="ATY29" s="47"/>
      <c r="ATZ29" s="47"/>
      <c r="AUA29" s="47"/>
      <c r="AUB29" s="47"/>
      <c r="AUC29" s="47"/>
      <c r="AUD29" s="47"/>
      <c r="AUE29" s="47"/>
      <c r="AUF29" s="47"/>
      <c r="AUG29" s="47"/>
      <c r="AUH29" s="47"/>
      <c r="AUI29" s="47"/>
      <c r="AUJ29" s="47"/>
      <c r="AUK29" s="47"/>
      <c r="AUL29" s="47"/>
      <c r="AUM29" s="47"/>
      <c r="AUN29" s="47"/>
      <c r="AUO29" s="47"/>
      <c r="AUP29" s="47"/>
      <c r="AUQ29" s="47"/>
      <c r="AUR29" s="47"/>
      <c r="AUS29" s="47"/>
      <c r="AUT29" s="47"/>
      <c r="AUU29" s="47"/>
      <c r="AUV29" s="47"/>
      <c r="AUW29" s="47"/>
      <c r="AUX29" s="47"/>
      <c r="AUY29" s="47"/>
      <c r="AUZ29" s="47"/>
      <c r="AVA29" s="47"/>
      <c r="AVB29" s="47"/>
      <c r="AVC29" s="47"/>
      <c r="AVD29" s="47"/>
      <c r="AVE29" s="47"/>
      <c r="AVF29" s="47"/>
      <c r="AVG29" s="47"/>
      <c r="AVH29" s="47"/>
      <c r="AVI29" s="47"/>
      <c r="AVJ29" s="47"/>
      <c r="AVK29" s="47"/>
      <c r="AVL29" s="47"/>
      <c r="AVM29" s="47"/>
      <c r="AVN29" s="47"/>
      <c r="AVO29" s="47"/>
      <c r="AVP29" s="47"/>
      <c r="AVQ29" s="47"/>
      <c r="AVR29" s="47"/>
      <c r="AVS29" s="47"/>
      <c r="AVT29" s="47"/>
      <c r="AVU29" s="47"/>
      <c r="AVV29" s="47"/>
      <c r="AVW29" s="47"/>
      <c r="AVX29" s="47"/>
      <c r="AVY29" s="47"/>
      <c r="AVZ29" s="47"/>
      <c r="AWA29" s="47"/>
      <c r="AWB29" s="47"/>
      <c r="AWC29" s="47"/>
      <c r="AWD29" s="47"/>
      <c r="AWE29" s="47"/>
      <c r="AWF29" s="47"/>
      <c r="AWG29" s="47"/>
      <c r="AWH29" s="47"/>
      <c r="AWI29" s="47"/>
      <c r="AWJ29" s="47"/>
      <c r="AWK29" s="47"/>
      <c r="AWL29" s="47"/>
      <c r="AWM29" s="47"/>
      <c r="AWN29" s="47"/>
      <c r="AWO29" s="47"/>
      <c r="AWP29" s="47"/>
      <c r="AWQ29" s="47"/>
      <c r="AWR29" s="47"/>
      <c r="AWS29" s="47"/>
      <c r="AWT29" s="47"/>
      <c r="AWU29" s="47"/>
      <c r="AWV29" s="47"/>
      <c r="AWW29" s="47"/>
      <c r="AWX29" s="47"/>
      <c r="AWY29" s="47"/>
      <c r="AWZ29" s="47"/>
      <c r="AXA29" s="47"/>
      <c r="AXB29" s="47"/>
      <c r="AXC29" s="47"/>
      <c r="AXD29" s="47"/>
      <c r="AXE29" s="47"/>
      <c r="AXF29" s="47"/>
      <c r="AXG29" s="47"/>
      <c r="AXH29" s="47"/>
      <c r="AXI29" s="47"/>
      <c r="AXJ29" s="47"/>
      <c r="AXK29" s="47"/>
      <c r="AXL29" s="47"/>
      <c r="AXM29" s="47"/>
      <c r="AXN29" s="47"/>
      <c r="AXO29" s="47"/>
      <c r="AXP29" s="47"/>
      <c r="AXQ29" s="47"/>
      <c r="AXR29" s="47"/>
      <c r="AXS29" s="47"/>
      <c r="AXT29" s="47"/>
      <c r="AXU29" s="47"/>
      <c r="AXV29" s="47"/>
      <c r="AXW29" s="47"/>
      <c r="AXX29" s="47"/>
      <c r="AXY29" s="47"/>
      <c r="AXZ29" s="47"/>
      <c r="AYA29" s="47"/>
      <c r="AYB29" s="47"/>
      <c r="AYC29" s="47"/>
      <c r="AYD29" s="47"/>
      <c r="AYE29" s="47"/>
      <c r="AYF29" s="47"/>
      <c r="AYG29" s="47"/>
      <c r="AYH29" s="47"/>
      <c r="AYI29" s="47"/>
      <c r="AYJ29" s="47"/>
      <c r="AYK29" s="47"/>
      <c r="AYL29" s="47"/>
      <c r="AYM29" s="47"/>
      <c r="AYN29" s="47"/>
      <c r="AYO29" s="47"/>
      <c r="AYP29" s="47"/>
      <c r="AYQ29" s="47"/>
      <c r="AYR29" s="47"/>
      <c r="AYS29" s="47"/>
      <c r="AYT29" s="47"/>
      <c r="AYU29" s="47"/>
      <c r="AYV29" s="47"/>
      <c r="AYW29" s="47"/>
      <c r="AYX29" s="47"/>
      <c r="AYY29" s="47"/>
      <c r="AYZ29" s="47"/>
      <c r="AZA29" s="47"/>
      <c r="AZB29" s="47"/>
      <c r="AZC29" s="47"/>
      <c r="AZD29" s="47"/>
      <c r="AZE29" s="47"/>
      <c r="AZF29" s="47"/>
      <c r="AZG29" s="47"/>
      <c r="AZH29" s="47"/>
      <c r="AZI29" s="47"/>
      <c r="AZJ29" s="47"/>
      <c r="AZK29" s="47"/>
      <c r="AZL29" s="47"/>
      <c r="AZM29" s="47"/>
      <c r="AZN29" s="47"/>
      <c r="AZO29" s="47"/>
      <c r="AZP29" s="47"/>
      <c r="AZQ29" s="47"/>
      <c r="AZR29" s="47"/>
      <c r="AZS29" s="47"/>
      <c r="AZT29" s="47"/>
      <c r="AZU29" s="47"/>
      <c r="AZV29" s="47"/>
      <c r="AZW29" s="47"/>
      <c r="AZX29" s="47"/>
      <c r="AZY29" s="47"/>
      <c r="AZZ29" s="47"/>
      <c r="BAA29" s="47"/>
      <c r="BAB29" s="47"/>
      <c r="BAC29" s="47"/>
      <c r="BAD29" s="47"/>
      <c r="BAE29" s="47"/>
      <c r="BAF29" s="47"/>
      <c r="BAG29" s="47"/>
      <c r="BAH29" s="47"/>
      <c r="BAI29" s="47"/>
      <c r="BAJ29" s="47"/>
      <c r="BAK29" s="47"/>
      <c r="BAL29" s="47"/>
      <c r="BAM29" s="47"/>
      <c r="BAN29" s="47"/>
      <c r="BAO29" s="47"/>
      <c r="BAP29" s="47"/>
      <c r="BAQ29" s="47"/>
      <c r="BAR29" s="47"/>
      <c r="BAS29" s="47"/>
      <c r="BAT29" s="47"/>
      <c r="BAU29" s="47"/>
      <c r="BAV29" s="47"/>
      <c r="BAW29" s="47"/>
      <c r="BAX29" s="47"/>
      <c r="BAY29" s="47"/>
      <c r="BAZ29" s="47"/>
      <c r="BBA29" s="47"/>
      <c r="BBB29" s="47"/>
      <c r="BBC29" s="47"/>
      <c r="BBD29" s="47"/>
      <c r="BBE29" s="47"/>
      <c r="BBF29" s="47"/>
      <c r="BBG29" s="47"/>
      <c r="BBH29" s="47"/>
      <c r="BBI29" s="47"/>
      <c r="BBJ29" s="47"/>
      <c r="BBK29" s="47"/>
      <c r="BBL29" s="47"/>
      <c r="BBM29" s="47"/>
      <c r="BBN29" s="47"/>
      <c r="BBO29" s="47"/>
      <c r="BBP29" s="47"/>
      <c r="BBQ29" s="47"/>
      <c r="BBR29" s="47"/>
      <c r="BBS29" s="47"/>
      <c r="BBT29" s="47"/>
      <c r="BBU29" s="47"/>
      <c r="BBV29" s="47"/>
      <c r="BBW29" s="47"/>
      <c r="BBX29" s="47"/>
      <c r="BBY29" s="47"/>
      <c r="BBZ29" s="47"/>
      <c r="BCA29" s="47"/>
      <c r="BCB29" s="47"/>
      <c r="BCC29" s="47"/>
      <c r="BCD29" s="47"/>
      <c r="BCE29" s="47"/>
      <c r="BCF29" s="47"/>
      <c r="BCG29" s="47"/>
      <c r="BCH29" s="47"/>
      <c r="BCI29" s="47"/>
      <c r="BCJ29" s="47"/>
      <c r="BCK29" s="47"/>
      <c r="BCL29" s="47"/>
      <c r="BCM29" s="47"/>
      <c r="BCN29" s="47"/>
      <c r="BCO29" s="47"/>
      <c r="BCP29" s="47"/>
      <c r="BCQ29" s="47"/>
      <c r="BCR29" s="47"/>
      <c r="BCS29" s="47"/>
      <c r="BCT29" s="47"/>
      <c r="BCU29" s="47"/>
      <c r="BCV29" s="47"/>
      <c r="BCW29" s="47"/>
      <c r="BCX29" s="47"/>
      <c r="BCY29" s="47"/>
      <c r="BCZ29" s="47"/>
      <c r="BDA29" s="47"/>
      <c r="BDB29" s="47"/>
      <c r="BDC29" s="47"/>
      <c r="BDD29" s="47"/>
      <c r="BDE29" s="47"/>
      <c r="BDF29" s="47"/>
      <c r="BDG29" s="47"/>
      <c r="BDH29" s="47"/>
      <c r="BDI29" s="47"/>
      <c r="BDJ29" s="47"/>
      <c r="BDK29" s="47"/>
      <c r="BDL29" s="47"/>
      <c r="BDM29" s="47"/>
      <c r="BDN29" s="47"/>
      <c r="BDO29" s="47"/>
      <c r="BDP29" s="47"/>
      <c r="BDQ29" s="47"/>
      <c r="BDR29" s="47"/>
      <c r="BDS29" s="47"/>
      <c r="BDT29" s="47"/>
      <c r="BDU29" s="47"/>
      <c r="BDV29" s="47"/>
      <c r="BDW29" s="47"/>
      <c r="BDX29" s="47"/>
      <c r="BDY29" s="47"/>
      <c r="BDZ29" s="47"/>
      <c r="BEA29" s="47"/>
      <c r="BEB29" s="47"/>
      <c r="BEC29" s="47"/>
      <c r="BED29" s="47"/>
      <c r="BEE29" s="47"/>
      <c r="BEF29" s="47"/>
      <c r="BEG29" s="47"/>
      <c r="BEH29" s="47"/>
      <c r="BEI29" s="47"/>
      <c r="BEJ29" s="47"/>
      <c r="BEK29" s="47"/>
      <c r="BEL29" s="47"/>
      <c r="BEM29" s="47"/>
      <c r="BEN29" s="47"/>
      <c r="BEO29" s="47"/>
      <c r="BEP29" s="47"/>
      <c r="BEQ29" s="47"/>
      <c r="BER29" s="47"/>
      <c r="BES29" s="47"/>
      <c r="BET29" s="47"/>
      <c r="BEU29" s="47"/>
      <c r="BEV29" s="47"/>
      <c r="BEW29" s="47"/>
      <c r="BEX29" s="47"/>
      <c r="BEY29" s="47"/>
      <c r="BEZ29" s="47"/>
      <c r="BFA29" s="47"/>
      <c r="BFB29" s="47"/>
      <c r="BFC29" s="47"/>
      <c r="BFD29" s="47"/>
      <c r="BFE29" s="47"/>
      <c r="BFF29" s="47"/>
      <c r="BFG29" s="47"/>
      <c r="BFH29" s="47"/>
      <c r="BFI29" s="47"/>
      <c r="BFJ29" s="47"/>
      <c r="BFK29" s="47"/>
      <c r="BFL29" s="47"/>
      <c r="BFM29" s="47"/>
      <c r="BFN29" s="47"/>
      <c r="BFO29" s="47"/>
      <c r="BFP29" s="47"/>
      <c r="BFQ29" s="47"/>
      <c r="BFR29" s="47"/>
      <c r="BFS29" s="47"/>
      <c r="BFT29" s="47"/>
      <c r="BFU29" s="47"/>
      <c r="BFV29" s="47"/>
      <c r="BFW29" s="47"/>
      <c r="BFX29" s="47"/>
      <c r="BFY29" s="47"/>
      <c r="BFZ29" s="47"/>
      <c r="BGA29" s="47"/>
      <c r="BGB29" s="47"/>
      <c r="BGC29" s="47"/>
      <c r="BGD29" s="47"/>
      <c r="BGE29" s="47"/>
      <c r="BGF29" s="47"/>
      <c r="BGG29" s="47"/>
      <c r="BGH29" s="47"/>
      <c r="BGI29" s="47"/>
      <c r="BGJ29" s="47"/>
      <c r="BGK29" s="47"/>
      <c r="BGL29" s="47"/>
      <c r="BGM29" s="47"/>
      <c r="BGN29" s="47"/>
      <c r="BGO29" s="47"/>
      <c r="BGP29" s="47"/>
      <c r="BGQ29" s="47"/>
      <c r="BGR29" s="47"/>
      <c r="BGS29" s="47"/>
      <c r="BGT29" s="47"/>
      <c r="BGU29" s="47"/>
      <c r="BGV29" s="47"/>
      <c r="BGW29" s="47"/>
      <c r="BGX29" s="47"/>
      <c r="BGY29" s="47"/>
      <c r="BGZ29" s="47"/>
      <c r="BHA29" s="47"/>
      <c r="BHB29" s="47"/>
      <c r="BHC29" s="47"/>
      <c r="BHD29" s="47"/>
      <c r="BHE29" s="47"/>
      <c r="BHF29" s="47"/>
      <c r="BHG29" s="47"/>
      <c r="BHH29" s="47"/>
      <c r="BHI29" s="47"/>
      <c r="BHJ29" s="47"/>
      <c r="BHK29" s="47"/>
      <c r="BHL29" s="47"/>
      <c r="BHM29" s="47"/>
      <c r="BHN29" s="47"/>
      <c r="BHO29" s="47"/>
      <c r="BHP29" s="47"/>
      <c r="BHQ29" s="47"/>
      <c r="BHR29" s="47"/>
      <c r="BHS29" s="47"/>
      <c r="BHT29" s="47"/>
      <c r="BHU29" s="47"/>
      <c r="BHV29" s="47"/>
      <c r="BHW29" s="47"/>
      <c r="BHX29" s="47"/>
      <c r="BHY29" s="47"/>
      <c r="BHZ29" s="47"/>
      <c r="BIA29" s="47"/>
      <c r="BIB29" s="47"/>
      <c r="BIC29" s="47"/>
      <c r="BID29" s="47"/>
      <c r="BIE29" s="47"/>
      <c r="BIF29" s="47"/>
      <c r="BIG29" s="47"/>
      <c r="BIH29" s="47"/>
      <c r="BII29" s="47"/>
      <c r="BIJ29" s="47"/>
      <c r="BIK29" s="47"/>
      <c r="BIL29" s="47"/>
      <c r="BIM29" s="47"/>
      <c r="BIN29" s="47"/>
      <c r="BIO29" s="47"/>
      <c r="BIP29" s="47"/>
      <c r="BIQ29" s="47"/>
      <c r="BIR29" s="47"/>
      <c r="BIS29" s="47"/>
      <c r="BIT29" s="47"/>
      <c r="BIU29" s="47"/>
      <c r="BIV29" s="47"/>
      <c r="BIW29" s="47"/>
      <c r="BIX29" s="47"/>
      <c r="BIY29" s="47"/>
      <c r="BIZ29" s="47"/>
      <c r="BJA29" s="47"/>
      <c r="BJB29" s="47"/>
      <c r="BJC29" s="47"/>
      <c r="BJD29" s="47"/>
      <c r="BJE29" s="47"/>
      <c r="BJF29" s="47"/>
      <c r="BJG29" s="47"/>
      <c r="BJH29" s="47"/>
      <c r="BJI29" s="47"/>
      <c r="BJJ29" s="47"/>
      <c r="BJK29" s="47"/>
      <c r="BJL29" s="47"/>
      <c r="BJM29" s="47"/>
      <c r="BJN29" s="47"/>
      <c r="BJO29" s="47"/>
      <c r="BJP29" s="47"/>
      <c r="BJQ29" s="47"/>
      <c r="BJR29" s="47"/>
      <c r="BJS29" s="47"/>
      <c r="BJT29" s="47"/>
      <c r="BJU29" s="47"/>
      <c r="BJV29" s="47"/>
      <c r="BJW29" s="47"/>
      <c r="BJX29" s="47"/>
      <c r="BJY29" s="47"/>
      <c r="BJZ29" s="47"/>
      <c r="BKA29" s="47"/>
      <c r="BKB29" s="47"/>
      <c r="BKC29" s="47"/>
      <c r="BKD29" s="47"/>
      <c r="BKE29" s="47"/>
      <c r="BKF29" s="47"/>
      <c r="BKG29" s="47"/>
      <c r="BKH29" s="47"/>
      <c r="BKI29" s="47"/>
      <c r="BKJ29" s="47"/>
      <c r="BKK29" s="47"/>
      <c r="BKL29" s="47"/>
      <c r="BKM29" s="47"/>
      <c r="BKN29" s="47"/>
      <c r="BKO29" s="47"/>
      <c r="BKP29" s="47"/>
      <c r="BKQ29" s="47"/>
      <c r="BKR29" s="47"/>
      <c r="BKS29" s="47"/>
      <c r="BKT29" s="47"/>
      <c r="BKU29" s="47"/>
      <c r="BKV29" s="47"/>
      <c r="BKW29" s="47"/>
      <c r="BKX29" s="47"/>
      <c r="BKY29" s="47"/>
      <c r="BKZ29" s="47"/>
      <c r="BLA29" s="47"/>
      <c r="BLB29" s="47"/>
      <c r="BLC29" s="47"/>
      <c r="BLD29" s="47"/>
      <c r="BLE29" s="47"/>
      <c r="BLF29" s="47"/>
      <c r="BLG29" s="47"/>
      <c r="BLH29" s="47"/>
      <c r="BLI29" s="47"/>
      <c r="BLJ29" s="47"/>
      <c r="BLK29" s="47"/>
      <c r="BLL29" s="47"/>
      <c r="BLM29" s="47"/>
      <c r="BLN29" s="47"/>
      <c r="BLO29" s="47"/>
      <c r="BLP29" s="47"/>
      <c r="BLQ29" s="47"/>
      <c r="BLR29" s="47"/>
      <c r="BLS29" s="47"/>
      <c r="BLT29" s="47"/>
      <c r="BLU29" s="47"/>
      <c r="BLV29" s="47"/>
      <c r="BLW29" s="47"/>
      <c r="BLX29" s="47"/>
      <c r="BLY29" s="47"/>
      <c r="BLZ29" s="47"/>
      <c r="BMA29" s="47"/>
      <c r="BMB29" s="47"/>
      <c r="BMC29" s="47"/>
      <c r="BMD29" s="47"/>
      <c r="BME29" s="47"/>
      <c r="BMF29" s="47"/>
      <c r="BMG29" s="47"/>
      <c r="BMH29" s="47"/>
      <c r="BMI29" s="47"/>
      <c r="BMJ29" s="47"/>
      <c r="BMK29" s="47"/>
      <c r="BML29" s="47"/>
      <c r="BMM29" s="47"/>
      <c r="BMN29" s="47"/>
      <c r="BMO29" s="47"/>
      <c r="BMP29" s="47"/>
      <c r="BMQ29" s="47"/>
      <c r="BMR29" s="47"/>
      <c r="BMS29" s="47"/>
      <c r="BMT29" s="47"/>
      <c r="BMU29" s="47"/>
      <c r="BMV29" s="47"/>
      <c r="BMW29" s="47"/>
      <c r="BMX29" s="47"/>
      <c r="BMY29" s="47"/>
      <c r="BMZ29" s="47"/>
      <c r="BNA29" s="47"/>
      <c r="BNB29" s="47"/>
      <c r="BNC29" s="47"/>
      <c r="BND29" s="47"/>
      <c r="BNE29" s="47"/>
      <c r="BNF29" s="47"/>
      <c r="BNG29" s="47"/>
      <c r="BNH29" s="47"/>
      <c r="BNI29" s="47"/>
      <c r="BNJ29" s="47"/>
      <c r="BNK29" s="47"/>
      <c r="BNL29" s="47"/>
      <c r="BNM29" s="47"/>
      <c r="BNN29" s="47"/>
      <c r="BNO29" s="47"/>
      <c r="BNP29" s="47"/>
      <c r="BNQ29" s="47"/>
      <c r="BNR29" s="47"/>
      <c r="BNS29" s="47"/>
      <c r="BNT29" s="47"/>
      <c r="BNU29" s="47"/>
      <c r="BNV29" s="47"/>
      <c r="BNW29" s="47"/>
      <c r="BNX29" s="47"/>
      <c r="BNY29" s="47"/>
      <c r="BNZ29" s="47"/>
      <c r="BOA29" s="47"/>
      <c r="BOB29" s="47"/>
      <c r="BOC29" s="47"/>
      <c r="BOD29" s="47"/>
      <c r="BOE29" s="47"/>
      <c r="BOF29" s="47"/>
      <c r="BOG29" s="47"/>
      <c r="BOH29" s="47"/>
      <c r="BOI29" s="47"/>
      <c r="BOJ29" s="47"/>
      <c r="BOK29" s="47"/>
      <c r="BOL29" s="47"/>
      <c r="BOM29" s="47"/>
      <c r="BON29" s="47"/>
      <c r="BOO29" s="47"/>
      <c r="BOP29" s="47"/>
      <c r="BOQ29" s="47"/>
      <c r="BOR29" s="47"/>
      <c r="BOS29" s="47"/>
      <c r="BOT29" s="47"/>
      <c r="BOU29" s="47"/>
      <c r="BOV29" s="47"/>
      <c r="BOW29" s="47"/>
      <c r="BOX29" s="47"/>
      <c r="BOY29" s="47"/>
      <c r="BOZ29" s="47"/>
      <c r="BPA29" s="47"/>
      <c r="BPB29" s="47"/>
      <c r="BPC29" s="47"/>
      <c r="BPD29" s="47"/>
      <c r="BPE29" s="47"/>
      <c r="BPF29" s="47"/>
      <c r="BPG29" s="47"/>
      <c r="BPH29" s="47"/>
      <c r="BPI29" s="47"/>
      <c r="BPJ29" s="47"/>
      <c r="BPK29" s="47"/>
      <c r="BPL29" s="47"/>
      <c r="BPM29" s="47"/>
      <c r="BPN29" s="47"/>
      <c r="BPO29" s="47"/>
      <c r="BPP29" s="47"/>
      <c r="BPQ29" s="47"/>
      <c r="BPR29" s="47"/>
      <c r="BPS29" s="47"/>
      <c r="BPT29" s="47"/>
      <c r="BPU29" s="47"/>
      <c r="BPV29" s="47"/>
      <c r="BPW29" s="47"/>
      <c r="BPX29" s="47"/>
      <c r="BPY29" s="47"/>
      <c r="BPZ29" s="47"/>
      <c r="BQA29" s="47"/>
      <c r="BQB29" s="47"/>
      <c r="BQC29" s="47"/>
      <c r="BQD29" s="47"/>
      <c r="BQE29" s="47"/>
      <c r="BQF29" s="47"/>
      <c r="BQG29" s="47"/>
      <c r="BQH29" s="47"/>
      <c r="BQI29" s="47"/>
      <c r="BQJ29" s="47"/>
      <c r="BQK29" s="47"/>
      <c r="BQL29" s="47"/>
      <c r="BQM29" s="47"/>
      <c r="BQN29" s="47"/>
      <c r="BQO29" s="47"/>
      <c r="BQP29" s="47"/>
      <c r="BQQ29" s="47"/>
      <c r="BQR29" s="47"/>
      <c r="BQS29" s="47"/>
      <c r="BQT29" s="47"/>
      <c r="BQU29" s="47"/>
      <c r="BQV29" s="47"/>
      <c r="BQW29" s="47"/>
      <c r="BQX29" s="47"/>
      <c r="BQY29" s="47"/>
      <c r="BQZ29" s="47"/>
      <c r="BRA29" s="47"/>
      <c r="BRB29" s="47"/>
      <c r="BRC29" s="47"/>
      <c r="BRD29" s="47"/>
      <c r="BRE29" s="47"/>
      <c r="BRF29" s="47"/>
      <c r="BRG29" s="47"/>
      <c r="BRH29" s="47"/>
      <c r="BRI29" s="47"/>
      <c r="BRJ29" s="47"/>
      <c r="BRK29" s="47"/>
      <c r="BRL29" s="47"/>
      <c r="BRM29" s="47"/>
      <c r="BRN29" s="47"/>
      <c r="BRO29" s="47"/>
      <c r="BRP29" s="47"/>
      <c r="BRQ29" s="47"/>
      <c r="BRR29" s="47"/>
      <c r="BRS29" s="47"/>
      <c r="BRT29" s="47"/>
      <c r="BRU29" s="47"/>
      <c r="BRV29" s="47"/>
      <c r="BRW29" s="47"/>
      <c r="BRX29" s="47"/>
      <c r="BRY29" s="47"/>
      <c r="BRZ29" s="47"/>
      <c r="BSA29" s="47"/>
      <c r="BSB29" s="47"/>
      <c r="BSC29" s="47"/>
      <c r="BSD29" s="47"/>
      <c r="BSE29" s="47"/>
      <c r="BSF29" s="47"/>
      <c r="BSG29" s="47"/>
      <c r="BSH29" s="47"/>
      <c r="BSI29" s="47"/>
      <c r="BSJ29" s="47"/>
      <c r="BSK29" s="47"/>
      <c r="BSL29" s="47"/>
      <c r="BSM29" s="47"/>
      <c r="BSN29" s="47"/>
      <c r="BSO29" s="47"/>
      <c r="BSP29" s="47"/>
      <c r="BSQ29" s="47"/>
      <c r="BSR29" s="47"/>
      <c r="BSS29" s="47"/>
      <c r="BST29" s="47"/>
      <c r="BSU29" s="47"/>
      <c r="BSV29" s="47"/>
      <c r="BSW29" s="47"/>
      <c r="BSX29" s="47"/>
      <c r="BSY29" s="47"/>
      <c r="BSZ29" s="47"/>
      <c r="BTA29" s="47"/>
      <c r="BTB29" s="47"/>
      <c r="BTC29" s="47"/>
      <c r="BTD29" s="47"/>
      <c r="BTE29" s="47"/>
      <c r="BTF29" s="47"/>
      <c r="BTG29" s="47"/>
      <c r="BTH29" s="47"/>
      <c r="BTI29" s="47"/>
      <c r="BTJ29" s="47"/>
      <c r="BTK29" s="47"/>
      <c r="BTL29" s="47"/>
      <c r="BTM29" s="47"/>
      <c r="BTN29" s="47"/>
      <c r="BTO29" s="47"/>
      <c r="BTP29" s="47"/>
      <c r="BTQ29" s="47"/>
      <c r="BTR29" s="47"/>
      <c r="BTS29" s="47"/>
      <c r="BTT29" s="47"/>
      <c r="BTU29" s="47"/>
      <c r="BTV29" s="47"/>
      <c r="BTW29" s="47"/>
      <c r="BTX29" s="47"/>
      <c r="BTY29" s="47"/>
      <c r="BTZ29" s="47"/>
      <c r="BUA29" s="47"/>
      <c r="BUB29" s="47"/>
      <c r="BUC29" s="47"/>
      <c r="BUD29" s="47"/>
      <c r="BUE29" s="47"/>
      <c r="BUF29" s="47"/>
      <c r="BUG29" s="47"/>
      <c r="BUH29" s="47"/>
      <c r="BUI29" s="47"/>
      <c r="BUJ29" s="47"/>
      <c r="BUK29" s="47"/>
      <c r="BUL29" s="47"/>
      <c r="BUM29" s="47"/>
      <c r="BUN29" s="47"/>
      <c r="BUO29" s="47"/>
      <c r="BUP29" s="47"/>
      <c r="BUQ29" s="47"/>
      <c r="BUR29" s="47"/>
      <c r="BUS29" s="47"/>
      <c r="BUT29" s="47"/>
      <c r="BUU29" s="47"/>
      <c r="BUV29" s="47"/>
      <c r="BUW29" s="47"/>
      <c r="BUX29" s="47"/>
      <c r="BUY29" s="47"/>
      <c r="BUZ29" s="47"/>
      <c r="BVA29" s="47"/>
      <c r="BVB29" s="47"/>
      <c r="BVC29" s="47"/>
      <c r="BVD29" s="47"/>
      <c r="BVE29" s="47"/>
      <c r="BVF29" s="47"/>
      <c r="BVG29" s="47"/>
      <c r="BVH29" s="47"/>
      <c r="BVI29" s="47"/>
      <c r="BVJ29" s="47"/>
      <c r="BVK29" s="47"/>
      <c r="BVL29" s="47"/>
      <c r="BVM29" s="47"/>
      <c r="BVN29" s="47"/>
      <c r="BVO29" s="47"/>
      <c r="BVP29" s="47"/>
      <c r="BVQ29" s="47"/>
      <c r="BVR29" s="47"/>
      <c r="BVS29" s="47"/>
      <c r="BVT29" s="47"/>
      <c r="BVU29" s="47"/>
      <c r="BVV29" s="47"/>
      <c r="BVW29" s="47"/>
      <c r="BVX29" s="47"/>
      <c r="BVY29" s="47"/>
      <c r="BVZ29" s="47"/>
      <c r="BWA29" s="47"/>
      <c r="BWB29" s="47"/>
      <c r="BWC29" s="47"/>
      <c r="BWD29" s="47"/>
      <c r="BWE29" s="47"/>
      <c r="BWF29" s="47"/>
      <c r="BWG29" s="47"/>
      <c r="BWH29" s="47"/>
      <c r="BWI29" s="47"/>
      <c r="BWJ29" s="47"/>
      <c r="BWK29" s="47"/>
      <c r="BWL29" s="47"/>
      <c r="BWM29" s="47"/>
      <c r="BWN29" s="47"/>
      <c r="BWO29" s="47"/>
      <c r="BWP29" s="47"/>
      <c r="BWQ29" s="47"/>
      <c r="BWR29" s="47"/>
      <c r="BWS29" s="47"/>
      <c r="BWT29" s="47"/>
      <c r="BWU29" s="47"/>
      <c r="BWV29" s="47"/>
      <c r="BWW29" s="47"/>
      <c r="BWX29" s="47"/>
      <c r="BWY29" s="47"/>
      <c r="BWZ29" s="47"/>
      <c r="BXA29" s="47"/>
      <c r="BXB29" s="47"/>
      <c r="BXC29" s="47"/>
      <c r="BXD29" s="47"/>
      <c r="BXE29" s="47"/>
      <c r="BXF29" s="47"/>
      <c r="BXG29" s="47"/>
      <c r="BXH29" s="47"/>
      <c r="BXI29" s="47"/>
      <c r="BXJ29" s="47"/>
      <c r="BXK29" s="47"/>
      <c r="BXL29" s="47"/>
      <c r="BXM29" s="47"/>
      <c r="BXN29" s="47"/>
      <c r="BXO29" s="47"/>
      <c r="BXP29" s="47"/>
      <c r="BXQ29" s="47"/>
      <c r="BXR29" s="47"/>
      <c r="BXS29" s="47"/>
      <c r="BXT29" s="47"/>
      <c r="BXU29" s="47"/>
      <c r="BXV29" s="47"/>
      <c r="BXW29" s="47"/>
      <c r="BXX29" s="47"/>
      <c r="BXY29" s="47"/>
      <c r="BXZ29" s="47"/>
      <c r="BYA29" s="47"/>
      <c r="BYB29" s="47"/>
      <c r="BYC29" s="47"/>
      <c r="BYD29" s="47"/>
      <c r="BYE29" s="47"/>
      <c r="BYF29" s="47"/>
      <c r="BYG29" s="47"/>
      <c r="BYH29" s="47"/>
      <c r="BYI29" s="47"/>
      <c r="BYJ29" s="47"/>
      <c r="BYK29" s="47"/>
      <c r="BYL29" s="47"/>
      <c r="BYM29" s="47"/>
      <c r="BYN29" s="47"/>
      <c r="BYO29" s="47"/>
      <c r="BYP29" s="47"/>
      <c r="BYQ29" s="47"/>
      <c r="BYR29" s="47"/>
      <c r="BYS29" s="47"/>
      <c r="BYT29" s="47"/>
      <c r="BYU29" s="47"/>
      <c r="BYV29" s="47"/>
      <c r="BYW29" s="47"/>
      <c r="BYX29" s="47"/>
      <c r="BYY29" s="47"/>
      <c r="BYZ29" s="47"/>
      <c r="BZA29" s="47"/>
      <c r="BZB29" s="47"/>
      <c r="BZC29" s="47"/>
      <c r="BZD29" s="47"/>
      <c r="BZE29" s="47"/>
      <c r="BZF29" s="47"/>
      <c r="BZG29" s="47"/>
      <c r="BZH29" s="47"/>
      <c r="BZI29" s="47"/>
      <c r="BZJ29" s="47"/>
      <c r="BZK29" s="47"/>
      <c r="BZL29" s="47"/>
      <c r="BZM29" s="47"/>
      <c r="BZN29" s="47"/>
      <c r="BZO29" s="47"/>
      <c r="BZP29" s="47"/>
      <c r="BZQ29" s="47"/>
      <c r="BZR29" s="47"/>
      <c r="BZS29" s="47"/>
      <c r="BZT29" s="47"/>
      <c r="BZU29" s="47"/>
      <c r="BZV29" s="47"/>
      <c r="BZW29" s="47"/>
      <c r="BZX29" s="47"/>
      <c r="BZY29" s="47"/>
      <c r="BZZ29" s="47"/>
      <c r="CAA29" s="47"/>
      <c r="CAB29" s="47"/>
      <c r="CAC29" s="47"/>
      <c r="CAD29" s="47"/>
      <c r="CAE29" s="47"/>
      <c r="CAF29" s="47"/>
      <c r="CAG29" s="47"/>
      <c r="CAH29" s="47"/>
      <c r="CAI29" s="47"/>
      <c r="CAJ29" s="47"/>
      <c r="CAK29" s="47"/>
      <c r="CAL29" s="47"/>
      <c r="CAM29" s="47"/>
      <c r="CAN29" s="47"/>
      <c r="CAO29" s="47"/>
      <c r="CAP29" s="47"/>
      <c r="CAQ29" s="47"/>
      <c r="CAR29" s="47"/>
      <c r="CAS29" s="47"/>
      <c r="CAT29" s="47"/>
      <c r="CAU29" s="47"/>
      <c r="CAV29" s="47"/>
      <c r="CAW29" s="47"/>
      <c r="CAX29" s="47"/>
      <c r="CAY29" s="47"/>
      <c r="CAZ29" s="47"/>
      <c r="CBA29" s="47"/>
      <c r="CBB29" s="47"/>
      <c r="CBC29" s="47"/>
      <c r="CBD29" s="47"/>
      <c r="CBE29" s="47"/>
      <c r="CBF29" s="47"/>
      <c r="CBG29" s="47"/>
      <c r="CBH29" s="47"/>
      <c r="CBI29" s="47"/>
      <c r="CBJ29" s="47"/>
      <c r="CBK29" s="47"/>
      <c r="CBL29" s="47"/>
      <c r="CBM29" s="47"/>
      <c r="CBN29" s="47"/>
      <c r="CBO29" s="47"/>
      <c r="CBP29" s="47"/>
      <c r="CBQ29" s="47"/>
      <c r="CBR29" s="47"/>
      <c r="CBS29" s="47"/>
      <c r="CBT29" s="47"/>
      <c r="CBU29" s="47"/>
      <c r="CBV29" s="47"/>
      <c r="CBW29" s="47"/>
      <c r="CBX29" s="47"/>
      <c r="CBY29" s="47"/>
      <c r="CBZ29" s="47"/>
      <c r="CCA29" s="47"/>
      <c r="CCB29" s="47"/>
      <c r="CCC29" s="47"/>
      <c r="CCD29" s="47"/>
      <c r="CCE29" s="47"/>
      <c r="CCF29" s="47"/>
      <c r="CCG29" s="47"/>
      <c r="CCH29" s="47"/>
      <c r="CCI29" s="47"/>
      <c r="CCJ29" s="47"/>
      <c r="CCK29" s="47"/>
      <c r="CCL29" s="47"/>
      <c r="CCM29" s="47"/>
      <c r="CCN29" s="47"/>
      <c r="CCO29" s="47"/>
      <c r="CCP29" s="47"/>
      <c r="CCQ29" s="47"/>
      <c r="CCR29" s="47"/>
      <c r="CCS29" s="47"/>
      <c r="CCT29" s="47"/>
      <c r="CCU29" s="47"/>
      <c r="CCV29" s="47"/>
      <c r="CCW29" s="47"/>
      <c r="CCX29" s="47"/>
      <c r="CCY29" s="47"/>
      <c r="CCZ29" s="47"/>
      <c r="CDA29" s="47"/>
      <c r="CDB29" s="47"/>
      <c r="CDC29" s="47"/>
      <c r="CDD29" s="47"/>
      <c r="CDE29" s="47"/>
      <c r="CDF29" s="47"/>
      <c r="CDG29" s="47"/>
      <c r="CDH29" s="47"/>
      <c r="CDI29" s="47"/>
      <c r="CDJ29" s="47"/>
      <c r="CDK29" s="47"/>
      <c r="CDL29" s="47"/>
      <c r="CDM29" s="47"/>
      <c r="CDN29" s="47"/>
      <c r="CDO29" s="47"/>
      <c r="CDP29" s="47"/>
      <c r="CDQ29" s="47"/>
      <c r="CDR29" s="47"/>
      <c r="CDS29" s="47"/>
      <c r="CDT29" s="47"/>
      <c r="CDU29" s="47"/>
      <c r="CDV29" s="47"/>
      <c r="CDW29" s="47"/>
      <c r="CDX29" s="47"/>
      <c r="CDY29" s="47"/>
      <c r="CDZ29" s="47"/>
      <c r="CEA29" s="47"/>
      <c r="CEB29" s="47"/>
      <c r="CEC29" s="47"/>
      <c r="CED29" s="47"/>
      <c r="CEE29" s="47"/>
      <c r="CEF29" s="47"/>
      <c r="CEG29" s="47"/>
      <c r="CEH29" s="47"/>
      <c r="CEI29" s="47"/>
      <c r="CEJ29" s="47"/>
      <c r="CEK29" s="47"/>
      <c r="CEL29" s="47"/>
      <c r="CEM29" s="47"/>
      <c r="CEN29" s="47"/>
      <c r="CEO29" s="47"/>
      <c r="CEP29" s="47"/>
      <c r="CEQ29" s="47"/>
      <c r="CER29" s="47"/>
      <c r="CES29" s="47"/>
      <c r="CET29" s="47"/>
      <c r="CEU29" s="47"/>
      <c r="CEV29" s="47"/>
      <c r="CEW29" s="47"/>
      <c r="CEX29" s="47"/>
      <c r="CEY29" s="47"/>
      <c r="CEZ29" s="47"/>
      <c r="CFA29" s="47"/>
      <c r="CFB29" s="47"/>
      <c r="CFC29" s="47"/>
      <c r="CFD29" s="47"/>
      <c r="CFE29" s="47"/>
      <c r="CFF29" s="47"/>
      <c r="CFG29" s="47"/>
      <c r="CFH29" s="47"/>
      <c r="CFI29" s="47"/>
      <c r="CFJ29" s="47"/>
      <c r="CFK29" s="47"/>
      <c r="CFL29" s="47"/>
      <c r="CFM29" s="47"/>
      <c r="CFN29" s="47"/>
      <c r="CFO29" s="47"/>
      <c r="CFP29" s="47"/>
      <c r="CFQ29" s="47"/>
      <c r="CFR29" s="47"/>
      <c r="CFS29" s="47"/>
      <c r="CFT29" s="47"/>
      <c r="CFU29" s="47"/>
      <c r="CFV29" s="47"/>
      <c r="CFW29" s="47"/>
      <c r="CFX29" s="47"/>
      <c r="CFY29" s="47"/>
      <c r="CFZ29" s="47"/>
      <c r="CGA29" s="47"/>
      <c r="CGB29" s="47"/>
      <c r="CGC29" s="47"/>
      <c r="CGD29" s="47"/>
      <c r="CGE29" s="47"/>
      <c r="CGF29" s="47"/>
      <c r="CGG29" s="47"/>
      <c r="CGH29" s="47"/>
      <c r="CGI29" s="47"/>
      <c r="CGJ29" s="47"/>
      <c r="CGK29" s="47"/>
      <c r="CGL29" s="47"/>
      <c r="CGM29" s="47"/>
      <c r="CGN29" s="47"/>
      <c r="CGO29" s="47"/>
      <c r="CGP29" s="47"/>
      <c r="CGQ29" s="47"/>
      <c r="CGR29" s="47"/>
      <c r="CGS29" s="47"/>
      <c r="CGT29" s="47"/>
      <c r="CGU29" s="47"/>
      <c r="CGV29" s="47"/>
      <c r="CGW29" s="47"/>
      <c r="CGX29" s="47"/>
      <c r="CGY29" s="47"/>
      <c r="CGZ29" s="47"/>
      <c r="CHA29" s="47"/>
      <c r="CHB29" s="47"/>
      <c r="CHC29" s="47"/>
      <c r="CHD29" s="47"/>
      <c r="CHE29" s="47"/>
      <c r="CHF29" s="47"/>
      <c r="CHG29" s="47"/>
      <c r="CHH29" s="47"/>
      <c r="CHI29" s="47"/>
      <c r="CHJ29" s="47"/>
      <c r="CHK29" s="47"/>
      <c r="CHL29" s="47"/>
      <c r="CHM29" s="47"/>
      <c r="CHN29" s="47"/>
      <c r="CHO29" s="47"/>
      <c r="CHP29" s="47"/>
      <c r="CHQ29" s="47"/>
      <c r="CHR29" s="47"/>
      <c r="CHS29" s="47"/>
      <c r="CHT29" s="47"/>
      <c r="CHU29" s="47"/>
      <c r="CHV29" s="47"/>
      <c r="CHW29" s="47"/>
      <c r="CHX29" s="47"/>
      <c r="CHY29" s="47"/>
      <c r="CHZ29" s="47"/>
      <c r="CIA29" s="47"/>
      <c r="CIB29" s="47"/>
      <c r="CIC29" s="47"/>
      <c r="CID29" s="47"/>
      <c r="CIE29" s="47"/>
      <c r="CIF29" s="47"/>
      <c r="CIG29" s="47"/>
      <c r="CIH29" s="47"/>
      <c r="CII29" s="47"/>
      <c r="CIJ29" s="47"/>
      <c r="CIK29" s="47"/>
      <c r="CIL29" s="47"/>
      <c r="CIM29" s="47"/>
      <c r="CIN29" s="47"/>
      <c r="CIO29" s="47"/>
      <c r="CIP29" s="47"/>
      <c r="CIQ29" s="47"/>
      <c r="CIR29" s="47"/>
      <c r="CIS29" s="47"/>
      <c r="CIT29" s="47"/>
      <c r="CIU29" s="47"/>
      <c r="CIV29" s="47"/>
      <c r="CIW29" s="47"/>
      <c r="CIX29" s="47"/>
      <c r="CIY29" s="47"/>
      <c r="CIZ29" s="47"/>
      <c r="CJA29" s="47"/>
      <c r="CJB29" s="47"/>
      <c r="CJC29" s="47"/>
      <c r="CJD29" s="47"/>
      <c r="CJE29" s="47"/>
      <c r="CJF29" s="47"/>
      <c r="CJG29" s="47"/>
      <c r="CJH29" s="47"/>
      <c r="CJI29" s="47"/>
      <c r="CJJ29" s="47"/>
      <c r="CJK29" s="47"/>
      <c r="CJL29" s="47"/>
      <c r="CJM29" s="47"/>
      <c r="CJN29" s="47"/>
      <c r="CJO29" s="47"/>
      <c r="CJP29" s="47"/>
      <c r="CJQ29" s="47"/>
      <c r="CJR29" s="47"/>
      <c r="CJS29" s="47"/>
      <c r="CJT29" s="47"/>
      <c r="CJU29" s="47"/>
      <c r="CJV29" s="47"/>
      <c r="CJW29" s="47"/>
      <c r="CJX29" s="47"/>
      <c r="CJY29" s="47"/>
      <c r="CJZ29" s="47"/>
      <c r="CKA29" s="47"/>
      <c r="CKB29" s="47"/>
      <c r="CKC29" s="47"/>
      <c r="CKD29" s="47"/>
      <c r="CKE29" s="47"/>
      <c r="CKF29" s="47"/>
      <c r="CKG29" s="47"/>
      <c r="CKH29" s="47"/>
      <c r="CKI29" s="47"/>
      <c r="CKJ29" s="47"/>
      <c r="CKK29" s="47"/>
      <c r="CKL29" s="47"/>
      <c r="CKM29" s="47"/>
      <c r="CKN29" s="47"/>
      <c r="CKO29" s="47"/>
      <c r="CKP29" s="47"/>
      <c r="CKQ29" s="47"/>
      <c r="CKR29" s="47"/>
      <c r="CKS29" s="47"/>
      <c r="CKT29" s="47"/>
      <c r="CKU29" s="47"/>
      <c r="CKV29" s="47"/>
      <c r="CKW29" s="47"/>
      <c r="CKX29" s="47"/>
      <c r="CKY29" s="47"/>
      <c r="CKZ29" s="47"/>
      <c r="CLA29" s="47"/>
      <c r="CLB29" s="47"/>
      <c r="CLC29" s="47"/>
      <c r="CLD29" s="47"/>
      <c r="CLE29" s="47"/>
      <c r="CLF29" s="47"/>
      <c r="CLG29" s="47"/>
      <c r="CLH29" s="47"/>
      <c r="CLI29" s="47"/>
      <c r="CLJ29" s="47"/>
      <c r="CLK29" s="47"/>
      <c r="CLL29" s="47"/>
      <c r="CLM29" s="47"/>
      <c r="CLN29" s="47"/>
      <c r="CLO29" s="47"/>
      <c r="CLP29" s="47"/>
      <c r="CLQ29" s="47"/>
      <c r="CLR29" s="47"/>
      <c r="CLS29" s="47"/>
      <c r="CLT29" s="47"/>
      <c r="CLU29" s="47"/>
      <c r="CLV29" s="47"/>
      <c r="CLW29" s="47"/>
      <c r="CLX29" s="47"/>
      <c r="CLY29" s="47"/>
      <c r="CLZ29" s="47"/>
      <c r="CMA29" s="47"/>
      <c r="CMB29" s="47"/>
      <c r="CMC29" s="47"/>
      <c r="CMD29" s="47"/>
      <c r="CME29" s="47"/>
      <c r="CMF29" s="47"/>
      <c r="CMG29" s="47"/>
      <c r="CMH29" s="47"/>
      <c r="CMI29" s="47"/>
      <c r="CMJ29" s="47"/>
      <c r="CMK29" s="47"/>
      <c r="CML29" s="47"/>
      <c r="CMM29" s="47"/>
      <c r="CMN29" s="47"/>
      <c r="CMO29" s="47"/>
      <c r="CMP29" s="47"/>
      <c r="CMQ29" s="47"/>
      <c r="CMR29" s="47"/>
      <c r="CMS29" s="47"/>
      <c r="CMT29" s="47"/>
      <c r="CMU29" s="47"/>
      <c r="CMV29" s="47"/>
      <c r="CMW29" s="47"/>
      <c r="CMX29" s="47"/>
      <c r="CMY29" s="47"/>
      <c r="CMZ29" s="47"/>
      <c r="CNA29" s="47"/>
      <c r="CNB29" s="47"/>
      <c r="CNC29" s="47"/>
      <c r="CND29" s="47"/>
      <c r="CNE29" s="47"/>
      <c r="CNF29" s="47"/>
      <c r="CNG29" s="47"/>
      <c r="CNH29" s="47"/>
      <c r="CNI29" s="47"/>
      <c r="CNJ29" s="47"/>
      <c r="CNK29" s="47"/>
      <c r="CNL29" s="47"/>
      <c r="CNM29" s="47"/>
      <c r="CNN29" s="47"/>
      <c r="CNO29" s="47"/>
      <c r="CNP29" s="47"/>
      <c r="CNQ29" s="47"/>
      <c r="CNR29" s="47"/>
      <c r="CNS29" s="47"/>
      <c r="CNT29" s="47"/>
      <c r="CNU29" s="47"/>
      <c r="CNV29" s="47"/>
      <c r="CNW29" s="47"/>
      <c r="CNX29" s="47"/>
      <c r="CNY29" s="47"/>
      <c r="CNZ29" s="47"/>
      <c r="COA29" s="47"/>
      <c r="COB29" s="47"/>
      <c r="COC29" s="47"/>
      <c r="COD29" s="47"/>
      <c r="COE29" s="47"/>
      <c r="COF29" s="47"/>
      <c r="COG29" s="47"/>
      <c r="COH29" s="47"/>
      <c r="COI29" s="47"/>
      <c r="COJ29" s="47"/>
      <c r="COK29" s="47"/>
      <c r="COL29" s="47"/>
      <c r="COM29" s="47"/>
      <c r="CON29" s="47"/>
      <c r="COO29" s="47"/>
      <c r="COP29" s="47"/>
      <c r="COQ29" s="47"/>
      <c r="COR29" s="47"/>
      <c r="COS29" s="47"/>
      <c r="COT29" s="47"/>
      <c r="COU29" s="47"/>
      <c r="COV29" s="47"/>
      <c r="COW29" s="47"/>
      <c r="COX29" s="47"/>
      <c r="COY29" s="47"/>
      <c r="COZ29" s="47"/>
      <c r="CPA29" s="47"/>
      <c r="CPB29" s="47"/>
      <c r="CPC29" s="47"/>
      <c r="CPD29" s="47"/>
      <c r="CPE29" s="47"/>
      <c r="CPF29" s="47"/>
      <c r="CPG29" s="47"/>
      <c r="CPH29" s="47"/>
      <c r="CPI29" s="47"/>
      <c r="CPJ29" s="47"/>
      <c r="CPK29" s="47"/>
      <c r="CPL29" s="47"/>
      <c r="CPM29" s="47"/>
      <c r="CPN29" s="47"/>
      <c r="CPO29" s="47"/>
      <c r="CPP29" s="47"/>
      <c r="CPQ29" s="47"/>
      <c r="CPR29" s="47"/>
      <c r="CPS29" s="47"/>
      <c r="CPT29" s="47"/>
      <c r="CPU29" s="47"/>
      <c r="CPV29" s="47"/>
      <c r="CPW29" s="47"/>
      <c r="CPX29" s="47"/>
      <c r="CPY29" s="47"/>
      <c r="CPZ29" s="47"/>
      <c r="CQA29" s="47"/>
      <c r="CQB29" s="47"/>
      <c r="CQC29" s="47"/>
      <c r="CQD29" s="47"/>
      <c r="CQE29" s="47"/>
      <c r="CQF29" s="47"/>
      <c r="CQG29" s="47"/>
      <c r="CQH29" s="47"/>
      <c r="CQI29" s="47"/>
      <c r="CQJ29" s="47"/>
      <c r="CQK29" s="47"/>
      <c r="CQL29" s="47"/>
      <c r="CQM29" s="47"/>
      <c r="CQN29" s="47"/>
      <c r="CQO29" s="47"/>
      <c r="CQP29" s="47"/>
      <c r="CQQ29" s="47"/>
      <c r="CQR29" s="47"/>
      <c r="CQS29" s="47"/>
      <c r="CQT29" s="47"/>
      <c r="CQU29" s="47"/>
      <c r="CQV29" s="47"/>
      <c r="CQW29" s="47"/>
      <c r="CQX29" s="47"/>
      <c r="CQY29" s="47"/>
      <c r="CQZ29" s="47"/>
      <c r="CRA29" s="47"/>
      <c r="CRB29" s="47"/>
      <c r="CRC29" s="47"/>
      <c r="CRD29" s="47"/>
      <c r="CRE29" s="47"/>
      <c r="CRF29" s="47"/>
      <c r="CRG29" s="47"/>
      <c r="CRH29" s="47"/>
      <c r="CRI29" s="47"/>
      <c r="CRJ29" s="47"/>
      <c r="CRK29" s="47"/>
      <c r="CRL29" s="47"/>
      <c r="CRM29" s="47"/>
      <c r="CRN29" s="47"/>
      <c r="CRO29" s="47"/>
      <c r="CRP29" s="47"/>
      <c r="CRQ29" s="47"/>
      <c r="CRR29" s="47"/>
      <c r="CRS29" s="47"/>
      <c r="CRT29" s="47"/>
      <c r="CRU29" s="47"/>
      <c r="CRV29" s="47"/>
      <c r="CRW29" s="47"/>
      <c r="CRX29" s="47"/>
      <c r="CRY29" s="47"/>
      <c r="CRZ29" s="47"/>
      <c r="CSA29" s="47"/>
      <c r="CSB29" s="47"/>
      <c r="CSC29" s="47"/>
      <c r="CSD29" s="47"/>
      <c r="CSE29" s="47"/>
      <c r="CSF29" s="47"/>
      <c r="CSG29" s="47"/>
      <c r="CSH29" s="47"/>
      <c r="CSI29" s="47"/>
      <c r="CSJ29" s="47"/>
      <c r="CSK29" s="47"/>
      <c r="CSL29" s="47"/>
      <c r="CSM29" s="47"/>
      <c r="CSN29" s="47"/>
      <c r="CSO29" s="47"/>
      <c r="CSP29" s="47"/>
      <c r="CSQ29" s="47"/>
      <c r="CSR29" s="47"/>
      <c r="CSS29" s="47"/>
      <c r="CST29" s="47"/>
      <c r="CSU29" s="47"/>
      <c r="CSV29" s="47"/>
      <c r="CSW29" s="47"/>
      <c r="CSX29" s="47"/>
      <c r="CSY29" s="47"/>
      <c r="CSZ29" s="47"/>
      <c r="CTA29" s="47"/>
      <c r="CTB29" s="47"/>
      <c r="CTC29" s="47"/>
      <c r="CTD29" s="47"/>
      <c r="CTE29" s="47"/>
      <c r="CTF29" s="47"/>
      <c r="CTG29" s="47"/>
      <c r="CTH29" s="47"/>
      <c r="CTI29" s="47"/>
      <c r="CTJ29" s="47"/>
      <c r="CTK29" s="47"/>
      <c r="CTL29" s="47"/>
      <c r="CTM29" s="47"/>
      <c r="CTN29" s="47"/>
      <c r="CTO29" s="47"/>
      <c r="CTP29" s="47"/>
      <c r="CTQ29" s="47"/>
      <c r="CTR29" s="47"/>
      <c r="CTS29" s="47"/>
      <c r="CTT29" s="47"/>
      <c r="CTU29" s="47"/>
      <c r="CTV29" s="47"/>
      <c r="CTW29" s="47"/>
      <c r="CTX29" s="47"/>
      <c r="CTY29" s="47"/>
      <c r="CTZ29" s="47"/>
      <c r="CUA29" s="47"/>
      <c r="CUB29" s="47"/>
      <c r="CUC29" s="47"/>
      <c r="CUD29" s="47"/>
      <c r="CUE29" s="47"/>
      <c r="CUF29" s="47"/>
      <c r="CUG29" s="47"/>
      <c r="CUH29" s="47"/>
      <c r="CUI29" s="47"/>
      <c r="CUJ29" s="47"/>
      <c r="CUK29" s="47"/>
      <c r="CUL29" s="47"/>
      <c r="CUM29" s="47"/>
      <c r="CUN29" s="47"/>
      <c r="CUO29" s="47"/>
      <c r="CUP29" s="47"/>
      <c r="CUQ29" s="47"/>
      <c r="CUR29" s="47"/>
      <c r="CUS29" s="47"/>
      <c r="CUT29" s="47"/>
      <c r="CUU29" s="47"/>
      <c r="CUV29" s="47"/>
      <c r="CUW29" s="47"/>
      <c r="CUX29" s="47"/>
      <c r="CUY29" s="47"/>
      <c r="CUZ29" s="47"/>
      <c r="CVA29" s="47"/>
      <c r="CVB29" s="47"/>
      <c r="CVC29" s="47"/>
      <c r="CVD29" s="47"/>
      <c r="CVE29" s="47"/>
      <c r="CVF29" s="47"/>
      <c r="CVG29" s="47"/>
      <c r="CVH29" s="47"/>
      <c r="CVI29" s="47"/>
      <c r="CVJ29" s="47"/>
      <c r="CVK29" s="47"/>
      <c r="CVL29" s="47"/>
      <c r="CVM29" s="47"/>
      <c r="CVN29" s="47"/>
      <c r="CVO29" s="47"/>
      <c r="CVP29" s="47"/>
      <c r="CVQ29" s="47"/>
      <c r="CVR29" s="47"/>
      <c r="CVS29" s="47"/>
      <c r="CVT29" s="47"/>
      <c r="CVU29" s="47"/>
      <c r="CVV29" s="47"/>
      <c r="CVW29" s="47"/>
      <c r="CVX29" s="47"/>
      <c r="CVY29" s="47"/>
      <c r="CVZ29" s="47"/>
      <c r="CWA29" s="47"/>
      <c r="CWB29" s="47"/>
      <c r="CWC29" s="47"/>
      <c r="CWD29" s="47"/>
      <c r="CWE29" s="47"/>
      <c r="CWF29" s="47"/>
      <c r="CWG29" s="47"/>
      <c r="CWH29" s="47"/>
      <c r="CWI29" s="47"/>
      <c r="CWJ29" s="47"/>
      <c r="CWK29" s="47"/>
      <c r="CWL29" s="47"/>
      <c r="CWM29" s="47"/>
      <c r="CWN29" s="47"/>
      <c r="CWO29" s="47"/>
      <c r="CWP29" s="47"/>
      <c r="CWQ29" s="47"/>
      <c r="CWR29" s="47"/>
      <c r="CWS29" s="47"/>
      <c r="CWT29" s="47"/>
      <c r="CWU29" s="47"/>
      <c r="CWV29" s="47"/>
      <c r="CWW29" s="47"/>
      <c r="CWX29" s="47"/>
      <c r="CWY29" s="47"/>
      <c r="CWZ29" s="47"/>
      <c r="CXA29" s="47"/>
      <c r="CXB29" s="47"/>
      <c r="CXC29" s="47"/>
      <c r="CXD29" s="47"/>
      <c r="CXE29" s="47"/>
      <c r="CXF29" s="47"/>
      <c r="CXG29" s="47"/>
      <c r="CXH29" s="47"/>
      <c r="CXI29" s="47"/>
      <c r="CXJ29" s="47"/>
      <c r="CXK29" s="47"/>
      <c r="CXL29" s="47"/>
      <c r="CXM29" s="47"/>
      <c r="CXN29" s="47"/>
      <c r="CXO29" s="47"/>
      <c r="CXP29" s="47"/>
      <c r="CXQ29" s="47"/>
      <c r="CXR29" s="47"/>
      <c r="CXS29" s="47"/>
      <c r="CXT29" s="47"/>
      <c r="CXU29" s="47"/>
      <c r="CXV29" s="47"/>
      <c r="CXW29" s="47"/>
      <c r="CXX29" s="47"/>
      <c r="CXY29" s="47"/>
      <c r="CXZ29" s="47"/>
      <c r="CYA29" s="47"/>
      <c r="CYB29" s="47"/>
      <c r="CYC29" s="47"/>
      <c r="CYD29" s="47"/>
      <c r="CYE29" s="47"/>
      <c r="CYF29" s="47"/>
      <c r="CYG29" s="47"/>
      <c r="CYH29" s="47"/>
      <c r="CYI29" s="47"/>
      <c r="CYJ29" s="47"/>
      <c r="CYK29" s="47"/>
      <c r="CYL29" s="47"/>
      <c r="CYM29" s="47"/>
      <c r="CYN29" s="47"/>
      <c r="CYO29" s="47"/>
      <c r="CYP29" s="47"/>
      <c r="CYQ29" s="47"/>
      <c r="CYR29" s="47"/>
      <c r="CYS29" s="47"/>
      <c r="CYT29" s="47"/>
      <c r="CYU29" s="47"/>
      <c r="CYV29" s="47"/>
      <c r="CYW29" s="47"/>
      <c r="CYX29" s="47"/>
      <c r="CYY29" s="47"/>
      <c r="CYZ29" s="47"/>
      <c r="CZA29" s="47"/>
      <c r="CZB29" s="47"/>
      <c r="CZC29" s="47"/>
      <c r="CZD29" s="47"/>
      <c r="CZE29" s="47"/>
      <c r="CZF29" s="47"/>
      <c r="CZG29" s="47"/>
      <c r="CZH29" s="47"/>
      <c r="CZI29" s="47"/>
      <c r="CZJ29" s="47"/>
      <c r="CZK29" s="47"/>
      <c r="CZL29" s="47"/>
      <c r="CZM29" s="47"/>
      <c r="CZN29" s="47"/>
      <c r="CZO29" s="47"/>
      <c r="CZP29" s="47"/>
      <c r="CZQ29" s="47"/>
      <c r="CZR29" s="47"/>
      <c r="CZS29" s="47"/>
      <c r="CZT29" s="47"/>
      <c r="CZU29" s="47"/>
      <c r="CZV29" s="47"/>
      <c r="CZW29" s="47"/>
      <c r="CZX29" s="47"/>
      <c r="CZY29" s="47"/>
      <c r="CZZ29" s="47"/>
      <c r="DAA29" s="47"/>
      <c r="DAB29" s="47"/>
      <c r="DAC29" s="47"/>
      <c r="DAD29" s="47"/>
      <c r="DAE29" s="47"/>
      <c r="DAF29" s="47"/>
      <c r="DAG29" s="47"/>
      <c r="DAH29" s="47"/>
      <c r="DAI29" s="47"/>
      <c r="DAJ29" s="47"/>
      <c r="DAK29" s="47"/>
      <c r="DAL29" s="47"/>
      <c r="DAM29" s="47"/>
      <c r="DAN29" s="47"/>
      <c r="DAO29" s="47"/>
      <c r="DAP29" s="47"/>
      <c r="DAQ29" s="47"/>
      <c r="DAR29" s="47"/>
      <c r="DAS29" s="47"/>
      <c r="DAT29" s="47"/>
      <c r="DAU29" s="47"/>
      <c r="DAV29" s="47"/>
      <c r="DAW29" s="47"/>
      <c r="DAX29" s="47"/>
      <c r="DAY29" s="47"/>
      <c r="DAZ29" s="47"/>
      <c r="DBA29" s="47"/>
      <c r="DBB29" s="47"/>
      <c r="DBC29" s="47"/>
      <c r="DBD29" s="47"/>
      <c r="DBE29" s="47"/>
      <c r="DBF29" s="47"/>
      <c r="DBG29" s="47"/>
      <c r="DBH29" s="47"/>
      <c r="DBI29" s="47"/>
      <c r="DBJ29" s="47"/>
      <c r="DBK29" s="47"/>
      <c r="DBL29" s="47"/>
      <c r="DBM29" s="47"/>
      <c r="DBN29" s="47"/>
      <c r="DBO29" s="47"/>
      <c r="DBP29" s="47"/>
      <c r="DBQ29" s="47"/>
      <c r="DBR29" s="47"/>
      <c r="DBS29" s="47"/>
      <c r="DBT29" s="47"/>
      <c r="DBU29" s="47"/>
      <c r="DBV29" s="47"/>
      <c r="DBW29" s="47"/>
      <c r="DBX29" s="47"/>
      <c r="DBY29" s="47"/>
      <c r="DBZ29" s="47"/>
      <c r="DCA29" s="47"/>
      <c r="DCB29" s="47"/>
      <c r="DCC29" s="47"/>
      <c r="DCD29" s="47"/>
      <c r="DCE29" s="47"/>
      <c r="DCF29" s="47"/>
      <c r="DCG29" s="47"/>
      <c r="DCH29" s="47"/>
      <c r="DCI29" s="47"/>
      <c r="DCJ29" s="47"/>
      <c r="DCK29" s="47"/>
      <c r="DCL29" s="47"/>
      <c r="DCM29" s="47"/>
      <c r="DCN29" s="47"/>
      <c r="DCO29" s="47"/>
      <c r="DCP29" s="47"/>
      <c r="DCQ29" s="47"/>
      <c r="DCR29" s="47"/>
      <c r="DCS29" s="47"/>
      <c r="DCT29" s="47"/>
      <c r="DCU29" s="47"/>
      <c r="DCV29" s="47"/>
      <c r="DCW29" s="47"/>
      <c r="DCX29" s="47"/>
      <c r="DCY29" s="47"/>
      <c r="DCZ29" s="47"/>
      <c r="DDA29" s="47"/>
      <c r="DDB29" s="47"/>
      <c r="DDC29" s="47"/>
      <c r="DDD29" s="47"/>
      <c r="DDE29" s="47"/>
      <c r="DDF29" s="47"/>
      <c r="DDG29" s="47"/>
      <c r="DDH29" s="47"/>
      <c r="DDI29" s="47"/>
      <c r="DDJ29" s="47"/>
      <c r="DDK29" s="47"/>
      <c r="DDL29" s="47"/>
      <c r="DDM29" s="47"/>
      <c r="DDN29" s="47"/>
      <c r="DDO29" s="47"/>
      <c r="DDP29" s="47"/>
      <c r="DDQ29" s="47"/>
      <c r="DDR29" s="47"/>
      <c r="DDS29" s="47"/>
      <c r="DDT29" s="47"/>
      <c r="DDU29" s="47"/>
      <c r="DDV29" s="47"/>
      <c r="DDW29" s="47"/>
      <c r="DDX29" s="47"/>
      <c r="DDY29" s="47"/>
      <c r="DDZ29" s="47"/>
      <c r="DEA29" s="47"/>
      <c r="DEB29" s="47"/>
      <c r="DEC29" s="47"/>
      <c r="DED29" s="47"/>
      <c r="DEE29" s="47"/>
      <c r="DEF29" s="47"/>
      <c r="DEG29" s="47"/>
      <c r="DEH29" s="47"/>
      <c r="DEI29" s="47"/>
      <c r="DEJ29" s="47"/>
      <c r="DEK29" s="47"/>
      <c r="DEL29" s="47"/>
      <c r="DEM29" s="47"/>
      <c r="DEN29" s="47"/>
      <c r="DEO29" s="47"/>
      <c r="DEP29" s="47"/>
      <c r="DEQ29" s="47"/>
      <c r="DER29" s="47"/>
      <c r="DES29" s="47"/>
      <c r="DET29" s="47"/>
      <c r="DEU29" s="47"/>
      <c r="DEV29" s="47"/>
      <c r="DEW29" s="47"/>
      <c r="DEX29" s="47"/>
      <c r="DEY29" s="47"/>
      <c r="DEZ29" s="47"/>
      <c r="DFA29" s="47"/>
      <c r="DFB29" s="47"/>
      <c r="DFC29" s="47"/>
      <c r="DFD29" s="47"/>
      <c r="DFE29" s="47"/>
      <c r="DFF29" s="47"/>
      <c r="DFG29" s="47"/>
      <c r="DFH29" s="47"/>
      <c r="DFI29" s="47"/>
      <c r="DFJ29" s="47"/>
      <c r="DFK29" s="47"/>
      <c r="DFL29" s="47"/>
      <c r="DFM29" s="47"/>
      <c r="DFN29" s="47"/>
      <c r="DFO29" s="47"/>
      <c r="DFP29" s="47"/>
      <c r="DFQ29" s="47"/>
      <c r="DFR29" s="47"/>
      <c r="DFS29" s="47"/>
      <c r="DFT29" s="47"/>
      <c r="DFU29" s="47"/>
      <c r="DFV29" s="47"/>
      <c r="DFW29" s="47"/>
      <c r="DFX29" s="47"/>
      <c r="DFY29" s="47"/>
      <c r="DFZ29" s="47"/>
      <c r="DGA29" s="47"/>
      <c r="DGB29" s="47"/>
      <c r="DGC29" s="47"/>
      <c r="DGD29" s="47"/>
      <c r="DGE29" s="47"/>
      <c r="DGF29" s="47"/>
      <c r="DGG29" s="47"/>
      <c r="DGH29" s="47"/>
      <c r="DGI29" s="47"/>
      <c r="DGJ29" s="47"/>
      <c r="DGK29" s="47"/>
      <c r="DGL29" s="47"/>
      <c r="DGM29" s="47"/>
      <c r="DGN29" s="47"/>
      <c r="DGO29" s="47"/>
      <c r="DGP29" s="47"/>
      <c r="DGQ29" s="47"/>
      <c r="DGR29" s="47"/>
      <c r="DGS29" s="47"/>
      <c r="DGT29" s="47"/>
      <c r="DGU29" s="47"/>
      <c r="DGV29" s="47"/>
      <c r="DGW29" s="47"/>
      <c r="DGX29" s="47"/>
      <c r="DGY29" s="47"/>
      <c r="DGZ29" s="47"/>
      <c r="DHA29" s="47"/>
      <c r="DHB29" s="47"/>
      <c r="DHC29" s="47"/>
      <c r="DHD29" s="47"/>
      <c r="DHE29" s="47"/>
      <c r="DHF29" s="47"/>
      <c r="DHG29" s="47"/>
      <c r="DHH29" s="47"/>
      <c r="DHI29" s="47"/>
      <c r="DHJ29" s="47"/>
      <c r="DHK29" s="47"/>
      <c r="DHL29" s="47"/>
      <c r="DHM29" s="47"/>
      <c r="DHN29" s="47"/>
      <c r="DHO29" s="47"/>
      <c r="DHP29" s="47"/>
      <c r="DHQ29" s="47"/>
      <c r="DHR29" s="47"/>
      <c r="DHS29" s="47"/>
      <c r="DHT29" s="47"/>
      <c r="DHU29" s="47"/>
      <c r="DHV29" s="47"/>
      <c r="DHW29" s="47"/>
      <c r="DHX29" s="47"/>
      <c r="DHY29" s="47"/>
      <c r="DHZ29" s="47"/>
      <c r="DIA29" s="47"/>
      <c r="DIB29" s="47"/>
      <c r="DIC29" s="47"/>
      <c r="DID29" s="47"/>
      <c r="DIE29" s="47"/>
      <c r="DIF29" s="47"/>
      <c r="DIG29" s="47"/>
      <c r="DIH29" s="47"/>
      <c r="DII29" s="47"/>
      <c r="DIJ29" s="47"/>
      <c r="DIK29" s="47"/>
      <c r="DIL29" s="47"/>
      <c r="DIM29" s="47"/>
      <c r="DIN29" s="47"/>
      <c r="DIO29" s="47"/>
      <c r="DIP29" s="47"/>
      <c r="DIQ29" s="47"/>
      <c r="DIR29" s="47"/>
      <c r="DIS29" s="47"/>
      <c r="DIT29" s="47"/>
      <c r="DIU29" s="47"/>
      <c r="DIV29" s="47"/>
      <c r="DIW29" s="47"/>
      <c r="DIX29" s="47"/>
      <c r="DIY29" s="47"/>
      <c r="DIZ29" s="47"/>
      <c r="DJA29" s="47"/>
      <c r="DJB29" s="47"/>
      <c r="DJC29" s="47"/>
      <c r="DJD29" s="47"/>
      <c r="DJE29" s="47"/>
      <c r="DJF29" s="47"/>
      <c r="DJG29" s="47"/>
      <c r="DJH29" s="47"/>
      <c r="DJI29" s="47"/>
      <c r="DJJ29" s="47"/>
      <c r="DJK29" s="47"/>
      <c r="DJL29" s="47"/>
      <c r="DJM29" s="47"/>
      <c r="DJN29" s="47"/>
      <c r="DJO29" s="47"/>
      <c r="DJP29" s="47"/>
      <c r="DJQ29" s="47"/>
      <c r="DJR29" s="47"/>
      <c r="DJS29" s="47"/>
      <c r="DJT29" s="47"/>
      <c r="DJU29" s="47"/>
      <c r="DJV29" s="47"/>
      <c r="DJW29" s="47"/>
      <c r="DJX29" s="47"/>
      <c r="DJY29" s="47"/>
      <c r="DJZ29" s="47"/>
      <c r="DKA29" s="47"/>
      <c r="DKB29" s="47"/>
      <c r="DKC29" s="47"/>
      <c r="DKD29" s="47"/>
      <c r="DKE29" s="47"/>
      <c r="DKF29" s="47"/>
      <c r="DKG29" s="47"/>
      <c r="DKH29" s="47"/>
      <c r="DKI29" s="47"/>
      <c r="DKJ29" s="47"/>
      <c r="DKK29" s="47"/>
      <c r="DKL29" s="47"/>
      <c r="DKM29" s="47"/>
      <c r="DKN29" s="47"/>
      <c r="DKO29" s="47"/>
      <c r="DKP29" s="47"/>
      <c r="DKQ29" s="47"/>
      <c r="DKR29" s="47"/>
      <c r="DKS29" s="47"/>
      <c r="DKT29" s="47"/>
      <c r="DKU29" s="47"/>
      <c r="DKV29" s="47"/>
      <c r="DKW29" s="47"/>
      <c r="DKX29" s="47"/>
      <c r="DKY29" s="47"/>
      <c r="DKZ29" s="47"/>
      <c r="DLA29" s="47"/>
      <c r="DLB29" s="47"/>
      <c r="DLC29" s="47"/>
      <c r="DLD29" s="47"/>
      <c r="DLE29" s="47"/>
      <c r="DLF29" s="47"/>
      <c r="DLG29" s="47"/>
      <c r="DLH29" s="47"/>
      <c r="DLI29" s="47"/>
      <c r="DLJ29" s="47"/>
      <c r="DLK29" s="47"/>
      <c r="DLL29" s="47"/>
      <c r="DLM29" s="47"/>
      <c r="DLN29" s="47"/>
      <c r="DLO29" s="47"/>
      <c r="DLP29" s="47"/>
      <c r="DLQ29" s="47"/>
      <c r="DLR29" s="47"/>
      <c r="DLS29" s="47"/>
      <c r="DLT29" s="47"/>
      <c r="DLU29" s="47"/>
      <c r="DLV29" s="47"/>
      <c r="DLW29" s="47"/>
      <c r="DLX29" s="47"/>
      <c r="DLY29" s="47"/>
      <c r="DLZ29" s="47"/>
      <c r="DMA29" s="47"/>
      <c r="DMB29" s="47"/>
      <c r="DMC29" s="47"/>
      <c r="DMD29" s="47"/>
      <c r="DME29" s="47"/>
      <c r="DMF29" s="47"/>
      <c r="DMG29" s="47"/>
      <c r="DMH29" s="47"/>
      <c r="DMI29" s="47"/>
      <c r="DMJ29" s="47"/>
      <c r="DMK29" s="47"/>
      <c r="DML29" s="47"/>
      <c r="DMM29" s="47"/>
      <c r="DMN29" s="47"/>
      <c r="DMO29" s="47"/>
      <c r="DMP29" s="47"/>
      <c r="DMQ29" s="47"/>
      <c r="DMR29" s="47"/>
      <c r="DMS29" s="47"/>
      <c r="DMT29" s="47"/>
      <c r="DMU29" s="47"/>
      <c r="DMV29" s="47"/>
      <c r="DMW29" s="47"/>
      <c r="DMX29" s="47"/>
      <c r="DMY29" s="47"/>
      <c r="DMZ29" s="47"/>
      <c r="DNA29" s="47"/>
      <c r="DNB29" s="47"/>
      <c r="DNC29" s="47"/>
      <c r="DND29" s="47"/>
      <c r="DNE29" s="47"/>
      <c r="DNF29" s="47"/>
      <c r="DNG29" s="47"/>
      <c r="DNH29" s="47"/>
      <c r="DNI29" s="47"/>
      <c r="DNJ29" s="47"/>
      <c r="DNK29" s="47"/>
      <c r="DNL29" s="47"/>
      <c r="DNM29" s="47"/>
      <c r="DNN29" s="47"/>
      <c r="DNO29" s="47"/>
      <c r="DNP29" s="47"/>
      <c r="DNQ29" s="47"/>
      <c r="DNR29" s="47"/>
      <c r="DNS29" s="47"/>
      <c r="DNT29" s="47"/>
      <c r="DNU29" s="47"/>
      <c r="DNV29" s="47"/>
      <c r="DNW29" s="47"/>
      <c r="DNX29" s="47"/>
      <c r="DNY29" s="47"/>
      <c r="DNZ29" s="47"/>
      <c r="DOA29" s="47"/>
      <c r="DOB29" s="47"/>
      <c r="DOC29" s="47"/>
      <c r="DOD29" s="47"/>
      <c r="DOE29" s="47"/>
      <c r="DOF29" s="47"/>
      <c r="DOG29" s="47"/>
      <c r="DOH29" s="47"/>
      <c r="DOI29" s="47"/>
      <c r="DOJ29" s="47"/>
      <c r="DOK29" s="47"/>
      <c r="DOL29" s="47"/>
      <c r="DOM29" s="47"/>
      <c r="DON29" s="47"/>
      <c r="DOO29" s="47"/>
      <c r="DOP29" s="47"/>
      <c r="DOQ29" s="47"/>
      <c r="DOR29" s="47"/>
      <c r="DOS29" s="47"/>
      <c r="DOT29" s="47"/>
      <c r="DOU29" s="47"/>
      <c r="DOV29" s="47"/>
      <c r="DOW29" s="47"/>
      <c r="DOX29" s="47"/>
      <c r="DOY29" s="47"/>
      <c r="DOZ29" s="47"/>
      <c r="DPA29" s="47"/>
      <c r="DPB29" s="47"/>
      <c r="DPC29" s="47"/>
      <c r="DPD29" s="47"/>
      <c r="DPE29" s="47"/>
      <c r="DPF29" s="47"/>
      <c r="DPG29" s="47"/>
      <c r="DPH29" s="47"/>
      <c r="DPI29" s="47"/>
      <c r="DPJ29" s="47"/>
      <c r="DPK29" s="47"/>
      <c r="DPL29" s="47"/>
      <c r="DPM29" s="47"/>
      <c r="DPN29" s="47"/>
      <c r="DPO29" s="47"/>
      <c r="DPP29" s="47"/>
      <c r="DPQ29" s="47"/>
      <c r="DPR29" s="47"/>
      <c r="DPS29" s="47"/>
      <c r="DPT29" s="47"/>
      <c r="DPU29" s="47"/>
      <c r="DPV29" s="47"/>
      <c r="DPW29" s="47"/>
      <c r="DPX29" s="47"/>
      <c r="DPY29" s="47"/>
      <c r="DPZ29" s="47"/>
      <c r="DQA29" s="47"/>
      <c r="DQB29" s="47"/>
      <c r="DQC29" s="47"/>
      <c r="DQD29" s="47"/>
      <c r="DQE29" s="47"/>
      <c r="DQF29" s="47"/>
      <c r="DQG29" s="47"/>
      <c r="DQH29" s="47"/>
      <c r="DQI29" s="47"/>
      <c r="DQJ29" s="47"/>
      <c r="DQK29" s="47"/>
      <c r="DQL29" s="47"/>
      <c r="DQM29" s="47"/>
      <c r="DQN29" s="47"/>
      <c r="DQO29" s="47"/>
      <c r="DQP29" s="47"/>
      <c r="DQQ29" s="47"/>
      <c r="DQR29" s="47"/>
      <c r="DQS29" s="47"/>
      <c r="DQT29" s="47"/>
      <c r="DQU29" s="47"/>
      <c r="DQV29" s="47"/>
      <c r="DQW29" s="47"/>
      <c r="DQX29" s="47"/>
      <c r="DQY29" s="47"/>
      <c r="DQZ29" s="47"/>
      <c r="DRA29" s="47"/>
      <c r="DRB29" s="47"/>
      <c r="DRC29" s="47"/>
      <c r="DRD29" s="47"/>
      <c r="DRE29" s="47"/>
      <c r="DRF29" s="47"/>
      <c r="DRG29" s="47"/>
      <c r="DRH29" s="47"/>
      <c r="DRI29" s="47"/>
      <c r="DRJ29" s="47"/>
      <c r="DRK29" s="47"/>
      <c r="DRL29" s="47"/>
      <c r="DRM29" s="47"/>
      <c r="DRN29" s="47"/>
      <c r="DRO29" s="47"/>
      <c r="DRP29" s="47"/>
      <c r="DRQ29" s="47"/>
      <c r="DRR29" s="47"/>
      <c r="DRS29" s="47"/>
      <c r="DRT29" s="47"/>
      <c r="DRU29" s="47"/>
      <c r="DRV29" s="47"/>
      <c r="DRW29" s="47"/>
      <c r="DRX29" s="47"/>
      <c r="DRY29" s="47"/>
      <c r="DRZ29" s="47"/>
      <c r="DSA29" s="47"/>
      <c r="DSB29" s="47"/>
      <c r="DSC29" s="47"/>
      <c r="DSD29" s="47"/>
      <c r="DSE29" s="47"/>
      <c r="DSF29" s="47"/>
      <c r="DSG29" s="47"/>
      <c r="DSH29" s="47"/>
      <c r="DSI29" s="47"/>
      <c r="DSJ29" s="47"/>
      <c r="DSK29" s="47"/>
      <c r="DSL29" s="47"/>
      <c r="DSM29" s="47"/>
      <c r="DSN29" s="47"/>
      <c r="DSO29" s="47"/>
      <c r="DSP29" s="47"/>
      <c r="DSQ29" s="47"/>
      <c r="DSR29" s="47"/>
      <c r="DSS29" s="47"/>
      <c r="DST29" s="47"/>
      <c r="DSU29" s="47"/>
      <c r="DSV29" s="47"/>
      <c r="DSW29" s="47"/>
      <c r="DSX29" s="47"/>
      <c r="DSY29" s="47"/>
      <c r="DSZ29" s="47"/>
      <c r="DTA29" s="47"/>
      <c r="DTB29" s="47"/>
      <c r="DTC29" s="47"/>
      <c r="DTD29" s="47"/>
      <c r="DTE29" s="47"/>
      <c r="DTF29" s="47"/>
      <c r="DTG29" s="47"/>
      <c r="DTH29" s="47"/>
      <c r="DTI29" s="47"/>
      <c r="DTJ29" s="47"/>
      <c r="DTK29" s="47"/>
      <c r="DTL29" s="47"/>
      <c r="DTM29" s="47"/>
      <c r="DTN29" s="47"/>
      <c r="DTO29" s="47"/>
      <c r="DTP29" s="47"/>
      <c r="DTQ29" s="47"/>
      <c r="DTR29" s="47"/>
      <c r="DTS29" s="47"/>
      <c r="DTT29" s="47"/>
      <c r="DTU29" s="47"/>
      <c r="DTV29" s="47"/>
      <c r="DTW29" s="47"/>
      <c r="DTX29" s="47"/>
      <c r="DTY29" s="47"/>
      <c r="DTZ29" s="47"/>
      <c r="DUA29" s="47"/>
      <c r="DUB29" s="47"/>
      <c r="DUC29" s="47"/>
      <c r="DUD29" s="47"/>
      <c r="DUE29" s="47"/>
      <c r="DUF29" s="47"/>
      <c r="DUG29" s="47"/>
      <c r="DUH29" s="47"/>
      <c r="DUI29" s="47"/>
      <c r="DUJ29" s="47"/>
      <c r="DUK29" s="47"/>
      <c r="DUL29" s="47"/>
      <c r="DUM29" s="47"/>
      <c r="DUN29" s="47"/>
      <c r="DUO29" s="47"/>
      <c r="DUP29" s="47"/>
      <c r="DUQ29" s="47"/>
      <c r="DUR29" s="47"/>
      <c r="DUS29" s="47"/>
      <c r="DUT29" s="47"/>
      <c r="DUU29" s="47"/>
      <c r="DUV29" s="47"/>
      <c r="DUW29" s="47"/>
      <c r="DUX29" s="47"/>
      <c r="DUY29" s="47"/>
      <c r="DUZ29" s="47"/>
      <c r="DVA29" s="47"/>
      <c r="DVB29" s="47"/>
      <c r="DVC29" s="47"/>
      <c r="DVD29" s="47"/>
      <c r="DVE29" s="47"/>
      <c r="DVF29" s="47"/>
      <c r="DVG29" s="47"/>
      <c r="DVH29" s="47"/>
      <c r="DVI29" s="47"/>
      <c r="DVJ29" s="47"/>
      <c r="DVK29" s="47"/>
      <c r="DVL29" s="47"/>
      <c r="DVM29" s="47"/>
      <c r="DVN29" s="47"/>
      <c r="DVO29" s="47"/>
      <c r="DVP29" s="47"/>
      <c r="DVQ29" s="47"/>
      <c r="DVR29" s="47"/>
      <c r="DVS29" s="47"/>
      <c r="DVT29" s="47"/>
      <c r="DVU29" s="47"/>
      <c r="DVV29" s="47"/>
      <c r="DVW29" s="47"/>
      <c r="DVX29" s="47"/>
      <c r="DVY29" s="47"/>
      <c r="DVZ29" s="47"/>
      <c r="DWA29" s="47"/>
      <c r="DWB29" s="47"/>
      <c r="DWC29" s="47"/>
      <c r="DWD29" s="47"/>
      <c r="DWE29" s="47"/>
      <c r="DWF29" s="47"/>
      <c r="DWG29" s="47"/>
      <c r="DWH29" s="47"/>
      <c r="DWI29" s="47"/>
      <c r="DWJ29" s="47"/>
      <c r="DWK29" s="47"/>
      <c r="DWL29" s="47"/>
      <c r="DWM29" s="47"/>
      <c r="DWN29" s="47"/>
      <c r="DWO29" s="47"/>
      <c r="DWP29" s="47"/>
      <c r="DWQ29" s="47"/>
      <c r="DWR29" s="47"/>
      <c r="DWS29" s="47"/>
      <c r="DWT29" s="47"/>
      <c r="DWU29" s="47"/>
      <c r="DWV29" s="47"/>
      <c r="DWW29" s="47"/>
      <c r="DWX29" s="47"/>
      <c r="DWY29" s="47"/>
      <c r="DWZ29" s="47"/>
      <c r="DXA29" s="47"/>
      <c r="DXB29" s="47"/>
      <c r="DXC29" s="47"/>
      <c r="DXD29" s="47"/>
      <c r="DXE29" s="47"/>
      <c r="DXF29" s="47"/>
      <c r="DXG29" s="47"/>
      <c r="DXH29" s="47"/>
      <c r="DXI29" s="47"/>
      <c r="DXJ29" s="47"/>
      <c r="DXK29" s="47"/>
      <c r="DXL29" s="47"/>
      <c r="DXM29" s="47"/>
      <c r="DXN29" s="47"/>
      <c r="DXO29" s="47"/>
      <c r="DXP29" s="47"/>
      <c r="DXQ29" s="47"/>
      <c r="DXR29" s="47"/>
      <c r="DXS29" s="47"/>
      <c r="DXT29" s="47"/>
      <c r="DXU29" s="47"/>
      <c r="DXV29" s="47"/>
      <c r="DXW29" s="47"/>
      <c r="DXX29" s="47"/>
      <c r="DXY29" s="47"/>
      <c r="DXZ29" s="47"/>
      <c r="DYA29" s="47"/>
      <c r="DYB29" s="47"/>
      <c r="DYC29" s="47"/>
      <c r="DYD29" s="47"/>
      <c r="DYE29" s="47"/>
      <c r="DYF29" s="47"/>
      <c r="DYG29" s="47"/>
      <c r="DYH29" s="47"/>
      <c r="DYI29" s="47"/>
      <c r="DYJ29" s="47"/>
      <c r="DYK29" s="47"/>
      <c r="DYL29" s="47"/>
      <c r="DYM29" s="47"/>
      <c r="DYN29" s="47"/>
      <c r="DYO29" s="47"/>
      <c r="DYP29" s="47"/>
      <c r="DYQ29" s="47"/>
      <c r="DYR29" s="47"/>
      <c r="DYS29" s="47"/>
      <c r="DYT29" s="47"/>
      <c r="DYU29" s="47"/>
      <c r="DYV29" s="47"/>
      <c r="DYW29" s="47"/>
      <c r="DYX29" s="47"/>
      <c r="DYY29" s="47"/>
      <c r="DYZ29" s="47"/>
      <c r="DZA29" s="47"/>
      <c r="DZB29" s="47"/>
      <c r="DZC29" s="47"/>
      <c r="DZD29" s="47"/>
      <c r="DZE29" s="47"/>
      <c r="DZF29" s="47"/>
      <c r="DZG29" s="47"/>
      <c r="DZH29" s="47"/>
      <c r="DZI29" s="47"/>
      <c r="DZJ29" s="47"/>
      <c r="DZK29" s="47"/>
      <c r="DZL29" s="47"/>
      <c r="DZM29" s="47"/>
      <c r="DZN29" s="47"/>
      <c r="DZO29" s="47"/>
      <c r="DZP29" s="47"/>
      <c r="DZQ29" s="47"/>
      <c r="DZR29" s="47"/>
      <c r="DZS29" s="47"/>
      <c r="DZT29" s="47"/>
      <c r="DZU29" s="47"/>
      <c r="DZV29" s="47"/>
      <c r="DZW29" s="47"/>
      <c r="DZX29" s="47"/>
      <c r="DZY29" s="47"/>
      <c r="DZZ29" s="47"/>
      <c r="EAA29" s="47"/>
      <c r="EAB29" s="47"/>
      <c r="EAC29" s="47"/>
      <c r="EAD29" s="47"/>
      <c r="EAE29" s="47"/>
      <c r="EAF29" s="47"/>
      <c r="EAG29" s="47"/>
      <c r="EAH29" s="47"/>
      <c r="EAI29" s="47"/>
      <c r="EAJ29" s="47"/>
      <c r="EAK29" s="47"/>
      <c r="EAL29" s="47"/>
      <c r="EAM29" s="47"/>
      <c r="EAN29" s="47"/>
      <c r="EAO29" s="47"/>
      <c r="EAP29" s="47"/>
      <c r="EAQ29" s="47"/>
      <c r="EAR29" s="47"/>
      <c r="EAS29" s="47"/>
      <c r="EAT29" s="47"/>
      <c r="EAU29" s="47"/>
      <c r="EAV29" s="47"/>
      <c r="EAW29" s="47"/>
      <c r="EAX29" s="47"/>
      <c r="EAY29" s="47"/>
      <c r="EAZ29" s="47"/>
      <c r="EBA29" s="47"/>
      <c r="EBB29" s="47"/>
      <c r="EBC29" s="47"/>
      <c r="EBD29" s="47"/>
      <c r="EBE29" s="47"/>
      <c r="EBF29" s="47"/>
      <c r="EBG29" s="47"/>
      <c r="EBH29" s="47"/>
      <c r="EBI29" s="47"/>
      <c r="EBJ29" s="47"/>
      <c r="EBK29" s="47"/>
      <c r="EBL29" s="47"/>
      <c r="EBM29" s="47"/>
      <c r="EBN29" s="47"/>
      <c r="EBO29" s="47"/>
      <c r="EBP29" s="47"/>
      <c r="EBQ29" s="47"/>
      <c r="EBR29" s="47"/>
      <c r="EBS29" s="47"/>
      <c r="EBT29" s="47"/>
      <c r="EBU29" s="47"/>
      <c r="EBV29" s="47"/>
      <c r="EBW29" s="47"/>
      <c r="EBX29" s="47"/>
      <c r="EBY29" s="47"/>
      <c r="EBZ29" s="47"/>
      <c r="ECA29" s="47"/>
      <c r="ECB29" s="47"/>
      <c r="ECC29" s="47"/>
      <c r="ECD29" s="47"/>
      <c r="ECE29" s="47"/>
      <c r="ECF29" s="47"/>
      <c r="ECG29" s="47"/>
      <c r="ECH29" s="47"/>
      <c r="ECI29" s="47"/>
      <c r="ECJ29" s="47"/>
      <c r="ECK29" s="47"/>
      <c r="ECL29" s="47"/>
      <c r="ECM29" s="47"/>
      <c r="ECN29" s="47"/>
      <c r="ECO29" s="47"/>
      <c r="ECP29" s="47"/>
      <c r="ECQ29" s="47"/>
      <c r="ECR29" s="47"/>
      <c r="ECS29" s="47"/>
      <c r="ECT29" s="47"/>
      <c r="ECU29" s="47"/>
      <c r="ECV29" s="47"/>
      <c r="ECW29" s="47"/>
      <c r="ECX29" s="47"/>
      <c r="ECY29" s="47"/>
      <c r="ECZ29" s="47"/>
      <c r="EDA29" s="47"/>
      <c r="EDB29" s="47"/>
      <c r="EDC29" s="47"/>
      <c r="EDD29" s="47"/>
      <c r="EDE29" s="47"/>
      <c r="EDF29" s="47"/>
      <c r="EDG29" s="47"/>
      <c r="EDH29" s="47"/>
      <c r="EDI29" s="47"/>
      <c r="EDJ29" s="47"/>
      <c r="EDK29" s="47"/>
      <c r="EDL29" s="47"/>
      <c r="EDM29" s="47"/>
      <c r="EDN29" s="47"/>
      <c r="EDO29" s="47"/>
      <c r="EDP29" s="47"/>
      <c r="EDQ29" s="47"/>
      <c r="EDR29" s="47"/>
      <c r="EDS29" s="47"/>
      <c r="EDT29" s="47"/>
      <c r="EDU29" s="47"/>
      <c r="EDV29" s="47"/>
      <c r="EDW29" s="47"/>
      <c r="EDX29" s="47"/>
      <c r="EDY29" s="47"/>
      <c r="EDZ29" s="47"/>
      <c r="EEA29" s="47"/>
      <c r="EEB29" s="47"/>
      <c r="EEC29" s="47"/>
      <c r="EED29" s="47"/>
      <c r="EEE29" s="47"/>
      <c r="EEF29" s="47"/>
      <c r="EEG29" s="47"/>
      <c r="EEH29" s="47"/>
      <c r="EEI29" s="47"/>
      <c r="EEJ29" s="47"/>
      <c r="EEK29" s="47"/>
      <c r="EEL29" s="47"/>
      <c r="EEM29" s="47"/>
      <c r="EEN29" s="47"/>
      <c r="EEO29" s="47"/>
      <c r="EEP29" s="47"/>
      <c r="EEQ29" s="47"/>
      <c r="EER29" s="47"/>
      <c r="EES29" s="47"/>
      <c r="EET29" s="47"/>
      <c r="EEU29" s="47"/>
      <c r="EEV29" s="47"/>
      <c r="EEW29" s="47"/>
      <c r="EEX29" s="47"/>
      <c r="EEY29" s="47"/>
      <c r="EEZ29" s="47"/>
      <c r="EFA29" s="47"/>
      <c r="EFB29" s="47"/>
      <c r="EFC29" s="47"/>
      <c r="EFD29" s="47"/>
      <c r="EFE29" s="47"/>
      <c r="EFF29" s="47"/>
      <c r="EFG29" s="47"/>
      <c r="EFH29" s="47"/>
      <c r="EFI29" s="47"/>
      <c r="EFJ29" s="47"/>
      <c r="EFK29" s="47"/>
      <c r="EFL29" s="47"/>
      <c r="EFM29" s="47"/>
      <c r="EFN29" s="47"/>
      <c r="EFO29" s="47"/>
      <c r="EFP29" s="47"/>
      <c r="EFQ29" s="47"/>
      <c r="EFR29" s="47"/>
      <c r="EFS29" s="47"/>
      <c r="EFT29" s="47"/>
      <c r="EFU29" s="47"/>
      <c r="EFV29" s="47"/>
      <c r="EFW29" s="47"/>
      <c r="EFX29" s="47"/>
      <c r="EFY29" s="47"/>
      <c r="EFZ29" s="47"/>
      <c r="EGA29" s="47"/>
      <c r="EGB29" s="47"/>
      <c r="EGC29" s="47"/>
      <c r="EGD29" s="47"/>
      <c r="EGE29" s="47"/>
      <c r="EGF29" s="47"/>
      <c r="EGG29" s="47"/>
      <c r="EGH29" s="47"/>
      <c r="EGI29" s="47"/>
      <c r="EGJ29" s="47"/>
      <c r="EGK29" s="47"/>
      <c r="EGL29" s="47"/>
      <c r="EGM29" s="47"/>
      <c r="EGN29" s="47"/>
      <c r="EGO29" s="47"/>
      <c r="EGP29" s="47"/>
      <c r="EGQ29" s="47"/>
      <c r="EGR29" s="47"/>
      <c r="EGS29" s="47"/>
      <c r="EGT29" s="47"/>
      <c r="EGU29" s="47"/>
      <c r="EGV29" s="47"/>
      <c r="EGW29" s="47"/>
      <c r="EGX29" s="47"/>
      <c r="EGY29" s="47"/>
      <c r="EGZ29" s="47"/>
      <c r="EHA29" s="47"/>
      <c r="EHB29" s="47"/>
      <c r="EHC29" s="47"/>
      <c r="EHD29" s="47"/>
      <c r="EHE29" s="47"/>
      <c r="EHF29" s="47"/>
      <c r="EHG29" s="47"/>
      <c r="EHH29" s="47"/>
      <c r="EHI29" s="47"/>
      <c r="EHJ29" s="47"/>
      <c r="EHK29" s="47"/>
      <c r="EHL29" s="47"/>
      <c r="EHM29" s="47"/>
      <c r="EHN29" s="47"/>
      <c r="EHO29" s="47"/>
      <c r="EHP29" s="47"/>
      <c r="EHQ29" s="47"/>
      <c r="EHR29" s="47"/>
      <c r="EHS29" s="47"/>
      <c r="EHT29" s="47"/>
      <c r="EHU29" s="47"/>
      <c r="EHV29" s="47"/>
      <c r="EHW29" s="47"/>
      <c r="EHX29" s="47"/>
      <c r="EHY29" s="47"/>
      <c r="EHZ29" s="47"/>
      <c r="EIA29" s="47"/>
      <c r="EIB29" s="47"/>
      <c r="EIC29" s="47"/>
      <c r="EID29" s="47"/>
      <c r="EIE29" s="47"/>
      <c r="EIF29" s="47"/>
      <c r="EIG29" s="47"/>
      <c r="EIH29" s="47"/>
      <c r="EII29" s="47"/>
      <c r="EIJ29" s="47"/>
      <c r="EIK29" s="47"/>
      <c r="EIL29" s="47"/>
      <c r="EIM29" s="47"/>
      <c r="EIN29" s="47"/>
      <c r="EIO29" s="47"/>
      <c r="EIP29" s="47"/>
      <c r="EIQ29" s="47"/>
      <c r="EIR29" s="47"/>
      <c r="EIS29" s="47"/>
      <c r="EIT29" s="47"/>
      <c r="EIU29" s="47"/>
      <c r="EIV29" s="47"/>
      <c r="EIW29" s="47"/>
      <c r="EIX29" s="47"/>
      <c r="EIY29" s="47"/>
      <c r="EIZ29" s="47"/>
      <c r="EJA29" s="47"/>
      <c r="EJB29" s="47"/>
      <c r="EJC29" s="47"/>
      <c r="EJD29" s="47"/>
      <c r="EJE29" s="47"/>
      <c r="EJF29" s="47"/>
      <c r="EJG29" s="47"/>
      <c r="EJH29" s="47"/>
      <c r="EJI29" s="47"/>
      <c r="EJJ29" s="47"/>
      <c r="EJK29" s="47"/>
      <c r="EJL29" s="47"/>
      <c r="EJM29" s="47"/>
      <c r="EJN29" s="47"/>
      <c r="EJO29" s="47"/>
      <c r="EJP29" s="47"/>
      <c r="EJQ29" s="47"/>
      <c r="EJR29" s="47"/>
      <c r="EJS29" s="47"/>
      <c r="EJT29" s="47"/>
      <c r="EJU29" s="47"/>
      <c r="EJV29" s="47"/>
      <c r="EJW29" s="47"/>
      <c r="EJX29" s="47"/>
      <c r="EJY29" s="47"/>
      <c r="EJZ29" s="47"/>
      <c r="EKA29" s="47"/>
      <c r="EKB29" s="47"/>
      <c r="EKC29" s="47"/>
      <c r="EKD29" s="47"/>
      <c r="EKE29" s="47"/>
      <c r="EKF29" s="47"/>
      <c r="EKG29" s="47"/>
      <c r="EKH29" s="47"/>
      <c r="EKI29" s="47"/>
      <c r="EKJ29" s="47"/>
      <c r="EKK29" s="47"/>
      <c r="EKL29" s="47"/>
      <c r="EKM29" s="47"/>
      <c r="EKN29" s="47"/>
      <c r="EKO29" s="47"/>
      <c r="EKP29" s="47"/>
      <c r="EKQ29" s="47"/>
      <c r="EKR29" s="47"/>
      <c r="EKS29" s="47"/>
      <c r="EKT29" s="47"/>
      <c r="EKU29" s="47"/>
      <c r="EKV29" s="47"/>
      <c r="EKW29" s="47"/>
      <c r="EKX29" s="47"/>
      <c r="EKY29" s="47"/>
      <c r="EKZ29" s="47"/>
      <c r="ELA29" s="47"/>
      <c r="ELB29" s="47"/>
      <c r="ELC29" s="47"/>
      <c r="ELD29" s="47"/>
      <c r="ELE29" s="47"/>
      <c r="ELF29" s="47"/>
      <c r="ELG29" s="47"/>
      <c r="ELH29" s="47"/>
      <c r="ELI29" s="47"/>
      <c r="ELJ29" s="47"/>
      <c r="ELK29" s="47"/>
      <c r="ELL29" s="47"/>
      <c r="ELM29" s="47"/>
      <c r="ELN29" s="47"/>
      <c r="ELO29" s="47"/>
      <c r="ELP29" s="47"/>
      <c r="ELQ29" s="47"/>
      <c r="ELR29" s="47"/>
      <c r="ELS29" s="47"/>
      <c r="ELT29" s="47"/>
      <c r="ELU29" s="47"/>
      <c r="ELV29" s="47"/>
      <c r="ELW29" s="47"/>
      <c r="ELX29" s="47"/>
      <c r="ELY29" s="47"/>
      <c r="ELZ29" s="47"/>
      <c r="EMA29" s="47"/>
      <c r="EMB29" s="47"/>
      <c r="EMC29" s="47"/>
      <c r="EMD29" s="47"/>
      <c r="EME29" s="47"/>
      <c r="EMF29" s="47"/>
      <c r="EMG29" s="47"/>
      <c r="EMH29" s="47"/>
      <c r="EMI29" s="47"/>
      <c r="EMJ29" s="47"/>
      <c r="EMK29" s="47"/>
      <c r="EML29" s="47"/>
      <c r="EMM29" s="47"/>
      <c r="EMN29" s="47"/>
      <c r="EMO29" s="47"/>
      <c r="EMP29" s="47"/>
      <c r="EMQ29" s="47"/>
      <c r="EMR29" s="47"/>
      <c r="EMS29" s="47"/>
      <c r="EMT29" s="47"/>
      <c r="EMU29" s="47"/>
      <c r="EMV29" s="47"/>
      <c r="EMW29" s="47"/>
      <c r="EMX29" s="47"/>
      <c r="EMY29" s="47"/>
      <c r="EMZ29" s="47"/>
      <c r="ENA29" s="47"/>
      <c r="ENB29" s="47"/>
      <c r="ENC29" s="47"/>
      <c r="END29" s="47"/>
      <c r="ENE29" s="47"/>
      <c r="ENF29" s="47"/>
      <c r="ENG29" s="47"/>
      <c r="ENH29" s="47"/>
      <c r="ENI29" s="47"/>
      <c r="ENJ29" s="47"/>
      <c r="ENK29" s="47"/>
      <c r="ENL29" s="47"/>
      <c r="ENM29" s="47"/>
      <c r="ENN29" s="47"/>
      <c r="ENO29" s="47"/>
      <c r="ENP29" s="47"/>
      <c r="ENQ29" s="47"/>
      <c r="ENR29" s="47"/>
      <c r="ENS29" s="47"/>
      <c r="ENT29" s="47"/>
      <c r="ENU29" s="47"/>
      <c r="ENV29" s="47"/>
      <c r="ENW29" s="47"/>
      <c r="ENX29" s="47"/>
      <c r="ENY29" s="47"/>
      <c r="ENZ29" s="47"/>
      <c r="EOA29" s="47"/>
      <c r="EOB29" s="47"/>
      <c r="EOC29" s="47"/>
      <c r="EOD29" s="47"/>
      <c r="EOE29" s="47"/>
      <c r="EOF29" s="47"/>
      <c r="EOG29" s="47"/>
      <c r="EOH29" s="47"/>
      <c r="EOI29" s="47"/>
      <c r="EOJ29" s="47"/>
      <c r="EOK29" s="47"/>
      <c r="EOL29" s="47"/>
      <c r="EOM29" s="47"/>
      <c r="EON29" s="47"/>
      <c r="EOO29" s="47"/>
      <c r="EOP29" s="47"/>
      <c r="EOQ29" s="47"/>
      <c r="EOR29" s="47"/>
      <c r="EOS29" s="47"/>
      <c r="EOT29" s="47"/>
      <c r="EOU29" s="47"/>
      <c r="EOV29" s="47"/>
      <c r="EOW29" s="47"/>
      <c r="EOX29" s="47"/>
      <c r="EOY29" s="47"/>
      <c r="EOZ29" s="47"/>
      <c r="EPA29" s="47"/>
      <c r="EPB29" s="47"/>
      <c r="EPC29" s="47"/>
      <c r="EPD29" s="47"/>
      <c r="EPE29" s="47"/>
      <c r="EPF29" s="47"/>
      <c r="EPG29" s="47"/>
      <c r="EPH29" s="47"/>
      <c r="EPI29" s="47"/>
      <c r="EPJ29" s="47"/>
      <c r="EPK29" s="47"/>
      <c r="EPL29" s="47"/>
      <c r="EPM29" s="47"/>
      <c r="EPN29" s="47"/>
      <c r="EPO29" s="47"/>
      <c r="EPP29" s="47"/>
      <c r="EPQ29" s="47"/>
      <c r="EPR29" s="47"/>
      <c r="EPS29" s="47"/>
      <c r="EPT29" s="47"/>
      <c r="EPU29" s="47"/>
      <c r="EPV29" s="47"/>
      <c r="EPW29" s="47"/>
      <c r="EPX29" s="47"/>
      <c r="EPY29" s="47"/>
      <c r="EPZ29" s="47"/>
      <c r="EQA29" s="47"/>
      <c r="EQB29" s="47"/>
      <c r="EQC29" s="47"/>
      <c r="EQD29" s="47"/>
      <c r="EQE29" s="47"/>
      <c r="EQF29" s="47"/>
      <c r="EQG29" s="47"/>
      <c r="EQH29" s="47"/>
      <c r="EQI29" s="47"/>
      <c r="EQJ29" s="47"/>
      <c r="EQK29" s="47"/>
      <c r="EQL29" s="47"/>
      <c r="EQM29" s="47"/>
      <c r="EQN29" s="47"/>
      <c r="EQO29" s="47"/>
      <c r="EQP29" s="47"/>
      <c r="EQQ29" s="47"/>
      <c r="EQR29" s="47"/>
      <c r="EQS29" s="47"/>
      <c r="EQT29" s="47"/>
      <c r="EQU29" s="47"/>
      <c r="EQV29" s="47"/>
      <c r="EQW29" s="47"/>
      <c r="EQX29" s="47"/>
      <c r="EQY29" s="47"/>
      <c r="EQZ29" s="47"/>
      <c r="ERA29" s="47"/>
      <c r="ERB29" s="47"/>
      <c r="ERC29" s="47"/>
      <c r="ERD29" s="47"/>
      <c r="ERE29" s="47"/>
      <c r="ERF29" s="47"/>
      <c r="ERG29" s="47"/>
      <c r="ERH29" s="47"/>
      <c r="ERI29" s="47"/>
      <c r="ERJ29" s="47"/>
      <c r="ERK29" s="47"/>
      <c r="ERL29" s="47"/>
      <c r="ERM29" s="47"/>
      <c r="ERN29" s="47"/>
      <c r="ERO29" s="47"/>
      <c r="ERP29" s="47"/>
      <c r="ERQ29" s="47"/>
      <c r="ERR29" s="47"/>
      <c r="ERS29" s="47"/>
      <c r="ERT29" s="47"/>
      <c r="ERU29" s="47"/>
      <c r="ERV29" s="47"/>
      <c r="ERW29" s="47"/>
      <c r="ERX29" s="47"/>
      <c r="ERY29" s="47"/>
      <c r="ERZ29" s="47"/>
      <c r="ESA29" s="47"/>
      <c r="ESB29" s="47"/>
      <c r="ESC29" s="47"/>
      <c r="ESD29" s="47"/>
      <c r="ESE29" s="47"/>
      <c r="ESF29" s="47"/>
      <c r="ESG29" s="47"/>
      <c r="ESH29" s="47"/>
      <c r="ESI29" s="47"/>
      <c r="ESJ29" s="47"/>
      <c r="ESK29" s="47"/>
      <c r="ESL29" s="47"/>
      <c r="ESM29" s="47"/>
      <c r="ESN29" s="47"/>
      <c r="ESO29" s="47"/>
      <c r="ESP29" s="47"/>
      <c r="ESQ29" s="47"/>
      <c r="ESR29" s="47"/>
      <c r="ESS29" s="47"/>
      <c r="EST29" s="47"/>
      <c r="ESU29" s="47"/>
      <c r="ESV29" s="47"/>
      <c r="ESW29" s="47"/>
      <c r="ESX29" s="47"/>
      <c r="ESY29" s="47"/>
      <c r="ESZ29" s="47"/>
      <c r="ETA29" s="47"/>
      <c r="ETB29" s="47"/>
      <c r="ETC29" s="47"/>
      <c r="ETD29" s="47"/>
      <c r="ETE29" s="47"/>
      <c r="ETF29" s="47"/>
      <c r="ETG29" s="47"/>
      <c r="ETH29" s="47"/>
      <c r="ETI29" s="47"/>
      <c r="ETJ29" s="47"/>
      <c r="ETK29" s="47"/>
      <c r="ETL29" s="47"/>
      <c r="ETM29" s="47"/>
      <c r="ETN29" s="47"/>
      <c r="ETO29" s="47"/>
      <c r="ETP29" s="47"/>
      <c r="ETQ29" s="47"/>
      <c r="ETR29" s="47"/>
      <c r="ETS29" s="47"/>
      <c r="ETT29" s="47"/>
      <c r="ETU29" s="47"/>
      <c r="ETV29" s="47"/>
      <c r="ETW29" s="47"/>
      <c r="ETX29" s="47"/>
      <c r="ETY29" s="47"/>
      <c r="ETZ29" s="47"/>
      <c r="EUA29" s="47"/>
      <c r="EUB29" s="47"/>
      <c r="EUC29" s="47"/>
      <c r="EUD29" s="47"/>
      <c r="EUE29" s="47"/>
      <c r="EUF29" s="47"/>
      <c r="EUG29" s="47"/>
      <c r="EUH29" s="47"/>
      <c r="EUI29" s="47"/>
      <c r="EUJ29" s="47"/>
      <c r="EUK29" s="47"/>
      <c r="EUL29" s="47"/>
      <c r="EUM29" s="47"/>
      <c r="EUN29" s="47"/>
      <c r="EUO29" s="47"/>
      <c r="EUP29" s="47"/>
      <c r="EUQ29" s="47"/>
      <c r="EUR29" s="47"/>
      <c r="EUS29" s="47"/>
      <c r="EUT29" s="47"/>
      <c r="EUU29" s="47"/>
      <c r="EUV29" s="47"/>
      <c r="EUW29" s="47"/>
      <c r="EUX29" s="47"/>
      <c r="EUY29" s="47"/>
      <c r="EUZ29" s="47"/>
      <c r="EVA29" s="47"/>
      <c r="EVB29" s="47"/>
      <c r="EVC29" s="47"/>
      <c r="EVD29" s="47"/>
      <c r="EVE29" s="47"/>
      <c r="EVF29" s="47"/>
      <c r="EVG29" s="47"/>
      <c r="EVH29" s="47"/>
      <c r="EVI29" s="47"/>
      <c r="EVJ29" s="47"/>
      <c r="EVK29" s="47"/>
      <c r="EVL29" s="47"/>
      <c r="EVM29" s="47"/>
      <c r="EVN29" s="47"/>
      <c r="EVO29" s="47"/>
      <c r="EVP29" s="47"/>
      <c r="EVQ29" s="47"/>
      <c r="EVR29" s="47"/>
      <c r="EVS29" s="47"/>
      <c r="EVT29" s="47"/>
      <c r="EVU29" s="47"/>
      <c r="EVV29" s="47"/>
      <c r="EVW29" s="47"/>
      <c r="EVX29" s="47"/>
      <c r="EVY29" s="47"/>
      <c r="EVZ29" s="47"/>
      <c r="EWA29" s="47"/>
      <c r="EWB29" s="47"/>
      <c r="EWC29" s="47"/>
      <c r="EWD29" s="47"/>
      <c r="EWE29" s="47"/>
      <c r="EWF29" s="47"/>
      <c r="EWG29" s="47"/>
      <c r="EWH29" s="47"/>
      <c r="EWI29" s="47"/>
      <c r="EWJ29" s="47"/>
      <c r="EWK29" s="47"/>
      <c r="EWL29" s="47"/>
      <c r="EWM29" s="47"/>
      <c r="EWN29" s="47"/>
      <c r="EWO29" s="47"/>
      <c r="EWP29" s="47"/>
      <c r="EWQ29" s="47"/>
      <c r="EWR29" s="47"/>
      <c r="EWS29" s="47"/>
      <c r="EWT29" s="47"/>
      <c r="EWU29" s="47"/>
      <c r="EWV29" s="47"/>
      <c r="EWW29" s="47"/>
      <c r="EWX29" s="47"/>
      <c r="EWY29" s="47"/>
      <c r="EWZ29" s="47"/>
      <c r="EXA29" s="47"/>
      <c r="EXB29" s="47"/>
      <c r="EXC29" s="47"/>
      <c r="EXD29" s="47"/>
      <c r="EXE29" s="47"/>
      <c r="EXF29" s="47"/>
      <c r="EXG29" s="47"/>
      <c r="EXH29" s="47"/>
      <c r="EXI29" s="47"/>
      <c r="EXJ29" s="47"/>
      <c r="EXK29" s="47"/>
      <c r="EXL29" s="47"/>
      <c r="EXM29" s="47"/>
      <c r="EXN29" s="47"/>
      <c r="EXO29" s="47"/>
      <c r="EXP29" s="47"/>
      <c r="EXQ29" s="47"/>
      <c r="EXR29" s="47"/>
      <c r="EXS29" s="47"/>
      <c r="EXT29" s="47"/>
      <c r="EXU29" s="47"/>
      <c r="EXV29" s="47"/>
      <c r="EXW29" s="47"/>
      <c r="EXX29" s="47"/>
      <c r="EXY29" s="47"/>
      <c r="EXZ29" s="47"/>
      <c r="EYA29" s="47"/>
      <c r="EYB29" s="47"/>
      <c r="EYC29" s="47"/>
      <c r="EYD29" s="47"/>
      <c r="EYE29" s="47"/>
      <c r="EYF29" s="47"/>
      <c r="EYG29" s="47"/>
      <c r="EYH29" s="47"/>
      <c r="EYI29" s="47"/>
      <c r="EYJ29" s="47"/>
      <c r="EYK29" s="47"/>
      <c r="EYL29" s="47"/>
      <c r="EYM29" s="47"/>
      <c r="EYN29" s="47"/>
      <c r="EYO29" s="47"/>
      <c r="EYP29" s="47"/>
      <c r="EYQ29" s="47"/>
      <c r="EYR29" s="47"/>
      <c r="EYS29" s="47"/>
      <c r="EYT29" s="47"/>
      <c r="EYU29" s="47"/>
      <c r="EYV29" s="47"/>
      <c r="EYW29" s="47"/>
      <c r="EYX29" s="47"/>
      <c r="EYY29" s="47"/>
      <c r="EYZ29" s="47"/>
      <c r="EZA29" s="47"/>
      <c r="EZB29" s="47"/>
      <c r="EZC29" s="47"/>
      <c r="EZD29" s="47"/>
      <c r="EZE29" s="47"/>
      <c r="EZF29" s="47"/>
      <c r="EZG29" s="47"/>
      <c r="EZH29" s="47"/>
      <c r="EZI29" s="47"/>
      <c r="EZJ29" s="47"/>
      <c r="EZK29" s="47"/>
      <c r="EZL29" s="47"/>
      <c r="EZM29" s="47"/>
      <c r="EZN29" s="47"/>
      <c r="EZO29" s="47"/>
      <c r="EZP29" s="47"/>
      <c r="EZQ29" s="47"/>
      <c r="EZR29" s="47"/>
      <c r="EZS29" s="47"/>
      <c r="EZT29" s="47"/>
      <c r="EZU29" s="47"/>
      <c r="EZV29" s="47"/>
      <c r="EZW29" s="47"/>
      <c r="EZX29" s="47"/>
      <c r="EZY29" s="47"/>
      <c r="EZZ29" s="47"/>
      <c r="FAA29" s="47"/>
      <c r="FAB29" s="47"/>
      <c r="FAC29" s="47"/>
      <c r="FAD29" s="47"/>
      <c r="FAE29" s="47"/>
      <c r="FAF29" s="47"/>
      <c r="FAG29" s="47"/>
      <c r="FAH29" s="47"/>
      <c r="FAI29" s="47"/>
      <c r="FAJ29" s="47"/>
      <c r="FAK29" s="47"/>
      <c r="FAL29" s="47"/>
      <c r="FAM29" s="47"/>
      <c r="FAN29" s="47"/>
      <c r="FAO29" s="47"/>
      <c r="FAP29" s="47"/>
      <c r="FAQ29" s="47"/>
      <c r="FAR29" s="47"/>
      <c r="FAS29" s="47"/>
      <c r="FAT29" s="47"/>
      <c r="FAU29" s="47"/>
      <c r="FAV29" s="47"/>
      <c r="FAW29" s="47"/>
      <c r="FAX29" s="47"/>
      <c r="FAY29" s="47"/>
      <c r="FAZ29" s="47"/>
      <c r="FBA29" s="47"/>
      <c r="FBB29" s="47"/>
      <c r="FBC29" s="47"/>
      <c r="FBD29" s="47"/>
      <c r="FBE29" s="47"/>
      <c r="FBF29" s="47"/>
      <c r="FBG29" s="47"/>
      <c r="FBH29" s="47"/>
      <c r="FBI29" s="47"/>
      <c r="FBJ29" s="47"/>
      <c r="FBK29" s="47"/>
      <c r="FBL29" s="47"/>
      <c r="FBM29" s="47"/>
      <c r="FBN29" s="47"/>
      <c r="FBO29" s="47"/>
      <c r="FBP29" s="47"/>
      <c r="FBQ29" s="47"/>
      <c r="FBR29" s="47"/>
      <c r="FBS29" s="47"/>
      <c r="FBT29" s="47"/>
      <c r="FBU29" s="47"/>
      <c r="FBV29" s="47"/>
      <c r="FBW29" s="47"/>
      <c r="FBX29" s="47"/>
      <c r="FBY29" s="47"/>
      <c r="FBZ29" s="47"/>
      <c r="FCA29" s="47"/>
      <c r="FCB29" s="47"/>
      <c r="FCC29" s="47"/>
      <c r="FCD29" s="47"/>
      <c r="FCE29" s="47"/>
      <c r="FCF29" s="47"/>
      <c r="FCG29" s="47"/>
      <c r="FCH29" s="47"/>
      <c r="FCI29" s="47"/>
      <c r="FCJ29" s="47"/>
      <c r="FCK29" s="47"/>
      <c r="FCL29" s="47"/>
      <c r="FCM29" s="47"/>
      <c r="FCN29" s="47"/>
      <c r="FCO29" s="47"/>
      <c r="FCP29" s="47"/>
      <c r="FCQ29" s="47"/>
      <c r="FCR29" s="47"/>
      <c r="FCS29" s="47"/>
      <c r="FCT29" s="47"/>
      <c r="FCU29" s="47"/>
      <c r="FCV29" s="47"/>
      <c r="FCW29" s="47"/>
      <c r="FCX29" s="47"/>
      <c r="FCY29" s="47"/>
      <c r="FCZ29" s="47"/>
      <c r="FDA29" s="47"/>
      <c r="FDB29" s="47"/>
      <c r="FDC29" s="47"/>
      <c r="FDD29" s="47"/>
      <c r="FDE29" s="47"/>
      <c r="FDF29" s="47"/>
      <c r="FDG29" s="47"/>
      <c r="FDH29" s="47"/>
      <c r="FDI29" s="47"/>
      <c r="FDJ29" s="47"/>
      <c r="FDK29" s="47"/>
      <c r="FDL29" s="47"/>
      <c r="FDM29" s="47"/>
      <c r="FDN29" s="47"/>
      <c r="FDO29" s="47"/>
      <c r="FDP29" s="47"/>
      <c r="FDQ29" s="47"/>
      <c r="FDR29" s="47"/>
      <c r="FDS29" s="47"/>
      <c r="FDT29" s="47"/>
      <c r="FDU29" s="47"/>
      <c r="FDV29" s="47"/>
      <c r="FDW29" s="47"/>
      <c r="FDX29" s="47"/>
      <c r="FDY29" s="47"/>
      <c r="FDZ29" s="47"/>
      <c r="FEA29" s="47"/>
      <c r="FEB29" s="47"/>
      <c r="FEC29" s="47"/>
      <c r="FED29" s="47"/>
      <c r="FEE29" s="47"/>
      <c r="FEF29" s="47"/>
      <c r="FEG29" s="47"/>
      <c r="FEH29" s="47"/>
      <c r="FEI29" s="47"/>
      <c r="FEJ29" s="47"/>
      <c r="FEK29" s="47"/>
      <c r="FEL29" s="47"/>
      <c r="FEM29" s="47"/>
      <c r="FEN29" s="47"/>
      <c r="FEO29" s="47"/>
      <c r="FEP29" s="47"/>
      <c r="FEQ29" s="47"/>
      <c r="FER29" s="47"/>
      <c r="FES29" s="47"/>
      <c r="FET29" s="47"/>
      <c r="FEU29" s="47"/>
      <c r="FEV29" s="47"/>
      <c r="FEW29" s="47"/>
      <c r="FEX29" s="47"/>
      <c r="FEY29" s="47"/>
      <c r="FEZ29" s="47"/>
      <c r="FFA29" s="47"/>
      <c r="FFB29" s="47"/>
      <c r="FFC29" s="47"/>
      <c r="FFD29" s="47"/>
      <c r="FFE29" s="47"/>
      <c r="FFF29" s="47"/>
      <c r="FFG29" s="47"/>
      <c r="FFH29" s="47"/>
      <c r="FFI29" s="47"/>
      <c r="FFJ29" s="47"/>
      <c r="FFK29" s="47"/>
      <c r="FFL29" s="47"/>
      <c r="FFM29" s="47"/>
      <c r="FFN29" s="47"/>
      <c r="FFO29" s="47"/>
      <c r="FFP29" s="47"/>
      <c r="FFQ29" s="47"/>
      <c r="FFR29" s="47"/>
      <c r="FFS29" s="47"/>
      <c r="FFT29" s="47"/>
      <c r="FFU29" s="47"/>
      <c r="FFV29" s="47"/>
      <c r="FFW29" s="47"/>
      <c r="FFX29" s="47"/>
      <c r="FFY29" s="47"/>
      <c r="FFZ29" s="47"/>
      <c r="FGA29" s="47"/>
      <c r="FGB29" s="47"/>
      <c r="FGC29" s="47"/>
      <c r="FGD29" s="47"/>
      <c r="FGE29" s="47"/>
      <c r="FGF29" s="47"/>
      <c r="FGG29" s="47"/>
      <c r="FGH29" s="47"/>
      <c r="FGI29" s="47"/>
      <c r="FGJ29" s="47"/>
      <c r="FGK29" s="47"/>
      <c r="FGL29" s="47"/>
      <c r="FGM29" s="47"/>
      <c r="FGN29" s="47"/>
      <c r="FGO29" s="47"/>
      <c r="FGP29" s="47"/>
      <c r="FGQ29" s="47"/>
      <c r="FGR29" s="47"/>
      <c r="FGS29" s="47"/>
      <c r="FGT29" s="47"/>
      <c r="FGU29" s="47"/>
      <c r="FGV29" s="47"/>
      <c r="FGW29" s="47"/>
      <c r="FGX29" s="47"/>
      <c r="FGY29" s="47"/>
      <c r="FGZ29" s="47"/>
      <c r="FHA29" s="47"/>
      <c r="FHB29" s="47"/>
      <c r="FHC29" s="47"/>
      <c r="FHD29" s="47"/>
      <c r="FHE29" s="47"/>
      <c r="FHF29" s="47"/>
      <c r="FHG29" s="47"/>
      <c r="FHH29" s="47"/>
      <c r="FHI29" s="47"/>
      <c r="FHJ29" s="47"/>
      <c r="FHK29" s="47"/>
      <c r="FHL29" s="47"/>
      <c r="FHM29" s="47"/>
      <c r="FHN29" s="47"/>
      <c r="FHO29" s="47"/>
      <c r="FHP29" s="47"/>
      <c r="FHQ29" s="47"/>
      <c r="FHR29" s="47"/>
      <c r="FHS29" s="47"/>
      <c r="FHT29" s="47"/>
      <c r="FHU29" s="47"/>
      <c r="FHV29" s="47"/>
      <c r="FHW29" s="47"/>
      <c r="FHX29" s="47"/>
      <c r="FHY29" s="47"/>
      <c r="FHZ29" s="47"/>
      <c r="FIA29" s="47"/>
      <c r="FIB29" s="47"/>
      <c r="FIC29" s="47"/>
      <c r="FID29" s="47"/>
      <c r="FIE29" s="47"/>
      <c r="FIF29" s="47"/>
      <c r="FIG29" s="47"/>
      <c r="FIH29" s="47"/>
      <c r="FII29" s="47"/>
      <c r="FIJ29" s="47"/>
      <c r="FIK29" s="47"/>
      <c r="FIL29" s="47"/>
      <c r="FIM29" s="47"/>
      <c r="FIN29" s="47"/>
      <c r="FIO29" s="47"/>
      <c r="FIP29" s="47"/>
      <c r="FIQ29" s="47"/>
      <c r="FIR29" s="47"/>
      <c r="FIS29" s="47"/>
      <c r="FIT29" s="47"/>
      <c r="FIU29" s="47"/>
      <c r="FIV29" s="47"/>
      <c r="FIW29" s="47"/>
      <c r="FIX29" s="47"/>
      <c r="FIY29" s="47"/>
      <c r="FIZ29" s="47"/>
      <c r="FJA29" s="47"/>
      <c r="FJB29" s="47"/>
      <c r="FJC29" s="47"/>
      <c r="FJD29" s="47"/>
      <c r="FJE29" s="47"/>
      <c r="FJF29" s="47"/>
      <c r="FJG29" s="47"/>
      <c r="FJH29" s="47"/>
      <c r="FJI29" s="47"/>
      <c r="FJJ29" s="47"/>
      <c r="FJK29" s="47"/>
      <c r="FJL29" s="47"/>
      <c r="FJM29" s="47"/>
      <c r="FJN29" s="47"/>
      <c r="FJO29" s="47"/>
      <c r="FJP29" s="47"/>
      <c r="FJQ29" s="47"/>
      <c r="FJR29" s="47"/>
      <c r="FJS29" s="47"/>
      <c r="FJT29" s="47"/>
      <c r="FJU29" s="47"/>
      <c r="FJV29" s="47"/>
      <c r="FJW29" s="47"/>
      <c r="FJX29" s="47"/>
      <c r="FJY29" s="47"/>
      <c r="FJZ29" s="47"/>
      <c r="FKA29" s="47"/>
      <c r="FKB29" s="47"/>
      <c r="FKC29" s="47"/>
      <c r="FKD29" s="47"/>
      <c r="FKE29" s="47"/>
      <c r="FKF29" s="47"/>
      <c r="FKG29" s="47"/>
      <c r="FKH29" s="47"/>
      <c r="FKI29" s="47"/>
      <c r="FKJ29" s="47"/>
      <c r="FKK29" s="47"/>
      <c r="FKL29" s="47"/>
      <c r="FKM29" s="47"/>
      <c r="FKN29" s="47"/>
      <c r="FKO29" s="47"/>
      <c r="FKP29" s="47"/>
      <c r="FKQ29" s="47"/>
      <c r="FKR29" s="47"/>
      <c r="FKS29" s="47"/>
      <c r="FKT29" s="47"/>
      <c r="FKU29" s="47"/>
      <c r="FKV29" s="47"/>
      <c r="FKW29" s="47"/>
      <c r="FKX29" s="47"/>
      <c r="FKY29" s="47"/>
      <c r="FKZ29" s="47"/>
      <c r="FLA29" s="47"/>
      <c r="FLB29" s="47"/>
      <c r="FLC29" s="47"/>
      <c r="FLD29" s="47"/>
      <c r="FLE29" s="47"/>
      <c r="FLF29" s="47"/>
      <c r="FLG29" s="47"/>
      <c r="FLH29" s="47"/>
      <c r="FLI29" s="47"/>
      <c r="FLJ29" s="47"/>
      <c r="FLK29" s="47"/>
      <c r="FLL29" s="47"/>
      <c r="FLM29" s="47"/>
      <c r="FLN29" s="47"/>
      <c r="FLO29" s="47"/>
      <c r="FLP29" s="47"/>
      <c r="FLQ29" s="47"/>
      <c r="FLR29" s="47"/>
      <c r="FLS29" s="47"/>
      <c r="FLT29" s="47"/>
      <c r="FLU29" s="47"/>
      <c r="FLV29" s="47"/>
      <c r="FLW29" s="47"/>
      <c r="FLX29" s="47"/>
      <c r="FLY29" s="47"/>
      <c r="FLZ29" s="47"/>
      <c r="FMA29" s="47"/>
      <c r="FMB29" s="47"/>
      <c r="FMC29" s="47"/>
      <c r="FMD29" s="47"/>
      <c r="FME29" s="47"/>
      <c r="FMF29" s="47"/>
      <c r="FMG29" s="47"/>
      <c r="FMH29" s="47"/>
      <c r="FMI29" s="47"/>
      <c r="FMJ29" s="47"/>
      <c r="FMK29" s="47"/>
      <c r="FML29" s="47"/>
      <c r="FMM29" s="47"/>
      <c r="FMN29" s="47"/>
      <c r="FMO29" s="47"/>
      <c r="FMP29" s="47"/>
      <c r="FMQ29" s="47"/>
      <c r="FMR29" s="47"/>
      <c r="FMS29" s="47"/>
      <c r="FMT29" s="47"/>
      <c r="FMU29" s="47"/>
      <c r="FMV29" s="47"/>
      <c r="FMW29" s="47"/>
      <c r="FMX29" s="47"/>
      <c r="FMY29" s="47"/>
      <c r="FMZ29" s="47"/>
      <c r="FNA29" s="47"/>
      <c r="FNB29" s="47"/>
      <c r="FNC29" s="47"/>
      <c r="FND29" s="47"/>
      <c r="FNE29" s="47"/>
      <c r="FNF29" s="47"/>
      <c r="FNG29" s="47"/>
      <c r="FNH29" s="47"/>
      <c r="FNI29" s="47"/>
      <c r="FNJ29" s="47"/>
      <c r="FNK29" s="47"/>
      <c r="FNL29" s="47"/>
      <c r="FNM29" s="47"/>
      <c r="FNN29" s="47"/>
      <c r="FNO29" s="47"/>
      <c r="FNP29" s="47"/>
      <c r="FNQ29" s="47"/>
      <c r="FNR29" s="47"/>
      <c r="FNS29" s="47"/>
      <c r="FNT29" s="47"/>
      <c r="FNU29" s="47"/>
      <c r="FNV29" s="47"/>
      <c r="FNW29" s="47"/>
      <c r="FNX29" s="47"/>
      <c r="FNY29" s="47"/>
      <c r="FNZ29" s="47"/>
      <c r="FOA29" s="47"/>
      <c r="FOB29" s="47"/>
      <c r="FOC29" s="47"/>
      <c r="FOD29" s="47"/>
      <c r="FOE29" s="47"/>
      <c r="FOF29" s="47"/>
      <c r="FOG29" s="47"/>
      <c r="FOH29" s="47"/>
      <c r="FOI29" s="47"/>
      <c r="FOJ29" s="47"/>
      <c r="FOK29" s="47"/>
      <c r="FOL29" s="47"/>
      <c r="FOM29" s="47"/>
      <c r="FON29" s="47"/>
      <c r="FOO29" s="47"/>
      <c r="FOP29" s="47"/>
      <c r="FOQ29" s="47"/>
      <c r="FOR29" s="47"/>
      <c r="FOS29" s="47"/>
      <c r="FOT29" s="47"/>
      <c r="FOU29" s="47"/>
      <c r="FOV29" s="47"/>
      <c r="FOW29" s="47"/>
      <c r="FOX29" s="47"/>
      <c r="FOY29" s="47"/>
      <c r="FOZ29" s="47"/>
      <c r="FPA29" s="47"/>
      <c r="FPB29" s="47"/>
      <c r="FPC29" s="47"/>
      <c r="FPD29" s="47"/>
      <c r="FPE29" s="47"/>
      <c r="FPF29" s="47"/>
      <c r="FPG29" s="47"/>
      <c r="FPH29" s="47"/>
      <c r="FPI29" s="47"/>
      <c r="FPJ29" s="47"/>
      <c r="FPK29" s="47"/>
      <c r="FPL29" s="47"/>
      <c r="FPM29" s="47"/>
      <c r="FPN29" s="47"/>
      <c r="FPO29" s="47"/>
      <c r="FPP29" s="47"/>
      <c r="FPQ29" s="47"/>
      <c r="FPR29" s="47"/>
      <c r="FPS29" s="47"/>
      <c r="FPT29" s="47"/>
      <c r="FPU29" s="47"/>
      <c r="FPV29" s="47"/>
      <c r="FPW29" s="47"/>
      <c r="FPX29" s="47"/>
      <c r="FPY29" s="47"/>
      <c r="FPZ29" s="47"/>
      <c r="FQA29" s="47"/>
      <c r="FQB29" s="47"/>
      <c r="FQC29" s="47"/>
      <c r="FQD29" s="47"/>
      <c r="FQE29" s="47"/>
      <c r="FQF29" s="47"/>
      <c r="FQG29" s="47"/>
      <c r="FQH29" s="47"/>
      <c r="FQI29" s="47"/>
      <c r="FQJ29" s="47"/>
      <c r="FQK29" s="47"/>
      <c r="FQL29" s="47"/>
      <c r="FQM29" s="47"/>
      <c r="FQN29" s="47"/>
      <c r="FQO29" s="47"/>
      <c r="FQP29" s="47"/>
      <c r="FQQ29" s="47"/>
      <c r="FQR29" s="47"/>
      <c r="FQS29" s="47"/>
      <c r="FQT29" s="47"/>
      <c r="FQU29" s="47"/>
      <c r="FQV29" s="47"/>
      <c r="FQW29" s="47"/>
      <c r="FQX29" s="47"/>
      <c r="FQY29" s="47"/>
      <c r="FQZ29" s="47"/>
      <c r="FRA29" s="47"/>
      <c r="FRB29" s="47"/>
      <c r="FRC29" s="47"/>
      <c r="FRD29" s="47"/>
      <c r="FRE29" s="47"/>
      <c r="FRF29" s="47"/>
      <c r="FRG29" s="47"/>
      <c r="FRH29" s="47"/>
      <c r="FRI29" s="47"/>
      <c r="FRJ29" s="47"/>
      <c r="FRK29" s="47"/>
      <c r="FRL29" s="47"/>
      <c r="FRM29" s="47"/>
      <c r="FRN29" s="47"/>
      <c r="FRO29" s="47"/>
      <c r="FRP29" s="47"/>
      <c r="FRQ29" s="47"/>
      <c r="FRR29" s="47"/>
      <c r="FRS29" s="47"/>
      <c r="FRT29" s="47"/>
      <c r="FRU29" s="47"/>
      <c r="FRV29" s="47"/>
      <c r="FRW29" s="47"/>
      <c r="FRX29" s="47"/>
      <c r="FRY29" s="47"/>
      <c r="FRZ29" s="47"/>
      <c r="FSA29" s="47"/>
      <c r="FSB29" s="47"/>
      <c r="FSC29" s="47"/>
      <c r="FSD29" s="47"/>
      <c r="FSE29" s="47"/>
      <c r="FSF29" s="47"/>
      <c r="FSG29" s="47"/>
      <c r="FSH29" s="47"/>
      <c r="FSI29" s="47"/>
      <c r="FSJ29" s="47"/>
      <c r="FSK29" s="47"/>
      <c r="FSL29" s="47"/>
      <c r="FSM29" s="47"/>
      <c r="FSN29" s="47"/>
      <c r="FSO29" s="47"/>
      <c r="FSP29" s="47"/>
      <c r="FSQ29" s="47"/>
      <c r="FSR29" s="47"/>
      <c r="FSS29" s="47"/>
      <c r="FST29" s="47"/>
      <c r="FSU29" s="47"/>
      <c r="FSV29" s="47"/>
      <c r="FSW29" s="47"/>
      <c r="FSX29" s="47"/>
      <c r="FSY29" s="47"/>
      <c r="FSZ29" s="47"/>
      <c r="FTA29" s="47"/>
      <c r="FTB29" s="47"/>
      <c r="FTC29" s="47"/>
      <c r="FTD29" s="47"/>
      <c r="FTE29" s="47"/>
      <c r="FTF29" s="47"/>
      <c r="FTG29" s="47"/>
      <c r="FTH29" s="47"/>
      <c r="FTI29" s="47"/>
      <c r="FTJ29" s="47"/>
      <c r="FTK29" s="47"/>
      <c r="FTL29" s="47"/>
      <c r="FTM29" s="47"/>
      <c r="FTN29" s="47"/>
      <c r="FTO29" s="47"/>
      <c r="FTP29" s="47"/>
      <c r="FTQ29" s="47"/>
      <c r="FTR29" s="47"/>
      <c r="FTS29" s="47"/>
      <c r="FTT29" s="47"/>
      <c r="FTU29" s="47"/>
      <c r="FTV29" s="47"/>
      <c r="FTW29" s="47"/>
      <c r="FTX29" s="47"/>
      <c r="FTY29" s="47"/>
      <c r="FTZ29" s="47"/>
      <c r="FUA29" s="47"/>
      <c r="FUB29" s="47"/>
      <c r="FUC29" s="47"/>
      <c r="FUD29" s="47"/>
      <c r="FUE29" s="47"/>
      <c r="FUF29" s="47"/>
      <c r="FUG29" s="47"/>
      <c r="FUH29" s="47"/>
      <c r="FUI29" s="47"/>
      <c r="FUJ29" s="47"/>
      <c r="FUK29" s="47"/>
      <c r="FUL29" s="47"/>
      <c r="FUM29" s="47"/>
      <c r="FUN29" s="47"/>
      <c r="FUO29" s="47"/>
      <c r="FUP29" s="47"/>
      <c r="FUQ29" s="47"/>
      <c r="FUR29" s="47"/>
      <c r="FUS29" s="47"/>
      <c r="FUT29" s="47"/>
      <c r="FUU29" s="47"/>
      <c r="FUV29" s="47"/>
      <c r="FUW29" s="47"/>
      <c r="FUX29" s="47"/>
      <c r="FUY29" s="47"/>
      <c r="FUZ29" s="47"/>
      <c r="FVA29" s="47"/>
      <c r="FVB29" s="47"/>
      <c r="FVC29" s="47"/>
      <c r="FVD29" s="47"/>
      <c r="FVE29" s="47"/>
      <c r="FVF29" s="47"/>
      <c r="FVG29" s="47"/>
      <c r="FVH29" s="47"/>
      <c r="FVI29" s="47"/>
      <c r="FVJ29" s="47"/>
      <c r="FVK29" s="47"/>
      <c r="FVL29" s="47"/>
      <c r="FVM29" s="47"/>
      <c r="FVN29" s="47"/>
      <c r="FVO29" s="47"/>
      <c r="FVP29" s="47"/>
      <c r="FVQ29" s="47"/>
      <c r="FVR29" s="47"/>
      <c r="FVS29" s="47"/>
      <c r="FVT29" s="47"/>
      <c r="FVU29" s="47"/>
      <c r="FVV29" s="47"/>
      <c r="FVW29" s="47"/>
      <c r="FVX29" s="47"/>
      <c r="FVY29" s="47"/>
      <c r="FVZ29" s="47"/>
      <c r="FWA29" s="47"/>
      <c r="FWB29" s="47"/>
      <c r="FWC29" s="47"/>
      <c r="FWD29" s="47"/>
      <c r="FWE29" s="47"/>
      <c r="FWF29" s="47"/>
      <c r="FWG29" s="47"/>
      <c r="FWH29" s="47"/>
      <c r="FWI29" s="47"/>
      <c r="FWJ29" s="47"/>
      <c r="FWK29" s="47"/>
      <c r="FWL29" s="47"/>
      <c r="FWM29" s="47"/>
      <c r="FWN29" s="47"/>
      <c r="FWO29" s="47"/>
      <c r="FWP29" s="47"/>
      <c r="FWQ29" s="47"/>
      <c r="FWR29" s="47"/>
      <c r="FWS29" s="47"/>
      <c r="FWT29" s="47"/>
      <c r="FWU29" s="47"/>
      <c r="FWV29" s="47"/>
      <c r="FWW29" s="47"/>
      <c r="FWX29" s="47"/>
      <c r="FWY29" s="47"/>
      <c r="FWZ29" s="47"/>
      <c r="FXA29" s="47"/>
      <c r="FXB29" s="47"/>
      <c r="FXC29" s="47"/>
      <c r="FXD29" s="47"/>
      <c r="FXE29" s="47"/>
      <c r="FXF29" s="47"/>
      <c r="FXG29" s="47"/>
      <c r="FXH29" s="47"/>
      <c r="FXI29" s="47"/>
      <c r="FXJ29" s="47"/>
      <c r="FXK29" s="47"/>
      <c r="FXL29" s="47"/>
      <c r="FXM29" s="47"/>
      <c r="FXN29" s="47"/>
      <c r="FXO29" s="47"/>
      <c r="FXP29" s="47"/>
      <c r="FXQ29" s="47"/>
      <c r="FXR29" s="47"/>
      <c r="FXS29" s="47"/>
      <c r="FXT29" s="47"/>
      <c r="FXU29" s="47"/>
      <c r="FXV29" s="47"/>
      <c r="FXW29" s="47"/>
      <c r="FXX29" s="47"/>
      <c r="FXY29" s="47"/>
      <c r="FXZ29" s="47"/>
      <c r="FYA29" s="47"/>
      <c r="FYB29" s="47"/>
      <c r="FYC29" s="47"/>
      <c r="FYD29" s="47"/>
      <c r="FYE29" s="47"/>
      <c r="FYF29" s="47"/>
      <c r="FYG29" s="47"/>
      <c r="FYH29" s="47"/>
      <c r="FYI29" s="47"/>
      <c r="FYJ29" s="47"/>
      <c r="FYK29" s="47"/>
      <c r="FYL29" s="47"/>
      <c r="FYM29" s="47"/>
      <c r="FYN29" s="47"/>
      <c r="FYO29" s="47"/>
      <c r="FYP29" s="47"/>
      <c r="FYQ29" s="47"/>
      <c r="FYR29" s="47"/>
      <c r="FYS29" s="47"/>
      <c r="FYT29" s="47"/>
      <c r="FYU29" s="47"/>
      <c r="FYV29" s="47"/>
      <c r="FYW29" s="47"/>
      <c r="FYX29" s="47"/>
      <c r="FYY29" s="47"/>
      <c r="FYZ29" s="47"/>
      <c r="FZA29" s="47"/>
      <c r="FZB29" s="47"/>
      <c r="FZC29" s="47"/>
      <c r="FZD29" s="47"/>
      <c r="FZE29" s="47"/>
      <c r="FZF29" s="47"/>
      <c r="FZG29" s="47"/>
      <c r="FZH29" s="47"/>
      <c r="FZI29" s="47"/>
      <c r="FZJ29" s="47"/>
      <c r="FZK29" s="47"/>
      <c r="FZL29" s="47"/>
      <c r="FZM29" s="47"/>
      <c r="FZN29" s="47"/>
      <c r="FZO29" s="47"/>
      <c r="FZP29" s="47"/>
      <c r="FZQ29" s="47"/>
      <c r="FZR29" s="47"/>
      <c r="FZS29" s="47"/>
      <c r="FZT29" s="47"/>
      <c r="FZU29" s="47"/>
      <c r="FZV29" s="47"/>
      <c r="FZW29" s="47"/>
      <c r="FZX29" s="47"/>
      <c r="FZY29" s="47"/>
      <c r="FZZ29" s="47"/>
      <c r="GAA29" s="47"/>
      <c r="GAB29" s="47"/>
      <c r="GAC29" s="47"/>
      <c r="GAD29" s="47"/>
      <c r="GAE29" s="47"/>
      <c r="GAF29" s="47"/>
      <c r="GAG29" s="47"/>
      <c r="GAH29" s="47"/>
      <c r="GAI29" s="47"/>
      <c r="GAJ29" s="47"/>
      <c r="GAK29" s="47"/>
      <c r="GAL29" s="47"/>
      <c r="GAM29" s="47"/>
      <c r="GAN29" s="47"/>
      <c r="GAO29" s="47"/>
      <c r="GAP29" s="47"/>
      <c r="GAQ29" s="47"/>
      <c r="GAR29" s="47"/>
      <c r="GAS29" s="47"/>
      <c r="GAT29" s="47"/>
      <c r="GAU29" s="47"/>
      <c r="GAV29" s="47"/>
      <c r="GAW29" s="47"/>
      <c r="GAX29" s="47"/>
      <c r="GAY29" s="47"/>
      <c r="GAZ29" s="47"/>
      <c r="GBA29" s="47"/>
      <c r="GBB29" s="47"/>
      <c r="GBC29" s="47"/>
      <c r="GBD29" s="47"/>
      <c r="GBE29" s="47"/>
      <c r="GBF29" s="47"/>
      <c r="GBG29" s="47"/>
      <c r="GBH29" s="47"/>
      <c r="GBI29" s="47"/>
      <c r="GBJ29" s="47"/>
      <c r="GBK29" s="47"/>
      <c r="GBL29" s="47"/>
      <c r="GBM29" s="47"/>
      <c r="GBN29" s="47"/>
      <c r="GBO29" s="47"/>
      <c r="GBP29" s="47"/>
      <c r="GBQ29" s="47"/>
      <c r="GBR29" s="47"/>
      <c r="GBS29" s="47"/>
      <c r="GBT29" s="47"/>
      <c r="GBU29" s="47"/>
      <c r="GBV29" s="47"/>
      <c r="GBW29" s="47"/>
      <c r="GBX29" s="47"/>
      <c r="GBY29" s="47"/>
      <c r="GBZ29" s="47"/>
      <c r="GCA29" s="47"/>
      <c r="GCB29" s="47"/>
      <c r="GCC29" s="47"/>
      <c r="GCD29" s="47"/>
      <c r="GCE29" s="47"/>
      <c r="GCF29" s="47"/>
      <c r="GCG29" s="47"/>
      <c r="GCH29" s="47"/>
      <c r="GCI29" s="47"/>
      <c r="GCJ29" s="47"/>
      <c r="GCK29" s="47"/>
      <c r="GCL29" s="47"/>
      <c r="GCM29" s="47"/>
      <c r="GCN29" s="47"/>
      <c r="GCO29" s="47"/>
      <c r="GCP29" s="47"/>
      <c r="GCQ29" s="47"/>
      <c r="GCR29" s="47"/>
      <c r="GCS29" s="47"/>
      <c r="GCT29" s="47"/>
      <c r="GCU29" s="47"/>
      <c r="GCV29" s="47"/>
      <c r="GCW29" s="47"/>
      <c r="GCX29" s="47"/>
      <c r="GCY29" s="47"/>
      <c r="GCZ29" s="47"/>
      <c r="GDA29" s="47"/>
      <c r="GDB29" s="47"/>
      <c r="GDC29" s="47"/>
      <c r="GDD29" s="47"/>
      <c r="GDE29" s="47"/>
      <c r="GDF29" s="47"/>
      <c r="GDG29" s="47"/>
      <c r="GDH29" s="47"/>
      <c r="GDI29" s="47"/>
      <c r="GDJ29" s="47"/>
      <c r="GDK29" s="47"/>
      <c r="GDL29" s="47"/>
      <c r="GDM29" s="47"/>
      <c r="GDN29" s="47"/>
      <c r="GDO29" s="47"/>
      <c r="GDP29" s="47"/>
      <c r="GDQ29" s="47"/>
      <c r="GDR29" s="47"/>
      <c r="GDS29" s="47"/>
      <c r="GDT29" s="47"/>
      <c r="GDU29" s="47"/>
      <c r="GDV29" s="47"/>
      <c r="GDW29" s="47"/>
      <c r="GDX29" s="47"/>
      <c r="GDY29" s="47"/>
      <c r="GDZ29" s="47"/>
      <c r="GEA29" s="47"/>
      <c r="GEB29" s="47"/>
      <c r="GEC29" s="47"/>
      <c r="GED29" s="47"/>
      <c r="GEE29" s="47"/>
      <c r="GEF29" s="47"/>
      <c r="GEG29" s="47"/>
      <c r="GEH29" s="47"/>
      <c r="GEI29" s="47"/>
      <c r="GEJ29" s="47"/>
      <c r="GEK29" s="47"/>
      <c r="GEL29" s="47"/>
      <c r="GEM29" s="47"/>
      <c r="GEN29" s="47"/>
      <c r="GEO29" s="47"/>
      <c r="GEP29" s="47"/>
      <c r="GEQ29" s="47"/>
      <c r="GER29" s="47"/>
      <c r="GES29" s="47"/>
      <c r="GET29" s="47"/>
      <c r="GEU29" s="47"/>
      <c r="GEV29" s="47"/>
      <c r="GEW29" s="47"/>
      <c r="GEX29" s="47"/>
      <c r="GEY29" s="47"/>
      <c r="GEZ29" s="47"/>
      <c r="GFA29" s="47"/>
      <c r="GFB29" s="47"/>
      <c r="GFC29" s="47"/>
      <c r="GFD29" s="47"/>
      <c r="GFE29" s="47"/>
      <c r="GFF29" s="47"/>
      <c r="GFG29" s="47"/>
      <c r="GFH29" s="47"/>
      <c r="GFI29" s="47"/>
      <c r="GFJ29" s="47"/>
      <c r="GFK29" s="47"/>
      <c r="GFL29" s="47"/>
      <c r="GFM29" s="47"/>
      <c r="GFN29" s="47"/>
      <c r="GFO29" s="47"/>
      <c r="GFP29" s="47"/>
      <c r="GFQ29" s="47"/>
      <c r="GFR29" s="47"/>
      <c r="GFS29" s="47"/>
      <c r="GFT29" s="47"/>
      <c r="GFU29" s="47"/>
      <c r="GFV29" s="47"/>
      <c r="GFW29" s="47"/>
      <c r="GFX29" s="47"/>
      <c r="GFY29" s="47"/>
      <c r="GFZ29" s="47"/>
      <c r="GGA29" s="47"/>
      <c r="GGB29" s="47"/>
      <c r="GGC29" s="47"/>
      <c r="GGD29" s="47"/>
      <c r="GGE29" s="47"/>
      <c r="GGF29" s="47"/>
      <c r="GGG29" s="47"/>
      <c r="GGH29" s="47"/>
      <c r="GGI29" s="47"/>
      <c r="GGJ29" s="47"/>
      <c r="GGK29" s="47"/>
      <c r="GGL29" s="47"/>
      <c r="GGM29" s="47"/>
      <c r="GGN29" s="47"/>
      <c r="GGO29" s="47"/>
      <c r="GGP29" s="47"/>
      <c r="GGQ29" s="47"/>
      <c r="GGR29" s="47"/>
      <c r="GGS29" s="47"/>
      <c r="GGT29" s="47"/>
      <c r="GGU29" s="47"/>
      <c r="GGV29" s="47"/>
      <c r="GGW29" s="47"/>
      <c r="GGX29" s="47"/>
      <c r="GGY29" s="47"/>
      <c r="GGZ29" s="47"/>
      <c r="GHA29" s="47"/>
      <c r="GHB29" s="47"/>
      <c r="GHC29" s="47"/>
      <c r="GHD29" s="47"/>
      <c r="GHE29" s="47"/>
      <c r="GHF29" s="47"/>
      <c r="GHG29" s="47"/>
      <c r="GHH29" s="47"/>
      <c r="GHI29" s="47"/>
      <c r="GHJ29" s="47"/>
      <c r="GHK29" s="47"/>
      <c r="GHL29" s="47"/>
      <c r="GHM29" s="47"/>
      <c r="GHN29" s="47"/>
      <c r="GHO29" s="47"/>
      <c r="GHP29" s="47"/>
      <c r="GHQ29" s="47"/>
      <c r="GHR29" s="47"/>
      <c r="GHS29" s="47"/>
      <c r="GHT29" s="47"/>
      <c r="GHU29" s="47"/>
      <c r="GHV29" s="47"/>
      <c r="GHW29" s="47"/>
      <c r="GHX29" s="47"/>
      <c r="GHY29" s="47"/>
      <c r="GHZ29" s="47"/>
      <c r="GIA29" s="47"/>
      <c r="GIB29" s="47"/>
      <c r="GIC29" s="47"/>
      <c r="GID29" s="47"/>
      <c r="GIE29" s="47"/>
      <c r="GIF29" s="47"/>
      <c r="GIG29" s="47"/>
      <c r="GIH29" s="47"/>
      <c r="GII29" s="47"/>
      <c r="GIJ29" s="47"/>
      <c r="GIK29" s="47"/>
      <c r="GIL29" s="47"/>
      <c r="GIM29" s="47"/>
      <c r="GIN29" s="47"/>
      <c r="GIO29" s="47"/>
      <c r="GIP29" s="47"/>
      <c r="GIQ29" s="47"/>
      <c r="GIR29" s="47"/>
      <c r="GIS29" s="47"/>
      <c r="GIT29" s="47"/>
      <c r="GIU29" s="47"/>
      <c r="GIV29" s="47"/>
      <c r="GIW29" s="47"/>
      <c r="GIX29" s="47"/>
      <c r="GIY29" s="47"/>
      <c r="GIZ29" s="47"/>
      <c r="GJA29" s="47"/>
      <c r="GJB29" s="47"/>
      <c r="GJC29" s="47"/>
      <c r="GJD29" s="47"/>
      <c r="GJE29" s="47"/>
      <c r="GJF29" s="47"/>
      <c r="GJG29" s="47"/>
      <c r="GJH29" s="47"/>
      <c r="GJI29" s="47"/>
      <c r="GJJ29" s="47"/>
      <c r="GJK29" s="47"/>
      <c r="GJL29" s="47"/>
      <c r="GJM29" s="47"/>
      <c r="GJN29" s="47"/>
      <c r="GJO29" s="47"/>
      <c r="GJP29" s="47"/>
      <c r="GJQ29" s="47"/>
      <c r="GJR29" s="47"/>
      <c r="GJS29" s="47"/>
      <c r="GJT29" s="47"/>
      <c r="GJU29" s="47"/>
      <c r="GJV29" s="47"/>
      <c r="GJW29" s="47"/>
      <c r="GJX29" s="47"/>
      <c r="GJY29" s="47"/>
      <c r="GJZ29" s="47"/>
      <c r="GKA29" s="47"/>
      <c r="GKB29" s="47"/>
      <c r="GKC29" s="47"/>
      <c r="GKD29" s="47"/>
      <c r="GKE29" s="47"/>
      <c r="GKF29" s="47"/>
      <c r="GKG29" s="47"/>
      <c r="GKH29" s="47"/>
      <c r="GKI29" s="47"/>
      <c r="GKJ29" s="47"/>
      <c r="GKK29" s="47"/>
      <c r="GKL29" s="47"/>
      <c r="GKM29" s="47"/>
      <c r="GKN29" s="47"/>
      <c r="GKO29" s="47"/>
      <c r="GKP29" s="47"/>
      <c r="GKQ29" s="47"/>
      <c r="GKR29" s="47"/>
      <c r="GKS29" s="47"/>
      <c r="GKT29" s="47"/>
      <c r="GKU29" s="47"/>
      <c r="GKV29" s="47"/>
      <c r="GKW29" s="47"/>
      <c r="GKX29" s="47"/>
      <c r="GKY29" s="47"/>
      <c r="GKZ29" s="47"/>
      <c r="GLA29" s="47"/>
      <c r="GLB29" s="47"/>
      <c r="GLC29" s="47"/>
      <c r="GLD29" s="47"/>
      <c r="GLE29" s="47"/>
      <c r="GLF29" s="47"/>
      <c r="GLG29" s="47"/>
      <c r="GLH29" s="47"/>
      <c r="GLI29" s="47"/>
      <c r="GLJ29" s="47"/>
      <c r="GLK29" s="47"/>
      <c r="GLL29" s="47"/>
      <c r="GLM29" s="47"/>
      <c r="GLN29" s="47"/>
      <c r="GLO29" s="47"/>
      <c r="GLP29" s="47"/>
      <c r="GLQ29" s="47"/>
      <c r="GLR29" s="47"/>
      <c r="GLS29" s="47"/>
      <c r="GLT29" s="47"/>
      <c r="GLU29" s="47"/>
      <c r="GLV29" s="47"/>
      <c r="GLW29" s="47"/>
      <c r="GLX29" s="47"/>
      <c r="GLY29" s="47"/>
      <c r="GLZ29" s="47"/>
      <c r="GMA29" s="47"/>
      <c r="GMB29" s="47"/>
      <c r="GMC29" s="47"/>
      <c r="GMD29" s="47"/>
      <c r="GME29" s="47"/>
      <c r="GMF29" s="47"/>
      <c r="GMG29" s="47"/>
      <c r="GMH29" s="47"/>
      <c r="GMI29" s="47"/>
      <c r="GMJ29" s="47"/>
      <c r="GMK29" s="47"/>
      <c r="GML29" s="47"/>
      <c r="GMM29" s="47"/>
      <c r="GMN29" s="47"/>
      <c r="GMO29" s="47"/>
      <c r="GMP29" s="47"/>
      <c r="GMQ29" s="47"/>
      <c r="GMR29" s="47"/>
      <c r="GMS29" s="47"/>
      <c r="GMT29" s="47"/>
      <c r="GMU29" s="47"/>
      <c r="GMV29" s="47"/>
      <c r="GMW29" s="47"/>
      <c r="GMX29" s="47"/>
      <c r="GMY29" s="47"/>
      <c r="GMZ29" s="47"/>
      <c r="GNA29" s="47"/>
      <c r="GNB29" s="47"/>
      <c r="GNC29" s="47"/>
      <c r="GND29" s="47"/>
      <c r="GNE29" s="47"/>
      <c r="GNF29" s="47"/>
      <c r="GNG29" s="47"/>
      <c r="GNH29" s="47"/>
      <c r="GNI29" s="47"/>
      <c r="GNJ29" s="47"/>
      <c r="GNK29" s="47"/>
      <c r="GNL29" s="47"/>
      <c r="GNM29" s="47"/>
      <c r="GNN29" s="47"/>
      <c r="GNO29" s="47"/>
      <c r="GNP29" s="47"/>
      <c r="GNQ29" s="47"/>
      <c r="GNR29" s="47"/>
      <c r="GNS29" s="47"/>
      <c r="GNT29" s="47"/>
      <c r="GNU29" s="47"/>
      <c r="GNV29" s="47"/>
      <c r="GNW29" s="47"/>
      <c r="GNX29" s="47"/>
      <c r="GNY29" s="47"/>
      <c r="GNZ29" s="47"/>
      <c r="GOA29" s="47"/>
      <c r="GOB29" s="47"/>
      <c r="GOC29" s="47"/>
      <c r="GOD29" s="47"/>
      <c r="GOE29" s="47"/>
      <c r="GOF29" s="47"/>
      <c r="GOG29" s="47"/>
      <c r="GOH29" s="47"/>
      <c r="GOI29" s="47"/>
      <c r="GOJ29" s="47"/>
      <c r="GOK29" s="47"/>
      <c r="GOL29" s="47"/>
      <c r="GOM29" s="47"/>
      <c r="GON29" s="47"/>
      <c r="GOO29" s="47"/>
      <c r="GOP29" s="47"/>
      <c r="GOQ29" s="47"/>
      <c r="GOR29" s="47"/>
      <c r="GOS29" s="47"/>
      <c r="GOT29" s="47"/>
      <c r="GOU29" s="47"/>
      <c r="GOV29" s="47"/>
      <c r="GOW29" s="47"/>
      <c r="GOX29" s="47"/>
      <c r="GOY29" s="47"/>
      <c r="GOZ29" s="47"/>
      <c r="GPA29" s="47"/>
      <c r="GPB29" s="47"/>
      <c r="GPC29" s="47"/>
      <c r="GPD29" s="47"/>
      <c r="GPE29" s="47"/>
      <c r="GPF29" s="47"/>
      <c r="GPG29" s="47"/>
      <c r="GPH29" s="47"/>
      <c r="GPI29" s="47"/>
      <c r="GPJ29" s="47"/>
      <c r="GPK29" s="47"/>
      <c r="GPL29" s="47"/>
      <c r="GPM29" s="47"/>
      <c r="GPN29" s="47"/>
      <c r="GPO29" s="47"/>
      <c r="GPP29" s="47"/>
      <c r="GPQ29" s="47"/>
      <c r="GPR29" s="47"/>
      <c r="GPS29" s="47"/>
      <c r="GPT29" s="47"/>
      <c r="GPU29" s="47"/>
      <c r="GPV29" s="47"/>
      <c r="GPW29" s="47"/>
      <c r="GPX29" s="47"/>
      <c r="GPY29" s="47"/>
      <c r="GPZ29" s="47"/>
      <c r="GQA29" s="47"/>
      <c r="GQB29" s="47"/>
      <c r="GQC29" s="47"/>
      <c r="GQD29" s="47"/>
      <c r="GQE29" s="47"/>
      <c r="GQF29" s="47"/>
      <c r="GQG29" s="47"/>
      <c r="GQH29" s="47"/>
      <c r="GQI29" s="47"/>
      <c r="GQJ29" s="47"/>
      <c r="GQK29" s="47"/>
      <c r="GQL29" s="47"/>
      <c r="GQM29" s="47"/>
      <c r="GQN29" s="47"/>
      <c r="GQO29" s="47"/>
      <c r="GQP29" s="47"/>
      <c r="GQQ29" s="47"/>
      <c r="GQR29" s="47"/>
      <c r="GQS29" s="47"/>
      <c r="GQT29" s="47"/>
      <c r="GQU29" s="47"/>
      <c r="GQV29" s="47"/>
      <c r="GQW29" s="47"/>
      <c r="GQX29" s="47"/>
      <c r="GQY29" s="47"/>
      <c r="GQZ29" s="47"/>
      <c r="GRA29" s="47"/>
      <c r="GRB29" s="47"/>
      <c r="GRC29" s="47"/>
      <c r="GRD29" s="47"/>
      <c r="GRE29" s="47"/>
      <c r="GRF29" s="47"/>
      <c r="GRG29" s="47"/>
      <c r="GRH29" s="47"/>
      <c r="GRI29" s="47"/>
      <c r="GRJ29" s="47"/>
      <c r="GRK29" s="47"/>
      <c r="GRL29" s="47"/>
      <c r="GRM29" s="47"/>
      <c r="GRN29" s="47"/>
      <c r="GRO29" s="47"/>
      <c r="GRP29" s="47"/>
      <c r="GRQ29" s="47"/>
      <c r="GRR29" s="47"/>
      <c r="GRS29" s="47"/>
      <c r="GRT29" s="47"/>
      <c r="GRU29" s="47"/>
      <c r="GRV29" s="47"/>
      <c r="GRW29" s="47"/>
      <c r="GRX29" s="47"/>
      <c r="GRY29" s="47"/>
      <c r="GRZ29" s="47"/>
      <c r="GSA29" s="47"/>
      <c r="GSB29" s="47"/>
      <c r="GSC29" s="47"/>
      <c r="GSD29" s="47"/>
      <c r="GSE29" s="47"/>
      <c r="GSF29" s="47"/>
      <c r="GSG29" s="47"/>
      <c r="GSH29" s="47"/>
      <c r="GSI29" s="47"/>
      <c r="GSJ29" s="47"/>
      <c r="GSK29" s="47"/>
      <c r="GSL29" s="47"/>
      <c r="GSM29" s="47"/>
      <c r="GSN29" s="47"/>
      <c r="GSO29" s="47"/>
      <c r="GSP29" s="47"/>
      <c r="GSQ29" s="47"/>
      <c r="GSR29" s="47"/>
      <c r="GSS29" s="47"/>
      <c r="GST29" s="47"/>
      <c r="GSU29" s="47"/>
      <c r="GSV29" s="47"/>
      <c r="GSW29" s="47"/>
      <c r="GSX29" s="47"/>
      <c r="GSY29" s="47"/>
      <c r="GSZ29" s="47"/>
      <c r="GTA29" s="47"/>
      <c r="GTB29" s="47"/>
      <c r="GTC29" s="47"/>
      <c r="GTD29" s="47"/>
      <c r="GTE29" s="47"/>
      <c r="GTF29" s="47"/>
      <c r="GTG29" s="47"/>
      <c r="GTH29" s="47"/>
      <c r="GTI29" s="47"/>
      <c r="GTJ29" s="47"/>
      <c r="GTK29" s="47"/>
      <c r="GTL29" s="47"/>
      <c r="GTM29" s="47"/>
      <c r="GTN29" s="47"/>
      <c r="GTO29" s="47"/>
      <c r="GTP29" s="47"/>
      <c r="GTQ29" s="47"/>
      <c r="GTR29" s="47"/>
      <c r="GTS29" s="47"/>
      <c r="GTT29" s="47"/>
      <c r="GTU29" s="47"/>
      <c r="GTV29" s="47"/>
      <c r="GTW29" s="47"/>
      <c r="GTX29" s="47"/>
      <c r="GTY29" s="47"/>
      <c r="GTZ29" s="47"/>
      <c r="GUA29" s="47"/>
      <c r="GUB29" s="47"/>
      <c r="GUC29" s="47"/>
      <c r="GUD29" s="47"/>
      <c r="GUE29" s="47"/>
      <c r="GUF29" s="47"/>
      <c r="GUG29" s="47"/>
      <c r="GUH29" s="47"/>
      <c r="GUI29" s="47"/>
      <c r="GUJ29" s="47"/>
      <c r="GUK29" s="47"/>
      <c r="GUL29" s="47"/>
      <c r="GUM29" s="47"/>
      <c r="GUN29" s="47"/>
      <c r="GUO29" s="47"/>
      <c r="GUP29" s="47"/>
      <c r="GUQ29" s="47"/>
      <c r="GUR29" s="47"/>
      <c r="GUS29" s="47"/>
      <c r="GUT29" s="47"/>
      <c r="GUU29" s="47"/>
      <c r="GUV29" s="47"/>
      <c r="GUW29" s="47"/>
      <c r="GUX29" s="47"/>
      <c r="GUY29" s="47"/>
      <c r="GUZ29" s="47"/>
      <c r="GVA29" s="47"/>
      <c r="GVB29" s="47"/>
      <c r="GVC29" s="47"/>
      <c r="GVD29" s="47"/>
      <c r="GVE29" s="47"/>
      <c r="GVF29" s="47"/>
      <c r="GVG29" s="47"/>
      <c r="GVH29" s="47"/>
      <c r="GVI29" s="47"/>
      <c r="GVJ29" s="47"/>
      <c r="GVK29" s="47"/>
      <c r="GVL29" s="47"/>
      <c r="GVM29" s="47"/>
      <c r="GVN29" s="47"/>
      <c r="GVO29" s="47"/>
      <c r="GVP29" s="47"/>
      <c r="GVQ29" s="47"/>
      <c r="GVR29" s="47"/>
      <c r="GVS29" s="47"/>
      <c r="GVT29" s="47"/>
      <c r="GVU29" s="47"/>
      <c r="GVV29" s="47"/>
      <c r="GVW29" s="47"/>
      <c r="GVX29" s="47"/>
      <c r="GVY29" s="47"/>
      <c r="GVZ29" s="47"/>
      <c r="GWA29" s="47"/>
      <c r="GWB29" s="47"/>
      <c r="GWC29" s="47"/>
      <c r="GWD29" s="47"/>
      <c r="GWE29" s="47"/>
      <c r="GWF29" s="47"/>
      <c r="GWG29" s="47"/>
      <c r="GWH29" s="47"/>
      <c r="GWI29" s="47"/>
      <c r="GWJ29" s="47"/>
      <c r="GWK29" s="47"/>
      <c r="GWL29" s="47"/>
      <c r="GWM29" s="47"/>
      <c r="GWN29" s="47"/>
      <c r="GWO29" s="47"/>
      <c r="GWP29" s="47"/>
      <c r="GWQ29" s="47"/>
      <c r="GWR29" s="47"/>
      <c r="GWS29" s="47"/>
      <c r="GWT29" s="47"/>
      <c r="GWU29" s="47"/>
      <c r="GWV29" s="47"/>
      <c r="GWW29" s="47"/>
      <c r="GWX29" s="47"/>
      <c r="GWY29" s="47"/>
      <c r="GWZ29" s="47"/>
      <c r="GXA29" s="47"/>
      <c r="GXB29" s="47"/>
      <c r="GXC29" s="47"/>
      <c r="GXD29" s="47"/>
      <c r="GXE29" s="47"/>
      <c r="GXF29" s="47"/>
      <c r="GXG29" s="47"/>
      <c r="GXH29" s="47"/>
      <c r="GXI29" s="47"/>
      <c r="GXJ29" s="47"/>
      <c r="GXK29" s="47"/>
      <c r="GXL29" s="47"/>
      <c r="GXM29" s="47"/>
      <c r="GXN29" s="47"/>
      <c r="GXO29" s="47"/>
      <c r="GXP29" s="47"/>
      <c r="GXQ29" s="47"/>
      <c r="GXR29" s="47"/>
      <c r="GXS29" s="47"/>
      <c r="GXT29" s="47"/>
      <c r="GXU29" s="47"/>
      <c r="GXV29" s="47"/>
      <c r="GXW29" s="47"/>
      <c r="GXX29" s="47"/>
      <c r="GXY29" s="47"/>
      <c r="GXZ29" s="47"/>
      <c r="GYA29" s="47"/>
      <c r="GYB29" s="47"/>
      <c r="GYC29" s="47"/>
      <c r="GYD29" s="47"/>
      <c r="GYE29" s="47"/>
      <c r="GYF29" s="47"/>
      <c r="GYG29" s="47"/>
      <c r="GYH29" s="47"/>
      <c r="GYI29" s="47"/>
      <c r="GYJ29" s="47"/>
      <c r="GYK29" s="47"/>
      <c r="GYL29" s="47"/>
      <c r="GYM29" s="47"/>
      <c r="GYN29" s="47"/>
      <c r="GYO29" s="47"/>
      <c r="GYP29" s="47"/>
      <c r="GYQ29" s="47"/>
      <c r="GYR29" s="47"/>
      <c r="GYS29" s="47"/>
      <c r="GYT29" s="47"/>
      <c r="GYU29" s="47"/>
      <c r="GYV29" s="47"/>
      <c r="GYW29" s="47"/>
      <c r="GYX29" s="47"/>
      <c r="GYY29" s="47"/>
      <c r="GYZ29" s="47"/>
      <c r="GZA29" s="47"/>
      <c r="GZB29" s="47"/>
      <c r="GZC29" s="47"/>
      <c r="GZD29" s="47"/>
      <c r="GZE29" s="47"/>
      <c r="GZF29" s="47"/>
      <c r="GZG29" s="47"/>
      <c r="GZH29" s="47"/>
      <c r="GZI29" s="47"/>
      <c r="GZJ29" s="47"/>
      <c r="GZK29" s="47"/>
      <c r="GZL29" s="47"/>
      <c r="GZM29" s="47"/>
      <c r="GZN29" s="47"/>
      <c r="GZO29" s="47"/>
      <c r="GZP29" s="47"/>
      <c r="GZQ29" s="47"/>
      <c r="GZR29" s="47"/>
      <c r="GZS29" s="47"/>
      <c r="GZT29" s="47"/>
      <c r="GZU29" s="47"/>
      <c r="GZV29" s="47"/>
      <c r="GZW29" s="47"/>
      <c r="GZX29" s="47"/>
      <c r="GZY29" s="47"/>
      <c r="GZZ29" s="47"/>
      <c r="HAA29" s="47"/>
      <c r="HAB29" s="47"/>
      <c r="HAC29" s="47"/>
      <c r="HAD29" s="47"/>
      <c r="HAE29" s="47"/>
      <c r="HAF29" s="47"/>
      <c r="HAG29" s="47"/>
      <c r="HAH29" s="47"/>
      <c r="HAI29" s="47"/>
      <c r="HAJ29" s="47"/>
      <c r="HAK29" s="47"/>
      <c r="HAL29" s="47"/>
      <c r="HAM29" s="47"/>
      <c r="HAN29" s="47"/>
      <c r="HAO29" s="47"/>
      <c r="HAP29" s="47"/>
      <c r="HAQ29" s="47"/>
      <c r="HAR29" s="47"/>
      <c r="HAS29" s="47"/>
      <c r="HAT29" s="47"/>
      <c r="HAU29" s="47"/>
      <c r="HAV29" s="47"/>
      <c r="HAW29" s="47"/>
      <c r="HAX29" s="47"/>
      <c r="HAY29" s="47"/>
      <c r="HAZ29" s="47"/>
      <c r="HBA29" s="47"/>
      <c r="HBB29" s="47"/>
      <c r="HBC29" s="47"/>
      <c r="HBD29" s="47"/>
      <c r="HBE29" s="47"/>
      <c r="HBF29" s="47"/>
      <c r="HBG29" s="47"/>
      <c r="HBH29" s="47"/>
      <c r="HBI29" s="47"/>
      <c r="HBJ29" s="47"/>
      <c r="HBK29" s="47"/>
      <c r="HBL29" s="47"/>
      <c r="HBM29" s="47"/>
      <c r="HBN29" s="47"/>
      <c r="HBO29" s="47"/>
      <c r="HBP29" s="47"/>
      <c r="HBQ29" s="47"/>
      <c r="HBR29" s="47"/>
      <c r="HBS29" s="47"/>
      <c r="HBT29" s="47"/>
      <c r="HBU29" s="47"/>
      <c r="HBV29" s="47"/>
      <c r="HBW29" s="47"/>
      <c r="HBX29" s="47"/>
      <c r="HBY29" s="47"/>
      <c r="HBZ29" s="47"/>
      <c r="HCA29" s="47"/>
      <c r="HCB29" s="47"/>
      <c r="HCC29" s="47"/>
      <c r="HCD29" s="47"/>
      <c r="HCE29" s="47"/>
      <c r="HCF29" s="47"/>
      <c r="HCG29" s="47"/>
      <c r="HCH29" s="47"/>
      <c r="HCI29" s="47"/>
      <c r="HCJ29" s="47"/>
      <c r="HCK29" s="47"/>
      <c r="HCL29" s="47"/>
      <c r="HCM29" s="47"/>
      <c r="HCN29" s="47"/>
      <c r="HCO29" s="47"/>
      <c r="HCP29" s="47"/>
      <c r="HCQ29" s="47"/>
      <c r="HCR29" s="47"/>
      <c r="HCS29" s="47"/>
      <c r="HCT29" s="47"/>
      <c r="HCU29" s="47"/>
      <c r="HCV29" s="47"/>
      <c r="HCW29" s="47"/>
      <c r="HCX29" s="47"/>
      <c r="HCY29" s="47"/>
      <c r="HCZ29" s="47"/>
      <c r="HDA29" s="47"/>
      <c r="HDB29" s="47"/>
      <c r="HDC29" s="47"/>
      <c r="HDD29" s="47"/>
      <c r="HDE29" s="47"/>
      <c r="HDF29" s="47"/>
      <c r="HDG29" s="47"/>
      <c r="HDH29" s="47"/>
      <c r="HDI29" s="47"/>
      <c r="HDJ29" s="47"/>
      <c r="HDK29" s="47"/>
      <c r="HDL29" s="47"/>
      <c r="HDM29" s="47"/>
      <c r="HDN29" s="47"/>
      <c r="HDO29" s="47"/>
      <c r="HDP29" s="47"/>
      <c r="HDQ29" s="47"/>
      <c r="HDR29" s="47"/>
      <c r="HDS29" s="47"/>
      <c r="HDT29" s="47"/>
      <c r="HDU29" s="47"/>
      <c r="HDV29" s="47"/>
      <c r="HDW29" s="47"/>
      <c r="HDX29" s="47"/>
      <c r="HDY29" s="47"/>
      <c r="HDZ29" s="47"/>
      <c r="HEA29" s="47"/>
      <c r="HEB29" s="47"/>
      <c r="HEC29" s="47"/>
      <c r="HED29" s="47"/>
      <c r="HEE29" s="47"/>
      <c r="HEF29" s="47"/>
      <c r="HEG29" s="47"/>
      <c r="HEH29" s="47"/>
      <c r="HEI29" s="47"/>
      <c r="HEJ29" s="47"/>
      <c r="HEK29" s="47"/>
      <c r="HEL29" s="47"/>
      <c r="HEM29" s="47"/>
      <c r="HEN29" s="47"/>
      <c r="HEO29" s="47"/>
      <c r="HEP29" s="47"/>
      <c r="HEQ29" s="47"/>
      <c r="HER29" s="47"/>
      <c r="HES29" s="47"/>
      <c r="HET29" s="47"/>
      <c r="HEU29" s="47"/>
      <c r="HEV29" s="47"/>
      <c r="HEW29" s="47"/>
      <c r="HEX29" s="47"/>
      <c r="HEY29" s="47"/>
      <c r="HEZ29" s="47"/>
      <c r="HFA29" s="47"/>
      <c r="HFB29" s="47"/>
      <c r="HFC29" s="47"/>
      <c r="HFD29" s="47"/>
      <c r="HFE29" s="47"/>
      <c r="HFF29" s="47"/>
      <c r="HFG29" s="47"/>
      <c r="HFH29" s="47"/>
      <c r="HFI29" s="47"/>
      <c r="HFJ29" s="47"/>
      <c r="HFK29" s="47"/>
      <c r="HFL29" s="47"/>
      <c r="HFM29" s="47"/>
      <c r="HFN29" s="47"/>
      <c r="HFO29" s="47"/>
      <c r="HFP29" s="47"/>
      <c r="HFQ29" s="47"/>
      <c r="HFR29" s="47"/>
      <c r="HFS29" s="47"/>
      <c r="HFT29" s="47"/>
      <c r="HFU29" s="47"/>
      <c r="HFV29" s="47"/>
      <c r="HFW29" s="47"/>
      <c r="HFX29" s="47"/>
      <c r="HFY29" s="47"/>
      <c r="HFZ29" s="47"/>
      <c r="HGA29" s="47"/>
      <c r="HGB29" s="47"/>
      <c r="HGC29" s="47"/>
      <c r="HGD29" s="47"/>
      <c r="HGE29" s="47"/>
      <c r="HGF29" s="47"/>
      <c r="HGG29" s="47"/>
      <c r="HGH29" s="47"/>
      <c r="HGI29" s="47"/>
      <c r="HGJ29" s="47"/>
      <c r="HGK29" s="47"/>
      <c r="HGL29" s="47"/>
      <c r="HGM29" s="47"/>
      <c r="HGN29" s="47"/>
      <c r="HGO29" s="47"/>
      <c r="HGP29" s="47"/>
      <c r="HGQ29" s="47"/>
      <c r="HGR29" s="47"/>
      <c r="HGS29" s="47"/>
      <c r="HGT29" s="47"/>
      <c r="HGU29" s="47"/>
      <c r="HGV29" s="47"/>
      <c r="HGW29" s="47"/>
      <c r="HGX29" s="47"/>
      <c r="HGY29" s="47"/>
      <c r="HGZ29" s="47"/>
      <c r="HHA29" s="47"/>
      <c r="HHB29" s="47"/>
      <c r="HHC29" s="47"/>
      <c r="HHD29" s="47"/>
      <c r="HHE29" s="47"/>
      <c r="HHF29" s="47"/>
      <c r="HHG29" s="47"/>
      <c r="HHH29" s="47"/>
      <c r="HHI29" s="47"/>
      <c r="HHJ29" s="47"/>
      <c r="HHK29" s="47"/>
      <c r="HHL29" s="47"/>
      <c r="HHM29" s="47"/>
      <c r="HHN29" s="47"/>
      <c r="HHO29" s="47"/>
      <c r="HHP29" s="47"/>
      <c r="HHQ29" s="47"/>
      <c r="HHR29" s="47"/>
      <c r="HHS29" s="47"/>
      <c r="HHT29" s="47"/>
      <c r="HHU29" s="47"/>
      <c r="HHV29" s="47"/>
      <c r="HHW29" s="47"/>
      <c r="HHX29" s="47"/>
      <c r="HHY29" s="47"/>
      <c r="HHZ29" s="47"/>
      <c r="HIA29" s="47"/>
      <c r="HIB29" s="47"/>
      <c r="HIC29" s="47"/>
      <c r="HID29" s="47"/>
      <c r="HIE29" s="47"/>
      <c r="HIF29" s="47"/>
      <c r="HIG29" s="47"/>
      <c r="HIH29" s="47"/>
      <c r="HII29" s="47"/>
      <c r="HIJ29" s="47"/>
      <c r="HIK29" s="47"/>
      <c r="HIL29" s="47"/>
      <c r="HIM29" s="47"/>
      <c r="HIN29" s="47"/>
      <c r="HIO29" s="47"/>
      <c r="HIP29" s="47"/>
      <c r="HIQ29" s="47"/>
      <c r="HIR29" s="47"/>
      <c r="HIS29" s="47"/>
      <c r="HIT29" s="47"/>
      <c r="HIU29" s="47"/>
      <c r="HIV29" s="47"/>
      <c r="HIW29" s="47"/>
      <c r="HIX29" s="47"/>
      <c r="HIY29" s="47"/>
      <c r="HIZ29" s="47"/>
      <c r="HJA29" s="47"/>
      <c r="HJB29" s="47"/>
      <c r="HJC29" s="47"/>
      <c r="HJD29" s="47"/>
      <c r="HJE29" s="47"/>
      <c r="HJF29" s="47"/>
      <c r="HJG29" s="47"/>
      <c r="HJH29" s="47"/>
      <c r="HJI29" s="47"/>
      <c r="HJJ29" s="47"/>
      <c r="HJK29" s="47"/>
      <c r="HJL29" s="47"/>
      <c r="HJM29" s="47"/>
      <c r="HJN29" s="47"/>
      <c r="HJO29" s="47"/>
      <c r="HJP29" s="47"/>
      <c r="HJQ29" s="47"/>
      <c r="HJR29" s="47"/>
      <c r="HJS29" s="47"/>
      <c r="HJT29" s="47"/>
      <c r="HJU29" s="47"/>
      <c r="HJV29" s="47"/>
      <c r="HJW29" s="47"/>
      <c r="HJX29" s="47"/>
      <c r="HJY29" s="47"/>
      <c r="HJZ29" s="47"/>
      <c r="HKA29" s="47"/>
      <c r="HKB29" s="47"/>
      <c r="HKC29" s="47"/>
      <c r="HKD29" s="47"/>
      <c r="HKE29" s="47"/>
      <c r="HKF29" s="47"/>
      <c r="HKG29" s="47"/>
      <c r="HKH29" s="47"/>
      <c r="HKI29" s="47"/>
      <c r="HKJ29" s="47"/>
      <c r="HKK29" s="47"/>
      <c r="HKL29" s="47"/>
      <c r="HKM29" s="47"/>
      <c r="HKN29" s="47"/>
      <c r="HKO29" s="47"/>
      <c r="HKP29" s="47"/>
      <c r="HKQ29" s="47"/>
      <c r="HKR29" s="47"/>
      <c r="HKS29" s="47"/>
      <c r="HKT29" s="47"/>
      <c r="HKU29" s="47"/>
      <c r="HKV29" s="47"/>
      <c r="HKW29" s="47"/>
      <c r="HKX29" s="47"/>
      <c r="HKY29" s="47"/>
      <c r="HKZ29" s="47"/>
      <c r="HLA29" s="47"/>
      <c r="HLB29" s="47"/>
      <c r="HLC29" s="47"/>
      <c r="HLD29" s="47"/>
      <c r="HLE29" s="47"/>
      <c r="HLF29" s="47"/>
      <c r="HLG29" s="47"/>
      <c r="HLH29" s="47"/>
      <c r="HLI29" s="47"/>
      <c r="HLJ29" s="47"/>
      <c r="HLK29" s="47"/>
      <c r="HLL29" s="47"/>
      <c r="HLM29" s="47"/>
      <c r="HLN29" s="47"/>
      <c r="HLO29" s="47"/>
      <c r="HLP29" s="47"/>
      <c r="HLQ29" s="47"/>
      <c r="HLR29" s="47"/>
      <c r="HLS29" s="47"/>
      <c r="HLT29" s="47"/>
      <c r="HLU29" s="47"/>
      <c r="HLV29" s="47"/>
      <c r="HLW29" s="47"/>
      <c r="HLX29" s="47"/>
      <c r="HLY29" s="47"/>
      <c r="HLZ29" s="47"/>
      <c r="HMA29" s="47"/>
      <c r="HMB29" s="47"/>
      <c r="HMC29" s="47"/>
      <c r="HMD29" s="47"/>
      <c r="HME29" s="47"/>
      <c r="HMF29" s="47"/>
      <c r="HMG29" s="47"/>
      <c r="HMH29" s="47"/>
      <c r="HMI29" s="47"/>
      <c r="HMJ29" s="47"/>
      <c r="HMK29" s="47"/>
      <c r="HML29" s="47"/>
      <c r="HMM29" s="47"/>
      <c r="HMN29" s="47"/>
      <c r="HMO29" s="47"/>
      <c r="HMP29" s="47"/>
      <c r="HMQ29" s="47"/>
      <c r="HMR29" s="47"/>
      <c r="HMS29" s="47"/>
      <c r="HMT29" s="47"/>
      <c r="HMU29" s="47"/>
      <c r="HMV29" s="47"/>
      <c r="HMW29" s="47"/>
      <c r="HMX29" s="47"/>
      <c r="HMY29" s="47"/>
      <c r="HMZ29" s="47"/>
      <c r="HNA29" s="47"/>
      <c r="HNB29" s="47"/>
      <c r="HNC29" s="47"/>
      <c r="HND29" s="47"/>
      <c r="HNE29" s="47"/>
      <c r="HNF29" s="47"/>
      <c r="HNG29" s="47"/>
      <c r="HNH29" s="47"/>
      <c r="HNI29" s="47"/>
      <c r="HNJ29" s="47"/>
      <c r="HNK29" s="47"/>
      <c r="HNL29" s="47"/>
      <c r="HNM29" s="47"/>
      <c r="HNN29" s="47"/>
      <c r="HNO29" s="47"/>
      <c r="HNP29" s="47"/>
      <c r="HNQ29" s="47"/>
      <c r="HNR29" s="47"/>
      <c r="HNS29" s="47"/>
      <c r="HNT29" s="47"/>
      <c r="HNU29" s="47"/>
      <c r="HNV29" s="47"/>
      <c r="HNW29" s="47"/>
      <c r="HNX29" s="47"/>
      <c r="HNY29" s="47"/>
      <c r="HNZ29" s="47"/>
      <c r="HOA29" s="47"/>
      <c r="HOB29" s="47"/>
      <c r="HOC29" s="47"/>
      <c r="HOD29" s="47"/>
      <c r="HOE29" s="47"/>
      <c r="HOF29" s="47"/>
      <c r="HOG29" s="47"/>
      <c r="HOH29" s="47"/>
      <c r="HOI29" s="47"/>
      <c r="HOJ29" s="47"/>
      <c r="HOK29" s="47"/>
      <c r="HOL29" s="47"/>
      <c r="HOM29" s="47"/>
      <c r="HON29" s="47"/>
      <c r="HOO29" s="47"/>
      <c r="HOP29" s="47"/>
      <c r="HOQ29" s="47"/>
      <c r="HOR29" s="47"/>
      <c r="HOS29" s="47"/>
      <c r="HOT29" s="47"/>
      <c r="HOU29" s="47"/>
      <c r="HOV29" s="47"/>
      <c r="HOW29" s="47"/>
      <c r="HOX29" s="47"/>
      <c r="HOY29" s="47"/>
      <c r="HOZ29" s="47"/>
      <c r="HPA29" s="47"/>
      <c r="HPB29" s="47"/>
      <c r="HPC29" s="47"/>
      <c r="HPD29" s="47"/>
      <c r="HPE29" s="47"/>
      <c r="HPF29" s="47"/>
      <c r="HPG29" s="47"/>
      <c r="HPH29" s="47"/>
      <c r="HPI29" s="47"/>
      <c r="HPJ29" s="47"/>
      <c r="HPK29" s="47"/>
      <c r="HPL29" s="47"/>
      <c r="HPM29" s="47"/>
      <c r="HPN29" s="47"/>
      <c r="HPO29" s="47"/>
      <c r="HPP29" s="47"/>
      <c r="HPQ29" s="47"/>
      <c r="HPR29" s="47"/>
      <c r="HPS29" s="47"/>
      <c r="HPT29" s="47"/>
      <c r="HPU29" s="47"/>
      <c r="HPV29" s="47"/>
      <c r="HPW29" s="47"/>
      <c r="HPX29" s="47"/>
      <c r="HPY29" s="47"/>
      <c r="HPZ29" s="47"/>
      <c r="HQA29" s="47"/>
      <c r="HQB29" s="47"/>
      <c r="HQC29" s="47"/>
      <c r="HQD29" s="47"/>
      <c r="HQE29" s="47"/>
      <c r="HQF29" s="47"/>
      <c r="HQG29" s="47"/>
      <c r="HQH29" s="47"/>
      <c r="HQI29" s="47"/>
      <c r="HQJ29" s="47"/>
      <c r="HQK29" s="47"/>
      <c r="HQL29" s="47"/>
      <c r="HQM29" s="47"/>
      <c r="HQN29" s="47"/>
      <c r="HQO29" s="47"/>
      <c r="HQP29" s="47"/>
      <c r="HQQ29" s="47"/>
      <c r="HQR29" s="47"/>
      <c r="HQS29" s="47"/>
      <c r="HQT29" s="47"/>
      <c r="HQU29" s="47"/>
      <c r="HQV29" s="47"/>
      <c r="HQW29" s="47"/>
      <c r="HQX29" s="47"/>
      <c r="HQY29" s="47"/>
      <c r="HQZ29" s="47"/>
      <c r="HRA29" s="47"/>
      <c r="HRB29" s="47"/>
      <c r="HRC29" s="47"/>
      <c r="HRD29" s="47"/>
      <c r="HRE29" s="47"/>
      <c r="HRF29" s="47"/>
      <c r="HRG29" s="47"/>
      <c r="HRH29" s="47"/>
      <c r="HRI29" s="47"/>
      <c r="HRJ29" s="47"/>
      <c r="HRK29" s="47"/>
      <c r="HRL29" s="47"/>
      <c r="HRM29" s="47"/>
      <c r="HRN29" s="47"/>
      <c r="HRO29" s="47"/>
      <c r="HRP29" s="47"/>
      <c r="HRQ29" s="47"/>
      <c r="HRR29" s="47"/>
      <c r="HRS29" s="47"/>
      <c r="HRT29" s="47"/>
      <c r="HRU29" s="47"/>
      <c r="HRV29" s="47"/>
      <c r="HRW29" s="47"/>
      <c r="HRX29" s="47"/>
      <c r="HRY29" s="47"/>
      <c r="HRZ29" s="47"/>
      <c r="HSA29" s="47"/>
      <c r="HSB29" s="47"/>
      <c r="HSC29" s="47"/>
      <c r="HSD29" s="47"/>
      <c r="HSE29" s="47"/>
      <c r="HSF29" s="47"/>
      <c r="HSG29" s="47"/>
      <c r="HSH29" s="47"/>
      <c r="HSI29" s="47"/>
      <c r="HSJ29" s="47"/>
      <c r="HSK29" s="47"/>
      <c r="HSL29" s="47"/>
      <c r="HSM29" s="47"/>
      <c r="HSN29" s="47"/>
      <c r="HSO29" s="47"/>
      <c r="HSP29" s="47"/>
      <c r="HSQ29" s="47"/>
      <c r="HSR29" s="47"/>
      <c r="HSS29" s="47"/>
      <c r="HST29" s="47"/>
      <c r="HSU29" s="47"/>
      <c r="HSV29" s="47"/>
      <c r="HSW29" s="47"/>
      <c r="HSX29" s="47"/>
      <c r="HSY29" s="47"/>
      <c r="HSZ29" s="47"/>
      <c r="HTA29" s="47"/>
      <c r="HTB29" s="47"/>
      <c r="HTC29" s="47"/>
      <c r="HTD29" s="47"/>
      <c r="HTE29" s="47"/>
      <c r="HTF29" s="47"/>
      <c r="HTG29" s="47"/>
      <c r="HTH29" s="47"/>
      <c r="HTI29" s="47"/>
      <c r="HTJ29" s="47"/>
      <c r="HTK29" s="47"/>
      <c r="HTL29" s="47"/>
      <c r="HTM29" s="47"/>
      <c r="HTN29" s="47"/>
      <c r="HTO29" s="47"/>
      <c r="HTP29" s="47"/>
      <c r="HTQ29" s="47"/>
      <c r="HTR29" s="47"/>
      <c r="HTS29" s="47"/>
      <c r="HTT29" s="47"/>
      <c r="HTU29" s="47"/>
      <c r="HTV29" s="47"/>
      <c r="HTW29" s="47"/>
      <c r="HTX29" s="47"/>
      <c r="HTY29" s="47"/>
      <c r="HTZ29" s="47"/>
      <c r="HUA29" s="47"/>
      <c r="HUB29" s="47"/>
      <c r="HUC29" s="47"/>
      <c r="HUD29" s="47"/>
      <c r="HUE29" s="47"/>
      <c r="HUF29" s="47"/>
      <c r="HUG29" s="47"/>
      <c r="HUH29" s="47"/>
      <c r="HUI29" s="47"/>
      <c r="HUJ29" s="47"/>
      <c r="HUK29" s="47"/>
      <c r="HUL29" s="47"/>
      <c r="HUM29" s="47"/>
      <c r="HUN29" s="47"/>
      <c r="HUO29" s="47"/>
      <c r="HUP29" s="47"/>
      <c r="HUQ29" s="47"/>
      <c r="HUR29" s="47"/>
      <c r="HUS29" s="47"/>
      <c r="HUT29" s="47"/>
      <c r="HUU29" s="47"/>
      <c r="HUV29" s="47"/>
      <c r="HUW29" s="47"/>
      <c r="HUX29" s="47"/>
      <c r="HUY29" s="47"/>
      <c r="HUZ29" s="47"/>
      <c r="HVA29" s="47"/>
      <c r="HVB29" s="47"/>
      <c r="HVC29" s="47"/>
      <c r="HVD29" s="47"/>
      <c r="HVE29" s="47"/>
      <c r="HVF29" s="47"/>
      <c r="HVG29" s="47"/>
      <c r="HVH29" s="47"/>
      <c r="HVI29" s="47"/>
      <c r="HVJ29" s="47"/>
      <c r="HVK29" s="47"/>
      <c r="HVL29" s="47"/>
      <c r="HVM29" s="47"/>
      <c r="HVN29" s="47"/>
      <c r="HVO29" s="47"/>
      <c r="HVP29" s="47"/>
      <c r="HVQ29" s="47"/>
      <c r="HVR29" s="47"/>
      <c r="HVS29" s="47"/>
      <c r="HVT29" s="47"/>
      <c r="HVU29" s="47"/>
      <c r="HVV29" s="47"/>
      <c r="HVW29" s="47"/>
      <c r="HVX29" s="47"/>
      <c r="HVY29" s="47"/>
      <c r="HVZ29" s="47"/>
      <c r="HWA29" s="47"/>
      <c r="HWB29" s="47"/>
      <c r="HWC29" s="47"/>
      <c r="HWD29" s="47"/>
      <c r="HWE29" s="47"/>
      <c r="HWF29" s="47"/>
      <c r="HWG29" s="47"/>
      <c r="HWH29" s="47"/>
      <c r="HWI29" s="47"/>
      <c r="HWJ29" s="47"/>
      <c r="HWK29" s="47"/>
      <c r="HWL29" s="47"/>
      <c r="HWM29" s="47"/>
      <c r="HWN29" s="47"/>
      <c r="HWO29" s="47"/>
      <c r="HWP29" s="47"/>
      <c r="HWQ29" s="47"/>
      <c r="HWR29" s="47"/>
      <c r="HWS29" s="47"/>
      <c r="HWT29" s="47"/>
      <c r="HWU29" s="47"/>
      <c r="HWV29" s="47"/>
      <c r="HWW29" s="47"/>
      <c r="HWX29" s="47"/>
      <c r="HWY29" s="47"/>
      <c r="HWZ29" s="47"/>
      <c r="HXA29" s="47"/>
      <c r="HXB29" s="47"/>
      <c r="HXC29" s="47"/>
      <c r="HXD29" s="47"/>
      <c r="HXE29" s="47"/>
      <c r="HXF29" s="47"/>
      <c r="HXG29" s="47"/>
      <c r="HXH29" s="47"/>
      <c r="HXI29" s="47"/>
      <c r="HXJ29" s="47"/>
      <c r="HXK29" s="47"/>
      <c r="HXL29" s="47"/>
      <c r="HXM29" s="47"/>
      <c r="HXN29" s="47"/>
      <c r="HXO29" s="47"/>
      <c r="HXP29" s="47"/>
      <c r="HXQ29" s="47"/>
      <c r="HXR29" s="47"/>
      <c r="HXS29" s="47"/>
      <c r="HXT29" s="47"/>
      <c r="HXU29" s="47"/>
      <c r="HXV29" s="47"/>
      <c r="HXW29" s="47"/>
      <c r="HXX29" s="47"/>
      <c r="HXY29" s="47"/>
      <c r="HXZ29" s="47"/>
      <c r="HYA29" s="47"/>
      <c r="HYB29" s="47"/>
      <c r="HYC29" s="47"/>
      <c r="HYD29" s="47"/>
      <c r="HYE29" s="47"/>
      <c r="HYF29" s="47"/>
      <c r="HYG29" s="47"/>
      <c r="HYH29" s="47"/>
      <c r="HYI29" s="47"/>
      <c r="HYJ29" s="47"/>
      <c r="HYK29" s="47"/>
      <c r="HYL29" s="47"/>
      <c r="HYM29" s="47"/>
      <c r="HYN29" s="47"/>
      <c r="HYO29" s="47"/>
      <c r="HYP29" s="47"/>
      <c r="HYQ29" s="47"/>
      <c r="HYR29" s="47"/>
      <c r="HYS29" s="47"/>
      <c r="HYT29" s="47"/>
      <c r="HYU29" s="47"/>
      <c r="HYV29" s="47"/>
      <c r="HYW29" s="47"/>
      <c r="HYX29" s="47"/>
      <c r="HYY29" s="47"/>
      <c r="HYZ29" s="47"/>
      <c r="HZA29" s="47"/>
      <c r="HZB29" s="47"/>
      <c r="HZC29" s="47"/>
      <c r="HZD29" s="47"/>
      <c r="HZE29" s="47"/>
      <c r="HZF29" s="47"/>
      <c r="HZG29" s="47"/>
      <c r="HZH29" s="47"/>
      <c r="HZI29" s="47"/>
      <c r="HZJ29" s="47"/>
      <c r="HZK29" s="47"/>
      <c r="HZL29" s="47"/>
      <c r="HZM29" s="47"/>
      <c r="HZN29" s="47"/>
      <c r="HZO29" s="47"/>
      <c r="HZP29" s="47"/>
      <c r="HZQ29" s="47"/>
      <c r="HZR29" s="47"/>
      <c r="HZS29" s="47"/>
      <c r="HZT29" s="47"/>
      <c r="HZU29" s="47"/>
      <c r="HZV29" s="47"/>
      <c r="HZW29" s="47"/>
      <c r="HZX29" s="47"/>
      <c r="HZY29" s="47"/>
      <c r="HZZ29" s="47"/>
      <c r="IAA29" s="47"/>
      <c r="IAB29" s="47"/>
      <c r="IAC29" s="47"/>
      <c r="IAD29" s="47"/>
      <c r="IAE29" s="47"/>
      <c r="IAF29" s="47"/>
      <c r="IAG29" s="47"/>
      <c r="IAH29" s="47"/>
      <c r="IAI29" s="47"/>
      <c r="IAJ29" s="47"/>
      <c r="IAK29" s="47"/>
      <c r="IAL29" s="47"/>
      <c r="IAM29" s="47"/>
      <c r="IAN29" s="47"/>
      <c r="IAO29" s="47"/>
      <c r="IAP29" s="47"/>
      <c r="IAQ29" s="47"/>
      <c r="IAR29" s="47"/>
      <c r="IAS29" s="47"/>
      <c r="IAT29" s="47"/>
      <c r="IAU29" s="47"/>
      <c r="IAV29" s="47"/>
      <c r="IAW29" s="47"/>
      <c r="IAX29" s="47"/>
      <c r="IAY29" s="47"/>
      <c r="IAZ29" s="47"/>
      <c r="IBA29" s="47"/>
      <c r="IBB29" s="47"/>
      <c r="IBC29" s="47"/>
      <c r="IBD29" s="47"/>
      <c r="IBE29" s="47"/>
      <c r="IBF29" s="47"/>
      <c r="IBG29" s="47"/>
      <c r="IBH29" s="47"/>
      <c r="IBI29" s="47"/>
      <c r="IBJ29" s="47"/>
      <c r="IBK29" s="47"/>
      <c r="IBL29" s="47"/>
      <c r="IBM29" s="47"/>
      <c r="IBN29" s="47"/>
      <c r="IBO29" s="47"/>
      <c r="IBP29" s="47"/>
      <c r="IBQ29" s="47"/>
      <c r="IBR29" s="47"/>
      <c r="IBS29" s="47"/>
      <c r="IBT29" s="47"/>
      <c r="IBU29" s="47"/>
      <c r="IBV29" s="47"/>
      <c r="IBW29" s="47"/>
      <c r="IBX29" s="47"/>
      <c r="IBY29" s="47"/>
      <c r="IBZ29" s="47"/>
      <c r="ICA29" s="47"/>
      <c r="ICB29" s="47"/>
      <c r="ICC29" s="47"/>
      <c r="ICD29" s="47"/>
      <c r="ICE29" s="47"/>
      <c r="ICF29" s="47"/>
      <c r="ICG29" s="47"/>
      <c r="ICH29" s="47"/>
      <c r="ICI29" s="47"/>
      <c r="ICJ29" s="47"/>
      <c r="ICK29" s="47"/>
      <c r="ICL29" s="47"/>
      <c r="ICM29" s="47"/>
      <c r="ICN29" s="47"/>
      <c r="ICO29" s="47"/>
      <c r="ICP29" s="47"/>
      <c r="ICQ29" s="47"/>
      <c r="ICR29" s="47"/>
      <c r="ICS29" s="47"/>
      <c r="ICT29" s="47"/>
      <c r="ICU29" s="47"/>
      <c r="ICV29" s="47"/>
      <c r="ICW29" s="47"/>
      <c r="ICX29" s="47"/>
      <c r="ICY29" s="47"/>
      <c r="ICZ29" s="47"/>
      <c r="IDA29" s="47"/>
      <c r="IDB29" s="47"/>
      <c r="IDC29" s="47"/>
      <c r="IDD29" s="47"/>
      <c r="IDE29" s="47"/>
      <c r="IDF29" s="47"/>
      <c r="IDG29" s="47"/>
      <c r="IDH29" s="47"/>
      <c r="IDI29" s="47"/>
      <c r="IDJ29" s="47"/>
      <c r="IDK29" s="47"/>
      <c r="IDL29" s="47"/>
      <c r="IDM29" s="47"/>
      <c r="IDN29" s="47"/>
      <c r="IDO29" s="47"/>
      <c r="IDP29" s="47"/>
      <c r="IDQ29" s="47"/>
      <c r="IDR29" s="47"/>
      <c r="IDS29" s="47"/>
      <c r="IDT29" s="47"/>
      <c r="IDU29" s="47"/>
      <c r="IDV29" s="47"/>
      <c r="IDW29" s="47"/>
      <c r="IDX29" s="47"/>
      <c r="IDY29" s="47"/>
      <c r="IDZ29" s="47"/>
      <c r="IEA29" s="47"/>
      <c r="IEB29" s="47"/>
      <c r="IEC29" s="47"/>
      <c r="IED29" s="47"/>
      <c r="IEE29" s="47"/>
      <c r="IEF29" s="47"/>
      <c r="IEG29" s="47"/>
      <c r="IEH29" s="47"/>
      <c r="IEI29" s="47"/>
      <c r="IEJ29" s="47"/>
      <c r="IEK29" s="47"/>
      <c r="IEL29" s="47"/>
      <c r="IEM29" s="47"/>
      <c r="IEN29" s="47"/>
      <c r="IEO29" s="47"/>
      <c r="IEP29" s="47"/>
      <c r="IEQ29" s="47"/>
      <c r="IER29" s="47"/>
      <c r="IES29" s="47"/>
      <c r="IET29" s="47"/>
      <c r="IEU29" s="47"/>
      <c r="IEV29" s="47"/>
      <c r="IEW29" s="47"/>
      <c r="IEX29" s="47"/>
      <c r="IEY29" s="47"/>
      <c r="IEZ29" s="47"/>
      <c r="IFA29" s="47"/>
      <c r="IFB29" s="47"/>
      <c r="IFC29" s="47"/>
      <c r="IFD29" s="47"/>
      <c r="IFE29" s="47"/>
      <c r="IFF29" s="47"/>
      <c r="IFG29" s="47"/>
      <c r="IFH29" s="47"/>
      <c r="IFI29" s="47"/>
      <c r="IFJ29" s="47"/>
      <c r="IFK29" s="47"/>
      <c r="IFL29" s="47"/>
      <c r="IFM29" s="47"/>
      <c r="IFN29" s="47"/>
      <c r="IFO29" s="47"/>
      <c r="IFP29" s="47"/>
      <c r="IFQ29" s="47"/>
      <c r="IFR29" s="47"/>
      <c r="IFS29" s="47"/>
      <c r="IFT29" s="47"/>
      <c r="IFU29" s="47"/>
      <c r="IFV29" s="47"/>
      <c r="IFW29" s="47"/>
      <c r="IFX29" s="47"/>
      <c r="IFY29" s="47"/>
      <c r="IFZ29" s="47"/>
      <c r="IGA29" s="47"/>
      <c r="IGB29" s="47"/>
      <c r="IGC29" s="47"/>
      <c r="IGD29" s="47"/>
      <c r="IGE29" s="47"/>
      <c r="IGF29" s="47"/>
      <c r="IGG29" s="47"/>
      <c r="IGH29" s="47"/>
      <c r="IGI29" s="47"/>
      <c r="IGJ29" s="47"/>
      <c r="IGK29" s="47"/>
      <c r="IGL29" s="47"/>
      <c r="IGM29" s="47"/>
      <c r="IGN29" s="47"/>
      <c r="IGO29" s="47"/>
      <c r="IGP29" s="47"/>
      <c r="IGQ29" s="47"/>
      <c r="IGR29" s="47"/>
      <c r="IGS29" s="47"/>
      <c r="IGT29" s="47"/>
      <c r="IGU29" s="47"/>
      <c r="IGV29" s="47"/>
      <c r="IGW29" s="47"/>
      <c r="IGX29" s="47"/>
      <c r="IGY29" s="47"/>
      <c r="IGZ29" s="47"/>
      <c r="IHA29" s="47"/>
      <c r="IHB29" s="47"/>
      <c r="IHC29" s="47"/>
      <c r="IHD29" s="47"/>
      <c r="IHE29" s="47"/>
      <c r="IHF29" s="47"/>
      <c r="IHG29" s="47"/>
      <c r="IHH29" s="47"/>
      <c r="IHI29" s="47"/>
      <c r="IHJ29" s="47"/>
      <c r="IHK29" s="47"/>
      <c r="IHL29" s="47"/>
      <c r="IHM29" s="47"/>
      <c r="IHN29" s="47"/>
      <c r="IHO29" s="47"/>
      <c r="IHP29" s="47"/>
      <c r="IHQ29" s="47"/>
      <c r="IHR29" s="47"/>
      <c r="IHS29" s="47"/>
      <c r="IHT29" s="47"/>
      <c r="IHU29" s="47"/>
      <c r="IHV29" s="47"/>
      <c r="IHW29" s="47"/>
      <c r="IHX29" s="47"/>
      <c r="IHY29" s="47"/>
      <c r="IHZ29" s="47"/>
      <c r="IIA29" s="47"/>
      <c r="IIB29" s="47"/>
      <c r="IIC29" s="47"/>
      <c r="IID29" s="47"/>
      <c r="IIE29" s="47"/>
      <c r="IIF29" s="47"/>
      <c r="IIG29" s="47"/>
      <c r="IIH29" s="47"/>
      <c r="III29" s="47"/>
      <c r="IIJ29" s="47"/>
      <c r="IIK29" s="47"/>
      <c r="IIL29" s="47"/>
      <c r="IIM29" s="47"/>
      <c r="IIN29" s="47"/>
      <c r="IIO29" s="47"/>
      <c r="IIP29" s="47"/>
      <c r="IIQ29" s="47"/>
      <c r="IIR29" s="47"/>
      <c r="IIS29" s="47"/>
      <c r="IIT29" s="47"/>
      <c r="IIU29" s="47"/>
      <c r="IIV29" s="47"/>
      <c r="IIW29" s="47"/>
      <c r="IIX29" s="47"/>
      <c r="IIY29" s="47"/>
      <c r="IIZ29" s="47"/>
      <c r="IJA29" s="47"/>
      <c r="IJB29" s="47"/>
      <c r="IJC29" s="47"/>
      <c r="IJD29" s="47"/>
      <c r="IJE29" s="47"/>
      <c r="IJF29" s="47"/>
      <c r="IJG29" s="47"/>
      <c r="IJH29" s="47"/>
      <c r="IJI29" s="47"/>
      <c r="IJJ29" s="47"/>
      <c r="IJK29" s="47"/>
      <c r="IJL29" s="47"/>
      <c r="IJM29" s="47"/>
      <c r="IJN29" s="47"/>
      <c r="IJO29" s="47"/>
      <c r="IJP29" s="47"/>
      <c r="IJQ29" s="47"/>
      <c r="IJR29" s="47"/>
      <c r="IJS29" s="47"/>
      <c r="IJT29" s="47"/>
      <c r="IJU29" s="47"/>
      <c r="IJV29" s="47"/>
      <c r="IJW29" s="47"/>
      <c r="IJX29" s="47"/>
      <c r="IJY29" s="47"/>
      <c r="IJZ29" s="47"/>
      <c r="IKA29" s="47"/>
      <c r="IKB29" s="47"/>
      <c r="IKC29" s="47"/>
      <c r="IKD29" s="47"/>
      <c r="IKE29" s="47"/>
      <c r="IKF29" s="47"/>
      <c r="IKG29" s="47"/>
      <c r="IKH29" s="47"/>
      <c r="IKI29" s="47"/>
      <c r="IKJ29" s="47"/>
      <c r="IKK29" s="47"/>
      <c r="IKL29" s="47"/>
      <c r="IKM29" s="47"/>
      <c r="IKN29" s="47"/>
      <c r="IKO29" s="47"/>
      <c r="IKP29" s="47"/>
      <c r="IKQ29" s="47"/>
      <c r="IKR29" s="47"/>
      <c r="IKS29" s="47"/>
      <c r="IKT29" s="47"/>
      <c r="IKU29" s="47"/>
      <c r="IKV29" s="47"/>
      <c r="IKW29" s="47"/>
      <c r="IKX29" s="47"/>
      <c r="IKY29" s="47"/>
      <c r="IKZ29" s="47"/>
      <c r="ILA29" s="47"/>
      <c r="ILB29" s="47"/>
      <c r="ILC29" s="47"/>
      <c r="ILD29" s="47"/>
      <c r="ILE29" s="47"/>
      <c r="ILF29" s="47"/>
      <c r="ILG29" s="47"/>
      <c r="ILH29" s="47"/>
      <c r="ILI29" s="47"/>
      <c r="ILJ29" s="47"/>
      <c r="ILK29" s="47"/>
      <c r="ILL29" s="47"/>
      <c r="ILM29" s="47"/>
      <c r="ILN29" s="47"/>
      <c r="ILO29" s="47"/>
      <c r="ILP29" s="47"/>
      <c r="ILQ29" s="47"/>
      <c r="ILR29" s="47"/>
      <c r="ILS29" s="47"/>
      <c r="ILT29" s="47"/>
      <c r="ILU29" s="47"/>
      <c r="ILV29" s="47"/>
      <c r="ILW29" s="47"/>
      <c r="ILX29" s="47"/>
      <c r="ILY29" s="47"/>
      <c r="ILZ29" s="47"/>
      <c r="IMA29" s="47"/>
      <c r="IMB29" s="47"/>
      <c r="IMC29" s="47"/>
      <c r="IMD29" s="47"/>
      <c r="IME29" s="47"/>
      <c r="IMF29" s="47"/>
      <c r="IMG29" s="47"/>
      <c r="IMH29" s="47"/>
      <c r="IMI29" s="47"/>
      <c r="IMJ29" s="47"/>
      <c r="IMK29" s="47"/>
      <c r="IML29" s="47"/>
      <c r="IMM29" s="47"/>
      <c r="IMN29" s="47"/>
      <c r="IMO29" s="47"/>
      <c r="IMP29" s="47"/>
      <c r="IMQ29" s="47"/>
      <c r="IMR29" s="47"/>
      <c r="IMS29" s="47"/>
      <c r="IMT29" s="47"/>
      <c r="IMU29" s="47"/>
      <c r="IMV29" s="47"/>
      <c r="IMW29" s="47"/>
      <c r="IMX29" s="47"/>
      <c r="IMY29" s="47"/>
      <c r="IMZ29" s="47"/>
      <c r="INA29" s="47"/>
      <c r="INB29" s="47"/>
      <c r="INC29" s="47"/>
      <c r="IND29" s="47"/>
      <c r="INE29" s="47"/>
      <c r="INF29" s="47"/>
      <c r="ING29" s="47"/>
      <c r="INH29" s="47"/>
      <c r="INI29" s="47"/>
      <c r="INJ29" s="47"/>
      <c r="INK29" s="47"/>
      <c r="INL29" s="47"/>
      <c r="INM29" s="47"/>
      <c r="INN29" s="47"/>
      <c r="INO29" s="47"/>
      <c r="INP29" s="47"/>
      <c r="INQ29" s="47"/>
      <c r="INR29" s="47"/>
      <c r="INS29" s="47"/>
      <c r="INT29" s="47"/>
      <c r="INU29" s="47"/>
      <c r="INV29" s="47"/>
      <c r="INW29" s="47"/>
      <c r="INX29" s="47"/>
      <c r="INY29" s="47"/>
      <c r="INZ29" s="47"/>
      <c r="IOA29" s="47"/>
      <c r="IOB29" s="47"/>
      <c r="IOC29" s="47"/>
      <c r="IOD29" s="47"/>
      <c r="IOE29" s="47"/>
      <c r="IOF29" s="47"/>
      <c r="IOG29" s="47"/>
      <c r="IOH29" s="47"/>
      <c r="IOI29" s="47"/>
      <c r="IOJ29" s="47"/>
      <c r="IOK29" s="47"/>
      <c r="IOL29" s="47"/>
      <c r="IOM29" s="47"/>
      <c r="ION29" s="47"/>
      <c r="IOO29" s="47"/>
      <c r="IOP29" s="47"/>
      <c r="IOQ29" s="47"/>
      <c r="IOR29" s="47"/>
      <c r="IOS29" s="47"/>
      <c r="IOT29" s="47"/>
      <c r="IOU29" s="47"/>
      <c r="IOV29" s="47"/>
      <c r="IOW29" s="47"/>
      <c r="IOX29" s="47"/>
      <c r="IOY29" s="47"/>
      <c r="IOZ29" s="47"/>
      <c r="IPA29" s="47"/>
      <c r="IPB29" s="47"/>
      <c r="IPC29" s="47"/>
      <c r="IPD29" s="47"/>
      <c r="IPE29" s="47"/>
      <c r="IPF29" s="47"/>
      <c r="IPG29" s="47"/>
      <c r="IPH29" s="47"/>
      <c r="IPI29" s="47"/>
      <c r="IPJ29" s="47"/>
      <c r="IPK29" s="47"/>
      <c r="IPL29" s="47"/>
      <c r="IPM29" s="47"/>
      <c r="IPN29" s="47"/>
      <c r="IPO29" s="47"/>
      <c r="IPP29" s="47"/>
      <c r="IPQ29" s="47"/>
      <c r="IPR29" s="47"/>
      <c r="IPS29" s="47"/>
      <c r="IPT29" s="47"/>
      <c r="IPU29" s="47"/>
      <c r="IPV29" s="47"/>
      <c r="IPW29" s="47"/>
      <c r="IPX29" s="47"/>
      <c r="IPY29" s="47"/>
      <c r="IPZ29" s="47"/>
      <c r="IQA29" s="47"/>
      <c r="IQB29" s="47"/>
      <c r="IQC29" s="47"/>
      <c r="IQD29" s="47"/>
      <c r="IQE29" s="47"/>
      <c r="IQF29" s="47"/>
      <c r="IQG29" s="47"/>
      <c r="IQH29" s="47"/>
      <c r="IQI29" s="47"/>
      <c r="IQJ29" s="47"/>
      <c r="IQK29" s="47"/>
      <c r="IQL29" s="47"/>
      <c r="IQM29" s="47"/>
      <c r="IQN29" s="47"/>
      <c r="IQO29" s="47"/>
      <c r="IQP29" s="47"/>
      <c r="IQQ29" s="47"/>
      <c r="IQR29" s="47"/>
      <c r="IQS29" s="47"/>
      <c r="IQT29" s="47"/>
      <c r="IQU29" s="47"/>
      <c r="IQV29" s="47"/>
      <c r="IQW29" s="47"/>
      <c r="IQX29" s="47"/>
      <c r="IQY29" s="47"/>
      <c r="IQZ29" s="47"/>
      <c r="IRA29" s="47"/>
      <c r="IRB29" s="47"/>
      <c r="IRC29" s="47"/>
      <c r="IRD29" s="47"/>
      <c r="IRE29" s="47"/>
      <c r="IRF29" s="47"/>
      <c r="IRG29" s="47"/>
      <c r="IRH29" s="47"/>
      <c r="IRI29" s="47"/>
      <c r="IRJ29" s="47"/>
      <c r="IRK29" s="47"/>
      <c r="IRL29" s="47"/>
      <c r="IRM29" s="47"/>
      <c r="IRN29" s="47"/>
      <c r="IRO29" s="47"/>
      <c r="IRP29" s="47"/>
      <c r="IRQ29" s="47"/>
      <c r="IRR29" s="47"/>
      <c r="IRS29" s="47"/>
      <c r="IRT29" s="47"/>
      <c r="IRU29" s="47"/>
      <c r="IRV29" s="47"/>
      <c r="IRW29" s="47"/>
      <c r="IRX29" s="47"/>
      <c r="IRY29" s="47"/>
      <c r="IRZ29" s="47"/>
      <c r="ISA29" s="47"/>
      <c r="ISB29" s="47"/>
      <c r="ISC29" s="47"/>
      <c r="ISD29" s="47"/>
      <c r="ISE29" s="47"/>
      <c r="ISF29" s="47"/>
      <c r="ISG29" s="47"/>
      <c r="ISH29" s="47"/>
      <c r="ISI29" s="47"/>
      <c r="ISJ29" s="47"/>
      <c r="ISK29" s="47"/>
      <c r="ISL29" s="47"/>
      <c r="ISM29" s="47"/>
      <c r="ISN29" s="47"/>
      <c r="ISO29" s="47"/>
      <c r="ISP29" s="47"/>
      <c r="ISQ29" s="47"/>
      <c r="ISR29" s="47"/>
      <c r="ISS29" s="47"/>
      <c r="IST29" s="47"/>
      <c r="ISU29" s="47"/>
      <c r="ISV29" s="47"/>
      <c r="ISW29" s="47"/>
      <c r="ISX29" s="47"/>
      <c r="ISY29" s="47"/>
      <c r="ISZ29" s="47"/>
      <c r="ITA29" s="47"/>
      <c r="ITB29" s="47"/>
      <c r="ITC29" s="47"/>
      <c r="ITD29" s="47"/>
      <c r="ITE29" s="47"/>
      <c r="ITF29" s="47"/>
      <c r="ITG29" s="47"/>
      <c r="ITH29" s="47"/>
      <c r="ITI29" s="47"/>
      <c r="ITJ29" s="47"/>
      <c r="ITK29" s="47"/>
      <c r="ITL29" s="47"/>
      <c r="ITM29" s="47"/>
      <c r="ITN29" s="47"/>
      <c r="ITO29" s="47"/>
      <c r="ITP29" s="47"/>
      <c r="ITQ29" s="47"/>
      <c r="ITR29" s="47"/>
      <c r="ITS29" s="47"/>
      <c r="ITT29" s="47"/>
      <c r="ITU29" s="47"/>
      <c r="ITV29" s="47"/>
      <c r="ITW29" s="47"/>
      <c r="ITX29" s="47"/>
      <c r="ITY29" s="47"/>
      <c r="ITZ29" s="47"/>
      <c r="IUA29" s="47"/>
      <c r="IUB29" s="47"/>
      <c r="IUC29" s="47"/>
      <c r="IUD29" s="47"/>
      <c r="IUE29" s="47"/>
      <c r="IUF29" s="47"/>
      <c r="IUG29" s="47"/>
      <c r="IUH29" s="47"/>
      <c r="IUI29" s="47"/>
      <c r="IUJ29" s="47"/>
      <c r="IUK29" s="47"/>
      <c r="IUL29" s="47"/>
      <c r="IUM29" s="47"/>
      <c r="IUN29" s="47"/>
      <c r="IUO29" s="47"/>
      <c r="IUP29" s="47"/>
      <c r="IUQ29" s="47"/>
      <c r="IUR29" s="47"/>
      <c r="IUS29" s="47"/>
      <c r="IUT29" s="47"/>
      <c r="IUU29" s="47"/>
      <c r="IUV29" s="47"/>
      <c r="IUW29" s="47"/>
      <c r="IUX29" s="47"/>
      <c r="IUY29" s="47"/>
      <c r="IUZ29" s="47"/>
      <c r="IVA29" s="47"/>
      <c r="IVB29" s="47"/>
      <c r="IVC29" s="47"/>
      <c r="IVD29" s="47"/>
      <c r="IVE29" s="47"/>
      <c r="IVF29" s="47"/>
      <c r="IVG29" s="47"/>
      <c r="IVH29" s="47"/>
      <c r="IVI29" s="47"/>
      <c r="IVJ29" s="47"/>
      <c r="IVK29" s="47"/>
      <c r="IVL29" s="47"/>
      <c r="IVM29" s="47"/>
      <c r="IVN29" s="47"/>
      <c r="IVO29" s="47"/>
      <c r="IVP29" s="47"/>
      <c r="IVQ29" s="47"/>
      <c r="IVR29" s="47"/>
      <c r="IVS29" s="47"/>
      <c r="IVT29" s="47"/>
      <c r="IVU29" s="47"/>
      <c r="IVV29" s="47"/>
      <c r="IVW29" s="47"/>
      <c r="IVX29" s="47"/>
      <c r="IVY29" s="47"/>
      <c r="IVZ29" s="47"/>
      <c r="IWA29" s="47"/>
      <c r="IWB29" s="47"/>
      <c r="IWC29" s="47"/>
      <c r="IWD29" s="47"/>
      <c r="IWE29" s="47"/>
      <c r="IWF29" s="47"/>
      <c r="IWG29" s="47"/>
      <c r="IWH29" s="47"/>
      <c r="IWI29" s="47"/>
      <c r="IWJ29" s="47"/>
      <c r="IWK29" s="47"/>
      <c r="IWL29" s="47"/>
      <c r="IWM29" s="47"/>
      <c r="IWN29" s="47"/>
      <c r="IWO29" s="47"/>
      <c r="IWP29" s="47"/>
      <c r="IWQ29" s="47"/>
      <c r="IWR29" s="47"/>
      <c r="IWS29" s="47"/>
      <c r="IWT29" s="47"/>
      <c r="IWU29" s="47"/>
      <c r="IWV29" s="47"/>
      <c r="IWW29" s="47"/>
      <c r="IWX29" s="47"/>
      <c r="IWY29" s="47"/>
      <c r="IWZ29" s="47"/>
      <c r="IXA29" s="47"/>
      <c r="IXB29" s="47"/>
      <c r="IXC29" s="47"/>
      <c r="IXD29" s="47"/>
      <c r="IXE29" s="47"/>
      <c r="IXF29" s="47"/>
      <c r="IXG29" s="47"/>
      <c r="IXH29" s="47"/>
      <c r="IXI29" s="47"/>
      <c r="IXJ29" s="47"/>
      <c r="IXK29" s="47"/>
      <c r="IXL29" s="47"/>
      <c r="IXM29" s="47"/>
      <c r="IXN29" s="47"/>
      <c r="IXO29" s="47"/>
      <c r="IXP29" s="47"/>
      <c r="IXQ29" s="47"/>
      <c r="IXR29" s="47"/>
      <c r="IXS29" s="47"/>
      <c r="IXT29" s="47"/>
      <c r="IXU29" s="47"/>
      <c r="IXV29" s="47"/>
      <c r="IXW29" s="47"/>
      <c r="IXX29" s="47"/>
      <c r="IXY29" s="47"/>
      <c r="IXZ29" s="47"/>
      <c r="IYA29" s="47"/>
      <c r="IYB29" s="47"/>
      <c r="IYC29" s="47"/>
      <c r="IYD29" s="47"/>
      <c r="IYE29" s="47"/>
      <c r="IYF29" s="47"/>
      <c r="IYG29" s="47"/>
      <c r="IYH29" s="47"/>
      <c r="IYI29" s="47"/>
      <c r="IYJ29" s="47"/>
      <c r="IYK29" s="47"/>
      <c r="IYL29" s="47"/>
      <c r="IYM29" s="47"/>
      <c r="IYN29" s="47"/>
      <c r="IYO29" s="47"/>
      <c r="IYP29" s="47"/>
      <c r="IYQ29" s="47"/>
      <c r="IYR29" s="47"/>
      <c r="IYS29" s="47"/>
      <c r="IYT29" s="47"/>
      <c r="IYU29" s="47"/>
      <c r="IYV29" s="47"/>
      <c r="IYW29" s="47"/>
      <c r="IYX29" s="47"/>
      <c r="IYY29" s="47"/>
      <c r="IYZ29" s="47"/>
      <c r="IZA29" s="47"/>
      <c r="IZB29" s="47"/>
      <c r="IZC29" s="47"/>
      <c r="IZD29" s="47"/>
      <c r="IZE29" s="47"/>
      <c r="IZF29" s="47"/>
      <c r="IZG29" s="47"/>
      <c r="IZH29" s="47"/>
      <c r="IZI29" s="47"/>
      <c r="IZJ29" s="47"/>
      <c r="IZK29" s="47"/>
      <c r="IZL29" s="47"/>
      <c r="IZM29" s="47"/>
      <c r="IZN29" s="47"/>
      <c r="IZO29" s="47"/>
      <c r="IZP29" s="47"/>
      <c r="IZQ29" s="47"/>
      <c r="IZR29" s="47"/>
      <c r="IZS29" s="47"/>
      <c r="IZT29" s="47"/>
      <c r="IZU29" s="47"/>
      <c r="IZV29" s="47"/>
      <c r="IZW29" s="47"/>
      <c r="IZX29" s="47"/>
      <c r="IZY29" s="47"/>
      <c r="IZZ29" s="47"/>
      <c r="JAA29" s="47"/>
      <c r="JAB29" s="47"/>
      <c r="JAC29" s="47"/>
      <c r="JAD29" s="47"/>
      <c r="JAE29" s="47"/>
      <c r="JAF29" s="47"/>
      <c r="JAG29" s="47"/>
      <c r="JAH29" s="47"/>
      <c r="JAI29" s="47"/>
      <c r="JAJ29" s="47"/>
      <c r="JAK29" s="47"/>
      <c r="JAL29" s="47"/>
      <c r="JAM29" s="47"/>
      <c r="JAN29" s="47"/>
      <c r="JAO29" s="47"/>
      <c r="JAP29" s="47"/>
      <c r="JAQ29" s="47"/>
      <c r="JAR29" s="47"/>
      <c r="JAS29" s="47"/>
      <c r="JAT29" s="47"/>
      <c r="JAU29" s="47"/>
      <c r="JAV29" s="47"/>
      <c r="JAW29" s="47"/>
      <c r="JAX29" s="47"/>
      <c r="JAY29" s="47"/>
      <c r="JAZ29" s="47"/>
      <c r="JBA29" s="47"/>
      <c r="JBB29" s="47"/>
      <c r="JBC29" s="47"/>
      <c r="JBD29" s="47"/>
      <c r="JBE29" s="47"/>
      <c r="JBF29" s="47"/>
      <c r="JBG29" s="47"/>
      <c r="JBH29" s="47"/>
      <c r="JBI29" s="47"/>
      <c r="JBJ29" s="47"/>
      <c r="JBK29" s="47"/>
      <c r="JBL29" s="47"/>
      <c r="JBM29" s="47"/>
      <c r="JBN29" s="47"/>
      <c r="JBO29" s="47"/>
      <c r="JBP29" s="47"/>
      <c r="JBQ29" s="47"/>
      <c r="JBR29" s="47"/>
      <c r="JBS29" s="47"/>
      <c r="JBT29" s="47"/>
      <c r="JBU29" s="47"/>
      <c r="JBV29" s="47"/>
      <c r="JBW29" s="47"/>
      <c r="JBX29" s="47"/>
      <c r="JBY29" s="47"/>
      <c r="JBZ29" s="47"/>
      <c r="JCA29" s="47"/>
      <c r="JCB29" s="47"/>
      <c r="JCC29" s="47"/>
      <c r="JCD29" s="47"/>
      <c r="JCE29" s="47"/>
      <c r="JCF29" s="47"/>
      <c r="JCG29" s="47"/>
      <c r="JCH29" s="47"/>
      <c r="JCI29" s="47"/>
      <c r="JCJ29" s="47"/>
      <c r="JCK29" s="47"/>
      <c r="JCL29" s="47"/>
      <c r="JCM29" s="47"/>
      <c r="JCN29" s="47"/>
      <c r="JCO29" s="47"/>
      <c r="JCP29" s="47"/>
      <c r="JCQ29" s="47"/>
      <c r="JCR29" s="47"/>
      <c r="JCS29" s="47"/>
      <c r="JCT29" s="47"/>
      <c r="JCU29" s="47"/>
      <c r="JCV29" s="47"/>
      <c r="JCW29" s="47"/>
      <c r="JCX29" s="47"/>
      <c r="JCY29" s="47"/>
      <c r="JCZ29" s="47"/>
      <c r="JDA29" s="47"/>
      <c r="JDB29" s="47"/>
      <c r="JDC29" s="47"/>
      <c r="JDD29" s="47"/>
      <c r="JDE29" s="47"/>
      <c r="JDF29" s="47"/>
      <c r="JDG29" s="47"/>
      <c r="JDH29" s="47"/>
      <c r="JDI29" s="47"/>
      <c r="JDJ29" s="47"/>
      <c r="JDK29" s="47"/>
      <c r="JDL29" s="47"/>
      <c r="JDM29" s="47"/>
      <c r="JDN29" s="47"/>
      <c r="JDO29" s="47"/>
      <c r="JDP29" s="47"/>
      <c r="JDQ29" s="47"/>
      <c r="JDR29" s="47"/>
      <c r="JDS29" s="47"/>
      <c r="JDT29" s="47"/>
      <c r="JDU29" s="47"/>
      <c r="JDV29" s="47"/>
      <c r="JDW29" s="47"/>
      <c r="JDX29" s="47"/>
      <c r="JDY29" s="47"/>
      <c r="JDZ29" s="47"/>
      <c r="JEA29" s="47"/>
      <c r="JEB29" s="47"/>
      <c r="JEC29" s="47"/>
      <c r="JED29" s="47"/>
      <c r="JEE29" s="47"/>
      <c r="JEF29" s="47"/>
      <c r="JEG29" s="47"/>
      <c r="JEH29" s="47"/>
      <c r="JEI29" s="47"/>
      <c r="JEJ29" s="47"/>
      <c r="JEK29" s="47"/>
      <c r="JEL29" s="47"/>
      <c r="JEM29" s="47"/>
      <c r="JEN29" s="47"/>
      <c r="JEO29" s="47"/>
      <c r="JEP29" s="47"/>
      <c r="JEQ29" s="47"/>
      <c r="JER29" s="47"/>
      <c r="JES29" s="47"/>
      <c r="JET29" s="47"/>
      <c r="JEU29" s="47"/>
      <c r="JEV29" s="47"/>
      <c r="JEW29" s="47"/>
      <c r="JEX29" s="47"/>
      <c r="JEY29" s="47"/>
      <c r="JEZ29" s="47"/>
      <c r="JFA29" s="47"/>
      <c r="JFB29" s="47"/>
      <c r="JFC29" s="47"/>
      <c r="JFD29" s="47"/>
      <c r="JFE29" s="47"/>
      <c r="JFF29" s="47"/>
      <c r="JFG29" s="47"/>
      <c r="JFH29" s="47"/>
      <c r="JFI29" s="47"/>
      <c r="JFJ29" s="47"/>
      <c r="JFK29" s="47"/>
      <c r="JFL29" s="47"/>
      <c r="JFM29" s="47"/>
      <c r="JFN29" s="47"/>
      <c r="JFO29" s="47"/>
      <c r="JFP29" s="47"/>
      <c r="JFQ29" s="47"/>
      <c r="JFR29" s="47"/>
      <c r="JFS29" s="47"/>
      <c r="JFT29" s="47"/>
      <c r="JFU29" s="47"/>
      <c r="JFV29" s="47"/>
      <c r="JFW29" s="47"/>
      <c r="JFX29" s="47"/>
      <c r="JFY29" s="47"/>
      <c r="JFZ29" s="47"/>
      <c r="JGA29" s="47"/>
      <c r="JGB29" s="47"/>
      <c r="JGC29" s="47"/>
      <c r="JGD29" s="47"/>
      <c r="JGE29" s="47"/>
      <c r="JGF29" s="47"/>
      <c r="JGG29" s="47"/>
      <c r="JGH29" s="47"/>
      <c r="JGI29" s="47"/>
      <c r="JGJ29" s="47"/>
      <c r="JGK29" s="47"/>
      <c r="JGL29" s="47"/>
      <c r="JGM29" s="47"/>
      <c r="JGN29" s="47"/>
      <c r="JGO29" s="47"/>
      <c r="JGP29" s="47"/>
      <c r="JGQ29" s="47"/>
      <c r="JGR29" s="47"/>
      <c r="JGS29" s="47"/>
      <c r="JGT29" s="47"/>
      <c r="JGU29" s="47"/>
      <c r="JGV29" s="47"/>
      <c r="JGW29" s="47"/>
      <c r="JGX29" s="47"/>
      <c r="JGY29" s="47"/>
      <c r="JGZ29" s="47"/>
      <c r="JHA29" s="47"/>
      <c r="JHB29" s="47"/>
      <c r="JHC29" s="47"/>
      <c r="JHD29" s="47"/>
      <c r="JHE29" s="47"/>
      <c r="JHF29" s="47"/>
      <c r="JHG29" s="47"/>
      <c r="JHH29" s="47"/>
      <c r="JHI29" s="47"/>
      <c r="JHJ29" s="47"/>
      <c r="JHK29" s="47"/>
      <c r="JHL29" s="47"/>
      <c r="JHM29" s="47"/>
      <c r="JHN29" s="47"/>
      <c r="JHO29" s="47"/>
      <c r="JHP29" s="47"/>
      <c r="JHQ29" s="47"/>
      <c r="JHR29" s="47"/>
      <c r="JHS29" s="47"/>
      <c r="JHT29" s="47"/>
      <c r="JHU29" s="47"/>
      <c r="JHV29" s="47"/>
      <c r="JHW29" s="47"/>
      <c r="JHX29" s="47"/>
      <c r="JHY29" s="47"/>
      <c r="JHZ29" s="47"/>
      <c r="JIA29" s="47"/>
      <c r="JIB29" s="47"/>
      <c r="JIC29" s="47"/>
      <c r="JID29" s="47"/>
      <c r="JIE29" s="47"/>
      <c r="JIF29" s="47"/>
      <c r="JIG29" s="47"/>
      <c r="JIH29" s="47"/>
      <c r="JII29" s="47"/>
      <c r="JIJ29" s="47"/>
      <c r="JIK29" s="47"/>
      <c r="JIL29" s="47"/>
      <c r="JIM29" s="47"/>
      <c r="JIN29" s="47"/>
      <c r="JIO29" s="47"/>
      <c r="JIP29" s="47"/>
      <c r="JIQ29" s="47"/>
      <c r="JIR29" s="47"/>
      <c r="JIS29" s="47"/>
      <c r="JIT29" s="47"/>
      <c r="JIU29" s="47"/>
      <c r="JIV29" s="47"/>
      <c r="JIW29" s="47"/>
      <c r="JIX29" s="47"/>
      <c r="JIY29" s="47"/>
      <c r="JIZ29" s="47"/>
      <c r="JJA29" s="47"/>
      <c r="JJB29" s="47"/>
      <c r="JJC29" s="47"/>
      <c r="JJD29" s="47"/>
      <c r="JJE29" s="47"/>
      <c r="JJF29" s="47"/>
      <c r="JJG29" s="47"/>
      <c r="JJH29" s="47"/>
      <c r="JJI29" s="47"/>
      <c r="JJJ29" s="47"/>
      <c r="JJK29" s="47"/>
      <c r="JJL29" s="47"/>
      <c r="JJM29" s="47"/>
      <c r="JJN29" s="47"/>
      <c r="JJO29" s="47"/>
      <c r="JJP29" s="47"/>
      <c r="JJQ29" s="47"/>
      <c r="JJR29" s="47"/>
      <c r="JJS29" s="47"/>
      <c r="JJT29" s="47"/>
      <c r="JJU29" s="47"/>
      <c r="JJV29" s="47"/>
      <c r="JJW29" s="47"/>
      <c r="JJX29" s="47"/>
      <c r="JJY29" s="47"/>
      <c r="JJZ29" s="47"/>
      <c r="JKA29" s="47"/>
      <c r="JKB29" s="47"/>
      <c r="JKC29" s="47"/>
      <c r="JKD29" s="47"/>
      <c r="JKE29" s="47"/>
      <c r="JKF29" s="47"/>
      <c r="JKG29" s="47"/>
      <c r="JKH29" s="47"/>
      <c r="JKI29" s="47"/>
      <c r="JKJ29" s="47"/>
      <c r="JKK29" s="47"/>
      <c r="JKL29" s="47"/>
      <c r="JKM29" s="47"/>
      <c r="JKN29" s="47"/>
      <c r="JKO29" s="47"/>
      <c r="JKP29" s="47"/>
      <c r="JKQ29" s="47"/>
      <c r="JKR29" s="47"/>
      <c r="JKS29" s="47"/>
      <c r="JKT29" s="47"/>
      <c r="JKU29" s="47"/>
      <c r="JKV29" s="47"/>
      <c r="JKW29" s="47"/>
      <c r="JKX29" s="47"/>
      <c r="JKY29" s="47"/>
      <c r="JKZ29" s="47"/>
      <c r="JLA29" s="47"/>
      <c r="JLB29" s="47"/>
      <c r="JLC29" s="47"/>
      <c r="JLD29" s="47"/>
      <c r="JLE29" s="47"/>
      <c r="JLF29" s="47"/>
      <c r="JLG29" s="47"/>
      <c r="JLH29" s="47"/>
      <c r="JLI29" s="47"/>
      <c r="JLJ29" s="47"/>
      <c r="JLK29" s="47"/>
      <c r="JLL29" s="47"/>
      <c r="JLM29" s="47"/>
      <c r="JLN29" s="47"/>
      <c r="JLO29" s="47"/>
      <c r="JLP29" s="47"/>
      <c r="JLQ29" s="47"/>
      <c r="JLR29" s="47"/>
      <c r="JLS29" s="47"/>
      <c r="JLT29" s="47"/>
      <c r="JLU29" s="47"/>
      <c r="JLV29" s="47"/>
      <c r="JLW29" s="47"/>
      <c r="JLX29" s="47"/>
      <c r="JLY29" s="47"/>
      <c r="JLZ29" s="47"/>
      <c r="JMA29" s="47"/>
      <c r="JMB29" s="47"/>
      <c r="JMC29" s="47"/>
      <c r="JMD29" s="47"/>
      <c r="JME29" s="47"/>
      <c r="JMF29" s="47"/>
      <c r="JMG29" s="47"/>
      <c r="JMH29" s="47"/>
      <c r="JMI29" s="47"/>
      <c r="JMJ29" s="47"/>
      <c r="JMK29" s="47"/>
      <c r="JML29" s="47"/>
      <c r="JMM29" s="47"/>
      <c r="JMN29" s="47"/>
      <c r="JMO29" s="47"/>
      <c r="JMP29" s="47"/>
      <c r="JMQ29" s="47"/>
      <c r="JMR29" s="47"/>
      <c r="JMS29" s="47"/>
      <c r="JMT29" s="47"/>
      <c r="JMU29" s="47"/>
      <c r="JMV29" s="47"/>
      <c r="JMW29" s="47"/>
      <c r="JMX29" s="47"/>
      <c r="JMY29" s="47"/>
      <c r="JMZ29" s="47"/>
      <c r="JNA29" s="47"/>
      <c r="JNB29" s="47"/>
      <c r="JNC29" s="47"/>
      <c r="JND29" s="47"/>
      <c r="JNE29" s="47"/>
      <c r="JNF29" s="47"/>
      <c r="JNG29" s="47"/>
      <c r="JNH29" s="47"/>
      <c r="JNI29" s="47"/>
      <c r="JNJ29" s="47"/>
      <c r="JNK29" s="47"/>
      <c r="JNL29" s="47"/>
      <c r="JNM29" s="47"/>
      <c r="JNN29" s="47"/>
      <c r="JNO29" s="47"/>
      <c r="JNP29" s="47"/>
      <c r="JNQ29" s="47"/>
      <c r="JNR29" s="47"/>
      <c r="JNS29" s="47"/>
      <c r="JNT29" s="47"/>
      <c r="JNU29" s="47"/>
      <c r="JNV29" s="47"/>
      <c r="JNW29" s="47"/>
      <c r="JNX29" s="47"/>
      <c r="JNY29" s="47"/>
      <c r="JNZ29" s="47"/>
      <c r="JOA29" s="47"/>
      <c r="JOB29" s="47"/>
      <c r="JOC29" s="47"/>
      <c r="JOD29" s="47"/>
      <c r="JOE29" s="47"/>
      <c r="JOF29" s="47"/>
      <c r="JOG29" s="47"/>
      <c r="JOH29" s="47"/>
      <c r="JOI29" s="47"/>
      <c r="JOJ29" s="47"/>
      <c r="JOK29" s="47"/>
      <c r="JOL29" s="47"/>
      <c r="JOM29" s="47"/>
      <c r="JON29" s="47"/>
      <c r="JOO29" s="47"/>
      <c r="JOP29" s="47"/>
      <c r="JOQ29" s="47"/>
      <c r="JOR29" s="47"/>
      <c r="JOS29" s="47"/>
      <c r="JOT29" s="47"/>
      <c r="JOU29" s="47"/>
      <c r="JOV29" s="47"/>
      <c r="JOW29" s="47"/>
      <c r="JOX29" s="47"/>
      <c r="JOY29" s="47"/>
      <c r="JOZ29" s="47"/>
      <c r="JPA29" s="47"/>
      <c r="JPB29" s="47"/>
      <c r="JPC29" s="47"/>
      <c r="JPD29" s="47"/>
      <c r="JPE29" s="47"/>
      <c r="JPF29" s="47"/>
      <c r="JPG29" s="47"/>
      <c r="JPH29" s="47"/>
      <c r="JPI29" s="47"/>
      <c r="JPJ29" s="47"/>
      <c r="JPK29" s="47"/>
      <c r="JPL29" s="47"/>
      <c r="JPM29" s="47"/>
      <c r="JPN29" s="47"/>
      <c r="JPO29" s="47"/>
      <c r="JPP29" s="47"/>
      <c r="JPQ29" s="47"/>
      <c r="JPR29" s="47"/>
      <c r="JPS29" s="47"/>
      <c r="JPT29" s="47"/>
      <c r="JPU29" s="47"/>
      <c r="JPV29" s="47"/>
      <c r="JPW29" s="47"/>
      <c r="JPX29" s="47"/>
      <c r="JPY29" s="47"/>
      <c r="JPZ29" s="47"/>
      <c r="JQA29" s="47"/>
      <c r="JQB29" s="47"/>
      <c r="JQC29" s="47"/>
      <c r="JQD29" s="47"/>
      <c r="JQE29" s="47"/>
      <c r="JQF29" s="47"/>
      <c r="JQG29" s="47"/>
      <c r="JQH29" s="47"/>
      <c r="JQI29" s="47"/>
      <c r="JQJ29" s="47"/>
      <c r="JQK29" s="47"/>
      <c r="JQL29" s="47"/>
      <c r="JQM29" s="47"/>
      <c r="JQN29" s="47"/>
      <c r="JQO29" s="47"/>
      <c r="JQP29" s="47"/>
      <c r="JQQ29" s="47"/>
      <c r="JQR29" s="47"/>
      <c r="JQS29" s="47"/>
      <c r="JQT29" s="47"/>
      <c r="JQU29" s="47"/>
      <c r="JQV29" s="47"/>
      <c r="JQW29" s="47"/>
      <c r="JQX29" s="47"/>
      <c r="JQY29" s="47"/>
      <c r="JQZ29" s="47"/>
      <c r="JRA29" s="47"/>
      <c r="JRB29" s="47"/>
      <c r="JRC29" s="47"/>
      <c r="JRD29" s="47"/>
      <c r="JRE29" s="47"/>
      <c r="JRF29" s="47"/>
      <c r="JRG29" s="47"/>
      <c r="JRH29" s="47"/>
      <c r="JRI29" s="47"/>
      <c r="JRJ29" s="47"/>
      <c r="JRK29" s="47"/>
      <c r="JRL29" s="47"/>
      <c r="JRM29" s="47"/>
      <c r="JRN29" s="47"/>
      <c r="JRO29" s="47"/>
      <c r="JRP29" s="47"/>
      <c r="JRQ29" s="47"/>
      <c r="JRR29" s="47"/>
      <c r="JRS29" s="47"/>
      <c r="JRT29" s="47"/>
      <c r="JRU29" s="47"/>
      <c r="JRV29" s="47"/>
      <c r="JRW29" s="47"/>
      <c r="JRX29" s="47"/>
      <c r="JRY29" s="47"/>
      <c r="JRZ29" s="47"/>
      <c r="JSA29" s="47"/>
      <c r="JSB29" s="47"/>
      <c r="JSC29" s="47"/>
      <c r="JSD29" s="47"/>
      <c r="JSE29" s="47"/>
      <c r="JSF29" s="47"/>
      <c r="JSG29" s="47"/>
      <c r="JSH29" s="47"/>
      <c r="JSI29" s="47"/>
      <c r="JSJ29" s="47"/>
      <c r="JSK29" s="47"/>
      <c r="JSL29" s="47"/>
      <c r="JSM29" s="47"/>
      <c r="JSN29" s="47"/>
      <c r="JSO29" s="47"/>
      <c r="JSP29" s="47"/>
      <c r="JSQ29" s="47"/>
      <c r="JSR29" s="47"/>
      <c r="JSS29" s="47"/>
      <c r="JST29" s="47"/>
      <c r="JSU29" s="47"/>
      <c r="JSV29" s="47"/>
      <c r="JSW29" s="47"/>
      <c r="JSX29" s="47"/>
      <c r="JSY29" s="47"/>
      <c r="JSZ29" s="47"/>
      <c r="JTA29" s="47"/>
      <c r="JTB29" s="47"/>
      <c r="JTC29" s="47"/>
      <c r="JTD29" s="47"/>
      <c r="JTE29" s="47"/>
      <c r="JTF29" s="47"/>
      <c r="JTG29" s="47"/>
      <c r="JTH29" s="47"/>
      <c r="JTI29" s="47"/>
      <c r="JTJ29" s="47"/>
      <c r="JTK29" s="47"/>
      <c r="JTL29" s="47"/>
      <c r="JTM29" s="47"/>
      <c r="JTN29" s="47"/>
      <c r="JTO29" s="47"/>
      <c r="JTP29" s="47"/>
      <c r="JTQ29" s="47"/>
      <c r="JTR29" s="47"/>
      <c r="JTS29" s="47"/>
      <c r="JTT29" s="47"/>
      <c r="JTU29" s="47"/>
      <c r="JTV29" s="47"/>
      <c r="JTW29" s="47"/>
      <c r="JTX29" s="47"/>
      <c r="JTY29" s="47"/>
      <c r="JTZ29" s="47"/>
      <c r="JUA29" s="47"/>
      <c r="JUB29" s="47"/>
      <c r="JUC29" s="47"/>
      <c r="JUD29" s="47"/>
      <c r="JUE29" s="47"/>
      <c r="JUF29" s="47"/>
      <c r="JUG29" s="47"/>
      <c r="JUH29" s="47"/>
      <c r="JUI29" s="47"/>
      <c r="JUJ29" s="47"/>
      <c r="JUK29" s="47"/>
      <c r="JUL29" s="47"/>
      <c r="JUM29" s="47"/>
      <c r="JUN29" s="47"/>
      <c r="JUO29" s="47"/>
      <c r="JUP29" s="47"/>
      <c r="JUQ29" s="47"/>
      <c r="JUR29" s="47"/>
      <c r="JUS29" s="47"/>
      <c r="JUT29" s="47"/>
      <c r="JUU29" s="47"/>
      <c r="JUV29" s="47"/>
      <c r="JUW29" s="47"/>
      <c r="JUX29" s="47"/>
      <c r="JUY29" s="47"/>
      <c r="JUZ29" s="47"/>
      <c r="JVA29" s="47"/>
      <c r="JVB29" s="47"/>
      <c r="JVC29" s="47"/>
      <c r="JVD29" s="47"/>
      <c r="JVE29" s="47"/>
      <c r="JVF29" s="47"/>
      <c r="JVG29" s="47"/>
      <c r="JVH29" s="47"/>
      <c r="JVI29" s="47"/>
      <c r="JVJ29" s="47"/>
      <c r="JVK29" s="47"/>
      <c r="JVL29" s="47"/>
      <c r="JVM29" s="47"/>
      <c r="JVN29" s="47"/>
      <c r="JVO29" s="47"/>
      <c r="JVP29" s="47"/>
      <c r="JVQ29" s="47"/>
      <c r="JVR29" s="47"/>
      <c r="JVS29" s="47"/>
      <c r="JVT29" s="47"/>
      <c r="JVU29" s="47"/>
      <c r="JVV29" s="47"/>
      <c r="JVW29" s="47"/>
      <c r="JVX29" s="47"/>
      <c r="JVY29" s="47"/>
      <c r="JVZ29" s="47"/>
      <c r="JWA29" s="47"/>
      <c r="JWB29" s="47"/>
      <c r="JWC29" s="47"/>
      <c r="JWD29" s="47"/>
      <c r="JWE29" s="47"/>
      <c r="JWF29" s="47"/>
      <c r="JWG29" s="47"/>
      <c r="JWH29" s="47"/>
      <c r="JWI29" s="47"/>
      <c r="JWJ29" s="47"/>
      <c r="JWK29" s="47"/>
      <c r="JWL29" s="47"/>
      <c r="JWM29" s="47"/>
      <c r="JWN29" s="47"/>
      <c r="JWO29" s="47"/>
      <c r="JWP29" s="47"/>
      <c r="JWQ29" s="47"/>
      <c r="JWR29" s="47"/>
      <c r="JWS29" s="47"/>
      <c r="JWT29" s="47"/>
      <c r="JWU29" s="47"/>
      <c r="JWV29" s="47"/>
      <c r="JWW29" s="47"/>
      <c r="JWX29" s="47"/>
      <c r="JWY29" s="47"/>
      <c r="JWZ29" s="47"/>
      <c r="JXA29" s="47"/>
      <c r="JXB29" s="47"/>
      <c r="JXC29" s="47"/>
      <c r="JXD29" s="47"/>
      <c r="JXE29" s="47"/>
      <c r="JXF29" s="47"/>
      <c r="JXG29" s="47"/>
      <c r="JXH29" s="47"/>
      <c r="JXI29" s="47"/>
      <c r="JXJ29" s="47"/>
      <c r="JXK29" s="47"/>
      <c r="JXL29" s="47"/>
      <c r="JXM29" s="47"/>
      <c r="JXN29" s="47"/>
      <c r="JXO29" s="47"/>
      <c r="JXP29" s="47"/>
      <c r="JXQ29" s="47"/>
      <c r="JXR29" s="47"/>
      <c r="JXS29" s="47"/>
      <c r="JXT29" s="47"/>
      <c r="JXU29" s="47"/>
      <c r="JXV29" s="47"/>
      <c r="JXW29" s="47"/>
      <c r="JXX29" s="47"/>
      <c r="JXY29" s="47"/>
      <c r="JXZ29" s="47"/>
      <c r="JYA29" s="47"/>
      <c r="JYB29" s="47"/>
      <c r="JYC29" s="47"/>
      <c r="JYD29" s="47"/>
      <c r="JYE29" s="47"/>
      <c r="JYF29" s="47"/>
      <c r="JYG29" s="47"/>
      <c r="JYH29" s="47"/>
      <c r="JYI29" s="47"/>
      <c r="JYJ29" s="47"/>
      <c r="JYK29" s="47"/>
      <c r="JYL29" s="47"/>
      <c r="JYM29" s="47"/>
      <c r="JYN29" s="47"/>
      <c r="JYO29" s="47"/>
      <c r="JYP29" s="47"/>
      <c r="JYQ29" s="47"/>
      <c r="JYR29" s="47"/>
      <c r="JYS29" s="47"/>
      <c r="JYT29" s="47"/>
      <c r="JYU29" s="47"/>
      <c r="JYV29" s="47"/>
      <c r="JYW29" s="47"/>
      <c r="JYX29" s="47"/>
      <c r="JYY29" s="47"/>
      <c r="JYZ29" s="47"/>
      <c r="JZA29" s="47"/>
      <c r="JZB29" s="47"/>
      <c r="JZC29" s="47"/>
      <c r="JZD29" s="47"/>
      <c r="JZE29" s="47"/>
      <c r="JZF29" s="47"/>
      <c r="JZG29" s="47"/>
      <c r="JZH29" s="47"/>
      <c r="JZI29" s="47"/>
      <c r="JZJ29" s="47"/>
      <c r="JZK29" s="47"/>
      <c r="JZL29" s="47"/>
      <c r="JZM29" s="47"/>
      <c r="JZN29" s="47"/>
      <c r="JZO29" s="47"/>
      <c r="JZP29" s="47"/>
      <c r="JZQ29" s="47"/>
      <c r="JZR29" s="47"/>
      <c r="JZS29" s="47"/>
      <c r="JZT29" s="47"/>
      <c r="JZU29" s="47"/>
      <c r="JZV29" s="47"/>
      <c r="JZW29" s="47"/>
      <c r="JZX29" s="47"/>
      <c r="JZY29" s="47"/>
      <c r="JZZ29" s="47"/>
      <c r="KAA29" s="47"/>
      <c r="KAB29" s="47"/>
      <c r="KAC29" s="47"/>
      <c r="KAD29" s="47"/>
      <c r="KAE29" s="47"/>
      <c r="KAF29" s="47"/>
      <c r="KAG29" s="47"/>
      <c r="KAH29" s="47"/>
      <c r="KAI29" s="47"/>
      <c r="KAJ29" s="47"/>
      <c r="KAK29" s="47"/>
      <c r="KAL29" s="47"/>
      <c r="KAM29" s="47"/>
      <c r="KAN29" s="47"/>
      <c r="KAO29" s="47"/>
      <c r="KAP29" s="47"/>
      <c r="KAQ29" s="47"/>
      <c r="KAR29" s="47"/>
      <c r="KAS29" s="47"/>
      <c r="KAT29" s="47"/>
      <c r="KAU29" s="47"/>
      <c r="KAV29" s="47"/>
      <c r="KAW29" s="47"/>
      <c r="KAX29" s="47"/>
      <c r="KAY29" s="47"/>
      <c r="KAZ29" s="47"/>
      <c r="KBA29" s="47"/>
      <c r="KBB29" s="47"/>
      <c r="KBC29" s="47"/>
      <c r="KBD29" s="47"/>
      <c r="KBE29" s="47"/>
      <c r="KBF29" s="47"/>
      <c r="KBG29" s="47"/>
      <c r="KBH29" s="47"/>
      <c r="KBI29" s="47"/>
      <c r="KBJ29" s="47"/>
      <c r="KBK29" s="47"/>
      <c r="KBL29" s="47"/>
      <c r="KBM29" s="47"/>
      <c r="KBN29" s="47"/>
      <c r="KBO29" s="47"/>
      <c r="KBP29" s="47"/>
      <c r="KBQ29" s="47"/>
      <c r="KBR29" s="47"/>
      <c r="KBS29" s="47"/>
      <c r="KBT29" s="47"/>
      <c r="KBU29" s="47"/>
      <c r="KBV29" s="47"/>
      <c r="KBW29" s="47"/>
      <c r="KBX29" s="47"/>
      <c r="KBY29" s="47"/>
      <c r="KBZ29" s="47"/>
      <c r="KCA29" s="47"/>
      <c r="KCB29" s="47"/>
      <c r="KCC29" s="47"/>
      <c r="KCD29" s="47"/>
      <c r="KCE29" s="47"/>
      <c r="KCF29" s="47"/>
      <c r="KCG29" s="47"/>
      <c r="KCH29" s="47"/>
      <c r="KCI29" s="47"/>
      <c r="KCJ29" s="47"/>
      <c r="KCK29" s="47"/>
      <c r="KCL29" s="47"/>
      <c r="KCM29" s="47"/>
      <c r="KCN29" s="47"/>
      <c r="KCO29" s="47"/>
      <c r="KCP29" s="47"/>
      <c r="KCQ29" s="47"/>
      <c r="KCR29" s="47"/>
      <c r="KCS29" s="47"/>
      <c r="KCT29" s="47"/>
      <c r="KCU29" s="47"/>
      <c r="KCV29" s="47"/>
      <c r="KCW29" s="47"/>
      <c r="KCX29" s="47"/>
      <c r="KCY29" s="47"/>
      <c r="KCZ29" s="47"/>
      <c r="KDA29" s="47"/>
      <c r="KDB29" s="47"/>
      <c r="KDC29" s="47"/>
      <c r="KDD29" s="47"/>
      <c r="KDE29" s="47"/>
      <c r="KDF29" s="47"/>
      <c r="KDG29" s="47"/>
      <c r="KDH29" s="47"/>
      <c r="KDI29" s="47"/>
      <c r="KDJ29" s="47"/>
      <c r="KDK29" s="47"/>
      <c r="KDL29" s="47"/>
      <c r="KDM29" s="47"/>
      <c r="KDN29" s="47"/>
      <c r="KDO29" s="47"/>
      <c r="KDP29" s="47"/>
      <c r="KDQ29" s="47"/>
      <c r="KDR29" s="47"/>
      <c r="KDS29" s="47"/>
      <c r="KDT29" s="47"/>
      <c r="KDU29" s="47"/>
      <c r="KDV29" s="47"/>
      <c r="KDW29" s="47"/>
      <c r="KDX29" s="47"/>
      <c r="KDY29" s="47"/>
      <c r="KDZ29" s="47"/>
      <c r="KEA29" s="47"/>
      <c r="KEB29" s="47"/>
      <c r="KEC29" s="47"/>
      <c r="KED29" s="47"/>
      <c r="KEE29" s="47"/>
      <c r="KEF29" s="47"/>
      <c r="KEG29" s="47"/>
      <c r="KEH29" s="47"/>
      <c r="KEI29" s="47"/>
      <c r="KEJ29" s="47"/>
      <c r="KEK29" s="47"/>
      <c r="KEL29" s="47"/>
      <c r="KEM29" s="47"/>
      <c r="KEN29" s="47"/>
      <c r="KEO29" s="47"/>
      <c r="KEP29" s="47"/>
      <c r="KEQ29" s="47"/>
      <c r="KER29" s="47"/>
      <c r="KES29" s="47"/>
      <c r="KET29" s="47"/>
      <c r="KEU29" s="47"/>
      <c r="KEV29" s="47"/>
      <c r="KEW29" s="47"/>
      <c r="KEX29" s="47"/>
      <c r="KEY29" s="47"/>
      <c r="KEZ29" s="47"/>
      <c r="KFA29" s="47"/>
      <c r="KFB29" s="47"/>
      <c r="KFC29" s="47"/>
      <c r="KFD29" s="47"/>
      <c r="KFE29" s="47"/>
      <c r="KFF29" s="47"/>
      <c r="KFG29" s="47"/>
      <c r="KFH29" s="47"/>
      <c r="KFI29" s="47"/>
      <c r="KFJ29" s="47"/>
      <c r="KFK29" s="47"/>
      <c r="KFL29" s="47"/>
      <c r="KFM29" s="47"/>
      <c r="KFN29" s="47"/>
      <c r="KFO29" s="47"/>
      <c r="KFP29" s="47"/>
      <c r="KFQ29" s="47"/>
      <c r="KFR29" s="47"/>
      <c r="KFS29" s="47"/>
      <c r="KFT29" s="47"/>
      <c r="KFU29" s="47"/>
      <c r="KFV29" s="47"/>
      <c r="KFW29" s="47"/>
      <c r="KFX29" s="47"/>
      <c r="KFY29" s="47"/>
      <c r="KFZ29" s="47"/>
      <c r="KGA29" s="47"/>
      <c r="KGB29" s="47"/>
      <c r="KGC29" s="47"/>
      <c r="KGD29" s="47"/>
      <c r="KGE29" s="47"/>
      <c r="KGF29" s="47"/>
      <c r="KGG29" s="47"/>
      <c r="KGH29" s="47"/>
      <c r="KGI29" s="47"/>
      <c r="KGJ29" s="47"/>
      <c r="KGK29" s="47"/>
      <c r="KGL29" s="47"/>
      <c r="KGM29" s="47"/>
      <c r="KGN29" s="47"/>
      <c r="KGO29" s="47"/>
      <c r="KGP29" s="47"/>
      <c r="KGQ29" s="47"/>
      <c r="KGR29" s="47"/>
      <c r="KGS29" s="47"/>
      <c r="KGT29" s="47"/>
      <c r="KGU29" s="47"/>
      <c r="KGV29" s="47"/>
      <c r="KGW29" s="47"/>
      <c r="KGX29" s="47"/>
      <c r="KGY29" s="47"/>
      <c r="KGZ29" s="47"/>
      <c r="KHA29" s="47"/>
      <c r="KHB29" s="47"/>
      <c r="KHC29" s="47"/>
      <c r="KHD29" s="47"/>
      <c r="KHE29" s="47"/>
      <c r="KHF29" s="47"/>
      <c r="KHG29" s="47"/>
      <c r="KHH29" s="47"/>
      <c r="KHI29" s="47"/>
      <c r="KHJ29" s="47"/>
      <c r="KHK29" s="47"/>
      <c r="KHL29" s="47"/>
      <c r="KHM29" s="47"/>
      <c r="KHN29" s="47"/>
      <c r="KHO29" s="47"/>
      <c r="KHP29" s="47"/>
      <c r="KHQ29" s="47"/>
      <c r="KHR29" s="47"/>
      <c r="KHS29" s="47"/>
      <c r="KHT29" s="47"/>
      <c r="KHU29" s="47"/>
      <c r="KHV29" s="47"/>
      <c r="KHW29" s="47"/>
      <c r="KHX29" s="47"/>
      <c r="KHY29" s="47"/>
      <c r="KHZ29" s="47"/>
      <c r="KIA29" s="47"/>
      <c r="KIB29" s="47"/>
      <c r="KIC29" s="47"/>
      <c r="KID29" s="47"/>
      <c r="KIE29" s="47"/>
      <c r="KIF29" s="47"/>
      <c r="KIG29" s="47"/>
      <c r="KIH29" s="47"/>
      <c r="KII29" s="47"/>
      <c r="KIJ29" s="47"/>
      <c r="KIK29" s="47"/>
      <c r="KIL29" s="47"/>
      <c r="KIM29" s="47"/>
      <c r="KIN29" s="47"/>
      <c r="KIO29" s="47"/>
      <c r="KIP29" s="47"/>
      <c r="KIQ29" s="47"/>
      <c r="KIR29" s="47"/>
      <c r="KIS29" s="47"/>
      <c r="KIT29" s="47"/>
      <c r="KIU29" s="47"/>
      <c r="KIV29" s="47"/>
      <c r="KIW29" s="47"/>
      <c r="KIX29" s="47"/>
      <c r="KIY29" s="47"/>
      <c r="KIZ29" s="47"/>
      <c r="KJA29" s="47"/>
      <c r="KJB29" s="47"/>
      <c r="KJC29" s="47"/>
      <c r="KJD29" s="47"/>
      <c r="KJE29" s="47"/>
      <c r="KJF29" s="47"/>
      <c r="KJG29" s="47"/>
      <c r="KJH29" s="47"/>
      <c r="KJI29" s="47"/>
      <c r="KJJ29" s="47"/>
      <c r="KJK29" s="47"/>
      <c r="KJL29" s="47"/>
      <c r="KJM29" s="47"/>
      <c r="KJN29" s="47"/>
      <c r="KJO29" s="47"/>
      <c r="KJP29" s="47"/>
      <c r="KJQ29" s="47"/>
      <c r="KJR29" s="47"/>
      <c r="KJS29" s="47"/>
      <c r="KJT29" s="47"/>
      <c r="KJU29" s="47"/>
      <c r="KJV29" s="47"/>
      <c r="KJW29" s="47"/>
      <c r="KJX29" s="47"/>
      <c r="KJY29" s="47"/>
      <c r="KJZ29" s="47"/>
      <c r="KKA29" s="47"/>
      <c r="KKB29" s="47"/>
      <c r="KKC29" s="47"/>
      <c r="KKD29" s="47"/>
      <c r="KKE29" s="47"/>
      <c r="KKF29" s="47"/>
      <c r="KKG29" s="47"/>
      <c r="KKH29" s="47"/>
      <c r="KKI29" s="47"/>
      <c r="KKJ29" s="47"/>
      <c r="KKK29" s="47"/>
      <c r="KKL29" s="47"/>
      <c r="KKM29" s="47"/>
      <c r="KKN29" s="47"/>
      <c r="KKO29" s="47"/>
      <c r="KKP29" s="47"/>
      <c r="KKQ29" s="47"/>
      <c r="KKR29" s="47"/>
      <c r="KKS29" s="47"/>
      <c r="KKT29" s="47"/>
      <c r="KKU29" s="47"/>
      <c r="KKV29" s="47"/>
      <c r="KKW29" s="47"/>
      <c r="KKX29" s="47"/>
      <c r="KKY29" s="47"/>
      <c r="KKZ29" s="47"/>
      <c r="KLA29" s="47"/>
      <c r="KLB29" s="47"/>
      <c r="KLC29" s="47"/>
      <c r="KLD29" s="47"/>
      <c r="KLE29" s="47"/>
      <c r="KLF29" s="47"/>
      <c r="KLG29" s="47"/>
      <c r="KLH29" s="47"/>
      <c r="KLI29" s="47"/>
      <c r="KLJ29" s="47"/>
      <c r="KLK29" s="47"/>
      <c r="KLL29" s="47"/>
      <c r="KLM29" s="47"/>
      <c r="KLN29" s="47"/>
      <c r="KLO29" s="47"/>
      <c r="KLP29" s="47"/>
      <c r="KLQ29" s="47"/>
      <c r="KLR29" s="47"/>
      <c r="KLS29" s="47"/>
      <c r="KLT29" s="47"/>
      <c r="KLU29" s="47"/>
      <c r="KLV29" s="47"/>
      <c r="KLW29" s="47"/>
      <c r="KLX29" s="47"/>
      <c r="KLY29" s="47"/>
      <c r="KLZ29" s="47"/>
      <c r="KMA29" s="47"/>
      <c r="KMB29" s="47"/>
      <c r="KMC29" s="47"/>
      <c r="KMD29" s="47"/>
      <c r="KME29" s="47"/>
      <c r="KMF29" s="47"/>
      <c r="KMG29" s="47"/>
      <c r="KMH29" s="47"/>
      <c r="KMI29" s="47"/>
      <c r="KMJ29" s="47"/>
      <c r="KMK29" s="47"/>
      <c r="KML29" s="47"/>
      <c r="KMM29" s="47"/>
      <c r="KMN29" s="47"/>
      <c r="KMO29" s="47"/>
      <c r="KMP29" s="47"/>
      <c r="KMQ29" s="47"/>
      <c r="KMR29" s="47"/>
      <c r="KMS29" s="47"/>
      <c r="KMT29" s="47"/>
      <c r="KMU29" s="47"/>
      <c r="KMV29" s="47"/>
      <c r="KMW29" s="47"/>
      <c r="KMX29" s="47"/>
      <c r="KMY29" s="47"/>
      <c r="KMZ29" s="47"/>
      <c r="KNA29" s="47"/>
      <c r="KNB29" s="47"/>
      <c r="KNC29" s="47"/>
      <c r="KND29" s="47"/>
      <c r="KNE29" s="47"/>
      <c r="KNF29" s="47"/>
      <c r="KNG29" s="47"/>
      <c r="KNH29" s="47"/>
      <c r="KNI29" s="47"/>
      <c r="KNJ29" s="47"/>
      <c r="KNK29" s="47"/>
      <c r="KNL29" s="47"/>
      <c r="KNM29" s="47"/>
      <c r="KNN29" s="47"/>
      <c r="KNO29" s="47"/>
      <c r="KNP29" s="47"/>
      <c r="KNQ29" s="47"/>
      <c r="KNR29" s="47"/>
      <c r="KNS29" s="47"/>
      <c r="KNT29" s="47"/>
      <c r="KNU29" s="47"/>
      <c r="KNV29" s="47"/>
      <c r="KNW29" s="47"/>
      <c r="KNX29" s="47"/>
      <c r="KNY29" s="47"/>
      <c r="KNZ29" s="47"/>
      <c r="KOA29" s="47"/>
      <c r="KOB29" s="47"/>
      <c r="KOC29" s="47"/>
      <c r="KOD29" s="47"/>
      <c r="KOE29" s="47"/>
      <c r="KOF29" s="47"/>
      <c r="KOG29" s="47"/>
      <c r="KOH29" s="47"/>
      <c r="KOI29" s="47"/>
      <c r="KOJ29" s="47"/>
      <c r="KOK29" s="47"/>
      <c r="KOL29" s="47"/>
      <c r="KOM29" s="47"/>
      <c r="KON29" s="47"/>
      <c r="KOO29" s="47"/>
      <c r="KOP29" s="47"/>
      <c r="KOQ29" s="47"/>
      <c r="KOR29" s="47"/>
      <c r="KOS29" s="47"/>
      <c r="KOT29" s="47"/>
      <c r="KOU29" s="47"/>
      <c r="KOV29" s="47"/>
      <c r="KOW29" s="47"/>
      <c r="KOX29" s="47"/>
      <c r="KOY29" s="47"/>
      <c r="KOZ29" s="47"/>
      <c r="KPA29" s="47"/>
      <c r="KPB29" s="47"/>
      <c r="KPC29" s="47"/>
      <c r="KPD29" s="47"/>
      <c r="KPE29" s="47"/>
      <c r="KPF29" s="47"/>
      <c r="KPG29" s="47"/>
      <c r="KPH29" s="47"/>
      <c r="KPI29" s="47"/>
      <c r="KPJ29" s="47"/>
      <c r="KPK29" s="47"/>
      <c r="KPL29" s="47"/>
      <c r="KPM29" s="47"/>
      <c r="KPN29" s="47"/>
      <c r="KPO29" s="47"/>
      <c r="KPP29" s="47"/>
      <c r="KPQ29" s="47"/>
      <c r="KPR29" s="47"/>
      <c r="KPS29" s="47"/>
      <c r="KPT29" s="47"/>
      <c r="KPU29" s="47"/>
      <c r="KPV29" s="47"/>
      <c r="KPW29" s="47"/>
      <c r="KPX29" s="47"/>
      <c r="KPY29" s="47"/>
      <c r="KPZ29" s="47"/>
      <c r="KQA29" s="47"/>
      <c r="KQB29" s="47"/>
      <c r="KQC29" s="47"/>
      <c r="KQD29" s="47"/>
      <c r="KQE29" s="47"/>
      <c r="KQF29" s="47"/>
      <c r="KQG29" s="47"/>
      <c r="KQH29" s="47"/>
      <c r="KQI29" s="47"/>
      <c r="KQJ29" s="47"/>
      <c r="KQK29" s="47"/>
      <c r="KQL29" s="47"/>
      <c r="KQM29" s="47"/>
      <c r="KQN29" s="47"/>
      <c r="KQO29" s="47"/>
      <c r="KQP29" s="47"/>
      <c r="KQQ29" s="47"/>
      <c r="KQR29" s="47"/>
      <c r="KQS29" s="47"/>
      <c r="KQT29" s="47"/>
      <c r="KQU29" s="47"/>
      <c r="KQV29" s="47"/>
      <c r="KQW29" s="47"/>
      <c r="KQX29" s="47"/>
      <c r="KQY29" s="47"/>
      <c r="KQZ29" s="47"/>
      <c r="KRA29" s="47"/>
      <c r="KRB29" s="47"/>
      <c r="KRC29" s="47"/>
      <c r="KRD29" s="47"/>
      <c r="KRE29" s="47"/>
      <c r="KRF29" s="47"/>
      <c r="KRG29" s="47"/>
      <c r="KRH29" s="47"/>
      <c r="KRI29" s="47"/>
      <c r="KRJ29" s="47"/>
      <c r="KRK29" s="47"/>
      <c r="KRL29" s="47"/>
      <c r="KRM29" s="47"/>
      <c r="KRN29" s="47"/>
      <c r="KRO29" s="47"/>
      <c r="KRP29" s="47"/>
      <c r="KRQ29" s="47"/>
      <c r="KRR29" s="47"/>
      <c r="KRS29" s="47"/>
      <c r="KRT29" s="47"/>
      <c r="KRU29" s="47"/>
      <c r="KRV29" s="47"/>
      <c r="KRW29" s="47"/>
      <c r="KRX29" s="47"/>
      <c r="KRY29" s="47"/>
      <c r="KRZ29" s="47"/>
      <c r="KSA29" s="47"/>
      <c r="KSB29" s="47"/>
      <c r="KSC29" s="47"/>
      <c r="KSD29" s="47"/>
      <c r="KSE29" s="47"/>
      <c r="KSF29" s="47"/>
      <c r="KSG29" s="47"/>
      <c r="KSH29" s="47"/>
      <c r="KSI29" s="47"/>
      <c r="KSJ29" s="47"/>
      <c r="KSK29" s="47"/>
      <c r="KSL29" s="47"/>
      <c r="KSM29" s="47"/>
      <c r="KSN29" s="47"/>
      <c r="KSO29" s="47"/>
      <c r="KSP29" s="47"/>
      <c r="KSQ29" s="47"/>
      <c r="KSR29" s="47"/>
      <c r="KSS29" s="47"/>
      <c r="KST29" s="47"/>
      <c r="KSU29" s="47"/>
      <c r="KSV29" s="47"/>
      <c r="KSW29" s="47"/>
      <c r="KSX29" s="47"/>
      <c r="KSY29" s="47"/>
      <c r="KSZ29" s="47"/>
      <c r="KTA29" s="47"/>
      <c r="KTB29" s="47"/>
      <c r="KTC29" s="47"/>
      <c r="KTD29" s="47"/>
      <c r="KTE29" s="47"/>
      <c r="KTF29" s="47"/>
      <c r="KTG29" s="47"/>
      <c r="KTH29" s="47"/>
      <c r="KTI29" s="47"/>
      <c r="KTJ29" s="47"/>
      <c r="KTK29" s="47"/>
      <c r="KTL29" s="47"/>
      <c r="KTM29" s="47"/>
      <c r="KTN29" s="47"/>
      <c r="KTO29" s="47"/>
      <c r="KTP29" s="47"/>
      <c r="KTQ29" s="47"/>
      <c r="KTR29" s="47"/>
      <c r="KTS29" s="47"/>
      <c r="KTT29" s="47"/>
      <c r="KTU29" s="47"/>
      <c r="KTV29" s="47"/>
      <c r="KTW29" s="47"/>
      <c r="KTX29" s="47"/>
      <c r="KTY29" s="47"/>
      <c r="KTZ29" s="47"/>
      <c r="KUA29" s="47"/>
      <c r="KUB29" s="47"/>
      <c r="KUC29" s="47"/>
      <c r="KUD29" s="47"/>
      <c r="KUE29" s="47"/>
      <c r="KUF29" s="47"/>
      <c r="KUG29" s="47"/>
      <c r="KUH29" s="47"/>
      <c r="KUI29" s="47"/>
      <c r="KUJ29" s="47"/>
      <c r="KUK29" s="47"/>
      <c r="KUL29" s="47"/>
      <c r="KUM29" s="47"/>
      <c r="KUN29" s="47"/>
      <c r="KUO29" s="47"/>
      <c r="KUP29" s="47"/>
      <c r="KUQ29" s="47"/>
      <c r="KUR29" s="47"/>
      <c r="KUS29" s="47"/>
      <c r="KUT29" s="47"/>
      <c r="KUU29" s="47"/>
      <c r="KUV29" s="47"/>
      <c r="KUW29" s="47"/>
      <c r="KUX29" s="47"/>
      <c r="KUY29" s="47"/>
      <c r="KUZ29" s="47"/>
      <c r="KVA29" s="47"/>
      <c r="KVB29" s="47"/>
      <c r="KVC29" s="47"/>
      <c r="KVD29" s="47"/>
      <c r="KVE29" s="47"/>
      <c r="KVF29" s="47"/>
      <c r="KVG29" s="47"/>
      <c r="KVH29" s="47"/>
      <c r="KVI29" s="47"/>
      <c r="KVJ29" s="47"/>
      <c r="KVK29" s="47"/>
      <c r="KVL29" s="47"/>
      <c r="KVM29" s="47"/>
      <c r="KVN29" s="47"/>
      <c r="KVO29" s="47"/>
      <c r="KVP29" s="47"/>
      <c r="KVQ29" s="47"/>
      <c r="KVR29" s="47"/>
      <c r="KVS29" s="47"/>
      <c r="KVT29" s="47"/>
      <c r="KVU29" s="47"/>
      <c r="KVV29" s="47"/>
      <c r="KVW29" s="47"/>
      <c r="KVX29" s="47"/>
      <c r="KVY29" s="47"/>
      <c r="KVZ29" s="47"/>
      <c r="KWA29" s="47"/>
      <c r="KWB29" s="47"/>
      <c r="KWC29" s="47"/>
      <c r="KWD29" s="47"/>
      <c r="KWE29" s="47"/>
      <c r="KWF29" s="47"/>
      <c r="KWG29" s="47"/>
      <c r="KWH29" s="47"/>
      <c r="KWI29" s="47"/>
      <c r="KWJ29" s="47"/>
      <c r="KWK29" s="47"/>
      <c r="KWL29" s="47"/>
      <c r="KWM29" s="47"/>
      <c r="KWN29" s="47"/>
      <c r="KWO29" s="47"/>
      <c r="KWP29" s="47"/>
      <c r="KWQ29" s="47"/>
      <c r="KWR29" s="47"/>
      <c r="KWS29" s="47"/>
      <c r="KWT29" s="47"/>
      <c r="KWU29" s="47"/>
      <c r="KWV29" s="47"/>
      <c r="KWW29" s="47"/>
      <c r="KWX29" s="47"/>
      <c r="KWY29" s="47"/>
      <c r="KWZ29" s="47"/>
      <c r="KXA29" s="47"/>
      <c r="KXB29" s="47"/>
      <c r="KXC29" s="47"/>
      <c r="KXD29" s="47"/>
      <c r="KXE29" s="47"/>
      <c r="KXF29" s="47"/>
      <c r="KXG29" s="47"/>
      <c r="KXH29" s="47"/>
      <c r="KXI29" s="47"/>
      <c r="KXJ29" s="47"/>
      <c r="KXK29" s="47"/>
      <c r="KXL29" s="47"/>
      <c r="KXM29" s="47"/>
      <c r="KXN29" s="47"/>
      <c r="KXO29" s="47"/>
      <c r="KXP29" s="47"/>
      <c r="KXQ29" s="47"/>
      <c r="KXR29" s="47"/>
      <c r="KXS29" s="47"/>
      <c r="KXT29" s="47"/>
      <c r="KXU29" s="47"/>
      <c r="KXV29" s="47"/>
      <c r="KXW29" s="47"/>
      <c r="KXX29" s="47"/>
      <c r="KXY29" s="47"/>
      <c r="KXZ29" s="47"/>
      <c r="KYA29" s="47"/>
      <c r="KYB29" s="47"/>
      <c r="KYC29" s="47"/>
      <c r="KYD29" s="47"/>
      <c r="KYE29" s="47"/>
      <c r="KYF29" s="47"/>
      <c r="KYG29" s="47"/>
      <c r="KYH29" s="47"/>
      <c r="KYI29" s="47"/>
      <c r="KYJ29" s="47"/>
      <c r="KYK29" s="47"/>
      <c r="KYL29" s="47"/>
      <c r="KYM29" s="47"/>
      <c r="KYN29" s="47"/>
      <c r="KYO29" s="47"/>
      <c r="KYP29" s="47"/>
      <c r="KYQ29" s="47"/>
      <c r="KYR29" s="47"/>
      <c r="KYS29" s="47"/>
      <c r="KYT29" s="47"/>
      <c r="KYU29" s="47"/>
      <c r="KYV29" s="47"/>
      <c r="KYW29" s="47"/>
      <c r="KYX29" s="47"/>
      <c r="KYY29" s="47"/>
      <c r="KYZ29" s="47"/>
      <c r="KZA29" s="47"/>
      <c r="KZB29" s="47"/>
      <c r="KZC29" s="47"/>
      <c r="KZD29" s="47"/>
      <c r="KZE29" s="47"/>
      <c r="KZF29" s="47"/>
      <c r="KZG29" s="47"/>
      <c r="KZH29" s="47"/>
      <c r="KZI29" s="47"/>
      <c r="KZJ29" s="47"/>
      <c r="KZK29" s="47"/>
      <c r="KZL29" s="47"/>
      <c r="KZM29" s="47"/>
      <c r="KZN29" s="47"/>
      <c r="KZO29" s="47"/>
      <c r="KZP29" s="47"/>
      <c r="KZQ29" s="47"/>
      <c r="KZR29" s="47"/>
      <c r="KZS29" s="47"/>
      <c r="KZT29" s="47"/>
      <c r="KZU29" s="47"/>
      <c r="KZV29" s="47"/>
      <c r="KZW29" s="47"/>
      <c r="KZX29" s="47"/>
      <c r="KZY29" s="47"/>
      <c r="KZZ29" s="47"/>
      <c r="LAA29" s="47"/>
      <c r="LAB29" s="47"/>
      <c r="LAC29" s="47"/>
      <c r="LAD29" s="47"/>
      <c r="LAE29" s="47"/>
      <c r="LAF29" s="47"/>
      <c r="LAG29" s="47"/>
      <c r="LAH29" s="47"/>
      <c r="LAI29" s="47"/>
      <c r="LAJ29" s="47"/>
      <c r="LAK29" s="47"/>
      <c r="LAL29" s="47"/>
      <c r="LAM29" s="47"/>
      <c r="LAN29" s="47"/>
      <c r="LAO29" s="47"/>
      <c r="LAP29" s="47"/>
      <c r="LAQ29" s="47"/>
      <c r="LAR29" s="47"/>
      <c r="LAS29" s="47"/>
      <c r="LAT29" s="47"/>
      <c r="LAU29" s="47"/>
      <c r="LAV29" s="47"/>
      <c r="LAW29" s="47"/>
      <c r="LAX29" s="47"/>
      <c r="LAY29" s="47"/>
      <c r="LAZ29" s="47"/>
      <c r="LBA29" s="47"/>
      <c r="LBB29" s="47"/>
      <c r="LBC29" s="47"/>
      <c r="LBD29" s="47"/>
      <c r="LBE29" s="47"/>
      <c r="LBF29" s="47"/>
      <c r="LBG29" s="47"/>
      <c r="LBH29" s="47"/>
      <c r="LBI29" s="47"/>
      <c r="LBJ29" s="47"/>
      <c r="LBK29" s="47"/>
      <c r="LBL29" s="47"/>
      <c r="LBM29" s="47"/>
      <c r="LBN29" s="47"/>
      <c r="LBO29" s="47"/>
      <c r="LBP29" s="47"/>
      <c r="LBQ29" s="47"/>
      <c r="LBR29" s="47"/>
      <c r="LBS29" s="47"/>
      <c r="LBT29" s="47"/>
      <c r="LBU29" s="47"/>
      <c r="LBV29" s="47"/>
      <c r="LBW29" s="47"/>
      <c r="LBX29" s="47"/>
      <c r="LBY29" s="47"/>
      <c r="LBZ29" s="47"/>
      <c r="LCA29" s="47"/>
      <c r="LCB29" s="47"/>
      <c r="LCC29" s="47"/>
      <c r="LCD29" s="47"/>
      <c r="LCE29" s="47"/>
      <c r="LCF29" s="47"/>
      <c r="LCG29" s="47"/>
      <c r="LCH29" s="47"/>
      <c r="LCI29" s="47"/>
      <c r="LCJ29" s="47"/>
      <c r="LCK29" s="47"/>
      <c r="LCL29" s="47"/>
      <c r="LCM29" s="47"/>
      <c r="LCN29" s="47"/>
      <c r="LCO29" s="47"/>
      <c r="LCP29" s="47"/>
      <c r="LCQ29" s="47"/>
      <c r="LCR29" s="47"/>
      <c r="LCS29" s="47"/>
      <c r="LCT29" s="47"/>
      <c r="LCU29" s="47"/>
      <c r="LCV29" s="47"/>
      <c r="LCW29" s="47"/>
      <c r="LCX29" s="47"/>
      <c r="LCY29" s="47"/>
      <c r="LCZ29" s="47"/>
      <c r="LDA29" s="47"/>
      <c r="LDB29" s="47"/>
      <c r="LDC29" s="47"/>
      <c r="LDD29" s="47"/>
      <c r="LDE29" s="47"/>
      <c r="LDF29" s="47"/>
      <c r="LDG29" s="47"/>
      <c r="LDH29" s="47"/>
      <c r="LDI29" s="47"/>
      <c r="LDJ29" s="47"/>
      <c r="LDK29" s="47"/>
      <c r="LDL29" s="47"/>
      <c r="LDM29" s="47"/>
      <c r="LDN29" s="47"/>
      <c r="LDO29" s="47"/>
      <c r="LDP29" s="47"/>
      <c r="LDQ29" s="47"/>
      <c r="LDR29" s="47"/>
      <c r="LDS29" s="47"/>
      <c r="LDT29" s="47"/>
      <c r="LDU29" s="47"/>
      <c r="LDV29" s="47"/>
      <c r="LDW29" s="47"/>
      <c r="LDX29" s="47"/>
      <c r="LDY29" s="47"/>
      <c r="LDZ29" s="47"/>
      <c r="LEA29" s="47"/>
      <c r="LEB29" s="47"/>
      <c r="LEC29" s="47"/>
      <c r="LED29" s="47"/>
      <c r="LEE29" s="47"/>
      <c r="LEF29" s="47"/>
      <c r="LEG29" s="47"/>
      <c r="LEH29" s="47"/>
      <c r="LEI29" s="47"/>
      <c r="LEJ29" s="47"/>
      <c r="LEK29" s="47"/>
      <c r="LEL29" s="47"/>
      <c r="LEM29" s="47"/>
      <c r="LEN29" s="47"/>
      <c r="LEO29" s="47"/>
      <c r="LEP29" s="47"/>
      <c r="LEQ29" s="47"/>
      <c r="LER29" s="47"/>
      <c r="LES29" s="47"/>
      <c r="LET29" s="47"/>
      <c r="LEU29" s="47"/>
      <c r="LEV29" s="47"/>
      <c r="LEW29" s="47"/>
      <c r="LEX29" s="47"/>
      <c r="LEY29" s="47"/>
      <c r="LEZ29" s="47"/>
      <c r="LFA29" s="47"/>
      <c r="LFB29" s="47"/>
      <c r="LFC29" s="47"/>
      <c r="LFD29" s="47"/>
      <c r="LFE29" s="47"/>
      <c r="LFF29" s="47"/>
      <c r="LFG29" s="47"/>
      <c r="LFH29" s="47"/>
      <c r="LFI29" s="47"/>
      <c r="LFJ29" s="47"/>
      <c r="LFK29" s="47"/>
      <c r="LFL29" s="47"/>
      <c r="LFM29" s="47"/>
      <c r="LFN29" s="47"/>
      <c r="LFO29" s="47"/>
      <c r="LFP29" s="47"/>
      <c r="LFQ29" s="47"/>
      <c r="LFR29" s="47"/>
      <c r="LFS29" s="47"/>
      <c r="LFT29" s="47"/>
      <c r="LFU29" s="47"/>
      <c r="LFV29" s="47"/>
      <c r="LFW29" s="47"/>
      <c r="LFX29" s="47"/>
      <c r="LFY29" s="47"/>
      <c r="LFZ29" s="47"/>
      <c r="LGA29" s="47"/>
      <c r="LGB29" s="47"/>
      <c r="LGC29" s="47"/>
      <c r="LGD29" s="47"/>
      <c r="LGE29" s="47"/>
      <c r="LGF29" s="47"/>
      <c r="LGG29" s="47"/>
      <c r="LGH29" s="47"/>
      <c r="LGI29" s="47"/>
      <c r="LGJ29" s="47"/>
      <c r="LGK29" s="47"/>
      <c r="LGL29" s="47"/>
      <c r="LGM29" s="47"/>
      <c r="LGN29" s="47"/>
      <c r="LGO29" s="47"/>
      <c r="LGP29" s="47"/>
      <c r="LGQ29" s="47"/>
      <c r="LGR29" s="47"/>
      <c r="LGS29" s="47"/>
      <c r="LGT29" s="47"/>
      <c r="LGU29" s="47"/>
      <c r="LGV29" s="47"/>
      <c r="LGW29" s="47"/>
      <c r="LGX29" s="47"/>
      <c r="LGY29" s="47"/>
      <c r="LGZ29" s="47"/>
      <c r="LHA29" s="47"/>
      <c r="LHB29" s="47"/>
      <c r="LHC29" s="47"/>
      <c r="LHD29" s="47"/>
      <c r="LHE29" s="47"/>
      <c r="LHF29" s="47"/>
      <c r="LHG29" s="47"/>
      <c r="LHH29" s="47"/>
      <c r="LHI29" s="47"/>
      <c r="LHJ29" s="47"/>
      <c r="LHK29" s="47"/>
      <c r="LHL29" s="47"/>
      <c r="LHM29" s="47"/>
      <c r="LHN29" s="47"/>
      <c r="LHO29" s="47"/>
      <c r="LHP29" s="47"/>
      <c r="LHQ29" s="47"/>
      <c r="LHR29" s="47"/>
      <c r="LHS29" s="47"/>
      <c r="LHT29" s="47"/>
      <c r="LHU29" s="47"/>
      <c r="LHV29" s="47"/>
      <c r="LHW29" s="47"/>
      <c r="LHX29" s="47"/>
      <c r="LHY29" s="47"/>
      <c r="LHZ29" s="47"/>
      <c r="LIA29" s="47"/>
      <c r="LIB29" s="47"/>
      <c r="LIC29" s="47"/>
      <c r="LID29" s="47"/>
      <c r="LIE29" s="47"/>
      <c r="LIF29" s="47"/>
      <c r="LIG29" s="47"/>
      <c r="LIH29" s="47"/>
      <c r="LII29" s="47"/>
      <c r="LIJ29" s="47"/>
      <c r="LIK29" s="47"/>
      <c r="LIL29" s="47"/>
      <c r="LIM29" s="47"/>
      <c r="LIN29" s="47"/>
      <c r="LIO29" s="47"/>
      <c r="LIP29" s="47"/>
      <c r="LIQ29" s="47"/>
      <c r="LIR29" s="47"/>
      <c r="LIS29" s="47"/>
      <c r="LIT29" s="47"/>
      <c r="LIU29" s="47"/>
      <c r="LIV29" s="47"/>
      <c r="LIW29" s="47"/>
      <c r="LIX29" s="47"/>
      <c r="LIY29" s="47"/>
      <c r="LIZ29" s="47"/>
      <c r="LJA29" s="47"/>
      <c r="LJB29" s="47"/>
      <c r="LJC29" s="47"/>
      <c r="LJD29" s="47"/>
      <c r="LJE29" s="47"/>
      <c r="LJF29" s="47"/>
      <c r="LJG29" s="47"/>
      <c r="LJH29" s="47"/>
      <c r="LJI29" s="47"/>
      <c r="LJJ29" s="47"/>
      <c r="LJK29" s="47"/>
      <c r="LJL29" s="47"/>
      <c r="LJM29" s="47"/>
      <c r="LJN29" s="47"/>
      <c r="LJO29" s="47"/>
      <c r="LJP29" s="47"/>
      <c r="LJQ29" s="47"/>
      <c r="LJR29" s="47"/>
      <c r="LJS29" s="47"/>
      <c r="LJT29" s="47"/>
      <c r="LJU29" s="47"/>
      <c r="LJV29" s="47"/>
      <c r="LJW29" s="47"/>
      <c r="LJX29" s="47"/>
      <c r="LJY29" s="47"/>
      <c r="LJZ29" s="47"/>
      <c r="LKA29" s="47"/>
      <c r="LKB29" s="47"/>
      <c r="LKC29" s="47"/>
      <c r="LKD29" s="47"/>
      <c r="LKE29" s="47"/>
      <c r="LKF29" s="47"/>
      <c r="LKG29" s="47"/>
      <c r="LKH29" s="47"/>
      <c r="LKI29" s="47"/>
      <c r="LKJ29" s="47"/>
      <c r="LKK29" s="47"/>
      <c r="LKL29" s="47"/>
      <c r="LKM29" s="47"/>
      <c r="LKN29" s="47"/>
      <c r="LKO29" s="47"/>
      <c r="LKP29" s="47"/>
      <c r="LKQ29" s="47"/>
      <c r="LKR29" s="47"/>
      <c r="LKS29" s="47"/>
      <c r="LKT29" s="47"/>
      <c r="LKU29" s="47"/>
      <c r="LKV29" s="47"/>
      <c r="LKW29" s="47"/>
      <c r="LKX29" s="47"/>
      <c r="LKY29" s="47"/>
      <c r="LKZ29" s="47"/>
      <c r="LLA29" s="47"/>
      <c r="LLB29" s="47"/>
      <c r="LLC29" s="47"/>
      <c r="LLD29" s="47"/>
      <c r="LLE29" s="47"/>
      <c r="LLF29" s="47"/>
      <c r="LLG29" s="47"/>
      <c r="LLH29" s="47"/>
      <c r="LLI29" s="47"/>
      <c r="LLJ29" s="47"/>
      <c r="LLK29" s="47"/>
      <c r="LLL29" s="47"/>
      <c r="LLM29" s="47"/>
      <c r="LLN29" s="47"/>
      <c r="LLO29" s="47"/>
      <c r="LLP29" s="47"/>
      <c r="LLQ29" s="47"/>
      <c r="LLR29" s="47"/>
      <c r="LLS29" s="47"/>
      <c r="LLT29" s="47"/>
      <c r="LLU29" s="47"/>
      <c r="LLV29" s="47"/>
      <c r="LLW29" s="47"/>
      <c r="LLX29" s="47"/>
      <c r="LLY29" s="47"/>
      <c r="LLZ29" s="47"/>
      <c r="LMA29" s="47"/>
      <c r="LMB29" s="47"/>
      <c r="LMC29" s="47"/>
      <c r="LMD29" s="47"/>
      <c r="LME29" s="47"/>
      <c r="LMF29" s="47"/>
      <c r="LMG29" s="47"/>
      <c r="LMH29" s="47"/>
      <c r="LMI29" s="47"/>
      <c r="LMJ29" s="47"/>
      <c r="LMK29" s="47"/>
      <c r="LML29" s="47"/>
      <c r="LMM29" s="47"/>
      <c r="LMN29" s="47"/>
      <c r="LMO29" s="47"/>
      <c r="LMP29" s="47"/>
      <c r="LMQ29" s="47"/>
      <c r="LMR29" s="47"/>
      <c r="LMS29" s="47"/>
      <c r="LMT29" s="47"/>
      <c r="LMU29" s="47"/>
      <c r="LMV29" s="47"/>
      <c r="LMW29" s="47"/>
      <c r="LMX29" s="47"/>
      <c r="LMY29" s="47"/>
      <c r="LMZ29" s="47"/>
      <c r="LNA29" s="47"/>
      <c r="LNB29" s="47"/>
      <c r="LNC29" s="47"/>
      <c r="LND29" s="47"/>
      <c r="LNE29" s="47"/>
      <c r="LNF29" s="47"/>
      <c r="LNG29" s="47"/>
      <c r="LNH29" s="47"/>
      <c r="LNI29" s="47"/>
      <c r="LNJ29" s="47"/>
      <c r="LNK29" s="47"/>
      <c r="LNL29" s="47"/>
      <c r="LNM29" s="47"/>
      <c r="LNN29" s="47"/>
      <c r="LNO29" s="47"/>
      <c r="LNP29" s="47"/>
      <c r="LNQ29" s="47"/>
      <c r="LNR29" s="47"/>
      <c r="LNS29" s="47"/>
      <c r="LNT29" s="47"/>
      <c r="LNU29" s="47"/>
      <c r="LNV29" s="47"/>
      <c r="LNW29" s="47"/>
      <c r="LNX29" s="47"/>
      <c r="LNY29" s="47"/>
      <c r="LNZ29" s="47"/>
      <c r="LOA29" s="47"/>
      <c r="LOB29" s="47"/>
      <c r="LOC29" s="47"/>
      <c r="LOD29" s="47"/>
      <c r="LOE29" s="47"/>
      <c r="LOF29" s="47"/>
      <c r="LOG29" s="47"/>
      <c r="LOH29" s="47"/>
      <c r="LOI29" s="47"/>
      <c r="LOJ29" s="47"/>
      <c r="LOK29" s="47"/>
      <c r="LOL29" s="47"/>
      <c r="LOM29" s="47"/>
      <c r="LON29" s="47"/>
      <c r="LOO29" s="47"/>
      <c r="LOP29" s="47"/>
      <c r="LOQ29" s="47"/>
      <c r="LOR29" s="47"/>
      <c r="LOS29" s="47"/>
      <c r="LOT29" s="47"/>
      <c r="LOU29" s="47"/>
      <c r="LOV29" s="47"/>
      <c r="LOW29" s="47"/>
      <c r="LOX29" s="47"/>
      <c r="LOY29" s="47"/>
      <c r="LOZ29" s="47"/>
      <c r="LPA29" s="47"/>
      <c r="LPB29" s="47"/>
      <c r="LPC29" s="47"/>
      <c r="LPD29" s="47"/>
      <c r="LPE29" s="47"/>
      <c r="LPF29" s="47"/>
      <c r="LPG29" s="47"/>
      <c r="LPH29" s="47"/>
      <c r="LPI29" s="47"/>
      <c r="LPJ29" s="47"/>
      <c r="LPK29" s="47"/>
      <c r="LPL29" s="47"/>
      <c r="LPM29" s="47"/>
      <c r="LPN29" s="47"/>
      <c r="LPO29" s="47"/>
      <c r="LPP29" s="47"/>
      <c r="LPQ29" s="47"/>
      <c r="LPR29" s="47"/>
      <c r="LPS29" s="47"/>
      <c r="LPT29" s="47"/>
      <c r="LPU29" s="47"/>
      <c r="LPV29" s="47"/>
      <c r="LPW29" s="47"/>
      <c r="LPX29" s="47"/>
      <c r="LPY29" s="47"/>
      <c r="LPZ29" s="47"/>
      <c r="LQA29" s="47"/>
      <c r="LQB29" s="47"/>
      <c r="LQC29" s="47"/>
      <c r="LQD29" s="47"/>
      <c r="LQE29" s="47"/>
      <c r="LQF29" s="47"/>
      <c r="LQG29" s="47"/>
      <c r="LQH29" s="47"/>
      <c r="LQI29" s="47"/>
      <c r="LQJ29" s="47"/>
      <c r="LQK29" s="47"/>
      <c r="LQL29" s="47"/>
      <c r="LQM29" s="47"/>
      <c r="LQN29" s="47"/>
      <c r="LQO29" s="47"/>
      <c r="LQP29" s="47"/>
      <c r="LQQ29" s="47"/>
      <c r="LQR29" s="47"/>
      <c r="LQS29" s="47"/>
      <c r="LQT29" s="47"/>
      <c r="LQU29" s="47"/>
      <c r="LQV29" s="47"/>
      <c r="LQW29" s="47"/>
      <c r="LQX29" s="47"/>
      <c r="LQY29" s="47"/>
      <c r="LQZ29" s="47"/>
      <c r="LRA29" s="47"/>
      <c r="LRB29" s="47"/>
      <c r="LRC29" s="47"/>
      <c r="LRD29" s="47"/>
      <c r="LRE29" s="47"/>
      <c r="LRF29" s="47"/>
      <c r="LRG29" s="47"/>
      <c r="LRH29" s="47"/>
      <c r="LRI29" s="47"/>
      <c r="LRJ29" s="47"/>
      <c r="LRK29" s="47"/>
      <c r="LRL29" s="47"/>
      <c r="LRM29" s="47"/>
      <c r="LRN29" s="47"/>
      <c r="LRO29" s="47"/>
      <c r="LRP29" s="47"/>
      <c r="LRQ29" s="47"/>
      <c r="LRR29" s="47"/>
      <c r="LRS29" s="47"/>
      <c r="LRT29" s="47"/>
      <c r="LRU29" s="47"/>
      <c r="LRV29" s="47"/>
      <c r="LRW29" s="47"/>
      <c r="LRX29" s="47"/>
      <c r="LRY29" s="47"/>
      <c r="LRZ29" s="47"/>
      <c r="LSA29" s="47"/>
      <c r="LSB29" s="47"/>
      <c r="LSC29" s="47"/>
      <c r="LSD29" s="47"/>
      <c r="LSE29" s="47"/>
      <c r="LSF29" s="47"/>
      <c r="LSG29" s="47"/>
      <c r="LSH29" s="47"/>
      <c r="LSI29" s="47"/>
      <c r="LSJ29" s="47"/>
      <c r="LSK29" s="47"/>
      <c r="LSL29" s="47"/>
      <c r="LSM29" s="47"/>
      <c r="LSN29" s="47"/>
      <c r="LSO29" s="47"/>
      <c r="LSP29" s="47"/>
      <c r="LSQ29" s="47"/>
      <c r="LSR29" s="47"/>
      <c r="LSS29" s="47"/>
      <c r="LST29" s="47"/>
      <c r="LSU29" s="47"/>
      <c r="LSV29" s="47"/>
      <c r="LSW29" s="47"/>
      <c r="LSX29" s="47"/>
      <c r="LSY29" s="47"/>
      <c r="LSZ29" s="47"/>
      <c r="LTA29" s="47"/>
      <c r="LTB29" s="47"/>
      <c r="LTC29" s="47"/>
      <c r="LTD29" s="47"/>
      <c r="LTE29" s="47"/>
      <c r="LTF29" s="47"/>
      <c r="LTG29" s="47"/>
      <c r="LTH29" s="47"/>
      <c r="LTI29" s="47"/>
      <c r="LTJ29" s="47"/>
      <c r="LTK29" s="47"/>
      <c r="LTL29" s="47"/>
      <c r="LTM29" s="47"/>
      <c r="LTN29" s="47"/>
      <c r="LTO29" s="47"/>
      <c r="LTP29" s="47"/>
      <c r="LTQ29" s="47"/>
      <c r="LTR29" s="47"/>
      <c r="LTS29" s="47"/>
      <c r="LTT29" s="47"/>
      <c r="LTU29" s="47"/>
      <c r="LTV29" s="47"/>
      <c r="LTW29" s="47"/>
      <c r="LTX29" s="47"/>
      <c r="LTY29" s="47"/>
      <c r="LTZ29" s="47"/>
      <c r="LUA29" s="47"/>
      <c r="LUB29" s="47"/>
      <c r="LUC29" s="47"/>
      <c r="LUD29" s="47"/>
      <c r="LUE29" s="47"/>
      <c r="LUF29" s="47"/>
      <c r="LUG29" s="47"/>
      <c r="LUH29" s="47"/>
      <c r="LUI29" s="47"/>
      <c r="LUJ29" s="47"/>
      <c r="LUK29" s="47"/>
      <c r="LUL29" s="47"/>
      <c r="LUM29" s="47"/>
      <c r="LUN29" s="47"/>
      <c r="LUO29" s="47"/>
      <c r="LUP29" s="47"/>
      <c r="LUQ29" s="47"/>
      <c r="LUR29" s="47"/>
      <c r="LUS29" s="47"/>
      <c r="LUT29" s="47"/>
      <c r="LUU29" s="47"/>
      <c r="LUV29" s="47"/>
      <c r="LUW29" s="47"/>
      <c r="LUX29" s="47"/>
      <c r="LUY29" s="47"/>
      <c r="LUZ29" s="47"/>
      <c r="LVA29" s="47"/>
      <c r="LVB29" s="47"/>
      <c r="LVC29" s="47"/>
      <c r="LVD29" s="47"/>
      <c r="LVE29" s="47"/>
      <c r="LVF29" s="47"/>
      <c r="LVG29" s="47"/>
      <c r="LVH29" s="47"/>
      <c r="LVI29" s="47"/>
      <c r="LVJ29" s="47"/>
      <c r="LVK29" s="47"/>
      <c r="LVL29" s="47"/>
      <c r="LVM29" s="47"/>
      <c r="LVN29" s="47"/>
      <c r="LVO29" s="47"/>
      <c r="LVP29" s="47"/>
      <c r="LVQ29" s="47"/>
      <c r="LVR29" s="47"/>
      <c r="LVS29" s="47"/>
      <c r="LVT29" s="47"/>
      <c r="LVU29" s="47"/>
      <c r="LVV29" s="47"/>
      <c r="LVW29" s="47"/>
      <c r="LVX29" s="47"/>
      <c r="LVY29" s="47"/>
      <c r="LVZ29" s="47"/>
      <c r="LWA29" s="47"/>
      <c r="LWB29" s="47"/>
      <c r="LWC29" s="47"/>
      <c r="LWD29" s="47"/>
      <c r="LWE29" s="47"/>
      <c r="LWF29" s="47"/>
      <c r="LWG29" s="47"/>
      <c r="LWH29" s="47"/>
      <c r="LWI29" s="47"/>
      <c r="LWJ29" s="47"/>
      <c r="LWK29" s="47"/>
      <c r="LWL29" s="47"/>
      <c r="LWM29" s="47"/>
      <c r="LWN29" s="47"/>
      <c r="LWO29" s="47"/>
      <c r="LWP29" s="47"/>
      <c r="LWQ29" s="47"/>
      <c r="LWR29" s="47"/>
      <c r="LWS29" s="47"/>
      <c r="LWT29" s="47"/>
      <c r="LWU29" s="47"/>
      <c r="LWV29" s="47"/>
      <c r="LWW29" s="47"/>
      <c r="LWX29" s="47"/>
      <c r="LWY29" s="47"/>
      <c r="LWZ29" s="47"/>
      <c r="LXA29" s="47"/>
      <c r="LXB29" s="47"/>
      <c r="LXC29" s="47"/>
      <c r="LXD29" s="47"/>
      <c r="LXE29" s="47"/>
      <c r="LXF29" s="47"/>
      <c r="LXG29" s="47"/>
      <c r="LXH29" s="47"/>
      <c r="LXI29" s="47"/>
      <c r="LXJ29" s="47"/>
      <c r="LXK29" s="47"/>
      <c r="LXL29" s="47"/>
      <c r="LXM29" s="47"/>
      <c r="LXN29" s="47"/>
      <c r="LXO29" s="47"/>
      <c r="LXP29" s="47"/>
      <c r="LXQ29" s="47"/>
      <c r="LXR29" s="47"/>
      <c r="LXS29" s="47"/>
      <c r="LXT29" s="47"/>
      <c r="LXU29" s="47"/>
      <c r="LXV29" s="47"/>
      <c r="LXW29" s="47"/>
      <c r="LXX29" s="47"/>
      <c r="LXY29" s="47"/>
      <c r="LXZ29" s="47"/>
      <c r="LYA29" s="47"/>
      <c r="LYB29" s="47"/>
      <c r="LYC29" s="47"/>
      <c r="LYD29" s="47"/>
      <c r="LYE29" s="47"/>
      <c r="LYF29" s="47"/>
      <c r="LYG29" s="47"/>
      <c r="LYH29" s="47"/>
      <c r="LYI29" s="47"/>
      <c r="LYJ29" s="47"/>
      <c r="LYK29" s="47"/>
      <c r="LYL29" s="47"/>
      <c r="LYM29" s="47"/>
      <c r="LYN29" s="47"/>
      <c r="LYO29" s="47"/>
      <c r="LYP29" s="47"/>
      <c r="LYQ29" s="47"/>
      <c r="LYR29" s="47"/>
      <c r="LYS29" s="47"/>
      <c r="LYT29" s="47"/>
      <c r="LYU29" s="47"/>
      <c r="LYV29" s="47"/>
      <c r="LYW29" s="47"/>
      <c r="LYX29" s="47"/>
      <c r="LYY29" s="47"/>
      <c r="LYZ29" s="47"/>
      <c r="LZA29" s="47"/>
      <c r="LZB29" s="47"/>
      <c r="LZC29" s="47"/>
      <c r="LZD29" s="47"/>
      <c r="LZE29" s="47"/>
      <c r="LZF29" s="47"/>
      <c r="LZG29" s="47"/>
      <c r="LZH29" s="47"/>
      <c r="LZI29" s="47"/>
      <c r="LZJ29" s="47"/>
      <c r="LZK29" s="47"/>
      <c r="LZL29" s="47"/>
      <c r="LZM29" s="47"/>
      <c r="LZN29" s="47"/>
      <c r="LZO29" s="47"/>
      <c r="LZP29" s="47"/>
      <c r="LZQ29" s="47"/>
      <c r="LZR29" s="47"/>
      <c r="LZS29" s="47"/>
      <c r="LZT29" s="47"/>
      <c r="LZU29" s="47"/>
      <c r="LZV29" s="47"/>
      <c r="LZW29" s="47"/>
      <c r="LZX29" s="47"/>
      <c r="LZY29" s="47"/>
      <c r="LZZ29" s="47"/>
      <c r="MAA29" s="47"/>
      <c r="MAB29" s="47"/>
      <c r="MAC29" s="47"/>
      <c r="MAD29" s="47"/>
      <c r="MAE29" s="47"/>
      <c r="MAF29" s="47"/>
      <c r="MAG29" s="47"/>
      <c r="MAH29" s="47"/>
      <c r="MAI29" s="47"/>
      <c r="MAJ29" s="47"/>
      <c r="MAK29" s="47"/>
      <c r="MAL29" s="47"/>
      <c r="MAM29" s="47"/>
      <c r="MAN29" s="47"/>
      <c r="MAO29" s="47"/>
      <c r="MAP29" s="47"/>
      <c r="MAQ29" s="47"/>
      <c r="MAR29" s="47"/>
      <c r="MAS29" s="47"/>
      <c r="MAT29" s="47"/>
      <c r="MAU29" s="47"/>
      <c r="MAV29" s="47"/>
      <c r="MAW29" s="47"/>
      <c r="MAX29" s="47"/>
      <c r="MAY29" s="47"/>
      <c r="MAZ29" s="47"/>
      <c r="MBA29" s="47"/>
      <c r="MBB29" s="47"/>
      <c r="MBC29" s="47"/>
      <c r="MBD29" s="47"/>
      <c r="MBE29" s="47"/>
      <c r="MBF29" s="47"/>
      <c r="MBG29" s="47"/>
      <c r="MBH29" s="47"/>
      <c r="MBI29" s="47"/>
      <c r="MBJ29" s="47"/>
      <c r="MBK29" s="47"/>
      <c r="MBL29" s="47"/>
      <c r="MBM29" s="47"/>
      <c r="MBN29" s="47"/>
      <c r="MBO29" s="47"/>
      <c r="MBP29" s="47"/>
      <c r="MBQ29" s="47"/>
      <c r="MBR29" s="47"/>
      <c r="MBS29" s="47"/>
      <c r="MBT29" s="47"/>
      <c r="MBU29" s="47"/>
      <c r="MBV29" s="47"/>
      <c r="MBW29" s="47"/>
      <c r="MBX29" s="47"/>
      <c r="MBY29" s="47"/>
      <c r="MBZ29" s="47"/>
      <c r="MCA29" s="47"/>
      <c r="MCB29" s="47"/>
      <c r="MCC29" s="47"/>
      <c r="MCD29" s="47"/>
      <c r="MCE29" s="47"/>
      <c r="MCF29" s="47"/>
      <c r="MCG29" s="47"/>
      <c r="MCH29" s="47"/>
      <c r="MCI29" s="47"/>
      <c r="MCJ29" s="47"/>
      <c r="MCK29" s="47"/>
      <c r="MCL29" s="47"/>
      <c r="MCM29" s="47"/>
      <c r="MCN29" s="47"/>
      <c r="MCO29" s="47"/>
      <c r="MCP29" s="47"/>
      <c r="MCQ29" s="47"/>
      <c r="MCR29" s="47"/>
      <c r="MCS29" s="47"/>
      <c r="MCT29" s="47"/>
      <c r="MCU29" s="47"/>
      <c r="MCV29" s="47"/>
      <c r="MCW29" s="47"/>
      <c r="MCX29" s="47"/>
      <c r="MCY29" s="47"/>
      <c r="MCZ29" s="47"/>
      <c r="MDA29" s="47"/>
      <c r="MDB29" s="47"/>
      <c r="MDC29" s="47"/>
      <c r="MDD29" s="47"/>
      <c r="MDE29" s="47"/>
      <c r="MDF29" s="47"/>
      <c r="MDG29" s="47"/>
      <c r="MDH29" s="47"/>
      <c r="MDI29" s="47"/>
      <c r="MDJ29" s="47"/>
      <c r="MDK29" s="47"/>
      <c r="MDL29" s="47"/>
      <c r="MDM29" s="47"/>
      <c r="MDN29" s="47"/>
      <c r="MDO29" s="47"/>
      <c r="MDP29" s="47"/>
      <c r="MDQ29" s="47"/>
      <c r="MDR29" s="47"/>
      <c r="MDS29" s="47"/>
      <c r="MDT29" s="47"/>
      <c r="MDU29" s="47"/>
      <c r="MDV29" s="47"/>
      <c r="MDW29" s="47"/>
      <c r="MDX29" s="47"/>
      <c r="MDY29" s="47"/>
      <c r="MDZ29" s="47"/>
      <c r="MEA29" s="47"/>
      <c r="MEB29" s="47"/>
      <c r="MEC29" s="47"/>
      <c r="MED29" s="47"/>
      <c r="MEE29" s="47"/>
      <c r="MEF29" s="47"/>
      <c r="MEG29" s="47"/>
      <c r="MEH29" s="47"/>
      <c r="MEI29" s="47"/>
      <c r="MEJ29" s="47"/>
      <c r="MEK29" s="47"/>
      <c r="MEL29" s="47"/>
      <c r="MEM29" s="47"/>
      <c r="MEN29" s="47"/>
      <c r="MEO29" s="47"/>
      <c r="MEP29" s="47"/>
      <c r="MEQ29" s="47"/>
      <c r="MER29" s="47"/>
      <c r="MES29" s="47"/>
      <c r="MET29" s="47"/>
      <c r="MEU29" s="47"/>
      <c r="MEV29" s="47"/>
      <c r="MEW29" s="47"/>
      <c r="MEX29" s="47"/>
      <c r="MEY29" s="47"/>
      <c r="MEZ29" s="47"/>
      <c r="MFA29" s="47"/>
      <c r="MFB29" s="47"/>
      <c r="MFC29" s="47"/>
      <c r="MFD29" s="47"/>
      <c r="MFE29" s="47"/>
      <c r="MFF29" s="47"/>
      <c r="MFG29" s="47"/>
      <c r="MFH29" s="47"/>
      <c r="MFI29" s="47"/>
      <c r="MFJ29" s="47"/>
      <c r="MFK29" s="47"/>
      <c r="MFL29" s="47"/>
      <c r="MFM29" s="47"/>
      <c r="MFN29" s="47"/>
      <c r="MFO29" s="47"/>
      <c r="MFP29" s="47"/>
      <c r="MFQ29" s="47"/>
      <c r="MFR29" s="47"/>
      <c r="MFS29" s="47"/>
      <c r="MFT29" s="47"/>
      <c r="MFU29" s="47"/>
      <c r="MFV29" s="47"/>
      <c r="MFW29" s="47"/>
      <c r="MFX29" s="47"/>
      <c r="MFY29" s="47"/>
      <c r="MFZ29" s="47"/>
      <c r="MGA29" s="47"/>
      <c r="MGB29" s="47"/>
      <c r="MGC29" s="47"/>
      <c r="MGD29" s="47"/>
      <c r="MGE29" s="47"/>
      <c r="MGF29" s="47"/>
      <c r="MGG29" s="47"/>
      <c r="MGH29" s="47"/>
      <c r="MGI29" s="47"/>
      <c r="MGJ29" s="47"/>
      <c r="MGK29" s="47"/>
      <c r="MGL29" s="47"/>
      <c r="MGM29" s="47"/>
      <c r="MGN29" s="47"/>
      <c r="MGO29" s="47"/>
      <c r="MGP29" s="47"/>
      <c r="MGQ29" s="47"/>
      <c r="MGR29" s="47"/>
      <c r="MGS29" s="47"/>
      <c r="MGT29" s="47"/>
      <c r="MGU29" s="47"/>
      <c r="MGV29" s="47"/>
      <c r="MGW29" s="47"/>
      <c r="MGX29" s="47"/>
      <c r="MGY29" s="47"/>
      <c r="MGZ29" s="47"/>
      <c r="MHA29" s="47"/>
      <c r="MHB29" s="47"/>
      <c r="MHC29" s="47"/>
      <c r="MHD29" s="47"/>
      <c r="MHE29" s="47"/>
      <c r="MHF29" s="47"/>
      <c r="MHG29" s="47"/>
      <c r="MHH29" s="47"/>
      <c r="MHI29" s="47"/>
      <c r="MHJ29" s="47"/>
      <c r="MHK29" s="47"/>
      <c r="MHL29" s="47"/>
      <c r="MHM29" s="47"/>
      <c r="MHN29" s="47"/>
      <c r="MHO29" s="47"/>
      <c r="MHP29" s="47"/>
      <c r="MHQ29" s="47"/>
      <c r="MHR29" s="47"/>
      <c r="MHS29" s="47"/>
      <c r="MHT29" s="47"/>
      <c r="MHU29" s="47"/>
      <c r="MHV29" s="47"/>
      <c r="MHW29" s="47"/>
      <c r="MHX29" s="47"/>
      <c r="MHY29" s="47"/>
      <c r="MHZ29" s="47"/>
      <c r="MIA29" s="47"/>
      <c r="MIB29" s="47"/>
      <c r="MIC29" s="47"/>
      <c r="MID29" s="47"/>
      <c r="MIE29" s="47"/>
      <c r="MIF29" s="47"/>
      <c r="MIG29" s="47"/>
      <c r="MIH29" s="47"/>
      <c r="MII29" s="47"/>
      <c r="MIJ29" s="47"/>
      <c r="MIK29" s="47"/>
      <c r="MIL29" s="47"/>
      <c r="MIM29" s="47"/>
      <c r="MIN29" s="47"/>
      <c r="MIO29" s="47"/>
      <c r="MIP29" s="47"/>
      <c r="MIQ29" s="47"/>
      <c r="MIR29" s="47"/>
      <c r="MIS29" s="47"/>
      <c r="MIT29" s="47"/>
      <c r="MIU29" s="47"/>
      <c r="MIV29" s="47"/>
      <c r="MIW29" s="47"/>
      <c r="MIX29" s="47"/>
      <c r="MIY29" s="47"/>
      <c r="MIZ29" s="47"/>
      <c r="MJA29" s="47"/>
      <c r="MJB29" s="47"/>
      <c r="MJC29" s="47"/>
      <c r="MJD29" s="47"/>
      <c r="MJE29" s="47"/>
      <c r="MJF29" s="47"/>
      <c r="MJG29" s="47"/>
      <c r="MJH29" s="47"/>
      <c r="MJI29" s="47"/>
      <c r="MJJ29" s="47"/>
      <c r="MJK29" s="47"/>
      <c r="MJL29" s="47"/>
      <c r="MJM29" s="47"/>
      <c r="MJN29" s="47"/>
      <c r="MJO29" s="47"/>
      <c r="MJP29" s="47"/>
      <c r="MJQ29" s="47"/>
      <c r="MJR29" s="47"/>
      <c r="MJS29" s="47"/>
      <c r="MJT29" s="47"/>
      <c r="MJU29" s="47"/>
      <c r="MJV29" s="47"/>
      <c r="MJW29" s="47"/>
      <c r="MJX29" s="47"/>
      <c r="MJY29" s="47"/>
      <c r="MJZ29" s="47"/>
      <c r="MKA29" s="47"/>
      <c r="MKB29" s="47"/>
      <c r="MKC29" s="47"/>
      <c r="MKD29" s="47"/>
      <c r="MKE29" s="47"/>
      <c r="MKF29" s="47"/>
      <c r="MKG29" s="47"/>
      <c r="MKH29" s="47"/>
      <c r="MKI29" s="47"/>
      <c r="MKJ29" s="47"/>
      <c r="MKK29" s="47"/>
      <c r="MKL29" s="47"/>
      <c r="MKM29" s="47"/>
      <c r="MKN29" s="47"/>
      <c r="MKO29" s="47"/>
      <c r="MKP29" s="47"/>
      <c r="MKQ29" s="47"/>
      <c r="MKR29" s="47"/>
      <c r="MKS29" s="47"/>
      <c r="MKT29" s="47"/>
      <c r="MKU29" s="47"/>
      <c r="MKV29" s="47"/>
      <c r="MKW29" s="47"/>
      <c r="MKX29" s="47"/>
      <c r="MKY29" s="47"/>
      <c r="MKZ29" s="47"/>
      <c r="MLA29" s="47"/>
      <c r="MLB29" s="47"/>
      <c r="MLC29" s="47"/>
      <c r="MLD29" s="47"/>
      <c r="MLE29" s="47"/>
      <c r="MLF29" s="47"/>
      <c r="MLG29" s="47"/>
      <c r="MLH29" s="47"/>
      <c r="MLI29" s="47"/>
      <c r="MLJ29" s="47"/>
      <c r="MLK29" s="47"/>
      <c r="MLL29" s="47"/>
      <c r="MLM29" s="47"/>
      <c r="MLN29" s="47"/>
      <c r="MLO29" s="47"/>
      <c r="MLP29" s="47"/>
      <c r="MLQ29" s="47"/>
      <c r="MLR29" s="47"/>
      <c r="MLS29" s="47"/>
      <c r="MLT29" s="47"/>
      <c r="MLU29" s="47"/>
      <c r="MLV29" s="47"/>
      <c r="MLW29" s="47"/>
      <c r="MLX29" s="47"/>
      <c r="MLY29" s="47"/>
      <c r="MLZ29" s="47"/>
      <c r="MMA29" s="47"/>
      <c r="MMB29" s="47"/>
      <c r="MMC29" s="47"/>
      <c r="MMD29" s="47"/>
      <c r="MME29" s="47"/>
      <c r="MMF29" s="47"/>
      <c r="MMG29" s="47"/>
      <c r="MMH29" s="47"/>
      <c r="MMI29" s="47"/>
      <c r="MMJ29" s="47"/>
      <c r="MMK29" s="47"/>
      <c r="MML29" s="47"/>
      <c r="MMM29" s="47"/>
      <c r="MMN29" s="47"/>
      <c r="MMO29" s="47"/>
      <c r="MMP29" s="47"/>
      <c r="MMQ29" s="47"/>
      <c r="MMR29" s="47"/>
      <c r="MMS29" s="47"/>
      <c r="MMT29" s="47"/>
      <c r="MMU29" s="47"/>
      <c r="MMV29" s="47"/>
      <c r="MMW29" s="47"/>
      <c r="MMX29" s="47"/>
      <c r="MMY29" s="47"/>
      <c r="MMZ29" s="47"/>
      <c r="MNA29" s="47"/>
      <c r="MNB29" s="47"/>
      <c r="MNC29" s="47"/>
      <c r="MND29" s="47"/>
      <c r="MNE29" s="47"/>
      <c r="MNF29" s="47"/>
      <c r="MNG29" s="47"/>
      <c r="MNH29" s="47"/>
      <c r="MNI29" s="47"/>
      <c r="MNJ29" s="47"/>
      <c r="MNK29" s="47"/>
      <c r="MNL29" s="47"/>
      <c r="MNM29" s="47"/>
      <c r="MNN29" s="47"/>
      <c r="MNO29" s="47"/>
      <c r="MNP29" s="47"/>
      <c r="MNQ29" s="47"/>
      <c r="MNR29" s="47"/>
      <c r="MNS29" s="47"/>
      <c r="MNT29" s="47"/>
      <c r="MNU29" s="47"/>
      <c r="MNV29" s="47"/>
      <c r="MNW29" s="47"/>
      <c r="MNX29" s="47"/>
      <c r="MNY29" s="47"/>
      <c r="MNZ29" s="47"/>
      <c r="MOA29" s="47"/>
      <c r="MOB29" s="47"/>
      <c r="MOC29" s="47"/>
      <c r="MOD29" s="47"/>
      <c r="MOE29" s="47"/>
      <c r="MOF29" s="47"/>
      <c r="MOG29" s="47"/>
      <c r="MOH29" s="47"/>
      <c r="MOI29" s="47"/>
      <c r="MOJ29" s="47"/>
      <c r="MOK29" s="47"/>
      <c r="MOL29" s="47"/>
      <c r="MOM29" s="47"/>
      <c r="MON29" s="47"/>
      <c r="MOO29" s="47"/>
      <c r="MOP29" s="47"/>
      <c r="MOQ29" s="47"/>
      <c r="MOR29" s="47"/>
      <c r="MOS29" s="47"/>
      <c r="MOT29" s="47"/>
      <c r="MOU29" s="47"/>
      <c r="MOV29" s="47"/>
      <c r="MOW29" s="47"/>
      <c r="MOX29" s="47"/>
      <c r="MOY29" s="47"/>
      <c r="MOZ29" s="47"/>
      <c r="MPA29" s="47"/>
      <c r="MPB29" s="47"/>
      <c r="MPC29" s="47"/>
      <c r="MPD29" s="47"/>
      <c r="MPE29" s="47"/>
      <c r="MPF29" s="47"/>
      <c r="MPG29" s="47"/>
      <c r="MPH29" s="47"/>
      <c r="MPI29" s="47"/>
      <c r="MPJ29" s="47"/>
      <c r="MPK29" s="47"/>
      <c r="MPL29" s="47"/>
      <c r="MPM29" s="47"/>
      <c r="MPN29" s="47"/>
      <c r="MPO29" s="47"/>
      <c r="MPP29" s="47"/>
      <c r="MPQ29" s="47"/>
      <c r="MPR29" s="47"/>
      <c r="MPS29" s="47"/>
      <c r="MPT29" s="47"/>
      <c r="MPU29" s="47"/>
      <c r="MPV29" s="47"/>
      <c r="MPW29" s="47"/>
      <c r="MPX29" s="47"/>
      <c r="MPY29" s="47"/>
      <c r="MPZ29" s="47"/>
      <c r="MQA29" s="47"/>
      <c r="MQB29" s="47"/>
      <c r="MQC29" s="47"/>
      <c r="MQD29" s="47"/>
      <c r="MQE29" s="47"/>
      <c r="MQF29" s="47"/>
      <c r="MQG29" s="47"/>
      <c r="MQH29" s="47"/>
      <c r="MQI29" s="47"/>
      <c r="MQJ29" s="47"/>
      <c r="MQK29" s="47"/>
      <c r="MQL29" s="47"/>
      <c r="MQM29" s="47"/>
      <c r="MQN29" s="47"/>
      <c r="MQO29" s="47"/>
      <c r="MQP29" s="47"/>
      <c r="MQQ29" s="47"/>
      <c r="MQR29" s="47"/>
      <c r="MQS29" s="47"/>
      <c r="MQT29" s="47"/>
      <c r="MQU29" s="47"/>
      <c r="MQV29" s="47"/>
      <c r="MQW29" s="47"/>
      <c r="MQX29" s="47"/>
      <c r="MQY29" s="47"/>
      <c r="MQZ29" s="47"/>
      <c r="MRA29" s="47"/>
      <c r="MRB29" s="47"/>
      <c r="MRC29" s="47"/>
      <c r="MRD29" s="47"/>
      <c r="MRE29" s="47"/>
      <c r="MRF29" s="47"/>
      <c r="MRG29" s="47"/>
      <c r="MRH29" s="47"/>
      <c r="MRI29" s="47"/>
      <c r="MRJ29" s="47"/>
      <c r="MRK29" s="47"/>
      <c r="MRL29" s="47"/>
      <c r="MRM29" s="47"/>
      <c r="MRN29" s="47"/>
      <c r="MRO29" s="47"/>
      <c r="MRP29" s="47"/>
      <c r="MRQ29" s="47"/>
      <c r="MRR29" s="47"/>
      <c r="MRS29" s="47"/>
      <c r="MRT29" s="47"/>
      <c r="MRU29" s="47"/>
      <c r="MRV29" s="47"/>
      <c r="MRW29" s="47"/>
      <c r="MRX29" s="47"/>
      <c r="MRY29" s="47"/>
      <c r="MRZ29" s="47"/>
      <c r="MSA29" s="47"/>
      <c r="MSB29" s="47"/>
      <c r="MSC29" s="47"/>
      <c r="MSD29" s="47"/>
      <c r="MSE29" s="47"/>
      <c r="MSF29" s="47"/>
      <c r="MSG29" s="47"/>
      <c r="MSH29" s="47"/>
      <c r="MSI29" s="47"/>
      <c r="MSJ29" s="47"/>
      <c r="MSK29" s="47"/>
      <c r="MSL29" s="47"/>
      <c r="MSM29" s="47"/>
      <c r="MSN29" s="47"/>
      <c r="MSO29" s="47"/>
      <c r="MSP29" s="47"/>
      <c r="MSQ29" s="47"/>
      <c r="MSR29" s="47"/>
      <c r="MSS29" s="47"/>
      <c r="MST29" s="47"/>
      <c r="MSU29" s="47"/>
      <c r="MSV29" s="47"/>
      <c r="MSW29" s="47"/>
      <c r="MSX29" s="47"/>
      <c r="MSY29" s="47"/>
      <c r="MSZ29" s="47"/>
      <c r="MTA29" s="47"/>
      <c r="MTB29" s="47"/>
      <c r="MTC29" s="47"/>
      <c r="MTD29" s="47"/>
      <c r="MTE29" s="47"/>
      <c r="MTF29" s="47"/>
      <c r="MTG29" s="47"/>
      <c r="MTH29" s="47"/>
      <c r="MTI29" s="47"/>
      <c r="MTJ29" s="47"/>
      <c r="MTK29" s="47"/>
      <c r="MTL29" s="47"/>
      <c r="MTM29" s="47"/>
      <c r="MTN29" s="47"/>
      <c r="MTO29" s="47"/>
      <c r="MTP29" s="47"/>
      <c r="MTQ29" s="47"/>
      <c r="MTR29" s="47"/>
      <c r="MTS29" s="47"/>
      <c r="MTT29" s="47"/>
      <c r="MTU29" s="47"/>
      <c r="MTV29" s="47"/>
      <c r="MTW29" s="47"/>
      <c r="MTX29" s="47"/>
      <c r="MTY29" s="47"/>
      <c r="MTZ29" s="47"/>
      <c r="MUA29" s="47"/>
      <c r="MUB29" s="47"/>
      <c r="MUC29" s="47"/>
      <c r="MUD29" s="47"/>
      <c r="MUE29" s="47"/>
      <c r="MUF29" s="47"/>
      <c r="MUG29" s="47"/>
      <c r="MUH29" s="47"/>
      <c r="MUI29" s="47"/>
      <c r="MUJ29" s="47"/>
      <c r="MUK29" s="47"/>
      <c r="MUL29" s="47"/>
      <c r="MUM29" s="47"/>
      <c r="MUN29" s="47"/>
      <c r="MUO29" s="47"/>
      <c r="MUP29" s="47"/>
      <c r="MUQ29" s="47"/>
      <c r="MUR29" s="47"/>
      <c r="MUS29" s="47"/>
      <c r="MUT29" s="47"/>
      <c r="MUU29" s="47"/>
      <c r="MUV29" s="47"/>
      <c r="MUW29" s="47"/>
      <c r="MUX29" s="47"/>
      <c r="MUY29" s="47"/>
      <c r="MUZ29" s="47"/>
      <c r="MVA29" s="47"/>
      <c r="MVB29" s="47"/>
      <c r="MVC29" s="47"/>
      <c r="MVD29" s="47"/>
      <c r="MVE29" s="47"/>
      <c r="MVF29" s="47"/>
      <c r="MVG29" s="47"/>
      <c r="MVH29" s="47"/>
      <c r="MVI29" s="47"/>
      <c r="MVJ29" s="47"/>
      <c r="MVK29" s="47"/>
      <c r="MVL29" s="47"/>
      <c r="MVM29" s="47"/>
      <c r="MVN29" s="47"/>
      <c r="MVO29" s="47"/>
      <c r="MVP29" s="47"/>
      <c r="MVQ29" s="47"/>
      <c r="MVR29" s="47"/>
      <c r="MVS29" s="47"/>
      <c r="MVT29" s="47"/>
      <c r="MVU29" s="47"/>
      <c r="MVV29" s="47"/>
      <c r="MVW29" s="47"/>
      <c r="MVX29" s="47"/>
      <c r="MVY29" s="47"/>
      <c r="MVZ29" s="47"/>
      <c r="MWA29" s="47"/>
      <c r="MWB29" s="47"/>
      <c r="MWC29" s="47"/>
      <c r="MWD29" s="47"/>
      <c r="MWE29" s="47"/>
      <c r="MWF29" s="47"/>
      <c r="MWG29" s="47"/>
      <c r="MWH29" s="47"/>
      <c r="MWI29" s="47"/>
      <c r="MWJ29" s="47"/>
      <c r="MWK29" s="47"/>
      <c r="MWL29" s="47"/>
      <c r="MWM29" s="47"/>
      <c r="MWN29" s="47"/>
      <c r="MWO29" s="47"/>
      <c r="MWP29" s="47"/>
      <c r="MWQ29" s="47"/>
      <c r="MWR29" s="47"/>
      <c r="MWS29" s="47"/>
      <c r="MWT29" s="47"/>
      <c r="MWU29" s="47"/>
      <c r="MWV29" s="47"/>
      <c r="MWW29" s="47"/>
      <c r="MWX29" s="47"/>
      <c r="MWY29" s="47"/>
      <c r="MWZ29" s="47"/>
      <c r="MXA29" s="47"/>
      <c r="MXB29" s="47"/>
      <c r="MXC29" s="47"/>
      <c r="MXD29" s="47"/>
      <c r="MXE29" s="47"/>
      <c r="MXF29" s="47"/>
      <c r="MXG29" s="47"/>
      <c r="MXH29" s="47"/>
      <c r="MXI29" s="47"/>
      <c r="MXJ29" s="47"/>
      <c r="MXK29" s="47"/>
      <c r="MXL29" s="47"/>
      <c r="MXM29" s="47"/>
      <c r="MXN29" s="47"/>
      <c r="MXO29" s="47"/>
      <c r="MXP29" s="47"/>
      <c r="MXQ29" s="47"/>
      <c r="MXR29" s="47"/>
      <c r="MXS29" s="47"/>
      <c r="MXT29" s="47"/>
      <c r="MXU29" s="47"/>
      <c r="MXV29" s="47"/>
      <c r="MXW29" s="47"/>
      <c r="MXX29" s="47"/>
      <c r="MXY29" s="47"/>
      <c r="MXZ29" s="47"/>
      <c r="MYA29" s="47"/>
      <c r="MYB29" s="47"/>
      <c r="MYC29" s="47"/>
      <c r="MYD29" s="47"/>
      <c r="MYE29" s="47"/>
      <c r="MYF29" s="47"/>
      <c r="MYG29" s="47"/>
      <c r="MYH29" s="47"/>
      <c r="MYI29" s="47"/>
      <c r="MYJ29" s="47"/>
      <c r="MYK29" s="47"/>
      <c r="MYL29" s="47"/>
      <c r="MYM29" s="47"/>
      <c r="MYN29" s="47"/>
      <c r="MYO29" s="47"/>
      <c r="MYP29" s="47"/>
      <c r="MYQ29" s="47"/>
      <c r="MYR29" s="47"/>
      <c r="MYS29" s="47"/>
      <c r="MYT29" s="47"/>
      <c r="MYU29" s="47"/>
      <c r="MYV29" s="47"/>
      <c r="MYW29" s="47"/>
      <c r="MYX29" s="47"/>
      <c r="MYY29" s="47"/>
      <c r="MYZ29" s="47"/>
      <c r="MZA29" s="47"/>
      <c r="MZB29" s="47"/>
      <c r="MZC29" s="47"/>
      <c r="MZD29" s="47"/>
      <c r="MZE29" s="47"/>
      <c r="MZF29" s="47"/>
      <c r="MZG29" s="47"/>
      <c r="MZH29" s="47"/>
      <c r="MZI29" s="47"/>
      <c r="MZJ29" s="47"/>
      <c r="MZK29" s="47"/>
      <c r="MZL29" s="47"/>
      <c r="MZM29" s="47"/>
      <c r="MZN29" s="47"/>
      <c r="MZO29" s="47"/>
      <c r="MZP29" s="47"/>
      <c r="MZQ29" s="47"/>
      <c r="MZR29" s="47"/>
      <c r="MZS29" s="47"/>
      <c r="MZT29" s="47"/>
      <c r="MZU29" s="47"/>
      <c r="MZV29" s="47"/>
      <c r="MZW29" s="47"/>
      <c r="MZX29" s="47"/>
      <c r="MZY29" s="47"/>
      <c r="MZZ29" s="47"/>
      <c r="NAA29" s="47"/>
      <c r="NAB29" s="47"/>
      <c r="NAC29" s="47"/>
      <c r="NAD29" s="47"/>
      <c r="NAE29" s="47"/>
      <c r="NAF29" s="47"/>
      <c r="NAG29" s="47"/>
      <c r="NAH29" s="47"/>
      <c r="NAI29" s="47"/>
      <c r="NAJ29" s="47"/>
      <c r="NAK29" s="47"/>
      <c r="NAL29" s="47"/>
      <c r="NAM29" s="47"/>
      <c r="NAN29" s="47"/>
      <c r="NAO29" s="47"/>
      <c r="NAP29" s="47"/>
      <c r="NAQ29" s="47"/>
      <c r="NAR29" s="47"/>
      <c r="NAS29" s="47"/>
      <c r="NAT29" s="47"/>
      <c r="NAU29" s="47"/>
      <c r="NAV29" s="47"/>
      <c r="NAW29" s="47"/>
      <c r="NAX29" s="47"/>
      <c r="NAY29" s="47"/>
      <c r="NAZ29" s="47"/>
      <c r="NBA29" s="47"/>
      <c r="NBB29" s="47"/>
      <c r="NBC29" s="47"/>
      <c r="NBD29" s="47"/>
      <c r="NBE29" s="47"/>
      <c r="NBF29" s="47"/>
      <c r="NBG29" s="47"/>
      <c r="NBH29" s="47"/>
      <c r="NBI29" s="47"/>
      <c r="NBJ29" s="47"/>
      <c r="NBK29" s="47"/>
      <c r="NBL29" s="47"/>
      <c r="NBM29" s="47"/>
      <c r="NBN29" s="47"/>
      <c r="NBO29" s="47"/>
      <c r="NBP29" s="47"/>
      <c r="NBQ29" s="47"/>
      <c r="NBR29" s="47"/>
      <c r="NBS29" s="47"/>
      <c r="NBT29" s="47"/>
      <c r="NBU29" s="47"/>
      <c r="NBV29" s="47"/>
      <c r="NBW29" s="47"/>
      <c r="NBX29" s="47"/>
      <c r="NBY29" s="47"/>
      <c r="NBZ29" s="47"/>
      <c r="NCA29" s="47"/>
      <c r="NCB29" s="47"/>
      <c r="NCC29" s="47"/>
      <c r="NCD29" s="47"/>
      <c r="NCE29" s="47"/>
      <c r="NCF29" s="47"/>
      <c r="NCG29" s="47"/>
      <c r="NCH29" s="47"/>
      <c r="NCI29" s="47"/>
      <c r="NCJ29" s="47"/>
      <c r="NCK29" s="47"/>
      <c r="NCL29" s="47"/>
      <c r="NCM29" s="47"/>
      <c r="NCN29" s="47"/>
      <c r="NCO29" s="47"/>
      <c r="NCP29" s="47"/>
      <c r="NCQ29" s="47"/>
      <c r="NCR29" s="47"/>
      <c r="NCS29" s="47"/>
      <c r="NCT29" s="47"/>
      <c r="NCU29" s="47"/>
      <c r="NCV29" s="47"/>
      <c r="NCW29" s="47"/>
      <c r="NCX29" s="47"/>
      <c r="NCY29" s="47"/>
      <c r="NCZ29" s="47"/>
      <c r="NDA29" s="47"/>
      <c r="NDB29" s="47"/>
      <c r="NDC29" s="47"/>
      <c r="NDD29" s="47"/>
      <c r="NDE29" s="47"/>
      <c r="NDF29" s="47"/>
      <c r="NDG29" s="47"/>
      <c r="NDH29" s="47"/>
      <c r="NDI29" s="47"/>
      <c r="NDJ29" s="47"/>
      <c r="NDK29" s="47"/>
      <c r="NDL29" s="47"/>
      <c r="NDM29" s="47"/>
      <c r="NDN29" s="47"/>
      <c r="NDO29" s="47"/>
      <c r="NDP29" s="47"/>
      <c r="NDQ29" s="47"/>
      <c r="NDR29" s="47"/>
      <c r="NDS29" s="47"/>
      <c r="NDT29" s="47"/>
      <c r="NDU29" s="47"/>
      <c r="NDV29" s="47"/>
      <c r="NDW29" s="47"/>
      <c r="NDX29" s="47"/>
      <c r="NDY29" s="47"/>
      <c r="NDZ29" s="47"/>
      <c r="NEA29" s="47"/>
      <c r="NEB29" s="47"/>
      <c r="NEC29" s="47"/>
      <c r="NED29" s="47"/>
      <c r="NEE29" s="47"/>
      <c r="NEF29" s="47"/>
      <c r="NEG29" s="47"/>
      <c r="NEH29" s="47"/>
      <c r="NEI29" s="47"/>
      <c r="NEJ29" s="47"/>
      <c r="NEK29" s="47"/>
      <c r="NEL29" s="47"/>
      <c r="NEM29" s="47"/>
      <c r="NEN29" s="47"/>
      <c r="NEO29" s="47"/>
      <c r="NEP29" s="47"/>
      <c r="NEQ29" s="47"/>
      <c r="NER29" s="47"/>
      <c r="NES29" s="47"/>
      <c r="NET29" s="47"/>
      <c r="NEU29" s="47"/>
      <c r="NEV29" s="47"/>
      <c r="NEW29" s="47"/>
      <c r="NEX29" s="47"/>
      <c r="NEY29" s="47"/>
      <c r="NEZ29" s="47"/>
      <c r="NFA29" s="47"/>
      <c r="NFB29" s="47"/>
      <c r="NFC29" s="47"/>
      <c r="NFD29" s="47"/>
      <c r="NFE29" s="47"/>
      <c r="NFF29" s="47"/>
      <c r="NFG29" s="47"/>
      <c r="NFH29" s="47"/>
      <c r="NFI29" s="47"/>
      <c r="NFJ29" s="47"/>
      <c r="NFK29" s="47"/>
      <c r="NFL29" s="47"/>
      <c r="NFM29" s="47"/>
      <c r="NFN29" s="47"/>
      <c r="NFO29" s="47"/>
      <c r="NFP29" s="47"/>
      <c r="NFQ29" s="47"/>
      <c r="NFR29" s="47"/>
      <c r="NFS29" s="47"/>
      <c r="NFT29" s="47"/>
      <c r="NFU29" s="47"/>
      <c r="NFV29" s="47"/>
      <c r="NFW29" s="47"/>
      <c r="NFX29" s="47"/>
      <c r="NFY29" s="47"/>
      <c r="NFZ29" s="47"/>
      <c r="NGA29" s="47"/>
      <c r="NGB29" s="47"/>
      <c r="NGC29" s="47"/>
      <c r="NGD29" s="47"/>
      <c r="NGE29" s="47"/>
      <c r="NGF29" s="47"/>
      <c r="NGG29" s="47"/>
      <c r="NGH29" s="47"/>
      <c r="NGI29" s="47"/>
      <c r="NGJ29" s="47"/>
      <c r="NGK29" s="47"/>
      <c r="NGL29" s="47"/>
      <c r="NGM29" s="47"/>
      <c r="NGN29" s="47"/>
      <c r="NGO29" s="47"/>
      <c r="NGP29" s="47"/>
      <c r="NGQ29" s="47"/>
      <c r="NGR29" s="47"/>
      <c r="NGS29" s="47"/>
      <c r="NGT29" s="47"/>
      <c r="NGU29" s="47"/>
      <c r="NGV29" s="47"/>
      <c r="NGW29" s="47"/>
      <c r="NGX29" s="47"/>
      <c r="NGY29" s="47"/>
      <c r="NGZ29" s="47"/>
      <c r="NHA29" s="47"/>
      <c r="NHB29" s="47"/>
      <c r="NHC29" s="47"/>
      <c r="NHD29" s="47"/>
      <c r="NHE29" s="47"/>
      <c r="NHF29" s="47"/>
      <c r="NHG29" s="47"/>
      <c r="NHH29" s="47"/>
      <c r="NHI29" s="47"/>
      <c r="NHJ29" s="47"/>
      <c r="NHK29" s="47"/>
      <c r="NHL29" s="47"/>
      <c r="NHM29" s="47"/>
      <c r="NHN29" s="47"/>
      <c r="NHO29" s="47"/>
      <c r="NHP29" s="47"/>
      <c r="NHQ29" s="47"/>
      <c r="NHR29" s="47"/>
      <c r="NHS29" s="47"/>
      <c r="NHT29" s="47"/>
      <c r="NHU29" s="47"/>
      <c r="NHV29" s="47"/>
      <c r="NHW29" s="47"/>
      <c r="NHX29" s="47"/>
      <c r="NHY29" s="47"/>
      <c r="NHZ29" s="47"/>
      <c r="NIA29" s="47"/>
      <c r="NIB29" s="47"/>
      <c r="NIC29" s="47"/>
      <c r="NID29" s="47"/>
      <c r="NIE29" s="47"/>
      <c r="NIF29" s="47"/>
      <c r="NIG29" s="47"/>
      <c r="NIH29" s="47"/>
      <c r="NII29" s="47"/>
      <c r="NIJ29" s="47"/>
      <c r="NIK29" s="47"/>
      <c r="NIL29" s="47"/>
      <c r="NIM29" s="47"/>
      <c r="NIN29" s="47"/>
      <c r="NIO29" s="47"/>
      <c r="NIP29" s="47"/>
      <c r="NIQ29" s="47"/>
      <c r="NIR29" s="47"/>
      <c r="NIS29" s="47"/>
      <c r="NIT29" s="47"/>
      <c r="NIU29" s="47"/>
      <c r="NIV29" s="47"/>
      <c r="NIW29" s="47"/>
      <c r="NIX29" s="47"/>
      <c r="NIY29" s="47"/>
      <c r="NIZ29" s="47"/>
      <c r="NJA29" s="47"/>
      <c r="NJB29" s="47"/>
      <c r="NJC29" s="47"/>
      <c r="NJD29" s="47"/>
      <c r="NJE29" s="47"/>
      <c r="NJF29" s="47"/>
      <c r="NJG29" s="47"/>
      <c r="NJH29" s="47"/>
      <c r="NJI29" s="47"/>
      <c r="NJJ29" s="47"/>
      <c r="NJK29" s="47"/>
      <c r="NJL29" s="47"/>
      <c r="NJM29" s="47"/>
      <c r="NJN29" s="47"/>
      <c r="NJO29" s="47"/>
      <c r="NJP29" s="47"/>
      <c r="NJQ29" s="47"/>
      <c r="NJR29" s="47"/>
      <c r="NJS29" s="47"/>
      <c r="NJT29" s="47"/>
      <c r="NJU29" s="47"/>
      <c r="NJV29" s="47"/>
      <c r="NJW29" s="47"/>
      <c r="NJX29" s="47"/>
      <c r="NJY29" s="47"/>
      <c r="NJZ29" s="47"/>
      <c r="NKA29" s="47"/>
      <c r="NKB29" s="47"/>
      <c r="NKC29" s="47"/>
      <c r="NKD29" s="47"/>
      <c r="NKE29" s="47"/>
      <c r="NKF29" s="47"/>
      <c r="NKG29" s="47"/>
      <c r="NKH29" s="47"/>
      <c r="NKI29" s="47"/>
      <c r="NKJ29" s="47"/>
      <c r="NKK29" s="47"/>
      <c r="NKL29" s="47"/>
      <c r="NKM29" s="47"/>
      <c r="NKN29" s="47"/>
      <c r="NKO29" s="47"/>
      <c r="NKP29" s="47"/>
      <c r="NKQ29" s="47"/>
      <c r="NKR29" s="47"/>
      <c r="NKS29" s="47"/>
      <c r="NKT29" s="47"/>
      <c r="NKU29" s="47"/>
      <c r="NKV29" s="47"/>
      <c r="NKW29" s="47"/>
      <c r="NKX29" s="47"/>
      <c r="NKY29" s="47"/>
      <c r="NKZ29" s="47"/>
      <c r="NLA29" s="47"/>
      <c r="NLB29" s="47"/>
      <c r="NLC29" s="47"/>
      <c r="NLD29" s="47"/>
      <c r="NLE29" s="47"/>
      <c r="NLF29" s="47"/>
      <c r="NLG29" s="47"/>
      <c r="NLH29" s="47"/>
      <c r="NLI29" s="47"/>
      <c r="NLJ29" s="47"/>
      <c r="NLK29" s="47"/>
      <c r="NLL29" s="47"/>
      <c r="NLM29" s="47"/>
      <c r="NLN29" s="47"/>
      <c r="NLO29" s="47"/>
      <c r="NLP29" s="47"/>
      <c r="NLQ29" s="47"/>
      <c r="NLR29" s="47"/>
      <c r="NLS29" s="47"/>
      <c r="NLT29" s="47"/>
      <c r="NLU29" s="47"/>
      <c r="NLV29" s="47"/>
      <c r="NLW29" s="47"/>
      <c r="NLX29" s="47"/>
      <c r="NLY29" s="47"/>
      <c r="NLZ29" s="47"/>
      <c r="NMA29" s="47"/>
      <c r="NMB29" s="47"/>
      <c r="NMC29" s="47"/>
      <c r="NMD29" s="47"/>
      <c r="NME29" s="47"/>
      <c r="NMF29" s="47"/>
      <c r="NMG29" s="47"/>
      <c r="NMH29" s="47"/>
      <c r="NMI29" s="47"/>
      <c r="NMJ29" s="47"/>
      <c r="NMK29" s="47"/>
      <c r="NML29" s="47"/>
      <c r="NMM29" s="47"/>
      <c r="NMN29" s="47"/>
      <c r="NMO29" s="47"/>
      <c r="NMP29" s="47"/>
      <c r="NMQ29" s="47"/>
      <c r="NMR29" s="47"/>
      <c r="NMS29" s="47"/>
      <c r="NMT29" s="47"/>
      <c r="NMU29" s="47"/>
      <c r="NMV29" s="47"/>
      <c r="NMW29" s="47"/>
      <c r="NMX29" s="47"/>
      <c r="NMY29" s="47"/>
      <c r="NMZ29" s="47"/>
      <c r="NNA29" s="47"/>
      <c r="NNB29" s="47"/>
      <c r="NNC29" s="47"/>
      <c r="NND29" s="47"/>
      <c r="NNE29" s="47"/>
      <c r="NNF29" s="47"/>
      <c r="NNG29" s="47"/>
      <c r="NNH29" s="47"/>
      <c r="NNI29" s="47"/>
      <c r="NNJ29" s="47"/>
      <c r="NNK29" s="47"/>
      <c r="NNL29" s="47"/>
      <c r="NNM29" s="47"/>
      <c r="NNN29" s="47"/>
      <c r="NNO29" s="47"/>
      <c r="NNP29" s="47"/>
      <c r="NNQ29" s="47"/>
      <c r="NNR29" s="47"/>
      <c r="NNS29" s="47"/>
      <c r="NNT29" s="47"/>
      <c r="NNU29" s="47"/>
      <c r="NNV29" s="47"/>
      <c r="NNW29" s="47"/>
      <c r="NNX29" s="47"/>
      <c r="NNY29" s="47"/>
      <c r="NNZ29" s="47"/>
      <c r="NOA29" s="47"/>
      <c r="NOB29" s="47"/>
      <c r="NOC29" s="47"/>
      <c r="NOD29" s="47"/>
      <c r="NOE29" s="47"/>
      <c r="NOF29" s="47"/>
      <c r="NOG29" s="47"/>
      <c r="NOH29" s="47"/>
      <c r="NOI29" s="47"/>
      <c r="NOJ29" s="47"/>
      <c r="NOK29" s="47"/>
      <c r="NOL29" s="47"/>
      <c r="NOM29" s="47"/>
      <c r="NON29" s="47"/>
      <c r="NOO29" s="47"/>
      <c r="NOP29" s="47"/>
      <c r="NOQ29" s="47"/>
      <c r="NOR29" s="47"/>
      <c r="NOS29" s="47"/>
      <c r="NOT29" s="47"/>
      <c r="NOU29" s="47"/>
      <c r="NOV29" s="47"/>
      <c r="NOW29" s="47"/>
      <c r="NOX29" s="47"/>
      <c r="NOY29" s="47"/>
      <c r="NOZ29" s="47"/>
      <c r="NPA29" s="47"/>
      <c r="NPB29" s="47"/>
      <c r="NPC29" s="47"/>
      <c r="NPD29" s="47"/>
      <c r="NPE29" s="47"/>
      <c r="NPF29" s="47"/>
      <c r="NPG29" s="47"/>
      <c r="NPH29" s="47"/>
      <c r="NPI29" s="47"/>
      <c r="NPJ29" s="47"/>
      <c r="NPK29" s="47"/>
      <c r="NPL29" s="47"/>
      <c r="NPM29" s="47"/>
      <c r="NPN29" s="47"/>
      <c r="NPO29" s="47"/>
      <c r="NPP29" s="47"/>
      <c r="NPQ29" s="47"/>
      <c r="NPR29" s="47"/>
      <c r="NPS29" s="47"/>
      <c r="NPT29" s="47"/>
      <c r="NPU29" s="47"/>
      <c r="NPV29" s="47"/>
      <c r="NPW29" s="47"/>
      <c r="NPX29" s="47"/>
      <c r="NPY29" s="47"/>
      <c r="NPZ29" s="47"/>
      <c r="NQA29" s="47"/>
      <c r="NQB29" s="47"/>
      <c r="NQC29" s="47"/>
      <c r="NQD29" s="47"/>
      <c r="NQE29" s="47"/>
      <c r="NQF29" s="47"/>
      <c r="NQG29" s="47"/>
      <c r="NQH29" s="47"/>
      <c r="NQI29" s="47"/>
      <c r="NQJ29" s="47"/>
      <c r="NQK29" s="47"/>
      <c r="NQL29" s="47"/>
      <c r="NQM29" s="47"/>
      <c r="NQN29" s="47"/>
      <c r="NQO29" s="47"/>
      <c r="NQP29" s="47"/>
      <c r="NQQ29" s="47"/>
      <c r="NQR29" s="47"/>
      <c r="NQS29" s="47"/>
      <c r="NQT29" s="47"/>
      <c r="NQU29" s="47"/>
      <c r="NQV29" s="47"/>
      <c r="NQW29" s="47"/>
      <c r="NQX29" s="47"/>
      <c r="NQY29" s="47"/>
      <c r="NQZ29" s="47"/>
      <c r="NRA29" s="47"/>
      <c r="NRB29" s="47"/>
      <c r="NRC29" s="47"/>
      <c r="NRD29" s="47"/>
      <c r="NRE29" s="47"/>
      <c r="NRF29" s="47"/>
      <c r="NRG29" s="47"/>
      <c r="NRH29" s="47"/>
      <c r="NRI29" s="47"/>
      <c r="NRJ29" s="47"/>
      <c r="NRK29" s="47"/>
      <c r="NRL29" s="47"/>
      <c r="NRM29" s="47"/>
      <c r="NRN29" s="47"/>
      <c r="NRO29" s="47"/>
      <c r="NRP29" s="47"/>
      <c r="NRQ29" s="47"/>
      <c r="NRR29" s="47"/>
      <c r="NRS29" s="47"/>
      <c r="NRT29" s="47"/>
      <c r="NRU29" s="47"/>
      <c r="NRV29" s="47"/>
      <c r="NRW29" s="47"/>
      <c r="NRX29" s="47"/>
      <c r="NRY29" s="47"/>
      <c r="NRZ29" s="47"/>
      <c r="NSA29" s="47"/>
      <c r="NSB29" s="47"/>
      <c r="NSC29" s="47"/>
      <c r="NSD29" s="47"/>
      <c r="NSE29" s="47"/>
      <c r="NSF29" s="47"/>
      <c r="NSG29" s="47"/>
      <c r="NSH29" s="47"/>
      <c r="NSI29" s="47"/>
      <c r="NSJ29" s="47"/>
      <c r="NSK29" s="47"/>
      <c r="NSL29" s="47"/>
      <c r="NSM29" s="47"/>
      <c r="NSN29" s="47"/>
      <c r="NSO29" s="47"/>
      <c r="NSP29" s="47"/>
      <c r="NSQ29" s="47"/>
      <c r="NSR29" s="47"/>
      <c r="NSS29" s="47"/>
      <c r="NST29" s="47"/>
      <c r="NSU29" s="47"/>
      <c r="NSV29" s="47"/>
      <c r="NSW29" s="47"/>
      <c r="NSX29" s="47"/>
      <c r="NSY29" s="47"/>
      <c r="NSZ29" s="47"/>
      <c r="NTA29" s="47"/>
      <c r="NTB29" s="47"/>
      <c r="NTC29" s="47"/>
      <c r="NTD29" s="47"/>
      <c r="NTE29" s="47"/>
      <c r="NTF29" s="47"/>
      <c r="NTG29" s="47"/>
      <c r="NTH29" s="47"/>
      <c r="NTI29" s="47"/>
      <c r="NTJ29" s="47"/>
      <c r="NTK29" s="47"/>
      <c r="NTL29" s="47"/>
      <c r="NTM29" s="47"/>
      <c r="NTN29" s="47"/>
      <c r="NTO29" s="47"/>
      <c r="NTP29" s="47"/>
      <c r="NTQ29" s="47"/>
      <c r="NTR29" s="47"/>
      <c r="NTS29" s="47"/>
      <c r="NTT29" s="47"/>
      <c r="NTU29" s="47"/>
      <c r="NTV29" s="47"/>
      <c r="NTW29" s="47"/>
      <c r="NTX29" s="47"/>
      <c r="NTY29" s="47"/>
      <c r="NTZ29" s="47"/>
      <c r="NUA29" s="47"/>
      <c r="NUB29" s="47"/>
      <c r="NUC29" s="47"/>
      <c r="NUD29" s="47"/>
      <c r="NUE29" s="47"/>
      <c r="NUF29" s="47"/>
      <c r="NUG29" s="47"/>
      <c r="NUH29" s="47"/>
      <c r="NUI29" s="47"/>
      <c r="NUJ29" s="47"/>
      <c r="NUK29" s="47"/>
      <c r="NUL29" s="47"/>
      <c r="NUM29" s="47"/>
      <c r="NUN29" s="47"/>
      <c r="NUO29" s="47"/>
      <c r="NUP29" s="47"/>
      <c r="NUQ29" s="47"/>
      <c r="NUR29" s="47"/>
      <c r="NUS29" s="47"/>
      <c r="NUT29" s="47"/>
      <c r="NUU29" s="47"/>
      <c r="NUV29" s="47"/>
      <c r="NUW29" s="47"/>
      <c r="NUX29" s="47"/>
      <c r="NUY29" s="47"/>
      <c r="NUZ29" s="47"/>
      <c r="NVA29" s="47"/>
      <c r="NVB29" s="47"/>
      <c r="NVC29" s="47"/>
      <c r="NVD29" s="47"/>
      <c r="NVE29" s="47"/>
      <c r="NVF29" s="47"/>
      <c r="NVG29" s="47"/>
      <c r="NVH29" s="47"/>
      <c r="NVI29" s="47"/>
      <c r="NVJ29" s="47"/>
      <c r="NVK29" s="47"/>
      <c r="NVL29" s="47"/>
      <c r="NVM29" s="47"/>
      <c r="NVN29" s="47"/>
      <c r="NVO29" s="47"/>
      <c r="NVP29" s="47"/>
      <c r="NVQ29" s="47"/>
      <c r="NVR29" s="47"/>
      <c r="NVS29" s="47"/>
      <c r="NVT29" s="47"/>
      <c r="NVU29" s="47"/>
      <c r="NVV29" s="47"/>
      <c r="NVW29" s="47"/>
      <c r="NVX29" s="47"/>
      <c r="NVY29" s="47"/>
      <c r="NVZ29" s="47"/>
      <c r="NWA29" s="47"/>
      <c r="NWB29" s="47"/>
      <c r="NWC29" s="47"/>
      <c r="NWD29" s="47"/>
      <c r="NWE29" s="47"/>
      <c r="NWF29" s="47"/>
      <c r="NWG29" s="47"/>
      <c r="NWH29" s="47"/>
      <c r="NWI29" s="47"/>
      <c r="NWJ29" s="47"/>
      <c r="NWK29" s="47"/>
      <c r="NWL29" s="47"/>
      <c r="NWM29" s="47"/>
      <c r="NWN29" s="47"/>
      <c r="NWO29" s="47"/>
      <c r="NWP29" s="47"/>
      <c r="NWQ29" s="47"/>
      <c r="NWR29" s="47"/>
      <c r="NWS29" s="47"/>
      <c r="NWT29" s="47"/>
      <c r="NWU29" s="47"/>
      <c r="NWV29" s="47"/>
      <c r="NWW29" s="47"/>
      <c r="NWX29" s="47"/>
      <c r="NWY29" s="47"/>
      <c r="NWZ29" s="47"/>
      <c r="NXA29" s="47"/>
      <c r="NXB29" s="47"/>
      <c r="NXC29" s="47"/>
      <c r="NXD29" s="47"/>
      <c r="NXE29" s="47"/>
      <c r="NXF29" s="47"/>
      <c r="NXG29" s="47"/>
      <c r="NXH29" s="47"/>
      <c r="NXI29" s="47"/>
      <c r="NXJ29" s="47"/>
      <c r="NXK29" s="47"/>
      <c r="NXL29" s="47"/>
      <c r="NXM29" s="47"/>
      <c r="NXN29" s="47"/>
      <c r="NXO29" s="47"/>
      <c r="NXP29" s="47"/>
      <c r="NXQ29" s="47"/>
      <c r="NXR29" s="47"/>
      <c r="NXS29" s="47"/>
      <c r="NXT29" s="47"/>
      <c r="NXU29" s="47"/>
      <c r="NXV29" s="47"/>
      <c r="NXW29" s="47"/>
      <c r="NXX29" s="47"/>
      <c r="NXY29" s="47"/>
      <c r="NXZ29" s="47"/>
      <c r="NYA29" s="47"/>
      <c r="NYB29" s="47"/>
      <c r="NYC29" s="47"/>
      <c r="NYD29" s="47"/>
      <c r="NYE29" s="47"/>
      <c r="NYF29" s="47"/>
      <c r="NYG29" s="47"/>
      <c r="NYH29" s="47"/>
      <c r="NYI29" s="47"/>
      <c r="NYJ29" s="47"/>
      <c r="NYK29" s="47"/>
      <c r="NYL29" s="47"/>
      <c r="NYM29" s="47"/>
      <c r="NYN29" s="47"/>
      <c r="NYO29" s="47"/>
      <c r="NYP29" s="47"/>
      <c r="NYQ29" s="47"/>
      <c r="NYR29" s="47"/>
      <c r="NYS29" s="47"/>
      <c r="NYT29" s="47"/>
      <c r="NYU29" s="47"/>
      <c r="NYV29" s="47"/>
      <c r="NYW29" s="47"/>
      <c r="NYX29" s="47"/>
      <c r="NYY29" s="47"/>
      <c r="NYZ29" s="47"/>
      <c r="NZA29" s="47"/>
      <c r="NZB29" s="47"/>
      <c r="NZC29" s="47"/>
      <c r="NZD29" s="47"/>
      <c r="NZE29" s="47"/>
      <c r="NZF29" s="47"/>
      <c r="NZG29" s="47"/>
      <c r="NZH29" s="47"/>
      <c r="NZI29" s="47"/>
      <c r="NZJ29" s="47"/>
      <c r="NZK29" s="47"/>
      <c r="NZL29" s="47"/>
      <c r="NZM29" s="47"/>
      <c r="NZN29" s="47"/>
      <c r="NZO29" s="47"/>
      <c r="NZP29" s="47"/>
      <c r="NZQ29" s="47"/>
      <c r="NZR29" s="47"/>
      <c r="NZS29" s="47"/>
      <c r="NZT29" s="47"/>
      <c r="NZU29" s="47"/>
      <c r="NZV29" s="47"/>
      <c r="NZW29" s="47"/>
      <c r="NZX29" s="47"/>
      <c r="NZY29" s="47"/>
      <c r="NZZ29" s="47"/>
      <c r="OAA29" s="47"/>
      <c r="OAB29" s="47"/>
      <c r="OAC29" s="47"/>
      <c r="OAD29" s="47"/>
      <c r="OAE29" s="47"/>
      <c r="OAF29" s="47"/>
      <c r="OAG29" s="47"/>
      <c r="OAH29" s="47"/>
      <c r="OAI29" s="47"/>
      <c r="OAJ29" s="47"/>
      <c r="OAK29" s="47"/>
      <c r="OAL29" s="47"/>
      <c r="OAM29" s="47"/>
      <c r="OAN29" s="47"/>
      <c r="OAO29" s="47"/>
      <c r="OAP29" s="47"/>
      <c r="OAQ29" s="47"/>
      <c r="OAR29" s="47"/>
      <c r="OAS29" s="47"/>
      <c r="OAT29" s="47"/>
      <c r="OAU29" s="47"/>
      <c r="OAV29" s="47"/>
      <c r="OAW29" s="47"/>
      <c r="OAX29" s="47"/>
      <c r="OAY29" s="47"/>
      <c r="OAZ29" s="47"/>
      <c r="OBA29" s="47"/>
      <c r="OBB29" s="47"/>
      <c r="OBC29" s="47"/>
      <c r="OBD29" s="47"/>
      <c r="OBE29" s="47"/>
      <c r="OBF29" s="47"/>
      <c r="OBG29" s="47"/>
      <c r="OBH29" s="47"/>
      <c r="OBI29" s="47"/>
      <c r="OBJ29" s="47"/>
      <c r="OBK29" s="47"/>
      <c r="OBL29" s="47"/>
      <c r="OBM29" s="47"/>
      <c r="OBN29" s="47"/>
      <c r="OBO29" s="47"/>
      <c r="OBP29" s="47"/>
      <c r="OBQ29" s="47"/>
      <c r="OBR29" s="47"/>
      <c r="OBS29" s="47"/>
      <c r="OBT29" s="47"/>
      <c r="OBU29" s="47"/>
      <c r="OBV29" s="47"/>
      <c r="OBW29" s="47"/>
      <c r="OBX29" s="47"/>
      <c r="OBY29" s="47"/>
      <c r="OBZ29" s="47"/>
      <c r="OCA29" s="47"/>
      <c r="OCB29" s="47"/>
      <c r="OCC29" s="47"/>
      <c r="OCD29" s="47"/>
      <c r="OCE29" s="47"/>
      <c r="OCF29" s="47"/>
      <c r="OCG29" s="47"/>
      <c r="OCH29" s="47"/>
      <c r="OCI29" s="47"/>
      <c r="OCJ29" s="47"/>
      <c r="OCK29" s="47"/>
      <c r="OCL29" s="47"/>
      <c r="OCM29" s="47"/>
      <c r="OCN29" s="47"/>
      <c r="OCO29" s="47"/>
      <c r="OCP29" s="47"/>
      <c r="OCQ29" s="47"/>
      <c r="OCR29" s="47"/>
      <c r="OCS29" s="47"/>
      <c r="OCT29" s="47"/>
      <c r="OCU29" s="47"/>
      <c r="OCV29" s="47"/>
      <c r="OCW29" s="47"/>
      <c r="OCX29" s="47"/>
      <c r="OCY29" s="47"/>
      <c r="OCZ29" s="47"/>
      <c r="ODA29" s="47"/>
      <c r="ODB29" s="47"/>
      <c r="ODC29" s="47"/>
      <c r="ODD29" s="47"/>
      <c r="ODE29" s="47"/>
      <c r="ODF29" s="47"/>
      <c r="ODG29" s="47"/>
      <c r="ODH29" s="47"/>
      <c r="ODI29" s="47"/>
      <c r="ODJ29" s="47"/>
      <c r="ODK29" s="47"/>
      <c r="ODL29" s="47"/>
      <c r="ODM29" s="47"/>
      <c r="ODN29" s="47"/>
      <c r="ODO29" s="47"/>
      <c r="ODP29" s="47"/>
      <c r="ODQ29" s="47"/>
      <c r="ODR29" s="47"/>
      <c r="ODS29" s="47"/>
      <c r="ODT29" s="47"/>
      <c r="ODU29" s="47"/>
      <c r="ODV29" s="47"/>
      <c r="ODW29" s="47"/>
      <c r="ODX29" s="47"/>
      <c r="ODY29" s="47"/>
      <c r="ODZ29" s="47"/>
      <c r="OEA29" s="47"/>
      <c r="OEB29" s="47"/>
      <c r="OEC29" s="47"/>
      <c r="OED29" s="47"/>
      <c r="OEE29" s="47"/>
      <c r="OEF29" s="47"/>
      <c r="OEG29" s="47"/>
      <c r="OEH29" s="47"/>
      <c r="OEI29" s="47"/>
      <c r="OEJ29" s="47"/>
      <c r="OEK29" s="47"/>
      <c r="OEL29" s="47"/>
      <c r="OEM29" s="47"/>
      <c r="OEN29" s="47"/>
      <c r="OEO29" s="47"/>
      <c r="OEP29" s="47"/>
      <c r="OEQ29" s="47"/>
      <c r="OER29" s="47"/>
      <c r="OES29" s="47"/>
      <c r="OET29" s="47"/>
      <c r="OEU29" s="47"/>
      <c r="OEV29" s="47"/>
      <c r="OEW29" s="47"/>
      <c r="OEX29" s="47"/>
      <c r="OEY29" s="47"/>
      <c r="OEZ29" s="47"/>
      <c r="OFA29" s="47"/>
      <c r="OFB29" s="47"/>
      <c r="OFC29" s="47"/>
      <c r="OFD29" s="47"/>
      <c r="OFE29" s="47"/>
      <c r="OFF29" s="47"/>
      <c r="OFG29" s="47"/>
      <c r="OFH29" s="47"/>
      <c r="OFI29" s="47"/>
      <c r="OFJ29" s="47"/>
      <c r="OFK29" s="47"/>
      <c r="OFL29" s="47"/>
      <c r="OFM29" s="47"/>
      <c r="OFN29" s="47"/>
      <c r="OFO29" s="47"/>
      <c r="OFP29" s="47"/>
      <c r="OFQ29" s="47"/>
      <c r="OFR29" s="47"/>
      <c r="OFS29" s="47"/>
      <c r="OFT29" s="47"/>
      <c r="OFU29" s="47"/>
      <c r="OFV29" s="47"/>
      <c r="OFW29" s="47"/>
      <c r="OFX29" s="47"/>
      <c r="OFY29" s="47"/>
      <c r="OFZ29" s="47"/>
      <c r="OGA29" s="47"/>
      <c r="OGB29" s="47"/>
      <c r="OGC29" s="47"/>
      <c r="OGD29" s="47"/>
      <c r="OGE29" s="47"/>
      <c r="OGF29" s="47"/>
      <c r="OGG29" s="47"/>
      <c r="OGH29" s="47"/>
      <c r="OGI29" s="47"/>
      <c r="OGJ29" s="47"/>
      <c r="OGK29" s="47"/>
      <c r="OGL29" s="47"/>
      <c r="OGM29" s="47"/>
      <c r="OGN29" s="47"/>
      <c r="OGO29" s="47"/>
      <c r="OGP29" s="47"/>
      <c r="OGQ29" s="47"/>
      <c r="OGR29" s="47"/>
      <c r="OGS29" s="47"/>
      <c r="OGT29" s="47"/>
      <c r="OGU29" s="47"/>
      <c r="OGV29" s="47"/>
      <c r="OGW29" s="47"/>
      <c r="OGX29" s="47"/>
      <c r="OGY29" s="47"/>
      <c r="OGZ29" s="47"/>
      <c r="OHA29" s="47"/>
      <c r="OHB29" s="47"/>
      <c r="OHC29" s="47"/>
      <c r="OHD29" s="47"/>
      <c r="OHE29" s="47"/>
      <c r="OHF29" s="47"/>
      <c r="OHG29" s="47"/>
      <c r="OHH29" s="47"/>
      <c r="OHI29" s="47"/>
      <c r="OHJ29" s="47"/>
      <c r="OHK29" s="47"/>
      <c r="OHL29" s="47"/>
      <c r="OHM29" s="47"/>
      <c r="OHN29" s="47"/>
      <c r="OHO29" s="47"/>
      <c r="OHP29" s="47"/>
      <c r="OHQ29" s="47"/>
      <c r="OHR29" s="47"/>
      <c r="OHS29" s="47"/>
      <c r="OHT29" s="47"/>
      <c r="OHU29" s="47"/>
      <c r="OHV29" s="47"/>
      <c r="OHW29" s="47"/>
      <c r="OHX29" s="47"/>
      <c r="OHY29" s="47"/>
      <c r="OHZ29" s="47"/>
      <c r="OIA29" s="47"/>
      <c r="OIB29" s="47"/>
      <c r="OIC29" s="47"/>
      <c r="OID29" s="47"/>
      <c r="OIE29" s="47"/>
      <c r="OIF29" s="47"/>
      <c r="OIG29" s="47"/>
      <c r="OIH29" s="47"/>
      <c r="OII29" s="47"/>
      <c r="OIJ29" s="47"/>
      <c r="OIK29" s="47"/>
      <c r="OIL29" s="47"/>
      <c r="OIM29" s="47"/>
      <c r="OIN29" s="47"/>
      <c r="OIO29" s="47"/>
      <c r="OIP29" s="47"/>
      <c r="OIQ29" s="47"/>
      <c r="OIR29" s="47"/>
      <c r="OIS29" s="47"/>
      <c r="OIT29" s="47"/>
      <c r="OIU29" s="47"/>
      <c r="OIV29" s="47"/>
      <c r="OIW29" s="47"/>
      <c r="OIX29" s="47"/>
      <c r="OIY29" s="47"/>
      <c r="OIZ29" s="47"/>
      <c r="OJA29" s="47"/>
      <c r="OJB29" s="47"/>
      <c r="OJC29" s="47"/>
      <c r="OJD29" s="47"/>
      <c r="OJE29" s="47"/>
      <c r="OJF29" s="47"/>
      <c r="OJG29" s="47"/>
      <c r="OJH29" s="47"/>
      <c r="OJI29" s="47"/>
      <c r="OJJ29" s="47"/>
      <c r="OJK29" s="47"/>
      <c r="OJL29" s="47"/>
      <c r="OJM29" s="47"/>
      <c r="OJN29" s="47"/>
      <c r="OJO29" s="47"/>
      <c r="OJP29" s="47"/>
      <c r="OJQ29" s="47"/>
      <c r="OJR29" s="47"/>
      <c r="OJS29" s="47"/>
      <c r="OJT29" s="47"/>
      <c r="OJU29" s="47"/>
      <c r="OJV29" s="47"/>
      <c r="OJW29" s="47"/>
      <c r="OJX29" s="47"/>
      <c r="OJY29" s="47"/>
      <c r="OJZ29" s="47"/>
      <c r="OKA29" s="47"/>
      <c r="OKB29" s="47"/>
      <c r="OKC29" s="47"/>
      <c r="OKD29" s="47"/>
      <c r="OKE29" s="47"/>
      <c r="OKF29" s="47"/>
      <c r="OKG29" s="47"/>
      <c r="OKH29" s="47"/>
      <c r="OKI29" s="47"/>
      <c r="OKJ29" s="47"/>
      <c r="OKK29" s="47"/>
      <c r="OKL29" s="47"/>
      <c r="OKM29" s="47"/>
      <c r="OKN29" s="47"/>
      <c r="OKO29" s="47"/>
      <c r="OKP29" s="47"/>
      <c r="OKQ29" s="47"/>
      <c r="OKR29" s="47"/>
      <c r="OKS29" s="47"/>
      <c r="OKT29" s="47"/>
      <c r="OKU29" s="47"/>
      <c r="OKV29" s="47"/>
      <c r="OKW29" s="47"/>
      <c r="OKX29" s="47"/>
      <c r="OKY29" s="47"/>
      <c r="OKZ29" s="47"/>
      <c r="OLA29" s="47"/>
      <c r="OLB29" s="47"/>
      <c r="OLC29" s="47"/>
      <c r="OLD29" s="47"/>
      <c r="OLE29" s="47"/>
      <c r="OLF29" s="47"/>
      <c r="OLG29" s="47"/>
      <c r="OLH29" s="47"/>
      <c r="OLI29" s="47"/>
      <c r="OLJ29" s="47"/>
      <c r="OLK29" s="47"/>
      <c r="OLL29" s="47"/>
      <c r="OLM29" s="47"/>
      <c r="OLN29" s="47"/>
      <c r="OLO29" s="47"/>
      <c r="OLP29" s="47"/>
      <c r="OLQ29" s="47"/>
      <c r="OLR29" s="47"/>
      <c r="OLS29" s="47"/>
      <c r="OLT29" s="47"/>
      <c r="OLU29" s="47"/>
      <c r="OLV29" s="47"/>
      <c r="OLW29" s="47"/>
      <c r="OLX29" s="47"/>
      <c r="OLY29" s="47"/>
      <c r="OLZ29" s="47"/>
      <c r="OMA29" s="47"/>
      <c r="OMB29" s="47"/>
      <c r="OMC29" s="47"/>
      <c r="OMD29" s="47"/>
      <c r="OME29" s="47"/>
      <c r="OMF29" s="47"/>
      <c r="OMG29" s="47"/>
      <c r="OMH29" s="47"/>
      <c r="OMI29" s="47"/>
      <c r="OMJ29" s="47"/>
      <c r="OMK29" s="47"/>
      <c r="OML29" s="47"/>
      <c r="OMM29" s="47"/>
      <c r="OMN29" s="47"/>
      <c r="OMO29" s="47"/>
      <c r="OMP29" s="47"/>
      <c r="OMQ29" s="47"/>
      <c r="OMR29" s="47"/>
      <c r="OMS29" s="47"/>
      <c r="OMT29" s="47"/>
      <c r="OMU29" s="47"/>
      <c r="OMV29" s="47"/>
      <c r="OMW29" s="47"/>
      <c r="OMX29" s="47"/>
      <c r="OMY29" s="47"/>
      <c r="OMZ29" s="47"/>
      <c r="ONA29" s="47"/>
      <c r="ONB29" s="47"/>
      <c r="ONC29" s="47"/>
      <c r="OND29" s="47"/>
      <c r="ONE29" s="47"/>
      <c r="ONF29" s="47"/>
      <c r="ONG29" s="47"/>
      <c r="ONH29" s="47"/>
      <c r="ONI29" s="47"/>
      <c r="ONJ29" s="47"/>
      <c r="ONK29" s="47"/>
      <c r="ONL29" s="47"/>
      <c r="ONM29" s="47"/>
      <c r="ONN29" s="47"/>
      <c r="ONO29" s="47"/>
      <c r="ONP29" s="47"/>
      <c r="ONQ29" s="47"/>
      <c r="ONR29" s="47"/>
      <c r="ONS29" s="47"/>
      <c r="ONT29" s="47"/>
      <c r="ONU29" s="47"/>
      <c r="ONV29" s="47"/>
      <c r="ONW29" s="47"/>
      <c r="ONX29" s="47"/>
      <c r="ONY29" s="47"/>
      <c r="ONZ29" s="47"/>
      <c r="OOA29" s="47"/>
      <c r="OOB29" s="47"/>
      <c r="OOC29" s="47"/>
      <c r="OOD29" s="47"/>
      <c r="OOE29" s="47"/>
      <c r="OOF29" s="47"/>
      <c r="OOG29" s="47"/>
      <c r="OOH29" s="47"/>
      <c r="OOI29" s="47"/>
      <c r="OOJ29" s="47"/>
      <c r="OOK29" s="47"/>
      <c r="OOL29" s="47"/>
      <c r="OOM29" s="47"/>
      <c r="OON29" s="47"/>
      <c r="OOO29" s="47"/>
      <c r="OOP29" s="47"/>
      <c r="OOQ29" s="47"/>
      <c r="OOR29" s="47"/>
      <c r="OOS29" s="47"/>
      <c r="OOT29" s="47"/>
      <c r="OOU29" s="47"/>
      <c r="OOV29" s="47"/>
      <c r="OOW29" s="47"/>
      <c r="OOX29" s="47"/>
      <c r="OOY29" s="47"/>
      <c r="OOZ29" s="47"/>
      <c r="OPA29" s="47"/>
      <c r="OPB29" s="47"/>
      <c r="OPC29" s="47"/>
      <c r="OPD29" s="47"/>
      <c r="OPE29" s="47"/>
      <c r="OPF29" s="47"/>
      <c r="OPG29" s="47"/>
      <c r="OPH29" s="47"/>
      <c r="OPI29" s="47"/>
      <c r="OPJ29" s="47"/>
      <c r="OPK29" s="47"/>
      <c r="OPL29" s="47"/>
      <c r="OPM29" s="47"/>
      <c r="OPN29" s="47"/>
      <c r="OPO29" s="47"/>
      <c r="OPP29" s="47"/>
      <c r="OPQ29" s="47"/>
      <c r="OPR29" s="47"/>
      <c r="OPS29" s="47"/>
      <c r="OPT29" s="47"/>
      <c r="OPU29" s="47"/>
      <c r="OPV29" s="47"/>
      <c r="OPW29" s="47"/>
      <c r="OPX29" s="47"/>
      <c r="OPY29" s="47"/>
      <c r="OPZ29" s="47"/>
      <c r="OQA29" s="47"/>
      <c r="OQB29" s="47"/>
      <c r="OQC29" s="47"/>
      <c r="OQD29" s="47"/>
      <c r="OQE29" s="47"/>
      <c r="OQF29" s="47"/>
      <c r="OQG29" s="47"/>
      <c r="OQH29" s="47"/>
      <c r="OQI29" s="47"/>
      <c r="OQJ29" s="47"/>
      <c r="OQK29" s="47"/>
      <c r="OQL29" s="47"/>
      <c r="OQM29" s="47"/>
      <c r="OQN29" s="47"/>
      <c r="OQO29" s="47"/>
      <c r="OQP29" s="47"/>
      <c r="OQQ29" s="47"/>
      <c r="OQR29" s="47"/>
      <c r="OQS29" s="47"/>
      <c r="OQT29" s="47"/>
      <c r="OQU29" s="47"/>
      <c r="OQV29" s="47"/>
      <c r="OQW29" s="47"/>
      <c r="OQX29" s="47"/>
      <c r="OQY29" s="47"/>
      <c r="OQZ29" s="47"/>
      <c r="ORA29" s="47"/>
      <c r="ORB29" s="47"/>
      <c r="ORC29" s="47"/>
      <c r="ORD29" s="47"/>
      <c r="ORE29" s="47"/>
      <c r="ORF29" s="47"/>
      <c r="ORG29" s="47"/>
      <c r="ORH29" s="47"/>
      <c r="ORI29" s="47"/>
      <c r="ORJ29" s="47"/>
      <c r="ORK29" s="47"/>
      <c r="ORL29" s="47"/>
      <c r="ORM29" s="47"/>
      <c r="ORN29" s="47"/>
      <c r="ORO29" s="47"/>
      <c r="ORP29" s="47"/>
      <c r="ORQ29" s="47"/>
      <c r="ORR29" s="47"/>
      <c r="ORS29" s="47"/>
      <c r="ORT29" s="47"/>
      <c r="ORU29" s="47"/>
      <c r="ORV29" s="47"/>
      <c r="ORW29" s="47"/>
      <c r="ORX29" s="47"/>
      <c r="ORY29" s="47"/>
      <c r="ORZ29" s="47"/>
      <c r="OSA29" s="47"/>
      <c r="OSB29" s="47"/>
      <c r="OSC29" s="47"/>
      <c r="OSD29" s="47"/>
      <c r="OSE29" s="47"/>
      <c r="OSF29" s="47"/>
      <c r="OSG29" s="47"/>
      <c r="OSH29" s="47"/>
      <c r="OSI29" s="47"/>
      <c r="OSJ29" s="47"/>
      <c r="OSK29" s="47"/>
      <c r="OSL29" s="47"/>
      <c r="OSM29" s="47"/>
      <c r="OSN29" s="47"/>
      <c r="OSO29" s="47"/>
      <c r="OSP29" s="47"/>
      <c r="OSQ29" s="47"/>
      <c r="OSR29" s="47"/>
      <c r="OSS29" s="47"/>
      <c r="OST29" s="47"/>
      <c r="OSU29" s="47"/>
      <c r="OSV29" s="47"/>
      <c r="OSW29" s="47"/>
      <c r="OSX29" s="47"/>
      <c r="OSY29" s="47"/>
      <c r="OSZ29" s="47"/>
      <c r="OTA29" s="47"/>
      <c r="OTB29" s="47"/>
      <c r="OTC29" s="47"/>
      <c r="OTD29" s="47"/>
      <c r="OTE29" s="47"/>
      <c r="OTF29" s="47"/>
      <c r="OTG29" s="47"/>
      <c r="OTH29" s="47"/>
      <c r="OTI29" s="47"/>
      <c r="OTJ29" s="47"/>
      <c r="OTK29" s="47"/>
      <c r="OTL29" s="47"/>
      <c r="OTM29" s="47"/>
      <c r="OTN29" s="47"/>
      <c r="OTO29" s="47"/>
      <c r="OTP29" s="47"/>
      <c r="OTQ29" s="47"/>
      <c r="OTR29" s="47"/>
      <c r="OTS29" s="47"/>
      <c r="OTT29" s="47"/>
      <c r="OTU29" s="47"/>
      <c r="OTV29" s="47"/>
      <c r="OTW29" s="47"/>
      <c r="OTX29" s="47"/>
      <c r="OTY29" s="47"/>
      <c r="OTZ29" s="47"/>
      <c r="OUA29" s="47"/>
      <c r="OUB29" s="47"/>
      <c r="OUC29" s="47"/>
      <c r="OUD29" s="47"/>
      <c r="OUE29" s="47"/>
      <c r="OUF29" s="47"/>
      <c r="OUG29" s="47"/>
      <c r="OUH29" s="47"/>
      <c r="OUI29" s="47"/>
      <c r="OUJ29" s="47"/>
      <c r="OUK29" s="47"/>
      <c r="OUL29" s="47"/>
      <c r="OUM29" s="47"/>
      <c r="OUN29" s="47"/>
      <c r="OUO29" s="47"/>
      <c r="OUP29" s="47"/>
      <c r="OUQ29" s="47"/>
      <c r="OUR29" s="47"/>
      <c r="OUS29" s="47"/>
      <c r="OUT29" s="47"/>
      <c r="OUU29" s="47"/>
      <c r="OUV29" s="47"/>
      <c r="OUW29" s="47"/>
      <c r="OUX29" s="47"/>
      <c r="OUY29" s="47"/>
      <c r="OUZ29" s="47"/>
      <c r="OVA29" s="47"/>
      <c r="OVB29" s="47"/>
      <c r="OVC29" s="47"/>
      <c r="OVD29" s="47"/>
      <c r="OVE29" s="47"/>
      <c r="OVF29" s="47"/>
      <c r="OVG29" s="47"/>
      <c r="OVH29" s="47"/>
      <c r="OVI29" s="47"/>
      <c r="OVJ29" s="47"/>
      <c r="OVK29" s="47"/>
      <c r="OVL29" s="47"/>
      <c r="OVM29" s="47"/>
      <c r="OVN29" s="47"/>
      <c r="OVO29" s="47"/>
      <c r="OVP29" s="47"/>
      <c r="OVQ29" s="47"/>
      <c r="OVR29" s="47"/>
      <c r="OVS29" s="47"/>
      <c r="OVT29" s="47"/>
      <c r="OVU29" s="47"/>
      <c r="OVV29" s="47"/>
      <c r="OVW29" s="47"/>
      <c r="OVX29" s="47"/>
      <c r="OVY29" s="47"/>
      <c r="OVZ29" s="47"/>
      <c r="OWA29" s="47"/>
      <c r="OWB29" s="47"/>
      <c r="OWC29" s="47"/>
      <c r="OWD29" s="47"/>
      <c r="OWE29" s="47"/>
      <c r="OWF29" s="47"/>
      <c r="OWG29" s="47"/>
      <c r="OWH29" s="47"/>
      <c r="OWI29" s="47"/>
      <c r="OWJ29" s="47"/>
      <c r="OWK29" s="47"/>
      <c r="OWL29" s="47"/>
      <c r="OWM29" s="47"/>
      <c r="OWN29" s="47"/>
      <c r="OWO29" s="47"/>
      <c r="OWP29" s="47"/>
      <c r="OWQ29" s="47"/>
      <c r="OWR29" s="47"/>
      <c r="OWS29" s="47"/>
      <c r="OWT29" s="47"/>
      <c r="OWU29" s="47"/>
      <c r="OWV29" s="47"/>
      <c r="OWW29" s="47"/>
      <c r="OWX29" s="47"/>
      <c r="OWY29" s="47"/>
      <c r="OWZ29" s="47"/>
      <c r="OXA29" s="47"/>
      <c r="OXB29" s="47"/>
      <c r="OXC29" s="47"/>
      <c r="OXD29" s="47"/>
      <c r="OXE29" s="47"/>
      <c r="OXF29" s="47"/>
      <c r="OXG29" s="47"/>
      <c r="OXH29" s="47"/>
      <c r="OXI29" s="47"/>
      <c r="OXJ29" s="47"/>
      <c r="OXK29" s="47"/>
      <c r="OXL29" s="47"/>
      <c r="OXM29" s="47"/>
      <c r="OXN29" s="47"/>
      <c r="OXO29" s="47"/>
      <c r="OXP29" s="47"/>
      <c r="OXQ29" s="47"/>
      <c r="OXR29" s="47"/>
      <c r="OXS29" s="47"/>
      <c r="OXT29" s="47"/>
      <c r="OXU29" s="47"/>
      <c r="OXV29" s="47"/>
      <c r="OXW29" s="47"/>
      <c r="OXX29" s="47"/>
      <c r="OXY29" s="47"/>
      <c r="OXZ29" s="47"/>
      <c r="OYA29" s="47"/>
      <c r="OYB29" s="47"/>
      <c r="OYC29" s="47"/>
      <c r="OYD29" s="47"/>
      <c r="OYE29" s="47"/>
      <c r="OYF29" s="47"/>
      <c r="OYG29" s="47"/>
      <c r="OYH29" s="47"/>
      <c r="OYI29" s="47"/>
      <c r="OYJ29" s="47"/>
      <c r="OYK29" s="47"/>
      <c r="OYL29" s="47"/>
      <c r="OYM29" s="47"/>
      <c r="OYN29" s="47"/>
      <c r="OYO29" s="47"/>
      <c r="OYP29" s="47"/>
      <c r="OYQ29" s="47"/>
      <c r="OYR29" s="47"/>
      <c r="OYS29" s="47"/>
      <c r="OYT29" s="47"/>
      <c r="OYU29" s="47"/>
      <c r="OYV29" s="47"/>
      <c r="OYW29" s="47"/>
      <c r="OYX29" s="47"/>
      <c r="OYY29" s="47"/>
      <c r="OYZ29" s="47"/>
      <c r="OZA29" s="47"/>
      <c r="OZB29" s="47"/>
      <c r="OZC29" s="47"/>
      <c r="OZD29" s="47"/>
      <c r="OZE29" s="47"/>
      <c r="OZF29" s="47"/>
      <c r="OZG29" s="47"/>
      <c r="OZH29" s="47"/>
      <c r="OZI29" s="47"/>
      <c r="OZJ29" s="47"/>
      <c r="OZK29" s="47"/>
      <c r="OZL29" s="47"/>
      <c r="OZM29" s="47"/>
      <c r="OZN29" s="47"/>
      <c r="OZO29" s="47"/>
      <c r="OZP29" s="47"/>
      <c r="OZQ29" s="47"/>
      <c r="OZR29" s="47"/>
      <c r="OZS29" s="47"/>
      <c r="OZT29" s="47"/>
      <c r="OZU29" s="47"/>
      <c r="OZV29" s="47"/>
      <c r="OZW29" s="47"/>
      <c r="OZX29" s="47"/>
      <c r="OZY29" s="47"/>
      <c r="OZZ29" s="47"/>
      <c r="PAA29" s="47"/>
      <c r="PAB29" s="47"/>
      <c r="PAC29" s="47"/>
      <c r="PAD29" s="47"/>
      <c r="PAE29" s="47"/>
      <c r="PAF29" s="47"/>
      <c r="PAG29" s="47"/>
      <c r="PAH29" s="47"/>
      <c r="PAI29" s="47"/>
      <c r="PAJ29" s="47"/>
      <c r="PAK29" s="47"/>
      <c r="PAL29" s="47"/>
      <c r="PAM29" s="47"/>
      <c r="PAN29" s="47"/>
      <c r="PAO29" s="47"/>
      <c r="PAP29" s="47"/>
      <c r="PAQ29" s="47"/>
      <c r="PAR29" s="47"/>
      <c r="PAS29" s="47"/>
      <c r="PAT29" s="47"/>
      <c r="PAU29" s="47"/>
      <c r="PAV29" s="47"/>
      <c r="PAW29" s="47"/>
      <c r="PAX29" s="47"/>
      <c r="PAY29" s="47"/>
      <c r="PAZ29" s="47"/>
      <c r="PBA29" s="47"/>
      <c r="PBB29" s="47"/>
      <c r="PBC29" s="47"/>
      <c r="PBD29" s="47"/>
      <c r="PBE29" s="47"/>
      <c r="PBF29" s="47"/>
      <c r="PBG29" s="47"/>
      <c r="PBH29" s="47"/>
      <c r="PBI29" s="47"/>
      <c r="PBJ29" s="47"/>
      <c r="PBK29" s="47"/>
      <c r="PBL29" s="47"/>
      <c r="PBM29" s="47"/>
      <c r="PBN29" s="47"/>
      <c r="PBO29" s="47"/>
      <c r="PBP29" s="47"/>
      <c r="PBQ29" s="47"/>
      <c r="PBR29" s="47"/>
      <c r="PBS29" s="47"/>
      <c r="PBT29" s="47"/>
      <c r="PBU29" s="47"/>
      <c r="PBV29" s="47"/>
      <c r="PBW29" s="47"/>
      <c r="PBX29" s="47"/>
      <c r="PBY29" s="47"/>
      <c r="PBZ29" s="47"/>
      <c r="PCA29" s="47"/>
      <c r="PCB29" s="47"/>
      <c r="PCC29" s="47"/>
      <c r="PCD29" s="47"/>
      <c r="PCE29" s="47"/>
      <c r="PCF29" s="47"/>
      <c r="PCG29" s="47"/>
      <c r="PCH29" s="47"/>
      <c r="PCI29" s="47"/>
      <c r="PCJ29" s="47"/>
      <c r="PCK29" s="47"/>
      <c r="PCL29" s="47"/>
      <c r="PCM29" s="47"/>
      <c r="PCN29" s="47"/>
      <c r="PCO29" s="47"/>
      <c r="PCP29" s="47"/>
      <c r="PCQ29" s="47"/>
      <c r="PCR29" s="47"/>
      <c r="PCS29" s="47"/>
      <c r="PCT29" s="47"/>
      <c r="PCU29" s="47"/>
      <c r="PCV29" s="47"/>
      <c r="PCW29" s="47"/>
      <c r="PCX29" s="47"/>
      <c r="PCY29" s="47"/>
      <c r="PCZ29" s="47"/>
      <c r="PDA29" s="47"/>
      <c r="PDB29" s="47"/>
      <c r="PDC29" s="47"/>
      <c r="PDD29" s="47"/>
      <c r="PDE29" s="47"/>
      <c r="PDF29" s="47"/>
      <c r="PDG29" s="47"/>
      <c r="PDH29" s="47"/>
      <c r="PDI29" s="47"/>
      <c r="PDJ29" s="47"/>
      <c r="PDK29" s="47"/>
      <c r="PDL29" s="47"/>
      <c r="PDM29" s="47"/>
      <c r="PDN29" s="47"/>
      <c r="PDO29" s="47"/>
      <c r="PDP29" s="47"/>
      <c r="PDQ29" s="47"/>
      <c r="PDR29" s="47"/>
      <c r="PDS29" s="47"/>
      <c r="PDT29" s="47"/>
      <c r="PDU29" s="47"/>
      <c r="PDV29" s="47"/>
      <c r="PDW29" s="47"/>
      <c r="PDX29" s="47"/>
      <c r="PDY29" s="47"/>
      <c r="PDZ29" s="47"/>
      <c r="PEA29" s="47"/>
      <c r="PEB29" s="47"/>
      <c r="PEC29" s="47"/>
      <c r="PED29" s="47"/>
      <c r="PEE29" s="47"/>
      <c r="PEF29" s="47"/>
      <c r="PEG29" s="47"/>
      <c r="PEH29" s="47"/>
      <c r="PEI29" s="47"/>
      <c r="PEJ29" s="47"/>
      <c r="PEK29" s="47"/>
      <c r="PEL29" s="47"/>
      <c r="PEM29" s="47"/>
      <c r="PEN29" s="47"/>
      <c r="PEO29" s="47"/>
      <c r="PEP29" s="47"/>
      <c r="PEQ29" s="47"/>
      <c r="PER29" s="47"/>
      <c r="PES29" s="47"/>
      <c r="PET29" s="47"/>
      <c r="PEU29" s="47"/>
      <c r="PEV29" s="47"/>
      <c r="PEW29" s="47"/>
      <c r="PEX29" s="47"/>
      <c r="PEY29" s="47"/>
      <c r="PEZ29" s="47"/>
      <c r="PFA29" s="47"/>
      <c r="PFB29" s="47"/>
      <c r="PFC29" s="47"/>
      <c r="PFD29" s="47"/>
      <c r="PFE29" s="47"/>
      <c r="PFF29" s="47"/>
      <c r="PFG29" s="47"/>
      <c r="PFH29" s="47"/>
      <c r="PFI29" s="47"/>
      <c r="PFJ29" s="47"/>
      <c r="PFK29" s="47"/>
      <c r="PFL29" s="47"/>
      <c r="PFM29" s="47"/>
      <c r="PFN29" s="47"/>
      <c r="PFO29" s="47"/>
      <c r="PFP29" s="47"/>
      <c r="PFQ29" s="47"/>
      <c r="PFR29" s="47"/>
      <c r="PFS29" s="47"/>
      <c r="PFT29" s="47"/>
      <c r="PFU29" s="47"/>
      <c r="PFV29" s="47"/>
      <c r="PFW29" s="47"/>
      <c r="PFX29" s="47"/>
      <c r="PFY29" s="47"/>
      <c r="PFZ29" s="47"/>
      <c r="PGA29" s="47"/>
      <c r="PGB29" s="47"/>
      <c r="PGC29" s="47"/>
      <c r="PGD29" s="47"/>
      <c r="PGE29" s="47"/>
      <c r="PGF29" s="47"/>
      <c r="PGG29" s="47"/>
      <c r="PGH29" s="47"/>
      <c r="PGI29" s="47"/>
      <c r="PGJ29" s="47"/>
      <c r="PGK29" s="47"/>
      <c r="PGL29" s="47"/>
      <c r="PGM29" s="47"/>
      <c r="PGN29" s="47"/>
      <c r="PGO29" s="47"/>
      <c r="PGP29" s="47"/>
      <c r="PGQ29" s="47"/>
      <c r="PGR29" s="47"/>
      <c r="PGS29" s="47"/>
      <c r="PGT29" s="47"/>
      <c r="PGU29" s="47"/>
      <c r="PGV29" s="47"/>
      <c r="PGW29" s="47"/>
      <c r="PGX29" s="47"/>
      <c r="PGY29" s="47"/>
      <c r="PGZ29" s="47"/>
      <c r="PHA29" s="47"/>
      <c r="PHB29" s="47"/>
      <c r="PHC29" s="47"/>
      <c r="PHD29" s="47"/>
      <c r="PHE29" s="47"/>
      <c r="PHF29" s="47"/>
      <c r="PHG29" s="47"/>
      <c r="PHH29" s="47"/>
      <c r="PHI29" s="47"/>
      <c r="PHJ29" s="47"/>
      <c r="PHK29" s="47"/>
      <c r="PHL29" s="47"/>
      <c r="PHM29" s="47"/>
      <c r="PHN29" s="47"/>
      <c r="PHO29" s="47"/>
      <c r="PHP29" s="47"/>
      <c r="PHQ29" s="47"/>
      <c r="PHR29" s="47"/>
      <c r="PHS29" s="47"/>
      <c r="PHT29" s="47"/>
      <c r="PHU29" s="47"/>
      <c r="PHV29" s="47"/>
      <c r="PHW29" s="47"/>
      <c r="PHX29" s="47"/>
      <c r="PHY29" s="47"/>
      <c r="PHZ29" s="47"/>
      <c r="PIA29" s="47"/>
      <c r="PIB29" s="47"/>
      <c r="PIC29" s="47"/>
      <c r="PID29" s="47"/>
      <c r="PIE29" s="47"/>
      <c r="PIF29" s="47"/>
      <c r="PIG29" s="47"/>
      <c r="PIH29" s="47"/>
      <c r="PII29" s="47"/>
      <c r="PIJ29" s="47"/>
      <c r="PIK29" s="47"/>
      <c r="PIL29" s="47"/>
      <c r="PIM29" s="47"/>
      <c r="PIN29" s="47"/>
      <c r="PIO29" s="47"/>
      <c r="PIP29" s="47"/>
      <c r="PIQ29" s="47"/>
      <c r="PIR29" s="47"/>
      <c r="PIS29" s="47"/>
      <c r="PIT29" s="47"/>
      <c r="PIU29" s="47"/>
      <c r="PIV29" s="47"/>
      <c r="PIW29" s="47"/>
      <c r="PIX29" s="47"/>
      <c r="PIY29" s="47"/>
      <c r="PIZ29" s="47"/>
      <c r="PJA29" s="47"/>
      <c r="PJB29" s="47"/>
      <c r="PJC29" s="47"/>
      <c r="PJD29" s="47"/>
      <c r="PJE29" s="47"/>
      <c r="PJF29" s="47"/>
      <c r="PJG29" s="47"/>
      <c r="PJH29" s="47"/>
      <c r="PJI29" s="47"/>
      <c r="PJJ29" s="47"/>
      <c r="PJK29" s="47"/>
      <c r="PJL29" s="47"/>
      <c r="PJM29" s="47"/>
      <c r="PJN29" s="47"/>
      <c r="PJO29" s="47"/>
      <c r="PJP29" s="47"/>
      <c r="PJQ29" s="47"/>
      <c r="PJR29" s="47"/>
      <c r="PJS29" s="47"/>
      <c r="PJT29" s="47"/>
      <c r="PJU29" s="47"/>
      <c r="PJV29" s="47"/>
      <c r="PJW29" s="47"/>
      <c r="PJX29" s="47"/>
      <c r="PJY29" s="47"/>
      <c r="PJZ29" s="47"/>
      <c r="PKA29" s="47"/>
      <c r="PKB29" s="47"/>
      <c r="PKC29" s="47"/>
      <c r="PKD29" s="47"/>
      <c r="PKE29" s="47"/>
      <c r="PKF29" s="47"/>
      <c r="PKG29" s="47"/>
      <c r="PKH29" s="47"/>
      <c r="PKI29" s="47"/>
      <c r="PKJ29" s="47"/>
      <c r="PKK29" s="47"/>
      <c r="PKL29" s="47"/>
      <c r="PKM29" s="47"/>
      <c r="PKN29" s="47"/>
      <c r="PKO29" s="47"/>
      <c r="PKP29" s="47"/>
      <c r="PKQ29" s="47"/>
      <c r="PKR29" s="47"/>
      <c r="PKS29" s="47"/>
      <c r="PKT29" s="47"/>
      <c r="PKU29" s="47"/>
      <c r="PKV29" s="47"/>
      <c r="PKW29" s="47"/>
      <c r="PKX29" s="47"/>
      <c r="PKY29" s="47"/>
      <c r="PKZ29" s="47"/>
      <c r="PLA29" s="47"/>
      <c r="PLB29" s="47"/>
      <c r="PLC29" s="47"/>
      <c r="PLD29" s="47"/>
      <c r="PLE29" s="47"/>
      <c r="PLF29" s="47"/>
      <c r="PLG29" s="47"/>
      <c r="PLH29" s="47"/>
      <c r="PLI29" s="47"/>
      <c r="PLJ29" s="47"/>
      <c r="PLK29" s="47"/>
      <c r="PLL29" s="47"/>
      <c r="PLM29" s="47"/>
      <c r="PLN29" s="47"/>
      <c r="PLO29" s="47"/>
      <c r="PLP29" s="47"/>
      <c r="PLQ29" s="47"/>
      <c r="PLR29" s="47"/>
      <c r="PLS29" s="47"/>
      <c r="PLT29" s="47"/>
      <c r="PLU29" s="47"/>
      <c r="PLV29" s="47"/>
      <c r="PLW29" s="47"/>
      <c r="PLX29" s="47"/>
      <c r="PLY29" s="47"/>
      <c r="PLZ29" s="47"/>
      <c r="PMA29" s="47"/>
      <c r="PMB29" s="47"/>
      <c r="PMC29" s="47"/>
      <c r="PMD29" s="47"/>
      <c r="PME29" s="47"/>
      <c r="PMF29" s="47"/>
      <c r="PMG29" s="47"/>
      <c r="PMH29" s="47"/>
      <c r="PMI29" s="47"/>
      <c r="PMJ29" s="47"/>
      <c r="PMK29" s="47"/>
      <c r="PML29" s="47"/>
      <c r="PMM29" s="47"/>
      <c r="PMN29" s="47"/>
      <c r="PMO29" s="47"/>
      <c r="PMP29" s="47"/>
      <c r="PMQ29" s="47"/>
      <c r="PMR29" s="47"/>
      <c r="PMS29" s="47"/>
      <c r="PMT29" s="47"/>
      <c r="PMU29" s="47"/>
      <c r="PMV29" s="47"/>
      <c r="PMW29" s="47"/>
      <c r="PMX29" s="47"/>
      <c r="PMY29" s="47"/>
      <c r="PMZ29" s="47"/>
      <c r="PNA29" s="47"/>
      <c r="PNB29" s="47"/>
      <c r="PNC29" s="47"/>
      <c r="PND29" s="47"/>
      <c r="PNE29" s="47"/>
      <c r="PNF29" s="47"/>
      <c r="PNG29" s="47"/>
      <c r="PNH29" s="47"/>
      <c r="PNI29" s="47"/>
      <c r="PNJ29" s="47"/>
      <c r="PNK29" s="47"/>
      <c r="PNL29" s="47"/>
      <c r="PNM29" s="47"/>
      <c r="PNN29" s="47"/>
      <c r="PNO29" s="47"/>
      <c r="PNP29" s="47"/>
      <c r="PNQ29" s="47"/>
      <c r="PNR29" s="47"/>
      <c r="PNS29" s="47"/>
      <c r="PNT29" s="47"/>
      <c r="PNU29" s="47"/>
      <c r="PNV29" s="47"/>
      <c r="PNW29" s="47"/>
      <c r="PNX29" s="47"/>
      <c r="PNY29" s="47"/>
      <c r="PNZ29" s="47"/>
      <c r="POA29" s="47"/>
      <c r="POB29" s="47"/>
      <c r="POC29" s="47"/>
      <c r="POD29" s="47"/>
      <c r="POE29" s="47"/>
      <c r="POF29" s="47"/>
      <c r="POG29" s="47"/>
      <c r="POH29" s="47"/>
      <c r="POI29" s="47"/>
      <c r="POJ29" s="47"/>
      <c r="POK29" s="47"/>
      <c r="POL29" s="47"/>
      <c r="POM29" s="47"/>
      <c r="PON29" s="47"/>
      <c r="POO29" s="47"/>
      <c r="POP29" s="47"/>
      <c r="POQ29" s="47"/>
      <c r="POR29" s="47"/>
      <c r="POS29" s="47"/>
      <c r="POT29" s="47"/>
      <c r="POU29" s="47"/>
      <c r="POV29" s="47"/>
      <c r="POW29" s="47"/>
      <c r="POX29" s="47"/>
      <c r="POY29" s="47"/>
      <c r="POZ29" s="47"/>
      <c r="PPA29" s="47"/>
      <c r="PPB29" s="47"/>
      <c r="PPC29" s="47"/>
      <c r="PPD29" s="47"/>
      <c r="PPE29" s="47"/>
      <c r="PPF29" s="47"/>
      <c r="PPG29" s="47"/>
      <c r="PPH29" s="47"/>
      <c r="PPI29" s="47"/>
      <c r="PPJ29" s="47"/>
      <c r="PPK29" s="47"/>
      <c r="PPL29" s="47"/>
      <c r="PPM29" s="47"/>
      <c r="PPN29" s="47"/>
      <c r="PPO29" s="47"/>
      <c r="PPP29" s="47"/>
      <c r="PPQ29" s="47"/>
      <c r="PPR29" s="47"/>
      <c r="PPS29" s="47"/>
      <c r="PPT29" s="47"/>
      <c r="PPU29" s="47"/>
      <c r="PPV29" s="47"/>
      <c r="PPW29" s="47"/>
      <c r="PPX29" s="47"/>
      <c r="PPY29" s="47"/>
      <c r="PPZ29" s="47"/>
      <c r="PQA29" s="47"/>
      <c r="PQB29" s="47"/>
      <c r="PQC29" s="47"/>
      <c r="PQD29" s="47"/>
      <c r="PQE29" s="47"/>
      <c r="PQF29" s="47"/>
      <c r="PQG29" s="47"/>
      <c r="PQH29" s="47"/>
      <c r="PQI29" s="47"/>
      <c r="PQJ29" s="47"/>
      <c r="PQK29" s="47"/>
      <c r="PQL29" s="47"/>
      <c r="PQM29" s="47"/>
      <c r="PQN29" s="47"/>
      <c r="PQO29" s="47"/>
      <c r="PQP29" s="47"/>
      <c r="PQQ29" s="47"/>
      <c r="PQR29" s="47"/>
      <c r="PQS29" s="47"/>
      <c r="PQT29" s="47"/>
      <c r="PQU29" s="47"/>
      <c r="PQV29" s="47"/>
      <c r="PQW29" s="47"/>
      <c r="PQX29" s="47"/>
      <c r="PQY29" s="47"/>
      <c r="PQZ29" s="47"/>
      <c r="PRA29" s="47"/>
      <c r="PRB29" s="47"/>
      <c r="PRC29" s="47"/>
      <c r="PRD29" s="47"/>
      <c r="PRE29" s="47"/>
      <c r="PRF29" s="47"/>
      <c r="PRG29" s="47"/>
      <c r="PRH29" s="47"/>
      <c r="PRI29" s="47"/>
      <c r="PRJ29" s="47"/>
      <c r="PRK29" s="47"/>
      <c r="PRL29" s="47"/>
      <c r="PRM29" s="47"/>
      <c r="PRN29" s="47"/>
      <c r="PRO29" s="47"/>
      <c r="PRP29" s="47"/>
      <c r="PRQ29" s="47"/>
      <c r="PRR29" s="47"/>
      <c r="PRS29" s="47"/>
      <c r="PRT29" s="47"/>
      <c r="PRU29" s="47"/>
      <c r="PRV29" s="47"/>
      <c r="PRW29" s="47"/>
      <c r="PRX29" s="47"/>
      <c r="PRY29" s="47"/>
      <c r="PRZ29" s="47"/>
      <c r="PSA29" s="47"/>
      <c r="PSB29" s="47"/>
      <c r="PSC29" s="47"/>
      <c r="PSD29" s="47"/>
      <c r="PSE29" s="47"/>
      <c r="PSF29" s="47"/>
      <c r="PSG29" s="47"/>
      <c r="PSH29" s="47"/>
      <c r="PSI29" s="47"/>
      <c r="PSJ29" s="47"/>
      <c r="PSK29" s="47"/>
      <c r="PSL29" s="47"/>
      <c r="PSM29" s="47"/>
      <c r="PSN29" s="47"/>
      <c r="PSO29" s="47"/>
      <c r="PSP29" s="47"/>
      <c r="PSQ29" s="47"/>
      <c r="PSR29" s="47"/>
      <c r="PSS29" s="47"/>
      <c r="PST29" s="47"/>
      <c r="PSU29" s="47"/>
      <c r="PSV29" s="47"/>
      <c r="PSW29" s="47"/>
      <c r="PSX29" s="47"/>
      <c r="PSY29" s="47"/>
      <c r="PSZ29" s="47"/>
      <c r="PTA29" s="47"/>
      <c r="PTB29" s="47"/>
      <c r="PTC29" s="47"/>
      <c r="PTD29" s="47"/>
      <c r="PTE29" s="47"/>
      <c r="PTF29" s="47"/>
      <c r="PTG29" s="47"/>
      <c r="PTH29" s="47"/>
      <c r="PTI29" s="47"/>
      <c r="PTJ29" s="47"/>
      <c r="PTK29" s="47"/>
      <c r="PTL29" s="47"/>
      <c r="PTM29" s="47"/>
      <c r="PTN29" s="47"/>
      <c r="PTO29" s="47"/>
      <c r="PTP29" s="47"/>
      <c r="PTQ29" s="47"/>
      <c r="PTR29" s="47"/>
      <c r="PTS29" s="47"/>
      <c r="PTT29" s="47"/>
      <c r="PTU29" s="47"/>
      <c r="PTV29" s="47"/>
      <c r="PTW29" s="47"/>
      <c r="PTX29" s="47"/>
      <c r="PTY29" s="47"/>
      <c r="PTZ29" s="47"/>
      <c r="PUA29" s="47"/>
      <c r="PUB29" s="47"/>
      <c r="PUC29" s="47"/>
      <c r="PUD29" s="47"/>
      <c r="PUE29" s="47"/>
      <c r="PUF29" s="47"/>
      <c r="PUG29" s="47"/>
      <c r="PUH29" s="47"/>
      <c r="PUI29" s="47"/>
      <c r="PUJ29" s="47"/>
      <c r="PUK29" s="47"/>
      <c r="PUL29" s="47"/>
      <c r="PUM29" s="47"/>
      <c r="PUN29" s="47"/>
      <c r="PUO29" s="47"/>
      <c r="PUP29" s="47"/>
      <c r="PUQ29" s="47"/>
      <c r="PUR29" s="47"/>
      <c r="PUS29" s="47"/>
      <c r="PUT29" s="47"/>
      <c r="PUU29" s="47"/>
      <c r="PUV29" s="47"/>
      <c r="PUW29" s="47"/>
      <c r="PUX29" s="47"/>
      <c r="PUY29" s="47"/>
      <c r="PUZ29" s="47"/>
      <c r="PVA29" s="47"/>
      <c r="PVB29" s="47"/>
      <c r="PVC29" s="47"/>
      <c r="PVD29" s="47"/>
      <c r="PVE29" s="47"/>
      <c r="PVF29" s="47"/>
      <c r="PVG29" s="47"/>
      <c r="PVH29" s="47"/>
      <c r="PVI29" s="47"/>
      <c r="PVJ29" s="47"/>
      <c r="PVK29" s="47"/>
      <c r="PVL29" s="47"/>
      <c r="PVM29" s="47"/>
      <c r="PVN29" s="47"/>
      <c r="PVO29" s="47"/>
      <c r="PVP29" s="47"/>
      <c r="PVQ29" s="47"/>
      <c r="PVR29" s="47"/>
      <c r="PVS29" s="47"/>
      <c r="PVT29" s="47"/>
      <c r="PVU29" s="47"/>
      <c r="PVV29" s="47"/>
      <c r="PVW29" s="47"/>
      <c r="PVX29" s="47"/>
      <c r="PVY29" s="47"/>
      <c r="PVZ29" s="47"/>
      <c r="PWA29" s="47"/>
      <c r="PWB29" s="47"/>
      <c r="PWC29" s="47"/>
      <c r="PWD29" s="47"/>
      <c r="PWE29" s="47"/>
      <c r="PWF29" s="47"/>
      <c r="PWG29" s="47"/>
      <c r="PWH29" s="47"/>
      <c r="PWI29" s="47"/>
      <c r="PWJ29" s="47"/>
      <c r="PWK29" s="47"/>
      <c r="PWL29" s="47"/>
      <c r="PWM29" s="47"/>
      <c r="PWN29" s="47"/>
      <c r="PWO29" s="47"/>
      <c r="PWP29" s="47"/>
      <c r="PWQ29" s="47"/>
      <c r="PWR29" s="47"/>
      <c r="PWS29" s="47"/>
      <c r="PWT29" s="47"/>
      <c r="PWU29" s="47"/>
      <c r="PWV29" s="47"/>
      <c r="PWW29" s="47"/>
      <c r="PWX29" s="47"/>
      <c r="PWY29" s="47"/>
      <c r="PWZ29" s="47"/>
      <c r="PXA29" s="47"/>
      <c r="PXB29" s="47"/>
      <c r="PXC29" s="47"/>
      <c r="PXD29" s="47"/>
      <c r="PXE29" s="47"/>
      <c r="PXF29" s="47"/>
      <c r="PXG29" s="47"/>
      <c r="PXH29" s="47"/>
      <c r="PXI29" s="47"/>
      <c r="PXJ29" s="47"/>
      <c r="PXK29" s="47"/>
      <c r="PXL29" s="47"/>
      <c r="PXM29" s="47"/>
      <c r="PXN29" s="47"/>
      <c r="PXO29" s="47"/>
      <c r="PXP29" s="47"/>
      <c r="PXQ29" s="47"/>
      <c r="PXR29" s="47"/>
      <c r="PXS29" s="47"/>
      <c r="PXT29" s="47"/>
      <c r="PXU29" s="47"/>
      <c r="PXV29" s="47"/>
      <c r="PXW29" s="47"/>
      <c r="PXX29" s="47"/>
      <c r="PXY29" s="47"/>
      <c r="PXZ29" s="47"/>
      <c r="PYA29" s="47"/>
      <c r="PYB29" s="47"/>
      <c r="PYC29" s="47"/>
      <c r="PYD29" s="47"/>
      <c r="PYE29" s="47"/>
      <c r="PYF29" s="47"/>
      <c r="PYG29" s="47"/>
      <c r="PYH29" s="47"/>
      <c r="PYI29" s="47"/>
      <c r="PYJ29" s="47"/>
      <c r="PYK29" s="47"/>
      <c r="PYL29" s="47"/>
      <c r="PYM29" s="47"/>
      <c r="PYN29" s="47"/>
      <c r="PYO29" s="47"/>
      <c r="PYP29" s="47"/>
      <c r="PYQ29" s="47"/>
      <c r="PYR29" s="47"/>
      <c r="PYS29" s="47"/>
      <c r="PYT29" s="47"/>
      <c r="PYU29" s="47"/>
      <c r="PYV29" s="47"/>
      <c r="PYW29" s="47"/>
      <c r="PYX29" s="47"/>
      <c r="PYY29" s="47"/>
      <c r="PYZ29" s="47"/>
      <c r="PZA29" s="47"/>
      <c r="PZB29" s="47"/>
      <c r="PZC29" s="47"/>
      <c r="PZD29" s="47"/>
      <c r="PZE29" s="47"/>
      <c r="PZF29" s="47"/>
      <c r="PZG29" s="47"/>
      <c r="PZH29" s="47"/>
      <c r="PZI29" s="47"/>
      <c r="PZJ29" s="47"/>
      <c r="PZK29" s="47"/>
      <c r="PZL29" s="47"/>
      <c r="PZM29" s="47"/>
      <c r="PZN29" s="47"/>
      <c r="PZO29" s="47"/>
      <c r="PZP29" s="47"/>
      <c r="PZQ29" s="47"/>
      <c r="PZR29" s="47"/>
      <c r="PZS29" s="47"/>
      <c r="PZT29" s="47"/>
      <c r="PZU29" s="47"/>
      <c r="PZV29" s="47"/>
      <c r="PZW29" s="47"/>
      <c r="PZX29" s="47"/>
      <c r="PZY29" s="47"/>
      <c r="PZZ29" s="47"/>
      <c r="QAA29" s="47"/>
      <c r="QAB29" s="47"/>
      <c r="QAC29" s="47"/>
      <c r="QAD29" s="47"/>
      <c r="QAE29" s="47"/>
      <c r="QAF29" s="47"/>
      <c r="QAG29" s="47"/>
      <c r="QAH29" s="47"/>
      <c r="QAI29" s="47"/>
      <c r="QAJ29" s="47"/>
      <c r="QAK29" s="47"/>
      <c r="QAL29" s="47"/>
      <c r="QAM29" s="47"/>
      <c r="QAN29" s="47"/>
      <c r="QAO29" s="47"/>
      <c r="QAP29" s="47"/>
      <c r="QAQ29" s="47"/>
      <c r="QAR29" s="47"/>
      <c r="QAS29" s="47"/>
      <c r="QAT29" s="47"/>
      <c r="QAU29" s="47"/>
      <c r="QAV29" s="47"/>
      <c r="QAW29" s="47"/>
      <c r="QAX29" s="47"/>
      <c r="QAY29" s="47"/>
      <c r="QAZ29" s="47"/>
      <c r="QBA29" s="47"/>
      <c r="QBB29" s="47"/>
      <c r="QBC29" s="47"/>
      <c r="QBD29" s="47"/>
      <c r="QBE29" s="47"/>
      <c r="QBF29" s="47"/>
      <c r="QBG29" s="47"/>
      <c r="QBH29" s="47"/>
      <c r="QBI29" s="47"/>
      <c r="QBJ29" s="47"/>
      <c r="QBK29" s="47"/>
      <c r="QBL29" s="47"/>
      <c r="QBM29" s="47"/>
      <c r="QBN29" s="47"/>
      <c r="QBO29" s="47"/>
      <c r="QBP29" s="47"/>
      <c r="QBQ29" s="47"/>
      <c r="QBR29" s="47"/>
      <c r="QBS29" s="47"/>
      <c r="QBT29" s="47"/>
      <c r="QBU29" s="47"/>
      <c r="QBV29" s="47"/>
      <c r="QBW29" s="47"/>
      <c r="QBX29" s="47"/>
      <c r="QBY29" s="47"/>
      <c r="QBZ29" s="47"/>
      <c r="QCA29" s="47"/>
      <c r="QCB29" s="47"/>
      <c r="QCC29" s="47"/>
      <c r="QCD29" s="47"/>
      <c r="QCE29" s="47"/>
      <c r="QCF29" s="47"/>
      <c r="QCG29" s="47"/>
      <c r="QCH29" s="47"/>
      <c r="QCI29" s="47"/>
      <c r="QCJ29" s="47"/>
      <c r="QCK29" s="47"/>
      <c r="QCL29" s="47"/>
      <c r="QCM29" s="47"/>
      <c r="QCN29" s="47"/>
      <c r="QCO29" s="47"/>
      <c r="QCP29" s="47"/>
      <c r="QCQ29" s="47"/>
      <c r="QCR29" s="47"/>
      <c r="QCS29" s="47"/>
      <c r="QCT29" s="47"/>
      <c r="QCU29" s="47"/>
      <c r="QCV29" s="47"/>
      <c r="QCW29" s="47"/>
      <c r="QCX29" s="47"/>
      <c r="QCY29" s="47"/>
      <c r="QCZ29" s="47"/>
      <c r="QDA29" s="47"/>
      <c r="QDB29" s="47"/>
      <c r="QDC29" s="47"/>
      <c r="QDD29" s="47"/>
      <c r="QDE29" s="47"/>
      <c r="QDF29" s="47"/>
      <c r="QDG29" s="47"/>
      <c r="QDH29" s="47"/>
      <c r="QDI29" s="47"/>
      <c r="QDJ29" s="47"/>
      <c r="QDK29" s="47"/>
      <c r="QDL29" s="47"/>
      <c r="QDM29" s="47"/>
      <c r="QDN29" s="47"/>
      <c r="QDO29" s="47"/>
      <c r="QDP29" s="47"/>
      <c r="QDQ29" s="47"/>
      <c r="QDR29" s="47"/>
      <c r="QDS29" s="47"/>
      <c r="QDT29" s="47"/>
      <c r="QDU29" s="47"/>
      <c r="QDV29" s="47"/>
      <c r="QDW29" s="47"/>
      <c r="QDX29" s="47"/>
      <c r="QDY29" s="47"/>
      <c r="QDZ29" s="47"/>
      <c r="QEA29" s="47"/>
      <c r="QEB29" s="47"/>
      <c r="QEC29" s="47"/>
      <c r="QED29" s="47"/>
      <c r="QEE29" s="47"/>
      <c r="QEF29" s="47"/>
      <c r="QEG29" s="47"/>
      <c r="QEH29" s="47"/>
      <c r="QEI29" s="47"/>
      <c r="QEJ29" s="47"/>
      <c r="QEK29" s="47"/>
      <c r="QEL29" s="47"/>
      <c r="QEM29" s="47"/>
      <c r="QEN29" s="47"/>
      <c r="QEO29" s="47"/>
      <c r="QEP29" s="47"/>
      <c r="QEQ29" s="47"/>
      <c r="QER29" s="47"/>
      <c r="QES29" s="47"/>
      <c r="QET29" s="47"/>
      <c r="QEU29" s="47"/>
      <c r="QEV29" s="47"/>
      <c r="QEW29" s="47"/>
      <c r="QEX29" s="47"/>
      <c r="QEY29" s="47"/>
      <c r="QEZ29" s="47"/>
      <c r="QFA29" s="47"/>
      <c r="QFB29" s="47"/>
      <c r="QFC29" s="47"/>
      <c r="QFD29" s="47"/>
      <c r="QFE29" s="47"/>
      <c r="QFF29" s="47"/>
      <c r="QFG29" s="47"/>
      <c r="QFH29" s="47"/>
      <c r="QFI29" s="47"/>
      <c r="QFJ29" s="47"/>
      <c r="QFK29" s="47"/>
      <c r="QFL29" s="47"/>
      <c r="QFM29" s="47"/>
      <c r="QFN29" s="47"/>
      <c r="QFO29" s="47"/>
      <c r="QFP29" s="47"/>
      <c r="QFQ29" s="47"/>
      <c r="QFR29" s="47"/>
      <c r="QFS29" s="47"/>
      <c r="QFT29" s="47"/>
      <c r="QFU29" s="47"/>
      <c r="QFV29" s="47"/>
      <c r="QFW29" s="47"/>
      <c r="QFX29" s="47"/>
      <c r="QFY29" s="47"/>
      <c r="QFZ29" s="47"/>
      <c r="QGA29" s="47"/>
      <c r="QGB29" s="47"/>
      <c r="QGC29" s="47"/>
      <c r="QGD29" s="47"/>
      <c r="QGE29" s="47"/>
      <c r="QGF29" s="47"/>
      <c r="QGG29" s="47"/>
      <c r="QGH29" s="47"/>
      <c r="QGI29" s="47"/>
      <c r="QGJ29" s="47"/>
      <c r="QGK29" s="47"/>
      <c r="QGL29" s="47"/>
      <c r="QGM29" s="47"/>
      <c r="QGN29" s="47"/>
      <c r="QGO29" s="47"/>
      <c r="QGP29" s="47"/>
      <c r="QGQ29" s="47"/>
      <c r="QGR29" s="47"/>
      <c r="QGS29" s="47"/>
      <c r="QGT29" s="47"/>
      <c r="QGU29" s="47"/>
      <c r="QGV29" s="47"/>
      <c r="QGW29" s="47"/>
      <c r="QGX29" s="47"/>
      <c r="QGY29" s="47"/>
      <c r="QGZ29" s="47"/>
      <c r="QHA29" s="47"/>
      <c r="QHB29" s="47"/>
      <c r="QHC29" s="47"/>
      <c r="QHD29" s="47"/>
      <c r="QHE29" s="47"/>
      <c r="QHF29" s="47"/>
      <c r="QHG29" s="47"/>
      <c r="QHH29" s="47"/>
      <c r="QHI29" s="47"/>
      <c r="QHJ29" s="47"/>
      <c r="QHK29" s="47"/>
      <c r="QHL29" s="47"/>
      <c r="QHM29" s="47"/>
      <c r="QHN29" s="47"/>
      <c r="QHO29" s="47"/>
      <c r="QHP29" s="47"/>
      <c r="QHQ29" s="47"/>
      <c r="QHR29" s="47"/>
      <c r="QHS29" s="47"/>
      <c r="QHT29" s="47"/>
      <c r="QHU29" s="47"/>
      <c r="QHV29" s="47"/>
      <c r="QHW29" s="47"/>
      <c r="QHX29" s="47"/>
      <c r="QHY29" s="47"/>
      <c r="QHZ29" s="47"/>
      <c r="QIA29" s="47"/>
      <c r="QIB29" s="47"/>
      <c r="QIC29" s="47"/>
      <c r="QID29" s="47"/>
      <c r="QIE29" s="47"/>
      <c r="QIF29" s="47"/>
      <c r="QIG29" s="47"/>
      <c r="QIH29" s="47"/>
      <c r="QII29" s="47"/>
      <c r="QIJ29" s="47"/>
      <c r="QIK29" s="47"/>
      <c r="QIL29" s="47"/>
      <c r="QIM29" s="47"/>
      <c r="QIN29" s="47"/>
      <c r="QIO29" s="47"/>
      <c r="QIP29" s="47"/>
      <c r="QIQ29" s="47"/>
      <c r="QIR29" s="47"/>
      <c r="QIS29" s="47"/>
      <c r="QIT29" s="47"/>
      <c r="QIU29" s="47"/>
      <c r="QIV29" s="47"/>
      <c r="QIW29" s="47"/>
      <c r="QIX29" s="47"/>
      <c r="QIY29" s="47"/>
      <c r="QIZ29" s="47"/>
      <c r="QJA29" s="47"/>
      <c r="QJB29" s="47"/>
      <c r="QJC29" s="47"/>
      <c r="QJD29" s="47"/>
      <c r="QJE29" s="47"/>
      <c r="QJF29" s="47"/>
      <c r="QJG29" s="47"/>
      <c r="QJH29" s="47"/>
      <c r="QJI29" s="47"/>
      <c r="QJJ29" s="47"/>
      <c r="QJK29" s="47"/>
      <c r="QJL29" s="47"/>
      <c r="QJM29" s="47"/>
      <c r="QJN29" s="47"/>
      <c r="QJO29" s="47"/>
      <c r="QJP29" s="47"/>
      <c r="QJQ29" s="47"/>
      <c r="QJR29" s="47"/>
      <c r="QJS29" s="47"/>
      <c r="QJT29" s="47"/>
      <c r="QJU29" s="47"/>
      <c r="QJV29" s="47"/>
      <c r="QJW29" s="47"/>
      <c r="QJX29" s="47"/>
      <c r="QJY29" s="47"/>
      <c r="QJZ29" s="47"/>
      <c r="QKA29" s="47"/>
      <c r="QKB29" s="47"/>
      <c r="QKC29" s="47"/>
      <c r="QKD29" s="47"/>
      <c r="QKE29" s="47"/>
      <c r="QKF29" s="47"/>
      <c r="QKG29" s="47"/>
      <c r="QKH29" s="47"/>
      <c r="QKI29" s="47"/>
      <c r="QKJ29" s="47"/>
      <c r="QKK29" s="47"/>
      <c r="QKL29" s="47"/>
      <c r="QKM29" s="47"/>
      <c r="QKN29" s="47"/>
      <c r="QKO29" s="47"/>
      <c r="QKP29" s="47"/>
      <c r="QKQ29" s="47"/>
      <c r="QKR29" s="47"/>
      <c r="QKS29" s="47"/>
      <c r="QKT29" s="47"/>
      <c r="QKU29" s="47"/>
      <c r="QKV29" s="47"/>
      <c r="QKW29" s="47"/>
      <c r="QKX29" s="47"/>
      <c r="QKY29" s="47"/>
      <c r="QKZ29" s="47"/>
      <c r="QLA29" s="47"/>
      <c r="QLB29" s="47"/>
      <c r="QLC29" s="47"/>
      <c r="QLD29" s="47"/>
      <c r="QLE29" s="47"/>
      <c r="QLF29" s="47"/>
      <c r="QLG29" s="47"/>
      <c r="QLH29" s="47"/>
      <c r="QLI29" s="47"/>
      <c r="QLJ29" s="47"/>
      <c r="QLK29" s="47"/>
      <c r="QLL29" s="47"/>
      <c r="QLM29" s="47"/>
      <c r="QLN29" s="47"/>
      <c r="QLO29" s="47"/>
      <c r="QLP29" s="47"/>
      <c r="QLQ29" s="47"/>
      <c r="QLR29" s="47"/>
      <c r="QLS29" s="47"/>
      <c r="QLT29" s="47"/>
      <c r="QLU29" s="47"/>
      <c r="QLV29" s="47"/>
      <c r="QLW29" s="47"/>
      <c r="QLX29" s="47"/>
      <c r="QLY29" s="47"/>
      <c r="QLZ29" s="47"/>
      <c r="QMA29" s="47"/>
      <c r="QMB29" s="47"/>
      <c r="QMC29" s="47"/>
      <c r="QMD29" s="47"/>
      <c r="QME29" s="47"/>
      <c r="QMF29" s="47"/>
      <c r="QMG29" s="47"/>
      <c r="QMH29" s="47"/>
      <c r="QMI29" s="47"/>
      <c r="QMJ29" s="47"/>
      <c r="QMK29" s="47"/>
      <c r="QML29" s="47"/>
      <c r="QMM29" s="47"/>
      <c r="QMN29" s="47"/>
      <c r="QMO29" s="47"/>
      <c r="QMP29" s="47"/>
      <c r="QMQ29" s="47"/>
      <c r="QMR29" s="47"/>
      <c r="QMS29" s="47"/>
      <c r="QMT29" s="47"/>
      <c r="QMU29" s="47"/>
      <c r="QMV29" s="47"/>
      <c r="QMW29" s="47"/>
      <c r="QMX29" s="47"/>
      <c r="QMY29" s="47"/>
      <c r="QMZ29" s="47"/>
      <c r="QNA29" s="47"/>
      <c r="QNB29" s="47"/>
      <c r="QNC29" s="47"/>
      <c r="QND29" s="47"/>
      <c r="QNE29" s="47"/>
      <c r="QNF29" s="47"/>
      <c r="QNG29" s="47"/>
      <c r="QNH29" s="47"/>
      <c r="QNI29" s="47"/>
      <c r="QNJ29" s="47"/>
      <c r="QNK29" s="47"/>
      <c r="QNL29" s="47"/>
      <c r="QNM29" s="47"/>
      <c r="QNN29" s="47"/>
      <c r="QNO29" s="47"/>
      <c r="QNP29" s="47"/>
      <c r="QNQ29" s="47"/>
      <c r="QNR29" s="47"/>
      <c r="QNS29" s="47"/>
      <c r="QNT29" s="47"/>
      <c r="QNU29" s="47"/>
      <c r="QNV29" s="47"/>
      <c r="QNW29" s="47"/>
      <c r="QNX29" s="47"/>
      <c r="QNY29" s="47"/>
      <c r="QNZ29" s="47"/>
      <c r="QOA29" s="47"/>
      <c r="QOB29" s="47"/>
      <c r="QOC29" s="47"/>
      <c r="QOD29" s="47"/>
      <c r="QOE29" s="47"/>
      <c r="QOF29" s="47"/>
      <c r="QOG29" s="47"/>
      <c r="QOH29" s="47"/>
      <c r="QOI29" s="47"/>
      <c r="QOJ29" s="47"/>
      <c r="QOK29" s="47"/>
      <c r="QOL29" s="47"/>
      <c r="QOM29" s="47"/>
      <c r="QON29" s="47"/>
      <c r="QOO29" s="47"/>
      <c r="QOP29" s="47"/>
      <c r="QOQ29" s="47"/>
      <c r="QOR29" s="47"/>
      <c r="QOS29" s="47"/>
      <c r="QOT29" s="47"/>
      <c r="QOU29" s="47"/>
      <c r="QOV29" s="47"/>
      <c r="QOW29" s="47"/>
      <c r="QOX29" s="47"/>
      <c r="QOY29" s="47"/>
      <c r="QOZ29" s="47"/>
      <c r="QPA29" s="47"/>
      <c r="QPB29" s="47"/>
      <c r="QPC29" s="47"/>
      <c r="QPD29" s="47"/>
      <c r="QPE29" s="47"/>
      <c r="QPF29" s="47"/>
      <c r="QPG29" s="47"/>
      <c r="QPH29" s="47"/>
      <c r="QPI29" s="47"/>
      <c r="QPJ29" s="47"/>
      <c r="QPK29" s="47"/>
      <c r="QPL29" s="47"/>
      <c r="QPM29" s="47"/>
      <c r="QPN29" s="47"/>
      <c r="QPO29" s="47"/>
      <c r="QPP29" s="47"/>
      <c r="QPQ29" s="47"/>
      <c r="QPR29" s="47"/>
      <c r="QPS29" s="47"/>
      <c r="QPT29" s="47"/>
      <c r="QPU29" s="47"/>
      <c r="QPV29" s="47"/>
      <c r="QPW29" s="47"/>
      <c r="QPX29" s="47"/>
      <c r="QPY29" s="47"/>
      <c r="QPZ29" s="47"/>
      <c r="QQA29" s="47"/>
      <c r="QQB29" s="47"/>
      <c r="QQC29" s="47"/>
      <c r="QQD29" s="47"/>
      <c r="QQE29" s="47"/>
      <c r="QQF29" s="47"/>
      <c r="QQG29" s="47"/>
      <c r="QQH29" s="47"/>
      <c r="QQI29" s="47"/>
      <c r="QQJ29" s="47"/>
      <c r="QQK29" s="47"/>
      <c r="QQL29" s="47"/>
      <c r="QQM29" s="47"/>
      <c r="QQN29" s="47"/>
      <c r="QQO29" s="47"/>
      <c r="QQP29" s="47"/>
      <c r="QQQ29" s="47"/>
      <c r="QQR29" s="47"/>
      <c r="QQS29" s="47"/>
      <c r="QQT29" s="47"/>
      <c r="QQU29" s="47"/>
      <c r="QQV29" s="47"/>
      <c r="QQW29" s="47"/>
      <c r="QQX29" s="47"/>
      <c r="QQY29" s="47"/>
      <c r="QQZ29" s="47"/>
      <c r="QRA29" s="47"/>
      <c r="QRB29" s="47"/>
      <c r="QRC29" s="47"/>
      <c r="QRD29" s="47"/>
      <c r="QRE29" s="47"/>
      <c r="QRF29" s="47"/>
      <c r="QRG29" s="47"/>
      <c r="QRH29" s="47"/>
      <c r="QRI29" s="47"/>
      <c r="QRJ29" s="47"/>
      <c r="QRK29" s="47"/>
      <c r="QRL29" s="47"/>
      <c r="QRM29" s="47"/>
      <c r="QRN29" s="47"/>
      <c r="QRO29" s="47"/>
      <c r="QRP29" s="47"/>
      <c r="QRQ29" s="47"/>
      <c r="QRR29" s="47"/>
      <c r="QRS29" s="47"/>
      <c r="QRT29" s="47"/>
      <c r="QRU29" s="47"/>
      <c r="QRV29" s="47"/>
      <c r="QRW29" s="47"/>
      <c r="QRX29" s="47"/>
      <c r="QRY29" s="47"/>
      <c r="QRZ29" s="47"/>
      <c r="QSA29" s="47"/>
      <c r="QSB29" s="47"/>
      <c r="QSC29" s="47"/>
      <c r="QSD29" s="47"/>
      <c r="QSE29" s="47"/>
      <c r="QSF29" s="47"/>
      <c r="QSG29" s="47"/>
      <c r="QSH29" s="47"/>
      <c r="QSI29" s="47"/>
      <c r="QSJ29" s="47"/>
      <c r="QSK29" s="47"/>
      <c r="QSL29" s="47"/>
      <c r="QSM29" s="47"/>
      <c r="QSN29" s="47"/>
      <c r="QSO29" s="47"/>
      <c r="QSP29" s="47"/>
      <c r="QSQ29" s="47"/>
      <c r="QSR29" s="47"/>
      <c r="QSS29" s="47"/>
      <c r="QST29" s="47"/>
      <c r="QSU29" s="47"/>
      <c r="QSV29" s="47"/>
      <c r="QSW29" s="47"/>
      <c r="QSX29" s="47"/>
      <c r="QSY29" s="47"/>
      <c r="QSZ29" s="47"/>
      <c r="QTA29" s="47"/>
      <c r="QTB29" s="47"/>
      <c r="QTC29" s="47"/>
      <c r="QTD29" s="47"/>
      <c r="QTE29" s="47"/>
      <c r="QTF29" s="47"/>
      <c r="QTG29" s="47"/>
      <c r="QTH29" s="47"/>
      <c r="QTI29" s="47"/>
      <c r="QTJ29" s="47"/>
      <c r="QTK29" s="47"/>
      <c r="QTL29" s="47"/>
      <c r="QTM29" s="47"/>
      <c r="QTN29" s="47"/>
      <c r="QTO29" s="47"/>
      <c r="QTP29" s="47"/>
      <c r="QTQ29" s="47"/>
      <c r="QTR29" s="47"/>
      <c r="QTS29" s="47"/>
      <c r="QTT29" s="47"/>
      <c r="QTU29" s="47"/>
      <c r="QTV29" s="47"/>
      <c r="QTW29" s="47"/>
      <c r="QTX29" s="47"/>
      <c r="QTY29" s="47"/>
      <c r="QTZ29" s="47"/>
      <c r="QUA29" s="47"/>
      <c r="QUB29" s="47"/>
      <c r="QUC29" s="47"/>
      <c r="QUD29" s="47"/>
      <c r="QUE29" s="47"/>
      <c r="QUF29" s="47"/>
      <c r="QUG29" s="47"/>
      <c r="QUH29" s="47"/>
      <c r="QUI29" s="47"/>
      <c r="QUJ29" s="47"/>
      <c r="QUK29" s="47"/>
      <c r="QUL29" s="47"/>
      <c r="QUM29" s="47"/>
      <c r="QUN29" s="47"/>
      <c r="QUO29" s="47"/>
      <c r="QUP29" s="47"/>
      <c r="QUQ29" s="47"/>
      <c r="QUR29" s="47"/>
      <c r="QUS29" s="47"/>
      <c r="QUT29" s="47"/>
      <c r="QUU29" s="47"/>
      <c r="QUV29" s="47"/>
      <c r="QUW29" s="47"/>
      <c r="QUX29" s="47"/>
      <c r="QUY29" s="47"/>
      <c r="QUZ29" s="47"/>
      <c r="QVA29" s="47"/>
      <c r="QVB29" s="47"/>
      <c r="QVC29" s="47"/>
      <c r="QVD29" s="47"/>
      <c r="QVE29" s="47"/>
      <c r="QVF29" s="47"/>
      <c r="QVG29" s="47"/>
      <c r="QVH29" s="47"/>
      <c r="QVI29" s="47"/>
      <c r="QVJ29" s="47"/>
      <c r="QVK29" s="47"/>
      <c r="QVL29" s="47"/>
      <c r="QVM29" s="47"/>
      <c r="QVN29" s="47"/>
      <c r="QVO29" s="47"/>
      <c r="QVP29" s="47"/>
      <c r="QVQ29" s="47"/>
      <c r="QVR29" s="47"/>
      <c r="QVS29" s="47"/>
      <c r="QVT29" s="47"/>
      <c r="QVU29" s="47"/>
      <c r="QVV29" s="47"/>
      <c r="QVW29" s="47"/>
      <c r="QVX29" s="47"/>
      <c r="QVY29" s="47"/>
      <c r="QVZ29" s="47"/>
      <c r="QWA29" s="47"/>
      <c r="QWB29" s="47"/>
      <c r="QWC29" s="47"/>
      <c r="QWD29" s="47"/>
      <c r="QWE29" s="47"/>
      <c r="QWF29" s="47"/>
      <c r="QWG29" s="47"/>
      <c r="QWH29" s="47"/>
      <c r="QWI29" s="47"/>
      <c r="QWJ29" s="47"/>
      <c r="QWK29" s="47"/>
      <c r="QWL29" s="47"/>
      <c r="QWM29" s="47"/>
      <c r="QWN29" s="47"/>
      <c r="QWO29" s="47"/>
      <c r="QWP29" s="47"/>
      <c r="QWQ29" s="47"/>
      <c r="QWR29" s="47"/>
      <c r="QWS29" s="47"/>
      <c r="QWT29" s="47"/>
      <c r="QWU29" s="47"/>
      <c r="QWV29" s="47"/>
      <c r="QWW29" s="47"/>
      <c r="QWX29" s="47"/>
      <c r="QWY29" s="47"/>
      <c r="QWZ29" s="47"/>
      <c r="QXA29" s="47"/>
      <c r="QXB29" s="47"/>
      <c r="QXC29" s="47"/>
      <c r="QXD29" s="47"/>
      <c r="QXE29" s="47"/>
      <c r="QXF29" s="47"/>
      <c r="QXG29" s="47"/>
      <c r="QXH29" s="47"/>
      <c r="QXI29" s="47"/>
      <c r="QXJ29" s="47"/>
      <c r="QXK29" s="47"/>
      <c r="QXL29" s="47"/>
      <c r="QXM29" s="47"/>
      <c r="QXN29" s="47"/>
      <c r="QXO29" s="47"/>
      <c r="QXP29" s="47"/>
      <c r="QXQ29" s="47"/>
      <c r="QXR29" s="47"/>
      <c r="QXS29" s="47"/>
      <c r="QXT29" s="47"/>
      <c r="QXU29" s="47"/>
      <c r="QXV29" s="47"/>
      <c r="QXW29" s="47"/>
      <c r="QXX29" s="47"/>
      <c r="QXY29" s="47"/>
      <c r="QXZ29" s="47"/>
      <c r="QYA29" s="47"/>
      <c r="QYB29" s="47"/>
      <c r="QYC29" s="47"/>
      <c r="QYD29" s="47"/>
      <c r="QYE29" s="47"/>
      <c r="QYF29" s="47"/>
      <c r="QYG29" s="47"/>
      <c r="QYH29" s="47"/>
      <c r="QYI29" s="47"/>
      <c r="QYJ29" s="47"/>
      <c r="QYK29" s="47"/>
      <c r="QYL29" s="47"/>
      <c r="QYM29" s="47"/>
      <c r="QYN29" s="47"/>
      <c r="QYO29" s="47"/>
      <c r="QYP29" s="47"/>
      <c r="QYQ29" s="47"/>
      <c r="QYR29" s="47"/>
      <c r="QYS29" s="47"/>
      <c r="QYT29" s="47"/>
      <c r="QYU29" s="47"/>
      <c r="QYV29" s="47"/>
      <c r="QYW29" s="47"/>
      <c r="QYX29" s="47"/>
      <c r="QYY29" s="47"/>
      <c r="QYZ29" s="47"/>
      <c r="QZA29" s="47"/>
      <c r="QZB29" s="47"/>
      <c r="QZC29" s="47"/>
      <c r="QZD29" s="47"/>
      <c r="QZE29" s="47"/>
      <c r="QZF29" s="47"/>
      <c r="QZG29" s="47"/>
      <c r="QZH29" s="47"/>
      <c r="QZI29" s="47"/>
      <c r="QZJ29" s="47"/>
      <c r="QZK29" s="47"/>
      <c r="QZL29" s="47"/>
      <c r="QZM29" s="47"/>
      <c r="QZN29" s="47"/>
      <c r="QZO29" s="47"/>
      <c r="QZP29" s="47"/>
      <c r="QZQ29" s="47"/>
      <c r="QZR29" s="47"/>
      <c r="QZS29" s="47"/>
      <c r="QZT29" s="47"/>
      <c r="QZU29" s="47"/>
      <c r="QZV29" s="47"/>
      <c r="QZW29" s="47"/>
      <c r="QZX29" s="47"/>
      <c r="QZY29" s="47"/>
      <c r="QZZ29" s="47"/>
      <c r="RAA29" s="47"/>
      <c r="RAB29" s="47"/>
      <c r="RAC29" s="47"/>
      <c r="RAD29" s="47"/>
      <c r="RAE29" s="47"/>
      <c r="RAF29" s="47"/>
      <c r="RAG29" s="47"/>
      <c r="RAH29" s="47"/>
      <c r="RAI29" s="47"/>
      <c r="RAJ29" s="47"/>
      <c r="RAK29" s="47"/>
      <c r="RAL29" s="47"/>
      <c r="RAM29" s="47"/>
      <c r="RAN29" s="47"/>
      <c r="RAO29" s="47"/>
      <c r="RAP29" s="47"/>
      <c r="RAQ29" s="47"/>
      <c r="RAR29" s="47"/>
      <c r="RAS29" s="47"/>
      <c r="RAT29" s="47"/>
      <c r="RAU29" s="47"/>
      <c r="RAV29" s="47"/>
      <c r="RAW29" s="47"/>
      <c r="RAX29" s="47"/>
      <c r="RAY29" s="47"/>
      <c r="RAZ29" s="47"/>
      <c r="RBA29" s="47"/>
      <c r="RBB29" s="47"/>
      <c r="RBC29" s="47"/>
      <c r="RBD29" s="47"/>
      <c r="RBE29" s="47"/>
      <c r="RBF29" s="47"/>
      <c r="RBG29" s="47"/>
      <c r="RBH29" s="47"/>
      <c r="RBI29" s="47"/>
      <c r="RBJ29" s="47"/>
      <c r="RBK29" s="47"/>
      <c r="RBL29" s="47"/>
      <c r="RBM29" s="47"/>
      <c r="RBN29" s="47"/>
      <c r="RBO29" s="47"/>
      <c r="RBP29" s="47"/>
      <c r="RBQ29" s="47"/>
      <c r="RBR29" s="47"/>
      <c r="RBS29" s="47"/>
      <c r="RBT29" s="47"/>
      <c r="RBU29" s="47"/>
      <c r="RBV29" s="47"/>
      <c r="RBW29" s="47"/>
      <c r="RBX29" s="47"/>
      <c r="RBY29" s="47"/>
      <c r="RBZ29" s="47"/>
      <c r="RCA29" s="47"/>
      <c r="RCB29" s="47"/>
      <c r="RCC29" s="47"/>
      <c r="RCD29" s="47"/>
      <c r="RCE29" s="47"/>
      <c r="RCF29" s="47"/>
      <c r="RCG29" s="47"/>
      <c r="RCH29" s="47"/>
      <c r="RCI29" s="47"/>
      <c r="RCJ29" s="47"/>
      <c r="RCK29" s="47"/>
      <c r="RCL29" s="47"/>
      <c r="RCM29" s="47"/>
      <c r="RCN29" s="47"/>
      <c r="RCO29" s="47"/>
      <c r="RCP29" s="47"/>
      <c r="RCQ29" s="47"/>
      <c r="RCR29" s="47"/>
      <c r="RCS29" s="47"/>
      <c r="RCT29" s="47"/>
      <c r="RCU29" s="47"/>
      <c r="RCV29" s="47"/>
      <c r="RCW29" s="47"/>
      <c r="RCX29" s="47"/>
      <c r="RCY29" s="47"/>
      <c r="RCZ29" s="47"/>
      <c r="RDA29" s="47"/>
      <c r="RDB29" s="47"/>
      <c r="RDC29" s="47"/>
      <c r="RDD29" s="47"/>
      <c r="RDE29" s="47"/>
      <c r="RDF29" s="47"/>
      <c r="RDG29" s="47"/>
      <c r="RDH29" s="47"/>
      <c r="RDI29" s="47"/>
      <c r="RDJ29" s="47"/>
      <c r="RDK29" s="47"/>
      <c r="RDL29" s="47"/>
      <c r="RDM29" s="47"/>
      <c r="RDN29" s="47"/>
      <c r="RDO29" s="47"/>
      <c r="RDP29" s="47"/>
      <c r="RDQ29" s="47"/>
      <c r="RDR29" s="47"/>
      <c r="RDS29" s="47"/>
      <c r="RDT29" s="47"/>
      <c r="RDU29" s="47"/>
      <c r="RDV29" s="47"/>
      <c r="RDW29" s="47"/>
      <c r="RDX29" s="47"/>
      <c r="RDY29" s="47"/>
      <c r="RDZ29" s="47"/>
      <c r="REA29" s="47"/>
      <c r="REB29" s="47"/>
      <c r="REC29" s="47"/>
      <c r="RED29" s="47"/>
      <c r="REE29" s="47"/>
      <c r="REF29" s="47"/>
      <c r="REG29" s="47"/>
      <c r="REH29" s="47"/>
      <c r="REI29" s="47"/>
      <c r="REJ29" s="47"/>
      <c r="REK29" s="47"/>
      <c r="REL29" s="47"/>
      <c r="REM29" s="47"/>
      <c r="REN29" s="47"/>
      <c r="REO29" s="47"/>
      <c r="REP29" s="47"/>
      <c r="REQ29" s="47"/>
      <c r="RER29" s="47"/>
      <c r="RES29" s="47"/>
      <c r="RET29" s="47"/>
      <c r="REU29" s="47"/>
      <c r="REV29" s="47"/>
      <c r="REW29" s="47"/>
      <c r="REX29" s="47"/>
      <c r="REY29" s="47"/>
      <c r="REZ29" s="47"/>
      <c r="RFA29" s="47"/>
      <c r="RFB29" s="47"/>
      <c r="RFC29" s="47"/>
      <c r="RFD29" s="47"/>
      <c r="RFE29" s="47"/>
      <c r="RFF29" s="47"/>
      <c r="RFG29" s="47"/>
      <c r="RFH29" s="47"/>
      <c r="RFI29" s="47"/>
      <c r="RFJ29" s="47"/>
      <c r="RFK29" s="47"/>
      <c r="RFL29" s="47"/>
      <c r="RFM29" s="47"/>
      <c r="RFN29" s="47"/>
      <c r="RFO29" s="47"/>
      <c r="RFP29" s="47"/>
      <c r="RFQ29" s="47"/>
      <c r="RFR29" s="47"/>
      <c r="RFS29" s="47"/>
      <c r="RFT29" s="47"/>
      <c r="RFU29" s="47"/>
      <c r="RFV29" s="47"/>
      <c r="RFW29" s="47"/>
      <c r="RFX29" s="47"/>
      <c r="RFY29" s="47"/>
      <c r="RFZ29" s="47"/>
      <c r="RGA29" s="47"/>
      <c r="RGB29" s="47"/>
      <c r="RGC29" s="47"/>
      <c r="RGD29" s="47"/>
      <c r="RGE29" s="47"/>
      <c r="RGF29" s="47"/>
      <c r="RGG29" s="47"/>
      <c r="RGH29" s="47"/>
      <c r="RGI29" s="47"/>
      <c r="RGJ29" s="47"/>
      <c r="RGK29" s="47"/>
      <c r="RGL29" s="47"/>
      <c r="RGM29" s="47"/>
      <c r="RGN29" s="47"/>
      <c r="RGO29" s="47"/>
      <c r="RGP29" s="47"/>
      <c r="RGQ29" s="47"/>
      <c r="RGR29" s="47"/>
      <c r="RGS29" s="47"/>
      <c r="RGT29" s="47"/>
      <c r="RGU29" s="47"/>
      <c r="RGV29" s="47"/>
      <c r="RGW29" s="47"/>
      <c r="RGX29" s="47"/>
      <c r="RGY29" s="47"/>
      <c r="RGZ29" s="47"/>
      <c r="RHA29" s="47"/>
      <c r="RHB29" s="47"/>
      <c r="RHC29" s="47"/>
      <c r="RHD29" s="47"/>
      <c r="RHE29" s="47"/>
      <c r="RHF29" s="47"/>
      <c r="RHG29" s="47"/>
      <c r="RHH29" s="47"/>
      <c r="RHI29" s="47"/>
      <c r="RHJ29" s="47"/>
      <c r="RHK29" s="47"/>
      <c r="RHL29" s="47"/>
      <c r="RHM29" s="47"/>
      <c r="RHN29" s="47"/>
      <c r="RHO29" s="47"/>
      <c r="RHP29" s="47"/>
      <c r="RHQ29" s="47"/>
      <c r="RHR29" s="47"/>
      <c r="RHS29" s="47"/>
      <c r="RHT29" s="47"/>
      <c r="RHU29" s="47"/>
      <c r="RHV29" s="47"/>
      <c r="RHW29" s="47"/>
      <c r="RHX29" s="47"/>
      <c r="RHY29" s="47"/>
      <c r="RHZ29" s="47"/>
      <c r="RIA29" s="47"/>
      <c r="RIB29" s="47"/>
      <c r="RIC29" s="47"/>
      <c r="RID29" s="47"/>
      <c r="RIE29" s="47"/>
      <c r="RIF29" s="47"/>
      <c r="RIG29" s="47"/>
      <c r="RIH29" s="47"/>
      <c r="RII29" s="47"/>
      <c r="RIJ29" s="47"/>
      <c r="RIK29" s="47"/>
      <c r="RIL29" s="47"/>
      <c r="RIM29" s="47"/>
      <c r="RIN29" s="47"/>
      <c r="RIO29" s="47"/>
      <c r="RIP29" s="47"/>
      <c r="RIQ29" s="47"/>
      <c r="RIR29" s="47"/>
      <c r="RIS29" s="47"/>
      <c r="RIT29" s="47"/>
      <c r="RIU29" s="47"/>
      <c r="RIV29" s="47"/>
      <c r="RIW29" s="47"/>
      <c r="RIX29" s="47"/>
      <c r="RIY29" s="47"/>
      <c r="RIZ29" s="47"/>
      <c r="RJA29" s="47"/>
      <c r="RJB29" s="47"/>
      <c r="RJC29" s="47"/>
      <c r="RJD29" s="47"/>
      <c r="RJE29" s="47"/>
      <c r="RJF29" s="47"/>
      <c r="RJG29" s="47"/>
      <c r="RJH29" s="47"/>
      <c r="RJI29" s="47"/>
      <c r="RJJ29" s="47"/>
      <c r="RJK29" s="47"/>
      <c r="RJL29" s="47"/>
      <c r="RJM29" s="47"/>
      <c r="RJN29" s="47"/>
      <c r="RJO29" s="47"/>
      <c r="RJP29" s="47"/>
      <c r="RJQ29" s="47"/>
      <c r="RJR29" s="47"/>
      <c r="RJS29" s="47"/>
      <c r="RJT29" s="47"/>
      <c r="RJU29" s="47"/>
      <c r="RJV29" s="47"/>
      <c r="RJW29" s="47"/>
      <c r="RJX29" s="47"/>
      <c r="RJY29" s="47"/>
      <c r="RJZ29" s="47"/>
      <c r="RKA29" s="47"/>
      <c r="RKB29" s="47"/>
      <c r="RKC29" s="47"/>
      <c r="RKD29" s="47"/>
      <c r="RKE29" s="47"/>
      <c r="RKF29" s="47"/>
      <c r="RKG29" s="47"/>
      <c r="RKH29" s="47"/>
      <c r="RKI29" s="47"/>
      <c r="RKJ29" s="47"/>
      <c r="RKK29" s="47"/>
      <c r="RKL29" s="47"/>
      <c r="RKM29" s="47"/>
      <c r="RKN29" s="47"/>
      <c r="RKO29" s="47"/>
      <c r="RKP29" s="47"/>
      <c r="RKQ29" s="47"/>
      <c r="RKR29" s="47"/>
      <c r="RKS29" s="47"/>
      <c r="RKT29" s="47"/>
      <c r="RKU29" s="47"/>
      <c r="RKV29" s="47"/>
      <c r="RKW29" s="47"/>
      <c r="RKX29" s="47"/>
      <c r="RKY29" s="47"/>
      <c r="RKZ29" s="47"/>
      <c r="RLA29" s="47"/>
      <c r="RLB29" s="47"/>
      <c r="RLC29" s="47"/>
      <c r="RLD29" s="47"/>
      <c r="RLE29" s="47"/>
      <c r="RLF29" s="47"/>
      <c r="RLG29" s="47"/>
      <c r="RLH29" s="47"/>
      <c r="RLI29" s="47"/>
      <c r="RLJ29" s="47"/>
      <c r="RLK29" s="47"/>
      <c r="RLL29" s="47"/>
      <c r="RLM29" s="47"/>
      <c r="RLN29" s="47"/>
      <c r="RLO29" s="47"/>
      <c r="RLP29" s="47"/>
      <c r="RLQ29" s="47"/>
      <c r="RLR29" s="47"/>
      <c r="RLS29" s="47"/>
      <c r="RLT29" s="47"/>
      <c r="RLU29" s="47"/>
      <c r="RLV29" s="47"/>
      <c r="RLW29" s="47"/>
      <c r="RLX29" s="47"/>
      <c r="RLY29" s="47"/>
      <c r="RLZ29" s="47"/>
      <c r="RMA29" s="47"/>
      <c r="RMB29" s="47"/>
      <c r="RMC29" s="47"/>
      <c r="RMD29" s="47"/>
      <c r="RME29" s="47"/>
      <c r="RMF29" s="47"/>
      <c r="RMG29" s="47"/>
      <c r="RMH29" s="47"/>
      <c r="RMI29" s="47"/>
      <c r="RMJ29" s="47"/>
      <c r="RMK29" s="47"/>
      <c r="RML29" s="47"/>
      <c r="RMM29" s="47"/>
      <c r="RMN29" s="47"/>
      <c r="RMO29" s="47"/>
      <c r="RMP29" s="47"/>
      <c r="RMQ29" s="47"/>
      <c r="RMR29" s="47"/>
      <c r="RMS29" s="47"/>
      <c r="RMT29" s="47"/>
      <c r="RMU29" s="47"/>
      <c r="RMV29" s="47"/>
      <c r="RMW29" s="47"/>
      <c r="RMX29" s="47"/>
      <c r="RMY29" s="47"/>
      <c r="RMZ29" s="47"/>
      <c r="RNA29" s="47"/>
      <c r="RNB29" s="47"/>
      <c r="RNC29" s="47"/>
      <c r="RND29" s="47"/>
      <c r="RNE29" s="47"/>
      <c r="RNF29" s="47"/>
      <c r="RNG29" s="47"/>
      <c r="RNH29" s="47"/>
      <c r="RNI29" s="47"/>
      <c r="RNJ29" s="47"/>
      <c r="RNK29" s="47"/>
      <c r="RNL29" s="47"/>
      <c r="RNM29" s="47"/>
      <c r="RNN29" s="47"/>
      <c r="RNO29" s="47"/>
      <c r="RNP29" s="47"/>
      <c r="RNQ29" s="47"/>
      <c r="RNR29" s="47"/>
      <c r="RNS29" s="47"/>
      <c r="RNT29" s="47"/>
      <c r="RNU29" s="47"/>
      <c r="RNV29" s="47"/>
      <c r="RNW29" s="47"/>
      <c r="RNX29" s="47"/>
      <c r="RNY29" s="47"/>
      <c r="RNZ29" s="47"/>
      <c r="ROA29" s="47"/>
      <c r="ROB29" s="47"/>
      <c r="ROC29" s="47"/>
      <c r="ROD29" s="47"/>
      <c r="ROE29" s="47"/>
      <c r="ROF29" s="47"/>
      <c r="ROG29" s="47"/>
      <c r="ROH29" s="47"/>
      <c r="ROI29" s="47"/>
      <c r="ROJ29" s="47"/>
      <c r="ROK29" s="47"/>
      <c r="ROL29" s="47"/>
      <c r="ROM29" s="47"/>
      <c r="RON29" s="47"/>
      <c r="ROO29" s="47"/>
      <c r="ROP29" s="47"/>
      <c r="ROQ29" s="47"/>
      <c r="ROR29" s="47"/>
      <c r="ROS29" s="47"/>
      <c r="ROT29" s="47"/>
      <c r="ROU29" s="47"/>
      <c r="ROV29" s="47"/>
      <c r="ROW29" s="47"/>
      <c r="ROX29" s="47"/>
      <c r="ROY29" s="47"/>
      <c r="ROZ29" s="47"/>
      <c r="RPA29" s="47"/>
      <c r="RPB29" s="47"/>
      <c r="RPC29" s="47"/>
      <c r="RPD29" s="47"/>
      <c r="RPE29" s="47"/>
      <c r="RPF29" s="47"/>
      <c r="RPG29" s="47"/>
      <c r="RPH29" s="47"/>
      <c r="RPI29" s="47"/>
      <c r="RPJ29" s="47"/>
      <c r="RPK29" s="47"/>
      <c r="RPL29" s="47"/>
      <c r="RPM29" s="47"/>
      <c r="RPN29" s="47"/>
      <c r="RPO29" s="47"/>
      <c r="RPP29" s="47"/>
      <c r="RPQ29" s="47"/>
      <c r="RPR29" s="47"/>
      <c r="RPS29" s="47"/>
      <c r="RPT29" s="47"/>
      <c r="RPU29" s="47"/>
      <c r="RPV29" s="47"/>
      <c r="RPW29" s="47"/>
      <c r="RPX29" s="47"/>
      <c r="RPY29" s="47"/>
      <c r="RPZ29" s="47"/>
      <c r="RQA29" s="47"/>
      <c r="RQB29" s="47"/>
      <c r="RQC29" s="47"/>
      <c r="RQD29" s="47"/>
      <c r="RQE29" s="47"/>
      <c r="RQF29" s="47"/>
      <c r="RQG29" s="47"/>
      <c r="RQH29" s="47"/>
      <c r="RQI29" s="47"/>
      <c r="RQJ29" s="47"/>
      <c r="RQK29" s="47"/>
      <c r="RQL29" s="47"/>
      <c r="RQM29" s="47"/>
      <c r="RQN29" s="47"/>
      <c r="RQO29" s="47"/>
      <c r="RQP29" s="47"/>
      <c r="RQQ29" s="47"/>
      <c r="RQR29" s="47"/>
      <c r="RQS29" s="47"/>
      <c r="RQT29" s="47"/>
      <c r="RQU29" s="47"/>
      <c r="RQV29" s="47"/>
      <c r="RQW29" s="47"/>
      <c r="RQX29" s="47"/>
      <c r="RQY29" s="47"/>
      <c r="RQZ29" s="47"/>
      <c r="RRA29" s="47"/>
      <c r="RRB29" s="47"/>
      <c r="RRC29" s="47"/>
      <c r="RRD29" s="47"/>
      <c r="RRE29" s="47"/>
      <c r="RRF29" s="47"/>
      <c r="RRG29" s="47"/>
      <c r="RRH29" s="47"/>
      <c r="RRI29" s="47"/>
      <c r="RRJ29" s="47"/>
      <c r="RRK29" s="47"/>
      <c r="RRL29" s="47"/>
      <c r="RRM29" s="47"/>
      <c r="RRN29" s="47"/>
      <c r="RRO29" s="47"/>
      <c r="RRP29" s="47"/>
      <c r="RRQ29" s="47"/>
      <c r="RRR29" s="47"/>
      <c r="RRS29" s="47"/>
      <c r="RRT29" s="47"/>
      <c r="RRU29" s="47"/>
      <c r="RRV29" s="47"/>
      <c r="RRW29" s="47"/>
      <c r="RRX29" s="47"/>
      <c r="RRY29" s="47"/>
      <c r="RRZ29" s="47"/>
      <c r="RSA29" s="47"/>
      <c r="RSB29" s="47"/>
      <c r="RSC29" s="47"/>
      <c r="RSD29" s="47"/>
      <c r="RSE29" s="47"/>
      <c r="RSF29" s="47"/>
      <c r="RSG29" s="47"/>
      <c r="RSH29" s="47"/>
      <c r="RSI29" s="47"/>
      <c r="RSJ29" s="47"/>
      <c r="RSK29" s="47"/>
      <c r="RSL29" s="47"/>
      <c r="RSM29" s="47"/>
      <c r="RSN29" s="47"/>
      <c r="RSO29" s="47"/>
      <c r="RSP29" s="47"/>
      <c r="RSQ29" s="47"/>
      <c r="RSR29" s="47"/>
      <c r="RSS29" s="47"/>
      <c r="RST29" s="47"/>
      <c r="RSU29" s="47"/>
      <c r="RSV29" s="47"/>
      <c r="RSW29" s="47"/>
      <c r="RSX29" s="47"/>
      <c r="RSY29" s="47"/>
      <c r="RSZ29" s="47"/>
      <c r="RTA29" s="47"/>
      <c r="RTB29" s="47"/>
      <c r="RTC29" s="47"/>
      <c r="RTD29" s="47"/>
      <c r="RTE29" s="47"/>
      <c r="RTF29" s="47"/>
      <c r="RTG29" s="47"/>
      <c r="RTH29" s="47"/>
      <c r="RTI29" s="47"/>
      <c r="RTJ29" s="47"/>
      <c r="RTK29" s="47"/>
      <c r="RTL29" s="47"/>
      <c r="RTM29" s="47"/>
      <c r="RTN29" s="47"/>
      <c r="RTO29" s="47"/>
      <c r="RTP29" s="47"/>
      <c r="RTQ29" s="47"/>
      <c r="RTR29" s="47"/>
      <c r="RTS29" s="47"/>
      <c r="RTT29" s="47"/>
      <c r="RTU29" s="47"/>
      <c r="RTV29" s="47"/>
      <c r="RTW29" s="47"/>
      <c r="RTX29" s="47"/>
      <c r="RTY29" s="47"/>
      <c r="RTZ29" s="47"/>
      <c r="RUA29" s="47"/>
      <c r="RUB29" s="47"/>
      <c r="RUC29" s="47"/>
      <c r="RUD29" s="47"/>
      <c r="RUE29" s="47"/>
      <c r="RUF29" s="47"/>
      <c r="RUG29" s="47"/>
      <c r="RUH29" s="47"/>
      <c r="RUI29" s="47"/>
      <c r="RUJ29" s="47"/>
      <c r="RUK29" s="47"/>
      <c r="RUL29" s="47"/>
      <c r="RUM29" s="47"/>
      <c r="RUN29" s="47"/>
      <c r="RUO29" s="47"/>
      <c r="RUP29" s="47"/>
      <c r="RUQ29" s="47"/>
      <c r="RUR29" s="47"/>
      <c r="RUS29" s="47"/>
      <c r="RUT29" s="47"/>
      <c r="RUU29" s="47"/>
      <c r="RUV29" s="47"/>
      <c r="RUW29" s="47"/>
      <c r="RUX29" s="47"/>
      <c r="RUY29" s="47"/>
      <c r="RUZ29" s="47"/>
      <c r="RVA29" s="47"/>
      <c r="RVB29" s="47"/>
      <c r="RVC29" s="47"/>
      <c r="RVD29" s="47"/>
      <c r="RVE29" s="47"/>
      <c r="RVF29" s="47"/>
      <c r="RVG29" s="47"/>
      <c r="RVH29" s="47"/>
      <c r="RVI29" s="47"/>
      <c r="RVJ29" s="47"/>
      <c r="RVK29" s="47"/>
      <c r="RVL29" s="47"/>
      <c r="RVM29" s="47"/>
      <c r="RVN29" s="47"/>
      <c r="RVO29" s="47"/>
      <c r="RVP29" s="47"/>
      <c r="RVQ29" s="47"/>
      <c r="RVR29" s="47"/>
      <c r="RVS29" s="47"/>
      <c r="RVT29" s="47"/>
      <c r="RVU29" s="47"/>
      <c r="RVV29" s="47"/>
      <c r="RVW29" s="47"/>
      <c r="RVX29" s="47"/>
      <c r="RVY29" s="47"/>
      <c r="RVZ29" s="47"/>
      <c r="RWA29" s="47"/>
      <c r="RWB29" s="47"/>
      <c r="RWC29" s="47"/>
      <c r="RWD29" s="47"/>
      <c r="RWE29" s="47"/>
      <c r="RWF29" s="47"/>
      <c r="RWG29" s="47"/>
      <c r="RWH29" s="47"/>
      <c r="RWI29" s="47"/>
      <c r="RWJ29" s="47"/>
      <c r="RWK29" s="47"/>
      <c r="RWL29" s="47"/>
      <c r="RWM29" s="47"/>
      <c r="RWN29" s="47"/>
      <c r="RWO29" s="47"/>
      <c r="RWP29" s="47"/>
      <c r="RWQ29" s="47"/>
      <c r="RWR29" s="47"/>
      <c r="RWS29" s="47"/>
      <c r="RWT29" s="47"/>
      <c r="RWU29" s="47"/>
      <c r="RWV29" s="47"/>
      <c r="RWW29" s="47"/>
      <c r="RWX29" s="47"/>
      <c r="RWY29" s="47"/>
      <c r="RWZ29" s="47"/>
      <c r="RXA29" s="47"/>
      <c r="RXB29" s="47"/>
      <c r="RXC29" s="47"/>
      <c r="RXD29" s="47"/>
      <c r="RXE29" s="47"/>
      <c r="RXF29" s="47"/>
      <c r="RXG29" s="47"/>
      <c r="RXH29" s="47"/>
      <c r="RXI29" s="47"/>
      <c r="RXJ29" s="47"/>
      <c r="RXK29" s="47"/>
      <c r="RXL29" s="47"/>
      <c r="RXM29" s="47"/>
      <c r="RXN29" s="47"/>
      <c r="RXO29" s="47"/>
      <c r="RXP29" s="47"/>
      <c r="RXQ29" s="47"/>
      <c r="RXR29" s="47"/>
      <c r="RXS29" s="47"/>
      <c r="RXT29" s="47"/>
      <c r="RXU29" s="47"/>
      <c r="RXV29" s="47"/>
      <c r="RXW29" s="47"/>
      <c r="RXX29" s="47"/>
      <c r="RXY29" s="47"/>
      <c r="RXZ29" s="47"/>
      <c r="RYA29" s="47"/>
      <c r="RYB29" s="47"/>
      <c r="RYC29" s="47"/>
      <c r="RYD29" s="47"/>
      <c r="RYE29" s="47"/>
      <c r="RYF29" s="47"/>
      <c r="RYG29" s="47"/>
      <c r="RYH29" s="47"/>
      <c r="RYI29" s="47"/>
      <c r="RYJ29" s="47"/>
      <c r="RYK29" s="47"/>
      <c r="RYL29" s="47"/>
      <c r="RYM29" s="47"/>
      <c r="RYN29" s="47"/>
      <c r="RYO29" s="47"/>
      <c r="RYP29" s="47"/>
      <c r="RYQ29" s="47"/>
      <c r="RYR29" s="47"/>
      <c r="RYS29" s="47"/>
      <c r="RYT29" s="47"/>
      <c r="RYU29" s="47"/>
      <c r="RYV29" s="47"/>
      <c r="RYW29" s="47"/>
      <c r="RYX29" s="47"/>
      <c r="RYY29" s="47"/>
      <c r="RYZ29" s="47"/>
      <c r="RZA29" s="47"/>
      <c r="RZB29" s="47"/>
      <c r="RZC29" s="47"/>
      <c r="RZD29" s="47"/>
      <c r="RZE29" s="47"/>
      <c r="RZF29" s="47"/>
      <c r="RZG29" s="47"/>
      <c r="RZH29" s="47"/>
      <c r="RZI29" s="47"/>
      <c r="RZJ29" s="47"/>
      <c r="RZK29" s="47"/>
      <c r="RZL29" s="47"/>
      <c r="RZM29" s="47"/>
      <c r="RZN29" s="47"/>
      <c r="RZO29" s="47"/>
      <c r="RZP29" s="47"/>
      <c r="RZQ29" s="47"/>
      <c r="RZR29" s="47"/>
      <c r="RZS29" s="47"/>
      <c r="RZT29" s="47"/>
      <c r="RZU29" s="47"/>
      <c r="RZV29" s="47"/>
      <c r="RZW29" s="47"/>
      <c r="RZX29" s="47"/>
      <c r="RZY29" s="47"/>
      <c r="RZZ29" s="47"/>
      <c r="SAA29" s="47"/>
      <c r="SAB29" s="47"/>
      <c r="SAC29" s="47"/>
      <c r="SAD29" s="47"/>
      <c r="SAE29" s="47"/>
      <c r="SAF29" s="47"/>
      <c r="SAG29" s="47"/>
      <c r="SAH29" s="47"/>
      <c r="SAI29" s="47"/>
      <c r="SAJ29" s="47"/>
      <c r="SAK29" s="47"/>
      <c r="SAL29" s="47"/>
      <c r="SAM29" s="47"/>
      <c r="SAN29" s="47"/>
      <c r="SAO29" s="47"/>
      <c r="SAP29" s="47"/>
      <c r="SAQ29" s="47"/>
      <c r="SAR29" s="47"/>
      <c r="SAS29" s="47"/>
      <c r="SAT29" s="47"/>
      <c r="SAU29" s="47"/>
      <c r="SAV29" s="47"/>
      <c r="SAW29" s="47"/>
      <c r="SAX29" s="47"/>
      <c r="SAY29" s="47"/>
      <c r="SAZ29" s="47"/>
      <c r="SBA29" s="47"/>
      <c r="SBB29" s="47"/>
      <c r="SBC29" s="47"/>
      <c r="SBD29" s="47"/>
      <c r="SBE29" s="47"/>
      <c r="SBF29" s="47"/>
      <c r="SBG29" s="47"/>
      <c r="SBH29" s="47"/>
      <c r="SBI29" s="47"/>
      <c r="SBJ29" s="47"/>
      <c r="SBK29" s="47"/>
      <c r="SBL29" s="47"/>
      <c r="SBM29" s="47"/>
      <c r="SBN29" s="47"/>
      <c r="SBO29" s="47"/>
      <c r="SBP29" s="47"/>
      <c r="SBQ29" s="47"/>
      <c r="SBR29" s="47"/>
      <c r="SBS29" s="47"/>
      <c r="SBT29" s="47"/>
      <c r="SBU29" s="47"/>
      <c r="SBV29" s="47"/>
      <c r="SBW29" s="47"/>
      <c r="SBX29" s="47"/>
      <c r="SBY29" s="47"/>
      <c r="SBZ29" s="47"/>
      <c r="SCA29" s="47"/>
      <c r="SCB29" s="47"/>
      <c r="SCC29" s="47"/>
      <c r="SCD29" s="47"/>
      <c r="SCE29" s="47"/>
      <c r="SCF29" s="47"/>
      <c r="SCG29" s="47"/>
      <c r="SCH29" s="47"/>
      <c r="SCI29" s="47"/>
      <c r="SCJ29" s="47"/>
      <c r="SCK29" s="47"/>
      <c r="SCL29" s="47"/>
      <c r="SCM29" s="47"/>
      <c r="SCN29" s="47"/>
      <c r="SCO29" s="47"/>
      <c r="SCP29" s="47"/>
      <c r="SCQ29" s="47"/>
      <c r="SCR29" s="47"/>
      <c r="SCS29" s="47"/>
      <c r="SCT29" s="47"/>
      <c r="SCU29" s="47"/>
      <c r="SCV29" s="47"/>
      <c r="SCW29" s="47"/>
      <c r="SCX29" s="47"/>
      <c r="SCY29" s="47"/>
      <c r="SCZ29" s="47"/>
      <c r="SDA29" s="47"/>
      <c r="SDB29" s="47"/>
      <c r="SDC29" s="47"/>
      <c r="SDD29" s="47"/>
      <c r="SDE29" s="47"/>
      <c r="SDF29" s="47"/>
      <c r="SDG29" s="47"/>
      <c r="SDH29" s="47"/>
      <c r="SDI29" s="47"/>
      <c r="SDJ29" s="47"/>
      <c r="SDK29" s="47"/>
      <c r="SDL29" s="47"/>
      <c r="SDM29" s="47"/>
      <c r="SDN29" s="47"/>
      <c r="SDO29" s="47"/>
      <c r="SDP29" s="47"/>
      <c r="SDQ29" s="47"/>
      <c r="SDR29" s="47"/>
      <c r="SDS29" s="47"/>
      <c r="SDT29" s="47"/>
      <c r="SDU29" s="47"/>
      <c r="SDV29" s="47"/>
      <c r="SDW29" s="47"/>
      <c r="SDX29" s="47"/>
      <c r="SDY29" s="47"/>
      <c r="SDZ29" s="47"/>
      <c r="SEA29" s="47"/>
      <c r="SEB29" s="47"/>
      <c r="SEC29" s="47"/>
      <c r="SED29" s="47"/>
      <c r="SEE29" s="47"/>
      <c r="SEF29" s="47"/>
      <c r="SEG29" s="47"/>
      <c r="SEH29" s="47"/>
      <c r="SEI29" s="47"/>
      <c r="SEJ29" s="47"/>
      <c r="SEK29" s="47"/>
      <c r="SEL29" s="47"/>
      <c r="SEM29" s="47"/>
      <c r="SEN29" s="47"/>
      <c r="SEO29" s="47"/>
      <c r="SEP29" s="47"/>
      <c r="SEQ29" s="47"/>
      <c r="SER29" s="47"/>
      <c r="SES29" s="47"/>
      <c r="SET29" s="47"/>
      <c r="SEU29" s="47"/>
      <c r="SEV29" s="47"/>
      <c r="SEW29" s="47"/>
      <c r="SEX29" s="47"/>
      <c r="SEY29" s="47"/>
      <c r="SEZ29" s="47"/>
      <c r="SFA29" s="47"/>
      <c r="SFB29" s="47"/>
      <c r="SFC29" s="47"/>
      <c r="SFD29" s="47"/>
      <c r="SFE29" s="47"/>
      <c r="SFF29" s="47"/>
      <c r="SFG29" s="47"/>
      <c r="SFH29" s="47"/>
      <c r="SFI29" s="47"/>
      <c r="SFJ29" s="47"/>
      <c r="SFK29" s="47"/>
      <c r="SFL29" s="47"/>
      <c r="SFM29" s="47"/>
      <c r="SFN29" s="47"/>
      <c r="SFO29" s="47"/>
      <c r="SFP29" s="47"/>
      <c r="SFQ29" s="47"/>
      <c r="SFR29" s="47"/>
      <c r="SFS29" s="47"/>
      <c r="SFT29" s="47"/>
      <c r="SFU29" s="47"/>
      <c r="SFV29" s="47"/>
      <c r="SFW29" s="47"/>
      <c r="SFX29" s="47"/>
      <c r="SFY29" s="47"/>
      <c r="SFZ29" s="47"/>
      <c r="SGA29" s="47"/>
      <c r="SGB29" s="47"/>
      <c r="SGC29" s="47"/>
      <c r="SGD29" s="47"/>
      <c r="SGE29" s="47"/>
      <c r="SGF29" s="47"/>
      <c r="SGG29" s="47"/>
      <c r="SGH29" s="47"/>
      <c r="SGI29" s="47"/>
      <c r="SGJ29" s="47"/>
      <c r="SGK29" s="47"/>
      <c r="SGL29" s="47"/>
      <c r="SGM29" s="47"/>
      <c r="SGN29" s="47"/>
      <c r="SGO29" s="47"/>
      <c r="SGP29" s="47"/>
      <c r="SGQ29" s="47"/>
      <c r="SGR29" s="47"/>
      <c r="SGS29" s="47"/>
      <c r="SGT29" s="47"/>
      <c r="SGU29" s="47"/>
      <c r="SGV29" s="47"/>
      <c r="SGW29" s="47"/>
      <c r="SGX29" s="47"/>
      <c r="SGY29" s="47"/>
      <c r="SGZ29" s="47"/>
      <c r="SHA29" s="47"/>
      <c r="SHB29" s="47"/>
      <c r="SHC29" s="47"/>
      <c r="SHD29" s="47"/>
      <c r="SHE29" s="47"/>
      <c r="SHF29" s="47"/>
      <c r="SHG29" s="47"/>
      <c r="SHH29" s="47"/>
      <c r="SHI29" s="47"/>
      <c r="SHJ29" s="47"/>
      <c r="SHK29" s="47"/>
      <c r="SHL29" s="47"/>
      <c r="SHM29" s="47"/>
      <c r="SHN29" s="47"/>
      <c r="SHO29" s="47"/>
      <c r="SHP29" s="47"/>
      <c r="SHQ29" s="47"/>
      <c r="SHR29" s="47"/>
      <c r="SHS29" s="47"/>
      <c r="SHT29" s="47"/>
      <c r="SHU29" s="47"/>
      <c r="SHV29" s="47"/>
      <c r="SHW29" s="47"/>
      <c r="SHX29" s="47"/>
      <c r="SHY29" s="47"/>
      <c r="SHZ29" s="47"/>
      <c r="SIA29" s="47"/>
      <c r="SIB29" s="47"/>
      <c r="SIC29" s="47"/>
      <c r="SID29" s="47"/>
      <c r="SIE29" s="47"/>
      <c r="SIF29" s="47"/>
      <c r="SIG29" s="47"/>
      <c r="SIH29" s="47"/>
      <c r="SII29" s="47"/>
      <c r="SIJ29" s="47"/>
      <c r="SIK29" s="47"/>
      <c r="SIL29" s="47"/>
      <c r="SIM29" s="47"/>
      <c r="SIN29" s="47"/>
      <c r="SIO29" s="47"/>
      <c r="SIP29" s="47"/>
      <c r="SIQ29" s="47"/>
      <c r="SIR29" s="47"/>
      <c r="SIS29" s="47"/>
      <c r="SIT29" s="47"/>
      <c r="SIU29" s="47"/>
      <c r="SIV29" s="47"/>
      <c r="SIW29" s="47"/>
      <c r="SIX29" s="47"/>
      <c r="SIY29" s="47"/>
      <c r="SIZ29" s="47"/>
      <c r="SJA29" s="47"/>
      <c r="SJB29" s="47"/>
      <c r="SJC29" s="47"/>
      <c r="SJD29" s="47"/>
      <c r="SJE29" s="47"/>
      <c r="SJF29" s="47"/>
      <c r="SJG29" s="47"/>
      <c r="SJH29" s="47"/>
      <c r="SJI29" s="47"/>
      <c r="SJJ29" s="47"/>
      <c r="SJK29" s="47"/>
      <c r="SJL29" s="47"/>
      <c r="SJM29" s="47"/>
      <c r="SJN29" s="47"/>
      <c r="SJO29" s="47"/>
      <c r="SJP29" s="47"/>
      <c r="SJQ29" s="47"/>
      <c r="SJR29" s="47"/>
      <c r="SJS29" s="47"/>
      <c r="SJT29" s="47"/>
      <c r="SJU29" s="47"/>
      <c r="SJV29" s="47"/>
      <c r="SJW29" s="47"/>
      <c r="SJX29" s="47"/>
      <c r="SJY29" s="47"/>
      <c r="SJZ29" s="47"/>
      <c r="SKA29" s="47"/>
      <c r="SKB29" s="47"/>
      <c r="SKC29" s="47"/>
      <c r="SKD29" s="47"/>
      <c r="SKE29" s="47"/>
      <c r="SKF29" s="47"/>
      <c r="SKG29" s="47"/>
      <c r="SKH29" s="47"/>
      <c r="SKI29" s="47"/>
      <c r="SKJ29" s="47"/>
      <c r="SKK29" s="47"/>
      <c r="SKL29" s="47"/>
      <c r="SKM29" s="47"/>
      <c r="SKN29" s="47"/>
      <c r="SKO29" s="47"/>
      <c r="SKP29" s="47"/>
      <c r="SKQ29" s="47"/>
      <c r="SKR29" s="47"/>
      <c r="SKS29" s="47"/>
      <c r="SKT29" s="47"/>
      <c r="SKU29" s="47"/>
      <c r="SKV29" s="47"/>
      <c r="SKW29" s="47"/>
      <c r="SKX29" s="47"/>
      <c r="SKY29" s="47"/>
      <c r="SKZ29" s="47"/>
      <c r="SLA29" s="47"/>
      <c r="SLB29" s="47"/>
      <c r="SLC29" s="47"/>
      <c r="SLD29" s="47"/>
      <c r="SLE29" s="47"/>
      <c r="SLF29" s="47"/>
      <c r="SLG29" s="47"/>
      <c r="SLH29" s="47"/>
      <c r="SLI29" s="47"/>
      <c r="SLJ29" s="47"/>
      <c r="SLK29" s="47"/>
      <c r="SLL29" s="47"/>
      <c r="SLM29" s="47"/>
      <c r="SLN29" s="47"/>
      <c r="SLO29" s="47"/>
      <c r="SLP29" s="47"/>
      <c r="SLQ29" s="47"/>
      <c r="SLR29" s="47"/>
      <c r="SLS29" s="47"/>
      <c r="SLT29" s="47"/>
      <c r="SLU29" s="47"/>
      <c r="SLV29" s="47"/>
      <c r="SLW29" s="47"/>
      <c r="SLX29" s="47"/>
      <c r="SLY29" s="47"/>
      <c r="SLZ29" s="47"/>
      <c r="SMA29" s="47"/>
      <c r="SMB29" s="47"/>
      <c r="SMC29" s="47"/>
      <c r="SMD29" s="47"/>
      <c r="SME29" s="47"/>
      <c r="SMF29" s="47"/>
      <c r="SMG29" s="47"/>
      <c r="SMH29" s="47"/>
      <c r="SMI29" s="47"/>
      <c r="SMJ29" s="47"/>
      <c r="SMK29" s="47"/>
      <c r="SML29" s="47"/>
      <c r="SMM29" s="47"/>
      <c r="SMN29" s="47"/>
      <c r="SMO29" s="47"/>
      <c r="SMP29" s="47"/>
      <c r="SMQ29" s="47"/>
      <c r="SMR29" s="47"/>
      <c r="SMS29" s="47"/>
      <c r="SMT29" s="47"/>
      <c r="SMU29" s="47"/>
      <c r="SMV29" s="47"/>
      <c r="SMW29" s="47"/>
      <c r="SMX29" s="47"/>
      <c r="SMY29" s="47"/>
      <c r="SMZ29" s="47"/>
      <c r="SNA29" s="47"/>
      <c r="SNB29" s="47"/>
      <c r="SNC29" s="47"/>
      <c r="SND29" s="47"/>
      <c r="SNE29" s="47"/>
      <c r="SNF29" s="47"/>
      <c r="SNG29" s="47"/>
      <c r="SNH29" s="47"/>
      <c r="SNI29" s="47"/>
      <c r="SNJ29" s="47"/>
      <c r="SNK29" s="47"/>
      <c r="SNL29" s="47"/>
      <c r="SNM29" s="47"/>
      <c r="SNN29" s="47"/>
      <c r="SNO29" s="47"/>
      <c r="SNP29" s="47"/>
      <c r="SNQ29" s="47"/>
      <c r="SNR29" s="47"/>
      <c r="SNS29" s="47"/>
      <c r="SNT29" s="47"/>
      <c r="SNU29" s="47"/>
      <c r="SNV29" s="47"/>
      <c r="SNW29" s="47"/>
      <c r="SNX29" s="47"/>
      <c r="SNY29" s="47"/>
      <c r="SNZ29" s="47"/>
      <c r="SOA29" s="47"/>
      <c r="SOB29" s="47"/>
      <c r="SOC29" s="47"/>
      <c r="SOD29" s="47"/>
      <c r="SOE29" s="47"/>
      <c r="SOF29" s="47"/>
      <c r="SOG29" s="47"/>
      <c r="SOH29" s="47"/>
      <c r="SOI29" s="47"/>
      <c r="SOJ29" s="47"/>
      <c r="SOK29" s="47"/>
      <c r="SOL29" s="47"/>
      <c r="SOM29" s="47"/>
      <c r="SON29" s="47"/>
      <c r="SOO29" s="47"/>
      <c r="SOP29" s="47"/>
      <c r="SOQ29" s="47"/>
      <c r="SOR29" s="47"/>
      <c r="SOS29" s="47"/>
      <c r="SOT29" s="47"/>
      <c r="SOU29" s="47"/>
      <c r="SOV29" s="47"/>
      <c r="SOW29" s="47"/>
      <c r="SOX29" s="47"/>
      <c r="SOY29" s="47"/>
      <c r="SOZ29" s="47"/>
      <c r="SPA29" s="47"/>
      <c r="SPB29" s="47"/>
      <c r="SPC29" s="47"/>
      <c r="SPD29" s="47"/>
      <c r="SPE29" s="47"/>
      <c r="SPF29" s="47"/>
      <c r="SPG29" s="47"/>
      <c r="SPH29" s="47"/>
      <c r="SPI29" s="47"/>
      <c r="SPJ29" s="47"/>
      <c r="SPK29" s="47"/>
      <c r="SPL29" s="47"/>
      <c r="SPM29" s="47"/>
      <c r="SPN29" s="47"/>
      <c r="SPO29" s="47"/>
      <c r="SPP29" s="47"/>
      <c r="SPQ29" s="47"/>
      <c r="SPR29" s="47"/>
      <c r="SPS29" s="47"/>
      <c r="SPT29" s="47"/>
      <c r="SPU29" s="47"/>
      <c r="SPV29" s="47"/>
      <c r="SPW29" s="47"/>
      <c r="SPX29" s="47"/>
      <c r="SPY29" s="47"/>
      <c r="SPZ29" s="47"/>
      <c r="SQA29" s="47"/>
      <c r="SQB29" s="47"/>
      <c r="SQC29" s="47"/>
      <c r="SQD29" s="47"/>
      <c r="SQE29" s="47"/>
      <c r="SQF29" s="47"/>
      <c r="SQG29" s="47"/>
      <c r="SQH29" s="47"/>
      <c r="SQI29" s="47"/>
      <c r="SQJ29" s="47"/>
      <c r="SQK29" s="47"/>
      <c r="SQL29" s="47"/>
      <c r="SQM29" s="47"/>
      <c r="SQN29" s="47"/>
      <c r="SQO29" s="47"/>
      <c r="SQP29" s="47"/>
      <c r="SQQ29" s="47"/>
      <c r="SQR29" s="47"/>
      <c r="SQS29" s="47"/>
      <c r="SQT29" s="47"/>
      <c r="SQU29" s="47"/>
      <c r="SQV29" s="47"/>
      <c r="SQW29" s="47"/>
      <c r="SQX29" s="47"/>
      <c r="SQY29" s="47"/>
      <c r="SQZ29" s="47"/>
      <c r="SRA29" s="47"/>
      <c r="SRB29" s="47"/>
      <c r="SRC29" s="47"/>
      <c r="SRD29" s="47"/>
      <c r="SRE29" s="47"/>
      <c r="SRF29" s="47"/>
      <c r="SRG29" s="47"/>
      <c r="SRH29" s="47"/>
      <c r="SRI29" s="47"/>
      <c r="SRJ29" s="47"/>
      <c r="SRK29" s="47"/>
      <c r="SRL29" s="47"/>
      <c r="SRM29" s="47"/>
      <c r="SRN29" s="47"/>
      <c r="SRO29" s="47"/>
      <c r="SRP29" s="47"/>
      <c r="SRQ29" s="47"/>
      <c r="SRR29" s="47"/>
      <c r="SRS29" s="47"/>
      <c r="SRT29" s="47"/>
      <c r="SRU29" s="47"/>
      <c r="SRV29" s="47"/>
      <c r="SRW29" s="47"/>
      <c r="SRX29" s="47"/>
      <c r="SRY29" s="47"/>
      <c r="SRZ29" s="47"/>
      <c r="SSA29" s="47"/>
      <c r="SSB29" s="47"/>
      <c r="SSC29" s="47"/>
      <c r="SSD29" s="47"/>
      <c r="SSE29" s="47"/>
      <c r="SSF29" s="47"/>
      <c r="SSG29" s="47"/>
      <c r="SSH29" s="47"/>
      <c r="SSI29" s="47"/>
      <c r="SSJ29" s="47"/>
      <c r="SSK29" s="47"/>
      <c r="SSL29" s="47"/>
      <c r="SSM29" s="47"/>
      <c r="SSN29" s="47"/>
      <c r="SSO29" s="47"/>
      <c r="SSP29" s="47"/>
      <c r="SSQ29" s="47"/>
      <c r="SSR29" s="47"/>
      <c r="SSS29" s="47"/>
      <c r="SST29" s="47"/>
      <c r="SSU29" s="47"/>
      <c r="SSV29" s="47"/>
      <c r="SSW29" s="47"/>
      <c r="SSX29" s="47"/>
      <c r="SSY29" s="47"/>
      <c r="SSZ29" s="47"/>
      <c r="STA29" s="47"/>
      <c r="STB29" s="47"/>
      <c r="STC29" s="47"/>
      <c r="STD29" s="47"/>
      <c r="STE29" s="47"/>
      <c r="STF29" s="47"/>
      <c r="STG29" s="47"/>
      <c r="STH29" s="47"/>
      <c r="STI29" s="47"/>
      <c r="STJ29" s="47"/>
      <c r="STK29" s="47"/>
      <c r="STL29" s="47"/>
      <c r="STM29" s="47"/>
      <c r="STN29" s="47"/>
      <c r="STO29" s="47"/>
      <c r="STP29" s="47"/>
      <c r="STQ29" s="47"/>
      <c r="STR29" s="47"/>
      <c r="STS29" s="47"/>
      <c r="STT29" s="47"/>
      <c r="STU29" s="47"/>
      <c r="STV29" s="47"/>
      <c r="STW29" s="47"/>
      <c r="STX29" s="47"/>
      <c r="STY29" s="47"/>
      <c r="STZ29" s="47"/>
      <c r="SUA29" s="47"/>
      <c r="SUB29" s="47"/>
      <c r="SUC29" s="47"/>
      <c r="SUD29" s="47"/>
      <c r="SUE29" s="47"/>
      <c r="SUF29" s="47"/>
      <c r="SUG29" s="47"/>
      <c r="SUH29" s="47"/>
      <c r="SUI29" s="47"/>
      <c r="SUJ29" s="47"/>
      <c r="SUK29" s="47"/>
      <c r="SUL29" s="47"/>
      <c r="SUM29" s="47"/>
      <c r="SUN29" s="47"/>
      <c r="SUO29" s="47"/>
      <c r="SUP29" s="47"/>
      <c r="SUQ29" s="47"/>
      <c r="SUR29" s="47"/>
      <c r="SUS29" s="47"/>
      <c r="SUT29" s="47"/>
      <c r="SUU29" s="47"/>
      <c r="SUV29" s="47"/>
      <c r="SUW29" s="47"/>
      <c r="SUX29" s="47"/>
      <c r="SUY29" s="47"/>
      <c r="SUZ29" s="47"/>
      <c r="SVA29" s="47"/>
      <c r="SVB29" s="47"/>
      <c r="SVC29" s="47"/>
      <c r="SVD29" s="47"/>
      <c r="SVE29" s="47"/>
      <c r="SVF29" s="47"/>
      <c r="SVG29" s="47"/>
      <c r="SVH29" s="47"/>
      <c r="SVI29" s="47"/>
      <c r="SVJ29" s="47"/>
      <c r="SVK29" s="47"/>
      <c r="SVL29" s="47"/>
      <c r="SVM29" s="47"/>
      <c r="SVN29" s="47"/>
      <c r="SVO29" s="47"/>
      <c r="SVP29" s="47"/>
      <c r="SVQ29" s="47"/>
      <c r="SVR29" s="47"/>
      <c r="SVS29" s="47"/>
      <c r="SVT29" s="47"/>
      <c r="SVU29" s="47"/>
      <c r="SVV29" s="47"/>
      <c r="SVW29" s="47"/>
      <c r="SVX29" s="47"/>
      <c r="SVY29" s="47"/>
      <c r="SVZ29" s="47"/>
      <c r="SWA29" s="47"/>
      <c r="SWB29" s="47"/>
      <c r="SWC29" s="47"/>
      <c r="SWD29" s="47"/>
      <c r="SWE29" s="47"/>
      <c r="SWF29" s="47"/>
      <c r="SWG29" s="47"/>
      <c r="SWH29" s="47"/>
      <c r="SWI29" s="47"/>
      <c r="SWJ29" s="47"/>
      <c r="SWK29" s="47"/>
      <c r="SWL29" s="47"/>
      <c r="SWM29" s="47"/>
      <c r="SWN29" s="47"/>
      <c r="SWO29" s="47"/>
      <c r="SWP29" s="47"/>
      <c r="SWQ29" s="47"/>
      <c r="SWR29" s="47"/>
      <c r="SWS29" s="47"/>
      <c r="SWT29" s="47"/>
      <c r="SWU29" s="47"/>
      <c r="SWV29" s="47"/>
      <c r="SWW29" s="47"/>
      <c r="SWX29" s="47"/>
      <c r="SWY29" s="47"/>
      <c r="SWZ29" s="47"/>
      <c r="SXA29" s="47"/>
      <c r="SXB29" s="47"/>
      <c r="SXC29" s="47"/>
      <c r="SXD29" s="47"/>
      <c r="SXE29" s="47"/>
      <c r="SXF29" s="47"/>
      <c r="SXG29" s="47"/>
      <c r="SXH29" s="47"/>
      <c r="SXI29" s="47"/>
      <c r="SXJ29" s="47"/>
      <c r="SXK29" s="47"/>
      <c r="SXL29" s="47"/>
      <c r="SXM29" s="47"/>
      <c r="SXN29" s="47"/>
      <c r="SXO29" s="47"/>
      <c r="SXP29" s="47"/>
      <c r="SXQ29" s="47"/>
      <c r="SXR29" s="47"/>
      <c r="SXS29" s="47"/>
      <c r="SXT29" s="47"/>
      <c r="SXU29" s="47"/>
      <c r="SXV29" s="47"/>
      <c r="SXW29" s="47"/>
      <c r="SXX29" s="47"/>
      <c r="SXY29" s="47"/>
      <c r="SXZ29" s="47"/>
      <c r="SYA29" s="47"/>
      <c r="SYB29" s="47"/>
      <c r="SYC29" s="47"/>
      <c r="SYD29" s="47"/>
      <c r="SYE29" s="47"/>
      <c r="SYF29" s="47"/>
      <c r="SYG29" s="47"/>
      <c r="SYH29" s="47"/>
      <c r="SYI29" s="47"/>
      <c r="SYJ29" s="47"/>
      <c r="SYK29" s="47"/>
      <c r="SYL29" s="47"/>
      <c r="SYM29" s="47"/>
      <c r="SYN29" s="47"/>
      <c r="SYO29" s="47"/>
      <c r="SYP29" s="47"/>
      <c r="SYQ29" s="47"/>
      <c r="SYR29" s="47"/>
      <c r="SYS29" s="47"/>
      <c r="SYT29" s="47"/>
      <c r="SYU29" s="47"/>
      <c r="SYV29" s="47"/>
      <c r="SYW29" s="47"/>
      <c r="SYX29" s="47"/>
      <c r="SYY29" s="47"/>
      <c r="SYZ29" s="47"/>
      <c r="SZA29" s="47"/>
      <c r="SZB29" s="47"/>
      <c r="SZC29" s="47"/>
      <c r="SZD29" s="47"/>
      <c r="SZE29" s="47"/>
      <c r="SZF29" s="47"/>
      <c r="SZG29" s="47"/>
      <c r="SZH29" s="47"/>
      <c r="SZI29" s="47"/>
      <c r="SZJ29" s="47"/>
      <c r="SZK29" s="47"/>
      <c r="SZL29" s="47"/>
      <c r="SZM29" s="47"/>
      <c r="SZN29" s="47"/>
      <c r="SZO29" s="47"/>
      <c r="SZP29" s="47"/>
      <c r="SZQ29" s="47"/>
      <c r="SZR29" s="47"/>
      <c r="SZS29" s="47"/>
      <c r="SZT29" s="47"/>
      <c r="SZU29" s="47"/>
      <c r="SZV29" s="47"/>
      <c r="SZW29" s="47"/>
      <c r="SZX29" s="47"/>
      <c r="SZY29" s="47"/>
      <c r="SZZ29" s="47"/>
      <c r="TAA29" s="47"/>
      <c r="TAB29" s="47"/>
      <c r="TAC29" s="47"/>
      <c r="TAD29" s="47"/>
      <c r="TAE29" s="47"/>
      <c r="TAF29" s="47"/>
      <c r="TAG29" s="47"/>
      <c r="TAH29" s="47"/>
      <c r="TAI29" s="47"/>
      <c r="TAJ29" s="47"/>
      <c r="TAK29" s="47"/>
      <c r="TAL29" s="47"/>
      <c r="TAM29" s="47"/>
      <c r="TAN29" s="47"/>
      <c r="TAO29" s="47"/>
      <c r="TAP29" s="47"/>
      <c r="TAQ29" s="47"/>
      <c r="TAR29" s="47"/>
      <c r="TAS29" s="47"/>
      <c r="TAT29" s="47"/>
      <c r="TAU29" s="47"/>
      <c r="TAV29" s="47"/>
      <c r="TAW29" s="47"/>
      <c r="TAX29" s="47"/>
      <c r="TAY29" s="47"/>
      <c r="TAZ29" s="47"/>
      <c r="TBA29" s="47"/>
      <c r="TBB29" s="47"/>
      <c r="TBC29" s="47"/>
      <c r="TBD29" s="47"/>
      <c r="TBE29" s="47"/>
      <c r="TBF29" s="47"/>
      <c r="TBG29" s="47"/>
      <c r="TBH29" s="47"/>
      <c r="TBI29" s="47"/>
      <c r="TBJ29" s="47"/>
      <c r="TBK29" s="47"/>
      <c r="TBL29" s="47"/>
      <c r="TBM29" s="47"/>
      <c r="TBN29" s="47"/>
      <c r="TBO29" s="47"/>
      <c r="TBP29" s="47"/>
      <c r="TBQ29" s="47"/>
      <c r="TBR29" s="47"/>
      <c r="TBS29" s="47"/>
      <c r="TBT29" s="47"/>
      <c r="TBU29" s="47"/>
      <c r="TBV29" s="47"/>
      <c r="TBW29" s="47"/>
      <c r="TBX29" s="47"/>
      <c r="TBY29" s="47"/>
      <c r="TBZ29" s="47"/>
      <c r="TCA29" s="47"/>
      <c r="TCB29" s="47"/>
      <c r="TCC29" s="47"/>
      <c r="TCD29" s="47"/>
      <c r="TCE29" s="47"/>
      <c r="TCF29" s="47"/>
      <c r="TCG29" s="47"/>
      <c r="TCH29" s="47"/>
      <c r="TCI29" s="47"/>
      <c r="TCJ29" s="47"/>
      <c r="TCK29" s="47"/>
      <c r="TCL29" s="47"/>
      <c r="TCM29" s="47"/>
      <c r="TCN29" s="47"/>
      <c r="TCO29" s="47"/>
      <c r="TCP29" s="47"/>
      <c r="TCQ29" s="47"/>
      <c r="TCR29" s="47"/>
      <c r="TCS29" s="47"/>
      <c r="TCT29" s="47"/>
      <c r="TCU29" s="47"/>
      <c r="TCV29" s="47"/>
      <c r="TCW29" s="47"/>
      <c r="TCX29" s="47"/>
      <c r="TCY29" s="47"/>
      <c r="TCZ29" s="47"/>
      <c r="TDA29" s="47"/>
      <c r="TDB29" s="47"/>
      <c r="TDC29" s="47"/>
      <c r="TDD29" s="47"/>
      <c r="TDE29" s="47"/>
      <c r="TDF29" s="47"/>
      <c r="TDG29" s="47"/>
      <c r="TDH29" s="47"/>
      <c r="TDI29" s="47"/>
      <c r="TDJ29" s="47"/>
      <c r="TDK29" s="47"/>
      <c r="TDL29" s="47"/>
      <c r="TDM29" s="47"/>
      <c r="TDN29" s="47"/>
      <c r="TDO29" s="47"/>
      <c r="TDP29" s="47"/>
      <c r="TDQ29" s="47"/>
      <c r="TDR29" s="47"/>
      <c r="TDS29" s="47"/>
      <c r="TDT29" s="47"/>
      <c r="TDU29" s="47"/>
      <c r="TDV29" s="47"/>
      <c r="TDW29" s="47"/>
      <c r="TDX29" s="47"/>
      <c r="TDY29" s="47"/>
      <c r="TDZ29" s="47"/>
      <c r="TEA29" s="47"/>
      <c r="TEB29" s="47"/>
      <c r="TEC29" s="47"/>
      <c r="TED29" s="47"/>
      <c r="TEE29" s="47"/>
      <c r="TEF29" s="47"/>
      <c r="TEG29" s="47"/>
      <c r="TEH29" s="47"/>
      <c r="TEI29" s="47"/>
      <c r="TEJ29" s="47"/>
      <c r="TEK29" s="47"/>
      <c r="TEL29" s="47"/>
      <c r="TEM29" s="47"/>
      <c r="TEN29" s="47"/>
      <c r="TEO29" s="47"/>
      <c r="TEP29" s="47"/>
      <c r="TEQ29" s="47"/>
      <c r="TER29" s="47"/>
      <c r="TES29" s="47"/>
      <c r="TET29" s="47"/>
      <c r="TEU29" s="47"/>
      <c r="TEV29" s="47"/>
      <c r="TEW29" s="47"/>
      <c r="TEX29" s="47"/>
      <c r="TEY29" s="47"/>
      <c r="TEZ29" s="47"/>
      <c r="TFA29" s="47"/>
      <c r="TFB29" s="47"/>
      <c r="TFC29" s="47"/>
      <c r="TFD29" s="47"/>
      <c r="TFE29" s="47"/>
      <c r="TFF29" s="47"/>
      <c r="TFG29" s="47"/>
      <c r="TFH29" s="47"/>
      <c r="TFI29" s="47"/>
      <c r="TFJ29" s="47"/>
      <c r="TFK29" s="47"/>
      <c r="TFL29" s="47"/>
      <c r="TFM29" s="47"/>
      <c r="TFN29" s="47"/>
      <c r="TFO29" s="47"/>
      <c r="TFP29" s="47"/>
      <c r="TFQ29" s="47"/>
      <c r="TFR29" s="47"/>
      <c r="TFS29" s="47"/>
      <c r="TFT29" s="47"/>
      <c r="TFU29" s="47"/>
      <c r="TFV29" s="47"/>
      <c r="TFW29" s="47"/>
      <c r="TFX29" s="47"/>
      <c r="TFY29" s="47"/>
      <c r="TFZ29" s="47"/>
      <c r="TGA29" s="47"/>
      <c r="TGB29" s="47"/>
      <c r="TGC29" s="47"/>
      <c r="TGD29" s="47"/>
      <c r="TGE29" s="47"/>
      <c r="TGF29" s="47"/>
      <c r="TGG29" s="47"/>
      <c r="TGH29" s="47"/>
      <c r="TGI29" s="47"/>
      <c r="TGJ29" s="47"/>
      <c r="TGK29" s="47"/>
      <c r="TGL29" s="47"/>
      <c r="TGM29" s="47"/>
      <c r="TGN29" s="47"/>
      <c r="TGO29" s="47"/>
      <c r="TGP29" s="47"/>
      <c r="TGQ29" s="47"/>
      <c r="TGR29" s="47"/>
      <c r="TGS29" s="47"/>
      <c r="TGT29" s="47"/>
      <c r="TGU29" s="47"/>
      <c r="TGV29" s="47"/>
      <c r="TGW29" s="47"/>
      <c r="TGX29" s="47"/>
      <c r="TGY29" s="47"/>
      <c r="TGZ29" s="47"/>
      <c r="THA29" s="47"/>
      <c r="THB29" s="47"/>
      <c r="THC29" s="47"/>
      <c r="THD29" s="47"/>
      <c r="THE29" s="47"/>
      <c r="THF29" s="47"/>
      <c r="THG29" s="47"/>
      <c r="THH29" s="47"/>
      <c r="THI29" s="47"/>
      <c r="THJ29" s="47"/>
      <c r="THK29" s="47"/>
      <c r="THL29" s="47"/>
      <c r="THM29" s="47"/>
      <c r="THN29" s="47"/>
      <c r="THO29" s="47"/>
      <c r="THP29" s="47"/>
      <c r="THQ29" s="47"/>
      <c r="THR29" s="47"/>
      <c r="THS29" s="47"/>
      <c r="THT29" s="47"/>
      <c r="THU29" s="47"/>
      <c r="THV29" s="47"/>
      <c r="THW29" s="47"/>
      <c r="THX29" s="47"/>
      <c r="THY29" s="47"/>
      <c r="THZ29" s="47"/>
      <c r="TIA29" s="47"/>
      <c r="TIB29" s="47"/>
      <c r="TIC29" s="47"/>
      <c r="TID29" s="47"/>
      <c r="TIE29" s="47"/>
      <c r="TIF29" s="47"/>
      <c r="TIG29" s="47"/>
      <c r="TIH29" s="47"/>
      <c r="TII29" s="47"/>
      <c r="TIJ29" s="47"/>
      <c r="TIK29" s="47"/>
      <c r="TIL29" s="47"/>
      <c r="TIM29" s="47"/>
      <c r="TIN29" s="47"/>
      <c r="TIO29" s="47"/>
      <c r="TIP29" s="47"/>
      <c r="TIQ29" s="47"/>
      <c r="TIR29" s="47"/>
      <c r="TIS29" s="47"/>
      <c r="TIT29" s="47"/>
      <c r="TIU29" s="47"/>
      <c r="TIV29" s="47"/>
      <c r="TIW29" s="47"/>
      <c r="TIX29" s="47"/>
      <c r="TIY29" s="47"/>
      <c r="TIZ29" s="47"/>
      <c r="TJA29" s="47"/>
      <c r="TJB29" s="47"/>
      <c r="TJC29" s="47"/>
      <c r="TJD29" s="47"/>
      <c r="TJE29" s="47"/>
      <c r="TJF29" s="47"/>
      <c r="TJG29" s="47"/>
      <c r="TJH29" s="47"/>
      <c r="TJI29" s="47"/>
      <c r="TJJ29" s="47"/>
      <c r="TJK29" s="47"/>
      <c r="TJL29" s="47"/>
      <c r="TJM29" s="47"/>
      <c r="TJN29" s="47"/>
      <c r="TJO29" s="47"/>
      <c r="TJP29" s="47"/>
      <c r="TJQ29" s="47"/>
      <c r="TJR29" s="47"/>
      <c r="TJS29" s="47"/>
      <c r="TJT29" s="47"/>
      <c r="TJU29" s="47"/>
      <c r="TJV29" s="47"/>
      <c r="TJW29" s="47"/>
      <c r="TJX29" s="47"/>
      <c r="TJY29" s="47"/>
      <c r="TJZ29" s="47"/>
      <c r="TKA29" s="47"/>
      <c r="TKB29" s="47"/>
      <c r="TKC29" s="47"/>
      <c r="TKD29" s="47"/>
      <c r="TKE29" s="47"/>
      <c r="TKF29" s="47"/>
      <c r="TKG29" s="47"/>
      <c r="TKH29" s="47"/>
      <c r="TKI29" s="47"/>
      <c r="TKJ29" s="47"/>
      <c r="TKK29" s="47"/>
      <c r="TKL29" s="47"/>
      <c r="TKM29" s="47"/>
      <c r="TKN29" s="47"/>
      <c r="TKO29" s="47"/>
      <c r="TKP29" s="47"/>
      <c r="TKQ29" s="47"/>
      <c r="TKR29" s="47"/>
      <c r="TKS29" s="47"/>
      <c r="TKT29" s="47"/>
      <c r="TKU29" s="47"/>
      <c r="TKV29" s="47"/>
      <c r="TKW29" s="47"/>
      <c r="TKX29" s="47"/>
      <c r="TKY29" s="47"/>
      <c r="TKZ29" s="47"/>
      <c r="TLA29" s="47"/>
      <c r="TLB29" s="47"/>
      <c r="TLC29" s="47"/>
      <c r="TLD29" s="47"/>
      <c r="TLE29" s="47"/>
      <c r="TLF29" s="47"/>
      <c r="TLG29" s="47"/>
      <c r="TLH29" s="47"/>
      <c r="TLI29" s="47"/>
      <c r="TLJ29" s="47"/>
      <c r="TLK29" s="47"/>
      <c r="TLL29" s="47"/>
      <c r="TLM29" s="47"/>
      <c r="TLN29" s="47"/>
      <c r="TLO29" s="47"/>
      <c r="TLP29" s="47"/>
      <c r="TLQ29" s="47"/>
      <c r="TLR29" s="47"/>
      <c r="TLS29" s="47"/>
      <c r="TLT29" s="47"/>
      <c r="TLU29" s="47"/>
      <c r="TLV29" s="47"/>
      <c r="TLW29" s="47"/>
      <c r="TLX29" s="47"/>
      <c r="TLY29" s="47"/>
      <c r="TLZ29" s="47"/>
      <c r="TMA29" s="47"/>
      <c r="TMB29" s="47"/>
      <c r="TMC29" s="47"/>
      <c r="TMD29" s="47"/>
      <c r="TME29" s="47"/>
      <c r="TMF29" s="47"/>
      <c r="TMG29" s="47"/>
      <c r="TMH29" s="47"/>
      <c r="TMI29" s="47"/>
      <c r="TMJ29" s="47"/>
      <c r="TMK29" s="47"/>
      <c r="TML29" s="47"/>
      <c r="TMM29" s="47"/>
      <c r="TMN29" s="47"/>
      <c r="TMO29" s="47"/>
      <c r="TMP29" s="47"/>
      <c r="TMQ29" s="47"/>
      <c r="TMR29" s="47"/>
      <c r="TMS29" s="47"/>
      <c r="TMT29" s="47"/>
      <c r="TMU29" s="47"/>
      <c r="TMV29" s="47"/>
      <c r="TMW29" s="47"/>
      <c r="TMX29" s="47"/>
      <c r="TMY29" s="47"/>
      <c r="TMZ29" s="47"/>
      <c r="TNA29" s="47"/>
      <c r="TNB29" s="47"/>
      <c r="TNC29" s="47"/>
      <c r="TND29" s="47"/>
      <c r="TNE29" s="47"/>
      <c r="TNF29" s="47"/>
      <c r="TNG29" s="47"/>
      <c r="TNH29" s="47"/>
      <c r="TNI29" s="47"/>
      <c r="TNJ29" s="47"/>
      <c r="TNK29" s="47"/>
      <c r="TNL29" s="47"/>
      <c r="TNM29" s="47"/>
      <c r="TNN29" s="47"/>
      <c r="TNO29" s="47"/>
      <c r="TNP29" s="47"/>
      <c r="TNQ29" s="47"/>
      <c r="TNR29" s="47"/>
      <c r="TNS29" s="47"/>
      <c r="TNT29" s="47"/>
      <c r="TNU29" s="47"/>
      <c r="TNV29" s="47"/>
      <c r="TNW29" s="47"/>
      <c r="TNX29" s="47"/>
      <c r="TNY29" s="47"/>
      <c r="TNZ29" s="47"/>
      <c r="TOA29" s="47"/>
      <c r="TOB29" s="47"/>
      <c r="TOC29" s="47"/>
      <c r="TOD29" s="47"/>
      <c r="TOE29" s="47"/>
      <c r="TOF29" s="47"/>
      <c r="TOG29" s="47"/>
      <c r="TOH29" s="47"/>
      <c r="TOI29" s="47"/>
      <c r="TOJ29" s="47"/>
      <c r="TOK29" s="47"/>
      <c r="TOL29" s="47"/>
      <c r="TOM29" s="47"/>
      <c r="TON29" s="47"/>
      <c r="TOO29" s="47"/>
      <c r="TOP29" s="47"/>
      <c r="TOQ29" s="47"/>
      <c r="TOR29" s="47"/>
      <c r="TOS29" s="47"/>
      <c r="TOT29" s="47"/>
      <c r="TOU29" s="47"/>
      <c r="TOV29" s="47"/>
      <c r="TOW29" s="47"/>
      <c r="TOX29" s="47"/>
      <c r="TOY29" s="47"/>
      <c r="TOZ29" s="47"/>
      <c r="TPA29" s="47"/>
      <c r="TPB29" s="47"/>
      <c r="TPC29" s="47"/>
      <c r="TPD29" s="47"/>
      <c r="TPE29" s="47"/>
      <c r="TPF29" s="47"/>
      <c r="TPG29" s="47"/>
      <c r="TPH29" s="47"/>
      <c r="TPI29" s="47"/>
      <c r="TPJ29" s="47"/>
      <c r="TPK29" s="47"/>
      <c r="TPL29" s="47"/>
      <c r="TPM29" s="47"/>
      <c r="TPN29" s="47"/>
      <c r="TPO29" s="47"/>
      <c r="TPP29" s="47"/>
      <c r="TPQ29" s="47"/>
      <c r="TPR29" s="47"/>
      <c r="TPS29" s="47"/>
      <c r="TPT29" s="47"/>
      <c r="TPU29" s="47"/>
      <c r="TPV29" s="47"/>
      <c r="TPW29" s="47"/>
      <c r="TPX29" s="47"/>
      <c r="TPY29" s="47"/>
      <c r="TPZ29" s="47"/>
      <c r="TQA29" s="47"/>
      <c r="TQB29" s="47"/>
      <c r="TQC29" s="47"/>
      <c r="TQD29" s="47"/>
      <c r="TQE29" s="47"/>
      <c r="TQF29" s="47"/>
      <c r="TQG29" s="47"/>
      <c r="TQH29" s="47"/>
      <c r="TQI29" s="47"/>
      <c r="TQJ29" s="47"/>
      <c r="TQK29" s="47"/>
      <c r="TQL29" s="47"/>
      <c r="TQM29" s="47"/>
      <c r="TQN29" s="47"/>
      <c r="TQO29" s="47"/>
      <c r="TQP29" s="47"/>
      <c r="TQQ29" s="47"/>
      <c r="TQR29" s="47"/>
      <c r="TQS29" s="47"/>
      <c r="TQT29" s="47"/>
      <c r="TQU29" s="47"/>
      <c r="TQV29" s="47"/>
      <c r="TQW29" s="47"/>
      <c r="TQX29" s="47"/>
      <c r="TQY29" s="47"/>
      <c r="TQZ29" s="47"/>
      <c r="TRA29" s="47"/>
      <c r="TRB29" s="47"/>
      <c r="TRC29" s="47"/>
      <c r="TRD29" s="47"/>
      <c r="TRE29" s="47"/>
      <c r="TRF29" s="47"/>
      <c r="TRG29" s="47"/>
      <c r="TRH29" s="47"/>
      <c r="TRI29" s="47"/>
      <c r="TRJ29" s="47"/>
      <c r="TRK29" s="47"/>
      <c r="TRL29" s="47"/>
      <c r="TRM29" s="47"/>
      <c r="TRN29" s="47"/>
      <c r="TRO29" s="47"/>
      <c r="TRP29" s="47"/>
      <c r="TRQ29" s="47"/>
      <c r="TRR29" s="47"/>
      <c r="TRS29" s="47"/>
      <c r="TRT29" s="47"/>
      <c r="TRU29" s="47"/>
      <c r="TRV29" s="47"/>
      <c r="TRW29" s="47"/>
      <c r="TRX29" s="47"/>
      <c r="TRY29" s="47"/>
      <c r="TRZ29" s="47"/>
      <c r="TSA29" s="47"/>
      <c r="TSB29" s="47"/>
      <c r="TSC29" s="47"/>
      <c r="TSD29" s="47"/>
      <c r="TSE29" s="47"/>
      <c r="TSF29" s="47"/>
      <c r="TSG29" s="47"/>
      <c r="TSH29" s="47"/>
      <c r="TSI29" s="47"/>
      <c r="TSJ29" s="47"/>
      <c r="TSK29" s="47"/>
      <c r="TSL29" s="47"/>
      <c r="TSM29" s="47"/>
      <c r="TSN29" s="47"/>
      <c r="TSO29" s="47"/>
      <c r="TSP29" s="47"/>
      <c r="TSQ29" s="47"/>
      <c r="TSR29" s="47"/>
      <c r="TSS29" s="47"/>
      <c r="TST29" s="47"/>
      <c r="TSU29" s="47"/>
      <c r="TSV29" s="47"/>
      <c r="TSW29" s="47"/>
      <c r="TSX29" s="47"/>
      <c r="TSY29" s="47"/>
      <c r="TSZ29" s="47"/>
      <c r="TTA29" s="47"/>
      <c r="TTB29" s="47"/>
      <c r="TTC29" s="47"/>
      <c r="TTD29" s="47"/>
      <c r="TTE29" s="47"/>
      <c r="TTF29" s="47"/>
      <c r="TTG29" s="47"/>
      <c r="TTH29" s="47"/>
      <c r="TTI29" s="47"/>
      <c r="TTJ29" s="47"/>
      <c r="TTK29" s="47"/>
      <c r="TTL29" s="47"/>
      <c r="TTM29" s="47"/>
      <c r="TTN29" s="47"/>
      <c r="TTO29" s="47"/>
      <c r="TTP29" s="47"/>
      <c r="TTQ29" s="47"/>
      <c r="TTR29" s="47"/>
      <c r="TTS29" s="47"/>
      <c r="TTT29" s="47"/>
      <c r="TTU29" s="47"/>
      <c r="TTV29" s="47"/>
      <c r="TTW29" s="47"/>
      <c r="TTX29" s="47"/>
      <c r="TTY29" s="47"/>
      <c r="TTZ29" s="47"/>
      <c r="TUA29" s="47"/>
      <c r="TUB29" s="47"/>
      <c r="TUC29" s="47"/>
      <c r="TUD29" s="47"/>
      <c r="TUE29" s="47"/>
      <c r="TUF29" s="47"/>
      <c r="TUG29" s="47"/>
      <c r="TUH29" s="47"/>
      <c r="TUI29" s="47"/>
      <c r="TUJ29" s="47"/>
      <c r="TUK29" s="47"/>
      <c r="TUL29" s="47"/>
      <c r="TUM29" s="47"/>
      <c r="TUN29" s="47"/>
      <c r="TUO29" s="47"/>
      <c r="TUP29" s="47"/>
      <c r="TUQ29" s="47"/>
      <c r="TUR29" s="47"/>
      <c r="TUS29" s="47"/>
      <c r="TUT29" s="47"/>
      <c r="TUU29" s="47"/>
      <c r="TUV29" s="47"/>
      <c r="TUW29" s="47"/>
      <c r="TUX29" s="47"/>
      <c r="TUY29" s="47"/>
      <c r="TUZ29" s="47"/>
      <c r="TVA29" s="47"/>
      <c r="TVB29" s="47"/>
      <c r="TVC29" s="47"/>
      <c r="TVD29" s="47"/>
      <c r="TVE29" s="47"/>
      <c r="TVF29" s="47"/>
      <c r="TVG29" s="47"/>
      <c r="TVH29" s="47"/>
      <c r="TVI29" s="47"/>
      <c r="TVJ29" s="47"/>
      <c r="TVK29" s="47"/>
      <c r="TVL29" s="47"/>
      <c r="TVM29" s="47"/>
      <c r="TVN29" s="47"/>
      <c r="TVO29" s="47"/>
      <c r="TVP29" s="47"/>
      <c r="TVQ29" s="47"/>
      <c r="TVR29" s="47"/>
      <c r="TVS29" s="47"/>
      <c r="TVT29" s="47"/>
      <c r="TVU29" s="47"/>
      <c r="TVV29" s="47"/>
      <c r="TVW29" s="47"/>
      <c r="TVX29" s="47"/>
      <c r="TVY29" s="47"/>
      <c r="TVZ29" s="47"/>
      <c r="TWA29" s="47"/>
      <c r="TWB29" s="47"/>
      <c r="TWC29" s="47"/>
      <c r="TWD29" s="47"/>
      <c r="TWE29" s="47"/>
      <c r="TWF29" s="47"/>
      <c r="TWG29" s="47"/>
      <c r="TWH29" s="47"/>
      <c r="TWI29" s="47"/>
      <c r="TWJ29" s="47"/>
      <c r="TWK29" s="47"/>
      <c r="TWL29" s="47"/>
      <c r="TWM29" s="47"/>
      <c r="TWN29" s="47"/>
      <c r="TWO29" s="47"/>
      <c r="TWP29" s="47"/>
      <c r="TWQ29" s="47"/>
      <c r="TWR29" s="47"/>
      <c r="TWS29" s="47"/>
      <c r="TWT29" s="47"/>
      <c r="TWU29" s="47"/>
      <c r="TWV29" s="47"/>
      <c r="TWW29" s="47"/>
      <c r="TWX29" s="47"/>
      <c r="TWY29" s="47"/>
      <c r="TWZ29" s="47"/>
      <c r="TXA29" s="47"/>
      <c r="TXB29" s="47"/>
      <c r="TXC29" s="47"/>
      <c r="TXD29" s="47"/>
      <c r="TXE29" s="47"/>
      <c r="TXF29" s="47"/>
      <c r="TXG29" s="47"/>
      <c r="TXH29" s="47"/>
      <c r="TXI29" s="47"/>
      <c r="TXJ29" s="47"/>
      <c r="TXK29" s="47"/>
      <c r="TXL29" s="47"/>
      <c r="TXM29" s="47"/>
      <c r="TXN29" s="47"/>
      <c r="TXO29" s="47"/>
      <c r="TXP29" s="47"/>
      <c r="TXQ29" s="47"/>
      <c r="TXR29" s="47"/>
      <c r="TXS29" s="47"/>
      <c r="TXT29" s="47"/>
      <c r="TXU29" s="47"/>
      <c r="TXV29" s="47"/>
      <c r="TXW29" s="47"/>
      <c r="TXX29" s="47"/>
      <c r="TXY29" s="47"/>
      <c r="TXZ29" s="47"/>
      <c r="TYA29" s="47"/>
      <c r="TYB29" s="47"/>
      <c r="TYC29" s="47"/>
      <c r="TYD29" s="47"/>
      <c r="TYE29" s="47"/>
      <c r="TYF29" s="47"/>
      <c r="TYG29" s="47"/>
      <c r="TYH29" s="47"/>
      <c r="TYI29" s="47"/>
      <c r="TYJ29" s="47"/>
      <c r="TYK29" s="47"/>
      <c r="TYL29" s="47"/>
      <c r="TYM29" s="47"/>
      <c r="TYN29" s="47"/>
      <c r="TYO29" s="47"/>
      <c r="TYP29" s="47"/>
      <c r="TYQ29" s="47"/>
      <c r="TYR29" s="47"/>
      <c r="TYS29" s="47"/>
      <c r="TYT29" s="47"/>
      <c r="TYU29" s="47"/>
      <c r="TYV29" s="47"/>
      <c r="TYW29" s="47"/>
      <c r="TYX29" s="47"/>
      <c r="TYY29" s="47"/>
      <c r="TYZ29" s="47"/>
      <c r="TZA29" s="47"/>
      <c r="TZB29" s="47"/>
      <c r="TZC29" s="47"/>
      <c r="TZD29" s="47"/>
      <c r="TZE29" s="47"/>
      <c r="TZF29" s="47"/>
      <c r="TZG29" s="47"/>
      <c r="TZH29" s="47"/>
      <c r="TZI29" s="47"/>
      <c r="TZJ29" s="47"/>
      <c r="TZK29" s="47"/>
      <c r="TZL29" s="47"/>
      <c r="TZM29" s="47"/>
      <c r="TZN29" s="47"/>
      <c r="TZO29" s="47"/>
      <c r="TZP29" s="47"/>
      <c r="TZQ29" s="47"/>
      <c r="TZR29" s="47"/>
      <c r="TZS29" s="47"/>
      <c r="TZT29" s="47"/>
      <c r="TZU29" s="47"/>
      <c r="TZV29" s="47"/>
      <c r="TZW29" s="47"/>
      <c r="TZX29" s="47"/>
      <c r="TZY29" s="47"/>
      <c r="TZZ29" s="47"/>
      <c r="UAA29" s="47"/>
      <c r="UAB29" s="47"/>
      <c r="UAC29" s="47"/>
      <c r="UAD29" s="47"/>
      <c r="UAE29" s="47"/>
      <c r="UAF29" s="47"/>
      <c r="UAG29" s="47"/>
      <c r="UAH29" s="47"/>
      <c r="UAI29" s="47"/>
      <c r="UAJ29" s="47"/>
      <c r="UAK29" s="47"/>
      <c r="UAL29" s="47"/>
      <c r="UAM29" s="47"/>
      <c r="UAN29" s="47"/>
      <c r="UAO29" s="47"/>
      <c r="UAP29" s="47"/>
      <c r="UAQ29" s="47"/>
      <c r="UAR29" s="47"/>
      <c r="UAS29" s="47"/>
      <c r="UAT29" s="47"/>
      <c r="UAU29" s="47"/>
      <c r="UAV29" s="47"/>
      <c r="UAW29" s="47"/>
      <c r="UAX29" s="47"/>
      <c r="UAY29" s="47"/>
      <c r="UAZ29" s="47"/>
      <c r="UBA29" s="47"/>
      <c r="UBB29" s="47"/>
      <c r="UBC29" s="47"/>
      <c r="UBD29" s="47"/>
      <c r="UBE29" s="47"/>
      <c r="UBF29" s="47"/>
      <c r="UBG29" s="47"/>
      <c r="UBH29" s="47"/>
      <c r="UBI29" s="47"/>
      <c r="UBJ29" s="47"/>
      <c r="UBK29" s="47"/>
      <c r="UBL29" s="47"/>
      <c r="UBM29" s="47"/>
      <c r="UBN29" s="47"/>
      <c r="UBO29" s="47"/>
      <c r="UBP29" s="47"/>
      <c r="UBQ29" s="47"/>
      <c r="UBR29" s="47"/>
      <c r="UBS29" s="47"/>
      <c r="UBT29" s="47"/>
      <c r="UBU29" s="47"/>
      <c r="UBV29" s="47"/>
      <c r="UBW29" s="47"/>
      <c r="UBX29" s="47"/>
      <c r="UBY29" s="47"/>
      <c r="UBZ29" s="47"/>
      <c r="UCA29" s="47"/>
      <c r="UCB29" s="47"/>
      <c r="UCC29" s="47"/>
      <c r="UCD29" s="47"/>
      <c r="UCE29" s="47"/>
      <c r="UCF29" s="47"/>
      <c r="UCG29" s="47"/>
      <c r="UCH29" s="47"/>
      <c r="UCI29" s="47"/>
      <c r="UCJ29" s="47"/>
      <c r="UCK29" s="47"/>
      <c r="UCL29" s="47"/>
      <c r="UCM29" s="47"/>
      <c r="UCN29" s="47"/>
      <c r="UCO29" s="47"/>
      <c r="UCP29" s="47"/>
      <c r="UCQ29" s="47"/>
      <c r="UCR29" s="47"/>
      <c r="UCS29" s="47"/>
      <c r="UCT29" s="47"/>
      <c r="UCU29" s="47"/>
      <c r="UCV29" s="47"/>
      <c r="UCW29" s="47"/>
      <c r="UCX29" s="47"/>
      <c r="UCY29" s="47"/>
      <c r="UCZ29" s="47"/>
      <c r="UDA29" s="47"/>
      <c r="UDB29" s="47"/>
      <c r="UDC29" s="47"/>
      <c r="UDD29" s="47"/>
      <c r="UDE29" s="47"/>
      <c r="UDF29" s="47"/>
      <c r="UDG29" s="47"/>
      <c r="UDH29" s="47"/>
      <c r="UDI29" s="47"/>
      <c r="UDJ29" s="47"/>
      <c r="UDK29" s="47"/>
      <c r="UDL29" s="47"/>
      <c r="UDM29" s="47"/>
      <c r="UDN29" s="47"/>
      <c r="UDO29" s="47"/>
      <c r="UDP29" s="47"/>
      <c r="UDQ29" s="47"/>
      <c r="UDR29" s="47"/>
      <c r="UDS29" s="47"/>
      <c r="UDT29" s="47"/>
      <c r="UDU29" s="47"/>
      <c r="UDV29" s="47"/>
      <c r="UDW29" s="47"/>
      <c r="UDX29" s="47"/>
      <c r="UDY29" s="47"/>
      <c r="UDZ29" s="47"/>
      <c r="UEA29" s="47"/>
      <c r="UEB29" s="47"/>
      <c r="UEC29" s="47"/>
      <c r="UED29" s="47"/>
      <c r="UEE29" s="47"/>
      <c r="UEF29" s="47"/>
      <c r="UEG29" s="47"/>
      <c r="UEH29" s="47"/>
      <c r="UEI29" s="47"/>
      <c r="UEJ29" s="47"/>
      <c r="UEK29" s="47"/>
      <c r="UEL29" s="47"/>
      <c r="UEM29" s="47"/>
      <c r="UEN29" s="47"/>
      <c r="UEO29" s="47"/>
      <c r="UEP29" s="47"/>
      <c r="UEQ29" s="47"/>
      <c r="UER29" s="47"/>
      <c r="UES29" s="47"/>
      <c r="UET29" s="47"/>
      <c r="UEU29" s="47"/>
      <c r="UEV29" s="47"/>
      <c r="UEW29" s="47"/>
      <c r="UEX29" s="47"/>
      <c r="UEY29" s="47"/>
      <c r="UEZ29" s="47"/>
      <c r="UFA29" s="47"/>
      <c r="UFB29" s="47"/>
      <c r="UFC29" s="47"/>
      <c r="UFD29" s="47"/>
      <c r="UFE29" s="47"/>
      <c r="UFF29" s="47"/>
      <c r="UFG29" s="47"/>
      <c r="UFH29" s="47"/>
      <c r="UFI29" s="47"/>
      <c r="UFJ29" s="47"/>
      <c r="UFK29" s="47"/>
      <c r="UFL29" s="47"/>
      <c r="UFM29" s="47"/>
      <c r="UFN29" s="47"/>
      <c r="UFO29" s="47"/>
      <c r="UFP29" s="47"/>
      <c r="UFQ29" s="47"/>
      <c r="UFR29" s="47"/>
      <c r="UFS29" s="47"/>
      <c r="UFT29" s="47"/>
      <c r="UFU29" s="47"/>
      <c r="UFV29" s="47"/>
      <c r="UFW29" s="47"/>
      <c r="UFX29" s="47"/>
      <c r="UFY29" s="47"/>
      <c r="UFZ29" s="47"/>
      <c r="UGA29" s="47"/>
      <c r="UGB29" s="47"/>
      <c r="UGC29" s="47"/>
      <c r="UGD29" s="47"/>
      <c r="UGE29" s="47"/>
      <c r="UGF29" s="47"/>
      <c r="UGG29" s="47"/>
      <c r="UGH29" s="47"/>
      <c r="UGI29" s="47"/>
      <c r="UGJ29" s="47"/>
      <c r="UGK29" s="47"/>
      <c r="UGL29" s="47"/>
      <c r="UGM29" s="47"/>
      <c r="UGN29" s="47"/>
      <c r="UGO29" s="47"/>
      <c r="UGP29" s="47"/>
      <c r="UGQ29" s="47"/>
      <c r="UGR29" s="47"/>
      <c r="UGS29" s="47"/>
      <c r="UGT29" s="47"/>
      <c r="UGU29" s="47"/>
      <c r="UGV29" s="47"/>
      <c r="UGW29" s="47"/>
      <c r="UGX29" s="47"/>
      <c r="UGY29" s="47"/>
      <c r="UGZ29" s="47"/>
      <c r="UHA29" s="47"/>
      <c r="UHB29" s="47"/>
      <c r="UHC29" s="47"/>
      <c r="UHD29" s="47"/>
      <c r="UHE29" s="47"/>
      <c r="UHF29" s="47"/>
      <c r="UHG29" s="47"/>
      <c r="UHH29" s="47"/>
      <c r="UHI29" s="47"/>
      <c r="UHJ29" s="47"/>
      <c r="UHK29" s="47"/>
      <c r="UHL29" s="47"/>
      <c r="UHM29" s="47"/>
      <c r="UHN29" s="47"/>
      <c r="UHO29" s="47"/>
      <c r="UHP29" s="47"/>
      <c r="UHQ29" s="47"/>
      <c r="UHR29" s="47"/>
      <c r="UHS29" s="47"/>
      <c r="UHT29" s="47"/>
      <c r="UHU29" s="47"/>
      <c r="UHV29" s="47"/>
      <c r="UHW29" s="47"/>
      <c r="UHX29" s="47"/>
      <c r="UHY29" s="47"/>
      <c r="UHZ29" s="47"/>
      <c r="UIA29" s="47"/>
      <c r="UIB29" s="47"/>
      <c r="UIC29" s="47"/>
      <c r="UID29" s="47"/>
      <c r="UIE29" s="47"/>
      <c r="UIF29" s="47"/>
      <c r="UIG29" s="47"/>
      <c r="UIH29" s="47"/>
      <c r="UII29" s="47"/>
      <c r="UIJ29" s="47"/>
      <c r="UIK29" s="47"/>
      <c r="UIL29" s="47"/>
      <c r="UIM29" s="47"/>
      <c r="UIN29" s="47"/>
      <c r="UIO29" s="47"/>
      <c r="UIP29" s="47"/>
      <c r="UIQ29" s="47"/>
      <c r="UIR29" s="47"/>
      <c r="UIS29" s="47"/>
      <c r="UIT29" s="47"/>
      <c r="UIU29" s="47"/>
      <c r="UIV29" s="47"/>
      <c r="UIW29" s="47"/>
      <c r="UIX29" s="47"/>
      <c r="UIY29" s="47"/>
      <c r="UIZ29" s="47"/>
      <c r="UJA29" s="47"/>
      <c r="UJB29" s="47"/>
      <c r="UJC29" s="47"/>
      <c r="UJD29" s="47"/>
      <c r="UJE29" s="47"/>
      <c r="UJF29" s="47"/>
      <c r="UJG29" s="47"/>
      <c r="UJH29" s="47"/>
      <c r="UJI29" s="47"/>
      <c r="UJJ29" s="47"/>
      <c r="UJK29" s="47"/>
      <c r="UJL29" s="47"/>
      <c r="UJM29" s="47"/>
      <c r="UJN29" s="47"/>
      <c r="UJO29" s="47"/>
      <c r="UJP29" s="47"/>
      <c r="UJQ29" s="47"/>
      <c r="UJR29" s="47"/>
      <c r="UJS29" s="47"/>
      <c r="UJT29" s="47"/>
      <c r="UJU29" s="47"/>
      <c r="UJV29" s="47"/>
      <c r="UJW29" s="47"/>
      <c r="UJX29" s="47"/>
      <c r="UJY29" s="47"/>
      <c r="UJZ29" s="47"/>
      <c r="UKA29" s="47"/>
      <c r="UKB29" s="47"/>
      <c r="UKC29" s="47"/>
      <c r="UKD29" s="47"/>
      <c r="UKE29" s="47"/>
      <c r="UKF29" s="47"/>
      <c r="UKG29" s="47"/>
      <c r="UKH29" s="47"/>
      <c r="UKI29" s="47"/>
      <c r="UKJ29" s="47"/>
      <c r="UKK29" s="47"/>
      <c r="UKL29" s="47"/>
      <c r="UKM29" s="47"/>
      <c r="UKN29" s="47"/>
      <c r="UKO29" s="47"/>
      <c r="UKP29" s="47"/>
      <c r="UKQ29" s="47"/>
      <c r="UKR29" s="47"/>
      <c r="UKS29" s="47"/>
      <c r="UKT29" s="47"/>
      <c r="UKU29" s="47"/>
      <c r="UKV29" s="47"/>
      <c r="UKW29" s="47"/>
      <c r="UKX29" s="47"/>
      <c r="UKY29" s="47"/>
      <c r="UKZ29" s="47"/>
      <c r="ULA29" s="47"/>
      <c r="ULB29" s="47"/>
      <c r="ULC29" s="47"/>
      <c r="ULD29" s="47"/>
      <c r="ULE29" s="47"/>
      <c r="ULF29" s="47"/>
      <c r="ULG29" s="47"/>
      <c r="ULH29" s="47"/>
      <c r="ULI29" s="47"/>
      <c r="ULJ29" s="47"/>
      <c r="ULK29" s="47"/>
      <c r="ULL29" s="47"/>
      <c r="ULM29" s="47"/>
      <c r="ULN29" s="47"/>
      <c r="ULO29" s="47"/>
      <c r="ULP29" s="47"/>
      <c r="ULQ29" s="47"/>
      <c r="ULR29" s="47"/>
      <c r="ULS29" s="47"/>
      <c r="ULT29" s="47"/>
      <c r="ULU29" s="47"/>
      <c r="ULV29" s="47"/>
      <c r="ULW29" s="47"/>
      <c r="ULX29" s="47"/>
      <c r="ULY29" s="47"/>
      <c r="ULZ29" s="47"/>
      <c r="UMA29" s="47"/>
      <c r="UMB29" s="47"/>
      <c r="UMC29" s="47"/>
      <c r="UMD29" s="47"/>
      <c r="UME29" s="47"/>
      <c r="UMF29" s="47"/>
      <c r="UMG29" s="47"/>
      <c r="UMH29" s="47"/>
      <c r="UMI29" s="47"/>
      <c r="UMJ29" s="47"/>
      <c r="UMK29" s="47"/>
      <c r="UML29" s="47"/>
      <c r="UMM29" s="47"/>
      <c r="UMN29" s="47"/>
      <c r="UMO29" s="47"/>
      <c r="UMP29" s="47"/>
      <c r="UMQ29" s="47"/>
      <c r="UMR29" s="47"/>
      <c r="UMS29" s="47"/>
      <c r="UMT29" s="47"/>
      <c r="UMU29" s="47"/>
      <c r="UMV29" s="47"/>
      <c r="UMW29" s="47"/>
      <c r="UMX29" s="47"/>
      <c r="UMY29" s="47"/>
      <c r="UMZ29" s="47"/>
      <c r="UNA29" s="47"/>
      <c r="UNB29" s="47"/>
      <c r="UNC29" s="47"/>
      <c r="UND29" s="47"/>
      <c r="UNE29" s="47"/>
      <c r="UNF29" s="47"/>
      <c r="UNG29" s="47"/>
      <c r="UNH29" s="47"/>
      <c r="UNI29" s="47"/>
      <c r="UNJ29" s="47"/>
      <c r="UNK29" s="47"/>
      <c r="UNL29" s="47"/>
      <c r="UNM29" s="47"/>
      <c r="UNN29" s="47"/>
      <c r="UNO29" s="47"/>
      <c r="UNP29" s="47"/>
      <c r="UNQ29" s="47"/>
      <c r="UNR29" s="47"/>
      <c r="UNS29" s="47"/>
      <c r="UNT29" s="47"/>
      <c r="UNU29" s="47"/>
      <c r="UNV29" s="47"/>
      <c r="UNW29" s="47"/>
      <c r="UNX29" s="47"/>
      <c r="UNY29" s="47"/>
      <c r="UNZ29" s="47"/>
      <c r="UOA29" s="47"/>
      <c r="UOB29" s="47"/>
      <c r="UOC29" s="47"/>
      <c r="UOD29" s="47"/>
      <c r="UOE29" s="47"/>
      <c r="UOF29" s="47"/>
      <c r="UOG29" s="47"/>
      <c r="UOH29" s="47"/>
      <c r="UOI29" s="47"/>
      <c r="UOJ29" s="47"/>
      <c r="UOK29" s="47"/>
      <c r="UOL29" s="47"/>
      <c r="UOM29" s="47"/>
      <c r="UON29" s="47"/>
      <c r="UOO29" s="47"/>
      <c r="UOP29" s="47"/>
      <c r="UOQ29" s="47"/>
      <c r="UOR29" s="47"/>
      <c r="UOS29" s="47"/>
      <c r="UOT29" s="47"/>
      <c r="UOU29" s="47"/>
      <c r="UOV29" s="47"/>
      <c r="UOW29" s="47"/>
      <c r="UOX29" s="47"/>
      <c r="UOY29" s="47"/>
      <c r="UOZ29" s="47"/>
      <c r="UPA29" s="47"/>
      <c r="UPB29" s="47"/>
      <c r="UPC29" s="47"/>
      <c r="UPD29" s="47"/>
      <c r="UPE29" s="47"/>
      <c r="UPF29" s="47"/>
      <c r="UPG29" s="47"/>
      <c r="UPH29" s="47"/>
      <c r="UPI29" s="47"/>
      <c r="UPJ29" s="47"/>
      <c r="UPK29" s="47"/>
      <c r="UPL29" s="47"/>
      <c r="UPM29" s="47"/>
      <c r="UPN29" s="47"/>
      <c r="UPO29" s="47"/>
      <c r="UPP29" s="47"/>
      <c r="UPQ29" s="47"/>
      <c r="UPR29" s="47"/>
      <c r="UPS29" s="47"/>
      <c r="UPT29" s="47"/>
      <c r="UPU29" s="47"/>
      <c r="UPV29" s="47"/>
      <c r="UPW29" s="47"/>
      <c r="UPX29" s="47"/>
      <c r="UPY29" s="47"/>
      <c r="UPZ29" s="47"/>
      <c r="UQA29" s="47"/>
      <c r="UQB29" s="47"/>
      <c r="UQC29" s="47"/>
      <c r="UQD29" s="47"/>
      <c r="UQE29" s="47"/>
      <c r="UQF29" s="47"/>
      <c r="UQG29" s="47"/>
      <c r="UQH29" s="47"/>
      <c r="UQI29" s="47"/>
      <c r="UQJ29" s="47"/>
      <c r="UQK29" s="47"/>
      <c r="UQL29" s="47"/>
      <c r="UQM29" s="47"/>
      <c r="UQN29" s="47"/>
      <c r="UQO29" s="47"/>
      <c r="UQP29" s="47"/>
      <c r="UQQ29" s="47"/>
      <c r="UQR29" s="47"/>
      <c r="UQS29" s="47"/>
      <c r="UQT29" s="47"/>
      <c r="UQU29" s="47"/>
      <c r="UQV29" s="47"/>
      <c r="UQW29" s="47"/>
      <c r="UQX29" s="47"/>
      <c r="UQY29" s="47"/>
      <c r="UQZ29" s="47"/>
      <c r="URA29" s="47"/>
      <c r="URB29" s="47"/>
      <c r="URC29" s="47"/>
      <c r="URD29" s="47"/>
      <c r="URE29" s="47"/>
      <c r="URF29" s="47"/>
      <c r="URG29" s="47"/>
      <c r="URH29" s="47"/>
      <c r="URI29" s="47"/>
      <c r="URJ29" s="47"/>
      <c r="URK29" s="47"/>
      <c r="URL29" s="47"/>
      <c r="URM29" s="47"/>
      <c r="URN29" s="47"/>
      <c r="URO29" s="47"/>
      <c r="URP29" s="47"/>
      <c r="URQ29" s="47"/>
      <c r="URR29" s="47"/>
      <c r="URS29" s="47"/>
      <c r="URT29" s="47"/>
      <c r="URU29" s="47"/>
      <c r="URV29" s="47"/>
      <c r="URW29" s="47"/>
      <c r="URX29" s="47"/>
      <c r="URY29" s="47"/>
      <c r="URZ29" s="47"/>
      <c r="USA29" s="47"/>
      <c r="USB29" s="47"/>
      <c r="USC29" s="47"/>
      <c r="USD29" s="47"/>
      <c r="USE29" s="47"/>
      <c r="USF29" s="47"/>
      <c r="USG29" s="47"/>
      <c r="USH29" s="47"/>
      <c r="USI29" s="47"/>
      <c r="USJ29" s="47"/>
      <c r="USK29" s="47"/>
      <c r="USL29" s="47"/>
      <c r="USM29" s="47"/>
      <c r="USN29" s="47"/>
      <c r="USO29" s="47"/>
      <c r="USP29" s="47"/>
      <c r="USQ29" s="47"/>
      <c r="USR29" s="47"/>
      <c r="USS29" s="47"/>
      <c r="UST29" s="47"/>
      <c r="USU29" s="47"/>
      <c r="USV29" s="47"/>
      <c r="USW29" s="47"/>
      <c r="USX29" s="47"/>
      <c r="USY29" s="47"/>
      <c r="USZ29" s="47"/>
      <c r="UTA29" s="47"/>
      <c r="UTB29" s="47"/>
      <c r="UTC29" s="47"/>
      <c r="UTD29" s="47"/>
      <c r="UTE29" s="47"/>
      <c r="UTF29" s="47"/>
      <c r="UTG29" s="47"/>
      <c r="UTH29" s="47"/>
      <c r="UTI29" s="47"/>
      <c r="UTJ29" s="47"/>
      <c r="UTK29" s="47"/>
      <c r="UTL29" s="47"/>
      <c r="UTM29" s="47"/>
      <c r="UTN29" s="47"/>
      <c r="UTO29" s="47"/>
      <c r="UTP29" s="47"/>
      <c r="UTQ29" s="47"/>
      <c r="UTR29" s="47"/>
      <c r="UTS29" s="47"/>
      <c r="UTT29" s="47"/>
      <c r="UTU29" s="47"/>
      <c r="UTV29" s="47"/>
      <c r="UTW29" s="47"/>
      <c r="UTX29" s="47"/>
      <c r="UTY29" s="47"/>
      <c r="UTZ29" s="47"/>
      <c r="UUA29" s="47"/>
      <c r="UUB29" s="47"/>
      <c r="UUC29" s="47"/>
      <c r="UUD29" s="47"/>
      <c r="UUE29" s="47"/>
      <c r="UUF29" s="47"/>
      <c r="UUG29" s="47"/>
      <c r="UUH29" s="47"/>
      <c r="UUI29" s="47"/>
      <c r="UUJ29" s="47"/>
      <c r="UUK29" s="47"/>
      <c r="UUL29" s="47"/>
      <c r="UUM29" s="47"/>
      <c r="UUN29" s="47"/>
      <c r="UUO29" s="47"/>
      <c r="UUP29" s="47"/>
      <c r="UUQ29" s="47"/>
      <c r="UUR29" s="47"/>
      <c r="UUS29" s="47"/>
      <c r="UUT29" s="47"/>
      <c r="UUU29" s="47"/>
      <c r="UUV29" s="47"/>
      <c r="UUW29" s="47"/>
      <c r="UUX29" s="47"/>
      <c r="UUY29" s="47"/>
      <c r="UUZ29" s="47"/>
      <c r="UVA29" s="47"/>
      <c r="UVB29" s="47"/>
      <c r="UVC29" s="47"/>
      <c r="UVD29" s="47"/>
      <c r="UVE29" s="47"/>
      <c r="UVF29" s="47"/>
      <c r="UVG29" s="47"/>
      <c r="UVH29" s="47"/>
      <c r="UVI29" s="47"/>
      <c r="UVJ29" s="47"/>
      <c r="UVK29" s="47"/>
      <c r="UVL29" s="47"/>
      <c r="UVM29" s="47"/>
      <c r="UVN29" s="47"/>
      <c r="UVO29" s="47"/>
      <c r="UVP29" s="47"/>
      <c r="UVQ29" s="47"/>
      <c r="UVR29" s="47"/>
      <c r="UVS29" s="47"/>
      <c r="UVT29" s="47"/>
      <c r="UVU29" s="47"/>
      <c r="UVV29" s="47"/>
      <c r="UVW29" s="47"/>
      <c r="UVX29" s="47"/>
      <c r="UVY29" s="47"/>
      <c r="UVZ29" s="47"/>
      <c r="UWA29" s="47"/>
      <c r="UWB29" s="47"/>
      <c r="UWC29" s="47"/>
      <c r="UWD29" s="47"/>
      <c r="UWE29" s="47"/>
      <c r="UWF29" s="47"/>
      <c r="UWG29" s="47"/>
      <c r="UWH29" s="47"/>
      <c r="UWI29" s="47"/>
      <c r="UWJ29" s="47"/>
      <c r="UWK29" s="47"/>
      <c r="UWL29" s="47"/>
      <c r="UWM29" s="47"/>
      <c r="UWN29" s="47"/>
      <c r="UWO29" s="47"/>
      <c r="UWP29" s="47"/>
      <c r="UWQ29" s="47"/>
      <c r="UWR29" s="47"/>
      <c r="UWS29" s="47"/>
      <c r="UWT29" s="47"/>
      <c r="UWU29" s="47"/>
      <c r="UWV29" s="47"/>
      <c r="UWW29" s="47"/>
      <c r="UWX29" s="47"/>
      <c r="UWY29" s="47"/>
      <c r="UWZ29" s="47"/>
      <c r="UXA29" s="47"/>
      <c r="UXB29" s="47"/>
      <c r="UXC29" s="47"/>
      <c r="UXD29" s="47"/>
      <c r="UXE29" s="47"/>
      <c r="UXF29" s="47"/>
      <c r="UXG29" s="47"/>
      <c r="UXH29" s="47"/>
      <c r="UXI29" s="47"/>
      <c r="UXJ29" s="47"/>
      <c r="UXK29" s="47"/>
      <c r="UXL29" s="47"/>
      <c r="UXM29" s="47"/>
      <c r="UXN29" s="47"/>
      <c r="UXO29" s="47"/>
      <c r="UXP29" s="47"/>
      <c r="UXQ29" s="47"/>
      <c r="UXR29" s="47"/>
      <c r="UXS29" s="47"/>
      <c r="UXT29" s="47"/>
      <c r="UXU29" s="47"/>
      <c r="UXV29" s="47"/>
      <c r="UXW29" s="47"/>
      <c r="UXX29" s="47"/>
      <c r="UXY29" s="47"/>
      <c r="UXZ29" s="47"/>
      <c r="UYA29" s="47"/>
      <c r="UYB29" s="47"/>
      <c r="UYC29" s="47"/>
      <c r="UYD29" s="47"/>
      <c r="UYE29" s="47"/>
      <c r="UYF29" s="47"/>
      <c r="UYG29" s="47"/>
      <c r="UYH29" s="47"/>
      <c r="UYI29" s="47"/>
      <c r="UYJ29" s="47"/>
      <c r="UYK29" s="47"/>
      <c r="UYL29" s="47"/>
      <c r="UYM29" s="47"/>
      <c r="UYN29" s="47"/>
      <c r="UYO29" s="47"/>
      <c r="UYP29" s="47"/>
      <c r="UYQ29" s="47"/>
      <c r="UYR29" s="47"/>
      <c r="UYS29" s="47"/>
      <c r="UYT29" s="47"/>
      <c r="UYU29" s="47"/>
      <c r="UYV29" s="47"/>
      <c r="UYW29" s="47"/>
      <c r="UYX29" s="47"/>
      <c r="UYY29" s="47"/>
      <c r="UYZ29" s="47"/>
      <c r="UZA29" s="47"/>
      <c r="UZB29" s="47"/>
      <c r="UZC29" s="47"/>
      <c r="UZD29" s="47"/>
      <c r="UZE29" s="47"/>
      <c r="UZF29" s="47"/>
      <c r="UZG29" s="47"/>
      <c r="UZH29" s="47"/>
      <c r="UZI29" s="47"/>
      <c r="UZJ29" s="47"/>
      <c r="UZK29" s="47"/>
      <c r="UZL29" s="47"/>
      <c r="UZM29" s="47"/>
      <c r="UZN29" s="47"/>
      <c r="UZO29" s="47"/>
      <c r="UZP29" s="47"/>
      <c r="UZQ29" s="47"/>
      <c r="UZR29" s="47"/>
      <c r="UZS29" s="47"/>
      <c r="UZT29" s="47"/>
      <c r="UZU29" s="47"/>
      <c r="UZV29" s="47"/>
      <c r="UZW29" s="47"/>
      <c r="UZX29" s="47"/>
      <c r="UZY29" s="47"/>
      <c r="UZZ29" s="47"/>
      <c r="VAA29" s="47"/>
      <c r="VAB29" s="47"/>
      <c r="VAC29" s="47"/>
      <c r="VAD29" s="47"/>
      <c r="VAE29" s="47"/>
      <c r="VAF29" s="47"/>
      <c r="VAG29" s="47"/>
      <c r="VAH29" s="47"/>
      <c r="VAI29" s="47"/>
      <c r="VAJ29" s="47"/>
      <c r="VAK29" s="47"/>
      <c r="VAL29" s="47"/>
      <c r="VAM29" s="47"/>
      <c r="VAN29" s="47"/>
      <c r="VAO29" s="47"/>
      <c r="VAP29" s="47"/>
      <c r="VAQ29" s="47"/>
      <c r="VAR29" s="47"/>
      <c r="VAS29" s="47"/>
      <c r="VAT29" s="47"/>
      <c r="VAU29" s="47"/>
      <c r="VAV29" s="47"/>
      <c r="VAW29" s="47"/>
      <c r="VAX29" s="47"/>
      <c r="VAY29" s="47"/>
      <c r="VAZ29" s="47"/>
      <c r="VBA29" s="47"/>
      <c r="VBB29" s="47"/>
      <c r="VBC29" s="47"/>
      <c r="VBD29" s="47"/>
      <c r="VBE29" s="47"/>
      <c r="VBF29" s="47"/>
      <c r="VBG29" s="47"/>
      <c r="VBH29" s="47"/>
      <c r="VBI29" s="47"/>
      <c r="VBJ29" s="47"/>
      <c r="VBK29" s="47"/>
      <c r="VBL29" s="47"/>
      <c r="VBM29" s="47"/>
      <c r="VBN29" s="47"/>
      <c r="VBO29" s="47"/>
      <c r="VBP29" s="47"/>
      <c r="VBQ29" s="47"/>
      <c r="VBR29" s="47"/>
      <c r="VBS29" s="47"/>
      <c r="VBT29" s="47"/>
      <c r="VBU29" s="47"/>
      <c r="VBV29" s="47"/>
      <c r="VBW29" s="47"/>
      <c r="VBX29" s="47"/>
      <c r="VBY29" s="47"/>
      <c r="VBZ29" s="47"/>
      <c r="VCA29" s="47"/>
      <c r="VCB29" s="47"/>
      <c r="VCC29" s="47"/>
      <c r="VCD29" s="47"/>
      <c r="VCE29" s="47"/>
      <c r="VCF29" s="47"/>
      <c r="VCG29" s="47"/>
      <c r="VCH29" s="47"/>
      <c r="VCI29" s="47"/>
      <c r="VCJ29" s="47"/>
      <c r="VCK29" s="47"/>
      <c r="VCL29" s="47"/>
      <c r="VCM29" s="47"/>
      <c r="VCN29" s="47"/>
      <c r="VCO29" s="47"/>
      <c r="VCP29" s="47"/>
      <c r="VCQ29" s="47"/>
      <c r="VCR29" s="47"/>
      <c r="VCS29" s="47"/>
      <c r="VCT29" s="47"/>
      <c r="VCU29" s="47"/>
      <c r="VCV29" s="47"/>
      <c r="VCW29" s="47"/>
      <c r="VCX29" s="47"/>
      <c r="VCY29" s="47"/>
      <c r="VCZ29" s="47"/>
      <c r="VDA29" s="47"/>
      <c r="VDB29" s="47"/>
      <c r="VDC29" s="47"/>
      <c r="VDD29" s="47"/>
      <c r="VDE29" s="47"/>
      <c r="VDF29" s="47"/>
      <c r="VDG29" s="47"/>
      <c r="VDH29" s="47"/>
      <c r="VDI29" s="47"/>
      <c r="VDJ29" s="47"/>
      <c r="VDK29" s="47"/>
      <c r="VDL29" s="47"/>
      <c r="VDM29" s="47"/>
      <c r="VDN29" s="47"/>
      <c r="VDO29" s="47"/>
      <c r="VDP29" s="47"/>
      <c r="VDQ29" s="47"/>
      <c r="VDR29" s="47"/>
      <c r="VDS29" s="47"/>
      <c r="VDT29" s="47"/>
      <c r="VDU29" s="47"/>
      <c r="VDV29" s="47"/>
      <c r="VDW29" s="47"/>
      <c r="VDX29" s="47"/>
      <c r="VDY29" s="47"/>
      <c r="VDZ29" s="47"/>
      <c r="VEA29" s="47"/>
      <c r="VEB29" s="47"/>
      <c r="VEC29" s="47"/>
      <c r="VED29" s="47"/>
      <c r="VEE29" s="47"/>
      <c r="VEF29" s="47"/>
      <c r="VEG29" s="47"/>
      <c r="VEH29" s="47"/>
      <c r="VEI29" s="47"/>
      <c r="VEJ29" s="47"/>
      <c r="VEK29" s="47"/>
      <c r="VEL29" s="47"/>
      <c r="VEM29" s="47"/>
      <c r="VEN29" s="47"/>
      <c r="VEO29" s="47"/>
      <c r="VEP29" s="47"/>
      <c r="VEQ29" s="47"/>
      <c r="VER29" s="47"/>
      <c r="VES29" s="47"/>
      <c r="VET29" s="47"/>
      <c r="VEU29" s="47"/>
      <c r="VEV29" s="47"/>
      <c r="VEW29" s="47"/>
      <c r="VEX29" s="47"/>
      <c r="VEY29" s="47"/>
      <c r="VEZ29" s="47"/>
      <c r="VFA29" s="47"/>
      <c r="VFB29" s="47"/>
      <c r="VFC29" s="47"/>
      <c r="VFD29" s="47"/>
      <c r="VFE29" s="47"/>
      <c r="VFF29" s="47"/>
      <c r="VFG29" s="47"/>
      <c r="VFH29" s="47"/>
      <c r="VFI29" s="47"/>
      <c r="VFJ29" s="47"/>
      <c r="VFK29" s="47"/>
      <c r="VFL29" s="47"/>
      <c r="VFM29" s="47"/>
      <c r="VFN29" s="47"/>
      <c r="VFO29" s="47"/>
      <c r="VFP29" s="47"/>
      <c r="VFQ29" s="47"/>
      <c r="VFR29" s="47"/>
      <c r="VFS29" s="47"/>
      <c r="VFT29" s="47"/>
      <c r="VFU29" s="47"/>
      <c r="VFV29" s="47"/>
      <c r="VFW29" s="47"/>
      <c r="VFX29" s="47"/>
      <c r="VFY29" s="47"/>
      <c r="VFZ29" s="47"/>
      <c r="VGA29" s="47"/>
      <c r="VGB29" s="47"/>
      <c r="VGC29" s="47"/>
      <c r="VGD29" s="47"/>
      <c r="VGE29" s="47"/>
      <c r="VGF29" s="47"/>
      <c r="VGG29" s="47"/>
      <c r="VGH29" s="47"/>
      <c r="VGI29" s="47"/>
      <c r="VGJ29" s="47"/>
      <c r="VGK29" s="47"/>
      <c r="VGL29" s="47"/>
      <c r="VGM29" s="47"/>
      <c r="VGN29" s="47"/>
      <c r="VGO29" s="47"/>
      <c r="VGP29" s="47"/>
      <c r="VGQ29" s="47"/>
      <c r="VGR29" s="47"/>
      <c r="VGS29" s="47"/>
      <c r="VGT29" s="47"/>
      <c r="VGU29" s="47"/>
      <c r="VGV29" s="47"/>
      <c r="VGW29" s="47"/>
      <c r="VGX29" s="47"/>
      <c r="VGY29" s="47"/>
      <c r="VGZ29" s="47"/>
      <c r="VHA29" s="47"/>
      <c r="VHB29" s="47"/>
      <c r="VHC29" s="47"/>
      <c r="VHD29" s="47"/>
      <c r="VHE29" s="47"/>
      <c r="VHF29" s="47"/>
      <c r="VHG29" s="47"/>
      <c r="VHH29" s="47"/>
      <c r="VHI29" s="47"/>
      <c r="VHJ29" s="47"/>
      <c r="VHK29" s="47"/>
      <c r="VHL29" s="47"/>
      <c r="VHM29" s="47"/>
      <c r="VHN29" s="47"/>
      <c r="VHO29" s="47"/>
      <c r="VHP29" s="47"/>
      <c r="VHQ29" s="47"/>
      <c r="VHR29" s="47"/>
      <c r="VHS29" s="47"/>
      <c r="VHT29" s="47"/>
      <c r="VHU29" s="47"/>
      <c r="VHV29" s="47"/>
      <c r="VHW29" s="47"/>
      <c r="VHX29" s="47"/>
      <c r="VHY29" s="47"/>
      <c r="VHZ29" s="47"/>
      <c r="VIA29" s="47"/>
      <c r="VIB29" s="47"/>
      <c r="VIC29" s="47"/>
      <c r="VID29" s="47"/>
      <c r="VIE29" s="47"/>
      <c r="VIF29" s="47"/>
      <c r="VIG29" s="47"/>
      <c r="VIH29" s="47"/>
      <c r="VII29" s="47"/>
      <c r="VIJ29" s="47"/>
      <c r="VIK29" s="47"/>
      <c r="VIL29" s="47"/>
      <c r="VIM29" s="47"/>
      <c r="VIN29" s="47"/>
      <c r="VIO29" s="47"/>
      <c r="VIP29" s="47"/>
      <c r="VIQ29" s="47"/>
      <c r="VIR29" s="47"/>
      <c r="VIS29" s="47"/>
      <c r="VIT29" s="47"/>
      <c r="VIU29" s="47"/>
      <c r="VIV29" s="47"/>
      <c r="VIW29" s="47"/>
      <c r="VIX29" s="47"/>
      <c r="VIY29" s="47"/>
      <c r="VIZ29" s="47"/>
      <c r="VJA29" s="47"/>
      <c r="VJB29" s="47"/>
      <c r="VJC29" s="47"/>
      <c r="VJD29" s="47"/>
      <c r="VJE29" s="47"/>
      <c r="VJF29" s="47"/>
      <c r="VJG29" s="47"/>
      <c r="VJH29" s="47"/>
      <c r="VJI29" s="47"/>
      <c r="VJJ29" s="47"/>
      <c r="VJK29" s="47"/>
      <c r="VJL29" s="47"/>
      <c r="VJM29" s="47"/>
      <c r="VJN29" s="47"/>
      <c r="VJO29" s="47"/>
      <c r="VJP29" s="47"/>
      <c r="VJQ29" s="47"/>
      <c r="VJR29" s="47"/>
      <c r="VJS29" s="47"/>
      <c r="VJT29" s="47"/>
      <c r="VJU29" s="47"/>
      <c r="VJV29" s="47"/>
      <c r="VJW29" s="47"/>
      <c r="VJX29" s="47"/>
      <c r="VJY29" s="47"/>
      <c r="VJZ29" s="47"/>
      <c r="VKA29" s="47"/>
      <c r="VKB29" s="47"/>
      <c r="VKC29" s="47"/>
      <c r="VKD29" s="47"/>
      <c r="VKE29" s="47"/>
      <c r="VKF29" s="47"/>
      <c r="VKG29" s="47"/>
      <c r="VKH29" s="47"/>
      <c r="VKI29" s="47"/>
      <c r="VKJ29" s="47"/>
      <c r="VKK29" s="47"/>
      <c r="VKL29" s="47"/>
      <c r="VKM29" s="47"/>
      <c r="VKN29" s="47"/>
      <c r="VKO29" s="47"/>
      <c r="VKP29" s="47"/>
      <c r="VKQ29" s="47"/>
      <c r="VKR29" s="47"/>
      <c r="VKS29" s="47"/>
      <c r="VKT29" s="47"/>
      <c r="VKU29" s="47"/>
      <c r="VKV29" s="47"/>
      <c r="VKW29" s="47"/>
      <c r="VKX29" s="47"/>
      <c r="VKY29" s="47"/>
      <c r="VKZ29" s="47"/>
      <c r="VLA29" s="47"/>
      <c r="VLB29" s="47"/>
      <c r="VLC29" s="47"/>
      <c r="VLD29" s="47"/>
      <c r="VLE29" s="47"/>
      <c r="VLF29" s="47"/>
      <c r="VLG29" s="47"/>
      <c r="VLH29" s="47"/>
      <c r="VLI29" s="47"/>
      <c r="VLJ29" s="47"/>
      <c r="VLK29" s="47"/>
      <c r="VLL29" s="47"/>
      <c r="VLM29" s="47"/>
      <c r="VLN29" s="47"/>
      <c r="VLO29" s="47"/>
      <c r="VLP29" s="47"/>
      <c r="VLQ29" s="47"/>
      <c r="VLR29" s="47"/>
      <c r="VLS29" s="47"/>
      <c r="VLT29" s="47"/>
      <c r="VLU29" s="47"/>
      <c r="VLV29" s="47"/>
      <c r="VLW29" s="47"/>
      <c r="VLX29" s="47"/>
      <c r="VLY29" s="47"/>
      <c r="VLZ29" s="47"/>
      <c r="VMA29" s="47"/>
      <c r="VMB29" s="47"/>
      <c r="VMC29" s="47"/>
      <c r="VMD29" s="47"/>
      <c r="VME29" s="47"/>
      <c r="VMF29" s="47"/>
      <c r="VMG29" s="47"/>
      <c r="VMH29" s="47"/>
      <c r="VMI29" s="47"/>
      <c r="VMJ29" s="47"/>
      <c r="VMK29" s="47"/>
      <c r="VML29" s="47"/>
      <c r="VMM29" s="47"/>
      <c r="VMN29" s="47"/>
      <c r="VMO29" s="47"/>
      <c r="VMP29" s="47"/>
      <c r="VMQ29" s="47"/>
      <c r="VMR29" s="47"/>
      <c r="VMS29" s="47"/>
      <c r="VMT29" s="47"/>
      <c r="VMU29" s="47"/>
      <c r="VMV29" s="47"/>
      <c r="VMW29" s="47"/>
      <c r="VMX29" s="47"/>
      <c r="VMY29" s="47"/>
      <c r="VMZ29" s="47"/>
      <c r="VNA29" s="47"/>
      <c r="VNB29" s="47"/>
      <c r="VNC29" s="47"/>
      <c r="VND29" s="47"/>
      <c r="VNE29" s="47"/>
      <c r="VNF29" s="47"/>
      <c r="VNG29" s="47"/>
      <c r="VNH29" s="47"/>
      <c r="VNI29" s="47"/>
      <c r="VNJ29" s="47"/>
      <c r="VNK29" s="47"/>
      <c r="VNL29" s="47"/>
      <c r="VNM29" s="47"/>
      <c r="VNN29" s="47"/>
      <c r="VNO29" s="47"/>
      <c r="VNP29" s="47"/>
      <c r="VNQ29" s="47"/>
      <c r="VNR29" s="47"/>
      <c r="VNS29" s="47"/>
      <c r="VNT29" s="47"/>
      <c r="VNU29" s="47"/>
      <c r="VNV29" s="47"/>
      <c r="VNW29" s="47"/>
      <c r="VNX29" s="47"/>
      <c r="VNY29" s="47"/>
      <c r="VNZ29" s="47"/>
      <c r="VOA29" s="47"/>
      <c r="VOB29" s="47"/>
      <c r="VOC29" s="47"/>
      <c r="VOD29" s="47"/>
      <c r="VOE29" s="47"/>
      <c r="VOF29" s="47"/>
      <c r="VOG29" s="47"/>
      <c r="VOH29" s="47"/>
      <c r="VOI29" s="47"/>
      <c r="VOJ29" s="47"/>
      <c r="VOK29" s="47"/>
      <c r="VOL29" s="47"/>
      <c r="VOM29" s="47"/>
      <c r="VON29" s="47"/>
      <c r="VOO29" s="47"/>
      <c r="VOP29" s="47"/>
      <c r="VOQ29" s="47"/>
      <c r="VOR29" s="47"/>
      <c r="VOS29" s="47"/>
      <c r="VOT29" s="47"/>
      <c r="VOU29" s="47"/>
      <c r="VOV29" s="47"/>
      <c r="VOW29" s="47"/>
      <c r="VOX29" s="47"/>
      <c r="VOY29" s="47"/>
      <c r="VOZ29" s="47"/>
      <c r="VPA29" s="47"/>
      <c r="VPB29" s="47"/>
      <c r="VPC29" s="47"/>
      <c r="VPD29" s="47"/>
      <c r="VPE29" s="47"/>
      <c r="VPF29" s="47"/>
      <c r="VPG29" s="47"/>
      <c r="VPH29" s="47"/>
      <c r="VPI29" s="47"/>
      <c r="VPJ29" s="47"/>
      <c r="VPK29" s="47"/>
      <c r="VPL29" s="47"/>
      <c r="VPM29" s="47"/>
      <c r="VPN29" s="47"/>
      <c r="VPO29" s="47"/>
      <c r="VPP29" s="47"/>
      <c r="VPQ29" s="47"/>
      <c r="VPR29" s="47"/>
      <c r="VPS29" s="47"/>
      <c r="VPT29" s="47"/>
      <c r="VPU29" s="47"/>
      <c r="VPV29" s="47"/>
      <c r="VPW29" s="47"/>
      <c r="VPX29" s="47"/>
      <c r="VPY29" s="47"/>
      <c r="VPZ29" s="47"/>
      <c r="VQA29" s="47"/>
      <c r="VQB29" s="47"/>
      <c r="VQC29" s="47"/>
      <c r="VQD29" s="47"/>
      <c r="VQE29" s="47"/>
      <c r="VQF29" s="47"/>
      <c r="VQG29" s="47"/>
      <c r="VQH29" s="47"/>
      <c r="VQI29" s="47"/>
      <c r="VQJ29" s="47"/>
      <c r="VQK29" s="47"/>
      <c r="VQL29" s="47"/>
      <c r="VQM29" s="47"/>
      <c r="VQN29" s="47"/>
      <c r="VQO29" s="47"/>
      <c r="VQP29" s="47"/>
      <c r="VQQ29" s="47"/>
      <c r="VQR29" s="47"/>
      <c r="VQS29" s="47"/>
      <c r="VQT29" s="47"/>
      <c r="VQU29" s="47"/>
      <c r="VQV29" s="47"/>
      <c r="VQW29" s="47"/>
      <c r="VQX29" s="47"/>
      <c r="VQY29" s="47"/>
      <c r="VQZ29" s="47"/>
      <c r="VRA29" s="47"/>
      <c r="VRB29" s="47"/>
      <c r="VRC29" s="47"/>
      <c r="VRD29" s="47"/>
      <c r="VRE29" s="47"/>
      <c r="VRF29" s="47"/>
      <c r="VRG29" s="47"/>
      <c r="VRH29" s="47"/>
      <c r="VRI29" s="47"/>
      <c r="VRJ29" s="47"/>
      <c r="VRK29" s="47"/>
      <c r="VRL29" s="47"/>
      <c r="VRM29" s="47"/>
      <c r="VRN29" s="47"/>
      <c r="VRO29" s="47"/>
      <c r="VRP29" s="47"/>
      <c r="VRQ29" s="47"/>
      <c r="VRR29" s="47"/>
      <c r="VRS29" s="47"/>
      <c r="VRT29" s="47"/>
      <c r="VRU29" s="47"/>
      <c r="VRV29" s="47"/>
      <c r="VRW29" s="47"/>
      <c r="VRX29" s="47"/>
      <c r="VRY29" s="47"/>
      <c r="VRZ29" s="47"/>
      <c r="VSA29" s="47"/>
      <c r="VSB29" s="47"/>
      <c r="VSC29" s="47"/>
      <c r="VSD29" s="47"/>
      <c r="VSE29" s="47"/>
      <c r="VSF29" s="47"/>
      <c r="VSG29" s="47"/>
      <c r="VSH29" s="47"/>
      <c r="VSI29" s="47"/>
      <c r="VSJ29" s="47"/>
      <c r="VSK29" s="47"/>
      <c r="VSL29" s="47"/>
      <c r="VSM29" s="47"/>
      <c r="VSN29" s="47"/>
      <c r="VSO29" s="47"/>
      <c r="VSP29" s="47"/>
      <c r="VSQ29" s="47"/>
      <c r="VSR29" s="47"/>
      <c r="VSS29" s="47"/>
      <c r="VST29" s="47"/>
      <c r="VSU29" s="47"/>
      <c r="VSV29" s="47"/>
      <c r="VSW29" s="47"/>
      <c r="VSX29" s="47"/>
      <c r="VSY29" s="47"/>
      <c r="VSZ29" s="47"/>
      <c r="VTA29" s="47"/>
      <c r="VTB29" s="47"/>
      <c r="VTC29" s="47"/>
      <c r="VTD29" s="47"/>
      <c r="VTE29" s="47"/>
      <c r="VTF29" s="47"/>
      <c r="VTG29" s="47"/>
      <c r="VTH29" s="47"/>
      <c r="VTI29" s="47"/>
      <c r="VTJ29" s="47"/>
      <c r="VTK29" s="47"/>
      <c r="VTL29" s="47"/>
      <c r="VTM29" s="47"/>
      <c r="VTN29" s="47"/>
      <c r="VTO29" s="47"/>
      <c r="VTP29" s="47"/>
      <c r="VTQ29" s="47"/>
      <c r="VTR29" s="47"/>
      <c r="VTS29" s="47"/>
      <c r="VTT29" s="47"/>
      <c r="VTU29" s="47"/>
      <c r="VTV29" s="47"/>
      <c r="VTW29" s="47"/>
      <c r="VTX29" s="47"/>
      <c r="VTY29" s="47"/>
      <c r="VTZ29" s="47"/>
      <c r="VUA29" s="47"/>
      <c r="VUB29" s="47"/>
      <c r="VUC29" s="47"/>
      <c r="VUD29" s="47"/>
      <c r="VUE29" s="47"/>
      <c r="VUF29" s="47"/>
      <c r="VUG29" s="47"/>
      <c r="VUH29" s="47"/>
      <c r="VUI29" s="47"/>
      <c r="VUJ29" s="47"/>
      <c r="VUK29" s="47"/>
      <c r="VUL29" s="47"/>
      <c r="VUM29" s="47"/>
      <c r="VUN29" s="47"/>
      <c r="VUO29" s="47"/>
      <c r="VUP29" s="47"/>
      <c r="VUQ29" s="47"/>
      <c r="VUR29" s="47"/>
      <c r="VUS29" s="47"/>
      <c r="VUT29" s="47"/>
      <c r="VUU29" s="47"/>
      <c r="VUV29" s="47"/>
      <c r="VUW29" s="47"/>
      <c r="VUX29" s="47"/>
      <c r="VUY29" s="47"/>
      <c r="VUZ29" s="47"/>
      <c r="VVA29" s="47"/>
      <c r="VVB29" s="47"/>
      <c r="VVC29" s="47"/>
      <c r="VVD29" s="47"/>
      <c r="VVE29" s="47"/>
      <c r="VVF29" s="47"/>
      <c r="VVG29" s="47"/>
      <c r="VVH29" s="47"/>
      <c r="VVI29" s="47"/>
      <c r="VVJ29" s="47"/>
      <c r="VVK29" s="47"/>
      <c r="VVL29" s="47"/>
      <c r="VVM29" s="47"/>
      <c r="VVN29" s="47"/>
      <c r="VVO29" s="47"/>
      <c r="VVP29" s="47"/>
      <c r="VVQ29" s="47"/>
      <c r="VVR29" s="47"/>
      <c r="VVS29" s="47"/>
      <c r="VVT29" s="47"/>
      <c r="VVU29" s="47"/>
      <c r="VVV29" s="47"/>
      <c r="VVW29" s="47"/>
      <c r="VVX29" s="47"/>
      <c r="VVY29" s="47"/>
      <c r="VVZ29" s="47"/>
      <c r="VWA29" s="47"/>
      <c r="VWB29" s="47"/>
      <c r="VWC29" s="47"/>
      <c r="VWD29" s="47"/>
      <c r="VWE29" s="47"/>
      <c r="VWF29" s="47"/>
      <c r="VWG29" s="47"/>
      <c r="VWH29" s="47"/>
      <c r="VWI29" s="47"/>
      <c r="VWJ29" s="47"/>
      <c r="VWK29" s="47"/>
      <c r="VWL29" s="47"/>
      <c r="VWM29" s="47"/>
      <c r="VWN29" s="47"/>
      <c r="VWO29" s="47"/>
      <c r="VWP29" s="47"/>
      <c r="VWQ29" s="47"/>
      <c r="VWR29" s="47"/>
      <c r="VWS29" s="47"/>
      <c r="VWT29" s="47"/>
      <c r="VWU29" s="47"/>
      <c r="VWV29" s="47"/>
      <c r="VWW29" s="47"/>
      <c r="VWX29" s="47"/>
      <c r="VWY29" s="47"/>
      <c r="VWZ29" s="47"/>
      <c r="VXA29" s="47"/>
      <c r="VXB29" s="47"/>
      <c r="VXC29" s="47"/>
      <c r="VXD29" s="47"/>
      <c r="VXE29" s="47"/>
      <c r="VXF29" s="47"/>
      <c r="VXG29" s="47"/>
      <c r="VXH29" s="47"/>
      <c r="VXI29" s="47"/>
      <c r="VXJ29" s="47"/>
      <c r="VXK29" s="47"/>
      <c r="VXL29" s="47"/>
      <c r="VXM29" s="47"/>
      <c r="VXN29" s="47"/>
      <c r="VXO29" s="47"/>
      <c r="VXP29" s="47"/>
      <c r="VXQ29" s="47"/>
      <c r="VXR29" s="47"/>
      <c r="VXS29" s="47"/>
      <c r="VXT29" s="47"/>
      <c r="VXU29" s="47"/>
      <c r="VXV29" s="47"/>
      <c r="VXW29" s="47"/>
      <c r="VXX29" s="47"/>
      <c r="VXY29" s="47"/>
      <c r="VXZ29" s="47"/>
      <c r="VYA29" s="47"/>
      <c r="VYB29" s="47"/>
      <c r="VYC29" s="47"/>
      <c r="VYD29" s="47"/>
      <c r="VYE29" s="47"/>
      <c r="VYF29" s="47"/>
      <c r="VYG29" s="47"/>
      <c r="VYH29" s="47"/>
      <c r="VYI29" s="47"/>
      <c r="VYJ29" s="47"/>
      <c r="VYK29" s="47"/>
      <c r="VYL29" s="47"/>
      <c r="VYM29" s="47"/>
      <c r="VYN29" s="47"/>
      <c r="VYO29" s="47"/>
      <c r="VYP29" s="47"/>
      <c r="VYQ29" s="47"/>
      <c r="VYR29" s="47"/>
      <c r="VYS29" s="47"/>
      <c r="VYT29" s="47"/>
      <c r="VYU29" s="47"/>
      <c r="VYV29" s="47"/>
      <c r="VYW29" s="47"/>
      <c r="VYX29" s="47"/>
      <c r="VYY29" s="47"/>
      <c r="VYZ29" s="47"/>
      <c r="VZA29" s="47"/>
      <c r="VZB29" s="47"/>
      <c r="VZC29" s="47"/>
      <c r="VZD29" s="47"/>
      <c r="VZE29" s="47"/>
      <c r="VZF29" s="47"/>
      <c r="VZG29" s="47"/>
      <c r="VZH29" s="47"/>
      <c r="VZI29" s="47"/>
      <c r="VZJ29" s="47"/>
      <c r="VZK29" s="47"/>
      <c r="VZL29" s="47"/>
      <c r="VZM29" s="47"/>
      <c r="VZN29" s="47"/>
      <c r="VZO29" s="47"/>
      <c r="VZP29" s="47"/>
      <c r="VZQ29" s="47"/>
      <c r="VZR29" s="47"/>
      <c r="VZS29" s="47"/>
      <c r="VZT29" s="47"/>
      <c r="VZU29" s="47"/>
      <c r="VZV29" s="47"/>
      <c r="VZW29" s="47"/>
      <c r="VZX29" s="47"/>
      <c r="VZY29" s="47"/>
      <c r="VZZ29" s="47"/>
      <c r="WAA29" s="47"/>
      <c r="WAB29" s="47"/>
      <c r="WAC29" s="47"/>
      <c r="WAD29" s="47"/>
      <c r="WAE29" s="47"/>
      <c r="WAF29" s="47"/>
      <c r="WAG29" s="47"/>
      <c r="WAH29" s="47"/>
      <c r="WAI29" s="47"/>
      <c r="WAJ29" s="47"/>
      <c r="WAK29" s="47"/>
      <c r="WAL29" s="47"/>
      <c r="WAM29" s="47"/>
      <c r="WAN29" s="47"/>
      <c r="WAO29" s="47"/>
      <c r="WAP29" s="47"/>
      <c r="WAQ29" s="47"/>
      <c r="WAR29" s="47"/>
      <c r="WAS29" s="47"/>
      <c r="WAT29" s="47"/>
      <c r="WAU29" s="47"/>
      <c r="WAV29" s="47"/>
      <c r="WAW29" s="47"/>
      <c r="WAX29" s="47"/>
      <c r="WAY29" s="47"/>
      <c r="WAZ29" s="47"/>
      <c r="WBA29" s="47"/>
      <c r="WBB29" s="47"/>
      <c r="WBC29" s="47"/>
      <c r="WBD29" s="47"/>
      <c r="WBE29" s="47"/>
      <c r="WBF29" s="47"/>
      <c r="WBG29" s="47"/>
      <c r="WBH29" s="47"/>
      <c r="WBI29" s="47"/>
      <c r="WBJ29" s="47"/>
      <c r="WBK29" s="47"/>
      <c r="WBL29" s="47"/>
      <c r="WBM29" s="47"/>
      <c r="WBN29" s="47"/>
      <c r="WBO29" s="47"/>
      <c r="WBP29" s="47"/>
      <c r="WBQ29" s="47"/>
      <c r="WBR29" s="47"/>
      <c r="WBS29" s="47"/>
      <c r="WBT29" s="47"/>
      <c r="WBU29" s="47"/>
      <c r="WBV29" s="47"/>
      <c r="WBW29" s="47"/>
      <c r="WBX29" s="47"/>
      <c r="WBY29" s="47"/>
      <c r="WBZ29" s="47"/>
      <c r="WCA29" s="47"/>
      <c r="WCB29" s="47"/>
      <c r="WCC29" s="47"/>
      <c r="WCD29" s="47"/>
      <c r="WCE29" s="47"/>
      <c r="WCF29" s="47"/>
      <c r="WCG29" s="47"/>
      <c r="WCH29" s="47"/>
      <c r="WCI29" s="47"/>
      <c r="WCJ29" s="47"/>
      <c r="WCK29" s="47"/>
      <c r="WCL29" s="47"/>
      <c r="WCM29" s="47"/>
      <c r="WCN29" s="47"/>
      <c r="WCO29" s="47"/>
      <c r="WCP29" s="47"/>
      <c r="WCQ29" s="47"/>
      <c r="WCR29" s="47"/>
      <c r="WCS29" s="47"/>
      <c r="WCT29" s="47"/>
      <c r="WCU29" s="47"/>
      <c r="WCV29" s="47"/>
      <c r="WCW29" s="47"/>
      <c r="WCX29" s="47"/>
      <c r="WCY29" s="47"/>
      <c r="WCZ29" s="47"/>
      <c r="WDA29" s="47"/>
      <c r="WDB29" s="47"/>
      <c r="WDC29" s="47"/>
      <c r="WDD29" s="47"/>
      <c r="WDE29" s="47"/>
      <c r="WDF29" s="47"/>
      <c r="WDG29" s="47"/>
      <c r="WDH29" s="47"/>
      <c r="WDI29" s="47"/>
      <c r="WDJ29" s="47"/>
      <c r="WDK29" s="47"/>
      <c r="WDL29" s="47"/>
      <c r="WDM29" s="47"/>
      <c r="WDN29" s="47"/>
      <c r="WDO29" s="47"/>
      <c r="WDP29" s="47"/>
      <c r="WDQ29" s="47"/>
      <c r="WDR29" s="47"/>
      <c r="WDS29" s="47"/>
      <c r="WDT29" s="47"/>
      <c r="WDU29" s="47"/>
      <c r="WDV29" s="47"/>
      <c r="WDW29" s="47"/>
      <c r="WDX29" s="47"/>
      <c r="WDY29" s="47"/>
      <c r="WDZ29" s="47"/>
      <c r="WEA29" s="47"/>
      <c r="WEB29" s="47"/>
      <c r="WEC29" s="47"/>
      <c r="WED29" s="47"/>
      <c r="WEE29" s="47"/>
      <c r="WEF29" s="47"/>
      <c r="WEG29" s="47"/>
      <c r="WEH29" s="47"/>
      <c r="WEI29" s="47"/>
      <c r="WEJ29" s="47"/>
      <c r="WEK29" s="47"/>
      <c r="WEL29" s="47"/>
      <c r="WEM29" s="47"/>
      <c r="WEN29" s="47"/>
      <c r="WEO29" s="47"/>
      <c r="WEP29" s="47"/>
      <c r="WEQ29" s="47"/>
      <c r="WER29" s="47"/>
      <c r="WES29" s="47"/>
      <c r="WET29" s="47"/>
      <c r="WEU29" s="47"/>
      <c r="WEV29" s="47"/>
      <c r="WEW29" s="47"/>
      <c r="WEX29" s="47"/>
      <c r="WEY29" s="47"/>
      <c r="WEZ29" s="47"/>
      <c r="WFA29" s="47"/>
      <c r="WFB29" s="47"/>
      <c r="WFC29" s="47"/>
      <c r="WFD29" s="47"/>
      <c r="WFE29" s="47"/>
      <c r="WFF29" s="47"/>
      <c r="WFG29" s="47"/>
      <c r="WFH29" s="47"/>
      <c r="WFI29" s="47"/>
      <c r="WFJ29" s="47"/>
      <c r="WFK29" s="47"/>
      <c r="WFL29" s="47"/>
      <c r="WFM29" s="47"/>
      <c r="WFN29" s="47"/>
      <c r="WFO29" s="47"/>
      <c r="WFP29" s="47"/>
      <c r="WFQ29" s="47"/>
      <c r="WFR29" s="47"/>
      <c r="WFS29" s="47"/>
      <c r="WFT29" s="47"/>
      <c r="WFU29" s="47"/>
      <c r="WFV29" s="47"/>
      <c r="WFW29" s="47"/>
      <c r="WFX29" s="47"/>
      <c r="WFY29" s="47"/>
      <c r="WFZ29" s="47"/>
      <c r="WGA29" s="47"/>
      <c r="WGB29" s="47"/>
      <c r="WGC29" s="47"/>
      <c r="WGD29" s="47"/>
      <c r="WGE29" s="47"/>
      <c r="WGF29" s="47"/>
      <c r="WGG29" s="47"/>
      <c r="WGH29" s="47"/>
      <c r="WGI29" s="47"/>
      <c r="WGJ29" s="47"/>
      <c r="WGK29" s="47"/>
      <c r="WGL29" s="47"/>
      <c r="WGM29" s="47"/>
      <c r="WGN29" s="47"/>
      <c r="WGO29" s="47"/>
      <c r="WGP29" s="47"/>
      <c r="WGQ29" s="47"/>
      <c r="WGR29" s="47"/>
      <c r="WGS29" s="47"/>
      <c r="WGT29" s="47"/>
      <c r="WGU29" s="47"/>
      <c r="WGV29" s="47"/>
      <c r="WGW29" s="47"/>
      <c r="WGX29" s="47"/>
      <c r="WGY29" s="47"/>
      <c r="WGZ29" s="47"/>
      <c r="WHA29" s="47"/>
      <c r="WHB29" s="47"/>
      <c r="WHC29" s="47"/>
      <c r="WHD29" s="47"/>
      <c r="WHE29" s="47"/>
      <c r="WHF29" s="47"/>
      <c r="WHG29" s="47"/>
      <c r="WHH29" s="47"/>
      <c r="WHI29" s="47"/>
      <c r="WHJ29" s="47"/>
      <c r="WHK29" s="47"/>
      <c r="WHL29" s="47"/>
      <c r="WHM29" s="47"/>
      <c r="WHN29" s="47"/>
      <c r="WHO29" s="47"/>
      <c r="WHP29" s="47"/>
      <c r="WHQ29" s="47"/>
      <c r="WHR29" s="47"/>
      <c r="WHS29" s="47"/>
      <c r="WHT29" s="47"/>
      <c r="WHU29" s="47"/>
      <c r="WHV29" s="47"/>
      <c r="WHW29" s="47"/>
      <c r="WHX29" s="47"/>
      <c r="WHY29" s="47"/>
      <c r="WHZ29" s="47"/>
      <c r="WIA29" s="47"/>
      <c r="WIB29" s="47"/>
      <c r="WIC29" s="47"/>
      <c r="WID29" s="47"/>
      <c r="WIE29" s="47"/>
      <c r="WIF29" s="47"/>
      <c r="WIG29" s="47"/>
      <c r="WIH29" s="47"/>
      <c r="WII29" s="47"/>
      <c r="WIJ29" s="47"/>
      <c r="WIK29" s="47"/>
      <c r="WIL29" s="47"/>
      <c r="WIM29" s="47"/>
      <c r="WIN29" s="47"/>
      <c r="WIO29" s="47"/>
      <c r="WIP29" s="47"/>
      <c r="WIQ29" s="47"/>
      <c r="WIR29" s="47"/>
      <c r="WIS29" s="47"/>
      <c r="WIT29" s="47"/>
      <c r="WIU29" s="47"/>
      <c r="WIV29" s="47"/>
      <c r="WIW29" s="47"/>
      <c r="WIX29" s="47"/>
      <c r="WIY29" s="47"/>
      <c r="WIZ29" s="47"/>
      <c r="WJA29" s="47"/>
      <c r="WJB29" s="47"/>
      <c r="WJC29" s="47"/>
      <c r="WJD29" s="47"/>
      <c r="WJE29" s="47"/>
      <c r="WJF29" s="47"/>
      <c r="WJG29" s="47"/>
      <c r="WJH29" s="47"/>
      <c r="WJI29" s="47"/>
      <c r="WJJ29" s="47"/>
      <c r="WJK29" s="47"/>
      <c r="WJL29" s="47"/>
      <c r="WJM29" s="47"/>
      <c r="WJN29" s="47"/>
      <c r="WJO29" s="47"/>
      <c r="WJP29" s="47"/>
      <c r="WJQ29" s="47"/>
      <c r="WJR29" s="47"/>
      <c r="WJS29" s="47"/>
      <c r="WJT29" s="47"/>
      <c r="WJU29" s="47"/>
      <c r="WJV29" s="47"/>
      <c r="WJW29" s="47"/>
      <c r="WJX29" s="47"/>
      <c r="WJY29" s="47"/>
      <c r="WJZ29" s="47"/>
      <c r="WKA29" s="47"/>
      <c r="WKB29" s="47"/>
      <c r="WKC29" s="47"/>
      <c r="WKD29" s="47"/>
      <c r="WKE29" s="47"/>
      <c r="WKF29" s="47"/>
      <c r="WKG29" s="47"/>
      <c r="WKH29" s="47"/>
      <c r="WKI29" s="47"/>
      <c r="WKJ29" s="47"/>
      <c r="WKK29" s="47"/>
      <c r="WKL29" s="47"/>
      <c r="WKM29" s="47"/>
      <c r="WKN29" s="47"/>
      <c r="WKO29" s="47"/>
      <c r="WKP29" s="47"/>
      <c r="WKQ29" s="47"/>
      <c r="WKR29" s="47"/>
      <c r="WKS29" s="47"/>
      <c r="WKT29" s="47"/>
      <c r="WKU29" s="47"/>
      <c r="WKV29" s="47"/>
      <c r="WKW29" s="47"/>
      <c r="WKX29" s="47"/>
      <c r="WKY29" s="47"/>
      <c r="WKZ29" s="47"/>
      <c r="WLA29" s="47"/>
      <c r="WLB29" s="47"/>
      <c r="WLC29" s="47"/>
      <c r="WLD29" s="47"/>
      <c r="WLE29" s="47"/>
      <c r="WLF29" s="47"/>
      <c r="WLG29" s="47"/>
      <c r="WLH29" s="47"/>
      <c r="WLI29" s="47"/>
      <c r="WLJ29" s="47"/>
      <c r="WLK29" s="47"/>
      <c r="WLL29" s="47"/>
      <c r="WLM29" s="47"/>
      <c r="WLN29" s="47"/>
      <c r="WLO29" s="47"/>
      <c r="WLP29" s="47"/>
      <c r="WLQ29" s="47"/>
      <c r="WLR29" s="47"/>
      <c r="WLS29" s="47"/>
      <c r="WLT29" s="47"/>
      <c r="WLU29" s="47"/>
      <c r="WLV29" s="47"/>
      <c r="WLW29" s="47"/>
      <c r="WLX29" s="47"/>
      <c r="WLY29" s="47"/>
      <c r="WLZ29" s="47"/>
      <c r="WMA29" s="47"/>
      <c r="WMB29" s="47"/>
      <c r="WMC29" s="47"/>
      <c r="WMD29" s="47"/>
      <c r="WME29" s="47"/>
      <c r="WMF29" s="47"/>
      <c r="WMG29" s="47"/>
      <c r="WMH29" s="47"/>
      <c r="WMI29" s="47"/>
      <c r="WMJ29" s="47"/>
      <c r="WMK29" s="47"/>
      <c r="WML29" s="47"/>
      <c r="WMM29" s="47"/>
      <c r="WMN29" s="47"/>
      <c r="WMO29" s="47"/>
      <c r="WMP29" s="47"/>
      <c r="WMQ29" s="47"/>
      <c r="WMR29" s="47"/>
      <c r="WMS29" s="47"/>
      <c r="WMT29" s="47"/>
      <c r="WMU29" s="47"/>
      <c r="WMV29" s="47"/>
      <c r="WMW29" s="47"/>
      <c r="WMX29" s="47"/>
      <c r="WMY29" s="47"/>
      <c r="WMZ29" s="47"/>
      <c r="WNA29" s="47"/>
      <c r="WNB29" s="47"/>
      <c r="WNC29" s="47"/>
      <c r="WND29" s="47"/>
      <c r="WNE29" s="47"/>
      <c r="WNF29" s="47"/>
      <c r="WNG29" s="47"/>
      <c r="WNH29" s="47"/>
      <c r="WNI29" s="47"/>
      <c r="WNJ29" s="47"/>
      <c r="WNK29" s="47"/>
      <c r="WNL29" s="47"/>
      <c r="WNM29" s="47"/>
      <c r="WNN29" s="47"/>
      <c r="WNO29" s="47"/>
      <c r="WNP29" s="47"/>
      <c r="WNQ29" s="47"/>
      <c r="WNR29" s="47"/>
      <c r="WNS29" s="47"/>
      <c r="WNT29" s="47"/>
      <c r="WNU29" s="47"/>
      <c r="WNV29" s="47"/>
      <c r="WNW29" s="47"/>
      <c r="WNX29" s="47"/>
      <c r="WNY29" s="47"/>
      <c r="WNZ29" s="47"/>
      <c r="WOA29" s="47"/>
      <c r="WOB29" s="47"/>
      <c r="WOC29" s="47"/>
      <c r="WOD29" s="47"/>
      <c r="WOE29" s="47"/>
      <c r="WOF29" s="47"/>
      <c r="WOG29" s="47"/>
      <c r="WOH29" s="47"/>
      <c r="WOI29" s="47"/>
      <c r="WOJ29" s="47"/>
      <c r="WOK29" s="47"/>
      <c r="WOL29" s="47"/>
      <c r="WOM29" s="47"/>
      <c r="WON29" s="47"/>
      <c r="WOO29" s="47"/>
      <c r="WOP29" s="47"/>
      <c r="WOQ29" s="47"/>
      <c r="WOR29" s="47"/>
      <c r="WOS29" s="47"/>
      <c r="WOT29" s="47"/>
      <c r="WOU29" s="47"/>
      <c r="WOV29" s="47"/>
      <c r="WOW29" s="47"/>
      <c r="WOX29" s="47"/>
      <c r="WOY29" s="47"/>
      <c r="WOZ29" s="47"/>
      <c r="WPA29" s="47"/>
      <c r="WPB29" s="47"/>
      <c r="WPC29" s="47"/>
      <c r="WPD29" s="47"/>
      <c r="WPE29" s="47"/>
      <c r="WPF29" s="47"/>
      <c r="WPG29" s="47"/>
      <c r="WPH29" s="47"/>
      <c r="WPI29" s="47"/>
      <c r="WPJ29" s="47"/>
      <c r="WPK29" s="47"/>
      <c r="WPL29" s="47"/>
      <c r="WPM29" s="47"/>
      <c r="WPN29" s="47"/>
      <c r="WPO29" s="47"/>
      <c r="WPP29" s="47"/>
      <c r="WPQ29" s="47"/>
      <c r="WPR29" s="47"/>
      <c r="WPS29" s="47"/>
      <c r="WPT29" s="47"/>
      <c r="WPU29" s="47"/>
      <c r="WPV29" s="47"/>
      <c r="WPW29" s="47"/>
      <c r="WPX29" s="47"/>
      <c r="WPY29" s="47"/>
      <c r="WPZ29" s="47"/>
      <c r="WQA29" s="47"/>
      <c r="WQB29" s="47"/>
      <c r="WQC29" s="47"/>
      <c r="WQD29" s="47"/>
      <c r="WQE29" s="47"/>
      <c r="WQF29" s="47"/>
      <c r="WQG29" s="47"/>
      <c r="WQH29" s="47"/>
      <c r="WQI29" s="47"/>
      <c r="WQJ29" s="47"/>
      <c r="WQK29" s="47"/>
      <c r="WQL29" s="47"/>
      <c r="WQM29" s="47"/>
      <c r="WQN29" s="47"/>
      <c r="WQO29" s="47"/>
      <c r="WQP29" s="47"/>
      <c r="WQQ29" s="47"/>
      <c r="WQR29" s="47"/>
      <c r="WQS29" s="47"/>
      <c r="WQT29" s="47"/>
      <c r="WQU29" s="47"/>
      <c r="WQV29" s="47"/>
      <c r="WQW29" s="47"/>
      <c r="WQX29" s="47"/>
      <c r="WQY29" s="47"/>
      <c r="WQZ29" s="47"/>
      <c r="WRA29" s="47"/>
      <c r="WRB29" s="47"/>
      <c r="WRC29" s="47"/>
      <c r="WRD29" s="47"/>
      <c r="WRE29" s="47"/>
      <c r="WRF29" s="47"/>
      <c r="WRG29" s="47"/>
      <c r="WRH29" s="47"/>
      <c r="WRI29" s="47"/>
      <c r="WRJ29" s="47"/>
      <c r="WRK29" s="47"/>
      <c r="WRL29" s="47"/>
      <c r="WRM29" s="47"/>
      <c r="WRN29" s="47"/>
      <c r="WRO29" s="47"/>
      <c r="WRP29" s="47"/>
      <c r="WRQ29" s="47"/>
      <c r="WRR29" s="47"/>
      <c r="WRS29" s="47"/>
      <c r="WRT29" s="47"/>
      <c r="WRU29" s="47"/>
      <c r="WRV29" s="47"/>
      <c r="WRW29" s="47"/>
      <c r="WRX29" s="47"/>
      <c r="WRY29" s="47"/>
      <c r="WRZ29" s="47"/>
      <c r="WSA29" s="47"/>
      <c r="WSB29" s="47"/>
      <c r="WSC29" s="47"/>
      <c r="WSD29" s="47"/>
      <c r="WSE29" s="47"/>
      <c r="WSF29" s="47"/>
      <c r="WSG29" s="47"/>
      <c r="WSH29" s="47"/>
      <c r="WSI29" s="47"/>
      <c r="WSJ29" s="47"/>
      <c r="WSK29" s="47"/>
      <c r="WSL29" s="47"/>
      <c r="WSM29" s="47"/>
      <c r="WSN29" s="47"/>
      <c r="WSO29" s="47"/>
      <c r="WSP29" s="47"/>
      <c r="WSQ29" s="47"/>
      <c r="WSR29" s="47"/>
      <c r="WSS29" s="47"/>
      <c r="WST29" s="47"/>
      <c r="WSU29" s="47"/>
      <c r="WSV29" s="47"/>
      <c r="WSW29" s="47"/>
      <c r="WSX29" s="47"/>
      <c r="WSY29" s="47"/>
      <c r="WSZ29" s="47"/>
      <c r="WTA29" s="47"/>
      <c r="WTB29" s="47"/>
      <c r="WTC29" s="47"/>
      <c r="WTD29" s="47"/>
      <c r="WTE29" s="47"/>
      <c r="WTF29" s="47"/>
      <c r="WTG29" s="47"/>
      <c r="WTH29" s="47"/>
      <c r="WTI29" s="47"/>
      <c r="WTJ29" s="47"/>
      <c r="WTK29" s="47"/>
      <c r="WTL29" s="47"/>
      <c r="WTM29" s="47"/>
      <c r="WTN29" s="47"/>
      <c r="WTO29" s="47"/>
      <c r="WTP29" s="47"/>
      <c r="WTQ29" s="47"/>
      <c r="WTR29" s="47"/>
      <c r="WTS29" s="47"/>
      <c r="WTT29" s="47"/>
      <c r="WTU29" s="47"/>
      <c r="WTV29" s="47"/>
      <c r="WTW29" s="47"/>
      <c r="WTX29" s="47"/>
      <c r="WTY29" s="47"/>
      <c r="WTZ29" s="47"/>
      <c r="WUA29" s="47"/>
      <c r="WUB29" s="47"/>
      <c r="WUC29" s="47"/>
      <c r="WUD29" s="47"/>
      <c r="WUE29" s="47"/>
      <c r="WUF29" s="47"/>
      <c r="WUG29" s="47"/>
      <c r="WUH29" s="47"/>
      <c r="WUI29" s="47"/>
      <c r="WUJ29" s="47"/>
      <c r="WUK29" s="47"/>
      <c r="WUL29" s="47"/>
      <c r="WUM29" s="47"/>
      <c r="WUN29" s="47"/>
      <c r="WUO29" s="47"/>
      <c r="WUP29" s="47"/>
      <c r="WUQ29" s="47"/>
      <c r="WUR29" s="47"/>
      <c r="WUS29" s="47"/>
      <c r="WUT29" s="47"/>
      <c r="WUU29" s="47"/>
      <c r="WUV29" s="47"/>
      <c r="WUW29" s="47"/>
      <c r="WUX29" s="47"/>
      <c r="WUY29" s="47"/>
      <c r="WUZ29" s="47"/>
      <c r="WVA29" s="47"/>
      <c r="WVB29" s="47"/>
      <c r="WVC29" s="47"/>
      <c r="WVD29" s="47"/>
      <c r="WVE29" s="47"/>
      <c r="WVF29" s="47"/>
      <c r="WVG29" s="47"/>
      <c r="WVH29" s="47"/>
      <c r="WVI29" s="47"/>
      <c r="WVJ29" s="47"/>
      <c r="WVK29" s="47"/>
      <c r="WVL29" s="47"/>
      <c r="WVM29" s="47"/>
      <c r="WVN29" s="47"/>
      <c r="WVO29" s="47"/>
      <c r="WVP29" s="47"/>
      <c r="WVQ29" s="47"/>
      <c r="WVR29" s="47"/>
      <c r="WVS29" s="47"/>
      <c r="WVT29" s="47"/>
      <c r="WVU29" s="47"/>
      <c r="WVV29" s="47"/>
      <c r="WVW29" s="47"/>
      <c r="WVX29" s="47"/>
      <c r="WVY29" s="47"/>
      <c r="WVZ29" s="47"/>
      <c r="WWA29" s="47"/>
      <c r="WWB29" s="47"/>
      <c r="WWC29" s="47"/>
      <c r="WWD29" s="47"/>
      <c r="WWE29" s="47"/>
      <c r="WWF29" s="47"/>
      <c r="WWG29" s="47"/>
      <c r="WWH29" s="47"/>
      <c r="WWI29" s="47"/>
      <c r="WWJ29" s="47"/>
      <c r="WWK29" s="47"/>
      <c r="WWL29" s="47"/>
      <c r="WWM29" s="47"/>
      <c r="WWN29" s="47"/>
      <c r="WWO29" s="47"/>
      <c r="WWP29" s="47"/>
      <c r="WWQ29" s="47"/>
      <c r="WWR29" s="47"/>
      <c r="WWS29" s="47"/>
      <c r="WWT29" s="47"/>
      <c r="WWU29" s="47"/>
      <c r="WWV29" s="47"/>
      <c r="WWW29" s="47"/>
      <c r="WWX29" s="47"/>
      <c r="WWY29" s="47"/>
      <c r="WWZ29" s="47"/>
      <c r="WXA29" s="47"/>
      <c r="WXB29" s="47"/>
      <c r="WXC29" s="47"/>
      <c r="WXD29" s="47"/>
      <c r="WXE29" s="47"/>
      <c r="WXF29" s="47"/>
      <c r="WXG29" s="47"/>
      <c r="WXH29" s="47"/>
      <c r="WXI29" s="47"/>
      <c r="WXJ29" s="47"/>
      <c r="WXK29" s="47"/>
      <c r="WXL29" s="47"/>
      <c r="WXM29" s="47"/>
      <c r="WXN29" s="47"/>
      <c r="WXO29" s="47"/>
      <c r="WXP29" s="47"/>
      <c r="WXQ29" s="47"/>
      <c r="WXR29" s="47"/>
      <c r="WXS29" s="47"/>
      <c r="WXT29" s="47"/>
      <c r="WXU29" s="47"/>
      <c r="WXV29" s="47"/>
      <c r="WXW29" s="47"/>
      <c r="WXX29" s="47"/>
      <c r="WXY29" s="47"/>
      <c r="WXZ29" s="47"/>
      <c r="WYA29" s="47"/>
      <c r="WYB29" s="47"/>
      <c r="WYC29" s="47"/>
      <c r="WYD29" s="47"/>
      <c r="WYE29" s="47"/>
      <c r="WYF29" s="47"/>
      <c r="WYG29" s="47"/>
      <c r="WYH29" s="47"/>
      <c r="WYI29" s="47"/>
      <c r="WYJ29" s="47"/>
      <c r="WYK29" s="47"/>
      <c r="WYL29" s="47"/>
      <c r="WYM29" s="47"/>
      <c r="WYN29" s="47"/>
      <c r="WYO29" s="47"/>
      <c r="WYP29" s="47"/>
      <c r="WYQ29" s="47"/>
      <c r="WYR29" s="47"/>
      <c r="WYS29" s="47"/>
      <c r="WYT29" s="47"/>
      <c r="WYU29" s="47"/>
      <c r="WYV29" s="47"/>
      <c r="WYW29" s="47"/>
      <c r="WYX29" s="47"/>
      <c r="WYY29" s="47"/>
      <c r="WYZ29" s="47"/>
      <c r="WZA29" s="47"/>
      <c r="WZB29" s="47"/>
      <c r="WZC29" s="47"/>
      <c r="WZD29" s="47"/>
      <c r="WZE29" s="47"/>
      <c r="WZF29" s="47"/>
      <c r="WZG29" s="47"/>
      <c r="WZH29" s="47"/>
      <c r="WZI29" s="47"/>
      <c r="WZJ29" s="47"/>
      <c r="WZK29" s="47"/>
      <c r="WZL29" s="47"/>
      <c r="WZM29" s="47"/>
      <c r="WZN29" s="47"/>
      <c r="WZO29" s="47"/>
      <c r="WZP29" s="47"/>
      <c r="WZQ29" s="47"/>
      <c r="WZR29" s="47"/>
      <c r="WZS29" s="47"/>
      <c r="WZT29" s="47"/>
      <c r="WZU29" s="47"/>
      <c r="WZV29" s="47"/>
      <c r="WZW29" s="47"/>
      <c r="WZX29" s="47"/>
      <c r="WZY29" s="47"/>
      <c r="WZZ29" s="47"/>
      <c r="XAA29" s="47"/>
      <c r="XAB29" s="47"/>
      <c r="XAC29" s="47"/>
      <c r="XAD29" s="47"/>
      <c r="XAE29" s="47"/>
      <c r="XAF29" s="47"/>
      <c r="XAG29" s="47"/>
      <c r="XAH29" s="47"/>
      <c r="XAI29" s="47"/>
      <c r="XAJ29" s="47"/>
      <c r="XAK29" s="47"/>
      <c r="XAL29" s="47"/>
      <c r="XAM29" s="47"/>
      <c r="XAN29" s="47"/>
      <c r="XAO29" s="47"/>
      <c r="XAP29" s="47"/>
      <c r="XAQ29" s="47"/>
      <c r="XAR29" s="47"/>
      <c r="XAS29" s="47"/>
      <c r="XAT29" s="47"/>
      <c r="XAU29" s="47"/>
      <c r="XAV29" s="47"/>
      <c r="XAW29" s="47"/>
      <c r="XAX29" s="47"/>
      <c r="XAY29" s="47"/>
      <c r="XAZ29" s="47"/>
      <c r="XBA29" s="47"/>
      <c r="XBB29" s="47"/>
      <c r="XBC29" s="47"/>
      <c r="XBD29" s="47"/>
      <c r="XBE29" s="47"/>
      <c r="XBF29" s="47"/>
      <c r="XBG29" s="47"/>
      <c r="XBH29" s="47"/>
      <c r="XBI29" s="47"/>
      <c r="XBJ29" s="47"/>
      <c r="XBK29" s="47"/>
      <c r="XBL29" s="47"/>
      <c r="XBM29" s="47"/>
      <c r="XBN29" s="47"/>
      <c r="XBO29" s="47"/>
      <c r="XBP29" s="47"/>
      <c r="XBQ29" s="47"/>
      <c r="XBR29" s="47"/>
      <c r="XBS29" s="47"/>
      <c r="XBT29" s="47"/>
      <c r="XBU29" s="47"/>
      <c r="XBV29" s="47"/>
      <c r="XBW29" s="47"/>
      <c r="XBX29" s="47"/>
      <c r="XBY29" s="47"/>
      <c r="XBZ29" s="47"/>
      <c r="XCA29" s="47"/>
      <c r="XCB29" s="47"/>
      <c r="XCC29" s="47"/>
      <c r="XCD29" s="47"/>
      <c r="XCE29" s="47"/>
      <c r="XCF29" s="47"/>
      <c r="XCG29" s="47"/>
      <c r="XCH29" s="47"/>
      <c r="XCI29" s="47"/>
      <c r="XCJ29" s="47"/>
      <c r="XCK29" s="47"/>
      <c r="XCL29" s="47"/>
      <c r="XCM29" s="47"/>
      <c r="XCN29" s="47"/>
      <c r="XCO29" s="47"/>
      <c r="XCP29" s="47"/>
      <c r="XCQ29" s="47"/>
      <c r="XCR29" s="47"/>
      <c r="XCS29" s="47"/>
      <c r="XCT29" s="47"/>
      <c r="XCU29" s="47"/>
      <c r="XCV29" s="47"/>
      <c r="XCW29" s="47"/>
      <c r="XCX29" s="47"/>
      <c r="XCY29" s="47"/>
      <c r="XCZ29" s="47"/>
      <c r="XDA29" s="47"/>
      <c r="XDB29" s="47"/>
      <c r="XDC29" s="47"/>
      <c r="XDD29" s="47"/>
      <c r="XDE29" s="47"/>
      <c r="XDF29" s="47"/>
      <c r="XDG29" s="47"/>
      <c r="XDH29" s="47"/>
      <c r="XDI29" s="47"/>
      <c r="XDJ29" s="47"/>
      <c r="XDK29" s="47"/>
      <c r="XDL29" s="47"/>
      <c r="XDM29" s="47"/>
      <c r="XDN29" s="47"/>
      <c r="XDO29" s="47"/>
      <c r="XDP29" s="47"/>
      <c r="XDQ29" s="47"/>
      <c r="XDR29" s="47"/>
      <c r="XDS29" s="47"/>
      <c r="XDT29" s="47"/>
      <c r="XDU29" s="47"/>
      <c r="XDV29" s="47"/>
      <c r="XDW29" s="47"/>
      <c r="XDX29" s="47"/>
      <c r="XDY29" s="47"/>
      <c r="XDZ29" s="47"/>
      <c r="XEA29" s="47"/>
      <c r="XEB29" s="47"/>
      <c r="XEC29" s="47"/>
      <c r="XED29" s="47"/>
      <c r="XEE29" s="47"/>
      <c r="XEF29" s="47"/>
      <c r="XEG29" s="47"/>
      <c r="XEH29" s="47"/>
      <c r="XEI29" s="47"/>
      <c r="XEJ29" s="47"/>
      <c r="XEK29" s="47"/>
      <c r="XEL29" s="47"/>
      <c r="XEM29" s="47"/>
      <c r="XEN29" s="47"/>
      <c r="XEO29" s="47"/>
      <c r="XEP29" s="47"/>
      <c r="XEQ29" s="47"/>
      <c r="XER29" s="47"/>
      <c r="XES29" s="47"/>
      <c r="XET29" s="47"/>
      <c r="XEU29" s="47"/>
      <c r="XEV29" s="47"/>
      <c r="XEW29" s="47"/>
      <c r="XEX29" s="47"/>
      <c r="XEY29" s="47"/>
      <c r="XEZ29" s="47"/>
      <c r="XFA29" s="47"/>
      <c r="XFB29" s="47"/>
      <c r="XFC29" s="47"/>
    </row>
    <row r="30" spans="1:16383" s="20" customFormat="1" ht="20.149999999999999" hidden="1" customHeight="1">
      <c r="A30" s="52"/>
      <c r="B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c r="HV30" s="47"/>
      <c r="HW30" s="47"/>
      <c r="HX30" s="47"/>
      <c r="HY30" s="47"/>
      <c r="HZ30" s="47"/>
      <c r="IA30" s="47"/>
      <c r="IB30" s="47"/>
      <c r="IC30" s="47"/>
      <c r="ID30" s="47"/>
      <c r="IE30" s="47"/>
      <c r="IF30" s="47"/>
      <c r="IG30" s="47"/>
      <c r="IH30" s="47"/>
      <c r="II30" s="47"/>
      <c r="IJ30" s="47"/>
      <c r="IK30" s="47"/>
      <c r="IL30" s="47"/>
      <c r="IM30" s="47"/>
      <c r="IN30" s="47"/>
      <c r="IO30" s="47"/>
      <c r="IP30" s="47"/>
      <c r="IQ30" s="47"/>
      <c r="IR30" s="47"/>
      <c r="IS30" s="47"/>
      <c r="IT30" s="47"/>
      <c r="IU30" s="47"/>
      <c r="IV30" s="47"/>
      <c r="IW30" s="47"/>
      <c r="IX30" s="47"/>
      <c r="IY30" s="47"/>
      <c r="IZ30" s="47"/>
      <c r="JA30" s="47"/>
      <c r="JB30" s="47"/>
      <c r="JC30" s="47"/>
      <c r="JD30" s="47"/>
      <c r="JE30" s="47"/>
      <c r="JF30" s="47"/>
      <c r="JG30" s="47"/>
      <c r="JH30" s="47"/>
      <c r="JI30" s="47"/>
      <c r="JJ30" s="47"/>
      <c r="JK30" s="47"/>
      <c r="JL30" s="47"/>
      <c r="JM30" s="47"/>
      <c r="JN30" s="47"/>
      <c r="JO30" s="47"/>
      <c r="JP30" s="47"/>
      <c r="JQ30" s="47"/>
      <c r="JR30" s="47"/>
      <c r="JS30" s="47"/>
      <c r="JT30" s="47"/>
      <c r="JU30" s="47"/>
      <c r="JV30" s="47"/>
      <c r="JW30" s="47"/>
      <c r="JX30" s="47"/>
      <c r="JY30" s="47"/>
      <c r="JZ30" s="47"/>
      <c r="KA30" s="47"/>
      <c r="KB30" s="47"/>
      <c r="KC30" s="47"/>
      <c r="KD30" s="47"/>
      <c r="KE30" s="47"/>
      <c r="KF30" s="47"/>
      <c r="KG30" s="47"/>
      <c r="KH30" s="47"/>
      <c r="KI30" s="47"/>
      <c r="KJ30" s="47"/>
      <c r="KK30" s="47"/>
      <c r="KL30" s="47"/>
      <c r="KM30" s="47"/>
      <c r="KN30" s="47"/>
      <c r="KO30" s="47"/>
      <c r="KP30" s="47"/>
      <c r="KQ30" s="47"/>
      <c r="KR30" s="47"/>
      <c r="KS30" s="47"/>
      <c r="KT30" s="47"/>
      <c r="KU30" s="47"/>
      <c r="KV30" s="47"/>
      <c r="KW30" s="47"/>
      <c r="KX30" s="47"/>
      <c r="KY30" s="47"/>
      <c r="KZ30" s="47"/>
      <c r="LA30" s="47"/>
      <c r="LB30" s="47"/>
      <c r="LC30" s="47"/>
      <c r="LD30" s="47"/>
      <c r="LE30" s="47"/>
      <c r="LF30" s="47"/>
      <c r="LG30" s="47"/>
      <c r="LH30" s="47"/>
      <c r="LI30" s="47"/>
      <c r="LJ30" s="47"/>
      <c r="LK30" s="47"/>
      <c r="LL30" s="47"/>
      <c r="LM30" s="47"/>
      <c r="LN30" s="47"/>
      <c r="LO30" s="47"/>
      <c r="LP30" s="47"/>
      <c r="LQ30" s="47"/>
      <c r="LR30" s="47"/>
      <c r="LS30" s="47"/>
      <c r="LT30" s="47"/>
      <c r="LU30" s="47"/>
      <c r="LV30" s="47"/>
      <c r="LW30" s="47"/>
      <c r="LX30" s="47"/>
      <c r="LY30" s="47"/>
      <c r="LZ30" s="47"/>
      <c r="MA30" s="47"/>
      <c r="MB30" s="47"/>
      <c r="MC30" s="47"/>
      <c r="MD30" s="47"/>
      <c r="ME30" s="47"/>
      <c r="MF30" s="47"/>
      <c r="MG30" s="47"/>
      <c r="MH30" s="47"/>
      <c r="MI30" s="47"/>
      <c r="MJ30" s="47"/>
      <c r="MK30" s="47"/>
      <c r="ML30" s="47"/>
      <c r="MM30" s="47"/>
      <c r="MN30" s="47"/>
      <c r="MO30" s="47"/>
      <c r="MP30" s="47"/>
      <c r="MQ30" s="47"/>
      <c r="MR30" s="47"/>
      <c r="MS30" s="47"/>
      <c r="MT30" s="47"/>
      <c r="MU30" s="47"/>
      <c r="MV30" s="47"/>
      <c r="MW30" s="47"/>
      <c r="MX30" s="47"/>
      <c r="MY30" s="47"/>
      <c r="MZ30" s="47"/>
      <c r="NA30" s="47"/>
      <c r="NB30" s="47"/>
      <c r="NC30" s="47"/>
      <c r="ND30" s="47"/>
      <c r="NE30" s="47"/>
      <c r="NF30" s="47"/>
      <c r="NG30" s="47"/>
      <c r="NH30" s="47"/>
      <c r="NI30" s="47"/>
      <c r="NJ30" s="47"/>
      <c r="NK30" s="47"/>
      <c r="NL30" s="47"/>
      <c r="NM30" s="47"/>
      <c r="NN30" s="47"/>
      <c r="NO30" s="47"/>
      <c r="NP30" s="47"/>
      <c r="NQ30" s="47"/>
      <c r="NR30" s="47"/>
      <c r="NS30" s="47"/>
      <c r="NT30" s="47"/>
      <c r="NU30" s="47"/>
      <c r="NV30" s="47"/>
      <c r="NW30" s="47"/>
      <c r="NX30" s="47"/>
      <c r="NY30" s="47"/>
      <c r="NZ30" s="47"/>
      <c r="OA30" s="47"/>
      <c r="OB30" s="47"/>
      <c r="OC30" s="47"/>
      <c r="OD30" s="47"/>
      <c r="OE30" s="47"/>
      <c r="OF30" s="47"/>
      <c r="OG30" s="47"/>
      <c r="OH30" s="47"/>
      <c r="OI30" s="47"/>
      <c r="OJ30" s="47"/>
      <c r="OK30" s="47"/>
      <c r="OL30" s="47"/>
      <c r="OM30" s="47"/>
      <c r="ON30" s="47"/>
      <c r="OO30" s="47"/>
      <c r="OP30" s="47"/>
      <c r="OQ30" s="47"/>
      <c r="OR30" s="47"/>
      <c r="OS30" s="47"/>
      <c r="OT30" s="47"/>
      <c r="OU30" s="47"/>
      <c r="OV30" s="47"/>
      <c r="OW30" s="47"/>
      <c r="OX30" s="47"/>
      <c r="OY30" s="47"/>
      <c r="OZ30" s="47"/>
      <c r="PA30" s="47"/>
      <c r="PB30" s="47"/>
      <c r="PC30" s="47"/>
      <c r="PD30" s="47"/>
      <c r="PE30" s="47"/>
      <c r="PF30" s="47"/>
      <c r="PG30" s="47"/>
      <c r="PH30" s="47"/>
      <c r="PI30" s="47"/>
      <c r="PJ30" s="47"/>
      <c r="PK30" s="47"/>
      <c r="PL30" s="47"/>
      <c r="PM30" s="47"/>
      <c r="PN30" s="47"/>
      <c r="PO30" s="47"/>
      <c r="PP30" s="47"/>
      <c r="PQ30" s="47"/>
      <c r="PR30" s="47"/>
      <c r="PS30" s="47"/>
      <c r="PT30" s="47"/>
      <c r="PU30" s="47"/>
      <c r="PV30" s="47"/>
      <c r="PW30" s="47"/>
      <c r="PX30" s="47"/>
      <c r="PY30" s="47"/>
      <c r="PZ30" s="47"/>
      <c r="QA30" s="47"/>
      <c r="QB30" s="47"/>
      <c r="QC30" s="47"/>
      <c r="QD30" s="47"/>
      <c r="QE30" s="47"/>
      <c r="QF30" s="47"/>
      <c r="QG30" s="47"/>
      <c r="QH30" s="47"/>
      <c r="QI30" s="47"/>
      <c r="QJ30" s="47"/>
      <c r="QK30" s="47"/>
      <c r="QL30" s="47"/>
      <c r="QM30" s="47"/>
      <c r="QN30" s="47"/>
      <c r="QO30" s="47"/>
      <c r="QP30" s="47"/>
      <c r="QQ30" s="47"/>
      <c r="QR30" s="47"/>
      <c r="QS30" s="47"/>
      <c r="QT30" s="47"/>
      <c r="QU30" s="47"/>
      <c r="QV30" s="47"/>
      <c r="QW30" s="47"/>
      <c r="QX30" s="47"/>
      <c r="QY30" s="47"/>
      <c r="QZ30" s="47"/>
      <c r="RA30" s="47"/>
      <c r="RB30" s="47"/>
      <c r="RC30" s="47"/>
      <c r="RD30" s="47"/>
      <c r="RE30" s="47"/>
      <c r="RF30" s="47"/>
      <c r="RG30" s="47"/>
      <c r="RH30" s="47"/>
      <c r="RI30" s="47"/>
      <c r="RJ30" s="47"/>
      <c r="RK30" s="47"/>
      <c r="RL30" s="47"/>
      <c r="RM30" s="47"/>
      <c r="RN30" s="47"/>
      <c r="RO30" s="47"/>
      <c r="RP30" s="47"/>
      <c r="RQ30" s="47"/>
      <c r="RR30" s="47"/>
      <c r="RS30" s="47"/>
      <c r="RT30" s="47"/>
      <c r="RU30" s="47"/>
      <c r="RV30" s="47"/>
      <c r="RW30" s="47"/>
      <c r="RX30" s="47"/>
      <c r="RY30" s="47"/>
      <c r="RZ30" s="47"/>
      <c r="SA30" s="47"/>
      <c r="SB30" s="47"/>
      <c r="SC30" s="47"/>
      <c r="SD30" s="47"/>
      <c r="SE30" s="47"/>
      <c r="SF30" s="47"/>
      <c r="SG30" s="47"/>
      <c r="SH30" s="47"/>
      <c r="SI30" s="47"/>
      <c r="SJ30" s="47"/>
      <c r="SK30" s="47"/>
      <c r="SL30" s="47"/>
      <c r="SM30" s="47"/>
      <c r="SN30" s="47"/>
      <c r="SO30" s="47"/>
      <c r="SP30" s="47"/>
      <c r="SQ30" s="47"/>
      <c r="SR30" s="47"/>
      <c r="SS30" s="47"/>
      <c r="ST30" s="47"/>
      <c r="SU30" s="47"/>
      <c r="SV30" s="47"/>
      <c r="SW30" s="47"/>
      <c r="SX30" s="47"/>
      <c r="SY30" s="47"/>
      <c r="SZ30" s="47"/>
      <c r="TA30" s="47"/>
      <c r="TB30" s="47"/>
      <c r="TC30" s="47"/>
      <c r="TD30" s="47"/>
      <c r="TE30" s="47"/>
      <c r="TF30" s="47"/>
      <c r="TG30" s="47"/>
      <c r="TH30" s="47"/>
      <c r="TI30" s="47"/>
      <c r="TJ30" s="47"/>
      <c r="TK30" s="47"/>
      <c r="TL30" s="47"/>
      <c r="TM30" s="47"/>
      <c r="TN30" s="47"/>
      <c r="TO30" s="47"/>
      <c r="TP30" s="47"/>
      <c r="TQ30" s="47"/>
      <c r="TR30" s="47"/>
      <c r="TS30" s="47"/>
      <c r="TT30" s="47"/>
      <c r="TU30" s="47"/>
      <c r="TV30" s="47"/>
      <c r="TW30" s="47"/>
      <c r="TX30" s="47"/>
      <c r="TY30" s="47"/>
      <c r="TZ30" s="47"/>
      <c r="UA30" s="47"/>
      <c r="UB30" s="47"/>
      <c r="UC30" s="47"/>
      <c r="UD30" s="47"/>
      <c r="UE30" s="47"/>
      <c r="UF30" s="47"/>
      <c r="UG30" s="47"/>
      <c r="UH30" s="47"/>
      <c r="UI30" s="47"/>
      <c r="UJ30" s="47"/>
      <c r="UK30" s="47"/>
      <c r="UL30" s="47"/>
      <c r="UM30" s="47"/>
      <c r="UN30" s="47"/>
      <c r="UO30" s="47"/>
      <c r="UP30" s="47"/>
      <c r="UQ30" s="47"/>
      <c r="UR30" s="47"/>
      <c r="US30" s="47"/>
      <c r="UT30" s="47"/>
      <c r="UU30" s="47"/>
      <c r="UV30" s="47"/>
      <c r="UW30" s="47"/>
      <c r="UX30" s="47"/>
      <c r="UY30" s="47"/>
      <c r="UZ30" s="47"/>
      <c r="VA30" s="47"/>
      <c r="VB30" s="47"/>
      <c r="VC30" s="47"/>
      <c r="VD30" s="47"/>
      <c r="VE30" s="47"/>
      <c r="VF30" s="47"/>
      <c r="VG30" s="47"/>
      <c r="VH30" s="47"/>
      <c r="VI30" s="47"/>
      <c r="VJ30" s="47"/>
      <c r="VK30" s="47"/>
      <c r="VL30" s="47"/>
      <c r="VM30" s="47"/>
      <c r="VN30" s="47"/>
      <c r="VO30" s="47"/>
      <c r="VP30" s="47"/>
      <c r="VQ30" s="47"/>
      <c r="VR30" s="47"/>
      <c r="VS30" s="47"/>
      <c r="VT30" s="47"/>
      <c r="VU30" s="47"/>
      <c r="VV30" s="47"/>
      <c r="VW30" s="47"/>
      <c r="VX30" s="47"/>
      <c r="VY30" s="47"/>
      <c r="VZ30" s="47"/>
      <c r="WA30" s="47"/>
      <c r="WB30" s="47"/>
      <c r="WC30" s="47"/>
      <c r="WD30" s="47"/>
      <c r="WE30" s="47"/>
      <c r="WF30" s="47"/>
      <c r="WG30" s="47"/>
      <c r="WH30" s="47"/>
      <c r="WI30" s="47"/>
      <c r="WJ30" s="47"/>
      <c r="WK30" s="47"/>
      <c r="WL30" s="47"/>
      <c r="WM30" s="47"/>
      <c r="WN30" s="47"/>
      <c r="WO30" s="47"/>
      <c r="WP30" s="47"/>
      <c r="WQ30" s="47"/>
      <c r="WR30" s="47"/>
      <c r="WS30" s="47"/>
      <c r="WT30" s="47"/>
      <c r="WU30" s="47"/>
      <c r="WV30" s="47"/>
      <c r="WW30" s="47"/>
      <c r="WX30" s="47"/>
      <c r="WY30" s="47"/>
      <c r="WZ30" s="47"/>
      <c r="XA30" s="47"/>
      <c r="XB30" s="47"/>
      <c r="XC30" s="47"/>
      <c r="XD30" s="47"/>
      <c r="XE30" s="47"/>
      <c r="XF30" s="47"/>
      <c r="XG30" s="47"/>
      <c r="XH30" s="47"/>
      <c r="XI30" s="47"/>
      <c r="XJ30" s="47"/>
      <c r="XK30" s="47"/>
      <c r="XL30" s="47"/>
      <c r="XM30" s="47"/>
      <c r="XN30" s="47"/>
      <c r="XO30" s="47"/>
      <c r="XP30" s="47"/>
      <c r="XQ30" s="47"/>
      <c r="XR30" s="47"/>
      <c r="XS30" s="47"/>
      <c r="XT30" s="47"/>
      <c r="XU30" s="47"/>
      <c r="XV30" s="47"/>
      <c r="XW30" s="47"/>
      <c r="XX30" s="47"/>
      <c r="XY30" s="47"/>
      <c r="XZ30" s="47"/>
      <c r="YA30" s="47"/>
      <c r="YB30" s="47"/>
      <c r="YC30" s="47"/>
      <c r="YD30" s="47"/>
      <c r="YE30" s="47"/>
      <c r="YF30" s="47"/>
      <c r="YG30" s="47"/>
      <c r="YH30" s="47"/>
      <c r="YI30" s="47"/>
      <c r="YJ30" s="47"/>
      <c r="YK30" s="47"/>
      <c r="YL30" s="47"/>
      <c r="YM30" s="47"/>
      <c r="YN30" s="47"/>
      <c r="YO30" s="47"/>
      <c r="YP30" s="47"/>
      <c r="YQ30" s="47"/>
      <c r="YR30" s="47"/>
      <c r="YS30" s="47"/>
      <c r="YT30" s="47"/>
      <c r="YU30" s="47"/>
      <c r="YV30" s="47"/>
      <c r="YW30" s="47"/>
      <c r="YX30" s="47"/>
      <c r="YY30" s="47"/>
      <c r="YZ30" s="47"/>
      <c r="ZA30" s="47"/>
      <c r="ZB30" s="47"/>
      <c r="ZC30" s="47"/>
      <c r="ZD30" s="47"/>
      <c r="ZE30" s="47"/>
      <c r="ZF30" s="47"/>
      <c r="ZG30" s="47"/>
      <c r="ZH30" s="47"/>
      <c r="ZI30" s="47"/>
      <c r="ZJ30" s="47"/>
      <c r="ZK30" s="47"/>
      <c r="ZL30" s="47"/>
      <c r="ZM30" s="47"/>
      <c r="ZN30" s="47"/>
      <c r="ZO30" s="47"/>
      <c r="ZP30" s="47"/>
      <c r="ZQ30" s="47"/>
      <c r="ZR30" s="47"/>
      <c r="ZS30" s="47"/>
      <c r="ZT30" s="47"/>
      <c r="ZU30" s="47"/>
      <c r="ZV30" s="47"/>
      <c r="ZW30" s="47"/>
      <c r="ZX30" s="47"/>
      <c r="ZY30" s="47"/>
      <c r="ZZ30" s="47"/>
      <c r="AAA30" s="47"/>
      <c r="AAB30" s="47"/>
      <c r="AAC30" s="47"/>
      <c r="AAD30" s="47"/>
      <c r="AAE30" s="47"/>
      <c r="AAF30" s="47"/>
      <c r="AAG30" s="47"/>
      <c r="AAH30" s="47"/>
      <c r="AAI30" s="47"/>
      <c r="AAJ30" s="47"/>
      <c r="AAK30" s="47"/>
      <c r="AAL30" s="47"/>
      <c r="AAM30" s="47"/>
      <c r="AAN30" s="47"/>
      <c r="AAO30" s="47"/>
      <c r="AAP30" s="47"/>
      <c r="AAQ30" s="47"/>
      <c r="AAR30" s="47"/>
      <c r="AAS30" s="47"/>
      <c r="AAT30" s="47"/>
      <c r="AAU30" s="47"/>
      <c r="AAV30" s="47"/>
      <c r="AAW30" s="47"/>
      <c r="AAX30" s="47"/>
      <c r="AAY30" s="47"/>
      <c r="AAZ30" s="47"/>
      <c r="ABA30" s="47"/>
      <c r="ABB30" s="47"/>
      <c r="ABC30" s="47"/>
      <c r="ABD30" s="47"/>
      <c r="ABE30" s="47"/>
      <c r="ABF30" s="47"/>
      <c r="ABG30" s="47"/>
      <c r="ABH30" s="47"/>
      <c r="ABI30" s="47"/>
      <c r="ABJ30" s="47"/>
      <c r="ABK30" s="47"/>
      <c r="ABL30" s="47"/>
      <c r="ABM30" s="47"/>
      <c r="ABN30" s="47"/>
      <c r="ABO30" s="47"/>
      <c r="ABP30" s="47"/>
      <c r="ABQ30" s="47"/>
      <c r="ABR30" s="47"/>
      <c r="ABS30" s="47"/>
      <c r="ABT30" s="47"/>
      <c r="ABU30" s="47"/>
      <c r="ABV30" s="47"/>
      <c r="ABW30" s="47"/>
      <c r="ABX30" s="47"/>
      <c r="ABY30" s="47"/>
      <c r="ABZ30" s="47"/>
      <c r="ACA30" s="47"/>
      <c r="ACB30" s="47"/>
      <c r="ACC30" s="47"/>
      <c r="ACD30" s="47"/>
      <c r="ACE30" s="47"/>
      <c r="ACF30" s="47"/>
      <c r="ACG30" s="47"/>
      <c r="ACH30" s="47"/>
      <c r="ACI30" s="47"/>
      <c r="ACJ30" s="47"/>
      <c r="ACK30" s="47"/>
      <c r="ACL30" s="47"/>
      <c r="ACM30" s="47"/>
      <c r="ACN30" s="47"/>
      <c r="ACO30" s="47"/>
      <c r="ACP30" s="47"/>
      <c r="ACQ30" s="47"/>
      <c r="ACR30" s="47"/>
      <c r="ACS30" s="47"/>
      <c r="ACT30" s="47"/>
      <c r="ACU30" s="47"/>
      <c r="ACV30" s="47"/>
      <c r="ACW30" s="47"/>
      <c r="ACX30" s="47"/>
      <c r="ACY30" s="47"/>
      <c r="ACZ30" s="47"/>
      <c r="ADA30" s="47"/>
      <c r="ADB30" s="47"/>
      <c r="ADC30" s="47"/>
      <c r="ADD30" s="47"/>
      <c r="ADE30" s="47"/>
      <c r="ADF30" s="47"/>
      <c r="ADG30" s="47"/>
      <c r="ADH30" s="47"/>
      <c r="ADI30" s="47"/>
      <c r="ADJ30" s="47"/>
      <c r="ADK30" s="47"/>
      <c r="ADL30" s="47"/>
      <c r="ADM30" s="47"/>
      <c r="ADN30" s="47"/>
      <c r="ADO30" s="47"/>
      <c r="ADP30" s="47"/>
      <c r="ADQ30" s="47"/>
      <c r="ADR30" s="47"/>
      <c r="ADS30" s="47"/>
      <c r="ADT30" s="47"/>
      <c r="ADU30" s="47"/>
      <c r="ADV30" s="47"/>
      <c r="ADW30" s="47"/>
      <c r="ADX30" s="47"/>
      <c r="ADY30" s="47"/>
      <c r="ADZ30" s="47"/>
      <c r="AEA30" s="47"/>
      <c r="AEB30" s="47"/>
      <c r="AEC30" s="47"/>
      <c r="AED30" s="47"/>
      <c r="AEE30" s="47"/>
      <c r="AEF30" s="47"/>
      <c r="AEG30" s="47"/>
      <c r="AEH30" s="47"/>
      <c r="AEI30" s="47"/>
      <c r="AEJ30" s="47"/>
      <c r="AEK30" s="47"/>
      <c r="AEL30" s="47"/>
      <c r="AEM30" s="47"/>
      <c r="AEN30" s="47"/>
      <c r="AEO30" s="47"/>
      <c r="AEP30" s="47"/>
      <c r="AEQ30" s="47"/>
      <c r="AER30" s="47"/>
      <c r="AES30" s="47"/>
      <c r="AET30" s="47"/>
      <c r="AEU30" s="47"/>
      <c r="AEV30" s="47"/>
      <c r="AEW30" s="47"/>
      <c r="AEX30" s="47"/>
      <c r="AEY30" s="47"/>
      <c r="AEZ30" s="47"/>
      <c r="AFA30" s="47"/>
      <c r="AFB30" s="47"/>
      <c r="AFC30" s="47"/>
      <c r="AFD30" s="47"/>
      <c r="AFE30" s="47"/>
      <c r="AFF30" s="47"/>
      <c r="AFG30" s="47"/>
      <c r="AFH30" s="47"/>
      <c r="AFI30" s="47"/>
      <c r="AFJ30" s="47"/>
      <c r="AFK30" s="47"/>
      <c r="AFL30" s="47"/>
      <c r="AFM30" s="47"/>
      <c r="AFN30" s="47"/>
      <c r="AFO30" s="47"/>
      <c r="AFP30" s="47"/>
      <c r="AFQ30" s="47"/>
      <c r="AFR30" s="47"/>
      <c r="AFS30" s="47"/>
      <c r="AFT30" s="47"/>
      <c r="AFU30" s="47"/>
      <c r="AFV30" s="47"/>
      <c r="AFW30" s="47"/>
      <c r="AFX30" s="47"/>
      <c r="AFY30" s="47"/>
      <c r="AFZ30" s="47"/>
      <c r="AGA30" s="47"/>
      <c r="AGB30" s="47"/>
      <c r="AGC30" s="47"/>
      <c r="AGD30" s="47"/>
      <c r="AGE30" s="47"/>
      <c r="AGF30" s="47"/>
      <c r="AGG30" s="47"/>
      <c r="AGH30" s="47"/>
      <c r="AGI30" s="47"/>
      <c r="AGJ30" s="47"/>
      <c r="AGK30" s="47"/>
      <c r="AGL30" s="47"/>
      <c r="AGM30" s="47"/>
      <c r="AGN30" s="47"/>
      <c r="AGO30" s="47"/>
      <c r="AGP30" s="47"/>
      <c r="AGQ30" s="47"/>
      <c r="AGR30" s="47"/>
      <c r="AGS30" s="47"/>
      <c r="AGT30" s="47"/>
      <c r="AGU30" s="47"/>
      <c r="AGV30" s="47"/>
      <c r="AGW30" s="47"/>
      <c r="AGX30" s="47"/>
      <c r="AGY30" s="47"/>
      <c r="AGZ30" s="47"/>
      <c r="AHA30" s="47"/>
      <c r="AHB30" s="47"/>
      <c r="AHC30" s="47"/>
      <c r="AHD30" s="47"/>
      <c r="AHE30" s="47"/>
      <c r="AHF30" s="47"/>
      <c r="AHG30" s="47"/>
      <c r="AHH30" s="47"/>
      <c r="AHI30" s="47"/>
      <c r="AHJ30" s="47"/>
      <c r="AHK30" s="47"/>
      <c r="AHL30" s="47"/>
      <c r="AHM30" s="47"/>
      <c r="AHN30" s="47"/>
      <c r="AHO30" s="47"/>
      <c r="AHP30" s="47"/>
      <c r="AHQ30" s="47"/>
      <c r="AHR30" s="47"/>
      <c r="AHS30" s="47"/>
      <c r="AHT30" s="47"/>
      <c r="AHU30" s="47"/>
      <c r="AHV30" s="47"/>
      <c r="AHW30" s="47"/>
      <c r="AHX30" s="47"/>
      <c r="AHY30" s="47"/>
      <c r="AHZ30" s="47"/>
      <c r="AIA30" s="47"/>
      <c r="AIB30" s="47"/>
      <c r="AIC30" s="47"/>
      <c r="AID30" s="47"/>
      <c r="AIE30" s="47"/>
      <c r="AIF30" s="47"/>
      <c r="AIG30" s="47"/>
      <c r="AIH30" s="47"/>
      <c r="AII30" s="47"/>
      <c r="AIJ30" s="47"/>
      <c r="AIK30" s="47"/>
      <c r="AIL30" s="47"/>
      <c r="AIM30" s="47"/>
      <c r="AIN30" s="47"/>
      <c r="AIO30" s="47"/>
      <c r="AIP30" s="47"/>
      <c r="AIQ30" s="47"/>
      <c r="AIR30" s="47"/>
      <c r="AIS30" s="47"/>
      <c r="AIT30" s="47"/>
      <c r="AIU30" s="47"/>
      <c r="AIV30" s="47"/>
      <c r="AIW30" s="47"/>
      <c r="AIX30" s="47"/>
      <c r="AIY30" s="47"/>
      <c r="AIZ30" s="47"/>
      <c r="AJA30" s="47"/>
      <c r="AJB30" s="47"/>
      <c r="AJC30" s="47"/>
      <c r="AJD30" s="47"/>
      <c r="AJE30" s="47"/>
      <c r="AJF30" s="47"/>
      <c r="AJG30" s="47"/>
      <c r="AJH30" s="47"/>
      <c r="AJI30" s="47"/>
      <c r="AJJ30" s="47"/>
      <c r="AJK30" s="47"/>
      <c r="AJL30" s="47"/>
      <c r="AJM30" s="47"/>
      <c r="AJN30" s="47"/>
      <c r="AJO30" s="47"/>
      <c r="AJP30" s="47"/>
      <c r="AJQ30" s="47"/>
      <c r="AJR30" s="47"/>
      <c r="AJS30" s="47"/>
      <c r="AJT30" s="47"/>
      <c r="AJU30" s="47"/>
      <c r="AJV30" s="47"/>
      <c r="AJW30" s="47"/>
      <c r="AJX30" s="47"/>
      <c r="AJY30" s="47"/>
      <c r="AJZ30" s="47"/>
      <c r="AKA30" s="47"/>
      <c r="AKB30" s="47"/>
      <c r="AKC30" s="47"/>
      <c r="AKD30" s="47"/>
      <c r="AKE30" s="47"/>
      <c r="AKF30" s="47"/>
      <c r="AKG30" s="47"/>
      <c r="AKH30" s="47"/>
      <c r="AKI30" s="47"/>
      <c r="AKJ30" s="47"/>
      <c r="AKK30" s="47"/>
      <c r="AKL30" s="47"/>
      <c r="AKM30" s="47"/>
      <c r="AKN30" s="47"/>
      <c r="AKO30" s="47"/>
      <c r="AKP30" s="47"/>
      <c r="AKQ30" s="47"/>
      <c r="AKR30" s="47"/>
      <c r="AKS30" s="47"/>
      <c r="AKT30" s="47"/>
      <c r="AKU30" s="47"/>
      <c r="AKV30" s="47"/>
      <c r="AKW30" s="47"/>
      <c r="AKX30" s="47"/>
      <c r="AKY30" s="47"/>
      <c r="AKZ30" s="47"/>
      <c r="ALA30" s="47"/>
      <c r="ALB30" s="47"/>
      <c r="ALC30" s="47"/>
      <c r="ALD30" s="47"/>
      <c r="ALE30" s="47"/>
      <c r="ALF30" s="47"/>
      <c r="ALG30" s="47"/>
      <c r="ALH30" s="47"/>
      <c r="ALI30" s="47"/>
      <c r="ALJ30" s="47"/>
      <c r="ALK30" s="47"/>
      <c r="ALL30" s="47"/>
      <c r="ALM30" s="47"/>
      <c r="ALN30" s="47"/>
      <c r="ALO30" s="47"/>
      <c r="ALP30" s="47"/>
      <c r="ALQ30" s="47"/>
      <c r="ALR30" s="47"/>
      <c r="ALS30" s="47"/>
      <c r="ALT30" s="47"/>
      <c r="ALU30" s="47"/>
      <c r="ALV30" s="47"/>
      <c r="ALW30" s="47"/>
      <c r="ALX30" s="47"/>
      <c r="ALY30" s="47"/>
      <c r="ALZ30" s="47"/>
      <c r="AMA30" s="47"/>
      <c r="AMB30" s="47"/>
      <c r="AMC30" s="47"/>
      <c r="AMD30" s="47"/>
      <c r="AME30" s="47"/>
      <c r="AMF30" s="47"/>
      <c r="AMG30" s="47"/>
      <c r="AMH30" s="47"/>
      <c r="AMI30" s="47"/>
      <c r="AMJ30" s="47"/>
      <c r="AMK30" s="47"/>
      <c r="AML30" s="47"/>
      <c r="AMM30" s="47"/>
      <c r="AMN30" s="47"/>
      <c r="AMO30" s="47"/>
      <c r="AMP30" s="47"/>
      <c r="AMQ30" s="47"/>
      <c r="AMR30" s="47"/>
      <c r="AMS30" s="47"/>
      <c r="AMT30" s="47"/>
      <c r="AMU30" s="47"/>
      <c r="AMV30" s="47"/>
      <c r="AMW30" s="47"/>
      <c r="AMX30" s="47"/>
      <c r="AMY30" s="47"/>
      <c r="AMZ30" s="47"/>
      <c r="ANA30" s="47"/>
      <c r="ANB30" s="47"/>
      <c r="ANC30" s="47"/>
      <c r="AND30" s="47"/>
      <c r="ANE30" s="47"/>
      <c r="ANF30" s="47"/>
      <c r="ANG30" s="47"/>
      <c r="ANH30" s="47"/>
      <c r="ANI30" s="47"/>
      <c r="ANJ30" s="47"/>
      <c r="ANK30" s="47"/>
      <c r="ANL30" s="47"/>
      <c r="ANM30" s="47"/>
      <c r="ANN30" s="47"/>
      <c r="ANO30" s="47"/>
      <c r="ANP30" s="47"/>
      <c r="ANQ30" s="47"/>
      <c r="ANR30" s="47"/>
      <c r="ANS30" s="47"/>
      <c r="ANT30" s="47"/>
      <c r="ANU30" s="47"/>
      <c r="ANV30" s="47"/>
      <c r="ANW30" s="47"/>
      <c r="ANX30" s="47"/>
      <c r="ANY30" s="47"/>
      <c r="ANZ30" s="47"/>
      <c r="AOA30" s="47"/>
      <c r="AOB30" s="47"/>
      <c r="AOC30" s="47"/>
      <c r="AOD30" s="47"/>
      <c r="AOE30" s="47"/>
      <c r="AOF30" s="47"/>
      <c r="AOG30" s="47"/>
      <c r="AOH30" s="47"/>
      <c r="AOI30" s="47"/>
      <c r="AOJ30" s="47"/>
      <c r="AOK30" s="47"/>
      <c r="AOL30" s="47"/>
      <c r="AOM30" s="47"/>
      <c r="AON30" s="47"/>
      <c r="AOO30" s="47"/>
      <c r="AOP30" s="47"/>
      <c r="AOQ30" s="47"/>
      <c r="AOR30" s="47"/>
      <c r="AOS30" s="47"/>
      <c r="AOT30" s="47"/>
      <c r="AOU30" s="47"/>
      <c r="AOV30" s="47"/>
      <c r="AOW30" s="47"/>
      <c r="AOX30" s="47"/>
      <c r="AOY30" s="47"/>
      <c r="AOZ30" s="47"/>
      <c r="APA30" s="47"/>
      <c r="APB30" s="47"/>
      <c r="APC30" s="47"/>
      <c r="APD30" s="47"/>
      <c r="APE30" s="47"/>
      <c r="APF30" s="47"/>
      <c r="APG30" s="47"/>
      <c r="APH30" s="47"/>
      <c r="API30" s="47"/>
      <c r="APJ30" s="47"/>
      <c r="APK30" s="47"/>
      <c r="APL30" s="47"/>
      <c r="APM30" s="47"/>
      <c r="APN30" s="47"/>
      <c r="APO30" s="47"/>
      <c r="APP30" s="47"/>
      <c r="APQ30" s="47"/>
      <c r="APR30" s="47"/>
      <c r="APS30" s="47"/>
      <c r="APT30" s="47"/>
      <c r="APU30" s="47"/>
      <c r="APV30" s="47"/>
      <c r="APW30" s="47"/>
      <c r="APX30" s="47"/>
      <c r="APY30" s="47"/>
      <c r="APZ30" s="47"/>
      <c r="AQA30" s="47"/>
      <c r="AQB30" s="47"/>
      <c r="AQC30" s="47"/>
      <c r="AQD30" s="47"/>
      <c r="AQE30" s="47"/>
      <c r="AQF30" s="47"/>
      <c r="AQG30" s="47"/>
      <c r="AQH30" s="47"/>
      <c r="AQI30" s="47"/>
      <c r="AQJ30" s="47"/>
      <c r="AQK30" s="47"/>
      <c r="AQL30" s="47"/>
      <c r="AQM30" s="47"/>
      <c r="AQN30" s="47"/>
      <c r="AQO30" s="47"/>
      <c r="AQP30" s="47"/>
      <c r="AQQ30" s="47"/>
      <c r="AQR30" s="47"/>
      <c r="AQS30" s="47"/>
      <c r="AQT30" s="47"/>
      <c r="AQU30" s="47"/>
      <c r="AQV30" s="47"/>
      <c r="AQW30" s="47"/>
      <c r="AQX30" s="47"/>
      <c r="AQY30" s="47"/>
      <c r="AQZ30" s="47"/>
      <c r="ARA30" s="47"/>
      <c r="ARB30" s="47"/>
      <c r="ARC30" s="47"/>
      <c r="ARD30" s="47"/>
      <c r="ARE30" s="47"/>
      <c r="ARF30" s="47"/>
      <c r="ARG30" s="47"/>
      <c r="ARH30" s="47"/>
      <c r="ARI30" s="47"/>
      <c r="ARJ30" s="47"/>
      <c r="ARK30" s="47"/>
      <c r="ARL30" s="47"/>
      <c r="ARM30" s="47"/>
      <c r="ARN30" s="47"/>
      <c r="ARO30" s="47"/>
      <c r="ARP30" s="47"/>
      <c r="ARQ30" s="47"/>
      <c r="ARR30" s="47"/>
      <c r="ARS30" s="47"/>
      <c r="ART30" s="47"/>
      <c r="ARU30" s="47"/>
      <c r="ARV30" s="47"/>
      <c r="ARW30" s="47"/>
      <c r="ARX30" s="47"/>
      <c r="ARY30" s="47"/>
      <c r="ARZ30" s="47"/>
      <c r="ASA30" s="47"/>
      <c r="ASB30" s="47"/>
      <c r="ASC30" s="47"/>
      <c r="ASD30" s="47"/>
      <c r="ASE30" s="47"/>
      <c r="ASF30" s="47"/>
      <c r="ASG30" s="47"/>
      <c r="ASH30" s="47"/>
      <c r="ASI30" s="47"/>
      <c r="ASJ30" s="47"/>
      <c r="ASK30" s="47"/>
      <c r="ASL30" s="47"/>
      <c r="ASM30" s="47"/>
      <c r="ASN30" s="47"/>
      <c r="ASO30" s="47"/>
      <c r="ASP30" s="47"/>
      <c r="ASQ30" s="47"/>
      <c r="ASR30" s="47"/>
      <c r="ASS30" s="47"/>
      <c r="AST30" s="47"/>
      <c r="ASU30" s="47"/>
      <c r="ASV30" s="47"/>
      <c r="ASW30" s="47"/>
      <c r="ASX30" s="47"/>
      <c r="ASY30" s="47"/>
      <c r="ASZ30" s="47"/>
      <c r="ATA30" s="47"/>
      <c r="ATB30" s="47"/>
      <c r="ATC30" s="47"/>
      <c r="ATD30" s="47"/>
      <c r="ATE30" s="47"/>
      <c r="ATF30" s="47"/>
      <c r="ATG30" s="47"/>
      <c r="ATH30" s="47"/>
      <c r="ATI30" s="47"/>
      <c r="ATJ30" s="47"/>
      <c r="ATK30" s="47"/>
      <c r="ATL30" s="47"/>
      <c r="ATM30" s="47"/>
      <c r="ATN30" s="47"/>
      <c r="ATO30" s="47"/>
      <c r="ATP30" s="47"/>
      <c r="ATQ30" s="47"/>
      <c r="ATR30" s="47"/>
      <c r="ATS30" s="47"/>
      <c r="ATT30" s="47"/>
      <c r="ATU30" s="47"/>
      <c r="ATV30" s="47"/>
      <c r="ATW30" s="47"/>
      <c r="ATX30" s="47"/>
      <c r="ATY30" s="47"/>
      <c r="ATZ30" s="47"/>
      <c r="AUA30" s="47"/>
      <c r="AUB30" s="47"/>
      <c r="AUC30" s="47"/>
      <c r="AUD30" s="47"/>
      <c r="AUE30" s="47"/>
      <c r="AUF30" s="47"/>
      <c r="AUG30" s="47"/>
      <c r="AUH30" s="47"/>
      <c r="AUI30" s="47"/>
      <c r="AUJ30" s="47"/>
      <c r="AUK30" s="47"/>
      <c r="AUL30" s="47"/>
      <c r="AUM30" s="47"/>
      <c r="AUN30" s="47"/>
      <c r="AUO30" s="47"/>
      <c r="AUP30" s="47"/>
      <c r="AUQ30" s="47"/>
      <c r="AUR30" s="47"/>
      <c r="AUS30" s="47"/>
      <c r="AUT30" s="47"/>
      <c r="AUU30" s="47"/>
      <c r="AUV30" s="47"/>
      <c r="AUW30" s="47"/>
      <c r="AUX30" s="47"/>
      <c r="AUY30" s="47"/>
      <c r="AUZ30" s="47"/>
      <c r="AVA30" s="47"/>
      <c r="AVB30" s="47"/>
      <c r="AVC30" s="47"/>
      <c r="AVD30" s="47"/>
      <c r="AVE30" s="47"/>
      <c r="AVF30" s="47"/>
      <c r="AVG30" s="47"/>
      <c r="AVH30" s="47"/>
      <c r="AVI30" s="47"/>
      <c r="AVJ30" s="47"/>
      <c r="AVK30" s="47"/>
      <c r="AVL30" s="47"/>
      <c r="AVM30" s="47"/>
      <c r="AVN30" s="47"/>
      <c r="AVO30" s="47"/>
      <c r="AVP30" s="47"/>
      <c r="AVQ30" s="47"/>
      <c r="AVR30" s="47"/>
      <c r="AVS30" s="47"/>
      <c r="AVT30" s="47"/>
      <c r="AVU30" s="47"/>
      <c r="AVV30" s="47"/>
      <c r="AVW30" s="47"/>
      <c r="AVX30" s="47"/>
      <c r="AVY30" s="47"/>
      <c r="AVZ30" s="47"/>
      <c r="AWA30" s="47"/>
      <c r="AWB30" s="47"/>
      <c r="AWC30" s="47"/>
      <c r="AWD30" s="47"/>
      <c r="AWE30" s="47"/>
      <c r="AWF30" s="47"/>
      <c r="AWG30" s="47"/>
      <c r="AWH30" s="47"/>
      <c r="AWI30" s="47"/>
      <c r="AWJ30" s="47"/>
      <c r="AWK30" s="47"/>
      <c r="AWL30" s="47"/>
      <c r="AWM30" s="47"/>
      <c r="AWN30" s="47"/>
      <c r="AWO30" s="47"/>
      <c r="AWP30" s="47"/>
      <c r="AWQ30" s="47"/>
      <c r="AWR30" s="47"/>
      <c r="AWS30" s="47"/>
      <c r="AWT30" s="47"/>
      <c r="AWU30" s="47"/>
      <c r="AWV30" s="47"/>
      <c r="AWW30" s="47"/>
      <c r="AWX30" s="47"/>
      <c r="AWY30" s="47"/>
      <c r="AWZ30" s="47"/>
      <c r="AXA30" s="47"/>
      <c r="AXB30" s="47"/>
      <c r="AXC30" s="47"/>
      <c r="AXD30" s="47"/>
      <c r="AXE30" s="47"/>
      <c r="AXF30" s="47"/>
      <c r="AXG30" s="47"/>
      <c r="AXH30" s="47"/>
      <c r="AXI30" s="47"/>
      <c r="AXJ30" s="47"/>
      <c r="AXK30" s="47"/>
      <c r="AXL30" s="47"/>
      <c r="AXM30" s="47"/>
      <c r="AXN30" s="47"/>
      <c r="AXO30" s="47"/>
      <c r="AXP30" s="47"/>
      <c r="AXQ30" s="47"/>
      <c r="AXR30" s="47"/>
      <c r="AXS30" s="47"/>
      <c r="AXT30" s="47"/>
      <c r="AXU30" s="47"/>
      <c r="AXV30" s="47"/>
      <c r="AXW30" s="47"/>
      <c r="AXX30" s="47"/>
      <c r="AXY30" s="47"/>
      <c r="AXZ30" s="47"/>
      <c r="AYA30" s="47"/>
      <c r="AYB30" s="47"/>
      <c r="AYC30" s="47"/>
      <c r="AYD30" s="47"/>
      <c r="AYE30" s="47"/>
      <c r="AYF30" s="47"/>
      <c r="AYG30" s="47"/>
      <c r="AYH30" s="47"/>
      <c r="AYI30" s="47"/>
      <c r="AYJ30" s="47"/>
      <c r="AYK30" s="47"/>
      <c r="AYL30" s="47"/>
      <c r="AYM30" s="47"/>
      <c r="AYN30" s="47"/>
      <c r="AYO30" s="47"/>
      <c r="AYP30" s="47"/>
      <c r="AYQ30" s="47"/>
      <c r="AYR30" s="47"/>
      <c r="AYS30" s="47"/>
      <c r="AYT30" s="47"/>
      <c r="AYU30" s="47"/>
      <c r="AYV30" s="47"/>
      <c r="AYW30" s="47"/>
      <c r="AYX30" s="47"/>
      <c r="AYY30" s="47"/>
      <c r="AYZ30" s="47"/>
      <c r="AZA30" s="47"/>
      <c r="AZB30" s="47"/>
      <c r="AZC30" s="47"/>
      <c r="AZD30" s="47"/>
      <c r="AZE30" s="47"/>
      <c r="AZF30" s="47"/>
      <c r="AZG30" s="47"/>
      <c r="AZH30" s="47"/>
      <c r="AZI30" s="47"/>
      <c r="AZJ30" s="47"/>
      <c r="AZK30" s="47"/>
      <c r="AZL30" s="47"/>
      <c r="AZM30" s="47"/>
      <c r="AZN30" s="47"/>
      <c r="AZO30" s="47"/>
      <c r="AZP30" s="47"/>
      <c r="AZQ30" s="47"/>
      <c r="AZR30" s="47"/>
      <c r="AZS30" s="47"/>
      <c r="AZT30" s="47"/>
      <c r="AZU30" s="47"/>
      <c r="AZV30" s="47"/>
      <c r="AZW30" s="47"/>
      <c r="AZX30" s="47"/>
      <c r="AZY30" s="47"/>
      <c r="AZZ30" s="47"/>
      <c r="BAA30" s="47"/>
      <c r="BAB30" s="47"/>
      <c r="BAC30" s="47"/>
      <c r="BAD30" s="47"/>
      <c r="BAE30" s="47"/>
      <c r="BAF30" s="47"/>
      <c r="BAG30" s="47"/>
      <c r="BAH30" s="47"/>
      <c r="BAI30" s="47"/>
      <c r="BAJ30" s="47"/>
      <c r="BAK30" s="47"/>
      <c r="BAL30" s="47"/>
      <c r="BAM30" s="47"/>
      <c r="BAN30" s="47"/>
      <c r="BAO30" s="47"/>
      <c r="BAP30" s="47"/>
      <c r="BAQ30" s="47"/>
      <c r="BAR30" s="47"/>
      <c r="BAS30" s="47"/>
      <c r="BAT30" s="47"/>
      <c r="BAU30" s="47"/>
      <c r="BAV30" s="47"/>
      <c r="BAW30" s="47"/>
      <c r="BAX30" s="47"/>
      <c r="BAY30" s="47"/>
      <c r="BAZ30" s="47"/>
      <c r="BBA30" s="47"/>
      <c r="BBB30" s="47"/>
      <c r="BBC30" s="47"/>
      <c r="BBD30" s="47"/>
      <c r="BBE30" s="47"/>
      <c r="BBF30" s="47"/>
      <c r="BBG30" s="47"/>
      <c r="BBH30" s="47"/>
      <c r="BBI30" s="47"/>
      <c r="BBJ30" s="47"/>
      <c r="BBK30" s="47"/>
      <c r="BBL30" s="47"/>
      <c r="BBM30" s="47"/>
      <c r="BBN30" s="47"/>
      <c r="BBO30" s="47"/>
      <c r="BBP30" s="47"/>
      <c r="BBQ30" s="47"/>
      <c r="BBR30" s="47"/>
      <c r="BBS30" s="47"/>
      <c r="BBT30" s="47"/>
      <c r="BBU30" s="47"/>
      <c r="BBV30" s="47"/>
      <c r="BBW30" s="47"/>
      <c r="BBX30" s="47"/>
      <c r="BBY30" s="47"/>
      <c r="BBZ30" s="47"/>
      <c r="BCA30" s="47"/>
      <c r="BCB30" s="47"/>
      <c r="BCC30" s="47"/>
      <c r="BCD30" s="47"/>
      <c r="BCE30" s="47"/>
      <c r="BCF30" s="47"/>
      <c r="BCG30" s="47"/>
      <c r="BCH30" s="47"/>
      <c r="BCI30" s="47"/>
      <c r="BCJ30" s="47"/>
      <c r="BCK30" s="47"/>
      <c r="BCL30" s="47"/>
      <c r="BCM30" s="47"/>
      <c r="BCN30" s="47"/>
      <c r="BCO30" s="47"/>
      <c r="BCP30" s="47"/>
      <c r="BCQ30" s="47"/>
      <c r="BCR30" s="47"/>
      <c r="BCS30" s="47"/>
      <c r="BCT30" s="47"/>
      <c r="BCU30" s="47"/>
      <c r="BCV30" s="47"/>
      <c r="BCW30" s="47"/>
      <c r="BCX30" s="47"/>
      <c r="BCY30" s="47"/>
      <c r="BCZ30" s="47"/>
      <c r="BDA30" s="47"/>
      <c r="BDB30" s="47"/>
      <c r="BDC30" s="47"/>
      <c r="BDD30" s="47"/>
      <c r="BDE30" s="47"/>
      <c r="BDF30" s="47"/>
      <c r="BDG30" s="47"/>
      <c r="BDH30" s="47"/>
      <c r="BDI30" s="47"/>
      <c r="BDJ30" s="47"/>
      <c r="BDK30" s="47"/>
      <c r="BDL30" s="47"/>
      <c r="BDM30" s="47"/>
      <c r="BDN30" s="47"/>
      <c r="BDO30" s="47"/>
      <c r="BDP30" s="47"/>
      <c r="BDQ30" s="47"/>
      <c r="BDR30" s="47"/>
      <c r="BDS30" s="47"/>
      <c r="BDT30" s="47"/>
      <c r="BDU30" s="47"/>
      <c r="BDV30" s="47"/>
      <c r="BDW30" s="47"/>
      <c r="BDX30" s="47"/>
      <c r="BDY30" s="47"/>
      <c r="BDZ30" s="47"/>
      <c r="BEA30" s="47"/>
      <c r="BEB30" s="47"/>
      <c r="BEC30" s="47"/>
      <c r="BED30" s="47"/>
      <c r="BEE30" s="47"/>
      <c r="BEF30" s="47"/>
      <c r="BEG30" s="47"/>
      <c r="BEH30" s="47"/>
      <c r="BEI30" s="47"/>
      <c r="BEJ30" s="47"/>
      <c r="BEK30" s="47"/>
      <c r="BEL30" s="47"/>
      <c r="BEM30" s="47"/>
      <c r="BEN30" s="47"/>
      <c r="BEO30" s="47"/>
      <c r="BEP30" s="47"/>
      <c r="BEQ30" s="47"/>
      <c r="BER30" s="47"/>
      <c r="BES30" s="47"/>
      <c r="BET30" s="47"/>
      <c r="BEU30" s="47"/>
      <c r="BEV30" s="47"/>
      <c r="BEW30" s="47"/>
      <c r="BEX30" s="47"/>
      <c r="BEY30" s="47"/>
      <c r="BEZ30" s="47"/>
      <c r="BFA30" s="47"/>
      <c r="BFB30" s="47"/>
      <c r="BFC30" s="47"/>
      <c r="BFD30" s="47"/>
      <c r="BFE30" s="47"/>
      <c r="BFF30" s="47"/>
      <c r="BFG30" s="47"/>
      <c r="BFH30" s="47"/>
      <c r="BFI30" s="47"/>
      <c r="BFJ30" s="47"/>
      <c r="BFK30" s="47"/>
      <c r="BFL30" s="47"/>
      <c r="BFM30" s="47"/>
      <c r="BFN30" s="47"/>
      <c r="BFO30" s="47"/>
      <c r="BFP30" s="47"/>
      <c r="BFQ30" s="47"/>
      <c r="BFR30" s="47"/>
      <c r="BFS30" s="47"/>
      <c r="BFT30" s="47"/>
      <c r="BFU30" s="47"/>
      <c r="BFV30" s="47"/>
      <c r="BFW30" s="47"/>
      <c r="BFX30" s="47"/>
      <c r="BFY30" s="47"/>
      <c r="BFZ30" s="47"/>
      <c r="BGA30" s="47"/>
      <c r="BGB30" s="47"/>
      <c r="BGC30" s="47"/>
      <c r="BGD30" s="47"/>
      <c r="BGE30" s="47"/>
      <c r="BGF30" s="47"/>
      <c r="BGG30" s="47"/>
      <c r="BGH30" s="47"/>
      <c r="BGI30" s="47"/>
      <c r="BGJ30" s="47"/>
      <c r="BGK30" s="47"/>
      <c r="BGL30" s="47"/>
      <c r="BGM30" s="47"/>
      <c r="BGN30" s="47"/>
      <c r="BGO30" s="47"/>
      <c r="BGP30" s="47"/>
      <c r="BGQ30" s="47"/>
      <c r="BGR30" s="47"/>
      <c r="BGS30" s="47"/>
      <c r="BGT30" s="47"/>
      <c r="BGU30" s="47"/>
      <c r="BGV30" s="47"/>
      <c r="BGW30" s="47"/>
      <c r="BGX30" s="47"/>
      <c r="BGY30" s="47"/>
      <c r="BGZ30" s="47"/>
      <c r="BHA30" s="47"/>
      <c r="BHB30" s="47"/>
      <c r="BHC30" s="47"/>
      <c r="BHD30" s="47"/>
      <c r="BHE30" s="47"/>
      <c r="BHF30" s="47"/>
      <c r="BHG30" s="47"/>
      <c r="BHH30" s="47"/>
      <c r="BHI30" s="47"/>
      <c r="BHJ30" s="47"/>
      <c r="BHK30" s="47"/>
      <c r="BHL30" s="47"/>
      <c r="BHM30" s="47"/>
      <c r="BHN30" s="47"/>
      <c r="BHO30" s="47"/>
      <c r="BHP30" s="47"/>
      <c r="BHQ30" s="47"/>
      <c r="BHR30" s="47"/>
      <c r="BHS30" s="47"/>
      <c r="BHT30" s="47"/>
      <c r="BHU30" s="47"/>
      <c r="BHV30" s="47"/>
      <c r="BHW30" s="47"/>
      <c r="BHX30" s="47"/>
      <c r="BHY30" s="47"/>
      <c r="BHZ30" s="47"/>
      <c r="BIA30" s="47"/>
      <c r="BIB30" s="47"/>
      <c r="BIC30" s="47"/>
      <c r="BID30" s="47"/>
      <c r="BIE30" s="47"/>
      <c r="BIF30" s="47"/>
      <c r="BIG30" s="47"/>
      <c r="BIH30" s="47"/>
      <c r="BII30" s="47"/>
      <c r="BIJ30" s="47"/>
      <c r="BIK30" s="47"/>
      <c r="BIL30" s="47"/>
      <c r="BIM30" s="47"/>
      <c r="BIN30" s="47"/>
      <c r="BIO30" s="47"/>
      <c r="BIP30" s="47"/>
      <c r="BIQ30" s="47"/>
      <c r="BIR30" s="47"/>
      <c r="BIS30" s="47"/>
      <c r="BIT30" s="47"/>
      <c r="BIU30" s="47"/>
      <c r="BIV30" s="47"/>
      <c r="BIW30" s="47"/>
      <c r="BIX30" s="47"/>
      <c r="BIY30" s="47"/>
      <c r="BIZ30" s="47"/>
      <c r="BJA30" s="47"/>
      <c r="BJB30" s="47"/>
      <c r="BJC30" s="47"/>
      <c r="BJD30" s="47"/>
      <c r="BJE30" s="47"/>
      <c r="BJF30" s="47"/>
      <c r="BJG30" s="47"/>
      <c r="BJH30" s="47"/>
      <c r="BJI30" s="47"/>
      <c r="BJJ30" s="47"/>
      <c r="BJK30" s="47"/>
      <c r="BJL30" s="47"/>
      <c r="BJM30" s="47"/>
      <c r="BJN30" s="47"/>
      <c r="BJO30" s="47"/>
      <c r="BJP30" s="47"/>
      <c r="BJQ30" s="47"/>
      <c r="BJR30" s="47"/>
      <c r="BJS30" s="47"/>
      <c r="BJT30" s="47"/>
      <c r="BJU30" s="47"/>
      <c r="BJV30" s="47"/>
      <c r="BJW30" s="47"/>
      <c r="BJX30" s="47"/>
      <c r="BJY30" s="47"/>
      <c r="BJZ30" s="47"/>
      <c r="BKA30" s="47"/>
      <c r="BKB30" s="47"/>
      <c r="BKC30" s="47"/>
      <c r="BKD30" s="47"/>
      <c r="BKE30" s="47"/>
      <c r="BKF30" s="47"/>
      <c r="BKG30" s="47"/>
      <c r="BKH30" s="47"/>
      <c r="BKI30" s="47"/>
      <c r="BKJ30" s="47"/>
      <c r="BKK30" s="47"/>
      <c r="BKL30" s="47"/>
      <c r="BKM30" s="47"/>
      <c r="BKN30" s="47"/>
      <c r="BKO30" s="47"/>
      <c r="BKP30" s="47"/>
      <c r="BKQ30" s="47"/>
      <c r="BKR30" s="47"/>
      <c r="BKS30" s="47"/>
      <c r="BKT30" s="47"/>
      <c r="BKU30" s="47"/>
      <c r="BKV30" s="47"/>
      <c r="BKW30" s="47"/>
      <c r="BKX30" s="47"/>
      <c r="BKY30" s="47"/>
      <c r="BKZ30" s="47"/>
      <c r="BLA30" s="47"/>
      <c r="BLB30" s="47"/>
      <c r="BLC30" s="47"/>
      <c r="BLD30" s="47"/>
      <c r="BLE30" s="47"/>
      <c r="BLF30" s="47"/>
      <c r="BLG30" s="47"/>
      <c r="BLH30" s="47"/>
      <c r="BLI30" s="47"/>
      <c r="BLJ30" s="47"/>
      <c r="BLK30" s="47"/>
      <c r="BLL30" s="47"/>
      <c r="BLM30" s="47"/>
      <c r="BLN30" s="47"/>
      <c r="BLO30" s="47"/>
      <c r="BLP30" s="47"/>
      <c r="BLQ30" s="47"/>
      <c r="BLR30" s="47"/>
      <c r="BLS30" s="47"/>
      <c r="BLT30" s="47"/>
      <c r="BLU30" s="47"/>
      <c r="BLV30" s="47"/>
      <c r="BLW30" s="47"/>
      <c r="BLX30" s="47"/>
      <c r="BLY30" s="47"/>
      <c r="BLZ30" s="47"/>
      <c r="BMA30" s="47"/>
      <c r="BMB30" s="47"/>
      <c r="BMC30" s="47"/>
      <c r="BMD30" s="47"/>
      <c r="BME30" s="47"/>
      <c r="BMF30" s="47"/>
      <c r="BMG30" s="47"/>
      <c r="BMH30" s="47"/>
      <c r="BMI30" s="47"/>
      <c r="BMJ30" s="47"/>
      <c r="BMK30" s="47"/>
      <c r="BML30" s="47"/>
      <c r="BMM30" s="47"/>
      <c r="BMN30" s="47"/>
      <c r="BMO30" s="47"/>
      <c r="BMP30" s="47"/>
      <c r="BMQ30" s="47"/>
      <c r="BMR30" s="47"/>
      <c r="BMS30" s="47"/>
      <c r="BMT30" s="47"/>
      <c r="BMU30" s="47"/>
      <c r="BMV30" s="47"/>
      <c r="BMW30" s="47"/>
      <c r="BMX30" s="47"/>
      <c r="BMY30" s="47"/>
      <c r="BMZ30" s="47"/>
      <c r="BNA30" s="47"/>
      <c r="BNB30" s="47"/>
      <c r="BNC30" s="47"/>
      <c r="BND30" s="47"/>
      <c r="BNE30" s="47"/>
      <c r="BNF30" s="47"/>
      <c r="BNG30" s="47"/>
      <c r="BNH30" s="47"/>
      <c r="BNI30" s="47"/>
      <c r="BNJ30" s="47"/>
      <c r="BNK30" s="47"/>
      <c r="BNL30" s="47"/>
      <c r="BNM30" s="47"/>
      <c r="BNN30" s="47"/>
      <c r="BNO30" s="47"/>
      <c r="BNP30" s="47"/>
      <c r="BNQ30" s="47"/>
      <c r="BNR30" s="47"/>
      <c r="BNS30" s="47"/>
      <c r="BNT30" s="47"/>
      <c r="BNU30" s="47"/>
      <c r="BNV30" s="47"/>
      <c r="BNW30" s="47"/>
      <c r="BNX30" s="47"/>
      <c r="BNY30" s="47"/>
      <c r="BNZ30" s="47"/>
      <c r="BOA30" s="47"/>
      <c r="BOB30" s="47"/>
      <c r="BOC30" s="47"/>
      <c r="BOD30" s="47"/>
      <c r="BOE30" s="47"/>
      <c r="BOF30" s="47"/>
      <c r="BOG30" s="47"/>
      <c r="BOH30" s="47"/>
      <c r="BOI30" s="47"/>
      <c r="BOJ30" s="47"/>
      <c r="BOK30" s="47"/>
      <c r="BOL30" s="47"/>
      <c r="BOM30" s="47"/>
      <c r="BON30" s="47"/>
      <c r="BOO30" s="47"/>
      <c r="BOP30" s="47"/>
      <c r="BOQ30" s="47"/>
      <c r="BOR30" s="47"/>
      <c r="BOS30" s="47"/>
      <c r="BOT30" s="47"/>
      <c r="BOU30" s="47"/>
      <c r="BOV30" s="47"/>
      <c r="BOW30" s="47"/>
      <c r="BOX30" s="47"/>
      <c r="BOY30" s="47"/>
      <c r="BOZ30" s="47"/>
      <c r="BPA30" s="47"/>
      <c r="BPB30" s="47"/>
      <c r="BPC30" s="47"/>
      <c r="BPD30" s="47"/>
      <c r="BPE30" s="47"/>
      <c r="BPF30" s="47"/>
      <c r="BPG30" s="47"/>
      <c r="BPH30" s="47"/>
      <c r="BPI30" s="47"/>
      <c r="BPJ30" s="47"/>
      <c r="BPK30" s="47"/>
      <c r="BPL30" s="47"/>
      <c r="BPM30" s="47"/>
      <c r="BPN30" s="47"/>
      <c r="BPO30" s="47"/>
      <c r="BPP30" s="47"/>
      <c r="BPQ30" s="47"/>
      <c r="BPR30" s="47"/>
      <c r="BPS30" s="47"/>
      <c r="BPT30" s="47"/>
      <c r="BPU30" s="47"/>
      <c r="BPV30" s="47"/>
      <c r="BPW30" s="47"/>
      <c r="BPX30" s="47"/>
      <c r="BPY30" s="47"/>
      <c r="BPZ30" s="47"/>
      <c r="BQA30" s="47"/>
      <c r="BQB30" s="47"/>
      <c r="BQC30" s="47"/>
      <c r="BQD30" s="47"/>
      <c r="BQE30" s="47"/>
      <c r="BQF30" s="47"/>
      <c r="BQG30" s="47"/>
      <c r="BQH30" s="47"/>
      <c r="BQI30" s="47"/>
      <c r="BQJ30" s="47"/>
      <c r="BQK30" s="47"/>
      <c r="BQL30" s="47"/>
      <c r="BQM30" s="47"/>
      <c r="BQN30" s="47"/>
      <c r="BQO30" s="47"/>
      <c r="BQP30" s="47"/>
      <c r="BQQ30" s="47"/>
      <c r="BQR30" s="47"/>
      <c r="BQS30" s="47"/>
      <c r="BQT30" s="47"/>
      <c r="BQU30" s="47"/>
      <c r="BQV30" s="47"/>
      <c r="BQW30" s="47"/>
      <c r="BQX30" s="47"/>
      <c r="BQY30" s="47"/>
      <c r="BQZ30" s="47"/>
      <c r="BRA30" s="47"/>
      <c r="BRB30" s="47"/>
      <c r="BRC30" s="47"/>
      <c r="BRD30" s="47"/>
      <c r="BRE30" s="47"/>
      <c r="BRF30" s="47"/>
      <c r="BRG30" s="47"/>
      <c r="BRH30" s="47"/>
      <c r="BRI30" s="47"/>
      <c r="BRJ30" s="47"/>
      <c r="BRK30" s="47"/>
      <c r="BRL30" s="47"/>
      <c r="BRM30" s="47"/>
      <c r="BRN30" s="47"/>
      <c r="BRO30" s="47"/>
      <c r="BRP30" s="47"/>
      <c r="BRQ30" s="47"/>
      <c r="BRR30" s="47"/>
      <c r="BRS30" s="47"/>
      <c r="BRT30" s="47"/>
      <c r="BRU30" s="47"/>
      <c r="BRV30" s="47"/>
      <c r="BRW30" s="47"/>
      <c r="BRX30" s="47"/>
      <c r="BRY30" s="47"/>
      <c r="BRZ30" s="47"/>
      <c r="BSA30" s="47"/>
      <c r="BSB30" s="47"/>
      <c r="BSC30" s="47"/>
      <c r="BSD30" s="47"/>
      <c r="BSE30" s="47"/>
      <c r="BSF30" s="47"/>
      <c r="BSG30" s="47"/>
      <c r="BSH30" s="47"/>
      <c r="BSI30" s="47"/>
      <c r="BSJ30" s="47"/>
      <c r="BSK30" s="47"/>
      <c r="BSL30" s="47"/>
      <c r="BSM30" s="47"/>
      <c r="BSN30" s="47"/>
      <c r="BSO30" s="47"/>
      <c r="BSP30" s="47"/>
      <c r="BSQ30" s="47"/>
      <c r="BSR30" s="47"/>
      <c r="BSS30" s="47"/>
      <c r="BST30" s="47"/>
      <c r="BSU30" s="47"/>
      <c r="BSV30" s="47"/>
      <c r="BSW30" s="47"/>
      <c r="BSX30" s="47"/>
      <c r="BSY30" s="47"/>
      <c r="BSZ30" s="47"/>
      <c r="BTA30" s="47"/>
      <c r="BTB30" s="47"/>
      <c r="BTC30" s="47"/>
      <c r="BTD30" s="47"/>
      <c r="BTE30" s="47"/>
      <c r="BTF30" s="47"/>
      <c r="BTG30" s="47"/>
      <c r="BTH30" s="47"/>
      <c r="BTI30" s="47"/>
      <c r="BTJ30" s="47"/>
      <c r="BTK30" s="47"/>
      <c r="BTL30" s="47"/>
      <c r="BTM30" s="47"/>
      <c r="BTN30" s="47"/>
      <c r="BTO30" s="47"/>
      <c r="BTP30" s="47"/>
      <c r="BTQ30" s="47"/>
      <c r="BTR30" s="47"/>
      <c r="BTS30" s="47"/>
      <c r="BTT30" s="47"/>
      <c r="BTU30" s="47"/>
      <c r="BTV30" s="47"/>
      <c r="BTW30" s="47"/>
      <c r="BTX30" s="47"/>
      <c r="BTY30" s="47"/>
      <c r="BTZ30" s="47"/>
      <c r="BUA30" s="47"/>
      <c r="BUB30" s="47"/>
      <c r="BUC30" s="47"/>
      <c r="BUD30" s="47"/>
      <c r="BUE30" s="47"/>
      <c r="BUF30" s="47"/>
      <c r="BUG30" s="47"/>
      <c r="BUH30" s="47"/>
      <c r="BUI30" s="47"/>
      <c r="BUJ30" s="47"/>
      <c r="BUK30" s="47"/>
      <c r="BUL30" s="47"/>
      <c r="BUM30" s="47"/>
      <c r="BUN30" s="47"/>
      <c r="BUO30" s="47"/>
      <c r="BUP30" s="47"/>
      <c r="BUQ30" s="47"/>
      <c r="BUR30" s="47"/>
      <c r="BUS30" s="47"/>
      <c r="BUT30" s="47"/>
      <c r="BUU30" s="47"/>
      <c r="BUV30" s="47"/>
      <c r="BUW30" s="47"/>
      <c r="BUX30" s="47"/>
      <c r="BUY30" s="47"/>
      <c r="BUZ30" s="47"/>
      <c r="BVA30" s="47"/>
      <c r="BVB30" s="47"/>
      <c r="BVC30" s="47"/>
      <c r="BVD30" s="47"/>
      <c r="BVE30" s="47"/>
      <c r="BVF30" s="47"/>
      <c r="BVG30" s="47"/>
      <c r="BVH30" s="47"/>
      <c r="BVI30" s="47"/>
      <c r="BVJ30" s="47"/>
      <c r="BVK30" s="47"/>
      <c r="BVL30" s="47"/>
      <c r="BVM30" s="47"/>
      <c r="BVN30" s="47"/>
      <c r="BVO30" s="47"/>
      <c r="BVP30" s="47"/>
      <c r="BVQ30" s="47"/>
      <c r="BVR30" s="47"/>
      <c r="BVS30" s="47"/>
      <c r="BVT30" s="47"/>
      <c r="BVU30" s="47"/>
      <c r="BVV30" s="47"/>
      <c r="BVW30" s="47"/>
      <c r="BVX30" s="47"/>
      <c r="BVY30" s="47"/>
      <c r="BVZ30" s="47"/>
      <c r="BWA30" s="47"/>
      <c r="BWB30" s="47"/>
      <c r="BWC30" s="47"/>
      <c r="BWD30" s="47"/>
      <c r="BWE30" s="47"/>
      <c r="BWF30" s="47"/>
      <c r="BWG30" s="47"/>
      <c r="BWH30" s="47"/>
      <c r="BWI30" s="47"/>
      <c r="BWJ30" s="47"/>
      <c r="BWK30" s="47"/>
      <c r="BWL30" s="47"/>
      <c r="BWM30" s="47"/>
      <c r="BWN30" s="47"/>
      <c r="BWO30" s="47"/>
      <c r="BWP30" s="47"/>
      <c r="BWQ30" s="47"/>
      <c r="BWR30" s="47"/>
      <c r="BWS30" s="47"/>
      <c r="BWT30" s="47"/>
      <c r="BWU30" s="47"/>
      <c r="BWV30" s="47"/>
      <c r="BWW30" s="47"/>
      <c r="BWX30" s="47"/>
      <c r="BWY30" s="47"/>
      <c r="BWZ30" s="47"/>
      <c r="BXA30" s="47"/>
      <c r="BXB30" s="47"/>
      <c r="BXC30" s="47"/>
      <c r="BXD30" s="47"/>
      <c r="BXE30" s="47"/>
      <c r="BXF30" s="47"/>
      <c r="BXG30" s="47"/>
      <c r="BXH30" s="47"/>
      <c r="BXI30" s="47"/>
      <c r="BXJ30" s="47"/>
      <c r="BXK30" s="47"/>
      <c r="BXL30" s="47"/>
      <c r="BXM30" s="47"/>
      <c r="BXN30" s="47"/>
      <c r="BXO30" s="47"/>
      <c r="BXP30" s="47"/>
      <c r="BXQ30" s="47"/>
      <c r="BXR30" s="47"/>
      <c r="BXS30" s="47"/>
      <c r="BXT30" s="47"/>
      <c r="BXU30" s="47"/>
      <c r="BXV30" s="47"/>
      <c r="BXW30" s="47"/>
      <c r="BXX30" s="47"/>
      <c r="BXY30" s="47"/>
      <c r="BXZ30" s="47"/>
      <c r="BYA30" s="47"/>
      <c r="BYB30" s="47"/>
      <c r="BYC30" s="47"/>
      <c r="BYD30" s="47"/>
      <c r="BYE30" s="47"/>
      <c r="BYF30" s="47"/>
      <c r="BYG30" s="47"/>
      <c r="BYH30" s="47"/>
      <c r="BYI30" s="47"/>
      <c r="BYJ30" s="47"/>
      <c r="BYK30" s="47"/>
      <c r="BYL30" s="47"/>
      <c r="BYM30" s="47"/>
      <c r="BYN30" s="47"/>
      <c r="BYO30" s="47"/>
      <c r="BYP30" s="47"/>
      <c r="BYQ30" s="47"/>
      <c r="BYR30" s="47"/>
      <c r="BYS30" s="47"/>
      <c r="BYT30" s="47"/>
      <c r="BYU30" s="47"/>
      <c r="BYV30" s="47"/>
      <c r="BYW30" s="47"/>
      <c r="BYX30" s="47"/>
      <c r="BYY30" s="47"/>
      <c r="BYZ30" s="47"/>
      <c r="BZA30" s="47"/>
      <c r="BZB30" s="47"/>
      <c r="BZC30" s="47"/>
      <c r="BZD30" s="47"/>
      <c r="BZE30" s="47"/>
      <c r="BZF30" s="47"/>
      <c r="BZG30" s="47"/>
      <c r="BZH30" s="47"/>
      <c r="BZI30" s="47"/>
      <c r="BZJ30" s="47"/>
      <c r="BZK30" s="47"/>
      <c r="BZL30" s="47"/>
      <c r="BZM30" s="47"/>
      <c r="BZN30" s="47"/>
      <c r="BZO30" s="47"/>
      <c r="BZP30" s="47"/>
      <c r="BZQ30" s="47"/>
      <c r="BZR30" s="47"/>
      <c r="BZS30" s="47"/>
      <c r="BZT30" s="47"/>
      <c r="BZU30" s="47"/>
      <c r="BZV30" s="47"/>
      <c r="BZW30" s="47"/>
      <c r="BZX30" s="47"/>
      <c r="BZY30" s="47"/>
      <c r="BZZ30" s="47"/>
      <c r="CAA30" s="47"/>
      <c r="CAB30" s="47"/>
      <c r="CAC30" s="47"/>
      <c r="CAD30" s="47"/>
      <c r="CAE30" s="47"/>
      <c r="CAF30" s="47"/>
      <c r="CAG30" s="47"/>
      <c r="CAH30" s="47"/>
      <c r="CAI30" s="47"/>
      <c r="CAJ30" s="47"/>
      <c r="CAK30" s="47"/>
      <c r="CAL30" s="47"/>
      <c r="CAM30" s="47"/>
      <c r="CAN30" s="47"/>
      <c r="CAO30" s="47"/>
      <c r="CAP30" s="47"/>
      <c r="CAQ30" s="47"/>
      <c r="CAR30" s="47"/>
      <c r="CAS30" s="47"/>
      <c r="CAT30" s="47"/>
      <c r="CAU30" s="47"/>
      <c r="CAV30" s="47"/>
      <c r="CAW30" s="47"/>
      <c r="CAX30" s="47"/>
      <c r="CAY30" s="47"/>
      <c r="CAZ30" s="47"/>
      <c r="CBA30" s="47"/>
      <c r="CBB30" s="47"/>
      <c r="CBC30" s="47"/>
      <c r="CBD30" s="47"/>
      <c r="CBE30" s="47"/>
      <c r="CBF30" s="47"/>
      <c r="CBG30" s="47"/>
      <c r="CBH30" s="47"/>
      <c r="CBI30" s="47"/>
      <c r="CBJ30" s="47"/>
      <c r="CBK30" s="47"/>
      <c r="CBL30" s="47"/>
      <c r="CBM30" s="47"/>
      <c r="CBN30" s="47"/>
      <c r="CBO30" s="47"/>
      <c r="CBP30" s="47"/>
      <c r="CBQ30" s="47"/>
      <c r="CBR30" s="47"/>
      <c r="CBS30" s="47"/>
      <c r="CBT30" s="47"/>
      <c r="CBU30" s="47"/>
      <c r="CBV30" s="47"/>
      <c r="CBW30" s="47"/>
      <c r="CBX30" s="47"/>
      <c r="CBY30" s="47"/>
      <c r="CBZ30" s="47"/>
      <c r="CCA30" s="47"/>
      <c r="CCB30" s="47"/>
      <c r="CCC30" s="47"/>
      <c r="CCD30" s="47"/>
      <c r="CCE30" s="47"/>
      <c r="CCF30" s="47"/>
      <c r="CCG30" s="47"/>
      <c r="CCH30" s="47"/>
      <c r="CCI30" s="47"/>
      <c r="CCJ30" s="47"/>
      <c r="CCK30" s="47"/>
      <c r="CCL30" s="47"/>
      <c r="CCM30" s="47"/>
      <c r="CCN30" s="47"/>
      <c r="CCO30" s="47"/>
      <c r="CCP30" s="47"/>
      <c r="CCQ30" s="47"/>
      <c r="CCR30" s="47"/>
      <c r="CCS30" s="47"/>
      <c r="CCT30" s="47"/>
      <c r="CCU30" s="47"/>
      <c r="CCV30" s="47"/>
      <c r="CCW30" s="47"/>
      <c r="CCX30" s="47"/>
      <c r="CCY30" s="47"/>
      <c r="CCZ30" s="47"/>
      <c r="CDA30" s="47"/>
      <c r="CDB30" s="47"/>
      <c r="CDC30" s="47"/>
      <c r="CDD30" s="47"/>
      <c r="CDE30" s="47"/>
      <c r="CDF30" s="47"/>
      <c r="CDG30" s="47"/>
      <c r="CDH30" s="47"/>
      <c r="CDI30" s="47"/>
      <c r="CDJ30" s="47"/>
      <c r="CDK30" s="47"/>
      <c r="CDL30" s="47"/>
      <c r="CDM30" s="47"/>
      <c r="CDN30" s="47"/>
      <c r="CDO30" s="47"/>
      <c r="CDP30" s="47"/>
      <c r="CDQ30" s="47"/>
      <c r="CDR30" s="47"/>
      <c r="CDS30" s="47"/>
      <c r="CDT30" s="47"/>
      <c r="CDU30" s="47"/>
      <c r="CDV30" s="47"/>
      <c r="CDW30" s="47"/>
      <c r="CDX30" s="47"/>
      <c r="CDY30" s="47"/>
      <c r="CDZ30" s="47"/>
      <c r="CEA30" s="47"/>
      <c r="CEB30" s="47"/>
      <c r="CEC30" s="47"/>
      <c r="CED30" s="47"/>
      <c r="CEE30" s="47"/>
      <c r="CEF30" s="47"/>
      <c r="CEG30" s="47"/>
      <c r="CEH30" s="47"/>
      <c r="CEI30" s="47"/>
      <c r="CEJ30" s="47"/>
      <c r="CEK30" s="47"/>
      <c r="CEL30" s="47"/>
      <c r="CEM30" s="47"/>
      <c r="CEN30" s="47"/>
      <c r="CEO30" s="47"/>
      <c r="CEP30" s="47"/>
      <c r="CEQ30" s="47"/>
      <c r="CER30" s="47"/>
      <c r="CES30" s="47"/>
      <c r="CET30" s="47"/>
      <c r="CEU30" s="47"/>
      <c r="CEV30" s="47"/>
      <c r="CEW30" s="47"/>
      <c r="CEX30" s="47"/>
      <c r="CEY30" s="47"/>
      <c r="CEZ30" s="47"/>
      <c r="CFA30" s="47"/>
      <c r="CFB30" s="47"/>
      <c r="CFC30" s="47"/>
      <c r="CFD30" s="47"/>
      <c r="CFE30" s="47"/>
      <c r="CFF30" s="47"/>
      <c r="CFG30" s="47"/>
      <c r="CFH30" s="47"/>
      <c r="CFI30" s="47"/>
      <c r="CFJ30" s="47"/>
      <c r="CFK30" s="47"/>
      <c r="CFL30" s="47"/>
      <c r="CFM30" s="47"/>
      <c r="CFN30" s="47"/>
      <c r="CFO30" s="47"/>
      <c r="CFP30" s="47"/>
      <c r="CFQ30" s="47"/>
      <c r="CFR30" s="47"/>
      <c r="CFS30" s="47"/>
      <c r="CFT30" s="47"/>
      <c r="CFU30" s="47"/>
      <c r="CFV30" s="47"/>
      <c r="CFW30" s="47"/>
      <c r="CFX30" s="47"/>
      <c r="CFY30" s="47"/>
      <c r="CFZ30" s="47"/>
      <c r="CGA30" s="47"/>
      <c r="CGB30" s="47"/>
      <c r="CGC30" s="47"/>
      <c r="CGD30" s="47"/>
      <c r="CGE30" s="47"/>
      <c r="CGF30" s="47"/>
      <c r="CGG30" s="47"/>
      <c r="CGH30" s="47"/>
      <c r="CGI30" s="47"/>
      <c r="CGJ30" s="47"/>
      <c r="CGK30" s="47"/>
      <c r="CGL30" s="47"/>
      <c r="CGM30" s="47"/>
      <c r="CGN30" s="47"/>
      <c r="CGO30" s="47"/>
      <c r="CGP30" s="47"/>
      <c r="CGQ30" s="47"/>
      <c r="CGR30" s="47"/>
      <c r="CGS30" s="47"/>
      <c r="CGT30" s="47"/>
      <c r="CGU30" s="47"/>
      <c r="CGV30" s="47"/>
      <c r="CGW30" s="47"/>
      <c r="CGX30" s="47"/>
      <c r="CGY30" s="47"/>
      <c r="CGZ30" s="47"/>
      <c r="CHA30" s="47"/>
      <c r="CHB30" s="47"/>
      <c r="CHC30" s="47"/>
      <c r="CHD30" s="47"/>
      <c r="CHE30" s="47"/>
      <c r="CHF30" s="47"/>
      <c r="CHG30" s="47"/>
      <c r="CHH30" s="47"/>
      <c r="CHI30" s="47"/>
      <c r="CHJ30" s="47"/>
      <c r="CHK30" s="47"/>
      <c r="CHL30" s="47"/>
      <c r="CHM30" s="47"/>
      <c r="CHN30" s="47"/>
      <c r="CHO30" s="47"/>
      <c r="CHP30" s="47"/>
      <c r="CHQ30" s="47"/>
      <c r="CHR30" s="47"/>
      <c r="CHS30" s="47"/>
      <c r="CHT30" s="47"/>
      <c r="CHU30" s="47"/>
      <c r="CHV30" s="47"/>
      <c r="CHW30" s="47"/>
      <c r="CHX30" s="47"/>
      <c r="CHY30" s="47"/>
      <c r="CHZ30" s="47"/>
      <c r="CIA30" s="47"/>
      <c r="CIB30" s="47"/>
      <c r="CIC30" s="47"/>
      <c r="CID30" s="47"/>
      <c r="CIE30" s="47"/>
      <c r="CIF30" s="47"/>
      <c r="CIG30" s="47"/>
      <c r="CIH30" s="47"/>
      <c r="CII30" s="47"/>
      <c r="CIJ30" s="47"/>
      <c r="CIK30" s="47"/>
      <c r="CIL30" s="47"/>
      <c r="CIM30" s="47"/>
      <c r="CIN30" s="47"/>
      <c r="CIO30" s="47"/>
      <c r="CIP30" s="47"/>
      <c r="CIQ30" s="47"/>
      <c r="CIR30" s="47"/>
      <c r="CIS30" s="47"/>
      <c r="CIT30" s="47"/>
      <c r="CIU30" s="47"/>
      <c r="CIV30" s="47"/>
      <c r="CIW30" s="47"/>
      <c r="CIX30" s="47"/>
      <c r="CIY30" s="47"/>
      <c r="CIZ30" s="47"/>
      <c r="CJA30" s="47"/>
      <c r="CJB30" s="47"/>
      <c r="CJC30" s="47"/>
      <c r="CJD30" s="47"/>
      <c r="CJE30" s="47"/>
      <c r="CJF30" s="47"/>
      <c r="CJG30" s="47"/>
      <c r="CJH30" s="47"/>
      <c r="CJI30" s="47"/>
      <c r="CJJ30" s="47"/>
      <c r="CJK30" s="47"/>
      <c r="CJL30" s="47"/>
      <c r="CJM30" s="47"/>
      <c r="CJN30" s="47"/>
      <c r="CJO30" s="47"/>
      <c r="CJP30" s="47"/>
      <c r="CJQ30" s="47"/>
      <c r="CJR30" s="47"/>
      <c r="CJS30" s="47"/>
      <c r="CJT30" s="47"/>
      <c r="CJU30" s="47"/>
      <c r="CJV30" s="47"/>
      <c r="CJW30" s="47"/>
      <c r="CJX30" s="47"/>
      <c r="CJY30" s="47"/>
      <c r="CJZ30" s="47"/>
      <c r="CKA30" s="47"/>
      <c r="CKB30" s="47"/>
      <c r="CKC30" s="47"/>
      <c r="CKD30" s="47"/>
      <c r="CKE30" s="47"/>
      <c r="CKF30" s="47"/>
      <c r="CKG30" s="47"/>
      <c r="CKH30" s="47"/>
      <c r="CKI30" s="47"/>
      <c r="CKJ30" s="47"/>
      <c r="CKK30" s="47"/>
      <c r="CKL30" s="47"/>
      <c r="CKM30" s="47"/>
      <c r="CKN30" s="47"/>
      <c r="CKO30" s="47"/>
      <c r="CKP30" s="47"/>
      <c r="CKQ30" s="47"/>
      <c r="CKR30" s="47"/>
      <c r="CKS30" s="47"/>
      <c r="CKT30" s="47"/>
      <c r="CKU30" s="47"/>
      <c r="CKV30" s="47"/>
      <c r="CKW30" s="47"/>
      <c r="CKX30" s="47"/>
      <c r="CKY30" s="47"/>
      <c r="CKZ30" s="47"/>
      <c r="CLA30" s="47"/>
      <c r="CLB30" s="47"/>
      <c r="CLC30" s="47"/>
      <c r="CLD30" s="47"/>
      <c r="CLE30" s="47"/>
      <c r="CLF30" s="47"/>
      <c r="CLG30" s="47"/>
      <c r="CLH30" s="47"/>
      <c r="CLI30" s="47"/>
      <c r="CLJ30" s="47"/>
      <c r="CLK30" s="47"/>
      <c r="CLL30" s="47"/>
      <c r="CLM30" s="47"/>
      <c r="CLN30" s="47"/>
      <c r="CLO30" s="47"/>
      <c r="CLP30" s="47"/>
      <c r="CLQ30" s="47"/>
      <c r="CLR30" s="47"/>
      <c r="CLS30" s="47"/>
      <c r="CLT30" s="47"/>
      <c r="CLU30" s="47"/>
      <c r="CLV30" s="47"/>
      <c r="CLW30" s="47"/>
      <c r="CLX30" s="47"/>
      <c r="CLY30" s="47"/>
      <c r="CLZ30" s="47"/>
      <c r="CMA30" s="47"/>
      <c r="CMB30" s="47"/>
      <c r="CMC30" s="47"/>
      <c r="CMD30" s="47"/>
      <c r="CME30" s="47"/>
      <c r="CMF30" s="47"/>
      <c r="CMG30" s="47"/>
      <c r="CMH30" s="47"/>
      <c r="CMI30" s="47"/>
      <c r="CMJ30" s="47"/>
      <c r="CMK30" s="47"/>
      <c r="CML30" s="47"/>
      <c r="CMM30" s="47"/>
      <c r="CMN30" s="47"/>
      <c r="CMO30" s="47"/>
      <c r="CMP30" s="47"/>
      <c r="CMQ30" s="47"/>
      <c r="CMR30" s="47"/>
      <c r="CMS30" s="47"/>
      <c r="CMT30" s="47"/>
      <c r="CMU30" s="47"/>
      <c r="CMV30" s="47"/>
      <c r="CMW30" s="47"/>
      <c r="CMX30" s="47"/>
      <c r="CMY30" s="47"/>
      <c r="CMZ30" s="47"/>
      <c r="CNA30" s="47"/>
      <c r="CNB30" s="47"/>
      <c r="CNC30" s="47"/>
      <c r="CND30" s="47"/>
      <c r="CNE30" s="47"/>
      <c r="CNF30" s="47"/>
      <c r="CNG30" s="47"/>
      <c r="CNH30" s="47"/>
      <c r="CNI30" s="47"/>
      <c r="CNJ30" s="47"/>
      <c r="CNK30" s="47"/>
      <c r="CNL30" s="47"/>
      <c r="CNM30" s="47"/>
      <c r="CNN30" s="47"/>
      <c r="CNO30" s="47"/>
      <c r="CNP30" s="47"/>
      <c r="CNQ30" s="47"/>
      <c r="CNR30" s="47"/>
      <c r="CNS30" s="47"/>
      <c r="CNT30" s="47"/>
      <c r="CNU30" s="47"/>
      <c r="CNV30" s="47"/>
      <c r="CNW30" s="47"/>
      <c r="CNX30" s="47"/>
      <c r="CNY30" s="47"/>
      <c r="CNZ30" s="47"/>
      <c r="COA30" s="47"/>
      <c r="COB30" s="47"/>
      <c r="COC30" s="47"/>
      <c r="COD30" s="47"/>
      <c r="COE30" s="47"/>
      <c r="COF30" s="47"/>
      <c r="COG30" s="47"/>
      <c r="COH30" s="47"/>
      <c r="COI30" s="47"/>
      <c r="COJ30" s="47"/>
      <c r="COK30" s="47"/>
      <c r="COL30" s="47"/>
      <c r="COM30" s="47"/>
      <c r="CON30" s="47"/>
      <c r="COO30" s="47"/>
      <c r="COP30" s="47"/>
      <c r="COQ30" s="47"/>
      <c r="COR30" s="47"/>
      <c r="COS30" s="47"/>
      <c r="COT30" s="47"/>
      <c r="COU30" s="47"/>
      <c r="COV30" s="47"/>
      <c r="COW30" s="47"/>
      <c r="COX30" s="47"/>
      <c r="COY30" s="47"/>
      <c r="COZ30" s="47"/>
      <c r="CPA30" s="47"/>
      <c r="CPB30" s="47"/>
      <c r="CPC30" s="47"/>
      <c r="CPD30" s="47"/>
      <c r="CPE30" s="47"/>
      <c r="CPF30" s="47"/>
      <c r="CPG30" s="47"/>
      <c r="CPH30" s="47"/>
      <c r="CPI30" s="47"/>
      <c r="CPJ30" s="47"/>
      <c r="CPK30" s="47"/>
      <c r="CPL30" s="47"/>
      <c r="CPM30" s="47"/>
      <c r="CPN30" s="47"/>
      <c r="CPO30" s="47"/>
      <c r="CPP30" s="47"/>
      <c r="CPQ30" s="47"/>
      <c r="CPR30" s="47"/>
      <c r="CPS30" s="47"/>
      <c r="CPT30" s="47"/>
      <c r="CPU30" s="47"/>
      <c r="CPV30" s="47"/>
      <c r="CPW30" s="47"/>
      <c r="CPX30" s="47"/>
      <c r="CPY30" s="47"/>
      <c r="CPZ30" s="47"/>
      <c r="CQA30" s="47"/>
      <c r="CQB30" s="47"/>
      <c r="CQC30" s="47"/>
      <c r="CQD30" s="47"/>
      <c r="CQE30" s="47"/>
      <c r="CQF30" s="47"/>
      <c r="CQG30" s="47"/>
      <c r="CQH30" s="47"/>
      <c r="CQI30" s="47"/>
      <c r="CQJ30" s="47"/>
      <c r="CQK30" s="47"/>
      <c r="CQL30" s="47"/>
      <c r="CQM30" s="47"/>
      <c r="CQN30" s="47"/>
      <c r="CQO30" s="47"/>
      <c r="CQP30" s="47"/>
      <c r="CQQ30" s="47"/>
      <c r="CQR30" s="47"/>
      <c r="CQS30" s="47"/>
      <c r="CQT30" s="47"/>
      <c r="CQU30" s="47"/>
      <c r="CQV30" s="47"/>
      <c r="CQW30" s="47"/>
      <c r="CQX30" s="47"/>
      <c r="CQY30" s="47"/>
      <c r="CQZ30" s="47"/>
      <c r="CRA30" s="47"/>
      <c r="CRB30" s="47"/>
      <c r="CRC30" s="47"/>
      <c r="CRD30" s="47"/>
      <c r="CRE30" s="47"/>
      <c r="CRF30" s="47"/>
      <c r="CRG30" s="47"/>
      <c r="CRH30" s="47"/>
      <c r="CRI30" s="47"/>
      <c r="CRJ30" s="47"/>
      <c r="CRK30" s="47"/>
      <c r="CRL30" s="47"/>
      <c r="CRM30" s="47"/>
      <c r="CRN30" s="47"/>
      <c r="CRO30" s="47"/>
      <c r="CRP30" s="47"/>
      <c r="CRQ30" s="47"/>
      <c r="CRR30" s="47"/>
      <c r="CRS30" s="47"/>
      <c r="CRT30" s="47"/>
      <c r="CRU30" s="47"/>
      <c r="CRV30" s="47"/>
      <c r="CRW30" s="47"/>
      <c r="CRX30" s="47"/>
      <c r="CRY30" s="47"/>
      <c r="CRZ30" s="47"/>
      <c r="CSA30" s="47"/>
      <c r="CSB30" s="47"/>
      <c r="CSC30" s="47"/>
      <c r="CSD30" s="47"/>
      <c r="CSE30" s="47"/>
      <c r="CSF30" s="47"/>
      <c r="CSG30" s="47"/>
      <c r="CSH30" s="47"/>
      <c r="CSI30" s="47"/>
      <c r="CSJ30" s="47"/>
      <c r="CSK30" s="47"/>
      <c r="CSL30" s="47"/>
      <c r="CSM30" s="47"/>
      <c r="CSN30" s="47"/>
      <c r="CSO30" s="47"/>
      <c r="CSP30" s="47"/>
      <c r="CSQ30" s="47"/>
      <c r="CSR30" s="47"/>
      <c r="CSS30" s="47"/>
      <c r="CST30" s="47"/>
      <c r="CSU30" s="47"/>
      <c r="CSV30" s="47"/>
      <c r="CSW30" s="47"/>
      <c r="CSX30" s="47"/>
      <c r="CSY30" s="47"/>
      <c r="CSZ30" s="47"/>
      <c r="CTA30" s="47"/>
      <c r="CTB30" s="47"/>
      <c r="CTC30" s="47"/>
      <c r="CTD30" s="47"/>
      <c r="CTE30" s="47"/>
      <c r="CTF30" s="47"/>
      <c r="CTG30" s="47"/>
      <c r="CTH30" s="47"/>
      <c r="CTI30" s="47"/>
      <c r="CTJ30" s="47"/>
      <c r="CTK30" s="47"/>
      <c r="CTL30" s="47"/>
      <c r="CTM30" s="47"/>
      <c r="CTN30" s="47"/>
      <c r="CTO30" s="47"/>
      <c r="CTP30" s="47"/>
      <c r="CTQ30" s="47"/>
      <c r="CTR30" s="47"/>
      <c r="CTS30" s="47"/>
      <c r="CTT30" s="47"/>
      <c r="CTU30" s="47"/>
      <c r="CTV30" s="47"/>
      <c r="CTW30" s="47"/>
      <c r="CTX30" s="47"/>
      <c r="CTY30" s="47"/>
      <c r="CTZ30" s="47"/>
      <c r="CUA30" s="47"/>
      <c r="CUB30" s="47"/>
      <c r="CUC30" s="47"/>
      <c r="CUD30" s="47"/>
      <c r="CUE30" s="47"/>
      <c r="CUF30" s="47"/>
      <c r="CUG30" s="47"/>
      <c r="CUH30" s="47"/>
      <c r="CUI30" s="47"/>
      <c r="CUJ30" s="47"/>
      <c r="CUK30" s="47"/>
      <c r="CUL30" s="47"/>
      <c r="CUM30" s="47"/>
      <c r="CUN30" s="47"/>
      <c r="CUO30" s="47"/>
      <c r="CUP30" s="47"/>
      <c r="CUQ30" s="47"/>
      <c r="CUR30" s="47"/>
      <c r="CUS30" s="47"/>
      <c r="CUT30" s="47"/>
      <c r="CUU30" s="47"/>
      <c r="CUV30" s="47"/>
      <c r="CUW30" s="47"/>
      <c r="CUX30" s="47"/>
      <c r="CUY30" s="47"/>
      <c r="CUZ30" s="47"/>
      <c r="CVA30" s="47"/>
      <c r="CVB30" s="47"/>
      <c r="CVC30" s="47"/>
      <c r="CVD30" s="47"/>
      <c r="CVE30" s="47"/>
      <c r="CVF30" s="47"/>
      <c r="CVG30" s="47"/>
      <c r="CVH30" s="47"/>
      <c r="CVI30" s="47"/>
      <c r="CVJ30" s="47"/>
      <c r="CVK30" s="47"/>
      <c r="CVL30" s="47"/>
      <c r="CVM30" s="47"/>
      <c r="CVN30" s="47"/>
      <c r="CVO30" s="47"/>
      <c r="CVP30" s="47"/>
      <c r="CVQ30" s="47"/>
      <c r="CVR30" s="47"/>
      <c r="CVS30" s="47"/>
      <c r="CVT30" s="47"/>
      <c r="CVU30" s="47"/>
      <c r="CVV30" s="47"/>
      <c r="CVW30" s="47"/>
      <c r="CVX30" s="47"/>
      <c r="CVY30" s="47"/>
      <c r="CVZ30" s="47"/>
      <c r="CWA30" s="47"/>
      <c r="CWB30" s="47"/>
      <c r="CWC30" s="47"/>
      <c r="CWD30" s="47"/>
      <c r="CWE30" s="47"/>
      <c r="CWF30" s="47"/>
      <c r="CWG30" s="47"/>
      <c r="CWH30" s="47"/>
      <c r="CWI30" s="47"/>
      <c r="CWJ30" s="47"/>
      <c r="CWK30" s="47"/>
      <c r="CWL30" s="47"/>
      <c r="CWM30" s="47"/>
      <c r="CWN30" s="47"/>
      <c r="CWO30" s="47"/>
      <c r="CWP30" s="47"/>
      <c r="CWQ30" s="47"/>
      <c r="CWR30" s="47"/>
      <c r="CWS30" s="47"/>
      <c r="CWT30" s="47"/>
      <c r="CWU30" s="47"/>
      <c r="CWV30" s="47"/>
      <c r="CWW30" s="47"/>
      <c r="CWX30" s="47"/>
      <c r="CWY30" s="47"/>
      <c r="CWZ30" s="47"/>
      <c r="CXA30" s="47"/>
      <c r="CXB30" s="47"/>
      <c r="CXC30" s="47"/>
      <c r="CXD30" s="47"/>
      <c r="CXE30" s="47"/>
      <c r="CXF30" s="47"/>
      <c r="CXG30" s="47"/>
      <c r="CXH30" s="47"/>
      <c r="CXI30" s="47"/>
      <c r="CXJ30" s="47"/>
      <c r="CXK30" s="47"/>
      <c r="CXL30" s="47"/>
      <c r="CXM30" s="47"/>
      <c r="CXN30" s="47"/>
      <c r="CXO30" s="47"/>
      <c r="CXP30" s="47"/>
      <c r="CXQ30" s="47"/>
      <c r="CXR30" s="47"/>
      <c r="CXS30" s="47"/>
      <c r="CXT30" s="47"/>
      <c r="CXU30" s="47"/>
      <c r="CXV30" s="47"/>
      <c r="CXW30" s="47"/>
      <c r="CXX30" s="47"/>
      <c r="CXY30" s="47"/>
      <c r="CXZ30" s="47"/>
      <c r="CYA30" s="47"/>
      <c r="CYB30" s="47"/>
      <c r="CYC30" s="47"/>
      <c r="CYD30" s="47"/>
      <c r="CYE30" s="47"/>
      <c r="CYF30" s="47"/>
      <c r="CYG30" s="47"/>
      <c r="CYH30" s="47"/>
      <c r="CYI30" s="47"/>
      <c r="CYJ30" s="47"/>
      <c r="CYK30" s="47"/>
      <c r="CYL30" s="47"/>
      <c r="CYM30" s="47"/>
      <c r="CYN30" s="47"/>
      <c r="CYO30" s="47"/>
      <c r="CYP30" s="47"/>
      <c r="CYQ30" s="47"/>
      <c r="CYR30" s="47"/>
      <c r="CYS30" s="47"/>
      <c r="CYT30" s="47"/>
      <c r="CYU30" s="47"/>
      <c r="CYV30" s="47"/>
      <c r="CYW30" s="47"/>
      <c r="CYX30" s="47"/>
      <c r="CYY30" s="47"/>
      <c r="CYZ30" s="47"/>
      <c r="CZA30" s="47"/>
      <c r="CZB30" s="47"/>
      <c r="CZC30" s="47"/>
      <c r="CZD30" s="47"/>
      <c r="CZE30" s="47"/>
      <c r="CZF30" s="47"/>
      <c r="CZG30" s="47"/>
      <c r="CZH30" s="47"/>
      <c r="CZI30" s="47"/>
      <c r="CZJ30" s="47"/>
      <c r="CZK30" s="47"/>
      <c r="CZL30" s="47"/>
      <c r="CZM30" s="47"/>
      <c r="CZN30" s="47"/>
      <c r="CZO30" s="47"/>
      <c r="CZP30" s="47"/>
      <c r="CZQ30" s="47"/>
      <c r="CZR30" s="47"/>
      <c r="CZS30" s="47"/>
      <c r="CZT30" s="47"/>
      <c r="CZU30" s="47"/>
      <c r="CZV30" s="47"/>
      <c r="CZW30" s="47"/>
      <c r="CZX30" s="47"/>
      <c r="CZY30" s="47"/>
      <c r="CZZ30" s="47"/>
      <c r="DAA30" s="47"/>
      <c r="DAB30" s="47"/>
      <c r="DAC30" s="47"/>
      <c r="DAD30" s="47"/>
      <c r="DAE30" s="47"/>
      <c r="DAF30" s="47"/>
      <c r="DAG30" s="47"/>
      <c r="DAH30" s="47"/>
      <c r="DAI30" s="47"/>
      <c r="DAJ30" s="47"/>
      <c r="DAK30" s="47"/>
      <c r="DAL30" s="47"/>
      <c r="DAM30" s="47"/>
      <c r="DAN30" s="47"/>
      <c r="DAO30" s="47"/>
      <c r="DAP30" s="47"/>
      <c r="DAQ30" s="47"/>
      <c r="DAR30" s="47"/>
      <c r="DAS30" s="47"/>
      <c r="DAT30" s="47"/>
      <c r="DAU30" s="47"/>
      <c r="DAV30" s="47"/>
      <c r="DAW30" s="47"/>
      <c r="DAX30" s="47"/>
      <c r="DAY30" s="47"/>
      <c r="DAZ30" s="47"/>
      <c r="DBA30" s="47"/>
      <c r="DBB30" s="47"/>
      <c r="DBC30" s="47"/>
      <c r="DBD30" s="47"/>
      <c r="DBE30" s="47"/>
      <c r="DBF30" s="47"/>
      <c r="DBG30" s="47"/>
      <c r="DBH30" s="47"/>
      <c r="DBI30" s="47"/>
      <c r="DBJ30" s="47"/>
      <c r="DBK30" s="47"/>
      <c r="DBL30" s="47"/>
      <c r="DBM30" s="47"/>
      <c r="DBN30" s="47"/>
      <c r="DBO30" s="47"/>
      <c r="DBP30" s="47"/>
      <c r="DBQ30" s="47"/>
      <c r="DBR30" s="47"/>
      <c r="DBS30" s="47"/>
      <c r="DBT30" s="47"/>
      <c r="DBU30" s="47"/>
      <c r="DBV30" s="47"/>
      <c r="DBW30" s="47"/>
      <c r="DBX30" s="47"/>
      <c r="DBY30" s="47"/>
      <c r="DBZ30" s="47"/>
      <c r="DCA30" s="47"/>
      <c r="DCB30" s="47"/>
      <c r="DCC30" s="47"/>
      <c r="DCD30" s="47"/>
      <c r="DCE30" s="47"/>
      <c r="DCF30" s="47"/>
      <c r="DCG30" s="47"/>
      <c r="DCH30" s="47"/>
      <c r="DCI30" s="47"/>
      <c r="DCJ30" s="47"/>
      <c r="DCK30" s="47"/>
      <c r="DCL30" s="47"/>
      <c r="DCM30" s="47"/>
      <c r="DCN30" s="47"/>
      <c r="DCO30" s="47"/>
      <c r="DCP30" s="47"/>
      <c r="DCQ30" s="47"/>
      <c r="DCR30" s="47"/>
      <c r="DCS30" s="47"/>
      <c r="DCT30" s="47"/>
      <c r="DCU30" s="47"/>
      <c r="DCV30" s="47"/>
      <c r="DCW30" s="47"/>
      <c r="DCX30" s="47"/>
      <c r="DCY30" s="47"/>
      <c r="DCZ30" s="47"/>
      <c r="DDA30" s="47"/>
      <c r="DDB30" s="47"/>
      <c r="DDC30" s="47"/>
      <c r="DDD30" s="47"/>
      <c r="DDE30" s="47"/>
      <c r="DDF30" s="47"/>
      <c r="DDG30" s="47"/>
      <c r="DDH30" s="47"/>
      <c r="DDI30" s="47"/>
      <c r="DDJ30" s="47"/>
      <c r="DDK30" s="47"/>
      <c r="DDL30" s="47"/>
      <c r="DDM30" s="47"/>
      <c r="DDN30" s="47"/>
      <c r="DDO30" s="47"/>
      <c r="DDP30" s="47"/>
      <c r="DDQ30" s="47"/>
      <c r="DDR30" s="47"/>
      <c r="DDS30" s="47"/>
      <c r="DDT30" s="47"/>
      <c r="DDU30" s="47"/>
      <c r="DDV30" s="47"/>
      <c r="DDW30" s="47"/>
      <c r="DDX30" s="47"/>
      <c r="DDY30" s="47"/>
      <c r="DDZ30" s="47"/>
      <c r="DEA30" s="47"/>
      <c r="DEB30" s="47"/>
      <c r="DEC30" s="47"/>
      <c r="DED30" s="47"/>
      <c r="DEE30" s="47"/>
      <c r="DEF30" s="47"/>
      <c r="DEG30" s="47"/>
      <c r="DEH30" s="47"/>
      <c r="DEI30" s="47"/>
      <c r="DEJ30" s="47"/>
      <c r="DEK30" s="47"/>
      <c r="DEL30" s="47"/>
      <c r="DEM30" s="47"/>
      <c r="DEN30" s="47"/>
      <c r="DEO30" s="47"/>
      <c r="DEP30" s="47"/>
      <c r="DEQ30" s="47"/>
      <c r="DER30" s="47"/>
      <c r="DES30" s="47"/>
      <c r="DET30" s="47"/>
      <c r="DEU30" s="47"/>
      <c r="DEV30" s="47"/>
      <c r="DEW30" s="47"/>
      <c r="DEX30" s="47"/>
      <c r="DEY30" s="47"/>
      <c r="DEZ30" s="47"/>
      <c r="DFA30" s="47"/>
      <c r="DFB30" s="47"/>
      <c r="DFC30" s="47"/>
      <c r="DFD30" s="47"/>
      <c r="DFE30" s="47"/>
      <c r="DFF30" s="47"/>
      <c r="DFG30" s="47"/>
      <c r="DFH30" s="47"/>
      <c r="DFI30" s="47"/>
      <c r="DFJ30" s="47"/>
      <c r="DFK30" s="47"/>
      <c r="DFL30" s="47"/>
      <c r="DFM30" s="47"/>
      <c r="DFN30" s="47"/>
      <c r="DFO30" s="47"/>
      <c r="DFP30" s="47"/>
      <c r="DFQ30" s="47"/>
      <c r="DFR30" s="47"/>
      <c r="DFS30" s="47"/>
      <c r="DFT30" s="47"/>
      <c r="DFU30" s="47"/>
      <c r="DFV30" s="47"/>
      <c r="DFW30" s="47"/>
      <c r="DFX30" s="47"/>
      <c r="DFY30" s="47"/>
      <c r="DFZ30" s="47"/>
      <c r="DGA30" s="47"/>
      <c r="DGB30" s="47"/>
      <c r="DGC30" s="47"/>
      <c r="DGD30" s="47"/>
      <c r="DGE30" s="47"/>
      <c r="DGF30" s="47"/>
      <c r="DGG30" s="47"/>
      <c r="DGH30" s="47"/>
      <c r="DGI30" s="47"/>
      <c r="DGJ30" s="47"/>
      <c r="DGK30" s="47"/>
      <c r="DGL30" s="47"/>
      <c r="DGM30" s="47"/>
      <c r="DGN30" s="47"/>
      <c r="DGO30" s="47"/>
      <c r="DGP30" s="47"/>
      <c r="DGQ30" s="47"/>
      <c r="DGR30" s="47"/>
      <c r="DGS30" s="47"/>
      <c r="DGT30" s="47"/>
      <c r="DGU30" s="47"/>
      <c r="DGV30" s="47"/>
      <c r="DGW30" s="47"/>
      <c r="DGX30" s="47"/>
      <c r="DGY30" s="47"/>
      <c r="DGZ30" s="47"/>
      <c r="DHA30" s="47"/>
      <c r="DHB30" s="47"/>
      <c r="DHC30" s="47"/>
      <c r="DHD30" s="47"/>
      <c r="DHE30" s="47"/>
      <c r="DHF30" s="47"/>
      <c r="DHG30" s="47"/>
      <c r="DHH30" s="47"/>
      <c r="DHI30" s="47"/>
      <c r="DHJ30" s="47"/>
      <c r="DHK30" s="47"/>
      <c r="DHL30" s="47"/>
      <c r="DHM30" s="47"/>
      <c r="DHN30" s="47"/>
      <c r="DHO30" s="47"/>
      <c r="DHP30" s="47"/>
      <c r="DHQ30" s="47"/>
      <c r="DHR30" s="47"/>
      <c r="DHS30" s="47"/>
      <c r="DHT30" s="47"/>
      <c r="DHU30" s="47"/>
      <c r="DHV30" s="47"/>
      <c r="DHW30" s="47"/>
      <c r="DHX30" s="47"/>
      <c r="DHY30" s="47"/>
      <c r="DHZ30" s="47"/>
      <c r="DIA30" s="47"/>
      <c r="DIB30" s="47"/>
      <c r="DIC30" s="47"/>
      <c r="DID30" s="47"/>
      <c r="DIE30" s="47"/>
      <c r="DIF30" s="47"/>
      <c r="DIG30" s="47"/>
      <c r="DIH30" s="47"/>
      <c r="DII30" s="47"/>
      <c r="DIJ30" s="47"/>
      <c r="DIK30" s="47"/>
      <c r="DIL30" s="47"/>
      <c r="DIM30" s="47"/>
      <c r="DIN30" s="47"/>
      <c r="DIO30" s="47"/>
      <c r="DIP30" s="47"/>
      <c r="DIQ30" s="47"/>
      <c r="DIR30" s="47"/>
      <c r="DIS30" s="47"/>
      <c r="DIT30" s="47"/>
      <c r="DIU30" s="47"/>
      <c r="DIV30" s="47"/>
      <c r="DIW30" s="47"/>
      <c r="DIX30" s="47"/>
      <c r="DIY30" s="47"/>
      <c r="DIZ30" s="47"/>
      <c r="DJA30" s="47"/>
      <c r="DJB30" s="47"/>
      <c r="DJC30" s="47"/>
      <c r="DJD30" s="47"/>
      <c r="DJE30" s="47"/>
      <c r="DJF30" s="47"/>
      <c r="DJG30" s="47"/>
      <c r="DJH30" s="47"/>
      <c r="DJI30" s="47"/>
      <c r="DJJ30" s="47"/>
      <c r="DJK30" s="47"/>
      <c r="DJL30" s="47"/>
      <c r="DJM30" s="47"/>
      <c r="DJN30" s="47"/>
      <c r="DJO30" s="47"/>
      <c r="DJP30" s="47"/>
      <c r="DJQ30" s="47"/>
      <c r="DJR30" s="47"/>
      <c r="DJS30" s="47"/>
      <c r="DJT30" s="47"/>
      <c r="DJU30" s="47"/>
      <c r="DJV30" s="47"/>
      <c r="DJW30" s="47"/>
      <c r="DJX30" s="47"/>
      <c r="DJY30" s="47"/>
      <c r="DJZ30" s="47"/>
      <c r="DKA30" s="47"/>
      <c r="DKB30" s="47"/>
      <c r="DKC30" s="47"/>
      <c r="DKD30" s="47"/>
      <c r="DKE30" s="47"/>
      <c r="DKF30" s="47"/>
      <c r="DKG30" s="47"/>
      <c r="DKH30" s="47"/>
      <c r="DKI30" s="47"/>
      <c r="DKJ30" s="47"/>
      <c r="DKK30" s="47"/>
      <c r="DKL30" s="47"/>
      <c r="DKM30" s="47"/>
      <c r="DKN30" s="47"/>
      <c r="DKO30" s="47"/>
      <c r="DKP30" s="47"/>
      <c r="DKQ30" s="47"/>
      <c r="DKR30" s="47"/>
      <c r="DKS30" s="47"/>
      <c r="DKT30" s="47"/>
      <c r="DKU30" s="47"/>
      <c r="DKV30" s="47"/>
      <c r="DKW30" s="47"/>
      <c r="DKX30" s="47"/>
      <c r="DKY30" s="47"/>
      <c r="DKZ30" s="47"/>
      <c r="DLA30" s="47"/>
      <c r="DLB30" s="47"/>
      <c r="DLC30" s="47"/>
      <c r="DLD30" s="47"/>
      <c r="DLE30" s="47"/>
      <c r="DLF30" s="47"/>
      <c r="DLG30" s="47"/>
      <c r="DLH30" s="47"/>
      <c r="DLI30" s="47"/>
      <c r="DLJ30" s="47"/>
      <c r="DLK30" s="47"/>
      <c r="DLL30" s="47"/>
      <c r="DLM30" s="47"/>
      <c r="DLN30" s="47"/>
      <c r="DLO30" s="47"/>
      <c r="DLP30" s="47"/>
      <c r="DLQ30" s="47"/>
      <c r="DLR30" s="47"/>
      <c r="DLS30" s="47"/>
      <c r="DLT30" s="47"/>
      <c r="DLU30" s="47"/>
      <c r="DLV30" s="47"/>
      <c r="DLW30" s="47"/>
      <c r="DLX30" s="47"/>
      <c r="DLY30" s="47"/>
      <c r="DLZ30" s="47"/>
      <c r="DMA30" s="47"/>
      <c r="DMB30" s="47"/>
      <c r="DMC30" s="47"/>
      <c r="DMD30" s="47"/>
      <c r="DME30" s="47"/>
      <c r="DMF30" s="47"/>
      <c r="DMG30" s="47"/>
      <c r="DMH30" s="47"/>
      <c r="DMI30" s="47"/>
      <c r="DMJ30" s="47"/>
      <c r="DMK30" s="47"/>
      <c r="DML30" s="47"/>
      <c r="DMM30" s="47"/>
      <c r="DMN30" s="47"/>
      <c r="DMO30" s="47"/>
      <c r="DMP30" s="47"/>
      <c r="DMQ30" s="47"/>
      <c r="DMR30" s="47"/>
      <c r="DMS30" s="47"/>
      <c r="DMT30" s="47"/>
      <c r="DMU30" s="47"/>
      <c r="DMV30" s="47"/>
      <c r="DMW30" s="47"/>
      <c r="DMX30" s="47"/>
      <c r="DMY30" s="47"/>
      <c r="DMZ30" s="47"/>
      <c r="DNA30" s="47"/>
      <c r="DNB30" s="47"/>
      <c r="DNC30" s="47"/>
      <c r="DND30" s="47"/>
      <c r="DNE30" s="47"/>
      <c r="DNF30" s="47"/>
      <c r="DNG30" s="47"/>
      <c r="DNH30" s="47"/>
      <c r="DNI30" s="47"/>
      <c r="DNJ30" s="47"/>
      <c r="DNK30" s="47"/>
      <c r="DNL30" s="47"/>
      <c r="DNM30" s="47"/>
      <c r="DNN30" s="47"/>
      <c r="DNO30" s="47"/>
      <c r="DNP30" s="47"/>
      <c r="DNQ30" s="47"/>
      <c r="DNR30" s="47"/>
      <c r="DNS30" s="47"/>
      <c r="DNT30" s="47"/>
      <c r="DNU30" s="47"/>
      <c r="DNV30" s="47"/>
      <c r="DNW30" s="47"/>
      <c r="DNX30" s="47"/>
      <c r="DNY30" s="47"/>
      <c r="DNZ30" s="47"/>
      <c r="DOA30" s="47"/>
      <c r="DOB30" s="47"/>
      <c r="DOC30" s="47"/>
      <c r="DOD30" s="47"/>
      <c r="DOE30" s="47"/>
      <c r="DOF30" s="47"/>
      <c r="DOG30" s="47"/>
      <c r="DOH30" s="47"/>
      <c r="DOI30" s="47"/>
      <c r="DOJ30" s="47"/>
      <c r="DOK30" s="47"/>
      <c r="DOL30" s="47"/>
      <c r="DOM30" s="47"/>
      <c r="DON30" s="47"/>
      <c r="DOO30" s="47"/>
      <c r="DOP30" s="47"/>
      <c r="DOQ30" s="47"/>
      <c r="DOR30" s="47"/>
      <c r="DOS30" s="47"/>
      <c r="DOT30" s="47"/>
      <c r="DOU30" s="47"/>
      <c r="DOV30" s="47"/>
      <c r="DOW30" s="47"/>
      <c r="DOX30" s="47"/>
      <c r="DOY30" s="47"/>
      <c r="DOZ30" s="47"/>
      <c r="DPA30" s="47"/>
      <c r="DPB30" s="47"/>
      <c r="DPC30" s="47"/>
      <c r="DPD30" s="47"/>
      <c r="DPE30" s="47"/>
      <c r="DPF30" s="47"/>
      <c r="DPG30" s="47"/>
      <c r="DPH30" s="47"/>
      <c r="DPI30" s="47"/>
      <c r="DPJ30" s="47"/>
      <c r="DPK30" s="47"/>
      <c r="DPL30" s="47"/>
      <c r="DPM30" s="47"/>
      <c r="DPN30" s="47"/>
      <c r="DPO30" s="47"/>
      <c r="DPP30" s="47"/>
      <c r="DPQ30" s="47"/>
      <c r="DPR30" s="47"/>
      <c r="DPS30" s="47"/>
      <c r="DPT30" s="47"/>
      <c r="DPU30" s="47"/>
      <c r="DPV30" s="47"/>
      <c r="DPW30" s="47"/>
      <c r="DPX30" s="47"/>
      <c r="DPY30" s="47"/>
      <c r="DPZ30" s="47"/>
      <c r="DQA30" s="47"/>
      <c r="DQB30" s="47"/>
      <c r="DQC30" s="47"/>
      <c r="DQD30" s="47"/>
      <c r="DQE30" s="47"/>
      <c r="DQF30" s="47"/>
      <c r="DQG30" s="47"/>
      <c r="DQH30" s="47"/>
      <c r="DQI30" s="47"/>
      <c r="DQJ30" s="47"/>
      <c r="DQK30" s="47"/>
      <c r="DQL30" s="47"/>
      <c r="DQM30" s="47"/>
      <c r="DQN30" s="47"/>
      <c r="DQO30" s="47"/>
      <c r="DQP30" s="47"/>
      <c r="DQQ30" s="47"/>
      <c r="DQR30" s="47"/>
      <c r="DQS30" s="47"/>
      <c r="DQT30" s="47"/>
      <c r="DQU30" s="47"/>
      <c r="DQV30" s="47"/>
      <c r="DQW30" s="47"/>
      <c r="DQX30" s="47"/>
      <c r="DQY30" s="47"/>
      <c r="DQZ30" s="47"/>
      <c r="DRA30" s="47"/>
      <c r="DRB30" s="47"/>
      <c r="DRC30" s="47"/>
      <c r="DRD30" s="47"/>
      <c r="DRE30" s="47"/>
      <c r="DRF30" s="47"/>
      <c r="DRG30" s="47"/>
      <c r="DRH30" s="47"/>
      <c r="DRI30" s="47"/>
      <c r="DRJ30" s="47"/>
      <c r="DRK30" s="47"/>
      <c r="DRL30" s="47"/>
      <c r="DRM30" s="47"/>
      <c r="DRN30" s="47"/>
      <c r="DRO30" s="47"/>
      <c r="DRP30" s="47"/>
      <c r="DRQ30" s="47"/>
      <c r="DRR30" s="47"/>
      <c r="DRS30" s="47"/>
      <c r="DRT30" s="47"/>
      <c r="DRU30" s="47"/>
      <c r="DRV30" s="47"/>
      <c r="DRW30" s="47"/>
      <c r="DRX30" s="47"/>
      <c r="DRY30" s="47"/>
      <c r="DRZ30" s="47"/>
      <c r="DSA30" s="47"/>
      <c r="DSB30" s="47"/>
      <c r="DSC30" s="47"/>
      <c r="DSD30" s="47"/>
      <c r="DSE30" s="47"/>
      <c r="DSF30" s="47"/>
      <c r="DSG30" s="47"/>
      <c r="DSH30" s="47"/>
      <c r="DSI30" s="47"/>
      <c r="DSJ30" s="47"/>
      <c r="DSK30" s="47"/>
      <c r="DSL30" s="47"/>
      <c r="DSM30" s="47"/>
      <c r="DSN30" s="47"/>
      <c r="DSO30" s="47"/>
      <c r="DSP30" s="47"/>
      <c r="DSQ30" s="47"/>
      <c r="DSR30" s="47"/>
      <c r="DSS30" s="47"/>
      <c r="DST30" s="47"/>
      <c r="DSU30" s="47"/>
      <c r="DSV30" s="47"/>
      <c r="DSW30" s="47"/>
      <c r="DSX30" s="47"/>
      <c r="DSY30" s="47"/>
      <c r="DSZ30" s="47"/>
      <c r="DTA30" s="47"/>
      <c r="DTB30" s="47"/>
      <c r="DTC30" s="47"/>
      <c r="DTD30" s="47"/>
      <c r="DTE30" s="47"/>
      <c r="DTF30" s="47"/>
      <c r="DTG30" s="47"/>
      <c r="DTH30" s="47"/>
      <c r="DTI30" s="47"/>
      <c r="DTJ30" s="47"/>
      <c r="DTK30" s="47"/>
      <c r="DTL30" s="47"/>
      <c r="DTM30" s="47"/>
      <c r="DTN30" s="47"/>
      <c r="DTO30" s="47"/>
      <c r="DTP30" s="47"/>
      <c r="DTQ30" s="47"/>
      <c r="DTR30" s="47"/>
      <c r="DTS30" s="47"/>
      <c r="DTT30" s="47"/>
      <c r="DTU30" s="47"/>
      <c r="DTV30" s="47"/>
      <c r="DTW30" s="47"/>
      <c r="DTX30" s="47"/>
      <c r="DTY30" s="47"/>
      <c r="DTZ30" s="47"/>
      <c r="DUA30" s="47"/>
      <c r="DUB30" s="47"/>
      <c r="DUC30" s="47"/>
      <c r="DUD30" s="47"/>
      <c r="DUE30" s="47"/>
      <c r="DUF30" s="47"/>
      <c r="DUG30" s="47"/>
      <c r="DUH30" s="47"/>
      <c r="DUI30" s="47"/>
      <c r="DUJ30" s="47"/>
      <c r="DUK30" s="47"/>
      <c r="DUL30" s="47"/>
      <c r="DUM30" s="47"/>
      <c r="DUN30" s="47"/>
      <c r="DUO30" s="47"/>
      <c r="DUP30" s="47"/>
      <c r="DUQ30" s="47"/>
      <c r="DUR30" s="47"/>
      <c r="DUS30" s="47"/>
      <c r="DUT30" s="47"/>
      <c r="DUU30" s="47"/>
      <c r="DUV30" s="47"/>
      <c r="DUW30" s="47"/>
      <c r="DUX30" s="47"/>
      <c r="DUY30" s="47"/>
      <c r="DUZ30" s="47"/>
      <c r="DVA30" s="47"/>
      <c r="DVB30" s="47"/>
      <c r="DVC30" s="47"/>
      <c r="DVD30" s="47"/>
      <c r="DVE30" s="47"/>
      <c r="DVF30" s="47"/>
      <c r="DVG30" s="47"/>
      <c r="DVH30" s="47"/>
      <c r="DVI30" s="47"/>
      <c r="DVJ30" s="47"/>
      <c r="DVK30" s="47"/>
      <c r="DVL30" s="47"/>
      <c r="DVM30" s="47"/>
      <c r="DVN30" s="47"/>
      <c r="DVO30" s="47"/>
      <c r="DVP30" s="47"/>
      <c r="DVQ30" s="47"/>
      <c r="DVR30" s="47"/>
      <c r="DVS30" s="47"/>
      <c r="DVT30" s="47"/>
      <c r="DVU30" s="47"/>
      <c r="DVV30" s="47"/>
      <c r="DVW30" s="47"/>
      <c r="DVX30" s="47"/>
      <c r="DVY30" s="47"/>
      <c r="DVZ30" s="47"/>
      <c r="DWA30" s="47"/>
      <c r="DWB30" s="47"/>
      <c r="DWC30" s="47"/>
      <c r="DWD30" s="47"/>
      <c r="DWE30" s="47"/>
      <c r="DWF30" s="47"/>
      <c r="DWG30" s="47"/>
      <c r="DWH30" s="47"/>
      <c r="DWI30" s="47"/>
      <c r="DWJ30" s="47"/>
      <c r="DWK30" s="47"/>
      <c r="DWL30" s="47"/>
      <c r="DWM30" s="47"/>
      <c r="DWN30" s="47"/>
      <c r="DWO30" s="47"/>
      <c r="DWP30" s="47"/>
      <c r="DWQ30" s="47"/>
      <c r="DWR30" s="47"/>
      <c r="DWS30" s="47"/>
      <c r="DWT30" s="47"/>
      <c r="DWU30" s="47"/>
      <c r="DWV30" s="47"/>
      <c r="DWW30" s="47"/>
      <c r="DWX30" s="47"/>
      <c r="DWY30" s="47"/>
      <c r="DWZ30" s="47"/>
      <c r="DXA30" s="47"/>
      <c r="DXB30" s="47"/>
      <c r="DXC30" s="47"/>
      <c r="DXD30" s="47"/>
      <c r="DXE30" s="47"/>
      <c r="DXF30" s="47"/>
      <c r="DXG30" s="47"/>
      <c r="DXH30" s="47"/>
      <c r="DXI30" s="47"/>
      <c r="DXJ30" s="47"/>
      <c r="DXK30" s="47"/>
      <c r="DXL30" s="47"/>
      <c r="DXM30" s="47"/>
      <c r="DXN30" s="47"/>
      <c r="DXO30" s="47"/>
      <c r="DXP30" s="47"/>
      <c r="DXQ30" s="47"/>
      <c r="DXR30" s="47"/>
      <c r="DXS30" s="47"/>
      <c r="DXT30" s="47"/>
      <c r="DXU30" s="47"/>
      <c r="DXV30" s="47"/>
      <c r="DXW30" s="47"/>
      <c r="DXX30" s="47"/>
      <c r="DXY30" s="47"/>
      <c r="DXZ30" s="47"/>
      <c r="DYA30" s="47"/>
      <c r="DYB30" s="47"/>
      <c r="DYC30" s="47"/>
      <c r="DYD30" s="47"/>
      <c r="DYE30" s="47"/>
      <c r="DYF30" s="47"/>
      <c r="DYG30" s="47"/>
      <c r="DYH30" s="47"/>
      <c r="DYI30" s="47"/>
      <c r="DYJ30" s="47"/>
      <c r="DYK30" s="47"/>
      <c r="DYL30" s="47"/>
      <c r="DYM30" s="47"/>
      <c r="DYN30" s="47"/>
      <c r="DYO30" s="47"/>
      <c r="DYP30" s="47"/>
      <c r="DYQ30" s="47"/>
      <c r="DYR30" s="47"/>
      <c r="DYS30" s="47"/>
      <c r="DYT30" s="47"/>
      <c r="DYU30" s="47"/>
      <c r="DYV30" s="47"/>
      <c r="DYW30" s="47"/>
      <c r="DYX30" s="47"/>
      <c r="DYY30" s="47"/>
      <c r="DYZ30" s="47"/>
      <c r="DZA30" s="47"/>
      <c r="DZB30" s="47"/>
      <c r="DZC30" s="47"/>
      <c r="DZD30" s="47"/>
      <c r="DZE30" s="47"/>
      <c r="DZF30" s="47"/>
      <c r="DZG30" s="47"/>
      <c r="DZH30" s="47"/>
      <c r="DZI30" s="47"/>
      <c r="DZJ30" s="47"/>
      <c r="DZK30" s="47"/>
      <c r="DZL30" s="47"/>
      <c r="DZM30" s="47"/>
      <c r="DZN30" s="47"/>
      <c r="DZO30" s="47"/>
      <c r="DZP30" s="47"/>
      <c r="DZQ30" s="47"/>
      <c r="DZR30" s="47"/>
      <c r="DZS30" s="47"/>
      <c r="DZT30" s="47"/>
      <c r="DZU30" s="47"/>
      <c r="DZV30" s="47"/>
      <c r="DZW30" s="47"/>
      <c r="DZX30" s="47"/>
      <c r="DZY30" s="47"/>
      <c r="DZZ30" s="47"/>
      <c r="EAA30" s="47"/>
      <c r="EAB30" s="47"/>
      <c r="EAC30" s="47"/>
      <c r="EAD30" s="47"/>
      <c r="EAE30" s="47"/>
      <c r="EAF30" s="47"/>
      <c r="EAG30" s="47"/>
      <c r="EAH30" s="47"/>
      <c r="EAI30" s="47"/>
      <c r="EAJ30" s="47"/>
      <c r="EAK30" s="47"/>
      <c r="EAL30" s="47"/>
      <c r="EAM30" s="47"/>
      <c r="EAN30" s="47"/>
      <c r="EAO30" s="47"/>
      <c r="EAP30" s="47"/>
      <c r="EAQ30" s="47"/>
      <c r="EAR30" s="47"/>
      <c r="EAS30" s="47"/>
      <c r="EAT30" s="47"/>
      <c r="EAU30" s="47"/>
      <c r="EAV30" s="47"/>
      <c r="EAW30" s="47"/>
      <c r="EAX30" s="47"/>
      <c r="EAY30" s="47"/>
      <c r="EAZ30" s="47"/>
      <c r="EBA30" s="47"/>
      <c r="EBB30" s="47"/>
      <c r="EBC30" s="47"/>
      <c r="EBD30" s="47"/>
      <c r="EBE30" s="47"/>
      <c r="EBF30" s="47"/>
      <c r="EBG30" s="47"/>
      <c r="EBH30" s="47"/>
      <c r="EBI30" s="47"/>
      <c r="EBJ30" s="47"/>
      <c r="EBK30" s="47"/>
      <c r="EBL30" s="47"/>
      <c r="EBM30" s="47"/>
      <c r="EBN30" s="47"/>
      <c r="EBO30" s="47"/>
      <c r="EBP30" s="47"/>
      <c r="EBQ30" s="47"/>
      <c r="EBR30" s="47"/>
      <c r="EBS30" s="47"/>
      <c r="EBT30" s="47"/>
      <c r="EBU30" s="47"/>
      <c r="EBV30" s="47"/>
      <c r="EBW30" s="47"/>
      <c r="EBX30" s="47"/>
      <c r="EBY30" s="47"/>
      <c r="EBZ30" s="47"/>
      <c r="ECA30" s="47"/>
      <c r="ECB30" s="47"/>
      <c r="ECC30" s="47"/>
      <c r="ECD30" s="47"/>
      <c r="ECE30" s="47"/>
      <c r="ECF30" s="47"/>
      <c r="ECG30" s="47"/>
      <c r="ECH30" s="47"/>
      <c r="ECI30" s="47"/>
      <c r="ECJ30" s="47"/>
      <c r="ECK30" s="47"/>
      <c r="ECL30" s="47"/>
      <c r="ECM30" s="47"/>
      <c r="ECN30" s="47"/>
      <c r="ECO30" s="47"/>
      <c r="ECP30" s="47"/>
      <c r="ECQ30" s="47"/>
      <c r="ECR30" s="47"/>
      <c r="ECS30" s="47"/>
      <c r="ECT30" s="47"/>
      <c r="ECU30" s="47"/>
      <c r="ECV30" s="47"/>
      <c r="ECW30" s="47"/>
      <c r="ECX30" s="47"/>
      <c r="ECY30" s="47"/>
      <c r="ECZ30" s="47"/>
      <c r="EDA30" s="47"/>
      <c r="EDB30" s="47"/>
      <c r="EDC30" s="47"/>
      <c r="EDD30" s="47"/>
      <c r="EDE30" s="47"/>
      <c r="EDF30" s="47"/>
      <c r="EDG30" s="47"/>
      <c r="EDH30" s="47"/>
      <c r="EDI30" s="47"/>
      <c r="EDJ30" s="47"/>
      <c r="EDK30" s="47"/>
      <c r="EDL30" s="47"/>
      <c r="EDM30" s="47"/>
      <c r="EDN30" s="47"/>
      <c r="EDO30" s="47"/>
      <c r="EDP30" s="47"/>
      <c r="EDQ30" s="47"/>
      <c r="EDR30" s="47"/>
      <c r="EDS30" s="47"/>
      <c r="EDT30" s="47"/>
      <c r="EDU30" s="47"/>
      <c r="EDV30" s="47"/>
      <c r="EDW30" s="47"/>
      <c r="EDX30" s="47"/>
      <c r="EDY30" s="47"/>
      <c r="EDZ30" s="47"/>
      <c r="EEA30" s="47"/>
      <c r="EEB30" s="47"/>
      <c r="EEC30" s="47"/>
      <c r="EED30" s="47"/>
      <c r="EEE30" s="47"/>
      <c r="EEF30" s="47"/>
      <c r="EEG30" s="47"/>
      <c r="EEH30" s="47"/>
      <c r="EEI30" s="47"/>
      <c r="EEJ30" s="47"/>
      <c r="EEK30" s="47"/>
      <c r="EEL30" s="47"/>
      <c r="EEM30" s="47"/>
      <c r="EEN30" s="47"/>
      <c r="EEO30" s="47"/>
      <c r="EEP30" s="47"/>
      <c r="EEQ30" s="47"/>
      <c r="EER30" s="47"/>
      <c r="EES30" s="47"/>
      <c r="EET30" s="47"/>
      <c r="EEU30" s="47"/>
      <c r="EEV30" s="47"/>
      <c r="EEW30" s="47"/>
      <c r="EEX30" s="47"/>
      <c r="EEY30" s="47"/>
      <c r="EEZ30" s="47"/>
      <c r="EFA30" s="47"/>
      <c r="EFB30" s="47"/>
      <c r="EFC30" s="47"/>
      <c r="EFD30" s="47"/>
      <c r="EFE30" s="47"/>
      <c r="EFF30" s="47"/>
      <c r="EFG30" s="47"/>
      <c r="EFH30" s="47"/>
      <c r="EFI30" s="47"/>
      <c r="EFJ30" s="47"/>
      <c r="EFK30" s="47"/>
      <c r="EFL30" s="47"/>
      <c r="EFM30" s="47"/>
      <c r="EFN30" s="47"/>
      <c r="EFO30" s="47"/>
      <c r="EFP30" s="47"/>
      <c r="EFQ30" s="47"/>
      <c r="EFR30" s="47"/>
      <c r="EFS30" s="47"/>
      <c r="EFT30" s="47"/>
      <c r="EFU30" s="47"/>
      <c r="EFV30" s="47"/>
      <c r="EFW30" s="47"/>
      <c r="EFX30" s="47"/>
      <c r="EFY30" s="47"/>
      <c r="EFZ30" s="47"/>
      <c r="EGA30" s="47"/>
      <c r="EGB30" s="47"/>
      <c r="EGC30" s="47"/>
      <c r="EGD30" s="47"/>
      <c r="EGE30" s="47"/>
      <c r="EGF30" s="47"/>
      <c r="EGG30" s="47"/>
      <c r="EGH30" s="47"/>
      <c r="EGI30" s="47"/>
      <c r="EGJ30" s="47"/>
      <c r="EGK30" s="47"/>
      <c r="EGL30" s="47"/>
      <c r="EGM30" s="47"/>
      <c r="EGN30" s="47"/>
      <c r="EGO30" s="47"/>
      <c r="EGP30" s="47"/>
      <c r="EGQ30" s="47"/>
      <c r="EGR30" s="47"/>
      <c r="EGS30" s="47"/>
      <c r="EGT30" s="47"/>
      <c r="EGU30" s="47"/>
      <c r="EGV30" s="47"/>
      <c r="EGW30" s="47"/>
      <c r="EGX30" s="47"/>
      <c r="EGY30" s="47"/>
      <c r="EGZ30" s="47"/>
      <c r="EHA30" s="47"/>
      <c r="EHB30" s="47"/>
      <c r="EHC30" s="47"/>
      <c r="EHD30" s="47"/>
      <c r="EHE30" s="47"/>
      <c r="EHF30" s="47"/>
      <c r="EHG30" s="47"/>
      <c r="EHH30" s="47"/>
      <c r="EHI30" s="47"/>
      <c r="EHJ30" s="47"/>
      <c r="EHK30" s="47"/>
      <c r="EHL30" s="47"/>
      <c r="EHM30" s="47"/>
      <c r="EHN30" s="47"/>
      <c r="EHO30" s="47"/>
      <c r="EHP30" s="47"/>
      <c r="EHQ30" s="47"/>
      <c r="EHR30" s="47"/>
      <c r="EHS30" s="47"/>
      <c r="EHT30" s="47"/>
      <c r="EHU30" s="47"/>
      <c r="EHV30" s="47"/>
      <c r="EHW30" s="47"/>
      <c r="EHX30" s="47"/>
      <c r="EHY30" s="47"/>
      <c r="EHZ30" s="47"/>
      <c r="EIA30" s="47"/>
      <c r="EIB30" s="47"/>
      <c r="EIC30" s="47"/>
      <c r="EID30" s="47"/>
      <c r="EIE30" s="47"/>
      <c r="EIF30" s="47"/>
      <c r="EIG30" s="47"/>
      <c r="EIH30" s="47"/>
      <c r="EII30" s="47"/>
      <c r="EIJ30" s="47"/>
      <c r="EIK30" s="47"/>
      <c r="EIL30" s="47"/>
      <c r="EIM30" s="47"/>
      <c r="EIN30" s="47"/>
      <c r="EIO30" s="47"/>
      <c r="EIP30" s="47"/>
      <c r="EIQ30" s="47"/>
      <c r="EIR30" s="47"/>
      <c r="EIS30" s="47"/>
      <c r="EIT30" s="47"/>
      <c r="EIU30" s="47"/>
      <c r="EIV30" s="47"/>
      <c r="EIW30" s="47"/>
      <c r="EIX30" s="47"/>
      <c r="EIY30" s="47"/>
      <c r="EIZ30" s="47"/>
      <c r="EJA30" s="47"/>
      <c r="EJB30" s="47"/>
      <c r="EJC30" s="47"/>
      <c r="EJD30" s="47"/>
      <c r="EJE30" s="47"/>
      <c r="EJF30" s="47"/>
      <c r="EJG30" s="47"/>
      <c r="EJH30" s="47"/>
      <c r="EJI30" s="47"/>
      <c r="EJJ30" s="47"/>
      <c r="EJK30" s="47"/>
      <c r="EJL30" s="47"/>
      <c r="EJM30" s="47"/>
      <c r="EJN30" s="47"/>
      <c r="EJO30" s="47"/>
      <c r="EJP30" s="47"/>
      <c r="EJQ30" s="47"/>
      <c r="EJR30" s="47"/>
      <c r="EJS30" s="47"/>
      <c r="EJT30" s="47"/>
      <c r="EJU30" s="47"/>
      <c r="EJV30" s="47"/>
      <c r="EJW30" s="47"/>
      <c r="EJX30" s="47"/>
      <c r="EJY30" s="47"/>
      <c r="EJZ30" s="47"/>
      <c r="EKA30" s="47"/>
      <c r="EKB30" s="47"/>
      <c r="EKC30" s="47"/>
      <c r="EKD30" s="47"/>
      <c r="EKE30" s="47"/>
      <c r="EKF30" s="47"/>
      <c r="EKG30" s="47"/>
      <c r="EKH30" s="47"/>
      <c r="EKI30" s="47"/>
      <c r="EKJ30" s="47"/>
      <c r="EKK30" s="47"/>
      <c r="EKL30" s="47"/>
      <c r="EKM30" s="47"/>
      <c r="EKN30" s="47"/>
      <c r="EKO30" s="47"/>
      <c r="EKP30" s="47"/>
      <c r="EKQ30" s="47"/>
      <c r="EKR30" s="47"/>
      <c r="EKS30" s="47"/>
      <c r="EKT30" s="47"/>
      <c r="EKU30" s="47"/>
      <c r="EKV30" s="47"/>
      <c r="EKW30" s="47"/>
      <c r="EKX30" s="47"/>
      <c r="EKY30" s="47"/>
      <c r="EKZ30" s="47"/>
      <c r="ELA30" s="47"/>
      <c r="ELB30" s="47"/>
      <c r="ELC30" s="47"/>
      <c r="ELD30" s="47"/>
      <c r="ELE30" s="47"/>
      <c r="ELF30" s="47"/>
      <c r="ELG30" s="47"/>
      <c r="ELH30" s="47"/>
      <c r="ELI30" s="47"/>
      <c r="ELJ30" s="47"/>
      <c r="ELK30" s="47"/>
      <c r="ELL30" s="47"/>
      <c r="ELM30" s="47"/>
      <c r="ELN30" s="47"/>
      <c r="ELO30" s="47"/>
      <c r="ELP30" s="47"/>
      <c r="ELQ30" s="47"/>
      <c r="ELR30" s="47"/>
      <c r="ELS30" s="47"/>
      <c r="ELT30" s="47"/>
      <c r="ELU30" s="47"/>
      <c r="ELV30" s="47"/>
      <c r="ELW30" s="47"/>
      <c r="ELX30" s="47"/>
      <c r="ELY30" s="47"/>
      <c r="ELZ30" s="47"/>
      <c r="EMA30" s="47"/>
      <c r="EMB30" s="47"/>
      <c r="EMC30" s="47"/>
      <c r="EMD30" s="47"/>
      <c r="EME30" s="47"/>
      <c r="EMF30" s="47"/>
      <c r="EMG30" s="47"/>
      <c r="EMH30" s="47"/>
      <c r="EMI30" s="47"/>
      <c r="EMJ30" s="47"/>
      <c r="EMK30" s="47"/>
      <c r="EML30" s="47"/>
      <c r="EMM30" s="47"/>
      <c r="EMN30" s="47"/>
      <c r="EMO30" s="47"/>
      <c r="EMP30" s="47"/>
      <c r="EMQ30" s="47"/>
      <c r="EMR30" s="47"/>
      <c r="EMS30" s="47"/>
      <c r="EMT30" s="47"/>
      <c r="EMU30" s="47"/>
      <c r="EMV30" s="47"/>
      <c r="EMW30" s="47"/>
      <c r="EMX30" s="47"/>
      <c r="EMY30" s="47"/>
      <c r="EMZ30" s="47"/>
      <c r="ENA30" s="47"/>
      <c r="ENB30" s="47"/>
      <c r="ENC30" s="47"/>
      <c r="END30" s="47"/>
      <c r="ENE30" s="47"/>
      <c r="ENF30" s="47"/>
      <c r="ENG30" s="47"/>
      <c r="ENH30" s="47"/>
      <c r="ENI30" s="47"/>
      <c r="ENJ30" s="47"/>
      <c r="ENK30" s="47"/>
      <c r="ENL30" s="47"/>
      <c r="ENM30" s="47"/>
      <c r="ENN30" s="47"/>
      <c r="ENO30" s="47"/>
      <c r="ENP30" s="47"/>
      <c r="ENQ30" s="47"/>
      <c r="ENR30" s="47"/>
      <c r="ENS30" s="47"/>
      <c r="ENT30" s="47"/>
      <c r="ENU30" s="47"/>
      <c r="ENV30" s="47"/>
      <c r="ENW30" s="47"/>
      <c r="ENX30" s="47"/>
      <c r="ENY30" s="47"/>
      <c r="ENZ30" s="47"/>
      <c r="EOA30" s="47"/>
      <c r="EOB30" s="47"/>
      <c r="EOC30" s="47"/>
      <c r="EOD30" s="47"/>
      <c r="EOE30" s="47"/>
      <c r="EOF30" s="47"/>
      <c r="EOG30" s="47"/>
      <c r="EOH30" s="47"/>
      <c r="EOI30" s="47"/>
      <c r="EOJ30" s="47"/>
      <c r="EOK30" s="47"/>
      <c r="EOL30" s="47"/>
      <c r="EOM30" s="47"/>
      <c r="EON30" s="47"/>
      <c r="EOO30" s="47"/>
      <c r="EOP30" s="47"/>
      <c r="EOQ30" s="47"/>
      <c r="EOR30" s="47"/>
      <c r="EOS30" s="47"/>
      <c r="EOT30" s="47"/>
      <c r="EOU30" s="47"/>
      <c r="EOV30" s="47"/>
      <c r="EOW30" s="47"/>
      <c r="EOX30" s="47"/>
      <c r="EOY30" s="47"/>
      <c r="EOZ30" s="47"/>
      <c r="EPA30" s="47"/>
      <c r="EPB30" s="47"/>
      <c r="EPC30" s="47"/>
      <c r="EPD30" s="47"/>
      <c r="EPE30" s="47"/>
      <c r="EPF30" s="47"/>
      <c r="EPG30" s="47"/>
      <c r="EPH30" s="47"/>
      <c r="EPI30" s="47"/>
      <c r="EPJ30" s="47"/>
      <c r="EPK30" s="47"/>
      <c r="EPL30" s="47"/>
      <c r="EPM30" s="47"/>
      <c r="EPN30" s="47"/>
      <c r="EPO30" s="47"/>
      <c r="EPP30" s="47"/>
      <c r="EPQ30" s="47"/>
      <c r="EPR30" s="47"/>
      <c r="EPS30" s="47"/>
      <c r="EPT30" s="47"/>
      <c r="EPU30" s="47"/>
      <c r="EPV30" s="47"/>
      <c r="EPW30" s="47"/>
      <c r="EPX30" s="47"/>
      <c r="EPY30" s="47"/>
      <c r="EPZ30" s="47"/>
      <c r="EQA30" s="47"/>
      <c r="EQB30" s="47"/>
      <c r="EQC30" s="47"/>
      <c r="EQD30" s="47"/>
      <c r="EQE30" s="47"/>
      <c r="EQF30" s="47"/>
      <c r="EQG30" s="47"/>
      <c r="EQH30" s="47"/>
      <c r="EQI30" s="47"/>
      <c r="EQJ30" s="47"/>
      <c r="EQK30" s="47"/>
      <c r="EQL30" s="47"/>
      <c r="EQM30" s="47"/>
      <c r="EQN30" s="47"/>
      <c r="EQO30" s="47"/>
      <c r="EQP30" s="47"/>
      <c r="EQQ30" s="47"/>
      <c r="EQR30" s="47"/>
      <c r="EQS30" s="47"/>
      <c r="EQT30" s="47"/>
      <c r="EQU30" s="47"/>
      <c r="EQV30" s="47"/>
      <c r="EQW30" s="47"/>
      <c r="EQX30" s="47"/>
      <c r="EQY30" s="47"/>
      <c r="EQZ30" s="47"/>
      <c r="ERA30" s="47"/>
      <c r="ERB30" s="47"/>
      <c r="ERC30" s="47"/>
      <c r="ERD30" s="47"/>
      <c r="ERE30" s="47"/>
      <c r="ERF30" s="47"/>
      <c r="ERG30" s="47"/>
      <c r="ERH30" s="47"/>
      <c r="ERI30" s="47"/>
      <c r="ERJ30" s="47"/>
      <c r="ERK30" s="47"/>
      <c r="ERL30" s="47"/>
      <c r="ERM30" s="47"/>
      <c r="ERN30" s="47"/>
      <c r="ERO30" s="47"/>
      <c r="ERP30" s="47"/>
      <c r="ERQ30" s="47"/>
      <c r="ERR30" s="47"/>
      <c r="ERS30" s="47"/>
      <c r="ERT30" s="47"/>
      <c r="ERU30" s="47"/>
      <c r="ERV30" s="47"/>
      <c r="ERW30" s="47"/>
      <c r="ERX30" s="47"/>
      <c r="ERY30" s="47"/>
      <c r="ERZ30" s="47"/>
      <c r="ESA30" s="47"/>
      <c r="ESB30" s="47"/>
      <c r="ESC30" s="47"/>
      <c r="ESD30" s="47"/>
      <c r="ESE30" s="47"/>
      <c r="ESF30" s="47"/>
      <c r="ESG30" s="47"/>
      <c r="ESH30" s="47"/>
      <c r="ESI30" s="47"/>
      <c r="ESJ30" s="47"/>
      <c r="ESK30" s="47"/>
      <c r="ESL30" s="47"/>
      <c r="ESM30" s="47"/>
      <c r="ESN30" s="47"/>
      <c r="ESO30" s="47"/>
      <c r="ESP30" s="47"/>
      <c r="ESQ30" s="47"/>
      <c r="ESR30" s="47"/>
      <c r="ESS30" s="47"/>
      <c r="EST30" s="47"/>
      <c r="ESU30" s="47"/>
      <c r="ESV30" s="47"/>
      <c r="ESW30" s="47"/>
      <c r="ESX30" s="47"/>
      <c r="ESY30" s="47"/>
      <c r="ESZ30" s="47"/>
      <c r="ETA30" s="47"/>
      <c r="ETB30" s="47"/>
      <c r="ETC30" s="47"/>
      <c r="ETD30" s="47"/>
      <c r="ETE30" s="47"/>
      <c r="ETF30" s="47"/>
      <c r="ETG30" s="47"/>
      <c r="ETH30" s="47"/>
      <c r="ETI30" s="47"/>
      <c r="ETJ30" s="47"/>
      <c r="ETK30" s="47"/>
      <c r="ETL30" s="47"/>
      <c r="ETM30" s="47"/>
      <c r="ETN30" s="47"/>
      <c r="ETO30" s="47"/>
      <c r="ETP30" s="47"/>
      <c r="ETQ30" s="47"/>
      <c r="ETR30" s="47"/>
      <c r="ETS30" s="47"/>
      <c r="ETT30" s="47"/>
      <c r="ETU30" s="47"/>
      <c r="ETV30" s="47"/>
      <c r="ETW30" s="47"/>
      <c r="ETX30" s="47"/>
      <c r="ETY30" s="47"/>
      <c r="ETZ30" s="47"/>
      <c r="EUA30" s="47"/>
      <c r="EUB30" s="47"/>
      <c r="EUC30" s="47"/>
      <c r="EUD30" s="47"/>
      <c r="EUE30" s="47"/>
      <c r="EUF30" s="47"/>
      <c r="EUG30" s="47"/>
      <c r="EUH30" s="47"/>
      <c r="EUI30" s="47"/>
      <c r="EUJ30" s="47"/>
      <c r="EUK30" s="47"/>
      <c r="EUL30" s="47"/>
      <c r="EUM30" s="47"/>
      <c r="EUN30" s="47"/>
      <c r="EUO30" s="47"/>
      <c r="EUP30" s="47"/>
      <c r="EUQ30" s="47"/>
      <c r="EUR30" s="47"/>
      <c r="EUS30" s="47"/>
      <c r="EUT30" s="47"/>
      <c r="EUU30" s="47"/>
      <c r="EUV30" s="47"/>
      <c r="EUW30" s="47"/>
      <c r="EUX30" s="47"/>
      <c r="EUY30" s="47"/>
      <c r="EUZ30" s="47"/>
      <c r="EVA30" s="47"/>
      <c r="EVB30" s="47"/>
      <c r="EVC30" s="47"/>
      <c r="EVD30" s="47"/>
      <c r="EVE30" s="47"/>
      <c r="EVF30" s="47"/>
      <c r="EVG30" s="47"/>
      <c r="EVH30" s="47"/>
      <c r="EVI30" s="47"/>
      <c r="EVJ30" s="47"/>
      <c r="EVK30" s="47"/>
      <c r="EVL30" s="47"/>
      <c r="EVM30" s="47"/>
      <c r="EVN30" s="47"/>
      <c r="EVO30" s="47"/>
      <c r="EVP30" s="47"/>
      <c r="EVQ30" s="47"/>
      <c r="EVR30" s="47"/>
      <c r="EVS30" s="47"/>
      <c r="EVT30" s="47"/>
      <c r="EVU30" s="47"/>
      <c r="EVV30" s="47"/>
      <c r="EVW30" s="47"/>
      <c r="EVX30" s="47"/>
      <c r="EVY30" s="47"/>
      <c r="EVZ30" s="47"/>
      <c r="EWA30" s="47"/>
      <c r="EWB30" s="47"/>
      <c r="EWC30" s="47"/>
      <c r="EWD30" s="47"/>
      <c r="EWE30" s="47"/>
      <c r="EWF30" s="47"/>
      <c r="EWG30" s="47"/>
      <c r="EWH30" s="47"/>
      <c r="EWI30" s="47"/>
      <c r="EWJ30" s="47"/>
      <c r="EWK30" s="47"/>
      <c r="EWL30" s="47"/>
      <c r="EWM30" s="47"/>
      <c r="EWN30" s="47"/>
      <c r="EWO30" s="47"/>
      <c r="EWP30" s="47"/>
      <c r="EWQ30" s="47"/>
      <c r="EWR30" s="47"/>
      <c r="EWS30" s="47"/>
      <c r="EWT30" s="47"/>
      <c r="EWU30" s="47"/>
      <c r="EWV30" s="47"/>
      <c r="EWW30" s="47"/>
      <c r="EWX30" s="47"/>
      <c r="EWY30" s="47"/>
      <c r="EWZ30" s="47"/>
      <c r="EXA30" s="47"/>
      <c r="EXB30" s="47"/>
      <c r="EXC30" s="47"/>
      <c r="EXD30" s="47"/>
      <c r="EXE30" s="47"/>
      <c r="EXF30" s="47"/>
      <c r="EXG30" s="47"/>
      <c r="EXH30" s="47"/>
      <c r="EXI30" s="47"/>
      <c r="EXJ30" s="47"/>
      <c r="EXK30" s="47"/>
      <c r="EXL30" s="47"/>
      <c r="EXM30" s="47"/>
      <c r="EXN30" s="47"/>
      <c r="EXO30" s="47"/>
      <c r="EXP30" s="47"/>
      <c r="EXQ30" s="47"/>
      <c r="EXR30" s="47"/>
      <c r="EXS30" s="47"/>
      <c r="EXT30" s="47"/>
      <c r="EXU30" s="47"/>
      <c r="EXV30" s="47"/>
      <c r="EXW30" s="47"/>
      <c r="EXX30" s="47"/>
      <c r="EXY30" s="47"/>
      <c r="EXZ30" s="47"/>
      <c r="EYA30" s="47"/>
      <c r="EYB30" s="47"/>
      <c r="EYC30" s="47"/>
      <c r="EYD30" s="47"/>
      <c r="EYE30" s="47"/>
      <c r="EYF30" s="47"/>
      <c r="EYG30" s="47"/>
      <c r="EYH30" s="47"/>
      <c r="EYI30" s="47"/>
      <c r="EYJ30" s="47"/>
      <c r="EYK30" s="47"/>
      <c r="EYL30" s="47"/>
      <c r="EYM30" s="47"/>
      <c r="EYN30" s="47"/>
      <c r="EYO30" s="47"/>
      <c r="EYP30" s="47"/>
      <c r="EYQ30" s="47"/>
      <c r="EYR30" s="47"/>
      <c r="EYS30" s="47"/>
      <c r="EYT30" s="47"/>
      <c r="EYU30" s="47"/>
      <c r="EYV30" s="47"/>
      <c r="EYW30" s="47"/>
      <c r="EYX30" s="47"/>
      <c r="EYY30" s="47"/>
      <c r="EYZ30" s="47"/>
      <c r="EZA30" s="47"/>
      <c r="EZB30" s="47"/>
      <c r="EZC30" s="47"/>
      <c r="EZD30" s="47"/>
      <c r="EZE30" s="47"/>
      <c r="EZF30" s="47"/>
      <c r="EZG30" s="47"/>
      <c r="EZH30" s="47"/>
      <c r="EZI30" s="47"/>
      <c r="EZJ30" s="47"/>
      <c r="EZK30" s="47"/>
      <c r="EZL30" s="47"/>
      <c r="EZM30" s="47"/>
      <c r="EZN30" s="47"/>
      <c r="EZO30" s="47"/>
      <c r="EZP30" s="47"/>
      <c r="EZQ30" s="47"/>
      <c r="EZR30" s="47"/>
      <c r="EZS30" s="47"/>
      <c r="EZT30" s="47"/>
      <c r="EZU30" s="47"/>
      <c r="EZV30" s="47"/>
      <c r="EZW30" s="47"/>
      <c r="EZX30" s="47"/>
      <c r="EZY30" s="47"/>
      <c r="EZZ30" s="47"/>
      <c r="FAA30" s="47"/>
      <c r="FAB30" s="47"/>
      <c r="FAC30" s="47"/>
      <c r="FAD30" s="47"/>
      <c r="FAE30" s="47"/>
      <c r="FAF30" s="47"/>
      <c r="FAG30" s="47"/>
      <c r="FAH30" s="47"/>
      <c r="FAI30" s="47"/>
      <c r="FAJ30" s="47"/>
      <c r="FAK30" s="47"/>
      <c r="FAL30" s="47"/>
      <c r="FAM30" s="47"/>
      <c r="FAN30" s="47"/>
      <c r="FAO30" s="47"/>
      <c r="FAP30" s="47"/>
      <c r="FAQ30" s="47"/>
      <c r="FAR30" s="47"/>
      <c r="FAS30" s="47"/>
      <c r="FAT30" s="47"/>
      <c r="FAU30" s="47"/>
      <c r="FAV30" s="47"/>
      <c r="FAW30" s="47"/>
      <c r="FAX30" s="47"/>
      <c r="FAY30" s="47"/>
      <c r="FAZ30" s="47"/>
      <c r="FBA30" s="47"/>
      <c r="FBB30" s="47"/>
      <c r="FBC30" s="47"/>
      <c r="FBD30" s="47"/>
      <c r="FBE30" s="47"/>
      <c r="FBF30" s="47"/>
      <c r="FBG30" s="47"/>
      <c r="FBH30" s="47"/>
      <c r="FBI30" s="47"/>
      <c r="FBJ30" s="47"/>
      <c r="FBK30" s="47"/>
      <c r="FBL30" s="47"/>
      <c r="FBM30" s="47"/>
      <c r="FBN30" s="47"/>
      <c r="FBO30" s="47"/>
      <c r="FBP30" s="47"/>
      <c r="FBQ30" s="47"/>
      <c r="FBR30" s="47"/>
      <c r="FBS30" s="47"/>
      <c r="FBT30" s="47"/>
      <c r="FBU30" s="47"/>
      <c r="FBV30" s="47"/>
      <c r="FBW30" s="47"/>
      <c r="FBX30" s="47"/>
      <c r="FBY30" s="47"/>
      <c r="FBZ30" s="47"/>
      <c r="FCA30" s="47"/>
      <c r="FCB30" s="47"/>
      <c r="FCC30" s="47"/>
      <c r="FCD30" s="47"/>
      <c r="FCE30" s="47"/>
      <c r="FCF30" s="47"/>
      <c r="FCG30" s="47"/>
      <c r="FCH30" s="47"/>
      <c r="FCI30" s="47"/>
      <c r="FCJ30" s="47"/>
      <c r="FCK30" s="47"/>
      <c r="FCL30" s="47"/>
      <c r="FCM30" s="47"/>
      <c r="FCN30" s="47"/>
      <c r="FCO30" s="47"/>
      <c r="FCP30" s="47"/>
      <c r="FCQ30" s="47"/>
      <c r="FCR30" s="47"/>
      <c r="FCS30" s="47"/>
      <c r="FCT30" s="47"/>
      <c r="FCU30" s="47"/>
      <c r="FCV30" s="47"/>
      <c r="FCW30" s="47"/>
      <c r="FCX30" s="47"/>
      <c r="FCY30" s="47"/>
      <c r="FCZ30" s="47"/>
      <c r="FDA30" s="47"/>
      <c r="FDB30" s="47"/>
      <c r="FDC30" s="47"/>
      <c r="FDD30" s="47"/>
      <c r="FDE30" s="47"/>
      <c r="FDF30" s="47"/>
      <c r="FDG30" s="47"/>
      <c r="FDH30" s="47"/>
      <c r="FDI30" s="47"/>
      <c r="FDJ30" s="47"/>
      <c r="FDK30" s="47"/>
      <c r="FDL30" s="47"/>
      <c r="FDM30" s="47"/>
      <c r="FDN30" s="47"/>
      <c r="FDO30" s="47"/>
      <c r="FDP30" s="47"/>
      <c r="FDQ30" s="47"/>
      <c r="FDR30" s="47"/>
      <c r="FDS30" s="47"/>
      <c r="FDT30" s="47"/>
      <c r="FDU30" s="47"/>
      <c r="FDV30" s="47"/>
      <c r="FDW30" s="47"/>
      <c r="FDX30" s="47"/>
      <c r="FDY30" s="47"/>
      <c r="FDZ30" s="47"/>
      <c r="FEA30" s="47"/>
      <c r="FEB30" s="47"/>
      <c r="FEC30" s="47"/>
      <c r="FED30" s="47"/>
      <c r="FEE30" s="47"/>
      <c r="FEF30" s="47"/>
      <c r="FEG30" s="47"/>
      <c r="FEH30" s="47"/>
      <c r="FEI30" s="47"/>
      <c r="FEJ30" s="47"/>
      <c r="FEK30" s="47"/>
      <c r="FEL30" s="47"/>
      <c r="FEM30" s="47"/>
      <c r="FEN30" s="47"/>
      <c r="FEO30" s="47"/>
      <c r="FEP30" s="47"/>
      <c r="FEQ30" s="47"/>
      <c r="FER30" s="47"/>
      <c r="FES30" s="47"/>
      <c r="FET30" s="47"/>
      <c r="FEU30" s="47"/>
      <c r="FEV30" s="47"/>
      <c r="FEW30" s="47"/>
      <c r="FEX30" s="47"/>
      <c r="FEY30" s="47"/>
      <c r="FEZ30" s="47"/>
      <c r="FFA30" s="47"/>
      <c r="FFB30" s="47"/>
      <c r="FFC30" s="47"/>
      <c r="FFD30" s="47"/>
      <c r="FFE30" s="47"/>
      <c r="FFF30" s="47"/>
      <c r="FFG30" s="47"/>
      <c r="FFH30" s="47"/>
      <c r="FFI30" s="47"/>
      <c r="FFJ30" s="47"/>
      <c r="FFK30" s="47"/>
      <c r="FFL30" s="47"/>
      <c r="FFM30" s="47"/>
      <c r="FFN30" s="47"/>
      <c r="FFO30" s="47"/>
      <c r="FFP30" s="47"/>
      <c r="FFQ30" s="47"/>
      <c r="FFR30" s="47"/>
      <c r="FFS30" s="47"/>
      <c r="FFT30" s="47"/>
      <c r="FFU30" s="47"/>
      <c r="FFV30" s="47"/>
      <c r="FFW30" s="47"/>
      <c r="FFX30" s="47"/>
      <c r="FFY30" s="47"/>
      <c r="FFZ30" s="47"/>
      <c r="FGA30" s="47"/>
      <c r="FGB30" s="47"/>
      <c r="FGC30" s="47"/>
      <c r="FGD30" s="47"/>
      <c r="FGE30" s="47"/>
      <c r="FGF30" s="47"/>
      <c r="FGG30" s="47"/>
      <c r="FGH30" s="47"/>
      <c r="FGI30" s="47"/>
      <c r="FGJ30" s="47"/>
      <c r="FGK30" s="47"/>
      <c r="FGL30" s="47"/>
      <c r="FGM30" s="47"/>
      <c r="FGN30" s="47"/>
      <c r="FGO30" s="47"/>
      <c r="FGP30" s="47"/>
      <c r="FGQ30" s="47"/>
      <c r="FGR30" s="47"/>
      <c r="FGS30" s="47"/>
      <c r="FGT30" s="47"/>
      <c r="FGU30" s="47"/>
      <c r="FGV30" s="47"/>
      <c r="FGW30" s="47"/>
      <c r="FGX30" s="47"/>
      <c r="FGY30" s="47"/>
      <c r="FGZ30" s="47"/>
      <c r="FHA30" s="47"/>
      <c r="FHB30" s="47"/>
      <c r="FHC30" s="47"/>
      <c r="FHD30" s="47"/>
      <c r="FHE30" s="47"/>
      <c r="FHF30" s="47"/>
      <c r="FHG30" s="47"/>
      <c r="FHH30" s="47"/>
      <c r="FHI30" s="47"/>
      <c r="FHJ30" s="47"/>
      <c r="FHK30" s="47"/>
      <c r="FHL30" s="47"/>
      <c r="FHM30" s="47"/>
      <c r="FHN30" s="47"/>
      <c r="FHO30" s="47"/>
      <c r="FHP30" s="47"/>
      <c r="FHQ30" s="47"/>
      <c r="FHR30" s="47"/>
      <c r="FHS30" s="47"/>
      <c r="FHT30" s="47"/>
      <c r="FHU30" s="47"/>
      <c r="FHV30" s="47"/>
      <c r="FHW30" s="47"/>
      <c r="FHX30" s="47"/>
      <c r="FHY30" s="47"/>
      <c r="FHZ30" s="47"/>
      <c r="FIA30" s="47"/>
      <c r="FIB30" s="47"/>
      <c r="FIC30" s="47"/>
      <c r="FID30" s="47"/>
      <c r="FIE30" s="47"/>
      <c r="FIF30" s="47"/>
      <c r="FIG30" s="47"/>
      <c r="FIH30" s="47"/>
      <c r="FII30" s="47"/>
      <c r="FIJ30" s="47"/>
      <c r="FIK30" s="47"/>
      <c r="FIL30" s="47"/>
      <c r="FIM30" s="47"/>
      <c r="FIN30" s="47"/>
      <c r="FIO30" s="47"/>
      <c r="FIP30" s="47"/>
      <c r="FIQ30" s="47"/>
      <c r="FIR30" s="47"/>
      <c r="FIS30" s="47"/>
      <c r="FIT30" s="47"/>
      <c r="FIU30" s="47"/>
      <c r="FIV30" s="47"/>
      <c r="FIW30" s="47"/>
      <c r="FIX30" s="47"/>
      <c r="FIY30" s="47"/>
      <c r="FIZ30" s="47"/>
      <c r="FJA30" s="47"/>
      <c r="FJB30" s="47"/>
      <c r="FJC30" s="47"/>
      <c r="FJD30" s="47"/>
      <c r="FJE30" s="47"/>
      <c r="FJF30" s="47"/>
      <c r="FJG30" s="47"/>
      <c r="FJH30" s="47"/>
      <c r="FJI30" s="47"/>
      <c r="FJJ30" s="47"/>
      <c r="FJK30" s="47"/>
      <c r="FJL30" s="47"/>
      <c r="FJM30" s="47"/>
      <c r="FJN30" s="47"/>
      <c r="FJO30" s="47"/>
      <c r="FJP30" s="47"/>
      <c r="FJQ30" s="47"/>
      <c r="FJR30" s="47"/>
      <c r="FJS30" s="47"/>
      <c r="FJT30" s="47"/>
      <c r="FJU30" s="47"/>
      <c r="FJV30" s="47"/>
      <c r="FJW30" s="47"/>
      <c r="FJX30" s="47"/>
      <c r="FJY30" s="47"/>
      <c r="FJZ30" s="47"/>
      <c r="FKA30" s="47"/>
      <c r="FKB30" s="47"/>
      <c r="FKC30" s="47"/>
      <c r="FKD30" s="47"/>
      <c r="FKE30" s="47"/>
      <c r="FKF30" s="47"/>
      <c r="FKG30" s="47"/>
      <c r="FKH30" s="47"/>
      <c r="FKI30" s="47"/>
      <c r="FKJ30" s="47"/>
      <c r="FKK30" s="47"/>
      <c r="FKL30" s="47"/>
      <c r="FKM30" s="47"/>
      <c r="FKN30" s="47"/>
      <c r="FKO30" s="47"/>
      <c r="FKP30" s="47"/>
      <c r="FKQ30" s="47"/>
      <c r="FKR30" s="47"/>
      <c r="FKS30" s="47"/>
      <c r="FKT30" s="47"/>
      <c r="FKU30" s="47"/>
      <c r="FKV30" s="47"/>
      <c r="FKW30" s="47"/>
      <c r="FKX30" s="47"/>
      <c r="FKY30" s="47"/>
      <c r="FKZ30" s="47"/>
      <c r="FLA30" s="47"/>
      <c r="FLB30" s="47"/>
      <c r="FLC30" s="47"/>
      <c r="FLD30" s="47"/>
      <c r="FLE30" s="47"/>
      <c r="FLF30" s="47"/>
      <c r="FLG30" s="47"/>
      <c r="FLH30" s="47"/>
      <c r="FLI30" s="47"/>
      <c r="FLJ30" s="47"/>
      <c r="FLK30" s="47"/>
      <c r="FLL30" s="47"/>
      <c r="FLM30" s="47"/>
      <c r="FLN30" s="47"/>
      <c r="FLO30" s="47"/>
      <c r="FLP30" s="47"/>
      <c r="FLQ30" s="47"/>
      <c r="FLR30" s="47"/>
      <c r="FLS30" s="47"/>
      <c r="FLT30" s="47"/>
      <c r="FLU30" s="47"/>
      <c r="FLV30" s="47"/>
      <c r="FLW30" s="47"/>
      <c r="FLX30" s="47"/>
      <c r="FLY30" s="47"/>
      <c r="FLZ30" s="47"/>
      <c r="FMA30" s="47"/>
      <c r="FMB30" s="47"/>
      <c r="FMC30" s="47"/>
      <c r="FMD30" s="47"/>
      <c r="FME30" s="47"/>
      <c r="FMF30" s="47"/>
      <c r="FMG30" s="47"/>
      <c r="FMH30" s="47"/>
      <c r="FMI30" s="47"/>
      <c r="FMJ30" s="47"/>
      <c r="FMK30" s="47"/>
      <c r="FML30" s="47"/>
      <c r="FMM30" s="47"/>
      <c r="FMN30" s="47"/>
      <c r="FMO30" s="47"/>
      <c r="FMP30" s="47"/>
      <c r="FMQ30" s="47"/>
      <c r="FMR30" s="47"/>
      <c r="FMS30" s="47"/>
      <c r="FMT30" s="47"/>
      <c r="FMU30" s="47"/>
      <c r="FMV30" s="47"/>
      <c r="FMW30" s="47"/>
      <c r="FMX30" s="47"/>
      <c r="FMY30" s="47"/>
      <c r="FMZ30" s="47"/>
      <c r="FNA30" s="47"/>
      <c r="FNB30" s="47"/>
      <c r="FNC30" s="47"/>
      <c r="FND30" s="47"/>
      <c r="FNE30" s="47"/>
      <c r="FNF30" s="47"/>
      <c r="FNG30" s="47"/>
      <c r="FNH30" s="47"/>
      <c r="FNI30" s="47"/>
      <c r="FNJ30" s="47"/>
      <c r="FNK30" s="47"/>
      <c r="FNL30" s="47"/>
      <c r="FNM30" s="47"/>
      <c r="FNN30" s="47"/>
      <c r="FNO30" s="47"/>
      <c r="FNP30" s="47"/>
      <c r="FNQ30" s="47"/>
      <c r="FNR30" s="47"/>
      <c r="FNS30" s="47"/>
      <c r="FNT30" s="47"/>
      <c r="FNU30" s="47"/>
      <c r="FNV30" s="47"/>
      <c r="FNW30" s="47"/>
      <c r="FNX30" s="47"/>
      <c r="FNY30" s="47"/>
      <c r="FNZ30" s="47"/>
      <c r="FOA30" s="47"/>
      <c r="FOB30" s="47"/>
      <c r="FOC30" s="47"/>
      <c r="FOD30" s="47"/>
      <c r="FOE30" s="47"/>
      <c r="FOF30" s="47"/>
      <c r="FOG30" s="47"/>
      <c r="FOH30" s="47"/>
      <c r="FOI30" s="47"/>
      <c r="FOJ30" s="47"/>
      <c r="FOK30" s="47"/>
      <c r="FOL30" s="47"/>
      <c r="FOM30" s="47"/>
      <c r="FON30" s="47"/>
      <c r="FOO30" s="47"/>
      <c r="FOP30" s="47"/>
      <c r="FOQ30" s="47"/>
      <c r="FOR30" s="47"/>
      <c r="FOS30" s="47"/>
      <c r="FOT30" s="47"/>
      <c r="FOU30" s="47"/>
      <c r="FOV30" s="47"/>
      <c r="FOW30" s="47"/>
      <c r="FOX30" s="47"/>
      <c r="FOY30" s="47"/>
      <c r="FOZ30" s="47"/>
      <c r="FPA30" s="47"/>
      <c r="FPB30" s="47"/>
      <c r="FPC30" s="47"/>
      <c r="FPD30" s="47"/>
      <c r="FPE30" s="47"/>
      <c r="FPF30" s="47"/>
      <c r="FPG30" s="47"/>
      <c r="FPH30" s="47"/>
      <c r="FPI30" s="47"/>
      <c r="FPJ30" s="47"/>
      <c r="FPK30" s="47"/>
      <c r="FPL30" s="47"/>
      <c r="FPM30" s="47"/>
      <c r="FPN30" s="47"/>
      <c r="FPO30" s="47"/>
      <c r="FPP30" s="47"/>
      <c r="FPQ30" s="47"/>
      <c r="FPR30" s="47"/>
      <c r="FPS30" s="47"/>
      <c r="FPT30" s="47"/>
      <c r="FPU30" s="47"/>
      <c r="FPV30" s="47"/>
      <c r="FPW30" s="47"/>
      <c r="FPX30" s="47"/>
      <c r="FPY30" s="47"/>
      <c r="FPZ30" s="47"/>
      <c r="FQA30" s="47"/>
      <c r="FQB30" s="47"/>
      <c r="FQC30" s="47"/>
      <c r="FQD30" s="47"/>
      <c r="FQE30" s="47"/>
      <c r="FQF30" s="47"/>
      <c r="FQG30" s="47"/>
      <c r="FQH30" s="47"/>
      <c r="FQI30" s="47"/>
      <c r="FQJ30" s="47"/>
      <c r="FQK30" s="47"/>
      <c r="FQL30" s="47"/>
      <c r="FQM30" s="47"/>
      <c r="FQN30" s="47"/>
      <c r="FQO30" s="47"/>
      <c r="FQP30" s="47"/>
      <c r="FQQ30" s="47"/>
      <c r="FQR30" s="47"/>
      <c r="FQS30" s="47"/>
      <c r="FQT30" s="47"/>
      <c r="FQU30" s="47"/>
      <c r="FQV30" s="47"/>
      <c r="FQW30" s="47"/>
      <c r="FQX30" s="47"/>
      <c r="FQY30" s="47"/>
      <c r="FQZ30" s="47"/>
      <c r="FRA30" s="47"/>
      <c r="FRB30" s="47"/>
      <c r="FRC30" s="47"/>
      <c r="FRD30" s="47"/>
      <c r="FRE30" s="47"/>
      <c r="FRF30" s="47"/>
      <c r="FRG30" s="47"/>
      <c r="FRH30" s="47"/>
      <c r="FRI30" s="47"/>
      <c r="FRJ30" s="47"/>
      <c r="FRK30" s="47"/>
      <c r="FRL30" s="47"/>
      <c r="FRM30" s="47"/>
      <c r="FRN30" s="47"/>
      <c r="FRO30" s="47"/>
      <c r="FRP30" s="47"/>
      <c r="FRQ30" s="47"/>
      <c r="FRR30" s="47"/>
      <c r="FRS30" s="47"/>
      <c r="FRT30" s="47"/>
      <c r="FRU30" s="47"/>
      <c r="FRV30" s="47"/>
      <c r="FRW30" s="47"/>
      <c r="FRX30" s="47"/>
      <c r="FRY30" s="47"/>
      <c r="FRZ30" s="47"/>
      <c r="FSA30" s="47"/>
      <c r="FSB30" s="47"/>
      <c r="FSC30" s="47"/>
      <c r="FSD30" s="47"/>
      <c r="FSE30" s="47"/>
      <c r="FSF30" s="47"/>
      <c r="FSG30" s="47"/>
      <c r="FSH30" s="47"/>
      <c r="FSI30" s="47"/>
      <c r="FSJ30" s="47"/>
      <c r="FSK30" s="47"/>
      <c r="FSL30" s="47"/>
      <c r="FSM30" s="47"/>
      <c r="FSN30" s="47"/>
      <c r="FSO30" s="47"/>
      <c r="FSP30" s="47"/>
      <c r="FSQ30" s="47"/>
      <c r="FSR30" s="47"/>
      <c r="FSS30" s="47"/>
      <c r="FST30" s="47"/>
      <c r="FSU30" s="47"/>
      <c r="FSV30" s="47"/>
      <c r="FSW30" s="47"/>
      <c r="FSX30" s="47"/>
      <c r="FSY30" s="47"/>
      <c r="FSZ30" s="47"/>
      <c r="FTA30" s="47"/>
      <c r="FTB30" s="47"/>
      <c r="FTC30" s="47"/>
      <c r="FTD30" s="47"/>
      <c r="FTE30" s="47"/>
      <c r="FTF30" s="47"/>
      <c r="FTG30" s="47"/>
      <c r="FTH30" s="47"/>
      <c r="FTI30" s="47"/>
      <c r="FTJ30" s="47"/>
      <c r="FTK30" s="47"/>
      <c r="FTL30" s="47"/>
      <c r="FTM30" s="47"/>
      <c r="FTN30" s="47"/>
      <c r="FTO30" s="47"/>
      <c r="FTP30" s="47"/>
      <c r="FTQ30" s="47"/>
      <c r="FTR30" s="47"/>
      <c r="FTS30" s="47"/>
      <c r="FTT30" s="47"/>
      <c r="FTU30" s="47"/>
      <c r="FTV30" s="47"/>
      <c r="FTW30" s="47"/>
      <c r="FTX30" s="47"/>
      <c r="FTY30" s="47"/>
      <c r="FTZ30" s="47"/>
      <c r="FUA30" s="47"/>
      <c r="FUB30" s="47"/>
      <c r="FUC30" s="47"/>
      <c r="FUD30" s="47"/>
      <c r="FUE30" s="47"/>
      <c r="FUF30" s="47"/>
      <c r="FUG30" s="47"/>
      <c r="FUH30" s="47"/>
      <c r="FUI30" s="47"/>
      <c r="FUJ30" s="47"/>
      <c r="FUK30" s="47"/>
      <c r="FUL30" s="47"/>
      <c r="FUM30" s="47"/>
      <c r="FUN30" s="47"/>
      <c r="FUO30" s="47"/>
      <c r="FUP30" s="47"/>
      <c r="FUQ30" s="47"/>
      <c r="FUR30" s="47"/>
      <c r="FUS30" s="47"/>
      <c r="FUT30" s="47"/>
      <c r="FUU30" s="47"/>
      <c r="FUV30" s="47"/>
      <c r="FUW30" s="47"/>
      <c r="FUX30" s="47"/>
      <c r="FUY30" s="47"/>
      <c r="FUZ30" s="47"/>
      <c r="FVA30" s="47"/>
      <c r="FVB30" s="47"/>
      <c r="FVC30" s="47"/>
      <c r="FVD30" s="47"/>
      <c r="FVE30" s="47"/>
      <c r="FVF30" s="47"/>
      <c r="FVG30" s="47"/>
      <c r="FVH30" s="47"/>
      <c r="FVI30" s="47"/>
      <c r="FVJ30" s="47"/>
      <c r="FVK30" s="47"/>
      <c r="FVL30" s="47"/>
      <c r="FVM30" s="47"/>
      <c r="FVN30" s="47"/>
      <c r="FVO30" s="47"/>
      <c r="FVP30" s="47"/>
      <c r="FVQ30" s="47"/>
      <c r="FVR30" s="47"/>
      <c r="FVS30" s="47"/>
      <c r="FVT30" s="47"/>
      <c r="FVU30" s="47"/>
      <c r="FVV30" s="47"/>
      <c r="FVW30" s="47"/>
      <c r="FVX30" s="47"/>
      <c r="FVY30" s="47"/>
      <c r="FVZ30" s="47"/>
      <c r="FWA30" s="47"/>
      <c r="FWB30" s="47"/>
      <c r="FWC30" s="47"/>
      <c r="FWD30" s="47"/>
      <c r="FWE30" s="47"/>
      <c r="FWF30" s="47"/>
      <c r="FWG30" s="47"/>
      <c r="FWH30" s="47"/>
      <c r="FWI30" s="47"/>
      <c r="FWJ30" s="47"/>
      <c r="FWK30" s="47"/>
      <c r="FWL30" s="47"/>
      <c r="FWM30" s="47"/>
      <c r="FWN30" s="47"/>
      <c r="FWO30" s="47"/>
      <c r="FWP30" s="47"/>
      <c r="FWQ30" s="47"/>
      <c r="FWR30" s="47"/>
      <c r="FWS30" s="47"/>
      <c r="FWT30" s="47"/>
      <c r="FWU30" s="47"/>
      <c r="FWV30" s="47"/>
      <c r="FWW30" s="47"/>
      <c r="FWX30" s="47"/>
      <c r="FWY30" s="47"/>
      <c r="FWZ30" s="47"/>
      <c r="FXA30" s="47"/>
      <c r="FXB30" s="47"/>
      <c r="FXC30" s="47"/>
      <c r="FXD30" s="47"/>
      <c r="FXE30" s="47"/>
      <c r="FXF30" s="47"/>
      <c r="FXG30" s="47"/>
      <c r="FXH30" s="47"/>
      <c r="FXI30" s="47"/>
      <c r="FXJ30" s="47"/>
      <c r="FXK30" s="47"/>
      <c r="FXL30" s="47"/>
      <c r="FXM30" s="47"/>
      <c r="FXN30" s="47"/>
      <c r="FXO30" s="47"/>
      <c r="FXP30" s="47"/>
      <c r="FXQ30" s="47"/>
      <c r="FXR30" s="47"/>
      <c r="FXS30" s="47"/>
      <c r="FXT30" s="47"/>
      <c r="FXU30" s="47"/>
      <c r="FXV30" s="47"/>
      <c r="FXW30" s="47"/>
      <c r="FXX30" s="47"/>
      <c r="FXY30" s="47"/>
      <c r="FXZ30" s="47"/>
      <c r="FYA30" s="47"/>
      <c r="FYB30" s="47"/>
      <c r="FYC30" s="47"/>
      <c r="FYD30" s="47"/>
      <c r="FYE30" s="47"/>
      <c r="FYF30" s="47"/>
      <c r="FYG30" s="47"/>
      <c r="FYH30" s="47"/>
      <c r="FYI30" s="47"/>
      <c r="FYJ30" s="47"/>
      <c r="FYK30" s="47"/>
      <c r="FYL30" s="47"/>
      <c r="FYM30" s="47"/>
      <c r="FYN30" s="47"/>
      <c r="FYO30" s="47"/>
      <c r="FYP30" s="47"/>
      <c r="FYQ30" s="47"/>
      <c r="FYR30" s="47"/>
      <c r="FYS30" s="47"/>
      <c r="FYT30" s="47"/>
      <c r="FYU30" s="47"/>
      <c r="FYV30" s="47"/>
      <c r="FYW30" s="47"/>
      <c r="FYX30" s="47"/>
      <c r="FYY30" s="47"/>
      <c r="FYZ30" s="47"/>
      <c r="FZA30" s="47"/>
      <c r="FZB30" s="47"/>
      <c r="FZC30" s="47"/>
      <c r="FZD30" s="47"/>
      <c r="FZE30" s="47"/>
      <c r="FZF30" s="47"/>
      <c r="FZG30" s="47"/>
      <c r="FZH30" s="47"/>
      <c r="FZI30" s="47"/>
      <c r="FZJ30" s="47"/>
      <c r="FZK30" s="47"/>
      <c r="FZL30" s="47"/>
      <c r="FZM30" s="47"/>
      <c r="FZN30" s="47"/>
      <c r="FZO30" s="47"/>
      <c r="FZP30" s="47"/>
      <c r="FZQ30" s="47"/>
      <c r="FZR30" s="47"/>
      <c r="FZS30" s="47"/>
      <c r="FZT30" s="47"/>
      <c r="FZU30" s="47"/>
      <c r="FZV30" s="47"/>
      <c r="FZW30" s="47"/>
      <c r="FZX30" s="47"/>
      <c r="FZY30" s="47"/>
      <c r="FZZ30" s="47"/>
      <c r="GAA30" s="47"/>
      <c r="GAB30" s="47"/>
      <c r="GAC30" s="47"/>
      <c r="GAD30" s="47"/>
      <c r="GAE30" s="47"/>
      <c r="GAF30" s="47"/>
      <c r="GAG30" s="47"/>
      <c r="GAH30" s="47"/>
      <c r="GAI30" s="47"/>
      <c r="GAJ30" s="47"/>
      <c r="GAK30" s="47"/>
      <c r="GAL30" s="47"/>
      <c r="GAM30" s="47"/>
      <c r="GAN30" s="47"/>
      <c r="GAO30" s="47"/>
      <c r="GAP30" s="47"/>
      <c r="GAQ30" s="47"/>
      <c r="GAR30" s="47"/>
      <c r="GAS30" s="47"/>
      <c r="GAT30" s="47"/>
      <c r="GAU30" s="47"/>
      <c r="GAV30" s="47"/>
      <c r="GAW30" s="47"/>
      <c r="GAX30" s="47"/>
      <c r="GAY30" s="47"/>
      <c r="GAZ30" s="47"/>
      <c r="GBA30" s="47"/>
      <c r="GBB30" s="47"/>
      <c r="GBC30" s="47"/>
      <c r="GBD30" s="47"/>
      <c r="GBE30" s="47"/>
      <c r="GBF30" s="47"/>
      <c r="GBG30" s="47"/>
      <c r="GBH30" s="47"/>
      <c r="GBI30" s="47"/>
      <c r="GBJ30" s="47"/>
      <c r="GBK30" s="47"/>
      <c r="GBL30" s="47"/>
      <c r="GBM30" s="47"/>
      <c r="GBN30" s="47"/>
      <c r="GBO30" s="47"/>
      <c r="GBP30" s="47"/>
      <c r="GBQ30" s="47"/>
      <c r="GBR30" s="47"/>
      <c r="GBS30" s="47"/>
      <c r="GBT30" s="47"/>
      <c r="GBU30" s="47"/>
      <c r="GBV30" s="47"/>
      <c r="GBW30" s="47"/>
      <c r="GBX30" s="47"/>
      <c r="GBY30" s="47"/>
      <c r="GBZ30" s="47"/>
      <c r="GCA30" s="47"/>
      <c r="GCB30" s="47"/>
      <c r="GCC30" s="47"/>
      <c r="GCD30" s="47"/>
      <c r="GCE30" s="47"/>
      <c r="GCF30" s="47"/>
      <c r="GCG30" s="47"/>
      <c r="GCH30" s="47"/>
      <c r="GCI30" s="47"/>
      <c r="GCJ30" s="47"/>
      <c r="GCK30" s="47"/>
      <c r="GCL30" s="47"/>
      <c r="GCM30" s="47"/>
      <c r="GCN30" s="47"/>
      <c r="GCO30" s="47"/>
      <c r="GCP30" s="47"/>
      <c r="GCQ30" s="47"/>
      <c r="GCR30" s="47"/>
      <c r="GCS30" s="47"/>
      <c r="GCT30" s="47"/>
      <c r="GCU30" s="47"/>
      <c r="GCV30" s="47"/>
      <c r="GCW30" s="47"/>
      <c r="GCX30" s="47"/>
      <c r="GCY30" s="47"/>
      <c r="GCZ30" s="47"/>
      <c r="GDA30" s="47"/>
      <c r="GDB30" s="47"/>
      <c r="GDC30" s="47"/>
      <c r="GDD30" s="47"/>
      <c r="GDE30" s="47"/>
      <c r="GDF30" s="47"/>
      <c r="GDG30" s="47"/>
      <c r="GDH30" s="47"/>
      <c r="GDI30" s="47"/>
      <c r="GDJ30" s="47"/>
      <c r="GDK30" s="47"/>
      <c r="GDL30" s="47"/>
      <c r="GDM30" s="47"/>
      <c r="GDN30" s="47"/>
      <c r="GDO30" s="47"/>
      <c r="GDP30" s="47"/>
      <c r="GDQ30" s="47"/>
      <c r="GDR30" s="47"/>
      <c r="GDS30" s="47"/>
      <c r="GDT30" s="47"/>
      <c r="GDU30" s="47"/>
      <c r="GDV30" s="47"/>
      <c r="GDW30" s="47"/>
      <c r="GDX30" s="47"/>
      <c r="GDY30" s="47"/>
      <c r="GDZ30" s="47"/>
      <c r="GEA30" s="47"/>
      <c r="GEB30" s="47"/>
      <c r="GEC30" s="47"/>
      <c r="GED30" s="47"/>
      <c r="GEE30" s="47"/>
      <c r="GEF30" s="47"/>
      <c r="GEG30" s="47"/>
      <c r="GEH30" s="47"/>
      <c r="GEI30" s="47"/>
      <c r="GEJ30" s="47"/>
      <c r="GEK30" s="47"/>
      <c r="GEL30" s="47"/>
      <c r="GEM30" s="47"/>
      <c r="GEN30" s="47"/>
      <c r="GEO30" s="47"/>
      <c r="GEP30" s="47"/>
      <c r="GEQ30" s="47"/>
      <c r="GER30" s="47"/>
      <c r="GES30" s="47"/>
      <c r="GET30" s="47"/>
      <c r="GEU30" s="47"/>
      <c r="GEV30" s="47"/>
      <c r="GEW30" s="47"/>
      <c r="GEX30" s="47"/>
      <c r="GEY30" s="47"/>
      <c r="GEZ30" s="47"/>
      <c r="GFA30" s="47"/>
      <c r="GFB30" s="47"/>
      <c r="GFC30" s="47"/>
      <c r="GFD30" s="47"/>
      <c r="GFE30" s="47"/>
      <c r="GFF30" s="47"/>
      <c r="GFG30" s="47"/>
      <c r="GFH30" s="47"/>
      <c r="GFI30" s="47"/>
      <c r="GFJ30" s="47"/>
      <c r="GFK30" s="47"/>
      <c r="GFL30" s="47"/>
      <c r="GFM30" s="47"/>
      <c r="GFN30" s="47"/>
      <c r="GFO30" s="47"/>
      <c r="GFP30" s="47"/>
      <c r="GFQ30" s="47"/>
      <c r="GFR30" s="47"/>
      <c r="GFS30" s="47"/>
      <c r="GFT30" s="47"/>
      <c r="GFU30" s="47"/>
      <c r="GFV30" s="47"/>
      <c r="GFW30" s="47"/>
      <c r="GFX30" s="47"/>
      <c r="GFY30" s="47"/>
      <c r="GFZ30" s="47"/>
      <c r="GGA30" s="47"/>
      <c r="GGB30" s="47"/>
      <c r="GGC30" s="47"/>
      <c r="GGD30" s="47"/>
      <c r="GGE30" s="47"/>
      <c r="GGF30" s="47"/>
      <c r="GGG30" s="47"/>
      <c r="GGH30" s="47"/>
      <c r="GGI30" s="47"/>
      <c r="GGJ30" s="47"/>
      <c r="GGK30" s="47"/>
      <c r="GGL30" s="47"/>
      <c r="GGM30" s="47"/>
      <c r="GGN30" s="47"/>
      <c r="GGO30" s="47"/>
      <c r="GGP30" s="47"/>
      <c r="GGQ30" s="47"/>
      <c r="GGR30" s="47"/>
      <c r="GGS30" s="47"/>
      <c r="GGT30" s="47"/>
      <c r="GGU30" s="47"/>
      <c r="GGV30" s="47"/>
      <c r="GGW30" s="47"/>
      <c r="GGX30" s="47"/>
      <c r="GGY30" s="47"/>
      <c r="GGZ30" s="47"/>
      <c r="GHA30" s="47"/>
      <c r="GHB30" s="47"/>
      <c r="GHC30" s="47"/>
      <c r="GHD30" s="47"/>
      <c r="GHE30" s="47"/>
      <c r="GHF30" s="47"/>
      <c r="GHG30" s="47"/>
      <c r="GHH30" s="47"/>
      <c r="GHI30" s="47"/>
      <c r="GHJ30" s="47"/>
      <c r="GHK30" s="47"/>
      <c r="GHL30" s="47"/>
      <c r="GHM30" s="47"/>
      <c r="GHN30" s="47"/>
      <c r="GHO30" s="47"/>
      <c r="GHP30" s="47"/>
      <c r="GHQ30" s="47"/>
      <c r="GHR30" s="47"/>
      <c r="GHS30" s="47"/>
      <c r="GHT30" s="47"/>
      <c r="GHU30" s="47"/>
      <c r="GHV30" s="47"/>
      <c r="GHW30" s="47"/>
      <c r="GHX30" s="47"/>
      <c r="GHY30" s="47"/>
      <c r="GHZ30" s="47"/>
      <c r="GIA30" s="47"/>
      <c r="GIB30" s="47"/>
      <c r="GIC30" s="47"/>
      <c r="GID30" s="47"/>
      <c r="GIE30" s="47"/>
      <c r="GIF30" s="47"/>
      <c r="GIG30" s="47"/>
      <c r="GIH30" s="47"/>
      <c r="GII30" s="47"/>
      <c r="GIJ30" s="47"/>
      <c r="GIK30" s="47"/>
      <c r="GIL30" s="47"/>
      <c r="GIM30" s="47"/>
      <c r="GIN30" s="47"/>
      <c r="GIO30" s="47"/>
      <c r="GIP30" s="47"/>
      <c r="GIQ30" s="47"/>
      <c r="GIR30" s="47"/>
      <c r="GIS30" s="47"/>
      <c r="GIT30" s="47"/>
      <c r="GIU30" s="47"/>
      <c r="GIV30" s="47"/>
      <c r="GIW30" s="47"/>
      <c r="GIX30" s="47"/>
      <c r="GIY30" s="47"/>
      <c r="GIZ30" s="47"/>
      <c r="GJA30" s="47"/>
      <c r="GJB30" s="47"/>
      <c r="GJC30" s="47"/>
      <c r="GJD30" s="47"/>
      <c r="GJE30" s="47"/>
      <c r="GJF30" s="47"/>
      <c r="GJG30" s="47"/>
      <c r="GJH30" s="47"/>
      <c r="GJI30" s="47"/>
      <c r="GJJ30" s="47"/>
      <c r="GJK30" s="47"/>
      <c r="GJL30" s="47"/>
      <c r="GJM30" s="47"/>
      <c r="GJN30" s="47"/>
      <c r="GJO30" s="47"/>
      <c r="GJP30" s="47"/>
      <c r="GJQ30" s="47"/>
      <c r="GJR30" s="47"/>
      <c r="GJS30" s="47"/>
      <c r="GJT30" s="47"/>
      <c r="GJU30" s="47"/>
      <c r="GJV30" s="47"/>
      <c r="GJW30" s="47"/>
      <c r="GJX30" s="47"/>
      <c r="GJY30" s="47"/>
      <c r="GJZ30" s="47"/>
      <c r="GKA30" s="47"/>
      <c r="GKB30" s="47"/>
      <c r="GKC30" s="47"/>
      <c r="GKD30" s="47"/>
      <c r="GKE30" s="47"/>
      <c r="GKF30" s="47"/>
      <c r="GKG30" s="47"/>
      <c r="GKH30" s="47"/>
      <c r="GKI30" s="47"/>
      <c r="GKJ30" s="47"/>
      <c r="GKK30" s="47"/>
      <c r="GKL30" s="47"/>
      <c r="GKM30" s="47"/>
      <c r="GKN30" s="47"/>
      <c r="GKO30" s="47"/>
      <c r="GKP30" s="47"/>
      <c r="GKQ30" s="47"/>
      <c r="GKR30" s="47"/>
      <c r="GKS30" s="47"/>
      <c r="GKT30" s="47"/>
      <c r="GKU30" s="47"/>
      <c r="GKV30" s="47"/>
      <c r="GKW30" s="47"/>
      <c r="GKX30" s="47"/>
      <c r="GKY30" s="47"/>
      <c r="GKZ30" s="47"/>
      <c r="GLA30" s="47"/>
      <c r="GLB30" s="47"/>
      <c r="GLC30" s="47"/>
      <c r="GLD30" s="47"/>
      <c r="GLE30" s="47"/>
      <c r="GLF30" s="47"/>
      <c r="GLG30" s="47"/>
      <c r="GLH30" s="47"/>
      <c r="GLI30" s="47"/>
      <c r="GLJ30" s="47"/>
      <c r="GLK30" s="47"/>
      <c r="GLL30" s="47"/>
      <c r="GLM30" s="47"/>
      <c r="GLN30" s="47"/>
      <c r="GLO30" s="47"/>
      <c r="GLP30" s="47"/>
      <c r="GLQ30" s="47"/>
      <c r="GLR30" s="47"/>
      <c r="GLS30" s="47"/>
      <c r="GLT30" s="47"/>
      <c r="GLU30" s="47"/>
      <c r="GLV30" s="47"/>
      <c r="GLW30" s="47"/>
      <c r="GLX30" s="47"/>
      <c r="GLY30" s="47"/>
      <c r="GLZ30" s="47"/>
      <c r="GMA30" s="47"/>
      <c r="GMB30" s="47"/>
      <c r="GMC30" s="47"/>
      <c r="GMD30" s="47"/>
      <c r="GME30" s="47"/>
      <c r="GMF30" s="47"/>
      <c r="GMG30" s="47"/>
      <c r="GMH30" s="47"/>
      <c r="GMI30" s="47"/>
      <c r="GMJ30" s="47"/>
      <c r="GMK30" s="47"/>
      <c r="GML30" s="47"/>
      <c r="GMM30" s="47"/>
      <c r="GMN30" s="47"/>
      <c r="GMO30" s="47"/>
      <c r="GMP30" s="47"/>
      <c r="GMQ30" s="47"/>
      <c r="GMR30" s="47"/>
      <c r="GMS30" s="47"/>
      <c r="GMT30" s="47"/>
      <c r="GMU30" s="47"/>
      <c r="GMV30" s="47"/>
      <c r="GMW30" s="47"/>
      <c r="GMX30" s="47"/>
      <c r="GMY30" s="47"/>
      <c r="GMZ30" s="47"/>
      <c r="GNA30" s="47"/>
      <c r="GNB30" s="47"/>
      <c r="GNC30" s="47"/>
      <c r="GND30" s="47"/>
      <c r="GNE30" s="47"/>
      <c r="GNF30" s="47"/>
      <c r="GNG30" s="47"/>
      <c r="GNH30" s="47"/>
      <c r="GNI30" s="47"/>
      <c r="GNJ30" s="47"/>
      <c r="GNK30" s="47"/>
      <c r="GNL30" s="47"/>
      <c r="GNM30" s="47"/>
      <c r="GNN30" s="47"/>
      <c r="GNO30" s="47"/>
      <c r="GNP30" s="47"/>
      <c r="GNQ30" s="47"/>
      <c r="GNR30" s="47"/>
      <c r="GNS30" s="47"/>
      <c r="GNT30" s="47"/>
      <c r="GNU30" s="47"/>
      <c r="GNV30" s="47"/>
      <c r="GNW30" s="47"/>
      <c r="GNX30" s="47"/>
      <c r="GNY30" s="47"/>
      <c r="GNZ30" s="47"/>
      <c r="GOA30" s="47"/>
      <c r="GOB30" s="47"/>
      <c r="GOC30" s="47"/>
      <c r="GOD30" s="47"/>
      <c r="GOE30" s="47"/>
      <c r="GOF30" s="47"/>
      <c r="GOG30" s="47"/>
      <c r="GOH30" s="47"/>
      <c r="GOI30" s="47"/>
      <c r="GOJ30" s="47"/>
      <c r="GOK30" s="47"/>
      <c r="GOL30" s="47"/>
      <c r="GOM30" s="47"/>
      <c r="GON30" s="47"/>
      <c r="GOO30" s="47"/>
      <c r="GOP30" s="47"/>
      <c r="GOQ30" s="47"/>
      <c r="GOR30" s="47"/>
      <c r="GOS30" s="47"/>
      <c r="GOT30" s="47"/>
      <c r="GOU30" s="47"/>
      <c r="GOV30" s="47"/>
      <c r="GOW30" s="47"/>
      <c r="GOX30" s="47"/>
      <c r="GOY30" s="47"/>
      <c r="GOZ30" s="47"/>
      <c r="GPA30" s="47"/>
      <c r="GPB30" s="47"/>
      <c r="GPC30" s="47"/>
      <c r="GPD30" s="47"/>
      <c r="GPE30" s="47"/>
      <c r="GPF30" s="47"/>
      <c r="GPG30" s="47"/>
      <c r="GPH30" s="47"/>
      <c r="GPI30" s="47"/>
      <c r="GPJ30" s="47"/>
      <c r="GPK30" s="47"/>
      <c r="GPL30" s="47"/>
      <c r="GPM30" s="47"/>
      <c r="GPN30" s="47"/>
      <c r="GPO30" s="47"/>
      <c r="GPP30" s="47"/>
      <c r="GPQ30" s="47"/>
      <c r="GPR30" s="47"/>
      <c r="GPS30" s="47"/>
      <c r="GPT30" s="47"/>
      <c r="GPU30" s="47"/>
      <c r="GPV30" s="47"/>
      <c r="GPW30" s="47"/>
      <c r="GPX30" s="47"/>
      <c r="GPY30" s="47"/>
      <c r="GPZ30" s="47"/>
      <c r="GQA30" s="47"/>
      <c r="GQB30" s="47"/>
      <c r="GQC30" s="47"/>
      <c r="GQD30" s="47"/>
      <c r="GQE30" s="47"/>
      <c r="GQF30" s="47"/>
      <c r="GQG30" s="47"/>
      <c r="GQH30" s="47"/>
      <c r="GQI30" s="47"/>
      <c r="GQJ30" s="47"/>
      <c r="GQK30" s="47"/>
      <c r="GQL30" s="47"/>
      <c r="GQM30" s="47"/>
      <c r="GQN30" s="47"/>
      <c r="GQO30" s="47"/>
      <c r="GQP30" s="47"/>
      <c r="GQQ30" s="47"/>
      <c r="GQR30" s="47"/>
      <c r="GQS30" s="47"/>
      <c r="GQT30" s="47"/>
      <c r="GQU30" s="47"/>
      <c r="GQV30" s="47"/>
      <c r="GQW30" s="47"/>
      <c r="GQX30" s="47"/>
      <c r="GQY30" s="47"/>
      <c r="GQZ30" s="47"/>
      <c r="GRA30" s="47"/>
      <c r="GRB30" s="47"/>
      <c r="GRC30" s="47"/>
      <c r="GRD30" s="47"/>
      <c r="GRE30" s="47"/>
      <c r="GRF30" s="47"/>
      <c r="GRG30" s="47"/>
      <c r="GRH30" s="47"/>
      <c r="GRI30" s="47"/>
      <c r="GRJ30" s="47"/>
      <c r="GRK30" s="47"/>
      <c r="GRL30" s="47"/>
      <c r="GRM30" s="47"/>
      <c r="GRN30" s="47"/>
      <c r="GRO30" s="47"/>
      <c r="GRP30" s="47"/>
      <c r="GRQ30" s="47"/>
      <c r="GRR30" s="47"/>
      <c r="GRS30" s="47"/>
      <c r="GRT30" s="47"/>
      <c r="GRU30" s="47"/>
      <c r="GRV30" s="47"/>
      <c r="GRW30" s="47"/>
      <c r="GRX30" s="47"/>
      <c r="GRY30" s="47"/>
      <c r="GRZ30" s="47"/>
      <c r="GSA30" s="47"/>
      <c r="GSB30" s="47"/>
      <c r="GSC30" s="47"/>
      <c r="GSD30" s="47"/>
      <c r="GSE30" s="47"/>
      <c r="GSF30" s="47"/>
      <c r="GSG30" s="47"/>
      <c r="GSH30" s="47"/>
      <c r="GSI30" s="47"/>
      <c r="GSJ30" s="47"/>
      <c r="GSK30" s="47"/>
      <c r="GSL30" s="47"/>
      <c r="GSM30" s="47"/>
      <c r="GSN30" s="47"/>
      <c r="GSO30" s="47"/>
      <c r="GSP30" s="47"/>
      <c r="GSQ30" s="47"/>
      <c r="GSR30" s="47"/>
      <c r="GSS30" s="47"/>
      <c r="GST30" s="47"/>
      <c r="GSU30" s="47"/>
      <c r="GSV30" s="47"/>
      <c r="GSW30" s="47"/>
      <c r="GSX30" s="47"/>
      <c r="GSY30" s="47"/>
      <c r="GSZ30" s="47"/>
      <c r="GTA30" s="47"/>
      <c r="GTB30" s="47"/>
      <c r="GTC30" s="47"/>
      <c r="GTD30" s="47"/>
      <c r="GTE30" s="47"/>
      <c r="GTF30" s="47"/>
      <c r="GTG30" s="47"/>
      <c r="GTH30" s="47"/>
      <c r="GTI30" s="47"/>
      <c r="GTJ30" s="47"/>
      <c r="GTK30" s="47"/>
      <c r="GTL30" s="47"/>
      <c r="GTM30" s="47"/>
      <c r="GTN30" s="47"/>
      <c r="GTO30" s="47"/>
      <c r="GTP30" s="47"/>
      <c r="GTQ30" s="47"/>
      <c r="GTR30" s="47"/>
      <c r="GTS30" s="47"/>
      <c r="GTT30" s="47"/>
      <c r="GTU30" s="47"/>
      <c r="GTV30" s="47"/>
      <c r="GTW30" s="47"/>
      <c r="GTX30" s="47"/>
      <c r="GTY30" s="47"/>
      <c r="GTZ30" s="47"/>
      <c r="GUA30" s="47"/>
      <c r="GUB30" s="47"/>
      <c r="GUC30" s="47"/>
      <c r="GUD30" s="47"/>
      <c r="GUE30" s="47"/>
      <c r="GUF30" s="47"/>
      <c r="GUG30" s="47"/>
      <c r="GUH30" s="47"/>
      <c r="GUI30" s="47"/>
      <c r="GUJ30" s="47"/>
      <c r="GUK30" s="47"/>
      <c r="GUL30" s="47"/>
      <c r="GUM30" s="47"/>
      <c r="GUN30" s="47"/>
      <c r="GUO30" s="47"/>
      <c r="GUP30" s="47"/>
      <c r="GUQ30" s="47"/>
      <c r="GUR30" s="47"/>
      <c r="GUS30" s="47"/>
      <c r="GUT30" s="47"/>
      <c r="GUU30" s="47"/>
      <c r="GUV30" s="47"/>
      <c r="GUW30" s="47"/>
      <c r="GUX30" s="47"/>
      <c r="GUY30" s="47"/>
      <c r="GUZ30" s="47"/>
      <c r="GVA30" s="47"/>
      <c r="GVB30" s="47"/>
      <c r="GVC30" s="47"/>
      <c r="GVD30" s="47"/>
      <c r="GVE30" s="47"/>
      <c r="GVF30" s="47"/>
      <c r="GVG30" s="47"/>
      <c r="GVH30" s="47"/>
      <c r="GVI30" s="47"/>
      <c r="GVJ30" s="47"/>
      <c r="GVK30" s="47"/>
      <c r="GVL30" s="47"/>
      <c r="GVM30" s="47"/>
      <c r="GVN30" s="47"/>
      <c r="GVO30" s="47"/>
      <c r="GVP30" s="47"/>
      <c r="GVQ30" s="47"/>
      <c r="GVR30" s="47"/>
      <c r="GVS30" s="47"/>
      <c r="GVT30" s="47"/>
      <c r="GVU30" s="47"/>
      <c r="GVV30" s="47"/>
      <c r="GVW30" s="47"/>
      <c r="GVX30" s="47"/>
      <c r="GVY30" s="47"/>
      <c r="GVZ30" s="47"/>
      <c r="GWA30" s="47"/>
      <c r="GWB30" s="47"/>
      <c r="GWC30" s="47"/>
      <c r="GWD30" s="47"/>
      <c r="GWE30" s="47"/>
      <c r="GWF30" s="47"/>
      <c r="GWG30" s="47"/>
      <c r="GWH30" s="47"/>
      <c r="GWI30" s="47"/>
      <c r="GWJ30" s="47"/>
      <c r="GWK30" s="47"/>
      <c r="GWL30" s="47"/>
      <c r="GWM30" s="47"/>
      <c r="GWN30" s="47"/>
      <c r="GWO30" s="47"/>
      <c r="GWP30" s="47"/>
      <c r="GWQ30" s="47"/>
      <c r="GWR30" s="47"/>
      <c r="GWS30" s="47"/>
      <c r="GWT30" s="47"/>
      <c r="GWU30" s="47"/>
      <c r="GWV30" s="47"/>
      <c r="GWW30" s="47"/>
      <c r="GWX30" s="47"/>
      <c r="GWY30" s="47"/>
      <c r="GWZ30" s="47"/>
      <c r="GXA30" s="47"/>
      <c r="GXB30" s="47"/>
      <c r="GXC30" s="47"/>
      <c r="GXD30" s="47"/>
      <c r="GXE30" s="47"/>
      <c r="GXF30" s="47"/>
      <c r="GXG30" s="47"/>
      <c r="GXH30" s="47"/>
      <c r="GXI30" s="47"/>
      <c r="GXJ30" s="47"/>
      <c r="GXK30" s="47"/>
      <c r="GXL30" s="47"/>
      <c r="GXM30" s="47"/>
      <c r="GXN30" s="47"/>
      <c r="GXO30" s="47"/>
      <c r="GXP30" s="47"/>
      <c r="GXQ30" s="47"/>
      <c r="GXR30" s="47"/>
      <c r="GXS30" s="47"/>
      <c r="GXT30" s="47"/>
      <c r="GXU30" s="47"/>
      <c r="GXV30" s="47"/>
      <c r="GXW30" s="47"/>
      <c r="GXX30" s="47"/>
      <c r="GXY30" s="47"/>
      <c r="GXZ30" s="47"/>
      <c r="GYA30" s="47"/>
      <c r="GYB30" s="47"/>
      <c r="GYC30" s="47"/>
      <c r="GYD30" s="47"/>
      <c r="GYE30" s="47"/>
      <c r="GYF30" s="47"/>
      <c r="GYG30" s="47"/>
      <c r="GYH30" s="47"/>
      <c r="GYI30" s="47"/>
      <c r="GYJ30" s="47"/>
      <c r="GYK30" s="47"/>
      <c r="GYL30" s="47"/>
      <c r="GYM30" s="47"/>
      <c r="GYN30" s="47"/>
      <c r="GYO30" s="47"/>
      <c r="GYP30" s="47"/>
      <c r="GYQ30" s="47"/>
      <c r="GYR30" s="47"/>
      <c r="GYS30" s="47"/>
      <c r="GYT30" s="47"/>
      <c r="GYU30" s="47"/>
      <c r="GYV30" s="47"/>
      <c r="GYW30" s="47"/>
      <c r="GYX30" s="47"/>
      <c r="GYY30" s="47"/>
      <c r="GYZ30" s="47"/>
      <c r="GZA30" s="47"/>
      <c r="GZB30" s="47"/>
      <c r="GZC30" s="47"/>
      <c r="GZD30" s="47"/>
      <c r="GZE30" s="47"/>
      <c r="GZF30" s="47"/>
      <c r="GZG30" s="47"/>
      <c r="GZH30" s="47"/>
      <c r="GZI30" s="47"/>
      <c r="GZJ30" s="47"/>
      <c r="GZK30" s="47"/>
      <c r="GZL30" s="47"/>
      <c r="GZM30" s="47"/>
      <c r="GZN30" s="47"/>
      <c r="GZO30" s="47"/>
      <c r="GZP30" s="47"/>
      <c r="GZQ30" s="47"/>
      <c r="GZR30" s="47"/>
      <c r="GZS30" s="47"/>
      <c r="GZT30" s="47"/>
      <c r="GZU30" s="47"/>
      <c r="GZV30" s="47"/>
      <c r="GZW30" s="47"/>
      <c r="GZX30" s="47"/>
      <c r="GZY30" s="47"/>
      <c r="GZZ30" s="47"/>
      <c r="HAA30" s="47"/>
      <c r="HAB30" s="47"/>
      <c r="HAC30" s="47"/>
      <c r="HAD30" s="47"/>
      <c r="HAE30" s="47"/>
      <c r="HAF30" s="47"/>
      <c r="HAG30" s="47"/>
      <c r="HAH30" s="47"/>
      <c r="HAI30" s="47"/>
      <c r="HAJ30" s="47"/>
      <c r="HAK30" s="47"/>
      <c r="HAL30" s="47"/>
      <c r="HAM30" s="47"/>
      <c r="HAN30" s="47"/>
      <c r="HAO30" s="47"/>
      <c r="HAP30" s="47"/>
      <c r="HAQ30" s="47"/>
      <c r="HAR30" s="47"/>
      <c r="HAS30" s="47"/>
      <c r="HAT30" s="47"/>
      <c r="HAU30" s="47"/>
      <c r="HAV30" s="47"/>
      <c r="HAW30" s="47"/>
      <c r="HAX30" s="47"/>
      <c r="HAY30" s="47"/>
      <c r="HAZ30" s="47"/>
      <c r="HBA30" s="47"/>
      <c r="HBB30" s="47"/>
      <c r="HBC30" s="47"/>
      <c r="HBD30" s="47"/>
      <c r="HBE30" s="47"/>
      <c r="HBF30" s="47"/>
      <c r="HBG30" s="47"/>
      <c r="HBH30" s="47"/>
      <c r="HBI30" s="47"/>
      <c r="HBJ30" s="47"/>
      <c r="HBK30" s="47"/>
      <c r="HBL30" s="47"/>
      <c r="HBM30" s="47"/>
      <c r="HBN30" s="47"/>
      <c r="HBO30" s="47"/>
      <c r="HBP30" s="47"/>
      <c r="HBQ30" s="47"/>
      <c r="HBR30" s="47"/>
      <c r="HBS30" s="47"/>
      <c r="HBT30" s="47"/>
      <c r="HBU30" s="47"/>
      <c r="HBV30" s="47"/>
      <c r="HBW30" s="47"/>
      <c r="HBX30" s="47"/>
      <c r="HBY30" s="47"/>
      <c r="HBZ30" s="47"/>
      <c r="HCA30" s="47"/>
      <c r="HCB30" s="47"/>
      <c r="HCC30" s="47"/>
      <c r="HCD30" s="47"/>
      <c r="HCE30" s="47"/>
      <c r="HCF30" s="47"/>
      <c r="HCG30" s="47"/>
      <c r="HCH30" s="47"/>
      <c r="HCI30" s="47"/>
      <c r="HCJ30" s="47"/>
      <c r="HCK30" s="47"/>
      <c r="HCL30" s="47"/>
      <c r="HCM30" s="47"/>
      <c r="HCN30" s="47"/>
      <c r="HCO30" s="47"/>
      <c r="HCP30" s="47"/>
      <c r="HCQ30" s="47"/>
      <c r="HCR30" s="47"/>
      <c r="HCS30" s="47"/>
      <c r="HCT30" s="47"/>
      <c r="HCU30" s="47"/>
      <c r="HCV30" s="47"/>
      <c r="HCW30" s="47"/>
      <c r="HCX30" s="47"/>
      <c r="HCY30" s="47"/>
      <c r="HCZ30" s="47"/>
      <c r="HDA30" s="47"/>
      <c r="HDB30" s="47"/>
      <c r="HDC30" s="47"/>
      <c r="HDD30" s="47"/>
      <c r="HDE30" s="47"/>
      <c r="HDF30" s="47"/>
      <c r="HDG30" s="47"/>
      <c r="HDH30" s="47"/>
      <c r="HDI30" s="47"/>
      <c r="HDJ30" s="47"/>
      <c r="HDK30" s="47"/>
      <c r="HDL30" s="47"/>
      <c r="HDM30" s="47"/>
      <c r="HDN30" s="47"/>
      <c r="HDO30" s="47"/>
      <c r="HDP30" s="47"/>
      <c r="HDQ30" s="47"/>
      <c r="HDR30" s="47"/>
      <c r="HDS30" s="47"/>
      <c r="HDT30" s="47"/>
      <c r="HDU30" s="47"/>
      <c r="HDV30" s="47"/>
      <c r="HDW30" s="47"/>
      <c r="HDX30" s="47"/>
      <c r="HDY30" s="47"/>
      <c r="HDZ30" s="47"/>
      <c r="HEA30" s="47"/>
      <c r="HEB30" s="47"/>
      <c r="HEC30" s="47"/>
      <c r="HED30" s="47"/>
      <c r="HEE30" s="47"/>
      <c r="HEF30" s="47"/>
      <c r="HEG30" s="47"/>
      <c r="HEH30" s="47"/>
      <c r="HEI30" s="47"/>
      <c r="HEJ30" s="47"/>
      <c r="HEK30" s="47"/>
      <c r="HEL30" s="47"/>
      <c r="HEM30" s="47"/>
      <c r="HEN30" s="47"/>
      <c r="HEO30" s="47"/>
      <c r="HEP30" s="47"/>
      <c r="HEQ30" s="47"/>
      <c r="HER30" s="47"/>
      <c r="HES30" s="47"/>
      <c r="HET30" s="47"/>
      <c r="HEU30" s="47"/>
      <c r="HEV30" s="47"/>
      <c r="HEW30" s="47"/>
      <c r="HEX30" s="47"/>
      <c r="HEY30" s="47"/>
      <c r="HEZ30" s="47"/>
      <c r="HFA30" s="47"/>
      <c r="HFB30" s="47"/>
      <c r="HFC30" s="47"/>
      <c r="HFD30" s="47"/>
      <c r="HFE30" s="47"/>
      <c r="HFF30" s="47"/>
      <c r="HFG30" s="47"/>
      <c r="HFH30" s="47"/>
      <c r="HFI30" s="47"/>
      <c r="HFJ30" s="47"/>
      <c r="HFK30" s="47"/>
      <c r="HFL30" s="47"/>
      <c r="HFM30" s="47"/>
      <c r="HFN30" s="47"/>
      <c r="HFO30" s="47"/>
      <c r="HFP30" s="47"/>
      <c r="HFQ30" s="47"/>
      <c r="HFR30" s="47"/>
      <c r="HFS30" s="47"/>
      <c r="HFT30" s="47"/>
      <c r="HFU30" s="47"/>
      <c r="HFV30" s="47"/>
      <c r="HFW30" s="47"/>
      <c r="HFX30" s="47"/>
      <c r="HFY30" s="47"/>
      <c r="HFZ30" s="47"/>
      <c r="HGA30" s="47"/>
      <c r="HGB30" s="47"/>
      <c r="HGC30" s="47"/>
      <c r="HGD30" s="47"/>
      <c r="HGE30" s="47"/>
      <c r="HGF30" s="47"/>
      <c r="HGG30" s="47"/>
      <c r="HGH30" s="47"/>
      <c r="HGI30" s="47"/>
      <c r="HGJ30" s="47"/>
      <c r="HGK30" s="47"/>
      <c r="HGL30" s="47"/>
      <c r="HGM30" s="47"/>
      <c r="HGN30" s="47"/>
      <c r="HGO30" s="47"/>
      <c r="HGP30" s="47"/>
      <c r="HGQ30" s="47"/>
      <c r="HGR30" s="47"/>
      <c r="HGS30" s="47"/>
      <c r="HGT30" s="47"/>
      <c r="HGU30" s="47"/>
      <c r="HGV30" s="47"/>
      <c r="HGW30" s="47"/>
      <c r="HGX30" s="47"/>
      <c r="HGY30" s="47"/>
      <c r="HGZ30" s="47"/>
      <c r="HHA30" s="47"/>
      <c r="HHB30" s="47"/>
      <c r="HHC30" s="47"/>
      <c r="HHD30" s="47"/>
      <c r="HHE30" s="47"/>
      <c r="HHF30" s="47"/>
      <c r="HHG30" s="47"/>
      <c r="HHH30" s="47"/>
      <c r="HHI30" s="47"/>
      <c r="HHJ30" s="47"/>
      <c r="HHK30" s="47"/>
      <c r="HHL30" s="47"/>
      <c r="HHM30" s="47"/>
      <c r="HHN30" s="47"/>
      <c r="HHO30" s="47"/>
      <c r="HHP30" s="47"/>
      <c r="HHQ30" s="47"/>
      <c r="HHR30" s="47"/>
      <c r="HHS30" s="47"/>
      <c r="HHT30" s="47"/>
      <c r="HHU30" s="47"/>
      <c r="HHV30" s="47"/>
      <c r="HHW30" s="47"/>
      <c r="HHX30" s="47"/>
      <c r="HHY30" s="47"/>
      <c r="HHZ30" s="47"/>
      <c r="HIA30" s="47"/>
      <c r="HIB30" s="47"/>
      <c r="HIC30" s="47"/>
      <c r="HID30" s="47"/>
      <c r="HIE30" s="47"/>
      <c r="HIF30" s="47"/>
      <c r="HIG30" s="47"/>
      <c r="HIH30" s="47"/>
      <c r="HII30" s="47"/>
      <c r="HIJ30" s="47"/>
      <c r="HIK30" s="47"/>
      <c r="HIL30" s="47"/>
      <c r="HIM30" s="47"/>
      <c r="HIN30" s="47"/>
      <c r="HIO30" s="47"/>
      <c r="HIP30" s="47"/>
      <c r="HIQ30" s="47"/>
      <c r="HIR30" s="47"/>
      <c r="HIS30" s="47"/>
      <c r="HIT30" s="47"/>
      <c r="HIU30" s="47"/>
      <c r="HIV30" s="47"/>
      <c r="HIW30" s="47"/>
      <c r="HIX30" s="47"/>
      <c r="HIY30" s="47"/>
      <c r="HIZ30" s="47"/>
      <c r="HJA30" s="47"/>
      <c r="HJB30" s="47"/>
      <c r="HJC30" s="47"/>
      <c r="HJD30" s="47"/>
      <c r="HJE30" s="47"/>
      <c r="HJF30" s="47"/>
      <c r="HJG30" s="47"/>
      <c r="HJH30" s="47"/>
      <c r="HJI30" s="47"/>
      <c r="HJJ30" s="47"/>
      <c r="HJK30" s="47"/>
      <c r="HJL30" s="47"/>
      <c r="HJM30" s="47"/>
      <c r="HJN30" s="47"/>
      <c r="HJO30" s="47"/>
      <c r="HJP30" s="47"/>
      <c r="HJQ30" s="47"/>
      <c r="HJR30" s="47"/>
      <c r="HJS30" s="47"/>
      <c r="HJT30" s="47"/>
      <c r="HJU30" s="47"/>
      <c r="HJV30" s="47"/>
      <c r="HJW30" s="47"/>
      <c r="HJX30" s="47"/>
      <c r="HJY30" s="47"/>
      <c r="HJZ30" s="47"/>
      <c r="HKA30" s="47"/>
      <c r="HKB30" s="47"/>
      <c r="HKC30" s="47"/>
      <c r="HKD30" s="47"/>
      <c r="HKE30" s="47"/>
      <c r="HKF30" s="47"/>
      <c r="HKG30" s="47"/>
      <c r="HKH30" s="47"/>
      <c r="HKI30" s="47"/>
      <c r="HKJ30" s="47"/>
      <c r="HKK30" s="47"/>
      <c r="HKL30" s="47"/>
      <c r="HKM30" s="47"/>
      <c r="HKN30" s="47"/>
      <c r="HKO30" s="47"/>
      <c r="HKP30" s="47"/>
      <c r="HKQ30" s="47"/>
      <c r="HKR30" s="47"/>
      <c r="HKS30" s="47"/>
      <c r="HKT30" s="47"/>
      <c r="HKU30" s="47"/>
      <c r="HKV30" s="47"/>
      <c r="HKW30" s="47"/>
      <c r="HKX30" s="47"/>
      <c r="HKY30" s="47"/>
      <c r="HKZ30" s="47"/>
      <c r="HLA30" s="47"/>
      <c r="HLB30" s="47"/>
      <c r="HLC30" s="47"/>
      <c r="HLD30" s="47"/>
      <c r="HLE30" s="47"/>
      <c r="HLF30" s="47"/>
      <c r="HLG30" s="47"/>
      <c r="HLH30" s="47"/>
      <c r="HLI30" s="47"/>
      <c r="HLJ30" s="47"/>
      <c r="HLK30" s="47"/>
      <c r="HLL30" s="47"/>
      <c r="HLM30" s="47"/>
      <c r="HLN30" s="47"/>
      <c r="HLO30" s="47"/>
      <c r="HLP30" s="47"/>
      <c r="HLQ30" s="47"/>
      <c r="HLR30" s="47"/>
      <c r="HLS30" s="47"/>
      <c r="HLT30" s="47"/>
      <c r="HLU30" s="47"/>
      <c r="HLV30" s="47"/>
      <c r="HLW30" s="47"/>
      <c r="HLX30" s="47"/>
      <c r="HLY30" s="47"/>
      <c r="HLZ30" s="47"/>
      <c r="HMA30" s="47"/>
      <c r="HMB30" s="47"/>
      <c r="HMC30" s="47"/>
      <c r="HMD30" s="47"/>
      <c r="HME30" s="47"/>
      <c r="HMF30" s="47"/>
      <c r="HMG30" s="47"/>
      <c r="HMH30" s="47"/>
      <c r="HMI30" s="47"/>
      <c r="HMJ30" s="47"/>
      <c r="HMK30" s="47"/>
      <c r="HML30" s="47"/>
      <c r="HMM30" s="47"/>
      <c r="HMN30" s="47"/>
      <c r="HMO30" s="47"/>
      <c r="HMP30" s="47"/>
      <c r="HMQ30" s="47"/>
      <c r="HMR30" s="47"/>
      <c r="HMS30" s="47"/>
      <c r="HMT30" s="47"/>
      <c r="HMU30" s="47"/>
      <c r="HMV30" s="47"/>
      <c r="HMW30" s="47"/>
      <c r="HMX30" s="47"/>
      <c r="HMY30" s="47"/>
      <c r="HMZ30" s="47"/>
      <c r="HNA30" s="47"/>
      <c r="HNB30" s="47"/>
      <c r="HNC30" s="47"/>
      <c r="HND30" s="47"/>
      <c r="HNE30" s="47"/>
      <c r="HNF30" s="47"/>
      <c r="HNG30" s="47"/>
      <c r="HNH30" s="47"/>
      <c r="HNI30" s="47"/>
      <c r="HNJ30" s="47"/>
      <c r="HNK30" s="47"/>
      <c r="HNL30" s="47"/>
      <c r="HNM30" s="47"/>
      <c r="HNN30" s="47"/>
      <c r="HNO30" s="47"/>
      <c r="HNP30" s="47"/>
      <c r="HNQ30" s="47"/>
      <c r="HNR30" s="47"/>
      <c r="HNS30" s="47"/>
      <c r="HNT30" s="47"/>
      <c r="HNU30" s="47"/>
      <c r="HNV30" s="47"/>
      <c r="HNW30" s="47"/>
      <c r="HNX30" s="47"/>
      <c r="HNY30" s="47"/>
      <c r="HNZ30" s="47"/>
      <c r="HOA30" s="47"/>
      <c r="HOB30" s="47"/>
      <c r="HOC30" s="47"/>
      <c r="HOD30" s="47"/>
      <c r="HOE30" s="47"/>
      <c r="HOF30" s="47"/>
      <c r="HOG30" s="47"/>
      <c r="HOH30" s="47"/>
      <c r="HOI30" s="47"/>
      <c r="HOJ30" s="47"/>
      <c r="HOK30" s="47"/>
      <c r="HOL30" s="47"/>
      <c r="HOM30" s="47"/>
      <c r="HON30" s="47"/>
      <c r="HOO30" s="47"/>
      <c r="HOP30" s="47"/>
      <c r="HOQ30" s="47"/>
      <c r="HOR30" s="47"/>
      <c r="HOS30" s="47"/>
      <c r="HOT30" s="47"/>
      <c r="HOU30" s="47"/>
      <c r="HOV30" s="47"/>
      <c r="HOW30" s="47"/>
      <c r="HOX30" s="47"/>
      <c r="HOY30" s="47"/>
      <c r="HOZ30" s="47"/>
      <c r="HPA30" s="47"/>
      <c r="HPB30" s="47"/>
      <c r="HPC30" s="47"/>
      <c r="HPD30" s="47"/>
      <c r="HPE30" s="47"/>
      <c r="HPF30" s="47"/>
      <c r="HPG30" s="47"/>
      <c r="HPH30" s="47"/>
      <c r="HPI30" s="47"/>
      <c r="HPJ30" s="47"/>
      <c r="HPK30" s="47"/>
      <c r="HPL30" s="47"/>
      <c r="HPM30" s="47"/>
      <c r="HPN30" s="47"/>
      <c r="HPO30" s="47"/>
      <c r="HPP30" s="47"/>
      <c r="HPQ30" s="47"/>
      <c r="HPR30" s="47"/>
      <c r="HPS30" s="47"/>
      <c r="HPT30" s="47"/>
      <c r="HPU30" s="47"/>
      <c r="HPV30" s="47"/>
      <c r="HPW30" s="47"/>
      <c r="HPX30" s="47"/>
      <c r="HPY30" s="47"/>
      <c r="HPZ30" s="47"/>
      <c r="HQA30" s="47"/>
      <c r="HQB30" s="47"/>
      <c r="HQC30" s="47"/>
      <c r="HQD30" s="47"/>
      <c r="HQE30" s="47"/>
      <c r="HQF30" s="47"/>
      <c r="HQG30" s="47"/>
      <c r="HQH30" s="47"/>
      <c r="HQI30" s="47"/>
      <c r="HQJ30" s="47"/>
      <c r="HQK30" s="47"/>
      <c r="HQL30" s="47"/>
      <c r="HQM30" s="47"/>
      <c r="HQN30" s="47"/>
      <c r="HQO30" s="47"/>
      <c r="HQP30" s="47"/>
      <c r="HQQ30" s="47"/>
      <c r="HQR30" s="47"/>
      <c r="HQS30" s="47"/>
      <c r="HQT30" s="47"/>
      <c r="HQU30" s="47"/>
      <c r="HQV30" s="47"/>
      <c r="HQW30" s="47"/>
      <c r="HQX30" s="47"/>
      <c r="HQY30" s="47"/>
      <c r="HQZ30" s="47"/>
      <c r="HRA30" s="47"/>
      <c r="HRB30" s="47"/>
      <c r="HRC30" s="47"/>
      <c r="HRD30" s="47"/>
      <c r="HRE30" s="47"/>
      <c r="HRF30" s="47"/>
      <c r="HRG30" s="47"/>
      <c r="HRH30" s="47"/>
      <c r="HRI30" s="47"/>
      <c r="HRJ30" s="47"/>
      <c r="HRK30" s="47"/>
      <c r="HRL30" s="47"/>
      <c r="HRM30" s="47"/>
      <c r="HRN30" s="47"/>
      <c r="HRO30" s="47"/>
      <c r="HRP30" s="47"/>
      <c r="HRQ30" s="47"/>
      <c r="HRR30" s="47"/>
      <c r="HRS30" s="47"/>
      <c r="HRT30" s="47"/>
      <c r="HRU30" s="47"/>
      <c r="HRV30" s="47"/>
      <c r="HRW30" s="47"/>
      <c r="HRX30" s="47"/>
      <c r="HRY30" s="47"/>
      <c r="HRZ30" s="47"/>
      <c r="HSA30" s="47"/>
      <c r="HSB30" s="47"/>
      <c r="HSC30" s="47"/>
      <c r="HSD30" s="47"/>
      <c r="HSE30" s="47"/>
      <c r="HSF30" s="47"/>
      <c r="HSG30" s="47"/>
      <c r="HSH30" s="47"/>
      <c r="HSI30" s="47"/>
      <c r="HSJ30" s="47"/>
      <c r="HSK30" s="47"/>
      <c r="HSL30" s="47"/>
      <c r="HSM30" s="47"/>
      <c r="HSN30" s="47"/>
      <c r="HSO30" s="47"/>
      <c r="HSP30" s="47"/>
      <c r="HSQ30" s="47"/>
      <c r="HSR30" s="47"/>
      <c r="HSS30" s="47"/>
      <c r="HST30" s="47"/>
      <c r="HSU30" s="47"/>
      <c r="HSV30" s="47"/>
      <c r="HSW30" s="47"/>
      <c r="HSX30" s="47"/>
      <c r="HSY30" s="47"/>
      <c r="HSZ30" s="47"/>
      <c r="HTA30" s="47"/>
      <c r="HTB30" s="47"/>
      <c r="HTC30" s="47"/>
      <c r="HTD30" s="47"/>
      <c r="HTE30" s="47"/>
      <c r="HTF30" s="47"/>
      <c r="HTG30" s="47"/>
      <c r="HTH30" s="47"/>
      <c r="HTI30" s="47"/>
      <c r="HTJ30" s="47"/>
      <c r="HTK30" s="47"/>
      <c r="HTL30" s="47"/>
      <c r="HTM30" s="47"/>
      <c r="HTN30" s="47"/>
      <c r="HTO30" s="47"/>
      <c r="HTP30" s="47"/>
      <c r="HTQ30" s="47"/>
      <c r="HTR30" s="47"/>
      <c r="HTS30" s="47"/>
      <c r="HTT30" s="47"/>
      <c r="HTU30" s="47"/>
      <c r="HTV30" s="47"/>
      <c r="HTW30" s="47"/>
      <c r="HTX30" s="47"/>
      <c r="HTY30" s="47"/>
      <c r="HTZ30" s="47"/>
      <c r="HUA30" s="47"/>
      <c r="HUB30" s="47"/>
      <c r="HUC30" s="47"/>
      <c r="HUD30" s="47"/>
      <c r="HUE30" s="47"/>
      <c r="HUF30" s="47"/>
      <c r="HUG30" s="47"/>
      <c r="HUH30" s="47"/>
      <c r="HUI30" s="47"/>
      <c r="HUJ30" s="47"/>
      <c r="HUK30" s="47"/>
      <c r="HUL30" s="47"/>
      <c r="HUM30" s="47"/>
      <c r="HUN30" s="47"/>
      <c r="HUO30" s="47"/>
      <c r="HUP30" s="47"/>
      <c r="HUQ30" s="47"/>
      <c r="HUR30" s="47"/>
      <c r="HUS30" s="47"/>
      <c r="HUT30" s="47"/>
      <c r="HUU30" s="47"/>
      <c r="HUV30" s="47"/>
      <c r="HUW30" s="47"/>
      <c r="HUX30" s="47"/>
      <c r="HUY30" s="47"/>
      <c r="HUZ30" s="47"/>
      <c r="HVA30" s="47"/>
      <c r="HVB30" s="47"/>
      <c r="HVC30" s="47"/>
      <c r="HVD30" s="47"/>
      <c r="HVE30" s="47"/>
      <c r="HVF30" s="47"/>
      <c r="HVG30" s="47"/>
      <c r="HVH30" s="47"/>
      <c r="HVI30" s="47"/>
      <c r="HVJ30" s="47"/>
      <c r="HVK30" s="47"/>
      <c r="HVL30" s="47"/>
      <c r="HVM30" s="47"/>
      <c r="HVN30" s="47"/>
      <c r="HVO30" s="47"/>
      <c r="HVP30" s="47"/>
      <c r="HVQ30" s="47"/>
      <c r="HVR30" s="47"/>
      <c r="HVS30" s="47"/>
      <c r="HVT30" s="47"/>
      <c r="HVU30" s="47"/>
      <c r="HVV30" s="47"/>
      <c r="HVW30" s="47"/>
      <c r="HVX30" s="47"/>
      <c r="HVY30" s="47"/>
      <c r="HVZ30" s="47"/>
      <c r="HWA30" s="47"/>
      <c r="HWB30" s="47"/>
      <c r="HWC30" s="47"/>
      <c r="HWD30" s="47"/>
      <c r="HWE30" s="47"/>
      <c r="HWF30" s="47"/>
      <c r="HWG30" s="47"/>
      <c r="HWH30" s="47"/>
      <c r="HWI30" s="47"/>
      <c r="HWJ30" s="47"/>
      <c r="HWK30" s="47"/>
      <c r="HWL30" s="47"/>
      <c r="HWM30" s="47"/>
      <c r="HWN30" s="47"/>
      <c r="HWO30" s="47"/>
      <c r="HWP30" s="47"/>
      <c r="HWQ30" s="47"/>
      <c r="HWR30" s="47"/>
      <c r="HWS30" s="47"/>
      <c r="HWT30" s="47"/>
      <c r="HWU30" s="47"/>
      <c r="HWV30" s="47"/>
      <c r="HWW30" s="47"/>
      <c r="HWX30" s="47"/>
      <c r="HWY30" s="47"/>
      <c r="HWZ30" s="47"/>
      <c r="HXA30" s="47"/>
      <c r="HXB30" s="47"/>
      <c r="HXC30" s="47"/>
      <c r="HXD30" s="47"/>
      <c r="HXE30" s="47"/>
      <c r="HXF30" s="47"/>
      <c r="HXG30" s="47"/>
      <c r="HXH30" s="47"/>
      <c r="HXI30" s="47"/>
      <c r="HXJ30" s="47"/>
      <c r="HXK30" s="47"/>
      <c r="HXL30" s="47"/>
      <c r="HXM30" s="47"/>
      <c r="HXN30" s="47"/>
      <c r="HXO30" s="47"/>
      <c r="HXP30" s="47"/>
      <c r="HXQ30" s="47"/>
      <c r="HXR30" s="47"/>
      <c r="HXS30" s="47"/>
      <c r="HXT30" s="47"/>
      <c r="HXU30" s="47"/>
      <c r="HXV30" s="47"/>
      <c r="HXW30" s="47"/>
      <c r="HXX30" s="47"/>
      <c r="HXY30" s="47"/>
      <c r="HXZ30" s="47"/>
      <c r="HYA30" s="47"/>
      <c r="HYB30" s="47"/>
      <c r="HYC30" s="47"/>
      <c r="HYD30" s="47"/>
      <c r="HYE30" s="47"/>
      <c r="HYF30" s="47"/>
      <c r="HYG30" s="47"/>
      <c r="HYH30" s="47"/>
      <c r="HYI30" s="47"/>
      <c r="HYJ30" s="47"/>
      <c r="HYK30" s="47"/>
      <c r="HYL30" s="47"/>
      <c r="HYM30" s="47"/>
      <c r="HYN30" s="47"/>
      <c r="HYO30" s="47"/>
      <c r="HYP30" s="47"/>
      <c r="HYQ30" s="47"/>
      <c r="HYR30" s="47"/>
      <c r="HYS30" s="47"/>
      <c r="HYT30" s="47"/>
      <c r="HYU30" s="47"/>
      <c r="HYV30" s="47"/>
      <c r="HYW30" s="47"/>
      <c r="HYX30" s="47"/>
      <c r="HYY30" s="47"/>
      <c r="HYZ30" s="47"/>
      <c r="HZA30" s="47"/>
      <c r="HZB30" s="47"/>
      <c r="HZC30" s="47"/>
      <c r="HZD30" s="47"/>
      <c r="HZE30" s="47"/>
      <c r="HZF30" s="47"/>
      <c r="HZG30" s="47"/>
      <c r="HZH30" s="47"/>
      <c r="HZI30" s="47"/>
      <c r="HZJ30" s="47"/>
      <c r="HZK30" s="47"/>
      <c r="HZL30" s="47"/>
      <c r="HZM30" s="47"/>
      <c r="HZN30" s="47"/>
      <c r="HZO30" s="47"/>
      <c r="HZP30" s="47"/>
      <c r="HZQ30" s="47"/>
      <c r="HZR30" s="47"/>
      <c r="HZS30" s="47"/>
      <c r="HZT30" s="47"/>
      <c r="HZU30" s="47"/>
      <c r="HZV30" s="47"/>
      <c r="HZW30" s="47"/>
      <c r="HZX30" s="47"/>
      <c r="HZY30" s="47"/>
      <c r="HZZ30" s="47"/>
      <c r="IAA30" s="47"/>
      <c r="IAB30" s="47"/>
      <c r="IAC30" s="47"/>
      <c r="IAD30" s="47"/>
      <c r="IAE30" s="47"/>
      <c r="IAF30" s="47"/>
      <c r="IAG30" s="47"/>
      <c r="IAH30" s="47"/>
      <c r="IAI30" s="47"/>
      <c r="IAJ30" s="47"/>
      <c r="IAK30" s="47"/>
      <c r="IAL30" s="47"/>
      <c r="IAM30" s="47"/>
      <c r="IAN30" s="47"/>
      <c r="IAO30" s="47"/>
      <c r="IAP30" s="47"/>
      <c r="IAQ30" s="47"/>
      <c r="IAR30" s="47"/>
      <c r="IAS30" s="47"/>
      <c r="IAT30" s="47"/>
      <c r="IAU30" s="47"/>
      <c r="IAV30" s="47"/>
      <c r="IAW30" s="47"/>
      <c r="IAX30" s="47"/>
      <c r="IAY30" s="47"/>
      <c r="IAZ30" s="47"/>
      <c r="IBA30" s="47"/>
      <c r="IBB30" s="47"/>
      <c r="IBC30" s="47"/>
      <c r="IBD30" s="47"/>
      <c r="IBE30" s="47"/>
      <c r="IBF30" s="47"/>
      <c r="IBG30" s="47"/>
      <c r="IBH30" s="47"/>
      <c r="IBI30" s="47"/>
      <c r="IBJ30" s="47"/>
      <c r="IBK30" s="47"/>
      <c r="IBL30" s="47"/>
      <c r="IBM30" s="47"/>
      <c r="IBN30" s="47"/>
      <c r="IBO30" s="47"/>
      <c r="IBP30" s="47"/>
      <c r="IBQ30" s="47"/>
      <c r="IBR30" s="47"/>
      <c r="IBS30" s="47"/>
      <c r="IBT30" s="47"/>
      <c r="IBU30" s="47"/>
      <c r="IBV30" s="47"/>
      <c r="IBW30" s="47"/>
      <c r="IBX30" s="47"/>
      <c r="IBY30" s="47"/>
      <c r="IBZ30" s="47"/>
      <c r="ICA30" s="47"/>
      <c r="ICB30" s="47"/>
      <c r="ICC30" s="47"/>
      <c r="ICD30" s="47"/>
      <c r="ICE30" s="47"/>
      <c r="ICF30" s="47"/>
      <c r="ICG30" s="47"/>
      <c r="ICH30" s="47"/>
      <c r="ICI30" s="47"/>
      <c r="ICJ30" s="47"/>
      <c r="ICK30" s="47"/>
      <c r="ICL30" s="47"/>
      <c r="ICM30" s="47"/>
      <c r="ICN30" s="47"/>
      <c r="ICO30" s="47"/>
      <c r="ICP30" s="47"/>
      <c r="ICQ30" s="47"/>
      <c r="ICR30" s="47"/>
      <c r="ICS30" s="47"/>
      <c r="ICT30" s="47"/>
      <c r="ICU30" s="47"/>
      <c r="ICV30" s="47"/>
      <c r="ICW30" s="47"/>
      <c r="ICX30" s="47"/>
      <c r="ICY30" s="47"/>
      <c r="ICZ30" s="47"/>
      <c r="IDA30" s="47"/>
      <c r="IDB30" s="47"/>
      <c r="IDC30" s="47"/>
      <c r="IDD30" s="47"/>
      <c r="IDE30" s="47"/>
      <c r="IDF30" s="47"/>
      <c r="IDG30" s="47"/>
      <c r="IDH30" s="47"/>
      <c r="IDI30" s="47"/>
      <c r="IDJ30" s="47"/>
      <c r="IDK30" s="47"/>
      <c r="IDL30" s="47"/>
      <c r="IDM30" s="47"/>
      <c r="IDN30" s="47"/>
      <c r="IDO30" s="47"/>
      <c r="IDP30" s="47"/>
      <c r="IDQ30" s="47"/>
      <c r="IDR30" s="47"/>
      <c r="IDS30" s="47"/>
      <c r="IDT30" s="47"/>
      <c r="IDU30" s="47"/>
      <c r="IDV30" s="47"/>
      <c r="IDW30" s="47"/>
      <c r="IDX30" s="47"/>
      <c r="IDY30" s="47"/>
      <c r="IDZ30" s="47"/>
      <c r="IEA30" s="47"/>
      <c r="IEB30" s="47"/>
      <c r="IEC30" s="47"/>
      <c r="IED30" s="47"/>
      <c r="IEE30" s="47"/>
      <c r="IEF30" s="47"/>
      <c r="IEG30" s="47"/>
      <c r="IEH30" s="47"/>
      <c r="IEI30" s="47"/>
      <c r="IEJ30" s="47"/>
      <c r="IEK30" s="47"/>
      <c r="IEL30" s="47"/>
      <c r="IEM30" s="47"/>
      <c r="IEN30" s="47"/>
      <c r="IEO30" s="47"/>
      <c r="IEP30" s="47"/>
      <c r="IEQ30" s="47"/>
      <c r="IER30" s="47"/>
      <c r="IES30" s="47"/>
      <c r="IET30" s="47"/>
      <c r="IEU30" s="47"/>
      <c r="IEV30" s="47"/>
      <c r="IEW30" s="47"/>
      <c r="IEX30" s="47"/>
      <c r="IEY30" s="47"/>
      <c r="IEZ30" s="47"/>
      <c r="IFA30" s="47"/>
      <c r="IFB30" s="47"/>
      <c r="IFC30" s="47"/>
      <c r="IFD30" s="47"/>
      <c r="IFE30" s="47"/>
      <c r="IFF30" s="47"/>
      <c r="IFG30" s="47"/>
      <c r="IFH30" s="47"/>
      <c r="IFI30" s="47"/>
      <c r="IFJ30" s="47"/>
      <c r="IFK30" s="47"/>
      <c r="IFL30" s="47"/>
      <c r="IFM30" s="47"/>
      <c r="IFN30" s="47"/>
      <c r="IFO30" s="47"/>
      <c r="IFP30" s="47"/>
      <c r="IFQ30" s="47"/>
      <c r="IFR30" s="47"/>
      <c r="IFS30" s="47"/>
      <c r="IFT30" s="47"/>
      <c r="IFU30" s="47"/>
      <c r="IFV30" s="47"/>
      <c r="IFW30" s="47"/>
      <c r="IFX30" s="47"/>
      <c r="IFY30" s="47"/>
      <c r="IFZ30" s="47"/>
      <c r="IGA30" s="47"/>
      <c r="IGB30" s="47"/>
      <c r="IGC30" s="47"/>
      <c r="IGD30" s="47"/>
      <c r="IGE30" s="47"/>
      <c r="IGF30" s="47"/>
      <c r="IGG30" s="47"/>
      <c r="IGH30" s="47"/>
      <c r="IGI30" s="47"/>
      <c r="IGJ30" s="47"/>
      <c r="IGK30" s="47"/>
      <c r="IGL30" s="47"/>
      <c r="IGM30" s="47"/>
      <c r="IGN30" s="47"/>
      <c r="IGO30" s="47"/>
      <c r="IGP30" s="47"/>
      <c r="IGQ30" s="47"/>
      <c r="IGR30" s="47"/>
      <c r="IGS30" s="47"/>
      <c r="IGT30" s="47"/>
      <c r="IGU30" s="47"/>
      <c r="IGV30" s="47"/>
      <c r="IGW30" s="47"/>
      <c r="IGX30" s="47"/>
      <c r="IGY30" s="47"/>
      <c r="IGZ30" s="47"/>
      <c r="IHA30" s="47"/>
      <c r="IHB30" s="47"/>
      <c r="IHC30" s="47"/>
      <c r="IHD30" s="47"/>
      <c r="IHE30" s="47"/>
      <c r="IHF30" s="47"/>
      <c r="IHG30" s="47"/>
      <c r="IHH30" s="47"/>
      <c r="IHI30" s="47"/>
      <c r="IHJ30" s="47"/>
      <c r="IHK30" s="47"/>
      <c r="IHL30" s="47"/>
      <c r="IHM30" s="47"/>
      <c r="IHN30" s="47"/>
      <c r="IHO30" s="47"/>
      <c r="IHP30" s="47"/>
      <c r="IHQ30" s="47"/>
      <c r="IHR30" s="47"/>
      <c r="IHS30" s="47"/>
      <c r="IHT30" s="47"/>
      <c r="IHU30" s="47"/>
      <c r="IHV30" s="47"/>
      <c r="IHW30" s="47"/>
      <c r="IHX30" s="47"/>
      <c r="IHY30" s="47"/>
      <c r="IHZ30" s="47"/>
      <c r="IIA30" s="47"/>
      <c r="IIB30" s="47"/>
      <c r="IIC30" s="47"/>
      <c r="IID30" s="47"/>
      <c r="IIE30" s="47"/>
      <c r="IIF30" s="47"/>
      <c r="IIG30" s="47"/>
      <c r="IIH30" s="47"/>
      <c r="III30" s="47"/>
      <c r="IIJ30" s="47"/>
      <c r="IIK30" s="47"/>
      <c r="IIL30" s="47"/>
      <c r="IIM30" s="47"/>
      <c r="IIN30" s="47"/>
      <c r="IIO30" s="47"/>
      <c r="IIP30" s="47"/>
      <c r="IIQ30" s="47"/>
      <c r="IIR30" s="47"/>
      <c r="IIS30" s="47"/>
      <c r="IIT30" s="47"/>
      <c r="IIU30" s="47"/>
      <c r="IIV30" s="47"/>
      <c r="IIW30" s="47"/>
      <c r="IIX30" s="47"/>
      <c r="IIY30" s="47"/>
      <c r="IIZ30" s="47"/>
      <c r="IJA30" s="47"/>
      <c r="IJB30" s="47"/>
      <c r="IJC30" s="47"/>
      <c r="IJD30" s="47"/>
      <c r="IJE30" s="47"/>
      <c r="IJF30" s="47"/>
      <c r="IJG30" s="47"/>
      <c r="IJH30" s="47"/>
      <c r="IJI30" s="47"/>
      <c r="IJJ30" s="47"/>
      <c r="IJK30" s="47"/>
      <c r="IJL30" s="47"/>
      <c r="IJM30" s="47"/>
      <c r="IJN30" s="47"/>
      <c r="IJO30" s="47"/>
      <c r="IJP30" s="47"/>
      <c r="IJQ30" s="47"/>
      <c r="IJR30" s="47"/>
      <c r="IJS30" s="47"/>
      <c r="IJT30" s="47"/>
      <c r="IJU30" s="47"/>
      <c r="IJV30" s="47"/>
      <c r="IJW30" s="47"/>
      <c r="IJX30" s="47"/>
      <c r="IJY30" s="47"/>
      <c r="IJZ30" s="47"/>
      <c r="IKA30" s="47"/>
      <c r="IKB30" s="47"/>
      <c r="IKC30" s="47"/>
      <c r="IKD30" s="47"/>
      <c r="IKE30" s="47"/>
      <c r="IKF30" s="47"/>
      <c r="IKG30" s="47"/>
      <c r="IKH30" s="47"/>
      <c r="IKI30" s="47"/>
      <c r="IKJ30" s="47"/>
      <c r="IKK30" s="47"/>
      <c r="IKL30" s="47"/>
      <c r="IKM30" s="47"/>
      <c r="IKN30" s="47"/>
      <c r="IKO30" s="47"/>
      <c r="IKP30" s="47"/>
      <c r="IKQ30" s="47"/>
      <c r="IKR30" s="47"/>
      <c r="IKS30" s="47"/>
      <c r="IKT30" s="47"/>
      <c r="IKU30" s="47"/>
      <c r="IKV30" s="47"/>
      <c r="IKW30" s="47"/>
      <c r="IKX30" s="47"/>
      <c r="IKY30" s="47"/>
      <c r="IKZ30" s="47"/>
      <c r="ILA30" s="47"/>
      <c r="ILB30" s="47"/>
      <c r="ILC30" s="47"/>
      <c r="ILD30" s="47"/>
      <c r="ILE30" s="47"/>
      <c r="ILF30" s="47"/>
      <c r="ILG30" s="47"/>
      <c r="ILH30" s="47"/>
      <c r="ILI30" s="47"/>
      <c r="ILJ30" s="47"/>
      <c r="ILK30" s="47"/>
      <c r="ILL30" s="47"/>
      <c r="ILM30" s="47"/>
      <c r="ILN30" s="47"/>
      <c r="ILO30" s="47"/>
      <c r="ILP30" s="47"/>
      <c r="ILQ30" s="47"/>
      <c r="ILR30" s="47"/>
      <c r="ILS30" s="47"/>
      <c r="ILT30" s="47"/>
      <c r="ILU30" s="47"/>
      <c r="ILV30" s="47"/>
      <c r="ILW30" s="47"/>
      <c r="ILX30" s="47"/>
      <c r="ILY30" s="47"/>
      <c r="ILZ30" s="47"/>
      <c r="IMA30" s="47"/>
      <c r="IMB30" s="47"/>
      <c r="IMC30" s="47"/>
      <c r="IMD30" s="47"/>
      <c r="IME30" s="47"/>
      <c r="IMF30" s="47"/>
      <c r="IMG30" s="47"/>
      <c r="IMH30" s="47"/>
      <c r="IMI30" s="47"/>
      <c r="IMJ30" s="47"/>
      <c r="IMK30" s="47"/>
      <c r="IML30" s="47"/>
      <c r="IMM30" s="47"/>
      <c r="IMN30" s="47"/>
      <c r="IMO30" s="47"/>
      <c r="IMP30" s="47"/>
      <c r="IMQ30" s="47"/>
      <c r="IMR30" s="47"/>
      <c r="IMS30" s="47"/>
      <c r="IMT30" s="47"/>
      <c r="IMU30" s="47"/>
      <c r="IMV30" s="47"/>
      <c r="IMW30" s="47"/>
      <c r="IMX30" s="47"/>
      <c r="IMY30" s="47"/>
      <c r="IMZ30" s="47"/>
      <c r="INA30" s="47"/>
      <c r="INB30" s="47"/>
      <c r="INC30" s="47"/>
      <c r="IND30" s="47"/>
      <c r="INE30" s="47"/>
      <c r="INF30" s="47"/>
      <c r="ING30" s="47"/>
      <c r="INH30" s="47"/>
      <c r="INI30" s="47"/>
      <c r="INJ30" s="47"/>
      <c r="INK30" s="47"/>
      <c r="INL30" s="47"/>
      <c r="INM30" s="47"/>
      <c r="INN30" s="47"/>
      <c r="INO30" s="47"/>
      <c r="INP30" s="47"/>
      <c r="INQ30" s="47"/>
      <c r="INR30" s="47"/>
      <c r="INS30" s="47"/>
      <c r="INT30" s="47"/>
      <c r="INU30" s="47"/>
      <c r="INV30" s="47"/>
      <c r="INW30" s="47"/>
      <c r="INX30" s="47"/>
      <c r="INY30" s="47"/>
      <c r="INZ30" s="47"/>
      <c r="IOA30" s="47"/>
      <c r="IOB30" s="47"/>
      <c r="IOC30" s="47"/>
      <c r="IOD30" s="47"/>
      <c r="IOE30" s="47"/>
      <c r="IOF30" s="47"/>
      <c r="IOG30" s="47"/>
      <c r="IOH30" s="47"/>
      <c r="IOI30" s="47"/>
      <c r="IOJ30" s="47"/>
      <c r="IOK30" s="47"/>
      <c r="IOL30" s="47"/>
      <c r="IOM30" s="47"/>
      <c r="ION30" s="47"/>
      <c r="IOO30" s="47"/>
      <c r="IOP30" s="47"/>
      <c r="IOQ30" s="47"/>
      <c r="IOR30" s="47"/>
      <c r="IOS30" s="47"/>
      <c r="IOT30" s="47"/>
      <c r="IOU30" s="47"/>
      <c r="IOV30" s="47"/>
      <c r="IOW30" s="47"/>
      <c r="IOX30" s="47"/>
      <c r="IOY30" s="47"/>
      <c r="IOZ30" s="47"/>
      <c r="IPA30" s="47"/>
      <c r="IPB30" s="47"/>
      <c r="IPC30" s="47"/>
      <c r="IPD30" s="47"/>
      <c r="IPE30" s="47"/>
      <c r="IPF30" s="47"/>
      <c r="IPG30" s="47"/>
      <c r="IPH30" s="47"/>
      <c r="IPI30" s="47"/>
      <c r="IPJ30" s="47"/>
      <c r="IPK30" s="47"/>
      <c r="IPL30" s="47"/>
      <c r="IPM30" s="47"/>
      <c r="IPN30" s="47"/>
      <c r="IPO30" s="47"/>
      <c r="IPP30" s="47"/>
      <c r="IPQ30" s="47"/>
      <c r="IPR30" s="47"/>
      <c r="IPS30" s="47"/>
      <c r="IPT30" s="47"/>
      <c r="IPU30" s="47"/>
      <c r="IPV30" s="47"/>
      <c r="IPW30" s="47"/>
      <c r="IPX30" s="47"/>
      <c r="IPY30" s="47"/>
      <c r="IPZ30" s="47"/>
      <c r="IQA30" s="47"/>
      <c r="IQB30" s="47"/>
      <c r="IQC30" s="47"/>
      <c r="IQD30" s="47"/>
      <c r="IQE30" s="47"/>
      <c r="IQF30" s="47"/>
      <c r="IQG30" s="47"/>
      <c r="IQH30" s="47"/>
      <c r="IQI30" s="47"/>
      <c r="IQJ30" s="47"/>
      <c r="IQK30" s="47"/>
      <c r="IQL30" s="47"/>
      <c r="IQM30" s="47"/>
      <c r="IQN30" s="47"/>
      <c r="IQO30" s="47"/>
      <c r="IQP30" s="47"/>
      <c r="IQQ30" s="47"/>
      <c r="IQR30" s="47"/>
      <c r="IQS30" s="47"/>
      <c r="IQT30" s="47"/>
      <c r="IQU30" s="47"/>
      <c r="IQV30" s="47"/>
      <c r="IQW30" s="47"/>
      <c r="IQX30" s="47"/>
      <c r="IQY30" s="47"/>
      <c r="IQZ30" s="47"/>
      <c r="IRA30" s="47"/>
      <c r="IRB30" s="47"/>
      <c r="IRC30" s="47"/>
      <c r="IRD30" s="47"/>
      <c r="IRE30" s="47"/>
      <c r="IRF30" s="47"/>
      <c r="IRG30" s="47"/>
      <c r="IRH30" s="47"/>
      <c r="IRI30" s="47"/>
      <c r="IRJ30" s="47"/>
      <c r="IRK30" s="47"/>
      <c r="IRL30" s="47"/>
      <c r="IRM30" s="47"/>
      <c r="IRN30" s="47"/>
      <c r="IRO30" s="47"/>
      <c r="IRP30" s="47"/>
      <c r="IRQ30" s="47"/>
      <c r="IRR30" s="47"/>
      <c r="IRS30" s="47"/>
      <c r="IRT30" s="47"/>
      <c r="IRU30" s="47"/>
      <c r="IRV30" s="47"/>
      <c r="IRW30" s="47"/>
      <c r="IRX30" s="47"/>
      <c r="IRY30" s="47"/>
      <c r="IRZ30" s="47"/>
      <c r="ISA30" s="47"/>
      <c r="ISB30" s="47"/>
      <c r="ISC30" s="47"/>
      <c r="ISD30" s="47"/>
      <c r="ISE30" s="47"/>
      <c r="ISF30" s="47"/>
      <c r="ISG30" s="47"/>
      <c r="ISH30" s="47"/>
      <c r="ISI30" s="47"/>
      <c r="ISJ30" s="47"/>
      <c r="ISK30" s="47"/>
      <c r="ISL30" s="47"/>
      <c r="ISM30" s="47"/>
      <c r="ISN30" s="47"/>
      <c r="ISO30" s="47"/>
      <c r="ISP30" s="47"/>
      <c r="ISQ30" s="47"/>
      <c r="ISR30" s="47"/>
      <c r="ISS30" s="47"/>
      <c r="IST30" s="47"/>
      <c r="ISU30" s="47"/>
      <c r="ISV30" s="47"/>
      <c r="ISW30" s="47"/>
      <c r="ISX30" s="47"/>
      <c r="ISY30" s="47"/>
      <c r="ISZ30" s="47"/>
      <c r="ITA30" s="47"/>
      <c r="ITB30" s="47"/>
      <c r="ITC30" s="47"/>
      <c r="ITD30" s="47"/>
      <c r="ITE30" s="47"/>
      <c r="ITF30" s="47"/>
      <c r="ITG30" s="47"/>
      <c r="ITH30" s="47"/>
      <c r="ITI30" s="47"/>
      <c r="ITJ30" s="47"/>
      <c r="ITK30" s="47"/>
      <c r="ITL30" s="47"/>
      <c r="ITM30" s="47"/>
      <c r="ITN30" s="47"/>
      <c r="ITO30" s="47"/>
      <c r="ITP30" s="47"/>
      <c r="ITQ30" s="47"/>
      <c r="ITR30" s="47"/>
      <c r="ITS30" s="47"/>
      <c r="ITT30" s="47"/>
      <c r="ITU30" s="47"/>
      <c r="ITV30" s="47"/>
      <c r="ITW30" s="47"/>
      <c r="ITX30" s="47"/>
      <c r="ITY30" s="47"/>
      <c r="ITZ30" s="47"/>
      <c r="IUA30" s="47"/>
      <c r="IUB30" s="47"/>
      <c r="IUC30" s="47"/>
      <c r="IUD30" s="47"/>
      <c r="IUE30" s="47"/>
      <c r="IUF30" s="47"/>
      <c r="IUG30" s="47"/>
      <c r="IUH30" s="47"/>
      <c r="IUI30" s="47"/>
      <c r="IUJ30" s="47"/>
      <c r="IUK30" s="47"/>
      <c r="IUL30" s="47"/>
      <c r="IUM30" s="47"/>
      <c r="IUN30" s="47"/>
      <c r="IUO30" s="47"/>
      <c r="IUP30" s="47"/>
      <c r="IUQ30" s="47"/>
      <c r="IUR30" s="47"/>
      <c r="IUS30" s="47"/>
      <c r="IUT30" s="47"/>
      <c r="IUU30" s="47"/>
      <c r="IUV30" s="47"/>
      <c r="IUW30" s="47"/>
      <c r="IUX30" s="47"/>
      <c r="IUY30" s="47"/>
      <c r="IUZ30" s="47"/>
      <c r="IVA30" s="47"/>
      <c r="IVB30" s="47"/>
      <c r="IVC30" s="47"/>
      <c r="IVD30" s="47"/>
      <c r="IVE30" s="47"/>
      <c r="IVF30" s="47"/>
      <c r="IVG30" s="47"/>
      <c r="IVH30" s="47"/>
      <c r="IVI30" s="47"/>
      <c r="IVJ30" s="47"/>
      <c r="IVK30" s="47"/>
      <c r="IVL30" s="47"/>
      <c r="IVM30" s="47"/>
      <c r="IVN30" s="47"/>
      <c r="IVO30" s="47"/>
      <c r="IVP30" s="47"/>
      <c r="IVQ30" s="47"/>
      <c r="IVR30" s="47"/>
      <c r="IVS30" s="47"/>
      <c r="IVT30" s="47"/>
      <c r="IVU30" s="47"/>
      <c r="IVV30" s="47"/>
      <c r="IVW30" s="47"/>
      <c r="IVX30" s="47"/>
      <c r="IVY30" s="47"/>
      <c r="IVZ30" s="47"/>
      <c r="IWA30" s="47"/>
      <c r="IWB30" s="47"/>
      <c r="IWC30" s="47"/>
      <c r="IWD30" s="47"/>
      <c r="IWE30" s="47"/>
      <c r="IWF30" s="47"/>
      <c r="IWG30" s="47"/>
      <c r="IWH30" s="47"/>
      <c r="IWI30" s="47"/>
      <c r="IWJ30" s="47"/>
      <c r="IWK30" s="47"/>
      <c r="IWL30" s="47"/>
      <c r="IWM30" s="47"/>
      <c r="IWN30" s="47"/>
      <c r="IWO30" s="47"/>
      <c r="IWP30" s="47"/>
      <c r="IWQ30" s="47"/>
      <c r="IWR30" s="47"/>
      <c r="IWS30" s="47"/>
      <c r="IWT30" s="47"/>
      <c r="IWU30" s="47"/>
      <c r="IWV30" s="47"/>
      <c r="IWW30" s="47"/>
      <c r="IWX30" s="47"/>
      <c r="IWY30" s="47"/>
      <c r="IWZ30" s="47"/>
      <c r="IXA30" s="47"/>
      <c r="IXB30" s="47"/>
      <c r="IXC30" s="47"/>
      <c r="IXD30" s="47"/>
      <c r="IXE30" s="47"/>
      <c r="IXF30" s="47"/>
      <c r="IXG30" s="47"/>
      <c r="IXH30" s="47"/>
      <c r="IXI30" s="47"/>
      <c r="IXJ30" s="47"/>
      <c r="IXK30" s="47"/>
      <c r="IXL30" s="47"/>
      <c r="IXM30" s="47"/>
      <c r="IXN30" s="47"/>
      <c r="IXO30" s="47"/>
      <c r="IXP30" s="47"/>
      <c r="IXQ30" s="47"/>
      <c r="IXR30" s="47"/>
      <c r="IXS30" s="47"/>
      <c r="IXT30" s="47"/>
      <c r="IXU30" s="47"/>
      <c r="IXV30" s="47"/>
      <c r="IXW30" s="47"/>
      <c r="IXX30" s="47"/>
      <c r="IXY30" s="47"/>
      <c r="IXZ30" s="47"/>
      <c r="IYA30" s="47"/>
      <c r="IYB30" s="47"/>
      <c r="IYC30" s="47"/>
      <c r="IYD30" s="47"/>
      <c r="IYE30" s="47"/>
      <c r="IYF30" s="47"/>
      <c r="IYG30" s="47"/>
      <c r="IYH30" s="47"/>
      <c r="IYI30" s="47"/>
      <c r="IYJ30" s="47"/>
      <c r="IYK30" s="47"/>
      <c r="IYL30" s="47"/>
      <c r="IYM30" s="47"/>
      <c r="IYN30" s="47"/>
      <c r="IYO30" s="47"/>
      <c r="IYP30" s="47"/>
      <c r="IYQ30" s="47"/>
      <c r="IYR30" s="47"/>
      <c r="IYS30" s="47"/>
      <c r="IYT30" s="47"/>
      <c r="IYU30" s="47"/>
      <c r="IYV30" s="47"/>
      <c r="IYW30" s="47"/>
      <c r="IYX30" s="47"/>
      <c r="IYY30" s="47"/>
      <c r="IYZ30" s="47"/>
      <c r="IZA30" s="47"/>
      <c r="IZB30" s="47"/>
      <c r="IZC30" s="47"/>
      <c r="IZD30" s="47"/>
      <c r="IZE30" s="47"/>
      <c r="IZF30" s="47"/>
      <c r="IZG30" s="47"/>
      <c r="IZH30" s="47"/>
      <c r="IZI30" s="47"/>
      <c r="IZJ30" s="47"/>
      <c r="IZK30" s="47"/>
      <c r="IZL30" s="47"/>
      <c r="IZM30" s="47"/>
      <c r="IZN30" s="47"/>
      <c r="IZO30" s="47"/>
      <c r="IZP30" s="47"/>
      <c r="IZQ30" s="47"/>
      <c r="IZR30" s="47"/>
      <c r="IZS30" s="47"/>
      <c r="IZT30" s="47"/>
      <c r="IZU30" s="47"/>
      <c r="IZV30" s="47"/>
      <c r="IZW30" s="47"/>
      <c r="IZX30" s="47"/>
      <c r="IZY30" s="47"/>
      <c r="IZZ30" s="47"/>
      <c r="JAA30" s="47"/>
      <c r="JAB30" s="47"/>
      <c r="JAC30" s="47"/>
      <c r="JAD30" s="47"/>
      <c r="JAE30" s="47"/>
      <c r="JAF30" s="47"/>
      <c r="JAG30" s="47"/>
      <c r="JAH30" s="47"/>
      <c r="JAI30" s="47"/>
      <c r="JAJ30" s="47"/>
      <c r="JAK30" s="47"/>
      <c r="JAL30" s="47"/>
      <c r="JAM30" s="47"/>
      <c r="JAN30" s="47"/>
      <c r="JAO30" s="47"/>
      <c r="JAP30" s="47"/>
      <c r="JAQ30" s="47"/>
      <c r="JAR30" s="47"/>
      <c r="JAS30" s="47"/>
      <c r="JAT30" s="47"/>
      <c r="JAU30" s="47"/>
      <c r="JAV30" s="47"/>
      <c r="JAW30" s="47"/>
      <c r="JAX30" s="47"/>
      <c r="JAY30" s="47"/>
      <c r="JAZ30" s="47"/>
      <c r="JBA30" s="47"/>
      <c r="JBB30" s="47"/>
      <c r="JBC30" s="47"/>
      <c r="JBD30" s="47"/>
      <c r="JBE30" s="47"/>
      <c r="JBF30" s="47"/>
      <c r="JBG30" s="47"/>
      <c r="JBH30" s="47"/>
      <c r="JBI30" s="47"/>
      <c r="JBJ30" s="47"/>
      <c r="JBK30" s="47"/>
      <c r="JBL30" s="47"/>
      <c r="JBM30" s="47"/>
      <c r="JBN30" s="47"/>
      <c r="JBO30" s="47"/>
      <c r="JBP30" s="47"/>
      <c r="JBQ30" s="47"/>
      <c r="JBR30" s="47"/>
      <c r="JBS30" s="47"/>
      <c r="JBT30" s="47"/>
      <c r="JBU30" s="47"/>
      <c r="JBV30" s="47"/>
      <c r="JBW30" s="47"/>
      <c r="JBX30" s="47"/>
      <c r="JBY30" s="47"/>
      <c r="JBZ30" s="47"/>
      <c r="JCA30" s="47"/>
      <c r="JCB30" s="47"/>
      <c r="JCC30" s="47"/>
      <c r="JCD30" s="47"/>
      <c r="JCE30" s="47"/>
      <c r="JCF30" s="47"/>
      <c r="JCG30" s="47"/>
      <c r="JCH30" s="47"/>
      <c r="JCI30" s="47"/>
      <c r="JCJ30" s="47"/>
      <c r="JCK30" s="47"/>
      <c r="JCL30" s="47"/>
      <c r="JCM30" s="47"/>
      <c r="JCN30" s="47"/>
      <c r="JCO30" s="47"/>
      <c r="JCP30" s="47"/>
      <c r="JCQ30" s="47"/>
      <c r="JCR30" s="47"/>
      <c r="JCS30" s="47"/>
      <c r="JCT30" s="47"/>
      <c r="JCU30" s="47"/>
      <c r="JCV30" s="47"/>
      <c r="JCW30" s="47"/>
      <c r="JCX30" s="47"/>
      <c r="JCY30" s="47"/>
      <c r="JCZ30" s="47"/>
      <c r="JDA30" s="47"/>
      <c r="JDB30" s="47"/>
      <c r="JDC30" s="47"/>
      <c r="JDD30" s="47"/>
      <c r="JDE30" s="47"/>
      <c r="JDF30" s="47"/>
      <c r="JDG30" s="47"/>
      <c r="JDH30" s="47"/>
      <c r="JDI30" s="47"/>
      <c r="JDJ30" s="47"/>
      <c r="JDK30" s="47"/>
      <c r="JDL30" s="47"/>
      <c r="JDM30" s="47"/>
      <c r="JDN30" s="47"/>
      <c r="JDO30" s="47"/>
      <c r="JDP30" s="47"/>
      <c r="JDQ30" s="47"/>
      <c r="JDR30" s="47"/>
      <c r="JDS30" s="47"/>
      <c r="JDT30" s="47"/>
      <c r="JDU30" s="47"/>
      <c r="JDV30" s="47"/>
      <c r="JDW30" s="47"/>
      <c r="JDX30" s="47"/>
      <c r="JDY30" s="47"/>
      <c r="JDZ30" s="47"/>
      <c r="JEA30" s="47"/>
      <c r="JEB30" s="47"/>
      <c r="JEC30" s="47"/>
      <c r="JED30" s="47"/>
      <c r="JEE30" s="47"/>
      <c r="JEF30" s="47"/>
      <c r="JEG30" s="47"/>
      <c r="JEH30" s="47"/>
      <c r="JEI30" s="47"/>
      <c r="JEJ30" s="47"/>
      <c r="JEK30" s="47"/>
      <c r="JEL30" s="47"/>
      <c r="JEM30" s="47"/>
      <c r="JEN30" s="47"/>
      <c r="JEO30" s="47"/>
      <c r="JEP30" s="47"/>
      <c r="JEQ30" s="47"/>
      <c r="JER30" s="47"/>
      <c r="JES30" s="47"/>
      <c r="JET30" s="47"/>
      <c r="JEU30" s="47"/>
      <c r="JEV30" s="47"/>
      <c r="JEW30" s="47"/>
      <c r="JEX30" s="47"/>
      <c r="JEY30" s="47"/>
      <c r="JEZ30" s="47"/>
      <c r="JFA30" s="47"/>
      <c r="JFB30" s="47"/>
      <c r="JFC30" s="47"/>
      <c r="JFD30" s="47"/>
      <c r="JFE30" s="47"/>
      <c r="JFF30" s="47"/>
      <c r="JFG30" s="47"/>
      <c r="JFH30" s="47"/>
      <c r="JFI30" s="47"/>
      <c r="JFJ30" s="47"/>
      <c r="JFK30" s="47"/>
      <c r="JFL30" s="47"/>
      <c r="JFM30" s="47"/>
      <c r="JFN30" s="47"/>
      <c r="JFO30" s="47"/>
      <c r="JFP30" s="47"/>
      <c r="JFQ30" s="47"/>
      <c r="JFR30" s="47"/>
      <c r="JFS30" s="47"/>
      <c r="JFT30" s="47"/>
      <c r="JFU30" s="47"/>
      <c r="JFV30" s="47"/>
      <c r="JFW30" s="47"/>
      <c r="JFX30" s="47"/>
      <c r="JFY30" s="47"/>
      <c r="JFZ30" s="47"/>
      <c r="JGA30" s="47"/>
      <c r="JGB30" s="47"/>
      <c r="JGC30" s="47"/>
      <c r="JGD30" s="47"/>
      <c r="JGE30" s="47"/>
      <c r="JGF30" s="47"/>
      <c r="JGG30" s="47"/>
      <c r="JGH30" s="47"/>
      <c r="JGI30" s="47"/>
      <c r="JGJ30" s="47"/>
      <c r="JGK30" s="47"/>
      <c r="JGL30" s="47"/>
      <c r="JGM30" s="47"/>
      <c r="JGN30" s="47"/>
      <c r="JGO30" s="47"/>
      <c r="JGP30" s="47"/>
      <c r="JGQ30" s="47"/>
      <c r="JGR30" s="47"/>
      <c r="JGS30" s="47"/>
      <c r="JGT30" s="47"/>
      <c r="JGU30" s="47"/>
      <c r="JGV30" s="47"/>
      <c r="JGW30" s="47"/>
      <c r="JGX30" s="47"/>
      <c r="JGY30" s="47"/>
      <c r="JGZ30" s="47"/>
      <c r="JHA30" s="47"/>
      <c r="JHB30" s="47"/>
      <c r="JHC30" s="47"/>
      <c r="JHD30" s="47"/>
      <c r="JHE30" s="47"/>
      <c r="JHF30" s="47"/>
      <c r="JHG30" s="47"/>
      <c r="JHH30" s="47"/>
      <c r="JHI30" s="47"/>
      <c r="JHJ30" s="47"/>
      <c r="JHK30" s="47"/>
      <c r="JHL30" s="47"/>
      <c r="JHM30" s="47"/>
      <c r="JHN30" s="47"/>
      <c r="JHO30" s="47"/>
      <c r="JHP30" s="47"/>
      <c r="JHQ30" s="47"/>
      <c r="JHR30" s="47"/>
      <c r="JHS30" s="47"/>
      <c r="JHT30" s="47"/>
      <c r="JHU30" s="47"/>
      <c r="JHV30" s="47"/>
      <c r="JHW30" s="47"/>
      <c r="JHX30" s="47"/>
      <c r="JHY30" s="47"/>
      <c r="JHZ30" s="47"/>
      <c r="JIA30" s="47"/>
      <c r="JIB30" s="47"/>
      <c r="JIC30" s="47"/>
      <c r="JID30" s="47"/>
      <c r="JIE30" s="47"/>
      <c r="JIF30" s="47"/>
      <c r="JIG30" s="47"/>
      <c r="JIH30" s="47"/>
      <c r="JII30" s="47"/>
      <c r="JIJ30" s="47"/>
      <c r="JIK30" s="47"/>
      <c r="JIL30" s="47"/>
      <c r="JIM30" s="47"/>
      <c r="JIN30" s="47"/>
      <c r="JIO30" s="47"/>
      <c r="JIP30" s="47"/>
      <c r="JIQ30" s="47"/>
      <c r="JIR30" s="47"/>
      <c r="JIS30" s="47"/>
      <c r="JIT30" s="47"/>
      <c r="JIU30" s="47"/>
      <c r="JIV30" s="47"/>
      <c r="JIW30" s="47"/>
      <c r="JIX30" s="47"/>
      <c r="JIY30" s="47"/>
      <c r="JIZ30" s="47"/>
      <c r="JJA30" s="47"/>
      <c r="JJB30" s="47"/>
      <c r="JJC30" s="47"/>
      <c r="JJD30" s="47"/>
      <c r="JJE30" s="47"/>
      <c r="JJF30" s="47"/>
      <c r="JJG30" s="47"/>
      <c r="JJH30" s="47"/>
      <c r="JJI30" s="47"/>
      <c r="JJJ30" s="47"/>
      <c r="JJK30" s="47"/>
      <c r="JJL30" s="47"/>
      <c r="JJM30" s="47"/>
      <c r="JJN30" s="47"/>
      <c r="JJO30" s="47"/>
      <c r="JJP30" s="47"/>
      <c r="JJQ30" s="47"/>
      <c r="JJR30" s="47"/>
      <c r="JJS30" s="47"/>
      <c r="JJT30" s="47"/>
      <c r="JJU30" s="47"/>
      <c r="JJV30" s="47"/>
      <c r="JJW30" s="47"/>
      <c r="JJX30" s="47"/>
      <c r="JJY30" s="47"/>
      <c r="JJZ30" s="47"/>
      <c r="JKA30" s="47"/>
      <c r="JKB30" s="47"/>
      <c r="JKC30" s="47"/>
      <c r="JKD30" s="47"/>
      <c r="JKE30" s="47"/>
      <c r="JKF30" s="47"/>
      <c r="JKG30" s="47"/>
      <c r="JKH30" s="47"/>
      <c r="JKI30" s="47"/>
      <c r="JKJ30" s="47"/>
      <c r="JKK30" s="47"/>
      <c r="JKL30" s="47"/>
      <c r="JKM30" s="47"/>
      <c r="JKN30" s="47"/>
      <c r="JKO30" s="47"/>
      <c r="JKP30" s="47"/>
      <c r="JKQ30" s="47"/>
      <c r="JKR30" s="47"/>
      <c r="JKS30" s="47"/>
      <c r="JKT30" s="47"/>
      <c r="JKU30" s="47"/>
      <c r="JKV30" s="47"/>
      <c r="JKW30" s="47"/>
      <c r="JKX30" s="47"/>
      <c r="JKY30" s="47"/>
      <c r="JKZ30" s="47"/>
      <c r="JLA30" s="47"/>
      <c r="JLB30" s="47"/>
      <c r="JLC30" s="47"/>
      <c r="JLD30" s="47"/>
      <c r="JLE30" s="47"/>
      <c r="JLF30" s="47"/>
      <c r="JLG30" s="47"/>
      <c r="JLH30" s="47"/>
      <c r="JLI30" s="47"/>
      <c r="JLJ30" s="47"/>
      <c r="JLK30" s="47"/>
      <c r="JLL30" s="47"/>
      <c r="JLM30" s="47"/>
      <c r="JLN30" s="47"/>
      <c r="JLO30" s="47"/>
      <c r="JLP30" s="47"/>
      <c r="JLQ30" s="47"/>
      <c r="JLR30" s="47"/>
      <c r="JLS30" s="47"/>
      <c r="JLT30" s="47"/>
      <c r="JLU30" s="47"/>
      <c r="JLV30" s="47"/>
      <c r="JLW30" s="47"/>
      <c r="JLX30" s="47"/>
      <c r="JLY30" s="47"/>
      <c r="JLZ30" s="47"/>
      <c r="JMA30" s="47"/>
      <c r="JMB30" s="47"/>
      <c r="JMC30" s="47"/>
      <c r="JMD30" s="47"/>
      <c r="JME30" s="47"/>
      <c r="JMF30" s="47"/>
      <c r="JMG30" s="47"/>
      <c r="JMH30" s="47"/>
      <c r="JMI30" s="47"/>
      <c r="JMJ30" s="47"/>
      <c r="JMK30" s="47"/>
      <c r="JML30" s="47"/>
      <c r="JMM30" s="47"/>
      <c r="JMN30" s="47"/>
      <c r="JMO30" s="47"/>
      <c r="JMP30" s="47"/>
      <c r="JMQ30" s="47"/>
      <c r="JMR30" s="47"/>
      <c r="JMS30" s="47"/>
      <c r="JMT30" s="47"/>
      <c r="JMU30" s="47"/>
      <c r="JMV30" s="47"/>
      <c r="JMW30" s="47"/>
      <c r="JMX30" s="47"/>
      <c r="JMY30" s="47"/>
      <c r="JMZ30" s="47"/>
      <c r="JNA30" s="47"/>
      <c r="JNB30" s="47"/>
      <c r="JNC30" s="47"/>
      <c r="JND30" s="47"/>
      <c r="JNE30" s="47"/>
      <c r="JNF30" s="47"/>
      <c r="JNG30" s="47"/>
      <c r="JNH30" s="47"/>
      <c r="JNI30" s="47"/>
      <c r="JNJ30" s="47"/>
      <c r="JNK30" s="47"/>
      <c r="JNL30" s="47"/>
      <c r="JNM30" s="47"/>
      <c r="JNN30" s="47"/>
      <c r="JNO30" s="47"/>
      <c r="JNP30" s="47"/>
      <c r="JNQ30" s="47"/>
      <c r="JNR30" s="47"/>
      <c r="JNS30" s="47"/>
      <c r="JNT30" s="47"/>
      <c r="JNU30" s="47"/>
      <c r="JNV30" s="47"/>
      <c r="JNW30" s="47"/>
      <c r="JNX30" s="47"/>
      <c r="JNY30" s="47"/>
      <c r="JNZ30" s="47"/>
      <c r="JOA30" s="47"/>
      <c r="JOB30" s="47"/>
      <c r="JOC30" s="47"/>
      <c r="JOD30" s="47"/>
      <c r="JOE30" s="47"/>
      <c r="JOF30" s="47"/>
      <c r="JOG30" s="47"/>
      <c r="JOH30" s="47"/>
      <c r="JOI30" s="47"/>
      <c r="JOJ30" s="47"/>
      <c r="JOK30" s="47"/>
      <c r="JOL30" s="47"/>
      <c r="JOM30" s="47"/>
      <c r="JON30" s="47"/>
      <c r="JOO30" s="47"/>
      <c r="JOP30" s="47"/>
      <c r="JOQ30" s="47"/>
      <c r="JOR30" s="47"/>
      <c r="JOS30" s="47"/>
      <c r="JOT30" s="47"/>
      <c r="JOU30" s="47"/>
      <c r="JOV30" s="47"/>
      <c r="JOW30" s="47"/>
      <c r="JOX30" s="47"/>
      <c r="JOY30" s="47"/>
      <c r="JOZ30" s="47"/>
      <c r="JPA30" s="47"/>
      <c r="JPB30" s="47"/>
      <c r="JPC30" s="47"/>
      <c r="JPD30" s="47"/>
      <c r="JPE30" s="47"/>
      <c r="JPF30" s="47"/>
      <c r="JPG30" s="47"/>
      <c r="JPH30" s="47"/>
      <c r="JPI30" s="47"/>
      <c r="JPJ30" s="47"/>
      <c r="JPK30" s="47"/>
      <c r="JPL30" s="47"/>
      <c r="JPM30" s="47"/>
      <c r="JPN30" s="47"/>
      <c r="JPO30" s="47"/>
      <c r="JPP30" s="47"/>
      <c r="JPQ30" s="47"/>
      <c r="JPR30" s="47"/>
      <c r="JPS30" s="47"/>
      <c r="JPT30" s="47"/>
      <c r="JPU30" s="47"/>
      <c r="JPV30" s="47"/>
      <c r="JPW30" s="47"/>
      <c r="JPX30" s="47"/>
      <c r="JPY30" s="47"/>
      <c r="JPZ30" s="47"/>
      <c r="JQA30" s="47"/>
      <c r="JQB30" s="47"/>
      <c r="JQC30" s="47"/>
      <c r="JQD30" s="47"/>
      <c r="JQE30" s="47"/>
      <c r="JQF30" s="47"/>
      <c r="JQG30" s="47"/>
      <c r="JQH30" s="47"/>
      <c r="JQI30" s="47"/>
      <c r="JQJ30" s="47"/>
      <c r="JQK30" s="47"/>
      <c r="JQL30" s="47"/>
      <c r="JQM30" s="47"/>
      <c r="JQN30" s="47"/>
      <c r="JQO30" s="47"/>
      <c r="JQP30" s="47"/>
      <c r="JQQ30" s="47"/>
      <c r="JQR30" s="47"/>
      <c r="JQS30" s="47"/>
      <c r="JQT30" s="47"/>
      <c r="JQU30" s="47"/>
      <c r="JQV30" s="47"/>
      <c r="JQW30" s="47"/>
      <c r="JQX30" s="47"/>
      <c r="JQY30" s="47"/>
      <c r="JQZ30" s="47"/>
      <c r="JRA30" s="47"/>
      <c r="JRB30" s="47"/>
      <c r="JRC30" s="47"/>
      <c r="JRD30" s="47"/>
      <c r="JRE30" s="47"/>
      <c r="JRF30" s="47"/>
      <c r="JRG30" s="47"/>
      <c r="JRH30" s="47"/>
      <c r="JRI30" s="47"/>
      <c r="JRJ30" s="47"/>
      <c r="JRK30" s="47"/>
      <c r="JRL30" s="47"/>
      <c r="JRM30" s="47"/>
      <c r="JRN30" s="47"/>
      <c r="JRO30" s="47"/>
      <c r="JRP30" s="47"/>
      <c r="JRQ30" s="47"/>
      <c r="JRR30" s="47"/>
      <c r="JRS30" s="47"/>
      <c r="JRT30" s="47"/>
      <c r="JRU30" s="47"/>
      <c r="JRV30" s="47"/>
      <c r="JRW30" s="47"/>
      <c r="JRX30" s="47"/>
      <c r="JRY30" s="47"/>
      <c r="JRZ30" s="47"/>
      <c r="JSA30" s="47"/>
      <c r="JSB30" s="47"/>
      <c r="JSC30" s="47"/>
      <c r="JSD30" s="47"/>
      <c r="JSE30" s="47"/>
      <c r="JSF30" s="47"/>
      <c r="JSG30" s="47"/>
      <c r="JSH30" s="47"/>
      <c r="JSI30" s="47"/>
      <c r="JSJ30" s="47"/>
      <c r="JSK30" s="47"/>
      <c r="JSL30" s="47"/>
      <c r="JSM30" s="47"/>
      <c r="JSN30" s="47"/>
      <c r="JSO30" s="47"/>
      <c r="JSP30" s="47"/>
      <c r="JSQ30" s="47"/>
      <c r="JSR30" s="47"/>
      <c r="JSS30" s="47"/>
      <c r="JST30" s="47"/>
      <c r="JSU30" s="47"/>
      <c r="JSV30" s="47"/>
      <c r="JSW30" s="47"/>
      <c r="JSX30" s="47"/>
      <c r="JSY30" s="47"/>
      <c r="JSZ30" s="47"/>
      <c r="JTA30" s="47"/>
      <c r="JTB30" s="47"/>
      <c r="JTC30" s="47"/>
      <c r="JTD30" s="47"/>
      <c r="JTE30" s="47"/>
      <c r="JTF30" s="47"/>
      <c r="JTG30" s="47"/>
      <c r="JTH30" s="47"/>
      <c r="JTI30" s="47"/>
      <c r="JTJ30" s="47"/>
      <c r="JTK30" s="47"/>
      <c r="JTL30" s="47"/>
      <c r="JTM30" s="47"/>
      <c r="JTN30" s="47"/>
      <c r="JTO30" s="47"/>
      <c r="JTP30" s="47"/>
      <c r="JTQ30" s="47"/>
      <c r="JTR30" s="47"/>
      <c r="JTS30" s="47"/>
      <c r="JTT30" s="47"/>
      <c r="JTU30" s="47"/>
      <c r="JTV30" s="47"/>
      <c r="JTW30" s="47"/>
      <c r="JTX30" s="47"/>
      <c r="JTY30" s="47"/>
      <c r="JTZ30" s="47"/>
      <c r="JUA30" s="47"/>
      <c r="JUB30" s="47"/>
      <c r="JUC30" s="47"/>
      <c r="JUD30" s="47"/>
      <c r="JUE30" s="47"/>
      <c r="JUF30" s="47"/>
      <c r="JUG30" s="47"/>
      <c r="JUH30" s="47"/>
      <c r="JUI30" s="47"/>
      <c r="JUJ30" s="47"/>
      <c r="JUK30" s="47"/>
      <c r="JUL30" s="47"/>
      <c r="JUM30" s="47"/>
      <c r="JUN30" s="47"/>
      <c r="JUO30" s="47"/>
      <c r="JUP30" s="47"/>
      <c r="JUQ30" s="47"/>
      <c r="JUR30" s="47"/>
      <c r="JUS30" s="47"/>
      <c r="JUT30" s="47"/>
      <c r="JUU30" s="47"/>
      <c r="JUV30" s="47"/>
      <c r="JUW30" s="47"/>
      <c r="JUX30" s="47"/>
      <c r="JUY30" s="47"/>
      <c r="JUZ30" s="47"/>
      <c r="JVA30" s="47"/>
      <c r="JVB30" s="47"/>
      <c r="JVC30" s="47"/>
      <c r="JVD30" s="47"/>
      <c r="JVE30" s="47"/>
      <c r="JVF30" s="47"/>
      <c r="JVG30" s="47"/>
      <c r="JVH30" s="47"/>
      <c r="JVI30" s="47"/>
      <c r="JVJ30" s="47"/>
      <c r="JVK30" s="47"/>
      <c r="JVL30" s="47"/>
      <c r="JVM30" s="47"/>
      <c r="JVN30" s="47"/>
      <c r="JVO30" s="47"/>
      <c r="JVP30" s="47"/>
      <c r="JVQ30" s="47"/>
      <c r="JVR30" s="47"/>
      <c r="JVS30" s="47"/>
      <c r="JVT30" s="47"/>
      <c r="JVU30" s="47"/>
      <c r="JVV30" s="47"/>
      <c r="JVW30" s="47"/>
      <c r="JVX30" s="47"/>
      <c r="JVY30" s="47"/>
      <c r="JVZ30" s="47"/>
      <c r="JWA30" s="47"/>
      <c r="JWB30" s="47"/>
      <c r="JWC30" s="47"/>
      <c r="JWD30" s="47"/>
      <c r="JWE30" s="47"/>
      <c r="JWF30" s="47"/>
      <c r="JWG30" s="47"/>
      <c r="JWH30" s="47"/>
      <c r="JWI30" s="47"/>
      <c r="JWJ30" s="47"/>
      <c r="JWK30" s="47"/>
      <c r="JWL30" s="47"/>
      <c r="JWM30" s="47"/>
      <c r="JWN30" s="47"/>
      <c r="JWO30" s="47"/>
      <c r="JWP30" s="47"/>
      <c r="JWQ30" s="47"/>
      <c r="JWR30" s="47"/>
      <c r="JWS30" s="47"/>
      <c r="JWT30" s="47"/>
      <c r="JWU30" s="47"/>
      <c r="JWV30" s="47"/>
      <c r="JWW30" s="47"/>
      <c r="JWX30" s="47"/>
      <c r="JWY30" s="47"/>
      <c r="JWZ30" s="47"/>
      <c r="JXA30" s="47"/>
      <c r="JXB30" s="47"/>
      <c r="JXC30" s="47"/>
      <c r="JXD30" s="47"/>
      <c r="JXE30" s="47"/>
      <c r="JXF30" s="47"/>
      <c r="JXG30" s="47"/>
      <c r="JXH30" s="47"/>
      <c r="JXI30" s="47"/>
      <c r="JXJ30" s="47"/>
      <c r="JXK30" s="47"/>
      <c r="JXL30" s="47"/>
      <c r="JXM30" s="47"/>
      <c r="JXN30" s="47"/>
      <c r="JXO30" s="47"/>
      <c r="JXP30" s="47"/>
      <c r="JXQ30" s="47"/>
      <c r="JXR30" s="47"/>
      <c r="JXS30" s="47"/>
      <c r="JXT30" s="47"/>
      <c r="JXU30" s="47"/>
      <c r="JXV30" s="47"/>
      <c r="JXW30" s="47"/>
      <c r="JXX30" s="47"/>
      <c r="JXY30" s="47"/>
      <c r="JXZ30" s="47"/>
      <c r="JYA30" s="47"/>
      <c r="JYB30" s="47"/>
      <c r="JYC30" s="47"/>
      <c r="JYD30" s="47"/>
      <c r="JYE30" s="47"/>
      <c r="JYF30" s="47"/>
      <c r="JYG30" s="47"/>
      <c r="JYH30" s="47"/>
      <c r="JYI30" s="47"/>
      <c r="JYJ30" s="47"/>
      <c r="JYK30" s="47"/>
      <c r="JYL30" s="47"/>
      <c r="JYM30" s="47"/>
      <c r="JYN30" s="47"/>
      <c r="JYO30" s="47"/>
      <c r="JYP30" s="47"/>
      <c r="JYQ30" s="47"/>
      <c r="JYR30" s="47"/>
      <c r="JYS30" s="47"/>
      <c r="JYT30" s="47"/>
      <c r="JYU30" s="47"/>
      <c r="JYV30" s="47"/>
      <c r="JYW30" s="47"/>
      <c r="JYX30" s="47"/>
      <c r="JYY30" s="47"/>
      <c r="JYZ30" s="47"/>
      <c r="JZA30" s="47"/>
      <c r="JZB30" s="47"/>
      <c r="JZC30" s="47"/>
      <c r="JZD30" s="47"/>
      <c r="JZE30" s="47"/>
      <c r="JZF30" s="47"/>
      <c r="JZG30" s="47"/>
      <c r="JZH30" s="47"/>
      <c r="JZI30" s="47"/>
      <c r="JZJ30" s="47"/>
      <c r="JZK30" s="47"/>
      <c r="JZL30" s="47"/>
      <c r="JZM30" s="47"/>
      <c r="JZN30" s="47"/>
      <c r="JZO30" s="47"/>
      <c r="JZP30" s="47"/>
      <c r="JZQ30" s="47"/>
      <c r="JZR30" s="47"/>
      <c r="JZS30" s="47"/>
      <c r="JZT30" s="47"/>
      <c r="JZU30" s="47"/>
      <c r="JZV30" s="47"/>
      <c r="JZW30" s="47"/>
      <c r="JZX30" s="47"/>
      <c r="JZY30" s="47"/>
      <c r="JZZ30" s="47"/>
      <c r="KAA30" s="47"/>
      <c r="KAB30" s="47"/>
      <c r="KAC30" s="47"/>
      <c r="KAD30" s="47"/>
      <c r="KAE30" s="47"/>
      <c r="KAF30" s="47"/>
      <c r="KAG30" s="47"/>
      <c r="KAH30" s="47"/>
      <c r="KAI30" s="47"/>
      <c r="KAJ30" s="47"/>
      <c r="KAK30" s="47"/>
      <c r="KAL30" s="47"/>
      <c r="KAM30" s="47"/>
      <c r="KAN30" s="47"/>
      <c r="KAO30" s="47"/>
      <c r="KAP30" s="47"/>
      <c r="KAQ30" s="47"/>
      <c r="KAR30" s="47"/>
      <c r="KAS30" s="47"/>
      <c r="KAT30" s="47"/>
      <c r="KAU30" s="47"/>
      <c r="KAV30" s="47"/>
      <c r="KAW30" s="47"/>
      <c r="KAX30" s="47"/>
      <c r="KAY30" s="47"/>
      <c r="KAZ30" s="47"/>
      <c r="KBA30" s="47"/>
      <c r="KBB30" s="47"/>
      <c r="KBC30" s="47"/>
      <c r="KBD30" s="47"/>
      <c r="KBE30" s="47"/>
      <c r="KBF30" s="47"/>
      <c r="KBG30" s="47"/>
      <c r="KBH30" s="47"/>
      <c r="KBI30" s="47"/>
      <c r="KBJ30" s="47"/>
      <c r="KBK30" s="47"/>
      <c r="KBL30" s="47"/>
      <c r="KBM30" s="47"/>
      <c r="KBN30" s="47"/>
      <c r="KBO30" s="47"/>
      <c r="KBP30" s="47"/>
      <c r="KBQ30" s="47"/>
      <c r="KBR30" s="47"/>
      <c r="KBS30" s="47"/>
      <c r="KBT30" s="47"/>
      <c r="KBU30" s="47"/>
      <c r="KBV30" s="47"/>
      <c r="KBW30" s="47"/>
      <c r="KBX30" s="47"/>
      <c r="KBY30" s="47"/>
      <c r="KBZ30" s="47"/>
      <c r="KCA30" s="47"/>
      <c r="KCB30" s="47"/>
      <c r="KCC30" s="47"/>
      <c r="KCD30" s="47"/>
      <c r="KCE30" s="47"/>
      <c r="KCF30" s="47"/>
      <c r="KCG30" s="47"/>
      <c r="KCH30" s="47"/>
      <c r="KCI30" s="47"/>
      <c r="KCJ30" s="47"/>
      <c r="KCK30" s="47"/>
      <c r="KCL30" s="47"/>
      <c r="KCM30" s="47"/>
      <c r="KCN30" s="47"/>
      <c r="KCO30" s="47"/>
      <c r="KCP30" s="47"/>
      <c r="KCQ30" s="47"/>
      <c r="KCR30" s="47"/>
      <c r="KCS30" s="47"/>
      <c r="KCT30" s="47"/>
      <c r="KCU30" s="47"/>
      <c r="KCV30" s="47"/>
      <c r="KCW30" s="47"/>
      <c r="KCX30" s="47"/>
      <c r="KCY30" s="47"/>
      <c r="KCZ30" s="47"/>
      <c r="KDA30" s="47"/>
      <c r="KDB30" s="47"/>
      <c r="KDC30" s="47"/>
      <c r="KDD30" s="47"/>
      <c r="KDE30" s="47"/>
      <c r="KDF30" s="47"/>
      <c r="KDG30" s="47"/>
      <c r="KDH30" s="47"/>
      <c r="KDI30" s="47"/>
      <c r="KDJ30" s="47"/>
      <c r="KDK30" s="47"/>
      <c r="KDL30" s="47"/>
      <c r="KDM30" s="47"/>
      <c r="KDN30" s="47"/>
      <c r="KDO30" s="47"/>
      <c r="KDP30" s="47"/>
      <c r="KDQ30" s="47"/>
      <c r="KDR30" s="47"/>
      <c r="KDS30" s="47"/>
      <c r="KDT30" s="47"/>
      <c r="KDU30" s="47"/>
      <c r="KDV30" s="47"/>
      <c r="KDW30" s="47"/>
      <c r="KDX30" s="47"/>
      <c r="KDY30" s="47"/>
      <c r="KDZ30" s="47"/>
      <c r="KEA30" s="47"/>
      <c r="KEB30" s="47"/>
      <c r="KEC30" s="47"/>
      <c r="KED30" s="47"/>
      <c r="KEE30" s="47"/>
      <c r="KEF30" s="47"/>
      <c r="KEG30" s="47"/>
      <c r="KEH30" s="47"/>
      <c r="KEI30" s="47"/>
      <c r="KEJ30" s="47"/>
      <c r="KEK30" s="47"/>
      <c r="KEL30" s="47"/>
      <c r="KEM30" s="47"/>
      <c r="KEN30" s="47"/>
      <c r="KEO30" s="47"/>
      <c r="KEP30" s="47"/>
      <c r="KEQ30" s="47"/>
      <c r="KER30" s="47"/>
      <c r="KES30" s="47"/>
      <c r="KET30" s="47"/>
      <c r="KEU30" s="47"/>
      <c r="KEV30" s="47"/>
      <c r="KEW30" s="47"/>
      <c r="KEX30" s="47"/>
      <c r="KEY30" s="47"/>
      <c r="KEZ30" s="47"/>
      <c r="KFA30" s="47"/>
      <c r="KFB30" s="47"/>
      <c r="KFC30" s="47"/>
      <c r="KFD30" s="47"/>
      <c r="KFE30" s="47"/>
      <c r="KFF30" s="47"/>
      <c r="KFG30" s="47"/>
      <c r="KFH30" s="47"/>
      <c r="KFI30" s="47"/>
      <c r="KFJ30" s="47"/>
      <c r="KFK30" s="47"/>
      <c r="KFL30" s="47"/>
      <c r="KFM30" s="47"/>
      <c r="KFN30" s="47"/>
      <c r="KFO30" s="47"/>
      <c r="KFP30" s="47"/>
      <c r="KFQ30" s="47"/>
      <c r="KFR30" s="47"/>
      <c r="KFS30" s="47"/>
      <c r="KFT30" s="47"/>
      <c r="KFU30" s="47"/>
      <c r="KFV30" s="47"/>
      <c r="KFW30" s="47"/>
      <c r="KFX30" s="47"/>
      <c r="KFY30" s="47"/>
      <c r="KFZ30" s="47"/>
      <c r="KGA30" s="47"/>
      <c r="KGB30" s="47"/>
      <c r="KGC30" s="47"/>
      <c r="KGD30" s="47"/>
      <c r="KGE30" s="47"/>
      <c r="KGF30" s="47"/>
      <c r="KGG30" s="47"/>
      <c r="KGH30" s="47"/>
      <c r="KGI30" s="47"/>
      <c r="KGJ30" s="47"/>
      <c r="KGK30" s="47"/>
      <c r="KGL30" s="47"/>
      <c r="KGM30" s="47"/>
      <c r="KGN30" s="47"/>
      <c r="KGO30" s="47"/>
      <c r="KGP30" s="47"/>
      <c r="KGQ30" s="47"/>
      <c r="KGR30" s="47"/>
      <c r="KGS30" s="47"/>
      <c r="KGT30" s="47"/>
      <c r="KGU30" s="47"/>
      <c r="KGV30" s="47"/>
      <c r="KGW30" s="47"/>
      <c r="KGX30" s="47"/>
      <c r="KGY30" s="47"/>
      <c r="KGZ30" s="47"/>
      <c r="KHA30" s="47"/>
      <c r="KHB30" s="47"/>
      <c r="KHC30" s="47"/>
      <c r="KHD30" s="47"/>
      <c r="KHE30" s="47"/>
      <c r="KHF30" s="47"/>
      <c r="KHG30" s="47"/>
      <c r="KHH30" s="47"/>
      <c r="KHI30" s="47"/>
      <c r="KHJ30" s="47"/>
      <c r="KHK30" s="47"/>
      <c r="KHL30" s="47"/>
      <c r="KHM30" s="47"/>
      <c r="KHN30" s="47"/>
      <c r="KHO30" s="47"/>
      <c r="KHP30" s="47"/>
      <c r="KHQ30" s="47"/>
      <c r="KHR30" s="47"/>
      <c r="KHS30" s="47"/>
      <c r="KHT30" s="47"/>
      <c r="KHU30" s="47"/>
      <c r="KHV30" s="47"/>
      <c r="KHW30" s="47"/>
      <c r="KHX30" s="47"/>
      <c r="KHY30" s="47"/>
      <c r="KHZ30" s="47"/>
      <c r="KIA30" s="47"/>
      <c r="KIB30" s="47"/>
      <c r="KIC30" s="47"/>
      <c r="KID30" s="47"/>
      <c r="KIE30" s="47"/>
      <c r="KIF30" s="47"/>
      <c r="KIG30" s="47"/>
      <c r="KIH30" s="47"/>
      <c r="KII30" s="47"/>
      <c r="KIJ30" s="47"/>
      <c r="KIK30" s="47"/>
      <c r="KIL30" s="47"/>
      <c r="KIM30" s="47"/>
      <c r="KIN30" s="47"/>
      <c r="KIO30" s="47"/>
      <c r="KIP30" s="47"/>
      <c r="KIQ30" s="47"/>
      <c r="KIR30" s="47"/>
      <c r="KIS30" s="47"/>
      <c r="KIT30" s="47"/>
      <c r="KIU30" s="47"/>
      <c r="KIV30" s="47"/>
      <c r="KIW30" s="47"/>
      <c r="KIX30" s="47"/>
      <c r="KIY30" s="47"/>
      <c r="KIZ30" s="47"/>
      <c r="KJA30" s="47"/>
      <c r="KJB30" s="47"/>
      <c r="KJC30" s="47"/>
      <c r="KJD30" s="47"/>
      <c r="KJE30" s="47"/>
      <c r="KJF30" s="47"/>
      <c r="KJG30" s="47"/>
      <c r="KJH30" s="47"/>
      <c r="KJI30" s="47"/>
      <c r="KJJ30" s="47"/>
      <c r="KJK30" s="47"/>
      <c r="KJL30" s="47"/>
      <c r="KJM30" s="47"/>
      <c r="KJN30" s="47"/>
      <c r="KJO30" s="47"/>
      <c r="KJP30" s="47"/>
      <c r="KJQ30" s="47"/>
      <c r="KJR30" s="47"/>
      <c r="KJS30" s="47"/>
      <c r="KJT30" s="47"/>
      <c r="KJU30" s="47"/>
      <c r="KJV30" s="47"/>
      <c r="KJW30" s="47"/>
      <c r="KJX30" s="47"/>
      <c r="KJY30" s="47"/>
      <c r="KJZ30" s="47"/>
      <c r="KKA30" s="47"/>
      <c r="KKB30" s="47"/>
      <c r="KKC30" s="47"/>
      <c r="KKD30" s="47"/>
      <c r="KKE30" s="47"/>
      <c r="KKF30" s="47"/>
      <c r="KKG30" s="47"/>
      <c r="KKH30" s="47"/>
      <c r="KKI30" s="47"/>
      <c r="KKJ30" s="47"/>
      <c r="KKK30" s="47"/>
      <c r="KKL30" s="47"/>
      <c r="KKM30" s="47"/>
      <c r="KKN30" s="47"/>
      <c r="KKO30" s="47"/>
      <c r="KKP30" s="47"/>
      <c r="KKQ30" s="47"/>
      <c r="KKR30" s="47"/>
      <c r="KKS30" s="47"/>
      <c r="KKT30" s="47"/>
      <c r="KKU30" s="47"/>
      <c r="KKV30" s="47"/>
      <c r="KKW30" s="47"/>
      <c r="KKX30" s="47"/>
      <c r="KKY30" s="47"/>
      <c r="KKZ30" s="47"/>
      <c r="KLA30" s="47"/>
      <c r="KLB30" s="47"/>
      <c r="KLC30" s="47"/>
      <c r="KLD30" s="47"/>
      <c r="KLE30" s="47"/>
      <c r="KLF30" s="47"/>
      <c r="KLG30" s="47"/>
      <c r="KLH30" s="47"/>
      <c r="KLI30" s="47"/>
      <c r="KLJ30" s="47"/>
      <c r="KLK30" s="47"/>
      <c r="KLL30" s="47"/>
      <c r="KLM30" s="47"/>
      <c r="KLN30" s="47"/>
      <c r="KLO30" s="47"/>
      <c r="KLP30" s="47"/>
      <c r="KLQ30" s="47"/>
      <c r="KLR30" s="47"/>
      <c r="KLS30" s="47"/>
      <c r="KLT30" s="47"/>
      <c r="KLU30" s="47"/>
      <c r="KLV30" s="47"/>
      <c r="KLW30" s="47"/>
      <c r="KLX30" s="47"/>
      <c r="KLY30" s="47"/>
      <c r="KLZ30" s="47"/>
      <c r="KMA30" s="47"/>
      <c r="KMB30" s="47"/>
      <c r="KMC30" s="47"/>
      <c r="KMD30" s="47"/>
      <c r="KME30" s="47"/>
      <c r="KMF30" s="47"/>
      <c r="KMG30" s="47"/>
      <c r="KMH30" s="47"/>
      <c r="KMI30" s="47"/>
      <c r="KMJ30" s="47"/>
      <c r="KMK30" s="47"/>
      <c r="KML30" s="47"/>
      <c r="KMM30" s="47"/>
      <c r="KMN30" s="47"/>
      <c r="KMO30" s="47"/>
      <c r="KMP30" s="47"/>
      <c r="KMQ30" s="47"/>
      <c r="KMR30" s="47"/>
      <c r="KMS30" s="47"/>
      <c r="KMT30" s="47"/>
      <c r="KMU30" s="47"/>
      <c r="KMV30" s="47"/>
      <c r="KMW30" s="47"/>
      <c r="KMX30" s="47"/>
      <c r="KMY30" s="47"/>
      <c r="KMZ30" s="47"/>
      <c r="KNA30" s="47"/>
      <c r="KNB30" s="47"/>
      <c r="KNC30" s="47"/>
      <c r="KND30" s="47"/>
      <c r="KNE30" s="47"/>
      <c r="KNF30" s="47"/>
      <c r="KNG30" s="47"/>
      <c r="KNH30" s="47"/>
      <c r="KNI30" s="47"/>
      <c r="KNJ30" s="47"/>
      <c r="KNK30" s="47"/>
      <c r="KNL30" s="47"/>
      <c r="KNM30" s="47"/>
      <c r="KNN30" s="47"/>
      <c r="KNO30" s="47"/>
      <c r="KNP30" s="47"/>
      <c r="KNQ30" s="47"/>
      <c r="KNR30" s="47"/>
      <c r="KNS30" s="47"/>
      <c r="KNT30" s="47"/>
      <c r="KNU30" s="47"/>
      <c r="KNV30" s="47"/>
      <c r="KNW30" s="47"/>
      <c r="KNX30" s="47"/>
      <c r="KNY30" s="47"/>
      <c r="KNZ30" s="47"/>
      <c r="KOA30" s="47"/>
      <c r="KOB30" s="47"/>
      <c r="KOC30" s="47"/>
      <c r="KOD30" s="47"/>
      <c r="KOE30" s="47"/>
      <c r="KOF30" s="47"/>
      <c r="KOG30" s="47"/>
      <c r="KOH30" s="47"/>
      <c r="KOI30" s="47"/>
      <c r="KOJ30" s="47"/>
      <c r="KOK30" s="47"/>
      <c r="KOL30" s="47"/>
      <c r="KOM30" s="47"/>
      <c r="KON30" s="47"/>
      <c r="KOO30" s="47"/>
      <c r="KOP30" s="47"/>
      <c r="KOQ30" s="47"/>
      <c r="KOR30" s="47"/>
      <c r="KOS30" s="47"/>
      <c r="KOT30" s="47"/>
      <c r="KOU30" s="47"/>
      <c r="KOV30" s="47"/>
      <c r="KOW30" s="47"/>
      <c r="KOX30" s="47"/>
      <c r="KOY30" s="47"/>
      <c r="KOZ30" s="47"/>
      <c r="KPA30" s="47"/>
      <c r="KPB30" s="47"/>
      <c r="KPC30" s="47"/>
      <c r="KPD30" s="47"/>
      <c r="KPE30" s="47"/>
      <c r="KPF30" s="47"/>
      <c r="KPG30" s="47"/>
      <c r="KPH30" s="47"/>
      <c r="KPI30" s="47"/>
      <c r="KPJ30" s="47"/>
      <c r="KPK30" s="47"/>
      <c r="KPL30" s="47"/>
      <c r="KPM30" s="47"/>
      <c r="KPN30" s="47"/>
      <c r="KPO30" s="47"/>
      <c r="KPP30" s="47"/>
      <c r="KPQ30" s="47"/>
      <c r="KPR30" s="47"/>
      <c r="KPS30" s="47"/>
      <c r="KPT30" s="47"/>
      <c r="KPU30" s="47"/>
      <c r="KPV30" s="47"/>
      <c r="KPW30" s="47"/>
      <c r="KPX30" s="47"/>
      <c r="KPY30" s="47"/>
      <c r="KPZ30" s="47"/>
      <c r="KQA30" s="47"/>
      <c r="KQB30" s="47"/>
      <c r="KQC30" s="47"/>
      <c r="KQD30" s="47"/>
      <c r="KQE30" s="47"/>
      <c r="KQF30" s="47"/>
      <c r="KQG30" s="47"/>
      <c r="KQH30" s="47"/>
      <c r="KQI30" s="47"/>
      <c r="KQJ30" s="47"/>
      <c r="KQK30" s="47"/>
      <c r="KQL30" s="47"/>
      <c r="KQM30" s="47"/>
      <c r="KQN30" s="47"/>
      <c r="KQO30" s="47"/>
      <c r="KQP30" s="47"/>
      <c r="KQQ30" s="47"/>
      <c r="KQR30" s="47"/>
      <c r="KQS30" s="47"/>
      <c r="KQT30" s="47"/>
      <c r="KQU30" s="47"/>
      <c r="KQV30" s="47"/>
      <c r="KQW30" s="47"/>
      <c r="KQX30" s="47"/>
      <c r="KQY30" s="47"/>
      <c r="KQZ30" s="47"/>
      <c r="KRA30" s="47"/>
      <c r="KRB30" s="47"/>
      <c r="KRC30" s="47"/>
      <c r="KRD30" s="47"/>
      <c r="KRE30" s="47"/>
      <c r="KRF30" s="47"/>
      <c r="KRG30" s="47"/>
      <c r="KRH30" s="47"/>
      <c r="KRI30" s="47"/>
      <c r="KRJ30" s="47"/>
      <c r="KRK30" s="47"/>
      <c r="KRL30" s="47"/>
      <c r="KRM30" s="47"/>
      <c r="KRN30" s="47"/>
      <c r="KRO30" s="47"/>
      <c r="KRP30" s="47"/>
      <c r="KRQ30" s="47"/>
      <c r="KRR30" s="47"/>
      <c r="KRS30" s="47"/>
      <c r="KRT30" s="47"/>
      <c r="KRU30" s="47"/>
      <c r="KRV30" s="47"/>
      <c r="KRW30" s="47"/>
      <c r="KRX30" s="47"/>
      <c r="KRY30" s="47"/>
      <c r="KRZ30" s="47"/>
      <c r="KSA30" s="47"/>
      <c r="KSB30" s="47"/>
      <c r="KSC30" s="47"/>
      <c r="KSD30" s="47"/>
      <c r="KSE30" s="47"/>
      <c r="KSF30" s="47"/>
      <c r="KSG30" s="47"/>
      <c r="KSH30" s="47"/>
      <c r="KSI30" s="47"/>
      <c r="KSJ30" s="47"/>
      <c r="KSK30" s="47"/>
      <c r="KSL30" s="47"/>
      <c r="KSM30" s="47"/>
      <c r="KSN30" s="47"/>
      <c r="KSO30" s="47"/>
      <c r="KSP30" s="47"/>
      <c r="KSQ30" s="47"/>
      <c r="KSR30" s="47"/>
      <c r="KSS30" s="47"/>
      <c r="KST30" s="47"/>
      <c r="KSU30" s="47"/>
      <c r="KSV30" s="47"/>
      <c r="KSW30" s="47"/>
      <c r="KSX30" s="47"/>
      <c r="KSY30" s="47"/>
      <c r="KSZ30" s="47"/>
      <c r="KTA30" s="47"/>
      <c r="KTB30" s="47"/>
      <c r="KTC30" s="47"/>
      <c r="KTD30" s="47"/>
      <c r="KTE30" s="47"/>
      <c r="KTF30" s="47"/>
      <c r="KTG30" s="47"/>
      <c r="KTH30" s="47"/>
      <c r="KTI30" s="47"/>
      <c r="KTJ30" s="47"/>
      <c r="KTK30" s="47"/>
      <c r="KTL30" s="47"/>
      <c r="KTM30" s="47"/>
      <c r="KTN30" s="47"/>
      <c r="KTO30" s="47"/>
      <c r="KTP30" s="47"/>
      <c r="KTQ30" s="47"/>
      <c r="KTR30" s="47"/>
      <c r="KTS30" s="47"/>
      <c r="KTT30" s="47"/>
      <c r="KTU30" s="47"/>
      <c r="KTV30" s="47"/>
      <c r="KTW30" s="47"/>
      <c r="KTX30" s="47"/>
      <c r="KTY30" s="47"/>
      <c r="KTZ30" s="47"/>
      <c r="KUA30" s="47"/>
      <c r="KUB30" s="47"/>
      <c r="KUC30" s="47"/>
      <c r="KUD30" s="47"/>
      <c r="KUE30" s="47"/>
      <c r="KUF30" s="47"/>
      <c r="KUG30" s="47"/>
      <c r="KUH30" s="47"/>
      <c r="KUI30" s="47"/>
      <c r="KUJ30" s="47"/>
      <c r="KUK30" s="47"/>
      <c r="KUL30" s="47"/>
      <c r="KUM30" s="47"/>
      <c r="KUN30" s="47"/>
      <c r="KUO30" s="47"/>
      <c r="KUP30" s="47"/>
      <c r="KUQ30" s="47"/>
      <c r="KUR30" s="47"/>
      <c r="KUS30" s="47"/>
      <c r="KUT30" s="47"/>
      <c r="KUU30" s="47"/>
      <c r="KUV30" s="47"/>
      <c r="KUW30" s="47"/>
      <c r="KUX30" s="47"/>
      <c r="KUY30" s="47"/>
      <c r="KUZ30" s="47"/>
      <c r="KVA30" s="47"/>
      <c r="KVB30" s="47"/>
      <c r="KVC30" s="47"/>
      <c r="KVD30" s="47"/>
      <c r="KVE30" s="47"/>
      <c r="KVF30" s="47"/>
      <c r="KVG30" s="47"/>
      <c r="KVH30" s="47"/>
      <c r="KVI30" s="47"/>
      <c r="KVJ30" s="47"/>
      <c r="KVK30" s="47"/>
      <c r="KVL30" s="47"/>
      <c r="KVM30" s="47"/>
      <c r="KVN30" s="47"/>
      <c r="KVO30" s="47"/>
      <c r="KVP30" s="47"/>
      <c r="KVQ30" s="47"/>
      <c r="KVR30" s="47"/>
      <c r="KVS30" s="47"/>
      <c r="KVT30" s="47"/>
      <c r="KVU30" s="47"/>
      <c r="KVV30" s="47"/>
      <c r="KVW30" s="47"/>
      <c r="KVX30" s="47"/>
      <c r="KVY30" s="47"/>
      <c r="KVZ30" s="47"/>
      <c r="KWA30" s="47"/>
      <c r="KWB30" s="47"/>
      <c r="KWC30" s="47"/>
      <c r="KWD30" s="47"/>
      <c r="KWE30" s="47"/>
      <c r="KWF30" s="47"/>
      <c r="KWG30" s="47"/>
      <c r="KWH30" s="47"/>
      <c r="KWI30" s="47"/>
      <c r="KWJ30" s="47"/>
      <c r="KWK30" s="47"/>
      <c r="KWL30" s="47"/>
      <c r="KWM30" s="47"/>
      <c r="KWN30" s="47"/>
      <c r="KWO30" s="47"/>
      <c r="KWP30" s="47"/>
      <c r="KWQ30" s="47"/>
      <c r="KWR30" s="47"/>
      <c r="KWS30" s="47"/>
      <c r="KWT30" s="47"/>
      <c r="KWU30" s="47"/>
      <c r="KWV30" s="47"/>
      <c r="KWW30" s="47"/>
      <c r="KWX30" s="47"/>
      <c r="KWY30" s="47"/>
      <c r="KWZ30" s="47"/>
      <c r="KXA30" s="47"/>
      <c r="KXB30" s="47"/>
      <c r="KXC30" s="47"/>
      <c r="KXD30" s="47"/>
      <c r="KXE30" s="47"/>
      <c r="KXF30" s="47"/>
      <c r="KXG30" s="47"/>
      <c r="KXH30" s="47"/>
      <c r="KXI30" s="47"/>
      <c r="KXJ30" s="47"/>
      <c r="KXK30" s="47"/>
      <c r="KXL30" s="47"/>
      <c r="KXM30" s="47"/>
      <c r="KXN30" s="47"/>
      <c r="KXO30" s="47"/>
      <c r="KXP30" s="47"/>
      <c r="KXQ30" s="47"/>
      <c r="KXR30" s="47"/>
      <c r="KXS30" s="47"/>
      <c r="KXT30" s="47"/>
      <c r="KXU30" s="47"/>
      <c r="KXV30" s="47"/>
      <c r="KXW30" s="47"/>
      <c r="KXX30" s="47"/>
      <c r="KXY30" s="47"/>
      <c r="KXZ30" s="47"/>
      <c r="KYA30" s="47"/>
      <c r="KYB30" s="47"/>
      <c r="KYC30" s="47"/>
      <c r="KYD30" s="47"/>
      <c r="KYE30" s="47"/>
      <c r="KYF30" s="47"/>
      <c r="KYG30" s="47"/>
      <c r="KYH30" s="47"/>
      <c r="KYI30" s="47"/>
      <c r="KYJ30" s="47"/>
      <c r="KYK30" s="47"/>
      <c r="KYL30" s="47"/>
      <c r="KYM30" s="47"/>
      <c r="KYN30" s="47"/>
      <c r="KYO30" s="47"/>
      <c r="KYP30" s="47"/>
      <c r="KYQ30" s="47"/>
      <c r="KYR30" s="47"/>
      <c r="KYS30" s="47"/>
      <c r="KYT30" s="47"/>
      <c r="KYU30" s="47"/>
      <c r="KYV30" s="47"/>
      <c r="KYW30" s="47"/>
      <c r="KYX30" s="47"/>
      <c r="KYY30" s="47"/>
      <c r="KYZ30" s="47"/>
      <c r="KZA30" s="47"/>
      <c r="KZB30" s="47"/>
      <c r="KZC30" s="47"/>
      <c r="KZD30" s="47"/>
      <c r="KZE30" s="47"/>
      <c r="KZF30" s="47"/>
      <c r="KZG30" s="47"/>
      <c r="KZH30" s="47"/>
      <c r="KZI30" s="47"/>
      <c r="KZJ30" s="47"/>
      <c r="KZK30" s="47"/>
      <c r="KZL30" s="47"/>
      <c r="KZM30" s="47"/>
      <c r="KZN30" s="47"/>
      <c r="KZO30" s="47"/>
      <c r="KZP30" s="47"/>
      <c r="KZQ30" s="47"/>
      <c r="KZR30" s="47"/>
      <c r="KZS30" s="47"/>
      <c r="KZT30" s="47"/>
      <c r="KZU30" s="47"/>
      <c r="KZV30" s="47"/>
      <c r="KZW30" s="47"/>
      <c r="KZX30" s="47"/>
      <c r="KZY30" s="47"/>
      <c r="KZZ30" s="47"/>
      <c r="LAA30" s="47"/>
      <c r="LAB30" s="47"/>
      <c r="LAC30" s="47"/>
      <c r="LAD30" s="47"/>
      <c r="LAE30" s="47"/>
      <c r="LAF30" s="47"/>
      <c r="LAG30" s="47"/>
      <c r="LAH30" s="47"/>
      <c r="LAI30" s="47"/>
      <c r="LAJ30" s="47"/>
      <c r="LAK30" s="47"/>
      <c r="LAL30" s="47"/>
      <c r="LAM30" s="47"/>
      <c r="LAN30" s="47"/>
      <c r="LAO30" s="47"/>
      <c r="LAP30" s="47"/>
      <c r="LAQ30" s="47"/>
      <c r="LAR30" s="47"/>
      <c r="LAS30" s="47"/>
      <c r="LAT30" s="47"/>
      <c r="LAU30" s="47"/>
      <c r="LAV30" s="47"/>
      <c r="LAW30" s="47"/>
      <c r="LAX30" s="47"/>
      <c r="LAY30" s="47"/>
      <c r="LAZ30" s="47"/>
      <c r="LBA30" s="47"/>
      <c r="LBB30" s="47"/>
      <c r="LBC30" s="47"/>
      <c r="LBD30" s="47"/>
      <c r="LBE30" s="47"/>
      <c r="LBF30" s="47"/>
      <c r="LBG30" s="47"/>
      <c r="LBH30" s="47"/>
      <c r="LBI30" s="47"/>
      <c r="LBJ30" s="47"/>
      <c r="LBK30" s="47"/>
      <c r="LBL30" s="47"/>
      <c r="LBM30" s="47"/>
      <c r="LBN30" s="47"/>
      <c r="LBO30" s="47"/>
      <c r="LBP30" s="47"/>
      <c r="LBQ30" s="47"/>
      <c r="LBR30" s="47"/>
      <c r="LBS30" s="47"/>
      <c r="LBT30" s="47"/>
      <c r="LBU30" s="47"/>
      <c r="LBV30" s="47"/>
      <c r="LBW30" s="47"/>
      <c r="LBX30" s="47"/>
      <c r="LBY30" s="47"/>
      <c r="LBZ30" s="47"/>
      <c r="LCA30" s="47"/>
      <c r="LCB30" s="47"/>
      <c r="LCC30" s="47"/>
      <c r="LCD30" s="47"/>
      <c r="LCE30" s="47"/>
      <c r="LCF30" s="47"/>
      <c r="LCG30" s="47"/>
      <c r="LCH30" s="47"/>
      <c r="LCI30" s="47"/>
      <c r="LCJ30" s="47"/>
      <c r="LCK30" s="47"/>
      <c r="LCL30" s="47"/>
      <c r="LCM30" s="47"/>
      <c r="LCN30" s="47"/>
      <c r="LCO30" s="47"/>
      <c r="LCP30" s="47"/>
      <c r="LCQ30" s="47"/>
      <c r="LCR30" s="47"/>
      <c r="LCS30" s="47"/>
      <c r="LCT30" s="47"/>
      <c r="LCU30" s="47"/>
      <c r="LCV30" s="47"/>
      <c r="LCW30" s="47"/>
      <c r="LCX30" s="47"/>
      <c r="LCY30" s="47"/>
      <c r="LCZ30" s="47"/>
      <c r="LDA30" s="47"/>
      <c r="LDB30" s="47"/>
      <c r="LDC30" s="47"/>
      <c r="LDD30" s="47"/>
      <c r="LDE30" s="47"/>
      <c r="LDF30" s="47"/>
      <c r="LDG30" s="47"/>
      <c r="LDH30" s="47"/>
      <c r="LDI30" s="47"/>
      <c r="LDJ30" s="47"/>
      <c r="LDK30" s="47"/>
      <c r="LDL30" s="47"/>
      <c r="LDM30" s="47"/>
      <c r="LDN30" s="47"/>
      <c r="LDO30" s="47"/>
      <c r="LDP30" s="47"/>
      <c r="LDQ30" s="47"/>
      <c r="LDR30" s="47"/>
      <c r="LDS30" s="47"/>
      <c r="LDT30" s="47"/>
      <c r="LDU30" s="47"/>
      <c r="LDV30" s="47"/>
      <c r="LDW30" s="47"/>
      <c r="LDX30" s="47"/>
      <c r="LDY30" s="47"/>
      <c r="LDZ30" s="47"/>
      <c r="LEA30" s="47"/>
      <c r="LEB30" s="47"/>
      <c r="LEC30" s="47"/>
      <c r="LED30" s="47"/>
      <c r="LEE30" s="47"/>
      <c r="LEF30" s="47"/>
      <c r="LEG30" s="47"/>
      <c r="LEH30" s="47"/>
      <c r="LEI30" s="47"/>
      <c r="LEJ30" s="47"/>
      <c r="LEK30" s="47"/>
      <c r="LEL30" s="47"/>
      <c r="LEM30" s="47"/>
      <c r="LEN30" s="47"/>
      <c r="LEO30" s="47"/>
      <c r="LEP30" s="47"/>
      <c r="LEQ30" s="47"/>
      <c r="LER30" s="47"/>
      <c r="LES30" s="47"/>
      <c r="LET30" s="47"/>
      <c r="LEU30" s="47"/>
      <c r="LEV30" s="47"/>
      <c r="LEW30" s="47"/>
      <c r="LEX30" s="47"/>
      <c r="LEY30" s="47"/>
      <c r="LEZ30" s="47"/>
      <c r="LFA30" s="47"/>
      <c r="LFB30" s="47"/>
      <c r="LFC30" s="47"/>
      <c r="LFD30" s="47"/>
      <c r="LFE30" s="47"/>
      <c r="LFF30" s="47"/>
      <c r="LFG30" s="47"/>
      <c r="LFH30" s="47"/>
      <c r="LFI30" s="47"/>
      <c r="LFJ30" s="47"/>
      <c r="LFK30" s="47"/>
      <c r="LFL30" s="47"/>
      <c r="LFM30" s="47"/>
      <c r="LFN30" s="47"/>
      <c r="LFO30" s="47"/>
      <c r="LFP30" s="47"/>
      <c r="LFQ30" s="47"/>
      <c r="LFR30" s="47"/>
      <c r="LFS30" s="47"/>
      <c r="LFT30" s="47"/>
      <c r="LFU30" s="47"/>
      <c r="LFV30" s="47"/>
      <c r="LFW30" s="47"/>
      <c r="LFX30" s="47"/>
      <c r="LFY30" s="47"/>
      <c r="LFZ30" s="47"/>
      <c r="LGA30" s="47"/>
      <c r="LGB30" s="47"/>
      <c r="LGC30" s="47"/>
      <c r="LGD30" s="47"/>
      <c r="LGE30" s="47"/>
      <c r="LGF30" s="47"/>
      <c r="LGG30" s="47"/>
      <c r="LGH30" s="47"/>
      <c r="LGI30" s="47"/>
      <c r="LGJ30" s="47"/>
      <c r="LGK30" s="47"/>
      <c r="LGL30" s="47"/>
      <c r="LGM30" s="47"/>
      <c r="LGN30" s="47"/>
      <c r="LGO30" s="47"/>
      <c r="LGP30" s="47"/>
      <c r="LGQ30" s="47"/>
      <c r="LGR30" s="47"/>
      <c r="LGS30" s="47"/>
      <c r="LGT30" s="47"/>
      <c r="LGU30" s="47"/>
      <c r="LGV30" s="47"/>
      <c r="LGW30" s="47"/>
      <c r="LGX30" s="47"/>
      <c r="LGY30" s="47"/>
      <c r="LGZ30" s="47"/>
      <c r="LHA30" s="47"/>
      <c r="LHB30" s="47"/>
      <c r="LHC30" s="47"/>
      <c r="LHD30" s="47"/>
      <c r="LHE30" s="47"/>
      <c r="LHF30" s="47"/>
      <c r="LHG30" s="47"/>
      <c r="LHH30" s="47"/>
      <c r="LHI30" s="47"/>
      <c r="LHJ30" s="47"/>
      <c r="LHK30" s="47"/>
      <c r="LHL30" s="47"/>
      <c r="LHM30" s="47"/>
      <c r="LHN30" s="47"/>
      <c r="LHO30" s="47"/>
      <c r="LHP30" s="47"/>
      <c r="LHQ30" s="47"/>
      <c r="LHR30" s="47"/>
      <c r="LHS30" s="47"/>
      <c r="LHT30" s="47"/>
      <c r="LHU30" s="47"/>
      <c r="LHV30" s="47"/>
      <c r="LHW30" s="47"/>
      <c r="LHX30" s="47"/>
      <c r="LHY30" s="47"/>
      <c r="LHZ30" s="47"/>
      <c r="LIA30" s="47"/>
      <c r="LIB30" s="47"/>
      <c r="LIC30" s="47"/>
      <c r="LID30" s="47"/>
      <c r="LIE30" s="47"/>
      <c r="LIF30" s="47"/>
      <c r="LIG30" s="47"/>
      <c r="LIH30" s="47"/>
      <c r="LII30" s="47"/>
      <c r="LIJ30" s="47"/>
      <c r="LIK30" s="47"/>
      <c r="LIL30" s="47"/>
      <c r="LIM30" s="47"/>
      <c r="LIN30" s="47"/>
      <c r="LIO30" s="47"/>
      <c r="LIP30" s="47"/>
      <c r="LIQ30" s="47"/>
      <c r="LIR30" s="47"/>
      <c r="LIS30" s="47"/>
      <c r="LIT30" s="47"/>
      <c r="LIU30" s="47"/>
      <c r="LIV30" s="47"/>
      <c r="LIW30" s="47"/>
      <c r="LIX30" s="47"/>
      <c r="LIY30" s="47"/>
      <c r="LIZ30" s="47"/>
      <c r="LJA30" s="47"/>
      <c r="LJB30" s="47"/>
      <c r="LJC30" s="47"/>
      <c r="LJD30" s="47"/>
      <c r="LJE30" s="47"/>
      <c r="LJF30" s="47"/>
      <c r="LJG30" s="47"/>
      <c r="LJH30" s="47"/>
      <c r="LJI30" s="47"/>
      <c r="LJJ30" s="47"/>
      <c r="LJK30" s="47"/>
      <c r="LJL30" s="47"/>
      <c r="LJM30" s="47"/>
      <c r="LJN30" s="47"/>
      <c r="LJO30" s="47"/>
      <c r="LJP30" s="47"/>
      <c r="LJQ30" s="47"/>
      <c r="LJR30" s="47"/>
      <c r="LJS30" s="47"/>
      <c r="LJT30" s="47"/>
      <c r="LJU30" s="47"/>
      <c r="LJV30" s="47"/>
      <c r="LJW30" s="47"/>
      <c r="LJX30" s="47"/>
      <c r="LJY30" s="47"/>
      <c r="LJZ30" s="47"/>
      <c r="LKA30" s="47"/>
      <c r="LKB30" s="47"/>
      <c r="LKC30" s="47"/>
      <c r="LKD30" s="47"/>
      <c r="LKE30" s="47"/>
      <c r="LKF30" s="47"/>
      <c r="LKG30" s="47"/>
      <c r="LKH30" s="47"/>
      <c r="LKI30" s="47"/>
      <c r="LKJ30" s="47"/>
      <c r="LKK30" s="47"/>
      <c r="LKL30" s="47"/>
      <c r="LKM30" s="47"/>
      <c r="LKN30" s="47"/>
      <c r="LKO30" s="47"/>
      <c r="LKP30" s="47"/>
      <c r="LKQ30" s="47"/>
      <c r="LKR30" s="47"/>
      <c r="LKS30" s="47"/>
      <c r="LKT30" s="47"/>
      <c r="LKU30" s="47"/>
      <c r="LKV30" s="47"/>
      <c r="LKW30" s="47"/>
      <c r="LKX30" s="47"/>
      <c r="LKY30" s="47"/>
      <c r="LKZ30" s="47"/>
      <c r="LLA30" s="47"/>
      <c r="LLB30" s="47"/>
      <c r="LLC30" s="47"/>
      <c r="LLD30" s="47"/>
      <c r="LLE30" s="47"/>
      <c r="LLF30" s="47"/>
      <c r="LLG30" s="47"/>
      <c r="LLH30" s="47"/>
      <c r="LLI30" s="47"/>
      <c r="LLJ30" s="47"/>
      <c r="LLK30" s="47"/>
      <c r="LLL30" s="47"/>
      <c r="LLM30" s="47"/>
      <c r="LLN30" s="47"/>
      <c r="LLO30" s="47"/>
      <c r="LLP30" s="47"/>
      <c r="LLQ30" s="47"/>
      <c r="LLR30" s="47"/>
      <c r="LLS30" s="47"/>
      <c r="LLT30" s="47"/>
      <c r="LLU30" s="47"/>
      <c r="LLV30" s="47"/>
      <c r="LLW30" s="47"/>
      <c r="LLX30" s="47"/>
      <c r="LLY30" s="47"/>
      <c r="LLZ30" s="47"/>
      <c r="LMA30" s="47"/>
      <c r="LMB30" s="47"/>
      <c r="LMC30" s="47"/>
      <c r="LMD30" s="47"/>
      <c r="LME30" s="47"/>
      <c r="LMF30" s="47"/>
      <c r="LMG30" s="47"/>
      <c r="LMH30" s="47"/>
      <c r="LMI30" s="47"/>
      <c r="LMJ30" s="47"/>
      <c r="LMK30" s="47"/>
      <c r="LML30" s="47"/>
      <c r="LMM30" s="47"/>
      <c r="LMN30" s="47"/>
      <c r="LMO30" s="47"/>
      <c r="LMP30" s="47"/>
      <c r="LMQ30" s="47"/>
      <c r="LMR30" s="47"/>
      <c r="LMS30" s="47"/>
      <c r="LMT30" s="47"/>
      <c r="LMU30" s="47"/>
      <c r="LMV30" s="47"/>
      <c r="LMW30" s="47"/>
      <c r="LMX30" s="47"/>
      <c r="LMY30" s="47"/>
      <c r="LMZ30" s="47"/>
      <c r="LNA30" s="47"/>
      <c r="LNB30" s="47"/>
      <c r="LNC30" s="47"/>
      <c r="LND30" s="47"/>
      <c r="LNE30" s="47"/>
      <c r="LNF30" s="47"/>
      <c r="LNG30" s="47"/>
      <c r="LNH30" s="47"/>
      <c r="LNI30" s="47"/>
      <c r="LNJ30" s="47"/>
      <c r="LNK30" s="47"/>
      <c r="LNL30" s="47"/>
      <c r="LNM30" s="47"/>
      <c r="LNN30" s="47"/>
      <c r="LNO30" s="47"/>
      <c r="LNP30" s="47"/>
      <c r="LNQ30" s="47"/>
      <c r="LNR30" s="47"/>
      <c r="LNS30" s="47"/>
      <c r="LNT30" s="47"/>
      <c r="LNU30" s="47"/>
      <c r="LNV30" s="47"/>
      <c r="LNW30" s="47"/>
      <c r="LNX30" s="47"/>
      <c r="LNY30" s="47"/>
      <c r="LNZ30" s="47"/>
      <c r="LOA30" s="47"/>
      <c r="LOB30" s="47"/>
      <c r="LOC30" s="47"/>
      <c r="LOD30" s="47"/>
      <c r="LOE30" s="47"/>
      <c r="LOF30" s="47"/>
      <c r="LOG30" s="47"/>
      <c r="LOH30" s="47"/>
      <c r="LOI30" s="47"/>
      <c r="LOJ30" s="47"/>
      <c r="LOK30" s="47"/>
      <c r="LOL30" s="47"/>
      <c r="LOM30" s="47"/>
      <c r="LON30" s="47"/>
      <c r="LOO30" s="47"/>
      <c r="LOP30" s="47"/>
      <c r="LOQ30" s="47"/>
      <c r="LOR30" s="47"/>
      <c r="LOS30" s="47"/>
      <c r="LOT30" s="47"/>
      <c r="LOU30" s="47"/>
      <c r="LOV30" s="47"/>
      <c r="LOW30" s="47"/>
      <c r="LOX30" s="47"/>
      <c r="LOY30" s="47"/>
      <c r="LOZ30" s="47"/>
      <c r="LPA30" s="47"/>
      <c r="LPB30" s="47"/>
      <c r="LPC30" s="47"/>
      <c r="LPD30" s="47"/>
      <c r="LPE30" s="47"/>
      <c r="LPF30" s="47"/>
      <c r="LPG30" s="47"/>
      <c r="LPH30" s="47"/>
      <c r="LPI30" s="47"/>
      <c r="LPJ30" s="47"/>
      <c r="LPK30" s="47"/>
      <c r="LPL30" s="47"/>
      <c r="LPM30" s="47"/>
      <c r="LPN30" s="47"/>
      <c r="LPO30" s="47"/>
      <c r="LPP30" s="47"/>
      <c r="LPQ30" s="47"/>
      <c r="LPR30" s="47"/>
      <c r="LPS30" s="47"/>
      <c r="LPT30" s="47"/>
      <c r="LPU30" s="47"/>
      <c r="LPV30" s="47"/>
      <c r="LPW30" s="47"/>
      <c r="LPX30" s="47"/>
      <c r="LPY30" s="47"/>
      <c r="LPZ30" s="47"/>
      <c r="LQA30" s="47"/>
      <c r="LQB30" s="47"/>
      <c r="LQC30" s="47"/>
      <c r="LQD30" s="47"/>
      <c r="LQE30" s="47"/>
      <c r="LQF30" s="47"/>
      <c r="LQG30" s="47"/>
      <c r="LQH30" s="47"/>
      <c r="LQI30" s="47"/>
      <c r="LQJ30" s="47"/>
      <c r="LQK30" s="47"/>
      <c r="LQL30" s="47"/>
      <c r="LQM30" s="47"/>
      <c r="LQN30" s="47"/>
      <c r="LQO30" s="47"/>
      <c r="LQP30" s="47"/>
      <c r="LQQ30" s="47"/>
      <c r="LQR30" s="47"/>
      <c r="LQS30" s="47"/>
      <c r="LQT30" s="47"/>
      <c r="LQU30" s="47"/>
      <c r="LQV30" s="47"/>
      <c r="LQW30" s="47"/>
      <c r="LQX30" s="47"/>
      <c r="LQY30" s="47"/>
      <c r="LQZ30" s="47"/>
      <c r="LRA30" s="47"/>
      <c r="LRB30" s="47"/>
      <c r="LRC30" s="47"/>
      <c r="LRD30" s="47"/>
      <c r="LRE30" s="47"/>
      <c r="LRF30" s="47"/>
      <c r="LRG30" s="47"/>
      <c r="LRH30" s="47"/>
      <c r="LRI30" s="47"/>
      <c r="LRJ30" s="47"/>
      <c r="LRK30" s="47"/>
      <c r="LRL30" s="47"/>
      <c r="LRM30" s="47"/>
      <c r="LRN30" s="47"/>
      <c r="LRO30" s="47"/>
      <c r="LRP30" s="47"/>
      <c r="LRQ30" s="47"/>
      <c r="LRR30" s="47"/>
      <c r="LRS30" s="47"/>
      <c r="LRT30" s="47"/>
      <c r="LRU30" s="47"/>
      <c r="LRV30" s="47"/>
      <c r="LRW30" s="47"/>
      <c r="LRX30" s="47"/>
      <c r="LRY30" s="47"/>
      <c r="LRZ30" s="47"/>
      <c r="LSA30" s="47"/>
      <c r="LSB30" s="47"/>
      <c r="LSC30" s="47"/>
      <c r="LSD30" s="47"/>
      <c r="LSE30" s="47"/>
      <c r="LSF30" s="47"/>
      <c r="LSG30" s="47"/>
      <c r="LSH30" s="47"/>
      <c r="LSI30" s="47"/>
      <c r="LSJ30" s="47"/>
      <c r="LSK30" s="47"/>
      <c r="LSL30" s="47"/>
      <c r="LSM30" s="47"/>
      <c r="LSN30" s="47"/>
      <c r="LSO30" s="47"/>
      <c r="LSP30" s="47"/>
      <c r="LSQ30" s="47"/>
      <c r="LSR30" s="47"/>
      <c r="LSS30" s="47"/>
      <c r="LST30" s="47"/>
      <c r="LSU30" s="47"/>
      <c r="LSV30" s="47"/>
      <c r="LSW30" s="47"/>
      <c r="LSX30" s="47"/>
      <c r="LSY30" s="47"/>
      <c r="LSZ30" s="47"/>
      <c r="LTA30" s="47"/>
      <c r="LTB30" s="47"/>
      <c r="LTC30" s="47"/>
      <c r="LTD30" s="47"/>
      <c r="LTE30" s="47"/>
      <c r="LTF30" s="47"/>
      <c r="LTG30" s="47"/>
      <c r="LTH30" s="47"/>
      <c r="LTI30" s="47"/>
      <c r="LTJ30" s="47"/>
      <c r="LTK30" s="47"/>
      <c r="LTL30" s="47"/>
      <c r="LTM30" s="47"/>
      <c r="LTN30" s="47"/>
      <c r="LTO30" s="47"/>
      <c r="LTP30" s="47"/>
      <c r="LTQ30" s="47"/>
      <c r="LTR30" s="47"/>
      <c r="LTS30" s="47"/>
      <c r="LTT30" s="47"/>
      <c r="LTU30" s="47"/>
      <c r="LTV30" s="47"/>
      <c r="LTW30" s="47"/>
      <c r="LTX30" s="47"/>
      <c r="LTY30" s="47"/>
      <c r="LTZ30" s="47"/>
      <c r="LUA30" s="47"/>
      <c r="LUB30" s="47"/>
      <c r="LUC30" s="47"/>
      <c r="LUD30" s="47"/>
      <c r="LUE30" s="47"/>
      <c r="LUF30" s="47"/>
      <c r="LUG30" s="47"/>
      <c r="LUH30" s="47"/>
      <c r="LUI30" s="47"/>
      <c r="LUJ30" s="47"/>
      <c r="LUK30" s="47"/>
      <c r="LUL30" s="47"/>
      <c r="LUM30" s="47"/>
      <c r="LUN30" s="47"/>
      <c r="LUO30" s="47"/>
      <c r="LUP30" s="47"/>
      <c r="LUQ30" s="47"/>
      <c r="LUR30" s="47"/>
      <c r="LUS30" s="47"/>
      <c r="LUT30" s="47"/>
      <c r="LUU30" s="47"/>
      <c r="LUV30" s="47"/>
      <c r="LUW30" s="47"/>
      <c r="LUX30" s="47"/>
      <c r="LUY30" s="47"/>
      <c r="LUZ30" s="47"/>
      <c r="LVA30" s="47"/>
      <c r="LVB30" s="47"/>
      <c r="LVC30" s="47"/>
      <c r="LVD30" s="47"/>
      <c r="LVE30" s="47"/>
      <c r="LVF30" s="47"/>
      <c r="LVG30" s="47"/>
      <c r="LVH30" s="47"/>
      <c r="LVI30" s="47"/>
      <c r="LVJ30" s="47"/>
      <c r="LVK30" s="47"/>
      <c r="LVL30" s="47"/>
      <c r="LVM30" s="47"/>
      <c r="LVN30" s="47"/>
      <c r="LVO30" s="47"/>
      <c r="LVP30" s="47"/>
      <c r="LVQ30" s="47"/>
      <c r="LVR30" s="47"/>
      <c r="LVS30" s="47"/>
      <c r="LVT30" s="47"/>
      <c r="LVU30" s="47"/>
      <c r="LVV30" s="47"/>
      <c r="LVW30" s="47"/>
      <c r="LVX30" s="47"/>
      <c r="LVY30" s="47"/>
      <c r="LVZ30" s="47"/>
      <c r="LWA30" s="47"/>
      <c r="LWB30" s="47"/>
      <c r="LWC30" s="47"/>
      <c r="LWD30" s="47"/>
      <c r="LWE30" s="47"/>
      <c r="LWF30" s="47"/>
      <c r="LWG30" s="47"/>
      <c r="LWH30" s="47"/>
      <c r="LWI30" s="47"/>
      <c r="LWJ30" s="47"/>
      <c r="LWK30" s="47"/>
      <c r="LWL30" s="47"/>
      <c r="LWM30" s="47"/>
      <c r="LWN30" s="47"/>
      <c r="LWO30" s="47"/>
      <c r="LWP30" s="47"/>
      <c r="LWQ30" s="47"/>
      <c r="LWR30" s="47"/>
      <c r="LWS30" s="47"/>
      <c r="LWT30" s="47"/>
      <c r="LWU30" s="47"/>
      <c r="LWV30" s="47"/>
      <c r="LWW30" s="47"/>
      <c r="LWX30" s="47"/>
      <c r="LWY30" s="47"/>
      <c r="LWZ30" s="47"/>
      <c r="LXA30" s="47"/>
      <c r="LXB30" s="47"/>
      <c r="LXC30" s="47"/>
      <c r="LXD30" s="47"/>
      <c r="LXE30" s="47"/>
      <c r="LXF30" s="47"/>
      <c r="LXG30" s="47"/>
      <c r="LXH30" s="47"/>
      <c r="LXI30" s="47"/>
      <c r="LXJ30" s="47"/>
      <c r="LXK30" s="47"/>
      <c r="LXL30" s="47"/>
      <c r="LXM30" s="47"/>
      <c r="LXN30" s="47"/>
      <c r="LXO30" s="47"/>
      <c r="LXP30" s="47"/>
      <c r="LXQ30" s="47"/>
      <c r="LXR30" s="47"/>
      <c r="LXS30" s="47"/>
      <c r="LXT30" s="47"/>
      <c r="LXU30" s="47"/>
      <c r="LXV30" s="47"/>
      <c r="LXW30" s="47"/>
      <c r="LXX30" s="47"/>
      <c r="LXY30" s="47"/>
      <c r="LXZ30" s="47"/>
      <c r="LYA30" s="47"/>
      <c r="LYB30" s="47"/>
      <c r="LYC30" s="47"/>
      <c r="LYD30" s="47"/>
      <c r="LYE30" s="47"/>
      <c r="LYF30" s="47"/>
      <c r="LYG30" s="47"/>
      <c r="LYH30" s="47"/>
      <c r="LYI30" s="47"/>
      <c r="LYJ30" s="47"/>
      <c r="LYK30" s="47"/>
      <c r="LYL30" s="47"/>
      <c r="LYM30" s="47"/>
      <c r="LYN30" s="47"/>
      <c r="LYO30" s="47"/>
      <c r="LYP30" s="47"/>
      <c r="LYQ30" s="47"/>
      <c r="LYR30" s="47"/>
      <c r="LYS30" s="47"/>
      <c r="LYT30" s="47"/>
      <c r="LYU30" s="47"/>
      <c r="LYV30" s="47"/>
      <c r="LYW30" s="47"/>
      <c r="LYX30" s="47"/>
      <c r="LYY30" s="47"/>
      <c r="LYZ30" s="47"/>
      <c r="LZA30" s="47"/>
      <c r="LZB30" s="47"/>
      <c r="LZC30" s="47"/>
      <c r="LZD30" s="47"/>
      <c r="LZE30" s="47"/>
      <c r="LZF30" s="47"/>
      <c r="LZG30" s="47"/>
      <c r="LZH30" s="47"/>
      <c r="LZI30" s="47"/>
      <c r="LZJ30" s="47"/>
      <c r="LZK30" s="47"/>
      <c r="LZL30" s="47"/>
      <c r="LZM30" s="47"/>
      <c r="LZN30" s="47"/>
      <c r="LZO30" s="47"/>
      <c r="LZP30" s="47"/>
      <c r="LZQ30" s="47"/>
      <c r="LZR30" s="47"/>
      <c r="LZS30" s="47"/>
      <c r="LZT30" s="47"/>
      <c r="LZU30" s="47"/>
      <c r="LZV30" s="47"/>
      <c r="LZW30" s="47"/>
      <c r="LZX30" s="47"/>
      <c r="LZY30" s="47"/>
      <c r="LZZ30" s="47"/>
      <c r="MAA30" s="47"/>
      <c r="MAB30" s="47"/>
      <c r="MAC30" s="47"/>
      <c r="MAD30" s="47"/>
      <c r="MAE30" s="47"/>
      <c r="MAF30" s="47"/>
      <c r="MAG30" s="47"/>
      <c r="MAH30" s="47"/>
      <c r="MAI30" s="47"/>
      <c r="MAJ30" s="47"/>
      <c r="MAK30" s="47"/>
      <c r="MAL30" s="47"/>
      <c r="MAM30" s="47"/>
      <c r="MAN30" s="47"/>
      <c r="MAO30" s="47"/>
      <c r="MAP30" s="47"/>
      <c r="MAQ30" s="47"/>
      <c r="MAR30" s="47"/>
      <c r="MAS30" s="47"/>
      <c r="MAT30" s="47"/>
      <c r="MAU30" s="47"/>
      <c r="MAV30" s="47"/>
      <c r="MAW30" s="47"/>
      <c r="MAX30" s="47"/>
      <c r="MAY30" s="47"/>
      <c r="MAZ30" s="47"/>
      <c r="MBA30" s="47"/>
      <c r="MBB30" s="47"/>
      <c r="MBC30" s="47"/>
      <c r="MBD30" s="47"/>
      <c r="MBE30" s="47"/>
      <c r="MBF30" s="47"/>
      <c r="MBG30" s="47"/>
      <c r="MBH30" s="47"/>
      <c r="MBI30" s="47"/>
      <c r="MBJ30" s="47"/>
      <c r="MBK30" s="47"/>
      <c r="MBL30" s="47"/>
      <c r="MBM30" s="47"/>
      <c r="MBN30" s="47"/>
      <c r="MBO30" s="47"/>
      <c r="MBP30" s="47"/>
      <c r="MBQ30" s="47"/>
      <c r="MBR30" s="47"/>
      <c r="MBS30" s="47"/>
      <c r="MBT30" s="47"/>
      <c r="MBU30" s="47"/>
      <c r="MBV30" s="47"/>
      <c r="MBW30" s="47"/>
      <c r="MBX30" s="47"/>
      <c r="MBY30" s="47"/>
      <c r="MBZ30" s="47"/>
      <c r="MCA30" s="47"/>
      <c r="MCB30" s="47"/>
      <c r="MCC30" s="47"/>
      <c r="MCD30" s="47"/>
      <c r="MCE30" s="47"/>
      <c r="MCF30" s="47"/>
      <c r="MCG30" s="47"/>
      <c r="MCH30" s="47"/>
      <c r="MCI30" s="47"/>
      <c r="MCJ30" s="47"/>
      <c r="MCK30" s="47"/>
      <c r="MCL30" s="47"/>
      <c r="MCM30" s="47"/>
      <c r="MCN30" s="47"/>
      <c r="MCO30" s="47"/>
      <c r="MCP30" s="47"/>
      <c r="MCQ30" s="47"/>
      <c r="MCR30" s="47"/>
      <c r="MCS30" s="47"/>
      <c r="MCT30" s="47"/>
      <c r="MCU30" s="47"/>
      <c r="MCV30" s="47"/>
      <c r="MCW30" s="47"/>
      <c r="MCX30" s="47"/>
      <c r="MCY30" s="47"/>
      <c r="MCZ30" s="47"/>
      <c r="MDA30" s="47"/>
      <c r="MDB30" s="47"/>
      <c r="MDC30" s="47"/>
      <c r="MDD30" s="47"/>
      <c r="MDE30" s="47"/>
      <c r="MDF30" s="47"/>
      <c r="MDG30" s="47"/>
      <c r="MDH30" s="47"/>
      <c r="MDI30" s="47"/>
      <c r="MDJ30" s="47"/>
      <c r="MDK30" s="47"/>
      <c r="MDL30" s="47"/>
      <c r="MDM30" s="47"/>
      <c r="MDN30" s="47"/>
      <c r="MDO30" s="47"/>
      <c r="MDP30" s="47"/>
      <c r="MDQ30" s="47"/>
      <c r="MDR30" s="47"/>
      <c r="MDS30" s="47"/>
      <c r="MDT30" s="47"/>
      <c r="MDU30" s="47"/>
      <c r="MDV30" s="47"/>
      <c r="MDW30" s="47"/>
      <c r="MDX30" s="47"/>
      <c r="MDY30" s="47"/>
      <c r="MDZ30" s="47"/>
      <c r="MEA30" s="47"/>
      <c r="MEB30" s="47"/>
      <c r="MEC30" s="47"/>
      <c r="MED30" s="47"/>
      <c r="MEE30" s="47"/>
      <c r="MEF30" s="47"/>
      <c r="MEG30" s="47"/>
      <c r="MEH30" s="47"/>
      <c r="MEI30" s="47"/>
      <c r="MEJ30" s="47"/>
      <c r="MEK30" s="47"/>
      <c r="MEL30" s="47"/>
      <c r="MEM30" s="47"/>
      <c r="MEN30" s="47"/>
      <c r="MEO30" s="47"/>
      <c r="MEP30" s="47"/>
      <c r="MEQ30" s="47"/>
      <c r="MER30" s="47"/>
      <c r="MES30" s="47"/>
      <c r="MET30" s="47"/>
      <c r="MEU30" s="47"/>
      <c r="MEV30" s="47"/>
      <c r="MEW30" s="47"/>
      <c r="MEX30" s="47"/>
      <c r="MEY30" s="47"/>
      <c r="MEZ30" s="47"/>
      <c r="MFA30" s="47"/>
      <c r="MFB30" s="47"/>
      <c r="MFC30" s="47"/>
      <c r="MFD30" s="47"/>
      <c r="MFE30" s="47"/>
      <c r="MFF30" s="47"/>
      <c r="MFG30" s="47"/>
      <c r="MFH30" s="47"/>
      <c r="MFI30" s="47"/>
      <c r="MFJ30" s="47"/>
      <c r="MFK30" s="47"/>
      <c r="MFL30" s="47"/>
      <c r="MFM30" s="47"/>
      <c r="MFN30" s="47"/>
      <c r="MFO30" s="47"/>
      <c r="MFP30" s="47"/>
      <c r="MFQ30" s="47"/>
      <c r="MFR30" s="47"/>
      <c r="MFS30" s="47"/>
      <c r="MFT30" s="47"/>
      <c r="MFU30" s="47"/>
      <c r="MFV30" s="47"/>
      <c r="MFW30" s="47"/>
      <c r="MFX30" s="47"/>
      <c r="MFY30" s="47"/>
      <c r="MFZ30" s="47"/>
      <c r="MGA30" s="47"/>
      <c r="MGB30" s="47"/>
      <c r="MGC30" s="47"/>
      <c r="MGD30" s="47"/>
      <c r="MGE30" s="47"/>
      <c r="MGF30" s="47"/>
      <c r="MGG30" s="47"/>
      <c r="MGH30" s="47"/>
      <c r="MGI30" s="47"/>
      <c r="MGJ30" s="47"/>
      <c r="MGK30" s="47"/>
      <c r="MGL30" s="47"/>
      <c r="MGM30" s="47"/>
      <c r="MGN30" s="47"/>
      <c r="MGO30" s="47"/>
      <c r="MGP30" s="47"/>
      <c r="MGQ30" s="47"/>
      <c r="MGR30" s="47"/>
      <c r="MGS30" s="47"/>
      <c r="MGT30" s="47"/>
      <c r="MGU30" s="47"/>
      <c r="MGV30" s="47"/>
      <c r="MGW30" s="47"/>
      <c r="MGX30" s="47"/>
      <c r="MGY30" s="47"/>
      <c r="MGZ30" s="47"/>
      <c r="MHA30" s="47"/>
      <c r="MHB30" s="47"/>
      <c r="MHC30" s="47"/>
      <c r="MHD30" s="47"/>
      <c r="MHE30" s="47"/>
      <c r="MHF30" s="47"/>
      <c r="MHG30" s="47"/>
      <c r="MHH30" s="47"/>
      <c r="MHI30" s="47"/>
      <c r="MHJ30" s="47"/>
      <c r="MHK30" s="47"/>
      <c r="MHL30" s="47"/>
      <c r="MHM30" s="47"/>
      <c r="MHN30" s="47"/>
      <c r="MHO30" s="47"/>
      <c r="MHP30" s="47"/>
      <c r="MHQ30" s="47"/>
      <c r="MHR30" s="47"/>
      <c r="MHS30" s="47"/>
      <c r="MHT30" s="47"/>
      <c r="MHU30" s="47"/>
      <c r="MHV30" s="47"/>
      <c r="MHW30" s="47"/>
      <c r="MHX30" s="47"/>
      <c r="MHY30" s="47"/>
      <c r="MHZ30" s="47"/>
      <c r="MIA30" s="47"/>
      <c r="MIB30" s="47"/>
      <c r="MIC30" s="47"/>
      <c r="MID30" s="47"/>
      <c r="MIE30" s="47"/>
      <c r="MIF30" s="47"/>
      <c r="MIG30" s="47"/>
      <c r="MIH30" s="47"/>
      <c r="MII30" s="47"/>
      <c r="MIJ30" s="47"/>
      <c r="MIK30" s="47"/>
      <c r="MIL30" s="47"/>
      <c r="MIM30" s="47"/>
      <c r="MIN30" s="47"/>
      <c r="MIO30" s="47"/>
      <c r="MIP30" s="47"/>
      <c r="MIQ30" s="47"/>
      <c r="MIR30" s="47"/>
      <c r="MIS30" s="47"/>
      <c r="MIT30" s="47"/>
      <c r="MIU30" s="47"/>
      <c r="MIV30" s="47"/>
      <c r="MIW30" s="47"/>
      <c r="MIX30" s="47"/>
      <c r="MIY30" s="47"/>
      <c r="MIZ30" s="47"/>
      <c r="MJA30" s="47"/>
      <c r="MJB30" s="47"/>
      <c r="MJC30" s="47"/>
      <c r="MJD30" s="47"/>
      <c r="MJE30" s="47"/>
      <c r="MJF30" s="47"/>
      <c r="MJG30" s="47"/>
      <c r="MJH30" s="47"/>
      <c r="MJI30" s="47"/>
      <c r="MJJ30" s="47"/>
      <c r="MJK30" s="47"/>
      <c r="MJL30" s="47"/>
      <c r="MJM30" s="47"/>
      <c r="MJN30" s="47"/>
      <c r="MJO30" s="47"/>
      <c r="MJP30" s="47"/>
      <c r="MJQ30" s="47"/>
      <c r="MJR30" s="47"/>
      <c r="MJS30" s="47"/>
      <c r="MJT30" s="47"/>
      <c r="MJU30" s="47"/>
      <c r="MJV30" s="47"/>
      <c r="MJW30" s="47"/>
      <c r="MJX30" s="47"/>
      <c r="MJY30" s="47"/>
      <c r="MJZ30" s="47"/>
      <c r="MKA30" s="47"/>
      <c r="MKB30" s="47"/>
      <c r="MKC30" s="47"/>
      <c r="MKD30" s="47"/>
      <c r="MKE30" s="47"/>
      <c r="MKF30" s="47"/>
      <c r="MKG30" s="47"/>
      <c r="MKH30" s="47"/>
      <c r="MKI30" s="47"/>
      <c r="MKJ30" s="47"/>
      <c r="MKK30" s="47"/>
      <c r="MKL30" s="47"/>
      <c r="MKM30" s="47"/>
      <c r="MKN30" s="47"/>
      <c r="MKO30" s="47"/>
      <c r="MKP30" s="47"/>
      <c r="MKQ30" s="47"/>
      <c r="MKR30" s="47"/>
      <c r="MKS30" s="47"/>
      <c r="MKT30" s="47"/>
      <c r="MKU30" s="47"/>
      <c r="MKV30" s="47"/>
      <c r="MKW30" s="47"/>
      <c r="MKX30" s="47"/>
      <c r="MKY30" s="47"/>
      <c r="MKZ30" s="47"/>
      <c r="MLA30" s="47"/>
      <c r="MLB30" s="47"/>
      <c r="MLC30" s="47"/>
      <c r="MLD30" s="47"/>
      <c r="MLE30" s="47"/>
      <c r="MLF30" s="47"/>
      <c r="MLG30" s="47"/>
      <c r="MLH30" s="47"/>
      <c r="MLI30" s="47"/>
      <c r="MLJ30" s="47"/>
      <c r="MLK30" s="47"/>
      <c r="MLL30" s="47"/>
      <c r="MLM30" s="47"/>
      <c r="MLN30" s="47"/>
      <c r="MLO30" s="47"/>
      <c r="MLP30" s="47"/>
      <c r="MLQ30" s="47"/>
      <c r="MLR30" s="47"/>
      <c r="MLS30" s="47"/>
      <c r="MLT30" s="47"/>
      <c r="MLU30" s="47"/>
      <c r="MLV30" s="47"/>
      <c r="MLW30" s="47"/>
      <c r="MLX30" s="47"/>
      <c r="MLY30" s="47"/>
      <c r="MLZ30" s="47"/>
      <c r="MMA30" s="47"/>
      <c r="MMB30" s="47"/>
      <c r="MMC30" s="47"/>
      <c r="MMD30" s="47"/>
      <c r="MME30" s="47"/>
      <c r="MMF30" s="47"/>
      <c r="MMG30" s="47"/>
      <c r="MMH30" s="47"/>
      <c r="MMI30" s="47"/>
      <c r="MMJ30" s="47"/>
      <c r="MMK30" s="47"/>
      <c r="MML30" s="47"/>
      <c r="MMM30" s="47"/>
      <c r="MMN30" s="47"/>
      <c r="MMO30" s="47"/>
      <c r="MMP30" s="47"/>
      <c r="MMQ30" s="47"/>
      <c r="MMR30" s="47"/>
      <c r="MMS30" s="47"/>
      <c r="MMT30" s="47"/>
      <c r="MMU30" s="47"/>
      <c r="MMV30" s="47"/>
      <c r="MMW30" s="47"/>
      <c r="MMX30" s="47"/>
      <c r="MMY30" s="47"/>
      <c r="MMZ30" s="47"/>
      <c r="MNA30" s="47"/>
      <c r="MNB30" s="47"/>
      <c r="MNC30" s="47"/>
      <c r="MND30" s="47"/>
      <c r="MNE30" s="47"/>
      <c r="MNF30" s="47"/>
      <c r="MNG30" s="47"/>
      <c r="MNH30" s="47"/>
      <c r="MNI30" s="47"/>
      <c r="MNJ30" s="47"/>
      <c r="MNK30" s="47"/>
      <c r="MNL30" s="47"/>
      <c r="MNM30" s="47"/>
      <c r="MNN30" s="47"/>
      <c r="MNO30" s="47"/>
      <c r="MNP30" s="47"/>
      <c r="MNQ30" s="47"/>
      <c r="MNR30" s="47"/>
      <c r="MNS30" s="47"/>
      <c r="MNT30" s="47"/>
      <c r="MNU30" s="47"/>
      <c r="MNV30" s="47"/>
      <c r="MNW30" s="47"/>
      <c r="MNX30" s="47"/>
      <c r="MNY30" s="47"/>
      <c r="MNZ30" s="47"/>
      <c r="MOA30" s="47"/>
      <c r="MOB30" s="47"/>
      <c r="MOC30" s="47"/>
      <c r="MOD30" s="47"/>
      <c r="MOE30" s="47"/>
      <c r="MOF30" s="47"/>
      <c r="MOG30" s="47"/>
      <c r="MOH30" s="47"/>
      <c r="MOI30" s="47"/>
      <c r="MOJ30" s="47"/>
      <c r="MOK30" s="47"/>
      <c r="MOL30" s="47"/>
      <c r="MOM30" s="47"/>
      <c r="MON30" s="47"/>
      <c r="MOO30" s="47"/>
      <c r="MOP30" s="47"/>
      <c r="MOQ30" s="47"/>
      <c r="MOR30" s="47"/>
      <c r="MOS30" s="47"/>
      <c r="MOT30" s="47"/>
      <c r="MOU30" s="47"/>
      <c r="MOV30" s="47"/>
      <c r="MOW30" s="47"/>
      <c r="MOX30" s="47"/>
      <c r="MOY30" s="47"/>
      <c r="MOZ30" s="47"/>
      <c r="MPA30" s="47"/>
      <c r="MPB30" s="47"/>
      <c r="MPC30" s="47"/>
      <c r="MPD30" s="47"/>
      <c r="MPE30" s="47"/>
      <c r="MPF30" s="47"/>
      <c r="MPG30" s="47"/>
      <c r="MPH30" s="47"/>
      <c r="MPI30" s="47"/>
      <c r="MPJ30" s="47"/>
      <c r="MPK30" s="47"/>
      <c r="MPL30" s="47"/>
      <c r="MPM30" s="47"/>
      <c r="MPN30" s="47"/>
      <c r="MPO30" s="47"/>
      <c r="MPP30" s="47"/>
      <c r="MPQ30" s="47"/>
      <c r="MPR30" s="47"/>
      <c r="MPS30" s="47"/>
      <c r="MPT30" s="47"/>
      <c r="MPU30" s="47"/>
      <c r="MPV30" s="47"/>
      <c r="MPW30" s="47"/>
      <c r="MPX30" s="47"/>
      <c r="MPY30" s="47"/>
      <c r="MPZ30" s="47"/>
      <c r="MQA30" s="47"/>
      <c r="MQB30" s="47"/>
      <c r="MQC30" s="47"/>
      <c r="MQD30" s="47"/>
      <c r="MQE30" s="47"/>
      <c r="MQF30" s="47"/>
      <c r="MQG30" s="47"/>
      <c r="MQH30" s="47"/>
      <c r="MQI30" s="47"/>
      <c r="MQJ30" s="47"/>
      <c r="MQK30" s="47"/>
      <c r="MQL30" s="47"/>
      <c r="MQM30" s="47"/>
      <c r="MQN30" s="47"/>
      <c r="MQO30" s="47"/>
      <c r="MQP30" s="47"/>
      <c r="MQQ30" s="47"/>
      <c r="MQR30" s="47"/>
      <c r="MQS30" s="47"/>
      <c r="MQT30" s="47"/>
      <c r="MQU30" s="47"/>
      <c r="MQV30" s="47"/>
      <c r="MQW30" s="47"/>
      <c r="MQX30" s="47"/>
      <c r="MQY30" s="47"/>
      <c r="MQZ30" s="47"/>
      <c r="MRA30" s="47"/>
      <c r="MRB30" s="47"/>
      <c r="MRC30" s="47"/>
      <c r="MRD30" s="47"/>
      <c r="MRE30" s="47"/>
      <c r="MRF30" s="47"/>
      <c r="MRG30" s="47"/>
      <c r="MRH30" s="47"/>
      <c r="MRI30" s="47"/>
      <c r="MRJ30" s="47"/>
      <c r="MRK30" s="47"/>
      <c r="MRL30" s="47"/>
      <c r="MRM30" s="47"/>
      <c r="MRN30" s="47"/>
      <c r="MRO30" s="47"/>
      <c r="MRP30" s="47"/>
      <c r="MRQ30" s="47"/>
      <c r="MRR30" s="47"/>
      <c r="MRS30" s="47"/>
      <c r="MRT30" s="47"/>
      <c r="MRU30" s="47"/>
      <c r="MRV30" s="47"/>
      <c r="MRW30" s="47"/>
      <c r="MRX30" s="47"/>
      <c r="MRY30" s="47"/>
      <c r="MRZ30" s="47"/>
      <c r="MSA30" s="47"/>
      <c r="MSB30" s="47"/>
      <c r="MSC30" s="47"/>
      <c r="MSD30" s="47"/>
      <c r="MSE30" s="47"/>
      <c r="MSF30" s="47"/>
      <c r="MSG30" s="47"/>
      <c r="MSH30" s="47"/>
      <c r="MSI30" s="47"/>
      <c r="MSJ30" s="47"/>
      <c r="MSK30" s="47"/>
      <c r="MSL30" s="47"/>
      <c r="MSM30" s="47"/>
      <c r="MSN30" s="47"/>
      <c r="MSO30" s="47"/>
      <c r="MSP30" s="47"/>
      <c r="MSQ30" s="47"/>
      <c r="MSR30" s="47"/>
      <c r="MSS30" s="47"/>
      <c r="MST30" s="47"/>
      <c r="MSU30" s="47"/>
      <c r="MSV30" s="47"/>
      <c r="MSW30" s="47"/>
      <c r="MSX30" s="47"/>
      <c r="MSY30" s="47"/>
      <c r="MSZ30" s="47"/>
      <c r="MTA30" s="47"/>
      <c r="MTB30" s="47"/>
      <c r="MTC30" s="47"/>
      <c r="MTD30" s="47"/>
      <c r="MTE30" s="47"/>
      <c r="MTF30" s="47"/>
      <c r="MTG30" s="47"/>
      <c r="MTH30" s="47"/>
      <c r="MTI30" s="47"/>
      <c r="MTJ30" s="47"/>
      <c r="MTK30" s="47"/>
      <c r="MTL30" s="47"/>
      <c r="MTM30" s="47"/>
      <c r="MTN30" s="47"/>
      <c r="MTO30" s="47"/>
      <c r="MTP30" s="47"/>
      <c r="MTQ30" s="47"/>
      <c r="MTR30" s="47"/>
      <c r="MTS30" s="47"/>
      <c r="MTT30" s="47"/>
      <c r="MTU30" s="47"/>
      <c r="MTV30" s="47"/>
      <c r="MTW30" s="47"/>
      <c r="MTX30" s="47"/>
      <c r="MTY30" s="47"/>
      <c r="MTZ30" s="47"/>
      <c r="MUA30" s="47"/>
      <c r="MUB30" s="47"/>
      <c r="MUC30" s="47"/>
      <c r="MUD30" s="47"/>
      <c r="MUE30" s="47"/>
      <c r="MUF30" s="47"/>
      <c r="MUG30" s="47"/>
      <c r="MUH30" s="47"/>
      <c r="MUI30" s="47"/>
      <c r="MUJ30" s="47"/>
      <c r="MUK30" s="47"/>
      <c r="MUL30" s="47"/>
      <c r="MUM30" s="47"/>
      <c r="MUN30" s="47"/>
      <c r="MUO30" s="47"/>
      <c r="MUP30" s="47"/>
      <c r="MUQ30" s="47"/>
      <c r="MUR30" s="47"/>
      <c r="MUS30" s="47"/>
      <c r="MUT30" s="47"/>
      <c r="MUU30" s="47"/>
      <c r="MUV30" s="47"/>
      <c r="MUW30" s="47"/>
      <c r="MUX30" s="47"/>
      <c r="MUY30" s="47"/>
      <c r="MUZ30" s="47"/>
      <c r="MVA30" s="47"/>
      <c r="MVB30" s="47"/>
      <c r="MVC30" s="47"/>
      <c r="MVD30" s="47"/>
      <c r="MVE30" s="47"/>
      <c r="MVF30" s="47"/>
      <c r="MVG30" s="47"/>
      <c r="MVH30" s="47"/>
      <c r="MVI30" s="47"/>
      <c r="MVJ30" s="47"/>
      <c r="MVK30" s="47"/>
      <c r="MVL30" s="47"/>
      <c r="MVM30" s="47"/>
      <c r="MVN30" s="47"/>
      <c r="MVO30" s="47"/>
      <c r="MVP30" s="47"/>
      <c r="MVQ30" s="47"/>
      <c r="MVR30" s="47"/>
      <c r="MVS30" s="47"/>
      <c r="MVT30" s="47"/>
      <c r="MVU30" s="47"/>
      <c r="MVV30" s="47"/>
      <c r="MVW30" s="47"/>
      <c r="MVX30" s="47"/>
      <c r="MVY30" s="47"/>
      <c r="MVZ30" s="47"/>
      <c r="MWA30" s="47"/>
      <c r="MWB30" s="47"/>
      <c r="MWC30" s="47"/>
      <c r="MWD30" s="47"/>
      <c r="MWE30" s="47"/>
      <c r="MWF30" s="47"/>
      <c r="MWG30" s="47"/>
      <c r="MWH30" s="47"/>
      <c r="MWI30" s="47"/>
      <c r="MWJ30" s="47"/>
      <c r="MWK30" s="47"/>
      <c r="MWL30" s="47"/>
      <c r="MWM30" s="47"/>
      <c r="MWN30" s="47"/>
      <c r="MWO30" s="47"/>
      <c r="MWP30" s="47"/>
      <c r="MWQ30" s="47"/>
      <c r="MWR30" s="47"/>
      <c r="MWS30" s="47"/>
      <c r="MWT30" s="47"/>
      <c r="MWU30" s="47"/>
      <c r="MWV30" s="47"/>
      <c r="MWW30" s="47"/>
      <c r="MWX30" s="47"/>
      <c r="MWY30" s="47"/>
      <c r="MWZ30" s="47"/>
      <c r="MXA30" s="47"/>
      <c r="MXB30" s="47"/>
      <c r="MXC30" s="47"/>
      <c r="MXD30" s="47"/>
      <c r="MXE30" s="47"/>
      <c r="MXF30" s="47"/>
      <c r="MXG30" s="47"/>
      <c r="MXH30" s="47"/>
      <c r="MXI30" s="47"/>
      <c r="MXJ30" s="47"/>
      <c r="MXK30" s="47"/>
      <c r="MXL30" s="47"/>
      <c r="MXM30" s="47"/>
      <c r="MXN30" s="47"/>
      <c r="MXO30" s="47"/>
      <c r="MXP30" s="47"/>
      <c r="MXQ30" s="47"/>
      <c r="MXR30" s="47"/>
      <c r="MXS30" s="47"/>
      <c r="MXT30" s="47"/>
      <c r="MXU30" s="47"/>
      <c r="MXV30" s="47"/>
      <c r="MXW30" s="47"/>
      <c r="MXX30" s="47"/>
      <c r="MXY30" s="47"/>
      <c r="MXZ30" s="47"/>
      <c r="MYA30" s="47"/>
      <c r="MYB30" s="47"/>
      <c r="MYC30" s="47"/>
      <c r="MYD30" s="47"/>
      <c r="MYE30" s="47"/>
      <c r="MYF30" s="47"/>
      <c r="MYG30" s="47"/>
      <c r="MYH30" s="47"/>
      <c r="MYI30" s="47"/>
      <c r="MYJ30" s="47"/>
      <c r="MYK30" s="47"/>
      <c r="MYL30" s="47"/>
      <c r="MYM30" s="47"/>
      <c r="MYN30" s="47"/>
      <c r="MYO30" s="47"/>
      <c r="MYP30" s="47"/>
      <c r="MYQ30" s="47"/>
      <c r="MYR30" s="47"/>
      <c r="MYS30" s="47"/>
      <c r="MYT30" s="47"/>
      <c r="MYU30" s="47"/>
      <c r="MYV30" s="47"/>
      <c r="MYW30" s="47"/>
      <c r="MYX30" s="47"/>
      <c r="MYY30" s="47"/>
      <c r="MYZ30" s="47"/>
      <c r="MZA30" s="47"/>
      <c r="MZB30" s="47"/>
      <c r="MZC30" s="47"/>
      <c r="MZD30" s="47"/>
      <c r="MZE30" s="47"/>
      <c r="MZF30" s="47"/>
      <c r="MZG30" s="47"/>
      <c r="MZH30" s="47"/>
      <c r="MZI30" s="47"/>
      <c r="MZJ30" s="47"/>
      <c r="MZK30" s="47"/>
      <c r="MZL30" s="47"/>
      <c r="MZM30" s="47"/>
      <c r="MZN30" s="47"/>
      <c r="MZO30" s="47"/>
      <c r="MZP30" s="47"/>
      <c r="MZQ30" s="47"/>
      <c r="MZR30" s="47"/>
      <c r="MZS30" s="47"/>
      <c r="MZT30" s="47"/>
      <c r="MZU30" s="47"/>
      <c r="MZV30" s="47"/>
      <c r="MZW30" s="47"/>
      <c r="MZX30" s="47"/>
      <c r="MZY30" s="47"/>
      <c r="MZZ30" s="47"/>
      <c r="NAA30" s="47"/>
      <c r="NAB30" s="47"/>
      <c r="NAC30" s="47"/>
      <c r="NAD30" s="47"/>
      <c r="NAE30" s="47"/>
      <c r="NAF30" s="47"/>
      <c r="NAG30" s="47"/>
      <c r="NAH30" s="47"/>
      <c r="NAI30" s="47"/>
      <c r="NAJ30" s="47"/>
      <c r="NAK30" s="47"/>
      <c r="NAL30" s="47"/>
      <c r="NAM30" s="47"/>
      <c r="NAN30" s="47"/>
      <c r="NAO30" s="47"/>
      <c r="NAP30" s="47"/>
      <c r="NAQ30" s="47"/>
      <c r="NAR30" s="47"/>
      <c r="NAS30" s="47"/>
      <c r="NAT30" s="47"/>
      <c r="NAU30" s="47"/>
      <c r="NAV30" s="47"/>
      <c r="NAW30" s="47"/>
      <c r="NAX30" s="47"/>
      <c r="NAY30" s="47"/>
      <c r="NAZ30" s="47"/>
      <c r="NBA30" s="47"/>
      <c r="NBB30" s="47"/>
      <c r="NBC30" s="47"/>
      <c r="NBD30" s="47"/>
      <c r="NBE30" s="47"/>
      <c r="NBF30" s="47"/>
      <c r="NBG30" s="47"/>
      <c r="NBH30" s="47"/>
      <c r="NBI30" s="47"/>
      <c r="NBJ30" s="47"/>
      <c r="NBK30" s="47"/>
      <c r="NBL30" s="47"/>
      <c r="NBM30" s="47"/>
      <c r="NBN30" s="47"/>
      <c r="NBO30" s="47"/>
      <c r="NBP30" s="47"/>
      <c r="NBQ30" s="47"/>
      <c r="NBR30" s="47"/>
      <c r="NBS30" s="47"/>
      <c r="NBT30" s="47"/>
      <c r="NBU30" s="47"/>
      <c r="NBV30" s="47"/>
      <c r="NBW30" s="47"/>
      <c r="NBX30" s="47"/>
      <c r="NBY30" s="47"/>
      <c r="NBZ30" s="47"/>
      <c r="NCA30" s="47"/>
      <c r="NCB30" s="47"/>
      <c r="NCC30" s="47"/>
      <c r="NCD30" s="47"/>
      <c r="NCE30" s="47"/>
      <c r="NCF30" s="47"/>
      <c r="NCG30" s="47"/>
      <c r="NCH30" s="47"/>
      <c r="NCI30" s="47"/>
      <c r="NCJ30" s="47"/>
      <c r="NCK30" s="47"/>
      <c r="NCL30" s="47"/>
      <c r="NCM30" s="47"/>
      <c r="NCN30" s="47"/>
      <c r="NCO30" s="47"/>
      <c r="NCP30" s="47"/>
      <c r="NCQ30" s="47"/>
      <c r="NCR30" s="47"/>
      <c r="NCS30" s="47"/>
      <c r="NCT30" s="47"/>
      <c r="NCU30" s="47"/>
      <c r="NCV30" s="47"/>
      <c r="NCW30" s="47"/>
      <c r="NCX30" s="47"/>
      <c r="NCY30" s="47"/>
      <c r="NCZ30" s="47"/>
      <c r="NDA30" s="47"/>
      <c r="NDB30" s="47"/>
      <c r="NDC30" s="47"/>
      <c r="NDD30" s="47"/>
      <c r="NDE30" s="47"/>
      <c r="NDF30" s="47"/>
      <c r="NDG30" s="47"/>
      <c r="NDH30" s="47"/>
      <c r="NDI30" s="47"/>
      <c r="NDJ30" s="47"/>
      <c r="NDK30" s="47"/>
      <c r="NDL30" s="47"/>
      <c r="NDM30" s="47"/>
      <c r="NDN30" s="47"/>
      <c r="NDO30" s="47"/>
      <c r="NDP30" s="47"/>
      <c r="NDQ30" s="47"/>
      <c r="NDR30" s="47"/>
      <c r="NDS30" s="47"/>
      <c r="NDT30" s="47"/>
      <c r="NDU30" s="47"/>
      <c r="NDV30" s="47"/>
      <c r="NDW30" s="47"/>
      <c r="NDX30" s="47"/>
      <c r="NDY30" s="47"/>
      <c r="NDZ30" s="47"/>
      <c r="NEA30" s="47"/>
      <c r="NEB30" s="47"/>
      <c r="NEC30" s="47"/>
      <c r="NED30" s="47"/>
      <c r="NEE30" s="47"/>
      <c r="NEF30" s="47"/>
      <c r="NEG30" s="47"/>
      <c r="NEH30" s="47"/>
      <c r="NEI30" s="47"/>
      <c r="NEJ30" s="47"/>
      <c r="NEK30" s="47"/>
      <c r="NEL30" s="47"/>
      <c r="NEM30" s="47"/>
      <c r="NEN30" s="47"/>
      <c r="NEO30" s="47"/>
      <c r="NEP30" s="47"/>
      <c r="NEQ30" s="47"/>
      <c r="NER30" s="47"/>
      <c r="NES30" s="47"/>
      <c r="NET30" s="47"/>
      <c r="NEU30" s="47"/>
      <c r="NEV30" s="47"/>
      <c r="NEW30" s="47"/>
      <c r="NEX30" s="47"/>
      <c r="NEY30" s="47"/>
      <c r="NEZ30" s="47"/>
      <c r="NFA30" s="47"/>
      <c r="NFB30" s="47"/>
      <c r="NFC30" s="47"/>
      <c r="NFD30" s="47"/>
      <c r="NFE30" s="47"/>
      <c r="NFF30" s="47"/>
      <c r="NFG30" s="47"/>
      <c r="NFH30" s="47"/>
      <c r="NFI30" s="47"/>
      <c r="NFJ30" s="47"/>
      <c r="NFK30" s="47"/>
      <c r="NFL30" s="47"/>
      <c r="NFM30" s="47"/>
      <c r="NFN30" s="47"/>
      <c r="NFO30" s="47"/>
      <c r="NFP30" s="47"/>
      <c r="NFQ30" s="47"/>
      <c r="NFR30" s="47"/>
      <c r="NFS30" s="47"/>
      <c r="NFT30" s="47"/>
      <c r="NFU30" s="47"/>
      <c r="NFV30" s="47"/>
      <c r="NFW30" s="47"/>
      <c r="NFX30" s="47"/>
      <c r="NFY30" s="47"/>
      <c r="NFZ30" s="47"/>
      <c r="NGA30" s="47"/>
      <c r="NGB30" s="47"/>
      <c r="NGC30" s="47"/>
      <c r="NGD30" s="47"/>
      <c r="NGE30" s="47"/>
      <c r="NGF30" s="47"/>
      <c r="NGG30" s="47"/>
      <c r="NGH30" s="47"/>
      <c r="NGI30" s="47"/>
      <c r="NGJ30" s="47"/>
      <c r="NGK30" s="47"/>
      <c r="NGL30" s="47"/>
      <c r="NGM30" s="47"/>
      <c r="NGN30" s="47"/>
      <c r="NGO30" s="47"/>
      <c r="NGP30" s="47"/>
      <c r="NGQ30" s="47"/>
      <c r="NGR30" s="47"/>
      <c r="NGS30" s="47"/>
      <c r="NGT30" s="47"/>
      <c r="NGU30" s="47"/>
      <c r="NGV30" s="47"/>
      <c r="NGW30" s="47"/>
      <c r="NGX30" s="47"/>
      <c r="NGY30" s="47"/>
      <c r="NGZ30" s="47"/>
      <c r="NHA30" s="47"/>
      <c r="NHB30" s="47"/>
      <c r="NHC30" s="47"/>
      <c r="NHD30" s="47"/>
      <c r="NHE30" s="47"/>
      <c r="NHF30" s="47"/>
      <c r="NHG30" s="47"/>
      <c r="NHH30" s="47"/>
      <c r="NHI30" s="47"/>
      <c r="NHJ30" s="47"/>
      <c r="NHK30" s="47"/>
      <c r="NHL30" s="47"/>
      <c r="NHM30" s="47"/>
      <c r="NHN30" s="47"/>
      <c r="NHO30" s="47"/>
      <c r="NHP30" s="47"/>
      <c r="NHQ30" s="47"/>
      <c r="NHR30" s="47"/>
      <c r="NHS30" s="47"/>
      <c r="NHT30" s="47"/>
      <c r="NHU30" s="47"/>
      <c r="NHV30" s="47"/>
      <c r="NHW30" s="47"/>
      <c r="NHX30" s="47"/>
      <c r="NHY30" s="47"/>
      <c r="NHZ30" s="47"/>
      <c r="NIA30" s="47"/>
      <c r="NIB30" s="47"/>
      <c r="NIC30" s="47"/>
      <c r="NID30" s="47"/>
      <c r="NIE30" s="47"/>
      <c r="NIF30" s="47"/>
      <c r="NIG30" s="47"/>
      <c r="NIH30" s="47"/>
      <c r="NII30" s="47"/>
      <c r="NIJ30" s="47"/>
      <c r="NIK30" s="47"/>
      <c r="NIL30" s="47"/>
      <c r="NIM30" s="47"/>
      <c r="NIN30" s="47"/>
      <c r="NIO30" s="47"/>
      <c r="NIP30" s="47"/>
      <c r="NIQ30" s="47"/>
      <c r="NIR30" s="47"/>
      <c r="NIS30" s="47"/>
      <c r="NIT30" s="47"/>
      <c r="NIU30" s="47"/>
      <c r="NIV30" s="47"/>
      <c r="NIW30" s="47"/>
      <c r="NIX30" s="47"/>
      <c r="NIY30" s="47"/>
      <c r="NIZ30" s="47"/>
      <c r="NJA30" s="47"/>
      <c r="NJB30" s="47"/>
      <c r="NJC30" s="47"/>
      <c r="NJD30" s="47"/>
      <c r="NJE30" s="47"/>
      <c r="NJF30" s="47"/>
      <c r="NJG30" s="47"/>
      <c r="NJH30" s="47"/>
      <c r="NJI30" s="47"/>
      <c r="NJJ30" s="47"/>
      <c r="NJK30" s="47"/>
      <c r="NJL30" s="47"/>
      <c r="NJM30" s="47"/>
      <c r="NJN30" s="47"/>
      <c r="NJO30" s="47"/>
      <c r="NJP30" s="47"/>
      <c r="NJQ30" s="47"/>
      <c r="NJR30" s="47"/>
      <c r="NJS30" s="47"/>
      <c r="NJT30" s="47"/>
      <c r="NJU30" s="47"/>
      <c r="NJV30" s="47"/>
      <c r="NJW30" s="47"/>
      <c r="NJX30" s="47"/>
      <c r="NJY30" s="47"/>
      <c r="NJZ30" s="47"/>
      <c r="NKA30" s="47"/>
      <c r="NKB30" s="47"/>
      <c r="NKC30" s="47"/>
      <c r="NKD30" s="47"/>
      <c r="NKE30" s="47"/>
      <c r="NKF30" s="47"/>
      <c r="NKG30" s="47"/>
      <c r="NKH30" s="47"/>
      <c r="NKI30" s="47"/>
      <c r="NKJ30" s="47"/>
      <c r="NKK30" s="47"/>
      <c r="NKL30" s="47"/>
      <c r="NKM30" s="47"/>
      <c r="NKN30" s="47"/>
      <c r="NKO30" s="47"/>
      <c r="NKP30" s="47"/>
      <c r="NKQ30" s="47"/>
      <c r="NKR30" s="47"/>
      <c r="NKS30" s="47"/>
      <c r="NKT30" s="47"/>
      <c r="NKU30" s="47"/>
      <c r="NKV30" s="47"/>
      <c r="NKW30" s="47"/>
      <c r="NKX30" s="47"/>
      <c r="NKY30" s="47"/>
      <c r="NKZ30" s="47"/>
      <c r="NLA30" s="47"/>
      <c r="NLB30" s="47"/>
      <c r="NLC30" s="47"/>
      <c r="NLD30" s="47"/>
      <c r="NLE30" s="47"/>
      <c r="NLF30" s="47"/>
      <c r="NLG30" s="47"/>
      <c r="NLH30" s="47"/>
      <c r="NLI30" s="47"/>
      <c r="NLJ30" s="47"/>
      <c r="NLK30" s="47"/>
      <c r="NLL30" s="47"/>
      <c r="NLM30" s="47"/>
      <c r="NLN30" s="47"/>
      <c r="NLO30" s="47"/>
      <c r="NLP30" s="47"/>
      <c r="NLQ30" s="47"/>
      <c r="NLR30" s="47"/>
      <c r="NLS30" s="47"/>
      <c r="NLT30" s="47"/>
      <c r="NLU30" s="47"/>
      <c r="NLV30" s="47"/>
      <c r="NLW30" s="47"/>
      <c r="NLX30" s="47"/>
      <c r="NLY30" s="47"/>
      <c r="NLZ30" s="47"/>
      <c r="NMA30" s="47"/>
      <c r="NMB30" s="47"/>
      <c r="NMC30" s="47"/>
      <c r="NMD30" s="47"/>
      <c r="NME30" s="47"/>
      <c r="NMF30" s="47"/>
      <c r="NMG30" s="47"/>
      <c r="NMH30" s="47"/>
      <c r="NMI30" s="47"/>
      <c r="NMJ30" s="47"/>
      <c r="NMK30" s="47"/>
      <c r="NML30" s="47"/>
      <c r="NMM30" s="47"/>
      <c r="NMN30" s="47"/>
      <c r="NMO30" s="47"/>
      <c r="NMP30" s="47"/>
      <c r="NMQ30" s="47"/>
      <c r="NMR30" s="47"/>
      <c r="NMS30" s="47"/>
      <c r="NMT30" s="47"/>
      <c r="NMU30" s="47"/>
      <c r="NMV30" s="47"/>
      <c r="NMW30" s="47"/>
      <c r="NMX30" s="47"/>
      <c r="NMY30" s="47"/>
      <c r="NMZ30" s="47"/>
      <c r="NNA30" s="47"/>
      <c r="NNB30" s="47"/>
      <c r="NNC30" s="47"/>
      <c r="NND30" s="47"/>
      <c r="NNE30" s="47"/>
      <c r="NNF30" s="47"/>
      <c r="NNG30" s="47"/>
      <c r="NNH30" s="47"/>
      <c r="NNI30" s="47"/>
      <c r="NNJ30" s="47"/>
      <c r="NNK30" s="47"/>
      <c r="NNL30" s="47"/>
      <c r="NNM30" s="47"/>
      <c r="NNN30" s="47"/>
      <c r="NNO30" s="47"/>
      <c r="NNP30" s="47"/>
      <c r="NNQ30" s="47"/>
      <c r="NNR30" s="47"/>
      <c r="NNS30" s="47"/>
      <c r="NNT30" s="47"/>
      <c r="NNU30" s="47"/>
      <c r="NNV30" s="47"/>
      <c r="NNW30" s="47"/>
      <c r="NNX30" s="47"/>
      <c r="NNY30" s="47"/>
      <c r="NNZ30" s="47"/>
      <c r="NOA30" s="47"/>
      <c r="NOB30" s="47"/>
      <c r="NOC30" s="47"/>
      <c r="NOD30" s="47"/>
      <c r="NOE30" s="47"/>
      <c r="NOF30" s="47"/>
      <c r="NOG30" s="47"/>
      <c r="NOH30" s="47"/>
      <c r="NOI30" s="47"/>
      <c r="NOJ30" s="47"/>
      <c r="NOK30" s="47"/>
      <c r="NOL30" s="47"/>
      <c r="NOM30" s="47"/>
      <c r="NON30" s="47"/>
      <c r="NOO30" s="47"/>
      <c r="NOP30" s="47"/>
      <c r="NOQ30" s="47"/>
      <c r="NOR30" s="47"/>
      <c r="NOS30" s="47"/>
      <c r="NOT30" s="47"/>
      <c r="NOU30" s="47"/>
      <c r="NOV30" s="47"/>
      <c r="NOW30" s="47"/>
      <c r="NOX30" s="47"/>
      <c r="NOY30" s="47"/>
      <c r="NOZ30" s="47"/>
      <c r="NPA30" s="47"/>
      <c r="NPB30" s="47"/>
      <c r="NPC30" s="47"/>
      <c r="NPD30" s="47"/>
      <c r="NPE30" s="47"/>
      <c r="NPF30" s="47"/>
      <c r="NPG30" s="47"/>
      <c r="NPH30" s="47"/>
      <c r="NPI30" s="47"/>
      <c r="NPJ30" s="47"/>
      <c r="NPK30" s="47"/>
      <c r="NPL30" s="47"/>
      <c r="NPM30" s="47"/>
      <c r="NPN30" s="47"/>
      <c r="NPO30" s="47"/>
      <c r="NPP30" s="47"/>
      <c r="NPQ30" s="47"/>
      <c r="NPR30" s="47"/>
      <c r="NPS30" s="47"/>
      <c r="NPT30" s="47"/>
      <c r="NPU30" s="47"/>
      <c r="NPV30" s="47"/>
      <c r="NPW30" s="47"/>
      <c r="NPX30" s="47"/>
      <c r="NPY30" s="47"/>
      <c r="NPZ30" s="47"/>
      <c r="NQA30" s="47"/>
      <c r="NQB30" s="47"/>
      <c r="NQC30" s="47"/>
      <c r="NQD30" s="47"/>
      <c r="NQE30" s="47"/>
      <c r="NQF30" s="47"/>
      <c r="NQG30" s="47"/>
      <c r="NQH30" s="47"/>
      <c r="NQI30" s="47"/>
      <c r="NQJ30" s="47"/>
      <c r="NQK30" s="47"/>
      <c r="NQL30" s="47"/>
      <c r="NQM30" s="47"/>
      <c r="NQN30" s="47"/>
      <c r="NQO30" s="47"/>
      <c r="NQP30" s="47"/>
      <c r="NQQ30" s="47"/>
      <c r="NQR30" s="47"/>
      <c r="NQS30" s="47"/>
      <c r="NQT30" s="47"/>
      <c r="NQU30" s="47"/>
      <c r="NQV30" s="47"/>
      <c r="NQW30" s="47"/>
      <c r="NQX30" s="47"/>
      <c r="NQY30" s="47"/>
      <c r="NQZ30" s="47"/>
      <c r="NRA30" s="47"/>
      <c r="NRB30" s="47"/>
      <c r="NRC30" s="47"/>
      <c r="NRD30" s="47"/>
      <c r="NRE30" s="47"/>
      <c r="NRF30" s="47"/>
      <c r="NRG30" s="47"/>
      <c r="NRH30" s="47"/>
      <c r="NRI30" s="47"/>
      <c r="NRJ30" s="47"/>
      <c r="NRK30" s="47"/>
      <c r="NRL30" s="47"/>
      <c r="NRM30" s="47"/>
      <c r="NRN30" s="47"/>
      <c r="NRO30" s="47"/>
      <c r="NRP30" s="47"/>
      <c r="NRQ30" s="47"/>
      <c r="NRR30" s="47"/>
      <c r="NRS30" s="47"/>
      <c r="NRT30" s="47"/>
      <c r="NRU30" s="47"/>
      <c r="NRV30" s="47"/>
      <c r="NRW30" s="47"/>
      <c r="NRX30" s="47"/>
      <c r="NRY30" s="47"/>
      <c r="NRZ30" s="47"/>
      <c r="NSA30" s="47"/>
      <c r="NSB30" s="47"/>
      <c r="NSC30" s="47"/>
      <c r="NSD30" s="47"/>
      <c r="NSE30" s="47"/>
      <c r="NSF30" s="47"/>
      <c r="NSG30" s="47"/>
      <c r="NSH30" s="47"/>
      <c r="NSI30" s="47"/>
      <c r="NSJ30" s="47"/>
      <c r="NSK30" s="47"/>
      <c r="NSL30" s="47"/>
      <c r="NSM30" s="47"/>
      <c r="NSN30" s="47"/>
      <c r="NSO30" s="47"/>
      <c r="NSP30" s="47"/>
      <c r="NSQ30" s="47"/>
      <c r="NSR30" s="47"/>
      <c r="NSS30" s="47"/>
      <c r="NST30" s="47"/>
      <c r="NSU30" s="47"/>
      <c r="NSV30" s="47"/>
      <c r="NSW30" s="47"/>
      <c r="NSX30" s="47"/>
      <c r="NSY30" s="47"/>
      <c r="NSZ30" s="47"/>
      <c r="NTA30" s="47"/>
      <c r="NTB30" s="47"/>
      <c r="NTC30" s="47"/>
      <c r="NTD30" s="47"/>
      <c r="NTE30" s="47"/>
      <c r="NTF30" s="47"/>
      <c r="NTG30" s="47"/>
      <c r="NTH30" s="47"/>
      <c r="NTI30" s="47"/>
      <c r="NTJ30" s="47"/>
      <c r="NTK30" s="47"/>
      <c r="NTL30" s="47"/>
      <c r="NTM30" s="47"/>
      <c r="NTN30" s="47"/>
      <c r="NTO30" s="47"/>
      <c r="NTP30" s="47"/>
      <c r="NTQ30" s="47"/>
      <c r="NTR30" s="47"/>
      <c r="NTS30" s="47"/>
      <c r="NTT30" s="47"/>
      <c r="NTU30" s="47"/>
      <c r="NTV30" s="47"/>
      <c r="NTW30" s="47"/>
      <c r="NTX30" s="47"/>
      <c r="NTY30" s="47"/>
      <c r="NTZ30" s="47"/>
      <c r="NUA30" s="47"/>
      <c r="NUB30" s="47"/>
      <c r="NUC30" s="47"/>
      <c r="NUD30" s="47"/>
      <c r="NUE30" s="47"/>
      <c r="NUF30" s="47"/>
      <c r="NUG30" s="47"/>
      <c r="NUH30" s="47"/>
      <c r="NUI30" s="47"/>
      <c r="NUJ30" s="47"/>
      <c r="NUK30" s="47"/>
      <c r="NUL30" s="47"/>
      <c r="NUM30" s="47"/>
      <c r="NUN30" s="47"/>
      <c r="NUO30" s="47"/>
      <c r="NUP30" s="47"/>
      <c r="NUQ30" s="47"/>
      <c r="NUR30" s="47"/>
      <c r="NUS30" s="47"/>
      <c r="NUT30" s="47"/>
      <c r="NUU30" s="47"/>
      <c r="NUV30" s="47"/>
      <c r="NUW30" s="47"/>
      <c r="NUX30" s="47"/>
      <c r="NUY30" s="47"/>
      <c r="NUZ30" s="47"/>
      <c r="NVA30" s="47"/>
      <c r="NVB30" s="47"/>
      <c r="NVC30" s="47"/>
      <c r="NVD30" s="47"/>
      <c r="NVE30" s="47"/>
      <c r="NVF30" s="47"/>
      <c r="NVG30" s="47"/>
      <c r="NVH30" s="47"/>
      <c r="NVI30" s="47"/>
      <c r="NVJ30" s="47"/>
      <c r="NVK30" s="47"/>
      <c r="NVL30" s="47"/>
      <c r="NVM30" s="47"/>
      <c r="NVN30" s="47"/>
      <c r="NVO30" s="47"/>
      <c r="NVP30" s="47"/>
      <c r="NVQ30" s="47"/>
      <c r="NVR30" s="47"/>
      <c r="NVS30" s="47"/>
      <c r="NVT30" s="47"/>
      <c r="NVU30" s="47"/>
      <c r="NVV30" s="47"/>
      <c r="NVW30" s="47"/>
      <c r="NVX30" s="47"/>
      <c r="NVY30" s="47"/>
      <c r="NVZ30" s="47"/>
      <c r="NWA30" s="47"/>
      <c r="NWB30" s="47"/>
      <c r="NWC30" s="47"/>
      <c r="NWD30" s="47"/>
      <c r="NWE30" s="47"/>
      <c r="NWF30" s="47"/>
      <c r="NWG30" s="47"/>
      <c r="NWH30" s="47"/>
      <c r="NWI30" s="47"/>
      <c r="NWJ30" s="47"/>
      <c r="NWK30" s="47"/>
      <c r="NWL30" s="47"/>
      <c r="NWM30" s="47"/>
      <c r="NWN30" s="47"/>
      <c r="NWO30" s="47"/>
      <c r="NWP30" s="47"/>
      <c r="NWQ30" s="47"/>
      <c r="NWR30" s="47"/>
      <c r="NWS30" s="47"/>
      <c r="NWT30" s="47"/>
      <c r="NWU30" s="47"/>
      <c r="NWV30" s="47"/>
      <c r="NWW30" s="47"/>
      <c r="NWX30" s="47"/>
      <c r="NWY30" s="47"/>
      <c r="NWZ30" s="47"/>
      <c r="NXA30" s="47"/>
      <c r="NXB30" s="47"/>
      <c r="NXC30" s="47"/>
      <c r="NXD30" s="47"/>
      <c r="NXE30" s="47"/>
      <c r="NXF30" s="47"/>
      <c r="NXG30" s="47"/>
      <c r="NXH30" s="47"/>
      <c r="NXI30" s="47"/>
      <c r="NXJ30" s="47"/>
      <c r="NXK30" s="47"/>
      <c r="NXL30" s="47"/>
      <c r="NXM30" s="47"/>
      <c r="NXN30" s="47"/>
      <c r="NXO30" s="47"/>
      <c r="NXP30" s="47"/>
      <c r="NXQ30" s="47"/>
      <c r="NXR30" s="47"/>
      <c r="NXS30" s="47"/>
      <c r="NXT30" s="47"/>
      <c r="NXU30" s="47"/>
      <c r="NXV30" s="47"/>
      <c r="NXW30" s="47"/>
      <c r="NXX30" s="47"/>
      <c r="NXY30" s="47"/>
      <c r="NXZ30" s="47"/>
      <c r="NYA30" s="47"/>
      <c r="NYB30" s="47"/>
      <c r="NYC30" s="47"/>
      <c r="NYD30" s="47"/>
      <c r="NYE30" s="47"/>
      <c r="NYF30" s="47"/>
      <c r="NYG30" s="47"/>
      <c r="NYH30" s="47"/>
      <c r="NYI30" s="47"/>
      <c r="NYJ30" s="47"/>
      <c r="NYK30" s="47"/>
      <c r="NYL30" s="47"/>
      <c r="NYM30" s="47"/>
      <c r="NYN30" s="47"/>
      <c r="NYO30" s="47"/>
      <c r="NYP30" s="47"/>
      <c r="NYQ30" s="47"/>
      <c r="NYR30" s="47"/>
      <c r="NYS30" s="47"/>
      <c r="NYT30" s="47"/>
      <c r="NYU30" s="47"/>
      <c r="NYV30" s="47"/>
      <c r="NYW30" s="47"/>
      <c r="NYX30" s="47"/>
      <c r="NYY30" s="47"/>
      <c r="NYZ30" s="47"/>
      <c r="NZA30" s="47"/>
      <c r="NZB30" s="47"/>
      <c r="NZC30" s="47"/>
      <c r="NZD30" s="47"/>
      <c r="NZE30" s="47"/>
      <c r="NZF30" s="47"/>
      <c r="NZG30" s="47"/>
      <c r="NZH30" s="47"/>
      <c r="NZI30" s="47"/>
      <c r="NZJ30" s="47"/>
      <c r="NZK30" s="47"/>
      <c r="NZL30" s="47"/>
      <c r="NZM30" s="47"/>
      <c r="NZN30" s="47"/>
      <c r="NZO30" s="47"/>
      <c r="NZP30" s="47"/>
      <c r="NZQ30" s="47"/>
      <c r="NZR30" s="47"/>
      <c r="NZS30" s="47"/>
      <c r="NZT30" s="47"/>
      <c r="NZU30" s="47"/>
      <c r="NZV30" s="47"/>
      <c r="NZW30" s="47"/>
      <c r="NZX30" s="47"/>
      <c r="NZY30" s="47"/>
      <c r="NZZ30" s="47"/>
      <c r="OAA30" s="47"/>
      <c r="OAB30" s="47"/>
      <c r="OAC30" s="47"/>
      <c r="OAD30" s="47"/>
      <c r="OAE30" s="47"/>
      <c r="OAF30" s="47"/>
      <c r="OAG30" s="47"/>
      <c r="OAH30" s="47"/>
      <c r="OAI30" s="47"/>
      <c r="OAJ30" s="47"/>
      <c r="OAK30" s="47"/>
      <c r="OAL30" s="47"/>
      <c r="OAM30" s="47"/>
      <c r="OAN30" s="47"/>
      <c r="OAO30" s="47"/>
      <c r="OAP30" s="47"/>
      <c r="OAQ30" s="47"/>
      <c r="OAR30" s="47"/>
      <c r="OAS30" s="47"/>
      <c r="OAT30" s="47"/>
      <c r="OAU30" s="47"/>
      <c r="OAV30" s="47"/>
      <c r="OAW30" s="47"/>
      <c r="OAX30" s="47"/>
      <c r="OAY30" s="47"/>
      <c r="OAZ30" s="47"/>
      <c r="OBA30" s="47"/>
      <c r="OBB30" s="47"/>
      <c r="OBC30" s="47"/>
      <c r="OBD30" s="47"/>
      <c r="OBE30" s="47"/>
      <c r="OBF30" s="47"/>
      <c r="OBG30" s="47"/>
      <c r="OBH30" s="47"/>
      <c r="OBI30" s="47"/>
      <c r="OBJ30" s="47"/>
      <c r="OBK30" s="47"/>
      <c r="OBL30" s="47"/>
      <c r="OBM30" s="47"/>
      <c r="OBN30" s="47"/>
      <c r="OBO30" s="47"/>
      <c r="OBP30" s="47"/>
      <c r="OBQ30" s="47"/>
      <c r="OBR30" s="47"/>
      <c r="OBS30" s="47"/>
      <c r="OBT30" s="47"/>
      <c r="OBU30" s="47"/>
      <c r="OBV30" s="47"/>
      <c r="OBW30" s="47"/>
      <c r="OBX30" s="47"/>
      <c r="OBY30" s="47"/>
      <c r="OBZ30" s="47"/>
      <c r="OCA30" s="47"/>
      <c r="OCB30" s="47"/>
      <c r="OCC30" s="47"/>
      <c r="OCD30" s="47"/>
      <c r="OCE30" s="47"/>
      <c r="OCF30" s="47"/>
      <c r="OCG30" s="47"/>
      <c r="OCH30" s="47"/>
      <c r="OCI30" s="47"/>
      <c r="OCJ30" s="47"/>
      <c r="OCK30" s="47"/>
      <c r="OCL30" s="47"/>
      <c r="OCM30" s="47"/>
      <c r="OCN30" s="47"/>
      <c r="OCO30" s="47"/>
      <c r="OCP30" s="47"/>
      <c r="OCQ30" s="47"/>
      <c r="OCR30" s="47"/>
      <c r="OCS30" s="47"/>
      <c r="OCT30" s="47"/>
      <c r="OCU30" s="47"/>
      <c r="OCV30" s="47"/>
      <c r="OCW30" s="47"/>
      <c r="OCX30" s="47"/>
      <c r="OCY30" s="47"/>
      <c r="OCZ30" s="47"/>
      <c r="ODA30" s="47"/>
      <c r="ODB30" s="47"/>
      <c r="ODC30" s="47"/>
      <c r="ODD30" s="47"/>
      <c r="ODE30" s="47"/>
      <c r="ODF30" s="47"/>
      <c r="ODG30" s="47"/>
      <c r="ODH30" s="47"/>
      <c r="ODI30" s="47"/>
      <c r="ODJ30" s="47"/>
      <c r="ODK30" s="47"/>
      <c r="ODL30" s="47"/>
      <c r="ODM30" s="47"/>
      <c r="ODN30" s="47"/>
      <c r="ODO30" s="47"/>
      <c r="ODP30" s="47"/>
      <c r="ODQ30" s="47"/>
      <c r="ODR30" s="47"/>
      <c r="ODS30" s="47"/>
      <c r="ODT30" s="47"/>
      <c r="ODU30" s="47"/>
      <c r="ODV30" s="47"/>
      <c r="ODW30" s="47"/>
      <c r="ODX30" s="47"/>
      <c r="ODY30" s="47"/>
      <c r="ODZ30" s="47"/>
      <c r="OEA30" s="47"/>
      <c r="OEB30" s="47"/>
      <c r="OEC30" s="47"/>
      <c r="OED30" s="47"/>
      <c r="OEE30" s="47"/>
      <c r="OEF30" s="47"/>
      <c r="OEG30" s="47"/>
      <c r="OEH30" s="47"/>
      <c r="OEI30" s="47"/>
      <c r="OEJ30" s="47"/>
      <c r="OEK30" s="47"/>
      <c r="OEL30" s="47"/>
      <c r="OEM30" s="47"/>
      <c r="OEN30" s="47"/>
      <c r="OEO30" s="47"/>
      <c r="OEP30" s="47"/>
      <c r="OEQ30" s="47"/>
      <c r="OER30" s="47"/>
      <c r="OES30" s="47"/>
      <c r="OET30" s="47"/>
      <c r="OEU30" s="47"/>
      <c r="OEV30" s="47"/>
      <c r="OEW30" s="47"/>
      <c r="OEX30" s="47"/>
      <c r="OEY30" s="47"/>
      <c r="OEZ30" s="47"/>
      <c r="OFA30" s="47"/>
      <c r="OFB30" s="47"/>
      <c r="OFC30" s="47"/>
      <c r="OFD30" s="47"/>
      <c r="OFE30" s="47"/>
      <c r="OFF30" s="47"/>
      <c r="OFG30" s="47"/>
      <c r="OFH30" s="47"/>
      <c r="OFI30" s="47"/>
      <c r="OFJ30" s="47"/>
      <c r="OFK30" s="47"/>
      <c r="OFL30" s="47"/>
      <c r="OFM30" s="47"/>
      <c r="OFN30" s="47"/>
      <c r="OFO30" s="47"/>
      <c r="OFP30" s="47"/>
      <c r="OFQ30" s="47"/>
      <c r="OFR30" s="47"/>
      <c r="OFS30" s="47"/>
      <c r="OFT30" s="47"/>
      <c r="OFU30" s="47"/>
      <c r="OFV30" s="47"/>
      <c r="OFW30" s="47"/>
      <c r="OFX30" s="47"/>
      <c r="OFY30" s="47"/>
      <c r="OFZ30" s="47"/>
      <c r="OGA30" s="47"/>
      <c r="OGB30" s="47"/>
      <c r="OGC30" s="47"/>
      <c r="OGD30" s="47"/>
      <c r="OGE30" s="47"/>
      <c r="OGF30" s="47"/>
      <c r="OGG30" s="47"/>
      <c r="OGH30" s="47"/>
      <c r="OGI30" s="47"/>
      <c r="OGJ30" s="47"/>
      <c r="OGK30" s="47"/>
      <c r="OGL30" s="47"/>
      <c r="OGM30" s="47"/>
      <c r="OGN30" s="47"/>
      <c r="OGO30" s="47"/>
      <c r="OGP30" s="47"/>
      <c r="OGQ30" s="47"/>
      <c r="OGR30" s="47"/>
      <c r="OGS30" s="47"/>
      <c r="OGT30" s="47"/>
      <c r="OGU30" s="47"/>
      <c r="OGV30" s="47"/>
      <c r="OGW30" s="47"/>
      <c r="OGX30" s="47"/>
      <c r="OGY30" s="47"/>
      <c r="OGZ30" s="47"/>
      <c r="OHA30" s="47"/>
      <c r="OHB30" s="47"/>
      <c r="OHC30" s="47"/>
      <c r="OHD30" s="47"/>
      <c r="OHE30" s="47"/>
      <c r="OHF30" s="47"/>
      <c r="OHG30" s="47"/>
      <c r="OHH30" s="47"/>
      <c r="OHI30" s="47"/>
      <c r="OHJ30" s="47"/>
      <c r="OHK30" s="47"/>
      <c r="OHL30" s="47"/>
      <c r="OHM30" s="47"/>
      <c r="OHN30" s="47"/>
      <c r="OHO30" s="47"/>
      <c r="OHP30" s="47"/>
      <c r="OHQ30" s="47"/>
      <c r="OHR30" s="47"/>
      <c r="OHS30" s="47"/>
      <c r="OHT30" s="47"/>
      <c r="OHU30" s="47"/>
      <c r="OHV30" s="47"/>
      <c r="OHW30" s="47"/>
      <c r="OHX30" s="47"/>
      <c r="OHY30" s="47"/>
      <c r="OHZ30" s="47"/>
      <c r="OIA30" s="47"/>
      <c r="OIB30" s="47"/>
      <c r="OIC30" s="47"/>
      <c r="OID30" s="47"/>
      <c r="OIE30" s="47"/>
      <c r="OIF30" s="47"/>
      <c r="OIG30" s="47"/>
      <c r="OIH30" s="47"/>
      <c r="OII30" s="47"/>
      <c r="OIJ30" s="47"/>
      <c r="OIK30" s="47"/>
      <c r="OIL30" s="47"/>
      <c r="OIM30" s="47"/>
      <c r="OIN30" s="47"/>
      <c r="OIO30" s="47"/>
      <c r="OIP30" s="47"/>
      <c r="OIQ30" s="47"/>
      <c r="OIR30" s="47"/>
      <c r="OIS30" s="47"/>
      <c r="OIT30" s="47"/>
      <c r="OIU30" s="47"/>
      <c r="OIV30" s="47"/>
      <c r="OIW30" s="47"/>
      <c r="OIX30" s="47"/>
      <c r="OIY30" s="47"/>
      <c r="OIZ30" s="47"/>
      <c r="OJA30" s="47"/>
      <c r="OJB30" s="47"/>
      <c r="OJC30" s="47"/>
      <c r="OJD30" s="47"/>
      <c r="OJE30" s="47"/>
      <c r="OJF30" s="47"/>
      <c r="OJG30" s="47"/>
      <c r="OJH30" s="47"/>
      <c r="OJI30" s="47"/>
      <c r="OJJ30" s="47"/>
      <c r="OJK30" s="47"/>
      <c r="OJL30" s="47"/>
      <c r="OJM30" s="47"/>
      <c r="OJN30" s="47"/>
      <c r="OJO30" s="47"/>
      <c r="OJP30" s="47"/>
      <c r="OJQ30" s="47"/>
      <c r="OJR30" s="47"/>
      <c r="OJS30" s="47"/>
      <c r="OJT30" s="47"/>
      <c r="OJU30" s="47"/>
      <c r="OJV30" s="47"/>
      <c r="OJW30" s="47"/>
      <c r="OJX30" s="47"/>
      <c r="OJY30" s="47"/>
      <c r="OJZ30" s="47"/>
      <c r="OKA30" s="47"/>
      <c r="OKB30" s="47"/>
      <c r="OKC30" s="47"/>
      <c r="OKD30" s="47"/>
      <c r="OKE30" s="47"/>
      <c r="OKF30" s="47"/>
      <c r="OKG30" s="47"/>
      <c r="OKH30" s="47"/>
      <c r="OKI30" s="47"/>
      <c r="OKJ30" s="47"/>
      <c r="OKK30" s="47"/>
      <c r="OKL30" s="47"/>
      <c r="OKM30" s="47"/>
      <c r="OKN30" s="47"/>
      <c r="OKO30" s="47"/>
      <c r="OKP30" s="47"/>
      <c r="OKQ30" s="47"/>
      <c r="OKR30" s="47"/>
      <c r="OKS30" s="47"/>
      <c r="OKT30" s="47"/>
      <c r="OKU30" s="47"/>
      <c r="OKV30" s="47"/>
      <c r="OKW30" s="47"/>
      <c r="OKX30" s="47"/>
      <c r="OKY30" s="47"/>
      <c r="OKZ30" s="47"/>
      <c r="OLA30" s="47"/>
      <c r="OLB30" s="47"/>
      <c r="OLC30" s="47"/>
      <c r="OLD30" s="47"/>
      <c r="OLE30" s="47"/>
      <c r="OLF30" s="47"/>
      <c r="OLG30" s="47"/>
      <c r="OLH30" s="47"/>
      <c r="OLI30" s="47"/>
      <c r="OLJ30" s="47"/>
      <c r="OLK30" s="47"/>
      <c r="OLL30" s="47"/>
      <c r="OLM30" s="47"/>
      <c r="OLN30" s="47"/>
      <c r="OLO30" s="47"/>
      <c r="OLP30" s="47"/>
      <c r="OLQ30" s="47"/>
      <c r="OLR30" s="47"/>
      <c r="OLS30" s="47"/>
      <c r="OLT30" s="47"/>
      <c r="OLU30" s="47"/>
      <c r="OLV30" s="47"/>
      <c r="OLW30" s="47"/>
      <c r="OLX30" s="47"/>
      <c r="OLY30" s="47"/>
      <c r="OLZ30" s="47"/>
      <c r="OMA30" s="47"/>
      <c r="OMB30" s="47"/>
      <c r="OMC30" s="47"/>
      <c r="OMD30" s="47"/>
      <c r="OME30" s="47"/>
      <c r="OMF30" s="47"/>
      <c r="OMG30" s="47"/>
      <c r="OMH30" s="47"/>
      <c r="OMI30" s="47"/>
      <c r="OMJ30" s="47"/>
      <c r="OMK30" s="47"/>
      <c r="OML30" s="47"/>
      <c r="OMM30" s="47"/>
      <c r="OMN30" s="47"/>
      <c r="OMO30" s="47"/>
      <c r="OMP30" s="47"/>
      <c r="OMQ30" s="47"/>
      <c r="OMR30" s="47"/>
      <c r="OMS30" s="47"/>
      <c r="OMT30" s="47"/>
      <c r="OMU30" s="47"/>
      <c r="OMV30" s="47"/>
      <c r="OMW30" s="47"/>
      <c r="OMX30" s="47"/>
      <c r="OMY30" s="47"/>
      <c r="OMZ30" s="47"/>
      <c r="ONA30" s="47"/>
      <c r="ONB30" s="47"/>
      <c r="ONC30" s="47"/>
      <c r="OND30" s="47"/>
      <c r="ONE30" s="47"/>
      <c r="ONF30" s="47"/>
      <c r="ONG30" s="47"/>
      <c r="ONH30" s="47"/>
      <c r="ONI30" s="47"/>
      <c r="ONJ30" s="47"/>
      <c r="ONK30" s="47"/>
      <c r="ONL30" s="47"/>
      <c r="ONM30" s="47"/>
      <c r="ONN30" s="47"/>
      <c r="ONO30" s="47"/>
      <c r="ONP30" s="47"/>
      <c r="ONQ30" s="47"/>
      <c r="ONR30" s="47"/>
      <c r="ONS30" s="47"/>
      <c r="ONT30" s="47"/>
      <c r="ONU30" s="47"/>
      <c r="ONV30" s="47"/>
      <c r="ONW30" s="47"/>
      <c r="ONX30" s="47"/>
      <c r="ONY30" s="47"/>
      <c r="ONZ30" s="47"/>
      <c r="OOA30" s="47"/>
      <c r="OOB30" s="47"/>
      <c r="OOC30" s="47"/>
      <c r="OOD30" s="47"/>
      <c r="OOE30" s="47"/>
      <c r="OOF30" s="47"/>
      <c r="OOG30" s="47"/>
      <c r="OOH30" s="47"/>
      <c r="OOI30" s="47"/>
      <c r="OOJ30" s="47"/>
      <c r="OOK30" s="47"/>
      <c r="OOL30" s="47"/>
      <c r="OOM30" s="47"/>
      <c r="OON30" s="47"/>
      <c r="OOO30" s="47"/>
      <c r="OOP30" s="47"/>
      <c r="OOQ30" s="47"/>
      <c r="OOR30" s="47"/>
      <c r="OOS30" s="47"/>
      <c r="OOT30" s="47"/>
      <c r="OOU30" s="47"/>
      <c r="OOV30" s="47"/>
      <c r="OOW30" s="47"/>
      <c r="OOX30" s="47"/>
      <c r="OOY30" s="47"/>
      <c r="OOZ30" s="47"/>
      <c r="OPA30" s="47"/>
      <c r="OPB30" s="47"/>
      <c r="OPC30" s="47"/>
      <c r="OPD30" s="47"/>
      <c r="OPE30" s="47"/>
      <c r="OPF30" s="47"/>
      <c r="OPG30" s="47"/>
      <c r="OPH30" s="47"/>
      <c r="OPI30" s="47"/>
      <c r="OPJ30" s="47"/>
      <c r="OPK30" s="47"/>
      <c r="OPL30" s="47"/>
      <c r="OPM30" s="47"/>
      <c r="OPN30" s="47"/>
      <c r="OPO30" s="47"/>
      <c r="OPP30" s="47"/>
      <c r="OPQ30" s="47"/>
      <c r="OPR30" s="47"/>
      <c r="OPS30" s="47"/>
      <c r="OPT30" s="47"/>
      <c r="OPU30" s="47"/>
      <c r="OPV30" s="47"/>
      <c r="OPW30" s="47"/>
      <c r="OPX30" s="47"/>
      <c r="OPY30" s="47"/>
      <c r="OPZ30" s="47"/>
      <c r="OQA30" s="47"/>
      <c r="OQB30" s="47"/>
      <c r="OQC30" s="47"/>
      <c r="OQD30" s="47"/>
      <c r="OQE30" s="47"/>
      <c r="OQF30" s="47"/>
      <c r="OQG30" s="47"/>
      <c r="OQH30" s="47"/>
      <c r="OQI30" s="47"/>
      <c r="OQJ30" s="47"/>
      <c r="OQK30" s="47"/>
      <c r="OQL30" s="47"/>
      <c r="OQM30" s="47"/>
      <c r="OQN30" s="47"/>
      <c r="OQO30" s="47"/>
      <c r="OQP30" s="47"/>
      <c r="OQQ30" s="47"/>
      <c r="OQR30" s="47"/>
      <c r="OQS30" s="47"/>
      <c r="OQT30" s="47"/>
      <c r="OQU30" s="47"/>
      <c r="OQV30" s="47"/>
      <c r="OQW30" s="47"/>
      <c r="OQX30" s="47"/>
      <c r="OQY30" s="47"/>
      <c r="OQZ30" s="47"/>
      <c r="ORA30" s="47"/>
      <c r="ORB30" s="47"/>
      <c r="ORC30" s="47"/>
      <c r="ORD30" s="47"/>
      <c r="ORE30" s="47"/>
      <c r="ORF30" s="47"/>
      <c r="ORG30" s="47"/>
      <c r="ORH30" s="47"/>
      <c r="ORI30" s="47"/>
      <c r="ORJ30" s="47"/>
      <c r="ORK30" s="47"/>
      <c r="ORL30" s="47"/>
      <c r="ORM30" s="47"/>
      <c r="ORN30" s="47"/>
      <c r="ORO30" s="47"/>
      <c r="ORP30" s="47"/>
      <c r="ORQ30" s="47"/>
      <c r="ORR30" s="47"/>
      <c r="ORS30" s="47"/>
      <c r="ORT30" s="47"/>
      <c r="ORU30" s="47"/>
      <c r="ORV30" s="47"/>
      <c r="ORW30" s="47"/>
      <c r="ORX30" s="47"/>
      <c r="ORY30" s="47"/>
      <c r="ORZ30" s="47"/>
      <c r="OSA30" s="47"/>
      <c r="OSB30" s="47"/>
      <c r="OSC30" s="47"/>
      <c r="OSD30" s="47"/>
      <c r="OSE30" s="47"/>
      <c r="OSF30" s="47"/>
      <c r="OSG30" s="47"/>
      <c r="OSH30" s="47"/>
      <c r="OSI30" s="47"/>
      <c r="OSJ30" s="47"/>
      <c r="OSK30" s="47"/>
      <c r="OSL30" s="47"/>
      <c r="OSM30" s="47"/>
      <c r="OSN30" s="47"/>
      <c r="OSO30" s="47"/>
      <c r="OSP30" s="47"/>
      <c r="OSQ30" s="47"/>
      <c r="OSR30" s="47"/>
      <c r="OSS30" s="47"/>
      <c r="OST30" s="47"/>
      <c r="OSU30" s="47"/>
      <c r="OSV30" s="47"/>
      <c r="OSW30" s="47"/>
      <c r="OSX30" s="47"/>
      <c r="OSY30" s="47"/>
      <c r="OSZ30" s="47"/>
      <c r="OTA30" s="47"/>
      <c r="OTB30" s="47"/>
      <c r="OTC30" s="47"/>
      <c r="OTD30" s="47"/>
      <c r="OTE30" s="47"/>
      <c r="OTF30" s="47"/>
      <c r="OTG30" s="47"/>
      <c r="OTH30" s="47"/>
      <c r="OTI30" s="47"/>
      <c r="OTJ30" s="47"/>
      <c r="OTK30" s="47"/>
      <c r="OTL30" s="47"/>
      <c r="OTM30" s="47"/>
      <c r="OTN30" s="47"/>
      <c r="OTO30" s="47"/>
      <c r="OTP30" s="47"/>
      <c r="OTQ30" s="47"/>
      <c r="OTR30" s="47"/>
      <c r="OTS30" s="47"/>
      <c r="OTT30" s="47"/>
      <c r="OTU30" s="47"/>
      <c r="OTV30" s="47"/>
      <c r="OTW30" s="47"/>
      <c r="OTX30" s="47"/>
      <c r="OTY30" s="47"/>
      <c r="OTZ30" s="47"/>
      <c r="OUA30" s="47"/>
      <c r="OUB30" s="47"/>
      <c r="OUC30" s="47"/>
      <c r="OUD30" s="47"/>
      <c r="OUE30" s="47"/>
      <c r="OUF30" s="47"/>
      <c r="OUG30" s="47"/>
      <c r="OUH30" s="47"/>
      <c r="OUI30" s="47"/>
      <c r="OUJ30" s="47"/>
      <c r="OUK30" s="47"/>
      <c r="OUL30" s="47"/>
      <c r="OUM30" s="47"/>
      <c r="OUN30" s="47"/>
      <c r="OUO30" s="47"/>
      <c r="OUP30" s="47"/>
      <c r="OUQ30" s="47"/>
      <c r="OUR30" s="47"/>
      <c r="OUS30" s="47"/>
      <c r="OUT30" s="47"/>
      <c r="OUU30" s="47"/>
      <c r="OUV30" s="47"/>
      <c r="OUW30" s="47"/>
      <c r="OUX30" s="47"/>
      <c r="OUY30" s="47"/>
      <c r="OUZ30" s="47"/>
      <c r="OVA30" s="47"/>
      <c r="OVB30" s="47"/>
      <c r="OVC30" s="47"/>
      <c r="OVD30" s="47"/>
      <c r="OVE30" s="47"/>
      <c r="OVF30" s="47"/>
      <c r="OVG30" s="47"/>
      <c r="OVH30" s="47"/>
      <c r="OVI30" s="47"/>
      <c r="OVJ30" s="47"/>
      <c r="OVK30" s="47"/>
      <c r="OVL30" s="47"/>
      <c r="OVM30" s="47"/>
      <c r="OVN30" s="47"/>
      <c r="OVO30" s="47"/>
      <c r="OVP30" s="47"/>
      <c r="OVQ30" s="47"/>
      <c r="OVR30" s="47"/>
      <c r="OVS30" s="47"/>
      <c r="OVT30" s="47"/>
      <c r="OVU30" s="47"/>
      <c r="OVV30" s="47"/>
      <c r="OVW30" s="47"/>
      <c r="OVX30" s="47"/>
      <c r="OVY30" s="47"/>
      <c r="OVZ30" s="47"/>
      <c r="OWA30" s="47"/>
      <c r="OWB30" s="47"/>
      <c r="OWC30" s="47"/>
      <c r="OWD30" s="47"/>
      <c r="OWE30" s="47"/>
      <c r="OWF30" s="47"/>
      <c r="OWG30" s="47"/>
      <c r="OWH30" s="47"/>
      <c r="OWI30" s="47"/>
      <c r="OWJ30" s="47"/>
      <c r="OWK30" s="47"/>
      <c r="OWL30" s="47"/>
      <c r="OWM30" s="47"/>
      <c r="OWN30" s="47"/>
      <c r="OWO30" s="47"/>
      <c r="OWP30" s="47"/>
      <c r="OWQ30" s="47"/>
      <c r="OWR30" s="47"/>
      <c r="OWS30" s="47"/>
      <c r="OWT30" s="47"/>
      <c r="OWU30" s="47"/>
      <c r="OWV30" s="47"/>
      <c r="OWW30" s="47"/>
      <c r="OWX30" s="47"/>
      <c r="OWY30" s="47"/>
      <c r="OWZ30" s="47"/>
      <c r="OXA30" s="47"/>
      <c r="OXB30" s="47"/>
      <c r="OXC30" s="47"/>
      <c r="OXD30" s="47"/>
      <c r="OXE30" s="47"/>
      <c r="OXF30" s="47"/>
      <c r="OXG30" s="47"/>
      <c r="OXH30" s="47"/>
      <c r="OXI30" s="47"/>
      <c r="OXJ30" s="47"/>
      <c r="OXK30" s="47"/>
      <c r="OXL30" s="47"/>
      <c r="OXM30" s="47"/>
      <c r="OXN30" s="47"/>
      <c r="OXO30" s="47"/>
      <c r="OXP30" s="47"/>
      <c r="OXQ30" s="47"/>
      <c r="OXR30" s="47"/>
      <c r="OXS30" s="47"/>
      <c r="OXT30" s="47"/>
      <c r="OXU30" s="47"/>
      <c r="OXV30" s="47"/>
      <c r="OXW30" s="47"/>
      <c r="OXX30" s="47"/>
      <c r="OXY30" s="47"/>
      <c r="OXZ30" s="47"/>
      <c r="OYA30" s="47"/>
      <c r="OYB30" s="47"/>
      <c r="OYC30" s="47"/>
      <c r="OYD30" s="47"/>
      <c r="OYE30" s="47"/>
      <c r="OYF30" s="47"/>
      <c r="OYG30" s="47"/>
      <c r="OYH30" s="47"/>
      <c r="OYI30" s="47"/>
      <c r="OYJ30" s="47"/>
      <c r="OYK30" s="47"/>
      <c r="OYL30" s="47"/>
      <c r="OYM30" s="47"/>
      <c r="OYN30" s="47"/>
      <c r="OYO30" s="47"/>
      <c r="OYP30" s="47"/>
      <c r="OYQ30" s="47"/>
      <c r="OYR30" s="47"/>
      <c r="OYS30" s="47"/>
      <c r="OYT30" s="47"/>
      <c r="OYU30" s="47"/>
      <c r="OYV30" s="47"/>
      <c r="OYW30" s="47"/>
      <c r="OYX30" s="47"/>
      <c r="OYY30" s="47"/>
      <c r="OYZ30" s="47"/>
      <c r="OZA30" s="47"/>
      <c r="OZB30" s="47"/>
      <c r="OZC30" s="47"/>
      <c r="OZD30" s="47"/>
      <c r="OZE30" s="47"/>
      <c r="OZF30" s="47"/>
      <c r="OZG30" s="47"/>
      <c r="OZH30" s="47"/>
      <c r="OZI30" s="47"/>
      <c r="OZJ30" s="47"/>
      <c r="OZK30" s="47"/>
      <c r="OZL30" s="47"/>
      <c r="OZM30" s="47"/>
      <c r="OZN30" s="47"/>
      <c r="OZO30" s="47"/>
      <c r="OZP30" s="47"/>
      <c r="OZQ30" s="47"/>
      <c r="OZR30" s="47"/>
      <c r="OZS30" s="47"/>
      <c r="OZT30" s="47"/>
      <c r="OZU30" s="47"/>
      <c r="OZV30" s="47"/>
      <c r="OZW30" s="47"/>
      <c r="OZX30" s="47"/>
      <c r="OZY30" s="47"/>
      <c r="OZZ30" s="47"/>
      <c r="PAA30" s="47"/>
      <c r="PAB30" s="47"/>
      <c r="PAC30" s="47"/>
      <c r="PAD30" s="47"/>
      <c r="PAE30" s="47"/>
      <c r="PAF30" s="47"/>
      <c r="PAG30" s="47"/>
      <c r="PAH30" s="47"/>
      <c r="PAI30" s="47"/>
      <c r="PAJ30" s="47"/>
      <c r="PAK30" s="47"/>
      <c r="PAL30" s="47"/>
      <c r="PAM30" s="47"/>
      <c r="PAN30" s="47"/>
      <c r="PAO30" s="47"/>
      <c r="PAP30" s="47"/>
      <c r="PAQ30" s="47"/>
      <c r="PAR30" s="47"/>
      <c r="PAS30" s="47"/>
      <c r="PAT30" s="47"/>
      <c r="PAU30" s="47"/>
      <c r="PAV30" s="47"/>
      <c r="PAW30" s="47"/>
      <c r="PAX30" s="47"/>
      <c r="PAY30" s="47"/>
      <c r="PAZ30" s="47"/>
      <c r="PBA30" s="47"/>
      <c r="PBB30" s="47"/>
      <c r="PBC30" s="47"/>
      <c r="PBD30" s="47"/>
      <c r="PBE30" s="47"/>
      <c r="PBF30" s="47"/>
      <c r="PBG30" s="47"/>
      <c r="PBH30" s="47"/>
      <c r="PBI30" s="47"/>
      <c r="PBJ30" s="47"/>
      <c r="PBK30" s="47"/>
      <c r="PBL30" s="47"/>
      <c r="PBM30" s="47"/>
      <c r="PBN30" s="47"/>
      <c r="PBO30" s="47"/>
      <c r="PBP30" s="47"/>
      <c r="PBQ30" s="47"/>
      <c r="PBR30" s="47"/>
      <c r="PBS30" s="47"/>
      <c r="PBT30" s="47"/>
      <c r="PBU30" s="47"/>
      <c r="PBV30" s="47"/>
      <c r="PBW30" s="47"/>
      <c r="PBX30" s="47"/>
      <c r="PBY30" s="47"/>
      <c r="PBZ30" s="47"/>
      <c r="PCA30" s="47"/>
      <c r="PCB30" s="47"/>
      <c r="PCC30" s="47"/>
      <c r="PCD30" s="47"/>
      <c r="PCE30" s="47"/>
      <c r="PCF30" s="47"/>
      <c r="PCG30" s="47"/>
      <c r="PCH30" s="47"/>
      <c r="PCI30" s="47"/>
      <c r="PCJ30" s="47"/>
      <c r="PCK30" s="47"/>
      <c r="PCL30" s="47"/>
      <c r="PCM30" s="47"/>
      <c r="PCN30" s="47"/>
      <c r="PCO30" s="47"/>
      <c r="PCP30" s="47"/>
      <c r="PCQ30" s="47"/>
      <c r="PCR30" s="47"/>
      <c r="PCS30" s="47"/>
      <c r="PCT30" s="47"/>
      <c r="PCU30" s="47"/>
      <c r="PCV30" s="47"/>
      <c r="PCW30" s="47"/>
      <c r="PCX30" s="47"/>
      <c r="PCY30" s="47"/>
      <c r="PCZ30" s="47"/>
      <c r="PDA30" s="47"/>
      <c r="PDB30" s="47"/>
      <c r="PDC30" s="47"/>
      <c r="PDD30" s="47"/>
      <c r="PDE30" s="47"/>
      <c r="PDF30" s="47"/>
      <c r="PDG30" s="47"/>
      <c r="PDH30" s="47"/>
      <c r="PDI30" s="47"/>
      <c r="PDJ30" s="47"/>
      <c r="PDK30" s="47"/>
      <c r="PDL30" s="47"/>
      <c r="PDM30" s="47"/>
      <c r="PDN30" s="47"/>
      <c r="PDO30" s="47"/>
      <c r="PDP30" s="47"/>
      <c r="PDQ30" s="47"/>
      <c r="PDR30" s="47"/>
      <c r="PDS30" s="47"/>
      <c r="PDT30" s="47"/>
      <c r="PDU30" s="47"/>
      <c r="PDV30" s="47"/>
      <c r="PDW30" s="47"/>
      <c r="PDX30" s="47"/>
      <c r="PDY30" s="47"/>
      <c r="PDZ30" s="47"/>
      <c r="PEA30" s="47"/>
      <c r="PEB30" s="47"/>
      <c r="PEC30" s="47"/>
      <c r="PED30" s="47"/>
      <c r="PEE30" s="47"/>
      <c r="PEF30" s="47"/>
      <c r="PEG30" s="47"/>
      <c r="PEH30" s="47"/>
      <c r="PEI30" s="47"/>
      <c r="PEJ30" s="47"/>
      <c r="PEK30" s="47"/>
      <c r="PEL30" s="47"/>
      <c r="PEM30" s="47"/>
      <c r="PEN30" s="47"/>
      <c r="PEO30" s="47"/>
      <c r="PEP30" s="47"/>
      <c r="PEQ30" s="47"/>
      <c r="PER30" s="47"/>
      <c r="PES30" s="47"/>
      <c r="PET30" s="47"/>
      <c r="PEU30" s="47"/>
      <c r="PEV30" s="47"/>
      <c r="PEW30" s="47"/>
      <c r="PEX30" s="47"/>
      <c r="PEY30" s="47"/>
      <c r="PEZ30" s="47"/>
      <c r="PFA30" s="47"/>
      <c r="PFB30" s="47"/>
      <c r="PFC30" s="47"/>
      <c r="PFD30" s="47"/>
      <c r="PFE30" s="47"/>
      <c r="PFF30" s="47"/>
      <c r="PFG30" s="47"/>
      <c r="PFH30" s="47"/>
      <c r="PFI30" s="47"/>
      <c r="PFJ30" s="47"/>
      <c r="PFK30" s="47"/>
      <c r="PFL30" s="47"/>
      <c r="PFM30" s="47"/>
      <c r="PFN30" s="47"/>
      <c r="PFO30" s="47"/>
      <c r="PFP30" s="47"/>
      <c r="PFQ30" s="47"/>
      <c r="PFR30" s="47"/>
      <c r="PFS30" s="47"/>
      <c r="PFT30" s="47"/>
      <c r="PFU30" s="47"/>
      <c r="PFV30" s="47"/>
      <c r="PFW30" s="47"/>
      <c r="PFX30" s="47"/>
      <c r="PFY30" s="47"/>
      <c r="PFZ30" s="47"/>
      <c r="PGA30" s="47"/>
      <c r="PGB30" s="47"/>
      <c r="PGC30" s="47"/>
      <c r="PGD30" s="47"/>
      <c r="PGE30" s="47"/>
      <c r="PGF30" s="47"/>
      <c r="PGG30" s="47"/>
      <c r="PGH30" s="47"/>
      <c r="PGI30" s="47"/>
      <c r="PGJ30" s="47"/>
      <c r="PGK30" s="47"/>
      <c r="PGL30" s="47"/>
      <c r="PGM30" s="47"/>
      <c r="PGN30" s="47"/>
      <c r="PGO30" s="47"/>
      <c r="PGP30" s="47"/>
      <c r="PGQ30" s="47"/>
      <c r="PGR30" s="47"/>
      <c r="PGS30" s="47"/>
      <c r="PGT30" s="47"/>
      <c r="PGU30" s="47"/>
      <c r="PGV30" s="47"/>
      <c r="PGW30" s="47"/>
      <c r="PGX30" s="47"/>
      <c r="PGY30" s="47"/>
      <c r="PGZ30" s="47"/>
      <c r="PHA30" s="47"/>
      <c r="PHB30" s="47"/>
      <c r="PHC30" s="47"/>
      <c r="PHD30" s="47"/>
      <c r="PHE30" s="47"/>
      <c r="PHF30" s="47"/>
      <c r="PHG30" s="47"/>
      <c r="PHH30" s="47"/>
      <c r="PHI30" s="47"/>
      <c r="PHJ30" s="47"/>
      <c r="PHK30" s="47"/>
      <c r="PHL30" s="47"/>
      <c r="PHM30" s="47"/>
      <c r="PHN30" s="47"/>
      <c r="PHO30" s="47"/>
      <c r="PHP30" s="47"/>
      <c r="PHQ30" s="47"/>
      <c r="PHR30" s="47"/>
      <c r="PHS30" s="47"/>
      <c r="PHT30" s="47"/>
      <c r="PHU30" s="47"/>
      <c r="PHV30" s="47"/>
      <c r="PHW30" s="47"/>
      <c r="PHX30" s="47"/>
      <c r="PHY30" s="47"/>
      <c r="PHZ30" s="47"/>
      <c r="PIA30" s="47"/>
      <c r="PIB30" s="47"/>
      <c r="PIC30" s="47"/>
      <c r="PID30" s="47"/>
      <c r="PIE30" s="47"/>
      <c r="PIF30" s="47"/>
      <c r="PIG30" s="47"/>
      <c r="PIH30" s="47"/>
      <c r="PII30" s="47"/>
      <c r="PIJ30" s="47"/>
      <c r="PIK30" s="47"/>
      <c r="PIL30" s="47"/>
      <c r="PIM30" s="47"/>
      <c r="PIN30" s="47"/>
      <c r="PIO30" s="47"/>
      <c r="PIP30" s="47"/>
      <c r="PIQ30" s="47"/>
      <c r="PIR30" s="47"/>
      <c r="PIS30" s="47"/>
      <c r="PIT30" s="47"/>
      <c r="PIU30" s="47"/>
      <c r="PIV30" s="47"/>
      <c r="PIW30" s="47"/>
      <c r="PIX30" s="47"/>
      <c r="PIY30" s="47"/>
      <c r="PIZ30" s="47"/>
      <c r="PJA30" s="47"/>
      <c r="PJB30" s="47"/>
      <c r="PJC30" s="47"/>
      <c r="PJD30" s="47"/>
      <c r="PJE30" s="47"/>
      <c r="PJF30" s="47"/>
      <c r="PJG30" s="47"/>
      <c r="PJH30" s="47"/>
      <c r="PJI30" s="47"/>
      <c r="PJJ30" s="47"/>
      <c r="PJK30" s="47"/>
      <c r="PJL30" s="47"/>
      <c r="PJM30" s="47"/>
      <c r="PJN30" s="47"/>
      <c r="PJO30" s="47"/>
      <c r="PJP30" s="47"/>
      <c r="PJQ30" s="47"/>
      <c r="PJR30" s="47"/>
      <c r="PJS30" s="47"/>
      <c r="PJT30" s="47"/>
      <c r="PJU30" s="47"/>
      <c r="PJV30" s="47"/>
      <c r="PJW30" s="47"/>
      <c r="PJX30" s="47"/>
      <c r="PJY30" s="47"/>
      <c r="PJZ30" s="47"/>
      <c r="PKA30" s="47"/>
      <c r="PKB30" s="47"/>
      <c r="PKC30" s="47"/>
      <c r="PKD30" s="47"/>
      <c r="PKE30" s="47"/>
      <c r="PKF30" s="47"/>
      <c r="PKG30" s="47"/>
      <c r="PKH30" s="47"/>
      <c r="PKI30" s="47"/>
      <c r="PKJ30" s="47"/>
      <c r="PKK30" s="47"/>
      <c r="PKL30" s="47"/>
      <c r="PKM30" s="47"/>
      <c r="PKN30" s="47"/>
      <c r="PKO30" s="47"/>
      <c r="PKP30" s="47"/>
      <c r="PKQ30" s="47"/>
      <c r="PKR30" s="47"/>
      <c r="PKS30" s="47"/>
      <c r="PKT30" s="47"/>
      <c r="PKU30" s="47"/>
      <c r="PKV30" s="47"/>
      <c r="PKW30" s="47"/>
      <c r="PKX30" s="47"/>
      <c r="PKY30" s="47"/>
      <c r="PKZ30" s="47"/>
      <c r="PLA30" s="47"/>
      <c r="PLB30" s="47"/>
      <c r="PLC30" s="47"/>
      <c r="PLD30" s="47"/>
      <c r="PLE30" s="47"/>
      <c r="PLF30" s="47"/>
      <c r="PLG30" s="47"/>
      <c r="PLH30" s="47"/>
      <c r="PLI30" s="47"/>
      <c r="PLJ30" s="47"/>
      <c r="PLK30" s="47"/>
      <c r="PLL30" s="47"/>
      <c r="PLM30" s="47"/>
      <c r="PLN30" s="47"/>
      <c r="PLO30" s="47"/>
      <c r="PLP30" s="47"/>
      <c r="PLQ30" s="47"/>
      <c r="PLR30" s="47"/>
      <c r="PLS30" s="47"/>
      <c r="PLT30" s="47"/>
      <c r="PLU30" s="47"/>
      <c r="PLV30" s="47"/>
      <c r="PLW30" s="47"/>
      <c r="PLX30" s="47"/>
      <c r="PLY30" s="47"/>
      <c r="PLZ30" s="47"/>
      <c r="PMA30" s="47"/>
      <c r="PMB30" s="47"/>
      <c r="PMC30" s="47"/>
      <c r="PMD30" s="47"/>
      <c r="PME30" s="47"/>
      <c r="PMF30" s="47"/>
      <c r="PMG30" s="47"/>
      <c r="PMH30" s="47"/>
      <c r="PMI30" s="47"/>
      <c r="PMJ30" s="47"/>
      <c r="PMK30" s="47"/>
      <c r="PML30" s="47"/>
      <c r="PMM30" s="47"/>
      <c r="PMN30" s="47"/>
      <c r="PMO30" s="47"/>
      <c r="PMP30" s="47"/>
      <c r="PMQ30" s="47"/>
      <c r="PMR30" s="47"/>
      <c r="PMS30" s="47"/>
      <c r="PMT30" s="47"/>
      <c r="PMU30" s="47"/>
      <c r="PMV30" s="47"/>
      <c r="PMW30" s="47"/>
      <c r="PMX30" s="47"/>
      <c r="PMY30" s="47"/>
      <c r="PMZ30" s="47"/>
      <c r="PNA30" s="47"/>
      <c r="PNB30" s="47"/>
      <c r="PNC30" s="47"/>
      <c r="PND30" s="47"/>
      <c r="PNE30" s="47"/>
      <c r="PNF30" s="47"/>
      <c r="PNG30" s="47"/>
      <c r="PNH30" s="47"/>
      <c r="PNI30" s="47"/>
      <c r="PNJ30" s="47"/>
      <c r="PNK30" s="47"/>
      <c r="PNL30" s="47"/>
      <c r="PNM30" s="47"/>
      <c r="PNN30" s="47"/>
      <c r="PNO30" s="47"/>
      <c r="PNP30" s="47"/>
      <c r="PNQ30" s="47"/>
      <c r="PNR30" s="47"/>
      <c r="PNS30" s="47"/>
      <c r="PNT30" s="47"/>
      <c r="PNU30" s="47"/>
      <c r="PNV30" s="47"/>
      <c r="PNW30" s="47"/>
      <c r="PNX30" s="47"/>
      <c r="PNY30" s="47"/>
      <c r="PNZ30" s="47"/>
      <c r="POA30" s="47"/>
      <c r="POB30" s="47"/>
      <c r="POC30" s="47"/>
      <c r="POD30" s="47"/>
      <c r="POE30" s="47"/>
      <c r="POF30" s="47"/>
      <c r="POG30" s="47"/>
      <c r="POH30" s="47"/>
      <c r="POI30" s="47"/>
      <c r="POJ30" s="47"/>
      <c r="POK30" s="47"/>
      <c r="POL30" s="47"/>
      <c r="POM30" s="47"/>
      <c r="PON30" s="47"/>
      <c r="POO30" s="47"/>
      <c r="POP30" s="47"/>
      <c r="POQ30" s="47"/>
      <c r="POR30" s="47"/>
      <c r="POS30" s="47"/>
      <c r="POT30" s="47"/>
      <c r="POU30" s="47"/>
      <c r="POV30" s="47"/>
      <c r="POW30" s="47"/>
      <c r="POX30" s="47"/>
      <c r="POY30" s="47"/>
      <c r="POZ30" s="47"/>
      <c r="PPA30" s="47"/>
      <c r="PPB30" s="47"/>
      <c r="PPC30" s="47"/>
      <c r="PPD30" s="47"/>
      <c r="PPE30" s="47"/>
      <c r="PPF30" s="47"/>
      <c r="PPG30" s="47"/>
      <c r="PPH30" s="47"/>
      <c r="PPI30" s="47"/>
      <c r="PPJ30" s="47"/>
      <c r="PPK30" s="47"/>
      <c r="PPL30" s="47"/>
      <c r="PPM30" s="47"/>
      <c r="PPN30" s="47"/>
      <c r="PPO30" s="47"/>
      <c r="PPP30" s="47"/>
      <c r="PPQ30" s="47"/>
      <c r="PPR30" s="47"/>
      <c r="PPS30" s="47"/>
      <c r="PPT30" s="47"/>
      <c r="PPU30" s="47"/>
      <c r="PPV30" s="47"/>
      <c r="PPW30" s="47"/>
      <c r="PPX30" s="47"/>
      <c r="PPY30" s="47"/>
      <c r="PPZ30" s="47"/>
      <c r="PQA30" s="47"/>
      <c r="PQB30" s="47"/>
      <c r="PQC30" s="47"/>
      <c r="PQD30" s="47"/>
      <c r="PQE30" s="47"/>
      <c r="PQF30" s="47"/>
      <c r="PQG30" s="47"/>
      <c r="PQH30" s="47"/>
      <c r="PQI30" s="47"/>
      <c r="PQJ30" s="47"/>
      <c r="PQK30" s="47"/>
      <c r="PQL30" s="47"/>
      <c r="PQM30" s="47"/>
      <c r="PQN30" s="47"/>
      <c r="PQO30" s="47"/>
      <c r="PQP30" s="47"/>
      <c r="PQQ30" s="47"/>
      <c r="PQR30" s="47"/>
      <c r="PQS30" s="47"/>
      <c r="PQT30" s="47"/>
      <c r="PQU30" s="47"/>
      <c r="PQV30" s="47"/>
      <c r="PQW30" s="47"/>
      <c r="PQX30" s="47"/>
      <c r="PQY30" s="47"/>
      <c r="PQZ30" s="47"/>
      <c r="PRA30" s="47"/>
      <c r="PRB30" s="47"/>
      <c r="PRC30" s="47"/>
      <c r="PRD30" s="47"/>
      <c r="PRE30" s="47"/>
      <c r="PRF30" s="47"/>
      <c r="PRG30" s="47"/>
      <c r="PRH30" s="47"/>
      <c r="PRI30" s="47"/>
      <c r="PRJ30" s="47"/>
      <c r="PRK30" s="47"/>
      <c r="PRL30" s="47"/>
      <c r="PRM30" s="47"/>
      <c r="PRN30" s="47"/>
      <c r="PRO30" s="47"/>
      <c r="PRP30" s="47"/>
      <c r="PRQ30" s="47"/>
      <c r="PRR30" s="47"/>
      <c r="PRS30" s="47"/>
      <c r="PRT30" s="47"/>
      <c r="PRU30" s="47"/>
      <c r="PRV30" s="47"/>
      <c r="PRW30" s="47"/>
      <c r="PRX30" s="47"/>
      <c r="PRY30" s="47"/>
      <c r="PRZ30" s="47"/>
      <c r="PSA30" s="47"/>
      <c r="PSB30" s="47"/>
      <c r="PSC30" s="47"/>
      <c r="PSD30" s="47"/>
      <c r="PSE30" s="47"/>
      <c r="PSF30" s="47"/>
      <c r="PSG30" s="47"/>
      <c r="PSH30" s="47"/>
      <c r="PSI30" s="47"/>
      <c r="PSJ30" s="47"/>
      <c r="PSK30" s="47"/>
      <c r="PSL30" s="47"/>
      <c r="PSM30" s="47"/>
      <c r="PSN30" s="47"/>
      <c r="PSO30" s="47"/>
      <c r="PSP30" s="47"/>
      <c r="PSQ30" s="47"/>
      <c r="PSR30" s="47"/>
      <c r="PSS30" s="47"/>
      <c r="PST30" s="47"/>
      <c r="PSU30" s="47"/>
      <c r="PSV30" s="47"/>
      <c r="PSW30" s="47"/>
      <c r="PSX30" s="47"/>
      <c r="PSY30" s="47"/>
      <c r="PSZ30" s="47"/>
      <c r="PTA30" s="47"/>
      <c r="PTB30" s="47"/>
      <c r="PTC30" s="47"/>
      <c r="PTD30" s="47"/>
      <c r="PTE30" s="47"/>
      <c r="PTF30" s="47"/>
      <c r="PTG30" s="47"/>
      <c r="PTH30" s="47"/>
      <c r="PTI30" s="47"/>
      <c r="PTJ30" s="47"/>
      <c r="PTK30" s="47"/>
      <c r="PTL30" s="47"/>
      <c r="PTM30" s="47"/>
      <c r="PTN30" s="47"/>
      <c r="PTO30" s="47"/>
      <c r="PTP30" s="47"/>
      <c r="PTQ30" s="47"/>
      <c r="PTR30" s="47"/>
      <c r="PTS30" s="47"/>
      <c r="PTT30" s="47"/>
      <c r="PTU30" s="47"/>
      <c r="PTV30" s="47"/>
      <c r="PTW30" s="47"/>
      <c r="PTX30" s="47"/>
      <c r="PTY30" s="47"/>
      <c r="PTZ30" s="47"/>
      <c r="PUA30" s="47"/>
      <c r="PUB30" s="47"/>
      <c r="PUC30" s="47"/>
      <c r="PUD30" s="47"/>
      <c r="PUE30" s="47"/>
      <c r="PUF30" s="47"/>
      <c r="PUG30" s="47"/>
      <c r="PUH30" s="47"/>
      <c r="PUI30" s="47"/>
      <c r="PUJ30" s="47"/>
      <c r="PUK30" s="47"/>
      <c r="PUL30" s="47"/>
      <c r="PUM30" s="47"/>
      <c r="PUN30" s="47"/>
      <c r="PUO30" s="47"/>
      <c r="PUP30" s="47"/>
      <c r="PUQ30" s="47"/>
      <c r="PUR30" s="47"/>
      <c r="PUS30" s="47"/>
      <c r="PUT30" s="47"/>
      <c r="PUU30" s="47"/>
      <c r="PUV30" s="47"/>
      <c r="PUW30" s="47"/>
      <c r="PUX30" s="47"/>
      <c r="PUY30" s="47"/>
      <c r="PUZ30" s="47"/>
      <c r="PVA30" s="47"/>
      <c r="PVB30" s="47"/>
      <c r="PVC30" s="47"/>
      <c r="PVD30" s="47"/>
      <c r="PVE30" s="47"/>
      <c r="PVF30" s="47"/>
      <c r="PVG30" s="47"/>
      <c r="PVH30" s="47"/>
      <c r="PVI30" s="47"/>
      <c r="PVJ30" s="47"/>
      <c r="PVK30" s="47"/>
      <c r="PVL30" s="47"/>
      <c r="PVM30" s="47"/>
      <c r="PVN30" s="47"/>
      <c r="PVO30" s="47"/>
      <c r="PVP30" s="47"/>
      <c r="PVQ30" s="47"/>
      <c r="PVR30" s="47"/>
      <c r="PVS30" s="47"/>
      <c r="PVT30" s="47"/>
      <c r="PVU30" s="47"/>
      <c r="PVV30" s="47"/>
      <c r="PVW30" s="47"/>
      <c r="PVX30" s="47"/>
      <c r="PVY30" s="47"/>
      <c r="PVZ30" s="47"/>
      <c r="PWA30" s="47"/>
      <c r="PWB30" s="47"/>
      <c r="PWC30" s="47"/>
      <c r="PWD30" s="47"/>
      <c r="PWE30" s="47"/>
      <c r="PWF30" s="47"/>
      <c r="PWG30" s="47"/>
      <c r="PWH30" s="47"/>
      <c r="PWI30" s="47"/>
      <c r="PWJ30" s="47"/>
      <c r="PWK30" s="47"/>
      <c r="PWL30" s="47"/>
      <c r="PWM30" s="47"/>
      <c r="PWN30" s="47"/>
      <c r="PWO30" s="47"/>
      <c r="PWP30" s="47"/>
      <c r="PWQ30" s="47"/>
      <c r="PWR30" s="47"/>
      <c r="PWS30" s="47"/>
      <c r="PWT30" s="47"/>
      <c r="PWU30" s="47"/>
      <c r="PWV30" s="47"/>
      <c r="PWW30" s="47"/>
      <c r="PWX30" s="47"/>
      <c r="PWY30" s="47"/>
      <c r="PWZ30" s="47"/>
      <c r="PXA30" s="47"/>
      <c r="PXB30" s="47"/>
      <c r="PXC30" s="47"/>
      <c r="PXD30" s="47"/>
      <c r="PXE30" s="47"/>
      <c r="PXF30" s="47"/>
      <c r="PXG30" s="47"/>
      <c r="PXH30" s="47"/>
      <c r="PXI30" s="47"/>
      <c r="PXJ30" s="47"/>
      <c r="PXK30" s="47"/>
      <c r="PXL30" s="47"/>
      <c r="PXM30" s="47"/>
      <c r="PXN30" s="47"/>
      <c r="PXO30" s="47"/>
      <c r="PXP30" s="47"/>
      <c r="PXQ30" s="47"/>
      <c r="PXR30" s="47"/>
      <c r="PXS30" s="47"/>
      <c r="PXT30" s="47"/>
      <c r="PXU30" s="47"/>
      <c r="PXV30" s="47"/>
      <c r="PXW30" s="47"/>
      <c r="PXX30" s="47"/>
      <c r="PXY30" s="47"/>
      <c r="PXZ30" s="47"/>
      <c r="PYA30" s="47"/>
      <c r="PYB30" s="47"/>
      <c r="PYC30" s="47"/>
      <c r="PYD30" s="47"/>
      <c r="PYE30" s="47"/>
      <c r="PYF30" s="47"/>
      <c r="PYG30" s="47"/>
      <c r="PYH30" s="47"/>
      <c r="PYI30" s="47"/>
      <c r="PYJ30" s="47"/>
      <c r="PYK30" s="47"/>
      <c r="PYL30" s="47"/>
      <c r="PYM30" s="47"/>
      <c r="PYN30" s="47"/>
      <c r="PYO30" s="47"/>
      <c r="PYP30" s="47"/>
      <c r="PYQ30" s="47"/>
      <c r="PYR30" s="47"/>
      <c r="PYS30" s="47"/>
      <c r="PYT30" s="47"/>
      <c r="PYU30" s="47"/>
      <c r="PYV30" s="47"/>
      <c r="PYW30" s="47"/>
      <c r="PYX30" s="47"/>
      <c r="PYY30" s="47"/>
      <c r="PYZ30" s="47"/>
      <c r="PZA30" s="47"/>
      <c r="PZB30" s="47"/>
      <c r="PZC30" s="47"/>
      <c r="PZD30" s="47"/>
      <c r="PZE30" s="47"/>
      <c r="PZF30" s="47"/>
      <c r="PZG30" s="47"/>
      <c r="PZH30" s="47"/>
      <c r="PZI30" s="47"/>
      <c r="PZJ30" s="47"/>
      <c r="PZK30" s="47"/>
      <c r="PZL30" s="47"/>
      <c r="PZM30" s="47"/>
      <c r="PZN30" s="47"/>
      <c r="PZO30" s="47"/>
      <c r="PZP30" s="47"/>
      <c r="PZQ30" s="47"/>
      <c r="PZR30" s="47"/>
      <c r="PZS30" s="47"/>
      <c r="PZT30" s="47"/>
      <c r="PZU30" s="47"/>
      <c r="PZV30" s="47"/>
      <c r="PZW30" s="47"/>
      <c r="PZX30" s="47"/>
      <c r="PZY30" s="47"/>
      <c r="PZZ30" s="47"/>
      <c r="QAA30" s="47"/>
      <c r="QAB30" s="47"/>
      <c r="QAC30" s="47"/>
      <c r="QAD30" s="47"/>
      <c r="QAE30" s="47"/>
      <c r="QAF30" s="47"/>
      <c r="QAG30" s="47"/>
      <c r="QAH30" s="47"/>
      <c r="QAI30" s="47"/>
      <c r="QAJ30" s="47"/>
      <c r="QAK30" s="47"/>
      <c r="QAL30" s="47"/>
      <c r="QAM30" s="47"/>
      <c r="QAN30" s="47"/>
      <c r="QAO30" s="47"/>
      <c r="QAP30" s="47"/>
      <c r="QAQ30" s="47"/>
      <c r="QAR30" s="47"/>
      <c r="QAS30" s="47"/>
      <c r="QAT30" s="47"/>
      <c r="QAU30" s="47"/>
      <c r="QAV30" s="47"/>
      <c r="QAW30" s="47"/>
      <c r="QAX30" s="47"/>
      <c r="QAY30" s="47"/>
      <c r="QAZ30" s="47"/>
      <c r="QBA30" s="47"/>
      <c r="QBB30" s="47"/>
      <c r="QBC30" s="47"/>
      <c r="QBD30" s="47"/>
      <c r="QBE30" s="47"/>
      <c r="QBF30" s="47"/>
      <c r="QBG30" s="47"/>
      <c r="QBH30" s="47"/>
      <c r="QBI30" s="47"/>
      <c r="QBJ30" s="47"/>
      <c r="QBK30" s="47"/>
      <c r="QBL30" s="47"/>
      <c r="QBM30" s="47"/>
      <c r="QBN30" s="47"/>
      <c r="QBO30" s="47"/>
      <c r="QBP30" s="47"/>
      <c r="QBQ30" s="47"/>
      <c r="QBR30" s="47"/>
      <c r="QBS30" s="47"/>
      <c r="QBT30" s="47"/>
      <c r="QBU30" s="47"/>
      <c r="QBV30" s="47"/>
      <c r="QBW30" s="47"/>
      <c r="QBX30" s="47"/>
      <c r="QBY30" s="47"/>
      <c r="QBZ30" s="47"/>
      <c r="QCA30" s="47"/>
      <c r="QCB30" s="47"/>
      <c r="QCC30" s="47"/>
      <c r="QCD30" s="47"/>
      <c r="QCE30" s="47"/>
      <c r="QCF30" s="47"/>
      <c r="QCG30" s="47"/>
      <c r="QCH30" s="47"/>
      <c r="QCI30" s="47"/>
      <c r="QCJ30" s="47"/>
      <c r="QCK30" s="47"/>
      <c r="QCL30" s="47"/>
      <c r="QCM30" s="47"/>
      <c r="QCN30" s="47"/>
      <c r="QCO30" s="47"/>
      <c r="QCP30" s="47"/>
      <c r="QCQ30" s="47"/>
      <c r="QCR30" s="47"/>
      <c r="QCS30" s="47"/>
      <c r="QCT30" s="47"/>
      <c r="QCU30" s="47"/>
      <c r="QCV30" s="47"/>
      <c r="QCW30" s="47"/>
      <c r="QCX30" s="47"/>
      <c r="QCY30" s="47"/>
      <c r="QCZ30" s="47"/>
      <c r="QDA30" s="47"/>
      <c r="QDB30" s="47"/>
      <c r="QDC30" s="47"/>
      <c r="QDD30" s="47"/>
      <c r="QDE30" s="47"/>
      <c r="QDF30" s="47"/>
      <c r="QDG30" s="47"/>
      <c r="QDH30" s="47"/>
      <c r="QDI30" s="47"/>
      <c r="QDJ30" s="47"/>
      <c r="QDK30" s="47"/>
      <c r="QDL30" s="47"/>
      <c r="QDM30" s="47"/>
      <c r="QDN30" s="47"/>
      <c r="QDO30" s="47"/>
      <c r="QDP30" s="47"/>
      <c r="QDQ30" s="47"/>
      <c r="QDR30" s="47"/>
      <c r="QDS30" s="47"/>
      <c r="QDT30" s="47"/>
      <c r="QDU30" s="47"/>
      <c r="QDV30" s="47"/>
      <c r="QDW30" s="47"/>
      <c r="QDX30" s="47"/>
      <c r="QDY30" s="47"/>
      <c r="QDZ30" s="47"/>
      <c r="QEA30" s="47"/>
      <c r="QEB30" s="47"/>
      <c r="QEC30" s="47"/>
      <c r="QED30" s="47"/>
      <c r="QEE30" s="47"/>
      <c r="QEF30" s="47"/>
      <c r="QEG30" s="47"/>
      <c r="QEH30" s="47"/>
      <c r="QEI30" s="47"/>
      <c r="QEJ30" s="47"/>
      <c r="QEK30" s="47"/>
      <c r="QEL30" s="47"/>
      <c r="QEM30" s="47"/>
      <c r="QEN30" s="47"/>
      <c r="QEO30" s="47"/>
      <c r="QEP30" s="47"/>
      <c r="QEQ30" s="47"/>
      <c r="QER30" s="47"/>
      <c r="QES30" s="47"/>
      <c r="QET30" s="47"/>
      <c r="QEU30" s="47"/>
      <c r="QEV30" s="47"/>
      <c r="QEW30" s="47"/>
      <c r="QEX30" s="47"/>
      <c r="QEY30" s="47"/>
      <c r="QEZ30" s="47"/>
      <c r="QFA30" s="47"/>
      <c r="QFB30" s="47"/>
      <c r="QFC30" s="47"/>
      <c r="QFD30" s="47"/>
      <c r="QFE30" s="47"/>
      <c r="QFF30" s="47"/>
      <c r="QFG30" s="47"/>
      <c r="QFH30" s="47"/>
      <c r="QFI30" s="47"/>
      <c r="QFJ30" s="47"/>
      <c r="QFK30" s="47"/>
      <c r="QFL30" s="47"/>
      <c r="QFM30" s="47"/>
      <c r="QFN30" s="47"/>
      <c r="QFO30" s="47"/>
      <c r="QFP30" s="47"/>
      <c r="QFQ30" s="47"/>
      <c r="QFR30" s="47"/>
      <c r="QFS30" s="47"/>
      <c r="QFT30" s="47"/>
      <c r="QFU30" s="47"/>
      <c r="QFV30" s="47"/>
      <c r="QFW30" s="47"/>
      <c r="QFX30" s="47"/>
      <c r="QFY30" s="47"/>
      <c r="QFZ30" s="47"/>
      <c r="QGA30" s="47"/>
      <c r="QGB30" s="47"/>
      <c r="QGC30" s="47"/>
      <c r="QGD30" s="47"/>
      <c r="QGE30" s="47"/>
      <c r="QGF30" s="47"/>
      <c r="QGG30" s="47"/>
      <c r="QGH30" s="47"/>
      <c r="QGI30" s="47"/>
      <c r="QGJ30" s="47"/>
      <c r="QGK30" s="47"/>
      <c r="QGL30" s="47"/>
      <c r="QGM30" s="47"/>
      <c r="QGN30" s="47"/>
      <c r="QGO30" s="47"/>
      <c r="QGP30" s="47"/>
      <c r="QGQ30" s="47"/>
      <c r="QGR30" s="47"/>
      <c r="QGS30" s="47"/>
      <c r="QGT30" s="47"/>
      <c r="QGU30" s="47"/>
      <c r="QGV30" s="47"/>
      <c r="QGW30" s="47"/>
      <c r="QGX30" s="47"/>
      <c r="QGY30" s="47"/>
      <c r="QGZ30" s="47"/>
      <c r="QHA30" s="47"/>
      <c r="QHB30" s="47"/>
      <c r="QHC30" s="47"/>
      <c r="QHD30" s="47"/>
      <c r="QHE30" s="47"/>
      <c r="QHF30" s="47"/>
      <c r="QHG30" s="47"/>
      <c r="QHH30" s="47"/>
      <c r="QHI30" s="47"/>
      <c r="QHJ30" s="47"/>
      <c r="QHK30" s="47"/>
      <c r="QHL30" s="47"/>
      <c r="QHM30" s="47"/>
      <c r="QHN30" s="47"/>
      <c r="QHO30" s="47"/>
      <c r="QHP30" s="47"/>
      <c r="QHQ30" s="47"/>
      <c r="QHR30" s="47"/>
      <c r="QHS30" s="47"/>
      <c r="QHT30" s="47"/>
      <c r="QHU30" s="47"/>
      <c r="QHV30" s="47"/>
      <c r="QHW30" s="47"/>
      <c r="QHX30" s="47"/>
      <c r="QHY30" s="47"/>
      <c r="QHZ30" s="47"/>
      <c r="QIA30" s="47"/>
      <c r="QIB30" s="47"/>
      <c r="QIC30" s="47"/>
      <c r="QID30" s="47"/>
      <c r="QIE30" s="47"/>
      <c r="QIF30" s="47"/>
      <c r="QIG30" s="47"/>
      <c r="QIH30" s="47"/>
      <c r="QII30" s="47"/>
      <c r="QIJ30" s="47"/>
      <c r="QIK30" s="47"/>
      <c r="QIL30" s="47"/>
      <c r="QIM30" s="47"/>
      <c r="QIN30" s="47"/>
      <c r="QIO30" s="47"/>
      <c r="QIP30" s="47"/>
      <c r="QIQ30" s="47"/>
      <c r="QIR30" s="47"/>
      <c r="QIS30" s="47"/>
      <c r="QIT30" s="47"/>
      <c r="QIU30" s="47"/>
      <c r="QIV30" s="47"/>
      <c r="QIW30" s="47"/>
      <c r="QIX30" s="47"/>
      <c r="QIY30" s="47"/>
      <c r="QIZ30" s="47"/>
      <c r="QJA30" s="47"/>
      <c r="QJB30" s="47"/>
      <c r="QJC30" s="47"/>
      <c r="QJD30" s="47"/>
      <c r="QJE30" s="47"/>
      <c r="QJF30" s="47"/>
      <c r="QJG30" s="47"/>
      <c r="QJH30" s="47"/>
      <c r="QJI30" s="47"/>
      <c r="QJJ30" s="47"/>
      <c r="QJK30" s="47"/>
      <c r="QJL30" s="47"/>
      <c r="QJM30" s="47"/>
      <c r="QJN30" s="47"/>
      <c r="QJO30" s="47"/>
      <c r="QJP30" s="47"/>
      <c r="QJQ30" s="47"/>
      <c r="QJR30" s="47"/>
      <c r="QJS30" s="47"/>
      <c r="QJT30" s="47"/>
      <c r="QJU30" s="47"/>
      <c r="QJV30" s="47"/>
      <c r="QJW30" s="47"/>
      <c r="QJX30" s="47"/>
      <c r="QJY30" s="47"/>
      <c r="QJZ30" s="47"/>
      <c r="QKA30" s="47"/>
      <c r="QKB30" s="47"/>
      <c r="QKC30" s="47"/>
      <c r="QKD30" s="47"/>
      <c r="QKE30" s="47"/>
      <c r="QKF30" s="47"/>
      <c r="QKG30" s="47"/>
      <c r="QKH30" s="47"/>
      <c r="QKI30" s="47"/>
      <c r="QKJ30" s="47"/>
      <c r="QKK30" s="47"/>
      <c r="QKL30" s="47"/>
      <c r="QKM30" s="47"/>
      <c r="QKN30" s="47"/>
      <c r="QKO30" s="47"/>
      <c r="QKP30" s="47"/>
      <c r="QKQ30" s="47"/>
      <c r="QKR30" s="47"/>
      <c r="QKS30" s="47"/>
      <c r="QKT30" s="47"/>
      <c r="QKU30" s="47"/>
      <c r="QKV30" s="47"/>
      <c r="QKW30" s="47"/>
      <c r="QKX30" s="47"/>
      <c r="QKY30" s="47"/>
      <c r="QKZ30" s="47"/>
      <c r="QLA30" s="47"/>
      <c r="QLB30" s="47"/>
      <c r="QLC30" s="47"/>
      <c r="QLD30" s="47"/>
      <c r="QLE30" s="47"/>
      <c r="QLF30" s="47"/>
      <c r="QLG30" s="47"/>
      <c r="QLH30" s="47"/>
      <c r="QLI30" s="47"/>
      <c r="QLJ30" s="47"/>
      <c r="QLK30" s="47"/>
      <c r="QLL30" s="47"/>
      <c r="QLM30" s="47"/>
      <c r="QLN30" s="47"/>
      <c r="QLO30" s="47"/>
      <c r="QLP30" s="47"/>
      <c r="QLQ30" s="47"/>
      <c r="QLR30" s="47"/>
      <c r="QLS30" s="47"/>
      <c r="QLT30" s="47"/>
      <c r="QLU30" s="47"/>
      <c r="QLV30" s="47"/>
      <c r="QLW30" s="47"/>
      <c r="QLX30" s="47"/>
      <c r="QLY30" s="47"/>
      <c r="QLZ30" s="47"/>
      <c r="QMA30" s="47"/>
      <c r="QMB30" s="47"/>
      <c r="QMC30" s="47"/>
      <c r="QMD30" s="47"/>
      <c r="QME30" s="47"/>
      <c r="QMF30" s="47"/>
      <c r="QMG30" s="47"/>
      <c r="QMH30" s="47"/>
      <c r="QMI30" s="47"/>
      <c r="QMJ30" s="47"/>
      <c r="QMK30" s="47"/>
      <c r="QML30" s="47"/>
      <c r="QMM30" s="47"/>
      <c r="QMN30" s="47"/>
      <c r="QMO30" s="47"/>
      <c r="QMP30" s="47"/>
      <c r="QMQ30" s="47"/>
      <c r="QMR30" s="47"/>
      <c r="QMS30" s="47"/>
      <c r="QMT30" s="47"/>
      <c r="QMU30" s="47"/>
      <c r="QMV30" s="47"/>
      <c r="QMW30" s="47"/>
      <c r="QMX30" s="47"/>
      <c r="QMY30" s="47"/>
      <c r="QMZ30" s="47"/>
      <c r="QNA30" s="47"/>
      <c r="QNB30" s="47"/>
      <c r="QNC30" s="47"/>
      <c r="QND30" s="47"/>
      <c r="QNE30" s="47"/>
      <c r="QNF30" s="47"/>
      <c r="QNG30" s="47"/>
      <c r="QNH30" s="47"/>
      <c r="QNI30" s="47"/>
      <c r="QNJ30" s="47"/>
      <c r="QNK30" s="47"/>
      <c r="QNL30" s="47"/>
      <c r="QNM30" s="47"/>
      <c r="QNN30" s="47"/>
      <c r="QNO30" s="47"/>
      <c r="QNP30" s="47"/>
      <c r="QNQ30" s="47"/>
      <c r="QNR30" s="47"/>
      <c r="QNS30" s="47"/>
      <c r="QNT30" s="47"/>
      <c r="QNU30" s="47"/>
      <c r="QNV30" s="47"/>
      <c r="QNW30" s="47"/>
      <c r="QNX30" s="47"/>
      <c r="QNY30" s="47"/>
      <c r="QNZ30" s="47"/>
      <c r="QOA30" s="47"/>
      <c r="QOB30" s="47"/>
      <c r="QOC30" s="47"/>
      <c r="QOD30" s="47"/>
      <c r="QOE30" s="47"/>
      <c r="QOF30" s="47"/>
      <c r="QOG30" s="47"/>
      <c r="QOH30" s="47"/>
      <c r="QOI30" s="47"/>
      <c r="QOJ30" s="47"/>
      <c r="QOK30" s="47"/>
      <c r="QOL30" s="47"/>
      <c r="QOM30" s="47"/>
      <c r="QON30" s="47"/>
      <c r="QOO30" s="47"/>
      <c r="QOP30" s="47"/>
      <c r="QOQ30" s="47"/>
      <c r="QOR30" s="47"/>
      <c r="QOS30" s="47"/>
      <c r="QOT30" s="47"/>
      <c r="QOU30" s="47"/>
      <c r="QOV30" s="47"/>
      <c r="QOW30" s="47"/>
      <c r="QOX30" s="47"/>
      <c r="QOY30" s="47"/>
      <c r="QOZ30" s="47"/>
      <c r="QPA30" s="47"/>
      <c r="QPB30" s="47"/>
      <c r="QPC30" s="47"/>
      <c r="QPD30" s="47"/>
      <c r="QPE30" s="47"/>
      <c r="QPF30" s="47"/>
      <c r="QPG30" s="47"/>
      <c r="QPH30" s="47"/>
      <c r="QPI30" s="47"/>
      <c r="QPJ30" s="47"/>
      <c r="QPK30" s="47"/>
      <c r="QPL30" s="47"/>
      <c r="QPM30" s="47"/>
      <c r="QPN30" s="47"/>
      <c r="QPO30" s="47"/>
      <c r="QPP30" s="47"/>
      <c r="QPQ30" s="47"/>
      <c r="QPR30" s="47"/>
      <c r="QPS30" s="47"/>
      <c r="QPT30" s="47"/>
      <c r="QPU30" s="47"/>
      <c r="QPV30" s="47"/>
      <c r="QPW30" s="47"/>
      <c r="QPX30" s="47"/>
      <c r="QPY30" s="47"/>
      <c r="QPZ30" s="47"/>
      <c r="QQA30" s="47"/>
      <c r="QQB30" s="47"/>
      <c r="QQC30" s="47"/>
      <c r="QQD30" s="47"/>
      <c r="QQE30" s="47"/>
      <c r="QQF30" s="47"/>
      <c r="QQG30" s="47"/>
      <c r="QQH30" s="47"/>
      <c r="QQI30" s="47"/>
      <c r="QQJ30" s="47"/>
      <c r="QQK30" s="47"/>
      <c r="QQL30" s="47"/>
      <c r="QQM30" s="47"/>
      <c r="QQN30" s="47"/>
      <c r="QQO30" s="47"/>
      <c r="QQP30" s="47"/>
      <c r="QQQ30" s="47"/>
      <c r="QQR30" s="47"/>
      <c r="QQS30" s="47"/>
      <c r="QQT30" s="47"/>
      <c r="QQU30" s="47"/>
      <c r="QQV30" s="47"/>
      <c r="QQW30" s="47"/>
      <c r="QQX30" s="47"/>
      <c r="QQY30" s="47"/>
      <c r="QQZ30" s="47"/>
      <c r="QRA30" s="47"/>
      <c r="QRB30" s="47"/>
      <c r="QRC30" s="47"/>
      <c r="QRD30" s="47"/>
      <c r="QRE30" s="47"/>
      <c r="QRF30" s="47"/>
      <c r="QRG30" s="47"/>
      <c r="QRH30" s="47"/>
      <c r="QRI30" s="47"/>
      <c r="QRJ30" s="47"/>
      <c r="QRK30" s="47"/>
      <c r="QRL30" s="47"/>
      <c r="QRM30" s="47"/>
      <c r="QRN30" s="47"/>
      <c r="QRO30" s="47"/>
      <c r="QRP30" s="47"/>
      <c r="QRQ30" s="47"/>
      <c r="QRR30" s="47"/>
      <c r="QRS30" s="47"/>
      <c r="QRT30" s="47"/>
      <c r="QRU30" s="47"/>
      <c r="QRV30" s="47"/>
      <c r="QRW30" s="47"/>
      <c r="QRX30" s="47"/>
      <c r="QRY30" s="47"/>
      <c r="QRZ30" s="47"/>
      <c r="QSA30" s="47"/>
      <c r="QSB30" s="47"/>
      <c r="QSC30" s="47"/>
      <c r="QSD30" s="47"/>
      <c r="QSE30" s="47"/>
      <c r="QSF30" s="47"/>
      <c r="QSG30" s="47"/>
      <c r="QSH30" s="47"/>
      <c r="QSI30" s="47"/>
      <c r="QSJ30" s="47"/>
      <c r="QSK30" s="47"/>
      <c r="QSL30" s="47"/>
      <c r="QSM30" s="47"/>
      <c r="QSN30" s="47"/>
      <c r="QSO30" s="47"/>
      <c r="QSP30" s="47"/>
      <c r="QSQ30" s="47"/>
      <c r="QSR30" s="47"/>
      <c r="QSS30" s="47"/>
      <c r="QST30" s="47"/>
      <c r="QSU30" s="47"/>
      <c r="QSV30" s="47"/>
      <c r="QSW30" s="47"/>
      <c r="QSX30" s="47"/>
      <c r="QSY30" s="47"/>
      <c r="QSZ30" s="47"/>
      <c r="QTA30" s="47"/>
      <c r="QTB30" s="47"/>
      <c r="QTC30" s="47"/>
      <c r="QTD30" s="47"/>
      <c r="QTE30" s="47"/>
      <c r="QTF30" s="47"/>
      <c r="QTG30" s="47"/>
      <c r="QTH30" s="47"/>
      <c r="QTI30" s="47"/>
      <c r="QTJ30" s="47"/>
      <c r="QTK30" s="47"/>
      <c r="QTL30" s="47"/>
      <c r="QTM30" s="47"/>
      <c r="QTN30" s="47"/>
      <c r="QTO30" s="47"/>
      <c r="QTP30" s="47"/>
      <c r="QTQ30" s="47"/>
      <c r="QTR30" s="47"/>
      <c r="QTS30" s="47"/>
      <c r="QTT30" s="47"/>
      <c r="QTU30" s="47"/>
      <c r="QTV30" s="47"/>
      <c r="QTW30" s="47"/>
      <c r="QTX30" s="47"/>
      <c r="QTY30" s="47"/>
      <c r="QTZ30" s="47"/>
      <c r="QUA30" s="47"/>
      <c r="QUB30" s="47"/>
      <c r="QUC30" s="47"/>
      <c r="QUD30" s="47"/>
      <c r="QUE30" s="47"/>
      <c r="QUF30" s="47"/>
      <c r="QUG30" s="47"/>
      <c r="QUH30" s="47"/>
      <c r="QUI30" s="47"/>
      <c r="QUJ30" s="47"/>
      <c r="QUK30" s="47"/>
      <c r="QUL30" s="47"/>
      <c r="QUM30" s="47"/>
      <c r="QUN30" s="47"/>
      <c r="QUO30" s="47"/>
      <c r="QUP30" s="47"/>
      <c r="QUQ30" s="47"/>
      <c r="QUR30" s="47"/>
      <c r="QUS30" s="47"/>
      <c r="QUT30" s="47"/>
      <c r="QUU30" s="47"/>
      <c r="QUV30" s="47"/>
      <c r="QUW30" s="47"/>
      <c r="QUX30" s="47"/>
      <c r="QUY30" s="47"/>
      <c r="QUZ30" s="47"/>
      <c r="QVA30" s="47"/>
      <c r="QVB30" s="47"/>
      <c r="QVC30" s="47"/>
      <c r="QVD30" s="47"/>
      <c r="QVE30" s="47"/>
      <c r="QVF30" s="47"/>
      <c r="QVG30" s="47"/>
      <c r="QVH30" s="47"/>
      <c r="QVI30" s="47"/>
      <c r="QVJ30" s="47"/>
      <c r="QVK30" s="47"/>
      <c r="QVL30" s="47"/>
      <c r="QVM30" s="47"/>
      <c r="QVN30" s="47"/>
      <c r="QVO30" s="47"/>
      <c r="QVP30" s="47"/>
      <c r="QVQ30" s="47"/>
      <c r="QVR30" s="47"/>
      <c r="QVS30" s="47"/>
      <c r="QVT30" s="47"/>
      <c r="QVU30" s="47"/>
      <c r="QVV30" s="47"/>
      <c r="QVW30" s="47"/>
      <c r="QVX30" s="47"/>
      <c r="QVY30" s="47"/>
      <c r="QVZ30" s="47"/>
      <c r="QWA30" s="47"/>
      <c r="QWB30" s="47"/>
      <c r="QWC30" s="47"/>
      <c r="QWD30" s="47"/>
      <c r="QWE30" s="47"/>
      <c r="QWF30" s="47"/>
      <c r="QWG30" s="47"/>
      <c r="QWH30" s="47"/>
      <c r="QWI30" s="47"/>
      <c r="QWJ30" s="47"/>
      <c r="QWK30" s="47"/>
      <c r="QWL30" s="47"/>
      <c r="QWM30" s="47"/>
      <c r="QWN30" s="47"/>
      <c r="QWO30" s="47"/>
      <c r="QWP30" s="47"/>
      <c r="QWQ30" s="47"/>
      <c r="QWR30" s="47"/>
      <c r="QWS30" s="47"/>
      <c r="QWT30" s="47"/>
      <c r="QWU30" s="47"/>
      <c r="QWV30" s="47"/>
      <c r="QWW30" s="47"/>
      <c r="QWX30" s="47"/>
      <c r="QWY30" s="47"/>
      <c r="QWZ30" s="47"/>
      <c r="QXA30" s="47"/>
      <c r="QXB30" s="47"/>
      <c r="QXC30" s="47"/>
      <c r="QXD30" s="47"/>
      <c r="QXE30" s="47"/>
      <c r="QXF30" s="47"/>
      <c r="QXG30" s="47"/>
      <c r="QXH30" s="47"/>
      <c r="QXI30" s="47"/>
      <c r="QXJ30" s="47"/>
      <c r="QXK30" s="47"/>
      <c r="QXL30" s="47"/>
      <c r="QXM30" s="47"/>
      <c r="QXN30" s="47"/>
      <c r="QXO30" s="47"/>
      <c r="QXP30" s="47"/>
      <c r="QXQ30" s="47"/>
      <c r="QXR30" s="47"/>
      <c r="QXS30" s="47"/>
      <c r="QXT30" s="47"/>
      <c r="QXU30" s="47"/>
      <c r="QXV30" s="47"/>
      <c r="QXW30" s="47"/>
      <c r="QXX30" s="47"/>
      <c r="QXY30" s="47"/>
      <c r="QXZ30" s="47"/>
      <c r="QYA30" s="47"/>
      <c r="QYB30" s="47"/>
      <c r="QYC30" s="47"/>
      <c r="QYD30" s="47"/>
      <c r="QYE30" s="47"/>
      <c r="QYF30" s="47"/>
      <c r="QYG30" s="47"/>
      <c r="QYH30" s="47"/>
      <c r="QYI30" s="47"/>
      <c r="QYJ30" s="47"/>
      <c r="QYK30" s="47"/>
      <c r="QYL30" s="47"/>
      <c r="QYM30" s="47"/>
      <c r="QYN30" s="47"/>
      <c r="QYO30" s="47"/>
      <c r="QYP30" s="47"/>
      <c r="QYQ30" s="47"/>
      <c r="QYR30" s="47"/>
      <c r="QYS30" s="47"/>
      <c r="QYT30" s="47"/>
      <c r="QYU30" s="47"/>
      <c r="QYV30" s="47"/>
      <c r="QYW30" s="47"/>
      <c r="QYX30" s="47"/>
      <c r="QYY30" s="47"/>
      <c r="QYZ30" s="47"/>
      <c r="QZA30" s="47"/>
      <c r="QZB30" s="47"/>
      <c r="QZC30" s="47"/>
      <c r="QZD30" s="47"/>
      <c r="QZE30" s="47"/>
      <c r="QZF30" s="47"/>
      <c r="QZG30" s="47"/>
      <c r="QZH30" s="47"/>
      <c r="QZI30" s="47"/>
      <c r="QZJ30" s="47"/>
      <c r="QZK30" s="47"/>
      <c r="QZL30" s="47"/>
      <c r="QZM30" s="47"/>
      <c r="QZN30" s="47"/>
      <c r="QZO30" s="47"/>
      <c r="QZP30" s="47"/>
      <c r="QZQ30" s="47"/>
      <c r="QZR30" s="47"/>
      <c r="QZS30" s="47"/>
      <c r="QZT30" s="47"/>
      <c r="QZU30" s="47"/>
      <c r="QZV30" s="47"/>
      <c r="QZW30" s="47"/>
      <c r="QZX30" s="47"/>
      <c r="QZY30" s="47"/>
      <c r="QZZ30" s="47"/>
      <c r="RAA30" s="47"/>
      <c r="RAB30" s="47"/>
      <c r="RAC30" s="47"/>
      <c r="RAD30" s="47"/>
      <c r="RAE30" s="47"/>
      <c r="RAF30" s="47"/>
      <c r="RAG30" s="47"/>
      <c r="RAH30" s="47"/>
      <c r="RAI30" s="47"/>
      <c r="RAJ30" s="47"/>
      <c r="RAK30" s="47"/>
      <c r="RAL30" s="47"/>
      <c r="RAM30" s="47"/>
      <c r="RAN30" s="47"/>
      <c r="RAO30" s="47"/>
      <c r="RAP30" s="47"/>
      <c r="RAQ30" s="47"/>
      <c r="RAR30" s="47"/>
      <c r="RAS30" s="47"/>
      <c r="RAT30" s="47"/>
      <c r="RAU30" s="47"/>
      <c r="RAV30" s="47"/>
      <c r="RAW30" s="47"/>
      <c r="RAX30" s="47"/>
      <c r="RAY30" s="47"/>
      <c r="RAZ30" s="47"/>
      <c r="RBA30" s="47"/>
      <c r="RBB30" s="47"/>
      <c r="RBC30" s="47"/>
      <c r="RBD30" s="47"/>
      <c r="RBE30" s="47"/>
      <c r="RBF30" s="47"/>
      <c r="RBG30" s="47"/>
      <c r="RBH30" s="47"/>
      <c r="RBI30" s="47"/>
      <c r="RBJ30" s="47"/>
      <c r="RBK30" s="47"/>
      <c r="RBL30" s="47"/>
      <c r="RBM30" s="47"/>
      <c r="RBN30" s="47"/>
      <c r="RBO30" s="47"/>
      <c r="RBP30" s="47"/>
      <c r="RBQ30" s="47"/>
      <c r="RBR30" s="47"/>
      <c r="RBS30" s="47"/>
      <c r="RBT30" s="47"/>
      <c r="RBU30" s="47"/>
      <c r="RBV30" s="47"/>
      <c r="RBW30" s="47"/>
      <c r="RBX30" s="47"/>
      <c r="RBY30" s="47"/>
      <c r="RBZ30" s="47"/>
      <c r="RCA30" s="47"/>
      <c r="RCB30" s="47"/>
      <c r="RCC30" s="47"/>
      <c r="RCD30" s="47"/>
      <c r="RCE30" s="47"/>
      <c r="RCF30" s="47"/>
      <c r="RCG30" s="47"/>
      <c r="RCH30" s="47"/>
      <c r="RCI30" s="47"/>
      <c r="RCJ30" s="47"/>
      <c r="RCK30" s="47"/>
      <c r="RCL30" s="47"/>
      <c r="RCM30" s="47"/>
      <c r="RCN30" s="47"/>
      <c r="RCO30" s="47"/>
      <c r="RCP30" s="47"/>
      <c r="RCQ30" s="47"/>
      <c r="RCR30" s="47"/>
      <c r="RCS30" s="47"/>
      <c r="RCT30" s="47"/>
      <c r="RCU30" s="47"/>
      <c r="RCV30" s="47"/>
      <c r="RCW30" s="47"/>
      <c r="RCX30" s="47"/>
      <c r="RCY30" s="47"/>
      <c r="RCZ30" s="47"/>
      <c r="RDA30" s="47"/>
      <c r="RDB30" s="47"/>
      <c r="RDC30" s="47"/>
      <c r="RDD30" s="47"/>
      <c r="RDE30" s="47"/>
      <c r="RDF30" s="47"/>
      <c r="RDG30" s="47"/>
      <c r="RDH30" s="47"/>
      <c r="RDI30" s="47"/>
      <c r="RDJ30" s="47"/>
      <c r="RDK30" s="47"/>
      <c r="RDL30" s="47"/>
      <c r="RDM30" s="47"/>
      <c r="RDN30" s="47"/>
      <c r="RDO30" s="47"/>
      <c r="RDP30" s="47"/>
      <c r="RDQ30" s="47"/>
      <c r="RDR30" s="47"/>
      <c r="RDS30" s="47"/>
      <c r="RDT30" s="47"/>
      <c r="RDU30" s="47"/>
      <c r="RDV30" s="47"/>
      <c r="RDW30" s="47"/>
      <c r="RDX30" s="47"/>
      <c r="RDY30" s="47"/>
      <c r="RDZ30" s="47"/>
      <c r="REA30" s="47"/>
      <c r="REB30" s="47"/>
      <c r="REC30" s="47"/>
      <c r="RED30" s="47"/>
      <c r="REE30" s="47"/>
      <c r="REF30" s="47"/>
      <c r="REG30" s="47"/>
      <c r="REH30" s="47"/>
      <c r="REI30" s="47"/>
      <c r="REJ30" s="47"/>
      <c r="REK30" s="47"/>
      <c r="REL30" s="47"/>
      <c r="REM30" s="47"/>
      <c r="REN30" s="47"/>
      <c r="REO30" s="47"/>
      <c r="REP30" s="47"/>
      <c r="REQ30" s="47"/>
      <c r="RER30" s="47"/>
      <c r="RES30" s="47"/>
      <c r="RET30" s="47"/>
      <c r="REU30" s="47"/>
      <c r="REV30" s="47"/>
      <c r="REW30" s="47"/>
      <c r="REX30" s="47"/>
      <c r="REY30" s="47"/>
      <c r="REZ30" s="47"/>
      <c r="RFA30" s="47"/>
      <c r="RFB30" s="47"/>
      <c r="RFC30" s="47"/>
      <c r="RFD30" s="47"/>
      <c r="RFE30" s="47"/>
      <c r="RFF30" s="47"/>
      <c r="RFG30" s="47"/>
      <c r="RFH30" s="47"/>
      <c r="RFI30" s="47"/>
      <c r="RFJ30" s="47"/>
      <c r="RFK30" s="47"/>
      <c r="RFL30" s="47"/>
      <c r="RFM30" s="47"/>
      <c r="RFN30" s="47"/>
      <c r="RFO30" s="47"/>
      <c r="RFP30" s="47"/>
      <c r="RFQ30" s="47"/>
      <c r="RFR30" s="47"/>
      <c r="RFS30" s="47"/>
      <c r="RFT30" s="47"/>
      <c r="RFU30" s="47"/>
      <c r="RFV30" s="47"/>
      <c r="RFW30" s="47"/>
      <c r="RFX30" s="47"/>
      <c r="RFY30" s="47"/>
      <c r="RFZ30" s="47"/>
      <c r="RGA30" s="47"/>
      <c r="RGB30" s="47"/>
      <c r="RGC30" s="47"/>
      <c r="RGD30" s="47"/>
      <c r="RGE30" s="47"/>
      <c r="RGF30" s="47"/>
      <c r="RGG30" s="47"/>
      <c r="RGH30" s="47"/>
      <c r="RGI30" s="47"/>
      <c r="RGJ30" s="47"/>
      <c r="RGK30" s="47"/>
      <c r="RGL30" s="47"/>
      <c r="RGM30" s="47"/>
      <c r="RGN30" s="47"/>
      <c r="RGO30" s="47"/>
      <c r="RGP30" s="47"/>
      <c r="RGQ30" s="47"/>
      <c r="RGR30" s="47"/>
      <c r="RGS30" s="47"/>
      <c r="RGT30" s="47"/>
      <c r="RGU30" s="47"/>
      <c r="RGV30" s="47"/>
      <c r="RGW30" s="47"/>
      <c r="RGX30" s="47"/>
      <c r="RGY30" s="47"/>
      <c r="RGZ30" s="47"/>
      <c r="RHA30" s="47"/>
      <c r="RHB30" s="47"/>
      <c r="RHC30" s="47"/>
      <c r="RHD30" s="47"/>
      <c r="RHE30" s="47"/>
      <c r="RHF30" s="47"/>
      <c r="RHG30" s="47"/>
      <c r="RHH30" s="47"/>
      <c r="RHI30" s="47"/>
      <c r="RHJ30" s="47"/>
      <c r="RHK30" s="47"/>
      <c r="RHL30" s="47"/>
      <c r="RHM30" s="47"/>
      <c r="RHN30" s="47"/>
      <c r="RHO30" s="47"/>
      <c r="RHP30" s="47"/>
      <c r="RHQ30" s="47"/>
      <c r="RHR30" s="47"/>
      <c r="RHS30" s="47"/>
      <c r="RHT30" s="47"/>
      <c r="RHU30" s="47"/>
      <c r="RHV30" s="47"/>
      <c r="RHW30" s="47"/>
      <c r="RHX30" s="47"/>
      <c r="RHY30" s="47"/>
      <c r="RHZ30" s="47"/>
      <c r="RIA30" s="47"/>
      <c r="RIB30" s="47"/>
      <c r="RIC30" s="47"/>
      <c r="RID30" s="47"/>
      <c r="RIE30" s="47"/>
      <c r="RIF30" s="47"/>
      <c r="RIG30" s="47"/>
      <c r="RIH30" s="47"/>
      <c r="RII30" s="47"/>
      <c r="RIJ30" s="47"/>
      <c r="RIK30" s="47"/>
      <c r="RIL30" s="47"/>
      <c r="RIM30" s="47"/>
      <c r="RIN30" s="47"/>
      <c r="RIO30" s="47"/>
      <c r="RIP30" s="47"/>
      <c r="RIQ30" s="47"/>
      <c r="RIR30" s="47"/>
      <c r="RIS30" s="47"/>
      <c r="RIT30" s="47"/>
      <c r="RIU30" s="47"/>
      <c r="RIV30" s="47"/>
      <c r="RIW30" s="47"/>
      <c r="RIX30" s="47"/>
      <c r="RIY30" s="47"/>
      <c r="RIZ30" s="47"/>
      <c r="RJA30" s="47"/>
      <c r="RJB30" s="47"/>
      <c r="RJC30" s="47"/>
      <c r="RJD30" s="47"/>
      <c r="RJE30" s="47"/>
      <c r="RJF30" s="47"/>
      <c r="RJG30" s="47"/>
      <c r="RJH30" s="47"/>
      <c r="RJI30" s="47"/>
      <c r="RJJ30" s="47"/>
      <c r="RJK30" s="47"/>
      <c r="RJL30" s="47"/>
      <c r="RJM30" s="47"/>
      <c r="RJN30" s="47"/>
      <c r="RJO30" s="47"/>
      <c r="RJP30" s="47"/>
      <c r="RJQ30" s="47"/>
      <c r="RJR30" s="47"/>
      <c r="RJS30" s="47"/>
      <c r="RJT30" s="47"/>
      <c r="RJU30" s="47"/>
      <c r="RJV30" s="47"/>
      <c r="RJW30" s="47"/>
      <c r="RJX30" s="47"/>
      <c r="RJY30" s="47"/>
      <c r="RJZ30" s="47"/>
      <c r="RKA30" s="47"/>
      <c r="RKB30" s="47"/>
      <c r="RKC30" s="47"/>
      <c r="RKD30" s="47"/>
      <c r="RKE30" s="47"/>
      <c r="RKF30" s="47"/>
      <c r="RKG30" s="47"/>
      <c r="RKH30" s="47"/>
      <c r="RKI30" s="47"/>
      <c r="RKJ30" s="47"/>
      <c r="RKK30" s="47"/>
      <c r="RKL30" s="47"/>
      <c r="RKM30" s="47"/>
      <c r="RKN30" s="47"/>
      <c r="RKO30" s="47"/>
      <c r="RKP30" s="47"/>
      <c r="RKQ30" s="47"/>
      <c r="RKR30" s="47"/>
      <c r="RKS30" s="47"/>
      <c r="RKT30" s="47"/>
      <c r="RKU30" s="47"/>
      <c r="RKV30" s="47"/>
      <c r="RKW30" s="47"/>
      <c r="RKX30" s="47"/>
      <c r="RKY30" s="47"/>
      <c r="RKZ30" s="47"/>
      <c r="RLA30" s="47"/>
      <c r="RLB30" s="47"/>
      <c r="RLC30" s="47"/>
      <c r="RLD30" s="47"/>
      <c r="RLE30" s="47"/>
      <c r="RLF30" s="47"/>
      <c r="RLG30" s="47"/>
      <c r="RLH30" s="47"/>
      <c r="RLI30" s="47"/>
      <c r="RLJ30" s="47"/>
      <c r="RLK30" s="47"/>
      <c r="RLL30" s="47"/>
      <c r="RLM30" s="47"/>
      <c r="RLN30" s="47"/>
      <c r="RLO30" s="47"/>
      <c r="RLP30" s="47"/>
      <c r="RLQ30" s="47"/>
      <c r="RLR30" s="47"/>
      <c r="RLS30" s="47"/>
      <c r="RLT30" s="47"/>
      <c r="RLU30" s="47"/>
      <c r="RLV30" s="47"/>
      <c r="RLW30" s="47"/>
      <c r="RLX30" s="47"/>
      <c r="RLY30" s="47"/>
      <c r="RLZ30" s="47"/>
      <c r="RMA30" s="47"/>
      <c r="RMB30" s="47"/>
      <c r="RMC30" s="47"/>
      <c r="RMD30" s="47"/>
      <c r="RME30" s="47"/>
      <c r="RMF30" s="47"/>
      <c r="RMG30" s="47"/>
      <c r="RMH30" s="47"/>
      <c r="RMI30" s="47"/>
      <c r="RMJ30" s="47"/>
      <c r="RMK30" s="47"/>
      <c r="RML30" s="47"/>
      <c r="RMM30" s="47"/>
      <c r="RMN30" s="47"/>
      <c r="RMO30" s="47"/>
      <c r="RMP30" s="47"/>
      <c r="RMQ30" s="47"/>
      <c r="RMR30" s="47"/>
      <c r="RMS30" s="47"/>
      <c r="RMT30" s="47"/>
      <c r="RMU30" s="47"/>
      <c r="RMV30" s="47"/>
      <c r="RMW30" s="47"/>
      <c r="RMX30" s="47"/>
      <c r="RMY30" s="47"/>
      <c r="RMZ30" s="47"/>
      <c r="RNA30" s="47"/>
      <c r="RNB30" s="47"/>
      <c r="RNC30" s="47"/>
      <c r="RND30" s="47"/>
      <c r="RNE30" s="47"/>
      <c r="RNF30" s="47"/>
      <c r="RNG30" s="47"/>
      <c r="RNH30" s="47"/>
      <c r="RNI30" s="47"/>
      <c r="RNJ30" s="47"/>
      <c r="RNK30" s="47"/>
      <c r="RNL30" s="47"/>
      <c r="RNM30" s="47"/>
      <c r="RNN30" s="47"/>
      <c r="RNO30" s="47"/>
      <c r="RNP30" s="47"/>
      <c r="RNQ30" s="47"/>
      <c r="RNR30" s="47"/>
      <c r="RNS30" s="47"/>
      <c r="RNT30" s="47"/>
      <c r="RNU30" s="47"/>
      <c r="RNV30" s="47"/>
      <c r="RNW30" s="47"/>
      <c r="RNX30" s="47"/>
      <c r="RNY30" s="47"/>
      <c r="RNZ30" s="47"/>
      <c r="ROA30" s="47"/>
      <c r="ROB30" s="47"/>
      <c r="ROC30" s="47"/>
      <c r="ROD30" s="47"/>
      <c r="ROE30" s="47"/>
      <c r="ROF30" s="47"/>
      <c r="ROG30" s="47"/>
      <c r="ROH30" s="47"/>
      <c r="ROI30" s="47"/>
      <c r="ROJ30" s="47"/>
      <c r="ROK30" s="47"/>
      <c r="ROL30" s="47"/>
      <c r="ROM30" s="47"/>
      <c r="RON30" s="47"/>
      <c r="ROO30" s="47"/>
      <c r="ROP30" s="47"/>
      <c r="ROQ30" s="47"/>
      <c r="ROR30" s="47"/>
      <c r="ROS30" s="47"/>
      <c r="ROT30" s="47"/>
      <c r="ROU30" s="47"/>
      <c r="ROV30" s="47"/>
      <c r="ROW30" s="47"/>
      <c r="ROX30" s="47"/>
      <c r="ROY30" s="47"/>
      <c r="ROZ30" s="47"/>
      <c r="RPA30" s="47"/>
      <c r="RPB30" s="47"/>
      <c r="RPC30" s="47"/>
      <c r="RPD30" s="47"/>
      <c r="RPE30" s="47"/>
      <c r="RPF30" s="47"/>
      <c r="RPG30" s="47"/>
      <c r="RPH30" s="47"/>
      <c r="RPI30" s="47"/>
      <c r="RPJ30" s="47"/>
      <c r="RPK30" s="47"/>
      <c r="RPL30" s="47"/>
      <c r="RPM30" s="47"/>
      <c r="RPN30" s="47"/>
      <c r="RPO30" s="47"/>
      <c r="RPP30" s="47"/>
      <c r="RPQ30" s="47"/>
      <c r="RPR30" s="47"/>
      <c r="RPS30" s="47"/>
      <c r="RPT30" s="47"/>
      <c r="RPU30" s="47"/>
      <c r="RPV30" s="47"/>
      <c r="RPW30" s="47"/>
      <c r="RPX30" s="47"/>
      <c r="RPY30" s="47"/>
      <c r="RPZ30" s="47"/>
      <c r="RQA30" s="47"/>
      <c r="RQB30" s="47"/>
      <c r="RQC30" s="47"/>
      <c r="RQD30" s="47"/>
      <c r="RQE30" s="47"/>
      <c r="RQF30" s="47"/>
      <c r="RQG30" s="47"/>
      <c r="RQH30" s="47"/>
      <c r="RQI30" s="47"/>
      <c r="RQJ30" s="47"/>
      <c r="RQK30" s="47"/>
      <c r="RQL30" s="47"/>
      <c r="RQM30" s="47"/>
      <c r="RQN30" s="47"/>
      <c r="RQO30" s="47"/>
      <c r="RQP30" s="47"/>
      <c r="RQQ30" s="47"/>
      <c r="RQR30" s="47"/>
      <c r="RQS30" s="47"/>
      <c r="RQT30" s="47"/>
      <c r="RQU30" s="47"/>
      <c r="RQV30" s="47"/>
      <c r="RQW30" s="47"/>
      <c r="RQX30" s="47"/>
      <c r="RQY30" s="47"/>
      <c r="RQZ30" s="47"/>
      <c r="RRA30" s="47"/>
      <c r="RRB30" s="47"/>
      <c r="RRC30" s="47"/>
      <c r="RRD30" s="47"/>
      <c r="RRE30" s="47"/>
      <c r="RRF30" s="47"/>
      <c r="RRG30" s="47"/>
      <c r="RRH30" s="47"/>
      <c r="RRI30" s="47"/>
      <c r="RRJ30" s="47"/>
      <c r="RRK30" s="47"/>
      <c r="RRL30" s="47"/>
      <c r="RRM30" s="47"/>
      <c r="RRN30" s="47"/>
      <c r="RRO30" s="47"/>
      <c r="RRP30" s="47"/>
      <c r="RRQ30" s="47"/>
      <c r="RRR30" s="47"/>
      <c r="RRS30" s="47"/>
      <c r="RRT30" s="47"/>
      <c r="RRU30" s="47"/>
      <c r="RRV30" s="47"/>
      <c r="RRW30" s="47"/>
      <c r="RRX30" s="47"/>
      <c r="RRY30" s="47"/>
      <c r="RRZ30" s="47"/>
      <c r="RSA30" s="47"/>
      <c r="RSB30" s="47"/>
      <c r="RSC30" s="47"/>
      <c r="RSD30" s="47"/>
      <c r="RSE30" s="47"/>
      <c r="RSF30" s="47"/>
      <c r="RSG30" s="47"/>
      <c r="RSH30" s="47"/>
      <c r="RSI30" s="47"/>
      <c r="RSJ30" s="47"/>
      <c r="RSK30" s="47"/>
      <c r="RSL30" s="47"/>
      <c r="RSM30" s="47"/>
      <c r="RSN30" s="47"/>
      <c r="RSO30" s="47"/>
      <c r="RSP30" s="47"/>
      <c r="RSQ30" s="47"/>
      <c r="RSR30" s="47"/>
      <c r="RSS30" s="47"/>
      <c r="RST30" s="47"/>
      <c r="RSU30" s="47"/>
      <c r="RSV30" s="47"/>
      <c r="RSW30" s="47"/>
      <c r="RSX30" s="47"/>
      <c r="RSY30" s="47"/>
      <c r="RSZ30" s="47"/>
      <c r="RTA30" s="47"/>
      <c r="RTB30" s="47"/>
      <c r="RTC30" s="47"/>
      <c r="RTD30" s="47"/>
      <c r="RTE30" s="47"/>
      <c r="RTF30" s="47"/>
      <c r="RTG30" s="47"/>
      <c r="RTH30" s="47"/>
      <c r="RTI30" s="47"/>
      <c r="RTJ30" s="47"/>
      <c r="RTK30" s="47"/>
      <c r="RTL30" s="47"/>
      <c r="RTM30" s="47"/>
      <c r="RTN30" s="47"/>
      <c r="RTO30" s="47"/>
      <c r="RTP30" s="47"/>
      <c r="RTQ30" s="47"/>
      <c r="RTR30" s="47"/>
      <c r="RTS30" s="47"/>
      <c r="RTT30" s="47"/>
      <c r="RTU30" s="47"/>
      <c r="RTV30" s="47"/>
      <c r="RTW30" s="47"/>
      <c r="RTX30" s="47"/>
      <c r="RTY30" s="47"/>
      <c r="RTZ30" s="47"/>
      <c r="RUA30" s="47"/>
      <c r="RUB30" s="47"/>
      <c r="RUC30" s="47"/>
      <c r="RUD30" s="47"/>
      <c r="RUE30" s="47"/>
      <c r="RUF30" s="47"/>
      <c r="RUG30" s="47"/>
      <c r="RUH30" s="47"/>
      <c r="RUI30" s="47"/>
      <c r="RUJ30" s="47"/>
      <c r="RUK30" s="47"/>
      <c r="RUL30" s="47"/>
      <c r="RUM30" s="47"/>
      <c r="RUN30" s="47"/>
      <c r="RUO30" s="47"/>
      <c r="RUP30" s="47"/>
      <c r="RUQ30" s="47"/>
      <c r="RUR30" s="47"/>
      <c r="RUS30" s="47"/>
      <c r="RUT30" s="47"/>
      <c r="RUU30" s="47"/>
      <c r="RUV30" s="47"/>
      <c r="RUW30" s="47"/>
      <c r="RUX30" s="47"/>
      <c r="RUY30" s="47"/>
      <c r="RUZ30" s="47"/>
      <c r="RVA30" s="47"/>
      <c r="RVB30" s="47"/>
      <c r="RVC30" s="47"/>
      <c r="RVD30" s="47"/>
      <c r="RVE30" s="47"/>
      <c r="RVF30" s="47"/>
      <c r="RVG30" s="47"/>
      <c r="RVH30" s="47"/>
      <c r="RVI30" s="47"/>
      <c r="RVJ30" s="47"/>
      <c r="RVK30" s="47"/>
      <c r="RVL30" s="47"/>
      <c r="RVM30" s="47"/>
      <c r="RVN30" s="47"/>
      <c r="RVO30" s="47"/>
      <c r="RVP30" s="47"/>
      <c r="RVQ30" s="47"/>
      <c r="RVR30" s="47"/>
      <c r="RVS30" s="47"/>
      <c r="RVT30" s="47"/>
      <c r="RVU30" s="47"/>
      <c r="RVV30" s="47"/>
      <c r="RVW30" s="47"/>
      <c r="RVX30" s="47"/>
      <c r="RVY30" s="47"/>
      <c r="RVZ30" s="47"/>
      <c r="RWA30" s="47"/>
      <c r="RWB30" s="47"/>
      <c r="RWC30" s="47"/>
      <c r="RWD30" s="47"/>
      <c r="RWE30" s="47"/>
      <c r="RWF30" s="47"/>
      <c r="RWG30" s="47"/>
      <c r="RWH30" s="47"/>
      <c r="RWI30" s="47"/>
      <c r="RWJ30" s="47"/>
      <c r="RWK30" s="47"/>
      <c r="RWL30" s="47"/>
      <c r="RWM30" s="47"/>
      <c r="RWN30" s="47"/>
      <c r="RWO30" s="47"/>
      <c r="RWP30" s="47"/>
      <c r="RWQ30" s="47"/>
      <c r="RWR30" s="47"/>
      <c r="RWS30" s="47"/>
      <c r="RWT30" s="47"/>
      <c r="RWU30" s="47"/>
      <c r="RWV30" s="47"/>
      <c r="RWW30" s="47"/>
      <c r="RWX30" s="47"/>
      <c r="RWY30" s="47"/>
      <c r="RWZ30" s="47"/>
      <c r="RXA30" s="47"/>
      <c r="RXB30" s="47"/>
      <c r="RXC30" s="47"/>
      <c r="RXD30" s="47"/>
      <c r="RXE30" s="47"/>
      <c r="RXF30" s="47"/>
      <c r="RXG30" s="47"/>
      <c r="RXH30" s="47"/>
      <c r="RXI30" s="47"/>
      <c r="RXJ30" s="47"/>
      <c r="RXK30" s="47"/>
      <c r="RXL30" s="47"/>
      <c r="RXM30" s="47"/>
      <c r="RXN30" s="47"/>
      <c r="RXO30" s="47"/>
      <c r="RXP30" s="47"/>
      <c r="RXQ30" s="47"/>
      <c r="RXR30" s="47"/>
      <c r="RXS30" s="47"/>
      <c r="RXT30" s="47"/>
      <c r="RXU30" s="47"/>
      <c r="RXV30" s="47"/>
      <c r="RXW30" s="47"/>
      <c r="RXX30" s="47"/>
      <c r="RXY30" s="47"/>
      <c r="RXZ30" s="47"/>
      <c r="RYA30" s="47"/>
      <c r="RYB30" s="47"/>
      <c r="RYC30" s="47"/>
      <c r="RYD30" s="47"/>
      <c r="RYE30" s="47"/>
      <c r="RYF30" s="47"/>
      <c r="RYG30" s="47"/>
      <c r="RYH30" s="47"/>
      <c r="RYI30" s="47"/>
      <c r="RYJ30" s="47"/>
      <c r="RYK30" s="47"/>
      <c r="RYL30" s="47"/>
      <c r="RYM30" s="47"/>
      <c r="RYN30" s="47"/>
      <c r="RYO30" s="47"/>
      <c r="RYP30" s="47"/>
      <c r="RYQ30" s="47"/>
      <c r="RYR30" s="47"/>
      <c r="RYS30" s="47"/>
      <c r="RYT30" s="47"/>
      <c r="RYU30" s="47"/>
      <c r="RYV30" s="47"/>
      <c r="RYW30" s="47"/>
      <c r="RYX30" s="47"/>
      <c r="RYY30" s="47"/>
      <c r="RYZ30" s="47"/>
      <c r="RZA30" s="47"/>
      <c r="RZB30" s="47"/>
      <c r="RZC30" s="47"/>
      <c r="RZD30" s="47"/>
      <c r="RZE30" s="47"/>
      <c r="RZF30" s="47"/>
      <c r="RZG30" s="47"/>
      <c r="RZH30" s="47"/>
      <c r="RZI30" s="47"/>
      <c r="RZJ30" s="47"/>
      <c r="RZK30" s="47"/>
      <c r="RZL30" s="47"/>
      <c r="RZM30" s="47"/>
      <c r="RZN30" s="47"/>
      <c r="RZO30" s="47"/>
      <c r="RZP30" s="47"/>
      <c r="RZQ30" s="47"/>
      <c r="RZR30" s="47"/>
      <c r="RZS30" s="47"/>
      <c r="RZT30" s="47"/>
      <c r="RZU30" s="47"/>
      <c r="RZV30" s="47"/>
      <c r="RZW30" s="47"/>
      <c r="RZX30" s="47"/>
      <c r="RZY30" s="47"/>
      <c r="RZZ30" s="47"/>
      <c r="SAA30" s="47"/>
      <c r="SAB30" s="47"/>
      <c r="SAC30" s="47"/>
      <c r="SAD30" s="47"/>
      <c r="SAE30" s="47"/>
      <c r="SAF30" s="47"/>
      <c r="SAG30" s="47"/>
      <c r="SAH30" s="47"/>
      <c r="SAI30" s="47"/>
      <c r="SAJ30" s="47"/>
      <c r="SAK30" s="47"/>
      <c r="SAL30" s="47"/>
      <c r="SAM30" s="47"/>
      <c r="SAN30" s="47"/>
      <c r="SAO30" s="47"/>
      <c r="SAP30" s="47"/>
      <c r="SAQ30" s="47"/>
      <c r="SAR30" s="47"/>
      <c r="SAS30" s="47"/>
      <c r="SAT30" s="47"/>
      <c r="SAU30" s="47"/>
      <c r="SAV30" s="47"/>
      <c r="SAW30" s="47"/>
      <c r="SAX30" s="47"/>
      <c r="SAY30" s="47"/>
      <c r="SAZ30" s="47"/>
      <c r="SBA30" s="47"/>
      <c r="SBB30" s="47"/>
      <c r="SBC30" s="47"/>
      <c r="SBD30" s="47"/>
      <c r="SBE30" s="47"/>
      <c r="SBF30" s="47"/>
      <c r="SBG30" s="47"/>
      <c r="SBH30" s="47"/>
      <c r="SBI30" s="47"/>
      <c r="SBJ30" s="47"/>
      <c r="SBK30" s="47"/>
      <c r="SBL30" s="47"/>
      <c r="SBM30" s="47"/>
      <c r="SBN30" s="47"/>
      <c r="SBO30" s="47"/>
      <c r="SBP30" s="47"/>
      <c r="SBQ30" s="47"/>
      <c r="SBR30" s="47"/>
      <c r="SBS30" s="47"/>
      <c r="SBT30" s="47"/>
      <c r="SBU30" s="47"/>
      <c r="SBV30" s="47"/>
      <c r="SBW30" s="47"/>
      <c r="SBX30" s="47"/>
      <c r="SBY30" s="47"/>
      <c r="SBZ30" s="47"/>
      <c r="SCA30" s="47"/>
      <c r="SCB30" s="47"/>
      <c r="SCC30" s="47"/>
      <c r="SCD30" s="47"/>
      <c r="SCE30" s="47"/>
      <c r="SCF30" s="47"/>
      <c r="SCG30" s="47"/>
      <c r="SCH30" s="47"/>
      <c r="SCI30" s="47"/>
      <c r="SCJ30" s="47"/>
      <c r="SCK30" s="47"/>
      <c r="SCL30" s="47"/>
      <c r="SCM30" s="47"/>
      <c r="SCN30" s="47"/>
      <c r="SCO30" s="47"/>
      <c r="SCP30" s="47"/>
      <c r="SCQ30" s="47"/>
      <c r="SCR30" s="47"/>
      <c r="SCS30" s="47"/>
      <c r="SCT30" s="47"/>
      <c r="SCU30" s="47"/>
      <c r="SCV30" s="47"/>
      <c r="SCW30" s="47"/>
      <c r="SCX30" s="47"/>
      <c r="SCY30" s="47"/>
      <c r="SCZ30" s="47"/>
      <c r="SDA30" s="47"/>
      <c r="SDB30" s="47"/>
      <c r="SDC30" s="47"/>
      <c r="SDD30" s="47"/>
      <c r="SDE30" s="47"/>
      <c r="SDF30" s="47"/>
      <c r="SDG30" s="47"/>
      <c r="SDH30" s="47"/>
      <c r="SDI30" s="47"/>
      <c r="SDJ30" s="47"/>
      <c r="SDK30" s="47"/>
      <c r="SDL30" s="47"/>
      <c r="SDM30" s="47"/>
      <c r="SDN30" s="47"/>
      <c r="SDO30" s="47"/>
      <c r="SDP30" s="47"/>
      <c r="SDQ30" s="47"/>
      <c r="SDR30" s="47"/>
      <c r="SDS30" s="47"/>
      <c r="SDT30" s="47"/>
      <c r="SDU30" s="47"/>
      <c r="SDV30" s="47"/>
      <c r="SDW30" s="47"/>
      <c r="SDX30" s="47"/>
      <c r="SDY30" s="47"/>
      <c r="SDZ30" s="47"/>
      <c r="SEA30" s="47"/>
      <c r="SEB30" s="47"/>
      <c r="SEC30" s="47"/>
      <c r="SED30" s="47"/>
      <c r="SEE30" s="47"/>
      <c r="SEF30" s="47"/>
      <c r="SEG30" s="47"/>
      <c r="SEH30" s="47"/>
      <c r="SEI30" s="47"/>
      <c r="SEJ30" s="47"/>
      <c r="SEK30" s="47"/>
      <c r="SEL30" s="47"/>
      <c r="SEM30" s="47"/>
      <c r="SEN30" s="47"/>
      <c r="SEO30" s="47"/>
      <c r="SEP30" s="47"/>
      <c r="SEQ30" s="47"/>
      <c r="SER30" s="47"/>
      <c r="SES30" s="47"/>
      <c r="SET30" s="47"/>
      <c r="SEU30" s="47"/>
      <c r="SEV30" s="47"/>
      <c r="SEW30" s="47"/>
      <c r="SEX30" s="47"/>
      <c r="SEY30" s="47"/>
      <c r="SEZ30" s="47"/>
      <c r="SFA30" s="47"/>
      <c r="SFB30" s="47"/>
      <c r="SFC30" s="47"/>
      <c r="SFD30" s="47"/>
      <c r="SFE30" s="47"/>
      <c r="SFF30" s="47"/>
      <c r="SFG30" s="47"/>
      <c r="SFH30" s="47"/>
      <c r="SFI30" s="47"/>
      <c r="SFJ30" s="47"/>
      <c r="SFK30" s="47"/>
      <c r="SFL30" s="47"/>
      <c r="SFM30" s="47"/>
      <c r="SFN30" s="47"/>
      <c r="SFO30" s="47"/>
      <c r="SFP30" s="47"/>
      <c r="SFQ30" s="47"/>
      <c r="SFR30" s="47"/>
      <c r="SFS30" s="47"/>
      <c r="SFT30" s="47"/>
      <c r="SFU30" s="47"/>
      <c r="SFV30" s="47"/>
      <c r="SFW30" s="47"/>
      <c r="SFX30" s="47"/>
      <c r="SFY30" s="47"/>
      <c r="SFZ30" s="47"/>
      <c r="SGA30" s="47"/>
      <c r="SGB30" s="47"/>
      <c r="SGC30" s="47"/>
      <c r="SGD30" s="47"/>
      <c r="SGE30" s="47"/>
      <c r="SGF30" s="47"/>
      <c r="SGG30" s="47"/>
      <c r="SGH30" s="47"/>
      <c r="SGI30" s="47"/>
      <c r="SGJ30" s="47"/>
      <c r="SGK30" s="47"/>
      <c r="SGL30" s="47"/>
      <c r="SGM30" s="47"/>
      <c r="SGN30" s="47"/>
      <c r="SGO30" s="47"/>
      <c r="SGP30" s="47"/>
      <c r="SGQ30" s="47"/>
      <c r="SGR30" s="47"/>
      <c r="SGS30" s="47"/>
      <c r="SGT30" s="47"/>
      <c r="SGU30" s="47"/>
      <c r="SGV30" s="47"/>
      <c r="SGW30" s="47"/>
      <c r="SGX30" s="47"/>
      <c r="SGY30" s="47"/>
      <c r="SGZ30" s="47"/>
      <c r="SHA30" s="47"/>
      <c r="SHB30" s="47"/>
      <c r="SHC30" s="47"/>
      <c r="SHD30" s="47"/>
      <c r="SHE30" s="47"/>
      <c r="SHF30" s="47"/>
      <c r="SHG30" s="47"/>
      <c r="SHH30" s="47"/>
      <c r="SHI30" s="47"/>
      <c r="SHJ30" s="47"/>
      <c r="SHK30" s="47"/>
      <c r="SHL30" s="47"/>
      <c r="SHM30" s="47"/>
      <c r="SHN30" s="47"/>
      <c r="SHO30" s="47"/>
      <c r="SHP30" s="47"/>
      <c r="SHQ30" s="47"/>
      <c r="SHR30" s="47"/>
      <c r="SHS30" s="47"/>
      <c r="SHT30" s="47"/>
      <c r="SHU30" s="47"/>
      <c r="SHV30" s="47"/>
      <c r="SHW30" s="47"/>
      <c r="SHX30" s="47"/>
      <c r="SHY30" s="47"/>
      <c r="SHZ30" s="47"/>
      <c r="SIA30" s="47"/>
      <c r="SIB30" s="47"/>
      <c r="SIC30" s="47"/>
      <c r="SID30" s="47"/>
      <c r="SIE30" s="47"/>
      <c r="SIF30" s="47"/>
      <c r="SIG30" s="47"/>
      <c r="SIH30" s="47"/>
      <c r="SII30" s="47"/>
      <c r="SIJ30" s="47"/>
      <c r="SIK30" s="47"/>
      <c r="SIL30" s="47"/>
      <c r="SIM30" s="47"/>
      <c r="SIN30" s="47"/>
      <c r="SIO30" s="47"/>
      <c r="SIP30" s="47"/>
      <c r="SIQ30" s="47"/>
      <c r="SIR30" s="47"/>
      <c r="SIS30" s="47"/>
      <c r="SIT30" s="47"/>
      <c r="SIU30" s="47"/>
      <c r="SIV30" s="47"/>
      <c r="SIW30" s="47"/>
      <c r="SIX30" s="47"/>
      <c r="SIY30" s="47"/>
      <c r="SIZ30" s="47"/>
      <c r="SJA30" s="47"/>
      <c r="SJB30" s="47"/>
      <c r="SJC30" s="47"/>
      <c r="SJD30" s="47"/>
      <c r="SJE30" s="47"/>
      <c r="SJF30" s="47"/>
      <c r="SJG30" s="47"/>
      <c r="SJH30" s="47"/>
      <c r="SJI30" s="47"/>
      <c r="SJJ30" s="47"/>
      <c r="SJK30" s="47"/>
      <c r="SJL30" s="47"/>
      <c r="SJM30" s="47"/>
      <c r="SJN30" s="47"/>
      <c r="SJO30" s="47"/>
      <c r="SJP30" s="47"/>
      <c r="SJQ30" s="47"/>
      <c r="SJR30" s="47"/>
      <c r="SJS30" s="47"/>
      <c r="SJT30" s="47"/>
      <c r="SJU30" s="47"/>
      <c r="SJV30" s="47"/>
      <c r="SJW30" s="47"/>
      <c r="SJX30" s="47"/>
      <c r="SJY30" s="47"/>
      <c r="SJZ30" s="47"/>
      <c r="SKA30" s="47"/>
      <c r="SKB30" s="47"/>
      <c r="SKC30" s="47"/>
      <c r="SKD30" s="47"/>
      <c r="SKE30" s="47"/>
      <c r="SKF30" s="47"/>
      <c r="SKG30" s="47"/>
      <c r="SKH30" s="47"/>
      <c r="SKI30" s="47"/>
      <c r="SKJ30" s="47"/>
      <c r="SKK30" s="47"/>
      <c r="SKL30" s="47"/>
      <c r="SKM30" s="47"/>
      <c r="SKN30" s="47"/>
      <c r="SKO30" s="47"/>
      <c r="SKP30" s="47"/>
      <c r="SKQ30" s="47"/>
      <c r="SKR30" s="47"/>
      <c r="SKS30" s="47"/>
      <c r="SKT30" s="47"/>
      <c r="SKU30" s="47"/>
      <c r="SKV30" s="47"/>
      <c r="SKW30" s="47"/>
      <c r="SKX30" s="47"/>
      <c r="SKY30" s="47"/>
      <c r="SKZ30" s="47"/>
      <c r="SLA30" s="47"/>
      <c r="SLB30" s="47"/>
      <c r="SLC30" s="47"/>
      <c r="SLD30" s="47"/>
      <c r="SLE30" s="47"/>
      <c r="SLF30" s="47"/>
      <c r="SLG30" s="47"/>
      <c r="SLH30" s="47"/>
      <c r="SLI30" s="47"/>
      <c r="SLJ30" s="47"/>
      <c r="SLK30" s="47"/>
      <c r="SLL30" s="47"/>
      <c r="SLM30" s="47"/>
      <c r="SLN30" s="47"/>
      <c r="SLO30" s="47"/>
      <c r="SLP30" s="47"/>
      <c r="SLQ30" s="47"/>
      <c r="SLR30" s="47"/>
      <c r="SLS30" s="47"/>
      <c r="SLT30" s="47"/>
      <c r="SLU30" s="47"/>
      <c r="SLV30" s="47"/>
      <c r="SLW30" s="47"/>
      <c r="SLX30" s="47"/>
      <c r="SLY30" s="47"/>
      <c r="SLZ30" s="47"/>
      <c r="SMA30" s="47"/>
      <c r="SMB30" s="47"/>
      <c r="SMC30" s="47"/>
      <c r="SMD30" s="47"/>
      <c r="SME30" s="47"/>
      <c r="SMF30" s="47"/>
      <c r="SMG30" s="47"/>
      <c r="SMH30" s="47"/>
      <c r="SMI30" s="47"/>
      <c r="SMJ30" s="47"/>
      <c r="SMK30" s="47"/>
      <c r="SML30" s="47"/>
      <c r="SMM30" s="47"/>
      <c r="SMN30" s="47"/>
      <c r="SMO30" s="47"/>
      <c r="SMP30" s="47"/>
      <c r="SMQ30" s="47"/>
      <c r="SMR30" s="47"/>
      <c r="SMS30" s="47"/>
      <c r="SMT30" s="47"/>
      <c r="SMU30" s="47"/>
      <c r="SMV30" s="47"/>
      <c r="SMW30" s="47"/>
      <c r="SMX30" s="47"/>
      <c r="SMY30" s="47"/>
      <c r="SMZ30" s="47"/>
      <c r="SNA30" s="47"/>
      <c r="SNB30" s="47"/>
      <c r="SNC30" s="47"/>
      <c r="SND30" s="47"/>
      <c r="SNE30" s="47"/>
      <c r="SNF30" s="47"/>
      <c r="SNG30" s="47"/>
      <c r="SNH30" s="47"/>
      <c r="SNI30" s="47"/>
      <c r="SNJ30" s="47"/>
      <c r="SNK30" s="47"/>
      <c r="SNL30" s="47"/>
      <c r="SNM30" s="47"/>
      <c r="SNN30" s="47"/>
      <c r="SNO30" s="47"/>
      <c r="SNP30" s="47"/>
      <c r="SNQ30" s="47"/>
      <c r="SNR30" s="47"/>
      <c r="SNS30" s="47"/>
      <c r="SNT30" s="47"/>
      <c r="SNU30" s="47"/>
      <c r="SNV30" s="47"/>
      <c r="SNW30" s="47"/>
      <c r="SNX30" s="47"/>
      <c r="SNY30" s="47"/>
      <c r="SNZ30" s="47"/>
      <c r="SOA30" s="47"/>
      <c r="SOB30" s="47"/>
      <c r="SOC30" s="47"/>
      <c r="SOD30" s="47"/>
      <c r="SOE30" s="47"/>
      <c r="SOF30" s="47"/>
      <c r="SOG30" s="47"/>
      <c r="SOH30" s="47"/>
      <c r="SOI30" s="47"/>
      <c r="SOJ30" s="47"/>
      <c r="SOK30" s="47"/>
      <c r="SOL30" s="47"/>
      <c r="SOM30" s="47"/>
      <c r="SON30" s="47"/>
      <c r="SOO30" s="47"/>
      <c r="SOP30" s="47"/>
      <c r="SOQ30" s="47"/>
      <c r="SOR30" s="47"/>
      <c r="SOS30" s="47"/>
      <c r="SOT30" s="47"/>
      <c r="SOU30" s="47"/>
      <c r="SOV30" s="47"/>
      <c r="SOW30" s="47"/>
      <c r="SOX30" s="47"/>
      <c r="SOY30" s="47"/>
      <c r="SOZ30" s="47"/>
      <c r="SPA30" s="47"/>
      <c r="SPB30" s="47"/>
      <c r="SPC30" s="47"/>
      <c r="SPD30" s="47"/>
      <c r="SPE30" s="47"/>
      <c r="SPF30" s="47"/>
      <c r="SPG30" s="47"/>
      <c r="SPH30" s="47"/>
      <c r="SPI30" s="47"/>
      <c r="SPJ30" s="47"/>
      <c r="SPK30" s="47"/>
      <c r="SPL30" s="47"/>
      <c r="SPM30" s="47"/>
      <c r="SPN30" s="47"/>
      <c r="SPO30" s="47"/>
      <c r="SPP30" s="47"/>
      <c r="SPQ30" s="47"/>
      <c r="SPR30" s="47"/>
      <c r="SPS30" s="47"/>
      <c r="SPT30" s="47"/>
      <c r="SPU30" s="47"/>
      <c r="SPV30" s="47"/>
      <c r="SPW30" s="47"/>
      <c r="SPX30" s="47"/>
      <c r="SPY30" s="47"/>
      <c r="SPZ30" s="47"/>
      <c r="SQA30" s="47"/>
      <c r="SQB30" s="47"/>
      <c r="SQC30" s="47"/>
      <c r="SQD30" s="47"/>
      <c r="SQE30" s="47"/>
      <c r="SQF30" s="47"/>
      <c r="SQG30" s="47"/>
      <c r="SQH30" s="47"/>
      <c r="SQI30" s="47"/>
      <c r="SQJ30" s="47"/>
      <c r="SQK30" s="47"/>
      <c r="SQL30" s="47"/>
      <c r="SQM30" s="47"/>
      <c r="SQN30" s="47"/>
      <c r="SQO30" s="47"/>
      <c r="SQP30" s="47"/>
      <c r="SQQ30" s="47"/>
      <c r="SQR30" s="47"/>
      <c r="SQS30" s="47"/>
      <c r="SQT30" s="47"/>
      <c r="SQU30" s="47"/>
      <c r="SQV30" s="47"/>
      <c r="SQW30" s="47"/>
      <c r="SQX30" s="47"/>
      <c r="SQY30" s="47"/>
      <c r="SQZ30" s="47"/>
      <c r="SRA30" s="47"/>
      <c r="SRB30" s="47"/>
      <c r="SRC30" s="47"/>
      <c r="SRD30" s="47"/>
      <c r="SRE30" s="47"/>
      <c r="SRF30" s="47"/>
      <c r="SRG30" s="47"/>
      <c r="SRH30" s="47"/>
      <c r="SRI30" s="47"/>
      <c r="SRJ30" s="47"/>
      <c r="SRK30" s="47"/>
      <c r="SRL30" s="47"/>
      <c r="SRM30" s="47"/>
      <c r="SRN30" s="47"/>
      <c r="SRO30" s="47"/>
      <c r="SRP30" s="47"/>
      <c r="SRQ30" s="47"/>
      <c r="SRR30" s="47"/>
      <c r="SRS30" s="47"/>
      <c r="SRT30" s="47"/>
      <c r="SRU30" s="47"/>
      <c r="SRV30" s="47"/>
      <c r="SRW30" s="47"/>
      <c r="SRX30" s="47"/>
      <c r="SRY30" s="47"/>
      <c r="SRZ30" s="47"/>
      <c r="SSA30" s="47"/>
      <c r="SSB30" s="47"/>
      <c r="SSC30" s="47"/>
      <c r="SSD30" s="47"/>
      <c r="SSE30" s="47"/>
      <c r="SSF30" s="47"/>
      <c r="SSG30" s="47"/>
      <c r="SSH30" s="47"/>
      <c r="SSI30" s="47"/>
      <c r="SSJ30" s="47"/>
      <c r="SSK30" s="47"/>
      <c r="SSL30" s="47"/>
      <c r="SSM30" s="47"/>
      <c r="SSN30" s="47"/>
      <c r="SSO30" s="47"/>
      <c r="SSP30" s="47"/>
      <c r="SSQ30" s="47"/>
      <c r="SSR30" s="47"/>
      <c r="SSS30" s="47"/>
      <c r="SST30" s="47"/>
      <c r="SSU30" s="47"/>
      <c r="SSV30" s="47"/>
      <c r="SSW30" s="47"/>
      <c r="SSX30" s="47"/>
      <c r="SSY30" s="47"/>
      <c r="SSZ30" s="47"/>
      <c r="STA30" s="47"/>
      <c r="STB30" s="47"/>
      <c r="STC30" s="47"/>
      <c r="STD30" s="47"/>
      <c r="STE30" s="47"/>
      <c r="STF30" s="47"/>
      <c r="STG30" s="47"/>
      <c r="STH30" s="47"/>
      <c r="STI30" s="47"/>
      <c r="STJ30" s="47"/>
      <c r="STK30" s="47"/>
      <c r="STL30" s="47"/>
      <c r="STM30" s="47"/>
      <c r="STN30" s="47"/>
      <c r="STO30" s="47"/>
      <c r="STP30" s="47"/>
      <c r="STQ30" s="47"/>
      <c r="STR30" s="47"/>
      <c r="STS30" s="47"/>
      <c r="STT30" s="47"/>
      <c r="STU30" s="47"/>
      <c r="STV30" s="47"/>
      <c r="STW30" s="47"/>
      <c r="STX30" s="47"/>
      <c r="STY30" s="47"/>
      <c r="STZ30" s="47"/>
      <c r="SUA30" s="47"/>
      <c r="SUB30" s="47"/>
      <c r="SUC30" s="47"/>
      <c r="SUD30" s="47"/>
      <c r="SUE30" s="47"/>
      <c r="SUF30" s="47"/>
      <c r="SUG30" s="47"/>
      <c r="SUH30" s="47"/>
      <c r="SUI30" s="47"/>
      <c r="SUJ30" s="47"/>
      <c r="SUK30" s="47"/>
      <c r="SUL30" s="47"/>
      <c r="SUM30" s="47"/>
      <c r="SUN30" s="47"/>
      <c r="SUO30" s="47"/>
      <c r="SUP30" s="47"/>
      <c r="SUQ30" s="47"/>
      <c r="SUR30" s="47"/>
      <c r="SUS30" s="47"/>
      <c r="SUT30" s="47"/>
      <c r="SUU30" s="47"/>
      <c r="SUV30" s="47"/>
      <c r="SUW30" s="47"/>
      <c r="SUX30" s="47"/>
      <c r="SUY30" s="47"/>
      <c r="SUZ30" s="47"/>
      <c r="SVA30" s="47"/>
      <c r="SVB30" s="47"/>
      <c r="SVC30" s="47"/>
      <c r="SVD30" s="47"/>
      <c r="SVE30" s="47"/>
      <c r="SVF30" s="47"/>
      <c r="SVG30" s="47"/>
      <c r="SVH30" s="47"/>
      <c r="SVI30" s="47"/>
      <c r="SVJ30" s="47"/>
      <c r="SVK30" s="47"/>
      <c r="SVL30" s="47"/>
      <c r="SVM30" s="47"/>
      <c r="SVN30" s="47"/>
      <c r="SVO30" s="47"/>
      <c r="SVP30" s="47"/>
      <c r="SVQ30" s="47"/>
      <c r="SVR30" s="47"/>
      <c r="SVS30" s="47"/>
      <c r="SVT30" s="47"/>
      <c r="SVU30" s="47"/>
      <c r="SVV30" s="47"/>
      <c r="SVW30" s="47"/>
      <c r="SVX30" s="47"/>
      <c r="SVY30" s="47"/>
      <c r="SVZ30" s="47"/>
      <c r="SWA30" s="47"/>
      <c r="SWB30" s="47"/>
      <c r="SWC30" s="47"/>
      <c r="SWD30" s="47"/>
      <c r="SWE30" s="47"/>
      <c r="SWF30" s="47"/>
      <c r="SWG30" s="47"/>
      <c r="SWH30" s="47"/>
      <c r="SWI30" s="47"/>
      <c r="SWJ30" s="47"/>
      <c r="SWK30" s="47"/>
      <c r="SWL30" s="47"/>
      <c r="SWM30" s="47"/>
      <c r="SWN30" s="47"/>
      <c r="SWO30" s="47"/>
      <c r="SWP30" s="47"/>
      <c r="SWQ30" s="47"/>
      <c r="SWR30" s="47"/>
      <c r="SWS30" s="47"/>
      <c r="SWT30" s="47"/>
      <c r="SWU30" s="47"/>
      <c r="SWV30" s="47"/>
      <c r="SWW30" s="47"/>
      <c r="SWX30" s="47"/>
      <c r="SWY30" s="47"/>
      <c r="SWZ30" s="47"/>
      <c r="SXA30" s="47"/>
      <c r="SXB30" s="47"/>
      <c r="SXC30" s="47"/>
      <c r="SXD30" s="47"/>
      <c r="SXE30" s="47"/>
      <c r="SXF30" s="47"/>
      <c r="SXG30" s="47"/>
      <c r="SXH30" s="47"/>
      <c r="SXI30" s="47"/>
      <c r="SXJ30" s="47"/>
      <c r="SXK30" s="47"/>
      <c r="SXL30" s="47"/>
      <c r="SXM30" s="47"/>
      <c r="SXN30" s="47"/>
      <c r="SXO30" s="47"/>
      <c r="SXP30" s="47"/>
      <c r="SXQ30" s="47"/>
      <c r="SXR30" s="47"/>
      <c r="SXS30" s="47"/>
      <c r="SXT30" s="47"/>
      <c r="SXU30" s="47"/>
      <c r="SXV30" s="47"/>
      <c r="SXW30" s="47"/>
      <c r="SXX30" s="47"/>
      <c r="SXY30" s="47"/>
      <c r="SXZ30" s="47"/>
      <c r="SYA30" s="47"/>
      <c r="SYB30" s="47"/>
      <c r="SYC30" s="47"/>
      <c r="SYD30" s="47"/>
      <c r="SYE30" s="47"/>
      <c r="SYF30" s="47"/>
      <c r="SYG30" s="47"/>
      <c r="SYH30" s="47"/>
      <c r="SYI30" s="47"/>
      <c r="SYJ30" s="47"/>
      <c r="SYK30" s="47"/>
      <c r="SYL30" s="47"/>
      <c r="SYM30" s="47"/>
      <c r="SYN30" s="47"/>
      <c r="SYO30" s="47"/>
      <c r="SYP30" s="47"/>
      <c r="SYQ30" s="47"/>
      <c r="SYR30" s="47"/>
      <c r="SYS30" s="47"/>
      <c r="SYT30" s="47"/>
      <c r="SYU30" s="47"/>
      <c r="SYV30" s="47"/>
      <c r="SYW30" s="47"/>
      <c r="SYX30" s="47"/>
      <c r="SYY30" s="47"/>
      <c r="SYZ30" s="47"/>
      <c r="SZA30" s="47"/>
      <c r="SZB30" s="47"/>
      <c r="SZC30" s="47"/>
      <c r="SZD30" s="47"/>
      <c r="SZE30" s="47"/>
      <c r="SZF30" s="47"/>
      <c r="SZG30" s="47"/>
      <c r="SZH30" s="47"/>
      <c r="SZI30" s="47"/>
      <c r="SZJ30" s="47"/>
      <c r="SZK30" s="47"/>
      <c r="SZL30" s="47"/>
      <c r="SZM30" s="47"/>
      <c r="SZN30" s="47"/>
      <c r="SZO30" s="47"/>
      <c r="SZP30" s="47"/>
      <c r="SZQ30" s="47"/>
      <c r="SZR30" s="47"/>
      <c r="SZS30" s="47"/>
      <c r="SZT30" s="47"/>
      <c r="SZU30" s="47"/>
      <c r="SZV30" s="47"/>
      <c r="SZW30" s="47"/>
      <c r="SZX30" s="47"/>
      <c r="SZY30" s="47"/>
      <c r="SZZ30" s="47"/>
      <c r="TAA30" s="47"/>
      <c r="TAB30" s="47"/>
      <c r="TAC30" s="47"/>
      <c r="TAD30" s="47"/>
      <c r="TAE30" s="47"/>
      <c r="TAF30" s="47"/>
      <c r="TAG30" s="47"/>
      <c r="TAH30" s="47"/>
      <c r="TAI30" s="47"/>
      <c r="TAJ30" s="47"/>
      <c r="TAK30" s="47"/>
      <c r="TAL30" s="47"/>
      <c r="TAM30" s="47"/>
      <c r="TAN30" s="47"/>
      <c r="TAO30" s="47"/>
      <c r="TAP30" s="47"/>
      <c r="TAQ30" s="47"/>
      <c r="TAR30" s="47"/>
      <c r="TAS30" s="47"/>
      <c r="TAT30" s="47"/>
      <c r="TAU30" s="47"/>
      <c r="TAV30" s="47"/>
      <c r="TAW30" s="47"/>
      <c r="TAX30" s="47"/>
      <c r="TAY30" s="47"/>
      <c r="TAZ30" s="47"/>
      <c r="TBA30" s="47"/>
      <c r="TBB30" s="47"/>
      <c r="TBC30" s="47"/>
      <c r="TBD30" s="47"/>
      <c r="TBE30" s="47"/>
      <c r="TBF30" s="47"/>
      <c r="TBG30" s="47"/>
      <c r="TBH30" s="47"/>
      <c r="TBI30" s="47"/>
      <c r="TBJ30" s="47"/>
      <c r="TBK30" s="47"/>
      <c r="TBL30" s="47"/>
      <c r="TBM30" s="47"/>
      <c r="TBN30" s="47"/>
      <c r="TBO30" s="47"/>
      <c r="TBP30" s="47"/>
      <c r="TBQ30" s="47"/>
      <c r="TBR30" s="47"/>
      <c r="TBS30" s="47"/>
      <c r="TBT30" s="47"/>
      <c r="TBU30" s="47"/>
      <c r="TBV30" s="47"/>
      <c r="TBW30" s="47"/>
      <c r="TBX30" s="47"/>
      <c r="TBY30" s="47"/>
      <c r="TBZ30" s="47"/>
      <c r="TCA30" s="47"/>
      <c r="TCB30" s="47"/>
      <c r="TCC30" s="47"/>
      <c r="TCD30" s="47"/>
      <c r="TCE30" s="47"/>
      <c r="TCF30" s="47"/>
      <c r="TCG30" s="47"/>
      <c r="TCH30" s="47"/>
      <c r="TCI30" s="47"/>
      <c r="TCJ30" s="47"/>
      <c r="TCK30" s="47"/>
      <c r="TCL30" s="47"/>
      <c r="TCM30" s="47"/>
      <c r="TCN30" s="47"/>
      <c r="TCO30" s="47"/>
      <c r="TCP30" s="47"/>
      <c r="TCQ30" s="47"/>
      <c r="TCR30" s="47"/>
      <c r="TCS30" s="47"/>
      <c r="TCT30" s="47"/>
      <c r="TCU30" s="47"/>
      <c r="TCV30" s="47"/>
      <c r="TCW30" s="47"/>
      <c r="TCX30" s="47"/>
      <c r="TCY30" s="47"/>
      <c r="TCZ30" s="47"/>
      <c r="TDA30" s="47"/>
      <c r="TDB30" s="47"/>
      <c r="TDC30" s="47"/>
      <c r="TDD30" s="47"/>
      <c r="TDE30" s="47"/>
      <c r="TDF30" s="47"/>
      <c r="TDG30" s="47"/>
      <c r="TDH30" s="47"/>
      <c r="TDI30" s="47"/>
      <c r="TDJ30" s="47"/>
      <c r="TDK30" s="47"/>
      <c r="TDL30" s="47"/>
      <c r="TDM30" s="47"/>
      <c r="TDN30" s="47"/>
      <c r="TDO30" s="47"/>
      <c r="TDP30" s="47"/>
      <c r="TDQ30" s="47"/>
      <c r="TDR30" s="47"/>
      <c r="TDS30" s="47"/>
      <c r="TDT30" s="47"/>
      <c r="TDU30" s="47"/>
      <c r="TDV30" s="47"/>
      <c r="TDW30" s="47"/>
      <c r="TDX30" s="47"/>
      <c r="TDY30" s="47"/>
      <c r="TDZ30" s="47"/>
      <c r="TEA30" s="47"/>
      <c r="TEB30" s="47"/>
      <c r="TEC30" s="47"/>
      <c r="TED30" s="47"/>
      <c r="TEE30" s="47"/>
      <c r="TEF30" s="47"/>
      <c r="TEG30" s="47"/>
      <c r="TEH30" s="47"/>
      <c r="TEI30" s="47"/>
      <c r="TEJ30" s="47"/>
      <c r="TEK30" s="47"/>
      <c r="TEL30" s="47"/>
      <c r="TEM30" s="47"/>
      <c r="TEN30" s="47"/>
      <c r="TEO30" s="47"/>
      <c r="TEP30" s="47"/>
      <c r="TEQ30" s="47"/>
      <c r="TER30" s="47"/>
      <c r="TES30" s="47"/>
      <c r="TET30" s="47"/>
      <c r="TEU30" s="47"/>
      <c r="TEV30" s="47"/>
      <c r="TEW30" s="47"/>
      <c r="TEX30" s="47"/>
      <c r="TEY30" s="47"/>
      <c r="TEZ30" s="47"/>
      <c r="TFA30" s="47"/>
      <c r="TFB30" s="47"/>
      <c r="TFC30" s="47"/>
      <c r="TFD30" s="47"/>
      <c r="TFE30" s="47"/>
      <c r="TFF30" s="47"/>
      <c r="TFG30" s="47"/>
      <c r="TFH30" s="47"/>
      <c r="TFI30" s="47"/>
      <c r="TFJ30" s="47"/>
      <c r="TFK30" s="47"/>
      <c r="TFL30" s="47"/>
      <c r="TFM30" s="47"/>
      <c r="TFN30" s="47"/>
      <c r="TFO30" s="47"/>
      <c r="TFP30" s="47"/>
      <c r="TFQ30" s="47"/>
      <c r="TFR30" s="47"/>
      <c r="TFS30" s="47"/>
      <c r="TFT30" s="47"/>
      <c r="TFU30" s="47"/>
      <c r="TFV30" s="47"/>
      <c r="TFW30" s="47"/>
      <c r="TFX30" s="47"/>
      <c r="TFY30" s="47"/>
      <c r="TFZ30" s="47"/>
      <c r="TGA30" s="47"/>
      <c r="TGB30" s="47"/>
      <c r="TGC30" s="47"/>
      <c r="TGD30" s="47"/>
      <c r="TGE30" s="47"/>
      <c r="TGF30" s="47"/>
      <c r="TGG30" s="47"/>
      <c r="TGH30" s="47"/>
      <c r="TGI30" s="47"/>
      <c r="TGJ30" s="47"/>
      <c r="TGK30" s="47"/>
      <c r="TGL30" s="47"/>
      <c r="TGM30" s="47"/>
      <c r="TGN30" s="47"/>
      <c r="TGO30" s="47"/>
      <c r="TGP30" s="47"/>
      <c r="TGQ30" s="47"/>
      <c r="TGR30" s="47"/>
      <c r="TGS30" s="47"/>
      <c r="TGT30" s="47"/>
      <c r="TGU30" s="47"/>
      <c r="TGV30" s="47"/>
      <c r="TGW30" s="47"/>
      <c r="TGX30" s="47"/>
      <c r="TGY30" s="47"/>
      <c r="TGZ30" s="47"/>
      <c r="THA30" s="47"/>
      <c r="THB30" s="47"/>
      <c r="THC30" s="47"/>
      <c r="THD30" s="47"/>
      <c r="THE30" s="47"/>
      <c r="THF30" s="47"/>
      <c r="THG30" s="47"/>
      <c r="THH30" s="47"/>
      <c r="THI30" s="47"/>
      <c r="THJ30" s="47"/>
      <c r="THK30" s="47"/>
      <c r="THL30" s="47"/>
      <c r="THM30" s="47"/>
      <c r="THN30" s="47"/>
      <c r="THO30" s="47"/>
      <c r="THP30" s="47"/>
      <c r="THQ30" s="47"/>
      <c r="THR30" s="47"/>
      <c r="THS30" s="47"/>
      <c r="THT30" s="47"/>
      <c r="THU30" s="47"/>
      <c r="THV30" s="47"/>
      <c r="THW30" s="47"/>
      <c r="THX30" s="47"/>
      <c r="THY30" s="47"/>
      <c r="THZ30" s="47"/>
      <c r="TIA30" s="47"/>
      <c r="TIB30" s="47"/>
      <c r="TIC30" s="47"/>
      <c r="TID30" s="47"/>
      <c r="TIE30" s="47"/>
      <c r="TIF30" s="47"/>
      <c r="TIG30" s="47"/>
      <c r="TIH30" s="47"/>
      <c r="TII30" s="47"/>
      <c r="TIJ30" s="47"/>
      <c r="TIK30" s="47"/>
      <c r="TIL30" s="47"/>
      <c r="TIM30" s="47"/>
      <c r="TIN30" s="47"/>
      <c r="TIO30" s="47"/>
      <c r="TIP30" s="47"/>
      <c r="TIQ30" s="47"/>
      <c r="TIR30" s="47"/>
      <c r="TIS30" s="47"/>
      <c r="TIT30" s="47"/>
      <c r="TIU30" s="47"/>
      <c r="TIV30" s="47"/>
      <c r="TIW30" s="47"/>
      <c r="TIX30" s="47"/>
      <c r="TIY30" s="47"/>
      <c r="TIZ30" s="47"/>
      <c r="TJA30" s="47"/>
      <c r="TJB30" s="47"/>
      <c r="TJC30" s="47"/>
      <c r="TJD30" s="47"/>
      <c r="TJE30" s="47"/>
      <c r="TJF30" s="47"/>
      <c r="TJG30" s="47"/>
      <c r="TJH30" s="47"/>
      <c r="TJI30" s="47"/>
      <c r="TJJ30" s="47"/>
      <c r="TJK30" s="47"/>
      <c r="TJL30" s="47"/>
      <c r="TJM30" s="47"/>
      <c r="TJN30" s="47"/>
      <c r="TJO30" s="47"/>
      <c r="TJP30" s="47"/>
      <c r="TJQ30" s="47"/>
      <c r="TJR30" s="47"/>
      <c r="TJS30" s="47"/>
      <c r="TJT30" s="47"/>
      <c r="TJU30" s="47"/>
      <c r="TJV30" s="47"/>
      <c r="TJW30" s="47"/>
      <c r="TJX30" s="47"/>
      <c r="TJY30" s="47"/>
      <c r="TJZ30" s="47"/>
      <c r="TKA30" s="47"/>
      <c r="TKB30" s="47"/>
      <c r="TKC30" s="47"/>
      <c r="TKD30" s="47"/>
      <c r="TKE30" s="47"/>
      <c r="TKF30" s="47"/>
      <c r="TKG30" s="47"/>
      <c r="TKH30" s="47"/>
      <c r="TKI30" s="47"/>
      <c r="TKJ30" s="47"/>
      <c r="TKK30" s="47"/>
      <c r="TKL30" s="47"/>
      <c r="TKM30" s="47"/>
      <c r="TKN30" s="47"/>
      <c r="TKO30" s="47"/>
      <c r="TKP30" s="47"/>
      <c r="TKQ30" s="47"/>
      <c r="TKR30" s="47"/>
      <c r="TKS30" s="47"/>
      <c r="TKT30" s="47"/>
      <c r="TKU30" s="47"/>
      <c r="TKV30" s="47"/>
      <c r="TKW30" s="47"/>
      <c r="TKX30" s="47"/>
      <c r="TKY30" s="47"/>
      <c r="TKZ30" s="47"/>
      <c r="TLA30" s="47"/>
      <c r="TLB30" s="47"/>
      <c r="TLC30" s="47"/>
      <c r="TLD30" s="47"/>
      <c r="TLE30" s="47"/>
      <c r="TLF30" s="47"/>
      <c r="TLG30" s="47"/>
      <c r="TLH30" s="47"/>
      <c r="TLI30" s="47"/>
      <c r="TLJ30" s="47"/>
      <c r="TLK30" s="47"/>
      <c r="TLL30" s="47"/>
      <c r="TLM30" s="47"/>
      <c r="TLN30" s="47"/>
      <c r="TLO30" s="47"/>
      <c r="TLP30" s="47"/>
      <c r="TLQ30" s="47"/>
      <c r="TLR30" s="47"/>
      <c r="TLS30" s="47"/>
      <c r="TLT30" s="47"/>
      <c r="TLU30" s="47"/>
      <c r="TLV30" s="47"/>
      <c r="TLW30" s="47"/>
      <c r="TLX30" s="47"/>
      <c r="TLY30" s="47"/>
      <c r="TLZ30" s="47"/>
      <c r="TMA30" s="47"/>
      <c r="TMB30" s="47"/>
      <c r="TMC30" s="47"/>
      <c r="TMD30" s="47"/>
      <c r="TME30" s="47"/>
      <c r="TMF30" s="47"/>
      <c r="TMG30" s="47"/>
      <c r="TMH30" s="47"/>
      <c r="TMI30" s="47"/>
      <c r="TMJ30" s="47"/>
      <c r="TMK30" s="47"/>
      <c r="TML30" s="47"/>
      <c r="TMM30" s="47"/>
      <c r="TMN30" s="47"/>
      <c r="TMO30" s="47"/>
      <c r="TMP30" s="47"/>
      <c r="TMQ30" s="47"/>
      <c r="TMR30" s="47"/>
      <c r="TMS30" s="47"/>
      <c r="TMT30" s="47"/>
      <c r="TMU30" s="47"/>
      <c r="TMV30" s="47"/>
      <c r="TMW30" s="47"/>
      <c r="TMX30" s="47"/>
      <c r="TMY30" s="47"/>
      <c r="TMZ30" s="47"/>
      <c r="TNA30" s="47"/>
      <c r="TNB30" s="47"/>
      <c r="TNC30" s="47"/>
      <c r="TND30" s="47"/>
      <c r="TNE30" s="47"/>
      <c r="TNF30" s="47"/>
      <c r="TNG30" s="47"/>
      <c r="TNH30" s="47"/>
      <c r="TNI30" s="47"/>
      <c r="TNJ30" s="47"/>
      <c r="TNK30" s="47"/>
      <c r="TNL30" s="47"/>
      <c r="TNM30" s="47"/>
      <c r="TNN30" s="47"/>
      <c r="TNO30" s="47"/>
      <c r="TNP30" s="47"/>
      <c r="TNQ30" s="47"/>
      <c r="TNR30" s="47"/>
      <c r="TNS30" s="47"/>
      <c r="TNT30" s="47"/>
      <c r="TNU30" s="47"/>
      <c r="TNV30" s="47"/>
      <c r="TNW30" s="47"/>
      <c r="TNX30" s="47"/>
      <c r="TNY30" s="47"/>
      <c r="TNZ30" s="47"/>
      <c r="TOA30" s="47"/>
      <c r="TOB30" s="47"/>
      <c r="TOC30" s="47"/>
      <c r="TOD30" s="47"/>
      <c r="TOE30" s="47"/>
      <c r="TOF30" s="47"/>
      <c r="TOG30" s="47"/>
      <c r="TOH30" s="47"/>
      <c r="TOI30" s="47"/>
      <c r="TOJ30" s="47"/>
      <c r="TOK30" s="47"/>
      <c r="TOL30" s="47"/>
      <c r="TOM30" s="47"/>
      <c r="TON30" s="47"/>
      <c r="TOO30" s="47"/>
      <c r="TOP30" s="47"/>
      <c r="TOQ30" s="47"/>
      <c r="TOR30" s="47"/>
      <c r="TOS30" s="47"/>
      <c r="TOT30" s="47"/>
      <c r="TOU30" s="47"/>
      <c r="TOV30" s="47"/>
      <c r="TOW30" s="47"/>
      <c r="TOX30" s="47"/>
      <c r="TOY30" s="47"/>
      <c r="TOZ30" s="47"/>
      <c r="TPA30" s="47"/>
      <c r="TPB30" s="47"/>
      <c r="TPC30" s="47"/>
      <c r="TPD30" s="47"/>
      <c r="TPE30" s="47"/>
      <c r="TPF30" s="47"/>
      <c r="TPG30" s="47"/>
      <c r="TPH30" s="47"/>
      <c r="TPI30" s="47"/>
      <c r="TPJ30" s="47"/>
      <c r="TPK30" s="47"/>
      <c r="TPL30" s="47"/>
      <c r="TPM30" s="47"/>
      <c r="TPN30" s="47"/>
      <c r="TPO30" s="47"/>
      <c r="TPP30" s="47"/>
      <c r="TPQ30" s="47"/>
      <c r="TPR30" s="47"/>
      <c r="TPS30" s="47"/>
      <c r="TPT30" s="47"/>
      <c r="TPU30" s="47"/>
      <c r="TPV30" s="47"/>
      <c r="TPW30" s="47"/>
      <c r="TPX30" s="47"/>
      <c r="TPY30" s="47"/>
      <c r="TPZ30" s="47"/>
      <c r="TQA30" s="47"/>
      <c r="TQB30" s="47"/>
      <c r="TQC30" s="47"/>
      <c r="TQD30" s="47"/>
      <c r="TQE30" s="47"/>
      <c r="TQF30" s="47"/>
      <c r="TQG30" s="47"/>
      <c r="TQH30" s="47"/>
      <c r="TQI30" s="47"/>
      <c r="TQJ30" s="47"/>
      <c r="TQK30" s="47"/>
      <c r="TQL30" s="47"/>
      <c r="TQM30" s="47"/>
      <c r="TQN30" s="47"/>
      <c r="TQO30" s="47"/>
      <c r="TQP30" s="47"/>
      <c r="TQQ30" s="47"/>
      <c r="TQR30" s="47"/>
      <c r="TQS30" s="47"/>
      <c r="TQT30" s="47"/>
      <c r="TQU30" s="47"/>
      <c r="TQV30" s="47"/>
      <c r="TQW30" s="47"/>
      <c r="TQX30" s="47"/>
      <c r="TQY30" s="47"/>
      <c r="TQZ30" s="47"/>
      <c r="TRA30" s="47"/>
      <c r="TRB30" s="47"/>
      <c r="TRC30" s="47"/>
      <c r="TRD30" s="47"/>
      <c r="TRE30" s="47"/>
      <c r="TRF30" s="47"/>
      <c r="TRG30" s="47"/>
      <c r="TRH30" s="47"/>
      <c r="TRI30" s="47"/>
      <c r="TRJ30" s="47"/>
      <c r="TRK30" s="47"/>
      <c r="TRL30" s="47"/>
      <c r="TRM30" s="47"/>
      <c r="TRN30" s="47"/>
      <c r="TRO30" s="47"/>
      <c r="TRP30" s="47"/>
      <c r="TRQ30" s="47"/>
      <c r="TRR30" s="47"/>
      <c r="TRS30" s="47"/>
      <c r="TRT30" s="47"/>
      <c r="TRU30" s="47"/>
      <c r="TRV30" s="47"/>
      <c r="TRW30" s="47"/>
      <c r="TRX30" s="47"/>
      <c r="TRY30" s="47"/>
      <c r="TRZ30" s="47"/>
      <c r="TSA30" s="47"/>
      <c r="TSB30" s="47"/>
      <c r="TSC30" s="47"/>
      <c r="TSD30" s="47"/>
      <c r="TSE30" s="47"/>
      <c r="TSF30" s="47"/>
      <c r="TSG30" s="47"/>
      <c r="TSH30" s="47"/>
      <c r="TSI30" s="47"/>
      <c r="TSJ30" s="47"/>
      <c r="TSK30" s="47"/>
      <c r="TSL30" s="47"/>
      <c r="TSM30" s="47"/>
      <c r="TSN30" s="47"/>
      <c r="TSO30" s="47"/>
      <c r="TSP30" s="47"/>
      <c r="TSQ30" s="47"/>
      <c r="TSR30" s="47"/>
      <c r="TSS30" s="47"/>
      <c r="TST30" s="47"/>
      <c r="TSU30" s="47"/>
      <c r="TSV30" s="47"/>
      <c r="TSW30" s="47"/>
      <c r="TSX30" s="47"/>
      <c r="TSY30" s="47"/>
      <c r="TSZ30" s="47"/>
      <c r="TTA30" s="47"/>
      <c r="TTB30" s="47"/>
      <c r="TTC30" s="47"/>
      <c r="TTD30" s="47"/>
      <c r="TTE30" s="47"/>
      <c r="TTF30" s="47"/>
      <c r="TTG30" s="47"/>
      <c r="TTH30" s="47"/>
      <c r="TTI30" s="47"/>
      <c r="TTJ30" s="47"/>
      <c r="TTK30" s="47"/>
      <c r="TTL30" s="47"/>
      <c r="TTM30" s="47"/>
      <c r="TTN30" s="47"/>
      <c r="TTO30" s="47"/>
      <c r="TTP30" s="47"/>
      <c r="TTQ30" s="47"/>
      <c r="TTR30" s="47"/>
      <c r="TTS30" s="47"/>
      <c r="TTT30" s="47"/>
      <c r="TTU30" s="47"/>
      <c r="TTV30" s="47"/>
      <c r="TTW30" s="47"/>
      <c r="TTX30" s="47"/>
      <c r="TTY30" s="47"/>
      <c r="TTZ30" s="47"/>
      <c r="TUA30" s="47"/>
      <c r="TUB30" s="47"/>
      <c r="TUC30" s="47"/>
      <c r="TUD30" s="47"/>
      <c r="TUE30" s="47"/>
      <c r="TUF30" s="47"/>
      <c r="TUG30" s="47"/>
      <c r="TUH30" s="47"/>
      <c r="TUI30" s="47"/>
      <c r="TUJ30" s="47"/>
      <c r="TUK30" s="47"/>
      <c r="TUL30" s="47"/>
      <c r="TUM30" s="47"/>
      <c r="TUN30" s="47"/>
      <c r="TUO30" s="47"/>
      <c r="TUP30" s="47"/>
      <c r="TUQ30" s="47"/>
      <c r="TUR30" s="47"/>
      <c r="TUS30" s="47"/>
      <c r="TUT30" s="47"/>
      <c r="TUU30" s="47"/>
      <c r="TUV30" s="47"/>
      <c r="TUW30" s="47"/>
      <c r="TUX30" s="47"/>
      <c r="TUY30" s="47"/>
      <c r="TUZ30" s="47"/>
      <c r="TVA30" s="47"/>
      <c r="TVB30" s="47"/>
      <c r="TVC30" s="47"/>
      <c r="TVD30" s="47"/>
      <c r="TVE30" s="47"/>
      <c r="TVF30" s="47"/>
      <c r="TVG30" s="47"/>
      <c r="TVH30" s="47"/>
      <c r="TVI30" s="47"/>
      <c r="TVJ30" s="47"/>
      <c r="TVK30" s="47"/>
      <c r="TVL30" s="47"/>
      <c r="TVM30" s="47"/>
      <c r="TVN30" s="47"/>
      <c r="TVO30" s="47"/>
      <c r="TVP30" s="47"/>
      <c r="TVQ30" s="47"/>
      <c r="TVR30" s="47"/>
      <c r="TVS30" s="47"/>
      <c r="TVT30" s="47"/>
      <c r="TVU30" s="47"/>
      <c r="TVV30" s="47"/>
      <c r="TVW30" s="47"/>
      <c r="TVX30" s="47"/>
      <c r="TVY30" s="47"/>
      <c r="TVZ30" s="47"/>
      <c r="TWA30" s="47"/>
      <c r="TWB30" s="47"/>
      <c r="TWC30" s="47"/>
      <c r="TWD30" s="47"/>
      <c r="TWE30" s="47"/>
      <c r="TWF30" s="47"/>
      <c r="TWG30" s="47"/>
      <c r="TWH30" s="47"/>
      <c r="TWI30" s="47"/>
      <c r="TWJ30" s="47"/>
      <c r="TWK30" s="47"/>
      <c r="TWL30" s="47"/>
      <c r="TWM30" s="47"/>
      <c r="TWN30" s="47"/>
      <c r="TWO30" s="47"/>
      <c r="TWP30" s="47"/>
      <c r="TWQ30" s="47"/>
      <c r="TWR30" s="47"/>
      <c r="TWS30" s="47"/>
      <c r="TWT30" s="47"/>
      <c r="TWU30" s="47"/>
      <c r="TWV30" s="47"/>
      <c r="TWW30" s="47"/>
      <c r="TWX30" s="47"/>
      <c r="TWY30" s="47"/>
      <c r="TWZ30" s="47"/>
      <c r="TXA30" s="47"/>
      <c r="TXB30" s="47"/>
      <c r="TXC30" s="47"/>
      <c r="TXD30" s="47"/>
      <c r="TXE30" s="47"/>
      <c r="TXF30" s="47"/>
      <c r="TXG30" s="47"/>
      <c r="TXH30" s="47"/>
      <c r="TXI30" s="47"/>
      <c r="TXJ30" s="47"/>
      <c r="TXK30" s="47"/>
      <c r="TXL30" s="47"/>
      <c r="TXM30" s="47"/>
      <c r="TXN30" s="47"/>
      <c r="TXO30" s="47"/>
      <c r="TXP30" s="47"/>
      <c r="TXQ30" s="47"/>
      <c r="TXR30" s="47"/>
      <c r="TXS30" s="47"/>
      <c r="TXT30" s="47"/>
      <c r="TXU30" s="47"/>
      <c r="TXV30" s="47"/>
      <c r="TXW30" s="47"/>
      <c r="TXX30" s="47"/>
      <c r="TXY30" s="47"/>
      <c r="TXZ30" s="47"/>
      <c r="TYA30" s="47"/>
      <c r="TYB30" s="47"/>
      <c r="TYC30" s="47"/>
      <c r="TYD30" s="47"/>
      <c r="TYE30" s="47"/>
      <c r="TYF30" s="47"/>
      <c r="TYG30" s="47"/>
      <c r="TYH30" s="47"/>
      <c r="TYI30" s="47"/>
      <c r="TYJ30" s="47"/>
      <c r="TYK30" s="47"/>
      <c r="TYL30" s="47"/>
      <c r="TYM30" s="47"/>
      <c r="TYN30" s="47"/>
      <c r="TYO30" s="47"/>
      <c r="TYP30" s="47"/>
      <c r="TYQ30" s="47"/>
      <c r="TYR30" s="47"/>
      <c r="TYS30" s="47"/>
      <c r="TYT30" s="47"/>
      <c r="TYU30" s="47"/>
      <c r="TYV30" s="47"/>
      <c r="TYW30" s="47"/>
      <c r="TYX30" s="47"/>
      <c r="TYY30" s="47"/>
      <c r="TYZ30" s="47"/>
      <c r="TZA30" s="47"/>
      <c r="TZB30" s="47"/>
      <c r="TZC30" s="47"/>
      <c r="TZD30" s="47"/>
      <c r="TZE30" s="47"/>
      <c r="TZF30" s="47"/>
      <c r="TZG30" s="47"/>
      <c r="TZH30" s="47"/>
      <c r="TZI30" s="47"/>
      <c r="TZJ30" s="47"/>
      <c r="TZK30" s="47"/>
      <c r="TZL30" s="47"/>
      <c r="TZM30" s="47"/>
      <c r="TZN30" s="47"/>
      <c r="TZO30" s="47"/>
      <c r="TZP30" s="47"/>
      <c r="TZQ30" s="47"/>
      <c r="TZR30" s="47"/>
      <c r="TZS30" s="47"/>
      <c r="TZT30" s="47"/>
      <c r="TZU30" s="47"/>
      <c r="TZV30" s="47"/>
      <c r="TZW30" s="47"/>
      <c r="TZX30" s="47"/>
      <c r="TZY30" s="47"/>
      <c r="TZZ30" s="47"/>
      <c r="UAA30" s="47"/>
      <c r="UAB30" s="47"/>
      <c r="UAC30" s="47"/>
      <c r="UAD30" s="47"/>
      <c r="UAE30" s="47"/>
      <c r="UAF30" s="47"/>
      <c r="UAG30" s="47"/>
      <c r="UAH30" s="47"/>
      <c r="UAI30" s="47"/>
      <c r="UAJ30" s="47"/>
      <c r="UAK30" s="47"/>
      <c r="UAL30" s="47"/>
      <c r="UAM30" s="47"/>
      <c r="UAN30" s="47"/>
      <c r="UAO30" s="47"/>
      <c r="UAP30" s="47"/>
      <c r="UAQ30" s="47"/>
      <c r="UAR30" s="47"/>
      <c r="UAS30" s="47"/>
      <c r="UAT30" s="47"/>
      <c r="UAU30" s="47"/>
      <c r="UAV30" s="47"/>
      <c r="UAW30" s="47"/>
      <c r="UAX30" s="47"/>
      <c r="UAY30" s="47"/>
      <c r="UAZ30" s="47"/>
      <c r="UBA30" s="47"/>
      <c r="UBB30" s="47"/>
      <c r="UBC30" s="47"/>
      <c r="UBD30" s="47"/>
      <c r="UBE30" s="47"/>
      <c r="UBF30" s="47"/>
      <c r="UBG30" s="47"/>
      <c r="UBH30" s="47"/>
      <c r="UBI30" s="47"/>
      <c r="UBJ30" s="47"/>
      <c r="UBK30" s="47"/>
      <c r="UBL30" s="47"/>
      <c r="UBM30" s="47"/>
      <c r="UBN30" s="47"/>
      <c r="UBO30" s="47"/>
      <c r="UBP30" s="47"/>
      <c r="UBQ30" s="47"/>
      <c r="UBR30" s="47"/>
      <c r="UBS30" s="47"/>
      <c r="UBT30" s="47"/>
      <c r="UBU30" s="47"/>
      <c r="UBV30" s="47"/>
      <c r="UBW30" s="47"/>
      <c r="UBX30" s="47"/>
      <c r="UBY30" s="47"/>
      <c r="UBZ30" s="47"/>
      <c r="UCA30" s="47"/>
      <c r="UCB30" s="47"/>
      <c r="UCC30" s="47"/>
      <c r="UCD30" s="47"/>
      <c r="UCE30" s="47"/>
      <c r="UCF30" s="47"/>
      <c r="UCG30" s="47"/>
      <c r="UCH30" s="47"/>
      <c r="UCI30" s="47"/>
      <c r="UCJ30" s="47"/>
      <c r="UCK30" s="47"/>
      <c r="UCL30" s="47"/>
      <c r="UCM30" s="47"/>
      <c r="UCN30" s="47"/>
      <c r="UCO30" s="47"/>
      <c r="UCP30" s="47"/>
      <c r="UCQ30" s="47"/>
      <c r="UCR30" s="47"/>
      <c r="UCS30" s="47"/>
      <c r="UCT30" s="47"/>
      <c r="UCU30" s="47"/>
      <c r="UCV30" s="47"/>
      <c r="UCW30" s="47"/>
      <c r="UCX30" s="47"/>
      <c r="UCY30" s="47"/>
      <c r="UCZ30" s="47"/>
      <c r="UDA30" s="47"/>
      <c r="UDB30" s="47"/>
      <c r="UDC30" s="47"/>
      <c r="UDD30" s="47"/>
      <c r="UDE30" s="47"/>
      <c r="UDF30" s="47"/>
      <c r="UDG30" s="47"/>
      <c r="UDH30" s="47"/>
      <c r="UDI30" s="47"/>
      <c r="UDJ30" s="47"/>
      <c r="UDK30" s="47"/>
      <c r="UDL30" s="47"/>
      <c r="UDM30" s="47"/>
      <c r="UDN30" s="47"/>
      <c r="UDO30" s="47"/>
      <c r="UDP30" s="47"/>
      <c r="UDQ30" s="47"/>
      <c r="UDR30" s="47"/>
      <c r="UDS30" s="47"/>
      <c r="UDT30" s="47"/>
      <c r="UDU30" s="47"/>
      <c r="UDV30" s="47"/>
      <c r="UDW30" s="47"/>
      <c r="UDX30" s="47"/>
      <c r="UDY30" s="47"/>
      <c r="UDZ30" s="47"/>
      <c r="UEA30" s="47"/>
      <c r="UEB30" s="47"/>
      <c r="UEC30" s="47"/>
      <c r="UED30" s="47"/>
      <c r="UEE30" s="47"/>
      <c r="UEF30" s="47"/>
      <c r="UEG30" s="47"/>
      <c r="UEH30" s="47"/>
      <c r="UEI30" s="47"/>
      <c r="UEJ30" s="47"/>
      <c r="UEK30" s="47"/>
      <c r="UEL30" s="47"/>
      <c r="UEM30" s="47"/>
      <c r="UEN30" s="47"/>
      <c r="UEO30" s="47"/>
      <c r="UEP30" s="47"/>
      <c r="UEQ30" s="47"/>
      <c r="UER30" s="47"/>
      <c r="UES30" s="47"/>
      <c r="UET30" s="47"/>
      <c r="UEU30" s="47"/>
      <c r="UEV30" s="47"/>
      <c r="UEW30" s="47"/>
      <c r="UEX30" s="47"/>
      <c r="UEY30" s="47"/>
      <c r="UEZ30" s="47"/>
      <c r="UFA30" s="47"/>
      <c r="UFB30" s="47"/>
      <c r="UFC30" s="47"/>
      <c r="UFD30" s="47"/>
      <c r="UFE30" s="47"/>
      <c r="UFF30" s="47"/>
      <c r="UFG30" s="47"/>
      <c r="UFH30" s="47"/>
      <c r="UFI30" s="47"/>
      <c r="UFJ30" s="47"/>
      <c r="UFK30" s="47"/>
      <c r="UFL30" s="47"/>
      <c r="UFM30" s="47"/>
      <c r="UFN30" s="47"/>
      <c r="UFO30" s="47"/>
      <c r="UFP30" s="47"/>
      <c r="UFQ30" s="47"/>
      <c r="UFR30" s="47"/>
      <c r="UFS30" s="47"/>
      <c r="UFT30" s="47"/>
      <c r="UFU30" s="47"/>
      <c r="UFV30" s="47"/>
      <c r="UFW30" s="47"/>
      <c r="UFX30" s="47"/>
      <c r="UFY30" s="47"/>
      <c r="UFZ30" s="47"/>
      <c r="UGA30" s="47"/>
      <c r="UGB30" s="47"/>
      <c r="UGC30" s="47"/>
      <c r="UGD30" s="47"/>
      <c r="UGE30" s="47"/>
      <c r="UGF30" s="47"/>
      <c r="UGG30" s="47"/>
      <c r="UGH30" s="47"/>
      <c r="UGI30" s="47"/>
      <c r="UGJ30" s="47"/>
      <c r="UGK30" s="47"/>
      <c r="UGL30" s="47"/>
      <c r="UGM30" s="47"/>
      <c r="UGN30" s="47"/>
      <c r="UGO30" s="47"/>
      <c r="UGP30" s="47"/>
      <c r="UGQ30" s="47"/>
      <c r="UGR30" s="47"/>
      <c r="UGS30" s="47"/>
      <c r="UGT30" s="47"/>
      <c r="UGU30" s="47"/>
      <c r="UGV30" s="47"/>
      <c r="UGW30" s="47"/>
      <c r="UGX30" s="47"/>
      <c r="UGY30" s="47"/>
      <c r="UGZ30" s="47"/>
      <c r="UHA30" s="47"/>
      <c r="UHB30" s="47"/>
      <c r="UHC30" s="47"/>
      <c r="UHD30" s="47"/>
      <c r="UHE30" s="47"/>
      <c r="UHF30" s="47"/>
      <c r="UHG30" s="47"/>
      <c r="UHH30" s="47"/>
      <c r="UHI30" s="47"/>
      <c r="UHJ30" s="47"/>
      <c r="UHK30" s="47"/>
      <c r="UHL30" s="47"/>
      <c r="UHM30" s="47"/>
      <c r="UHN30" s="47"/>
      <c r="UHO30" s="47"/>
      <c r="UHP30" s="47"/>
      <c r="UHQ30" s="47"/>
      <c r="UHR30" s="47"/>
      <c r="UHS30" s="47"/>
      <c r="UHT30" s="47"/>
      <c r="UHU30" s="47"/>
      <c r="UHV30" s="47"/>
      <c r="UHW30" s="47"/>
      <c r="UHX30" s="47"/>
      <c r="UHY30" s="47"/>
      <c r="UHZ30" s="47"/>
      <c r="UIA30" s="47"/>
      <c r="UIB30" s="47"/>
      <c r="UIC30" s="47"/>
      <c r="UID30" s="47"/>
      <c r="UIE30" s="47"/>
      <c r="UIF30" s="47"/>
      <c r="UIG30" s="47"/>
      <c r="UIH30" s="47"/>
      <c r="UII30" s="47"/>
      <c r="UIJ30" s="47"/>
      <c r="UIK30" s="47"/>
      <c r="UIL30" s="47"/>
      <c r="UIM30" s="47"/>
      <c r="UIN30" s="47"/>
      <c r="UIO30" s="47"/>
      <c r="UIP30" s="47"/>
      <c r="UIQ30" s="47"/>
      <c r="UIR30" s="47"/>
      <c r="UIS30" s="47"/>
      <c r="UIT30" s="47"/>
      <c r="UIU30" s="47"/>
      <c r="UIV30" s="47"/>
      <c r="UIW30" s="47"/>
      <c r="UIX30" s="47"/>
      <c r="UIY30" s="47"/>
      <c r="UIZ30" s="47"/>
      <c r="UJA30" s="47"/>
      <c r="UJB30" s="47"/>
      <c r="UJC30" s="47"/>
      <c r="UJD30" s="47"/>
      <c r="UJE30" s="47"/>
      <c r="UJF30" s="47"/>
      <c r="UJG30" s="47"/>
      <c r="UJH30" s="47"/>
      <c r="UJI30" s="47"/>
      <c r="UJJ30" s="47"/>
      <c r="UJK30" s="47"/>
      <c r="UJL30" s="47"/>
      <c r="UJM30" s="47"/>
      <c r="UJN30" s="47"/>
      <c r="UJO30" s="47"/>
      <c r="UJP30" s="47"/>
      <c r="UJQ30" s="47"/>
      <c r="UJR30" s="47"/>
      <c r="UJS30" s="47"/>
      <c r="UJT30" s="47"/>
      <c r="UJU30" s="47"/>
      <c r="UJV30" s="47"/>
      <c r="UJW30" s="47"/>
      <c r="UJX30" s="47"/>
      <c r="UJY30" s="47"/>
      <c r="UJZ30" s="47"/>
      <c r="UKA30" s="47"/>
      <c r="UKB30" s="47"/>
      <c r="UKC30" s="47"/>
      <c r="UKD30" s="47"/>
      <c r="UKE30" s="47"/>
      <c r="UKF30" s="47"/>
      <c r="UKG30" s="47"/>
      <c r="UKH30" s="47"/>
      <c r="UKI30" s="47"/>
      <c r="UKJ30" s="47"/>
      <c r="UKK30" s="47"/>
      <c r="UKL30" s="47"/>
      <c r="UKM30" s="47"/>
      <c r="UKN30" s="47"/>
      <c r="UKO30" s="47"/>
      <c r="UKP30" s="47"/>
      <c r="UKQ30" s="47"/>
      <c r="UKR30" s="47"/>
      <c r="UKS30" s="47"/>
      <c r="UKT30" s="47"/>
      <c r="UKU30" s="47"/>
      <c r="UKV30" s="47"/>
      <c r="UKW30" s="47"/>
      <c r="UKX30" s="47"/>
      <c r="UKY30" s="47"/>
      <c r="UKZ30" s="47"/>
      <c r="ULA30" s="47"/>
      <c r="ULB30" s="47"/>
      <c r="ULC30" s="47"/>
      <c r="ULD30" s="47"/>
      <c r="ULE30" s="47"/>
      <c r="ULF30" s="47"/>
      <c r="ULG30" s="47"/>
      <c r="ULH30" s="47"/>
      <c r="ULI30" s="47"/>
      <c r="ULJ30" s="47"/>
      <c r="ULK30" s="47"/>
      <c r="ULL30" s="47"/>
      <c r="ULM30" s="47"/>
      <c r="ULN30" s="47"/>
      <c r="ULO30" s="47"/>
      <c r="ULP30" s="47"/>
      <c r="ULQ30" s="47"/>
      <c r="ULR30" s="47"/>
      <c r="ULS30" s="47"/>
      <c r="ULT30" s="47"/>
      <c r="ULU30" s="47"/>
      <c r="ULV30" s="47"/>
      <c r="ULW30" s="47"/>
      <c r="ULX30" s="47"/>
      <c r="ULY30" s="47"/>
      <c r="ULZ30" s="47"/>
      <c r="UMA30" s="47"/>
      <c r="UMB30" s="47"/>
      <c r="UMC30" s="47"/>
      <c r="UMD30" s="47"/>
      <c r="UME30" s="47"/>
      <c r="UMF30" s="47"/>
      <c r="UMG30" s="47"/>
      <c r="UMH30" s="47"/>
      <c r="UMI30" s="47"/>
      <c r="UMJ30" s="47"/>
      <c r="UMK30" s="47"/>
      <c r="UML30" s="47"/>
      <c r="UMM30" s="47"/>
      <c r="UMN30" s="47"/>
      <c r="UMO30" s="47"/>
      <c r="UMP30" s="47"/>
      <c r="UMQ30" s="47"/>
      <c r="UMR30" s="47"/>
      <c r="UMS30" s="47"/>
      <c r="UMT30" s="47"/>
      <c r="UMU30" s="47"/>
      <c r="UMV30" s="47"/>
      <c r="UMW30" s="47"/>
      <c r="UMX30" s="47"/>
      <c r="UMY30" s="47"/>
      <c r="UMZ30" s="47"/>
      <c r="UNA30" s="47"/>
      <c r="UNB30" s="47"/>
      <c r="UNC30" s="47"/>
      <c r="UND30" s="47"/>
      <c r="UNE30" s="47"/>
      <c r="UNF30" s="47"/>
      <c r="UNG30" s="47"/>
      <c r="UNH30" s="47"/>
      <c r="UNI30" s="47"/>
      <c r="UNJ30" s="47"/>
      <c r="UNK30" s="47"/>
      <c r="UNL30" s="47"/>
      <c r="UNM30" s="47"/>
      <c r="UNN30" s="47"/>
      <c r="UNO30" s="47"/>
      <c r="UNP30" s="47"/>
      <c r="UNQ30" s="47"/>
      <c r="UNR30" s="47"/>
      <c r="UNS30" s="47"/>
      <c r="UNT30" s="47"/>
      <c r="UNU30" s="47"/>
      <c r="UNV30" s="47"/>
      <c r="UNW30" s="47"/>
      <c r="UNX30" s="47"/>
      <c r="UNY30" s="47"/>
      <c r="UNZ30" s="47"/>
      <c r="UOA30" s="47"/>
      <c r="UOB30" s="47"/>
      <c r="UOC30" s="47"/>
      <c r="UOD30" s="47"/>
      <c r="UOE30" s="47"/>
      <c r="UOF30" s="47"/>
      <c r="UOG30" s="47"/>
      <c r="UOH30" s="47"/>
      <c r="UOI30" s="47"/>
      <c r="UOJ30" s="47"/>
      <c r="UOK30" s="47"/>
      <c r="UOL30" s="47"/>
      <c r="UOM30" s="47"/>
      <c r="UON30" s="47"/>
      <c r="UOO30" s="47"/>
      <c r="UOP30" s="47"/>
      <c r="UOQ30" s="47"/>
      <c r="UOR30" s="47"/>
      <c r="UOS30" s="47"/>
      <c r="UOT30" s="47"/>
      <c r="UOU30" s="47"/>
      <c r="UOV30" s="47"/>
      <c r="UOW30" s="47"/>
      <c r="UOX30" s="47"/>
      <c r="UOY30" s="47"/>
      <c r="UOZ30" s="47"/>
      <c r="UPA30" s="47"/>
      <c r="UPB30" s="47"/>
      <c r="UPC30" s="47"/>
      <c r="UPD30" s="47"/>
      <c r="UPE30" s="47"/>
      <c r="UPF30" s="47"/>
      <c r="UPG30" s="47"/>
      <c r="UPH30" s="47"/>
      <c r="UPI30" s="47"/>
      <c r="UPJ30" s="47"/>
      <c r="UPK30" s="47"/>
      <c r="UPL30" s="47"/>
      <c r="UPM30" s="47"/>
      <c r="UPN30" s="47"/>
      <c r="UPO30" s="47"/>
      <c r="UPP30" s="47"/>
      <c r="UPQ30" s="47"/>
      <c r="UPR30" s="47"/>
      <c r="UPS30" s="47"/>
      <c r="UPT30" s="47"/>
      <c r="UPU30" s="47"/>
      <c r="UPV30" s="47"/>
      <c r="UPW30" s="47"/>
      <c r="UPX30" s="47"/>
      <c r="UPY30" s="47"/>
      <c r="UPZ30" s="47"/>
      <c r="UQA30" s="47"/>
      <c r="UQB30" s="47"/>
      <c r="UQC30" s="47"/>
      <c r="UQD30" s="47"/>
      <c r="UQE30" s="47"/>
      <c r="UQF30" s="47"/>
      <c r="UQG30" s="47"/>
      <c r="UQH30" s="47"/>
      <c r="UQI30" s="47"/>
      <c r="UQJ30" s="47"/>
      <c r="UQK30" s="47"/>
      <c r="UQL30" s="47"/>
      <c r="UQM30" s="47"/>
      <c r="UQN30" s="47"/>
      <c r="UQO30" s="47"/>
      <c r="UQP30" s="47"/>
      <c r="UQQ30" s="47"/>
      <c r="UQR30" s="47"/>
      <c r="UQS30" s="47"/>
      <c r="UQT30" s="47"/>
      <c r="UQU30" s="47"/>
      <c r="UQV30" s="47"/>
      <c r="UQW30" s="47"/>
      <c r="UQX30" s="47"/>
      <c r="UQY30" s="47"/>
      <c r="UQZ30" s="47"/>
      <c r="URA30" s="47"/>
      <c r="URB30" s="47"/>
      <c r="URC30" s="47"/>
      <c r="URD30" s="47"/>
      <c r="URE30" s="47"/>
      <c r="URF30" s="47"/>
      <c r="URG30" s="47"/>
      <c r="URH30" s="47"/>
      <c r="URI30" s="47"/>
      <c r="URJ30" s="47"/>
      <c r="URK30" s="47"/>
      <c r="URL30" s="47"/>
      <c r="URM30" s="47"/>
      <c r="URN30" s="47"/>
      <c r="URO30" s="47"/>
      <c r="URP30" s="47"/>
      <c r="URQ30" s="47"/>
      <c r="URR30" s="47"/>
      <c r="URS30" s="47"/>
      <c r="URT30" s="47"/>
      <c r="URU30" s="47"/>
      <c r="URV30" s="47"/>
      <c r="URW30" s="47"/>
      <c r="URX30" s="47"/>
      <c r="URY30" s="47"/>
      <c r="URZ30" s="47"/>
      <c r="USA30" s="47"/>
      <c r="USB30" s="47"/>
      <c r="USC30" s="47"/>
      <c r="USD30" s="47"/>
      <c r="USE30" s="47"/>
      <c r="USF30" s="47"/>
      <c r="USG30" s="47"/>
      <c r="USH30" s="47"/>
      <c r="USI30" s="47"/>
      <c r="USJ30" s="47"/>
      <c r="USK30" s="47"/>
      <c r="USL30" s="47"/>
      <c r="USM30" s="47"/>
      <c r="USN30" s="47"/>
      <c r="USO30" s="47"/>
      <c r="USP30" s="47"/>
      <c r="USQ30" s="47"/>
      <c r="USR30" s="47"/>
      <c r="USS30" s="47"/>
      <c r="UST30" s="47"/>
      <c r="USU30" s="47"/>
      <c r="USV30" s="47"/>
      <c r="USW30" s="47"/>
      <c r="USX30" s="47"/>
      <c r="USY30" s="47"/>
      <c r="USZ30" s="47"/>
      <c r="UTA30" s="47"/>
      <c r="UTB30" s="47"/>
      <c r="UTC30" s="47"/>
      <c r="UTD30" s="47"/>
      <c r="UTE30" s="47"/>
      <c r="UTF30" s="47"/>
      <c r="UTG30" s="47"/>
      <c r="UTH30" s="47"/>
      <c r="UTI30" s="47"/>
      <c r="UTJ30" s="47"/>
      <c r="UTK30" s="47"/>
      <c r="UTL30" s="47"/>
      <c r="UTM30" s="47"/>
      <c r="UTN30" s="47"/>
      <c r="UTO30" s="47"/>
      <c r="UTP30" s="47"/>
      <c r="UTQ30" s="47"/>
      <c r="UTR30" s="47"/>
      <c r="UTS30" s="47"/>
      <c r="UTT30" s="47"/>
      <c r="UTU30" s="47"/>
      <c r="UTV30" s="47"/>
      <c r="UTW30" s="47"/>
      <c r="UTX30" s="47"/>
      <c r="UTY30" s="47"/>
      <c r="UTZ30" s="47"/>
      <c r="UUA30" s="47"/>
      <c r="UUB30" s="47"/>
      <c r="UUC30" s="47"/>
      <c r="UUD30" s="47"/>
      <c r="UUE30" s="47"/>
      <c r="UUF30" s="47"/>
      <c r="UUG30" s="47"/>
      <c r="UUH30" s="47"/>
      <c r="UUI30" s="47"/>
      <c r="UUJ30" s="47"/>
      <c r="UUK30" s="47"/>
      <c r="UUL30" s="47"/>
      <c r="UUM30" s="47"/>
      <c r="UUN30" s="47"/>
      <c r="UUO30" s="47"/>
      <c r="UUP30" s="47"/>
      <c r="UUQ30" s="47"/>
      <c r="UUR30" s="47"/>
      <c r="UUS30" s="47"/>
      <c r="UUT30" s="47"/>
      <c r="UUU30" s="47"/>
      <c r="UUV30" s="47"/>
      <c r="UUW30" s="47"/>
      <c r="UUX30" s="47"/>
      <c r="UUY30" s="47"/>
      <c r="UUZ30" s="47"/>
      <c r="UVA30" s="47"/>
      <c r="UVB30" s="47"/>
      <c r="UVC30" s="47"/>
      <c r="UVD30" s="47"/>
      <c r="UVE30" s="47"/>
      <c r="UVF30" s="47"/>
      <c r="UVG30" s="47"/>
      <c r="UVH30" s="47"/>
      <c r="UVI30" s="47"/>
      <c r="UVJ30" s="47"/>
      <c r="UVK30" s="47"/>
      <c r="UVL30" s="47"/>
      <c r="UVM30" s="47"/>
      <c r="UVN30" s="47"/>
      <c r="UVO30" s="47"/>
      <c r="UVP30" s="47"/>
      <c r="UVQ30" s="47"/>
      <c r="UVR30" s="47"/>
      <c r="UVS30" s="47"/>
      <c r="UVT30" s="47"/>
      <c r="UVU30" s="47"/>
      <c r="UVV30" s="47"/>
      <c r="UVW30" s="47"/>
      <c r="UVX30" s="47"/>
      <c r="UVY30" s="47"/>
      <c r="UVZ30" s="47"/>
      <c r="UWA30" s="47"/>
      <c r="UWB30" s="47"/>
      <c r="UWC30" s="47"/>
      <c r="UWD30" s="47"/>
      <c r="UWE30" s="47"/>
      <c r="UWF30" s="47"/>
      <c r="UWG30" s="47"/>
      <c r="UWH30" s="47"/>
      <c r="UWI30" s="47"/>
      <c r="UWJ30" s="47"/>
      <c r="UWK30" s="47"/>
      <c r="UWL30" s="47"/>
      <c r="UWM30" s="47"/>
      <c r="UWN30" s="47"/>
      <c r="UWO30" s="47"/>
      <c r="UWP30" s="47"/>
      <c r="UWQ30" s="47"/>
      <c r="UWR30" s="47"/>
      <c r="UWS30" s="47"/>
      <c r="UWT30" s="47"/>
      <c r="UWU30" s="47"/>
      <c r="UWV30" s="47"/>
      <c r="UWW30" s="47"/>
      <c r="UWX30" s="47"/>
      <c r="UWY30" s="47"/>
      <c r="UWZ30" s="47"/>
      <c r="UXA30" s="47"/>
      <c r="UXB30" s="47"/>
      <c r="UXC30" s="47"/>
      <c r="UXD30" s="47"/>
      <c r="UXE30" s="47"/>
      <c r="UXF30" s="47"/>
      <c r="UXG30" s="47"/>
      <c r="UXH30" s="47"/>
      <c r="UXI30" s="47"/>
      <c r="UXJ30" s="47"/>
      <c r="UXK30" s="47"/>
      <c r="UXL30" s="47"/>
      <c r="UXM30" s="47"/>
      <c r="UXN30" s="47"/>
      <c r="UXO30" s="47"/>
      <c r="UXP30" s="47"/>
      <c r="UXQ30" s="47"/>
      <c r="UXR30" s="47"/>
      <c r="UXS30" s="47"/>
      <c r="UXT30" s="47"/>
      <c r="UXU30" s="47"/>
      <c r="UXV30" s="47"/>
      <c r="UXW30" s="47"/>
      <c r="UXX30" s="47"/>
      <c r="UXY30" s="47"/>
      <c r="UXZ30" s="47"/>
      <c r="UYA30" s="47"/>
      <c r="UYB30" s="47"/>
      <c r="UYC30" s="47"/>
      <c r="UYD30" s="47"/>
      <c r="UYE30" s="47"/>
      <c r="UYF30" s="47"/>
      <c r="UYG30" s="47"/>
      <c r="UYH30" s="47"/>
      <c r="UYI30" s="47"/>
      <c r="UYJ30" s="47"/>
      <c r="UYK30" s="47"/>
      <c r="UYL30" s="47"/>
      <c r="UYM30" s="47"/>
      <c r="UYN30" s="47"/>
      <c r="UYO30" s="47"/>
      <c r="UYP30" s="47"/>
      <c r="UYQ30" s="47"/>
      <c r="UYR30" s="47"/>
      <c r="UYS30" s="47"/>
      <c r="UYT30" s="47"/>
      <c r="UYU30" s="47"/>
      <c r="UYV30" s="47"/>
      <c r="UYW30" s="47"/>
      <c r="UYX30" s="47"/>
      <c r="UYY30" s="47"/>
      <c r="UYZ30" s="47"/>
      <c r="UZA30" s="47"/>
      <c r="UZB30" s="47"/>
      <c r="UZC30" s="47"/>
      <c r="UZD30" s="47"/>
      <c r="UZE30" s="47"/>
      <c r="UZF30" s="47"/>
      <c r="UZG30" s="47"/>
      <c r="UZH30" s="47"/>
      <c r="UZI30" s="47"/>
      <c r="UZJ30" s="47"/>
      <c r="UZK30" s="47"/>
      <c r="UZL30" s="47"/>
      <c r="UZM30" s="47"/>
      <c r="UZN30" s="47"/>
      <c r="UZO30" s="47"/>
      <c r="UZP30" s="47"/>
      <c r="UZQ30" s="47"/>
      <c r="UZR30" s="47"/>
      <c r="UZS30" s="47"/>
      <c r="UZT30" s="47"/>
      <c r="UZU30" s="47"/>
      <c r="UZV30" s="47"/>
      <c r="UZW30" s="47"/>
      <c r="UZX30" s="47"/>
      <c r="UZY30" s="47"/>
      <c r="UZZ30" s="47"/>
      <c r="VAA30" s="47"/>
      <c r="VAB30" s="47"/>
      <c r="VAC30" s="47"/>
      <c r="VAD30" s="47"/>
      <c r="VAE30" s="47"/>
      <c r="VAF30" s="47"/>
      <c r="VAG30" s="47"/>
      <c r="VAH30" s="47"/>
      <c r="VAI30" s="47"/>
      <c r="VAJ30" s="47"/>
      <c r="VAK30" s="47"/>
      <c r="VAL30" s="47"/>
      <c r="VAM30" s="47"/>
      <c r="VAN30" s="47"/>
      <c r="VAO30" s="47"/>
      <c r="VAP30" s="47"/>
      <c r="VAQ30" s="47"/>
      <c r="VAR30" s="47"/>
      <c r="VAS30" s="47"/>
      <c r="VAT30" s="47"/>
      <c r="VAU30" s="47"/>
      <c r="VAV30" s="47"/>
      <c r="VAW30" s="47"/>
      <c r="VAX30" s="47"/>
      <c r="VAY30" s="47"/>
      <c r="VAZ30" s="47"/>
      <c r="VBA30" s="47"/>
      <c r="VBB30" s="47"/>
      <c r="VBC30" s="47"/>
      <c r="VBD30" s="47"/>
      <c r="VBE30" s="47"/>
      <c r="VBF30" s="47"/>
      <c r="VBG30" s="47"/>
      <c r="VBH30" s="47"/>
      <c r="VBI30" s="47"/>
      <c r="VBJ30" s="47"/>
      <c r="VBK30" s="47"/>
      <c r="VBL30" s="47"/>
      <c r="VBM30" s="47"/>
      <c r="VBN30" s="47"/>
      <c r="VBO30" s="47"/>
      <c r="VBP30" s="47"/>
      <c r="VBQ30" s="47"/>
      <c r="VBR30" s="47"/>
      <c r="VBS30" s="47"/>
      <c r="VBT30" s="47"/>
      <c r="VBU30" s="47"/>
      <c r="VBV30" s="47"/>
      <c r="VBW30" s="47"/>
      <c r="VBX30" s="47"/>
      <c r="VBY30" s="47"/>
      <c r="VBZ30" s="47"/>
      <c r="VCA30" s="47"/>
      <c r="VCB30" s="47"/>
      <c r="VCC30" s="47"/>
      <c r="VCD30" s="47"/>
      <c r="VCE30" s="47"/>
      <c r="VCF30" s="47"/>
      <c r="VCG30" s="47"/>
      <c r="VCH30" s="47"/>
      <c r="VCI30" s="47"/>
      <c r="VCJ30" s="47"/>
      <c r="VCK30" s="47"/>
      <c r="VCL30" s="47"/>
      <c r="VCM30" s="47"/>
      <c r="VCN30" s="47"/>
      <c r="VCO30" s="47"/>
      <c r="VCP30" s="47"/>
      <c r="VCQ30" s="47"/>
      <c r="VCR30" s="47"/>
      <c r="VCS30" s="47"/>
      <c r="VCT30" s="47"/>
      <c r="VCU30" s="47"/>
      <c r="VCV30" s="47"/>
      <c r="VCW30" s="47"/>
      <c r="VCX30" s="47"/>
      <c r="VCY30" s="47"/>
      <c r="VCZ30" s="47"/>
      <c r="VDA30" s="47"/>
      <c r="VDB30" s="47"/>
      <c r="VDC30" s="47"/>
      <c r="VDD30" s="47"/>
      <c r="VDE30" s="47"/>
      <c r="VDF30" s="47"/>
      <c r="VDG30" s="47"/>
      <c r="VDH30" s="47"/>
      <c r="VDI30" s="47"/>
      <c r="VDJ30" s="47"/>
      <c r="VDK30" s="47"/>
      <c r="VDL30" s="47"/>
      <c r="VDM30" s="47"/>
      <c r="VDN30" s="47"/>
      <c r="VDO30" s="47"/>
      <c r="VDP30" s="47"/>
      <c r="VDQ30" s="47"/>
      <c r="VDR30" s="47"/>
      <c r="VDS30" s="47"/>
      <c r="VDT30" s="47"/>
      <c r="VDU30" s="47"/>
      <c r="VDV30" s="47"/>
      <c r="VDW30" s="47"/>
      <c r="VDX30" s="47"/>
      <c r="VDY30" s="47"/>
      <c r="VDZ30" s="47"/>
      <c r="VEA30" s="47"/>
      <c r="VEB30" s="47"/>
      <c r="VEC30" s="47"/>
      <c r="VED30" s="47"/>
      <c r="VEE30" s="47"/>
      <c r="VEF30" s="47"/>
      <c r="VEG30" s="47"/>
      <c r="VEH30" s="47"/>
      <c r="VEI30" s="47"/>
      <c r="VEJ30" s="47"/>
      <c r="VEK30" s="47"/>
      <c r="VEL30" s="47"/>
      <c r="VEM30" s="47"/>
      <c r="VEN30" s="47"/>
      <c r="VEO30" s="47"/>
      <c r="VEP30" s="47"/>
      <c r="VEQ30" s="47"/>
      <c r="VER30" s="47"/>
      <c r="VES30" s="47"/>
      <c r="VET30" s="47"/>
      <c r="VEU30" s="47"/>
      <c r="VEV30" s="47"/>
      <c r="VEW30" s="47"/>
      <c r="VEX30" s="47"/>
      <c r="VEY30" s="47"/>
      <c r="VEZ30" s="47"/>
      <c r="VFA30" s="47"/>
      <c r="VFB30" s="47"/>
      <c r="VFC30" s="47"/>
      <c r="VFD30" s="47"/>
      <c r="VFE30" s="47"/>
      <c r="VFF30" s="47"/>
      <c r="VFG30" s="47"/>
      <c r="VFH30" s="47"/>
      <c r="VFI30" s="47"/>
      <c r="VFJ30" s="47"/>
      <c r="VFK30" s="47"/>
      <c r="VFL30" s="47"/>
      <c r="VFM30" s="47"/>
      <c r="VFN30" s="47"/>
      <c r="VFO30" s="47"/>
      <c r="VFP30" s="47"/>
      <c r="VFQ30" s="47"/>
      <c r="VFR30" s="47"/>
      <c r="VFS30" s="47"/>
      <c r="VFT30" s="47"/>
      <c r="VFU30" s="47"/>
      <c r="VFV30" s="47"/>
      <c r="VFW30" s="47"/>
      <c r="VFX30" s="47"/>
      <c r="VFY30" s="47"/>
      <c r="VFZ30" s="47"/>
      <c r="VGA30" s="47"/>
      <c r="VGB30" s="47"/>
      <c r="VGC30" s="47"/>
      <c r="VGD30" s="47"/>
      <c r="VGE30" s="47"/>
      <c r="VGF30" s="47"/>
      <c r="VGG30" s="47"/>
      <c r="VGH30" s="47"/>
      <c r="VGI30" s="47"/>
      <c r="VGJ30" s="47"/>
      <c r="VGK30" s="47"/>
      <c r="VGL30" s="47"/>
      <c r="VGM30" s="47"/>
      <c r="VGN30" s="47"/>
      <c r="VGO30" s="47"/>
      <c r="VGP30" s="47"/>
      <c r="VGQ30" s="47"/>
      <c r="VGR30" s="47"/>
      <c r="VGS30" s="47"/>
      <c r="VGT30" s="47"/>
      <c r="VGU30" s="47"/>
      <c r="VGV30" s="47"/>
      <c r="VGW30" s="47"/>
      <c r="VGX30" s="47"/>
      <c r="VGY30" s="47"/>
      <c r="VGZ30" s="47"/>
      <c r="VHA30" s="47"/>
      <c r="VHB30" s="47"/>
      <c r="VHC30" s="47"/>
      <c r="VHD30" s="47"/>
      <c r="VHE30" s="47"/>
      <c r="VHF30" s="47"/>
      <c r="VHG30" s="47"/>
      <c r="VHH30" s="47"/>
      <c r="VHI30" s="47"/>
      <c r="VHJ30" s="47"/>
      <c r="VHK30" s="47"/>
      <c r="VHL30" s="47"/>
      <c r="VHM30" s="47"/>
      <c r="VHN30" s="47"/>
      <c r="VHO30" s="47"/>
      <c r="VHP30" s="47"/>
      <c r="VHQ30" s="47"/>
      <c r="VHR30" s="47"/>
      <c r="VHS30" s="47"/>
      <c r="VHT30" s="47"/>
      <c r="VHU30" s="47"/>
      <c r="VHV30" s="47"/>
      <c r="VHW30" s="47"/>
      <c r="VHX30" s="47"/>
      <c r="VHY30" s="47"/>
      <c r="VHZ30" s="47"/>
      <c r="VIA30" s="47"/>
      <c r="VIB30" s="47"/>
      <c r="VIC30" s="47"/>
      <c r="VID30" s="47"/>
      <c r="VIE30" s="47"/>
      <c r="VIF30" s="47"/>
      <c r="VIG30" s="47"/>
      <c r="VIH30" s="47"/>
      <c r="VII30" s="47"/>
      <c r="VIJ30" s="47"/>
      <c r="VIK30" s="47"/>
      <c r="VIL30" s="47"/>
      <c r="VIM30" s="47"/>
      <c r="VIN30" s="47"/>
      <c r="VIO30" s="47"/>
      <c r="VIP30" s="47"/>
      <c r="VIQ30" s="47"/>
      <c r="VIR30" s="47"/>
      <c r="VIS30" s="47"/>
      <c r="VIT30" s="47"/>
      <c r="VIU30" s="47"/>
      <c r="VIV30" s="47"/>
      <c r="VIW30" s="47"/>
      <c r="VIX30" s="47"/>
      <c r="VIY30" s="47"/>
      <c r="VIZ30" s="47"/>
      <c r="VJA30" s="47"/>
      <c r="VJB30" s="47"/>
      <c r="VJC30" s="47"/>
      <c r="VJD30" s="47"/>
      <c r="VJE30" s="47"/>
      <c r="VJF30" s="47"/>
      <c r="VJG30" s="47"/>
      <c r="VJH30" s="47"/>
      <c r="VJI30" s="47"/>
      <c r="VJJ30" s="47"/>
      <c r="VJK30" s="47"/>
      <c r="VJL30" s="47"/>
      <c r="VJM30" s="47"/>
      <c r="VJN30" s="47"/>
      <c r="VJO30" s="47"/>
      <c r="VJP30" s="47"/>
      <c r="VJQ30" s="47"/>
      <c r="VJR30" s="47"/>
      <c r="VJS30" s="47"/>
      <c r="VJT30" s="47"/>
      <c r="VJU30" s="47"/>
      <c r="VJV30" s="47"/>
      <c r="VJW30" s="47"/>
      <c r="VJX30" s="47"/>
      <c r="VJY30" s="47"/>
      <c r="VJZ30" s="47"/>
      <c r="VKA30" s="47"/>
      <c r="VKB30" s="47"/>
      <c r="VKC30" s="47"/>
      <c r="VKD30" s="47"/>
      <c r="VKE30" s="47"/>
      <c r="VKF30" s="47"/>
      <c r="VKG30" s="47"/>
      <c r="VKH30" s="47"/>
      <c r="VKI30" s="47"/>
      <c r="VKJ30" s="47"/>
      <c r="VKK30" s="47"/>
      <c r="VKL30" s="47"/>
      <c r="VKM30" s="47"/>
      <c r="VKN30" s="47"/>
      <c r="VKO30" s="47"/>
      <c r="VKP30" s="47"/>
      <c r="VKQ30" s="47"/>
      <c r="VKR30" s="47"/>
      <c r="VKS30" s="47"/>
      <c r="VKT30" s="47"/>
      <c r="VKU30" s="47"/>
      <c r="VKV30" s="47"/>
      <c r="VKW30" s="47"/>
      <c r="VKX30" s="47"/>
      <c r="VKY30" s="47"/>
      <c r="VKZ30" s="47"/>
      <c r="VLA30" s="47"/>
      <c r="VLB30" s="47"/>
      <c r="VLC30" s="47"/>
      <c r="VLD30" s="47"/>
      <c r="VLE30" s="47"/>
      <c r="VLF30" s="47"/>
      <c r="VLG30" s="47"/>
      <c r="VLH30" s="47"/>
      <c r="VLI30" s="47"/>
      <c r="VLJ30" s="47"/>
      <c r="VLK30" s="47"/>
      <c r="VLL30" s="47"/>
      <c r="VLM30" s="47"/>
      <c r="VLN30" s="47"/>
      <c r="VLO30" s="47"/>
      <c r="VLP30" s="47"/>
      <c r="VLQ30" s="47"/>
      <c r="VLR30" s="47"/>
      <c r="VLS30" s="47"/>
      <c r="VLT30" s="47"/>
      <c r="VLU30" s="47"/>
      <c r="VLV30" s="47"/>
      <c r="VLW30" s="47"/>
      <c r="VLX30" s="47"/>
      <c r="VLY30" s="47"/>
      <c r="VLZ30" s="47"/>
      <c r="VMA30" s="47"/>
      <c r="VMB30" s="47"/>
      <c r="VMC30" s="47"/>
      <c r="VMD30" s="47"/>
      <c r="VME30" s="47"/>
      <c r="VMF30" s="47"/>
      <c r="VMG30" s="47"/>
      <c r="VMH30" s="47"/>
      <c r="VMI30" s="47"/>
      <c r="VMJ30" s="47"/>
      <c r="VMK30" s="47"/>
      <c r="VML30" s="47"/>
      <c r="VMM30" s="47"/>
      <c r="VMN30" s="47"/>
      <c r="VMO30" s="47"/>
      <c r="VMP30" s="47"/>
      <c r="VMQ30" s="47"/>
      <c r="VMR30" s="47"/>
      <c r="VMS30" s="47"/>
      <c r="VMT30" s="47"/>
      <c r="VMU30" s="47"/>
      <c r="VMV30" s="47"/>
      <c r="VMW30" s="47"/>
      <c r="VMX30" s="47"/>
      <c r="VMY30" s="47"/>
      <c r="VMZ30" s="47"/>
      <c r="VNA30" s="47"/>
      <c r="VNB30" s="47"/>
      <c r="VNC30" s="47"/>
      <c r="VND30" s="47"/>
      <c r="VNE30" s="47"/>
      <c r="VNF30" s="47"/>
      <c r="VNG30" s="47"/>
      <c r="VNH30" s="47"/>
      <c r="VNI30" s="47"/>
      <c r="VNJ30" s="47"/>
      <c r="VNK30" s="47"/>
      <c r="VNL30" s="47"/>
      <c r="VNM30" s="47"/>
      <c r="VNN30" s="47"/>
      <c r="VNO30" s="47"/>
      <c r="VNP30" s="47"/>
      <c r="VNQ30" s="47"/>
      <c r="VNR30" s="47"/>
      <c r="VNS30" s="47"/>
      <c r="VNT30" s="47"/>
      <c r="VNU30" s="47"/>
      <c r="VNV30" s="47"/>
      <c r="VNW30" s="47"/>
      <c r="VNX30" s="47"/>
      <c r="VNY30" s="47"/>
      <c r="VNZ30" s="47"/>
      <c r="VOA30" s="47"/>
      <c r="VOB30" s="47"/>
      <c r="VOC30" s="47"/>
      <c r="VOD30" s="47"/>
      <c r="VOE30" s="47"/>
      <c r="VOF30" s="47"/>
      <c r="VOG30" s="47"/>
      <c r="VOH30" s="47"/>
      <c r="VOI30" s="47"/>
      <c r="VOJ30" s="47"/>
      <c r="VOK30" s="47"/>
      <c r="VOL30" s="47"/>
      <c r="VOM30" s="47"/>
      <c r="VON30" s="47"/>
      <c r="VOO30" s="47"/>
      <c r="VOP30" s="47"/>
      <c r="VOQ30" s="47"/>
      <c r="VOR30" s="47"/>
      <c r="VOS30" s="47"/>
      <c r="VOT30" s="47"/>
      <c r="VOU30" s="47"/>
      <c r="VOV30" s="47"/>
      <c r="VOW30" s="47"/>
      <c r="VOX30" s="47"/>
      <c r="VOY30" s="47"/>
      <c r="VOZ30" s="47"/>
      <c r="VPA30" s="47"/>
      <c r="VPB30" s="47"/>
      <c r="VPC30" s="47"/>
      <c r="VPD30" s="47"/>
      <c r="VPE30" s="47"/>
      <c r="VPF30" s="47"/>
      <c r="VPG30" s="47"/>
      <c r="VPH30" s="47"/>
      <c r="VPI30" s="47"/>
      <c r="VPJ30" s="47"/>
      <c r="VPK30" s="47"/>
      <c r="VPL30" s="47"/>
      <c r="VPM30" s="47"/>
      <c r="VPN30" s="47"/>
      <c r="VPO30" s="47"/>
      <c r="VPP30" s="47"/>
      <c r="VPQ30" s="47"/>
      <c r="VPR30" s="47"/>
      <c r="VPS30" s="47"/>
      <c r="VPT30" s="47"/>
      <c r="VPU30" s="47"/>
      <c r="VPV30" s="47"/>
      <c r="VPW30" s="47"/>
      <c r="VPX30" s="47"/>
      <c r="VPY30" s="47"/>
      <c r="VPZ30" s="47"/>
      <c r="VQA30" s="47"/>
      <c r="VQB30" s="47"/>
      <c r="VQC30" s="47"/>
      <c r="VQD30" s="47"/>
      <c r="VQE30" s="47"/>
      <c r="VQF30" s="47"/>
      <c r="VQG30" s="47"/>
      <c r="VQH30" s="47"/>
      <c r="VQI30" s="47"/>
      <c r="VQJ30" s="47"/>
      <c r="VQK30" s="47"/>
      <c r="VQL30" s="47"/>
      <c r="VQM30" s="47"/>
      <c r="VQN30" s="47"/>
      <c r="VQO30" s="47"/>
      <c r="VQP30" s="47"/>
      <c r="VQQ30" s="47"/>
      <c r="VQR30" s="47"/>
      <c r="VQS30" s="47"/>
      <c r="VQT30" s="47"/>
      <c r="VQU30" s="47"/>
      <c r="VQV30" s="47"/>
      <c r="VQW30" s="47"/>
      <c r="VQX30" s="47"/>
      <c r="VQY30" s="47"/>
      <c r="VQZ30" s="47"/>
      <c r="VRA30" s="47"/>
      <c r="VRB30" s="47"/>
      <c r="VRC30" s="47"/>
      <c r="VRD30" s="47"/>
      <c r="VRE30" s="47"/>
      <c r="VRF30" s="47"/>
      <c r="VRG30" s="47"/>
      <c r="VRH30" s="47"/>
      <c r="VRI30" s="47"/>
      <c r="VRJ30" s="47"/>
      <c r="VRK30" s="47"/>
      <c r="VRL30" s="47"/>
      <c r="VRM30" s="47"/>
      <c r="VRN30" s="47"/>
      <c r="VRO30" s="47"/>
      <c r="VRP30" s="47"/>
      <c r="VRQ30" s="47"/>
      <c r="VRR30" s="47"/>
      <c r="VRS30" s="47"/>
      <c r="VRT30" s="47"/>
      <c r="VRU30" s="47"/>
      <c r="VRV30" s="47"/>
      <c r="VRW30" s="47"/>
      <c r="VRX30" s="47"/>
      <c r="VRY30" s="47"/>
      <c r="VRZ30" s="47"/>
      <c r="VSA30" s="47"/>
      <c r="VSB30" s="47"/>
      <c r="VSC30" s="47"/>
      <c r="VSD30" s="47"/>
      <c r="VSE30" s="47"/>
      <c r="VSF30" s="47"/>
      <c r="VSG30" s="47"/>
      <c r="VSH30" s="47"/>
      <c r="VSI30" s="47"/>
      <c r="VSJ30" s="47"/>
      <c r="VSK30" s="47"/>
      <c r="VSL30" s="47"/>
      <c r="VSM30" s="47"/>
      <c r="VSN30" s="47"/>
      <c r="VSO30" s="47"/>
      <c r="VSP30" s="47"/>
      <c r="VSQ30" s="47"/>
      <c r="VSR30" s="47"/>
      <c r="VSS30" s="47"/>
      <c r="VST30" s="47"/>
      <c r="VSU30" s="47"/>
      <c r="VSV30" s="47"/>
      <c r="VSW30" s="47"/>
      <c r="VSX30" s="47"/>
      <c r="VSY30" s="47"/>
      <c r="VSZ30" s="47"/>
      <c r="VTA30" s="47"/>
      <c r="VTB30" s="47"/>
      <c r="VTC30" s="47"/>
      <c r="VTD30" s="47"/>
      <c r="VTE30" s="47"/>
      <c r="VTF30" s="47"/>
      <c r="VTG30" s="47"/>
      <c r="VTH30" s="47"/>
      <c r="VTI30" s="47"/>
      <c r="VTJ30" s="47"/>
      <c r="VTK30" s="47"/>
      <c r="VTL30" s="47"/>
      <c r="VTM30" s="47"/>
      <c r="VTN30" s="47"/>
      <c r="VTO30" s="47"/>
      <c r="VTP30" s="47"/>
      <c r="VTQ30" s="47"/>
      <c r="VTR30" s="47"/>
      <c r="VTS30" s="47"/>
      <c r="VTT30" s="47"/>
      <c r="VTU30" s="47"/>
      <c r="VTV30" s="47"/>
      <c r="VTW30" s="47"/>
      <c r="VTX30" s="47"/>
      <c r="VTY30" s="47"/>
      <c r="VTZ30" s="47"/>
      <c r="VUA30" s="47"/>
      <c r="VUB30" s="47"/>
      <c r="VUC30" s="47"/>
      <c r="VUD30" s="47"/>
      <c r="VUE30" s="47"/>
      <c r="VUF30" s="47"/>
      <c r="VUG30" s="47"/>
      <c r="VUH30" s="47"/>
      <c r="VUI30" s="47"/>
      <c r="VUJ30" s="47"/>
      <c r="VUK30" s="47"/>
      <c r="VUL30" s="47"/>
      <c r="VUM30" s="47"/>
      <c r="VUN30" s="47"/>
      <c r="VUO30" s="47"/>
      <c r="VUP30" s="47"/>
      <c r="VUQ30" s="47"/>
      <c r="VUR30" s="47"/>
      <c r="VUS30" s="47"/>
      <c r="VUT30" s="47"/>
      <c r="VUU30" s="47"/>
      <c r="VUV30" s="47"/>
      <c r="VUW30" s="47"/>
      <c r="VUX30" s="47"/>
      <c r="VUY30" s="47"/>
      <c r="VUZ30" s="47"/>
      <c r="VVA30" s="47"/>
      <c r="VVB30" s="47"/>
      <c r="VVC30" s="47"/>
      <c r="VVD30" s="47"/>
      <c r="VVE30" s="47"/>
      <c r="VVF30" s="47"/>
      <c r="VVG30" s="47"/>
      <c r="VVH30" s="47"/>
      <c r="VVI30" s="47"/>
      <c r="VVJ30" s="47"/>
      <c r="VVK30" s="47"/>
      <c r="VVL30" s="47"/>
      <c r="VVM30" s="47"/>
      <c r="VVN30" s="47"/>
      <c r="VVO30" s="47"/>
      <c r="VVP30" s="47"/>
      <c r="VVQ30" s="47"/>
      <c r="VVR30" s="47"/>
      <c r="VVS30" s="47"/>
      <c r="VVT30" s="47"/>
      <c r="VVU30" s="47"/>
      <c r="VVV30" s="47"/>
      <c r="VVW30" s="47"/>
      <c r="VVX30" s="47"/>
      <c r="VVY30" s="47"/>
      <c r="VVZ30" s="47"/>
      <c r="VWA30" s="47"/>
      <c r="VWB30" s="47"/>
      <c r="VWC30" s="47"/>
      <c r="VWD30" s="47"/>
      <c r="VWE30" s="47"/>
      <c r="VWF30" s="47"/>
      <c r="VWG30" s="47"/>
      <c r="VWH30" s="47"/>
      <c r="VWI30" s="47"/>
      <c r="VWJ30" s="47"/>
      <c r="VWK30" s="47"/>
      <c r="VWL30" s="47"/>
      <c r="VWM30" s="47"/>
      <c r="VWN30" s="47"/>
      <c r="VWO30" s="47"/>
      <c r="VWP30" s="47"/>
      <c r="VWQ30" s="47"/>
      <c r="VWR30" s="47"/>
      <c r="VWS30" s="47"/>
      <c r="VWT30" s="47"/>
      <c r="VWU30" s="47"/>
      <c r="VWV30" s="47"/>
      <c r="VWW30" s="47"/>
      <c r="VWX30" s="47"/>
      <c r="VWY30" s="47"/>
      <c r="VWZ30" s="47"/>
      <c r="VXA30" s="47"/>
      <c r="VXB30" s="47"/>
      <c r="VXC30" s="47"/>
      <c r="VXD30" s="47"/>
      <c r="VXE30" s="47"/>
      <c r="VXF30" s="47"/>
      <c r="VXG30" s="47"/>
      <c r="VXH30" s="47"/>
      <c r="VXI30" s="47"/>
      <c r="VXJ30" s="47"/>
      <c r="VXK30" s="47"/>
      <c r="VXL30" s="47"/>
      <c r="VXM30" s="47"/>
      <c r="VXN30" s="47"/>
      <c r="VXO30" s="47"/>
      <c r="VXP30" s="47"/>
      <c r="VXQ30" s="47"/>
      <c r="VXR30" s="47"/>
      <c r="VXS30" s="47"/>
      <c r="VXT30" s="47"/>
      <c r="VXU30" s="47"/>
      <c r="VXV30" s="47"/>
      <c r="VXW30" s="47"/>
      <c r="VXX30" s="47"/>
      <c r="VXY30" s="47"/>
      <c r="VXZ30" s="47"/>
      <c r="VYA30" s="47"/>
      <c r="VYB30" s="47"/>
      <c r="VYC30" s="47"/>
      <c r="VYD30" s="47"/>
      <c r="VYE30" s="47"/>
      <c r="VYF30" s="47"/>
      <c r="VYG30" s="47"/>
      <c r="VYH30" s="47"/>
      <c r="VYI30" s="47"/>
      <c r="VYJ30" s="47"/>
      <c r="VYK30" s="47"/>
      <c r="VYL30" s="47"/>
      <c r="VYM30" s="47"/>
      <c r="VYN30" s="47"/>
      <c r="VYO30" s="47"/>
      <c r="VYP30" s="47"/>
      <c r="VYQ30" s="47"/>
      <c r="VYR30" s="47"/>
      <c r="VYS30" s="47"/>
      <c r="VYT30" s="47"/>
      <c r="VYU30" s="47"/>
      <c r="VYV30" s="47"/>
      <c r="VYW30" s="47"/>
      <c r="VYX30" s="47"/>
      <c r="VYY30" s="47"/>
      <c r="VYZ30" s="47"/>
      <c r="VZA30" s="47"/>
      <c r="VZB30" s="47"/>
      <c r="VZC30" s="47"/>
      <c r="VZD30" s="47"/>
      <c r="VZE30" s="47"/>
      <c r="VZF30" s="47"/>
      <c r="VZG30" s="47"/>
      <c r="VZH30" s="47"/>
      <c r="VZI30" s="47"/>
      <c r="VZJ30" s="47"/>
      <c r="VZK30" s="47"/>
      <c r="VZL30" s="47"/>
      <c r="VZM30" s="47"/>
      <c r="VZN30" s="47"/>
      <c r="VZO30" s="47"/>
      <c r="VZP30" s="47"/>
      <c r="VZQ30" s="47"/>
      <c r="VZR30" s="47"/>
      <c r="VZS30" s="47"/>
      <c r="VZT30" s="47"/>
      <c r="VZU30" s="47"/>
      <c r="VZV30" s="47"/>
      <c r="VZW30" s="47"/>
      <c r="VZX30" s="47"/>
      <c r="VZY30" s="47"/>
      <c r="VZZ30" s="47"/>
      <c r="WAA30" s="47"/>
      <c r="WAB30" s="47"/>
      <c r="WAC30" s="47"/>
      <c r="WAD30" s="47"/>
      <c r="WAE30" s="47"/>
      <c r="WAF30" s="47"/>
      <c r="WAG30" s="47"/>
      <c r="WAH30" s="47"/>
      <c r="WAI30" s="47"/>
      <c r="WAJ30" s="47"/>
      <c r="WAK30" s="47"/>
      <c r="WAL30" s="47"/>
      <c r="WAM30" s="47"/>
      <c r="WAN30" s="47"/>
      <c r="WAO30" s="47"/>
      <c r="WAP30" s="47"/>
      <c r="WAQ30" s="47"/>
      <c r="WAR30" s="47"/>
      <c r="WAS30" s="47"/>
      <c r="WAT30" s="47"/>
      <c r="WAU30" s="47"/>
      <c r="WAV30" s="47"/>
      <c r="WAW30" s="47"/>
      <c r="WAX30" s="47"/>
      <c r="WAY30" s="47"/>
      <c r="WAZ30" s="47"/>
      <c r="WBA30" s="47"/>
      <c r="WBB30" s="47"/>
      <c r="WBC30" s="47"/>
      <c r="WBD30" s="47"/>
      <c r="WBE30" s="47"/>
      <c r="WBF30" s="47"/>
      <c r="WBG30" s="47"/>
      <c r="WBH30" s="47"/>
      <c r="WBI30" s="47"/>
      <c r="WBJ30" s="47"/>
      <c r="WBK30" s="47"/>
      <c r="WBL30" s="47"/>
      <c r="WBM30" s="47"/>
      <c r="WBN30" s="47"/>
      <c r="WBO30" s="47"/>
      <c r="WBP30" s="47"/>
      <c r="WBQ30" s="47"/>
      <c r="WBR30" s="47"/>
      <c r="WBS30" s="47"/>
      <c r="WBT30" s="47"/>
      <c r="WBU30" s="47"/>
      <c r="WBV30" s="47"/>
      <c r="WBW30" s="47"/>
      <c r="WBX30" s="47"/>
      <c r="WBY30" s="47"/>
      <c r="WBZ30" s="47"/>
      <c r="WCA30" s="47"/>
      <c r="WCB30" s="47"/>
      <c r="WCC30" s="47"/>
      <c r="WCD30" s="47"/>
      <c r="WCE30" s="47"/>
      <c r="WCF30" s="47"/>
      <c r="WCG30" s="47"/>
      <c r="WCH30" s="47"/>
      <c r="WCI30" s="47"/>
      <c r="WCJ30" s="47"/>
      <c r="WCK30" s="47"/>
      <c r="WCL30" s="47"/>
      <c r="WCM30" s="47"/>
      <c r="WCN30" s="47"/>
      <c r="WCO30" s="47"/>
      <c r="WCP30" s="47"/>
      <c r="WCQ30" s="47"/>
      <c r="WCR30" s="47"/>
      <c r="WCS30" s="47"/>
      <c r="WCT30" s="47"/>
      <c r="WCU30" s="47"/>
      <c r="WCV30" s="47"/>
      <c r="WCW30" s="47"/>
      <c r="WCX30" s="47"/>
      <c r="WCY30" s="47"/>
      <c r="WCZ30" s="47"/>
      <c r="WDA30" s="47"/>
      <c r="WDB30" s="47"/>
      <c r="WDC30" s="47"/>
      <c r="WDD30" s="47"/>
      <c r="WDE30" s="47"/>
      <c r="WDF30" s="47"/>
      <c r="WDG30" s="47"/>
      <c r="WDH30" s="47"/>
      <c r="WDI30" s="47"/>
      <c r="WDJ30" s="47"/>
      <c r="WDK30" s="47"/>
      <c r="WDL30" s="47"/>
      <c r="WDM30" s="47"/>
      <c r="WDN30" s="47"/>
      <c r="WDO30" s="47"/>
      <c r="WDP30" s="47"/>
      <c r="WDQ30" s="47"/>
      <c r="WDR30" s="47"/>
      <c r="WDS30" s="47"/>
      <c r="WDT30" s="47"/>
      <c r="WDU30" s="47"/>
      <c r="WDV30" s="47"/>
      <c r="WDW30" s="47"/>
      <c r="WDX30" s="47"/>
      <c r="WDY30" s="47"/>
      <c r="WDZ30" s="47"/>
      <c r="WEA30" s="47"/>
      <c r="WEB30" s="47"/>
      <c r="WEC30" s="47"/>
      <c r="WED30" s="47"/>
      <c r="WEE30" s="47"/>
      <c r="WEF30" s="47"/>
      <c r="WEG30" s="47"/>
      <c r="WEH30" s="47"/>
      <c r="WEI30" s="47"/>
      <c r="WEJ30" s="47"/>
      <c r="WEK30" s="47"/>
      <c r="WEL30" s="47"/>
      <c r="WEM30" s="47"/>
      <c r="WEN30" s="47"/>
      <c r="WEO30" s="47"/>
      <c r="WEP30" s="47"/>
      <c r="WEQ30" s="47"/>
      <c r="WER30" s="47"/>
      <c r="WES30" s="47"/>
      <c r="WET30" s="47"/>
      <c r="WEU30" s="47"/>
      <c r="WEV30" s="47"/>
      <c r="WEW30" s="47"/>
      <c r="WEX30" s="47"/>
      <c r="WEY30" s="47"/>
      <c r="WEZ30" s="47"/>
      <c r="WFA30" s="47"/>
      <c r="WFB30" s="47"/>
      <c r="WFC30" s="47"/>
      <c r="WFD30" s="47"/>
      <c r="WFE30" s="47"/>
      <c r="WFF30" s="47"/>
      <c r="WFG30" s="47"/>
      <c r="WFH30" s="47"/>
      <c r="WFI30" s="47"/>
      <c r="WFJ30" s="47"/>
      <c r="WFK30" s="47"/>
      <c r="WFL30" s="47"/>
      <c r="WFM30" s="47"/>
      <c r="WFN30" s="47"/>
      <c r="WFO30" s="47"/>
      <c r="WFP30" s="47"/>
      <c r="WFQ30" s="47"/>
      <c r="WFR30" s="47"/>
      <c r="WFS30" s="47"/>
      <c r="WFT30" s="47"/>
      <c r="WFU30" s="47"/>
      <c r="WFV30" s="47"/>
      <c r="WFW30" s="47"/>
      <c r="WFX30" s="47"/>
      <c r="WFY30" s="47"/>
      <c r="WFZ30" s="47"/>
      <c r="WGA30" s="47"/>
      <c r="WGB30" s="47"/>
      <c r="WGC30" s="47"/>
      <c r="WGD30" s="47"/>
      <c r="WGE30" s="47"/>
      <c r="WGF30" s="47"/>
      <c r="WGG30" s="47"/>
      <c r="WGH30" s="47"/>
      <c r="WGI30" s="47"/>
      <c r="WGJ30" s="47"/>
      <c r="WGK30" s="47"/>
      <c r="WGL30" s="47"/>
      <c r="WGM30" s="47"/>
      <c r="WGN30" s="47"/>
      <c r="WGO30" s="47"/>
      <c r="WGP30" s="47"/>
      <c r="WGQ30" s="47"/>
      <c r="WGR30" s="47"/>
      <c r="WGS30" s="47"/>
      <c r="WGT30" s="47"/>
      <c r="WGU30" s="47"/>
      <c r="WGV30" s="47"/>
      <c r="WGW30" s="47"/>
      <c r="WGX30" s="47"/>
      <c r="WGY30" s="47"/>
      <c r="WGZ30" s="47"/>
      <c r="WHA30" s="47"/>
      <c r="WHB30" s="47"/>
      <c r="WHC30" s="47"/>
      <c r="WHD30" s="47"/>
      <c r="WHE30" s="47"/>
      <c r="WHF30" s="47"/>
      <c r="WHG30" s="47"/>
      <c r="WHH30" s="47"/>
      <c r="WHI30" s="47"/>
      <c r="WHJ30" s="47"/>
      <c r="WHK30" s="47"/>
      <c r="WHL30" s="47"/>
      <c r="WHM30" s="47"/>
      <c r="WHN30" s="47"/>
      <c r="WHO30" s="47"/>
      <c r="WHP30" s="47"/>
      <c r="WHQ30" s="47"/>
      <c r="WHR30" s="47"/>
      <c r="WHS30" s="47"/>
      <c r="WHT30" s="47"/>
      <c r="WHU30" s="47"/>
      <c r="WHV30" s="47"/>
      <c r="WHW30" s="47"/>
      <c r="WHX30" s="47"/>
      <c r="WHY30" s="47"/>
      <c r="WHZ30" s="47"/>
      <c r="WIA30" s="47"/>
      <c r="WIB30" s="47"/>
      <c r="WIC30" s="47"/>
      <c r="WID30" s="47"/>
      <c r="WIE30" s="47"/>
      <c r="WIF30" s="47"/>
      <c r="WIG30" s="47"/>
      <c r="WIH30" s="47"/>
      <c r="WII30" s="47"/>
      <c r="WIJ30" s="47"/>
      <c r="WIK30" s="47"/>
      <c r="WIL30" s="47"/>
      <c r="WIM30" s="47"/>
      <c r="WIN30" s="47"/>
      <c r="WIO30" s="47"/>
      <c r="WIP30" s="47"/>
      <c r="WIQ30" s="47"/>
      <c r="WIR30" s="47"/>
      <c r="WIS30" s="47"/>
      <c r="WIT30" s="47"/>
      <c r="WIU30" s="47"/>
      <c r="WIV30" s="47"/>
      <c r="WIW30" s="47"/>
      <c r="WIX30" s="47"/>
      <c r="WIY30" s="47"/>
      <c r="WIZ30" s="47"/>
      <c r="WJA30" s="47"/>
      <c r="WJB30" s="47"/>
      <c r="WJC30" s="47"/>
      <c r="WJD30" s="47"/>
      <c r="WJE30" s="47"/>
      <c r="WJF30" s="47"/>
      <c r="WJG30" s="47"/>
      <c r="WJH30" s="47"/>
      <c r="WJI30" s="47"/>
      <c r="WJJ30" s="47"/>
      <c r="WJK30" s="47"/>
      <c r="WJL30" s="47"/>
      <c r="WJM30" s="47"/>
      <c r="WJN30" s="47"/>
      <c r="WJO30" s="47"/>
      <c r="WJP30" s="47"/>
      <c r="WJQ30" s="47"/>
      <c r="WJR30" s="47"/>
      <c r="WJS30" s="47"/>
      <c r="WJT30" s="47"/>
      <c r="WJU30" s="47"/>
      <c r="WJV30" s="47"/>
      <c r="WJW30" s="47"/>
      <c r="WJX30" s="47"/>
      <c r="WJY30" s="47"/>
      <c r="WJZ30" s="47"/>
      <c r="WKA30" s="47"/>
      <c r="WKB30" s="47"/>
      <c r="WKC30" s="47"/>
      <c r="WKD30" s="47"/>
      <c r="WKE30" s="47"/>
      <c r="WKF30" s="47"/>
      <c r="WKG30" s="47"/>
      <c r="WKH30" s="47"/>
      <c r="WKI30" s="47"/>
      <c r="WKJ30" s="47"/>
      <c r="WKK30" s="47"/>
      <c r="WKL30" s="47"/>
      <c r="WKM30" s="47"/>
      <c r="WKN30" s="47"/>
      <c r="WKO30" s="47"/>
      <c r="WKP30" s="47"/>
      <c r="WKQ30" s="47"/>
      <c r="WKR30" s="47"/>
      <c r="WKS30" s="47"/>
      <c r="WKT30" s="47"/>
      <c r="WKU30" s="47"/>
      <c r="WKV30" s="47"/>
      <c r="WKW30" s="47"/>
      <c r="WKX30" s="47"/>
      <c r="WKY30" s="47"/>
      <c r="WKZ30" s="47"/>
      <c r="WLA30" s="47"/>
      <c r="WLB30" s="47"/>
      <c r="WLC30" s="47"/>
      <c r="WLD30" s="47"/>
      <c r="WLE30" s="47"/>
      <c r="WLF30" s="47"/>
      <c r="WLG30" s="47"/>
      <c r="WLH30" s="47"/>
      <c r="WLI30" s="47"/>
      <c r="WLJ30" s="47"/>
      <c r="WLK30" s="47"/>
      <c r="WLL30" s="47"/>
      <c r="WLM30" s="47"/>
      <c r="WLN30" s="47"/>
      <c r="WLO30" s="47"/>
      <c r="WLP30" s="47"/>
      <c r="WLQ30" s="47"/>
      <c r="WLR30" s="47"/>
      <c r="WLS30" s="47"/>
      <c r="WLT30" s="47"/>
      <c r="WLU30" s="47"/>
      <c r="WLV30" s="47"/>
      <c r="WLW30" s="47"/>
      <c r="WLX30" s="47"/>
      <c r="WLY30" s="47"/>
      <c r="WLZ30" s="47"/>
      <c r="WMA30" s="47"/>
      <c r="WMB30" s="47"/>
      <c r="WMC30" s="47"/>
      <c r="WMD30" s="47"/>
      <c r="WME30" s="47"/>
      <c r="WMF30" s="47"/>
      <c r="WMG30" s="47"/>
      <c r="WMH30" s="47"/>
      <c r="WMI30" s="47"/>
      <c r="WMJ30" s="47"/>
      <c r="WMK30" s="47"/>
      <c r="WML30" s="47"/>
      <c r="WMM30" s="47"/>
      <c r="WMN30" s="47"/>
      <c r="WMO30" s="47"/>
      <c r="WMP30" s="47"/>
      <c r="WMQ30" s="47"/>
      <c r="WMR30" s="47"/>
      <c r="WMS30" s="47"/>
      <c r="WMT30" s="47"/>
      <c r="WMU30" s="47"/>
      <c r="WMV30" s="47"/>
      <c r="WMW30" s="47"/>
      <c r="WMX30" s="47"/>
      <c r="WMY30" s="47"/>
      <c r="WMZ30" s="47"/>
      <c r="WNA30" s="47"/>
      <c r="WNB30" s="47"/>
      <c r="WNC30" s="47"/>
      <c r="WND30" s="47"/>
      <c r="WNE30" s="47"/>
      <c r="WNF30" s="47"/>
      <c r="WNG30" s="47"/>
      <c r="WNH30" s="47"/>
      <c r="WNI30" s="47"/>
      <c r="WNJ30" s="47"/>
      <c r="WNK30" s="47"/>
      <c r="WNL30" s="47"/>
      <c r="WNM30" s="47"/>
      <c r="WNN30" s="47"/>
      <c r="WNO30" s="47"/>
      <c r="WNP30" s="47"/>
      <c r="WNQ30" s="47"/>
      <c r="WNR30" s="47"/>
      <c r="WNS30" s="47"/>
      <c r="WNT30" s="47"/>
      <c r="WNU30" s="47"/>
      <c r="WNV30" s="47"/>
      <c r="WNW30" s="47"/>
      <c r="WNX30" s="47"/>
      <c r="WNY30" s="47"/>
      <c r="WNZ30" s="47"/>
      <c r="WOA30" s="47"/>
      <c r="WOB30" s="47"/>
      <c r="WOC30" s="47"/>
      <c r="WOD30" s="47"/>
      <c r="WOE30" s="47"/>
      <c r="WOF30" s="47"/>
      <c r="WOG30" s="47"/>
      <c r="WOH30" s="47"/>
      <c r="WOI30" s="47"/>
      <c r="WOJ30" s="47"/>
      <c r="WOK30" s="47"/>
      <c r="WOL30" s="47"/>
      <c r="WOM30" s="47"/>
      <c r="WON30" s="47"/>
      <c r="WOO30" s="47"/>
      <c r="WOP30" s="47"/>
      <c r="WOQ30" s="47"/>
      <c r="WOR30" s="47"/>
      <c r="WOS30" s="47"/>
      <c r="WOT30" s="47"/>
      <c r="WOU30" s="47"/>
      <c r="WOV30" s="47"/>
      <c r="WOW30" s="47"/>
      <c r="WOX30" s="47"/>
      <c r="WOY30" s="47"/>
      <c r="WOZ30" s="47"/>
      <c r="WPA30" s="47"/>
      <c r="WPB30" s="47"/>
      <c r="WPC30" s="47"/>
      <c r="WPD30" s="47"/>
      <c r="WPE30" s="47"/>
      <c r="WPF30" s="47"/>
      <c r="WPG30" s="47"/>
      <c r="WPH30" s="47"/>
      <c r="WPI30" s="47"/>
      <c r="WPJ30" s="47"/>
      <c r="WPK30" s="47"/>
      <c r="WPL30" s="47"/>
      <c r="WPM30" s="47"/>
      <c r="WPN30" s="47"/>
      <c r="WPO30" s="47"/>
      <c r="WPP30" s="47"/>
      <c r="WPQ30" s="47"/>
      <c r="WPR30" s="47"/>
      <c r="WPS30" s="47"/>
      <c r="WPT30" s="47"/>
      <c r="WPU30" s="47"/>
      <c r="WPV30" s="47"/>
      <c r="WPW30" s="47"/>
      <c r="WPX30" s="47"/>
      <c r="WPY30" s="47"/>
      <c r="WPZ30" s="47"/>
      <c r="WQA30" s="47"/>
      <c r="WQB30" s="47"/>
      <c r="WQC30" s="47"/>
      <c r="WQD30" s="47"/>
      <c r="WQE30" s="47"/>
      <c r="WQF30" s="47"/>
      <c r="WQG30" s="47"/>
      <c r="WQH30" s="47"/>
      <c r="WQI30" s="47"/>
      <c r="WQJ30" s="47"/>
      <c r="WQK30" s="47"/>
      <c r="WQL30" s="47"/>
      <c r="WQM30" s="47"/>
      <c r="WQN30" s="47"/>
      <c r="WQO30" s="47"/>
      <c r="WQP30" s="47"/>
      <c r="WQQ30" s="47"/>
      <c r="WQR30" s="47"/>
      <c r="WQS30" s="47"/>
      <c r="WQT30" s="47"/>
      <c r="WQU30" s="47"/>
      <c r="WQV30" s="47"/>
      <c r="WQW30" s="47"/>
      <c r="WQX30" s="47"/>
      <c r="WQY30" s="47"/>
      <c r="WQZ30" s="47"/>
      <c r="WRA30" s="47"/>
      <c r="WRB30" s="47"/>
      <c r="WRC30" s="47"/>
      <c r="WRD30" s="47"/>
      <c r="WRE30" s="47"/>
      <c r="WRF30" s="47"/>
      <c r="WRG30" s="47"/>
      <c r="WRH30" s="47"/>
      <c r="WRI30" s="47"/>
      <c r="WRJ30" s="47"/>
      <c r="WRK30" s="47"/>
      <c r="WRL30" s="47"/>
      <c r="WRM30" s="47"/>
      <c r="WRN30" s="47"/>
      <c r="WRO30" s="47"/>
      <c r="WRP30" s="47"/>
      <c r="WRQ30" s="47"/>
      <c r="WRR30" s="47"/>
      <c r="WRS30" s="47"/>
      <c r="WRT30" s="47"/>
      <c r="WRU30" s="47"/>
      <c r="WRV30" s="47"/>
      <c r="WRW30" s="47"/>
      <c r="WRX30" s="47"/>
      <c r="WRY30" s="47"/>
      <c r="WRZ30" s="47"/>
      <c r="WSA30" s="47"/>
      <c r="WSB30" s="47"/>
      <c r="WSC30" s="47"/>
      <c r="WSD30" s="47"/>
      <c r="WSE30" s="47"/>
      <c r="WSF30" s="47"/>
      <c r="WSG30" s="47"/>
      <c r="WSH30" s="47"/>
      <c r="WSI30" s="47"/>
      <c r="WSJ30" s="47"/>
      <c r="WSK30" s="47"/>
      <c r="WSL30" s="47"/>
      <c r="WSM30" s="47"/>
      <c r="WSN30" s="47"/>
      <c r="WSO30" s="47"/>
      <c r="WSP30" s="47"/>
      <c r="WSQ30" s="47"/>
      <c r="WSR30" s="47"/>
      <c r="WSS30" s="47"/>
      <c r="WST30" s="47"/>
      <c r="WSU30" s="47"/>
      <c r="WSV30" s="47"/>
      <c r="WSW30" s="47"/>
      <c r="WSX30" s="47"/>
      <c r="WSY30" s="47"/>
      <c r="WSZ30" s="47"/>
      <c r="WTA30" s="47"/>
      <c r="WTB30" s="47"/>
      <c r="WTC30" s="47"/>
      <c r="WTD30" s="47"/>
      <c r="WTE30" s="47"/>
      <c r="WTF30" s="47"/>
      <c r="WTG30" s="47"/>
      <c r="WTH30" s="47"/>
      <c r="WTI30" s="47"/>
      <c r="WTJ30" s="47"/>
      <c r="WTK30" s="47"/>
      <c r="WTL30" s="47"/>
      <c r="WTM30" s="47"/>
      <c r="WTN30" s="47"/>
      <c r="WTO30" s="47"/>
      <c r="WTP30" s="47"/>
      <c r="WTQ30" s="47"/>
      <c r="WTR30" s="47"/>
      <c r="WTS30" s="47"/>
      <c r="WTT30" s="47"/>
      <c r="WTU30" s="47"/>
      <c r="WTV30" s="47"/>
      <c r="WTW30" s="47"/>
      <c r="WTX30" s="47"/>
      <c r="WTY30" s="47"/>
      <c r="WTZ30" s="47"/>
      <c r="WUA30" s="47"/>
      <c r="WUB30" s="47"/>
      <c r="WUC30" s="47"/>
      <c r="WUD30" s="47"/>
      <c r="WUE30" s="47"/>
      <c r="WUF30" s="47"/>
      <c r="WUG30" s="47"/>
      <c r="WUH30" s="47"/>
      <c r="WUI30" s="47"/>
      <c r="WUJ30" s="47"/>
      <c r="WUK30" s="47"/>
      <c r="WUL30" s="47"/>
      <c r="WUM30" s="47"/>
      <c r="WUN30" s="47"/>
      <c r="WUO30" s="47"/>
      <c r="WUP30" s="47"/>
      <c r="WUQ30" s="47"/>
      <c r="WUR30" s="47"/>
      <c r="WUS30" s="47"/>
      <c r="WUT30" s="47"/>
      <c r="WUU30" s="47"/>
      <c r="WUV30" s="47"/>
      <c r="WUW30" s="47"/>
      <c r="WUX30" s="47"/>
      <c r="WUY30" s="47"/>
      <c r="WUZ30" s="47"/>
      <c r="WVA30" s="47"/>
      <c r="WVB30" s="47"/>
      <c r="WVC30" s="47"/>
      <c r="WVD30" s="47"/>
      <c r="WVE30" s="47"/>
      <c r="WVF30" s="47"/>
      <c r="WVG30" s="47"/>
      <c r="WVH30" s="47"/>
      <c r="WVI30" s="47"/>
      <c r="WVJ30" s="47"/>
      <c r="WVK30" s="47"/>
      <c r="WVL30" s="47"/>
      <c r="WVM30" s="47"/>
      <c r="WVN30" s="47"/>
      <c r="WVO30" s="47"/>
      <c r="WVP30" s="47"/>
      <c r="WVQ30" s="47"/>
      <c r="WVR30" s="47"/>
      <c r="WVS30" s="47"/>
      <c r="WVT30" s="47"/>
      <c r="WVU30" s="47"/>
      <c r="WVV30" s="47"/>
      <c r="WVW30" s="47"/>
      <c r="WVX30" s="47"/>
      <c r="WVY30" s="47"/>
      <c r="WVZ30" s="47"/>
      <c r="WWA30" s="47"/>
      <c r="WWB30" s="47"/>
      <c r="WWC30" s="47"/>
      <c r="WWD30" s="47"/>
      <c r="WWE30" s="47"/>
      <c r="WWF30" s="47"/>
      <c r="WWG30" s="47"/>
      <c r="WWH30" s="47"/>
      <c r="WWI30" s="47"/>
      <c r="WWJ30" s="47"/>
      <c r="WWK30" s="47"/>
      <c r="WWL30" s="47"/>
      <c r="WWM30" s="47"/>
      <c r="WWN30" s="47"/>
      <c r="WWO30" s="47"/>
      <c r="WWP30" s="47"/>
      <c r="WWQ30" s="47"/>
      <c r="WWR30" s="47"/>
      <c r="WWS30" s="47"/>
      <c r="WWT30" s="47"/>
      <c r="WWU30" s="47"/>
      <c r="WWV30" s="47"/>
      <c r="WWW30" s="47"/>
      <c r="WWX30" s="47"/>
      <c r="WWY30" s="47"/>
      <c r="WWZ30" s="47"/>
      <c r="WXA30" s="47"/>
      <c r="WXB30" s="47"/>
      <c r="WXC30" s="47"/>
      <c r="WXD30" s="47"/>
      <c r="WXE30" s="47"/>
      <c r="WXF30" s="47"/>
      <c r="WXG30" s="47"/>
      <c r="WXH30" s="47"/>
      <c r="WXI30" s="47"/>
      <c r="WXJ30" s="47"/>
      <c r="WXK30" s="47"/>
      <c r="WXL30" s="47"/>
      <c r="WXM30" s="47"/>
      <c r="WXN30" s="47"/>
      <c r="WXO30" s="47"/>
      <c r="WXP30" s="47"/>
      <c r="WXQ30" s="47"/>
      <c r="WXR30" s="47"/>
      <c r="WXS30" s="47"/>
      <c r="WXT30" s="47"/>
      <c r="WXU30" s="47"/>
      <c r="WXV30" s="47"/>
      <c r="WXW30" s="47"/>
      <c r="WXX30" s="47"/>
      <c r="WXY30" s="47"/>
      <c r="WXZ30" s="47"/>
      <c r="WYA30" s="47"/>
      <c r="WYB30" s="47"/>
      <c r="WYC30" s="47"/>
      <c r="WYD30" s="47"/>
      <c r="WYE30" s="47"/>
      <c r="WYF30" s="47"/>
      <c r="WYG30" s="47"/>
      <c r="WYH30" s="47"/>
      <c r="WYI30" s="47"/>
      <c r="WYJ30" s="47"/>
      <c r="WYK30" s="47"/>
      <c r="WYL30" s="47"/>
      <c r="WYM30" s="47"/>
      <c r="WYN30" s="47"/>
      <c r="WYO30" s="47"/>
      <c r="WYP30" s="47"/>
      <c r="WYQ30" s="47"/>
      <c r="WYR30" s="47"/>
      <c r="WYS30" s="47"/>
      <c r="WYT30" s="47"/>
      <c r="WYU30" s="47"/>
      <c r="WYV30" s="47"/>
      <c r="WYW30" s="47"/>
      <c r="WYX30" s="47"/>
      <c r="WYY30" s="47"/>
      <c r="WYZ30" s="47"/>
      <c r="WZA30" s="47"/>
      <c r="WZB30" s="47"/>
      <c r="WZC30" s="47"/>
      <c r="WZD30" s="47"/>
      <c r="WZE30" s="47"/>
      <c r="WZF30" s="47"/>
      <c r="WZG30" s="47"/>
      <c r="WZH30" s="47"/>
      <c r="WZI30" s="47"/>
      <c r="WZJ30" s="47"/>
      <c r="WZK30" s="47"/>
      <c r="WZL30" s="47"/>
      <c r="WZM30" s="47"/>
      <c r="WZN30" s="47"/>
      <c r="WZO30" s="47"/>
      <c r="WZP30" s="47"/>
      <c r="WZQ30" s="47"/>
      <c r="WZR30" s="47"/>
      <c r="WZS30" s="47"/>
      <c r="WZT30" s="47"/>
      <c r="WZU30" s="47"/>
      <c r="WZV30" s="47"/>
      <c r="WZW30" s="47"/>
      <c r="WZX30" s="47"/>
      <c r="WZY30" s="47"/>
      <c r="WZZ30" s="47"/>
      <c r="XAA30" s="47"/>
      <c r="XAB30" s="47"/>
      <c r="XAC30" s="47"/>
      <c r="XAD30" s="47"/>
      <c r="XAE30" s="47"/>
      <c r="XAF30" s="47"/>
      <c r="XAG30" s="47"/>
      <c r="XAH30" s="47"/>
      <c r="XAI30" s="47"/>
      <c r="XAJ30" s="47"/>
      <c r="XAK30" s="47"/>
      <c r="XAL30" s="47"/>
      <c r="XAM30" s="47"/>
      <c r="XAN30" s="47"/>
      <c r="XAO30" s="47"/>
      <c r="XAP30" s="47"/>
      <c r="XAQ30" s="47"/>
      <c r="XAR30" s="47"/>
      <c r="XAS30" s="47"/>
      <c r="XAT30" s="47"/>
      <c r="XAU30" s="47"/>
      <c r="XAV30" s="47"/>
      <c r="XAW30" s="47"/>
      <c r="XAX30" s="47"/>
      <c r="XAY30" s="47"/>
      <c r="XAZ30" s="47"/>
      <c r="XBA30" s="47"/>
      <c r="XBB30" s="47"/>
      <c r="XBC30" s="47"/>
      <c r="XBD30" s="47"/>
      <c r="XBE30" s="47"/>
      <c r="XBF30" s="47"/>
      <c r="XBG30" s="47"/>
      <c r="XBH30" s="47"/>
      <c r="XBI30" s="47"/>
      <c r="XBJ30" s="47"/>
      <c r="XBK30" s="47"/>
      <c r="XBL30" s="47"/>
      <c r="XBM30" s="47"/>
      <c r="XBN30" s="47"/>
      <c r="XBO30" s="47"/>
      <c r="XBP30" s="47"/>
      <c r="XBQ30" s="47"/>
      <c r="XBR30" s="47"/>
      <c r="XBS30" s="47"/>
      <c r="XBT30" s="47"/>
      <c r="XBU30" s="47"/>
      <c r="XBV30" s="47"/>
      <c r="XBW30" s="47"/>
      <c r="XBX30" s="47"/>
      <c r="XBY30" s="47"/>
      <c r="XBZ30" s="47"/>
      <c r="XCA30" s="47"/>
      <c r="XCB30" s="47"/>
      <c r="XCC30" s="47"/>
      <c r="XCD30" s="47"/>
      <c r="XCE30" s="47"/>
      <c r="XCF30" s="47"/>
      <c r="XCG30" s="47"/>
      <c r="XCH30" s="47"/>
      <c r="XCI30" s="47"/>
      <c r="XCJ30" s="47"/>
      <c r="XCK30" s="47"/>
      <c r="XCL30" s="47"/>
      <c r="XCM30" s="47"/>
      <c r="XCN30" s="47"/>
      <c r="XCO30" s="47"/>
      <c r="XCP30" s="47"/>
      <c r="XCQ30" s="47"/>
      <c r="XCR30" s="47"/>
      <c r="XCS30" s="47"/>
      <c r="XCT30" s="47"/>
      <c r="XCU30" s="47"/>
      <c r="XCV30" s="47"/>
      <c r="XCW30" s="47"/>
      <c r="XCX30" s="47"/>
      <c r="XCY30" s="47"/>
      <c r="XCZ30" s="47"/>
      <c r="XDA30" s="47"/>
      <c r="XDB30" s="47"/>
      <c r="XDC30" s="47"/>
      <c r="XDD30" s="47"/>
      <c r="XDE30" s="47"/>
      <c r="XDF30" s="47"/>
      <c r="XDG30" s="47"/>
      <c r="XDH30" s="47"/>
      <c r="XDI30" s="47"/>
      <c r="XDJ30" s="47"/>
      <c r="XDK30" s="47"/>
      <c r="XDL30" s="47"/>
      <c r="XDM30" s="47"/>
      <c r="XDN30" s="47"/>
      <c r="XDO30" s="47"/>
      <c r="XDP30" s="47"/>
      <c r="XDQ30" s="47"/>
      <c r="XDR30" s="47"/>
      <c r="XDS30" s="47"/>
      <c r="XDT30" s="47"/>
      <c r="XDU30" s="47"/>
      <c r="XDV30" s="47"/>
      <c r="XDW30" s="47"/>
      <c r="XDX30" s="47"/>
      <c r="XDY30" s="47"/>
      <c r="XDZ30" s="47"/>
      <c r="XEA30" s="47"/>
      <c r="XEB30" s="47"/>
      <c r="XEC30" s="47"/>
      <c r="XED30" s="47"/>
      <c r="XEE30" s="47"/>
      <c r="XEF30" s="47"/>
      <c r="XEG30" s="47"/>
      <c r="XEH30" s="47"/>
      <c r="XEI30" s="47"/>
      <c r="XEJ30" s="47"/>
      <c r="XEK30" s="47"/>
      <c r="XEL30" s="47"/>
      <c r="XEM30" s="47"/>
      <c r="XEN30" s="47"/>
      <c r="XEO30" s="47"/>
      <c r="XEP30" s="47"/>
      <c r="XEQ30" s="47"/>
      <c r="XER30" s="47"/>
      <c r="XES30" s="47"/>
      <c r="XET30" s="47"/>
      <c r="XEU30" s="47"/>
      <c r="XEV30" s="47"/>
      <c r="XEW30" s="47"/>
      <c r="XEX30" s="47"/>
      <c r="XEY30" s="47"/>
      <c r="XEZ30" s="47"/>
      <c r="XFA30" s="47"/>
      <c r="XFB30" s="47"/>
      <c r="XFC30" s="47"/>
    </row>
    <row r="31" spans="1:16383" s="20" customFormat="1" ht="20.149999999999999" hidden="1" customHeight="1">
      <c r="A31" s="53"/>
      <c r="B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c r="HV31" s="47"/>
      <c r="HW31" s="47"/>
      <c r="HX31" s="47"/>
      <c r="HY31" s="47"/>
      <c r="HZ31" s="47"/>
      <c r="IA31" s="47"/>
      <c r="IB31" s="47"/>
      <c r="IC31" s="47"/>
      <c r="ID31" s="47"/>
      <c r="IE31" s="47"/>
      <c r="IF31" s="47"/>
      <c r="IG31" s="47"/>
      <c r="IH31" s="47"/>
      <c r="II31" s="47"/>
      <c r="IJ31" s="47"/>
      <c r="IK31" s="47"/>
      <c r="IL31" s="47"/>
      <c r="IM31" s="47"/>
      <c r="IN31" s="47"/>
      <c r="IO31" s="47"/>
      <c r="IP31" s="47"/>
      <c r="IQ31" s="47"/>
      <c r="IR31" s="47"/>
      <c r="IS31" s="47"/>
      <c r="IT31" s="47"/>
      <c r="IU31" s="47"/>
      <c r="IV31" s="47"/>
      <c r="IW31" s="47"/>
      <c r="IX31" s="47"/>
      <c r="IY31" s="47"/>
      <c r="IZ31" s="47"/>
      <c r="JA31" s="47"/>
      <c r="JB31" s="47"/>
      <c r="JC31" s="47"/>
      <c r="JD31" s="47"/>
      <c r="JE31" s="47"/>
      <c r="JF31" s="47"/>
      <c r="JG31" s="47"/>
      <c r="JH31" s="47"/>
      <c r="JI31" s="47"/>
      <c r="JJ31" s="47"/>
      <c r="JK31" s="47"/>
      <c r="JL31" s="47"/>
      <c r="JM31" s="47"/>
      <c r="JN31" s="47"/>
      <c r="JO31" s="47"/>
      <c r="JP31" s="47"/>
      <c r="JQ31" s="47"/>
      <c r="JR31" s="47"/>
      <c r="JS31" s="47"/>
      <c r="JT31" s="47"/>
      <c r="JU31" s="47"/>
      <c r="JV31" s="47"/>
      <c r="JW31" s="47"/>
      <c r="JX31" s="47"/>
      <c r="JY31" s="47"/>
      <c r="JZ31" s="47"/>
      <c r="KA31" s="47"/>
      <c r="KB31" s="47"/>
      <c r="KC31" s="47"/>
      <c r="KD31" s="47"/>
      <c r="KE31" s="47"/>
      <c r="KF31" s="47"/>
      <c r="KG31" s="47"/>
      <c r="KH31" s="47"/>
      <c r="KI31" s="47"/>
      <c r="KJ31" s="47"/>
      <c r="KK31" s="47"/>
      <c r="KL31" s="47"/>
      <c r="KM31" s="47"/>
      <c r="KN31" s="47"/>
      <c r="KO31" s="47"/>
      <c r="KP31" s="47"/>
      <c r="KQ31" s="47"/>
      <c r="KR31" s="47"/>
      <c r="KS31" s="47"/>
      <c r="KT31" s="47"/>
      <c r="KU31" s="47"/>
      <c r="KV31" s="47"/>
      <c r="KW31" s="47"/>
      <c r="KX31" s="47"/>
      <c r="KY31" s="47"/>
      <c r="KZ31" s="47"/>
      <c r="LA31" s="47"/>
      <c r="LB31" s="47"/>
      <c r="LC31" s="47"/>
      <c r="LD31" s="47"/>
      <c r="LE31" s="47"/>
      <c r="LF31" s="47"/>
      <c r="LG31" s="47"/>
      <c r="LH31" s="47"/>
      <c r="LI31" s="47"/>
      <c r="LJ31" s="47"/>
      <c r="LK31" s="47"/>
      <c r="LL31" s="47"/>
      <c r="LM31" s="47"/>
      <c r="LN31" s="47"/>
      <c r="LO31" s="47"/>
      <c r="LP31" s="47"/>
      <c r="LQ31" s="47"/>
      <c r="LR31" s="47"/>
      <c r="LS31" s="47"/>
      <c r="LT31" s="47"/>
      <c r="LU31" s="47"/>
      <c r="LV31" s="47"/>
      <c r="LW31" s="47"/>
      <c r="LX31" s="47"/>
      <c r="LY31" s="47"/>
      <c r="LZ31" s="47"/>
      <c r="MA31" s="47"/>
      <c r="MB31" s="47"/>
      <c r="MC31" s="47"/>
      <c r="MD31" s="47"/>
      <c r="ME31" s="47"/>
      <c r="MF31" s="47"/>
      <c r="MG31" s="47"/>
      <c r="MH31" s="47"/>
      <c r="MI31" s="47"/>
      <c r="MJ31" s="47"/>
      <c r="MK31" s="47"/>
      <c r="ML31" s="47"/>
      <c r="MM31" s="47"/>
      <c r="MN31" s="47"/>
      <c r="MO31" s="47"/>
      <c r="MP31" s="47"/>
      <c r="MQ31" s="47"/>
      <c r="MR31" s="47"/>
      <c r="MS31" s="47"/>
      <c r="MT31" s="47"/>
      <c r="MU31" s="47"/>
      <c r="MV31" s="47"/>
      <c r="MW31" s="47"/>
      <c r="MX31" s="47"/>
      <c r="MY31" s="47"/>
      <c r="MZ31" s="47"/>
      <c r="NA31" s="47"/>
      <c r="NB31" s="47"/>
      <c r="NC31" s="47"/>
      <c r="ND31" s="47"/>
      <c r="NE31" s="47"/>
      <c r="NF31" s="47"/>
      <c r="NG31" s="47"/>
      <c r="NH31" s="47"/>
      <c r="NI31" s="47"/>
      <c r="NJ31" s="47"/>
      <c r="NK31" s="47"/>
      <c r="NL31" s="47"/>
      <c r="NM31" s="47"/>
      <c r="NN31" s="47"/>
      <c r="NO31" s="47"/>
      <c r="NP31" s="47"/>
      <c r="NQ31" s="47"/>
      <c r="NR31" s="47"/>
      <c r="NS31" s="47"/>
      <c r="NT31" s="47"/>
      <c r="NU31" s="47"/>
      <c r="NV31" s="47"/>
      <c r="NW31" s="47"/>
      <c r="NX31" s="47"/>
      <c r="NY31" s="47"/>
      <c r="NZ31" s="47"/>
      <c r="OA31" s="47"/>
      <c r="OB31" s="47"/>
      <c r="OC31" s="47"/>
      <c r="OD31" s="47"/>
      <c r="OE31" s="47"/>
      <c r="OF31" s="47"/>
      <c r="OG31" s="47"/>
      <c r="OH31" s="47"/>
      <c r="OI31" s="47"/>
      <c r="OJ31" s="47"/>
      <c r="OK31" s="47"/>
      <c r="OL31" s="47"/>
      <c r="OM31" s="47"/>
      <c r="ON31" s="47"/>
      <c r="OO31" s="47"/>
      <c r="OP31" s="47"/>
      <c r="OQ31" s="47"/>
      <c r="OR31" s="47"/>
      <c r="OS31" s="47"/>
      <c r="OT31" s="47"/>
      <c r="OU31" s="47"/>
      <c r="OV31" s="47"/>
      <c r="OW31" s="47"/>
      <c r="OX31" s="47"/>
      <c r="OY31" s="47"/>
      <c r="OZ31" s="47"/>
      <c r="PA31" s="47"/>
      <c r="PB31" s="47"/>
      <c r="PC31" s="47"/>
      <c r="PD31" s="47"/>
      <c r="PE31" s="47"/>
      <c r="PF31" s="47"/>
      <c r="PG31" s="47"/>
      <c r="PH31" s="47"/>
      <c r="PI31" s="47"/>
      <c r="PJ31" s="47"/>
      <c r="PK31" s="47"/>
      <c r="PL31" s="47"/>
      <c r="PM31" s="47"/>
      <c r="PN31" s="47"/>
      <c r="PO31" s="47"/>
      <c r="PP31" s="47"/>
      <c r="PQ31" s="47"/>
      <c r="PR31" s="47"/>
      <c r="PS31" s="47"/>
      <c r="PT31" s="47"/>
      <c r="PU31" s="47"/>
      <c r="PV31" s="47"/>
      <c r="PW31" s="47"/>
      <c r="PX31" s="47"/>
      <c r="PY31" s="47"/>
      <c r="PZ31" s="47"/>
      <c r="QA31" s="47"/>
      <c r="QB31" s="47"/>
      <c r="QC31" s="47"/>
      <c r="QD31" s="47"/>
      <c r="QE31" s="47"/>
      <c r="QF31" s="47"/>
      <c r="QG31" s="47"/>
      <c r="QH31" s="47"/>
      <c r="QI31" s="47"/>
      <c r="QJ31" s="47"/>
      <c r="QK31" s="47"/>
      <c r="QL31" s="47"/>
      <c r="QM31" s="47"/>
      <c r="QN31" s="47"/>
      <c r="QO31" s="47"/>
      <c r="QP31" s="47"/>
      <c r="QQ31" s="47"/>
      <c r="QR31" s="47"/>
      <c r="QS31" s="47"/>
      <c r="QT31" s="47"/>
      <c r="QU31" s="47"/>
      <c r="QV31" s="47"/>
      <c r="QW31" s="47"/>
      <c r="QX31" s="47"/>
      <c r="QY31" s="47"/>
      <c r="QZ31" s="47"/>
      <c r="RA31" s="47"/>
      <c r="RB31" s="47"/>
      <c r="RC31" s="47"/>
      <c r="RD31" s="47"/>
      <c r="RE31" s="47"/>
      <c r="RF31" s="47"/>
      <c r="RG31" s="47"/>
      <c r="RH31" s="47"/>
      <c r="RI31" s="47"/>
      <c r="RJ31" s="47"/>
      <c r="RK31" s="47"/>
      <c r="RL31" s="47"/>
      <c r="RM31" s="47"/>
      <c r="RN31" s="47"/>
      <c r="RO31" s="47"/>
      <c r="RP31" s="47"/>
      <c r="RQ31" s="47"/>
      <c r="RR31" s="47"/>
      <c r="RS31" s="47"/>
      <c r="RT31" s="47"/>
      <c r="RU31" s="47"/>
      <c r="RV31" s="47"/>
      <c r="RW31" s="47"/>
      <c r="RX31" s="47"/>
      <c r="RY31" s="47"/>
      <c r="RZ31" s="47"/>
      <c r="SA31" s="47"/>
      <c r="SB31" s="47"/>
      <c r="SC31" s="47"/>
      <c r="SD31" s="47"/>
      <c r="SE31" s="47"/>
      <c r="SF31" s="47"/>
      <c r="SG31" s="47"/>
      <c r="SH31" s="47"/>
      <c r="SI31" s="47"/>
      <c r="SJ31" s="47"/>
      <c r="SK31" s="47"/>
      <c r="SL31" s="47"/>
      <c r="SM31" s="47"/>
      <c r="SN31" s="47"/>
      <c r="SO31" s="47"/>
      <c r="SP31" s="47"/>
      <c r="SQ31" s="47"/>
      <c r="SR31" s="47"/>
      <c r="SS31" s="47"/>
      <c r="ST31" s="47"/>
      <c r="SU31" s="47"/>
      <c r="SV31" s="47"/>
      <c r="SW31" s="47"/>
      <c r="SX31" s="47"/>
      <c r="SY31" s="47"/>
      <c r="SZ31" s="47"/>
      <c r="TA31" s="47"/>
      <c r="TB31" s="47"/>
      <c r="TC31" s="47"/>
      <c r="TD31" s="47"/>
      <c r="TE31" s="47"/>
      <c r="TF31" s="47"/>
      <c r="TG31" s="47"/>
      <c r="TH31" s="47"/>
      <c r="TI31" s="47"/>
      <c r="TJ31" s="47"/>
      <c r="TK31" s="47"/>
      <c r="TL31" s="47"/>
      <c r="TM31" s="47"/>
      <c r="TN31" s="47"/>
      <c r="TO31" s="47"/>
      <c r="TP31" s="47"/>
      <c r="TQ31" s="47"/>
      <c r="TR31" s="47"/>
      <c r="TS31" s="47"/>
      <c r="TT31" s="47"/>
      <c r="TU31" s="47"/>
      <c r="TV31" s="47"/>
      <c r="TW31" s="47"/>
      <c r="TX31" s="47"/>
      <c r="TY31" s="47"/>
      <c r="TZ31" s="47"/>
      <c r="UA31" s="47"/>
      <c r="UB31" s="47"/>
      <c r="UC31" s="47"/>
      <c r="UD31" s="47"/>
      <c r="UE31" s="47"/>
      <c r="UF31" s="47"/>
      <c r="UG31" s="47"/>
      <c r="UH31" s="47"/>
      <c r="UI31" s="47"/>
      <c r="UJ31" s="47"/>
      <c r="UK31" s="47"/>
      <c r="UL31" s="47"/>
      <c r="UM31" s="47"/>
      <c r="UN31" s="47"/>
      <c r="UO31" s="47"/>
      <c r="UP31" s="47"/>
      <c r="UQ31" s="47"/>
      <c r="UR31" s="47"/>
      <c r="US31" s="47"/>
      <c r="UT31" s="47"/>
      <c r="UU31" s="47"/>
      <c r="UV31" s="47"/>
      <c r="UW31" s="47"/>
      <c r="UX31" s="47"/>
      <c r="UY31" s="47"/>
      <c r="UZ31" s="47"/>
      <c r="VA31" s="47"/>
      <c r="VB31" s="47"/>
      <c r="VC31" s="47"/>
      <c r="VD31" s="47"/>
      <c r="VE31" s="47"/>
      <c r="VF31" s="47"/>
      <c r="VG31" s="47"/>
      <c r="VH31" s="47"/>
      <c r="VI31" s="47"/>
      <c r="VJ31" s="47"/>
      <c r="VK31" s="47"/>
      <c r="VL31" s="47"/>
      <c r="VM31" s="47"/>
      <c r="VN31" s="47"/>
      <c r="VO31" s="47"/>
      <c r="VP31" s="47"/>
      <c r="VQ31" s="47"/>
      <c r="VR31" s="47"/>
      <c r="VS31" s="47"/>
      <c r="VT31" s="47"/>
      <c r="VU31" s="47"/>
      <c r="VV31" s="47"/>
      <c r="VW31" s="47"/>
      <c r="VX31" s="47"/>
      <c r="VY31" s="47"/>
      <c r="VZ31" s="47"/>
      <c r="WA31" s="47"/>
      <c r="WB31" s="47"/>
      <c r="WC31" s="47"/>
      <c r="WD31" s="47"/>
      <c r="WE31" s="47"/>
      <c r="WF31" s="47"/>
      <c r="WG31" s="47"/>
      <c r="WH31" s="47"/>
      <c r="WI31" s="47"/>
      <c r="WJ31" s="47"/>
      <c r="WK31" s="47"/>
      <c r="WL31" s="47"/>
      <c r="WM31" s="47"/>
      <c r="WN31" s="47"/>
      <c r="WO31" s="47"/>
      <c r="WP31" s="47"/>
      <c r="WQ31" s="47"/>
      <c r="WR31" s="47"/>
      <c r="WS31" s="47"/>
      <c r="WT31" s="47"/>
      <c r="WU31" s="47"/>
      <c r="WV31" s="47"/>
      <c r="WW31" s="47"/>
      <c r="WX31" s="47"/>
      <c r="WY31" s="47"/>
      <c r="WZ31" s="47"/>
      <c r="XA31" s="47"/>
      <c r="XB31" s="47"/>
      <c r="XC31" s="47"/>
      <c r="XD31" s="47"/>
      <c r="XE31" s="47"/>
      <c r="XF31" s="47"/>
      <c r="XG31" s="47"/>
      <c r="XH31" s="47"/>
      <c r="XI31" s="47"/>
      <c r="XJ31" s="47"/>
      <c r="XK31" s="47"/>
      <c r="XL31" s="47"/>
      <c r="XM31" s="47"/>
      <c r="XN31" s="47"/>
      <c r="XO31" s="47"/>
      <c r="XP31" s="47"/>
      <c r="XQ31" s="47"/>
      <c r="XR31" s="47"/>
      <c r="XS31" s="47"/>
      <c r="XT31" s="47"/>
      <c r="XU31" s="47"/>
      <c r="XV31" s="47"/>
      <c r="XW31" s="47"/>
      <c r="XX31" s="47"/>
      <c r="XY31" s="47"/>
      <c r="XZ31" s="47"/>
      <c r="YA31" s="47"/>
      <c r="YB31" s="47"/>
      <c r="YC31" s="47"/>
      <c r="YD31" s="47"/>
      <c r="YE31" s="47"/>
      <c r="YF31" s="47"/>
      <c r="YG31" s="47"/>
      <c r="YH31" s="47"/>
      <c r="YI31" s="47"/>
      <c r="YJ31" s="47"/>
      <c r="YK31" s="47"/>
      <c r="YL31" s="47"/>
      <c r="YM31" s="47"/>
      <c r="YN31" s="47"/>
      <c r="YO31" s="47"/>
      <c r="YP31" s="47"/>
      <c r="YQ31" s="47"/>
      <c r="YR31" s="47"/>
      <c r="YS31" s="47"/>
      <c r="YT31" s="47"/>
      <c r="YU31" s="47"/>
      <c r="YV31" s="47"/>
      <c r="YW31" s="47"/>
      <c r="YX31" s="47"/>
      <c r="YY31" s="47"/>
      <c r="YZ31" s="47"/>
      <c r="ZA31" s="47"/>
      <c r="ZB31" s="47"/>
      <c r="ZC31" s="47"/>
      <c r="ZD31" s="47"/>
      <c r="ZE31" s="47"/>
      <c r="ZF31" s="47"/>
      <c r="ZG31" s="47"/>
      <c r="ZH31" s="47"/>
      <c r="ZI31" s="47"/>
      <c r="ZJ31" s="47"/>
      <c r="ZK31" s="47"/>
      <c r="ZL31" s="47"/>
      <c r="ZM31" s="47"/>
      <c r="ZN31" s="47"/>
      <c r="ZO31" s="47"/>
      <c r="ZP31" s="47"/>
      <c r="ZQ31" s="47"/>
      <c r="ZR31" s="47"/>
      <c r="ZS31" s="47"/>
      <c r="ZT31" s="47"/>
      <c r="ZU31" s="47"/>
      <c r="ZV31" s="47"/>
      <c r="ZW31" s="47"/>
      <c r="ZX31" s="47"/>
      <c r="ZY31" s="47"/>
      <c r="ZZ31" s="47"/>
      <c r="AAA31" s="47"/>
      <c r="AAB31" s="47"/>
      <c r="AAC31" s="47"/>
      <c r="AAD31" s="47"/>
      <c r="AAE31" s="47"/>
      <c r="AAF31" s="47"/>
      <c r="AAG31" s="47"/>
      <c r="AAH31" s="47"/>
      <c r="AAI31" s="47"/>
      <c r="AAJ31" s="47"/>
      <c r="AAK31" s="47"/>
      <c r="AAL31" s="47"/>
      <c r="AAM31" s="47"/>
      <c r="AAN31" s="47"/>
      <c r="AAO31" s="47"/>
      <c r="AAP31" s="47"/>
      <c r="AAQ31" s="47"/>
      <c r="AAR31" s="47"/>
      <c r="AAS31" s="47"/>
      <c r="AAT31" s="47"/>
      <c r="AAU31" s="47"/>
      <c r="AAV31" s="47"/>
      <c r="AAW31" s="47"/>
      <c r="AAX31" s="47"/>
      <c r="AAY31" s="47"/>
      <c r="AAZ31" s="47"/>
      <c r="ABA31" s="47"/>
      <c r="ABB31" s="47"/>
      <c r="ABC31" s="47"/>
      <c r="ABD31" s="47"/>
      <c r="ABE31" s="47"/>
      <c r="ABF31" s="47"/>
      <c r="ABG31" s="47"/>
      <c r="ABH31" s="47"/>
      <c r="ABI31" s="47"/>
      <c r="ABJ31" s="47"/>
      <c r="ABK31" s="47"/>
      <c r="ABL31" s="47"/>
      <c r="ABM31" s="47"/>
      <c r="ABN31" s="47"/>
      <c r="ABO31" s="47"/>
      <c r="ABP31" s="47"/>
      <c r="ABQ31" s="47"/>
      <c r="ABR31" s="47"/>
      <c r="ABS31" s="47"/>
      <c r="ABT31" s="47"/>
      <c r="ABU31" s="47"/>
      <c r="ABV31" s="47"/>
      <c r="ABW31" s="47"/>
      <c r="ABX31" s="47"/>
      <c r="ABY31" s="47"/>
      <c r="ABZ31" s="47"/>
      <c r="ACA31" s="47"/>
      <c r="ACB31" s="47"/>
      <c r="ACC31" s="47"/>
      <c r="ACD31" s="47"/>
      <c r="ACE31" s="47"/>
      <c r="ACF31" s="47"/>
      <c r="ACG31" s="47"/>
      <c r="ACH31" s="47"/>
      <c r="ACI31" s="47"/>
      <c r="ACJ31" s="47"/>
      <c r="ACK31" s="47"/>
      <c r="ACL31" s="47"/>
      <c r="ACM31" s="47"/>
      <c r="ACN31" s="47"/>
      <c r="ACO31" s="47"/>
      <c r="ACP31" s="47"/>
      <c r="ACQ31" s="47"/>
      <c r="ACR31" s="47"/>
      <c r="ACS31" s="47"/>
      <c r="ACT31" s="47"/>
      <c r="ACU31" s="47"/>
      <c r="ACV31" s="47"/>
      <c r="ACW31" s="47"/>
      <c r="ACX31" s="47"/>
      <c r="ACY31" s="47"/>
      <c r="ACZ31" s="47"/>
      <c r="ADA31" s="47"/>
      <c r="ADB31" s="47"/>
      <c r="ADC31" s="47"/>
      <c r="ADD31" s="47"/>
      <c r="ADE31" s="47"/>
      <c r="ADF31" s="47"/>
      <c r="ADG31" s="47"/>
      <c r="ADH31" s="47"/>
      <c r="ADI31" s="47"/>
      <c r="ADJ31" s="47"/>
      <c r="ADK31" s="47"/>
      <c r="ADL31" s="47"/>
      <c r="ADM31" s="47"/>
      <c r="ADN31" s="47"/>
      <c r="ADO31" s="47"/>
      <c r="ADP31" s="47"/>
      <c r="ADQ31" s="47"/>
      <c r="ADR31" s="47"/>
      <c r="ADS31" s="47"/>
      <c r="ADT31" s="47"/>
      <c r="ADU31" s="47"/>
      <c r="ADV31" s="47"/>
      <c r="ADW31" s="47"/>
      <c r="ADX31" s="47"/>
      <c r="ADY31" s="47"/>
      <c r="ADZ31" s="47"/>
      <c r="AEA31" s="47"/>
      <c r="AEB31" s="47"/>
      <c r="AEC31" s="47"/>
      <c r="AED31" s="47"/>
      <c r="AEE31" s="47"/>
      <c r="AEF31" s="47"/>
      <c r="AEG31" s="47"/>
      <c r="AEH31" s="47"/>
      <c r="AEI31" s="47"/>
      <c r="AEJ31" s="47"/>
      <c r="AEK31" s="47"/>
      <c r="AEL31" s="47"/>
      <c r="AEM31" s="47"/>
      <c r="AEN31" s="47"/>
      <c r="AEO31" s="47"/>
      <c r="AEP31" s="47"/>
      <c r="AEQ31" s="47"/>
      <c r="AER31" s="47"/>
      <c r="AES31" s="47"/>
      <c r="AET31" s="47"/>
      <c r="AEU31" s="47"/>
      <c r="AEV31" s="47"/>
      <c r="AEW31" s="47"/>
      <c r="AEX31" s="47"/>
      <c r="AEY31" s="47"/>
      <c r="AEZ31" s="47"/>
      <c r="AFA31" s="47"/>
      <c r="AFB31" s="47"/>
      <c r="AFC31" s="47"/>
      <c r="AFD31" s="47"/>
      <c r="AFE31" s="47"/>
      <c r="AFF31" s="47"/>
      <c r="AFG31" s="47"/>
      <c r="AFH31" s="47"/>
      <c r="AFI31" s="47"/>
      <c r="AFJ31" s="47"/>
      <c r="AFK31" s="47"/>
      <c r="AFL31" s="47"/>
      <c r="AFM31" s="47"/>
      <c r="AFN31" s="47"/>
      <c r="AFO31" s="47"/>
      <c r="AFP31" s="47"/>
      <c r="AFQ31" s="47"/>
      <c r="AFR31" s="47"/>
      <c r="AFS31" s="47"/>
      <c r="AFT31" s="47"/>
      <c r="AFU31" s="47"/>
      <c r="AFV31" s="47"/>
      <c r="AFW31" s="47"/>
      <c r="AFX31" s="47"/>
      <c r="AFY31" s="47"/>
      <c r="AFZ31" s="47"/>
      <c r="AGA31" s="47"/>
      <c r="AGB31" s="47"/>
      <c r="AGC31" s="47"/>
      <c r="AGD31" s="47"/>
      <c r="AGE31" s="47"/>
      <c r="AGF31" s="47"/>
      <c r="AGG31" s="47"/>
      <c r="AGH31" s="47"/>
      <c r="AGI31" s="47"/>
      <c r="AGJ31" s="47"/>
      <c r="AGK31" s="47"/>
      <c r="AGL31" s="47"/>
      <c r="AGM31" s="47"/>
      <c r="AGN31" s="47"/>
      <c r="AGO31" s="47"/>
      <c r="AGP31" s="47"/>
      <c r="AGQ31" s="47"/>
      <c r="AGR31" s="47"/>
      <c r="AGS31" s="47"/>
      <c r="AGT31" s="47"/>
      <c r="AGU31" s="47"/>
      <c r="AGV31" s="47"/>
      <c r="AGW31" s="47"/>
      <c r="AGX31" s="47"/>
      <c r="AGY31" s="47"/>
      <c r="AGZ31" s="47"/>
      <c r="AHA31" s="47"/>
      <c r="AHB31" s="47"/>
      <c r="AHC31" s="47"/>
      <c r="AHD31" s="47"/>
      <c r="AHE31" s="47"/>
      <c r="AHF31" s="47"/>
      <c r="AHG31" s="47"/>
      <c r="AHH31" s="47"/>
      <c r="AHI31" s="47"/>
      <c r="AHJ31" s="47"/>
      <c r="AHK31" s="47"/>
      <c r="AHL31" s="47"/>
      <c r="AHM31" s="47"/>
      <c r="AHN31" s="47"/>
      <c r="AHO31" s="47"/>
      <c r="AHP31" s="47"/>
      <c r="AHQ31" s="47"/>
      <c r="AHR31" s="47"/>
      <c r="AHS31" s="47"/>
      <c r="AHT31" s="47"/>
      <c r="AHU31" s="47"/>
      <c r="AHV31" s="47"/>
      <c r="AHW31" s="47"/>
      <c r="AHX31" s="47"/>
      <c r="AHY31" s="47"/>
      <c r="AHZ31" s="47"/>
      <c r="AIA31" s="47"/>
      <c r="AIB31" s="47"/>
      <c r="AIC31" s="47"/>
      <c r="AID31" s="47"/>
      <c r="AIE31" s="47"/>
      <c r="AIF31" s="47"/>
      <c r="AIG31" s="47"/>
      <c r="AIH31" s="47"/>
      <c r="AII31" s="47"/>
      <c r="AIJ31" s="47"/>
      <c r="AIK31" s="47"/>
      <c r="AIL31" s="47"/>
      <c r="AIM31" s="47"/>
      <c r="AIN31" s="47"/>
      <c r="AIO31" s="47"/>
      <c r="AIP31" s="47"/>
      <c r="AIQ31" s="47"/>
      <c r="AIR31" s="47"/>
      <c r="AIS31" s="47"/>
      <c r="AIT31" s="47"/>
      <c r="AIU31" s="47"/>
      <c r="AIV31" s="47"/>
      <c r="AIW31" s="47"/>
      <c r="AIX31" s="47"/>
      <c r="AIY31" s="47"/>
      <c r="AIZ31" s="47"/>
      <c r="AJA31" s="47"/>
      <c r="AJB31" s="47"/>
      <c r="AJC31" s="47"/>
      <c r="AJD31" s="47"/>
      <c r="AJE31" s="47"/>
      <c r="AJF31" s="47"/>
      <c r="AJG31" s="47"/>
      <c r="AJH31" s="47"/>
      <c r="AJI31" s="47"/>
      <c r="AJJ31" s="47"/>
      <c r="AJK31" s="47"/>
      <c r="AJL31" s="47"/>
      <c r="AJM31" s="47"/>
      <c r="AJN31" s="47"/>
      <c r="AJO31" s="47"/>
      <c r="AJP31" s="47"/>
      <c r="AJQ31" s="47"/>
      <c r="AJR31" s="47"/>
      <c r="AJS31" s="47"/>
      <c r="AJT31" s="47"/>
      <c r="AJU31" s="47"/>
      <c r="AJV31" s="47"/>
      <c r="AJW31" s="47"/>
      <c r="AJX31" s="47"/>
      <c r="AJY31" s="47"/>
      <c r="AJZ31" s="47"/>
      <c r="AKA31" s="47"/>
      <c r="AKB31" s="47"/>
      <c r="AKC31" s="47"/>
      <c r="AKD31" s="47"/>
      <c r="AKE31" s="47"/>
      <c r="AKF31" s="47"/>
      <c r="AKG31" s="47"/>
      <c r="AKH31" s="47"/>
      <c r="AKI31" s="47"/>
      <c r="AKJ31" s="47"/>
      <c r="AKK31" s="47"/>
      <c r="AKL31" s="47"/>
      <c r="AKM31" s="47"/>
      <c r="AKN31" s="47"/>
      <c r="AKO31" s="47"/>
      <c r="AKP31" s="47"/>
      <c r="AKQ31" s="47"/>
      <c r="AKR31" s="47"/>
      <c r="AKS31" s="47"/>
      <c r="AKT31" s="47"/>
      <c r="AKU31" s="47"/>
      <c r="AKV31" s="47"/>
      <c r="AKW31" s="47"/>
      <c r="AKX31" s="47"/>
      <c r="AKY31" s="47"/>
      <c r="AKZ31" s="47"/>
      <c r="ALA31" s="47"/>
      <c r="ALB31" s="47"/>
      <c r="ALC31" s="47"/>
      <c r="ALD31" s="47"/>
      <c r="ALE31" s="47"/>
      <c r="ALF31" s="47"/>
      <c r="ALG31" s="47"/>
      <c r="ALH31" s="47"/>
      <c r="ALI31" s="47"/>
      <c r="ALJ31" s="47"/>
      <c r="ALK31" s="47"/>
      <c r="ALL31" s="47"/>
      <c r="ALM31" s="47"/>
      <c r="ALN31" s="47"/>
      <c r="ALO31" s="47"/>
      <c r="ALP31" s="47"/>
      <c r="ALQ31" s="47"/>
      <c r="ALR31" s="47"/>
      <c r="ALS31" s="47"/>
      <c r="ALT31" s="47"/>
      <c r="ALU31" s="47"/>
      <c r="ALV31" s="47"/>
      <c r="ALW31" s="47"/>
      <c r="ALX31" s="47"/>
      <c r="ALY31" s="47"/>
      <c r="ALZ31" s="47"/>
      <c r="AMA31" s="47"/>
      <c r="AMB31" s="47"/>
      <c r="AMC31" s="47"/>
      <c r="AMD31" s="47"/>
      <c r="AME31" s="47"/>
      <c r="AMF31" s="47"/>
      <c r="AMG31" s="47"/>
      <c r="AMH31" s="47"/>
      <c r="AMI31" s="47"/>
      <c r="AMJ31" s="47"/>
      <c r="AMK31" s="47"/>
      <c r="AML31" s="47"/>
      <c r="AMM31" s="47"/>
      <c r="AMN31" s="47"/>
      <c r="AMO31" s="47"/>
      <c r="AMP31" s="47"/>
      <c r="AMQ31" s="47"/>
      <c r="AMR31" s="47"/>
      <c r="AMS31" s="47"/>
      <c r="AMT31" s="47"/>
      <c r="AMU31" s="47"/>
      <c r="AMV31" s="47"/>
      <c r="AMW31" s="47"/>
      <c r="AMX31" s="47"/>
      <c r="AMY31" s="47"/>
      <c r="AMZ31" s="47"/>
      <c r="ANA31" s="47"/>
      <c r="ANB31" s="47"/>
      <c r="ANC31" s="47"/>
      <c r="AND31" s="47"/>
      <c r="ANE31" s="47"/>
      <c r="ANF31" s="47"/>
      <c r="ANG31" s="47"/>
      <c r="ANH31" s="47"/>
      <c r="ANI31" s="47"/>
      <c r="ANJ31" s="47"/>
      <c r="ANK31" s="47"/>
      <c r="ANL31" s="47"/>
      <c r="ANM31" s="47"/>
      <c r="ANN31" s="47"/>
      <c r="ANO31" s="47"/>
      <c r="ANP31" s="47"/>
      <c r="ANQ31" s="47"/>
      <c r="ANR31" s="47"/>
      <c r="ANS31" s="47"/>
      <c r="ANT31" s="47"/>
      <c r="ANU31" s="47"/>
      <c r="ANV31" s="47"/>
      <c r="ANW31" s="47"/>
      <c r="ANX31" s="47"/>
      <c r="ANY31" s="47"/>
      <c r="ANZ31" s="47"/>
      <c r="AOA31" s="47"/>
      <c r="AOB31" s="47"/>
      <c r="AOC31" s="47"/>
      <c r="AOD31" s="47"/>
      <c r="AOE31" s="47"/>
      <c r="AOF31" s="47"/>
      <c r="AOG31" s="47"/>
      <c r="AOH31" s="47"/>
      <c r="AOI31" s="47"/>
      <c r="AOJ31" s="47"/>
      <c r="AOK31" s="47"/>
      <c r="AOL31" s="47"/>
      <c r="AOM31" s="47"/>
      <c r="AON31" s="47"/>
      <c r="AOO31" s="47"/>
      <c r="AOP31" s="47"/>
      <c r="AOQ31" s="47"/>
      <c r="AOR31" s="47"/>
      <c r="AOS31" s="47"/>
      <c r="AOT31" s="47"/>
      <c r="AOU31" s="47"/>
      <c r="AOV31" s="47"/>
      <c r="AOW31" s="47"/>
      <c r="AOX31" s="47"/>
      <c r="AOY31" s="47"/>
      <c r="AOZ31" s="47"/>
      <c r="APA31" s="47"/>
      <c r="APB31" s="47"/>
      <c r="APC31" s="47"/>
      <c r="APD31" s="47"/>
      <c r="APE31" s="47"/>
      <c r="APF31" s="47"/>
      <c r="APG31" s="47"/>
      <c r="APH31" s="47"/>
      <c r="API31" s="47"/>
      <c r="APJ31" s="47"/>
      <c r="APK31" s="47"/>
      <c r="APL31" s="47"/>
      <c r="APM31" s="47"/>
      <c r="APN31" s="47"/>
      <c r="APO31" s="47"/>
      <c r="APP31" s="47"/>
      <c r="APQ31" s="47"/>
      <c r="APR31" s="47"/>
      <c r="APS31" s="47"/>
      <c r="APT31" s="47"/>
      <c r="APU31" s="47"/>
      <c r="APV31" s="47"/>
      <c r="APW31" s="47"/>
      <c r="APX31" s="47"/>
      <c r="APY31" s="47"/>
      <c r="APZ31" s="47"/>
      <c r="AQA31" s="47"/>
      <c r="AQB31" s="47"/>
      <c r="AQC31" s="47"/>
      <c r="AQD31" s="47"/>
      <c r="AQE31" s="47"/>
      <c r="AQF31" s="47"/>
      <c r="AQG31" s="47"/>
      <c r="AQH31" s="47"/>
      <c r="AQI31" s="47"/>
      <c r="AQJ31" s="47"/>
      <c r="AQK31" s="47"/>
      <c r="AQL31" s="47"/>
      <c r="AQM31" s="47"/>
      <c r="AQN31" s="47"/>
      <c r="AQO31" s="47"/>
      <c r="AQP31" s="47"/>
      <c r="AQQ31" s="47"/>
      <c r="AQR31" s="47"/>
      <c r="AQS31" s="47"/>
      <c r="AQT31" s="47"/>
      <c r="AQU31" s="47"/>
      <c r="AQV31" s="47"/>
      <c r="AQW31" s="47"/>
      <c r="AQX31" s="47"/>
      <c r="AQY31" s="47"/>
      <c r="AQZ31" s="47"/>
      <c r="ARA31" s="47"/>
      <c r="ARB31" s="47"/>
      <c r="ARC31" s="47"/>
      <c r="ARD31" s="47"/>
      <c r="ARE31" s="47"/>
      <c r="ARF31" s="47"/>
      <c r="ARG31" s="47"/>
      <c r="ARH31" s="47"/>
      <c r="ARI31" s="47"/>
      <c r="ARJ31" s="47"/>
      <c r="ARK31" s="47"/>
      <c r="ARL31" s="47"/>
      <c r="ARM31" s="47"/>
      <c r="ARN31" s="47"/>
      <c r="ARO31" s="47"/>
      <c r="ARP31" s="47"/>
      <c r="ARQ31" s="47"/>
      <c r="ARR31" s="47"/>
      <c r="ARS31" s="47"/>
      <c r="ART31" s="47"/>
      <c r="ARU31" s="47"/>
      <c r="ARV31" s="47"/>
      <c r="ARW31" s="47"/>
      <c r="ARX31" s="47"/>
      <c r="ARY31" s="47"/>
      <c r="ARZ31" s="47"/>
      <c r="ASA31" s="47"/>
      <c r="ASB31" s="47"/>
      <c r="ASC31" s="47"/>
      <c r="ASD31" s="47"/>
      <c r="ASE31" s="47"/>
      <c r="ASF31" s="47"/>
      <c r="ASG31" s="47"/>
      <c r="ASH31" s="47"/>
      <c r="ASI31" s="47"/>
      <c r="ASJ31" s="47"/>
      <c r="ASK31" s="47"/>
      <c r="ASL31" s="47"/>
      <c r="ASM31" s="47"/>
      <c r="ASN31" s="47"/>
      <c r="ASO31" s="47"/>
      <c r="ASP31" s="47"/>
      <c r="ASQ31" s="47"/>
      <c r="ASR31" s="47"/>
      <c r="ASS31" s="47"/>
      <c r="AST31" s="47"/>
      <c r="ASU31" s="47"/>
      <c r="ASV31" s="47"/>
      <c r="ASW31" s="47"/>
      <c r="ASX31" s="47"/>
      <c r="ASY31" s="47"/>
      <c r="ASZ31" s="47"/>
      <c r="ATA31" s="47"/>
      <c r="ATB31" s="47"/>
      <c r="ATC31" s="47"/>
      <c r="ATD31" s="47"/>
      <c r="ATE31" s="47"/>
      <c r="ATF31" s="47"/>
      <c r="ATG31" s="47"/>
      <c r="ATH31" s="47"/>
      <c r="ATI31" s="47"/>
      <c r="ATJ31" s="47"/>
      <c r="ATK31" s="47"/>
      <c r="ATL31" s="47"/>
      <c r="ATM31" s="47"/>
      <c r="ATN31" s="47"/>
      <c r="ATO31" s="47"/>
      <c r="ATP31" s="47"/>
      <c r="ATQ31" s="47"/>
      <c r="ATR31" s="47"/>
      <c r="ATS31" s="47"/>
      <c r="ATT31" s="47"/>
      <c r="ATU31" s="47"/>
      <c r="ATV31" s="47"/>
      <c r="ATW31" s="47"/>
      <c r="ATX31" s="47"/>
      <c r="ATY31" s="47"/>
      <c r="ATZ31" s="47"/>
      <c r="AUA31" s="47"/>
      <c r="AUB31" s="47"/>
      <c r="AUC31" s="47"/>
      <c r="AUD31" s="47"/>
      <c r="AUE31" s="47"/>
      <c r="AUF31" s="47"/>
      <c r="AUG31" s="47"/>
      <c r="AUH31" s="47"/>
      <c r="AUI31" s="47"/>
      <c r="AUJ31" s="47"/>
      <c r="AUK31" s="47"/>
      <c r="AUL31" s="47"/>
      <c r="AUM31" s="47"/>
      <c r="AUN31" s="47"/>
      <c r="AUO31" s="47"/>
      <c r="AUP31" s="47"/>
      <c r="AUQ31" s="47"/>
      <c r="AUR31" s="47"/>
      <c r="AUS31" s="47"/>
      <c r="AUT31" s="47"/>
      <c r="AUU31" s="47"/>
      <c r="AUV31" s="47"/>
      <c r="AUW31" s="47"/>
      <c r="AUX31" s="47"/>
      <c r="AUY31" s="47"/>
      <c r="AUZ31" s="47"/>
      <c r="AVA31" s="47"/>
      <c r="AVB31" s="47"/>
      <c r="AVC31" s="47"/>
      <c r="AVD31" s="47"/>
      <c r="AVE31" s="47"/>
      <c r="AVF31" s="47"/>
      <c r="AVG31" s="47"/>
      <c r="AVH31" s="47"/>
      <c r="AVI31" s="47"/>
      <c r="AVJ31" s="47"/>
      <c r="AVK31" s="47"/>
      <c r="AVL31" s="47"/>
      <c r="AVM31" s="47"/>
      <c r="AVN31" s="47"/>
      <c r="AVO31" s="47"/>
      <c r="AVP31" s="47"/>
      <c r="AVQ31" s="47"/>
      <c r="AVR31" s="47"/>
      <c r="AVS31" s="47"/>
      <c r="AVT31" s="47"/>
      <c r="AVU31" s="47"/>
      <c r="AVV31" s="47"/>
      <c r="AVW31" s="47"/>
      <c r="AVX31" s="47"/>
      <c r="AVY31" s="47"/>
      <c r="AVZ31" s="47"/>
      <c r="AWA31" s="47"/>
      <c r="AWB31" s="47"/>
      <c r="AWC31" s="47"/>
      <c r="AWD31" s="47"/>
      <c r="AWE31" s="47"/>
      <c r="AWF31" s="47"/>
      <c r="AWG31" s="47"/>
      <c r="AWH31" s="47"/>
      <c r="AWI31" s="47"/>
      <c r="AWJ31" s="47"/>
      <c r="AWK31" s="47"/>
      <c r="AWL31" s="47"/>
      <c r="AWM31" s="47"/>
      <c r="AWN31" s="47"/>
      <c r="AWO31" s="47"/>
      <c r="AWP31" s="47"/>
      <c r="AWQ31" s="47"/>
      <c r="AWR31" s="47"/>
      <c r="AWS31" s="47"/>
      <c r="AWT31" s="47"/>
      <c r="AWU31" s="47"/>
      <c r="AWV31" s="47"/>
      <c r="AWW31" s="47"/>
      <c r="AWX31" s="47"/>
      <c r="AWY31" s="47"/>
      <c r="AWZ31" s="47"/>
      <c r="AXA31" s="47"/>
      <c r="AXB31" s="47"/>
      <c r="AXC31" s="47"/>
      <c r="AXD31" s="47"/>
      <c r="AXE31" s="47"/>
      <c r="AXF31" s="47"/>
      <c r="AXG31" s="47"/>
      <c r="AXH31" s="47"/>
      <c r="AXI31" s="47"/>
      <c r="AXJ31" s="47"/>
      <c r="AXK31" s="47"/>
      <c r="AXL31" s="47"/>
      <c r="AXM31" s="47"/>
      <c r="AXN31" s="47"/>
      <c r="AXO31" s="47"/>
      <c r="AXP31" s="47"/>
      <c r="AXQ31" s="47"/>
      <c r="AXR31" s="47"/>
      <c r="AXS31" s="47"/>
      <c r="AXT31" s="47"/>
      <c r="AXU31" s="47"/>
      <c r="AXV31" s="47"/>
      <c r="AXW31" s="47"/>
      <c r="AXX31" s="47"/>
      <c r="AXY31" s="47"/>
      <c r="AXZ31" s="47"/>
      <c r="AYA31" s="47"/>
      <c r="AYB31" s="47"/>
      <c r="AYC31" s="47"/>
      <c r="AYD31" s="47"/>
      <c r="AYE31" s="47"/>
      <c r="AYF31" s="47"/>
      <c r="AYG31" s="47"/>
      <c r="AYH31" s="47"/>
      <c r="AYI31" s="47"/>
      <c r="AYJ31" s="47"/>
      <c r="AYK31" s="47"/>
      <c r="AYL31" s="47"/>
      <c r="AYM31" s="47"/>
      <c r="AYN31" s="47"/>
      <c r="AYO31" s="47"/>
      <c r="AYP31" s="47"/>
      <c r="AYQ31" s="47"/>
      <c r="AYR31" s="47"/>
      <c r="AYS31" s="47"/>
      <c r="AYT31" s="47"/>
      <c r="AYU31" s="47"/>
      <c r="AYV31" s="47"/>
      <c r="AYW31" s="47"/>
      <c r="AYX31" s="47"/>
      <c r="AYY31" s="47"/>
      <c r="AYZ31" s="47"/>
      <c r="AZA31" s="47"/>
      <c r="AZB31" s="47"/>
      <c r="AZC31" s="47"/>
      <c r="AZD31" s="47"/>
      <c r="AZE31" s="47"/>
      <c r="AZF31" s="47"/>
      <c r="AZG31" s="47"/>
      <c r="AZH31" s="47"/>
      <c r="AZI31" s="47"/>
      <c r="AZJ31" s="47"/>
      <c r="AZK31" s="47"/>
      <c r="AZL31" s="47"/>
      <c r="AZM31" s="47"/>
      <c r="AZN31" s="47"/>
      <c r="AZO31" s="47"/>
      <c r="AZP31" s="47"/>
      <c r="AZQ31" s="47"/>
      <c r="AZR31" s="47"/>
      <c r="AZS31" s="47"/>
      <c r="AZT31" s="47"/>
      <c r="AZU31" s="47"/>
      <c r="AZV31" s="47"/>
      <c r="AZW31" s="47"/>
      <c r="AZX31" s="47"/>
      <c r="AZY31" s="47"/>
      <c r="AZZ31" s="47"/>
      <c r="BAA31" s="47"/>
      <c r="BAB31" s="47"/>
      <c r="BAC31" s="47"/>
      <c r="BAD31" s="47"/>
      <c r="BAE31" s="47"/>
      <c r="BAF31" s="47"/>
      <c r="BAG31" s="47"/>
      <c r="BAH31" s="47"/>
      <c r="BAI31" s="47"/>
      <c r="BAJ31" s="47"/>
      <c r="BAK31" s="47"/>
      <c r="BAL31" s="47"/>
      <c r="BAM31" s="47"/>
      <c r="BAN31" s="47"/>
      <c r="BAO31" s="47"/>
      <c r="BAP31" s="47"/>
      <c r="BAQ31" s="47"/>
      <c r="BAR31" s="47"/>
      <c r="BAS31" s="47"/>
      <c r="BAT31" s="47"/>
      <c r="BAU31" s="47"/>
      <c r="BAV31" s="47"/>
      <c r="BAW31" s="47"/>
      <c r="BAX31" s="47"/>
      <c r="BAY31" s="47"/>
      <c r="BAZ31" s="47"/>
      <c r="BBA31" s="47"/>
      <c r="BBB31" s="47"/>
      <c r="BBC31" s="47"/>
      <c r="BBD31" s="47"/>
      <c r="BBE31" s="47"/>
      <c r="BBF31" s="47"/>
      <c r="BBG31" s="47"/>
      <c r="BBH31" s="47"/>
      <c r="BBI31" s="47"/>
      <c r="BBJ31" s="47"/>
      <c r="BBK31" s="47"/>
      <c r="BBL31" s="47"/>
      <c r="BBM31" s="47"/>
      <c r="BBN31" s="47"/>
      <c r="BBO31" s="47"/>
      <c r="BBP31" s="47"/>
      <c r="BBQ31" s="47"/>
      <c r="BBR31" s="47"/>
      <c r="BBS31" s="47"/>
      <c r="BBT31" s="47"/>
      <c r="BBU31" s="47"/>
      <c r="BBV31" s="47"/>
      <c r="BBW31" s="47"/>
      <c r="BBX31" s="47"/>
      <c r="BBY31" s="47"/>
      <c r="BBZ31" s="47"/>
      <c r="BCA31" s="47"/>
      <c r="BCB31" s="47"/>
      <c r="BCC31" s="47"/>
      <c r="BCD31" s="47"/>
      <c r="BCE31" s="47"/>
      <c r="BCF31" s="47"/>
      <c r="BCG31" s="47"/>
      <c r="BCH31" s="47"/>
      <c r="BCI31" s="47"/>
      <c r="BCJ31" s="47"/>
      <c r="BCK31" s="47"/>
      <c r="BCL31" s="47"/>
      <c r="BCM31" s="47"/>
      <c r="BCN31" s="47"/>
      <c r="BCO31" s="47"/>
      <c r="BCP31" s="47"/>
      <c r="BCQ31" s="47"/>
      <c r="BCR31" s="47"/>
      <c r="BCS31" s="47"/>
      <c r="BCT31" s="47"/>
      <c r="BCU31" s="47"/>
      <c r="BCV31" s="47"/>
      <c r="BCW31" s="47"/>
      <c r="BCX31" s="47"/>
      <c r="BCY31" s="47"/>
      <c r="BCZ31" s="47"/>
      <c r="BDA31" s="47"/>
      <c r="BDB31" s="47"/>
      <c r="BDC31" s="47"/>
      <c r="BDD31" s="47"/>
      <c r="BDE31" s="47"/>
      <c r="BDF31" s="47"/>
      <c r="BDG31" s="47"/>
      <c r="BDH31" s="47"/>
      <c r="BDI31" s="47"/>
      <c r="BDJ31" s="47"/>
      <c r="BDK31" s="47"/>
      <c r="BDL31" s="47"/>
      <c r="BDM31" s="47"/>
      <c r="BDN31" s="47"/>
      <c r="BDO31" s="47"/>
      <c r="BDP31" s="47"/>
      <c r="BDQ31" s="47"/>
      <c r="BDR31" s="47"/>
      <c r="BDS31" s="47"/>
      <c r="BDT31" s="47"/>
      <c r="BDU31" s="47"/>
      <c r="BDV31" s="47"/>
      <c r="BDW31" s="47"/>
      <c r="BDX31" s="47"/>
      <c r="BDY31" s="47"/>
      <c r="BDZ31" s="47"/>
      <c r="BEA31" s="47"/>
      <c r="BEB31" s="47"/>
      <c r="BEC31" s="47"/>
      <c r="BED31" s="47"/>
      <c r="BEE31" s="47"/>
      <c r="BEF31" s="47"/>
      <c r="BEG31" s="47"/>
      <c r="BEH31" s="47"/>
      <c r="BEI31" s="47"/>
      <c r="BEJ31" s="47"/>
      <c r="BEK31" s="47"/>
      <c r="BEL31" s="47"/>
      <c r="BEM31" s="47"/>
      <c r="BEN31" s="47"/>
      <c r="BEO31" s="47"/>
      <c r="BEP31" s="47"/>
      <c r="BEQ31" s="47"/>
      <c r="BER31" s="47"/>
      <c r="BES31" s="47"/>
      <c r="BET31" s="47"/>
      <c r="BEU31" s="47"/>
      <c r="BEV31" s="47"/>
      <c r="BEW31" s="47"/>
      <c r="BEX31" s="47"/>
      <c r="BEY31" s="47"/>
      <c r="BEZ31" s="47"/>
      <c r="BFA31" s="47"/>
      <c r="BFB31" s="47"/>
      <c r="BFC31" s="47"/>
      <c r="BFD31" s="47"/>
      <c r="BFE31" s="47"/>
      <c r="BFF31" s="47"/>
      <c r="BFG31" s="47"/>
      <c r="BFH31" s="47"/>
      <c r="BFI31" s="47"/>
      <c r="BFJ31" s="47"/>
      <c r="BFK31" s="47"/>
      <c r="BFL31" s="47"/>
      <c r="BFM31" s="47"/>
      <c r="BFN31" s="47"/>
      <c r="BFO31" s="47"/>
      <c r="BFP31" s="47"/>
      <c r="BFQ31" s="47"/>
      <c r="BFR31" s="47"/>
      <c r="BFS31" s="47"/>
      <c r="BFT31" s="47"/>
      <c r="BFU31" s="47"/>
      <c r="BFV31" s="47"/>
      <c r="BFW31" s="47"/>
      <c r="BFX31" s="47"/>
      <c r="BFY31" s="47"/>
      <c r="BFZ31" s="47"/>
      <c r="BGA31" s="47"/>
      <c r="BGB31" s="47"/>
      <c r="BGC31" s="47"/>
      <c r="BGD31" s="47"/>
      <c r="BGE31" s="47"/>
      <c r="BGF31" s="47"/>
      <c r="BGG31" s="47"/>
      <c r="BGH31" s="47"/>
      <c r="BGI31" s="47"/>
      <c r="BGJ31" s="47"/>
      <c r="BGK31" s="47"/>
      <c r="BGL31" s="47"/>
      <c r="BGM31" s="47"/>
      <c r="BGN31" s="47"/>
      <c r="BGO31" s="47"/>
      <c r="BGP31" s="47"/>
      <c r="BGQ31" s="47"/>
      <c r="BGR31" s="47"/>
      <c r="BGS31" s="47"/>
      <c r="BGT31" s="47"/>
      <c r="BGU31" s="47"/>
      <c r="BGV31" s="47"/>
      <c r="BGW31" s="47"/>
      <c r="BGX31" s="47"/>
      <c r="BGY31" s="47"/>
      <c r="BGZ31" s="47"/>
      <c r="BHA31" s="47"/>
      <c r="BHB31" s="47"/>
      <c r="BHC31" s="47"/>
      <c r="BHD31" s="47"/>
      <c r="BHE31" s="47"/>
      <c r="BHF31" s="47"/>
      <c r="BHG31" s="47"/>
      <c r="BHH31" s="47"/>
      <c r="BHI31" s="47"/>
      <c r="BHJ31" s="47"/>
      <c r="BHK31" s="47"/>
      <c r="BHL31" s="47"/>
      <c r="BHM31" s="47"/>
      <c r="BHN31" s="47"/>
      <c r="BHO31" s="47"/>
      <c r="BHP31" s="47"/>
      <c r="BHQ31" s="47"/>
      <c r="BHR31" s="47"/>
      <c r="BHS31" s="47"/>
      <c r="BHT31" s="47"/>
      <c r="BHU31" s="47"/>
      <c r="BHV31" s="47"/>
      <c r="BHW31" s="47"/>
      <c r="BHX31" s="47"/>
      <c r="BHY31" s="47"/>
      <c r="BHZ31" s="47"/>
      <c r="BIA31" s="47"/>
      <c r="BIB31" s="47"/>
      <c r="BIC31" s="47"/>
      <c r="BID31" s="47"/>
      <c r="BIE31" s="47"/>
      <c r="BIF31" s="47"/>
      <c r="BIG31" s="47"/>
      <c r="BIH31" s="47"/>
      <c r="BII31" s="47"/>
      <c r="BIJ31" s="47"/>
      <c r="BIK31" s="47"/>
      <c r="BIL31" s="47"/>
      <c r="BIM31" s="47"/>
      <c r="BIN31" s="47"/>
      <c r="BIO31" s="47"/>
      <c r="BIP31" s="47"/>
      <c r="BIQ31" s="47"/>
      <c r="BIR31" s="47"/>
      <c r="BIS31" s="47"/>
      <c r="BIT31" s="47"/>
      <c r="BIU31" s="47"/>
      <c r="BIV31" s="47"/>
      <c r="BIW31" s="47"/>
      <c r="BIX31" s="47"/>
      <c r="BIY31" s="47"/>
      <c r="BIZ31" s="47"/>
      <c r="BJA31" s="47"/>
      <c r="BJB31" s="47"/>
      <c r="BJC31" s="47"/>
      <c r="BJD31" s="47"/>
      <c r="BJE31" s="47"/>
      <c r="BJF31" s="47"/>
      <c r="BJG31" s="47"/>
      <c r="BJH31" s="47"/>
      <c r="BJI31" s="47"/>
      <c r="BJJ31" s="47"/>
      <c r="BJK31" s="47"/>
      <c r="BJL31" s="47"/>
      <c r="BJM31" s="47"/>
      <c r="BJN31" s="47"/>
      <c r="BJO31" s="47"/>
      <c r="BJP31" s="47"/>
      <c r="BJQ31" s="47"/>
      <c r="BJR31" s="47"/>
      <c r="BJS31" s="47"/>
      <c r="BJT31" s="47"/>
      <c r="BJU31" s="47"/>
      <c r="BJV31" s="47"/>
      <c r="BJW31" s="47"/>
      <c r="BJX31" s="47"/>
      <c r="BJY31" s="47"/>
      <c r="BJZ31" s="47"/>
      <c r="BKA31" s="47"/>
      <c r="BKB31" s="47"/>
      <c r="BKC31" s="47"/>
      <c r="BKD31" s="47"/>
      <c r="BKE31" s="47"/>
      <c r="BKF31" s="47"/>
      <c r="BKG31" s="47"/>
      <c r="BKH31" s="47"/>
      <c r="BKI31" s="47"/>
      <c r="BKJ31" s="47"/>
      <c r="BKK31" s="47"/>
      <c r="BKL31" s="47"/>
      <c r="BKM31" s="47"/>
      <c r="BKN31" s="47"/>
      <c r="BKO31" s="47"/>
      <c r="BKP31" s="47"/>
      <c r="BKQ31" s="47"/>
      <c r="BKR31" s="47"/>
      <c r="BKS31" s="47"/>
      <c r="BKT31" s="47"/>
      <c r="BKU31" s="47"/>
      <c r="BKV31" s="47"/>
      <c r="BKW31" s="47"/>
      <c r="BKX31" s="47"/>
      <c r="BKY31" s="47"/>
      <c r="BKZ31" s="47"/>
      <c r="BLA31" s="47"/>
      <c r="BLB31" s="47"/>
      <c r="BLC31" s="47"/>
      <c r="BLD31" s="47"/>
      <c r="BLE31" s="47"/>
      <c r="BLF31" s="47"/>
      <c r="BLG31" s="47"/>
      <c r="BLH31" s="47"/>
      <c r="BLI31" s="47"/>
      <c r="BLJ31" s="47"/>
      <c r="BLK31" s="47"/>
      <c r="BLL31" s="47"/>
      <c r="BLM31" s="47"/>
      <c r="BLN31" s="47"/>
      <c r="BLO31" s="47"/>
      <c r="BLP31" s="47"/>
      <c r="BLQ31" s="47"/>
      <c r="BLR31" s="47"/>
      <c r="BLS31" s="47"/>
      <c r="BLT31" s="47"/>
      <c r="BLU31" s="47"/>
      <c r="BLV31" s="47"/>
      <c r="BLW31" s="47"/>
      <c r="BLX31" s="47"/>
      <c r="BLY31" s="47"/>
      <c r="BLZ31" s="47"/>
      <c r="BMA31" s="47"/>
      <c r="BMB31" s="47"/>
      <c r="BMC31" s="47"/>
      <c r="BMD31" s="47"/>
      <c r="BME31" s="47"/>
      <c r="BMF31" s="47"/>
      <c r="BMG31" s="47"/>
      <c r="BMH31" s="47"/>
      <c r="BMI31" s="47"/>
      <c r="BMJ31" s="47"/>
      <c r="BMK31" s="47"/>
      <c r="BML31" s="47"/>
      <c r="BMM31" s="47"/>
      <c r="BMN31" s="47"/>
      <c r="BMO31" s="47"/>
      <c r="BMP31" s="47"/>
      <c r="BMQ31" s="47"/>
      <c r="BMR31" s="47"/>
      <c r="BMS31" s="47"/>
      <c r="BMT31" s="47"/>
      <c r="BMU31" s="47"/>
      <c r="BMV31" s="47"/>
      <c r="BMW31" s="47"/>
      <c r="BMX31" s="47"/>
      <c r="BMY31" s="47"/>
      <c r="BMZ31" s="47"/>
      <c r="BNA31" s="47"/>
      <c r="BNB31" s="47"/>
      <c r="BNC31" s="47"/>
      <c r="BND31" s="47"/>
      <c r="BNE31" s="47"/>
      <c r="BNF31" s="47"/>
      <c r="BNG31" s="47"/>
      <c r="BNH31" s="47"/>
      <c r="BNI31" s="47"/>
      <c r="BNJ31" s="47"/>
      <c r="BNK31" s="47"/>
      <c r="BNL31" s="47"/>
      <c r="BNM31" s="47"/>
      <c r="BNN31" s="47"/>
      <c r="BNO31" s="47"/>
      <c r="BNP31" s="47"/>
      <c r="BNQ31" s="47"/>
      <c r="BNR31" s="47"/>
      <c r="BNS31" s="47"/>
      <c r="BNT31" s="47"/>
      <c r="BNU31" s="47"/>
      <c r="BNV31" s="47"/>
      <c r="BNW31" s="47"/>
      <c r="BNX31" s="47"/>
      <c r="BNY31" s="47"/>
      <c r="BNZ31" s="47"/>
      <c r="BOA31" s="47"/>
      <c r="BOB31" s="47"/>
      <c r="BOC31" s="47"/>
      <c r="BOD31" s="47"/>
      <c r="BOE31" s="47"/>
      <c r="BOF31" s="47"/>
      <c r="BOG31" s="47"/>
      <c r="BOH31" s="47"/>
      <c r="BOI31" s="47"/>
      <c r="BOJ31" s="47"/>
      <c r="BOK31" s="47"/>
      <c r="BOL31" s="47"/>
      <c r="BOM31" s="47"/>
      <c r="BON31" s="47"/>
      <c r="BOO31" s="47"/>
      <c r="BOP31" s="47"/>
      <c r="BOQ31" s="47"/>
      <c r="BOR31" s="47"/>
      <c r="BOS31" s="47"/>
      <c r="BOT31" s="47"/>
      <c r="BOU31" s="47"/>
      <c r="BOV31" s="47"/>
      <c r="BOW31" s="47"/>
      <c r="BOX31" s="47"/>
      <c r="BOY31" s="47"/>
      <c r="BOZ31" s="47"/>
      <c r="BPA31" s="47"/>
      <c r="BPB31" s="47"/>
      <c r="BPC31" s="47"/>
      <c r="BPD31" s="47"/>
      <c r="BPE31" s="47"/>
      <c r="BPF31" s="47"/>
      <c r="BPG31" s="47"/>
      <c r="BPH31" s="47"/>
      <c r="BPI31" s="47"/>
      <c r="BPJ31" s="47"/>
      <c r="BPK31" s="47"/>
      <c r="BPL31" s="47"/>
      <c r="BPM31" s="47"/>
      <c r="BPN31" s="47"/>
      <c r="BPO31" s="47"/>
      <c r="BPP31" s="47"/>
      <c r="BPQ31" s="47"/>
      <c r="BPR31" s="47"/>
      <c r="BPS31" s="47"/>
      <c r="BPT31" s="47"/>
      <c r="BPU31" s="47"/>
      <c r="BPV31" s="47"/>
      <c r="BPW31" s="47"/>
      <c r="BPX31" s="47"/>
      <c r="BPY31" s="47"/>
      <c r="BPZ31" s="47"/>
      <c r="BQA31" s="47"/>
      <c r="BQB31" s="47"/>
      <c r="BQC31" s="47"/>
      <c r="BQD31" s="47"/>
      <c r="BQE31" s="47"/>
      <c r="BQF31" s="47"/>
      <c r="BQG31" s="47"/>
      <c r="BQH31" s="47"/>
      <c r="BQI31" s="47"/>
      <c r="BQJ31" s="47"/>
      <c r="BQK31" s="47"/>
      <c r="BQL31" s="47"/>
      <c r="BQM31" s="47"/>
      <c r="BQN31" s="47"/>
      <c r="BQO31" s="47"/>
      <c r="BQP31" s="47"/>
      <c r="BQQ31" s="47"/>
      <c r="BQR31" s="47"/>
      <c r="BQS31" s="47"/>
      <c r="BQT31" s="47"/>
      <c r="BQU31" s="47"/>
      <c r="BQV31" s="47"/>
      <c r="BQW31" s="47"/>
      <c r="BQX31" s="47"/>
      <c r="BQY31" s="47"/>
      <c r="BQZ31" s="47"/>
      <c r="BRA31" s="47"/>
      <c r="BRB31" s="47"/>
      <c r="BRC31" s="47"/>
      <c r="BRD31" s="47"/>
      <c r="BRE31" s="47"/>
      <c r="BRF31" s="47"/>
      <c r="BRG31" s="47"/>
      <c r="BRH31" s="47"/>
      <c r="BRI31" s="47"/>
      <c r="BRJ31" s="47"/>
      <c r="BRK31" s="47"/>
      <c r="BRL31" s="47"/>
      <c r="BRM31" s="47"/>
      <c r="BRN31" s="47"/>
      <c r="BRO31" s="47"/>
      <c r="BRP31" s="47"/>
      <c r="BRQ31" s="47"/>
      <c r="BRR31" s="47"/>
      <c r="BRS31" s="47"/>
      <c r="BRT31" s="47"/>
      <c r="BRU31" s="47"/>
      <c r="BRV31" s="47"/>
      <c r="BRW31" s="47"/>
      <c r="BRX31" s="47"/>
      <c r="BRY31" s="47"/>
      <c r="BRZ31" s="47"/>
      <c r="BSA31" s="47"/>
      <c r="BSB31" s="47"/>
      <c r="BSC31" s="47"/>
      <c r="BSD31" s="47"/>
      <c r="BSE31" s="47"/>
      <c r="BSF31" s="47"/>
      <c r="BSG31" s="47"/>
      <c r="BSH31" s="47"/>
      <c r="BSI31" s="47"/>
      <c r="BSJ31" s="47"/>
      <c r="BSK31" s="47"/>
      <c r="BSL31" s="47"/>
      <c r="BSM31" s="47"/>
      <c r="BSN31" s="47"/>
      <c r="BSO31" s="47"/>
      <c r="BSP31" s="47"/>
      <c r="BSQ31" s="47"/>
      <c r="BSR31" s="47"/>
      <c r="BSS31" s="47"/>
      <c r="BST31" s="47"/>
      <c r="BSU31" s="47"/>
      <c r="BSV31" s="47"/>
      <c r="BSW31" s="47"/>
      <c r="BSX31" s="47"/>
      <c r="BSY31" s="47"/>
      <c r="BSZ31" s="47"/>
      <c r="BTA31" s="47"/>
      <c r="BTB31" s="47"/>
      <c r="BTC31" s="47"/>
      <c r="BTD31" s="47"/>
      <c r="BTE31" s="47"/>
      <c r="BTF31" s="47"/>
      <c r="BTG31" s="47"/>
      <c r="BTH31" s="47"/>
      <c r="BTI31" s="47"/>
      <c r="BTJ31" s="47"/>
      <c r="BTK31" s="47"/>
      <c r="BTL31" s="47"/>
      <c r="BTM31" s="47"/>
      <c r="BTN31" s="47"/>
      <c r="BTO31" s="47"/>
      <c r="BTP31" s="47"/>
      <c r="BTQ31" s="47"/>
      <c r="BTR31" s="47"/>
      <c r="BTS31" s="47"/>
      <c r="BTT31" s="47"/>
      <c r="BTU31" s="47"/>
      <c r="BTV31" s="47"/>
      <c r="BTW31" s="47"/>
      <c r="BTX31" s="47"/>
      <c r="BTY31" s="47"/>
      <c r="BTZ31" s="47"/>
      <c r="BUA31" s="47"/>
      <c r="BUB31" s="47"/>
      <c r="BUC31" s="47"/>
      <c r="BUD31" s="47"/>
      <c r="BUE31" s="47"/>
      <c r="BUF31" s="47"/>
      <c r="BUG31" s="47"/>
      <c r="BUH31" s="47"/>
      <c r="BUI31" s="47"/>
      <c r="BUJ31" s="47"/>
      <c r="BUK31" s="47"/>
      <c r="BUL31" s="47"/>
      <c r="BUM31" s="47"/>
      <c r="BUN31" s="47"/>
      <c r="BUO31" s="47"/>
      <c r="BUP31" s="47"/>
      <c r="BUQ31" s="47"/>
      <c r="BUR31" s="47"/>
      <c r="BUS31" s="47"/>
      <c r="BUT31" s="47"/>
      <c r="BUU31" s="47"/>
      <c r="BUV31" s="47"/>
      <c r="BUW31" s="47"/>
      <c r="BUX31" s="47"/>
      <c r="BUY31" s="47"/>
      <c r="BUZ31" s="47"/>
      <c r="BVA31" s="47"/>
      <c r="BVB31" s="47"/>
      <c r="BVC31" s="47"/>
      <c r="BVD31" s="47"/>
      <c r="BVE31" s="47"/>
      <c r="BVF31" s="47"/>
      <c r="BVG31" s="47"/>
      <c r="BVH31" s="47"/>
      <c r="BVI31" s="47"/>
      <c r="BVJ31" s="47"/>
      <c r="BVK31" s="47"/>
      <c r="BVL31" s="47"/>
      <c r="BVM31" s="47"/>
      <c r="BVN31" s="47"/>
      <c r="BVO31" s="47"/>
      <c r="BVP31" s="47"/>
      <c r="BVQ31" s="47"/>
      <c r="BVR31" s="47"/>
      <c r="BVS31" s="47"/>
      <c r="BVT31" s="47"/>
      <c r="BVU31" s="47"/>
      <c r="BVV31" s="47"/>
      <c r="BVW31" s="47"/>
      <c r="BVX31" s="47"/>
      <c r="BVY31" s="47"/>
      <c r="BVZ31" s="47"/>
      <c r="BWA31" s="47"/>
      <c r="BWB31" s="47"/>
      <c r="BWC31" s="47"/>
      <c r="BWD31" s="47"/>
      <c r="BWE31" s="47"/>
      <c r="BWF31" s="47"/>
      <c r="BWG31" s="47"/>
      <c r="BWH31" s="47"/>
      <c r="BWI31" s="47"/>
      <c r="BWJ31" s="47"/>
      <c r="BWK31" s="47"/>
      <c r="BWL31" s="47"/>
      <c r="BWM31" s="47"/>
      <c r="BWN31" s="47"/>
      <c r="BWO31" s="47"/>
      <c r="BWP31" s="47"/>
      <c r="BWQ31" s="47"/>
      <c r="BWR31" s="47"/>
      <c r="BWS31" s="47"/>
      <c r="BWT31" s="47"/>
      <c r="BWU31" s="47"/>
      <c r="BWV31" s="47"/>
      <c r="BWW31" s="47"/>
      <c r="BWX31" s="47"/>
      <c r="BWY31" s="47"/>
      <c r="BWZ31" s="47"/>
      <c r="BXA31" s="47"/>
      <c r="BXB31" s="47"/>
      <c r="BXC31" s="47"/>
      <c r="BXD31" s="47"/>
      <c r="BXE31" s="47"/>
      <c r="BXF31" s="47"/>
      <c r="BXG31" s="47"/>
      <c r="BXH31" s="47"/>
      <c r="BXI31" s="47"/>
      <c r="BXJ31" s="47"/>
      <c r="BXK31" s="47"/>
      <c r="BXL31" s="47"/>
      <c r="BXM31" s="47"/>
      <c r="BXN31" s="47"/>
      <c r="BXO31" s="47"/>
      <c r="BXP31" s="47"/>
      <c r="BXQ31" s="47"/>
      <c r="BXR31" s="47"/>
      <c r="BXS31" s="47"/>
      <c r="BXT31" s="47"/>
      <c r="BXU31" s="47"/>
      <c r="BXV31" s="47"/>
      <c r="BXW31" s="47"/>
      <c r="BXX31" s="47"/>
      <c r="BXY31" s="47"/>
      <c r="BXZ31" s="47"/>
      <c r="BYA31" s="47"/>
      <c r="BYB31" s="47"/>
      <c r="BYC31" s="47"/>
      <c r="BYD31" s="47"/>
      <c r="BYE31" s="47"/>
      <c r="BYF31" s="47"/>
      <c r="BYG31" s="47"/>
      <c r="BYH31" s="47"/>
      <c r="BYI31" s="47"/>
      <c r="BYJ31" s="47"/>
      <c r="BYK31" s="47"/>
      <c r="BYL31" s="47"/>
      <c r="BYM31" s="47"/>
      <c r="BYN31" s="47"/>
      <c r="BYO31" s="47"/>
      <c r="BYP31" s="47"/>
      <c r="BYQ31" s="47"/>
      <c r="BYR31" s="47"/>
      <c r="BYS31" s="47"/>
      <c r="BYT31" s="47"/>
      <c r="BYU31" s="47"/>
      <c r="BYV31" s="47"/>
      <c r="BYW31" s="47"/>
      <c r="BYX31" s="47"/>
      <c r="BYY31" s="47"/>
      <c r="BYZ31" s="47"/>
      <c r="BZA31" s="47"/>
      <c r="BZB31" s="47"/>
      <c r="BZC31" s="47"/>
      <c r="BZD31" s="47"/>
      <c r="BZE31" s="47"/>
      <c r="BZF31" s="47"/>
      <c r="BZG31" s="47"/>
      <c r="BZH31" s="47"/>
      <c r="BZI31" s="47"/>
      <c r="BZJ31" s="47"/>
      <c r="BZK31" s="47"/>
      <c r="BZL31" s="47"/>
      <c r="BZM31" s="47"/>
      <c r="BZN31" s="47"/>
      <c r="BZO31" s="47"/>
      <c r="BZP31" s="47"/>
      <c r="BZQ31" s="47"/>
      <c r="BZR31" s="47"/>
      <c r="BZS31" s="47"/>
      <c r="BZT31" s="47"/>
      <c r="BZU31" s="47"/>
      <c r="BZV31" s="47"/>
      <c r="BZW31" s="47"/>
      <c r="BZX31" s="47"/>
      <c r="BZY31" s="47"/>
      <c r="BZZ31" s="47"/>
      <c r="CAA31" s="47"/>
      <c r="CAB31" s="47"/>
      <c r="CAC31" s="47"/>
      <c r="CAD31" s="47"/>
      <c r="CAE31" s="47"/>
      <c r="CAF31" s="47"/>
      <c r="CAG31" s="47"/>
      <c r="CAH31" s="47"/>
      <c r="CAI31" s="47"/>
      <c r="CAJ31" s="47"/>
      <c r="CAK31" s="47"/>
      <c r="CAL31" s="47"/>
      <c r="CAM31" s="47"/>
      <c r="CAN31" s="47"/>
      <c r="CAO31" s="47"/>
      <c r="CAP31" s="47"/>
      <c r="CAQ31" s="47"/>
      <c r="CAR31" s="47"/>
      <c r="CAS31" s="47"/>
      <c r="CAT31" s="47"/>
      <c r="CAU31" s="47"/>
      <c r="CAV31" s="47"/>
      <c r="CAW31" s="47"/>
      <c r="CAX31" s="47"/>
      <c r="CAY31" s="47"/>
      <c r="CAZ31" s="47"/>
      <c r="CBA31" s="47"/>
      <c r="CBB31" s="47"/>
      <c r="CBC31" s="47"/>
      <c r="CBD31" s="47"/>
      <c r="CBE31" s="47"/>
      <c r="CBF31" s="47"/>
      <c r="CBG31" s="47"/>
      <c r="CBH31" s="47"/>
      <c r="CBI31" s="47"/>
      <c r="CBJ31" s="47"/>
      <c r="CBK31" s="47"/>
      <c r="CBL31" s="47"/>
      <c r="CBM31" s="47"/>
      <c r="CBN31" s="47"/>
      <c r="CBO31" s="47"/>
      <c r="CBP31" s="47"/>
      <c r="CBQ31" s="47"/>
      <c r="CBR31" s="47"/>
      <c r="CBS31" s="47"/>
      <c r="CBT31" s="47"/>
      <c r="CBU31" s="47"/>
      <c r="CBV31" s="47"/>
      <c r="CBW31" s="47"/>
      <c r="CBX31" s="47"/>
      <c r="CBY31" s="47"/>
      <c r="CBZ31" s="47"/>
      <c r="CCA31" s="47"/>
      <c r="CCB31" s="47"/>
      <c r="CCC31" s="47"/>
      <c r="CCD31" s="47"/>
      <c r="CCE31" s="47"/>
      <c r="CCF31" s="47"/>
      <c r="CCG31" s="47"/>
      <c r="CCH31" s="47"/>
      <c r="CCI31" s="47"/>
      <c r="CCJ31" s="47"/>
      <c r="CCK31" s="47"/>
      <c r="CCL31" s="47"/>
      <c r="CCM31" s="47"/>
      <c r="CCN31" s="47"/>
      <c r="CCO31" s="47"/>
      <c r="CCP31" s="47"/>
      <c r="CCQ31" s="47"/>
      <c r="CCR31" s="47"/>
      <c r="CCS31" s="47"/>
      <c r="CCT31" s="47"/>
      <c r="CCU31" s="47"/>
      <c r="CCV31" s="47"/>
      <c r="CCW31" s="47"/>
      <c r="CCX31" s="47"/>
      <c r="CCY31" s="47"/>
      <c r="CCZ31" s="47"/>
      <c r="CDA31" s="47"/>
      <c r="CDB31" s="47"/>
      <c r="CDC31" s="47"/>
      <c r="CDD31" s="47"/>
      <c r="CDE31" s="47"/>
      <c r="CDF31" s="47"/>
      <c r="CDG31" s="47"/>
      <c r="CDH31" s="47"/>
      <c r="CDI31" s="47"/>
      <c r="CDJ31" s="47"/>
      <c r="CDK31" s="47"/>
      <c r="CDL31" s="47"/>
      <c r="CDM31" s="47"/>
      <c r="CDN31" s="47"/>
      <c r="CDO31" s="47"/>
      <c r="CDP31" s="47"/>
      <c r="CDQ31" s="47"/>
      <c r="CDR31" s="47"/>
      <c r="CDS31" s="47"/>
      <c r="CDT31" s="47"/>
      <c r="CDU31" s="47"/>
      <c r="CDV31" s="47"/>
      <c r="CDW31" s="47"/>
      <c r="CDX31" s="47"/>
      <c r="CDY31" s="47"/>
      <c r="CDZ31" s="47"/>
      <c r="CEA31" s="47"/>
      <c r="CEB31" s="47"/>
      <c r="CEC31" s="47"/>
      <c r="CED31" s="47"/>
      <c r="CEE31" s="47"/>
      <c r="CEF31" s="47"/>
      <c r="CEG31" s="47"/>
      <c r="CEH31" s="47"/>
      <c r="CEI31" s="47"/>
      <c r="CEJ31" s="47"/>
      <c r="CEK31" s="47"/>
      <c r="CEL31" s="47"/>
      <c r="CEM31" s="47"/>
      <c r="CEN31" s="47"/>
      <c r="CEO31" s="47"/>
      <c r="CEP31" s="47"/>
      <c r="CEQ31" s="47"/>
      <c r="CER31" s="47"/>
      <c r="CES31" s="47"/>
      <c r="CET31" s="47"/>
      <c r="CEU31" s="47"/>
      <c r="CEV31" s="47"/>
      <c r="CEW31" s="47"/>
      <c r="CEX31" s="47"/>
      <c r="CEY31" s="47"/>
      <c r="CEZ31" s="47"/>
      <c r="CFA31" s="47"/>
      <c r="CFB31" s="47"/>
      <c r="CFC31" s="47"/>
      <c r="CFD31" s="47"/>
      <c r="CFE31" s="47"/>
      <c r="CFF31" s="47"/>
      <c r="CFG31" s="47"/>
      <c r="CFH31" s="47"/>
      <c r="CFI31" s="47"/>
      <c r="CFJ31" s="47"/>
      <c r="CFK31" s="47"/>
      <c r="CFL31" s="47"/>
      <c r="CFM31" s="47"/>
      <c r="CFN31" s="47"/>
      <c r="CFO31" s="47"/>
      <c r="CFP31" s="47"/>
      <c r="CFQ31" s="47"/>
      <c r="CFR31" s="47"/>
      <c r="CFS31" s="47"/>
      <c r="CFT31" s="47"/>
      <c r="CFU31" s="47"/>
      <c r="CFV31" s="47"/>
      <c r="CFW31" s="47"/>
      <c r="CFX31" s="47"/>
      <c r="CFY31" s="47"/>
      <c r="CFZ31" s="47"/>
      <c r="CGA31" s="47"/>
      <c r="CGB31" s="47"/>
      <c r="CGC31" s="47"/>
      <c r="CGD31" s="47"/>
      <c r="CGE31" s="47"/>
      <c r="CGF31" s="47"/>
      <c r="CGG31" s="47"/>
      <c r="CGH31" s="47"/>
      <c r="CGI31" s="47"/>
      <c r="CGJ31" s="47"/>
      <c r="CGK31" s="47"/>
      <c r="CGL31" s="47"/>
      <c r="CGM31" s="47"/>
      <c r="CGN31" s="47"/>
      <c r="CGO31" s="47"/>
      <c r="CGP31" s="47"/>
      <c r="CGQ31" s="47"/>
      <c r="CGR31" s="47"/>
      <c r="CGS31" s="47"/>
      <c r="CGT31" s="47"/>
      <c r="CGU31" s="47"/>
      <c r="CGV31" s="47"/>
      <c r="CGW31" s="47"/>
      <c r="CGX31" s="47"/>
      <c r="CGY31" s="47"/>
      <c r="CGZ31" s="47"/>
      <c r="CHA31" s="47"/>
      <c r="CHB31" s="47"/>
      <c r="CHC31" s="47"/>
      <c r="CHD31" s="47"/>
      <c r="CHE31" s="47"/>
      <c r="CHF31" s="47"/>
      <c r="CHG31" s="47"/>
      <c r="CHH31" s="47"/>
      <c r="CHI31" s="47"/>
      <c r="CHJ31" s="47"/>
      <c r="CHK31" s="47"/>
      <c r="CHL31" s="47"/>
      <c r="CHM31" s="47"/>
      <c r="CHN31" s="47"/>
      <c r="CHO31" s="47"/>
      <c r="CHP31" s="47"/>
      <c r="CHQ31" s="47"/>
      <c r="CHR31" s="47"/>
      <c r="CHS31" s="47"/>
      <c r="CHT31" s="47"/>
      <c r="CHU31" s="47"/>
      <c r="CHV31" s="47"/>
      <c r="CHW31" s="47"/>
      <c r="CHX31" s="47"/>
      <c r="CHY31" s="47"/>
      <c r="CHZ31" s="47"/>
      <c r="CIA31" s="47"/>
      <c r="CIB31" s="47"/>
      <c r="CIC31" s="47"/>
      <c r="CID31" s="47"/>
      <c r="CIE31" s="47"/>
      <c r="CIF31" s="47"/>
      <c r="CIG31" s="47"/>
      <c r="CIH31" s="47"/>
      <c r="CII31" s="47"/>
      <c r="CIJ31" s="47"/>
      <c r="CIK31" s="47"/>
      <c r="CIL31" s="47"/>
      <c r="CIM31" s="47"/>
      <c r="CIN31" s="47"/>
      <c r="CIO31" s="47"/>
      <c r="CIP31" s="47"/>
      <c r="CIQ31" s="47"/>
      <c r="CIR31" s="47"/>
      <c r="CIS31" s="47"/>
      <c r="CIT31" s="47"/>
      <c r="CIU31" s="47"/>
      <c r="CIV31" s="47"/>
      <c r="CIW31" s="47"/>
      <c r="CIX31" s="47"/>
      <c r="CIY31" s="47"/>
      <c r="CIZ31" s="47"/>
      <c r="CJA31" s="47"/>
      <c r="CJB31" s="47"/>
      <c r="CJC31" s="47"/>
      <c r="CJD31" s="47"/>
      <c r="CJE31" s="47"/>
      <c r="CJF31" s="47"/>
      <c r="CJG31" s="47"/>
      <c r="CJH31" s="47"/>
      <c r="CJI31" s="47"/>
      <c r="CJJ31" s="47"/>
      <c r="CJK31" s="47"/>
      <c r="CJL31" s="47"/>
      <c r="CJM31" s="47"/>
      <c r="CJN31" s="47"/>
      <c r="CJO31" s="47"/>
      <c r="CJP31" s="47"/>
      <c r="CJQ31" s="47"/>
      <c r="CJR31" s="47"/>
      <c r="CJS31" s="47"/>
      <c r="CJT31" s="47"/>
      <c r="CJU31" s="47"/>
      <c r="CJV31" s="47"/>
      <c r="CJW31" s="47"/>
      <c r="CJX31" s="47"/>
      <c r="CJY31" s="47"/>
      <c r="CJZ31" s="47"/>
      <c r="CKA31" s="47"/>
      <c r="CKB31" s="47"/>
      <c r="CKC31" s="47"/>
      <c r="CKD31" s="47"/>
      <c r="CKE31" s="47"/>
      <c r="CKF31" s="47"/>
      <c r="CKG31" s="47"/>
      <c r="CKH31" s="47"/>
      <c r="CKI31" s="47"/>
      <c r="CKJ31" s="47"/>
      <c r="CKK31" s="47"/>
      <c r="CKL31" s="47"/>
      <c r="CKM31" s="47"/>
      <c r="CKN31" s="47"/>
      <c r="CKO31" s="47"/>
      <c r="CKP31" s="47"/>
      <c r="CKQ31" s="47"/>
      <c r="CKR31" s="47"/>
      <c r="CKS31" s="47"/>
      <c r="CKT31" s="47"/>
      <c r="CKU31" s="47"/>
      <c r="CKV31" s="47"/>
      <c r="CKW31" s="47"/>
      <c r="CKX31" s="47"/>
      <c r="CKY31" s="47"/>
      <c r="CKZ31" s="47"/>
      <c r="CLA31" s="47"/>
      <c r="CLB31" s="47"/>
      <c r="CLC31" s="47"/>
      <c r="CLD31" s="47"/>
      <c r="CLE31" s="47"/>
      <c r="CLF31" s="47"/>
      <c r="CLG31" s="47"/>
      <c r="CLH31" s="47"/>
      <c r="CLI31" s="47"/>
      <c r="CLJ31" s="47"/>
      <c r="CLK31" s="47"/>
      <c r="CLL31" s="47"/>
      <c r="CLM31" s="47"/>
      <c r="CLN31" s="47"/>
      <c r="CLO31" s="47"/>
      <c r="CLP31" s="47"/>
      <c r="CLQ31" s="47"/>
      <c r="CLR31" s="47"/>
      <c r="CLS31" s="47"/>
      <c r="CLT31" s="47"/>
      <c r="CLU31" s="47"/>
      <c r="CLV31" s="47"/>
      <c r="CLW31" s="47"/>
      <c r="CLX31" s="47"/>
      <c r="CLY31" s="47"/>
      <c r="CLZ31" s="47"/>
      <c r="CMA31" s="47"/>
      <c r="CMB31" s="47"/>
      <c r="CMC31" s="47"/>
      <c r="CMD31" s="47"/>
      <c r="CME31" s="47"/>
      <c r="CMF31" s="47"/>
      <c r="CMG31" s="47"/>
      <c r="CMH31" s="47"/>
      <c r="CMI31" s="47"/>
      <c r="CMJ31" s="47"/>
      <c r="CMK31" s="47"/>
      <c r="CML31" s="47"/>
      <c r="CMM31" s="47"/>
      <c r="CMN31" s="47"/>
      <c r="CMO31" s="47"/>
      <c r="CMP31" s="47"/>
      <c r="CMQ31" s="47"/>
      <c r="CMR31" s="47"/>
      <c r="CMS31" s="47"/>
      <c r="CMT31" s="47"/>
      <c r="CMU31" s="47"/>
      <c r="CMV31" s="47"/>
      <c r="CMW31" s="47"/>
      <c r="CMX31" s="47"/>
      <c r="CMY31" s="47"/>
      <c r="CMZ31" s="47"/>
      <c r="CNA31" s="47"/>
      <c r="CNB31" s="47"/>
      <c r="CNC31" s="47"/>
      <c r="CND31" s="47"/>
      <c r="CNE31" s="47"/>
      <c r="CNF31" s="47"/>
      <c r="CNG31" s="47"/>
      <c r="CNH31" s="47"/>
      <c r="CNI31" s="47"/>
      <c r="CNJ31" s="47"/>
      <c r="CNK31" s="47"/>
      <c r="CNL31" s="47"/>
      <c r="CNM31" s="47"/>
      <c r="CNN31" s="47"/>
      <c r="CNO31" s="47"/>
      <c r="CNP31" s="47"/>
      <c r="CNQ31" s="47"/>
      <c r="CNR31" s="47"/>
      <c r="CNS31" s="47"/>
      <c r="CNT31" s="47"/>
      <c r="CNU31" s="47"/>
      <c r="CNV31" s="47"/>
      <c r="CNW31" s="47"/>
      <c r="CNX31" s="47"/>
      <c r="CNY31" s="47"/>
      <c r="CNZ31" s="47"/>
      <c r="COA31" s="47"/>
      <c r="COB31" s="47"/>
      <c r="COC31" s="47"/>
      <c r="COD31" s="47"/>
      <c r="COE31" s="47"/>
      <c r="COF31" s="47"/>
      <c r="COG31" s="47"/>
      <c r="COH31" s="47"/>
      <c r="COI31" s="47"/>
      <c r="COJ31" s="47"/>
      <c r="COK31" s="47"/>
      <c r="COL31" s="47"/>
      <c r="COM31" s="47"/>
      <c r="CON31" s="47"/>
      <c r="COO31" s="47"/>
      <c r="COP31" s="47"/>
      <c r="COQ31" s="47"/>
      <c r="COR31" s="47"/>
      <c r="COS31" s="47"/>
      <c r="COT31" s="47"/>
      <c r="COU31" s="47"/>
      <c r="COV31" s="47"/>
      <c r="COW31" s="47"/>
      <c r="COX31" s="47"/>
      <c r="COY31" s="47"/>
      <c r="COZ31" s="47"/>
      <c r="CPA31" s="47"/>
      <c r="CPB31" s="47"/>
      <c r="CPC31" s="47"/>
      <c r="CPD31" s="47"/>
      <c r="CPE31" s="47"/>
      <c r="CPF31" s="47"/>
      <c r="CPG31" s="47"/>
      <c r="CPH31" s="47"/>
      <c r="CPI31" s="47"/>
      <c r="CPJ31" s="47"/>
      <c r="CPK31" s="47"/>
      <c r="CPL31" s="47"/>
      <c r="CPM31" s="47"/>
      <c r="CPN31" s="47"/>
      <c r="CPO31" s="47"/>
      <c r="CPP31" s="47"/>
      <c r="CPQ31" s="47"/>
      <c r="CPR31" s="47"/>
      <c r="CPS31" s="47"/>
      <c r="CPT31" s="47"/>
      <c r="CPU31" s="47"/>
      <c r="CPV31" s="47"/>
      <c r="CPW31" s="47"/>
      <c r="CPX31" s="47"/>
      <c r="CPY31" s="47"/>
      <c r="CPZ31" s="47"/>
      <c r="CQA31" s="47"/>
      <c r="CQB31" s="47"/>
      <c r="CQC31" s="47"/>
      <c r="CQD31" s="47"/>
      <c r="CQE31" s="47"/>
      <c r="CQF31" s="47"/>
      <c r="CQG31" s="47"/>
      <c r="CQH31" s="47"/>
      <c r="CQI31" s="47"/>
      <c r="CQJ31" s="47"/>
      <c r="CQK31" s="47"/>
      <c r="CQL31" s="47"/>
      <c r="CQM31" s="47"/>
      <c r="CQN31" s="47"/>
      <c r="CQO31" s="47"/>
      <c r="CQP31" s="47"/>
      <c r="CQQ31" s="47"/>
      <c r="CQR31" s="47"/>
      <c r="CQS31" s="47"/>
      <c r="CQT31" s="47"/>
      <c r="CQU31" s="47"/>
      <c r="CQV31" s="47"/>
      <c r="CQW31" s="47"/>
      <c r="CQX31" s="47"/>
      <c r="CQY31" s="47"/>
      <c r="CQZ31" s="47"/>
      <c r="CRA31" s="47"/>
      <c r="CRB31" s="47"/>
      <c r="CRC31" s="47"/>
      <c r="CRD31" s="47"/>
      <c r="CRE31" s="47"/>
      <c r="CRF31" s="47"/>
      <c r="CRG31" s="47"/>
      <c r="CRH31" s="47"/>
      <c r="CRI31" s="47"/>
      <c r="CRJ31" s="47"/>
      <c r="CRK31" s="47"/>
      <c r="CRL31" s="47"/>
      <c r="CRM31" s="47"/>
      <c r="CRN31" s="47"/>
      <c r="CRO31" s="47"/>
      <c r="CRP31" s="47"/>
      <c r="CRQ31" s="47"/>
      <c r="CRR31" s="47"/>
      <c r="CRS31" s="47"/>
      <c r="CRT31" s="47"/>
      <c r="CRU31" s="47"/>
      <c r="CRV31" s="47"/>
      <c r="CRW31" s="47"/>
      <c r="CRX31" s="47"/>
      <c r="CRY31" s="47"/>
      <c r="CRZ31" s="47"/>
      <c r="CSA31" s="47"/>
      <c r="CSB31" s="47"/>
      <c r="CSC31" s="47"/>
      <c r="CSD31" s="47"/>
      <c r="CSE31" s="47"/>
      <c r="CSF31" s="47"/>
      <c r="CSG31" s="47"/>
      <c r="CSH31" s="47"/>
      <c r="CSI31" s="47"/>
      <c r="CSJ31" s="47"/>
      <c r="CSK31" s="47"/>
      <c r="CSL31" s="47"/>
      <c r="CSM31" s="47"/>
      <c r="CSN31" s="47"/>
      <c r="CSO31" s="47"/>
      <c r="CSP31" s="47"/>
      <c r="CSQ31" s="47"/>
      <c r="CSR31" s="47"/>
      <c r="CSS31" s="47"/>
      <c r="CST31" s="47"/>
      <c r="CSU31" s="47"/>
      <c r="CSV31" s="47"/>
      <c r="CSW31" s="47"/>
      <c r="CSX31" s="47"/>
      <c r="CSY31" s="47"/>
      <c r="CSZ31" s="47"/>
      <c r="CTA31" s="47"/>
      <c r="CTB31" s="47"/>
      <c r="CTC31" s="47"/>
      <c r="CTD31" s="47"/>
      <c r="CTE31" s="47"/>
      <c r="CTF31" s="47"/>
      <c r="CTG31" s="47"/>
      <c r="CTH31" s="47"/>
      <c r="CTI31" s="47"/>
      <c r="CTJ31" s="47"/>
      <c r="CTK31" s="47"/>
      <c r="CTL31" s="47"/>
      <c r="CTM31" s="47"/>
      <c r="CTN31" s="47"/>
      <c r="CTO31" s="47"/>
      <c r="CTP31" s="47"/>
      <c r="CTQ31" s="47"/>
      <c r="CTR31" s="47"/>
      <c r="CTS31" s="47"/>
      <c r="CTT31" s="47"/>
      <c r="CTU31" s="47"/>
      <c r="CTV31" s="47"/>
      <c r="CTW31" s="47"/>
      <c r="CTX31" s="47"/>
      <c r="CTY31" s="47"/>
      <c r="CTZ31" s="47"/>
      <c r="CUA31" s="47"/>
      <c r="CUB31" s="47"/>
      <c r="CUC31" s="47"/>
      <c r="CUD31" s="47"/>
      <c r="CUE31" s="47"/>
      <c r="CUF31" s="47"/>
      <c r="CUG31" s="47"/>
      <c r="CUH31" s="47"/>
      <c r="CUI31" s="47"/>
      <c r="CUJ31" s="47"/>
      <c r="CUK31" s="47"/>
      <c r="CUL31" s="47"/>
      <c r="CUM31" s="47"/>
      <c r="CUN31" s="47"/>
      <c r="CUO31" s="47"/>
      <c r="CUP31" s="47"/>
      <c r="CUQ31" s="47"/>
      <c r="CUR31" s="47"/>
      <c r="CUS31" s="47"/>
      <c r="CUT31" s="47"/>
      <c r="CUU31" s="47"/>
      <c r="CUV31" s="47"/>
      <c r="CUW31" s="47"/>
      <c r="CUX31" s="47"/>
      <c r="CUY31" s="47"/>
      <c r="CUZ31" s="47"/>
      <c r="CVA31" s="47"/>
      <c r="CVB31" s="47"/>
      <c r="CVC31" s="47"/>
      <c r="CVD31" s="47"/>
      <c r="CVE31" s="47"/>
      <c r="CVF31" s="47"/>
      <c r="CVG31" s="47"/>
      <c r="CVH31" s="47"/>
      <c r="CVI31" s="47"/>
      <c r="CVJ31" s="47"/>
      <c r="CVK31" s="47"/>
      <c r="CVL31" s="47"/>
      <c r="CVM31" s="47"/>
      <c r="CVN31" s="47"/>
      <c r="CVO31" s="47"/>
      <c r="CVP31" s="47"/>
      <c r="CVQ31" s="47"/>
      <c r="CVR31" s="47"/>
      <c r="CVS31" s="47"/>
      <c r="CVT31" s="47"/>
      <c r="CVU31" s="47"/>
      <c r="CVV31" s="47"/>
      <c r="CVW31" s="47"/>
      <c r="CVX31" s="47"/>
      <c r="CVY31" s="47"/>
      <c r="CVZ31" s="47"/>
      <c r="CWA31" s="47"/>
      <c r="CWB31" s="47"/>
      <c r="CWC31" s="47"/>
      <c r="CWD31" s="47"/>
      <c r="CWE31" s="47"/>
      <c r="CWF31" s="47"/>
      <c r="CWG31" s="47"/>
      <c r="CWH31" s="47"/>
      <c r="CWI31" s="47"/>
      <c r="CWJ31" s="47"/>
      <c r="CWK31" s="47"/>
      <c r="CWL31" s="47"/>
      <c r="CWM31" s="47"/>
      <c r="CWN31" s="47"/>
      <c r="CWO31" s="47"/>
      <c r="CWP31" s="47"/>
      <c r="CWQ31" s="47"/>
      <c r="CWR31" s="47"/>
      <c r="CWS31" s="47"/>
      <c r="CWT31" s="47"/>
      <c r="CWU31" s="47"/>
      <c r="CWV31" s="47"/>
      <c r="CWW31" s="47"/>
      <c r="CWX31" s="47"/>
      <c r="CWY31" s="47"/>
      <c r="CWZ31" s="47"/>
      <c r="CXA31" s="47"/>
      <c r="CXB31" s="47"/>
      <c r="CXC31" s="47"/>
      <c r="CXD31" s="47"/>
      <c r="CXE31" s="47"/>
      <c r="CXF31" s="47"/>
      <c r="CXG31" s="47"/>
      <c r="CXH31" s="47"/>
      <c r="CXI31" s="47"/>
      <c r="CXJ31" s="47"/>
      <c r="CXK31" s="47"/>
      <c r="CXL31" s="47"/>
      <c r="CXM31" s="47"/>
      <c r="CXN31" s="47"/>
      <c r="CXO31" s="47"/>
      <c r="CXP31" s="47"/>
      <c r="CXQ31" s="47"/>
      <c r="CXR31" s="47"/>
      <c r="CXS31" s="47"/>
      <c r="CXT31" s="47"/>
      <c r="CXU31" s="47"/>
      <c r="CXV31" s="47"/>
      <c r="CXW31" s="47"/>
      <c r="CXX31" s="47"/>
      <c r="CXY31" s="47"/>
      <c r="CXZ31" s="47"/>
      <c r="CYA31" s="47"/>
      <c r="CYB31" s="47"/>
      <c r="CYC31" s="47"/>
      <c r="CYD31" s="47"/>
      <c r="CYE31" s="47"/>
      <c r="CYF31" s="47"/>
      <c r="CYG31" s="47"/>
      <c r="CYH31" s="47"/>
      <c r="CYI31" s="47"/>
      <c r="CYJ31" s="47"/>
      <c r="CYK31" s="47"/>
      <c r="CYL31" s="47"/>
      <c r="CYM31" s="47"/>
      <c r="CYN31" s="47"/>
      <c r="CYO31" s="47"/>
      <c r="CYP31" s="47"/>
      <c r="CYQ31" s="47"/>
      <c r="CYR31" s="47"/>
      <c r="CYS31" s="47"/>
      <c r="CYT31" s="47"/>
      <c r="CYU31" s="47"/>
      <c r="CYV31" s="47"/>
      <c r="CYW31" s="47"/>
      <c r="CYX31" s="47"/>
      <c r="CYY31" s="47"/>
      <c r="CYZ31" s="47"/>
      <c r="CZA31" s="47"/>
      <c r="CZB31" s="47"/>
      <c r="CZC31" s="47"/>
      <c r="CZD31" s="47"/>
      <c r="CZE31" s="47"/>
      <c r="CZF31" s="47"/>
      <c r="CZG31" s="47"/>
      <c r="CZH31" s="47"/>
      <c r="CZI31" s="47"/>
      <c r="CZJ31" s="47"/>
      <c r="CZK31" s="47"/>
      <c r="CZL31" s="47"/>
      <c r="CZM31" s="47"/>
      <c r="CZN31" s="47"/>
      <c r="CZO31" s="47"/>
      <c r="CZP31" s="47"/>
      <c r="CZQ31" s="47"/>
      <c r="CZR31" s="47"/>
      <c r="CZS31" s="47"/>
      <c r="CZT31" s="47"/>
      <c r="CZU31" s="47"/>
      <c r="CZV31" s="47"/>
      <c r="CZW31" s="47"/>
      <c r="CZX31" s="47"/>
      <c r="CZY31" s="47"/>
      <c r="CZZ31" s="47"/>
      <c r="DAA31" s="47"/>
      <c r="DAB31" s="47"/>
      <c r="DAC31" s="47"/>
      <c r="DAD31" s="47"/>
      <c r="DAE31" s="47"/>
      <c r="DAF31" s="47"/>
      <c r="DAG31" s="47"/>
      <c r="DAH31" s="47"/>
      <c r="DAI31" s="47"/>
      <c r="DAJ31" s="47"/>
      <c r="DAK31" s="47"/>
      <c r="DAL31" s="47"/>
      <c r="DAM31" s="47"/>
      <c r="DAN31" s="47"/>
      <c r="DAO31" s="47"/>
      <c r="DAP31" s="47"/>
      <c r="DAQ31" s="47"/>
      <c r="DAR31" s="47"/>
      <c r="DAS31" s="47"/>
      <c r="DAT31" s="47"/>
      <c r="DAU31" s="47"/>
      <c r="DAV31" s="47"/>
      <c r="DAW31" s="47"/>
      <c r="DAX31" s="47"/>
      <c r="DAY31" s="47"/>
      <c r="DAZ31" s="47"/>
      <c r="DBA31" s="47"/>
      <c r="DBB31" s="47"/>
      <c r="DBC31" s="47"/>
      <c r="DBD31" s="47"/>
      <c r="DBE31" s="47"/>
      <c r="DBF31" s="47"/>
      <c r="DBG31" s="47"/>
      <c r="DBH31" s="47"/>
      <c r="DBI31" s="47"/>
      <c r="DBJ31" s="47"/>
      <c r="DBK31" s="47"/>
      <c r="DBL31" s="47"/>
      <c r="DBM31" s="47"/>
      <c r="DBN31" s="47"/>
      <c r="DBO31" s="47"/>
      <c r="DBP31" s="47"/>
      <c r="DBQ31" s="47"/>
      <c r="DBR31" s="47"/>
      <c r="DBS31" s="47"/>
      <c r="DBT31" s="47"/>
      <c r="DBU31" s="47"/>
      <c r="DBV31" s="47"/>
      <c r="DBW31" s="47"/>
      <c r="DBX31" s="47"/>
      <c r="DBY31" s="47"/>
      <c r="DBZ31" s="47"/>
      <c r="DCA31" s="47"/>
      <c r="DCB31" s="47"/>
      <c r="DCC31" s="47"/>
      <c r="DCD31" s="47"/>
      <c r="DCE31" s="47"/>
      <c r="DCF31" s="47"/>
      <c r="DCG31" s="47"/>
      <c r="DCH31" s="47"/>
      <c r="DCI31" s="47"/>
      <c r="DCJ31" s="47"/>
      <c r="DCK31" s="47"/>
      <c r="DCL31" s="47"/>
      <c r="DCM31" s="47"/>
      <c r="DCN31" s="47"/>
      <c r="DCO31" s="47"/>
      <c r="DCP31" s="47"/>
      <c r="DCQ31" s="47"/>
      <c r="DCR31" s="47"/>
      <c r="DCS31" s="47"/>
      <c r="DCT31" s="47"/>
      <c r="DCU31" s="47"/>
      <c r="DCV31" s="47"/>
      <c r="DCW31" s="47"/>
      <c r="DCX31" s="47"/>
      <c r="DCY31" s="47"/>
      <c r="DCZ31" s="47"/>
      <c r="DDA31" s="47"/>
      <c r="DDB31" s="47"/>
      <c r="DDC31" s="47"/>
      <c r="DDD31" s="47"/>
      <c r="DDE31" s="47"/>
      <c r="DDF31" s="47"/>
      <c r="DDG31" s="47"/>
      <c r="DDH31" s="47"/>
      <c r="DDI31" s="47"/>
      <c r="DDJ31" s="47"/>
      <c r="DDK31" s="47"/>
      <c r="DDL31" s="47"/>
      <c r="DDM31" s="47"/>
      <c r="DDN31" s="47"/>
      <c r="DDO31" s="47"/>
      <c r="DDP31" s="47"/>
      <c r="DDQ31" s="47"/>
      <c r="DDR31" s="47"/>
      <c r="DDS31" s="47"/>
      <c r="DDT31" s="47"/>
      <c r="DDU31" s="47"/>
      <c r="DDV31" s="47"/>
      <c r="DDW31" s="47"/>
      <c r="DDX31" s="47"/>
      <c r="DDY31" s="47"/>
      <c r="DDZ31" s="47"/>
      <c r="DEA31" s="47"/>
      <c r="DEB31" s="47"/>
      <c r="DEC31" s="47"/>
      <c r="DED31" s="47"/>
      <c r="DEE31" s="47"/>
      <c r="DEF31" s="47"/>
      <c r="DEG31" s="47"/>
      <c r="DEH31" s="47"/>
      <c r="DEI31" s="47"/>
      <c r="DEJ31" s="47"/>
      <c r="DEK31" s="47"/>
      <c r="DEL31" s="47"/>
      <c r="DEM31" s="47"/>
      <c r="DEN31" s="47"/>
      <c r="DEO31" s="47"/>
      <c r="DEP31" s="47"/>
      <c r="DEQ31" s="47"/>
      <c r="DER31" s="47"/>
      <c r="DES31" s="47"/>
      <c r="DET31" s="47"/>
      <c r="DEU31" s="47"/>
      <c r="DEV31" s="47"/>
      <c r="DEW31" s="47"/>
      <c r="DEX31" s="47"/>
      <c r="DEY31" s="47"/>
      <c r="DEZ31" s="47"/>
      <c r="DFA31" s="47"/>
      <c r="DFB31" s="47"/>
      <c r="DFC31" s="47"/>
      <c r="DFD31" s="47"/>
      <c r="DFE31" s="47"/>
      <c r="DFF31" s="47"/>
      <c r="DFG31" s="47"/>
      <c r="DFH31" s="47"/>
      <c r="DFI31" s="47"/>
      <c r="DFJ31" s="47"/>
      <c r="DFK31" s="47"/>
      <c r="DFL31" s="47"/>
      <c r="DFM31" s="47"/>
      <c r="DFN31" s="47"/>
      <c r="DFO31" s="47"/>
      <c r="DFP31" s="47"/>
      <c r="DFQ31" s="47"/>
      <c r="DFR31" s="47"/>
      <c r="DFS31" s="47"/>
      <c r="DFT31" s="47"/>
      <c r="DFU31" s="47"/>
      <c r="DFV31" s="47"/>
      <c r="DFW31" s="47"/>
      <c r="DFX31" s="47"/>
      <c r="DFY31" s="47"/>
      <c r="DFZ31" s="47"/>
      <c r="DGA31" s="47"/>
      <c r="DGB31" s="47"/>
      <c r="DGC31" s="47"/>
      <c r="DGD31" s="47"/>
      <c r="DGE31" s="47"/>
      <c r="DGF31" s="47"/>
      <c r="DGG31" s="47"/>
      <c r="DGH31" s="47"/>
      <c r="DGI31" s="47"/>
      <c r="DGJ31" s="47"/>
      <c r="DGK31" s="47"/>
      <c r="DGL31" s="47"/>
      <c r="DGM31" s="47"/>
      <c r="DGN31" s="47"/>
      <c r="DGO31" s="47"/>
      <c r="DGP31" s="47"/>
      <c r="DGQ31" s="47"/>
      <c r="DGR31" s="47"/>
      <c r="DGS31" s="47"/>
      <c r="DGT31" s="47"/>
      <c r="DGU31" s="47"/>
      <c r="DGV31" s="47"/>
      <c r="DGW31" s="47"/>
      <c r="DGX31" s="47"/>
      <c r="DGY31" s="47"/>
      <c r="DGZ31" s="47"/>
      <c r="DHA31" s="47"/>
      <c r="DHB31" s="47"/>
      <c r="DHC31" s="47"/>
      <c r="DHD31" s="47"/>
      <c r="DHE31" s="47"/>
      <c r="DHF31" s="47"/>
      <c r="DHG31" s="47"/>
      <c r="DHH31" s="47"/>
      <c r="DHI31" s="47"/>
      <c r="DHJ31" s="47"/>
      <c r="DHK31" s="47"/>
      <c r="DHL31" s="47"/>
      <c r="DHM31" s="47"/>
      <c r="DHN31" s="47"/>
      <c r="DHO31" s="47"/>
      <c r="DHP31" s="47"/>
      <c r="DHQ31" s="47"/>
      <c r="DHR31" s="47"/>
      <c r="DHS31" s="47"/>
      <c r="DHT31" s="47"/>
      <c r="DHU31" s="47"/>
      <c r="DHV31" s="47"/>
      <c r="DHW31" s="47"/>
      <c r="DHX31" s="47"/>
      <c r="DHY31" s="47"/>
      <c r="DHZ31" s="47"/>
      <c r="DIA31" s="47"/>
      <c r="DIB31" s="47"/>
      <c r="DIC31" s="47"/>
      <c r="DID31" s="47"/>
      <c r="DIE31" s="47"/>
      <c r="DIF31" s="47"/>
      <c r="DIG31" s="47"/>
      <c r="DIH31" s="47"/>
      <c r="DII31" s="47"/>
      <c r="DIJ31" s="47"/>
      <c r="DIK31" s="47"/>
      <c r="DIL31" s="47"/>
      <c r="DIM31" s="47"/>
      <c r="DIN31" s="47"/>
      <c r="DIO31" s="47"/>
      <c r="DIP31" s="47"/>
      <c r="DIQ31" s="47"/>
      <c r="DIR31" s="47"/>
      <c r="DIS31" s="47"/>
      <c r="DIT31" s="47"/>
      <c r="DIU31" s="47"/>
      <c r="DIV31" s="47"/>
      <c r="DIW31" s="47"/>
      <c r="DIX31" s="47"/>
      <c r="DIY31" s="47"/>
      <c r="DIZ31" s="47"/>
      <c r="DJA31" s="47"/>
      <c r="DJB31" s="47"/>
      <c r="DJC31" s="47"/>
      <c r="DJD31" s="47"/>
      <c r="DJE31" s="47"/>
      <c r="DJF31" s="47"/>
      <c r="DJG31" s="47"/>
      <c r="DJH31" s="47"/>
      <c r="DJI31" s="47"/>
      <c r="DJJ31" s="47"/>
      <c r="DJK31" s="47"/>
      <c r="DJL31" s="47"/>
      <c r="DJM31" s="47"/>
      <c r="DJN31" s="47"/>
      <c r="DJO31" s="47"/>
      <c r="DJP31" s="47"/>
      <c r="DJQ31" s="47"/>
      <c r="DJR31" s="47"/>
      <c r="DJS31" s="47"/>
      <c r="DJT31" s="47"/>
      <c r="DJU31" s="47"/>
      <c r="DJV31" s="47"/>
      <c r="DJW31" s="47"/>
      <c r="DJX31" s="47"/>
      <c r="DJY31" s="47"/>
      <c r="DJZ31" s="47"/>
      <c r="DKA31" s="47"/>
      <c r="DKB31" s="47"/>
      <c r="DKC31" s="47"/>
      <c r="DKD31" s="47"/>
      <c r="DKE31" s="47"/>
      <c r="DKF31" s="47"/>
      <c r="DKG31" s="47"/>
      <c r="DKH31" s="47"/>
      <c r="DKI31" s="47"/>
      <c r="DKJ31" s="47"/>
      <c r="DKK31" s="47"/>
      <c r="DKL31" s="47"/>
      <c r="DKM31" s="47"/>
      <c r="DKN31" s="47"/>
      <c r="DKO31" s="47"/>
      <c r="DKP31" s="47"/>
      <c r="DKQ31" s="47"/>
      <c r="DKR31" s="47"/>
      <c r="DKS31" s="47"/>
      <c r="DKT31" s="47"/>
      <c r="DKU31" s="47"/>
      <c r="DKV31" s="47"/>
      <c r="DKW31" s="47"/>
      <c r="DKX31" s="47"/>
      <c r="DKY31" s="47"/>
      <c r="DKZ31" s="47"/>
      <c r="DLA31" s="47"/>
      <c r="DLB31" s="47"/>
      <c r="DLC31" s="47"/>
      <c r="DLD31" s="47"/>
      <c r="DLE31" s="47"/>
      <c r="DLF31" s="47"/>
      <c r="DLG31" s="47"/>
      <c r="DLH31" s="47"/>
      <c r="DLI31" s="47"/>
      <c r="DLJ31" s="47"/>
      <c r="DLK31" s="47"/>
      <c r="DLL31" s="47"/>
      <c r="DLM31" s="47"/>
      <c r="DLN31" s="47"/>
      <c r="DLO31" s="47"/>
      <c r="DLP31" s="47"/>
      <c r="DLQ31" s="47"/>
      <c r="DLR31" s="47"/>
      <c r="DLS31" s="47"/>
      <c r="DLT31" s="47"/>
      <c r="DLU31" s="47"/>
      <c r="DLV31" s="47"/>
      <c r="DLW31" s="47"/>
      <c r="DLX31" s="47"/>
      <c r="DLY31" s="47"/>
      <c r="DLZ31" s="47"/>
      <c r="DMA31" s="47"/>
      <c r="DMB31" s="47"/>
      <c r="DMC31" s="47"/>
      <c r="DMD31" s="47"/>
      <c r="DME31" s="47"/>
      <c r="DMF31" s="47"/>
      <c r="DMG31" s="47"/>
      <c r="DMH31" s="47"/>
      <c r="DMI31" s="47"/>
      <c r="DMJ31" s="47"/>
      <c r="DMK31" s="47"/>
      <c r="DML31" s="47"/>
      <c r="DMM31" s="47"/>
      <c r="DMN31" s="47"/>
      <c r="DMO31" s="47"/>
      <c r="DMP31" s="47"/>
      <c r="DMQ31" s="47"/>
      <c r="DMR31" s="47"/>
      <c r="DMS31" s="47"/>
      <c r="DMT31" s="47"/>
      <c r="DMU31" s="47"/>
      <c r="DMV31" s="47"/>
      <c r="DMW31" s="47"/>
      <c r="DMX31" s="47"/>
      <c r="DMY31" s="47"/>
      <c r="DMZ31" s="47"/>
      <c r="DNA31" s="47"/>
      <c r="DNB31" s="47"/>
      <c r="DNC31" s="47"/>
      <c r="DND31" s="47"/>
      <c r="DNE31" s="47"/>
      <c r="DNF31" s="47"/>
      <c r="DNG31" s="47"/>
      <c r="DNH31" s="47"/>
      <c r="DNI31" s="47"/>
      <c r="DNJ31" s="47"/>
      <c r="DNK31" s="47"/>
      <c r="DNL31" s="47"/>
      <c r="DNM31" s="47"/>
      <c r="DNN31" s="47"/>
      <c r="DNO31" s="47"/>
      <c r="DNP31" s="47"/>
      <c r="DNQ31" s="47"/>
      <c r="DNR31" s="47"/>
      <c r="DNS31" s="47"/>
      <c r="DNT31" s="47"/>
      <c r="DNU31" s="47"/>
      <c r="DNV31" s="47"/>
      <c r="DNW31" s="47"/>
      <c r="DNX31" s="47"/>
      <c r="DNY31" s="47"/>
      <c r="DNZ31" s="47"/>
      <c r="DOA31" s="47"/>
      <c r="DOB31" s="47"/>
      <c r="DOC31" s="47"/>
      <c r="DOD31" s="47"/>
      <c r="DOE31" s="47"/>
      <c r="DOF31" s="47"/>
      <c r="DOG31" s="47"/>
      <c r="DOH31" s="47"/>
      <c r="DOI31" s="47"/>
      <c r="DOJ31" s="47"/>
      <c r="DOK31" s="47"/>
      <c r="DOL31" s="47"/>
      <c r="DOM31" s="47"/>
      <c r="DON31" s="47"/>
      <c r="DOO31" s="47"/>
      <c r="DOP31" s="47"/>
      <c r="DOQ31" s="47"/>
      <c r="DOR31" s="47"/>
      <c r="DOS31" s="47"/>
      <c r="DOT31" s="47"/>
      <c r="DOU31" s="47"/>
      <c r="DOV31" s="47"/>
      <c r="DOW31" s="47"/>
      <c r="DOX31" s="47"/>
      <c r="DOY31" s="47"/>
      <c r="DOZ31" s="47"/>
      <c r="DPA31" s="47"/>
      <c r="DPB31" s="47"/>
      <c r="DPC31" s="47"/>
      <c r="DPD31" s="47"/>
      <c r="DPE31" s="47"/>
      <c r="DPF31" s="47"/>
      <c r="DPG31" s="47"/>
      <c r="DPH31" s="47"/>
      <c r="DPI31" s="47"/>
      <c r="DPJ31" s="47"/>
      <c r="DPK31" s="47"/>
      <c r="DPL31" s="47"/>
      <c r="DPM31" s="47"/>
      <c r="DPN31" s="47"/>
      <c r="DPO31" s="47"/>
      <c r="DPP31" s="47"/>
      <c r="DPQ31" s="47"/>
      <c r="DPR31" s="47"/>
      <c r="DPS31" s="47"/>
      <c r="DPT31" s="47"/>
      <c r="DPU31" s="47"/>
      <c r="DPV31" s="47"/>
      <c r="DPW31" s="47"/>
      <c r="DPX31" s="47"/>
      <c r="DPY31" s="47"/>
      <c r="DPZ31" s="47"/>
      <c r="DQA31" s="47"/>
      <c r="DQB31" s="47"/>
      <c r="DQC31" s="47"/>
      <c r="DQD31" s="47"/>
      <c r="DQE31" s="47"/>
      <c r="DQF31" s="47"/>
      <c r="DQG31" s="47"/>
      <c r="DQH31" s="47"/>
      <c r="DQI31" s="47"/>
      <c r="DQJ31" s="47"/>
      <c r="DQK31" s="47"/>
      <c r="DQL31" s="47"/>
      <c r="DQM31" s="47"/>
      <c r="DQN31" s="47"/>
      <c r="DQO31" s="47"/>
      <c r="DQP31" s="47"/>
      <c r="DQQ31" s="47"/>
      <c r="DQR31" s="47"/>
      <c r="DQS31" s="47"/>
      <c r="DQT31" s="47"/>
      <c r="DQU31" s="47"/>
      <c r="DQV31" s="47"/>
      <c r="DQW31" s="47"/>
      <c r="DQX31" s="47"/>
      <c r="DQY31" s="47"/>
      <c r="DQZ31" s="47"/>
      <c r="DRA31" s="47"/>
      <c r="DRB31" s="47"/>
      <c r="DRC31" s="47"/>
      <c r="DRD31" s="47"/>
      <c r="DRE31" s="47"/>
      <c r="DRF31" s="47"/>
      <c r="DRG31" s="47"/>
      <c r="DRH31" s="47"/>
      <c r="DRI31" s="47"/>
      <c r="DRJ31" s="47"/>
      <c r="DRK31" s="47"/>
      <c r="DRL31" s="47"/>
      <c r="DRM31" s="47"/>
      <c r="DRN31" s="47"/>
      <c r="DRO31" s="47"/>
      <c r="DRP31" s="47"/>
      <c r="DRQ31" s="47"/>
      <c r="DRR31" s="47"/>
      <c r="DRS31" s="47"/>
      <c r="DRT31" s="47"/>
      <c r="DRU31" s="47"/>
      <c r="DRV31" s="47"/>
      <c r="DRW31" s="47"/>
      <c r="DRX31" s="47"/>
      <c r="DRY31" s="47"/>
      <c r="DRZ31" s="47"/>
      <c r="DSA31" s="47"/>
      <c r="DSB31" s="47"/>
      <c r="DSC31" s="47"/>
      <c r="DSD31" s="47"/>
      <c r="DSE31" s="47"/>
      <c r="DSF31" s="47"/>
      <c r="DSG31" s="47"/>
      <c r="DSH31" s="47"/>
      <c r="DSI31" s="47"/>
      <c r="DSJ31" s="47"/>
      <c r="DSK31" s="47"/>
      <c r="DSL31" s="47"/>
      <c r="DSM31" s="47"/>
      <c r="DSN31" s="47"/>
      <c r="DSO31" s="47"/>
      <c r="DSP31" s="47"/>
      <c r="DSQ31" s="47"/>
      <c r="DSR31" s="47"/>
      <c r="DSS31" s="47"/>
      <c r="DST31" s="47"/>
      <c r="DSU31" s="47"/>
      <c r="DSV31" s="47"/>
      <c r="DSW31" s="47"/>
      <c r="DSX31" s="47"/>
      <c r="DSY31" s="47"/>
      <c r="DSZ31" s="47"/>
      <c r="DTA31" s="47"/>
      <c r="DTB31" s="47"/>
      <c r="DTC31" s="47"/>
      <c r="DTD31" s="47"/>
      <c r="DTE31" s="47"/>
      <c r="DTF31" s="47"/>
      <c r="DTG31" s="47"/>
      <c r="DTH31" s="47"/>
      <c r="DTI31" s="47"/>
      <c r="DTJ31" s="47"/>
      <c r="DTK31" s="47"/>
      <c r="DTL31" s="47"/>
      <c r="DTM31" s="47"/>
      <c r="DTN31" s="47"/>
      <c r="DTO31" s="47"/>
      <c r="DTP31" s="47"/>
      <c r="DTQ31" s="47"/>
      <c r="DTR31" s="47"/>
      <c r="DTS31" s="47"/>
      <c r="DTT31" s="47"/>
      <c r="DTU31" s="47"/>
      <c r="DTV31" s="47"/>
      <c r="DTW31" s="47"/>
      <c r="DTX31" s="47"/>
      <c r="DTY31" s="47"/>
      <c r="DTZ31" s="47"/>
      <c r="DUA31" s="47"/>
      <c r="DUB31" s="47"/>
      <c r="DUC31" s="47"/>
      <c r="DUD31" s="47"/>
      <c r="DUE31" s="47"/>
      <c r="DUF31" s="47"/>
      <c r="DUG31" s="47"/>
      <c r="DUH31" s="47"/>
      <c r="DUI31" s="47"/>
      <c r="DUJ31" s="47"/>
      <c r="DUK31" s="47"/>
      <c r="DUL31" s="47"/>
      <c r="DUM31" s="47"/>
      <c r="DUN31" s="47"/>
      <c r="DUO31" s="47"/>
      <c r="DUP31" s="47"/>
      <c r="DUQ31" s="47"/>
      <c r="DUR31" s="47"/>
      <c r="DUS31" s="47"/>
      <c r="DUT31" s="47"/>
      <c r="DUU31" s="47"/>
      <c r="DUV31" s="47"/>
      <c r="DUW31" s="47"/>
      <c r="DUX31" s="47"/>
      <c r="DUY31" s="47"/>
      <c r="DUZ31" s="47"/>
      <c r="DVA31" s="47"/>
      <c r="DVB31" s="47"/>
      <c r="DVC31" s="47"/>
      <c r="DVD31" s="47"/>
      <c r="DVE31" s="47"/>
      <c r="DVF31" s="47"/>
      <c r="DVG31" s="47"/>
      <c r="DVH31" s="47"/>
      <c r="DVI31" s="47"/>
      <c r="DVJ31" s="47"/>
      <c r="DVK31" s="47"/>
      <c r="DVL31" s="47"/>
      <c r="DVM31" s="47"/>
      <c r="DVN31" s="47"/>
      <c r="DVO31" s="47"/>
      <c r="DVP31" s="47"/>
      <c r="DVQ31" s="47"/>
      <c r="DVR31" s="47"/>
      <c r="DVS31" s="47"/>
      <c r="DVT31" s="47"/>
      <c r="DVU31" s="47"/>
      <c r="DVV31" s="47"/>
      <c r="DVW31" s="47"/>
      <c r="DVX31" s="47"/>
      <c r="DVY31" s="47"/>
      <c r="DVZ31" s="47"/>
      <c r="DWA31" s="47"/>
      <c r="DWB31" s="47"/>
      <c r="DWC31" s="47"/>
      <c r="DWD31" s="47"/>
      <c r="DWE31" s="47"/>
      <c r="DWF31" s="47"/>
      <c r="DWG31" s="47"/>
      <c r="DWH31" s="47"/>
      <c r="DWI31" s="47"/>
      <c r="DWJ31" s="47"/>
      <c r="DWK31" s="47"/>
      <c r="DWL31" s="47"/>
      <c r="DWM31" s="47"/>
      <c r="DWN31" s="47"/>
      <c r="DWO31" s="47"/>
      <c r="DWP31" s="47"/>
      <c r="DWQ31" s="47"/>
      <c r="DWR31" s="47"/>
      <c r="DWS31" s="47"/>
      <c r="DWT31" s="47"/>
      <c r="DWU31" s="47"/>
      <c r="DWV31" s="47"/>
      <c r="DWW31" s="47"/>
      <c r="DWX31" s="47"/>
      <c r="DWY31" s="47"/>
      <c r="DWZ31" s="47"/>
      <c r="DXA31" s="47"/>
      <c r="DXB31" s="47"/>
      <c r="DXC31" s="47"/>
      <c r="DXD31" s="47"/>
      <c r="DXE31" s="47"/>
      <c r="DXF31" s="47"/>
      <c r="DXG31" s="47"/>
      <c r="DXH31" s="47"/>
      <c r="DXI31" s="47"/>
      <c r="DXJ31" s="47"/>
      <c r="DXK31" s="47"/>
      <c r="DXL31" s="47"/>
      <c r="DXM31" s="47"/>
      <c r="DXN31" s="47"/>
      <c r="DXO31" s="47"/>
      <c r="DXP31" s="47"/>
      <c r="DXQ31" s="47"/>
      <c r="DXR31" s="47"/>
      <c r="DXS31" s="47"/>
      <c r="DXT31" s="47"/>
      <c r="DXU31" s="47"/>
      <c r="DXV31" s="47"/>
      <c r="DXW31" s="47"/>
      <c r="DXX31" s="47"/>
      <c r="DXY31" s="47"/>
      <c r="DXZ31" s="47"/>
      <c r="DYA31" s="47"/>
      <c r="DYB31" s="47"/>
      <c r="DYC31" s="47"/>
      <c r="DYD31" s="47"/>
      <c r="DYE31" s="47"/>
      <c r="DYF31" s="47"/>
      <c r="DYG31" s="47"/>
      <c r="DYH31" s="47"/>
      <c r="DYI31" s="47"/>
      <c r="DYJ31" s="47"/>
      <c r="DYK31" s="47"/>
      <c r="DYL31" s="47"/>
      <c r="DYM31" s="47"/>
      <c r="DYN31" s="47"/>
      <c r="DYO31" s="47"/>
      <c r="DYP31" s="47"/>
      <c r="DYQ31" s="47"/>
      <c r="DYR31" s="47"/>
      <c r="DYS31" s="47"/>
      <c r="DYT31" s="47"/>
      <c r="DYU31" s="47"/>
      <c r="DYV31" s="47"/>
      <c r="DYW31" s="47"/>
      <c r="DYX31" s="47"/>
      <c r="DYY31" s="47"/>
      <c r="DYZ31" s="47"/>
      <c r="DZA31" s="47"/>
      <c r="DZB31" s="47"/>
      <c r="DZC31" s="47"/>
      <c r="DZD31" s="47"/>
      <c r="DZE31" s="47"/>
      <c r="DZF31" s="47"/>
      <c r="DZG31" s="47"/>
      <c r="DZH31" s="47"/>
      <c r="DZI31" s="47"/>
      <c r="DZJ31" s="47"/>
      <c r="DZK31" s="47"/>
      <c r="DZL31" s="47"/>
      <c r="DZM31" s="47"/>
      <c r="DZN31" s="47"/>
      <c r="DZO31" s="47"/>
      <c r="DZP31" s="47"/>
      <c r="DZQ31" s="47"/>
      <c r="DZR31" s="47"/>
      <c r="DZS31" s="47"/>
      <c r="DZT31" s="47"/>
      <c r="DZU31" s="47"/>
      <c r="DZV31" s="47"/>
      <c r="DZW31" s="47"/>
      <c r="DZX31" s="47"/>
      <c r="DZY31" s="47"/>
      <c r="DZZ31" s="47"/>
      <c r="EAA31" s="47"/>
      <c r="EAB31" s="47"/>
      <c r="EAC31" s="47"/>
      <c r="EAD31" s="47"/>
      <c r="EAE31" s="47"/>
      <c r="EAF31" s="47"/>
      <c r="EAG31" s="47"/>
      <c r="EAH31" s="47"/>
      <c r="EAI31" s="47"/>
      <c r="EAJ31" s="47"/>
      <c r="EAK31" s="47"/>
      <c r="EAL31" s="47"/>
      <c r="EAM31" s="47"/>
      <c r="EAN31" s="47"/>
      <c r="EAO31" s="47"/>
      <c r="EAP31" s="47"/>
      <c r="EAQ31" s="47"/>
      <c r="EAR31" s="47"/>
      <c r="EAS31" s="47"/>
      <c r="EAT31" s="47"/>
      <c r="EAU31" s="47"/>
      <c r="EAV31" s="47"/>
      <c r="EAW31" s="47"/>
      <c r="EAX31" s="47"/>
      <c r="EAY31" s="47"/>
      <c r="EAZ31" s="47"/>
      <c r="EBA31" s="47"/>
      <c r="EBB31" s="47"/>
      <c r="EBC31" s="47"/>
      <c r="EBD31" s="47"/>
      <c r="EBE31" s="47"/>
      <c r="EBF31" s="47"/>
      <c r="EBG31" s="47"/>
      <c r="EBH31" s="47"/>
      <c r="EBI31" s="47"/>
      <c r="EBJ31" s="47"/>
      <c r="EBK31" s="47"/>
      <c r="EBL31" s="47"/>
      <c r="EBM31" s="47"/>
      <c r="EBN31" s="47"/>
      <c r="EBO31" s="47"/>
      <c r="EBP31" s="47"/>
      <c r="EBQ31" s="47"/>
      <c r="EBR31" s="47"/>
      <c r="EBS31" s="47"/>
      <c r="EBT31" s="47"/>
      <c r="EBU31" s="47"/>
      <c r="EBV31" s="47"/>
      <c r="EBW31" s="47"/>
      <c r="EBX31" s="47"/>
      <c r="EBY31" s="47"/>
      <c r="EBZ31" s="47"/>
      <c r="ECA31" s="47"/>
      <c r="ECB31" s="47"/>
      <c r="ECC31" s="47"/>
      <c r="ECD31" s="47"/>
      <c r="ECE31" s="47"/>
      <c r="ECF31" s="47"/>
      <c r="ECG31" s="47"/>
      <c r="ECH31" s="47"/>
      <c r="ECI31" s="47"/>
      <c r="ECJ31" s="47"/>
      <c r="ECK31" s="47"/>
      <c r="ECL31" s="47"/>
      <c r="ECM31" s="47"/>
      <c r="ECN31" s="47"/>
      <c r="ECO31" s="47"/>
      <c r="ECP31" s="47"/>
      <c r="ECQ31" s="47"/>
      <c r="ECR31" s="47"/>
      <c r="ECS31" s="47"/>
      <c r="ECT31" s="47"/>
      <c r="ECU31" s="47"/>
      <c r="ECV31" s="47"/>
      <c r="ECW31" s="47"/>
      <c r="ECX31" s="47"/>
      <c r="ECY31" s="47"/>
      <c r="ECZ31" s="47"/>
      <c r="EDA31" s="47"/>
      <c r="EDB31" s="47"/>
      <c r="EDC31" s="47"/>
      <c r="EDD31" s="47"/>
      <c r="EDE31" s="47"/>
      <c r="EDF31" s="47"/>
      <c r="EDG31" s="47"/>
      <c r="EDH31" s="47"/>
      <c r="EDI31" s="47"/>
      <c r="EDJ31" s="47"/>
      <c r="EDK31" s="47"/>
      <c r="EDL31" s="47"/>
      <c r="EDM31" s="47"/>
      <c r="EDN31" s="47"/>
      <c r="EDO31" s="47"/>
      <c r="EDP31" s="47"/>
      <c r="EDQ31" s="47"/>
      <c r="EDR31" s="47"/>
      <c r="EDS31" s="47"/>
      <c r="EDT31" s="47"/>
      <c r="EDU31" s="47"/>
      <c r="EDV31" s="47"/>
      <c r="EDW31" s="47"/>
      <c r="EDX31" s="47"/>
      <c r="EDY31" s="47"/>
      <c r="EDZ31" s="47"/>
      <c r="EEA31" s="47"/>
      <c r="EEB31" s="47"/>
      <c r="EEC31" s="47"/>
      <c r="EED31" s="47"/>
      <c r="EEE31" s="47"/>
      <c r="EEF31" s="47"/>
      <c r="EEG31" s="47"/>
      <c r="EEH31" s="47"/>
      <c r="EEI31" s="47"/>
      <c r="EEJ31" s="47"/>
      <c r="EEK31" s="47"/>
      <c r="EEL31" s="47"/>
      <c r="EEM31" s="47"/>
      <c r="EEN31" s="47"/>
      <c r="EEO31" s="47"/>
      <c r="EEP31" s="47"/>
      <c r="EEQ31" s="47"/>
      <c r="EER31" s="47"/>
      <c r="EES31" s="47"/>
      <c r="EET31" s="47"/>
      <c r="EEU31" s="47"/>
      <c r="EEV31" s="47"/>
      <c r="EEW31" s="47"/>
      <c r="EEX31" s="47"/>
      <c r="EEY31" s="47"/>
      <c r="EEZ31" s="47"/>
      <c r="EFA31" s="47"/>
      <c r="EFB31" s="47"/>
      <c r="EFC31" s="47"/>
      <c r="EFD31" s="47"/>
      <c r="EFE31" s="47"/>
      <c r="EFF31" s="47"/>
      <c r="EFG31" s="47"/>
      <c r="EFH31" s="47"/>
      <c r="EFI31" s="47"/>
      <c r="EFJ31" s="47"/>
      <c r="EFK31" s="47"/>
      <c r="EFL31" s="47"/>
      <c r="EFM31" s="47"/>
      <c r="EFN31" s="47"/>
      <c r="EFO31" s="47"/>
      <c r="EFP31" s="47"/>
      <c r="EFQ31" s="47"/>
      <c r="EFR31" s="47"/>
      <c r="EFS31" s="47"/>
      <c r="EFT31" s="47"/>
      <c r="EFU31" s="47"/>
      <c r="EFV31" s="47"/>
      <c r="EFW31" s="47"/>
      <c r="EFX31" s="47"/>
      <c r="EFY31" s="47"/>
      <c r="EFZ31" s="47"/>
      <c r="EGA31" s="47"/>
      <c r="EGB31" s="47"/>
      <c r="EGC31" s="47"/>
      <c r="EGD31" s="47"/>
      <c r="EGE31" s="47"/>
      <c r="EGF31" s="47"/>
      <c r="EGG31" s="47"/>
      <c r="EGH31" s="47"/>
      <c r="EGI31" s="47"/>
      <c r="EGJ31" s="47"/>
      <c r="EGK31" s="47"/>
      <c r="EGL31" s="47"/>
      <c r="EGM31" s="47"/>
      <c r="EGN31" s="47"/>
      <c r="EGO31" s="47"/>
      <c r="EGP31" s="47"/>
      <c r="EGQ31" s="47"/>
      <c r="EGR31" s="47"/>
      <c r="EGS31" s="47"/>
      <c r="EGT31" s="47"/>
      <c r="EGU31" s="47"/>
      <c r="EGV31" s="47"/>
      <c r="EGW31" s="47"/>
      <c r="EGX31" s="47"/>
      <c r="EGY31" s="47"/>
      <c r="EGZ31" s="47"/>
      <c r="EHA31" s="47"/>
      <c r="EHB31" s="47"/>
      <c r="EHC31" s="47"/>
      <c r="EHD31" s="47"/>
      <c r="EHE31" s="47"/>
      <c r="EHF31" s="47"/>
      <c r="EHG31" s="47"/>
      <c r="EHH31" s="47"/>
      <c r="EHI31" s="47"/>
      <c r="EHJ31" s="47"/>
      <c r="EHK31" s="47"/>
      <c r="EHL31" s="47"/>
      <c r="EHM31" s="47"/>
      <c r="EHN31" s="47"/>
      <c r="EHO31" s="47"/>
      <c r="EHP31" s="47"/>
      <c r="EHQ31" s="47"/>
      <c r="EHR31" s="47"/>
      <c r="EHS31" s="47"/>
      <c r="EHT31" s="47"/>
      <c r="EHU31" s="47"/>
      <c r="EHV31" s="47"/>
      <c r="EHW31" s="47"/>
      <c r="EHX31" s="47"/>
      <c r="EHY31" s="47"/>
      <c r="EHZ31" s="47"/>
      <c r="EIA31" s="47"/>
      <c r="EIB31" s="47"/>
      <c r="EIC31" s="47"/>
      <c r="EID31" s="47"/>
      <c r="EIE31" s="47"/>
      <c r="EIF31" s="47"/>
      <c r="EIG31" s="47"/>
      <c r="EIH31" s="47"/>
      <c r="EII31" s="47"/>
      <c r="EIJ31" s="47"/>
      <c r="EIK31" s="47"/>
      <c r="EIL31" s="47"/>
      <c r="EIM31" s="47"/>
      <c r="EIN31" s="47"/>
      <c r="EIO31" s="47"/>
      <c r="EIP31" s="47"/>
      <c r="EIQ31" s="47"/>
      <c r="EIR31" s="47"/>
      <c r="EIS31" s="47"/>
      <c r="EIT31" s="47"/>
      <c r="EIU31" s="47"/>
      <c r="EIV31" s="47"/>
      <c r="EIW31" s="47"/>
      <c r="EIX31" s="47"/>
      <c r="EIY31" s="47"/>
      <c r="EIZ31" s="47"/>
      <c r="EJA31" s="47"/>
      <c r="EJB31" s="47"/>
      <c r="EJC31" s="47"/>
      <c r="EJD31" s="47"/>
      <c r="EJE31" s="47"/>
      <c r="EJF31" s="47"/>
      <c r="EJG31" s="47"/>
      <c r="EJH31" s="47"/>
      <c r="EJI31" s="47"/>
      <c r="EJJ31" s="47"/>
      <c r="EJK31" s="47"/>
      <c r="EJL31" s="47"/>
      <c r="EJM31" s="47"/>
      <c r="EJN31" s="47"/>
      <c r="EJO31" s="47"/>
      <c r="EJP31" s="47"/>
      <c r="EJQ31" s="47"/>
      <c r="EJR31" s="47"/>
      <c r="EJS31" s="47"/>
      <c r="EJT31" s="47"/>
      <c r="EJU31" s="47"/>
      <c r="EJV31" s="47"/>
      <c r="EJW31" s="47"/>
      <c r="EJX31" s="47"/>
      <c r="EJY31" s="47"/>
      <c r="EJZ31" s="47"/>
      <c r="EKA31" s="47"/>
      <c r="EKB31" s="47"/>
      <c r="EKC31" s="47"/>
      <c r="EKD31" s="47"/>
      <c r="EKE31" s="47"/>
      <c r="EKF31" s="47"/>
      <c r="EKG31" s="47"/>
      <c r="EKH31" s="47"/>
      <c r="EKI31" s="47"/>
      <c r="EKJ31" s="47"/>
      <c r="EKK31" s="47"/>
      <c r="EKL31" s="47"/>
      <c r="EKM31" s="47"/>
      <c r="EKN31" s="47"/>
      <c r="EKO31" s="47"/>
      <c r="EKP31" s="47"/>
      <c r="EKQ31" s="47"/>
      <c r="EKR31" s="47"/>
      <c r="EKS31" s="47"/>
      <c r="EKT31" s="47"/>
      <c r="EKU31" s="47"/>
      <c r="EKV31" s="47"/>
      <c r="EKW31" s="47"/>
      <c r="EKX31" s="47"/>
      <c r="EKY31" s="47"/>
      <c r="EKZ31" s="47"/>
      <c r="ELA31" s="47"/>
      <c r="ELB31" s="47"/>
      <c r="ELC31" s="47"/>
      <c r="ELD31" s="47"/>
      <c r="ELE31" s="47"/>
      <c r="ELF31" s="47"/>
      <c r="ELG31" s="47"/>
      <c r="ELH31" s="47"/>
      <c r="ELI31" s="47"/>
      <c r="ELJ31" s="47"/>
      <c r="ELK31" s="47"/>
      <c r="ELL31" s="47"/>
      <c r="ELM31" s="47"/>
      <c r="ELN31" s="47"/>
      <c r="ELO31" s="47"/>
      <c r="ELP31" s="47"/>
      <c r="ELQ31" s="47"/>
      <c r="ELR31" s="47"/>
      <c r="ELS31" s="47"/>
      <c r="ELT31" s="47"/>
      <c r="ELU31" s="47"/>
      <c r="ELV31" s="47"/>
      <c r="ELW31" s="47"/>
      <c r="ELX31" s="47"/>
      <c r="ELY31" s="47"/>
      <c r="ELZ31" s="47"/>
      <c r="EMA31" s="47"/>
      <c r="EMB31" s="47"/>
      <c r="EMC31" s="47"/>
      <c r="EMD31" s="47"/>
      <c r="EME31" s="47"/>
      <c r="EMF31" s="47"/>
      <c r="EMG31" s="47"/>
      <c r="EMH31" s="47"/>
      <c r="EMI31" s="47"/>
      <c r="EMJ31" s="47"/>
      <c r="EMK31" s="47"/>
      <c r="EML31" s="47"/>
      <c r="EMM31" s="47"/>
      <c r="EMN31" s="47"/>
      <c r="EMO31" s="47"/>
      <c r="EMP31" s="47"/>
      <c r="EMQ31" s="47"/>
      <c r="EMR31" s="47"/>
      <c r="EMS31" s="47"/>
      <c r="EMT31" s="47"/>
      <c r="EMU31" s="47"/>
      <c r="EMV31" s="47"/>
      <c r="EMW31" s="47"/>
      <c r="EMX31" s="47"/>
      <c r="EMY31" s="47"/>
      <c r="EMZ31" s="47"/>
      <c r="ENA31" s="47"/>
      <c r="ENB31" s="47"/>
      <c r="ENC31" s="47"/>
      <c r="END31" s="47"/>
      <c r="ENE31" s="47"/>
      <c r="ENF31" s="47"/>
      <c r="ENG31" s="47"/>
      <c r="ENH31" s="47"/>
      <c r="ENI31" s="47"/>
      <c r="ENJ31" s="47"/>
      <c r="ENK31" s="47"/>
      <c r="ENL31" s="47"/>
      <c r="ENM31" s="47"/>
      <c r="ENN31" s="47"/>
      <c r="ENO31" s="47"/>
      <c r="ENP31" s="47"/>
      <c r="ENQ31" s="47"/>
      <c r="ENR31" s="47"/>
      <c r="ENS31" s="47"/>
      <c r="ENT31" s="47"/>
      <c r="ENU31" s="47"/>
      <c r="ENV31" s="47"/>
      <c r="ENW31" s="47"/>
      <c r="ENX31" s="47"/>
      <c r="ENY31" s="47"/>
      <c r="ENZ31" s="47"/>
      <c r="EOA31" s="47"/>
      <c r="EOB31" s="47"/>
      <c r="EOC31" s="47"/>
      <c r="EOD31" s="47"/>
      <c r="EOE31" s="47"/>
      <c r="EOF31" s="47"/>
      <c r="EOG31" s="47"/>
      <c r="EOH31" s="47"/>
      <c r="EOI31" s="47"/>
      <c r="EOJ31" s="47"/>
      <c r="EOK31" s="47"/>
      <c r="EOL31" s="47"/>
      <c r="EOM31" s="47"/>
      <c r="EON31" s="47"/>
      <c r="EOO31" s="47"/>
      <c r="EOP31" s="47"/>
      <c r="EOQ31" s="47"/>
      <c r="EOR31" s="47"/>
      <c r="EOS31" s="47"/>
      <c r="EOT31" s="47"/>
      <c r="EOU31" s="47"/>
      <c r="EOV31" s="47"/>
      <c r="EOW31" s="47"/>
      <c r="EOX31" s="47"/>
      <c r="EOY31" s="47"/>
      <c r="EOZ31" s="47"/>
      <c r="EPA31" s="47"/>
      <c r="EPB31" s="47"/>
      <c r="EPC31" s="47"/>
      <c r="EPD31" s="47"/>
      <c r="EPE31" s="47"/>
      <c r="EPF31" s="47"/>
      <c r="EPG31" s="47"/>
      <c r="EPH31" s="47"/>
      <c r="EPI31" s="47"/>
      <c r="EPJ31" s="47"/>
      <c r="EPK31" s="47"/>
      <c r="EPL31" s="47"/>
      <c r="EPM31" s="47"/>
      <c r="EPN31" s="47"/>
      <c r="EPO31" s="47"/>
      <c r="EPP31" s="47"/>
      <c r="EPQ31" s="47"/>
      <c r="EPR31" s="47"/>
      <c r="EPS31" s="47"/>
      <c r="EPT31" s="47"/>
      <c r="EPU31" s="47"/>
      <c r="EPV31" s="47"/>
      <c r="EPW31" s="47"/>
      <c r="EPX31" s="47"/>
      <c r="EPY31" s="47"/>
      <c r="EPZ31" s="47"/>
      <c r="EQA31" s="47"/>
      <c r="EQB31" s="47"/>
      <c r="EQC31" s="47"/>
      <c r="EQD31" s="47"/>
      <c r="EQE31" s="47"/>
      <c r="EQF31" s="47"/>
      <c r="EQG31" s="47"/>
      <c r="EQH31" s="47"/>
      <c r="EQI31" s="47"/>
      <c r="EQJ31" s="47"/>
      <c r="EQK31" s="47"/>
      <c r="EQL31" s="47"/>
      <c r="EQM31" s="47"/>
      <c r="EQN31" s="47"/>
      <c r="EQO31" s="47"/>
      <c r="EQP31" s="47"/>
      <c r="EQQ31" s="47"/>
      <c r="EQR31" s="47"/>
      <c r="EQS31" s="47"/>
      <c r="EQT31" s="47"/>
      <c r="EQU31" s="47"/>
      <c r="EQV31" s="47"/>
      <c r="EQW31" s="47"/>
      <c r="EQX31" s="47"/>
      <c r="EQY31" s="47"/>
      <c r="EQZ31" s="47"/>
      <c r="ERA31" s="47"/>
      <c r="ERB31" s="47"/>
      <c r="ERC31" s="47"/>
      <c r="ERD31" s="47"/>
      <c r="ERE31" s="47"/>
      <c r="ERF31" s="47"/>
      <c r="ERG31" s="47"/>
      <c r="ERH31" s="47"/>
      <c r="ERI31" s="47"/>
      <c r="ERJ31" s="47"/>
      <c r="ERK31" s="47"/>
      <c r="ERL31" s="47"/>
      <c r="ERM31" s="47"/>
      <c r="ERN31" s="47"/>
      <c r="ERO31" s="47"/>
      <c r="ERP31" s="47"/>
      <c r="ERQ31" s="47"/>
      <c r="ERR31" s="47"/>
      <c r="ERS31" s="47"/>
      <c r="ERT31" s="47"/>
      <c r="ERU31" s="47"/>
      <c r="ERV31" s="47"/>
      <c r="ERW31" s="47"/>
      <c r="ERX31" s="47"/>
      <c r="ERY31" s="47"/>
      <c r="ERZ31" s="47"/>
      <c r="ESA31" s="47"/>
      <c r="ESB31" s="47"/>
      <c r="ESC31" s="47"/>
      <c r="ESD31" s="47"/>
      <c r="ESE31" s="47"/>
      <c r="ESF31" s="47"/>
      <c r="ESG31" s="47"/>
      <c r="ESH31" s="47"/>
      <c r="ESI31" s="47"/>
      <c r="ESJ31" s="47"/>
      <c r="ESK31" s="47"/>
      <c r="ESL31" s="47"/>
      <c r="ESM31" s="47"/>
      <c r="ESN31" s="47"/>
      <c r="ESO31" s="47"/>
      <c r="ESP31" s="47"/>
      <c r="ESQ31" s="47"/>
      <c r="ESR31" s="47"/>
      <c r="ESS31" s="47"/>
      <c r="EST31" s="47"/>
      <c r="ESU31" s="47"/>
      <c r="ESV31" s="47"/>
      <c r="ESW31" s="47"/>
      <c r="ESX31" s="47"/>
      <c r="ESY31" s="47"/>
      <c r="ESZ31" s="47"/>
      <c r="ETA31" s="47"/>
      <c r="ETB31" s="47"/>
      <c r="ETC31" s="47"/>
      <c r="ETD31" s="47"/>
      <c r="ETE31" s="47"/>
      <c r="ETF31" s="47"/>
      <c r="ETG31" s="47"/>
      <c r="ETH31" s="47"/>
      <c r="ETI31" s="47"/>
      <c r="ETJ31" s="47"/>
      <c r="ETK31" s="47"/>
      <c r="ETL31" s="47"/>
      <c r="ETM31" s="47"/>
      <c r="ETN31" s="47"/>
      <c r="ETO31" s="47"/>
      <c r="ETP31" s="47"/>
      <c r="ETQ31" s="47"/>
      <c r="ETR31" s="47"/>
      <c r="ETS31" s="47"/>
      <c r="ETT31" s="47"/>
      <c r="ETU31" s="47"/>
      <c r="ETV31" s="47"/>
      <c r="ETW31" s="47"/>
      <c r="ETX31" s="47"/>
      <c r="ETY31" s="47"/>
      <c r="ETZ31" s="47"/>
      <c r="EUA31" s="47"/>
      <c r="EUB31" s="47"/>
      <c r="EUC31" s="47"/>
      <c r="EUD31" s="47"/>
      <c r="EUE31" s="47"/>
      <c r="EUF31" s="47"/>
      <c r="EUG31" s="47"/>
      <c r="EUH31" s="47"/>
      <c r="EUI31" s="47"/>
      <c r="EUJ31" s="47"/>
      <c r="EUK31" s="47"/>
      <c r="EUL31" s="47"/>
      <c r="EUM31" s="47"/>
      <c r="EUN31" s="47"/>
      <c r="EUO31" s="47"/>
      <c r="EUP31" s="47"/>
      <c r="EUQ31" s="47"/>
      <c r="EUR31" s="47"/>
      <c r="EUS31" s="47"/>
      <c r="EUT31" s="47"/>
      <c r="EUU31" s="47"/>
      <c r="EUV31" s="47"/>
      <c r="EUW31" s="47"/>
      <c r="EUX31" s="47"/>
      <c r="EUY31" s="47"/>
      <c r="EUZ31" s="47"/>
      <c r="EVA31" s="47"/>
      <c r="EVB31" s="47"/>
      <c r="EVC31" s="47"/>
      <c r="EVD31" s="47"/>
      <c r="EVE31" s="47"/>
      <c r="EVF31" s="47"/>
      <c r="EVG31" s="47"/>
      <c r="EVH31" s="47"/>
      <c r="EVI31" s="47"/>
      <c r="EVJ31" s="47"/>
      <c r="EVK31" s="47"/>
      <c r="EVL31" s="47"/>
      <c r="EVM31" s="47"/>
      <c r="EVN31" s="47"/>
      <c r="EVO31" s="47"/>
      <c r="EVP31" s="47"/>
      <c r="EVQ31" s="47"/>
      <c r="EVR31" s="47"/>
      <c r="EVS31" s="47"/>
      <c r="EVT31" s="47"/>
      <c r="EVU31" s="47"/>
      <c r="EVV31" s="47"/>
      <c r="EVW31" s="47"/>
      <c r="EVX31" s="47"/>
      <c r="EVY31" s="47"/>
      <c r="EVZ31" s="47"/>
      <c r="EWA31" s="47"/>
      <c r="EWB31" s="47"/>
      <c r="EWC31" s="47"/>
      <c r="EWD31" s="47"/>
      <c r="EWE31" s="47"/>
      <c r="EWF31" s="47"/>
      <c r="EWG31" s="47"/>
      <c r="EWH31" s="47"/>
      <c r="EWI31" s="47"/>
      <c r="EWJ31" s="47"/>
      <c r="EWK31" s="47"/>
      <c r="EWL31" s="47"/>
      <c r="EWM31" s="47"/>
      <c r="EWN31" s="47"/>
      <c r="EWO31" s="47"/>
      <c r="EWP31" s="47"/>
      <c r="EWQ31" s="47"/>
      <c r="EWR31" s="47"/>
      <c r="EWS31" s="47"/>
      <c r="EWT31" s="47"/>
      <c r="EWU31" s="47"/>
      <c r="EWV31" s="47"/>
      <c r="EWW31" s="47"/>
      <c r="EWX31" s="47"/>
      <c r="EWY31" s="47"/>
      <c r="EWZ31" s="47"/>
      <c r="EXA31" s="47"/>
      <c r="EXB31" s="47"/>
      <c r="EXC31" s="47"/>
      <c r="EXD31" s="47"/>
      <c r="EXE31" s="47"/>
      <c r="EXF31" s="47"/>
      <c r="EXG31" s="47"/>
      <c r="EXH31" s="47"/>
      <c r="EXI31" s="47"/>
      <c r="EXJ31" s="47"/>
      <c r="EXK31" s="47"/>
      <c r="EXL31" s="47"/>
      <c r="EXM31" s="47"/>
      <c r="EXN31" s="47"/>
      <c r="EXO31" s="47"/>
      <c r="EXP31" s="47"/>
      <c r="EXQ31" s="47"/>
      <c r="EXR31" s="47"/>
      <c r="EXS31" s="47"/>
      <c r="EXT31" s="47"/>
      <c r="EXU31" s="47"/>
      <c r="EXV31" s="47"/>
      <c r="EXW31" s="47"/>
      <c r="EXX31" s="47"/>
      <c r="EXY31" s="47"/>
      <c r="EXZ31" s="47"/>
      <c r="EYA31" s="47"/>
      <c r="EYB31" s="47"/>
      <c r="EYC31" s="47"/>
      <c r="EYD31" s="47"/>
      <c r="EYE31" s="47"/>
      <c r="EYF31" s="47"/>
      <c r="EYG31" s="47"/>
      <c r="EYH31" s="47"/>
      <c r="EYI31" s="47"/>
      <c r="EYJ31" s="47"/>
      <c r="EYK31" s="47"/>
      <c r="EYL31" s="47"/>
      <c r="EYM31" s="47"/>
      <c r="EYN31" s="47"/>
      <c r="EYO31" s="47"/>
      <c r="EYP31" s="47"/>
      <c r="EYQ31" s="47"/>
      <c r="EYR31" s="47"/>
      <c r="EYS31" s="47"/>
      <c r="EYT31" s="47"/>
      <c r="EYU31" s="47"/>
      <c r="EYV31" s="47"/>
      <c r="EYW31" s="47"/>
      <c r="EYX31" s="47"/>
      <c r="EYY31" s="47"/>
      <c r="EYZ31" s="47"/>
      <c r="EZA31" s="47"/>
      <c r="EZB31" s="47"/>
      <c r="EZC31" s="47"/>
      <c r="EZD31" s="47"/>
      <c r="EZE31" s="47"/>
      <c r="EZF31" s="47"/>
      <c r="EZG31" s="47"/>
      <c r="EZH31" s="47"/>
      <c r="EZI31" s="47"/>
      <c r="EZJ31" s="47"/>
      <c r="EZK31" s="47"/>
      <c r="EZL31" s="47"/>
      <c r="EZM31" s="47"/>
      <c r="EZN31" s="47"/>
      <c r="EZO31" s="47"/>
      <c r="EZP31" s="47"/>
      <c r="EZQ31" s="47"/>
      <c r="EZR31" s="47"/>
      <c r="EZS31" s="47"/>
      <c r="EZT31" s="47"/>
      <c r="EZU31" s="47"/>
      <c r="EZV31" s="47"/>
      <c r="EZW31" s="47"/>
      <c r="EZX31" s="47"/>
      <c r="EZY31" s="47"/>
      <c r="EZZ31" s="47"/>
      <c r="FAA31" s="47"/>
      <c r="FAB31" s="47"/>
      <c r="FAC31" s="47"/>
      <c r="FAD31" s="47"/>
      <c r="FAE31" s="47"/>
      <c r="FAF31" s="47"/>
      <c r="FAG31" s="47"/>
      <c r="FAH31" s="47"/>
      <c r="FAI31" s="47"/>
      <c r="FAJ31" s="47"/>
      <c r="FAK31" s="47"/>
      <c r="FAL31" s="47"/>
      <c r="FAM31" s="47"/>
      <c r="FAN31" s="47"/>
      <c r="FAO31" s="47"/>
      <c r="FAP31" s="47"/>
      <c r="FAQ31" s="47"/>
      <c r="FAR31" s="47"/>
      <c r="FAS31" s="47"/>
      <c r="FAT31" s="47"/>
      <c r="FAU31" s="47"/>
      <c r="FAV31" s="47"/>
      <c r="FAW31" s="47"/>
      <c r="FAX31" s="47"/>
      <c r="FAY31" s="47"/>
      <c r="FAZ31" s="47"/>
      <c r="FBA31" s="47"/>
      <c r="FBB31" s="47"/>
      <c r="FBC31" s="47"/>
      <c r="FBD31" s="47"/>
      <c r="FBE31" s="47"/>
      <c r="FBF31" s="47"/>
      <c r="FBG31" s="47"/>
      <c r="FBH31" s="47"/>
      <c r="FBI31" s="47"/>
      <c r="FBJ31" s="47"/>
      <c r="FBK31" s="47"/>
      <c r="FBL31" s="47"/>
      <c r="FBM31" s="47"/>
      <c r="FBN31" s="47"/>
      <c r="FBO31" s="47"/>
      <c r="FBP31" s="47"/>
      <c r="FBQ31" s="47"/>
      <c r="FBR31" s="47"/>
      <c r="FBS31" s="47"/>
      <c r="FBT31" s="47"/>
      <c r="FBU31" s="47"/>
      <c r="FBV31" s="47"/>
      <c r="FBW31" s="47"/>
      <c r="FBX31" s="47"/>
      <c r="FBY31" s="47"/>
      <c r="FBZ31" s="47"/>
      <c r="FCA31" s="47"/>
      <c r="FCB31" s="47"/>
      <c r="FCC31" s="47"/>
      <c r="FCD31" s="47"/>
      <c r="FCE31" s="47"/>
      <c r="FCF31" s="47"/>
      <c r="FCG31" s="47"/>
      <c r="FCH31" s="47"/>
      <c r="FCI31" s="47"/>
      <c r="FCJ31" s="47"/>
      <c r="FCK31" s="47"/>
      <c r="FCL31" s="47"/>
      <c r="FCM31" s="47"/>
      <c r="FCN31" s="47"/>
      <c r="FCO31" s="47"/>
      <c r="FCP31" s="47"/>
      <c r="FCQ31" s="47"/>
      <c r="FCR31" s="47"/>
      <c r="FCS31" s="47"/>
      <c r="FCT31" s="47"/>
      <c r="FCU31" s="47"/>
      <c r="FCV31" s="47"/>
      <c r="FCW31" s="47"/>
      <c r="FCX31" s="47"/>
      <c r="FCY31" s="47"/>
      <c r="FCZ31" s="47"/>
      <c r="FDA31" s="47"/>
      <c r="FDB31" s="47"/>
      <c r="FDC31" s="47"/>
      <c r="FDD31" s="47"/>
      <c r="FDE31" s="47"/>
      <c r="FDF31" s="47"/>
      <c r="FDG31" s="47"/>
      <c r="FDH31" s="47"/>
      <c r="FDI31" s="47"/>
      <c r="FDJ31" s="47"/>
      <c r="FDK31" s="47"/>
      <c r="FDL31" s="47"/>
      <c r="FDM31" s="47"/>
      <c r="FDN31" s="47"/>
      <c r="FDO31" s="47"/>
      <c r="FDP31" s="47"/>
      <c r="FDQ31" s="47"/>
      <c r="FDR31" s="47"/>
      <c r="FDS31" s="47"/>
      <c r="FDT31" s="47"/>
      <c r="FDU31" s="47"/>
      <c r="FDV31" s="47"/>
      <c r="FDW31" s="47"/>
      <c r="FDX31" s="47"/>
      <c r="FDY31" s="47"/>
      <c r="FDZ31" s="47"/>
      <c r="FEA31" s="47"/>
      <c r="FEB31" s="47"/>
      <c r="FEC31" s="47"/>
      <c r="FED31" s="47"/>
      <c r="FEE31" s="47"/>
      <c r="FEF31" s="47"/>
      <c r="FEG31" s="47"/>
      <c r="FEH31" s="47"/>
      <c r="FEI31" s="47"/>
      <c r="FEJ31" s="47"/>
      <c r="FEK31" s="47"/>
      <c r="FEL31" s="47"/>
      <c r="FEM31" s="47"/>
      <c r="FEN31" s="47"/>
      <c r="FEO31" s="47"/>
      <c r="FEP31" s="47"/>
      <c r="FEQ31" s="47"/>
      <c r="FER31" s="47"/>
      <c r="FES31" s="47"/>
      <c r="FET31" s="47"/>
      <c r="FEU31" s="47"/>
      <c r="FEV31" s="47"/>
      <c r="FEW31" s="47"/>
      <c r="FEX31" s="47"/>
      <c r="FEY31" s="47"/>
      <c r="FEZ31" s="47"/>
      <c r="FFA31" s="47"/>
      <c r="FFB31" s="47"/>
      <c r="FFC31" s="47"/>
      <c r="FFD31" s="47"/>
      <c r="FFE31" s="47"/>
      <c r="FFF31" s="47"/>
      <c r="FFG31" s="47"/>
      <c r="FFH31" s="47"/>
      <c r="FFI31" s="47"/>
      <c r="FFJ31" s="47"/>
      <c r="FFK31" s="47"/>
      <c r="FFL31" s="47"/>
      <c r="FFM31" s="47"/>
      <c r="FFN31" s="47"/>
      <c r="FFO31" s="47"/>
      <c r="FFP31" s="47"/>
      <c r="FFQ31" s="47"/>
      <c r="FFR31" s="47"/>
      <c r="FFS31" s="47"/>
      <c r="FFT31" s="47"/>
      <c r="FFU31" s="47"/>
      <c r="FFV31" s="47"/>
      <c r="FFW31" s="47"/>
      <c r="FFX31" s="47"/>
      <c r="FFY31" s="47"/>
      <c r="FFZ31" s="47"/>
      <c r="FGA31" s="47"/>
      <c r="FGB31" s="47"/>
      <c r="FGC31" s="47"/>
      <c r="FGD31" s="47"/>
      <c r="FGE31" s="47"/>
      <c r="FGF31" s="47"/>
      <c r="FGG31" s="47"/>
      <c r="FGH31" s="47"/>
      <c r="FGI31" s="47"/>
      <c r="FGJ31" s="47"/>
      <c r="FGK31" s="47"/>
      <c r="FGL31" s="47"/>
      <c r="FGM31" s="47"/>
      <c r="FGN31" s="47"/>
      <c r="FGO31" s="47"/>
      <c r="FGP31" s="47"/>
      <c r="FGQ31" s="47"/>
      <c r="FGR31" s="47"/>
      <c r="FGS31" s="47"/>
      <c r="FGT31" s="47"/>
      <c r="FGU31" s="47"/>
      <c r="FGV31" s="47"/>
      <c r="FGW31" s="47"/>
      <c r="FGX31" s="47"/>
      <c r="FGY31" s="47"/>
      <c r="FGZ31" s="47"/>
      <c r="FHA31" s="47"/>
      <c r="FHB31" s="47"/>
      <c r="FHC31" s="47"/>
      <c r="FHD31" s="47"/>
      <c r="FHE31" s="47"/>
      <c r="FHF31" s="47"/>
      <c r="FHG31" s="47"/>
      <c r="FHH31" s="47"/>
      <c r="FHI31" s="47"/>
      <c r="FHJ31" s="47"/>
      <c r="FHK31" s="47"/>
      <c r="FHL31" s="47"/>
      <c r="FHM31" s="47"/>
      <c r="FHN31" s="47"/>
      <c r="FHO31" s="47"/>
      <c r="FHP31" s="47"/>
      <c r="FHQ31" s="47"/>
      <c r="FHR31" s="47"/>
      <c r="FHS31" s="47"/>
      <c r="FHT31" s="47"/>
      <c r="FHU31" s="47"/>
      <c r="FHV31" s="47"/>
      <c r="FHW31" s="47"/>
      <c r="FHX31" s="47"/>
      <c r="FHY31" s="47"/>
      <c r="FHZ31" s="47"/>
      <c r="FIA31" s="47"/>
      <c r="FIB31" s="47"/>
      <c r="FIC31" s="47"/>
      <c r="FID31" s="47"/>
      <c r="FIE31" s="47"/>
      <c r="FIF31" s="47"/>
      <c r="FIG31" s="47"/>
      <c r="FIH31" s="47"/>
      <c r="FII31" s="47"/>
      <c r="FIJ31" s="47"/>
      <c r="FIK31" s="47"/>
      <c r="FIL31" s="47"/>
      <c r="FIM31" s="47"/>
      <c r="FIN31" s="47"/>
      <c r="FIO31" s="47"/>
      <c r="FIP31" s="47"/>
      <c r="FIQ31" s="47"/>
      <c r="FIR31" s="47"/>
      <c r="FIS31" s="47"/>
      <c r="FIT31" s="47"/>
      <c r="FIU31" s="47"/>
      <c r="FIV31" s="47"/>
      <c r="FIW31" s="47"/>
      <c r="FIX31" s="47"/>
      <c r="FIY31" s="47"/>
      <c r="FIZ31" s="47"/>
      <c r="FJA31" s="47"/>
      <c r="FJB31" s="47"/>
      <c r="FJC31" s="47"/>
      <c r="FJD31" s="47"/>
      <c r="FJE31" s="47"/>
      <c r="FJF31" s="47"/>
      <c r="FJG31" s="47"/>
      <c r="FJH31" s="47"/>
      <c r="FJI31" s="47"/>
      <c r="FJJ31" s="47"/>
      <c r="FJK31" s="47"/>
      <c r="FJL31" s="47"/>
      <c r="FJM31" s="47"/>
      <c r="FJN31" s="47"/>
      <c r="FJO31" s="47"/>
      <c r="FJP31" s="47"/>
      <c r="FJQ31" s="47"/>
      <c r="FJR31" s="47"/>
      <c r="FJS31" s="47"/>
      <c r="FJT31" s="47"/>
      <c r="FJU31" s="47"/>
      <c r="FJV31" s="47"/>
      <c r="FJW31" s="47"/>
      <c r="FJX31" s="47"/>
      <c r="FJY31" s="47"/>
      <c r="FJZ31" s="47"/>
      <c r="FKA31" s="47"/>
      <c r="FKB31" s="47"/>
      <c r="FKC31" s="47"/>
      <c r="FKD31" s="47"/>
      <c r="FKE31" s="47"/>
      <c r="FKF31" s="47"/>
      <c r="FKG31" s="47"/>
      <c r="FKH31" s="47"/>
      <c r="FKI31" s="47"/>
      <c r="FKJ31" s="47"/>
      <c r="FKK31" s="47"/>
      <c r="FKL31" s="47"/>
      <c r="FKM31" s="47"/>
      <c r="FKN31" s="47"/>
      <c r="FKO31" s="47"/>
      <c r="FKP31" s="47"/>
      <c r="FKQ31" s="47"/>
      <c r="FKR31" s="47"/>
      <c r="FKS31" s="47"/>
      <c r="FKT31" s="47"/>
      <c r="FKU31" s="47"/>
      <c r="FKV31" s="47"/>
      <c r="FKW31" s="47"/>
      <c r="FKX31" s="47"/>
      <c r="FKY31" s="47"/>
      <c r="FKZ31" s="47"/>
      <c r="FLA31" s="47"/>
      <c r="FLB31" s="47"/>
      <c r="FLC31" s="47"/>
      <c r="FLD31" s="47"/>
      <c r="FLE31" s="47"/>
      <c r="FLF31" s="47"/>
      <c r="FLG31" s="47"/>
      <c r="FLH31" s="47"/>
      <c r="FLI31" s="47"/>
      <c r="FLJ31" s="47"/>
      <c r="FLK31" s="47"/>
      <c r="FLL31" s="47"/>
      <c r="FLM31" s="47"/>
      <c r="FLN31" s="47"/>
      <c r="FLO31" s="47"/>
      <c r="FLP31" s="47"/>
      <c r="FLQ31" s="47"/>
      <c r="FLR31" s="47"/>
      <c r="FLS31" s="47"/>
      <c r="FLT31" s="47"/>
      <c r="FLU31" s="47"/>
      <c r="FLV31" s="47"/>
      <c r="FLW31" s="47"/>
      <c r="FLX31" s="47"/>
      <c r="FLY31" s="47"/>
      <c r="FLZ31" s="47"/>
      <c r="FMA31" s="47"/>
      <c r="FMB31" s="47"/>
      <c r="FMC31" s="47"/>
      <c r="FMD31" s="47"/>
      <c r="FME31" s="47"/>
      <c r="FMF31" s="47"/>
      <c r="FMG31" s="47"/>
      <c r="FMH31" s="47"/>
      <c r="FMI31" s="47"/>
      <c r="FMJ31" s="47"/>
      <c r="FMK31" s="47"/>
      <c r="FML31" s="47"/>
      <c r="FMM31" s="47"/>
      <c r="FMN31" s="47"/>
      <c r="FMO31" s="47"/>
      <c r="FMP31" s="47"/>
      <c r="FMQ31" s="47"/>
      <c r="FMR31" s="47"/>
      <c r="FMS31" s="47"/>
      <c r="FMT31" s="47"/>
      <c r="FMU31" s="47"/>
      <c r="FMV31" s="47"/>
      <c r="FMW31" s="47"/>
      <c r="FMX31" s="47"/>
      <c r="FMY31" s="47"/>
      <c r="FMZ31" s="47"/>
      <c r="FNA31" s="47"/>
      <c r="FNB31" s="47"/>
      <c r="FNC31" s="47"/>
      <c r="FND31" s="47"/>
      <c r="FNE31" s="47"/>
      <c r="FNF31" s="47"/>
      <c r="FNG31" s="47"/>
      <c r="FNH31" s="47"/>
      <c r="FNI31" s="47"/>
      <c r="FNJ31" s="47"/>
      <c r="FNK31" s="47"/>
      <c r="FNL31" s="47"/>
      <c r="FNM31" s="47"/>
      <c r="FNN31" s="47"/>
      <c r="FNO31" s="47"/>
      <c r="FNP31" s="47"/>
      <c r="FNQ31" s="47"/>
      <c r="FNR31" s="47"/>
      <c r="FNS31" s="47"/>
      <c r="FNT31" s="47"/>
      <c r="FNU31" s="47"/>
      <c r="FNV31" s="47"/>
      <c r="FNW31" s="47"/>
      <c r="FNX31" s="47"/>
      <c r="FNY31" s="47"/>
      <c r="FNZ31" s="47"/>
      <c r="FOA31" s="47"/>
      <c r="FOB31" s="47"/>
      <c r="FOC31" s="47"/>
      <c r="FOD31" s="47"/>
      <c r="FOE31" s="47"/>
      <c r="FOF31" s="47"/>
      <c r="FOG31" s="47"/>
      <c r="FOH31" s="47"/>
      <c r="FOI31" s="47"/>
      <c r="FOJ31" s="47"/>
      <c r="FOK31" s="47"/>
      <c r="FOL31" s="47"/>
      <c r="FOM31" s="47"/>
      <c r="FON31" s="47"/>
      <c r="FOO31" s="47"/>
      <c r="FOP31" s="47"/>
      <c r="FOQ31" s="47"/>
      <c r="FOR31" s="47"/>
      <c r="FOS31" s="47"/>
      <c r="FOT31" s="47"/>
      <c r="FOU31" s="47"/>
      <c r="FOV31" s="47"/>
      <c r="FOW31" s="47"/>
      <c r="FOX31" s="47"/>
      <c r="FOY31" s="47"/>
      <c r="FOZ31" s="47"/>
      <c r="FPA31" s="47"/>
      <c r="FPB31" s="47"/>
      <c r="FPC31" s="47"/>
      <c r="FPD31" s="47"/>
      <c r="FPE31" s="47"/>
      <c r="FPF31" s="47"/>
      <c r="FPG31" s="47"/>
      <c r="FPH31" s="47"/>
      <c r="FPI31" s="47"/>
      <c r="FPJ31" s="47"/>
      <c r="FPK31" s="47"/>
      <c r="FPL31" s="47"/>
      <c r="FPM31" s="47"/>
      <c r="FPN31" s="47"/>
      <c r="FPO31" s="47"/>
      <c r="FPP31" s="47"/>
      <c r="FPQ31" s="47"/>
      <c r="FPR31" s="47"/>
      <c r="FPS31" s="47"/>
      <c r="FPT31" s="47"/>
      <c r="FPU31" s="47"/>
      <c r="FPV31" s="47"/>
      <c r="FPW31" s="47"/>
      <c r="FPX31" s="47"/>
      <c r="FPY31" s="47"/>
      <c r="FPZ31" s="47"/>
      <c r="FQA31" s="47"/>
      <c r="FQB31" s="47"/>
      <c r="FQC31" s="47"/>
      <c r="FQD31" s="47"/>
      <c r="FQE31" s="47"/>
      <c r="FQF31" s="47"/>
      <c r="FQG31" s="47"/>
      <c r="FQH31" s="47"/>
      <c r="FQI31" s="47"/>
      <c r="FQJ31" s="47"/>
      <c r="FQK31" s="47"/>
      <c r="FQL31" s="47"/>
      <c r="FQM31" s="47"/>
      <c r="FQN31" s="47"/>
      <c r="FQO31" s="47"/>
      <c r="FQP31" s="47"/>
      <c r="FQQ31" s="47"/>
      <c r="FQR31" s="47"/>
      <c r="FQS31" s="47"/>
      <c r="FQT31" s="47"/>
      <c r="FQU31" s="47"/>
      <c r="FQV31" s="47"/>
      <c r="FQW31" s="47"/>
      <c r="FQX31" s="47"/>
      <c r="FQY31" s="47"/>
      <c r="FQZ31" s="47"/>
      <c r="FRA31" s="47"/>
      <c r="FRB31" s="47"/>
      <c r="FRC31" s="47"/>
      <c r="FRD31" s="47"/>
      <c r="FRE31" s="47"/>
      <c r="FRF31" s="47"/>
      <c r="FRG31" s="47"/>
      <c r="FRH31" s="47"/>
      <c r="FRI31" s="47"/>
      <c r="FRJ31" s="47"/>
      <c r="FRK31" s="47"/>
      <c r="FRL31" s="47"/>
      <c r="FRM31" s="47"/>
      <c r="FRN31" s="47"/>
      <c r="FRO31" s="47"/>
      <c r="FRP31" s="47"/>
      <c r="FRQ31" s="47"/>
      <c r="FRR31" s="47"/>
      <c r="FRS31" s="47"/>
      <c r="FRT31" s="47"/>
      <c r="FRU31" s="47"/>
      <c r="FRV31" s="47"/>
      <c r="FRW31" s="47"/>
      <c r="FRX31" s="47"/>
      <c r="FRY31" s="47"/>
      <c r="FRZ31" s="47"/>
      <c r="FSA31" s="47"/>
      <c r="FSB31" s="47"/>
      <c r="FSC31" s="47"/>
      <c r="FSD31" s="47"/>
      <c r="FSE31" s="47"/>
      <c r="FSF31" s="47"/>
      <c r="FSG31" s="47"/>
      <c r="FSH31" s="47"/>
      <c r="FSI31" s="47"/>
      <c r="FSJ31" s="47"/>
      <c r="FSK31" s="47"/>
      <c r="FSL31" s="47"/>
      <c r="FSM31" s="47"/>
      <c r="FSN31" s="47"/>
      <c r="FSO31" s="47"/>
      <c r="FSP31" s="47"/>
      <c r="FSQ31" s="47"/>
      <c r="FSR31" s="47"/>
      <c r="FSS31" s="47"/>
      <c r="FST31" s="47"/>
      <c r="FSU31" s="47"/>
      <c r="FSV31" s="47"/>
      <c r="FSW31" s="47"/>
      <c r="FSX31" s="47"/>
      <c r="FSY31" s="47"/>
      <c r="FSZ31" s="47"/>
      <c r="FTA31" s="47"/>
      <c r="FTB31" s="47"/>
      <c r="FTC31" s="47"/>
      <c r="FTD31" s="47"/>
      <c r="FTE31" s="47"/>
      <c r="FTF31" s="47"/>
      <c r="FTG31" s="47"/>
      <c r="FTH31" s="47"/>
      <c r="FTI31" s="47"/>
      <c r="FTJ31" s="47"/>
      <c r="FTK31" s="47"/>
      <c r="FTL31" s="47"/>
      <c r="FTM31" s="47"/>
      <c r="FTN31" s="47"/>
      <c r="FTO31" s="47"/>
      <c r="FTP31" s="47"/>
      <c r="FTQ31" s="47"/>
      <c r="FTR31" s="47"/>
      <c r="FTS31" s="47"/>
      <c r="FTT31" s="47"/>
      <c r="FTU31" s="47"/>
      <c r="FTV31" s="47"/>
      <c r="FTW31" s="47"/>
      <c r="FTX31" s="47"/>
      <c r="FTY31" s="47"/>
      <c r="FTZ31" s="47"/>
      <c r="FUA31" s="47"/>
      <c r="FUB31" s="47"/>
      <c r="FUC31" s="47"/>
      <c r="FUD31" s="47"/>
      <c r="FUE31" s="47"/>
      <c r="FUF31" s="47"/>
      <c r="FUG31" s="47"/>
      <c r="FUH31" s="47"/>
      <c r="FUI31" s="47"/>
      <c r="FUJ31" s="47"/>
      <c r="FUK31" s="47"/>
      <c r="FUL31" s="47"/>
      <c r="FUM31" s="47"/>
      <c r="FUN31" s="47"/>
      <c r="FUO31" s="47"/>
      <c r="FUP31" s="47"/>
      <c r="FUQ31" s="47"/>
      <c r="FUR31" s="47"/>
      <c r="FUS31" s="47"/>
      <c r="FUT31" s="47"/>
      <c r="FUU31" s="47"/>
      <c r="FUV31" s="47"/>
      <c r="FUW31" s="47"/>
      <c r="FUX31" s="47"/>
      <c r="FUY31" s="47"/>
      <c r="FUZ31" s="47"/>
      <c r="FVA31" s="47"/>
      <c r="FVB31" s="47"/>
      <c r="FVC31" s="47"/>
      <c r="FVD31" s="47"/>
      <c r="FVE31" s="47"/>
      <c r="FVF31" s="47"/>
      <c r="FVG31" s="47"/>
      <c r="FVH31" s="47"/>
      <c r="FVI31" s="47"/>
      <c r="FVJ31" s="47"/>
      <c r="FVK31" s="47"/>
      <c r="FVL31" s="47"/>
      <c r="FVM31" s="47"/>
      <c r="FVN31" s="47"/>
      <c r="FVO31" s="47"/>
      <c r="FVP31" s="47"/>
      <c r="FVQ31" s="47"/>
      <c r="FVR31" s="47"/>
      <c r="FVS31" s="47"/>
      <c r="FVT31" s="47"/>
      <c r="FVU31" s="47"/>
      <c r="FVV31" s="47"/>
      <c r="FVW31" s="47"/>
      <c r="FVX31" s="47"/>
      <c r="FVY31" s="47"/>
      <c r="FVZ31" s="47"/>
      <c r="FWA31" s="47"/>
      <c r="FWB31" s="47"/>
      <c r="FWC31" s="47"/>
      <c r="FWD31" s="47"/>
      <c r="FWE31" s="47"/>
      <c r="FWF31" s="47"/>
      <c r="FWG31" s="47"/>
      <c r="FWH31" s="47"/>
      <c r="FWI31" s="47"/>
      <c r="FWJ31" s="47"/>
      <c r="FWK31" s="47"/>
      <c r="FWL31" s="47"/>
      <c r="FWM31" s="47"/>
      <c r="FWN31" s="47"/>
      <c r="FWO31" s="47"/>
      <c r="FWP31" s="47"/>
      <c r="FWQ31" s="47"/>
      <c r="FWR31" s="47"/>
      <c r="FWS31" s="47"/>
      <c r="FWT31" s="47"/>
      <c r="FWU31" s="47"/>
      <c r="FWV31" s="47"/>
      <c r="FWW31" s="47"/>
      <c r="FWX31" s="47"/>
      <c r="FWY31" s="47"/>
      <c r="FWZ31" s="47"/>
      <c r="FXA31" s="47"/>
      <c r="FXB31" s="47"/>
      <c r="FXC31" s="47"/>
      <c r="FXD31" s="47"/>
      <c r="FXE31" s="47"/>
      <c r="FXF31" s="47"/>
      <c r="FXG31" s="47"/>
      <c r="FXH31" s="47"/>
      <c r="FXI31" s="47"/>
      <c r="FXJ31" s="47"/>
      <c r="FXK31" s="47"/>
      <c r="FXL31" s="47"/>
      <c r="FXM31" s="47"/>
      <c r="FXN31" s="47"/>
      <c r="FXO31" s="47"/>
      <c r="FXP31" s="47"/>
      <c r="FXQ31" s="47"/>
      <c r="FXR31" s="47"/>
      <c r="FXS31" s="47"/>
      <c r="FXT31" s="47"/>
      <c r="FXU31" s="47"/>
      <c r="FXV31" s="47"/>
      <c r="FXW31" s="47"/>
      <c r="FXX31" s="47"/>
      <c r="FXY31" s="47"/>
      <c r="FXZ31" s="47"/>
      <c r="FYA31" s="47"/>
      <c r="FYB31" s="47"/>
      <c r="FYC31" s="47"/>
      <c r="FYD31" s="47"/>
      <c r="FYE31" s="47"/>
      <c r="FYF31" s="47"/>
      <c r="FYG31" s="47"/>
      <c r="FYH31" s="47"/>
      <c r="FYI31" s="47"/>
      <c r="FYJ31" s="47"/>
      <c r="FYK31" s="47"/>
      <c r="FYL31" s="47"/>
      <c r="FYM31" s="47"/>
      <c r="FYN31" s="47"/>
      <c r="FYO31" s="47"/>
      <c r="FYP31" s="47"/>
      <c r="FYQ31" s="47"/>
      <c r="FYR31" s="47"/>
      <c r="FYS31" s="47"/>
      <c r="FYT31" s="47"/>
      <c r="FYU31" s="47"/>
      <c r="FYV31" s="47"/>
      <c r="FYW31" s="47"/>
      <c r="FYX31" s="47"/>
      <c r="FYY31" s="47"/>
      <c r="FYZ31" s="47"/>
      <c r="FZA31" s="47"/>
      <c r="FZB31" s="47"/>
      <c r="FZC31" s="47"/>
      <c r="FZD31" s="47"/>
      <c r="FZE31" s="47"/>
      <c r="FZF31" s="47"/>
      <c r="FZG31" s="47"/>
      <c r="FZH31" s="47"/>
      <c r="FZI31" s="47"/>
      <c r="FZJ31" s="47"/>
      <c r="FZK31" s="47"/>
      <c r="FZL31" s="47"/>
      <c r="FZM31" s="47"/>
      <c r="FZN31" s="47"/>
      <c r="FZO31" s="47"/>
      <c r="FZP31" s="47"/>
      <c r="FZQ31" s="47"/>
      <c r="FZR31" s="47"/>
      <c r="FZS31" s="47"/>
      <c r="FZT31" s="47"/>
      <c r="FZU31" s="47"/>
      <c r="FZV31" s="47"/>
      <c r="FZW31" s="47"/>
      <c r="FZX31" s="47"/>
      <c r="FZY31" s="47"/>
      <c r="FZZ31" s="47"/>
      <c r="GAA31" s="47"/>
      <c r="GAB31" s="47"/>
      <c r="GAC31" s="47"/>
      <c r="GAD31" s="47"/>
      <c r="GAE31" s="47"/>
      <c r="GAF31" s="47"/>
      <c r="GAG31" s="47"/>
      <c r="GAH31" s="47"/>
      <c r="GAI31" s="47"/>
      <c r="GAJ31" s="47"/>
      <c r="GAK31" s="47"/>
      <c r="GAL31" s="47"/>
      <c r="GAM31" s="47"/>
      <c r="GAN31" s="47"/>
      <c r="GAO31" s="47"/>
      <c r="GAP31" s="47"/>
      <c r="GAQ31" s="47"/>
      <c r="GAR31" s="47"/>
      <c r="GAS31" s="47"/>
      <c r="GAT31" s="47"/>
      <c r="GAU31" s="47"/>
      <c r="GAV31" s="47"/>
      <c r="GAW31" s="47"/>
      <c r="GAX31" s="47"/>
      <c r="GAY31" s="47"/>
      <c r="GAZ31" s="47"/>
      <c r="GBA31" s="47"/>
      <c r="GBB31" s="47"/>
      <c r="GBC31" s="47"/>
      <c r="GBD31" s="47"/>
      <c r="GBE31" s="47"/>
      <c r="GBF31" s="47"/>
      <c r="GBG31" s="47"/>
      <c r="GBH31" s="47"/>
      <c r="GBI31" s="47"/>
      <c r="GBJ31" s="47"/>
      <c r="GBK31" s="47"/>
      <c r="GBL31" s="47"/>
      <c r="GBM31" s="47"/>
      <c r="GBN31" s="47"/>
      <c r="GBO31" s="47"/>
      <c r="GBP31" s="47"/>
      <c r="GBQ31" s="47"/>
      <c r="GBR31" s="47"/>
      <c r="GBS31" s="47"/>
      <c r="GBT31" s="47"/>
      <c r="GBU31" s="47"/>
      <c r="GBV31" s="47"/>
      <c r="GBW31" s="47"/>
      <c r="GBX31" s="47"/>
      <c r="GBY31" s="47"/>
      <c r="GBZ31" s="47"/>
      <c r="GCA31" s="47"/>
      <c r="GCB31" s="47"/>
      <c r="GCC31" s="47"/>
      <c r="GCD31" s="47"/>
      <c r="GCE31" s="47"/>
      <c r="GCF31" s="47"/>
      <c r="GCG31" s="47"/>
      <c r="GCH31" s="47"/>
      <c r="GCI31" s="47"/>
      <c r="GCJ31" s="47"/>
      <c r="GCK31" s="47"/>
      <c r="GCL31" s="47"/>
      <c r="GCM31" s="47"/>
      <c r="GCN31" s="47"/>
      <c r="GCO31" s="47"/>
      <c r="GCP31" s="47"/>
      <c r="GCQ31" s="47"/>
      <c r="GCR31" s="47"/>
      <c r="GCS31" s="47"/>
      <c r="GCT31" s="47"/>
      <c r="GCU31" s="47"/>
      <c r="GCV31" s="47"/>
      <c r="GCW31" s="47"/>
      <c r="GCX31" s="47"/>
      <c r="GCY31" s="47"/>
      <c r="GCZ31" s="47"/>
      <c r="GDA31" s="47"/>
      <c r="GDB31" s="47"/>
      <c r="GDC31" s="47"/>
      <c r="GDD31" s="47"/>
      <c r="GDE31" s="47"/>
      <c r="GDF31" s="47"/>
      <c r="GDG31" s="47"/>
      <c r="GDH31" s="47"/>
      <c r="GDI31" s="47"/>
      <c r="GDJ31" s="47"/>
      <c r="GDK31" s="47"/>
      <c r="GDL31" s="47"/>
      <c r="GDM31" s="47"/>
      <c r="GDN31" s="47"/>
      <c r="GDO31" s="47"/>
      <c r="GDP31" s="47"/>
      <c r="GDQ31" s="47"/>
      <c r="GDR31" s="47"/>
      <c r="GDS31" s="47"/>
      <c r="GDT31" s="47"/>
      <c r="GDU31" s="47"/>
      <c r="GDV31" s="47"/>
      <c r="GDW31" s="47"/>
      <c r="GDX31" s="47"/>
      <c r="GDY31" s="47"/>
      <c r="GDZ31" s="47"/>
      <c r="GEA31" s="47"/>
      <c r="GEB31" s="47"/>
      <c r="GEC31" s="47"/>
      <c r="GED31" s="47"/>
      <c r="GEE31" s="47"/>
      <c r="GEF31" s="47"/>
      <c r="GEG31" s="47"/>
      <c r="GEH31" s="47"/>
      <c r="GEI31" s="47"/>
      <c r="GEJ31" s="47"/>
      <c r="GEK31" s="47"/>
      <c r="GEL31" s="47"/>
      <c r="GEM31" s="47"/>
      <c r="GEN31" s="47"/>
      <c r="GEO31" s="47"/>
      <c r="GEP31" s="47"/>
      <c r="GEQ31" s="47"/>
      <c r="GER31" s="47"/>
      <c r="GES31" s="47"/>
      <c r="GET31" s="47"/>
      <c r="GEU31" s="47"/>
      <c r="GEV31" s="47"/>
      <c r="GEW31" s="47"/>
      <c r="GEX31" s="47"/>
      <c r="GEY31" s="47"/>
      <c r="GEZ31" s="47"/>
      <c r="GFA31" s="47"/>
      <c r="GFB31" s="47"/>
      <c r="GFC31" s="47"/>
      <c r="GFD31" s="47"/>
      <c r="GFE31" s="47"/>
      <c r="GFF31" s="47"/>
      <c r="GFG31" s="47"/>
      <c r="GFH31" s="47"/>
      <c r="GFI31" s="47"/>
      <c r="GFJ31" s="47"/>
      <c r="GFK31" s="47"/>
      <c r="GFL31" s="47"/>
      <c r="GFM31" s="47"/>
      <c r="GFN31" s="47"/>
      <c r="GFO31" s="47"/>
      <c r="GFP31" s="47"/>
      <c r="GFQ31" s="47"/>
      <c r="GFR31" s="47"/>
      <c r="GFS31" s="47"/>
      <c r="GFT31" s="47"/>
      <c r="GFU31" s="47"/>
      <c r="GFV31" s="47"/>
      <c r="GFW31" s="47"/>
      <c r="GFX31" s="47"/>
      <c r="GFY31" s="47"/>
      <c r="GFZ31" s="47"/>
      <c r="GGA31" s="47"/>
      <c r="GGB31" s="47"/>
      <c r="GGC31" s="47"/>
      <c r="GGD31" s="47"/>
      <c r="GGE31" s="47"/>
      <c r="GGF31" s="47"/>
      <c r="GGG31" s="47"/>
      <c r="GGH31" s="47"/>
      <c r="GGI31" s="47"/>
      <c r="GGJ31" s="47"/>
      <c r="GGK31" s="47"/>
      <c r="GGL31" s="47"/>
      <c r="GGM31" s="47"/>
      <c r="GGN31" s="47"/>
      <c r="GGO31" s="47"/>
      <c r="GGP31" s="47"/>
      <c r="GGQ31" s="47"/>
      <c r="GGR31" s="47"/>
      <c r="GGS31" s="47"/>
      <c r="GGT31" s="47"/>
      <c r="GGU31" s="47"/>
      <c r="GGV31" s="47"/>
      <c r="GGW31" s="47"/>
      <c r="GGX31" s="47"/>
      <c r="GGY31" s="47"/>
      <c r="GGZ31" s="47"/>
      <c r="GHA31" s="47"/>
      <c r="GHB31" s="47"/>
      <c r="GHC31" s="47"/>
      <c r="GHD31" s="47"/>
      <c r="GHE31" s="47"/>
      <c r="GHF31" s="47"/>
      <c r="GHG31" s="47"/>
      <c r="GHH31" s="47"/>
      <c r="GHI31" s="47"/>
      <c r="GHJ31" s="47"/>
      <c r="GHK31" s="47"/>
      <c r="GHL31" s="47"/>
      <c r="GHM31" s="47"/>
      <c r="GHN31" s="47"/>
      <c r="GHO31" s="47"/>
      <c r="GHP31" s="47"/>
      <c r="GHQ31" s="47"/>
      <c r="GHR31" s="47"/>
      <c r="GHS31" s="47"/>
      <c r="GHT31" s="47"/>
      <c r="GHU31" s="47"/>
      <c r="GHV31" s="47"/>
      <c r="GHW31" s="47"/>
      <c r="GHX31" s="47"/>
      <c r="GHY31" s="47"/>
      <c r="GHZ31" s="47"/>
      <c r="GIA31" s="47"/>
      <c r="GIB31" s="47"/>
      <c r="GIC31" s="47"/>
      <c r="GID31" s="47"/>
      <c r="GIE31" s="47"/>
      <c r="GIF31" s="47"/>
      <c r="GIG31" s="47"/>
      <c r="GIH31" s="47"/>
      <c r="GII31" s="47"/>
      <c r="GIJ31" s="47"/>
      <c r="GIK31" s="47"/>
      <c r="GIL31" s="47"/>
      <c r="GIM31" s="47"/>
      <c r="GIN31" s="47"/>
      <c r="GIO31" s="47"/>
      <c r="GIP31" s="47"/>
      <c r="GIQ31" s="47"/>
      <c r="GIR31" s="47"/>
      <c r="GIS31" s="47"/>
      <c r="GIT31" s="47"/>
      <c r="GIU31" s="47"/>
      <c r="GIV31" s="47"/>
      <c r="GIW31" s="47"/>
      <c r="GIX31" s="47"/>
      <c r="GIY31" s="47"/>
      <c r="GIZ31" s="47"/>
      <c r="GJA31" s="47"/>
      <c r="GJB31" s="47"/>
      <c r="GJC31" s="47"/>
      <c r="GJD31" s="47"/>
      <c r="GJE31" s="47"/>
      <c r="GJF31" s="47"/>
      <c r="GJG31" s="47"/>
      <c r="GJH31" s="47"/>
      <c r="GJI31" s="47"/>
      <c r="GJJ31" s="47"/>
      <c r="GJK31" s="47"/>
      <c r="GJL31" s="47"/>
      <c r="GJM31" s="47"/>
      <c r="GJN31" s="47"/>
      <c r="GJO31" s="47"/>
      <c r="GJP31" s="47"/>
      <c r="GJQ31" s="47"/>
      <c r="GJR31" s="47"/>
      <c r="GJS31" s="47"/>
      <c r="GJT31" s="47"/>
      <c r="GJU31" s="47"/>
      <c r="GJV31" s="47"/>
      <c r="GJW31" s="47"/>
      <c r="GJX31" s="47"/>
      <c r="GJY31" s="47"/>
      <c r="GJZ31" s="47"/>
      <c r="GKA31" s="47"/>
      <c r="GKB31" s="47"/>
      <c r="GKC31" s="47"/>
      <c r="GKD31" s="47"/>
      <c r="GKE31" s="47"/>
      <c r="GKF31" s="47"/>
      <c r="GKG31" s="47"/>
      <c r="GKH31" s="47"/>
      <c r="GKI31" s="47"/>
      <c r="GKJ31" s="47"/>
      <c r="GKK31" s="47"/>
      <c r="GKL31" s="47"/>
      <c r="GKM31" s="47"/>
      <c r="GKN31" s="47"/>
      <c r="GKO31" s="47"/>
      <c r="GKP31" s="47"/>
      <c r="GKQ31" s="47"/>
      <c r="GKR31" s="47"/>
      <c r="GKS31" s="47"/>
      <c r="GKT31" s="47"/>
      <c r="GKU31" s="47"/>
      <c r="GKV31" s="47"/>
      <c r="GKW31" s="47"/>
      <c r="GKX31" s="47"/>
      <c r="GKY31" s="47"/>
      <c r="GKZ31" s="47"/>
      <c r="GLA31" s="47"/>
      <c r="GLB31" s="47"/>
      <c r="GLC31" s="47"/>
      <c r="GLD31" s="47"/>
      <c r="GLE31" s="47"/>
      <c r="GLF31" s="47"/>
      <c r="GLG31" s="47"/>
      <c r="GLH31" s="47"/>
      <c r="GLI31" s="47"/>
      <c r="GLJ31" s="47"/>
      <c r="GLK31" s="47"/>
      <c r="GLL31" s="47"/>
      <c r="GLM31" s="47"/>
      <c r="GLN31" s="47"/>
      <c r="GLO31" s="47"/>
      <c r="GLP31" s="47"/>
      <c r="GLQ31" s="47"/>
      <c r="GLR31" s="47"/>
      <c r="GLS31" s="47"/>
      <c r="GLT31" s="47"/>
      <c r="GLU31" s="47"/>
      <c r="GLV31" s="47"/>
      <c r="GLW31" s="47"/>
      <c r="GLX31" s="47"/>
      <c r="GLY31" s="47"/>
      <c r="GLZ31" s="47"/>
      <c r="GMA31" s="47"/>
      <c r="GMB31" s="47"/>
      <c r="GMC31" s="47"/>
      <c r="GMD31" s="47"/>
      <c r="GME31" s="47"/>
      <c r="GMF31" s="47"/>
      <c r="GMG31" s="47"/>
      <c r="GMH31" s="47"/>
      <c r="GMI31" s="47"/>
      <c r="GMJ31" s="47"/>
      <c r="GMK31" s="47"/>
      <c r="GML31" s="47"/>
      <c r="GMM31" s="47"/>
      <c r="GMN31" s="47"/>
      <c r="GMO31" s="47"/>
      <c r="GMP31" s="47"/>
      <c r="GMQ31" s="47"/>
      <c r="GMR31" s="47"/>
      <c r="GMS31" s="47"/>
      <c r="GMT31" s="47"/>
      <c r="GMU31" s="47"/>
      <c r="GMV31" s="47"/>
      <c r="GMW31" s="47"/>
      <c r="GMX31" s="47"/>
      <c r="GMY31" s="47"/>
      <c r="GMZ31" s="47"/>
      <c r="GNA31" s="47"/>
      <c r="GNB31" s="47"/>
      <c r="GNC31" s="47"/>
      <c r="GND31" s="47"/>
      <c r="GNE31" s="47"/>
      <c r="GNF31" s="47"/>
      <c r="GNG31" s="47"/>
      <c r="GNH31" s="47"/>
      <c r="GNI31" s="47"/>
      <c r="GNJ31" s="47"/>
      <c r="GNK31" s="47"/>
      <c r="GNL31" s="47"/>
      <c r="GNM31" s="47"/>
      <c r="GNN31" s="47"/>
      <c r="GNO31" s="47"/>
      <c r="GNP31" s="47"/>
      <c r="GNQ31" s="47"/>
      <c r="GNR31" s="47"/>
      <c r="GNS31" s="47"/>
      <c r="GNT31" s="47"/>
      <c r="GNU31" s="47"/>
      <c r="GNV31" s="47"/>
      <c r="GNW31" s="47"/>
      <c r="GNX31" s="47"/>
      <c r="GNY31" s="47"/>
      <c r="GNZ31" s="47"/>
      <c r="GOA31" s="47"/>
      <c r="GOB31" s="47"/>
      <c r="GOC31" s="47"/>
      <c r="GOD31" s="47"/>
      <c r="GOE31" s="47"/>
      <c r="GOF31" s="47"/>
      <c r="GOG31" s="47"/>
      <c r="GOH31" s="47"/>
      <c r="GOI31" s="47"/>
      <c r="GOJ31" s="47"/>
      <c r="GOK31" s="47"/>
      <c r="GOL31" s="47"/>
      <c r="GOM31" s="47"/>
      <c r="GON31" s="47"/>
      <c r="GOO31" s="47"/>
      <c r="GOP31" s="47"/>
      <c r="GOQ31" s="47"/>
      <c r="GOR31" s="47"/>
      <c r="GOS31" s="47"/>
      <c r="GOT31" s="47"/>
      <c r="GOU31" s="47"/>
      <c r="GOV31" s="47"/>
      <c r="GOW31" s="47"/>
      <c r="GOX31" s="47"/>
      <c r="GOY31" s="47"/>
      <c r="GOZ31" s="47"/>
      <c r="GPA31" s="47"/>
      <c r="GPB31" s="47"/>
      <c r="GPC31" s="47"/>
      <c r="GPD31" s="47"/>
      <c r="GPE31" s="47"/>
      <c r="GPF31" s="47"/>
      <c r="GPG31" s="47"/>
      <c r="GPH31" s="47"/>
      <c r="GPI31" s="47"/>
      <c r="GPJ31" s="47"/>
      <c r="GPK31" s="47"/>
      <c r="GPL31" s="47"/>
      <c r="GPM31" s="47"/>
      <c r="GPN31" s="47"/>
      <c r="GPO31" s="47"/>
      <c r="GPP31" s="47"/>
      <c r="GPQ31" s="47"/>
      <c r="GPR31" s="47"/>
      <c r="GPS31" s="47"/>
      <c r="GPT31" s="47"/>
      <c r="GPU31" s="47"/>
      <c r="GPV31" s="47"/>
      <c r="GPW31" s="47"/>
      <c r="GPX31" s="47"/>
      <c r="GPY31" s="47"/>
      <c r="GPZ31" s="47"/>
      <c r="GQA31" s="47"/>
      <c r="GQB31" s="47"/>
      <c r="GQC31" s="47"/>
      <c r="GQD31" s="47"/>
      <c r="GQE31" s="47"/>
      <c r="GQF31" s="47"/>
      <c r="GQG31" s="47"/>
      <c r="GQH31" s="47"/>
      <c r="GQI31" s="47"/>
      <c r="GQJ31" s="47"/>
      <c r="GQK31" s="47"/>
      <c r="GQL31" s="47"/>
      <c r="GQM31" s="47"/>
      <c r="GQN31" s="47"/>
      <c r="GQO31" s="47"/>
      <c r="GQP31" s="47"/>
      <c r="GQQ31" s="47"/>
      <c r="GQR31" s="47"/>
      <c r="GQS31" s="47"/>
      <c r="GQT31" s="47"/>
      <c r="GQU31" s="47"/>
      <c r="GQV31" s="47"/>
      <c r="GQW31" s="47"/>
      <c r="GQX31" s="47"/>
      <c r="GQY31" s="47"/>
      <c r="GQZ31" s="47"/>
      <c r="GRA31" s="47"/>
      <c r="GRB31" s="47"/>
      <c r="GRC31" s="47"/>
      <c r="GRD31" s="47"/>
      <c r="GRE31" s="47"/>
      <c r="GRF31" s="47"/>
      <c r="GRG31" s="47"/>
      <c r="GRH31" s="47"/>
      <c r="GRI31" s="47"/>
      <c r="GRJ31" s="47"/>
      <c r="GRK31" s="47"/>
      <c r="GRL31" s="47"/>
      <c r="GRM31" s="47"/>
      <c r="GRN31" s="47"/>
      <c r="GRO31" s="47"/>
      <c r="GRP31" s="47"/>
      <c r="GRQ31" s="47"/>
      <c r="GRR31" s="47"/>
      <c r="GRS31" s="47"/>
      <c r="GRT31" s="47"/>
      <c r="GRU31" s="47"/>
      <c r="GRV31" s="47"/>
      <c r="GRW31" s="47"/>
      <c r="GRX31" s="47"/>
      <c r="GRY31" s="47"/>
      <c r="GRZ31" s="47"/>
      <c r="GSA31" s="47"/>
      <c r="GSB31" s="47"/>
      <c r="GSC31" s="47"/>
      <c r="GSD31" s="47"/>
      <c r="GSE31" s="47"/>
      <c r="GSF31" s="47"/>
      <c r="GSG31" s="47"/>
      <c r="GSH31" s="47"/>
      <c r="GSI31" s="47"/>
      <c r="GSJ31" s="47"/>
      <c r="GSK31" s="47"/>
      <c r="GSL31" s="47"/>
      <c r="GSM31" s="47"/>
      <c r="GSN31" s="47"/>
      <c r="GSO31" s="47"/>
      <c r="GSP31" s="47"/>
      <c r="GSQ31" s="47"/>
      <c r="GSR31" s="47"/>
      <c r="GSS31" s="47"/>
      <c r="GST31" s="47"/>
      <c r="GSU31" s="47"/>
      <c r="GSV31" s="47"/>
      <c r="GSW31" s="47"/>
      <c r="GSX31" s="47"/>
      <c r="GSY31" s="47"/>
      <c r="GSZ31" s="47"/>
      <c r="GTA31" s="47"/>
      <c r="GTB31" s="47"/>
      <c r="GTC31" s="47"/>
      <c r="GTD31" s="47"/>
      <c r="GTE31" s="47"/>
      <c r="GTF31" s="47"/>
      <c r="GTG31" s="47"/>
      <c r="GTH31" s="47"/>
      <c r="GTI31" s="47"/>
      <c r="GTJ31" s="47"/>
      <c r="GTK31" s="47"/>
      <c r="GTL31" s="47"/>
      <c r="GTM31" s="47"/>
      <c r="GTN31" s="47"/>
      <c r="GTO31" s="47"/>
      <c r="GTP31" s="47"/>
      <c r="GTQ31" s="47"/>
      <c r="GTR31" s="47"/>
      <c r="GTS31" s="47"/>
      <c r="GTT31" s="47"/>
      <c r="GTU31" s="47"/>
      <c r="GTV31" s="47"/>
      <c r="GTW31" s="47"/>
      <c r="GTX31" s="47"/>
      <c r="GTY31" s="47"/>
      <c r="GTZ31" s="47"/>
      <c r="GUA31" s="47"/>
      <c r="GUB31" s="47"/>
      <c r="GUC31" s="47"/>
      <c r="GUD31" s="47"/>
      <c r="GUE31" s="47"/>
      <c r="GUF31" s="47"/>
      <c r="GUG31" s="47"/>
      <c r="GUH31" s="47"/>
      <c r="GUI31" s="47"/>
      <c r="GUJ31" s="47"/>
      <c r="GUK31" s="47"/>
      <c r="GUL31" s="47"/>
      <c r="GUM31" s="47"/>
      <c r="GUN31" s="47"/>
      <c r="GUO31" s="47"/>
      <c r="GUP31" s="47"/>
      <c r="GUQ31" s="47"/>
      <c r="GUR31" s="47"/>
      <c r="GUS31" s="47"/>
      <c r="GUT31" s="47"/>
      <c r="GUU31" s="47"/>
      <c r="GUV31" s="47"/>
      <c r="GUW31" s="47"/>
      <c r="GUX31" s="47"/>
      <c r="GUY31" s="47"/>
      <c r="GUZ31" s="47"/>
      <c r="GVA31" s="47"/>
      <c r="GVB31" s="47"/>
      <c r="GVC31" s="47"/>
      <c r="GVD31" s="47"/>
      <c r="GVE31" s="47"/>
      <c r="GVF31" s="47"/>
      <c r="GVG31" s="47"/>
      <c r="GVH31" s="47"/>
      <c r="GVI31" s="47"/>
      <c r="GVJ31" s="47"/>
      <c r="GVK31" s="47"/>
      <c r="GVL31" s="47"/>
      <c r="GVM31" s="47"/>
      <c r="GVN31" s="47"/>
      <c r="GVO31" s="47"/>
      <c r="GVP31" s="47"/>
      <c r="GVQ31" s="47"/>
      <c r="GVR31" s="47"/>
      <c r="GVS31" s="47"/>
      <c r="GVT31" s="47"/>
      <c r="GVU31" s="47"/>
      <c r="GVV31" s="47"/>
      <c r="GVW31" s="47"/>
      <c r="GVX31" s="47"/>
      <c r="GVY31" s="47"/>
      <c r="GVZ31" s="47"/>
      <c r="GWA31" s="47"/>
      <c r="GWB31" s="47"/>
      <c r="GWC31" s="47"/>
      <c r="GWD31" s="47"/>
      <c r="GWE31" s="47"/>
      <c r="GWF31" s="47"/>
      <c r="GWG31" s="47"/>
      <c r="GWH31" s="47"/>
      <c r="GWI31" s="47"/>
      <c r="GWJ31" s="47"/>
      <c r="GWK31" s="47"/>
      <c r="GWL31" s="47"/>
      <c r="GWM31" s="47"/>
      <c r="GWN31" s="47"/>
      <c r="GWO31" s="47"/>
      <c r="GWP31" s="47"/>
      <c r="GWQ31" s="47"/>
      <c r="GWR31" s="47"/>
      <c r="GWS31" s="47"/>
      <c r="GWT31" s="47"/>
      <c r="GWU31" s="47"/>
      <c r="GWV31" s="47"/>
      <c r="GWW31" s="47"/>
      <c r="GWX31" s="47"/>
      <c r="GWY31" s="47"/>
      <c r="GWZ31" s="47"/>
      <c r="GXA31" s="47"/>
      <c r="GXB31" s="47"/>
      <c r="GXC31" s="47"/>
      <c r="GXD31" s="47"/>
      <c r="GXE31" s="47"/>
      <c r="GXF31" s="47"/>
      <c r="GXG31" s="47"/>
      <c r="GXH31" s="47"/>
      <c r="GXI31" s="47"/>
      <c r="GXJ31" s="47"/>
      <c r="GXK31" s="47"/>
      <c r="GXL31" s="47"/>
      <c r="GXM31" s="47"/>
      <c r="GXN31" s="47"/>
      <c r="GXO31" s="47"/>
      <c r="GXP31" s="47"/>
      <c r="GXQ31" s="47"/>
      <c r="GXR31" s="47"/>
      <c r="GXS31" s="47"/>
      <c r="GXT31" s="47"/>
      <c r="GXU31" s="47"/>
      <c r="GXV31" s="47"/>
      <c r="GXW31" s="47"/>
      <c r="GXX31" s="47"/>
      <c r="GXY31" s="47"/>
      <c r="GXZ31" s="47"/>
      <c r="GYA31" s="47"/>
      <c r="GYB31" s="47"/>
      <c r="GYC31" s="47"/>
      <c r="GYD31" s="47"/>
      <c r="GYE31" s="47"/>
      <c r="GYF31" s="47"/>
      <c r="GYG31" s="47"/>
      <c r="GYH31" s="47"/>
      <c r="GYI31" s="47"/>
      <c r="GYJ31" s="47"/>
      <c r="GYK31" s="47"/>
      <c r="GYL31" s="47"/>
      <c r="GYM31" s="47"/>
      <c r="GYN31" s="47"/>
      <c r="GYO31" s="47"/>
      <c r="GYP31" s="47"/>
      <c r="GYQ31" s="47"/>
      <c r="GYR31" s="47"/>
      <c r="GYS31" s="47"/>
      <c r="GYT31" s="47"/>
      <c r="GYU31" s="47"/>
      <c r="GYV31" s="47"/>
      <c r="GYW31" s="47"/>
      <c r="GYX31" s="47"/>
      <c r="GYY31" s="47"/>
      <c r="GYZ31" s="47"/>
      <c r="GZA31" s="47"/>
      <c r="GZB31" s="47"/>
      <c r="GZC31" s="47"/>
      <c r="GZD31" s="47"/>
      <c r="GZE31" s="47"/>
      <c r="GZF31" s="47"/>
      <c r="GZG31" s="47"/>
      <c r="GZH31" s="47"/>
      <c r="GZI31" s="47"/>
      <c r="GZJ31" s="47"/>
      <c r="GZK31" s="47"/>
      <c r="GZL31" s="47"/>
      <c r="GZM31" s="47"/>
      <c r="GZN31" s="47"/>
      <c r="GZO31" s="47"/>
      <c r="GZP31" s="47"/>
      <c r="GZQ31" s="47"/>
      <c r="GZR31" s="47"/>
      <c r="GZS31" s="47"/>
      <c r="GZT31" s="47"/>
      <c r="GZU31" s="47"/>
      <c r="GZV31" s="47"/>
      <c r="GZW31" s="47"/>
      <c r="GZX31" s="47"/>
      <c r="GZY31" s="47"/>
      <c r="GZZ31" s="47"/>
      <c r="HAA31" s="47"/>
      <c r="HAB31" s="47"/>
      <c r="HAC31" s="47"/>
      <c r="HAD31" s="47"/>
      <c r="HAE31" s="47"/>
      <c r="HAF31" s="47"/>
      <c r="HAG31" s="47"/>
      <c r="HAH31" s="47"/>
      <c r="HAI31" s="47"/>
      <c r="HAJ31" s="47"/>
      <c r="HAK31" s="47"/>
      <c r="HAL31" s="47"/>
      <c r="HAM31" s="47"/>
      <c r="HAN31" s="47"/>
      <c r="HAO31" s="47"/>
      <c r="HAP31" s="47"/>
      <c r="HAQ31" s="47"/>
      <c r="HAR31" s="47"/>
      <c r="HAS31" s="47"/>
      <c r="HAT31" s="47"/>
      <c r="HAU31" s="47"/>
      <c r="HAV31" s="47"/>
      <c r="HAW31" s="47"/>
      <c r="HAX31" s="47"/>
      <c r="HAY31" s="47"/>
      <c r="HAZ31" s="47"/>
      <c r="HBA31" s="47"/>
      <c r="HBB31" s="47"/>
      <c r="HBC31" s="47"/>
      <c r="HBD31" s="47"/>
      <c r="HBE31" s="47"/>
      <c r="HBF31" s="47"/>
      <c r="HBG31" s="47"/>
      <c r="HBH31" s="47"/>
      <c r="HBI31" s="47"/>
      <c r="HBJ31" s="47"/>
      <c r="HBK31" s="47"/>
      <c r="HBL31" s="47"/>
      <c r="HBM31" s="47"/>
      <c r="HBN31" s="47"/>
      <c r="HBO31" s="47"/>
      <c r="HBP31" s="47"/>
      <c r="HBQ31" s="47"/>
      <c r="HBR31" s="47"/>
      <c r="HBS31" s="47"/>
      <c r="HBT31" s="47"/>
      <c r="HBU31" s="47"/>
      <c r="HBV31" s="47"/>
      <c r="HBW31" s="47"/>
      <c r="HBX31" s="47"/>
      <c r="HBY31" s="47"/>
      <c r="HBZ31" s="47"/>
      <c r="HCA31" s="47"/>
      <c r="HCB31" s="47"/>
      <c r="HCC31" s="47"/>
      <c r="HCD31" s="47"/>
      <c r="HCE31" s="47"/>
      <c r="HCF31" s="47"/>
      <c r="HCG31" s="47"/>
      <c r="HCH31" s="47"/>
      <c r="HCI31" s="47"/>
      <c r="HCJ31" s="47"/>
      <c r="HCK31" s="47"/>
      <c r="HCL31" s="47"/>
      <c r="HCM31" s="47"/>
      <c r="HCN31" s="47"/>
      <c r="HCO31" s="47"/>
      <c r="HCP31" s="47"/>
      <c r="HCQ31" s="47"/>
      <c r="HCR31" s="47"/>
      <c r="HCS31" s="47"/>
      <c r="HCT31" s="47"/>
      <c r="HCU31" s="47"/>
      <c r="HCV31" s="47"/>
      <c r="HCW31" s="47"/>
      <c r="HCX31" s="47"/>
      <c r="HCY31" s="47"/>
      <c r="HCZ31" s="47"/>
      <c r="HDA31" s="47"/>
      <c r="HDB31" s="47"/>
      <c r="HDC31" s="47"/>
      <c r="HDD31" s="47"/>
      <c r="HDE31" s="47"/>
      <c r="HDF31" s="47"/>
      <c r="HDG31" s="47"/>
      <c r="HDH31" s="47"/>
      <c r="HDI31" s="47"/>
      <c r="HDJ31" s="47"/>
      <c r="HDK31" s="47"/>
      <c r="HDL31" s="47"/>
      <c r="HDM31" s="47"/>
      <c r="HDN31" s="47"/>
      <c r="HDO31" s="47"/>
      <c r="HDP31" s="47"/>
      <c r="HDQ31" s="47"/>
      <c r="HDR31" s="47"/>
      <c r="HDS31" s="47"/>
      <c r="HDT31" s="47"/>
      <c r="HDU31" s="47"/>
      <c r="HDV31" s="47"/>
      <c r="HDW31" s="47"/>
      <c r="HDX31" s="47"/>
      <c r="HDY31" s="47"/>
      <c r="HDZ31" s="47"/>
      <c r="HEA31" s="47"/>
      <c r="HEB31" s="47"/>
      <c r="HEC31" s="47"/>
      <c r="HED31" s="47"/>
      <c r="HEE31" s="47"/>
      <c r="HEF31" s="47"/>
      <c r="HEG31" s="47"/>
      <c r="HEH31" s="47"/>
      <c r="HEI31" s="47"/>
      <c r="HEJ31" s="47"/>
      <c r="HEK31" s="47"/>
      <c r="HEL31" s="47"/>
      <c r="HEM31" s="47"/>
      <c r="HEN31" s="47"/>
      <c r="HEO31" s="47"/>
      <c r="HEP31" s="47"/>
      <c r="HEQ31" s="47"/>
      <c r="HER31" s="47"/>
      <c r="HES31" s="47"/>
      <c r="HET31" s="47"/>
      <c r="HEU31" s="47"/>
      <c r="HEV31" s="47"/>
      <c r="HEW31" s="47"/>
      <c r="HEX31" s="47"/>
      <c r="HEY31" s="47"/>
      <c r="HEZ31" s="47"/>
      <c r="HFA31" s="47"/>
      <c r="HFB31" s="47"/>
      <c r="HFC31" s="47"/>
      <c r="HFD31" s="47"/>
      <c r="HFE31" s="47"/>
      <c r="HFF31" s="47"/>
      <c r="HFG31" s="47"/>
      <c r="HFH31" s="47"/>
      <c r="HFI31" s="47"/>
      <c r="HFJ31" s="47"/>
      <c r="HFK31" s="47"/>
      <c r="HFL31" s="47"/>
      <c r="HFM31" s="47"/>
      <c r="HFN31" s="47"/>
      <c r="HFO31" s="47"/>
      <c r="HFP31" s="47"/>
      <c r="HFQ31" s="47"/>
      <c r="HFR31" s="47"/>
      <c r="HFS31" s="47"/>
      <c r="HFT31" s="47"/>
      <c r="HFU31" s="47"/>
      <c r="HFV31" s="47"/>
      <c r="HFW31" s="47"/>
      <c r="HFX31" s="47"/>
      <c r="HFY31" s="47"/>
      <c r="HFZ31" s="47"/>
      <c r="HGA31" s="47"/>
      <c r="HGB31" s="47"/>
      <c r="HGC31" s="47"/>
      <c r="HGD31" s="47"/>
      <c r="HGE31" s="47"/>
      <c r="HGF31" s="47"/>
      <c r="HGG31" s="47"/>
      <c r="HGH31" s="47"/>
      <c r="HGI31" s="47"/>
      <c r="HGJ31" s="47"/>
      <c r="HGK31" s="47"/>
      <c r="HGL31" s="47"/>
      <c r="HGM31" s="47"/>
      <c r="HGN31" s="47"/>
      <c r="HGO31" s="47"/>
      <c r="HGP31" s="47"/>
      <c r="HGQ31" s="47"/>
      <c r="HGR31" s="47"/>
      <c r="HGS31" s="47"/>
      <c r="HGT31" s="47"/>
      <c r="HGU31" s="47"/>
      <c r="HGV31" s="47"/>
      <c r="HGW31" s="47"/>
      <c r="HGX31" s="47"/>
      <c r="HGY31" s="47"/>
      <c r="HGZ31" s="47"/>
      <c r="HHA31" s="47"/>
      <c r="HHB31" s="47"/>
      <c r="HHC31" s="47"/>
      <c r="HHD31" s="47"/>
      <c r="HHE31" s="47"/>
      <c r="HHF31" s="47"/>
      <c r="HHG31" s="47"/>
      <c r="HHH31" s="47"/>
      <c r="HHI31" s="47"/>
      <c r="HHJ31" s="47"/>
      <c r="HHK31" s="47"/>
      <c r="HHL31" s="47"/>
      <c r="HHM31" s="47"/>
      <c r="HHN31" s="47"/>
      <c r="HHO31" s="47"/>
      <c r="HHP31" s="47"/>
      <c r="HHQ31" s="47"/>
      <c r="HHR31" s="47"/>
      <c r="HHS31" s="47"/>
      <c r="HHT31" s="47"/>
      <c r="HHU31" s="47"/>
      <c r="HHV31" s="47"/>
      <c r="HHW31" s="47"/>
      <c r="HHX31" s="47"/>
      <c r="HHY31" s="47"/>
      <c r="HHZ31" s="47"/>
      <c r="HIA31" s="47"/>
      <c r="HIB31" s="47"/>
      <c r="HIC31" s="47"/>
      <c r="HID31" s="47"/>
      <c r="HIE31" s="47"/>
      <c r="HIF31" s="47"/>
      <c r="HIG31" s="47"/>
      <c r="HIH31" s="47"/>
      <c r="HII31" s="47"/>
      <c r="HIJ31" s="47"/>
      <c r="HIK31" s="47"/>
      <c r="HIL31" s="47"/>
      <c r="HIM31" s="47"/>
      <c r="HIN31" s="47"/>
      <c r="HIO31" s="47"/>
      <c r="HIP31" s="47"/>
      <c r="HIQ31" s="47"/>
      <c r="HIR31" s="47"/>
      <c r="HIS31" s="47"/>
      <c r="HIT31" s="47"/>
      <c r="HIU31" s="47"/>
      <c r="HIV31" s="47"/>
      <c r="HIW31" s="47"/>
      <c r="HIX31" s="47"/>
      <c r="HIY31" s="47"/>
      <c r="HIZ31" s="47"/>
      <c r="HJA31" s="47"/>
      <c r="HJB31" s="47"/>
      <c r="HJC31" s="47"/>
      <c r="HJD31" s="47"/>
      <c r="HJE31" s="47"/>
      <c r="HJF31" s="47"/>
      <c r="HJG31" s="47"/>
      <c r="HJH31" s="47"/>
      <c r="HJI31" s="47"/>
      <c r="HJJ31" s="47"/>
      <c r="HJK31" s="47"/>
      <c r="HJL31" s="47"/>
      <c r="HJM31" s="47"/>
      <c r="HJN31" s="47"/>
      <c r="HJO31" s="47"/>
      <c r="HJP31" s="47"/>
      <c r="HJQ31" s="47"/>
      <c r="HJR31" s="47"/>
      <c r="HJS31" s="47"/>
      <c r="HJT31" s="47"/>
      <c r="HJU31" s="47"/>
      <c r="HJV31" s="47"/>
      <c r="HJW31" s="47"/>
      <c r="HJX31" s="47"/>
      <c r="HJY31" s="47"/>
      <c r="HJZ31" s="47"/>
      <c r="HKA31" s="47"/>
      <c r="HKB31" s="47"/>
      <c r="HKC31" s="47"/>
      <c r="HKD31" s="47"/>
      <c r="HKE31" s="47"/>
      <c r="HKF31" s="47"/>
      <c r="HKG31" s="47"/>
      <c r="HKH31" s="47"/>
      <c r="HKI31" s="47"/>
      <c r="HKJ31" s="47"/>
      <c r="HKK31" s="47"/>
      <c r="HKL31" s="47"/>
      <c r="HKM31" s="47"/>
      <c r="HKN31" s="47"/>
      <c r="HKO31" s="47"/>
      <c r="HKP31" s="47"/>
      <c r="HKQ31" s="47"/>
      <c r="HKR31" s="47"/>
      <c r="HKS31" s="47"/>
      <c r="HKT31" s="47"/>
      <c r="HKU31" s="47"/>
      <c r="HKV31" s="47"/>
      <c r="HKW31" s="47"/>
      <c r="HKX31" s="47"/>
      <c r="HKY31" s="47"/>
      <c r="HKZ31" s="47"/>
      <c r="HLA31" s="47"/>
      <c r="HLB31" s="47"/>
      <c r="HLC31" s="47"/>
      <c r="HLD31" s="47"/>
      <c r="HLE31" s="47"/>
      <c r="HLF31" s="47"/>
      <c r="HLG31" s="47"/>
      <c r="HLH31" s="47"/>
      <c r="HLI31" s="47"/>
      <c r="HLJ31" s="47"/>
      <c r="HLK31" s="47"/>
      <c r="HLL31" s="47"/>
      <c r="HLM31" s="47"/>
      <c r="HLN31" s="47"/>
      <c r="HLO31" s="47"/>
      <c r="HLP31" s="47"/>
      <c r="HLQ31" s="47"/>
      <c r="HLR31" s="47"/>
      <c r="HLS31" s="47"/>
      <c r="HLT31" s="47"/>
      <c r="HLU31" s="47"/>
      <c r="HLV31" s="47"/>
      <c r="HLW31" s="47"/>
      <c r="HLX31" s="47"/>
      <c r="HLY31" s="47"/>
      <c r="HLZ31" s="47"/>
      <c r="HMA31" s="47"/>
      <c r="HMB31" s="47"/>
      <c r="HMC31" s="47"/>
      <c r="HMD31" s="47"/>
      <c r="HME31" s="47"/>
      <c r="HMF31" s="47"/>
      <c r="HMG31" s="47"/>
      <c r="HMH31" s="47"/>
      <c r="HMI31" s="47"/>
      <c r="HMJ31" s="47"/>
      <c r="HMK31" s="47"/>
      <c r="HML31" s="47"/>
      <c r="HMM31" s="47"/>
      <c r="HMN31" s="47"/>
      <c r="HMO31" s="47"/>
      <c r="HMP31" s="47"/>
      <c r="HMQ31" s="47"/>
      <c r="HMR31" s="47"/>
      <c r="HMS31" s="47"/>
      <c r="HMT31" s="47"/>
      <c r="HMU31" s="47"/>
      <c r="HMV31" s="47"/>
      <c r="HMW31" s="47"/>
      <c r="HMX31" s="47"/>
      <c r="HMY31" s="47"/>
      <c r="HMZ31" s="47"/>
      <c r="HNA31" s="47"/>
      <c r="HNB31" s="47"/>
      <c r="HNC31" s="47"/>
      <c r="HND31" s="47"/>
      <c r="HNE31" s="47"/>
      <c r="HNF31" s="47"/>
      <c r="HNG31" s="47"/>
      <c r="HNH31" s="47"/>
      <c r="HNI31" s="47"/>
      <c r="HNJ31" s="47"/>
      <c r="HNK31" s="47"/>
      <c r="HNL31" s="47"/>
      <c r="HNM31" s="47"/>
      <c r="HNN31" s="47"/>
      <c r="HNO31" s="47"/>
      <c r="HNP31" s="47"/>
      <c r="HNQ31" s="47"/>
      <c r="HNR31" s="47"/>
      <c r="HNS31" s="47"/>
      <c r="HNT31" s="47"/>
      <c r="HNU31" s="47"/>
      <c r="HNV31" s="47"/>
      <c r="HNW31" s="47"/>
      <c r="HNX31" s="47"/>
      <c r="HNY31" s="47"/>
      <c r="HNZ31" s="47"/>
      <c r="HOA31" s="47"/>
      <c r="HOB31" s="47"/>
      <c r="HOC31" s="47"/>
      <c r="HOD31" s="47"/>
      <c r="HOE31" s="47"/>
      <c r="HOF31" s="47"/>
      <c r="HOG31" s="47"/>
      <c r="HOH31" s="47"/>
      <c r="HOI31" s="47"/>
      <c r="HOJ31" s="47"/>
      <c r="HOK31" s="47"/>
      <c r="HOL31" s="47"/>
      <c r="HOM31" s="47"/>
      <c r="HON31" s="47"/>
      <c r="HOO31" s="47"/>
      <c r="HOP31" s="47"/>
      <c r="HOQ31" s="47"/>
      <c r="HOR31" s="47"/>
      <c r="HOS31" s="47"/>
      <c r="HOT31" s="47"/>
      <c r="HOU31" s="47"/>
      <c r="HOV31" s="47"/>
      <c r="HOW31" s="47"/>
      <c r="HOX31" s="47"/>
      <c r="HOY31" s="47"/>
      <c r="HOZ31" s="47"/>
      <c r="HPA31" s="47"/>
      <c r="HPB31" s="47"/>
      <c r="HPC31" s="47"/>
      <c r="HPD31" s="47"/>
      <c r="HPE31" s="47"/>
      <c r="HPF31" s="47"/>
      <c r="HPG31" s="47"/>
      <c r="HPH31" s="47"/>
      <c r="HPI31" s="47"/>
      <c r="HPJ31" s="47"/>
      <c r="HPK31" s="47"/>
      <c r="HPL31" s="47"/>
      <c r="HPM31" s="47"/>
      <c r="HPN31" s="47"/>
      <c r="HPO31" s="47"/>
      <c r="HPP31" s="47"/>
      <c r="HPQ31" s="47"/>
      <c r="HPR31" s="47"/>
      <c r="HPS31" s="47"/>
      <c r="HPT31" s="47"/>
      <c r="HPU31" s="47"/>
      <c r="HPV31" s="47"/>
      <c r="HPW31" s="47"/>
      <c r="HPX31" s="47"/>
      <c r="HPY31" s="47"/>
      <c r="HPZ31" s="47"/>
      <c r="HQA31" s="47"/>
      <c r="HQB31" s="47"/>
      <c r="HQC31" s="47"/>
      <c r="HQD31" s="47"/>
      <c r="HQE31" s="47"/>
      <c r="HQF31" s="47"/>
      <c r="HQG31" s="47"/>
      <c r="HQH31" s="47"/>
      <c r="HQI31" s="47"/>
      <c r="HQJ31" s="47"/>
      <c r="HQK31" s="47"/>
      <c r="HQL31" s="47"/>
      <c r="HQM31" s="47"/>
      <c r="HQN31" s="47"/>
      <c r="HQO31" s="47"/>
      <c r="HQP31" s="47"/>
      <c r="HQQ31" s="47"/>
      <c r="HQR31" s="47"/>
      <c r="HQS31" s="47"/>
      <c r="HQT31" s="47"/>
      <c r="HQU31" s="47"/>
      <c r="HQV31" s="47"/>
      <c r="HQW31" s="47"/>
      <c r="HQX31" s="47"/>
      <c r="HQY31" s="47"/>
      <c r="HQZ31" s="47"/>
      <c r="HRA31" s="47"/>
      <c r="HRB31" s="47"/>
      <c r="HRC31" s="47"/>
      <c r="HRD31" s="47"/>
      <c r="HRE31" s="47"/>
      <c r="HRF31" s="47"/>
      <c r="HRG31" s="47"/>
      <c r="HRH31" s="47"/>
      <c r="HRI31" s="47"/>
      <c r="HRJ31" s="47"/>
      <c r="HRK31" s="47"/>
      <c r="HRL31" s="47"/>
      <c r="HRM31" s="47"/>
      <c r="HRN31" s="47"/>
      <c r="HRO31" s="47"/>
      <c r="HRP31" s="47"/>
      <c r="HRQ31" s="47"/>
      <c r="HRR31" s="47"/>
      <c r="HRS31" s="47"/>
      <c r="HRT31" s="47"/>
      <c r="HRU31" s="47"/>
      <c r="HRV31" s="47"/>
      <c r="HRW31" s="47"/>
      <c r="HRX31" s="47"/>
      <c r="HRY31" s="47"/>
      <c r="HRZ31" s="47"/>
      <c r="HSA31" s="47"/>
      <c r="HSB31" s="47"/>
      <c r="HSC31" s="47"/>
      <c r="HSD31" s="47"/>
      <c r="HSE31" s="47"/>
      <c r="HSF31" s="47"/>
      <c r="HSG31" s="47"/>
      <c r="HSH31" s="47"/>
      <c r="HSI31" s="47"/>
      <c r="HSJ31" s="47"/>
      <c r="HSK31" s="47"/>
      <c r="HSL31" s="47"/>
      <c r="HSM31" s="47"/>
      <c r="HSN31" s="47"/>
      <c r="HSO31" s="47"/>
      <c r="HSP31" s="47"/>
      <c r="HSQ31" s="47"/>
      <c r="HSR31" s="47"/>
      <c r="HSS31" s="47"/>
      <c r="HST31" s="47"/>
      <c r="HSU31" s="47"/>
      <c r="HSV31" s="47"/>
      <c r="HSW31" s="47"/>
      <c r="HSX31" s="47"/>
      <c r="HSY31" s="47"/>
      <c r="HSZ31" s="47"/>
      <c r="HTA31" s="47"/>
      <c r="HTB31" s="47"/>
      <c r="HTC31" s="47"/>
      <c r="HTD31" s="47"/>
      <c r="HTE31" s="47"/>
      <c r="HTF31" s="47"/>
      <c r="HTG31" s="47"/>
      <c r="HTH31" s="47"/>
      <c r="HTI31" s="47"/>
      <c r="HTJ31" s="47"/>
      <c r="HTK31" s="47"/>
      <c r="HTL31" s="47"/>
      <c r="HTM31" s="47"/>
      <c r="HTN31" s="47"/>
      <c r="HTO31" s="47"/>
      <c r="HTP31" s="47"/>
      <c r="HTQ31" s="47"/>
      <c r="HTR31" s="47"/>
      <c r="HTS31" s="47"/>
      <c r="HTT31" s="47"/>
      <c r="HTU31" s="47"/>
      <c r="HTV31" s="47"/>
      <c r="HTW31" s="47"/>
      <c r="HTX31" s="47"/>
      <c r="HTY31" s="47"/>
      <c r="HTZ31" s="47"/>
      <c r="HUA31" s="47"/>
      <c r="HUB31" s="47"/>
      <c r="HUC31" s="47"/>
      <c r="HUD31" s="47"/>
      <c r="HUE31" s="47"/>
      <c r="HUF31" s="47"/>
      <c r="HUG31" s="47"/>
      <c r="HUH31" s="47"/>
      <c r="HUI31" s="47"/>
      <c r="HUJ31" s="47"/>
      <c r="HUK31" s="47"/>
      <c r="HUL31" s="47"/>
      <c r="HUM31" s="47"/>
      <c r="HUN31" s="47"/>
      <c r="HUO31" s="47"/>
      <c r="HUP31" s="47"/>
      <c r="HUQ31" s="47"/>
      <c r="HUR31" s="47"/>
      <c r="HUS31" s="47"/>
      <c r="HUT31" s="47"/>
      <c r="HUU31" s="47"/>
      <c r="HUV31" s="47"/>
      <c r="HUW31" s="47"/>
      <c r="HUX31" s="47"/>
      <c r="HUY31" s="47"/>
      <c r="HUZ31" s="47"/>
      <c r="HVA31" s="47"/>
      <c r="HVB31" s="47"/>
      <c r="HVC31" s="47"/>
      <c r="HVD31" s="47"/>
      <c r="HVE31" s="47"/>
      <c r="HVF31" s="47"/>
      <c r="HVG31" s="47"/>
      <c r="HVH31" s="47"/>
      <c r="HVI31" s="47"/>
      <c r="HVJ31" s="47"/>
      <c r="HVK31" s="47"/>
      <c r="HVL31" s="47"/>
      <c r="HVM31" s="47"/>
      <c r="HVN31" s="47"/>
      <c r="HVO31" s="47"/>
      <c r="HVP31" s="47"/>
      <c r="HVQ31" s="47"/>
      <c r="HVR31" s="47"/>
      <c r="HVS31" s="47"/>
      <c r="HVT31" s="47"/>
      <c r="HVU31" s="47"/>
      <c r="HVV31" s="47"/>
      <c r="HVW31" s="47"/>
      <c r="HVX31" s="47"/>
      <c r="HVY31" s="47"/>
      <c r="HVZ31" s="47"/>
      <c r="HWA31" s="47"/>
      <c r="HWB31" s="47"/>
      <c r="HWC31" s="47"/>
      <c r="HWD31" s="47"/>
      <c r="HWE31" s="47"/>
      <c r="HWF31" s="47"/>
      <c r="HWG31" s="47"/>
      <c r="HWH31" s="47"/>
      <c r="HWI31" s="47"/>
      <c r="HWJ31" s="47"/>
      <c r="HWK31" s="47"/>
      <c r="HWL31" s="47"/>
      <c r="HWM31" s="47"/>
      <c r="HWN31" s="47"/>
      <c r="HWO31" s="47"/>
      <c r="HWP31" s="47"/>
      <c r="HWQ31" s="47"/>
      <c r="HWR31" s="47"/>
      <c r="HWS31" s="47"/>
      <c r="HWT31" s="47"/>
      <c r="HWU31" s="47"/>
      <c r="HWV31" s="47"/>
      <c r="HWW31" s="47"/>
      <c r="HWX31" s="47"/>
      <c r="HWY31" s="47"/>
      <c r="HWZ31" s="47"/>
      <c r="HXA31" s="47"/>
      <c r="HXB31" s="47"/>
      <c r="HXC31" s="47"/>
      <c r="HXD31" s="47"/>
      <c r="HXE31" s="47"/>
      <c r="HXF31" s="47"/>
      <c r="HXG31" s="47"/>
      <c r="HXH31" s="47"/>
      <c r="HXI31" s="47"/>
      <c r="HXJ31" s="47"/>
      <c r="HXK31" s="47"/>
      <c r="HXL31" s="47"/>
      <c r="HXM31" s="47"/>
      <c r="HXN31" s="47"/>
      <c r="HXO31" s="47"/>
      <c r="HXP31" s="47"/>
      <c r="HXQ31" s="47"/>
      <c r="HXR31" s="47"/>
      <c r="HXS31" s="47"/>
      <c r="HXT31" s="47"/>
      <c r="HXU31" s="47"/>
      <c r="HXV31" s="47"/>
      <c r="HXW31" s="47"/>
      <c r="HXX31" s="47"/>
      <c r="HXY31" s="47"/>
      <c r="HXZ31" s="47"/>
      <c r="HYA31" s="47"/>
      <c r="HYB31" s="47"/>
      <c r="HYC31" s="47"/>
      <c r="HYD31" s="47"/>
      <c r="HYE31" s="47"/>
      <c r="HYF31" s="47"/>
      <c r="HYG31" s="47"/>
      <c r="HYH31" s="47"/>
      <c r="HYI31" s="47"/>
      <c r="HYJ31" s="47"/>
      <c r="HYK31" s="47"/>
      <c r="HYL31" s="47"/>
      <c r="HYM31" s="47"/>
      <c r="HYN31" s="47"/>
      <c r="HYO31" s="47"/>
      <c r="HYP31" s="47"/>
      <c r="HYQ31" s="47"/>
      <c r="HYR31" s="47"/>
      <c r="HYS31" s="47"/>
      <c r="HYT31" s="47"/>
      <c r="HYU31" s="47"/>
      <c r="HYV31" s="47"/>
      <c r="HYW31" s="47"/>
      <c r="HYX31" s="47"/>
      <c r="HYY31" s="47"/>
      <c r="HYZ31" s="47"/>
      <c r="HZA31" s="47"/>
      <c r="HZB31" s="47"/>
      <c r="HZC31" s="47"/>
      <c r="HZD31" s="47"/>
      <c r="HZE31" s="47"/>
      <c r="HZF31" s="47"/>
      <c r="HZG31" s="47"/>
      <c r="HZH31" s="47"/>
      <c r="HZI31" s="47"/>
      <c r="HZJ31" s="47"/>
      <c r="HZK31" s="47"/>
      <c r="HZL31" s="47"/>
      <c r="HZM31" s="47"/>
      <c r="HZN31" s="47"/>
      <c r="HZO31" s="47"/>
      <c r="HZP31" s="47"/>
      <c r="HZQ31" s="47"/>
      <c r="HZR31" s="47"/>
      <c r="HZS31" s="47"/>
      <c r="HZT31" s="47"/>
      <c r="HZU31" s="47"/>
      <c r="HZV31" s="47"/>
      <c r="HZW31" s="47"/>
      <c r="HZX31" s="47"/>
      <c r="HZY31" s="47"/>
      <c r="HZZ31" s="47"/>
      <c r="IAA31" s="47"/>
      <c r="IAB31" s="47"/>
      <c r="IAC31" s="47"/>
      <c r="IAD31" s="47"/>
      <c r="IAE31" s="47"/>
      <c r="IAF31" s="47"/>
      <c r="IAG31" s="47"/>
      <c r="IAH31" s="47"/>
      <c r="IAI31" s="47"/>
      <c r="IAJ31" s="47"/>
      <c r="IAK31" s="47"/>
      <c r="IAL31" s="47"/>
      <c r="IAM31" s="47"/>
      <c r="IAN31" s="47"/>
      <c r="IAO31" s="47"/>
      <c r="IAP31" s="47"/>
      <c r="IAQ31" s="47"/>
      <c r="IAR31" s="47"/>
      <c r="IAS31" s="47"/>
      <c r="IAT31" s="47"/>
      <c r="IAU31" s="47"/>
      <c r="IAV31" s="47"/>
      <c r="IAW31" s="47"/>
      <c r="IAX31" s="47"/>
      <c r="IAY31" s="47"/>
      <c r="IAZ31" s="47"/>
      <c r="IBA31" s="47"/>
      <c r="IBB31" s="47"/>
      <c r="IBC31" s="47"/>
      <c r="IBD31" s="47"/>
      <c r="IBE31" s="47"/>
      <c r="IBF31" s="47"/>
      <c r="IBG31" s="47"/>
      <c r="IBH31" s="47"/>
      <c r="IBI31" s="47"/>
      <c r="IBJ31" s="47"/>
      <c r="IBK31" s="47"/>
      <c r="IBL31" s="47"/>
      <c r="IBM31" s="47"/>
      <c r="IBN31" s="47"/>
      <c r="IBO31" s="47"/>
      <c r="IBP31" s="47"/>
      <c r="IBQ31" s="47"/>
      <c r="IBR31" s="47"/>
      <c r="IBS31" s="47"/>
      <c r="IBT31" s="47"/>
      <c r="IBU31" s="47"/>
      <c r="IBV31" s="47"/>
      <c r="IBW31" s="47"/>
      <c r="IBX31" s="47"/>
      <c r="IBY31" s="47"/>
      <c r="IBZ31" s="47"/>
      <c r="ICA31" s="47"/>
      <c r="ICB31" s="47"/>
      <c r="ICC31" s="47"/>
      <c r="ICD31" s="47"/>
      <c r="ICE31" s="47"/>
      <c r="ICF31" s="47"/>
      <c r="ICG31" s="47"/>
      <c r="ICH31" s="47"/>
      <c r="ICI31" s="47"/>
      <c r="ICJ31" s="47"/>
      <c r="ICK31" s="47"/>
      <c r="ICL31" s="47"/>
      <c r="ICM31" s="47"/>
      <c r="ICN31" s="47"/>
      <c r="ICO31" s="47"/>
      <c r="ICP31" s="47"/>
      <c r="ICQ31" s="47"/>
      <c r="ICR31" s="47"/>
      <c r="ICS31" s="47"/>
      <c r="ICT31" s="47"/>
      <c r="ICU31" s="47"/>
      <c r="ICV31" s="47"/>
      <c r="ICW31" s="47"/>
      <c r="ICX31" s="47"/>
      <c r="ICY31" s="47"/>
      <c r="ICZ31" s="47"/>
      <c r="IDA31" s="47"/>
      <c r="IDB31" s="47"/>
      <c r="IDC31" s="47"/>
      <c r="IDD31" s="47"/>
      <c r="IDE31" s="47"/>
      <c r="IDF31" s="47"/>
      <c r="IDG31" s="47"/>
      <c r="IDH31" s="47"/>
      <c r="IDI31" s="47"/>
      <c r="IDJ31" s="47"/>
      <c r="IDK31" s="47"/>
      <c r="IDL31" s="47"/>
      <c r="IDM31" s="47"/>
      <c r="IDN31" s="47"/>
      <c r="IDO31" s="47"/>
      <c r="IDP31" s="47"/>
      <c r="IDQ31" s="47"/>
      <c r="IDR31" s="47"/>
      <c r="IDS31" s="47"/>
      <c r="IDT31" s="47"/>
      <c r="IDU31" s="47"/>
      <c r="IDV31" s="47"/>
      <c r="IDW31" s="47"/>
      <c r="IDX31" s="47"/>
      <c r="IDY31" s="47"/>
      <c r="IDZ31" s="47"/>
      <c r="IEA31" s="47"/>
      <c r="IEB31" s="47"/>
      <c r="IEC31" s="47"/>
      <c r="IED31" s="47"/>
      <c r="IEE31" s="47"/>
      <c r="IEF31" s="47"/>
      <c r="IEG31" s="47"/>
      <c r="IEH31" s="47"/>
      <c r="IEI31" s="47"/>
      <c r="IEJ31" s="47"/>
      <c r="IEK31" s="47"/>
      <c r="IEL31" s="47"/>
      <c r="IEM31" s="47"/>
      <c r="IEN31" s="47"/>
      <c r="IEO31" s="47"/>
      <c r="IEP31" s="47"/>
      <c r="IEQ31" s="47"/>
      <c r="IER31" s="47"/>
      <c r="IES31" s="47"/>
      <c r="IET31" s="47"/>
      <c r="IEU31" s="47"/>
      <c r="IEV31" s="47"/>
      <c r="IEW31" s="47"/>
      <c r="IEX31" s="47"/>
      <c r="IEY31" s="47"/>
      <c r="IEZ31" s="47"/>
      <c r="IFA31" s="47"/>
      <c r="IFB31" s="47"/>
      <c r="IFC31" s="47"/>
      <c r="IFD31" s="47"/>
      <c r="IFE31" s="47"/>
      <c r="IFF31" s="47"/>
      <c r="IFG31" s="47"/>
      <c r="IFH31" s="47"/>
      <c r="IFI31" s="47"/>
      <c r="IFJ31" s="47"/>
      <c r="IFK31" s="47"/>
      <c r="IFL31" s="47"/>
      <c r="IFM31" s="47"/>
      <c r="IFN31" s="47"/>
      <c r="IFO31" s="47"/>
      <c r="IFP31" s="47"/>
      <c r="IFQ31" s="47"/>
      <c r="IFR31" s="47"/>
      <c r="IFS31" s="47"/>
      <c r="IFT31" s="47"/>
      <c r="IFU31" s="47"/>
      <c r="IFV31" s="47"/>
      <c r="IFW31" s="47"/>
      <c r="IFX31" s="47"/>
      <c r="IFY31" s="47"/>
      <c r="IFZ31" s="47"/>
      <c r="IGA31" s="47"/>
      <c r="IGB31" s="47"/>
      <c r="IGC31" s="47"/>
      <c r="IGD31" s="47"/>
      <c r="IGE31" s="47"/>
      <c r="IGF31" s="47"/>
      <c r="IGG31" s="47"/>
      <c r="IGH31" s="47"/>
      <c r="IGI31" s="47"/>
      <c r="IGJ31" s="47"/>
      <c r="IGK31" s="47"/>
      <c r="IGL31" s="47"/>
      <c r="IGM31" s="47"/>
      <c r="IGN31" s="47"/>
      <c r="IGO31" s="47"/>
      <c r="IGP31" s="47"/>
      <c r="IGQ31" s="47"/>
      <c r="IGR31" s="47"/>
      <c r="IGS31" s="47"/>
      <c r="IGT31" s="47"/>
      <c r="IGU31" s="47"/>
      <c r="IGV31" s="47"/>
      <c r="IGW31" s="47"/>
      <c r="IGX31" s="47"/>
      <c r="IGY31" s="47"/>
      <c r="IGZ31" s="47"/>
      <c r="IHA31" s="47"/>
      <c r="IHB31" s="47"/>
      <c r="IHC31" s="47"/>
      <c r="IHD31" s="47"/>
      <c r="IHE31" s="47"/>
      <c r="IHF31" s="47"/>
      <c r="IHG31" s="47"/>
      <c r="IHH31" s="47"/>
      <c r="IHI31" s="47"/>
      <c r="IHJ31" s="47"/>
      <c r="IHK31" s="47"/>
      <c r="IHL31" s="47"/>
      <c r="IHM31" s="47"/>
      <c r="IHN31" s="47"/>
      <c r="IHO31" s="47"/>
      <c r="IHP31" s="47"/>
      <c r="IHQ31" s="47"/>
      <c r="IHR31" s="47"/>
      <c r="IHS31" s="47"/>
      <c r="IHT31" s="47"/>
      <c r="IHU31" s="47"/>
      <c r="IHV31" s="47"/>
      <c r="IHW31" s="47"/>
      <c r="IHX31" s="47"/>
      <c r="IHY31" s="47"/>
      <c r="IHZ31" s="47"/>
      <c r="IIA31" s="47"/>
      <c r="IIB31" s="47"/>
      <c r="IIC31" s="47"/>
      <c r="IID31" s="47"/>
      <c r="IIE31" s="47"/>
      <c r="IIF31" s="47"/>
      <c r="IIG31" s="47"/>
      <c r="IIH31" s="47"/>
      <c r="III31" s="47"/>
      <c r="IIJ31" s="47"/>
      <c r="IIK31" s="47"/>
      <c r="IIL31" s="47"/>
      <c r="IIM31" s="47"/>
      <c r="IIN31" s="47"/>
      <c r="IIO31" s="47"/>
      <c r="IIP31" s="47"/>
      <c r="IIQ31" s="47"/>
      <c r="IIR31" s="47"/>
      <c r="IIS31" s="47"/>
      <c r="IIT31" s="47"/>
      <c r="IIU31" s="47"/>
      <c r="IIV31" s="47"/>
      <c r="IIW31" s="47"/>
      <c r="IIX31" s="47"/>
      <c r="IIY31" s="47"/>
      <c r="IIZ31" s="47"/>
      <c r="IJA31" s="47"/>
      <c r="IJB31" s="47"/>
      <c r="IJC31" s="47"/>
      <c r="IJD31" s="47"/>
      <c r="IJE31" s="47"/>
      <c r="IJF31" s="47"/>
      <c r="IJG31" s="47"/>
      <c r="IJH31" s="47"/>
      <c r="IJI31" s="47"/>
      <c r="IJJ31" s="47"/>
      <c r="IJK31" s="47"/>
      <c r="IJL31" s="47"/>
      <c r="IJM31" s="47"/>
      <c r="IJN31" s="47"/>
      <c r="IJO31" s="47"/>
      <c r="IJP31" s="47"/>
      <c r="IJQ31" s="47"/>
      <c r="IJR31" s="47"/>
      <c r="IJS31" s="47"/>
      <c r="IJT31" s="47"/>
      <c r="IJU31" s="47"/>
      <c r="IJV31" s="47"/>
      <c r="IJW31" s="47"/>
      <c r="IJX31" s="47"/>
      <c r="IJY31" s="47"/>
      <c r="IJZ31" s="47"/>
      <c r="IKA31" s="47"/>
      <c r="IKB31" s="47"/>
      <c r="IKC31" s="47"/>
      <c r="IKD31" s="47"/>
      <c r="IKE31" s="47"/>
      <c r="IKF31" s="47"/>
      <c r="IKG31" s="47"/>
      <c r="IKH31" s="47"/>
      <c r="IKI31" s="47"/>
      <c r="IKJ31" s="47"/>
      <c r="IKK31" s="47"/>
      <c r="IKL31" s="47"/>
      <c r="IKM31" s="47"/>
      <c r="IKN31" s="47"/>
      <c r="IKO31" s="47"/>
      <c r="IKP31" s="47"/>
      <c r="IKQ31" s="47"/>
      <c r="IKR31" s="47"/>
      <c r="IKS31" s="47"/>
      <c r="IKT31" s="47"/>
      <c r="IKU31" s="47"/>
      <c r="IKV31" s="47"/>
      <c r="IKW31" s="47"/>
      <c r="IKX31" s="47"/>
      <c r="IKY31" s="47"/>
      <c r="IKZ31" s="47"/>
      <c r="ILA31" s="47"/>
      <c r="ILB31" s="47"/>
      <c r="ILC31" s="47"/>
      <c r="ILD31" s="47"/>
      <c r="ILE31" s="47"/>
      <c r="ILF31" s="47"/>
      <c r="ILG31" s="47"/>
      <c r="ILH31" s="47"/>
      <c r="ILI31" s="47"/>
      <c r="ILJ31" s="47"/>
      <c r="ILK31" s="47"/>
      <c r="ILL31" s="47"/>
      <c r="ILM31" s="47"/>
      <c r="ILN31" s="47"/>
      <c r="ILO31" s="47"/>
      <c r="ILP31" s="47"/>
      <c r="ILQ31" s="47"/>
      <c r="ILR31" s="47"/>
      <c r="ILS31" s="47"/>
      <c r="ILT31" s="47"/>
      <c r="ILU31" s="47"/>
      <c r="ILV31" s="47"/>
      <c r="ILW31" s="47"/>
      <c r="ILX31" s="47"/>
      <c r="ILY31" s="47"/>
      <c r="ILZ31" s="47"/>
      <c r="IMA31" s="47"/>
      <c r="IMB31" s="47"/>
      <c r="IMC31" s="47"/>
      <c r="IMD31" s="47"/>
      <c r="IME31" s="47"/>
      <c r="IMF31" s="47"/>
      <c r="IMG31" s="47"/>
      <c r="IMH31" s="47"/>
      <c r="IMI31" s="47"/>
      <c r="IMJ31" s="47"/>
      <c r="IMK31" s="47"/>
      <c r="IML31" s="47"/>
      <c r="IMM31" s="47"/>
      <c r="IMN31" s="47"/>
      <c r="IMO31" s="47"/>
      <c r="IMP31" s="47"/>
      <c r="IMQ31" s="47"/>
      <c r="IMR31" s="47"/>
      <c r="IMS31" s="47"/>
      <c r="IMT31" s="47"/>
      <c r="IMU31" s="47"/>
      <c r="IMV31" s="47"/>
      <c r="IMW31" s="47"/>
      <c r="IMX31" s="47"/>
      <c r="IMY31" s="47"/>
      <c r="IMZ31" s="47"/>
      <c r="INA31" s="47"/>
      <c r="INB31" s="47"/>
      <c r="INC31" s="47"/>
      <c r="IND31" s="47"/>
      <c r="INE31" s="47"/>
      <c r="INF31" s="47"/>
      <c r="ING31" s="47"/>
      <c r="INH31" s="47"/>
      <c r="INI31" s="47"/>
      <c r="INJ31" s="47"/>
      <c r="INK31" s="47"/>
      <c r="INL31" s="47"/>
      <c r="INM31" s="47"/>
      <c r="INN31" s="47"/>
      <c r="INO31" s="47"/>
      <c r="INP31" s="47"/>
      <c r="INQ31" s="47"/>
      <c r="INR31" s="47"/>
      <c r="INS31" s="47"/>
      <c r="INT31" s="47"/>
      <c r="INU31" s="47"/>
      <c r="INV31" s="47"/>
      <c r="INW31" s="47"/>
      <c r="INX31" s="47"/>
      <c r="INY31" s="47"/>
      <c r="INZ31" s="47"/>
      <c r="IOA31" s="47"/>
      <c r="IOB31" s="47"/>
      <c r="IOC31" s="47"/>
      <c r="IOD31" s="47"/>
      <c r="IOE31" s="47"/>
      <c r="IOF31" s="47"/>
      <c r="IOG31" s="47"/>
      <c r="IOH31" s="47"/>
      <c r="IOI31" s="47"/>
      <c r="IOJ31" s="47"/>
      <c r="IOK31" s="47"/>
      <c r="IOL31" s="47"/>
      <c r="IOM31" s="47"/>
      <c r="ION31" s="47"/>
      <c r="IOO31" s="47"/>
      <c r="IOP31" s="47"/>
      <c r="IOQ31" s="47"/>
      <c r="IOR31" s="47"/>
      <c r="IOS31" s="47"/>
      <c r="IOT31" s="47"/>
      <c r="IOU31" s="47"/>
      <c r="IOV31" s="47"/>
      <c r="IOW31" s="47"/>
      <c r="IOX31" s="47"/>
      <c r="IOY31" s="47"/>
      <c r="IOZ31" s="47"/>
      <c r="IPA31" s="47"/>
      <c r="IPB31" s="47"/>
      <c r="IPC31" s="47"/>
      <c r="IPD31" s="47"/>
      <c r="IPE31" s="47"/>
      <c r="IPF31" s="47"/>
      <c r="IPG31" s="47"/>
      <c r="IPH31" s="47"/>
      <c r="IPI31" s="47"/>
      <c r="IPJ31" s="47"/>
      <c r="IPK31" s="47"/>
      <c r="IPL31" s="47"/>
      <c r="IPM31" s="47"/>
      <c r="IPN31" s="47"/>
      <c r="IPO31" s="47"/>
      <c r="IPP31" s="47"/>
      <c r="IPQ31" s="47"/>
      <c r="IPR31" s="47"/>
      <c r="IPS31" s="47"/>
      <c r="IPT31" s="47"/>
      <c r="IPU31" s="47"/>
      <c r="IPV31" s="47"/>
      <c r="IPW31" s="47"/>
      <c r="IPX31" s="47"/>
      <c r="IPY31" s="47"/>
      <c r="IPZ31" s="47"/>
      <c r="IQA31" s="47"/>
      <c r="IQB31" s="47"/>
      <c r="IQC31" s="47"/>
      <c r="IQD31" s="47"/>
      <c r="IQE31" s="47"/>
      <c r="IQF31" s="47"/>
      <c r="IQG31" s="47"/>
      <c r="IQH31" s="47"/>
      <c r="IQI31" s="47"/>
      <c r="IQJ31" s="47"/>
      <c r="IQK31" s="47"/>
      <c r="IQL31" s="47"/>
      <c r="IQM31" s="47"/>
      <c r="IQN31" s="47"/>
      <c r="IQO31" s="47"/>
      <c r="IQP31" s="47"/>
      <c r="IQQ31" s="47"/>
      <c r="IQR31" s="47"/>
      <c r="IQS31" s="47"/>
      <c r="IQT31" s="47"/>
      <c r="IQU31" s="47"/>
      <c r="IQV31" s="47"/>
      <c r="IQW31" s="47"/>
      <c r="IQX31" s="47"/>
      <c r="IQY31" s="47"/>
      <c r="IQZ31" s="47"/>
      <c r="IRA31" s="47"/>
      <c r="IRB31" s="47"/>
      <c r="IRC31" s="47"/>
      <c r="IRD31" s="47"/>
      <c r="IRE31" s="47"/>
      <c r="IRF31" s="47"/>
      <c r="IRG31" s="47"/>
      <c r="IRH31" s="47"/>
      <c r="IRI31" s="47"/>
      <c r="IRJ31" s="47"/>
      <c r="IRK31" s="47"/>
      <c r="IRL31" s="47"/>
      <c r="IRM31" s="47"/>
      <c r="IRN31" s="47"/>
      <c r="IRO31" s="47"/>
      <c r="IRP31" s="47"/>
      <c r="IRQ31" s="47"/>
      <c r="IRR31" s="47"/>
      <c r="IRS31" s="47"/>
      <c r="IRT31" s="47"/>
      <c r="IRU31" s="47"/>
      <c r="IRV31" s="47"/>
      <c r="IRW31" s="47"/>
      <c r="IRX31" s="47"/>
      <c r="IRY31" s="47"/>
      <c r="IRZ31" s="47"/>
      <c r="ISA31" s="47"/>
      <c r="ISB31" s="47"/>
      <c r="ISC31" s="47"/>
      <c r="ISD31" s="47"/>
      <c r="ISE31" s="47"/>
      <c r="ISF31" s="47"/>
      <c r="ISG31" s="47"/>
      <c r="ISH31" s="47"/>
      <c r="ISI31" s="47"/>
      <c r="ISJ31" s="47"/>
      <c r="ISK31" s="47"/>
      <c r="ISL31" s="47"/>
      <c r="ISM31" s="47"/>
      <c r="ISN31" s="47"/>
      <c r="ISO31" s="47"/>
      <c r="ISP31" s="47"/>
      <c r="ISQ31" s="47"/>
      <c r="ISR31" s="47"/>
      <c r="ISS31" s="47"/>
      <c r="IST31" s="47"/>
      <c r="ISU31" s="47"/>
      <c r="ISV31" s="47"/>
      <c r="ISW31" s="47"/>
      <c r="ISX31" s="47"/>
      <c r="ISY31" s="47"/>
      <c r="ISZ31" s="47"/>
      <c r="ITA31" s="47"/>
      <c r="ITB31" s="47"/>
      <c r="ITC31" s="47"/>
      <c r="ITD31" s="47"/>
      <c r="ITE31" s="47"/>
      <c r="ITF31" s="47"/>
      <c r="ITG31" s="47"/>
      <c r="ITH31" s="47"/>
      <c r="ITI31" s="47"/>
      <c r="ITJ31" s="47"/>
      <c r="ITK31" s="47"/>
      <c r="ITL31" s="47"/>
      <c r="ITM31" s="47"/>
      <c r="ITN31" s="47"/>
      <c r="ITO31" s="47"/>
      <c r="ITP31" s="47"/>
      <c r="ITQ31" s="47"/>
      <c r="ITR31" s="47"/>
      <c r="ITS31" s="47"/>
      <c r="ITT31" s="47"/>
      <c r="ITU31" s="47"/>
      <c r="ITV31" s="47"/>
      <c r="ITW31" s="47"/>
      <c r="ITX31" s="47"/>
      <c r="ITY31" s="47"/>
      <c r="ITZ31" s="47"/>
      <c r="IUA31" s="47"/>
      <c r="IUB31" s="47"/>
      <c r="IUC31" s="47"/>
      <c r="IUD31" s="47"/>
      <c r="IUE31" s="47"/>
      <c r="IUF31" s="47"/>
      <c r="IUG31" s="47"/>
      <c r="IUH31" s="47"/>
      <c r="IUI31" s="47"/>
      <c r="IUJ31" s="47"/>
      <c r="IUK31" s="47"/>
      <c r="IUL31" s="47"/>
      <c r="IUM31" s="47"/>
      <c r="IUN31" s="47"/>
      <c r="IUO31" s="47"/>
      <c r="IUP31" s="47"/>
      <c r="IUQ31" s="47"/>
      <c r="IUR31" s="47"/>
      <c r="IUS31" s="47"/>
      <c r="IUT31" s="47"/>
      <c r="IUU31" s="47"/>
      <c r="IUV31" s="47"/>
      <c r="IUW31" s="47"/>
      <c r="IUX31" s="47"/>
      <c r="IUY31" s="47"/>
      <c r="IUZ31" s="47"/>
      <c r="IVA31" s="47"/>
      <c r="IVB31" s="47"/>
      <c r="IVC31" s="47"/>
      <c r="IVD31" s="47"/>
      <c r="IVE31" s="47"/>
      <c r="IVF31" s="47"/>
      <c r="IVG31" s="47"/>
      <c r="IVH31" s="47"/>
      <c r="IVI31" s="47"/>
      <c r="IVJ31" s="47"/>
      <c r="IVK31" s="47"/>
      <c r="IVL31" s="47"/>
      <c r="IVM31" s="47"/>
      <c r="IVN31" s="47"/>
      <c r="IVO31" s="47"/>
      <c r="IVP31" s="47"/>
      <c r="IVQ31" s="47"/>
      <c r="IVR31" s="47"/>
      <c r="IVS31" s="47"/>
      <c r="IVT31" s="47"/>
      <c r="IVU31" s="47"/>
      <c r="IVV31" s="47"/>
      <c r="IVW31" s="47"/>
      <c r="IVX31" s="47"/>
      <c r="IVY31" s="47"/>
      <c r="IVZ31" s="47"/>
      <c r="IWA31" s="47"/>
      <c r="IWB31" s="47"/>
      <c r="IWC31" s="47"/>
      <c r="IWD31" s="47"/>
      <c r="IWE31" s="47"/>
      <c r="IWF31" s="47"/>
      <c r="IWG31" s="47"/>
      <c r="IWH31" s="47"/>
      <c r="IWI31" s="47"/>
      <c r="IWJ31" s="47"/>
      <c r="IWK31" s="47"/>
      <c r="IWL31" s="47"/>
      <c r="IWM31" s="47"/>
      <c r="IWN31" s="47"/>
      <c r="IWO31" s="47"/>
      <c r="IWP31" s="47"/>
      <c r="IWQ31" s="47"/>
      <c r="IWR31" s="47"/>
      <c r="IWS31" s="47"/>
      <c r="IWT31" s="47"/>
      <c r="IWU31" s="47"/>
      <c r="IWV31" s="47"/>
      <c r="IWW31" s="47"/>
      <c r="IWX31" s="47"/>
      <c r="IWY31" s="47"/>
      <c r="IWZ31" s="47"/>
      <c r="IXA31" s="47"/>
      <c r="IXB31" s="47"/>
      <c r="IXC31" s="47"/>
      <c r="IXD31" s="47"/>
      <c r="IXE31" s="47"/>
      <c r="IXF31" s="47"/>
      <c r="IXG31" s="47"/>
      <c r="IXH31" s="47"/>
      <c r="IXI31" s="47"/>
      <c r="IXJ31" s="47"/>
      <c r="IXK31" s="47"/>
      <c r="IXL31" s="47"/>
      <c r="IXM31" s="47"/>
      <c r="IXN31" s="47"/>
      <c r="IXO31" s="47"/>
      <c r="IXP31" s="47"/>
      <c r="IXQ31" s="47"/>
      <c r="IXR31" s="47"/>
      <c r="IXS31" s="47"/>
      <c r="IXT31" s="47"/>
      <c r="IXU31" s="47"/>
      <c r="IXV31" s="47"/>
      <c r="IXW31" s="47"/>
      <c r="IXX31" s="47"/>
      <c r="IXY31" s="47"/>
      <c r="IXZ31" s="47"/>
      <c r="IYA31" s="47"/>
      <c r="IYB31" s="47"/>
      <c r="IYC31" s="47"/>
      <c r="IYD31" s="47"/>
      <c r="IYE31" s="47"/>
      <c r="IYF31" s="47"/>
      <c r="IYG31" s="47"/>
      <c r="IYH31" s="47"/>
      <c r="IYI31" s="47"/>
      <c r="IYJ31" s="47"/>
      <c r="IYK31" s="47"/>
      <c r="IYL31" s="47"/>
      <c r="IYM31" s="47"/>
      <c r="IYN31" s="47"/>
      <c r="IYO31" s="47"/>
      <c r="IYP31" s="47"/>
      <c r="IYQ31" s="47"/>
      <c r="IYR31" s="47"/>
      <c r="IYS31" s="47"/>
      <c r="IYT31" s="47"/>
      <c r="IYU31" s="47"/>
      <c r="IYV31" s="47"/>
      <c r="IYW31" s="47"/>
      <c r="IYX31" s="47"/>
      <c r="IYY31" s="47"/>
      <c r="IYZ31" s="47"/>
      <c r="IZA31" s="47"/>
      <c r="IZB31" s="47"/>
      <c r="IZC31" s="47"/>
      <c r="IZD31" s="47"/>
      <c r="IZE31" s="47"/>
      <c r="IZF31" s="47"/>
      <c r="IZG31" s="47"/>
      <c r="IZH31" s="47"/>
      <c r="IZI31" s="47"/>
      <c r="IZJ31" s="47"/>
      <c r="IZK31" s="47"/>
      <c r="IZL31" s="47"/>
      <c r="IZM31" s="47"/>
      <c r="IZN31" s="47"/>
      <c r="IZO31" s="47"/>
      <c r="IZP31" s="47"/>
      <c r="IZQ31" s="47"/>
      <c r="IZR31" s="47"/>
      <c r="IZS31" s="47"/>
      <c r="IZT31" s="47"/>
      <c r="IZU31" s="47"/>
      <c r="IZV31" s="47"/>
      <c r="IZW31" s="47"/>
      <c r="IZX31" s="47"/>
      <c r="IZY31" s="47"/>
      <c r="IZZ31" s="47"/>
      <c r="JAA31" s="47"/>
      <c r="JAB31" s="47"/>
      <c r="JAC31" s="47"/>
      <c r="JAD31" s="47"/>
      <c r="JAE31" s="47"/>
      <c r="JAF31" s="47"/>
      <c r="JAG31" s="47"/>
      <c r="JAH31" s="47"/>
      <c r="JAI31" s="47"/>
      <c r="JAJ31" s="47"/>
      <c r="JAK31" s="47"/>
      <c r="JAL31" s="47"/>
      <c r="JAM31" s="47"/>
      <c r="JAN31" s="47"/>
      <c r="JAO31" s="47"/>
      <c r="JAP31" s="47"/>
      <c r="JAQ31" s="47"/>
      <c r="JAR31" s="47"/>
      <c r="JAS31" s="47"/>
      <c r="JAT31" s="47"/>
      <c r="JAU31" s="47"/>
      <c r="JAV31" s="47"/>
      <c r="JAW31" s="47"/>
      <c r="JAX31" s="47"/>
      <c r="JAY31" s="47"/>
      <c r="JAZ31" s="47"/>
      <c r="JBA31" s="47"/>
      <c r="JBB31" s="47"/>
      <c r="JBC31" s="47"/>
      <c r="JBD31" s="47"/>
      <c r="JBE31" s="47"/>
      <c r="JBF31" s="47"/>
      <c r="JBG31" s="47"/>
      <c r="JBH31" s="47"/>
      <c r="JBI31" s="47"/>
      <c r="JBJ31" s="47"/>
      <c r="JBK31" s="47"/>
      <c r="JBL31" s="47"/>
      <c r="JBM31" s="47"/>
      <c r="JBN31" s="47"/>
      <c r="JBO31" s="47"/>
      <c r="JBP31" s="47"/>
      <c r="JBQ31" s="47"/>
      <c r="JBR31" s="47"/>
      <c r="JBS31" s="47"/>
      <c r="JBT31" s="47"/>
      <c r="JBU31" s="47"/>
      <c r="JBV31" s="47"/>
      <c r="JBW31" s="47"/>
      <c r="JBX31" s="47"/>
      <c r="JBY31" s="47"/>
      <c r="JBZ31" s="47"/>
      <c r="JCA31" s="47"/>
      <c r="JCB31" s="47"/>
      <c r="JCC31" s="47"/>
      <c r="JCD31" s="47"/>
      <c r="JCE31" s="47"/>
      <c r="JCF31" s="47"/>
      <c r="JCG31" s="47"/>
      <c r="JCH31" s="47"/>
      <c r="JCI31" s="47"/>
      <c r="JCJ31" s="47"/>
      <c r="JCK31" s="47"/>
      <c r="JCL31" s="47"/>
      <c r="JCM31" s="47"/>
      <c r="JCN31" s="47"/>
      <c r="JCO31" s="47"/>
      <c r="JCP31" s="47"/>
      <c r="JCQ31" s="47"/>
      <c r="JCR31" s="47"/>
      <c r="JCS31" s="47"/>
      <c r="JCT31" s="47"/>
      <c r="JCU31" s="47"/>
      <c r="JCV31" s="47"/>
      <c r="JCW31" s="47"/>
      <c r="JCX31" s="47"/>
      <c r="JCY31" s="47"/>
      <c r="JCZ31" s="47"/>
      <c r="JDA31" s="47"/>
      <c r="JDB31" s="47"/>
      <c r="JDC31" s="47"/>
      <c r="JDD31" s="47"/>
      <c r="JDE31" s="47"/>
      <c r="JDF31" s="47"/>
      <c r="JDG31" s="47"/>
      <c r="JDH31" s="47"/>
      <c r="JDI31" s="47"/>
      <c r="JDJ31" s="47"/>
      <c r="JDK31" s="47"/>
      <c r="JDL31" s="47"/>
      <c r="JDM31" s="47"/>
      <c r="JDN31" s="47"/>
      <c r="JDO31" s="47"/>
      <c r="JDP31" s="47"/>
      <c r="JDQ31" s="47"/>
      <c r="JDR31" s="47"/>
      <c r="JDS31" s="47"/>
      <c r="JDT31" s="47"/>
      <c r="JDU31" s="47"/>
      <c r="JDV31" s="47"/>
      <c r="JDW31" s="47"/>
      <c r="JDX31" s="47"/>
      <c r="JDY31" s="47"/>
      <c r="JDZ31" s="47"/>
      <c r="JEA31" s="47"/>
      <c r="JEB31" s="47"/>
      <c r="JEC31" s="47"/>
      <c r="JED31" s="47"/>
      <c r="JEE31" s="47"/>
      <c r="JEF31" s="47"/>
      <c r="JEG31" s="47"/>
      <c r="JEH31" s="47"/>
      <c r="JEI31" s="47"/>
      <c r="JEJ31" s="47"/>
      <c r="JEK31" s="47"/>
      <c r="JEL31" s="47"/>
      <c r="JEM31" s="47"/>
      <c r="JEN31" s="47"/>
      <c r="JEO31" s="47"/>
      <c r="JEP31" s="47"/>
      <c r="JEQ31" s="47"/>
      <c r="JER31" s="47"/>
      <c r="JES31" s="47"/>
      <c r="JET31" s="47"/>
      <c r="JEU31" s="47"/>
      <c r="JEV31" s="47"/>
      <c r="JEW31" s="47"/>
      <c r="JEX31" s="47"/>
      <c r="JEY31" s="47"/>
      <c r="JEZ31" s="47"/>
      <c r="JFA31" s="47"/>
      <c r="JFB31" s="47"/>
      <c r="JFC31" s="47"/>
      <c r="JFD31" s="47"/>
      <c r="JFE31" s="47"/>
      <c r="JFF31" s="47"/>
      <c r="JFG31" s="47"/>
      <c r="JFH31" s="47"/>
      <c r="JFI31" s="47"/>
      <c r="JFJ31" s="47"/>
      <c r="JFK31" s="47"/>
      <c r="JFL31" s="47"/>
      <c r="JFM31" s="47"/>
      <c r="JFN31" s="47"/>
      <c r="JFO31" s="47"/>
      <c r="JFP31" s="47"/>
      <c r="JFQ31" s="47"/>
      <c r="JFR31" s="47"/>
      <c r="JFS31" s="47"/>
      <c r="JFT31" s="47"/>
      <c r="JFU31" s="47"/>
      <c r="JFV31" s="47"/>
      <c r="JFW31" s="47"/>
      <c r="JFX31" s="47"/>
      <c r="JFY31" s="47"/>
      <c r="JFZ31" s="47"/>
      <c r="JGA31" s="47"/>
      <c r="JGB31" s="47"/>
      <c r="JGC31" s="47"/>
      <c r="JGD31" s="47"/>
      <c r="JGE31" s="47"/>
      <c r="JGF31" s="47"/>
      <c r="JGG31" s="47"/>
      <c r="JGH31" s="47"/>
      <c r="JGI31" s="47"/>
      <c r="JGJ31" s="47"/>
      <c r="JGK31" s="47"/>
      <c r="JGL31" s="47"/>
      <c r="JGM31" s="47"/>
      <c r="JGN31" s="47"/>
      <c r="JGO31" s="47"/>
      <c r="JGP31" s="47"/>
      <c r="JGQ31" s="47"/>
      <c r="JGR31" s="47"/>
      <c r="JGS31" s="47"/>
      <c r="JGT31" s="47"/>
      <c r="JGU31" s="47"/>
      <c r="JGV31" s="47"/>
      <c r="JGW31" s="47"/>
      <c r="JGX31" s="47"/>
      <c r="JGY31" s="47"/>
      <c r="JGZ31" s="47"/>
      <c r="JHA31" s="47"/>
      <c r="JHB31" s="47"/>
      <c r="JHC31" s="47"/>
      <c r="JHD31" s="47"/>
      <c r="JHE31" s="47"/>
      <c r="JHF31" s="47"/>
      <c r="JHG31" s="47"/>
      <c r="JHH31" s="47"/>
      <c r="JHI31" s="47"/>
      <c r="JHJ31" s="47"/>
      <c r="JHK31" s="47"/>
      <c r="JHL31" s="47"/>
      <c r="JHM31" s="47"/>
      <c r="JHN31" s="47"/>
      <c r="JHO31" s="47"/>
      <c r="JHP31" s="47"/>
      <c r="JHQ31" s="47"/>
      <c r="JHR31" s="47"/>
      <c r="JHS31" s="47"/>
      <c r="JHT31" s="47"/>
      <c r="JHU31" s="47"/>
      <c r="JHV31" s="47"/>
      <c r="JHW31" s="47"/>
      <c r="JHX31" s="47"/>
      <c r="JHY31" s="47"/>
      <c r="JHZ31" s="47"/>
      <c r="JIA31" s="47"/>
      <c r="JIB31" s="47"/>
      <c r="JIC31" s="47"/>
      <c r="JID31" s="47"/>
      <c r="JIE31" s="47"/>
      <c r="JIF31" s="47"/>
      <c r="JIG31" s="47"/>
      <c r="JIH31" s="47"/>
      <c r="JII31" s="47"/>
      <c r="JIJ31" s="47"/>
      <c r="JIK31" s="47"/>
      <c r="JIL31" s="47"/>
      <c r="JIM31" s="47"/>
      <c r="JIN31" s="47"/>
      <c r="JIO31" s="47"/>
      <c r="JIP31" s="47"/>
      <c r="JIQ31" s="47"/>
      <c r="JIR31" s="47"/>
      <c r="JIS31" s="47"/>
      <c r="JIT31" s="47"/>
      <c r="JIU31" s="47"/>
      <c r="JIV31" s="47"/>
      <c r="JIW31" s="47"/>
      <c r="JIX31" s="47"/>
      <c r="JIY31" s="47"/>
      <c r="JIZ31" s="47"/>
      <c r="JJA31" s="47"/>
      <c r="JJB31" s="47"/>
      <c r="JJC31" s="47"/>
      <c r="JJD31" s="47"/>
      <c r="JJE31" s="47"/>
      <c r="JJF31" s="47"/>
      <c r="JJG31" s="47"/>
      <c r="JJH31" s="47"/>
      <c r="JJI31" s="47"/>
      <c r="JJJ31" s="47"/>
      <c r="JJK31" s="47"/>
      <c r="JJL31" s="47"/>
      <c r="JJM31" s="47"/>
      <c r="JJN31" s="47"/>
      <c r="JJO31" s="47"/>
      <c r="JJP31" s="47"/>
      <c r="JJQ31" s="47"/>
      <c r="JJR31" s="47"/>
      <c r="JJS31" s="47"/>
      <c r="JJT31" s="47"/>
      <c r="JJU31" s="47"/>
      <c r="JJV31" s="47"/>
      <c r="JJW31" s="47"/>
      <c r="JJX31" s="47"/>
      <c r="JJY31" s="47"/>
      <c r="JJZ31" s="47"/>
      <c r="JKA31" s="47"/>
      <c r="JKB31" s="47"/>
      <c r="JKC31" s="47"/>
      <c r="JKD31" s="47"/>
      <c r="JKE31" s="47"/>
      <c r="JKF31" s="47"/>
      <c r="JKG31" s="47"/>
      <c r="JKH31" s="47"/>
      <c r="JKI31" s="47"/>
      <c r="JKJ31" s="47"/>
      <c r="JKK31" s="47"/>
      <c r="JKL31" s="47"/>
      <c r="JKM31" s="47"/>
      <c r="JKN31" s="47"/>
      <c r="JKO31" s="47"/>
      <c r="JKP31" s="47"/>
      <c r="JKQ31" s="47"/>
      <c r="JKR31" s="47"/>
      <c r="JKS31" s="47"/>
      <c r="JKT31" s="47"/>
      <c r="JKU31" s="47"/>
      <c r="JKV31" s="47"/>
      <c r="JKW31" s="47"/>
      <c r="JKX31" s="47"/>
      <c r="JKY31" s="47"/>
      <c r="JKZ31" s="47"/>
      <c r="JLA31" s="47"/>
      <c r="JLB31" s="47"/>
      <c r="JLC31" s="47"/>
      <c r="JLD31" s="47"/>
      <c r="JLE31" s="47"/>
      <c r="JLF31" s="47"/>
      <c r="JLG31" s="47"/>
      <c r="JLH31" s="47"/>
      <c r="JLI31" s="47"/>
      <c r="JLJ31" s="47"/>
      <c r="JLK31" s="47"/>
      <c r="JLL31" s="47"/>
      <c r="JLM31" s="47"/>
      <c r="JLN31" s="47"/>
      <c r="JLO31" s="47"/>
      <c r="JLP31" s="47"/>
      <c r="JLQ31" s="47"/>
      <c r="JLR31" s="47"/>
      <c r="JLS31" s="47"/>
      <c r="JLT31" s="47"/>
      <c r="JLU31" s="47"/>
      <c r="JLV31" s="47"/>
      <c r="JLW31" s="47"/>
      <c r="JLX31" s="47"/>
      <c r="JLY31" s="47"/>
      <c r="JLZ31" s="47"/>
      <c r="JMA31" s="47"/>
      <c r="JMB31" s="47"/>
      <c r="JMC31" s="47"/>
      <c r="JMD31" s="47"/>
      <c r="JME31" s="47"/>
      <c r="JMF31" s="47"/>
      <c r="JMG31" s="47"/>
      <c r="JMH31" s="47"/>
      <c r="JMI31" s="47"/>
      <c r="JMJ31" s="47"/>
      <c r="JMK31" s="47"/>
      <c r="JML31" s="47"/>
      <c r="JMM31" s="47"/>
      <c r="JMN31" s="47"/>
      <c r="JMO31" s="47"/>
      <c r="JMP31" s="47"/>
      <c r="JMQ31" s="47"/>
      <c r="JMR31" s="47"/>
      <c r="JMS31" s="47"/>
      <c r="JMT31" s="47"/>
      <c r="JMU31" s="47"/>
      <c r="JMV31" s="47"/>
      <c r="JMW31" s="47"/>
      <c r="JMX31" s="47"/>
      <c r="JMY31" s="47"/>
      <c r="JMZ31" s="47"/>
      <c r="JNA31" s="47"/>
      <c r="JNB31" s="47"/>
      <c r="JNC31" s="47"/>
      <c r="JND31" s="47"/>
      <c r="JNE31" s="47"/>
      <c r="JNF31" s="47"/>
      <c r="JNG31" s="47"/>
      <c r="JNH31" s="47"/>
      <c r="JNI31" s="47"/>
      <c r="JNJ31" s="47"/>
      <c r="JNK31" s="47"/>
      <c r="JNL31" s="47"/>
      <c r="JNM31" s="47"/>
      <c r="JNN31" s="47"/>
      <c r="JNO31" s="47"/>
      <c r="JNP31" s="47"/>
      <c r="JNQ31" s="47"/>
      <c r="JNR31" s="47"/>
      <c r="JNS31" s="47"/>
      <c r="JNT31" s="47"/>
      <c r="JNU31" s="47"/>
      <c r="JNV31" s="47"/>
      <c r="JNW31" s="47"/>
      <c r="JNX31" s="47"/>
      <c r="JNY31" s="47"/>
      <c r="JNZ31" s="47"/>
      <c r="JOA31" s="47"/>
      <c r="JOB31" s="47"/>
      <c r="JOC31" s="47"/>
      <c r="JOD31" s="47"/>
      <c r="JOE31" s="47"/>
      <c r="JOF31" s="47"/>
      <c r="JOG31" s="47"/>
      <c r="JOH31" s="47"/>
      <c r="JOI31" s="47"/>
      <c r="JOJ31" s="47"/>
      <c r="JOK31" s="47"/>
      <c r="JOL31" s="47"/>
      <c r="JOM31" s="47"/>
      <c r="JON31" s="47"/>
      <c r="JOO31" s="47"/>
      <c r="JOP31" s="47"/>
      <c r="JOQ31" s="47"/>
      <c r="JOR31" s="47"/>
      <c r="JOS31" s="47"/>
      <c r="JOT31" s="47"/>
      <c r="JOU31" s="47"/>
      <c r="JOV31" s="47"/>
      <c r="JOW31" s="47"/>
      <c r="JOX31" s="47"/>
      <c r="JOY31" s="47"/>
      <c r="JOZ31" s="47"/>
      <c r="JPA31" s="47"/>
      <c r="JPB31" s="47"/>
      <c r="JPC31" s="47"/>
      <c r="JPD31" s="47"/>
      <c r="JPE31" s="47"/>
      <c r="JPF31" s="47"/>
      <c r="JPG31" s="47"/>
      <c r="JPH31" s="47"/>
      <c r="JPI31" s="47"/>
      <c r="JPJ31" s="47"/>
      <c r="JPK31" s="47"/>
      <c r="JPL31" s="47"/>
      <c r="JPM31" s="47"/>
      <c r="JPN31" s="47"/>
      <c r="JPO31" s="47"/>
      <c r="JPP31" s="47"/>
      <c r="JPQ31" s="47"/>
      <c r="JPR31" s="47"/>
      <c r="JPS31" s="47"/>
      <c r="JPT31" s="47"/>
      <c r="JPU31" s="47"/>
      <c r="JPV31" s="47"/>
      <c r="JPW31" s="47"/>
      <c r="JPX31" s="47"/>
      <c r="JPY31" s="47"/>
      <c r="JPZ31" s="47"/>
      <c r="JQA31" s="47"/>
      <c r="JQB31" s="47"/>
      <c r="JQC31" s="47"/>
      <c r="JQD31" s="47"/>
      <c r="JQE31" s="47"/>
      <c r="JQF31" s="47"/>
      <c r="JQG31" s="47"/>
      <c r="JQH31" s="47"/>
      <c r="JQI31" s="47"/>
      <c r="JQJ31" s="47"/>
      <c r="JQK31" s="47"/>
      <c r="JQL31" s="47"/>
      <c r="JQM31" s="47"/>
      <c r="JQN31" s="47"/>
      <c r="JQO31" s="47"/>
      <c r="JQP31" s="47"/>
      <c r="JQQ31" s="47"/>
      <c r="JQR31" s="47"/>
      <c r="JQS31" s="47"/>
      <c r="JQT31" s="47"/>
      <c r="JQU31" s="47"/>
      <c r="JQV31" s="47"/>
      <c r="JQW31" s="47"/>
      <c r="JQX31" s="47"/>
      <c r="JQY31" s="47"/>
      <c r="JQZ31" s="47"/>
      <c r="JRA31" s="47"/>
      <c r="JRB31" s="47"/>
      <c r="JRC31" s="47"/>
      <c r="JRD31" s="47"/>
      <c r="JRE31" s="47"/>
      <c r="JRF31" s="47"/>
      <c r="JRG31" s="47"/>
      <c r="JRH31" s="47"/>
      <c r="JRI31" s="47"/>
      <c r="JRJ31" s="47"/>
      <c r="JRK31" s="47"/>
      <c r="JRL31" s="47"/>
      <c r="JRM31" s="47"/>
      <c r="JRN31" s="47"/>
      <c r="JRO31" s="47"/>
      <c r="JRP31" s="47"/>
      <c r="JRQ31" s="47"/>
      <c r="JRR31" s="47"/>
      <c r="JRS31" s="47"/>
      <c r="JRT31" s="47"/>
      <c r="JRU31" s="47"/>
      <c r="JRV31" s="47"/>
      <c r="JRW31" s="47"/>
      <c r="JRX31" s="47"/>
      <c r="JRY31" s="47"/>
      <c r="JRZ31" s="47"/>
      <c r="JSA31" s="47"/>
      <c r="JSB31" s="47"/>
      <c r="JSC31" s="47"/>
      <c r="JSD31" s="47"/>
      <c r="JSE31" s="47"/>
      <c r="JSF31" s="47"/>
      <c r="JSG31" s="47"/>
      <c r="JSH31" s="47"/>
      <c r="JSI31" s="47"/>
      <c r="JSJ31" s="47"/>
      <c r="JSK31" s="47"/>
      <c r="JSL31" s="47"/>
      <c r="JSM31" s="47"/>
      <c r="JSN31" s="47"/>
      <c r="JSO31" s="47"/>
      <c r="JSP31" s="47"/>
      <c r="JSQ31" s="47"/>
      <c r="JSR31" s="47"/>
      <c r="JSS31" s="47"/>
      <c r="JST31" s="47"/>
      <c r="JSU31" s="47"/>
      <c r="JSV31" s="47"/>
      <c r="JSW31" s="47"/>
      <c r="JSX31" s="47"/>
      <c r="JSY31" s="47"/>
      <c r="JSZ31" s="47"/>
      <c r="JTA31" s="47"/>
      <c r="JTB31" s="47"/>
      <c r="JTC31" s="47"/>
      <c r="JTD31" s="47"/>
      <c r="JTE31" s="47"/>
      <c r="JTF31" s="47"/>
      <c r="JTG31" s="47"/>
      <c r="JTH31" s="47"/>
      <c r="JTI31" s="47"/>
      <c r="JTJ31" s="47"/>
      <c r="JTK31" s="47"/>
      <c r="JTL31" s="47"/>
      <c r="JTM31" s="47"/>
      <c r="JTN31" s="47"/>
      <c r="JTO31" s="47"/>
      <c r="JTP31" s="47"/>
      <c r="JTQ31" s="47"/>
      <c r="JTR31" s="47"/>
      <c r="JTS31" s="47"/>
      <c r="JTT31" s="47"/>
      <c r="JTU31" s="47"/>
      <c r="JTV31" s="47"/>
      <c r="JTW31" s="47"/>
      <c r="JTX31" s="47"/>
      <c r="JTY31" s="47"/>
      <c r="JTZ31" s="47"/>
      <c r="JUA31" s="47"/>
      <c r="JUB31" s="47"/>
      <c r="JUC31" s="47"/>
      <c r="JUD31" s="47"/>
      <c r="JUE31" s="47"/>
      <c r="JUF31" s="47"/>
      <c r="JUG31" s="47"/>
      <c r="JUH31" s="47"/>
      <c r="JUI31" s="47"/>
      <c r="JUJ31" s="47"/>
      <c r="JUK31" s="47"/>
      <c r="JUL31" s="47"/>
      <c r="JUM31" s="47"/>
      <c r="JUN31" s="47"/>
      <c r="JUO31" s="47"/>
      <c r="JUP31" s="47"/>
      <c r="JUQ31" s="47"/>
      <c r="JUR31" s="47"/>
      <c r="JUS31" s="47"/>
      <c r="JUT31" s="47"/>
      <c r="JUU31" s="47"/>
      <c r="JUV31" s="47"/>
      <c r="JUW31" s="47"/>
      <c r="JUX31" s="47"/>
      <c r="JUY31" s="47"/>
      <c r="JUZ31" s="47"/>
      <c r="JVA31" s="47"/>
      <c r="JVB31" s="47"/>
      <c r="JVC31" s="47"/>
      <c r="JVD31" s="47"/>
      <c r="JVE31" s="47"/>
      <c r="JVF31" s="47"/>
      <c r="JVG31" s="47"/>
      <c r="JVH31" s="47"/>
      <c r="JVI31" s="47"/>
      <c r="JVJ31" s="47"/>
      <c r="JVK31" s="47"/>
      <c r="JVL31" s="47"/>
      <c r="JVM31" s="47"/>
      <c r="JVN31" s="47"/>
      <c r="JVO31" s="47"/>
      <c r="JVP31" s="47"/>
      <c r="JVQ31" s="47"/>
      <c r="JVR31" s="47"/>
      <c r="JVS31" s="47"/>
      <c r="JVT31" s="47"/>
      <c r="JVU31" s="47"/>
      <c r="JVV31" s="47"/>
      <c r="JVW31" s="47"/>
      <c r="JVX31" s="47"/>
      <c r="JVY31" s="47"/>
      <c r="JVZ31" s="47"/>
      <c r="JWA31" s="47"/>
      <c r="JWB31" s="47"/>
      <c r="JWC31" s="47"/>
      <c r="JWD31" s="47"/>
      <c r="JWE31" s="47"/>
      <c r="JWF31" s="47"/>
      <c r="JWG31" s="47"/>
      <c r="JWH31" s="47"/>
      <c r="JWI31" s="47"/>
      <c r="JWJ31" s="47"/>
      <c r="JWK31" s="47"/>
      <c r="JWL31" s="47"/>
      <c r="JWM31" s="47"/>
      <c r="JWN31" s="47"/>
      <c r="JWO31" s="47"/>
      <c r="JWP31" s="47"/>
      <c r="JWQ31" s="47"/>
      <c r="JWR31" s="47"/>
      <c r="JWS31" s="47"/>
      <c r="JWT31" s="47"/>
      <c r="JWU31" s="47"/>
      <c r="JWV31" s="47"/>
      <c r="JWW31" s="47"/>
      <c r="JWX31" s="47"/>
      <c r="JWY31" s="47"/>
      <c r="JWZ31" s="47"/>
      <c r="JXA31" s="47"/>
      <c r="JXB31" s="47"/>
      <c r="JXC31" s="47"/>
      <c r="JXD31" s="47"/>
      <c r="JXE31" s="47"/>
      <c r="JXF31" s="47"/>
      <c r="JXG31" s="47"/>
      <c r="JXH31" s="47"/>
      <c r="JXI31" s="47"/>
      <c r="JXJ31" s="47"/>
      <c r="JXK31" s="47"/>
      <c r="JXL31" s="47"/>
      <c r="JXM31" s="47"/>
      <c r="JXN31" s="47"/>
      <c r="JXO31" s="47"/>
      <c r="JXP31" s="47"/>
      <c r="JXQ31" s="47"/>
      <c r="JXR31" s="47"/>
      <c r="JXS31" s="47"/>
      <c r="JXT31" s="47"/>
      <c r="JXU31" s="47"/>
      <c r="JXV31" s="47"/>
      <c r="JXW31" s="47"/>
      <c r="JXX31" s="47"/>
      <c r="JXY31" s="47"/>
      <c r="JXZ31" s="47"/>
      <c r="JYA31" s="47"/>
      <c r="JYB31" s="47"/>
      <c r="JYC31" s="47"/>
      <c r="JYD31" s="47"/>
      <c r="JYE31" s="47"/>
      <c r="JYF31" s="47"/>
      <c r="JYG31" s="47"/>
      <c r="JYH31" s="47"/>
      <c r="JYI31" s="47"/>
      <c r="JYJ31" s="47"/>
      <c r="JYK31" s="47"/>
      <c r="JYL31" s="47"/>
      <c r="JYM31" s="47"/>
      <c r="JYN31" s="47"/>
      <c r="JYO31" s="47"/>
      <c r="JYP31" s="47"/>
      <c r="JYQ31" s="47"/>
      <c r="JYR31" s="47"/>
      <c r="JYS31" s="47"/>
      <c r="JYT31" s="47"/>
      <c r="JYU31" s="47"/>
      <c r="JYV31" s="47"/>
      <c r="JYW31" s="47"/>
      <c r="JYX31" s="47"/>
      <c r="JYY31" s="47"/>
      <c r="JYZ31" s="47"/>
      <c r="JZA31" s="47"/>
      <c r="JZB31" s="47"/>
      <c r="JZC31" s="47"/>
      <c r="JZD31" s="47"/>
      <c r="JZE31" s="47"/>
      <c r="JZF31" s="47"/>
      <c r="JZG31" s="47"/>
      <c r="JZH31" s="47"/>
      <c r="JZI31" s="47"/>
      <c r="JZJ31" s="47"/>
      <c r="JZK31" s="47"/>
      <c r="JZL31" s="47"/>
      <c r="JZM31" s="47"/>
      <c r="JZN31" s="47"/>
      <c r="JZO31" s="47"/>
      <c r="JZP31" s="47"/>
      <c r="JZQ31" s="47"/>
      <c r="JZR31" s="47"/>
      <c r="JZS31" s="47"/>
      <c r="JZT31" s="47"/>
      <c r="JZU31" s="47"/>
      <c r="JZV31" s="47"/>
      <c r="JZW31" s="47"/>
      <c r="JZX31" s="47"/>
      <c r="JZY31" s="47"/>
      <c r="JZZ31" s="47"/>
      <c r="KAA31" s="47"/>
      <c r="KAB31" s="47"/>
      <c r="KAC31" s="47"/>
      <c r="KAD31" s="47"/>
      <c r="KAE31" s="47"/>
      <c r="KAF31" s="47"/>
      <c r="KAG31" s="47"/>
      <c r="KAH31" s="47"/>
      <c r="KAI31" s="47"/>
      <c r="KAJ31" s="47"/>
      <c r="KAK31" s="47"/>
      <c r="KAL31" s="47"/>
      <c r="KAM31" s="47"/>
      <c r="KAN31" s="47"/>
      <c r="KAO31" s="47"/>
      <c r="KAP31" s="47"/>
      <c r="KAQ31" s="47"/>
      <c r="KAR31" s="47"/>
      <c r="KAS31" s="47"/>
      <c r="KAT31" s="47"/>
      <c r="KAU31" s="47"/>
      <c r="KAV31" s="47"/>
      <c r="KAW31" s="47"/>
      <c r="KAX31" s="47"/>
      <c r="KAY31" s="47"/>
      <c r="KAZ31" s="47"/>
      <c r="KBA31" s="47"/>
      <c r="KBB31" s="47"/>
      <c r="KBC31" s="47"/>
      <c r="KBD31" s="47"/>
      <c r="KBE31" s="47"/>
      <c r="KBF31" s="47"/>
      <c r="KBG31" s="47"/>
      <c r="KBH31" s="47"/>
      <c r="KBI31" s="47"/>
      <c r="KBJ31" s="47"/>
      <c r="KBK31" s="47"/>
      <c r="KBL31" s="47"/>
      <c r="KBM31" s="47"/>
      <c r="KBN31" s="47"/>
      <c r="KBO31" s="47"/>
      <c r="KBP31" s="47"/>
      <c r="KBQ31" s="47"/>
      <c r="KBR31" s="47"/>
      <c r="KBS31" s="47"/>
      <c r="KBT31" s="47"/>
      <c r="KBU31" s="47"/>
      <c r="KBV31" s="47"/>
      <c r="KBW31" s="47"/>
      <c r="KBX31" s="47"/>
      <c r="KBY31" s="47"/>
      <c r="KBZ31" s="47"/>
      <c r="KCA31" s="47"/>
      <c r="KCB31" s="47"/>
      <c r="KCC31" s="47"/>
      <c r="KCD31" s="47"/>
      <c r="KCE31" s="47"/>
      <c r="KCF31" s="47"/>
      <c r="KCG31" s="47"/>
      <c r="KCH31" s="47"/>
      <c r="KCI31" s="47"/>
      <c r="KCJ31" s="47"/>
      <c r="KCK31" s="47"/>
      <c r="KCL31" s="47"/>
      <c r="KCM31" s="47"/>
      <c r="KCN31" s="47"/>
      <c r="KCO31" s="47"/>
      <c r="KCP31" s="47"/>
      <c r="KCQ31" s="47"/>
      <c r="KCR31" s="47"/>
      <c r="KCS31" s="47"/>
      <c r="KCT31" s="47"/>
      <c r="KCU31" s="47"/>
      <c r="KCV31" s="47"/>
      <c r="KCW31" s="47"/>
      <c r="KCX31" s="47"/>
      <c r="KCY31" s="47"/>
      <c r="KCZ31" s="47"/>
      <c r="KDA31" s="47"/>
      <c r="KDB31" s="47"/>
      <c r="KDC31" s="47"/>
      <c r="KDD31" s="47"/>
      <c r="KDE31" s="47"/>
      <c r="KDF31" s="47"/>
      <c r="KDG31" s="47"/>
      <c r="KDH31" s="47"/>
      <c r="KDI31" s="47"/>
      <c r="KDJ31" s="47"/>
      <c r="KDK31" s="47"/>
      <c r="KDL31" s="47"/>
      <c r="KDM31" s="47"/>
      <c r="KDN31" s="47"/>
      <c r="KDO31" s="47"/>
      <c r="KDP31" s="47"/>
      <c r="KDQ31" s="47"/>
      <c r="KDR31" s="47"/>
      <c r="KDS31" s="47"/>
      <c r="KDT31" s="47"/>
      <c r="KDU31" s="47"/>
      <c r="KDV31" s="47"/>
      <c r="KDW31" s="47"/>
      <c r="KDX31" s="47"/>
      <c r="KDY31" s="47"/>
      <c r="KDZ31" s="47"/>
      <c r="KEA31" s="47"/>
      <c r="KEB31" s="47"/>
      <c r="KEC31" s="47"/>
      <c r="KED31" s="47"/>
      <c r="KEE31" s="47"/>
      <c r="KEF31" s="47"/>
      <c r="KEG31" s="47"/>
      <c r="KEH31" s="47"/>
      <c r="KEI31" s="47"/>
      <c r="KEJ31" s="47"/>
      <c r="KEK31" s="47"/>
      <c r="KEL31" s="47"/>
      <c r="KEM31" s="47"/>
      <c r="KEN31" s="47"/>
      <c r="KEO31" s="47"/>
      <c r="KEP31" s="47"/>
      <c r="KEQ31" s="47"/>
      <c r="KER31" s="47"/>
      <c r="KES31" s="47"/>
      <c r="KET31" s="47"/>
      <c r="KEU31" s="47"/>
      <c r="KEV31" s="47"/>
      <c r="KEW31" s="47"/>
      <c r="KEX31" s="47"/>
      <c r="KEY31" s="47"/>
      <c r="KEZ31" s="47"/>
      <c r="KFA31" s="47"/>
      <c r="KFB31" s="47"/>
      <c r="KFC31" s="47"/>
      <c r="KFD31" s="47"/>
      <c r="KFE31" s="47"/>
      <c r="KFF31" s="47"/>
      <c r="KFG31" s="47"/>
      <c r="KFH31" s="47"/>
      <c r="KFI31" s="47"/>
      <c r="KFJ31" s="47"/>
      <c r="KFK31" s="47"/>
      <c r="KFL31" s="47"/>
      <c r="KFM31" s="47"/>
      <c r="KFN31" s="47"/>
      <c r="KFO31" s="47"/>
      <c r="KFP31" s="47"/>
      <c r="KFQ31" s="47"/>
      <c r="KFR31" s="47"/>
      <c r="KFS31" s="47"/>
      <c r="KFT31" s="47"/>
      <c r="KFU31" s="47"/>
      <c r="KFV31" s="47"/>
      <c r="KFW31" s="47"/>
      <c r="KFX31" s="47"/>
      <c r="KFY31" s="47"/>
      <c r="KFZ31" s="47"/>
      <c r="KGA31" s="47"/>
      <c r="KGB31" s="47"/>
      <c r="KGC31" s="47"/>
      <c r="KGD31" s="47"/>
      <c r="KGE31" s="47"/>
      <c r="KGF31" s="47"/>
      <c r="KGG31" s="47"/>
      <c r="KGH31" s="47"/>
      <c r="KGI31" s="47"/>
      <c r="KGJ31" s="47"/>
      <c r="KGK31" s="47"/>
      <c r="KGL31" s="47"/>
      <c r="KGM31" s="47"/>
      <c r="KGN31" s="47"/>
      <c r="KGO31" s="47"/>
      <c r="KGP31" s="47"/>
      <c r="KGQ31" s="47"/>
      <c r="KGR31" s="47"/>
      <c r="KGS31" s="47"/>
      <c r="KGT31" s="47"/>
      <c r="KGU31" s="47"/>
      <c r="KGV31" s="47"/>
      <c r="KGW31" s="47"/>
      <c r="KGX31" s="47"/>
      <c r="KGY31" s="47"/>
      <c r="KGZ31" s="47"/>
      <c r="KHA31" s="47"/>
      <c r="KHB31" s="47"/>
      <c r="KHC31" s="47"/>
      <c r="KHD31" s="47"/>
      <c r="KHE31" s="47"/>
      <c r="KHF31" s="47"/>
      <c r="KHG31" s="47"/>
      <c r="KHH31" s="47"/>
      <c r="KHI31" s="47"/>
      <c r="KHJ31" s="47"/>
      <c r="KHK31" s="47"/>
      <c r="KHL31" s="47"/>
      <c r="KHM31" s="47"/>
      <c r="KHN31" s="47"/>
      <c r="KHO31" s="47"/>
      <c r="KHP31" s="47"/>
      <c r="KHQ31" s="47"/>
      <c r="KHR31" s="47"/>
      <c r="KHS31" s="47"/>
      <c r="KHT31" s="47"/>
      <c r="KHU31" s="47"/>
      <c r="KHV31" s="47"/>
      <c r="KHW31" s="47"/>
      <c r="KHX31" s="47"/>
      <c r="KHY31" s="47"/>
      <c r="KHZ31" s="47"/>
      <c r="KIA31" s="47"/>
      <c r="KIB31" s="47"/>
      <c r="KIC31" s="47"/>
      <c r="KID31" s="47"/>
      <c r="KIE31" s="47"/>
      <c r="KIF31" s="47"/>
      <c r="KIG31" s="47"/>
      <c r="KIH31" s="47"/>
      <c r="KII31" s="47"/>
      <c r="KIJ31" s="47"/>
      <c r="KIK31" s="47"/>
      <c r="KIL31" s="47"/>
      <c r="KIM31" s="47"/>
      <c r="KIN31" s="47"/>
      <c r="KIO31" s="47"/>
      <c r="KIP31" s="47"/>
      <c r="KIQ31" s="47"/>
      <c r="KIR31" s="47"/>
      <c r="KIS31" s="47"/>
      <c r="KIT31" s="47"/>
      <c r="KIU31" s="47"/>
      <c r="KIV31" s="47"/>
      <c r="KIW31" s="47"/>
      <c r="KIX31" s="47"/>
      <c r="KIY31" s="47"/>
      <c r="KIZ31" s="47"/>
      <c r="KJA31" s="47"/>
      <c r="KJB31" s="47"/>
      <c r="KJC31" s="47"/>
      <c r="KJD31" s="47"/>
      <c r="KJE31" s="47"/>
      <c r="KJF31" s="47"/>
      <c r="KJG31" s="47"/>
      <c r="KJH31" s="47"/>
      <c r="KJI31" s="47"/>
      <c r="KJJ31" s="47"/>
      <c r="KJK31" s="47"/>
      <c r="KJL31" s="47"/>
      <c r="KJM31" s="47"/>
      <c r="KJN31" s="47"/>
      <c r="KJO31" s="47"/>
      <c r="KJP31" s="47"/>
      <c r="KJQ31" s="47"/>
      <c r="KJR31" s="47"/>
      <c r="KJS31" s="47"/>
      <c r="KJT31" s="47"/>
      <c r="KJU31" s="47"/>
      <c r="KJV31" s="47"/>
      <c r="KJW31" s="47"/>
      <c r="KJX31" s="47"/>
      <c r="KJY31" s="47"/>
      <c r="KJZ31" s="47"/>
      <c r="KKA31" s="47"/>
      <c r="KKB31" s="47"/>
      <c r="KKC31" s="47"/>
      <c r="KKD31" s="47"/>
      <c r="KKE31" s="47"/>
      <c r="KKF31" s="47"/>
      <c r="KKG31" s="47"/>
      <c r="KKH31" s="47"/>
      <c r="KKI31" s="47"/>
      <c r="KKJ31" s="47"/>
      <c r="KKK31" s="47"/>
      <c r="KKL31" s="47"/>
      <c r="KKM31" s="47"/>
      <c r="KKN31" s="47"/>
      <c r="KKO31" s="47"/>
      <c r="KKP31" s="47"/>
      <c r="KKQ31" s="47"/>
      <c r="KKR31" s="47"/>
      <c r="KKS31" s="47"/>
      <c r="KKT31" s="47"/>
      <c r="KKU31" s="47"/>
      <c r="KKV31" s="47"/>
      <c r="KKW31" s="47"/>
      <c r="KKX31" s="47"/>
      <c r="KKY31" s="47"/>
      <c r="KKZ31" s="47"/>
      <c r="KLA31" s="47"/>
      <c r="KLB31" s="47"/>
      <c r="KLC31" s="47"/>
      <c r="KLD31" s="47"/>
      <c r="KLE31" s="47"/>
      <c r="KLF31" s="47"/>
      <c r="KLG31" s="47"/>
      <c r="KLH31" s="47"/>
      <c r="KLI31" s="47"/>
      <c r="KLJ31" s="47"/>
      <c r="KLK31" s="47"/>
      <c r="KLL31" s="47"/>
      <c r="KLM31" s="47"/>
      <c r="KLN31" s="47"/>
      <c r="KLO31" s="47"/>
      <c r="KLP31" s="47"/>
      <c r="KLQ31" s="47"/>
      <c r="KLR31" s="47"/>
      <c r="KLS31" s="47"/>
      <c r="KLT31" s="47"/>
      <c r="KLU31" s="47"/>
      <c r="KLV31" s="47"/>
      <c r="KLW31" s="47"/>
      <c r="KLX31" s="47"/>
      <c r="KLY31" s="47"/>
      <c r="KLZ31" s="47"/>
      <c r="KMA31" s="47"/>
      <c r="KMB31" s="47"/>
      <c r="KMC31" s="47"/>
      <c r="KMD31" s="47"/>
      <c r="KME31" s="47"/>
      <c r="KMF31" s="47"/>
      <c r="KMG31" s="47"/>
      <c r="KMH31" s="47"/>
      <c r="KMI31" s="47"/>
      <c r="KMJ31" s="47"/>
      <c r="KMK31" s="47"/>
      <c r="KML31" s="47"/>
      <c r="KMM31" s="47"/>
      <c r="KMN31" s="47"/>
      <c r="KMO31" s="47"/>
      <c r="KMP31" s="47"/>
      <c r="KMQ31" s="47"/>
      <c r="KMR31" s="47"/>
      <c r="KMS31" s="47"/>
      <c r="KMT31" s="47"/>
      <c r="KMU31" s="47"/>
      <c r="KMV31" s="47"/>
      <c r="KMW31" s="47"/>
      <c r="KMX31" s="47"/>
      <c r="KMY31" s="47"/>
      <c r="KMZ31" s="47"/>
      <c r="KNA31" s="47"/>
      <c r="KNB31" s="47"/>
      <c r="KNC31" s="47"/>
      <c r="KND31" s="47"/>
      <c r="KNE31" s="47"/>
      <c r="KNF31" s="47"/>
      <c r="KNG31" s="47"/>
      <c r="KNH31" s="47"/>
      <c r="KNI31" s="47"/>
      <c r="KNJ31" s="47"/>
      <c r="KNK31" s="47"/>
      <c r="KNL31" s="47"/>
      <c r="KNM31" s="47"/>
      <c r="KNN31" s="47"/>
      <c r="KNO31" s="47"/>
      <c r="KNP31" s="47"/>
      <c r="KNQ31" s="47"/>
      <c r="KNR31" s="47"/>
      <c r="KNS31" s="47"/>
      <c r="KNT31" s="47"/>
      <c r="KNU31" s="47"/>
      <c r="KNV31" s="47"/>
      <c r="KNW31" s="47"/>
      <c r="KNX31" s="47"/>
      <c r="KNY31" s="47"/>
      <c r="KNZ31" s="47"/>
      <c r="KOA31" s="47"/>
      <c r="KOB31" s="47"/>
      <c r="KOC31" s="47"/>
      <c r="KOD31" s="47"/>
      <c r="KOE31" s="47"/>
      <c r="KOF31" s="47"/>
      <c r="KOG31" s="47"/>
      <c r="KOH31" s="47"/>
      <c r="KOI31" s="47"/>
      <c r="KOJ31" s="47"/>
      <c r="KOK31" s="47"/>
      <c r="KOL31" s="47"/>
      <c r="KOM31" s="47"/>
      <c r="KON31" s="47"/>
      <c r="KOO31" s="47"/>
      <c r="KOP31" s="47"/>
      <c r="KOQ31" s="47"/>
      <c r="KOR31" s="47"/>
      <c r="KOS31" s="47"/>
      <c r="KOT31" s="47"/>
      <c r="KOU31" s="47"/>
      <c r="KOV31" s="47"/>
      <c r="KOW31" s="47"/>
      <c r="KOX31" s="47"/>
      <c r="KOY31" s="47"/>
      <c r="KOZ31" s="47"/>
      <c r="KPA31" s="47"/>
      <c r="KPB31" s="47"/>
      <c r="KPC31" s="47"/>
      <c r="KPD31" s="47"/>
      <c r="KPE31" s="47"/>
      <c r="KPF31" s="47"/>
      <c r="KPG31" s="47"/>
      <c r="KPH31" s="47"/>
      <c r="KPI31" s="47"/>
      <c r="KPJ31" s="47"/>
      <c r="KPK31" s="47"/>
      <c r="KPL31" s="47"/>
      <c r="KPM31" s="47"/>
      <c r="KPN31" s="47"/>
      <c r="KPO31" s="47"/>
      <c r="KPP31" s="47"/>
      <c r="KPQ31" s="47"/>
      <c r="KPR31" s="47"/>
      <c r="KPS31" s="47"/>
      <c r="KPT31" s="47"/>
      <c r="KPU31" s="47"/>
      <c r="KPV31" s="47"/>
      <c r="KPW31" s="47"/>
      <c r="KPX31" s="47"/>
      <c r="KPY31" s="47"/>
      <c r="KPZ31" s="47"/>
      <c r="KQA31" s="47"/>
      <c r="KQB31" s="47"/>
      <c r="KQC31" s="47"/>
      <c r="KQD31" s="47"/>
      <c r="KQE31" s="47"/>
      <c r="KQF31" s="47"/>
      <c r="KQG31" s="47"/>
      <c r="KQH31" s="47"/>
      <c r="KQI31" s="47"/>
      <c r="KQJ31" s="47"/>
      <c r="KQK31" s="47"/>
      <c r="KQL31" s="47"/>
      <c r="KQM31" s="47"/>
      <c r="KQN31" s="47"/>
      <c r="KQO31" s="47"/>
      <c r="KQP31" s="47"/>
      <c r="KQQ31" s="47"/>
      <c r="KQR31" s="47"/>
      <c r="KQS31" s="47"/>
      <c r="KQT31" s="47"/>
      <c r="KQU31" s="47"/>
      <c r="KQV31" s="47"/>
      <c r="KQW31" s="47"/>
      <c r="KQX31" s="47"/>
      <c r="KQY31" s="47"/>
      <c r="KQZ31" s="47"/>
      <c r="KRA31" s="47"/>
      <c r="KRB31" s="47"/>
      <c r="KRC31" s="47"/>
      <c r="KRD31" s="47"/>
      <c r="KRE31" s="47"/>
      <c r="KRF31" s="47"/>
      <c r="KRG31" s="47"/>
      <c r="KRH31" s="47"/>
      <c r="KRI31" s="47"/>
      <c r="KRJ31" s="47"/>
      <c r="KRK31" s="47"/>
      <c r="KRL31" s="47"/>
      <c r="KRM31" s="47"/>
      <c r="KRN31" s="47"/>
      <c r="KRO31" s="47"/>
      <c r="KRP31" s="47"/>
      <c r="KRQ31" s="47"/>
      <c r="KRR31" s="47"/>
      <c r="KRS31" s="47"/>
      <c r="KRT31" s="47"/>
      <c r="KRU31" s="47"/>
      <c r="KRV31" s="47"/>
      <c r="KRW31" s="47"/>
      <c r="KRX31" s="47"/>
      <c r="KRY31" s="47"/>
      <c r="KRZ31" s="47"/>
      <c r="KSA31" s="47"/>
      <c r="KSB31" s="47"/>
      <c r="KSC31" s="47"/>
      <c r="KSD31" s="47"/>
      <c r="KSE31" s="47"/>
      <c r="KSF31" s="47"/>
      <c r="KSG31" s="47"/>
      <c r="KSH31" s="47"/>
      <c r="KSI31" s="47"/>
      <c r="KSJ31" s="47"/>
      <c r="KSK31" s="47"/>
      <c r="KSL31" s="47"/>
      <c r="KSM31" s="47"/>
      <c r="KSN31" s="47"/>
      <c r="KSO31" s="47"/>
      <c r="KSP31" s="47"/>
      <c r="KSQ31" s="47"/>
      <c r="KSR31" s="47"/>
      <c r="KSS31" s="47"/>
      <c r="KST31" s="47"/>
      <c r="KSU31" s="47"/>
      <c r="KSV31" s="47"/>
      <c r="KSW31" s="47"/>
      <c r="KSX31" s="47"/>
      <c r="KSY31" s="47"/>
      <c r="KSZ31" s="47"/>
      <c r="KTA31" s="47"/>
      <c r="KTB31" s="47"/>
      <c r="KTC31" s="47"/>
      <c r="KTD31" s="47"/>
      <c r="KTE31" s="47"/>
      <c r="KTF31" s="47"/>
      <c r="KTG31" s="47"/>
      <c r="KTH31" s="47"/>
      <c r="KTI31" s="47"/>
      <c r="KTJ31" s="47"/>
      <c r="KTK31" s="47"/>
      <c r="KTL31" s="47"/>
      <c r="KTM31" s="47"/>
      <c r="KTN31" s="47"/>
      <c r="KTO31" s="47"/>
      <c r="KTP31" s="47"/>
      <c r="KTQ31" s="47"/>
      <c r="KTR31" s="47"/>
      <c r="KTS31" s="47"/>
      <c r="KTT31" s="47"/>
      <c r="KTU31" s="47"/>
      <c r="KTV31" s="47"/>
      <c r="KTW31" s="47"/>
      <c r="KTX31" s="47"/>
      <c r="KTY31" s="47"/>
      <c r="KTZ31" s="47"/>
      <c r="KUA31" s="47"/>
      <c r="KUB31" s="47"/>
      <c r="KUC31" s="47"/>
      <c r="KUD31" s="47"/>
      <c r="KUE31" s="47"/>
      <c r="KUF31" s="47"/>
      <c r="KUG31" s="47"/>
      <c r="KUH31" s="47"/>
      <c r="KUI31" s="47"/>
      <c r="KUJ31" s="47"/>
      <c r="KUK31" s="47"/>
      <c r="KUL31" s="47"/>
      <c r="KUM31" s="47"/>
      <c r="KUN31" s="47"/>
      <c r="KUO31" s="47"/>
      <c r="KUP31" s="47"/>
      <c r="KUQ31" s="47"/>
      <c r="KUR31" s="47"/>
      <c r="KUS31" s="47"/>
      <c r="KUT31" s="47"/>
      <c r="KUU31" s="47"/>
      <c r="KUV31" s="47"/>
      <c r="KUW31" s="47"/>
      <c r="KUX31" s="47"/>
      <c r="KUY31" s="47"/>
      <c r="KUZ31" s="47"/>
      <c r="KVA31" s="47"/>
      <c r="KVB31" s="47"/>
      <c r="KVC31" s="47"/>
      <c r="KVD31" s="47"/>
      <c r="KVE31" s="47"/>
      <c r="KVF31" s="47"/>
      <c r="KVG31" s="47"/>
      <c r="KVH31" s="47"/>
      <c r="KVI31" s="47"/>
      <c r="KVJ31" s="47"/>
      <c r="KVK31" s="47"/>
      <c r="KVL31" s="47"/>
      <c r="KVM31" s="47"/>
      <c r="KVN31" s="47"/>
      <c r="KVO31" s="47"/>
      <c r="KVP31" s="47"/>
      <c r="KVQ31" s="47"/>
      <c r="KVR31" s="47"/>
      <c r="KVS31" s="47"/>
      <c r="KVT31" s="47"/>
      <c r="KVU31" s="47"/>
      <c r="KVV31" s="47"/>
      <c r="KVW31" s="47"/>
      <c r="KVX31" s="47"/>
      <c r="KVY31" s="47"/>
      <c r="KVZ31" s="47"/>
      <c r="KWA31" s="47"/>
      <c r="KWB31" s="47"/>
      <c r="KWC31" s="47"/>
      <c r="KWD31" s="47"/>
      <c r="KWE31" s="47"/>
      <c r="KWF31" s="47"/>
      <c r="KWG31" s="47"/>
      <c r="KWH31" s="47"/>
      <c r="KWI31" s="47"/>
      <c r="KWJ31" s="47"/>
      <c r="KWK31" s="47"/>
      <c r="KWL31" s="47"/>
      <c r="KWM31" s="47"/>
      <c r="KWN31" s="47"/>
      <c r="KWO31" s="47"/>
      <c r="KWP31" s="47"/>
      <c r="KWQ31" s="47"/>
      <c r="KWR31" s="47"/>
      <c r="KWS31" s="47"/>
      <c r="KWT31" s="47"/>
      <c r="KWU31" s="47"/>
      <c r="KWV31" s="47"/>
      <c r="KWW31" s="47"/>
      <c r="KWX31" s="47"/>
      <c r="KWY31" s="47"/>
      <c r="KWZ31" s="47"/>
      <c r="KXA31" s="47"/>
      <c r="KXB31" s="47"/>
      <c r="KXC31" s="47"/>
      <c r="KXD31" s="47"/>
      <c r="KXE31" s="47"/>
      <c r="KXF31" s="47"/>
      <c r="KXG31" s="47"/>
      <c r="KXH31" s="47"/>
      <c r="KXI31" s="47"/>
      <c r="KXJ31" s="47"/>
      <c r="KXK31" s="47"/>
      <c r="KXL31" s="47"/>
      <c r="KXM31" s="47"/>
      <c r="KXN31" s="47"/>
      <c r="KXO31" s="47"/>
      <c r="KXP31" s="47"/>
      <c r="KXQ31" s="47"/>
      <c r="KXR31" s="47"/>
      <c r="KXS31" s="47"/>
      <c r="KXT31" s="47"/>
      <c r="KXU31" s="47"/>
      <c r="KXV31" s="47"/>
      <c r="KXW31" s="47"/>
      <c r="KXX31" s="47"/>
      <c r="KXY31" s="47"/>
      <c r="KXZ31" s="47"/>
      <c r="KYA31" s="47"/>
      <c r="KYB31" s="47"/>
      <c r="KYC31" s="47"/>
      <c r="KYD31" s="47"/>
      <c r="KYE31" s="47"/>
      <c r="KYF31" s="47"/>
      <c r="KYG31" s="47"/>
      <c r="KYH31" s="47"/>
      <c r="KYI31" s="47"/>
      <c r="KYJ31" s="47"/>
      <c r="KYK31" s="47"/>
      <c r="KYL31" s="47"/>
      <c r="KYM31" s="47"/>
      <c r="KYN31" s="47"/>
      <c r="KYO31" s="47"/>
      <c r="KYP31" s="47"/>
      <c r="KYQ31" s="47"/>
      <c r="KYR31" s="47"/>
      <c r="KYS31" s="47"/>
      <c r="KYT31" s="47"/>
      <c r="KYU31" s="47"/>
      <c r="KYV31" s="47"/>
      <c r="KYW31" s="47"/>
      <c r="KYX31" s="47"/>
      <c r="KYY31" s="47"/>
      <c r="KYZ31" s="47"/>
      <c r="KZA31" s="47"/>
      <c r="KZB31" s="47"/>
      <c r="KZC31" s="47"/>
      <c r="KZD31" s="47"/>
      <c r="KZE31" s="47"/>
      <c r="KZF31" s="47"/>
      <c r="KZG31" s="47"/>
      <c r="KZH31" s="47"/>
      <c r="KZI31" s="47"/>
      <c r="KZJ31" s="47"/>
      <c r="KZK31" s="47"/>
      <c r="KZL31" s="47"/>
      <c r="KZM31" s="47"/>
      <c r="KZN31" s="47"/>
      <c r="KZO31" s="47"/>
      <c r="KZP31" s="47"/>
      <c r="KZQ31" s="47"/>
      <c r="KZR31" s="47"/>
      <c r="KZS31" s="47"/>
      <c r="KZT31" s="47"/>
      <c r="KZU31" s="47"/>
      <c r="KZV31" s="47"/>
      <c r="KZW31" s="47"/>
      <c r="KZX31" s="47"/>
      <c r="KZY31" s="47"/>
      <c r="KZZ31" s="47"/>
      <c r="LAA31" s="47"/>
      <c r="LAB31" s="47"/>
      <c r="LAC31" s="47"/>
      <c r="LAD31" s="47"/>
      <c r="LAE31" s="47"/>
      <c r="LAF31" s="47"/>
      <c r="LAG31" s="47"/>
      <c r="LAH31" s="47"/>
      <c r="LAI31" s="47"/>
      <c r="LAJ31" s="47"/>
      <c r="LAK31" s="47"/>
      <c r="LAL31" s="47"/>
      <c r="LAM31" s="47"/>
      <c r="LAN31" s="47"/>
      <c r="LAO31" s="47"/>
      <c r="LAP31" s="47"/>
      <c r="LAQ31" s="47"/>
      <c r="LAR31" s="47"/>
      <c r="LAS31" s="47"/>
      <c r="LAT31" s="47"/>
      <c r="LAU31" s="47"/>
      <c r="LAV31" s="47"/>
      <c r="LAW31" s="47"/>
      <c r="LAX31" s="47"/>
      <c r="LAY31" s="47"/>
      <c r="LAZ31" s="47"/>
      <c r="LBA31" s="47"/>
      <c r="LBB31" s="47"/>
      <c r="LBC31" s="47"/>
      <c r="LBD31" s="47"/>
      <c r="LBE31" s="47"/>
      <c r="LBF31" s="47"/>
      <c r="LBG31" s="47"/>
      <c r="LBH31" s="47"/>
      <c r="LBI31" s="47"/>
      <c r="LBJ31" s="47"/>
      <c r="LBK31" s="47"/>
      <c r="LBL31" s="47"/>
      <c r="LBM31" s="47"/>
      <c r="LBN31" s="47"/>
      <c r="LBO31" s="47"/>
      <c r="LBP31" s="47"/>
      <c r="LBQ31" s="47"/>
      <c r="LBR31" s="47"/>
      <c r="LBS31" s="47"/>
      <c r="LBT31" s="47"/>
      <c r="LBU31" s="47"/>
      <c r="LBV31" s="47"/>
      <c r="LBW31" s="47"/>
      <c r="LBX31" s="47"/>
      <c r="LBY31" s="47"/>
      <c r="LBZ31" s="47"/>
      <c r="LCA31" s="47"/>
      <c r="LCB31" s="47"/>
      <c r="LCC31" s="47"/>
      <c r="LCD31" s="47"/>
      <c r="LCE31" s="47"/>
      <c r="LCF31" s="47"/>
      <c r="LCG31" s="47"/>
      <c r="LCH31" s="47"/>
      <c r="LCI31" s="47"/>
      <c r="LCJ31" s="47"/>
      <c r="LCK31" s="47"/>
      <c r="LCL31" s="47"/>
      <c r="LCM31" s="47"/>
      <c r="LCN31" s="47"/>
      <c r="LCO31" s="47"/>
      <c r="LCP31" s="47"/>
      <c r="LCQ31" s="47"/>
      <c r="LCR31" s="47"/>
      <c r="LCS31" s="47"/>
      <c r="LCT31" s="47"/>
      <c r="LCU31" s="47"/>
      <c r="LCV31" s="47"/>
      <c r="LCW31" s="47"/>
      <c r="LCX31" s="47"/>
      <c r="LCY31" s="47"/>
      <c r="LCZ31" s="47"/>
      <c r="LDA31" s="47"/>
      <c r="LDB31" s="47"/>
      <c r="LDC31" s="47"/>
      <c r="LDD31" s="47"/>
      <c r="LDE31" s="47"/>
      <c r="LDF31" s="47"/>
      <c r="LDG31" s="47"/>
      <c r="LDH31" s="47"/>
      <c r="LDI31" s="47"/>
      <c r="LDJ31" s="47"/>
      <c r="LDK31" s="47"/>
      <c r="LDL31" s="47"/>
      <c r="LDM31" s="47"/>
      <c r="LDN31" s="47"/>
      <c r="LDO31" s="47"/>
      <c r="LDP31" s="47"/>
      <c r="LDQ31" s="47"/>
      <c r="LDR31" s="47"/>
      <c r="LDS31" s="47"/>
      <c r="LDT31" s="47"/>
      <c r="LDU31" s="47"/>
      <c r="LDV31" s="47"/>
      <c r="LDW31" s="47"/>
      <c r="LDX31" s="47"/>
      <c r="LDY31" s="47"/>
      <c r="LDZ31" s="47"/>
      <c r="LEA31" s="47"/>
      <c r="LEB31" s="47"/>
      <c r="LEC31" s="47"/>
      <c r="LED31" s="47"/>
      <c r="LEE31" s="47"/>
      <c r="LEF31" s="47"/>
      <c r="LEG31" s="47"/>
      <c r="LEH31" s="47"/>
      <c r="LEI31" s="47"/>
      <c r="LEJ31" s="47"/>
      <c r="LEK31" s="47"/>
      <c r="LEL31" s="47"/>
      <c r="LEM31" s="47"/>
      <c r="LEN31" s="47"/>
      <c r="LEO31" s="47"/>
      <c r="LEP31" s="47"/>
      <c r="LEQ31" s="47"/>
      <c r="LER31" s="47"/>
      <c r="LES31" s="47"/>
      <c r="LET31" s="47"/>
      <c r="LEU31" s="47"/>
      <c r="LEV31" s="47"/>
      <c r="LEW31" s="47"/>
      <c r="LEX31" s="47"/>
      <c r="LEY31" s="47"/>
      <c r="LEZ31" s="47"/>
      <c r="LFA31" s="47"/>
      <c r="LFB31" s="47"/>
      <c r="LFC31" s="47"/>
      <c r="LFD31" s="47"/>
      <c r="LFE31" s="47"/>
      <c r="LFF31" s="47"/>
      <c r="LFG31" s="47"/>
      <c r="LFH31" s="47"/>
      <c r="LFI31" s="47"/>
      <c r="LFJ31" s="47"/>
      <c r="LFK31" s="47"/>
      <c r="LFL31" s="47"/>
      <c r="LFM31" s="47"/>
      <c r="LFN31" s="47"/>
      <c r="LFO31" s="47"/>
      <c r="LFP31" s="47"/>
      <c r="LFQ31" s="47"/>
      <c r="LFR31" s="47"/>
      <c r="LFS31" s="47"/>
      <c r="LFT31" s="47"/>
      <c r="LFU31" s="47"/>
      <c r="LFV31" s="47"/>
      <c r="LFW31" s="47"/>
      <c r="LFX31" s="47"/>
      <c r="LFY31" s="47"/>
      <c r="LFZ31" s="47"/>
      <c r="LGA31" s="47"/>
      <c r="LGB31" s="47"/>
      <c r="LGC31" s="47"/>
      <c r="LGD31" s="47"/>
      <c r="LGE31" s="47"/>
      <c r="LGF31" s="47"/>
      <c r="LGG31" s="47"/>
      <c r="LGH31" s="47"/>
      <c r="LGI31" s="47"/>
      <c r="LGJ31" s="47"/>
      <c r="LGK31" s="47"/>
      <c r="LGL31" s="47"/>
      <c r="LGM31" s="47"/>
      <c r="LGN31" s="47"/>
      <c r="LGO31" s="47"/>
      <c r="LGP31" s="47"/>
      <c r="LGQ31" s="47"/>
      <c r="LGR31" s="47"/>
      <c r="LGS31" s="47"/>
      <c r="LGT31" s="47"/>
      <c r="LGU31" s="47"/>
      <c r="LGV31" s="47"/>
      <c r="LGW31" s="47"/>
      <c r="LGX31" s="47"/>
      <c r="LGY31" s="47"/>
      <c r="LGZ31" s="47"/>
      <c r="LHA31" s="47"/>
      <c r="LHB31" s="47"/>
      <c r="LHC31" s="47"/>
      <c r="LHD31" s="47"/>
      <c r="LHE31" s="47"/>
      <c r="LHF31" s="47"/>
      <c r="LHG31" s="47"/>
      <c r="LHH31" s="47"/>
      <c r="LHI31" s="47"/>
      <c r="LHJ31" s="47"/>
      <c r="LHK31" s="47"/>
      <c r="LHL31" s="47"/>
      <c r="LHM31" s="47"/>
      <c r="LHN31" s="47"/>
      <c r="LHO31" s="47"/>
      <c r="LHP31" s="47"/>
      <c r="LHQ31" s="47"/>
      <c r="LHR31" s="47"/>
      <c r="LHS31" s="47"/>
      <c r="LHT31" s="47"/>
      <c r="LHU31" s="47"/>
      <c r="LHV31" s="47"/>
      <c r="LHW31" s="47"/>
      <c r="LHX31" s="47"/>
      <c r="LHY31" s="47"/>
      <c r="LHZ31" s="47"/>
      <c r="LIA31" s="47"/>
      <c r="LIB31" s="47"/>
      <c r="LIC31" s="47"/>
      <c r="LID31" s="47"/>
      <c r="LIE31" s="47"/>
      <c r="LIF31" s="47"/>
      <c r="LIG31" s="47"/>
      <c r="LIH31" s="47"/>
      <c r="LII31" s="47"/>
      <c r="LIJ31" s="47"/>
      <c r="LIK31" s="47"/>
      <c r="LIL31" s="47"/>
      <c r="LIM31" s="47"/>
      <c r="LIN31" s="47"/>
      <c r="LIO31" s="47"/>
      <c r="LIP31" s="47"/>
      <c r="LIQ31" s="47"/>
      <c r="LIR31" s="47"/>
      <c r="LIS31" s="47"/>
      <c r="LIT31" s="47"/>
      <c r="LIU31" s="47"/>
      <c r="LIV31" s="47"/>
      <c r="LIW31" s="47"/>
      <c r="LIX31" s="47"/>
      <c r="LIY31" s="47"/>
      <c r="LIZ31" s="47"/>
      <c r="LJA31" s="47"/>
      <c r="LJB31" s="47"/>
      <c r="LJC31" s="47"/>
      <c r="LJD31" s="47"/>
      <c r="LJE31" s="47"/>
      <c r="LJF31" s="47"/>
      <c r="LJG31" s="47"/>
      <c r="LJH31" s="47"/>
      <c r="LJI31" s="47"/>
      <c r="LJJ31" s="47"/>
      <c r="LJK31" s="47"/>
      <c r="LJL31" s="47"/>
      <c r="LJM31" s="47"/>
      <c r="LJN31" s="47"/>
      <c r="LJO31" s="47"/>
      <c r="LJP31" s="47"/>
      <c r="LJQ31" s="47"/>
      <c r="LJR31" s="47"/>
      <c r="LJS31" s="47"/>
      <c r="LJT31" s="47"/>
      <c r="LJU31" s="47"/>
      <c r="LJV31" s="47"/>
      <c r="LJW31" s="47"/>
      <c r="LJX31" s="47"/>
      <c r="LJY31" s="47"/>
      <c r="LJZ31" s="47"/>
      <c r="LKA31" s="47"/>
      <c r="LKB31" s="47"/>
      <c r="LKC31" s="47"/>
      <c r="LKD31" s="47"/>
      <c r="LKE31" s="47"/>
      <c r="LKF31" s="47"/>
      <c r="LKG31" s="47"/>
      <c r="LKH31" s="47"/>
      <c r="LKI31" s="47"/>
      <c r="LKJ31" s="47"/>
      <c r="LKK31" s="47"/>
      <c r="LKL31" s="47"/>
      <c r="LKM31" s="47"/>
      <c r="LKN31" s="47"/>
      <c r="LKO31" s="47"/>
      <c r="LKP31" s="47"/>
      <c r="LKQ31" s="47"/>
      <c r="LKR31" s="47"/>
      <c r="LKS31" s="47"/>
      <c r="LKT31" s="47"/>
      <c r="LKU31" s="47"/>
      <c r="LKV31" s="47"/>
      <c r="LKW31" s="47"/>
      <c r="LKX31" s="47"/>
      <c r="LKY31" s="47"/>
      <c r="LKZ31" s="47"/>
      <c r="LLA31" s="47"/>
      <c r="LLB31" s="47"/>
      <c r="LLC31" s="47"/>
      <c r="LLD31" s="47"/>
      <c r="LLE31" s="47"/>
      <c r="LLF31" s="47"/>
      <c r="LLG31" s="47"/>
      <c r="LLH31" s="47"/>
      <c r="LLI31" s="47"/>
      <c r="LLJ31" s="47"/>
      <c r="LLK31" s="47"/>
      <c r="LLL31" s="47"/>
      <c r="LLM31" s="47"/>
      <c r="LLN31" s="47"/>
      <c r="LLO31" s="47"/>
      <c r="LLP31" s="47"/>
      <c r="LLQ31" s="47"/>
      <c r="LLR31" s="47"/>
      <c r="LLS31" s="47"/>
      <c r="LLT31" s="47"/>
      <c r="LLU31" s="47"/>
      <c r="LLV31" s="47"/>
      <c r="LLW31" s="47"/>
      <c r="LLX31" s="47"/>
      <c r="LLY31" s="47"/>
      <c r="LLZ31" s="47"/>
      <c r="LMA31" s="47"/>
      <c r="LMB31" s="47"/>
      <c r="LMC31" s="47"/>
      <c r="LMD31" s="47"/>
      <c r="LME31" s="47"/>
      <c r="LMF31" s="47"/>
      <c r="LMG31" s="47"/>
      <c r="LMH31" s="47"/>
      <c r="LMI31" s="47"/>
      <c r="LMJ31" s="47"/>
      <c r="LMK31" s="47"/>
      <c r="LML31" s="47"/>
      <c r="LMM31" s="47"/>
      <c r="LMN31" s="47"/>
      <c r="LMO31" s="47"/>
      <c r="LMP31" s="47"/>
      <c r="LMQ31" s="47"/>
      <c r="LMR31" s="47"/>
      <c r="LMS31" s="47"/>
      <c r="LMT31" s="47"/>
      <c r="LMU31" s="47"/>
      <c r="LMV31" s="47"/>
      <c r="LMW31" s="47"/>
      <c r="LMX31" s="47"/>
      <c r="LMY31" s="47"/>
      <c r="LMZ31" s="47"/>
      <c r="LNA31" s="47"/>
      <c r="LNB31" s="47"/>
      <c r="LNC31" s="47"/>
      <c r="LND31" s="47"/>
      <c r="LNE31" s="47"/>
      <c r="LNF31" s="47"/>
      <c r="LNG31" s="47"/>
      <c r="LNH31" s="47"/>
      <c r="LNI31" s="47"/>
      <c r="LNJ31" s="47"/>
      <c r="LNK31" s="47"/>
      <c r="LNL31" s="47"/>
      <c r="LNM31" s="47"/>
      <c r="LNN31" s="47"/>
      <c r="LNO31" s="47"/>
      <c r="LNP31" s="47"/>
      <c r="LNQ31" s="47"/>
      <c r="LNR31" s="47"/>
      <c r="LNS31" s="47"/>
      <c r="LNT31" s="47"/>
      <c r="LNU31" s="47"/>
      <c r="LNV31" s="47"/>
      <c r="LNW31" s="47"/>
      <c r="LNX31" s="47"/>
      <c r="LNY31" s="47"/>
      <c r="LNZ31" s="47"/>
      <c r="LOA31" s="47"/>
      <c r="LOB31" s="47"/>
      <c r="LOC31" s="47"/>
      <c r="LOD31" s="47"/>
      <c r="LOE31" s="47"/>
      <c r="LOF31" s="47"/>
      <c r="LOG31" s="47"/>
      <c r="LOH31" s="47"/>
      <c r="LOI31" s="47"/>
      <c r="LOJ31" s="47"/>
      <c r="LOK31" s="47"/>
      <c r="LOL31" s="47"/>
      <c r="LOM31" s="47"/>
      <c r="LON31" s="47"/>
      <c r="LOO31" s="47"/>
      <c r="LOP31" s="47"/>
      <c r="LOQ31" s="47"/>
      <c r="LOR31" s="47"/>
      <c r="LOS31" s="47"/>
      <c r="LOT31" s="47"/>
      <c r="LOU31" s="47"/>
      <c r="LOV31" s="47"/>
      <c r="LOW31" s="47"/>
      <c r="LOX31" s="47"/>
      <c r="LOY31" s="47"/>
      <c r="LOZ31" s="47"/>
      <c r="LPA31" s="47"/>
      <c r="LPB31" s="47"/>
      <c r="LPC31" s="47"/>
      <c r="LPD31" s="47"/>
      <c r="LPE31" s="47"/>
      <c r="LPF31" s="47"/>
      <c r="LPG31" s="47"/>
      <c r="LPH31" s="47"/>
      <c r="LPI31" s="47"/>
      <c r="LPJ31" s="47"/>
      <c r="LPK31" s="47"/>
      <c r="LPL31" s="47"/>
      <c r="LPM31" s="47"/>
      <c r="LPN31" s="47"/>
      <c r="LPO31" s="47"/>
      <c r="LPP31" s="47"/>
      <c r="LPQ31" s="47"/>
      <c r="LPR31" s="47"/>
      <c r="LPS31" s="47"/>
      <c r="LPT31" s="47"/>
      <c r="LPU31" s="47"/>
      <c r="LPV31" s="47"/>
      <c r="LPW31" s="47"/>
      <c r="LPX31" s="47"/>
      <c r="LPY31" s="47"/>
      <c r="LPZ31" s="47"/>
      <c r="LQA31" s="47"/>
      <c r="LQB31" s="47"/>
      <c r="LQC31" s="47"/>
      <c r="LQD31" s="47"/>
      <c r="LQE31" s="47"/>
      <c r="LQF31" s="47"/>
      <c r="LQG31" s="47"/>
      <c r="LQH31" s="47"/>
      <c r="LQI31" s="47"/>
      <c r="LQJ31" s="47"/>
      <c r="LQK31" s="47"/>
      <c r="LQL31" s="47"/>
      <c r="LQM31" s="47"/>
      <c r="LQN31" s="47"/>
      <c r="LQO31" s="47"/>
      <c r="LQP31" s="47"/>
      <c r="LQQ31" s="47"/>
      <c r="LQR31" s="47"/>
      <c r="LQS31" s="47"/>
      <c r="LQT31" s="47"/>
      <c r="LQU31" s="47"/>
      <c r="LQV31" s="47"/>
      <c r="LQW31" s="47"/>
      <c r="LQX31" s="47"/>
      <c r="LQY31" s="47"/>
      <c r="LQZ31" s="47"/>
      <c r="LRA31" s="47"/>
      <c r="LRB31" s="47"/>
      <c r="LRC31" s="47"/>
      <c r="LRD31" s="47"/>
      <c r="LRE31" s="47"/>
      <c r="LRF31" s="47"/>
      <c r="LRG31" s="47"/>
      <c r="LRH31" s="47"/>
      <c r="LRI31" s="47"/>
      <c r="LRJ31" s="47"/>
      <c r="LRK31" s="47"/>
      <c r="LRL31" s="47"/>
      <c r="LRM31" s="47"/>
      <c r="LRN31" s="47"/>
      <c r="LRO31" s="47"/>
      <c r="LRP31" s="47"/>
      <c r="LRQ31" s="47"/>
      <c r="LRR31" s="47"/>
      <c r="LRS31" s="47"/>
      <c r="LRT31" s="47"/>
      <c r="LRU31" s="47"/>
      <c r="LRV31" s="47"/>
      <c r="LRW31" s="47"/>
      <c r="LRX31" s="47"/>
      <c r="LRY31" s="47"/>
      <c r="LRZ31" s="47"/>
      <c r="LSA31" s="47"/>
      <c r="LSB31" s="47"/>
      <c r="LSC31" s="47"/>
      <c r="LSD31" s="47"/>
      <c r="LSE31" s="47"/>
      <c r="LSF31" s="47"/>
      <c r="LSG31" s="47"/>
      <c r="LSH31" s="47"/>
      <c r="LSI31" s="47"/>
      <c r="LSJ31" s="47"/>
      <c r="LSK31" s="47"/>
      <c r="LSL31" s="47"/>
      <c r="LSM31" s="47"/>
      <c r="LSN31" s="47"/>
      <c r="LSO31" s="47"/>
      <c r="LSP31" s="47"/>
      <c r="LSQ31" s="47"/>
      <c r="LSR31" s="47"/>
      <c r="LSS31" s="47"/>
      <c r="LST31" s="47"/>
      <c r="LSU31" s="47"/>
      <c r="LSV31" s="47"/>
      <c r="LSW31" s="47"/>
      <c r="LSX31" s="47"/>
      <c r="LSY31" s="47"/>
      <c r="LSZ31" s="47"/>
      <c r="LTA31" s="47"/>
      <c r="LTB31" s="47"/>
      <c r="LTC31" s="47"/>
      <c r="LTD31" s="47"/>
      <c r="LTE31" s="47"/>
      <c r="LTF31" s="47"/>
      <c r="LTG31" s="47"/>
      <c r="LTH31" s="47"/>
      <c r="LTI31" s="47"/>
      <c r="LTJ31" s="47"/>
      <c r="LTK31" s="47"/>
      <c r="LTL31" s="47"/>
      <c r="LTM31" s="47"/>
      <c r="LTN31" s="47"/>
      <c r="LTO31" s="47"/>
      <c r="LTP31" s="47"/>
      <c r="LTQ31" s="47"/>
      <c r="LTR31" s="47"/>
      <c r="LTS31" s="47"/>
      <c r="LTT31" s="47"/>
      <c r="LTU31" s="47"/>
      <c r="LTV31" s="47"/>
      <c r="LTW31" s="47"/>
      <c r="LTX31" s="47"/>
      <c r="LTY31" s="47"/>
      <c r="LTZ31" s="47"/>
      <c r="LUA31" s="47"/>
      <c r="LUB31" s="47"/>
      <c r="LUC31" s="47"/>
      <c r="LUD31" s="47"/>
      <c r="LUE31" s="47"/>
      <c r="LUF31" s="47"/>
      <c r="LUG31" s="47"/>
      <c r="LUH31" s="47"/>
      <c r="LUI31" s="47"/>
      <c r="LUJ31" s="47"/>
      <c r="LUK31" s="47"/>
      <c r="LUL31" s="47"/>
      <c r="LUM31" s="47"/>
      <c r="LUN31" s="47"/>
      <c r="LUO31" s="47"/>
      <c r="LUP31" s="47"/>
      <c r="LUQ31" s="47"/>
      <c r="LUR31" s="47"/>
      <c r="LUS31" s="47"/>
      <c r="LUT31" s="47"/>
      <c r="LUU31" s="47"/>
      <c r="LUV31" s="47"/>
      <c r="LUW31" s="47"/>
      <c r="LUX31" s="47"/>
      <c r="LUY31" s="47"/>
      <c r="LUZ31" s="47"/>
      <c r="LVA31" s="47"/>
      <c r="LVB31" s="47"/>
      <c r="LVC31" s="47"/>
      <c r="LVD31" s="47"/>
      <c r="LVE31" s="47"/>
      <c r="LVF31" s="47"/>
      <c r="LVG31" s="47"/>
      <c r="LVH31" s="47"/>
      <c r="LVI31" s="47"/>
      <c r="LVJ31" s="47"/>
      <c r="LVK31" s="47"/>
      <c r="LVL31" s="47"/>
      <c r="LVM31" s="47"/>
      <c r="LVN31" s="47"/>
      <c r="LVO31" s="47"/>
      <c r="LVP31" s="47"/>
      <c r="LVQ31" s="47"/>
      <c r="LVR31" s="47"/>
      <c r="LVS31" s="47"/>
      <c r="LVT31" s="47"/>
      <c r="LVU31" s="47"/>
      <c r="LVV31" s="47"/>
      <c r="LVW31" s="47"/>
      <c r="LVX31" s="47"/>
      <c r="LVY31" s="47"/>
      <c r="LVZ31" s="47"/>
      <c r="LWA31" s="47"/>
      <c r="LWB31" s="47"/>
      <c r="LWC31" s="47"/>
      <c r="LWD31" s="47"/>
      <c r="LWE31" s="47"/>
      <c r="LWF31" s="47"/>
      <c r="LWG31" s="47"/>
      <c r="LWH31" s="47"/>
      <c r="LWI31" s="47"/>
      <c r="LWJ31" s="47"/>
      <c r="LWK31" s="47"/>
      <c r="LWL31" s="47"/>
      <c r="LWM31" s="47"/>
      <c r="LWN31" s="47"/>
      <c r="LWO31" s="47"/>
      <c r="LWP31" s="47"/>
      <c r="LWQ31" s="47"/>
      <c r="LWR31" s="47"/>
      <c r="LWS31" s="47"/>
      <c r="LWT31" s="47"/>
      <c r="LWU31" s="47"/>
      <c r="LWV31" s="47"/>
      <c r="LWW31" s="47"/>
      <c r="LWX31" s="47"/>
      <c r="LWY31" s="47"/>
      <c r="LWZ31" s="47"/>
      <c r="LXA31" s="47"/>
      <c r="LXB31" s="47"/>
      <c r="LXC31" s="47"/>
      <c r="LXD31" s="47"/>
      <c r="LXE31" s="47"/>
      <c r="LXF31" s="47"/>
      <c r="LXG31" s="47"/>
      <c r="LXH31" s="47"/>
      <c r="LXI31" s="47"/>
      <c r="LXJ31" s="47"/>
      <c r="LXK31" s="47"/>
      <c r="LXL31" s="47"/>
      <c r="LXM31" s="47"/>
      <c r="LXN31" s="47"/>
      <c r="LXO31" s="47"/>
      <c r="LXP31" s="47"/>
      <c r="LXQ31" s="47"/>
      <c r="LXR31" s="47"/>
      <c r="LXS31" s="47"/>
      <c r="LXT31" s="47"/>
      <c r="LXU31" s="47"/>
      <c r="LXV31" s="47"/>
      <c r="LXW31" s="47"/>
      <c r="LXX31" s="47"/>
      <c r="LXY31" s="47"/>
      <c r="LXZ31" s="47"/>
      <c r="LYA31" s="47"/>
      <c r="LYB31" s="47"/>
      <c r="LYC31" s="47"/>
      <c r="LYD31" s="47"/>
      <c r="LYE31" s="47"/>
      <c r="LYF31" s="47"/>
      <c r="LYG31" s="47"/>
      <c r="LYH31" s="47"/>
      <c r="LYI31" s="47"/>
      <c r="LYJ31" s="47"/>
      <c r="LYK31" s="47"/>
      <c r="LYL31" s="47"/>
      <c r="LYM31" s="47"/>
      <c r="LYN31" s="47"/>
      <c r="LYO31" s="47"/>
      <c r="LYP31" s="47"/>
      <c r="LYQ31" s="47"/>
      <c r="LYR31" s="47"/>
      <c r="LYS31" s="47"/>
      <c r="LYT31" s="47"/>
      <c r="LYU31" s="47"/>
      <c r="LYV31" s="47"/>
      <c r="LYW31" s="47"/>
      <c r="LYX31" s="47"/>
      <c r="LYY31" s="47"/>
      <c r="LYZ31" s="47"/>
      <c r="LZA31" s="47"/>
      <c r="LZB31" s="47"/>
      <c r="LZC31" s="47"/>
      <c r="LZD31" s="47"/>
      <c r="LZE31" s="47"/>
      <c r="LZF31" s="47"/>
      <c r="LZG31" s="47"/>
      <c r="LZH31" s="47"/>
      <c r="LZI31" s="47"/>
      <c r="LZJ31" s="47"/>
      <c r="LZK31" s="47"/>
      <c r="LZL31" s="47"/>
      <c r="LZM31" s="47"/>
      <c r="LZN31" s="47"/>
      <c r="LZO31" s="47"/>
      <c r="LZP31" s="47"/>
      <c r="LZQ31" s="47"/>
      <c r="LZR31" s="47"/>
      <c r="LZS31" s="47"/>
      <c r="LZT31" s="47"/>
      <c r="LZU31" s="47"/>
      <c r="LZV31" s="47"/>
      <c r="LZW31" s="47"/>
      <c r="LZX31" s="47"/>
      <c r="LZY31" s="47"/>
      <c r="LZZ31" s="47"/>
      <c r="MAA31" s="47"/>
      <c r="MAB31" s="47"/>
      <c r="MAC31" s="47"/>
      <c r="MAD31" s="47"/>
      <c r="MAE31" s="47"/>
      <c r="MAF31" s="47"/>
      <c r="MAG31" s="47"/>
      <c r="MAH31" s="47"/>
      <c r="MAI31" s="47"/>
      <c r="MAJ31" s="47"/>
      <c r="MAK31" s="47"/>
      <c r="MAL31" s="47"/>
      <c r="MAM31" s="47"/>
      <c r="MAN31" s="47"/>
      <c r="MAO31" s="47"/>
      <c r="MAP31" s="47"/>
      <c r="MAQ31" s="47"/>
      <c r="MAR31" s="47"/>
      <c r="MAS31" s="47"/>
      <c r="MAT31" s="47"/>
      <c r="MAU31" s="47"/>
      <c r="MAV31" s="47"/>
      <c r="MAW31" s="47"/>
      <c r="MAX31" s="47"/>
      <c r="MAY31" s="47"/>
      <c r="MAZ31" s="47"/>
      <c r="MBA31" s="47"/>
      <c r="MBB31" s="47"/>
      <c r="MBC31" s="47"/>
      <c r="MBD31" s="47"/>
      <c r="MBE31" s="47"/>
      <c r="MBF31" s="47"/>
      <c r="MBG31" s="47"/>
      <c r="MBH31" s="47"/>
      <c r="MBI31" s="47"/>
      <c r="MBJ31" s="47"/>
      <c r="MBK31" s="47"/>
      <c r="MBL31" s="47"/>
      <c r="MBM31" s="47"/>
      <c r="MBN31" s="47"/>
      <c r="MBO31" s="47"/>
      <c r="MBP31" s="47"/>
      <c r="MBQ31" s="47"/>
      <c r="MBR31" s="47"/>
      <c r="MBS31" s="47"/>
      <c r="MBT31" s="47"/>
      <c r="MBU31" s="47"/>
      <c r="MBV31" s="47"/>
      <c r="MBW31" s="47"/>
      <c r="MBX31" s="47"/>
      <c r="MBY31" s="47"/>
      <c r="MBZ31" s="47"/>
      <c r="MCA31" s="47"/>
      <c r="MCB31" s="47"/>
      <c r="MCC31" s="47"/>
      <c r="MCD31" s="47"/>
      <c r="MCE31" s="47"/>
      <c r="MCF31" s="47"/>
      <c r="MCG31" s="47"/>
      <c r="MCH31" s="47"/>
      <c r="MCI31" s="47"/>
      <c r="MCJ31" s="47"/>
      <c r="MCK31" s="47"/>
      <c r="MCL31" s="47"/>
      <c r="MCM31" s="47"/>
      <c r="MCN31" s="47"/>
      <c r="MCO31" s="47"/>
      <c r="MCP31" s="47"/>
      <c r="MCQ31" s="47"/>
      <c r="MCR31" s="47"/>
      <c r="MCS31" s="47"/>
      <c r="MCT31" s="47"/>
      <c r="MCU31" s="47"/>
      <c r="MCV31" s="47"/>
      <c r="MCW31" s="47"/>
      <c r="MCX31" s="47"/>
      <c r="MCY31" s="47"/>
      <c r="MCZ31" s="47"/>
      <c r="MDA31" s="47"/>
      <c r="MDB31" s="47"/>
      <c r="MDC31" s="47"/>
      <c r="MDD31" s="47"/>
      <c r="MDE31" s="47"/>
      <c r="MDF31" s="47"/>
      <c r="MDG31" s="47"/>
      <c r="MDH31" s="47"/>
      <c r="MDI31" s="47"/>
      <c r="MDJ31" s="47"/>
      <c r="MDK31" s="47"/>
      <c r="MDL31" s="47"/>
      <c r="MDM31" s="47"/>
      <c r="MDN31" s="47"/>
      <c r="MDO31" s="47"/>
      <c r="MDP31" s="47"/>
      <c r="MDQ31" s="47"/>
      <c r="MDR31" s="47"/>
      <c r="MDS31" s="47"/>
      <c r="MDT31" s="47"/>
      <c r="MDU31" s="47"/>
      <c r="MDV31" s="47"/>
      <c r="MDW31" s="47"/>
      <c r="MDX31" s="47"/>
      <c r="MDY31" s="47"/>
      <c r="MDZ31" s="47"/>
      <c r="MEA31" s="47"/>
      <c r="MEB31" s="47"/>
      <c r="MEC31" s="47"/>
      <c r="MED31" s="47"/>
      <c r="MEE31" s="47"/>
      <c r="MEF31" s="47"/>
      <c r="MEG31" s="47"/>
      <c r="MEH31" s="47"/>
      <c r="MEI31" s="47"/>
      <c r="MEJ31" s="47"/>
      <c r="MEK31" s="47"/>
      <c r="MEL31" s="47"/>
      <c r="MEM31" s="47"/>
      <c r="MEN31" s="47"/>
      <c r="MEO31" s="47"/>
      <c r="MEP31" s="47"/>
      <c r="MEQ31" s="47"/>
      <c r="MER31" s="47"/>
      <c r="MES31" s="47"/>
      <c r="MET31" s="47"/>
      <c r="MEU31" s="47"/>
      <c r="MEV31" s="47"/>
      <c r="MEW31" s="47"/>
      <c r="MEX31" s="47"/>
      <c r="MEY31" s="47"/>
      <c r="MEZ31" s="47"/>
      <c r="MFA31" s="47"/>
      <c r="MFB31" s="47"/>
      <c r="MFC31" s="47"/>
      <c r="MFD31" s="47"/>
      <c r="MFE31" s="47"/>
      <c r="MFF31" s="47"/>
      <c r="MFG31" s="47"/>
      <c r="MFH31" s="47"/>
      <c r="MFI31" s="47"/>
      <c r="MFJ31" s="47"/>
      <c r="MFK31" s="47"/>
      <c r="MFL31" s="47"/>
      <c r="MFM31" s="47"/>
      <c r="MFN31" s="47"/>
      <c r="MFO31" s="47"/>
      <c r="MFP31" s="47"/>
      <c r="MFQ31" s="47"/>
      <c r="MFR31" s="47"/>
      <c r="MFS31" s="47"/>
      <c r="MFT31" s="47"/>
      <c r="MFU31" s="47"/>
      <c r="MFV31" s="47"/>
      <c r="MFW31" s="47"/>
      <c r="MFX31" s="47"/>
      <c r="MFY31" s="47"/>
      <c r="MFZ31" s="47"/>
      <c r="MGA31" s="47"/>
      <c r="MGB31" s="47"/>
      <c r="MGC31" s="47"/>
      <c r="MGD31" s="47"/>
      <c r="MGE31" s="47"/>
      <c r="MGF31" s="47"/>
      <c r="MGG31" s="47"/>
      <c r="MGH31" s="47"/>
      <c r="MGI31" s="47"/>
      <c r="MGJ31" s="47"/>
      <c r="MGK31" s="47"/>
      <c r="MGL31" s="47"/>
      <c r="MGM31" s="47"/>
      <c r="MGN31" s="47"/>
      <c r="MGO31" s="47"/>
      <c r="MGP31" s="47"/>
      <c r="MGQ31" s="47"/>
      <c r="MGR31" s="47"/>
      <c r="MGS31" s="47"/>
      <c r="MGT31" s="47"/>
      <c r="MGU31" s="47"/>
      <c r="MGV31" s="47"/>
      <c r="MGW31" s="47"/>
      <c r="MGX31" s="47"/>
      <c r="MGY31" s="47"/>
      <c r="MGZ31" s="47"/>
      <c r="MHA31" s="47"/>
      <c r="MHB31" s="47"/>
      <c r="MHC31" s="47"/>
      <c r="MHD31" s="47"/>
      <c r="MHE31" s="47"/>
      <c r="MHF31" s="47"/>
      <c r="MHG31" s="47"/>
      <c r="MHH31" s="47"/>
      <c r="MHI31" s="47"/>
      <c r="MHJ31" s="47"/>
      <c r="MHK31" s="47"/>
      <c r="MHL31" s="47"/>
      <c r="MHM31" s="47"/>
      <c r="MHN31" s="47"/>
      <c r="MHO31" s="47"/>
      <c r="MHP31" s="47"/>
      <c r="MHQ31" s="47"/>
      <c r="MHR31" s="47"/>
      <c r="MHS31" s="47"/>
      <c r="MHT31" s="47"/>
      <c r="MHU31" s="47"/>
      <c r="MHV31" s="47"/>
      <c r="MHW31" s="47"/>
      <c r="MHX31" s="47"/>
      <c r="MHY31" s="47"/>
      <c r="MHZ31" s="47"/>
      <c r="MIA31" s="47"/>
      <c r="MIB31" s="47"/>
      <c r="MIC31" s="47"/>
      <c r="MID31" s="47"/>
      <c r="MIE31" s="47"/>
      <c r="MIF31" s="47"/>
      <c r="MIG31" s="47"/>
      <c r="MIH31" s="47"/>
      <c r="MII31" s="47"/>
      <c r="MIJ31" s="47"/>
      <c r="MIK31" s="47"/>
      <c r="MIL31" s="47"/>
      <c r="MIM31" s="47"/>
      <c r="MIN31" s="47"/>
      <c r="MIO31" s="47"/>
      <c r="MIP31" s="47"/>
      <c r="MIQ31" s="47"/>
      <c r="MIR31" s="47"/>
      <c r="MIS31" s="47"/>
      <c r="MIT31" s="47"/>
      <c r="MIU31" s="47"/>
      <c r="MIV31" s="47"/>
      <c r="MIW31" s="47"/>
      <c r="MIX31" s="47"/>
      <c r="MIY31" s="47"/>
      <c r="MIZ31" s="47"/>
      <c r="MJA31" s="47"/>
      <c r="MJB31" s="47"/>
      <c r="MJC31" s="47"/>
      <c r="MJD31" s="47"/>
      <c r="MJE31" s="47"/>
      <c r="MJF31" s="47"/>
      <c r="MJG31" s="47"/>
      <c r="MJH31" s="47"/>
      <c r="MJI31" s="47"/>
      <c r="MJJ31" s="47"/>
      <c r="MJK31" s="47"/>
      <c r="MJL31" s="47"/>
      <c r="MJM31" s="47"/>
      <c r="MJN31" s="47"/>
      <c r="MJO31" s="47"/>
      <c r="MJP31" s="47"/>
      <c r="MJQ31" s="47"/>
      <c r="MJR31" s="47"/>
      <c r="MJS31" s="47"/>
      <c r="MJT31" s="47"/>
      <c r="MJU31" s="47"/>
      <c r="MJV31" s="47"/>
      <c r="MJW31" s="47"/>
      <c r="MJX31" s="47"/>
      <c r="MJY31" s="47"/>
      <c r="MJZ31" s="47"/>
      <c r="MKA31" s="47"/>
      <c r="MKB31" s="47"/>
      <c r="MKC31" s="47"/>
      <c r="MKD31" s="47"/>
      <c r="MKE31" s="47"/>
      <c r="MKF31" s="47"/>
      <c r="MKG31" s="47"/>
      <c r="MKH31" s="47"/>
      <c r="MKI31" s="47"/>
      <c r="MKJ31" s="47"/>
      <c r="MKK31" s="47"/>
      <c r="MKL31" s="47"/>
      <c r="MKM31" s="47"/>
      <c r="MKN31" s="47"/>
      <c r="MKO31" s="47"/>
      <c r="MKP31" s="47"/>
      <c r="MKQ31" s="47"/>
      <c r="MKR31" s="47"/>
      <c r="MKS31" s="47"/>
      <c r="MKT31" s="47"/>
      <c r="MKU31" s="47"/>
      <c r="MKV31" s="47"/>
      <c r="MKW31" s="47"/>
      <c r="MKX31" s="47"/>
      <c r="MKY31" s="47"/>
      <c r="MKZ31" s="47"/>
      <c r="MLA31" s="47"/>
      <c r="MLB31" s="47"/>
      <c r="MLC31" s="47"/>
      <c r="MLD31" s="47"/>
      <c r="MLE31" s="47"/>
      <c r="MLF31" s="47"/>
      <c r="MLG31" s="47"/>
      <c r="MLH31" s="47"/>
      <c r="MLI31" s="47"/>
      <c r="MLJ31" s="47"/>
      <c r="MLK31" s="47"/>
      <c r="MLL31" s="47"/>
      <c r="MLM31" s="47"/>
      <c r="MLN31" s="47"/>
      <c r="MLO31" s="47"/>
      <c r="MLP31" s="47"/>
      <c r="MLQ31" s="47"/>
      <c r="MLR31" s="47"/>
      <c r="MLS31" s="47"/>
      <c r="MLT31" s="47"/>
      <c r="MLU31" s="47"/>
      <c r="MLV31" s="47"/>
      <c r="MLW31" s="47"/>
      <c r="MLX31" s="47"/>
      <c r="MLY31" s="47"/>
      <c r="MLZ31" s="47"/>
      <c r="MMA31" s="47"/>
      <c r="MMB31" s="47"/>
      <c r="MMC31" s="47"/>
      <c r="MMD31" s="47"/>
      <c r="MME31" s="47"/>
      <c r="MMF31" s="47"/>
      <c r="MMG31" s="47"/>
      <c r="MMH31" s="47"/>
      <c r="MMI31" s="47"/>
      <c r="MMJ31" s="47"/>
      <c r="MMK31" s="47"/>
      <c r="MML31" s="47"/>
      <c r="MMM31" s="47"/>
      <c r="MMN31" s="47"/>
      <c r="MMO31" s="47"/>
      <c r="MMP31" s="47"/>
      <c r="MMQ31" s="47"/>
      <c r="MMR31" s="47"/>
      <c r="MMS31" s="47"/>
      <c r="MMT31" s="47"/>
      <c r="MMU31" s="47"/>
      <c r="MMV31" s="47"/>
      <c r="MMW31" s="47"/>
      <c r="MMX31" s="47"/>
      <c r="MMY31" s="47"/>
      <c r="MMZ31" s="47"/>
      <c r="MNA31" s="47"/>
      <c r="MNB31" s="47"/>
      <c r="MNC31" s="47"/>
      <c r="MND31" s="47"/>
      <c r="MNE31" s="47"/>
      <c r="MNF31" s="47"/>
      <c r="MNG31" s="47"/>
      <c r="MNH31" s="47"/>
      <c r="MNI31" s="47"/>
      <c r="MNJ31" s="47"/>
      <c r="MNK31" s="47"/>
      <c r="MNL31" s="47"/>
      <c r="MNM31" s="47"/>
      <c r="MNN31" s="47"/>
      <c r="MNO31" s="47"/>
      <c r="MNP31" s="47"/>
      <c r="MNQ31" s="47"/>
      <c r="MNR31" s="47"/>
      <c r="MNS31" s="47"/>
      <c r="MNT31" s="47"/>
      <c r="MNU31" s="47"/>
      <c r="MNV31" s="47"/>
      <c r="MNW31" s="47"/>
      <c r="MNX31" s="47"/>
      <c r="MNY31" s="47"/>
      <c r="MNZ31" s="47"/>
      <c r="MOA31" s="47"/>
      <c r="MOB31" s="47"/>
      <c r="MOC31" s="47"/>
      <c r="MOD31" s="47"/>
      <c r="MOE31" s="47"/>
      <c r="MOF31" s="47"/>
      <c r="MOG31" s="47"/>
      <c r="MOH31" s="47"/>
      <c r="MOI31" s="47"/>
      <c r="MOJ31" s="47"/>
      <c r="MOK31" s="47"/>
      <c r="MOL31" s="47"/>
      <c r="MOM31" s="47"/>
      <c r="MON31" s="47"/>
      <c r="MOO31" s="47"/>
      <c r="MOP31" s="47"/>
      <c r="MOQ31" s="47"/>
      <c r="MOR31" s="47"/>
      <c r="MOS31" s="47"/>
      <c r="MOT31" s="47"/>
      <c r="MOU31" s="47"/>
      <c r="MOV31" s="47"/>
      <c r="MOW31" s="47"/>
      <c r="MOX31" s="47"/>
      <c r="MOY31" s="47"/>
      <c r="MOZ31" s="47"/>
      <c r="MPA31" s="47"/>
      <c r="MPB31" s="47"/>
      <c r="MPC31" s="47"/>
      <c r="MPD31" s="47"/>
      <c r="MPE31" s="47"/>
      <c r="MPF31" s="47"/>
      <c r="MPG31" s="47"/>
      <c r="MPH31" s="47"/>
      <c r="MPI31" s="47"/>
      <c r="MPJ31" s="47"/>
      <c r="MPK31" s="47"/>
      <c r="MPL31" s="47"/>
      <c r="MPM31" s="47"/>
      <c r="MPN31" s="47"/>
      <c r="MPO31" s="47"/>
      <c r="MPP31" s="47"/>
      <c r="MPQ31" s="47"/>
      <c r="MPR31" s="47"/>
      <c r="MPS31" s="47"/>
      <c r="MPT31" s="47"/>
      <c r="MPU31" s="47"/>
      <c r="MPV31" s="47"/>
      <c r="MPW31" s="47"/>
      <c r="MPX31" s="47"/>
      <c r="MPY31" s="47"/>
      <c r="MPZ31" s="47"/>
      <c r="MQA31" s="47"/>
      <c r="MQB31" s="47"/>
      <c r="MQC31" s="47"/>
      <c r="MQD31" s="47"/>
      <c r="MQE31" s="47"/>
      <c r="MQF31" s="47"/>
      <c r="MQG31" s="47"/>
      <c r="MQH31" s="47"/>
      <c r="MQI31" s="47"/>
      <c r="MQJ31" s="47"/>
      <c r="MQK31" s="47"/>
      <c r="MQL31" s="47"/>
      <c r="MQM31" s="47"/>
      <c r="MQN31" s="47"/>
      <c r="MQO31" s="47"/>
      <c r="MQP31" s="47"/>
      <c r="MQQ31" s="47"/>
      <c r="MQR31" s="47"/>
      <c r="MQS31" s="47"/>
      <c r="MQT31" s="47"/>
      <c r="MQU31" s="47"/>
      <c r="MQV31" s="47"/>
      <c r="MQW31" s="47"/>
      <c r="MQX31" s="47"/>
      <c r="MQY31" s="47"/>
      <c r="MQZ31" s="47"/>
      <c r="MRA31" s="47"/>
      <c r="MRB31" s="47"/>
      <c r="MRC31" s="47"/>
      <c r="MRD31" s="47"/>
      <c r="MRE31" s="47"/>
      <c r="MRF31" s="47"/>
      <c r="MRG31" s="47"/>
      <c r="MRH31" s="47"/>
      <c r="MRI31" s="47"/>
      <c r="MRJ31" s="47"/>
      <c r="MRK31" s="47"/>
      <c r="MRL31" s="47"/>
      <c r="MRM31" s="47"/>
      <c r="MRN31" s="47"/>
      <c r="MRO31" s="47"/>
      <c r="MRP31" s="47"/>
      <c r="MRQ31" s="47"/>
      <c r="MRR31" s="47"/>
      <c r="MRS31" s="47"/>
      <c r="MRT31" s="47"/>
      <c r="MRU31" s="47"/>
      <c r="MRV31" s="47"/>
      <c r="MRW31" s="47"/>
      <c r="MRX31" s="47"/>
      <c r="MRY31" s="47"/>
      <c r="MRZ31" s="47"/>
      <c r="MSA31" s="47"/>
      <c r="MSB31" s="47"/>
      <c r="MSC31" s="47"/>
      <c r="MSD31" s="47"/>
      <c r="MSE31" s="47"/>
      <c r="MSF31" s="47"/>
      <c r="MSG31" s="47"/>
      <c r="MSH31" s="47"/>
      <c r="MSI31" s="47"/>
      <c r="MSJ31" s="47"/>
      <c r="MSK31" s="47"/>
      <c r="MSL31" s="47"/>
      <c r="MSM31" s="47"/>
      <c r="MSN31" s="47"/>
      <c r="MSO31" s="47"/>
      <c r="MSP31" s="47"/>
      <c r="MSQ31" s="47"/>
      <c r="MSR31" s="47"/>
      <c r="MSS31" s="47"/>
      <c r="MST31" s="47"/>
      <c r="MSU31" s="47"/>
      <c r="MSV31" s="47"/>
      <c r="MSW31" s="47"/>
      <c r="MSX31" s="47"/>
      <c r="MSY31" s="47"/>
      <c r="MSZ31" s="47"/>
      <c r="MTA31" s="47"/>
      <c r="MTB31" s="47"/>
      <c r="MTC31" s="47"/>
      <c r="MTD31" s="47"/>
      <c r="MTE31" s="47"/>
      <c r="MTF31" s="47"/>
      <c r="MTG31" s="47"/>
      <c r="MTH31" s="47"/>
      <c r="MTI31" s="47"/>
      <c r="MTJ31" s="47"/>
      <c r="MTK31" s="47"/>
      <c r="MTL31" s="47"/>
      <c r="MTM31" s="47"/>
      <c r="MTN31" s="47"/>
      <c r="MTO31" s="47"/>
      <c r="MTP31" s="47"/>
      <c r="MTQ31" s="47"/>
      <c r="MTR31" s="47"/>
      <c r="MTS31" s="47"/>
      <c r="MTT31" s="47"/>
      <c r="MTU31" s="47"/>
      <c r="MTV31" s="47"/>
      <c r="MTW31" s="47"/>
      <c r="MTX31" s="47"/>
      <c r="MTY31" s="47"/>
      <c r="MTZ31" s="47"/>
      <c r="MUA31" s="47"/>
      <c r="MUB31" s="47"/>
      <c r="MUC31" s="47"/>
      <c r="MUD31" s="47"/>
      <c r="MUE31" s="47"/>
      <c r="MUF31" s="47"/>
      <c r="MUG31" s="47"/>
      <c r="MUH31" s="47"/>
      <c r="MUI31" s="47"/>
      <c r="MUJ31" s="47"/>
      <c r="MUK31" s="47"/>
      <c r="MUL31" s="47"/>
      <c r="MUM31" s="47"/>
      <c r="MUN31" s="47"/>
      <c r="MUO31" s="47"/>
      <c r="MUP31" s="47"/>
      <c r="MUQ31" s="47"/>
      <c r="MUR31" s="47"/>
      <c r="MUS31" s="47"/>
      <c r="MUT31" s="47"/>
      <c r="MUU31" s="47"/>
      <c r="MUV31" s="47"/>
      <c r="MUW31" s="47"/>
      <c r="MUX31" s="47"/>
      <c r="MUY31" s="47"/>
      <c r="MUZ31" s="47"/>
      <c r="MVA31" s="47"/>
      <c r="MVB31" s="47"/>
      <c r="MVC31" s="47"/>
      <c r="MVD31" s="47"/>
      <c r="MVE31" s="47"/>
      <c r="MVF31" s="47"/>
      <c r="MVG31" s="47"/>
      <c r="MVH31" s="47"/>
      <c r="MVI31" s="47"/>
      <c r="MVJ31" s="47"/>
      <c r="MVK31" s="47"/>
      <c r="MVL31" s="47"/>
      <c r="MVM31" s="47"/>
      <c r="MVN31" s="47"/>
      <c r="MVO31" s="47"/>
      <c r="MVP31" s="47"/>
      <c r="MVQ31" s="47"/>
      <c r="MVR31" s="47"/>
      <c r="MVS31" s="47"/>
      <c r="MVT31" s="47"/>
      <c r="MVU31" s="47"/>
      <c r="MVV31" s="47"/>
      <c r="MVW31" s="47"/>
      <c r="MVX31" s="47"/>
      <c r="MVY31" s="47"/>
      <c r="MVZ31" s="47"/>
      <c r="MWA31" s="47"/>
      <c r="MWB31" s="47"/>
      <c r="MWC31" s="47"/>
      <c r="MWD31" s="47"/>
      <c r="MWE31" s="47"/>
      <c r="MWF31" s="47"/>
      <c r="MWG31" s="47"/>
      <c r="MWH31" s="47"/>
      <c r="MWI31" s="47"/>
      <c r="MWJ31" s="47"/>
      <c r="MWK31" s="47"/>
      <c r="MWL31" s="47"/>
      <c r="MWM31" s="47"/>
      <c r="MWN31" s="47"/>
      <c r="MWO31" s="47"/>
      <c r="MWP31" s="47"/>
      <c r="MWQ31" s="47"/>
      <c r="MWR31" s="47"/>
      <c r="MWS31" s="47"/>
      <c r="MWT31" s="47"/>
      <c r="MWU31" s="47"/>
      <c r="MWV31" s="47"/>
      <c r="MWW31" s="47"/>
      <c r="MWX31" s="47"/>
      <c r="MWY31" s="47"/>
      <c r="MWZ31" s="47"/>
      <c r="MXA31" s="47"/>
      <c r="MXB31" s="47"/>
      <c r="MXC31" s="47"/>
      <c r="MXD31" s="47"/>
      <c r="MXE31" s="47"/>
      <c r="MXF31" s="47"/>
      <c r="MXG31" s="47"/>
      <c r="MXH31" s="47"/>
      <c r="MXI31" s="47"/>
      <c r="MXJ31" s="47"/>
      <c r="MXK31" s="47"/>
      <c r="MXL31" s="47"/>
      <c r="MXM31" s="47"/>
      <c r="MXN31" s="47"/>
      <c r="MXO31" s="47"/>
      <c r="MXP31" s="47"/>
      <c r="MXQ31" s="47"/>
      <c r="MXR31" s="47"/>
      <c r="MXS31" s="47"/>
      <c r="MXT31" s="47"/>
      <c r="MXU31" s="47"/>
      <c r="MXV31" s="47"/>
      <c r="MXW31" s="47"/>
      <c r="MXX31" s="47"/>
      <c r="MXY31" s="47"/>
      <c r="MXZ31" s="47"/>
      <c r="MYA31" s="47"/>
      <c r="MYB31" s="47"/>
      <c r="MYC31" s="47"/>
      <c r="MYD31" s="47"/>
      <c r="MYE31" s="47"/>
      <c r="MYF31" s="47"/>
      <c r="MYG31" s="47"/>
      <c r="MYH31" s="47"/>
      <c r="MYI31" s="47"/>
      <c r="MYJ31" s="47"/>
      <c r="MYK31" s="47"/>
      <c r="MYL31" s="47"/>
      <c r="MYM31" s="47"/>
      <c r="MYN31" s="47"/>
      <c r="MYO31" s="47"/>
      <c r="MYP31" s="47"/>
      <c r="MYQ31" s="47"/>
      <c r="MYR31" s="47"/>
      <c r="MYS31" s="47"/>
      <c r="MYT31" s="47"/>
      <c r="MYU31" s="47"/>
      <c r="MYV31" s="47"/>
      <c r="MYW31" s="47"/>
      <c r="MYX31" s="47"/>
      <c r="MYY31" s="47"/>
      <c r="MYZ31" s="47"/>
      <c r="MZA31" s="47"/>
      <c r="MZB31" s="47"/>
      <c r="MZC31" s="47"/>
      <c r="MZD31" s="47"/>
      <c r="MZE31" s="47"/>
      <c r="MZF31" s="47"/>
      <c r="MZG31" s="47"/>
      <c r="MZH31" s="47"/>
      <c r="MZI31" s="47"/>
      <c r="MZJ31" s="47"/>
      <c r="MZK31" s="47"/>
      <c r="MZL31" s="47"/>
      <c r="MZM31" s="47"/>
      <c r="MZN31" s="47"/>
      <c r="MZO31" s="47"/>
      <c r="MZP31" s="47"/>
      <c r="MZQ31" s="47"/>
      <c r="MZR31" s="47"/>
      <c r="MZS31" s="47"/>
      <c r="MZT31" s="47"/>
      <c r="MZU31" s="47"/>
      <c r="MZV31" s="47"/>
      <c r="MZW31" s="47"/>
      <c r="MZX31" s="47"/>
      <c r="MZY31" s="47"/>
      <c r="MZZ31" s="47"/>
      <c r="NAA31" s="47"/>
      <c r="NAB31" s="47"/>
      <c r="NAC31" s="47"/>
      <c r="NAD31" s="47"/>
      <c r="NAE31" s="47"/>
      <c r="NAF31" s="47"/>
      <c r="NAG31" s="47"/>
      <c r="NAH31" s="47"/>
      <c r="NAI31" s="47"/>
      <c r="NAJ31" s="47"/>
      <c r="NAK31" s="47"/>
      <c r="NAL31" s="47"/>
      <c r="NAM31" s="47"/>
      <c r="NAN31" s="47"/>
      <c r="NAO31" s="47"/>
      <c r="NAP31" s="47"/>
      <c r="NAQ31" s="47"/>
      <c r="NAR31" s="47"/>
      <c r="NAS31" s="47"/>
      <c r="NAT31" s="47"/>
      <c r="NAU31" s="47"/>
      <c r="NAV31" s="47"/>
      <c r="NAW31" s="47"/>
      <c r="NAX31" s="47"/>
      <c r="NAY31" s="47"/>
      <c r="NAZ31" s="47"/>
      <c r="NBA31" s="47"/>
      <c r="NBB31" s="47"/>
      <c r="NBC31" s="47"/>
      <c r="NBD31" s="47"/>
      <c r="NBE31" s="47"/>
      <c r="NBF31" s="47"/>
      <c r="NBG31" s="47"/>
      <c r="NBH31" s="47"/>
      <c r="NBI31" s="47"/>
      <c r="NBJ31" s="47"/>
      <c r="NBK31" s="47"/>
      <c r="NBL31" s="47"/>
      <c r="NBM31" s="47"/>
      <c r="NBN31" s="47"/>
      <c r="NBO31" s="47"/>
      <c r="NBP31" s="47"/>
      <c r="NBQ31" s="47"/>
      <c r="NBR31" s="47"/>
      <c r="NBS31" s="47"/>
      <c r="NBT31" s="47"/>
      <c r="NBU31" s="47"/>
      <c r="NBV31" s="47"/>
      <c r="NBW31" s="47"/>
      <c r="NBX31" s="47"/>
      <c r="NBY31" s="47"/>
      <c r="NBZ31" s="47"/>
      <c r="NCA31" s="47"/>
      <c r="NCB31" s="47"/>
      <c r="NCC31" s="47"/>
      <c r="NCD31" s="47"/>
      <c r="NCE31" s="47"/>
      <c r="NCF31" s="47"/>
      <c r="NCG31" s="47"/>
      <c r="NCH31" s="47"/>
      <c r="NCI31" s="47"/>
      <c r="NCJ31" s="47"/>
      <c r="NCK31" s="47"/>
      <c r="NCL31" s="47"/>
      <c r="NCM31" s="47"/>
      <c r="NCN31" s="47"/>
      <c r="NCO31" s="47"/>
      <c r="NCP31" s="47"/>
      <c r="NCQ31" s="47"/>
      <c r="NCR31" s="47"/>
      <c r="NCS31" s="47"/>
      <c r="NCT31" s="47"/>
      <c r="NCU31" s="47"/>
      <c r="NCV31" s="47"/>
      <c r="NCW31" s="47"/>
      <c r="NCX31" s="47"/>
      <c r="NCY31" s="47"/>
      <c r="NCZ31" s="47"/>
      <c r="NDA31" s="47"/>
      <c r="NDB31" s="47"/>
      <c r="NDC31" s="47"/>
      <c r="NDD31" s="47"/>
      <c r="NDE31" s="47"/>
      <c r="NDF31" s="47"/>
      <c r="NDG31" s="47"/>
      <c r="NDH31" s="47"/>
      <c r="NDI31" s="47"/>
      <c r="NDJ31" s="47"/>
      <c r="NDK31" s="47"/>
      <c r="NDL31" s="47"/>
      <c r="NDM31" s="47"/>
      <c r="NDN31" s="47"/>
      <c r="NDO31" s="47"/>
      <c r="NDP31" s="47"/>
      <c r="NDQ31" s="47"/>
      <c r="NDR31" s="47"/>
      <c r="NDS31" s="47"/>
      <c r="NDT31" s="47"/>
      <c r="NDU31" s="47"/>
      <c r="NDV31" s="47"/>
      <c r="NDW31" s="47"/>
      <c r="NDX31" s="47"/>
      <c r="NDY31" s="47"/>
      <c r="NDZ31" s="47"/>
      <c r="NEA31" s="47"/>
      <c r="NEB31" s="47"/>
      <c r="NEC31" s="47"/>
      <c r="NED31" s="47"/>
      <c r="NEE31" s="47"/>
      <c r="NEF31" s="47"/>
      <c r="NEG31" s="47"/>
      <c r="NEH31" s="47"/>
      <c r="NEI31" s="47"/>
      <c r="NEJ31" s="47"/>
      <c r="NEK31" s="47"/>
      <c r="NEL31" s="47"/>
      <c r="NEM31" s="47"/>
      <c r="NEN31" s="47"/>
      <c r="NEO31" s="47"/>
      <c r="NEP31" s="47"/>
      <c r="NEQ31" s="47"/>
      <c r="NER31" s="47"/>
      <c r="NES31" s="47"/>
      <c r="NET31" s="47"/>
      <c r="NEU31" s="47"/>
      <c r="NEV31" s="47"/>
      <c r="NEW31" s="47"/>
      <c r="NEX31" s="47"/>
      <c r="NEY31" s="47"/>
      <c r="NEZ31" s="47"/>
      <c r="NFA31" s="47"/>
      <c r="NFB31" s="47"/>
      <c r="NFC31" s="47"/>
      <c r="NFD31" s="47"/>
      <c r="NFE31" s="47"/>
      <c r="NFF31" s="47"/>
      <c r="NFG31" s="47"/>
      <c r="NFH31" s="47"/>
      <c r="NFI31" s="47"/>
      <c r="NFJ31" s="47"/>
      <c r="NFK31" s="47"/>
      <c r="NFL31" s="47"/>
      <c r="NFM31" s="47"/>
      <c r="NFN31" s="47"/>
      <c r="NFO31" s="47"/>
      <c r="NFP31" s="47"/>
      <c r="NFQ31" s="47"/>
      <c r="NFR31" s="47"/>
      <c r="NFS31" s="47"/>
      <c r="NFT31" s="47"/>
      <c r="NFU31" s="47"/>
      <c r="NFV31" s="47"/>
      <c r="NFW31" s="47"/>
      <c r="NFX31" s="47"/>
      <c r="NFY31" s="47"/>
      <c r="NFZ31" s="47"/>
      <c r="NGA31" s="47"/>
      <c r="NGB31" s="47"/>
      <c r="NGC31" s="47"/>
      <c r="NGD31" s="47"/>
      <c r="NGE31" s="47"/>
      <c r="NGF31" s="47"/>
      <c r="NGG31" s="47"/>
      <c r="NGH31" s="47"/>
      <c r="NGI31" s="47"/>
      <c r="NGJ31" s="47"/>
      <c r="NGK31" s="47"/>
      <c r="NGL31" s="47"/>
      <c r="NGM31" s="47"/>
      <c r="NGN31" s="47"/>
      <c r="NGO31" s="47"/>
      <c r="NGP31" s="47"/>
      <c r="NGQ31" s="47"/>
      <c r="NGR31" s="47"/>
      <c r="NGS31" s="47"/>
      <c r="NGT31" s="47"/>
      <c r="NGU31" s="47"/>
      <c r="NGV31" s="47"/>
      <c r="NGW31" s="47"/>
      <c r="NGX31" s="47"/>
      <c r="NGY31" s="47"/>
      <c r="NGZ31" s="47"/>
      <c r="NHA31" s="47"/>
      <c r="NHB31" s="47"/>
      <c r="NHC31" s="47"/>
      <c r="NHD31" s="47"/>
      <c r="NHE31" s="47"/>
      <c r="NHF31" s="47"/>
      <c r="NHG31" s="47"/>
      <c r="NHH31" s="47"/>
      <c r="NHI31" s="47"/>
      <c r="NHJ31" s="47"/>
      <c r="NHK31" s="47"/>
      <c r="NHL31" s="47"/>
      <c r="NHM31" s="47"/>
      <c r="NHN31" s="47"/>
      <c r="NHO31" s="47"/>
      <c r="NHP31" s="47"/>
      <c r="NHQ31" s="47"/>
      <c r="NHR31" s="47"/>
      <c r="NHS31" s="47"/>
      <c r="NHT31" s="47"/>
      <c r="NHU31" s="47"/>
      <c r="NHV31" s="47"/>
      <c r="NHW31" s="47"/>
      <c r="NHX31" s="47"/>
      <c r="NHY31" s="47"/>
      <c r="NHZ31" s="47"/>
      <c r="NIA31" s="47"/>
      <c r="NIB31" s="47"/>
      <c r="NIC31" s="47"/>
      <c r="NID31" s="47"/>
      <c r="NIE31" s="47"/>
      <c r="NIF31" s="47"/>
      <c r="NIG31" s="47"/>
      <c r="NIH31" s="47"/>
      <c r="NII31" s="47"/>
      <c r="NIJ31" s="47"/>
      <c r="NIK31" s="47"/>
      <c r="NIL31" s="47"/>
      <c r="NIM31" s="47"/>
      <c r="NIN31" s="47"/>
      <c r="NIO31" s="47"/>
      <c r="NIP31" s="47"/>
      <c r="NIQ31" s="47"/>
      <c r="NIR31" s="47"/>
      <c r="NIS31" s="47"/>
      <c r="NIT31" s="47"/>
      <c r="NIU31" s="47"/>
      <c r="NIV31" s="47"/>
      <c r="NIW31" s="47"/>
      <c r="NIX31" s="47"/>
      <c r="NIY31" s="47"/>
      <c r="NIZ31" s="47"/>
      <c r="NJA31" s="47"/>
      <c r="NJB31" s="47"/>
      <c r="NJC31" s="47"/>
      <c r="NJD31" s="47"/>
      <c r="NJE31" s="47"/>
      <c r="NJF31" s="47"/>
      <c r="NJG31" s="47"/>
      <c r="NJH31" s="47"/>
      <c r="NJI31" s="47"/>
      <c r="NJJ31" s="47"/>
      <c r="NJK31" s="47"/>
      <c r="NJL31" s="47"/>
      <c r="NJM31" s="47"/>
      <c r="NJN31" s="47"/>
      <c r="NJO31" s="47"/>
      <c r="NJP31" s="47"/>
      <c r="NJQ31" s="47"/>
      <c r="NJR31" s="47"/>
      <c r="NJS31" s="47"/>
      <c r="NJT31" s="47"/>
      <c r="NJU31" s="47"/>
      <c r="NJV31" s="47"/>
      <c r="NJW31" s="47"/>
      <c r="NJX31" s="47"/>
      <c r="NJY31" s="47"/>
      <c r="NJZ31" s="47"/>
      <c r="NKA31" s="47"/>
      <c r="NKB31" s="47"/>
      <c r="NKC31" s="47"/>
      <c r="NKD31" s="47"/>
      <c r="NKE31" s="47"/>
      <c r="NKF31" s="47"/>
      <c r="NKG31" s="47"/>
      <c r="NKH31" s="47"/>
      <c r="NKI31" s="47"/>
      <c r="NKJ31" s="47"/>
      <c r="NKK31" s="47"/>
      <c r="NKL31" s="47"/>
      <c r="NKM31" s="47"/>
      <c r="NKN31" s="47"/>
      <c r="NKO31" s="47"/>
      <c r="NKP31" s="47"/>
      <c r="NKQ31" s="47"/>
      <c r="NKR31" s="47"/>
      <c r="NKS31" s="47"/>
      <c r="NKT31" s="47"/>
      <c r="NKU31" s="47"/>
      <c r="NKV31" s="47"/>
      <c r="NKW31" s="47"/>
      <c r="NKX31" s="47"/>
      <c r="NKY31" s="47"/>
      <c r="NKZ31" s="47"/>
      <c r="NLA31" s="47"/>
      <c r="NLB31" s="47"/>
      <c r="NLC31" s="47"/>
      <c r="NLD31" s="47"/>
      <c r="NLE31" s="47"/>
      <c r="NLF31" s="47"/>
      <c r="NLG31" s="47"/>
      <c r="NLH31" s="47"/>
      <c r="NLI31" s="47"/>
      <c r="NLJ31" s="47"/>
      <c r="NLK31" s="47"/>
      <c r="NLL31" s="47"/>
      <c r="NLM31" s="47"/>
      <c r="NLN31" s="47"/>
      <c r="NLO31" s="47"/>
      <c r="NLP31" s="47"/>
      <c r="NLQ31" s="47"/>
      <c r="NLR31" s="47"/>
      <c r="NLS31" s="47"/>
      <c r="NLT31" s="47"/>
      <c r="NLU31" s="47"/>
      <c r="NLV31" s="47"/>
      <c r="NLW31" s="47"/>
      <c r="NLX31" s="47"/>
      <c r="NLY31" s="47"/>
      <c r="NLZ31" s="47"/>
      <c r="NMA31" s="47"/>
      <c r="NMB31" s="47"/>
      <c r="NMC31" s="47"/>
      <c r="NMD31" s="47"/>
      <c r="NME31" s="47"/>
      <c r="NMF31" s="47"/>
      <c r="NMG31" s="47"/>
      <c r="NMH31" s="47"/>
      <c r="NMI31" s="47"/>
      <c r="NMJ31" s="47"/>
      <c r="NMK31" s="47"/>
      <c r="NML31" s="47"/>
      <c r="NMM31" s="47"/>
      <c r="NMN31" s="47"/>
      <c r="NMO31" s="47"/>
      <c r="NMP31" s="47"/>
      <c r="NMQ31" s="47"/>
      <c r="NMR31" s="47"/>
      <c r="NMS31" s="47"/>
      <c r="NMT31" s="47"/>
      <c r="NMU31" s="47"/>
      <c r="NMV31" s="47"/>
      <c r="NMW31" s="47"/>
      <c r="NMX31" s="47"/>
      <c r="NMY31" s="47"/>
      <c r="NMZ31" s="47"/>
      <c r="NNA31" s="47"/>
      <c r="NNB31" s="47"/>
      <c r="NNC31" s="47"/>
      <c r="NND31" s="47"/>
      <c r="NNE31" s="47"/>
      <c r="NNF31" s="47"/>
      <c r="NNG31" s="47"/>
      <c r="NNH31" s="47"/>
      <c r="NNI31" s="47"/>
      <c r="NNJ31" s="47"/>
      <c r="NNK31" s="47"/>
      <c r="NNL31" s="47"/>
      <c r="NNM31" s="47"/>
      <c r="NNN31" s="47"/>
      <c r="NNO31" s="47"/>
      <c r="NNP31" s="47"/>
      <c r="NNQ31" s="47"/>
      <c r="NNR31" s="47"/>
      <c r="NNS31" s="47"/>
      <c r="NNT31" s="47"/>
      <c r="NNU31" s="47"/>
      <c r="NNV31" s="47"/>
      <c r="NNW31" s="47"/>
      <c r="NNX31" s="47"/>
      <c r="NNY31" s="47"/>
      <c r="NNZ31" s="47"/>
      <c r="NOA31" s="47"/>
      <c r="NOB31" s="47"/>
      <c r="NOC31" s="47"/>
      <c r="NOD31" s="47"/>
      <c r="NOE31" s="47"/>
      <c r="NOF31" s="47"/>
      <c r="NOG31" s="47"/>
      <c r="NOH31" s="47"/>
      <c r="NOI31" s="47"/>
      <c r="NOJ31" s="47"/>
      <c r="NOK31" s="47"/>
      <c r="NOL31" s="47"/>
      <c r="NOM31" s="47"/>
      <c r="NON31" s="47"/>
      <c r="NOO31" s="47"/>
      <c r="NOP31" s="47"/>
      <c r="NOQ31" s="47"/>
      <c r="NOR31" s="47"/>
      <c r="NOS31" s="47"/>
      <c r="NOT31" s="47"/>
      <c r="NOU31" s="47"/>
      <c r="NOV31" s="47"/>
      <c r="NOW31" s="47"/>
      <c r="NOX31" s="47"/>
      <c r="NOY31" s="47"/>
      <c r="NOZ31" s="47"/>
      <c r="NPA31" s="47"/>
      <c r="NPB31" s="47"/>
      <c r="NPC31" s="47"/>
      <c r="NPD31" s="47"/>
      <c r="NPE31" s="47"/>
      <c r="NPF31" s="47"/>
      <c r="NPG31" s="47"/>
      <c r="NPH31" s="47"/>
      <c r="NPI31" s="47"/>
      <c r="NPJ31" s="47"/>
      <c r="NPK31" s="47"/>
      <c r="NPL31" s="47"/>
      <c r="NPM31" s="47"/>
      <c r="NPN31" s="47"/>
      <c r="NPO31" s="47"/>
      <c r="NPP31" s="47"/>
      <c r="NPQ31" s="47"/>
      <c r="NPR31" s="47"/>
      <c r="NPS31" s="47"/>
      <c r="NPT31" s="47"/>
      <c r="NPU31" s="47"/>
      <c r="NPV31" s="47"/>
      <c r="NPW31" s="47"/>
      <c r="NPX31" s="47"/>
      <c r="NPY31" s="47"/>
      <c r="NPZ31" s="47"/>
      <c r="NQA31" s="47"/>
      <c r="NQB31" s="47"/>
      <c r="NQC31" s="47"/>
      <c r="NQD31" s="47"/>
      <c r="NQE31" s="47"/>
      <c r="NQF31" s="47"/>
      <c r="NQG31" s="47"/>
      <c r="NQH31" s="47"/>
      <c r="NQI31" s="47"/>
      <c r="NQJ31" s="47"/>
      <c r="NQK31" s="47"/>
      <c r="NQL31" s="47"/>
      <c r="NQM31" s="47"/>
      <c r="NQN31" s="47"/>
      <c r="NQO31" s="47"/>
      <c r="NQP31" s="47"/>
      <c r="NQQ31" s="47"/>
      <c r="NQR31" s="47"/>
      <c r="NQS31" s="47"/>
      <c r="NQT31" s="47"/>
      <c r="NQU31" s="47"/>
      <c r="NQV31" s="47"/>
      <c r="NQW31" s="47"/>
      <c r="NQX31" s="47"/>
      <c r="NQY31" s="47"/>
      <c r="NQZ31" s="47"/>
      <c r="NRA31" s="47"/>
      <c r="NRB31" s="47"/>
      <c r="NRC31" s="47"/>
      <c r="NRD31" s="47"/>
      <c r="NRE31" s="47"/>
      <c r="NRF31" s="47"/>
      <c r="NRG31" s="47"/>
      <c r="NRH31" s="47"/>
      <c r="NRI31" s="47"/>
      <c r="NRJ31" s="47"/>
      <c r="NRK31" s="47"/>
      <c r="NRL31" s="47"/>
      <c r="NRM31" s="47"/>
      <c r="NRN31" s="47"/>
      <c r="NRO31" s="47"/>
      <c r="NRP31" s="47"/>
      <c r="NRQ31" s="47"/>
      <c r="NRR31" s="47"/>
      <c r="NRS31" s="47"/>
      <c r="NRT31" s="47"/>
      <c r="NRU31" s="47"/>
      <c r="NRV31" s="47"/>
      <c r="NRW31" s="47"/>
      <c r="NRX31" s="47"/>
      <c r="NRY31" s="47"/>
      <c r="NRZ31" s="47"/>
      <c r="NSA31" s="47"/>
      <c r="NSB31" s="47"/>
      <c r="NSC31" s="47"/>
      <c r="NSD31" s="47"/>
      <c r="NSE31" s="47"/>
      <c r="NSF31" s="47"/>
      <c r="NSG31" s="47"/>
      <c r="NSH31" s="47"/>
      <c r="NSI31" s="47"/>
      <c r="NSJ31" s="47"/>
      <c r="NSK31" s="47"/>
      <c r="NSL31" s="47"/>
      <c r="NSM31" s="47"/>
      <c r="NSN31" s="47"/>
      <c r="NSO31" s="47"/>
      <c r="NSP31" s="47"/>
      <c r="NSQ31" s="47"/>
      <c r="NSR31" s="47"/>
      <c r="NSS31" s="47"/>
      <c r="NST31" s="47"/>
      <c r="NSU31" s="47"/>
      <c r="NSV31" s="47"/>
      <c r="NSW31" s="47"/>
      <c r="NSX31" s="47"/>
      <c r="NSY31" s="47"/>
      <c r="NSZ31" s="47"/>
      <c r="NTA31" s="47"/>
      <c r="NTB31" s="47"/>
      <c r="NTC31" s="47"/>
      <c r="NTD31" s="47"/>
      <c r="NTE31" s="47"/>
      <c r="NTF31" s="47"/>
      <c r="NTG31" s="47"/>
      <c r="NTH31" s="47"/>
      <c r="NTI31" s="47"/>
      <c r="NTJ31" s="47"/>
      <c r="NTK31" s="47"/>
      <c r="NTL31" s="47"/>
      <c r="NTM31" s="47"/>
      <c r="NTN31" s="47"/>
      <c r="NTO31" s="47"/>
      <c r="NTP31" s="47"/>
      <c r="NTQ31" s="47"/>
      <c r="NTR31" s="47"/>
      <c r="NTS31" s="47"/>
      <c r="NTT31" s="47"/>
      <c r="NTU31" s="47"/>
      <c r="NTV31" s="47"/>
      <c r="NTW31" s="47"/>
      <c r="NTX31" s="47"/>
      <c r="NTY31" s="47"/>
      <c r="NTZ31" s="47"/>
      <c r="NUA31" s="47"/>
      <c r="NUB31" s="47"/>
      <c r="NUC31" s="47"/>
      <c r="NUD31" s="47"/>
      <c r="NUE31" s="47"/>
      <c r="NUF31" s="47"/>
      <c r="NUG31" s="47"/>
      <c r="NUH31" s="47"/>
      <c r="NUI31" s="47"/>
      <c r="NUJ31" s="47"/>
      <c r="NUK31" s="47"/>
      <c r="NUL31" s="47"/>
      <c r="NUM31" s="47"/>
      <c r="NUN31" s="47"/>
      <c r="NUO31" s="47"/>
      <c r="NUP31" s="47"/>
      <c r="NUQ31" s="47"/>
      <c r="NUR31" s="47"/>
      <c r="NUS31" s="47"/>
      <c r="NUT31" s="47"/>
      <c r="NUU31" s="47"/>
      <c r="NUV31" s="47"/>
      <c r="NUW31" s="47"/>
      <c r="NUX31" s="47"/>
      <c r="NUY31" s="47"/>
      <c r="NUZ31" s="47"/>
      <c r="NVA31" s="47"/>
      <c r="NVB31" s="47"/>
      <c r="NVC31" s="47"/>
      <c r="NVD31" s="47"/>
      <c r="NVE31" s="47"/>
      <c r="NVF31" s="47"/>
      <c r="NVG31" s="47"/>
      <c r="NVH31" s="47"/>
      <c r="NVI31" s="47"/>
      <c r="NVJ31" s="47"/>
      <c r="NVK31" s="47"/>
      <c r="NVL31" s="47"/>
      <c r="NVM31" s="47"/>
      <c r="NVN31" s="47"/>
      <c r="NVO31" s="47"/>
      <c r="NVP31" s="47"/>
      <c r="NVQ31" s="47"/>
      <c r="NVR31" s="47"/>
      <c r="NVS31" s="47"/>
      <c r="NVT31" s="47"/>
      <c r="NVU31" s="47"/>
      <c r="NVV31" s="47"/>
      <c r="NVW31" s="47"/>
      <c r="NVX31" s="47"/>
      <c r="NVY31" s="47"/>
      <c r="NVZ31" s="47"/>
      <c r="NWA31" s="47"/>
      <c r="NWB31" s="47"/>
      <c r="NWC31" s="47"/>
      <c r="NWD31" s="47"/>
      <c r="NWE31" s="47"/>
      <c r="NWF31" s="47"/>
      <c r="NWG31" s="47"/>
      <c r="NWH31" s="47"/>
      <c r="NWI31" s="47"/>
      <c r="NWJ31" s="47"/>
      <c r="NWK31" s="47"/>
      <c r="NWL31" s="47"/>
      <c r="NWM31" s="47"/>
      <c r="NWN31" s="47"/>
      <c r="NWO31" s="47"/>
      <c r="NWP31" s="47"/>
      <c r="NWQ31" s="47"/>
      <c r="NWR31" s="47"/>
      <c r="NWS31" s="47"/>
      <c r="NWT31" s="47"/>
      <c r="NWU31" s="47"/>
      <c r="NWV31" s="47"/>
      <c r="NWW31" s="47"/>
      <c r="NWX31" s="47"/>
      <c r="NWY31" s="47"/>
      <c r="NWZ31" s="47"/>
      <c r="NXA31" s="47"/>
      <c r="NXB31" s="47"/>
      <c r="NXC31" s="47"/>
      <c r="NXD31" s="47"/>
      <c r="NXE31" s="47"/>
      <c r="NXF31" s="47"/>
      <c r="NXG31" s="47"/>
      <c r="NXH31" s="47"/>
      <c r="NXI31" s="47"/>
      <c r="NXJ31" s="47"/>
      <c r="NXK31" s="47"/>
      <c r="NXL31" s="47"/>
      <c r="NXM31" s="47"/>
      <c r="NXN31" s="47"/>
      <c r="NXO31" s="47"/>
      <c r="NXP31" s="47"/>
      <c r="NXQ31" s="47"/>
      <c r="NXR31" s="47"/>
      <c r="NXS31" s="47"/>
      <c r="NXT31" s="47"/>
      <c r="NXU31" s="47"/>
      <c r="NXV31" s="47"/>
      <c r="NXW31" s="47"/>
      <c r="NXX31" s="47"/>
      <c r="NXY31" s="47"/>
      <c r="NXZ31" s="47"/>
      <c r="NYA31" s="47"/>
      <c r="NYB31" s="47"/>
      <c r="NYC31" s="47"/>
      <c r="NYD31" s="47"/>
      <c r="NYE31" s="47"/>
      <c r="NYF31" s="47"/>
      <c r="NYG31" s="47"/>
      <c r="NYH31" s="47"/>
      <c r="NYI31" s="47"/>
      <c r="NYJ31" s="47"/>
      <c r="NYK31" s="47"/>
      <c r="NYL31" s="47"/>
      <c r="NYM31" s="47"/>
      <c r="NYN31" s="47"/>
      <c r="NYO31" s="47"/>
      <c r="NYP31" s="47"/>
      <c r="NYQ31" s="47"/>
      <c r="NYR31" s="47"/>
      <c r="NYS31" s="47"/>
      <c r="NYT31" s="47"/>
      <c r="NYU31" s="47"/>
      <c r="NYV31" s="47"/>
      <c r="NYW31" s="47"/>
      <c r="NYX31" s="47"/>
      <c r="NYY31" s="47"/>
      <c r="NYZ31" s="47"/>
      <c r="NZA31" s="47"/>
      <c r="NZB31" s="47"/>
      <c r="NZC31" s="47"/>
      <c r="NZD31" s="47"/>
      <c r="NZE31" s="47"/>
      <c r="NZF31" s="47"/>
      <c r="NZG31" s="47"/>
      <c r="NZH31" s="47"/>
      <c r="NZI31" s="47"/>
      <c r="NZJ31" s="47"/>
      <c r="NZK31" s="47"/>
      <c r="NZL31" s="47"/>
      <c r="NZM31" s="47"/>
      <c r="NZN31" s="47"/>
      <c r="NZO31" s="47"/>
      <c r="NZP31" s="47"/>
      <c r="NZQ31" s="47"/>
      <c r="NZR31" s="47"/>
      <c r="NZS31" s="47"/>
      <c r="NZT31" s="47"/>
      <c r="NZU31" s="47"/>
      <c r="NZV31" s="47"/>
      <c r="NZW31" s="47"/>
      <c r="NZX31" s="47"/>
      <c r="NZY31" s="47"/>
      <c r="NZZ31" s="47"/>
      <c r="OAA31" s="47"/>
      <c r="OAB31" s="47"/>
      <c r="OAC31" s="47"/>
      <c r="OAD31" s="47"/>
      <c r="OAE31" s="47"/>
      <c r="OAF31" s="47"/>
      <c r="OAG31" s="47"/>
      <c r="OAH31" s="47"/>
      <c r="OAI31" s="47"/>
      <c r="OAJ31" s="47"/>
      <c r="OAK31" s="47"/>
      <c r="OAL31" s="47"/>
      <c r="OAM31" s="47"/>
      <c r="OAN31" s="47"/>
      <c r="OAO31" s="47"/>
      <c r="OAP31" s="47"/>
      <c r="OAQ31" s="47"/>
      <c r="OAR31" s="47"/>
      <c r="OAS31" s="47"/>
      <c r="OAT31" s="47"/>
      <c r="OAU31" s="47"/>
      <c r="OAV31" s="47"/>
      <c r="OAW31" s="47"/>
      <c r="OAX31" s="47"/>
      <c r="OAY31" s="47"/>
      <c r="OAZ31" s="47"/>
      <c r="OBA31" s="47"/>
      <c r="OBB31" s="47"/>
      <c r="OBC31" s="47"/>
      <c r="OBD31" s="47"/>
      <c r="OBE31" s="47"/>
      <c r="OBF31" s="47"/>
      <c r="OBG31" s="47"/>
      <c r="OBH31" s="47"/>
      <c r="OBI31" s="47"/>
      <c r="OBJ31" s="47"/>
      <c r="OBK31" s="47"/>
      <c r="OBL31" s="47"/>
      <c r="OBM31" s="47"/>
      <c r="OBN31" s="47"/>
      <c r="OBO31" s="47"/>
      <c r="OBP31" s="47"/>
      <c r="OBQ31" s="47"/>
      <c r="OBR31" s="47"/>
      <c r="OBS31" s="47"/>
      <c r="OBT31" s="47"/>
      <c r="OBU31" s="47"/>
      <c r="OBV31" s="47"/>
      <c r="OBW31" s="47"/>
      <c r="OBX31" s="47"/>
      <c r="OBY31" s="47"/>
      <c r="OBZ31" s="47"/>
      <c r="OCA31" s="47"/>
      <c r="OCB31" s="47"/>
      <c r="OCC31" s="47"/>
      <c r="OCD31" s="47"/>
      <c r="OCE31" s="47"/>
      <c r="OCF31" s="47"/>
      <c r="OCG31" s="47"/>
      <c r="OCH31" s="47"/>
      <c r="OCI31" s="47"/>
      <c r="OCJ31" s="47"/>
      <c r="OCK31" s="47"/>
      <c r="OCL31" s="47"/>
      <c r="OCM31" s="47"/>
      <c r="OCN31" s="47"/>
      <c r="OCO31" s="47"/>
      <c r="OCP31" s="47"/>
      <c r="OCQ31" s="47"/>
      <c r="OCR31" s="47"/>
      <c r="OCS31" s="47"/>
      <c r="OCT31" s="47"/>
      <c r="OCU31" s="47"/>
      <c r="OCV31" s="47"/>
      <c r="OCW31" s="47"/>
      <c r="OCX31" s="47"/>
      <c r="OCY31" s="47"/>
      <c r="OCZ31" s="47"/>
      <c r="ODA31" s="47"/>
      <c r="ODB31" s="47"/>
      <c r="ODC31" s="47"/>
      <c r="ODD31" s="47"/>
      <c r="ODE31" s="47"/>
      <c r="ODF31" s="47"/>
      <c r="ODG31" s="47"/>
      <c r="ODH31" s="47"/>
      <c r="ODI31" s="47"/>
      <c r="ODJ31" s="47"/>
      <c r="ODK31" s="47"/>
      <c r="ODL31" s="47"/>
      <c r="ODM31" s="47"/>
      <c r="ODN31" s="47"/>
      <c r="ODO31" s="47"/>
      <c r="ODP31" s="47"/>
      <c r="ODQ31" s="47"/>
      <c r="ODR31" s="47"/>
      <c r="ODS31" s="47"/>
      <c r="ODT31" s="47"/>
      <c r="ODU31" s="47"/>
      <c r="ODV31" s="47"/>
      <c r="ODW31" s="47"/>
      <c r="ODX31" s="47"/>
      <c r="ODY31" s="47"/>
      <c r="ODZ31" s="47"/>
      <c r="OEA31" s="47"/>
      <c r="OEB31" s="47"/>
      <c r="OEC31" s="47"/>
      <c r="OED31" s="47"/>
      <c r="OEE31" s="47"/>
      <c r="OEF31" s="47"/>
      <c r="OEG31" s="47"/>
      <c r="OEH31" s="47"/>
      <c r="OEI31" s="47"/>
      <c r="OEJ31" s="47"/>
      <c r="OEK31" s="47"/>
      <c r="OEL31" s="47"/>
      <c r="OEM31" s="47"/>
      <c r="OEN31" s="47"/>
      <c r="OEO31" s="47"/>
      <c r="OEP31" s="47"/>
      <c r="OEQ31" s="47"/>
      <c r="OER31" s="47"/>
      <c r="OES31" s="47"/>
      <c r="OET31" s="47"/>
      <c r="OEU31" s="47"/>
      <c r="OEV31" s="47"/>
      <c r="OEW31" s="47"/>
      <c r="OEX31" s="47"/>
      <c r="OEY31" s="47"/>
      <c r="OEZ31" s="47"/>
      <c r="OFA31" s="47"/>
      <c r="OFB31" s="47"/>
      <c r="OFC31" s="47"/>
      <c r="OFD31" s="47"/>
      <c r="OFE31" s="47"/>
      <c r="OFF31" s="47"/>
      <c r="OFG31" s="47"/>
      <c r="OFH31" s="47"/>
      <c r="OFI31" s="47"/>
      <c r="OFJ31" s="47"/>
      <c r="OFK31" s="47"/>
      <c r="OFL31" s="47"/>
      <c r="OFM31" s="47"/>
      <c r="OFN31" s="47"/>
      <c r="OFO31" s="47"/>
      <c r="OFP31" s="47"/>
      <c r="OFQ31" s="47"/>
      <c r="OFR31" s="47"/>
      <c r="OFS31" s="47"/>
      <c r="OFT31" s="47"/>
      <c r="OFU31" s="47"/>
      <c r="OFV31" s="47"/>
      <c r="OFW31" s="47"/>
      <c r="OFX31" s="47"/>
      <c r="OFY31" s="47"/>
      <c r="OFZ31" s="47"/>
      <c r="OGA31" s="47"/>
      <c r="OGB31" s="47"/>
      <c r="OGC31" s="47"/>
      <c r="OGD31" s="47"/>
      <c r="OGE31" s="47"/>
      <c r="OGF31" s="47"/>
      <c r="OGG31" s="47"/>
      <c r="OGH31" s="47"/>
      <c r="OGI31" s="47"/>
      <c r="OGJ31" s="47"/>
      <c r="OGK31" s="47"/>
      <c r="OGL31" s="47"/>
      <c r="OGM31" s="47"/>
      <c r="OGN31" s="47"/>
      <c r="OGO31" s="47"/>
      <c r="OGP31" s="47"/>
      <c r="OGQ31" s="47"/>
      <c r="OGR31" s="47"/>
      <c r="OGS31" s="47"/>
      <c r="OGT31" s="47"/>
      <c r="OGU31" s="47"/>
      <c r="OGV31" s="47"/>
      <c r="OGW31" s="47"/>
      <c r="OGX31" s="47"/>
      <c r="OGY31" s="47"/>
      <c r="OGZ31" s="47"/>
      <c r="OHA31" s="47"/>
      <c r="OHB31" s="47"/>
      <c r="OHC31" s="47"/>
      <c r="OHD31" s="47"/>
      <c r="OHE31" s="47"/>
      <c r="OHF31" s="47"/>
      <c r="OHG31" s="47"/>
      <c r="OHH31" s="47"/>
      <c r="OHI31" s="47"/>
      <c r="OHJ31" s="47"/>
      <c r="OHK31" s="47"/>
      <c r="OHL31" s="47"/>
      <c r="OHM31" s="47"/>
      <c r="OHN31" s="47"/>
      <c r="OHO31" s="47"/>
      <c r="OHP31" s="47"/>
      <c r="OHQ31" s="47"/>
      <c r="OHR31" s="47"/>
      <c r="OHS31" s="47"/>
      <c r="OHT31" s="47"/>
      <c r="OHU31" s="47"/>
      <c r="OHV31" s="47"/>
      <c r="OHW31" s="47"/>
      <c r="OHX31" s="47"/>
      <c r="OHY31" s="47"/>
      <c r="OHZ31" s="47"/>
      <c r="OIA31" s="47"/>
      <c r="OIB31" s="47"/>
      <c r="OIC31" s="47"/>
      <c r="OID31" s="47"/>
      <c r="OIE31" s="47"/>
      <c r="OIF31" s="47"/>
      <c r="OIG31" s="47"/>
      <c r="OIH31" s="47"/>
      <c r="OII31" s="47"/>
      <c r="OIJ31" s="47"/>
      <c r="OIK31" s="47"/>
      <c r="OIL31" s="47"/>
      <c r="OIM31" s="47"/>
      <c r="OIN31" s="47"/>
      <c r="OIO31" s="47"/>
      <c r="OIP31" s="47"/>
      <c r="OIQ31" s="47"/>
      <c r="OIR31" s="47"/>
      <c r="OIS31" s="47"/>
      <c r="OIT31" s="47"/>
      <c r="OIU31" s="47"/>
      <c r="OIV31" s="47"/>
      <c r="OIW31" s="47"/>
      <c r="OIX31" s="47"/>
      <c r="OIY31" s="47"/>
      <c r="OIZ31" s="47"/>
      <c r="OJA31" s="47"/>
      <c r="OJB31" s="47"/>
      <c r="OJC31" s="47"/>
      <c r="OJD31" s="47"/>
      <c r="OJE31" s="47"/>
      <c r="OJF31" s="47"/>
      <c r="OJG31" s="47"/>
      <c r="OJH31" s="47"/>
      <c r="OJI31" s="47"/>
      <c r="OJJ31" s="47"/>
      <c r="OJK31" s="47"/>
      <c r="OJL31" s="47"/>
      <c r="OJM31" s="47"/>
      <c r="OJN31" s="47"/>
      <c r="OJO31" s="47"/>
      <c r="OJP31" s="47"/>
      <c r="OJQ31" s="47"/>
      <c r="OJR31" s="47"/>
      <c r="OJS31" s="47"/>
      <c r="OJT31" s="47"/>
      <c r="OJU31" s="47"/>
      <c r="OJV31" s="47"/>
      <c r="OJW31" s="47"/>
      <c r="OJX31" s="47"/>
      <c r="OJY31" s="47"/>
      <c r="OJZ31" s="47"/>
      <c r="OKA31" s="47"/>
      <c r="OKB31" s="47"/>
      <c r="OKC31" s="47"/>
      <c r="OKD31" s="47"/>
      <c r="OKE31" s="47"/>
      <c r="OKF31" s="47"/>
      <c r="OKG31" s="47"/>
      <c r="OKH31" s="47"/>
      <c r="OKI31" s="47"/>
      <c r="OKJ31" s="47"/>
      <c r="OKK31" s="47"/>
      <c r="OKL31" s="47"/>
      <c r="OKM31" s="47"/>
      <c r="OKN31" s="47"/>
      <c r="OKO31" s="47"/>
      <c r="OKP31" s="47"/>
      <c r="OKQ31" s="47"/>
      <c r="OKR31" s="47"/>
      <c r="OKS31" s="47"/>
      <c r="OKT31" s="47"/>
      <c r="OKU31" s="47"/>
      <c r="OKV31" s="47"/>
      <c r="OKW31" s="47"/>
      <c r="OKX31" s="47"/>
      <c r="OKY31" s="47"/>
      <c r="OKZ31" s="47"/>
      <c r="OLA31" s="47"/>
      <c r="OLB31" s="47"/>
      <c r="OLC31" s="47"/>
      <c r="OLD31" s="47"/>
      <c r="OLE31" s="47"/>
      <c r="OLF31" s="47"/>
      <c r="OLG31" s="47"/>
      <c r="OLH31" s="47"/>
      <c r="OLI31" s="47"/>
      <c r="OLJ31" s="47"/>
      <c r="OLK31" s="47"/>
      <c r="OLL31" s="47"/>
      <c r="OLM31" s="47"/>
      <c r="OLN31" s="47"/>
      <c r="OLO31" s="47"/>
      <c r="OLP31" s="47"/>
      <c r="OLQ31" s="47"/>
      <c r="OLR31" s="47"/>
      <c r="OLS31" s="47"/>
      <c r="OLT31" s="47"/>
      <c r="OLU31" s="47"/>
      <c r="OLV31" s="47"/>
      <c r="OLW31" s="47"/>
      <c r="OLX31" s="47"/>
      <c r="OLY31" s="47"/>
      <c r="OLZ31" s="47"/>
      <c r="OMA31" s="47"/>
      <c r="OMB31" s="47"/>
      <c r="OMC31" s="47"/>
      <c r="OMD31" s="47"/>
      <c r="OME31" s="47"/>
      <c r="OMF31" s="47"/>
      <c r="OMG31" s="47"/>
      <c r="OMH31" s="47"/>
      <c r="OMI31" s="47"/>
      <c r="OMJ31" s="47"/>
      <c r="OMK31" s="47"/>
      <c r="OML31" s="47"/>
      <c r="OMM31" s="47"/>
      <c r="OMN31" s="47"/>
      <c r="OMO31" s="47"/>
      <c r="OMP31" s="47"/>
      <c r="OMQ31" s="47"/>
      <c r="OMR31" s="47"/>
      <c r="OMS31" s="47"/>
      <c r="OMT31" s="47"/>
      <c r="OMU31" s="47"/>
      <c r="OMV31" s="47"/>
      <c r="OMW31" s="47"/>
      <c r="OMX31" s="47"/>
      <c r="OMY31" s="47"/>
      <c r="OMZ31" s="47"/>
      <c r="ONA31" s="47"/>
      <c r="ONB31" s="47"/>
      <c r="ONC31" s="47"/>
      <c r="OND31" s="47"/>
      <c r="ONE31" s="47"/>
      <c r="ONF31" s="47"/>
      <c r="ONG31" s="47"/>
      <c r="ONH31" s="47"/>
      <c r="ONI31" s="47"/>
      <c r="ONJ31" s="47"/>
      <c r="ONK31" s="47"/>
      <c r="ONL31" s="47"/>
      <c r="ONM31" s="47"/>
      <c r="ONN31" s="47"/>
      <c r="ONO31" s="47"/>
      <c r="ONP31" s="47"/>
      <c r="ONQ31" s="47"/>
      <c r="ONR31" s="47"/>
      <c r="ONS31" s="47"/>
      <c r="ONT31" s="47"/>
      <c r="ONU31" s="47"/>
      <c r="ONV31" s="47"/>
      <c r="ONW31" s="47"/>
      <c r="ONX31" s="47"/>
      <c r="ONY31" s="47"/>
      <c r="ONZ31" s="47"/>
      <c r="OOA31" s="47"/>
      <c r="OOB31" s="47"/>
      <c r="OOC31" s="47"/>
      <c r="OOD31" s="47"/>
      <c r="OOE31" s="47"/>
      <c r="OOF31" s="47"/>
      <c r="OOG31" s="47"/>
      <c r="OOH31" s="47"/>
      <c r="OOI31" s="47"/>
      <c r="OOJ31" s="47"/>
      <c r="OOK31" s="47"/>
      <c r="OOL31" s="47"/>
      <c r="OOM31" s="47"/>
      <c r="OON31" s="47"/>
      <c r="OOO31" s="47"/>
      <c r="OOP31" s="47"/>
      <c r="OOQ31" s="47"/>
      <c r="OOR31" s="47"/>
      <c r="OOS31" s="47"/>
      <c r="OOT31" s="47"/>
      <c r="OOU31" s="47"/>
      <c r="OOV31" s="47"/>
      <c r="OOW31" s="47"/>
      <c r="OOX31" s="47"/>
      <c r="OOY31" s="47"/>
      <c r="OOZ31" s="47"/>
      <c r="OPA31" s="47"/>
      <c r="OPB31" s="47"/>
      <c r="OPC31" s="47"/>
      <c r="OPD31" s="47"/>
      <c r="OPE31" s="47"/>
      <c r="OPF31" s="47"/>
      <c r="OPG31" s="47"/>
      <c r="OPH31" s="47"/>
      <c r="OPI31" s="47"/>
      <c r="OPJ31" s="47"/>
      <c r="OPK31" s="47"/>
      <c r="OPL31" s="47"/>
      <c r="OPM31" s="47"/>
      <c r="OPN31" s="47"/>
      <c r="OPO31" s="47"/>
      <c r="OPP31" s="47"/>
      <c r="OPQ31" s="47"/>
      <c r="OPR31" s="47"/>
      <c r="OPS31" s="47"/>
      <c r="OPT31" s="47"/>
      <c r="OPU31" s="47"/>
      <c r="OPV31" s="47"/>
      <c r="OPW31" s="47"/>
      <c r="OPX31" s="47"/>
      <c r="OPY31" s="47"/>
      <c r="OPZ31" s="47"/>
      <c r="OQA31" s="47"/>
      <c r="OQB31" s="47"/>
      <c r="OQC31" s="47"/>
      <c r="OQD31" s="47"/>
      <c r="OQE31" s="47"/>
      <c r="OQF31" s="47"/>
      <c r="OQG31" s="47"/>
      <c r="OQH31" s="47"/>
      <c r="OQI31" s="47"/>
      <c r="OQJ31" s="47"/>
      <c r="OQK31" s="47"/>
      <c r="OQL31" s="47"/>
      <c r="OQM31" s="47"/>
      <c r="OQN31" s="47"/>
      <c r="OQO31" s="47"/>
      <c r="OQP31" s="47"/>
      <c r="OQQ31" s="47"/>
      <c r="OQR31" s="47"/>
      <c r="OQS31" s="47"/>
      <c r="OQT31" s="47"/>
      <c r="OQU31" s="47"/>
      <c r="OQV31" s="47"/>
      <c r="OQW31" s="47"/>
      <c r="OQX31" s="47"/>
      <c r="OQY31" s="47"/>
      <c r="OQZ31" s="47"/>
      <c r="ORA31" s="47"/>
      <c r="ORB31" s="47"/>
      <c r="ORC31" s="47"/>
      <c r="ORD31" s="47"/>
      <c r="ORE31" s="47"/>
      <c r="ORF31" s="47"/>
      <c r="ORG31" s="47"/>
      <c r="ORH31" s="47"/>
      <c r="ORI31" s="47"/>
      <c r="ORJ31" s="47"/>
      <c r="ORK31" s="47"/>
      <c r="ORL31" s="47"/>
      <c r="ORM31" s="47"/>
      <c r="ORN31" s="47"/>
      <c r="ORO31" s="47"/>
      <c r="ORP31" s="47"/>
      <c r="ORQ31" s="47"/>
      <c r="ORR31" s="47"/>
      <c r="ORS31" s="47"/>
      <c r="ORT31" s="47"/>
      <c r="ORU31" s="47"/>
      <c r="ORV31" s="47"/>
      <c r="ORW31" s="47"/>
      <c r="ORX31" s="47"/>
      <c r="ORY31" s="47"/>
      <c r="ORZ31" s="47"/>
      <c r="OSA31" s="47"/>
      <c r="OSB31" s="47"/>
      <c r="OSC31" s="47"/>
      <c r="OSD31" s="47"/>
      <c r="OSE31" s="47"/>
      <c r="OSF31" s="47"/>
      <c r="OSG31" s="47"/>
      <c r="OSH31" s="47"/>
      <c r="OSI31" s="47"/>
      <c r="OSJ31" s="47"/>
      <c r="OSK31" s="47"/>
      <c r="OSL31" s="47"/>
      <c r="OSM31" s="47"/>
      <c r="OSN31" s="47"/>
      <c r="OSO31" s="47"/>
      <c r="OSP31" s="47"/>
      <c r="OSQ31" s="47"/>
      <c r="OSR31" s="47"/>
      <c r="OSS31" s="47"/>
      <c r="OST31" s="47"/>
      <c r="OSU31" s="47"/>
      <c r="OSV31" s="47"/>
      <c r="OSW31" s="47"/>
      <c r="OSX31" s="47"/>
      <c r="OSY31" s="47"/>
      <c r="OSZ31" s="47"/>
      <c r="OTA31" s="47"/>
      <c r="OTB31" s="47"/>
      <c r="OTC31" s="47"/>
      <c r="OTD31" s="47"/>
      <c r="OTE31" s="47"/>
      <c r="OTF31" s="47"/>
      <c r="OTG31" s="47"/>
      <c r="OTH31" s="47"/>
      <c r="OTI31" s="47"/>
      <c r="OTJ31" s="47"/>
      <c r="OTK31" s="47"/>
      <c r="OTL31" s="47"/>
      <c r="OTM31" s="47"/>
      <c r="OTN31" s="47"/>
      <c r="OTO31" s="47"/>
      <c r="OTP31" s="47"/>
      <c r="OTQ31" s="47"/>
      <c r="OTR31" s="47"/>
      <c r="OTS31" s="47"/>
      <c r="OTT31" s="47"/>
      <c r="OTU31" s="47"/>
      <c r="OTV31" s="47"/>
      <c r="OTW31" s="47"/>
      <c r="OTX31" s="47"/>
      <c r="OTY31" s="47"/>
      <c r="OTZ31" s="47"/>
      <c r="OUA31" s="47"/>
      <c r="OUB31" s="47"/>
      <c r="OUC31" s="47"/>
      <c r="OUD31" s="47"/>
      <c r="OUE31" s="47"/>
      <c r="OUF31" s="47"/>
      <c r="OUG31" s="47"/>
      <c r="OUH31" s="47"/>
      <c r="OUI31" s="47"/>
      <c r="OUJ31" s="47"/>
      <c r="OUK31" s="47"/>
      <c r="OUL31" s="47"/>
      <c r="OUM31" s="47"/>
      <c r="OUN31" s="47"/>
      <c r="OUO31" s="47"/>
      <c r="OUP31" s="47"/>
      <c r="OUQ31" s="47"/>
      <c r="OUR31" s="47"/>
      <c r="OUS31" s="47"/>
      <c r="OUT31" s="47"/>
      <c r="OUU31" s="47"/>
      <c r="OUV31" s="47"/>
      <c r="OUW31" s="47"/>
      <c r="OUX31" s="47"/>
      <c r="OUY31" s="47"/>
      <c r="OUZ31" s="47"/>
      <c r="OVA31" s="47"/>
      <c r="OVB31" s="47"/>
      <c r="OVC31" s="47"/>
      <c r="OVD31" s="47"/>
      <c r="OVE31" s="47"/>
      <c r="OVF31" s="47"/>
      <c r="OVG31" s="47"/>
      <c r="OVH31" s="47"/>
      <c r="OVI31" s="47"/>
      <c r="OVJ31" s="47"/>
      <c r="OVK31" s="47"/>
      <c r="OVL31" s="47"/>
      <c r="OVM31" s="47"/>
      <c r="OVN31" s="47"/>
      <c r="OVO31" s="47"/>
      <c r="OVP31" s="47"/>
      <c r="OVQ31" s="47"/>
      <c r="OVR31" s="47"/>
      <c r="OVS31" s="47"/>
      <c r="OVT31" s="47"/>
      <c r="OVU31" s="47"/>
      <c r="OVV31" s="47"/>
      <c r="OVW31" s="47"/>
      <c r="OVX31" s="47"/>
      <c r="OVY31" s="47"/>
      <c r="OVZ31" s="47"/>
      <c r="OWA31" s="47"/>
      <c r="OWB31" s="47"/>
      <c r="OWC31" s="47"/>
      <c r="OWD31" s="47"/>
      <c r="OWE31" s="47"/>
      <c r="OWF31" s="47"/>
      <c r="OWG31" s="47"/>
      <c r="OWH31" s="47"/>
      <c r="OWI31" s="47"/>
      <c r="OWJ31" s="47"/>
      <c r="OWK31" s="47"/>
      <c r="OWL31" s="47"/>
      <c r="OWM31" s="47"/>
      <c r="OWN31" s="47"/>
      <c r="OWO31" s="47"/>
      <c r="OWP31" s="47"/>
      <c r="OWQ31" s="47"/>
      <c r="OWR31" s="47"/>
      <c r="OWS31" s="47"/>
      <c r="OWT31" s="47"/>
      <c r="OWU31" s="47"/>
      <c r="OWV31" s="47"/>
      <c r="OWW31" s="47"/>
      <c r="OWX31" s="47"/>
      <c r="OWY31" s="47"/>
      <c r="OWZ31" s="47"/>
      <c r="OXA31" s="47"/>
      <c r="OXB31" s="47"/>
      <c r="OXC31" s="47"/>
      <c r="OXD31" s="47"/>
      <c r="OXE31" s="47"/>
      <c r="OXF31" s="47"/>
      <c r="OXG31" s="47"/>
      <c r="OXH31" s="47"/>
      <c r="OXI31" s="47"/>
      <c r="OXJ31" s="47"/>
      <c r="OXK31" s="47"/>
      <c r="OXL31" s="47"/>
      <c r="OXM31" s="47"/>
      <c r="OXN31" s="47"/>
      <c r="OXO31" s="47"/>
      <c r="OXP31" s="47"/>
      <c r="OXQ31" s="47"/>
      <c r="OXR31" s="47"/>
      <c r="OXS31" s="47"/>
      <c r="OXT31" s="47"/>
      <c r="OXU31" s="47"/>
      <c r="OXV31" s="47"/>
      <c r="OXW31" s="47"/>
      <c r="OXX31" s="47"/>
      <c r="OXY31" s="47"/>
      <c r="OXZ31" s="47"/>
      <c r="OYA31" s="47"/>
      <c r="OYB31" s="47"/>
      <c r="OYC31" s="47"/>
      <c r="OYD31" s="47"/>
      <c r="OYE31" s="47"/>
      <c r="OYF31" s="47"/>
      <c r="OYG31" s="47"/>
      <c r="OYH31" s="47"/>
      <c r="OYI31" s="47"/>
      <c r="OYJ31" s="47"/>
      <c r="OYK31" s="47"/>
      <c r="OYL31" s="47"/>
      <c r="OYM31" s="47"/>
      <c r="OYN31" s="47"/>
      <c r="OYO31" s="47"/>
      <c r="OYP31" s="47"/>
      <c r="OYQ31" s="47"/>
      <c r="OYR31" s="47"/>
      <c r="OYS31" s="47"/>
      <c r="OYT31" s="47"/>
      <c r="OYU31" s="47"/>
      <c r="OYV31" s="47"/>
      <c r="OYW31" s="47"/>
      <c r="OYX31" s="47"/>
      <c r="OYY31" s="47"/>
      <c r="OYZ31" s="47"/>
      <c r="OZA31" s="47"/>
      <c r="OZB31" s="47"/>
      <c r="OZC31" s="47"/>
      <c r="OZD31" s="47"/>
      <c r="OZE31" s="47"/>
      <c r="OZF31" s="47"/>
      <c r="OZG31" s="47"/>
      <c r="OZH31" s="47"/>
      <c r="OZI31" s="47"/>
      <c r="OZJ31" s="47"/>
      <c r="OZK31" s="47"/>
      <c r="OZL31" s="47"/>
      <c r="OZM31" s="47"/>
      <c r="OZN31" s="47"/>
      <c r="OZO31" s="47"/>
      <c r="OZP31" s="47"/>
      <c r="OZQ31" s="47"/>
      <c r="OZR31" s="47"/>
      <c r="OZS31" s="47"/>
      <c r="OZT31" s="47"/>
      <c r="OZU31" s="47"/>
      <c r="OZV31" s="47"/>
      <c r="OZW31" s="47"/>
      <c r="OZX31" s="47"/>
      <c r="OZY31" s="47"/>
      <c r="OZZ31" s="47"/>
      <c r="PAA31" s="47"/>
      <c r="PAB31" s="47"/>
      <c r="PAC31" s="47"/>
      <c r="PAD31" s="47"/>
      <c r="PAE31" s="47"/>
      <c r="PAF31" s="47"/>
      <c r="PAG31" s="47"/>
      <c r="PAH31" s="47"/>
      <c r="PAI31" s="47"/>
      <c r="PAJ31" s="47"/>
      <c r="PAK31" s="47"/>
      <c r="PAL31" s="47"/>
      <c r="PAM31" s="47"/>
      <c r="PAN31" s="47"/>
      <c r="PAO31" s="47"/>
      <c r="PAP31" s="47"/>
      <c r="PAQ31" s="47"/>
      <c r="PAR31" s="47"/>
      <c r="PAS31" s="47"/>
      <c r="PAT31" s="47"/>
      <c r="PAU31" s="47"/>
      <c r="PAV31" s="47"/>
      <c r="PAW31" s="47"/>
      <c r="PAX31" s="47"/>
      <c r="PAY31" s="47"/>
      <c r="PAZ31" s="47"/>
      <c r="PBA31" s="47"/>
      <c r="PBB31" s="47"/>
      <c r="PBC31" s="47"/>
      <c r="PBD31" s="47"/>
      <c r="PBE31" s="47"/>
      <c r="PBF31" s="47"/>
      <c r="PBG31" s="47"/>
      <c r="PBH31" s="47"/>
      <c r="PBI31" s="47"/>
      <c r="PBJ31" s="47"/>
      <c r="PBK31" s="47"/>
      <c r="PBL31" s="47"/>
      <c r="PBM31" s="47"/>
      <c r="PBN31" s="47"/>
      <c r="PBO31" s="47"/>
      <c r="PBP31" s="47"/>
      <c r="PBQ31" s="47"/>
      <c r="PBR31" s="47"/>
      <c r="PBS31" s="47"/>
      <c r="PBT31" s="47"/>
      <c r="PBU31" s="47"/>
      <c r="PBV31" s="47"/>
      <c r="PBW31" s="47"/>
      <c r="PBX31" s="47"/>
      <c r="PBY31" s="47"/>
      <c r="PBZ31" s="47"/>
      <c r="PCA31" s="47"/>
      <c r="PCB31" s="47"/>
      <c r="PCC31" s="47"/>
      <c r="PCD31" s="47"/>
      <c r="PCE31" s="47"/>
      <c r="PCF31" s="47"/>
      <c r="PCG31" s="47"/>
      <c r="PCH31" s="47"/>
      <c r="PCI31" s="47"/>
      <c r="PCJ31" s="47"/>
      <c r="PCK31" s="47"/>
      <c r="PCL31" s="47"/>
      <c r="PCM31" s="47"/>
      <c r="PCN31" s="47"/>
      <c r="PCO31" s="47"/>
      <c r="PCP31" s="47"/>
      <c r="PCQ31" s="47"/>
      <c r="PCR31" s="47"/>
      <c r="PCS31" s="47"/>
      <c r="PCT31" s="47"/>
      <c r="PCU31" s="47"/>
      <c r="PCV31" s="47"/>
      <c r="PCW31" s="47"/>
      <c r="PCX31" s="47"/>
      <c r="PCY31" s="47"/>
      <c r="PCZ31" s="47"/>
      <c r="PDA31" s="47"/>
      <c r="PDB31" s="47"/>
      <c r="PDC31" s="47"/>
      <c r="PDD31" s="47"/>
      <c r="PDE31" s="47"/>
      <c r="PDF31" s="47"/>
      <c r="PDG31" s="47"/>
      <c r="PDH31" s="47"/>
      <c r="PDI31" s="47"/>
      <c r="PDJ31" s="47"/>
      <c r="PDK31" s="47"/>
      <c r="PDL31" s="47"/>
      <c r="PDM31" s="47"/>
      <c r="PDN31" s="47"/>
      <c r="PDO31" s="47"/>
      <c r="PDP31" s="47"/>
      <c r="PDQ31" s="47"/>
      <c r="PDR31" s="47"/>
      <c r="PDS31" s="47"/>
      <c r="PDT31" s="47"/>
      <c r="PDU31" s="47"/>
      <c r="PDV31" s="47"/>
      <c r="PDW31" s="47"/>
      <c r="PDX31" s="47"/>
      <c r="PDY31" s="47"/>
      <c r="PDZ31" s="47"/>
      <c r="PEA31" s="47"/>
      <c r="PEB31" s="47"/>
      <c r="PEC31" s="47"/>
      <c r="PED31" s="47"/>
      <c r="PEE31" s="47"/>
      <c r="PEF31" s="47"/>
      <c r="PEG31" s="47"/>
      <c r="PEH31" s="47"/>
      <c r="PEI31" s="47"/>
      <c r="PEJ31" s="47"/>
      <c r="PEK31" s="47"/>
      <c r="PEL31" s="47"/>
      <c r="PEM31" s="47"/>
      <c r="PEN31" s="47"/>
      <c r="PEO31" s="47"/>
      <c r="PEP31" s="47"/>
      <c r="PEQ31" s="47"/>
      <c r="PER31" s="47"/>
      <c r="PES31" s="47"/>
      <c r="PET31" s="47"/>
      <c r="PEU31" s="47"/>
      <c r="PEV31" s="47"/>
      <c r="PEW31" s="47"/>
      <c r="PEX31" s="47"/>
      <c r="PEY31" s="47"/>
      <c r="PEZ31" s="47"/>
      <c r="PFA31" s="47"/>
      <c r="PFB31" s="47"/>
      <c r="PFC31" s="47"/>
      <c r="PFD31" s="47"/>
      <c r="PFE31" s="47"/>
      <c r="PFF31" s="47"/>
      <c r="PFG31" s="47"/>
      <c r="PFH31" s="47"/>
      <c r="PFI31" s="47"/>
      <c r="PFJ31" s="47"/>
      <c r="PFK31" s="47"/>
      <c r="PFL31" s="47"/>
      <c r="PFM31" s="47"/>
      <c r="PFN31" s="47"/>
      <c r="PFO31" s="47"/>
      <c r="PFP31" s="47"/>
      <c r="PFQ31" s="47"/>
      <c r="PFR31" s="47"/>
      <c r="PFS31" s="47"/>
      <c r="PFT31" s="47"/>
      <c r="PFU31" s="47"/>
      <c r="PFV31" s="47"/>
      <c r="PFW31" s="47"/>
      <c r="PFX31" s="47"/>
      <c r="PFY31" s="47"/>
      <c r="PFZ31" s="47"/>
      <c r="PGA31" s="47"/>
      <c r="PGB31" s="47"/>
      <c r="PGC31" s="47"/>
      <c r="PGD31" s="47"/>
      <c r="PGE31" s="47"/>
      <c r="PGF31" s="47"/>
      <c r="PGG31" s="47"/>
      <c r="PGH31" s="47"/>
      <c r="PGI31" s="47"/>
      <c r="PGJ31" s="47"/>
      <c r="PGK31" s="47"/>
      <c r="PGL31" s="47"/>
      <c r="PGM31" s="47"/>
      <c r="PGN31" s="47"/>
      <c r="PGO31" s="47"/>
      <c r="PGP31" s="47"/>
      <c r="PGQ31" s="47"/>
      <c r="PGR31" s="47"/>
      <c r="PGS31" s="47"/>
      <c r="PGT31" s="47"/>
      <c r="PGU31" s="47"/>
      <c r="PGV31" s="47"/>
      <c r="PGW31" s="47"/>
      <c r="PGX31" s="47"/>
      <c r="PGY31" s="47"/>
      <c r="PGZ31" s="47"/>
      <c r="PHA31" s="47"/>
      <c r="PHB31" s="47"/>
      <c r="PHC31" s="47"/>
      <c r="PHD31" s="47"/>
      <c r="PHE31" s="47"/>
      <c r="PHF31" s="47"/>
      <c r="PHG31" s="47"/>
      <c r="PHH31" s="47"/>
      <c r="PHI31" s="47"/>
      <c r="PHJ31" s="47"/>
      <c r="PHK31" s="47"/>
      <c r="PHL31" s="47"/>
      <c r="PHM31" s="47"/>
      <c r="PHN31" s="47"/>
      <c r="PHO31" s="47"/>
      <c r="PHP31" s="47"/>
      <c r="PHQ31" s="47"/>
      <c r="PHR31" s="47"/>
      <c r="PHS31" s="47"/>
      <c r="PHT31" s="47"/>
      <c r="PHU31" s="47"/>
      <c r="PHV31" s="47"/>
      <c r="PHW31" s="47"/>
      <c r="PHX31" s="47"/>
      <c r="PHY31" s="47"/>
      <c r="PHZ31" s="47"/>
      <c r="PIA31" s="47"/>
      <c r="PIB31" s="47"/>
      <c r="PIC31" s="47"/>
      <c r="PID31" s="47"/>
      <c r="PIE31" s="47"/>
      <c r="PIF31" s="47"/>
      <c r="PIG31" s="47"/>
      <c r="PIH31" s="47"/>
      <c r="PII31" s="47"/>
      <c r="PIJ31" s="47"/>
      <c r="PIK31" s="47"/>
      <c r="PIL31" s="47"/>
      <c r="PIM31" s="47"/>
      <c r="PIN31" s="47"/>
      <c r="PIO31" s="47"/>
      <c r="PIP31" s="47"/>
      <c r="PIQ31" s="47"/>
      <c r="PIR31" s="47"/>
      <c r="PIS31" s="47"/>
      <c r="PIT31" s="47"/>
      <c r="PIU31" s="47"/>
      <c r="PIV31" s="47"/>
      <c r="PIW31" s="47"/>
      <c r="PIX31" s="47"/>
      <c r="PIY31" s="47"/>
      <c r="PIZ31" s="47"/>
      <c r="PJA31" s="47"/>
      <c r="PJB31" s="47"/>
      <c r="PJC31" s="47"/>
      <c r="PJD31" s="47"/>
      <c r="PJE31" s="47"/>
      <c r="PJF31" s="47"/>
      <c r="PJG31" s="47"/>
      <c r="PJH31" s="47"/>
      <c r="PJI31" s="47"/>
      <c r="PJJ31" s="47"/>
      <c r="PJK31" s="47"/>
      <c r="PJL31" s="47"/>
      <c r="PJM31" s="47"/>
      <c r="PJN31" s="47"/>
      <c r="PJO31" s="47"/>
      <c r="PJP31" s="47"/>
      <c r="PJQ31" s="47"/>
      <c r="PJR31" s="47"/>
      <c r="PJS31" s="47"/>
      <c r="PJT31" s="47"/>
      <c r="PJU31" s="47"/>
      <c r="PJV31" s="47"/>
      <c r="PJW31" s="47"/>
      <c r="PJX31" s="47"/>
      <c r="PJY31" s="47"/>
      <c r="PJZ31" s="47"/>
      <c r="PKA31" s="47"/>
      <c r="PKB31" s="47"/>
      <c r="PKC31" s="47"/>
      <c r="PKD31" s="47"/>
      <c r="PKE31" s="47"/>
      <c r="PKF31" s="47"/>
      <c r="PKG31" s="47"/>
      <c r="PKH31" s="47"/>
      <c r="PKI31" s="47"/>
      <c r="PKJ31" s="47"/>
      <c r="PKK31" s="47"/>
      <c r="PKL31" s="47"/>
      <c r="PKM31" s="47"/>
      <c r="PKN31" s="47"/>
      <c r="PKO31" s="47"/>
      <c r="PKP31" s="47"/>
      <c r="PKQ31" s="47"/>
      <c r="PKR31" s="47"/>
      <c r="PKS31" s="47"/>
      <c r="PKT31" s="47"/>
      <c r="PKU31" s="47"/>
      <c r="PKV31" s="47"/>
      <c r="PKW31" s="47"/>
      <c r="PKX31" s="47"/>
      <c r="PKY31" s="47"/>
      <c r="PKZ31" s="47"/>
      <c r="PLA31" s="47"/>
      <c r="PLB31" s="47"/>
      <c r="PLC31" s="47"/>
      <c r="PLD31" s="47"/>
      <c r="PLE31" s="47"/>
      <c r="PLF31" s="47"/>
      <c r="PLG31" s="47"/>
      <c r="PLH31" s="47"/>
      <c r="PLI31" s="47"/>
      <c r="PLJ31" s="47"/>
      <c r="PLK31" s="47"/>
      <c r="PLL31" s="47"/>
      <c r="PLM31" s="47"/>
      <c r="PLN31" s="47"/>
      <c r="PLO31" s="47"/>
      <c r="PLP31" s="47"/>
      <c r="PLQ31" s="47"/>
      <c r="PLR31" s="47"/>
      <c r="PLS31" s="47"/>
      <c r="PLT31" s="47"/>
      <c r="PLU31" s="47"/>
      <c r="PLV31" s="47"/>
      <c r="PLW31" s="47"/>
      <c r="PLX31" s="47"/>
      <c r="PLY31" s="47"/>
      <c r="PLZ31" s="47"/>
      <c r="PMA31" s="47"/>
      <c r="PMB31" s="47"/>
      <c r="PMC31" s="47"/>
      <c r="PMD31" s="47"/>
      <c r="PME31" s="47"/>
      <c r="PMF31" s="47"/>
      <c r="PMG31" s="47"/>
      <c r="PMH31" s="47"/>
      <c r="PMI31" s="47"/>
      <c r="PMJ31" s="47"/>
      <c r="PMK31" s="47"/>
      <c r="PML31" s="47"/>
      <c r="PMM31" s="47"/>
      <c r="PMN31" s="47"/>
      <c r="PMO31" s="47"/>
      <c r="PMP31" s="47"/>
      <c r="PMQ31" s="47"/>
      <c r="PMR31" s="47"/>
      <c r="PMS31" s="47"/>
      <c r="PMT31" s="47"/>
      <c r="PMU31" s="47"/>
      <c r="PMV31" s="47"/>
      <c r="PMW31" s="47"/>
      <c r="PMX31" s="47"/>
      <c r="PMY31" s="47"/>
      <c r="PMZ31" s="47"/>
      <c r="PNA31" s="47"/>
      <c r="PNB31" s="47"/>
      <c r="PNC31" s="47"/>
      <c r="PND31" s="47"/>
      <c r="PNE31" s="47"/>
      <c r="PNF31" s="47"/>
      <c r="PNG31" s="47"/>
      <c r="PNH31" s="47"/>
      <c r="PNI31" s="47"/>
      <c r="PNJ31" s="47"/>
      <c r="PNK31" s="47"/>
      <c r="PNL31" s="47"/>
      <c r="PNM31" s="47"/>
      <c r="PNN31" s="47"/>
      <c r="PNO31" s="47"/>
      <c r="PNP31" s="47"/>
      <c r="PNQ31" s="47"/>
      <c r="PNR31" s="47"/>
      <c r="PNS31" s="47"/>
      <c r="PNT31" s="47"/>
      <c r="PNU31" s="47"/>
      <c r="PNV31" s="47"/>
      <c r="PNW31" s="47"/>
      <c r="PNX31" s="47"/>
      <c r="PNY31" s="47"/>
      <c r="PNZ31" s="47"/>
      <c r="POA31" s="47"/>
      <c r="POB31" s="47"/>
      <c r="POC31" s="47"/>
      <c r="POD31" s="47"/>
      <c r="POE31" s="47"/>
      <c r="POF31" s="47"/>
      <c r="POG31" s="47"/>
      <c r="POH31" s="47"/>
      <c r="POI31" s="47"/>
      <c r="POJ31" s="47"/>
      <c r="POK31" s="47"/>
      <c r="POL31" s="47"/>
      <c r="POM31" s="47"/>
      <c r="PON31" s="47"/>
      <c r="POO31" s="47"/>
      <c r="POP31" s="47"/>
      <c r="POQ31" s="47"/>
      <c r="POR31" s="47"/>
      <c r="POS31" s="47"/>
      <c r="POT31" s="47"/>
      <c r="POU31" s="47"/>
      <c r="POV31" s="47"/>
      <c r="POW31" s="47"/>
      <c r="POX31" s="47"/>
      <c r="POY31" s="47"/>
      <c r="POZ31" s="47"/>
      <c r="PPA31" s="47"/>
      <c r="PPB31" s="47"/>
      <c r="PPC31" s="47"/>
      <c r="PPD31" s="47"/>
      <c r="PPE31" s="47"/>
      <c r="PPF31" s="47"/>
      <c r="PPG31" s="47"/>
      <c r="PPH31" s="47"/>
      <c r="PPI31" s="47"/>
      <c r="PPJ31" s="47"/>
      <c r="PPK31" s="47"/>
      <c r="PPL31" s="47"/>
      <c r="PPM31" s="47"/>
      <c r="PPN31" s="47"/>
      <c r="PPO31" s="47"/>
      <c r="PPP31" s="47"/>
      <c r="PPQ31" s="47"/>
      <c r="PPR31" s="47"/>
      <c r="PPS31" s="47"/>
      <c r="PPT31" s="47"/>
      <c r="PPU31" s="47"/>
      <c r="PPV31" s="47"/>
      <c r="PPW31" s="47"/>
      <c r="PPX31" s="47"/>
      <c r="PPY31" s="47"/>
      <c r="PPZ31" s="47"/>
      <c r="PQA31" s="47"/>
      <c r="PQB31" s="47"/>
      <c r="PQC31" s="47"/>
      <c r="PQD31" s="47"/>
      <c r="PQE31" s="47"/>
      <c r="PQF31" s="47"/>
      <c r="PQG31" s="47"/>
      <c r="PQH31" s="47"/>
      <c r="PQI31" s="47"/>
      <c r="PQJ31" s="47"/>
      <c r="PQK31" s="47"/>
      <c r="PQL31" s="47"/>
      <c r="PQM31" s="47"/>
      <c r="PQN31" s="47"/>
      <c r="PQO31" s="47"/>
      <c r="PQP31" s="47"/>
      <c r="PQQ31" s="47"/>
      <c r="PQR31" s="47"/>
      <c r="PQS31" s="47"/>
      <c r="PQT31" s="47"/>
      <c r="PQU31" s="47"/>
      <c r="PQV31" s="47"/>
      <c r="PQW31" s="47"/>
      <c r="PQX31" s="47"/>
      <c r="PQY31" s="47"/>
      <c r="PQZ31" s="47"/>
      <c r="PRA31" s="47"/>
      <c r="PRB31" s="47"/>
      <c r="PRC31" s="47"/>
      <c r="PRD31" s="47"/>
      <c r="PRE31" s="47"/>
      <c r="PRF31" s="47"/>
      <c r="PRG31" s="47"/>
      <c r="PRH31" s="47"/>
      <c r="PRI31" s="47"/>
      <c r="PRJ31" s="47"/>
      <c r="PRK31" s="47"/>
      <c r="PRL31" s="47"/>
      <c r="PRM31" s="47"/>
      <c r="PRN31" s="47"/>
      <c r="PRO31" s="47"/>
      <c r="PRP31" s="47"/>
      <c r="PRQ31" s="47"/>
      <c r="PRR31" s="47"/>
      <c r="PRS31" s="47"/>
      <c r="PRT31" s="47"/>
      <c r="PRU31" s="47"/>
      <c r="PRV31" s="47"/>
      <c r="PRW31" s="47"/>
      <c r="PRX31" s="47"/>
      <c r="PRY31" s="47"/>
      <c r="PRZ31" s="47"/>
      <c r="PSA31" s="47"/>
      <c r="PSB31" s="47"/>
      <c r="PSC31" s="47"/>
      <c r="PSD31" s="47"/>
      <c r="PSE31" s="47"/>
      <c r="PSF31" s="47"/>
      <c r="PSG31" s="47"/>
      <c r="PSH31" s="47"/>
      <c r="PSI31" s="47"/>
      <c r="PSJ31" s="47"/>
      <c r="PSK31" s="47"/>
      <c r="PSL31" s="47"/>
      <c r="PSM31" s="47"/>
      <c r="PSN31" s="47"/>
      <c r="PSO31" s="47"/>
      <c r="PSP31" s="47"/>
      <c r="PSQ31" s="47"/>
      <c r="PSR31" s="47"/>
      <c r="PSS31" s="47"/>
      <c r="PST31" s="47"/>
      <c r="PSU31" s="47"/>
      <c r="PSV31" s="47"/>
      <c r="PSW31" s="47"/>
      <c r="PSX31" s="47"/>
      <c r="PSY31" s="47"/>
      <c r="PSZ31" s="47"/>
      <c r="PTA31" s="47"/>
      <c r="PTB31" s="47"/>
      <c r="PTC31" s="47"/>
      <c r="PTD31" s="47"/>
      <c r="PTE31" s="47"/>
      <c r="PTF31" s="47"/>
      <c r="PTG31" s="47"/>
      <c r="PTH31" s="47"/>
      <c r="PTI31" s="47"/>
      <c r="PTJ31" s="47"/>
      <c r="PTK31" s="47"/>
      <c r="PTL31" s="47"/>
      <c r="PTM31" s="47"/>
      <c r="PTN31" s="47"/>
      <c r="PTO31" s="47"/>
      <c r="PTP31" s="47"/>
      <c r="PTQ31" s="47"/>
      <c r="PTR31" s="47"/>
      <c r="PTS31" s="47"/>
      <c r="PTT31" s="47"/>
      <c r="PTU31" s="47"/>
      <c r="PTV31" s="47"/>
      <c r="PTW31" s="47"/>
      <c r="PTX31" s="47"/>
      <c r="PTY31" s="47"/>
      <c r="PTZ31" s="47"/>
      <c r="PUA31" s="47"/>
      <c r="PUB31" s="47"/>
      <c r="PUC31" s="47"/>
      <c r="PUD31" s="47"/>
      <c r="PUE31" s="47"/>
      <c r="PUF31" s="47"/>
      <c r="PUG31" s="47"/>
      <c r="PUH31" s="47"/>
      <c r="PUI31" s="47"/>
      <c r="PUJ31" s="47"/>
      <c r="PUK31" s="47"/>
      <c r="PUL31" s="47"/>
      <c r="PUM31" s="47"/>
      <c r="PUN31" s="47"/>
      <c r="PUO31" s="47"/>
      <c r="PUP31" s="47"/>
      <c r="PUQ31" s="47"/>
      <c r="PUR31" s="47"/>
      <c r="PUS31" s="47"/>
      <c r="PUT31" s="47"/>
      <c r="PUU31" s="47"/>
      <c r="PUV31" s="47"/>
      <c r="PUW31" s="47"/>
      <c r="PUX31" s="47"/>
      <c r="PUY31" s="47"/>
      <c r="PUZ31" s="47"/>
      <c r="PVA31" s="47"/>
      <c r="PVB31" s="47"/>
      <c r="PVC31" s="47"/>
      <c r="PVD31" s="47"/>
      <c r="PVE31" s="47"/>
      <c r="PVF31" s="47"/>
      <c r="PVG31" s="47"/>
      <c r="PVH31" s="47"/>
      <c r="PVI31" s="47"/>
      <c r="PVJ31" s="47"/>
      <c r="PVK31" s="47"/>
      <c r="PVL31" s="47"/>
      <c r="PVM31" s="47"/>
      <c r="PVN31" s="47"/>
      <c r="PVO31" s="47"/>
      <c r="PVP31" s="47"/>
      <c r="PVQ31" s="47"/>
      <c r="PVR31" s="47"/>
      <c r="PVS31" s="47"/>
      <c r="PVT31" s="47"/>
      <c r="PVU31" s="47"/>
      <c r="PVV31" s="47"/>
      <c r="PVW31" s="47"/>
      <c r="PVX31" s="47"/>
      <c r="PVY31" s="47"/>
      <c r="PVZ31" s="47"/>
      <c r="PWA31" s="47"/>
      <c r="PWB31" s="47"/>
      <c r="PWC31" s="47"/>
      <c r="PWD31" s="47"/>
      <c r="PWE31" s="47"/>
      <c r="PWF31" s="47"/>
      <c r="PWG31" s="47"/>
      <c r="PWH31" s="47"/>
      <c r="PWI31" s="47"/>
      <c r="PWJ31" s="47"/>
      <c r="PWK31" s="47"/>
      <c r="PWL31" s="47"/>
      <c r="PWM31" s="47"/>
      <c r="PWN31" s="47"/>
      <c r="PWO31" s="47"/>
      <c r="PWP31" s="47"/>
      <c r="PWQ31" s="47"/>
      <c r="PWR31" s="47"/>
      <c r="PWS31" s="47"/>
      <c r="PWT31" s="47"/>
      <c r="PWU31" s="47"/>
      <c r="PWV31" s="47"/>
      <c r="PWW31" s="47"/>
      <c r="PWX31" s="47"/>
      <c r="PWY31" s="47"/>
      <c r="PWZ31" s="47"/>
      <c r="PXA31" s="47"/>
      <c r="PXB31" s="47"/>
      <c r="PXC31" s="47"/>
      <c r="PXD31" s="47"/>
      <c r="PXE31" s="47"/>
      <c r="PXF31" s="47"/>
      <c r="PXG31" s="47"/>
      <c r="PXH31" s="47"/>
      <c r="PXI31" s="47"/>
      <c r="PXJ31" s="47"/>
      <c r="PXK31" s="47"/>
      <c r="PXL31" s="47"/>
      <c r="PXM31" s="47"/>
      <c r="PXN31" s="47"/>
      <c r="PXO31" s="47"/>
      <c r="PXP31" s="47"/>
      <c r="PXQ31" s="47"/>
      <c r="PXR31" s="47"/>
      <c r="PXS31" s="47"/>
      <c r="PXT31" s="47"/>
      <c r="PXU31" s="47"/>
      <c r="PXV31" s="47"/>
      <c r="PXW31" s="47"/>
      <c r="PXX31" s="47"/>
      <c r="PXY31" s="47"/>
      <c r="PXZ31" s="47"/>
      <c r="PYA31" s="47"/>
      <c r="PYB31" s="47"/>
      <c r="PYC31" s="47"/>
      <c r="PYD31" s="47"/>
      <c r="PYE31" s="47"/>
      <c r="PYF31" s="47"/>
      <c r="PYG31" s="47"/>
      <c r="PYH31" s="47"/>
      <c r="PYI31" s="47"/>
      <c r="PYJ31" s="47"/>
      <c r="PYK31" s="47"/>
      <c r="PYL31" s="47"/>
      <c r="PYM31" s="47"/>
      <c r="PYN31" s="47"/>
      <c r="PYO31" s="47"/>
      <c r="PYP31" s="47"/>
      <c r="PYQ31" s="47"/>
      <c r="PYR31" s="47"/>
      <c r="PYS31" s="47"/>
      <c r="PYT31" s="47"/>
      <c r="PYU31" s="47"/>
      <c r="PYV31" s="47"/>
      <c r="PYW31" s="47"/>
      <c r="PYX31" s="47"/>
      <c r="PYY31" s="47"/>
      <c r="PYZ31" s="47"/>
      <c r="PZA31" s="47"/>
      <c r="PZB31" s="47"/>
      <c r="PZC31" s="47"/>
      <c r="PZD31" s="47"/>
      <c r="PZE31" s="47"/>
      <c r="PZF31" s="47"/>
      <c r="PZG31" s="47"/>
      <c r="PZH31" s="47"/>
      <c r="PZI31" s="47"/>
      <c r="PZJ31" s="47"/>
      <c r="PZK31" s="47"/>
      <c r="PZL31" s="47"/>
      <c r="PZM31" s="47"/>
      <c r="PZN31" s="47"/>
      <c r="PZO31" s="47"/>
      <c r="PZP31" s="47"/>
      <c r="PZQ31" s="47"/>
      <c r="PZR31" s="47"/>
      <c r="PZS31" s="47"/>
      <c r="PZT31" s="47"/>
      <c r="PZU31" s="47"/>
      <c r="PZV31" s="47"/>
      <c r="PZW31" s="47"/>
      <c r="PZX31" s="47"/>
      <c r="PZY31" s="47"/>
      <c r="PZZ31" s="47"/>
      <c r="QAA31" s="47"/>
      <c r="QAB31" s="47"/>
      <c r="QAC31" s="47"/>
      <c r="QAD31" s="47"/>
      <c r="QAE31" s="47"/>
      <c r="QAF31" s="47"/>
      <c r="QAG31" s="47"/>
      <c r="QAH31" s="47"/>
      <c r="QAI31" s="47"/>
      <c r="QAJ31" s="47"/>
      <c r="QAK31" s="47"/>
      <c r="QAL31" s="47"/>
      <c r="QAM31" s="47"/>
      <c r="QAN31" s="47"/>
      <c r="QAO31" s="47"/>
      <c r="QAP31" s="47"/>
      <c r="QAQ31" s="47"/>
      <c r="QAR31" s="47"/>
      <c r="QAS31" s="47"/>
      <c r="QAT31" s="47"/>
      <c r="QAU31" s="47"/>
      <c r="QAV31" s="47"/>
      <c r="QAW31" s="47"/>
      <c r="QAX31" s="47"/>
      <c r="QAY31" s="47"/>
      <c r="QAZ31" s="47"/>
      <c r="QBA31" s="47"/>
      <c r="QBB31" s="47"/>
      <c r="QBC31" s="47"/>
      <c r="QBD31" s="47"/>
      <c r="QBE31" s="47"/>
      <c r="QBF31" s="47"/>
      <c r="QBG31" s="47"/>
      <c r="QBH31" s="47"/>
      <c r="QBI31" s="47"/>
      <c r="QBJ31" s="47"/>
      <c r="QBK31" s="47"/>
      <c r="QBL31" s="47"/>
      <c r="QBM31" s="47"/>
      <c r="QBN31" s="47"/>
      <c r="QBO31" s="47"/>
      <c r="QBP31" s="47"/>
      <c r="QBQ31" s="47"/>
      <c r="QBR31" s="47"/>
      <c r="QBS31" s="47"/>
      <c r="QBT31" s="47"/>
      <c r="QBU31" s="47"/>
      <c r="QBV31" s="47"/>
      <c r="QBW31" s="47"/>
      <c r="QBX31" s="47"/>
      <c r="QBY31" s="47"/>
      <c r="QBZ31" s="47"/>
      <c r="QCA31" s="47"/>
      <c r="QCB31" s="47"/>
      <c r="QCC31" s="47"/>
      <c r="QCD31" s="47"/>
      <c r="QCE31" s="47"/>
      <c r="QCF31" s="47"/>
      <c r="QCG31" s="47"/>
      <c r="QCH31" s="47"/>
      <c r="QCI31" s="47"/>
      <c r="QCJ31" s="47"/>
      <c r="QCK31" s="47"/>
      <c r="QCL31" s="47"/>
      <c r="QCM31" s="47"/>
      <c r="QCN31" s="47"/>
      <c r="QCO31" s="47"/>
      <c r="QCP31" s="47"/>
      <c r="QCQ31" s="47"/>
      <c r="QCR31" s="47"/>
      <c r="QCS31" s="47"/>
      <c r="QCT31" s="47"/>
      <c r="QCU31" s="47"/>
      <c r="QCV31" s="47"/>
      <c r="QCW31" s="47"/>
      <c r="QCX31" s="47"/>
      <c r="QCY31" s="47"/>
      <c r="QCZ31" s="47"/>
      <c r="QDA31" s="47"/>
      <c r="QDB31" s="47"/>
      <c r="QDC31" s="47"/>
      <c r="QDD31" s="47"/>
      <c r="QDE31" s="47"/>
      <c r="QDF31" s="47"/>
      <c r="QDG31" s="47"/>
      <c r="QDH31" s="47"/>
      <c r="QDI31" s="47"/>
      <c r="QDJ31" s="47"/>
      <c r="QDK31" s="47"/>
      <c r="QDL31" s="47"/>
      <c r="QDM31" s="47"/>
      <c r="QDN31" s="47"/>
      <c r="QDO31" s="47"/>
      <c r="QDP31" s="47"/>
      <c r="QDQ31" s="47"/>
      <c r="QDR31" s="47"/>
      <c r="QDS31" s="47"/>
      <c r="QDT31" s="47"/>
      <c r="QDU31" s="47"/>
      <c r="QDV31" s="47"/>
      <c r="QDW31" s="47"/>
      <c r="QDX31" s="47"/>
      <c r="QDY31" s="47"/>
      <c r="QDZ31" s="47"/>
      <c r="QEA31" s="47"/>
      <c r="QEB31" s="47"/>
      <c r="QEC31" s="47"/>
      <c r="QED31" s="47"/>
      <c r="QEE31" s="47"/>
      <c r="QEF31" s="47"/>
      <c r="QEG31" s="47"/>
      <c r="QEH31" s="47"/>
      <c r="QEI31" s="47"/>
      <c r="QEJ31" s="47"/>
      <c r="QEK31" s="47"/>
      <c r="QEL31" s="47"/>
      <c r="QEM31" s="47"/>
      <c r="QEN31" s="47"/>
      <c r="QEO31" s="47"/>
      <c r="QEP31" s="47"/>
      <c r="QEQ31" s="47"/>
      <c r="QER31" s="47"/>
      <c r="QES31" s="47"/>
      <c r="QET31" s="47"/>
      <c r="QEU31" s="47"/>
      <c r="QEV31" s="47"/>
      <c r="QEW31" s="47"/>
      <c r="QEX31" s="47"/>
      <c r="QEY31" s="47"/>
      <c r="QEZ31" s="47"/>
      <c r="QFA31" s="47"/>
      <c r="QFB31" s="47"/>
      <c r="QFC31" s="47"/>
      <c r="QFD31" s="47"/>
      <c r="QFE31" s="47"/>
      <c r="QFF31" s="47"/>
      <c r="QFG31" s="47"/>
      <c r="QFH31" s="47"/>
      <c r="QFI31" s="47"/>
      <c r="QFJ31" s="47"/>
      <c r="QFK31" s="47"/>
      <c r="QFL31" s="47"/>
      <c r="QFM31" s="47"/>
      <c r="QFN31" s="47"/>
      <c r="QFO31" s="47"/>
      <c r="QFP31" s="47"/>
      <c r="QFQ31" s="47"/>
      <c r="QFR31" s="47"/>
      <c r="QFS31" s="47"/>
      <c r="QFT31" s="47"/>
      <c r="QFU31" s="47"/>
      <c r="QFV31" s="47"/>
      <c r="QFW31" s="47"/>
      <c r="QFX31" s="47"/>
      <c r="QFY31" s="47"/>
      <c r="QFZ31" s="47"/>
      <c r="QGA31" s="47"/>
      <c r="QGB31" s="47"/>
      <c r="QGC31" s="47"/>
      <c r="QGD31" s="47"/>
      <c r="QGE31" s="47"/>
      <c r="QGF31" s="47"/>
      <c r="QGG31" s="47"/>
      <c r="QGH31" s="47"/>
      <c r="QGI31" s="47"/>
      <c r="QGJ31" s="47"/>
      <c r="QGK31" s="47"/>
      <c r="QGL31" s="47"/>
      <c r="QGM31" s="47"/>
      <c r="QGN31" s="47"/>
      <c r="QGO31" s="47"/>
      <c r="QGP31" s="47"/>
      <c r="QGQ31" s="47"/>
      <c r="QGR31" s="47"/>
      <c r="QGS31" s="47"/>
      <c r="QGT31" s="47"/>
      <c r="QGU31" s="47"/>
      <c r="QGV31" s="47"/>
      <c r="QGW31" s="47"/>
      <c r="QGX31" s="47"/>
      <c r="QGY31" s="47"/>
      <c r="QGZ31" s="47"/>
      <c r="QHA31" s="47"/>
      <c r="QHB31" s="47"/>
      <c r="QHC31" s="47"/>
      <c r="QHD31" s="47"/>
      <c r="QHE31" s="47"/>
      <c r="QHF31" s="47"/>
      <c r="QHG31" s="47"/>
      <c r="QHH31" s="47"/>
      <c r="QHI31" s="47"/>
      <c r="QHJ31" s="47"/>
      <c r="QHK31" s="47"/>
      <c r="QHL31" s="47"/>
      <c r="QHM31" s="47"/>
      <c r="QHN31" s="47"/>
      <c r="QHO31" s="47"/>
      <c r="QHP31" s="47"/>
      <c r="QHQ31" s="47"/>
      <c r="QHR31" s="47"/>
      <c r="QHS31" s="47"/>
      <c r="QHT31" s="47"/>
      <c r="QHU31" s="47"/>
      <c r="QHV31" s="47"/>
      <c r="QHW31" s="47"/>
      <c r="QHX31" s="47"/>
      <c r="QHY31" s="47"/>
      <c r="QHZ31" s="47"/>
      <c r="QIA31" s="47"/>
      <c r="QIB31" s="47"/>
      <c r="QIC31" s="47"/>
      <c r="QID31" s="47"/>
      <c r="QIE31" s="47"/>
      <c r="QIF31" s="47"/>
      <c r="QIG31" s="47"/>
      <c r="QIH31" s="47"/>
      <c r="QII31" s="47"/>
      <c r="QIJ31" s="47"/>
      <c r="QIK31" s="47"/>
      <c r="QIL31" s="47"/>
      <c r="QIM31" s="47"/>
      <c r="QIN31" s="47"/>
      <c r="QIO31" s="47"/>
      <c r="QIP31" s="47"/>
      <c r="QIQ31" s="47"/>
      <c r="QIR31" s="47"/>
      <c r="QIS31" s="47"/>
      <c r="QIT31" s="47"/>
      <c r="QIU31" s="47"/>
      <c r="QIV31" s="47"/>
      <c r="QIW31" s="47"/>
      <c r="QIX31" s="47"/>
      <c r="QIY31" s="47"/>
      <c r="QIZ31" s="47"/>
      <c r="QJA31" s="47"/>
      <c r="QJB31" s="47"/>
      <c r="QJC31" s="47"/>
      <c r="QJD31" s="47"/>
      <c r="QJE31" s="47"/>
      <c r="QJF31" s="47"/>
      <c r="QJG31" s="47"/>
      <c r="QJH31" s="47"/>
      <c r="QJI31" s="47"/>
      <c r="QJJ31" s="47"/>
      <c r="QJK31" s="47"/>
      <c r="QJL31" s="47"/>
      <c r="QJM31" s="47"/>
      <c r="QJN31" s="47"/>
      <c r="QJO31" s="47"/>
      <c r="QJP31" s="47"/>
      <c r="QJQ31" s="47"/>
      <c r="QJR31" s="47"/>
      <c r="QJS31" s="47"/>
      <c r="QJT31" s="47"/>
      <c r="QJU31" s="47"/>
      <c r="QJV31" s="47"/>
      <c r="QJW31" s="47"/>
      <c r="QJX31" s="47"/>
      <c r="QJY31" s="47"/>
      <c r="QJZ31" s="47"/>
      <c r="QKA31" s="47"/>
      <c r="QKB31" s="47"/>
      <c r="QKC31" s="47"/>
      <c r="QKD31" s="47"/>
      <c r="QKE31" s="47"/>
      <c r="QKF31" s="47"/>
      <c r="QKG31" s="47"/>
      <c r="QKH31" s="47"/>
      <c r="QKI31" s="47"/>
      <c r="QKJ31" s="47"/>
      <c r="QKK31" s="47"/>
      <c r="QKL31" s="47"/>
      <c r="QKM31" s="47"/>
      <c r="QKN31" s="47"/>
      <c r="QKO31" s="47"/>
      <c r="QKP31" s="47"/>
      <c r="QKQ31" s="47"/>
      <c r="QKR31" s="47"/>
      <c r="QKS31" s="47"/>
      <c r="QKT31" s="47"/>
      <c r="QKU31" s="47"/>
      <c r="QKV31" s="47"/>
      <c r="QKW31" s="47"/>
      <c r="QKX31" s="47"/>
      <c r="QKY31" s="47"/>
      <c r="QKZ31" s="47"/>
      <c r="QLA31" s="47"/>
      <c r="QLB31" s="47"/>
      <c r="QLC31" s="47"/>
      <c r="QLD31" s="47"/>
      <c r="QLE31" s="47"/>
      <c r="QLF31" s="47"/>
      <c r="QLG31" s="47"/>
      <c r="QLH31" s="47"/>
      <c r="QLI31" s="47"/>
      <c r="QLJ31" s="47"/>
      <c r="QLK31" s="47"/>
      <c r="QLL31" s="47"/>
      <c r="QLM31" s="47"/>
      <c r="QLN31" s="47"/>
      <c r="QLO31" s="47"/>
      <c r="QLP31" s="47"/>
      <c r="QLQ31" s="47"/>
      <c r="QLR31" s="47"/>
      <c r="QLS31" s="47"/>
      <c r="QLT31" s="47"/>
      <c r="QLU31" s="47"/>
      <c r="QLV31" s="47"/>
      <c r="QLW31" s="47"/>
      <c r="QLX31" s="47"/>
      <c r="QLY31" s="47"/>
      <c r="QLZ31" s="47"/>
      <c r="QMA31" s="47"/>
      <c r="QMB31" s="47"/>
      <c r="QMC31" s="47"/>
      <c r="QMD31" s="47"/>
      <c r="QME31" s="47"/>
      <c r="QMF31" s="47"/>
      <c r="QMG31" s="47"/>
      <c r="QMH31" s="47"/>
      <c r="QMI31" s="47"/>
      <c r="QMJ31" s="47"/>
      <c r="QMK31" s="47"/>
      <c r="QML31" s="47"/>
      <c r="QMM31" s="47"/>
      <c r="QMN31" s="47"/>
      <c r="QMO31" s="47"/>
      <c r="QMP31" s="47"/>
      <c r="QMQ31" s="47"/>
      <c r="QMR31" s="47"/>
      <c r="QMS31" s="47"/>
      <c r="QMT31" s="47"/>
      <c r="QMU31" s="47"/>
      <c r="QMV31" s="47"/>
      <c r="QMW31" s="47"/>
      <c r="QMX31" s="47"/>
      <c r="QMY31" s="47"/>
      <c r="QMZ31" s="47"/>
      <c r="QNA31" s="47"/>
      <c r="QNB31" s="47"/>
      <c r="QNC31" s="47"/>
      <c r="QND31" s="47"/>
      <c r="QNE31" s="47"/>
      <c r="QNF31" s="47"/>
      <c r="QNG31" s="47"/>
      <c r="QNH31" s="47"/>
      <c r="QNI31" s="47"/>
      <c r="QNJ31" s="47"/>
      <c r="QNK31" s="47"/>
      <c r="QNL31" s="47"/>
      <c r="QNM31" s="47"/>
      <c r="QNN31" s="47"/>
      <c r="QNO31" s="47"/>
      <c r="QNP31" s="47"/>
      <c r="QNQ31" s="47"/>
      <c r="QNR31" s="47"/>
      <c r="QNS31" s="47"/>
      <c r="QNT31" s="47"/>
      <c r="QNU31" s="47"/>
      <c r="QNV31" s="47"/>
      <c r="QNW31" s="47"/>
      <c r="QNX31" s="47"/>
      <c r="QNY31" s="47"/>
      <c r="QNZ31" s="47"/>
      <c r="QOA31" s="47"/>
      <c r="QOB31" s="47"/>
      <c r="QOC31" s="47"/>
      <c r="QOD31" s="47"/>
      <c r="QOE31" s="47"/>
      <c r="QOF31" s="47"/>
      <c r="QOG31" s="47"/>
      <c r="QOH31" s="47"/>
      <c r="QOI31" s="47"/>
      <c r="QOJ31" s="47"/>
      <c r="QOK31" s="47"/>
      <c r="QOL31" s="47"/>
      <c r="QOM31" s="47"/>
      <c r="QON31" s="47"/>
      <c r="QOO31" s="47"/>
      <c r="QOP31" s="47"/>
      <c r="QOQ31" s="47"/>
      <c r="QOR31" s="47"/>
      <c r="QOS31" s="47"/>
      <c r="QOT31" s="47"/>
      <c r="QOU31" s="47"/>
      <c r="QOV31" s="47"/>
      <c r="QOW31" s="47"/>
      <c r="QOX31" s="47"/>
      <c r="QOY31" s="47"/>
      <c r="QOZ31" s="47"/>
      <c r="QPA31" s="47"/>
      <c r="QPB31" s="47"/>
      <c r="QPC31" s="47"/>
      <c r="QPD31" s="47"/>
      <c r="QPE31" s="47"/>
      <c r="QPF31" s="47"/>
      <c r="QPG31" s="47"/>
      <c r="QPH31" s="47"/>
      <c r="QPI31" s="47"/>
      <c r="QPJ31" s="47"/>
      <c r="QPK31" s="47"/>
      <c r="QPL31" s="47"/>
      <c r="QPM31" s="47"/>
      <c r="QPN31" s="47"/>
      <c r="QPO31" s="47"/>
      <c r="QPP31" s="47"/>
      <c r="QPQ31" s="47"/>
      <c r="QPR31" s="47"/>
      <c r="QPS31" s="47"/>
      <c r="QPT31" s="47"/>
      <c r="QPU31" s="47"/>
      <c r="QPV31" s="47"/>
      <c r="QPW31" s="47"/>
      <c r="QPX31" s="47"/>
      <c r="QPY31" s="47"/>
      <c r="QPZ31" s="47"/>
      <c r="QQA31" s="47"/>
      <c r="QQB31" s="47"/>
      <c r="QQC31" s="47"/>
      <c r="QQD31" s="47"/>
      <c r="QQE31" s="47"/>
      <c r="QQF31" s="47"/>
      <c r="QQG31" s="47"/>
      <c r="QQH31" s="47"/>
      <c r="QQI31" s="47"/>
      <c r="QQJ31" s="47"/>
      <c r="QQK31" s="47"/>
      <c r="QQL31" s="47"/>
      <c r="QQM31" s="47"/>
      <c r="QQN31" s="47"/>
      <c r="QQO31" s="47"/>
      <c r="QQP31" s="47"/>
      <c r="QQQ31" s="47"/>
      <c r="QQR31" s="47"/>
      <c r="QQS31" s="47"/>
      <c r="QQT31" s="47"/>
      <c r="QQU31" s="47"/>
      <c r="QQV31" s="47"/>
      <c r="QQW31" s="47"/>
      <c r="QQX31" s="47"/>
      <c r="QQY31" s="47"/>
      <c r="QQZ31" s="47"/>
      <c r="QRA31" s="47"/>
      <c r="QRB31" s="47"/>
      <c r="QRC31" s="47"/>
      <c r="QRD31" s="47"/>
      <c r="QRE31" s="47"/>
      <c r="QRF31" s="47"/>
      <c r="QRG31" s="47"/>
      <c r="QRH31" s="47"/>
      <c r="QRI31" s="47"/>
      <c r="QRJ31" s="47"/>
      <c r="QRK31" s="47"/>
      <c r="QRL31" s="47"/>
      <c r="QRM31" s="47"/>
      <c r="QRN31" s="47"/>
      <c r="QRO31" s="47"/>
      <c r="QRP31" s="47"/>
      <c r="QRQ31" s="47"/>
      <c r="QRR31" s="47"/>
      <c r="QRS31" s="47"/>
      <c r="QRT31" s="47"/>
      <c r="QRU31" s="47"/>
      <c r="QRV31" s="47"/>
      <c r="QRW31" s="47"/>
      <c r="QRX31" s="47"/>
      <c r="QRY31" s="47"/>
      <c r="QRZ31" s="47"/>
      <c r="QSA31" s="47"/>
      <c r="QSB31" s="47"/>
      <c r="QSC31" s="47"/>
      <c r="QSD31" s="47"/>
      <c r="QSE31" s="47"/>
      <c r="QSF31" s="47"/>
      <c r="QSG31" s="47"/>
      <c r="QSH31" s="47"/>
      <c r="QSI31" s="47"/>
      <c r="QSJ31" s="47"/>
      <c r="QSK31" s="47"/>
      <c r="QSL31" s="47"/>
      <c r="QSM31" s="47"/>
      <c r="QSN31" s="47"/>
      <c r="QSO31" s="47"/>
      <c r="QSP31" s="47"/>
      <c r="QSQ31" s="47"/>
      <c r="QSR31" s="47"/>
      <c r="QSS31" s="47"/>
      <c r="QST31" s="47"/>
      <c r="QSU31" s="47"/>
      <c r="QSV31" s="47"/>
      <c r="QSW31" s="47"/>
      <c r="QSX31" s="47"/>
      <c r="QSY31" s="47"/>
      <c r="QSZ31" s="47"/>
      <c r="QTA31" s="47"/>
      <c r="QTB31" s="47"/>
      <c r="QTC31" s="47"/>
      <c r="QTD31" s="47"/>
      <c r="QTE31" s="47"/>
      <c r="QTF31" s="47"/>
      <c r="QTG31" s="47"/>
      <c r="QTH31" s="47"/>
      <c r="QTI31" s="47"/>
      <c r="QTJ31" s="47"/>
      <c r="QTK31" s="47"/>
      <c r="QTL31" s="47"/>
      <c r="QTM31" s="47"/>
      <c r="QTN31" s="47"/>
      <c r="QTO31" s="47"/>
      <c r="QTP31" s="47"/>
      <c r="QTQ31" s="47"/>
      <c r="QTR31" s="47"/>
      <c r="QTS31" s="47"/>
      <c r="QTT31" s="47"/>
      <c r="QTU31" s="47"/>
      <c r="QTV31" s="47"/>
      <c r="QTW31" s="47"/>
      <c r="QTX31" s="47"/>
      <c r="QTY31" s="47"/>
      <c r="QTZ31" s="47"/>
      <c r="QUA31" s="47"/>
      <c r="QUB31" s="47"/>
      <c r="QUC31" s="47"/>
      <c r="QUD31" s="47"/>
      <c r="QUE31" s="47"/>
      <c r="QUF31" s="47"/>
      <c r="QUG31" s="47"/>
      <c r="QUH31" s="47"/>
      <c r="QUI31" s="47"/>
      <c r="QUJ31" s="47"/>
      <c r="QUK31" s="47"/>
      <c r="QUL31" s="47"/>
      <c r="QUM31" s="47"/>
      <c r="QUN31" s="47"/>
      <c r="QUO31" s="47"/>
      <c r="QUP31" s="47"/>
      <c r="QUQ31" s="47"/>
      <c r="QUR31" s="47"/>
      <c r="QUS31" s="47"/>
      <c r="QUT31" s="47"/>
      <c r="QUU31" s="47"/>
      <c r="QUV31" s="47"/>
      <c r="QUW31" s="47"/>
      <c r="QUX31" s="47"/>
      <c r="QUY31" s="47"/>
      <c r="QUZ31" s="47"/>
      <c r="QVA31" s="47"/>
      <c r="QVB31" s="47"/>
      <c r="QVC31" s="47"/>
      <c r="QVD31" s="47"/>
      <c r="QVE31" s="47"/>
      <c r="QVF31" s="47"/>
      <c r="QVG31" s="47"/>
      <c r="QVH31" s="47"/>
      <c r="QVI31" s="47"/>
      <c r="QVJ31" s="47"/>
      <c r="QVK31" s="47"/>
      <c r="QVL31" s="47"/>
      <c r="QVM31" s="47"/>
      <c r="QVN31" s="47"/>
      <c r="QVO31" s="47"/>
      <c r="QVP31" s="47"/>
      <c r="QVQ31" s="47"/>
      <c r="QVR31" s="47"/>
      <c r="QVS31" s="47"/>
      <c r="QVT31" s="47"/>
      <c r="QVU31" s="47"/>
      <c r="QVV31" s="47"/>
      <c r="QVW31" s="47"/>
      <c r="QVX31" s="47"/>
      <c r="QVY31" s="47"/>
      <c r="QVZ31" s="47"/>
      <c r="QWA31" s="47"/>
      <c r="QWB31" s="47"/>
      <c r="QWC31" s="47"/>
      <c r="QWD31" s="47"/>
      <c r="QWE31" s="47"/>
      <c r="QWF31" s="47"/>
      <c r="QWG31" s="47"/>
      <c r="QWH31" s="47"/>
      <c r="QWI31" s="47"/>
      <c r="QWJ31" s="47"/>
      <c r="QWK31" s="47"/>
      <c r="QWL31" s="47"/>
      <c r="QWM31" s="47"/>
      <c r="QWN31" s="47"/>
      <c r="QWO31" s="47"/>
      <c r="QWP31" s="47"/>
      <c r="QWQ31" s="47"/>
      <c r="QWR31" s="47"/>
      <c r="QWS31" s="47"/>
      <c r="QWT31" s="47"/>
      <c r="QWU31" s="47"/>
      <c r="QWV31" s="47"/>
      <c r="QWW31" s="47"/>
      <c r="QWX31" s="47"/>
      <c r="QWY31" s="47"/>
      <c r="QWZ31" s="47"/>
      <c r="QXA31" s="47"/>
      <c r="QXB31" s="47"/>
      <c r="QXC31" s="47"/>
      <c r="QXD31" s="47"/>
      <c r="QXE31" s="47"/>
      <c r="QXF31" s="47"/>
      <c r="QXG31" s="47"/>
      <c r="QXH31" s="47"/>
      <c r="QXI31" s="47"/>
      <c r="QXJ31" s="47"/>
      <c r="QXK31" s="47"/>
      <c r="QXL31" s="47"/>
      <c r="QXM31" s="47"/>
      <c r="QXN31" s="47"/>
      <c r="QXO31" s="47"/>
      <c r="QXP31" s="47"/>
      <c r="QXQ31" s="47"/>
      <c r="QXR31" s="47"/>
      <c r="QXS31" s="47"/>
      <c r="QXT31" s="47"/>
      <c r="QXU31" s="47"/>
      <c r="QXV31" s="47"/>
      <c r="QXW31" s="47"/>
      <c r="QXX31" s="47"/>
      <c r="QXY31" s="47"/>
      <c r="QXZ31" s="47"/>
      <c r="QYA31" s="47"/>
      <c r="QYB31" s="47"/>
      <c r="QYC31" s="47"/>
      <c r="QYD31" s="47"/>
      <c r="QYE31" s="47"/>
      <c r="QYF31" s="47"/>
      <c r="QYG31" s="47"/>
      <c r="QYH31" s="47"/>
      <c r="QYI31" s="47"/>
      <c r="QYJ31" s="47"/>
      <c r="QYK31" s="47"/>
      <c r="QYL31" s="47"/>
      <c r="QYM31" s="47"/>
      <c r="QYN31" s="47"/>
      <c r="QYO31" s="47"/>
      <c r="QYP31" s="47"/>
      <c r="QYQ31" s="47"/>
      <c r="QYR31" s="47"/>
      <c r="QYS31" s="47"/>
      <c r="QYT31" s="47"/>
      <c r="QYU31" s="47"/>
      <c r="QYV31" s="47"/>
      <c r="QYW31" s="47"/>
      <c r="QYX31" s="47"/>
      <c r="QYY31" s="47"/>
      <c r="QYZ31" s="47"/>
      <c r="QZA31" s="47"/>
      <c r="QZB31" s="47"/>
      <c r="QZC31" s="47"/>
      <c r="QZD31" s="47"/>
      <c r="QZE31" s="47"/>
      <c r="QZF31" s="47"/>
      <c r="QZG31" s="47"/>
      <c r="QZH31" s="47"/>
      <c r="QZI31" s="47"/>
      <c r="QZJ31" s="47"/>
      <c r="QZK31" s="47"/>
      <c r="QZL31" s="47"/>
      <c r="QZM31" s="47"/>
      <c r="QZN31" s="47"/>
      <c r="QZO31" s="47"/>
      <c r="QZP31" s="47"/>
      <c r="QZQ31" s="47"/>
      <c r="QZR31" s="47"/>
      <c r="QZS31" s="47"/>
      <c r="QZT31" s="47"/>
      <c r="QZU31" s="47"/>
      <c r="QZV31" s="47"/>
      <c r="QZW31" s="47"/>
      <c r="QZX31" s="47"/>
      <c r="QZY31" s="47"/>
      <c r="QZZ31" s="47"/>
      <c r="RAA31" s="47"/>
      <c r="RAB31" s="47"/>
      <c r="RAC31" s="47"/>
      <c r="RAD31" s="47"/>
      <c r="RAE31" s="47"/>
      <c r="RAF31" s="47"/>
      <c r="RAG31" s="47"/>
      <c r="RAH31" s="47"/>
      <c r="RAI31" s="47"/>
      <c r="RAJ31" s="47"/>
      <c r="RAK31" s="47"/>
      <c r="RAL31" s="47"/>
      <c r="RAM31" s="47"/>
      <c r="RAN31" s="47"/>
      <c r="RAO31" s="47"/>
      <c r="RAP31" s="47"/>
      <c r="RAQ31" s="47"/>
      <c r="RAR31" s="47"/>
      <c r="RAS31" s="47"/>
      <c r="RAT31" s="47"/>
      <c r="RAU31" s="47"/>
      <c r="RAV31" s="47"/>
      <c r="RAW31" s="47"/>
      <c r="RAX31" s="47"/>
      <c r="RAY31" s="47"/>
      <c r="RAZ31" s="47"/>
      <c r="RBA31" s="47"/>
      <c r="RBB31" s="47"/>
      <c r="RBC31" s="47"/>
      <c r="RBD31" s="47"/>
      <c r="RBE31" s="47"/>
      <c r="RBF31" s="47"/>
      <c r="RBG31" s="47"/>
      <c r="RBH31" s="47"/>
      <c r="RBI31" s="47"/>
      <c r="RBJ31" s="47"/>
      <c r="RBK31" s="47"/>
      <c r="RBL31" s="47"/>
      <c r="RBM31" s="47"/>
      <c r="RBN31" s="47"/>
      <c r="RBO31" s="47"/>
      <c r="RBP31" s="47"/>
      <c r="RBQ31" s="47"/>
      <c r="RBR31" s="47"/>
      <c r="RBS31" s="47"/>
      <c r="RBT31" s="47"/>
      <c r="RBU31" s="47"/>
      <c r="RBV31" s="47"/>
      <c r="RBW31" s="47"/>
      <c r="RBX31" s="47"/>
      <c r="RBY31" s="47"/>
      <c r="RBZ31" s="47"/>
      <c r="RCA31" s="47"/>
      <c r="RCB31" s="47"/>
      <c r="RCC31" s="47"/>
      <c r="RCD31" s="47"/>
      <c r="RCE31" s="47"/>
      <c r="RCF31" s="47"/>
      <c r="RCG31" s="47"/>
      <c r="RCH31" s="47"/>
      <c r="RCI31" s="47"/>
      <c r="RCJ31" s="47"/>
      <c r="RCK31" s="47"/>
      <c r="RCL31" s="47"/>
      <c r="RCM31" s="47"/>
      <c r="RCN31" s="47"/>
      <c r="RCO31" s="47"/>
      <c r="RCP31" s="47"/>
      <c r="RCQ31" s="47"/>
      <c r="RCR31" s="47"/>
      <c r="RCS31" s="47"/>
      <c r="RCT31" s="47"/>
      <c r="RCU31" s="47"/>
      <c r="RCV31" s="47"/>
      <c r="RCW31" s="47"/>
      <c r="RCX31" s="47"/>
      <c r="RCY31" s="47"/>
      <c r="RCZ31" s="47"/>
      <c r="RDA31" s="47"/>
      <c r="RDB31" s="47"/>
      <c r="RDC31" s="47"/>
      <c r="RDD31" s="47"/>
      <c r="RDE31" s="47"/>
      <c r="RDF31" s="47"/>
      <c r="RDG31" s="47"/>
      <c r="RDH31" s="47"/>
      <c r="RDI31" s="47"/>
      <c r="RDJ31" s="47"/>
      <c r="RDK31" s="47"/>
      <c r="RDL31" s="47"/>
      <c r="RDM31" s="47"/>
      <c r="RDN31" s="47"/>
      <c r="RDO31" s="47"/>
      <c r="RDP31" s="47"/>
      <c r="RDQ31" s="47"/>
      <c r="RDR31" s="47"/>
      <c r="RDS31" s="47"/>
      <c r="RDT31" s="47"/>
      <c r="RDU31" s="47"/>
      <c r="RDV31" s="47"/>
      <c r="RDW31" s="47"/>
      <c r="RDX31" s="47"/>
      <c r="RDY31" s="47"/>
      <c r="RDZ31" s="47"/>
      <c r="REA31" s="47"/>
      <c r="REB31" s="47"/>
      <c r="REC31" s="47"/>
      <c r="RED31" s="47"/>
      <c r="REE31" s="47"/>
      <c r="REF31" s="47"/>
      <c r="REG31" s="47"/>
      <c r="REH31" s="47"/>
      <c r="REI31" s="47"/>
      <c r="REJ31" s="47"/>
      <c r="REK31" s="47"/>
      <c r="REL31" s="47"/>
      <c r="REM31" s="47"/>
      <c r="REN31" s="47"/>
      <c r="REO31" s="47"/>
      <c r="REP31" s="47"/>
      <c r="REQ31" s="47"/>
      <c r="RER31" s="47"/>
      <c r="RES31" s="47"/>
      <c r="RET31" s="47"/>
      <c r="REU31" s="47"/>
      <c r="REV31" s="47"/>
      <c r="REW31" s="47"/>
      <c r="REX31" s="47"/>
      <c r="REY31" s="47"/>
      <c r="REZ31" s="47"/>
      <c r="RFA31" s="47"/>
      <c r="RFB31" s="47"/>
      <c r="RFC31" s="47"/>
      <c r="RFD31" s="47"/>
      <c r="RFE31" s="47"/>
      <c r="RFF31" s="47"/>
      <c r="RFG31" s="47"/>
      <c r="RFH31" s="47"/>
      <c r="RFI31" s="47"/>
      <c r="RFJ31" s="47"/>
      <c r="RFK31" s="47"/>
      <c r="RFL31" s="47"/>
      <c r="RFM31" s="47"/>
      <c r="RFN31" s="47"/>
      <c r="RFO31" s="47"/>
      <c r="RFP31" s="47"/>
      <c r="RFQ31" s="47"/>
      <c r="RFR31" s="47"/>
      <c r="RFS31" s="47"/>
      <c r="RFT31" s="47"/>
      <c r="RFU31" s="47"/>
      <c r="RFV31" s="47"/>
      <c r="RFW31" s="47"/>
      <c r="RFX31" s="47"/>
      <c r="RFY31" s="47"/>
      <c r="RFZ31" s="47"/>
      <c r="RGA31" s="47"/>
      <c r="RGB31" s="47"/>
      <c r="RGC31" s="47"/>
      <c r="RGD31" s="47"/>
      <c r="RGE31" s="47"/>
      <c r="RGF31" s="47"/>
      <c r="RGG31" s="47"/>
      <c r="RGH31" s="47"/>
      <c r="RGI31" s="47"/>
      <c r="RGJ31" s="47"/>
      <c r="RGK31" s="47"/>
      <c r="RGL31" s="47"/>
      <c r="RGM31" s="47"/>
      <c r="RGN31" s="47"/>
      <c r="RGO31" s="47"/>
      <c r="RGP31" s="47"/>
      <c r="RGQ31" s="47"/>
      <c r="RGR31" s="47"/>
      <c r="RGS31" s="47"/>
      <c r="RGT31" s="47"/>
      <c r="RGU31" s="47"/>
      <c r="RGV31" s="47"/>
      <c r="RGW31" s="47"/>
      <c r="RGX31" s="47"/>
      <c r="RGY31" s="47"/>
      <c r="RGZ31" s="47"/>
      <c r="RHA31" s="47"/>
      <c r="RHB31" s="47"/>
      <c r="RHC31" s="47"/>
      <c r="RHD31" s="47"/>
      <c r="RHE31" s="47"/>
      <c r="RHF31" s="47"/>
      <c r="RHG31" s="47"/>
      <c r="RHH31" s="47"/>
      <c r="RHI31" s="47"/>
      <c r="RHJ31" s="47"/>
      <c r="RHK31" s="47"/>
      <c r="RHL31" s="47"/>
      <c r="RHM31" s="47"/>
      <c r="RHN31" s="47"/>
      <c r="RHO31" s="47"/>
      <c r="RHP31" s="47"/>
      <c r="RHQ31" s="47"/>
      <c r="RHR31" s="47"/>
      <c r="RHS31" s="47"/>
      <c r="RHT31" s="47"/>
      <c r="RHU31" s="47"/>
      <c r="RHV31" s="47"/>
      <c r="RHW31" s="47"/>
      <c r="RHX31" s="47"/>
      <c r="RHY31" s="47"/>
      <c r="RHZ31" s="47"/>
      <c r="RIA31" s="47"/>
      <c r="RIB31" s="47"/>
      <c r="RIC31" s="47"/>
      <c r="RID31" s="47"/>
      <c r="RIE31" s="47"/>
      <c r="RIF31" s="47"/>
      <c r="RIG31" s="47"/>
      <c r="RIH31" s="47"/>
      <c r="RII31" s="47"/>
      <c r="RIJ31" s="47"/>
      <c r="RIK31" s="47"/>
      <c r="RIL31" s="47"/>
      <c r="RIM31" s="47"/>
      <c r="RIN31" s="47"/>
      <c r="RIO31" s="47"/>
      <c r="RIP31" s="47"/>
      <c r="RIQ31" s="47"/>
      <c r="RIR31" s="47"/>
      <c r="RIS31" s="47"/>
      <c r="RIT31" s="47"/>
      <c r="RIU31" s="47"/>
      <c r="RIV31" s="47"/>
      <c r="RIW31" s="47"/>
      <c r="RIX31" s="47"/>
      <c r="RIY31" s="47"/>
      <c r="RIZ31" s="47"/>
      <c r="RJA31" s="47"/>
      <c r="RJB31" s="47"/>
      <c r="RJC31" s="47"/>
      <c r="RJD31" s="47"/>
      <c r="RJE31" s="47"/>
      <c r="RJF31" s="47"/>
      <c r="RJG31" s="47"/>
      <c r="RJH31" s="47"/>
      <c r="RJI31" s="47"/>
      <c r="RJJ31" s="47"/>
      <c r="RJK31" s="47"/>
      <c r="RJL31" s="47"/>
      <c r="RJM31" s="47"/>
      <c r="RJN31" s="47"/>
      <c r="RJO31" s="47"/>
      <c r="RJP31" s="47"/>
      <c r="RJQ31" s="47"/>
      <c r="RJR31" s="47"/>
      <c r="RJS31" s="47"/>
      <c r="RJT31" s="47"/>
      <c r="RJU31" s="47"/>
      <c r="RJV31" s="47"/>
      <c r="RJW31" s="47"/>
      <c r="RJX31" s="47"/>
      <c r="RJY31" s="47"/>
      <c r="RJZ31" s="47"/>
      <c r="RKA31" s="47"/>
      <c r="RKB31" s="47"/>
      <c r="RKC31" s="47"/>
      <c r="RKD31" s="47"/>
      <c r="RKE31" s="47"/>
      <c r="RKF31" s="47"/>
      <c r="RKG31" s="47"/>
      <c r="RKH31" s="47"/>
      <c r="RKI31" s="47"/>
      <c r="RKJ31" s="47"/>
      <c r="RKK31" s="47"/>
      <c r="RKL31" s="47"/>
      <c r="RKM31" s="47"/>
      <c r="RKN31" s="47"/>
      <c r="RKO31" s="47"/>
      <c r="RKP31" s="47"/>
      <c r="RKQ31" s="47"/>
      <c r="RKR31" s="47"/>
      <c r="RKS31" s="47"/>
      <c r="RKT31" s="47"/>
      <c r="RKU31" s="47"/>
      <c r="RKV31" s="47"/>
      <c r="RKW31" s="47"/>
      <c r="RKX31" s="47"/>
      <c r="RKY31" s="47"/>
      <c r="RKZ31" s="47"/>
      <c r="RLA31" s="47"/>
      <c r="RLB31" s="47"/>
      <c r="RLC31" s="47"/>
      <c r="RLD31" s="47"/>
      <c r="RLE31" s="47"/>
      <c r="RLF31" s="47"/>
      <c r="RLG31" s="47"/>
      <c r="RLH31" s="47"/>
      <c r="RLI31" s="47"/>
      <c r="RLJ31" s="47"/>
      <c r="RLK31" s="47"/>
      <c r="RLL31" s="47"/>
      <c r="RLM31" s="47"/>
      <c r="RLN31" s="47"/>
      <c r="RLO31" s="47"/>
      <c r="RLP31" s="47"/>
      <c r="RLQ31" s="47"/>
      <c r="RLR31" s="47"/>
      <c r="RLS31" s="47"/>
      <c r="RLT31" s="47"/>
      <c r="RLU31" s="47"/>
      <c r="RLV31" s="47"/>
      <c r="RLW31" s="47"/>
      <c r="RLX31" s="47"/>
      <c r="RLY31" s="47"/>
      <c r="RLZ31" s="47"/>
      <c r="RMA31" s="47"/>
      <c r="RMB31" s="47"/>
      <c r="RMC31" s="47"/>
      <c r="RMD31" s="47"/>
      <c r="RME31" s="47"/>
      <c r="RMF31" s="47"/>
      <c r="RMG31" s="47"/>
      <c r="RMH31" s="47"/>
      <c r="RMI31" s="47"/>
      <c r="RMJ31" s="47"/>
      <c r="RMK31" s="47"/>
      <c r="RML31" s="47"/>
      <c r="RMM31" s="47"/>
      <c r="RMN31" s="47"/>
      <c r="RMO31" s="47"/>
      <c r="RMP31" s="47"/>
      <c r="RMQ31" s="47"/>
      <c r="RMR31" s="47"/>
      <c r="RMS31" s="47"/>
      <c r="RMT31" s="47"/>
      <c r="RMU31" s="47"/>
      <c r="RMV31" s="47"/>
      <c r="RMW31" s="47"/>
      <c r="RMX31" s="47"/>
      <c r="RMY31" s="47"/>
      <c r="RMZ31" s="47"/>
      <c r="RNA31" s="47"/>
      <c r="RNB31" s="47"/>
      <c r="RNC31" s="47"/>
      <c r="RND31" s="47"/>
      <c r="RNE31" s="47"/>
      <c r="RNF31" s="47"/>
      <c r="RNG31" s="47"/>
      <c r="RNH31" s="47"/>
      <c r="RNI31" s="47"/>
      <c r="RNJ31" s="47"/>
      <c r="RNK31" s="47"/>
      <c r="RNL31" s="47"/>
      <c r="RNM31" s="47"/>
      <c r="RNN31" s="47"/>
      <c r="RNO31" s="47"/>
      <c r="RNP31" s="47"/>
      <c r="RNQ31" s="47"/>
      <c r="RNR31" s="47"/>
      <c r="RNS31" s="47"/>
      <c r="RNT31" s="47"/>
      <c r="RNU31" s="47"/>
      <c r="RNV31" s="47"/>
      <c r="RNW31" s="47"/>
      <c r="RNX31" s="47"/>
      <c r="RNY31" s="47"/>
      <c r="RNZ31" s="47"/>
      <c r="ROA31" s="47"/>
      <c r="ROB31" s="47"/>
      <c r="ROC31" s="47"/>
      <c r="ROD31" s="47"/>
      <c r="ROE31" s="47"/>
      <c r="ROF31" s="47"/>
      <c r="ROG31" s="47"/>
      <c r="ROH31" s="47"/>
      <c r="ROI31" s="47"/>
      <c r="ROJ31" s="47"/>
      <c r="ROK31" s="47"/>
      <c r="ROL31" s="47"/>
      <c r="ROM31" s="47"/>
      <c r="RON31" s="47"/>
      <c r="ROO31" s="47"/>
      <c r="ROP31" s="47"/>
      <c r="ROQ31" s="47"/>
      <c r="ROR31" s="47"/>
      <c r="ROS31" s="47"/>
      <c r="ROT31" s="47"/>
      <c r="ROU31" s="47"/>
      <c r="ROV31" s="47"/>
      <c r="ROW31" s="47"/>
      <c r="ROX31" s="47"/>
      <c r="ROY31" s="47"/>
      <c r="ROZ31" s="47"/>
      <c r="RPA31" s="47"/>
      <c r="RPB31" s="47"/>
      <c r="RPC31" s="47"/>
      <c r="RPD31" s="47"/>
      <c r="RPE31" s="47"/>
      <c r="RPF31" s="47"/>
      <c r="RPG31" s="47"/>
      <c r="RPH31" s="47"/>
      <c r="RPI31" s="47"/>
      <c r="RPJ31" s="47"/>
      <c r="RPK31" s="47"/>
      <c r="RPL31" s="47"/>
      <c r="RPM31" s="47"/>
      <c r="RPN31" s="47"/>
      <c r="RPO31" s="47"/>
      <c r="RPP31" s="47"/>
      <c r="RPQ31" s="47"/>
      <c r="RPR31" s="47"/>
      <c r="RPS31" s="47"/>
      <c r="RPT31" s="47"/>
      <c r="RPU31" s="47"/>
      <c r="RPV31" s="47"/>
      <c r="RPW31" s="47"/>
      <c r="RPX31" s="47"/>
      <c r="RPY31" s="47"/>
      <c r="RPZ31" s="47"/>
      <c r="RQA31" s="47"/>
      <c r="RQB31" s="47"/>
      <c r="RQC31" s="47"/>
      <c r="RQD31" s="47"/>
      <c r="RQE31" s="47"/>
      <c r="RQF31" s="47"/>
      <c r="RQG31" s="47"/>
      <c r="RQH31" s="47"/>
      <c r="RQI31" s="47"/>
      <c r="RQJ31" s="47"/>
      <c r="RQK31" s="47"/>
      <c r="RQL31" s="47"/>
      <c r="RQM31" s="47"/>
      <c r="RQN31" s="47"/>
      <c r="RQO31" s="47"/>
      <c r="RQP31" s="47"/>
      <c r="RQQ31" s="47"/>
      <c r="RQR31" s="47"/>
      <c r="RQS31" s="47"/>
      <c r="RQT31" s="47"/>
      <c r="RQU31" s="47"/>
      <c r="RQV31" s="47"/>
      <c r="RQW31" s="47"/>
      <c r="RQX31" s="47"/>
      <c r="RQY31" s="47"/>
      <c r="RQZ31" s="47"/>
      <c r="RRA31" s="47"/>
      <c r="RRB31" s="47"/>
      <c r="RRC31" s="47"/>
      <c r="RRD31" s="47"/>
      <c r="RRE31" s="47"/>
      <c r="RRF31" s="47"/>
      <c r="RRG31" s="47"/>
      <c r="RRH31" s="47"/>
      <c r="RRI31" s="47"/>
      <c r="RRJ31" s="47"/>
      <c r="RRK31" s="47"/>
      <c r="RRL31" s="47"/>
      <c r="RRM31" s="47"/>
      <c r="RRN31" s="47"/>
      <c r="RRO31" s="47"/>
      <c r="RRP31" s="47"/>
      <c r="RRQ31" s="47"/>
      <c r="RRR31" s="47"/>
      <c r="RRS31" s="47"/>
      <c r="RRT31" s="47"/>
      <c r="RRU31" s="47"/>
      <c r="RRV31" s="47"/>
      <c r="RRW31" s="47"/>
      <c r="RRX31" s="47"/>
      <c r="RRY31" s="47"/>
      <c r="RRZ31" s="47"/>
      <c r="RSA31" s="47"/>
      <c r="RSB31" s="47"/>
      <c r="RSC31" s="47"/>
      <c r="RSD31" s="47"/>
      <c r="RSE31" s="47"/>
      <c r="RSF31" s="47"/>
      <c r="RSG31" s="47"/>
      <c r="RSH31" s="47"/>
      <c r="RSI31" s="47"/>
      <c r="RSJ31" s="47"/>
      <c r="RSK31" s="47"/>
      <c r="RSL31" s="47"/>
      <c r="RSM31" s="47"/>
      <c r="RSN31" s="47"/>
      <c r="RSO31" s="47"/>
      <c r="RSP31" s="47"/>
      <c r="RSQ31" s="47"/>
      <c r="RSR31" s="47"/>
      <c r="RSS31" s="47"/>
      <c r="RST31" s="47"/>
      <c r="RSU31" s="47"/>
      <c r="RSV31" s="47"/>
      <c r="RSW31" s="47"/>
      <c r="RSX31" s="47"/>
      <c r="RSY31" s="47"/>
      <c r="RSZ31" s="47"/>
      <c r="RTA31" s="47"/>
      <c r="RTB31" s="47"/>
      <c r="RTC31" s="47"/>
      <c r="RTD31" s="47"/>
      <c r="RTE31" s="47"/>
      <c r="RTF31" s="47"/>
      <c r="RTG31" s="47"/>
      <c r="RTH31" s="47"/>
      <c r="RTI31" s="47"/>
      <c r="RTJ31" s="47"/>
      <c r="RTK31" s="47"/>
      <c r="RTL31" s="47"/>
      <c r="RTM31" s="47"/>
      <c r="RTN31" s="47"/>
      <c r="RTO31" s="47"/>
      <c r="RTP31" s="47"/>
      <c r="RTQ31" s="47"/>
      <c r="RTR31" s="47"/>
      <c r="RTS31" s="47"/>
      <c r="RTT31" s="47"/>
      <c r="RTU31" s="47"/>
      <c r="RTV31" s="47"/>
      <c r="RTW31" s="47"/>
      <c r="RTX31" s="47"/>
      <c r="RTY31" s="47"/>
      <c r="RTZ31" s="47"/>
      <c r="RUA31" s="47"/>
      <c r="RUB31" s="47"/>
      <c r="RUC31" s="47"/>
      <c r="RUD31" s="47"/>
      <c r="RUE31" s="47"/>
      <c r="RUF31" s="47"/>
      <c r="RUG31" s="47"/>
      <c r="RUH31" s="47"/>
      <c r="RUI31" s="47"/>
      <c r="RUJ31" s="47"/>
      <c r="RUK31" s="47"/>
      <c r="RUL31" s="47"/>
      <c r="RUM31" s="47"/>
      <c r="RUN31" s="47"/>
      <c r="RUO31" s="47"/>
      <c r="RUP31" s="47"/>
      <c r="RUQ31" s="47"/>
      <c r="RUR31" s="47"/>
      <c r="RUS31" s="47"/>
      <c r="RUT31" s="47"/>
      <c r="RUU31" s="47"/>
      <c r="RUV31" s="47"/>
      <c r="RUW31" s="47"/>
      <c r="RUX31" s="47"/>
      <c r="RUY31" s="47"/>
      <c r="RUZ31" s="47"/>
      <c r="RVA31" s="47"/>
      <c r="RVB31" s="47"/>
      <c r="RVC31" s="47"/>
      <c r="RVD31" s="47"/>
      <c r="RVE31" s="47"/>
      <c r="RVF31" s="47"/>
      <c r="RVG31" s="47"/>
      <c r="RVH31" s="47"/>
      <c r="RVI31" s="47"/>
      <c r="RVJ31" s="47"/>
      <c r="RVK31" s="47"/>
      <c r="RVL31" s="47"/>
      <c r="RVM31" s="47"/>
      <c r="RVN31" s="47"/>
      <c r="RVO31" s="47"/>
      <c r="RVP31" s="47"/>
      <c r="RVQ31" s="47"/>
      <c r="RVR31" s="47"/>
      <c r="RVS31" s="47"/>
      <c r="RVT31" s="47"/>
      <c r="RVU31" s="47"/>
      <c r="RVV31" s="47"/>
      <c r="RVW31" s="47"/>
      <c r="RVX31" s="47"/>
      <c r="RVY31" s="47"/>
      <c r="RVZ31" s="47"/>
      <c r="RWA31" s="47"/>
      <c r="RWB31" s="47"/>
      <c r="RWC31" s="47"/>
      <c r="RWD31" s="47"/>
      <c r="RWE31" s="47"/>
      <c r="RWF31" s="47"/>
      <c r="RWG31" s="47"/>
      <c r="RWH31" s="47"/>
      <c r="RWI31" s="47"/>
      <c r="RWJ31" s="47"/>
      <c r="RWK31" s="47"/>
      <c r="RWL31" s="47"/>
      <c r="RWM31" s="47"/>
      <c r="RWN31" s="47"/>
      <c r="RWO31" s="47"/>
      <c r="RWP31" s="47"/>
      <c r="RWQ31" s="47"/>
      <c r="RWR31" s="47"/>
      <c r="RWS31" s="47"/>
      <c r="RWT31" s="47"/>
      <c r="RWU31" s="47"/>
      <c r="RWV31" s="47"/>
      <c r="RWW31" s="47"/>
      <c r="RWX31" s="47"/>
      <c r="RWY31" s="47"/>
      <c r="RWZ31" s="47"/>
      <c r="RXA31" s="47"/>
      <c r="RXB31" s="47"/>
      <c r="RXC31" s="47"/>
      <c r="RXD31" s="47"/>
      <c r="RXE31" s="47"/>
      <c r="RXF31" s="47"/>
      <c r="RXG31" s="47"/>
      <c r="RXH31" s="47"/>
      <c r="RXI31" s="47"/>
      <c r="RXJ31" s="47"/>
      <c r="RXK31" s="47"/>
      <c r="RXL31" s="47"/>
      <c r="RXM31" s="47"/>
      <c r="RXN31" s="47"/>
      <c r="RXO31" s="47"/>
      <c r="RXP31" s="47"/>
      <c r="RXQ31" s="47"/>
      <c r="RXR31" s="47"/>
      <c r="RXS31" s="47"/>
      <c r="RXT31" s="47"/>
      <c r="RXU31" s="47"/>
      <c r="RXV31" s="47"/>
      <c r="RXW31" s="47"/>
      <c r="RXX31" s="47"/>
      <c r="RXY31" s="47"/>
      <c r="RXZ31" s="47"/>
      <c r="RYA31" s="47"/>
      <c r="RYB31" s="47"/>
      <c r="RYC31" s="47"/>
      <c r="RYD31" s="47"/>
      <c r="RYE31" s="47"/>
      <c r="RYF31" s="47"/>
      <c r="RYG31" s="47"/>
      <c r="RYH31" s="47"/>
      <c r="RYI31" s="47"/>
      <c r="RYJ31" s="47"/>
      <c r="RYK31" s="47"/>
      <c r="RYL31" s="47"/>
      <c r="RYM31" s="47"/>
      <c r="RYN31" s="47"/>
      <c r="RYO31" s="47"/>
      <c r="RYP31" s="47"/>
      <c r="RYQ31" s="47"/>
      <c r="RYR31" s="47"/>
      <c r="RYS31" s="47"/>
      <c r="RYT31" s="47"/>
      <c r="RYU31" s="47"/>
      <c r="RYV31" s="47"/>
      <c r="RYW31" s="47"/>
      <c r="RYX31" s="47"/>
      <c r="RYY31" s="47"/>
      <c r="RYZ31" s="47"/>
      <c r="RZA31" s="47"/>
      <c r="RZB31" s="47"/>
      <c r="RZC31" s="47"/>
      <c r="RZD31" s="47"/>
      <c r="RZE31" s="47"/>
      <c r="RZF31" s="47"/>
      <c r="RZG31" s="47"/>
      <c r="RZH31" s="47"/>
      <c r="RZI31" s="47"/>
      <c r="RZJ31" s="47"/>
      <c r="RZK31" s="47"/>
      <c r="RZL31" s="47"/>
      <c r="RZM31" s="47"/>
      <c r="RZN31" s="47"/>
      <c r="RZO31" s="47"/>
      <c r="RZP31" s="47"/>
      <c r="RZQ31" s="47"/>
      <c r="RZR31" s="47"/>
      <c r="RZS31" s="47"/>
      <c r="RZT31" s="47"/>
      <c r="RZU31" s="47"/>
      <c r="RZV31" s="47"/>
      <c r="RZW31" s="47"/>
      <c r="RZX31" s="47"/>
      <c r="RZY31" s="47"/>
      <c r="RZZ31" s="47"/>
      <c r="SAA31" s="47"/>
      <c r="SAB31" s="47"/>
      <c r="SAC31" s="47"/>
      <c r="SAD31" s="47"/>
      <c r="SAE31" s="47"/>
      <c r="SAF31" s="47"/>
      <c r="SAG31" s="47"/>
      <c r="SAH31" s="47"/>
      <c r="SAI31" s="47"/>
      <c r="SAJ31" s="47"/>
      <c r="SAK31" s="47"/>
      <c r="SAL31" s="47"/>
      <c r="SAM31" s="47"/>
      <c r="SAN31" s="47"/>
      <c r="SAO31" s="47"/>
      <c r="SAP31" s="47"/>
      <c r="SAQ31" s="47"/>
      <c r="SAR31" s="47"/>
      <c r="SAS31" s="47"/>
      <c r="SAT31" s="47"/>
      <c r="SAU31" s="47"/>
      <c r="SAV31" s="47"/>
      <c r="SAW31" s="47"/>
      <c r="SAX31" s="47"/>
      <c r="SAY31" s="47"/>
      <c r="SAZ31" s="47"/>
      <c r="SBA31" s="47"/>
      <c r="SBB31" s="47"/>
      <c r="SBC31" s="47"/>
      <c r="SBD31" s="47"/>
      <c r="SBE31" s="47"/>
      <c r="SBF31" s="47"/>
      <c r="SBG31" s="47"/>
      <c r="SBH31" s="47"/>
      <c r="SBI31" s="47"/>
      <c r="SBJ31" s="47"/>
      <c r="SBK31" s="47"/>
      <c r="SBL31" s="47"/>
      <c r="SBM31" s="47"/>
      <c r="SBN31" s="47"/>
      <c r="SBO31" s="47"/>
      <c r="SBP31" s="47"/>
      <c r="SBQ31" s="47"/>
      <c r="SBR31" s="47"/>
      <c r="SBS31" s="47"/>
      <c r="SBT31" s="47"/>
      <c r="SBU31" s="47"/>
      <c r="SBV31" s="47"/>
      <c r="SBW31" s="47"/>
      <c r="SBX31" s="47"/>
      <c r="SBY31" s="47"/>
      <c r="SBZ31" s="47"/>
      <c r="SCA31" s="47"/>
      <c r="SCB31" s="47"/>
      <c r="SCC31" s="47"/>
      <c r="SCD31" s="47"/>
      <c r="SCE31" s="47"/>
      <c r="SCF31" s="47"/>
      <c r="SCG31" s="47"/>
      <c r="SCH31" s="47"/>
      <c r="SCI31" s="47"/>
      <c r="SCJ31" s="47"/>
      <c r="SCK31" s="47"/>
      <c r="SCL31" s="47"/>
      <c r="SCM31" s="47"/>
      <c r="SCN31" s="47"/>
      <c r="SCO31" s="47"/>
      <c r="SCP31" s="47"/>
      <c r="SCQ31" s="47"/>
      <c r="SCR31" s="47"/>
      <c r="SCS31" s="47"/>
      <c r="SCT31" s="47"/>
      <c r="SCU31" s="47"/>
      <c r="SCV31" s="47"/>
      <c r="SCW31" s="47"/>
      <c r="SCX31" s="47"/>
      <c r="SCY31" s="47"/>
      <c r="SCZ31" s="47"/>
      <c r="SDA31" s="47"/>
      <c r="SDB31" s="47"/>
      <c r="SDC31" s="47"/>
      <c r="SDD31" s="47"/>
      <c r="SDE31" s="47"/>
      <c r="SDF31" s="47"/>
      <c r="SDG31" s="47"/>
      <c r="SDH31" s="47"/>
      <c r="SDI31" s="47"/>
      <c r="SDJ31" s="47"/>
      <c r="SDK31" s="47"/>
      <c r="SDL31" s="47"/>
      <c r="SDM31" s="47"/>
      <c r="SDN31" s="47"/>
      <c r="SDO31" s="47"/>
      <c r="SDP31" s="47"/>
      <c r="SDQ31" s="47"/>
      <c r="SDR31" s="47"/>
      <c r="SDS31" s="47"/>
      <c r="SDT31" s="47"/>
      <c r="SDU31" s="47"/>
      <c r="SDV31" s="47"/>
      <c r="SDW31" s="47"/>
      <c r="SDX31" s="47"/>
      <c r="SDY31" s="47"/>
      <c r="SDZ31" s="47"/>
      <c r="SEA31" s="47"/>
      <c r="SEB31" s="47"/>
      <c r="SEC31" s="47"/>
      <c r="SED31" s="47"/>
      <c r="SEE31" s="47"/>
      <c r="SEF31" s="47"/>
      <c r="SEG31" s="47"/>
      <c r="SEH31" s="47"/>
      <c r="SEI31" s="47"/>
      <c r="SEJ31" s="47"/>
      <c r="SEK31" s="47"/>
      <c r="SEL31" s="47"/>
      <c r="SEM31" s="47"/>
      <c r="SEN31" s="47"/>
      <c r="SEO31" s="47"/>
      <c r="SEP31" s="47"/>
      <c r="SEQ31" s="47"/>
      <c r="SER31" s="47"/>
      <c r="SES31" s="47"/>
      <c r="SET31" s="47"/>
      <c r="SEU31" s="47"/>
      <c r="SEV31" s="47"/>
      <c r="SEW31" s="47"/>
      <c r="SEX31" s="47"/>
      <c r="SEY31" s="47"/>
      <c r="SEZ31" s="47"/>
      <c r="SFA31" s="47"/>
      <c r="SFB31" s="47"/>
      <c r="SFC31" s="47"/>
      <c r="SFD31" s="47"/>
      <c r="SFE31" s="47"/>
      <c r="SFF31" s="47"/>
      <c r="SFG31" s="47"/>
      <c r="SFH31" s="47"/>
      <c r="SFI31" s="47"/>
      <c r="SFJ31" s="47"/>
      <c r="SFK31" s="47"/>
      <c r="SFL31" s="47"/>
      <c r="SFM31" s="47"/>
      <c r="SFN31" s="47"/>
      <c r="SFO31" s="47"/>
      <c r="SFP31" s="47"/>
      <c r="SFQ31" s="47"/>
      <c r="SFR31" s="47"/>
      <c r="SFS31" s="47"/>
      <c r="SFT31" s="47"/>
      <c r="SFU31" s="47"/>
      <c r="SFV31" s="47"/>
      <c r="SFW31" s="47"/>
      <c r="SFX31" s="47"/>
      <c r="SFY31" s="47"/>
      <c r="SFZ31" s="47"/>
      <c r="SGA31" s="47"/>
      <c r="SGB31" s="47"/>
      <c r="SGC31" s="47"/>
      <c r="SGD31" s="47"/>
      <c r="SGE31" s="47"/>
      <c r="SGF31" s="47"/>
      <c r="SGG31" s="47"/>
      <c r="SGH31" s="47"/>
      <c r="SGI31" s="47"/>
      <c r="SGJ31" s="47"/>
      <c r="SGK31" s="47"/>
      <c r="SGL31" s="47"/>
      <c r="SGM31" s="47"/>
      <c r="SGN31" s="47"/>
      <c r="SGO31" s="47"/>
      <c r="SGP31" s="47"/>
      <c r="SGQ31" s="47"/>
      <c r="SGR31" s="47"/>
      <c r="SGS31" s="47"/>
      <c r="SGT31" s="47"/>
      <c r="SGU31" s="47"/>
      <c r="SGV31" s="47"/>
      <c r="SGW31" s="47"/>
      <c r="SGX31" s="47"/>
      <c r="SGY31" s="47"/>
      <c r="SGZ31" s="47"/>
      <c r="SHA31" s="47"/>
      <c r="SHB31" s="47"/>
      <c r="SHC31" s="47"/>
      <c r="SHD31" s="47"/>
      <c r="SHE31" s="47"/>
      <c r="SHF31" s="47"/>
      <c r="SHG31" s="47"/>
      <c r="SHH31" s="47"/>
      <c r="SHI31" s="47"/>
      <c r="SHJ31" s="47"/>
      <c r="SHK31" s="47"/>
      <c r="SHL31" s="47"/>
      <c r="SHM31" s="47"/>
      <c r="SHN31" s="47"/>
      <c r="SHO31" s="47"/>
      <c r="SHP31" s="47"/>
      <c r="SHQ31" s="47"/>
      <c r="SHR31" s="47"/>
      <c r="SHS31" s="47"/>
      <c r="SHT31" s="47"/>
      <c r="SHU31" s="47"/>
      <c r="SHV31" s="47"/>
      <c r="SHW31" s="47"/>
      <c r="SHX31" s="47"/>
      <c r="SHY31" s="47"/>
      <c r="SHZ31" s="47"/>
      <c r="SIA31" s="47"/>
      <c r="SIB31" s="47"/>
      <c r="SIC31" s="47"/>
      <c r="SID31" s="47"/>
      <c r="SIE31" s="47"/>
      <c r="SIF31" s="47"/>
      <c r="SIG31" s="47"/>
      <c r="SIH31" s="47"/>
      <c r="SII31" s="47"/>
      <c r="SIJ31" s="47"/>
      <c r="SIK31" s="47"/>
      <c r="SIL31" s="47"/>
      <c r="SIM31" s="47"/>
      <c r="SIN31" s="47"/>
      <c r="SIO31" s="47"/>
      <c r="SIP31" s="47"/>
      <c r="SIQ31" s="47"/>
      <c r="SIR31" s="47"/>
      <c r="SIS31" s="47"/>
      <c r="SIT31" s="47"/>
      <c r="SIU31" s="47"/>
      <c r="SIV31" s="47"/>
      <c r="SIW31" s="47"/>
      <c r="SIX31" s="47"/>
      <c r="SIY31" s="47"/>
      <c r="SIZ31" s="47"/>
      <c r="SJA31" s="47"/>
      <c r="SJB31" s="47"/>
      <c r="SJC31" s="47"/>
      <c r="SJD31" s="47"/>
      <c r="SJE31" s="47"/>
      <c r="SJF31" s="47"/>
      <c r="SJG31" s="47"/>
      <c r="SJH31" s="47"/>
      <c r="SJI31" s="47"/>
      <c r="SJJ31" s="47"/>
      <c r="SJK31" s="47"/>
      <c r="SJL31" s="47"/>
      <c r="SJM31" s="47"/>
      <c r="SJN31" s="47"/>
      <c r="SJO31" s="47"/>
      <c r="SJP31" s="47"/>
      <c r="SJQ31" s="47"/>
      <c r="SJR31" s="47"/>
      <c r="SJS31" s="47"/>
      <c r="SJT31" s="47"/>
      <c r="SJU31" s="47"/>
      <c r="SJV31" s="47"/>
      <c r="SJW31" s="47"/>
      <c r="SJX31" s="47"/>
      <c r="SJY31" s="47"/>
      <c r="SJZ31" s="47"/>
      <c r="SKA31" s="47"/>
      <c r="SKB31" s="47"/>
      <c r="SKC31" s="47"/>
      <c r="SKD31" s="47"/>
      <c r="SKE31" s="47"/>
      <c r="SKF31" s="47"/>
      <c r="SKG31" s="47"/>
      <c r="SKH31" s="47"/>
      <c r="SKI31" s="47"/>
      <c r="SKJ31" s="47"/>
      <c r="SKK31" s="47"/>
      <c r="SKL31" s="47"/>
      <c r="SKM31" s="47"/>
      <c r="SKN31" s="47"/>
      <c r="SKO31" s="47"/>
      <c r="SKP31" s="47"/>
      <c r="SKQ31" s="47"/>
      <c r="SKR31" s="47"/>
      <c r="SKS31" s="47"/>
      <c r="SKT31" s="47"/>
      <c r="SKU31" s="47"/>
      <c r="SKV31" s="47"/>
      <c r="SKW31" s="47"/>
      <c r="SKX31" s="47"/>
      <c r="SKY31" s="47"/>
      <c r="SKZ31" s="47"/>
      <c r="SLA31" s="47"/>
      <c r="SLB31" s="47"/>
      <c r="SLC31" s="47"/>
      <c r="SLD31" s="47"/>
      <c r="SLE31" s="47"/>
      <c r="SLF31" s="47"/>
      <c r="SLG31" s="47"/>
      <c r="SLH31" s="47"/>
      <c r="SLI31" s="47"/>
      <c r="SLJ31" s="47"/>
      <c r="SLK31" s="47"/>
      <c r="SLL31" s="47"/>
      <c r="SLM31" s="47"/>
      <c r="SLN31" s="47"/>
      <c r="SLO31" s="47"/>
      <c r="SLP31" s="47"/>
      <c r="SLQ31" s="47"/>
      <c r="SLR31" s="47"/>
      <c r="SLS31" s="47"/>
      <c r="SLT31" s="47"/>
      <c r="SLU31" s="47"/>
      <c r="SLV31" s="47"/>
      <c r="SLW31" s="47"/>
      <c r="SLX31" s="47"/>
      <c r="SLY31" s="47"/>
      <c r="SLZ31" s="47"/>
      <c r="SMA31" s="47"/>
      <c r="SMB31" s="47"/>
      <c r="SMC31" s="47"/>
      <c r="SMD31" s="47"/>
      <c r="SME31" s="47"/>
      <c r="SMF31" s="47"/>
      <c r="SMG31" s="47"/>
      <c r="SMH31" s="47"/>
      <c r="SMI31" s="47"/>
      <c r="SMJ31" s="47"/>
      <c r="SMK31" s="47"/>
      <c r="SML31" s="47"/>
      <c r="SMM31" s="47"/>
      <c r="SMN31" s="47"/>
      <c r="SMO31" s="47"/>
      <c r="SMP31" s="47"/>
      <c r="SMQ31" s="47"/>
      <c r="SMR31" s="47"/>
      <c r="SMS31" s="47"/>
      <c r="SMT31" s="47"/>
      <c r="SMU31" s="47"/>
      <c r="SMV31" s="47"/>
      <c r="SMW31" s="47"/>
      <c r="SMX31" s="47"/>
      <c r="SMY31" s="47"/>
      <c r="SMZ31" s="47"/>
      <c r="SNA31" s="47"/>
      <c r="SNB31" s="47"/>
      <c r="SNC31" s="47"/>
      <c r="SND31" s="47"/>
      <c r="SNE31" s="47"/>
      <c r="SNF31" s="47"/>
      <c r="SNG31" s="47"/>
      <c r="SNH31" s="47"/>
      <c r="SNI31" s="47"/>
      <c r="SNJ31" s="47"/>
      <c r="SNK31" s="47"/>
      <c r="SNL31" s="47"/>
      <c r="SNM31" s="47"/>
      <c r="SNN31" s="47"/>
      <c r="SNO31" s="47"/>
      <c r="SNP31" s="47"/>
      <c r="SNQ31" s="47"/>
      <c r="SNR31" s="47"/>
      <c r="SNS31" s="47"/>
      <c r="SNT31" s="47"/>
      <c r="SNU31" s="47"/>
      <c r="SNV31" s="47"/>
      <c r="SNW31" s="47"/>
      <c r="SNX31" s="47"/>
      <c r="SNY31" s="47"/>
      <c r="SNZ31" s="47"/>
      <c r="SOA31" s="47"/>
      <c r="SOB31" s="47"/>
      <c r="SOC31" s="47"/>
      <c r="SOD31" s="47"/>
      <c r="SOE31" s="47"/>
      <c r="SOF31" s="47"/>
      <c r="SOG31" s="47"/>
      <c r="SOH31" s="47"/>
      <c r="SOI31" s="47"/>
      <c r="SOJ31" s="47"/>
      <c r="SOK31" s="47"/>
      <c r="SOL31" s="47"/>
      <c r="SOM31" s="47"/>
      <c r="SON31" s="47"/>
      <c r="SOO31" s="47"/>
      <c r="SOP31" s="47"/>
      <c r="SOQ31" s="47"/>
      <c r="SOR31" s="47"/>
      <c r="SOS31" s="47"/>
      <c r="SOT31" s="47"/>
      <c r="SOU31" s="47"/>
      <c r="SOV31" s="47"/>
      <c r="SOW31" s="47"/>
      <c r="SOX31" s="47"/>
      <c r="SOY31" s="47"/>
      <c r="SOZ31" s="47"/>
      <c r="SPA31" s="47"/>
      <c r="SPB31" s="47"/>
      <c r="SPC31" s="47"/>
      <c r="SPD31" s="47"/>
      <c r="SPE31" s="47"/>
      <c r="SPF31" s="47"/>
      <c r="SPG31" s="47"/>
      <c r="SPH31" s="47"/>
      <c r="SPI31" s="47"/>
      <c r="SPJ31" s="47"/>
      <c r="SPK31" s="47"/>
      <c r="SPL31" s="47"/>
      <c r="SPM31" s="47"/>
      <c r="SPN31" s="47"/>
      <c r="SPO31" s="47"/>
      <c r="SPP31" s="47"/>
      <c r="SPQ31" s="47"/>
      <c r="SPR31" s="47"/>
      <c r="SPS31" s="47"/>
      <c r="SPT31" s="47"/>
      <c r="SPU31" s="47"/>
      <c r="SPV31" s="47"/>
      <c r="SPW31" s="47"/>
      <c r="SPX31" s="47"/>
      <c r="SPY31" s="47"/>
      <c r="SPZ31" s="47"/>
      <c r="SQA31" s="47"/>
      <c r="SQB31" s="47"/>
      <c r="SQC31" s="47"/>
      <c r="SQD31" s="47"/>
      <c r="SQE31" s="47"/>
      <c r="SQF31" s="47"/>
      <c r="SQG31" s="47"/>
      <c r="SQH31" s="47"/>
      <c r="SQI31" s="47"/>
      <c r="SQJ31" s="47"/>
      <c r="SQK31" s="47"/>
      <c r="SQL31" s="47"/>
      <c r="SQM31" s="47"/>
      <c r="SQN31" s="47"/>
      <c r="SQO31" s="47"/>
      <c r="SQP31" s="47"/>
      <c r="SQQ31" s="47"/>
      <c r="SQR31" s="47"/>
      <c r="SQS31" s="47"/>
      <c r="SQT31" s="47"/>
      <c r="SQU31" s="47"/>
      <c r="SQV31" s="47"/>
      <c r="SQW31" s="47"/>
      <c r="SQX31" s="47"/>
      <c r="SQY31" s="47"/>
      <c r="SQZ31" s="47"/>
      <c r="SRA31" s="47"/>
      <c r="SRB31" s="47"/>
      <c r="SRC31" s="47"/>
      <c r="SRD31" s="47"/>
      <c r="SRE31" s="47"/>
      <c r="SRF31" s="47"/>
      <c r="SRG31" s="47"/>
      <c r="SRH31" s="47"/>
      <c r="SRI31" s="47"/>
      <c r="SRJ31" s="47"/>
      <c r="SRK31" s="47"/>
      <c r="SRL31" s="47"/>
      <c r="SRM31" s="47"/>
      <c r="SRN31" s="47"/>
      <c r="SRO31" s="47"/>
      <c r="SRP31" s="47"/>
      <c r="SRQ31" s="47"/>
      <c r="SRR31" s="47"/>
      <c r="SRS31" s="47"/>
      <c r="SRT31" s="47"/>
      <c r="SRU31" s="47"/>
      <c r="SRV31" s="47"/>
      <c r="SRW31" s="47"/>
      <c r="SRX31" s="47"/>
      <c r="SRY31" s="47"/>
      <c r="SRZ31" s="47"/>
      <c r="SSA31" s="47"/>
      <c r="SSB31" s="47"/>
      <c r="SSC31" s="47"/>
      <c r="SSD31" s="47"/>
      <c r="SSE31" s="47"/>
      <c r="SSF31" s="47"/>
      <c r="SSG31" s="47"/>
      <c r="SSH31" s="47"/>
      <c r="SSI31" s="47"/>
      <c r="SSJ31" s="47"/>
      <c r="SSK31" s="47"/>
      <c r="SSL31" s="47"/>
      <c r="SSM31" s="47"/>
      <c r="SSN31" s="47"/>
      <c r="SSO31" s="47"/>
      <c r="SSP31" s="47"/>
      <c r="SSQ31" s="47"/>
      <c r="SSR31" s="47"/>
      <c r="SSS31" s="47"/>
      <c r="SST31" s="47"/>
      <c r="SSU31" s="47"/>
      <c r="SSV31" s="47"/>
      <c r="SSW31" s="47"/>
      <c r="SSX31" s="47"/>
      <c r="SSY31" s="47"/>
      <c r="SSZ31" s="47"/>
      <c r="STA31" s="47"/>
      <c r="STB31" s="47"/>
      <c r="STC31" s="47"/>
      <c r="STD31" s="47"/>
      <c r="STE31" s="47"/>
      <c r="STF31" s="47"/>
      <c r="STG31" s="47"/>
      <c r="STH31" s="47"/>
      <c r="STI31" s="47"/>
      <c r="STJ31" s="47"/>
      <c r="STK31" s="47"/>
      <c r="STL31" s="47"/>
      <c r="STM31" s="47"/>
      <c r="STN31" s="47"/>
      <c r="STO31" s="47"/>
      <c r="STP31" s="47"/>
      <c r="STQ31" s="47"/>
      <c r="STR31" s="47"/>
      <c r="STS31" s="47"/>
      <c r="STT31" s="47"/>
      <c r="STU31" s="47"/>
      <c r="STV31" s="47"/>
      <c r="STW31" s="47"/>
      <c r="STX31" s="47"/>
      <c r="STY31" s="47"/>
      <c r="STZ31" s="47"/>
      <c r="SUA31" s="47"/>
      <c r="SUB31" s="47"/>
      <c r="SUC31" s="47"/>
      <c r="SUD31" s="47"/>
      <c r="SUE31" s="47"/>
      <c r="SUF31" s="47"/>
      <c r="SUG31" s="47"/>
      <c r="SUH31" s="47"/>
      <c r="SUI31" s="47"/>
      <c r="SUJ31" s="47"/>
      <c r="SUK31" s="47"/>
      <c r="SUL31" s="47"/>
      <c r="SUM31" s="47"/>
      <c r="SUN31" s="47"/>
      <c r="SUO31" s="47"/>
      <c r="SUP31" s="47"/>
      <c r="SUQ31" s="47"/>
      <c r="SUR31" s="47"/>
      <c r="SUS31" s="47"/>
      <c r="SUT31" s="47"/>
      <c r="SUU31" s="47"/>
      <c r="SUV31" s="47"/>
      <c r="SUW31" s="47"/>
      <c r="SUX31" s="47"/>
      <c r="SUY31" s="47"/>
      <c r="SUZ31" s="47"/>
      <c r="SVA31" s="47"/>
      <c r="SVB31" s="47"/>
      <c r="SVC31" s="47"/>
      <c r="SVD31" s="47"/>
      <c r="SVE31" s="47"/>
      <c r="SVF31" s="47"/>
      <c r="SVG31" s="47"/>
      <c r="SVH31" s="47"/>
      <c r="SVI31" s="47"/>
      <c r="SVJ31" s="47"/>
      <c r="SVK31" s="47"/>
      <c r="SVL31" s="47"/>
      <c r="SVM31" s="47"/>
      <c r="SVN31" s="47"/>
      <c r="SVO31" s="47"/>
      <c r="SVP31" s="47"/>
      <c r="SVQ31" s="47"/>
      <c r="SVR31" s="47"/>
      <c r="SVS31" s="47"/>
      <c r="SVT31" s="47"/>
      <c r="SVU31" s="47"/>
      <c r="SVV31" s="47"/>
      <c r="SVW31" s="47"/>
      <c r="SVX31" s="47"/>
      <c r="SVY31" s="47"/>
      <c r="SVZ31" s="47"/>
      <c r="SWA31" s="47"/>
      <c r="SWB31" s="47"/>
      <c r="SWC31" s="47"/>
      <c r="SWD31" s="47"/>
      <c r="SWE31" s="47"/>
      <c r="SWF31" s="47"/>
      <c r="SWG31" s="47"/>
      <c r="SWH31" s="47"/>
      <c r="SWI31" s="47"/>
      <c r="SWJ31" s="47"/>
      <c r="SWK31" s="47"/>
      <c r="SWL31" s="47"/>
      <c r="SWM31" s="47"/>
      <c r="SWN31" s="47"/>
      <c r="SWO31" s="47"/>
      <c r="SWP31" s="47"/>
      <c r="SWQ31" s="47"/>
      <c r="SWR31" s="47"/>
      <c r="SWS31" s="47"/>
      <c r="SWT31" s="47"/>
      <c r="SWU31" s="47"/>
      <c r="SWV31" s="47"/>
      <c r="SWW31" s="47"/>
      <c r="SWX31" s="47"/>
      <c r="SWY31" s="47"/>
      <c r="SWZ31" s="47"/>
      <c r="SXA31" s="47"/>
      <c r="SXB31" s="47"/>
      <c r="SXC31" s="47"/>
      <c r="SXD31" s="47"/>
      <c r="SXE31" s="47"/>
      <c r="SXF31" s="47"/>
      <c r="SXG31" s="47"/>
      <c r="SXH31" s="47"/>
      <c r="SXI31" s="47"/>
      <c r="SXJ31" s="47"/>
      <c r="SXK31" s="47"/>
      <c r="SXL31" s="47"/>
      <c r="SXM31" s="47"/>
      <c r="SXN31" s="47"/>
      <c r="SXO31" s="47"/>
      <c r="SXP31" s="47"/>
      <c r="SXQ31" s="47"/>
      <c r="SXR31" s="47"/>
      <c r="SXS31" s="47"/>
      <c r="SXT31" s="47"/>
      <c r="SXU31" s="47"/>
      <c r="SXV31" s="47"/>
      <c r="SXW31" s="47"/>
      <c r="SXX31" s="47"/>
      <c r="SXY31" s="47"/>
      <c r="SXZ31" s="47"/>
      <c r="SYA31" s="47"/>
      <c r="SYB31" s="47"/>
      <c r="SYC31" s="47"/>
      <c r="SYD31" s="47"/>
      <c r="SYE31" s="47"/>
      <c r="SYF31" s="47"/>
      <c r="SYG31" s="47"/>
      <c r="SYH31" s="47"/>
      <c r="SYI31" s="47"/>
      <c r="SYJ31" s="47"/>
      <c r="SYK31" s="47"/>
      <c r="SYL31" s="47"/>
      <c r="SYM31" s="47"/>
      <c r="SYN31" s="47"/>
      <c r="SYO31" s="47"/>
      <c r="SYP31" s="47"/>
      <c r="SYQ31" s="47"/>
      <c r="SYR31" s="47"/>
      <c r="SYS31" s="47"/>
      <c r="SYT31" s="47"/>
      <c r="SYU31" s="47"/>
      <c r="SYV31" s="47"/>
      <c r="SYW31" s="47"/>
      <c r="SYX31" s="47"/>
      <c r="SYY31" s="47"/>
      <c r="SYZ31" s="47"/>
      <c r="SZA31" s="47"/>
      <c r="SZB31" s="47"/>
      <c r="SZC31" s="47"/>
      <c r="SZD31" s="47"/>
      <c r="SZE31" s="47"/>
      <c r="SZF31" s="47"/>
      <c r="SZG31" s="47"/>
      <c r="SZH31" s="47"/>
      <c r="SZI31" s="47"/>
      <c r="SZJ31" s="47"/>
      <c r="SZK31" s="47"/>
      <c r="SZL31" s="47"/>
      <c r="SZM31" s="47"/>
      <c r="SZN31" s="47"/>
      <c r="SZO31" s="47"/>
      <c r="SZP31" s="47"/>
      <c r="SZQ31" s="47"/>
      <c r="SZR31" s="47"/>
      <c r="SZS31" s="47"/>
      <c r="SZT31" s="47"/>
      <c r="SZU31" s="47"/>
      <c r="SZV31" s="47"/>
      <c r="SZW31" s="47"/>
      <c r="SZX31" s="47"/>
      <c r="SZY31" s="47"/>
      <c r="SZZ31" s="47"/>
      <c r="TAA31" s="47"/>
      <c r="TAB31" s="47"/>
      <c r="TAC31" s="47"/>
      <c r="TAD31" s="47"/>
      <c r="TAE31" s="47"/>
      <c r="TAF31" s="47"/>
      <c r="TAG31" s="47"/>
      <c r="TAH31" s="47"/>
      <c r="TAI31" s="47"/>
      <c r="TAJ31" s="47"/>
      <c r="TAK31" s="47"/>
      <c r="TAL31" s="47"/>
      <c r="TAM31" s="47"/>
      <c r="TAN31" s="47"/>
      <c r="TAO31" s="47"/>
      <c r="TAP31" s="47"/>
      <c r="TAQ31" s="47"/>
      <c r="TAR31" s="47"/>
      <c r="TAS31" s="47"/>
      <c r="TAT31" s="47"/>
      <c r="TAU31" s="47"/>
      <c r="TAV31" s="47"/>
      <c r="TAW31" s="47"/>
      <c r="TAX31" s="47"/>
      <c r="TAY31" s="47"/>
      <c r="TAZ31" s="47"/>
      <c r="TBA31" s="47"/>
      <c r="TBB31" s="47"/>
      <c r="TBC31" s="47"/>
      <c r="TBD31" s="47"/>
      <c r="TBE31" s="47"/>
      <c r="TBF31" s="47"/>
      <c r="TBG31" s="47"/>
      <c r="TBH31" s="47"/>
      <c r="TBI31" s="47"/>
      <c r="TBJ31" s="47"/>
      <c r="TBK31" s="47"/>
      <c r="TBL31" s="47"/>
      <c r="TBM31" s="47"/>
      <c r="TBN31" s="47"/>
      <c r="TBO31" s="47"/>
      <c r="TBP31" s="47"/>
      <c r="TBQ31" s="47"/>
      <c r="TBR31" s="47"/>
      <c r="TBS31" s="47"/>
      <c r="TBT31" s="47"/>
      <c r="TBU31" s="47"/>
      <c r="TBV31" s="47"/>
      <c r="TBW31" s="47"/>
      <c r="TBX31" s="47"/>
      <c r="TBY31" s="47"/>
      <c r="TBZ31" s="47"/>
      <c r="TCA31" s="47"/>
      <c r="TCB31" s="47"/>
      <c r="TCC31" s="47"/>
      <c r="TCD31" s="47"/>
      <c r="TCE31" s="47"/>
      <c r="TCF31" s="47"/>
      <c r="TCG31" s="47"/>
      <c r="TCH31" s="47"/>
      <c r="TCI31" s="47"/>
      <c r="TCJ31" s="47"/>
      <c r="TCK31" s="47"/>
      <c r="TCL31" s="47"/>
      <c r="TCM31" s="47"/>
      <c r="TCN31" s="47"/>
      <c r="TCO31" s="47"/>
      <c r="TCP31" s="47"/>
      <c r="TCQ31" s="47"/>
      <c r="TCR31" s="47"/>
      <c r="TCS31" s="47"/>
      <c r="TCT31" s="47"/>
      <c r="TCU31" s="47"/>
      <c r="TCV31" s="47"/>
      <c r="TCW31" s="47"/>
      <c r="TCX31" s="47"/>
      <c r="TCY31" s="47"/>
      <c r="TCZ31" s="47"/>
      <c r="TDA31" s="47"/>
      <c r="TDB31" s="47"/>
      <c r="TDC31" s="47"/>
      <c r="TDD31" s="47"/>
      <c r="TDE31" s="47"/>
      <c r="TDF31" s="47"/>
      <c r="TDG31" s="47"/>
      <c r="TDH31" s="47"/>
      <c r="TDI31" s="47"/>
      <c r="TDJ31" s="47"/>
      <c r="TDK31" s="47"/>
      <c r="TDL31" s="47"/>
      <c r="TDM31" s="47"/>
      <c r="TDN31" s="47"/>
      <c r="TDO31" s="47"/>
      <c r="TDP31" s="47"/>
      <c r="TDQ31" s="47"/>
      <c r="TDR31" s="47"/>
      <c r="TDS31" s="47"/>
      <c r="TDT31" s="47"/>
      <c r="TDU31" s="47"/>
      <c r="TDV31" s="47"/>
      <c r="TDW31" s="47"/>
      <c r="TDX31" s="47"/>
      <c r="TDY31" s="47"/>
      <c r="TDZ31" s="47"/>
      <c r="TEA31" s="47"/>
      <c r="TEB31" s="47"/>
      <c r="TEC31" s="47"/>
      <c r="TED31" s="47"/>
      <c r="TEE31" s="47"/>
      <c r="TEF31" s="47"/>
      <c r="TEG31" s="47"/>
      <c r="TEH31" s="47"/>
      <c r="TEI31" s="47"/>
      <c r="TEJ31" s="47"/>
      <c r="TEK31" s="47"/>
      <c r="TEL31" s="47"/>
      <c r="TEM31" s="47"/>
      <c r="TEN31" s="47"/>
      <c r="TEO31" s="47"/>
      <c r="TEP31" s="47"/>
      <c r="TEQ31" s="47"/>
      <c r="TER31" s="47"/>
      <c r="TES31" s="47"/>
      <c r="TET31" s="47"/>
      <c r="TEU31" s="47"/>
      <c r="TEV31" s="47"/>
      <c r="TEW31" s="47"/>
      <c r="TEX31" s="47"/>
      <c r="TEY31" s="47"/>
      <c r="TEZ31" s="47"/>
      <c r="TFA31" s="47"/>
      <c r="TFB31" s="47"/>
      <c r="TFC31" s="47"/>
      <c r="TFD31" s="47"/>
      <c r="TFE31" s="47"/>
      <c r="TFF31" s="47"/>
      <c r="TFG31" s="47"/>
      <c r="TFH31" s="47"/>
      <c r="TFI31" s="47"/>
      <c r="TFJ31" s="47"/>
      <c r="TFK31" s="47"/>
      <c r="TFL31" s="47"/>
      <c r="TFM31" s="47"/>
      <c r="TFN31" s="47"/>
      <c r="TFO31" s="47"/>
      <c r="TFP31" s="47"/>
      <c r="TFQ31" s="47"/>
      <c r="TFR31" s="47"/>
      <c r="TFS31" s="47"/>
      <c r="TFT31" s="47"/>
      <c r="TFU31" s="47"/>
      <c r="TFV31" s="47"/>
      <c r="TFW31" s="47"/>
      <c r="TFX31" s="47"/>
      <c r="TFY31" s="47"/>
      <c r="TFZ31" s="47"/>
      <c r="TGA31" s="47"/>
      <c r="TGB31" s="47"/>
      <c r="TGC31" s="47"/>
      <c r="TGD31" s="47"/>
      <c r="TGE31" s="47"/>
      <c r="TGF31" s="47"/>
      <c r="TGG31" s="47"/>
      <c r="TGH31" s="47"/>
      <c r="TGI31" s="47"/>
      <c r="TGJ31" s="47"/>
      <c r="TGK31" s="47"/>
      <c r="TGL31" s="47"/>
      <c r="TGM31" s="47"/>
      <c r="TGN31" s="47"/>
      <c r="TGO31" s="47"/>
      <c r="TGP31" s="47"/>
      <c r="TGQ31" s="47"/>
      <c r="TGR31" s="47"/>
      <c r="TGS31" s="47"/>
      <c r="TGT31" s="47"/>
      <c r="TGU31" s="47"/>
      <c r="TGV31" s="47"/>
      <c r="TGW31" s="47"/>
      <c r="TGX31" s="47"/>
      <c r="TGY31" s="47"/>
      <c r="TGZ31" s="47"/>
      <c r="THA31" s="47"/>
      <c r="THB31" s="47"/>
      <c r="THC31" s="47"/>
      <c r="THD31" s="47"/>
      <c r="THE31" s="47"/>
      <c r="THF31" s="47"/>
      <c r="THG31" s="47"/>
      <c r="THH31" s="47"/>
      <c r="THI31" s="47"/>
      <c r="THJ31" s="47"/>
      <c r="THK31" s="47"/>
      <c r="THL31" s="47"/>
      <c r="THM31" s="47"/>
      <c r="THN31" s="47"/>
      <c r="THO31" s="47"/>
      <c r="THP31" s="47"/>
      <c r="THQ31" s="47"/>
      <c r="THR31" s="47"/>
      <c r="THS31" s="47"/>
      <c r="THT31" s="47"/>
      <c r="THU31" s="47"/>
      <c r="THV31" s="47"/>
      <c r="THW31" s="47"/>
      <c r="THX31" s="47"/>
      <c r="THY31" s="47"/>
      <c r="THZ31" s="47"/>
      <c r="TIA31" s="47"/>
      <c r="TIB31" s="47"/>
      <c r="TIC31" s="47"/>
      <c r="TID31" s="47"/>
      <c r="TIE31" s="47"/>
      <c r="TIF31" s="47"/>
      <c r="TIG31" s="47"/>
      <c r="TIH31" s="47"/>
      <c r="TII31" s="47"/>
      <c r="TIJ31" s="47"/>
      <c r="TIK31" s="47"/>
      <c r="TIL31" s="47"/>
      <c r="TIM31" s="47"/>
      <c r="TIN31" s="47"/>
      <c r="TIO31" s="47"/>
      <c r="TIP31" s="47"/>
      <c r="TIQ31" s="47"/>
      <c r="TIR31" s="47"/>
      <c r="TIS31" s="47"/>
      <c r="TIT31" s="47"/>
      <c r="TIU31" s="47"/>
      <c r="TIV31" s="47"/>
      <c r="TIW31" s="47"/>
      <c r="TIX31" s="47"/>
      <c r="TIY31" s="47"/>
      <c r="TIZ31" s="47"/>
      <c r="TJA31" s="47"/>
      <c r="TJB31" s="47"/>
      <c r="TJC31" s="47"/>
      <c r="TJD31" s="47"/>
      <c r="TJE31" s="47"/>
      <c r="TJF31" s="47"/>
      <c r="TJG31" s="47"/>
      <c r="TJH31" s="47"/>
      <c r="TJI31" s="47"/>
      <c r="TJJ31" s="47"/>
      <c r="TJK31" s="47"/>
      <c r="TJL31" s="47"/>
      <c r="TJM31" s="47"/>
      <c r="TJN31" s="47"/>
      <c r="TJO31" s="47"/>
      <c r="TJP31" s="47"/>
      <c r="TJQ31" s="47"/>
      <c r="TJR31" s="47"/>
      <c r="TJS31" s="47"/>
      <c r="TJT31" s="47"/>
      <c r="TJU31" s="47"/>
      <c r="TJV31" s="47"/>
      <c r="TJW31" s="47"/>
      <c r="TJX31" s="47"/>
      <c r="TJY31" s="47"/>
      <c r="TJZ31" s="47"/>
      <c r="TKA31" s="47"/>
      <c r="TKB31" s="47"/>
      <c r="TKC31" s="47"/>
      <c r="TKD31" s="47"/>
      <c r="TKE31" s="47"/>
      <c r="TKF31" s="47"/>
      <c r="TKG31" s="47"/>
      <c r="TKH31" s="47"/>
      <c r="TKI31" s="47"/>
      <c r="TKJ31" s="47"/>
      <c r="TKK31" s="47"/>
      <c r="TKL31" s="47"/>
      <c r="TKM31" s="47"/>
      <c r="TKN31" s="47"/>
      <c r="TKO31" s="47"/>
      <c r="TKP31" s="47"/>
      <c r="TKQ31" s="47"/>
      <c r="TKR31" s="47"/>
      <c r="TKS31" s="47"/>
      <c r="TKT31" s="47"/>
      <c r="TKU31" s="47"/>
      <c r="TKV31" s="47"/>
      <c r="TKW31" s="47"/>
      <c r="TKX31" s="47"/>
      <c r="TKY31" s="47"/>
      <c r="TKZ31" s="47"/>
      <c r="TLA31" s="47"/>
      <c r="TLB31" s="47"/>
      <c r="TLC31" s="47"/>
      <c r="TLD31" s="47"/>
      <c r="TLE31" s="47"/>
      <c r="TLF31" s="47"/>
      <c r="TLG31" s="47"/>
      <c r="TLH31" s="47"/>
      <c r="TLI31" s="47"/>
      <c r="TLJ31" s="47"/>
      <c r="TLK31" s="47"/>
      <c r="TLL31" s="47"/>
      <c r="TLM31" s="47"/>
      <c r="TLN31" s="47"/>
      <c r="TLO31" s="47"/>
      <c r="TLP31" s="47"/>
      <c r="TLQ31" s="47"/>
      <c r="TLR31" s="47"/>
      <c r="TLS31" s="47"/>
      <c r="TLT31" s="47"/>
      <c r="TLU31" s="47"/>
      <c r="TLV31" s="47"/>
      <c r="TLW31" s="47"/>
      <c r="TLX31" s="47"/>
      <c r="TLY31" s="47"/>
      <c r="TLZ31" s="47"/>
      <c r="TMA31" s="47"/>
      <c r="TMB31" s="47"/>
      <c r="TMC31" s="47"/>
      <c r="TMD31" s="47"/>
      <c r="TME31" s="47"/>
      <c r="TMF31" s="47"/>
      <c r="TMG31" s="47"/>
      <c r="TMH31" s="47"/>
      <c r="TMI31" s="47"/>
      <c r="TMJ31" s="47"/>
      <c r="TMK31" s="47"/>
      <c r="TML31" s="47"/>
      <c r="TMM31" s="47"/>
      <c r="TMN31" s="47"/>
      <c r="TMO31" s="47"/>
      <c r="TMP31" s="47"/>
      <c r="TMQ31" s="47"/>
      <c r="TMR31" s="47"/>
      <c r="TMS31" s="47"/>
      <c r="TMT31" s="47"/>
      <c r="TMU31" s="47"/>
      <c r="TMV31" s="47"/>
      <c r="TMW31" s="47"/>
      <c r="TMX31" s="47"/>
      <c r="TMY31" s="47"/>
      <c r="TMZ31" s="47"/>
      <c r="TNA31" s="47"/>
      <c r="TNB31" s="47"/>
      <c r="TNC31" s="47"/>
      <c r="TND31" s="47"/>
      <c r="TNE31" s="47"/>
      <c r="TNF31" s="47"/>
      <c r="TNG31" s="47"/>
      <c r="TNH31" s="47"/>
      <c r="TNI31" s="47"/>
      <c r="TNJ31" s="47"/>
      <c r="TNK31" s="47"/>
      <c r="TNL31" s="47"/>
      <c r="TNM31" s="47"/>
      <c r="TNN31" s="47"/>
      <c r="TNO31" s="47"/>
      <c r="TNP31" s="47"/>
      <c r="TNQ31" s="47"/>
      <c r="TNR31" s="47"/>
      <c r="TNS31" s="47"/>
      <c r="TNT31" s="47"/>
      <c r="TNU31" s="47"/>
      <c r="TNV31" s="47"/>
      <c r="TNW31" s="47"/>
      <c r="TNX31" s="47"/>
      <c r="TNY31" s="47"/>
      <c r="TNZ31" s="47"/>
      <c r="TOA31" s="47"/>
      <c r="TOB31" s="47"/>
      <c r="TOC31" s="47"/>
      <c r="TOD31" s="47"/>
      <c r="TOE31" s="47"/>
      <c r="TOF31" s="47"/>
      <c r="TOG31" s="47"/>
      <c r="TOH31" s="47"/>
      <c r="TOI31" s="47"/>
      <c r="TOJ31" s="47"/>
      <c r="TOK31" s="47"/>
      <c r="TOL31" s="47"/>
      <c r="TOM31" s="47"/>
      <c r="TON31" s="47"/>
      <c r="TOO31" s="47"/>
      <c r="TOP31" s="47"/>
      <c r="TOQ31" s="47"/>
      <c r="TOR31" s="47"/>
      <c r="TOS31" s="47"/>
      <c r="TOT31" s="47"/>
      <c r="TOU31" s="47"/>
      <c r="TOV31" s="47"/>
      <c r="TOW31" s="47"/>
      <c r="TOX31" s="47"/>
      <c r="TOY31" s="47"/>
      <c r="TOZ31" s="47"/>
      <c r="TPA31" s="47"/>
      <c r="TPB31" s="47"/>
      <c r="TPC31" s="47"/>
      <c r="TPD31" s="47"/>
      <c r="TPE31" s="47"/>
      <c r="TPF31" s="47"/>
      <c r="TPG31" s="47"/>
      <c r="TPH31" s="47"/>
      <c r="TPI31" s="47"/>
      <c r="TPJ31" s="47"/>
      <c r="TPK31" s="47"/>
      <c r="TPL31" s="47"/>
      <c r="TPM31" s="47"/>
      <c r="TPN31" s="47"/>
      <c r="TPO31" s="47"/>
      <c r="TPP31" s="47"/>
      <c r="TPQ31" s="47"/>
      <c r="TPR31" s="47"/>
      <c r="TPS31" s="47"/>
      <c r="TPT31" s="47"/>
      <c r="TPU31" s="47"/>
      <c r="TPV31" s="47"/>
      <c r="TPW31" s="47"/>
      <c r="TPX31" s="47"/>
      <c r="TPY31" s="47"/>
      <c r="TPZ31" s="47"/>
      <c r="TQA31" s="47"/>
      <c r="TQB31" s="47"/>
      <c r="TQC31" s="47"/>
      <c r="TQD31" s="47"/>
      <c r="TQE31" s="47"/>
      <c r="TQF31" s="47"/>
      <c r="TQG31" s="47"/>
      <c r="TQH31" s="47"/>
      <c r="TQI31" s="47"/>
      <c r="TQJ31" s="47"/>
      <c r="TQK31" s="47"/>
      <c r="TQL31" s="47"/>
      <c r="TQM31" s="47"/>
      <c r="TQN31" s="47"/>
      <c r="TQO31" s="47"/>
      <c r="TQP31" s="47"/>
      <c r="TQQ31" s="47"/>
      <c r="TQR31" s="47"/>
      <c r="TQS31" s="47"/>
      <c r="TQT31" s="47"/>
      <c r="TQU31" s="47"/>
      <c r="TQV31" s="47"/>
      <c r="TQW31" s="47"/>
      <c r="TQX31" s="47"/>
      <c r="TQY31" s="47"/>
      <c r="TQZ31" s="47"/>
      <c r="TRA31" s="47"/>
      <c r="TRB31" s="47"/>
      <c r="TRC31" s="47"/>
      <c r="TRD31" s="47"/>
      <c r="TRE31" s="47"/>
      <c r="TRF31" s="47"/>
      <c r="TRG31" s="47"/>
      <c r="TRH31" s="47"/>
      <c r="TRI31" s="47"/>
      <c r="TRJ31" s="47"/>
      <c r="TRK31" s="47"/>
      <c r="TRL31" s="47"/>
      <c r="TRM31" s="47"/>
      <c r="TRN31" s="47"/>
      <c r="TRO31" s="47"/>
      <c r="TRP31" s="47"/>
      <c r="TRQ31" s="47"/>
      <c r="TRR31" s="47"/>
      <c r="TRS31" s="47"/>
      <c r="TRT31" s="47"/>
      <c r="TRU31" s="47"/>
      <c r="TRV31" s="47"/>
      <c r="TRW31" s="47"/>
      <c r="TRX31" s="47"/>
      <c r="TRY31" s="47"/>
      <c r="TRZ31" s="47"/>
      <c r="TSA31" s="47"/>
      <c r="TSB31" s="47"/>
      <c r="TSC31" s="47"/>
      <c r="TSD31" s="47"/>
      <c r="TSE31" s="47"/>
      <c r="TSF31" s="47"/>
      <c r="TSG31" s="47"/>
      <c r="TSH31" s="47"/>
      <c r="TSI31" s="47"/>
      <c r="TSJ31" s="47"/>
      <c r="TSK31" s="47"/>
      <c r="TSL31" s="47"/>
      <c r="TSM31" s="47"/>
      <c r="TSN31" s="47"/>
      <c r="TSO31" s="47"/>
      <c r="TSP31" s="47"/>
      <c r="TSQ31" s="47"/>
      <c r="TSR31" s="47"/>
      <c r="TSS31" s="47"/>
      <c r="TST31" s="47"/>
      <c r="TSU31" s="47"/>
      <c r="TSV31" s="47"/>
      <c r="TSW31" s="47"/>
      <c r="TSX31" s="47"/>
      <c r="TSY31" s="47"/>
      <c r="TSZ31" s="47"/>
      <c r="TTA31" s="47"/>
      <c r="TTB31" s="47"/>
      <c r="TTC31" s="47"/>
      <c r="TTD31" s="47"/>
      <c r="TTE31" s="47"/>
      <c r="TTF31" s="47"/>
      <c r="TTG31" s="47"/>
      <c r="TTH31" s="47"/>
      <c r="TTI31" s="47"/>
      <c r="TTJ31" s="47"/>
      <c r="TTK31" s="47"/>
      <c r="TTL31" s="47"/>
      <c r="TTM31" s="47"/>
      <c r="TTN31" s="47"/>
      <c r="TTO31" s="47"/>
      <c r="TTP31" s="47"/>
      <c r="TTQ31" s="47"/>
      <c r="TTR31" s="47"/>
      <c r="TTS31" s="47"/>
      <c r="TTT31" s="47"/>
      <c r="TTU31" s="47"/>
      <c r="TTV31" s="47"/>
      <c r="TTW31" s="47"/>
      <c r="TTX31" s="47"/>
      <c r="TTY31" s="47"/>
      <c r="TTZ31" s="47"/>
      <c r="TUA31" s="47"/>
      <c r="TUB31" s="47"/>
      <c r="TUC31" s="47"/>
      <c r="TUD31" s="47"/>
      <c r="TUE31" s="47"/>
      <c r="TUF31" s="47"/>
      <c r="TUG31" s="47"/>
      <c r="TUH31" s="47"/>
      <c r="TUI31" s="47"/>
      <c r="TUJ31" s="47"/>
      <c r="TUK31" s="47"/>
      <c r="TUL31" s="47"/>
      <c r="TUM31" s="47"/>
      <c r="TUN31" s="47"/>
      <c r="TUO31" s="47"/>
      <c r="TUP31" s="47"/>
      <c r="TUQ31" s="47"/>
      <c r="TUR31" s="47"/>
      <c r="TUS31" s="47"/>
      <c r="TUT31" s="47"/>
      <c r="TUU31" s="47"/>
      <c r="TUV31" s="47"/>
      <c r="TUW31" s="47"/>
      <c r="TUX31" s="47"/>
      <c r="TUY31" s="47"/>
      <c r="TUZ31" s="47"/>
      <c r="TVA31" s="47"/>
      <c r="TVB31" s="47"/>
      <c r="TVC31" s="47"/>
      <c r="TVD31" s="47"/>
      <c r="TVE31" s="47"/>
      <c r="TVF31" s="47"/>
      <c r="TVG31" s="47"/>
      <c r="TVH31" s="47"/>
      <c r="TVI31" s="47"/>
      <c r="TVJ31" s="47"/>
      <c r="TVK31" s="47"/>
      <c r="TVL31" s="47"/>
      <c r="TVM31" s="47"/>
      <c r="TVN31" s="47"/>
      <c r="TVO31" s="47"/>
      <c r="TVP31" s="47"/>
      <c r="TVQ31" s="47"/>
      <c r="TVR31" s="47"/>
      <c r="TVS31" s="47"/>
      <c r="TVT31" s="47"/>
      <c r="TVU31" s="47"/>
      <c r="TVV31" s="47"/>
      <c r="TVW31" s="47"/>
      <c r="TVX31" s="47"/>
      <c r="TVY31" s="47"/>
      <c r="TVZ31" s="47"/>
      <c r="TWA31" s="47"/>
      <c r="TWB31" s="47"/>
      <c r="TWC31" s="47"/>
      <c r="TWD31" s="47"/>
      <c r="TWE31" s="47"/>
      <c r="TWF31" s="47"/>
      <c r="TWG31" s="47"/>
      <c r="TWH31" s="47"/>
      <c r="TWI31" s="47"/>
      <c r="TWJ31" s="47"/>
      <c r="TWK31" s="47"/>
      <c r="TWL31" s="47"/>
      <c r="TWM31" s="47"/>
      <c r="TWN31" s="47"/>
      <c r="TWO31" s="47"/>
      <c r="TWP31" s="47"/>
      <c r="TWQ31" s="47"/>
      <c r="TWR31" s="47"/>
      <c r="TWS31" s="47"/>
      <c r="TWT31" s="47"/>
      <c r="TWU31" s="47"/>
      <c r="TWV31" s="47"/>
      <c r="TWW31" s="47"/>
      <c r="TWX31" s="47"/>
      <c r="TWY31" s="47"/>
      <c r="TWZ31" s="47"/>
      <c r="TXA31" s="47"/>
      <c r="TXB31" s="47"/>
      <c r="TXC31" s="47"/>
      <c r="TXD31" s="47"/>
      <c r="TXE31" s="47"/>
      <c r="TXF31" s="47"/>
      <c r="TXG31" s="47"/>
      <c r="TXH31" s="47"/>
      <c r="TXI31" s="47"/>
      <c r="TXJ31" s="47"/>
      <c r="TXK31" s="47"/>
      <c r="TXL31" s="47"/>
      <c r="TXM31" s="47"/>
      <c r="TXN31" s="47"/>
      <c r="TXO31" s="47"/>
      <c r="TXP31" s="47"/>
      <c r="TXQ31" s="47"/>
      <c r="TXR31" s="47"/>
      <c r="TXS31" s="47"/>
      <c r="TXT31" s="47"/>
      <c r="TXU31" s="47"/>
      <c r="TXV31" s="47"/>
      <c r="TXW31" s="47"/>
      <c r="TXX31" s="47"/>
      <c r="TXY31" s="47"/>
      <c r="TXZ31" s="47"/>
      <c r="TYA31" s="47"/>
      <c r="TYB31" s="47"/>
      <c r="TYC31" s="47"/>
      <c r="TYD31" s="47"/>
      <c r="TYE31" s="47"/>
      <c r="TYF31" s="47"/>
      <c r="TYG31" s="47"/>
      <c r="TYH31" s="47"/>
      <c r="TYI31" s="47"/>
      <c r="TYJ31" s="47"/>
      <c r="TYK31" s="47"/>
      <c r="TYL31" s="47"/>
      <c r="TYM31" s="47"/>
      <c r="TYN31" s="47"/>
      <c r="TYO31" s="47"/>
      <c r="TYP31" s="47"/>
      <c r="TYQ31" s="47"/>
      <c r="TYR31" s="47"/>
      <c r="TYS31" s="47"/>
      <c r="TYT31" s="47"/>
      <c r="TYU31" s="47"/>
      <c r="TYV31" s="47"/>
      <c r="TYW31" s="47"/>
      <c r="TYX31" s="47"/>
      <c r="TYY31" s="47"/>
      <c r="TYZ31" s="47"/>
      <c r="TZA31" s="47"/>
      <c r="TZB31" s="47"/>
      <c r="TZC31" s="47"/>
      <c r="TZD31" s="47"/>
      <c r="TZE31" s="47"/>
      <c r="TZF31" s="47"/>
      <c r="TZG31" s="47"/>
      <c r="TZH31" s="47"/>
      <c r="TZI31" s="47"/>
      <c r="TZJ31" s="47"/>
      <c r="TZK31" s="47"/>
      <c r="TZL31" s="47"/>
      <c r="TZM31" s="47"/>
      <c r="TZN31" s="47"/>
      <c r="TZO31" s="47"/>
      <c r="TZP31" s="47"/>
      <c r="TZQ31" s="47"/>
      <c r="TZR31" s="47"/>
      <c r="TZS31" s="47"/>
      <c r="TZT31" s="47"/>
      <c r="TZU31" s="47"/>
      <c r="TZV31" s="47"/>
      <c r="TZW31" s="47"/>
      <c r="TZX31" s="47"/>
      <c r="TZY31" s="47"/>
      <c r="TZZ31" s="47"/>
      <c r="UAA31" s="47"/>
      <c r="UAB31" s="47"/>
      <c r="UAC31" s="47"/>
      <c r="UAD31" s="47"/>
      <c r="UAE31" s="47"/>
      <c r="UAF31" s="47"/>
      <c r="UAG31" s="47"/>
      <c r="UAH31" s="47"/>
      <c r="UAI31" s="47"/>
      <c r="UAJ31" s="47"/>
      <c r="UAK31" s="47"/>
      <c r="UAL31" s="47"/>
      <c r="UAM31" s="47"/>
      <c r="UAN31" s="47"/>
      <c r="UAO31" s="47"/>
      <c r="UAP31" s="47"/>
      <c r="UAQ31" s="47"/>
      <c r="UAR31" s="47"/>
      <c r="UAS31" s="47"/>
      <c r="UAT31" s="47"/>
      <c r="UAU31" s="47"/>
      <c r="UAV31" s="47"/>
      <c r="UAW31" s="47"/>
      <c r="UAX31" s="47"/>
      <c r="UAY31" s="47"/>
      <c r="UAZ31" s="47"/>
      <c r="UBA31" s="47"/>
      <c r="UBB31" s="47"/>
      <c r="UBC31" s="47"/>
      <c r="UBD31" s="47"/>
      <c r="UBE31" s="47"/>
      <c r="UBF31" s="47"/>
      <c r="UBG31" s="47"/>
      <c r="UBH31" s="47"/>
      <c r="UBI31" s="47"/>
      <c r="UBJ31" s="47"/>
      <c r="UBK31" s="47"/>
      <c r="UBL31" s="47"/>
      <c r="UBM31" s="47"/>
      <c r="UBN31" s="47"/>
      <c r="UBO31" s="47"/>
      <c r="UBP31" s="47"/>
      <c r="UBQ31" s="47"/>
      <c r="UBR31" s="47"/>
      <c r="UBS31" s="47"/>
      <c r="UBT31" s="47"/>
      <c r="UBU31" s="47"/>
      <c r="UBV31" s="47"/>
      <c r="UBW31" s="47"/>
      <c r="UBX31" s="47"/>
      <c r="UBY31" s="47"/>
      <c r="UBZ31" s="47"/>
      <c r="UCA31" s="47"/>
      <c r="UCB31" s="47"/>
      <c r="UCC31" s="47"/>
      <c r="UCD31" s="47"/>
      <c r="UCE31" s="47"/>
      <c r="UCF31" s="47"/>
      <c r="UCG31" s="47"/>
      <c r="UCH31" s="47"/>
      <c r="UCI31" s="47"/>
      <c r="UCJ31" s="47"/>
      <c r="UCK31" s="47"/>
      <c r="UCL31" s="47"/>
      <c r="UCM31" s="47"/>
      <c r="UCN31" s="47"/>
      <c r="UCO31" s="47"/>
      <c r="UCP31" s="47"/>
      <c r="UCQ31" s="47"/>
      <c r="UCR31" s="47"/>
      <c r="UCS31" s="47"/>
      <c r="UCT31" s="47"/>
      <c r="UCU31" s="47"/>
      <c r="UCV31" s="47"/>
      <c r="UCW31" s="47"/>
      <c r="UCX31" s="47"/>
      <c r="UCY31" s="47"/>
      <c r="UCZ31" s="47"/>
      <c r="UDA31" s="47"/>
      <c r="UDB31" s="47"/>
      <c r="UDC31" s="47"/>
      <c r="UDD31" s="47"/>
      <c r="UDE31" s="47"/>
      <c r="UDF31" s="47"/>
      <c r="UDG31" s="47"/>
      <c r="UDH31" s="47"/>
      <c r="UDI31" s="47"/>
      <c r="UDJ31" s="47"/>
      <c r="UDK31" s="47"/>
      <c r="UDL31" s="47"/>
      <c r="UDM31" s="47"/>
      <c r="UDN31" s="47"/>
      <c r="UDO31" s="47"/>
      <c r="UDP31" s="47"/>
      <c r="UDQ31" s="47"/>
      <c r="UDR31" s="47"/>
      <c r="UDS31" s="47"/>
      <c r="UDT31" s="47"/>
      <c r="UDU31" s="47"/>
      <c r="UDV31" s="47"/>
      <c r="UDW31" s="47"/>
      <c r="UDX31" s="47"/>
      <c r="UDY31" s="47"/>
      <c r="UDZ31" s="47"/>
      <c r="UEA31" s="47"/>
      <c r="UEB31" s="47"/>
      <c r="UEC31" s="47"/>
      <c r="UED31" s="47"/>
      <c r="UEE31" s="47"/>
      <c r="UEF31" s="47"/>
      <c r="UEG31" s="47"/>
      <c r="UEH31" s="47"/>
      <c r="UEI31" s="47"/>
      <c r="UEJ31" s="47"/>
      <c r="UEK31" s="47"/>
      <c r="UEL31" s="47"/>
      <c r="UEM31" s="47"/>
      <c r="UEN31" s="47"/>
      <c r="UEO31" s="47"/>
      <c r="UEP31" s="47"/>
      <c r="UEQ31" s="47"/>
      <c r="UER31" s="47"/>
      <c r="UES31" s="47"/>
      <c r="UET31" s="47"/>
      <c r="UEU31" s="47"/>
      <c r="UEV31" s="47"/>
      <c r="UEW31" s="47"/>
      <c r="UEX31" s="47"/>
      <c r="UEY31" s="47"/>
      <c r="UEZ31" s="47"/>
      <c r="UFA31" s="47"/>
      <c r="UFB31" s="47"/>
      <c r="UFC31" s="47"/>
      <c r="UFD31" s="47"/>
      <c r="UFE31" s="47"/>
      <c r="UFF31" s="47"/>
      <c r="UFG31" s="47"/>
      <c r="UFH31" s="47"/>
      <c r="UFI31" s="47"/>
      <c r="UFJ31" s="47"/>
      <c r="UFK31" s="47"/>
      <c r="UFL31" s="47"/>
      <c r="UFM31" s="47"/>
      <c r="UFN31" s="47"/>
      <c r="UFO31" s="47"/>
      <c r="UFP31" s="47"/>
      <c r="UFQ31" s="47"/>
      <c r="UFR31" s="47"/>
      <c r="UFS31" s="47"/>
      <c r="UFT31" s="47"/>
      <c r="UFU31" s="47"/>
      <c r="UFV31" s="47"/>
      <c r="UFW31" s="47"/>
      <c r="UFX31" s="47"/>
      <c r="UFY31" s="47"/>
      <c r="UFZ31" s="47"/>
      <c r="UGA31" s="47"/>
      <c r="UGB31" s="47"/>
      <c r="UGC31" s="47"/>
      <c r="UGD31" s="47"/>
      <c r="UGE31" s="47"/>
      <c r="UGF31" s="47"/>
      <c r="UGG31" s="47"/>
      <c r="UGH31" s="47"/>
      <c r="UGI31" s="47"/>
      <c r="UGJ31" s="47"/>
      <c r="UGK31" s="47"/>
      <c r="UGL31" s="47"/>
      <c r="UGM31" s="47"/>
      <c r="UGN31" s="47"/>
      <c r="UGO31" s="47"/>
      <c r="UGP31" s="47"/>
      <c r="UGQ31" s="47"/>
      <c r="UGR31" s="47"/>
      <c r="UGS31" s="47"/>
      <c r="UGT31" s="47"/>
      <c r="UGU31" s="47"/>
      <c r="UGV31" s="47"/>
      <c r="UGW31" s="47"/>
      <c r="UGX31" s="47"/>
      <c r="UGY31" s="47"/>
      <c r="UGZ31" s="47"/>
      <c r="UHA31" s="47"/>
      <c r="UHB31" s="47"/>
      <c r="UHC31" s="47"/>
      <c r="UHD31" s="47"/>
      <c r="UHE31" s="47"/>
      <c r="UHF31" s="47"/>
      <c r="UHG31" s="47"/>
      <c r="UHH31" s="47"/>
      <c r="UHI31" s="47"/>
      <c r="UHJ31" s="47"/>
      <c r="UHK31" s="47"/>
      <c r="UHL31" s="47"/>
      <c r="UHM31" s="47"/>
      <c r="UHN31" s="47"/>
      <c r="UHO31" s="47"/>
      <c r="UHP31" s="47"/>
      <c r="UHQ31" s="47"/>
      <c r="UHR31" s="47"/>
      <c r="UHS31" s="47"/>
      <c r="UHT31" s="47"/>
      <c r="UHU31" s="47"/>
      <c r="UHV31" s="47"/>
      <c r="UHW31" s="47"/>
      <c r="UHX31" s="47"/>
      <c r="UHY31" s="47"/>
      <c r="UHZ31" s="47"/>
      <c r="UIA31" s="47"/>
      <c r="UIB31" s="47"/>
      <c r="UIC31" s="47"/>
      <c r="UID31" s="47"/>
      <c r="UIE31" s="47"/>
      <c r="UIF31" s="47"/>
      <c r="UIG31" s="47"/>
      <c r="UIH31" s="47"/>
      <c r="UII31" s="47"/>
      <c r="UIJ31" s="47"/>
      <c r="UIK31" s="47"/>
      <c r="UIL31" s="47"/>
      <c r="UIM31" s="47"/>
      <c r="UIN31" s="47"/>
      <c r="UIO31" s="47"/>
      <c r="UIP31" s="47"/>
      <c r="UIQ31" s="47"/>
      <c r="UIR31" s="47"/>
      <c r="UIS31" s="47"/>
      <c r="UIT31" s="47"/>
      <c r="UIU31" s="47"/>
      <c r="UIV31" s="47"/>
      <c r="UIW31" s="47"/>
      <c r="UIX31" s="47"/>
      <c r="UIY31" s="47"/>
      <c r="UIZ31" s="47"/>
      <c r="UJA31" s="47"/>
      <c r="UJB31" s="47"/>
      <c r="UJC31" s="47"/>
      <c r="UJD31" s="47"/>
      <c r="UJE31" s="47"/>
      <c r="UJF31" s="47"/>
      <c r="UJG31" s="47"/>
      <c r="UJH31" s="47"/>
      <c r="UJI31" s="47"/>
      <c r="UJJ31" s="47"/>
      <c r="UJK31" s="47"/>
      <c r="UJL31" s="47"/>
      <c r="UJM31" s="47"/>
      <c r="UJN31" s="47"/>
      <c r="UJO31" s="47"/>
      <c r="UJP31" s="47"/>
      <c r="UJQ31" s="47"/>
      <c r="UJR31" s="47"/>
      <c r="UJS31" s="47"/>
      <c r="UJT31" s="47"/>
      <c r="UJU31" s="47"/>
      <c r="UJV31" s="47"/>
      <c r="UJW31" s="47"/>
      <c r="UJX31" s="47"/>
      <c r="UJY31" s="47"/>
      <c r="UJZ31" s="47"/>
      <c r="UKA31" s="47"/>
      <c r="UKB31" s="47"/>
      <c r="UKC31" s="47"/>
      <c r="UKD31" s="47"/>
      <c r="UKE31" s="47"/>
      <c r="UKF31" s="47"/>
      <c r="UKG31" s="47"/>
      <c r="UKH31" s="47"/>
      <c r="UKI31" s="47"/>
      <c r="UKJ31" s="47"/>
      <c r="UKK31" s="47"/>
      <c r="UKL31" s="47"/>
      <c r="UKM31" s="47"/>
      <c r="UKN31" s="47"/>
      <c r="UKO31" s="47"/>
      <c r="UKP31" s="47"/>
      <c r="UKQ31" s="47"/>
      <c r="UKR31" s="47"/>
      <c r="UKS31" s="47"/>
      <c r="UKT31" s="47"/>
      <c r="UKU31" s="47"/>
      <c r="UKV31" s="47"/>
      <c r="UKW31" s="47"/>
      <c r="UKX31" s="47"/>
      <c r="UKY31" s="47"/>
      <c r="UKZ31" s="47"/>
      <c r="ULA31" s="47"/>
      <c r="ULB31" s="47"/>
      <c r="ULC31" s="47"/>
      <c r="ULD31" s="47"/>
      <c r="ULE31" s="47"/>
      <c r="ULF31" s="47"/>
      <c r="ULG31" s="47"/>
      <c r="ULH31" s="47"/>
      <c r="ULI31" s="47"/>
      <c r="ULJ31" s="47"/>
      <c r="ULK31" s="47"/>
      <c r="ULL31" s="47"/>
      <c r="ULM31" s="47"/>
      <c r="ULN31" s="47"/>
      <c r="ULO31" s="47"/>
      <c r="ULP31" s="47"/>
      <c r="ULQ31" s="47"/>
      <c r="ULR31" s="47"/>
      <c r="ULS31" s="47"/>
      <c r="ULT31" s="47"/>
      <c r="ULU31" s="47"/>
      <c r="ULV31" s="47"/>
      <c r="ULW31" s="47"/>
      <c r="ULX31" s="47"/>
      <c r="ULY31" s="47"/>
      <c r="ULZ31" s="47"/>
      <c r="UMA31" s="47"/>
      <c r="UMB31" s="47"/>
      <c r="UMC31" s="47"/>
      <c r="UMD31" s="47"/>
      <c r="UME31" s="47"/>
      <c r="UMF31" s="47"/>
      <c r="UMG31" s="47"/>
      <c r="UMH31" s="47"/>
      <c r="UMI31" s="47"/>
      <c r="UMJ31" s="47"/>
      <c r="UMK31" s="47"/>
      <c r="UML31" s="47"/>
      <c r="UMM31" s="47"/>
      <c r="UMN31" s="47"/>
      <c r="UMO31" s="47"/>
      <c r="UMP31" s="47"/>
      <c r="UMQ31" s="47"/>
      <c r="UMR31" s="47"/>
      <c r="UMS31" s="47"/>
      <c r="UMT31" s="47"/>
      <c r="UMU31" s="47"/>
      <c r="UMV31" s="47"/>
      <c r="UMW31" s="47"/>
      <c r="UMX31" s="47"/>
      <c r="UMY31" s="47"/>
      <c r="UMZ31" s="47"/>
      <c r="UNA31" s="47"/>
      <c r="UNB31" s="47"/>
      <c r="UNC31" s="47"/>
      <c r="UND31" s="47"/>
      <c r="UNE31" s="47"/>
      <c r="UNF31" s="47"/>
      <c r="UNG31" s="47"/>
      <c r="UNH31" s="47"/>
      <c r="UNI31" s="47"/>
      <c r="UNJ31" s="47"/>
      <c r="UNK31" s="47"/>
      <c r="UNL31" s="47"/>
      <c r="UNM31" s="47"/>
      <c r="UNN31" s="47"/>
      <c r="UNO31" s="47"/>
      <c r="UNP31" s="47"/>
      <c r="UNQ31" s="47"/>
      <c r="UNR31" s="47"/>
      <c r="UNS31" s="47"/>
      <c r="UNT31" s="47"/>
      <c r="UNU31" s="47"/>
      <c r="UNV31" s="47"/>
      <c r="UNW31" s="47"/>
      <c r="UNX31" s="47"/>
      <c r="UNY31" s="47"/>
      <c r="UNZ31" s="47"/>
      <c r="UOA31" s="47"/>
      <c r="UOB31" s="47"/>
      <c r="UOC31" s="47"/>
      <c r="UOD31" s="47"/>
      <c r="UOE31" s="47"/>
      <c r="UOF31" s="47"/>
      <c r="UOG31" s="47"/>
      <c r="UOH31" s="47"/>
      <c r="UOI31" s="47"/>
      <c r="UOJ31" s="47"/>
      <c r="UOK31" s="47"/>
      <c r="UOL31" s="47"/>
      <c r="UOM31" s="47"/>
      <c r="UON31" s="47"/>
      <c r="UOO31" s="47"/>
      <c r="UOP31" s="47"/>
      <c r="UOQ31" s="47"/>
      <c r="UOR31" s="47"/>
      <c r="UOS31" s="47"/>
      <c r="UOT31" s="47"/>
      <c r="UOU31" s="47"/>
      <c r="UOV31" s="47"/>
      <c r="UOW31" s="47"/>
      <c r="UOX31" s="47"/>
      <c r="UOY31" s="47"/>
      <c r="UOZ31" s="47"/>
      <c r="UPA31" s="47"/>
      <c r="UPB31" s="47"/>
      <c r="UPC31" s="47"/>
      <c r="UPD31" s="47"/>
      <c r="UPE31" s="47"/>
      <c r="UPF31" s="47"/>
      <c r="UPG31" s="47"/>
      <c r="UPH31" s="47"/>
      <c r="UPI31" s="47"/>
      <c r="UPJ31" s="47"/>
      <c r="UPK31" s="47"/>
      <c r="UPL31" s="47"/>
      <c r="UPM31" s="47"/>
      <c r="UPN31" s="47"/>
      <c r="UPO31" s="47"/>
      <c r="UPP31" s="47"/>
      <c r="UPQ31" s="47"/>
      <c r="UPR31" s="47"/>
      <c r="UPS31" s="47"/>
      <c r="UPT31" s="47"/>
      <c r="UPU31" s="47"/>
      <c r="UPV31" s="47"/>
      <c r="UPW31" s="47"/>
      <c r="UPX31" s="47"/>
      <c r="UPY31" s="47"/>
      <c r="UPZ31" s="47"/>
      <c r="UQA31" s="47"/>
      <c r="UQB31" s="47"/>
      <c r="UQC31" s="47"/>
      <c r="UQD31" s="47"/>
      <c r="UQE31" s="47"/>
      <c r="UQF31" s="47"/>
      <c r="UQG31" s="47"/>
      <c r="UQH31" s="47"/>
      <c r="UQI31" s="47"/>
      <c r="UQJ31" s="47"/>
      <c r="UQK31" s="47"/>
      <c r="UQL31" s="47"/>
      <c r="UQM31" s="47"/>
      <c r="UQN31" s="47"/>
      <c r="UQO31" s="47"/>
      <c r="UQP31" s="47"/>
      <c r="UQQ31" s="47"/>
      <c r="UQR31" s="47"/>
      <c r="UQS31" s="47"/>
      <c r="UQT31" s="47"/>
      <c r="UQU31" s="47"/>
      <c r="UQV31" s="47"/>
      <c r="UQW31" s="47"/>
      <c r="UQX31" s="47"/>
      <c r="UQY31" s="47"/>
      <c r="UQZ31" s="47"/>
      <c r="URA31" s="47"/>
      <c r="URB31" s="47"/>
      <c r="URC31" s="47"/>
      <c r="URD31" s="47"/>
      <c r="URE31" s="47"/>
      <c r="URF31" s="47"/>
      <c r="URG31" s="47"/>
      <c r="URH31" s="47"/>
      <c r="URI31" s="47"/>
      <c r="URJ31" s="47"/>
      <c r="URK31" s="47"/>
      <c r="URL31" s="47"/>
      <c r="URM31" s="47"/>
      <c r="URN31" s="47"/>
      <c r="URO31" s="47"/>
      <c r="URP31" s="47"/>
      <c r="URQ31" s="47"/>
      <c r="URR31" s="47"/>
      <c r="URS31" s="47"/>
      <c r="URT31" s="47"/>
      <c r="URU31" s="47"/>
      <c r="URV31" s="47"/>
      <c r="URW31" s="47"/>
      <c r="URX31" s="47"/>
      <c r="URY31" s="47"/>
      <c r="URZ31" s="47"/>
      <c r="USA31" s="47"/>
      <c r="USB31" s="47"/>
      <c r="USC31" s="47"/>
      <c r="USD31" s="47"/>
      <c r="USE31" s="47"/>
      <c r="USF31" s="47"/>
      <c r="USG31" s="47"/>
      <c r="USH31" s="47"/>
      <c r="USI31" s="47"/>
      <c r="USJ31" s="47"/>
      <c r="USK31" s="47"/>
      <c r="USL31" s="47"/>
      <c r="USM31" s="47"/>
      <c r="USN31" s="47"/>
      <c r="USO31" s="47"/>
      <c r="USP31" s="47"/>
      <c r="USQ31" s="47"/>
      <c r="USR31" s="47"/>
      <c r="USS31" s="47"/>
      <c r="UST31" s="47"/>
      <c r="USU31" s="47"/>
      <c r="USV31" s="47"/>
      <c r="USW31" s="47"/>
      <c r="USX31" s="47"/>
      <c r="USY31" s="47"/>
      <c r="USZ31" s="47"/>
      <c r="UTA31" s="47"/>
      <c r="UTB31" s="47"/>
      <c r="UTC31" s="47"/>
      <c r="UTD31" s="47"/>
      <c r="UTE31" s="47"/>
      <c r="UTF31" s="47"/>
      <c r="UTG31" s="47"/>
      <c r="UTH31" s="47"/>
      <c r="UTI31" s="47"/>
      <c r="UTJ31" s="47"/>
      <c r="UTK31" s="47"/>
      <c r="UTL31" s="47"/>
      <c r="UTM31" s="47"/>
      <c r="UTN31" s="47"/>
      <c r="UTO31" s="47"/>
      <c r="UTP31" s="47"/>
      <c r="UTQ31" s="47"/>
      <c r="UTR31" s="47"/>
      <c r="UTS31" s="47"/>
      <c r="UTT31" s="47"/>
      <c r="UTU31" s="47"/>
      <c r="UTV31" s="47"/>
      <c r="UTW31" s="47"/>
      <c r="UTX31" s="47"/>
      <c r="UTY31" s="47"/>
      <c r="UTZ31" s="47"/>
      <c r="UUA31" s="47"/>
      <c r="UUB31" s="47"/>
      <c r="UUC31" s="47"/>
      <c r="UUD31" s="47"/>
      <c r="UUE31" s="47"/>
      <c r="UUF31" s="47"/>
      <c r="UUG31" s="47"/>
      <c r="UUH31" s="47"/>
      <c r="UUI31" s="47"/>
      <c r="UUJ31" s="47"/>
      <c r="UUK31" s="47"/>
      <c r="UUL31" s="47"/>
      <c r="UUM31" s="47"/>
      <c r="UUN31" s="47"/>
      <c r="UUO31" s="47"/>
      <c r="UUP31" s="47"/>
      <c r="UUQ31" s="47"/>
      <c r="UUR31" s="47"/>
      <c r="UUS31" s="47"/>
      <c r="UUT31" s="47"/>
      <c r="UUU31" s="47"/>
      <c r="UUV31" s="47"/>
      <c r="UUW31" s="47"/>
      <c r="UUX31" s="47"/>
      <c r="UUY31" s="47"/>
      <c r="UUZ31" s="47"/>
      <c r="UVA31" s="47"/>
      <c r="UVB31" s="47"/>
      <c r="UVC31" s="47"/>
      <c r="UVD31" s="47"/>
      <c r="UVE31" s="47"/>
      <c r="UVF31" s="47"/>
      <c r="UVG31" s="47"/>
      <c r="UVH31" s="47"/>
      <c r="UVI31" s="47"/>
      <c r="UVJ31" s="47"/>
      <c r="UVK31" s="47"/>
      <c r="UVL31" s="47"/>
      <c r="UVM31" s="47"/>
      <c r="UVN31" s="47"/>
      <c r="UVO31" s="47"/>
      <c r="UVP31" s="47"/>
      <c r="UVQ31" s="47"/>
      <c r="UVR31" s="47"/>
      <c r="UVS31" s="47"/>
      <c r="UVT31" s="47"/>
      <c r="UVU31" s="47"/>
      <c r="UVV31" s="47"/>
      <c r="UVW31" s="47"/>
      <c r="UVX31" s="47"/>
      <c r="UVY31" s="47"/>
      <c r="UVZ31" s="47"/>
      <c r="UWA31" s="47"/>
      <c r="UWB31" s="47"/>
      <c r="UWC31" s="47"/>
      <c r="UWD31" s="47"/>
      <c r="UWE31" s="47"/>
      <c r="UWF31" s="47"/>
      <c r="UWG31" s="47"/>
      <c r="UWH31" s="47"/>
      <c r="UWI31" s="47"/>
      <c r="UWJ31" s="47"/>
      <c r="UWK31" s="47"/>
      <c r="UWL31" s="47"/>
      <c r="UWM31" s="47"/>
      <c r="UWN31" s="47"/>
      <c r="UWO31" s="47"/>
      <c r="UWP31" s="47"/>
      <c r="UWQ31" s="47"/>
      <c r="UWR31" s="47"/>
      <c r="UWS31" s="47"/>
      <c r="UWT31" s="47"/>
      <c r="UWU31" s="47"/>
      <c r="UWV31" s="47"/>
      <c r="UWW31" s="47"/>
      <c r="UWX31" s="47"/>
      <c r="UWY31" s="47"/>
      <c r="UWZ31" s="47"/>
      <c r="UXA31" s="47"/>
      <c r="UXB31" s="47"/>
      <c r="UXC31" s="47"/>
      <c r="UXD31" s="47"/>
      <c r="UXE31" s="47"/>
      <c r="UXF31" s="47"/>
      <c r="UXG31" s="47"/>
      <c r="UXH31" s="47"/>
      <c r="UXI31" s="47"/>
      <c r="UXJ31" s="47"/>
      <c r="UXK31" s="47"/>
      <c r="UXL31" s="47"/>
      <c r="UXM31" s="47"/>
      <c r="UXN31" s="47"/>
      <c r="UXO31" s="47"/>
      <c r="UXP31" s="47"/>
      <c r="UXQ31" s="47"/>
      <c r="UXR31" s="47"/>
      <c r="UXS31" s="47"/>
      <c r="UXT31" s="47"/>
      <c r="UXU31" s="47"/>
      <c r="UXV31" s="47"/>
      <c r="UXW31" s="47"/>
      <c r="UXX31" s="47"/>
      <c r="UXY31" s="47"/>
      <c r="UXZ31" s="47"/>
      <c r="UYA31" s="47"/>
      <c r="UYB31" s="47"/>
      <c r="UYC31" s="47"/>
      <c r="UYD31" s="47"/>
      <c r="UYE31" s="47"/>
      <c r="UYF31" s="47"/>
      <c r="UYG31" s="47"/>
      <c r="UYH31" s="47"/>
      <c r="UYI31" s="47"/>
      <c r="UYJ31" s="47"/>
      <c r="UYK31" s="47"/>
      <c r="UYL31" s="47"/>
      <c r="UYM31" s="47"/>
      <c r="UYN31" s="47"/>
      <c r="UYO31" s="47"/>
      <c r="UYP31" s="47"/>
      <c r="UYQ31" s="47"/>
      <c r="UYR31" s="47"/>
      <c r="UYS31" s="47"/>
      <c r="UYT31" s="47"/>
      <c r="UYU31" s="47"/>
      <c r="UYV31" s="47"/>
      <c r="UYW31" s="47"/>
      <c r="UYX31" s="47"/>
      <c r="UYY31" s="47"/>
      <c r="UYZ31" s="47"/>
      <c r="UZA31" s="47"/>
      <c r="UZB31" s="47"/>
      <c r="UZC31" s="47"/>
      <c r="UZD31" s="47"/>
      <c r="UZE31" s="47"/>
      <c r="UZF31" s="47"/>
      <c r="UZG31" s="47"/>
      <c r="UZH31" s="47"/>
      <c r="UZI31" s="47"/>
      <c r="UZJ31" s="47"/>
      <c r="UZK31" s="47"/>
      <c r="UZL31" s="47"/>
      <c r="UZM31" s="47"/>
      <c r="UZN31" s="47"/>
      <c r="UZO31" s="47"/>
      <c r="UZP31" s="47"/>
      <c r="UZQ31" s="47"/>
      <c r="UZR31" s="47"/>
      <c r="UZS31" s="47"/>
      <c r="UZT31" s="47"/>
      <c r="UZU31" s="47"/>
      <c r="UZV31" s="47"/>
      <c r="UZW31" s="47"/>
      <c r="UZX31" s="47"/>
      <c r="UZY31" s="47"/>
      <c r="UZZ31" s="47"/>
      <c r="VAA31" s="47"/>
      <c r="VAB31" s="47"/>
      <c r="VAC31" s="47"/>
      <c r="VAD31" s="47"/>
      <c r="VAE31" s="47"/>
      <c r="VAF31" s="47"/>
      <c r="VAG31" s="47"/>
      <c r="VAH31" s="47"/>
      <c r="VAI31" s="47"/>
      <c r="VAJ31" s="47"/>
      <c r="VAK31" s="47"/>
      <c r="VAL31" s="47"/>
      <c r="VAM31" s="47"/>
      <c r="VAN31" s="47"/>
      <c r="VAO31" s="47"/>
      <c r="VAP31" s="47"/>
      <c r="VAQ31" s="47"/>
      <c r="VAR31" s="47"/>
      <c r="VAS31" s="47"/>
      <c r="VAT31" s="47"/>
      <c r="VAU31" s="47"/>
      <c r="VAV31" s="47"/>
      <c r="VAW31" s="47"/>
      <c r="VAX31" s="47"/>
      <c r="VAY31" s="47"/>
      <c r="VAZ31" s="47"/>
      <c r="VBA31" s="47"/>
      <c r="VBB31" s="47"/>
      <c r="VBC31" s="47"/>
      <c r="VBD31" s="47"/>
      <c r="VBE31" s="47"/>
      <c r="VBF31" s="47"/>
      <c r="VBG31" s="47"/>
      <c r="VBH31" s="47"/>
      <c r="VBI31" s="47"/>
      <c r="VBJ31" s="47"/>
      <c r="VBK31" s="47"/>
      <c r="VBL31" s="47"/>
      <c r="VBM31" s="47"/>
      <c r="VBN31" s="47"/>
      <c r="VBO31" s="47"/>
      <c r="VBP31" s="47"/>
      <c r="VBQ31" s="47"/>
      <c r="VBR31" s="47"/>
      <c r="VBS31" s="47"/>
      <c r="VBT31" s="47"/>
      <c r="VBU31" s="47"/>
      <c r="VBV31" s="47"/>
      <c r="VBW31" s="47"/>
      <c r="VBX31" s="47"/>
      <c r="VBY31" s="47"/>
      <c r="VBZ31" s="47"/>
      <c r="VCA31" s="47"/>
      <c r="VCB31" s="47"/>
      <c r="VCC31" s="47"/>
      <c r="VCD31" s="47"/>
      <c r="VCE31" s="47"/>
      <c r="VCF31" s="47"/>
      <c r="VCG31" s="47"/>
      <c r="VCH31" s="47"/>
      <c r="VCI31" s="47"/>
      <c r="VCJ31" s="47"/>
      <c r="VCK31" s="47"/>
      <c r="VCL31" s="47"/>
      <c r="VCM31" s="47"/>
      <c r="VCN31" s="47"/>
      <c r="VCO31" s="47"/>
      <c r="VCP31" s="47"/>
      <c r="VCQ31" s="47"/>
      <c r="VCR31" s="47"/>
      <c r="VCS31" s="47"/>
      <c r="VCT31" s="47"/>
      <c r="VCU31" s="47"/>
      <c r="VCV31" s="47"/>
      <c r="VCW31" s="47"/>
      <c r="VCX31" s="47"/>
      <c r="VCY31" s="47"/>
      <c r="VCZ31" s="47"/>
      <c r="VDA31" s="47"/>
      <c r="VDB31" s="47"/>
      <c r="VDC31" s="47"/>
      <c r="VDD31" s="47"/>
      <c r="VDE31" s="47"/>
      <c r="VDF31" s="47"/>
      <c r="VDG31" s="47"/>
      <c r="VDH31" s="47"/>
      <c r="VDI31" s="47"/>
      <c r="VDJ31" s="47"/>
      <c r="VDK31" s="47"/>
      <c r="VDL31" s="47"/>
      <c r="VDM31" s="47"/>
      <c r="VDN31" s="47"/>
      <c r="VDO31" s="47"/>
      <c r="VDP31" s="47"/>
      <c r="VDQ31" s="47"/>
      <c r="VDR31" s="47"/>
      <c r="VDS31" s="47"/>
      <c r="VDT31" s="47"/>
      <c r="VDU31" s="47"/>
      <c r="VDV31" s="47"/>
      <c r="VDW31" s="47"/>
      <c r="VDX31" s="47"/>
      <c r="VDY31" s="47"/>
      <c r="VDZ31" s="47"/>
      <c r="VEA31" s="47"/>
      <c r="VEB31" s="47"/>
      <c r="VEC31" s="47"/>
      <c r="VED31" s="47"/>
      <c r="VEE31" s="47"/>
      <c r="VEF31" s="47"/>
      <c r="VEG31" s="47"/>
      <c r="VEH31" s="47"/>
      <c r="VEI31" s="47"/>
      <c r="VEJ31" s="47"/>
      <c r="VEK31" s="47"/>
      <c r="VEL31" s="47"/>
      <c r="VEM31" s="47"/>
      <c r="VEN31" s="47"/>
      <c r="VEO31" s="47"/>
      <c r="VEP31" s="47"/>
      <c r="VEQ31" s="47"/>
      <c r="VER31" s="47"/>
      <c r="VES31" s="47"/>
      <c r="VET31" s="47"/>
      <c r="VEU31" s="47"/>
      <c r="VEV31" s="47"/>
      <c r="VEW31" s="47"/>
      <c r="VEX31" s="47"/>
      <c r="VEY31" s="47"/>
      <c r="VEZ31" s="47"/>
      <c r="VFA31" s="47"/>
      <c r="VFB31" s="47"/>
      <c r="VFC31" s="47"/>
      <c r="VFD31" s="47"/>
      <c r="VFE31" s="47"/>
      <c r="VFF31" s="47"/>
      <c r="VFG31" s="47"/>
      <c r="VFH31" s="47"/>
      <c r="VFI31" s="47"/>
      <c r="VFJ31" s="47"/>
      <c r="VFK31" s="47"/>
      <c r="VFL31" s="47"/>
      <c r="VFM31" s="47"/>
      <c r="VFN31" s="47"/>
      <c r="VFO31" s="47"/>
      <c r="VFP31" s="47"/>
      <c r="VFQ31" s="47"/>
      <c r="VFR31" s="47"/>
      <c r="VFS31" s="47"/>
      <c r="VFT31" s="47"/>
      <c r="VFU31" s="47"/>
      <c r="VFV31" s="47"/>
      <c r="VFW31" s="47"/>
      <c r="VFX31" s="47"/>
      <c r="VFY31" s="47"/>
      <c r="VFZ31" s="47"/>
      <c r="VGA31" s="47"/>
      <c r="VGB31" s="47"/>
      <c r="VGC31" s="47"/>
      <c r="VGD31" s="47"/>
      <c r="VGE31" s="47"/>
      <c r="VGF31" s="47"/>
      <c r="VGG31" s="47"/>
      <c r="VGH31" s="47"/>
      <c r="VGI31" s="47"/>
      <c r="VGJ31" s="47"/>
      <c r="VGK31" s="47"/>
      <c r="VGL31" s="47"/>
      <c r="VGM31" s="47"/>
      <c r="VGN31" s="47"/>
      <c r="VGO31" s="47"/>
      <c r="VGP31" s="47"/>
      <c r="VGQ31" s="47"/>
      <c r="VGR31" s="47"/>
      <c r="VGS31" s="47"/>
      <c r="VGT31" s="47"/>
      <c r="VGU31" s="47"/>
      <c r="VGV31" s="47"/>
      <c r="VGW31" s="47"/>
      <c r="VGX31" s="47"/>
      <c r="VGY31" s="47"/>
      <c r="VGZ31" s="47"/>
      <c r="VHA31" s="47"/>
      <c r="VHB31" s="47"/>
      <c r="VHC31" s="47"/>
      <c r="VHD31" s="47"/>
      <c r="VHE31" s="47"/>
      <c r="VHF31" s="47"/>
      <c r="VHG31" s="47"/>
      <c r="VHH31" s="47"/>
      <c r="VHI31" s="47"/>
      <c r="VHJ31" s="47"/>
      <c r="VHK31" s="47"/>
      <c r="VHL31" s="47"/>
      <c r="VHM31" s="47"/>
      <c r="VHN31" s="47"/>
      <c r="VHO31" s="47"/>
      <c r="VHP31" s="47"/>
      <c r="VHQ31" s="47"/>
      <c r="VHR31" s="47"/>
      <c r="VHS31" s="47"/>
      <c r="VHT31" s="47"/>
      <c r="VHU31" s="47"/>
      <c r="VHV31" s="47"/>
      <c r="VHW31" s="47"/>
      <c r="VHX31" s="47"/>
      <c r="VHY31" s="47"/>
      <c r="VHZ31" s="47"/>
      <c r="VIA31" s="47"/>
      <c r="VIB31" s="47"/>
      <c r="VIC31" s="47"/>
      <c r="VID31" s="47"/>
      <c r="VIE31" s="47"/>
      <c r="VIF31" s="47"/>
      <c r="VIG31" s="47"/>
      <c r="VIH31" s="47"/>
      <c r="VII31" s="47"/>
      <c r="VIJ31" s="47"/>
      <c r="VIK31" s="47"/>
      <c r="VIL31" s="47"/>
      <c r="VIM31" s="47"/>
      <c r="VIN31" s="47"/>
      <c r="VIO31" s="47"/>
      <c r="VIP31" s="47"/>
      <c r="VIQ31" s="47"/>
      <c r="VIR31" s="47"/>
      <c r="VIS31" s="47"/>
      <c r="VIT31" s="47"/>
      <c r="VIU31" s="47"/>
      <c r="VIV31" s="47"/>
      <c r="VIW31" s="47"/>
      <c r="VIX31" s="47"/>
      <c r="VIY31" s="47"/>
      <c r="VIZ31" s="47"/>
      <c r="VJA31" s="47"/>
      <c r="VJB31" s="47"/>
      <c r="VJC31" s="47"/>
      <c r="VJD31" s="47"/>
      <c r="VJE31" s="47"/>
      <c r="VJF31" s="47"/>
      <c r="VJG31" s="47"/>
      <c r="VJH31" s="47"/>
      <c r="VJI31" s="47"/>
      <c r="VJJ31" s="47"/>
      <c r="VJK31" s="47"/>
      <c r="VJL31" s="47"/>
      <c r="VJM31" s="47"/>
      <c r="VJN31" s="47"/>
      <c r="VJO31" s="47"/>
      <c r="VJP31" s="47"/>
      <c r="VJQ31" s="47"/>
      <c r="VJR31" s="47"/>
      <c r="VJS31" s="47"/>
      <c r="VJT31" s="47"/>
      <c r="VJU31" s="47"/>
      <c r="VJV31" s="47"/>
      <c r="VJW31" s="47"/>
      <c r="VJX31" s="47"/>
      <c r="VJY31" s="47"/>
      <c r="VJZ31" s="47"/>
      <c r="VKA31" s="47"/>
      <c r="VKB31" s="47"/>
      <c r="VKC31" s="47"/>
      <c r="VKD31" s="47"/>
      <c r="VKE31" s="47"/>
      <c r="VKF31" s="47"/>
      <c r="VKG31" s="47"/>
      <c r="VKH31" s="47"/>
      <c r="VKI31" s="47"/>
      <c r="VKJ31" s="47"/>
      <c r="VKK31" s="47"/>
      <c r="VKL31" s="47"/>
      <c r="VKM31" s="47"/>
      <c r="VKN31" s="47"/>
      <c r="VKO31" s="47"/>
      <c r="VKP31" s="47"/>
      <c r="VKQ31" s="47"/>
      <c r="VKR31" s="47"/>
      <c r="VKS31" s="47"/>
      <c r="VKT31" s="47"/>
      <c r="VKU31" s="47"/>
      <c r="VKV31" s="47"/>
      <c r="VKW31" s="47"/>
      <c r="VKX31" s="47"/>
      <c r="VKY31" s="47"/>
      <c r="VKZ31" s="47"/>
      <c r="VLA31" s="47"/>
      <c r="VLB31" s="47"/>
      <c r="VLC31" s="47"/>
      <c r="VLD31" s="47"/>
      <c r="VLE31" s="47"/>
      <c r="VLF31" s="47"/>
      <c r="VLG31" s="47"/>
      <c r="VLH31" s="47"/>
      <c r="VLI31" s="47"/>
      <c r="VLJ31" s="47"/>
      <c r="VLK31" s="47"/>
      <c r="VLL31" s="47"/>
      <c r="VLM31" s="47"/>
      <c r="VLN31" s="47"/>
      <c r="VLO31" s="47"/>
      <c r="VLP31" s="47"/>
      <c r="VLQ31" s="47"/>
      <c r="VLR31" s="47"/>
      <c r="VLS31" s="47"/>
      <c r="VLT31" s="47"/>
      <c r="VLU31" s="47"/>
      <c r="VLV31" s="47"/>
      <c r="VLW31" s="47"/>
      <c r="VLX31" s="47"/>
      <c r="VLY31" s="47"/>
      <c r="VLZ31" s="47"/>
      <c r="VMA31" s="47"/>
      <c r="VMB31" s="47"/>
      <c r="VMC31" s="47"/>
      <c r="VMD31" s="47"/>
      <c r="VME31" s="47"/>
      <c r="VMF31" s="47"/>
      <c r="VMG31" s="47"/>
      <c r="VMH31" s="47"/>
      <c r="VMI31" s="47"/>
      <c r="VMJ31" s="47"/>
      <c r="VMK31" s="47"/>
      <c r="VML31" s="47"/>
      <c r="VMM31" s="47"/>
      <c r="VMN31" s="47"/>
      <c r="VMO31" s="47"/>
      <c r="VMP31" s="47"/>
      <c r="VMQ31" s="47"/>
      <c r="VMR31" s="47"/>
      <c r="VMS31" s="47"/>
      <c r="VMT31" s="47"/>
      <c r="VMU31" s="47"/>
      <c r="VMV31" s="47"/>
      <c r="VMW31" s="47"/>
      <c r="VMX31" s="47"/>
      <c r="VMY31" s="47"/>
      <c r="VMZ31" s="47"/>
      <c r="VNA31" s="47"/>
      <c r="VNB31" s="47"/>
      <c r="VNC31" s="47"/>
      <c r="VND31" s="47"/>
      <c r="VNE31" s="47"/>
      <c r="VNF31" s="47"/>
      <c r="VNG31" s="47"/>
      <c r="VNH31" s="47"/>
      <c r="VNI31" s="47"/>
      <c r="VNJ31" s="47"/>
      <c r="VNK31" s="47"/>
      <c r="VNL31" s="47"/>
      <c r="VNM31" s="47"/>
      <c r="VNN31" s="47"/>
      <c r="VNO31" s="47"/>
      <c r="VNP31" s="47"/>
      <c r="VNQ31" s="47"/>
      <c r="VNR31" s="47"/>
      <c r="VNS31" s="47"/>
      <c r="VNT31" s="47"/>
      <c r="VNU31" s="47"/>
      <c r="VNV31" s="47"/>
      <c r="VNW31" s="47"/>
      <c r="VNX31" s="47"/>
      <c r="VNY31" s="47"/>
      <c r="VNZ31" s="47"/>
      <c r="VOA31" s="47"/>
      <c r="VOB31" s="47"/>
      <c r="VOC31" s="47"/>
      <c r="VOD31" s="47"/>
      <c r="VOE31" s="47"/>
      <c r="VOF31" s="47"/>
      <c r="VOG31" s="47"/>
      <c r="VOH31" s="47"/>
      <c r="VOI31" s="47"/>
      <c r="VOJ31" s="47"/>
      <c r="VOK31" s="47"/>
      <c r="VOL31" s="47"/>
      <c r="VOM31" s="47"/>
      <c r="VON31" s="47"/>
      <c r="VOO31" s="47"/>
      <c r="VOP31" s="47"/>
      <c r="VOQ31" s="47"/>
      <c r="VOR31" s="47"/>
      <c r="VOS31" s="47"/>
      <c r="VOT31" s="47"/>
      <c r="VOU31" s="47"/>
      <c r="VOV31" s="47"/>
      <c r="VOW31" s="47"/>
      <c r="VOX31" s="47"/>
      <c r="VOY31" s="47"/>
      <c r="VOZ31" s="47"/>
      <c r="VPA31" s="47"/>
      <c r="VPB31" s="47"/>
      <c r="VPC31" s="47"/>
      <c r="VPD31" s="47"/>
      <c r="VPE31" s="47"/>
      <c r="VPF31" s="47"/>
      <c r="VPG31" s="47"/>
      <c r="VPH31" s="47"/>
      <c r="VPI31" s="47"/>
      <c r="VPJ31" s="47"/>
      <c r="VPK31" s="47"/>
      <c r="VPL31" s="47"/>
      <c r="VPM31" s="47"/>
      <c r="VPN31" s="47"/>
      <c r="VPO31" s="47"/>
      <c r="VPP31" s="47"/>
      <c r="VPQ31" s="47"/>
      <c r="VPR31" s="47"/>
      <c r="VPS31" s="47"/>
      <c r="VPT31" s="47"/>
      <c r="VPU31" s="47"/>
      <c r="VPV31" s="47"/>
      <c r="VPW31" s="47"/>
      <c r="VPX31" s="47"/>
      <c r="VPY31" s="47"/>
      <c r="VPZ31" s="47"/>
      <c r="VQA31" s="47"/>
      <c r="VQB31" s="47"/>
      <c r="VQC31" s="47"/>
      <c r="VQD31" s="47"/>
      <c r="VQE31" s="47"/>
      <c r="VQF31" s="47"/>
      <c r="VQG31" s="47"/>
      <c r="VQH31" s="47"/>
      <c r="VQI31" s="47"/>
      <c r="VQJ31" s="47"/>
      <c r="VQK31" s="47"/>
      <c r="VQL31" s="47"/>
      <c r="VQM31" s="47"/>
      <c r="VQN31" s="47"/>
      <c r="VQO31" s="47"/>
      <c r="VQP31" s="47"/>
      <c r="VQQ31" s="47"/>
      <c r="VQR31" s="47"/>
      <c r="VQS31" s="47"/>
      <c r="VQT31" s="47"/>
      <c r="VQU31" s="47"/>
      <c r="VQV31" s="47"/>
      <c r="VQW31" s="47"/>
      <c r="VQX31" s="47"/>
      <c r="VQY31" s="47"/>
      <c r="VQZ31" s="47"/>
      <c r="VRA31" s="47"/>
      <c r="VRB31" s="47"/>
      <c r="VRC31" s="47"/>
      <c r="VRD31" s="47"/>
      <c r="VRE31" s="47"/>
      <c r="VRF31" s="47"/>
      <c r="VRG31" s="47"/>
      <c r="VRH31" s="47"/>
      <c r="VRI31" s="47"/>
      <c r="VRJ31" s="47"/>
      <c r="VRK31" s="47"/>
      <c r="VRL31" s="47"/>
      <c r="VRM31" s="47"/>
      <c r="VRN31" s="47"/>
      <c r="VRO31" s="47"/>
      <c r="VRP31" s="47"/>
      <c r="VRQ31" s="47"/>
      <c r="VRR31" s="47"/>
      <c r="VRS31" s="47"/>
      <c r="VRT31" s="47"/>
      <c r="VRU31" s="47"/>
      <c r="VRV31" s="47"/>
      <c r="VRW31" s="47"/>
      <c r="VRX31" s="47"/>
      <c r="VRY31" s="47"/>
      <c r="VRZ31" s="47"/>
      <c r="VSA31" s="47"/>
      <c r="VSB31" s="47"/>
      <c r="VSC31" s="47"/>
      <c r="VSD31" s="47"/>
      <c r="VSE31" s="47"/>
      <c r="VSF31" s="47"/>
      <c r="VSG31" s="47"/>
      <c r="VSH31" s="47"/>
      <c r="VSI31" s="47"/>
      <c r="VSJ31" s="47"/>
      <c r="VSK31" s="47"/>
      <c r="VSL31" s="47"/>
      <c r="VSM31" s="47"/>
      <c r="VSN31" s="47"/>
      <c r="VSO31" s="47"/>
      <c r="VSP31" s="47"/>
      <c r="VSQ31" s="47"/>
      <c r="VSR31" s="47"/>
      <c r="VSS31" s="47"/>
      <c r="VST31" s="47"/>
      <c r="VSU31" s="47"/>
      <c r="VSV31" s="47"/>
      <c r="VSW31" s="47"/>
      <c r="VSX31" s="47"/>
      <c r="VSY31" s="47"/>
      <c r="VSZ31" s="47"/>
      <c r="VTA31" s="47"/>
      <c r="VTB31" s="47"/>
      <c r="VTC31" s="47"/>
      <c r="VTD31" s="47"/>
      <c r="VTE31" s="47"/>
      <c r="VTF31" s="47"/>
      <c r="VTG31" s="47"/>
      <c r="VTH31" s="47"/>
      <c r="VTI31" s="47"/>
      <c r="VTJ31" s="47"/>
      <c r="VTK31" s="47"/>
      <c r="VTL31" s="47"/>
      <c r="VTM31" s="47"/>
      <c r="VTN31" s="47"/>
      <c r="VTO31" s="47"/>
      <c r="VTP31" s="47"/>
      <c r="VTQ31" s="47"/>
      <c r="VTR31" s="47"/>
      <c r="VTS31" s="47"/>
      <c r="VTT31" s="47"/>
      <c r="VTU31" s="47"/>
      <c r="VTV31" s="47"/>
      <c r="VTW31" s="47"/>
      <c r="VTX31" s="47"/>
      <c r="VTY31" s="47"/>
      <c r="VTZ31" s="47"/>
      <c r="VUA31" s="47"/>
      <c r="VUB31" s="47"/>
      <c r="VUC31" s="47"/>
      <c r="VUD31" s="47"/>
      <c r="VUE31" s="47"/>
      <c r="VUF31" s="47"/>
      <c r="VUG31" s="47"/>
      <c r="VUH31" s="47"/>
      <c r="VUI31" s="47"/>
      <c r="VUJ31" s="47"/>
      <c r="VUK31" s="47"/>
      <c r="VUL31" s="47"/>
      <c r="VUM31" s="47"/>
      <c r="VUN31" s="47"/>
      <c r="VUO31" s="47"/>
      <c r="VUP31" s="47"/>
      <c r="VUQ31" s="47"/>
      <c r="VUR31" s="47"/>
      <c r="VUS31" s="47"/>
      <c r="VUT31" s="47"/>
      <c r="VUU31" s="47"/>
      <c r="VUV31" s="47"/>
      <c r="VUW31" s="47"/>
      <c r="VUX31" s="47"/>
      <c r="VUY31" s="47"/>
      <c r="VUZ31" s="47"/>
      <c r="VVA31" s="47"/>
      <c r="VVB31" s="47"/>
      <c r="VVC31" s="47"/>
      <c r="VVD31" s="47"/>
      <c r="VVE31" s="47"/>
      <c r="VVF31" s="47"/>
      <c r="VVG31" s="47"/>
      <c r="VVH31" s="47"/>
      <c r="VVI31" s="47"/>
      <c r="VVJ31" s="47"/>
      <c r="VVK31" s="47"/>
      <c r="VVL31" s="47"/>
      <c r="VVM31" s="47"/>
      <c r="VVN31" s="47"/>
      <c r="VVO31" s="47"/>
      <c r="VVP31" s="47"/>
      <c r="VVQ31" s="47"/>
      <c r="VVR31" s="47"/>
      <c r="VVS31" s="47"/>
      <c r="VVT31" s="47"/>
      <c r="VVU31" s="47"/>
      <c r="VVV31" s="47"/>
      <c r="VVW31" s="47"/>
      <c r="VVX31" s="47"/>
      <c r="VVY31" s="47"/>
      <c r="VVZ31" s="47"/>
      <c r="VWA31" s="47"/>
      <c r="VWB31" s="47"/>
      <c r="VWC31" s="47"/>
      <c r="VWD31" s="47"/>
      <c r="VWE31" s="47"/>
      <c r="VWF31" s="47"/>
      <c r="VWG31" s="47"/>
      <c r="VWH31" s="47"/>
      <c r="VWI31" s="47"/>
      <c r="VWJ31" s="47"/>
      <c r="VWK31" s="47"/>
      <c r="VWL31" s="47"/>
      <c r="VWM31" s="47"/>
      <c r="VWN31" s="47"/>
      <c r="VWO31" s="47"/>
      <c r="VWP31" s="47"/>
      <c r="VWQ31" s="47"/>
      <c r="VWR31" s="47"/>
      <c r="VWS31" s="47"/>
      <c r="VWT31" s="47"/>
      <c r="VWU31" s="47"/>
      <c r="VWV31" s="47"/>
      <c r="VWW31" s="47"/>
      <c r="VWX31" s="47"/>
      <c r="VWY31" s="47"/>
      <c r="VWZ31" s="47"/>
      <c r="VXA31" s="47"/>
      <c r="VXB31" s="47"/>
      <c r="VXC31" s="47"/>
      <c r="VXD31" s="47"/>
      <c r="VXE31" s="47"/>
      <c r="VXF31" s="47"/>
      <c r="VXG31" s="47"/>
      <c r="VXH31" s="47"/>
      <c r="VXI31" s="47"/>
      <c r="VXJ31" s="47"/>
      <c r="VXK31" s="47"/>
      <c r="VXL31" s="47"/>
      <c r="VXM31" s="47"/>
      <c r="VXN31" s="47"/>
      <c r="VXO31" s="47"/>
      <c r="VXP31" s="47"/>
      <c r="VXQ31" s="47"/>
      <c r="VXR31" s="47"/>
      <c r="VXS31" s="47"/>
      <c r="VXT31" s="47"/>
      <c r="VXU31" s="47"/>
      <c r="VXV31" s="47"/>
      <c r="VXW31" s="47"/>
      <c r="VXX31" s="47"/>
      <c r="VXY31" s="47"/>
      <c r="VXZ31" s="47"/>
      <c r="VYA31" s="47"/>
      <c r="VYB31" s="47"/>
      <c r="VYC31" s="47"/>
      <c r="VYD31" s="47"/>
      <c r="VYE31" s="47"/>
      <c r="VYF31" s="47"/>
      <c r="VYG31" s="47"/>
      <c r="VYH31" s="47"/>
      <c r="VYI31" s="47"/>
      <c r="VYJ31" s="47"/>
      <c r="VYK31" s="47"/>
      <c r="VYL31" s="47"/>
      <c r="VYM31" s="47"/>
      <c r="VYN31" s="47"/>
      <c r="VYO31" s="47"/>
      <c r="VYP31" s="47"/>
      <c r="VYQ31" s="47"/>
      <c r="VYR31" s="47"/>
      <c r="VYS31" s="47"/>
      <c r="VYT31" s="47"/>
      <c r="VYU31" s="47"/>
      <c r="VYV31" s="47"/>
      <c r="VYW31" s="47"/>
      <c r="VYX31" s="47"/>
      <c r="VYY31" s="47"/>
      <c r="VYZ31" s="47"/>
      <c r="VZA31" s="47"/>
      <c r="VZB31" s="47"/>
      <c r="VZC31" s="47"/>
      <c r="VZD31" s="47"/>
      <c r="VZE31" s="47"/>
      <c r="VZF31" s="47"/>
      <c r="VZG31" s="47"/>
      <c r="VZH31" s="47"/>
      <c r="VZI31" s="47"/>
      <c r="VZJ31" s="47"/>
      <c r="VZK31" s="47"/>
      <c r="VZL31" s="47"/>
      <c r="VZM31" s="47"/>
      <c r="VZN31" s="47"/>
      <c r="VZO31" s="47"/>
      <c r="VZP31" s="47"/>
      <c r="VZQ31" s="47"/>
      <c r="VZR31" s="47"/>
      <c r="VZS31" s="47"/>
      <c r="VZT31" s="47"/>
      <c r="VZU31" s="47"/>
      <c r="VZV31" s="47"/>
      <c r="VZW31" s="47"/>
      <c r="VZX31" s="47"/>
      <c r="VZY31" s="47"/>
      <c r="VZZ31" s="47"/>
      <c r="WAA31" s="47"/>
      <c r="WAB31" s="47"/>
      <c r="WAC31" s="47"/>
      <c r="WAD31" s="47"/>
      <c r="WAE31" s="47"/>
      <c r="WAF31" s="47"/>
      <c r="WAG31" s="47"/>
      <c r="WAH31" s="47"/>
      <c r="WAI31" s="47"/>
      <c r="WAJ31" s="47"/>
      <c r="WAK31" s="47"/>
      <c r="WAL31" s="47"/>
      <c r="WAM31" s="47"/>
      <c r="WAN31" s="47"/>
      <c r="WAO31" s="47"/>
      <c r="WAP31" s="47"/>
      <c r="WAQ31" s="47"/>
      <c r="WAR31" s="47"/>
      <c r="WAS31" s="47"/>
      <c r="WAT31" s="47"/>
      <c r="WAU31" s="47"/>
      <c r="WAV31" s="47"/>
      <c r="WAW31" s="47"/>
      <c r="WAX31" s="47"/>
      <c r="WAY31" s="47"/>
      <c r="WAZ31" s="47"/>
      <c r="WBA31" s="47"/>
      <c r="WBB31" s="47"/>
      <c r="WBC31" s="47"/>
      <c r="WBD31" s="47"/>
      <c r="WBE31" s="47"/>
      <c r="WBF31" s="47"/>
      <c r="WBG31" s="47"/>
      <c r="WBH31" s="47"/>
      <c r="WBI31" s="47"/>
      <c r="WBJ31" s="47"/>
      <c r="WBK31" s="47"/>
      <c r="WBL31" s="47"/>
      <c r="WBM31" s="47"/>
      <c r="WBN31" s="47"/>
      <c r="WBO31" s="47"/>
      <c r="WBP31" s="47"/>
      <c r="WBQ31" s="47"/>
      <c r="WBR31" s="47"/>
      <c r="WBS31" s="47"/>
      <c r="WBT31" s="47"/>
      <c r="WBU31" s="47"/>
      <c r="WBV31" s="47"/>
      <c r="WBW31" s="47"/>
      <c r="WBX31" s="47"/>
      <c r="WBY31" s="47"/>
      <c r="WBZ31" s="47"/>
      <c r="WCA31" s="47"/>
      <c r="WCB31" s="47"/>
      <c r="WCC31" s="47"/>
      <c r="WCD31" s="47"/>
      <c r="WCE31" s="47"/>
      <c r="WCF31" s="47"/>
      <c r="WCG31" s="47"/>
      <c r="WCH31" s="47"/>
      <c r="WCI31" s="47"/>
      <c r="WCJ31" s="47"/>
      <c r="WCK31" s="47"/>
      <c r="WCL31" s="47"/>
      <c r="WCM31" s="47"/>
      <c r="WCN31" s="47"/>
      <c r="WCO31" s="47"/>
      <c r="WCP31" s="47"/>
      <c r="WCQ31" s="47"/>
      <c r="WCR31" s="47"/>
      <c r="WCS31" s="47"/>
      <c r="WCT31" s="47"/>
      <c r="WCU31" s="47"/>
      <c r="WCV31" s="47"/>
      <c r="WCW31" s="47"/>
      <c r="WCX31" s="47"/>
      <c r="WCY31" s="47"/>
      <c r="WCZ31" s="47"/>
      <c r="WDA31" s="47"/>
      <c r="WDB31" s="47"/>
      <c r="WDC31" s="47"/>
      <c r="WDD31" s="47"/>
      <c r="WDE31" s="47"/>
      <c r="WDF31" s="47"/>
      <c r="WDG31" s="47"/>
      <c r="WDH31" s="47"/>
      <c r="WDI31" s="47"/>
      <c r="WDJ31" s="47"/>
      <c r="WDK31" s="47"/>
      <c r="WDL31" s="47"/>
      <c r="WDM31" s="47"/>
      <c r="WDN31" s="47"/>
      <c r="WDO31" s="47"/>
      <c r="WDP31" s="47"/>
      <c r="WDQ31" s="47"/>
      <c r="WDR31" s="47"/>
      <c r="WDS31" s="47"/>
      <c r="WDT31" s="47"/>
      <c r="WDU31" s="47"/>
      <c r="WDV31" s="47"/>
      <c r="WDW31" s="47"/>
      <c r="WDX31" s="47"/>
      <c r="WDY31" s="47"/>
      <c r="WDZ31" s="47"/>
      <c r="WEA31" s="47"/>
      <c r="WEB31" s="47"/>
      <c r="WEC31" s="47"/>
      <c r="WED31" s="47"/>
      <c r="WEE31" s="47"/>
      <c r="WEF31" s="47"/>
      <c r="WEG31" s="47"/>
      <c r="WEH31" s="47"/>
      <c r="WEI31" s="47"/>
      <c r="WEJ31" s="47"/>
      <c r="WEK31" s="47"/>
      <c r="WEL31" s="47"/>
      <c r="WEM31" s="47"/>
      <c r="WEN31" s="47"/>
      <c r="WEO31" s="47"/>
      <c r="WEP31" s="47"/>
      <c r="WEQ31" s="47"/>
      <c r="WER31" s="47"/>
      <c r="WES31" s="47"/>
      <c r="WET31" s="47"/>
      <c r="WEU31" s="47"/>
      <c r="WEV31" s="47"/>
      <c r="WEW31" s="47"/>
      <c r="WEX31" s="47"/>
      <c r="WEY31" s="47"/>
      <c r="WEZ31" s="47"/>
      <c r="WFA31" s="47"/>
      <c r="WFB31" s="47"/>
      <c r="WFC31" s="47"/>
      <c r="WFD31" s="47"/>
      <c r="WFE31" s="47"/>
      <c r="WFF31" s="47"/>
      <c r="WFG31" s="47"/>
      <c r="WFH31" s="47"/>
      <c r="WFI31" s="47"/>
      <c r="WFJ31" s="47"/>
      <c r="WFK31" s="47"/>
      <c r="WFL31" s="47"/>
      <c r="WFM31" s="47"/>
      <c r="WFN31" s="47"/>
      <c r="WFO31" s="47"/>
      <c r="WFP31" s="47"/>
      <c r="WFQ31" s="47"/>
      <c r="WFR31" s="47"/>
      <c r="WFS31" s="47"/>
      <c r="WFT31" s="47"/>
      <c r="WFU31" s="47"/>
      <c r="WFV31" s="47"/>
      <c r="WFW31" s="47"/>
      <c r="WFX31" s="47"/>
      <c r="WFY31" s="47"/>
      <c r="WFZ31" s="47"/>
      <c r="WGA31" s="47"/>
      <c r="WGB31" s="47"/>
      <c r="WGC31" s="47"/>
      <c r="WGD31" s="47"/>
      <c r="WGE31" s="47"/>
      <c r="WGF31" s="47"/>
      <c r="WGG31" s="47"/>
      <c r="WGH31" s="47"/>
      <c r="WGI31" s="47"/>
      <c r="WGJ31" s="47"/>
      <c r="WGK31" s="47"/>
      <c r="WGL31" s="47"/>
      <c r="WGM31" s="47"/>
      <c r="WGN31" s="47"/>
      <c r="WGO31" s="47"/>
      <c r="WGP31" s="47"/>
      <c r="WGQ31" s="47"/>
      <c r="WGR31" s="47"/>
      <c r="WGS31" s="47"/>
      <c r="WGT31" s="47"/>
      <c r="WGU31" s="47"/>
      <c r="WGV31" s="47"/>
      <c r="WGW31" s="47"/>
      <c r="WGX31" s="47"/>
      <c r="WGY31" s="47"/>
      <c r="WGZ31" s="47"/>
      <c r="WHA31" s="47"/>
      <c r="WHB31" s="47"/>
      <c r="WHC31" s="47"/>
      <c r="WHD31" s="47"/>
      <c r="WHE31" s="47"/>
      <c r="WHF31" s="47"/>
      <c r="WHG31" s="47"/>
      <c r="WHH31" s="47"/>
      <c r="WHI31" s="47"/>
      <c r="WHJ31" s="47"/>
      <c r="WHK31" s="47"/>
      <c r="WHL31" s="47"/>
      <c r="WHM31" s="47"/>
      <c r="WHN31" s="47"/>
      <c r="WHO31" s="47"/>
      <c r="WHP31" s="47"/>
      <c r="WHQ31" s="47"/>
      <c r="WHR31" s="47"/>
      <c r="WHS31" s="47"/>
      <c r="WHT31" s="47"/>
      <c r="WHU31" s="47"/>
      <c r="WHV31" s="47"/>
      <c r="WHW31" s="47"/>
      <c r="WHX31" s="47"/>
      <c r="WHY31" s="47"/>
      <c r="WHZ31" s="47"/>
      <c r="WIA31" s="47"/>
      <c r="WIB31" s="47"/>
      <c r="WIC31" s="47"/>
      <c r="WID31" s="47"/>
      <c r="WIE31" s="47"/>
      <c r="WIF31" s="47"/>
      <c r="WIG31" s="47"/>
      <c r="WIH31" s="47"/>
      <c r="WII31" s="47"/>
      <c r="WIJ31" s="47"/>
      <c r="WIK31" s="47"/>
      <c r="WIL31" s="47"/>
      <c r="WIM31" s="47"/>
      <c r="WIN31" s="47"/>
      <c r="WIO31" s="47"/>
      <c r="WIP31" s="47"/>
      <c r="WIQ31" s="47"/>
      <c r="WIR31" s="47"/>
      <c r="WIS31" s="47"/>
      <c r="WIT31" s="47"/>
      <c r="WIU31" s="47"/>
      <c r="WIV31" s="47"/>
      <c r="WIW31" s="47"/>
      <c r="WIX31" s="47"/>
      <c r="WIY31" s="47"/>
      <c r="WIZ31" s="47"/>
      <c r="WJA31" s="47"/>
      <c r="WJB31" s="47"/>
      <c r="WJC31" s="47"/>
      <c r="WJD31" s="47"/>
      <c r="WJE31" s="47"/>
      <c r="WJF31" s="47"/>
      <c r="WJG31" s="47"/>
      <c r="WJH31" s="47"/>
      <c r="WJI31" s="47"/>
      <c r="WJJ31" s="47"/>
      <c r="WJK31" s="47"/>
      <c r="WJL31" s="47"/>
      <c r="WJM31" s="47"/>
      <c r="WJN31" s="47"/>
      <c r="WJO31" s="47"/>
      <c r="WJP31" s="47"/>
      <c r="WJQ31" s="47"/>
      <c r="WJR31" s="47"/>
      <c r="WJS31" s="47"/>
      <c r="WJT31" s="47"/>
      <c r="WJU31" s="47"/>
      <c r="WJV31" s="47"/>
      <c r="WJW31" s="47"/>
      <c r="WJX31" s="47"/>
      <c r="WJY31" s="47"/>
      <c r="WJZ31" s="47"/>
      <c r="WKA31" s="47"/>
      <c r="WKB31" s="47"/>
      <c r="WKC31" s="47"/>
      <c r="WKD31" s="47"/>
      <c r="WKE31" s="47"/>
      <c r="WKF31" s="47"/>
      <c r="WKG31" s="47"/>
      <c r="WKH31" s="47"/>
      <c r="WKI31" s="47"/>
      <c r="WKJ31" s="47"/>
      <c r="WKK31" s="47"/>
      <c r="WKL31" s="47"/>
      <c r="WKM31" s="47"/>
      <c r="WKN31" s="47"/>
      <c r="WKO31" s="47"/>
      <c r="WKP31" s="47"/>
      <c r="WKQ31" s="47"/>
      <c r="WKR31" s="47"/>
      <c r="WKS31" s="47"/>
      <c r="WKT31" s="47"/>
      <c r="WKU31" s="47"/>
      <c r="WKV31" s="47"/>
      <c r="WKW31" s="47"/>
      <c r="WKX31" s="47"/>
      <c r="WKY31" s="47"/>
      <c r="WKZ31" s="47"/>
      <c r="WLA31" s="47"/>
      <c r="WLB31" s="47"/>
      <c r="WLC31" s="47"/>
      <c r="WLD31" s="47"/>
      <c r="WLE31" s="47"/>
      <c r="WLF31" s="47"/>
      <c r="WLG31" s="47"/>
      <c r="WLH31" s="47"/>
      <c r="WLI31" s="47"/>
      <c r="WLJ31" s="47"/>
      <c r="WLK31" s="47"/>
      <c r="WLL31" s="47"/>
      <c r="WLM31" s="47"/>
      <c r="WLN31" s="47"/>
      <c r="WLO31" s="47"/>
      <c r="WLP31" s="47"/>
      <c r="WLQ31" s="47"/>
      <c r="WLR31" s="47"/>
      <c r="WLS31" s="47"/>
      <c r="WLT31" s="47"/>
      <c r="WLU31" s="47"/>
      <c r="WLV31" s="47"/>
      <c r="WLW31" s="47"/>
      <c r="WLX31" s="47"/>
      <c r="WLY31" s="47"/>
      <c r="WLZ31" s="47"/>
      <c r="WMA31" s="47"/>
      <c r="WMB31" s="47"/>
      <c r="WMC31" s="47"/>
      <c r="WMD31" s="47"/>
      <c r="WME31" s="47"/>
      <c r="WMF31" s="47"/>
      <c r="WMG31" s="47"/>
      <c r="WMH31" s="47"/>
      <c r="WMI31" s="47"/>
      <c r="WMJ31" s="47"/>
      <c r="WMK31" s="47"/>
      <c r="WML31" s="47"/>
      <c r="WMM31" s="47"/>
      <c r="WMN31" s="47"/>
      <c r="WMO31" s="47"/>
      <c r="WMP31" s="47"/>
      <c r="WMQ31" s="47"/>
      <c r="WMR31" s="47"/>
      <c r="WMS31" s="47"/>
      <c r="WMT31" s="47"/>
      <c r="WMU31" s="47"/>
      <c r="WMV31" s="47"/>
      <c r="WMW31" s="47"/>
      <c r="WMX31" s="47"/>
      <c r="WMY31" s="47"/>
      <c r="WMZ31" s="47"/>
      <c r="WNA31" s="47"/>
      <c r="WNB31" s="47"/>
      <c r="WNC31" s="47"/>
      <c r="WND31" s="47"/>
      <c r="WNE31" s="47"/>
      <c r="WNF31" s="47"/>
      <c r="WNG31" s="47"/>
      <c r="WNH31" s="47"/>
      <c r="WNI31" s="47"/>
      <c r="WNJ31" s="47"/>
      <c r="WNK31" s="47"/>
      <c r="WNL31" s="47"/>
      <c r="WNM31" s="47"/>
      <c r="WNN31" s="47"/>
      <c r="WNO31" s="47"/>
      <c r="WNP31" s="47"/>
      <c r="WNQ31" s="47"/>
      <c r="WNR31" s="47"/>
      <c r="WNS31" s="47"/>
      <c r="WNT31" s="47"/>
      <c r="WNU31" s="47"/>
      <c r="WNV31" s="47"/>
      <c r="WNW31" s="47"/>
      <c r="WNX31" s="47"/>
      <c r="WNY31" s="47"/>
      <c r="WNZ31" s="47"/>
      <c r="WOA31" s="47"/>
      <c r="WOB31" s="47"/>
      <c r="WOC31" s="47"/>
      <c r="WOD31" s="47"/>
      <c r="WOE31" s="47"/>
      <c r="WOF31" s="47"/>
      <c r="WOG31" s="47"/>
      <c r="WOH31" s="47"/>
      <c r="WOI31" s="47"/>
      <c r="WOJ31" s="47"/>
      <c r="WOK31" s="47"/>
      <c r="WOL31" s="47"/>
      <c r="WOM31" s="47"/>
      <c r="WON31" s="47"/>
      <c r="WOO31" s="47"/>
      <c r="WOP31" s="47"/>
      <c r="WOQ31" s="47"/>
      <c r="WOR31" s="47"/>
      <c r="WOS31" s="47"/>
      <c r="WOT31" s="47"/>
      <c r="WOU31" s="47"/>
      <c r="WOV31" s="47"/>
      <c r="WOW31" s="47"/>
      <c r="WOX31" s="47"/>
      <c r="WOY31" s="47"/>
      <c r="WOZ31" s="47"/>
      <c r="WPA31" s="47"/>
      <c r="WPB31" s="47"/>
      <c r="WPC31" s="47"/>
      <c r="WPD31" s="47"/>
      <c r="WPE31" s="47"/>
      <c r="WPF31" s="47"/>
      <c r="WPG31" s="47"/>
      <c r="WPH31" s="47"/>
      <c r="WPI31" s="47"/>
      <c r="WPJ31" s="47"/>
      <c r="WPK31" s="47"/>
      <c r="WPL31" s="47"/>
      <c r="WPM31" s="47"/>
      <c r="WPN31" s="47"/>
      <c r="WPO31" s="47"/>
      <c r="WPP31" s="47"/>
      <c r="WPQ31" s="47"/>
      <c r="WPR31" s="47"/>
      <c r="WPS31" s="47"/>
      <c r="WPT31" s="47"/>
      <c r="WPU31" s="47"/>
      <c r="WPV31" s="47"/>
      <c r="WPW31" s="47"/>
      <c r="WPX31" s="47"/>
      <c r="WPY31" s="47"/>
      <c r="WPZ31" s="47"/>
      <c r="WQA31" s="47"/>
      <c r="WQB31" s="47"/>
      <c r="WQC31" s="47"/>
      <c r="WQD31" s="47"/>
      <c r="WQE31" s="47"/>
      <c r="WQF31" s="47"/>
      <c r="WQG31" s="47"/>
      <c r="WQH31" s="47"/>
      <c r="WQI31" s="47"/>
      <c r="WQJ31" s="47"/>
      <c r="WQK31" s="47"/>
      <c r="WQL31" s="47"/>
      <c r="WQM31" s="47"/>
      <c r="WQN31" s="47"/>
      <c r="WQO31" s="47"/>
      <c r="WQP31" s="47"/>
      <c r="WQQ31" s="47"/>
      <c r="WQR31" s="47"/>
      <c r="WQS31" s="47"/>
      <c r="WQT31" s="47"/>
      <c r="WQU31" s="47"/>
      <c r="WQV31" s="47"/>
      <c r="WQW31" s="47"/>
      <c r="WQX31" s="47"/>
      <c r="WQY31" s="47"/>
      <c r="WQZ31" s="47"/>
      <c r="WRA31" s="47"/>
      <c r="WRB31" s="47"/>
      <c r="WRC31" s="47"/>
      <c r="WRD31" s="47"/>
      <c r="WRE31" s="47"/>
      <c r="WRF31" s="47"/>
      <c r="WRG31" s="47"/>
      <c r="WRH31" s="47"/>
      <c r="WRI31" s="47"/>
      <c r="WRJ31" s="47"/>
      <c r="WRK31" s="47"/>
      <c r="WRL31" s="47"/>
      <c r="WRM31" s="47"/>
      <c r="WRN31" s="47"/>
      <c r="WRO31" s="47"/>
      <c r="WRP31" s="47"/>
      <c r="WRQ31" s="47"/>
      <c r="WRR31" s="47"/>
      <c r="WRS31" s="47"/>
      <c r="WRT31" s="47"/>
      <c r="WRU31" s="47"/>
      <c r="WRV31" s="47"/>
      <c r="WRW31" s="47"/>
      <c r="WRX31" s="47"/>
      <c r="WRY31" s="47"/>
      <c r="WRZ31" s="47"/>
      <c r="WSA31" s="47"/>
      <c r="WSB31" s="47"/>
      <c r="WSC31" s="47"/>
      <c r="WSD31" s="47"/>
      <c r="WSE31" s="47"/>
      <c r="WSF31" s="47"/>
      <c r="WSG31" s="47"/>
      <c r="WSH31" s="47"/>
      <c r="WSI31" s="47"/>
      <c r="WSJ31" s="47"/>
      <c r="WSK31" s="47"/>
      <c r="WSL31" s="47"/>
      <c r="WSM31" s="47"/>
      <c r="WSN31" s="47"/>
      <c r="WSO31" s="47"/>
      <c r="WSP31" s="47"/>
      <c r="WSQ31" s="47"/>
      <c r="WSR31" s="47"/>
      <c r="WSS31" s="47"/>
      <c r="WST31" s="47"/>
      <c r="WSU31" s="47"/>
      <c r="WSV31" s="47"/>
      <c r="WSW31" s="47"/>
      <c r="WSX31" s="47"/>
      <c r="WSY31" s="47"/>
      <c r="WSZ31" s="47"/>
      <c r="WTA31" s="47"/>
      <c r="WTB31" s="47"/>
      <c r="WTC31" s="47"/>
      <c r="WTD31" s="47"/>
      <c r="WTE31" s="47"/>
      <c r="WTF31" s="47"/>
      <c r="WTG31" s="47"/>
      <c r="WTH31" s="47"/>
      <c r="WTI31" s="47"/>
      <c r="WTJ31" s="47"/>
      <c r="WTK31" s="47"/>
      <c r="WTL31" s="47"/>
      <c r="WTM31" s="47"/>
      <c r="WTN31" s="47"/>
      <c r="WTO31" s="47"/>
      <c r="WTP31" s="47"/>
      <c r="WTQ31" s="47"/>
      <c r="WTR31" s="47"/>
      <c r="WTS31" s="47"/>
      <c r="WTT31" s="47"/>
      <c r="WTU31" s="47"/>
      <c r="WTV31" s="47"/>
      <c r="WTW31" s="47"/>
      <c r="WTX31" s="47"/>
      <c r="WTY31" s="47"/>
      <c r="WTZ31" s="47"/>
      <c r="WUA31" s="47"/>
      <c r="WUB31" s="47"/>
      <c r="WUC31" s="47"/>
      <c r="WUD31" s="47"/>
      <c r="WUE31" s="47"/>
      <c r="WUF31" s="47"/>
      <c r="WUG31" s="47"/>
      <c r="WUH31" s="47"/>
      <c r="WUI31" s="47"/>
      <c r="WUJ31" s="47"/>
      <c r="WUK31" s="47"/>
      <c r="WUL31" s="47"/>
      <c r="WUM31" s="47"/>
      <c r="WUN31" s="47"/>
      <c r="WUO31" s="47"/>
      <c r="WUP31" s="47"/>
      <c r="WUQ31" s="47"/>
      <c r="WUR31" s="47"/>
      <c r="WUS31" s="47"/>
      <c r="WUT31" s="47"/>
      <c r="WUU31" s="47"/>
      <c r="WUV31" s="47"/>
      <c r="WUW31" s="47"/>
      <c r="WUX31" s="47"/>
      <c r="WUY31" s="47"/>
      <c r="WUZ31" s="47"/>
      <c r="WVA31" s="47"/>
      <c r="WVB31" s="47"/>
      <c r="WVC31" s="47"/>
      <c r="WVD31" s="47"/>
      <c r="WVE31" s="47"/>
      <c r="WVF31" s="47"/>
      <c r="WVG31" s="47"/>
      <c r="WVH31" s="47"/>
      <c r="WVI31" s="47"/>
      <c r="WVJ31" s="47"/>
      <c r="WVK31" s="47"/>
      <c r="WVL31" s="47"/>
      <c r="WVM31" s="47"/>
      <c r="WVN31" s="47"/>
      <c r="WVO31" s="47"/>
      <c r="WVP31" s="47"/>
      <c r="WVQ31" s="47"/>
      <c r="WVR31" s="47"/>
      <c r="WVS31" s="47"/>
      <c r="WVT31" s="47"/>
      <c r="WVU31" s="47"/>
      <c r="WVV31" s="47"/>
      <c r="WVW31" s="47"/>
      <c r="WVX31" s="47"/>
      <c r="WVY31" s="47"/>
      <c r="WVZ31" s="47"/>
      <c r="WWA31" s="47"/>
      <c r="WWB31" s="47"/>
      <c r="WWC31" s="47"/>
      <c r="WWD31" s="47"/>
      <c r="WWE31" s="47"/>
      <c r="WWF31" s="47"/>
      <c r="WWG31" s="47"/>
      <c r="WWH31" s="47"/>
      <c r="WWI31" s="47"/>
      <c r="WWJ31" s="47"/>
      <c r="WWK31" s="47"/>
      <c r="WWL31" s="47"/>
      <c r="WWM31" s="47"/>
      <c r="WWN31" s="47"/>
      <c r="WWO31" s="47"/>
      <c r="WWP31" s="47"/>
      <c r="WWQ31" s="47"/>
      <c r="WWR31" s="47"/>
      <c r="WWS31" s="47"/>
      <c r="WWT31" s="47"/>
      <c r="WWU31" s="47"/>
      <c r="WWV31" s="47"/>
      <c r="WWW31" s="47"/>
      <c r="WWX31" s="47"/>
      <c r="WWY31" s="47"/>
      <c r="WWZ31" s="47"/>
      <c r="WXA31" s="47"/>
      <c r="WXB31" s="47"/>
      <c r="WXC31" s="47"/>
      <c r="WXD31" s="47"/>
      <c r="WXE31" s="47"/>
      <c r="WXF31" s="47"/>
      <c r="WXG31" s="47"/>
      <c r="WXH31" s="47"/>
      <c r="WXI31" s="47"/>
      <c r="WXJ31" s="47"/>
      <c r="WXK31" s="47"/>
      <c r="WXL31" s="47"/>
      <c r="WXM31" s="47"/>
      <c r="WXN31" s="47"/>
      <c r="WXO31" s="47"/>
      <c r="WXP31" s="47"/>
      <c r="WXQ31" s="47"/>
      <c r="WXR31" s="47"/>
      <c r="WXS31" s="47"/>
      <c r="WXT31" s="47"/>
      <c r="WXU31" s="47"/>
      <c r="WXV31" s="47"/>
      <c r="WXW31" s="47"/>
      <c r="WXX31" s="47"/>
      <c r="WXY31" s="47"/>
      <c r="WXZ31" s="47"/>
      <c r="WYA31" s="47"/>
      <c r="WYB31" s="47"/>
      <c r="WYC31" s="47"/>
      <c r="WYD31" s="47"/>
      <c r="WYE31" s="47"/>
      <c r="WYF31" s="47"/>
      <c r="WYG31" s="47"/>
      <c r="WYH31" s="47"/>
      <c r="WYI31" s="47"/>
      <c r="WYJ31" s="47"/>
      <c r="WYK31" s="47"/>
      <c r="WYL31" s="47"/>
      <c r="WYM31" s="47"/>
      <c r="WYN31" s="47"/>
      <c r="WYO31" s="47"/>
      <c r="WYP31" s="47"/>
      <c r="WYQ31" s="47"/>
      <c r="WYR31" s="47"/>
      <c r="WYS31" s="47"/>
      <c r="WYT31" s="47"/>
      <c r="WYU31" s="47"/>
      <c r="WYV31" s="47"/>
      <c r="WYW31" s="47"/>
      <c r="WYX31" s="47"/>
      <c r="WYY31" s="47"/>
      <c r="WYZ31" s="47"/>
      <c r="WZA31" s="47"/>
      <c r="WZB31" s="47"/>
      <c r="WZC31" s="47"/>
      <c r="WZD31" s="47"/>
      <c r="WZE31" s="47"/>
      <c r="WZF31" s="47"/>
      <c r="WZG31" s="47"/>
      <c r="WZH31" s="47"/>
      <c r="WZI31" s="47"/>
      <c r="WZJ31" s="47"/>
      <c r="WZK31" s="47"/>
      <c r="WZL31" s="47"/>
      <c r="WZM31" s="47"/>
      <c r="WZN31" s="47"/>
      <c r="WZO31" s="47"/>
      <c r="WZP31" s="47"/>
      <c r="WZQ31" s="47"/>
      <c r="WZR31" s="47"/>
      <c r="WZS31" s="47"/>
      <c r="WZT31" s="47"/>
      <c r="WZU31" s="47"/>
      <c r="WZV31" s="47"/>
      <c r="WZW31" s="47"/>
      <c r="WZX31" s="47"/>
      <c r="WZY31" s="47"/>
      <c r="WZZ31" s="47"/>
      <c r="XAA31" s="47"/>
      <c r="XAB31" s="47"/>
      <c r="XAC31" s="47"/>
      <c r="XAD31" s="47"/>
      <c r="XAE31" s="47"/>
      <c r="XAF31" s="47"/>
      <c r="XAG31" s="47"/>
      <c r="XAH31" s="47"/>
      <c r="XAI31" s="47"/>
      <c r="XAJ31" s="47"/>
      <c r="XAK31" s="47"/>
      <c r="XAL31" s="47"/>
      <c r="XAM31" s="47"/>
      <c r="XAN31" s="47"/>
      <c r="XAO31" s="47"/>
      <c r="XAP31" s="47"/>
      <c r="XAQ31" s="47"/>
      <c r="XAR31" s="47"/>
      <c r="XAS31" s="47"/>
      <c r="XAT31" s="47"/>
      <c r="XAU31" s="47"/>
      <c r="XAV31" s="47"/>
      <c r="XAW31" s="47"/>
      <c r="XAX31" s="47"/>
      <c r="XAY31" s="47"/>
      <c r="XAZ31" s="47"/>
      <c r="XBA31" s="47"/>
      <c r="XBB31" s="47"/>
      <c r="XBC31" s="47"/>
      <c r="XBD31" s="47"/>
      <c r="XBE31" s="47"/>
      <c r="XBF31" s="47"/>
      <c r="XBG31" s="47"/>
      <c r="XBH31" s="47"/>
      <c r="XBI31" s="47"/>
      <c r="XBJ31" s="47"/>
      <c r="XBK31" s="47"/>
      <c r="XBL31" s="47"/>
      <c r="XBM31" s="47"/>
      <c r="XBN31" s="47"/>
      <c r="XBO31" s="47"/>
      <c r="XBP31" s="47"/>
      <c r="XBQ31" s="47"/>
      <c r="XBR31" s="47"/>
      <c r="XBS31" s="47"/>
      <c r="XBT31" s="47"/>
      <c r="XBU31" s="47"/>
      <c r="XBV31" s="47"/>
      <c r="XBW31" s="47"/>
      <c r="XBX31" s="47"/>
      <c r="XBY31" s="47"/>
      <c r="XBZ31" s="47"/>
      <c r="XCA31" s="47"/>
      <c r="XCB31" s="47"/>
      <c r="XCC31" s="47"/>
      <c r="XCD31" s="47"/>
      <c r="XCE31" s="47"/>
      <c r="XCF31" s="47"/>
      <c r="XCG31" s="47"/>
      <c r="XCH31" s="47"/>
      <c r="XCI31" s="47"/>
      <c r="XCJ31" s="47"/>
      <c r="XCK31" s="47"/>
      <c r="XCL31" s="47"/>
      <c r="XCM31" s="47"/>
      <c r="XCN31" s="47"/>
      <c r="XCO31" s="47"/>
      <c r="XCP31" s="47"/>
      <c r="XCQ31" s="47"/>
      <c r="XCR31" s="47"/>
      <c r="XCS31" s="47"/>
      <c r="XCT31" s="47"/>
      <c r="XCU31" s="47"/>
      <c r="XCV31" s="47"/>
      <c r="XCW31" s="47"/>
      <c r="XCX31" s="47"/>
      <c r="XCY31" s="47"/>
      <c r="XCZ31" s="47"/>
      <c r="XDA31" s="47"/>
      <c r="XDB31" s="47"/>
      <c r="XDC31" s="47"/>
      <c r="XDD31" s="47"/>
      <c r="XDE31" s="47"/>
      <c r="XDF31" s="47"/>
      <c r="XDG31" s="47"/>
      <c r="XDH31" s="47"/>
      <c r="XDI31" s="47"/>
      <c r="XDJ31" s="47"/>
      <c r="XDK31" s="47"/>
      <c r="XDL31" s="47"/>
      <c r="XDM31" s="47"/>
      <c r="XDN31" s="47"/>
      <c r="XDO31" s="47"/>
      <c r="XDP31" s="47"/>
      <c r="XDQ31" s="47"/>
      <c r="XDR31" s="47"/>
      <c r="XDS31" s="47"/>
      <c r="XDT31" s="47"/>
      <c r="XDU31" s="47"/>
      <c r="XDV31" s="47"/>
      <c r="XDW31" s="47"/>
      <c r="XDX31" s="47"/>
      <c r="XDY31" s="47"/>
      <c r="XDZ31" s="47"/>
      <c r="XEA31" s="47"/>
      <c r="XEB31" s="47"/>
      <c r="XEC31" s="47"/>
      <c r="XED31" s="47"/>
      <c r="XEE31" s="47"/>
      <c r="XEF31" s="47"/>
      <c r="XEG31" s="47"/>
      <c r="XEH31" s="47"/>
      <c r="XEI31" s="47"/>
      <c r="XEJ31" s="47"/>
      <c r="XEK31" s="47"/>
      <c r="XEL31" s="47"/>
      <c r="XEM31" s="47"/>
      <c r="XEN31" s="47"/>
      <c r="XEO31" s="47"/>
      <c r="XEP31" s="47"/>
      <c r="XEQ31" s="47"/>
      <c r="XER31" s="47"/>
      <c r="XES31" s="47"/>
      <c r="XET31" s="47"/>
      <c r="XEU31" s="47"/>
      <c r="XEV31" s="47"/>
      <c r="XEW31" s="47"/>
      <c r="XEX31" s="47"/>
      <c r="XEY31" s="47"/>
      <c r="XEZ31" s="47"/>
      <c r="XFA31" s="47"/>
      <c r="XFB31" s="47"/>
      <c r="XFC31" s="47"/>
    </row>
    <row r="32" spans="1:16383" s="20" customFormat="1" ht="20.149999999999999" hidden="1" customHeight="1">
      <c r="A32" s="52"/>
      <c r="B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47"/>
      <c r="HX32" s="47"/>
      <c r="HY32" s="47"/>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47"/>
      <c r="MC32" s="47"/>
      <c r="MD32" s="47"/>
      <c r="ME32" s="47"/>
      <c r="MF32" s="47"/>
      <c r="MG32" s="47"/>
      <c r="MH32" s="47"/>
      <c r="MI32" s="47"/>
      <c r="MJ32" s="47"/>
      <c r="MK32" s="47"/>
      <c r="ML32" s="47"/>
      <c r="MM32" s="47"/>
      <c r="MN32" s="47"/>
      <c r="MO32" s="47"/>
      <c r="MP32" s="47"/>
      <c r="MQ32" s="47"/>
      <c r="MR32" s="47"/>
      <c r="MS32" s="47"/>
      <c r="MT32" s="47"/>
      <c r="MU32" s="47"/>
      <c r="MV32" s="47"/>
      <c r="MW32" s="47"/>
      <c r="MX32" s="47"/>
      <c r="MY32" s="47"/>
      <c r="MZ32" s="47"/>
      <c r="NA32" s="47"/>
      <c r="NB32" s="47"/>
      <c r="NC32" s="47"/>
      <c r="ND32" s="47"/>
      <c r="NE32" s="47"/>
      <c r="NF32" s="47"/>
      <c r="NG32" s="47"/>
      <c r="NH32" s="47"/>
      <c r="NI32" s="47"/>
      <c r="NJ32" s="47"/>
      <c r="NK32" s="47"/>
      <c r="NL32" s="47"/>
      <c r="NM32" s="47"/>
      <c r="NN32" s="47"/>
      <c r="NO32" s="47"/>
      <c r="NP32" s="47"/>
      <c r="NQ32" s="47"/>
      <c r="NR32" s="47"/>
      <c r="NS32" s="47"/>
      <c r="NT32" s="47"/>
      <c r="NU32" s="47"/>
      <c r="NV32" s="47"/>
      <c r="NW32" s="47"/>
      <c r="NX32" s="47"/>
      <c r="NY32" s="47"/>
      <c r="NZ32" s="47"/>
      <c r="OA32" s="47"/>
      <c r="OB32" s="47"/>
      <c r="OC32" s="47"/>
      <c r="OD32" s="47"/>
      <c r="OE32" s="47"/>
      <c r="OF32" s="47"/>
      <c r="OG32" s="47"/>
      <c r="OH32" s="47"/>
      <c r="OI32" s="47"/>
      <c r="OJ32" s="47"/>
      <c r="OK32" s="47"/>
      <c r="OL32" s="47"/>
      <c r="OM32" s="47"/>
      <c r="ON32" s="47"/>
      <c r="OO32" s="47"/>
      <c r="OP32" s="47"/>
      <c r="OQ32" s="47"/>
      <c r="OR32" s="47"/>
      <c r="OS32" s="47"/>
      <c r="OT32" s="47"/>
      <c r="OU32" s="47"/>
      <c r="OV32" s="47"/>
      <c r="OW32" s="47"/>
      <c r="OX32" s="47"/>
      <c r="OY32" s="47"/>
      <c r="OZ32" s="47"/>
      <c r="PA32" s="47"/>
      <c r="PB32" s="47"/>
      <c r="PC32" s="47"/>
      <c r="PD32" s="47"/>
      <c r="PE32" s="47"/>
      <c r="PF32" s="47"/>
      <c r="PG32" s="47"/>
      <c r="PH32" s="47"/>
      <c r="PI32" s="47"/>
      <c r="PJ32" s="47"/>
      <c r="PK32" s="47"/>
      <c r="PL32" s="47"/>
      <c r="PM32" s="47"/>
      <c r="PN32" s="47"/>
      <c r="PO32" s="47"/>
      <c r="PP32" s="47"/>
      <c r="PQ32" s="47"/>
      <c r="PR32" s="47"/>
      <c r="PS32" s="47"/>
      <c r="PT32" s="47"/>
      <c r="PU32" s="47"/>
      <c r="PV32" s="47"/>
      <c r="PW32" s="47"/>
      <c r="PX32" s="47"/>
      <c r="PY32" s="47"/>
      <c r="PZ32" s="47"/>
      <c r="QA32" s="47"/>
      <c r="QB32" s="47"/>
      <c r="QC32" s="47"/>
      <c r="QD32" s="47"/>
      <c r="QE32" s="47"/>
      <c r="QF32" s="47"/>
      <c r="QG32" s="47"/>
      <c r="QH32" s="47"/>
      <c r="QI32" s="47"/>
      <c r="QJ32" s="47"/>
      <c r="QK32" s="47"/>
      <c r="QL32" s="47"/>
      <c r="QM32" s="47"/>
      <c r="QN32" s="47"/>
      <c r="QO32" s="47"/>
      <c r="QP32" s="47"/>
      <c r="QQ32" s="47"/>
      <c r="QR32" s="47"/>
      <c r="QS32" s="47"/>
      <c r="QT32" s="47"/>
      <c r="QU32" s="47"/>
      <c r="QV32" s="47"/>
      <c r="QW32" s="47"/>
      <c r="QX32" s="47"/>
      <c r="QY32" s="47"/>
      <c r="QZ32" s="47"/>
      <c r="RA32" s="47"/>
      <c r="RB32" s="47"/>
      <c r="RC32" s="47"/>
      <c r="RD32" s="47"/>
      <c r="RE32" s="47"/>
      <c r="RF32" s="47"/>
      <c r="RG32" s="47"/>
      <c r="RH32" s="47"/>
      <c r="RI32" s="47"/>
      <c r="RJ32" s="47"/>
      <c r="RK32" s="47"/>
      <c r="RL32" s="47"/>
      <c r="RM32" s="47"/>
      <c r="RN32" s="47"/>
      <c r="RO32" s="47"/>
      <c r="RP32" s="47"/>
      <c r="RQ32" s="47"/>
      <c r="RR32" s="47"/>
      <c r="RS32" s="47"/>
      <c r="RT32" s="47"/>
      <c r="RU32" s="47"/>
      <c r="RV32" s="47"/>
      <c r="RW32" s="47"/>
      <c r="RX32" s="47"/>
      <c r="RY32" s="47"/>
      <c r="RZ32" s="47"/>
      <c r="SA32" s="47"/>
      <c r="SB32" s="47"/>
      <c r="SC32" s="47"/>
      <c r="SD32" s="47"/>
      <c r="SE32" s="47"/>
      <c r="SF32" s="47"/>
      <c r="SG32" s="47"/>
      <c r="SH32" s="47"/>
      <c r="SI32" s="47"/>
      <c r="SJ32" s="47"/>
      <c r="SK32" s="47"/>
      <c r="SL32" s="47"/>
      <c r="SM32" s="47"/>
      <c r="SN32" s="47"/>
      <c r="SO32" s="47"/>
      <c r="SP32" s="47"/>
      <c r="SQ32" s="47"/>
      <c r="SR32" s="47"/>
      <c r="SS32" s="47"/>
      <c r="ST32" s="47"/>
      <c r="SU32" s="47"/>
      <c r="SV32" s="47"/>
      <c r="SW32" s="47"/>
      <c r="SX32" s="47"/>
      <c r="SY32" s="47"/>
      <c r="SZ32" s="47"/>
      <c r="TA32" s="47"/>
      <c r="TB32" s="47"/>
      <c r="TC32" s="47"/>
      <c r="TD32" s="47"/>
      <c r="TE32" s="47"/>
      <c r="TF32" s="47"/>
      <c r="TG32" s="47"/>
      <c r="TH32" s="47"/>
      <c r="TI32" s="47"/>
      <c r="TJ32" s="47"/>
      <c r="TK32" s="47"/>
      <c r="TL32" s="47"/>
      <c r="TM32" s="47"/>
      <c r="TN32" s="47"/>
      <c r="TO32" s="47"/>
      <c r="TP32" s="47"/>
      <c r="TQ32" s="47"/>
      <c r="TR32" s="47"/>
      <c r="TS32" s="47"/>
      <c r="TT32" s="47"/>
      <c r="TU32" s="47"/>
      <c r="TV32" s="47"/>
      <c r="TW32" s="47"/>
      <c r="TX32" s="47"/>
      <c r="TY32" s="47"/>
      <c r="TZ32" s="47"/>
      <c r="UA32" s="47"/>
      <c r="UB32" s="47"/>
      <c r="UC32" s="47"/>
      <c r="UD32" s="47"/>
      <c r="UE32" s="47"/>
      <c r="UF32" s="47"/>
      <c r="UG32" s="47"/>
      <c r="UH32" s="47"/>
      <c r="UI32" s="47"/>
      <c r="UJ32" s="47"/>
      <c r="UK32" s="47"/>
      <c r="UL32" s="47"/>
      <c r="UM32" s="47"/>
      <c r="UN32" s="47"/>
      <c r="UO32" s="47"/>
      <c r="UP32" s="47"/>
      <c r="UQ32" s="47"/>
      <c r="UR32" s="47"/>
      <c r="US32" s="47"/>
      <c r="UT32" s="47"/>
      <c r="UU32" s="47"/>
      <c r="UV32" s="47"/>
      <c r="UW32" s="47"/>
      <c r="UX32" s="47"/>
      <c r="UY32" s="47"/>
      <c r="UZ32" s="47"/>
      <c r="VA32" s="47"/>
      <c r="VB32" s="47"/>
      <c r="VC32" s="47"/>
      <c r="VD32" s="47"/>
      <c r="VE32" s="47"/>
      <c r="VF32" s="47"/>
      <c r="VG32" s="47"/>
      <c r="VH32" s="47"/>
      <c r="VI32" s="47"/>
      <c r="VJ32" s="47"/>
      <c r="VK32" s="47"/>
      <c r="VL32" s="47"/>
      <c r="VM32" s="47"/>
      <c r="VN32" s="47"/>
      <c r="VO32" s="47"/>
      <c r="VP32" s="47"/>
      <c r="VQ32" s="47"/>
      <c r="VR32" s="47"/>
      <c r="VS32" s="47"/>
      <c r="VT32" s="47"/>
      <c r="VU32" s="47"/>
      <c r="VV32" s="47"/>
      <c r="VW32" s="47"/>
      <c r="VX32" s="47"/>
      <c r="VY32" s="47"/>
      <c r="VZ32" s="47"/>
      <c r="WA32" s="47"/>
      <c r="WB32" s="47"/>
      <c r="WC32" s="47"/>
      <c r="WD32" s="47"/>
      <c r="WE32" s="47"/>
      <c r="WF32" s="47"/>
      <c r="WG32" s="47"/>
      <c r="WH32" s="47"/>
      <c r="WI32" s="47"/>
      <c r="WJ32" s="47"/>
      <c r="WK32" s="47"/>
      <c r="WL32" s="47"/>
      <c r="WM32" s="47"/>
      <c r="WN32" s="47"/>
      <c r="WO32" s="47"/>
      <c r="WP32" s="47"/>
      <c r="WQ32" s="47"/>
      <c r="WR32" s="47"/>
      <c r="WS32" s="47"/>
      <c r="WT32" s="47"/>
      <c r="WU32" s="47"/>
      <c r="WV32" s="47"/>
      <c r="WW32" s="47"/>
      <c r="WX32" s="47"/>
      <c r="WY32" s="47"/>
      <c r="WZ32" s="47"/>
      <c r="XA32" s="47"/>
      <c r="XB32" s="47"/>
      <c r="XC32" s="47"/>
      <c r="XD32" s="47"/>
      <c r="XE32" s="47"/>
      <c r="XF32" s="47"/>
      <c r="XG32" s="47"/>
      <c r="XH32" s="47"/>
      <c r="XI32" s="47"/>
      <c r="XJ32" s="47"/>
      <c r="XK32" s="47"/>
      <c r="XL32" s="47"/>
      <c r="XM32" s="47"/>
      <c r="XN32" s="47"/>
      <c r="XO32" s="47"/>
      <c r="XP32" s="47"/>
      <c r="XQ32" s="47"/>
      <c r="XR32" s="47"/>
      <c r="XS32" s="47"/>
      <c r="XT32" s="47"/>
      <c r="XU32" s="47"/>
      <c r="XV32" s="47"/>
      <c r="XW32" s="47"/>
      <c r="XX32" s="47"/>
      <c r="XY32" s="47"/>
      <c r="XZ32" s="47"/>
      <c r="YA32" s="47"/>
      <c r="YB32" s="47"/>
      <c r="YC32" s="47"/>
      <c r="YD32" s="47"/>
      <c r="YE32" s="47"/>
      <c r="YF32" s="47"/>
      <c r="YG32" s="47"/>
      <c r="YH32" s="47"/>
      <c r="YI32" s="47"/>
      <c r="YJ32" s="47"/>
      <c r="YK32" s="47"/>
      <c r="YL32" s="47"/>
      <c r="YM32" s="47"/>
      <c r="YN32" s="47"/>
      <c r="YO32" s="47"/>
      <c r="YP32" s="47"/>
      <c r="YQ32" s="47"/>
      <c r="YR32" s="47"/>
      <c r="YS32" s="47"/>
      <c r="YT32" s="47"/>
      <c r="YU32" s="47"/>
      <c r="YV32" s="47"/>
      <c r="YW32" s="47"/>
      <c r="YX32" s="47"/>
      <c r="YY32" s="47"/>
      <c r="YZ32" s="47"/>
      <c r="ZA32" s="47"/>
      <c r="ZB32" s="47"/>
      <c r="ZC32" s="47"/>
      <c r="ZD32" s="47"/>
      <c r="ZE32" s="47"/>
      <c r="ZF32" s="47"/>
      <c r="ZG32" s="47"/>
      <c r="ZH32" s="47"/>
      <c r="ZI32" s="47"/>
      <c r="ZJ32" s="47"/>
      <c r="ZK32" s="47"/>
      <c r="ZL32" s="47"/>
      <c r="ZM32" s="47"/>
      <c r="ZN32" s="47"/>
      <c r="ZO32" s="47"/>
      <c r="ZP32" s="47"/>
      <c r="ZQ32" s="47"/>
      <c r="ZR32" s="47"/>
      <c r="ZS32" s="47"/>
      <c r="ZT32" s="47"/>
      <c r="ZU32" s="47"/>
      <c r="ZV32" s="47"/>
      <c r="ZW32" s="47"/>
      <c r="ZX32" s="47"/>
      <c r="ZY32" s="47"/>
      <c r="ZZ32" s="47"/>
      <c r="AAA32" s="47"/>
      <c r="AAB32" s="47"/>
      <c r="AAC32" s="47"/>
      <c r="AAD32" s="47"/>
      <c r="AAE32" s="47"/>
      <c r="AAF32" s="47"/>
      <c r="AAG32" s="47"/>
      <c r="AAH32" s="47"/>
      <c r="AAI32" s="47"/>
      <c r="AAJ32" s="47"/>
      <c r="AAK32" s="47"/>
      <c r="AAL32" s="47"/>
      <c r="AAM32" s="47"/>
      <c r="AAN32" s="47"/>
      <c r="AAO32" s="47"/>
      <c r="AAP32" s="47"/>
      <c r="AAQ32" s="47"/>
      <c r="AAR32" s="47"/>
      <c r="AAS32" s="47"/>
      <c r="AAT32" s="47"/>
      <c r="AAU32" s="47"/>
      <c r="AAV32" s="47"/>
      <c r="AAW32" s="47"/>
      <c r="AAX32" s="47"/>
      <c r="AAY32" s="47"/>
      <c r="AAZ32" s="47"/>
      <c r="ABA32" s="47"/>
      <c r="ABB32" s="47"/>
      <c r="ABC32" s="47"/>
      <c r="ABD32" s="47"/>
      <c r="ABE32" s="47"/>
      <c r="ABF32" s="47"/>
      <c r="ABG32" s="47"/>
      <c r="ABH32" s="47"/>
      <c r="ABI32" s="47"/>
      <c r="ABJ32" s="47"/>
      <c r="ABK32" s="47"/>
      <c r="ABL32" s="47"/>
      <c r="ABM32" s="47"/>
      <c r="ABN32" s="47"/>
      <c r="ABO32" s="47"/>
      <c r="ABP32" s="47"/>
      <c r="ABQ32" s="47"/>
      <c r="ABR32" s="47"/>
      <c r="ABS32" s="47"/>
      <c r="ABT32" s="47"/>
      <c r="ABU32" s="47"/>
      <c r="ABV32" s="47"/>
      <c r="ABW32" s="47"/>
      <c r="ABX32" s="47"/>
      <c r="ABY32" s="47"/>
      <c r="ABZ32" s="47"/>
      <c r="ACA32" s="47"/>
      <c r="ACB32" s="47"/>
      <c r="ACC32" s="47"/>
      <c r="ACD32" s="47"/>
      <c r="ACE32" s="47"/>
      <c r="ACF32" s="47"/>
      <c r="ACG32" s="47"/>
      <c r="ACH32" s="47"/>
      <c r="ACI32" s="47"/>
      <c r="ACJ32" s="47"/>
      <c r="ACK32" s="47"/>
      <c r="ACL32" s="47"/>
      <c r="ACM32" s="47"/>
      <c r="ACN32" s="47"/>
      <c r="ACO32" s="47"/>
      <c r="ACP32" s="47"/>
      <c r="ACQ32" s="47"/>
      <c r="ACR32" s="47"/>
      <c r="ACS32" s="47"/>
      <c r="ACT32" s="47"/>
      <c r="ACU32" s="47"/>
      <c r="ACV32" s="47"/>
      <c r="ACW32" s="47"/>
      <c r="ACX32" s="47"/>
      <c r="ACY32" s="47"/>
      <c r="ACZ32" s="47"/>
      <c r="ADA32" s="47"/>
      <c r="ADB32" s="47"/>
      <c r="ADC32" s="47"/>
      <c r="ADD32" s="47"/>
      <c r="ADE32" s="47"/>
      <c r="ADF32" s="47"/>
      <c r="ADG32" s="47"/>
      <c r="ADH32" s="47"/>
      <c r="ADI32" s="47"/>
      <c r="ADJ32" s="47"/>
      <c r="ADK32" s="47"/>
      <c r="ADL32" s="47"/>
      <c r="ADM32" s="47"/>
      <c r="ADN32" s="47"/>
      <c r="ADO32" s="47"/>
      <c r="ADP32" s="47"/>
      <c r="ADQ32" s="47"/>
      <c r="ADR32" s="47"/>
      <c r="ADS32" s="47"/>
      <c r="ADT32" s="47"/>
      <c r="ADU32" s="47"/>
      <c r="ADV32" s="47"/>
      <c r="ADW32" s="47"/>
      <c r="ADX32" s="47"/>
      <c r="ADY32" s="47"/>
      <c r="ADZ32" s="47"/>
      <c r="AEA32" s="47"/>
      <c r="AEB32" s="47"/>
      <c r="AEC32" s="47"/>
      <c r="AED32" s="47"/>
      <c r="AEE32" s="47"/>
      <c r="AEF32" s="47"/>
      <c r="AEG32" s="47"/>
      <c r="AEH32" s="47"/>
      <c r="AEI32" s="47"/>
      <c r="AEJ32" s="47"/>
      <c r="AEK32" s="47"/>
      <c r="AEL32" s="47"/>
      <c r="AEM32" s="47"/>
      <c r="AEN32" s="47"/>
      <c r="AEO32" s="47"/>
      <c r="AEP32" s="47"/>
      <c r="AEQ32" s="47"/>
      <c r="AER32" s="47"/>
      <c r="AES32" s="47"/>
      <c r="AET32" s="47"/>
      <c r="AEU32" s="47"/>
      <c r="AEV32" s="47"/>
      <c r="AEW32" s="47"/>
      <c r="AEX32" s="47"/>
      <c r="AEY32" s="47"/>
      <c r="AEZ32" s="47"/>
      <c r="AFA32" s="47"/>
      <c r="AFB32" s="47"/>
      <c r="AFC32" s="47"/>
      <c r="AFD32" s="47"/>
      <c r="AFE32" s="47"/>
      <c r="AFF32" s="47"/>
      <c r="AFG32" s="47"/>
      <c r="AFH32" s="47"/>
      <c r="AFI32" s="47"/>
      <c r="AFJ32" s="47"/>
      <c r="AFK32" s="47"/>
      <c r="AFL32" s="47"/>
      <c r="AFM32" s="47"/>
      <c r="AFN32" s="47"/>
      <c r="AFO32" s="47"/>
      <c r="AFP32" s="47"/>
      <c r="AFQ32" s="47"/>
      <c r="AFR32" s="47"/>
      <c r="AFS32" s="47"/>
      <c r="AFT32" s="47"/>
      <c r="AFU32" s="47"/>
      <c r="AFV32" s="47"/>
      <c r="AFW32" s="47"/>
      <c r="AFX32" s="47"/>
      <c r="AFY32" s="47"/>
      <c r="AFZ32" s="47"/>
      <c r="AGA32" s="47"/>
      <c r="AGB32" s="47"/>
      <c r="AGC32" s="47"/>
      <c r="AGD32" s="47"/>
      <c r="AGE32" s="47"/>
      <c r="AGF32" s="47"/>
      <c r="AGG32" s="47"/>
      <c r="AGH32" s="47"/>
      <c r="AGI32" s="47"/>
      <c r="AGJ32" s="47"/>
      <c r="AGK32" s="47"/>
      <c r="AGL32" s="47"/>
      <c r="AGM32" s="47"/>
      <c r="AGN32" s="47"/>
      <c r="AGO32" s="47"/>
      <c r="AGP32" s="47"/>
      <c r="AGQ32" s="47"/>
      <c r="AGR32" s="47"/>
      <c r="AGS32" s="47"/>
      <c r="AGT32" s="47"/>
      <c r="AGU32" s="47"/>
      <c r="AGV32" s="47"/>
      <c r="AGW32" s="47"/>
      <c r="AGX32" s="47"/>
      <c r="AGY32" s="47"/>
      <c r="AGZ32" s="47"/>
      <c r="AHA32" s="47"/>
      <c r="AHB32" s="47"/>
      <c r="AHC32" s="47"/>
      <c r="AHD32" s="47"/>
      <c r="AHE32" s="47"/>
      <c r="AHF32" s="47"/>
      <c r="AHG32" s="47"/>
      <c r="AHH32" s="47"/>
      <c r="AHI32" s="47"/>
      <c r="AHJ32" s="47"/>
      <c r="AHK32" s="47"/>
      <c r="AHL32" s="47"/>
      <c r="AHM32" s="47"/>
      <c r="AHN32" s="47"/>
      <c r="AHO32" s="47"/>
      <c r="AHP32" s="47"/>
      <c r="AHQ32" s="47"/>
      <c r="AHR32" s="47"/>
      <c r="AHS32" s="47"/>
      <c r="AHT32" s="47"/>
      <c r="AHU32" s="47"/>
      <c r="AHV32" s="47"/>
      <c r="AHW32" s="47"/>
      <c r="AHX32" s="47"/>
      <c r="AHY32" s="47"/>
      <c r="AHZ32" s="47"/>
      <c r="AIA32" s="47"/>
      <c r="AIB32" s="47"/>
      <c r="AIC32" s="47"/>
      <c r="AID32" s="47"/>
      <c r="AIE32" s="47"/>
      <c r="AIF32" s="47"/>
      <c r="AIG32" s="47"/>
      <c r="AIH32" s="47"/>
      <c r="AII32" s="47"/>
      <c r="AIJ32" s="47"/>
      <c r="AIK32" s="47"/>
      <c r="AIL32" s="47"/>
      <c r="AIM32" s="47"/>
      <c r="AIN32" s="47"/>
      <c r="AIO32" s="47"/>
      <c r="AIP32" s="47"/>
      <c r="AIQ32" s="47"/>
      <c r="AIR32" s="47"/>
      <c r="AIS32" s="47"/>
      <c r="AIT32" s="47"/>
      <c r="AIU32" s="47"/>
      <c r="AIV32" s="47"/>
      <c r="AIW32" s="47"/>
      <c r="AIX32" s="47"/>
      <c r="AIY32" s="47"/>
      <c r="AIZ32" s="47"/>
      <c r="AJA32" s="47"/>
      <c r="AJB32" s="47"/>
      <c r="AJC32" s="47"/>
      <c r="AJD32" s="47"/>
      <c r="AJE32" s="47"/>
      <c r="AJF32" s="47"/>
      <c r="AJG32" s="47"/>
      <c r="AJH32" s="47"/>
      <c r="AJI32" s="47"/>
      <c r="AJJ32" s="47"/>
      <c r="AJK32" s="47"/>
      <c r="AJL32" s="47"/>
      <c r="AJM32" s="47"/>
      <c r="AJN32" s="47"/>
      <c r="AJO32" s="47"/>
      <c r="AJP32" s="47"/>
      <c r="AJQ32" s="47"/>
      <c r="AJR32" s="47"/>
      <c r="AJS32" s="47"/>
      <c r="AJT32" s="47"/>
      <c r="AJU32" s="47"/>
      <c r="AJV32" s="47"/>
      <c r="AJW32" s="47"/>
      <c r="AJX32" s="47"/>
      <c r="AJY32" s="47"/>
      <c r="AJZ32" s="47"/>
      <c r="AKA32" s="47"/>
      <c r="AKB32" s="47"/>
      <c r="AKC32" s="47"/>
      <c r="AKD32" s="47"/>
      <c r="AKE32" s="47"/>
      <c r="AKF32" s="47"/>
      <c r="AKG32" s="47"/>
      <c r="AKH32" s="47"/>
      <c r="AKI32" s="47"/>
      <c r="AKJ32" s="47"/>
      <c r="AKK32" s="47"/>
      <c r="AKL32" s="47"/>
      <c r="AKM32" s="47"/>
      <c r="AKN32" s="47"/>
      <c r="AKO32" s="47"/>
      <c r="AKP32" s="47"/>
      <c r="AKQ32" s="47"/>
      <c r="AKR32" s="47"/>
      <c r="AKS32" s="47"/>
      <c r="AKT32" s="47"/>
      <c r="AKU32" s="47"/>
      <c r="AKV32" s="47"/>
      <c r="AKW32" s="47"/>
      <c r="AKX32" s="47"/>
      <c r="AKY32" s="47"/>
      <c r="AKZ32" s="47"/>
      <c r="ALA32" s="47"/>
      <c r="ALB32" s="47"/>
      <c r="ALC32" s="47"/>
      <c r="ALD32" s="47"/>
      <c r="ALE32" s="47"/>
      <c r="ALF32" s="47"/>
      <c r="ALG32" s="47"/>
      <c r="ALH32" s="47"/>
      <c r="ALI32" s="47"/>
      <c r="ALJ32" s="47"/>
      <c r="ALK32" s="47"/>
      <c r="ALL32" s="47"/>
      <c r="ALM32" s="47"/>
      <c r="ALN32" s="47"/>
      <c r="ALO32" s="47"/>
      <c r="ALP32" s="47"/>
      <c r="ALQ32" s="47"/>
      <c r="ALR32" s="47"/>
      <c r="ALS32" s="47"/>
      <c r="ALT32" s="47"/>
      <c r="ALU32" s="47"/>
      <c r="ALV32" s="47"/>
      <c r="ALW32" s="47"/>
      <c r="ALX32" s="47"/>
      <c r="ALY32" s="47"/>
      <c r="ALZ32" s="47"/>
      <c r="AMA32" s="47"/>
      <c r="AMB32" s="47"/>
      <c r="AMC32" s="47"/>
      <c r="AMD32" s="47"/>
      <c r="AME32" s="47"/>
      <c r="AMF32" s="47"/>
      <c r="AMG32" s="47"/>
      <c r="AMH32" s="47"/>
      <c r="AMI32" s="47"/>
      <c r="AMJ32" s="47"/>
      <c r="AMK32" s="47"/>
      <c r="AML32" s="47"/>
      <c r="AMM32" s="47"/>
      <c r="AMN32" s="47"/>
      <c r="AMO32" s="47"/>
      <c r="AMP32" s="47"/>
      <c r="AMQ32" s="47"/>
      <c r="AMR32" s="47"/>
      <c r="AMS32" s="47"/>
      <c r="AMT32" s="47"/>
      <c r="AMU32" s="47"/>
      <c r="AMV32" s="47"/>
      <c r="AMW32" s="47"/>
      <c r="AMX32" s="47"/>
      <c r="AMY32" s="47"/>
      <c r="AMZ32" s="47"/>
      <c r="ANA32" s="47"/>
      <c r="ANB32" s="47"/>
      <c r="ANC32" s="47"/>
      <c r="AND32" s="47"/>
      <c r="ANE32" s="47"/>
      <c r="ANF32" s="47"/>
      <c r="ANG32" s="47"/>
      <c r="ANH32" s="47"/>
      <c r="ANI32" s="47"/>
      <c r="ANJ32" s="47"/>
      <c r="ANK32" s="47"/>
      <c r="ANL32" s="47"/>
      <c r="ANM32" s="47"/>
      <c r="ANN32" s="47"/>
      <c r="ANO32" s="47"/>
      <c r="ANP32" s="47"/>
      <c r="ANQ32" s="47"/>
      <c r="ANR32" s="47"/>
      <c r="ANS32" s="47"/>
      <c r="ANT32" s="47"/>
      <c r="ANU32" s="47"/>
      <c r="ANV32" s="47"/>
      <c r="ANW32" s="47"/>
      <c r="ANX32" s="47"/>
      <c r="ANY32" s="47"/>
      <c r="ANZ32" s="47"/>
      <c r="AOA32" s="47"/>
      <c r="AOB32" s="47"/>
      <c r="AOC32" s="47"/>
      <c r="AOD32" s="47"/>
      <c r="AOE32" s="47"/>
      <c r="AOF32" s="47"/>
      <c r="AOG32" s="47"/>
      <c r="AOH32" s="47"/>
      <c r="AOI32" s="47"/>
      <c r="AOJ32" s="47"/>
      <c r="AOK32" s="47"/>
      <c r="AOL32" s="47"/>
      <c r="AOM32" s="47"/>
      <c r="AON32" s="47"/>
      <c r="AOO32" s="47"/>
      <c r="AOP32" s="47"/>
      <c r="AOQ32" s="47"/>
      <c r="AOR32" s="47"/>
      <c r="AOS32" s="47"/>
      <c r="AOT32" s="47"/>
      <c r="AOU32" s="47"/>
      <c r="AOV32" s="47"/>
      <c r="AOW32" s="47"/>
      <c r="AOX32" s="47"/>
      <c r="AOY32" s="47"/>
      <c r="AOZ32" s="47"/>
      <c r="APA32" s="47"/>
      <c r="APB32" s="47"/>
      <c r="APC32" s="47"/>
      <c r="APD32" s="47"/>
      <c r="APE32" s="47"/>
      <c r="APF32" s="47"/>
      <c r="APG32" s="47"/>
      <c r="APH32" s="47"/>
      <c r="API32" s="47"/>
      <c r="APJ32" s="47"/>
      <c r="APK32" s="47"/>
      <c r="APL32" s="47"/>
      <c r="APM32" s="47"/>
      <c r="APN32" s="47"/>
      <c r="APO32" s="47"/>
      <c r="APP32" s="47"/>
      <c r="APQ32" s="47"/>
      <c r="APR32" s="47"/>
      <c r="APS32" s="47"/>
      <c r="APT32" s="47"/>
      <c r="APU32" s="47"/>
      <c r="APV32" s="47"/>
      <c r="APW32" s="47"/>
      <c r="APX32" s="47"/>
      <c r="APY32" s="47"/>
      <c r="APZ32" s="47"/>
      <c r="AQA32" s="47"/>
      <c r="AQB32" s="47"/>
      <c r="AQC32" s="47"/>
      <c r="AQD32" s="47"/>
      <c r="AQE32" s="47"/>
      <c r="AQF32" s="47"/>
      <c r="AQG32" s="47"/>
      <c r="AQH32" s="47"/>
      <c r="AQI32" s="47"/>
      <c r="AQJ32" s="47"/>
      <c r="AQK32" s="47"/>
      <c r="AQL32" s="47"/>
      <c r="AQM32" s="47"/>
      <c r="AQN32" s="47"/>
      <c r="AQO32" s="47"/>
      <c r="AQP32" s="47"/>
      <c r="AQQ32" s="47"/>
      <c r="AQR32" s="47"/>
      <c r="AQS32" s="47"/>
      <c r="AQT32" s="47"/>
      <c r="AQU32" s="47"/>
      <c r="AQV32" s="47"/>
      <c r="AQW32" s="47"/>
      <c r="AQX32" s="47"/>
      <c r="AQY32" s="47"/>
      <c r="AQZ32" s="47"/>
      <c r="ARA32" s="47"/>
      <c r="ARB32" s="47"/>
      <c r="ARC32" s="47"/>
      <c r="ARD32" s="47"/>
      <c r="ARE32" s="47"/>
      <c r="ARF32" s="47"/>
      <c r="ARG32" s="47"/>
      <c r="ARH32" s="47"/>
      <c r="ARI32" s="47"/>
      <c r="ARJ32" s="47"/>
      <c r="ARK32" s="47"/>
      <c r="ARL32" s="47"/>
      <c r="ARM32" s="47"/>
      <c r="ARN32" s="47"/>
      <c r="ARO32" s="47"/>
      <c r="ARP32" s="47"/>
      <c r="ARQ32" s="47"/>
      <c r="ARR32" s="47"/>
      <c r="ARS32" s="47"/>
      <c r="ART32" s="47"/>
      <c r="ARU32" s="47"/>
      <c r="ARV32" s="47"/>
      <c r="ARW32" s="47"/>
      <c r="ARX32" s="47"/>
      <c r="ARY32" s="47"/>
      <c r="ARZ32" s="47"/>
      <c r="ASA32" s="47"/>
      <c r="ASB32" s="47"/>
      <c r="ASC32" s="47"/>
      <c r="ASD32" s="47"/>
      <c r="ASE32" s="47"/>
      <c r="ASF32" s="47"/>
      <c r="ASG32" s="47"/>
      <c r="ASH32" s="47"/>
      <c r="ASI32" s="47"/>
      <c r="ASJ32" s="47"/>
      <c r="ASK32" s="47"/>
      <c r="ASL32" s="47"/>
      <c r="ASM32" s="47"/>
      <c r="ASN32" s="47"/>
      <c r="ASO32" s="47"/>
      <c r="ASP32" s="47"/>
      <c r="ASQ32" s="47"/>
      <c r="ASR32" s="47"/>
      <c r="ASS32" s="47"/>
      <c r="AST32" s="47"/>
      <c r="ASU32" s="47"/>
      <c r="ASV32" s="47"/>
      <c r="ASW32" s="47"/>
      <c r="ASX32" s="47"/>
      <c r="ASY32" s="47"/>
      <c r="ASZ32" s="47"/>
      <c r="ATA32" s="47"/>
      <c r="ATB32" s="47"/>
      <c r="ATC32" s="47"/>
      <c r="ATD32" s="47"/>
      <c r="ATE32" s="47"/>
      <c r="ATF32" s="47"/>
      <c r="ATG32" s="47"/>
      <c r="ATH32" s="47"/>
      <c r="ATI32" s="47"/>
      <c r="ATJ32" s="47"/>
      <c r="ATK32" s="47"/>
      <c r="ATL32" s="47"/>
      <c r="ATM32" s="47"/>
      <c r="ATN32" s="47"/>
      <c r="ATO32" s="47"/>
      <c r="ATP32" s="47"/>
      <c r="ATQ32" s="47"/>
      <c r="ATR32" s="47"/>
      <c r="ATS32" s="47"/>
      <c r="ATT32" s="47"/>
      <c r="ATU32" s="47"/>
      <c r="ATV32" s="47"/>
      <c r="ATW32" s="47"/>
      <c r="ATX32" s="47"/>
      <c r="ATY32" s="47"/>
      <c r="ATZ32" s="47"/>
      <c r="AUA32" s="47"/>
      <c r="AUB32" s="47"/>
      <c r="AUC32" s="47"/>
      <c r="AUD32" s="47"/>
      <c r="AUE32" s="47"/>
      <c r="AUF32" s="47"/>
      <c r="AUG32" s="47"/>
      <c r="AUH32" s="47"/>
      <c r="AUI32" s="47"/>
      <c r="AUJ32" s="47"/>
      <c r="AUK32" s="47"/>
      <c r="AUL32" s="47"/>
      <c r="AUM32" s="47"/>
      <c r="AUN32" s="47"/>
      <c r="AUO32" s="47"/>
      <c r="AUP32" s="47"/>
      <c r="AUQ32" s="47"/>
      <c r="AUR32" s="47"/>
      <c r="AUS32" s="47"/>
      <c r="AUT32" s="47"/>
      <c r="AUU32" s="47"/>
      <c r="AUV32" s="47"/>
      <c r="AUW32" s="47"/>
      <c r="AUX32" s="47"/>
      <c r="AUY32" s="47"/>
      <c r="AUZ32" s="47"/>
      <c r="AVA32" s="47"/>
      <c r="AVB32" s="47"/>
      <c r="AVC32" s="47"/>
      <c r="AVD32" s="47"/>
      <c r="AVE32" s="47"/>
      <c r="AVF32" s="47"/>
      <c r="AVG32" s="47"/>
      <c r="AVH32" s="47"/>
      <c r="AVI32" s="47"/>
      <c r="AVJ32" s="47"/>
      <c r="AVK32" s="47"/>
      <c r="AVL32" s="47"/>
      <c r="AVM32" s="47"/>
      <c r="AVN32" s="47"/>
      <c r="AVO32" s="47"/>
      <c r="AVP32" s="47"/>
      <c r="AVQ32" s="47"/>
      <c r="AVR32" s="47"/>
      <c r="AVS32" s="47"/>
      <c r="AVT32" s="47"/>
      <c r="AVU32" s="47"/>
      <c r="AVV32" s="47"/>
      <c r="AVW32" s="47"/>
      <c r="AVX32" s="47"/>
      <c r="AVY32" s="47"/>
      <c r="AVZ32" s="47"/>
      <c r="AWA32" s="47"/>
      <c r="AWB32" s="47"/>
      <c r="AWC32" s="47"/>
      <c r="AWD32" s="47"/>
      <c r="AWE32" s="47"/>
      <c r="AWF32" s="47"/>
      <c r="AWG32" s="47"/>
      <c r="AWH32" s="47"/>
      <c r="AWI32" s="47"/>
      <c r="AWJ32" s="47"/>
      <c r="AWK32" s="47"/>
      <c r="AWL32" s="47"/>
      <c r="AWM32" s="47"/>
      <c r="AWN32" s="47"/>
      <c r="AWO32" s="47"/>
      <c r="AWP32" s="47"/>
      <c r="AWQ32" s="47"/>
      <c r="AWR32" s="47"/>
      <c r="AWS32" s="47"/>
      <c r="AWT32" s="47"/>
      <c r="AWU32" s="47"/>
      <c r="AWV32" s="47"/>
      <c r="AWW32" s="47"/>
      <c r="AWX32" s="47"/>
      <c r="AWY32" s="47"/>
      <c r="AWZ32" s="47"/>
      <c r="AXA32" s="47"/>
      <c r="AXB32" s="47"/>
      <c r="AXC32" s="47"/>
      <c r="AXD32" s="47"/>
      <c r="AXE32" s="47"/>
      <c r="AXF32" s="47"/>
      <c r="AXG32" s="47"/>
      <c r="AXH32" s="47"/>
      <c r="AXI32" s="47"/>
      <c r="AXJ32" s="47"/>
      <c r="AXK32" s="47"/>
      <c r="AXL32" s="47"/>
      <c r="AXM32" s="47"/>
      <c r="AXN32" s="47"/>
      <c r="AXO32" s="47"/>
      <c r="AXP32" s="47"/>
      <c r="AXQ32" s="47"/>
      <c r="AXR32" s="47"/>
      <c r="AXS32" s="47"/>
      <c r="AXT32" s="47"/>
      <c r="AXU32" s="47"/>
      <c r="AXV32" s="47"/>
      <c r="AXW32" s="47"/>
      <c r="AXX32" s="47"/>
      <c r="AXY32" s="47"/>
      <c r="AXZ32" s="47"/>
      <c r="AYA32" s="47"/>
      <c r="AYB32" s="47"/>
      <c r="AYC32" s="47"/>
      <c r="AYD32" s="47"/>
      <c r="AYE32" s="47"/>
      <c r="AYF32" s="47"/>
      <c r="AYG32" s="47"/>
      <c r="AYH32" s="47"/>
      <c r="AYI32" s="47"/>
      <c r="AYJ32" s="47"/>
      <c r="AYK32" s="47"/>
      <c r="AYL32" s="47"/>
      <c r="AYM32" s="47"/>
      <c r="AYN32" s="47"/>
      <c r="AYO32" s="47"/>
      <c r="AYP32" s="47"/>
      <c r="AYQ32" s="47"/>
      <c r="AYR32" s="47"/>
      <c r="AYS32" s="47"/>
      <c r="AYT32" s="47"/>
      <c r="AYU32" s="47"/>
      <c r="AYV32" s="47"/>
      <c r="AYW32" s="47"/>
      <c r="AYX32" s="47"/>
      <c r="AYY32" s="47"/>
      <c r="AYZ32" s="47"/>
      <c r="AZA32" s="47"/>
      <c r="AZB32" s="47"/>
      <c r="AZC32" s="47"/>
      <c r="AZD32" s="47"/>
      <c r="AZE32" s="47"/>
      <c r="AZF32" s="47"/>
      <c r="AZG32" s="47"/>
      <c r="AZH32" s="47"/>
      <c r="AZI32" s="47"/>
      <c r="AZJ32" s="47"/>
      <c r="AZK32" s="47"/>
      <c r="AZL32" s="47"/>
      <c r="AZM32" s="47"/>
      <c r="AZN32" s="47"/>
      <c r="AZO32" s="47"/>
      <c r="AZP32" s="47"/>
      <c r="AZQ32" s="47"/>
      <c r="AZR32" s="47"/>
      <c r="AZS32" s="47"/>
      <c r="AZT32" s="47"/>
      <c r="AZU32" s="47"/>
      <c r="AZV32" s="47"/>
      <c r="AZW32" s="47"/>
      <c r="AZX32" s="47"/>
      <c r="AZY32" s="47"/>
      <c r="AZZ32" s="47"/>
      <c r="BAA32" s="47"/>
      <c r="BAB32" s="47"/>
      <c r="BAC32" s="47"/>
      <c r="BAD32" s="47"/>
      <c r="BAE32" s="47"/>
      <c r="BAF32" s="47"/>
      <c r="BAG32" s="47"/>
      <c r="BAH32" s="47"/>
      <c r="BAI32" s="47"/>
      <c r="BAJ32" s="47"/>
      <c r="BAK32" s="47"/>
      <c r="BAL32" s="47"/>
      <c r="BAM32" s="47"/>
      <c r="BAN32" s="47"/>
      <c r="BAO32" s="47"/>
      <c r="BAP32" s="47"/>
      <c r="BAQ32" s="47"/>
      <c r="BAR32" s="47"/>
      <c r="BAS32" s="47"/>
      <c r="BAT32" s="47"/>
      <c r="BAU32" s="47"/>
      <c r="BAV32" s="47"/>
      <c r="BAW32" s="47"/>
      <c r="BAX32" s="47"/>
      <c r="BAY32" s="47"/>
      <c r="BAZ32" s="47"/>
      <c r="BBA32" s="47"/>
      <c r="BBB32" s="47"/>
      <c r="BBC32" s="47"/>
      <c r="BBD32" s="47"/>
      <c r="BBE32" s="47"/>
      <c r="BBF32" s="47"/>
      <c r="BBG32" s="47"/>
      <c r="BBH32" s="47"/>
      <c r="BBI32" s="47"/>
      <c r="BBJ32" s="47"/>
      <c r="BBK32" s="47"/>
      <c r="BBL32" s="47"/>
      <c r="BBM32" s="47"/>
      <c r="BBN32" s="47"/>
      <c r="BBO32" s="47"/>
      <c r="BBP32" s="47"/>
      <c r="BBQ32" s="47"/>
      <c r="BBR32" s="47"/>
      <c r="BBS32" s="47"/>
      <c r="BBT32" s="47"/>
      <c r="BBU32" s="47"/>
      <c r="BBV32" s="47"/>
      <c r="BBW32" s="47"/>
      <c r="BBX32" s="47"/>
      <c r="BBY32" s="47"/>
      <c r="BBZ32" s="47"/>
      <c r="BCA32" s="47"/>
      <c r="BCB32" s="47"/>
      <c r="BCC32" s="47"/>
      <c r="BCD32" s="47"/>
      <c r="BCE32" s="47"/>
      <c r="BCF32" s="47"/>
      <c r="BCG32" s="47"/>
      <c r="BCH32" s="47"/>
      <c r="BCI32" s="47"/>
      <c r="BCJ32" s="47"/>
      <c r="BCK32" s="47"/>
      <c r="BCL32" s="47"/>
      <c r="BCM32" s="47"/>
      <c r="BCN32" s="47"/>
      <c r="BCO32" s="47"/>
      <c r="BCP32" s="47"/>
      <c r="BCQ32" s="47"/>
      <c r="BCR32" s="47"/>
      <c r="BCS32" s="47"/>
      <c r="BCT32" s="47"/>
      <c r="BCU32" s="47"/>
      <c r="BCV32" s="47"/>
      <c r="BCW32" s="47"/>
      <c r="BCX32" s="47"/>
      <c r="BCY32" s="47"/>
      <c r="BCZ32" s="47"/>
      <c r="BDA32" s="47"/>
      <c r="BDB32" s="47"/>
      <c r="BDC32" s="47"/>
      <c r="BDD32" s="47"/>
      <c r="BDE32" s="47"/>
      <c r="BDF32" s="47"/>
      <c r="BDG32" s="47"/>
      <c r="BDH32" s="47"/>
      <c r="BDI32" s="47"/>
      <c r="BDJ32" s="47"/>
      <c r="BDK32" s="47"/>
      <c r="BDL32" s="47"/>
      <c r="BDM32" s="47"/>
      <c r="BDN32" s="47"/>
      <c r="BDO32" s="47"/>
      <c r="BDP32" s="47"/>
      <c r="BDQ32" s="47"/>
      <c r="BDR32" s="47"/>
      <c r="BDS32" s="47"/>
      <c r="BDT32" s="47"/>
      <c r="BDU32" s="47"/>
      <c r="BDV32" s="47"/>
      <c r="BDW32" s="47"/>
      <c r="BDX32" s="47"/>
      <c r="BDY32" s="47"/>
      <c r="BDZ32" s="47"/>
      <c r="BEA32" s="47"/>
      <c r="BEB32" s="47"/>
      <c r="BEC32" s="47"/>
      <c r="BED32" s="47"/>
      <c r="BEE32" s="47"/>
      <c r="BEF32" s="47"/>
      <c r="BEG32" s="47"/>
      <c r="BEH32" s="47"/>
      <c r="BEI32" s="47"/>
      <c r="BEJ32" s="47"/>
      <c r="BEK32" s="47"/>
      <c r="BEL32" s="47"/>
      <c r="BEM32" s="47"/>
      <c r="BEN32" s="47"/>
      <c r="BEO32" s="47"/>
      <c r="BEP32" s="47"/>
      <c r="BEQ32" s="47"/>
      <c r="BER32" s="47"/>
      <c r="BES32" s="47"/>
      <c r="BET32" s="47"/>
      <c r="BEU32" s="47"/>
      <c r="BEV32" s="47"/>
      <c r="BEW32" s="47"/>
      <c r="BEX32" s="47"/>
      <c r="BEY32" s="47"/>
      <c r="BEZ32" s="47"/>
      <c r="BFA32" s="47"/>
      <c r="BFB32" s="47"/>
      <c r="BFC32" s="47"/>
      <c r="BFD32" s="47"/>
      <c r="BFE32" s="47"/>
      <c r="BFF32" s="47"/>
      <c r="BFG32" s="47"/>
      <c r="BFH32" s="47"/>
      <c r="BFI32" s="47"/>
      <c r="BFJ32" s="47"/>
      <c r="BFK32" s="47"/>
      <c r="BFL32" s="47"/>
      <c r="BFM32" s="47"/>
      <c r="BFN32" s="47"/>
      <c r="BFO32" s="47"/>
      <c r="BFP32" s="47"/>
      <c r="BFQ32" s="47"/>
      <c r="BFR32" s="47"/>
      <c r="BFS32" s="47"/>
      <c r="BFT32" s="47"/>
      <c r="BFU32" s="47"/>
      <c r="BFV32" s="47"/>
      <c r="BFW32" s="47"/>
      <c r="BFX32" s="47"/>
      <c r="BFY32" s="47"/>
      <c r="BFZ32" s="47"/>
      <c r="BGA32" s="47"/>
      <c r="BGB32" s="47"/>
      <c r="BGC32" s="47"/>
      <c r="BGD32" s="47"/>
      <c r="BGE32" s="47"/>
      <c r="BGF32" s="47"/>
      <c r="BGG32" s="47"/>
      <c r="BGH32" s="47"/>
      <c r="BGI32" s="47"/>
      <c r="BGJ32" s="47"/>
      <c r="BGK32" s="47"/>
      <c r="BGL32" s="47"/>
      <c r="BGM32" s="47"/>
      <c r="BGN32" s="47"/>
      <c r="BGO32" s="47"/>
      <c r="BGP32" s="47"/>
      <c r="BGQ32" s="47"/>
      <c r="BGR32" s="47"/>
      <c r="BGS32" s="47"/>
      <c r="BGT32" s="47"/>
      <c r="BGU32" s="47"/>
      <c r="BGV32" s="47"/>
      <c r="BGW32" s="47"/>
      <c r="BGX32" s="47"/>
      <c r="BGY32" s="47"/>
      <c r="BGZ32" s="47"/>
      <c r="BHA32" s="47"/>
      <c r="BHB32" s="47"/>
      <c r="BHC32" s="47"/>
      <c r="BHD32" s="47"/>
      <c r="BHE32" s="47"/>
      <c r="BHF32" s="47"/>
      <c r="BHG32" s="47"/>
      <c r="BHH32" s="47"/>
      <c r="BHI32" s="47"/>
      <c r="BHJ32" s="47"/>
      <c r="BHK32" s="47"/>
      <c r="BHL32" s="47"/>
      <c r="BHM32" s="47"/>
      <c r="BHN32" s="47"/>
      <c r="BHO32" s="47"/>
      <c r="BHP32" s="47"/>
      <c r="BHQ32" s="47"/>
      <c r="BHR32" s="47"/>
      <c r="BHS32" s="47"/>
      <c r="BHT32" s="47"/>
      <c r="BHU32" s="47"/>
      <c r="BHV32" s="47"/>
      <c r="BHW32" s="47"/>
      <c r="BHX32" s="47"/>
      <c r="BHY32" s="47"/>
      <c r="BHZ32" s="47"/>
      <c r="BIA32" s="47"/>
      <c r="BIB32" s="47"/>
      <c r="BIC32" s="47"/>
      <c r="BID32" s="47"/>
      <c r="BIE32" s="47"/>
      <c r="BIF32" s="47"/>
      <c r="BIG32" s="47"/>
      <c r="BIH32" s="47"/>
      <c r="BII32" s="47"/>
      <c r="BIJ32" s="47"/>
      <c r="BIK32" s="47"/>
      <c r="BIL32" s="47"/>
      <c r="BIM32" s="47"/>
      <c r="BIN32" s="47"/>
      <c r="BIO32" s="47"/>
      <c r="BIP32" s="47"/>
      <c r="BIQ32" s="47"/>
      <c r="BIR32" s="47"/>
      <c r="BIS32" s="47"/>
      <c r="BIT32" s="47"/>
      <c r="BIU32" s="47"/>
      <c r="BIV32" s="47"/>
      <c r="BIW32" s="47"/>
      <c r="BIX32" s="47"/>
      <c r="BIY32" s="47"/>
      <c r="BIZ32" s="47"/>
      <c r="BJA32" s="47"/>
      <c r="BJB32" s="47"/>
      <c r="BJC32" s="47"/>
      <c r="BJD32" s="47"/>
      <c r="BJE32" s="47"/>
      <c r="BJF32" s="47"/>
      <c r="BJG32" s="47"/>
      <c r="BJH32" s="47"/>
      <c r="BJI32" s="47"/>
      <c r="BJJ32" s="47"/>
      <c r="BJK32" s="47"/>
      <c r="BJL32" s="47"/>
      <c r="BJM32" s="47"/>
      <c r="BJN32" s="47"/>
      <c r="BJO32" s="47"/>
      <c r="BJP32" s="47"/>
      <c r="BJQ32" s="47"/>
      <c r="BJR32" s="47"/>
      <c r="BJS32" s="47"/>
      <c r="BJT32" s="47"/>
      <c r="BJU32" s="47"/>
      <c r="BJV32" s="47"/>
      <c r="BJW32" s="47"/>
      <c r="BJX32" s="47"/>
      <c r="BJY32" s="47"/>
      <c r="BJZ32" s="47"/>
      <c r="BKA32" s="47"/>
      <c r="BKB32" s="47"/>
      <c r="BKC32" s="47"/>
      <c r="BKD32" s="47"/>
      <c r="BKE32" s="47"/>
      <c r="BKF32" s="47"/>
      <c r="BKG32" s="47"/>
      <c r="BKH32" s="47"/>
      <c r="BKI32" s="47"/>
      <c r="BKJ32" s="47"/>
      <c r="BKK32" s="47"/>
      <c r="BKL32" s="47"/>
      <c r="BKM32" s="47"/>
      <c r="BKN32" s="47"/>
      <c r="BKO32" s="47"/>
      <c r="BKP32" s="47"/>
      <c r="BKQ32" s="47"/>
      <c r="BKR32" s="47"/>
      <c r="BKS32" s="47"/>
      <c r="BKT32" s="47"/>
      <c r="BKU32" s="47"/>
      <c r="BKV32" s="47"/>
      <c r="BKW32" s="47"/>
      <c r="BKX32" s="47"/>
      <c r="BKY32" s="47"/>
      <c r="BKZ32" s="47"/>
      <c r="BLA32" s="47"/>
      <c r="BLB32" s="47"/>
      <c r="BLC32" s="47"/>
      <c r="BLD32" s="47"/>
      <c r="BLE32" s="47"/>
      <c r="BLF32" s="47"/>
      <c r="BLG32" s="47"/>
      <c r="BLH32" s="47"/>
      <c r="BLI32" s="47"/>
      <c r="BLJ32" s="47"/>
      <c r="BLK32" s="47"/>
      <c r="BLL32" s="47"/>
      <c r="BLM32" s="47"/>
      <c r="BLN32" s="47"/>
      <c r="BLO32" s="47"/>
      <c r="BLP32" s="47"/>
      <c r="BLQ32" s="47"/>
      <c r="BLR32" s="47"/>
      <c r="BLS32" s="47"/>
      <c r="BLT32" s="47"/>
      <c r="BLU32" s="47"/>
      <c r="BLV32" s="47"/>
      <c r="BLW32" s="47"/>
      <c r="BLX32" s="47"/>
      <c r="BLY32" s="47"/>
      <c r="BLZ32" s="47"/>
      <c r="BMA32" s="47"/>
      <c r="BMB32" s="47"/>
      <c r="BMC32" s="47"/>
      <c r="BMD32" s="47"/>
      <c r="BME32" s="47"/>
      <c r="BMF32" s="47"/>
      <c r="BMG32" s="47"/>
      <c r="BMH32" s="47"/>
      <c r="BMI32" s="47"/>
      <c r="BMJ32" s="47"/>
      <c r="BMK32" s="47"/>
      <c r="BML32" s="47"/>
      <c r="BMM32" s="47"/>
      <c r="BMN32" s="47"/>
      <c r="BMO32" s="47"/>
      <c r="BMP32" s="47"/>
      <c r="BMQ32" s="47"/>
      <c r="BMR32" s="47"/>
      <c r="BMS32" s="47"/>
      <c r="BMT32" s="47"/>
      <c r="BMU32" s="47"/>
      <c r="BMV32" s="47"/>
      <c r="BMW32" s="47"/>
      <c r="BMX32" s="47"/>
      <c r="BMY32" s="47"/>
      <c r="BMZ32" s="47"/>
      <c r="BNA32" s="47"/>
      <c r="BNB32" s="47"/>
      <c r="BNC32" s="47"/>
      <c r="BND32" s="47"/>
      <c r="BNE32" s="47"/>
      <c r="BNF32" s="47"/>
      <c r="BNG32" s="47"/>
      <c r="BNH32" s="47"/>
      <c r="BNI32" s="47"/>
      <c r="BNJ32" s="47"/>
      <c r="BNK32" s="47"/>
      <c r="BNL32" s="47"/>
      <c r="BNM32" s="47"/>
      <c r="BNN32" s="47"/>
      <c r="BNO32" s="47"/>
      <c r="BNP32" s="47"/>
      <c r="BNQ32" s="47"/>
      <c r="BNR32" s="47"/>
      <c r="BNS32" s="47"/>
      <c r="BNT32" s="47"/>
      <c r="BNU32" s="47"/>
      <c r="BNV32" s="47"/>
      <c r="BNW32" s="47"/>
      <c r="BNX32" s="47"/>
      <c r="BNY32" s="47"/>
      <c r="BNZ32" s="47"/>
      <c r="BOA32" s="47"/>
      <c r="BOB32" s="47"/>
      <c r="BOC32" s="47"/>
      <c r="BOD32" s="47"/>
      <c r="BOE32" s="47"/>
      <c r="BOF32" s="47"/>
      <c r="BOG32" s="47"/>
      <c r="BOH32" s="47"/>
      <c r="BOI32" s="47"/>
      <c r="BOJ32" s="47"/>
      <c r="BOK32" s="47"/>
      <c r="BOL32" s="47"/>
      <c r="BOM32" s="47"/>
      <c r="BON32" s="47"/>
      <c r="BOO32" s="47"/>
      <c r="BOP32" s="47"/>
      <c r="BOQ32" s="47"/>
      <c r="BOR32" s="47"/>
      <c r="BOS32" s="47"/>
      <c r="BOT32" s="47"/>
      <c r="BOU32" s="47"/>
      <c r="BOV32" s="47"/>
      <c r="BOW32" s="47"/>
      <c r="BOX32" s="47"/>
      <c r="BOY32" s="47"/>
      <c r="BOZ32" s="47"/>
      <c r="BPA32" s="47"/>
      <c r="BPB32" s="47"/>
      <c r="BPC32" s="47"/>
      <c r="BPD32" s="47"/>
      <c r="BPE32" s="47"/>
      <c r="BPF32" s="47"/>
      <c r="BPG32" s="47"/>
      <c r="BPH32" s="47"/>
      <c r="BPI32" s="47"/>
      <c r="BPJ32" s="47"/>
      <c r="BPK32" s="47"/>
      <c r="BPL32" s="47"/>
      <c r="BPM32" s="47"/>
      <c r="BPN32" s="47"/>
      <c r="BPO32" s="47"/>
      <c r="BPP32" s="47"/>
      <c r="BPQ32" s="47"/>
      <c r="BPR32" s="47"/>
      <c r="BPS32" s="47"/>
      <c r="BPT32" s="47"/>
      <c r="BPU32" s="47"/>
      <c r="BPV32" s="47"/>
      <c r="BPW32" s="47"/>
      <c r="BPX32" s="47"/>
      <c r="BPY32" s="47"/>
      <c r="BPZ32" s="47"/>
      <c r="BQA32" s="47"/>
      <c r="BQB32" s="47"/>
      <c r="BQC32" s="47"/>
      <c r="BQD32" s="47"/>
      <c r="BQE32" s="47"/>
      <c r="BQF32" s="47"/>
      <c r="BQG32" s="47"/>
      <c r="BQH32" s="47"/>
      <c r="BQI32" s="47"/>
      <c r="BQJ32" s="47"/>
      <c r="BQK32" s="47"/>
      <c r="BQL32" s="47"/>
      <c r="BQM32" s="47"/>
      <c r="BQN32" s="47"/>
      <c r="BQO32" s="47"/>
      <c r="BQP32" s="47"/>
      <c r="BQQ32" s="47"/>
      <c r="BQR32" s="47"/>
      <c r="BQS32" s="47"/>
      <c r="BQT32" s="47"/>
      <c r="BQU32" s="47"/>
      <c r="BQV32" s="47"/>
      <c r="BQW32" s="47"/>
      <c r="BQX32" s="47"/>
      <c r="BQY32" s="47"/>
      <c r="BQZ32" s="47"/>
      <c r="BRA32" s="47"/>
      <c r="BRB32" s="47"/>
      <c r="BRC32" s="47"/>
      <c r="BRD32" s="47"/>
      <c r="BRE32" s="47"/>
      <c r="BRF32" s="47"/>
      <c r="BRG32" s="47"/>
      <c r="BRH32" s="47"/>
      <c r="BRI32" s="47"/>
      <c r="BRJ32" s="47"/>
      <c r="BRK32" s="47"/>
      <c r="BRL32" s="47"/>
      <c r="BRM32" s="47"/>
      <c r="BRN32" s="47"/>
      <c r="BRO32" s="47"/>
      <c r="BRP32" s="47"/>
      <c r="BRQ32" s="47"/>
      <c r="BRR32" s="47"/>
      <c r="BRS32" s="47"/>
      <c r="BRT32" s="47"/>
      <c r="BRU32" s="47"/>
      <c r="BRV32" s="47"/>
      <c r="BRW32" s="47"/>
      <c r="BRX32" s="47"/>
      <c r="BRY32" s="47"/>
      <c r="BRZ32" s="47"/>
      <c r="BSA32" s="47"/>
      <c r="BSB32" s="47"/>
      <c r="BSC32" s="47"/>
      <c r="BSD32" s="47"/>
      <c r="BSE32" s="47"/>
      <c r="BSF32" s="47"/>
      <c r="BSG32" s="47"/>
      <c r="BSH32" s="47"/>
      <c r="BSI32" s="47"/>
      <c r="BSJ32" s="47"/>
      <c r="BSK32" s="47"/>
      <c r="BSL32" s="47"/>
      <c r="BSM32" s="47"/>
      <c r="BSN32" s="47"/>
      <c r="BSO32" s="47"/>
      <c r="BSP32" s="47"/>
      <c r="BSQ32" s="47"/>
      <c r="BSR32" s="47"/>
      <c r="BSS32" s="47"/>
      <c r="BST32" s="47"/>
      <c r="BSU32" s="47"/>
      <c r="BSV32" s="47"/>
      <c r="BSW32" s="47"/>
      <c r="BSX32" s="47"/>
      <c r="BSY32" s="47"/>
      <c r="BSZ32" s="47"/>
      <c r="BTA32" s="47"/>
      <c r="BTB32" s="47"/>
      <c r="BTC32" s="47"/>
      <c r="BTD32" s="47"/>
      <c r="BTE32" s="47"/>
      <c r="BTF32" s="47"/>
      <c r="BTG32" s="47"/>
      <c r="BTH32" s="47"/>
      <c r="BTI32" s="47"/>
      <c r="BTJ32" s="47"/>
      <c r="BTK32" s="47"/>
      <c r="BTL32" s="47"/>
      <c r="BTM32" s="47"/>
      <c r="BTN32" s="47"/>
      <c r="BTO32" s="47"/>
      <c r="BTP32" s="47"/>
      <c r="BTQ32" s="47"/>
      <c r="BTR32" s="47"/>
      <c r="BTS32" s="47"/>
      <c r="BTT32" s="47"/>
      <c r="BTU32" s="47"/>
      <c r="BTV32" s="47"/>
      <c r="BTW32" s="47"/>
      <c r="BTX32" s="47"/>
      <c r="BTY32" s="47"/>
      <c r="BTZ32" s="47"/>
      <c r="BUA32" s="47"/>
      <c r="BUB32" s="47"/>
      <c r="BUC32" s="47"/>
      <c r="BUD32" s="47"/>
      <c r="BUE32" s="47"/>
      <c r="BUF32" s="47"/>
      <c r="BUG32" s="47"/>
      <c r="BUH32" s="47"/>
      <c r="BUI32" s="47"/>
      <c r="BUJ32" s="47"/>
      <c r="BUK32" s="47"/>
      <c r="BUL32" s="47"/>
      <c r="BUM32" s="47"/>
      <c r="BUN32" s="47"/>
      <c r="BUO32" s="47"/>
      <c r="BUP32" s="47"/>
      <c r="BUQ32" s="47"/>
      <c r="BUR32" s="47"/>
      <c r="BUS32" s="47"/>
      <c r="BUT32" s="47"/>
      <c r="BUU32" s="47"/>
      <c r="BUV32" s="47"/>
      <c r="BUW32" s="47"/>
      <c r="BUX32" s="47"/>
      <c r="BUY32" s="47"/>
      <c r="BUZ32" s="47"/>
      <c r="BVA32" s="47"/>
      <c r="BVB32" s="47"/>
      <c r="BVC32" s="47"/>
      <c r="BVD32" s="47"/>
      <c r="BVE32" s="47"/>
      <c r="BVF32" s="47"/>
      <c r="BVG32" s="47"/>
      <c r="BVH32" s="47"/>
      <c r="BVI32" s="47"/>
      <c r="BVJ32" s="47"/>
      <c r="BVK32" s="47"/>
      <c r="BVL32" s="47"/>
      <c r="BVM32" s="47"/>
      <c r="BVN32" s="47"/>
      <c r="BVO32" s="47"/>
      <c r="BVP32" s="47"/>
      <c r="BVQ32" s="47"/>
      <c r="BVR32" s="47"/>
      <c r="BVS32" s="47"/>
      <c r="BVT32" s="47"/>
      <c r="BVU32" s="47"/>
      <c r="BVV32" s="47"/>
      <c r="BVW32" s="47"/>
      <c r="BVX32" s="47"/>
      <c r="BVY32" s="47"/>
      <c r="BVZ32" s="47"/>
      <c r="BWA32" s="47"/>
      <c r="BWB32" s="47"/>
      <c r="BWC32" s="47"/>
      <c r="BWD32" s="47"/>
      <c r="BWE32" s="47"/>
      <c r="BWF32" s="47"/>
      <c r="BWG32" s="47"/>
      <c r="BWH32" s="47"/>
      <c r="BWI32" s="47"/>
      <c r="BWJ32" s="47"/>
      <c r="BWK32" s="47"/>
      <c r="BWL32" s="47"/>
      <c r="BWM32" s="47"/>
      <c r="BWN32" s="47"/>
      <c r="BWO32" s="47"/>
      <c r="BWP32" s="47"/>
      <c r="BWQ32" s="47"/>
      <c r="BWR32" s="47"/>
      <c r="BWS32" s="47"/>
      <c r="BWT32" s="47"/>
      <c r="BWU32" s="47"/>
      <c r="BWV32" s="47"/>
      <c r="BWW32" s="47"/>
      <c r="BWX32" s="47"/>
      <c r="BWY32" s="47"/>
      <c r="BWZ32" s="47"/>
      <c r="BXA32" s="47"/>
      <c r="BXB32" s="47"/>
      <c r="BXC32" s="47"/>
      <c r="BXD32" s="47"/>
      <c r="BXE32" s="47"/>
      <c r="BXF32" s="47"/>
      <c r="BXG32" s="47"/>
      <c r="BXH32" s="47"/>
      <c r="BXI32" s="47"/>
      <c r="BXJ32" s="47"/>
      <c r="BXK32" s="47"/>
      <c r="BXL32" s="47"/>
      <c r="BXM32" s="47"/>
      <c r="BXN32" s="47"/>
      <c r="BXO32" s="47"/>
      <c r="BXP32" s="47"/>
      <c r="BXQ32" s="47"/>
      <c r="BXR32" s="47"/>
      <c r="BXS32" s="47"/>
      <c r="BXT32" s="47"/>
      <c r="BXU32" s="47"/>
      <c r="BXV32" s="47"/>
      <c r="BXW32" s="47"/>
      <c r="BXX32" s="47"/>
      <c r="BXY32" s="47"/>
      <c r="BXZ32" s="47"/>
      <c r="BYA32" s="47"/>
      <c r="BYB32" s="47"/>
      <c r="BYC32" s="47"/>
      <c r="BYD32" s="47"/>
      <c r="BYE32" s="47"/>
      <c r="BYF32" s="47"/>
      <c r="BYG32" s="47"/>
      <c r="BYH32" s="47"/>
      <c r="BYI32" s="47"/>
      <c r="BYJ32" s="47"/>
      <c r="BYK32" s="47"/>
      <c r="BYL32" s="47"/>
      <c r="BYM32" s="47"/>
      <c r="BYN32" s="47"/>
      <c r="BYO32" s="47"/>
      <c r="BYP32" s="47"/>
      <c r="BYQ32" s="47"/>
      <c r="BYR32" s="47"/>
      <c r="BYS32" s="47"/>
      <c r="BYT32" s="47"/>
      <c r="BYU32" s="47"/>
      <c r="BYV32" s="47"/>
      <c r="BYW32" s="47"/>
      <c r="BYX32" s="47"/>
      <c r="BYY32" s="47"/>
      <c r="BYZ32" s="47"/>
      <c r="BZA32" s="47"/>
      <c r="BZB32" s="47"/>
      <c r="BZC32" s="47"/>
      <c r="BZD32" s="47"/>
      <c r="BZE32" s="47"/>
      <c r="BZF32" s="47"/>
      <c r="BZG32" s="47"/>
      <c r="BZH32" s="47"/>
      <c r="BZI32" s="47"/>
      <c r="BZJ32" s="47"/>
      <c r="BZK32" s="47"/>
      <c r="BZL32" s="47"/>
      <c r="BZM32" s="47"/>
      <c r="BZN32" s="47"/>
      <c r="BZO32" s="47"/>
      <c r="BZP32" s="47"/>
      <c r="BZQ32" s="47"/>
      <c r="BZR32" s="47"/>
      <c r="BZS32" s="47"/>
      <c r="BZT32" s="47"/>
      <c r="BZU32" s="47"/>
      <c r="BZV32" s="47"/>
      <c r="BZW32" s="47"/>
      <c r="BZX32" s="47"/>
      <c r="BZY32" s="47"/>
      <c r="BZZ32" s="47"/>
      <c r="CAA32" s="47"/>
      <c r="CAB32" s="47"/>
      <c r="CAC32" s="47"/>
      <c r="CAD32" s="47"/>
      <c r="CAE32" s="47"/>
      <c r="CAF32" s="47"/>
      <c r="CAG32" s="47"/>
      <c r="CAH32" s="47"/>
      <c r="CAI32" s="47"/>
      <c r="CAJ32" s="47"/>
      <c r="CAK32" s="47"/>
      <c r="CAL32" s="47"/>
      <c r="CAM32" s="47"/>
      <c r="CAN32" s="47"/>
      <c r="CAO32" s="47"/>
      <c r="CAP32" s="47"/>
      <c r="CAQ32" s="47"/>
      <c r="CAR32" s="47"/>
      <c r="CAS32" s="47"/>
      <c r="CAT32" s="47"/>
      <c r="CAU32" s="47"/>
      <c r="CAV32" s="47"/>
      <c r="CAW32" s="47"/>
      <c r="CAX32" s="47"/>
      <c r="CAY32" s="47"/>
      <c r="CAZ32" s="47"/>
      <c r="CBA32" s="47"/>
      <c r="CBB32" s="47"/>
      <c r="CBC32" s="47"/>
      <c r="CBD32" s="47"/>
      <c r="CBE32" s="47"/>
      <c r="CBF32" s="47"/>
      <c r="CBG32" s="47"/>
      <c r="CBH32" s="47"/>
      <c r="CBI32" s="47"/>
      <c r="CBJ32" s="47"/>
      <c r="CBK32" s="47"/>
      <c r="CBL32" s="47"/>
      <c r="CBM32" s="47"/>
      <c r="CBN32" s="47"/>
      <c r="CBO32" s="47"/>
      <c r="CBP32" s="47"/>
      <c r="CBQ32" s="47"/>
      <c r="CBR32" s="47"/>
      <c r="CBS32" s="47"/>
      <c r="CBT32" s="47"/>
      <c r="CBU32" s="47"/>
      <c r="CBV32" s="47"/>
      <c r="CBW32" s="47"/>
      <c r="CBX32" s="47"/>
      <c r="CBY32" s="47"/>
      <c r="CBZ32" s="47"/>
      <c r="CCA32" s="47"/>
      <c r="CCB32" s="47"/>
      <c r="CCC32" s="47"/>
      <c r="CCD32" s="47"/>
      <c r="CCE32" s="47"/>
      <c r="CCF32" s="47"/>
      <c r="CCG32" s="47"/>
      <c r="CCH32" s="47"/>
      <c r="CCI32" s="47"/>
      <c r="CCJ32" s="47"/>
      <c r="CCK32" s="47"/>
      <c r="CCL32" s="47"/>
      <c r="CCM32" s="47"/>
      <c r="CCN32" s="47"/>
      <c r="CCO32" s="47"/>
      <c r="CCP32" s="47"/>
      <c r="CCQ32" s="47"/>
      <c r="CCR32" s="47"/>
      <c r="CCS32" s="47"/>
      <c r="CCT32" s="47"/>
      <c r="CCU32" s="47"/>
      <c r="CCV32" s="47"/>
      <c r="CCW32" s="47"/>
      <c r="CCX32" s="47"/>
      <c r="CCY32" s="47"/>
      <c r="CCZ32" s="47"/>
      <c r="CDA32" s="47"/>
      <c r="CDB32" s="47"/>
      <c r="CDC32" s="47"/>
      <c r="CDD32" s="47"/>
      <c r="CDE32" s="47"/>
      <c r="CDF32" s="47"/>
      <c r="CDG32" s="47"/>
      <c r="CDH32" s="47"/>
      <c r="CDI32" s="47"/>
      <c r="CDJ32" s="47"/>
      <c r="CDK32" s="47"/>
      <c r="CDL32" s="47"/>
      <c r="CDM32" s="47"/>
      <c r="CDN32" s="47"/>
      <c r="CDO32" s="47"/>
      <c r="CDP32" s="47"/>
      <c r="CDQ32" s="47"/>
      <c r="CDR32" s="47"/>
      <c r="CDS32" s="47"/>
      <c r="CDT32" s="47"/>
      <c r="CDU32" s="47"/>
      <c r="CDV32" s="47"/>
      <c r="CDW32" s="47"/>
      <c r="CDX32" s="47"/>
      <c r="CDY32" s="47"/>
      <c r="CDZ32" s="47"/>
      <c r="CEA32" s="47"/>
      <c r="CEB32" s="47"/>
      <c r="CEC32" s="47"/>
      <c r="CED32" s="47"/>
      <c r="CEE32" s="47"/>
      <c r="CEF32" s="47"/>
      <c r="CEG32" s="47"/>
      <c r="CEH32" s="47"/>
      <c r="CEI32" s="47"/>
      <c r="CEJ32" s="47"/>
      <c r="CEK32" s="47"/>
      <c r="CEL32" s="47"/>
      <c r="CEM32" s="47"/>
      <c r="CEN32" s="47"/>
      <c r="CEO32" s="47"/>
      <c r="CEP32" s="47"/>
      <c r="CEQ32" s="47"/>
      <c r="CER32" s="47"/>
      <c r="CES32" s="47"/>
      <c r="CET32" s="47"/>
      <c r="CEU32" s="47"/>
      <c r="CEV32" s="47"/>
      <c r="CEW32" s="47"/>
      <c r="CEX32" s="47"/>
      <c r="CEY32" s="47"/>
      <c r="CEZ32" s="47"/>
      <c r="CFA32" s="47"/>
      <c r="CFB32" s="47"/>
      <c r="CFC32" s="47"/>
      <c r="CFD32" s="47"/>
      <c r="CFE32" s="47"/>
      <c r="CFF32" s="47"/>
      <c r="CFG32" s="47"/>
      <c r="CFH32" s="47"/>
      <c r="CFI32" s="47"/>
      <c r="CFJ32" s="47"/>
      <c r="CFK32" s="47"/>
      <c r="CFL32" s="47"/>
      <c r="CFM32" s="47"/>
      <c r="CFN32" s="47"/>
      <c r="CFO32" s="47"/>
      <c r="CFP32" s="47"/>
      <c r="CFQ32" s="47"/>
      <c r="CFR32" s="47"/>
      <c r="CFS32" s="47"/>
      <c r="CFT32" s="47"/>
      <c r="CFU32" s="47"/>
      <c r="CFV32" s="47"/>
      <c r="CFW32" s="47"/>
      <c r="CFX32" s="47"/>
      <c r="CFY32" s="47"/>
      <c r="CFZ32" s="47"/>
      <c r="CGA32" s="47"/>
      <c r="CGB32" s="47"/>
      <c r="CGC32" s="47"/>
      <c r="CGD32" s="47"/>
      <c r="CGE32" s="47"/>
      <c r="CGF32" s="47"/>
      <c r="CGG32" s="47"/>
      <c r="CGH32" s="47"/>
      <c r="CGI32" s="47"/>
      <c r="CGJ32" s="47"/>
      <c r="CGK32" s="47"/>
      <c r="CGL32" s="47"/>
      <c r="CGM32" s="47"/>
      <c r="CGN32" s="47"/>
      <c r="CGO32" s="47"/>
      <c r="CGP32" s="47"/>
      <c r="CGQ32" s="47"/>
      <c r="CGR32" s="47"/>
      <c r="CGS32" s="47"/>
      <c r="CGT32" s="47"/>
      <c r="CGU32" s="47"/>
      <c r="CGV32" s="47"/>
      <c r="CGW32" s="47"/>
      <c r="CGX32" s="47"/>
      <c r="CGY32" s="47"/>
      <c r="CGZ32" s="47"/>
      <c r="CHA32" s="47"/>
      <c r="CHB32" s="47"/>
      <c r="CHC32" s="47"/>
      <c r="CHD32" s="47"/>
      <c r="CHE32" s="47"/>
      <c r="CHF32" s="47"/>
      <c r="CHG32" s="47"/>
      <c r="CHH32" s="47"/>
      <c r="CHI32" s="47"/>
      <c r="CHJ32" s="47"/>
      <c r="CHK32" s="47"/>
      <c r="CHL32" s="47"/>
      <c r="CHM32" s="47"/>
      <c r="CHN32" s="47"/>
      <c r="CHO32" s="47"/>
      <c r="CHP32" s="47"/>
      <c r="CHQ32" s="47"/>
      <c r="CHR32" s="47"/>
      <c r="CHS32" s="47"/>
      <c r="CHT32" s="47"/>
      <c r="CHU32" s="47"/>
      <c r="CHV32" s="47"/>
      <c r="CHW32" s="47"/>
      <c r="CHX32" s="47"/>
      <c r="CHY32" s="47"/>
      <c r="CHZ32" s="47"/>
      <c r="CIA32" s="47"/>
      <c r="CIB32" s="47"/>
      <c r="CIC32" s="47"/>
      <c r="CID32" s="47"/>
      <c r="CIE32" s="47"/>
      <c r="CIF32" s="47"/>
      <c r="CIG32" s="47"/>
      <c r="CIH32" s="47"/>
      <c r="CII32" s="47"/>
      <c r="CIJ32" s="47"/>
      <c r="CIK32" s="47"/>
      <c r="CIL32" s="47"/>
      <c r="CIM32" s="47"/>
      <c r="CIN32" s="47"/>
      <c r="CIO32" s="47"/>
      <c r="CIP32" s="47"/>
      <c r="CIQ32" s="47"/>
      <c r="CIR32" s="47"/>
      <c r="CIS32" s="47"/>
      <c r="CIT32" s="47"/>
      <c r="CIU32" s="47"/>
      <c r="CIV32" s="47"/>
      <c r="CIW32" s="47"/>
      <c r="CIX32" s="47"/>
      <c r="CIY32" s="47"/>
      <c r="CIZ32" s="47"/>
      <c r="CJA32" s="47"/>
      <c r="CJB32" s="47"/>
      <c r="CJC32" s="47"/>
      <c r="CJD32" s="47"/>
      <c r="CJE32" s="47"/>
      <c r="CJF32" s="47"/>
      <c r="CJG32" s="47"/>
      <c r="CJH32" s="47"/>
      <c r="CJI32" s="47"/>
      <c r="CJJ32" s="47"/>
      <c r="CJK32" s="47"/>
      <c r="CJL32" s="47"/>
      <c r="CJM32" s="47"/>
      <c r="CJN32" s="47"/>
      <c r="CJO32" s="47"/>
      <c r="CJP32" s="47"/>
      <c r="CJQ32" s="47"/>
      <c r="CJR32" s="47"/>
      <c r="CJS32" s="47"/>
      <c r="CJT32" s="47"/>
      <c r="CJU32" s="47"/>
      <c r="CJV32" s="47"/>
      <c r="CJW32" s="47"/>
      <c r="CJX32" s="47"/>
      <c r="CJY32" s="47"/>
      <c r="CJZ32" s="47"/>
      <c r="CKA32" s="47"/>
      <c r="CKB32" s="47"/>
      <c r="CKC32" s="47"/>
      <c r="CKD32" s="47"/>
      <c r="CKE32" s="47"/>
      <c r="CKF32" s="47"/>
      <c r="CKG32" s="47"/>
      <c r="CKH32" s="47"/>
      <c r="CKI32" s="47"/>
      <c r="CKJ32" s="47"/>
      <c r="CKK32" s="47"/>
      <c r="CKL32" s="47"/>
      <c r="CKM32" s="47"/>
      <c r="CKN32" s="47"/>
      <c r="CKO32" s="47"/>
      <c r="CKP32" s="47"/>
      <c r="CKQ32" s="47"/>
      <c r="CKR32" s="47"/>
      <c r="CKS32" s="47"/>
      <c r="CKT32" s="47"/>
      <c r="CKU32" s="47"/>
      <c r="CKV32" s="47"/>
      <c r="CKW32" s="47"/>
      <c r="CKX32" s="47"/>
      <c r="CKY32" s="47"/>
      <c r="CKZ32" s="47"/>
      <c r="CLA32" s="47"/>
      <c r="CLB32" s="47"/>
      <c r="CLC32" s="47"/>
      <c r="CLD32" s="47"/>
      <c r="CLE32" s="47"/>
      <c r="CLF32" s="47"/>
      <c r="CLG32" s="47"/>
      <c r="CLH32" s="47"/>
      <c r="CLI32" s="47"/>
      <c r="CLJ32" s="47"/>
      <c r="CLK32" s="47"/>
      <c r="CLL32" s="47"/>
      <c r="CLM32" s="47"/>
      <c r="CLN32" s="47"/>
      <c r="CLO32" s="47"/>
      <c r="CLP32" s="47"/>
      <c r="CLQ32" s="47"/>
      <c r="CLR32" s="47"/>
      <c r="CLS32" s="47"/>
      <c r="CLT32" s="47"/>
      <c r="CLU32" s="47"/>
      <c r="CLV32" s="47"/>
      <c r="CLW32" s="47"/>
      <c r="CLX32" s="47"/>
      <c r="CLY32" s="47"/>
      <c r="CLZ32" s="47"/>
      <c r="CMA32" s="47"/>
      <c r="CMB32" s="47"/>
      <c r="CMC32" s="47"/>
      <c r="CMD32" s="47"/>
      <c r="CME32" s="47"/>
      <c r="CMF32" s="47"/>
      <c r="CMG32" s="47"/>
      <c r="CMH32" s="47"/>
      <c r="CMI32" s="47"/>
      <c r="CMJ32" s="47"/>
      <c r="CMK32" s="47"/>
      <c r="CML32" s="47"/>
      <c r="CMM32" s="47"/>
      <c r="CMN32" s="47"/>
      <c r="CMO32" s="47"/>
      <c r="CMP32" s="47"/>
      <c r="CMQ32" s="47"/>
      <c r="CMR32" s="47"/>
      <c r="CMS32" s="47"/>
      <c r="CMT32" s="47"/>
      <c r="CMU32" s="47"/>
      <c r="CMV32" s="47"/>
      <c r="CMW32" s="47"/>
      <c r="CMX32" s="47"/>
      <c r="CMY32" s="47"/>
      <c r="CMZ32" s="47"/>
      <c r="CNA32" s="47"/>
      <c r="CNB32" s="47"/>
      <c r="CNC32" s="47"/>
      <c r="CND32" s="47"/>
      <c r="CNE32" s="47"/>
      <c r="CNF32" s="47"/>
      <c r="CNG32" s="47"/>
      <c r="CNH32" s="47"/>
      <c r="CNI32" s="47"/>
      <c r="CNJ32" s="47"/>
      <c r="CNK32" s="47"/>
      <c r="CNL32" s="47"/>
      <c r="CNM32" s="47"/>
      <c r="CNN32" s="47"/>
      <c r="CNO32" s="47"/>
      <c r="CNP32" s="47"/>
      <c r="CNQ32" s="47"/>
      <c r="CNR32" s="47"/>
      <c r="CNS32" s="47"/>
      <c r="CNT32" s="47"/>
      <c r="CNU32" s="47"/>
      <c r="CNV32" s="47"/>
      <c r="CNW32" s="47"/>
      <c r="CNX32" s="47"/>
      <c r="CNY32" s="47"/>
      <c r="CNZ32" s="47"/>
      <c r="COA32" s="47"/>
      <c r="COB32" s="47"/>
      <c r="COC32" s="47"/>
      <c r="COD32" s="47"/>
      <c r="COE32" s="47"/>
      <c r="COF32" s="47"/>
      <c r="COG32" s="47"/>
      <c r="COH32" s="47"/>
      <c r="COI32" s="47"/>
      <c r="COJ32" s="47"/>
      <c r="COK32" s="47"/>
      <c r="COL32" s="47"/>
      <c r="COM32" s="47"/>
      <c r="CON32" s="47"/>
      <c r="COO32" s="47"/>
      <c r="COP32" s="47"/>
      <c r="COQ32" s="47"/>
      <c r="COR32" s="47"/>
      <c r="COS32" s="47"/>
      <c r="COT32" s="47"/>
      <c r="COU32" s="47"/>
      <c r="COV32" s="47"/>
      <c r="COW32" s="47"/>
      <c r="COX32" s="47"/>
      <c r="COY32" s="47"/>
      <c r="COZ32" s="47"/>
      <c r="CPA32" s="47"/>
      <c r="CPB32" s="47"/>
      <c r="CPC32" s="47"/>
      <c r="CPD32" s="47"/>
      <c r="CPE32" s="47"/>
      <c r="CPF32" s="47"/>
      <c r="CPG32" s="47"/>
      <c r="CPH32" s="47"/>
      <c r="CPI32" s="47"/>
      <c r="CPJ32" s="47"/>
      <c r="CPK32" s="47"/>
      <c r="CPL32" s="47"/>
      <c r="CPM32" s="47"/>
      <c r="CPN32" s="47"/>
      <c r="CPO32" s="47"/>
      <c r="CPP32" s="47"/>
      <c r="CPQ32" s="47"/>
      <c r="CPR32" s="47"/>
      <c r="CPS32" s="47"/>
      <c r="CPT32" s="47"/>
      <c r="CPU32" s="47"/>
      <c r="CPV32" s="47"/>
      <c r="CPW32" s="47"/>
      <c r="CPX32" s="47"/>
      <c r="CPY32" s="47"/>
      <c r="CPZ32" s="47"/>
      <c r="CQA32" s="47"/>
      <c r="CQB32" s="47"/>
      <c r="CQC32" s="47"/>
      <c r="CQD32" s="47"/>
      <c r="CQE32" s="47"/>
      <c r="CQF32" s="47"/>
      <c r="CQG32" s="47"/>
      <c r="CQH32" s="47"/>
      <c r="CQI32" s="47"/>
      <c r="CQJ32" s="47"/>
      <c r="CQK32" s="47"/>
      <c r="CQL32" s="47"/>
      <c r="CQM32" s="47"/>
      <c r="CQN32" s="47"/>
      <c r="CQO32" s="47"/>
      <c r="CQP32" s="47"/>
      <c r="CQQ32" s="47"/>
      <c r="CQR32" s="47"/>
      <c r="CQS32" s="47"/>
      <c r="CQT32" s="47"/>
      <c r="CQU32" s="47"/>
      <c r="CQV32" s="47"/>
      <c r="CQW32" s="47"/>
      <c r="CQX32" s="47"/>
      <c r="CQY32" s="47"/>
      <c r="CQZ32" s="47"/>
      <c r="CRA32" s="47"/>
      <c r="CRB32" s="47"/>
      <c r="CRC32" s="47"/>
      <c r="CRD32" s="47"/>
      <c r="CRE32" s="47"/>
      <c r="CRF32" s="47"/>
      <c r="CRG32" s="47"/>
      <c r="CRH32" s="47"/>
      <c r="CRI32" s="47"/>
      <c r="CRJ32" s="47"/>
      <c r="CRK32" s="47"/>
      <c r="CRL32" s="47"/>
      <c r="CRM32" s="47"/>
      <c r="CRN32" s="47"/>
      <c r="CRO32" s="47"/>
      <c r="CRP32" s="47"/>
      <c r="CRQ32" s="47"/>
      <c r="CRR32" s="47"/>
      <c r="CRS32" s="47"/>
      <c r="CRT32" s="47"/>
      <c r="CRU32" s="47"/>
      <c r="CRV32" s="47"/>
      <c r="CRW32" s="47"/>
      <c r="CRX32" s="47"/>
      <c r="CRY32" s="47"/>
      <c r="CRZ32" s="47"/>
      <c r="CSA32" s="47"/>
      <c r="CSB32" s="47"/>
      <c r="CSC32" s="47"/>
      <c r="CSD32" s="47"/>
      <c r="CSE32" s="47"/>
      <c r="CSF32" s="47"/>
      <c r="CSG32" s="47"/>
      <c r="CSH32" s="47"/>
      <c r="CSI32" s="47"/>
      <c r="CSJ32" s="47"/>
      <c r="CSK32" s="47"/>
      <c r="CSL32" s="47"/>
      <c r="CSM32" s="47"/>
      <c r="CSN32" s="47"/>
      <c r="CSO32" s="47"/>
      <c r="CSP32" s="47"/>
      <c r="CSQ32" s="47"/>
      <c r="CSR32" s="47"/>
      <c r="CSS32" s="47"/>
      <c r="CST32" s="47"/>
      <c r="CSU32" s="47"/>
      <c r="CSV32" s="47"/>
      <c r="CSW32" s="47"/>
      <c r="CSX32" s="47"/>
      <c r="CSY32" s="47"/>
      <c r="CSZ32" s="47"/>
      <c r="CTA32" s="47"/>
      <c r="CTB32" s="47"/>
      <c r="CTC32" s="47"/>
      <c r="CTD32" s="47"/>
      <c r="CTE32" s="47"/>
      <c r="CTF32" s="47"/>
      <c r="CTG32" s="47"/>
      <c r="CTH32" s="47"/>
      <c r="CTI32" s="47"/>
      <c r="CTJ32" s="47"/>
      <c r="CTK32" s="47"/>
      <c r="CTL32" s="47"/>
      <c r="CTM32" s="47"/>
      <c r="CTN32" s="47"/>
      <c r="CTO32" s="47"/>
      <c r="CTP32" s="47"/>
      <c r="CTQ32" s="47"/>
      <c r="CTR32" s="47"/>
      <c r="CTS32" s="47"/>
      <c r="CTT32" s="47"/>
      <c r="CTU32" s="47"/>
      <c r="CTV32" s="47"/>
      <c r="CTW32" s="47"/>
      <c r="CTX32" s="47"/>
      <c r="CTY32" s="47"/>
      <c r="CTZ32" s="47"/>
      <c r="CUA32" s="47"/>
      <c r="CUB32" s="47"/>
      <c r="CUC32" s="47"/>
      <c r="CUD32" s="47"/>
      <c r="CUE32" s="47"/>
      <c r="CUF32" s="47"/>
      <c r="CUG32" s="47"/>
      <c r="CUH32" s="47"/>
      <c r="CUI32" s="47"/>
      <c r="CUJ32" s="47"/>
      <c r="CUK32" s="47"/>
      <c r="CUL32" s="47"/>
      <c r="CUM32" s="47"/>
      <c r="CUN32" s="47"/>
      <c r="CUO32" s="47"/>
      <c r="CUP32" s="47"/>
      <c r="CUQ32" s="47"/>
      <c r="CUR32" s="47"/>
      <c r="CUS32" s="47"/>
      <c r="CUT32" s="47"/>
      <c r="CUU32" s="47"/>
      <c r="CUV32" s="47"/>
      <c r="CUW32" s="47"/>
      <c r="CUX32" s="47"/>
      <c r="CUY32" s="47"/>
      <c r="CUZ32" s="47"/>
      <c r="CVA32" s="47"/>
      <c r="CVB32" s="47"/>
      <c r="CVC32" s="47"/>
      <c r="CVD32" s="47"/>
      <c r="CVE32" s="47"/>
      <c r="CVF32" s="47"/>
      <c r="CVG32" s="47"/>
      <c r="CVH32" s="47"/>
      <c r="CVI32" s="47"/>
      <c r="CVJ32" s="47"/>
      <c r="CVK32" s="47"/>
      <c r="CVL32" s="47"/>
      <c r="CVM32" s="47"/>
      <c r="CVN32" s="47"/>
      <c r="CVO32" s="47"/>
      <c r="CVP32" s="47"/>
      <c r="CVQ32" s="47"/>
      <c r="CVR32" s="47"/>
      <c r="CVS32" s="47"/>
      <c r="CVT32" s="47"/>
      <c r="CVU32" s="47"/>
      <c r="CVV32" s="47"/>
      <c r="CVW32" s="47"/>
      <c r="CVX32" s="47"/>
      <c r="CVY32" s="47"/>
      <c r="CVZ32" s="47"/>
      <c r="CWA32" s="47"/>
      <c r="CWB32" s="47"/>
      <c r="CWC32" s="47"/>
      <c r="CWD32" s="47"/>
      <c r="CWE32" s="47"/>
      <c r="CWF32" s="47"/>
      <c r="CWG32" s="47"/>
      <c r="CWH32" s="47"/>
      <c r="CWI32" s="47"/>
      <c r="CWJ32" s="47"/>
      <c r="CWK32" s="47"/>
      <c r="CWL32" s="47"/>
      <c r="CWM32" s="47"/>
      <c r="CWN32" s="47"/>
      <c r="CWO32" s="47"/>
      <c r="CWP32" s="47"/>
      <c r="CWQ32" s="47"/>
      <c r="CWR32" s="47"/>
      <c r="CWS32" s="47"/>
      <c r="CWT32" s="47"/>
      <c r="CWU32" s="47"/>
      <c r="CWV32" s="47"/>
      <c r="CWW32" s="47"/>
      <c r="CWX32" s="47"/>
      <c r="CWY32" s="47"/>
      <c r="CWZ32" s="47"/>
      <c r="CXA32" s="47"/>
      <c r="CXB32" s="47"/>
      <c r="CXC32" s="47"/>
      <c r="CXD32" s="47"/>
      <c r="CXE32" s="47"/>
      <c r="CXF32" s="47"/>
      <c r="CXG32" s="47"/>
      <c r="CXH32" s="47"/>
      <c r="CXI32" s="47"/>
      <c r="CXJ32" s="47"/>
      <c r="CXK32" s="47"/>
      <c r="CXL32" s="47"/>
      <c r="CXM32" s="47"/>
      <c r="CXN32" s="47"/>
      <c r="CXO32" s="47"/>
      <c r="CXP32" s="47"/>
      <c r="CXQ32" s="47"/>
      <c r="CXR32" s="47"/>
      <c r="CXS32" s="47"/>
      <c r="CXT32" s="47"/>
      <c r="CXU32" s="47"/>
      <c r="CXV32" s="47"/>
      <c r="CXW32" s="47"/>
      <c r="CXX32" s="47"/>
      <c r="CXY32" s="47"/>
      <c r="CXZ32" s="47"/>
      <c r="CYA32" s="47"/>
      <c r="CYB32" s="47"/>
      <c r="CYC32" s="47"/>
      <c r="CYD32" s="47"/>
      <c r="CYE32" s="47"/>
      <c r="CYF32" s="47"/>
      <c r="CYG32" s="47"/>
      <c r="CYH32" s="47"/>
      <c r="CYI32" s="47"/>
      <c r="CYJ32" s="47"/>
      <c r="CYK32" s="47"/>
      <c r="CYL32" s="47"/>
      <c r="CYM32" s="47"/>
      <c r="CYN32" s="47"/>
      <c r="CYO32" s="47"/>
      <c r="CYP32" s="47"/>
      <c r="CYQ32" s="47"/>
      <c r="CYR32" s="47"/>
      <c r="CYS32" s="47"/>
      <c r="CYT32" s="47"/>
      <c r="CYU32" s="47"/>
      <c r="CYV32" s="47"/>
      <c r="CYW32" s="47"/>
      <c r="CYX32" s="47"/>
      <c r="CYY32" s="47"/>
      <c r="CYZ32" s="47"/>
      <c r="CZA32" s="47"/>
      <c r="CZB32" s="47"/>
      <c r="CZC32" s="47"/>
      <c r="CZD32" s="47"/>
      <c r="CZE32" s="47"/>
      <c r="CZF32" s="47"/>
      <c r="CZG32" s="47"/>
      <c r="CZH32" s="47"/>
      <c r="CZI32" s="47"/>
      <c r="CZJ32" s="47"/>
      <c r="CZK32" s="47"/>
      <c r="CZL32" s="47"/>
      <c r="CZM32" s="47"/>
      <c r="CZN32" s="47"/>
      <c r="CZO32" s="47"/>
      <c r="CZP32" s="47"/>
      <c r="CZQ32" s="47"/>
      <c r="CZR32" s="47"/>
      <c r="CZS32" s="47"/>
      <c r="CZT32" s="47"/>
      <c r="CZU32" s="47"/>
      <c r="CZV32" s="47"/>
      <c r="CZW32" s="47"/>
      <c r="CZX32" s="47"/>
      <c r="CZY32" s="47"/>
      <c r="CZZ32" s="47"/>
      <c r="DAA32" s="47"/>
      <c r="DAB32" s="47"/>
      <c r="DAC32" s="47"/>
      <c r="DAD32" s="47"/>
      <c r="DAE32" s="47"/>
      <c r="DAF32" s="47"/>
      <c r="DAG32" s="47"/>
      <c r="DAH32" s="47"/>
      <c r="DAI32" s="47"/>
      <c r="DAJ32" s="47"/>
      <c r="DAK32" s="47"/>
      <c r="DAL32" s="47"/>
      <c r="DAM32" s="47"/>
      <c r="DAN32" s="47"/>
      <c r="DAO32" s="47"/>
      <c r="DAP32" s="47"/>
      <c r="DAQ32" s="47"/>
      <c r="DAR32" s="47"/>
      <c r="DAS32" s="47"/>
      <c r="DAT32" s="47"/>
      <c r="DAU32" s="47"/>
      <c r="DAV32" s="47"/>
      <c r="DAW32" s="47"/>
      <c r="DAX32" s="47"/>
      <c r="DAY32" s="47"/>
      <c r="DAZ32" s="47"/>
      <c r="DBA32" s="47"/>
      <c r="DBB32" s="47"/>
      <c r="DBC32" s="47"/>
      <c r="DBD32" s="47"/>
      <c r="DBE32" s="47"/>
      <c r="DBF32" s="47"/>
      <c r="DBG32" s="47"/>
      <c r="DBH32" s="47"/>
      <c r="DBI32" s="47"/>
      <c r="DBJ32" s="47"/>
      <c r="DBK32" s="47"/>
      <c r="DBL32" s="47"/>
      <c r="DBM32" s="47"/>
      <c r="DBN32" s="47"/>
      <c r="DBO32" s="47"/>
      <c r="DBP32" s="47"/>
      <c r="DBQ32" s="47"/>
      <c r="DBR32" s="47"/>
      <c r="DBS32" s="47"/>
      <c r="DBT32" s="47"/>
      <c r="DBU32" s="47"/>
      <c r="DBV32" s="47"/>
      <c r="DBW32" s="47"/>
      <c r="DBX32" s="47"/>
      <c r="DBY32" s="47"/>
      <c r="DBZ32" s="47"/>
      <c r="DCA32" s="47"/>
      <c r="DCB32" s="47"/>
      <c r="DCC32" s="47"/>
      <c r="DCD32" s="47"/>
      <c r="DCE32" s="47"/>
      <c r="DCF32" s="47"/>
      <c r="DCG32" s="47"/>
      <c r="DCH32" s="47"/>
      <c r="DCI32" s="47"/>
      <c r="DCJ32" s="47"/>
      <c r="DCK32" s="47"/>
      <c r="DCL32" s="47"/>
      <c r="DCM32" s="47"/>
      <c r="DCN32" s="47"/>
      <c r="DCO32" s="47"/>
      <c r="DCP32" s="47"/>
      <c r="DCQ32" s="47"/>
      <c r="DCR32" s="47"/>
      <c r="DCS32" s="47"/>
      <c r="DCT32" s="47"/>
      <c r="DCU32" s="47"/>
      <c r="DCV32" s="47"/>
      <c r="DCW32" s="47"/>
      <c r="DCX32" s="47"/>
      <c r="DCY32" s="47"/>
      <c r="DCZ32" s="47"/>
      <c r="DDA32" s="47"/>
      <c r="DDB32" s="47"/>
      <c r="DDC32" s="47"/>
      <c r="DDD32" s="47"/>
      <c r="DDE32" s="47"/>
      <c r="DDF32" s="47"/>
      <c r="DDG32" s="47"/>
      <c r="DDH32" s="47"/>
      <c r="DDI32" s="47"/>
      <c r="DDJ32" s="47"/>
      <c r="DDK32" s="47"/>
      <c r="DDL32" s="47"/>
      <c r="DDM32" s="47"/>
      <c r="DDN32" s="47"/>
      <c r="DDO32" s="47"/>
      <c r="DDP32" s="47"/>
      <c r="DDQ32" s="47"/>
      <c r="DDR32" s="47"/>
      <c r="DDS32" s="47"/>
      <c r="DDT32" s="47"/>
      <c r="DDU32" s="47"/>
      <c r="DDV32" s="47"/>
      <c r="DDW32" s="47"/>
      <c r="DDX32" s="47"/>
      <c r="DDY32" s="47"/>
      <c r="DDZ32" s="47"/>
      <c r="DEA32" s="47"/>
      <c r="DEB32" s="47"/>
      <c r="DEC32" s="47"/>
      <c r="DED32" s="47"/>
      <c r="DEE32" s="47"/>
      <c r="DEF32" s="47"/>
      <c r="DEG32" s="47"/>
      <c r="DEH32" s="47"/>
      <c r="DEI32" s="47"/>
      <c r="DEJ32" s="47"/>
      <c r="DEK32" s="47"/>
      <c r="DEL32" s="47"/>
      <c r="DEM32" s="47"/>
      <c r="DEN32" s="47"/>
      <c r="DEO32" s="47"/>
      <c r="DEP32" s="47"/>
      <c r="DEQ32" s="47"/>
      <c r="DER32" s="47"/>
      <c r="DES32" s="47"/>
      <c r="DET32" s="47"/>
      <c r="DEU32" s="47"/>
      <c r="DEV32" s="47"/>
      <c r="DEW32" s="47"/>
      <c r="DEX32" s="47"/>
      <c r="DEY32" s="47"/>
      <c r="DEZ32" s="47"/>
      <c r="DFA32" s="47"/>
      <c r="DFB32" s="47"/>
      <c r="DFC32" s="47"/>
      <c r="DFD32" s="47"/>
      <c r="DFE32" s="47"/>
      <c r="DFF32" s="47"/>
      <c r="DFG32" s="47"/>
      <c r="DFH32" s="47"/>
      <c r="DFI32" s="47"/>
      <c r="DFJ32" s="47"/>
      <c r="DFK32" s="47"/>
      <c r="DFL32" s="47"/>
      <c r="DFM32" s="47"/>
      <c r="DFN32" s="47"/>
      <c r="DFO32" s="47"/>
      <c r="DFP32" s="47"/>
      <c r="DFQ32" s="47"/>
      <c r="DFR32" s="47"/>
      <c r="DFS32" s="47"/>
      <c r="DFT32" s="47"/>
      <c r="DFU32" s="47"/>
      <c r="DFV32" s="47"/>
      <c r="DFW32" s="47"/>
      <c r="DFX32" s="47"/>
      <c r="DFY32" s="47"/>
      <c r="DFZ32" s="47"/>
      <c r="DGA32" s="47"/>
      <c r="DGB32" s="47"/>
      <c r="DGC32" s="47"/>
      <c r="DGD32" s="47"/>
      <c r="DGE32" s="47"/>
      <c r="DGF32" s="47"/>
      <c r="DGG32" s="47"/>
      <c r="DGH32" s="47"/>
      <c r="DGI32" s="47"/>
      <c r="DGJ32" s="47"/>
      <c r="DGK32" s="47"/>
      <c r="DGL32" s="47"/>
      <c r="DGM32" s="47"/>
      <c r="DGN32" s="47"/>
      <c r="DGO32" s="47"/>
      <c r="DGP32" s="47"/>
      <c r="DGQ32" s="47"/>
      <c r="DGR32" s="47"/>
      <c r="DGS32" s="47"/>
      <c r="DGT32" s="47"/>
      <c r="DGU32" s="47"/>
      <c r="DGV32" s="47"/>
      <c r="DGW32" s="47"/>
      <c r="DGX32" s="47"/>
      <c r="DGY32" s="47"/>
      <c r="DGZ32" s="47"/>
      <c r="DHA32" s="47"/>
      <c r="DHB32" s="47"/>
      <c r="DHC32" s="47"/>
      <c r="DHD32" s="47"/>
      <c r="DHE32" s="47"/>
      <c r="DHF32" s="47"/>
      <c r="DHG32" s="47"/>
      <c r="DHH32" s="47"/>
      <c r="DHI32" s="47"/>
      <c r="DHJ32" s="47"/>
      <c r="DHK32" s="47"/>
      <c r="DHL32" s="47"/>
      <c r="DHM32" s="47"/>
      <c r="DHN32" s="47"/>
      <c r="DHO32" s="47"/>
      <c r="DHP32" s="47"/>
      <c r="DHQ32" s="47"/>
      <c r="DHR32" s="47"/>
      <c r="DHS32" s="47"/>
      <c r="DHT32" s="47"/>
      <c r="DHU32" s="47"/>
      <c r="DHV32" s="47"/>
      <c r="DHW32" s="47"/>
      <c r="DHX32" s="47"/>
      <c r="DHY32" s="47"/>
      <c r="DHZ32" s="47"/>
      <c r="DIA32" s="47"/>
      <c r="DIB32" s="47"/>
      <c r="DIC32" s="47"/>
      <c r="DID32" s="47"/>
      <c r="DIE32" s="47"/>
      <c r="DIF32" s="47"/>
      <c r="DIG32" s="47"/>
      <c r="DIH32" s="47"/>
      <c r="DII32" s="47"/>
      <c r="DIJ32" s="47"/>
      <c r="DIK32" s="47"/>
      <c r="DIL32" s="47"/>
      <c r="DIM32" s="47"/>
      <c r="DIN32" s="47"/>
      <c r="DIO32" s="47"/>
      <c r="DIP32" s="47"/>
      <c r="DIQ32" s="47"/>
      <c r="DIR32" s="47"/>
      <c r="DIS32" s="47"/>
      <c r="DIT32" s="47"/>
      <c r="DIU32" s="47"/>
      <c r="DIV32" s="47"/>
      <c r="DIW32" s="47"/>
      <c r="DIX32" s="47"/>
      <c r="DIY32" s="47"/>
      <c r="DIZ32" s="47"/>
      <c r="DJA32" s="47"/>
      <c r="DJB32" s="47"/>
      <c r="DJC32" s="47"/>
      <c r="DJD32" s="47"/>
      <c r="DJE32" s="47"/>
      <c r="DJF32" s="47"/>
      <c r="DJG32" s="47"/>
      <c r="DJH32" s="47"/>
      <c r="DJI32" s="47"/>
      <c r="DJJ32" s="47"/>
      <c r="DJK32" s="47"/>
      <c r="DJL32" s="47"/>
      <c r="DJM32" s="47"/>
      <c r="DJN32" s="47"/>
      <c r="DJO32" s="47"/>
      <c r="DJP32" s="47"/>
      <c r="DJQ32" s="47"/>
      <c r="DJR32" s="47"/>
      <c r="DJS32" s="47"/>
      <c r="DJT32" s="47"/>
      <c r="DJU32" s="47"/>
      <c r="DJV32" s="47"/>
      <c r="DJW32" s="47"/>
      <c r="DJX32" s="47"/>
      <c r="DJY32" s="47"/>
      <c r="DJZ32" s="47"/>
      <c r="DKA32" s="47"/>
      <c r="DKB32" s="47"/>
      <c r="DKC32" s="47"/>
      <c r="DKD32" s="47"/>
      <c r="DKE32" s="47"/>
      <c r="DKF32" s="47"/>
      <c r="DKG32" s="47"/>
      <c r="DKH32" s="47"/>
      <c r="DKI32" s="47"/>
      <c r="DKJ32" s="47"/>
      <c r="DKK32" s="47"/>
      <c r="DKL32" s="47"/>
      <c r="DKM32" s="47"/>
      <c r="DKN32" s="47"/>
      <c r="DKO32" s="47"/>
      <c r="DKP32" s="47"/>
      <c r="DKQ32" s="47"/>
      <c r="DKR32" s="47"/>
      <c r="DKS32" s="47"/>
      <c r="DKT32" s="47"/>
      <c r="DKU32" s="47"/>
      <c r="DKV32" s="47"/>
      <c r="DKW32" s="47"/>
      <c r="DKX32" s="47"/>
      <c r="DKY32" s="47"/>
      <c r="DKZ32" s="47"/>
      <c r="DLA32" s="47"/>
      <c r="DLB32" s="47"/>
      <c r="DLC32" s="47"/>
      <c r="DLD32" s="47"/>
      <c r="DLE32" s="47"/>
      <c r="DLF32" s="47"/>
      <c r="DLG32" s="47"/>
      <c r="DLH32" s="47"/>
      <c r="DLI32" s="47"/>
      <c r="DLJ32" s="47"/>
      <c r="DLK32" s="47"/>
      <c r="DLL32" s="47"/>
      <c r="DLM32" s="47"/>
      <c r="DLN32" s="47"/>
      <c r="DLO32" s="47"/>
      <c r="DLP32" s="47"/>
      <c r="DLQ32" s="47"/>
      <c r="DLR32" s="47"/>
      <c r="DLS32" s="47"/>
      <c r="DLT32" s="47"/>
      <c r="DLU32" s="47"/>
      <c r="DLV32" s="47"/>
      <c r="DLW32" s="47"/>
      <c r="DLX32" s="47"/>
      <c r="DLY32" s="47"/>
      <c r="DLZ32" s="47"/>
      <c r="DMA32" s="47"/>
      <c r="DMB32" s="47"/>
      <c r="DMC32" s="47"/>
      <c r="DMD32" s="47"/>
      <c r="DME32" s="47"/>
      <c r="DMF32" s="47"/>
      <c r="DMG32" s="47"/>
      <c r="DMH32" s="47"/>
      <c r="DMI32" s="47"/>
      <c r="DMJ32" s="47"/>
      <c r="DMK32" s="47"/>
      <c r="DML32" s="47"/>
      <c r="DMM32" s="47"/>
      <c r="DMN32" s="47"/>
      <c r="DMO32" s="47"/>
      <c r="DMP32" s="47"/>
      <c r="DMQ32" s="47"/>
      <c r="DMR32" s="47"/>
      <c r="DMS32" s="47"/>
      <c r="DMT32" s="47"/>
      <c r="DMU32" s="47"/>
      <c r="DMV32" s="47"/>
      <c r="DMW32" s="47"/>
      <c r="DMX32" s="47"/>
      <c r="DMY32" s="47"/>
      <c r="DMZ32" s="47"/>
      <c r="DNA32" s="47"/>
      <c r="DNB32" s="47"/>
      <c r="DNC32" s="47"/>
      <c r="DND32" s="47"/>
      <c r="DNE32" s="47"/>
      <c r="DNF32" s="47"/>
      <c r="DNG32" s="47"/>
      <c r="DNH32" s="47"/>
      <c r="DNI32" s="47"/>
      <c r="DNJ32" s="47"/>
      <c r="DNK32" s="47"/>
      <c r="DNL32" s="47"/>
      <c r="DNM32" s="47"/>
      <c r="DNN32" s="47"/>
      <c r="DNO32" s="47"/>
      <c r="DNP32" s="47"/>
      <c r="DNQ32" s="47"/>
      <c r="DNR32" s="47"/>
      <c r="DNS32" s="47"/>
      <c r="DNT32" s="47"/>
      <c r="DNU32" s="47"/>
      <c r="DNV32" s="47"/>
      <c r="DNW32" s="47"/>
      <c r="DNX32" s="47"/>
      <c r="DNY32" s="47"/>
      <c r="DNZ32" s="47"/>
      <c r="DOA32" s="47"/>
      <c r="DOB32" s="47"/>
      <c r="DOC32" s="47"/>
      <c r="DOD32" s="47"/>
      <c r="DOE32" s="47"/>
      <c r="DOF32" s="47"/>
      <c r="DOG32" s="47"/>
      <c r="DOH32" s="47"/>
      <c r="DOI32" s="47"/>
      <c r="DOJ32" s="47"/>
      <c r="DOK32" s="47"/>
      <c r="DOL32" s="47"/>
      <c r="DOM32" s="47"/>
      <c r="DON32" s="47"/>
      <c r="DOO32" s="47"/>
      <c r="DOP32" s="47"/>
      <c r="DOQ32" s="47"/>
      <c r="DOR32" s="47"/>
      <c r="DOS32" s="47"/>
      <c r="DOT32" s="47"/>
      <c r="DOU32" s="47"/>
      <c r="DOV32" s="47"/>
      <c r="DOW32" s="47"/>
      <c r="DOX32" s="47"/>
      <c r="DOY32" s="47"/>
      <c r="DOZ32" s="47"/>
      <c r="DPA32" s="47"/>
      <c r="DPB32" s="47"/>
      <c r="DPC32" s="47"/>
      <c r="DPD32" s="47"/>
      <c r="DPE32" s="47"/>
      <c r="DPF32" s="47"/>
      <c r="DPG32" s="47"/>
      <c r="DPH32" s="47"/>
      <c r="DPI32" s="47"/>
      <c r="DPJ32" s="47"/>
      <c r="DPK32" s="47"/>
      <c r="DPL32" s="47"/>
      <c r="DPM32" s="47"/>
      <c r="DPN32" s="47"/>
      <c r="DPO32" s="47"/>
      <c r="DPP32" s="47"/>
      <c r="DPQ32" s="47"/>
      <c r="DPR32" s="47"/>
      <c r="DPS32" s="47"/>
      <c r="DPT32" s="47"/>
      <c r="DPU32" s="47"/>
      <c r="DPV32" s="47"/>
      <c r="DPW32" s="47"/>
      <c r="DPX32" s="47"/>
      <c r="DPY32" s="47"/>
      <c r="DPZ32" s="47"/>
      <c r="DQA32" s="47"/>
      <c r="DQB32" s="47"/>
      <c r="DQC32" s="47"/>
      <c r="DQD32" s="47"/>
      <c r="DQE32" s="47"/>
      <c r="DQF32" s="47"/>
      <c r="DQG32" s="47"/>
      <c r="DQH32" s="47"/>
      <c r="DQI32" s="47"/>
      <c r="DQJ32" s="47"/>
      <c r="DQK32" s="47"/>
      <c r="DQL32" s="47"/>
      <c r="DQM32" s="47"/>
      <c r="DQN32" s="47"/>
      <c r="DQO32" s="47"/>
      <c r="DQP32" s="47"/>
      <c r="DQQ32" s="47"/>
      <c r="DQR32" s="47"/>
      <c r="DQS32" s="47"/>
      <c r="DQT32" s="47"/>
      <c r="DQU32" s="47"/>
      <c r="DQV32" s="47"/>
      <c r="DQW32" s="47"/>
      <c r="DQX32" s="47"/>
      <c r="DQY32" s="47"/>
      <c r="DQZ32" s="47"/>
      <c r="DRA32" s="47"/>
      <c r="DRB32" s="47"/>
      <c r="DRC32" s="47"/>
      <c r="DRD32" s="47"/>
      <c r="DRE32" s="47"/>
      <c r="DRF32" s="47"/>
      <c r="DRG32" s="47"/>
      <c r="DRH32" s="47"/>
      <c r="DRI32" s="47"/>
      <c r="DRJ32" s="47"/>
      <c r="DRK32" s="47"/>
      <c r="DRL32" s="47"/>
      <c r="DRM32" s="47"/>
      <c r="DRN32" s="47"/>
      <c r="DRO32" s="47"/>
      <c r="DRP32" s="47"/>
      <c r="DRQ32" s="47"/>
      <c r="DRR32" s="47"/>
      <c r="DRS32" s="47"/>
      <c r="DRT32" s="47"/>
      <c r="DRU32" s="47"/>
      <c r="DRV32" s="47"/>
      <c r="DRW32" s="47"/>
      <c r="DRX32" s="47"/>
      <c r="DRY32" s="47"/>
      <c r="DRZ32" s="47"/>
      <c r="DSA32" s="47"/>
      <c r="DSB32" s="47"/>
      <c r="DSC32" s="47"/>
      <c r="DSD32" s="47"/>
      <c r="DSE32" s="47"/>
      <c r="DSF32" s="47"/>
      <c r="DSG32" s="47"/>
      <c r="DSH32" s="47"/>
      <c r="DSI32" s="47"/>
      <c r="DSJ32" s="47"/>
      <c r="DSK32" s="47"/>
      <c r="DSL32" s="47"/>
      <c r="DSM32" s="47"/>
      <c r="DSN32" s="47"/>
      <c r="DSO32" s="47"/>
      <c r="DSP32" s="47"/>
      <c r="DSQ32" s="47"/>
      <c r="DSR32" s="47"/>
      <c r="DSS32" s="47"/>
      <c r="DST32" s="47"/>
      <c r="DSU32" s="47"/>
      <c r="DSV32" s="47"/>
      <c r="DSW32" s="47"/>
      <c r="DSX32" s="47"/>
      <c r="DSY32" s="47"/>
      <c r="DSZ32" s="47"/>
      <c r="DTA32" s="47"/>
      <c r="DTB32" s="47"/>
      <c r="DTC32" s="47"/>
      <c r="DTD32" s="47"/>
      <c r="DTE32" s="47"/>
      <c r="DTF32" s="47"/>
      <c r="DTG32" s="47"/>
      <c r="DTH32" s="47"/>
      <c r="DTI32" s="47"/>
      <c r="DTJ32" s="47"/>
      <c r="DTK32" s="47"/>
      <c r="DTL32" s="47"/>
      <c r="DTM32" s="47"/>
      <c r="DTN32" s="47"/>
      <c r="DTO32" s="47"/>
      <c r="DTP32" s="47"/>
      <c r="DTQ32" s="47"/>
      <c r="DTR32" s="47"/>
      <c r="DTS32" s="47"/>
      <c r="DTT32" s="47"/>
      <c r="DTU32" s="47"/>
      <c r="DTV32" s="47"/>
      <c r="DTW32" s="47"/>
      <c r="DTX32" s="47"/>
      <c r="DTY32" s="47"/>
      <c r="DTZ32" s="47"/>
      <c r="DUA32" s="47"/>
      <c r="DUB32" s="47"/>
      <c r="DUC32" s="47"/>
      <c r="DUD32" s="47"/>
      <c r="DUE32" s="47"/>
      <c r="DUF32" s="47"/>
      <c r="DUG32" s="47"/>
      <c r="DUH32" s="47"/>
      <c r="DUI32" s="47"/>
      <c r="DUJ32" s="47"/>
      <c r="DUK32" s="47"/>
      <c r="DUL32" s="47"/>
      <c r="DUM32" s="47"/>
      <c r="DUN32" s="47"/>
      <c r="DUO32" s="47"/>
      <c r="DUP32" s="47"/>
      <c r="DUQ32" s="47"/>
      <c r="DUR32" s="47"/>
      <c r="DUS32" s="47"/>
      <c r="DUT32" s="47"/>
      <c r="DUU32" s="47"/>
      <c r="DUV32" s="47"/>
      <c r="DUW32" s="47"/>
      <c r="DUX32" s="47"/>
      <c r="DUY32" s="47"/>
      <c r="DUZ32" s="47"/>
      <c r="DVA32" s="47"/>
      <c r="DVB32" s="47"/>
      <c r="DVC32" s="47"/>
      <c r="DVD32" s="47"/>
      <c r="DVE32" s="47"/>
      <c r="DVF32" s="47"/>
      <c r="DVG32" s="47"/>
      <c r="DVH32" s="47"/>
      <c r="DVI32" s="47"/>
      <c r="DVJ32" s="47"/>
      <c r="DVK32" s="47"/>
      <c r="DVL32" s="47"/>
      <c r="DVM32" s="47"/>
      <c r="DVN32" s="47"/>
      <c r="DVO32" s="47"/>
      <c r="DVP32" s="47"/>
      <c r="DVQ32" s="47"/>
      <c r="DVR32" s="47"/>
      <c r="DVS32" s="47"/>
      <c r="DVT32" s="47"/>
      <c r="DVU32" s="47"/>
      <c r="DVV32" s="47"/>
      <c r="DVW32" s="47"/>
      <c r="DVX32" s="47"/>
      <c r="DVY32" s="47"/>
      <c r="DVZ32" s="47"/>
      <c r="DWA32" s="47"/>
      <c r="DWB32" s="47"/>
      <c r="DWC32" s="47"/>
      <c r="DWD32" s="47"/>
      <c r="DWE32" s="47"/>
      <c r="DWF32" s="47"/>
      <c r="DWG32" s="47"/>
      <c r="DWH32" s="47"/>
      <c r="DWI32" s="47"/>
      <c r="DWJ32" s="47"/>
      <c r="DWK32" s="47"/>
      <c r="DWL32" s="47"/>
      <c r="DWM32" s="47"/>
      <c r="DWN32" s="47"/>
      <c r="DWO32" s="47"/>
      <c r="DWP32" s="47"/>
      <c r="DWQ32" s="47"/>
      <c r="DWR32" s="47"/>
      <c r="DWS32" s="47"/>
      <c r="DWT32" s="47"/>
      <c r="DWU32" s="47"/>
      <c r="DWV32" s="47"/>
      <c r="DWW32" s="47"/>
      <c r="DWX32" s="47"/>
      <c r="DWY32" s="47"/>
      <c r="DWZ32" s="47"/>
      <c r="DXA32" s="47"/>
      <c r="DXB32" s="47"/>
      <c r="DXC32" s="47"/>
      <c r="DXD32" s="47"/>
      <c r="DXE32" s="47"/>
      <c r="DXF32" s="47"/>
      <c r="DXG32" s="47"/>
      <c r="DXH32" s="47"/>
      <c r="DXI32" s="47"/>
      <c r="DXJ32" s="47"/>
      <c r="DXK32" s="47"/>
      <c r="DXL32" s="47"/>
      <c r="DXM32" s="47"/>
      <c r="DXN32" s="47"/>
      <c r="DXO32" s="47"/>
      <c r="DXP32" s="47"/>
      <c r="DXQ32" s="47"/>
      <c r="DXR32" s="47"/>
      <c r="DXS32" s="47"/>
      <c r="DXT32" s="47"/>
      <c r="DXU32" s="47"/>
      <c r="DXV32" s="47"/>
      <c r="DXW32" s="47"/>
      <c r="DXX32" s="47"/>
      <c r="DXY32" s="47"/>
      <c r="DXZ32" s="47"/>
      <c r="DYA32" s="47"/>
      <c r="DYB32" s="47"/>
      <c r="DYC32" s="47"/>
      <c r="DYD32" s="47"/>
      <c r="DYE32" s="47"/>
      <c r="DYF32" s="47"/>
      <c r="DYG32" s="47"/>
      <c r="DYH32" s="47"/>
      <c r="DYI32" s="47"/>
      <c r="DYJ32" s="47"/>
      <c r="DYK32" s="47"/>
      <c r="DYL32" s="47"/>
      <c r="DYM32" s="47"/>
      <c r="DYN32" s="47"/>
      <c r="DYO32" s="47"/>
      <c r="DYP32" s="47"/>
      <c r="DYQ32" s="47"/>
      <c r="DYR32" s="47"/>
      <c r="DYS32" s="47"/>
      <c r="DYT32" s="47"/>
      <c r="DYU32" s="47"/>
      <c r="DYV32" s="47"/>
      <c r="DYW32" s="47"/>
      <c r="DYX32" s="47"/>
      <c r="DYY32" s="47"/>
      <c r="DYZ32" s="47"/>
      <c r="DZA32" s="47"/>
      <c r="DZB32" s="47"/>
      <c r="DZC32" s="47"/>
      <c r="DZD32" s="47"/>
      <c r="DZE32" s="47"/>
      <c r="DZF32" s="47"/>
      <c r="DZG32" s="47"/>
      <c r="DZH32" s="47"/>
      <c r="DZI32" s="47"/>
      <c r="DZJ32" s="47"/>
      <c r="DZK32" s="47"/>
      <c r="DZL32" s="47"/>
      <c r="DZM32" s="47"/>
      <c r="DZN32" s="47"/>
      <c r="DZO32" s="47"/>
      <c r="DZP32" s="47"/>
      <c r="DZQ32" s="47"/>
      <c r="DZR32" s="47"/>
      <c r="DZS32" s="47"/>
      <c r="DZT32" s="47"/>
      <c r="DZU32" s="47"/>
      <c r="DZV32" s="47"/>
      <c r="DZW32" s="47"/>
      <c r="DZX32" s="47"/>
      <c r="DZY32" s="47"/>
      <c r="DZZ32" s="47"/>
      <c r="EAA32" s="47"/>
      <c r="EAB32" s="47"/>
      <c r="EAC32" s="47"/>
      <c r="EAD32" s="47"/>
      <c r="EAE32" s="47"/>
      <c r="EAF32" s="47"/>
      <c r="EAG32" s="47"/>
      <c r="EAH32" s="47"/>
      <c r="EAI32" s="47"/>
      <c r="EAJ32" s="47"/>
      <c r="EAK32" s="47"/>
      <c r="EAL32" s="47"/>
      <c r="EAM32" s="47"/>
      <c r="EAN32" s="47"/>
      <c r="EAO32" s="47"/>
      <c r="EAP32" s="47"/>
      <c r="EAQ32" s="47"/>
      <c r="EAR32" s="47"/>
      <c r="EAS32" s="47"/>
      <c r="EAT32" s="47"/>
      <c r="EAU32" s="47"/>
      <c r="EAV32" s="47"/>
      <c r="EAW32" s="47"/>
      <c r="EAX32" s="47"/>
      <c r="EAY32" s="47"/>
      <c r="EAZ32" s="47"/>
      <c r="EBA32" s="47"/>
      <c r="EBB32" s="47"/>
      <c r="EBC32" s="47"/>
      <c r="EBD32" s="47"/>
      <c r="EBE32" s="47"/>
      <c r="EBF32" s="47"/>
      <c r="EBG32" s="47"/>
      <c r="EBH32" s="47"/>
      <c r="EBI32" s="47"/>
      <c r="EBJ32" s="47"/>
      <c r="EBK32" s="47"/>
      <c r="EBL32" s="47"/>
      <c r="EBM32" s="47"/>
      <c r="EBN32" s="47"/>
      <c r="EBO32" s="47"/>
      <c r="EBP32" s="47"/>
      <c r="EBQ32" s="47"/>
      <c r="EBR32" s="47"/>
      <c r="EBS32" s="47"/>
      <c r="EBT32" s="47"/>
      <c r="EBU32" s="47"/>
      <c r="EBV32" s="47"/>
      <c r="EBW32" s="47"/>
      <c r="EBX32" s="47"/>
      <c r="EBY32" s="47"/>
      <c r="EBZ32" s="47"/>
      <c r="ECA32" s="47"/>
      <c r="ECB32" s="47"/>
      <c r="ECC32" s="47"/>
      <c r="ECD32" s="47"/>
      <c r="ECE32" s="47"/>
      <c r="ECF32" s="47"/>
      <c r="ECG32" s="47"/>
      <c r="ECH32" s="47"/>
      <c r="ECI32" s="47"/>
      <c r="ECJ32" s="47"/>
      <c r="ECK32" s="47"/>
      <c r="ECL32" s="47"/>
      <c r="ECM32" s="47"/>
      <c r="ECN32" s="47"/>
      <c r="ECO32" s="47"/>
      <c r="ECP32" s="47"/>
      <c r="ECQ32" s="47"/>
      <c r="ECR32" s="47"/>
      <c r="ECS32" s="47"/>
      <c r="ECT32" s="47"/>
      <c r="ECU32" s="47"/>
      <c r="ECV32" s="47"/>
      <c r="ECW32" s="47"/>
      <c r="ECX32" s="47"/>
      <c r="ECY32" s="47"/>
      <c r="ECZ32" s="47"/>
      <c r="EDA32" s="47"/>
      <c r="EDB32" s="47"/>
      <c r="EDC32" s="47"/>
      <c r="EDD32" s="47"/>
      <c r="EDE32" s="47"/>
      <c r="EDF32" s="47"/>
      <c r="EDG32" s="47"/>
      <c r="EDH32" s="47"/>
      <c r="EDI32" s="47"/>
      <c r="EDJ32" s="47"/>
      <c r="EDK32" s="47"/>
      <c r="EDL32" s="47"/>
      <c r="EDM32" s="47"/>
      <c r="EDN32" s="47"/>
      <c r="EDO32" s="47"/>
      <c r="EDP32" s="47"/>
      <c r="EDQ32" s="47"/>
      <c r="EDR32" s="47"/>
      <c r="EDS32" s="47"/>
      <c r="EDT32" s="47"/>
      <c r="EDU32" s="47"/>
      <c r="EDV32" s="47"/>
      <c r="EDW32" s="47"/>
      <c r="EDX32" s="47"/>
      <c r="EDY32" s="47"/>
      <c r="EDZ32" s="47"/>
      <c r="EEA32" s="47"/>
      <c r="EEB32" s="47"/>
      <c r="EEC32" s="47"/>
      <c r="EED32" s="47"/>
      <c r="EEE32" s="47"/>
      <c r="EEF32" s="47"/>
      <c r="EEG32" s="47"/>
      <c r="EEH32" s="47"/>
      <c r="EEI32" s="47"/>
      <c r="EEJ32" s="47"/>
      <c r="EEK32" s="47"/>
      <c r="EEL32" s="47"/>
      <c r="EEM32" s="47"/>
      <c r="EEN32" s="47"/>
      <c r="EEO32" s="47"/>
      <c r="EEP32" s="47"/>
      <c r="EEQ32" s="47"/>
      <c r="EER32" s="47"/>
      <c r="EES32" s="47"/>
      <c r="EET32" s="47"/>
      <c r="EEU32" s="47"/>
      <c r="EEV32" s="47"/>
      <c r="EEW32" s="47"/>
      <c r="EEX32" s="47"/>
      <c r="EEY32" s="47"/>
      <c r="EEZ32" s="47"/>
      <c r="EFA32" s="47"/>
      <c r="EFB32" s="47"/>
      <c r="EFC32" s="47"/>
      <c r="EFD32" s="47"/>
      <c r="EFE32" s="47"/>
      <c r="EFF32" s="47"/>
      <c r="EFG32" s="47"/>
      <c r="EFH32" s="47"/>
      <c r="EFI32" s="47"/>
      <c r="EFJ32" s="47"/>
      <c r="EFK32" s="47"/>
      <c r="EFL32" s="47"/>
      <c r="EFM32" s="47"/>
      <c r="EFN32" s="47"/>
      <c r="EFO32" s="47"/>
      <c r="EFP32" s="47"/>
      <c r="EFQ32" s="47"/>
      <c r="EFR32" s="47"/>
      <c r="EFS32" s="47"/>
      <c r="EFT32" s="47"/>
      <c r="EFU32" s="47"/>
      <c r="EFV32" s="47"/>
      <c r="EFW32" s="47"/>
      <c r="EFX32" s="47"/>
      <c r="EFY32" s="47"/>
      <c r="EFZ32" s="47"/>
      <c r="EGA32" s="47"/>
      <c r="EGB32" s="47"/>
      <c r="EGC32" s="47"/>
      <c r="EGD32" s="47"/>
      <c r="EGE32" s="47"/>
      <c r="EGF32" s="47"/>
      <c r="EGG32" s="47"/>
      <c r="EGH32" s="47"/>
      <c r="EGI32" s="47"/>
      <c r="EGJ32" s="47"/>
      <c r="EGK32" s="47"/>
      <c r="EGL32" s="47"/>
      <c r="EGM32" s="47"/>
      <c r="EGN32" s="47"/>
      <c r="EGO32" s="47"/>
      <c r="EGP32" s="47"/>
      <c r="EGQ32" s="47"/>
      <c r="EGR32" s="47"/>
      <c r="EGS32" s="47"/>
      <c r="EGT32" s="47"/>
      <c r="EGU32" s="47"/>
      <c r="EGV32" s="47"/>
      <c r="EGW32" s="47"/>
      <c r="EGX32" s="47"/>
      <c r="EGY32" s="47"/>
      <c r="EGZ32" s="47"/>
      <c r="EHA32" s="47"/>
      <c r="EHB32" s="47"/>
      <c r="EHC32" s="47"/>
      <c r="EHD32" s="47"/>
      <c r="EHE32" s="47"/>
      <c r="EHF32" s="47"/>
      <c r="EHG32" s="47"/>
      <c r="EHH32" s="47"/>
      <c r="EHI32" s="47"/>
      <c r="EHJ32" s="47"/>
      <c r="EHK32" s="47"/>
      <c r="EHL32" s="47"/>
      <c r="EHM32" s="47"/>
      <c r="EHN32" s="47"/>
      <c r="EHO32" s="47"/>
      <c r="EHP32" s="47"/>
      <c r="EHQ32" s="47"/>
      <c r="EHR32" s="47"/>
      <c r="EHS32" s="47"/>
      <c r="EHT32" s="47"/>
      <c r="EHU32" s="47"/>
      <c r="EHV32" s="47"/>
      <c r="EHW32" s="47"/>
      <c r="EHX32" s="47"/>
      <c r="EHY32" s="47"/>
      <c r="EHZ32" s="47"/>
      <c r="EIA32" s="47"/>
      <c r="EIB32" s="47"/>
      <c r="EIC32" s="47"/>
      <c r="EID32" s="47"/>
      <c r="EIE32" s="47"/>
      <c r="EIF32" s="47"/>
      <c r="EIG32" s="47"/>
      <c r="EIH32" s="47"/>
      <c r="EII32" s="47"/>
      <c r="EIJ32" s="47"/>
      <c r="EIK32" s="47"/>
      <c r="EIL32" s="47"/>
      <c r="EIM32" s="47"/>
      <c r="EIN32" s="47"/>
      <c r="EIO32" s="47"/>
      <c r="EIP32" s="47"/>
      <c r="EIQ32" s="47"/>
      <c r="EIR32" s="47"/>
      <c r="EIS32" s="47"/>
      <c r="EIT32" s="47"/>
      <c r="EIU32" s="47"/>
      <c r="EIV32" s="47"/>
      <c r="EIW32" s="47"/>
      <c r="EIX32" s="47"/>
      <c r="EIY32" s="47"/>
      <c r="EIZ32" s="47"/>
      <c r="EJA32" s="47"/>
      <c r="EJB32" s="47"/>
      <c r="EJC32" s="47"/>
      <c r="EJD32" s="47"/>
      <c r="EJE32" s="47"/>
      <c r="EJF32" s="47"/>
      <c r="EJG32" s="47"/>
      <c r="EJH32" s="47"/>
      <c r="EJI32" s="47"/>
      <c r="EJJ32" s="47"/>
      <c r="EJK32" s="47"/>
      <c r="EJL32" s="47"/>
      <c r="EJM32" s="47"/>
      <c r="EJN32" s="47"/>
      <c r="EJO32" s="47"/>
      <c r="EJP32" s="47"/>
      <c r="EJQ32" s="47"/>
      <c r="EJR32" s="47"/>
      <c r="EJS32" s="47"/>
      <c r="EJT32" s="47"/>
      <c r="EJU32" s="47"/>
      <c r="EJV32" s="47"/>
      <c r="EJW32" s="47"/>
      <c r="EJX32" s="47"/>
      <c r="EJY32" s="47"/>
      <c r="EJZ32" s="47"/>
      <c r="EKA32" s="47"/>
      <c r="EKB32" s="47"/>
      <c r="EKC32" s="47"/>
      <c r="EKD32" s="47"/>
      <c r="EKE32" s="47"/>
      <c r="EKF32" s="47"/>
      <c r="EKG32" s="47"/>
      <c r="EKH32" s="47"/>
      <c r="EKI32" s="47"/>
      <c r="EKJ32" s="47"/>
      <c r="EKK32" s="47"/>
      <c r="EKL32" s="47"/>
      <c r="EKM32" s="47"/>
      <c r="EKN32" s="47"/>
      <c r="EKO32" s="47"/>
      <c r="EKP32" s="47"/>
      <c r="EKQ32" s="47"/>
      <c r="EKR32" s="47"/>
      <c r="EKS32" s="47"/>
      <c r="EKT32" s="47"/>
      <c r="EKU32" s="47"/>
      <c r="EKV32" s="47"/>
      <c r="EKW32" s="47"/>
      <c r="EKX32" s="47"/>
      <c r="EKY32" s="47"/>
      <c r="EKZ32" s="47"/>
      <c r="ELA32" s="47"/>
      <c r="ELB32" s="47"/>
      <c r="ELC32" s="47"/>
      <c r="ELD32" s="47"/>
      <c r="ELE32" s="47"/>
      <c r="ELF32" s="47"/>
      <c r="ELG32" s="47"/>
      <c r="ELH32" s="47"/>
      <c r="ELI32" s="47"/>
      <c r="ELJ32" s="47"/>
      <c r="ELK32" s="47"/>
      <c r="ELL32" s="47"/>
      <c r="ELM32" s="47"/>
      <c r="ELN32" s="47"/>
      <c r="ELO32" s="47"/>
      <c r="ELP32" s="47"/>
      <c r="ELQ32" s="47"/>
      <c r="ELR32" s="47"/>
      <c r="ELS32" s="47"/>
      <c r="ELT32" s="47"/>
      <c r="ELU32" s="47"/>
      <c r="ELV32" s="47"/>
      <c r="ELW32" s="47"/>
      <c r="ELX32" s="47"/>
      <c r="ELY32" s="47"/>
      <c r="ELZ32" s="47"/>
      <c r="EMA32" s="47"/>
      <c r="EMB32" s="47"/>
      <c r="EMC32" s="47"/>
      <c r="EMD32" s="47"/>
      <c r="EME32" s="47"/>
      <c r="EMF32" s="47"/>
      <c r="EMG32" s="47"/>
      <c r="EMH32" s="47"/>
      <c r="EMI32" s="47"/>
      <c r="EMJ32" s="47"/>
      <c r="EMK32" s="47"/>
      <c r="EML32" s="47"/>
      <c r="EMM32" s="47"/>
      <c r="EMN32" s="47"/>
      <c r="EMO32" s="47"/>
      <c r="EMP32" s="47"/>
      <c r="EMQ32" s="47"/>
      <c r="EMR32" s="47"/>
      <c r="EMS32" s="47"/>
      <c r="EMT32" s="47"/>
      <c r="EMU32" s="47"/>
      <c r="EMV32" s="47"/>
      <c r="EMW32" s="47"/>
      <c r="EMX32" s="47"/>
      <c r="EMY32" s="47"/>
      <c r="EMZ32" s="47"/>
      <c r="ENA32" s="47"/>
      <c r="ENB32" s="47"/>
      <c r="ENC32" s="47"/>
      <c r="END32" s="47"/>
      <c r="ENE32" s="47"/>
      <c r="ENF32" s="47"/>
      <c r="ENG32" s="47"/>
      <c r="ENH32" s="47"/>
      <c r="ENI32" s="47"/>
      <c r="ENJ32" s="47"/>
      <c r="ENK32" s="47"/>
      <c r="ENL32" s="47"/>
      <c r="ENM32" s="47"/>
      <c r="ENN32" s="47"/>
      <c r="ENO32" s="47"/>
      <c r="ENP32" s="47"/>
      <c r="ENQ32" s="47"/>
      <c r="ENR32" s="47"/>
      <c r="ENS32" s="47"/>
      <c r="ENT32" s="47"/>
      <c r="ENU32" s="47"/>
      <c r="ENV32" s="47"/>
      <c r="ENW32" s="47"/>
      <c r="ENX32" s="47"/>
      <c r="ENY32" s="47"/>
      <c r="ENZ32" s="47"/>
      <c r="EOA32" s="47"/>
      <c r="EOB32" s="47"/>
      <c r="EOC32" s="47"/>
      <c r="EOD32" s="47"/>
      <c r="EOE32" s="47"/>
      <c r="EOF32" s="47"/>
      <c r="EOG32" s="47"/>
      <c r="EOH32" s="47"/>
      <c r="EOI32" s="47"/>
      <c r="EOJ32" s="47"/>
      <c r="EOK32" s="47"/>
      <c r="EOL32" s="47"/>
      <c r="EOM32" s="47"/>
      <c r="EON32" s="47"/>
      <c r="EOO32" s="47"/>
      <c r="EOP32" s="47"/>
      <c r="EOQ32" s="47"/>
      <c r="EOR32" s="47"/>
      <c r="EOS32" s="47"/>
      <c r="EOT32" s="47"/>
      <c r="EOU32" s="47"/>
      <c r="EOV32" s="47"/>
      <c r="EOW32" s="47"/>
      <c r="EOX32" s="47"/>
      <c r="EOY32" s="47"/>
      <c r="EOZ32" s="47"/>
      <c r="EPA32" s="47"/>
      <c r="EPB32" s="47"/>
      <c r="EPC32" s="47"/>
      <c r="EPD32" s="47"/>
      <c r="EPE32" s="47"/>
      <c r="EPF32" s="47"/>
      <c r="EPG32" s="47"/>
      <c r="EPH32" s="47"/>
      <c r="EPI32" s="47"/>
      <c r="EPJ32" s="47"/>
      <c r="EPK32" s="47"/>
      <c r="EPL32" s="47"/>
      <c r="EPM32" s="47"/>
      <c r="EPN32" s="47"/>
      <c r="EPO32" s="47"/>
      <c r="EPP32" s="47"/>
      <c r="EPQ32" s="47"/>
      <c r="EPR32" s="47"/>
      <c r="EPS32" s="47"/>
      <c r="EPT32" s="47"/>
      <c r="EPU32" s="47"/>
      <c r="EPV32" s="47"/>
      <c r="EPW32" s="47"/>
      <c r="EPX32" s="47"/>
      <c r="EPY32" s="47"/>
      <c r="EPZ32" s="47"/>
      <c r="EQA32" s="47"/>
      <c r="EQB32" s="47"/>
      <c r="EQC32" s="47"/>
      <c r="EQD32" s="47"/>
      <c r="EQE32" s="47"/>
      <c r="EQF32" s="47"/>
      <c r="EQG32" s="47"/>
      <c r="EQH32" s="47"/>
      <c r="EQI32" s="47"/>
      <c r="EQJ32" s="47"/>
      <c r="EQK32" s="47"/>
      <c r="EQL32" s="47"/>
      <c r="EQM32" s="47"/>
      <c r="EQN32" s="47"/>
      <c r="EQO32" s="47"/>
      <c r="EQP32" s="47"/>
      <c r="EQQ32" s="47"/>
      <c r="EQR32" s="47"/>
      <c r="EQS32" s="47"/>
      <c r="EQT32" s="47"/>
      <c r="EQU32" s="47"/>
      <c r="EQV32" s="47"/>
      <c r="EQW32" s="47"/>
      <c r="EQX32" s="47"/>
      <c r="EQY32" s="47"/>
      <c r="EQZ32" s="47"/>
      <c r="ERA32" s="47"/>
      <c r="ERB32" s="47"/>
      <c r="ERC32" s="47"/>
      <c r="ERD32" s="47"/>
      <c r="ERE32" s="47"/>
      <c r="ERF32" s="47"/>
      <c r="ERG32" s="47"/>
      <c r="ERH32" s="47"/>
      <c r="ERI32" s="47"/>
      <c r="ERJ32" s="47"/>
      <c r="ERK32" s="47"/>
      <c r="ERL32" s="47"/>
      <c r="ERM32" s="47"/>
      <c r="ERN32" s="47"/>
      <c r="ERO32" s="47"/>
      <c r="ERP32" s="47"/>
      <c r="ERQ32" s="47"/>
      <c r="ERR32" s="47"/>
      <c r="ERS32" s="47"/>
      <c r="ERT32" s="47"/>
      <c r="ERU32" s="47"/>
      <c r="ERV32" s="47"/>
      <c r="ERW32" s="47"/>
      <c r="ERX32" s="47"/>
      <c r="ERY32" s="47"/>
      <c r="ERZ32" s="47"/>
      <c r="ESA32" s="47"/>
      <c r="ESB32" s="47"/>
      <c r="ESC32" s="47"/>
      <c r="ESD32" s="47"/>
      <c r="ESE32" s="47"/>
      <c r="ESF32" s="47"/>
      <c r="ESG32" s="47"/>
      <c r="ESH32" s="47"/>
      <c r="ESI32" s="47"/>
      <c r="ESJ32" s="47"/>
      <c r="ESK32" s="47"/>
      <c r="ESL32" s="47"/>
      <c r="ESM32" s="47"/>
      <c r="ESN32" s="47"/>
      <c r="ESO32" s="47"/>
      <c r="ESP32" s="47"/>
      <c r="ESQ32" s="47"/>
      <c r="ESR32" s="47"/>
      <c r="ESS32" s="47"/>
      <c r="EST32" s="47"/>
      <c r="ESU32" s="47"/>
      <c r="ESV32" s="47"/>
      <c r="ESW32" s="47"/>
      <c r="ESX32" s="47"/>
      <c r="ESY32" s="47"/>
      <c r="ESZ32" s="47"/>
      <c r="ETA32" s="47"/>
      <c r="ETB32" s="47"/>
      <c r="ETC32" s="47"/>
      <c r="ETD32" s="47"/>
      <c r="ETE32" s="47"/>
      <c r="ETF32" s="47"/>
      <c r="ETG32" s="47"/>
      <c r="ETH32" s="47"/>
      <c r="ETI32" s="47"/>
      <c r="ETJ32" s="47"/>
      <c r="ETK32" s="47"/>
      <c r="ETL32" s="47"/>
      <c r="ETM32" s="47"/>
      <c r="ETN32" s="47"/>
      <c r="ETO32" s="47"/>
      <c r="ETP32" s="47"/>
      <c r="ETQ32" s="47"/>
      <c r="ETR32" s="47"/>
      <c r="ETS32" s="47"/>
      <c r="ETT32" s="47"/>
      <c r="ETU32" s="47"/>
      <c r="ETV32" s="47"/>
      <c r="ETW32" s="47"/>
      <c r="ETX32" s="47"/>
      <c r="ETY32" s="47"/>
      <c r="ETZ32" s="47"/>
      <c r="EUA32" s="47"/>
      <c r="EUB32" s="47"/>
      <c r="EUC32" s="47"/>
      <c r="EUD32" s="47"/>
      <c r="EUE32" s="47"/>
      <c r="EUF32" s="47"/>
      <c r="EUG32" s="47"/>
      <c r="EUH32" s="47"/>
      <c r="EUI32" s="47"/>
      <c r="EUJ32" s="47"/>
      <c r="EUK32" s="47"/>
      <c r="EUL32" s="47"/>
      <c r="EUM32" s="47"/>
      <c r="EUN32" s="47"/>
      <c r="EUO32" s="47"/>
      <c r="EUP32" s="47"/>
      <c r="EUQ32" s="47"/>
      <c r="EUR32" s="47"/>
      <c r="EUS32" s="47"/>
      <c r="EUT32" s="47"/>
      <c r="EUU32" s="47"/>
      <c r="EUV32" s="47"/>
      <c r="EUW32" s="47"/>
      <c r="EUX32" s="47"/>
      <c r="EUY32" s="47"/>
      <c r="EUZ32" s="47"/>
      <c r="EVA32" s="47"/>
      <c r="EVB32" s="47"/>
      <c r="EVC32" s="47"/>
      <c r="EVD32" s="47"/>
      <c r="EVE32" s="47"/>
      <c r="EVF32" s="47"/>
      <c r="EVG32" s="47"/>
      <c r="EVH32" s="47"/>
      <c r="EVI32" s="47"/>
      <c r="EVJ32" s="47"/>
      <c r="EVK32" s="47"/>
      <c r="EVL32" s="47"/>
      <c r="EVM32" s="47"/>
      <c r="EVN32" s="47"/>
      <c r="EVO32" s="47"/>
      <c r="EVP32" s="47"/>
      <c r="EVQ32" s="47"/>
      <c r="EVR32" s="47"/>
      <c r="EVS32" s="47"/>
      <c r="EVT32" s="47"/>
      <c r="EVU32" s="47"/>
      <c r="EVV32" s="47"/>
      <c r="EVW32" s="47"/>
      <c r="EVX32" s="47"/>
      <c r="EVY32" s="47"/>
      <c r="EVZ32" s="47"/>
      <c r="EWA32" s="47"/>
      <c r="EWB32" s="47"/>
      <c r="EWC32" s="47"/>
      <c r="EWD32" s="47"/>
      <c r="EWE32" s="47"/>
      <c r="EWF32" s="47"/>
      <c r="EWG32" s="47"/>
      <c r="EWH32" s="47"/>
      <c r="EWI32" s="47"/>
      <c r="EWJ32" s="47"/>
      <c r="EWK32" s="47"/>
      <c r="EWL32" s="47"/>
      <c r="EWM32" s="47"/>
      <c r="EWN32" s="47"/>
      <c r="EWO32" s="47"/>
      <c r="EWP32" s="47"/>
      <c r="EWQ32" s="47"/>
      <c r="EWR32" s="47"/>
      <c r="EWS32" s="47"/>
      <c r="EWT32" s="47"/>
      <c r="EWU32" s="47"/>
      <c r="EWV32" s="47"/>
      <c r="EWW32" s="47"/>
      <c r="EWX32" s="47"/>
      <c r="EWY32" s="47"/>
      <c r="EWZ32" s="47"/>
      <c r="EXA32" s="47"/>
      <c r="EXB32" s="47"/>
      <c r="EXC32" s="47"/>
      <c r="EXD32" s="47"/>
      <c r="EXE32" s="47"/>
      <c r="EXF32" s="47"/>
      <c r="EXG32" s="47"/>
      <c r="EXH32" s="47"/>
      <c r="EXI32" s="47"/>
      <c r="EXJ32" s="47"/>
      <c r="EXK32" s="47"/>
      <c r="EXL32" s="47"/>
      <c r="EXM32" s="47"/>
      <c r="EXN32" s="47"/>
      <c r="EXO32" s="47"/>
      <c r="EXP32" s="47"/>
      <c r="EXQ32" s="47"/>
      <c r="EXR32" s="47"/>
      <c r="EXS32" s="47"/>
      <c r="EXT32" s="47"/>
      <c r="EXU32" s="47"/>
      <c r="EXV32" s="47"/>
      <c r="EXW32" s="47"/>
      <c r="EXX32" s="47"/>
      <c r="EXY32" s="47"/>
      <c r="EXZ32" s="47"/>
      <c r="EYA32" s="47"/>
      <c r="EYB32" s="47"/>
      <c r="EYC32" s="47"/>
      <c r="EYD32" s="47"/>
      <c r="EYE32" s="47"/>
      <c r="EYF32" s="47"/>
      <c r="EYG32" s="47"/>
      <c r="EYH32" s="47"/>
      <c r="EYI32" s="47"/>
      <c r="EYJ32" s="47"/>
      <c r="EYK32" s="47"/>
      <c r="EYL32" s="47"/>
      <c r="EYM32" s="47"/>
      <c r="EYN32" s="47"/>
      <c r="EYO32" s="47"/>
      <c r="EYP32" s="47"/>
      <c r="EYQ32" s="47"/>
      <c r="EYR32" s="47"/>
      <c r="EYS32" s="47"/>
      <c r="EYT32" s="47"/>
      <c r="EYU32" s="47"/>
      <c r="EYV32" s="47"/>
      <c r="EYW32" s="47"/>
      <c r="EYX32" s="47"/>
      <c r="EYY32" s="47"/>
      <c r="EYZ32" s="47"/>
      <c r="EZA32" s="47"/>
      <c r="EZB32" s="47"/>
      <c r="EZC32" s="47"/>
      <c r="EZD32" s="47"/>
      <c r="EZE32" s="47"/>
      <c r="EZF32" s="47"/>
      <c r="EZG32" s="47"/>
      <c r="EZH32" s="47"/>
      <c r="EZI32" s="47"/>
      <c r="EZJ32" s="47"/>
      <c r="EZK32" s="47"/>
      <c r="EZL32" s="47"/>
      <c r="EZM32" s="47"/>
      <c r="EZN32" s="47"/>
      <c r="EZO32" s="47"/>
      <c r="EZP32" s="47"/>
      <c r="EZQ32" s="47"/>
      <c r="EZR32" s="47"/>
      <c r="EZS32" s="47"/>
      <c r="EZT32" s="47"/>
      <c r="EZU32" s="47"/>
      <c r="EZV32" s="47"/>
      <c r="EZW32" s="47"/>
      <c r="EZX32" s="47"/>
      <c r="EZY32" s="47"/>
      <c r="EZZ32" s="47"/>
      <c r="FAA32" s="47"/>
      <c r="FAB32" s="47"/>
      <c r="FAC32" s="47"/>
      <c r="FAD32" s="47"/>
      <c r="FAE32" s="47"/>
      <c r="FAF32" s="47"/>
      <c r="FAG32" s="47"/>
      <c r="FAH32" s="47"/>
      <c r="FAI32" s="47"/>
      <c r="FAJ32" s="47"/>
      <c r="FAK32" s="47"/>
      <c r="FAL32" s="47"/>
      <c r="FAM32" s="47"/>
      <c r="FAN32" s="47"/>
      <c r="FAO32" s="47"/>
      <c r="FAP32" s="47"/>
      <c r="FAQ32" s="47"/>
      <c r="FAR32" s="47"/>
      <c r="FAS32" s="47"/>
      <c r="FAT32" s="47"/>
      <c r="FAU32" s="47"/>
      <c r="FAV32" s="47"/>
      <c r="FAW32" s="47"/>
      <c r="FAX32" s="47"/>
      <c r="FAY32" s="47"/>
      <c r="FAZ32" s="47"/>
      <c r="FBA32" s="47"/>
      <c r="FBB32" s="47"/>
      <c r="FBC32" s="47"/>
      <c r="FBD32" s="47"/>
      <c r="FBE32" s="47"/>
      <c r="FBF32" s="47"/>
      <c r="FBG32" s="47"/>
      <c r="FBH32" s="47"/>
      <c r="FBI32" s="47"/>
      <c r="FBJ32" s="47"/>
      <c r="FBK32" s="47"/>
      <c r="FBL32" s="47"/>
      <c r="FBM32" s="47"/>
      <c r="FBN32" s="47"/>
      <c r="FBO32" s="47"/>
      <c r="FBP32" s="47"/>
      <c r="FBQ32" s="47"/>
      <c r="FBR32" s="47"/>
      <c r="FBS32" s="47"/>
      <c r="FBT32" s="47"/>
      <c r="FBU32" s="47"/>
      <c r="FBV32" s="47"/>
      <c r="FBW32" s="47"/>
      <c r="FBX32" s="47"/>
      <c r="FBY32" s="47"/>
      <c r="FBZ32" s="47"/>
      <c r="FCA32" s="47"/>
      <c r="FCB32" s="47"/>
      <c r="FCC32" s="47"/>
      <c r="FCD32" s="47"/>
      <c r="FCE32" s="47"/>
      <c r="FCF32" s="47"/>
      <c r="FCG32" s="47"/>
      <c r="FCH32" s="47"/>
      <c r="FCI32" s="47"/>
      <c r="FCJ32" s="47"/>
      <c r="FCK32" s="47"/>
      <c r="FCL32" s="47"/>
      <c r="FCM32" s="47"/>
      <c r="FCN32" s="47"/>
      <c r="FCO32" s="47"/>
      <c r="FCP32" s="47"/>
      <c r="FCQ32" s="47"/>
      <c r="FCR32" s="47"/>
      <c r="FCS32" s="47"/>
      <c r="FCT32" s="47"/>
      <c r="FCU32" s="47"/>
      <c r="FCV32" s="47"/>
      <c r="FCW32" s="47"/>
      <c r="FCX32" s="47"/>
      <c r="FCY32" s="47"/>
      <c r="FCZ32" s="47"/>
      <c r="FDA32" s="47"/>
      <c r="FDB32" s="47"/>
      <c r="FDC32" s="47"/>
      <c r="FDD32" s="47"/>
      <c r="FDE32" s="47"/>
      <c r="FDF32" s="47"/>
      <c r="FDG32" s="47"/>
      <c r="FDH32" s="47"/>
      <c r="FDI32" s="47"/>
      <c r="FDJ32" s="47"/>
      <c r="FDK32" s="47"/>
      <c r="FDL32" s="47"/>
      <c r="FDM32" s="47"/>
      <c r="FDN32" s="47"/>
      <c r="FDO32" s="47"/>
      <c r="FDP32" s="47"/>
      <c r="FDQ32" s="47"/>
      <c r="FDR32" s="47"/>
      <c r="FDS32" s="47"/>
      <c r="FDT32" s="47"/>
      <c r="FDU32" s="47"/>
      <c r="FDV32" s="47"/>
      <c r="FDW32" s="47"/>
      <c r="FDX32" s="47"/>
      <c r="FDY32" s="47"/>
      <c r="FDZ32" s="47"/>
      <c r="FEA32" s="47"/>
      <c r="FEB32" s="47"/>
      <c r="FEC32" s="47"/>
      <c r="FED32" s="47"/>
      <c r="FEE32" s="47"/>
      <c r="FEF32" s="47"/>
      <c r="FEG32" s="47"/>
      <c r="FEH32" s="47"/>
      <c r="FEI32" s="47"/>
      <c r="FEJ32" s="47"/>
      <c r="FEK32" s="47"/>
      <c r="FEL32" s="47"/>
      <c r="FEM32" s="47"/>
      <c r="FEN32" s="47"/>
      <c r="FEO32" s="47"/>
      <c r="FEP32" s="47"/>
      <c r="FEQ32" s="47"/>
      <c r="FER32" s="47"/>
      <c r="FES32" s="47"/>
      <c r="FET32" s="47"/>
      <c r="FEU32" s="47"/>
      <c r="FEV32" s="47"/>
      <c r="FEW32" s="47"/>
      <c r="FEX32" s="47"/>
      <c r="FEY32" s="47"/>
      <c r="FEZ32" s="47"/>
      <c r="FFA32" s="47"/>
      <c r="FFB32" s="47"/>
      <c r="FFC32" s="47"/>
      <c r="FFD32" s="47"/>
      <c r="FFE32" s="47"/>
      <c r="FFF32" s="47"/>
      <c r="FFG32" s="47"/>
      <c r="FFH32" s="47"/>
      <c r="FFI32" s="47"/>
      <c r="FFJ32" s="47"/>
      <c r="FFK32" s="47"/>
      <c r="FFL32" s="47"/>
      <c r="FFM32" s="47"/>
      <c r="FFN32" s="47"/>
      <c r="FFO32" s="47"/>
      <c r="FFP32" s="47"/>
      <c r="FFQ32" s="47"/>
      <c r="FFR32" s="47"/>
      <c r="FFS32" s="47"/>
      <c r="FFT32" s="47"/>
      <c r="FFU32" s="47"/>
      <c r="FFV32" s="47"/>
      <c r="FFW32" s="47"/>
      <c r="FFX32" s="47"/>
      <c r="FFY32" s="47"/>
      <c r="FFZ32" s="47"/>
      <c r="FGA32" s="47"/>
      <c r="FGB32" s="47"/>
      <c r="FGC32" s="47"/>
      <c r="FGD32" s="47"/>
      <c r="FGE32" s="47"/>
      <c r="FGF32" s="47"/>
      <c r="FGG32" s="47"/>
      <c r="FGH32" s="47"/>
      <c r="FGI32" s="47"/>
      <c r="FGJ32" s="47"/>
      <c r="FGK32" s="47"/>
      <c r="FGL32" s="47"/>
      <c r="FGM32" s="47"/>
      <c r="FGN32" s="47"/>
      <c r="FGO32" s="47"/>
      <c r="FGP32" s="47"/>
      <c r="FGQ32" s="47"/>
      <c r="FGR32" s="47"/>
      <c r="FGS32" s="47"/>
      <c r="FGT32" s="47"/>
      <c r="FGU32" s="47"/>
      <c r="FGV32" s="47"/>
      <c r="FGW32" s="47"/>
      <c r="FGX32" s="47"/>
      <c r="FGY32" s="47"/>
      <c r="FGZ32" s="47"/>
      <c r="FHA32" s="47"/>
      <c r="FHB32" s="47"/>
      <c r="FHC32" s="47"/>
      <c r="FHD32" s="47"/>
      <c r="FHE32" s="47"/>
      <c r="FHF32" s="47"/>
      <c r="FHG32" s="47"/>
      <c r="FHH32" s="47"/>
      <c r="FHI32" s="47"/>
      <c r="FHJ32" s="47"/>
      <c r="FHK32" s="47"/>
      <c r="FHL32" s="47"/>
      <c r="FHM32" s="47"/>
      <c r="FHN32" s="47"/>
      <c r="FHO32" s="47"/>
      <c r="FHP32" s="47"/>
      <c r="FHQ32" s="47"/>
      <c r="FHR32" s="47"/>
      <c r="FHS32" s="47"/>
      <c r="FHT32" s="47"/>
      <c r="FHU32" s="47"/>
      <c r="FHV32" s="47"/>
      <c r="FHW32" s="47"/>
      <c r="FHX32" s="47"/>
      <c r="FHY32" s="47"/>
      <c r="FHZ32" s="47"/>
      <c r="FIA32" s="47"/>
      <c r="FIB32" s="47"/>
      <c r="FIC32" s="47"/>
      <c r="FID32" s="47"/>
      <c r="FIE32" s="47"/>
      <c r="FIF32" s="47"/>
      <c r="FIG32" s="47"/>
      <c r="FIH32" s="47"/>
      <c r="FII32" s="47"/>
      <c r="FIJ32" s="47"/>
      <c r="FIK32" s="47"/>
      <c r="FIL32" s="47"/>
      <c r="FIM32" s="47"/>
      <c r="FIN32" s="47"/>
      <c r="FIO32" s="47"/>
      <c r="FIP32" s="47"/>
      <c r="FIQ32" s="47"/>
      <c r="FIR32" s="47"/>
      <c r="FIS32" s="47"/>
      <c r="FIT32" s="47"/>
      <c r="FIU32" s="47"/>
      <c r="FIV32" s="47"/>
      <c r="FIW32" s="47"/>
      <c r="FIX32" s="47"/>
      <c r="FIY32" s="47"/>
      <c r="FIZ32" s="47"/>
      <c r="FJA32" s="47"/>
      <c r="FJB32" s="47"/>
      <c r="FJC32" s="47"/>
      <c r="FJD32" s="47"/>
      <c r="FJE32" s="47"/>
      <c r="FJF32" s="47"/>
      <c r="FJG32" s="47"/>
      <c r="FJH32" s="47"/>
      <c r="FJI32" s="47"/>
      <c r="FJJ32" s="47"/>
      <c r="FJK32" s="47"/>
      <c r="FJL32" s="47"/>
      <c r="FJM32" s="47"/>
      <c r="FJN32" s="47"/>
      <c r="FJO32" s="47"/>
      <c r="FJP32" s="47"/>
      <c r="FJQ32" s="47"/>
      <c r="FJR32" s="47"/>
      <c r="FJS32" s="47"/>
      <c r="FJT32" s="47"/>
      <c r="FJU32" s="47"/>
      <c r="FJV32" s="47"/>
      <c r="FJW32" s="47"/>
      <c r="FJX32" s="47"/>
      <c r="FJY32" s="47"/>
      <c r="FJZ32" s="47"/>
      <c r="FKA32" s="47"/>
      <c r="FKB32" s="47"/>
      <c r="FKC32" s="47"/>
      <c r="FKD32" s="47"/>
      <c r="FKE32" s="47"/>
      <c r="FKF32" s="47"/>
      <c r="FKG32" s="47"/>
      <c r="FKH32" s="47"/>
      <c r="FKI32" s="47"/>
      <c r="FKJ32" s="47"/>
      <c r="FKK32" s="47"/>
      <c r="FKL32" s="47"/>
      <c r="FKM32" s="47"/>
      <c r="FKN32" s="47"/>
      <c r="FKO32" s="47"/>
      <c r="FKP32" s="47"/>
      <c r="FKQ32" s="47"/>
      <c r="FKR32" s="47"/>
      <c r="FKS32" s="47"/>
      <c r="FKT32" s="47"/>
      <c r="FKU32" s="47"/>
      <c r="FKV32" s="47"/>
      <c r="FKW32" s="47"/>
      <c r="FKX32" s="47"/>
      <c r="FKY32" s="47"/>
      <c r="FKZ32" s="47"/>
      <c r="FLA32" s="47"/>
      <c r="FLB32" s="47"/>
      <c r="FLC32" s="47"/>
      <c r="FLD32" s="47"/>
      <c r="FLE32" s="47"/>
      <c r="FLF32" s="47"/>
      <c r="FLG32" s="47"/>
      <c r="FLH32" s="47"/>
      <c r="FLI32" s="47"/>
      <c r="FLJ32" s="47"/>
      <c r="FLK32" s="47"/>
      <c r="FLL32" s="47"/>
      <c r="FLM32" s="47"/>
      <c r="FLN32" s="47"/>
      <c r="FLO32" s="47"/>
      <c r="FLP32" s="47"/>
      <c r="FLQ32" s="47"/>
      <c r="FLR32" s="47"/>
      <c r="FLS32" s="47"/>
      <c r="FLT32" s="47"/>
      <c r="FLU32" s="47"/>
      <c r="FLV32" s="47"/>
      <c r="FLW32" s="47"/>
      <c r="FLX32" s="47"/>
      <c r="FLY32" s="47"/>
      <c r="FLZ32" s="47"/>
      <c r="FMA32" s="47"/>
      <c r="FMB32" s="47"/>
      <c r="FMC32" s="47"/>
      <c r="FMD32" s="47"/>
      <c r="FME32" s="47"/>
      <c r="FMF32" s="47"/>
      <c r="FMG32" s="47"/>
      <c r="FMH32" s="47"/>
      <c r="FMI32" s="47"/>
      <c r="FMJ32" s="47"/>
      <c r="FMK32" s="47"/>
      <c r="FML32" s="47"/>
      <c r="FMM32" s="47"/>
      <c r="FMN32" s="47"/>
      <c r="FMO32" s="47"/>
      <c r="FMP32" s="47"/>
      <c r="FMQ32" s="47"/>
      <c r="FMR32" s="47"/>
      <c r="FMS32" s="47"/>
      <c r="FMT32" s="47"/>
      <c r="FMU32" s="47"/>
      <c r="FMV32" s="47"/>
      <c r="FMW32" s="47"/>
      <c r="FMX32" s="47"/>
      <c r="FMY32" s="47"/>
      <c r="FMZ32" s="47"/>
      <c r="FNA32" s="47"/>
      <c r="FNB32" s="47"/>
      <c r="FNC32" s="47"/>
      <c r="FND32" s="47"/>
      <c r="FNE32" s="47"/>
      <c r="FNF32" s="47"/>
      <c r="FNG32" s="47"/>
      <c r="FNH32" s="47"/>
      <c r="FNI32" s="47"/>
      <c r="FNJ32" s="47"/>
      <c r="FNK32" s="47"/>
      <c r="FNL32" s="47"/>
      <c r="FNM32" s="47"/>
      <c r="FNN32" s="47"/>
      <c r="FNO32" s="47"/>
      <c r="FNP32" s="47"/>
      <c r="FNQ32" s="47"/>
      <c r="FNR32" s="47"/>
      <c r="FNS32" s="47"/>
      <c r="FNT32" s="47"/>
      <c r="FNU32" s="47"/>
      <c r="FNV32" s="47"/>
      <c r="FNW32" s="47"/>
      <c r="FNX32" s="47"/>
      <c r="FNY32" s="47"/>
      <c r="FNZ32" s="47"/>
      <c r="FOA32" s="47"/>
      <c r="FOB32" s="47"/>
      <c r="FOC32" s="47"/>
      <c r="FOD32" s="47"/>
      <c r="FOE32" s="47"/>
      <c r="FOF32" s="47"/>
      <c r="FOG32" s="47"/>
      <c r="FOH32" s="47"/>
      <c r="FOI32" s="47"/>
      <c r="FOJ32" s="47"/>
      <c r="FOK32" s="47"/>
      <c r="FOL32" s="47"/>
      <c r="FOM32" s="47"/>
      <c r="FON32" s="47"/>
      <c r="FOO32" s="47"/>
      <c r="FOP32" s="47"/>
      <c r="FOQ32" s="47"/>
      <c r="FOR32" s="47"/>
      <c r="FOS32" s="47"/>
      <c r="FOT32" s="47"/>
      <c r="FOU32" s="47"/>
      <c r="FOV32" s="47"/>
      <c r="FOW32" s="47"/>
      <c r="FOX32" s="47"/>
      <c r="FOY32" s="47"/>
      <c r="FOZ32" s="47"/>
      <c r="FPA32" s="47"/>
      <c r="FPB32" s="47"/>
      <c r="FPC32" s="47"/>
      <c r="FPD32" s="47"/>
      <c r="FPE32" s="47"/>
      <c r="FPF32" s="47"/>
      <c r="FPG32" s="47"/>
      <c r="FPH32" s="47"/>
      <c r="FPI32" s="47"/>
      <c r="FPJ32" s="47"/>
      <c r="FPK32" s="47"/>
      <c r="FPL32" s="47"/>
      <c r="FPM32" s="47"/>
      <c r="FPN32" s="47"/>
      <c r="FPO32" s="47"/>
      <c r="FPP32" s="47"/>
      <c r="FPQ32" s="47"/>
      <c r="FPR32" s="47"/>
      <c r="FPS32" s="47"/>
      <c r="FPT32" s="47"/>
      <c r="FPU32" s="47"/>
      <c r="FPV32" s="47"/>
      <c r="FPW32" s="47"/>
      <c r="FPX32" s="47"/>
      <c r="FPY32" s="47"/>
      <c r="FPZ32" s="47"/>
      <c r="FQA32" s="47"/>
      <c r="FQB32" s="47"/>
      <c r="FQC32" s="47"/>
      <c r="FQD32" s="47"/>
      <c r="FQE32" s="47"/>
      <c r="FQF32" s="47"/>
      <c r="FQG32" s="47"/>
      <c r="FQH32" s="47"/>
      <c r="FQI32" s="47"/>
      <c r="FQJ32" s="47"/>
      <c r="FQK32" s="47"/>
      <c r="FQL32" s="47"/>
      <c r="FQM32" s="47"/>
      <c r="FQN32" s="47"/>
      <c r="FQO32" s="47"/>
      <c r="FQP32" s="47"/>
      <c r="FQQ32" s="47"/>
      <c r="FQR32" s="47"/>
      <c r="FQS32" s="47"/>
      <c r="FQT32" s="47"/>
      <c r="FQU32" s="47"/>
      <c r="FQV32" s="47"/>
      <c r="FQW32" s="47"/>
      <c r="FQX32" s="47"/>
      <c r="FQY32" s="47"/>
      <c r="FQZ32" s="47"/>
      <c r="FRA32" s="47"/>
      <c r="FRB32" s="47"/>
      <c r="FRC32" s="47"/>
      <c r="FRD32" s="47"/>
      <c r="FRE32" s="47"/>
      <c r="FRF32" s="47"/>
      <c r="FRG32" s="47"/>
      <c r="FRH32" s="47"/>
      <c r="FRI32" s="47"/>
      <c r="FRJ32" s="47"/>
      <c r="FRK32" s="47"/>
      <c r="FRL32" s="47"/>
      <c r="FRM32" s="47"/>
      <c r="FRN32" s="47"/>
      <c r="FRO32" s="47"/>
      <c r="FRP32" s="47"/>
      <c r="FRQ32" s="47"/>
      <c r="FRR32" s="47"/>
      <c r="FRS32" s="47"/>
      <c r="FRT32" s="47"/>
      <c r="FRU32" s="47"/>
      <c r="FRV32" s="47"/>
      <c r="FRW32" s="47"/>
      <c r="FRX32" s="47"/>
      <c r="FRY32" s="47"/>
      <c r="FRZ32" s="47"/>
      <c r="FSA32" s="47"/>
      <c r="FSB32" s="47"/>
      <c r="FSC32" s="47"/>
      <c r="FSD32" s="47"/>
      <c r="FSE32" s="47"/>
      <c r="FSF32" s="47"/>
      <c r="FSG32" s="47"/>
      <c r="FSH32" s="47"/>
      <c r="FSI32" s="47"/>
      <c r="FSJ32" s="47"/>
      <c r="FSK32" s="47"/>
      <c r="FSL32" s="47"/>
      <c r="FSM32" s="47"/>
      <c r="FSN32" s="47"/>
      <c r="FSO32" s="47"/>
      <c r="FSP32" s="47"/>
      <c r="FSQ32" s="47"/>
      <c r="FSR32" s="47"/>
      <c r="FSS32" s="47"/>
      <c r="FST32" s="47"/>
      <c r="FSU32" s="47"/>
      <c r="FSV32" s="47"/>
      <c r="FSW32" s="47"/>
      <c r="FSX32" s="47"/>
      <c r="FSY32" s="47"/>
      <c r="FSZ32" s="47"/>
      <c r="FTA32" s="47"/>
      <c r="FTB32" s="47"/>
      <c r="FTC32" s="47"/>
      <c r="FTD32" s="47"/>
      <c r="FTE32" s="47"/>
      <c r="FTF32" s="47"/>
      <c r="FTG32" s="47"/>
      <c r="FTH32" s="47"/>
      <c r="FTI32" s="47"/>
      <c r="FTJ32" s="47"/>
      <c r="FTK32" s="47"/>
      <c r="FTL32" s="47"/>
      <c r="FTM32" s="47"/>
      <c r="FTN32" s="47"/>
      <c r="FTO32" s="47"/>
      <c r="FTP32" s="47"/>
      <c r="FTQ32" s="47"/>
      <c r="FTR32" s="47"/>
      <c r="FTS32" s="47"/>
      <c r="FTT32" s="47"/>
      <c r="FTU32" s="47"/>
      <c r="FTV32" s="47"/>
      <c r="FTW32" s="47"/>
      <c r="FTX32" s="47"/>
      <c r="FTY32" s="47"/>
      <c r="FTZ32" s="47"/>
      <c r="FUA32" s="47"/>
      <c r="FUB32" s="47"/>
      <c r="FUC32" s="47"/>
      <c r="FUD32" s="47"/>
      <c r="FUE32" s="47"/>
      <c r="FUF32" s="47"/>
      <c r="FUG32" s="47"/>
      <c r="FUH32" s="47"/>
      <c r="FUI32" s="47"/>
      <c r="FUJ32" s="47"/>
      <c r="FUK32" s="47"/>
      <c r="FUL32" s="47"/>
      <c r="FUM32" s="47"/>
      <c r="FUN32" s="47"/>
      <c r="FUO32" s="47"/>
      <c r="FUP32" s="47"/>
      <c r="FUQ32" s="47"/>
      <c r="FUR32" s="47"/>
      <c r="FUS32" s="47"/>
      <c r="FUT32" s="47"/>
      <c r="FUU32" s="47"/>
      <c r="FUV32" s="47"/>
      <c r="FUW32" s="47"/>
      <c r="FUX32" s="47"/>
      <c r="FUY32" s="47"/>
      <c r="FUZ32" s="47"/>
      <c r="FVA32" s="47"/>
      <c r="FVB32" s="47"/>
      <c r="FVC32" s="47"/>
      <c r="FVD32" s="47"/>
      <c r="FVE32" s="47"/>
      <c r="FVF32" s="47"/>
      <c r="FVG32" s="47"/>
      <c r="FVH32" s="47"/>
      <c r="FVI32" s="47"/>
      <c r="FVJ32" s="47"/>
      <c r="FVK32" s="47"/>
      <c r="FVL32" s="47"/>
      <c r="FVM32" s="47"/>
      <c r="FVN32" s="47"/>
      <c r="FVO32" s="47"/>
      <c r="FVP32" s="47"/>
      <c r="FVQ32" s="47"/>
      <c r="FVR32" s="47"/>
      <c r="FVS32" s="47"/>
      <c r="FVT32" s="47"/>
      <c r="FVU32" s="47"/>
      <c r="FVV32" s="47"/>
      <c r="FVW32" s="47"/>
      <c r="FVX32" s="47"/>
      <c r="FVY32" s="47"/>
      <c r="FVZ32" s="47"/>
      <c r="FWA32" s="47"/>
      <c r="FWB32" s="47"/>
      <c r="FWC32" s="47"/>
      <c r="FWD32" s="47"/>
      <c r="FWE32" s="47"/>
      <c r="FWF32" s="47"/>
      <c r="FWG32" s="47"/>
      <c r="FWH32" s="47"/>
      <c r="FWI32" s="47"/>
      <c r="FWJ32" s="47"/>
      <c r="FWK32" s="47"/>
      <c r="FWL32" s="47"/>
      <c r="FWM32" s="47"/>
      <c r="FWN32" s="47"/>
      <c r="FWO32" s="47"/>
      <c r="FWP32" s="47"/>
      <c r="FWQ32" s="47"/>
      <c r="FWR32" s="47"/>
      <c r="FWS32" s="47"/>
      <c r="FWT32" s="47"/>
      <c r="FWU32" s="47"/>
      <c r="FWV32" s="47"/>
      <c r="FWW32" s="47"/>
      <c r="FWX32" s="47"/>
      <c r="FWY32" s="47"/>
      <c r="FWZ32" s="47"/>
      <c r="FXA32" s="47"/>
      <c r="FXB32" s="47"/>
      <c r="FXC32" s="47"/>
      <c r="FXD32" s="47"/>
      <c r="FXE32" s="47"/>
      <c r="FXF32" s="47"/>
      <c r="FXG32" s="47"/>
      <c r="FXH32" s="47"/>
      <c r="FXI32" s="47"/>
      <c r="FXJ32" s="47"/>
      <c r="FXK32" s="47"/>
      <c r="FXL32" s="47"/>
      <c r="FXM32" s="47"/>
      <c r="FXN32" s="47"/>
      <c r="FXO32" s="47"/>
      <c r="FXP32" s="47"/>
      <c r="FXQ32" s="47"/>
      <c r="FXR32" s="47"/>
      <c r="FXS32" s="47"/>
      <c r="FXT32" s="47"/>
      <c r="FXU32" s="47"/>
      <c r="FXV32" s="47"/>
      <c r="FXW32" s="47"/>
      <c r="FXX32" s="47"/>
      <c r="FXY32" s="47"/>
      <c r="FXZ32" s="47"/>
      <c r="FYA32" s="47"/>
      <c r="FYB32" s="47"/>
      <c r="FYC32" s="47"/>
      <c r="FYD32" s="47"/>
      <c r="FYE32" s="47"/>
      <c r="FYF32" s="47"/>
      <c r="FYG32" s="47"/>
      <c r="FYH32" s="47"/>
      <c r="FYI32" s="47"/>
      <c r="FYJ32" s="47"/>
      <c r="FYK32" s="47"/>
      <c r="FYL32" s="47"/>
      <c r="FYM32" s="47"/>
      <c r="FYN32" s="47"/>
      <c r="FYO32" s="47"/>
      <c r="FYP32" s="47"/>
      <c r="FYQ32" s="47"/>
      <c r="FYR32" s="47"/>
      <c r="FYS32" s="47"/>
      <c r="FYT32" s="47"/>
      <c r="FYU32" s="47"/>
      <c r="FYV32" s="47"/>
      <c r="FYW32" s="47"/>
      <c r="FYX32" s="47"/>
      <c r="FYY32" s="47"/>
      <c r="FYZ32" s="47"/>
      <c r="FZA32" s="47"/>
      <c r="FZB32" s="47"/>
      <c r="FZC32" s="47"/>
      <c r="FZD32" s="47"/>
      <c r="FZE32" s="47"/>
      <c r="FZF32" s="47"/>
      <c r="FZG32" s="47"/>
      <c r="FZH32" s="47"/>
      <c r="FZI32" s="47"/>
      <c r="FZJ32" s="47"/>
      <c r="FZK32" s="47"/>
      <c r="FZL32" s="47"/>
      <c r="FZM32" s="47"/>
      <c r="FZN32" s="47"/>
      <c r="FZO32" s="47"/>
      <c r="FZP32" s="47"/>
      <c r="FZQ32" s="47"/>
      <c r="FZR32" s="47"/>
      <c r="FZS32" s="47"/>
      <c r="FZT32" s="47"/>
      <c r="FZU32" s="47"/>
      <c r="FZV32" s="47"/>
      <c r="FZW32" s="47"/>
      <c r="FZX32" s="47"/>
      <c r="FZY32" s="47"/>
      <c r="FZZ32" s="47"/>
      <c r="GAA32" s="47"/>
      <c r="GAB32" s="47"/>
      <c r="GAC32" s="47"/>
      <c r="GAD32" s="47"/>
      <c r="GAE32" s="47"/>
      <c r="GAF32" s="47"/>
      <c r="GAG32" s="47"/>
      <c r="GAH32" s="47"/>
      <c r="GAI32" s="47"/>
      <c r="GAJ32" s="47"/>
      <c r="GAK32" s="47"/>
      <c r="GAL32" s="47"/>
      <c r="GAM32" s="47"/>
      <c r="GAN32" s="47"/>
      <c r="GAO32" s="47"/>
      <c r="GAP32" s="47"/>
      <c r="GAQ32" s="47"/>
      <c r="GAR32" s="47"/>
      <c r="GAS32" s="47"/>
      <c r="GAT32" s="47"/>
      <c r="GAU32" s="47"/>
      <c r="GAV32" s="47"/>
      <c r="GAW32" s="47"/>
      <c r="GAX32" s="47"/>
      <c r="GAY32" s="47"/>
      <c r="GAZ32" s="47"/>
      <c r="GBA32" s="47"/>
      <c r="GBB32" s="47"/>
      <c r="GBC32" s="47"/>
      <c r="GBD32" s="47"/>
      <c r="GBE32" s="47"/>
      <c r="GBF32" s="47"/>
      <c r="GBG32" s="47"/>
      <c r="GBH32" s="47"/>
      <c r="GBI32" s="47"/>
      <c r="GBJ32" s="47"/>
      <c r="GBK32" s="47"/>
      <c r="GBL32" s="47"/>
      <c r="GBM32" s="47"/>
      <c r="GBN32" s="47"/>
      <c r="GBO32" s="47"/>
      <c r="GBP32" s="47"/>
      <c r="GBQ32" s="47"/>
      <c r="GBR32" s="47"/>
      <c r="GBS32" s="47"/>
      <c r="GBT32" s="47"/>
      <c r="GBU32" s="47"/>
      <c r="GBV32" s="47"/>
      <c r="GBW32" s="47"/>
      <c r="GBX32" s="47"/>
      <c r="GBY32" s="47"/>
      <c r="GBZ32" s="47"/>
      <c r="GCA32" s="47"/>
      <c r="GCB32" s="47"/>
      <c r="GCC32" s="47"/>
      <c r="GCD32" s="47"/>
      <c r="GCE32" s="47"/>
      <c r="GCF32" s="47"/>
      <c r="GCG32" s="47"/>
      <c r="GCH32" s="47"/>
      <c r="GCI32" s="47"/>
      <c r="GCJ32" s="47"/>
      <c r="GCK32" s="47"/>
      <c r="GCL32" s="47"/>
      <c r="GCM32" s="47"/>
      <c r="GCN32" s="47"/>
      <c r="GCO32" s="47"/>
      <c r="GCP32" s="47"/>
      <c r="GCQ32" s="47"/>
      <c r="GCR32" s="47"/>
      <c r="GCS32" s="47"/>
      <c r="GCT32" s="47"/>
      <c r="GCU32" s="47"/>
      <c r="GCV32" s="47"/>
      <c r="GCW32" s="47"/>
      <c r="GCX32" s="47"/>
      <c r="GCY32" s="47"/>
      <c r="GCZ32" s="47"/>
      <c r="GDA32" s="47"/>
      <c r="GDB32" s="47"/>
      <c r="GDC32" s="47"/>
      <c r="GDD32" s="47"/>
      <c r="GDE32" s="47"/>
      <c r="GDF32" s="47"/>
      <c r="GDG32" s="47"/>
      <c r="GDH32" s="47"/>
      <c r="GDI32" s="47"/>
      <c r="GDJ32" s="47"/>
      <c r="GDK32" s="47"/>
      <c r="GDL32" s="47"/>
      <c r="GDM32" s="47"/>
      <c r="GDN32" s="47"/>
      <c r="GDO32" s="47"/>
      <c r="GDP32" s="47"/>
      <c r="GDQ32" s="47"/>
      <c r="GDR32" s="47"/>
      <c r="GDS32" s="47"/>
      <c r="GDT32" s="47"/>
      <c r="GDU32" s="47"/>
      <c r="GDV32" s="47"/>
      <c r="GDW32" s="47"/>
      <c r="GDX32" s="47"/>
      <c r="GDY32" s="47"/>
      <c r="GDZ32" s="47"/>
      <c r="GEA32" s="47"/>
      <c r="GEB32" s="47"/>
      <c r="GEC32" s="47"/>
      <c r="GED32" s="47"/>
      <c r="GEE32" s="47"/>
      <c r="GEF32" s="47"/>
      <c r="GEG32" s="47"/>
      <c r="GEH32" s="47"/>
      <c r="GEI32" s="47"/>
      <c r="GEJ32" s="47"/>
      <c r="GEK32" s="47"/>
      <c r="GEL32" s="47"/>
      <c r="GEM32" s="47"/>
      <c r="GEN32" s="47"/>
      <c r="GEO32" s="47"/>
      <c r="GEP32" s="47"/>
      <c r="GEQ32" s="47"/>
      <c r="GER32" s="47"/>
      <c r="GES32" s="47"/>
      <c r="GET32" s="47"/>
      <c r="GEU32" s="47"/>
      <c r="GEV32" s="47"/>
      <c r="GEW32" s="47"/>
      <c r="GEX32" s="47"/>
      <c r="GEY32" s="47"/>
      <c r="GEZ32" s="47"/>
      <c r="GFA32" s="47"/>
      <c r="GFB32" s="47"/>
      <c r="GFC32" s="47"/>
      <c r="GFD32" s="47"/>
      <c r="GFE32" s="47"/>
      <c r="GFF32" s="47"/>
      <c r="GFG32" s="47"/>
      <c r="GFH32" s="47"/>
      <c r="GFI32" s="47"/>
      <c r="GFJ32" s="47"/>
      <c r="GFK32" s="47"/>
      <c r="GFL32" s="47"/>
      <c r="GFM32" s="47"/>
      <c r="GFN32" s="47"/>
      <c r="GFO32" s="47"/>
      <c r="GFP32" s="47"/>
      <c r="GFQ32" s="47"/>
      <c r="GFR32" s="47"/>
      <c r="GFS32" s="47"/>
      <c r="GFT32" s="47"/>
      <c r="GFU32" s="47"/>
      <c r="GFV32" s="47"/>
      <c r="GFW32" s="47"/>
      <c r="GFX32" s="47"/>
      <c r="GFY32" s="47"/>
      <c r="GFZ32" s="47"/>
      <c r="GGA32" s="47"/>
      <c r="GGB32" s="47"/>
      <c r="GGC32" s="47"/>
      <c r="GGD32" s="47"/>
      <c r="GGE32" s="47"/>
      <c r="GGF32" s="47"/>
      <c r="GGG32" s="47"/>
      <c r="GGH32" s="47"/>
      <c r="GGI32" s="47"/>
      <c r="GGJ32" s="47"/>
      <c r="GGK32" s="47"/>
      <c r="GGL32" s="47"/>
      <c r="GGM32" s="47"/>
      <c r="GGN32" s="47"/>
      <c r="GGO32" s="47"/>
      <c r="GGP32" s="47"/>
      <c r="GGQ32" s="47"/>
      <c r="GGR32" s="47"/>
      <c r="GGS32" s="47"/>
      <c r="GGT32" s="47"/>
      <c r="GGU32" s="47"/>
      <c r="GGV32" s="47"/>
      <c r="GGW32" s="47"/>
      <c r="GGX32" s="47"/>
      <c r="GGY32" s="47"/>
      <c r="GGZ32" s="47"/>
      <c r="GHA32" s="47"/>
      <c r="GHB32" s="47"/>
      <c r="GHC32" s="47"/>
      <c r="GHD32" s="47"/>
      <c r="GHE32" s="47"/>
      <c r="GHF32" s="47"/>
      <c r="GHG32" s="47"/>
      <c r="GHH32" s="47"/>
      <c r="GHI32" s="47"/>
      <c r="GHJ32" s="47"/>
      <c r="GHK32" s="47"/>
      <c r="GHL32" s="47"/>
      <c r="GHM32" s="47"/>
      <c r="GHN32" s="47"/>
      <c r="GHO32" s="47"/>
      <c r="GHP32" s="47"/>
      <c r="GHQ32" s="47"/>
      <c r="GHR32" s="47"/>
      <c r="GHS32" s="47"/>
      <c r="GHT32" s="47"/>
      <c r="GHU32" s="47"/>
      <c r="GHV32" s="47"/>
      <c r="GHW32" s="47"/>
      <c r="GHX32" s="47"/>
      <c r="GHY32" s="47"/>
      <c r="GHZ32" s="47"/>
      <c r="GIA32" s="47"/>
      <c r="GIB32" s="47"/>
      <c r="GIC32" s="47"/>
      <c r="GID32" s="47"/>
      <c r="GIE32" s="47"/>
      <c r="GIF32" s="47"/>
      <c r="GIG32" s="47"/>
      <c r="GIH32" s="47"/>
      <c r="GII32" s="47"/>
      <c r="GIJ32" s="47"/>
      <c r="GIK32" s="47"/>
      <c r="GIL32" s="47"/>
      <c r="GIM32" s="47"/>
      <c r="GIN32" s="47"/>
      <c r="GIO32" s="47"/>
      <c r="GIP32" s="47"/>
      <c r="GIQ32" s="47"/>
      <c r="GIR32" s="47"/>
      <c r="GIS32" s="47"/>
      <c r="GIT32" s="47"/>
      <c r="GIU32" s="47"/>
      <c r="GIV32" s="47"/>
      <c r="GIW32" s="47"/>
      <c r="GIX32" s="47"/>
      <c r="GIY32" s="47"/>
      <c r="GIZ32" s="47"/>
      <c r="GJA32" s="47"/>
      <c r="GJB32" s="47"/>
      <c r="GJC32" s="47"/>
      <c r="GJD32" s="47"/>
      <c r="GJE32" s="47"/>
      <c r="GJF32" s="47"/>
      <c r="GJG32" s="47"/>
      <c r="GJH32" s="47"/>
      <c r="GJI32" s="47"/>
      <c r="GJJ32" s="47"/>
      <c r="GJK32" s="47"/>
      <c r="GJL32" s="47"/>
      <c r="GJM32" s="47"/>
      <c r="GJN32" s="47"/>
      <c r="GJO32" s="47"/>
      <c r="GJP32" s="47"/>
      <c r="GJQ32" s="47"/>
      <c r="GJR32" s="47"/>
      <c r="GJS32" s="47"/>
      <c r="GJT32" s="47"/>
      <c r="GJU32" s="47"/>
      <c r="GJV32" s="47"/>
      <c r="GJW32" s="47"/>
      <c r="GJX32" s="47"/>
      <c r="GJY32" s="47"/>
      <c r="GJZ32" s="47"/>
      <c r="GKA32" s="47"/>
      <c r="GKB32" s="47"/>
      <c r="GKC32" s="47"/>
      <c r="GKD32" s="47"/>
      <c r="GKE32" s="47"/>
      <c r="GKF32" s="47"/>
      <c r="GKG32" s="47"/>
      <c r="GKH32" s="47"/>
      <c r="GKI32" s="47"/>
      <c r="GKJ32" s="47"/>
      <c r="GKK32" s="47"/>
      <c r="GKL32" s="47"/>
      <c r="GKM32" s="47"/>
      <c r="GKN32" s="47"/>
      <c r="GKO32" s="47"/>
      <c r="GKP32" s="47"/>
      <c r="GKQ32" s="47"/>
      <c r="GKR32" s="47"/>
      <c r="GKS32" s="47"/>
      <c r="GKT32" s="47"/>
      <c r="GKU32" s="47"/>
      <c r="GKV32" s="47"/>
      <c r="GKW32" s="47"/>
      <c r="GKX32" s="47"/>
      <c r="GKY32" s="47"/>
      <c r="GKZ32" s="47"/>
      <c r="GLA32" s="47"/>
      <c r="GLB32" s="47"/>
      <c r="GLC32" s="47"/>
      <c r="GLD32" s="47"/>
      <c r="GLE32" s="47"/>
      <c r="GLF32" s="47"/>
      <c r="GLG32" s="47"/>
      <c r="GLH32" s="47"/>
      <c r="GLI32" s="47"/>
      <c r="GLJ32" s="47"/>
      <c r="GLK32" s="47"/>
      <c r="GLL32" s="47"/>
      <c r="GLM32" s="47"/>
      <c r="GLN32" s="47"/>
      <c r="GLO32" s="47"/>
      <c r="GLP32" s="47"/>
      <c r="GLQ32" s="47"/>
      <c r="GLR32" s="47"/>
      <c r="GLS32" s="47"/>
      <c r="GLT32" s="47"/>
      <c r="GLU32" s="47"/>
      <c r="GLV32" s="47"/>
      <c r="GLW32" s="47"/>
      <c r="GLX32" s="47"/>
      <c r="GLY32" s="47"/>
      <c r="GLZ32" s="47"/>
      <c r="GMA32" s="47"/>
      <c r="GMB32" s="47"/>
      <c r="GMC32" s="47"/>
      <c r="GMD32" s="47"/>
      <c r="GME32" s="47"/>
      <c r="GMF32" s="47"/>
      <c r="GMG32" s="47"/>
      <c r="GMH32" s="47"/>
      <c r="GMI32" s="47"/>
      <c r="GMJ32" s="47"/>
      <c r="GMK32" s="47"/>
      <c r="GML32" s="47"/>
      <c r="GMM32" s="47"/>
      <c r="GMN32" s="47"/>
      <c r="GMO32" s="47"/>
      <c r="GMP32" s="47"/>
      <c r="GMQ32" s="47"/>
      <c r="GMR32" s="47"/>
      <c r="GMS32" s="47"/>
      <c r="GMT32" s="47"/>
      <c r="GMU32" s="47"/>
      <c r="GMV32" s="47"/>
      <c r="GMW32" s="47"/>
      <c r="GMX32" s="47"/>
      <c r="GMY32" s="47"/>
      <c r="GMZ32" s="47"/>
      <c r="GNA32" s="47"/>
      <c r="GNB32" s="47"/>
      <c r="GNC32" s="47"/>
      <c r="GND32" s="47"/>
      <c r="GNE32" s="47"/>
      <c r="GNF32" s="47"/>
      <c r="GNG32" s="47"/>
      <c r="GNH32" s="47"/>
      <c r="GNI32" s="47"/>
      <c r="GNJ32" s="47"/>
      <c r="GNK32" s="47"/>
      <c r="GNL32" s="47"/>
      <c r="GNM32" s="47"/>
      <c r="GNN32" s="47"/>
      <c r="GNO32" s="47"/>
      <c r="GNP32" s="47"/>
      <c r="GNQ32" s="47"/>
      <c r="GNR32" s="47"/>
      <c r="GNS32" s="47"/>
      <c r="GNT32" s="47"/>
      <c r="GNU32" s="47"/>
      <c r="GNV32" s="47"/>
      <c r="GNW32" s="47"/>
      <c r="GNX32" s="47"/>
      <c r="GNY32" s="47"/>
      <c r="GNZ32" s="47"/>
      <c r="GOA32" s="47"/>
      <c r="GOB32" s="47"/>
      <c r="GOC32" s="47"/>
      <c r="GOD32" s="47"/>
      <c r="GOE32" s="47"/>
      <c r="GOF32" s="47"/>
      <c r="GOG32" s="47"/>
      <c r="GOH32" s="47"/>
      <c r="GOI32" s="47"/>
      <c r="GOJ32" s="47"/>
      <c r="GOK32" s="47"/>
      <c r="GOL32" s="47"/>
      <c r="GOM32" s="47"/>
      <c r="GON32" s="47"/>
      <c r="GOO32" s="47"/>
      <c r="GOP32" s="47"/>
      <c r="GOQ32" s="47"/>
      <c r="GOR32" s="47"/>
      <c r="GOS32" s="47"/>
      <c r="GOT32" s="47"/>
      <c r="GOU32" s="47"/>
      <c r="GOV32" s="47"/>
      <c r="GOW32" s="47"/>
      <c r="GOX32" s="47"/>
      <c r="GOY32" s="47"/>
      <c r="GOZ32" s="47"/>
      <c r="GPA32" s="47"/>
      <c r="GPB32" s="47"/>
      <c r="GPC32" s="47"/>
      <c r="GPD32" s="47"/>
      <c r="GPE32" s="47"/>
      <c r="GPF32" s="47"/>
      <c r="GPG32" s="47"/>
      <c r="GPH32" s="47"/>
      <c r="GPI32" s="47"/>
      <c r="GPJ32" s="47"/>
      <c r="GPK32" s="47"/>
      <c r="GPL32" s="47"/>
      <c r="GPM32" s="47"/>
      <c r="GPN32" s="47"/>
      <c r="GPO32" s="47"/>
      <c r="GPP32" s="47"/>
      <c r="GPQ32" s="47"/>
      <c r="GPR32" s="47"/>
      <c r="GPS32" s="47"/>
      <c r="GPT32" s="47"/>
      <c r="GPU32" s="47"/>
      <c r="GPV32" s="47"/>
      <c r="GPW32" s="47"/>
      <c r="GPX32" s="47"/>
      <c r="GPY32" s="47"/>
      <c r="GPZ32" s="47"/>
      <c r="GQA32" s="47"/>
      <c r="GQB32" s="47"/>
      <c r="GQC32" s="47"/>
      <c r="GQD32" s="47"/>
      <c r="GQE32" s="47"/>
      <c r="GQF32" s="47"/>
      <c r="GQG32" s="47"/>
      <c r="GQH32" s="47"/>
      <c r="GQI32" s="47"/>
      <c r="GQJ32" s="47"/>
      <c r="GQK32" s="47"/>
      <c r="GQL32" s="47"/>
      <c r="GQM32" s="47"/>
      <c r="GQN32" s="47"/>
      <c r="GQO32" s="47"/>
      <c r="GQP32" s="47"/>
      <c r="GQQ32" s="47"/>
      <c r="GQR32" s="47"/>
      <c r="GQS32" s="47"/>
      <c r="GQT32" s="47"/>
      <c r="GQU32" s="47"/>
      <c r="GQV32" s="47"/>
      <c r="GQW32" s="47"/>
      <c r="GQX32" s="47"/>
      <c r="GQY32" s="47"/>
      <c r="GQZ32" s="47"/>
      <c r="GRA32" s="47"/>
      <c r="GRB32" s="47"/>
      <c r="GRC32" s="47"/>
      <c r="GRD32" s="47"/>
      <c r="GRE32" s="47"/>
      <c r="GRF32" s="47"/>
      <c r="GRG32" s="47"/>
      <c r="GRH32" s="47"/>
      <c r="GRI32" s="47"/>
      <c r="GRJ32" s="47"/>
      <c r="GRK32" s="47"/>
      <c r="GRL32" s="47"/>
      <c r="GRM32" s="47"/>
      <c r="GRN32" s="47"/>
      <c r="GRO32" s="47"/>
      <c r="GRP32" s="47"/>
      <c r="GRQ32" s="47"/>
      <c r="GRR32" s="47"/>
      <c r="GRS32" s="47"/>
      <c r="GRT32" s="47"/>
      <c r="GRU32" s="47"/>
      <c r="GRV32" s="47"/>
      <c r="GRW32" s="47"/>
      <c r="GRX32" s="47"/>
      <c r="GRY32" s="47"/>
      <c r="GRZ32" s="47"/>
      <c r="GSA32" s="47"/>
      <c r="GSB32" s="47"/>
      <c r="GSC32" s="47"/>
      <c r="GSD32" s="47"/>
      <c r="GSE32" s="47"/>
      <c r="GSF32" s="47"/>
      <c r="GSG32" s="47"/>
      <c r="GSH32" s="47"/>
      <c r="GSI32" s="47"/>
      <c r="GSJ32" s="47"/>
      <c r="GSK32" s="47"/>
      <c r="GSL32" s="47"/>
      <c r="GSM32" s="47"/>
      <c r="GSN32" s="47"/>
      <c r="GSO32" s="47"/>
      <c r="GSP32" s="47"/>
      <c r="GSQ32" s="47"/>
      <c r="GSR32" s="47"/>
      <c r="GSS32" s="47"/>
      <c r="GST32" s="47"/>
      <c r="GSU32" s="47"/>
      <c r="GSV32" s="47"/>
      <c r="GSW32" s="47"/>
      <c r="GSX32" s="47"/>
      <c r="GSY32" s="47"/>
      <c r="GSZ32" s="47"/>
      <c r="GTA32" s="47"/>
      <c r="GTB32" s="47"/>
      <c r="GTC32" s="47"/>
      <c r="GTD32" s="47"/>
      <c r="GTE32" s="47"/>
      <c r="GTF32" s="47"/>
      <c r="GTG32" s="47"/>
      <c r="GTH32" s="47"/>
      <c r="GTI32" s="47"/>
      <c r="GTJ32" s="47"/>
      <c r="GTK32" s="47"/>
      <c r="GTL32" s="47"/>
      <c r="GTM32" s="47"/>
      <c r="GTN32" s="47"/>
      <c r="GTO32" s="47"/>
      <c r="GTP32" s="47"/>
      <c r="GTQ32" s="47"/>
      <c r="GTR32" s="47"/>
      <c r="GTS32" s="47"/>
      <c r="GTT32" s="47"/>
      <c r="GTU32" s="47"/>
      <c r="GTV32" s="47"/>
      <c r="GTW32" s="47"/>
      <c r="GTX32" s="47"/>
      <c r="GTY32" s="47"/>
      <c r="GTZ32" s="47"/>
      <c r="GUA32" s="47"/>
      <c r="GUB32" s="47"/>
      <c r="GUC32" s="47"/>
      <c r="GUD32" s="47"/>
      <c r="GUE32" s="47"/>
      <c r="GUF32" s="47"/>
      <c r="GUG32" s="47"/>
      <c r="GUH32" s="47"/>
      <c r="GUI32" s="47"/>
      <c r="GUJ32" s="47"/>
      <c r="GUK32" s="47"/>
      <c r="GUL32" s="47"/>
      <c r="GUM32" s="47"/>
      <c r="GUN32" s="47"/>
      <c r="GUO32" s="47"/>
      <c r="GUP32" s="47"/>
      <c r="GUQ32" s="47"/>
      <c r="GUR32" s="47"/>
      <c r="GUS32" s="47"/>
      <c r="GUT32" s="47"/>
      <c r="GUU32" s="47"/>
      <c r="GUV32" s="47"/>
      <c r="GUW32" s="47"/>
      <c r="GUX32" s="47"/>
      <c r="GUY32" s="47"/>
      <c r="GUZ32" s="47"/>
      <c r="GVA32" s="47"/>
      <c r="GVB32" s="47"/>
      <c r="GVC32" s="47"/>
      <c r="GVD32" s="47"/>
      <c r="GVE32" s="47"/>
      <c r="GVF32" s="47"/>
      <c r="GVG32" s="47"/>
      <c r="GVH32" s="47"/>
      <c r="GVI32" s="47"/>
      <c r="GVJ32" s="47"/>
      <c r="GVK32" s="47"/>
      <c r="GVL32" s="47"/>
      <c r="GVM32" s="47"/>
      <c r="GVN32" s="47"/>
      <c r="GVO32" s="47"/>
      <c r="GVP32" s="47"/>
      <c r="GVQ32" s="47"/>
      <c r="GVR32" s="47"/>
      <c r="GVS32" s="47"/>
      <c r="GVT32" s="47"/>
      <c r="GVU32" s="47"/>
      <c r="GVV32" s="47"/>
      <c r="GVW32" s="47"/>
      <c r="GVX32" s="47"/>
      <c r="GVY32" s="47"/>
      <c r="GVZ32" s="47"/>
      <c r="GWA32" s="47"/>
      <c r="GWB32" s="47"/>
      <c r="GWC32" s="47"/>
      <c r="GWD32" s="47"/>
      <c r="GWE32" s="47"/>
      <c r="GWF32" s="47"/>
      <c r="GWG32" s="47"/>
      <c r="GWH32" s="47"/>
      <c r="GWI32" s="47"/>
      <c r="GWJ32" s="47"/>
      <c r="GWK32" s="47"/>
      <c r="GWL32" s="47"/>
      <c r="GWM32" s="47"/>
      <c r="GWN32" s="47"/>
      <c r="GWO32" s="47"/>
      <c r="GWP32" s="47"/>
      <c r="GWQ32" s="47"/>
      <c r="GWR32" s="47"/>
      <c r="GWS32" s="47"/>
      <c r="GWT32" s="47"/>
      <c r="GWU32" s="47"/>
      <c r="GWV32" s="47"/>
      <c r="GWW32" s="47"/>
      <c r="GWX32" s="47"/>
      <c r="GWY32" s="47"/>
      <c r="GWZ32" s="47"/>
      <c r="GXA32" s="47"/>
      <c r="GXB32" s="47"/>
      <c r="GXC32" s="47"/>
      <c r="GXD32" s="47"/>
      <c r="GXE32" s="47"/>
      <c r="GXF32" s="47"/>
      <c r="GXG32" s="47"/>
      <c r="GXH32" s="47"/>
      <c r="GXI32" s="47"/>
      <c r="GXJ32" s="47"/>
      <c r="GXK32" s="47"/>
      <c r="GXL32" s="47"/>
      <c r="GXM32" s="47"/>
      <c r="GXN32" s="47"/>
      <c r="GXO32" s="47"/>
      <c r="GXP32" s="47"/>
      <c r="GXQ32" s="47"/>
      <c r="GXR32" s="47"/>
      <c r="GXS32" s="47"/>
      <c r="GXT32" s="47"/>
      <c r="GXU32" s="47"/>
      <c r="GXV32" s="47"/>
      <c r="GXW32" s="47"/>
      <c r="GXX32" s="47"/>
      <c r="GXY32" s="47"/>
      <c r="GXZ32" s="47"/>
      <c r="GYA32" s="47"/>
      <c r="GYB32" s="47"/>
      <c r="GYC32" s="47"/>
      <c r="GYD32" s="47"/>
      <c r="GYE32" s="47"/>
      <c r="GYF32" s="47"/>
      <c r="GYG32" s="47"/>
      <c r="GYH32" s="47"/>
      <c r="GYI32" s="47"/>
      <c r="GYJ32" s="47"/>
      <c r="GYK32" s="47"/>
      <c r="GYL32" s="47"/>
      <c r="GYM32" s="47"/>
      <c r="GYN32" s="47"/>
      <c r="GYO32" s="47"/>
      <c r="GYP32" s="47"/>
      <c r="GYQ32" s="47"/>
      <c r="GYR32" s="47"/>
      <c r="GYS32" s="47"/>
      <c r="GYT32" s="47"/>
      <c r="GYU32" s="47"/>
      <c r="GYV32" s="47"/>
      <c r="GYW32" s="47"/>
      <c r="GYX32" s="47"/>
      <c r="GYY32" s="47"/>
      <c r="GYZ32" s="47"/>
      <c r="GZA32" s="47"/>
      <c r="GZB32" s="47"/>
      <c r="GZC32" s="47"/>
      <c r="GZD32" s="47"/>
      <c r="GZE32" s="47"/>
      <c r="GZF32" s="47"/>
      <c r="GZG32" s="47"/>
      <c r="GZH32" s="47"/>
      <c r="GZI32" s="47"/>
      <c r="GZJ32" s="47"/>
      <c r="GZK32" s="47"/>
      <c r="GZL32" s="47"/>
      <c r="GZM32" s="47"/>
      <c r="GZN32" s="47"/>
      <c r="GZO32" s="47"/>
      <c r="GZP32" s="47"/>
      <c r="GZQ32" s="47"/>
      <c r="GZR32" s="47"/>
      <c r="GZS32" s="47"/>
      <c r="GZT32" s="47"/>
      <c r="GZU32" s="47"/>
      <c r="GZV32" s="47"/>
      <c r="GZW32" s="47"/>
      <c r="GZX32" s="47"/>
      <c r="GZY32" s="47"/>
      <c r="GZZ32" s="47"/>
      <c r="HAA32" s="47"/>
      <c r="HAB32" s="47"/>
      <c r="HAC32" s="47"/>
      <c r="HAD32" s="47"/>
      <c r="HAE32" s="47"/>
      <c r="HAF32" s="47"/>
      <c r="HAG32" s="47"/>
      <c r="HAH32" s="47"/>
      <c r="HAI32" s="47"/>
      <c r="HAJ32" s="47"/>
      <c r="HAK32" s="47"/>
      <c r="HAL32" s="47"/>
      <c r="HAM32" s="47"/>
      <c r="HAN32" s="47"/>
      <c r="HAO32" s="47"/>
      <c r="HAP32" s="47"/>
      <c r="HAQ32" s="47"/>
      <c r="HAR32" s="47"/>
      <c r="HAS32" s="47"/>
      <c r="HAT32" s="47"/>
      <c r="HAU32" s="47"/>
      <c r="HAV32" s="47"/>
      <c r="HAW32" s="47"/>
      <c r="HAX32" s="47"/>
      <c r="HAY32" s="47"/>
      <c r="HAZ32" s="47"/>
      <c r="HBA32" s="47"/>
      <c r="HBB32" s="47"/>
      <c r="HBC32" s="47"/>
      <c r="HBD32" s="47"/>
      <c r="HBE32" s="47"/>
      <c r="HBF32" s="47"/>
      <c r="HBG32" s="47"/>
      <c r="HBH32" s="47"/>
      <c r="HBI32" s="47"/>
      <c r="HBJ32" s="47"/>
      <c r="HBK32" s="47"/>
      <c r="HBL32" s="47"/>
      <c r="HBM32" s="47"/>
      <c r="HBN32" s="47"/>
      <c r="HBO32" s="47"/>
      <c r="HBP32" s="47"/>
      <c r="HBQ32" s="47"/>
      <c r="HBR32" s="47"/>
      <c r="HBS32" s="47"/>
      <c r="HBT32" s="47"/>
      <c r="HBU32" s="47"/>
      <c r="HBV32" s="47"/>
      <c r="HBW32" s="47"/>
      <c r="HBX32" s="47"/>
      <c r="HBY32" s="47"/>
      <c r="HBZ32" s="47"/>
      <c r="HCA32" s="47"/>
      <c r="HCB32" s="47"/>
      <c r="HCC32" s="47"/>
      <c r="HCD32" s="47"/>
      <c r="HCE32" s="47"/>
      <c r="HCF32" s="47"/>
      <c r="HCG32" s="47"/>
      <c r="HCH32" s="47"/>
      <c r="HCI32" s="47"/>
      <c r="HCJ32" s="47"/>
      <c r="HCK32" s="47"/>
      <c r="HCL32" s="47"/>
      <c r="HCM32" s="47"/>
      <c r="HCN32" s="47"/>
      <c r="HCO32" s="47"/>
      <c r="HCP32" s="47"/>
      <c r="HCQ32" s="47"/>
      <c r="HCR32" s="47"/>
      <c r="HCS32" s="47"/>
      <c r="HCT32" s="47"/>
      <c r="HCU32" s="47"/>
      <c r="HCV32" s="47"/>
      <c r="HCW32" s="47"/>
      <c r="HCX32" s="47"/>
      <c r="HCY32" s="47"/>
      <c r="HCZ32" s="47"/>
      <c r="HDA32" s="47"/>
      <c r="HDB32" s="47"/>
      <c r="HDC32" s="47"/>
      <c r="HDD32" s="47"/>
      <c r="HDE32" s="47"/>
      <c r="HDF32" s="47"/>
      <c r="HDG32" s="47"/>
      <c r="HDH32" s="47"/>
      <c r="HDI32" s="47"/>
      <c r="HDJ32" s="47"/>
      <c r="HDK32" s="47"/>
      <c r="HDL32" s="47"/>
      <c r="HDM32" s="47"/>
      <c r="HDN32" s="47"/>
      <c r="HDO32" s="47"/>
      <c r="HDP32" s="47"/>
      <c r="HDQ32" s="47"/>
      <c r="HDR32" s="47"/>
      <c r="HDS32" s="47"/>
      <c r="HDT32" s="47"/>
      <c r="HDU32" s="47"/>
      <c r="HDV32" s="47"/>
      <c r="HDW32" s="47"/>
      <c r="HDX32" s="47"/>
      <c r="HDY32" s="47"/>
      <c r="HDZ32" s="47"/>
      <c r="HEA32" s="47"/>
      <c r="HEB32" s="47"/>
      <c r="HEC32" s="47"/>
      <c r="HED32" s="47"/>
      <c r="HEE32" s="47"/>
      <c r="HEF32" s="47"/>
      <c r="HEG32" s="47"/>
      <c r="HEH32" s="47"/>
      <c r="HEI32" s="47"/>
      <c r="HEJ32" s="47"/>
      <c r="HEK32" s="47"/>
      <c r="HEL32" s="47"/>
      <c r="HEM32" s="47"/>
      <c r="HEN32" s="47"/>
      <c r="HEO32" s="47"/>
      <c r="HEP32" s="47"/>
      <c r="HEQ32" s="47"/>
      <c r="HER32" s="47"/>
      <c r="HES32" s="47"/>
      <c r="HET32" s="47"/>
      <c r="HEU32" s="47"/>
      <c r="HEV32" s="47"/>
      <c r="HEW32" s="47"/>
      <c r="HEX32" s="47"/>
      <c r="HEY32" s="47"/>
      <c r="HEZ32" s="47"/>
      <c r="HFA32" s="47"/>
      <c r="HFB32" s="47"/>
      <c r="HFC32" s="47"/>
      <c r="HFD32" s="47"/>
      <c r="HFE32" s="47"/>
      <c r="HFF32" s="47"/>
      <c r="HFG32" s="47"/>
      <c r="HFH32" s="47"/>
      <c r="HFI32" s="47"/>
      <c r="HFJ32" s="47"/>
      <c r="HFK32" s="47"/>
      <c r="HFL32" s="47"/>
      <c r="HFM32" s="47"/>
      <c r="HFN32" s="47"/>
      <c r="HFO32" s="47"/>
      <c r="HFP32" s="47"/>
      <c r="HFQ32" s="47"/>
      <c r="HFR32" s="47"/>
      <c r="HFS32" s="47"/>
      <c r="HFT32" s="47"/>
      <c r="HFU32" s="47"/>
      <c r="HFV32" s="47"/>
      <c r="HFW32" s="47"/>
      <c r="HFX32" s="47"/>
      <c r="HFY32" s="47"/>
      <c r="HFZ32" s="47"/>
      <c r="HGA32" s="47"/>
      <c r="HGB32" s="47"/>
      <c r="HGC32" s="47"/>
      <c r="HGD32" s="47"/>
      <c r="HGE32" s="47"/>
      <c r="HGF32" s="47"/>
      <c r="HGG32" s="47"/>
      <c r="HGH32" s="47"/>
      <c r="HGI32" s="47"/>
      <c r="HGJ32" s="47"/>
      <c r="HGK32" s="47"/>
      <c r="HGL32" s="47"/>
      <c r="HGM32" s="47"/>
      <c r="HGN32" s="47"/>
      <c r="HGO32" s="47"/>
      <c r="HGP32" s="47"/>
      <c r="HGQ32" s="47"/>
      <c r="HGR32" s="47"/>
      <c r="HGS32" s="47"/>
      <c r="HGT32" s="47"/>
      <c r="HGU32" s="47"/>
      <c r="HGV32" s="47"/>
      <c r="HGW32" s="47"/>
      <c r="HGX32" s="47"/>
      <c r="HGY32" s="47"/>
      <c r="HGZ32" s="47"/>
      <c r="HHA32" s="47"/>
      <c r="HHB32" s="47"/>
      <c r="HHC32" s="47"/>
      <c r="HHD32" s="47"/>
      <c r="HHE32" s="47"/>
      <c r="HHF32" s="47"/>
      <c r="HHG32" s="47"/>
      <c r="HHH32" s="47"/>
      <c r="HHI32" s="47"/>
      <c r="HHJ32" s="47"/>
      <c r="HHK32" s="47"/>
      <c r="HHL32" s="47"/>
      <c r="HHM32" s="47"/>
      <c r="HHN32" s="47"/>
      <c r="HHO32" s="47"/>
      <c r="HHP32" s="47"/>
      <c r="HHQ32" s="47"/>
      <c r="HHR32" s="47"/>
      <c r="HHS32" s="47"/>
      <c r="HHT32" s="47"/>
      <c r="HHU32" s="47"/>
      <c r="HHV32" s="47"/>
      <c r="HHW32" s="47"/>
      <c r="HHX32" s="47"/>
      <c r="HHY32" s="47"/>
      <c r="HHZ32" s="47"/>
      <c r="HIA32" s="47"/>
      <c r="HIB32" s="47"/>
      <c r="HIC32" s="47"/>
      <c r="HID32" s="47"/>
      <c r="HIE32" s="47"/>
      <c r="HIF32" s="47"/>
      <c r="HIG32" s="47"/>
      <c r="HIH32" s="47"/>
      <c r="HII32" s="47"/>
      <c r="HIJ32" s="47"/>
      <c r="HIK32" s="47"/>
      <c r="HIL32" s="47"/>
      <c r="HIM32" s="47"/>
      <c r="HIN32" s="47"/>
      <c r="HIO32" s="47"/>
      <c r="HIP32" s="47"/>
      <c r="HIQ32" s="47"/>
      <c r="HIR32" s="47"/>
      <c r="HIS32" s="47"/>
      <c r="HIT32" s="47"/>
      <c r="HIU32" s="47"/>
      <c r="HIV32" s="47"/>
      <c r="HIW32" s="47"/>
      <c r="HIX32" s="47"/>
      <c r="HIY32" s="47"/>
      <c r="HIZ32" s="47"/>
      <c r="HJA32" s="47"/>
      <c r="HJB32" s="47"/>
      <c r="HJC32" s="47"/>
      <c r="HJD32" s="47"/>
      <c r="HJE32" s="47"/>
      <c r="HJF32" s="47"/>
      <c r="HJG32" s="47"/>
      <c r="HJH32" s="47"/>
      <c r="HJI32" s="47"/>
      <c r="HJJ32" s="47"/>
      <c r="HJK32" s="47"/>
      <c r="HJL32" s="47"/>
      <c r="HJM32" s="47"/>
      <c r="HJN32" s="47"/>
      <c r="HJO32" s="47"/>
      <c r="HJP32" s="47"/>
      <c r="HJQ32" s="47"/>
      <c r="HJR32" s="47"/>
      <c r="HJS32" s="47"/>
      <c r="HJT32" s="47"/>
      <c r="HJU32" s="47"/>
      <c r="HJV32" s="47"/>
      <c r="HJW32" s="47"/>
      <c r="HJX32" s="47"/>
      <c r="HJY32" s="47"/>
      <c r="HJZ32" s="47"/>
      <c r="HKA32" s="47"/>
      <c r="HKB32" s="47"/>
      <c r="HKC32" s="47"/>
      <c r="HKD32" s="47"/>
      <c r="HKE32" s="47"/>
      <c r="HKF32" s="47"/>
      <c r="HKG32" s="47"/>
      <c r="HKH32" s="47"/>
      <c r="HKI32" s="47"/>
      <c r="HKJ32" s="47"/>
      <c r="HKK32" s="47"/>
      <c r="HKL32" s="47"/>
      <c r="HKM32" s="47"/>
      <c r="HKN32" s="47"/>
      <c r="HKO32" s="47"/>
      <c r="HKP32" s="47"/>
      <c r="HKQ32" s="47"/>
      <c r="HKR32" s="47"/>
      <c r="HKS32" s="47"/>
      <c r="HKT32" s="47"/>
      <c r="HKU32" s="47"/>
      <c r="HKV32" s="47"/>
      <c r="HKW32" s="47"/>
      <c r="HKX32" s="47"/>
      <c r="HKY32" s="47"/>
      <c r="HKZ32" s="47"/>
      <c r="HLA32" s="47"/>
      <c r="HLB32" s="47"/>
      <c r="HLC32" s="47"/>
      <c r="HLD32" s="47"/>
      <c r="HLE32" s="47"/>
      <c r="HLF32" s="47"/>
      <c r="HLG32" s="47"/>
      <c r="HLH32" s="47"/>
      <c r="HLI32" s="47"/>
      <c r="HLJ32" s="47"/>
      <c r="HLK32" s="47"/>
      <c r="HLL32" s="47"/>
      <c r="HLM32" s="47"/>
      <c r="HLN32" s="47"/>
      <c r="HLO32" s="47"/>
      <c r="HLP32" s="47"/>
      <c r="HLQ32" s="47"/>
      <c r="HLR32" s="47"/>
      <c r="HLS32" s="47"/>
      <c r="HLT32" s="47"/>
      <c r="HLU32" s="47"/>
      <c r="HLV32" s="47"/>
      <c r="HLW32" s="47"/>
      <c r="HLX32" s="47"/>
      <c r="HLY32" s="47"/>
      <c r="HLZ32" s="47"/>
      <c r="HMA32" s="47"/>
      <c r="HMB32" s="47"/>
      <c r="HMC32" s="47"/>
      <c r="HMD32" s="47"/>
      <c r="HME32" s="47"/>
      <c r="HMF32" s="47"/>
      <c r="HMG32" s="47"/>
      <c r="HMH32" s="47"/>
      <c r="HMI32" s="47"/>
      <c r="HMJ32" s="47"/>
      <c r="HMK32" s="47"/>
      <c r="HML32" s="47"/>
      <c r="HMM32" s="47"/>
      <c r="HMN32" s="47"/>
      <c r="HMO32" s="47"/>
      <c r="HMP32" s="47"/>
      <c r="HMQ32" s="47"/>
      <c r="HMR32" s="47"/>
      <c r="HMS32" s="47"/>
      <c r="HMT32" s="47"/>
      <c r="HMU32" s="47"/>
      <c r="HMV32" s="47"/>
      <c r="HMW32" s="47"/>
      <c r="HMX32" s="47"/>
      <c r="HMY32" s="47"/>
      <c r="HMZ32" s="47"/>
      <c r="HNA32" s="47"/>
      <c r="HNB32" s="47"/>
      <c r="HNC32" s="47"/>
      <c r="HND32" s="47"/>
      <c r="HNE32" s="47"/>
      <c r="HNF32" s="47"/>
      <c r="HNG32" s="47"/>
      <c r="HNH32" s="47"/>
      <c r="HNI32" s="47"/>
      <c r="HNJ32" s="47"/>
      <c r="HNK32" s="47"/>
      <c r="HNL32" s="47"/>
      <c r="HNM32" s="47"/>
      <c r="HNN32" s="47"/>
      <c r="HNO32" s="47"/>
      <c r="HNP32" s="47"/>
      <c r="HNQ32" s="47"/>
      <c r="HNR32" s="47"/>
      <c r="HNS32" s="47"/>
      <c r="HNT32" s="47"/>
      <c r="HNU32" s="47"/>
      <c r="HNV32" s="47"/>
      <c r="HNW32" s="47"/>
      <c r="HNX32" s="47"/>
      <c r="HNY32" s="47"/>
      <c r="HNZ32" s="47"/>
      <c r="HOA32" s="47"/>
      <c r="HOB32" s="47"/>
      <c r="HOC32" s="47"/>
      <c r="HOD32" s="47"/>
      <c r="HOE32" s="47"/>
      <c r="HOF32" s="47"/>
      <c r="HOG32" s="47"/>
      <c r="HOH32" s="47"/>
      <c r="HOI32" s="47"/>
      <c r="HOJ32" s="47"/>
      <c r="HOK32" s="47"/>
      <c r="HOL32" s="47"/>
      <c r="HOM32" s="47"/>
      <c r="HON32" s="47"/>
      <c r="HOO32" s="47"/>
      <c r="HOP32" s="47"/>
      <c r="HOQ32" s="47"/>
      <c r="HOR32" s="47"/>
      <c r="HOS32" s="47"/>
      <c r="HOT32" s="47"/>
      <c r="HOU32" s="47"/>
      <c r="HOV32" s="47"/>
      <c r="HOW32" s="47"/>
      <c r="HOX32" s="47"/>
      <c r="HOY32" s="47"/>
      <c r="HOZ32" s="47"/>
      <c r="HPA32" s="47"/>
      <c r="HPB32" s="47"/>
      <c r="HPC32" s="47"/>
      <c r="HPD32" s="47"/>
      <c r="HPE32" s="47"/>
      <c r="HPF32" s="47"/>
      <c r="HPG32" s="47"/>
      <c r="HPH32" s="47"/>
      <c r="HPI32" s="47"/>
      <c r="HPJ32" s="47"/>
      <c r="HPK32" s="47"/>
      <c r="HPL32" s="47"/>
      <c r="HPM32" s="47"/>
      <c r="HPN32" s="47"/>
      <c r="HPO32" s="47"/>
      <c r="HPP32" s="47"/>
      <c r="HPQ32" s="47"/>
      <c r="HPR32" s="47"/>
      <c r="HPS32" s="47"/>
      <c r="HPT32" s="47"/>
      <c r="HPU32" s="47"/>
      <c r="HPV32" s="47"/>
      <c r="HPW32" s="47"/>
      <c r="HPX32" s="47"/>
      <c r="HPY32" s="47"/>
      <c r="HPZ32" s="47"/>
      <c r="HQA32" s="47"/>
      <c r="HQB32" s="47"/>
      <c r="HQC32" s="47"/>
      <c r="HQD32" s="47"/>
      <c r="HQE32" s="47"/>
      <c r="HQF32" s="47"/>
      <c r="HQG32" s="47"/>
      <c r="HQH32" s="47"/>
      <c r="HQI32" s="47"/>
      <c r="HQJ32" s="47"/>
      <c r="HQK32" s="47"/>
      <c r="HQL32" s="47"/>
      <c r="HQM32" s="47"/>
      <c r="HQN32" s="47"/>
      <c r="HQO32" s="47"/>
      <c r="HQP32" s="47"/>
      <c r="HQQ32" s="47"/>
      <c r="HQR32" s="47"/>
      <c r="HQS32" s="47"/>
      <c r="HQT32" s="47"/>
      <c r="HQU32" s="47"/>
      <c r="HQV32" s="47"/>
      <c r="HQW32" s="47"/>
      <c r="HQX32" s="47"/>
      <c r="HQY32" s="47"/>
      <c r="HQZ32" s="47"/>
      <c r="HRA32" s="47"/>
      <c r="HRB32" s="47"/>
      <c r="HRC32" s="47"/>
      <c r="HRD32" s="47"/>
      <c r="HRE32" s="47"/>
      <c r="HRF32" s="47"/>
      <c r="HRG32" s="47"/>
      <c r="HRH32" s="47"/>
      <c r="HRI32" s="47"/>
      <c r="HRJ32" s="47"/>
      <c r="HRK32" s="47"/>
      <c r="HRL32" s="47"/>
      <c r="HRM32" s="47"/>
      <c r="HRN32" s="47"/>
      <c r="HRO32" s="47"/>
      <c r="HRP32" s="47"/>
      <c r="HRQ32" s="47"/>
      <c r="HRR32" s="47"/>
      <c r="HRS32" s="47"/>
      <c r="HRT32" s="47"/>
      <c r="HRU32" s="47"/>
      <c r="HRV32" s="47"/>
      <c r="HRW32" s="47"/>
      <c r="HRX32" s="47"/>
      <c r="HRY32" s="47"/>
      <c r="HRZ32" s="47"/>
      <c r="HSA32" s="47"/>
      <c r="HSB32" s="47"/>
      <c r="HSC32" s="47"/>
      <c r="HSD32" s="47"/>
      <c r="HSE32" s="47"/>
      <c r="HSF32" s="47"/>
      <c r="HSG32" s="47"/>
      <c r="HSH32" s="47"/>
      <c r="HSI32" s="47"/>
      <c r="HSJ32" s="47"/>
      <c r="HSK32" s="47"/>
      <c r="HSL32" s="47"/>
      <c r="HSM32" s="47"/>
      <c r="HSN32" s="47"/>
      <c r="HSO32" s="47"/>
      <c r="HSP32" s="47"/>
      <c r="HSQ32" s="47"/>
      <c r="HSR32" s="47"/>
      <c r="HSS32" s="47"/>
      <c r="HST32" s="47"/>
      <c r="HSU32" s="47"/>
      <c r="HSV32" s="47"/>
      <c r="HSW32" s="47"/>
      <c r="HSX32" s="47"/>
      <c r="HSY32" s="47"/>
      <c r="HSZ32" s="47"/>
      <c r="HTA32" s="47"/>
      <c r="HTB32" s="47"/>
      <c r="HTC32" s="47"/>
      <c r="HTD32" s="47"/>
      <c r="HTE32" s="47"/>
      <c r="HTF32" s="47"/>
      <c r="HTG32" s="47"/>
      <c r="HTH32" s="47"/>
      <c r="HTI32" s="47"/>
      <c r="HTJ32" s="47"/>
      <c r="HTK32" s="47"/>
      <c r="HTL32" s="47"/>
      <c r="HTM32" s="47"/>
      <c r="HTN32" s="47"/>
      <c r="HTO32" s="47"/>
      <c r="HTP32" s="47"/>
      <c r="HTQ32" s="47"/>
      <c r="HTR32" s="47"/>
      <c r="HTS32" s="47"/>
      <c r="HTT32" s="47"/>
      <c r="HTU32" s="47"/>
      <c r="HTV32" s="47"/>
      <c r="HTW32" s="47"/>
      <c r="HTX32" s="47"/>
      <c r="HTY32" s="47"/>
      <c r="HTZ32" s="47"/>
      <c r="HUA32" s="47"/>
      <c r="HUB32" s="47"/>
      <c r="HUC32" s="47"/>
      <c r="HUD32" s="47"/>
      <c r="HUE32" s="47"/>
      <c r="HUF32" s="47"/>
      <c r="HUG32" s="47"/>
      <c r="HUH32" s="47"/>
      <c r="HUI32" s="47"/>
      <c r="HUJ32" s="47"/>
      <c r="HUK32" s="47"/>
      <c r="HUL32" s="47"/>
      <c r="HUM32" s="47"/>
      <c r="HUN32" s="47"/>
      <c r="HUO32" s="47"/>
      <c r="HUP32" s="47"/>
      <c r="HUQ32" s="47"/>
      <c r="HUR32" s="47"/>
      <c r="HUS32" s="47"/>
      <c r="HUT32" s="47"/>
      <c r="HUU32" s="47"/>
      <c r="HUV32" s="47"/>
      <c r="HUW32" s="47"/>
      <c r="HUX32" s="47"/>
      <c r="HUY32" s="47"/>
      <c r="HUZ32" s="47"/>
      <c r="HVA32" s="47"/>
      <c r="HVB32" s="47"/>
      <c r="HVC32" s="47"/>
      <c r="HVD32" s="47"/>
      <c r="HVE32" s="47"/>
      <c r="HVF32" s="47"/>
      <c r="HVG32" s="47"/>
      <c r="HVH32" s="47"/>
      <c r="HVI32" s="47"/>
      <c r="HVJ32" s="47"/>
      <c r="HVK32" s="47"/>
      <c r="HVL32" s="47"/>
      <c r="HVM32" s="47"/>
      <c r="HVN32" s="47"/>
      <c r="HVO32" s="47"/>
      <c r="HVP32" s="47"/>
      <c r="HVQ32" s="47"/>
      <c r="HVR32" s="47"/>
      <c r="HVS32" s="47"/>
      <c r="HVT32" s="47"/>
      <c r="HVU32" s="47"/>
      <c r="HVV32" s="47"/>
      <c r="HVW32" s="47"/>
      <c r="HVX32" s="47"/>
      <c r="HVY32" s="47"/>
      <c r="HVZ32" s="47"/>
      <c r="HWA32" s="47"/>
      <c r="HWB32" s="47"/>
      <c r="HWC32" s="47"/>
      <c r="HWD32" s="47"/>
      <c r="HWE32" s="47"/>
      <c r="HWF32" s="47"/>
      <c r="HWG32" s="47"/>
      <c r="HWH32" s="47"/>
      <c r="HWI32" s="47"/>
      <c r="HWJ32" s="47"/>
      <c r="HWK32" s="47"/>
      <c r="HWL32" s="47"/>
      <c r="HWM32" s="47"/>
      <c r="HWN32" s="47"/>
      <c r="HWO32" s="47"/>
      <c r="HWP32" s="47"/>
      <c r="HWQ32" s="47"/>
      <c r="HWR32" s="47"/>
      <c r="HWS32" s="47"/>
      <c r="HWT32" s="47"/>
      <c r="HWU32" s="47"/>
      <c r="HWV32" s="47"/>
      <c r="HWW32" s="47"/>
      <c r="HWX32" s="47"/>
      <c r="HWY32" s="47"/>
      <c r="HWZ32" s="47"/>
      <c r="HXA32" s="47"/>
      <c r="HXB32" s="47"/>
      <c r="HXC32" s="47"/>
      <c r="HXD32" s="47"/>
      <c r="HXE32" s="47"/>
      <c r="HXF32" s="47"/>
      <c r="HXG32" s="47"/>
      <c r="HXH32" s="47"/>
      <c r="HXI32" s="47"/>
      <c r="HXJ32" s="47"/>
      <c r="HXK32" s="47"/>
      <c r="HXL32" s="47"/>
      <c r="HXM32" s="47"/>
      <c r="HXN32" s="47"/>
      <c r="HXO32" s="47"/>
      <c r="HXP32" s="47"/>
      <c r="HXQ32" s="47"/>
      <c r="HXR32" s="47"/>
      <c r="HXS32" s="47"/>
      <c r="HXT32" s="47"/>
      <c r="HXU32" s="47"/>
      <c r="HXV32" s="47"/>
      <c r="HXW32" s="47"/>
      <c r="HXX32" s="47"/>
      <c r="HXY32" s="47"/>
      <c r="HXZ32" s="47"/>
      <c r="HYA32" s="47"/>
      <c r="HYB32" s="47"/>
      <c r="HYC32" s="47"/>
      <c r="HYD32" s="47"/>
      <c r="HYE32" s="47"/>
      <c r="HYF32" s="47"/>
      <c r="HYG32" s="47"/>
      <c r="HYH32" s="47"/>
      <c r="HYI32" s="47"/>
      <c r="HYJ32" s="47"/>
      <c r="HYK32" s="47"/>
      <c r="HYL32" s="47"/>
      <c r="HYM32" s="47"/>
      <c r="HYN32" s="47"/>
      <c r="HYO32" s="47"/>
      <c r="HYP32" s="47"/>
      <c r="HYQ32" s="47"/>
      <c r="HYR32" s="47"/>
      <c r="HYS32" s="47"/>
      <c r="HYT32" s="47"/>
      <c r="HYU32" s="47"/>
      <c r="HYV32" s="47"/>
      <c r="HYW32" s="47"/>
      <c r="HYX32" s="47"/>
      <c r="HYY32" s="47"/>
      <c r="HYZ32" s="47"/>
      <c r="HZA32" s="47"/>
      <c r="HZB32" s="47"/>
      <c r="HZC32" s="47"/>
      <c r="HZD32" s="47"/>
      <c r="HZE32" s="47"/>
      <c r="HZF32" s="47"/>
      <c r="HZG32" s="47"/>
      <c r="HZH32" s="47"/>
      <c r="HZI32" s="47"/>
      <c r="HZJ32" s="47"/>
      <c r="HZK32" s="47"/>
      <c r="HZL32" s="47"/>
      <c r="HZM32" s="47"/>
      <c r="HZN32" s="47"/>
      <c r="HZO32" s="47"/>
      <c r="HZP32" s="47"/>
      <c r="HZQ32" s="47"/>
      <c r="HZR32" s="47"/>
      <c r="HZS32" s="47"/>
      <c r="HZT32" s="47"/>
      <c r="HZU32" s="47"/>
      <c r="HZV32" s="47"/>
      <c r="HZW32" s="47"/>
      <c r="HZX32" s="47"/>
      <c r="HZY32" s="47"/>
      <c r="HZZ32" s="47"/>
      <c r="IAA32" s="47"/>
      <c r="IAB32" s="47"/>
      <c r="IAC32" s="47"/>
      <c r="IAD32" s="47"/>
      <c r="IAE32" s="47"/>
      <c r="IAF32" s="47"/>
      <c r="IAG32" s="47"/>
      <c r="IAH32" s="47"/>
      <c r="IAI32" s="47"/>
      <c r="IAJ32" s="47"/>
      <c r="IAK32" s="47"/>
      <c r="IAL32" s="47"/>
      <c r="IAM32" s="47"/>
      <c r="IAN32" s="47"/>
      <c r="IAO32" s="47"/>
      <c r="IAP32" s="47"/>
      <c r="IAQ32" s="47"/>
      <c r="IAR32" s="47"/>
      <c r="IAS32" s="47"/>
      <c r="IAT32" s="47"/>
      <c r="IAU32" s="47"/>
      <c r="IAV32" s="47"/>
      <c r="IAW32" s="47"/>
      <c r="IAX32" s="47"/>
      <c r="IAY32" s="47"/>
      <c r="IAZ32" s="47"/>
      <c r="IBA32" s="47"/>
      <c r="IBB32" s="47"/>
      <c r="IBC32" s="47"/>
      <c r="IBD32" s="47"/>
      <c r="IBE32" s="47"/>
      <c r="IBF32" s="47"/>
      <c r="IBG32" s="47"/>
      <c r="IBH32" s="47"/>
      <c r="IBI32" s="47"/>
      <c r="IBJ32" s="47"/>
      <c r="IBK32" s="47"/>
      <c r="IBL32" s="47"/>
      <c r="IBM32" s="47"/>
      <c r="IBN32" s="47"/>
      <c r="IBO32" s="47"/>
      <c r="IBP32" s="47"/>
      <c r="IBQ32" s="47"/>
      <c r="IBR32" s="47"/>
      <c r="IBS32" s="47"/>
      <c r="IBT32" s="47"/>
      <c r="IBU32" s="47"/>
      <c r="IBV32" s="47"/>
      <c r="IBW32" s="47"/>
      <c r="IBX32" s="47"/>
      <c r="IBY32" s="47"/>
      <c r="IBZ32" s="47"/>
      <c r="ICA32" s="47"/>
      <c r="ICB32" s="47"/>
      <c r="ICC32" s="47"/>
      <c r="ICD32" s="47"/>
      <c r="ICE32" s="47"/>
      <c r="ICF32" s="47"/>
      <c r="ICG32" s="47"/>
      <c r="ICH32" s="47"/>
      <c r="ICI32" s="47"/>
      <c r="ICJ32" s="47"/>
      <c r="ICK32" s="47"/>
      <c r="ICL32" s="47"/>
      <c r="ICM32" s="47"/>
      <c r="ICN32" s="47"/>
      <c r="ICO32" s="47"/>
      <c r="ICP32" s="47"/>
      <c r="ICQ32" s="47"/>
      <c r="ICR32" s="47"/>
      <c r="ICS32" s="47"/>
      <c r="ICT32" s="47"/>
      <c r="ICU32" s="47"/>
      <c r="ICV32" s="47"/>
      <c r="ICW32" s="47"/>
      <c r="ICX32" s="47"/>
      <c r="ICY32" s="47"/>
      <c r="ICZ32" s="47"/>
      <c r="IDA32" s="47"/>
      <c r="IDB32" s="47"/>
      <c r="IDC32" s="47"/>
      <c r="IDD32" s="47"/>
      <c r="IDE32" s="47"/>
      <c r="IDF32" s="47"/>
      <c r="IDG32" s="47"/>
      <c r="IDH32" s="47"/>
      <c r="IDI32" s="47"/>
      <c r="IDJ32" s="47"/>
      <c r="IDK32" s="47"/>
      <c r="IDL32" s="47"/>
      <c r="IDM32" s="47"/>
      <c r="IDN32" s="47"/>
      <c r="IDO32" s="47"/>
      <c r="IDP32" s="47"/>
      <c r="IDQ32" s="47"/>
      <c r="IDR32" s="47"/>
      <c r="IDS32" s="47"/>
      <c r="IDT32" s="47"/>
      <c r="IDU32" s="47"/>
      <c r="IDV32" s="47"/>
      <c r="IDW32" s="47"/>
      <c r="IDX32" s="47"/>
      <c r="IDY32" s="47"/>
      <c r="IDZ32" s="47"/>
      <c r="IEA32" s="47"/>
      <c r="IEB32" s="47"/>
      <c r="IEC32" s="47"/>
      <c r="IED32" s="47"/>
      <c r="IEE32" s="47"/>
      <c r="IEF32" s="47"/>
      <c r="IEG32" s="47"/>
      <c r="IEH32" s="47"/>
      <c r="IEI32" s="47"/>
      <c r="IEJ32" s="47"/>
      <c r="IEK32" s="47"/>
      <c r="IEL32" s="47"/>
      <c r="IEM32" s="47"/>
      <c r="IEN32" s="47"/>
      <c r="IEO32" s="47"/>
      <c r="IEP32" s="47"/>
      <c r="IEQ32" s="47"/>
      <c r="IER32" s="47"/>
      <c r="IES32" s="47"/>
      <c r="IET32" s="47"/>
      <c r="IEU32" s="47"/>
      <c r="IEV32" s="47"/>
      <c r="IEW32" s="47"/>
      <c r="IEX32" s="47"/>
      <c r="IEY32" s="47"/>
      <c r="IEZ32" s="47"/>
      <c r="IFA32" s="47"/>
      <c r="IFB32" s="47"/>
      <c r="IFC32" s="47"/>
      <c r="IFD32" s="47"/>
      <c r="IFE32" s="47"/>
      <c r="IFF32" s="47"/>
      <c r="IFG32" s="47"/>
      <c r="IFH32" s="47"/>
      <c r="IFI32" s="47"/>
      <c r="IFJ32" s="47"/>
      <c r="IFK32" s="47"/>
      <c r="IFL32" s="47"/>
      <c r="IFM32" s="47"/>
      <c r="IFN32" s="47"/>
      <c r="IFO32" s="47"/>
      <c r="IFP32" s="47"/>
      <c r="IFQ32" s="47"/>
      <c r="IFR32" s="47"/>
      <c r="IFS32" s="47"/>
      <c r="IFT32" s="47"/>
      <c r="IFU32" s="47"/>
      <c r="IFV32" s="47"/>
      <c r="IFW32" s="47"/>
      <c r="IFX32" s="47"/>
      <c r="IFY32" s="47"/>
      <c r="IFZ32" s="47"/>
      <c r="IGA32" s="47"/>
      <c r="IGB32" s="47"/>
      <c r="IGC32" s="47"/>
      <c r="IGD32" s="47"/>
      <c r="IGE32" s="47"/>
      <c r="IGF32" s="47"/>
      <c r="IGG32" s="47"/>
      <c r="IGH32" s="47"/>
      <c r="IGI32" s="47"/>
      <c r="IGJ32" s="47"/>
      <c r="IGK32" s="47"/>
      <c r="IGL32" s="47"/>
      <c r="IGM32" s="47"/>
      <c r="IGN32" s="47"/>
      <c r="IGO32" s="47"/>
      <c r="IGP32" s="47"/>
      <c r="IGQ32" s="47"/>
      <c r="IGR32" s="47"/>
      <c r="IGS32" s="47"/>
      <c r="IGT32" s="47"/>
      <c r="IGU32" s="47"/>
      <c r="IGV32" s="47"/>
      <c r="IGW32" s="47"/>
      <c r="IGX32" s="47"/>
      <c r="IGY32" s="47"/>
      <c r="IGZ32" s="47"/>
      <c r="IHA32" s="47"/>
      <c r="IHB32" s="47"/>
      <c r="IHC32" s="47"/>
      <c r="IHD32" s="47"/>
      <c r="IHE32" s="47"/>
      <c r="IHF32" s="47"/>
      <c r="IHG32" s="47"/>
      <c r="IHH32" s="47"/>
      <c r="IHI32" s="47"/>
      <c r="IHJ32" s="47"/>
      <c r="IHK32" s="47"/>
      <c r="IHL32" s="47"/>
      <c r="IHM32" s="47"/>
      <c r="IHN32" s="47"/>
      <c r="IHO32" s="47"/>
      <c r="IHP32" s="47"/>
      <c r="IHQ32" s="47"/>
      <c r="IHR32" s="47"/>
      <c r="IHS32" s="47"/>
      <c r="IHT32" s="47"/>
      <c r="IHU32" s="47"/>
      <c r="IHV32" s="47"/>
      <c r="IHW32" s="47"/>
      <c r="IHX32" s="47"/>
      <c r="IHY32" s="47"/>
      <c r="IHZ32" s="47"/>
      <c r="IIA32" s="47"/>
      <c r="IIB32" s="47"/>
      <c r="IIC32" s="47"/>
      <c r="IID32" s="47"/>
      <c r="IIE32" s="47"/>
      <c r="IIF32" s="47"/>
      <c r="IIG32" s="47"/>
      <c r="IIH32" s="47"/>
      <c r="III32" s="47"/>
      <c r="IIJ32" s="47"/>
      <c r="IIK32" s="47"/>
      <c r="IIL32" s="47"/>
      <c r="IIM32" s="47"/>
      <c r="IIN32" s="47"/>
      <c r="IIO32" s="47"/>
      <c r="IIP32" s="47"/>
      <c r="IIQ32" s="47"/>
      <c r="IIR32" s="47"/>
      <c r="IIS32" s="47"/>
      <c r="IIT32" s="47"/>
      <c r="IIU32" s="47"/>
      <c r="IIV32" s="47"/>
      <c r="IIW32" s="47"/>
      <c r="IIX32" s="47"/>
      <c r="IIY32" s="47"/>
      <c r="IIZ32" s="47"/>
      <c r="IJA32" s="47"/>
      <c r="IJB32" s="47"/>
      <c r="IJC32" s="47"/>
      <c r="IJD32" s="47"/>
      <c r="IJE32" s="47"/>
      <c r="IJF32" s="47"/>
      <c r="IJG32" s="47"/>
      <c r="IJH32" s="47"/>
      <c r="IJI32" s="47"/>
      <c r="IJJ32" s="47"/>
      <c r="IJK32" s="47"/>
      <c r="IJL32" s="47"/>
      <c r="IJM32" s="47"/>
      <c r="IJN32" s="47"/>
      <c r="IJO32" s="47"/>
      <c r="IJP32" s="47"/>
      <c r="IJQ32" s="47"/>
      <c r="IJR32" s="47"/>
      <c r="IJS32" s="47"/>
      <c r="IJT32" s="47"/>
      <c r="IJU32" s="47"/>
      <c r="IJV32" s="47"/>
      <c r="IJW32" s="47"/>
      <c r="IJX32" s="47"/>
      <c r="IJY32" s="47"/>
      <c r="IJZ32" s="47"/>
      <c r="IKA32" s="47"/>
      <c r="IKB32" s="47"/>
      <c r="IKC32" s="47"/>
      <c r="IKD32" s="47"/>
      <c r="IKE32" s="47"/>
      <c r="IKF32" s="47"/>
      <c r="IKG32" s="47"/>
      <c r="IKH32" s="47"/>
      <c r="IKI32" s="47"/>
      <c r="IKJ32" s="47"/>
      <c r="IKK32" s="47"/>
      <c r="IKL32" s="47"/>
      <c r="IKM32" s="47"/>
      <c r="IKN32" s="47"/>
      <c r="IKO32" s="47"/>
      <c r="IKP32" s="47"/>
      <c r="IKQ32" s="47"/>
      <c r="IKR32" s="47"/>
      <c r="IKS32" s="47"/>
      <c r="IKT32" s="47"/>
      <c r="IKU32" s="47"/>
      <c r="IKV32" s="47"/>
      <c r="IKW32" s="47"/>
      <c r="IKX32" s="47"/>
      <c r="IKY32" s="47"/>
      <c r="IKZ32" s="47"/>
      <c r="ILA32" s="47"/>
      <c r="ILB32" s="47"/>
      <c r="ILC32" s="47"/>
      <c r="ILD32" s="47"/>
      <c r="ILE32" s="47"/>
      <c r="ILF32" s="47"/>
      <c r="ILG32" s="47"/>
      <c r="ILH32" s="47"/>
      <c r="ILI32" s="47"/>
      <c r="ILJ32" s="47"/>
      <c r="ILK32" s="47"/>
      <c r="ILL32" s="47"/>
      <c r="ILM32" s="47"/>
      <c r="ILN32" s="47"/>
      <c r="ILO32" s="47"/>
      <c r="ILP32" s="47"/>
      <c r="ILQ32" s="47"/>
      <c r="ILR32" s="47"/>
      <c r="ILS32" s="47"/>
      <c r="ILT32" s="47"/>
      <c r="ILU32" s="47"/>
      <c r="ILV32" s="47"/>
      <c r="ILW32" s="47"/>
      <c r="ILX32" s="47"/>
      <c r="ILY32" s="47"/>
      <c r="ILZ32" s="47"/>
      <c r="IMA32" s="47"/>
      <c r="IMB32" s="47"/>
      <c r="IMC32" s="47"/>
      <c r="IMD32" s="47"/>
      <c r="IME32" s="47"/>
      <c r="IMF32" s="47"/>
      <c r="IMG32" s="47"/>
      <c r="IMH32" s="47"/>
      <c r="IMI32" s="47"/>
      <c r="IMJ32" s="47"/>
      <c r="IMK32" s="47"/>
      <c r="IML32" s="47"/>
      <c r="IMM32" s="47"/>
      <c r="IMN32" s="47"/>
      <c r="IMO32" s="47"/>
      <c r="IMP32" s="47"/>
      <c r="IMQ32" s="47"/>
      <c r="IMR32" s="47"/>
      <c r="IMS32" s="47"/>
      <c r="IMT32" s="47"/>
      <c r="IMU32" s="47"/>
      <c r="IMV32" s="47"/>
      <c r="IMW32" s="47"/>
      <c r="IMX32" s="47"/>
      <c r="IMY32" s="47"/>
      <c r="IMZ32" s="47"/>
      <c r="INA32" s="47"/>
      <c r="INB32" s="47"/>
      <c r="INC32" s="47"/>
      <c r="IND32" s="47"/>
      <c r="INE32" s="47"/>
      <c r="INF32" s="47"/>
      <c r="ING32" s="47"/>
      <c r="INH32" s="47"/>
      <c r="INI32" s="47"/>
      <c r="INJ32" s="47"/>
      <c r="INK32" s="47"/>
      <c r="INL32" s="47"/>
      <c r="INM32" s="47"/>
      <c r="INN32" s="47"/>
      <c r="INO32" s="47"/>
      <c r="INP32" s="47"/>
      <c r="INQ32" s="47"/>
      <c r="INR32" s="47"/>
      <c r="INS32" s="47"/>
      <c r="INT32" s="47"/>
      <c r="INU32" s="47"/>
      <c r="INV32" s="47"/>
      <c r="INW32" s="47"/>
      <c r="INX32" s="47"/>
      <c r="INY32" s="47"/>
      <c r="INZ32" s="47"/>
      <c r="IOA32" s="47"/>
      <c r="IOB32" s="47"/>
      <c r="IOC32" s="47"/>
      <c r="IOD32" s="47"/>
      <c r="IOE32" s="47"/>
      <c r="IOF32" s="47"/>
      <c r="IOG32" s="47"/>
      <c r="IOH32" s="47"/>
      <c r="IOI32" s="47"/>
      <c r="IOJ32" s="47"/>
      <c r="IOK32" s="47"/>
      <c r="IOL32" s="47"/>
      <c r="IOM32" s="47"/>
      <c r="ION32" s="47"/>
      <c r="IOO32" s="47"/>
      <c r="IOP32" s="47"/>
      <c r="IOQ32" s="47"/>
      <c r="IOR32" s="47"/>
      <c r="IOS32" s="47"/>
      <c r="IOT32" s="47"/>
      <c r="IOU32" s="47"/>
      <c r="IOV32" s="47"/>
      <c r="IOW32" s="47"/>
      <c r="IOX32" s="47"/>
      <c r="IOY32" s="47"/>
      <c r="IOZ32" s="47"/>
      <c r="IPA32" s="47"/>
      <c r="IPB32" s="47"/>
      <c r="IPC32" s="47"/>
      <c r="IPD32" s="47"/>
      <c r="IPE32" s="47"/>
      <c r="IPF32" s="47"/>
      <c r="IPG32" s="47"/>
      <c r="IPH32" s="47"/>
      <c r="IPI32" s="47"/>
      <c r="IPJ32" s="47"/>
      <c r="IPK32" s="47"/>
      <c r="IPL32" s="47"/>
      <c r="IPM32" s="47"/>
      <c r="IPN32" s="47"/>
      <c r="IPO32" s="47"/>
      <c r="IPP32" s="47"/>
      <c r="IPQ32" s="47"/>
      <c r="IPR32" s="47"/>
      <c r="IPS32" s="47"/>
      <c r="IPT32" s="47"/>
      <c r="IPU32" s="47"/>
      <c r="IPV32" s="47"/>
      <c r="IPW32" s="47"/>
      <c r="IPX32" s="47"/>
      <c r="IPY32" s="47"/>
      <c r="IPZ32" s="47"/>
      <c r="IQA32" s="47"/>
      <c r="IQB32" s="47"/>
      <c r="IQC32" s="47"/>
      <c r="IQD32" s="47"/>
      <c r="IQE32" s="47"/>
      <c r="IQF32" s="47"/>
      <c r="IQG32" s="47"/>
      <c r="IQH32" s="47"/>
      <c r="IQI32" s="47"/>
      <c r="IQJ32" s="47"/>
      <c r="IQK32" s="47"/>
      <c r="IQL32" s="47"/>
      <c r="IQM32" s="47"/>
      <c r="IQN32" s="47"/>
      <c r="IQO32" s="47"/>
      <c r="IQP32" s="47"/>
      <c r="IQQ32" s="47"/>
      <c r="IQR32" s="47"/>
      <c r="IQS32" s="47"/>
      <c r="IQT32" s="47"/>
      <c r="IQU32" s="47"/>
      <c r="IQV32" s="47"/>
      <c r="IQW32" s="47"/>
      <c r="IQX32" s="47"/>
      <c r="IQY32" s="47"/>
      <c r="IQZ32" s="47"/>
      <c r="IRA32" s="47"/>
      <c r="IRB32" s="47"/>
      <c r="IRC32" s="47"/>
      <c r="IRD32" s="47"/>
      <c r="IRE32" s="47"/>
      <c r="IRF32" s="47"/>
      <c r="IRG32" s="47"/>
      <c r="IRH32" s="47"/>
      <c r="IRI32" s="47"/>
      <c r="IRJ32" s="47"/>
      <c r="IRK32" s="47"/>
      <c r="IRL32" s="47"/>
      <c r="IRM32" s="47"/>
      <c r="IRN32" s="47"/>
      <c r="IRO32" s="47"/>
      <c r="IRP32" s="47"/>
      <c r="IRQ32" s="47"/>
      <c r="IRR32" s="47"/>
      <c r="IRS32" s="47"/>
      <c r="IRT32" s="47"/>
      <c r="IRU32" s="47"/>
      <c r="IRV32" s="47"/>
      <c r="IRW32" s="47"/>
      <c r="IRX32" s="47"/>
      <c r="IRY32" s="47"/>
      <c r="IRZ32" s="47"/>
      <c r="ISA32" s="47"/>
      <c r="ISB32" s="47"/>
      <c r="ISC32" s="47"/>
      <c r="ISD32" s="47"/>
      <c r="ISE32" s="47"/>
      <c r="ISF32" s="47"/>
      <c r="ISG32" s="47"/>
      <c r="ISH32" s="47"/>
      <c r="ISI32" s="47"/>
      <c r="ISJ32" s="47"/>
      <c r="ISK32" s="47"/>
      <c r="ISL32" s="47"/>
      <c r="ISM32" s="47"/>
      <c r="ISN32" s="47"/>
      <c r="ISO32" s="47"/>
      <c r="ISP32" s="47"/>
      <c r="ISQ32" s="47"/>
      <c r="ISR32" s="47"/>
      <c r="ISS32" s="47"/>
      <c r="IST32" s="47"/>
      <c r="ISU32" s="47"/>
      <c r="ISV32" s="47"/>
      <c r="ISW32" s="47"/>
      <c r="ISX32" s="47"/>
      <c r="ISY32" s="47"/>
      <c r="ISZ32" s="47"/>
      <c r="ITA32" s="47"/>
      <c r="ITB32" s="47"/>
      <c r="ITC32" s="47"/>
      <c r="ITD32" s="47"/>
      <c r="ITE32" s="47"/>
      <c r="ITF32" s="47"/>
      <c r="ITG32" s="47"/>
      <c r="ITH32" s="47"/>
      <c r="ITI32" s="47"/>
      <c r="ITJ32" s="47"/>
      <c r="ITK32" s="47"/>
      <c r="ITL32" s="47"/>
      <c r="ITM32" s="47"/>
      <c r="ITN32" s="47"/>
      <c r="ITO32" s="47"/>
      <c r="ITP32" s="47"/>
      <c r="ITQ32" s="47"/>
      <c r="ITR32" s="47"/>
      <c r="ITS32" s="47"/>
      <c r="ITT32" s="47"/>
      <c r="ITU32" s="47"/>
      <c r="ITV32" s="47"/>
      <c r="ITW32" s="47"/>
      <c r="ITX32" s="47"/>
      <c r="ITY32" s="47"/>
      <c r="ITZ32" s="47"/>
      <c r="IUA32" s="47"/>
      <c r="IUB32" s="47"/>
      <c r="IUC32" s="47"/>
      <c r="IUD32" s="47"/>
      <c r="IUE32" s="47"/>
      <c r="IUF32" s="47"/>
      <c r="IUG32" s="47"/>
      <c r="IUH32" s="47"/>
      <c r="IUI32" s="47"/>
      <c r="IUJ32" s="47"/>
      <c r="IUK32" s="47"/>
      <c r="IUL32" s="47"/>
      <c r="IUM32" s="47"/>
      <c r="IUN32" s="47"/>
      <c r="IUO32" s="47"/>
      <c r="IUP32" s="47"/>
      <c r="IUQ32" s="47"/>
      <c r="IUR32" s="47"/>
      <c r="IUS32" s="47"/>
      <c r="IUT32" s="47"/>
      <c r="IUU32" s="47"/>
      <c r="IUV32" s="47"/>
      <c r="IUW32" s="47"/>
      <c r="IUX32" s="47"/>
      <c r="IUY32" s="47"/>
      <c r="IUZ32" s="47"/>
      <c r="IVA32" s="47"/>
      <c r="IVB32" s="47"/>
      <c r="IVC32" s="47"/>
      <c r="IVD32" s="47"/>
      <c r="IVE32" s="47"/>
      <c r="IVF32" s="47"/>
      <c r="IVG32" s="47"/>
      <c r="IVH32" s="47"/>
      <c r="IVI32" s="47"/>
      <c r="IVJ32" s="47"/>
      <c r="IVK32" s="47"/>
      <c r="IVL32" s="47"/>
      <c r="IVM32" s="47"/>
      <c r="IVN32" s="47"/>
      <c r="IVO32" s="47"/>
      <c r="IVP32" s="47"/>
      <c r="IVQ32" s="47"/>
      <c r="IVR32" s="47"/>
      <c r="IVS32" s="47"/>
      <c r="IVT32" s="47"/>
      <c r="IVU32" s="47"/>
      <c r="IVV32" s="47"/>
      <c r="IVW32" s="47"/>
      <c r="IVX32" s="47"/>
      <c r="IVY32" s="47"/>
      <c r="IVZ32" s="47"/>
      <c r="IWA32" s="47"/>
      <c r="IWB32" s="47"/>
      <c r="IWC32" s="47"/>
      <c r="IWD32" s="47"/>
      <c r="IWE32" s="47"/>
      <c r="IWF32" s="47"/>
      <c r="IWG32" s="47"/>
      <c r="IWH32" s="47"/>
      <c r="IWI32" s="47"/>
      <c r="IWJ32" s="47"/>
      <c r="IWK32" s="47"/>
      <c r="IWL32" s="47"/>
      <c r="IWM32" s="47"/>
      <c r="IWN32" s="47"/>
      <c r="IWO32" s="47"/>
      <c r="IWP32" s="47"/>
      <c r="IWQ32" s="47"/>
      <c r="IWR32" s="47"/>
      <c r="IWS32" s="47"/>
      <c r="IWT32" s="47"/>
      <c r="IWU32" s="47"/>
      <c r="IWV32" s="47"/>
      <c r="IWW32" s="47"/>
      <c r="IWX32" s="47"/>
      <c r="IWY32" s="47"/>
      <c r="IWZ32" s="47"/>
      <c r="IXA32" s="47"/>
      <c r="IXB32" s="47"/>
      <c r="IXC32" s="47"/>
      <c r="IXD32" s="47"/>
      <c r="IXE32" s="47"/>
      <c r="IXF32" s="47"/>
      <c r="IXG32" s="47"/>
      <c r="IXH32" s="47"/>
      <c r="IXI32" s="47"/>
      <c r="IXJ32" s="47"/>
      <c r="IXK32" s="47"/>
      <c r="IXL32" s="47"/>
      <c r="IXM32" s="47"/>
      <c r="IXN32" s="47"/>
      <c r="IXO32" s="47"/>
      <c r="IXP32" s="47"/>
      <c r="IXQ32" s="47"/>
      <c r="IXR32" s="47"/>
      <c r="IXS32" s="47"/>
      <c r="IXT32" s="47"/>
      <c r="IXU32" s="47"/>
      <c r="IXV32" s="47"/>
      <c r="IXW32" s="47"/>
      <c r="IXX32" s="47"/>
      <c r="IXY32" s="47"/>
      <c r="IXZ32" s="47"/>
      <c r="IYA32" s="47"/>
      <c r="IYB32" s="47"/>
      <c r="IYC32" s="47"/>
      <c r="IYD32" s="47"/>
      <c r="IYE32" s="47"/>
      <c r="IYF32" s="47"/>
      <c r="IYG32" s="47"/>
      <c r="IYH32" s="47"/>
      <c r="IYI32" s="47"/>
      <c r="IYJ32" s="47"/>
      <c r="IYK32" s="47"/>
      <c r="IYL32" s="47"/>
      <c r="IYM32" s="47"/>
      <c r="IYN32" s="47"/>
      <c r="IYO32" s="47"/>
      <c r="IYP32" s="47"/>
      <c r="IYQ32" s="47"/>
      <c r="IYR32" s="47"/>
      <c r="IYS32" s="47"/>
      <c r="IYT32" s="47"/>
      <c r="IYU32" s="47"/>
      <c r="IYV32" s="47"/>
      <c r="IYW32" s="47"/>
      <c r="IYX32" s="47"/>
      <c r="IYY32" s="47"/>
      <c r="IYZ32" s="47"/>
      <c r="IZA32" s="47"/>
      <c r="IZB32" s="47"/>
      <c r="IZC32" s="47"/>
      <c r="IZD32" s="47"/>
      <c r="IZE32" s="47"/>
      <c r="IZF32" s="47"/>
      <c r="IZG32" s="47"/>
      <c r="IZH32" s="47"/>
      <c r="IZI32" s="47"/>
      <c r="IZJ32" s="47"/>
      <c r="IZK32" s="47"/>
      <c r="IZL32" s="47"/>
      <c r="IZM32" s="47"/>
      <c r="IZN32" s="47"/>
      <c r="IZO32" s="47"/>
      <c r="IZP32" s="47"/>
      <c r="IZQ32" s="47"/>
      <c r="IZR32" s="47"/>
      <c r="IZS32" s="47"/>
      <c r="IZT32" s="47"/>
      <c r="IZU32" s="47"/>
      <c r="IZV32" s="47"/>
      <c r="IZW32" s="47"/>
      <c r="IZX32" s="47"/>
      <c r="IZY32" s="47"/>
      <c r="IZZ32" s="47"/>
      <c r="JAA32" s="47"/>
      <c r="JAB32" s="47"/>
      <c r="JAC32" s="47"/>
      <c r="JAD32" s="47"/>
      <c r="JAE32" s="47"/>
      <c r="JAF32" s="47"/>
      <c r="JAG32" s="47"/>
      <c r="JAH32" s="47"/>
      <c r="JAI32" s="47"/>
      <c r="JAJ32" s="47"/>
      <c r="JAK32" s="47"/>
      <c r="JAL32" s="47"/>
      <c r="JAM32" s="47"/>
      <c r="JAN32" s="47"/>
      <c r="JAO32" s="47"/>
      <c r="JAP32" s="47"/>
      <c r="JAQ32" s="47"/>
      <c r="JAR32" s="47"/>
      <c r="JAS32" s="47"/>
      <c r="JAT32" s="47"/>
      <c r="JAU32" s="47"/>
      <c r="JAV32" s="47"/>
      <c r="JAW32" s="47"/>
      <c r="JAX32" s="47"/>
      <c r="JAY32" s="47"/>
      <c r="JAZ32" s="47"/>
      <c r="JBA32" s="47"/>
      <c r="JBB32" s="47"/>
      <c r="JBC32" s="47"/>
      <c r="JBD32" s="47"/>
      <c r="JBE32" s="47"/>
      <c r="JBF32" s="47"/>
      <c r="JBG32" s="47"/>
      <c r="JBH32" s="47"/>
      <c r="JBI32" s="47"/>
      <c r="JBJ32" s="47"/>
      <c r="JBK32" s="47"/>
      <c r="JBL32" s="47"/>
      <c r="JBM32" s="47"/>
      <c r="JBN32" s="47"/>
      <c r="JBO32" s="47"/>
      <c r="JBP32" s="47"/>
      <c r="JBQ32" s="47"/>
      <c r="JBR32" s="47"/>
      <c r="JBS32" s="47"/>
      <c r="JBT32" s="47"/>
      <c r="JBU32" s="47"/>
      <c r="JBV32" s="47"/>
      <c r="JBW32" s="47"/>
      <c r="JBX32" s="47"/>
      <c r="JBY32" s="47"/>
      <c r="JBZ32" s="47"/>
      <c r="JCA32" s="47"/>
      <c r="JCB32" s="47"/>
      <c r="JCC32" s="47"/>
      <c r="JCD32" s="47"/>
      <c r="JCE32" s="47"/>
      <c r="JCF32" s="47"/>
      <c r="JCG32" s="47"/>
      <c r="JCH32" s="47"/>
      <c r="JCI32" s="47"/>
      <c r="JCJ32" s="47"/>
      <c r="JCK32" s="47"/>
      <c r="JCL32" s="47"/>
      <c r="JCM32" s="47"/>
      <c r="JCN32" s="47"/>
      <c r="JCO32" s="47"/>
      <c r="JCP32" s="47"/>
      <c r="JCQ32" s="47"/>
      <c r="JCR32" s="47"/>
      <c r="JCS32" s="47"/>
      <c r="JCT32" s="47"/>
      <c r="JCU32" s="47"/>
      <c r="JCV32" s="47"/>
      <c r="JCW32" s="47"/>
      <c r="JCX32" s="47"/>
      <c r="JCY32" s="47"/>
      <c r="JCZ32" s="47"/>
      <c r="JDA32" s="47"/>
      <c r="JDB32" s="47"/>
      <c r="JDC32" s="47"/>
      <c r="JDD32" s="47"/>
      <c r="JDE32" s="47"/>
      <c r="JDF32" s="47"/>
      <c r="JDG32" s="47"/>
      <c r="JDH32" s="47"/>
      <c r="JDI32" s="47"/>
      <c r="JDJ32" s="47"/>
      <c r="JDK32" s="47"/>
      <c r="JDL32" s="47"/>
      <c r="JDM32" s="47"/>
      <c r="JDN32" s="47"/>
      <c r="JDO32" s="47"/>
      <c r="JDP32" s="47"/>
      <c r="JDQ32" s="47"/>
      <c r="JDR32" s="47"/>
      <c r="JDS32" s="47"/>
      <c r="JDT32" s="47"/>
      <c r="JDU32" s="47"/>
      <c r="JDV32" s="47"/>
      <c r="JDW32" s="47"/>
      <c r="JDX32" s="47"/>
      <c r="JDY32" s="47"/>
      <c r="JDZ32" s="47"/>
      <c r="JEA32" s="47"/>
      <c r="JEB32" s="47"/>
      <c r="JEC32" s="47"/>
      <c r="JED32" s="47"/>
      <c r="JEE32" s="47"/>
      <c r="JEF32" s="47"/>
      <c r="JEG32" s="47"/>
      <c r="JEH32" s="47"/>
      <c r="JEI32" s="47"/>
      <c r="JEJ32" s="47"/>
      <c r="JEK32" s="47"/>
      <c r="JEL32" s="47"/>
      <c r="JEM32" s="47"/>
      <c r="JEN32" s="47"/>
      <c r="JEO32" s="47"/>
      <c r="JEP32" s="47"/>
      <c r="JEQ32" s="47"/>
      <c r="JER32" s="47"/>
      <c r="JES32" s="47"/>
      <c r="JET32" s="47"/>
      <c r="JEU32" s="47"/>
      <c r="JEV32" s="47"/>
      <c r="JEW32" s="47"/>
      <c r="JEX32" s="47"/>
      <c r="JEY32" s="47"/>
      <c r="JEZ32" s="47"/>
      <c r="JFA32" s="47"/>
      <c r="JFB32" s="47"/>
      <c r="JFC32" s="47"/>
      <c r="JFD32" s="47"/>
      <c r="JFE32" s="47"/>
      <c r="JFF32" s="47"/>
      <c r="JFG32" s="47"/>
      <c r="JFH32" s="47"/>
      <c r="JFI32" s="47"/>
      <c r="JFJ32" s="47"/>
      <c r="JFK32" s="47"/>
      <c r="JFL32" s="47"/>
      <c r="JFM32" s="47"/>
      <c r="JFN32" s="47"/>
      <c r="JFO32" s="47"/>
      <c r="JFP32" s="47"/>
      <c r="JFQ32" s="47"/>
      <c r="JFR32" s="47"/>
      <c r="JFS32" s="47"/>
      <c r="JFT32" s="47"/>
      <c r="JFU32" s="47"/>
      <c r="JFV32" s="47"/>
      <c r="JFW32" s="47"/>
      <c r="JFX32" s="47"/>
      <c r="JFY32" s="47"/>
      <c r="JFZ32" s="47"/>
      <c r="JGA32" s="47"/>
      <c r="JGB32" s="47"/>
      <c r="JGC32" s="47"/>
      <c r="JGD32" s="47"/>
      <c r="JGE32" s="47"/>
      <c r="JGF32" s="47"/>
      <c r="JGG32" s="47"/>
      <c r="JGH32" s="47"/>
      <c r="JGI32" s="47"/>
      <c r="JGJ32" s="47"/>
      <c r="JGK32" s="47"/>
      <c r="JGL32" s="47"/>
      <c r="JGM32" s="47"/>
      <c r="JGN32" s="47"/>
      <c r="JGO32" s="47"/>
      <c r="JGP32" s="47"/>
      <c r="JGQ32" s="47"/>
      <c r="JGR32" s="47"/>
      <c r="JGS32" s="47"/>
      <c r="JGT32" s="47"/>
      <c r="JGU32" s="47"/>
      <c r="JGV32" s="47"/>
      <c r="JGW32" s="47"/>
      <c r="JGX32" s="47"/>
      <c r="JGY32" s="47"/>
      <c r="JGZ32" s="47"/>
      <c r="JHA32" s="47"/>
      <c r="JHB32" s="47"/>
      <c r="JHC32" s="47"/>
      <c r="JHD32" s="47"/>
      <c r="JHE32" s="47"/>
      <c r="JHF32" s="47"/>
      <c r="JHG32" s="47"/>
      <c r="JHH32" s="47"/>
      <c r="JHI32" s="47"/>
      <c r="JHJ32" s="47"/>
      <c r="JHK32" s="47"/>
      <c r="JHL32" s="47"/>
      <c r="JHM32" s="47"/>
      <c r="JHN32" s="47"/>
      <c r="JHO32" s="47"/>
      <c r="JHP32" s="47"/>
      <c r="JHQ32" s="47"/>
      <c r="JHR32" s="47"/>
      <c r="JHS32" s="47"/>
      <c r="JHT32" s="47"/>
      <c r="JHU32" s="47"/>
      <c r="JHV32" s="47"/>
      <c r="JHW32" s="47"/>
      <c r="JHX32" s="47"/>
      <c r="JHY32" s="47"/>
      <c r="JHZ32" s="47"/>
      <c r="JIA32" s="47"/>
      <c r="JIB32" s="47"/>
      <c r="JIC32" s="47"/>
      <c r="JID32" s="47"/>
      <c r="JIE32" s="47"/>
      <c r="JIF32" s="47"/>
      <c r="JIG32" s="47"/>
      <c r="JIH32" s="47"/>
      <c r="JII32" s="47"/>
      <c r="JIJ32" s="47"/>
      <c r="JIK32" s="47"/>
      <c r="JIL32" s="47"/>
      <c r="JIM32" s="47"/>
      <c r="JIN32" s="47"/>
      <c r="JIO32" s="47"/>
      <c r="JIP32" s="47"/>
      <c r="JIQ32" s="47"/>
      <c r="JIR32" s="47"/>
      <c r="JIS32" s="47"/>
      <c r="JIT32" s="47"/>
      <c r="JIU32" s="47"/>
      <c r="JIV32" s="47"/>
      <c r="JIW32" s="47"/>
      <c r="JIX32" s="47"/>
      <c r="JIY32" s="47"/>
      <c r="JIZ32" s="47"/>
      <c r="JJA32" s="47"/>
      <c r="JJB32" s="47"/>
      <c r="JJC32" s="47"/>
      <c r="JJD32" s="47"/>
      <c r="JJE32" s="47"/>
      <c r="JJF32" s="47"/>
      <c r="JJG32" s="47"/>
      <c r="JJH32" s="47"/>
      <c r="JJI32" s="47"/>
      <c r="JJJ32" s="47"/>
      <c r="JJK32" s="47"/>
      <c r="JJL32" s="47"/>
      <c r="JJM32" s="47"/>
      <c r="JJN32" s="47"/>
      <c r="JJO32" s="47"/>
      <c r="JJP32" s="47"/>
      <c r="JJQ32" s="47"/>
      <c r="JJR32" s="47"/>
      <c r="JJS32" s="47"/>
      <c r="JJT32" s="47"/>
      <c r="JJU32" s="47"/>
      <c r="JJV32" s="47"/>
      <c r="JJW32" s="47"/>
      <c r="JJX32" s="47"/>
      <c r="JJY32" s="47"/>
      <c r="JJZ32" s="47"/>
      <c r="JKA32" s="47"/>
      <c r="JKB32" s="47"/>
      <c r="JKC32" s="47"/>
      <c r="JKD32" s="47"/>
      <c r="JKE32" s="47"/>
      <c r="JKF32" s="47"/>
      <c r="JKG32" s="47"/>
      <c r="JKH32" s="47"/>
      <c r="JKI32" s="47"/>
      <c r="JKJ32" s="47"/>
      <c r="JKK32" s="47"/>
      <c r="JKL32" s="47"/>
      <c r="JKM32" s="47"/>
      <c r="JKN32" s="47"/>
      <c r="JKO32" s="47"/>
      <c r="JKP32" s="47"/>
      <c r="JKQ32" s="47"/>
      <c r="JKR32" s="47"/>
      <c r="JKS32" s="47"/>
      <c r="JKT32" s="47"/>
      <c r="JKU32" s="47"/>
      <c r="JKV32" s="47"/>
      <c r="JKW32" s="47"/>
      <c r="JKX32" s="47"/>
      <c r="JKY32" s="47"/>
      <c r="JKZ32" s="47"/>
      <c r="JLA32" s="47"/>
      <c r="JLB32" s="47"/>
      <c r="JLC32" s="47"/>
      <c r="JLD32" s="47"/>
      <c r="JLE32" s="47"/>
      <c r="JLF32" s="47"/>
      <c r="JLG32" s="47"/>
      <c r="JLH32" s="47"/>
      <c r="JLI32" s="47"/>
      <c r="JLJ32" s="47"/>
      <c r="JLK32" s="47"/>
      <c r="JLL32" s="47"/>
      <c r="JLM32" s="47"/>
      <c r="JLN32" s="47"/>
      <c r="JLO32" s="47"/>
      <c r="JLP32" s="47"/>
      <c r="JLQ32" s="47"/>
      <c r="JLR32" s="47"/>
      <c r="JLS32" s="47"/>
      <c r="JLT32" s="47"/>
      <c r="JLU32" s="47"/>
      <c r="JLV32" s="47"/>
      <c r="JLW32" s="47"/>
      <c r="JLX32" s="47"/>
      <c r="JLY32" s="47"/>
      <c r="JLZ32" s="47"/>
      <c r="JMA32" s="47"/>
      <c r="JMB32" s="47"/>
      <c r="JMC32" s="47"/>
      <c r="JMD32" s="47"/>
      <c r="JME32" s="47"/>
      <c r="JMF32" s="47"/>
      <c r="JMG32" s="47"/>
      <c r="JMH32" s="47"/>
      <c r="JMI32" s="47"/>
      <c r="JMJ32" s="47"/>
      <c r="JMK32" s="47"/>
      <c r="JML32" s="47"/>
      <c r="JMM32" s="47"/>
      <c r="JMN32" s="47"/>
      <c r="JMO32" s="47"/>
      <c r="JMP32" s="47"/>
      <c r="JMQ32" s="47"/>
      <c r="JMR32" s="47"/>
      <c r="JMS32" s="47"/>
      <c r="JMT32" s="47"/>
      <c r="JMU32" s="47"/>
      <c r="JMV32" s="47"/>
      <c r="JMW32" s="47"/>
      <c r="JMX32" s="47"/>
      <c r="JMY32" s="47"/>
      <c r="JMZ32" s="47"/>
      <c r="JNA32" s="47"/>
      <c r="JNB32" s="47"/>
      <c r="JNC32" s="47"/>
      <c r="JND32" s="47"/>
      <c r="JNE32" s="47"/>
      <c r="JNF32" s="47"/>
      <c r="JNG32" s="47"/>
      <c r="JNH32" s="47"/>
      <c r="JNI32" s="47"/>
      <c r="JNJ32" s="47"/>
      <c r="JNK32" s="47"/>
      <c r="JNL32" s="47"/>
      <c r="JNM32" s="47"/>
      <c r="JNN32" s="47"/>
      <c r="JNO32" s="47"/>
      <c r="JNP32" s="47"/>
      <c r="JNQ32" s="47"/>
      <c r="JNR32" s="47"/>
      <c r="JNS32" s="47"/>
      <c r="JNT32" s="47"/>
      <c r="JNU32" s="47"/>
      <c r="JNV32" s="47"/>
      <c r="JNW32" s="47"/>
      <c r="JNX32" s="47"/>
      <c r="JNY32" s="47"/>
      <c r="JNZ32" s="47"/>
      <c r="JOA32" s="47"/>
      <c r="JOB32" s="47"/>
      <c r="JOC32" s="47"/>
      <c r="JOD32" s="47"/>
      <c r="JOE32" s="47"/>
      <c r="JOF32" s="47"/>
      <c r="JOG32" s="47"/>
      <c r="JOH32" s="47"/>
      <c r="JOI32" s="47"/>
      <c r="JOJ32" s="47"/>
      <c r="JOK32" s="47"/>
      <c r="JOL32" s="47"/>
      <c r="JOM32" s="47"/>
      <c r="JON32" s="47"/>
      <c r="JOO32" s="47"/>
      <c r="JOP32" s="47"/>
      <c r="JOQ32" s="47"/>
      <c r="JOR32" s="47"/>
      <c r="JOS32" s="47"/>
      <c r="JOT32" s="47"/>
      <c r="JOU32" s="47"/>
      <c r="JOV32" s="47"/>
      <c r="JOW32" s="47"/>
      <c r="JOX32" s="47"/>
      <c r="JOY32" s="47"/>
      <c r="JOZ32" s="47"/>
      <c r="JPA32" s="47"/>
      <c r="JPB32" s="47"/>
      <c r="JPC32" s="47"/>
      <c r="JPD32" s="47"/>
      <c r="JPE32" s="47"/>
      <c r="JPF32" s="47"/>
      <c r="JPG32" s="47"/>
      <c r="JPH32" s="47"/>
      <c r="JPI32" s="47"/>
      <c r="JPJ32" s="47"/>
      <c r="JPK32" s="47"/>
      <c r="JPL32" s="47"/>
      <c r="JPM32" s="47"/>
      <c r="JPN32" s="47"/>
      <c r="JPO32" s="47"/>
      <c r="JPP32" s="47"/>
      <c r="JPQ32" s="47"/>
      <c r="JPR32" s="47"/>
      <c r="JPS32" s="47"/>
      <c r="JPT32" s="47"/>
      <c r="JPU32" s="47"/>
      <c r="JPV32" s="47"/>
      <c r="JPW32" s="47"/>
      <c r="JPX32" s="47"/>
      <c r="JPY32" s="47"/>
      <c r="JPZ32" s="47"/>
      <c r="JQA32" s="47"/>
      <c r="JQB32" s="47"/>
      <c r="JQC32" s="47"/>
      <c r="JQD32" s="47"/>
      <c r="JQE32" s="47"/>
      <c r="JQF32" s="47"/>
      <c r="JQG32" s="47"/>
      <c r="JQH32" s="47"/>
      <c r="JQI32" s="47"/>
      <c r="JQJ32" s="47"/>
      <c r="JQK32" s="47"/>
      <c r="JQL32" s="47"/>
      <c r="JQM32" s="47"/>
      <c r="JQN32" s="47"/>
      <c r="JQO32" s="47"/>
      <c r="JQP32" s="47"/>
      <c r="JQQ32" s="47"/>
      <c r="JQR32" s="47"/>
      <c r="JQS32" s="47"/>
      <c r="JQT32" s="47"/>
      <c r="JQU32" s="47"/>
      <c r="JQV32" s="47"/>
      <c r="JQW32" s="47"/>
      <c r="JQX32" s="47"/>
      <c r="JQY32" s="47"/>
      <c r="JQZ32" s="47"/>
      <c r="JRA32" s="47"/>
      <c r="JRB32" s="47"/>
      <c r="JRC32" s="47"/>
      <c r="JRD32" s="47"/>
      <c r="JRE32" s="47"/>
      <c r="JRF32" s="47"/>
      <c r="JRG32" s="47"/>
      <c r="JRH32" s="47"/>
      <c r="JRI32" s="47"/>
      <c r="JRJ32" s="47"/>
      <c r="JRK32" s="47"/>
      <c r="JRL32" s="47"/>
      <c r="JRM32" s="47"/>
      <c r="JRN32" s="47"/>
      <c r="JRO32" s="47"/>
      <c r="JRP32" s="47"/>
      <c r="JRQ32" s="47"/>
      <c r="JRR32" s="47"/>
      <c r="JRS32" s="47"/>
      <c r="JRT32" s="47"/>
      <c r="JRU32" s="47"/>
      <c r="JRV32" s="47"/>
      <c r="JRW32" s="47"/>
      <c r="JRX32" s="47"/>
      <c r="JRY32" s="47"/>
      <c r="JRZ32" s="47"/>
      <c r="JSA32" s="47"/>
      <c r="JSB32" s="47"/>
      <c r="JSC32" s="47"/>
      <c r="JSD32" s="47"/>
      <c r="JSE32" s="47"/>
      <c r="JSF32" s="47"/>
      <c r="JSG32" s="47"/>
      <c r="JSH32" s="47"/>
      <c r="JSI32" s="47"/>
      <c r="JSJ32" s="47"/>
      <c r="JSK32" s="47"/>
      <c r="JSL32" s="47"/>
      <c r="JSM32" s="47"/>
      <c r="JSN32" s="47"/>
      <c r="JSO32" s="47"/>
      <c r="JSP32" s="47"/>
      <c r="JSQ32" s="47"/>
      <c r="JSR32" s="47"/>
      <c r="JSS32" s="47"/>
      <c r="JST32" s="47"/>
      <c r="JSU32" s="47"/>
      <c r="JSV32" s="47"/>
      <c r="JSW32" s="47"/>
      <c r="JSX32" s="47"/>
      <c r="JSY32" s="47"/>
      <c r="JSZ32" s="47"/>
      <c r="JTA32" s="47"/>
      <c r="JTB32" s="47"/>
      <c r="JTC32" s="47"/>
      <c r="JTD32" s="47"/>
      <c r="JTE32" s="47"/>
      <c r="JTF32" s="47"/>
      <c r="JTG32" s="47"/>
      <c r="JTH32" s="47"/>
      <c r="JTI32" s="47"/>
      <c r="JTJ32" s="47"/>
      <c r="JTK32" s="47"/>
      <c r="JTL32" s="47"/>
      <c r="JTM32" s="47"/>
      <c r="JTN32" s="47"/>
      <c r="JTO32" s="47"/>
      <c r="JTP32" s="47"/>
      <c r="JTQ32" s="47"/>
      <c r="JTR32" s="47"/>
      <c r="JTS32" s="47"/>
      <c r="JTT32" s="47"/>
      <c r="JTU32" s="47"/>
      <c r="JTV32" s="47"/>
      <c r="JTW32" s="47"/>
      <c r="JTX32" s="47"/>
      <c r="JTY32" s="47"/>
      <c r="JTZ32" s="47"/>
      <c r="JUA32" s="47"/>
      <c r="JUB32" s="47"/>
      <c r="JUC32" s="47"/>
      <c r="JUD32" s="47"/>
      <c r="JUE32" s="47"/>
      <c r="JUF32" s="47"/>
      <c r="JUG32" s="47"/>
      <c r="JUH32" s="47"/>
      <c r="JUI32" s="47"/>
      <c r="JUJ32" s="47"/>
      <c r="JUK32" s="47"/>
      <c r="JUL32" s="47"/>
      <c r="JUM32" s="47"/>
      <c r="JUN32" s="47"/>
      <c r="JUO32" s="47"/>
      <c r="JUP32" s="47"/>
      <c r="JUQ32" s="47"/>
      <c r="JUR32" s="47"/>
      <c r="JUS32" s="47"/>
      <c r="JUT32" s="47"/>
      <c r="JUU32" s="47"/>
      <c r="JUV32" s="47"/>
      <c r="JUW32" s="47"/>
      <c r="JUX32" s="47"/>
      <c r="JUY32" s="47"/>
      <c r="JUZ32" s="47"/>
      <c r="JVA32" s="47"/>
      <c r="JVB32" s="47"/>
      <c r="JVC32" s="47"/>
      <c r="JVD32" s="47"/>
      <c r="JVE32" s="47"/>
      <c r="JVF32" s="47"/>
      <c r="JVG32" s="47"/>
      <c r="JVH32" s="47"/>
      <c r="JVI32" s="47"/>
      <c r="JVJ32" s="47"/>
      <c r="JVK32" s="47"/>
      <c r="JVL32" s="47"/>
      <c r="JVM32" s="47"/>
      <c r="JVN32" s="47"/>
      <c r="JVO32" s="47"/>
      <c r="JVP32" s="47"/>
      <c r="JVQ32" s="47"/>
      <c r="JVR32" s="47"/>
      <c r="JVS32" s="47"/>
      <c r="JVT32" s="47"/>
      <c r="JVU32" s="47"/>
      <c r="JVV32" s="47"/>
      <c r="JVW32" s="47"/>
      <c r="JVX32" s="47"/>
      <c r="JVY32" s="47"/>
      <c r="JVZ32" s="47"/>
      <c r="JWA32" s="47"/>
      <c r="JWB32" s="47"/>
      <c r="JWC32" s="47"/>
      <c r="JWD32" s="47"/>
      <c r="JWE32" s="47"/>
      <c r="JWF32" s="47"/>
      <c r="JWG32" s="47"/>
      <c r="JWH32" s="47"/>
      <c r="JWI32" s="47"/>
      <c r="JWJ32" s="47"/>
      <c r="JWK32" s="47"/>
      <c r="JWL32" s="47"/>
      <c r="JWM32" s="47"/>
      <c r="JWN32" s="47"/>
      <c r="JWO32" s="47"/>
      <c r="JWP32" s="47"/>
      <c r="JWQ32" s="47"/>
      <c r="JWR32" s="47"/>
      <c r="JWS32" s="47"/>
      <c r="JWT32" s="47"/>
      <c r="JWU32" s="47"/>
      <c r="JWV32" s="47"/>
      <c r="JWW32" s="47"/>
      <c r="JWX32" s="47"/>
      <c r="JWY32" s="47"/>
      <c r="JWZ32" s="47"/>
      <c r="JXA32" s="47"/>
      <c r="JXB32" s="47"/>
      <c r="JXC32" s="47"/>
      <c r="JXD32" s="47"/>
      <c r="JXE32" s="47"/>
      <c r="JXF32" s="47"/>
      <c r="JXG32" s="47"/>
      <c r="JXH32" s="47"/>
      <c r="JXI32" s="47"/>
      <c r="JXJ32" s="47"/>
      <c r="JXK32" s="47"/>
      <c r="JXL32" s="47"/>
      <c r="JXM32" s="47"/>
      <c r="JXN32" s="47"/>
      <c r="JXO32" s="47"/>
      <c r="JXP32" s="47"/>
      <c r="JXQ32" s="47"/>
      <c r="JXR32" s="47"/>
      <c r="JXS32" s="47"/>
      <c r="JXT32" s="47"/>
      <c r="JXU32" s="47"/>
      <c r="JXV32" s="47"/>
      <c r="JXW32" s="47"/>
      <c r="JXX32" s="47"/>
      <c r="JXY32" s="47"/>
      <c r="JXZ32" s="47"/>
      <c r="JYA32" s="47"/>
      <c r="JYB32" s="47"/>
      <c r="JYC32" s="47"/>
      <c r="JYD32" s="47"/>
      <c r="JYE32" s="47"/>
      <c r="JYF32" s="47"/>
      <c r="JYG32" s="47"/>
      <c r="JYH32" s="47"/>
      <c r="JYI32" s="47"/>
      <c r="JYJ32" s="47"/>
      <c r="JYK32" s="47"/>
      <c r="JYL32" s="47"/>
      <c r="JYM32" s="47"/>
      <c r="JYN32" s="47"/>
      <c r="JYO32" s="47"/>
      <c r="JYP32" s="47"/>
      <c r="JYQ32" s="47"/>
      <c r="JYR32" s="47"/>
      <c r="JYS32" s="47"/>
      <c r="JYT32" s="47"/>
      <c r="JYU32" s="47"/>
      <c r="JYV32" s="47"/>
      <c r="JYW32" s="47"/>
      <c r="JYX32" s="47"/>
      <c r="JYY32" s="47"/>
      <c r="JYZ32" s="47"/>
      <c r="JZA32" s="47"/>
      <c r="JZB32" s="47"/>
      <c r="JZC32" s="47"/>
      <c r="JZD32" s="47"/>
      <c r="JZE32" s="47"/>
      <c r="JZF32" s="47"/>
      <c r="JZG32" s="47"/>
      <c r="JZH32" s="47"/>
      <c r="JZI32" s="47"/>
      <c r="JZJ32" s="47"/>
      <c r="JZK32" s="47"/>
      <c r="JZL32" s="47"/>
      <c r="JZM32" s="47"/>
      <c r="JZN32" s="47"/>
      <c r="JZO32" s="47"/>
      <c r="JZP32" s="47"/>
      <c r="JZQ32" s="47"/>
      <c r="JZR32" s="47"/>
      <c r="JZS32" s="47"/>
      <c r="JZT32" s="47"/>
      <c r="JZU32" s="47"/>
      <c r="JZV32" s="47"/>
      <c r="JZW32" s="47"/>
      <c r="JZX32" s="47"/>
      <c r="JZY32" s="47"/>
      <c r="JZZ32" s="47"/>
      <c r="KAA32" s="47"/>
      <c r="KAB32" s="47"/>
      <c r="KAC32" s="47"/>
      <c r="KAD32" s="47"/>
      <c r="KAE32" s="47"/>
      <c r="KAF32" s="47"/>
      <c r="KAG32" s="47"/>
      <c r="KAH32" s="47"/>
      <c r="KAI32" s="47"/>
      <c r="KAJ32" s="47"/>
      <c r="KAK32" s="47"/>
      <c r="KAL32" s="47"/>
      <c r="KAM32" s="47"/>
      <c r="KAN32" s="47"/>
      <c r="KAO32" s="47"/>
      <c r="KAP32" s="47"/>
      <c r="KAQ32" s="47"/>
      <c r="KAR32" s="47"/>
      <c r="KAS32" s="47"/>
      <c r="KAT32" s="47"/>
      <c r="KAU32" s="47"/>
      <c r="KAV32" s="47"/>
      <c r="KAW32" s="47"/>
      <c r="KAX32" s="47"/>
      <c r="KAY32" s="47"/>
      <c r="KAZ32" s="47"/>
      <c r="KBA32" s="47"/>
      <c r="KBB32" s="47"/>
      <c r="KBC32" s="47"/>
      <c r="KBD32" s="47"/>
      <c r="KBE32" s="47"/>
      <c r="KBF32" s="47"/>
      <c r="KBG32" s="47"/>
      <c r="KBH32" s="47"/>
      <c r="KBI32" s="47"/>
      <c r="KBJ32" s="47"/>
      <c r="KBK32" s="47"/>
      <c r="KBL32" s="47"/>
      <c r="KBM32" s="47"/>
      <c r="KBN32" s="47"/>
      <c r="KBO32" s="47"/>
      <c r="KBP32" s="47"/>
      <c r="KBQ32" s="47"/>
      <c r="KBR32" s="47"/>
      <c r="KBS32" s="47"/>
      <c r="KBT32" s="47"/>
      <c r="KBU32" s="47"/>
      <c r="KBV32" s="47"/>
      <c r="KBW32" s="47"/>
      <c r="KBX32" s="47"/>
      <c r="KBY32" s="47"/>
      <c r="KBZ32" s="47"/>
      <c r="KCA32" s="47"/>
      <c r="KCB32" s="47"/>
      <c r="KCC32" s="47"/>
      <c r="KCD32" s="47"/>
      <c r="KCE32" s="47"/>
      <c r="KCF32" s="47"/>
      <c r="KCG32" s="47"/>
      <c r="KCH32" s="47"/>
      <c r="KCI32" s="47"/>
      <c r="KCJ32" s="47"/>
      <c r="KCK32" s="47"/>
      <c r="KCL32" s="47"/>
      <c r="KCM32" s="47"/>
      <c r="KCN32" s="47"/>
      <c r="KCO32" s="47"/>
      <c r="KCP32" s="47"/>
      <c r="KCQ32" s="47"/>
      <c r="KCR32" s="47"/>
      <c r="KCS32" s="47"/>
      <c r="KCT32" s="47"/>
      <c r="KCU32" s="47"/>
      <c r="KCV32" s="47"/>
      <c r="KCW32" s="47"/>
      <c r="KCX32" s="47"/>
      <c r="KCY32" s="47"/>
      <c r="KCZ32" s="47"/>
      <c r="KDA32" s="47"/>
      <c r="KDB32" s="47"/>
      <c r="KDC32" s="47"/>
      <c r="KDD32" s="47"/>
      <c r="KDE32" s="47"/>
      <c r="KDF32" s="47"/>
      <c r="KDG32" s="47"/>
      <c r="KDH32" s="47"/>
      <c r="KDI32" s="47"/>
      <c r="KDJ32" s="47"/>
      <c r="KDK32" s="47"/>
      <c r="KDL32" s="47"/>
      <c r="KDM32" s="47"/>
      <c r="KDN32" s="47"/>
      <c r="KDO32" s="47"/>
      <c r="KDP32" s="47"/>
      <c r="KDQ32" s="47"/>
      <c r="KDR32" s="47"/>
      <c r="KDS32" s="47"/>
      <c r="KDT32" s="47"/>
      <c r="KDU32" s="47"/>
      <c r="KDV32" s="47"/>
      <c r="KDW32" s="47"/>
      <c r="KDX32" s="47"/>
      <c r="KDY32" s="47"/>
      <c r="KDZ32" s="47"/>
      <c r="KEA32" s="47"/>
      <c r="KEB32" s="47"/>
      <c r="KEC32" s="47"/>
      <c r="KED32" s="47"/>
      <c r="KEE32" s="47"/>
      <c r="KEF32" s="47"/>
      <c r="KEG32" s="47"/>
      <c r="KEH32" s="47"/>
      <c r="KEI32" s="47"/>
      <c r="KEJ32" s="47"/>
      <c r="KEK32" s="47"/>
      <c r="KEL32" s="47"/>
      <c r="KEM32" s="47"/>
      <c r="KEN32" s="47"/>
      <c r="KEO32" s="47"/>
      <c r="KEP32" s="47"/>
      <c r="KEQ32" s="47"/>
      <c r="KER32" s="47"/>
      <c r="KES32" s="47"/>
      <c r="KET32" s="47"/>
      <c r="KEU32" s="47"/>
      <c r="KEV32" s="47"/>
      <c r="KEW32" s="47"/>
      <c r="KEX32" s="47"/>
      <c r="KEY32" s="47"/>
      <c r="KEZ32" s="47"/>
      <c r="KFA32" s="47"/>
      <c r="KFB32" s="47"/>
      <c r="KFC32" s="47"/>
      <c r="KFD32" s="47"/>
      <c r="KFE32" s="47"/>
      <c r="KFF32" s="47"/>
      <c r="KFG32" s="47"/>
      <c r="KFH32" s="47"/>
      <c r="KFI32" s="47"/>
      <c r="KFJ32" s="47"/>
      <c r="KFK32" s="47"/>
      <c r="KFL32" s="47"/>
      <c r="KFM32" s="47"/>
      <c r="KFN32" s="47"/>
      <c r="KFO32" s="47"/>
      <c r="KFP32" s="47"/>
      <c r="KFQ32" s="47"/>
      <c r="KFR32" s="47"/>
      <c r="KFS32" s="47"/>
      <c r="KFT32" s="47"/>
      <c r="KFU32" s="47"/>
      <c r="KFV32" s="47"/>
      <c r="KFW32" s="47"/>
      <c r="KFX32" s="47"/>
      <c r="KFY32" s="47"/>
      <c r="KFZ32" s="47"/>
      <c r="KGA32" s="47"/>
      <c r="KGB32" s="47"/>
      <c r="KGC32" s="47"/>
      <c r="KGD32" s="47"/>
      <c r="KGE32" s="47"/>
      <c r="KGF32" s="47"/>
      <c r="KGG32" s="47"/>
      <c r="KGH32" s="47"/>
      <c r="KGI32" s="47"/>
      <c r="KGJ32" s="47"/>
      <c r="KGK32" s="47"/>
      <c r="KGL32" s="47"/>
      <c r="KGM32" s="47"/>
      <c r="KGN32" s="47"/>
      <c r="KGO32" s="47"/>
      <c r="KGP32" s="47"/>
      <c r="KGQ32" s="47"/>
      <c r="KGR32" s="47"/>
      <c r="KGS32" s="47"/>
      <c r="KGT32" s="47"/>
      <c r="KGU32" s="47"/>
      <c r="KGV32" s="47"/>
      <c r="KGW32" s="47"/>
      <c r="KGX32" s="47"/>
      <c r="KGY32" s="47"/>
      <c r="KGZ32" s="47"/>
      <c r="KHA32" s="47"/>
      <c r="KHB32" s="47"/>
      <c r="KHC32" s="47"/>
      <c r="KHD32" s="47"/>
      <c r="KHE32" s="47"/>
      <c r="KHF32" s="47"/>
      <c r="KHG32" s="47"/>
      <c r="KHH32" s="47"/>
      <c r="KHI32" s="47"/>
      <c r="KHJ32" s="47"/>
      <c r="KHK32" s="47"/>
      <c r="KHL32" s="47"/>
      <c r="KHM32" s="47"/>
      <c r="KHN32" s="47"/>
      <c r="KHO32" s="47"/>
      <c r="KHP32" s="47"/>
      <c r="KHQ32" s="47"/>
      <c r="KHR32" s="47"/>
      <c r="KHS32" s="47"/>
      <c r="KHT32" s="47"/>
      <c r="KHU32" s="47"/>
      <c r="KHV32" s="47"/>
      <c r="KHW32" s="47"/>
      <c r="KHX32" s="47"/>
      <c r="KHY32" s="47"/>
      <c r="KHZ32" s="47"/>
      <c r="KIA32" s="47"/>
      <c r="KIB32" s="47"/>
      <c r="KIC32" s="47"/>
      <c r="KID32" s="47"/>
      <c r="KIE32" s="47"/>
      <c r="KIF32" s="47"/>
      <c r="KIG32" s="47"/>
      <c r="KIH32" s="47"/>
      <c r="KII32" s="47"/>
      <c r="KIJ32" s="47"/>
      <c r="KIK32" s="47"/>
      <c r="KIL32" s="47"/>
      <c r="KIM32" s="47"/>
      <c r="KIN32" s="47"/>
      <c r="KIO32" s="47"/>
      <c r="KIP32" s="47"/>
      <c r="KIQ32" s="47"/>
      <c r="KIR32" s="47"/>
      <c r="KIS32" s="47"/>
      <c r="KIT32" s="47"/>
      <c r="KIU32" s="47"/>
      <c r="KIV32" s="47"/>
      <c r="KIW32" s="47"/>
      <c r="KIX32" s="47"/>
      <c r="KIY32" s="47"/>
      <c r="KIZ32" s="47"/>
      <c r="KJA32" s="47"/>
      <c r="KJB32" s="47"/>
      <c r="KJC32" s="47"/>
      <c r="KJD32" s="47"/>
      <c r="KJE32" s="47"/>
      <c r="KJF32" s="47"/>
      <c r="KJG32" s="47"/>
      <c r="KJH32" s="47"/>
      <c r="KJI32" s="47"/>
      <c r="KJJ32" s="47"/>
      <c r="KJK32" s="47"/>
      <c r="KJL32" s="47"/>
      <c r="KJM32" s="47"/>
      <c r="KJN32" s="47"/>
      <c r="KJO32" s="47"/>
      <c r="KJP32" s="47"/>
      <c r="KJQ32" s="47"/>
      <c r="KJR32" s="47"/>
      <c r="KJS32" s="47"/>
      <c r="KJT32" s="47"/>
      <c r="KJU32" s="47"/>
      <c r="KJV32" s="47"/>
      <c r="KJW32" s="47"/>
      <c r="KJX32" s="47"/>
      <c r="KJY32" s="47"/>
      <c r="KJZ32" s="47"/>
      <c r="KKA32" s="47"/>
      <c r="KKB32" s="47"/>
      <c r="KKC32" s="47"/>
      <c r="KKD32" s="47"/>
      <c r="KKE32" s="47"/>
      <c r="KKF32" s="47"/>
      <c r="KKG32" s="47"/>
      <c r="KKH32" s="47"/>
      <c r="KKI32" s="47"/>
      <c r="KKJ32" s="47"/>
      <c r="KKK32" s="47"/>
      <c r="KKL32" s="47"/>
      <c r="KKM32" s="47"/>
      <c r="KKN32" s="47"/>
      <c r="KKO32" s="47"/>
      <c r="KKP32" s="47"/>
      <c r="KKQ32" s="47"/>
      <c r="KKR32" s="47"/>
      <c r="KKS32" s="47"/>
      <c r="KKT32" s="47"/>
      <c r="KKU32" s="47"/>
      <c r="KKV32" s="47"/>
      <c r="KKW32" s="47"/>
      <c r="KKX32" s="47"/>
      <c r="KKY32" s="47"/>
      <c r="KKZ32" s="47"/>
      <c r="KLA32" s="47"/>
      <c r="KLB32" s="47"/>
      <c r="KLC32" s="47"/>
      <c r="KLD32" s="47"/>
      <c r="KLE32" s="47"/>
      <c r="KLF32" s="47"/>
      <c r="KLG32" s="47"/>
      <c r="KLH32" s="47"/>
      <c r="KLI32" s="47"/>
      <c r="KLJ32" s="47"/>
      <c r="KLK32" s="47"/>
      <c r="KLL32" s="47"/>
      <c r="KLM32" s="47"/>
      <c r="KLN32" s="47"/>
      <c r="KLO32" s="47"/>
      <c r="KLP32" s="47"/>
      <c r="KLQ32" s="47"/>
      <c r="KLR32" s="47"/>
      <c r="KLS32" s="47"/>
      <c r="KLT32" s="47"/>
      <c r="KLU32" s="47"/>
      <c r="KLV32" s="47"/>
      <c r="KLW32" s="47"/>
      <c r="KLX32" s="47"/>
      <c r="KLY32" s="47"/>
      <c r="KLZ32" s="47"/>
      <c r="KMA32" s="47"/>
      <c r="KMB32" s="47"/>
      <c r="KMC32" s="47"/>
      <c r="KMD32" s="47"/>
      <c r="KME32" s="47"/>
      <c r="KMF32" s="47"/>
      <c r="KMG32" s="47"/>
      <c r="KMH32" s="47"/>
      <c r="KMI32" s="47"/>
      <c r="KMJ32" s="47"/>
      <c r="KMK32" s="47"/>
      <c r="KML32" s="47"/>
      <c r="KMM32" s="47"/>
      <c r="KMN32" s="47"/>
      <c r="KMO32" s="47"/>
      <c r="KMP32" s="47"/>
      <c r="KMQ32" s="47"/>
      <c r="KMR32" s="47"/>
      <c r="KMS32" s="47"/>
      <c r="KMT32" s="47"/>
      <c r="KMU32" s="47"/>
      <c r="KMV32" s="47"/>
      <c r="KMW32" s="47"/>
      <c r="KMX32" s="47"/>
      <c r="KMY32" s="47"/>
      <c r="KMZ32" s="47"/>
      <c r="KNA32" s="47"/>
      <c r="KNB32" s="47"/>
      <c r="KNC32" s="47"/>
      <c r="KND32" s="47"/>
      <c r="KNE32" s="47"/>
      <c r="KNF32" s="47"/>
      <c r="KNG32" s="47"/>
      <c r="KNH32" s="47"/>
      <c r="KNI32" s="47"/>
      <c r="KNJ32" s="47"/>
      <c r="KNK32" s="47"/>
      <c r="KNL32" s="47"/>
      <c r="KNM32" s="47"/>
      <c r="KNN32" s="47"/>
      <c r="KNO32" s="47"/>
      <c r="KNP32" s="47"/>
      <c r="KNQ32" s="47"/>
      <c r="KNR32" s="47"/>
      <c r="KNS32" s="47"/>
      <c r="KNT32" s="47"/>
      <c r="KNU32" s="47"/>
      <c r="KNV32" s="47"/>
      <c r="KNW32" s="47"/>
      <c r="KNX32" s="47"/>
      <c r="KNY32" s="47"/>
      <c r="KNZ32" s="47"/>
      <c r="KOA32" s="47"/>
      <c r="KOB32" s="47"/>
      <c r="KOC32" s="47"/>
      <c r="KOD32" s="47"/>
      <c r="KOE32" s="47"/>
      <c r="KOF32" s="47"/>
      <c r="KOG32" s="47"/>
      <c r="KOH32" s="47"/>
      <c r="KOI32" s="47"/>
      <c r="KOJ32" s="47"/>
      <c r="KOK32" s="47"/>
      <c r="KOL32" s="47"/>
      <c r="KOM32" s="47"/>
      <c r="KON32" s="47"/>
      <c r="KOO32" s="47"/>
      <c r="KOP32" s="47"/>
      <c r="KOQ32" s="47"/>
      <c r="KOR32" s="47"/>
      <c r="KOS32" s="47"/>
      <c r="KOT32" s="47"/>
      <c r="KOU32" s="47"/>
      <c r="KOV32" s="47"/>
      <c r="KOW32" s="47"/>
      <c r="KOX32" s="47"/>
      <c r="KOY32" s="47"/>
      <c r="KOZ32" s="47"/>
      <c r="KPA32" s="47"/>
      <c r="KPB32" s="47"/>
      <c r="KPC32" s="47"/>
      <c r="KPD32" s="47"/>
      <c r="KPE32" s="47"/>
      <c r="KPF32" s="47"/>
      <c r="KPG32" s="47"/>
      <c r="KPH32" s="47"/>
      <c r="KPI32" s="47"/>
      <c r="KPJ32" s="47"/>
      <c r="KPK32" s="47"/>
      <c r="KPL32" s="47"/>
      <c r="KPM32" s="47"/>
      <c r="KPN32" s="47"/>
      <c r="KPO32" s="47"/>
      <c r="KPP32" s="47"/>
      <c r="KPQ32" s="47"/>
      <c r="KPR32" s="47"/>
      <c r="KPS32" s="47"/>
      <c r="KPT32" s="47"/>
      <c r="KPU32" s="47"/>
      <c r="KPV32" s="47"/>
      <c r="KPW32" s="47"/>
      <c r="KPX32" s="47"/>
      <c r="KPY32" s="47"/>
      <c r="KPZ32" s="47"/>
      <c r="KQA32" s="47"/>
      <c r="KQB32" s="47"/>
      <c r="KQC32" s="47"/>
      <c r="KQD32" s="47"/>
      <c r="KQE32" s="47"/>
      <c r="KQF32" s="47"/>
      <c r="KQG32" s="47"/>
      <c r="KQH32" s="47"/>
      <c r="KQI32" s="47"/>
      <c r="KQJ32" s="47"/>
      <c r="KQK32" s="47"/>
      <c r="KQL32" s="47"/>
      <c r="KQM32" s="47"/>
      <c r="KQN32" s="47"/>
      <c r="KQO32" s="47"/>
      <c r="KQP32" s="47"/>
      <c r="KQQ32" s="47"/>
      <c r="KQR32" s="47"/>
      <c r="KQS32" s="47"/>
      <c r="KQT32" s="47"/>
      <c r="KQU32" s="47"/>
      <c r="KQV32" s="47"/>
      <c r="KQW32" s="47"/>
      <c r="KQX32" s="47"/>
      <c r="KQY32" s="47"/>
      <c r="KQZ32" s="47"/>
      <c r="KRA32" s="47"/>
      <c r="KRB32" s="47"/>
      <c r="KRC32" s="47"/>
      <c r="KRD32" s="47"/>
      <c r="KRE32" s="47"/>
      <c r="KRF32" s="47"/>
      <c r="KRG32" s="47"/>
      <c r="KRH32" s="47"/>
      <c r="KRI32" s="47"/>
      <c r="KRJ32" s="47"/>
      <c r="KRK32" s="47"/>
      <c r="KRL32" s="47"/>
      <c r="KRM32" s="47"/>
      <c r="KRN32" s="47"/>
      <c r="KRO32" s="47"/>
      <c r="KRP32" s="47"/>
      <c r="KRQ32" s="47"/>
      <c r="KRR32" s="47"/>
      <c r="KRS32" s="47"/>
      <c r="KRT32" s="47"/>
      <c r="KRU32" s="47"/>
      <c r="KRV32" s="47"/>
      <c r="KRW32" s="47"/>
      <c r="KRX32" s="47"/>
      <c r="KRY32" s="47"/>
      <c r="KRZ32" s="47"/>
      <c r="KSA32" s="47"/>
      <c r="KSB32" s="47"/>
      <c r="KSC32" s="47"/>
      <c r="KSD32" s="47"/>
      <c r="KSE32" s="47"/>
      <c r="KSF32" s="47"/>
      <c r="KSG32" s="47"/>
      <c r="KSH32" s="47"/>
      <c r="KSI32" s="47"/>
      <c r="KSJ32" s="47"/>
      <c r="KSK32" s="47"/>
      <c r="KSL32" s="47"/>
      <c r="KSM32" s="47"/>
      <c r="KSN32" s="47"/>
      <c r="KSO32" s="47"/>
      <c r="KSP32" s="47"/>
      <c r="KSQ32" s="47"/>
      <c r="KSR32" s="47"/>
      <c r="KSS32" s="47"/>
      <c r="KST32" s="47"/>
      <c r="KSU32" s="47"/>
      <c r="KSV32" s="47"/>
      <c r="KSW32" s="47"/>
      <c r="KSX32" s="47"/>
      <c r="KSY32" s="47"/>
      <c r="KSZ32" s="47"/>
      <c r="KTA32" s="47"/>
      <c r="KTB32" s="47"/>
      <c r="KTC32" s="47"/>
      <c r="KTD32" s="47"/>
      <c r="KTE32" s="47"/>
      <c r="KTF32" s="47"/>
      <c r="KTG32" s="47"/>
      <c r="KTH32" s="47"/>
      <c r="KTI32" s="47"/>
      <c r="KTJ32" s="47"/>
      <c r="KTK32" s="47"/>
      <c r="KTL32" s="47"/>
      <c r="KTM32" s="47"/>
      <c r="KTN32" s="47"/>
      <c r="KTO32" s="47"/>
      <c r="KTP32" s="47"/>
      <c r="KTQ32" s="47"/>
      <c r="KTR32" s="47"/>
      <c r="KTS32" s="47"/>
      <c r="KTT32" s="47"/>
      <c r="KTU32" s="47"/>
      <c r="KTV32" s="47"/>
      <c r="KTW32" s="47"/>
      <c r="KTX32" s="47"/>
      <c r="KTY32" s="47"/>
      <c r="KTZ32" s="47"/>
      <c r="KUA32" s="47"/>
      <c r="KUB32" s="47"/>
      <c r="KUC32" s="47"/>
      <c r="KUD32" s="47"/>
      <c r="KUE32" s="47"/>
      <c r="KUF32" s="47"/>
      <c r="KUG32" s="47"/>
      <c r="KUH32" s="47"/>
      <c r="KUI32" s="47"/>
      <c r="KUJ32" s="47"/>
      <c r="KUK32" s="47"/>
      <c r="KUL32" s="47"/>
      <c r="KUM32" s="47"/>
      <c r="KUN32" s="47"/>
      <c r="KUO32" s="47"/>
      <c r="KUP32" s="47"/>
      <c r="KUQ32" s="47"/>
      <c r="KUR32" s="47"/>
      <c r="KUS32" s="47"/>
      <c r="KUT32" s="47"/>
      <c r="KUU32" s="47"/>
      <c r="KUV32" s="47"/>
      <c r="KUW32" s="47"/>
      <c r="KUX32" s="47"/>
      <c r="KUY32" s="47"/>
      <c r="KUZ32" s="47"/>
      <c r="KVA32" s="47"/>
      <c r="KVB32" s="47"/>
      <c r="KVC32" s="47"/>
      <c r="KVD32" s="47"/>
      <c r="KVE32" s="47"/>
      <c r="KVF32" s="47"/>
      <c r="KVG32" s="47"/>
      <c r="KVH32" s="47"/>
      <c r="KVI32" s="47"/>
      <c r="KVJ32" s="47"/>
      <c r="KVK32" s="47"/>
      <c r="KVL32" s="47"/>
      <c r="KVM32" s="47"/>
      <c r="KVN32" s="47"/>
      <c r="KVO32" s="47"/>
      <c r="KVP32" s="47"/>
      <c r="KVQ32" s="47"/>
      <c r="KVR32" s="47"/>
      <c r="KVS32" s="47"/>
      <c r="KVT32" s="47"/>
      <c r="KVU32" s="47"/>
      <c r="KVV32" s="47"/>
      <c r="KVW32" s="47"/>
      <c r="KVX32" s="47"/>
      <c r="KVY32" s="47"/>
      <c r="KVZ32" s="47"/>
      <c r="KWA32" s="47"/>
      <c r="KWB32" s="47"/>
      <c r="KWC32" s="47"/>
      <c r="KWD32" s="47"/>
      <c r="KWE32" s="47"/>
      <c r="KWF32" s="47"/>
      <c r="KWG32" s="47"/>
      <c r="KWH32" s="47"/>
      <c r="KWI32" s="47"/>
      <c r="KWJ32" s="47"/>
      <c r="KWK32" s="47"/>
      <c r="KWL32" s="47"/>
      <c r="KWM32" s="47"/>
      <c r="KWN32" s="47"/>
      <c r="KWO32" s="47"/>
      <c r="KWP32" s="47"/>
      <c r="KWQ32" s="47"/>
      <c r="KWR32" s="47"/>
      <c r="KWS32" s="47"/>
      <c r="KWT32" s="47"/>
      <c r="KWU32" s="47"/>
      <c r="KWV32" s="47"/>
      <c r="KWW32" s="47"/>
      <c r="KWX32" s="47"/>
      <c r="KWY32" s="47"/>
      <c r="KWZ32" s="47"/>
      <c r="KXA32" s="47"/>
      <c r="KXB32" s="47"/>
      <c r="KXC32" s="47"/>
      <c r="KXD32" s="47"/>
      <c r="KXE32" s="47"/>
      <c r="KXF32" s="47"/>
      <c r="KXG32" s="47"/>
      <c r="KXH32" s="47"/>
      <c r="KXI32" s="47"/>
      <c r="KXJ32" s="47"/>
      <c r="KXK32" s="47"/>
      <c r="KXL32" s="47"/>
      <c r="KXM32" s="47"/>
      <c r="KXN32" s="47"/>
      <c r="KXO32" s="47"/>
      <c r="KXP32" s="47"/>
      <c r="KXQ32" s="47"/>
      <c r="KXR32" s="47"/>
      <c r="KXS32" s="47"/>
      <c r="KXT32" s="47"/>
      <c r="KXU32" s="47"/>
      <c r="KXV32" s="47"/>
      <c r="KXW32" s="47"/>
      <c r="KXX32" s="47"/>
      <c r="KXY32" s="47"/>
      <c r="KXZ32" s="47"/>
      <c r="KYA32" s="47"/>
      <c r="KYB32" s="47"/>
      <c r="KYC32" s="47"/>
      <c r="KYD32" s="47"/>
      <c r="KYE32" s="47"/>
      <c r="KYF32" s="47"/>
      <c r="KYG32" s="47"/>
      <c r="KYH32" s="47"/>
      <c r="KYI32" s="47"/>
      <c r="KYJ32" s="47"/>
      <c r="KYK32" s="47"/>
      <c r="KYL32" s="47"/>
      <c r="KYM32" s="47"/>
      <c r="KYN32" s="47"/>
      <c r="KYO32" s="47"/>
      <c r="KYP32" s="47"/>
      <c r="KYQ32" s="47"/>
      <c r="KYR32" s="47"/>
      <c r="KYS32" s="47"/>
      <c r="KYT32" s="47"/>
      <c r="KYU32" s="47"/>
      <c r="KYV32" s="47"/>
      <c r="KYW32" s="47"/>
      <c r="KYX32" s="47"/>
      <c r="KYY32" s="47"/>
      <c r="KYZ32" s="47"/>
      <c r="KZA32" s="47"/>
      <c r="KZB32" s="47"/>
      <c r="KZC32" s="47"/>
      <c r="KZD32" s="47"/>
      <c r="KZE32" s="47"/>
      <c r="KZF32" s="47"/>
      <c r="KZG32" s="47"/>
      <c r="KZH32" s="47"/>
      <c r="KZI32" s="47"/>
      <c r="KZJ32" s="47"/>
      <c r="KZK32" s="47"/>
      <c r="KZL32" s="47"/>
      <c r="KZM32" s="47"/>
      <c r="KZN32" s="47"/>
      <c r="KZO32" s="47"/>
      <c r="KZP32" s="47"/>
      <c r="KZQ32" s="47"/>
      <c r="KZR32" s="47"/>
      <c r="KZS32" s="47"/>
      <c r="KZT32" s="47"/>
      <c r="KZU32" s="47"/>
      <c r="KZV32" s="47"/>
      <c r="KZW32" s="47"/>
      <c r="KZX32" s="47"/>
      <c r="KZY32" s="47"/>
      <c r="KZZ32" s="47"/>
      <c r="LAA32" s="47"/>
      <c r="LAB32" s="47"/>
      <c r="LAC32" s="47"/>
      <c r="LAD32" s="47"/>
      <c r="LAE32" s="47"/>
      <c r="LAF32" s="47"/>
      <c r="LAG32" s="47"/>
      <c r="LAH32" s="47"/>
      <c r="LAI32" s="47"/>
      <c r="LAJ32" s="47"/>
      <c r="LAK32" s="47"/>
      <c r="LAL32" s="47"/>
      <c r="LAM32" s="47"/>
      <c r="LAN32" s="47"/>
      <c r="LAO32" s="47"/>
      <c r="LAP32" s="47"/>
      <c r="LAQ32" s="47"/>
      <c r="LAR32" s="47"/>
      <c r="LAS32" s="47"/>
      <c r="LAT32" s="47"/>
      <c r="LAU32" s="47"/>
      <c r="LAV32" s="47"/>
      <c r="LAW32" s="47"/>
      <c r="LAX32" s="47"/>
      <c r="LAY32" s="47"/>
      <c r="LAZ32" s="47"/>
      <c r="LBA32" s="47"/>
      <c r="LBB32" s="47"/>
      <c r="LBC32" s="47"/>
      <c r="LBD32" s="47"/>
      <c r="LBE32" s="47"/>
      <c r="LBF32" s="47"/>
      <c r="LBG32" s="47"/>
      <c r="LBH32" s="47"/>
      <c r="LBI32" s="47"/>
      <c r="LBJ32" s="47"/>
      <c r="LBK32" s="47"/>
      <c r="LBL32" s="47"/>
      <c r="LBM32" s="47"/>
      <c r="LBN32" s="47"/>
      <c r="LBO32" s="47"/>
      <c r="LBP32" s="47"/>
      <c r="LBQ32" s="47"/>
      <c r="LBR32" s="47"/>
      <c r="LBS32" s="47"/>
      <c r="LBT32" s="47"/>
      <c r="LBU32" s="47"/>
      <c r="LBV32" s="47"/>
      <c r="LBW32" s="47"/>
      <c r="LBX32" s="47"/>
      <c r="LBY32" s="47"/>
      <c r="LBZ32" s="47"/>
      <c r="LCA32" s="47"/>
      <c r="LCB32" s="47"/>
      <c r="LCC32" s="47"/>
      <c r="LCD32" s="47"/>
      <c r="LCE32" s="47"/>
      <c r="LCF32" s="47"/>
      <c r="LCG32" s="47"/>
      <c r="LCH32" s="47"/>
      <c r="LCI32" s="47"/>
      <c r="LCJ32" s="47"/>
      <c r="LCK32" s="47"/>
      <c r="LCL32" s="47"/>
      <c r="LCM32" s="47"/>
      <c r="LCN32" s="47"/>
      <c r="LCO32" s="47"/>
      <c r="LCP32" s="47"/>
      <c r="LCQ32" s="47"/>
      <c r="LCR32" s="47"/>
      <c r="LCS32" s="47"/>
      <c r="LCT32" s="47"/>
      <c r="LCU32" s="47"/>
      <c r="LCV32" s="47"/>
      <c r="LCW32" s="47"/>
      <c r="LCX32" s="47"/>
      <c r="LCY32" s="47"/>
      <c r="LCZ32" s="47"/>
      <c r="LDA32" s="47"/>
      <c r="LDB32" s="47"/>
      <c r="LDC32" s="47"/>
      <c r="LDD32" s="47"/>
      <c r="LDE32" s="47"/>
      <c r="LDF32" s="47"/>
      <c r="LDG32" s="47"/>
      <c r="LDH32" s="47"/>
      <c r="LDI32" s="47"/>
      <c r="LDJ32" s="47"/>
      <c r="LDK32" s="47"/>
      <c r="LDL32" s="47"/>
      <c r="LDM32" s="47"/>
      <c r="LDN32" s="47"/>
      <c r="LDO32" s="47"/>
      <c r="LDP32" s="47"/>
      <c r="LDQ32" s="47"/>
      <c r="LDR32" s="47"/>
      <c r="LDS32" s="47"/>
      <c r="LDT32" s="47"/>
      <c r="LDU32" s="47"/>
      <c r="LDV32" s="47"/>
      <c r="LDW32" s="47"/>
      <c r="LDX32" s="47"/>
      <c r="LDY32" s="47"/>
      <c r="LDZ32" s="47"/>
      <c r="LEA32" s="47"/>
      <c r="LEB32" s="47"/>
      <c r="LEC32" s="47"/>
      <c r="LED32" s="47"/>
      <c r="LEE32" s="47"/>
      <c r="LEF32" s="47"/>
      <c r="LEG32" s="47"/>
      <c r="LEH32" s="47"/>
      <c r="LEI32" s="47"/>
      <c r="LEJ32" s="47"/>
      <c r="LEK32" s="47"/>
      <c r="LEL32" s="47"/>
      <c r="LEM32" s="47"/>
      <c r="LEN32" s="47"/>
      <c r="LEO32" s="47"/>
      <c r="LEP32" s="47"/>
      <c r="LEQ32" s="47"/>
      <c r="LER32" s="47"/>
      <c r="LES32" s="47"/>
      <c r="LET32" s="47"/>
      <c r="LEU32" s="47"/>
      <c r="LEV32" s="47"/>
      <c r="LEW32" s="47"/>
      <c r="LEX32" s="47"/>
      <c r="LEY32" s="47"/>
      <c r="LEZ32" s="47"/>
      <c r="LFA32" s="47"/>
      <c r="LFB32" s="47"/>
      <c r="LFC32" s="47"/>
      <c r="LFD32" s="47"/>
      <c r="LFE32" s="47"/>
      <c r="LFF32" s="47"/>
      <c r="LFG32" s="47"/>
      <c r="LFH32" s="47"/>
      <c r="LFI32" s="47"/>
      <c r="LFJ32" s="47"/>
      <c r="LFK32" s="47"/>
      <c r="LFL32" s="47"/>
      <c r="LFM32" s="47"/>
      <c r="LFN32" s="47"/>
      <c r="LFO32" s="47"/>
      <c r="LFP32" s="47"/>
      <c r="LFQ32" s="47"/>
      <c r="LFR32" s="47"/>
      <c r="LFS32" s="47"/>
      <c r="LFT32" s="47"/>
      <c r="LFU32" s="47"/>
      <c r="LFV32" s="47"/>
      <c r="LFW32" s="47"/>
      <c r="LFX32" s="47"/>
      <c r="LFY32" s="47"/>
      <c r="LFZ32" s="47"/>
      <c r="LGA32" s="47"/>
      <c r="LGB32" s="47"/>
      <c r="LGC32" s="47"/>
      <c r="LGD32" s="47"/>
      <c r="LGE32" s="47"/>
      <c r="LGF32" s="47"/>
      <c r="LGG32" s="47"/>
      <c r="LGH32" s="47"/>
      <c r="LGI32" s="47"/>
      <c r="LGJ32" s="47"/>
      <c r="LGK32" s="47"/>
      <c r="LGL32" s="47"/>
      <c r="LGM32" s="47"/>
      <c r="LGN32" s="47"/>
      <c r="LGO32" s="47"/>
      <c r="LGP32" s="47"/>
      <c r="LGQ32" s="47"/>
      <c r="LGR32" s="47"/>
      <c r="LGS32" s="47"/>
      <c r="LGT32" s="47"/>
      <c r="LGU32" s="47"/>
      <c r="LGV32" s="47"/>
      <c r="LGW32" s="47"/>
      <c r="LGX32" s="47"/>
      <c r="LGY32" s="47"/>
      <c r="LGZ32" s="47"/>
      <c r="LHA32" s="47"/>
      <c r="LHB32" s="47"/>
      <c r="LHC32" s="47"/>
      <c r="LHD32" s="47"/>
      <c r="LHE32" s="47"/>
      <c r="LHF32" s="47"/>
      <c r="LHG32" s="47"/>
      <c r="LHH32" s="47"/>
      <c r="LHI32" s="47"/>
      <c r="LHJ32" s="47"/>
      <c r="LHK32" s="47"/>
      <c r="LHL32" s="47"/>
      <c r="LHM32" s="47"/>
      <c r="LHN32" s="47"/>
      <c r="LHO32" s="47"/>
      <c r="LHP32" s="47"/>
      <c r="LHQ32" s="47"/>
      <c r="LHR32" s="47"/>
      <c r="LHS32" s="47"/>
      <c r="LHT32" s="47"/>
      <c r="LHU32" s="47"/>
      <c r="LHV32" s="47"/>
      <c r="LHW32" s="47"/>
      <c r="LHX32" s="47"/>
      <c r="LHY32" s="47"/>
      <c r="LHZ32" s="47"/>
      <c r="LIA32" s="47"/>
      <c r="LIB32" s="47"/>
      <c r="LIC32" s="47"/>
      <c r="LID32" s="47"/>
      <c r="LIE32" s="47"/>
      <c r="LIF32" s="47"/>
      <c r="LIG32" s="47"/>
      <c r="LIH32" s="47"/>
      <c r="LII32" s="47"/>
      <c r="LIJ32" s="47"/>
      <c r="LIK32" s="47"/>
      <c r="LIL32" s="47"/>
      <c r="LIM32" s="47"/>
      <c r="LIN32" s="47"/>
      <c r="LIO32" s="47"/>
      <c r="LIP32" s="47"/>
      <c r="LIQ32" s="47"/>
      <c r="LIR32" s="47"/>
      <c r="LIS32" s="47"/>
      <c r="LIT32" s="47"/>
      <c r="LIU32" s="47"/>
      <c r="LIV32" s="47"/>
      <c r="LIW32" s="47"/>
      <c r="LIX32" s="47"/>
      <c r="LIY32" s="47"/>
      <c r="LIZ32" s="47"/>
      <c r="LJA32" s="47"/>
      <c r="LJB32" s="47"/>
      <c r="LJC32" s="47"/>
      <c r="LJD32" s="47"/>
      <c r="LJE32" s="47"/>
      <c r="LJF32" s="47"/>
      <c r="LJG32" s="47"/>
      <c r="LJH32" s="47"/>
      <c r="LJI32" s="47"/>
      <c r="LJJ32" s="47"/>
      <c r="LJK32" s="47"/>
      <c r="LJL32" s="47"/>
      <c r="LJM32" s="47"/>
      <c r="LJN32" s="47"/>
      <c r="LJO32" s="47"/>
      <c r="LJP32" s="47"/>
      <c r="LJQ32" s="47"/>
      <c r="LJR32" s="47"/>
      <c r="LJS32" s="47"/>
      <c r="LJT32" s="47"/>
      <c r="LJU32" s="47"/>
      <c r="LJV32" s="47"/>
      <c r="LJW32" s="47"/>
      <c r="LJX32" s="47"/>
      <c r="LJY32" s="47"/>
      <c r="LJZ32" s="47"/>
      <c r="LKA32" s="47"/>
      <c r="LKB32" s="47"/>
      <c r="LKC32" s="47"/>
      <c r="LKD32" s="47"/>
      <c r="LKE32" s="47"/>
      <c r="LKF32" s="47"/>
      <c r="LKG32" s="47"/>
      <c r="LKH32" s="47"/>
      <c r="LKI32" s="47"/>
      <c r="LKJ32" s="47"/>
      <c r="LKK32" s="47"/>
      <c r="LKL32" s="47"/>
      <c r="LKM32" s="47"/>
      <c r="LKN32" s="47"/>
      <c r="LKO32" s="47"/>
      <c r="LKP32" s="47"/>
      <c r="LKQ32" s="47"/>
      <c r="LKR32" s="47"/>
      <c r="LKS32" s="47"/>
      <c r="LKT32" s="47"/>
      <c r="LKU32" s="47"/>
      <c r="LKV32" s="47"/>
      <c r="LKW32" s="47"/>
      <c r="LKX32" s="47"/>
      <c r="LKY32" s="47"/>
      <c r="LKZ32" s="47"/>
      <c r="LLA32" s="47"/>
      <c r="LLB32" s="47"/>
      <c r="LLC32" s="47"/>
      <c r="LLD32" s="47"/>
      <c r="LLE32" s="47"/>
      <c r="LLF32" s="47"/>
      <c r="LLG32" s="47"/>
      <c r="LLH32" s="47"/>
      <c r="LLI32" s="47"/>
      <c r="LLJ32" s="47"/>
      <c r="LLK32" s="47"/>
      <c r="LLL32" s="47"/>
      <c r="LLM32" s="47"/>
      <c r="LLN32" s="47"/>
      <c r="LLO32" s="47"/>
      <c r="LLP32" s="47"/>
      <c r="LLQ32" s="47"/>
      <c r="LLR32" s="47"/>
      <c r="LLS32" s="47"/>
      <c r="LLT32" s="47"/>
      <c r="LLU32" s="47"/>
      <c r="LLV32" s="47"/>
      <c r="LLW32" s="47"/>
      <c r="LLX32" s="47"/>
      <c r="LLY32" s="47"/>
      <c r="LLZ32" s="47"/>
      <c r="LMA32" s="47"/>
      <c r="LMB32" s="47"/>
      <c r="LMC32" s="47"/>
      <c r="LMD32" s="47"/>
      <c r="LME32" s="47"/>
      <c r="LMF32" s="47"/>
      <c r="LMG32" s="47"/>
      <c r="LMH32" s="47"/>
      <c r="LMI32" s="47"/>
      <c r="LMJ32" s="47"/>
      <c r="LMK32" s="47"/>
      <c r="LML32" s="47"/>
      <c r="LMM32" s="47"/>
      <c r="LMN32" s="47"/>
      <c r="LMO32" s="47"/>
      <c r="LMP32" s="47"/>
      <c r="LMQ32" s="47"/>
      <c r="LMR32" s="47"/>
      <c r="LMS32" s="47"/>
      <c r="LMT32" s="47"/>
      <c r="LMU32" s="47"/>
      <c r="LMV32" s="47"/>
      <c r="LMW32" s="47"/>
      <c r="LMX32" s="47"/>
      <c r="LMY32" s="47"/>
      <c r="LMZ32" s="47"/>
      <c r="LNA32" s="47"/>
      <c r="LNB32" s="47"/>
      <c r="LNC32" s="47"/>
      <c r="LND32" s="47"/>
      <c r="LNE32" s="47"/>
      <c r="LNF32" s="47"/>
      <c r="LNG32" s="47"/>
      <c r="LNH32" s="47"/>
      <c r="LNI32" s="47"/>
      <c r="LNJ32" s="47"/>
      <c r="LNK32" s="47"/>
      <c r="LNL32" s="47"/>
      <c r="LNM32" s="47"/>
      <c r="LNN32" s="47"/>
      <c r="LNO32" s="47"/>
      <c r="LNP32" s="47"/>
      <c r="LNQ32" s="47"/>
      <c r="LNR32" s="47"/>
      <c r="LNS32" s="47"/>
      <c r="LNT32" s="47"/>
      <c r="LNU32" s="47"/>
      <c r="LNV32" s="47"/>
      <c r="LNW32" s="47"/>
      <c r="LNX32" s="47"/>
      <c r="LNY32" s="47"/>
      <c r="LNZ32" s="47"/>
      <c r="LOA32" s="47"/>
      <c r="LOB32" s="47"/>
      <c r="LOC32" s="47"/>
      <c r="LOD32" s="47"/>
      <c r="LOE32" s="47"/>
      <c r="LOF32" s="47"/>
      <c r="LOG32" s="47"/>
      <c r="LOH32" s="47"/>
      <c r="LOI32" s="47"/>
      <c r="LOJ32" s="47"/>
      <c r="LOK32" s="47"/>
      <c r="LOL32" s="47"/>
      <c r="LOM32" s="47"/>
      <c r="LON32" s="47"/>
      <c r="LOO32" s="47"/>
      <c r="LOP32" s="47"/>
      <c r="LOQ32" s="47"/>
      <c r="LOR32" s="47"/>
      <c r="LOS32" s="47"/>
      <c r="LOT32" s="47"/>
      <c r="LOU32" s="47"/>
      <c r="LOV32" s="47"/>
      <c r="LOW32" s="47"/>
      <c r="LOX32" s="47"/>
      <c r="LOY32" s="47"/>
      <c r="LOZ32" s="47"/>
      <c r="LPA32" s="47"/>
      <c r="LPB32" s="47"/>
      <c r="LPC32" s="47"/>
      <c r="LPD32" s="47"/>
      <c r="LPE32" s="47"/>
      <c r="LPF32" s="47"/>
      <c r="LPG32" s="47"/>
      <c r="LPH32" s="47"/>
      <c r="LPI32" s="47"/>
      <c r="LPJ32" s="47"/>
      <c r="LPK32" s="47"/>
      <c r="LPL32" s="47"/>
      <c r="LPM32" s="47"/>
      <c r="LPN32" s="47"/>
      <c r="LPO32" s="47"/>
      <c r="LPP32" s="47"/>
      <c r="LPQ32" s="47"/>
      <c r="LPR32" s="47"/>
      <c r="LPS32" s="47"/>
      <c r="LPT32" s="47"/>
      <c r="LPU32" s="47"/>
      <c r="LPV32" s="47"/>
      <c r="LPW32" s="47"/>
      <c r="LPX32" s="47"/>
      <c r="LPY32" s="47"/>
      <c r="LPZ32" s="47"/>
      <c r="LQA32" s="47"/>
      <c r="LQB32" s="47"/>
      <c r="LQC32" s="47"/>
      <c r="LQD32" s="47"/>
      <c r="LQE32" s="47"/>
      <c r="LQF32" s="47"/>
      <c r="LQG32" s="47"/>
      <c r="LQH32" s="47"/>
      <c r="LQI32" s="47"/>
      <c r="LQJ32" s="47"/>
      <c r="LQK32" s="47"/>
      <c r="LQL32" s="47"/>
      <c r="LQM32" s="47"/>
      <c r="LQN32" s="47"/>
      <c r="LQO32" s="47"/>
      <c r="LQP32" s="47"/>
      <c r="LQQ32" s="47"/>
      <c r="LQR32" s="47"/>
      <c r="LQS32" s="47"/>
      <c r="LQT32" s="47"/>
      <c r="LQU32" s="47"/>
      <c r="LQV32" s="47"/>
      <c r="LQW32" s="47"/>
      <c r="LQX32" s="47"/>
      <c r="LQY32" s="47"/>
      <c r="LQZ32" s="47"/>
      <c r="LRA32" s="47"/>
      <c r="LRB32" s="47"/>
      <c r="LRC32" s="47"/>
      <c r="LRD32" s="47"/>
      <c r="LRE32" s="47"/>
      <c r="LRF32" s="47"/>
      <c r="LRG32" s="47"/>
      <c r="LRH32" s="47"/>
      <c r="LRI32" s="47"/>
      <c r="LRJ32" s="47"/>
      <c r="LRK32" s="47"/>
      <c r="LRL32" s="47"/>
      <c r="LRM32" s="47"/>
      <c r="LRN32" s="47"/>
      <c r="LRO32" s="47"/>
      <c r="LRP32" s="47"/>
      <c r="LRQ32" s="47"/>
      <c r="LRR32" s="47"/>
      <c r="LRS32" s="47"/>
      <c r="LRT32" s="47"/>
      <c r="LRU32" s="47"/>
      <c r="LRV32" s="47"/>
      <c r="LRW32" s="47"/>
      <c r="LRX32" s="47"/>
      <c r="LRY32" s="47"/>
      <c r="LRZ32" s="47"/>
      <c r="LSA32" s="47"/>
      <c r="LSB32" s="47"/>
      <c r="LSC32" s="47"/>
      <c r="LSD32" s="47"/>
      <c r="LSE32" s="47"/>
      <c r="LSF32" s="47"/>
      <c r="LSG32" s="47"/>
      <c r="LSH32" s="47"/>
      <c r="LSI32" s="47"/>
      <c r="LSJ32" s="47"/>
      <c r="LSK32" s="47"/>
      <c r="LSL32" s="47"/>
      <c r="LSM32" s="47"/>
      <c r="LSN32" s="47"/>
      <c r="LSO32" s="47"/>
      <c r="LSP32" s="47"/>
      <c r="LSQ32" s="47"/>
      <c r="LSR32" s="47"/>
      <c r="LSS32" s="47"/>
      <c r="LST32" s="47"/>
      <c r="LSU32" s="47"/>
      <c r="LSV32" s="47"/>
      <c r="LSW32" s="47"/>
      <c r="LSX32" s="47"/>
      <c r="LSY32" s="47"/>
      <c r="LSZ32" s="47"/>
      <c r="LTA32" s="47"/>
      <c r="LTB32" s="47"/>
      <c r="LTC32" s="47"/>
      <c r="LTD32" s="47"/>
      <c r="LTE32" s="47"/>
      <c r="LTF32" s="47"/>
      <c r="LTG32" s="47"/>
      <c r="LTH32" s="47"/>
      <c r="LTI32" s="47"/>
      <c r="LTJ32" s="47"/>
      <c r="LTK32" s="47"/>
      <c r="LTL32" s="47"/>
      <c r="LTM32" s="47"/>
      <c r="LTN32" s="47"/>
      <c r="LTO32" s="47"/>
      <c r="LTP32" s="47"/>
      <c r="LTQ32" s="47"/>
      <c r="LTR32" s="47"/>
      <c r="LTS32" s="47"/>
      <c r="LTT32" s="47"/>
      <c r="LTU32" s="47"/>
      <c r="LTV32" s="47"/>
      <c r="LTW32" s="47"/>
      <c r="LTX32" s="47"/>
      <c r="LTY32" s="47"/>
      <c r="LTZ32" s="47"/>
      <c r="LUA32" s="47"/>
      <c r="LUB32" s="47"/>
      <c r="LUC32" s="47"/>
      <c r="LUD32" s="47"/>
      <c r="LUE32" s="47"/>
      <c r="LUF32" s="47"/>
      <c r="LUG32" s="47"/>
      <c r="LUH32" s="47"/>
      <c r="LUI32" s="47"/>
      <c r="LUJ32" s="47"/>
      <c r="LUK32" s="47"/>
      <c r="LUL32" s="47"/>
      <c r="LUM32" s="47"/>
      <c r="LUN32" s="47"/>
      <c r="LUO32" s="47"/>
      <c r="LUP32" s="47"/>
      <c r="LUQ32" s="47"/>
      <c r="LUR32" s="47"/>
      <c r="LUS32" s="47"/>
      <c r="LUT32" s="47"/>
      <c r="LUU32" s="47"/>
      <c r="LUV32" s="47"/>
      <c r="LUW32" s="47"/>
      <c r="LUX32" s="47"/>
      <c r="LUY32" s="47"/>
      <c r="LUZ32" s="47"/>
      <c r="LVA32" s="47"/>
      <c r="LVB32" s="47"/>
      <c r="LVC32" s="47"/>
      <c r="LVD32" s="47"/>
      <c r="LVE32" s="47"/>
      <c r="LVF32" s="47"/>
      <c r="LVG32" s="47"/>
      <c r="LVH32" s="47"/>
      <c r="LVI32" s="47"/>
      <c r="LVJ32" s="47"/>
      <c r="LVK32" s="47"/>
      <c r="LVL32" s="47"/>
      <c r="LVM32" s="47"/>
      <c r="LVN32" s="47"/>
      <c r="LVO32" s="47"/>
      <c r="LVP32" s="47"/>
      <c r="LVQ32" s="47"/>
      <c r="LVR32" s="47"/>
      <c r="LVS32" s="47"/>
      <c r="LVT32" s="47"/>
      <c r="LVU32" s="47"/>
      <c r="LVV32" s="47"/>
      <c r="LVW32" s="47"/>
      <c r="LVX32" s="47"/>
      <c r="LVY32" s="47"/>
      <c r="LVZ32" s="47"/>
      <c r="LWA32" s="47"/>
      <c r="LWB32" s="47"/>
      <c r="LWC32" s="47"/>
      <c r="LWD32" s="47"/>
      <c r="LWE32" s="47"/>
      <c r="LWF32" s="47"/>
      <c r="LWG32" s="47"/>
      <c r="LWH32" s="47"/>
      <c r="LWI32" s="47"/>
      <c r="LWJ32" s="47"/>
      <c r="LWK32" s="47"/>
      <c r="LWL32" s="47"/>
      <c r="LWM32" s="47"/>
      <c r="LWN32" s="47"/>
      <c r="LWO32" s="47"/>
      <c r="LWP32" s="47"/>
      <c r="LWQ32" s="47"/>
      <c r="LWR32" s="47"/>
      <c r="LWS32" s="47"/>
      <c r="LWT32" s="47"/>
      <c r="LWU32" s="47"/>
      <c r="LWV32" s="47"/>
      <c r="LWW32" s="47"/>
      <c r="LWX32" s="47"/>
      <c r="LWY32" s="47"/>
      <c r="LWZ32" s="47"/>
      <c r="LXA32" s="47"/>
      <c r="LXB32" s="47"/>
      <c r="LXC32" s="47"/>
      <c r="LXD32" s="47"/>
      <c r="LXE32" s="47"/>
      <c r="LXF32" s="47"/>
      <c r="LXG32" s="47"/>
      <c r="LXH32" s="47"/>
      <c r="LXI32" s="47"/>
      <c r="LXJ32" s="47"/>
      <c r="LXK32" s="47"/>
      <c r="LXL32" s="47"/>
      <c r="LXM32" s="47"/>
      <c r="LXN32" s="47"/>
      <c r="LXO32" s="47"/>
      <c r="LXP32" s="47"/>
      <c r="LXQ32" s="47"/>
      <c r="LXR32" s="47"/>
      <c r="LXS32" s="47"/>
      <c r="LXT32" s="47"/>
      <c r="LXU32" s="47"/>
      <c r="LXV32" s="47"/>
      <c r="LXW32" s="47"/>
      <c r="LXX32" s="47"/>
      <c r="LXY32" s="47"/>
      <c r="LXZ32" s="47"/>
      <c r="LYA32" s="47"/>
      <c r="LYB32" s="47"/>
      <c r="LYC32" s="47"/>
      <c r="LYD32" s="47"/>
      <c r="LYE32" s="47"/>
      <c r="LYF32" s="47"/>
      <c r="LYG32" s="47"/>
      <c r="LYH32" s="47"/>
      <c r="LYI32" s="47"/>
      <c r="LYJ32" s="47"/>
      <c r="LYK32" s="47"/>
      <c r="LYL32" s="47"/>
      <c r="LYM32" s="47"/>
      <c r="LYN32" s="47"/>
      <c r="LYO32" s="47"/>
      <c r="LYP32" s="47"/>
      <c r="LYQ32" s="47"/>
      <c r="LYR32" s="47"/>
      <c r="LYS32" s="47"/>
      <c r="LYT32" s="47"/>
      <c r="LYU32" s="47"/>
      <c r="LYV32" s="47"/>
      <c r="LYW32" s="47"/>
      <c r="LYX32" s="47"/>
      <c r="LYY32" s="47"/>
      <c r="LYZ32" s="47"/>
      <c r="LZA32" s="47"/>
      <c r="LZB32" s="47"/>
      <c r="LZC32" s="47"/>
      <c r="LZD32" s="47"/>
      <c r="LZE32" s="47"/>
      <c r="LZF32" s="47"/>
      <c r="LZG32" s="47"/>
      <c r="LZH32" s="47"/>
      <c r="LZI32" s="47"/>
      <c r="LZJ32" s="47"/>
      <c r="LZK32" s="47"/>
      <c r="LZL32" s="47"/>
      <c r="LZM32" s="47"/>
      <c r="LZN32" s="47"/>
      <c r="LZO32" s="47"/>
      <c r="LZP32" s="47"/>
      <c r="LZQ32" s="47"/>
      <c r="LZR32" s="47"/>
      <c r="LZS32" s="47"/>
      <c r="LZT32" s="47"/>
      <c r="LZU32" s="47"/>
      <c r="LZV32" s="47"/>
      <c r="LZW32" s="47"/>
      <c r="LZX32" s="47"/>
      <c r="LZY32" s="47"/>
      <c r="LZZ32" s="47"/>
      <c r="MAA32" s="47"/>
      <c r="MAB32" s="47"/>
      <c r="MAC32" s="47"/>
      <c r="MAD32" s="47"/>
      <c r="MAE32" s="47"/>
      <c r="MAF32" s="47"/>
      <c r="MAG32" s="47"/>
      <c r="MAH32" s="47"/>
      <c r="MAI32" s="47"/>
      <c r="MAJ32" s="47"/>
      <c r="MAK32" s="47"/>
      <c r="MAL32" s="47"/>
      <c r="MAM32" s="47"/>
      <c r="MAN32" s="47"/>
      <c r="MAO32" s="47"/>
      <c r="MAP32" s="47"/>
      <c r="MAQ32" s="47"/>
      <c r="MAR32" s="47"/>
      <c r="MAS32" s="47"/>
      <c r="MAT32" s="47"/>
      <c r="MAU32" s="47"/>
      <c r="MAV32" s="47"/>
      <c r="MAW32" s="47"/>
      <c r="MAX32" s="47"/>
      <c r="MAY32" s="47"/>
      <c r="MAZ32" s="47"/>
      <c r="MBA32" s="47"/>
      <c r="MBB32" s="47"/>
      <c r="MBC32" s="47"/>
      <c r="MBD32" s="47"/>
      <c r="MBE32" s="47"/>
      <c r="MBF32" s="47"/>
      <c r="MBG32" s="47"/>
      <c r="MBH32" s="47"/>
      <c r="MBI32" s="47"/>
      <c r="MBJ32" s="47"/>
      <c r="MBK32" s="47"/>
      <c r="MBL32" s="47"/>
      <c r="MBM32" s="47"/>
      <c r="MBN32" s="47"/>
      <c r="MBO32" s="47"/>
      <c r="MBP32" s="47"/>
      <c r="MBQ32" s="47"/>
      <c r="MBR32" s="47"/>
      <c r="MBS32" s="47"/>
      <c r="MBT32" s="47"/>
      <c r="MBU32" s="47"/>
      <c r="MBV32" s="47"/>
      <c r="MBW32" s="47"/>
      <c r="MBX32" s="47"/>
      <c r="MBY32" s="47"/>
      <c r="MBZ32" s="47"/>
      <c r="MCA32" s="47"/>
      <c r="MCB32" s="47"/>
      <c r="MCC32" s="47"/>
      <c r="MCD32" s="47"/>
      <c r="MCE32" s="47"/>
      <c r="MCF32" s="47"/>
      <c r="MCG32" s="47"/>
      <c r="MCH32" s="47"/>
      <c r="MCI32" s="47"/>
      <c r="MCJ32" s="47"/>
      <c r="MCK32" s="47"/>
      <c r="MCL32" s="47"/>
      <c r="MCM32" s="47"/>
      <c r="MCN32" s="47"/>
      <c r="MCO32" s="47"/>
      <c r="MCP32" s="47"/>
      <c r="MCQ32" s="47"/>
      <c r="MCR32" s="47"/>
      <c r="MCS32" s="47"/>
      <c r="MCT32" s="47"/>
      <c r="MCU32" s="47"/>
      <c r="MCV32" s="47"/>
      <c r="MCW32" s="47"/>
      <c r="MCX32" s="47"/>
      <c r="MCY32" s="47"/>
      <c r="MCZ32" s="47"/>
      <c r="MDA32" s="47"/>
      <c r="MDB32" s="47"/>
      <c r="MDC32" s="47"/>
      <c r="MDD32" s="47"/>
      <c r="MDE32" s="47"/>
      <c r="MDF32" s="47"/>
      <c r="MDG32" s="47"/>
      <c r="MDH32" s="47"/>
      <c r="MDI32" s="47"/>
      <c r="MDJ32" s="47"/>
      <c r="MDK32" s="47"/>
      <c r="MDL32" s="47"/>
      <c r="MDM32" s="47"/>
      <c r="MDN32" s="47"/>
      <c r="MDO32" s="47"/>
      <c r="MDP32" s="47"/>
      <c r="MDQ32" s="47"/>
      <c r="MDR32" s="47"/>
      <c r="MDS32" s="47"/>
      <c r="MDT32" s="47"/>
      <c r="MDU32" s="47"/>
      <c r="MDV32" s="47"/>
      <c r="MDW32" s="47"/>
      <c r="MDX32" s="47"/>
      <c r="MDY32" s="47"/>
      <c r="MDZ32" s="47"/>
      <c r="MEA32" s="47"/>
      <c r="MEB32" s="47"/>
      <c r="MEC32" s="47"/>
      <c r="MED32" s="47"/>
      <c r="MEE32" s="47"/>
      <c r="MEF32" s="47"/>
      <c r="MEG32" s="47"/>
      <c r="MEH32" s="47"/>
      <c r="MEI32" s="47"/>
      <c r="MEJ32" s="47"/>
      <c r="MEK32" s="47"/>
      <c r="MEL32" s="47"/>
      <c r="MEM32" s="47"/>
      <c r="MEN32" s="47"/>
      <c r="MEO32" s="47"/>
      <c r="MEP32" s="47"/>
      <c r="MEQ32" s="47"/>
      <c r="MER32" s="47"/>
      <c r="MES32" s="47"/>
      <c r="MET32" s="47"/>
      <c r="MEU32" s="47"/>
      <c r="MEV32" s="47"/>
      <c r="MEW32" s="47"/>
      <c r="MEX32" s="47"/>
      <c r="MEY32" s="47"/>
      <c r="MEZ32" s="47"/>
      <c r="MFA32" s="47"/>
      <c r="MFB32" s="47"/>
      <c r="MFC32" s="47"/>
      <c r="MFD32" s="47"/>
      <c r="MFE32" s="47"/>
      <c r="MFF32" s="47"/>
      <c r="MFG32" s="47"/>
      <c r="MFH32" s="47"/>
      <c r="MFI32" s="47"/>
      <c r="MFJ32" s="47"/>
      <c r="MFK32" s="47"/>
      <c r="MFL32" s="47"/>
      <c r="MFM32" s="47"/>
      <c r="MFN32" s="47"/>
      <c r="MFO32" s="47"/>
      <c r="MFP32" s="47"/>
      <c r="MFQ32" s="47"/>
      <c r="MFR32" s="47"/>
      <c r="MFS32" s="47"/>
      <c r="MFT32" s="47"/>
      <c r="MFU32" s="47"/>
      <c r="MFV32" s="47"/>
      <c r="MFW32" s="47"/>
      <c r="MFX32" s="47"/>
      <c r="MFY32" s="47"/>
      <c r="MFZ32" s="47"/>
      <c r="MGA32" s="47"/>
      <c r="MGB32" s="47"/>
      <c r="MGC32" s="47"/>
      <c r="MGD32" s="47"/>
      <c r="MGE32" s="47"/>
      <c r="MGF32" s="47"/>
      <c r="MGG32" s="47"/>
      <c r="MGH32" s="47"/>
      <c r="MGI32" s="47"/>
      <c r="MGJ32" s="47"/>
      <c r="MGK32" s="47"/>
      <c r="MGL32" s="47"/>
      <c r="MGM32" s="47"/>
      <c r="MGN32" s="47"/>
      <c r="MGO32" s="47"/>
      <c r="MGP32" s="47"/>
      <c r="MGQ32" s="47"/>
      <c r="MGR32" s="47"/>
      <c r="MGS32" s="47"/>
      <c r="MGT32" s="47"/>
      <c r="MGU32" s="47"/>
      <c r="MGV32" s="47"/>
      <c r="MGW32" s="47"/>
      <c r="MGX32" s="47"/>
      <c r="MGY32" s="47"/>
      <c r="MGZ32" s="47"/>
      <c r="MHA32" s="47"/>
      <c r="MHB32" s="47"/>
      <c r="MHC32" s="47"/>
      <c r="MHD32" s="47"/>
      <c r="MHE32" s="47"/>
      <c r="MHF32" s="47"/>
      <c r="MHG32" s="47"/>
      <c r="MHH32" s="47"/>
      <c r="MHI32" s="47"/>
      <c r="MHJ32" s="47"/>
      <c r="MHK32" s="47"/>
      <c r="MHL32" s="47"/>
      <c r="MHM32" s="47"/>
      <c r="MHN32" s="47"/>
      <c r="MHO32" s="47"/>
      <c r="MHP32" s="47"/>
      <c r="MHQ32" s="47"/>
      <c r="MHR32" s="47"/>
      <c r="MHS32" s="47"/>
      <c r="MHT32" s="47"/>
      <c r="MHU32" s="47"/>
      <c r="MHV32" s="47"/>
      <c r="MHW32" s="47"/>
      <c r="MHX32" s="47"/>
      <c r="MHY32" s="47"/>
      <c r="MHZ32" s="47"/>
      <c r="MIA32" s="47"/>
      <c r="MIB32" s="47"/>
      <c r="MIC32" s="47"/>
      <c r="MID32" s="47"/>
      <c r="MIE32" s="47"/>
      <c r="MIF32" s="47"/>
      <c r="MIG32" s="47"/>
      <c r="MIH32" s="47"/>
      <c r="MII32" s="47"/>
      <c r="MIJ32" s="47"/>
      <c r="MIK32" s="47"/>
      <c r="MIL32" s="47"/>
      <c r="MIM32" s="47"/>
      <c r="MIN32" s="47"/>
      <c r="MIO32" s="47"/>
      <c r="MIP32" s="47"/>
      <c r="MIQ32" s="47"/>
      <c r="MIR32" s="47"/>
      <c r="MIS32" s="47"/>
      <c r="MIT32" s="47"/>
      <c r="MIU32" s="47"/>
      <c r="MIV32" s="47"/>
      <c r="MIW32" s="47"/>
      <c r="MIX32" s="47"/>
      <c r="MIY32" s="47"/>
      <c r="MIZ32" s="47"/>
      <c r="MJA32" s="47"/>
      <c r="MJB32" s="47"/>
      <c r="MJC32" s="47"/>
      <c r="MJD32" s="47"/>
      <c r="MJE32" s="47"/>
      <c r="MJF32" s="47"/>
      <c r="MJG32" s="47"/>
      <c r="MJH32" s="47"/>
      <c r="MJI32" s="47"/>
      <c r="MJJ32" s="47"/>
      <c r="MJK32" s="47"/>
      <c r="MJL32" s="47"/>
      <c r="MJM32" s="47"/>
      <c r="MJN32" s="47"/>
      <c r="MJO32" s="47"/>
      <c r="MJP32" s="47"/>
      <c r="MJQ32" s="47"/>
      <c r="MJR32" s="47"/>
      <c r="MJS32" s="47"/>
      <c r="MJT32" s="47"/>
      <c r="MJU32" s="47"/>
      <c r="MJV32" s="47"/>
      <c r="MJW32" s="47"/>
      <c r="MJX32" s="47"/>
      <c r="MJY32" s="47"/>
      <c r="MJZ32" s="47"/>
      <c r="MKA32" s="47"/>
      <c r="MKB32" s="47"/>
      <c r="MKC32" s="47"/>
      <c r="MKD32" s="47"/>
      <c r="MKE32" s="47"/>
      <c r="MKF32" s="47"/>
      <c r="MKG32" s="47"/>
      <c r="MKH32" s="47"/>
      <c r="MKI32" s="47"/>
      <c r="MKJ32" s="47"/>
      <c r="MKK32" s="47"/>
      <c r="MKL32" s="47"/>
      <c r="MKM32" s="47"/>
      <c r="MKN32" s="47"/>
      <c r="MKO32" s="47"/>
      <c r="MKP32" s="47"/>
      <c r="MKQ32" s="47"/>
      <c r="MKR32" s="47"/>
      <c r="MKS32" s="47"/>
      <c r="MKT32" s="47"/>
      <c r="MKU32" s="47"/>
      <c r="MKV32" s="47"/>
      <c r="MKW32" s="47"/>
      <c r="MKX32" s="47"/>
      <c r="MKY32" s="47"/>
      <c r="MKZ32" s="47"/>
      <c r="MLA32" s="47"/>
      <c r="MLB32" s="47"/>
      <c r="MLC32" s="47"/>
      <c r="MLD32" s="47"/>
      <c r="MLE32" s="47"/>
      <c r="MLF32" s="47"/>
      <c r="MLG32" s="47"/>
      <c r="MLH32" s="47"/>
      <c r="MLI32" s="47"/>
      <c r="MLJ32" s="47"/>
      <c r="MLK32" s="47"/>
      <c r="MLL32" s="47"/>
      <c r="MLM32" s="47"/>
      <c r="MLN32" s="47"/>
      <c r="MLO32" s="47"/>
      <c r="MLP32" s="47"/>
      <c r="MLQ32" s="47"/>
      <c r="MLR32" s="47"/>
      <c r="MLS32" s="47"/>
      <c r="MLT32" s="47"/>
      <c r="MLU32" s="47"/>
      <c r="MLV32" s="47"/>
      <c r="MLW32" s="47"/>
      <c r="MLX32" s="47"/>
      <c r="MLY32" s="47"/>
      <c r="MLZ32" s="47"/>
      <c r="MMA32" s="47"/>
      <c r="MMB32" s="47"/>
      <c r="MMC32" s="47"/>
      <c r="MMD32" s="47"/>
      <c r="MME32" s="47"/>
      <c r="MMF32" s="47"/>
      <c r="MMG32" s="47"/>
      <c r="MMH32" s="47"/>
      <c r="MMI32" s="47"/>
      <c r="MMJ32" s="47"/>
      <c r="MMK32" s="47"/>
      <c r="MML32" s="47"/>
      <c r="MMM32" s="47"/>
      <c r="MMN32" s="47"/>
      <c r="MMO32" s="47"/>
      <c r="MMP32" s="47"/>
      <c r="MMQ32" s="47"/>
      <c r="MMR32" s="47"/>
      <c r="MMS32" s="47"/>
      <c r="MMT32" s="47"/>
      <c r="MMU32" s="47"/>
      <c r="MMV32" s="47"/>
      <c r="MMW32" s="47"/>
      <c r="MMX32" s="47"/>
      <c r="MMY32" s="47"/>
      <c r="MMZ32" s="47"/>
      <c r="MNA32" s="47"/>
      <c r="MNB32" s="47"/>
      <c r="MNC32" s="47"/>
      <c r="MND32" s="47"/>
      <c r="MNE32" s="47"/>
      <c r="MNF32" s="47"/>
      <c r="MNG32" s="47"/>
      <c r="MNH32" s="47"/>
      <c r="MNI32" s="47"/>
      <c r="MNJ32" s="47"/>
      <c r="MNK32" s="47"/>
      <c r="MNL32" s="47"/>
      <c r="MNM32" s="47"/>
      <c r="MNN32" s="47"/>
      <c r="MNO32" s="47"/>
      <c r="MNP32" s="47"/>
      <c r="MNQ32" s="47"/>
      <c r="MNR32" s="47"/>
      <c r="MNS32" s="47"/>
      <c r="MNT32" s="47"/>
      <c r="MNU32" s="47"/>
      <c r="MNV32" s="47"/>
      <c r="MNW32" s="47"/>
      <c r="MNX32" s="47"/>
      <c r="MNY32" s="47"/>
      <c r="MNZ32" s="47"/>
      <c r="MOA32" s="47"/>
      <c r="MOB32" s="47"/>
      <c r="MOC32" s="47"/>
      <c r="MOD32" s="47"/>
      <c r="MOE32" s="47"/>
      <c r="MOF32" s="47"/>
      <c r="MOG32" s="47"/>
      <c r="MOH32" s="47"/>
      <c r="MOI32" s="47"/>
      <c r="MOJ32" s="47"/>
      <c r="MOK32" s="47"/>
      <c r="MOL32" s="47"/>
      <c r="MOM32" s="47"/>
      <c r="MON32" s="47"/>
      <c r="MOO32" s="47"/>
      <c r="MOP32" s="47"/>
      <c r="MOQ32" s="47"/>
      <c r="MOR32" s="47"/>
      <c r="MOS32" s="47"/>
      <c r="MOT32" s="47"/>
      <c r="MOU32" s="47"/>
      <c r="MOV32" s="47"/>
      <c r="MOW32" s="47"/>
      <c r="MOX32" s="47"/>
      <c r="MOY32" s="47"/>
      <c r="MOZ32" s="47"/>
      <c r="MPA32" s="47"/>
      <c r="MPB32" s="47"/>
      <c r="MPC32" s="47"/>
      <c r="MPD32" s="47"/>
      <c r="MPE32" s="47"/>
      <c r="MPF32" s="47"/>
      <c r="MPG32" s="47"/>
      <c r="MPH32" s="47"/>
      <c r="MPI32" s="47"/>
      <c r="MPJ32" s="47"/>
      <c r="MPK32" s="47"/>
      <c r="MPL32" s="47"/>
      <c r="MPM32" s="47"/>
      <c r="MPN32" s="47"/>
      <c r="MPO32" s="47"/>
      <c r="MPP32" s="47"/>
      <c r="MPQ32" s="47"/>
      <c r="MPR32" s="47"/>
      <c r="MPS32" s="47"/>
      <c r="MPT32" s="47"/>
      <c r="MPU32" s="47"/>
      <c r="MPV32" s="47"/>
      <c r="MPW32" s="47"/>
      <c r="MPX32" s="47"/>
      <c r="MPY32" s="47"/>
      <c r="MPZ32" s="47"/>
      <c r="MQA32" s="47"/>
      <c r="MQB32" s="47"/>
      <c r="MQC32" s="47"/>
      <c r="MQD32" s="47"/>
      <c r="MQE32" s="47"/>
      <c r="MQF32" s="47"/>
      <c r="MQG32" s="47"/>
      <c r="MQH32" s="47"/>
      <c r="MQI32" s="47"/>
      <c r="MQJ32" s="47"/>
      <c r="MQK32" s="47"/>
      <c r="MQL32" s="47"/>
      <c r="MQM32" s="47"/>
      <c r="MQN32" s="47"/>
      <c r="MQO32" s="47"/>
      <c r="MQP32" s="47"/>
      <c r="MQQ32" s="47"/>
      <c r="MQR32" s="47"/>
      <c r="MQS32" s="47"/>
      <c r="MQT32" s="47"/>
      <c r="MQU32" s="47"/>
      <c r="MQV32" s="47"/>
      <c r="MQW32" s="47"/>
      <c r="MQX32" s="47"/>
      <c r="MQY32" s="47"/>
      <c r="MQZ32" s="47"/>
      <c r="MRA32" s="47"/>
      <c r="MRB32" s="47"/>
      <c r="MRC32" s="47"/>
      <c r="MRD32" s="47"/>
      <c r="MRE32" s="47"/>
      <c r="MRF32" s="47"/>
      <c r="MRG32" s="47"/>
      <c r="MRH32" s="47"/>
      <c r="MRI32" s="47"/>
      <c r="MRJ32" s="47"/>
      <c r="MRK32" s="47"/>
      <c r="MRL32" s="47"/>
      <c r="MRM32" s="47"/>
      <c r="MRN32" s="47"/>
      <c r="MRO32" s="47"/>
      <c r="MRP32" s="47"/>
      <c r="MRQ32" s="47"/>
      <c r="MRR32" s="47"/>
      <c r="MRS32" s="47"/>
      <c r="MRT32" s="47"/>
      <c r="MRU32" s="47"/>
      <c r="MRV32" s="47"/>
      <c r="MRW32" s="47"/>
      <c r="MRX32" s="47"/>
      <c r="MRY32" s="47"/>
      <c r="MRZ32" s="47"/>
      <c r="MSA32" s="47"/>
      <c r="MSB32" s="47"/>
      <c r="MSC32" s="47"/>
      <c r="MSD32" s="47"/>
      <c r="MSE32" s="47"/>
      <c r="MSF32" s="47"/>
      <c r="MSG32" s="47"/>
      <c r="MSH32" s="47"/>
      <c r="MSI32" s="47"/>
      <c r="MSJ32" s="47"/>
      <c r="MSK32" s="47"/>
      <c r="MSL32" s="47"/>
      <c r="MSM32" s="47"/>
      <c r="MSN32" s="47"/>
      <c r="MSO32" s="47"/>
      <c r="MSP32" s="47"/>
      <c r="MSQ32" s="47"/>
      <c r="MSR32" s="47"/>
      <c r="MSS32" s="47"/>
      <c r="MST32" s="47"/>
      <c r="MSU32" s="47"/>
      <c r="MSV32" s="47"/>
      <c r="MSW32" s="47"/>
      <c r="MSX32" s="47"/>
      <c r="MSY32" s="47"/>
      <c r="MSZ32" s="47"/>
      <c r="MTA32" s="47"/>
      <c r="MTB32" s="47"/>
      <c r="MTC32" s="47"/>
      <c r="MTD32" s="47"/>
      <c r="MTE32" s="47"/>
      <c r="MTF32" s="47"/>
      <c r="MTG32" s="47"/>
      <c r="MTH32" s="47"/>
      <c r="MTI32" s="47"/>
      <c r="MTJ32" s="47"/>
      <c r="MTK32" s="47"/>
      <c r="MTL32" s="47"/>
      <c r="MTM32" s="47"/>
      <c r="MTN32" s="47"/>
      <c r="MTO32" s="47"/>
      <c r="MTP32" s="47"/>
      <c r="MTQ32" s="47"/>
      <c r="MTR32" s="47"/>
      <c r="MTS32" s="47"/>
      <c r="MTT32" s="47"/>
      <c r="MTU32" s="47"/>
      <c r="MTV32" s="47"/>
      <c r="MTW32" s="47"/>
      <c r="MTX32" s="47"/>
      <c r="MTY32" s="47"/>
      <c r="MTZ32" s="47"/>
      <c r="MUA32" s="47"/>
      <c r="MUB32" s="47"/>
      <c r="MUC32" s="47"/>
      <c r="MUD32" s="47"/>
      <c r="MUE32" s="47"/>
      <c r="MUF32" s="47"/>
      <c r="MUG32" s="47"/>
      <c r="MUH32" s="47"/>
      <c r="MUI32" s="47"/>
      <c r="MUJ32" s="47"/>
      <c r="MUK32" s="47"/>
      <c r="MUL32" s="47"/>
      <c r="MUM32" s="47"/>
      <c r="MUN32" s="47"/>
      <c r="MUO32" s="47"/>
      <c r="MUP32" s="47"/>
      <c r="MUQ32" s="47"/>
      <c r="MUR32" s="47"/>
      <c r="MUS32" s="47"/>
      <c r="MUT32" s="47"/>
      <c r="MUU32" s="47"/>
      <c r="MUV32" s="47"/>
      <c r="MUW32" s="47"/>
      <c r="MUX32" s="47"/>
      <c r="MUY32" s="47"/>
      <c r="MUZ32" s="47"/>
      <c r="MVA32" s="47"/>
      <c r="MVB32" s="47"/>
      <c r="MVC32" s="47"/>
      <c r="MVD32" s="47"/>
      <c r="MVE32" s="47"/>
      <c r="MVF32" s="47"/>
      <c r="MVG32" s="47"/>
      <c r="MVH32" s="47"/>
      <c r="MVI32" s="47"/>
      <c r="MVJ32" s="47"/>
      <c r="MVK32" s="47"/>
      <c r="MVL32" s="47"/>
      <c r="MVM32" s="47"/>
      <c r="MVN32" s="47"/>
      <c r="MVO32" s="47"/>
      <c r="MVP32" s="47"/>
      <c r="MVQ32" s="47"/>
      <c r="MVR32" s="47"/>
      <c r="MVS32" s="47"/>
      <c r="MVT32" s="47"/>
      <c r="MVU32" s="47"/>
      <c r="MVV32" s="47"/>
      <c r="MVW32" s="47"/>
      <c r="MVX32" s="47"/>
      <c r="MVY32" s="47"/>
      <c r="MVZ32" s="47"/>
      <c r="MWA32" s="47"/>
      <c r="MWB32" s="47"/>
      <c r="MWC32" s="47"/>
      <c r="MWD32" s="47"/>
      <c r="MWE32" s="47"/>
      <c r="MWF32" s="47"/>
      <c r="MWG32" s="47"/>
      <c r="MWH32" s="47"/>
      <c r="MWI32" s="47"/>
      <c r="MWJ32" s="47"/>
      <c r="MWK32" s="47"/>
      <c r="MWL32" s="47"/>
      <c r="MWM32" s="47"/>
      <c r="MWN32" s="47"/>
      <c r="MWO32" s="47"/>
      <c r="MWP32" s="47"/>
      <c r="MWQ32" s="47"/>
      <c r="MWR32" s="47"/>
      <c r="MWS32" s="47"/>
      <c r="MWT32" s="47"/>
      <c r="MWU32" s="47"/>
      <c r="MWV32" s="47"/>
      <c r="MWW32" s="47"/>
      <c r="MWX32" s="47"/>
      <c r="MWY32" s="47"/>
      <c r="MWZ32" s="47"/>
      <c r="MXA32" s="47"/>
      <c r="MXB32" s="47"/>
      <c r="MXC32" s="47"/>
      <c r="MXD32" s="47"/>
      <c r="MXE32" s="47"/>
      <c r="MXF32" s="47"/>
      <c r="MXG32" s="47"/>
      <c r="MXH32" s="47"/>
      <c r="MXI32" s="47"/>
      <c r="MXJ32" s="47"/>
      <c r="MXK32" s="47"/>
      <c r="MXL32" s="47"/>
      <c r="MXM32" s="47"/>
      <c r="MXN32" s="47"/>
      <c r="MXO32" s="47"/>
      <c r="MXP32" s="47"/>
      <c r="MXQ32" s="47"/>
      <c r="MXR32" s="47"/>
      <c r="MXS32" s="47"/>
      <c r="MXT32" s="47"/>
      <c r="MXU32" s="47"/>
      <c r="MXV32" s="47"/>
      <c r="MXW32" s="47"/>
      <c r="MXX32" s="47"/>
      <c r="MXY32" s="47"/>
      <c r="MXZ32" s="47"/>
      <c r="MYA32" s="47"/>
      <c r="MYB32" s="47"/>
      <c r="MYC32" s="47"/>
      <c r="MYD32" s="47"/>
      <c r="MYE32" s="47"/>
      <c r="MYF32" s="47"/>
      <c r="MYG32" s="47"/>
      <c r="MYH32" s="47"/>
      <c r="MYI32" s="47"/>
      <c r="MYJ32" s="47"/>
      <c r="MYK32" s="47"/>
      <c r="MYL32" s="47"/>
      <c r="MYM32" s="47"/>
      <c r="MYN32" s="47"/>
      <c r="MYO32" s="47"/>
      <c r="MYP32" s="47"/>
      <c r="MYQ32" s="47"/>
      <c r="MYR32" s="47"/>
      <c r="MYS32" s="47"/>
      <c r="MYT32" s="47"/>
      <c r="MYU32" s="47"/>
      <c r="MYV32" s="47"/>
      <c r="MYW32" s="47"/>
      <c r="MYX32" s="47"/>
      <c r="MYY32" s="47"/>
      <c r="MYZ32" s="47"/>
      <c r="MZA32" s="47"/>
      <c r="MZB32" s="47"/>
      <c r="MZC32" s="47"/>
      <c r="MZD32" s="47"/>
      <c r="MZE32" s="47"/>
      <c r="MZF32" s="47"/>
      <c r="MZG32" s="47"/>
      <c r="MZH32" s="47"/>
      <c r="MZI32" s="47"/>
      <c r="MZJ32" s="47"/>
      <c r="MZK32" s="47"/>
      <c r="MZL32" s="47"/>
      <c r="MZM32" s="47"/>
      <c r="MZN32" s="47"/>
      <c r="MZO32" s="47"/>
      <c r="MZP32" s="47"/>
      <c r="MZQ32" s="47"/>
      <c r="MZR32" s="47"/>
      <c r="MZS32" s="47"/>
      <c r="MZT32" s="47"/>
      <c r="MZU32" s="47"/>
      <c r="MZV32" s="47"/>
      <c r="MZW32" s="47"/>
      <c r="MZX32" s="47"/>
      <c r="MZY32" s="47"/>
      <c r="MZZ32" s="47"/>
      <c r="NAA32" s="47"/>
      <c r="NAB32" s="47"/>
      <c r="NAC32" s="47"/>
      <c r="NAD32" s="47"/>
      <c r="NAE32" s="47"/>
      <c r="NAF32" s="47"/>
      <c r="NAG32" s="47"/>
      <c r="NAH32" s="47"/>
      <c r="NAI32" s="47"/>
      <c r="NAJ32" s="47"/>
      <c r="NAK32" s="47"/>
      <c r="NAL32" s="47"/>
      <c r="NAM32" s="47"/>
      <c r="NAN32" s="47"/>
      <c r="NAO32" s="47"/>
      <c r="NAP32" s="47"/>
      <c r="NAQ32" s="47"/>
      <c r="NAR32" s="47"/>
      <c r="NAS32" s="47"/>
      <c r="NAT32" s="47"/>
      <c r="NAU32" s="47"/>
      <c r="NAV32" s="47"/>
      <c r="NAW32" s="47"/>
      <c r="NAX32" s="47"/>
      <c r="NAY32" s="47"/>
      <c r="NAZ32" s="47"/>
      <c r="NBA32" s="47"/>
      <c r="NBB32" s="47"/>
      <c r="NBC32" s="47"/>
      <c r="NBD32" s="47"/>
      <c r="NBE32" s="47"/>
      <c r="NBF32" s="47"/>
      <c r="NBG32" s="47"/>
      <c r="NBH32" s="47"/>
      <c r="NBI32" s="47"/>
      <c r="NBJ32" s="47"/>
      <c r="NBK32" s="47"/>
      <c r="NBL32" s="47"/>
      <c r="NBM32" s="47"/>
      <c r="NBN32" s="47"/>
      <c r="NBO32" s="47"/>
      <c r="NBP32" s="47"/>
      <c r="NBQ32" s="47"/>
      <c r="NBR32" s="47"/>
      <c r="NBS32" s="47"/>
      <c r="NBT32" s="47"/>
      <c r="NBU32" s="47"/>
      <c r="NBV32" s="47"/>
      <c r="NBW32" s="47"/>
      <c r="NBX32" s="47"/>
      <c r="NBY32" s="47"/>
      <c r="NBZ32" s="47"/>
      <c r="NCA32" s="47"/>
      <c r="NCB32" s="47"/>
      <c r="NCC32" s="47"/>
      <c r="NCD32" s="47"/>
      <c r="NCE32" s="47"/>
      <c r="NCF32" s="47"/>
      <c r="NCG32" s="47"/>
      <c r="NCH32" s="47"/>
      <c r="NCI32" s="47"/>
      <c r="NCJ32" s="47"/>
      <c r="NCK32" s="47"/>
      <c r="NCL32" s="47"/>
      <c r="NCM32" s="47"/>
      <c r="NCN32" s="47"/>
      <c r="NCO32" s="47"/>
      <c r="NCP32" s="47"/>
      <c r="NCQ32" s="47"/>
      <c r="NCR32" s="47"/>
      <c r="NCS32" s="47"/>
      <c r="NCT32" s="47"/>
      <c r="NCU32" s="47"/>
      <c r="NCV32" s="47"/>
      <c r="NCW32" s="47"/>
      <c r="NCX32" s="47"/>
      <c r="NCY32" s="47"/>
      <c r="NCZ32" s="47"/>
      <c r="NDA32" s="47"/>
      <c r="NDB32" s="47"/>
      <c r="NDC32" s="47"/>
      <c r="NDD32" s="47"/>
      <c r="NDE32" s="47"/>
      <c r="NDF32" s="47"/>
      <c r="NDG32" s="47"/>
      <c r="NDH32" s="47"/>
      <c r="NDI32" s="47"/>
      <c r="NDJ32" s="47"/>
      <c r="NDK32" s="47"/>
      <c r="NDL32" s="47"/>
      <c r="NDM32" s="47"/>
      <c r="NDN32" s="47"/>
      <c r="NDO32" s="47"/>
      <c r="NDP32" s="47"/>
      <c r="NDQ32" s="47"/>
      <c r="NDR32" s="47"/>
      <c r="NDS32" s="47"/>
      <c r="NDT32" s="47"/>
      <c r="NDU32" s="47"/>
      <c r="NDV32" s="47"/>
      <c r="NDW32" s="47"/>
      <c r="NDX32" s="47"/>
      <c r="NDY32" s="47"/>
      <c r="NDZ32" s="47"/>
      <c r="NEA32" s="47"/>
      <c r="NEB32" s="47"/>
      <c r="NEC32" s="47"/>
      <c r="NED32" s="47"/>
      <c r="NEE32" s="47"/>
      <c r="NEF32" s="47"/>
      <c r="NEG32" s="47"/>
      <c r="NEH32" s="47"/>
      <c r="NEI32" s="47"/>
      <c r="NEJ32" s="47"/>
      <c r="NEK32" s="47"/>
      <c r="NEL32" s="47"/>
      <c r="NEM32" s="47"/>
      <c r="NEN32" s="47"/>
      <c r="NEO32" s="47"/>
      <c r="NEP32" s="47"/>
      <c r="NEQ32" s="47"/>
      <c r="NER32" s="47"/>
      <c r="NES32" s="47"/>
      <c r="NET32" s="47"/>
      <c r="NEU32" s="47"/>
      <c r="NEV32" s="47"/>
      <c r="NEW32" s="47"/>
      <c r="NEX32" s="47"/>
      <c r="NEY32" s="47"/>
      <c r="NEZ32" s="47"/>
      <c r="NFA32" s="47"/>
      <c r="NFB32" s="47"/>
      <c r="NFC32" s="47"/>
      <c r="NFD32" s="47"/>
      <c r="NFE32" s="47"/>
      <c r="NFF32" s="47"/>
      <c r="NFG32" s="47"/>
      <c r="NFH32" s="47"/>
      <c r="NFI32" s="47"/>
      <c r="NFJ32" s="47"/>
      <c r="NFK32" s="47"/>
      <c r="NFL32" s="47"/>
      <c r="NFM32" s="47"/>
      <c r="NFN32" s="47"/>
      <c r="NFO32" s="47"/>
      <c r="NFP32" s="47"/>
      <c r="NFQ32" s="47"/>
      <c r="NFR32" s="47"/>
      <c r="NFS32" s="47"/>
      <c r="NFT32" s="47"/>
      <c r="NFU32" s="47"/>
      <c r="NFV32" s="47"/>
      <c r="NFW32" s="47"/>
      <c r="NFX32" s="47"/>
      <c r="NFY32" s="47"/>
      <c r="NFZ32" s="47"/>
      <c r="NGA32" s="47"/>
      <c r="NGB32" s="47"/>
      <c r="NGC32" s="47"/>
      <c r="NGD32" s="47"/>
      <c r="NGE32" s="47"/>
      <c r="NGF32" s="47"/>
      <c r="NGG32" s="47"/>
      <c r="NGH32" s="47"/>
      <c r="NGI32" s="47"/>
      <c r="NGJ32" s="47"/>
      <c r="NGK32" s="47"/>
      <c r="NGL32" s="47"/>
      <c r="NGM32" s="47"/>
      <c r="NGN32" s="47"/>
      <c r="NGO32" s="47"/>
      <c r="NGP32" s="47"/>
      <c r="NGQ32" s="47"/>
      <c r="NGR32" s="47"/>
      <c r="NGS32" s="47"/>
      <c r="NGT32" s="47"/>
      <c r="NGU32" s="47"/>
      <c r="NGV32" s="47"/>
      <c r="NGW32" s="47"/>
      <c r="NGX32" s="47"/>
      <c r="NGY32" s="47"/>
      <c r="NGZ32" s="47"/>
      <c r="NHA32" s="47"/>
      <c r="NHB32" s="47"/>
      <c r="NHC32" s="47"/>
      <c r="NHD32" s="47"/>
      <c r="NHE32" s="47"/>
      <c r="NHF32" s="47"/>
      <c r="NHG32" s="47"/>
      <c r="NHH32" s="47"/>
      <c r="NHI32" s="47"/>
      <c r="NHJ32" s="47"/>
      <c r="NHK32" s="47"/>
      <c r="NHL32" s="47"/>
      <c r="NHM32" s="47"/>
      <c r="NHN32" s="47"/>
      <c r="NHO32" s="47"/>
      <c r="NHP32" s="47"/>
      <c r="NHQ32" s="47"/>
      <c r="NHR32" s="47"/>
      <c r="NHS32" s="47"/>
      <c r="NHT32" s="47"/>
      <c r="NHU32" s="47"/>
      <c r="NHV32" s="47"/>
      <c r="NHW32" s="47"/>
      <c r="NHX32" s="47"/>
      <c r="NHY32" s="47"/>
      <c r="NHZ32" s="47"/>
      <c r="NIA32" s="47"/>
      <c r="NIB32" s="47"/>
      <c r="NIC32" s="47"/>
      <c r="NID32" s="47"/>
      <c r="NIE32" s="47"/>
      <c r="NIF32" s="47"/>
      <c r="NIG32" s="47"/>
      <c r="NIH32" s="47"/>
      <c r="NII32" s="47"/>
      <c r="NIJ32" s="47"/>
      <c r="NIK32" s="47"/>
      <c r="NIL32" s="47"/>
      <c r="NIM32" s="47"/>
      <c r="NIN32" s="47"/>
      <c r="NIO32" s="47"/>
      <c r="NIP32" s="47"/>
      <c r="NIQ32" s="47"/>
      <c r="NIR32" s="47"/>
      <c r="NIS32" s="47"/>
      <c r="NIT32" s="47"/>
      <c r="NIU32" s="47"/>
      <c r="NIV32" s="47"/>
      <c r="NIW32" s="47"/>
      <c r="NIX32" s="47"/>
      <c r="NIY32" s="47"/>
      <c r="NIZ32" s="47"/>
      <c r="NJA32" s="47"/>
      <c r="NJB32" s="47"/>
      <c r="NJC32" s="47"/>
      <c r="NJD32" s="47"/>
      <c r="NJE32" s="47"/>
      <c r="NJF32" s="47"/>
      <c r="NJG32" s="47"/>
      <c r="NJH32" s="47"/>
      <c r="NJI32" s="47"/>
      <c r="NJJ32" s="47"/>
      <c r="NJK32" s="47"/>
      <c r="NJL32" s="47"/>
      <c r="NJM32" s="47"/>
      <c r="NJN32" s="47"/>
      <c r="NJO32" s="47"/>
      <c r="NJP32" s="47"/>
      <c r="NJQ32" s="47"/>
      <c r="NJR32" s="47"/>
      <c r="NJS32" s="47"/>
      <c r="NJT32" s="47"/>
      <c r="NJU32" s="47"/>
      <c r="NJV32" s="47"/>
      <c r="NJW32" s="47"/>
      <c r="NJX32" s="47"/>
      <c r="NJY32" s="47"/>
      <c r="NJZ32" s="47"/>
      <c r="NKA32" s="47"/>
      <c r="NKB32" s="47"/>
      <c r="NKC32" s="47"/>
      <c r="NKD32" s="47"/>
      <c r="NKE32" s="47"/>
      <c r="NKF32" s="47"/>
      <c r="NKG32" s="47"/>
      <c r="NKH32" s="47"/>
      <c r="NKI32" s="47"/>
      <c r="NKJ32" s="47"/>
      <c r="NKK32" s="47"/>
      <c r="NKL32" s="47"/>
      <c r="NKM32" s="47"/>
      <c r="NKN32" s="47"/>
      <c r="NKO32" s="47"/>
      <c r="NKP32" s="47"/>
      <c r="NKQ32" s="47"/>
      <c r="NKR32" s="47"/>
      <c r="NKS32" s="47"/>
      <c r="NKT32" s="47"/>
      <c r="NKU32" s="47"/>
      <c r="NKV32" s="47"/>
      <c r="NKW32" s="47"/>
      <c r="NKX32" s="47"/>
      <c r="NKY32" s="47"/>
      <c r="NKZ32" s="47"/>
      <c r="NLA32" s="47"/>
      <c r="NLB32" s="47"/>
      <c r="NLC32" s="47"/>
      <c r="NLD32" s="47"/>
      <c r="NLE32" s="47"/>
      <c r="NLF32" s="47"/>
      <c r="NLG32" s="47"/>
      <c r="NLH32" s="47"/>
      <c r="NLI32" s="47"/>
      <c r="NLJ32" s="47"/>
      <c r="NLK32" s="47"/>
      <c r="NLL32" s="47"/>
      <c r="NLM32" s="47"/>
      <c r="NLN32" s="47"/>
      <c r="NLO32" s="47"/>
      <c r="NLP32" s="47"/>
      <c r="NLQ32" s="47"/>
      <c r="NLR32" s="47"/>
      <c r="NLS32" s="47"/>
      <c r="NLT32" s="47"/>
      <c r="NLU32" s="47"/>
      <c r="NLV32" s="47"/>
      <c r="NLW32" s="47"/>
      <c r="NLX32" s="47"/>
      <c r="NLY32" s="47"/>
      <c r="NLZ32" s="47"/>
      <c r="NMA32" s="47"/>
      <c r="NMB32" s="47"/>
      <c r="NMC32" s="47"/>
      <c r="NMD32" s="47"/>
      <c r="NME32" s="47"/>
      <c r="NMF32" s="47"/>
      <c r="NMG32" s="47"/>
      <c r="NMH32" s="47"/>
      <c r="NMI32" s="47"/>
      <c r="NMJ32" s="47"/>
      <c r="NMK32" s="47"/>
      <c r="NML32" s="47"/>
      <c r="NMM32" s="47"/>
      <c r="NMN32" s="47"/>
      <c r="NMO32" s="47"/>
      <c r="NMP32" s="47"/>
      <c r="NMQ32" s="47"/>
      <c r="NMR32" s="47"/>
      <c r="NMS32" s="47"/>
      <c r="NMT32" s="47"/>
      <c r="NMU32" s="47"/>
      <c r="NMV32" s="47"/>
      <c r="NMW32" s="47"/>
      <c r="NMX32" s="47"/>
      <c r="NMY32" s="47"/>
      <c r="NMZ32" s="47"/>
      <c r="NNA32" s="47"/>
      <c r="NNB32" s="47"/>
      <c r="NNC32" s="47"/>
      <c r="NND32" s="47"/>
      <c r="NNE32" s="47"/>
      <c r="NNF32" s="47"/>
      <c r="NNG32" s="47"/>
      <c r="NNH32" s="47"/>
      <c r="NNI32" s="47"/>
      <c r="NNJ32" s="47"/>
      <c r="NNK32" s="47"/>
      <c r="NNL32" s="47"/>
      <c r="NNM32" s="47"/>
      <c r="NNN32" s="47"/>
      <c r="NNO32" s="47"/>
      <c r="NNP32" s="47"/>
      <c r="NNQ32" s="47"/>
      <c r="NNR32" s="47"/>
      <c r="NNS32" s="47"/>
      <c r="NNT32" s="47"/>
      <c r="NNU32" s="47"/>
      <c r="NNV32" s="47"/>
      <c r="NNW32" s="47"/>
      <c r="NNX32" s="47"/>
      <c r="NNY32" s="47"/>
      <c r="NNZ32" s="47"/>
      <c r="NOA32" s="47"/>
      <c r="NOB32" s="47"/>
      <c r="NOC32" s="47"/>
      <c r="NOD32" s="47"/>
      <c r="NOE32" s="47"/>
      <c r="NOF32" s="47"/>
      <c r="NOG32" s="47"/>
      <c r="NOH32" s="47"/>
      <c r="NOI32" s="47"/>
      <c r="NOJ32" s="47"/>
      <c r="NOK32" s="47"/>
      <c r="NOL32" s="47"/>
      <c r="NOM32" s="47"/>
      <c r="NON32" s="47"/>
      <c r="NOO32" s="47"/>
      <c r="NOP32" s="47"/>
      <c r="NOQ32" s="47"/>
      <c r="NOR32" s="47"/>
      <c r="NOS32" s="47"/>
      <c r="NOT32" s="47"/>
      <c r="NOU32" s="47"/>
      <c r="NOV32" s="47"/>
      <c r="NOW32" s="47"/>
      <c r="NOX32" s="47"/>
      <c r="NOY32" s="47"/>
      <c r="NOZ32" s="47"/>
      <c r="NPA32" s="47"/>
      <c r="NPB32" s="47"/>
      <c r="NPC32" s="47"/>
      <c r="NPD32" s="47"/>
      <c r="NPE32" s="47"/>
      <c r="NPF32" s="47"/>
      <c r="NPG32" s="47"/>
      <c r="NPH32" s="47"/>
      <c r="NPI32" s="47"/>
      <c r="NPJ32" s="47"/>
      <c r="NPK32" s="47"/>
      <c r="NPL32" s="47"/>
      <c r="NPM32" s="47"/>
      <c r="NPN32" s="47"/>
      <c r="NPO32" s="47"/>
      <c r="NPP32" s="47"/>
      <c r="NPQ32" s="47"/>
      <c r="NPR32" s="47"/>
      <c r="NPS32" s="47"/>
      <c r="NPT32" s="47"/>
      <c r="NPU32" s="47"/>
      <c r="NPV32" s="47"/>
      <c r="NPW32" s="47"/>
      <c r="NPX32" s="47"/>
      <c r="NPY32" s="47"/>
      <c r="NPZ32" s="47"/>
      <c r="NQA32" s="47"/>
      <c r="NQB32" s="47"/>
      <c r="NQC32" s="47"/>
      <c r="NQD32" s="47"/>
      <c r="NQE32" s="47"/>
      <c r="NQF32" s="47"/>
      <c r="NQG32" s="47"/>
      <c r="NQH32" s="47"/>
      <c r="NQI32" s="47"/>
      <c r="NQJ32" s="47"/>
      <c r="NQK32" s="47"/>
      <c r="NQL32" s="47"/>
      <c r="NQM32" s="47"/>
      <c r="NQN32" s="47"/>
      <c r="NQO32" s="47"/>
      <c r="NQP32" s="47"/>
      <c r="NQQ32" s="47"/>
      <c r="NQR32" s="47"/>
      <c r="NQS32" s="47"/>
      <c r="NQT32" s="47"/>
      <c r="NQU32" s="47"/>
      <c r="NQV32" s="47"/>
      <c r="NQW32" s="47"/>
      <c r="NQX32" s="47"/>
      <c r="NQY32" s="47"/>
      <c r="NQZ32" s="47"/>
      <c r="NRA32" s="47"/>
      <c r="NRB32" s="47"/>
      <c r="NRC32" s="47"/>
      <c r="NRD32" s="47"/>
      <c r="NRE32" s="47"/>
      <c r="NRF32" s="47"/>
      <c r="NRG32" s="47"/>
      <c r="NRH32" s="47"/>
      <c r="NRI32" s="47"/>
      <c r="NRJ32" s="47"/>
      <c r="NRK32" s="47"/>
      <c r="NRL32" s="47"/>
      <c r="NRM32" s="47"/>
      <c r="NRN32" s="47"/>
      <c r="NRO32" s="47"/>
      <c r="NRP32" s="47"/>
      <c r="NRQ32" s="47"/>
      <c r="NRR32" s="47"/>
      <c r="NRS32" s="47"/>
      <c r="NRT32" s="47"/>
      <c r="NRU32" s="47"/>
      <c r="NRV32" s="47"/>
      <c r="NRW32" s="47"/>
      <c r="NRX32" s="47"/>
      <c r="NRY32" s="47"/>
      <c r="NRZ32" s="47"/>
      <c r="NSA32" s="47"/>
      <c r="NSB32" s="47"/>
      <c r="NSC32" s="47"/>
      <c r="NSD32" s="47"/>
      <c r="NSE32" s="47"/>
      <c r="NSF32" s="47"/>
      <c r="NSG32" s="47"/>
      <c r="NSH32" s="47"/>
      <c r="NSI32" s="47"/>
      <c r="NSJ32" s="47"/>
      <c r="NSK32" s="47"/>
      <c r="NSL32" s="47"/>
      <c r="NSM32" s="47"/>
      <c r="NSN32" s="47"/>
      <c r="NSO32" s="47"/>
      <c r="NSP32" s="47"/>
      <c r="NSQ32" s="47"/>
      <c r="NSR32" s="47"/>
      <c r="NSS32" s="47"/>
      <c r="NST32" s="47"/>
      <c r="NSU32" s="47"/>
      <c r="NSV32" s="47"/>
      <c r="NSW32" s="47"/>
      <c r="NSX32" s="47"/>
      <c r="NSY32" s="47"/>
      <c r="NSZ32" s="47"/>
      <c r="NTA32" s="47"/>
      <c r="NTB32" s="47"/>
      <c r="NTC32" s="47"/>
      <c r="NTD32" s="47"/>
      <c r="NTE32" s="47"/>
      <c r="NTF32" s="47"/>
      <c r="NTG32" s="47"/>
      <c r="NTH32" s="47"/>
      <c r="NTI32" s="47"/>
      <c r="NTJ32" s="47"/>
      <c r="NTK32" s="47"/>
      <c r="NTL32" s="47"/>
      <c r="NTM32" s="47"/>
      <c r="NTN32" s="47"/>
      <c r="NTO32" s="47"/>
      <c r="NTP32" s="47"/>
      <c r="NTQ32" s="47"/>
      <c r="NTR32" s="47"/>
      <c r="NTS32" s="47"/>
      <c r="NTT32" s="47"/>
      <c r="NTU32" s="47"/>
      <c r="NTV32" s="47"/>
      <c r="NTW32" s="47"/>
      <c r="NTX32" s="47"/>
      <c r="NTY32" s="47"/>
      <c r="NTZ32" s="47"/>
      <c r="NUA32" s="47"/>
      <c r="NUB32" s="47"/>
      <c r="NUC32" s="47"/>
      <c r="NUD32" s="47"/>
      <c r="NUE32" s="47"/>
      <c r="NUF32" s="47"/>
      <c r="NUG32" s="47"/>
      <c r="NUH32" s="47"/>
      <c r="NUI32" s="47"/>
      <c r="NUJ32" s="47"/>
      <c r="NUK32" s="47"/>
      <c r="NUL32" s="47"/>
      <c r="NUM32" s="47"/>
      <c r="NUN32" s="47"/>
      <c r="NUO32" s="47"/>
      <c r="NUP32" s="47"/>
      <c r="NUQ32" s="47"/>
      <c r="NUR32" s="47"/>
      <c r="NUS32" s="47"/>
      <c r="NUT32" s="47"/>
      <c r="NUU32" s="47"/>
      <c r="NUV32" s="47"/>
      <c r="NUW32" s="47"/>
      <c r="NUX32" s="47"/>
      <c r="NUY32" s="47"/>
      <c r="NUZ32" s="47"/>
      <c r="NVA32" s="47"/>
      <c r="NVB32" s="47"/>
      <c r="NVC32" s="47"/>
      <c r="NVD32" s="47"/>
      <c r="NVE32" s="47"/>
      <c r="NVF32" s="47"/>
      <c r="NVG32" s="47"/>
      <c r="NVH32" s="47"/>
      <c r="NVI32" s="47"/>
      <c r="NVJ32" s="47"/>
      <c r="NVK32" s="47"/>
      <c r="NVL32" s="47"/>
      <c r="NVM32" s="47"/>
      <c r="NVN32" s="47"/>
      <c r="NVO32" s="47"/>
      <c r="NVP32" s="47"/>
      <c r="NVQ32" s="47"/>
      <c r="NVR32" s="47"/>
      <c r="NVS32" s="47"/>
      <c r="NVT32" s="47"/>
      <c r="NVU32" s="47"/>
      <c r="NVV32" s="47"/>
      <c r="NVW32" s="47"/>
      <c r="NVX32" s="47"/>
      <c r="NVY32" s="47"/>
      <c r="NVZ32" s="47"/>
      <c r="NWA32" s="47"/>
      <c r="NWB32" s="47"/>
      <c r="NWC32" s="47"/>
      <c r="NWD32" s="47"/>
      <c r="NWE32" s="47"/>
      <c r="NWF32" s="47"/>
      <c r="NWG32" s="47"/>
      <c r="NWH32" s="47"/>
      <c r="NWI32" s="47"/>
      <c r="NWJ32" s="47"/>
      <c r="NWK32" s="47"/>
      <c r="NWL32" s="47"/>
      <c r="NWM32" s="47"/>
      <c r="NWN32" s="47"/>
      <c r="NWO32" s="47"/>
      <c r="NWP32" s="47"/>
      <c r="NWQ32" s="47"/>
      <c r="NWR32" s="47"/>
      <c r="NWS32" s="47"/>
      <c r="NWT32" s="47"/>
      <c r="NWU32" s="47"/>
      <c r="NWV32" s="47"/>
      <c r="NWW32" s="47"/>
      <c r="NWX32" s="47"/>
      <c r="NWY32" s="47"/>
      <c r="NWZ32" s="47"/>
      <c r="NXA32" s="47"/>
      <c r="NXB32" s="47"/>
      <c r="NXC32" s="47"/>
      <c r="NXD32" s="47"/>
      <c r="NXE32" s="47"/>
      <c r="NXF32" s="47"/>
      <c r="NXG32" s="47"/>
      <c r="NXH32" s="47"/>
      <c r="NXI32" s="47"/>
      <c r="NXJ32" s="47"/>
      <c r="NXK32" s="47"/>
      <c r="NXL32" s="47"/>
      <c r="NXM32" s="47"/>
      <c r="NXN32" s="47"/>
      <c r="NXO32" s="47"/>
      <c r="NXP32" s="47"/>
      <c r="NXQ32" s="47"/>
      <c r="NXR32" s="47"/>
      <c r="NXS32" s="47"/>
      <c r="NXT32" s="47"/>
      <c r="NXU32" s="47"/>
      <c r="NXV32" s="47"/>
      <c r="NXW32" s="47"/>
      <c r="NXX32" s="47"/>
      <c r="NXY32" s="47"/>
      <c r="NXZ32" s="47"/>
      <c r="NYA32" s="47"/>
      <c r="NYB32" s="47"/>
      <c r="NYC32" s="47"/>
      <c r="NYD32" s="47"/>
      <c r="NYE32" s="47"/>
      <c r="NYF32" s="47"/>
      <c r="NYG32" s="47"/>
      <c r="NYH32" s="47"/>
      <c r="NYI32" s="47"/>
      <c r="NYJ32" s="47"/>
      <c r="NYK32" s="47"/>
      <c r="NYL32" s="47"/>
      <c r="NYM32" s="47"/>
      <c r="NYN32" s="47"/>
      <c r="NYO32" s="47"/>
      <c r="NYP32" s="47"/>
      <c r="NYQ32" s="47"/>
      <c r="NYR32" s="47"/>
      <c r="NYS32" s="47"/>
      <c r="NYT32" s="47"/>
      <c r="NYU32" s="47"/>
      <c r="NYV32" s="47"/>
      <c r="NYW32" s="47"/>
      <c r="NYX32" s="47"/>
      <c r="NYY32" s="47"/>
      <c r="NYZ32" s="47"/>
      <c r="NZA32" s="47"/>
      <c r="NZB32" s="47"/>
      <c r="NZC32" s="47"/>
      <c r="NZD32" s="47"/>
      <c r="NZE32" s="47"/>
      <c r="NZF32" s="47"/>
      <c r="NZG32" s="47"/>
      <c r="NZH32" s="47"/>
      <c r="NZI32" s="47"/>
      <c r="NZJ32" s="47"/>
      <c r="NZK32" s="47"/>
      <c r="NZL32" s="47"/>
      <c r="NZM32" s="47"/>
      <c r="NZN32" s="47"/>
      <c r="NZO32" s="47"/>
      <c r="NZP32" s="47"/>
      <c r="NZQ32" s="47"/>
      <c r="NZR32" s="47"/>
      <c r="NZS32" s="47"/>
      <c r="NZT32" s="47"/>
      <c r="NZU32" s="47"/>
      <c r="NZV32" s="47"/>
      <c r="NZW32" s="47"/>
      <c r="NZX32" s="47"/>
      <c r="NZY32" s="47"/>
      <c r="NZZ32" s="47"/>
      <c r="OAA32" s="47"/>
      <c r="OAB32" s="47"/>
      <c r="OAC32" s="47"/>
      <c r="OAD32" s="47"/>
      <c r="OAE32" s="47"/>
      <c r="OAF32" s="47"/>
      <c r="OAG32" s="47"/>
      <c r="OAH32" s="47"/>
      <c r="OAI32" s="47"/>
      <c r="OAJ32" s="47"/>
      <c r="OAK32" s="47"/>
      <c r="OAL32" s="47"/>
      <c r="OAM32" s="47"/>
      <c r="OAN32" s="47"/>
      <c r="OAO32" s="47"/>
      <c r="OAP32" s="47"/>
      <c r="OAQ32" s="47"/>
      <c r="OAR32" s="47"/>
      <c r="OAS32" s="47"/>
      <c r="OAT32" s="47"/>
      <c r="OAU32" s="47"/>
      <c r="OAV32" s="47"/>
      <c r="OAW32" s="47"/>
      <c r="OAX32" s="47"/>
      <c r="OAY32" s="47"/>
      <c r="OAZ32" s="47"/>
      <c r="OBA32" s="47"/>
      <c r="OBB32" s="47"/>
      <c r="OBC32" s="47"/>
      <c r="OBD32" s="47"/>
      <c r="OBE32" s="47"/>
      <c r="OBF32" s="47"/>
      <c r="OBG32" s="47"/>
      <c r="OBH32" s="47"/>
      <c r="OBI32" s="47"/>
      <c r="OBJ32" s="47"/>
      <c r="OBK32" s="47"/>
      <c r="OBL32" s="47"/>
      <c r="OBM32" s="47"/>
      <c r="OBN32" s="47"/>
      <c r="OBO32" s="47"/>
      <c r="OBP32" s="47"/>
      <c r="OBQ32" s="47"/>
      <c r="OBR32" s="47"/>
      <c r="OBS32" s="47"/>
      <c r="OBT32" s="47"/>
      <c r="OBU32" s="47"/>
      <c r="OBV32" s="47"/>
      <c r="OBW32" s="47"/>
      <c r="OBX32" s="47"/>
      <c r="OBY32" s="47"/>
      <c r="OBZ32" s="47"/>
      <c r="OCA32" s="47"/>
      <c r="OCB32" s="47"/>
      <c r="OCC32" s="47"/>
      <c r="OCD32" s="47"/>
      <c r="OCE32" s="47"/>
      <c r="OCF32" s="47"/>
      <c r="OCG32" s="47"/>
      <c r="OCH32" s="47"/>
      <c r="OCI32" s="47"/>
      <c r="OCJ32" s="47"/>
      <c r="OCK32" s="47"/>
      <c r="OCL32" s="47"/>
      <c r="OCM32" s="47"/>
      <c r="OCN32" s="47"/>
      <c r="OCO32" s="47"/>
      <c r="OCP32" s="47"/>
      <c r="OCQ32" s="47"/>
      <c r="OCR32" s="47"/>
      <c r="OCS32" s="47"/>
      <c r="OCT32" s="47"/>
      <c r="OCU32" s="47"/>
      <c r="OCV32" s="47"/>
      <c r="OCW32" s="47"/>
      <c r="OCX32" s="47"/>
      <c r="OCY32" s="47"/>
      <c r="OCZ32" s="47"/>
      <c r="ODA32" s="47"/>
      <c r="ODB32" s="47"/>
      <c r="ODC32" s="47"/>
      <c r="ODD32" s="47"/>
      <c r="ODE32" s="47"/>
      <c r="ODF32" s="47"/>
      <c r="ODG32" s="47"/>
      <c r="ODH32" s="47"/>
      <c r="ODI32" s="47"/>
      <c r="ODJ32" s="47"/>
      <c r="ODK32" s="47"/>
      <c r="ODL32" s="47"/>
      <c r="ODM32" s="47"/>
      <c r="ODN32" s="47"/>
      <c r="ODO32" s="47"/>
      <c r="ODP32" s="47"/>
      <c r="ODQ32" s="47"/>
      <c r="ODR32" s="47"/>
      <c r="ODS32" s="47"/>
      <c r="ODT32" s="47"/>
      <c r="ODU32" s="47"/>
      <c r="ODV32" s="47"/>
      <c r="ODW32" s="47"/>
      <c r="ODX32" s="47"/>
      <c r="ODY32" s="47"/>
      <c r="ODZ32" s="47"/>
      <c r="OEA32" s="47"/>
      <c r="OEB32" s="47"/>
      <c r="OEC32" s="47"/>
      <c r="OED32" s="47"/>
      <c r="OEE32" s="47"/>
      <c r="OEF32" s="47"/>
      <c r="OEG32" s="47"/>
      <c r="OEH32" s="47"/>
      <c r="OEI32" s="47"/>
      <c r="OEJ32" s="47"/>
      <c r="OEK32" s="47"/>
      <c r="OEL32" s="47"/>
      <c r="OEM32" s="47"/>
      <c r="OEN32" s="47"/>
      <c r="OEO32" s="47"/>
      <c r="OEP32" s="47"/>
      <c r="OEQ32" s="47"/>
      <c r="OER32" s="47"/>
      <c r="OES32" s="47"/>
      <c r="OET32" s="47"/>
      <c r="OEU32" s="47"/>
      <c r="OEV32" s="47"/>
      <c r="OEW32" s="47"/>
      <c r="OEX32" s="47"/>
      <c r="OEY32" s="47"/>
      <c r="OEZ32" s="47"/>
      <c r="OFA32" s="47"/>
      <c r="OFB32" s="47"/>
      <c r="OFC32" s="47"/>
      <c r="OFD32" s="47"/>
      <c r="OFE32" s="47"/>
      <c r="OFF32" s="47"/>
      <c r="OFG32" s="47"/>
      <c r="OFH32" s="47"/>
      <c r="OFI32" s="47"/>
      <c r="OFJ32" s="47"/>
      <c r="OFK32" s="47"/>
      <c r="OFL32" s="47"/>
      <c r="OFM32" s="47"/>
      <c r="OFN32" s="47"/>
      <c r="OFO32" s="47"/>
      <c r="OFP32" s="47"/>
      <c r="OFQ32" s="47"/>
      <c r="OFR32" s="47"/>
      <c r="OFS32" s="47"/>
      <c r="OFT32" s="47"/>
      <c r="OFU32" s="47"/>
      <c r="OFV32" s="47"/>
      <c r="OFW32" s="47"/>
      <c r="OFX32" s="47"/>
      <c r="OFY32" s="47"/>
      <c r="OFZ32" s="47"/>
      <c r="OGA32" s="47"/>
      <c r="OGB32" s="47"/>
      <c r="OGC32" s="47"/>
      <c r="OGD32" s="47"/>
      <c r="OGE32" s="47"/>
      <c r="OGF32" s="47"/>
      <c r="OGG32" s="47"/>
      <c r="OGH32" s="47"/>
      <c r="OGI32" s="47"/>
      <c r="OGJ32" s="47"/>
      <c r="OGK32" s="47"/>
      <c r="OGL32" s="47"/>
      <c r="OGM32" s="47"/>
      <c r="OGN32" s="47"/>
      <c r="OGO32" s="47"/>
      <c r="OGP32" s="47"/>
      <c r="OGQ32" s="47"/>
      <c r="OGR32" s="47"/>
      <c r="OGS32" s="47"/>
      <c r="OGT32" s="47"/>
      <c r="OGU32" s="47"/>
      <c r="OGV32" s="47"/>
      <c r="OGW32" s="47"/>
      <c r="OGX32" s="47"/>
      <c r="OGY32" s="47"/>
      <c r="OGZ32" s="47"/>
      <c r="OHA32" s="47"/>
      <c r="OHB32" s="47"/>
      <c r="OHC32" s="47"/>
      <c r="OHD32" s="47"/>
      <c r="OHE32" s="47"/>
      <c r="OHF32" s="47"/>
      <c r="OHG32" s="47"/>
      <c r="OHH32" s="47"/>
      <c r="OHI32" s="47"/>
      <c r="OHJ32" s="47"/>
      <c r="OHK32" s="47"/>
      <c r="OHL32" s="47"/>
      <c r="OHM32" s="47"/>
      <c r="OHN32" s="47"/>
      <c r="OHO32" s="47"/>
      <c r="OHP32" s="47"/>
      <c r="OHQ32" s="47"/>
      <c r="OHR32" s="47"/>
      <c r="OHS32" s="47"/>
      <c r="OHT32" s="47"/>
      <c r="OHU32" s="47"/>
      <c r="OHV32" s="47"/>
      <c r="OHW32" s="47"/>
      <c r="OHX32" s="47"/>
      <c r="OHY32" s="47"/>
      <c r="OHZ32" s="47"/>
      <c r="OIA32" s="47"/>
      <c r="OIB32" s="47"/>
      <c r="OIC32" s="47"/>
      <c r="OID32" s="47"/>
      <c r="OIE32" s="47"/>
      <c r="OIF32" s="47"/>
      <c r="OIG32" s="47"/>
      <c r="OIH32" s="47"/>
      <c r="OII32" s="47"/>
      <c r="OIJ32" s="47"/>
      <c r="OIK32" s="47"/>
      <c r="OIL32" s="47"/>
      <c r="OIM32" s="47"/>
      <c r="OIN32" s="47"/>
      <c r="OIO32" s="47"/>
      <c r="OIP32" s="47"/>
      <c r="OIQ32" s="47"/>
      <c r="OIR32" s="47"/>
      <c r="OIS32" s="47"/>
      <c r="OIT32" s="47"/>
      <c r="OIU32" s="47"/>
      <c r="OIV32" s="47"/>
      <c r="OIW32" s="47"/>
      <c r="OIX32" s="47"/>
      <c r="OIY32" s="47"/>
      <c r="OIZ32" s="47"/>
      <c r="OJA32" s="47"/>
      <c r="OJB32" s="47"/>
      <c r="OJC32" s="47"/>
      <c r="OJD32" s="47"/>
      <c r="OJE32" s="47"/>
      <c r="OJF32" s="47"/>
      <c r="OJG32" s="47"/>
      <c r="OJH32" s="47"/>
      <c r="OJI32" s="47"/>
      <c r="OJJ32" s="47"/>
      <c r="OJK32" s="47"/>
      <c r="OJL32" s="47"/>
      <c r="OJM32" s="47"/>
      <c r="OJN32" s="47"/>
      <c r="OJO32" s="47"/>
      <c r="OJP32" s="47"/>
      <c r="OJQ32" s="47"/>
      <c r="OJR32" s="47"/>
      <c r="OJS32" s="47"/>
      <c r="OJT32" s="47"/>
      <c r="OJU32" s="47"/>
      <c r="OJV32" s="47"/>
      <c r="OJW32" s="47"/>
      <c r="OJX32" s="47"/>
      <c r="OJY32" s="47"/>
      <c r="OJZ32" s="47"/>
      <c r="OKA32" s="47"/>
      <c r="OKB32" s="47"/>
      <c r="OKC32" s="47"/>
      <c r="OKD32" s="47"/>
      <c r="OKE32" s="47"/>
      <c r="OKF32" s="47"/>
      <c r="OKG32" s="47"/>
      <c r="OKH32" s="47"/>
      <c r="OKI32" s="47"/>
      <c r="OKJ32" s="47"/>
      <c r="OKK32" s="47"/>
      <c r="OKL32" s="47"/>
      <c r="OKM32" s="47"/>
      <c r="OKN32" s="47"/>
      <c r="OKO32" s="47"/>
      <c r="OKP32" s="47"/>
      <c r="OKQ32" s="47"/>
      <c r="OKR32" s="47"/>
      <c r="OKS32" s="47"/>
      <c r="OKT32" s="47"/>
      <c r="OKU32" s="47"/>
      <c r="OKV32" s="47"/>
      <c r="OKW32" s="47"/>
      <c r="OKX32" s="47"/>
      <c r="OKY32" s="47"/>
      <c r="OKZ32" s="47"/>
      <c r="OLA32" s="47"/>
      <c r="OLB32" s="47"/>
      <c r="OLC32" s="47"/>
      <c r="OLD32" s="47"/>
      <c r="OLE32" s="47"/>
      <c r="OLF32" s="47"/>
      <c r="OLG32" s="47"/>
      <c r="OLH32" s="47"/>
      <c r="OLI32" s="47"/>
      <c r="OLJ32" s="47"/>
      <c r="OLK32" s="47"/>
      <c r="OLL32" s="47"/>
      <c r="OLM32" s="47"/>
      <c r="OLN32" s="47"/>
      <c r="OLO32" s="47"/>
      <c r="OLP32" s="47"/>
      <c r="OLQ32" s="47"/>
      <c r="OLR32" s="47"/>
      <c r="OLS32" s="47"/>
      <c r="OLT32" s="47"/>
      <c r="OLU32" s="47"/>
      <c r="OLV32" s="47"/>
      <c r="OLW32" s="47"/>
      <c r="OLX32" s="47"/>
      <c r="OLY32" s="47"/>
      <c r="OLZ32" s="47"/>
      <c r="OMA32" s="47"/>
      <c r="OMB32" s="47"/>
      <c r="OMC32" s="47"/>
      <c r="OMD32" s="47"/>
      <c r="OME32" s="47"/>
      <c r="OMF32" s="47"/>
      <c r="OMG32" s="47"/>
      <c r="OMH32" s="47"/>
      <c r="OMI32" s="47"/>
      <c r="OMJ32" s="47"/>
      <c r="OMK32" s="47"/>
      <c r="OML32" s="47"/>
      <c r="OMM32" s="47"/>
      <c r="OMN32" s="47"/>
      <c r="OMO32" s="47"/>
      <c r="OMP32" s="47"/>
      <c r="OMQ32" s="47"/>
      <c r="OMR32" s="47"/>
      <c r="OMS32" s="47"/>
      <c r="OMT32" s="47"/>
      <c r="OMU32" s="47"/>
      <c r="OMV32" s="47"/>
      <c r="OMW32" s="47"/>
      <c r="OMX32" s="47"/>
      <c r="OMY32" s="47"/>
      <c r="OMZ32" s="47"/>
      <c r="ONA32" s="47"/>
      <c r="ONB32" s="47"/>
      <c r="ONC32" s="47"/>
      <c r="OND32" s="47"/>
      <c r="ONE32" s="47"/>
      <c r="ONF32" s="47"/>
      <c r="ONG32" s="47"/>
      <c r="ONH32" s="47"/>
      <c r="ONI32" s="47"/>
      <c r="ONJ32" s="47"/>
      <c r="ONK32" s="47"/>
      <c r="ONL32" s="47"/>
      <c r="ONM32" s="47"/>
      <c r="ONN32" s="47"/>
      <c r="ONO32" s="47"/>
      <c r="ONP32" s="47"/>
      <c r="ONQ32" s="47"/>
      <c r="ONR32" s="47"/>
      <c r="ONS32" s="47"/>
      <c r="ONT32" s="47"/>
      <c r="ONU32" s="47"/>
      <c r="ONV32" s="47"/>
      <c r="ONW32" s="47"/>
      <c r="ONX32" s="47"/>
      <c r="ONY32" s="47"/>
      <c r="ONZ32" s="47"/>
      <c r="OOA32" s="47"/>
      <c r="OOB32" s="47"/>
      <c r="OOC32" s="47"/>
      <c r="OOD32" s="47"/>
      <c r="OOE32" s="47"/>
      <c r="OOF32" s="47"/>
      <c r="OOG32" s="47"/>
      <c r="OOH32" s="47"/>
      <c r="OOI32" s="47"/>
      <c r="OOJ32" s="47"/>
      <c r="OOK32" s="47"/>
      <c r="OOL32" s="47"/>
      <c r="OOM32" s="47"/>
      <c r="OON32" s="47"/>
      <c r="OOO32" s="47"/>
      <c r="OOP32" s="47"/>
      <c r="OOQ32" s="47"/>
      <c r="OOR32" s="47"/>
      <c r="OOS32" s="47"/>
      <c r="OOT32" s="47"/>
      <c r="OOU32" s="47"/>
      <c r="OOV32" s="47"/>
      <c r="OOW32" s="47"/>
      <c r="OOX32" s="47"/>
      <c r="OOY32" s="47"/>
      <c r="OOZ32" s="47"/>
      <c r="OPA32" s="47"/>
      <c r="OPB32" s="47"/>
      <c r="OPC32" s="47"/>
      <c r="OPD32" s="47"/>
      <c r="OPE32" s="47"/>
      <c r="OPF32" s="47"/>
      <c r="OPG32" s="47"/>
      <c r="OPH32" s="47"/>
      <c r="OPI32" s="47"/>
      <c r="OPJ32" s="47"/>
      <c r="OPK32" s="47"/>
      <c r="OPL32" s="47"/>
      <c r="OPM32" s="47"/>
      <c r="OPN32" s="47"/>
      <c r="OPO32" s="47"/>
      <c r="OPP32" s="47"/>
      <c r="OPQ32" s="47"/>
      <c r="OPR32" s="47"/>
      <c r="OPS32" s="47"/>
      <c r="OPT32" s="47"/>
      <c r="OPU32" s="47"/>
      <c r="OPV32" s="47"/>
      <c r="OPW32" s="47"/>
      <c r="OPX32" s="47"/>
      <c r="OPY32" s="47"/>
      <c r="OPZ32" s="47"/>
      <c r="OQA32" s="47"/>
      <c r="OQB32" s="47"/>
      <c r="OQC32" s="47"/>
      <c r="OQD32" s="47"/>
      <c r="OQE32" s="47"/>
      <c r="OQF32" s="47"/>
      <c r="OQG32" s="47"/>
      <c r="OQH32" s="47"/>
      <c r="OQI32" s="47"/>
      <c r="OQJ32" s="47"/>
      <c r="OQK32" s="47"/>
      <c r="OQL32" s="47"/>
      <c r="OQM32" s="47"/>
      <c r="OQN32" s="47"/>
      <c r="OQO32" s="47"/>
      <c r="OQP32" s="47"/>
      <c r="OQQ32" s="47"/>
      <c r="OQR32" s="47"/>
      <c r="OQS32" s="47"/>
      <c r="OQT32" s="47"/>
      <c r="OQU32" s="47"/>
      <c r="OQV32" s="47"/>
      <c r="OQW32" s="47"/>
      <c r="OQX32" s="47"/>
      <c r="OQY32" s="47"/>
      <c r="OQZ32" s="47"/>
      <c r="ORA32" s="47"/>
      <c r="ORB32" s="47"/>
      <c r="ORC32" s="47"/>
      <c r="ORD32" s="47"/>
      <c r="ORE32" s="47"/>
      <c r="ORF32" s="47"/>
      <c r="ORG32" s="47"/>
      <c r="ORH32" s="47"/>
      <c r="ORI32" s="47"/>
      <c r="ORJ32" s="47"/>
      <c r="ORK32" s="47"/>
      <c r="ORL32" s="47"/>
      <c r="ORM32" s="47"/>
      <c r="ORN32" s="47"/>
      <c r="ORO32" s="47"/>
      <c r="ORP32" s="47"/>
      <c r="ORQ32" s="47"/>
      <c r="ORR32" s="47"/>
      <c r="ORS32" s="47"/>
      <c r="ORT32" s="47"/>
      <c r="ORU32" s="47"/>
      <c r="ORV32" s="47"/>
      <c r="ORW32" s="47"/>
      <c r="ORX32" s="47"/>
      <c r="ORY32" s="47"/>
      <c r="ORZ32" s="47"/>
      <c r="OSA32" s="47"/>
      <c r="OSB32" s="47"/>
      <c r="OSC32" s="47"/>
      <c r="OSD32" s="47"/>
      <c r="OSE32" s="47"/>
      <c r="OSF32" s="47"/>
      <c r="OSG32" s="47"/>
      <c r="OSH32" s="47"/>
      <c r="OSI32" s="47"/>
      <c r="OSJ32" s="47"/>
      <c r="OSK32" s="47"/>
      <c r="OSL32" s="47"/>
      <c r="OSM32" s="47"/>
      <c r="OSN32" s="47"/>
      <c r="OSO32" s="47"/>
      <c r="OSP32" s="47"/>
      <c r="OSQ32" s="47"/>
      <c r="OSR32" s="47"/>
      <c r="OSS32" s="47"/>
      <c r="OST32" s="47"/>
      <c r="OSU32" s="47"/>
      <c r="OSV32" s="47"/>
      <c r="OSW32" s="47"/>
      <c r="OSX32" s="47"/>
      <c r="OSY32" s="47"/>
      <c r="OSZ32" s="47"/>
      <c r="OTA32" s="47"/>
      <c r="OTB32" s="47"/>
      <c r="OTC32" s="47"/>
      <c r="OTD32" s="47"/>
      <c r="OTE32" s="47"/>
      <c r="OTF32" s="47"/>
      <c r="OTG32" s="47"/>
      <c r="OTH32" s="47"/>
      <c r="OTI32" s="47"/>
      <c r="OTJ32" s="47"/>
      <c r="OTK32" s="47"/>
      <c r="OTL32" s="47"/>
      <c r="OTM32" s="47"/>
      <c r="OTN32" s="47"/>
      <c r="OTO32" s="47"/>
      <c r="OTP32" s="47"/>
      <c r="OTQ32" s="47"/>
      <c r="OTR32" s="47"/>
      <c r="OTS32" s="47"/>
      <c r="OTT32" s="47"/>
      <c r="OTU32" s="47"/>
      <c r="OTV32" s="47"/>
      <c r="OTW32" s="47"/>
      <c r="OTX32" s="47"/>
      <c r="OTY32" s="47"/>
      <c r="OTZ32" s="47"/>
      <c r="OUA32" s="47"/>
      <c r="OUB32" s="47"/>
      <c r="OUC32" s="47"/>
      <c r="OUD32" s="47"/>
      <c r="OUE32" s="47"/>
      <c r="OUF32" s="47"/>
      <c r="OUG32" s="47"/>
      <c r="OUH32" s="47"/>
      <c r="OUI32" s="47"/>
      <c r="OUJ32" s="47"/>
      <c r="OUK32" s="47"/>
      <c r="OUL32" s="47"/>
      <c r="OUM32" s="47"/>
      <c r="OUN32" s="47"/>
      <c r="OUO32" s="47"/>
      <c r="OUP32" s="47"/>
      <c r="OUQ32" s="47"/>
      <c r="OUR32" s="47"/>
      <c r="OUS32" s="47"/>
      <c r="OUT32" s="47"/>
      <c r="OUU32" s="47"/>
      <c r="OUV32" s="47"/>
      <c r="OUW32" s="47"/>
      <c r="OUX32" s="47"/>
      <c r="OUY32" s="47"/>
      <c r="OUZ32" s="47"/>
      <c r="OVA32" s="47"/>
      <c r="OVB32" s="47"/>
      <c r="OVC32" s="47"/>
      <c r="OVD32" s="47"/>
      <c r="OVE32" s="47"/>
      <c r="OVF32" s="47"/>
      <c r="OVG32" s="47"/>
      <c r="OVH32" s="47"/>
      <c r="OVI32" s="47"/>
      <c r="OVJ32" s="47"/>
      <c r="OVK32" s="47"/>
      <c r="OVL32" s="47"/>
      <c r="OVM32" s="47"/>
      <c r="OVN32" s="47"/>
      <c r="OVO32" s="47"/>
      <c r="OVP32" s="47"/>
      <c r="OVQ32" s="47"/>
      <c r="OVR32" s="47"/>
      <c r="OVS32" s="47"/>
      <c r="OVT32" s="47"/>
      <c r="OVU32" s="47"/>
      <c r="OVV32" s="47"/>
      <c r="OVW32" s="47"/>
      <c r="OVX32" s="47"/>
      <c r="OVY32" s="47"/>
      <c r="OVZ32" s="47"/>
      <c r="OWA32" s="47"/>
      <c r="OWB32" s="47"/>
      <c r="OWC32" s="47"/>
      <c r="OWD32" s="47"/>
      <c r="OWE32" s="47"/>
      <c r="OWF32" s="47"/>
      <c r="OWG32" s="47"/>
      <c r="OWH32" s="47"/>
      <c r="OWI32" s="47"/>
      <c r="OWJ32" s="47"/>
      <c r="OWK32" s="47"/>
      <c r="OWL32" s="47"/>
      <c r="OWM32" s="47"/>
      <c r="OWN32" s="47"/>
      <c r="OWO32" s="47"/>
      <c r="OWP32" s="47"/>
      <c r="OWQ32" s="47"/>
      <c r="OWR32" s="47"/>
      <c r="OWS32" s="47"/>
      <c r="OWT32" s="47"/>
      <c r="OWU32" s="47"/>
      <c r="OWV32" s="47"/>
      <c r="OWW32" s="47"/>
      <c r="OWX32" s="47"/>
      <c r="OWY32" s="47"/>
      <c r="OWZ32" s="47"/>
      <c r="OXA32" s="47"/>
      <c r="OXB32" s="47"/>
      <c r="OXC32" s="47"/>
      <c r="OXD32" s="47"/>
      <c r="OXE32" s="47"/>
      <c r="OXF32" s="47"/>
      <c r="OXG32" s="47"/>
      <c r="OXH32" s="47"/>
      <c r="OXI32" s="47"/>
      <c r="OXJ32" s="47"/>
      <c r="OXK32" s="47"/>
      <c r="OXL32" s="47"/>
      <c r="OXM32" s="47"/>
      <c r="OXN32" s="47"/>
      <c r="OXO32" s="47"/>
      <c r="OXP32" s="47"/>
      <c r="OXQ32" s="47"/>
      <c r="OXR32" s="47"/>
      <c r="OXS32" s="47"/>
      <c r="OXT32" s="47"/>
      <c r="OXU32" s="47"/>
      <c r="OXV32" s="47"/>
      <c r="OXW32" s="47"/>
      <c r="OXX32" s="47"/>
      <c r="OXY32" s="47"/>
      <c r="OXZ32" s="47"/>
      <c r="OYA32" s="47"/>
      <c r="OYB32" s="47"/>
      <c r="OYC32" s="47"/>
      <c r="OYD32" s="47"/>
      <c r="OYE32" s="47"/>
      <c r="OYF32" s="47"/>
      <c r="OYG32" s="47"/>
      <c r="OYH32" s="47"/>
      <c r="OYI32" s="47"/>
      <c r="OYJ32" s="47"/>
      <c r="OYK32" s="47"/>
      <c r="OYL32" s="47"/>
      <c r="OYM32" s="47"/>
      <c r="OYN32" s="47"/>
      <c r="OYO32" s="47"/>
      <c r="OYP32" s="47"/>
      <c r="OYQ32" s="47"/>
      <c r="OYR32" s="47"/>
      <c r="OYS32" s="47"/>
      <c r="OYT32" s="47"/>
      <c r="OYU32" s="47"/>
      <c r="OYV32" s="47"/>
      <c r="OYW32" s="47"/>
      <c r="OYX32" s="47"/>
      <c r="OYY32" s="47"/>
      <c r="OYZ32" s="47"/>
      <c r="OZA32" s="47"/>
      <c r="OZB32" s="47"/>
      <c r="OZC32" s="47"/>
      <c r="OZD32" s="47"/>
      <c r="OZE32" s="47"/>
      <c r="OZF32" s="47"/>
      <c r="OZG32" s="47"/>
      <c r="OZH32" s="47"/>
      <c r="OZI32" s="47"/>
      <c r="OZJ32" s="47"/>
      <c r="OZK32" s="47"/>
      <c r="OZL32" s="47"/>
      <c r="OZM32" s="47"/>
      <c r="OZN32" s="47"/>
      <c r="OZO32" s="47"/>
      <c r="OZP32" s="47"/>
      <c r="OZQ32" s="47"/>
      <c r="OZR32" s="47"/>
      <c r="OZS32" s="47"/>
      <c r="OZT32" s="47"/>
      <c r="OZU32" s="47"/>
      <c r="OZV32" s="47"/>
      <c r="OZW32" s="47"/>
      <c r="OZX32" s="47"/>
      <c r="OZY32" s="47"/>
      <c r="OZZ32" s="47"/>
      <c r="PAA32" s="47"/>
      <c r="PAB32" s="47"/>
      <c r="PAC32" s="47"/>
      <c r="PAD32" s="47"/>
      <c r="PAE32" s="47"/>
      <c r="PAF32" s="47"/>
      <c r="PAG32" s="47"/>
      <c r="PAH32" s="47"/>
      <c r="PAI32" s="47"/>
      <c r="PAJ32" s="47"/>
      <c r="PAK32" s="47"/>
      <c r="PAL32" s="47"/>
      <c r="PAM32" s="47"/>
      <c r="PAN32" s="47"/>
      <c r="PAO32" s="47"/>
      <c r="PAP32" s="47"/>
      <c r="PAQ32" s="47"/>
      <c r="PAR32" s="47"/>
      <c r="PAS32" s="47"/>
      <c r="PAT32" s="47"/>
      <c r="PAU32" s="47"/>
      <c r="PAV32" s="47"/>
      <c r="PAW32" s="47"/>
      <c r="PAX32" s="47"/>
      <c r="PAY32" s="47"/>
      <c r="PAZ32" s="47"/>
      <c r="PBA32" s="47"/>
      <c r="PBB32" s="47"/>
      <c r="PBC32" s="47"/>
      <c r="PBD32" s="47"/>
      <c r="PBE32" s="47"/>
      <c r="PBF32" s="47"/>
      <c r="PBG32" s="47"/>
      <c r="PBH32" s="47"/>
      <c r="PBI32" s="47"/>
      <c r="PBJ32" s="47"/>
      <c r="PBK32" s="47"/>
      <c r="PBL32" s="47"/>
      <c r="PBM32" s="47"/>
      <c r="PBN32" s="47"/>
      <c r="PBO32" s="47"/>
      <c r="PBP32" s="47"/>
      <c r="PBQ32" s="47"/>
      <c r="PBR32" s="47"/>
      <c r="PBS32" s="47"/>
      <c r="PBT32" s="47"/>
      <c r="PBU32" s="47"/>
      <c r="PBV32" s="47"/>
      <c r="PBW32" s="47"/>
      <c r="PBX32" s="47"/>
      <c r="PBY32" s="47"/>
      <c r="PBZ32" s="47"/>
      <c r="PCA32" s="47"/>
      <c r="PCB32" s="47"/>
      <c r="PCC32" s="47"/>
      <c r="PCD32" s="47"/>
      <c r="PCE32" s="47"/>
      <c r="PCF32" s="47"/>
      <c r="PCG32" s="47"/>
      <c r="PCH32" s="47"/>
      <c r="PCI32" s="47"/>
      <c r="PCJ32" s="47"/>
      <c r="PCK32" s="47"/>
      <c r="PCL32" s="47"/>
      <c r="PCM32" s="47"/>
      <c r="PCN32" s="47"/>
      <c r="PCO32" s="47"/>
      <c r="PCP32" s="47"/>
      <c r="PCQ32" s="47"/>
      <c r="PCR32" s="47"/>
      <c r="PCS32" s="47"/>
      <c r="PCT32" s="47"/>
      <c r="PCU32" s="47"/>
      <c r="PCV32" s="47"/>
      <c r="PCW32" s="47"/>
      <c r="PCX32" s="47"/>
      <c r="PCY32" s="47"/>
      <c r="PCZ32" s="47"/>
      <c r="PDA32" s="47"/>
      <c r="PDB32" s="47"/>
      <c r="PDC32" s="47"/>
      <c r="PDD32" s="47"/>
      <c r="PDE32" s="47"/>
      <c r="PDF32" s="47"/>
      <c r="PDG32" s="47"/>
      <c r="PDH32" s="47"/>
      <c r="PDI32" s="47"/>
      <c r="PDJ32" s="47"/>
      <c r="PDK32" s="47"/>
      <c r="PDL32" s="47"/>
      <c r="PDM32" s="47"/>
      <c r="PDN32" s="47"/>
      <c r="PDO32" s="47"/>
      <c r="PDP32" s="47"/>
      <c r="PDQ32" s="47"/>
      <c r="PDR32" s="47"/>
      <c r="PDS32" s="47"/>
      <c r="PDT32" s="47"/>
      <c r="PDU32" s="47"/>
      <c r="PDV32" s="47"/>
      <c r="PDW32" s="47"/>
      <c r="PDX32" s="47"/>
      <c r="PDY32" s="47"/>
      <c r="PDZ32" s="47"/>
      <c r="PEA32" s="47"/>
      <c r="PEB32" s="47"/>
      <c r="PEC32" s="47"/>
      <c r="PED32" s="47"/>
      <c r="PEE32" s="47"/>
      <c r="PEF32" s="47"/>
      <c r="PEG32" s="47"/>
      <c r="PEH32" s="47"/>
      <c r="PEI32" s="47"/>
      <c r="PEJ32" s="47"/>
      <c r="PEK32" s="47"/>
      <c r="PEL32" s="47"/>
      <c r="PEM32" s="47"/>
      <c r="PEN32" s="47"/>
      <c r="PEO32" s="47"/>
      <c r="PEP32" s="47"/>
      <c r="PEQ32" s="47"/>
      <c r="PER32" s="47"/>
      <c r="PES32" s="47"/>
      <c r="PET32" s="47"/>
      <c r="PEU32" s="47"/>
      <c r="PEV32" s="47"/>
      <c r="PEW32" s="47"/>
      <c r="PEX32" s="47"/>
      <c r="PEY32" s="47"/>
      <c r="PEZ32" s="47"/>
      <c r="PFA32" s="47"/>
      <c r="PFB32" s="47"/>
      <c r="PFC32" s="47"/>
      <c r="PFD32" s="47"/>
      <c r="PFE32" s="47"/>
      <c r="PFF32" s="47"/>
      <c r="PFG32" s="47"/>
      <c r="PFH32" s="47"/>
      <c r="PFI32" s="47"/>
      <c r="PFJ32" s="47"/>
      <c r="PFK32" s="47"/>
      <c r="PFL32" s="47"/>
      <c r="PFM32" s="47"/>
      <c r="PFN32" s="47"/>
      <c r="PFO32" s="47"/>
      <c r="PFP32" s="47"/>
      <c r="PFQ32" s="47"/>
      <c r="PFR32" s="47"/>
      <c r="PFS32" s="47"/>
      <c r="PFT32" s="47"/>
      <c r="PFU32" s="47"/>
      <c r="PFV32" s="47"/>
      <c r="PFW32" s="47"/>
      <c r="PFX32" s="47"/>
      <c r="PFY32" s="47"/>
      <c r="PFZ32" s="47"/>
      <c r="PGA32" s="47"/>
      <c r="PGB32" s="47"/>
      <c r="PGC32" s="47"/>
      <c r="PGD32" s="47"/>
      <c r="PGE32" s="47"/>
      <c r="PGF32" s="47"/>
      <c r="PGG32" s="47"/>
      <c r="PGH32" s="47"/>
      <c r="PGI32" s="47"/>
      <c r="PGJ32" s="47"/>
      <c r="PGK32" s="47"/>
      <c r="PGL32" s="47"/>
      <c r="PGM32" s="47"/>
      <c r="PGN32" s="47"/>
      <c r="PGO32" s="47"/>
      <c r="PGP32" s="47"/>
      <c r="PGQ32" s="47"/>
      <c r="PGR32" s="47"/>
      <c r="PGS32" s="47"/>
      <c r="PGT32" s="47"/>
      <c r="PGU32" s="47"/>
      <c r="PGV32" s="47"/>
      <c r="PGW32" s="47"/>
      <c r="PGX32" s="47"/>
      <c r="PGY32" s="47"/>
      <c r="PGZ32" s="47"/>
      <c r="PHA32" s="47"/>
      <c r="PHB32" s="47"/>
      <c r="PHC32" s="47"/>
      <c r="PHD32" s="47"/>
      <c r="PHE32" s="47"/>
      <c r="PHF32" s="47"/>
      <c r="PHG32" s="47"/>
      <c r="PHH32" s="47"/>
      <c r="PHI32" s="47"/>
      <c r="PHJ32" s="47"/>
      <c r="PHK32" s="47"/>
      <c r="PHL32" s="47"/>
      <c r="PHM32" s="47"/>
      <c r="PHN32" s="47"/>
      <c r="PHO32" s="47"/>
      <c r="PHP32" s="47"/>
      <c r="PHQ32" s="47"/>
      <c r="PHR32" s="47"/>
      <c r="PHS32" s="47"/>
      <c r="PHT32" s="47"/>
      <c r="PHU32" s="47"/>
      <c r="PHV32" s="47"/>
      <c r="PHW32" s="47"/>
      <c r="PHX32" s="47"/>
      <c r="PHY32" s="47"/>
      <c r="PHZ32" s="47"/>
      <c r="PIA32" s="47"/>
      <c r="PIB32" s="47"/>
      <c r="PIC32" s="47"/>
      <c r="PID32" s="47"/>
      <c r="PIE32" s="47"/>
      <c r="PIF32" s="47"/>
      <c r="PIG32" s="47"/>
      <c r="PIH32" s="47"/>
      <c r="PII32" s="47"/>
      <c r="PIJ32" s="47"/>
      <c r="PIK32" s="47"/>
      <c r="PIL32" s="47"/>
      <c r="PIM32" s="47"/>
      <c r="PIN32" s="47"/>
      <c r="PIO32" s="47"/>
      <c r="PIP32" s="47"/>
      <c r="PIQ32" s="47"/>
      <c r="PIR32" s="47"/>
      <c r="PIS32" s="47"/>
      <c r="PIT32" s="47"/>
      <c r="PIU32" s="47"/>
      <c r="PIV32" s="47"/>
      <c r="PIW32" s="47"/>
      <c r="PIX32" s="47"/>
      <c r="PIY32" s="47"/>
      <c r="PIZ32" s="47"/>
      <c r="PJA32" s="47"/>
      <c r="PJB32" s="47"/>
      <c r="PJC32" s="47"/>
      <c r="PJD32" s="47"/>
      <c r="PJE32" s="47"/>
      <c r="PJF32" s="47"/>
      <c r="PJG32" s="47"/>
      <c r="PJH32" s="47"/>
      <c r="PJI32" s="47"/>
      <c r="PJJ32" s="47"/>
      <c r="PJK32" s="47"/>
      <c r="PJL32" s="47"/>
      <c r="PJM32" s="47"/>
      <c r="PJN32" s="47"/>
      <c r="PJO32" s="47"/>
      <c r="PJP32" s="47"/>
      <c r="PJQ32" s="47"/>
      <c r="PJR32" s="47"/>
      <c r="PJS32" s="47"/>
      <c r="PJT32" s="47"/>
      <c r="PJU32" s="47"/>
      <c r="PJV32" s="47"/>
      <c r="PJW32" s="47"/>
      <c r="PJX32" s="47"/>
      <c r="PJY32" s="47"/>
      <c r="PJZ32" s="47"/>
      <c r="PKA32" s="47"/>
      <c r="PKB32" s="47"/>
      <c r="PKC32" s="47"/>
      <c r="PKD32" s="47"/>
      <c r="PKE32" s="47"/>
      <c r="PKF32" s="47"/>
      <c r="PKG32" s="47"/>
      <c r="PKH32" s="47"/>
      <c r="PKI32" s="47"/>
      <c r="PKJ32" s="47"/>
      <c r="PKK32" s="47"/>
      <c r="PKL32" s="47"/>
      <c r="PKM32" s="47"/>
      <c r="PKN32" s="47"/>
      <c r="PKO32" s="47"/>
      <c r="PKP32" s="47"/>
      <c r="PKQ32" s="47"/>
      <c r="PKR32" s="47"/>
      <c r="PKS32" s="47"/>
      <c r="PKT32" s="47"/>
      <c r="PKU32" s="47"/>
      <c r="PKV32" s="47"/>
      <c r="PKW32" s="47"/>
      <c r="PKX32" s="47"/>
      <c r="PKY32" s="47"/>
      <c r="PKZ32" s="47"/>
      <c r="PLA32" s="47"/>
      <c r="PLB32" s="47"/>
      <c r="PLC32" s="47"/>
      <c r="PLD32" s="47"/>
      <c r="PLE32" s="47"/>
      <c r="PLF32" s="47"/>
      <c r="PLG32" s="47"/>
      <c r="PLH32" s="47"/>
      <c r="PLI32" s="47"/>
      <c r="PLJ32" s="47"/>
      <c r="PLK32" s="47"/>
      <c r="PLL32" s="47"/>
      <c r="PLM32" s="47"/>
      <c r="PLN32" s="47"/>
      <c r="PLO32" s="47"/>
      <c r="PLP32" s="47"/>
      <c r="PLQ32" s="47"/>
      <c r="PLR32" s="47"/>
      <c r="PLS32" s="47"/>
      <c r="PLT32" s="47"/>
      <c r="PLU32" s="47"/>
      <c r="PLV32" s="47"/>
      <c r="PLW32" s="47"/>
      <c r="PLX32" s="47"/>
      <c r="PLY32" s="47"/>
      <c r="PLZ32" s="47"/>
      <c r="PMA32" s="47"/>
      <c r="PMB32" s="47"/>
      <c r="PMC32" s="47"/>
      <c r="PMD32" s="47"/>
      <c r="PME32" s="47"/>
      <c r="PMF32" s="47"/>
      <c r="PMG32" s="47"/>
      <c r="PMH32" s="47"/>
      <c r="PMI32" s="47"/>
      <c r="PMJ32" s="47"/>
      <c r="PMK32" s="47"/>
      <c r="PML32" s="47"/>
      <c r="PMM32" s="47"/>
      <c r="PMN32" s="47"/>
      <c r="PMO32" s="47"/>
      <c r="PMP32" s="47"/>
      <c r="PMQ32" s="47"/>
      <c r="PMR32" s="47"/>
      <c r="PMS32" s="47"/>
      <c r="PMT32" s="47"/>
      <c r="PMU32" s="47"/>
      <c r="PMV32" s="47"/>
      <c r="PMW32" s="47"/>
      <c r="PMX32" s="47"/>
      <c r="PMY32" s="47"/>
      <c r="PMZ32" s="47"/>
      <c r="PNA32" s="47"/>
      <c r="PNB32" s="47"/>
      <c r="PNC32" s="47"/>
      <c r="PND32" s="47"/>
      <c r="PNE32" s="47"/>
      <c r="PNF32" s="47"/>
      <c r="PNG32" s="47"/>
      <c r="PNH32" s="47"/>
      <c r="PNI32" s="47"/>
      <c r="PNJ32" s="47"/>
      <c r="PNK32" s="47"/>
      <c r="PNL32" s="47"/>
      <c r="PNM32" s="47"/>
      <c r="PNN32" s="47"/>
      <c r="PNO32" s="47"/>
      <c r="PNP32" s="47"/>
      <c r="PNQ32" s="47"/>
      <c r="PNR32" s="47"/>
      <c r="PNS32" s="47"/>
      <c r="PNT32" s="47"/>
      <c r="PNU32" s="47"/>
      <c r="PNV32" s="47"/>
      <c r="PNW32" s="47"/>
      <c r="PNX32" s="47"/>
      <c r="PNY32" s="47"/>
      <c r="PNZ32" s="47"/>
      <c r="POA32" s="47"/>
      <c r="POB32" s="47"/>
      <c r="POC32" s="47"/>
      <c r="POD32" s="47"/>
      <c r="POE32" s="47"/>
      <c r="POF32" s="47"/>
      <c r="POG32" s="47"/>
      <c r="POH32" s="47"/>
      <c r="POI32" s="47"/>
      <c r="POJ32" s="47"/>
      <c r="POK32" s="47"/>
      <c r="POL32" s="47"/>
      <c r="POM32" s="47"/>
      <c r="PON32" s="47"/>
      <c r="POO32" s="47"/>
      <c r="POP32" s="47"/>
      <c r="POQ32" s="47"/>
      <c r="POR32" s="47"/>
      <c r="POS32" s="47"/>
      <c r="POT32" s="47"/>
      <c r="POU32" s="47"/>
      <c r="POV32" s="47"/>
      <c r="POW32" s="47"/>
      <c r="POX32" s="47"/>
      <c r="POY32" s="47"/>
      <c r="POZ32" s="47"/>
      <c r="PPA32" s="47"/>
      <c r="PPB32" s="47"/>
      <c r="PPC32" s="47"/>
      <c r="PPD32" s="47"/>
      <c r="PPE32" s="47"/>
      <c r="PPF32" s="47"/>
      <c r="PPG32" s="47"/>
      <c r="PPH32" s="47"/>
      <c r="PPI32" s="47"/>
      <c r="PPJ32" s="47"/>
      <c r="PPK32" s="47"/>
      <c r="PPL32" s="47"/>
      <c r="PPM32" s="47"/>
      <c r="PPN32" s="47"/>
      <c r="PPO32" s="47"/>
      <c r="PPP32" s="47"/>
      <c r="PPQ32" s="47"/>
      <c r="PPR32" s="47"/>
      <c r="PPS32" s="47"/>
      <c r="PPT32" s="47"/>
      <c r="PPU32" s="47"/>
      <c r="PPV32" s="47"/>
      <c r="PPW32" s="47"/>
      <c r="PPX32" s="47"/>
      <c r="PPY32" s="47"/>
      <c r="PPZ32" s="47"/>
      <c r="PQA32" s="47"/>
      <c r="PQB32" s="47"/>
      <c r="PQC32" s="47"/>
      <c r="PQD32" s="47"/>
      <c r="PQE32" s="47"/>
      <c r="PQF32" s="47"/>
      <c r="PQG32" s="47"/>
      <c r="PQH32" s="47"/>
      <c r="PQI32" s="47"/>
      <c r="PQJ32" s="47"/>
      <c r="PQK32" s="47"/>
      <c r="PQL32" s="47"/>
      <c r="PQM32" s="47"/>
      <c r="PQN32" s="47"/>
      <c r="PQO32" s="47"/>
      <c r="PQP32" s="47"/>
      <c r="PQQ32" s="47"/>
      <c r="PQR32" s="47"/>
      <c r="PQS32" s="47"/>
      <c r="PQT32" s="47"/>
      <c r="PQU32" s="47"/>
      <c r="PQV32" s="47"/>
      <c r="PQW32" s="47"/>
      <c r="PQX32" s="47"/>
      <c r="PQY32" s="47"/>
      <c r="PQZ32" s="47"/>
      <c r="PRA32" s="47"/>
      <c r="PRB32" s="47"/>
      <c r="PRC32" s="47"/>
      <c r="PRD32" s="47"/>
      <c r="PRE32" s="47"/>
      <c r="PRF32" s="47"/>
      <c r="PRG32" s="47"/>
      <c r="PRH32" s="47"/>
      <c r="PRI32" s="47"/>
      <c r="PRJ32" s="47"/>
      <c r="PRK32" s="47"/>
      <c r="PRL32" s="47"/>
      <c r="PRM32" s="47"/>
      <c r="PRN32" s="47"/>
      <c r="PRO32" s="47"/>
      <c r="PRP32" s="47"/>
      <c r="PRQ32" s="47"/>
      <c r="PRR32" s="47"/>
      <c r="PRS32" s="47"/>
      <c r="PRT32" s="47"/>
      <c r="PRU32" s="47"/>
      <c r="PRV32" s="47"/>
      <c r="PRW32" s="47"/>
      <c r="PRX32" s="47"/>
      <c r="PRY32" s="47"/>
      <c r="PRZ32" s="47"/>
      <c r="PSA32" s="47"/>
      <c r="PSB32" s="47"/>
      <c r="PSC32" s="47"/>
      <c r="PSD32" s="47"/>
      <c r="PSE32" s="47"/>
      <c r="PSF32" s="47"/>
      <c r="PSG32" s="47"/>
      <c r="PSH32" s="47"/>
      <c r="PSI32" s="47"/>
      <c r="PSJ32" s="47"/>
      <c r="PSK32" s="47"/>
      <c r="PSL32" s="47"/>
      <c r="PSM32" s="47"/>
      <c r="PSN32" s="47"/>
      <c r="PSO32" s="47"/>
      <c r="PSP32" s="47"/>
      <c r="PSQ32" s="47"/>
      <c r="PSR32" s="47"/>
      <c r="PSS32" s="47"/>
      <c r="PST32" s="47"/>
      <c r="PSU32" s="47"/>
      <c r="PSV32" s="47"/>
      <c r="PSW32" s="47"/>
      <c r="PSX32" s="47"/>
      <c r="PSY32" s="47"/>
      <c r="PSZ32" s="47"/>
      <c r="PTA32" s="47"/>
      <c r="PTB32" s="47"/>
      <c r="PTC32" s="47"/>
      <c r="PTD32" s="47"/>
      <c r="PTE32" s="47"/>
      <c r="PTF32" s="47"/>
      <c r="PTG32" s="47"/>
      <c r="PTH32" s="47"/>
      <c r="PTI32" s="47"/>
      <c r="PTJ32" s="47"/>
      <c r="PTK32" s="47"/>
      <c r="PTL32" s="47"/>
      <c r="PTM32" s="47"/>
      <c r="PTN32" s="47"/>
      <c r="PTO32" s="47"/>
      <c r="PTP32" s="47"/>
      <c r="PTQ32" s="47"/>
      <c r="PTR32" s="47"/>
      <c r="PTS32" s="47"/>
      <c r="PTT32" s="47"/>
      <c r="PTU32" s="47"/>
      <c r="PTV32" s="47"/>
      <c r="PTW32" s="47"/>
      <c r="PTX32" s="47"/>
      <c r="PTY32" s="47"/>
      <c r="PTZ32" s="47"/>
      <c r="PUA32" s="47"/>
      <c r="PUB32" s="47"/>
      <c r="PUC32" s="47"/>
      <c r="PUD32" s="47"/>
      <c r="PUE32" s="47"/>
      <c r="PUF32" s="47"/>
      <c r="PUG32" s="47"/>
      <c r="PUH32" s="47"/>
      <c r="PUI32" s="47"/>
      <c r="PUJ32" s="47"/>
      <c r="PUK32" s="47"/>
      <c r="PUL32" s="47"/>
      <c r="PUM32" s="47"/>
      <c r="PUN32" s="47"/>
      <c r="PUO32" s="47"/>
      <c r="PUP32" s="47"/>
      <c r="PUQ32" s="47"/>
      <c r="PUR32" s="47"/>
      <c r="PUS32" s="47"/>
      <c r="PUT32" s="47"/>
      <c r="PUU32" s="47"/>
      <c r="PUV32" s="47"/>
      <c r="PUW32" s="47"/>
      <c r="PUX32" s="47"/>
      <c r="PUY32" s="47"/>
      <c r="PUZ32" s="47"/>
      <c r="PVA32" s="47"/>
      <c r="PVB32" s="47"/>
      <c r="PVC32" s="47"/>
      <c r="PVD32" s="47"/>
      <c r="PVE32" s="47"/>
      <c r="PVF32" s="47"/>
      <c r="PVG32" s="47"/>
      <c r="PVH32" s="47"/>
      <c r="PVI32" s="47"/>
      <c r="PVJ32" s="47"/>
      <c r="PVK32" s="47"/>
      <c r="PVL32" s="47"/>
      <c r="PVM32" s="47"/>
      <c r="PVN32" s="47"/>
      <c r="PVO32" s="47"/>
      <c r="PVP32" s="47"/>
      <c r="PVQ32" s="47"/>
      <c r="PVR32" s="47"/>
      <c r="PVS32" s="47"/>
      <c r="PVT32" s="47"/>
      <c r="PVU32" s="47"/>
      <c r="PVV32" s="47"/>
      <c r="PVW32" s="47"/>
      <c r="PVX32" s="47"/>
      <c r="PVY32" s="47"/>
      <c r="PVZ32" s="47"/>
      <c r="PWA32" s="47"/>
      <c r="PWB32" s="47"/>
      <c r="PWC32" s="47"/>
      <c r="PWD32" s="47"/>
      <c r="PWE32" s="47"/>
      <c r="PWF32" s="47"/>
      <c r="PWG32" s="47"/>
      <c r="PWH32" s="47"/>
      <c r="PWI32" s="47"/>
      <c r="PWJ32" s="47"/>
      <c r="PWK32" s="47"/>
      <c r="PWL32" s="47"/>
      <c r="PWM32" s="47"/>
      <c r="PWN32" s="47"/>
      <c r="PWO32" s="47"/>
      <c r="PWP32" s="47"/>
      <c r="PWQ32" s="47"/>
      <c r="PWR32" s="47"/>
      <c r="PWS32" s="47"/>
      <c r="PWT32" s="47"/>
      <c r="PWU32" s="47"/>
      <c r="PWV32" s="47"/>
      <c r="PWW32" s="47"/>
      <c r="PWX32" s="47"/>
      <c r="PWY32" s="47"/>
      <c r="PWZ32" s="47"/>
      <c r="PXA32" s="47"/>
      <c r="PXB32" s="47"/>
      <c r="PXC32" s="47"/>
      <c r="PXD32" s="47"/>
      <c r="PXE32" s="47"/>
      <c r="PXF32" s="47"/>
      <c r="PXG32" s="47"/>
      <c r="PXH32" s="47"/>
      <c r="PXI32" s="47"/>
      <c r="PXJ32" s="47"/>
      <c r="PXK32" s="47"/>
      <c r="PXL32" s="47"/>
      <c r="PXM32" s="47"/>
      <c r="PXN32" s="47"/>
      <c r="PXO32" s="47"/>
      <c r="PXP32" s="47"/>
      <c r="PXQ32" s="47"/>
      <c r="PXR32" s="47"/>
      <c r="PXS32" s="47"/>
      <c r="PXT32" s="47"/>
      <c r="PXU32" s="47"/>
      <c r="PXV32" s="47"/>
      <c r="PXW32" s="47"/>
      <c r="PXX32" s="47"/>
      <c r="PXY32" s="47"/>
      <c r="PXZ32" s="47"/>
      <c r="PYA32" s="47"/>
      <c r="PYB32" s="47"/>
      <c r="PYC32" s="47"/>
      <c r="PYD32" s="47"/>
      <c r="PYE32" s="47"/>
      <c r="PYF32" s="47"/>
      <c r="PYG32" s="47"/>
      <c r="PYH32" s="47"/>
      <c r="PYI32" s="47"/>
      <c r="PYJ32" s="47"/>
      <c r="PYK32" s="47"/>
      <c r="PYL32" s="47"/>
      <c r="PYM32" s="47"/>
      <c r="PYN32" s="47"/>
      <c r="PYO32" s="47"/>
      <c r="PYP32" s="47"/>
      <c r="PYQ32" s="47"/>
      <c r="PYR32" s="47"/>
      <c r="PYS32" s="47"/>
      <c r="PYT32" s="47"/>
      <c r="PYU32" s="47"/>
      <c r="PYV32" s="47"/>
      <c r="PYW32" s="47"/>
      <c r="PYX32" s="47"/>
      <c r="PYY32" s="47"/>
      <c r="PYZ32" s="47"/>
      <c r="PZA32" s="47"/>
      <c r="PZB32" s="47"/>
      <c r="PZC32" s="47"/>
      <c r="PZD32" s="47"/>
      <c r="PZE32" s="47"/>
      <c r="PZF32" s="47"/>
      <c r="PZG32" s="47"/>
      <c r="PZH32" s="47"/>
      <c r="PZI32" s="47"/>
      <c r="PZJ32" s="47"/>
      <c r="PZK32" s="47"/>
      <c r="PZL32" s="47"/>
      <c r="PZM32" s="47"/>
      <c r="PZN32" s="47"/>
      <c r="PZO32" s="47"/>
      <c r="PZP32" s="47"/>
      <c r="PZQ32" s="47"/>
      <c r="PZR32" s="47"/>
      <c r="PZS32" s="47"/>
      <c r="PZT32" s="47"/>
      <c r="PZU32" s="47"/>
      <c r="PZV32" s="47"/>
      <c r="PZW32" s="47"/>
      <c r="PZX32" s="47"/>
      <c r="PZY32" s="47"/>
      <c r="PZZ32" s="47"/>
      <c r="QAA32" s="47"/>
      <c r="QAB32" s="47"/>
      <c r="QAC32" s="47"/>
      <c r="QAD32" s="47"/>
      <c r="QAE32" s="47"/>
      <c r="QAF32" s="47"/>
      <c r="QAG32" s="47"/>
      <c r="QAH32" s="47"/>
      <c r="QAI32" s="47"/>
      <c r="QAJ32" s="47"/>
      <c r="QAK32" s="47"/>
      <c r="QAL32" s="47"/>
      <c r="QAM32" s="47"/>
      <c r="QAN32" s="47"/>
      <c r="QAO32" s="47"/>
      <c r="QAP32" s="47"/>
      <c r="QAQ32" s="47"/>
      <c r="QAR32" s="47"/>
      <c r="QAS32" s="47"/>
      <c r="QAT32" s="47"/>
      <c r="QAU32" s="47"/>
      <c r="QAV32" s="47"/>
      <c r="QAW32" s="47"/>
      <c r="QAX32" s="47"/>
      <c r="QAY32" s="47"/>
      <c r="QAZ32" s="47"/>
      <c r="QBA32" s="47"/>
      <c r="QBB32" s="47"/>
      <c r="QBC32" s="47"/>
      <c r="QBD32" s="47"/>
      <c r="QBE32" s="47"/>
      <c r="QBF32" s="47"/>
      <c r="QBG32" s="47"/>
      <c r="QBH32" s="47"/>
      <c r="QBI32" s="47"/>
      <c r="QBJ32" s="47"/>
      <c r="QBK32" s="47"/>
      <c r="QBL32" s="47"/>
      <c r="QBM32" s="47"/>
      <c r="QBN32" s="47"/>
      <c r="QBO32" s="47"/>
      <c r="QBP32" s="47"/>
      <c r="QBQ32" s="47"/>
      <c r="QBR32" s="47"/>
      <c r="QBS32" s="47"/>
      <c r="QBT32" s="47"/>
      <c r="QBU32" s="47"/>
      <c r="QBV32" s="47"/>
      <c r="QBW32" s="47"/>
      <c r="QBX32" s="47"/>
      <c r="QBY32" s="47"/>
      <c r="QBZ32" s="47"/>
      <c r="QCA32" s="47"/>
      <c r="QCB32" s="47"/>
      <c r="QCC32" s="47"/>
      <c r="QCD32" s="47"/>
      <c r="QCE32" s="47"/>
      <c r="QCF32" s="47"/>
      <c r="QCG32" s="47"/>
      <c r="QCH32" s="47"/>
      <c r="QCI32" s="47"/>
      <c r="QCJ32" s="47"/>
      <c r="QCK32" s="47"/>
      <c r="QCL32" s="47"/>
      <c r="QCM32" s="47"/>
      <c r="QCN32" s="47"/>
      <c r="QCO32" s="47"/>
      <c r="QCP32" s="47"/>
      <c r="QCQ32" s="47"/>
      <c r="QCR32" s="47"/>
      <c r="QCS32" s="47"/>
      <c r="QCT32" s="47"/>
      <c r="QCU32" s="47"/>
      <c r="QCV32" s="47"/>
      <c r="QCW32" s="47"/>
      <c r="QCX32" s="47"/>
      <c r="QCY32" s="47"/>
      <c r="QCZ32" s="47"/>
      <c r="QDA32" s="47"/>
      <c r="QDB32" s="47"/>
      <c r="QDC32" s="47"/>
      <c r="QDD32" s="47"/>
      <c r="QDE32" s="47"/>
      <c r="QDF32" s="47"/>
      <c r="QDG32" s="47"/>
      <c r="QDH32" s="47"/>
      <c r="QDI32" s="47"/>
      <c r="QDJ32" s="47"/>
      <c r="QDK32" s="47"/>
      <c r="QDL32" s="47"/>
      <c r="QDM32" s="47"/>
      <c r="QDN32" s="47"/>
      <c r="QDO32" s="47"/>
      <c r="QDP32" s="47"/>
      <c r="QDQ32" s="47"/>
      <c r="QDR32" s="47"/>
      <c r="QDS32" s="47"/>
      <c r="QDT32" s="47"/>
      <c r="QDU32" s="47"/>
      <c r="QDV32" s="47"/>
      <c r="QDW32" s="47"/>
      <c r="QDX32" s="47"/>
      <c r="QDY32" s="47"/>
      <c r="QDZ32" s="47"/>
      <c r="QEA32" s="47"/>
      <c r="QEB32" s="47"/>
      <c r="QEC32" s="47"/>
      <c r="QED32" s="47"/>
      <c r="QEE32" s="47"/>
      <c r="QEF32" s="47"/>
      <c r="QEG32" s="47"/>
      <c r="QEH32" s="47"/>
      <c r="QEI32" s="47"/>
      <c r="QEJ32" s="47"/>
      <c r="QEK32" s="47"/>
      <c r="QEL32" s="47"/>
      <c r="QEM32" s="47"/>
      <c r="QEN32" s="47"/>
      <c r="QEO32" s="47"/>
      <c r="QEP32" s="47"/>
      <c r="QEQ32" s="47"/>
      <c r="QER32" s="47"/>
      <c r="QES32" s="47"/>
      <c r="QET32" s="47"/>
      <c r="QEU32" s="47"/>
      <c r="QEV32" s="47"/>
      <c r="QEW32" s="47"/>
      <c r="QEX32" s="47"/>
      <c r="QEY32" s="47"/>
      <c r="QEZ32" s="47"/>
      <c r="QFA32" s="47"/>
      <c r="QFB32" s="47"/>
      <c r="QFC32" s="47"/>
      <c r="QFD32" s="47"/>
      <c r="QFE32" s="47"/>
      <c r="QFF32" s="47"/>
      <c r="QFG32" s="47"/>
      <c r="QFH32" s="47"/>
      <c r="QFI32" s="47"/>
      <c r="QFJ32" s="47"/>
      <c r="QFK32" s="47"/>
      <c r="QFL32" s="47"/>
      <c r="QFM32" s="47"/>
      <c r="QFN32" s="47"/>
      <c r="QFO32" s="47"/>
      <c r="QFP32" s="47"/>
      <c r="QFQ32" s="47"/>
      <c r="QFR32" s="47"/>
      <c r="QFS32" s="47"/>
      <c r="QFT32" s="47"/>
      <c r="QFU32" s="47"/>
      <c r="QFV32" s="47"/>
      <c r="QFW32" s="47"/>
      <c r="QFX32" s="47"/>
      <c r="QFY32" s="47"/>
      <c r="QFZ32" s="47"/>
      <c r="QGA32" s="47"/>
      <c r="QGB32" s="47"/>
      <c r="QGC32" s="47"/>
      <c r="QGD32" s="47"/>
      <c r="QGE32" s="47"/>
      <c r="QGF32" s="47"/>
      <c r="QGG32" s="47"/>
      <c r="QGH32" s="47"/>
      <c r="QGI32" s="47"/>
      <c r="QGJ32" s="47"/>
      <c r="QGK32" s="47"/>
      <c r="QGL32" s="47"/>
      <c r="QGM32" s="47"/>
      <c r="QGN32" s="47"/>
      <c r="QGO32" s="47"/>
      <c r="QGP32" s="47"/>
      <c r="QGQ32" s="47"/>
      <c r="QGR32" s="47"/>
      <c r="QGS32" s="47"/>
      <c r="QGT32" s="47"/>
      <c r="QGU32" s="47"/>
      <c r="QGV32" s="47"/>
      <c r="QGW32" s="47"/>
      <c r="QGX32" s="47"/>
      <c r="QGY32" s="47"/>
      <c r="QGZ32" s="47"/>
      <c r="QHA32" s="47"/>
      <c r="QHB32" s="47"/>
      <c r="QHC32" s="47"/>
      <c r="QHD32" s="47"/>
      <c r="QHE32" s="47"/>
      <c r="QHF32" s="47"/>
      <c r="QHG32" s="47"/>
      <c r="QHH32" s="47"/>
      <c r="QHI32" s="47"/>
      <c r="QHJ32" s="47"/>
      <c r="QHK32" s="47"/>
      <c r="QHL32" s="47"/>
      <c r="QHM32" s="47"/>
      <c r="QHN32" s="47"/>
      <c r="QHO32" s="47"/>
      <c r="QHP32" s="47"/>
      <c r="QHQ32" s="47"/>
      <c r="QHR32" s="47"/>
      <c r="QHS32" s="47"/>
      <c r="QHT32" s="47"/>
      <c r="QHU32" s="47"/>
      <c r="QHV32" s="47"/>
      <c r="QHW32" s="47"/>
      <c r="QHX32" s="47"/>
      <c r="QHY32" s="47"/>
      <c r="QHZ32" s="47"/>
      <c r="QIA32" s="47"/>
      <c r="QIB32" s="47"/>
      <c r="QIC32" s="47"/>
      <c r="QID32" s="47"/>
      <c r="QIE32" s="47"/>
      <c r="QIF32" s="47"/>
      <c r="QIG32" s="47"/>
      <c r="QIH32" s="47"/>
      <c r="QII32" s="47"/>
      <c r="QIJ32" s="47"/>
      <c r="QIK32" s="47"/>
      <c r="QIL32" s="47"/>
      <c r="QIM32" s="47"/>
      <c r="QIN32" s="47"/>
      <c r="QIO32" s="47"/>
      <c r="QIP32" s="47"/>
      <c r="QIQ32" s="47"/>
      <c r="QIR32" s="47"/>
      <c r="QIS32" s="47"/>
      <c r="QIT32" s="47"/>
      <c r="QIU32" s="47"/>
      <c r="QIV32" s="47"/>
      <c r="QIW32" s="47"/>
      <c r="QIX32" s="47"/>
      <c r="QIY32" s="47"/>
      <c r="QIZ32" s="47"/>
      <c r="QJA32" s="47"/>
      <c r="QJB32" s="47"/>
      <c r="QJC32" s="47"/>
      <c r="QJD32" s="47"/>
      <c r="QJE32" s="47"/>
      <c r="QJF32" s="47"/>
      <c r="QJG32" s="47"/>
      <c r="QJH32" s="47"/>
      <c r="QJI32" s="47"/>
      <c r="QJJ32" s="47"/>
      <c r="QJK32" s="47"/>
      <c r="QJL32" s="47"/>
      <c r="QJM32" s="47"/>
      <c r="QJN32" s="47"/>
      <c r="QJO32" s="47"/>
      <c r="QJP32" s="47"/>
      <c r="QJQ32" s="47"/>
      <c r="QJR32" s="47"/>
      <c r="QJS32" s="47"/>
      <c r="QJT32" s="47"/>
      <c r="QJU32" s="47"/>
      <c r="QJV32" s="47"/>
      <c r="QJW32" s="47"/>
      <c r="QJX32" s="47"/>
      <c r="QJY32" s="47"/>
      <c r="QJZ32" s="47"/>
      <c r="QKA32" s="47"/>
      <c r="QKB32" s="47"/>
      <c r="QKC32" s="47"/>
      <c r="QKD32" s="47"/>
      <c r="QKE32" s="47"/>
      <c r="QKF32" s="47"/>
      <c r="QKG32" s="47"/>
      <c r="QKH32" s="47"/>
      <c r="QKI32" s="47"/>
      <c r="QKJ32" s="47"/>
      <c r="QKK32" s="47"/>
      <c r="QKL32" s="47"/>
      <c r="QKM32" s="47"/>
      <c r="QKN32" s="47"/>
      <c r="QKO32" s="47"/>
      <c r="QKP32" s="47"/>
      <c r="QKQ32" s="47"/>
      <c r="QKR32" s="47"/>
      <c r="QKS32" s="47"/>
      <c r="QKT32" s="47"/>
      <c r="QKU32" s="47"/>
      <c r="QKV32" s="47"/>
      <c r="QKW32" s="47"/>
      <c r="QKX32" s="47"/>
      <c r="QKY32" s="47"/>
      <c r="QKZ32" s="47"/>
      <c r="QLA32" s="47"/>
      <c r="QLB32" s="47"/>
      <c r="QLC32" s="47"/>
      <c r="QLD32" s="47"/>
      <c r="QLE32" s="47"/>
      <c r="QLF32" s="47"/>
      <c r="QLG32" s="47"/>
      <c r="QLH32" s="47"/>
      <c r="QLI32" s="47"/>
      <c r="QLJ32" s="47"/>
      <c r="QLK32" s="47"/>
      <c r="QLL32" s="47"/>
      <c r="QLM32" s="47"/>
      <c r="QLN32" s="47"/>
      <c r="QLO32" s="47"/>
      <c r="QLP32" s="47"/>
      <c r="QLQ32" s="47"/>
      <c r="QLR32" s="47"/>
      <c r="QLS32" s="47"/>
      <c r="QLT32" s="47"/>
      <c r="QLU32" s="47"/>
      <c r="QLV32" s="47"/>
      <c r="QLW32" s="47"/>
      <c r="QLX32" s="47"/>
      <c r="QLY32" s="47"/>
      <c r="QLZ32" s="47"/>
      <c r="QMA32" s="47"/>
      <c r="QMB32" s="47"/>
      <c r="QMC32" s="47"/>
      <c r="QMD32" s="47"/>
      <c r="QME32" s="47"/>
      <c r="QMF32" s="47"/>
      <c r="QMG32" s="47"/>
      <c r="QMH32" s="47"/>
      <c r="QMI32" s="47"/>
      <c r="QMJ32" s="47"/>
      <c r="QMK32" s="47"/>
      <c r="QML32" s="47"/>
      <c r="QMM32" s="47"/>
      <c r="QMN32" s="47"/>
      <c r="QMO32" s="47"/>
      <c r="QMP32" s="47"/>
      <c r="QMQ32" s="47"/>
      <c r="QMR32" s="47"/>
      <c r="QMS32" s="47"/>
      <c r="QMT32" s="47"/>
      <c r="QMU32" s="47"/>
      <c r="QMV32" s="47"/>
      <c r="QMW32" s="47"/>
      <c r="QMX32" s="47"/>
      <c r="QMY32" s="47"/>
      <c r="QMZ32" s="47"/>
      <c r="QNA32" s="47"/>
      <c r="QNB32" s="47"/>
      <c r="QNC32" s="47"/>
      <c r="QND32" s="47"/>
      <c r="QNE32" s="47"/>
      <c r="QNF32" s="47"/>
      <c r="QNG32" s="47"/>
      <c r="QNH32" s="47"/>
      <c r="QNI32" s="47"/>
      <c r="QNJ32" s="47"/>
      <c r="QNK32" s="47"/>
      <c r="QNL32" s="47"/>
      <c r="QNM32" s="47"/>
      <c r="QNN32" s="47"/>
      <c r="QNO32" s="47"/>
      <c r="QNP32" s="47"/>
      <c r="QNQ32" s="47"/>
      <c r="QNR32" s="47"/>
      <c r="QNS32" s="47"/>
      <c r="QNT32" s="47"/>
      <c r="QNU32" s="47"/>
      <c r="QNV32" s="47"/>
      <c r="QNW32" s="47"/>
      <c r="QNX32" s="47"/>
      <c r="QNY32" s="47"/>
      <c r="QNZ32" s="47"/>
      <c r="QOA32" s="47"/>
      <c r="QOB32" s="47"/>
      <c r="QOC32" s="47"/>
      <c r="QOD32" s="47"/>
      <c r="QOE32" s="47"/>
      <c r="QOF32" s="47"/>
      <c r="QOG32" s="47"/>
      <c r="QOH32" s="47"/>
      <c r="QOI32" s="47"/>
      <c r="QOJ32" s="47"/>
      <c r="QOK32" s="47"/>
      <c r="QOL32" s="47"/>
      <c r="QOM32" s="47"/>
      <c r="QON32" s="47"/>
      <c r="QOO32" s="47"/>
      <c r="QOP32" s="47"/>
      <c r="QOQ32" s="47"/>
      <c r="QOR32" s="47"/>
      <c r="QOS32" s="47"/>
      <c r="QOT32" s="47"/>
      <c r="QOU32" s="47"/>
      <c r="QOV32" s="47"/>
      <c r="QOW32" s="47"/>
      <c r="QOX32" s="47"/>
      <c r="QOY32" s="47"/>
      <c r="QOZ32" s="47"/>
      <c r="QPA32" s="47"/>
      <c r="QPB32" s="47"/>
      <c r="QPC32" s="47"/>
      <c r="QPD32" s="47"/>
      <c r="QPE32" s="47"/>
      <c r="QPF32" s="47"/>
      <c r="QPG32" s="47"/>
      <c r="QPH32" s="47"/>
      <c r="QPI32" s="47"/>
      <c r="QPJ32" s="47"/>
      <c r="QPK32" s="47"/>
      <c r="QPL32" s="47"/>
      <c r="QPM32" s="47"/>
      <c r="QPN32" s="47"/>
      <c r="QPO32" s="47"/>
      <c r="QPP32" s="47"/>
      <c r="QPQ32" s="47"/>
      <c r="QPR32" s="47"/>
      <c r="QPS32" s="47"/>
      <c r="QPT32" s="47"/>
      <c r="QPU32" s="47"/>
      <c r="QPV32" s="47"/>
      <c r="QPW32" s="47"/>
      <c r="QPX32" s="47"/>
      <c r="QPY32" s="47"/>
      <c r="QPZ32" s="47"/>
      <c r="QQA32" s="47"/>
      <c r="QQB32" s="47"/>
      <c r="QQC32" s="47"/>
      <c r="QQD32" s="47"/>
      <c r="QQE32" s="47"/>
      <c r="QQF32" s="47"/>
      <c r="QQG32" s="47"/>
      <c r="QQH32" s="47"/>
      <c r="QQI32" s="47"/>
      <c r="QQJ32" s="47"/>
      <c r="QQK32" s="47"/>
      <c r="QQL32" s="47"/>
      <c r="QQM32" s="47"/>
      <c r="QQN32" s="47"/>
      <c r="QQO32" s="47"/>
      <c r="QQP32" s="47"/>
      <c r="QQQ32" s="47"/>
      <c r="QQR32" s="47"/>
      <c r="QQS32" s="47"/>
      <c r="QQT32" s="47"/>
      <c r="QQU32" s="47"/>
      <c r="QQV32" s="47"/>
      <c r="QQW32" s="47"/>
      <c r="QQX32" s="47"/>
      <c r="QQY32" s="47"/>
      <c r="QQZ32" s="47"/>
      <c r="QRA32" s="47"/>
      <c r="QRB32" s="47"/>
      <c r="QRC32" s="47"/>
      <c r="QRD32" s="47"/>
      <c r="QRE32" s="47"/>
      <c r="QRF32" s="47"/>
      <c r="QRG32" s="47"/>
      <c r="QRH32" s="47"/>
      <c r="QRI32" s="47"/>
      <c r="QRJ32" s="47"/>
      <c r="QRK32" s="47"/>
      <c r="QRL32" s="47"/>
      <c r="QRM32" s="47"/>
      <c r="QRN32" s="47"/>
      <c r="QRO32" s="47"/>
      <c r="QRP32" s="47"/>
      <c r="QRQ32" s="47"/>
      <c r="QRR32" s="47"/>
      <c r="QRS32" s="47"/>
      <c r="QRT32" s="47"/>
      <c r="QRU32" s="47"/>
      <c r="QRV32" s="47"/>
      <c r="QRW32" s="47"/>
      <c r="QRX32" s="47"/>
      <c r="QRY32" s="47"/>
      <c r="QRZ32" s="47"/>
      <c r="QSA32" s="47"/>
      <c r="QSB32" s="47"/>
      <c r="QSC32" s="47"/>
      <c r="QSD32" s="47"/>
      <c r="QSE32" s="47"/>
      <c r="QSF32" s="47"/>
      <c r="QSG32" s="47"/>
      <c r="QSH32" s="47"/>
      <c r="QSI32" s="47"/>
      <c r="QSJ32" s="47"/>
      <c r="QSK32" s="47"/>
      <c r="QSL32" s="47"/>
      <c r="QSM32" s="47"/>
      <c r="QSN32" s="47"/>
      <c r="QSO32" s="47"/>
      <c r="QSP32" s="47"/>
      <c r="QSQ32" s="47"/>
      <c r="QSR32" s="47"/>
      <c r="QSS32" s="47"/>
      <c r="QST32" s="47"/>
      <c r="QSU32" s="47"/>
      <c r="QSV32" s="47"/>
      <c r="QSW32" s="47"/>
      <c r="QSX32" s="47"/>
      <c r="QSY32" s="47"/>
      <c r="QSZ32" s="47"/>
      <c r="QTA32" s="47"/>
      <c r="QTB32" s="47"/>
      <c r="QTC32" s="47"/>
      <c r="QTD32" s="47"/>
      <c r="QTE32" s="47"/>
      <c r="QTF32" s="47"/>
      <c r="QTG32" s="47"/>
      <c r="QTH32" s="47"/>
      <c r="QTI32" s="47"/>
      <c r="QTJ32" s="47"/>
      <c r="QTK32" s="47"/>
      <c r="QTL32" s="47"/>
      <c r="QTM32" s="47"/>
      <c r="QTN32" s="47"/>
      <c r="QTO32" s="47"/>
      <c r="QTP32" s="47"/>
      <c r="QTQ32" s="47"/>
      <c r="QTR32" s="47"/>
      <c r="QTS32" s="47"/>
      <c r="QTT32" s="47"/>
      <c r="QTU32" s="47"/>
      <c r="QTV32" s="47"/>
      <c r="QTW32" s="47"/>
      <c r="QTX32" s="47"/>
      <c r="QTY32" s="47"/>
      <c r="QTZ32" s="47"/>
      <c r="QUA32" s="47"/>
      <c r="QUB32" s="47"/>
      <c r="QUC32" s="47"/>
      <c r="QUD32" s="47"/>
      <c r="QUE32" s="47"/>
      <c r="QUF32" s="47"/>
      <c r="QUG32" s="47"/>
      <c r="QUH32" s="47"/>
      <c r="QUI32" s="47"/>
      <c r="QUJ32" s="47"/>
      <c r="QUK32" s="47"/>
      <c r="QUL32" s="47"/>
      <c r="QUM32" s="47"/>
      <c r="QUN32" s="47"/>
      <c r="QUO32" s="47"/>
      <c r="QUP32" s="47"/>
      <c r="QUQ32" s="47"/>
      <c r="QUR32" s="47"/>
      <c r="QUS32" s="47"/>
      <c r="QUT32" s="47"/>
      <c r="QUU32" s="47"/>
      <c r="QUV32" s="47"/>
      <c r="QUW32" s="47"/>
      <c r="QUX32" s="47"/>
      <c r="QUY32" s="47"/>
      <c r="QUZ32" s="47"/>
      <c r="QVA32" s="47"/>
      <c r="QVB32" s="47"/>
      <c r="QVC32" s="47"/>
      <c r="QVD32" s="47"/>
      <c r="QVE32" s="47"/>
      <c r="QVF32" s="47"/>
      <c r="QVG32" s="47"/>
      <c r="QVH32" s="47"/>
      <c r="QVI32" s="47"/>
      <c r="QVJ32" s="47"/>
      <c r="QVK32" s="47"/>
      <c r="QVL32" s="47"/>
      <c r="QVM32" s="47"/>
      <c r="QVN32" s="47"/>
      <c r="QVO32" s="47"/>
      <c r="QVP32" s="47"/>
      <c r="QVQ32" s="47"/>
      <c r="QVR32" s="47"/>
      <c r="QVS32" s="47"/>
      <c r="QVT32" s="47"/>
      <c r="QVU32" s="47"/>
      <c r="QVV32" s="47"/>
      <c r="QVW32" s="47"/>
      <c r="QVX32" s="47"/>
      <c r="QVY32" s="47"/>
      <c r="QVZ32" s="47"/>
      <c r="QWA32" s="47"/>
      <c r="QWB32" s="47"/>
      <c r="QWC32" s="47"/>
      <c r="QWD32" s="47"/>
      <c r="QWE32" s="47"/>
      <c r="QWF32" s="47"/>
      <c r="QWG32" s="47"/>
      <c r="QWH32" s="47"/>
      <c r="QWI32" s="47"/>
      <c r="QWJ32" s="47"/>
      <c r="QWK32" s="47"/>
      <c r="QWL32" s="47"/>
      <c r="QWM32" s="47"/>
      <c r="QWN32" s="47"/>
      <c r="QWO32" s="47"/>
      <c r="QWP32" s="47"/>
      <c r="QWQ32" s="47"/>
      <c r="QWR32" s="47"/>
      <c r="QWS32" s="47"/>
      <c r="QWT32" s="47"/>
      <c r="QWU32" s="47"/>
      <c r="QWV32" s="47"/>
      <c r="QWW32" s="47"/>
      <c r="QWX32" s="47"/>
      <c r="QWY32" s="47"/>
      <c r="QWZ32" s="47"/>
      <c r="QXA32" s="47"/>
      <c r="QXB32" s="47"/>
      <c r="QXC32" s="47"/>
      <c r="QXD32" s="47"/>
      <c r="QXE32" s="47"/>
      <c r="QXF32" s="47"/>
      <c r="QXG32" s="47"/>
      <c r="QXH32" s="47"/>
      <c r="QXI32" s="47"/>
      <c r="QXJ32" s="47"/>
      <c r="QXK32" s="47"/>
      <c r="QXL32" s="47"/>
      <c r="QXM32" s="47"/>
      <c r="QXN32" s="47"/>
      <c r="QXO32" s="47"/>
      <c r="QXP32" s="47"/>
      <c r="QXQ32" s="47"/>
      <c r="QXR32" s="47"/>
      <c r="QXS32" s="47"/>
      <c r="QXT32" s="47"/>
      <c r="QXU32" s="47"/>
      <c r="QXV32" s="47"/>
      <c r="QXW32" s="47"/>
      <c r="QXX32" s="47"/>
      <c r="QXY32" s="47"/>
      <c r="QXZ32" s="47"/>
      <c r="QYA32" s="47"/>
      <c r="QYB32" s="47"/>
      <c r="QYC32" s="47"/>
      <c r="QYD32" s="47"/>
      <c r="QYE32" s="47"/>
      <c r="QYF32" s="47"/>
      <c r="QYG32" s="47"/>
      <c r="QYH32" s="47"/>
      <c r="QYI32" s="47"/>
      <c r="QYJ32" s="47"/>
      <c r="QYK32" s="47"/>
      <c r="QYL32" s="47"/>
      <c r="QYM32" s="47"/>
      <c r="QYN32" s="47"/>
      <c r="QYO32" s="47"/>
      <c r="QYP32" s="47"/>
      <c r="QYQ32" s="47"/>
      <c r="QYR32" s="47"/>
      <c r="QYS32" s="47"/>
      <c r="QYT32" s="47"/>
      <c r="QYU32" s="47"/>
      <c r="QYV32" s="47"/>
      <c r="QYW32" s="47"/>
      <c r="QYX32" s="47"/>
      <c r="QYY32" s="47"/>
      <c r="QYZ32" s="47"/>
      <c r="QZA32" s="47"/>
      <c r="QZB32" s="47"/>
      <c r="QZC32" s="47"/>
      <c r="QZD32" s="47"/>
      <c r="QZE32" s="47"/>
      <c r="QZF32" s="47"/>
      <c r="QZG32" s="47"/>
      <c r="QZH32" s="47"/>
      <c r="QZI32" s="47"/>
      <c r="QZJ32" s="47"/>
      <c r="QZK32" s="47"/>
      <c r="QZL32" s="47"/>
      <c r="QZM32" s="47"/>
      <c r="QZN32" s="47"/>
      <c r="QZO32" s="47"/>
      <c r="QZP32" s="47"/>
      <c r="QZQ32" s="47"/>
      <c r="QZR32" s="47"/>
      <c r="QZS32" s="47"/>
      <c r="QZT32" s="47"/>
      <c r="QZU32" s="47"/>
      <c r="QZV32" s="47"/>
      <c r="QZW32" s="47"/>
      <c r="QZX32" s="47"/>
      <c r="QZY32" s="47"/>
      <c r="QZZ32" s="47"/>
      <c r="RAA32" s="47"/>
      <c r="RAB32" s="47"/>
      <c r="RAC32" s="47"/>
      <c r="RAD32" s="47"/>
      <c r="RAE32" s="47"/>
      <c r="RAF32" s="47"/>
      <c r="RAG32" s="47"/>
      <c r="RAH32" s="47"/>
      <c r="RAI32" s="47"/>
      <c r="RAJ32" s="47"/>
      <c r="RAK32" s="47"/>
      <c r="RAL32" s="47"/>
      <c r="RAM32" s="47"/>
      <c r="RAN32" s="47"/>
      <c r="RAO32" s="47"/>
      <c r="RAP32" s="47"/>
      <c r="RAQ32" s="47"/>
      <c r="RAR32" s="47"/>
      <c r="RAS32" s="47"/>
      <c r="RAT32" s="47"/>
      <c r="RAU32" s="47"/>
      <c r="RAV32" s="47"/>
      <c r="RAW32" s="47"/>
      <c r="RAX32" s="47"/>
      <c r="RAY32" s="47"/>
      <c r="RAZ32" s="47"/>
      <c r="RBA32" s="47"/>
      <c r="RBB32" s="47"/>
      <c r="RBC32" s="47"/>
      <c r="RBD32" s="47"/>
      <c r="RBE32" s="47"/>
      <c r="RBF32" s="47"/>
      <c r="RBG32" s="47"/>
      <c r="RBH32" s="47"/>
      <c r="RBI32" s="47"/>
      <c r="RBJ32" s="47"/>
      <c r="RBK32" s="47"/>
      <c r="RBL32" s="47"/>
      <c r="RBM32" s="47"/>
      <c r="RBN32" s="47"/>
      <c r="RBO32" s="47"/>
      <c r="RBP32" s="47"/>
      <c r="RBQ32" s="47"/>
      <c r="RBR32" s="47"/>
      <c r="RBS32" s="47"/>
      <c r="RBT32" s="47"/>
      <c r="RBU32" s="47"/>
      <c r="RBV32" s="47"/>
      <c r="RBW32" s="47"/>
      <c r="RBX32" s="47"/>
      <c r="RBY32" s="47"/>
      <c r="RBZ32" s="47"/>
      <c r="RCA32" s="47"/>
      <c r="RCB32" s="47"/>
      <c r="RCC32" s="47"/>
      <c r="RCD32" s="47"/>
      <c r="RCE32" s="47"/>
      <c r="RCF32" s="47"/>
      <c r="RCG32" s="47"/>
      <c r="RCH32" s="47"/>
      <c r="RCI32" s="47"/>
      <c r="RCJ32" s="47"/>
      <c r="RCK32" s="47"/>
      <c r="RCL32" s="47"/>
      <c r="RCM32" s="47"/>
      <c r="RCN32" s="47"/>
      <c r="RCO32" s="47"/>
      <c r="RCP32" s="47"/>
      <c r="RCQ32" s="47"/>
      <c r="RCR32" s="47"/>
      <c r="RCS32" s="47"/>
      <c r="RCT32" s="47"/>
      <c r="RCU32" s="47"/>
      <c r="RCV32" s="47"/>
      <c r="RCW32" s="47"/>
      <c r="RCX32" s="47"/>
      <c r="RCY32" s="47"/>
      <c r="RCZ32" s="47"/>
      <c r="RDA32" s="47"/>
      <c r="RDB32" s="47"/>
      <c r="RDC32" s="47"/>
      <c r="RDD32" s="47"/>
      <c r="RDE32" s="47"/>
      <c r="RDF32" s="47"/>
      <c r="RDG32" s="47"/>
      <c r="RDH32" s="47"/>
      <c r="RDI32" s="47"/>
      <c r="RDJ32" s="47"/>
      <c r="RDK32" s="47"/>
      <c r="RDL32" s="47"/>
      <c r="RDM32" s="47"/>
      <c r="RDN32" s="47"/>
      <c r="RDO32" s="47"/>
      <c r="RDP32" s="47"/>
      <c r="RDQ32" s="47"/>
      <c r="RDR32" s="47"/>
      <c r="RDS32" s="47"/>
      <c r="RDT32" s="47"/>
      <c r="RDU32" s="47"/>
      <c r="RDV32" s="47"/>
      <c r="RDW32" s="47"/>
      <c r="RDX32" s="47"/>
      <c r="RDY32" s="47"/>
      <c r="RDZ32" s="47"/>
      <c r="REA32" s="47"/>
      <c r="REB32" s="47"/>
      <c r="REC32" s="47"/>
      <c r="RED32" s="47"/>
      <c r="REE32" s="47"/>
      <c r="REF32" s="47"/>
      <c r="REG32" s="47"/>
      <c r="REH32" s="47"/>
      <c r="REI32" s="47"/>
      <c r="REJ32" s="47"/>
      <c r="REK32" s="47"/>
      <c r="REL32" s="47"/>
      <c r="REM32" s="47"/>
      <c r="REN32" s="47"/>
      <c r="REO32" s="47"/>
      <c r="REP32" s="47"/>
      <c r="REQ32" s="47"/>
      <c r="RER32" s="47"/>
      <c r="RES32" s="47"/>
      <c r="RET32" s="47"/>
      <c r="REU32" s="47"/>
      <c r="REV32" s="47"/>
      <c r="REW32" s="47"/>
      <c r="REX32" s="47"/>
      <c r="REY32" s="47"/>
      <c r="REZ32" s="47"/>
      <c r="RFA32" s="47"/>
      <c r="RFB32" s="47"/>
      <c r="RFC32" s="47"/>
      <c r="RFD32" s="47"/>
      <c r="RFE32" s="47"/>
      <c r="RFF32" s="47"/>
      <c r="RFG32" s="47"/>
      <c r="RFH32" s="47"/>
      <c r="RFI32" s="47"/>
      <c r="RFJ32" s="47"/>
      <c r="RFK32" s="47"/>
      <c r="RFL32" s="47"/>
      <c r="RFM32" s="47"/>
      <c r="RFN32" s="47"/>
      <c r="RFO32" s="47"/>
      <c r="RFP32" s="47"/>
      <c r="RFQ32" s="47"/>
      <c r="RFR32" s="47"/>
      <c r="RFS32" s="47"/>
      <c r="RFT32" s="47"/>
      <c r="RFU32" s="47"/>
      <c r="RFV32" s="47"/>
      <c r="RFW32" s="47"/>
      <c r="RFX32" s="47"/>
      <c r="RFY32" s="47"/>
      <c r="RFZ32" s="47"/>
      <c r="RGA32" s="47"/>
      <c r="RGB32" s="47"/>
      <c r="RGC32" s="47"/>
      <c r="RGD32" s="47"/>
      <c r="RGE32" s="47"/>
      <c r="RGF32" s="47"/>
      <c r="RGG32" s="47"/>
      <c r="RGH32" s="47"/>
      <c r="RGI32" s="47"/>
      <c r="RGJ32" s="47"/>
      <c r="RGK32" s="47"/>
      <c r="RGL32" s="47"/>
      <c r="RGM32" s="47"/>
      <c r="RGN32" s="47"/>
      <c r="RGO32" s="47"/>
      <c r="RGP32" s="47"/>
      <c r="RGQ32" s="47"/>
      <c r="RGR32" s="47"/>
      <c r="RGS32" s="47"/>
      <c r="RGT32" s="47"/>
      <c r="RGU32" s="47"/>
      <c r="RGV32" s="47"/>
      <c r="RGW32" s="47"/>
      <c r="RGX32" s="47"/>
      <c r="RGY32" s="47"/>
      <c r="RGZ32" s="47"/>
      <c r="RHA32" s="47"/>
      <c r="RHB32" s="47"/>
      <c r="RHC32" s="47"/>
      <c r="RHD32" s="47"/>
      <c r="RHE32" s="47"/>
      <c r="RHF32" s="47"/>
      <c r="RHG32" s="47"/>
      <c r="RHH32" s="47"/>
      <c r="RHI32" s="47"/>
      <c r="RHJ32" s="47"/>
      <c r="RHK32" s="47"/>
      <c r="RHL32" s="47"/>
      <c r="RHM32" s="47"/>
      <c r="RHN32" s="47"/>
      <c r="RHO32" s="47"/>
      <c r="RHP32" s="47"/>
      <c r="RHQ32" s="47"/>
      <c r="RHR32" s="47"/>
      <c r="RHS32" s="47"/>
      <c r="RHT32" s="47"/>
      <c r="RHU32" s="47"/>
      <c r="RHV32" s="47"/>
      <c r="RHW32" s="47"/>
      <c r="RHX32" s="47"/>
      <c r="RHY32" s="47"/>
      <c r="RHZ32" s="47"/>
      <c r="RIA32" s="47"/>
      <c r="RIB32" s="47"/>
      <c r="RIC32" s="47"/>
      <c r="RID32" s="47"/>
      <c r="RIE32" s="47"/>
      <c r="RIF32" s="47"/>
      <c r="RIG32" s="47"/>
      <c r="RIH32" s="47"/>
      <c r="RII32" s="47"/>
      <c r="RIJ32" s="47"/>
      <c r="RIK32" s="47"/>
      <c r="RIL32" s="47"/>
      <c r="RIM32" s="47"/>
      <c r="RIN32" s="47"/>
      <c r="RIO32" s="47"/>
      <c r="RIP32" s="47"/>
      <c r="RIQ32" s="47"/>
      <c r="RIR32" s="47"/>
      <c r="RIS32" s="47"/>
      <c r="RIT32" s="47"/>
      <c r="RIU32" s="47"/>
      <c r="RIV32" s="47"/>
      <c r="RIW32" s="47"/>
      <c r="RIX32" s="47"/>
      <c r="RIY32" s="47"/>
      <c r="RIZ32" s="47"/>
      <c r="RJA32" s="47"/>
      <c r="RJB32" s="47"/>
      <c r="RJC32" s="47"/>
      <c r="RJD32" s="47"/>
      <c r="RJE32" s="47"/>
      <c r="RJF32" s="47"/>
      <c r="RJG32" s="47"/>
      <c r="RJH32" s="47"/>
      <c r="RJI32" s="47"/>
      <c r="RJJ32" s="47"/>
      <c r="RJK32" s="47"/>
      <c r="RJL32" s="47"/>
      <c r="RJM32" s="47"/>
      <c r="RJN32" s="47"/>
      <c r="RJO32" s="47"/>
      <c r="RJP32" s="47"/>
      <c r="RJQ32" s="47"/>
      <c r="RJR32" s="47"/>
      <c r="RJS32" s="47"/>
      <c r="RJT32" s="47"/>
      <c r="RJU32" s="47"/>
      <c r="RJV32" s="47"/>
      <c r="RJW32" s="47"/>
      <c r="RJX32" s="47"/>
      <c r="RJY32" s="47"/>
      <c r="RJZ32" s="47"/>
      <c r="RKA32" s="47"/>
      <c r="RKB32" s="47"/>
      <c r="RKC32" s="47"/>
      <c r="RKD32" s="47"/>
      <c r="RKE32" s="47"/>
      <c r="RKF32" s="47"/>
      <c r="RKG32" s="47"/>
      <c r="RKH32" s="47"/>
      <c r="RKI32" s="47"/>
      <c r="RKJ32" s="47"/>
      <c r="RKK32" s="47"/>
      <c r="RKL32" s="47"/>
      <c r="RKM32" s="47"/>
      <c r="RKN32" s="47"/>
      <c r="RKO32" s="47"/>
      <c r="RKP32" s="47"/>
      <c r="RKQ32" s="47"/>
      <c r="RKR32" s="47"/>
      <c r="RKS32" s="47"/>
      <c r="RKT32" s="47"/>
      <c r="RKU32" s="47"/>
      <c r="RKV32" s="47"/>
      <c r="RKW32" s="47"/>
      <c r="RKX32" s="47"/>
      <c r="RKY32" s="47"/>
      <c r="RKZ32" s="47"/>
      <c r="RLA32" s="47"/>
      <c r="RLB32" s="47"/>
      <c r="RLC32" s="47"/>
      <c r="RLD32" s="47"/>
      <c r="RLE32" s="47"/>
      <c r="RLF32" s="47"/>
      <c r="RLG32" s="47"/>
      <c r="RLH32" s="47"/>
      <c r="RLI32" s="47"/>
      <c r="RLJ32" s="47"/>
      <c r="RLK32" s="47"/>
      <c r="RLL32" s="47"/>
      <c r="RLM32" s="47"/>
      <c r="RLN32" s="47"/>
      <c r="RLO32" s="47"/>
      <c r="RLP32" s="47"/>
      <c r="RLQ32" s="47"/>
      <c r="RLR32" s="47"/>
      <c r="RLS32" s="47"/>
      <c r="RLT32" s="47"/>
      <c r="RLU32" s="47"/>
      <c r="RLV32" s="47"/>
      <c r="RLW32" s="47"/>
      <c r="RLX32" s="47"/>
      <c r="RLY32" s="47"/>
      <c r="RLZ32" s="47"/>
      <c r="RMA32" s="47"/>
      <c r="RMB32" s="47"/>
      <c r="RMC32" s="47"/>
      <c r="RMD32" s="47"/>
      <c r="RME32" s="47"/>
      <c r="RMF32" s="47"/>
      <c r="RMG32" s="47"/>
      <c r="RMH32" s="47"/>
      <c r="RMI32" s="47"/>
      <c r="RMJ32" s="47"/>
      <c r="RMK32" s="47"/>
      <c r="RML32" s="47"/>
      <c r="RMM32" s="47"/>
      <c r="RMN32" s="47"/>
      <c r="RMO32" s="47"/>
      <c r="RMP32" s="47"/>
      <c r="RMQ32" s="47"/>
      <c r="RMR32" s="47"/>
      <c r="RMS32" s="47"/>
      <c r="RMT32" s="47"/>
      <c r="RMU32" s="47"/>
      <c r="RMV32" s="47"/>
      <c r="RMW32" s="47"/>
      <c r="RMX32" s="47"/>
      <c r="RMY32" s="47"/>
      <c r="RMZ32" s="47"/>
      <c r="RNA32" s="47"/>
      <c r="RNB32" s="47"/>
      <c r="RNC32" s="47"/>
      <c r="RND32" s="47"/>
      <c r="RNE32" s="47"/>
      <c r="RNF32" s="47"/>
      <c r="RNG32" s="47"/>
      <c r="RNH32" s="47"/>
      <c r="RNI32" s="47"/>
      <c r="RNJ32" s="47"/>
      <c r="RNK32" s="47"/>
      <c r="RNL32" s="47"/>
      <c r="RNM32" s="47"/>
      <c r="RNN32" s="47"/>
      <c r="RNO32" s="47"/>
      <c r="RNP32" s="47"/>
      <c r="RNQ32" s="47"/>
      <c r="RNR32" s="47"/>
      <c r="RNS32" s="47"/>
      <c r="RNT32" s="47"/>
      <c r="RNU32" s="47"/>
      <c r="RNV32" s="47"/>
      <c r="RNW32" s="47"/>
      <c r="RNX32" s="47"/>
      <c r="RNY32" s="47"/>
      <c r="RNZ32" s="47"/>
      <c r="ROA32" s="47"/>
      <c r="ROB32" s="47"/>
      <c r="ROC32" s="47"/>
      <c r="ROD32" s="47"/>
      <c r="ROE32" s="47"/>
      <c r="ROF32" s="47"/>
      <c r="ROG32" s="47"/>
      <c r="ROH32" s="47"/>
      <c r="ROI32" s="47"/>
      <c r="ROJ32" s="47"/>
      <c r="ROK32" s="47"/>
      <c r="ROL32" s="47"/>
      <c r="ROM32" s="47"/>
      <c r="RON32" s="47"/>
      <c r="ROO32" s="47"/>
      <c r="ROP32" s="47"/>
      <c r="ROQ32" s="47"/>
      <c r="ROR32" s="47"/>
      <c r="ROS32" s="47"/>
      <c r="ROT32" s="47"/>
      <c r="ROU32" s="47"/>
      <c r="ROV32" s="47"/>
      <c r="ROW32" s="47"/>
      <c r="ROX32" s="47"/>
      <c r="ROY32" s="47"/>
      <c r="ROZ32" s="47"/>
      <c r="RPA32" s="47"/>
      <c r="RPB32" s="47"/>
      <c r="RPC32" s="47"/>
      <c r="RPD32" s="47"/>
      <c r="RPE32" s="47"/>
      <c r="RPF32" s="47"/>
      <c r="RPG32" s="47"/>
      <c r="RPH32" s="47"/>
      <c r="RPI32" s="47"/>
      <c r="RPJ32" s="47"/>
      <c r="RPK32" s="47"/>
      <c r="RPL32" s="47"/>
      <c r="RPM32" s="47"/>
      <c r="RPN32" s="47"/>
      <c r="RPO32" s="47"/>
      <c r="RPP32" s="47"/>
      <c r="RPQ32" s="47"/>
      <c r="RPR32" s="47"/>
      <c r="RPS32" s="47"/>
      <c r="RPT32" s="47"/>
      <c r="RPU32" s="47"/>
      <c r="RPV32" s="47"/>
      <c r="RPW32" s="47"/>
      <c r="RPX32" s="47"/>
      <c r="RPY32" s="47"/>
      <c r="RPZ32" s="47"/>
      <c r="RQA32" s="47"/>
      <c r="RQB32" s="47"/>
      <c r="RQC32" s="47"/>
      <c r="RQD32" s="47"/>
      <c r="RQE32" s="47"/>
      <c r="RQF32" s="47"/>
      <c r="RQG32" s="47"/>
      <c r="RQH32" s="47"/>
      <c r="RQI32" s="47"/>
      <c r="RQJ32" s="47"/>
      <c r="RQK32" s="47"/>
      <c r="RQL32" s="47"/>
      <c r="RQM32" s="47"/>
      <c r="RQN32" s="47"/>
      <c r="RQO32" s="47"/>
      <c r="RQP32" s="47"/>
      <c r="RQQ32" s="47"/>
      <c r="RQR32" s="47"/>
      <c r="RQS32" s="47"/>
      <c r="RQT32" s="47"/>
      <c r="RQU32" s="47"/>
      <c r="RQV32" s="47"/>
      <c r="RQW32" s="47"/>
      <c r="RQX32" s="47"/>
      <c r="RQY32" s="47"/>
      <c r="RQZ32" s="47"/>
      <c r="RRA32" s="47"/>
      <c r="RRB32" s="47"/>
      <c r="RRC32" s="47"/>
      <c r="RRD32" s="47"/>
      <c r="RRE32" s="47"/>
      <c r="RRF32" s="47"/>
      <c r="RRG32" s="47"/>
      <c r="RRH32" s="47"/>
      <c r="RRI32" s="47"/>
      <c r="RRJ32" s="47"/>
      <c r="RRK32" s="47"/>
      <c r="RRL32" s="47"/>
      <c r="RRM32" s="47"/>
      <c r="RRN32" s="47"/>
      <c r="RRO32" s="47"/>
      <c r="RRP32" s="47"/>
      <c r="RRQ32" s="47"/>
      <c r="RRR32" s="47"/>
      <c r="RRS32" s="47"/>
      <c r="RRT32" s="47"/>
      <c r="RRU32" s="47"/>
      <c r="RRV32" s="47"/>
      <c r="RRW32" s="47"/>
      <c r="RRX32" s="47"/>
      <c r="RRY32" s="47"/>
      <c r="RRZ32" s="47"/>
      <c r="RSA32" s="47"/>
      <c r="RSB32" s="47"/>
      <c r="RSC32" s="47"/>
      <c r="RSD32" s="47"/>
      <c r="RSE32" s="47"/>
      <c r="RSF32" s="47"/>
      <c r="RSG32" s="47"/>
      <c r="RSH32" s="47"/>
      <c r="RSI32" s="47"/>
      <c r="RSJ32" s="47"/>
      <c r="RSK32" s="47"/>
      <c r="RSL32" s="47"/>
      <c r="RSM32" s="47"/>
      <c r="RSN32" s="47"/>
      <c r="RSO32" s="47"/>
      <c r="RSP32" s="47"/>
      <c r="RSQ32" s="47"/>
      <c r="RSR32" s="47"/>
      <c r="RSS32" s="47"/>
      <c r="RST32" s="47"/>
      <c r="RSU32" s="47"/>
      <c r="RSV32" s="47"/>
      <c r="RSW32" s="47"/>
      <c r="RSX32" s="47"/>
      <c r="RSY32" s="47"/>
      <c r="RSZ32" s="47"/>
      <c r="RTA32" s="47"/>
      <c r="RTB32" s="47"/>
      <c r="RTC32" s="47"/>
      <c r="RTD32" s="47"/>
      <c r="RTE32" s="47"/>
      <c r="RTF32" s="47"/>
      <c r="RTG32" s="47"/>
      <c r="RTH32" s="47"/>
      <c r="RTI32" s="47"/>
      <c r="RTJ32" s="47"/>
      <c r="RTK32" s="47"/>
      <c r="RTL32" s="47"/>
      <c r="RTM32" s="47"/>
      <c r="RTN32" s="47"/>
      <c r="RTO32" s="47"/>
      <c r="RTP32" s="47"/>
      <c r="RTQ32" s="47"/>
      <c r="RTR32" s="47"/>
      <c r="RTS32" s="47"/>
      <c r="RTT32" s="47"/>
      <c r="RTU32" s="47"/>
      <c r="RTV32" s="47"/>
      <c r="RTW32" s="47"/>
      <c r="RTX32" s="47"/>
      <c r="RTY32" s="47"/>
      <c r="RTZ32" s="47"/>
      <c r="RUA32" s="47"/>
      <c r="RUB32" s="47"/>
      <c r="RUC32" s="47"/>
      <c r="RUD32" s="47"/>
      <c r="RUE32" s="47"/>
      <c r="RUF32" s="47"/>
      <c r="RUG32" s="47"/>
      <c r="RUH32" s="47"/>
      <c r="RUI32" s="47"/>
      <c r="RUJ32" s="47"/>
      <c r="RUK32" s="47"/>
      <c r="RUL32" s="47"/>
      <c r="RUM32" s="47"/>
      <c r="RUN32" s="47"/>
      <c r="RUO32" s="47"/>
      <c r="RUP32" s="47"/>
      <c r="RUQ32" s="47"/>
      <c r="RUR32" s="47"/>
      <c r="RUS32" s="47"/>
      <c r="RUT32" s="47"/>
      <c r="RUU32" s="47"/>
      <c r="RUV32" s="47"/>
      <c r="RUW32" s="47"/>
      <c r="RUX32" s="47"/>
      <c r="RUY32" s="47"/>
      <c r="RUZ32" s="47"/>
      <c r="RVA32" s="47"/>
      <c r="RVB32" s="47"/>
      <c r="RVC32" s="47"/>
      <c r="RVD32" s="47"/>
      <c r="RVE32" s="47"/>
      <c r="RVF32" s="47"/>
      <c r="RVG32" s="47"/>
      <c r="RVH32" s="47"/>
      <c r="RVI32" s="47"/>
      <c r="RVJ32" s="47"/>
      <c r="RVK32" s="47"/>
      <c r="RVL32" s="47"/>
      <c r="RVM32" s="47"/>
      <c r="RVN32" s="47"/>
      <c r="RVO32" s="47"/>
      <c r="RVP32" s="47"/>
      <c r="RVQ32" s="47"/>
      <c r="RVR32" s="47"/>
      <c r="RVS32" s="47"/>
      <c r="RVT32" s="47"/>
      <c r="RVU32" s="47"/>
      <c r="RVV32" s="47"/>
      <c r="RVW32" s="47"/>
      <c r="RVX32" s="47"/>
      <c r="RVY32" s="47"/>
      <c r="RVZ32" s="47"/>
      <c r="RWA32" s="47"/>
      <c r="RWB32" s="47"/>
      <c r="RWC32" s="47"/>
      <c r="RWD32" s="47"/>
      <c r="RWE32" s="47"/>
      <c r="RWF32" s="47"/>
      <c r="RWG32" s="47"/>
      <c r="RWH32" s="47"/>
      <c r="RWI32" s="47"/>
      <c r="RWJ32" s="47"/>
      <c r="RWK32" s="47"/>
      <c r="RWL32" s="47"/>
      <c r="RWM32" s="47"/>
      <c r="RWN32" s="47"/>
      <c r="RWO32" s="47"/>
      <c r="RWP32" s="47"/>
      <c r="RWQ32" s="47"/>
      <c r="RWR32" s="47"/>
      <c r="RWS32" s="47"/>
      <c r="RWT32" s="47"/>
      <c r="RWU32" s="47"/>
      <c r="RWV32" s="47"/>
      <c r="RWW32" s="47"/>
      <c r="RWX32" s="47"/>
      <c r="RWY32" s="47"/>
      <c r="RWZ32" s="47"/>
      <c r="RXA32" s="47"/>
      <c r="RXB32" s="47"/>
      <c r="RXC32" s="47"/>
      <c r="RXD32" s="47"/>
      <c r="RXE32" s="47"/>
      <c r="RXF32" s="47"/>
      <c r="RXG32" s="47"/>
      <c r="RXH32" s="47"/>
      <c r="RXI32" s="47"/>
      <c r="RXJ32" s="47"/>
      <c r="RXK32" s="47"/>
      <c r="RXL32" s="47"/>
      <c r="RXM32" s="47"/>
      <c r="RXN32" s="47"/>
      <c r="RXO32" s="47"/>
      <c r="RXP32" s="47"/>
      <c r="RXQ32" s="47"/>
      <c r="RXR32" s="47"/>
      <c r="RXS32" s="47"/>
      <c r="RXT32" s="47"/>
      <c r="RXU32" s="47"/>
      <c r="RXV32" s="47"/>
      <c r="RXW32" s="47"/>
      <c r="RXX32" s="47"/>
      <c r="RXY32" s="47"/>
      <c r="RXZ32" s="47"/>
      <c r="RYA32" s="47"/>
      <c r="RYB32" s="47"/>
      <c r="RYC32" s="47"/>
      <c r="RYD32" s="47"/>
      <c r="RYE32" s="47"/>
      <c r="RYF32" s="47"/>
      <c r="RYG32" s="47"/>
      <c r="RYH32" s="47"/>
      <c r="RYI32" s="47"/>
      <c r="RYJ32" s="47"/>
      <c r="RYK32" s="47"/>
      <c r="RYL32" s="47"/>
      <c r="RYM32" s="47"/>
      <c r="RYN32" s="47"/>
      <c r="RYO32" s="47"/>
      <c r="RYP32" s="47"/>
      <c r="RYQ32" s="47"/>
      <c r="RYR32" s="47"/>
      <c r="RYS32" s="47"/>
      <c r="RYT32" s="47"/>
      <c r="RYU32" s="47"/>
      <c r="RYV32" s="47"/>
      <c r="RYW32" s="47"/>
      <c r="RYX32" s="47"/>
      <c r="RYY32" s="47"/>
      <c r="RYZ32" s="47"/>
      <c r="RZA32" s="47"/>
      <c r="RZB32" s="47"/>
      <c r="RZC32" s="47"/>
      <c r="RZD32" s="47"/>
      <c r="RZE32" s="47"/>
      <c r="RZF32" s="47"/>
      <c r="RZG32" s="47"/>
      <c r="RZH32" s="47"/>
      <c r="RZI32" s="47"/>
      <c r="RZJ32" s="47"/>
      <c r="RZK32" s="47"/>
      <c r="RZL32" s="47"/>
      <c r="RZM32" s="47"/>
      <c r="RZN32" s="47"/>
      <c r="RZO32" s="47"/>
      <c r="RZP32" s="47"/>
      <c r="RZQ32" s="47"/>
      <c r="RZR32" s="47"/>
      <c r="RZS32" s="47"/>
      <c r="RZT32" s="47"/>
      <c r="RZU32" s="47"/>
      <c r="RZV32" s="47"/>
      <c r="RZW32" s="47"/>
      <c r="RZX32" s="47"/>
      <c r="RZY32" s="47"/>
      <c r="RZZ32" s="47"/>
      <c r="SAA32" s="47"/>
      <c r="SAB32" s="47"/>
      <c r="SAC32" s="47"/>
      <c r="SAD32" s="47"/>
      <c r="SAE32" s="47"/>
      <c r="SAF32" s="47"/>
      <c r="SAG32" s="47"/>
      <c r="SAH32" s="47"/>
      <c r="SAI32" s="47"/>
      <c r="SAJ32" s="47"/>
      <c r="SAK32" s="47"/>
      <c r="SAL32" s="47"/>
      <c r="SAM32" s="47"/>
      <c r="SAN32" s="47"/>
      <c r="SAO32" s="47"/>
      <c r="SAP32" s="47"/>
      <c r="SAQ32" s="47"/>
      <c r="SAR32" s="47"/>
      <c r="SAS32" s="47"/>
      <c r="SAT32" s="47"/>
      <c r="SAU32" s="47"/>
      <c r="SAV32" s="47"/>
      <c r="SAW32" s="47"/>
      <c r="SAX32" s="47"/>
      <c r="SAY32" s="47"/>
      <c r="SAZ32" s="47"/>
      <c r="SBA32" s="47"/>
      <c r="SBB32" s="47"/>
      <c r="SBC32" s="47"/>
      <c r="SBD32" s="47"/>
      <c r="SBE32" s="47"/>
      <c r="SBF32" s="47"/>
      <c r="SBG32" s="47"/>
      <c r="SBH32" s="47"/>
      <c r="SBI32" s="47"/>
      <c r="SBJ32" s="47"/>
      <c r="SBK32" s="47"/>
      <c r="SBL32" s="47"/>
      <c r="SBM32" s="47"/>
      <c r="SBN32" s="47"/>
      <c r="SBO32" s="47"/>
      <c r="SBP32" s="47"/>
      <c r="SBQ32" s="47"/>
      <c r="SBR32" s="47"/>
      <c r="SBS32" s="47"/>
      <c r="SBT32" s="47"/>
      <c r="SBU32" s="47"/>
      <c r="SBV32" s="47"/>
      <c r="SBW32" s="47"/>
      <c r="SBX32" s="47"/>
      <c r="SBY32" s="47"/>
      <c r="SBZ32" s="47"/>
      <c r="SCA32" s="47"/>
      <c r="SCB32" s="47"/>
      <c r="SCC32" s="47"/>
      <c r="SCD32" s="47"/>
      <c r="SCE32" s="47"/>
      <c r="SCF32" s="47"/>
      <c r="SCG32" s="47"/>
      <c r="SCH32" s="47"/>
      <c r="SCI32" s="47"/>
      <c r="SCJ32" s="47"/>
      <c r="SCK32" s="47"/>
      <c r="SCL32" s="47"/>
      <c r="SCM32" s="47"/>
      <c r="SCN32" s="47"/>
      <c r="SCO32" s="47"/>
      <c r="SCP32" s="47"/>
      <c r="SCQ32" s="47"/>
      <c r="SCR32" s="47"/>
      <c r="SCS32" s="47"/>
      <c r="SCT32" s="47"/>
      <c r="SCU32" s="47"/>
      <c r="SCV32" s="47"/>
      <c r="SCW32" s="47"/>
      <c r="SCX32" s="47"/>
      <c r="SCY32" s="47"/>
      <c r="SCZ32" s="47"/>
      <c r="SDA32" s="47"/>
      <c r="SDB32" s="47"/>
      <c r="SDC32" s="47"/>
      <c r="SDD32" s="47"/>
      <c r="SDE32" s="47"/>
      <c r="SDF32" s="47"/>
      <c r="SDG32" s="47"/>
      <c r="SDH32" s="47"/>
      <c r="SDI32" s="47"/>
      <c r="SDJ32" s="47"/>
      <c r="SDK32" s="47"/>
      <c r="SDL32" s="47"/>
      <c r="SDM32" s="47"/>
      <c r="SDN32" s="47"/>
      <c r="SDO32" s="47"/>
      <c r="SDP32" s="47"/>
      <c r="SDQ32" s="47"/>
      <c r="SDR32" s="47"/>
      <c r="SDS32" s="47"/>
      <c r="SDT32" s="47"/>
      <c r="SDU32" s="47"/>
      <c r="SDV32" s="47"/>
      <c r="SDW32" s="47"/>
      <c r="SDX32" s="47"/>
      <c r="SDY32" s="47"/>
      <c r="SDZ32" s="47"/>
      <c r="SEA32" s="47"/>
      <c r="SEB32" s="47"/>
      <c r="SEC32" s="47"/>
      <c r="SED32" s="47"/>
      <c r="SEE32" s="47"/>
      <c r="SEF32" s="47"/>
      <c r="SEG32" s="47"/>
      <c r="SEH32" s="47"/>
      <c r="SEI32" s="47"/>
      <c r="SEJ32" s="47"/>
      <c r="SEK32" s="47"/>
      <c r="SEL32" s="47"/>
      <c r="SEM32" s="47"/>
      <c r="SEN32" s="47"/>
      <c r="SEO32" s="47"/>
      <c r="SEP32" s="47"/>
      <c r="SEQ32" s="47"/>
      <c r="SER32" s="47"/>
      <c r="SES32" s="47"/>
      <c r="SET32" s="47"/>
      <c r="SEU32" s="47"/>
      <c r="SEV32" s="47"/>
      <c r="SEW32" s="47"/>
      <c r="SEX32" s="47"/>
      <c r="SEY32" s="47"/>
      <c r="SEZ32" s="47"/>
      <c r="SFA32" s="47"/>
      <c r="SFB32" s="47"/>
      <c r="SFC32" s="47"/>
      <c r="SFD32" s="47"/>
      <c r="SFE32" s="47"/>
      <c r="SFF32" s="47"/>
      <c r="SFG32" s="47"/>
      <c r="SFH32" s="47"/>
      <c r="SFI32" s="47"/>
      <c r="SFJ32" s="47"/>
      <c r="SFK32" s="47"/>
      <c r="SFL32" s="47"/>
      <c r="SFM32" s="47"/>
      <c r="SFN32" s="47"/>
      <c r="SFO32" s="47"/>
      <c r="SFP32" s="47"/>
      <c r="SFQ32" s="47"/>
      <c r="SFR32" s="47"/>
      <c r="SFS32" s="47"/>
      <c r="SFT32" s="47"/>
      <c r="SFU32" s="47"/>
      <c r="SFV32" s="47"/>
      <c r="SFW32" s="47"/>
      <c r="SFX32" s="47"/>
      <c r="SFY32" s="47"/>
      <c r="SFZ32" s="47"/>
      <c r="SGA32" s="47"/>
      <c r="SGB32" s="47"/>
      <c r="SGC32" s="47"/>
      <c r="SGD32" s="47"/>
      <c r="SGE32" s="47"/>
      <c r="SGF32" s="47"/>
      <c r="SGG32" s="47"/>
      <c r="SGH32" s="47"/>
      <c r="SGI32" s="47"/>
      <c r="SGJ32" s="47"/>
      <c r="SGK32" s="47"/>
      <c r="SGL32" s="47"/>
      <c r="SGM32" s="47"/>
      <c r="SGN32" s="47"/>
      <c r="SGO32" s="47"/>
      <c r="SGP32" s="47"/>
      <c r="SGQ32" s="47"/>
      <c r="SGR32" s="47"/>
      <c r="SGS32" s="47"/>
      <c r="SGT32" s="47"/>
      <c r="SGU32" s="47"/>
      <c r="SGV32" s="47"/>
      <c r="SGW32" s="47"/>
      <c r="SGX32" s="47"/>
      <c r="SGY32" s="47"/>
      <c r="SGZ32" s="47"/>
      <c r="SHA32" s="47"/>
      <c r="SHB32" s="47"/>
      <c r="SHC32" s="47"/>
      <c r="SHD32" s="47"/>
      <c r="SHE32" s="47"/>
      <c r="SHF32" s="47"/>
      <c r="SHG32" s="47"/>
      <c r="SHH32" s="47"/>
      <c r="SHI32" s="47"/>
      <c r="SHJ32" s="47"/>
      <c r="SHK32" s="47"/>
      <c r="SHL32" s="47"/>
      <c r="SHM32" s="47"/>
      <c r="SHN32" s="47"/>
      <c r="SHO32" s="47"/>
      <c r="SHP32" s="47"/>
      <c r="SHQ32" s="47"/>
      <c r="SHR32" s="47"/>
      <c r="SHS32" s="47"/>
      <c r="SHT32" s="47"/>
      <c r="SHU32" s="47"/>
      <c r="SHV32" s="47"/>
      <c r="SHW32" s="47"/>
      <c r="SHX32" s="47"/>
      <c r="SHY32" s="47"/>
      <c r="SHZ32" s="47"/>
      <c r="SIA32" s="47"/>
      <c r="SIB32" s="47"/>
      <c r="SIC32" s="47"/>
      <c r="SID32" s="47"/>
      <c r="SIE32" s="47"/>
      <c r="SIF32" s="47"/>
      <c r="SIG32" s="47"/>
      <c r="SIH32" s="47"/>
      <c r="SII32" s="47"/>
      <c r="SIJ32" s="47"/>
      <c r="SIK32" s="47"/>
      <c r="SIL32" s="47"/>
      <c r="SIM32" s="47"/>
      <c r="SIN32" s="47"/>
      <c r="SIO32" s="47"/>
      <c r="SIP32" s="47"/>
      <c r="SIQ32" s="47"/>
      <c r="SIR32" s="47"/>
      <c r="SIS32" s="47"/>
      <c r="SIT32" s="47"/>
      <c r="SIU32" s="47"/>
      <c r="SIV32" s="47"/>
      <c r="SIW32" s="47"/>
      <c r="SIX32" s="47"/>
      <c r="SIY32" s="47"/>
      <c r="SIZ32" s="47"/>
      <c r="SJA32" s="47"/>
      <c r="SJB32" s="47"/>
      <c r="SJC32" s="47"/>
      <c r="SJD32" s="47"/>
      <c r="SJE32" s="47"/>
      <c r="SJF32" s="47"/>
      <c r="SJG32" s="47"/>
      <c r="SJH32" s="47"/>
      <c r="SJI32" s="47"/>
      <c r="SJJ32" s="47"/>
      <c r="SJK32" s="47"/>
      <c r="SJL32" s="47"/>
      <c r="SJM32" s="47"/>
      <c r="SJN32" s="47"/>
      <c r="SJO32" s="47"/>
      <c r="SJP32" s="47"/>
      <c r="SJQ32" s="47"/>
      <c r="SJR32" s="47"/>
      <c r="SJS32" s="47"/>
      <c r="SJT32" s="47"/>
      <c r="SJU32" s="47"/>
      <c r="SJV32" s="47"/>
      <c r="SJW32" s="47"/>
      <c r="SJX32" s="47"/>
      <c r="SJY32" s="47"/>
      <c r="SJZ32" s="47"/>
      <c r="SKA32" s="47"/>
      <c r="SKB32" s="47"/>
      <c r="SKC32" s="47"/>
      <c r="SKD32" s="47"/>
      <c r="SKE32" s="47"/>
      <c r="SKF32" s="47"/>
      <c r="SKG32" s="47"/>
      <c r="SKH32" s="47"/>
      <c r="SKI32" s="47"/>
      <c r="SKJ32" s="47"/>
      <c r="SKK32" s="47"/>
      <c r="SKL32" s="47"/>
      <c r="SKM32" s="47"/>
      <c r="SKN32" s="47"/>
      <c r="SKO32" s="47"/>
      <c r="SKP32" s="47"/>
      <c r="SKQ32" s="47"/>
      <c r="SKR32" s="47"/>
      <c r="SKS32" s="47"/>
      <c r="SKT32" s="47"/>
      <c r="SKU32" s="47"/>
      <c r="SKV32" s="47"/>
      <c r="SKW32" s="47"/>
      <c r="SKX32" s="47"/>
      <c r="SKY32" s="47"/>
      <c r="SKZ32" s="47"/>
      <c r="SLA32" s="47"/>
      <c r="SLB32" s="47"/>
      <c r="SLC32" s="47"/>
      <c r="SLD32" s="47"/>
      <c r="SLE32" s="47"/>
      <c r="SLF32" s="47"/>
      <c r="SLG32" s="47"/>
      <c r="SLH32" s="47"/>
      <c r="SLI32" s="47"/>
      <c r="SLJ32" s="47"/>
      <c r="SLK32" s="47"/>
      <c r="SLL32" s="47"/>
      <c r="SLM32" s="47"/>
      <c r="SLN32" s="47"/>
      <c r="SLO32" s="47"/>
      <c r="SLP32" s="47"/>
      <c r="SLQ32" s="47"/>
      <c r="SLR32" s="47"/>
      <c r="SLS32" s="47"/>
      <c r="SLT32" s="47"/>
      <c r="SLU32" s="47"/>
      <c r="SLV32" s="47"/>
      <c r="SLW32" s="47"/>
      <c r="SLX32" s="47"/>
      <c r="SLY32" s="47"/>
      <c r="SLZ32" s="47"/>
      <c r="SMA32" s="47"/>
      <c r="SMB32" s="47"/>
      <c r="SMC32" s="47"/>
      <c r="SMD32" s="47"/>
      <c r="SME32" s="47"/>
      <c r="SMF32" s="47"/>
      <c r="SMG32" s="47"/>
      <c r="SMH32" s="47"/>
      <c r="SMI32" s="47"/>
      <c r="SMJ32" s="47"/>
      <c r="SMK32" s="47"/>
      <c r="SML32" s="47"/>
      <c r="SMM32" s="47"/>
      <c r="SMN32" s="47"/>
      <c r="SMO32" s="47"/>
      <c r="SMP32" s="47"/>
      <c r="SMQ32" s="47"/>
      <c r="SMR32" s="47"/>
      <c r="SMS32" s="47"/>
      <c r="SMT32" s="47"/>
      <c r="SMU32" s="47"/>
      <c r="SMV32" s="47"/>
      <c r="SMW32" s="47"/>
      <c r="SMX32" s="47"/>
      <c r="SMY32" s="47"/>
      <c r="SMZ32" s="47"/>
      <c r="SNA32" s="47"/>
      <c r="SNB32" s="47"/>
      <c r="SNC32" s="47"/>
      <c r="SND32" s="47"/>
      <c r="SNE32" s="47"/>
      <c r="SNF32" s="47"/>
      <c r="SNG32" s="47"/>
      <c r="SNH32" s="47"/>
      <c r="SNI32" s="47"/>
      <c r="SNJ32" s="47"/>
      <c r="SNK32" s="47"/>
      <c r="SNL32" s="47"/>
      <c r="SNM32" s="47"/>
      <c r="SNN32" s="47"/>
      <c r="SNO32" s="47"/>
      <c r="SNP32" s="47"/>
      <c r="SNQ32" s="47"/>
      <c r="SNR32" s="47"/>
      <c r="SNS32" s="47"/>
      <c r="SNT32" s="47"/>
      <c r="SNU32" s="47"/>
      <c r="SNV32" s="47"/>
      <c r="SNW32" s="47"/>
      <c r="SNX32" s="47"/>
      <c r="SNY32" s="47"/>
      <c r="SNZ32" s="47"/>
      <c r="SOA32" s="47"/>
      <c r="SOB32" s="47"/>
      <c r="SOC32" s="47"/>
      <c r="SOD32" s="47"/>
      <c r="SOE32" s="47"/>
      <c r="SOF32" s="47"/>
      <c r="SOG32" s="47"/>
      <c r="SOH32" s="47"/>
      <c r="SOI32" s="47"/>
      <c r="SOJ32" s="47"/>
      <c r="SOK32" s="47"/>
      <c r="SOL32" s="47"/>
      <c r="SOM32" s="47"/>
      <c r="SON32" s="47"/>
      <c r="SOO32" s="47"/>
      <c r="SOP32" s="47"/>
      <c r="SOQ32" s="47"/>
      <c r="SOR32" s="47"/>
      <c r="SOS32" s="47"/>
      <c r="SOT32" s="47"/>
      <c r="SOU32" s="47"/>
      <c r="SOV32" s="47"/>
      <c r="SOW32" s="47"/>
      <c r="SOX32" s="47"/>
      <c r="SOY32" s="47"/>
      <c r="SOZ32" s="47"/>
      <c r="SPA32" s="47"/>
      <c r="SPB32" s="47"/>
      <c r="SPC32" s="47"/>
      <c r="SPD32" s="47"/>
      <c r="SPE32" s="47"/>
      <c r="SPF32" s="47"/>
      <c r="SPG32" s="47"/>
      <c r="SPH32" s="47"/>
      <c r="SPI32" s="47"/>
      <c r="SPJ32" s="47"/>
      <c r="SPK32" s="47"/>
      <c r="SPL32" s="47"/>
      <c r="SPM32" s="47"/>
      <c r="SPN32" s="47"/>
      <c r="SPO32" s="47"/>
      <c r="SPP32" s="47"/>
      <c r="SPQ32" s="47"/>
      <c r="SPR32" s="47"/>
      <c r="SPS32" s="47"/>
      <c r="SPT32" s="47"/>
      <c r="SPU32" s="47"/>
      <c r="SPV32" s="47"/>
      <c r="SPW32" s="47"/>
      <c r="SPX32" s="47"/>
      <c r="SPY32" s="47"/>
      <c r="SPZ32" s="47"/>
      <c r="SQA32" s="47"/>
      <c r="SQB32" s="47"/>
      <c r="SQC32" s="47"/>
      <c r="SQD32" s="47"/>
      <c r="SQE32" s="47"/>
      <c r="SQF32" s="47"/>
      <c r="SQG32" s="47"/>
      <c r="SQH32" s="47"/>
      <c r="SQI32" s="47"/>
      <c r="SQJ32" s="47"/>
      <c r="SQK32" s="47"/>
      <c r="SQL32" s="47"/>
      <c r="SQM32" s="47"/>
      <c r="SQN32" s="47"/>
      <c r="SQO32" s="47"/>
      <c r="SQP32" s="47"/>
      <c r="SQQ32" s="47"/>
      <c r="SQR32" s="47"/>
      <c r="SQS32" s="47"/>
      <c r="SQT32" s="47"/>
      <c r="SQU32" s="47"/>
      <c r="SQV32" s="47"/>
      <c r="SQW32" s="47"/>
      <c r="SQX32" s="47"/>
      <c r="SQY32" s="47"/>
      <c r="SQZ32" s="47"/>
      <c r="SRA32" s="47"/>
      <c r="SRB32" s="47"/>
      <c r="SRC32" s="47"/>
      <c r="SRD32" s="47"/>
      <c r="SRE32" s="47"/>
      <c r="SRF32" s="47"/>
      <c r="SRG32" s="47"/>
      <c r="SRH32" s="47"/>
      <c r="SRI32" s="47"/>
      <c r="SRJ32" s="47"/>
      <c r="SRK32" s="47"/>
      <c r="SRL32" s="47"/>
      <c r="SRM32" s="47"/>
      <c r="SRN32" s="47"/>
      <c r="SRO32" s="47"/>
      <c r="SRP32" s="47"/>
      <c r="SRQ32" s="47"/>
      <c r="SRR32" s="47"/>
      <c r="SRS32" s="47"/>
      <c r="SRT32" s="47"/>
      <c r="SRU32" s="47"/>
      <c r="SRV32" s="47"/>
      <c r="SRW32" s="47"/>
      <c r="SRX32" s="47"/>
      <c r="SRY32" s="47"/>
      <c r="SRZ32" s="47"/>
      <c r="SSA32" s="47"/>
      <c r="SSB32" s="47"/>
      <c r="SSC32" s="47"/>
      <c r="SSD32" s="47"/>
      <c r="SSE32" s="47"/>
      <c r="SSF32" s="47"/>
      <c r="SSG32" s="47"/>
      <c r="SSH32" s="47"/>
      <c r="SSI32" s="47"/>
      <c r="SSJ32" s="47"/>
      <c r="SSK32" s="47"/>
      <c r="SSL32" s="47"/>
      <c r="SSM32" s="47"/>
      <c r="SSN32" s="47"/>
      <c r="SSO32" s="47"/>
      <c r="SSP32" s="47"/>
      <c r="SSQ32" s="47"/>
      <c r="SSR32" s="47"/>
      <c r="SSS32" s="47"/>
      <c r="SST32" s="47"/>
      <c r="SSU32" s="47"/>
      <c r="SSV32" s="47"/>
      <c r="SSW32" s="47"/>
      <c r="SSX32" s="47"/>
      <c r="SSY32" s="47"/>
      <c r="SSZ32" s="47"/>
      <c r="STA32" s="47"/>
      <c r="STB32" s="47"/>
      <c r="STC32" s="47"/>
      <c r="STD32" s="47"/>
      <c r="STE32" s="47"/>
      <c r="STF32" s="47"/>
      <c r="STG32" s="47"/>
      <c r="STH32" s="47"/>
      <c r="STI32" s="47"/>
      <c r="STJ32" s="47"/>
      <c r="STK32" s="47"/>
      <c r="STL32" s="47"/>
      <c r="STM32" s="47"/>
      <c r="STN32" s="47"/>
      <c r="STO32" s="47"/>
      <c r="STP32" s="47"/>
      <c r="STQ32" s="47"/>
      <c r="STR32" s="47"/>
      <c r="STS32" s="47"/>
      <c r="STT32" s="47"/>
      <c r="STU32" s="47"/>
      <c r="STV32" s="47"/>
      <c r="STW32" s="47"/>
      <c r="STX32" s="47"/>
      <c r="STY32" s="47"/>
      <c r="STZ32" s="47"/>
      <c r="SUA32" s="47"/>
      <c r="SUB32" s="47"/>
      <c r="SUC32" s="47"/>
      <c r="SUD32" s="47"/>
      <c r="SUE32" s="47"/>
      <c r="SUF32" s="47"/>
      <c r="SUG32" s="47"/>
      <c r="SUH32" s="47"/>
      <c r="SUI32" s="47"/>
      <c r="SUJ32" s="47"/>
      <c r="SUK32" s="47"/>
      <c r="SUL32" s="47"/>
      <c r="SUM32" s="47"/>
      <c r="SUN32" s="47"/>
      <c r="SUO32" s="47"/>
      <c r="SUP32" s="47"/>
      <c r="SUQ32" s="47"/>
      <c r="SUR32" s="47"/>
      <c r="SUS32" s="47"/>
      <c r="SUT32" s="47"/>
      <c r="SUU32" s="47"/>
      <c r="SUV32" s="47"/>
      <c r="SUW32" s="47"/>
      <c r="SUX32" s="47"/>
      <c r="SUY32" s="47"/>
      <c r="SUZ32" s="47"/>
      <c r="SVA32" s="47"/>
      <c r="SVB32" s="47"/>
      <c r="SVC32" s="47"/>
      <c r="SVD32" s="47"/>
      <c r="SVE32" s="47"/>
      <c r="SVF32" s="47"/>
      <c r="SVG32" s="47"/>
      <c r="SVH32" s="47"/>
      <c r="SVI32" s="47"/>
      <c r="SVJ32" s="47"/>
      <c r="SVK32" s="47"/>
      <c r="SVL32" s="47"/>
      <c r="SVM32" s="47"/>
      <c r="SVN32" s="47"/>
      <c r="SVO32" s="47"/>
      <c r="SVP32" s="47"/>
      <c r="SVQ32" s="47"/>
      <c r="SVR32" s="47"/>
      <c r="SVS32" s="47"/>
      <c r="SVT32" s="47"/>
      <c r="SVU32" s="47"/>
      <c r="SVV32" s="47"/>
      <c r="SVW32" s="47"/>
      <c r="SVX32" s="47"/>
      <c r="SVY32" s="47"/>
      <c r="SVZ32" s="47"/>
      <c r="SWA32" s="47"/>
      <c r="SWB32" s="47"/>
      <c r="SWC32" s="47"/>
      <c r="SWD32" s="47"/>
      <c r="SWE32" s="47"/>
      <c r="SWF32" s="47"/>
      <c r="SWG32" s="47"/>
      <c r="SWH32" s="47"/>
      <c r="SWI32" s="47"/>
      <c r="SWJ32" s="47"/>
      <c r="SWK32" s="47"/>
      <c r="SWL32" s="47"/>
      <c r="SWM32" s="47"/>
      <c r="SWN32" s="47"/>
      <c r="SWO32" s="47"/>
      <c r="SWP32" s="47"/>
      <c r="SWQ32" s="47"/>
      <c r="SWR32" s="47"/>
      <c r="SWS32" s="47"/>
      <c r="SWT32" s="47"/>
      <c r="SWU32" s="47"/>
      <c r="SWV32" s="47"/>
      <c r="SWW32" s="47"/>
      <c r="SWX32" s="47"/>
      <c r="SWY32" s="47"/>
      <c r="SWZ32" s="47"/>
      <c r="SXA32" s="47"/>
      <c r="SXB32" s="47"/>
      <c r="SXC32" s="47"/>
      <c r="SXD32" s="47"/>
      <c r="SXE32" s="47"/>
      <c r="SXF32" s="47"/>
      <c r="SXG32" s="47"/>
      <c r="SXH32" s="47"/>
      <c r="SXI32" s="47"/>
      <c r="SXJ32" s="47"/>
      <c r="SXK32" s="47"/>
      <c r="SXL32" s="47"/>
      <c r="SXM32" s="47"/>
      <c r="SXN32" s="47"/>
      <c r="SXO32" s="47"/>
      <c r="SXP32" s="47"/>
      <c r="SXQ32" s="47"/>
      <c r="SXR32" s="47"/>
      <c r="SXS32" s="47"/>
      <c r="SXT32" s="47"/>
      <c r="SXU32" s="47"/>
      <c r="SXV32" s="47"/>
      <c r="SXW32" s="47"/>
      <c r="SXX32" s="47"/>
      <c r="SXY32" s="47"/>
      <c r="SXZ32" s="47"/>
      <c r="SYA32" s="47"/>
      <c r="SYB32" s="47"/>
      <c r="SYC32" s="47"/>
      <c r="SYD32" s="47"/>
      <c r="SYE32" s="47"/>
      <c r="SYF32" s="47"/>
      <c r="SYG32" s="47"/>
      <c r="SYH32" s="47"/>
      <c r="SYI32" s="47"/>
      <c r="SYJ32" s="47"/>
      <c r="SYK32" s="47"/>
      <c r="SYL32" s="47"/>
      <c r="SYM32" s="47"/>
      <c r="SYN32" s="47"/>
      <c r="SYO32" s="47"/>
      <c r="SYP32" s="47"/>
      <c r="SYQ32" s="47"/>
      <c r="SYR32" s="47"/>
      <c r="SYS32" s="47"/>
      <c r="SYT32" s="47"/>
      <c r="SYU32" s="47"/>
      <c r="SYV32" s="47"/>
      <c r="SYW32" s="47"/>
      <c r="SYX32" s="47"/>
      <c r="SYY32" s="47"/>
      <c r="SYZ32" s="47"/>
      <c r="SZA32" s="47"/>
      <c r="SZB32" s="47"/>
      <c r="SZC32" s="47"/>
      <c r="SZD32" s="47"/>
      <c r="SZE32" s="47"/>
      <c r="SZF32" s="47"/>
      <c r="SZG32" s="47"/>
      <c r="SZH32" s="47"/>
      <c r="SZI32" s="47"/>
      <c r="SZJ32" s="47"/>
      <c r="SZK32" s="47"/>
      <c r="SZL32" s="47"/>
      <c r="SZM32" s="47"/>
      <c r="SZN32" s="47"/>
      <c r="SZO32" s="47"/>
      <c r="SZP32" s="47"/>
      <c r="SZQ32" s="47"/>
      <c r="SZR32" s="47"/>
      <c r="SZS32" s="47"/>
      <c r="SZT32" s="47"/>
      <c r="SZU32" s="47"/>
      <c r="SZV32" s="47"/>
      <c r="SZW32" s="47"/>
      <c r="SZX32" s="47"/>
      <c r="SZY32" s="47"/>
      <c r="SZZ32" s="47"/>
      <c r="TAA32" s="47"/>
      <c r="TAB32" s="47"/>
      <c r="TAC32" s="47"/>
      <c r="TAD32" s="47"/>
      <c r="TAE32" s="47"/>
      <c r="TAF32" s="47"/>
      <c r="TAG32" s="47"/>
      <c r="TAH32" s="47"/>
      <c r="TAI32" s="47"/>
      <c r="TAJ32" s="47"/>
      <c r="TAK32" s="47"/>
      <c r="TAL32" s="47"/>
      <c r="TAM32" s="47"/>
      <c r="TAN32" s="47"/>
      <c r="TAO32" s="47"/>
      <c r="TAP32" s="47"/>
      <c r="TAQ32" s="47"/>
      <c r="TAR32" s="47"/>
      <c r="TAS32" s="47"/>
      <c r="TAT32" s="47"/>
      <c r="TAU32" s="47"/>
      <c r="TAV32" s="47"/>
      <c r="TAW32" s="47"/>
      <c r="TAX32" s="47"/>
      <c r="TAY32" s="47"/>
      <c r="TAZ32" s="47"/>
      <c r="TBA32" s="47"/>
      <c r="TBB32" s="47"/>
      <c r="TBC32" s="47"/>
      <c r="TBD32" s="47"/>
      <c r="TBE32" s="47"/>
      <c r="TBF32" s="47"/>
      <c r="TBG32" s="47"/>
      <c r="TBH32" s="47"/>
      <c r="TBI32" s="47"/>
      <c r="TBJ32" s="47"/>
      <c r="TBK32" s="47"/>
      <c r="TBL32" s="47"/>
      <c r="TBM32" s="47"/>
      <c r="TBN32" s="47"/>
      <c r="TBO32" s="47"/>
      <c r="TBP32" s="47"/>
      <c r="TBQ32" s="47"/>
      <c r="TBR32" s="47"/>
      <c r="TBS32" s="47"/>
      <c r="TBT32" s="47"/>
      <c r="TBU32" s="47"/>
      <c r="TBV32" s="47"/>
      <c r="TBW32" s="47"/>
      <c r="TBX32" s="47"/>
      <c r="TBY32" s="47"/>
      <c r="TBZ32" s="47"/>
      <c r="TCA32" s="47"/>
      <c r="TCB32" s="47"/>
      <c r="TCC32" s="47"/>
      <c r="TCD32" s="47"/>
      <c r="TCE32" s="47"/>
      <c r="TCF32" s="47"/>
      <c r="TCG32" s="47"/>
      <c r="TCH32" s="47"/>
      <c r="TCI32" s="47"/>
      <c r="TCJ32" s="47"/>
      <c r="TCK32" s="47"/>
      <c r="TCL32" s="47"/>
      <c r="TCM32" s="47"/>
      <c r="TCN32" s="47"/>
      <c r="TCO32" s="47"/>
      <c r="TCP32" s="47"/>
      <c r="TCQ32" s="47"/>
      <c r="TCR32" s="47"/>
      <c r="TCS32" s="47"/>
      <c r="TCT32" s="47"/>
      <c r="TCU32" s="47"/>
      <c r="TCV32" s="47"/>
      <c r="TCW32" s="47"/>
      <c r="TCX32" s="47"/>
      <c r="TCY32" s="47"/>
      <c r="TCZ32" s="47"/>
      <c r="TDA32" s="47"/>
      <c r="TDB32" s="47"/>
      <c r="TDC32" s="47"/>
      <c r="TDD32" s="47"/>
      <c r="TDE32" s="47"/>
      <c r="TDF32" s="47"/>
      <c r="TDG32" s="47"/>
      <c r="TDH32" s="47"/>
      <c r="TDI32" s="47"/>
      <c r="TDJ32" s="47"/>
      <c r="TDK32" s="47"/>
      <c r="TDL32" s="47"/>
      <c r="TDM32" s="47"/>
      <c r="TDN32" s="47"/>
      <c r="TDO32" s="47"/>
      <c r="TDP32" s="47"/>
      <c r="TDQ32" s="47"/>
      <c r="TDR32" s="47"/>
      <c r="TDS32" s="47"/>
      <c r="TDT32" s="47"/>
      <c r="TDU32" s="47"/>
      <c r="TDV32" s="47"/>
      <c r="TDW32" s="47"/>
      <c r="TDX32" s="47"/>
      <c r="TDY32" s="47"/>
      <c r="TDZ32" s="47"/>
      <c r="TEA32" s="47"/>
      <c r="TEB32" s="47"/>
      <c r="TEC32" s="47"/>
      <c r="TED32" s="47"/>
      <c r="TEE32" s="47"/>
      <c r="TEF32" s="47"/>
      <c r="TEG32" s="47"/>
      <c r="TEH32" s="47"/>
      <c r="TEI32" s="47"/>
      <c r="TEJ32" s="47"/>
      <c r="TEK32" s="47"/>
      <c r="TEL32" s="47"/>
      <c r="TEM32" s="47"/>
      <c r="TEN32" s="47"/>
      <c r="TEO32" s="47"/>
      <c r="TEP32" s="47"/>
      <c r="TEQ32" s="47"/>
      <c r="TER32" s="47"/>
      <c r="TES32" s="47"/>
      <c r="TET32" s="47"/>
      <c r="TEU32" s="47"/>
      <c r="TEV32" s="47"/>
      <c r="TEW32" s="47"/>
      <c r="TEX32" s="47"/>
      <c r="TEY32" s="47"/>
      <c r="TEZ32" s="47"/>
      <c r="TFA32" s="47"/>
      <c r="TFB32" s="47"/>
      <c r="TFC32" s="47"/>
      <c r="TFD32" s="47"/>
      <c r="TFE32" s="47"/>
      <c r="TFF32" s="47"/>
      <c r="TFG32" s="47"/>
      <c r="TFH32" s="47"/>
      <c r="TFI32" s="47"/>
      <c r="TFJ32" s="47"/>
      <c r="TFK32" s="47"/>
      <c r="TFL32" s="47"/>
      <c r="TFM32" s="47"/>
      <c r="TFN32" s="47"/>
      <c r="TFO32" s="47"/>
      <c r="TFP32" s="47"/>
      <c r="TFQ32" s="47"/>
      <c r="TFR32" s="47"/>
      <c r="TFS32" s="47"/>
      <c r="TFT32" s="47"/>
      <c r="TFU32" s="47"/>
      <c r="TFV32" s="47"/>
      <c r="TFW32" s="47"/>
      <c r="TFX32" s="47"/>
      <c r="TFY32" s="47"/>
      <c r="TFZ32" s="47"/>
      <c r="TGA32" s="47"/>
      <c r="TGB32" s="47"/>
      <c r="TGC32" s="47"/>
      <c r="TGD32" s="47"/>
      <c r="TGE32" s="47"/>
      <c r="TGF32" s="47"/>
      <c r="TGG32" s="47"/>
      <c r="TGH32" s="47"/>
      <c r="TGI32" s="47"/>
      <c r="TGJ32" s="47"/>
      <c r="TGK32" s="47"/>
      <c r="TGL32" s="47"/>
      <c r="TGM32" s="47"/>
      <c r="TGN32" s="47"/>
      <c r="TGO32" s="47"/>
      <c r="TGP32" s="47"/>
      <c r="TGQ32" s="47"/>
      <c r="TGR32" s="47"/>
      <c r="TGS32" s="47"/>
      <c r="TGT32" s="47"/>
      <c r="TGU32" s="47"/>
      <c r="TGV32" s="47"/>
      <c r="TGW32" s="47"/>
      <c r="TGX32" s="47"/>
      <c r="TGY32" s="47"/>
      <c r="TGZ32" s="47"/>
      <c r="THA32" s="47"/>
      <c r="THB32" s="47"/>
      <c r="THC32" s="47"/>
      <c r="THD32" s="47"/>
      <c r="THE32" s="47"/>
      <c r="THF32" s="47"/>
      <c r="THG32" s="47"/>
      <c r="THH32" s="47"/>
      <c r="THI32" s="47"/>
      <c r="THJ32" s="47"/>
      <c r="THK32" s="47"/>
      <c r="THL32" s="47"/>
      <c r="THM32" s="47"/>
      <c r="THN32" s="47"/>
      <c r="THO32" s="47"/>
      <c r="THP32" s="47"/>
      <c r="THQ32" s="47"/>
      <c r="THR32" s="47"/>
      <c r="THS32" s="47"/>
      <c r="THT32" s="47"/>
      <c r="THU32" s="47"/>
      <c r="THV32" s="47"/>
      <c r="THW32" s="47"/>
      <c r="THX32" s="47"/>
      <c r="THY32" s="47"/>
      <c r="THZ32" s="47"/>
      <c r="TIA32" s="47"/>
      <c r="TIB32" s="47"/>
      <c r="TIC32" s="47"/>
      <c r="TID32" s="47"/>
      <c r="TIE32" s="47"/>
      <c r="TIF32" s="47"/>
      <c r="TIG32" s="47"/>
      <c r="TIH32" s="47"/>
      <c r="TII32" s="47"/>
      <c r="TIJ32" s="47"/>
      <c r="TIK32" s="47"/>
      <c r="TIL32" s="47"/>
      <c r="TIM32" s="47"/>
      <c r="TIN32" s="47"/>
      <c r="TIO32" s="47"/>
      <c r="TIP32" s="47"/>
      <c r="TIQ32" s="47"/>
      <c r="TIR32" s="47"/>
      <c r="TIS32" s="47"/>
      <c r="TIT32" s="47"/>
      <c r="TIU32" s="47"/>
      <c r="TIV32" s="47"/>
      <c r="TIW32" s="47"/>
      <c r="TIX32" s="47"/>
      <c r="TIY32" s="47"/>
      <c r="TIZ32" s="47"/>
      <c r="TJA32" s="47"/>
      <c r="TJB32" s="47"/>
      <c r="TJC32" s="47"/>
      <c r="TJD32" s="47"/>
      <c r="TJE32" s="47"/>
      <c r="TJF32" s="47"/>
      <c r="TJG32" s="47"/>
      <c r="TJH32" s="47"/>
      <c r="TJI32" s="47"/>
      <c r="TJJ32" s="47"/>
      <c r="TJK32" s="47"/>
      <c r="TJL32" s="47"/>
      <c r="TJM32" s="47"/>
      <c r="TJN32" s="47"/>
      <c r="TJO32" s="47"/>
      <c r="TJP32" s="47"/>
      <c r="TJQ32" s="47"/>
      <c r="TJR32" s="47"/>
      <c r="TJS32" s="47"/>
      <c r="TJT32" s="47"/>
      <c r="TJU32" s="47"/>
      <c r="TJV32" s="47"/>
      <c r="TJW32" s="47"/>
      <c r="TJX32" s="47"/>
      <c r="TJY32" s="47"/>
      <c r="TJZ32" s="47"/>
      <c r="TKA32" s="47"/>
      <c r="TKB32" s="47"/>
      <c r="TKC32" s="47"/>
      <c r="TKD32" s="47"/>
      <c r="TKE32" s="47"/>
      <c r="TKF32" s="47"/>
      <c r="TKG32" s="47"/>
      <c r="TKH32" s="47"/>
      <c r="TKI32" s="47"/>
      <c r="TKJ32" s="47"/>
      <c r="TKK32" s="47"/>
      <c r="TKL32" s="47"/>
      <c r="TKM32" s="47"/>
      <c r="TKN32" s="47"/>
      <c r="TKO32" s="47"/>
      <c r="TKP32" s="47"/>
      <c r="TKQ32" s="47"/>
      <c r="TKR32" s="47"/>
      <c r="TKS32" s="47"/>
      <c r="TKT32" s="47"/>
      <c r="TKU32" s="47"/>
      <c r="TKV32" s="47"/>
      <c r="TKW32" s="47"/>
      <c r="TKX32" s="47"/>
      <c r="TKY32" s="47"/>
      <c r="TKZ32" s="47"/>
      <c r="TLA32" s="47"/>
      <c r="TLB32" s="47"/>
      <c r="TLC32" s="47"/>
      <c r="TLD32" s="47"/>
      <c r="TLE32" s="47"/>
      <c r="TLF32" s="47"/>
      <c r="TLG32" s="47"/>
      <c r="TLH32" s="47"/>
      <c r="TLI32" s="47"/>
      <c r="TLJ32" s="47"/>
      <c r="TLK32" s="47"/>
      <c r="TLL32" s="47"/>
      <c r="TLM32" s="47"/>
      <c r="TLN32" s="47"/>
      <c r="TLO32" s="47"/>
      <c r="TLP32" s="47"/>
      <c r="TLQ32" s="47"/>
      <c r="TLR32" s="47"/>
      <c r="TLS32" s="47"/>
      <c r="TLT32" s="47"/>
      <c r="TLU32" s="47"/>
      <c r="TLV32" s="47"/>
      <c r="TLW32" s="47"/>
      <c r="TLX32" s="47"/>
      <c r="TLY32" s="47"/>
      <c r="TLZ32" s="47"/>
      <c r="TMA32" s="47"/>
      <c r="TMB32" s="47"/>
      <c r="TMC32" s="47"/>
      <c r="TMD32" s="47"/>
      <c r="TME32" s="47"/>
      <c r="TMF32" s="47"/>
      <c r="TMG32" s="47"/>
      <c r="TMH32" s="47"/>
      <c r="TMI32" s="47"/>
      <c r="TMJ32" s="47"/>
      <c r="TMK32" s="47"/>
      <c r="TML32" s="47"/>
      <c r="TMM32" s="47"/>
      <c r="TMN32" s="47"/>
      <c r="TMO32" s="47"/>
      <c r="TMP32" s="47"/>
      <c r="TMQ32" s="47"/>
      <c r="TMR32" s="47"/>
      <c r="TMS32" s="47"/>
      <c r="TMT32" s="47"/>
      <c r="TMU32" s="47"/>
      <c r="TMV32" s="47"/>
      <c r="TMW32" s="47"/>
      <c r="TMX32" s="47"/>
      <c r="TMY32" s="47"/>
      <c r="TMZ32" s="47"/>
      <c r="TNA32" s="47"/>
      <c r="TNB32" s="47"/>
      <c r="TNC32" s="47"/>
      <c r="TND32" s="47"/>
      <c r="TNE32" s="47"/>
      <c r="TNF32" s="47"/>
      <c r="TNG32" s="47"/>
      <c r="TNH32" s="47"/>
      <c r="TNI32" s="47"/>
      <c r="TNJ32" s="47"/>
      <c r="TNK32" s="47"/>
      <c r="TNL32" s="47"/>
      <c r="TNM32" s="47"/>
      <c r="TNN32" s="47"/>
      <c r="TNO32" s="47"/>
      <c r="TNP32" s="47"/>
      <c r="TNQ32" s="47"/>
      <c r="TNR32" s="47"/>
      <c r="TNS32" s="47"/>
      <c r="TNT32" s="47"/>
      <c r="TNU32" s="47"/>
      <c r="TNV32" s="47"/>
      <c r="TNW32" s="47"/>
      <c r="TNX32" s="47"/>
      <c r="TNY32" s="47"/>
      <c r="TNZ32" s="47"/>
      <c r="TOA32" s="47"/>
      <c r="TOB32" s="47"/>
      <c r="TOC32" s="47"/>
      <c r="TOD32" s="47"/>
      <c r="TOE32" s="47"/>
      <c r="TOF32" s="47"/>
      <c r="TOG32" s="47"/>
      <c r="TOH32" s="47"/>
      <c r="TOI32" s="47"/>
      <c r="TOJ32" s="47"/>
      <c r="TOK32" s="47"/>
      <c r="TOL32" s="47"/>
      <c r="TOM32" s="47"/>
      <c r="TON32" s="47"/>
      <c r="TOO32" s="47"/>
      <c r="TOP32" s="47"/>
      <c r="TOQ32" s="47"/>
      <c r="TOR32" s="47"/>
      <c r="TOS32" s="47"/>
      <c r="TOT32" s="47"/>
      <c r="TOU32" s="47"/>
      <c r="TOV32" s="47"/>
      <c r="TOW32" s="47"/>
      <c r="TOX32" s="47"/>
      <c r="TOY32" s="47"/>
      <c r="TOZ32" s="47"/>
      <c r="TPA32" s="47"/>
      <c r="TPB32" s="47"/>
      <c r="TPC32" s="47"/>
      <c r="TPD32" s="47"/>
      <c r="TPE32" s="47"/>
      <c r="TPF32" s="47"/>
      <c r="TPG32" s="47"/>
      <c r="TPH32" s="47"/>
      <c r="TPI32" s="47"/>
      <c r="TPJ32" s="47"/>
      <c r="TPK32" s="47"/>
      <c r="TPL32" s="47"/>
      <c r="TPM32" s="47"/>
      <c r="TPN32" s="47"/>
      <c r="TPO32" s="47"/>
      <c r="TPP32" s="47"/>
      <c r="TPQ32" s="47"/>
      <c r="TPR32" s="47"/>
      <c r="TPS32" s="47"/>
      <c r="TPT32" s="47"/>
      <c r="TPU32" s="47"/>
      <c r="TPV32" s="47"/>
      <c r="TPW32" s="47"/>
      <c r="TPX32" s="47"/>
      <c r="TPY32" s="47"/>
      <c r="TPZ32" s="47"/>
      <c r="TQA32" s="47"/>
      <c r="TQB32" s="47"/>
      <c r="TQC32" s="47"/>
      <c r="TQD32" s="47"/>
      <c r="TQE32" s="47"/>
      <c r="TQF32" s="47"/>
      <c r="TQG32" s="47"/>
      <c r="TQH32" s="47"/>
      <c r="TQI32" s="47"/>
      <c r="TQJ32" s="47"/>
      <c r="TQK32" s="47"/>
      <c r="TQL32" s="47"/>
      <c r="TQM32" s="47"/>
      <c r="TQN32" s="47"/>
      <c r="TQO32" s="47"/>
      <c r="TQP32" s="47"/>
      <c r="TQQ32" s="47"/>
      <c r="TQR32" s="47"/>
      <c r="TQS32" s="47"/>
      <c r="TQT32" s="47"/>
      <c r="TQU32" s="47"/>
      <c r="TQV32" s="47"/>
      <c r="TQW32" s="47"/>
      <c r="TQX32" s="47"/>
      <c r="TQY32" s="47"/>
      <c r="TQZ32" s="47"/>
      <c r="TRA32" s="47"/>
      <c r="TRB32" s="47"/>
      <c r="TRC32" s="47"/>
      <c r="TRD32" s="47"/>
      <c r="TRE32" s="47"/>
      <c r="TRF32" s="47"/>
      <c r="TRG32" s="47"/>
      <c r="TRH32" s="47"/>
      <c r="TRI32" s="47"/>
      <c r="TRJ32" s="47"/>
      <c r="TRK32" s="47"/>
      <c r="TRL32" s="47"/>
      <c r="TRM32" s="47"/>
      <c r="TRN32" s="47"/>
      <c r="TRO32" s="47"/>
      <c r="TRP32" s="47"/>
      <c r="TRQ32" s="47"/>
      <c r="TRR32" s="47"/>
      <c r="TRS32" s="47"/>
      <c r="TRT32" s="47"/>
      <c r="TRU32" s="47"/>
      <c r="TRV32" s="47"/>
      <c r="TRW32" s="47"/>
      <c r="TRX32" s="47"/>
      <c r="TRY32" s="47"/>
      <c r="TRZ32" s="47"/>
      <c r="TSA32" s="47"/>
      <c r="TSB32" s="47"/>
      <c r="TSC32" s="47"/>
      <c r="TSD32" s="47"/>
      <c r="TSE32" s="47"/>
      <c r="TSF32" s="47"/>
      <c r="TSG32" s="47"/>
      <c r="TSH32" s="47"/>
      <c r="TSI32" s="47"/>
      <c r="TSJ32" s="47"/>
      <c r="TSK32" s="47"/>
      <c r="TSL32" s="47"/>
      <c r="TSM32" s="47"/>
      <c r="TSN32" s="47"/>
      <c r="TSO32" s="47"/>
      <c r="TSP32" s="47"/>
      <c r="TSQ32" s="47"/>
      <c r="TSR32" s="47"/>
      <c r="TSS32" s="47"/>
      <c r="TST32" s="47"/>
      <c r="TSU32" s="47"/>
      <c r="TSV32" s="47"/>
      <c r="TSW32" s="47"/>
      <c r="TSX32" s="47"/>
      <c r="TSY32" s="47"/>
      <c r="TSZ32" s="47"/>
      <c r="TTA32" s="47"/>
      <c r="TTB32" s="47"/>
      <c r="TTC32" s="47"/>
      <c r="TTD32" s="47"/>
      <c r="TTE32" s="47"/>
      <c r="TTF32" s="47"/>
      <c r="TTG32" s="47"/>
      <c r="TTH32" s="47"/>
      <c r="TTI32" s="47"/>
      <c r="TTJ32" s="47"/>
      <c r="TTK32" s="47"/>
      <c r="TTL32" s="47"/>
      <c r="TTM32" s="47"/>
      <c r="TTN32" s="47"/>
      <c r="TTO32" s="47"/>
      <c r="TTP32" s="47"/>
      <c r="TTQ32" s="47"/>
      <c r="TTR32" s="47"/>
      <c r="TTS32" s="47"/>
      <c r="TTT32" s="47"/>
      <c r="TTU32" s="47"/>
      <c r="TTV32" s="47"/>
      <c r="TTW32" s="47"/>
      <c r="TTX32" s="47"/>
      <c r="TTY32" s="47"/>
      <c r="TTZ32" s="47"/>
      <c r="TUA32" s="47"/>
      <c r="TUB32" s="47"/>
      <c r="TUC32" s="47"/>
      <c r="TUD32" s="47"/>
      <c r="TUE32" s="47"/>
      <c r="TUF32" s="47"/>
      <c r="TUG32" s="47"/>
      <c r="TUH32" s="47"/>
      <c r="TUI32" s="47"/>
      <c r="TUJ32" s="47"/>
      <c r="TUK32" s="47"/>
      <c r="TUL32" s="47"/>
      <c r="TUM32" s="47"/>
      <c r="TUN32" s="47"/>
      <c r="TUO32" s="47"/>
      <c r="TUP32" s="47"/>
      <c r="TUQ32" s="47"/>
      <c r="TUR32" s="47"/>
      <c r="TUS32" s="47"/>
      <c r="TUT32" s="47"/>
      <c r="TUU32" s="47"/>
      <c r="TUV32" s="47"/>
      <c r="TUW32" s="47"/>
      <c r="TUX32" s="47"/>
      <c r="TUY32" s="47"/>
      <c r="TUZ32" s="47"/>
      <c r="TVA32" s="47"/>
      <c r="TVB32" s="47"/>
      <c r="TVC32" s="47"/>
      <c r="TVD32" s="47"/>
      <c r="TVE32" s="47"/>
      <c r="TVF32" s="47"/>
      <c r="TVG32" s="47"/>
      <c r="TVH32" s="47"/>
      <c r="TVI32" s="47"/>
      <c r="TVJ32" s="47"/>
      <c r="TVK32" s="47"/>
      <c r="TVL32" s="47"/>
      <c r="TVM32" s="47"/>
      <c r="TVN32" s="47"/>
      <c r="TVO32" s="47"/>
      <c r="TVP32" s="47"/>
      <c r="TVQ32" s="47"/>
      <c r="TVR32" s="47"/>
      <c r="TVS32" s="47"/>
      <c r="TVT32" s="47"/>
      <c r="TVU32" s="47"/>
      <c r="TVV32" s="47"/>
      <c r="TVW32" s="47"/>
      <c r="TVX32" s="47"/>
      <c r="TVY32" s="47"/>
      <c r="TVZ32" s="47"/>
      <c r="TWA32" s="47"/>
      <c r="TWB32" s="47"/>
      <c r="TWC32" s="47"/>
      <c r="TWD32" s="47"/>
      <c r="TWE32" s="47"/>
      <c r="TWF32" s="47"/>
      <c r="TWG32" s="47"/>
      <c r="TWH32" s="47"/>
      <c r="TWI32" s="47"/>
      <c r="TWJ32" s="47"/>
      <c r="TWK32" s="47"/>
      <c r="TWL32" s="47"/>
      <c r="TWM32" s="47"/>
      <c r="TWN32" s="47"/>
      <c r="TWO32" s="47"/>
      <c r="TWP32" s="47"/>
      <c r="TWQ32" s="47"/>
      <c r="TWR32" s="47"/>
      <c r="TWS32" s="47"/>
      <c r="TWT32" s="47"/>
      <c r="TWU32" s="47"/>
      <c r="TWV32" s="47"/>
      <c r="TWW32" s="47"/>
      <c r="TWX32" s="47"/>
      <c r="TWY32" s="47"/>
      <c r="TWZ32" s="47"/>
      <c r="TXA32" s="47"/>
      <c r="TXB32" s="47"/>
      <c r="TXC32" s="47"/>
      <c r="TXD32" s="47"/>
      <c r="TXE32" s="47"/>
      <c r="TXF32" s="47"/>
      <c r="TXG32" s="47"/>
      <c r="TXH32" s="47"/>
      <c r="TXI32" s="47"/>
      <c r="TXJ32" s="47"/>
      <c r="TXK32" s="47"/>
      <c r="TXL32" s="47"/>
      <c r="TXM32" s="47"/>
      <c r="TXN32" s="47"/>
      <c r="TXO32" s="47"/>
      <c r="TXP32" s="47"/>
      <c r="TXQ32" s="47"/>
      <c r="TXR32" s="47"/>
      <c r="TXS32" s="47"/>
      <c r="TXT32" s="47"/>
      <c r="TXU32" s="47"/>
      <c r="TXV32" s="47"/>
      <c r="TXW32" s="47"/>
      <c r="TXX32" s="47"/>
      <c r="TXY32" s="47"/>
      <c r="TXZ32" s="47"/>
      <c r="TYA32" s="47"/>
      <c r="TYB32" s="47"/>
      <c r="TYC32" s="47"/>
      <c r="TYD32" s="47"/>
      <c r="TYE32" s="47"/>
      <c r="TYF32" s="47"/>
      <c r="TYG32" s="47"/>
      <c r="TYH32" s="47"/>
      <c r="TYI32" s="47"/>
      <c r="TYJ32" s="47"/>
      <c r="TYK32" s="47"/>
      <c r="TYL32" s="47"/>
      <c r="TYM32" s="47"/>
      <c r="TYN32" s="47"/>
      <c r="TYO32" s="47"/>
      <c r="TYP32" s="47"/>
      <c r="TYQ32" s="47"/>
      <c r="TYR32" s="47"/>
      <c r="TYS32" s="47"/>
      <c r="TYT32" s="47"/>
      <c r="TYU32" s="47"/>
      <c r="TYV32" s="47"/>
      <c r="TYW32" s="47"/>
      <c r="TYX32" s="47"/>
      <c r="TYY32" s="47"/>
      <c r="TYZ32" s="47"/>
      <c r="TZA32" s="47"/>
      <c r="TZB32" s="47"/>
      <c r="TZC32" s="47"/>
      <c r="TZD32" s="47"/>
      <c r="TZE32" s="47"/>
      <c r="TZF32" s="47"/>
      <c r="TZG32" s="47"/>
      <c r="TZH32" s="47"/>
      <c r="TZI32" s="47"/>
      <c r="TZJ32" s="47"/>
      <c r="TZK32" s="47"/>
      <c r="TZL32" s="47"/>
      <c r="TZM32" s="47"/>
      <c r="TZN32" s="47"/>
      <c r="TZO32" s="47"/>
      <c r="TZP32" s="47"/>
      <c r="TZQ32" s="47"/>
      <c r="TZR32" s="47"/>
      <c r="TZS32" s="47"/>
      <c r="TZT32" s="47"/>
      <c r="TZU32" s="47"/>
      <c r="TZV32" s="47"/>
      <c r="TZW32" s="47"/>
      <c r="TZX32" s="47"/>
      <c r="TZY32" s="47"/>
      <c r="TZZ32" s="47"/>
      <c r="UAA32" s="47"/>
      <c r="UAB32" s="47"/>
      <c r="UAC32" s="47"/>
      <c r="UAD32" s="47"/>
      <c r="UAE32" s="47"/>
      <c r="UAF32" s="47"/>
      <c r="UAG32" s="47"/>
      <c r="UAH32" s="47"/>
      <c r="UAI32" s="47"/>
      <c r="UAJ32" s="47"/>
      <c r="UAK32" s="47"/>
      <c r="UAL32" s="47"/>
      <c r="UAM32" s="47"/>
      <c r="UAN32" s="47"/>
      <c r="UAO32" s="47"/>
      <c r="UAP32" s="47"/>
      <c r="UAQ32" s="47"/>
      <c r="UAR32" s="47"/>
      <c r="UAS32" s="47"/>
      <c r="UAT32" s="47"/>
      <c r="UAU32" s="47"/>
      <c r="UAV32" s="47"/>
      <c r="UAW32" s="47"/>
      <c r="UAX32" s="47"/>
      <c r="UAY32" s="47"/>
      <c r="UAZ32" s="47"/>
      <c r="UBA32" s="47"/>
      <c r="UBB32" s="47"/>
      <c r="UBC32" s="47"/>
      <c r="UBD32" s="47"/>
      <c r="UBE32" s="47"/>
      <c r="UBF32" s="47"/>
      <c r="UBG32" s="47"/>
      <c r="UBH32" s="47"/>
      <c r="UBI32" s="47"/>
      <c r="UBJ32" s="47"/>
      <c r="UBK32" s="47"/>
      <c r="UBL32" s="47"/>
      <c r="UBM32" s="47"/>
      <c r="UBN32" s="47"/>
      <c r="UBO32" s="47"/>
      <c r="UBP32" s="47"/>
      <c r="UBQ32" s="47"/>
      <c r="UBR32" s="47"/>
      <c r="UBS32" s="47"/>
      <c r="UBT32" s="47"/>
      <c r="UBU32" s="47"/>
      <c r="UBV32" s="47"/>
      <c r="UBW32" s="47"/>
      <c r="UBX32" s="47"/>
      <c r="UBY32" s="47"/>
      <c r="UBZ32" s="47"/>
      <c r="UCA32" s="47"/>
      <c r="UCB32" s="47"/>
      <c r="UCC32" s="47"/>
      <c r="UCD32" s="47"/>
      <c r="UCE32" s="47"/>
      <c r="UCF32" s="47"/>
      <c r="UCG32" s="47"/>
      <c r="UCH32" s="47"/>
      <c r="UCI32" s="47"/>
      <c r="UCJ32" s="47"/>
      <c r="UCK32" s="47"/>
      <c r="UCL32" s="47"/>
      <c r="UCM32" s="47"/>
      <c r="UCN32" s="47"/>
      <c r="UCO32" s="47"/>
      <c r="UCP32" s="47"/>
      <c r="UCQ32" s="47"/>
      <c r="UCR32" s="47"/>
      <c r="UCS32" s="47"/>
      <c r="UCT32" s="47"/>
      <c r="UCU32" s="47"/>
      <c r="UCV32" s="47"/>
      <c r="UCW32" s="47"/>
      <c r="UCX32" s="47"/>
      <c r="UCY32" s="47"/>
      <c r="UCZ32" s="47"/>
      <c r="UDA32" s="47"/>
      <c r="UDB32" s="47"/>
      <c r="UDC32" s="47"/>
      <c r="UDD32" s="47"/>
      <c r="UDE32" s="47"/>
      <c r="UDF32" s="47"/>
      <c r="UDG32" s="47"/>
      <c r="UDH32" s="47"/>
      <c r="UDI32" s="47"/>
      <c r="UDJ32" s="47"/>
      <c r="UDK32" s="47"/>
      <c r="UDL32" s="47"/>
      <c r="UDM32" s="47"/>
      <c r="UDN32" s="47"/>
      <c r="UDO32" s="47"/>
      <c r="UDP32" s="47"/>
      <c r="UDQ32" s="47"/>
      <c r="UDR32" s="47"/>
      <c r="UDS32" s="47"/>
      <c r="UDT32" s="47"/>
      <c r="UDU32" s="47"/>
      <c r="UDV32" s="47"/>
      <c r="UDW32" s="47"/>
      <c r="UDX32" s="47"/>
      <c r="UDY32" s="47"/>
      <c r="UDZ32" s="47"/>
      <c r="UEA32" s="47"/>
      <c r="UEB32" s="47"/>
      <c r="UEC32" s="47"/>
      <c r="UED32" s="47"/>
      <c r="UEE32" s="47"/>
      <c r="UEF32" s="47"/>
      <c r="UEG32" s="47"/>
      <c r="UEH32" s="47"/>
      <c r="UEI32" s="47"/>
      <c r="UEJ32" s="47"/>
      <c r="UEK32" s="47"/>
      <c r="UEL32" s="47"/>
      <c r="UEM32" s="47"/>
      <c r="UEN32" s="47"/>
      <c r="UEO32" s="47"/>
      <c r="UEP32" s="47"/>
      <c r="UEQ32" s="47"/>
      <c r="UER32" s="47"/>
      <c r="UES32" s="47"/>
      <c r="UET32" s="47"/>
      <c r="UEU32" s="47"/>
      <c r="UEV32" s="47"/>
      <c r="UEW32" s="47"/>
      <c r="UEX32" s="47"/>
      <c r="UEY32" s="47"/>
      <c r="UEZ32" s="47"/>
      <c r="UFA32" s="47"/>
      <c r="UFB32" s="47"/>
      <c r="UFC32" s="47"/>
      <c r="UFD32" s="47"/>
      <c r="UFE32" s="47"/>
      <c r="UFF32" s="47"/>
      <c r="UFG32" s="47"/>
      <c r="UFH32" s="47"/>
      <c r="UFI32" s="47"/>
      <c r="UFJ32" s="47"/>
      <c r="UFK32" s="47"/>
      <c r="UFL32" s="47"/>
      <c r="UFM32" s="47"/>
      <c r="UFN32" s="47"/>
      <c r="UFO32" s="47"/>
      <c r="UFP32" s="47"/>
      <c r="UFQ32" s="47"/>
      <c r="UFR32" s="47"/>
      <c r="UFS32" s="47"/>
      <c r="UFT32" s="47"/>
      <c r="UFU32" s="47"/>
      <c r="UFV32" s="47"/>
      <c r="UFW32" s="47"/>
      <c r="UFX32" s="47"/>
      <c r="UFY32" s="47"/>
      <c r="UFZ32" s="47"/>
      <c r="UGA32" s="47"/>
      <c r="UGB32" s="47"/>
      <c r="UGC32" s="47"/>
      <c r="UGD32" s="47"/>
      <c r="UGE32" s="47"/>
      <c r="UGF32" s="47"/>
      <c r="UGG32" s="47"/>
      <c r="UGH32" s="47"/>
      <c r="UGI32" s="47"/>
      <c r="UGJ32" s="47"/>
      <c r="UGK32" s="47"/>
      <c r="UGL32" s="47"/>
      <c r="UGM32" s="47"/>
      <c r="UGN32" s="47"/>
      <c r="UGO32" s="47"/>
      <c r="UGP32" s="47"/>
      <c r="UGQ32" s="47"/>
      <c r="UGR32" s="47"/>
      <c r="UGS32" s="47"/>
      <c r="UGT32" s="47"/>
      <c r="UGU32" s="47"/>
      <c r="UGV32" s="47"/>
      <c r="UGW32" s="47"/>
      <c r="UGX32" s="47"/>
      <c r="UGY32" s="47"/>
      <c r="UGZ32" s="47"/>
      <c r="UHA32" s="47"/>
      <c r="UHB32" s="47"/>
      <c r="UHC32" s="47"/>
      <c r="UHD32" s="47"/>
      <c r="UHE32" s="47"/>
      <c r="UHF32" s="47"/>
      <c r="UHG32" s="47"/>
      <c r="UHH32" s="47"/>
      <c r="UHI32" s="47"/>
      <c r="UHJ32" s="47"/>
      <c r="UHK32" s="47"/>
      <c r="UHL32" s="47"/>
      <c r="UHM32" s="47"/>
      <c r="UHN32" s="47"/>
      <c r="UHO32" s="47"/>
      <c r="UHP32" s="47"/>
      <c r="UHQ32" s="47"/>
      <c r="UHR32" s="47"/>
      <c r="UHS32" s="47"/>
      <c r="UHT32" s="47"/>
      <c r="UHU32" s="47"/>
      <c r="UHV32" s="47"/>
      <c r="UHW32" s="47"/>
      <c r="UHX32" s="47"/>
      <c r="UHY32" s="47"/>
      <c r="UHZ32" s="47"/>
      <c r="UIA32" s="47"/>
      <c r="UIB32" s="47"/>
      <c r="UIC32" s="47"/>
      <c r="UID32" s="47"/>
      <c r="UIE32" s="47"/>
      <c r="UIF32" s="47"/>
      <c r="UIG32" s="47"/>
      <c r="UIH32" s="47"/>
      <c r="UII32" s="47"/>
      <c r="UIJ32" s="47"/>
      <c r="UIK32" s="47"/>
      <c r="UIL32" s="47"/>
      <c r="UIM32" s="47"/>
      <c r="UIN32" s="47"/>
      <c r="UIO32" s="47"/>
      <c r="UIP32" s="47"/>
      <c r="UIQ32" s="47"/>
      <c r="UIR32" s="47"/>
      <c r="UIS32" s="47"/>
      <c r="UIT32" s="47"/>
      <c r="UIU32" s="47"/>
      <c r="UIV32" s="47"/>
      <c r="UIW32" s="47"/>
      <c r="UIX32" s="47"/>
      <c r="UIY32" s="47"/>
      <c r="UIZ32" s="47"/>
      <c r="UJA32" s="47"/>
      <c r="UJB32" s="47"/>
      <c r="UJC32" s="47"/>
      <c r="UJD32" s="47"/>
      <c r="UJE32" s="47"/>
      <c r="UJF32" s="47"/>
      <c r="UJG32" s="47"/>
      <c r="UJH32" s="47"/>
      <c r="UJI32" s="47"/>
      <c r="UJJ32" s="47"/>
      <c r="UJK32" s="47"/>
      <c r="UJL32" s="47"/>
      <c r="UJM32" s="47"/>
      <c r="UJN32" s="47"/>
      <c r="UJO32" s="47"/>
      <c r="UJP32" s="47"/>
      <c r="UJQ32" s="47"/>
      <c r="UJR32" s="47"/>
      <c r="UJS32" s="47"/>
      <c r="UJT32" s="47"/>
      <c r="UJU32" s="47"/>
      <c r="UJV32" s="47"/>
      <c r="UJW32" s="47"/>
      <c r="UJX32" s="47"/>
      <c r="UJY32" s="47"/>
      <c r="UJZ32" s="47"/>
      <c r="UKA32" s="47"/>
      <c r="UKB32" s="47"/>
      <c r="UKC32" s="47"/>
      <c r="UKD32" s="47"/>
      <c r="UKE32" s="47"/>
      <c r="UKF32" s="47"/>
      <c r="UKG32" s="47"/>
      <c r="UKH32" s="47"/>
      <c r="UKI32" s="47"/>
      <c r="UKJ32" s="47"/>
      <c r="UKK32" s="47"/>
      <c r="UKL32" s="47"/>
      <c r="UKM32" s="47"/>
      <c r="UKN32" s="47"/>
      <c r="UKO32" s="47"/>
      <c r="UKP32" s="47"/>
      <c r="UKQ32" s="47"/>
      <c r="UKR32" s="47"/>
      <c r="UKS32" s="47"/>
      <c r="UKT32" s="47"/>
      <c r="UKU32" s="47"/>
      <c r="UKV32" s="47"/>
      <c r="UKW32" s="47"/>
      <c r="UKX32" s="47"/>
      <c r="UKY32" s="47"/>
      <c r="UKZ32" s="47"/>
      <c r="ULA32" s="47"/>
      <c r="ULB32" s="47"/>
      <c r="ULC32" s="47"/>
      <c r="ULD32" s="47"/>
      <c r="ULE32" s="47"/>
      <c r="ULF32" s="47"/>
      <c r="ULG32" s="47"/>
      <c r="ULH32" s="47"/>
      <c r="ULI32" s="47"/>
      <c r="ULJ32" s="47"/>
      <c r="ULK32" s="47"/>
      <c r="ULL32" s="47"/>
      <c r="ULM32" s="47"/>
      <c r="ULN32" s="47"/>
      <c r="ULO32" s="47"/>
      <c r="ULP32" s="47"/>
      <c r="ULQ32" s="47"/>
      <c r="ULR32" s="47"/>
      <c r="ULS32" s="47"/>
      <c r="ULT32" s="47"/>
      <c r="ULU32" s="47"/>
      <c r="ULV32" s="47"/>
      <c r="ULW32" s="47"/>
      <c r="ULX32" s="47"/>
      <c r="ULY32" s="47"/>
      <c r="ULZ32" s="47"/>
      <c r="UMA32" s="47"/>
      <c r="UMB32" s="47"/>
      <c r="UMC32" s="47"/>
      <c r="UMD32" s="47"/>
      <c r="UME32" s="47"/>
      <c r="UMF32" s="47"/>
      <c r="UMG32" s="47"/>
      <c r="UMH32" s="47"/>
      <c r="UMI32" s="47"/>
      <c r="UMJ32" s="47"/>
      <c r="UMK32" s="47"/>
      <c r="UML32" s="47"/>
      <c r="UMM32" s="47"/>
      <c r="UMN32" s="47"/>
      <c r="UMO32" s="47"/>
      <c r="UMP32" s="47"/>
      <c r="UMQ32" s="47"/>
      <c r="UMR32" s="47"/>
      <c r="UMS32" s="47"/>
      <c r="UMT32" s="47"/>
      <c r="UMU32" s="47"/>
      <c r="UMV32" s="47"/>
      <c r="UMW32" s="47"/>
      <c r="UMX32" s="47"/>
      <c r="UMY32" s="47"/>
      <c r="UMZ32" s="47"/>
      <c r="UNA32" s="47"/>
      <c r="UNB32" s="47"/>
      <c r="UNC32" s="47"/>
      <c r="UND32" s="47"/>
      <c r="UNE32" s="47"/>
      <c r="UNF32" s="47"/>
      <c r="UNG32" s="47"/>
      <c r="UNH32" s="47"/>
      <c r="UNI32" s="47"/>
      <c r="UNJ32" s="47"/>
      <c r="UNK32" s="47"/>
      <c r="UNL32" s="47"/>
      <c r="UNM32" s="47"/>
      <c r="UNN32" s="47"/>
      <c r="UNO32" s="47"/>
      <c r="UNP32" s="47"/>
      <c r="UNQ32" s="47"/>
      <c r="UNR32" s="47"/>
      <c r="UNS32" s="47"/>
      <c r="UNT32" s="47"/>
      <c r="UNU32" s="47"/>
      <c r="UNV32" s="47"/>
      <c r="UNW32" s="47"/>
      <c r="UNX32" s="47"/>
      <c r="UNY32" s="47"/>
      <c r="UNZ32" s="47"/>
      <c r="UOA32" s="47"/>
      <c r="UOB32" s="47"/>
      <c r="UOC32" s="47"/>
      <c r="UOD32" s="47"/>
      <c r="UOE32" s="47"/>
      <c r="UOF32" s="47"/>
      <c r="UOG32" s="47"/>
      <c r="UOH32" s="47"/>
      <c r="UOI32" s="47"/>
      <c r="UOJ32" s="47"/>
      <c r="UOK32" s="47"/>
      <c r="UOL32" s="47"/>
      <c r="UOM32" s="47"/>
      <c r="UON32" s="47"/>
      <c r="UOO32" s="47"/>
      <c r="UOP32" s="47"/>
      <c r="UOQ32" s="47"/>
      <c r="UOR32" s="47"/>
      <c r="UOS32" s="47"/>
      <c r="UOT32" s="47"/>
      <c r="UOU32" s="47"/>
      <c r="UOV32" s="47"/>
      <c r="UOW32" s="47"/>
      <c r="UOX32" s="47"/>
      <c r="UOY32" s="47"/>
      <c r="UOZ32" s="47"/>
      <c r="UPA32" s="47"/>
      <c r="UPB32" s="47"/>
      <c r="UPC32" s="47"/>
      <c r="UPD32" s="47"/>
      <c r="UPE32" s="47"/>
      <c r="UPF32" s="47"/>
      <c r="UPG32" s="47"/>
      <c r="UPH32" s="47"/>
      <c r="UPI32" s="47"/>
      <c r="UPJ32" s="47"/>
      <c r="UPK32" s="47"/>
      <c r="UPL32" s="47"/>
      <c r="UPM32" s="47"/>
      <c r="UPN32" s="47"/>
      <c r="UPO32" s="47"/>
      <c r="UPP32" s="47"/>
      <c r="UPQ32" s="47"/>
      <c r="UPR32" s="47"/>
      <c r="UPS32" s="47"/>
      <c r="UPT32" s="47"/>
      <c r="UPU32" s="47"/>
      <c r="UPV32" s="47"/>
      <c r="UPW32" s="47"/>
      <c r="UPX32" s="47"/>
      <c r="UPY32" s="47"/>
      <c r="UPZ32" s="47"/>
      <c r="UQA32" s="47"/>
      <c r="UQB32" s="47"/>
      <c r="UQC32" s="47"/>
      <c r="UQD32" s="47"/>
      <c r="UQE32" s="47"/>
      <c r="UQF32" s="47"/>
      <c r="UQG32" s="47"/>
      <c r="UQH32" s="47"/>
      <c r="UQI32" s="47"/>
      <c r="UQJ32" s="47"/>
      <c r="UQK32" s="47"/>
      <c r="UQL32" s="47"/>
      <c r="UQM32" s="47"/>
      <c r="UQN32" s="47"/>
      <c r="UQO32" s="47"/>
      <c r="UQP32" s="47"/>
      <c r="UQQ32" s="47"/>
      <c r="UQR32" s="47"/>
      <c r="UQS32" s="47"/>
      <c r="UQT32" s="47"/>
      <c r="UQU32" s="47"/>
      <c r="UQV32" s="47"/>
      <c r="UQW32" s="47"/>
      <c r="UQX32" s="47"/>
      <c r="UQY32" s="47"/>
      <c r="UQZ32" s="47"/>
      <c r="URA32" s="47"/>
      <c r="URB32" s="47"/>
      <c r="URC32" s="47"/>
      <c r="URD32" s="47"/>
      <c r="URE32" s="47"/>
      <c r="URF32" s="47"/>
      <c r="URG32" s="47"/>
      <c r="URH32" s="47"/>
      <c r="URI32" s="47"/>
      <c r="URJ32" s="47"/>
      <c r="URK32" s="47"/>
      <c r="URL32" s="47"/>
      <c r="URM32" s="47"/>
      <c r="URN32" s="47"/>
      <c r="URO32" s="47"/>
      <c r="URP32" s="47"/>
      <c r="URQ32" s="47"/>
      <c r="URR32" s="47"/>
      <c r="URS32" s="47"/>
      <c r="URT32" s="47"/>
      <c r="URU32" s="47"/>
      <c r="URV32" s="47"/>
      <c r="URW32" s="47"/>
      <c r="URX32" s="47"/>
      <c r="URY32" s="47"/>
      <c r="URZ32" s="47"/>
      <c r="USA32" s="47"/>
      <c r="USB32" s="47"/>
      <c r="USC32" s="47"/>
      <c r="USD32" s="47"/>
      <c r="USE32" s="47"/>
      <c r="USF32" s="47"/>
      <c r="USG32" s="47"/>
      <c r="USH32" s="47"/>
      <c r="USI32" s="47"/>
      <c r="USJ32" s="47"/>
      <c r="USK32" s="47"/>
      <c r="USL32" s="47"/>
      <c r="USM32" s="47"/>
      <c r="USN32" s="47"/>
      <c r="USO32" s="47"/>
      <c r="USP32" s="47"/>
      <c r="USQ32" s="47"/>
      <c r="USR32" s="47"/>
      <c r="USS32" s="47"/>
      <c r="UST32" s="47"/>
      <c r="USU32" s="47"/>
      <c r="USV32" s="47"/>
      <c r="USW32" s="47"/>
      <c r="USX32" s="47"/>
      <c r="USY32" s="47"/>
      <c r="USZ32" s="47"/>
      <c r="UTA32" s="47"/>
      <c r="UTB32" s="47"/>
      <c r="UTC32" s="47"/>
      <c r="UTD32" s="47"/>
      <c r="UTE32" s="47"/>
      <c r="UTF32" s="47"/>
      <c r="UTG32" s="47"/>
      <c r="UTH32" s="47"/>
      <c r="UTI32" s="47"/>
      <c r="UTJ32" s="47"/>
      <c r="UTK32" s="47"/>
      <c r="UTL32" s="47"/>
      <c r="UTM32" s="47"/>
      <c r="UTN32" s="47"/>
      <c r="UTO32" s="47"/>
      <c r="UTP32" s="47"/>
      <c r="UTQ32" s="47"/>
      <c r="UTR32" s="47"/>
      <c r="UTS32" s="47"/>
      <c r="UTT32" s="47"/>
      <c r="UTU32" s="47"/>
      <c r="UTV32" s="47"/>
      <c r="UTW32" s="47"/>
      <c r="UTX32" s="47"/>
      <c r="UTY32" s="47"/>
      <c r="UTZ32" s="47"/>
      <c r="UUA32" s="47"/>
      <c r="UUB32" s="47"/>
      <c r="UUC32" s="47"/>
      <c r="UUD32" s="47"/>
      <c r="UUE32" s="47"/>
      <c r="UUF32" s="47"/>
      <c r="UUG32" s="47"/>
      <c r="UUH32" s="47"/>
      <c r="UUI32" s="47"/>
      <c r="UUJ32" s="47"/>
      <c r="UUK32" s="47"/>
      <c r="UUL32" s="47"/>
      <c r="UUM32" s="47"/>
      <c r="UUN32" s="47"/>
      <c r="UUO32" s="47"/>
      <c r="UUP32" s="47"/>
      <c r="UUQ32" s="47"/>
      <c r="UUR32" s="47"/>
      <c r="UUS32" s="47"/>
      <c r="UUT32" s="47"/>
      <c r="UUU32" s="47"/>
      <c r="UUV32" s="47"/>
      <c r="UUW32" s="47"/>
      <c r="UUX32" s="47"/>
      <c r="UUY32" s="47"/>
      <c r="UUZ32" s="47"/>
      <c r="UVA32" s="47"/>
      <c r="UVB32" s="47"/>
      <c r="UVC32" s="47"/>
      <c r="UVD32" s="47"/>
      <c r="UVE32" s="47"/>
      <c r="UVF32" s="47"/>
      <c r="UVG32" s="47"/>
      <c r="UVH32" s="47"/>
      <c r="UVI32" s="47"/>
      <c r="UVJ32" s="47"/>
      <c r="UVK32" s="47"/>
      <c r="UVL32" s="47"/>
      <c r="UVM32" s="47"/>
      <c r="UVN32" s="47"/>
      <c r="UVO32" s="47"/>
      <c r="UVP32" s="47"/>
      <c r="UVQ32" s="47"/>
      <c r="UVR32" s="47"/>
      <c r="UVS32" s="47"/>
      <c r="UVT32" s="47"/>
      <c r="UVU32" s="47"/>
      <c r="UVV32" s="47"/>
      <c r="UVW32" s="47"/>
      <c r="UVX32" s="47"/>
      <c r="UVY32" s="47"/>
      <c r="UVZ32" s="47"/>
      <c r="UWA32" s="47"/>
      <c r="UWB32" s="47"/>
      <c r="UWC32" s="47"/>
      <c r="UWD32" s="47"/>
      <c r="UWE32" s="47"/>
      <c r="UWF32" s="47"/>
      <c r="UWG32" s="47"/>
      <c r="UWH32" s="47"/>
      <c r="UWI32" s="47"/>
      <c r="UWJ32" s="47"/>
      <c r="UWK32" s="47"/>
      <c r="UWL32" s="47"/>
      <c r="UWM32" s="47"/>
      <c r="UWN32" s="47"/>
      <c r="UWO32" s="47"/>
      <c r="UWP32" s="47"/>
      <c r="UWQ32" s="47"/>
      <c r="UWR32" s="47"/>
      <c r="UWS32" s="47"/>
      <c r="UWT32" s="47"/>
      <c r="UWU32" s="47"/>
      <c r="UWV32" s="47"/>
      <c r="UWW32" s="47"/>
      <c r="UWX32" s="47"/>
      <c r="UWY32" s="47"/>
      <c r="UWZ32" s="47"/>
      <c r="UXA32" s="47"/>
      <c r="UXB32" s="47"/>
      <c r="UXC32" s="47"/>
      <c r="UXD32" s="47"/>
      <c r="UXE32" s="47"/>
      <c r="UXF32" s="47"/>
      <c r="UXG32" s="47"/>
      <c r="UXH32" s="47"/>
      <c r="UXI32" s="47"/>
      <c r="UXJ32" s="47"/>
      <c r="UXK32" s="47"/>
      <c r="UXL32" s="47"/>
      <c r="UXM32" s="47"/>
      <c r="UXN32" s="47"/>
      <c r="UXO32" s="47"/>
      <c r="UXP32" s="47"/>
      <c r="UXQ32" s="47"/>
      <c r="UXR32" s="47"/>
      <c r="UXS32" s="47"/>
      <c r="UXT32" s="47"/>
      <c r="UXU32" s="47"/>
      <c r="UXV32" s="47"/>
      <c r="UXW32" s="47"/>
      <c r="UXX32" s="47"/>
      <c r="UXY32" s="47"/>
      <c r="UXZ32" s="47"/>
      <c r="UYA32" s="47"/>
      <c r="UYB32" s="47"/>
      <c r="UYC32" s="47"/>
      <c r="UYD32" s="47"/>
      <c r="UYE32" s="47"/>
      <c r="UYF32" s="47"/>
      <c r="UYG32" s="47"/>
      <c r="UYH32" s="47"/>
      <c r="UYI32" s="47"/>
      <c r="UYJ32" s="47"/>
      <c r="UYK32" s="47"/>
      <c r="UYL32" s="47"/>
      <c r="UYM32" s="47"/>
      <c r="UYN32" s="47"/>
      <c r="UYO32" s="47"/>
      <c r="UYP32" s="47"/>
      <c r="UYQ32" s="47"/>
      <c r="UYR32" s="47"/>
      <c r="UYS32" s="47"/>
      <c r="UYT32" s="47"/>
      <c r="UYU32" s="47"/>
      <c r="UYV32" s="47"/>
      <c r="UYW32" s="47"/>
      <c r="UYX32" s="47"/>
      <c r="UYY32" s="47"/>
      <c r="UYZ32" s="47"/>
      <c r="UZA32" s="47"/>
      <c r="UZB32" s="47"/>
      <c r="UZC32" s="47"/>
      <c r="UZD32" s="47"/>
      <c r="UZE32" s="47"/>
      <c r="UZF32" s="47"/>
      <c r="UZG32" s="47"/>
      <c r="UZH32" s="47"/>
      <c r="UZI32" s="47"/>
      <c r="UZJ32" s="47"/>
      <c r="UZK32" s="47"/>
      <c r="UZL32" s="47"/>
      <c r="UZM32" s="47"/>
      <c r="UZN32" s="47"/>
      <c r="UZO32" s="47"/>
      <c r="UZP32" s="47"/>
      <c r="UZQ32" s="47"/>
      <c r="UZR32" s="47"/>
      <c r="UZS32" s="47"/>
      <c r="UZT32" s="47"/>
      <c r="UZU32" s="47"/>
      <c r="UZV32" s="47"/>
      <c r="UZW32" s="47"/>
      <c r="UZX32" s="47"/>
      <c r="UZY32" s="47"/>
      <c r="UZZ32" s="47"/>
      <c r="VAA32" s="47"/>
      <c r="VAB32" s="47"/>
      <c r="VAC32" s="47"/>
      <c r="VAD32" s="47"/>
      <c r="VAE32" s="47"/>
      <c r="VAF32" s="47"/>
      <c r="VAG32" s="47"/>
      <c r="VAH32" s="47"/>
      <c r="VAI32" s="47"/>
      <c r="VAJ32" s="47"/>
      <c r="VAK32" s="47"/>
      <c r="VAL32" s="47"/>
      <c r="VAM32" s="47"/>
      <c r="VAN32" s="47"/>
      <c r="VAO32" s="47"/>
      <c r="VAP32" s="47"/>
      <c r="VAQ32" s="47"/>
      <c r="VAR32" s="47"/>
      <c r="VAS32" s="47"/>
      <c r="VAT32" s="47"/>
      <c r="VAU32" s="47"/>
      <c r="VAV32" s="47"/>
      <c r="VAW32" s="47"/>
      <c r="VAX32" s="47"/>
      <c r="VAY32" s="47"/>
      <c r="VAZ32" s="47"/>
      <c r="VBA32" s="47"/>
      <c r="VBB32" s="47"/>
      <c r="VBC32" s="47"/>
      <c r="VBD32" s="47"/>
      <c r="VBE32" s="47"/>
      <c r="VBF32" s="47"/>
      <c r="VBG32" s="47"/>
      <c r="VBH32" s="47"/>
      <c r="VBI32" s="47"/>
      <c r="VBJ32" s="47"/>
      <c r="VBK32" s="47"/>
      <c r="VBL32" s="47"/>
      <c r="VBM32" s="47"/>
      <c r="VBN32" s="47"/>
      <c r="VBO32" s="47"/>
      <c r="VBP32" s="47"/>
      <c r="VBQ32" s="47"/>
      <c r="VBR32" s="47"/>
      <c r="VBS32" s="47"/>
      <c r="VBT32" s="47"/>
      <c r="VBU32" s="47"/>
      <c r="VBV32" s="47"/>
      <c r="VBW32" s="47"/>
      <c r="VBX32" s="47"/>
      <c r="VBY32" s="47"/>
      <c r="VBZ32" s="47"/>
      <c r="VCA32" s="47"/>
      <c r="VCB32" s="47"/>
      <c r="VCC32" s="47"/>
      <c r="VCD32" s="47"/>
      <c r="VCE32" s="47"/>
      <c r="VCF32" s="47"/>
      <c r="VCG32" s="47"/>
      <c r="VCH32" s="47"/>
      <c r="VCI32" s="47"/>
      <c r="VCJ32" s="47"/>
      <c r="VCK32" s="47"/>
      <c r="VCL32" s="47"/>
      <c r="VCM32" s="47"/>
      <c r="VCN32" s="47"/>
      <c r="VCO32" s="47"/>
      <c r="VCP32" s="47"/>
      <c r="VCQ32" s="47"/>
      <c r="VCR32" s="47"/>
      <c r="VCS32" s="47"/>
      <c r="VCT32" s="47"/>
      <c r="VCU32" s="47"/>
      <c r="VCV32" s="47"/>
      <c r="VCW32" s="47"/>
      <c r="VCX32" s="47"/>
      <c r="VCY32" s="47"/>
      <c r="VCZ32" s="47"/>
      <c r="VDA32" s="47"/>
      <c r="VDB32" s="47"/>
      <c r="VDC32" s="47"/>
      <c r="VDD32" s="47"/>
      <c r="VDE32" s="47"/>
      <c r="VDF32" s="47"/>
      <c r="VDG32" s="47"/>
      <c r="VDH32" s="47"/>
      <c r="VDI32" s="47"/>
      <c r="VDJ32" s="47"/>
      <c r="VDK32" s="47"/>
      <c r="VDL32" s="47"/>
      <c r="VDM32" s="47"/>
      <c r="VDN32" s="47"/>
      <c r="VDO32" s="47"/>
      <c r="VDP32" s="47"/>
      <c r="VDQ32" s="47"/>
      <c r="VDR32" s="47"/>
      <c r="VDS32" s="47"/>
      <c r="VDT32" s="47"/>
      <c r="VDU32" s="47"/>
      <c r="VDV32" s="47"/>
      <c r="VDW32" s="47"/>
      <c r="VDX32" s="47"/>
      <c r="VDY32" s="47"/>
      <c r="VDZ32" s="47"/>
      <c r="VEA32" s="47"/>
      <c r="VEB32" s="47"/>
      <c r="VEC32" s="47"/>
      <c r="VED32" s="47"/>
      <c r="VEE32" s="47"/>
      <c r="VEF32" s="47"/>
      <c r="VEG32" s="47"/>
      <c r="VEH32" s="47"/>
      <c r="VEI32" s="47"/>
      <c r="VEJ32" s="47"/>
      <c r="VEK32" s="47"/>
      <c r="VEL32" s="47"/>
      <c r="VEM32" s="47"/>
      <c r="VEN32" s="47"/>
      <c r="VEO32" s="47"/>
      <c r="VEP32" s="47"/>
      <c r="VEQ32" s="47"/>
      <c r="VER32" s="47"/>
      <c r="VES32" s="47"/>
      <c r="VET32" s="47"/>
      <c r="VEU32" s="47"/>
      <c r="VEV32" s="47"/>
      <c r="VEW32" s="47"/>
      <c r="VEX32" s="47"/>
      <c r="VEY32" s="47"/>
      <c r="VEZ32" s="47"/>
      <c r="VFA32" s="47"/>
      <c r="VFB32" s="47"/>
      <c r="VFC32" s="47"/>
      <c r="VFD32" s="47"/>
      <c r="VFE32" s="47"/>
      <c r="VFF32" s="47"/>
      <c r="VFG32" s="47"/>
      <c r="VFH32" s="47"/>
      <c r="VFI32" s="47"/>
      <c r="VFJ32" s="47"/>
      <c r="VFK32" s="47"/>
      <c r="VFL32" s="47"/>
      <c r="VFM32" s="47"/>
      <c r="VFN32" s="47"/>
      <c r="VFO32" s="47"/>
      <c r="VFP32" s="47"/>
      <c r="VFQ32" s="47"/>
      <c r="VFR32" s="47"/>
      <c r="VFS32" s="47"/>
      <c r="VFT32" s="47"/>
      <c r="VFU32" s="47"/>
      <c r="VFV32" s="47"/>
      <c r="VFW32" s="47"/>
      <c r="VFX32" s="47"/>
      <c r="VFY32" s="47"/>
      <c r="VFZ32" s="47"/>
      <c r="VGA32" s="47"/>
      <c r="VGB32" s="47"/>
      <c r="VGC32" s="47"/>
      <c r="VGD32" s="47"/>
      <c r="VGE32" s="47"/>
      <c r="VGF32" s="47"/>
      <c r="VGG32" s="47"/>
      <c r="VGH32" s="47"/>
      <c r="VGI32" s="47"/>
      <c r="VGJ32" s="47"/>
      <c r="VGK32" s="47"/>
      <c r="VGL32" s="47"/>
      <c r="VGM32" s="47"/>
      <c r="VGN32" s="47"/>
      <c r="VGO32" s="47"/>
      <c r="VGP32" s="47"/>
      <c r="VGQ32" s="47"/>
      <c r="VGR32" s="47"/>
      <c r="VGS32" s="47"/>
      <c r="VGT32" s="47"/>
      <c r="VGU32" s="47"/>
      <c r="VGV32" s="47"/>
      <c r="VGW32" s="47"/>
      <c r="VGX32" s="47"/>
      <c r="VGY32" s="47"/>
      <c r="VGZ32" s="47"/>
      <c r="VHA32" s="47"/>
      <c r="VHB32" s="47"/>
      <c r="VHC32" s="47"/>
      <c r="VHD32" s="47"/>
      <c r="VHE32" s="47"/>
      <c r="VHF32" s="47"/>
      <c r="VHG32" s="47"/>
      <c r="VHH32" s="47"/>
      <c r="VHI32" s="47"/>
      <c r="VHJ32" s="47"/>
      <c r="VHK32" s="47"/>
      <c r="VHL32" s="47"/>
      <c r="VHM32" s="47"/>
      <c r="VHN32" s="47"/>
      <c r="VHO32" s="47"/>
      <c r="VHP32" s="47"/>
      <c r="VHQ32" s="47"/>
      <c r="VHR32" s="47"/>
      <c r="VHS32" s="47"/>
      <c r="VHT32" s="47"/>
      <c r="VHU32" s="47"/>
      <c r="VHV32" s="47"/>
      <c r="VHW32" s="47"/>
      <c r="VHX32" s="47"/>
      <c r="VHY32" s="47"/>
      <c r="VHZ32" s="47"/>
      <c r="VIA32" s="47"/>
      <c r="VIB32" s="47"/>
      <c r="VIC32" s="47"/>
      <c r="VID32" s="47"/>
      <c r="VIE32" s="47"/>
      <c r="VIF32" s="47"/>
      <c r="VIG32" s="47"/>
      <c r="VIH32" s="47"/>
      <c r="VII32" s="47"/>
      <c r="VIJ32" s="47"/>
      <c r="VIK32" s="47"/>
      <c r="VIL32" s="47"/>
      <c r="VIM32" s="47"/>
      <c r="VIN32" s="47"/>
      <c r="VIO32" s="47"/>
      <c r="VIP32" s="47"/>
      <c r="VIQ32" s="47"/>
      <c r="VIR32" s="47"/>
      <c r="VIS32" s="47"/>
      <c r="VIT32" s="47"/>
      <c r="VIU32" s="47"/>
      <c r="VIV32" s="47"/>
      <c r="VIW32" s="47"/>
      <c r="VIX32" s="47"/>
      <c r="VIY32" s="47"/>
      <c r="VIZ32" s="47"/>
      <c r="VJA32" s="47"/>
      <c r="VJB32" s="47"/>
      <c r="VJC32" s="47"/>
      <c r="VJD32" s="47"/>
      <c r="VJE32" s="47"/>
      <c r="VJF32" s="47"/>
      <c r="VJG32" s="47"/>
      <c r="VJH32" s="47"/>
      <c r="VJI32" s="47"/>
      <c r="VJJ32" s="47"/>
      <c r="VJK32" s="47"/>
      <c r="VJL32" s="47"/>
      <c r="VJM32" s="47"/>
      <c r="VJN32" s="47"/>
      <c r="VJO32" s="47"/>
      <c r="VJP32" s="47"/>
      <c r="VJQ32" s="47"/>
      <c r="VJR32" s="47"/>
      <c r="VJS32" s="47"/>
      <c r="VJT32" s="47"/>
      <c r="VJU32" s="47"/>
      <c r="VJV32" s="47"/>
      <c r="VJW32" s="47"/>
      <c r="VJX32" s="47"/>
      <c r="VJY32" s="47"/>
      <c r="VJZ32" s="47"/>
      <c r="VKA32" s="47"/>
      <c r="VKB32" s="47"/>
      <c r="VKC32" s="47"/>
      <c r="VKD32" s="47"/>
      <c r="VKE32" s="47"/>
      <c r="VKF32" s="47"/>
      <c r="VKG32" s="47"/>
      <c r="VKH32" s="47"/>
      <c r="VKI32" s="47"/>
      <c r="VKJ32" s="47"/>
      <c r="VKK32" s="47"/>
      <c r="VKL32" s="47"/>
      <c r="VKM32" s="47"/>
      <c r="VKN32" s="47"/>
      <c r="VKO32" s="47"/>
      <c r="VKP32" s="47"/>
      <c r="VKQ32" s="47"/>
      <c r="VKR32" s="47"/>
      <c r="VKS32" s="47"/>
      <c r="VKT32" s="47"/>
      <c r="VKU32" s="47"/>
      <c r="VKV32" s="47"/>
      <c r="VKW32" s="47"/>
      <c r="VKX32" s="47"/>
      <c r="VKY32" s="47"/>
      <c r="VKZ32" s="47"/>
      <c r="VLA32" s="47"/>
      <c r="VLB32" s="47"/>
      <c r="VLC32" s="47"/>
      <c r="VLD32" s="47"/>
      <c r="VLE32" s="47"/>
      <c r="VLF32" s="47"/>
      <c r="VLG32" s="47"/>
      <c r="VLH32" s="47"/>
      <c r="VLI32" s="47"/>
      <c r="VLJ32" s="47"/>
      <c r="VLK32" s="47"/>
      <c r="VLL32" s="47"/>
      <c r="VLM32" s="47"/>
      <c r="VLN32" s="47"/>
      <c r="VLO32" s="47"/>
      <c r="VLP32" s="47"/>
      <c r="VLQ32" s="47"/>
      <c r="VLR32" s="47"/>
      <c r="VLS32" s="47"/>
      <c r="VLT32" s="47"/>
      <c r="VLU32" s="47"/>
      <c r="VLV32" s="47"/>
      <c r="VLW32" s="47"/>
      <c r="VLX32" s="47"/>
      <c r="VLY32" s="47"/>
      <c r="VLZ32" s="47"/>
      <c r="VMA32" s="47"/>
      <c r="VMB32" s="47"/>
      <c r="VMC32" s="47"/>
      <c r="VMD32" s="47"/>
      <c r="VME32" s="47"/>
      <c r="VMF32" s="47"/>
      <c r="VMG32" s="47"/>
      <c r="VMH32" s="47"/>
      <c r="VMI32" s="47"/>
      <c r="VMJ32" s="47"/>
      <c r="VMK32" s="47"/>
      <c r="VML32" s="47"/>
      <c r="VMM32" s="47"/>
      <c r="VMN32" s="47"/>
      <c r="VMO32" s="47"/>
      <c r="VMP32" s="47"/>
      <c r="VMQ32" s="47"/>
      <c r="VMR32" s="47"/>
      <c r="VMS32" s="47"/>
      <c r="VMT32" s="47"/>
      <c r="VMU32" s="47"/>
      <c r="VMV32" s="47"/>
      <c r="VMW32" s="47"/>
      <c r="VMX32" s="47"/>
      <c r="VMY32" s="47"/>
      <c r="VMZ32" s="47"/>
      <c r="VNA32" s="47"/>
      <c r="VNB32" s="47"/>
      <c r="VNC32" s="47"/>
      <c r="VND32" s="47"/>
      <c r="VNE32" s="47"/>
      <c r="VNF32" s="47"/>
      <c r="VNG32" s="47"/>
      <c r="VNH32" s="47"/>
      <c r="VNI32" s="47"/>
      <c r="VNJ32" s="47"/>
      <c r="VNK32" s="47"/>
      <c r="VNL32" s="47"/>
      <c r="VNM32" s="47"/>
      <c r="VNN32" s="47"/>
      <c r="VNO32" s="47"/>
      <c r="VNP32" s="47"/>
      <c r="VNQ32" s="47"/>
      <c r="VNR32" s="47"/>
      <c r="VNS32" s="47"/>
      <c r="VNT32" s="47"/>
      <c r="VNU32" s="47"/>
      <c r="VNV32" s="47"/>
      <c r="VNW32" s="47"/>
      <c r="VNX32" s="47"/>
      <c r="VNY32" s="47"/>
      <c r="VNZ32" s="47"/>
      <c r="VOA32" s="47"/>
      <c r="VOB32" s="47"/>
      <c r="VOC32" s="47"/>
      <c r="VOD32" s="47"/>
      <c r="VOE32" s="47"/>
      <c r="VOF32" s="47"/>
      <c r="VOG32" s="47"/>
      <c r="VOH32" s="47"/>
      <c r="VOI32" s="47"/>
      <c r="VOJ32" s="47"/>
      <c r="VOK32" s="47"/>
      <c r="VOL32" s="47"/>
      <c r="VOM32" s="47"/>
      <c r="VON32" s="47"/>
      <c r="VOO32" s="47"/>
      <c r="VOP32" s="47"/>
      <c r="VOQ32" s="47"/>
      <c r="VOR32" s="47"/>
      <c r="VOS32" s="47"/>
      <c r="VOT32" s="47"/>
      <c r="VOU32" s="47"/>
      <c r="VOV32" s="47"/>
      <c r="VOW32" s="47"/>
      <c r="VOX32" s="47"/>
      <c r="VOY32" s="47"/>
      <c r="VOZ32" s="47"/>
      <c r="VPA32" s="47"/>
      <c r="VPB32" s="47"/>
      <c r="VPC32" s="47"/>
      <c r="VPD32" s="47"/>
      <c r="VPE32" s="47"/>
      <c r="VPF32" s="47"/>
      <c r="VPG32" s="47"/>
      <c r="VPH32" s="47"/>
      <c r="VPI32" s="47"/>
      <c r="VPJ32" s="47"/>
      <c r="VPK32" s="47"/>
      <c r="VPL32" s="47"/>
      <c r="VPM32" s="47"/>
      <c r="VPN32" s="47"/>
      <c r="VPO32" s="47"/>
      <c r="VPP32" s="47"/>
      <c r="VPQ32" s="47"/>
      <c r="VPR32" s="47"/>
      <c r="VPS32" s="47"/>
      <c r="VPT32" s="47"/>
      <c r="VPU32" s="47"/>
      <c r="VPV32" s="47"/>
      <c r="VPW32" s="47"/>
      <c r="VPX32" s="47"/>
      <c r="VPY32" s="47"/>
      <c r="VPZ32" s="47"/>
      <c r="VQA32" s="47"/>
      <c r="VQB32" s="47"/>
      <c r="VQC32" s="47"/>
      <c r="VQD32" s="47"/>
      <c r="VQE32" s="47"/>
      <c r="VQF32" s="47"/>
      <c r="VQG32" s="47"/>
      <c r="VQH32" s="47"/>
      <c r="VQI32" s="47"/>
      <c r="VQJ32" s="47"/>
      <c r="VQK32" s="47"/>
      <c r="VQL32" s="47"/>
      <c r="VQM32" s="47"/>
      <c r="VQN32" s="47"/>
      <c r="VQO32" s="47"/>
      <c r="VQP32" s="47"/>
      <c r="VQQ32" s="47"/>
      <c r="VQR32" s="47"/>
      <c r="VQS32" s="47"/>
      <c r="VQT32" s="47"/>
      <c r="VQU32" s="47"/>
      <c r="VQV32" s="47"/>
      <c r="VQW32" s="47"/>
      <c r="VQX32" s="47"/>
      <c r="VQY32" s="47"/>
      <c r="VQZ32" s="47"/>
      <c r="VRA32" s="47"/>
      <c r="VRB32" s="47"/>
      <c r="VRC32" s="47"/>
      <c r="VRD32" s="47"/>
      <c r="VRE32" s="47"/>
      <c r="VRF32" s="47"/>
      <c r="VRG32" s="47"/>
      <c r="VRH32" s="47"/>
      <c r="VRI32" s="47"/>
      <c r="VRJ32" s="47"/>
      <c r="VRK32" s="47"/>
      <c r="VRL32" s="47"/>
      <c r="VRM32" s="47"/>
      <c r="VRN32" s="47"/>
      <c r="VRO32" s="47"/>
      <c r="VRP32" s="47"/>
      <c r="VRQ32" s="47"/>
      <c r="VRR32" s="47"/>
      <c r="VRS32" s="47"/>
      <c r="VRT32" s="47"/>
      <c r="VRU32" s="47"/>
      <c r="VRV32" s="47"/>
      <c r="VRW32" s="47"/>
      <c r="VRX32" s="47"/>
      <c r="VRY32" s="47"/>
      <c r="VRZ32" s="47"/>
      <c r="VSA32" s="47"/>
      <c r="VSB32" s="47"/>
      <c r="VSC32" s="47"/>
      <c r="VSD32" s="47"/>
      <c r="VSE32" s="47"/>
      <c r="VSF32" s="47"/>
      <c r="VSG32" s="47"/>
      <c r="VSH32" s="47"/>
      <c r="VSI32" s="47"/>
      <c r="VSJ32" s="47"/>
      <c r="VSK32" s="47"/>
      <c r="VSL32" s="47"/>
      <c r="VSM32" s="47"/>
      <c r="VSN32" s="47"/>
      <c r="VSO32" s="47"/>
      <c r="VSP32" s="47"/>
      <c r="VSQ32" s="47"/>
      <c r="VSR32" s="47"/>
      <c r="VSS32" s="47"/>
      <c r="VST32" s="47"/>
      <c r="VSU32" s="47"/>
      <c r="VSV32" s="47"/>
      <c r="VSW32" s="47"/>
      <c r="VSX32" s="47"/>
      <c r="VSY32" s="47"/>
      <c r="VSZ32" s="47"/>
      <c r="VTA32" s="47"/>
      <c r="VTB32" s="47"/>
      <c r="VTC32" s="47"/>
      <c r="VTD32" s="47"/>
      <c r="VTE32" s="47"/>
      <c r="VTF32" s="47"/>
      <c r="VTG32" s="47"/>
      <c r="VTH32" s="47"/>
      <c r="VTI32" s="47"/>
      <c r="VTJ32" s="47"/>
      <c r="VTK32" s="47"/>
      <c r="VTL32" s="47"/>
      <c r="VTM32" s="47"/>
      <c r="VTN32" s="47"/>
      <c r="VTO32" s="47"/>
      <c r="VTP32" s="47"/>
      <c r="VTQ32" s="47"/>
      <c r="VTR32" s="47"/>
      <c r="VTS32" s="47"/>
      <c r="VTT32" s="47"/>
      <c r="VTU32" s="47"/>
      <c r="VTV32" s="47"/>
      <c r="VTW32" s="47"/>
      <c r="VTX32" s="47"/>
      <c r="VTY32" s="47"/>
      <c r="VTZ32" s="47"/>
      <c r="VUA32" s="47"/>
      <c r="VUB32" s="47"/>
      <c r="VUC32" s="47"/>
      <c r="VUD32" s="47"/>
      <c r="VUE32" s="47"/>
      <c r="VUF32" s="47"/>
      <c r="VUG32" s="47"/>
      <c r="VUH32" s="47"/>
      <c r="VUI32" s="47"/>
      <c r="VUJ32" s="47"/>
      <c r="VUK32" s="47"/>
      <c r="VUL32" s="47"/>
      <c r="VUM32" s="47"/>
      <c r="VUN32" s="47"/>
      <c r="VUO32" s="47"/>
      <c r="VUP32" s="47"/>
      <c r="VUQ32" s="47"/>
      <c r="VUR32" s="47"/>
      <c r="VUS32" s="47"/>
      <c r="VUT32" s="47"/>
      <c r="VUU32" s="47"/>
      <c r="VUV32" s="47"/>
      <c r="VUW32" s="47"/>
      <c r="VUX32" s="47"/>
      <c r="VUY32" s="47"/>
      <c r="VUZ32" s="47"/>
      <c r="VVA32" s="47"/>
      <c r="VVB32" s="47"/>
      <c r="VVC32" s="47"/>
      <c r="VVD32" s="47"/>
      <c r="VVE32" s="47"/>
      <c r="VVF32" s="47"/>
      <c r="VVG32" s="47"/>
      <c r="VVH32" s="47"/>
      <c r="VVI32" s="47"/>
      <c r="VVJ32" s="47"/>
      <c r="VVK32" s="47"/>
      <c r="VVL32" s="47"/>
      <c r="VVM32" s="47"/>
      <c r="VVN32" s="47"/>
      <c r="VVO32" s="47"/>
      <c r="VVP32" s="47"/>
      <c r="VVQ32" s="47"/>
      <c r="VVR32" s="47"/>
      <c r="VVS32" s="47"/>
      <c r="VVT32" s="47"/>
      <c r="VVU32" s="47"/>
      <c r="VVV32" s="47"/>
      <c r="VVW32" s="47"/>
      <c r="VVX32" s="47"/>
      <c r="VVY32" s="47"/>
      <c r="VVZ32" s="47"/>
      <c r="VWA32" s="47"/>
      <c r="VWB32" s="47"/>
      <c r="VWC32" s="47"/>
      <c r="VWD32" s="47"/>
      <c r="VWE32" s="47"/>
      <c r="VWF32" s="47"/>
      <c r="VWG32" s="47"/>
      <c r="VWH32" s="47"/>
      <c r="VWI32" s="47"/>
      <c r="VWJ32" s="47"/>
      <c r="VWK32" s="47"/>
      <c r="VWL32" s="47"/>
      <c r="VWM32" s="47"/>
      <c r="VWN32" s="47"/>
      <c r="VWO32" s="47"/>
      <c r="VWP32" s="47"/>
      <c r="VWQ32" s="47"/>
      <c r="VWR32" s="47"/>
      <c r="VWS32" s="47"/>
      <c r="VWT32" s="47"/>
      <c r="VWU32" s="47"/>
      <c r="VWV32" s="47"/>
      <c r="VWW32" s="47"/>
      <c r="VWX32" s="47"/>
      <c r="VWY32" s="47"/>
      <c r="VWZ32" s="47"/>
      <c r="VXA32" s="47"/>
      <c r="VXB32" s="47"/>
      <c r="VXC32" s="47"/>
      <c r="VXD32" s="47"/>
      <c r="VXE32" s="47"/>
      <c r="VXF32" s="47"/>
      <c r="VXG32" s="47"/>
      <c r="VXH32" s="47"/>
      <c r="VXI32" s="47"/>
      <c r="VXJ32" s="47"/>
      <c r="VXK32" s="47"/>
      <c r="VXL32" s="47"/>
      <c r="VXM32" s="47"/>
      <c r="VXN32" s="47"/>
      <c r="VXO32" s="47"/>
      <c r="VXP32" s="47"/>
      <c r="VXQ32" s="47"/>
      <c r="VXR32" s="47"/>
      <c r="VXS32" s="47"/>
      <c r="VXT32" s="47"/>
      <c r="VXU32" s="47"/>
      <c r="VXV32" s="47"/>
      <c r="VXW32" s="47"/>
      <c r="VXX32" s="47"/>
      <c r="VXY32" s="47"/>
      <c r="VXZ32" s="47"/>
      <c r="VYA32" s="47"/>
      <c r="VYB32" s="47"/>
      <c r="VYC32" s="47"/>
      <c r="VYD32" s="47"/>
      <c r="VYE32" s="47"/>
      <c r="VYF32" s="47"/>
      <c r="VYG32" s="47"/>
      <c r="VYH32" s="47"/>
      <c r="VYI32" s="47"/>
      <c r="VYJ32" s="47"/>
      <c r="VYK32" s="47"/>
      <c r="VYL32" s="47"/>
      <c r="VYM32" s="47"/>
      <c r="VYN32" s="47"/>
      <c r="VYO32" s="47"/>
      <c r="VYP32" s="47"/>
      <c r="VYQ32" s="47"/>
      <c r="VYR32" s="47"/>
      <c r="VYS32" s="47"/>
      <c r="VYT32" s="47"/>
      <c r="VYU32" s="47"/>
      <c r="VYV32" s="47"/>
      <c r="VYW32" s="47"/>
      <c r="VYX32" s="47"/>
      <c r="VYY32" s="47"/>
      <c r="VYZ32" s="47"/>
      <c r="VZA32" s="47"/>
      <c r="VZB32" s="47"/>
      <c r="VZC32" s="47"/>
      <c r="VZD32" s="47"/>
      <c r="VZE32" s="47"/>
      <c r="VZF32" s="47"/>
      <c r="VZG32" s="47"/>
      <c r="VZH32" s="47"/>
      <c r="VZI32" s="47"/>
      <c r="VZJ32" s="47"/>
      <c r="VZK32" s="47"/>
      <c r="VZL32" s="47"/>
      <c r="VZM32" s="47"/>
      <c r="VZN32" s="47"/>
      <c r="VZO32" s="47"/>
      <c r="VZP32" s="47"/>
      <c r="VZQ32" s="47"/>
      <c r="VZR32" s="47"/>
      <c r="VZS32" s="47"/>
      <c r="VZT32" s="47"/>
      <c r="VZU32" s="47"/>
      <c r="VZV32" s="47"/>
      <c r="VZW32" s="47"/>
      <c r="VZX32" s="47"/>
      <c r="VZY32" s="47"/>
      <c r="VZZ32" s="47"/>
      <c r="WAA32" s="47"/>
      <c r="WAB32" s="47"/>
      <c r="WAC32" s="47"/>
      <c r="WAD32" s="47"/>
      <c r="WAE32" s="47"/>
      <c r="WAF32" s="47"/>
      <c r="WAG32" s="47"/>
      <c r="WAH32" s="47"/>
      <c r="WAI32" s="47"/>
      <c r="WAJ32" s="47"/>
      <c r="WAK32" s="47"/>
      <c r="WAL32" s="47"/>
      <c r="WAM32" s="47"/>
      <c r="WAN32" s="47"/>
      <c r="WAO32" s="47"/>
      <c r="WAP32" s="47"/>
      <c r="WAQ32" s="47"/>
      <c r="WAR32" s="47"/>
      <c r="WAS32" s="47"/>
      <c r="WAT32" s="47"/>
      <c r="WAU32" s="47"/>
      <c r="WAV32" s="47"/>
      <c r="WAW32" s="47"/>
      <c r="WAX32" s="47"/>
      <c r="WAY32" s="47"/>
      <c r="WAZ32" s="47"/>
      <c r="WBA32" s="47"/>
      <c r="WBB32" s="47"/>
      <c r="WBC32" s="47"/>
      <c r="WBD32" s="47"/>
      <c r="WBE32" s="47"/>
      <c r="WBF32" s="47"/>
      <c r="WBG32" s="47"/>
      <c r="WBH32" s="47"/>
      <c r="WBI32" s="47"/>
      <c r="WBJ32" s="47"/>
      <c r="WBK32" s="47"/>
      <c r="WBL32" s="47"/>
      <c r="WBM32" s="47"/>
      <c r="WBN32" s="47"/>
      <c r="WBO32" s="47"/>
      <c r="WBP32" s="47"/>
      <c r="WBQ32" s="47"/>
      <c r="WBR32" s="47"/>
      <c r="WBS32" s="47"/>
      <c r="WBT32" s="47"/>
      <c r="WBU32" s="47"/>
      <c r="WBV32" s="47"/>
      <c r="WBW32" s="47"/>
      <c r="WBX32" s="47"/>
      <c r="WBY32" s="47"/>
      <c r="WBZ32" s="47"/>
      <c r="WCA32" s="47"/>
      <c r="WCB32" s="47"/>
      <c r="WCC32" s="47"/>
      <c r="WCD32" s="47"/>
      <c r="WCE32" s="47"/>
      <c r="WCF32" s="47"/>
      <c r="WCG32" s="47"/>
      <c r="WCH32" s="47"/>
      <c r="WCI32" s="47"/>
      <c r="WCJ32" s="47"/>
      <c r="WCK32" s="47"/>
      <c r="WCL32" s="47"/>
      <c r="WCM32" s="47"/>
      <c r="WCN32" s="47"/>
      <c r="WCO32" s="47"/>
      <c r="WCP32" s="47"/>
      <c r="WCQ32" s="47"/>
      <c r="WCR32" s="47"/>
      <c r="WCS32" s="47"/>
      <c r="WCT32" s="47"/>
      <c r="WCU32" s="47"/>
      <c r="WCV32" s="47"/>
      <c r="WCW32" s="47"/>
      <c r="WCX32" s="47"/>
      <c r="WCY32" s="47"/>
      <c r="WCZ32" s="47"/>
      <c r="WDA32" s="47"/>
      <c r="WDB32" s="47"/>
      <c r="WDC32" s="47"/>
      <c r="WDD32" s="47"/>
      <c r="WDE32" s="47"/>
      <c r="WDF32" s="47"/>
      <c r="WDG32" s="47"/>
      <c r="WDH32" s="47"/>
      <c r="WDI32" s="47"/>
      <c r="WDJ32" s="47"/>
      <c r="WDK32" s="47"/>
      <c r="WDL32" s="47"/>
      <c r="WDM32" s="47"/>
      <c r="WDN32" s="47"/>
      <c r="WDO32" s="47"/>
      <c r="WDP32" s="47"/>
      <c r="WDQ32" s="47"/>
      <c r="WDR32" s="47"/>
      <c r="WDS32" s="47"/>
      <c r="WDT32" s="47"/>
      <c r="WDU32" s="47"/>
      <c r="WDV32" s="47"/>
      <c r="WDW32" s="47"/>
      <c r="WDX32" s="47"/>
      <c r="WDY32" s="47"/>
      <c r="WDZ32" s="47"/>
      <c r="WEA32" s="47"/>
      <c r="WEB32" s="47"/>
      <c r="WEC32" s="47"/>
      <c r="WED32" s="47"/>
      <c r="WEE32" s="47"/>
      <c r="WEF32" s="47"/>
      <c r="WEG32" s="47"/>
      <c r="WEH32" s="47"/>
      <c r="WEI32" s="47"/>
      <c r="WEJ32" s="47"/>
      <c r="WEK32" s="47"/>
      <c r="WEL32" s="47"/>
      <c r="WEM32" s="47"/>
      <c r="WEN32" s="47"/>
      <c r="WEO32" s="47"/>
      <c r="WEP32" s="47"/>
      <c r="WEQ32" s="47"/>
      <c r="WER32" s="47"/>
      <c r="WES32" s="47"/>
      <c r="WET32" s="47"/>
      <c r="WEU32" s="47"/>
      <c r="WEV32" s="47"/>
      <c r="WEW32" s="47"/>
      <c r="WEX32" s="47"/>
      <c r="WEY32" s="47"/>
      <c r="WEZ32" s="47"/>
      <c r="WFA32" s="47"/>
      <c r="WFB32" s="47"/>
      <c r="WFC32" s="47"/>
      <c r="WFD32" s="47"/>
      <c r="WFE32" s="47"/>
      <c r="WFF32" s="47"/>
      <c r="WFG32" s="47"/>
      <c r="WFH32" s="47"/>
      <c r="WFI32" s="47"/>
      <c r="WFJ32" s="47"/>
      <c r="WFK32" s="47"/>
      <c r="WFL32" s="47"/>
      <c r="WFM32" s="47"/>
      <c r="WFN32" s="47"/>
      <c r="WFO32" s="47"/>
      <c r="WFP32" s="47"/>
      <c r="WFQ32" s="47"/>
      <c r="WFR32" s="47"/>
      <c r="WFS32" s="47"/>
      <c r="WFT32" s="47"/>
      <c r="WFU32" s="47"/>
      <c r="WFV32" s="47"/>
      <c r="WFW32" s="47"/>
      <c r="WFX32" s="47"/>
      <c r="WFY32" s="47"/>
      <c r="WFZ32" s="47"/>
      <c r="WGA32" s="47"/>
      <c r="WGB32" s="47"/>
      <c r="WGC32" s="47"/>
      <c r="WGD32" s="47"/>
      <c r="WGE32" s="47"/>
      <c r="WGF32" s="47"/>
      <c r="WGG32" s="47"/>
      <c r="WGH32" s="47"/>
      <c r="WGI32" s="47"/>
      <c r="WGJ32" s="47"/>
      <c r="WGK32" s="47"/>
      <c r="WGL32" s="47"/>
      <c r="WGM32" s="47"/>
      <c r="WGN32" s="47"/>
      <c r="WGO32" s="47"/>
      <c r="WGP32" s="47"/>
      <c r="WGQ32" s="47"/>
      <c r="WGR32" s="47"/>
      <c r="WGS32" s="47"/>
      <c r="WGT32" s="47"/>
      <c r="WGU32" s="47"/>
      <c r="WGV32" s="47"/>
      <c r="WGW32" s="47"/>
      <c r="WGX32" s="47"/>
      <c r="WGY32" s="47"/>
      <c r="WGZ32" s="47"/>
      <c r="WHA32" s="47"/>
      <c r="WHB32" s="47"/>
      <c r="WHC32" s="47"/>
      <c r="WHD32" s="47"/>
      <c r="WHE32" s="47"/>
      <c r="WHF32" s="47"/>
      <c r="WHG32" s="47"/>
      <c r="WHH32" s="47"/>
      <c r="WHI32" s="47"/>
      <c r="WHJ32" s="47"/>
      <c r="WHK32" s="47"/>
      <c r="WHL32" s="47"/>
      <c r="WHM32" s="47"/>
      <c r="WHN32" s="47"/>
      <c r="WHO32" s="47"/>
      <c r="WHP32" s="47"/>
      <c r="WHQ32" s="47"/>
      <c r="WHR32" s="47"/>
      <c r="WHS32" s="47"/>
      <c r="WHT32" s="47"/>
      <c r="WHU32" s="47"/>
      <c r="WHV32" s="47"/>
      <c r="WHW32" s="47"/>
      <c r="WHX32" s="47"/>
      <c r="WHY32" s="47"/>
      <c r="WHZ32" s="47"/>
      <c r="WIA32" s="47"/>
      <c r="WIB32" s="47"/>
      <c r="WIC32" s="47"/>
      <c r="WID32" s="47"/>
      <c r="WIE32" s="47"/>
      <c r="WIF32" s="47"/>
      <c r="WIG32" s="47"/>
      <c r="WIH32" s="47"/>
      <c r="WII32" s="47"/>
      <c r="WIJ32" s="47"/>
      <c r="WIK32" s="47"/>
      <c r="WIL32" s="47"/>
      <c r="WIM32" s="47"/>
      <c r="WIN32" s="47"/>
      <c r="WIO32" s="47"/>
      <c r="WIP32" s="47"/>
      <c r="WIQ32" s="47"/>
      <c r="WIR32" s="47"/>
      <c r="WIS32" s="47"/>
      <c r="WIT32" s="47"/>
      <c r="WIU32" s="47"/>
      <c r="WIV32" s="47"/>
      <c r="WIW32" s="47"/>
      <c r="WIX32" s="47"/>
      <c r="WIY32" s="47"/>
      <c r="WIZ32" s="47"/>
      <c r="WJA32" s="47"/>
      <c r="WJB32" s="47"/>
      <c r="WJC32" s="47"/>
      <c r="WJD32" s="47"/>
      <c r="WJE32" s="47"/>
      <c r="WJF32" s="47"/>
      <c r="WJG32" s="47"/>
      <c r="WJH32" s="47"/>
      <c r="WJI32" s="47"/>
      <c r="WJJ32" s="47"/>
      <c r="WJK32" s="47"/>
      <c r="WJL32" s="47"/>
      <c r="WJM32" s="47"/>
      <c r="WJN32" s="47"/>
      <c r="WJO32" s="47"/>
      <c r="WJP32" s="47"/>
      <c r="WJQ32" s="47"/>
      <c r="WJR32" s="47"/>
      <c r="WJS32" s="47"/>
      <c r="WJT32" s="47"/>
      <c r="WJU32" s="47"/>
      <c r="WJV32" s="47"/>
      <c r="WJW32" s="47"/>
      <c r="WJX32" s="47"/>
      <c r="WJY32" s="47"/>
      <c r="WJZ32" s="47"/>
      <c r="WKA32" s="47"/>
      <c r="WKB32" s="47"/>
      <c r="WKC32" s="47"/>
      <c r="WKD32" s="47"/>
      <c r="WKE32" s="47"/>
      <c r="WKF32" s="47"/>
      <c r="WKG32" s="47"/>
      <c r="WKH32" s="47"/>
      <c r="WKI32" s="47"/>
      <c r="WKJ32" s="47"/>
      <c r="WKK32" s="47"/>
      <c r="WKL32" s="47"/>
      <c r="WKM32" s="47"/>
      <c r="WKN32" s="47"/>
      <c r="WKO32" s="47"/>
      <c r="WKP32" s="47"/>
      <c r="WKQ32" s="47"/>
      <c r="WKR32" s="47"/>
      <c r="WKS32" s="47"/>
      <c r="WKT32" s="47"/>
      <c r="WKU32" s="47"/>
      <c r="WKV32" s="47"/>
      <c r="WKW32" s="47"/>
      <c r="WKX32" s="47"/>
      <c r="WKY32" s="47"/>
      <c r="WKZ32" s="47"/>
      <c r="WLA32" s="47"/>
      <c r="WLB32" s="47"/>
      <c r="WLC32" s="47"/>
      <c r="WLD32" s="47"/>
      <c r="WLE32" s="47"/>
      <c r="WLF32" s="47"/>
      <c r="WLG32" s="47"/>
      <c r="WLH32" s="47"/>
      <c r="WLI32" s="47"/>
      <c r="WLJ32" s="47"/>
      <c r="WLK32" s="47"/>
      <c r="WLL32" s="47"/>
      <c r="WLM32" s="47"/>
      <c r="WLN32" s="47"/>
      <c r="WLO32" s="47"/>
      <c r="WLP32" s="47"/>
      <c r="WLQ32" s="47"/>
      <c r="WLR32" s="47"/>
      <c r="WLS32" s="47"/>
      <c r="WLT32" s="47"/>
      <c r="WLU32" s="47"/>
      <c r="WLV32" s="47"/>
      <c r="WLW32" s="47"/>
      <c r="WLX32" s="47"/>
      <c r="WLY32" s="47"/>
      <c r="WLZ32" s="47"/>
      <c r="WMA32" s="47"/>
      <c r="WMB32" s="47"/>
      <c r="WMC32" s="47"/>
      <c r="WMD32" s="47"/>
      <c r="WME32" s="47"/>
      <c r="WMF32" s="47"/>
      <c r="WMG32" s="47"/>
      <c r="WMH32" s="47"/>
      <c r="WMI32" s="47"/>
      <c r="WMJ32" s="47"/>
      <c r="WMK32" s="47"/>
      <c r="WML32" s="47"/>
      <c r="WMM32" s="47"/>
      <c r="WMN32" s="47"/>
      <c r="WMO32" s="47"/>
      <c r="WMP32" s="47"/>
      <c r="WMQ32" s="47"/>
      <c r="WMR32" s="47"/>
      <c r="WMS32" s="47"/>
      <c r="WMT32" s="47"/>
      <c r="WMU32" s="47"/>
      <c r="WMV32" s="47"/>
      <c r="WMW32" s="47"/>
      <c r="WMX32" s="47"/>
      <c r="WMY32" s="47"/>
      <c r="WMZ32" s="47"/>
      <c r="WNA32" s="47"/>
      <c r="WNB32" s="47"/>
      <c r="WNC32" s="47"/>
      <c r="WND32" s="47"/>
      <c r="WNE32" s="47"/>
      <c r="WNF32" s="47"/>
      <c r="WNG32" s="47"/>
      <c r="WNH32" s="47"/>
      <c r="WNI32" s="47"/>
      <c r="WNJ32" s="47"/>
      <c r="WNK32" s="47"/>
      <c r="WNL32" s="47"/>
      <c r="WNM32" s="47"/>
      <c r="WNN32" s="47"/>
      <c r="WNO32" s="47"/>
      <c r="WNP32" s="47"/>
      <c r="WNQ32" s="47"/>
      <c r="WNR32" s="47"/>
      <c r="WNS32" s="47"/>
      <c r="WNT32" s="47"/>
      <c r="WNU32" s="47"/>
      <c r="WNV32" s="47"/>
      <c r="WNW32" s="47"/>
      <c r="WNX32" s="47"/>
      <c r="WNY32" s="47"/>
      <c r="WNZ32" s="47"/>
      <c r="WOA32" s="47"/>
      <c r="WOB32" s="47"/>
      <c r="WOC32" s="47"/>
      <c r="WOD32" s="47"/>
      <c r="WOE32" s="47"/>
      <c r="WOF32" s="47"/>
      <c r="WOG32" s="47"/>
      <c r="WOH32" s="47"/>
      <c r="WOI32" s="47"/>
      <c r="WOJ32" s="47"/>
      <c r="WOK32" s="47"/>
      <c r="WOL32" s="47"/>
      <c r="WOM32" s="47"/>
      <c r="WON32" s="47"/>
      <c r="WOO32" s="47"/>
      <c r="WOP32" s="47"/>
      <c r="WOQ32" s="47"/>
      <c r="WOR32" s="47"/>
      <c r="WOS32" s="47"/>
      <c r="WOT32" s="47"/>
      <c r="WOU32" s="47"/>
      <c r="WOV32" s="47"/>
      <c r="WOW32" s="47"/>
      <c r="WOX32" s="47"/>
      <c r="WOY32" s="47"/>
      <c r="WOZ32" s="47"/>
      <c r="WPA32" s="47"/>
      <c r="WPB32" s="47"/>
      <c r="WPC32" s="47"/>
      <c r="WPD32" s="47"/>
      <c r="WPE32" s="47"/>
      <c r="WPF32" s="47"/>
      <c r="WPG32" s="47"/>
      <c r="WPH32" s="47"/>
      <c r="WPI32" s="47"/>
      <c r="WPJ32" s="47"/>
      <c r="WPK32" s="47"/>
      <c r="WPL32" s="47"/>
      <c r="WPM32" s="47"/>
      <c r="WPN32" s="47"/>
      <c r="WPO32" s="47"/>
      <c r="WPP32" s="47"/>
      <c r="WPQ32" s="47"/>
      <c r="WPR32" s="47"/>
      <c r="WPS32" s="47"/>
      <c r="WPT32" s="47"/>
      <c r="WPU32" s="47"/>
      <c r="WPV32" s="47"/>
      <c r="WPW32" s="47"/>
      <c r="WPX32" s="47"/>
      <c r="WPY32" s="47"/>
      <c r="WPZ32" s="47"/>
      <c r="WQA32" s="47"/>
      <c r="WQB32" s="47"/>
      <c r="WQC32" s="47"/>
      <c r="WQD32" s="47"/>
      <c r="WQE32" s="47"/>
      <c r="WQF32" s="47"/>
      <c r="WQG32" s="47"/>
      <c r="WQH32" s="47"/>
      <c r="WQI32" s="47"/>
      <c r="WQJ32" s="47"/>
      <c r="WQK32" s="47"/>
      <c r="WQL32" s="47"/>
      <c r="WQM32" s="47"/>
      <c r="WQN32" s="47"/>
      <c r="WQO32" s="47"/>
      <c r="WQP32" s="47"/>
      <c r="WQQ32" s="47"/>
      <c r="WQR32" s="47"/>
      <c r="WQS32" s="47"/>
      <c r="WQT32" s="47"/>
      <c r="WQU32" s="47"/>
      <c r="WQV32" s="47"/>
      <c r="WQW32" s="47"/>
      <c r="WQX32" s="47"/>
      <c r="WQY32" s="47"/>
      <c r="WQZ32" s="47"/>
      <c r="WRA32" s="47"/>
      <c r="WRB32" s="47"/>
      <c r="WRC32" s="47"/>
      <c r="WRD32" s="47"/>
      <c r="WRE32" s="47"/>
      <c r="WRF32" s="47"/>
      <c r="WRG32" s="47"/>
      <c r="WRH32" s="47"/>
      <c r="WRI32" s="47"/>
      <c r="WRJ32" s="47"/>
      <c r="WRK32" s="47"/>
      <c r="WRL32" s="47"/>
      <c r="WRM32" s="47"/>
      <c r="WRN32" s="47"/>
      <c r="WRO32" s="47"/>
      <c r="WRP32" s="47"/>
      <c r="WRQ32" s="47"/>
      <c r="WRR32" s="47"/>
      <c r="WRS32" s="47"/>
      <c r="WRT32" s="47"/>
      <c r="WRU32" s="47"/>
      <c r="WRV32" s="47"/>
      <c r="WRW32" s="47"/>
      <c r="WRX32" s="47"/>
      <c r="WRY32" s="47"/>
      <c r="WRZ32" s="47"/>
      <c r="WSA32" s="47"/>
      <c r="WSB32" s="47"/>
      <c r="WSC32" s="47"/>
      <c r="WSD32" s="47"/>
      <c r="WSE32" s="47"/>
      <c r="WSF32" s="47"/>
      <c r="WSG32" s="47"/>
      <c r="WSH32" s="47"/>
      <c r="WSI32" s="47"/>
      <c r="WSJ32" s="47"/>
      <c r="WSK32" s="47"/>
      <c r="WSL32" s="47"/>
      <c r="WSM32" s="47"/>
      <c r="WSN32" s="47"/>
      <c r="WSO32" s="47"/>
      <c r="WSP32" s="47"/>
      <c r="WSQ32" s="47"/>
      <c r="WSR32" s="47"/>
      <c r="WSS32" s="47"/>
      <c r="WST32" s="47"/>
      <c r="WSU32" s="47"/>
      <c r="WSV32" s="47"/>
      <c r="WSW32" s="47"/>
      <c r="WSX32" s="47"/>
      <c r="WSY32" s="47"/>
      <c r="WSZ32" s="47"/>
      <c r="WTA32" s="47"/>
      <c r="WTB32" s="47"/>
      <c r="WTC32" s="47"/>
      <c r="WTD32" s="47"/>
      <c r="WTE32" s="47"/>
      <c r="WTF32" s="47"/>
      <c r="WTG32" s="47"/>
      <c r="WTH32" s="47"/>
      <c r="WTI32" s="47"/>
      <c r="WTJ32" s="47"/>
      <c r="WTK32" s="47"/>
      <c r="WTL32" s="47"/>
      <c r="WTM32" s="47"/>
      <c r="WTN32" s="47"/>
      <c r="WTO32" s="47"/>
      <c r="WTP32" s="47"/>
      <c r="WTQ32" s="47"/>
      <c r="WTR32" s="47"/>
      <c r="WTS32" s="47"/>
      <c r="WTT32" s="47"/>
      <c r="WTU32" s="47"/>
      <c r="WTV32" s="47"/>
      <c r="WTW32" s="47"/>
      <c r="WTX32" s="47"/>
      <c r="WTY32" s="47"/>
      <c r="WTZ32" s="47"/>
      <c r="WUA32" s="47"/>
      <c r="WUB32" s="47"/>
      <c r="WUC32" s="47"/>
      <c r="WUD32" s="47"/>
      <c r="WUE32" s="47"/>
      <c r="WUF32" s="47"/>
      <c r="WUG32" s="47"/>
      <c r="WUH32" s="47"/>
      <c r="WUI32" s="47"/>
      <c r="WUJ32" s="47"/>
      <c r="WUK32" s="47"/>
      <c r="WUL32" s="47"/>
      <c r="WUM32" s="47"/>
      <c r="WUN32" s="47"/>
      <c r="WUO32" s="47"/>
      <c r="WUP32" s="47"/>
      <c r="WUQ32" s="47"/>
      <c r="WUR32" s="47"/>
      <c r="WUS32" s="47"/>
      <c r="WUT32" s="47"/>
      <c r="WUU32" s="47"/>
      <c r="WUV32" s="47"/>
      <c r="WUW32" s="47"/>
      <c r="WUX32" s="47"/>
      <c r="WUY32" s="47"/>
      <c r="WUZ32" s="47"/>
      <c r="WVA32" s="47"/>
      <c r="WVB32" s="47"/>
      <c r="WVC32" s="47"/>
      <c r="WVD32" s="47"/>
      <c r="WVE32" s="47"/>
      <c r="WVF32" s="47"/>
      <c r="WVG32" s="47"/>
      <c r="WVH32" s="47"/>
      <c r="WVI32" s="47"/>
      <c r="WVJ32" s="47"/>
      <c r="WVK32" s="47"/>
      <c r="WVL32" s="47"/>
      <c r="WVM32" s="47"/>
      <c r="WVN32" s="47"/>
      <c r="WVO32" s="47"/>
      <c r="WVP32" s="47"/>
      <c r="WVQ32" s="47"/>
      <c r="WVR32" s="47"/>
      <c r="WVS32" s="47"/>
      <c r="WVT32" s="47"/>
      <c r="WVU32" s="47"/>
      <c r="WVV32" s="47"/>
      <c r="WVW32" s="47"/>
      <c r="WVX32" s="47"/>
      <c r="WVY32" s="47"/>
      <c r="WVZ32" s="47"/>
      <c r="WWA32" s="47"/>
      <c r="WWB32" s="47"/>
      <c r="WWC32" s="47"/>
      <c r="WWD32" s="47"/>
      <c r="WWE32" s="47"/>
      <c r="WWF32" s="47"/>
      <c r="WWG32" s="47"/>
      <c r="WWH32" s="47"/>
      <c r="WWI32" s="47"/>
      <c r="WWJ32" s="47"/>
      <c r="WWK32" s="47"/>
      <c r="WWL32" s="47"/>
      <c r="WWM32" s="47"/>
      <c r="WWN32" s="47"/>
      <c r="WWO32" s="47"/>
      <c r="WWP32" s="47"/>
      <c r="WWQ32" s="47"/>
      <c r="WWR32" s="47"/>
      <c r="WWS32" s="47"/>
      <c r="WWT32" s="47"/>
      <c r="WWU32" s="47"/>
      <c r="WWV32" s="47"/>
      <c r="WWW32" s="47"/>
      <c r="WWX32" s="47"/>
      <c r="WWY32" s="47"/>
      <c r="WWZ32" s="47"/>
      <c r="WXA32" s="47"/>
      <c r="WXB32" s="47"/>
      <c r="WXC32" s="47"/>
      <c r="WXD32" s="47"/>
      <c r="WXE32" s="47"/>
      <c r="WXF32" s="47"/>
      <c r="WXG32" s="47"/>
      <c r="WXH32" s="47"/>
      <c r="WXI32" s="47"/>
      <c r="WXJ32" s="47"/>
      <c r="WXK32" s="47"/>
      <c r="WXL32" s="47"/>
      <c r="WXM32" s="47"/>
      <c r="WXN32" s="47"/>
      <c r="WXO32" s="47"/>
      <c r="WXP32" s="47"/>
      <c r="WXQ32" s="47"/>
      <c r="WXR32" s="47"/>
      <c r="WXS32" s="47"/>
      <c r="WXT32" s="47"/>
      <c r="WXU32" s="47"/>
      <c r="WXV32" s="47"/>
      <c r="WXW32" s="47"/>
      <c r="WXX32" s="47"/>
      <c r="WXY32" s="47"/>
      <c r="WXZ32" s="47"/>
      <c r="WYA32" s="47"/>
      <c r="WYB32" s="47"/>
      <c r="WYC32" s="47"/>
      <c r="WYD32" s="47"/>
      <c r="WYE32" s="47"/>
      <c r="WYF32" s="47"/>
      <c r="WYG32" s="47"/>
      <c r="WYH32" s="47"/>
      <c r="WYI32" s="47"/>
      <c r="WYJ32" s="47"/>
      <c r="WYK32" s="47"/>
      <c r="WYL32" s="47"/>
      <c r="WYM32" s="47"/>
      <c r="WYN32" s="47"/>
      <c r="WYO32" s="47"/>
      <c r="WYP32" s="47"/>
      <c r="WYQ32" s="47"/>
      <c r="WYR32" s="47"/>
      <c r="WYS32" s="47"/>
      <c r="WYT32" s="47"/>
      <c r="WYU32" s="47"/>
      <c r="WYV32" s="47"/>
      <c r="WYW32" s="47"/>
      <c r="WYX32" s="47"/>
      <c r="WYY32" s="47"/>
      <c r="WYZ32" s="47"/>
      <c r="WZA32" s="47"/>
      <c r="WZB32" s="47"/>
      <c r="WZC32" s="47"/>
      <c r="WZD32" s="47"/>
      <c r="WZE32" s="47"/>
      <c r="WZF32" s="47"/>
      <c r="WZG32" s="47"/>
      <c r="WZH32" s="47"/>
      <c r="WZI32" s="47"/>
      <c r="WZJ32" s="47"/>
      <c r="WZK32" s="47"/>
      <c r="WZL32" s="47"/>
      <c r="WZM32" s="47"/>
      <c r="WZN32" s="47"/>
      <c r="WZO32" s="47"/>
      <c r="WZP32" s="47"/>
      <c r="WZQ32" s="47"/>
      <c r="WZR32" s="47"/>
      <c r="WZS32" s="47"/>
      <c r="WZT32" s="47"/>
      <c r="WZU32" s="47"/>
      <c r="WZV32" s="47"/>
      <c r="WZW32" s="47"/>
      <c r="WZX32" s="47"/>
      <c r="WZY32" s="47"/>
      <c r="WZZ32" s="47"/>
      <c r="XAA32" s="47"/>
      <c r="XAB32" s="47"/>
      <c r="XAC32" s="47"/>
      <c r="XAD32" s="47"/>
      <c r="XAE32" s="47"/>
      <c r="XAF32" s="47"/>
      <c r="XAG32" s="47"/>
      <c r="XAH32" s="47"/>
      <c r="XAI32" s="47"/>
      <c r="XAJ32" s="47"/>
      <c r="XAK32" s="47"/>
      <c r="XAL32" s="47"/>
      <c r="XAM32" s="47"/>
      <c r="XAN32" s="47"/>
      <c r="XAO32" s="47"/>
      <c r="XAP32" s="47"/>
      <c r="XAQ32" s="47"/>
      <c r="XAR32" s="47"/>
      <c r="XAS32" s="47"/>
      <c r="XAT32" s="47"/>
      <c r="XAU32" s="47"/>
      <c r="XAV32" s="47"/>
      <c r="XAW32" s="47"/>
      <c r="XAX32" s="47"/>
      <c r="XAY32" s="47"/>
      <c r="XAZ32" s="47"/>
      <c r="XBA32" s="47"/>
      <c r="XBB32" s="47"/>
      <c r="XBC32" s="47"/>
      <c r="XBD32" s="47"/>
      <c r="XBE32" s="47"/>
      <c r="XBF32" s="47"/>
      <c r="XBG32" s="47"/>
      <c r="XBH32" s="47"/>
      <c r="XBI32" s="47"/>
      <c r="XBJ32" s="47"/>
      <c r="XBK32" s="47"/>
      <c r="XBL32" s="47"/>
      <c r="XBM32" s="47"/>
      <c r="XBN32" s="47"/>
      <c r="XBO32" s="47"/>
      <c r="XBP32" s="47"/>
      <c r="XBQ32" s="47"/>
      <c r="XBR32" s="47"/>
      <c r="XBS32" s="47"/>
      <c r="XBT32" s="47"/>
      <c r="XBU32" s="47"/>
      <c r="XBV32" s="47"/>
      <c r="XBW32" s="47"/>
      <c r="XBX32" s="47"/>
      <c r="XBY32" s="47"/>
      <c r="XBZ32" s="47"/>
      <c r="XCA32" s="47"/>
      <c r="XCB32" s="47"/>
      <c r="XCC32" s="47"/>
      <c r="XCD32" s="47"/>
      <c r="XCE32" s="47"/>
      <c r="XCF32" s="47"/>
      <c r="XCG32" s="47"/>
      <c r="XCH32" s="47"/>
      <c r="XCI32" s="47"/>
      <c r="XCJ32" s="47"/>
      <c r="XCK32" s="47"/>
      <c r="XCL32" s="47"/>
      <c r="XCM32" s="47"/>
      <c r="XCN32" s="47"/>
      <c r="XCO32" s="47"/>
      <c r="XCP32" s="47"/>
      <c r="XCQ32" s="47"/>
      <c r="XCR32" s="47"/>
      <c r="XCS32" s="47"/>
      <c r="XCT32" s="47"/>
      <c r="XCU32" s="47"/>
      <c r="XCV32" s="47"/>
      <c r="XCW32" s="47"/>
      <c r="XCX32" s="47"/>
      <c r="XCY32" s="47"/>
      <c r="XCZ32" s="47"/>
      <c r="XDA32" s="47"/>
      <c r="XDB32" s="47"/>
      <c r="XDC32" s="47"/>
      <c r="XDD32" s="47"/>
      <c r="XDE32" s="47"/>
      <c r="XDF32" s="47"/>
      <c r="XDG32" s="47"/>
      <c r="XDH32" s="47"/>
      <c r="XDI32" s="47"/>
      <c r="XDJ32" s="47"/>
      <c r="XDK32" s="47"/>
      <c r="XDL32" s="47"/>
      <c r="XDM32" s="47"/>
      <c r="XDN32" s="47"/>
      <c r="XDO32" s="47"/>
      <c r="XDP32" s="47"/>
      <c r="XDQ32" s="47"/>
      <c r="XDR32" s="47"/>
      <c r="XDS32" s="47"/>
      <c r="XDT32" s="47"/>
      <c r="XDU32" s="47"/>
      <c r="XDV32" s="47"/>
      <c r="XDW32" s="47"/>
      <c r="XDX32" s="47"/>
      <c r="XDY32" s="47"/>
      <c r="XDZ32" s="47"/>
      <c r="XEA32" s="47"/>
      <c r="XEB32" s="47"/>
      <c r="XEC32" s="47"/>
      <c r="XED32" s="47"/>
      <c r="XEE32" s="47"/>
      <c r="XEF32" s="47"/>
      <c r="XEG32" s="47"/>
      <c r="XEH32" s="47"/>
      <c r="XEI32" s="47"/>
      <c r="XEJ32" s="47"/>
      <c r="XEK32" s="47"/>
      <c r="XEL32" s="47"/>
      <c r="XEM32" s="47"/>
      <c r="XEN32" s="47"/>
      <c r="XEO32" s="47"/>
      <c r="XEP32" s="47"/>
      <c r="XEQ32" s="47"/>
      <c r="XER32" s="47"/>
      <c r="XES32" s="47"/>
      <c r="XET32" s="47"/>
      <c r="XEU32" s="47"/>
      <c r="XEV32" s="47"/>
      <c r="XEW32" s="47"/>
      <c r="XEX32" s="47"/>
      <c r="XEY32" s="47"/>
      <c r="XEZ32" s="47"/>
      <c r="XFA32" s="47"/>
      <c r="XFB32" s="47"/>
      <c r="XFC32" s="47"/>
    </row>
    <row r="33" spans="1:16383" s="20" customFormat="1" ht="20.149999999999999" hidden="1" customHeight="1">
      <c r="A33" s="53"/>
      <c r="B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47"/>
      <c r="HX33" s="47"/>
      <c r="HY33" s="47"/>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47"/>
      <c r="MC33" s="47"/>
      <c r="MD33" s="47"/>
      <c r="ME33" s="47"/>
      <c r="MF33" s="47"/>
      <c r="MG33" s="47"/>
      <c r="MH33" s="47"/>
      <c r="MI33" s="47"/>
      <c r="MJ33" s="47"/>
      <c r="MK33" s="47"/>
      <c r="ML33" s="47"/>
      <c r="MM33" s="47"/>
      <c r="MN33" s="47"/>
      <c r="MO33" s="47"/>
      <c r="MP33" s="47"/>
      <c r="MQ33" s="47"/>
      <c r="MR33" s="47"/>
      <c r="MS33" s="47"/>
      <c r="MT33" s="47"/>
      <c r="MU33" s="47"/>
      <c r="MV33" s="47"/>
      <c r="MW33" s="47"/>
      <c r="MX33" s="47"/>
      <c r="MY33" s="47"/>
      <c r="MZ33" s="47"/>
      <c r="NA33" s="47"/>
      <c r="NB33" s="47"/>
      <c r="NC33" s="47"/>
      <c r="ND33" s="47"/>
      <c r="NE33" s="47"/>
      <c r="NF33" s="47"/>
      <c r="NG33" s="47"/>
      <c r="NH33" s="47"/>
      <c r="NI33" s="47"/>
      <c r="NJ33" s="47"/>
      <c r="NK33" s="47"/>
      <c r="NL33" s="47"/>
      <c r="NM33" s="47"/>
      <c r="NN33" s="47"/>
      <c r="NO33" s="47"/>
      <c r="NP33" s="47"/>
      <c r="NQ33" s="47"/>
      <c r="NR33" s="47"/>
      <c r="NS33" s="47"/>
      <c r="NT33" s="47"/>
      <c r="NU33" s="47"/>
      <c r="NV33" s="47"/>
      <c r="NW33" s="47"/>
      <c r="NX33" s="47"/>
      <c r="NY33" s="47"/>
      <c r="NZ33" s="47"/>
      <c r="OA33" s="47"/>
      <c r="OB33" s="47"/>
      <c r="OC33" s="47"/>
      <c r="OD33" s="47"/>
      <c r="OE33" s="47"/>
      <c r="OF33" s="47"/>
      <c r="OG33" s="47"/>
      <c r="OH33" s="47"/>
      <c r="OI33" s="47"/>
      <c r="OJ33" s="47"/>
      <c r="OK33" s="47"/>
      <c r="OL33" s="47"/>
      <c r="OM33" s="47"/>
      <c r="ON33" s="47"/>
      <c r="OO33" s="47"/>
      <c r="OP33" s="47"/>
      <c r="OQ33" s="47"/>
      <c r="OR33" s="47"/>
      <c r="OS33" s="47"/>
      <c r="OT33" s="47"/>
      <c r="OU33" s="47"/>
      <c r="OV33" s="47"/>
      <c r="OW33" s="47"/>
      <c r="OX33" s="47"/>
      <c r="OY33" s="47"/>
      <c r="OZ33" s="47"/>
      <c r="PA33" s="47"/>
      <c r="PB33" s="47"/>
      <c r="PC33" s="47"/>
      <c r="PD33" s="47"/>
      <c r="PE33" s="47"/>
      <c r="PF33" s="47"/>
      <c r="PG33" s="47"/>
      <c r="PH33" s="47"/>
      <c r="PI33" s="47"/>
      <c r="PJ33" s="47"/>
      <c r="PK33" s="47"/>
      <c r="PL33" s="47"/>
      <c r="PM33" s="47"/>
      <c r="PN33" s="47"/>
      <c r="PO33" s="47"/>
      <c r="PP33" s="47"/>
      <c r="PQ33" s="47"/>
      <c r="PR33" s="47"/>
      <c r="PS33" s="47"/>
      <c r="PT33" s="47"/>
      <c r="PU33" s="47"/>
      <c r="PV33" s="47"/>
      <c r="PW33" s="47"/>
      <c r="PX33" s="47"/>
      <c r="PY33" s="47"/>
      <c r="PZ33" s="47"/>
      <c r="QA33" s="47"/>
      <c r="QB33" s="47"/>
      <c r="QC33" s="47"/>
      <c r="QD33" s="47"/>
      <c r="QE33" s="47"/>
      <c r="QF33" s="47"/>
      <c r="QG33" s="47"/>
      <c r="QH33" s="47"/>
      <c r="QI33" s="47"/>
      <c r="QJ33" s="47"/>
      <c r="QK33" s="47"/>
      <c r="QL33" s="47"/>
      <c r="QM33" s="47"/>
      <c r="QN33" s="47"/>
      <c r="QO33" s="47"/>
      <c r="QP33" s="47"/>
      <c r="QQ33" s="47"/>
      <c r="QR33" s="47"/>
      <c r="QS33" s="47"/>
      <c r="QT33" s="47"/>
      <c r="QU33" s="47"/>
      <c r="QV33" s="47"/>
      <c r="QW33" s="47"/>
      <c r="QX33" s="47"/>
      <c r="QY33" s="47"/>
      <c r="QZ33" s="47"/>
      <c r="RA33" s="47"/>
      <c r="RB33" s="47"/>
      <c r="RC33" s="47"/>
      <c r="RD33" s="47"/>
      <c r="RE33" s="47"/>
      <c r="RF33" s="47"/>
      <c r="RG33" s="47"/>
      <c r="RH33" s="47"/>
      <c r="RI33" s="47"/>
      <c r="RJ33" s="47"/>
      <c r="RK33" s="47"/>
      <c r="RL33" s="47"/>
      <c r="RM33" s="47"/>
      <c r="RN33" s="47"/>
      <c r="RO33" s="47"/>
      <c r="RP33" s="47"/>
      <c r="RQ33" s="47"/>
      <c r="RR33" s="47"/>
      <c r="RS33" s="47"/>
      <c r="RT33" s="47"/>
      <c r="RU33" s="47"/>
      <c r="RV33" s="47"/>
      <c r="RW33" s="47"/>
      <c r="RX33" s="47"/>
      <c r="RY33" s="47"/>
      <c r="RZ33" s="47"/>
      <c r="SA33" s="47"/>
      <c r="SB33" s="47"/>
      <c r="SC33" s="47"/>
      <c r="SD33" s="47"/>
      <c r="SE33" s="47"/>
      <c r="SF33" s="47"/>
      <c r="SG33" s="47"/>
      <c r="SH33" s="47"/>
      <c r="SI33" s="47"/>
      <c r="SJ33" s="47"/>
      <c r="SK33" s="47"/>
      <c r="SL33" s="47"/>
      <c r="SM33" s="47"/>
      <c r="SN33" s="47"/>
      <c r="SO33" s="47"/>
      <c r="SP33" s="47"/>
      <c r="SQ33" s="47"/>
      <c r="SR33" s="47"/>
      <c r="SS33" s="47"/>
      <c r="ST33" s="47"/>
      <c r="SU33" s="47"/>
      <c r="SV33" s="47"/>
      <c r="SW33" s="47"/>
      <c r="SX33" s="47"/>
      <c r="SY33" s="47"/>
      <c r="SZ33" s="47"/>
      <c r="TA33" s="47"/>
      <c r="TB33" s="47"/>
      <c r="TC33" s="47"/>
      <c r="TD33" s="47"/>
      <c r="TE33" s="47"/>
      <c r="TF33" s="47"/>
      <c r="TG33" s="47"/>
      <c r="TH33" s="47"/>
      <c r="TI33" s="47"/>
      <c r="TJ33" s="47"/>
      <c r="TK33" s="47"/>
      <c r="TL33" s="47"/>
      <c r="TM33" s="47"/>
      <c r="TN33" s="47"/>
      <c r="TO33" s="47"/>
      <c r="TP33" s="47"/>
      <c r="TQ33" s="47"/>
      <c r="TR33" s="47"/>
      <c r="TS33" s="47"/>
      <c r="TT33" s="47"/>
      <c r="TU33" s="47"/>
      <c r="TV33" s="47"/>
      <c r="TW33" s="47"/>
      <c r="TX33" s="47"/>
      <c r="TY33" s="47"/>
      <c r="TZ33" s="47"/>
      <c r="UA33" s="47"/>
      <c r="UB33" s="47"/>
      <c r="UC33" s="47"/>
      <c r="UD33" s="47"/>
      <c r="UE33" s="47"/>
      <c r="UF33" s="47"/>
      <c r="UG33" s="47"/>
      <c r="UH33" s="47"/>
      <c r="UI33" s="47"/>
      <c r="UJ33" s="47"/>
      <c r="UK33" s="47"/>
      <c r="UL33" s="47"/>
      <c r="UM33" s="47"/>
      <c r="UN33" s="47"/>
      <c r="UO33" s="47"/>
      <c r="UP33" s="47"/>
      <c r="UQ33" s="47"/>
      <c r="UR33" s="47"/>
      <c r="US33" s="47"/>
      <c r="UT33" s="47"/>
      <c r="UU33" s="47"/>
      <c r="UV33" s="47"/>
      <c r="UW33" s="47"/>
      <c r="UX33" s="47"/>
      <c r="UY33" s="47"/>
      <c r="UZ33" s="47"/>
      <c r="VA33" s="47"/>
      <c r="VB33" s="47"/>
      <c r="VC33" s="47"/>
      <c r="VD33" s="47"/>
      <c r="VE33" s="47"/>
      <c r="VF33" s="47"/>
      <c r="VG33" s="47"/>
      <c r="VH33" s="47"/>
      <c r="VI33" s="47"/>
      <c r="VJ33" s="47"/>
      <c r="VK33" s="47"/>
      <c r="VL33" s="47"/>
      <c r="VM33" s="47"/>
      <c r="VN33" s="47"/>
      <c r="VO33" s="47"/>
      <c r="VP33" s="47"/>
      <c r="VQ33" s="47"/>
      <c r="VR33" s="47"/>
      <c r="VS33" s="47"/>
      <c r="VT33" s="47"/>
      <c r="VU33" s="47"/>
      <c r="VV33" s="47"/>
      <c r="VW33" s="47"/>
      <c r="VX33" s="47"/>
      <c r="VY33" s="47"/>
      <c r="VZ33" s="47"/>
      <c r="WA33" s="47"/>
      <c r="WB33" s="47"/>
      <c r="WC33" s="47"/>
      <c r="WD33" s="47"/>
      <c r="WE33" s="47"/>
      <c r="WF33" s="47"/>
      <c r="WG33" s="47"/>
      <c r="WH33" s="47"/>
      <c r="WI33" s="47"/>
      <c r="WJ33" s="47"/>
      <c r="WK33" s="47"/>
      <c r="WL33" s="47"/>
      <c r="WM33" s="47"/>
      <c r="WN33" s="47"/>
      <c r="WO33" s="47"/>
      <c r="WP33" s="47"/>
      <c r="WQ33" s="47"/>
      <c r="WR33" s="47"/>
      <c r="WS33" s="47"/>
      <c r="WT33" s="47"/>
      <c r="WU33" s="47"/>
      <c r="WV33" s="47"/>
      <c r="WW33" s="47"/>
      <c r="WX33" s="47"/>
      <c r="WY33" s="47"/>
      <c r="WZ33" s="47"/>
      <c r="XA33" s="47"/>
      <c r="XB33" s="47"/>
      <c r="XC33" s="47"/>
      <c r="XD33" s="47"/>
      <c r="XE33" s="47"/>
      <c r="XF33" s="47"/>
      <c r="XG33" s="47"/>
      <c r="XH33" s="47"/>
      <c r="XI33" s="47"/>
      <c r="XJ33" s="47"/>
      <c r="XK33" s="47"/>
      <c r="XL33" s="47"/>
      <c r="XM33" s="47"/>
      <c r="XN33" s="47"/>
      <c r="XO33" s="47"/>
      <c r="XP33" s="47"/>
      <c r="XQ33" s="47"/>
      <c r="XR33" s="47"/>
      <c r="XS33" s="47"/>
      <c r="XT33" s="47"/>
      <c r="XU33" s="47"/>
      <c r="XV33" s="47"/>
      <c r="XW33" s="47"/>
      <c r="XX33" s="47"/>
      <c r="XY33" s="47"/>
      <c r="XZ33" s="47"/>
      <c r="YA33" s="47"/>
      <c r="YB33" s="47"/>
      <c r="YC33" s="47"/>
      <c r="YD33" s="47"/>
      <c r="YE33" s="47"/>
      <c r="YF33" s="47"/>
      <c r="YG33" s="47"/>
      <c r="YH33" s="47"/>
      <c r="YI33" s="47"/>
      <c r="YJ33" s="47"/>
      <c r="YK33" s="47"/>
      <c r="YL33" s="47"/>
      <c r="YM33" s="47"/>
      <c r="YN33" s="47"/>
      <c r="YO33" s="47"/>
      <c r="YP33" s="47"/>
      <c r="YQ33" s="47"/>
      <c r="YR33" s="47"/>
      <c r="YS33" s="47"/>
      <c r="YT33" s="47"/>
      <c r="YU33" s="47"/>
      <c r="YV33" s="47"/>
      <c r="YW33" s="47"/>
      <c r="YX33" s="47"/>
      <c r="YY33" s="47"/>
      <c r="YZ33" s="47"/>
      <c r="ZA33" s="47"/>
      <c r="ZB33" s="47"/>
      <c r="ZC33" s="47"/>
      <c r="ZD33" s="47"/>
      <c r="ZE33" s="47"/>
      <c r="ZF33" s="47"/>
      <c r="ZG33" s="47"/>
      <c r="ZH33" s="47"/>
      <c r="ZI33" s="47"/>
      <c r="ZJ33" s="47"/>
      <c r="ZK33" s="47"/>
      <c r="ZL33" s="47"/>
      <c r="ZM33" s="47"/>
      <c r="ZN33" s="47"/>
      <c r="ZO33" s="47"/>
      <c r="ZP33" s="47"/>
      <c r="ZQ33" s="47"/>
      <c r="ZR33" s="47"/>
      <c r="ZS33" s="47"/>
      <c r="ZT33" s="47"/>
      <c r="ZU33" s="47"/>
      <c r="ZV33" s="47"/>
      <c r="ZW33" s="47"/>
      <c r="ZX33" s="47"/>
      <c r="ZY33" s="47"/>
      <c r="ZZ33" s="47"/>
      <c r="AAA33" s="47"/>
      <c r="AAB33" s="47"/>
      <c r="AAC33" s="47"/>
      <c r="AAD33" s="47"/>
      <c r="AAE33" s="47"/>
      <c r="AAF33" s="47"/>
      <c r="AAG33" s="47"/>
      <c r="AAH33" s="47"/>
      <c r="AAI33" s="47"/>
      <c r="AAJ33" s="47"/>
      <c r="AAK33" s="47"/>
      <c r="AAL33" s="47"/>
      <c r="AAM33" s="47"/>
      <c r="AAN33" s="47"/>
      <c r="AAO33" s="47"/>
      <c r="AAP33" s="47"/>
      <c r="AAQ33" s="47"/>
      <c r="AAR33" s="47"/>
      <c r="AAS33" s="47"/>
      <c r="AAT33" s="47"/>
      <c r="AAU33" s="47"/>
      <c r="AAV33" s="47"/>
      <c r="AAW33" s="47"/>
      <c r="AAX33" s="47"/>
      <c r="AAY33" s="47"/>
      <c r="AAZ33" s="47"/>
      <c r="ABA33" s="47"/>
      <c r="ABB33" s="47"/>
      <c r="ABC33" s="47"/>
      <c r="ABD33" s="47"/>
      <c r="ABE33" s="47"/>
      <c r="ABF33" s="47"/>
      <c r="ABG33" s="47"/>
      <c r="ABH33" s="47"/>
      <c r="ABI33" s="47"/>
      <c r="ABJ33" s="47"/>
      <c r="ABK33" s="47"/>
      <c r="ABL33" s="47"/>
      <c r="ABM33" s="47"/>
      <c r="ABN33" s="47"/>
      <c r="ABO33" s="47"/>
      <c r="ABP33" s="47"/>
      <c r="ABQ33" s="47"/>
      <c r="ABR33" s="47"/>
      <c r="ABS33" s="47"/>
      <c r="ABT33" s="47"/>
      <c r="ABU33" s="47"/>
      <c r="ABV33" s="47"/>
      <c r="ABW33" s="47"/>
      <c r="ABX33" s="47"/>
      <c r="ABY33" s="47"/>
      <c r="ABZ33" s="47"/>
      <c r="ACA33" s="47"/>
      <c r="ACB33" s="47"/>
      <c r="ACC33" s="47"/>
      <c r="ACD33" s="47"/>
      <c r="ACE33" s="47"/>
      <c r="ACF33" s="47"/>
      <c r="ACG33" s="47"/>
      <c r="ACH33" s="47"/>
      <c r="ACI33" s="47"/>
      <c r="ACJ33" s="47"/>
      <c r="ACK33" s="47"/>
      <c r="ACL33" s="47"/>
      <c r="ACM33" s="47"/>
      <c r="ACN33" s="47"/>
      <c r="ACO33" s="47"/>
      <c r="ACP33" s="47"/>
      <c r="ACQ33" s="47"/>
      <c r="ACR33" s="47"/>
      <c r="ACS33" s="47"/>
      <c r="ACT33" s="47"/>
      <c r="ACU33" s="47"/>
      <c r="ACV33" s="47"/>
      <c r="ACW33" s="47"/>
      <c r="ACX33" s="47"/>
      <c r="ACY33" s="47"/>
      <c r="ACZ33" s="47"/>
      <c r="ADA33" s="47"/>
      <c r="ADB33" s="47"/>
      <c r="ADC33" s="47"/>
      <c r="ADD33" s="47"/>
      <c r="ADE33" s="47"/>
      <c r="ADF33" s="47"/>
      <c r="ADG33" s="47"/>
      <c r="ADH33" s="47"/>
      <c r="ADI33" s="47"/>
      <c r="ADJ33" s="47"/>
      <c r="ADK33" s="47"/>
      <c r="ADL33" s="47"/>
      <c r="ADM33" s="47"/>
      <c r="ADN33" s="47"/>
      <c r="ADO33" s="47"/>
      <c r="ADP33" s="47"/>
      <c r="ADQ33" s="47"/>
      <c r="ADR33" s="47"/>
      <c r="ADS33" s="47"/>
      <c r="ADT33" s="47"/>
      <c r="ADU33" s="47"/>
      <c r="ADV33" s="47"/>
      <c r="ADW33" s="47"/>
      <c r="ADX33" s="47"/>
      <c r="ADY33" s="47"/>
      <c r="ADZ33" s="47"/>
      <c r="AEA33" s="47"/>
      <c r="AEB33" s="47"/>
      <c r="AEC33" s="47"/>
      <c r="AED33" s="47"/>
      <c r="AEE33" s="47"/>
      <c r="AEF33" s="47"/>
      <c r="AEG33" s="47"/>
      <c r="AEH33" s="47"/>
      <c r="AEI33" s="47"/>
      <c r="AEJ33" s="47"/>
      <c r="AEK33" s="47"/>
      <c r="AEL33" s="47"/>
      <c r="AEM33" s="47"/>
      <c r="AEN33" s="47"/>
      <c r="AEO33" s="47"/>
      <c r="AEP33" s="47"/>
      <c r="AEQ33" s="47"/>
      <c r="AER33" s="47"/>
      <c r="AES33" s="47"/>
      <c r="AET33" s="47"/>
      <c r="AEU33" s="47"/>
      <c r="AEV33" s="47"/>
      <c r="AEW33" s="47"/>
      <c r="AEX33" s="47"/>
      <c r="AEY33" s="47"/>
      <c r="AEZ33" s="47"/>
      <c r="AFA33" s="47"/>
      <c r="AFB33" s="47"/>
      <c r="AFC33" s="47"/>
      <c r="AFD33" s="47"/>
      <c r="AFE33" s="47"/>
      <c r="AFF33" s="47"/>
      <c r="AFG33" s="47"/>
      <c r="AFH33" s="47"/>
      <c r="AFI33" s="47"/>
      <c r="AFJ33" s="47"/>
      <c r="AFK33" s="47"/>
      <c r="AFL33" s="47"/>
      <c r="AFM33" s="47"/>
      <c r="AFN33" s="47"/>
      <c r="AFO33" s="47"/>
      <c r="AFP33" s="47"/>
      <c r="AFQ33" s="47"/>
      <c r="AFR33" s="47"/>
      <c r="AFS33" s="47"/>
      <c r="AFT33" s="47"/>
      <c r="AFU33" s="47"/>
      <c r="AFV33" s="47"/>
      <c r="AFW33" s="47"/>
      <c r="AFX33" s="47"/>
      <c r="AFY33" s="47"/>
      <c r="AFZ33" s="47"/>
      <c r="AGA33" s="47"/>
      <c r="AGB33" s="47"/>
      <c r="AGC33" s="47"/>
      <c r="AGD33" s="47"/>
      <c r="AGE33" s="47"/>
      <c r="AGF33" s="47"/>
      <c r="AGG33" s="47"/>
      <c r="AGH33" s="47"/>
      <c r="AGI33" s="47"/>
      <c r="AGJ33" s="47"/>
      <c r="AGK33" s="47"/>
      <c r="AGL33" s="47"/>
      <c r="AGM33" s="47"/>
      <c r="AGN33" s="47"/>
      <c r="AGO33" s="47"/>
      <c r="AGP33" s="47"/>
      <c r="AGQ33" s="47"/>
      <c r="AGR33" s="47"/>
      <c r="AGS33" s="47"/>
      <c r="AGT33" s="47"/>
      <c r="AGU33" s="47"/>
      <c r="AGV33" s="47"/>
      <c r="AGW33" s="47"/>
      <c r="AGX33" s="47"/>
      <c r="AGY33" s="47"/>
      <c r="AGZ33" s="47"/>
      <c r="AHA33" s="47"/>
      <c r="AHB33" s="47"/>
      <c r="AHC33" s="47"/>
      <c r="AHD33" s="47"/>
      <c r="AHE33" s="47"/>
      <c r="AHF33" s="47"/>
      <c r="AHG33" s="47"/>
      <c r="AHH33" s="47"/>
      <c r="AHI33" s="47"/>
      <c r="AHJ33" s="47"/>
      <c r="AHK33" s="47"/>
      <c r="AHL33" s="47"/>
      <c r="AHM33" s="47"/>
      <c r="AHN33" s="47"/>
      <c r="AHO33" s="47"/>
      <c r="AHP33" s="47"/>
      <c r="AHQ33" s="47"/>
      <c r="AHR33" s="47"/>
      <c r="AHS33" s="47"/>
      <c r="AHT33" s="47"/>
      <c r="AHU33" s="47"/>
      <c r="AHV33" s="47"/>
      <c r="AHW33" s="47"/>
      <c r="AHX33" s="47"/>
      <c r="AHY33" s="47"/>
      <c r="AHZ33" s="47"/>
      <c r="AIA33" s="47"/>
      <c r="AIB33" s="47"/>
      <c r="AIC33" s="47"/>
      <c r="AID33" s="47"/>
      <c r="AIE33" s="47"/>
      <c r="AIF33" s="47"/>
      <c r="AIG33" s="47"/>
      <c r="AIH33" s="47"/>
      <c r="AII33" s="47"/>
      <c r="AIJ33" s="47"/>
      <c r="AIK33" s="47"/>
      <c r="AIL33" s="47"/>
      <c r="AIM33" s="47"/>
      <c r="AIN33" s="47"/>
      <c r="AIO33" s="47"/>
      <c r="AIP33" s="47"/>
      <c r="AIQ33" s="47"/>
      <c r="AIR33" s="47"/>
      <c r="AIS33" s="47"/>
      <c r="AIT33" s="47"/>
      <c r="AIU33" s="47"/>
      <c r="AIV33" s="47"/>
      <c r="AIW33" s="47"/>
      <c r="AIX33" s="47"/>
      <c r="AIY33" s="47"/>
      <c r="AIZ33" s="47"/>
      <c r="AJA33" s="47"/>
      <c r="AJB33" s="47"/>
      <c r="AJC33" s="47"/>
      <c r="AJD33" s="47"/>
      <c r="AJE33" s="47"/>
      <c r="AJF33" s="47"/>
      <c r="AJG33" s="47"/>
      <c r="AJH33" s="47"/>
      <c r="AJI33" s="47"/>
      <c r="AJJ33" s="47"/>
      <c r="AJK33" s="47"/>
      <c r="AJL33" s="47"/>
      <c r="AJM33" s="47"/>
      <c r="AJN33" s="47"/>
      <c r="AJO33" s="47"/>
      <c r="AJP33" s="47"/>
      <c r="AJQ33" s="47"/>
      <c r="AJR33" s="47"/>
      <c r="AJS33" s="47"/>
      <c r="AJT33" s="47"/>
      <c r="AJU33" s="47"/>
      <c r="AJV33" s="47"/>
      <c r="AJW33" s="47"/>
      <c r="AJX33" s="47"/>
      <c r="AJY33" s="47"/>
      <c r="AJZ33" s="47"/>
      <c r="AKA33" s="47"/>
      <c r="AKB33" s="47"/>
      <c r="AKC33" s="47"/>
      <c r="AKD33" s="47"/>
      <c r="AKE33" s="47"/>
      <c r="AKF33" s="47"/>
      <c r="AKG33" s="47"/>
      <c r="AKH33" s="47"/>
      <c r="AKI33" s="47"/>
      <c r="AKJ33" s="47"/>
      <c r="AKK33" s="47"/>
      <c r="AKL33" s="47"/>
      <c r="AKM33" s="47"/>
      <c r="AKN33" s="47"/>
      <c r="AKO33" s="47"/>
      <c r="AKP33" s="47"/>
      <c r="AKQ33" s="47"/>
      <c r="AKR33" s="47"/>
      <c r="AKS33" s="47"/>
      <c r="AKT33" s="47"/>
      <c r="AKU33" s="47"/>
      <c r="AKV33" s="47"/>
      <c r="AKW33" s="47"/>
      <c r="AKX33" s="47"/>
      <c r="AKY33" s="47"/>
      <c r="AKZ33" s="47"/>
      <c r="ALA33" s="47"/>
      <c r="ALB33" s="47"/>
      <c r="ALC33" s="47"/>
      <c r="ALD33" s="47"/>
      <c r="ALE33" s="47"/>
      <c r="ALF33" s="47"/>
      <c r="ALG33" s="47"/>
      <c r="ALH33" s="47"/>
      <c r="ALI33" s="47"/>
      <c r="ALJ33" s="47"/>
      <c r="ALK33" s="47"/>
      <c r="ALL33" s="47"/>
      <c r="ALM33" s="47"/>
      <c r="ALN33" s="47"/>
      <c r="ALO33" s="47"/>
      <c r="ALP33" s="47"/>
      <c r="ALQ33" s="47"/>
      <c r="ALR33" s="47"/>
      <c r="ALS33" s="47"/>
      <c r="ALT33" s="47"/>
      <c r="ALU33" s="47"/>
      <c r="ALV33" s="47"/>
      <c r="ALW33" s="47"/>
      <c r="ALX33" s="47"/>
      <c r="ALY33" s="47"/>
      <c r="ALZ33" s="47"/>
      <c r="AMA33" s="47"/>
      <c r="AMB33" s="47"/>
      <c r="AMC33" s="47"/>
      <c r="AMD33" s="47"/>
      <c r="AME33" s="47"/>
      <c r="AMF33" s="47"/>
      <c r="AMG33" s="47"/>
      <c r="AMH33" s="47"/>
      <c r="AMI33" s="47"/>
      <c r="AMJ33" s="47"/>
      <c r="AMK33" s="47"/>
      <c r="AML33" s="47"/>
      <c r="AMM33" s="47"/>
      <c r="AMN33" s="47"/>
      <c r="AMO33" s="47"/>
      <c r="AMP33" s="47"/>
      <c r="AMQ33" s="47"/>
      <c r="AMR33" s="47"/>
      <c r="AMS33" s="47"/>
      <c r="AMT33" s="47"/>
      <c r="AMU33" s="47"/>
      <c r="AMV33" s="47"/>
      <c r="AMW33" s="47"/>
      <c r="AMX33" s="47"/>
      <c r="AMY33" s="47"/>
      <c r="AMZ33" s="47"/>
      <c r="ANA33" s="47"/>
      <c r="ANB33" s="47"/>
      <c r="ANC33" s="47"/>
      <c r="AND33" s="47"/>
      <c r="ANE33" s="47"/>
      <c r="ANF33" s="47"/>
      <c r="ANG33" s="47"/>
      <c r="ANH33" s="47"/>
      <c r="ANI33" s="47"/>
      <c r="ANJ33" s="47"/>
      <c r="ANK33" s="47"/>
      <c r="ANL33" s="47"/>
      <c r="ANM33" s="47"/>
      <c r="ANN33" s="47"/>
      <c r="ANO33" s="47"/>
      <c r="ANP33" s="47"/>
      <c r="ANQ33" s="47"/>
      <c r="ANR33" s="47"/>
      <c r="ANS33" s="47"/>
      <c r="ANT33" s="47"/>
      <c r="ANU33" s="47"/>
      <c r="ANV33" s="47"/>
      <c r="ANW33" s="47"/>
      <c r="ANX33" s="47"/>
      <c r="ANY33" s="47"/>
      <c r="ANZ33" s="47"/>
      <c r="AOA33" s="47"/>
      <c r="AOB33" s="47"/>
      <c r="AOC33" s="47"/>
      <c r="AOD33" s="47"/>
      <c r="AOE33" s="47"/>
      <c r="AOF33" s="47"/>
      <c r="AOG33" s="47"/>
      <c r="AOH33" s="47"/>
      <c r="AOI33" s="47"/>
      <c r="AOJ33" s="47"/>
      <c r="AOK33" s="47"/>
      <c r="AOL33" s="47"/>
      <c r="AOM33" s="47"/>
      <c r="AON33" s="47"/>
      <c r="AOO33" s="47"/>
      <c r="AOP33" s="47"/>
      <c r="AOQ33" s="47"/>
      <c r="AOR33" s="47"/>
      <c r="AOS33" s="47"/>
      <c r="AOT33" s="47"/>
      <c r="AOU33" s="47"/>
      <c r="AOV33" s="47"/>
      <c r="AOW33" s="47"/>
      <c r="AOX33" s="47"/>
      <c r="AOY33" s="47"/>
      <c r="AOZ33" s="47"/>
      <c r="APA33" s="47"/>
      <c r="APB33" s="47"/>
      <c r="APC33" s="47"/>
      <c r="APD33" s="47"/>
      <c r="APE33" s="47"/>
      <c r="APF33" s="47"/>
      <c r="APG33" s="47"/>
      <c r="APH33" s="47"/>
      <c r="API33" s="47"/>
      <c r="APJ33" s="47"/>
      <c r="APK33" s="47"/>
      <c r="APL33" s="47"/>
      <c r="APM33" s="47"/>
      <c r="APN33" s="47"/>
      <c r="APO33" s="47"/>
      <c r="APP33" s="47"/>
      <c r="APQ33" s="47"/>
      <c r="APR33" s="47"/>
      <c r="APS33" s="47"/>
      <c r="APT33" s="47"/>
      <c r="APU33" s="47"/>
      <c r="APV33" s="47"/>
      <c r="APW33" s="47"/>
      <c r="APX33" s="47"/>
      <c r="APY33" s="47"/>
      <c r="APZ33" s="47"/>
      <c r="AQA33" s="47"/>
      <c r="AQB33" s="47"/>
      <c r="AQC33" s="47"/>
      <c r="AQD33" s="47"/>
      <c r="AQE33" s="47"/>
      <c r="AQF33" s="47"/>
      <c r="AQG33" s="47"/>
      <c r="AQH33" s="47"/>
      <c r="AQI33" s="47"/>
      <c r="AQJ33" s="47"/>
      <c r="AQK33" s="47"/>
      <c r="AQL33" s="47"/>
      <c r="AQM33" s="47"/>
      <c r="AQN33" s="47"/>
      <c r="AQO33" s="47"/>
      <c r="AQP33" s="47"/>
      <c r="AQQ33" s="47"/>
      <c r="AQR33" s="47"/>
      <c r="AQS33" s="47"/>
      <c r="AQT33" s="47"/>
      <c r="AQU33" s="47"/>
      <c r="AQV33" s="47"/>
      <c r="AQW33" s="47"/>
      <c r="AQX33" s="47"/>
      <c r="AQY33" s="47"/>
      <c r="AQZ33" s="47"/>
      <c r="ARA33" s="47"/>
      <c r="ARB33" s="47"/>
      <c r="ARC33" s="47"/>
      <c r="ARD33" s="47"/>
      <c r="ARE33" s="47"/>
      <c r="ARF33" s="47"/>
      <c r="ARG33" s="47"/>
      <c r="ARH33" s="47"/>
      <c r="ARI33" s="47"/>
      <c r="ARJ33" s="47"/>
      <c r="ARK33" s="47"/>
      <c r="ARL33" s="47"/>
      <c r="ARM33" s="47"/>
      <c r="ARN33" s="47"/>
      <c r="ARO33" s="47"/>
      <c r="ARP33" s="47"/>
      <c r="ARQ33" s="47"/>
      <c r="ARR33" s="47"/>
      <c r="ARS33" s="47"/>
      <c r="ART33" s="47"/>
      <c r="ARU33" s="47"/>
      <c r="ARV33" s="47"/>
      <c r="ARW33" s="47"/>
      <c r="ARX33" s="47"/>
      <c r="ARY33" s="47"/>
      <c r="ARZ33" s="47"/>
      <c r="ASA33" s="47"/>
      <c r="ASB33" s="47"/>
      <c r="ASC33" s="47"/>
      <c r="ASD33" s="47"/>
      <c r="ASE33" s="47"/>
      <c r="ASF33" s="47"/>
      <c r="ASG33" s="47"/>
      <c r="ASH33" s="47"/>
      <c r="ASI33" s="47"/>
      <c r="ASJ33" s="47"/>
      <c r="ASK33" s="47"/>
      <c r="ASL33" s="47"/>
      <c r="ASM33" s="47"/>
      <c r="ASN33" s="47"/>
      <c r="ASO33" s="47"/>
      <c r="ASP33" s="47"/>
      <c r="ASQ33" s="47"/>
      <c r="ASR33" s="47"/>
      <c r="ASS33" s="47"/>
      <c r="AST33" s="47"/>
      <c r="ASU33" s="47"/>
      <c r="ASV33" s="47"/>
      <c r="ASW33" s="47"/>
      <c r="ASX33" s="47"/>
      <c r="ASY33" s="47"/>
      <c r="ASZ33" s="47"/>
      <c r="ATA33" s="47"/>
      <c r="ATB33" s="47"/>
      <c r="ATC33" s="47"/>
      <c r="ATD33" s="47"/>
      <c r="ATE33" s="47"/>
      <c r="ATF33" s="47"/>
      <c r="ATG33" s="47"/>
      <c r="ATH33" s="47"/>
      <c r="ATI33" s="47"/>
      <c r="ATJ33" s="47"/>
      <c r="ATK33" s="47"/>
      <c r="ATL33" s="47"/>
      <c r="ATM33" s="47"/>
      <c r="ATN33" s="47"/>
      <c r="ATO33" s="47"/>
      <c r="ATP33" s="47"/>
      <c r="ATQ33" s="47"/>
      <c r="ATR33" s="47"/>
      <c r="ATS33" s="47"/>
      <c r="ATT33" s="47"/>
      <c r="ATU33" s="47"/>
      <c r="ATV33" s="47"/>
      <c r="ATW33" s="47"/>
      <c r="ATX33" s="47"/>
      <c r="ATY33" s="47"/>
      <c r="ATZ33" s="47"/>
      <c r="AUA33" s="47"/>
      <c r="AUB33" s="47"/>
      <c r="AUC33" s="47"/>
      <c r="AUD33" s="47"/>
      <c r="AUE33" s="47"/>
      <c r="AUF33" s="47"/>
      <c r="AUG33" s="47"/>
      <c r="AUH33" s="47"/>
      <c r="AUI33" s="47"/>
      <c r="AUJ33" s="47"/>
      <c r="AUK33" s="47"/>
      <c r="AUL33" s="47"/>
      <c r="AUM33" s="47"/>
      <c r="AUN33" s="47"/>
      <c r="AUO33" s="47"/>
      <c r="AUP33" s="47"/>
      <c r="AUQ33" s="47"/>
      <c r="AUR33" s="47"/>
      <c r="AUS33" s="47"/>
      <c r="AUT33" s="47"/>
      <c r="AUU33" s="47"/>
      <c r="AUV33" s="47"/>
      <c r="AUW33" s="47"/>
      <c r="AUX33" s="47"/>
      <c r="AUY33" s="47"/>
      <c r="AUZ33" s="47"/>
      <c r="AVA33" s="47"/>
      <c r="AVB33" s="47"/>
      <c r="AVC33" s="47"/>
      <c r="AVD33" s="47"/>
      <c r="AVE33" s="47"/>
      <c r="AVF33" s="47"/>
      <c r="AVG33" s="47"/>
      <c r="AVH33" s="47"/>
      <c r="AVI33" s="47"/>
      <c r="AVJ33" s="47"/>
      <c r="AVK33" s="47"/>
      <c r="AVL33" s="47"/>
      <c r="AVM33" s="47"/>
      <c r="AVN33" s="47"/>
      <c r="AVO33" s="47"/>
      <c r="AVP33" s="47"/>
      <c r="AVQ33" s="47"/>
      <c r="AVR33" s="47"/>
      <c r="AVS33" s="47"/>
      <c r="AVT33" s="47"/>
      <c r="AVU33" s="47"/>
      <c r="AVV33" s="47"/>
      <c r="AVW33" s="47"/>
      <c r="AVX33" s="47"/>
      <c r="AVY33" s="47"/>
      <c r="AVZ33" s="47"/>
      <c r="AWA33" s="47"/>
      <c r="AWB33" s="47"/>
      <c r="AWC33" s="47"/>
      <c r="AWD33" s="47"/>
      <c r="AWE33" s="47"/>
      <c r="AWF33" s="47"/>
      <c r="AWG33" s="47"/>
      <c r="AWH33" s="47"/>
      <c r="AWI33" s="47"/>
      <c r="AWJ33" s="47"/>
      <c r="AWK33" s="47"/>
      <c r="AWL33" s="47"/>
      <c r="AWM33" s="47"/>
      <c r="AWN33" s="47"/>
      <c r="AWO33" s="47"/>
      <c r="AWP33" s="47"/>
      <c r="AWQ33" s="47"/>
      <c r="AWR33" s="47"/>
      <c r="AWS33" s="47"/>
      <c r="AWT33" s="47"/>
      <c r="AWU33" s="47"/>
      <c r="AWV33" s="47"/>
      <c r="AWW33" s="47"/>
      <c r="AWX33" s="47"/>
      <c r="AWY33" s="47"/>
      <c r="AWZ33" s="47"/>
      <c r="AXA33" s="47"/>
      <c r="AXB33" s="47"/>
      <c r="AXC33" s="47"/>
      <c r="AXD33" s="47"/>
      <c r="AXE33" s="47"/>
      <c r="AXF33" s="47"/>
      <c r="AXG33" s="47"/>
      <c r="AXH33" s="47"/>
      <c r="AXI33" s="47"/>
      <c r="AXJ33" s="47"/>
      <c r="AXK33" s="47"/>
      <c r="AXL33" s="47"/>
      <c r="AXM33" s="47"/>
      <c r="AXN33" s="47"/>
      <c r="AXO33" s="47"/>
      <c r="AXP33" s="47"/>
      <c r="AXQ33" s="47"/>
      <c r="AXR33" s="47"/>
      <c r="AXS33" s="47"/>
      <c r="AXT33" s="47"/>
      <c r="AXU33" s="47"/>
      <c r="AXV33" s="47"/>
      <c r="AXW33" s="47"/>
      <c r="AXX33" s="47"/>
      <c r="AXY33" s="47"/>
      <c r="AXZ33" s="47"/>
      <c r="AYA33" s="47"/>
      <c r="AYB33" s="47"/>
      <c r="AYC33" s="47"/>
      <c r="AYD33" s="47"/>
      <c r="AYE33" s="47"/>
      <c r="AYF33" s="47"/>
      <c r="AYG33" s="47"/>
      <c r="AYH33" s="47"/>
      <c r="AYI33" s="47"/>
      <c r="AYJ33" s="47"/>
      <c r="AYK33" s="47"/>
      <c r="AYL33" s="47"/>
      <c r="AYM33" s="47"/>
      <c r="AYN33" s="47"/>
      <c r="AYO33" s="47"/>
      <c r="AYP33" s="47"/>
      <c r="AYQ33" s="47"/>
      <c r="AYR33" s="47"/>
      <c r="AYS33" s="47"/>
      <c r="AYT33" s="47"/>
      <c r="AYU33" s="47"/>
      <c r="AYV33" s="47"/>
      <c r="AYW33" s="47"/>
      <c r="AYX33" s="47"/>
      <c r="AYY33" s="47"/>
      <c r="AYZ33" s="47"/>
      <c r="AZA33" s="47"/>
      <c r="AZB33" s="47"/>
      <c r="AZC33" s="47"/>
      <c r="AZD33" s="47"/>
      <c r="AZE33" s="47"/>
      <c r="AZF33" s="47"/>
      <c r="AZG33" s="47"/>
      <c r="AZH33" s="47"/>
      <c r="AZI33" s="47"/>
      <c r="AZJ33" s="47"/>
      <c r="AZK33" s="47"/>
      <c r="AZL33" s="47"/>
      <c r="AZM33" s="47"/>
      <c r="AZN33" s="47"/>
      <c r="AZO33" s="47"/>
      <c r="AZP33" s="47"/>
      <c r="AZQ33" s="47"/>
      <c r="AZR33" s="47"/>
      <c r="AZS33" s="47"/>
      <c r="AZT33" s="47"/>
      <c r="AZU33" s="47"/>
      <c r="AZV33" s="47"/>
      <c r="AZW33" s="47"/>
      <c r="AZX33" s="47"/>
      <c r="AZY33" s="47"/>
      <c r="AZZ33" s="47"/>
      <c r="BAA33" s="47"/>
      <c r="BAB33" s="47"/>
      <c r="BAC33" s="47"/>
      <c r="BAD33" s="47"/>
      <c r="BAE33" s="47"/>
      <c r="BAF33" s="47"/>
      <c r="BAG33" s="47"/>
      <c r="BAH33" s="47"/>
      <c r="BAI33" s="47"/>
      <c r="BAJ33" s="47"/>
      <c r="BAK33" s="47"/>
      <c r="BAL33" s="47"/>
      <c r="BAM33" s="47"/>
      <c r="BAN33" s="47"/>
      <c r="BAO33" s="47"/>
      <c r="BAP33" s="47"/>
      <c r="BAQ33" s="47"/>
      <c r="BAR33" s="47"/>
      <c r="BAS33" s="47"/>
      <c r="BAT33" s="47"/>
      <c r="BAU33" s="47"/>
      <c r="BAV33" s="47"/>
      <c r="BAW33" s="47"/>
      <c r="BAX33" s="47"/>
      <c r="BAY33" s="47"/>
      <c r="BAZ33" s="47"/>
      <c r="BBA33" s="47"/>
      <c r="BBB33" s="47"/>
      <c r="BBC33" s="47"/>
      <c r="BBD33" s="47"/>
      <c r="BBE33" s="47"/>
      <c r="BBF33" s="47"/>
      <c r="BBG33" s="47"/>
      <c r="BBH33" s="47"/>
      <c r="BBI33" s="47"/>
      <c r="BBJ33" s="47"/>
      <c r="BBK33" s="47"/>
      <c r="BBL33" s="47"/>
      <c r="BBM33" s="47"/>
      <c r="BBN33" s="47"/>
      <c r="BBO33" s="47"/>
      <c r="BBP33" s="47"/>
      <c r="BBQ33" s="47"/>
      <c r="BBR33" s="47"/>
      <c r="BBS33" s="47"/>
      <c r="BBT33" s="47"/>
      <c r="BBU33" s="47"/>
      <c r="BBV33" s="47"/>
      <c r="BBW33" s="47"/>
      <c r="BBX33" s="47"/>
      <c r="BBY33" s="47"/>
      <c r="BBZ33" s="47"/>
      <c r="BCA33" s="47"/>
      <c r="BCB33" s="47"/>
      <c r="BCC33" s="47"/>
      <c r="BCD33" s="47"/>
      <c r="BCE33" s="47"/>
      <c r="BCF33" s="47"/>
      <c r="BCG33" s="47"/>
      <c r="BCH33" s="47"/>
      <c r="BCI33" s="47"/>
      <c r="BCJ33" s="47"/>
      <c r="BCK33" s="47"/>
      <c r="BCL33" s="47"/>
      <c r="BCM33" s="47"/>
      <c r="BCN33" s="47"/>
      <c r="BCO33" s="47"/>
      <c r="BCP33" s="47"/>
      <c r="BCQ33" s="47"/>
      <c r="BCR33" s="47"/>
      <c r="BCS33" s="47"/>
      <c r="BCT33" s="47"/>
      <c r="BCU33" s="47"/>
      <c r="BCV33" s="47"/>
      <c r="BCW33" s="47"/>
      <c r="BCX33" s="47"/>
      <c r="BCY33" s="47"/>
      <c r="BCZ33" s="47"/>
      <c r="BDA33" s="47"/>
      <c r="BDB33" s="47"/>
      <c r="BDC33" s="47"/>
      <c r="BDD33" s="47"/>
      <c r="BDE33" s="47"/>
      <c r="BDF33" s="47"/>
      <c r="BDG33" s="47"/>
      <c r="BDH33" s="47"/>
      <c r="BDI33" s="47"/>
      <c r="BDJ33" s="47"/>
      <c r="BDK33" s="47"/>
      <c r="BDL33" s="47"/>
      <c r="BDM33" s="47"/>
      <c r="BDN33" s="47"/>
      <c r="BDO33" s="47"/>
      <c r="BDP33" s="47"/>
      <c r="BDQ33" s="47"/>
      <c r="BDR33" s="47"/>
      <c r="BDS33" s="47"/>
      <c r="BDT33" s="47"/>
      <c r="BDU33" s="47"/>
      <c r="BDV33" s="47"/>
      <c r="BDW33" s="47"/>
      <c r="BDX33" s="47"/>
      <c r="BDY33" s="47"/>
      <c r="BDZ33" s="47"/>
      <c r="BEA33" s="47"/>
      <c r="BEB33" s="47"/>
      <c r="BEC33" s="47"/>
      <c r="BED33" s="47"/>
      <c r="BEE33" s="47"/>
      <c r="BEF33" s="47"/>
      <c r="BEG33" s="47"/>
      <c r="BEH33" s="47"/>
      <c r="BEI33" s="47"/>
      <c r="BEJ33" s="47"/>
      <c r="BEK33" s="47"/>
      <c r="BEL33" s="47"/>
      <c r="BEM33" s="47"/>
      <c r="BEN33" s="47"/>
      <c r="BEO33" s="47"/>
      <c r="BEP33" s="47"/>
      <c r="BEQ33" s="47"/>
      <c r="BER33" s="47"/>
      <c r="BES33" s="47"/>
      <c r="BET33" s="47"/>
      <c r="BEU33" s="47"/>
      <c r="BEV33" s="47"/>
      <c r="BEW33" s="47"/>
      <c r="BEX33" s="47"/>
      <c r="BEY33" s="47"/>
      <c r="BEZ33" s="47"/>
      <c r="BFA33" s="47"/>
      <c r="BFB33" s="47"/>
      <c r="BFC33" s="47"/>
      <c r="BFD33" s="47"/>
      <c r="BFE33" s="47"/>
      <c r="BFF33" s="47"/>
      <c r="BFG33" s="47"/>
      <c r="BFH33" s="47"/>
      <c r="BFI33" s="47"/>
      <c r="BFJ33" s="47"/>
      <c r="BFK33" s="47"/>
      <c r="BFL33" s="47"/>
      <c r="BFM33" s="47"/>
      <c r="BFN33" s="47"/>
      <c r="BFO33" s="47"/>
      <c r="BFP33" s="47"/>
      <c r="BFQ33" s="47"/>
      <c r="BFR33" s="47"/>
      <c r="BFS33" s="47"/>
      <c r="BFT33" s="47"/>
      <c r="BFU33" s="47"/>
      <c r="BFV33" s="47"/>
      <c r="BFW33" s="47"/>
      <c r="BFX33" s="47"/>
      <c r="BFY33" s="47"/>
      <c r="BFZ33" s="47"/>
      <c r="BGA33" s="47"/>
      <c r="BGB33" s="47"/>
      <c r="BGC33" s="47"/>
      <c r="BGD33" s="47"/>
      <c r="BGE33" s="47"/>
      <c r="BGF33" s="47"/>
      <c r="BGG33" s="47"/>
      <c r="BGH33" s="47"/>
      <c r="BGI33" s="47"/>
      <c r="BGJ33" s="47"/>
      <c r="BGK33" s="47"/>
      <c r="BGL33" s="47"/>
      <c r="BGM33" s="47"/>
      <c r="BGN33" s="47"/>
      <c r="BGO33" s="47"/>
      <c r="BGP33" s="47"/>
      <c r="BGQ33" s="47"/>
      <c r="BGR33" s="47"/>
      <c r="BGS33" s="47"/>
      <c r="BGT33" s="47"/>
      <c r="BGU33" s="47"/>
      <c r="BGV33" s="47"/>
      <c r="BGW33" s="47"/>
      <c r="BGX33" s="47"/>
      <c r="BGY33" s="47"/>
      <c r="BGZ33" s="47"/>
      <c r="BHA33" s="47"/>
      <c r="BHB33" s="47"/>
      <c r="BHC33" s="47"/>
      <c r="BHD33" s="47"/>
      <c r="BHE33" s="47"/>
      <c r="BHF33" s="47"/>
      <c r="BHG33" s="47"/>
      <c r="BHH33" s="47"/>
      <c r="BHI33" s="47"/>
      <c r="BHJ33" s="47"/>
      <c r="BHK33" s="47"/>
      <c r="BHL33" s="47"/>
      <c r="BHM33" s="47"/>
      <c r="BHN33" s="47"/>
      <c r="BHO33" s="47"/>
      <c r="BHP33" s="47"/>
      <c r="BHQ33" s="47"/>
      <c r="BHR33" s="47"/>
      <c r="BHS33" s="47"/>
      <c r="BHT33" s="47"/>
      <c r="BHU33" s="47"/>
      <c r="BHV33" s="47"/>
      <c r="BHW33" s="47"/>
      <c r="BHX33" s="47"/>
      <c r="BHY33" s="47"/>
      <c r="BHZ33" s="47"/>
      <c r="BIA33" s="47"/>
      <c r="BIB33" s="47"/>
      <c r="BIC33" s="47"/>
      <c r="BID33" s="47"/>
      <c r="BIE33" s="47"/>
      <c r="BIF33" s="47"/>
      <c r="BIG33" s="47"/>
      <c r="BIH33" s="47"/>
      <c r="BII33" s="47"/>
      <c r="BIJ33" s="47"/>
      <c r="BIK33" s="47"/>
      <c r="BIL33" s="47"/>
      <c r="BIM33" s="47"/>
      <c r="BIN33" s="47"/>
      <c r="BIO33" s="47"/>
      <c r="BIP33" s="47"/>
      <c r="BIQ33" s="47"/>
      <c r="BIR33" s="47"/>
      <c r="BIS33" s="47"/>
      <c r="BIT33" s="47"/>
      <c r="BIU33" s="47"/>
      <c r="BIV33" s="47"/>
      <c r="BIW33" s="47"/>
      <c r="BIX33" s="47"/>
      <c r="BIY33" s="47"/>
      <c r="BIZ33" s="47"/>
      <c r="BJA33" s="47"/>
      <c r="BJB33" s="47"/>
      <c r="BJC33" s="47"/>
      <c r="BJD33" s="47"/>
      <c r="BJE33" s="47"/>
      <c r="BJF33" s="47"/>
      <c r="BJG33" s="47"/>
      <c r="BJH33" s="47"/>
      <c r="BJI33" s="47"/>
      <c r="BJJ33" s="47"/>
      <c r="BJK33" s="47"/>
      <c r="BJL33" s="47"/>
      <c r="BJM33" s="47"/>
      <c r="BJN33" s="47"/>
      <c r="BJO33" s="47"/>
      <c r="BJP33" s="47"/>
      <c r="BJQ33" s="47"/>
      <c r="BJR33" s="47"/>
      <c r="BJS33" s="47"/>
      <c r="BJT33" s="47"/>
      <c r="BJU33" s="47"/>
      <c r="BJV33" s="47"/>
      <c r="BJW33" s="47"/>
      <c r="BJX33" s="47"/>
      <c r="BJY33" s="47"/>
      <c r="BJZ33" s="47"/>
      <c r="BKA33" s="47"/>
      <c r="BKB33" s="47"/>
      <c r="BKC33" s="47"/>
      <c r="BKD33" s="47"/>
      <c r="BKE33" s="47"/>
      <c r="BKF33" s="47"/>
      <c r="BKG33" s="47"/>
      <c r="BKH33" s="47"/>
      <c r="BKI33" s="47"/>
      <c r="BKJ33" s="47"/>
      <c r="BKK33" s="47"/>
      <c r="BKL33" s="47"/>
      <c r="BKM33" s="47"/>
      <c r="BKN33" s="47"/>
      <c r="BKO33" s="47"/>
      <c r="BKP33" s="47"/>
      <c r="BKQ33" s="47"/>
      <c r="BKR33" s="47"/>
      <c r="BKS33" s="47"/>
      <c r="BKT33" s="47"/>
      <c r="BKU33" s="47"/>
      <c r="BKV33" s="47"/>
      <c r="BKW33" s="47"/>
      <c r="BKX33" s="47"/>
      <c r="BKY33" s="47"/>
      <c r="BKZ33" s="47"/>
      <c r="BLA33" s="47"/>
      <c r="BLB33" s="47"/>
      <c r="BLC33" s="47"/>
      <c r="BLD33" s="47"/>
      <c r="BLE33" s="47"/>
      <c r="BLF33" s="47"/>
      <c r="BLG33" s="47"/>
      <c r="BLH33" s="47"/>
      <c r="BLI33" s="47"/>
      <c r="BLJ33" s="47"/>
      <c r="BLK33" s="47"/>
      <c r="BLL33" s="47"/>
      <c r="BLM33" s="47"/>
      <c r="BLN33" s="47"/>
      <c r="BLO33" s="47"/>
      <c r="BLP33" s="47"/>
      <c r="BLQ33" s="47"/>
      <c r="BLR33" s="47"/>
      <c r="BLS33" s="47"/>
      <c r="BLT33" s="47"/>
      <c r="BLU33" s="47"/>
      <c r="BLV33" s="47"/>
      <c r="BLW33" s="47"/>
      <c r="BLX33" s="47"/>
      <c r="BLY33" s="47"/>
      <c r="BLZ33" s="47"/>
      <c r="BMA33" s="47"/>
      <c r="BMB33" s="47"/>
      <c r="BMC33" s="47"/>
      <c r="BMD33" s="47"/>
      <c r="BME33" s="47"/>
      <c r="BMF33" s="47"/>
      <c r="BMG33" s="47"/>
      <c r="BMH33" s="47"/>
      <c r="BMI33" s="47"/>
      <c r="BMJ33" s="47"/>
      <c r="BMK33" s="47"/>
      <c r="BML33" s="47"/>
      <c r="BMM33" s="47"/>
      <c r="BMN33" s="47"/>
      <c r="BMO33" s="47"/>
      <c r="BMP33" s="47"/>
      <c r="BMQ33" s="47"/>
      <c r="BMR33" s="47"/>
      <c r="BMS33" s="47"/>
      <c r="BMT33" s="47"/>
      <c r="BMU33" s="47"/>
      <c r="BMV33" s="47"/>
      <c r="BMW33" s="47"/>
      <c r="BMX33" s="47"/>
      <c r="BMY33" s="47"/>
      <c r="BMZ33" s="47"/>
      <c r="BNA33" s="47"/>
      <c r="BNB33" s="47"/>
      <c r="BNC33" s="47"/>
      <c r="BND33" s="47"/>
      <c r="BNE33" s="47"/>
      <c r="BNF33" s="47"/>
      <c r="BNG33" s="47"/>
      <c r="BNH33" s="47"/>
      <c r="BNI33" s="47"/>
      <c r="BNJ33" s="47"/>
      <c r="BNK33" s="47"/>
      <c r="BNL33" s="47"/>
      <c r="BNM33" s="47"/>
      <c r="BNN33" s="47"/>
      <c r="BNO33" s="47"/>
      <c r="BNP33" s="47"/>
      <c r="BNQ33" s="47"/>
      <c r="BNR33" s="47"/>
      <c r="BNS33" s="47"/>
      <c r="BNT33" s="47"/>
      <c r="BNU33" s="47"/>
      <c r="BNV33" s="47"/>
      <c r="BNW33" s="47"/>
      <c r="BNX33" s="47"/>
      <c r="BNY33" s="47"/>
      <c r="BNZ33" s="47"/>
      <c r="BOA33" s="47"/>
      <c r="BOB33" s="47"/>
      <c r="BOC33" s="47"/>
      <c r="BOD33" s="47"/>
      <c r="BOE33" s="47"/>
      <c r="BOF33" s="47"/>
      <c r="BOG33" s="47"/>
      <c r="BOH33" s="47"/>
      <c r="BOI33" s="47"/>
      <c r="BOJ33" s="47"/>
      <c r="BOK33" s="47"/>
      <c r="BOL33" s="47"/>
      <c r="BOM33" s="47"/>
      <c r="BON33" s="47"/>
      <c r="BOO33" s="47"/>
      <c r="BOP33" s="47"/>
      <c r="BOQ33" s="47"/>
      <c r="BOR33" s="47"/>
      <c r="BOS33" s="47"/>
      <c r="BOT33" s="47"/>
      <c r="BOU33" s="47"/>
      <c r="BOV33" s="47"/>
      <c r="BOW33" s="47"/>
      <c r="BOX33" s="47"/>
      <c r="BOY33" s="47"/>
      <c r="BOZ33" s="47"/>
      <c r="BPA33" s="47"/>
      <c r="BPB33" s="47"/>
      <c r="BPC33" s="47"/>
      <c r="BPD33" s="47"/>
      <c r="BPE33" s="47"/>
      <c r="BPF33" s="47"/>
      <c r="BPG33" s="47"/>
      <c r="BPH33" s="47"/>
      <c r="BPI33" s="47"/>
      <c r="BPJ33" s="47"/>
      <c r="BPK33" s="47"/>
      <c r="BPL33" s="47"/>
      <c r="BPM33" s="47"/>
      <c r="BPN33" s="47"/>
      <c r="BPO33" s="47"/>
      <c r="BPP33" s="47"/>
      <c r="BPQ33" s="47"/>
      <c r="BPR33" s="47"/>
      <c r="BPS33" s="47"/>
      <c r="BPT33" s="47"/>
      <c r="BPU33" s="47"/>
      <c r="BPV33" s="47"/>
      <c r="BPW33" s="47"/>
      <c r="BPX33" s="47"/>
      <c r="BPY33" s="47"/>
      <c r="BPZ33" s="47"/>
      <c r="BQA33" s="47"/>
      <c r="BQB33" s="47"/>
      <c r="BQC33" s="47"/>
      <c r="BQD33" s="47"/>
      <c r="BQE33" s="47"/>
      <c r="BQF33" s="47"/>
      <c r="BQG33" s="47"/>
      <c r="BQH33" s="47"/>
      <c r="BQI33" s="47"/>
      <c r="BQJ33" s="47"/>
      <c r="BQK33" s="47"/>
      <c r="BQL33" s="47"/>
      <c r="BQM33" s="47"/>
      <c r="BQN33" s="47"/>
      <c r="BQO33" s="47"/>
      <c r="BQP33" s="47"/>
      <c r="BQQ33" s="47"/>
      <c r="BQR33" s="47"/>
      <c r="BQS33" s="47"/>
      <c r="BQT33" s="47"/>
      <c r="BQU33" s="47"/>
      <c r="BQV33" s="47"/>
      <c r="BQW33" s="47"/>
      <c r="BQX33" s="47"/>
      <c r="BQY33" s="47"/>
      <c r="BQZ33" s="47"/>
      <c r="BRA33" s="47"/>
      <c r="BRB33" s="47"/>
      <c r="BRC33" s="47"/>
      <c r="BRD33" s="47"/>
      <c r="BRE33" s="47"/>
      <c r="BRF33" s="47"/>
      <c r="BRG33" s="47"/>
      <c r="BRH33" s="47"/>
      <c r="BRI33" s="47"/>
      <c r="BRJ33" s="47"/>
      <c r="BRK33" s="47"/>
      <c r="BRL33" s="47"/>
      <c r="BRM33" s="47"/>
      <c r="BRN33" s="47"/>
      <c r="BRO33" s="47"/>
      <c r="BRP33" s="47"/>
      <c r="BRQ33" s="47"/>
      <c r="BRR33" s="47"/>
      <c r="BRS33" s="47"/>
      <c r="BRT33" s="47"/>
      <c r="BRU33" s="47"/>
      <c r="BRV33" s="47"/>
      <c r="BRW33" s="47"/>
      <c r="BRX33" s="47"/>
      <c r="BRY33" s="47"/>
      <c r="BRZ33" s="47"/>
      <c r="BSA33" s="47"/>
      <c r="BSB33" s="47"/>
      <c r="BSC33" s="47"/>
      <c r="BSD33" s="47"/>
      <c r="BSE33" s="47"/>
      <c r="BSF33" s="47"/>
      <c r="BSG33" s="47"/>
      <c r="BSH33" s="47"/>
      <c r="BSI33" s="47"/>
      <c r="BSJ33" s="47"/>
      <c r="BSK33" s="47"/>
      <c r="BSL33" s="47"/>
      <c r="BSM33" s="47"/>
      <c r="BSN33" s="47"/>
      <c r="BSO33" s="47"/>
      <c r="BSP33" s="47"/>
      <c r="BSQ33" s="47"/>
      <c r="BSR33" s="47"/>
      <c r="BSS33" s="47"/>
      <c r="BST33" s="47"/>
      <c r="BSU33" s="47"/>
      <c r="BSV33" s="47"/>
      <c r="BSW33" s="47"/>
      <c r="BSX33" s="47"/>
      <c r="BSY33" s="47"/>
      <c r="BSZ33" s="47"/>
      <c r="BTA33" s="47"/>
      <c r="BTB33" s="47"/>
      <c r="BTC33" s="47"/>
      <c r="BTD33" s="47"/>
      <c r="BTE33" s="47"/>
      <c r="BTF33" s="47"/>
      <c r="BTG33" s="47"/>
      <c r="BTH33" s="47"/>
      <c r="BTI33" s="47"/>
      <c r="BTJ33" s="47"/>
      <c r="BTK33" s="47"/>
      <c r="BTL33" s="47"/>
      <c r="BTM33" s="47"/>
      <c r="BTN33" s="47"/>
      <c r="BTO33" s="47"/>
      <c r="BTP33" s="47"/>
      <c r="BTQ33" s="47"/>
      <c r="BTR33" s="47"/>
      <c r="BTS33" s="47"/>
      <c r="BTT33" s="47"/>
      <c r="BTU33" s="47"/>
      <c r="BTV33" s="47"/>
      <c r="BTW33" s="47"/>
      <c r="BTX33" s="47"/>
      <c r="BTY33" s="47"/>
      <c r="BTZ33" s="47"/>
      <c r="BUA33" s="47"/>
      <c r="BUB33" s="47"/>
      <c r="BUC33" s="47"/>
      <c r="BUD33" s="47"/>
      <c r="BUE33" s="47"/>
      <c r="BUF33" s="47"/>
      <c r="BUG33" s="47"/>
      <c r="BUH33" s="47"/>
      <c r="BUI33" s="47"/>
      <c r="BUJ33" s="47"/>
      <c r="BUK33" s="47"/>
      <c r="BUL33" s="47"/>
      <c r="BUM33" s="47"/>
      <c r="BUN33" s="47"/>
      <c r="BUO33" s="47"/>
      <c r="BUP33" s="47"/>
      <c r="BUQ33" s="47"/>
      <c r="BUR33" s="47"/>
      <c r="BUS33" s="47"/>
      <c r="BUT33" s="47"/>
      <c r="BUU33" s="47"/>
      <c r="BUV33" s="47"/>
      <c r="BUW33" s="47"/>
      <c r="BUX33" s="47"/>
      <c r="BUY33" s="47"/>
      <c r="BUZ33" s="47"/>
      <c r="BVA33" s="47"/>
      <c r="BVB33" s="47"/>
      <c r="BVC33" s="47"/>
      <c r="BVD33" s="47"/>
      <c r="BVE33" s="47"/>
      <c r="BVF33" s="47"/>
      <c r="BVG33" s="47"/>
      <c r="BVH33" s="47"/>
      <c r="BVI33" s="47"/>
      <c r="BVJ33" s="47"/>
      <c r="BVK33" s="47"/>
      <c r="BVL33" s="47"/>
      <c r="BVM33" s="47"/>
      <c r="BVN33" s="47"/>
      <c r="BVO33" s="47"/>
      <c r="BVP33" s="47"/>
      <c r="BVQ33" s="47"/>
      <c r="BVR33" s="47"/>
      <c r="BVS33" s="47"/>
      <c r="BVT33" s="47"/>
      <c r="BVU33" s="47"/>
      <c r="BVV33" s="47"/>
      <c r="BVW33" s="47"/>
      <c r="BVX33" s="47"/>
      <c r="BVY33" s="47"/>
      <c r="BVZ33" s="47"/>
      <c r="BWA33" s="47"/>
      <c r="BWB33" s="47"/>
      <c r="BWC33" s="47"/>
      <c r="BWD33" s="47"/>
      <c r="BWE33" s="47"/>
      <c r="BWF33" s="47"/>
      <c r="BWG33" s="47"/>
      <c r="BWH33" s="47"/>
      <c r="BWI33" s="47"/>
      <c r="BWJ33" s="47"/>
      <c r="BWK33" s="47"/>
      <c r="BWL33" s="47"/>
      <c r="BWM33" s="47"/>
      <c r="BWN33" s="47"/>
      <c r="BWO33" s="47"/>
      <c r="BWP33" s="47"/>
      <c r="BWQ33" s="47"/>
      <c r="BWR33" s="47"/>
      <c r="BWS33" s="47"/>
      <c r="BWT33" s="47"/>
      <c r="BWU33" s="47"/>
      <c r="BWV33" s="47"/>
      <c r="BWW33" s="47"/>
      <c r="BWX33" s="47"/>
      <c r="BWY33" s="47"/>
      <c r="BWZ33" s="47"/>
      <c r="BXA33" s="47"/>
      <c r="BXB33" s="47"/>
      <c r="BXC33" s="47"/>
      <c r="BXD33" s="47"/>
      <c r="BXE33" s="47"/>
      <c r="BXF33" s="47"/>
      <c r="BXG33" s="47"/>
      <c r="BXH33" s="47"/>
      <c r="BXI33" s="47"/>
      <c r="BXJ33" s="47"/>
      <c r="BXK33" s="47"/>
      <c r="BXL33" s="47"/>
      <c r="BXM33" s="47"/>
      <c r="BXN33" s="47"/>
      <c r="BXO33" s="47"/>
      <c r="BXP33" s="47"/>
      <c r="BXQ33" s="47"/>
      <c r="BXR33" s="47"/>
      <c r="BXS33" s="47"/>
      <c r="BXT33" s="47"/>
      <c r="BXU33" s="47"/>
      <c r="BXV33" s="47"/>
      <c r="BXW33" s="47"/>
      <c r="BXX33" s="47"/>
      <c r="BXY33" s="47"/>
      <c r="BXZ33" s="47"/>
      <c r="BYA33" s="47"/>
      <c r="BYB33" s="47"/>
      <c r="BYC33" s="47"/>
      <c r="BYD33" s="47"/>
      <c r="BYE33" s="47"/>
      <c r="BYF33" s="47"/>
      <c r="BYG33" s="47"/>
      <c r="BYH33" s="47"/>
      <c r="BYI33" s="47"/>
      <c r="BYJ33" s="47"/>
      <c r="BYK33" s="47"/>
      <c r="BYL33" s="47"/>
      <c r="BYM33" s="47"/>
      <c r="BYN33" s="47"/>
      <c r="BYO33" s="47"/>
      <c r="BYP33" s="47"/>
      <c r="BYQ33" s="47"/>
      <c r="BYR33" s="47"/>
      <c r="BYS33" s="47"/>
      <c r="BYT33" s="47"/>
      <c r="BYU33" s="47"/>
      <c r="BYV33" s="47"/>
      <c r="BYW33" s="47"/>
      <c r="BYX33" s="47"/>
      <c r="BYY33" s="47"/>
      <c r="BYZ33" s="47"/>
      <c r="BZA33" s="47"/>
      <c r="BZB33" s="47"/>
      <c r="BZC33" s="47"/>
      <c r="BZD33" s="47"/>
      <c r="BZE33" s="47"/>
      <c r="BZF33" s="47"/>
      <c r="BZG33" s="47"/>
      <c r="BZH33" s="47"/>
      <c r="BZI33" s="47"/>
      <c r="BZJ33" s="47"/>
      <c r="BZK33" s="47"/>
      <c r="BZL33" s="47"/>
      <c r="BZM33" s="47"/>
      <c r="BZN33" s="47"/>
      <c r="BZO33" s="47"/>
      <c r="BZP33" s="47"/>
      <c r="BZQ33" s="47"/>
      <c r="BZR33" s="47"/>
      <c r="BZS33" s="47"/>
      <c r="BZT33" s="47"/>
      <c r="BZU33" s="47"/>
      <c r="BZV33" s="47"/>
      <c r="BZW33" s="47"/>
      <c r="BZX33" s="47"/>
      <c r="BZY33" s="47"/>
      <c r="BZZ33" s="47"/>
      <c r="CAA33" s="47"/>
      <c r="CAB33" s="47"/>
      <c r="CAC33" s="47"/>
      <c r="CAD33" s="47"/>
      <c r="CAE33" s="47"/>
      <c r="CAF33" s="47"/>
      <c r="CAG33" s="47"/>
      <c r="CAH33" s="47"/>
      <c r="CAI33" s="47"/>
      <c r="CAJ33" s="47"/>
      <c r="CAK33" s="47"/>
      <c r="CAL33" s="47"/>
      <c r="CAM33" s="47"/>
      <c r="CAN33" s="47"/>
      <c r="CAO33" s="47"/>
      <c r="CAP33" s="47"/>
      <c r="CAQ33" s="47"/>
      <c r="CAR33" s="47"/>
      <c r="CAS33" s="47"/>
      <c r="CAT33" s="47"/>
      <c r="CAU33" s="47"/>
      <c r="CAV33" s="47"/>
      <c r="CAW33" s="47"/>
      <c r="CAX33" s="47"/>
      <c r="CAY33" s="47"/>
      <c r="CAZ33" s="47"/>
      <c r="CBA33" s="47"/>
      <c r="CBB33" s="47"/>
      <c r="CBC33" s="47"/>
      <c r="CBD33" s="47"/>
      <c r="CBE33" s="47"/>
      <c r="CBF33" s="47"/>
      <c r="CBG33" s="47"/>
      <c r="CBH33" s="47"/>
      <c r="CBI33" s="47"/>
      <c r="CBJ33" s="47"/>
      <c r="CBK33" s="47"/>
      <c r="CBL33" s="47"/>
      <c r="CBM33" s="47"/>
      <c r="CBN33" s="47"/>
      <c r="CBO33" s="47"/>
      <c r="CBP33" s="47"/>
      <c r="CBQ33" s="47"/>
      <c r="CBR33" s="47"/>
      <c r="CBS33" s="47"/>
      <c r="CBT33" s="47"/>
      <c r="CBU33" s="47"/>
      <c r="CBV33" s="47"/>
      <c r="CBW33" s="47"/>
      <c r="CBX33" s="47"/>
      <c r="CBY33" s="47"/>
      <c r="CBZ33" s="47"/>
      <c r="CCA33" s="47"/>
      <c r="CCB33" s="47"/>
      <c r="CCC33" s="47"/>
      <c r="CCD33" s="47"/>
      <c r="CCE33" s="47"/>
      <c r="CCF33" s="47"/>
      <c r="CCG33" s="47"/>
      <c r="CCH33" s="47"/>
      <c r="CCI33" s="47"/>
      <c r="CCJ33" s="47"/>
      <c r="CCK33" s="47"/>
      <c r="CCL33" s="47"/>
      <c r="CCM33" s="47"/>
      <c r="CCN33" s="47"/>
      <c r="CCO33" s="47"/>
      <c r="CCP33" s="47"/>
      <c r="CCQ33" s="47"/>
      <c r="CCR33" s="47"/>
      <c r="CCS33" s="47"/>
      <c r="CCT33" s="47"/>
      <c r="CCU33" s="47"/>
      <c r="CCV33" s="47"/>
      <c r="CCW33" s="47"/>
      <c r="CCX33" s="47"/>
      <c r="CCY33" s="47"/>
      <c r="CCZ33" s="47"/>
      <c r="CDA33" s="47"/>
      <c r="CDB33" s="47"/>
      <c r="CDC33" s="47"/>
      <c r="CDD33" s="47"/>
      <c r="CDE33" s="47"/>
      <c r="CDF33" s="47"/>
      <c r="CDG33" s="47"/>
      <c r="CDH33" s="47"/>
      <c r="CDI33" s="47"/>
      <c r="CDJ33" s="47"/>
      <c r="CDK33" s="47"/>
      <c r="CDL33" s="47"/>
      <c r="CDM33" s="47"/>
      <c r="CDN33" s="47"/>
      <c r="CDO33" s="47"/>
      <c r="CDP33" s="47"/>
      <c r="CDQ33" s="47"/>
      <c r="CDR33" s="47"/>
      <c r="CDS33" s="47"/>
      <c r="CDT33" s="47"/>
      <c r="CDU33" s="47"/>
      <c r="CDV33" s="47"/>
      <c r="CDW33" s="47"/>
      <c r="CDX33" s="47"/>
      <c r="CDY33" s="47"/>
      <c r="CDZ33" s="47"/>
      <c r="CEA33" s="47"/>
      <c r="CEB33" s="47"/>
      <c r="CEC33" s="47"/>
      <c r="CED33" s="47"/>
      <c r="CEE33" s="47"/>
      <c r="CEF33" s="47"/>
      <c r="CEG33" s="47"/>
      <c r="CEH33" s="47"/>
      <c r="CEI33" s="47"/>
      <c r="CEJ33" s="47"/>
      <c r="CEK33" s="47"/>
      <c r="CEL33" s="47"/>
      <c r="CEM33" s="47"/>
      <c r="CEN33" s="47"/>
      <c r="CEO33" s="47"/>
      <c r="CEP33" s="47"/>
      <c r="CEQ33" s="47"/>
      <c r="CER33" s="47"/>
      <c r="CES33" s="47"/>
      <c r="CET33" s="47"/>
      <c r="CEU33" s="47"/>
      <c r="CEV33" s="47"/>
      <c r="CEW33" s="47"/>
      <c r="CEX33" s="47"/>
      <c r="CEY33" s="47"/>
      <c r="CEZ33" s="47"/>
      <c r="CFA33" s="47"/>
      <c r="CFB33" s="47"/>
      <c r="CFC33" s="47"/>
      <c r="CFD33" s="47"/>
      <c r="CFE33" s="47"/>
      <c r="CFF33" s="47"/>
      <c r="CFG33" s="47"/>
      <c r="CFH33" s="47"/>
      <c r="CFI33" s="47"/>
      <c r="CFJ33" s="47"/>
      <c r="CFK33" s="47"/>
      <c r="CFL33" s="47"/>
      <c r="CFM33" s="47"/>
      <c r="CFN33" s="47"/>
      <c r="CFO33" s="47"/>
      <c r="CFP33" s="47"/>
      <c r="CFQ33" s="47"/>
      <c r="CFR33" s="47"/>
      <c r="CFS33" s="47"/>
      <c r="CFT33" s="47"/>
      <c r="CFU33" s="47"/>
      <c r="CFV33" s="47"/>
      <c r="CFW33" s="47"/>
      <c r="CFX33" s="47"/>
      <c r="CFY33" s="47"/>
      <c r="CFZ33" s="47"/>
      <c r="CGA33" s="47"/>
      <c r="CGB33" s="47"/>
      <c r="CGC33" s="47"/>
      <c r="CGD33" s="47"/>
      <c r="CGE33" s="47"/>
      <c r="CGF33" s="47"/>
      <c r="CGG33" s="47"/>
      <c r="CGH33" s="47"/>
      <c r="CGI33" s="47"/>
      <c r="CGJ33" s="47"/>
      <c r="CGK33" s="47"/>
      <c r="CGL33" s="47"/>
      <c r="CGM33" s="47"/>
      <c r="CGN33" s="47"/>
      <c r="CGO33" s="47"/>
      <c r="CGP33" s="47"/>
      <c r="CGQ33" s="47"/>
      <c r="CGR33" s="47"/>
      <c r="CGS33" s="47"/>
      <c r="CGT33" s="47"/>
      <c r="CGU33" s="47"/>
      <c r="CGV33" s="47"/>
      <c r="CGW33" s="47"/>
      <c r="CGX33" s="47"/>
      <c r="CGY33" s="47"/>
      <c r="CGZ33" s="47"/>
      <c r="CHA33" s="47"/>
      <c r="CHB33" s="47"/>
      <c r="CHC33" s="47"/>
      <c r="CHD33" s="47"/>
      <c r="CHE33" s="47"/>
      <c r="CHF33" s="47"/>
      <c r="CHG33" s="47"/>
      <c r="CHH33" s="47"/>
      <c r="CHI33" s="47"/>
      <c r="CHJ33" s="47"/>
      <c r="CHK33" s="47"/>
      <c r="CHL33" s="47"/>
      <c r="CHM33" s="47"/>
      <c r="CHN33" s="47"/>
      <c r="CHO33" s="47"/>
      <c r="CHP33" s="47"/>
      <c r="CHQ33" s="47"/>
      <c r="CHR33" s="47"/>
      <c r="CHS33" s="47"/>
      <c r="CHT33" s="47"/>
      <c r="CHU33" s="47"/>
      <c r="CHV33" s="47"/>
      <c r="CHW33" s="47"/>
      <c r="CHX33" s="47"/>
      <c r="CHY33" s="47"/>
      <c r="CHZ33" s="47"/>
      <c r="CIA33" s="47"/>
      <c r="CIB33" s="47"/>
      <c r="CIC33" s="47"/>
      <c r="CID33" s="47"/>
      <c r="CIE33" s="47"/>
      <c r="CIF33" s="47"/>
      <c r="CIG33" s="47"/>
      <c r="CIH33" s="47"/>
      <c r="CII33" s="47"/>
      <c r="CIJ33" s="47"/>
      <c r="CIK33" s="47"/>
      <c r="CIL33" s="47"/>
      <c r="CIM33" s="47"/>
      <c r="CIN33" s="47"/>
      <c r="CIO33" s="47"/>
      <c r="CIP33" s="47"/>
      <c r="CIQ33" s="47"/>
      <c r="CIR33" s="47"/>
      <c r="CIS33" s="47"/>
      <c r="CIT33" s="47"/>
      <c r="CIU33" s="47"/>
      <c r="CIV33" s="47"/>
      <c r="CIW33" s="47"/>
      <c r="CIX33" s="47"/>
      <c r="CIY33" s="47"/>
      <c r="CIZ33" s="47"/>
      <c r="CJA33" s="47"/>
      <c r="CJB33" s="47"/>
      <c r="CJC33" s="47"/>
      <c r="CJD33" s="47"/>
      <c r="CJE33" s="47"/>
      <c r="CJF33" s="47"/>
      <c r="CJG33" s="47"/>
      <c r="CJH33" s="47"/>
      <c r="CJI33" s="47"/>
      <c r="CJJ33" s="47"/>
      <c r="CJK33" s="47"/>
      <c r="CJL33" s="47"/>
      <c r="CJM33" s="47"/>
      <c r="CJN33" s="47"/>
      <c r="CJO33" s="47"/>
      <c r="CJP33" s="47"/>
      <c r="CJQ33" s="47"/>
      <c r="CJR33" s="47"/>
      <c r="CJS33" s="47"/>
      <c r="CJT33" s="47"/>
      <c r="CJU33" s="47"/>
      <c r="CJV33" s="47"/>
      <c r="CJW33" s="47"/>
      <c r="CJX33" s="47"/>
      <c r="CJY33" s="47"/>
      <c r="CJZ33" s="47"/>
      <c r="CKA33" s="47"/>
      <c r="CKB33" s="47"/>
      <c r="CKC33" s="47"/>
      <c r="CKD33" s="47"/>
      <c r="CKE33" s="47"/>
      <c r="CKF33" s="47"/>
      <c r="CKG33" s="47"/>
      <c r="CKH33" s="47"/>
      <c r="CKI33" s="47"/>
      <c r="CKJ33" s="47"/>
      <c r="CKK33" s="47"/>
      <c r="CKL33" s="47"/>
      <c r="CKM33" s="47"/>
      <c r="CKN33" s="47"/>
      <c r="CKO33" s="47"/>
      <c r="CKP33" s="47"/>
      <c r="CKQ33" s="47"/>
      <c r="CKR33" s="47"/>
      <c r="CKS33" s="47"/>
      <c r="CKT33" s="47"/>
      <c r="CKU33" s="47"/>
      <c r="CKV33" s="47"/>
      <c r="CKW33" s="47"/>
      <c r="CKX33" s="47"/>
      <c r="CKY33" s="47"/>
      <c r="CKZ33" s="47"/>
      <c r="CLA33" s="47"/>
      <c r="CLB33" s="47"/>
      <c r="CLC33" s="47"/>
      <c r="CLD33" s="47"/>
      <c r="CLE33" s="47"/>
      <c r="CLF33" s="47"/>
      <c r="CLG33" s="47"/>
      <c r="CLH33" s="47"/>
      <c r="CLI33" s="47"/>
      <c r="CLJ33" s="47"/>
      <c r="CLK33" s="47"/>
      <c r="CLL33" s="47"/>
      <c r="CLM33" s="47"/>
      <c r="CLN33" s="47"/>
      <c r="CLO33" s="47"/>
      <c r="CLP33" s="47"/>
      <c r="CLQ33" s="47"/>
      <c r="CLR33" s="47"/>
      <c r="CLS33" s="47"/>
      <c r="CLT33" s="47"/>
      <c r="CLU33" s="47"/>
      <c r="CLV33" s="47"/>
      <c r="CLW33" s="47"/>
      <c r="CLX33" s="47"/>
      <c r="CLY33" s="47"/>
      <c r="CLZ33" s="47"/>
      <c r="CMA33" s="47"/>
      <c r="CMB33" s="47"/>
      <c r="CMC33" s="47"/>
      <c r="CMD33" s="47"/>
      <c r="CME33" s="47"/>
      <c r="CMF33" s="47"/>
      <c r="CMG33" s="47"/>
      <c r="CMH33" s="47"/>
      <c r="CMI33" s="47"/>
      <c r="CMJ33" s="47"/>
      <c r="CMK33" s="47"/>
      <c r="CML33" s="47"/>
      <c r="CMM33" s="47"/>
      <c r="CMN33" s="47"/>
      <c r="CMO33" s="47"/>
      <c r="CMP33" s="47"/>
      <c r="CMQ33" s="47"/>
      <c r="CMR33" s="47"/>
      <c r="CMS33" s="47"/>
      <c r="CMT33" s="47"/>
      <c r="CMU33" s="47"/>
      <c r="CMV33" s="47"/>
      <c r="CMW33" s="47"/>
      <c r="CMX33" s="47"/>
      <c r="CMY33" s="47"/>
      <c r="CMZ33" s="47"/>
      <c r="CNA33" s="47"/>
      <c r="CNB33" s="47"/>
      <c r="CNC33" s="47"/>
      <c r="CND33" s="47"/>
      <c r="CNE33" s="47"/>
      <c r="CNF33" s="47"/>
      <c r="CNG33" s="47"/>
      <c r="CNH33" s="47"/>
      <c r="CNI33" s="47"/>
      <c r="CNJ33" s="47"/>
      <c r="CNK33" s="47"/>
      <c r="CNL33" s="47"/>
      <c r="CNM33" s="47"/>
      <c r="CNN33" s="47"/>
      <c r="CNO33" s="47"/>
      <c r="CNP33" s="47"/>
      <c r="CNQ33" s="47"/>
      <c r="CNR33" s="47"/>
      <c r="CNS33" s="47"/>
      <c r="CNT33" s="47"/>
      <c r="CNU33" s="47"/>
      <c r="CNV33" s="47"/>
      <c r="CNW33" s="47"/>
      <c r="CNX33" s="47"/>
      <c r="CNY33" s="47"/>
      <c r="CNZ33" s="47"/>
      <c r="COA33" s="47"/>
      <c r="COB33" s="47"/>
      <c r="COC33" s="47"/>
      <c r="COD33" s="47"/>
      <c r="COE33" s="47"/>
      <c r="COF33" s="47"/>
      <c r="COG33" s="47"/>
      <c r="COH33" s="47"/>
      <c r="COI33" s="47"/>
      <c r="COJ33" s="47"/>
      <c r="COK33" s="47"/>
      <c r="COL33" s="47"/>
      <c r="COM33" s="47"/>
      <c r="CON33" s="47"/>
      <c r="COO33" s="47"/>
      <c r="COP33" s="47"/>
      <c r="COQ33" s="47"/>
      <c r="COR33" s="47"/>
      <c r="COS33" s="47"/>
      <c r="COT33" s="47"/>
      <c r="COU33" s="47"/>
      <c r="COV33" s="47"/>
      <c r="COW33" s="47"/>
      <c r="COX33" s="47"/>
      <c r="COY33" s="47"/>
      <c r="COZ33" s="47"/>
      <c r="CPA33" s="47"/>
      <c r="CPB33" s="47"/>
      <c r="CPC33" s="47"/>
      <c r="CPD33" s="47"/>
      <c r="CPE33" s="47"/>
      <c r="CPF33" s="47"/>
      <c r="CPG33" s="47"/>
      <c r="CPH33" s="47"/>
      <c r="CPI33" s="47"/>
      <c r="CPJ33" s="47"/>
      <c r="CPK33" s="47"/>
      <c r="CPL33" s="47"/>
      <c r="CPM33" s="47"/>
      <c r="CPN33" s="47"/>
      <c r="CPO33" s="47"/>
      <c r="CPP33" s="47"/>
      <c r="CPQ33" s="47"/>
      <c r="CPR33" s="47"/>
      <c r="CPS33" s="47"/>
      <c r="CPT33" s="47"/>
      <c r="CPU33" s="47"/>
      <c r="CPV33" s="47"/>
      <c r="CPW33" s="47"/>
      <c r="CPX33" s="47"/>
      <c r="CPY33" s="47"/>
      <c r="CPZ33" s="47"/>
      <c r="CQA33" s="47"/>
      <c r="CQB33" s="47"/>
      <c r="CQC33" s="47"/>
      <c r="CQD33" s="47"/>
      <c r="CQE33" s="47"/>
      <c r="CQF33" s="47"/>
      <c r="CQG33" s="47"/>
      <c r="CQH33" s="47"/>
      <c r="CQI33" s="47"/>
      <c r="CQJ33" s="47"/>
      <c r="CQK33" s="47"/>
      <c r="CQL33" s="47"/>
      <c r="CQM33" s="47"/>
      <c r="CQN33" s="47"/>
      <c r="CQO33" s="47"/>
      <c r="CQP33" s="47"/>
      <c r="CQQ33" s="47"/>
      <c r="CQR33" s="47"/>
      <c r="CQS33" s="47"/>
      <c r="CQT33" s="47"/>
      <c r="CQU33" s="47"/>
      <c r="CQV33" s="47"/>
      <c r="CQW33" s="47"/>
      <c r="CQX33" s="47"/>
      <c r="CQY33" s="47"/>
      <c r="CQZ33" s="47"/>
      <c r="CRA33" s="47"/>
      <c r="CRB33" s="47"/>
      <c r="CRC33" s="47"/>
      <c r="CRD33" s="47"/>
      <c r="CRE33" s="47"/>
      <c r="CRF33" s="47"/>
      <c r="CRG33" s="47"/>
      <c r="CRH33" s="47"/>
      <c r="CRI33" s="47"/>
      <c r="CRJ33" s="47"/>
      <c r="CRK33" s="47"/>
      <c r="CRL33" s="47"/>
      <c r="CRM33" s="47"/>
      <c r="CRN33" s="47"/>
      <c r="CRO33" s="47"/>
      <c r="CRP33" s="47"/>
      <c r="CRQ33" s="47"/>
      <c r="CRR33" s="47"/>
      <c r="CRS33" s="47"/>
      <c r="CRT33" s="47"/>
      <c r="CRU33" s="47"/>
      <c r="CRV33" s="47"/>
      <c r="CRW33" s="47"/>
      <c r="CRX33" s="47"/>
      <c r="CRY33" s="47"/>
      <c r="CRZ33" s="47"/>
      <c r="CSA33" s="47"/>
      <c r="CSB33" s="47"/>
      <c r="CSC33" s="47"/>
      <c r="CSD33" s="47"/>
      <c r="CSE33" s="47"/>
      <c r="CSF33" s="47"/>
      <c r="CSG33" s="47"/>
      <c r="CSH33" s="47"/>
      <c r="CSI33" s="47"/>
      <c r="CSJ33" s="47"/>
      <c r="CSK33" s="47"/>
      <c r="CSL33" s="47"/>
      <c r="CSM33" s="47"/>
      <c r="CSN33" s="47"/>
      <c r="CSO33" s="47"/>
      <c r="CSP33" s="47"/>
      <c r="CSQ33" s="47"/>
      <c r="CSR33" s="47"/>
      <c r="CSS33" s="47"/>
      <c r="CST33" s="47"/>
      <c r="CSU33" s="47"/>
      <c r="CSV33" s="47"/>
      <c r="CSW33" s="47"/>
      <c r="CSX33" s="47"/>
      <c r="CSY33" s="47"/>
      <c r="CSZ33" s="47"/>
      <c r="CTA33" s="47"/>
      <c r="CTB33" s="47"/>
      <c r="CTC33" s="47"/>
      <c r="CTD33" s="47"/>
      <c r="CTE33" s="47"/>
      <c r="CTF33" s="47"/>
      <c r="CTG33" s="47"/>
      <c r="CTH33" s="47"/>
      <c r="CTI33" s="47"/>
      <c r="CTJ33" s="47"/>
      <c r="CTK33" s="47"/>
      <c r="CTL33" s="47"/>
      <c r="CTM33" s="47"/>
      <c r="CTN33" s="47"/>
      <c r="CTO33" s="47"/>
      <c r="CTP33" s="47"/>
      <c r="CTQ33" s="47"/>
      <c r="CTR33" s="47"/>
      <c r="CTS33" s="47"/>
      <c r="CTT33" s="47"/>
      <c r="CTU33" s="47"/>
      <c r="CTV33" s="47"/>
      <c r="CTW33" s="47"/>
      <c r="CTX33" s="47"/>
      <c r="CTY33" s="47"/>
      <c r="CTZ33" s="47"/>
      <c r="CUA33" s="47"/>
      <c r="CUB33" s="47"/>
      <c r="CUC33" s="47"/>
      <c r="CUD33" s="47"/>
      <c r="CUE33" s="47"/>
      <c r="CUF33" s="47"/>
      <c r="CUG33" s="47"/>
      <c r="CUH33" s="47"/>
      <c r="CUI33" s="47"/>
      <c r="CUJ33" s="47"/>
      <c r="CUK33" s="47"/>
      <c r="CUL33" s="47"/>
      <c r="CUM33" s="47"/>
      <c r="CUN33" s="47"/>
      <c r="CUO33" s="47"/>
      <c r="CUP33" s="47"/>
      <c r="CUQ33" s="47"/>
      <c r="CUR33" s="47"/>
      <c r="CUS33" s="47"/>
      <c r="CUT33" s="47"/>
      <c r="CUU33" s="47"/>
      <c r="CUV33" s="47"/>
      <c r="CUW33" s="47"/>
      <c r="CUX33" s="47"/>
      <c r="CUY33" s="47"/>
      <c r="CUZ33" s="47"/>
      <c r="CVA33" s="47"/>
      <c r="CVB33" s="47"/>
      <c r="CVC33" s="47"/>
      <c r="CVD33" s="47"/>
      <c r="CVE33" s="47"/>
      <c r="CVF33" s="47"/>
      <c r="CVG33" s="47"/>
      <c r="CVH33" s="47"/>
      <c r="CVI33" s="47"/>
      <c r="CVJ33" s="47"/>
      <c r="CVK33" s="47"/>
      <c r="CVL33" s="47"/>
      <c r="CVM33" s="47"/>
      <c r="CVN33" s="47"/>
      <c r="CVO33" s="47"/>
      <c r="CVP33" s="47"/>
      <c r="CVQ33" s="47"/>
      <c r="CVR33" s="47"/>
      <c r="CVS33" s="47"/>
      <c r="CVT33" s="47"/>
      <c r="CVU33" s="47"/>
      <c r="CVV33" s="47"/>
      <c r="CVW33" s="47"/>
      <c r="CVX33" s="47"/>
      <c r="CVY33" s="47"/>
      <c r="CVZ33" s="47"/>
      <c r="CWA33" s="47"/>
      <c r="CWB33" s="47"/>
      <c r="CWC33" s="47"/>
      <c r="CWD33" s="47"/>
      <c r="CWE33" s="47"/>
      <c r="CWF33" s="47"/>
      <c r="CWG33" s="47"/>
      <c r="CWH33" s="47"/>
      <c r="CWI33" s="47"/>
      <c r="CWJ33" s="47"/>
      <c r="CWK33" s="47"/>
      <c r="CWL33" s="47"/>
      <c r="CWM33" s="47"/>
      <c r="CWN33" s="47"/>
      <c r="CWO33" s="47"/>
      <c r="CWP33" s="47"/>
      <c r="CWQ33" s="47"/>
      <c r="CWR33" s="47"/>
      <c r="CWS33" s="47"/>
      <c r="CWT33" s="47"/>
      <c r="CWU33" s="47"/>
      <c r="CWV33" s="47"/>
      <c r="CWW33" s="47"/>
      <c r="CWX33" s="47"/>
      <c r="CWY33" s="47"/>
      <c r="CWZ33" s="47"/>
      <c r="CXA33" s="47"/>
      <c r="CXB33" s="47"/>
      <c r="CXC33" s="47"/>
      <c r="CXD33" s="47"/>
      <c r="CXE33" s="47"/>
      <c r="CXF33" s="47"/>
      <c r="CXG33" s="47"/>
      <c r="CXH33" s="47"/>
      <c r="CXI33" s="47"/>
      <c r="CXJ33" s="47"/>
      <c r="CXK33" s="47"/>
      <c r="CXL33" s="47"/>
      <c r="CXM33" s="47"/>
      <c r="CXN33" s="47"/>
      <c r="CXO33" s="47"/>
      <c r="CXP33" s="47"/>
      <c r="CXQ33" s="47"/>
      <c r="CXR33" s="47"/>
      <c r="CXS33" s="47"/>
      <c r="CXT33" s="47"/>
      <c r="CXU33" s="47"/>
      <c r="CXV33" s="47"/>
      <c r="CXW33" s="47"/>
      <c r="CXX33" s="47"/>
      <c r="CXY33" s="47"/>
      <c r="CXZ33" s="47"/>
      <c r="CYA33" s="47"/>
      <c r="CYB33" s="47"/>
      <c r="CYC33" s="47"/>
      <c r="CYD33" s="47"/>
      <c r="CYE33" s="47"/>
      <c r="CYF33" s="47"/>
      <c r="CYG33" s="47"/>
      <c r="CYH33" s="47"/>
      <c r="CYI33" s="47"/>
      <c r="CYJ33" s="47"/>
      <c r="CYK33" s="47"/>
      <c r="CYL33" s="47"/>
      <c r="CYM33" s="47"/>
      <c r="CYN33" s="47"/>
      <c r="CYO33" s="47"/>
      <c r="CYP33" s="47"/>
      <c r="CYQ33" s="47"/>
      <c r="CYR33" s="47"/>
      <c r="CYS33" s="47"/>
      <c r="CYT33" s="47"/>
      <c r="CYU33" s="47"/>
      <c r="CYV33" s="47"/>
      <c r="CYW33" s="47"/>
      <c r="CYX33" s="47"/>
      <c r="CYY33" s="47"/>
      <c r="CYZ33" s="47"/>
      <c r="CZA33" s="47"/>
      <c r="CZB33" s="47"/>
      <c r="CZC33" s="47"/>
      <c r="CZD33" s="47"/>
      <c r="CZE33" s="47"/>
      <c r="CZF33" s="47"/>
      <c r="CZG33" s="47"/>
      <c r="CZH33" s="47"/>
      <c r="CZI33" s="47"/>
      <c r="CZJ33" s="47"/>
      <c r="CZK33" s="47"/>
      <c r="CZL33" s="47"/>
      <c r="CZM33" s="47"/>
      <c r="CZN33" s="47"/>
      <c r="CZO33" s="47"/>
      <c r="CZP33" s="47"/>
      <c r="CZQ33" s="47"/>
      <c r="CZR33" s="47"/>
      <c r="CZS33" s="47"/>
      <c r="CZT33" s="47"/>
      <c r="CZU33" s="47"/>
      <c r="CZV33" s="47"/>
      <c r="CZW33" s="47"/>
      <c r="CZX33" s="47"/>
      <c r="CZY33" s="47"/>
      <c r="CZZ33" s="47"/>
      <c r="DAA33" s="47"/>
      <c r="DAB33" s="47"/>
      <c r="DAC33" s="47"/>
      <c r="DAD33" s="47"/>
      <c r="DAE33" s="47"/>
      <c r="DAF33" s="47"/>
      <c r="DAG33" s="47"/>
      <c r="DAH33" s="47"/>
      <c r="DAI33" s="47"/>
      <c r="DAJ33" s="47"/>
      <c r="DAK33" s="47"/>
      <c r="DAL33" s="47"/>
      <c r="DAM33" s="47"/>
      <c r="DAN33" s="47"/>
      <c r="DAO33" s="47"/>
      <c r="DAP33" s="47"/>
      <c r="DAQ33" s="47"/>
      <c r="DAR33" s="47"/>
      <c r="DAS33" s="47"/>
      <c r="DAT33" s="47"/>
      <c r="DAU33" s="47"/>
      <c r="DAV33" s="47"/>
      <c r="DAW33" s="47"/>
      <c r="DAX33" s="47"/>
      <c r="DAY33" s="47"/>
      <c r="DAZ33" s="47"/>
      <c r="DBA33" s="47"/>
      <c r="DBB33" s="47"/>
      <c r="DBC33" s="47"/>
      <c r="DBD33" s="47"/>
      <c r="DBE33" s="47"/>
      <c r="DBF33" s="47"/>
      <c r="DBG33" s="47"/>
      <c r="DBH33" s="47"/>
      <c r="DBI33" s="47"/>
      <c r="DBJ33" s="47"/>
      <c r="DBK33" s="47"/>
      <c r="DBL33" s="47"/>
      <c r="DBM33" s="47"/>
      <c r="DBN33" s="47"/>
      <c r="DBO33" s="47"/>
      <c r="DBP33" s="47"/>
      <c r="DBQ33" s="47"/>
      <c r="DBR33" s="47"/>
      <c r="DBS33" s="47"/>
      <c r="DBT33" s="47"/>
      <c r="DBU33" s="47"/>
      <c r="DBV33" s="47"/>
      <c r="DBW33" s="47"/>
      <c r="DBX33" s="47"/>
      <c r="DBY33" s="47"/>
      <c r="DBZ33" s="47"/>
      <c r="DCA33" s="47"/>
      <c r="DCB33" s="47"/>
      <c r="DCC33" s="47"/>
      <c r="DCD33" s="47"/>
      <c r="DCE33" s="47"/>
      <c r="DCF33" s="47"/>
      <c r="DCG33" s="47"/>
      <c r="DCH33" s="47"/>
      <c r="DCI33" s="47"/>
      <c r="DCJ33" s="47"/>
      <c r="DCK33" s="47"/>
      <c r="DCL33" s="47"/>
      <c r="DCM33" s="47"/>
      <c r="DCN33" s="47"/>
      <c r="DCO33" s="47"/>
      <c r="DCP33" s="47"/>
      <c r="DCQ33" s="47"/>
      <c r="DCR33" s="47"/>
      <c r="DCS33" s="47"/>
      <c r="DCT33" s="47"/>
      <c r="DCU33" s="47"/>
      <c r="DCV33" s="47"/>
      <c r="DCW33" s="47"/>
      <c r="DCX33" s="47"/>
      <c r="DCY33" s="47"/>
      <c r="DCZ33" s="47"/>
      <c r="DDA33" s="47"/>
      <c r="DDB33" s="47"/>
      <c r="DDC33" s="47"/>
      <c r="DDD33" s="47"/>
      <c r="DDE33" s="47"/>
      <c r="DDF33" s="47"/>
      <c r="DDG33" s="47"/>
      <c r="DDH33" s="47"/>
      <c r="DDI33" s="47"/>
      <c r="DDJ33" s="47"/>
      <c r="DDK33" s="47"/>
      <c r="DDL33" s="47"/>
      <c r="DDM33" s="47"/>
      <c r="DDN33" s="47"/>
      <c r="DDO33" s="47"/>
      <c r="DDP33" s="47"/>
      <c r="DDQ33" s="47"/>
      <c r="DDR33" s="47"/>
      <c r="DDS33" s="47"/>
      <c r="DDT33" s="47"/>
      <c r="DDU33" s="47"/>
      <c r="DDV33" s="47"/>
      <c r="DDW33" s="47"/>
      <c r="DDX33" s="47"/>
      <c r="DDY33" s="47"/>
      <c r="DDZ33" s="47"/>
      <c r="DEA33" s="47"/>
      <c r="DEB33" s="47"/>
      <c r="DEC33" s="47"/>
      <c r="DED33" s="47"/>
      <c r="DEE33" s="47"/>
      <c r="DEF33" s="47"/>
      <c r="DEG33" s="47"/>
      <c r="DEH33" s="47"/>
      <c r="DEI33" s="47"/>
      <c r="DEJ33" s="47"/>
      <c r="DEK33" s="47"/>
      <c r="DEL33" s="47"/>
      <c r="DEM33" s="47"/>
      <c r="DEN33" s="47"/>
      <c r="DEO33" s="47"/>
      <c r="DEP33" s="47"/>
      <c r="DEQ33" s="47"/>
      <c r="DER33" s="47"/>
      <c r="DES33" s="47"/>
      <c r="DET33" s="47"/>
      <c r="DEU33" s="47"/>
      <c r="DEV33" s="47"/>
      <c r="DEW33" s="47"/>
      <c r="DEX33" s="47"/>
      <c r="DEY33" s="47"/>
      <c r="DEZ33" s="47"/>
      <c r="DFA33" s="47"/>
      <c r="DFB33" s="47"/>
      <c r="DFC33" s="47"/>
      <c r="DFD33" s="47"/>
      <c r="DFE33" s="47"/>
      <c r="DFF33" s="47"/>
      <c r="DFG33" s="47"/>
      <c r="DFH33" s="47"/>
      <c r="DFI33" s="47"/>
      <c r="DFJ33" s="47"/>
      <c r="DFK33" s="47"/>
      <c r="DFL33" s="47"/>
      <c r="DFM33" s="47"/>
      <c r="DFN33" s="47"/>
      <c r="DFO33" s="47"/>
      <c r="DFP33" s="47"/>
      <c r="DFQ33" s="47"/>
      <c r="DFR33" s="47"/>
      <c r="DFS33" s="47"/>
      <c r="DFT33" s="47"/>
      <c r="DFU33" s="47"/>
      <c r="DFV33" s="47"/>
      <c r="DFW33" s="47"/>
      <c r="DFX33" s="47"/>
      <c r="DFY33" s="47"/>
      <c r="DFZ33" s="47"/>
      <c r="DGA33" s="47"/>
      <c r="DGB33" s="47"/>
      <c r="DGC33" s="47"/>
      <c r="DGD33" s="47"/>
      <c r="DGE33" s="47"/>
      <c r="DGF33" s="47"/>
      <c r="DGG33" s="47"/>
      <c r="DGH33" s="47"/>
      <c r="DGI33" s="47"/>
      <c r="DGJ33" s="47"/>
      <c r="DGK33" s="47"/>
      <c r="DGL33" s="47"/>
      <c r="DGM33" s="47"/>
      <c r="DGN33" s="47"/>
      <c r="DGO33" s="47"/>
      <c r="DGP33" s="47"/>
      <c r="DGQ33" s="47"/>
      <c r="DGR33" s="47"/>
      <c r="DGS33" s="47"/>
      <c r="DGT33" s="47"/>
      <c r="DGU33" s="47"/>
      <c r="DGV33" s="47"/>
      <c r="DGW33" s="47"/>
      <c r="DGX33" s="47"/>
      <c r="DGY33" s="47"/>
      <c r="DGZ33" s="47"/>
      <c r="DHA33" s="47"/>
      <c r="DHB33" s="47"/>
      <c r="DHC33" s="47"/>
      <c r="DHD33" s="47"/>
      <c r="DHE33" s="47"/>
      <c r="DHF33" s="47"/>
      <c r="DHG33" s="47"/>
      <c r="DHH33" s="47"/>
      <c r="DHI33" s="47"/>
      <c r="DHJ33" s="47"/>
      <c r="DHK33" s="47"/>
      <c r="DHL33" s="47"/>
      <c r="DHM33" s="47"/>
      <c r="DHN33" s="47"/>
      <c r="DHO33" s="47"/>
      <c r="DHP33" s="47"/>
      <c r="DHQ33" s="47"/>
      <c r="DHR33" s="47"/>
      <c r="DHS33" s="47"/>
      <c r="DHT33" s="47"/>
      <c r="DHU33" s="47"/>
      <c r="DHV33" s="47"/>
      <c r="DHW33" s="47"/>
      <c r="DHX33" s="47"/>
      <c r="DHY33" s="47"/>
      <c r="DHZ33" s="47"/>
      <c r="DIA33" s="47"/>
      <c r="DIB33" s="47"/>
      <c r="DIC33" s="47"/>
      <c r="DID33" s="47"/>
      <c r="DIE33" s="47"/>
      <c r="DIF33" s="47"/>
      <c r="DIG33" s="47"/>
      <c r="DIH33" s="47"/>
      <c r="DII33" s="47"/>
      <c r="DIJ33" s="47"/>
      <c r="DIK33" s="47"/>
      <c r="DIL33" s="47"/>
      <c r="DIM33" s="47"/>
      <c r="DIN33" s="47"/>
      <c r="DIO33" s="47"/>
      <c r="DIP33" s="47"/>
      <c r="DIQ33" s="47"/>
      <c r="DIR33" s="47"/>
      <c r="DIS33" s="47"/>
      <c r="DIT33" s="47"/>
      <c r="DIU33" s="47"/>
      <c r="DIV33" s="47"/>
      <c r="DIW33" s="47"/>
      <c r="DIX33" s="47"/>
      <c r="DIY33" s="47"/>
      <c r="DIZ33" s="47"/>
      <c r="DJA33" s="47"/>
      <c r="DJB33" s="47"/>
      <c r="DJC33" s="47"/>
      <c r="DJD33" s="47"/>
      <c r="DJE33" s="47"/>
      <c r="DJF33" s="47"/>
      <c r="DJG33" s="47"/>
      <c r="DJH33" s="47"/>
      <c r="DJI33" s="47"/>
      <c r="DJJ33" s="47"/>
      <c r="DJK33" s="47"/>
      <c r="DJL33" s="47"/>
      <c r="DJM33" s="47"/>
      <c r="DJN33" s="47"/>
      <c r="DJO33" s="47"/>
      <c r="DJP33" s="47"/>
      <c r="DJQ33" s="47"/>
      <c r="DJR33" s="47"/>
      <c r="DJS33" s="47"/>
      <c r="DJT33" s="47"/>
      <c r="DJU33" s="47"/>
      <c r="DJV33" s="47"/>
      <c r="DJW33" s="47"/>
      <c r="DJX33" s="47"/>
      <c r="DJY33" s="47"/>
      <c r="DJZ33" s="47"/>
      <c r="DKA33" s="47"/>
      <c r="DKB33" s="47"/>
      <c r="DKC33" s="47"/>
      <c r="DKD33" s="47"/>
      <c r="DKE33" s="47"/>
      <c r="DKF33" s="47"/>
      <c r="DKG33" s="47"/>
      <c r="DKH33" s="47"/>
      <c r="DKI33" s="47"/>
      <c r="DKJ33" s="47"/>
      <c r="DKK33" s="47"/>
      <c r="DKL33" s="47"/>
      <c r="DKM33" s="47"/>
      <c r="DKN33" s="47"/>
      <c r="DKO33" s="47"/>
      <c r="DKP33" s="47"/>
      <c r="DKQ33" s="47"/>
      <c r="DKR33" s="47"/>
      <c r="DKS33" s="47"/>
      <c r="DKT33" s="47"/>
      <c r="DKU33" s="47"/>
      <c r="DKV33" s="47"/>
      <c r="DKW33" s="47"/>
      <c r="DKX33" s="47"/>
      <c r="DKY33" s="47"/>
      <c r="DKZ33" s="47"/>
      <c r="DLA33" s="47"/>
      <c r="DLB33" s="47"/>
      <c r="DLC33" s="47"/>
      <c r="DLD33" s="47"/>
      <c r="DLE33" s="47"/>
      <c r="DLF33" s="47"/>
      <c r="DLG33" s="47"/>
      <c r="DLH33" s="47"/>
      <c r="DLI33" s="47"/>
      <c r="DLJ33" s="47"/>
      <c r="DLK33" s="47"/>
      <c r="DLL33" s="47"/>
      <c r="DLM33" s="47"/>
      <c r="DLN33" s="47"/>
      <c r="DLO33" s="47"/>
      <c r="DLP33" s="47"/>
      <c r="DLQ33" s="47"/>
      <c r="DLR33" s="47"/>
      <c r="DLS33" s="47"/>
      <c r="DLT33" s="47"/>
      <c r="DLU33" s="47"/>
      <c r="DLV33" s="47"/>
      <c r="DLW33" s="47"/>
      <c r="DLX33" s="47"/>
      <c r="DLY33" s="47"/>
      <c r="DLZ33" s="47"/>
      <c r="DMA33" s="47"/>
      <c r="DMB33" s="47"/>
      <c r="DMC33" s="47"/>
      <c r="DMD33" s="47"/>
      <c r="DME33" s="47"/>
      <c r="DMF33" s="47"/>
      <c r="DMG33" s="47"/>
      <c r="DMH33" s="47"/>
      <c r="DMI33" s="47"/>
      <c r="DMJ33" s="47"/>
      <c r="DMK33" s="47"/>
      <c r="DML33" s="47"/>
      <c r="DMM33" s="47"/>
      <c r="DMN33" s="47"/>
      <c r="DMO33" s="47"/>
      <c r="DMP33" s="47"/>
      <c r="DMQ33" s="47"/>
      <c r="DMR33" s="47"/>
      <c r="DMS33" s="47"/>
      <c r="DMT33" s="47"/>
      <c r="DMU33" s="47"/>
      <c r="DMV33" s="47"/>
      <c r="DMW33" s="47"/>
      <c r="DMX33" s="47"/>
      <c r="DMY33" s="47"/>
      <c r="DMZ33" s="47"/>
      <c r="DNA33" s="47"/>
      <c r="DNB33" s="47"/>
      <c r="DNC33" s="47"/>
      <c r="DND33" s="47"/>
      <c r="DNE33" s="47"/>
      <c r="DNF33" s="47"/>
      <c r="DNG33" s="47"/>
      <c r="DNH33" s="47"/>
      <c r="DNI33" s="47"/>
      <c r="DNJ33" s="47"/>
      <c r="DNK33" s="47"/>
      <c r="DNL33" s="47"/>
      <c r="DNM33" s="47"/>
      <c r="DNN33" s="47"/>
      <c r="DNO33" s="47"/>
      <c r="DNP33" s="47"/>
      <c r="DNQ33" s="47"/>
      <c r="DNR33" s="47"/>
      <c r="DNS33" s="47"/>
      <c r="DNT33" s="47"/>
      <c r="DNU33" s="47"/>
      <c r="DNV33" s="47"/>
      <c r="DNW33" s="47"/>
      <c r="DNX33" s="47"/>
      <c r="DNY33" s="47"/>
      <c r="DNZ33" s="47"/>
      <c r="DOA33" s="47"/>
      <c r="DOB33" s="47"/>
      <c r="DOC33" s="47"/>
      <c r="DOD33" s="47"/>
      <c r="DOE33" s="47"/>
      <c r="DOF33" s="47"/>
      <c r="DOG33" s="47"/>
      <c r="DOH33" s="47"/>
      <c r="DOI33" s="47"/>
      <c r="DOJ33" s="47"/>
      <c r="DOK33" s="47"/>
      <c r="DOL33" s="47"/>
      <c r="DOM33" s="47"/>
      <c r="DON33" s="47"/>
      <c r="DOO33" s="47"/>
      <c r="DOP33" s="47"/>
      <c r="DOQ33" s="47"/>
      <c r="DOR33" s="47"/>
      <c r="DOS33" s="47"/>
      <c r="DOT33" s="47"/>
      <c r="DOU33" s="47"/>
      <c r="DOV33" s="47"/>
      <c r="DOW33" s="47"/>
      <c r="DOX33" s="47"/>
      <c r="DOY33" s="47"/>
      <c r="DOZ33" s="47"/>
      <c r="DPA33" s="47"/>
      <c r="DPB33" s="47"/>
      <c r="DPC33" s="47"/>
      <c r="DPD33" s="47"/>
      <c r="DPE33" s="47"/>
      <c r="DPF33" s="47"/>
      <c r="DPG33" s="47"/>
      <c r="DPH33" s="47"/>
      <c r="DPI33" s="47"/>
      <c r="DPJ33" s="47"/>
      <c r="DPK33" s="47"/>
      <c r="DPL33" s="47"/>
      <c r="DPM33" s="47"/>
      <c r="DPN33" s="47"/>
      <c r="DPO33" s="47"/>
      <c r="DPP33" s="47"/>
      <c r="DPQ33" s="47"/>
      <c r="DPR33" s="47"/>
      <c r="DPS33" s="47"/>
      <c r="DPT33" s="47"/>
      <c r="DPU33" s="47"/>
      <c r="DPV33" s="47"/>
      <c r="DPW33" s="47"/>
      <c r="DPX33" s="47"/>
      <c r="DPY33" s="47"/>
      <c r="DPZ33" s="47"/>
      <c r="DQA33" s="47"/>
      <c r="DQB33" s="47"/>
      <c r="DQC33" s="47"/>
      <c r="DQD33" s="47"/>
      <c r="DQE33" s="47"/>
      <c r="DQF33" s="47"/>
      <c r="DQG33" s="47"/>
      <c r="DQH33" s="47"/>
      <c r="DQI33" s="47"/>
      <c r="DQJ33" s="47"/>
      <c r="DQK33" s="47"/>
      <c r="DQL33" s="47"/>
      <c r="DQM33" s="47"/>
      <c r="DQN33" s="47"/>
      <c r="DQO33" s="47"/>
      <c r="DQP33" s="47"/>
      <c r="DQQ33" s="47"/>
      <c r="DQR33" s="47"/>
      <c r="DQS33" s="47"/>
      <c r="DQT33" s="47"/>
      <c r="DQU33" s="47"/>
      <c r="DQV33" s="47"/>
      <c r="DQW33" s="47"/>
      <c r="DQX33" s="47"/>
      <c r="DQY33" s="47"/>
      <c r="DQZ33" s="47"/>
      <c r="DRA33" s="47"/>
      <c r="DRB33" s="47"/>
      <c r="DRC33" s="47"/>
      <c r="DRD33" s="47"/>
      <c r="DRE33" s="47"/>
      <c r="DRF33" s="47"/>
      <c r="DRG33" s="47"/>
      <c r="DRH33" s="47"/>
      <c r="DRI33" s="47"/>
      <c r="DRJ33" s="47"/>
      <c r="DRK33" s="47"/>
      <c r="DRL33" s="47"/>
      <c r="DRM33" s="47"/>
      <c r="DRN33" s="47"/>
      <c r="DRO33" s="47"/>
      <c r="DRP33" s="47"/>
      <c r="DRQ33" s="47"/>
      <c r="DRR33" s="47"/>
      <c r="DRS33" s="47"/>
      <c r="DRT33" s="47"/>
      <c r="DRU33" s="47"/>
      <c r="DRV33" s="47"/>
      <c r="DRW33" s="47"/>
      <c r="DRX33" s="47"/>
      <c r="DRY33" s="47"/>
      <c r="DRZ33" s="47"/>
      <c r="DSA33" s="47"/>
      <c r="DSB33" s="47"/>
      <c r="DSC33" s="47"/>
      <c r="DSD33" s="47"/>
      <c r="DSE33" s="47"/>
      <c r="DSF33" s="47"/>
      <c r="DSG33" s="47"/>
      <c r="DSH33" s="47"/>
      <c r="DSI33" s="47"/>
      <c r="DSJ33" s="47"/>
      <c r="DSK33" s="47"/>
      <c r="DSL33" s="47"/>
      <c r="DSM33" s="47"/>
      <c r="DSN33" s="47"/>
      <c r="DSO33" s="47"/>
      <c r="DSP33" s="47"/>
      <c r="DSQ33" s="47"/>
      <c r="DSR33" s="47"/>
      <c r="DSS33" s="47"/>
      <c r="DST33" s="47"/>
      <c r="DSU33" s="47"/>
      <c r="DSV33" s="47"/>
      <c r="DSW33" s="47"/>
      <c r="DSX33" s="47"/>
      <c r="DSY33" s="47"/>
      <c r="DSZ33" s="47"/>
      <c r="DTA33" s="47"/>
      <c r="DTB33" s="47"/>
      <c r="DTC33" s="47"/>
      <c r="DTD33" s="47"/>
      <c r="DTE33" s="47"/>
      <c r="DTF33" s="47"/>
      <c r="DTG33" s="47"/>
      <c r="DTH33" s="47"/>
      <c r="DTI33" s="47"/>
      <c r="DTJ33" s="47"/>
      <c r="DTK33" s="47"/>
      <c r="DTL33" s="47"/>
      <c r="DTM33" s="47"/>
      <c r="DTN33" s="47"/>
      <c r="DTO33" s="47"/>
      <c r="DTP33" s="47"/>
      <c r="DTQ33" s="47"/>
      <c r="DTR33" s="47"/>
      <c r="DTS33" s="47"/>
      <c r="DTT33" s="47"/>
      <c r="DTU33" s="47"/>
      <c r="DTV33" s="47"/>
      <c r="DTW33" s="47"/>
      <c r="DTX33" s="47"/>
      <c r="DTY33" s="47"/>
      <c r="DTZ33" s="47"/>
      <c r="DUA33" s="47"/>
      <c r="DUB33" s="47"/>
      <c r="DUC33" s="47"/>
      <c r="DUD33" s="47"/>
      <c r="DUE33" s="47"/>
      <c r="DUF33" s="47"/>
      <c r="DUG33" s="47"/>
      <c r="DUH33" s="47"/>
      <c r="DUI33" s="47"/>
      <c r="DUJ33" s="47"/>
      <c r="DUK33" s="47"/>
      <c r="DUL33" s="47"/>
      <c r="DUM33" s="47"/>
      <c r="DUN33" s="47"/>
      <c r="DUO33" s="47"/>
      <c r="DUP33" s="47"/>
      <c r="DUQ33" s="47"/>
      <c r="DUR33" s="47"/>
      <c r="DUS33" s="47"/>
      <c r="DUT33" s="47"/>
      <c r="DUU33" s="47"/>
      <c r="DUV33" s="47"/>
      <c r="DUW33" s="47"/>
      <c r="DUX33" s="47"/>
      <c r="DUY33" s="47"/>
      <c r="DUZ33" s="47"/>
      <c r="DVA33" s="47"/>
      <c r="DVB33" s="47"/>
      <c r="DVC33" s="47"/>
      <c r="DVD33" s="47"/>
      <c r="DVE33" s="47"/>
      <c r="DVF33" s="47"/>
      <c r="DVG33" s="47"/>
      <c r="DVH33" s="47"/>
      <c r="DVI33" s="47"/>
      <c r="DVJ33" s="47"/>
      <c r="DVK33" s="47"/>
      <c r="DVL33" s="47"/>
      <c r="DVM33" s="47"/>
      <c r="DVN33" s="47"/>
      <c r="DVO33" s="47"/>
      <c r="DVP33" s="47"/>
      <c r="DVQ33" s="47"/>
      <c r="DVR33" s="47"/>
      <c r="DVS33" s="47"/>
      <c r="DVT33" s="47"/>
      <c r="DVU33" s="47"/>
      <c r="DVV33" s="47"/>
      <c r="DVW33" s="47"/>
      <c r="DVX33" s="47"/>
      <c r="DVY33" s="47"/>
      <c r="DVZ33" s="47"/>
      <c r="DWA33" s="47"/>
      <c r="DWB33" s="47"/>
      <c r="DWC33" s="47"/>
      <c r="DWD33" s="47"/>
      <c r="DWE33" s="47"/>
      <c r="DWF33" s="47"/>
      <c r="DWG33" s="47"/>
      <c r="DWH33" s="47"/>
      <c r="DWI33" s="47"/>
      <c r="DWJ33" s="47"/>
      <c r="DWK33" s="47"/>
      <c r="DWL33" s="47"/>
      <c r="DWM33" s="47"/>
      <c r="DWN33" s="47"/>
      <c r="DWO33" s="47"/>
      <c r="DWP33" s="47"/>
      <c r="DWQ33" s="47"/>
      <c r="DWR33" s="47"/>
      <c r="DWS33" s="47"/>
      <c r="DWT33" s="47"/>
      <c r="DWU33" s="47"/>
      <c r="DWV33" s="47"/>
      <c r="DWW33" s="47"/>
      <c r="DWX33" s="47"/>
      <c r="DWY33" s="47"/>
      <c r="DWZ33" s="47"/>
      <c r="DXA33" s="47"/>
      <c r="DXB33" s="47"/>
      <c r="DXC33" s="47"/>
      <c r="DXD33" s="47"/>
      <c r="DXE33" s="47"/>
      <c r="DXF33" s="47"/>
      <c r="DXG33" s="47"/>
      <c r="DXH33" s="47"/>
      <c r="DXI33" s="47"/>
      <c r="DXJ33" s="47"/>
      <c r="DXK33" s="47"/>
      <c r="DXL33" s="47"/>
      <c r="DXM33" s="47"/>
      <c r="DXN33" s="47"/>
      <c r="DXO33" s="47"/>
      <c r="DXP33" s="47"/>
      <c r="DXQ33" s="47"/>
      <c r="DXR33" s="47"/>
      <c r="DXS33" s="47"/>
      <c r="DXT33" s="47"/>
      <c r="DXU33" s="47"/>
      <c r="DXV33" s="47"/>
      <c r="DXW33" s="47"/>
      <c r="DXX33" s="47"/>
      <c r="DXY33" s="47"/>
      <c r="DXZ33" s="47"/>
      <c r="DYA33" s="47"/>
      <c r="DYB33" s="47"/>
      <c r="DYC33" s="47"/>
      <c r="DYD33" s="47"/>
      <c r="DYE33" s="47"/>
      <c r="DYF33" s="47"/>
      <c r="DYG33" s="47"/>
      <c r="DYH33" s="47"/>
      <c r="DYI33" s="47"/>
      <c r="DYJ33" s="47"/>
      <c r="DYK33" s="47"/>
      <c r="DYL33" s="47"/>
      <c r="DYM33" s="47"/>
      <c r="DYN33" s="47"/>
      <c r="DYO33" s="47"/>
      <c r="DYP33" s="47"/>
      <c r="DYQ33" s="47"/>
      <c r="DYR33" s="47"/>
      <c r="DYS33" s="47"/>
      <c r="DYT33" s="47"/>
      <c r="DYU33" s="47"/>
      <c r="DYV33" s="47"/>
      <c r="DYW33" s="47"/>
      <c r="DYX33" s="47"/>
      <c r="DYY33" s="47"/>
      <c r="DYZ33" s="47"/>
      <c r="DZA33" s="47"/>
      <c r="DZB33" s="47"/>
      <c r="DZC33" s="47"/>
      <c r="DZD33" s="47"/>
      <c r="DZE33" s="47"/>
      <c r="DZF33" s="47"/>
      <c r="DZG33" s="47"/>
      <c r="DZH33" s="47"/>
      <c r="DZI33" s="47"/>
      <c r="DZJ33" s="47"/>
      <c r="DZK33" s="47"/>
      <c r="DZL33" s="47"/>
      <c r="DZM33" s="47"/>
      <c r="DZN33" s="47"/>
      <c r="DZO33" s="47"/>
      <c r="DZP33" s="47"/>
      <c r="DZQ33" s="47"/>
      <c r="DZR33" s="47"/>
      <c r="DZS33" s="47"/>
      <c r="DZT33" s="47"/>
      <c r="DZU33" s="47"/>
      <c r="DZV33" s="47"/>
      <c r="DZW33" s="47"/>
      <c r="DZX33" s="47"/>
      <c r="DZY33" s="47"/>
      <c r="DZZ33" s="47"/>
      <c r="EAA33" s="47"/>
      <c r="EAB33" s="47"/>
      <c r="EAC33" s="47"/>
      <c r="EAD33" s="47"/>
      <c r="EAE33" s="47"/>
      <c r="EAF33" s="47"/>
      <c r="EAG33" s="47"/>
      <c r="EAH33" s="47"/>
      <c r="EAI33" s="47"/>
      <c r="EAJ33" s="47"/>
      <c r="EAK33" s="47"/>
      <c r="EAL33" s="47"/>
      <c r="EAM33" s="47"/>
      <c r="EAN33" s="47"/>
      <c r="EAO33" s="47"/>
      <c r="EAP33" s="47"/>
      <c r="EAQ33" s="47"/>
      <c r="EAR33" s="47"/>
      <c r="EAS33" s="47"/>
      <c r="EAT33" s="47"/>
      <c r="EAU33" s="47"/>
      <c r="EAV33" s="47"/>
      <c r="EAW33" s="47"/>
      <c r="EAX33" s="47"/>
      <c r="EAY33" s="47"/>
      <c r="EAZ33" s="47"/>
      <c r="EBA33" s="47"/>
      <c r="EBB33" s="47"/>
      <c r="EBC33" s="47"/>
      <c r="EBD33" s="47"/>
      <c r="EBE33" s="47"/>
      <c r="EBF33" s="47"/>
      <c r="EBG33" s="47"/>
      <c r="EBH33" s="47"/>
      <c r="EBI33" s="47"/>
      <c r="EBJ33" s="47"/>
      <c r="EBK33" s="47"/>
      <c r="EBL33" s="47"/>
      <c r="EBM33" s="47"/>
      <c r="EBN33" s="47"/>
      <c r="EBO33" s="47"/>
      <c r="EBP33" s="47"/>
      <c r="EBQ33" s="47"/>
      <c r="EBR33" s="47"/>
      <c r="EBS33" s="47"/>
      <c r="EBT33" s="47"/>
      <c r="EBU33" s="47"/>
      <c r="EBV33" s="47"/>
      <c r="EBW33" s="47"/>
      <c r="EBX33" s="47"/>
      <c r="EBY33" s="47"/>
      <c r="EBZ33" s="47"/>
      <c r="ECA33" s="47"/>
      <c r="ECB33" s="47"/>
      <c r="ECC33" s="47"/>
      <c r="ECD33" s="47"/>
      <c r="ECE33" s="47"/>
      <c r="ECF33" s="47"/>
      <c r="ECG33" s="47"/>
      <c r="ECH33" s="47"/>
      <c r="ECI33" s="47"/>
      <c r="ECJ33" s="47"/>
      <c r="ECK33" s="47"/>
      <c r="ECL33" s="47"/>
      <c r="ECM33" s="47"/>
      <c r="ECN33" s="47"/>
      <c r="ECO33" s="47"/>
      <c r="ECP33" s="47"/>
      <c r="ECQ33" s="47"/>
      <c r="ECR33" s="47"/>
      <c r="ECS33" s="47"/>
      <c r="ECT33" s="47"/>
      <c r="ECU33" s="47"/>
      <c r="ECV33" s="47"/>
      <c r="ECW33" s="47"/>
      <c r="ECX33" s="47"/>
      <c r="ECY33" s="47"/>
      <c r="ECZ33" s="47"/>
      <c r="EDA33" s="47"/>
      <c r="EDB33" s="47"/>
      <c r="EDC33" s="47"/>
      <c r="EDD33" s="47"/>
      <c r="EDE33" s="47"/>
      <c r="EDF33" s="47"/>
      <c r="EDG33" s="47"/>
      <c r="EDH33" s="47"/>
      <c r="EDI33" s="47"/>
      <c r="EDJ33" s="47"/>
      <c r="EDK33" s="47"/>
      <c r="EDL33" s="47"/>
      <c r="EDM33" s="47"/>
      <c r="EDN33" s="47"/>
      <c r="EDO33" s="47"/>
      <c r="EDP33" s="47"/>
      <c r="EDQ33" s="47"/>
      <c r="EDR33" s="47"/>
      <c r="EDS33" s="47"/>
      <c r="EDT33" s="47"/>
      <c r="EDU33" s="47"/>
      <c r="EDV33" s="47"/>
      <c r="EDW33" s="47"/>
      <c r="EDX33" s="47"/>
      <c r="EDY33" s="47"/>
      <c r="EDZ33" s="47"/>
      <c r="EEA33" s="47"/>
      <c r="EEB33" s="47"/>
      <c r="EEC33" s="47"/>
      <c r="EED33" s="47"/>
      <c r="EEE33" s="47"/>
      <c r="EEF33" s="47"/>
      <c r="EEG33" s="47"/>
      <c r="EEH33" s="47"/>
      <c r="EEI33" s="47"/>
      <c r="EEJ33" s="47"/>
      <c r="EEK33" s="47"/>
      <c r="EEL33" s="47"/>
      <c r="EEM33" s="47"/>
      <c r="EEN33" s="47"/>
      <c r="EEO33" s="47"/>
      <c r="EEP33" s="47"/>
      <c r="EEQ33" s="47"/>
      <c r="EER33" s="47"/>
      <c r="EES33" s="47"/>
      <c r="EET33" s="47"/>
      <c r="EEU33" s="47"/>
      <c r="EEV33" s="47"/>
      <c r="EEW33" s="47"/>
      <c r="EEX33" s="47"/>
      <c r="EEY33" s="47"/>
      <c r="EEZ33" s="47"/>
      <c r="EFA33" s="47"/>
      <c r="EFB33" s="47"/>
      <c r="EFC33" s="47"/>
      <c r="EFD33" s="47"/>
      <c r="EFE33" s="47"/>
      <c r="EFF33" s="47"/>
      <c r="EFG33" s="47"/>
      <c r="EFH33" s="47"/>
      <c r="EFI33" s="47"/>
      <c r="EFJ33" s="47"/>
      <c r="EFK33" s="47"/>
      <c r="EFL33" s="47"/>
      <c r="EFM33" s="47"/>
      <c r="EFN33" s="47"/>
      <c r="EFO33" s="47"/>
      <c r="EFP33" s="47"/>
      <c r="EFQ33" s="47"/>
      <c r="EFR33" s="47"/>
      <c r="EFS33" s="47"/>
      <c r="EFT33" s="47"/>
      <c r="EFU33" s="47"/>
      <c r="EFV33" s="47"/>
      <c r="EFW33" s="47"/>
      <c r="EFX33" s="47"/>
      <c r="EFY33" s="47"/>
      <c r="EFZ33" s="47"/>
      <c r="EGA33" s="47"/>
      <c r="EGB33" s="47"/>
      <c r="EGC33" s="47"/>
      <c r="EGD33" s="47"/>
      <c r="EGE33" s="47"/>
      <c r="EGF33" s="47"/>
      <c r="EGG33" s="47"/>
      <c r="EGH33" s="47"/>
      <c r="EGI33" s="47"/>
      <c r="EGJ33" s="47"/>
      <c r="EGK33" s="47"/>
      <c r="EGL33" s="47"/>
      <c r="EGM33" s="47"/>
      <c r="EGN33" s="47"/>
      <c r="EGO33" s="47"/>
      <c r="EGP33" s="47"/>
      <c r="EGQ33" s="47"/>
      <c r="EGR33" s="47"/>
      <c r="EGS33" s="47"/>
      <c r="EGT33" s="47"/>
      <c r="EGU33" s="47"/>
      <c r="EGV33" s="47"/>
      <c r="EGW33" s="47"/>
      <c r="EGX33" s="47"/>
      <c r="EGY33" s="47"/>
      <c r="EGZ33" s="47"/>
      <c r="EHA33" s="47"/>
      <c r="EHB33" s="47"/>
      <c r="EHC33" s="47"/>
      <c r="EHD33" s="47"/>
      <c r="EHE33" s="47"/>
      <c r="EHF33" s="47"/>
      <c r="EHG33" s="47"/>
      <c r="EHH33" s="47"/>
      <c r="EHI33" s="47"/>
      <c r="EHJ33" s="47"/>
      <c r="EHK33" s="47"/>
      <c r="EHL33" s="47"/>
      <c r="EHM33" s="47"/>
      <c r="EHN33" s="47"/>
      <c r="EHO33" s="47"/>
      <c r="EHP33" s="47"/>
      <c r="EHQ33" s="47"/>
      <c r="EHR33" s="47"/>
      <c r="EHS33" s="47"/>
      <c r="EHT33" s="47"/>
      <c r="EHU33" s="47"/>
      <c r="EHV33" s="47"/>
      <c r="EHW33" s="47"/>
      <c r="EHX33" s="47"/>
      <c r="EHY33" s="47"/>
      <c r="EHZ33" s="47"/>
      <c r="EIA33" s="47"/>
      <c r="EIB33" s="47"/>
      <c r="EIC33" s="47"/>
      <c r="EID33" s="47"/>
      <c r="EIE33" s="47"/>
      <c r="EIF33" s="47"/>
      <c r="EIG33" s="47"/>
      <c r="EIH33" s="47"/>
      <c r="EII33" s="47"/>
      <c r="EIJ33" s="47"/>
      <c r="EIK33" s="47"/>
      <c r="EIL33" s="47"/>
      <c r="EIM33" s="47"/>
      <c r="EIN33" s="47"/>
      <c r="EIO33" s="47"/>
      <c r="EIP33" s="47"/>
      <c r="EIQ33" s="47"/>
      <c r="EIR33" s="47"/>
      <c r="EIS33" s="47"/>
      <c r="EIT33" s="47"/>
      <c r="EIU33" s="47"/>
      <c r="EIV33" s="47"/>
      <c r="EIW33" s="47"/>
      <c r="EIX33" s="47"/>
      <c r="EIY33" s="47"/>
      <c r="EIZ33" s="47"/>
      <c r="EJA33" s="47"/>
      <c r="EJB33" s="47"/>
      <c r="EJC33" s="47"/>
      <c r="EJD33" s="47"/>
      <c r="EJE33" s="47"/>
      <c r="EJF33" s="47"/>
      <c r="EJG33" s="47"/>
      <c r="EJH33" s="47"/>
      <c r="EJI33" s="47"/>
      <c r="EJJ33" s="47"/>
      <c r="EJK33" s="47"/>
      <c r="EJL33" s="47"/>
      <c r="EJM33" s="47"/>
      <c r="EJN33" s="47"/>
      <c r="EJO33" s="47"/>
      <c r="EJP33" s="47"/>
      <c r="EJQ33" s="47"/>
      <c r="EJR33" s="47"/>
      <c r="EJS33" s="47"/>
      <c r="EJT33" s="47"/>
      <c r="EJU33" s="47"/>
      <c r="EJV33" s="47"/>
      <c r="EJW33" s="47"/>
      <c r="EJX33" s="47"/>
      <c r="EJY33" s="47"/>
      <c r="EJZ33" s="47"/>
      <c r="EKA33" s="47"/>
      <c r="EKB33" s="47"/>
      <c r="EKC33" s="47"/>
      <c r="EKD33" s="47"/>
      <c r="EKE33" s="47"/>
      <c r="EKF33" s="47"/>
      <c r="EKG33" s="47"/>
      <c r="EKH33" s="47"/>
      <c r="EKI33" s="47"/>
      <c r="EKJ33" s="47"/>
      <c r="EKK33" s="47"/>
      <c r="EKL33" s="47"/>
      <c r="EKM33" s="47"/>
      <c r="EKN33" s="47"/>
      <c r="EKO33" s="47"/>
      <c r="EKP33" s="47"/>
      <c r="EKQ33" s="47"/>
      <c r="EKR33" s="47"/>
      <c r="EKS33" s="47"/>
      <c r="EKT33" s="47"/>
      <c r="EKU33" s="47"/>
      <c r="EKV33" s="47"/>
      <c r="EKW33" s="47"/>
      <c r="EKX33" s="47"/>
      <c r="EKY33" s="47"/>
      <c r="EKZ33" s="47"/>
      <c r="ELA33" s="47"/>
      <c r="ELB33" s="47"/>
      <c r="ELC33" s="47"/>
      <c r="ELD33" s="47"/>
      <c r="ELE33" s="47"/>
      <c r="ELF33" s="47"/>
      <c r="ELG33" s="47"/>
      <c r="ELH33" s="47"/>
      <c r="ELI33" s="47"/>
      <c r="ELJ33" s="47"/>
      <c r="ELK33" s="47"/>
      <c r="ELL33" s="47"/>
      <c r="ELM33" s="47"/>
      <c r="ELN33" s="47"/>
      <c r="ELO33" s="47"/>
      <c r="ELP33" s="47"/>
      <c r="ELQ33" s="47"/>
      <c r="ELR33" s="47"/>
      <c r="ELS33" s="47"/>
      <c r="ELT33" s="47"/>
      <c r="ELU33" s="47"/>
      <c r="ELV33" s="47"/>
      <c r="ELW33" s="47"/>
      <c r="ELX33" s="47"/>
      <c r="ELY33" s="47"/>
      <c r="ELZ33" s="47"/>
      <c r="EMA33" s="47"/>
      <c r="EMB33" s="47"/>
      <c r="EMC33" s="47"/>
      <c r="EMD33" s="47"/>
      <c r="EME33" s="47"/>
      <c r="EMF33" s="47"/>
      <c r="EMG33" s="47"/>
      <c r="EMH33" s="47"/>
      <c r="EMI33" s="47"/>
      <c r="EMJ33" s="47"/>
      <c r="EMK33" s="47"/>
      <c r="EML33" s="47"/>
      <c r="EMM33" s="47"/>
      <c r="EMN33" s="47"/>
      <c r="EMO33" s="47"/>
      <c r="EMP33" s="47"/>
      <c r="EMQ33" s="47"/>
      <c r="EMR33" s="47"/>
      <c r="EMS33" s="47"/>
      <c r="EMT33" s="47"/>
      <c r="EMU33" s="47"/>
      <c r="EMV33" s="47"/>
      <c r="EMW33" s="47"/>
      <c r="EMX33" s="47"/>
      <c r="EMY33" s="47"/>
      <c r="EMZ33" s="47"/>
      <c r="ENA33" s="47"/>
      <c r="ENB33" s="47"/>
      <c r="ENC33" s="47"/>
      <c r="END33" s="47"/>
      <c r="ENE33" s="47"/>
      <c r="ENF33" s="47"/>
      <c r="ENG33" s="47"/>
      <c r="ENH33" s="47"/>
      <c r="ENI33" s="47"/>
      <c r="ENJ33" s="47"/>
      <c r="ENK33" s="47"/>
      <c r="ENL33" s="47"/>
      <c r="ENM33" s="47"/>
      <c r="ENN33" s="47"/>
      <c r="ENO33" s="47"/>
      <c r="ENP33" s="47"/>
      <c r="ENQ33" s="47"/>
      <c r="ENR33" s="47"/>
      <c r="ENS33" s="47"/>
      <c r="ENT33" s="47"/>
      <c r="ENU33" s="47"/>
      <c r="ENV33" s="47"/>
      <c r="ENW33" s="47"/>
      <c r="ENX33" s="47"/>
      <c r="ENY33" s="47"/>
      <c r="ENZ33" s="47"/>
      <c r="EOA33" s="47"/>
      <c r="EOB33" s="47"/>
      <c r="EOC33" s="47"/>
      <c r="EOD33" s="47"/>
      <c r="EOE33" s="47"/>
      <c r="EOF33" s="47"/>
      <c r="EOG33" s="47"/>
      <c r="EOH33" s="47"/>
      <c r="EOI33" s="47"/>
      <c r="EOJ33" s="47"/>
      <c r="EOK33" s="47"/>
      <c r="EOL33" s="47"/>
      <c r="EOM33" s="47"/>
      <c r="EON33" s="47"/>
      <c r="EOO33" s="47"/>
      <c r="EOP33" s="47"/>
      <c r="EOQ33" s="47"/>
      <c r="EOR33" s="47"/>
      <c r="EOS33" s="47"/>
      <c r="EOT33" s="47"/>
      <c r="EOU33" s="47"/>
      <c r="EOV33" s="47"/>
      <c r="EOW33" s="47"/>
      <c r="EOX33" s="47"/>
      <c r="EOY33" s="47"/>
      <c r="EOZ33" s="47"/>
      <c r="EPA33" s="47"/>
      <c r="EPB33" s="47"/>
      <c r="EPC33" s="47"/>
      <c r="EPD33" s="47"/>
      <c r="EPE33" s="47"/>
      <c r="EPF33" s="47"/>
      <c r="EPG33" s="47"/>
      <c r="EPH33" s="47"/>
      <c r="EPI33" s="47"/>
      <c r="EPJ33" s="47"/>
      <c r="EPK33" s="47"/>
      <c r="EPL33" s="47"/>
      <c r="EPM33" s="47"/>
      <c r="EPN33" s="47"/>
      <c r="EPO33" s="47"/>
      <c r="EPP33" s="47"/>
      <c r="EPQ33" s="47"/>
      <c r="EPR33" s="47"/>
      <c r="EPS33" s="47"/>
      <c r="EPT33" s="47"/>
      <c r="EPU33" s="47"/>
      <c r="EPV33" s="47"/>
      <c r="EPW33" s="47"/>
      <c r="EPX33" s="47"/>
      <c r="EPY33" s="47"/>
      <c r="EPZ33" s="47"/>
      <c r="EQA33" s="47"/>
      <c r="EQB33" s="47"/>
      <c r="EQC33" s="47"/>
      <c r="EQD33" s="47"/>
      <c r="EQE33" s="47"/>
      <c r="EQF33" s="47"/>
      <c r="EQG33" s="47"/>
      <c r="EQH33" s="47"/>
      <c r="EQI33" s="47"/>
      <c r="EQJ33" s="47"/>
      <c r="EQK33" s="47"/>
      <c r="EQL33" s="47"/>
      <c r="EQM33" s="47"/>
      <c r="EQN33" s="47"/>
      <c r="EQO33" s="47"/>
      <c r="EQP33" s="47"/>
      <c r="EQQ33" s="47"/>
      <c r="EQR33" s="47"/>
      <c r="EQS33" s="47"/>
      <c r="EQT33" s="47"/>
      <c r="EQU33" s="47"/>
      <c r="EQV33" s="47"/>
      <c r="EQW33" s="47"/>
      <c r="EQX33" s="47"/>
      <c r="EQY33" s="47"/>
      <c r="EQZ33" s="47"/>
      <c r="ERA33" s="47"/>
      <c r="ERB33" s="47"/>
      <c r="ERC33" s="47"/>
      <c r="ERD33" s="47"/>
      <c r="ERE33" s="47"/>
      <c r="ERF33" s="47"/>
      <c r="ERG33" s="47"/>
      <c r="ERH33" s="47"/>
      <c r="ERI33" s="47"/>
      <c r="ERJ33" s="47"/>
      <c r="ERK33" s="47"/>
      <c r="ERL33" s="47"/>
      <c r="ERM33" s="47"/>
      <c r="ERN33" s="47"/>
      <c r="ERO33" s="47"/>
      <c r="ERP33" s="47"/>
      <c r="ERQ33" s="47"/>
      <c r="ERR33" s="47"/>
      <c r="ERS33" s="47"/>
      <c r="ERT33" s="47"/>
      <c r="ERU33" s="47"/>
      <c r="ERV33" s="47"/>
      <c r="ERW33" s="47"/>
      <c r="ERX33" s="47"/>
      <c r="ERY33" s="47"/>
      <c r="ERZ33" s="47"/>
      <c r="ESA33" s="47"/>
      <c r="ESB33" s="47"/>
      <c r="ESC33" s="47"/>
      <c r="ESD33" s="47"/>
      <c r="ESE33" s="47"/>
      <c r="ESF33" s="47"/>
      <c r="ESG33" s="47"/>
      <c r="ESH33" s="47"/>
      <c r="ESI33" s="47"/>
      <c r="ESJ33" s="47"/>
      <c r="ESK33" s="47"/>
      <c r="ESL33" s="47"/>
      <c r="ESM33" s="47"/>
      <c r="ESN33" s="47"/>
      <c r="ESO33" s="47"/>
      <c r="ESP33" s="47"/>
      <c r="ESQ33" s="47"/>
      <c r="ESR33" s="47"/>
      <c r="ESS33" s="47"/>
      <c r="EST33" s="47"/>
      <c r="ESU33" s="47"/>
      <c r="ESV33" s="47"/>
      <c r="ESW33" s="47"/>
      <c r="ESX33" s="47"/>
      <c r="ESY33" s="47"/>
      <c r="ESZ33" s="47"/>
      <c r="ETA33" s="47"/>
      <c r="ETB33" s="47"/>
      <c r="ETC33" s="47"/>
      <c r="ETD33" s="47"/>
      <c r="ETE33" s="47"/>
      <c r="ETF33" s="47"/>
      <c r="ETG33" s="47"/>
      <c r="ETH33" s="47"/>
      <c r="ETI33" s="47"/>
      <c r="ETJ33" s="47"/>
      <c r="ETK33" s="47"/>
      <c r="ETL33" s="47"/>
      <c r="ETM33" s="47"/>
      <c r="ETN33" s="47"/>
      <c r="ETO33" s="47"/>
      <c r="ETP33" s="47"/>
      <c r="ETQ33" s="47"/>
      <c r="ETR33" s="47"/>
      <c r="ETS33" s="47"/>
      <c r="ETT33" s="47"/>
      <c r="ETU33" s="47"/>
      <c r="ETV33" s="47"/>
      <c r="ETW33" s="47"/>
      <c r="ETX33" s="47"/>
      <c r="ETY33" s="47"/>
      <c r="ETZ33" s="47"/>
      <c r="EUA33" s="47"/>
      <c r="EUB33" s="47"/>
      <c r="EUC33" s="47"/>
      <c r="EUD33" s="47"/>
      <c r="EUE33" s="47"/>
      <c r="EUF33" s="47"/>
      <c r="EUG33" s="47"/>
      <c r="EUH33" s="47"/>
      <c r="EUI33" s="47"/>
      <c r="EUJ33" s="47"/>
      <c r="EUK33" s="47"/>
      <c r="EUL33" s="47"/>
      <c r="EUM33" s="47"/>
      <c r="EUN33" s="47"/>
      <c r="EUO33" s="47"/>
      <c r="EUP33" s="47"/>
      <c r="EUQ33" s="47"/>
      <c r="EUR33" s="47"/>
      <c r="EUS33" s="47"/>
      <c r="EUT33" s="47"/>
      <c r="EUU33" s="47"/>
      <c r="EUV33" s="47"/>
      <c r="EUW33" s="47"/>
      <c r="EUX33" s="47"/>
      <c r="EUY33" s="47"/>
      <c r="EUZ33" s="47"/>
      <c r="EVA33" s="47"/>
      <c r="EVB33" s="47"/>
      <c r="EVC33" s="47"/>
      <c r="EVD33" s="47"/>
      <c r="EVE33" s="47"/>
      <c r="EVF33" s="47"/>
      <c r="EVG33" s="47"/>
      <c r="EVH33" s="47"/>
      <c r="EVI33" s="47"/>
      <c r="EVJ33" s="47"/>
      <c r="EVK33" s="47"/>
      <c r="EVL33" s="47"/>
      <c r="EVM33" s="47"/>
      <c r="EVN33" s="47"/>
      <c r="EVO33" s="47"/>
      <c r="EVP33" s="47"/>
      <c r="EVQ33" s="47"/>
      <c r="EVR33" s="47"/>
      <c r="EVS33" s="47"/>
      <c r="EVT33" s="47"/>
      <c r="EVU33" s="47"/>
      <c r="EVV33" s="47"/>
      <c r="EVW33" s="47"/>
      <c r="EVX33" s="47"/>
      <c r="EVY33" s="47"/>
      <c r="EVZ33" s="47"/>
      <c r="EWA33" s="47"/>
      <c r="EWB33" s="47"/>
      <c r="EWC33" s="47"/>
      <c r="EWD33" s="47"/>
      <c r="EWE33" s="47"/>
      <c r="EWF33" s="47"/>
      <c r="EWG33" s="47"/>
      <c r="EWH33" s="47"/>
      <c r="EWI33" s="47"/>
      <c r="EWJ33" s="47"/>
      <c r="EWK33" s="47"/>
      <c r="EWL33" s="47"/>
      <c r="EWM33" s="47"/>
      <c r="EWN33" s="47"/>
      <c r="EWO33" s="47"/>
      <c r="EWP33" s="47"/>
      <c r="EWQ33" s="47"/>
      <c r="EWR33" s="47"/>
      <c r="EWS33" s="47"/>
      <c r="EWT33" s="47"/>
      <c r="EWU33" s="47"/>
      <c r="EWV33" s="47"/>
      <c r="EWW33" s="47"/>
      <c r="EWX33" s="47"/>
      <c r="EWY33" s="47"/>
      <c r="EWZ33" s="47"/>
      <c r="EXA33" s="47"/>
      <c r="EXB33" s="47"/>
      <c r="EXC33" s="47"/>
      <c r="EXD33" s="47"/>
      <c r="EXE33" s="47"/>
      <c r="EXF33" s="47"/>
      <c r="EXG33" s="47"/>
      <c r="EXH33" s="47"/>
      <c r="EXI33" s="47"/>
      <c r="EXJ33" s="47"/>
      <c r="EXK33" s="47"/>
      <c r="EXL33" s="47"/>
      <c r="EXM33" s="47"/>
      <c r="EXN33" s="47"/>
      <c r="EXO33" s="47"/>
      <c r="EXP33" s="47"/>
      <c r="EXQ33" s="47"/>
      <c r="EXR33" s="47"/>
      <c r="EXS33" s="47"/>
      <c r="EXT33" s="47"/>
      <c r="EXU33" s="47"/>
      <c r="EXV33" s="47"/>
      <c r="EXW33" s="47"/>
      <c r="EXX33" s="47"/>
      <c r="EXY33" s="47"/>
      <c r="EXZ33" s="47"/>
      <c r="EYA33" s="47"/>
      <c r="EYB33" s="47"/>
      <c r="EYC33" s="47"/>
      <c r="EYD33" s="47"/>
      <c r="EYE33" s="47"/>
      <c r="EYF33" s="47"/>
      <c r="EYG33" s="47"/>
      <c r="EYH33" s="47"/>
      <c r="EYI33" s="47"/>
      <c r="EYJ33" s="47"/>
      <c r="EYK33" s="47"/>
      <c r="EYL33" s="47"/>
      <c r="EYM33" s="47"/>
      <c r="EYN33" s="47"/>
      <c r="EYO33" s="47"/>
      <c r="EYP33" s="47"/>
      <c r="EYQ33" s="47"/>
      <c r="EYR33" s="47"/>
      <c r="EYS33" s="47"/>
      <c r="EYT33" s="47"/>
      <c r="EYU33" s="47"/>
      <c r="EYV33" s="47"/>
      <c r="EYW33" s="47"/>
      <c r="EYX33" s="47"/>
      <c r="EYY33" s="47"/>
      <c r="EYZ33" s="47"/>
      <c r="EZA33" s="47"/>
      <c r="EZB33" s="47"/>
      <c r="EZC33" s="47"/>
      <c r="EZD33" s="47"/>
      <c r="EZE33" s="47"/>
      <c r="EZF33" s="47"/>
      <c r="EZG33" s="47"/>
      <c r="EZH33" s="47"/>
      <c r="EZI33" s="47"/>
      <c r="EZJ33" s="47"/>
      <c r="EZK33" s="47"/>
      <c r="EZL33" s="47"/>
      <c r="EZM33" s="47"/>
      <c r="EZN33" s="47"/>
      <c r="EZO33" s="47"/>
      <c r="EZP33" s="47"/>
      <c r="EZQ33" s="47"/>
      <c r="EZR33" s="47"/>
      <c r="EZS33" s="47"/>
      <c r="EZT33" s="47"/>
      <c r="EZU33" s="47"/>
      <c r="EZV33" s="47"/>
      <c r="EZW33" s="47"/>
      <c r="EZX33" s="47"/>
      <c r="EZY33" s="47"/>
      <c r="EZZ33" s="47"/>
      <c r="FAA33" s="47"/>
      <c r="FAB33" s="47"/>
      <c r="FAC33" s="47"/>
      <c r="FAD33" s="47"/>
      <c r="FAE33" s="47"/>
      <c r="FAF33" s="47"/>
      <c r="FAG33" s="47"/>
      <c r="FAH33" s="47"/>
      <c r="FAI33" s="47"/>
      <c r="FAJ33" s="47"/>
      <c r="FAK33" s="47"/>
      <c r="FAL33" s="47"/>
      <c r="FAM33" s="47"/>
      <c r="FAN33" s="47"/>
      <c r="FAO33" s="47"/>
      <c r="FAP33" s="47"/>
      <c r="FAQ33" s="47"/>
      <c r="FAR33" s="47"/>
      <c r="FAS33" s="47"/>
      <c r="FAT33" s="47"/>
      <c r="FAU33" s="47"/>
      <c r="FAV33" s="47"/>
      <c r="FAW33" s="47"/>
      <c r="FAX33" s="47"/>
      <c r="FAY33" s="47"/>
      <c r="FAZ33" s="47"/>
      <c r="FBA33" s="47"/>
      <c r="FBB33" s="47"/>
      <c r="FBC33" s="47"/>
      <c r="FBD33" s="47"/>
      <c r="FBE33" s="47"/>
      <c r="FBF33" s="47"/>
      <c r="FBG33" s="47"/>
      <c r="FBH33" s="47"/>
      <c r="FBI33" s="47"/>
      <c r="FBJ33" s="47"/>
      <c r="FBK33" s="47"/>
      <c r="FBL33" s="47"/>
      <c r="FBM33" s="47"/>
      <c r="FBN33" s="47"/>
      <c r="FBO33" s="47"/>
      <c r="FBP33" s="47"/>
      <c r="FBQ33" s="47"/>
      <c r="FBR33" s="47"/>
      <c r="FBS33" s="47"/>
      <c r="FBT33" s="47"/>
      <c r="FBU33" s="47"/>
      <c r="FBV33" s="47"/>
      <c r="FBW33" s="47"/>
      <c r="FBX33" s="47"/>
      <c r="FBY33" s="47"/>
      <c r="FBZ33" s="47"/>
      <c r="FCA33" s="47"/>
      <c r="FCB33" s="47"/>
      <c r="FCC33" s="47"/>
      <c r="FCD33" s="47"/>
      <c r="FCE33" s="47"/>
      <c r="FCF33" s="47"/>
      <c r="FCG33" s="47"/>
      <c r="FCH33" s="47"/>
      <c r="FCI33" s="47"/>
      <c r="FCJ33" s="47"/>
      <c r="FCK33" s="47"/>
      <c r="FCL33" s="47"/>
      <c r="FCM33" s="47"/>
      <c r="FCN33" s="47"/>
      <c r="FCO33" s="47"/>
      <c r="FCP33" s="47"/>
      <c r="FCQ33" s="47"/>
      <c r="FCR33" s="47"/>
      <c r="FCS33" s="47"/>
      <c r="FCT33" s="47"/>
      <c r="FCU33" s="47"/>
      <c r="FCV33" s="47"/>
      <c r="FCW33" s="47"/>
      <c r="FCX33" s="47"/>
      <c r="FCY33" s="47"/>
      <c r="FCZ33" s="47"/>
      <c r="FDA33" s="47"/>
      <c r="FDB33" s="47"/>
      <c r="FDC33" s="47"/>
      <c r="FDD33" s="47"/>
      <c r="FDE33" s="47"/>
      <c r="FDF33" s="47"/>
      <c r="FDG33" s="47"/>
      <c r="FDH33" s="47"/>
      <c r="FDI33" s="47"/>
      <c r="FDJ33" s="47"/>
      <c r="FDK33" s="47"/>
      <c r="FDL33" s="47"/>
      <c r="FDM33" s="47"/>
      <c r="FDN33" s="47"/>
      <c r="FDO33" s="47"/>
      <c r="FDP33" s="47"/>
      <c r="FDQ33" s="47"/>
      <c r="FDR33" s="47"/>
      <c r="FDS33" s="47"/>
      <c r="FDT33" s="47"/>
      <c r="FDU33" s="47"/>
      <c r="FDV33" s="47"/>
      <c r="FDW33" s="47"/>
      <c r="FDX33" s="47"/>
      <c r="FDY33" s="47"/>
      <c r="FDZ33" s="47"/>
      <c r="FEA33" s="47"/>
      <c r="FEB33" s="47"/>
      <c r="FEC33" s="47"/>
      <c r="FED33" s="47"/>
      <c r="FEE33" s="47"/>
      <c r="FEF33" s="47"/>
      <c r="FEG33" s="47"/>
      <c r="FEH33" s="47"/>
      <c r="FEI33" s="47"/>
      <c r="FEJ33" s="47"/>
      <c r="FEK33" s="47"/>
      <c r="FEL33" s="47"/>
      <c r="FEM33" s="47"/>
      <c r="FEN33" s="47"/>
      <c r="FEO33" s="47"/>
      <c r="FEP33" s="47"/>
      <c r="FEQ33" s="47"/>
      <c r="FER33" s="47"/>
      <c r="FES33" s="47"/>
      <c r="FET33" s="47"/>
      <c r="FEU33" s="47"/>
      <c r="FEV33" s="47"/>
      <c r="FEW33" s="47"/>
      <c r="FEX33" s="47"/>
      <c r="FEY33" s="47"/>
      <c r="FEZ33" s="47"/>
      <c r="FFA33" s="47"/>
      <c r="FFB33" s="47"/>
      <c r="FFC33" s="47"/>
      <c r="FFD33" s="47"/>
      <c r="FFE33" s="47"/>
      <c r="FFF33" s="47"/>
      <c r="FFG33" s="47"/>
      <c r="FFH33" s="47"/>
      <c r="FFI33" s="47"/>
      <c r="FFJ33" s="47"/>
      <c r="FFK33" s="47"/>
      <c r="FFL33" s="47"/>
      <c r="FFM33" s="47"/>
      <c r="FFN33" s="47"/>
      <c r="FFO33" s="47"/>
      <c r="FFP33" s="47"/>
      <c r="FFQ33" s="47"/>
      <c r="FFR33" s="47"/>
      <c r="FFS33" s="47"/>
      <c r="FFT33" s="47"/>
      <c r="FFU33" s="47"/>
      <c r="FFV33" s="47"/>
      <c r="FFW33" s="47"/>
      <c r="FFX33" s="47"/>
      <c r="FFY33" s="47"/>
      <c r="FFZ33" s="47"/>
      <c r="FGA33" s="47"/>
      <c r="FGB33" s="47"/>
      <c r="FGC33" s="47"/>
      <c r="FGD33" s="47"/>
      <c r="FGE33" s="47"/>
      <c r="FGF33" s="47"/>
      <c r="FGG33" s="47"/>
      <c r="FGH33" s="47"/>
      <c r="FGI33" s="47"/>
      <c r="FGJ33" s="47"/>
      <c r="FGK33" s="47"/>
      <c r="FGL33" s="47"/>
      <c r="FGM33" s="47"/>
      <c r="FGN33" s="47"/>
      <c r="FGO33" s="47"/>
      <c r="FGP33" s="47"/>
      <c r="FGQ33" s="47"/>
      <c r="FGR33" s="47"/>
      <c r="FGS33" s="47"/>
      <c r="FGT33" s="47"/>
      <c r="FGU33" s="47"/>
      <c r="FGV33" s="47"/>
      <c r="FGW33" s="47"/>
      <c r="FGX33" s="47"/>
      <c r="FGY33" s="47"/>
      <c r="FGZ33" s="47"/>
      <c r="FHA33" s="47"/>
      <c r="FHB33" s="47"/>
      <c r="FHC33" s="47"/>
      <c r="FHD33" s="47"/>
      <c r="FHE33" s="47"/>
      <c r="FHF33" s="47"/>
      <c r="FHG33" s="47"/>
      <c r="FHH33" s="47"/>
      <c r="FHI33" s="47"/>
      <c r="FHJ33" s="47"/>
      <c r="FHK33" s="47"/>
      <c r="FHL33" s="47"/>
      <c r="FHM33" s="47"/>
      <c r="FHN33" s="47"/>
      <c r="FHO33" s="47"/>
      <c r="FHP33" s="47"/>
      <c r="FHQ33" s="47"/>
      <c r="FHR33" s="47"/>
      <c r="FHS33" s="47"/>
      <c r="FHT33" s="47"/>
      <c r="FHU33" s="47"/>
      <c r="FHV33" s="47"/>
      <c r="FHW33" s="47"/>
      <c r="FHX33" s="47"/>
      <c r="FHY33" s="47"/>
      <c r="FHZ33" s="47"/>
      <c r="FIA33" s="47"/>
      <c r="FIB33" s="47"/>
      <c r="FIC33" s="47"/>
      <c r="FID33" s="47"/>
      <c r="FIE33" s="47"/>
      <c r="FIF33" s="47"/>
      <c r="FIG33" s="47"/>
      <c r="FIH33" s="47"/>
      <c r="FII33" s="47"/>
      <c r="FIJ33" s="47"/>
      <c r="FIK33" s="47"/>
      <c r="FIL33" s="47"/>
      <c r="FIM33" s="47"/>
      <c r="FIN33" s="47"/>
      <c r="FIO33" s="47"/>
      <c r="FIP33" s="47"/>
      <c r="FIQ33" s="47"/>
      <c r="FIR33" s="47"/>
      <c r="FIS33" s="47"/>
      <c r="FIT33" s="47"/>
      <c r="FIU33" s="47"/>
      <c r="FIV33" s="47"/>
      <c r="FIW33" s="47"/>
      <c r="FIX33" s="47"/>
      <c r="FIY33" s="47"/>
      <c r="FIZ33" s="47"/>
      <c r="FJA33" s="47"/>
      <c r="FJB33" s="47"/>
      <c r="FJC33" s="47"/>
      <c r="FJD33" s="47"/>
      <c r="FJE33" s="47"/>
      <c r="FJF33" s="47"/>
      <c r="FJG33" s="47"/>
      <c r="FJH33" s="47"/>
      <c r="FJI33" s="47"/>
      <c r="FJJ33" s="47"/>
      <c r="FJK33" s="47"/>
      <c r="FJL33" s="47"/>
      <c r="FJM33" s="47"/>
      <c r="FJN33" s="47"/>
      <c r="FJO33" s="47"/>
      <c r="FJP33" s="47"/>
      <c r="FJQ33" s="47"/>
      <c r="FJR33" s="47"/>
      <c r="FJS33" s="47"/>
      <c r="FJT33" s="47"/>
      <c r="FJU33" s="47"/>
      <c r="FJV33" s="47"/>
      <c r="FJW33" s="47"/>
      <c r="FJX33" s="47"/>
      <c r="FJY33" s="47"/>
      <c r="FJZ33" s="47"/>
      <c r="FKA33" s="47"/>
      <c r="FKB33" s="47"/>
      <c r="FKC33" s="47"/>
      <c r="FKD33" s="47"/>
      <c r="FKE33" s="47"/>
      <c r="FKF33" s="47"/>
      <c r="FKG33" s="47"/>
      <c r="FKH33" s="47"/>
      <c r="FKI33" s="47"/>
      <c r="FKJ33" s="47"/>
      <c r="FKK33" s="47"/>
      <c r="FKL33" s="47"/>
      <c r="FKM33" s="47"/>
      <c r="FKN33" s="47"/>
      <c r="FKO33" s="47"/>
      <c r="FKP33" s="47"/>
      <c r="FKQ33" s="47"/>
      <c r="FKR33" s="47"/>
      <c r="FKS33" s="47"/>
      <c r="FKT33" s="47"/>
      <c r="FKU33" s="47"/>
      <c r="FKV33" s="47"/>
      <c r="FKW33" s="47"/>
      <c r="FKX33" s="47"/>
      <c r="FKY33" s="47"/>
      <c r="FKZ33" s="47"/>
      <c r="FLA33" s="47"/>
      <c r="FLB33" s="47"/>
      <c r="FLC33" s="47"/>
      <c r="FLD33" s="47"/>
      <c r="FLE33" s="47"/>
      <c r="FLF33" s="47"/>
      <c r="FLG33" s="47"/>
      <c r="FLH33" s="47"/>
      <c r="FLI33" s="47"/>
      <c r="FLJ33" s="47"/>
      <c r="FLK33" s="47"/>
      <c r="FLL33" s="47"/>
      <c r="FLM33" s="47"/>
      <c r="FLN33" s="47"/>
      <c r="FLO33" s="47"/>
      <c r="FLP33" s="47"/>
      <c r="FLQ33" s="47"/>
      <c r="FLR33" s="47"/>
      <c r="FLS33" s="47"/>
      <c r="FLT33" s="47"/>
      <c r="FLU33" s="47"/>
      <c r="FLV33" s="47"/>
      <c r="FLW33" s="47"/>
      <c r="FLX33" s="47"/>
      <c r="FLY33" s="47"/>
      <c r="FLZ33" s="47"/>
      <c r="FMA33" s="47"/>
      <c r="FMB33" s="47"/>
      <c r="FMC33" s="47"/>
      <c r="FMD33" s="47"/>
      <c r="FME33" s="47"/>
      <c r="FMF33" s="47"/>
      <c r="FMG33" s="47"/>
      <c r="FMH33" s="47"/>
      <c r="FMI33" s="47"/>
      <c r="FMJ33" s="47"/>
      <c r="FMK33" s="47"/>
      <c r="FML33" s="47"/>
      <c r="FMM33" s="47"/>
      <c r="FMN33" s="47"/>
      <c r="FMO33" s="47"/>
      <c r="FMP33" s="47"/>
      <c r="FMQ33" s="47"/>
      <c r="FMR33" s="47"/>
      <c r="FMS33" s="47"/>
      <c r="FMT33" s="47"/>
      <c r="FMU33" s="47"/>
      <c r="FMV33" s="47"/>
      <c r="FMW33" s="47"/>
      <c r="FMX33" s="47"/>
      <c r="FMY33" s="47"/>
      <c r="FMZ33" s="47"/>
      <c r="FNA33" s="47"/>
      <c r="FNB33" s="47"/>
      <c r="FNC33" s="47"/>
      <c r="FND33" s="47"/>
      <c r="FNE33" s="47"/>
      <c r="FNF33" s="47"/>
      <c r="FNG33" s="47"/>
      <c r="FNH33" s="47"/>
      <c r="FNI33" s="47"/>
      <c r="FNJ33" s="47"/>
      <c r="FNK33" s="47"/>
      <c r="FNL33" s="47"/>
      <c r="FNM33" s="47"/>
      <c r="FNN33" s="47"/>
      <c r="FNO33" s="47"/>
      <c r="FNP33" s="47"/>
      <c r="FNQ33" s="47"/>
      <c r="FNR33" s="47"/>
      <c r="FNS33" s="47"/>
      <c r="FNT33" s="47"/>
      <c r="FNU33" s="47"/>
      <c r="FNV33" s="47"/>
      <c r="FNW33" s="47"/>
      <c r="FNX33" s="47"/>
      <c r="FNY33" s="47"/>
      <c r="FNZ33" s="47"/>
      <c r="FOA33" s="47"/>
      <c r="FOB33" s="47"/>
      <c r="FOC33" s="47"/>
      <c r="FOD33" s="47"/>
      <c r="FOE33" s="47"/>
      <c r="FOF33" s="47"/>
      <c r="FOG33" s="47"/>
      <c r="FOH33" s="47"/>
      <c r="FOI33" s="47"/>
      <c r="FOJ33" s="47"/>
      <c r="FOK33" s="47"/>
      <c r="FOL33" s="47"/>
      <c r="FOM33" s="47"/>
      <c r="FON33" s="47"/>
      <c r="FOO33" s="47"/>
      <c r="FOP33" s="47"/>
      <c r="FOQ33" s="47"/>
      <c r="FOR33" s="47"/>
      <c r="FOS33" s="47"/>
      <c r="FOT33" s="47"/>
      <c r="FOU33" s="47"/>
      <c r="FOV33" s="47"/>
      <c r="FOW33" s="47"/>
      <c r="FOX33" s="47"/>
      <c r="FOY33" s="47"/>
      <c r="FOZ33" s="47"/>
      <c r="FPA33" s="47"/>
      <c r="FPB33" s="47"/>
      <c r="FPC33" s="47"/>
      <c r="FPD33" s="47"/>
      <c r="FPE33" s="47"/>
      <c r="FPF33" s="47"/>
      <c r="FPG33" s="47"/>
      <c r="FPH33" s="47"/>
      <c r="FPI33" s="47"/>
      <c r="FPJ33" s="47"/>
      <c r="FPK33" s="47"/>
      <c r="FPL33" s="47"/>
      <c r="FPM33" s="47"/>
      <c r="FPN33" s="47"/>
      <c r="FPO33" s="47"/>
      <c r="FPP33" s="47"/>
      <c r="FPQ33" s="47"/>
      <c r="FPR33" s="47"/>
      <c r="FPS33" s="47"/>
      <c r="FPT33" s="47"/>
      <c r="FPU33" s="47"/>
      <c r="FPV33" s="47"/>
      <c r="FPW33" s="47"/>
      <c r="FPX33" s="47"/>
      <c r="FPY33" s="47"/>
      <c r="FPZ33" s="47"/>
      <c r="FQA33" s="47"/>
      <c r="FQB33" s="47"/>
      <c r="FQC33" s="47"/>
      <c r="FQD33" s="47"/>
      <c r="FQE33" s="47"/>
      <c r="FQF33" s="47"/>
      <c r="FQG33" s="47"/>
      <c r="FQH33" s="47"/>
      <c r="FQI33" s="47"/>
      <c r="FQJ33" s="47"/>
      <c r="FQK33" s="47"/>
      <c r="FQL33" s="47"/>
      <c r="FQM33" s="47"/>
      <c r="FQN33" s="47"/>
      <c r="FQO33" s="47"/>
      <c r="FQP33" s="47"/>
      <c r="FQQ33" s="47"/>
      <c r="FQR33" s="47"/>
      <c r="FQS33" s="47"/>
      <c r="FQT33" s="47"/>
      <c r="FQU33" s="47"/>
      <c r="FQV33" s="47"/>
      <c r="FQW33" s="47"/>
      <c r="FQX33" s="47"/>
      <c r="FQY33" s="47"/>
      <c r="FQZ33" s="47"/>
      <c r="FRA33" s="47"/>
      <c r="FRB33" s="47"/>
      <c r="FRC33" s="47"/>
      <c r="FRD33" s="47"/>
      <c r="FRE33" s="47"/>
      <c r="FRF33" s="47"/>
      <c r="FRG33" s="47"/>
      <c r="FRH33" s="47"/>
      <c r="FRI33" s="47"/>
      <c r="FRJ33" s="47"/>
      <c r="FRK33" s="47"/>
      <c r="FRL33" s="47"/>
      <c r="FRM33" s="47"/>
      <c r="FRN33" s="47"/>
      <c r="FRO33" s="47"/>
      <c r="FRP33" s="47"/>
      <c r="FRQ33" s="47"/>
      <c r="FRR33" s="47"/>
      <c r="FRS33" s="47"/>
      <c r="FRT33" s="47"/>
      <c r="FRU33" s="47"/>
      <c r="FRV33" s="47"/>
      <c r="FRW33" s="47"/>
      <c r="FRX33" s="47"/>
      <c r="FRY33" s="47"/>
      <c r="FRZ33" s="47"/>
      <c r="FSA33" s="47"/>
      <c r="FSB33" s="47"/>
      <c r="FSC33" s="47"/>
      <c r="FSD33" s="47"/>
      <c r="FSE33" s="47"/>
      <c r="FSF33" s="47"/>
      <c r="FSG33" s="47"/>
      <c r="FSH33" s="47"/>
      <c r="FSI33" s="47"/>
      <c r="FSJ33" s="47"/>
      <c r="FSK33" s="47"/>
      <c r="FSL33" s="47"/>
      <c r="FSM33" s="47"/>
      <c r="FSN33" s="47"/>
      <c r="FSO33" s="47"/>
      <c r="FSP33" s="47"/>
      <c r="FSQ33" s="47"/>
      <c r="FSR33" s="47"/>
      <c r="FSS33" s="47"/>
      <c r="FST33" s="47"/>
      <c r="FSU33" s="47"/>
      <c r="FSV33" s="47"/>
      <c r="FSW33" s="47"/>
      <c r="FSX33" s="47"/>
      <c r="FSY33" s="47"/>
      <c r="FSZ33" s="47"/>
      <c r="FTA33" s="47"/>
      <c r="FTB33" s="47"/>
      <c r="FTC33" s="47"/>
      <c r="FTD33" s="47"/>
      <c r="FTE33" s="47"/>
      <c r="FTF33" s="47"/>
      <c r="FTG33" s="47"/>
      <c r="FTH33" s="47"/>
      <c r="FTI33" s="47"/>
      <c r="FTJ33" s="47"/>
      <c r="FTK33" s="47"/>
      <c r="FTL33" s="47"/>
      <c r="FTM33" s="47"/>
      <c r="FTN33" s="47"/>
      <c r="FTO33" s="47"/>
      <c r="FTP33" s="47"/>
      <c r="FTQ33" s="47"/>
      <c r="FTR33" s="47"/>
      <c r="FTS33" s="47"/>
      <c r="FTT33" s="47"/>
      <c r="FTU33" s="47"/>
      <c r="FTV33" s="47"/>
      <c r="FTW33" s="47"/>
      <c r="FTX33" s="47"/>
      <c r="FTY33" s="47"/>
      <c r="FTZ33" s="47"/>
      <c r="FUA33" s="47"/>
      <c r="FUB33" s="47"/>
      <c r="FUC33" s="47"/>
      <c r="FUD33" s="47"/>
      <c r="FUE33" s="47"/>
      <c r="FUF33" s="47"/>
      <c r="FUG33" s="47"/>
      <c r="FUH33" s="47"/>
      <c r="FUI33" s="47"/>
      <c r="FUJ33" s="47"/>
      <c r="FUK33" s="47"/>
      <c r="FUL33" s="47"/>
      <c r="FUM33" s="47"/>
      <c r="FUN33" s="47"/>
      <c r="FUO33" s="47"/>
      <c r="FUP33" s="47"/>
      <c r="FUQ33" s="47"/>
      <c r="FUR33" s="47"/>
      <c r="FUS33" s="47"/>
      <c r="FUT33" s="47"/>
      <c r="FUU33" s="47"/>
      <c r="FUV33" s="47"/>
      <c r="FUW33" s="47"/>
      <c r="FUX33" s="47"/>
      <c r="FUY33" s="47"/>
      <c r="FUZ33" s="47"/>
      <c r="FVA33" s="47"/>
      <c r="FVB33" s="47"/>
      <c r="FVC33" s="47"/>
      <c r="FVD33" s="47"/>
      <c r="FVE33" s="47"/>
      <c r="FVF33" s="47"/>
      <c r="FVG33" s="47"/>
      <c r="FVH33" s="47"/>
      <c r="FVI33" s="47"/>
      <c r="FVJ33" s="47"/>
      <c r="FVK33" s="47"/>
      <c r="FVL33" s="47"/>
      <c r="FVM33" s="47"/>
      <c r="FVN33" s="47"/>
      <c r="FVO33" s="47"/>
      <c r="FVP33" s="47"/>
      <c r="FVQ33" s="47"/>
      <c r="FVR33" s="47"/>
      <c r="FVS33" s="47"/>
      <c r="FVT33" s="47"/>
      <c r="FVU33" s="47"/>
      <c r="FVV33" s="47"/>
      <c r="FVW33" s="47"/>
      <c r="FVX33" s="47"/>
      <c r="FVY33" s="47"/>
      <c r="FVZ33" s="47"/>
      <c r="FWA33" s="47"/>
      <c r="FWB33" s="47"/>
      <c r="FWC33" s="47"/>
      <c r="FWD33" s="47"/>
      <c r="FWE33" s="47"/>
      <c r="FWF33" s="47"/>
      <c r="FWG33" s="47"/>
      <c r="FWH33" s="47"/>
      <c r="FWI33" s="47"/>
      <c r="FWJ33" s="47"/>
      <c r="FWK33" s="47"/>
      <c r="FWL33" s="47"/>
      <c r="FWM33" s="47"/>
      <c r="FWN33" s="47"/>
      <c r="FWO33" s="47"/>
      <c r="FWP33" s="47"/>
      <c r="FWQ33" s="47"/>
      <c r="FWR33" s="47"/>
      <c r="FWS33" s="47"/>
      <c r="FWT33" s="47"/>
      <c r="FWU33" s="47"/>
      <c r="FWV33" s="47"/>
      <c r="FWW33" s="47"/>
      <c r="FWX33" s="47"/>
      <c r="FWY33" s="47"/>
      <c r="FWZ33" s="47"/>
      <c r="FXA33" s="47"/>
      <c r="FXB33" s="47"/>
      <c r="FXC33" s="47"/>
      <c r="FXD33" s="47"/>
      <c r="FXE33" s="47"/>
      <c r="FXF33" s="47"/>
      <c r="FXG33" s="47"/>
      <c r="FXH33" s="47"/>
      <c r="FXI33" s="47"/>
      <c r="FXJ33" s="47"/>
      <c r="FXK33" s="47"/>
      <c r="FXL33" s="47"/>
      <c r="FXM33" s="47"/>
      <c r="FXN33" s="47"/>
      <c r="FXO33" s="47"/>
      <c r="FXP33" s="47"/>
      <c r="FXQ33" s="47"/>
      <c r="FXR33" s="47"/>
      <c r="FXS33" s="47"/>
      <c r="FXT33" s="47"/>
      <c r="FXU33" s="47"/>
      <c r="FXV33" s="47"/>
      <c r="FXW33" s="47"/>
      <c r="FXX33" s="47"/>
      <c r="FXY33" s="47"/>
      <c r="FXZ33" s="47"/>
      <c r="FYA33" s="47"/>
      <c r="FYB33" s="47"/>
      <c r="FYC33" s="47"/>
      <c r="FYD33" s="47"/>
      <c r="FYE33" s="47"/>
      <c r="FYF33" s="47"/>
      <c r="FYG33" s="47"/>
      <c r="FYH33" s="47"/>
      <c r="FYI33" s="47"/>
      <c r="FYJ33" s="47"/>
      <c r="FYK33" s="47"/>
      <c r="FYL33" s="47"/>
      <c r="FYM33" s="47"/>
      <c r="FYN33" s="47"/>
      <c r="FYO33" s="47"/>
      <c r="FYP33" s="47"/>
      <c r="FYQ33" s="47"/>
      <c r="FYR33" s="47"/>
      <c r="FYS33" s="47"/>
      <c r="FYT33" s="47"/>
      <c r="FYU33" s="47"/>
      <c r="FYV33" s="47"/>
      <c r="FYW33" s="47"/>
      <c r="FYX33" s="47"/>
      <c r="FYY33" s="47"/>
      <c r="FYZ33" s="47"/>
      <c r="FZA33" s="47"/>
      <c r="FZB33" s="47"/>
      <c r="FZC33" s="47"/>
      <c r="FZD33" s="47"/>
      <c r="FZE33" s="47"/>
      <c r="FZF33" s="47"/>
      <c r="FZG33" s="47"/>
      <c r="FZH33" s="47"/>
      <c r="FZI33" s="47"/>
      <c r="FZJ33" s="47"/>
      <c r="FZK33" s="47"/>
      <c r="FZL33" s="47"/>
      <c r="FZM33" s="47"/>
      <c r="FZN33" s="47"/>
      <c r="FZO33" s="47"/>
      <c r="FZP33" s="47"/>
      <c r="FZQ33" s="47"/>
      <c r="FZR33" s="47"/>
      <c r="FZS33" s="47"/>
      <c r="FZT33" s="47"/>
      <c r="FZU33" s="47"/>
      <c r="FZV33" s="47"/>
      <c r="FZW33" s="47"/>
      <c r="FZX33" s="47"/>
      <c r="FZY33" s="47"/>
      <c r="FZZ33" s="47"/>
      <c r="GAA33" s="47"/>
      <c r="GAB33" s="47"/>
      <c r="GAC33" s="47"/>
      <c r="GAD33" s="47"/>
      <c r="GAE33" s="47"/>
      <c r="GAF33" s="47"/>
      <c r="GAG33" s="47"/>
      <c r="GAH33" s="47"/>
      <c r="GAI33" s="47"/>
      <c r="GAJ33" s="47"/>
      <c r="GAK33" s="47"/>
      <c r="GAL33" s="47"/>
      <c r="GAM33" s="47"/>
      <c r="GAN33" s="47"/>
      <c r="GAO33" s="47"/>
      <c r="GAP33" s="47"/>
      <c r="GAQ33" s="47"/>
      <c r="GAR33" s="47"/>
      <c r="GAS33" s="47"/>
      <c r="GAT33" s="47"/>
      <c r="GAU33" s="47"/>
      <c r="GAV33" s="47"/>
      <c r="GAW33" s="47"/>
      <c r="GAX33" s="47"/>
      <c r="GAY33" s="47"/>
      <c r="GAZ33" s="47"/>
      <c r="GBA33" s="47"/>
      <c r="GBB33" s="47"/>
      <c r="GBC33" s="47"/>
      <c r="GBD33" s="47"/>
      <c r="GBE33" s="47"/>
      <c r="GBF33" s="47"/>
      <c r="GBG33" s="47"/>
      <c r="GBH33" s="47"/>
      <c r="GBI33" s="47"/>
      <c r="GBJ33" s="47"/>
      <c r="GBK33" s="47"/>
      <c r="GBL33" s="47"/>
      <c r="GBM33" s="47"/>
      <c r="GBN33" s="47"/>
      <c r="GBO33" s="47"/>
      <c r="GBP33" s="47"/>
      <c r="GBQ33" s="47"/>
      <c r="GBR33" s="47"/>
      <c r="GBS33" s="47"/>
      <c r="GBT33" s="47"/>
      <c r="GBU33" s="47"/>
      <c r="GBV33" s="47"/>
      <c r="GBW33" s="47"/>
      <c r="GBX33" s="47"/>
      <c r="GBY33" s="47"/>
      <c r="GBZ33" s="47"/>
      <c r="GCA33" s="47"/>
      <c r="GCB33" s="47"/>
      <c r="GCC33" s="47"/>
      <c r="GCD33" s="47"/>
      <c r="GCE33" s="47"/>
      <c r="GCF33" s="47"/>
      <c r="GCG33" s="47"/>
      <c r="GCH33" s="47"/>
      <c r="GCI33" s="47"/>
      <c r="GCJ33" s="47"/>
      <c r="GCK33" s="47"/>
      <c r="GCL33" s="47"/>
      <c r="GCM33" s="47"/>
      <c r="GCN33" s="47"/>
      <c r="GCO33" s="47"/>
      <c r="GCP33" s="47"/>
      <c r="GCQ33" s="47"/>
      <c r="GCR33" s="47"/>
      <c r="GCS33" s="47"/>
      <c r="GCT33" s="47"/>
      <c r="GCU33" s="47"/>
      <c r="GCV33" s="47"/>
      <c r="GCW33" s="47"/>
      <c r="GCX33" s="47"/>
      <c r="GCY33" s="47"/>
      <c r="GCZ33" s="47"/>
      <c r="GDA33" s="47"/>
      <c r="GDB33" s="47"/>
      <c r="GDC33" s="47"/>
      <c r="GDD33" s="47"/>
      <c r="GDE33" s="47"/>
      <c r="GDF33" s="47"/>
      <c r="GDG33" s="47"/>
      <c r="GDH33" s="47"/>
      <c r="GDI33" s="47"/>
      <c r="GDJ33" s="47"/>
      <c r="GDK33" s="47"/>
      <c r="GDL33" s="47"/>
      <c r="GDM33" s="47"/>
      <c r="GDN33" s="47"/>
      <c r="GDO33" s="47"/>
      <c r="GDP33" s="47"/>
      <c r="GDQ33" s="47"/>
      <c r="GDR33" s="47"/>
      <c r="GDS33" s="47"/>
      <c r="GDT33" s="47"/>
      <c r="GDU33" s="47"/>
      <c r="GDV33" s="47"/>
      <c r="GDW33" s="47"/>
      <c r="GDX33" s="47"/>
      <c r="GDY33" s="47"/>
      <c r="GDZ33" s="47"/>
      <c r="GEA33" s="47"/>
      <c r="GEB33" s="47"/>
      <c r="GEC33" s="47"/>
      <c r="GED33" s="47"/>
      <c r="GEE33" s="47"/>
      <c r="GEF33" s="47"/>
      <c r="GEG33" s="47"/>
      <c r="GEH33" s="47"/>
      <c r="GEI33" s="47"/>
      <c r="GEJ33" s="47"/>
      <c r="GEK33" s="47"/>
      <c r="GEL33" s="47"/>
      <c r="GEM33" s="47"/>
      <c r="GEN33" s="47"/>
      <c r="GEO33" s="47"/>
      <c r="GEP33" s="47"/>
      <c r="GEQ33" s="47"/>
      <c r="GER33" s="47"/>
      <c r="GES33" s="47"/>
      <c r="GET33" s="47"/>
      <c r="GEU33" s="47"/>
      <c r="GEV33" s="47"/>
      <c r="GEW33" s="47"/>
      <c r="GEX33" s="47"/>
      <c r="GEY33" s="47"/>
      <c r="GEZ33" s="47"/>
      <c r="GFA33" s="47"/>
      <c r="GFB33" s="47"/>
      <c r="GFC33" s="47"/>
      <c r="GFD33" s="47"/>
      <c r="GFE33" s="47"/>
      <c r="GFF33" s="47"/>
      <c r="GFG33" s="47"/>
      <c r="GFH33" s="47"/>
      <c r="GFI33" s="47"/>
      <c r="GFJ33" s="47"/>
      <c r="GFK33" s="47"/>
      <c r="GFL33" s="47"/>
      <c r="GFM33" s="47"/>
      <c r="GFN33" s="47"/>
      <c r="GFO33" s="47"/>
      <c r="GFP33" s="47"/>
      <c r="GFQ33" s="47"/>
      <c r="GFR33" s="47"/>
      <c r="GFS33" s="47"/>
      <c r="GFT33" s="47"/>
      <c r="GFU33" s="47"/>
      <c r="GFV33" s="47"/>
      <c r="GFW33" s="47"/>
      <c r="GFX33" s="47"/>
      <c r="GFY33" s="47"/>
      <c r="GFZ33" s="47"/>
      <c r="GGA33" s="47"/>
      <c r="GGB33" s="47"/>
      <c r="GGC33" s="47"/>
      <c r="GGD33" s="47"/>
      <c r="GGE33" s="47"/>
      <c r="GGF33" s="47"/>
      <c r="GGG33" s="47"/>
      <c r="GGH33" s="47"/>
      <c r="GGI33" s="47"/>
      <c r="GGJ33" s="47"/>
      <c r="GGK33" s="47"/>
      <c r="GGL33" s="47"/>
      <c r="GGM33" s="47"/>
      <c r="GGN33" s="47"/>
      <c r="GGO33" s="47"/>
      <c r="GGP33" s="47"/>
      <c r="GGQ33" s="47"/>
      <c r="GGR33" s="47"/>
      <c r="GGS33" s="47"/>
      <c r="GGT33" s="47"/>
      <c r="GGU33" s="47"/>
      <c r="GGV33" s="47"/>
      <c r="GGW33" s="47"/>
      <c r="GGX33" s="47"/>
      <c r="GGY33" s="47"/>
      <c r="GGZ33" s="47"/>
      <c r="GHA33" s="47"/>
      <c r="GHB33" s="47"/>
      <c r="GHC33" s="47"/>
      <c r="GHD33" s="47"/>
      <c r="GHE33" s="47"/>
      <c r="GHF33" s="47"/>
      <c r="GHG33" s="47"/>
      <c r="GHH33" s="47"/>
      <c r="GHI33" s="47"/>
      <c r="GHJ33" s="47"/>
      <c r="GHK33" s="47"/>
      <c r="GHL33" s="47"/>
      <c r="GHM33" s="47"/>
      <c r="GHN33" s="47"/>
      <c r="GHO33" s="47"/>
      <c r="GHP33" s="47"/>
      <c r="GHQ33" s="47"/>
      <c r="GHR33" s="47"/>
      <c r="GHS33" s="47"/>
      <c r="GHT33" s="47"/>
      <c r="GHU33" s="47"/>
      <c r="GHV33" s="47"/>
      <c r="GHW33" s="47"/>
      <c r="GHX33" s="47"/>
      <c r="GHY33" s="47"/>
      <c r="GHZ33" s="47"/>
      <c r="GIA33" s="47"/>
      <c r="GIB33" s="47"/>
      <c r="GIC33" s="47"/>
      <c r="GID33" s="47"/>
      <c r="GIE33" s="47"/>
      <c r="GIF33" s="47"/>
      <c r="GIG33" s="47"/>
      <c r="GIH33" s="47"/>
      <c r="GII33" s="47"/>
      <c r="GIJ33" s="47"/>
      <c r="GIK33" s="47"/>
      <c r="GIL33" s="47"/>
      <c r="GIM33" s="47"/>
      <c r="GIN33" s="47"/>
      <c r="GIO33" s="47"/>
      <c r="GIP33" s="47"/>
      <c r="GIQ33" s="47"/>
      <c r="GIR33" s="47"/>
      <c r="GIS33" s="47"/>
      <c r="GIT33" s="47"/>
      <c r="GIU33" s="47"/>
      <c r="GIV33" s="47"/>
      <c r="GIW33" s="47"/>
      <c r="GIX33" s="47"/>
      <c r="GIY33" s="47"/>
      <c r="GIZ33" s="47"/>
      <c r="GJA33" s="47"/>
      <c r="GJB33" s="47"/>
      <c r="GJC33" s="47"/>
      <c r="GJD33" s="47"/>
      <c r="GJE33" s="47"/>
      <c r="GJF33" s="47"/>
      <c r="GJG33" s="47"/>
      <c r="GJH33" s="47"/>
      <c r="GJI33" s="47"/>
      <c r="GJJ33" s="47"/>
      <c r="GJK33" s="47"/>
      <c r="GJL33" s="47"/>
      <c r="GJM33" s="47"/>
      <c r="GJN33" s="47"/>
      <c r="GJO33" s="47"/>
      <c r="GJP33" s="47"/>
      <c r="GJQ33" s="47"/>
      <c r="GJR33" s="47"/>
      <c r="GJS33" s="47"/>
      <c r="GJT33" s="47"/>
      <c r="GJU33" s="47"/>
      <c r="GJV33" s="47"/>
      <c r="GJW33" s="47"/>
      <c r="GJX33" s="47"/>
      <c r="GJY33" s="47"/>
      <c r="GJZ33" s="47"/>
      <c r="GKA33" s="47"/>
      <c r="GKB33" s="47"/>
      <c r="GKC33" s="47"/>
      <c r="GKD33" s="47"/>
      <c r="GKE33" s="47"/>
      <c r="GKF33" s="47"/>
      <c r="GKG33" s="47"/>
      <c r="GKH33" s="47"/>
      <c r="GKI33" s="47"/>
      <c r="GKJ33" s="47"/>
      <c r="GKK33" s="47"/>
      <c r="GKL33" s="47"/>
      <c r="GKM33" s="47"/>
      <c r="GKN33" s="47"/>
      <c r="GKO33" s="47"/>
      <c r="GKP33" s="47"/>
      <c r="GKQ33" s="47"/>
      <c r="GKR33" s="47"/>
      <c r="GKS33" s="47"/>
      <c r="GKT33" s="47"/>
      <c r="GKU33" s="47"/>
      <c r="GKV33" s="47"/>
      <c r="GKW33" s="47"/>
      <c r="GKX33" s="47"/>
      <c r="GKY33" s="47"/>
      <c r="GKZ33" s="47"/>
      <c r="GLA33" s="47"/>
      <c r="GLB33" s="47"/>
      <c r="GLC33" s="47"/>
      <c r="GLD33" s="47"/>
      <c r="GLE33" s="47"/>
      <c r="GLF33" s="47"/>
      <c r="GLG33" s="47"/>
      <c r="GLH33" s="47"/>
      <c r="GLI33" s="47"/>
      <c r="GLJ33" s="47"/>
      <c r="GLK33" s="47"/>
      <c r="GLL33" s="47"/>
      <c r="GLM33" s="47"/>
      <c r="GLN33" s="47"/>
      <c r="GLO33" s="47"/>
      <c r="GLP33" s="47"/>
      <c r="GLQ33" s="47"/>
      <c r="GLR33" s="47"/>
      <c r="GLS33" s="47"/>
      <c r="GLT33" s="47"/>
      <c r="GLU33" s="47"/>
      <c r="GLV33" s="47"/>
      <c r="GLW33" s="47"/>
      <c r="GLX33" s="47"/>
      <c r="GLY33" s="47"/>
      <c r="GLZ33" s="47"/>
      <c r="GMA33" s="47"/>
      <c r="GMB33" s="47"/>
      <c r="GMC33" s="47"/>
      <c r="GMD33" s="47"/>
      <c r="GME33" s="47"/>
      <c r="GMF33" s="47"/>
      <c r="GMG33" s="47"/>
      <c r="GMH33" s="47"/>
      <c r="GMI33" s="47"/>
      <c r="GMJ33" s="47"/>
      <c r="GMK33" s="47"/>
      <c r="GML33" s="47"/>
      <c r="GMM33" s="47"/>
      <c r="GMN33" s="47"/>
      <c r="GMO33" s="47"/>
      <c r="GMP33" s="47"/>
      <c r="GMQ33" s="47"/>
      <c r="GMR33" s="47"/>
      <c r="GMS33" s="47"/>
      <c r="GMT33" s="47"/>
      <c r="GMU33" s="47"/>
      <c r="GMV33" s="47"/>
      <c r="GMW33" s="47"/>
      <c r="GMX33" s="47"/>
      <c r="GMY33" s="47"/>
      <c r="GMZ33" s="47"/>
      <c r="GNA33" s="47"/>
      <c r="GNB33" s="47"/>
      <c r="GNC33" s="47"/>
      <c r="GND33" s="47"/>
      <c r="GNE33" s="47"/>
      <c r="GNF33" s="47"/>
      <c r="GNG33" s="47"/>
      <c r="GNH33" s="47"/>
      <c r="GNI33" s="47"/>
      <c r="GNJ33" s="47"/>
      <c r="GNK33" s="47"/>
      <c r="GNL33" s="47"/>
      <c r="GNM33" s="47"/>
      <c r="GNN33" s="47"/>
      <c r="GNO33" s="47"/>
      <c r="GNP33" s="47"/>
      <c r="GNQ33" s="47"/>
      <c r="GNR33" s="47"/>
      <c r="GNS33" s="47"/>
      <c r="GNT33" s="47"/>
      <c r="GNU33" s="47"/>
      <c r="GNV33" s="47"/>
      <c r="GNW33" s="47"/>
      <c r="GNX33" s="47"/>
      <c r="GNY33" s="47"/>
      <c r="GNZ33" s="47"/>
      <c r="GOA33" s="47"/>
      <c r="GOB33" s="47"/>
      <c r="GOC33" s="47"/>
      <c r="GOD33" s="47"/>
      <c r="GOE33" s="47"/>
      <c r="GOF33" s="47"/>
      <c r="GOG33" s="47"/>
      <c r="GOH33" s="47"/>
      <c r="GOI33" s="47"/>
      <c r="GOJ33" s="47"/>
      <c r="GOK33" s="47"/>
      <c r="GOL33" s="47"/>
      <c r="GOM33" s="47"/>
      <c r="GON33" s="47"/>
      <c r="GOO33" s="47"/>
      <c r="GOP33" s="47"/>
      <c r="GOQ33" s="47"/>
      <c r="GOR33" s="47"/>
      <c r="GOS33" s="47"/>
      <c r="GOT33" s="47"/>
      <c r="GOU33" s="47"/>
      <c r="GOV33" s="47"/>
      <c r="GOW33" s="47"/>
      <c r="GOX33" s="47"/>
      <c r="GOY33" s="47"/>
      <c r="GOZ33" s="47"/>
      <c r="GPA33" s="47"/>
      <c r="GPB33" s="47"/>
      <c r="GPC33" s="47"/>
      <c r="GPD33" s="47"/>
      <c r="GPE33" s="47"/>
      <c r="GPF33" s="47"/>
      <c r="GPG33" s="47"/>
      <c r="GPH33" s="47"/>
      <c r="GPI33" s="47"/>
      <c r="GPJ33" s="47"/>
      <c r="GPK33" s="47"/>
      <c r="GPL33" s="47"/>
      <c r="GPM33" s="47"/>
      <c r="GPN33" s="47"/>
      <c r="GPO33" s="47"/>
      <c r="GPP33" s="47"/>
      <c r="GPQ33" s="47"/>
      <c r="GPR33" s="47"/>
      <c r="GPS33" s="47"/>
      <c r="GPT33" s="47"/>
      <c r="GPU33" s="47"/>
      <c r="GPV33" s="47"/>
      <c r="GPW33" s="47"/>
      <c r="GPX33" s="47"/>
      <c r="GPY33" s="47"/>
      <c r="GPZ33" s="47"/>
      <c r="GQA33" s="47"/>
      <c r="GQB33" s="47"/>
      <c r="GQC33" s="47"/>
      <c r="GQD33" s="47"/>
      <c r="GQE33" s="47"/>
      <c r="GQF33" s="47"/>
      <c r="GQG33" s="47"/>
      <c r="GQH33" s="47"/>
      <c r="GQI33" s="47"/>
      <c r="GQJ33" s="47"/>
      <c r="GQK33" s="47"/>
      <c r="GQL33" s="47"/>
      <c r="GQM33" s="47"/>
      <c r="GQN33" s="47"/>
      <c r="GQO33" s="47"/>
      <c r="GQP33" s="47"/>
      <c r="GQQ33" s="47"/>
      <c r="GQR33" s="47"/>
      <c r="GQS33" s="47"/>
      <c r="GQT33" s="47"/>
      <c r="GQU33" s="47"/>
      <c r="GQV33" s="47"/>
      <c r="GQW33" s="47"/>
      <c r="GQX33" s="47"/>
      <c r="GQY33" s="47"/>
      <c r="GQZ33" s="47"/>
      <c r="GRA33" s="47"/>
      <c r="GRB33" s="47"/>
      <c r="GRC33" s="47"/>
      <c r="GRD33" s="47"/>
      <c r="GRE33" s="47"/>
      <c r="GRF33" s="47"/>
      <c r="GRG33" s="47"/>
      <c r="GRH33" s="47"/>
      <c r="GRI33" s="47"/>
      <c r="GRJ33" s="47"/>
      <c r="GRK33" s="47"/>
      <c r="GRL33" s="47"/>
      <c r="GRM33" s="47"/>
      <c r="GRN33" s="47"/>
      <c r="GRO33" s="47"/>
      <c r="GRP33" s="47"/>
      <c r="GRQ33" s="47"/>
      <c r="GRR33" s="47"/>
      <c r="GRS33" s="47"/>
      <c r="GRT33" s="47"/>
      <c r="GRU33" s="47"/>
      <c r="GRV33" s="47"/>
      <c r="GRW33" s="47"/>
      <c r="GRX33" s="47"/>
      <c r="GRY33" s="47"/>
      <c r="GRZ33" s="47"/>
      <c r="GSA33" s="47"/>
      <c r="GSB33" s="47"/>
      <c r="GSC33" s="47"/>
      <c r="GSD33" s="47"/>
      <c r="GSE33" s="47"/>
      <c r="GSF33" s="47"/>
      <c r="GSG33" s="47"/>
      <c r="GSH33" s="47"/>
      <c r="GSI33" s="47"/>
      <c r="GSJ33" s="47"/>
      <c r="GSK33" s="47"/>
      <c r="GSL33" s="47"/>
      <c r="GSM33" s="47"/>
      <c r="GSN33" s="47"/>
      <c r="GSO33" s="47"/>
      <c r="GSP33" s="47"/>
      <c r="GSQ33" s="47"/>
      <c r="GSR33" s="47"/>
      <c r="GSS33" s="47"/>
      <c r="GST33" s="47"/>
      <c r="GSU33" s="47"/>
      <c r="GSV33" s="47"/>
      <c r="GSW33" s="47"/>
      <c r="GSX33" s="47"/>
      <c r="GSY33" s="47"/>
      <c r="GSZ33" s="47"/>
      <c r="GTA33" s="47"/>
      <c r="GTB33" s="47"/>
      <c r="GTC33" s="47"/>
      <c r="GTD33" s="47"/>
      <c r="GTE33" s="47"/>
      <c r="GTF33" s="47"/>
      <c r="GTG33" s="47"/>
      <c r="GTH33" s="47"/>
      <c r="GTI33" s="47"/>
      <c r="GTJ33" s="47"/>
      <c r="GTK33" s="47"/>
      <c r="GTL33" s="47"/>
      <c r="GTM33" s="47"/>
      <c r="GTN33" s="47"/>
      <c r="GTO33" s="47"/>
      <c r="GTP33" s="47"/>
      <c r="GTQ33" s="47"/>
      <c r="GTR33" s="47"/>
      <c r="GTS33" s="47"/>
      <c r="GTT33" s="47"/>
      <c r="GTU33" s="47"/>
      <c r="GTV33" s="47"/>
      <c r="GTW33" s="47"/>
      <c r="GTX33" s="47"/>
      <c r="GTY33" s="47"/>
      <c r="GTZ33" s="47"/>
      <c r="GUA33" s="47"/>
      <c r="GUB33" s="47"/>
      <c r="GUC33" s="47"/>
      <c r="GUD33" s="47"/>
      <c r="GUE33" s="47"/>
      <c r="GUF33" s="47"/>
      <c r="GUG33" s="47"/>
      <c r="GUH33" s="47"/>
      <c r="GUI33" s="47"/>
      <c r="GUJ33" s="47"/>
      <c r="GUK33" s="47"/>
      <c r="GUL33" s="47"/>
      <c r="GUM33" s="47"/>
      <c r="GUN33" s="47"/>
      <c r="GUO33" s="47"/>
      <c r="GUP33" s="47"/>
      <c r="GUQ33" s="47"/>
      <c r="GUR33" s="47"/>
      <c r="GUS33" s="47"/>
      <c r="GUT33" s="47"/>
      <c r="GUU33" s="47"/>
      <c r="GUV33" s="47"/>
      <c r="GUW33" s="47"/>
      <c r="GUX33" s="47"/>
      <c r="GUY33" s="47"/>
      <c r="GUZ33" s="47"/>
      <c r="GVA33" s="47"/>
      <c r="GVB33" s="47"/>
      <c r="GVC33" s="47"/>
      <c r="GVD33" s="47"/>
      <c r="GVE33" s="47"/>
      <c r="GVF33" s="47"/>
      <c r="GVG33" s="47"/>
      <c r="GVH33" s="47"/>
      <c r="GVI33" s="47"/>
      <c r="GVJ33" s="47"/>
      <c r="GVK33" s="47"/>
      <c r="GVL33" s="47"/>
      <c r="GVM33" s="47"/>
      <c r="GVN33" s="47"/>
      <c r="GVO33" s="47"/>
      <c r="GVP33" s="47"/>
      <c r="GVQ33" s="47"/>
      <c r="GVR33" s="47"/>
      <c r="GVS33" s="47"/>
      <c r="GVT33" s="47"/>
      <c r="GVU33" s="47"/>
      <c r="GVV33" s="47"/>
      <c r="GVW33" s="47"/>
      <c r="GVX33" s="47"/>
      <c r="GVY33" s="47"/>
      <c r="GVZ33" s="47"/>
      <c r="GWA33" s="47"/>
      <c r="GWB33" s="47"/>
      <c r="GWC33" s="47"/>
      <c r="GWD33" s="47"/>
      <c r="GWE33" s="47"/>
      <c r="GWF33" s="47"/>
      <c r="GWG33" s="47"/>
      <c r="GWH33" s="47"/>
      <c r="GWI33" s="47"/>
      <c r="GWJ33" s="47"/>
      <c r="GWK33" s="47"/>
      <c r="GWL33" s="47"/>
      <c r="GWM33" s="47"/>
      <c r="GWN33" s="47"/>
      <c r="GWO33" s="47"/>
      <c r="GWP33" s="47"/>
      <c r="GWQ33" s="47"/>
      <c r="GWR33" s="47"/>
      <c r="GWS33" s="47"/>
      <c r="GWT33" s="47"/>
      <c r="GWU33" s="47"/>
      <c r="GWV33" s="47"/>
      <c r="GWW33" s="47"/>
      <c r="GWX33" s="47"/>
      <c r="GWY33" s="47"/>
      <c r="GWZ33" s="47"/>
      <c r="GXA33" s="47"/>
      <c r="GXB33" s="47"/>
      <c r="GXC33" s="47"/>
      <c r="GXD33" s="47"/>
      <c r="GXE33" s="47"/>
      <c r="GXF33" s="47"/>
      <c r="GXG33" s="47"/>
      <c r="GXH33" s="47"/>
      <c r="GXI33" s="47"/>
      <c r="GXJ33" s="47"/>
      <c r="GXK33" s="47"/>
      <c r="GXL33" s="47"/>
      <c r="GXM33" s="47"/>
      <c r="GXN33" s="47"/>
      <c r="GXO33" s="47"/>
      <c r="GXP33" s="47"/>
      <c r="GXQ33" s="47"/>
      <c r="GXR33" s="47"/>
      <c r="GXS33" s="47"/>
      <c r="GXT33" s="47"/>
      <c r="GXU33" s="47"/>
      <c r="GXV33" s="47"/>
      <c r="GXW33" s="47"/>
      <c r="GXX33" s="47"/>
      <c r="GXY33" s="47"/>
      <c r="GXZ33" s="47"/>
      <c r="GYA33" s="47"/>
      <c r="GYB33" s="47"/>
      <c r="GYC33" s="47"/>
      <c r="GYD33" s="47"/>
      <c r="GYE33" s="47"/>
      <c r="GYF33" s="47"/>
      <c r="GYG33" s="47"/>
      <c r="GYH33" s="47"/>
      <c r="GYI33" s="47"/>
      <c r="GYJ33" s="47"/>
      <c r="GYK33" s="47"/>
      <c r="GYL33" s="47"/>
      <c r="GYM33" s="47"/>
      <c r="GYN33" s="47"/>
      <c r="GYO33" s="47"/>
      <c r="GYP33" s="47"/>
      <c r="GYQ33" s="47"/>
      <c r="GYR33" s="47"/>
      <c r="GYS33" s="47"/>
      <c r="GYT33" s="47"/>
      <c r="GYU33" s="47"/>
      <c r="GYV33" s="47"/>
      <c r="GYW33" s="47"/>
      <c r="GYX33" s="47"/>
      <c r="GYY33" s="47"/>
      <c r="GYZ33" s="47"/>
      <c r="GZA33" s="47"/>
      <c r="GZB33" s="47"/>
      <c r="GZC33" s="47"/>
      <c r="GZD33" s="47"/>
      <c r="GZE33" s="47"/>
      <c r="GZF33" s="47"/>
      <c r="GZG33" s="47"/>
      <c r="GZH33" s="47"/>
      <c r="GZI33" s="47"/>
      <c r="GZJ33" s="47"/>
      <c r="GZK33" s="47"/>
      <c r="GZL33" s="47"/>
      <c r="GZM33" s="47"/>
      <c r="GZN33" s="47"/>
      <c r="GZO33" s="47"/>
      <c r="GZP33" s="47"/>
      <c r="GZQ33" s="47"/>
      <c r="GZR33" s="47"/>
      <c r="GZS33" s="47"/>
      <c r="GZT33" s="47"/>
      <c r="GZU33" s="47"/>
      <c r="GZV33" s="47"/>
      <c r="GZW33" s="47"/>
      <c r="GZX33" s="47"/>
      <c r="GZY33" s="47"/>
      <c r="GZZ33" s="47"/>
      <c r="HAA33" s="47"/>
      <c r="HAB33" s="47"/>
      <c r="HAC33" s="47"/>
      <c r="HAD33" s="47"/>
      <c r="HAE33" s="47"/>
      <c r="HAF33" s="47"/>
      <c r="HAG33" s="47"/>
      <c r="HAH33" s="47"/>
      <c r="HAI33" s="47"/>
      <c r="HAJ33" s="47"/>
      <c r="HAK33" s="47"/>
      <c r="HAL33" s="47"/>
      <c r="HAM33" s="47"/>
      <c r="HAN33" s="47"/>
      <c r="HAO33" s="47"/>
      <c r="HAP33" s="47"/>
      <c r="HAQ33" s="47"/>
      <c r="HAR33" s="47"/>
      <c r="HAS33" s="47"/>
      <c r="HAT33" s="47"/>
      <c r="HAU33" s="47"/>
      <c r="HAV33" s="47"/>
      <c r="HAW33" s="47"/>
      <c r="HAX33" s="47"/>
      <c r="HAY33" s="47"/>
      <c r="HAZ33" s="47"/>
      <c r="HBA33" s="47"/>
      <c r="HBB33" s="47"/>
      <c r="HBC33" s="47"/>
      <c r="HBD33" s="47"/>
      <c r="HBE33" s="47"/>
      <c r="HBF33" s="47"/>
      <c r="HBG33" s="47"/>
      <c r="HBH33" s="47"/>
      <c r="HBI33" s="47"/>
      <c r="HBJ33" s="47"/>
      <c r="HBK33" s="47"/>
      <c r="HBL33" s="47"/>
      <c r="HBM33" s="47"/>
      <c r="HBN33" s="47"/>
      <c r="HBO33" s="47"/>
      <c r="HBP33" s="47"/>
      <c r="HBQ33" s="47"/>
      <c r="HBR33" s="47"/>
      <c r="HBS33" s="47"/>
      <c r="HBT33" s="47"/>
      <c r="HBU33" s="47"/>
      <c r="HBV33" s="47"/>
      <c r="HBW33" s="47"/>
      <c r="HBX33" s="47"/>
      <c r="HBY33" s="47"/>
      <c r="HBZ33" s="47"/>
      <c r="HCA33" s="47"/>
      <c r="HCB33" s="47"/>
      <c r="HCC33" s="47"/>
      <c r="HCD33" s="47"/>
      <c r="HCE33" s="47"/>
      <c r="HCF33" s="47"/>
      <c r="HCG33" s="47"/>
      <c r="HCH33" s="47"/>
      <c r="HCI33" s="47"/>
      <c r="HCJ33" s="47"/>
      <c r="HCK33" s="47"/>
      <c r="HCL33" s="47"/>
      <c r="HCM33" s="47"/>
      <c r="HCN33" s="47"/>
      <c r="HCO33" s="47"/>
      <c r="HCP33" s="47"/>
      <c r="HCQ33" s="47"/>
      <c r="HCR33" s="47"/>
      <c r="HCS33" s="47"/>
      <c r="HCT33" s="47"/>
      <c r="HCU33" s="47"/>
      <c r="HCV33" s="47"/>
      <c r="HCW33" s="47"/>
      <c r="HCX33" s="47"/>
      <c r="HCY33" s="47"/>
      <c r="HCZ33" s="47"/>
      <c r="HDA33" s="47"/>
      <c r="HDB33" s="47"/>
      <c r="HDC33" s="47"/>
      <c r="HDD33" s="47"/>
      <c r="HDE33" s="47"/>
      <c r="HDF33" s="47"/>
      <c r="HDG33" s="47"/>
      <c r="HDH33" s="47"/>
      <c r="HDI33" s="47"/>
      <c r="HDJ33" s="47"/>
      <c r="HDK33" s="47"/>
      <c r="HDL33" s="47"/>
      <c r="HDM33" s="47"/>
      <c r="HDN33" s="47"/>
      <c r="HDO33" s="47"/>
      <c r="HDP33" s="47"/>
      <c r="HDQ33" s="47"/>
      <c r="HDR33" s="47"/>
      <c r="HDS33" s="47"/>
      <c r="HDT33" s="47"/>
      <c r="HDU33" s="47"/>
      <c r="HDV33" s="47"/>
      <c r="HDW33" s="47"/>
      <c r="HDX33" s="47"/>
      <c r="HDY33" s="47"/>
      <c r="HDZ33" s="47"/>
      <c r="HEA33" s="47"/>
      <c r="HEB33" s="47"/>
      <c r="HEC33" s="47"/>
      <c r="HED33" s="47"/>
      <c r="HEE33" s="47"/>
      <c r="HEF33" s="47"/>
      <c r="HEG33" s="47"/>
      <c r="HEH33" s="47"/>
      <c r="HEI33" s="47"/>
      <c r="HEJ33" s="47"/>
      <c r="HEK33" s="47"/>
      <c r="HEL33" s="47"/>
      <c r="HEM33" s="47"/>
      <c r="HEN33" s="47"/>
      <c r="HEO33" s="47"/>
      <c r="HEP33" s="47"/>
      <c r="HEQ33" s="47"/>
      <c r="HER33" s="47"/>
      <c r="HES33" s="47"/>
      <c r="HET33" s="47"/>
      <c r="HEU33" s="47"/>
      <c r="HEV33" s="47"/>
      <c r="HEW33" s="47"/>
      <c r="HEX33" s="47"/>
      <c r="HEY33" s="47"/>
      <c r="HEZ33" s="47"/>
      <c r="HFA33" s="47"/>
      <c r="HFB33" s="47"/>
      <c r="HFC33" s="47"/>
      <c r="HFD33" s="47"/>
      <c r="HFE33" s="47"/>
      <c r="HFF33" s="47"/>
      <c r="HFG33" s="47"/>
      <c r="HFH33" s="47"/>
      <c r="HFI33" s="47"/>
      <c r="HFJ33" s="47"/>
      <c r="HFK33" s="47"/>
      <c r="HFL33" s="47"/>
      <c r="HFM33" s="47"/>
      <c r="HFN33" s="47"/>
      <c r="HFO33" s="47"/>
      <c r="HFP33" s="47"/>
      <c r="HFQ33" s="47"/>
      <c r="HFR33" s="47"/>
      <c r="HFS33" s="47"/>
      <c r="HFT33" s="47"/>
      <c r="HFU33" s="47"/>
      <c r="HFV33" s="47"/>
      <c r="HFW33" s="47"/>
      <c r="HFX33" s="47"/>
      <c r="HFY33" s="47"/>
      <c r="HFZ33" s="47"/>
      <c r="HGA33" s="47"/>
      <c r="HGB33" s="47"/>
      <c r="HGC33" s="47"/>
      <c r="HGD33" s="47"/>
      <c r="HGE33" s="47"/>
      <c r="HGF33" s="47"/>
      <c r="HGG33" s="47"/>
      <c r="HGH33" s="47"/>
      <c r="HGI33" s="47"/>
      <c r="HGJ33" s="47"/>
      <c r="HGK33" s="47"/>
      <c r="HGL33" s="47"/>
      <c r="HGM33" s="47"/>
      <c r="HGN33" s="47"/>
      <c r="HGO33" s="47"/>
      <c r="HGP33" s="47"/>
      <c r="HGQ33" s="47"/>
      <c r="HGR33" s="47"/>
      <c r="HGS33" s="47"/>
      <c r="HGT33" s="47"/>
      <c r="HGU33" s="47"/>
      <c r="HGV33" s="47"/>
      <c r="HGW33" s="47"/>
      <c r="HGX33" s="47"/>
      <c r="HGY33" s="47"/>
      <c r="HGZ33" s="47"/>
      <c r="HHA33" s="47"/>
      <c r="HHB33" s="47"/>
      <c r="HHC33" s="47"/>
      <c r="HHD33" s="47"/>
      <c r="HHE33" s="47"/>
      <c r="HHF33" s="47"/>
      <c r="HHG33" s="47"/>
      <c r="HHH33" s="47"/>
      <c r="HHI33" s="47"/>
      <c r="HHJ33" s="47"/>
      <c r="HHK33" s="47"/>
      <c r="HHL33" s="47"/>
      <c r="HHM33" s="47"/>
      <c r="HHN33" s="47"/>
      <c r="HHO33" s="47"/>
      <c r="HHP33" s="47"/>
      <c r="HHQ33" s="47"/>
      <c r="HHR33" s="47"/>
      <c r="HHS33" s="47"/>
      <c r="HHT33" s="47"/>
      <c r="HHU33" s="47"/>
      <c r="HHV33" s="47"/>
      <c r="HHW33" s="47"/>
      <c r="HHX33" s="47"/>
      <c r="HHY33" s="47"/>
      <c r="HHZ33" s="47"/>
      <c r="HIA33" s="47"/>
      <c r="HIB33" s="47"/>
      <c r="HIC33" s="47"/>
      <c r="HID33" s="47"/>
      <c r="HIE33" s="47"/>
      <c r="HIF33" s="47"/>
      <c r="HIG33" s="47"/>
      <c r="HIH33" s="47"/>
      <c r="HII33" s="47"/>
      <c r="HIJ33" s="47"/>
      <c r="HIK33" s="47"/>
      <c r="HIL33" s="47"/>
      <c r="HIM33" s="47"/>
      <c r="HIN33" s="47"/>
      <c r="HIO33" s="47"/>
      <c r="HIP33" s="47"/>
      <c r="HIQ33" s="47"/>
      <c r="HIR33" s="47"/>
      <c r="HIS33" s="47"/>
      <c r="HIT33" s="47"/>
      <c r="HIU33" s="47"/>
      <c r="HIV33" s="47"/>
      <c r="HIW33" s="47"/>
      <c r="HIX33" s="47"/>
      <c r="HIY33" s="47"/>
      <c r="HIZ33" s="47"/>
      <c r="HJA33" s="47"/>
      <c r="HJB33" s="47"/>
      <c r="HJC33" s="47"/>
      <c r="HJD33" s="47"/>
      <c r="HJE33" s="47"/>
      <c r="HJF33" s="47"/>
      <c r="HJG33" s="47"/>
      <c r="HJH33" s="47"/>
      <c r="HJI33" s="47"/>
      <c r="HJJ33" s="47"/>
      <c r="HJK33" s="47"/>
      <c r="HJL33" s="47"/>
      <c r="HJM33" s="47"/>
      <c r="HJN33" s="47"/>
      <c r="HJO33" s="47"/>
      <c r="HJP33" s="47"/>
      <c r="HJQ33" s="47"/>
      <c r="HJR33" s="47"/>
      <c r="HJS33" s="47"/>
      <c r="HJT33" s="47"/>
      <c r="HJU33" s="47"/>
      <c r="HJV33" s="47"/>
      <c r="HJW33" s="47"/>
      <c r="HJX33" s="47"/>
      <c r="HJY33" s="47"/>
      <c r="HJZ33" s="47"/>
      <c r="HKA33" s="47"/>
      <c r="HKB33" s="47"/>
      <c r="HKC33" s="47"/>
      <c r="HKD33" s="47"/>
      <c r="HKE33" s="47"/>
      <c r="HKF33" s="47"/>
      <c r="HKG33" s="47"/>
      <c r="HKH33" s="47"/>
      <c r="HKI33" s="47"/>
      <c r="HKJ33" s="47"/>
      <c r="HKK33" s="47"/>
      <c r="HKL33" s="47"/>
      <c r="HKM33" s="47"/>
      <c r="HKN33" s="47"/>
      <c r="HKO33" s="47"/>
      <c r="HKP33" s="47"/>
      <c r="HKQ33" s="47"/>
      <c r="HKR33" s="47"/>
      <c r="HKS33" s="47"/>
      <c r="HKT33" s="47"/>
      <c r="HKU33" s="47"/>
      <c r="HKV33" s="47"/>
      <c r="HKW33" s="47"/>
      <c r="HKX33" s="47"/>
      <c r="HKY33" s="47"/>
      <c r="HKZ33" s="47"/>
      <c r="HLA33" s="47"/>
      <c r="HLB33" s="47"/>
      <c r="HLC33" s="47"/>
      <c r="HLD33" s="47"/>
      <c r="HLE33" s="47"/>
      <c r="HLF33" s="47"/>
      <c r="HLG33" s="47"/>
      <c r="HLH33" s="47"/>
      <c r="HLI33" s="47"/>
      <c r="HLJ33" s="47"/>
      <c r="HLK33" s="47"/>
      <c r="HLL33" s="47"/>
      <c r="HLM33" s="47"/>
      <c r="HLN33" s="47"/>
      <c r="HLO33" s="47"/>
      <c r="HLP33" s="47"/>
      <c r="HLQ33" s="47"/>
      <c r="HLR33" s="47"/>
      <c r="HLS33" s="47"/>
      <c r="HLT33" s="47"/>
      <c r="HLU33" s="47"/>
      <c r="HLV33" s="47"/>
      <c r="HLW33" s="47"/>
      <c r="HLX33" s="47"/>
      <c r="HLY33" s="47"/>
      <c r="HLZ33" s="47"/>
      <c r="HMA33" s="47"/>
      <c r="HMB33" s="47"/>
      <c r="HMC33" s="47"/>
      <c r="HMD33" s="47"/>
      <c r="HME33" s="47"/>
      <c r="HMF33" s="47"/>
      <c r="HMG33" s="47"/>
      <c r="HMH33" s="47"/>
      <c r="HMI33" s="47"/>
      <c r="HMJ33" s="47"/>
      <c r="HMK33" s="47"/>
      <c r="HML33" s="47"/>
      <c r="HMM33" s="47"/>
      <c r="HMN33" s="47"/>
      <c r="HMO33" s="47"/>
      <c r="HMP33" s="47"/>
      <c r="HMQ33" s="47"/>
      <c r="HMR33" s="47"/>
      <c r="HMS33" s="47"/>
      <c r="HMT33" s="47"/>
      <c r="HMU33" s="47"/>
      <c r="HMV33" s="47"/>
      <c r="HMW33" s="47"/>
      <c r="HMX33" s="47"/>
      <c r="HMY33" s="47"/>
      <c r="HMZ33" s="47"/>
      <c r="HNA33" s="47"/>
      <c r="HNB33" s="47"/>
      <c r="HNC33" s="47"/>
      <c r="HND33" s="47"/>
      <c r="HNE33" s="47"/>
      <c r="HNF33" s="47"/>
      <c r="HNG33" s="47"/>
      <c r="HNH33" s="47"/>
      <c r="HNI33" s="47"/>
      <c r="HNJ33" s="47"/>
      <c r="HNK33" s="47"/>
      <c r="HNL33" s="47"/>
      <c r="HNM33" s="47"/>
      <c r="HNN33" s="47"/>
      <c r="HNO33" s="47"/>
      <c r="HNP33" s="47"/>
      <c r="HNQ33" s="47"/>
      <c r="HNR33" s="47"/>
      <c r="HNS33" s="47"/>
      <c r="HNT33" s="47"/>
      <c r="HNU33" s="47"/>
      <c r="HNV33" s="47"/>
      <c r="HNW33" s="47"/>
      <c r="HNX33" s="47"/>
      <c r="HNY33" s="47"/>
      <c r="HNZ33" s="47"/>
      <c r="HOA33" s="47"/>
      <c r="HOB33" s="47"/>
      <c r="HOC33" s="47"/>
      <c r="HOD33" s="47"/>
      <c r="HOE33" s="47"/>
      <c r="HOF33" s="47"/>
      <c r="HOG33" s="47"/>
      <c r="HOH33" s="47"/>
      <c r="HOI33" s="47"/>
      <c r="HOJ33" s="47"/>
      <c r="HOK33" s="47"/>
      <c r="HOL33" s="47"/>
      <c r="HOM33" s="47"/>
      <c r="HON33" s="47"/>
      <c r="HOO33" s="47"/>
      <c r="HOP33" s="47"/>
      <c r="HOQ33" s="47"/>
      <c r="HOR33" s="47"/>
      <c r="HOS33" s="47"/>
      <c r="HOT33" s="47"/>
      <c r="HOU33" s="47"/>
      <c r="HOV33" s="47"/>
      <c r="HOW33" s="47"/>
      <c r="HOX33" s="47"/>
      <c r="HOY33" s="47"/>
      <c r="HOZ33" s="47"/>
      <c r="HPA33" s="47"/>
      <c r="HPB33" s="47"/>
      <c r="HPC33" s="47"/>
      <c r="HPD33" s="47"/>
      <c r="HPE33" s="47"/>
      <c r="HPF33" s="47"/>
      <c r="HPG33" s="47"/>
      <c r="HPH33" s="47"/>
      <c r="HPI33" s="47"/>
      <c r="HPJ33" s="47"/>
      <c r="HPK33" s="47"/>
      <c r="HPL33" s="47"/>
      <c r="HPM33" s="47"/>
      <c r="HPN33" s="47"/>
      <c r="HPO33" s="47"/>
      <c r="HPP33" s="47"/>
      <c r="HPQ33" s="47"/>
      <c r="HPR33" s="47"/>
      <c r="HPS33" s="47"/>
      <c r="HPT33" s="47"/>
      <c r="HPU33" s="47"/>
      <c r="HPV33" s="47"/>
      <c r="HPW33" s="47"/>
      <c r="HPX33" s="47"/>
      <c r="HPY33" s="47"/>
      <c r="HPZ33" s="47"/>
      <c r="HQA33" s="47"/>
      <c r="HQB33" s="47"/>
      <c r="HQC33" s="47"/>
      <c r="HQD33" s="47"/>
      <c r="HQE33" s="47"/>
      <c r="HQF33" s="47"/>
      <c r="HQG33" s="47"/>
      <c r="HQH33" s="47"/>
      <c r="HQI33" s="47"/>
      <c r="HQJ33" s="47"/>
      <c r="HQK33" s="47"/>
      <c r="HQL33" s="47"/>
      <c r="HQM33" s="47"/>
      <c r="HQN33" s="47"/>
      <c r="HQO33" s="47"/>
      <c r="HQP33" s="47"/>
      <c r="HQQ33" s="47"/>
      <c r="HQR33" s="47"/>
      <c r="HQS33" s="47"/>
      <c r="HQT33" s="47"/>
      <c r="HQU33" s="47"/>
      <c r="HQV33" s="47"/>
      <c r="HQW33" s="47"/>
      <c r="HQX33" s="47"/>
      <c r="HQY33" s="47"/>
      <c r="HQZ33" s="47"/>
      <c r="HRA33" s="47"/>
      <c r="HRB33" s="47"/>
      <c r="HRC33" s="47"/>
      <c r="HRD33" s="47"/>
      <c r="HRE33" s="47"/>
      <c r="HRF33" s="47"/>
      <c r="HRG33" s="47"/>
      <c r="HRH33" s="47"/>
      <c r="HRI33" s="47"/>
      <c r="HRJ33" s="47"/>
      <c r="HRK33" s="47"/>
      <c r="HRL33" s="47"/>
      <c r="HRM33" s="47"/>
      <c r="HRN33" s="47"/>
      <c r="HRO33" s="47"/>
      <c r="HRP33" s="47"/>
      <c r="HRQ33" s="47"/>
      <c r="HRR33" s="47"/>
      <c r="HRS33" s="47"/>
      <c r="HRT33" s="47"/>
      <c r="HRU33" s="47"/>
      <c r="HRV33" s="47"/>
      <c r="HRW33" s="47"/>
      <c r="HRX33" s="47"/>
      <c r="HRY33" s="47"/>
      <c r="HRZ33" s="47"/>
      <c r="HSA33" s="47"/>
      <c r="HSB33" s="47"/>
      <c r="HSC33" s="47"/>
      <c r="HSD33" s="47"/>
      <c r="HSE33" s="47"/>
      <c r="HSF33" s="47"/>
      <c r="HSG33" s="47"/>
      <c r="HSH33" s="47"/>
      <c r="HSI33" s="47"/>
      <c r="HSJ33" s="47"/>
      <c r="HSK33" s="47"/>
      <c r="HSL33" s="47"/>
      <c r="HSM33" s="47"/>
      <c r="HSN33" s="47"/>
      <c r="HSO33" s="47"/>
      <c r="HSP33" s="47"/>
      <c r="HSQ33" s="47"/>
      <c r="HSR33" s="47"/>
      <c r="HSS33" s="47"/>
      <c r="HST33" s="47"/>
      <c r="HSU33" s="47"/>
      <c r="HSV33" s="47"/>
      <c r="HSW33" s="47"/>
      <c r="HSX33" s="47"/>
      <c r="HSY33" s="47"/>
      <c r="HSZ33" s="47"/>
      <c r="HTA33" s="47"/>
      <c r="HTB33" s="47"/>
      <c r="HTC33" s="47"/>
      <c r="HTD33" s="47"/>
      <c r="HTE33" s="47"/>
      <c r="HTF33" s="47"/>
      <c r="HTG33" s="47"/>
      <c r="HTH33" s="47"/>
      <c r="HTI33" s="47"/>
      <c r="HTJ33" s="47"/>
      <c r="HTK33" s="47"/>
      <c r="HTL33" s="47"/>
      <c r="HTM33" s="47"/>
      <c r="HTN33" s="47"/>
      <c r="HTO33" s="47"/>
      <c r="HTP33" s="47"/>
      <c r="HTQ33" s="47"/>
      <c r="HTR33" s="47"/>
      <c r="HTS33" s="47"/>
      <c r="HTT33" s="47"/>
      <c r="HTU33" s="47"/>
      <c r="HTV33" s="47"/>
      <c r="HTW33" s="47"/>
      <c r="HTX33" s="47"/>
      <c r="HTY33" s="47"/>
      <c r="HTZ33" s="47"/>
      <c r="HUA33" s="47"/>
      <c r="HUB33" s="47"/>
      <c r="HUC33" s="47"/>
      <c r="HUD33" s="47"/>
      <c r="HUE33" s="47"/>
      <c r="HUF33" s="47"/>
      <c r="HUG33" s="47"/>
      <c r="HUH33" s="47"/>
      <c r="HUI33" s="47"/>
      <c r="HUJ33" s="47"/>
      <c r="HUK33" s="47"/>
      <c r="HUL33" s="47"/>
      <c r="HUM33" s="47"/>
      <c r="HUN33" s="47"/>
      <c r="HUO33" s="47"/>
      <c r="HUP33" s="47"/>
      <c r="HUQ33" s="47"/>
      <c r="HUR33" s="47"/>
      <c r="HUS33" s="47"/>
      <c r="HUT33" s="47"/>
      <c r="HUU33" s="47"/>
      <c r="HUV33" s="47"/>
      <c r="HUW33" s="47"/>
      <c r="HUX33" s="47"/>
      <c r="HUY33" s="47"/>
      <c r="HUZ33" s="47"/>
      <c r="HVA33" s="47"/>
      <c r="HVB33" s="47"/>
      <c r="HVC33" s="47"/>
      <c r="HVD33" s="47"/>
      <c r="HVE33" s="47"/>
      <c r="HVF33" s="47"/>
      <c r="HVG33" s="47"/>
      <c r="HVH33" s="47"/>
      <c r="HVI33" s="47"/>
      <c r="HVJ33" s="47"/>
      <c r="HVK33" s="47"/>
      <c r="HVL33" s="47"/>
      <c r="HVM33" s="47"/>
      <c r="HVN33" s="47"/>
      <c r="HVO33" s="47"/>
      <c r="HVP33" s="47"/>
      <c r="HVQ33" s="47"/>
      <c r="HVR33" s="47"/>
      <c r="HVS33" s="47"/>
      <c r="HVT33" s="47"/>
      <c r="HVU33" s="47"/>
      <c r="HVV33" s="47"/>
      <c r="HVW33" s="47"/>
      <c r="HVX33" s="47"/>
      <c r="HVY33" s="47"/>
      <c r="HVZ33" s="47"/>
      <c r="HWA33" s="47"/>
      <c r="HWB33" s="47"/>
      <c r="HWC33" s="47"/>
      <c r="HWD33" s="47"/>
      <c r="HWE33" s="47"/>
      <c r="HWF33" s="47"/>
      <c r="HWG33" s="47"/>
      <c r="HWH33" s="47"/>
      <c r="HWI33" s="47"/>
      <c r="HWJ33" s="47"/>
      <c r="HWK33" s="47"/>
      <c r="HWL33" s="47"/>
      <c r="HWM33" s="47"/>
      <c r="HWN33" s="47"/>
      <c r="HWO33" s="47"/>
      <c r="HWP33" s="47"/>
      <c r="HWQ33" s="47"/>
      <c r="HWR33" s="47"/>
      <c r="HWS33" s="47"/>
      <c r="HWT33" s="47"/>
      <c r="HWU33" s="47"/>
      <c r="HWV33" s="47"/>
      <c r="HWW33" s="47"/>
      <c r="HWX33" s="47"/>
      <c r="HWY33" s="47"/>
      <c r="HWZ33" s="47"/>
      <c r="HXA33" s="47"/>
      <c r="HXB33" s="47"/>
      <c r="HXC33" s="47"/>
      <c r="HXD33" s="47"/>
      <c r="HXE33" s="47"/>
      <c r="HXF33" s="47"/>
      <c r="HXG33" s="47"/>
      <c r="HXH33" s="47"/>
      <c r="HXI33" s="47"/>
      <c r="HXJ33" s="47"/>
      <c r="HXK33" s="47"/>
      <c r="HXL33" s="47"/>
      <c r="HXM33" s="47"/>
      <c r="HXN33" s="47"/>
      <c r="HXO33" s="47"/>
      <c r="HXP33" s="47"/>
      <c r="HXQ33" s="47"/>
      <c r="HXR33" s="47"/>
      <c r="HXS33" s="47"/>
      <c r="HXT33" s="47"/>
      <c r="HXU33" s="47"/>
      <c r="HXV33" s="47"/>
      <c r="HXW33" s="47"/>
      <c r="HXX33" s="47"/>
      <c r="HXY33" s="47"/>
      <c r="HXZ33" s="47"/>
      <c r="HYA33" s="47"/>
      <c r="HYB33" s="47"/>
      <c r="HYC33" s="47"/>
      <c r="HYD33" s="47"/>
      <c r="HYE33" s="47"/>
      <c r="HYF33" s="47"/>
      <c r="HYG33" s="47"/>
      <c r="HYH33" s="47"/>
      <c r="HYI33" s="47"/>
      <c r="HYJ33" s="47"/>
      <c r="HYK33" s="47"/>
      <c r="HYL33" s="47"/>
      <c r="HYM33" s="47"/>
      <c r="HYN33" s="47"/>
      <c r="HYO33" s="47"/>
      <c r="HYP33" s="47"/>
      <c r="HYQ33" s="47"/>
      <c r="HYR33" s="47"/>
      <c r="HYS33" s="47"/>
      <c r="HYT33" s="47"/>
      <c r="HYU33" s="47"/>
      <c r="HYV33" s="47"/>
      <c r="HYW33" s="47"/>
      <c r="HYX33" s="47"/>
      <c r="HYY33" s="47"/>
      <c r="HYZ33" s="47"/>
      <c r="HZA33" s="47"/>
      <c r="HZB33" s="47"/>
      <c r="HZC33" s="47"/>
      <c r="HZD33" s="47"/>
      <c r="HZE33" s="47"/>
      <c r="HZF33" s="47"/>
      <c r="HZG33" s="47"/>
      <c r="HZH33" s="47"/>
      <c r="HZI33" s="47"/>
      <c r="HZJ33" s="47"/>
      <c r="HZK33" s="47"/>
      <c r="HZL33" s="47"/>
      <c r="HZM33" s="47"/>
      <c r="HZN33" s="47"/>
      <c r="HZO33" s="47"/>
      <c r="HZP33" s="47"/>
      <c r="HZQ33" s="47"/>
      <c r="HZR33" s="47"/>
      <c r="HZS33" s="47"/>
      <c r="HZT33" s="47"/>
      <c r="HZU33" s="47"/>
      <c r="HZV33" s="47"/>
      <c r="HZW33" s="47"/>
      <c r="HZX33" s="47"/>
      <c r="HZY33" s="47"/>
      <c r="HZZ33" s="47"/>
      <c r="IAA33" s="47"/>
      <c r="IAB33" s="47"/>
      <c r="IAC33" s="47"/>
      <c r="IAD33" s="47"/>
      <c r="IAE33" s="47"/>
      <c r="IAF33" s="47"/>
      <c r="IAG33" s="47"/>
      <c r="IAH33" s="47"/>
      <c r="IAI33" s="47"/>
      <c r="IAJ33" s="47"/>
      <c r="IAK33" s="47"/>
      <c r="IAL33" s="47"/>
      <c r="IAM33" s="47"/>
      <c r="IAN33" s="47"/>
      <c r="IAO33" s="47"/>
      <c r="IAP33" s="47"/>
      <c r="IAQ33" s="47"/>
      <c r="IAR33" s="47"/>
      <c r="IAS33" s="47"/>
      <c r="IAT33" s="47"/>
      <c r="IAU33" s="47"/>
      <c r="IAV33" s="47"/>
      <c r="IAW33" s="47"/>
      <c r="IAX33" s="47"/>
      <c r="IAY33" s="47"/>
      <c r="IAZ33" s="47"/>
      <c r="IBA33" s="47"/>
      <c r="IBB33" s="47"/>
      <c r="IBC33" s="47"/>
      <c r="IBD33" s="47"/>
      <c r="IBE33" s="47"/>
      <c r="IBF33" s="47"/>
      <c r="IBG33" s="47"/>
      <c r="IBH33" s="47"/>
      <c r="IBI33" s="47"/>
      <c r="IBJ33" s="47"/>
      <c r="IBK33" s="47"/>
      <c r="IBL33" s="47"/>
      <c r="IBM33" s="47"/>
      <c r="IBN33" s="47"/>
      <c r="IBO33" s="47"/>
      <c r="IBP33" s="47"/>
      <c r="IBQ33" s="47"/>
      <c r="IBR33" s="47"/>
      <c r="IBS33" s="47"/>
      <c r="IBT33" s="47"/>
      <c r="IBU33" s="47"/>
      <c r="IBV33" s="47"/>
      <c r="IBW33" s="47"/>
      <c r="IBX33" s="47"/>
      <c r="IBY33" s="47"/>
      <c r="IBZ33" s="47"/>
      <c r="ICA33" s="47"/>
      <c r="ICB33" s="47"/>
      <c r="ICC33" s="47"/>
      <c r="ICD33" s="47"/>
      <c r="ICE33" s="47"/>
      <c r="ICF33" s="47"/>
      <c r="ICG33" s="47"/>
      <c r="ICH33" s="47"/>
      <c r="ICI33" s="47"/>
      <c r="ICJ33" s="47"/>
      <c r="ICK33" s="47"/>
      <c r="ICL33" s="47"/>
      <c r="ICM33" s="47"/>
      <c r="ICN33" s="47"/>
      <c r="ICO33" s="47"/>
      <c r="ICP33" s="47"/>
      <c r="ICQ33" s="47"/>
      <c r="ICR33" s="47"/>
      <c r="ICS33" s="47"/>
      <c r="ICT33" s="47"/>
      <c r="ICU33" s="47"/>
      <c r="ICV33" s="47"/>
      <c r="ICW33" s="47"/>
      <c r="ICX33" s="47"/>
      <c r="ICY33" s="47"/>
      <c r="ICZ33" s="47"/>
      <c r="IDA33" s="47"/>
      <c r="IDB33" s="47"/>
      <c r="IDC33" s="47"/>
      <c r="IDD33" s="47"/>
      <c r="IDE33" s="47"/>
      <c r="IDF33" s="47"/>
      <c r="IDG33" s="47"/>
      <c r="IDH33" s="47"/>
      <c r="IDI33" s="47"/>
      <c r="IDJ33" s="47"/>
      <c r="IDK33" s="47"/>
      <c r="IDL33" s="47"/>
      <c r="IDM33" s="47"/>
      <c r="IDN33" s="47"/>
      <c r="IDO33" s="47"/>
      <c r="IDP33" s="47"/>
      <c r="IDQ33" s="47"/>
      <c r="IDR33" s="47"/>
      <c r="IDS33" s="47"/>
      <c r="IDT33" s="47"/>
      <c r="IDU33" s="47"/>
      <c r="IDV33" s="47"/>
      <c r="IDW33" s="47"/>
      <c r="IDX33" s="47"/>
      <c r="IDY33" s="47"/>
      <c r="IDZ33" s="47"/>
      <c r="IEA33" s="47"/>
      <c r="IEB33" s="47"/>
      <c r="IEC33" s="47"/>
      <c r="IED33" s="47"/>
      <c r="IEE33" s="47"/>
      <c r="IEF33" s="47"/>
      <c r="IEG33" s="47"/>
      <c r="IEH33" s="47"/>
      <c r="IEI33" s="47"/>
      <c r="IEJ33" s="47"/>
      <c r="IEK33" s="47"/>
      <c r="IEL33" s="47"/>
      <c r="IEM33" s="47"/>
      <c r="IEN33" s="47"/>
      <c r="IEO33" s="47"/>
      <c r="IEP33" s="47"/>
      <c r="IEQ33" s="47"/>
      <c r="IER33" s="47"/>
      <c r="IES33" s="47"/>
      <c r="IET33" s="47"/>
      <c r="IEU33" s="47"/>
      <c r="IEV33" s="47"/>
      <c r="IEW33" s="47"/>
      <c r="IEX33" s="47"/>
      <c r="IEY33" s="47"/>
      <c r="IEZ33" s="47"/>
      <c r="IFA33" s="47"/>
      <c r="IFB33" s="47"/>
      <c r="IFC33" s="47"/>
      <c r="IFD33" s="47"/>
      <c r="IFE33" s="47"/>
      <c r="IFF33" s="47"/>
      <c r="IFG33" s="47"/>
      <c r="IFH33" s="47"/>
      <c r="IFI33" s="47"/>
      <c r="IFJ33" s="47"/>
      <c r="IFK33" s="47"/>
      <c r="IFL33" s="47"/>
      <c r="IFM33" s="47"/>
      <c r="IFN33" s="47"/>
      <c r="IFO33" s="47"/>
      <c r="IFP33" s="47"/>
      <c r="IFQ33" s="47"/>
      <c r="IFR33" s="47"/>
      <c r="IFS33" s="47"/>
      <c r="IFT33" s="47"/>
      <c r="IFU33" s="47"/>
      <c r="IFV33" s="47"/>
      <c r="IFW33" s="47"/>
      <c r="IFX33" s="47"/>
      <c r="IFY33" s="47"/>
      <c r="IFZ33" s="47"/>
      <c r="IGA33" s="47"/>
      <c r="IGB33" s="47"/>
      <c r="IGC33" s="47"/>
      <c r="IGD33" s="47"/>
      <c r="IGE33" s="47"/>
      <c r="IGF33" s="47"/>
      <c r="IGG33" s="47"/>
      <c r="IGH33" s="47"/>
      <c r="IGI33" s="47"/>
      <c r="IGJ33" s="47"/>
      <c r="IGK33" s="47"/>
      <c r="IGL33" s="47"/>
      <c r="IGM33" s="47"/>
      <c r="IGN33" s="47"/>
      <c r="IGO33" s="47"/>
      <c r="IGP33" s="47"/>
      <c r="IGQ33" s="47"/>
      <c r="IGR33" s="47"/>
      <c r="IGS33" s="47"/>
      <c r="IGT33" s="47"/>
      <c r="IGU33" s="47"/>
      <c r="IGV33" s="47"/>
      <c r="IGW33" s="47"/>
      <c r="IGX33" s="47"/>
      <c r="IGY33" s="47"/>
      <c r="IGZ33" s="47"/>
      <c r="IHA33" s="47"/>
      <c r="IHB33" s="47"/>
      <c r="IHC33" s="47"/>
      <c r="IHD33" s="47"/>
      <c r="IHE33" s="47"/>
      <c r="IHF33" s="47"/>
      <c r="IHG33" s="47"/>
      <c r="IHH33" s="47"/>
      <c r="IHI33" s="47"/>
      <c r="IHJ33" s="47"/>
      <c r="IHK33" s="47"/>
      <c r="IHL33" s="47"/>
      <c r="IHM33" s="47"/>
      <c r="IHN33" s="47"/>
      <c r="IHO33" s="47"/>
      <c r="IHP33" s="47"/>
      <c r="IHQ33" s="47"/>
      <c r="IHR33" s="47"/>
      <c r="IHS33" s="47"/>
      <c r="IHT33" s="47"/>
      <c r="IHU33" s="47"/>
      <c r="IHV33" s="47"/>
      <c r="IHW33" s="47"/>
      <c r="IHX33" s="47"/>
      <c r="IHY33" s="47"/>
      <c r="IHZ33" s="47"/>
      <c r="IIA33" s="47"/>
      <c r="IIB33" s="47"/>
      <c r="IIC33" s="47"/>
      <c r="IID33" s="47"/>
      <c r="IIE33" s="47"/>
      <c r="IIF33" s="47"/>
      <c r="IIG33" s="47"/>
      <c r="IIH33" s="47"/>
      <c r="III33" s="47"/>
      <c r="IIJ33" s="47"/>
      <c r="IIK33" s="47"/>
      <c r="IIL33" s="47"/>
      <c r="IIM33" s="47"/>
      <c r="IIN33" s="47"/>
      <c r="IIO33" s="47"/>
      <c r="IIP33" s="47"/>
      <c r="IIQ33" s="47"/>
      <c r="IIR33" s="47"/>
      <c r="IIS33" s="47"/>
      <c r="IIT33" s="47"/>
      <c r="IIU33" s="47"/>
      <c r="IIV33" s="47"/>
      <c r="IIW33" s="47"/>
      <c r="IIX33" s="47"/>
      <c r="IIY33" s="47"/>
      <c r="IIZ33" s="47"/>
      <c r="IJA33" s="47"/>
      <c r="IJB33" s="47"/>
      <c r="IJC33" s="47"/>
      <c r="IJD33" s="47"/>
      <c r="IJE33" s="47"/>
      <c r="IJF33" s="47"/>
      <c r="IJG33" s="47"/>
      <c r="IJH33" s="47"/>
      <c r="IJI33" s="47"/>
      <c r="IJJ33" s="47"/>
      <c r="IJK33" s="47"/>
      <c r="IJL33" s="47"/>
      <c r="IJM33" s="47"/>
      <c r="IJN33" s="47"/>
      <c r="IJO33" s="47"/>
      <c r="IJP33" s="47"/>
      <c r="IJQ33" s="47"/>
      <c r="IJR33" s="47"/>
      <c r="IJS33" s="47"/>
      <c r="IJT33" s="47"/>
      <c r="IJU33" s="47"/>
      <c r="IJV33" s="47"/>
      <c r="IJW33" s="47"/>
      <c r="IJX33" s="47"/>
      <c r="IJY33" s="47"/>
      <c r="IJZ33" s="47"/>
      <c r="IKA33" s="47"/>
      <c r="IKB33" s="47"/>
      <c r="IKC33" s="47"/>
      <c r="IKD33" s="47"/>
      <c r="IKE33" s="47"/>
      <c r="IKF33" s="47"/>
      <c r="IKG33" s="47"/>
      <c r="IKH33" s="47"/>
      <c r="IKI33" s="47"/>
      <c r="IKJ33" s="47"/>
      <c r="IKK33" s="47"/>
      <c r="IKL33" s="47"/>
      <c r="IKM33" s="47"/>
      <c r="IKN33" s="47"/>
      <c r="IKO33" s="47"/>
      <c r="IKP33" s="47"/>
      <c r="IKQ33" s="47"/>
      <c r="IKR33" s="47"/>
      <c r="IKS33" s="47"/>
      <c r="IKT33" s="47"/>
      <c r="IKU33" s="47"/>
      <c r="IKV33" s="47"/>
      <c r="IKW33" s="47"/>
      <c r="IKX33" s="47"/>
      <c r="IKY33" s="47"/>
      <c r="IKZ33" s="47"/>
      <c r="ILA33" s="47"/>
      <c r="ILB33" s="47"/>
      <c r="ILC33" s="47"/>
      <c r="ILD33" s="47"/>
      <c r="ILE33" s="47"/>
      <c r="ILF33" s="47"/>
      <c r="ILG33" s="47"/>
      <c r="ILH33" s="47"/>
      <c r="ILI33" s="47"/>
      <c r="ILJ33" s="47"/>
      <c r="ILK33" s="47"/>
      <c r="ILL33" s="47"/>
      <c r="ILM33" s="47"/>
      <c r="ILN33" s="47"/>
      <c r="ILO33" s="47"/>
      <c r="ILP33" s="47"/>
      <c r="ILQ33" s="47"/>
      <c r="ILR33" s="47"/>
      <c r="ILS33" s="47"/>
      <c r="ILT33" s="47"/>
      <c r="ILU33" s="47"/>
      <c r="ILV33" s="47"/>
      <c r="ILW33" s="47"/>
      <c r="ILX33" s="47"/>
      <c r="ILY33" s="47"/>
      <c r="ILZ33" s="47"/>
      <c r="IMA33" s="47"/>
      <c r="IMB33" s="47"/>
      <c r="IMC33" s="47"/>
      <c r="IMD33" s="47"/>
      <c r="IME33" s="47"/>
      <c r="IMF33" s="47"/>
      <c r="IMG33" s="47"/>
      <c r="IMH33" s="47"/>
      <c r="IMI33" s="47"/>
      <c r="IMJ33" s="47"/>
      <c r="IMK33" s="47"/>
      <c r="IML33" s="47"/>
      <c r="IMM33" s="47"/>
      <c r="IMN33" s="47"/>
      <c r="IMO33" s="47"/>
      <c r="IMP33" s="47"/>
      <c r="IMQ33" s="47"/>
      <c r="IMR33" s="47"/>
      <c r="IMS33" s="47"/>
      <c r="IMT33" s="47"/>
      <c r="IMU33" s="47"/>
      <c r="IMV33" s="47"/>
      <c r="IMW33" s="47"/>
      <c r="IMX33" s="47"/>
      <c r="IMY33" s="47"/>
      <c r="IMZ33" s="47"/>
      <c r="INA33" s="47"/>
      <c r="INB33" s="47"/>
      <c r="INC33" s="47"/>
      <c r="IND33" s="47"/>
      <c r="INE33" s="47"/>
      <c r="INF33" s="47"/>
      <c r="ING33" s="47"/>
      <c r="INH33" s="47"/>
      <c r="INI33" s="47"/>
      <c r="INJ33" s="47"/>
      <c r="INK33" s="47"/>
      <c r="INL33" s="47"/>
      <c r="INM33" s="47"/>
      <c r="INN33" s="47"/>
      <c r="INO33" s="47"/>
      <c r="INP33" s="47"/>
      <c r="INQ33" s="47"/>
      <c r="INR33" s="47"/>
      <c r="INS33" s="47"/>
      <c r="INT33" s="47"/>
      <c r="INU33" s="47"/>
      <c r="INV33" s="47"/>
      <c r="INW33" s="47"/>
      <c r="INX33" s="47"/>
      <c r="INY33" s="47"/>
      <c r="INZ33" s="47"/>
      <c r="IOA33" s="47"/>
      <c r="IOB33" s="47"/>
      <c r="IOC33" s="47"/>
      <c r="IOD33" s="47"/>
      <c r="IOE33" s="47"/>
      <c r="IOF33" s="47"/>
      <c r="IOG33" s="47"/>
      <c r="IOH33" s="47"/>
      <c r="IOI33" s="47"/>
      <c r="IOJ33" s="47"/>
      <c r="IOK33" s="47"/>
      <c r="IOL33" s="47"/>
      <c r="IOM33" s="47"/>
      <c r="ION33" s="47"/>
      <c r="IOO33" s="47"/>
      <c r="IOP33" s="47"/>
      <c r="IOQ33" s="47"/>
      <c r="IOR33" s="47"/>
      <c r="IOS33" s="47"/>
      <c r="IOT33" s="47"/>
      <c r="IOU33" s="47"/>
      <c r="IOV33" s="47"/>
      <c r="IOW33" s="47"/>
      <c r="IOX33" s="47"/>
      <c r="IOY33" s="47"/>
      <c r="IOZ33" s="47"/>
      <c r="IPA33" s="47"/>
      <c r="IPB33" s="47"/>
      <c r="IPC33" s="47"/>
      <c r="IPD33" s="47"/>
      <c r="IPE33" s="47"/>
      <c r="IPF33" s="47"/>
      <c r="IPG33" s="47"/>
      <c r="IPH33" s="47"/>
      <c r="IPI33" s="47"/>
      <c r="IPJ33" s="47"/>
      <c r="IPK33" s="47"/>
      <c r="IPL33" s="47"/>
      <c r="IPM33" s="47"/>
      <c r="IPN33" s="47"/>
      <c r="IPO33" s="47"/>
      <c r="IPP33" s="47"/>
      <c r="IPQ33" s="47"/>
      <c r="IPR33" s="47"/>
      <c r="IPS33" s="47"/>
      <c r="IPT33" s="47"/>
      <c r="IPU33" s="47"/>
      <c r="IPV33" s="47"/>
      <c r="IPW33" s="47"/>
      <c r="IPX33" s="47"/>
      <c r="IPY33" s="47"/>
      <c r="IPZ33" s="47"/>
      <c r="IQA33" s="47"/>
      <c r="IQB33" s="47"/>
      <c r="IQC33" s="47"/>
      <c r="IQD33" s="47"/>
      <c r="IQE33" s="47"/>
      <c r="IQF33" s="47"/>
      <c r="IQG33" s="47"/>
      <c r="IQH33" s="47"/>
      <c r="IQI33" s="47"/>
      <c r="IQJ33" s="47"/>
      <c r="IQK33" s="47"/>
      <c r="IQL33" s="47"/>
      <c r="IQM33" s="47"/>
      <c r="IQN33" s="47"/>
      <c r="IQO33" s="47"/>
      <c r="IQP33" s="47"/>
      <c r="IQQ33" s="47"/>
      <c r="IQR33" s="47"/>
      <c r="IQS33" s="47"/>
      <c r="IQT33" s="47"/>
      <c r="IQU33" s="47"/>
      <c r="IQV33" s="47"/>
      <c r="IQW33" s="47"/>
      <c r="IQX33" s="47"/>
      <c r="IQY33" s="47"/>
      <c r="IQZ33" s="47"/>
      <c r="IRA33" s="47"/>
      <c r="IRB33" s="47"/>
      <c r="IRC33" s="47"/>
      <c r="IRD33" s="47"/>
      <c r="IRE33" s="47"/>
      <c r="IRF33" s="47"/>
      <c r="IRG33" s="47"/>
      <c r="IRH33" s="47"/>
      <c r="IRI33" s="47"/>
      <c r="IRJ33" s="47"/>
      <c r="IRK33" s="47"/>
      <c r="IRL33" s="47"/>
      <c r="IRM33" s="47"/>
      <c r="IRN33" s="47"/>
      <c r="IRO33" s="47"/>
      <c r="IRP33" s="47"/>
      <c r="IRQ33" s="47"/>
      <c r="IRR33" s="47"/>
      <c r="IRS33" s="47"/>
      <c r="IRT33" s="47"/>
      <c r="IRU33" s="47"/>
      <c r="IRV33" s="47"/>
      <c r="IRW33" s="47"/>
      <c r="IRX33" s="47"/>
      <c r="IRY33" s="47"/>
      <c r="IRZ33" s="47"/>
      <c r="ISA33" s="47"/>
      <c r="ISB33" s="47"/>
      <c r="ISC33" s="47"/>
      <c r="ISD33" s="47"/>
      <c r="ISE33" s="47"/>
      <c r="ISF33" s="47"/>
      <c r="ISG33" s="47"/>
      <c r="ISH33" s="47"/>
      <c r="ISI33" s="47"/>
      <c r="ISJ33" s="47"/>
      <c r="ISK33" s="47"/>
      <c r="ISL33" s="47"/>
      <c r="ISM33" s="47"/>
      <c r="ISN33" s="47"/>
      <c r="ISO33" s="47"/>
      <c r="ISP33" s="47"/>
      <c r="ISQ33" s="47"/>
      <c r="ISR33" s="47"/>
      <c r="ISS33" s="47"/>
      <c r="IST33" s="47"/>
      <c r="ISU33" s="47"/>
      <c r="ISV33" s="47"/>
      <c r="ISW33" s="47"/>
      <c r="ISX33" s="47"/>
      <c r="ISY33" s="47"/>
      <c r="ISZ33" s="47"/>
      <c r="ITA33" s="47"/>
      <c r="ITB33" s="47"/>
      <c r="ITC33" s="47"/>
      <c r="ITD33" s="47"/>
      <c r="ITE33" s="47"/>
      <c r="ITF33" s="47"/>
      <c r="ITG33" s="47"/>
      <c r="ITH33" s="47"/>
      <c r="ITI33" s="47"/>
      <c r="ITJ33" s="47"/>
      <c r="ITK33" s="47"/>
      <c r="ITL33" s="47"/>
      <c r="ITM33" s="47"/>
      <c r="ITN33" s="47"/>
      <c r="ITO33" s="47"/>
      <c r="ITP33" s="47"/>
      <c r="ITQ33" s="47"/>
      <c r="ITR33" s="47"/>
      <c r="ITS33" s="47"/>
      <c r="ITT33" s="47"/>
      <c r="ITU33" s="47"/>
      <c r="ITV33" s="47"/>
      <c r="ITW33" s="47"/>
      <c r="ITX33" s="47"/>
      <c r="ITY33" s="47"/>
      <c r="ITZ33" s="47"/>
      <c r="IUA33" s="47"/>
      <c r="IUB33" s="47"/>
      <c r="IUC33" s="47"/>
      <c r="IUD33" s="47"/>
      <c r="IUE33" s="47"/>
      <c r="IUF33" s="47"/>
      <c r="IUG33" s="47"/>
      <c r="IUH33" s="47"/>
      <c r="IUI33" s="47"/>
      <c r="IUJ33" s="47"/>
      <c r="IUK33" s="47"/>
      <c r="IUL33" s="47"/>
      <c r="IUM33" s="47"/>
      <c r="IUN33" s="47"/>
      <c r="IUO33" s="47"/>
      <c r="IUP33" s="47"/>
      <c r="IUQ33" s="47"/>
      <c r="IUR33" s="47"/>
      <c r="IUS33" s="47"/>
      <c r="IUT33" s="47"/>
      <c r="IUU33" s="47"/>
      <c r="IUV33" s="47"/>
      <c r="IUW33" s="47"/>
      <c r="IUX33" s="47"/>
      <c r="IUY33" s="47"/>
      <c r="IUZ33" s="47"/>
      <c r="IVA33" s="47"/>
      <c r="IVB33" s="47"/>
      <c r="IVC33" s="47"/>
      <c r="IVD33" s="47"/>
      <c r="IVE33" s="47"/>
      <c r="IVF33" s="47"/>
      <c r="IVG33" s="47"/>
      <c r="IVH33" s="47"/>
      <c r="IVI33" s="47"/>
      <c r="IVJ33" s="47"/>
      <c r="IVK33" s="47"/>
      <c r="IVL33" s="47"/>
      <c r="IVM33" s="47"/>
      <c r="IVN33" s="47"/>
      <c r="IVO33" s="47"/>
      <c r="IVP33" s="47"/>
      <c r="IVQ33" s="47"/>
      <c r="IVR33" s="47"/>
      <c r="IVS33" s="47"/>
      <c r="IVT33" s="47"/>
      <c r="IVU33" s="47"/>
      <c r="IVV33" s="47"/>
      <c r="IVW33" s="47"/>
      <c r="IVX33" s="47"/>
      <c r="IVY33" s="47"/>
      <c r="IVZ33" s="47"/>
      <c r="IWA33" s="47"/>
      <c r="IWB33" s="47"/>
      <c r="IWC33" s="47"/>
      <c r="IWD33" s="47"/>
      <c r="IWE33" s="47"/>
      <c r="IWF33" s="47"/>
      <c r="IWG33" s="47"/>
      <c r="IWH33" s="47"/>
      <c r="IWI33" s="47"/>
      <c r="IWJ33" s="47"/>
      <c r="IWK33" s="47"/>
      <c r="IWL33" s="47"/>
      <c r="IWM33" s="47"/>
      <c r="IWN33" s="47"/>
      <c r="IWO33" s="47"/>
      <c r="IWP33" s="47"/>
      <c r="IWQ33" s="47"/>
      <c r="IWR33" s="47"/>
      <c r="IWS33" s="47"/>
      <c r="IWT33" s="47"/>
      <c r="IWU33" s="47"/>
      <c r="IWV33" s="47"/>
      <c r="IWW33" s="47"/>
      <c r="IWX33" s="47"/>
      <c r="IWY33" s="47"/>
      <c r="IWZ33" s="47"/>
      <c r="IXA33" s="47"/>
      <c r="IXB33" s="47"/>
      <c r="IXC33" s="47"/>
      <c r="IXD33" s="47"/>
      <c r="IXE33" s="47"/>
      <c r="IXF33" s="47"/>
      <c r="IXG33" s="47"/>
      <c r="IXH33" s="47"/>
      <c r="IXI33" s="47"/>
      <c r="IXJ33" s="47"/>
      <c r="IXK33" s="47"/>
      <c r="IXL33" s="47"/>
      <c r="IXM33" s="47"/>
      <c r="IXN33" s="47"/>
      <c r="IXO33" s="47"/>
      <c r="IXP33" s="47"/>
      <c r="IXQ33" s="47"/>
      <c r="IXR33" s="47"/>
      <c r="IXS33" s="47"/>
      <c r="IXT33" s="47"/>
      <c r="IXU33" s="47"/>
      <c r="IXV33" s="47"/>
      <c r="IXW33" s="47"/>
      <c r="IXX33" s="47"/>
      <c r="IXY33" s="47"/>
      <c r="IXZ33" s="47"/>
      <c r="IYA33" s="47"/>
      <c r="IYB33" s="47"/>
      <c r="IYC33" s="47"/>
      <c r="IYD33" s="47"/>
      <c r="IYE33" s="47"/>
      <c r="IYF33" s="47"/>
      <c r="IYG33" s="47"/>
      <c r="IYH33" s="47"/>
      <c r="IYI33" s="47"/>
      <c r="IYJ33" s="47"/>
      <c r="IYK33" s="47"/>
      <c r="IYL33" s="47"/>
      <c r="IYM33" s="47"/>
      <c r="IYN33" s="47"/>
      <c r="IYO33" s="47"/>
      <c r="IYP33" s="47"/>
      <c r="IYQ33" s="47"/>
      <c r="IYR33" s="47"/>
      <c r="IYS33" s="47"/>
      <c r="IYT33" s="47"/>
      <c r="IYU33" s="47"/>
      <c r="IYV33" s="47"/>
      <c r="IYW33" s="47"/>
      <c r="IYX33" s="47"/>
      <c r="IYY33" s="47"/>
      <c r="IYZ33" s="47"/>
      <c r="IZA33" s="47"/>
      <c r="IZB33" s="47"/>
      <c r="IZC33" s="47"/>
      <c r="IZD33" s="47"/>
      <c r="IZE33" s="47"/>
      <c r="IZF33" s="47"/>
      <c r="IZG33" s="47"/>
      <c r="IZH33" s="47"/>
      <c r="IZI33" s="47"/>
      <c r="IZJ33" s="47"/>
      <c r="IZK33" s="47"/>
      <c r="IZL33" s="47"/>
      <c r="IZM33" s="47"/>
      <c r="IZN33" s="47"/>
      <c r="IZO33" s="47"/>
      <c r="IZP33" s="47"/>
      <c r="IZQ33" s="47"/>
      <c r="IZR33" s="47"/>
      <c r="IZS33" s="47"/>
      <c r="IZT33" s="47"/>
      <c r="IZU33" s="47"/>
      <c r="IZV33" s="47"/>
      <c r="IZW33" s="47"/>
      <c r="IZX33" s="47"/>
      <c r="IZY33" s="47"/>
      <c r="IZZ33" s="47"/>
      <c r="JAA33" s="47"/>
      <c r="JAB33" s="47"/>
      <c r="JAC33" s="47"/>
      <c r="JAD33" s="47"/>
      <c r="JAE33" s="47"/>
      <c r="JAF33" s="47"/>
      <c r="JAG33" s="47"/>
      <c r="JAH33" s="47"/>
      <c r="JAI33" s="47"/>
      <c r="JAJ33" s="47"/>
      <c r="JAK33" s="47"/>
      <c r="JAL33" s="47"/>
      <c r="JAM33" s="47"/>
      <c r="JAN33" s="47"/>
      <c r="JAO33" s="47"/>
      <c r="JAP33" s="47"/>
      <c r="JAQ33" s="47"/>
      <c r="JAR33" s="47"/>
      <c r="JAS33" s="47"/>
      <c r="JAT33" s="47"/>
      <c r="JAU33" s="47"/>
      <c r="JAV33" s="47"/>
      <c r="JAW33" s="47"/>
      <c r="JAX33" s="47"/>
      <c r="JAY33" s="47"/>
      <c r="JAZ33" s="47"/>
      <c r="JBA33" s="47"/>
      <c r="JBB33" s="47"/>
      <c r="JBC33" s="47"/>
      <c r="JBD33" s="47"/>
      <c r="JBE33" s="47"/>
      <c r="JBF33" s="47"/>
      <c r="JBG33" s="47"/>
      <c r="JBH33" s="47"/>
      <c r="JBI33" s="47"/>
      <c r="JBJ33" s="47"/>
      <c r="JBK33" s="47"/>
      <c r="JBL33" s="47"/>
      <c r="JBM33" s="47"/>
      <c r="JBN33" s="47"/>
      <c r="JBO33" s="47"/>
      <c r="JBP33" s="47"/>
      <c r="JBQ33" s="47"/>
      <c r="JBR33" s="47"/>
      <c r="JBS33" s="47"/>
      <c r="JBT33" s="47"/>
      <c r="JBU33" s="47"/>
      <c r="JBV33" s="47"/>
      <c r="JBW33" s="47"/>
      <c r="JBX33" s="47"/>
      <c r="JBY33" s="47"/>
      <c r="JBZ33" s="47"/>
      <c r="JCA33" s="47"/>
      <c r="JCB33" s="47"/>
      <c r="JCC33" s="47"/>
      <c r="JCD33" s="47"/>
      <c r="JCE33" s="47"/>
      <c r="JCF33" s="47"/>
      <c r="JCG33" s="47"/>
      <c r="JCH33" s="47"/>
      <c r="JCI33" s="47"/>
      <c r="JCJ33" s="47"/>
      <c r="JCK33" s="47"/>
      <c r="JCL33" s="47"/>
      <c r="JCM33" s="47"/>
      <c r="JCN33" s="47"/>
      <c r="JCO33" s="47"/>
      <c r="JCP33" s="47"/>
      <c r="JCQ33" s="47"/>
      <c r="JCR33" s="47"/>
      <c r="JCS33" s="47"/>
      <c r="JCT33" s="47"/>
      <c r="JCU33" s="47"/>
      <c r="JCV33" s="47"/>
      <c r="JCW33" s="47"/>
      <c r="JCX33" s="47"/>
      <c r="JCY33" s="47"/>
      <c r="JCZ33" s="47"/>
      <c r="JDA33" s="47"/>
      <c r="JDB33" s="47"/>
      <c r="JDC33" s="47"/>
      <c r="JDD33" s="47"/>
      <c r="JDE33" s="47"/>
      <c r="JDF33" s="47"/>
      <c r="JDG33" s="47"/>
      <c r="JDH33" s="47"/>
      <c r="JDI33" s="47"/>
      <c r="JDJ33" s="47"/>
      <c r="JDK33" s="47"/>
      <c r="JDL33" s="47"/>
      <c r="JDM33" s="47"/>
      <c r="JDN33" s="47"/>
      <c r="JDO33" s="47"/>
      <c r="JDP33" s="47"/>
      <c r="JDQ33" s="47"/>
      <c r="JDR33" s="47"/>
      <c r="JDS33" s="47"/>
      <c r="JDT33" s="47"/>
      <c r="JDU33" s="47"/>
      <c r="JDV33" s="47"/>
      <c r="JDW33" s="47"/>
      <c r="JDX33" s="47"/>
      <c r="JDY33" s="47"/>
      <c r="JDZ33" s="47"/>
      <c r="JEA33" s="47"/>
      <c r="JEB33" s="47"/>
      <c r="JEC33" s="47"/>
      <c r="JED33" s="47"/>
      <c r="JEE33" s="47"/>
      <c r="JEF33" s="47"/>
      <c r="JEG33" s="47"/>
      <c r="JEH33" s="47"/>
      <c r="JEI33" s="47"/>
      <c r="JEJ33" s="47"/>
      <c r="JEK33" s="47"/>
      <c r="JEL33" s="47"/>
      <c r="JEM33" s="47"/>
      <c r="JEN33" s="47"/>
      <c r="JEO33" s="47"/>
      <c r="JEP33" s="47"/>
      <c r="JEQ33" s="47"/>
      <c r="JER33" s="47"/>
      <c r="JES33" s="47"/>
      <c r="JET33" s="47"/>
      <c r="JEU33" s="47"/>
      <c r="JEV33" s="47"/>
      <c r="JEW33" s="47"/>
      <c r="JEX33" s="47"/>
      <c r="JEY33" s="47"/>
      <c r="JEZ33" s="47"/>
      <c r="JFA33" s="47"/>
      <c r="JFB33" s="47"/>
      <c r="JFC33" s="47"/>
      <c r="JFD33" s="47"/>
      <c r="JFE33" s="47"/>
      <c r="JFF33" s="47"/>
      <c r="JFG33" s="47"/>
      <c r="JFH33" s="47"/>
      <c r="JFI33" s="47"/>
      <c r="JFJ33" s="47"/>
      <c r="JFK33" s="47"/>
      <c r="JFL33" s="47"/>
      <c r="JFM33" s="47"/>
      <c r="JFN33" s="47"/>
      <c r="JFO33" s="47"/>
      <c r="JFP33" s="47"/>
      <c r="JFQ33" s="47"/>
      <c r="JFR33" s="47"/>
      <c r="JFS33" s="47"/>
      <c r="JFT33" s="47"/>
      <c r="JFU33" s="47"/>
      <c r="JFV33" s="47"/>
      <c r="JFW33" s="47"/>
      <c r="JFX33" s="47"/>
      <c r="JFY33" s="47"/>
      <c r="JFZ33" s="47"/>
      <c r="JGA33" s="47"/>
      <c r="JGB33" s="47"/>
      <c r="JGC33" s="47"/>
      <c r="JGD33" s="47"/>
      <c r="JGE33" s="47"/>
      <c r="JGF33" s="47"/>
      <c r="JGG33" s="47"/>
      <c r="JGH33" s="47"/>
      <c r="JGI33" s="47"/>
      <c r="JGJ33" s="47"/>
      <c r="JGK33" s="47"/>
      <c r="JGL33" s="47"/>
      <c r="JGM33" s="47"/>
      <c r="JGN33" s="47"/>
      <c r="JGO33" s="47"/>
      <c r="JGP33" s="47"/>
      <c r="JGQ33" s="47"/>
      <c r="JGR33" s="47"/>
      <c r="JGS33" s="47"/>
      <c r="JGT33" s="47"/>
      <c r="JGU33" s="47"/>
      <c r="JGV33" s="47"/>
      <c r="JGW33" s="47"/>
      <c r="JGX33" s="47"/>
      <c r="JGY33" s="47"/>
      <c r="JGZ33" s="47"/>
      <c r="JHA33" s="47"/>
      <c r="JHB33" s="47"/>
      <c r="JHC33" s="47"/>
      <c r="JHD33" s="47"/>
      <c r="JHE33" s="47"/>
      <c r="JHF33" s="47"/>
      <c r="JHG33" s="47"/>
      <c r="JHH33" s="47"/>
      <c r="JHI33" s="47"/>
      <c r="JHJ33" s="47"/>
      <c r="JHK33" s="47"/>
      <c r="JHL33" s="47"/>
      <c r="JHM33" s="47"/>
      <c r="JHN33" s="47"/>
      <c r="JHO33" s="47"/>
      <c r="JHP33" s="47"/>
      <c r="JHQ33" s="47"/>
      <c r="JHR33" s="47"/>
      <c r="JHS33" s="47"/>
      <c r="JHT33" s="47"/>
      <c r="JHU33" s="47"/>
      <c r="JHV33" s="47"/>
      <c r="JHW33" s="47"/>
      <c r="JHX33" s="47"/>
      <c r="JHY33" s="47"/>
      <c r="JHZ33" s="47"/>
      <c r="JIA33" s="47"/>
      <c r="JIB33" s="47"/>
      <c r="JIC33" s="47"/>
      <c r="JID33" s="47"/>
      <c r="JIE33" s="47"/>
      <c r="JIF33" s="47"/>
      <c r="JIG33" s="47"/>
      <c r="JIH33" s="47"/>
      <c r="JII33" s="47"/>
      <c r="JIJ33" s="47"/>
      <c r="JIK33" s="47"/>
      <c r="JIL33" s="47"/>
      <c r="JIM33" s="47"/>
      <c r="JIN33" s="47"/>
      <c r="JIO33" s="47"/>
      <c r="JIP33" s="47"/>
      <c r="JIQ33" s="47"/>
      <c r="JIR33" s="47"/>
      <c r="JIS33" s="47"/>
      <c r="JIT33" s="47"/>
      <c r="JIU33" s="47"/>
      <c r="JIV33" s="47"/>
      <c r="JIW33" s="47"/>
      <c r="JIX33" s="47"/>
      <c r="JIY33" s="47"/>
      <c r="JIZ33" s="47"/>
      <c r="JJA33" s="47"/>
      <c r="JJB33" s="47"/>
      <c r="JJC33" s="47"/>
      <c r="JJD33" s="47"/>
      <c r="JJE33" s="47"/>
      <c r="JJF33" s="47"/>
      <c r="JJG33" s="47"/>
      <c r="JJH33" s="47"/>
      <c r="JJI33" s="47"/>
      <c r="JJJ33" s="47"/>
      <c r="JJK33" s="47"/>
      <c r="JJL33" s="47"/>
      <c r="JJM33" s="47"/>
      <c r="JJN33" s="47"/>
      <c r="JJO33" s="47"/>
      <c r="JJP33" s="47"/>
      <c r="JJQ33" s="47"/>
      <c r="JJR33" s="47"/>
      <c r="JJS33" s="47"/>
      <c r="JJT33" s="47"/>
      <c r="JJU33" s="47"/>
      <c r="JJV33" s="47"/>
      <c r="JJW33" s="47"/>
      <c r="JJX33" s="47"/>
      <c r="JJY33" s="47"/>
      <c r="JJZ33" s="47"/>
      <c r="JKA33" s="47"/>
      <c r="JKB33" s="47"/>
      <c r="JKC33" s="47"/>
      <c r="JKD33" s="47"/>
      <c r="JKE33" s="47"/>
      <c r="JKF33" s="47"/>
      <c r="JKG33" s="47"/>
      <c r="JKH33" s="47"/>
      <c r="JKI33" s="47"/>
      <c r="JKJ33" s="47"/>
      <c r="JKK33" s="47"/>
      <c r="JKL33" s="47"/>
      <c r="JKM33" s="47"/>
      <c r="JKN33" s="47"/>
      <c r="JKO33" s="47"/>
      <c r="JKP33" s="47"/>
      <c r="JKQ33" s="47"/>
      <c r="JKR33" s="47"/>
      <c r="JKS33" s="47"/>
      <c r="JKT33" s="47"/>
      <c r="JKU33" s="47"/>
      <c r="JKV33" s="47"/>
      <c r="JKW33" s="47"/>
      <c r="JKX33" s="47"/>
      <c r="JKY33" s="47"/>
      <c r="JKZ33" s="47"/>
      <c r="JLA33" s="47"/>
      <c r="JLB33" s="47"/>
      <c r="JLC33" s="47"/>
      <c r="JLD33" s="47"/>
      <c r="JLE33" s="47"/>
      <c r="JLF33" s="47"/>
      <c r="JLG33" s="47"/>
      <c r="JLH33" s="47"/>
      <c r="JLI33" s="47"/>
      <c r="JLJ33" s="47"/>
      <c r="JLK33" s="47"/>
      <c r="JLL33" s="47"/>
      <c r="JLM33" s="47"/>
      <c r="JLN33" s="47"/>
      <c r="JLO33" s="47"/>
      <c r="JLP33" s="47"/>
      <c r="JLQ33" s="47"/>
      <c r="JLR33" s="47"/>
      <c r="JLS33" s="47"/>
      <c r="JLT33" s="47"/>
      <c r="JLU33" s="47"/>
      <c r="JLV33" s="47"/>
      <c r="JLW33" s="47"/>
      <c r="JLX33" s="47"/>
      <c r="JLY33" s="47"/>
      <c r="JLZ33" s="47"/>
      <c r="JMA33" s="47"/>
      <c r="JMB33" s="47"/>
      <c r="JMC33" s="47"/>
      <c r="JMD33" s="47"/>
      <c r="JME33" s="47"/>
      <c r="JMF33" s="47"/>
      <c r="JMG33" s="47"/>
      <c r="JMH33" s="47"/>
      <c r="JMI33" s="47"/>
      <c r="JMJ33" s="47"/>
      <c r="JMK33" s="47"/>
      <c r="JML33" s="47"/>
      <c r="JMM33" s="47"/>
      <c r="JMN33" s="47"/>
      <c r="JMO33" s="47"/>
      <c r="JMP33" s="47"/>
      <c r="JMQ33" s="47"/>
      <c r="JMR33" s="47"/>
      <c r="JMS33" s="47"/>
      <c r="JMT33" s="47"/>
      <c r="JMU33" s="47"/>
      <c r="JMV33" s="47"/>
      <c r="JMW33" s="47"/>
      <c r="JMX33" s="47"/>
      <c r="JMY33" s="47"/>
      <c r="JMZ33" s="47"/>
      <c r="JNA33" s="47"/>
      <c r="JNB33" s="47"/>
      <c r="JNC33" s="47"/>
      <c r="JND33" s="47"/>
      <c r="JNE33" s="47"/>
      <c r="JNF33" s="47"/>
      <c r="JNG33" s="47"/>
      <c r="JNH33" s="47"/>
      <c r="JNI33" s="47"/>
      <c r="JNJ33" s="47"/>
      <c r="JNK33" s="47"/>
      <c r="JNL33" s="47"/>
      <c r="JNM33" s="47"/>
      <c r="JNN33" s="47"/>
      <c r="JNO33" s="47"/>
      <c r="JNP33" s="47"/>
      <c r="JNQ33" s="47"/>
      <c r="JNR33" s="47"/>
      <c r="JNS33" s="47"/>
      <c r="JNT33" s="47"/>
      <c r="JNU33" s="47"/>
      <c r="JNV33" s="47"/>
      <c r="JNW33" s="47"/>
      <c r="JNX33" s="47"/>
      <c r="JNY33" s="47"/>
      <c r="JNZ33" s="47"/>
      <c r="JOA33" s="47"/>
      <c r="JOB33" s="47"/>
      <c r="JOC33" s="47"/>
      <c r="JOD33" s="47"/>
      <c r="JOE33" s="47"/>
      <c r="JOF33" s="47"/>
      <c r="JOG33" s="47"/>
      <c r="JOH33" s="47"/>
      <c r="JOI33" s="47"/>
      <c r="JOJ33" s="47"/>
      <c r="JOK33" s="47"/>
      <c r="JOL33" s="47"/>
      <c r="JOM33" s="47"/>
      <c r="JON33" s="47"/>
      <c r="JOO33" s="47"/>
      <c r="JOP33" s="47"/>
      <c r="JOQ33" s="47"/>
      <c r="JOR33" s="47"/>
      <c r="JOS33" s="47"/>
      <c r="JOT33" s="47"/>
      <c r="JOU33" s="47"/>
      <c r="JOV33" s="47"/>
      <c r="JOW33" s="47"/>
      <c r="JOX33" s="47"/>
      <c r="JOY33" s="47"/>
      <c r="JOZ33" s="47"/>
      <c r="JPA33" s="47"/>
      <c r="JPB33" s="47"/>
      <c r="JPC33" s="47"/>
      <c r="JPD33" s="47"/>
      <c r="JPE33" s="47"/>
      <c r="JPF33" s="47"/>
      <c r="JPG33" s="47"/>
      <c r="JPH33" s="47"/>
      <c r="JPI33" s="47"/>
      <c r="JPJ33" s="47"/>
      <c r="JPK33" s="47"/>
      <c r="JPL33" s="47"/>
      <c r="JPM33" s="47"/>
      <c r="JPN33" s="47"/>
      <c r="JPO33" s="47"/>
      <c r="JPP33" s="47"/>
      <c r="JPQ33" s="47"/>
      <c r="JPR33" s="47"/>
      <c r="JPS33" s="47"/>
      <c r="JPT33" s="47"/>
      <c r="JPU33" s="47"/>
      <c r="JPV33" s="47"/>
      <c r="JPW33" s="47"/>
      <c r="JPX33" s="47"/>
      <c r="JPY33" s="47"/>
      <c r="JPZ33" s="47"/>
      <c r="JQA33" s="47"/>
      <c r="JQB33" s="47"/>
      <c r="JQC33" s="47"/>
      <c r="JQD33" s="47"/>
      <c r="JQE33" s="47"/>
      <c r="JQF33" s="47"/>
      <c r="JQG33" s="47"/>
      <c r="JQH33" s="47"/>
      <c r="JQI33" s="47"/>
      <c r="JQJ33" s="47"/>
      <c r="JQK33" s="47"/>
      <c r="JQL33" s="47"/>
      <c r="JQM33" s="47"/>
      <c r="JQN33" s="47"/>
      <c r="JQO33" s="47"/>
      <c r="JQP33" s="47"/>
      <c r="JQQ33" s="47"/>
      <c r="JQR33" s="47"/>
      <c r="JQS33" s="47"/>
      <c r="JQT33" s="47"/>
      <c r="JQU33" s="47"/>
      <c r="JQV33" s="47"/>
      <c r="JQW33" s="47"/>
      <c r="JQX33" s="47"/>
      <c r="JQY33" s="47"/>
      <c r="JQZ33" s="47"/>
      <c r="JRA33" s="47"/>
      <c r="JRB33" s="47"/>
      <c r="JRC33" s="47"/>
      <c r="JRD33" s="47"/>
      <c r="JRE33" s="47"/>
      <c r="JRF33" s="47"/>
      <c r="JRG33" s="47"/>
      <c r="JRH33" s="47"/>
      <c r="JRI33" s="47"/>
      <c r="JRJ33" s="47"/>
      <c r="JRK33" s="47"/>
      <c r="JRL33" s="47"/>
      <c r="JRM33" s="47"/>
      <c r="JRN33" s="47"/>
      <c r="JRO33" s="47"/>
      <c r="JRP33" s="47"/>
      <c r="JRQ33" s="47"/>
      <c r="JRR33" s="47"/>
      <c r="JRS33" s="47"/>
      <c r="JRT33" s="47"/>
      <c r="JRU33" s="47"/>
      <c r="JRV33" s="47"/>
      <c r="JRW33" s="47"/>
      <c r="JRX33" s="47"/>
      <c r="JRY33" s="47"/>
      <c r="JRZ33" s="47"/>
      <c r="JSA33" s="47"/>
      <c r="JSB33" s="47"/>
      <c r="JSC33" s="47"/>
      <c r="JSD33" s="47"/>
      <c r="JSE33" s="47"/>
      <c r="JSF33" s="47"/>
      <c r="JSG33" s="47"/>
      <c r="JSH33" s="47"/>
      <c r="JSI33" s="47"/>
      <c r="JSJ33" s="47"/>
      <c r="JSK33" s="47"/>
      <c r="JSL33" s="47"/>
      <c r="JSM33" s="47"/>
      <c r="JSN33" s="47"/>
      <c r="JSO33" s="47"/>
      <c r="JSP33" s="47"/>
      <c r="JSQ33" s="47"/>
      <c r="JSR33" s="47"/>
      <c r="JSS33" s="47"/>
      <c r="JST33" s="47"/>
      <c r="JSU33" s="47"/>
      <c r="JSV33" s="47"/>
      <c r="JSW33" s="47"/>
      <c r="JSX33" s="47"/>
      <c r="JSY33" s="47"/>
      <c r="JSZ33" s="47"/>
      <c r="JTA33" s="47"/>
      <c r="JTB33" s="47"/>
      <c r="JTC33" s="47"/>
      <c r="JTD33" s="47"/>
      <c r="JTE33" s="47"/>
      <c r="JTF33" s="47"/>
      <c r="JTG33" s="47"/>
      <c r="JTH33" s="47"/>
      <c r="JTI33" s="47"/>
      <c r="JTJ33" s="47"/>
      <c r="JTK33" s="47"/>
      <c r="JTL33" s="47"/>
      <c r="JTM33" s="47"/>
      <c r="JTN33" s="47"/>
      <c r="JTO33" s="47"/>
      <c r="JTP33" s="47"/>
      <c r="JTQ33" s="47"/>
      <c r="JTR33" s="47"/>
      <c r="JTS33" s="47"/>
      <c r="JTT33" s="47"/>
      <c r="JTU33" s="47"/>
      <c r="JTV33" s="47"/>
      <c r="JTW33" s="47"/>
      <c r="JTX33" s="47"/>
      <c r="JTY33" s="47"/>
      <c r="JTZ33" s="47"/>
      <c r="JUA33" s="47"/>
      <c r="JUB33" s="47"/>
      <c r="JUC33" s="47"/>
      <c r="JUD33" s="47"/>
      <c r="JUE33" s="47"/>
      <c r="JUF33" s="47"/>
      <c r="JUG33" s="47"/>
      <c r="JUH33" s="47"/>
      <c r="JUI33" s="47"/>
      <c r="JUJ33" s="47"/>
      <c r="JUK33" s="47"/>
      <c r="JUL33" s="47"/>
      <c r="JUM33" s="47"/>
      <c r="JUN33" s="47"/>
      <c r="JUO33" s="47"/>
      <c r="JUP33" s="47"/>
      <c r="JUQ33" s="47"/>
      <c r="JUR33" s="47"/>
      <c r="JUS33" s="47"/>
      <c r="JUT33" s="47"/>
      <c r="JUU33" s="47"/>
      <c r="JUV33" s="47"/>
      <c r="JUW33" s="47"/>
      <c r="JUX33" s="47"/>
      <c r="JUY33" s="47"/>
      <c r="JUZ33" s="47"/>
      <c r="JVA33" s="47"/>
      <c r="JVB33" s="47"/>
      <c r="JVC33" s="47"/>
      <c r="JVD33" s="47"/>
      <c r="JVE33" s="47"/>
      <c r="JVF33" s="47"/>
      <c r="JVG33" s="47"/>
      <c r="JVH33" s="47"/>
      <c r="JVI33" s="47"/>
      <c r="JVJ33" s="47"/>
      <c r="JVK33" s="47"/>
      <c r="JVL33" s="47"/>
      <c r="JVM33" s="47"/>
      <c r="JVN33" s="47"/>
      <c r="JVO33" s="47"/>
      <c r="JVP33" s="47"/>
      <c r="JVQ33" s="47"/>
      <c r="JVR33" s="47"/>
      <c r="JVS33" s="47"/>
      <c r="JVT33" s="47"/>
      <c r="JVU33" s="47"/>
      <c r="JVV33" s="47"/>
      <c r="JVW33" s="47"/>
      <c r="JVX33" s="47"/>
      <c r="JVY33" s="47"/>
      <c r="JVZ33" s="47"/>
      <c r="JWA33" s="47"/>
      <c r="JWB33" s="47"/>
      <c r="JWC33" s="47"/>
      <c r="JWD33" s="47"/>
      <c r="JWE33" s="47"/>
      <c r="JWF33" s="47"/>
      <c r="JWG33" s="47"/>
      <c r="JWH33" s="47"/>
      <c r="JWI33" s="47"/>
      <c r="JWJ33" s="47"/>
      <c r="JWK33" s="47"/>
      <c r="JWL33" s="47"/>
      <c r="JWM33" s="47"/>
      <c r="JWN33" s="47"/>
      <c r="JWO33" s="47"/>
      <c r="JWP33" s="47"/>
      <c r="JWQ33" s="47"/>
      <c r="JWR33" s="47"/>
      <c r="JWS33" s="47"/>
      <c r="JWT33" s="47"/>
      <c r="JWU33" s="47"/>
      <c r="JWV33" s="47"/>
      <c r="JWW33" s="47"/>
      <c r="JWX33" s="47"/>
      <c r="JWY33" s="47"/>
      <c r="JWZ33" s="47"/>
      <c r="JXA33" s="47"/>
      <c r="JXB33" s="47"/>
      <c r="JXC33" s="47"/>
      <c r="JXD33" s="47"/>
      <c r="JXE33" s="47"/>
      <c r="JXF33" s="47"/>
      <c r="JXG33" s="47"/>
      <c r="JXH33" s="47"/>
      <c r="JXI33" s="47"/>
      <c r="JXJ33" s="47"/>
      <c r="JXK33" s="47"/>
      <c r="JXL33" s="47"/>
      <c r="JXM33" s="47"/>
      <c r="JXN33" s="47"/>
      <c r="JXO33" s="47"/>
      <c r="JXP33" s="47"/>
      <c r="JXQ33" s="47"/>
      <c r="JXR33" s="47"/>
      <c r="JXS33" s="47"/>
      <c r="JXT33" s="47"/>
      <c r="JXU33" s="47"/>
      <c r="JXV33" s="47"/>
      <c r="JXW33" s="47"/>
      <c r="JXX33" s="47"/>
      <c r="JXY33" s="47"/>
      <c r="JXZ33" s="47"/>
      <c r="JYA33" s="47"/>
      <c r="JYB33" s="47"/>
      <c r="JYC33" s="47"/>
      <c r="JYD33" s="47"/>
      <c r="JYE33" s="47"/>
      <c r="JYF33" s="47"/>
      <c r="JYG33" s="47"/>
      <c r="JYH33" s="47"/>
      <c r="JYI33" s="47"/>
      <c r="JYJ33" s="47"/>
      <c r="JYK33" s="47"/>
      <c r="JYL33" s="47"/>
      <c r="JYM33" s="47"/>
      <c r="JYN33" s="47"/>
      <c r="JYO33" s="47"/>
      <c r="JYP33" s="47"/>
      <c r="JYQ33" s="47"/>
      <c r="JYR33" s="47"/>
      <c r="JYS33" s="47"/>
      <c r="JYT33" s="47"/>
      <c r="JYU33" s="47"/>
      <c r="JYV33" s="47"/>
      <c r="JYW33" s="47"/>
      <c r="JYX33" s="47"/>
      <c r="JYY33" s="47"/>
      <c r="JYZ33" s="47"/>
      <c r="JZA33" s="47"/>
      <c r="JZB33" s="47"/>
      <c r="JZC33" s="47"/>
      <c r="JZD33" s="47"/>
      <c r="JZE33" s="47"/>
      <c r="JZF33" s="47"/>
      <c r="JZG33" s="47"/>
      <c r="JZH33" s="47"/>
      <c r="JZI33" s="47"/>
      <c r="JZJ33" s="47"/>
      <c r="JZK33" s="47"/>
      <c r="JZL33" s="47"/>
      <c r="JZM33" s="47"/>
      <c r="JZN33" s="47"/>
      <c r="JZO33" s="47"/>
      <c r="JZP33" s="47"/>
      <c r="JZQ33" s="47"/>
      <c r="JZR33" s="47"/>
      <c r="JZS33" s="47"/>
      <c r="JZT33" s="47"/>
      <c r="JZU33" s="47"/>
      <c r="JZV33" s="47"/>
      <c r="JZW33" s="47"/>
      <c r="JZX33" s="47"/>
      <c r="JZY33" s="47"/>
      <c r="JZZ33" s="47"/>
      <c r="KAA33" s="47"/>
      <c r="KAB33" s="47"/>
      <c r="KAC33" s="47"/>
      <c r="KAD33" s="47"/>
      <c r="KAE33" s="47"/>
      <c r="KAF33" s="47"/>
      <c r="KAG33" s="47"/>
      <c r="KAH33" s="47"/>
      <c r="KAI33" s="47"/>
      <c r="KAJ33" s="47"/>
      <c r="KAK33" s="47"/>
      <c r="KAL33" s="47"/>
      <c r="KAM33" s="47"/>
      <c r="KAN33" s="47"/>
      <c r="KAO33" s="47"/>
      <c r="KAP33" s="47"/>
      <c r="KAQ33" s="47"/>
      <c r="KAR33" s="47"/>
      <c r="KAS33" s="47"/>
      <c r="KAT33" s="47"/>
      <c r="KAU33" s="47"/>
      <c r="KAV33" s="47"/>
      <c r="KAW33" s="47"/>
      <c r="KAX33" s="47"/>
      <c r="KAY33" s="47"/>
      <c r="KAZ33" s="47"/>
      <c r="KBA33" s="47"/>
      <c r="KBB33" s="47"/>
      <c r="KBC33" s="47"/>
      <c r="KBD33" s="47"/>
      <c r="KBE33" s="47"/>
      <c r="KBF33" s="47"/>
      <c r="KBG33" s="47"/>
      <c r="KBH33" s="47"/>
      <c r="KBI33" s="47"/>
      <c r="KBJ33" s="47"/>
      <c r="KBK33" s="47"/>
      <c r="KBL33" s="47"/>
      <c r="KBM33" s="47"/>
      <c r="KBN33" s="47"/>
      <c r="KBO33" s="47"/>
      <c r="KBP33" s="47"/>
      <c r="KBQ33" s="47"/>
      <c r="KBR33" s="47"/>
      <c r="KBS33" s="47"/>
      <c r="KBT33" s="47"/>
      <c r="KBU33" s="47"/>
      <c r="KBV33" s="47"/>
      <c r="KBW33" s="47"/>
      <c r="KBX33" s="47"/>
      <c r="KBY33" s="47"/>
      <c r="KBZ33" s="47"/>
      <c r="KCA33" s="47"/>
      <c r="KCB33" s="47"/>
      <c r="KCC33" s="47"/>
      <c r="KCD33" s="47"/>
      <c r="KCE33" s="47"/>
      <c r="KCF33" s="47"/>
      <c r="KCG33" s="47"/>
      <c r="KCH33" s="47"/>
      <c r="KCI33" s="47"/>
      <c r="KCJ33" s="47"/>
      <c r="KCK33" s="47"/>
      <c r="KCL33" s="47"/>
      <c r="KCM33" s="47"/>
      <c r="KCN33" s="47"/>
      <c r="KCO33" s="47"/>
      <c r="KCP33" s="47"/>
      <c r="KCQ33" s="47"/>
      <c r="KCR33" s="47"/>
      <c r="KCS33" s="47"/>
      <c r="KCT33" s="47"/>
      <c r="KCU33" s="47"/>
      <c r="KCV33" s="47"/>
      <c r="KCW33" s="47"/>
      <c r="KCX33" s="47"/>
      <c r="KCY33" s="47"/>
      <c r="KCZ33" s="47"/>
      <c r="KDA33" s="47"/>
      <c r="KDB33" s="47"/>
      <c r="KDC33" s="47"/>
      <c r="KDD33" s="47"/>
      <c r="KDE33" s="47"/>
      <c r="KDF33" s="47"/>
      <c r="KDG33" s="47"/>
      <c r="KDH33" s="47"/>
      <c r="KDI33" s="47"/>
      <c r="KDJ33" s="47"/>
      <c r="KDK33" s="47"/>
      <c r="KDL33" s="47"/>
      <c r="KDM33" s="47"/>
      <c r="KDN33" s="47"/>
      <c r="KDO33" s="47"/>
      <c r="KDP33" s="47"/>
      <c r="KDQ33" s="47"/>
      <c r="KDR33" s="47"/>
      <c r="KDS33" s="47"/>
      <c r="KDT33" s="47"/>
      <c r="KDU33" s="47"/>
      <c r="KDV33" s="47"/>
      <c r="KDW33" s="47"/>
      <c r="KDX33" s="47"/>
      <c r="KDY33" s="47"/>
      <c r="KDZ33" s="47"/>
      <c r="KEA33" s="47"/>
      <c r="KEB33" s="47"/>
      <c r="KEC33" s="47"/>
      <c r="KED33" s="47"/>
      <c r="KEE33" s="47"/>
      <c r="KEF33" s="47"/>
      <c r="KEG33" s="47"/>
      <c r="KEH33" s="47"/>
      <c r="KEI33" s="47"/>
      <c r="KEJ33" s="47"/>
      <c r="KEK33" s="47"/>
      <c r="KEL33" s="47"/>
      <c r="KEM33" s="47"/>
      <c r="KEN33" s="47"/>
      <c r="KEO33" s="47"/>
      <c r="KEP33" s="47"/>
      <c r="KEQ33" s="47"/>
      <c r="KER33" s="47"/>
      <c r="KES33" s="47"/>
      <c r="KET33" s="47"/>
      <c r="KEU33" s="47"/>
      <c r="KEV33" s="47"/>
      <c r="KEW33" s="47"/>
      <c r="KEX33" s="47"/>
      <c r="KEY33" s="47"/>
      <c r="KEZ33" s="47"/>
      <c r="KFA33" s="47"/>
      <c r="KFB33" s="47"/>
      <c r="KFC33" s="47"/>
      <c r="KFD33" s="47"/>
      <c r="KFE33" s="47"/>
      <c r="KFF33" s="47"/>
      <c r="KFG33" s="47"/>
      <c r="KFH33" s="47"/>
      <c r="KFI33" s="47"/>
      <c r="KFJ33" s="47"/>
      <c r="KFK33" s="47"/>
      <c r="KFL33" s="47"/>
      <c r="KFM33" s="47"/>
      <c r="KFN33" s="47"/>
      <c r="KFO33" s="47"/>
      <c r="KFP33" s="47"/>
      <c r="KFQ33" s="47"/>
      <c r="KFR33" s="47"/>
      <c r="KFS33" s="47"/>
      <c r="KFT33" s="47"/>
      <c r="KFU33" s="47"/>
      <c r="KFV33" s="47"/>
      <c r="KFW33" s="47"/>
      <c r="KFX33" s="47"/>
      <c r="KFY33" s="47"/>
      <c r="KFZ33" s="47"/>
      <c r="KGA33" s="47"/>
      <c r="KGB33" s="47"/>
      <c r="KGC33" s="47"/>
      <c r="KGD33" s="47"/>
      <c r="KGE33" s="47"/>
      <c r="KGF33" s="47"/>
      <c r="KGG33" s="47"/>
      <c r="KGH33" s="47"/>
      <c r="KGI33" s="47"/>
      <c r="KGJ33" s="47"/>
      <c r="KGK33" s="47"/>
      <c r="KGL33" s="47"/>
      <c r="KGM33" s="47"/>
      <c r="KGN33" s="47"/>
      <c r="KGO33" s="47"/>
      <c r="KGP33" s="47"/>
      <c r="KGQ33" s="47"/>
      <c r="KGR33" s="47"/>
      <c r="KGS33" s="47"/>
      <c r="KGT33" s="47"/>
      <c r="KGU33" s="47"/>
      <c r="KGV33" s="47"/>
      <c r="KGW33" s="47"/>
      <c r="KGX33" s="47"/>
      <c r="KGY33" s="47"/>
      <c r="KGZ33" s="47"/>
      <c r="KHA33" s="47"/>
      <c r="KHB33" s="47"/>
      <c r="KHC33" s="47"/>
      <c r="KHD33" s="47"/>
      <c r="KHE33" s="47"/>
      <c r="KHF33" s="47"/>
      <c r="KHG33" s="47"/>
      <c r="KHH33" s="47"/>
      <c r="KHI33" s="47"/>
      <c r="KHJ33" s="47"/>
      <c r="KHK33" s="47"/>
      <c r="KHL33" s="47"/>
      <c r="KHM33" s="47"/>
      <c r="KHN33" s="47"/>
      <c r="KHO33" s="47"/>
      <c r="KHP33" s="47"/>
      <c r="KHQ33" s="47"/>
      <c r="KHR33" s="47"/>
      <c r="KHS33" s="47"/>
      <c r="KHT33" s="47"/>
      <c r="KHU33" s="47"/>
      <c r="KHV33" s="47"/>
      <c r="KHW33" s="47"/>
      <c r="KHX33" s="47"/>
      <c r="KHY33" s="47"/>
      <c r="KHZ33" s="47"/>
      <c r="KIA33" s="47"/>
      <c r="KIB33" s="47"/>
      <c r="KIC33" s="47"/>
      <c r="KID33" s="47"/>
      <c r="KIE33" s="47"/>
      <c r="KIF33" s="47"/>
      <c r="KIG33" s="47"/>
      <c r="KIH33" s="47"/>
      <c r="KII33" s="47"/>
      <c r="KIJ33" s="47"/>
      <c r="KIK33" s="47"/>
      <c r="KIL33" s="47"/>
      <c r="KIM33" s="47"/>
      <c r="KIN33" s="47"/>
      <c r="KIO33" s="47"/>
      <c r="KIP33" s="47"/>
      <c r="KIQ33" s="47"/>
      <c r="KIR33" s="47"/>
      <c r="KIS33" s="47"/>
      <c r="KIT33" s="47"/>
      <c r="KIU33" s="47"/>
      <c r="KIV33" s="47"/>
      <c r="KIW33" s="47"/>
      <c r="KIX33" s="47"/>
      <c r="KIY33" s="47"/>
      <c r="KIZ33" s="47"/>
      <c r="KJA33" s="47"/>
      <c r="KJB33" s="47"/>
      <c r="KJC33" s="47"/>
      <c r="KJD33" s="47"/>
      <c r="KJE33" s="47"/>
      <c r="KJF33" s="47"/>
      <c r="KJG33" s="47"/>
      <c r="KJH33" s="47"/>
      <c r="KJI33" s="47"/>
      <c r="KJJ33" s="47"/>
      <c r="KJK33" s="47"/>
      <c r="KJL33" s="47"/>
      <c r="KJM33" s="47"/>
      <c r="KJN33" s="47"/>
      <c r="KJO33" s="47"/>
      <c r="KJP33" s="47"/>
      <c r="KJQ33" s="47"/>
      <c r="KJR33" s="47"/>
      <c r="KJS33" s="47"/>
      <c r="KJT33" s="47"/>
      <c r="KJU33" s="47"/>
      <c r="KJV33" s="47"/>
      <c r="KJW33" s="47"/>
      <c r="KJX33" s="47"/>
      <c r="KJY33" s="47"/>
      <c r="KJZ33" s="47"/>
      <c r="KKA33" s="47"/>
      <c r="KKB33" s="47"/>
      <c r="KKC33" s="47"/>
      <c r="KKD33" s="47"/>
      <c r="KKE33" s="47"/>
      <c r="KKF33" s="47"/>
      <c r="KKG33" s="47"/>
      <c r="KKH33" s="47"/>
      <c r="KKI33" s="47"/>
      <c r="KKJ33" s="47"/>
      <c r="KKK33" s="47"/>
      <c r="KKL33" s="47"/>
      <c r="KKM33" s="47"/>
      <c r="KKN33" s="47"/>
      <c r="KKO33" s="47"/>
      <c r="KKP33" s="47"/>
      <c r="KKQ33" s="47"/>
      <c r="KKR33" s="47"/>
      <c r="KKS33" s="47"/>
      <c r="KKT33" s="47"/>
      <c r="KKU33" s="47"/>
      <c r="KKV33" s="47"/>
      <c r="KKW33" s="47"/>
      <c r="KKX33" s="47"/>
      <c r="KKY33" s="47"/>
      <c r="KKZ33" s="47"/>
      <c r="KLA33" s="47"/>
      <c r="KLB33" s="47"/>
      <c r="KLC33" s="47"/>
      <c r="KLD33" s="47"/>
      <c r="KLE33" s="47"/>
      <c r="KLF33" s="47"/>
      <c r="KLG33" s="47"/>
      <c r="KLH33" s="47"/>
      <c r="KLI33" s="47"/>
      <c r="KLJ33" s="47"/>
      <c r="KLK33" s="47"/>
      <c r="KLL33" s="47"/>
      <c r="KLM33" s="47"/>
      <c r="KLN33" s="47"/>
      <c r="KLO33" s="47"/>
      <c r="KLP33" s="47"/>
      <c r="KLQ33" s="47"/>
      <c r="KLR33" s="47"/>
      <c r="KLS33" s="47"/>
      <c r="KLT33" s="47"/>
      <c r="KLU33" s="47"/>
      <c r="KLV33" s="47"/>
      <c r="KLW33" s="47"/>
      <c r="KLX33" s="47"/>
      <c r="KLY33" s="47"/>
      <c r="KLZ33" s="47"/>
      <c r="KMA33" s="47"/>
      <c r="KMB33" s="47"/>
      <c r="KMC33" s="47"/>
      <c r="KMD33" s="47"/>
      <c r="KME33" s="47"/>
      <c r="KMF33" s="47"/>
      <c r="KMG33" s="47"/>
      <c r="KMH33" s="47"/>
      <c r="KMI33" s="47"/>
      <c r="KMJ33" s="47"/>
      <c r="KMK33" s="47"/>
      <c r="KML33" s="47"/>
      <c r="KMM33" s="47"/>
      <c r="KMN33" s="47"/>
      <c r="KMO33" s="47"/>
      <c r="KMP33" s="47"/>
      <c r="KMQ33" s="47"/>
      <c r="KMR33" s="47"/>
      <c r="KMS33" s="47"/>
      <c r="KMT33" s="47"/>
      <c r="KMU33" s="47"/>
      <c r="KMV33" s="47"/>
      <c r="KMW33" s="47"/>
      <c r="KMX33" s="47"/>
      <c r="KMY33" s="47"/>
      <c r="KMZ33" s="47"/>
      <c r="KNA33" s="47"/>
      <c r="KNB33" s="47"/>
      <c r="KNC33" s="47"/>
      <c r="KND33" s="47"/>
      <c r="KNE33" s="47"/>
      <c r="KNF33" s="47"/>
      <c r="KNG33" s="47"/>
      <c r="KNH33" s="47"/>
      <c r="KNI33" s="47"/>
      <c r="KNJ33" s="47"/>
      <c r="KNK33" s="47"/>
      <c r="KNL33" s="47"/>
      <c r="KNM33" s="47"/>
      <c r="KNN33" s="47"/>
      <c r="KNO33" s="47"/>
      <c r="KNP33" s="47"/>
      <c r="KNQ33" s="47"/>
      <c r="KNR33" s="47"/>
      <c r="KNS33" s="47"/>
      <c r="KNT33" s="47"/>
      <c r="KNU33" s="47"/>
      <c r="KNV33" s="47"/>
      <c r="KNW33" s="47"/>
      <c r="KNX33" s="47"/>
      <c r="KNY33" s="47"/>
      <c r="KNZ33" s="47"/>
      <c r="KOA33" s="47"/>
      <c r="KOB33" s="47"/>
      <c r="KOC33" s="47"/>
      <c r="KOD33" s="47"/>
      <c r="KOE33" s="47"/>
      <c r="KOF33" s="47"/>
      <c r="KOG33" s="47"/>
      <c r="KOH33" s="47"/>
      <c r="KOI33" s="47"/>
      <c r="KOJ33" s="47"/>
      <c r="KOK33" s="47"/>
      <c r="KOL33" s="47"/>
      <c r="KOM33" s="47"/>
      <c r="KON33" s="47"/>
      <c r="KOO33" s="47"/>
      <c r="KOP33" s="47"/>
      <c r="KOQ33" s="47"/>
      <c r="KOR33" s="47"/>
      <c r="KOS33" s="47"/>
      <c r="KOT33" s="47"/>
      <c r="KOU33" s="47"/>
      <c r="KOV33" s="47"/>
      <c r="KOW33" s="47"/>
      <c r="KOX33" s="47"/>
      <c r="KOY33" s="47"/>
      <c r="KOZ33" s="47"/>
      <c r="KPA33" s="47"/>
      <c r="KPB33" s="47"/>
      <c r="KPC33" s="47"/>
      <c r="KPD33" s="47"/>
      <c r="KPE33" s="47"/>
      <c r="KPF33" s="47"/>
      <c r="KPG33" s="47"/>
      <c r="KPH33" s="47"/>
      <c r="KPI33" s="47"/>
      <c r="KPJ33" s="47"/>
      <c r="KPK33" s="47"/>
      <c r="KPL33" s="47"/>
      <c r="KPM33" s="47"/>
      <c r="KPN33" s="47"/>
      <c r="KPO33" s="47"/>
      <c r="KPP33" s="47"/>
      <c r="KPQ33" s="47"/>
      <c r="KPR33" s="47"/>
      <c r="KPS33" s="47"/>
      <c r="KPT33" s="47"/>
      <c r="KPU33" s="47"/>
      <c r="KPV33" s="47"/>
      <c r="KPW33" s="47"/>
      <c r="KPX33" s="47"/>
      <c r="KPY33" s="47"/>
      <c r="KPZ33" s="47"/>
      <c r="KQA33" s="47"/>
      <c r="KQB33" s="47"/>
      <c r="KQC33" s="47"/>
      <c r="KQD33" s="47"/>
      <c r="KQE33" s="47"/>
      <c r="KQF33" s="47"/>
      <c r="KQG33" s="47"/>
      <c r="KQH33" s="47"/>
      <c r="KQI33" s="47"/>
      <c r="KQJ33" s="47"/>
      <c r="KQK33" s="47"/>
      <c r="KQL33" s="47"/>
      <c r="KQM33" s="47"/>
      <c r="KQN33" s="47"/>
      <c r="KQO33" s="47"/>
      <c r="KQP33" s="47"/>
      <c r="KQQ33" s="47"/>
      <c r="KQR33" s="47"/>
      <c r="KQS33" s="47"/>
      <c r="KQT33" s="47"/>
      <c r="KQU33" s="47"/>
      <c r="KQV33" s="47"/>
      <c r="KQW33" s="47"/>
      <c r="KQX33" s="47"/>
      <c r="KQY33" s="47"/>
      <c r="KQZ33" s="47"/>
      <c r="KRA33" s="47"/>
      <c r="KRB33" s="47"/>
      <c r="KRC33" s="47"/>
      <c r="KRD33" s="47"/>
      <c r="KRE33" s="47"/>
      <c r="KRF33" s="47"/>
      <c r="KRG33" s="47"/>
      <c r="KRH33" s="47"/>
      <c r="KRI33" s="47"/>
      <c r="KRJ33" s="47"/>
      <c r="KRK33" s="47"/>
      <c r="KRL33" s="47"/>
      <c r="KRM33" s="47"/>
      <c r="KRN33" s="47"/>
      <c r="KRO33" s="47"/>
      <c r="KRP33" s="47"/>
      <c r="KRQ33" s="47"/>
      <c r="KRR33" s="47"/>
      <c r="KRS33" s="47"/>
      <c r="KRT33" s="47"/>
      <c r="KRU33" s="47"/>
      <c r="KRV33" s="47"/>
      <c r="KRW33" s="47"/>
      <c r="KRX33" s="47"/>
      <c r="KRY33" s="47"/>
      <c r="KRZ33" s="47"/>
      <c r="KSA33" s="47"/>
      <c r="KSB33" s="47"/>
      <c r="KSC33" s="47"/>
      <c r="KSD33" s="47"/>
      <c r="KSE33" s="47"/>
      <c r="KSF33" s="47"/>
      <c r="KSG33" s="47"/>
      <c r="KSH33" s="47"/>
      <c r="KSI33" s="47"/>
      <c r="KSJ33" s="47"/>
      <c r="KSK33" s="47"/>
      <c r="KSL33" s="47"/>
      <c r="KSM33" s="47"/>
      <c r="KSN33" s="47"/>
      <c r="KSO33" s="47"/>
      <c r="KSP33" s="47"/>
      <c r="KSQ33" s="47"/>
      <c r="KSR33" s="47"/>
      <c r="KSS33" s="47"/>
      <c r="KST33" s="47"/>
      <c r="KSU33" s="47"/>
      <c r="KSV33" s="47"/>
      <c r="KSW33" s="47"/>
      <c r="KSX33" s="47"/>
      <c r="KSY33" s="47"/>
      <c r="KSZ33" s="47"/>
      <c r="KTA33" s="47"/>
      <c r="KTB33" s="47"/>
      <c r="KTC33" s="47"/>
      <c r="KTD33" s="47"/>
      <c r="KTE33" s="47"/>
      <c r="KTF33" s="47"/>
      <c r="KTG33" s="47"/>
      <c r="KTH33" s="47"/>
      <c r="KTI33" s="47"/>
      <c r="KTJ33" s="47"/>
      <c r="KTK33" s="47"/>
      <c r="KTL33" s="47"/>
      <c r="KTM33" s="47"/>
      <c r="KTN33" s="47"/>
      <c r="KTO33" s="47"/>
      <c r="KTP33" s="47"/>
      <c r="KTQ33" s="47"/>
      <c r="KTR33" s="47"/>
      <c r="KTS33" s="47"/>
      <c r="KTT33" s="47"/>
      <c r="KTU33" s="47"/>
      <c r="KTV33" s="47"/>
      <c r="KTW33" s="47"/>
      <c r="KTX33" s="47"/>
      <c r="KTY33" s="47"/>
      <c r="KTZ33" s="47"/>
      <c r="KUA33" s="47"/>
      <c r="KUB33" s="47"/>
      <c r="KUC33" s="47"/>
      <c r="KUD33" s="47"/>
      <c r="KUE33" s="47"/>
      <c r="KUF33" s="47"/>
      <c r="KUG33" s="47"/>
      <c r="KUH33" s="47"/>
      <c r="KUI33" s="47"/>
      <c r="KUJ33" s="47"/>
      <c r="KUK33" s="47"/>
      <c r="KUL33" s="47"/>
      <c r="KUM33" s="47"/>
      <c r="KUN33" s="47"/>
      <c r="KUO33" s="47"/>
      <c r="KUP33" s="47"/>
      <c r="KUQ33" s="47"/>
      <c r="KUR33" s="47"/>
      <c r="KUS33" s="47"/>
      <c r="KUT33" s="47"/>
      <c r="KUU33" s="47"/>
      <c r="KUV33" s="47"/>
      <c r="KUW33" s="47"/>
      <c r="KUX33" s="47"/>
      <c r="KUY33" s="47"/>
      <c r="KUZ33" s="47"/>
      <c r="KVA33" s="47"/>
      <c r="KVB33" s="47"/>
      <c r="KVC33" s="47"/>
      <c r="KVD33" s="47"/>
      <c r="KVE33" s="47"/>
      <c r="KVF33" s="47"/>
      <c r="KVG33" s="47"/>
      <c r="KVH33" s="47"/>
      <c r="KVI33" s="47"/>
      <c r="KVJ33" s="47"/>
      <c r="KVK33" s="47"/>
      <c r="KVL33" s="47"/>
      <c r="KVM33" s="47"/>
      <c r="KVN33" s="47"/>
      <c r="KVO33" s="47"/>
      <c r="KVP33" s="47"/>
      <c r="KVQ33" s="47"/>
      <c r="KVR33" s="47"/>
      <c r="KVS33" s="47"/>
      <c r="KVT33" s="47"/>
      <c r="KVU33" s="47"/>
      <c r="KVV33" s="47"/>
      <c r="KVW33" s="47"/>
      <c r="KVX33" s="47"/>
      <c r="KVY33" s="47"/>
      <c r="KVZ33" s="47"/>
      <c r="KWA33" s="47"/>
      <c r="KWB33" s="47"/>
      <c r="KWC33" s="47"/>
      <c r="KWD33" s="47"/>
      <c r="KWE33" s="47"/>
      <c r="KWF33" s="47"/>
      <c r="KWG33" s="47"/>
      <c r="KWH33" s="47"/>
      <c r="KWI33" s="47"/>
      <c r="KWJ33" s="47"/>
      <c r="KWK33" s="47"/>
      <c r="KWL33" s="47"/>
      <c r="KWM33" s="47"/>
      <c r="KWN33" s="47"/>
      <c r="KWO33" s="47"/>
      <c r="KWP33" s="47"/>
      <c r="KWQ33" s="47"/>
      <c r="KWR33" s="47"/>
      <c r="KWS33" s="47"/>
      <c r="KWT33" s="47"/>
      <c r="KWU33" s="47"/>
      <c r="KWV33" s="47"/>
      <c r="KWW33" s="47"/>
      <c r="KWX33" s="47"/>
      <c r="KWY33" s="47"/>
      <c r="KWZ33" s="47"/>
      <c r="KXA33" s="47"/>
      <c r="KXB33" s="47"/>
      <c r="KXC33" s="47"/>
      <c r="KXD33" s="47"/>
      <c r="KXE33" s="47"/>
      <c r="KXF33" s="47"/>
      <c r="KXG33" s="47"/>
      <c r="KXH33" s="47"/>
      <c r="KXI33" s="47"/>
      <c r="KXJ33" s="47"/>
      <c r="KXK33" s="47"/>
      <c r="KXL33" s="47"/>
      <c r="KXM33" s="47"/>
      <c r="KXN33" s="47"/>
      <c r="KXO33" s="47"/>
      <c r="KXP33" s="47"/>
      <c r="KXQ33" s="47"/>
      <c r="KXR33" s="47"/>
      <c r="KXS33" s="47"/>
      <c r="KXT33" s="47"/>
      <c r="KXU33" s="47"/>
      <c r="KXV33" s="47"/>
      <c r="KXW33" s="47"/>
      <c r="KXX33" s="47"/>
      <c r="KXY33" s="47"/>
      <c r="KXZ33" s="47"/>
      <c r="KYA33" s="47"/>
      <c r="KYB33" s="47"/>
      <c r="KYC33" s="47"/>
      <c r="KYD33" s="47"/>
      <c r="KYE33" s="47"/>
      <c r="KYF33" s="47"/>
      <c r="KYG33" s="47"/>
      <c r="KYH33" s="47"/>
      <c r="KYI33" s="47"/>
      <c r="KYJ33" s="47"/>
      <c r="KYK33" s="47"/>
      <c r="KYL33" s="47"/>
      <c r="KYM33" s="47"/>
      <c r="KYN33" s="47"/>
      <c r="KYO33" s="47"/>
      <c r="KYP33" s="47"/>
      <c r="KYQ33" s="47"/>
      <c r="KYR33" s="47"/>
      <c r="KYS33" s="47"/>
      <c r="KYT33" s="47"/>
      <c r="KYU33" s="47"/>
      <c r="KYV33" s="47"/>
      <c r="KYW33" s="47"/>
      <c r="KYX33" s="47"/>
      <c r="KYY33" s="47"/>
      <c r="KYZ33" s="47"/>
      <c r="KZA33" s="47"/>
      <c r="KZB33" s="47"/>
      <c r="KZC33" s="47"/>
      <c r="KZD33" s="47"/>
      <c r="KZE33" s="47"/>
      <c r="KZF33" s="47"/>
      <c r="KZG33" s="47"/>
      <c r="KZH33" s="47"/>
      <c r="KZI33" s="47"/>
      <c r="KZJ33" s="47"/>
      <c r="KZK33" s="47"/>
      <c r="KZL33" s="47"/>
      <c r="KZM33" s="47"/>
      <c r="KZN33" s="47"/>
      <c r="KZO33" s="47"/>
      <c r="KZP33" s="47"/>
      <c r="KZQ33" s="47"/>
      <c r="KZR33" s="47"/>
      <c r="KZS33" s="47"/>
      <c r="KZT33" s="47"/>
      <c r="KZU33" s="47"/>
      <c r="KZV33" s="47"/>
      <c r="KZW33" s="47"/>
      <c r="KZX33" s="47"/>
      <c r="KZY33" s="47"/>
      <c r="KZZ33" s="47"/>
      <c r="LAA33" s="47"/>
      <c r="LAB33" s="47"/>
      <c r="LAC33" s="47"/>
      <c r="LAD33" s="47"/>
      <c r="LAE33" s="47"/>
      <c r="LAF33" s="47"/>
      <c r="LAG33" s="47"/>
      <c r="LAH33" s="47"/>
      <c r="LAI33" s="47"/>
      <c r="LAJ33" s="47"/>
      <c r="LAK33" s="47"/>
      <c r="LAL33" s="47"/>
      <c r="LAM33" s="47"/>
      <c r="LAN33" s="47"/>
      <c r="LAO33" s="47"/>
      <c r="LAP33" s="47"/>
      <c r="LAQ33" s="47"/>
      <c r="LAR33" s="47"/>
      <c r="LAS33" s="47"/>
      <c r="LAT33" s="47"/>
      <c r="LAU33" s="47"/>
      <c r="LAV33" s="47"/>
      <c r="LAW33" s="47"/>
      <c r="LAX33" s="47"/>
      <c r="LAY33" s="47"/>
      <c r="LAZ33" s="47"/>
      <c r="LBA33" s="47"/>
      <c r="LBB33" s="47"/>
      <c r="LBC33" s="47"/>
      <c r="LBD33" s="47"/>
      <c r="LBE33" s="47"/>
      <c r="LBF33" s="47"/>
      <c r="LBG33" s="47"/>
      <c r="LBH33" s="47"/>
      <c r="LBI33" s="47"/>
      <c r="LBJ33" s="47"/>
      <c r="LBK33" s="47"/>
      <c r="LBL33" s="47"/>
      <c r="LBM33" s="47"/>
      <c r="LBN33" s="47"/>
      <c r="LBO33" s="47"/>
      <c r="LBP33" s="47"/>
      <c r="LBQ33" s="47"/>
      <c r="LBR33" s="47"/>
      <c r="LBS33" s="47"/>
      <c r="LBT33" s="47"/>
      <c r="LBU33" s="47"/>
      <c r="LBV33" s="47"/>
      <c r="LBW33" s="47"/>
      <c r="LBX33" s="47"/>
      <c r="LBY33" s="47"/>
      <c r="LBZ33" s="47"/>
      <c r="LCA33" s="47"/>
      <c r="LCB33" s="47"/>
      <c r="LCC33" s="47"/>
      <c r="LCD33" s="47"/>
      <c r="LCE33" s="47"/>
      <c r="LCF33" s="47"/>
      <c r="LCG33" s="47"/>
      <c r="LCH33" s="47"/>
      <c r="LCI33" s="47"/>
      <c r="LCJ33" s="47"/>
      <c r="LCK33" s="47"/>
      <c r="LCL33" s="47"/>
      <c r="LCM33" s="47"/>
      <c r="LCN33" s="47"/>
      <c r="LCO33" s="47"/>
      <c r="LCP33" s="47"/>
      <c r="LCQ33" s="47"/>
      <c r="LCR33" s="47"/>
      <c r="LCS33" s="47"/>
      <c r="LCT33" s="47"/>
      <c r="LCU33" s="47"/>
      <c r="LCV33" s="47"/>
      <c r="LCW33" s="47"/>
      <c r="LCX33" s="47"/>
      <c r="LCY33" s="47"/>
      <c r="LCZ33" s="47"/>
      <c r="LDA33" s="47"/>
      <c r="LDB33" s="47"/>
      <c r="LDC33" s="47"/>
      <c r="LDD33" s="47"/>
      <c r="LDE33" s="47"/>
      <c r="LDF33" s="47"/>
      <c r="LDG33" s="47"/>
      <c r="LDH33" s="47"/>
      <c r="LDI33" s="47"/>
      <c r="LDJ33" s="47"/>
      <c r="LDK33" s="47"/>
      <c r="LDL33" s="47"/>
      <c r="LDM33" s="47"/>
      <c r="LDN33" s="47"/>
      <c r="LDO33" s="47"/>
      <c r="LDP33" s="47"/>
      <c r="LDQ33" s="47"/>
      <c r="LDR33" s="47"/>
      <c r="LDS33" s="47"/>
      <c r="LDT33" s="47"/>
      <c r="LDU33" s="47"/>
      <c r="LDV33" s="47"/>
      <c r="LDW33" s="47"/>
      <c r="LDX33" s="47"/>
      <c r="LDY33" s="47"/>
      <c r="LDZ33" s="47"/>
      <c r="LEA33" s="47"/>
      <c r="LEB33" s="47"/>
      <c r="LEC33" s="47"/>
      <c r="LED33" s="47"/>
      <c r="LEE33" s="47"/>
      <c r="LEF33" s="47"/>
      <c r="LEG33" s="47"/>
      <c r="LEH33" s="47"/>
      <c r="LEI33" s="47"/>
      <c r="LEJ33" s="47"/>
      <c r="LEK33" s="47"/>
      <c r="LEL33" s="47"/>
      <c r="LEM33" s="47"/>
      <c r="LEN33" s="47"/>
      <c r="LEO33" s="47"/>
      <c r="LEP33" s="47"/>
      <c r="LEQ33" s="47"/>
      <c r="LER33" s="47"/>
      <c r="LES33" s="47"/>
      <c r="LET33" s="47"/>
      <c r="LEU33" s="47"/>
      <c r="LEV33" s="47"/>
      <c r="LEW33" s="47"/>
      <c r="LEX33" s="47"/>
      <c r="LEY33" s="47"/>
      <c r="LEZ33" s="47"/>
      <c r="LFA33" s="47"/>
      <c r="LFB33" s="47"/>
      <c r="LFC33" s="47"/>
      <c r="LFD33" s="47"/>
      <c r="LFE33" s="47"/>
      <c r="LFF33" s="47"/>
      <c r="LFG33" s="47"/>
      <c r="LFH33" s="47"/>
      <c r="LFI33" s="47"/>
      <c r="LFJ33" s="47"/>
      <c r="LFK33" s="47"/>
      <c r="LFL33" s="47"/>
      <c r="LFM33" s="47"/>
      <c r="LFN33" s="47"/>
      <c r="LFO33" s="47"/>
      <c r="LFP33" s="47"/>
      <c r="LFQ33" s="47"/>
      <c r="LFR33" s="47"/>
      <c r="LFS33" s="47"/>
      <c r="LFT33" s="47"/>
      <c r="LFU33" s="47"/>
      <c r="LFV33" s="47"/>
      <c r="LFW33" s="47"/>
      <c r="LFX33" s="47"/>
      <c r="LFY33" s="47"/>
      <c r="LFZ33" s="47"/>
      <c r="LGA33" s="47"/>
      <c r="LGB33" s="47"/>
      <c r="LGC33" s="47"/>
      <c r="LGD33" s="47"/>
      <c r="LGE33" s="47"/>
      <c r="LGF33" s="47"/>
      <c r="LGG33" s="47"/>
      <c r="LGH33" s="47"/>
      <c r="LGI33" s="47"/>
      <c r="LGJ33" s="47"/>
      <c r="LGK33" s="47"/>
      <c r="LGL33" s="47"/>
      <c r="LGM33" s="47"/>
      <c r="LGN33" s="47"/>
      <c r="LGO33" s="47"/>
      <c r="LGP33" s="47"/>
      <c r="LGQ33" s="47"/>
      <c r="LGR33" s="47"/>
      <c r="LGS33" s="47"/>
      <c r="LGT33" s="47"/>
      <c r="LGU33" s="47"/>
      <c r="LGV33" s="47"/>
      <c r="LGW33" s="47"/>
      <c r="LGX33" s="47"/>
      <c r="LGY33" s="47"/>
      <c r="LGZ33" s="47"/>
      <c r="LHA33" s="47"/>
      <c r="LHB33" s="47"/>
      <c r="LHC33" s="47"/>
      <c r="LHD33" s="47"/>
      <c r="LHE33" s="47"/>
      <c r="LHF33" s="47"/>
      <c r="LHG33" s="47"/>
      <c r="LHH33" s="47"/>
      <c r="LHI33" s="47"/>
      <c r="LHJ33" s="47"/>
      <c r="LHK33" s="47"/>
      <c r="LHL33" s="47"/>
      <c r="LHM33" s="47"/>
      <c r="LHN33" s="47"/>
      <c r="LHO33" s="47"/>
      <c r="LHP33" s="47"/>
      <c r="LHQ33" s="47"/>
      <c r="LHR33" s="47"/>
      <c r="LHS33" s="47"/>
      <c r="LHT33" s="47"/>
      <c r="LHU33" s="47"/>
      <c r="LHV33" s="47"/>
      <c r="LHW33" s="47"/>
      <c r="LHX33" s="47"/>
      <c r="LHY33" s="47"/>
      <c r="LHZ33" s="47"/>
      <c r="LIA33" s="47"/>
      <c r="LIB33" s="47"/>
      <c r="LIC33" s="47"/>
      <c r="LID33" s="47"/>
      <c r="LIE33" s="47"/>
      <c r="LIF33" s="47"/>
      <c r="LIG33" s="47"/>
      <c r="LIH33" s="47"/>
      <c r="LII33" s="47"/>
      <c r="LIJ33" s="47"/>
      <c r="LIK33" s="47"/>
      <c r="LIL33" s="47"/>
      <c r="LIM33" s="47"/>
      <c r="LIN33" s="47"/>
      <c r="LIO33" s="47"/>
      <c r="LIP33" s="47"/>
      <c r="LIQ33" s="47"/>
      <c r="LIR33" s="47"/>
      <c r="LIS33" s="47"/>
      <c r="LIT33" s="47"/>
      <c r="LIU33" s="47"/>
      <c r="LIV33" s="47"/>
      <c r="LIW33" s="47"/>
      <c r="LIX33" s="47"/>
      <c r="LIY33" s="47"/>
      <c r="LIZ33" s="47"/>
      <c r="LJA33" s="47"/>
      <c r="LJB33" s="47"/>
      <c r="LJC33" s="47"/>
      <c r="LJD33" s="47"/>
      <c r="LJE33" s="47"/>
      <c r="LJF33" s="47"/>
      <c r="LJG33" s="47"/>
      <c r="LJH33" s="47"/>
      <c r="LJI33" s="47"/>
      <c r="LJJ33" s="47"/>
      <c r="LJK33" s="47"/>
      <c r="LJL33" s="47"/>
      <c r="LJM33" s="47"/>
      <c r="LJN33" s="47"/>
      <c r="LJO33" s="47"/>
      <c r="LJP33" s="47"/>
      <c r="LJQ33" s="47"/>
      <c r="LJR33" s="47"/>
      <c r="LJS33" s="47"/>
      <c r="LJT33" s="47"/>
      <c r="LJU33" s="47"/>
      <c r="LJV33" s="47"/>
      <c r="LJW33" s="47"/>
      <c r="LJX33" s="47"/>
      <c r="LJY33" s="47"/>
      <c r="LJZ33" s="47"/>
      <c r="LKA33" s="47"/>
      <c r="LKB33" s="47"/>
      <c r="LKC33" s="47"/>
      <c r="LKD33" s="47"/>
      <c r="LKE33" s="47"/>
      <c r="LKF33" s="47"/>
      <c r="LKG33" s="47"/>
      <c r="LKH33" s="47"/>
      <c r="LKI33" s="47"/>
      <c r="LKJ33" s="47"/>
      <c r="LKK33" s="47"/>
      <c r="LKL33" s="47"/>
      <c r="LKM33" s="47"/>
      <c r="LKN33" s="47"/>
      <c r="LKO33" s="47"/>
      <c r="LKP33" s="47"/>
      <c r="LKQ33" s="47"/>
      <c r="LKR33" s="47"/>
      <c r="LKS33" s="47"/>
      <c r="LKT33" s="47"/>
      <c r="LKU33" s="47"/>
      <c r="LKV33" s="47"/>
      <c r="LKW33" s="47"/>
      <c r="LKX33" s="47"/>
      <c r="LKY33" s="47"/>
      <c r="LKZ33" s="47"/>
      <c r="LLA33" s="47"/>
      <c r="LLB33" s="47"/>
      <c r="LLC33" s="47"/>
      <c r="LLD33" s="47"/>
      <c r="LLE33" s="47"/>
      <c r="LLF33" s="47"/>
      <c r="LLG33" s="47"/>
      <c r="LLH33" s="47"/>
      <c r="LLI33" s="47"/>
      <c r="LLJ33" s="47"/>
      <c r="LLK33" s="47"/>
      <c r="LLL33" s="47"/>
      <c r="LLM33" s="47"/>
      <c r="LLN33" s="47"/>
      <c r="LLO33" s="47"/>
      <c r="LLP33" s="47"/>
      <c r="LLQ33" s="47"/>
      <c r="LLR33" s="47"/>
      <c r="LLS33" s="47"/>
      <c r="LLT33" s="47"/>
      <c r="LLU33" s="47"/>
      <c r="LLV33" s="47"/>
      <c r="LLW33" s="47"/>
      <c r="LLX33" s="47"/>
      <c r="LLY33" s="47"/>
      <c r="LLZ33" s="47"/>
      <c r="LMA33" s="47"/>
      <c r="LMB33" s="47"/>
      <c r="LMC33" s="47"/>
      <c r="LMD33" s="47"/>
      <c r="LME33" s="47"/>
      <c r="LMF33" s="47"/>
      <c r="LMG33" s="47"/>
      <c r="LMH33" s="47"/>
      <c r="LMI33" s="47"/>
      <c r="LMJ33" s="47"/>
      <c r="LMK33" s="47"/>
      <c r="LML33" s="47"/>
      <c r="LMM33" s="47"/>
      <c r="LMN33" s="47"/>
      <c r="LMO33" s="47"/>
      <c r="LMP33" s="47"/>
      <c r="LMQ33" s="47"/>
      <c r="LMR33" s="47"/>
      <c r="LMS33" s="47"/>
      <c r="LMT33" s="47"/>
      <c r="LMU33" s="47"/>
      <c r="LMV33" s="47"/>
      <c r="LMW33" s="47"/>
      <c r="LMX33" s="47"/>
      <c r="LMY33" s="47"/>
      <c r="LMZ33" s="47"/>
      <c r="LNA33" s="47"/>
      <c r="LNB33" s="47"/>
      <c r="LNC33" s="47"/>
      <c r="LND33" s="47"/>
      <c r="LNE33" s="47"/>
      <c r="LNF33" s="47"/>
      <c r="LNG33" s="47"/>
      <c r="LNH33" s="47"/>
      <c r="LNI33" s="47"/>
      <c r="LNJ33" s="47"/>
      <c r="LNK33" s="47"/>
      <c r="LNL33" s="47"/>
      <c r="LNM33" s="47"/>
      <c r="LNN33" s="47"/>
      <c r="LNO33" s="47"/>
      <c r="LNP33" s="47"/>
      <c r="LNQ33" s="47"/>
      <c r="LNR33" s="47"/>
      <c r="LNS33" s="47"/>
      <c r="LNT33" s="47"/>
      <c r="LNU33" s="47"/>
      <c r="LNV33" s="47"/>
      <c r="LNW33" s="47"/>
      <c r="LNX33" s="47"/>
      <c r="LNY33" s="47"/>
      <c r="LNZ33" s="47"/>
      <c r="LOA33" s="47"/>
      <c r="LOB33" s="47"/>
      <c r="LOC33" s="47"/>
      <c r="LOD33" s="47"/>
      <c r="LOE33" s="47"/>
      <c r="LOF33" s="47"/>
      <c r="LOG33" s="47"/>
      <c r="LOH33" s="47"/>
      <c r="LOI33" s="47"/>
      <c r="LOJ33" s="47"/>
      <c r="LOK33" s="47"/>
      <c r="LOL33" s="47"/>
      <c r="LOM33" s="47"/>
      <c r="LON33" s="47"/>
      <c r="LOO33" s="47"/>
      <c r="LOP33" s="47"/>
      <c r="LOQ33" s="47"/>
      <c r="LOR33" s="47"/>
      <c r="LOS33" s="47"/>
      <c r="LOT33" s="47"/>
      <c r="LOU33" s="47"/>
      <c r="LOV33" s="47"/>
      <c r="LOW33" s="47"/>
      <c r="LOX33" s="47"/>
      <c r="LOY33" s="47"/>
      <c r="LOZ33" s="47"/>
      <c r="LPA33" s="47"/>
      <c r="LPB33" s="47"/>
      <c r="LPC33" s="47"/>
      <c r="LPD33" s="47"/>
      <c r="LPE33" s="47"/>
      <c r="LPF33" s="47"/>
      <c r="LPG33" s="47"/>
      <c r="LPH33" s="47"/>
      <c r="LPI33" s="47"/>
      <c r="LPJ33" s="47"/>
      <c r="LPK33" s="47"/>
      <c r="LPL33" s="47"/>
      <c r="LPM33" s="47"/>
      <c r="LPN33" s="47"/>
      <c r="LPO33" s="47"/>
      <c r="LPP33" s="47"/>
      <c r="LPQ33" s="47"/>
      <c r="LPR33" s="47"/>
      <c r="LPS33" s="47"/>
      <c r="LPT33" s="47"/>
      <c r="LPU33" s="47"/>
      <c r="LPV33" s="47"/>
      <c r="LPW33" s="47"/>
      <c r="LPX33" s="47"/>
      <c r="LPY33" s="47"/>
      <c r="LPZ33" s="47"/>
      <c r="LQA33" s="47"/>
      <c r="LQB33" s="47"/>
      <c r="LQC33" s="47"/>
      <c r="LQD33" s="47"/>
      <c r="LQE33" s="47"/>
      <c r="LQF33" s="47"/>
      <c r="LQG33" s="47"/>
      <c r="LQH33" s="47"/>
      <c r="LQI33" s="47"/>
      <c r="LQJ33" s="47"/>
      <c r="LQK33" s="47"/>
      <c r="LQL33" s="47"/>
      <c r="LQM33" s="47"/>
      <c r="LQN33" s="47"/>
      <c r="LQO33" s="47"/>
      <c r="LQP33" s="47"/>
      <c r="LQQ33" s="47"/>
      <c r="LQR33" s="47"/>
      <c r="LQS33" s="47"/>
      <c r="LQT33" s="47"/>
      <c r="LQU33" s="47"/>
      <c r="LQV33" s="47"/>
      <c r="LQW33" s="47"/>
      <c r="LQX33" s="47"/>
      <c r="LQY33" s="47"/>
      <c r="LQZ33" s="47"/>
      <c r="LRA33" s="47"/>
      <c r="LRB33" s="47"/>
      <c r="LRC33" s="47"/>
      <c r="LRD33" s="47"/>
      <c r="LRE33" s="47"/>
      <c r="LRF33" s="47"/>
      <c r="LRG33" s="47"/>
      <c r="LRH33" s="47"/>
      <c r="LRI33" s="47"/>
      <c r="LRJ33" s="47"/>
      <c r="LRK33" s="47"/>
      <c r="LRL33" s="47"/>
      <c r="LRM33" s="47"/>
      <c r="LRN33" s="47"/>
      <c r="LRO33" s="47"/>
      <c r="LRP33" s="47"/>
      <c r="LRQ33" s="47"/>
      <c r="LRR33" s="47"/>
      <c r="LRS33" s="47"/>
      <c r="LRT33" s="47"/>
      <c r="LRU33" s="47"/>
      <c r="LRV33" s="47"/>
      <c r="LRW33" s="47"/>
      <c r="LRX33" s="47"/>
      <c r="LRY33" s="47"/>
      <c r="LRZ33" s="47"/>
      <c r="LSA33" s="47"/>
      <c r="LSB33" s="47"/>
      <c r="LSC33" s="47"/>
      <c r="LSD33" s="47"/>
      <c r="LSE33" s="47"/>
      <c r="LSF33" s="47"/>
      <c r="LSG33" s="47"/>
      <c r="LSH33" s="47"/>
      <c r="LSI33" s="47"/>
      <c r="LSJ33" s="47"/>
      <c r="LSK33" s="47"/>
      <c r="LSL33" s="47"/>
      <c r="LSM33" s="47"/>
      <c r="LSN33" s="47"/>
      <c r="LSO33" s="47"/>
      <c r="LSP33" s="47"/>
      <c r="LSQ33" s="47"/>
      <c r="LSR33" s="47"/>
      <c r="LSS33" s="47"/>
      <c r="LST33" s="47"/>
      <c r="LSU33" s="47"/>
      <c r="LSV33" s="47"/>
      <c r="LSW33" s="47"/>
      <c r="LSX33" s="47"/>
      <c r="LSY33" s="47"/>
      <c r="LSZ33" s="47"/>
      <c r="LTA33" s="47"/>
      <c r="LTB33" s="47"/>
      <c r="LTC33" s="47"/>
      <c r="LTD33" s="47"/>
      <c r="LTE33" s="47"/>
      <c r="LTF33" s="47"/>
      <c r="LTG33" s="47"/>
      <c r="LTH33" s="47"/>
      <c r="LTI33" s="47"/>
      <c r="LTJ33" s="47"/>
      <c r="LTK33" s="47"/>
      <c r="LTL33" s="47"/>
      <c r="LTM33" s="47"/>
      <c r="LTN33" s="47"/>
      <c r="LTO33" s="47"/>
      <c r="LTP33" s="47"/>
      <c r="LTQ33" s="47"/>
      <c r="LTR33" s="47"/>
      <c r="LTS33" s="47"/>
      <c r="LTT33" s="47"/>
      <c r="LTU33" s="47"/>
      <c r="LTV33" s="47"/>
      <c r="LTW33" s="47"/>
      <c r="LTX33" s="47"/>
      <c r="LTY33" s="47"/>
      <c r="LTZ33" s="47"/>
      <c r="LUA33" s="47"/>
      <c r="LUB33" s="47"/>
      <c r="LUC33" s="47"/>
      <c r="LUD33" s="47"/>
      <c r="LUE33" s="47"/>
      <c r="LUF33" s="47"/>
      <c r="LUG33" s="47"/>
      <c r="LUH33" s="47"/>
      <c r="LUI33" s="47"/>
      <c r="LUJ33" s="47"/>
      <c r="LUK33" s="47"/>
      <c r="LUL33" s="47"/>
      <c r="LUM33" s="47"/>
      <c r="LUN33" s="47"/>
      <c r="LUO33" s="47"/>
      <c r="LUP33" s="47"/>
      <c r="LUQ33" s="47"/>
      <c r="LUR33" s="47"/>
      <c r="LUS33" s="47"/>
      <c r="LUT33" s="47"/>
      <c r="LUU33" s="47"/>
      <c r="LUV33" s="47"/>
      <c r="LUW33" s="47"/>
      <c r="LUX33" s="47"/>
      <c r="LUY33" s="47"/>
      <c r="LUZ33" s="47"/>
      <c r="LVA33" s="47"/>
      <c r="LVB33" s="47"/>
      <c r="LVC33" s="47"/>
      <c r="LVD33" s="47"/>
      <c r="LVE33" s="47"/>
      <c r="LVF33" s="47"/>
      <c r="LVG33" s="47"/>
      <c r="LVH33" s="47"/>
      <c r="LVI33" s="47"/>
      <c r="LVJ33" s="47"/>
      <c r="LVK33" s="47"/>
      <c r="LVL33" s="47"/>
      <c r="LVM33" s="47"/>
      <c r="LVN33" s="47"/>
      <c r="LVO33" s="47"/>
      <c r="LVP33" s="47"/>
      <c r="LVQ33" s="47"/>
      <c r="LVR33" s="47"/>
      <c r="LVS33" s="47"/>
      <c r="LVT33" s="47"/>
      <c r="LVU33" s="47"/>
      <c r="LVV33" s="47"/>
      <c r="LVW33" s="47"/>
      <c r="LVX33" s="47"/>
      <c r="LVY33" s="47"/>
      <c r="LVZ33" s="47"/>
      <c r="LWA33" s="47"/>
      <c r="LWB33" s="47"/>
      <c r="LWC33" s="47"/>
      <c r="LWD33" s="47"/>
      <c r="LWE33" s="47"/>
      <c r="LWF33" s="47"/>
      <c r="LWG33" s="47"/>
      <c r="LWH33" s="47"/>
      <c r="LWI33" s="47"/>
      <c r="LWJ33" s="47"/>
      <c r="LWK33" s="47"/>
      <c r="LWL33" s="47"/>
      <c r="LWM33" s="47"/>
      <c r="LWN33" s="47"/>
      <c r="LWO33" s="47"/>
      <c r="LWP33" s="47"/>
      <c r="LWQ33" s="47"/>
      <c r="LWR33" s="47"/>
      <c r="LWS33" s="47"/>
      <c r="LWT33" s="47"/>
      <c r="LWU33" s="47"/>
      <c r="LWV33" s="47"/>
      <c r="LWW33" s="47"/>
      <c r="LWX33" s="47"/>
      <c r="LWY33" s="47"/>
      <c r="LWZ33" s="47"/>
      <c r="LXA33" s="47"/>
      <c r="LXB33" s="47"/>
      <c r="LXC33" s="47"/>
      <c r="LXD33" s="47"/>
      <c r="LXE33" s="47"/>
      <c r="LXF33" s="47"/>
      <c r="LXG33" s="47"/>
      <c r="LXH33" s="47"/>
      <c r="LXI33" s="47"/>
      <c r="LXJ33" s="47"/>
      <c r="LXK33" s="47"/>
      <c r="LXL33" s="47"/>
      <c r="LXM33" s="47"/>
      <c r="LXN33" s="47"/>
      <c r="LXO33" s="47"/>
      <c r="LXP33" s="47"/>
      <c r="LXQ33" s="47"/>
      <c r="LXR33" s="47"/>
      <c r="LXS33" s="47"/>
      <c r="LXT33" s="47"/>
      <c r="LXU33" s="47"/>
      <c r="LXV33" s="47"/>
      <c r="LXW33" s="47"/>
      <c r="LXX33" s="47"/>
      <c r="LXY33" s="47"/>
      <c r="LXZ33" s="47"/>
      <c r="LYA33" s="47"/>
      <c r="LYB33" s="47"/>
      <c r="LYC33" s="47"/>
      <c r="LYD33" s="47"/>
      <c r="LYE33" s="47"/>
      <c r="LYF33" s="47"/>
      <c r="LYG33" s="47"/>
      <c r="LYH33" s="47"/>
      <c r="LYI33" s="47"/>
      <c r="LYJ33" s="47"/>
      <c r="LYK33" s="47"/>
      <c r="LYL33" s="47"/>
      <c r="LYM33" s="47"/>
      <c r="LYN33" s="47"/>
      <c r="LYO33" s="47"/>
      <c r="LYP33" s="47"/>
      <c r="LYQ33" s="47"/>
      <c r="LYR33" s="47"/>
      <c r="LYS33" s="47"/>
      <c r="LYT33" s="47"/>
      <c r="LYU33" s="47"/>
      <c r="LYV33" s="47"/>
      <c r="LYW33" s="47"/>
      <c r="LYX33" s="47"/>
      <c r="LYY33" s="47"/>
      <c r="LYZ33" s="47"/>
      <c r="LZA33" s="47"/>
      <c r="LZB33" s="47"/>
      <c r="LZC33" s="47"/>
      <c r="LZD33" s="47"/>
      <c r="LZE33" s="47"/>
      <c r="LZF33" s="47"/>
      <c r="LZG33" s="47"/>
      <c r="LZH33" s="47"/>
      <c r="LZI33" s="47"/>
      <c r="LZJ33" s="47"/>
      <c r="LZK33" s="47"/>
      <c r="LZL33" s="47"/>
      <c r="LZM33" s="47"/>
      <c r="LZN33" s="47"/>
      <c r="LZO33" s="47"/>
      <c r="LZP33" s="47"/>
      <c r="LZQ33" s="47"/>
      <c r="LZR33" s="47"/>
      <c r="LZS33" s="47"/>
      <c r="LZT33" s="47"/>
      <c r="LZU33" s="47"/>
      <c r="LZV33" s="47"/>
      <c r="LZW33" s="47"/>
      <c r="LZX33" s="47"/>
      <c r="LZY33" s="47"/>
      <c r="LZZ33" s="47"/>
      <c r="MAA33" s="47"/>
      <c r="MAB33" s="47"/>
      <c r="MAC33" s="47"/>
      <c r="MAD33" s="47"/>
      <c r="MAE33" s="47"/>
      <c r="MAF33" s="47"/>
      <c r="MAG33" s="47"/>
      <c r="MAH33" s="47"/>
      <c r="MAI33" s="47"/>
      <c r="MAJ33" s="47"/>
      <c r="MAK33" s="47"/>
      <c r="MAL33" s="47"/>
      <c r="MAM33" s="47"/>
      <c r="MAN33" s="47"/>
      <c r="MAO33" s="47"/>
      <c r="MAP33" s="47"/>
      <c r="MAQ33" s="47"/>
      <c r="MAR33" s="47"/>
      <c r="MAS33" s="47"/>
      <c r="MAT33" s="47"/>
      <c r="MAU33" s="47"/>
      <c r="MAV33" s="47"/>
      <c r="MAW33" s="47"/>
      <c r="MAX33" s="47"/>
      <c r="MAY33" s="47"/>
      <c r="MAZ33" s="47"/>
      <c r="MBA33" s="47"/>
      <c r="MBB33" s="47"/>
      <c r="MBC33" s="47"/>
      <c r="MBD33" s="47"/>
      <c r="MBE33" s="47"/>
      <c r="MBF33" s="47"/>
      <c r="MBG33" s="47"/>
      <c r="MBH33" s="47"/>
      <c r="MBI33" s="47"/>
      <c r="MBJ33" s="47"/>
      <c r="MBK33" s="47"/>
      <c r="MBL33" s="47"/>
      <c r="MBM33" s="47"/>
      <c r="MBN33" s="47"/>
      <c r="MBO33" s="47"/>
      <c r="MBP33" s="47"/>
      <c r="MBQ33" s="47"/>
      <c r="MBR33" s="47"/>
      <c r="MBS33" s="47"/>
      <c r="MBT33" s="47"/>
      <c r="MBU33" s="47"/>
      <c r="MBV33" s="47"/>
      <c r="MBW33" s="47"/>
      <c r="MBX33" s="47"/>
      <c r="MBY33" s="47"/>
      <c r="MBZ33" s="47"/>
      <c r="MCA33" s="47"/>
      <c r="MCB33" s="47"/>
      <c r="MCC33" s="47"/>
      <c r="MCD33" s="47"/>
      <c r="MCE33" s="47"/>
      <c r="MCF33" s="47"/>
      <c r="MCG33" s="47"/>
      <c r="MCH33" s="47"/>
      <c r="MCI33" s="47"/>
      <c r="MCJ33" s="47"/>
      <c r="MCK33" s="47"/>
      <c r="MCL33" s="47"/>
      <c r="MCM33" s="47"/>
      <c r="MCN33" s="47"/>
      <c r="MCO33" s="47"/>
      <c r="MCP33" s="47"/>
      <c r="MCQ33" s="47"/>
      <c r="MCR33" s="47"/>
      <c r="MCS33" s="47"/>
      <c r="MCT33" s="47"/>
      <c r="MCU33" s="47"/>
      <c r="MCV33" s="47"/>
      <c r="MCW33" s="47"/>
      <c r="MCX33" s="47"/>
      <c r="MCY33" s="47"/>
      <c r="MCZ33" s="47"/>
      <c r="MDA33" s="47"/>
      <c r="MDB33" s="47"/>
      <c r="MDC33" s="47"/>
      <c r="MDD33" s="47"/>
      <c r="MDE33" s="47"/>
      <c r="MDF33" s="47"/>
      <c r="MDG33" s="47"/>
      <c r="MDH33" s="47"/>
      <c r="MDI33" s="47"/>
      <c r="MDJ33" s="47"/>
      <c r="MDK33" s="47"/>
      <c r="MDL33" s="47"/>
      <c r="MDM33" s="47"/>
      <c r="MDN33" s="47"/>
      <c r="MDO33" s="47"/>
      <c r="MDP33" s="47"/>
      <c r="MDQ33" s="47"/>
      <c r="MDR33" s="47"/>
      <c r="MDS33" s="47"/>
      <c r="MDT33" s="47"/>
      <c r="MDU33" s="47"/>
      <c r="MDV33" s="47"/>
      <c r="MDW33" s="47"/>
      <c r="MDX33" s="47"/>
      <c r="MDY33" s="47"/>
      <c r="MDZ33" s="47"/>
      <c r="MEA33" s="47"/>
      <c r="MEB33" s="47"/>
      <c r="MEC33" s="47"/>
      <c r="MED33" s="47"/>
      <c r="MEE33" s="47"/>
      <c r="MEF33" s="47"/>
      <c r="MEG33" s="47"/>
      <c r="MEH33" s="47"/>
      <c r="MEI33" s="47"/>
      <c r="MEJ33" s="47"/>
      <c r="MEK33" s="47"/>
      <c r="MEL33" s="47"/>
      <c r="MEM33" s="47"/>
      <c r="MEN33" s="47"/>
      <c r="MEO33" s="47"/>
      <c r="MEP33" s="47"/>
      <c r="MEQ33" s="47"/>
      <c r="MER33" s="47"/>
      <c r="MES33" s="47"/>
      <c r="MET33" s="47"/>
      <c r="MEU33" s="47"/>
      <c r="MEV33" s="47"/>
      <c r="MEW33" s="47"/>
      <c r="MEX33" s="47"/>
      <c r="MEY33" s="47"/>
      <c r="MEZ33" s="47"/>
      <c r="MFA33" s="47"/>
      <c r="MFB33" s="47"/>
      <c r="MFC33" s="47"/>
      <c r="MFD33" s="47"/>
      <c r="MFE33" s="47"/>
      <c r="MFF33" s="47"/>
      <c r="MFG33" s="47"/>
      <c r="MFH33" s="47"/>
      <c r="MFI33" s="47"/>
      <c r="MFJ33" s="47"/>
      <c r="MFK33" s="47"/>
      <c r="MFL33" s="47"/>
      <c r="MFM33" s="47"/>
      <c r="MFN33" s="47"/>
      <c r="MFO33" s="47"/>
      <c r="MFP33" s="47"/>
      <c r="MFQ33" s="47"/>
      <c r="MFR33" s="47"/>
      <c r="MFS33" s="47"/>
      <c r="MFT33" s="47"/>
      <c r="MFU33" s="47"/>
      <c r="MFV33" s="47"/>
      <c r="MFW33" s="47"/>
      <c r="MFX33" s="47"/>
      <c r="MFY33" s="47"/>
      <c r="MFZ33" s="47"/>
      <c r="MGA33" s="47"/>
      <c r="MGB33" s="47"/>
      <c r="MGC33" s="47"/>
      <c r="MGD33" s="47"/>
      <c r="MGE33" s="47"/>
      <c r="MGF33" s="47"/>
      <c r="MGG33" s="47"/>
      <c r="MGH33" s="47"/>
      <c r="MGI33" s="47"/>
      <c r="MGJ33" s="47"/>
      <c r="MGK33" s="47"/>
      <c r="MGL33" s="47"/>
      <c r="MGM33" s="47"/>
      <c r="MGN33" s="47"/>
      <c r="MGO33" s="47"/>
      <c r="MGP33" s="47"/>
      <c r="MGQ33" s="47"/>
      <c r="MGR33" s="47"/>
      <c r="MGS33" s="47"/>
      <c r="MGT33" s="47"/>
      <c r="MGU33" s="47"/>
      <c r="MGV33" s="47"/>
      <c r="MGW33" s="47"/>
      <c r="MGX33" s="47"/>
      <c r="MGY33" s="47"/>
      <c r="MGZ33" s="47"/>
      <c r="MHA33" s="47"/>
      <c r="MHB33" s="47"/>
      <c r="MHC33" s="47"/>
      <c r="MHD33" s="47"/>
      <c r="MHE33" s="47"/>
      <c r="MHF33" s="47"/>
      <c r="MHG33" s="47"/>
      <c r="MHH33" s="47"/>
      <c r="MHI33" s="47"/>
      <c r="MHJ33" s="47"/>
      <c r="MHK33" s="47"/>
      <c r="MHL33" s="47"/>
      <c r="MHM33" s="47"/>
      <c r="MHN33" s="47"/>
      <c r="MHO33" s="47"/>
      <c r="MHP33" s="47"/>
      <c r="MHQ33" s="47"/>
      <c r="MHR33" s="47"/>
      <c r="MHS33" s="47"/>
      <c r="MHT33" s="47"/>
      <c r="MHU33" s="47"/>
      <c r="MHV33" s="47"/>
      <c r="MHW33" s="47"/>
      <c r="MHX33" s="47"/>
      <c r="MHY33" s="47"/>
      <c r="MHZ33" s="47"/>
      <c r="MIA33" s="47"/>
      <c r="MIB33" s="47"/>
      <c r="MIC33" s="47"/>
      <c r="MID33" s="47"/>
      <c r="MIE33" s="47"/>
      <c r="MIF33" s="47"/>
      <c r="MIG33" s="47"/>
      <c r="MIH33" s="47"/>
      <c r="MII33" s="47"/>
      <c r="MIJ33" s="47"/>
      <c r="MIK33" s="47"/>
      <c r="MIL33" s="47"/>
      <c r="MIM33" s="47"/>
      <c r="MIN33" s="47"/>
      <c r="MIO33" s="47"/>
      <c r="MIP33" s="47"/>
      <c r="MIQ33" s="47"/>
      <c r="MIR33" s="47"/>
      <c r="MIS33" s="47"/>
      <c r="MIT33" s="47"/>
      <c r="MIU33" s="47"/>
      <c r="MIV33" s="47"/>
      <c r="MIW33" s="47"/>
      <c r="MIX33" s="47"/>
      <c r="MIY33" s="47"/>
      <c r="MIZ33" s="47"/>
      <c r="MJA33" s="47"/>
      <c r="MJB33" s="47"/>
      <c r="MJC33" s="47"/>
      <c r="MJD33" s="47"/>
      <c r="MJE33" s="47"/>
      <c r="MJF33" s="47"/>
      <c r="MJG33" s="47"/>
      <c r="MJH33" s="47"/>
      <c r="MJI33" s="47"/>
      <c r="MJJ33" s="47"/>
      <c r="MJK33" s="47"/>
      <c r="MJL33" s="47"/>
      <c r="MJM33" s="47"/>
      <c r="MJN33" s="47"/>
      <c r="MJO33" s="47"/>
      <c r="MJP33" s="47"/>
      <c r="MJQ33" s="47"/>
      <c r="MJR33" s="47"/>
      <c r="MJS33" s="47"/>
      <c r="MJT33" s="47"/>
      <c r="MJU33" s="47"/>
      <c r="MJV33" s="47"/>
      <c r="MJW33" s="47"/>
      <c r="MJX33" s="47"/>
      <c r="MJY33" s="47"/>
      <c r="MJZ33" s="47"/>
      <c r="MKA33" s="47"/>
      <c r="MKB33" s="47"/>
      <c r="MKC33" s="47"/>
      <c r="MKD33" s="47"/>
      <c r="MKE33" s="47"/>
      <c r="MKF33" s="47"/>
      <c r="MKG33" s="47"/>
      <c r="MKH33" s="47"/>
      <c r="MKI33" s="47"/>
      <c r="MKJ33" s="47"/>
      <c r="MKK33" s="47"/>
      <c r="MKL33" s="47"/>
      <c r="MKM33" s="47"/>
      <c r="MKN33" s="47"/>
      <c r="MKO33" s="47"/>
      <c r="MKP33" s="47"/>
      <c r="MKQ33" s="47"/>
      <c r="MKR33" s="47"/>
      <c r="MKS33" s="47"/>
      <c r="MKT33" s="47"/>
      <c r="MKU33" s="47"/>
      <c r="MKV33" s="47"/>
      <c r="MKW33" s="47"/>
      <c r="MKX33" s="47"/>
      <c r="MKY33" s="47"/>
      <c r="MKZ33" s="47"/>
      <c r="MLA33" s="47"/>
      <c r="MLB33" s="47"/>
      <c r="MLC33" s="47"/>
      <c r="MLD33" s="47"/>
      <c r="MLE33" s="47"/>
      <c r="MLF33" s="47"/>
      <c r="MLG33" s="47"/>
      <c r="MLH33" s="47"/>
      <c r="MLI33" s="47"/>
      <c r="MLJ33" s="47"/>
      <c r="MLK33" s="47"/>
      <c r="MLL33" s="47"/>
      <c r="MLM33" s="47"/>
      <c r="MLN33" s="47"/>
      <c r="MLO33" s="47"/>
      <c r="MLP33" s="47"/>
      <c r="MLQ33" s="47"/>
      <c r="MLR33" s="47"/>
      <c r="MLS33" s="47"/>
      <c r="MLT33" s="47"/>
      <c r="MLU33" s="47"/>
      <c r="MLV33" s="47"/>
      <c r="MLW33" s="47"/>
      <c r="MLX33" s="47"/>
      <c r="MLY33" s="47"/>
      <c r="MLZ33" s="47"/>
      <c r="MMA33" s="47"/>
      <c r="MMB33" s="47"/>
      <c r="MMC33" s="47"/>
      <c r="MMD33" s="47"/>
      <c r="MME33" s="47"/>
      <c r="MMF33" s="47"/>
      <c r="MMG33" s="47"/>
      <c r="MMH33" s="47"/>
      <c r="MMI33" s="47"/>
      <c r="MMJ33" s="47"/>
      <c r="MMK33" s="47"/>
      <c r="MML33" s="47"/>
      <c r="MMM33" s="47"/>
      <c r="MMN33" s="47"/>
      <c r="MMO33" s="47"/>
      <c r="MMP33" s="47"/>
      <c r="MMQ33" s="47"/>
      <c r="MMR33" s="47"/>
      <c r="MMS33" s="47"/>
      <c r="MMT33" s="47"/>
      <c r="MMU33" s="47"/>
      <c r="MMV33" s="47"/>
      <c r="MMW33" s="47"/>
      <c r="MMX33" s="47"/>
      <c r="MMY33" s="47"/>
      <c r="MMZ33" s="47"/>
      <c r="MNA33" s="47"/>
      <c r="MNB33" s="47"/>
      <c r="MNC33" s="47"/>
      <c r="MND33" s="47"/>
      <c r="MNE33" s="47"/>
      <c r="MNF33" s="47"/>
      <c r="MNG33" s="47"/>
      <c r="MNH33" s="47"/>
      <c r="MNI33" s="47"/>
      <c r="MNJ33" s="47"/>
      <c r="MNK33" s="47"/>
      <c r="MNL33" s="47"/>
      <c r="MNM33" s="47"/>
      <c r="MNN33" s="47"/>
      <c r="MNO33" s="47"/>
      <c r="MNP33" s="47"/>
      <c r="MNQ33" s="47"/>
      <c r="MNR33" s="47"/>
      <c r="MNS33" s="47"/>
      <c r="MNT33" s="47"/>
      <c r="MNU33" s="47"/>
      <c r="MNV33" s="47"/>
      <c r="MNW33" s="47"/>
      <c r="MNX33" s="47"/>
      <c r="MNY33" s="47"/>
      <c r="MNZ33" s="47"/>
      <c r="MOA33" s="47"/>
      <c r="MOB33" s="47"/>
      <c r="MOC33" s="47"/>
      <c r="MOD33" s="47"/>
      <c r="MOE33" s="47"/>
      <c r="MOF33" s="47"/>
      <c r="MOG33" s="47"/>
      <c r="MOH33" s="47"/>
      <c r="MOI33" s="47"/>
      <c r="MOJ33" s="47"/>
      <c r="MOK33" s="47"/>
      <c r="MOL33" s="47"/>
      <c r="MOM33" s="47"/>
      <c r="MON33" s="47"/>
      <c r="MOO33" s="47"/>
      <c r="MOP33" s="47"/>
      <c r="MOQ33" s="47"/>
      <c r="MOR33" s="47"/>
      <c r="MOS33" s="47"/>
      <c r="MOT33" s="47"/>
      <c r="MOU33" s="47"/>
      <c r="MOV33" s="47"/>
      <c r="MOW33" s="47"/>
      <c r="MOX33" s="47"/>
      <c r="MOY33" s="47"/>
      <c r="MOZ33" s="47"/>
      <c r="MPA33" s="47"/>
      <c r="MPB33" s="47"/>
      <c r="MPC33" s="47"/>
      <c r="MPD33" s="47"/>
      <c r="MPE33" s="47"/>
      <c r="MPF33" s="47"/>
      <c r="MPG33" s="47"/>
      <c r="MPH33" s="47"/>
      <c r="MPI33" s="47"/>
      <c r="MPJ33" s="47"/>
      <c r="MPK33" s="47"/>
      <c r="MPL33" s="47"/>
      <c r="MPM33" s="47"/>
      <c r="MPN33" s="47"/>
      <c r="MPO33" s="47"/>
      <c r="MPP33" s="47"/>
      <c r="MPQ33" s="47"/>
      <c r="MPR33" s="47"/>
      <c r="MPS33" s="47"/>
      <c r="MPT33" s="47"/>
      <c r="MPU33" s="47"/>
      <c r="MPV33" s="47"/>
      <c r="MPW33" s="47"/>
      <c r="MPX33" s="47"/>
      <c r="MPY33" s="47"/>
      <c r="MPZ33" s="47"/>
      <c r="MQA33" s="47"/>
      <c r="MQB33" s="47"/>
      <c r="MQC33" s="47"/>
      <c r="MQD33" s="47"/>
      <c r="MQE33" s="47"/>
      <c r="MQF33" s="47"/>
      <c r="MQG33" s="47"/>
      <c r="MQH33" s="47"/>
      <c r="MQI33" s="47"/>
      <c r="MQJ33" s="47"/>
      <c r="MQK33" s="47"/>
      <c r="MQL33" s="47"/>
      <c r="MQM33" s="47"/>
      <c r="MQN33" s="47"/>
      <c r="MQO33" s="47"/>
      <c r="MQP33" s="47"/>
      <c r="MQQ33" s="47"/>
      <c r="MQR33" s="47"/>
      <c r="MQS33" s="47"/>
      <c r="MQT33" s="47"/>
      <c r="MQU33" s="47"/>
      <c r="MQV33" s="47"/>
      <c r="MQW33" s="47"/>
      <c r="MQX33" s="47"/>
      <c r="MQY33" s="47"/>
      <c r="MQZ33" s="47"/>
      <c r="MRA33" s="47"/>
      <c r="MRB33" s="47"/>
      <c r="MRC33" s="47"/>
      <c r="MRD33" s="47"/>
      <c r="MRE33" s="47"/>
      <c r="MRF33" s="47"/>
      <c r="MRG33" s="47"/>
      <c r="MRH33" s="47"/>
      <c r="MRI33" s="47"/>
      <c r="MRJ33" s="47"/>
      <c r="MRK33" s="47"/>
      <c r="MRL33" s="47"/>
      <c r="MRM33" s="47"/>
      <c r="MRN33" s="47"/>
      <c r="MRO33" s="47"/>
      <c r="MRP33" s="47"/>
      <c r="MRQ33" s="47"/>
      <c r="MRR33" s="47"/>
      <c r="MRS33" s="47"/>
      <c r="MRT33" s="47"/>
      <c r="MRU33" s="47"/>
      <c r="MRV33" s="47"/>
      <c r="MRW33" s="47"/>
      <c r="MRX33" s="47"/>
      <c r="MRY33" s="47"/>
      <c r="MRZ33" s="47"/>
      <c r="MSA33" s="47"/>
      <c r="MSB33" s="47"/>
      <c r="MSC33" s="47"/>
      <c r="MSD33" s="47"/>
      <c r="MSE33" s="47"/>
      <c r="MSF33" s="47"/>
      <c r="MSG33" s="47"/>
      <c r="MSH33" s="47"/>
      <c r="MSI33" s="47"/>
      <c r="MSJ33" s="47"/>
      <c r="MSK33" s="47"/>
      <c r="MSL33" s="47"/>
      <c r="MSM33" s="47"/>
      <c r="MSN33" s="47"/>
      <c r="MSO33" s="47"/>
      <c r="MSP33" s="47"/>
      <c r="MSQ33" s="47"/>
      <c r="MSR33" s="47"/>
      <c r="MSS33" s="47"/>
      <c r="MST33" s="47"/>
      <c r="MSU33" s="47"/>
      <c r="MSV33" s="47"/>
      <c r="MSW33" s="47"/>
      <c r="MSX33" s="47"/>
      <c r="MSY33" s="47"/>
      <c r="MSZ33" s="47"/>
      <c r="MTA33" s="47"/>
      <c r="MTB33" s="47"/>
      <c r="MTC33" s="47"/>
      <c r="MTD33" s="47"/>
      <c r="MTE33" s="47"/>
      <c r="MTF33" s="47"/>
      <c r="MTG33" s="47"/>
      <c r="MTH33" s="47"/>
      <c r="MTI33" s="47"/>
      <c r="MTJ33" s="47"/>
      <c r="MTK33" s="47"/>
      <c r="MTL33" s="47"/>
      <c r="MTM33" s="47"/>
      <c r="MTN33" s="47"/>
      <c r="MTO33" s="47"/>
      <c r="MTP33" s="47"/>
      <c r="MTQ33" s="47"/>
      <c r="MTR33" s="47"/>
      <c r="MTS33" s="47"/>
      <c r="MTT33" s="47"/>
      <c r="MTU33" s="47"/>
      <c r="MTV33" s="47"/>
      <c r="MTW33" s="47"/>
      <c r="MTX33" s="47"/>
      <c r="MTY33" s="47"/>
      <c r="MTZ33" s="47"/>
      <c r="MUA33" s="47"/>
      <c r="MUB33" s="47"/>
      <c r="MUC33" s="47"/>
      <c r="MUD33" s="47"/>
      <c r="MUE33" s="47"/>
      <c r="MUF33" s="47"/>
      <c r="MUG33" s="47"/>
      <c r="MUH33" s="47"/>
      <c r="MUI33" s="47"/>
      <c r="MUJ33" s="47"/>
      <c r="MUK33" s="47"/>
      <c r="MUL33" s="47"/>
      <c r="MUM33" s="47"/>
      <c r="MUN33" s="47"/>
      <c r="MUO33" s="47"/>
      <c r="MUP33" s="47"/>
      <c r="MUQ33" s="47"/>
      <c r="MUR33" s="47"/>
      <c r="MUS33" s="47"/>
      <c r="MUT33" s="47"/>
      <c r="MUU33" s="47"/>
      <c r="MUV33" s="47"/>
      <c r="MUW33" s="47"/>
      <c r="MUX33" s="47"/>
      <c r="MUY33" s="47"/>
      <c r="MUZ33" s="47"/>
      <c r="MVA33" s="47"/>
      <c r="MVB33" s="47"/>
      <c r="MVC33" s="47"/>
      <c r="MVD33" s="47"/>
      <c r="MVE33" s="47"/>
      <c r="MVF33" s="47"/>
      <c r="MVG33" s="47"/>
      <c r="MVH33" s="47"/>
      <c r="MVI33" s="47"/>
      <c r="MVJ33" s="47"/>
      <c r="MVK33" s="47"/>
      <c r="MVL33" s="47"/>
      <c r="MVM33" s="47"/>
      <c r="MVN33" s="47"/>
      <c r="MVO33" s="47"/>
      <c r="MVP33" s="47"/>
      <c r="MVQ33" s="47"/>
      <c r="MVR33" s="47"/>
      <c r="MVS33" s="47"/>
      <c r="MVT33" s="47"/>
      <c r="MVU33" s="47"/>
      <c r="MVV33" s="47"/>
      <c r="MVW33" s="47"/>
      <c r="MVX33" s="47"/>
      <c r="MVY33" s="47"/>
      <c r="MVZ33" s="47"/>
      <c r="MWA33" s="47"/>
      <c r="MWB33" s="47"/>
      <c r="MWC33" s="47"/>
      <c r="MWD33" s="47"/>
      <c r="MWE33" s="47"/>
      <c r="MWF33" s="47"/>
      <c r="MWG33" s="47"/>
      <c r="MWH33" s="47"/>
      <c r="MWI33" s="47"/>
      <c r="MWJ33" s="47"/>
      <c r="MWK33" s="47"/>
      <c r="MWL33" s="47"/>
      <c r="MWM33" s="47"/>
      <c r="MWN33" s="47"/>
      <c r="MWO33" s="47"/>
      <c r="MWP33" s="47"/>
      <c r="MWQ33" s="47"/>
      <c r="MWR33" s="47"/>
      <c r="MWS33" s="47"/>
      <c r="MWT33" s="47"/>
      <c r="MWU33" s="47"/>
      <c r="MWV33" s="47"/>
      <c r="MWW33" s="47"/>
      <c r="MWX33" s="47"/>
      <c r="MWY33" s="47"/>
      <c r="MWZ33" s="47"/>
      <c r="MXA33" s="47"/>
      <c r="MXB33" s="47"/>
      <c r="MXC33" s="47"/>
      <c r="MXD33" s="47"/>
      <c r="MXE33" s="47"/>
      <c r="MXF33" s="47"/>
      <c r="MXG33" s="47"/>
      <c r="MXH33" s="47"/>
      <c r="MXI33" s="47"/>
      <c r="MXJ33" s="47"/>
      <c r="MXK33" s="47"/>
      <c r="MXL33" s="47"/>
      <c r="MXM33" s="47"/>
      <c r="MXN33" s="47"/>
      <c r="MXO33" s="47"/>
      <c r="MXP33" s="47"/>
      <c r="MXQ33" s="47"/>
      <c r="MXR33" s="47"/>
      <c r="MXS33" s="47"/>
      <c r="MXT33" s="47"/>
      <c r="MXU33" s="47"/>
      <c r="MXV33" s="47"/>
      <c r="MXW33" s="47"/>
      <c r="MXX33" s="47"/>
      <c r="MXY33" s="47"/>
      <c r="MXZ33" s="47"/>
      <c r="MYA33" s="47"/>
      <c r="MYB33" s="47"/>
      <c r="MYC33" s="47"/>
      <c r="MYD33" s="47"/>
      <c r="MYE33" s="47"/>
      <c r="MYF33" s="47"/>
      <c r="MYG33" s="47"/>
      <c r="MYH33" s="47"/>
      <c r="MYI33" s="47"/>
      <c r="MYJ33" s="47"/>
      <c r="MYK33" s="47"/>
      <c r="MYL33" s="47"/>
      <c r="MYM33" s="47"/>
      <c r="MYN33" s="47"/>
      <c r="MYO33" s="47"/>
      <c r="MYP33" s="47"/>
      <c r="MYQ33" s="47"/>
      <c r="MYR33" s="47"/>
      <c r="MYS33" s="47"/>
      <c r="MYT33" s="47"/>
      <c r="MYU33" s="47"/>
      <c r="MYV33" s="47"/>
      <c r="MYW33" s="47"/>
      <c r="MYX33" s="47"/>
      <c r="MYY33" s="47"/>
      <c r="MYZ33" s="47"/>
      <c r="MZA33" s="47"/>
      <c r="MZB33" s="47"/>
      <c r="MZC33" s="47"/>
      <c r="MZD33" s="47"/>
      <c r="MZE33" s="47"/>
      <c r="MZF33" s="47"/>
      <c r="MZG33" s="47"/>
      <c r="MZH33" s="47"/>
      <c r="MZI33" s="47"/>
      <c r="MZJ33" s="47"/>
      <c r="MZK33" s="47"/>
      <c r="MZL33" s="47"/>
      <c r="MZM33" s="47"/>
      <c r="MZN33" s="47"/>
      <c r="MZO33" s="47"/>
      <c r="MZP33" s="47"/>
      <c r="MZQ33" s="47"/>
      <c r="MZR33" s="47"/>
      <c r="MZS33" s="47"/>
      <c r="MZT33" s="47"/>
      <c r="MZU33" s="47"/>
      <c r="MZV33" s="47"/>
      <c r="MZW33" s="47"/>
      <c r="MZX33" s="47"/>
      <c r="MZY33" s="47"/>
      <c r="MZZ33" s="47"/>
      <c r="NAA33" s="47"/>
      <c r="NAB33" s="47"/>
      <c r="NAC33" s="47"/>
      <c r="NAD33" s="47"/>
      <c r="NAE33" s="47"/>
      <c r="NAF33" s="47"/>
      <c r="NAG33" s="47"/>
      <c r="NAH33" s="47"/>
      <c r="NAI33" s="47"/>
      <c r="NAJ33" s="47"/>
      <c r="NAK33" s="47"/>
      <c r="NAL33" s="47"/>
      <c r="NAM33" s="47"/>
      <c r="NAN33" s="47"/>
      <c r="NAO33" s="47"/>
      <c r="NAP33" s="47"/>
      <c r="NAQ33" s="47"/>
      <c r="NAR33" s="47"/>
      <c r="NAS33" s="47"/>
      <c r="NAT33" s="47"/>
      <c r="NAU33" s="47"/>
      <c r="NAV33" s="47"/>
      <c r="NAW33" s="47"/>
      <c r="NAX33" s="47"/>
      <c r="NAY33" s="47"/>
      <c r="NAZ33" s="47"/>
      <c r="NBA33" s="47"/>
      <c r="NBB33" s="47"/>
      <c r="NBC33" s="47"/>
      <c r="NBD33" s="47"/>
      <c r="NBE33" s="47"/>
      <c r="NBF33" s="47"/>
      <c r="NBG33" s="47"/>
      <c r="NBH33" s="47"/>
      <c r="NBI33" s="47"/>
      <c r="NBJ33" s="47"/>
      <c r="NBK33" s="47"/>
      <c r="NBL33" s="47"/>
      <c r="NBM33" s="47"/>
      <c r="NBN33" s="47"/>
      <c r="NBO33" s="47"/>
      <c r="NBP33" s="47"/>
      <c r="NBQ33" s="47"/>
      <c r="NBR33" s="47"/>
      <c r="NBS33" s="47"/>
      <c r="NBT33" s="47"/>
      <c r="NBU33" s="47"/>
      <c r="NBV33" s="47"/>
      <c r="NBW33" s="47"/>
      <c r="NBX33" s="47"/>
      <c r="NBY33" s="47"/>
      <c r="NBZ33" s="47"/>
      <c r="NCA33" s="47"/>
      <c r="NCB33" s="47"/>
      <c r="NCC33" s="47"/>
      <c r="NCD33" s="47"/>
      <c r="NCE33" s="47"/>
      <c r="NCF33" s="47"/>
      <c r="NCG33" s="47"/>
      <c r="NCH33" s="47"/>
      <c r="NCI33" s="47"/>
      <c r="NCJ33" s="47"/>
      <c r="NCK33" s="47"/>
      <c r="NCL33" s="47"/>
      <c r="NCM33" s="47"/>
      <c r="NCN33" s="47"/>
      <c r="NCO33" s="47"/>
      <c r="NCP33" s="47"/>
      <c r="NCQ33" s="47"/>
      <c r="NCR33" s="47"/>
      <c r="NCS33" s="47"/>
      <c r="NCT33" s="47"/>
      <c r="NCU33" s="47"/>
      <c r="NCV33" s="47"/>
      <c r="NCW33" s="47"/>
      <c r="NCX33" s="47"/>
      <c r="NCY33" s="47"/>
      <c r="NCZ33" s="47"/>
      <c r="NDA33" s="47"/>
      <c r="NDB33" s="47"/>
      <c r="NDC33" s="47"/>
      <c r="NDD33" s="47"/>
      <c r="NDE33" s="47"/>
      <c r="NDF33" s="47"/>
      <c r="NDG33" s="47"/>
      <c r="NDH33" s="47"/>
      <c r="NDI33" s="47"/>
      <c r="NDJ33" s="47"/>
      <c r="NDK33" s="47"/>
      <c r="NDL33" s="47"/>
      <c r="NDM33" s="47"/>
      <c r="NDN33" s="47"/>
      <c r="NDO33" s="47"/>
      <c r="NDP33" s="47"/>
      <c r="NDQ33" s="47"/>
      <c r="NDR33" s="47"/>
      <c r="NDS33" s="47"/>
      <c r="NDT33" s="47"/>
      <c r="NDU33" s="47"/>
      <c r="NDV33" s="47"/>
      <c r="NDW33" s="47"/>
      <c r="NDX33" s="47"/>
      <c r="NDY33" s="47"/>
      <c r="NDZ33" s="47"/>
      <c r="NEA33" s="47"/>
      <c r="NEB33" s="47"/>
      <c r="NEC33" s="47"/>
      <c r="NED33" s="47"/>
      <c r="NEE33" s="47"/>
      <c r="NEF33" s="47"/>
      <c r="NEG33" s="47"/>
      <c r="NEH33" s="47"/>
      <c r="NEI33" s="47"/>
      <c r="NEJ33" s="47"/>
      <c r="NEK33" s="47"/>
      <c r="NEL33" s="47"/>
      <c r="NEM33" s="47"/>
      <c r="NEN33" s="47"/>
      <c r="NEO33" s="47"/>
      <c r="NEP33" s="47"/>
      <c r="NEQ33" s="47"/>
      <c r="NER33" s="47"/>
      <c r="NES33" s="47"/>
      <c r="NET33" s="47"/>
      <c r="NEU33" s="47"/>
      <c r="NEV33" s="47"/>
      <c r="NEW33" s="47"/>
      <c r="NEX33" s="47"/>
      <c r="NEY33" s="47"/>
      <c r="NEZ33" s="47"/>
      <c r="NFA33" s="47"/>
      <c r="NFB33" s="47"/>
      <c r="NFC33" s="47"/>
      <c r="NFD33" s="47"/>
      <c r="NFE33" s="47"/>
      <c r="NFF33" s="47"/>
      <c r="NFG33" s="47"/>
      <c r="NFH33" s="47"/>
      <c r="NFI33" s="47"/>
      <c r="NFJ33" s="47"/>
      <c r="NFK33" s="47"/>
      <c r="NFL33" s="47"/>
      <c r="NFM33" s="47"/>
      <c r="NFN33" s="47"/>
      <c r="NFO33" s="47"/>
      <c r="NFP33" s="47"/>
      <c r="NFQ33" s="47"/>
      <c r="NFR33" s="47"/>
      <c r="NFS33" s="47"/>
      <c r="NFT33" s="47"/>
      <c r="NFU33" s="47"/>
      <c r="NFV33" s="47"/>
      <c r="NFW33" s="47"/>
      <c r="NFX33" s="47"/>
      <c r="NFY33" s="47"/>
      <c r="NFZ33" s="47"/>
      <c r="NGA33" s="47"/>
      <c r="NGB33" s="47"/>
      <c r="NGC33" s="47"/>
      <c r="NGD33" s="47"/>
      <c r="NGE33" s="47"/>
      <c r="NGF33" s="47"/>
      <c r="NGG33" s="47"/>
      <c r="NGH33" s="47"/>
      <c r="NGI33" s="47"/>
      <c r="NGJ33" s="47"/>
      <c r="NGK33" s="47"/>
      <c r="NGL33" s="47"/>
      <c r="NGM33" s="47"/>
      <c r="NGN33" s="47"/>
      <c r="NGO33" s="47"/>
      <c r="NGP33" s="47"/>
      <c r="NGQ33" s="47"/>
      <c r="NGR33" s="47"/>
      <c r="NGS33" s="47"/>
      <c r="NGT33" s="47"/>
      <c r="NGU33" s="47"/>
      <c r="NGV33" s="47"/>
      <c r="NGW33" s="47"/>
      <c r="NGX33" s="47"/>
      <c r="NGY33" s="47"/>
      <c r="NGZ33" s="47"/>
      <c r="NHA33" s="47"/>
      <c r="NHB33" s="47"/>
      <c r="NHC33" s="47"/>
      <c r="NHD33" s="47"/>
      <c r="NHE33" s="47"/>
      <c r="NHF33" s="47"/>
      <c r="NHG33" s="47"/>
      <c r="NHH33" s="47"/>
      <c r="NHI33" s="47"/>
      <c r="NHJ33" s="47"/>
      <c r="NHK33" s="47"/>
      <c r="NHL33" s="47"/>
      <c r="NHM33" s="47"/>
      <c r="NHN33" s="47"/>
      <c r="NHO33" s="47"/>
      <c r="NHP33" s="47"/>
      <c r="NHQ33" s="47"/>
      <c r="NHR33" s="47"/>
      <c r="NHS33" s="47"/>
      <c r="NHT33" s="47"/>
      <c r="NHU33" s="47"/>
      <c r="NHV33" s="47"/>
      <c r="NHW33" s="47"/>
      <c r="NHX33" s="47"/>
      <c r="NHY33" s="47"/>
      <c r="NHZ33" s="47"/>
      <c r="NIA33" s="47"/>
      <c r="NIB33" s="47"/>
      <c r="NIC33" s="47"/>
      <c r="NID33" s="47"/>
      <c r="NIE33" s="47"/>
      <c r="NIF33" s="47"/>
      <c r="NIG33" s="47"/>
      <c r="NIH33" s="47"/>
      <c r="NII33" s="47"/>
      <c r="NIJ33" s="47"/>
      <c r="NIK33" s="47"/>
      <c r="NIL33" s="47"/>
      <c r="NIM33" s="47"/>
      <c r="NIN33" s="47"/>
      <c r="NIO33" s="47"/>
      <c r="NIP33" s="47"/>
      <c r="NIQ33" s="47"/>
      <c r="NIR33" s="47"/>
      <c r="NIS33" s="47"/>
      <c r="NIT33" s="47"/>
      <c r="NIU33" s="47"/>
      <c r="NIV33" s="47"/>
      <c r="NIW33" s="47"/>
      <c r="NIX33" s="47"/>
      <c r="NIY33" s="47"/>
      <c r="NIZ33" s="47"/>
      <c r="NJA33" s="47"/>
      <c r="NJB33" s="47"/>
      <c r="NJC33" s="47"/>
      <c r="NJD33" s="47"/>
      <c r="NJE33" s="47"/>
      <c r="NJF33" s="47"/>
      <c r="NJG33" s="47"/>
      <c r="NJH33" s="47"/>
      <c r="NJI33" s="47"/>
      <c r="NJJ33" s="47"/>
      <c r="NJK33" s="47"/>
      <c r="NJL33" s="47"/>
      <c r="NJM33" s="47"/>
      <c r="NJN33" s="47"/>
      <c r="NJO33" s="47"/>
      <c r="NJP33" s="47"/>
      <c r="NJQ33" s="47"/>
      <c r="NJR33" s="47"/>
      <c r="NJS33" s="47"/>
      <c r="NJT33" s="47"/>
      <c r="NJU33" s="47"/>
      <c r="NJV33" s="47"/>
      <c r="NJW33" s="47"/>
      <c r="NJX33" s="47"/>
      <c r="NJY33" s="47"/>
      <c r="NJZ33" s="47"/>
      <c r="NKA33" s="47"/>
      <c r="NKB33" s="47"/>
      <c r="NKC33" s="47"/>
      <c r="NKD33" s="47"/>
      <c r="NKE33" s="47"/>
      <c r="NKF33" s="47"/>
      <c r="NKG33" s="47"/>
      <c r="NKH33" s="47"/>
      <c r="NKI33" s="47"/>
      <c r="NKJ33" s="47"/>
      <c r="NKK33" s="47"/>
      <c r="NKL33" s="47"/>
      <c r="NKM33" s="47"/>
      <c r="NKN33" s="47"/>
      <c r="NKO33" s="47"/>
      <c r="NKP33" s="47"/>
      <c r="NKQ33" s="47"/>
      <c r="NKR33" s="47"/>
      <c r="NKS33" s="47"/>
      <c r="NKT33" s="47"/>
      <c r="NKU33" s="47"/>
      <c r="NKV33" s="47"/>
      <c r="NKW33" s="47"/>
      <c r="NKX33" s="47"/>
      <c r="NKY33" s="47"/>
      <c r="NKZ33" s="47"/>
      <c r="NLA33" s="47"/>
      <c r="NLB33" s="47"/>
      <c r="NLC33" s="47"/>
      <c r="NLD33" s="47"/>
      <c r="NLE33" s="47"/>
      <c r="NLF33" s="47"/>
      <c r="NLG33" s="47"/>
      <c r="NLH33" s="47"/>
      <c r="NLI33" s="47"/>
      <c r="NLJ33" s="47"/>
      <c r="NLK33" s="47"/>
      <c r="NLL33" s="47"/>
      <c r="NLM33" s="47"/>
      <c r="NLN33" s="47"/>
      <c r="NLO33" s="47"/>
      <c r="NLP33" s="47"/>
      <c r="NLQ33" s="47"/>
      <c r="NLR33" s="47"/>
      <c r="NLS33" s="47"/>
      <c r="NLT33" s="47"/>
      <c r="NLU33" s="47"/>
      <c r="NLV33" s="47"/>
      <c r="NLW33" s="47"/>
      <c r="NLX33" s="47"/>
      <c r="NLY33" s="47"/>
      <c r="NLZ33" s="47"/>
      <c r="NMA33" s="47"/>
      <c r="NMB33" s="47"/>
      <c r="NMC33" s="47"/>
      <c r="NMD33" s="47"/>
      <c r="NME33" s="47"/>
      <c r="NMF33" s="47"/>
      <c r="NMG33" s="47"/>
      <c r="NMH33" s="47"/>
      <c r="NMI33" s="47"/>
      <c r="NMJ33" s="47"/>
      <c r="NMK33" s="47"/>
      <c r="NML33" s="47"/>
      <c r="NMM33" s="47"/>
      <c r="NMN33" s="47"/>
      <c r="NMO33" s="47"/>
      <c r="NMP33" s="47"/>
      <c r="NMQ33" s="47"/>
      <c r="NMR33" s="47"/>
      <c r="NMS33" s="47"/>
      <c r="NMT33" s="47"/>
      <c r="NMU33" s="47"/>
      <c r="NMV33" s="47"/>
      <c r="NMW33" s="47"/>
      <c r="NMX33" s="47"/>
      <c r="NMY33" s="47"/>
      <c r="NMZ33" s="47"/>
      <c r="NNA33" s="47"/>
      <c r="NNB33" s="47"/>
      <c r="NNC33" s="47"/>
      <c r="NND33" s="47"/>
      <c r="NNE33" s="47"/>
      <c r="NNF33" s="47"/>
      <c r="NNG33" s="47"/>
      <c r="NNH33" s="47"/>
      <c r="NNI33" s="47"/>
      <c r="NNJ33" s="47"/>
      <c r="NNK33" s="47"/>
      <c r="NNL33" s="47"/>
      <c r="NNM33" s="47"/>
      <c r="NNN33" s="47"/>
      <c r="NNO33" s="47"/>
      <c r="NNP33" s="47"/>
      <c r="NNQ33" s="47"/>
      <c r="NNR33" s="47"/>
      <c r="NNS33" s="47"/>
      <c r="NNT33" s="47"/>
      <c r="NNU33" s="47"/>
      <c r="NNV33" s="47"/>
      <c r="NNW33" s="47"/>
      <c r="NNX33" s="47"/>
      <c r="NNY33" s="47"/>
      <c r="NNZ33" s="47"/>
      <c r="NOA33" s="47"/>
      <c r="NOB33" s="47"/>
      <c r="NOC33" s="47"/>
      <c r="NOD33" s="47"/>
      <c r="NOE33" s="47"/>
      <c r="NOF33" s="47"/>
      <c r="NOG33" s="47"/>
      <c r="NOH33" s="47"/>
      <c r="NOI33" s="47"/>
      <c r="NOJ33" s="47"/>
      <c r="NOK33" s="47"/>
      <c r="NOL33" s="47"/>
      <c r="NOM33" s="47"/>
      <c r="NON33" s="47"/>
      <c r="NOO33" s="47"/>
      <c r="NOP33" s="47"/>
      <c r="NOQ33" s="47"/>
      <c r="NOR33" s="47"/>
      <c r="NOS33" s="47"/>
      <c r="NOT33" s="47"/>
      <c r="NOU33" s="47"/>
      <c r="NOV33" s="47"/>
      <c r="NOW33" s="47"/>
      <c r="NOX33" s="47"/>
      <c r="NOY33" s="47"/>
      <c r="NOZ33" s="47"/>
      <c r="NPA33" s="47"/>
      <c r="NPB33" s="47"/>
      <c r="NPC33" s="47"/>
      <c r="NPD33" s="47"/>
      <c r="NPE33" s="47"/>
      <c r="NPF33" s="47"/>
      <c r="NPG33" s="47"/>
      <c r="NPH33" s="47"/>
      <c r="NPI33" s="47"/>
      <c r="NPJ33" s="47"/>
      <c r="NPK33" s="47"/>
      <c r="NPL33" s="47"/>
      <c r="NPM33" s="47"/>
      <c r="NPN33" s="47"/>
      <c r="NPO33" s="47"/>
      <c r="NPP33" s="47"/>
      <c r="NPQ33" s="47"/>
      <c r="NPR33" s="47"/>
      <c r="NPS33" s="47"/>
      <c r="NPT33" s="47"/>
      <c r="NPU33" s="47"/>
      <c r="NPV33" s="47"/>
      <c r="NPW33" s="47"/>
      <c r="NPX33" s="47"/>
      <c r="NPY33" s="47"/>
      <c r="NPZ33" s="47"/>
      <c r="NQA33" s="47"/>
      <c r="NQB33" s="47"/>
      <c r="NQC33" s="47"/>
      <c r="NQD33" s="47"/>
      <c r="NQE33" s="47"/>
      <c r="NQF33" s="47"/>
      <c r="NQG33" s="47"/>
      <c r="NQH33" s="47"/>
      <c r="NQI33" s="47"/>
      <c r="NQJ33" s="47"/>
      <c r="NQK33" s="47"/>
      <c r="NQL33" s="47"/>
      <c r="NQM33" s="47"/>
      <c r="NQN33" s="47"/>
      <c r="NQO33" s="47"/>
      <c r="NQP33" s="47"/>
      <c r="NQQ33" s="47"/>
      <c r="NQR33" s="47"/>
      <c r="NQS33" s="47"/>
      <c r="NQT33" s="47"/>
      <c r="NQU33" s="47"/>
      <c r="NQV33" s="47"/>
      <c r="NQW33" s="47"/>
      <c r="NQX33" s="47"/>
      <c r="NQY33" s="47"/>
      <c r="NQZ33" s="47"/>
      <c r="NRA33" s="47"/>
      <c r="NRB33" s="47"/>
      <c r="NRC33" s="47"/>
      <c r="NRD33" s="47"/>
      <c r="NRE33" s="47"/>
      <c r="NRF33" s="47"/>
      <c r="NRG33" s="47"/>
      <c r="NRH33" s="47"/>
      <c r="NRI33" s="47"/>
      <c r="NRJ33" s="47"/>
      <c r="NRK33" s="47"/>
      <c r="NRL33" s="47"/>
      <c r="NRM33" s="47"/>
      <c r="NRN33" s="47"/>
      <c r="NRO33" s="47"/>
      <c r="NRP33" s="47"/>
      <c r="NRQ33" s="47"/>
      <c r="NRR33" s="47"/>
      <c r="NRS33" s="47"/>
      <c r="NRT33" s="47"/>
      <c r="NRU33" s="47"/>
      <c r="NRV33" s="47"/>
      <c r="NRW33" s="47"/>
      <c r="NRX33" s="47"/>
      <c r="NRY33" s="47"/>
      <c r="NRZ33" s="47"/>
      <c r="NSA33" s="47"/>
      <c r="NSB33" s="47"/>
      <c r="NSC33" s="47"/>
      <c r="NSD33" s="47"/>
      <c r="NSE33" s="47"/>
      <c r="NSF33" s="47"/>
      <c r="NSG33" s="47"/>
      <c r="NSH33" s="47"/>
      <c r="NSI33" s="47"/>
      <c r="NSJ33" s="47"/>
      <c r="NSK33" s="47"/>
      <c r="NSL33" s="47"/>
      <c r="NSM33" s="47"/>
      <c r="NSN33" s="47"/>
      <c r="NSO33" s="47"/>
      <c r="NSP33" s="47"/>
      <c r="NSQ33" s="47"/>
      <c r="NSR33" s="47"/>
      <c r="NSS33" s="47"/>
      <c r="NST33" s="47"/>
      <c r="NSU33" s="47"/>
      <c r="NSV33" s="47"/>
      <c r="NSW33" s="47"/>
      <c r="NSX33" s="47"/>
      <c r="NSY33" s="47"/>
      <c r="NSZ33" s="47"/>
      <c r="NTA33" s="47"/>
      <c r="NTB33" s="47"/>
      <c r="NTC33" s="47"/>
      <c r="NTD33" s="47"/>
      <c r="NTE33" s="47"/>
      <c r="NTF33" s="47"/>
      <c r="NTG33" s="47"/>
      <c r="NTH33" s="47"/>
      <c r="NTI33" s="47"/>
      <c r="NTJ33" s="47"/>
      <c r="NTK33" s="47"/>
      <c r="NTL33" s="47"/>
      <c r="NTM33" s="47"/>
      <c r="NTN33" s="47"/>
      <c r="NTO33" s="47"/>
      <c r="NTP33" s="47"/>
      <c r="NTQ33" s="47"/>
      <c r="NTR33" s="47"/>
      <c r="NTS33" s="47"/>
      <c r="NTT33" s="47"/>
      <c r="NTU33" s="47"/>
      <c r="NTV33" s="47"/>
      <c r="NTW33" s="47"/>
      <c r="NTX33" s="47"/>
      <c r="NTY33" s="47"/>
      <c r="NTZ33" s="47"/>
      <c r="NUA33" s="47"/>
      <c r="NUB33" s="47"/>
      <c r="NUC33" s="47"/>
      <c r="NUD33" s="47"/>
      <c r="NUE33" s="47"/>
      <c r="NUF33" s="47"/>
      <c r="NUG33" s="47"/>
      <c r="NUH33" s="47"/>
      <c r="NUI33" s="47"/>
      <c r="NUJ33" s="47"/>
      <c r="NUK33" s="47"/>
      <c r="NUL33" s="47"/>
      <c r="NUM33" s="47"/>
      <c r="NUN33" s="47"/>
      <c r="NUO33" s="47"/>
      <c r="NUP33" s="47"/>
      <c r="NUQ33" s="47"/>
      <c r="NUR33" s="47"/>
      <c r="NUS33" s="47"/>
      <c r="NUT33" s="47"/>
      <c r="NUU33" s="47"/>
      <c r="NUV33" s="47"/>
      <c r="NUW33" s="47"/>
      <c r="NUX33" s="47"/>
      <c r="NUY33" s="47"/>
      <c r="NUZ33" s="47"/>
      <c r="NVA33" s="47"/>
      <c r="NVB33" s="47"/>
      <c r="NVC33" s="47"/>
      <c r="NVD33" s="47"/>
      <c r="NVE33" s="47"/>
      <c r="NVF33" s="47"/>
      <c r="NVG33" s="47"/>
      <c r="NVH33" s="47"/>
      <c r="NVI33" s="47"/>
      <c r="NVJ33" s="47"/>
      <c r="NVK33" s="47"/>
      <c r="NVL33" s="47"/>
      <c r="NVM33" s="47"/>
      <c r="NVN33" s="47"/>
      <c r="NVO33" s="47"/>
      <c r="NVP33" s="47"/>
      <c r="NVQ33" s="47"/>
      <c r="NVR33" s="47"/>
      <c r="NVS33" s="47"/>
      <c r="NVT33" s="47"/>
      <c r="NVU33" s="47"/>
      <c r="NVV33" s="47"/>
      <c r="NVW33" s="47"/>
      <c r="NVX33" s="47"/>
      <c r="NVY33" s="47"/>
      <c r="NVZ33" s="47"/>
      <c r="NWA33" s="47"/>
      <c r="NWB33" s="47"/>
      <c r="NWC33" s="47"/>
      <c r="NWD33" s="47"/>
      <c r="NWE33" s="47"/>
      <c r="NWF33" s="47"/>
      <c r="NWG33" s="47"/>
      <c r="NWH33" s="47"/>
      <c r="NWI33" s="47"/>
      <c r="NWJ33" s="47"/>
      <c r="NWK33" s="47"/>
      <c r="NWL33" s="47"/>
      <c r="NWM33" s="47"/>
      <c r="NWN33" s="47"/>
      <c r="NWO33" s="47"/>
      <c r="NWP33" s="47"/>
      <c r="NWQ33" s="47"/>
      <c r="NWR33" s="47"/>
      <c r="NWS33" s="47"/>
      <c r="NWT33" s="47"/>
      <c r="NWU33" s="47"/>
      <c r="NWV33" s="47"/>
      <c r="NWW33" s="47"/>
      <c r="NWX33" s="47"/>
      <c r="NWY33" s="47"/>
      <c r="NWZ33" s="47"/>
      <c r="NXA33" s="47"/>
      <c r="NXB33" s="47"/>
      <c r="NXC33" s="47"/>
      <c r="NXD33" s="47"/>
      <c r="NXE33" s="47"/>
      <c r="NXF33" s="47"/>
      <c r="NXG33" s="47"/>
      <c r="NXH33" s="47"/>
      <c r="NXI33" s="47"/>
      <c r="NXJ33" s="47"/>
      <c r="NXK33" s="47"/>
      <c r="NXL33" s="47"/>
      <c r="NXM33" s="47"/>
      <c r="NXN33" s="47"/>
      <c r="NXO33" s="47"/>
      <c r="NXP33" s="47"/>
      <c r="NXQ33" s="47"/>
      <c r="NXR33" s="47"/>
      <c r="NXS33" s="47"/>
      <c r="NXT33" s="47"/>
      <c r="NXU33" s="47"/>
      <c r="NXV33" s="47"/>
      <c r="NXW33" s="47"/>
      <c r="NXX33" s="47"/>
      <c r="NXY33" s="47"/>
      <c r="NXZ33" s="47"/>
      <c r="NYA33" s="47"/>
      <c r="NYB33" s="47"/>
      <c r="NYC33" s="47"/>
      <c r="NYD33" s="47"/>
      <c r="NYE33" s="47"/>
      <c r="NYF33" s="47"/>
      <c r="NYG33" s="47"/>
      <c r="NYH33" s="47"/>
      <c r="NYI33" s="47"/>
      <c r="NYJ33" s="47"/>
      <c r="NYK33" s="47"/>
      <c r="NYL33" s="47"/>
      <c r="NYM33" s="47"/>
      <c r="NYN33" s="47"/>
      <c r="NYO33" s="47"/>
      <c r="NYP33" s="47"/>
      <c r="NYQ33" s="47"/>
      <c r="NYR33" s="47"/>
      <c r="NYS33" s="47"/>
      <c r="NYT33" s="47"/>
      <c r="NYU33" s="47"/>
      <c r="NYV33" s="47"/>
      <c r="NYW33" s="47"/>
      <c r="NYX33" s="47"/>
      <c r="NYY33" s="47"/>
      <c r="NYZ33" s="47"/>
      <c r="NZA33" s="47"/>
      <c r="NZB33" s="47"/>
      <c r="NZC33" s="47"/>
      <c r="NZD33" s="47"/>
      <c r="NZE33" s="47"/>
      <c r="NZF33" s="47"/>
      <c r="NZG33" s="47"/>
      <c r="NZH33" s="47"/>
      <c r="NZI33" s="47"/>
      <c r="NZJ33" s="47"/>
      <c r="NZK33" s="47"/>
      <c r="NZL33" s="47"/>
      <c r="NZM33" s="47"/>
      <c r="NZN33" s="47"/>
      <c r="NZO33" s="47"/>
      <c r="NZP33" s="47"/>
      <c r="NZQ33" s="47"/>
      <c r="NZR33" s="47"/>
      <c r="NZS33" s="47"/>
      <c r="NZT33" s="47"/>
      <c r="NZU33" s="47"/>
      <c r="NZV33" s="47"/>
      <c r="NZW33" s="47"/>
      <c r="NZX33" s="47"/>
      <c r="NZY33" s="47"/>
      <c r="NZZ33" s="47"/>
      <c r="OAA33" s="47"/>
      <c r="OAB33" s="47"/>
      <c r="OAC33" s="47"/>
      <c r="OAD33" s="47"/>
      <c r="OAE33" s="47"/>
      <c r="OAF33" s="47"/>
      <c r="OAG33" s="47"/>
      <c r="OAH33" s="47"/>
      <c r="OAI33" s="47"/>
      <c r="OAJ33" s="47"/>
      <c r="OAK33" s="47"/>
      <c r="OAL33" s="47"/>
      <c r="OAM33" s="47"/>
      <c r="OAN33" s="47"/>
      <c r="OAO33" s="47"/>
      <c r="OAP33" s="47"/>
      <c r="OAQ33" s="47"/>
      <c r="OAR33" s="47"/>
      <c r="OAS33" s="47"/>
      <c r="OAT33" s="47"/>
      <c r="OAU33" s="47"/>
      <c r="OAV33" s="47"/>
      <c r="OAW33" s="47"/>
      <c r="OAX33" s="47"/>
      <c r="OAY33" s="47"/>
      <c r="OAZ33" s="47"/>
      <c r="OBA33" s="47"/>
      <c r="OBB33" s="47"/>
      <c r="OBC33" s="47"/>
      <c r="OBD33" s="47"/>
      <c r="OBE33" s="47"/>
      <c r="OBF33" s="47"/>
      <c r="OBG33" s="47"/>
      <c r="OBH33" s="47"/>
      <c r="OBI33" s="47"/>
      <c r="OBJ33" s="47"/>
      <c r="OBK33" s="47"/>
      <c r="OBL33" s="47"/>
      <c r="OBM33" s="47"/>
      <c r="OBN33" s="47"/>
      <c r="OBO33" s="47"/>
      <c r="OBP33" s="47"/>
      <c r="OBQ33" s="47"/>
      <c r="OBR33" s="47"/>
      <c r="OBS33" s="47"/>
      <c r="OBT33" s="47"/>
      <c r="OBU33" s="47"/>
      <c r="OBV33" s="47"/>
      <c r="OBW33" s="47"/>
      <c r="OBX33" s="47"/>
      <c r="OBY33" s="47"/>
      <c r="OBZ33" s="47"/>
      <c r="OCA33" s="47"/>
      <c r="OCB33" s="47"/>
      <c r="OCC33" s="47"/>
      <c r="OCD33" s="47"/>
      <c r="OCE33" s="47"/>
      <c r="OCF33" s="47"/>
      <c r="OCG33" s="47"/>
      <c r="OCH33" s="47"/>
      <c r="OCI33" s="47"/>
      <c r="OCJ33" s="47"/>
      <c r="OCK33" s="47"/>
      <c r="OCL33" s="47"/>
      <c r="OCM33" s="47"/>
      <c r="OCN33" s="47"/>
      <c r="OCO33" s="47"/>
      <c r="OCP33" s="47"/>
      <c r="OCQ33" s="47"/>
      <c r="OCR33" s="47"/>
      <c r="OCS33" s="47"/>
      <c r="OCT33" s="47"/>
      <c r="OCU33" s="47"/>
      <c r="OCV33" s="47"/>
      <c r="OCW33" s="47"/>
      <c r="OCX33" s="47"/>
      <c r="OCY33" s="47"/>
      <c r="OCZ33" s="47"/>
      <c r="ODA33" s="47"/>
      <c r="ODB33" s="47"/>
      <c r="ODC33" s="47"/>
      <c r="ODD33" s="47"/>
      <c r="ODE33" s="47"/>
      <c r="ODF33" s="47"/>
      <c r="ODG33" s="47"/>
      <c r="ODH33" s="47"/>
      <c r="ODI33" s="47"/>
      <c r="ODJ33" s="47"/>
      <c r="ODK33" s="47"/>
      <c r="ODL33" s="47"/>
      <c r="ODM33" s="47"/>
      <c r="ODN33" s="47"/>
      <c r="ODO33" s="47"/>
      <c r="ODP33" s="47"/>
      <c r="ODQ33" s="47"/>
      <c r="ODR33" s="47"/>
      <c r="ODS33" s="47"/>
      <c r="ODT33" s="47"/>
      <c r="ODU33" s="47"/>
      <c r="ODV33" s="47"/>
      <c r="ODW33" s="47"/>
      <c r="ODX33" s="47"/>
      <c r="ODY33" s="47"/>
      <c r="ODZ33" s="47"/>
      <c r="OEA33" s="47"/>
      <c r="OEB33" s="47"/>
      <c r="OEC33" s="47"/>
      <c r="OED33" s="47"/>
      <c r="OEE33" s="47"/>
      <c r="OEF33" s="47"/>
      <c r="OEG33" s="47"/>
      <c r="OEH33" s="47"/>
      <c r="OEI33" s="47"/>
      <c r="OEJ33" s="47"/>
      <c r="OEK33" s="47"/>
      <c r="OEL33" s="47"/>
      <c r="OEM33" s="47"/>
      <c r="OEN33" s="47"/>
      <c r="OEO33" s="47"/>
      <c r="OEP33" s="47"/>
      <c r="OEQ33" s="47"/>
      <c r="OER33" s="47"/>
      <c r="OES33" s="47"/>
      <c r="OET33" s="47"/>
      <c r="OEU33" s="47"/>
      <c r="OEV33" s="47"/>
      <c r="OEW33" s="47"/>
      <c r="OEX33" s="47"/>
      <c r="OEY33" s="47"/>
      <c r="OEZ33" s="47"/>
      <c r="OFA33" s="47"/>
      <c r="OFB33" s="47"/>
      <c r="OFC33" s="47"/>
      <c r="OFD33" s="47"/>
      <c r="OFE33" s="47"/>
      <c r="OFF33" s="47"/>
      <c r="OFG33" s="47"/>
      <c r="OFH33" s="47"/>
      <c r="OFI33" s="47"/>
      <c r="OFJ33" s="47"/>
      <c r="OFK33" s="47"/>
      <c r="OFL33" s="47"/>
      <c r="OFM33" s="47"/>
      <c r="OFN33" s="47"/>
      <c r="OFO33" s="47"/>
      <c r="OFP33" s="47"/>
      <c r="OFQ33" s="47"/>
      <c r="OFR33" s="47"/>
      <c r="OFS33" s="47"/>
      <c r="OFT33" s="47"/>
      <c r="OFU33" s="47"/>
      <c r="OFV33" s="47"/>
      <c r="OFW33" s="47"/>
      <c r="OFX33" s="47"/>
      <c r="OFY33" s="47"/>
      <c r="OFZ33" s="47"/>
      <c r="OGA33" s="47"/>
      <c r="OGB33" s="47"/>
      <c r="OGC33" s="47"/>
      <c r="OGD33" s="47"/>
      <c r="OGE33" s="47"/>
      <c r="OGF33" s="47"/>
      <c r="OGG33" s="47"/>
      <c r="OGH33" s="47"/>
      <c r="OGI33" s="47"/>
      <c r="OGJ33" s="47"/>
      <c r="OGK33" s="47"/>
      <c r="OGL33" s="47"/>
      <c r="OGM33" s="47"/>
      <c r="OGN33" s="47"/>
      <c r="OGO33" s="47"/>
      <c r="OGP33" s="47"/>
      <c r="OGQ33" s="47"/>
      <c r="OGR33" s="47"/>
      <c r="OGS33" s="47"/>
      <c r="OGT33" s="47"/>
      <c r="OGU33" s="47"/>
      <c r="OGV33" s="47"/>
      <c r="OGW33" s="47"/>
      <c r="OGX33" s="47"/>
      <c r="OGY33" s="47"/>
      <c r="OGZ33" s="47"/>
      <c r="OHA33" s="47"/>
      <c r="OHB33" s="47"/>
      <c r="OHC33" s="47"/>
      <c r="OHD33" s="47"/>
      <c r="OHE33" s="47"/>
      <c r="OHF33" s="47"/>
      <c r="OHG33" s="47"/>
      <c r="OHH33" s="47"/>
      <c r="OHI33" s="47"/>
      <c r="OHJ33" s="47"/>
      <c r="OHK33" s="47"/>
      <c r="OHL33" s="47"/>
      <c r="OHM33" s="47"/>
      <c r="OHN33" s="47"/>
      <c r="OHO33" s="47"/>
      <c r="OHP33" s="47"/>
      <c r="OHQ33" s="47"/>
      <c r="OHR33" s="47"/>
      <c r="OHS33" s="47"/>
      <c r="OHT33" s="47"/>
      <c r="OHU33" s="47"/>
      <c r="OHV33" s="47"/>
      <c r="OHW33" s="47"/>
      <c r="OHX33" s="47"/>
      <c r="OHY33" s="47"/>
      <c r="OHZ33" s="47"/>
      <c r="OIA33" s="47"/>
      <c r="OIB33" s="47"/>
      <c r="OIC33" s="47"/>
      <c r="OID33" s="47"/>
      <c r="OIE33" s="47"/>
      <c r="OIF33" s="47"/>
      <c r="OIG33" s="47"/>
      <c r="OIH33" s="47"/>
      <c r="OII33" s="47"/>
      <c r="OIJ33" s="47"/>
      <c r="OIK33" s="47"/>
      <c r="OIL33" s="47"/>
      <c r="OIM33" s="47"/>
      <c r="OIN33" s="47"/>
      <c r="OIO33" s="47"/>
      <c r="OIP33" s="47"/>
      <c r="OIQ33" s="47"/>
      <c r="OIR33" s="47"/>
      <c r="OIS33" s="47"/>
      <c r="OIT33" s="47"/>
      <c r="OIU33" s="47"/>
      <c r="OIV33" s="47"/>
      <c r="OIW33" s="47"/>
      <c r="OIX33" s="47"/>
      <c r="OIY33" s="47"/>
      <c r="OIZ33" s="47"/>
      <c r="OJA33" s="47"/>
      <c r="OJB33" s="47"/>
      <c r="OJC33" s="47"/>
      <c r="OJD33" s="47"/>
      <c r="OJE33" s="47"/>
      <c r="OJF33" s="47"/>
      <c r="OJG33" s="47"/>
      <c r="OJH33" s="47"/>
      <c r="OJI33" s="47"/>
      <c r="OJJ33" s="47"/>
      <c r="OJK33" s="47"/>
      <c r="OJL33" s="47"/>
      <c r="OJM33" s="47"/>
      <c r="OJN33" s="47"/>
      <c r="OJO33" s="47"/>
      <c r="OJP33" s="47"/>
      <c r="OJQ33" s="47"/>
      <c r="OJR33" s="47"/>
      <c r="OJS33" s="47"/>
      <c r="OJT33" s="47"/>
      <c r="OJU33" s="47"/>
      <c r="OJV33" s="47"/>
      <c r="OJW33" s="47"/>
      <c r="OJX33" s="47"/>
      <c r="OJY33" s="47"/>
      <c r="OJZ33" s="47"/>
      <c r="OKA33" s="47"/>
      <c r="OKB33" s="47"/>
      <c r="OKC33" s="47"/>
      <c r="OKD33" s="47"/>
      <c r="OKE33" s="47"/>
      <c r="OKF33" s="47"/>
      <c r="OKG33" s="47"/>
      <c r="OKH33" s="47"/>
      <c r="OKI33" s="47"/>
      <c r="OKJ33" s="47"/>
      <c r="OKK33" s="47"/>
      <c r="OKL33" s="47"/>
      <c r="OKM33" s="47"/>
      <c r="OKN33" s="47"/>
      <c r="OKO33" s="47"/>
      <c r="OKP33" s="47"/>
      <c r="OKQ33" s="47"/>
      <c r="OKR33" s="47"/>
      <c r="OKS33" s="47"/>
      <c r="OKT33" s="47"/>
      <c r="OKU33" s="47"/>
      <c r="OKV33" s="47"/>
      <c r="OKW33" s="47"/>
      <c r="OKX33" s="47"/>
      <c r="OKY33" s="47"/>
      <c r="OKZ33" s="47"/>
      <c r="OLA33" s="47"/>
      <c r="OLB33" s="47"/>
      <c r="OLC33" s="47"/>
      <c r="OLD33" s="47"/>
      <c r="OLE33" s="47"/>
      <c r="OLF33" s="47"/>
      <c r="OLG33" s="47"/>
      <c r="OLH33" s="47"/>
      <c r="OLI33" s="47"/>
      <c r="OLJ33" s="47"/>
      <c r="OLK33" s="47"/>
      <c r="OLL33" s="47"/>
      <c r="OLM33" s="47"/>
      <c r="OLN33" s="47"/>
      <c r="OLO33" s="47"/>
      <c r="OLP33" s="47"/>
      <c r="OLQ33" s="47"/>
      <c r="OLR33" s="47"/>
      <c r="OLS33" s="47"/>
      <c r="OLT33" s="47"/>
      <c r="OLU33" s="47"/>
      <c r="OLV33" s="47"/>
      <c r="OLW33" s="47"/>
      <c r="OLX33" s="47"/>
      <c r="OLY33" s="47"/>
      <c r="OLZ33" s="47"/>
      <c r="OMA33" s="47"/>
      <c r="OMB33" s="47"/>
      <c r="OMC33" s="47"/>
      <c r="OMD33" s="47"/>
      <c r="OME33" s="47"/>
      <c r="OMF33" s="47"/>
      <c r="OMG33" s="47"/>
      <c r="OMH33" s="47"/>
      <c r="OMI33" s="47"/>
      <c r="OMJ33" s="47"/>
      <c r="OMK33" s="47"/>
      <c r="OML33" s="47"/>
      <c r="OMM33" s="47"/>
      <c r="OMN33" s="47"/>
      <c r="OMO33" s="47"/>
      <c r="OMP33" s="47"/>
      <c r="OMQ33" s="47"/>
      <c r="OMR33" s="47"/>
      <c r="OMS33" s="47"/>
      <c r="OMT33" s="47"/>
      <c r="OMU33" s="47"/>
      <c r="OMV33" s="47"/>
      <c r="OMW33" s="47"/>
      <c r="OMX33" s="47"/>
      <c r="OMY33" s="47"/>
      <c r="OMZ33" s="47"/>
      <c r="ONA33" s="47"/>
      <c r="ONB33" s="47"/>
      <c r="ONC33" s="47"/>
      <c r="OND33" s="47"/>
      <c r="ONE33" s="47"/>
      <c r="ONF33" s="47"/>
      <c r="ONG33" s="47"/>
      <c r="ONH33" s="47"/>
      <c r="ONI33" s="47"/>
      <c r="ONJ33" s="47"/>
      <c r="ONK33" s="47"/>
      <c r="ONL33" s="47"/>
      <c r="ONM33" s="47"/>
      <c r="ONN33" s="47"/>
      <c r="ONO33" s="47"/>
      <c r="ONP33" s="47"/>
      <c r="ONQ33" s="47"/>
      <c r="ONR33" s="47"/>
      <c r="ONS33" s="47"/>
      <c r="ONT33" s="47"/>
      <c r="ONU33" s="47"/>
      <c r="ONV33" s="47"/>
      <c r="ONW33" s="47"/>
      <c r="ONX33" s="47"/>
      <c r="ONY33" s="47"/>
      <c r="ONZ33" s="47"/>
      <c r="OOA33" s="47"/>
      <c r="OOB33" s="47"/>
      <c r="OOC33" s="47"/>
      <c r="OOD33" s="47"/>
      <c r="OOE33" s="47"/>
      <c r="OOF33" s="47"/>
      <c r="OOG33" s="47"/>
      <c r="OOH33" s="47"/>
      <c r="OOI33" s="47"/>
      <c r="OOJ33" s="47"/>
      <c r="OOK33" s="47"/>
      <c r="OOL33" s="47"/>
      <c r="OOM33" s="47"/>
      <c r="OON33" s="47"/>
      <c r="OOO33" s="47"/>
      <c r="OOP33" s="47"/>
      <c r="OOQ33" s="47"/>
      <c r="OOR33" s="47"/>
      <c r="OOS33" s="47"/>
      <c r="OOT33" s="47"/>
      <c r="OOU33" s="47"/>
      <c r="OOV33" s="47"/>
      <c r="OOW33" s="47"/>
      <c r="OOX33" s="47"/>
      <c r="OOY33" s="47"/>
      <c r="OOZ33" s="47"/>
      <c r="OPA33" s="47"/>
      <c r="OPB33" s="47"/>
      <c r="OPC33" s="47"/>
      <c r="OPD33" s="47"/>
      <c r="OPE33" s="47"/>
      <c r="OPF33" s="47"/>
      <c r="OPG33" s="47"/>
      <c r="OPH33" s="47"/>
      <c r="OPI33" s="47"/>
      <c r="OPJ33" s="47"/>
      <c r="OPK33" s="47"/>
      <c r="OPL33" s="47"/>
      <c r="OPM33" s="47"/>
      <c r="OPN33" s="47"/>
      <c r="OPO33" s="47"/>
      <c r="OPP33" s="47"/>
      <c r="OPQ33" s="47"/>
      <c r="OPR33" s="47"/>
      <c r="OPS33" s="47"/>
      <c r="OPT33" s="47"/>
      <c r="OPU33" s="47"/>
      <c r="OPV33" s="47"/>
      <c r="OPW33" s="47"/>
      <c r="OPX33" s="47"/>
      <c r="OPY33" s="47"/>
      <c r="OPZ33" s="47"/>
      <c r="OQA33" s="47"/>
      <c r="OQB33" s="47"/>
      <c r="OQC33" s="47"/>
      <c r="OQD33" s="47"/>
      <c r="OQE33" s="47"/>
      <c r="OQF33" s="47"/>
      <c r="OQG33" s="47"/>
      <c r="OQH33" s="47"/>
      <c r="OQI33" s="47"/>
      <c r="OQJ33" s="47"/>
      <c r="OQK33" s="47"/>
      <c r="OQL33" s="47"/>
      <c r="OQM33" s="47"/>
      <c r="OQN33" s="47"/>
      <c r="OQO33" s="47"/>
      <c r="OQP33" s="47"/>
      <c r="OQQ33" s="47"/>
      <c r="OQR33" s="47"/>
      <c r="OQS33" s="47"/>
      <c r="OQT33" s="47"/>
      <c r="OQU33" s="47"/>
      <c r="OQV33" s="47"/>
      <c r="OQW33" s="47"/>
      <c r="OQX33" s="47"/>
      <c r="OQY33" s="47"/>
      <c r="OQZ33" s="47"/>
      <c r="ORA33" s="47"/>
      <c r="ORB33" s="47"/>
      <c r="ORC33" s="47"/>
      <c r="ORD33" s="47"/>
      <c r="ORE33" s="47"/>
      <c r="ORF33" s="47"/>
      <c r="ORG33" s="47"/>
      <c r="ORH33" s="47"/>
      <c r="ORI33" s="47"/>
      <c r="ORJ33" s="47"/>
      <c r="ORK33" s="47"/>
      <c r="ORL33" s="47"/>
      <c r="ORM33" s="47"/>
      <c r="ORN33" s="47"/>
      <c r="ORO33" s="47"/>
      <c r="ORP33" s="47"/>
      <c r="ORQ33" s="47"/>
      <c r="ORR33" s="47"/>
      <c r="ORS33" s="47"/>
      <c r="ORT33" s="47"/>
      <c r="ORU33" s="47"/>
      <c r="ORV33" s="47"/>
      <c r="ORW33" s="47"/>
      <c r="ORX33" s="47"/>
      <c r="ORY33" s="47"/>
      <c r="ORZ33" s="47"/>
      <c r="OSA33" s="47"/>
      <c r="OSB33" s="47"/>
      <c r="OSC33" s="47"/>
      <c r="OSD33" s="47"/>
      <c r="OSE33" s="47"/>
      <c r="OSF33" s="47"/>
      <c r="OSG33" s="47"/>
      <c r="OSH33" s="47"/>
      <c r="OSI33" s="47"/>
      <c r="OSJ33" s="47"/>
      <c r="OSK33" s="47"/>
      <c r="OSL33" s="47"/>
      <c r="OSM33" s="47"/>
      <c r="OSN33" s="47"/>
      <c r="OSO33" s="47"/>
      <c r="OSP33" s="47"/>
      <c r="OSQ33" s="47"/>
      <c r="OSR33" s="47"/>
      <c r="OSS33" s="47"/>
      <c r="OST33" s="47"/>
      <c r="OSU33" s="47"/>
      <c r="OSV33" s="47"/>
      <c r="OSW33" s="47"/>
      <c r="OSX33" s="47"/>
      <c r="OSY33" s="47"/>
      <c r="OSZ33" s="47"/>
      <c r="OTA33" s="47"/>
      <c r="OTB33" s="47"/>
      <c r="OTC33" s="47"/>
      <c r="OTD33" s="47"/>
      <c r="OTE33" s="47"/>
      <c r="OTF33" s="47"/>
      <c r="OTG33" s="47"/>
      <c r="OTH33" s="47"/>
      <c r="OTI33" s="47"/>
      <c r="OTJ33" s="47"/>
      <c r="OTK33" s="47"/>
      <c r="OTL33" s="47"/>
      <c r="OTM33" s="47"/>
      <c r="OTN33" s="47"/>
      <c r="OTO33" s="47"/>
      <c r="OTP33" s="47"/>
      <c r="OTQ33" s="47"/>
      <c r="OTR33" s="47"/>
      <c r="OTS33" s="47"/>
      <c r="OTT33" s="47"/>
      <c r="OTU33" s="47"/>
      <c r="OTV33" s="47"/>
      <c r="OTW33" s="47"/>
      <c r="OTX33" s="47"/>
      <c r="OTY33" s="47"/>
      <c r="OTZ33" s="47"/>
      <c r="OUA33" s="47"/>
      <c r="OUB33" s="47"/>
      <c r="OUC33" s="47"/>
      <c r="OUD33" s="47"/>
      <c r="OUE33" s="47"/>
      <c r="OUF33" s="47"/>
      <c r="OUG33" s="47"/>
      <c r="OUH33" s="47"/>
      <c r="OUI33" s="47"/>
      <c r="OUJ33" s="47"/>
      <c r="OUK33" s="47"/>
      <c r="OUL33" s="47"/>
      <c r="OUM33" s="47"/>
      <c r="OUN33" s="47"/>
      <c r="OUO33" s="47"/>
      <c r="OUP33" s="47"/>
      <c r="OUQ33" s="47"/>
      <c r="OUR33" s="47"/>
      <c r="OUS33" s="47"/>
      <c r="OUT33" s="47"/>
      <c r="OUU33" s="47"/>
      <c r="OUV33" s="47"/>
      <c r="OUW33" s="47"/>
      <c r="OUX33" s="47"/>
      <c r="OUY33" s="47"/>
      <c r="OUZ33" s="47"/>
      <c r="OVA33" s="47"/>
      <c r="OVB33" s="47"/>
      <c r="OVC33" s="47"/>
      <c r="OVD33" s="47"/>
      <c r="OVE33" s="47"/>
      <c r="OVF33" s="47"/>
      <c r="OVG33" s="47"/>
      <c r="OVH33" s="47"/>
      <c r="OVI33" s="47"/>
      <c r="OVJ33" s="47"/>
      <c r="OVK33" s="47"/>
      <c r="OVL33" s="47"/>
      <c r="OVM33" s="47"/>
      <c r="OVN33" s="47"/>
      <c r="OVO33" s="47"/>
      <c r="OVP33" s="47"/>
      <c r="OVQ33" s="47"/>
      <c r="OVR33" s="47"/>
      <c r="OVS33" s="47"/>
      <c r="OVT33" s="47"/>
      <c r="OVU33" s="47"/>
      <c r="OVV33" s="47"/>
      <c r="OVW33" s="47"/>
      <c r="OVX33" s="47"/>
      <c r="OVY33" s="47"/>
      <c r="OVZ33" s="47"/>
      <c r="OWA33" s="47"/>
      <c r="OWB33" s="47"/>
      <c r="OWC33" s="47"/>
      <c r="OWD33" s="47"/>
      <c r="OWE33" s="47"/>
      <c r="OWF33" s="47"/>
      <c r="OWG33" s="47"/>
      <c r="OWH33" s="47"/>
      <c r="OWI33" s="47"/>
      <c r="OWJ33" s="47"/>
      <c r="OWK33" s="47"/>
      <c r="OWL33" s="47"/>
      <c r="OWM33" s="47"/>
      <c r="OWN33" s="47"/>
      <c r="OWO33" s="47"/>
      <c r="OWP33" s="47"/>
      <c r="OWQ33" s="47"/>
      <c r="OWR33" s="47"/>
      <c r="OWS33" s="47"/>
      <c r="OWT33" s="47"/>
      <c r="OWU33" s="47"/>
      <c r="OWV33" s="47"/>
      <c r="OWW33" s="47"/>
      <c r="OWX33" s="47"/>
      <c r="OWY33" s="47"/>
      <c r="OWZ33" s="47"/>
      <c r="OXA33" s="47"/>
      <c r="OXB33" s="47"/>
      <c r="OXC33" s="47"/>
      <c r="OXD33" s="47"/>
      <c r="OXE33" s="47"/>
      <c r="OXF33" s="47"/>
      <c r="OXG33" s="47"/>
      <c r="OXH33" s="47"/>
      <c r="OXI33" s="47"/>
      <c r="OXJ33" s="47"/>
      <c r="OXK33" s="47"/>
      <c r="OXL33" s="47"/>
      <c r="OXM33" s="47"/>
      <c r="OXN33" s="47"/>
      <c r="OXO33" s="47"/>
      <c r="OXP33" s="47"/>
      <c r="OXQ33" s="47"/>
      <c r="OXR33" s="47"/>
      <c r="OXS33" s="47"/>
      <c r="OXT33" s="47"/>
      <c r="OXU33" s="47"/>
      <c r="OXV33" s="47"/>
      <c r="OXW33" s="47"/>
      <c r="OXX33" s="47"/>
      <c r="OXY33" s="47"/>
      <c r="OXZ33" s="47"/>
      <c r="OYA33" s="47"/>
      <c r="OYB33" s="47"/>
      <c r="OYC33" s="47"/>
      <c r="OYD33" s="47"/>
      <c r="OYE33" s="47"/>
      <c r="OYF33" s="47"/>
      <c r="OYG33" s="47"/>
      <c r="OYH33" s="47"/>
      <c r="OYI33" s="47"/>
      <c r="OYJ33" s="47"/>
      <c r="OYK33" s="47"/>
      <c r="OYL33" s="47"/>
      <c r="OYM33" s="47"/>
      <c r="OYN33" s="47"/>
      <c r="OYO33" s="47"/>
      <c r="OYP33" s="47"/>
      <c r="OYQ33" s="47"/>
      <c r="OYR33" s="47"/>
      <c r="OYS33" s="47"/>
      <c r="OYT33" s="47"/>
      <c r="OYU33" s="47"/>
      <c r="OYV33" s="47"/>
      <c r="OYW33" s="47"/>
      <c r="OYX33" s="47"/>
      <c r="OYY33" s="47"/>
      <c r="OYZ33" s="47"/>
      <c r="OZA33" s="47"/>
      <c r="OZB33" s="47"/>
      <c r="OZC33" s="47"/>
      <c r="OZD33" s="47"/>
      <c r="OZE33" s="47"/>
      <c r="OZF33" s="47"/>
      <c r="OZG33" s="47"/>
      <c r="OZH33" s="47"/>
      <c r="OZI33" s="47"/>
      <c r="OZJ33" s="47"/>
      <c r="OZK33" s="47"/>
      <c r="OZL33" s="47"/>
      <c r="OZM33" s="47"/>
      <c r="OZN33" s="47"/>
      <c r="OZO33" s="47"/>
      <c r="OZP33" s="47"/>
      <c r="OZQ33" s="47"/>
      <c r="OZR33" s="47"/>
      <c r="OZS33" s="47"/>
      <c r="OZT33" s="47"/>
      <c r="OZU33" s="47"/>
      <c r="OZV33" s="47"/>
      <c r="OZW33" s="47"/>
      <c r="OZX33" s="47"/>
      <c r="OZY33" s="47"/>
      <c r="OZZ33" s="47"/>
      <c r="PAA33" s="47"/>
      <c r="PAB33" s="47"/>
      <c r="PAC33" s="47"/>
      <c r="PAD33" s="47"/>
      <c r="PAE33" s="47"/>
      <c r="PAF33" s="47"/>
      <c r="PAG33" s="47"/>
      <c r="PAH33" s="47"/>
      <c r="PAI33" s="47"/>
      <c r="PAJ33" s="47"/>
      <c r="PAK33" s="47"/>
      <c r="PAL33" s="47"/>
      <c r="PAM33" s="47"/>
      <c r="PAN33" s="47"/>
      <c r="PAO33" s="47"/>
      <c r="PAP33" s="47"/>
      <c r="PAQ33" s="47"/>
      <c r="PAR33" s="47"/>
      <c r="PAS33" s="47"/>
      <c r="PAT33" s="47"/>
      <c r="PAU33" s="47"/>
      <c r="PAV33" s="47"/>
      <c r="PAW33" s="47"/>
      <c r="PAX33" s="47"/>
      <c r="PAY33" s="47"/>
      <c r="PAZ33" s="47"/>
      <c r="PBA33" s="47"/>
      <c r="PBB33" s="47"/>
      <c r="PBC33" s="47"/>
      <c r="PBD33" s="47"/>
      <c r="PBE33" s="47"/>
      <c r="PBF33" s="47"/>
      <c r="PBG33" s="47"/>
      <c r="PBH33" s="47"/>
      <c r="PBI33" s="47"/>
      <c r="PBJ33" s="47"/>
      <c r="PBK33" s="47"/>
      <c r="PBL33" s="47"/>
      <c r="PBM33" s="47"/>
      <c r="PBN33" s="47"/>
      <c r="PBO33" s="47"/>
      <c r="PBP33" s="47"/>
      <c r="PBQ33" s="47"/>
      <c r="PBR33" s="47"/>
      <c r="PBS33" s="47"/>
      <c r="PBT33" s="47"/>
      <c r="PBU33" s="47"/>
      <c r="PBV33" s="47"/>
      <c r="PBW33" s="47"/>
      <c r="PBX33" s="47"/>
      <c r="PBY33" s="47"/>
      <c r="PBZ33" s="47"/>
      <c r="PCA33" s="47"/>
      <c r="PCB33" s="47"/>
      <c r="PCC33" s="47"/>
      <c r="PCD33" s="47"/>
      <c r="PCE33" s="47"/>
      <c r="PCF33" s="47"/>
      <c r="PCG33" s="47"/>
      <c r="PCH33" s="47"/>
      <c r="PCI33" s="47"/>
      <c r="PCJ33" s="47"/>
      <c r="PCK33" s="47"/>
      <c r="PCL33" s="47"/>
      <c r="PCM33" s="47"/>
      <c r="PCN33" s="47"/>
      <c r="PCO33" s="47"/>
      <c r="PCP33" s="47"/>
      <c r="PCQ33" s="47"/>
      <c r="PCR33" s="47"/>
      <c r="PCS33" s="47"/>
      <c r="PCT33" s="47"/>
      <c r="PCU33" s="47"/>
      <c r="PCV33" s="47"/>
      <c r="PCW33" s="47"/>
      <c r="PCX33" s="47"/>
      <c r="PCY33" s="47"/>
      <c r="PCZ33" s="47"/>
      <c r="PDA33" s="47"/>
      <c r="PDB33" s="47"/>
      <c r="PDC33" s="47"/>
      <c r="PDD33" s="47"/>
      <c r="PDE33" s="47"/>
      <c r="PDF33" s="47"/>
      <c r="PDG33" s="47"/>
      <c r="PDH33" s="47"/>
      <c r="PDI33" s="47"/>
      <c r="PDJ33" s="47"/>
      <c r="PDK33" s="47"/>
      <c r="PDL33" s="47"/>
      <c r="PDM33" s="47"/>
      <c r="PDN33" s="47"/>
      <c r="PDO33" s="47"/>
      <c r="PDP33" s="47"/>
      <c r="PDQ33" s="47"/>
      <c r="PDR33" s="47"/>
      <c r="PDS33" s="47"/>
      <c r="PDT33" s="47"/>
      <c r="PDU33" s="47"/>
      <c r="PDV33" s="47"/>
      <c r="PDW33" s="47"/>
      <c r="PDX33" s="47"/>
      <c r="PDY33" s="47"/>
      <c r="PDZ33" s="47"/>
      <c r="PEA33" s="47"/>
      <c r="PEB33" s="47"/>
      <c r="PEC33" s="47"/>
      <c r="PED33" s="47"/>
      <c r="PEE33" s="47"/>
      <c r="PEF33" s="47"/>
      <c r="PEG33" s="47"/>
      <c r="PEH33" s="47"/>
      <c r="PEI33" s="47"/>
      <c r="PEJ33" s="47"/>
      <c r="PEK33" s="47"/>
      <c r="PEL33" s="47"/>
      <c r="PEM33" s="47"/>
      <c r="PEN33" s="47"/>
      <c r="PEO33" s="47"/>
      <c r="PEP33" s="47"/>
      <c r="PEQ33" s="47"/>
      <c r="PER33" s="47"/>
      <c r="PES33" s="47"/>
      <c r="PET33" s="47"/>
      <c r="PEU33" s="47"/>
      <c r="PEV33" s="47"/>
      <c r="PEW33" s="47"/>
      <c r="PEX33" s="47"/>
      <c r="PEY33" s="47"/>
      <c r="PEZ33" s="47"/>
      <c r="PFA33" s="47"/>
      <c r="PFB33" s="47"/>
      <c r="PFC33" s="47"/>
      <c r="PFD33" s="47"/>
      <c r="PFE33" s="47"/>
      <c r="PFF33" s="47"/>
      <c r="PFG33" s="47"/>
      <c r="PFH33" s="47"/>
      <c r="PFI33" s="47"/>
      <c r="PFJ33" s="47"/>
      <c r="PFK33" s="47"/>
      <c r="PFL33" s="47"/>
      <c r="PFM33" s="47"/>
      <c r="PFN33" s="47"/>
      <c r="PFO33" s="47"/>
      <c r="PFP33" s="47"/>
      <c r="PFQ33" s="47"/>
      <c r="PFR33" s="47"/>
      <c r="PFS33" s="47"/>
      <c r="PFT33" s="47"/>
      <c r="PFU33" s="47"/>
      <c r="PFV33" s="47"/>
      <c r="PFW33" s="47"/>
      <c r="PFX33" s="47"/>
      <c r="PFY33" s="47"/>
      <c r="PFZ33" s="47"/>
      <c r="PGA33" s="47"/>
      <c r="PGB33" s="47"/>
      <c r="PGC33" s="47"/>
      <c r="PGD33" s="47"/>
      <c r="PGE33" s="47"/>
      <c r="PGF33" s="47"/>
      <c r="PGG33" s="47"/>
      <c r="PGH33" s="47"/>
      <c r="PGI33" s="47"/>
      <c r="PGJ33" s="47"/>
      <c r="PGK33" s="47"/>
      <c r="PGL33" s="47"/>
      <c r="PGM33" s="47"/>
      <c r="PGN33" s="47"/>
      <c r="PGO33" s="47"/>
      <c r="PGP33" s="47"/>
      <c r="PGQ33" s="47"/>
      <c r="PGR33" s="47"/>
      <c r="PGS33" s="47"/>
      <c r="PGT33" s="47"/>
      <c r="PGU33" s="47"/>
      <c r="PGV33" s="47"/>
      <c r="PGW33" s="47"/>
      <c r="PGX33" s="47"/>
      <c r="PGY33" s="47"/>
      <c r="PGZ33" s="47"/>
      <c r="PHA33" s="47"/>
      <c r="PHB33" s="47"/>
      <c r="PHC33" s="47"/>
      <c r="PHD33" s="47"/>
      <c r="PHE33" s="47"/>
      <c r="PHF33" s="47"/>
      <c r="PHG33" s="47"/>
      <c r="PHH33" s="47"/>
      <c r="PHI33" s="47"/>
      <c r="PHJ33" s="47"/>
      <c r="PHK33" s="47"/>
      <c r="PHL33" s="47"/>
      <c r="PHM33" s="47"/>
      <c r="PHN33" s="47"/>
      <c r="PHO33" s="47"/>
      <c r="PHP33" s="47"/>
      <c r="PHQ33" s="47"/>
      <c r="PHR33" s="47"/>
      <c r="PHS33" s="47"/>
      <c r="PHT33" s="47"/>
      <c r="PHU33" s="47"/>
      <c r="PHV33" s="47"/>
      <c r="PHW33" s="47"/>
      <c r="PHX33" s="47"/>
      <c r="PHY33" s="47"/>
      <c r="PHZ33" s="47"/>
      <c r="PIA33" s="47"/>
      <c r="PIB33" s="47"/>
      <c r="PIC33" s="47"/>
      <c r="PID33" s="47"/>
      <c r="PIE33" s="47"/>
      <c r="PIF33" s="47"/>
      <c r="PIG33" s="47"/>
      <c r="PIH33" s="47"/>
      <c r="PII33" s="47"/>
      <c r="PIJ33" s="47"/>
      <c r="PIK33" s="47"/>
      <c r="PIL33" s="47"/>
      <c r="PIM33" s="47"/>
      <c r="PIN33" s="47"/>
      <c r="PIO33" s="47"/>
      <c r="PIP33" s="47"/>
      <c r="PIQ33" s="47"/>
      <c r="PIR33" s="47"/>
      <c r="PIS33" s="47"/>
      <c r="PIT33" s="47"/>
      <c r="PIU33" s="47"/>
      <c r="PIV33" s="47"/>
      <c r="PIW33" s="47"/>
      <c r="PIX33" s="47"/>
      <c r="PIY33" s="47"/>
      <c r="PIZ33" s="47"/>
      <c r="PJA33" s="47"/>
      <c r="PJB33" s="47"/>
      <c r="PJC33" s="47"/>
      <c r="PJD33" s="47"/>
      <c r="PJE33" s="47"/>
      <c r="PJF33" s="47"/>
      <c r="PJG33" s="47"/>
      <c r="PJH33" s="47"/>
      <c r="PJI33" s="47"/>
      <c r="PJJ33" s="47"/>
      <c r="PJK33" s="47"/>
      <c r="PJL33" s="47"/>
      <c r="PJM33" s="47"/>
      <c r="PJN33" s="47"/>
      <c r="PJO33" s="47"/>
      <c r="PJP33" s="47"/>
      <c r="PJQ33" s="47"/>
      <c r="PJR33" s="47"/>
      <c r="PJS33" s="47"/>
      <c r="PJT33" s="47"/>
      <c r="PJU33" s="47"/>
      <c r="PJV33" s="47"/>
      <c r="PJW33" s="47"/>
      <c r="PJX33" s="47"/>
      <c r="PJY33" s="47"/>
      <c r="PJZ33" s="47"/>
      <c r="PKA33" s="47"/>
      <c r="PKB33" s="47"/>
      <c r="PKC33" s="47"/>
      <c r="PKD33" s="47"/>
      <c r="PKE33" s="47"/>
      <c r="PKF33" s="47"/>
      <c r="PKG33" s="47"/>
      <c r="PKH33" s="47"/>
      <c r="PKI33" s="47"/>
      <c r="PKJ33" s="47"/>
      <c r="PKK33" s="47"/>
      <c r="PKL33" s="47"/>
      <c r="PKM33" s="47"/>
      <c r="PKN33" s="47"/>
      <c r="PKO33" s="47"/>
      <c r="PKP33" s="47"/>
      <c r="PKQ33" s="47"/>
      <c r="PKR33" s="47"/>
      <c r="PKS33" s="47"/>
      <c r="PKT33" s="47"/>
      <c r="PKU33" s="47"/>
      <c r="PKV33" s="47"/>
      <c r="PKW33" s="47"/>
      <c r="PKX33" s="47"/>
      <c r="PKY33" s="47"/>
      <c r="PKZ33" s="47"/>
      <c r="PLA33" s="47"/>
      <c r="PLB33" s="47"/>
      <c r="PLC33" s="47"/>
      <c r="PLD33" s="47"/>
      <c r="PLE33" s="47"/>
      <c r="PLF33" s="47"/>
      <c r="PLG33" s="47"/>
      <c r="PLH33" s="47"/>
      <c r="PLI33" s="47"/>
      <c r="PLJ33" s="47"/>
      <c r="PLK33" s="47"/>
      <c r="PLL33" s="47"/>
      <c r="PLM33" s="47"/>
      <c r="PLN33" s="47"/>
      <c r="PLO33" s="47"/>
      <c r="PLP33" s="47"/>
      <c r="PLQ33" s="47"/>
      <c r="PLR33" s="47"/>
      <c r="PLS33" s="47"/>
      <c r="PLT33" s="47"/>
      <c r="PLU33" s="47"/>
      <c r="PLV33" s="47"/>
      <c r="PLW33" s="47"/>
      <c r="PLX33" s="47"/>
      <c r="PLY33" s="47"/>
      <c r="PLZ33" s="47"/>
      <c r="PMA33" s="47"/>
      <c r="PMB33" s="47"/>
      <c r="PMC33" s="47"/>
      <c r="PMD33" s="47"/>
      <c r="PME33" s="47"/>
      <c r="PMF33" s="47"/>
      <c r="PMG33" s="47"/>
      <c r="PMH33" s="47"/>
      <c r="PMI33" s="47"/>
      <c r="PMJ33" s="47"/>
      <c r="PMK33" s="47"/>
      <c r="PML33" s="47"/>
      <c r="PMM33" s="47"/>
      <c r="PMN33" s="47"/>
      <c r="PMO33" s="47"/>
      <c r="PMP33" s="47"/>
      <c r="PMQ33" s="47"/>
      <c r="PMR33" s="47"/>
      <c r="PMS33" s="47"/>
      <c r="PMT33" s="47"/>
      <c r="PMU33" s="47"/>
      <c r="PMV33" s="47"/>
      <c r="PMW33" s="47"/>
      <c r="PMX33" s="47"/>
      <c r="PMY33" s="47"/>
      <c r="PMZ33" s="47"/>
      <c r="PNA33" s="47"/>
      <c r="PNB33" s="47"/>
      <c r="PNC33" s="47"/>
      <c r="PND33" s="47"/>
      <c r="PNE33" s="47"/>
      <c r="PNF33" s="47"/>
      <c r="PNG33" s="47"/>
      <c r="PNH33" s="47"/>
      <c r="PNI33" s="47"/>
      <c r="PNJ33" s="47"/>
      <c r="PNK33" s="47"/>
      <c r="PNL33" s="47"/>
      <c r="PNM33" s="47"/>
      <c r="PNN33" s="47"/>
      <c r="PNO33" s="47"/>
      <c r="PNP33" s="47"/>
      <c r="PNQ33" s="47"/>
      <c r="PNR33" s="47"/>
      <c r="PNS33" s="47"/>
      <c r="PNT33" s="47"/>
      <c r="PNU33" s="47"/>
      <c r="PNV33" s="47"/>
      <c r="PNW33" s="47"/>
      <c r="PNX33" s="47"/>
      <c r="PNY33" s="47"/>
      <c r="PNZ33" s="47"/>
      <c r="POA33" s="47"/>
      <c r="POB33" s="47"/>
      <c r="POC33" s="47"/>
      <c r="POD33" s="47"/>
      <c r="POE33" s="47"/>
      <c r="POF33" s="47"/>
      <c r="POG33" s="47"/>
      <c r="POH33" s="47"/>
      <c r="POI33" s="47"/>
      <c r="POJ33" s="47"/>
      <c r="POK33" s="47"/>
      <c r="POL33" s="47"/>
      <c r="POM33" s="47"/>
      <c r="PON33" s="47"/>
      <c r="POO33" s="47"/>
      <c r="POP33" s="47"/>
      <c r="POQ33" s="47"/>
      <c r="POR33" s="47"/>
      <c r="POS33" s="47"/>
      <c r="POT33" s="47"/>
      <c r="POU33" s="47"/>
      <c r="POV33" s="47"/>
      <c r="POW33" s="47"/>
      <c r="POX33" s="47"/>
      <c r="POY33" s="47"/>
      <c r="POZ33" s="47"/>
      <c r="PPA33" s="47"/>
      <c r="PPB33" s="47"/>
      <c r="PPC33" s="47"/>
      <c r="PPD33" s="47"/>
      <c r="PPE33" s="47"/>
      <c r="PPF33" s="47"/>
      <c r="PPG33" s="47"/>
      <c r="PPH33" s="47"/>
      <c r="PPI33" s="47"/>
      <c r="PPJ33" s="47"/>
      <c r="PPK33" s="47"/>
      <c r="PPL33" s="47"/>
      <c r="PPM33" s="47"/>
      <c r="PPN33" s="47"/>
      <c r="PPO33" s="47"/>
      <c r="PPP33" s="47"/>
      <c r="PPQ33" s="47"/>
      <c r="PPR33" s="47"/>
      <c r="PPS33" s="47"/>
      <c r="PPT33" s="47"/>
      <c r="PPU33" s="47"/>
      <c r="PPV33" s="47"/>
      <c r="PPW33" s="47"/>
      <c r="PPX33" s="47"/>
      <c r="PPY33" s="47"/>
      <c r="PPZ33" s="47"/>
      <c r="PQA33" s="47"/>
      <c r="PQB33" s="47"/>
      <c r="PQC33" s="47"/>
      <c r="PQD33" s="47"/>
      <c r="PQE33" s="47"/>
      <c r="PQF33" s="47"/>
      <c r="PQG33" s="47"/>
      <c r="PQH33" s="47"/>
      <c r="PQI33" s="47"/>
      <c r="PQJ33" s="47"/>
      <c r="PQK33" s="47"/>
      <c r="PQL33" s="47"/>
      <c r="PQM33" s="47"/>
      <c r="PQN33" s="47"/>
      <c r="PQO33" s="47"/>
      <c r="PQP33" s="47"/>
      <c r="PQQ33" s="47"/>
      <c r="PQR33" s="47"/>
      <c r="PQS33" s="47"/>
      <c r="PQT33" s="47"/>
      <c r="PQU33" s="47"/>
      <c r="PQV33" s="47"/>
      <c r="PQW33" s="47"/>
      <c r="PQX33" s="47"/>
      <c r="PQY33" s="47"/>
      <c r="PQZ33" s="47"/>
      <c r="PRA33" s="47"/>
      <c r="PRB33" s="47"/>
      <c r="PRC33" s="47"/>
      <c r="PRD33" s="47"/>
      <c r="PRE33" s="47"/>
      <c r="PRF33" s="47"/>
      <c r="PRG33" s="47"/>
      <c r="PRH33" s="47"/>
      <c r="PRI33" s="47"/>
      <c r="PRJ33" s="47"/>
      <c r="PRK33" s="47"/>
      <c r="PRL33" s="47"/>
      <c r="PRM33" s="47"/>
      <c r="PRN33" s="47"/>
      <c r="PRO33" s="47"/>
      <c r="PRP33" s="47"/>
      <c r="PRQ33" s="47"/>
      <c r="PRR33" s="47"/>
      <c r="PRS33" s="47"/>
      <c r="PRT33" s="47"/>
      <c r="PRU33" s="47"/>
      <c r="PRV33" s="47"/>
      <c r="PRW33" s="47"/>
      <c r="PRX33" s="47"/>
      <c r="PRY33" s="47"/>
      <c r="PRZ33" s="47"/>
      <c r="PSA33" s="47"/>
      <c r="PSB33" s="47"/>
      <c r="PSC33" s="47"/>
      <c r="PSD33" s="47"/>
      <c r="PSE33" s="47"/>
      <c r="PSF33" s="47"/>
      <c r="PSG33" s="47"/>
      <c r="PSH33" s="47"/>
      <c r="PSI33" s="47"/>
      <c r="PSJ33" s="47"/>
      <c r="PSK33" s="47"/>
      <c r="PSL33" s="47"/>
      <c r="PSM33" s="47"/>
      <c r="PSN33" s="47"/>
      <c r="PSO33" s="47"/>
      <c r="PSP33" s="47"/>
      <c r="PSQ33" s="47"/>
      <c r="PSR33" s="47"/>
      <c r="PSS33" s="47"/>
      <c r="PST33" s="47"/>
      <c r="PSU33" s="47"/>
      <c r="PSV33" s="47"/>
      <c r="PSW33" s="47"/>
      <c r="PSX33" s="47"/>
      <c r="PSY33" s="47"/>
      <c r="PSZ33" s="47"/>
      <c r="PTA33" s="47"/>
      <c r="PTB33" s="47"/>
      <c r="PTC33" s="47"/>
      <c r="PTD33" s="47"/>
      <c r="PTE33" s="47"/>
      <c r="PTF33" s="47"/>
      <c r="PTG33" s="47"/>
      <c r="PTH33" s="47"/>
      <c r="PTI33" s="47"/>
      <c r="PTJ33" s="47"/>
      <c r="PTK33" s="47"/>
      <c r="PTL33" s="47"/>
      <c r="PTM33" s="47"/>
      <c r="PTN33" s="47"/>
      <c r="PTO33" s="47"/>
      <c r="PTP33" s="47"/>
      <c r="PTQ33" s="47"/>
      <c r="PTR33" s="47"/>
      <c r="PTS33" s="47"/>
      <c r="PTT33" s="47"/>
      <c r="PTU33" s="47"/>
      <c r="PTV33" s="47"/>
      <c r="PTW33" s="47"/>
      <c r="PTX33" s="47"/>
      <c r="PTY33" s="47"/>
      <c r="PTZ33" s="47"/>
      <c r="PUA33" s="47"/>
      <c r="PUB33" s="47"/>
      <c r="PUC33" s="47"/>
      <c r="PUD33" s="47"/>
      <c r="PUE33" s="47"/>
      <c r="PUF33" s="47"/>
      <c r="PUG33" s="47"/>
      <c r="PUH33" s="47"/>
      <c r="PUI33" s="47"/>
      <c r="PUJ33" s="47"/>
      <c r="PUK33" s="47"/>
      <c r="PUL33" s="47"/>
      <c r="PUM33" s="47"/>
      <c r="PUN33" s="47"/>
      <c r="PUO33" s="47"/>
      <c r="PUP33" s="47"/>
      <c r="PUQ33" s="47"/>
      <c r="PUR33" s="47"/>
      <c r="PUS33" s="47"/>
      <c r="PUT33" s="47"/>
      <c r="PUU33" s="47"/>
      <c r="PUV33" s="47"/>
      <c r="PUW33" s="47"/>
      <c r="PUX33" s="47"/>
      <c r="PUY33" s="47"/>
      <c r="PUZ33" s="47"/>
      <c r="PVA33" s="47"/>
      <c r="PVB33" s="47"/>
      <c r="PVC33" s="47"/>
      <c r="PVD33" s="47"/>
      <c r="PVE33" s="47"/>
      <c r="PVF33" s="47"/>
      <c r="PVG33" s="47"/>
      <c r="PVH33" s="47"/>
      <c r="PVI33" s="47"/>
      <c r="PVJ33" s="47"/>
      <c r="PVK33" s="47"/>
      <c r="PVL33" s="47"/>
      <c r="PVM33" s="47"/>
      <c r="PVN33" s="47"/>
      <c r="PVO33" s="47"/>
      <c r="PVP33" s="47"/>
      <c r="PVQ33" s="47"/>
      <c r="PVR33" s="47"/>
      <c r="PVS33" s="47"/>
      <c r="PVT33" s="47"/>
      <c r="PVU33" s="47"/>
      <c r="PVV33" s="47"/>
      <c r="PVW33" s="47"/>
      <c r="PVX33" s="47"/>
      <c r="PVY33" s="47"/>
      <c r="PVZ33" s="47"/>
      <c r="PWA33" s="47"/>
      <c r="PWB33" s="47"/>
      <c r="PWC33" s="47"/>
      <c r="PWD33" s="47"/>
      <c r="PWE33" s="47"/>
      <c r="PWF33" s="47"/>
      <c r="PWG33" s="47"/>
      <c r="PWH33" s="47"/>
      <c r="PWI33" s="47"/>
      <c r="PWJ33" s="47"/>
      <c r="PWK33" s="47"/>
      <c r="PWL33" s="47"/>
      <c r="PWM33" s="47"/>
      <c r="PWN33" s="47"/>
      <c r="PWO33" s="47"/>
      <c r="PWP33" s="47"/>
      <c r="PWQ33" s="47"/>
      <c r="PWR33" s="47"/>
      <c r="PWS33" s="47"/>
      <c r="PWT33" s="47"/>
      <c r="PWU33" s="47"/>
      <c r="PWV33" s="47"/>
      <c r="PWW33" s="47"/>
      <c r="PWX33" s="47"/>
      <c r="PWY33" s="47"/>
      <c r="PWZ33" s="47"/>
      <c r="PXA33" s="47"/>
      <c r="PXB33" s="47"/>
      <c r="PXC33" s="47"/>
      <c r="PXD33" s="47"/>
      <c r="PXE33" s="47"/>
      <c r="PXF33" s="47"/>
      <c r="PXG33" s="47"/>
      <c r="PXH33" s="47"/>
      <c r="PXI33" s="47"/>
      <c r="PXJ33" s="47"/>
      <c r="PXK33" s="47"/>
      <c r="PXL33" s="47"/>
      <c r="PXM33" s="47"/>
      <c r="PXN33" s="47"/>
      <c r="PXO33" s="47"/>
      <c r="PXP33" s="47"/>
      <c r="PXQ33" s="47"/>
      <c r="PXR33" s="47"/>
      <c r="PXS33" s="47"/>
      <c r="PXT33" s="47"/>
      <c r="PXU33" s="47"/>
      <c r="PXV33" s="47"/>
      <c r="PXW33" s="47"/>
      <c r="PXX33" s="47"/>
      <c r="PXY33" s="47"/>
      <c r="PXZ33" s="47"/>
      <c r="PYA33" s="47"/>
      <c r="PYB33" s="47"/>
      <c r="PYC33" s="47"/>
      <c r="PYD33" s="47"/>
      <c r="PYE33" s="47"/>
      <c r="PYF33" s="47"/>
      <c r="PYG33" s="47"/>
      <c r="PYH33" s="47"/>
      <c r="PYI33" s="47"/>
      <c r="PYJ33" s="47"/>
      <c r="PYK33" s="47"/>
      <c r="PYL33" s="47"/>
      <c r="PYM33" s="47"/>
      <c r="PYN33" s="47"/>
      <c r="PYO33" s="47"/>
      <c r="PYP33" s="47"/>
      <c r="PYQ33" s="47"/>
      <c r="PYR33" s="47"/>
      <c r="PYS33" s="47"/>
      <c r="PYT33" s="47"/>
      <c r="PYU33" s="47"/>
      <c r="PYV33" s="47"/>
      <c r="PYW33" s="47"/>
      <c r="PYX33" s="47"/>
      <c r="PYY33" s="47"/>
      <c r="PYZ33" s="47"/>
      <c r="PZA33" s="47"/>
      <c r="PZB33" s="47"/>
      <c r="PZC33" s="47"/>
      <c r="PZD33" s="47"/>
      <c r="PZE33" s="47"/>
      <c r="PZF33" s="47"/>
      <c r="PZG33" s="47"/>
      <c r="PZH33" s="47"/>
      <c r="PZI33" s="47"/>
      <c r="PZJ33" s="47"/>
      <c r="PZK33" s="47"/>
      <c r="PZL33" s="47"/>
      <c r="PZM33" s="47"/>
      <c r="PZN33" s="47"/>
      <c r="PZO33" s="47"/>
      <c r="PZP33" s="47"/>
      <c r="PZQ33" s="47"/>
      <c r="PZR33" s="47"/>
      <c r="PZS33" s="47"/>
      <c r="PZT33" s="47"/>
      <c r="PZU33" s="47"/>
      <c r="PZV33" s="47"/>
      <c r="PZW33" s="47"/>
      <c r="PZX33" s="47"/>
      <c r="PZY33" s="47"/>
      <c r="PZZ33" s="47"/>
      <c r="QAA33" s="47"/>
      <c r="QAB33" s="47"/>
      <c r="QAC33" s="47"/>
      <c r="QAD33" s="47"/>
      <c r="QAE33" s="47"/>
      <c r="QAF33" s="47"/>
      <c r="QAG33" s="47"/>
      <c r="QAH33" s="47"/>
      <c r="QAI33" s="47"/>
      <c r="QAJ33" s="47"/>
      <c r="QAK33" s="47"/>
      <c r="QAL33" s="47"/>
      <c r="QAM33" s="47"/>
      <c r="QAN33" s="47"/>
      <c r="QAO33" s="47"/>
      <c r="QAP33" s="47"/>
      <c r="QAQ33" s="47"/>
      <c r="QAR33" s="47"/>
      <c r="QAS33" s="47"/>
      <c r="QAT33" s="47"/>
      <c r="QAU33" s="47"/>
      <c r="QAV33" s="47"/>
      <c r="QAW33" s="47"/>
      <c r="QAX33" s="47"/>
      <c r="QAY33" s="47"/>
      <c r="QAZ33" s="47"/>
      <c r="QBA33" s="47"/>
      <c r="QBB33" s="47"/>
      <c r="QBC33" s="47"/>
      <c r="QBD33" s="47"/>
      <c r="QBE33" s="47"/>
      <c r="QBF33" s="47"/>
      <c r="QBG33" s="47"/>
      <c r="QBH33" s="47"/>
      <c r="QBI33" s="47"/>
      <c r="QBJ33" s="47"/>
      <c r="QBK33" s="47"/>
      <c r="QBL33" s="47"/>
      <c r="QBM33" s="47"/>
      <c r="QBN33" s="47"/>
      <c r="QBO33" s="47"/>
      <c r="QBP33" s="47"/>
      <c r="QBQ33" s="47"/>
      <c r="QBR33" s="47"/>
      <c r="QBS33" s="47"/>
      <c r="QBT33" s="47"/>
      <c r="QBU33" s="47"/>
      <c r="QBV33" s="47"/>
      <c r="QBW33" s="47"/>
      <c r="QBX33" s="47"/>
      <c r="QBY33" s="47"/>
      <c r="QBZ33" s="47"/>
      <c r="QCA33" s="47"/>
      <c r="QCB33" s="47"/>
      <c r="QCC33" s="47"/>
      <c r="QCD33" s="47"/>
      <c r="QCE33" s="47"/>
      <c r="QCF33" s="47"/>
      <c r="QCG33" s="47"/>
      <c r="QCH33" s="47"/>
      <c r="QCI33" s="47"/>
      <c r="QCJ33" s="47"/>
      <c r="QCK33" s="47"/>
      <c r="QCL33" s="47"/>
      <c r="QCM33" s="47"/>
      <c r="QCN33" s="47"/>
      <c r="QCO33" s="47"/>
      <c r="QCP33" s="47"/>
      <c r="QCQ33" s="47"/>
      <c r="QCR33" s="47"/>
      <c r="QCS33" s="47"/>
      <c r="QCT33" s="47"/>
      <c r="QCU33" s="47"/>
      <c r="QCV33" s="47"/>
      <c r="QCW33" s="47"/>
      <c r="QCX33" s="47"/>
      <c r="QCY33" s="47"/>
      <c r="QCZ33" s="47"/>
      <c r="QDA33" s="47"/>
      <c r="QDB33" s="47"/>
      <c r="QDC33" s="47"/>
      <c r="QDD33" s="47"/>
      <c r="QDE33" s="47"/>
      <c r="QDF33" s="47"/>
      <c r="QDG33" s="47"/>
      <c r="QDH33" s="47"/>
      <c r="QDI33" s="47"/>
      <c r="QDJ33" s="47"/>
      <c r="QDK33" s="47"/>
      <c r="QDL33" s="47"/>
      <c r="QDM33" s="47"/>
      <c r="QDN33" s="47"/>
      <c r="QDO33" s="47"/>
      <c r="QDP33" s="47"/>
      <c r="QDQ33" s="47"/>
      <c r="QDR33" s="47"/>
      <c r="QDS33" s="47"/>
      <c r="QDT33" s="47"/>
      <c r="QDU33" s="47"/>
      <c r="QDV33" s="47"/>
      <c r="QDW33" s="47"/>
      <c r="QDX33" s="47"/>
      <c r="QDY33" s="47"/>
      <c r="QDZ33" s="47"/>
      <c r="QEA33" s="47"/>
      <c r="QEB33" s="47"/>
      <c r="QEC33" s="47"/>
      <c r="QED33" s="47"/>
      <c r="QEE33" s="47"/>
      <c r="QEF33" s="47"/>
      <c r="QEG33" s="47"/>
      <c r="QEH33" s="47"/>
      <c r="QEI33" s="47"/>
      <c r="QEJ33" s="47"/>
      <c r="QEK33" s="47"/>
      <c r="QEL33" s="47"/>
      <c r="QEM33" s="47"/>
      <c r="QEN33" s="47"/>
      <c r="QEO33" s="47"/>
      <c r="QEP33" s="47"/>
      <c r="QEQ33" s="47"/>
      <c r="QER33" s="47"/>
      <c r="QES33" s="47"/>
      <c r="QET33" s="47"/>
      <c r="QEU33" s="47"/>
      <c r="QEV33" s="47"/>
      <c r="QEW33" s="47"/>
      <c r="QEX33" s="47"/>
      <c r="QEY33" s="47"/>
      <c r="QEZ33" s="47"/>
      <c r="QFA33" s="47"/>
      <c r="QFB33" s="47"/>
      <c r="QFC33" s="47"/>
      <c r="QFD33" s="47"/>
      <c r="QFE33" s="47"/>
      <c r="QFF33" s="47"/>
      <c r="QFG33" s="47"/>
      <c r="QFH33" s="47"/>
      <c r="QFI33" s="47"/>
      <c r="QFJ33" s="47"/>
      <c r="QFK33" s="47"/>
      <c r="QFL33" s="47"/>
      <c r="QFM33" s="47"/>
      <c r="QFN33" s="47"/>
      <c r="QFO33" s="47"/>
      <c r="QFP33" s="47"/>
      <c r="QFQ33" s="47"/>
      <c r="QFR33" s="47"/>
      <c r="QFS33" s="47"/>
      <c r="QFT33" s="47"/>
      <c r="QFU33" s="47"/>
      <c r="QFV33" s="47"/>
      <c r="QFW33" s="47"/>
      <c r="QFX33" s="47"/>
      <c r="QFY33" s="47"/>
      <c r="QFZ33" s="47"/>
      <c r="QGA33" s="47"/>
      <c r="QGB33" s="47"/>
      <c r="QGC33" s="47"/>
      <c r="QGD33" s="47"/>
      <c r="QGE33" s="47"/>
      <c r="QGF33" s="47"/>
      <c r="QGG33" s="47"/>
      <c r="QGH33" s="47"/>
      <c r="QGI33" s="47"/>
      <c r="QGJ33" s="47"/>
      <c r="QGK33" s="47"/>
      <c r="QGL33" s="47"/>
      <c r="QGM33" s="47"/>
      <c r="QGN33" s="47"/>
      <c r="QGO33" s="47"/>
      <c r="QGP33" s="47"/>
      <c r="QGQ33" s="47"/>
      <c r="QGR33" s="47"/>
      <c r="QGS33" s="47"/>
      <c r="QGT33" s="47"/>
      <c r="QGU33" s="47"/>
      <c r="QGV33" s="47"/>
      <c r="QGW33" s="47"/>
      <c r="QGX33" s="47"/>
      <c r="QGY33" s="47"/>
      <c r="QGZ33" s="47"/>
      <c r="QHA33" s="47"/>
      <c r="QHB33" s="47"/>
      <c r="QHC33" s="47"/>
      <c r="QHD33" s="47"/>
      <c r="QHE33" s="47"/>
      <c r="QHF33" s="47"/>
      <c r="QHG33" s="47"/>
      <c r="QHH33" s="47"/>
      <c r="QHI33" s="47"/>
      <c r="QHJ33" s="47"/>
      <c r="QHK33" s="47"/>
      <c r="QHL33" s="47"/>
      <c r="QHM33" s="47"/>
      <c r="QHN33" s="47"/>
      <c r="QHO33" s="47"/>
      <c r="QHP33" s="47"/>
      <c r="QHQ33" s="47"/>
      <c r="QHR33" s="47"/>
      <c r="QHS33" s="47"/>
      <c r="QHT33" s="47"/>
      <c r="QHU33" s="47"/>
      <c r="QHV33" s="47"/>
      <c r="QHW33" s="47"/>
      <c r="QHX33" s="47"/>
      <c r="QHY33" s="47"/>
      <c r="QHZ33" s="47"/>
      <c r="QIA33" s="47"/>
      <c r="QIB33" s="47"/>
      <c r="QIC33" s="47"/>
      <c r="QID33" s="47"/>
      <c r="QIE33" s="47"/>
      <c r="QIF33" s="47"/>
      <c r="QIG33" s="47"/>
      <c r="QIH33" s="47"/>
      <c r="QII33" s="47"/>
      <c r="QIJ33" s="47"/>
      <c r="QIK33" s="47"/>
      <c r="QIL33" s="47"/>
      <c r="QIM33" s="47"/>
      <c r="QIN33" s="47"/>
      <c r="QIO33" s="47"/>
      <c r="QIP33" s="47"/>
      <c r="QIQ33" s="47"/>
      <c r="QIR33" s="47"/>
      <c r="QIS33" s="47"/>
      <c r="QIT33" s="47"/>
      <c r="QIU33" s="47"/>
      <c r="QIV33" s="47"/>
      <c r="QIW33" s="47"/>
      <c r="QIX33" s="47"/>
      <c r="QIY33" s="47"/>
      <c r="QIZ33" s="47"/>
      <c r="QJA33" s="47"/>
      <c r="QJB33" s="47"/>
      <c r="QJC33" s="47"/>
      <c r="QJD33" s="47"/>
      <c r="QJE33" s="47"/>
      <c r="QJF33" s="47"/>
      <c r="QJG33" s="47"/>
      <c r="QJH33" s="47"/>
      <c r="QJI33" s="47"/>
      <c r="QJJ33" s="47"/>
      <c r="QJK33" s="47"/>
      <c r="QJL33" s="47"/>
      <c r="QJM33" s="47"/>
      <c r="QJN33" s="47"/>
      <c r="QJO33" s="47"/>
      <c r="QJP33" s="47"/>
      <c r="QJQ33" s="47"/>
      <c r="QJR33" s="47"/>
      <c r="QJS33" s="47"/>
      <c r="QJT33" s="47"/>
      <c r="QJU33" s="47"/>
      <c r="QJV33" s="47"/>
      <c r="QJW33" s="47"/>
      <c r="QJX33" s="47"/>
      <c r="QJY33" s="47"/>
      <c r="QJZ33" s="47"/>
      <c r="QKA33" s="47"/>
      <c r="QKB33" s="47"/>
      <c r="QKC33" s="47"/>
      <c r="QKD33" s="47"/>
      <c r="QKE33" s="47"/>
      <c r="QKF33" s="47"/>
      <c r="QKG33" s="47"/>
      <c r="QKH33" s="47"/>
      <c r="QKI33" s="47"/>
      <c r="QKJ33" s="47"/>
      <c r="QKK33" s="47"/>
      <c r="QKL33" s="47"/>
      <c r="QKM33" s="47"/>
      <c r="QKN33" s="47"/>
      <c r="QKO33" s="47"/>
      <c r="QKP33" s="47"/>
      <c r="QKQ33" s="47"/>
      <c r="QKR33" s="47"/>
      <c r="QKS33" s="47"/>
      <c r="QKT33" s="47"/>
      <c r="QKU33" s="47"/>
      <c r="QKV33" s="47"/>
      <c r="QKW33" s="47"/>
      <c r="QKX33" s="47"/>
      <c r="QKY33" s="47"/>
      <c r="QKZ33" s="47"/>
      <c r="QLA33" s="47"/>
      <c r="QLB33" s="47"/>
      <c r="QLC33" s="47"/>
      <c r="QLD33" s="47"/>
      <c r="QLE33" s="47"/>
      <c r="QLF33" s="47"/>
      <c r="QLG33" s="47"/>
      <c r="QLH33" s="47"/>
      <c r="QLI33" s="47"/>
      <c r="QLJ33" s="47"/>
      <c r="QLK33" s="47"/>
      <c r="QLL33" s="47"/>
      <c r="QLM33" s="47"/>
      <c r="QLN33" s="47"/>
      <c r="QLO33" s="47"/>
      <c r="QLP33" s="47"/>
      <c r="QLQ33" s="47"/>
      <c r="QLR33" s="47"/>
      <c r="QLS33" s="47"/>
      <c r="QLT33" s="47"/>
      <c r="QLU33" s="47"/>
      <c r="QLV33" s="47"/>
      <c r="QLW33" s="47"/>
      <c r="QLX33" s="47"/>
      <c r="QLY33" s="47"/>
      <c r="QLZ33" s="47"/>
      <c r="QMA33" s="47"/>
      <c r="QMB33" s="47"/>
      <c r="QMC33" s="47"/>
      <c r="QMD33" s="47"/>
      <c r="QME33" s="47"/>
      <c r="QMF33" s="47"/>
      <c r="QMG33" s="47"/>
      <c r="QMH33" s="47"/>
      <c r="QMI33" s="47"/>
      <c r="QMJ33" s="47"/>
      <c r="QMK33" s="47"/>
      <c r="QML33" s="47"/>
      <c r="QMM33" s="47"/>
      <c r="QMN33" s="47"/>
      <c r="QMO33" s="47"/>
      <c r="QMP33" s="47"/>
      <c r="QMQ33" s="47"/>
      <c r="QMR33" s="47"/>
      <c r="QMS33" s="47"/>
      <c r="QMT33" s="47"/>
      <c r="QMU33" s="47"/>
      <c r="QMV33" s="47"/>
      <c r="QMW33" s="47"/>
      <c r="QMX33" s="47"/>
      <c r="QMY33" s="47"/>
      <c r="QMZ33" s="47"/>
      <c r="QNA33" s="47"/>
      <c r="QNB33" s="47"/>
      <c r="QNC33" s="47"/>
      <c r="QND33" s="47"/>
      <c r="QNE33" s="47"/>
      <c r="QNF33" s="47"/>
      <c r="QNG33" s="47"/>
      <c r="QNH33" s="47"/>
      <c r="QNI33" s="47"/>
      <c r="QNJ33" s="47"/>
      <c r="QNK33" s="47"/>
      <c r="QNL33" s="47"/>
      <c r="QNM33" s="47"/>
      <c r="QNN33" s="47"/>
      <c r="QNO33" s="47"/>
      <c r="QNP33" s="47"/>
      <c r="QNQ33" s="47"/>
      <c r="QNR33" s="47"/>
      <c r="QNS33" s="47"/>
      <c r="QNT33" s="47"/>
      <c r="QNU33" s="47"/>
      <c r="QNV33" s="47"/>
      <c r="QNW33" s="47"/>
      <c r="QNX33" s="47"/>
      <c r="QNY33" s="47"/>
      <c r="QNZ33" s="47"/>
      <c r="QOA33" s="47"/>
      <c r="QOB33" s="47"/>
      <c r="QOC33" s="47"/>
      <c r="QOD33" s="47"/>
      <c r="QOE33" s="47"/>
      <c r="QOF33" s="47"/>
      <c r="QOG33" s="47"/>
      <c r="QOH33" s="47"/>
      <c r="QOI33" s="47"/>
      <c r="QOJ33" s="47"/>
      <c r="QOK33" s="47"/>
      <c r="QOL33" s="47"/>
      <c r="QOM33" s="47"/>
      <c r="QON33" s="47"/>
      <c r="QOO33" s="47"/>
      <c r="QOP33" s="47"/>
      <c r="QOQ33" s="47"/>
      <c r="QOR33" s="47"/>
      <c r="QOS33" s="47"/>
      <c r="QOT33" s="47"/>
      <c r="QOU33" s="47"/>
      <c r="QOV33" s="47"/>
      <c r="QOW33" s="47"/>
      <c r="QOX33" s="47"/>
      <c r="QOY33" s="47"/>
      <c r="QOZ33" s="47"/>
      <c r="QPA33" s="47"/>
      <c r="QPB33" s="47"/>
      <c r="QPC33" s="47"/>
      <c r="QPD33" s="47"/>
      <c r="QPE33" s="47"/>
      <c r="QPF33" s="47"/>
      <c r="QPG33" s="47"/>
      <c r="QPH33" s="47"/>
      <c r="QPI33" s="47"/>
      <c r="QPJ33" s="47"/>
      <c r="QPK33" s="47"/>
      <c r="QPL33" s="47"/>
      <c r="QPM33" s="47"/>
      <c r="QPN33" s="47"/>
      <c r="QPO33" s="47"/>
      <c r="QPP33" s="47"/>
      <c r="QPQ33" s="47"/>
      <c r="QPR33" s="47"/>
      <c r="QPS33" s="47"/>
      <c r="QPT33" s="47"/>
      <c r="QPU33" s="47"/>
      <c r="QPV33" s="47"/>
      <c r="QPW33" s="47"/>
      <c r="QPX33" s="47"/>
      <c r="QPY33" s="47"/>
      <c r="QPZ33" s="47"/>
      <c r="QQA33" s="47"/>
      <c r="QQB33" s="47"/>
      <c r="QQC33" s="47"/>
      <c r="QQD33" s="47"/>
      <c r="QQE33" s="47"/>
      <c r="QQF33" s="47"/>
      <c r="QQG33" s="47"/>
      <c r="QQH33" s="47"/>
      <c r="QQI33" s="47"/>
      <c r="QQJ33" s="47"/>
      <c r="QQK33" s="47"/>
      <c r="QQL33" s="47"/>
      <c r="QQM33" s="47"/>
      <c r="QQN33" s="47"/>
      <c r="QQO33" s="47"/>
      <c r="QQP33" s="47"/>
      <c r="QQQ33" s="47"/>
      <c r="QQR33" s="47"/>
      <c r="QQS33" s="47"/>
      <c r="QQT33" s="47"/>
      <c r="QQU33" s="47"/>
      <c r="QQV33" s="47"/>
      <c r="QQW33" s="47"/>
      <c r="QQX33" s="47"/>
      <c r="QQY33" s="47"/>
      <c r="QQZ33" s="47"/>
      <c r="QRA33" s="47"/>
      <c r="QRB33" s="47"/>
      <c r="QRC33" s="47"/>
      <c r="QRD33" s="47"/>
      <c r="QRE33" s="47"/>
      <c r="QRF33" s="47"/>
      <c r="QRG33" s="47"/>
      <c r="QRH33" s="47"/>
      <c r="QRI33" s="47"/>
      <c r="QRJ33" s="47"/>
      <c r="QRK33" s="47"/>
      <c r="QRL33" s="47"/>
      <c r="QRM33" s="47"/>
      <c r="QRN33" s="47"/>
      <c r="QRO33" s="47"/>
      <c r="QRP33" s="47"/>
      <c r="QRQ33" s="47"/>
      <c r="QRR33" s="47"/>
      <c r="QRS33" s="47"/>
      <c r="QRT33" s="47"/>
      <c r="QRU33" s="47"/>
      <c r="QRV33" s="47"/>
      <c r="QRW33" s="47"/>
      <c r="QRX33" s="47"/>
      <c r="QRY33" s="47"/>
      <c r="QRZ33" s="47"/>
      <c r="QSA33" s="47"/>
      <c r="QSB33" s="47"/>
      <c r="QSC33" s="47"/>
      <c r="QSD33" s="47"/>
      <c r="QSE33" s="47"/>
      <c r="QSF33" s="47"/>
      <c r="QSG33" s="47"/>
      <c r="QSH33" s="47"/>
      <c r="QSI33" s="47"/>
      <c r="QSJ33" s="47"/>
      <c r="QSK33" s="47"/>
      <c r="QSL33" s="47"/>
      <c r="QSM33" s="47"/>
      <c r="QSN33" s="47"/>
      <c r="QSO33" s="47"/>
      <c r="QSP33" s="47"/>
      <c r="QSQ33" s="47"/>
      <c r="QSR33" s="47"/>
      <c r="QSS33" s="47"/>
      <c r="QST33" s="47"/>
      <c r="QSU33" s="47"/>
      <c r="QSV33" s="47"/>
      <c r="QSW33" s="47"/>
      <c r="QSX33" s="47"/>
      <c r="QSY33" s="47"/>
      <c r="QSZ33" s="47"/>
      <c r="QTA33" s="47"/>
      <c r="QTB33" s="47"/>
      <c r="QTC33" s="47"/>
      <c r="QTD33" s="47"/>
      <c r="QTE33" s="47"/>
      <c r="QTF33" s="47"/>
      <c r="QTG33" s="47"/>
      <c r="QTH33" s="47"/>
      <c r="QTI33" s="47"/>
      <c r="QTJ33" s="47"/>
      <c r="QTK33" s="47"/>
      <c r="QTL33" s="47"/>
      <c r="QTM33" s="47"/>
      <c r="QTN33" s="47"/>
      <c r="QTO33" s="47"/>
      <c r="QTP33" s="47"/>
      <c r="QTQ33" s="47"/>
      <c r="QTR33" s="47"/>
      <c r="QTS33" s="47"/>
      <c r="QTT33" s="47"/>
      <c r="QTU33" s="47"/>
      <c r="QTV33" s="47"/>
      <c r="QTW33" s="47"/>
      <c r="QTX33" s="47"/>
      <c r="QTY33" s="47"/>
      <c r="QTZ33" s="47"/>
      <c r="QUA33" s="47"/>
      <c r="QUB33" s="47"/>
      <c r="QUC33" s="47"/>
      <c r="QUD33" s="47"/>
      <c r="QUE33" s="47"/>
      <c r="QUF33" s="47"/>
      <c r="QUG33" s="47"/>
      <c r="QUH33" s="47"/>
      <c r="QUI33" s="47"/>
      <c r="QUJ33" s="47"/>
      <c r="QUK33" s="47"/>
      <c r="QUL33" s="47"/>
      <c r="QUM33" s="47"/>
      <c r="QUN33" s="47"/>
      <c r="QUO33" s="47"/>
      <c r="QUP33" s="47"/>
      <c r="QUQ33" s="47"/>
      <c r="QUR33" s="47"/>
      <c r="QUS33" s="47"/>
      <c r="QUT33" s="47"/>
      <c r="QUU33" s="47"/>
      <c r="QUV33" s="47"/>
      <c r="QUW33" s="47"/>
      <c r="QUX33" s="47"/>
      <c r="QUY33" s="47"/>
      <c r="QUZ33" s="47"/>
      <c r="QVA33" s="47"/>
      <c r="QVB33" s="47"/>
      <c r="QVC33" s="47"/>
      <c r="QVD33" s="47"/>
      <c r="QVE33" s="47"/>
      <c r="QVF33" s="47"/>
      <c r="QVG33" s="47"/>
      <c r="QVH33" s="47"/>
      <c r="QVI33" s="47"/>
      <c r="QVJ33" s="47"/>
      <c r="QVK33" s="47"/>
      <c r="QVL33" s="47"/>
      <c r="QVM33" s="47"/>
      <c r="QVN33" s="47"/>
      <c r="QVO33" s="47"/>
      <c r="QVP33" s="47"/>
      <c r="QVQ33" s="47"/>
      <c r="QVR33" s="47"/>
      <c r="QVS33" s="47"/>
      <c r="QVT33" s="47"/>
      <c r="QVU33" s="47"/>
      <c r="QVV33" s="47"/>
      <c r="QVW33" s="47"/>
      <c r="QVX33" s="47"/>
      <c r="QVY33" s="47"/>
      <c r="QVZ33" s="47"/>
      <c r="QWA33" s="47"/>
      <c r="QWB33" s="47"/>
      <c r="QWC33" s="47"/>
      <c r="QWD33" s="47"/>
      <c r="QWE33" s="47"/>
      <c r="QWF33" s="47"/>
      <c r="QWG33" s="47"/>
      <c r="QWH33" s="47"/>
      <c r="QWI33" s="47"/>
      <c r="QWJ33" s="47"/>
      <c r="QWK33" s="47"/>
      <c r="QWL33" s="47"/>
      <c r="QWM33" s="47"/>
      <c r="QWN33" s="47"/>
      <c r="QWO33" s="47"/>
      <c r="QWP33" s="47"/>
      <c r="QWQ33" s="47"/>
      <c r="QWR33" s="47"/>
      <c r="QWS33" s="47"/>
      <c r="QWT33" s="47"/>
      <c r="QWU33" s="47"/>
      <c r="QWV33" s="47"/>
      <c r="QWW33" s="47"/>
      <c r="QWX33" s="47"/>
      <c r="QWY33" s="47"/>
      <c r="QWZ33" s="47"/>
      <c r="QXA33" s="47"/>
      <c r="QXB33" s="47"/>
      <c r="QXC33" s="47"/>
      <c r="QXD33" s="47"/>
      <c r="QXE33" s="47"/>
      <c r="QXF33" s="47"/>
      <c r="QXG33" s="47"/>
      <c r="QXH33" s="47"/>
      <c r="QXI33" s="47"/>
      <c r="QXJ33" s="47"/>
      <c r="QXK33" s="47"/>
      <c r="QXL33" s="47"/>
      <c r="QXM33" s="47"/>
      <c r="QXN33" s="47"/>
      <c r="QXO33" s="47"/>
      <c r="QXP33" s="47"/>
      <c r="QXQ33" s="47"/>
      <c r="QXR33" s="47"/>
      <c r="QXS33" s="47"/>
      <c r="QXT33" s="47"/>
      <c r="QXU33" s="47"/>
      <c r="QXV33" s="47"/>
      <c r="QXW33" s="47"/>
      <c r="QXX33" s="47"/>
      <c r="QXY33" s="47"/>
      <c r="QXZ33" s="47"/>
      <c r="QYA33" s="47"/>
      <c r="QYB33" s="47"/>
      <c r="QYC33" s="47"/>
      <c r="QYD33" s="47"/>
      <c r="QYE33" s="47"/>
      <c r="QYF33" s="47"/>
      <c r="QYG33" s="47"/>
      <c r="QYH33" s="47"/>
      <c r="QYI33" s="47"/>
      <c r="QYJ33" s="47"/>
      <c r="QYK33" s="47"/>
      <c r="QYL33" s="47"/>
      <c r="QYM33" s="47"/>
      <c r="QYN33" s="47"/>
      <c r="QYO33" s="47"/>
      <c r="QYP33" s="47"/>
      <c r="QYQ33" s="47"/>
      <c r="QYR33" s="47"/>
      <c r="QYS33" s="47"/>
      <c r="QYT33" s="47"/>
      <c r="QYU33" s="47"/>
      <c r="QYV33" s="47"/>
      <c r="QYW33" s="47"/>
      <c r="QYX33" s="47"/>
      <c r="QYY33" s="47"/>
      <c r="QYZ33" s="47"/>
      <c r="QZA33" s="47"/>
      <c r="QZB33" s="47"/>
      <c r="QZC33" s="47"/>
      <c r="QZD33" s="47"/>
      <c r="QZE33" s="47"/>
      <c r="QZF33" s="47"/>
      <c r="QZG33" s="47"/>
      <c r="QZH33" s="47"/>
      <c r="QZI33" s="47"/>
      <c r="QZJ33" s="47"/>
      <c r="QZK33" s="47"/>
      <c r="QZL33" s="47"/>
      <c r="QZM33" s="47"/>
      <c r="QZN33" s="47"/>
      <c r="QZO33" s="47"/>
      <c r="QZP33" s="47"/>
      <c r="QZQ33" s="47"/>
      <c r="QZR33" s="47"/>
      <c r="QZS33" s="47"/>
      <c r="QZT33" s="47"/>
      <c r="QZU33" s="47"/>
      <c r="QZV33" s="47"/>
      <c r="QZW33" s="47"/>
      <c r="QZX33" s="47"/>
      <c r="QZY33" s="47"/>
      <c r="QZZ33" s="47"/>
      <c r="RAA33" s="47"/>
      <c r="RAB33" s="47"/>
      <c r="RAC33" s="47"/>
      <c r="RAD33" s="47"/>
      <c r="RAE33" s="47"/>
      <c r="RAF33" s="47"/>
      <c r="RAG33" s="47"/>
      <c r="RAH33" s="47"/>
      <c r="RAI33" s="47"/>
      <c r="RAJ33" s="47"/>
      <c r="RAK33" s="47"/>
      <c r="RAL33" s="47"/>
      <c r="RAM33" s="47"/>
      <c r="RAN33" s="47"/>
      <c r="RAO33" s="47"/>
      <c r="RAP33" s="47"/>
      <c r="RAQ33" s="47"/>
      <c r="RAR33" s="47"/>
      <c r="RAS33" s="47"/>
      <c r="RAT33" s="47"/>
      <c r="RAU33" s="47"/>
      <c r="RAV33" s="47"/>
      <c r="RAW33" s="47"/>
      <c r="RAX33" s="47"/>
      <c r="RAY33" s="47"/>
      <c r="RAZ33" s="47"/>
      <c r="RBA33" s="47"/>
      <c r="RBB33" s="47"/>
      <c r="RBC33" s="47"/>
      <c r="RBD33" s="47"/>
      <c r="RBE33" s="47"/>
      <c r="RBF33" s="47"/>
      <c r="RBG33" s="47"/>
      <c r="RBH33" s="47"/>
      <c r="RBI33" s="47"/>
      <c r="RBJ33" s="47"/>
      <c r="RBK33" s="47"/>
      <c r="RBL33" s="47"/>
      <c r="RBM33" s="47"/>
      <c r="RBN33" s="47"/>
      <c r="RBO33" s="47"/>
      <c r="RBP33" s="47"/>
      <c r="RBQ33" s="47"/>
      <c r="RBR33" s="47"/>
      <c r="RBS33" s="47"/>
      <c r="RBT33" s="47"/>
      <c r="RBU33" s="47"/>
      <c r="RBV33" s="47"/>
      <c r="RBW33" s="47"/>
      <c r="RBX33" s="47"/>
      <c r="RBY33" s="47"/>
      <c r="RBZ33" s="47"/>
      <c r="RCA33" s="47"/>
      <c r="RCB33" s="47"/>
      <c r="RCC33" s="47"/>
      <c r="RCD33" s="47"/>
      <c r="RCE33" s="47"/>
      <c r="RCF33" s="47"/>
      <c r="RCG33" s="47"/>
      <c r="RCH33" s="47"/>
      <c r="RCI33" s="47"/>
      <c r="RCJ33" s="47"/>
      <c r="RCK33" s="47"/>
      <c r="RCL33" s="47"/>
      <c r="RCM33" s="47"/>
      <c r="RCN33" s="47"/>
      <c r="RCO33" s="47"/>
      <c r="RCP33" s="47"/>
      <c r="RCQ33" s="47"/>
      <c r="RCR33" s="47"/>
      <c r="RCS33" s="47"/>
      <c r="RCT33" s="47"/>
      <c r="RCU33" s="47"/>
      <c r="RCV33" s="47"/>
      <c r="RCW33" s="47"/>
      <c r="RCX33" s="47"/>
      <c r="RCY33" s="47"/>
      <c r="RCZ33" s="47"/>
      <c r="RDA33" s="47"/>
      <c r="RDB33" s="47"/>
      <c r="RDC33" s="47"/>
      <c r="RDD33" s="47"/>
      <c r="RDE33" s="47"/>
      <c r="RDF33" s="47"/>
      <c r="RDG33" s="47"/>
      <c r="RDH33" s="47"/>
      <c r="RDI33" s="47"/>
      <c r="RDJ33" s="47"/>
      <c r="RDK33" s="47"/>
      <c r="RDL33" s="47"/>
      <c r="RDM33" s="47"/>
      <c r="RDN33" s="47"/>
      <c r="RDO33" s="47"/>
      <c r="RDP33" s="47"/>
      <c r="RDQ33" s="47"/>
      <c r="RDR33" s="47"/>
      <c r="RDS33" s="47"/>
      <c r="RDT33" s="47"/>
      <c r="RDU33" s="47"/>
      <c r="RDV33" s="47"/>
      <c r="RDW33" s="47"/>
      <c r="RDX33" s="47"/>
      <c r="RDY33" s="47"/>
      <c r="RDZ33" s="47"/>
      <c r="REA33" s="47"/>
      <c r="REB33" s="47"/>
      <c r="REC33" s="47"/>
      <c r="RED33" s="47"/>
      <c r="REE33" s="47"/>
      <c r="REF33" s="47"/>
      <c r="REG33" s="47"/>
      <c r="REH33" s="47"/>
      <c r="REI33" s="47"/>
      <c r="REJ33" s="47"/>
      <c r="REK33" s="47"/>
      <c r="REL33" s="47"/>
      <c r="REM33" s="47"/>
      <c r="REN33" s="47"/>
      <c r="REO33" s="47"/>
      <c r="REP33" s="47"/>
      <c r="REQ33" s="47"/>
      <c r="RER33" s="47"/>
      <c r="RES33" s="47"/>
      <c r="RET33" s="47"/>
      <c r="REU33" s="47"/>
      <c r="REV33" s="47"/>
      <c r="REW33" s="47"/>
      <c r="REX33" s="47"/>
      <c r="REY33" s="47"/>
      <c r="REZ33" s="47"/>
      <c r="RFA33" s="47"/>
      <c r="RFB33" s="47"/>
      <c r="RFC33" s="47"/>
      <c r="RFD33" s="47"/>
      <c r="RFE33" s="47"/>
      <c r="RFF33" s="47"/>
      <c r="RFG33" s="47"/>
      <c r="RFH33" s="47"/>
      <c r="RFI33" s="47"/>
      <c r="RFJ33" s="47"/>
      <c r="RFK33" s="47"/>
      <c r="RFL33" s="47"/>
      <c r="RFM33" s="47"/>
      <c r="RFN33" s="47"/>
      <c r="RFO33" s="47"/>
      <c r="RFP33" s="47"/>
      <c r="RFQ33" s="47"/>
      <c r="RFR33" s="47"/>
      <c r="RFS33" s="47"/>
      <c r="RFT33" s="47"/>
      <c r="RFU33" s="47"/>
      <c r="RFV33" s="47"/>
      <c r="RFW33" s="47"/>
      <c r="RFX33" s="47"/>
      <c r="RFY33" s="47"/>
      <c r="RFZ33" s="47"/>
      <c r="RGA33" s="47"/>
      <c r="RGB33" s="47"/>
      <c r="RGC33" s="47"/>
      <c r="RGD33" s="47"/>
      <c r="RGE33" s="47"/>
      <c r="RGF33" s="47"/>
      <c r="RGG33" s="47"/>
      <c r="RGH33" s="47"/>
      <c r="RGI33" s="47"/>
      <c r="RGJ33" s="47"/>
      <c r="RGK33" s="47"/>
      <c r="RGL33" s="47"/>
      <c r="RGM33" s="47"/>
      <c r="RGN33" s="47"/>
      <c r="RGO33" s="47"/>
      <c r="RGP33" s="47"/>
      <c r="RGQ33" s="47"/>
      <c r="RGR33" s="47"/>
      <c r="RGS33" s="47"/>
      <c r="RGT33" s="47"/>
      <c r="RGU33" s="47"/>
      <c r="RGV33" s="47"/>
      <c r="RGW33" s="47"/>
      <c r="RGX33" s="47"/>
      <c r="RGY33" s="47"/>
      <c r="RGZ33" s="47"/>
      <c r="RHA33" s="47"/>
      <c r="RHB33" s="47"/>
      <c r="RHC33" s="47"/>
      <c r="RHD33" s="47"/>
      <c r="RHE33" s="47"/>
      <c r="RHF33" s="47"/>
      <c r="RHG33" s="47"/>
      <c r="RHH33" s="47"/>
      <c r="RHI33" s="47"/>
      <c r="RHJ33" s="47"/>
      <c r="RHK33" s="47"/>
      <c r="RHL33" s="47"/>
      <c r="RHM33" s="47"/>
      <c r="RHN33" s="47"/>
      <c r="RHO33" s="47"/>
      <c r="RHP33" s="47"/>
      <c r="RHQ33" s="47"/>
      <c r="RHR33" s="47"/>
      <c r="RHS33" s="47"/>
      <c r="RHT33" s="47"/>
      <c r="RHU33" s="47"/>
      <c r="RHV33" s="47"/>
      <c r="RHW33" s="47"/>
      <c r="RHX33" s="47"/>
      <c r="RHY33" s="47"/>
      <c r="RHZ33" s="47"/>
      <c r="RIA33" s="47"/>
      <c r="RIB33" s="47"/>
      <c r="RIC33" s="47"/>
      <c r="RID33" s="47"/>
      <c r="RIE33" s="47"/>
      <c r="RIF33" s="47"/>
      <c r="RIG33" s="47"/>
      <c r="RIH33" s="47"/>
      <c r="RII33" s="47"/>
      <c r="RIJ33" s="47"/>
      <c r="RIK33" s="47"/>
      <c r="RIL33" s="47"/>
      <c r="RIM33" s="47"/>
      <c r="RIN33" s="47"/>
      <c r="RIO33" s="47"/>
      <c r="RIP33" s="47"/>
      <c r="RIQ33" s="47"/>
      <c r="RIR33" s="47"/>
      <c r="RIS33" s="47"/>
      <c r="RIT33" s="47"/>
      <c r="RIU33" s="47"/>
      <c r="RIV33" s="47"/>
      <c r="RIW33" s="47"/>
      <c r="RIX33" s="47"/>
      <c r="RIY33" s="47"/>
      <c r="RIZ33" s="47"/>
      <c r="RJA33" s="47"/>
      <c r="RJB33" s="47"/>
      <c r="RJC33" s="47"/>
      <c r="RJD33" s="47"/>
      <c r="RJE33" s="47"/>
      <c r="RJF33" s="47"/>
      <c r="RJG33" s="47"/>
      <c r="RJH33" s="47"/>
      <c r="RJI33" s="47"/>
      <c r="RJJ33" s="47"/>
      <c r="RJK33" s="47"/>
      <c r="RJL33" s="47"/>
      <c r="RJM33" s="47"/>
      <c r="RJN33" s="47"/>
      <c r="RJO33" s="47"/>
      <c r="RJP33" s="47"/>
      <c r="RJQ33" s="47"/>
      <c r="RJR33" s="47"/>
      <c r="RJS33" s="47"/>
      <c r="RJT33" s="47"/>
      <c r="RJU33" s="47"/>
      <c r="RJV33" s="47"/>
      <c r="RJW33" s="47"/>
      <c r="RJX33" s="47"/>
      <c r="RJY33" s="47"/>
      <c r="RJZ33" s="47"/>
      <c r="RKA33" s="47"/>
      <c r="RKB33" s="47"/>
      <c r="RKC33" s="47"/>
      <c r="RKD33" s="47"/>
      <c r="RKE33" s="47"/>
      <c r="RKF33" s="47"/>
      <c r="RKG33" s="47"/>
      <c r="RKH33" s="47"/>
      <c r="RKI33" s="47"/>
      <c r="RKJ33" s="47"/>
      <c r="RKK33" s="47"/>
      <c r="RKL33" s="47"/>
      <c r="RKM33" s="47"/>
      <c r="RKN33" s="47"/>
      <c r="RKO33" s="47"/>
      <c r="RKP33" s="47"/>
      <c r="RKQ33" s="47"/>
      <c r="RKR33" s="47"/>
      <c r="RKS33" s="47"/>
      <c r="RKT33" s="47"/>
      <c r="RKU33" s="47"/>
      <c r="RKV33" s="47"/>
      <c r="RKW33" s="47"/>
      <c r="RKX33" s="47"/>
      <c r="RKY33" s="47"/>
      <c r="RKZ33" s="47"/>
      <c r="RLA33" s="47"/>
      <c r="RLB33" s="47"/>
      <c r="RLC33" s="47"/>
      <c r="RLD33" s="47"/>
      <c r="RLE33" s="47"/>
      <c r="RLF33" s="47"/>
      <c r="RLG33" s="47"/>
      <c r="RLH33" s="47"/>
      <c r="RLI33" s="47"/>
      <c r="RLJ33" s="47"/>
      <c r="RLK33" s="47"/>
      <c r="RLL33" s="47"/>
      <c r="RLM33" s="47"/>
      <c r="RLN33" s="47"/>
      <c r="RLO33" s="47"/>
      <c r="RLP33" s="47"/>
      <c r="RLQ33" s="47"/>
      <c r="RLR33" s="47"/>
      <c r="RLS33" s="47"/>
      <c r="RLT33" s="47"/>
      <c r="RLU33" s="47"/>
      <c r="RLV33" s="47"/>
      <c r="RLW33" s="47"/>
      <c r="RLX33" s="47"/>
      <c r="RLY33" s="47"/>
      <c r="RLZ33" s="47"/>
      <c r="RMA33" s="47"/>
      <c r="RMB33" s="47"/>
      <c r="RMC33" s="47"/>
      <c r="RMD33" s="47"/>
      <c r="RME33" s="47"/>
      <c r="RMF33" s="47"/>
      <c r="RMG33" s="47"/>
      <c r="RMH33" s="47"/>
      <c r="RMI33" s="47"/>
      <c r="RMJ33" s="47"/>
      <c r="RMK33" s="47"/>
      <c r="RML33" s="47"/>
      <c r="RMM33" s="47"/>
      <c r="RMN33" s="47"/>
      <c r="RMO33" s="47"/>
      <c r="RMP33" s="47"/>
      <c r="RMQ33" s="47"/>
      <c r="RMR33" s="47"/>
      <c r="RMS33" s="47"/>
      <c r="RMT33" s="47"/>
      <c r="RMU33" s="47"/>
      <c r="RMV33" s="47"/>
      <c r="RMW33" s="47"/>
      <c r="RMX33" s="47"/>
      <c r="RMY33" s="47"/>
      <c r="RMZ33" s="47"/>
      <c r="RNA33" s="47"/>
      <c r="RNB33" s="47"/>
      <c r="RNC33" s="47"/>
      <c r="RND33" s="47"/>
      <c r="RNE33" s="47"/>
      <c r="RNF33" s="47"/>
      <c r="RNG33" s="47"/>
      <c r="RNH33" s="47"/>
      <c r="RNI33" s="47"/>
      <c r="RNJ33" s="47"/>
      <c r="RNK33" s="47"/>
      <c r="RNL33" s="47"/>
      <c r="RNM33" s="47"/>
      <c r="RNN33" s="47"/>
      <c r="RNO33" s="47"/>
      <c r="RNP33" s="47"/>
      <c r="RNQ33" s="47"/>
      <c r="RNR33" s="47"/>
      <c r="RNS33" s="47"/>
      <c r="RNT33" s="47"/>
      <c r="RNU33" s="47"/>
      <c r="RNV33" s="47"/>
      <c r="RNW33" s="47"/>
      <c r="RNX33" s="47"/>
      <c r="RNY33" s="47"/>
      <c r="RNZ33" s="47"/>
      <c r="ROA33" s="47"/>
      <c r="ROB33" s="47"/>
      <c r="ROC33" s="47"/>
      <c r="ROD33" s="47"/>
      <c r="ROE33" s="47"/>
      <c r="ROF33" s="47"/>
      <c r="ROG33" s="47"/>
      <c r="ROH33" s="47"/>
      <c r="ROI33" s="47"/>
      <c r="ROJ33" s="47"/>
      <c r="ROK33" s="47"/>
      <c r="ROL33" s="47"/>
      <c r="ROM33" s="47"/>
      <c r="RON33" s="47"/>
      <c r="ROO33" s="47"/>
      <c r="ROP33" s="47"/>
      <c r="ROQ33" s="47"/>
      <c r="ROR33" s="47"/>
      <c r="ROS33" s="47"/>
      <c r="ROT33" s="47"/>
      <c r="ROU33" s="47"/>
      <c r="ROV33" s="47"/>
      <c r="ROW33" s="47"/>
      <c r="ROX33" s="47"/>
      <c r="ROY33" s="47"/>
      <c r="ROZ33" s="47"/>
      <c r="RPA33" s="47"/>
      <c r="RPB33" s="47"/>
      <c r="RPC33" s="47"/>
      <c r="RPD33" s="47"/>
      <c r="RPE33" s="47"/>
      <c r="RPF33" s="47"/>
      <c r="RPG33" s="47"/>
      <c r="RPH33" s="47"/>
      <c r="RPI33" s="47"/>
      <c r="RPJ33" s="47"/>
      <c r="RPK33" s="47"/>
      <c r="RPL33" s="47"/>
      <c r="RPM33" s="47"/>
      <c r="RPN33" s="47"/>
      <c r="RPO33" s="47"/>
      <c r="RPP33" s="47"/>
      <c r="RPQ33" s="47"/>
      <c r="RPR33" s="47"/>
      <c r="RPS33" s="47"/>
      <c r="RPT33" s="47"/>
      <c r="RPU33" s="47"/>
      <c r="RPV33" s="47"/>
      <c r="RPW33" s="47"/>
      <c r="RPX33" s="47"/>
      <c r="RPY33" s="47"/>
      <c r="RPZ33" s="47"/>
      <c r="RQA33" s="47"/>
      <c r="RQB33" s="47"/>
      <c r="RQC33" s="47"/>
      <c r="RQD33" s="47"/>
      <c r="RQE33" s="47"/>
      <c r="RQF33" s="47"/>
      <c r="RQG33" s="47"/>
      <c r="RQH33" s="47"/>
      <c r="RQI33" s="47"/>
      <c r="RQJ33" s="47"/>
      <c r="RQK33" s="47"/>
      <c r="RQL33" s="47"/>
      <c r="RQM33" s="47"/>
      <c r="RQN33" s="47"/>
      <c r="RQO33" s="47"/>
      <c r="RQP33" s="47"/>
      <c r="RQQ33" s="47"/>
      <c r="RQR33" s="47"/>
      <c r="RQS33" s="47"/>
      <c r="RQT33" s="47"/>
      <c r="RQU33" s="47"/>
      <c r="RQV33" s="47"/>
      <c r="RQW33" s="47"/>
      <c r="RQX33" s="47"/>
      <c r="RQY33" s="47"/>
      <c r="RQZ33" s="47"/>
      <c r="RRA33" s="47"/>
      <c r="RRB33" s="47"/>
      <c r="RRC33" s="47"/>
      <c r="RRD33" s="47"/>
      <c r="RRE33" s="47"/>
      <c r="RRF33" s="47"/>
      <c r="RRG33" s="47"/>
      <c r="RRH33" s="47"/>
      <c r="RRI33" s="47"/>
      <c r="RRJ33" s="47"/>
      <c r="RRK33" s="47"/>
      <c r="RRL33" s="47"/>
      <c r="RRM33" s="47"/>
      <c r="RRN33" s="47"/>
      <c r="RRO33" s="47"/>
      <c r="RRP33" s="47"/>
      <c r="RRQ33" s="47"/>
      <c r="RRR33" s="47"/>
      <c r="RRS33" s="47"/>
      <c r="RRT33" s="47"/>
      <c r="RRU33" s="47"/>
      <c r="RRV33" s="47"/>
      <c r="RRW33" s="47"/>
      <c r="RRX33" s="47"/>
      <c r="RRY33" s="47"/>
      <c r="RRZ33" s="47"/>
      <c r="RSA33" s="47"/>
      <c r="RSB33" s="47"/>
      <c r="RSC33" s="47"/>
      <c r="RSD33" s="47"/>
      <c r="RSE33" s="47"/>
      <c r="RSF33" s="47"/>
      <c r="RSG33" s="47"/>
      <c r="RSH33" s="47"/>
      <c r="RSI33" s="47"/>
      <c r="RSJ33" s="47"/>
      <c r="RSK33" s="47"/>
      <c r="RSL33" s="47"/>
      <c r="RSM33" s="47"/>
      <c r="RSN33" s="47"/>
      <c r="RSO33" s="47"/>
      <c r="RSP33" s="47"/>
      <c r="RSQ33" s="47"/>
      <c r="RSR33" s="47"/>
      <c r="RSS33" s="47"/>
      <c r="RST33" s="47"/>
      <c r="RSU33" s="47"/>
      <c r="RSV33" s="47"/>
      <c r="RSW33" s="47"/>
      <c r="RSX33" s="47"/>
      <c r="RSY33" s="47"/>
      <c r="RSZ33" s="47"/>
      <c r="RTA33" s="47"/>
      <c r="RTB33" s="47"/>
      <c r="RTC33" s="47"/>
      <c r="RTD33" s="47"/>
      <c r="RTE33" s="47"/>
      <c r="RTF33" s="47"/>
      <c r="RTG33" s="47"/>
      <c r="RTH33" s="47"/>
      <c r="RTI33" s="47"/>
      <c r="RTJ33" s="47"/>
      <c r="RTK33" s="47"/>
      <c r="RTL33" s="47"/>
      <c r="RTM33" s="47"/>
      <c r="RTN33" s="47"/>
      <c r="RTO33" s="47"/>
      <c r="RTP33" s="47"/>
      <c r="RTQ33" s="47"/>
      <c r="RTR33" s="47"/>
      <c r="RTS33" s="47"/>
      <c r="RTT33" s="47"/>
      <c r="RTU33" s="47"/>
      <c r="RTV33" s="47"/>
      <c r="RTW33" s="47"/>
      <c r="RTX33" s="47"/>
      <c r="RTY33" s="47"/>
      <c r="RTZ33" s="47"/>
      <c r="RUA33" s="47"/>
      <c r="RUB33" s="47"/>
      <c r="RUC33" s="47"/>
      <c r="RUD33" s="47"/>
      <c r="RUE33" s="47"/>
      <c r="RUF33" s="47"/>
      <c r="RUG33" s="47"/>
      <c r="RUH33" s="47"/>
      <c r="RUI33" s="47"/>
      <c r="RUJ33" s="47"/>
      <c r="RUK33" s="47"/>
      <c r="RUL33" s="47"/>
      <c r="RUM33" s="47"/>
      <c r="RUN33" s="47"/>
      <c r="RUO33" s="47"/>
      <c r="RUP33" s="47"/>
      <c r="RUQ33" s="47"/>
      <c r="RUR33" s="47"/>
      <c r="RUS33" s="47"/>
      <c r="RUT33" s="47"/>
      <c r="RUU33" s="47"/>
      <c r="RUV33" s="47"/>
      <c r="RUW33" s="47"/>
      <c r="RUX33" s="47"/>
      <c r="RUY33" s="47"/>
      <c r="RUZ33" s="47"/>
      <c r="RVA33" s="47"/>
      <c r="RVB33" s="47"/>
      <c r="RVC33" s="47"/>
      <c r="RVD33" s="47"/>
      <c r="RVE33" s="47"/>
      <c r="RVF33" s="47"/>
      <c r="RVG33" s="47"/>
      <c r="RVH33" s="47"/>
      <c r="RVI33" s="47"/>
      <c r="RVJ33" s="47"/>
      <c r="RVK33" s="47"/>
      <c r="RVL33" s="47"/>
      <c r="RVM33" s="47"/>
      <c r="RVN33" s="47"/>
      <c r="RVO33" s="47"/>
      <c r="RVP33" s="47"/>
      <c r="RVQ33" s="47"/>
      <c r="RVR33" s="47"/>
      <c r="RVS33" s="47"/>
      <c r="RVT33" s="47"/>
      <c r="RVU33" s="47"/>
      <c r="RVV33" s="47"/>
      <c r="RVW33" s="47"/>
      <c r="RVX33" s="47"/>
      <c r="RVY33" s="47"/>
      <c r="RVZ33" s="47"/>
      <c r="RWA33" s="47"/>
      <c r="RWB33" s="47"/>
      <c r="RWC33" s="47"/>
      <c r="RWD33" s="47"/>
      <c r="RWE33" s="47"/>
      <c r="RWF33" s="47"/>
      <c r="RWG33" s="47"/>
      <c r="RWH33" s="47"/>
      <c r="RWI33" s="47"/>
      <c r="RWJ33" s="47"/>
      <c r="RWK33" s="47"/>
      <c r="RWL33" s="47"/>
      <c r="RWM33" s="47"/>
      <c r="RWN33" s="47"/>
      <c r="RWO33" s="47"/>
      <c r="RWP33" s="47"/>
      <c r="RWQ33" s="47"/>
      <c r="RWR33" s="47"/>
      <c r="RWS33" s="47"/>
      <c r="RWT33" s="47"/>
      <c r="RWU33" s="47"/>
      <c r="RWV33" s="47"/>
      <c r="RWW33" s="47"/>
      <c r="RWX33" s="47"/>
      <c r="RWY33" s="47"/>
      <c r="RWZ33" s="47"/>
      <c r="RXA33" s="47"/>
      <c r="RXB33" s="47"/>
      <c r="RXC33" s="47"/>
      <c r="RXD33" s="47"/>
      <c r="RXE33" s="47"/>
      <c r="RXF33" s="47"/>
      <c r="RXG33" s="47"/>
      <c r="RXH33" s="47"/>
      <c r="RXI33" s="47"/>
      <c r="RXJ33" s="47"/>
      <c r="RXK33" s="47"/>
      <c r="RXL33" s="47"/>
      <c r="RXM33" s="47"/>
      <c r="RXN33" s="47"/>
      <c r="RXO33" s="47"/>
      <c r="RXP33" s="47"/>
      <c r="RXQ33" s="47"/>
      <c r="RXR33" s="47"/>
      <c r="RXS33" s="47"/>
      <c r="RXT33" s="47"/>
      <c r="RXU33" s="47"/>
      <c r="RXV33" s="47"/>
      <c r="RXW33" s="47"/>
      <c r="RXX33" s="47"/>
      <c r="RXY33" s="47"/>
      <c r="RXZ33" s="47"/>
      <c r="RYA33" s="47"/>
      <c r="RYB33" s="47"/>
      <c r="RYC33" s="47"/>
      <c r="RYD33" s="47"/>
      <c r="RYE33" s="47"/>
      <c r="RYF33" s="47"/>
      <c r="RYG33" s="47"/>
      <c r="RYH33" s="47"/>
      <c r="RYI33" s="47"/>
      <c r="RYJ33" s="47"/>
      <c r="RYK33" s="47"/>
      <c r="RYL33" s="47"/>
      <c r="RYM33" s="47"/>
      <c r="RYN33" s="47"/>
      <c r="RYO33" s="47"/>
      <c r="RYP33" s="47"/>
      <c r="RYQ33" s="47"/>
      <c r="RYR33" s="47"/>
      <c r="RYS33" s="47"/>
      <c r="RYT33" s="47"/>
      <c r="RYU33" s="47"/>
      <c r="RYV33" s="47"/>
      <c r="RYW33" s="47"/>
      <c r="RYX33" s="47"/>
      <c r="RYY33" s="47"/>
      <c r="RYZ33" s="47"/>
      <c r="RZA33" s="47"/>
      <c r="RZB33" s="47"/>
      <c r="RZC33" s="47"/>
      <c r="RZD33" s="47"/>
      <c r="RZE33" s="47"/>
      <c r="RZF33" s="47"/>
      <c r="RZG33" s="47"/>
      <c r="RZH33" s="47"/>
      <c r="RZI33" s="47"/>
      <c r="RZJ33" s="47"/>
      <c r="RZK33" s="47"/>
      <c r="RZL33" s="47"/>
      <c r="RZM33" s="47"/>
      <c r="RZN33" s="47"/>
      <c r="RZO33" s="47"/>
      <c r="RZP33" s="47"/>
      <c r="RZQ33" s="47"/>
      <c r="RZR33" s="47"/>
      <c r="RZS33" s="47"/>
      <c r="RZT33" s="47"/>
      <c r="RZU33" s="47"/>
      <c r="RZV33" s="47"/>
      <c r="RZW33" s="47"/>
      <c r="RZX33" s="47"/>
      <c r="RZY33" s="47"/>
      <c r="RZZ33" s="47"/>
      <c r="SAA33" s="47"/>
      <c r="SAB33" s="47"/>
      <c r="SAC33" s="47"/>
      <c r="SAD33" s="47"/>
      <c r="SAE33" s="47"/>
      <c r="SAF33" s="47"/>
      <c r="SAG33" s="47"/>
      <c r="SAH33" s="47"/>
      <c r="SAI33" s="47"/>
      <c r="SAJ33" s="47"/>
      <c r="SAK33" s="47"/>
      <c r="SAL33" s="47"/>
      <c r="SAM33" s="47"/>
      <c r="SAN33" s="47"/>
      <c r="SAO33" s="47"/>
      <c r="SAP33" s="47"/>
      <c r="SAQ33" s="47"/>
      <c r="SAR33" s="47"/>
      <c r="SAS33" s="47"/>
      <c r="SAT33" s="47"/>
      <c r="SAU33" s="47"/>
      <c r="SAV33" s="47"/>
      <c r="SAW33" s="47"/>
      <c r="SAX33" s="47"/>
      <c r="SAY33" s="47"/>
      <c r="SAZ33" s="47"/>
      <c r="SBA33" s="47"/>
      <c r="SBB33" s="47"/>
      <c r="SBC33" s="47"/>
      <c r="SBD33" s="47"/>
      <c r="SBE33" s="47"/>
      <c r="SBF33" s="47"/>
      <c r="SBG33" s="47"/>
      <c r="SBH33" s="47"/>
      <c r="SBI33" s="47"/>
      <c r="SBJ33" s="47"/>
      <c r="SBK33" s="47"/>
      <c r="SBL33" s="47"/>
      <c r="SBM33" s="47"/>
      <c r="SBN33" s="47"/>
      <c r="SBO33" s="47"/>
      <c r="SBP33" s="47"/>
      <c r="SBQ33" s="47"/>
      <c r="SBR33" s="47"/>
      <c r="SBS33" s="47"/>
      <c r="SBT33" s="47"/>
      <c r="SBU33" s="47"/>
      <c r="SBV33" s="47"/>
      <c r="SBW33" s="47"/>
      <c r="SBX33" s="47"/>
      <c r="SBY33" s="47"/>
      <c r="SBZ33" s="47"/>
      <c r="SCA33" s="47"/>
      <c r="SCB33" s="47"/>
      <c r="SCC33" s="47"/>
      <c r="SCD33" s="47"/>
      <c r="SCE33" s="47"/>
      <c r="SCF33" s="47"/>
      <c r="SCG33" s="47"/>
      <c r="SCH33" s="47"/>
      <c r="SCI33" s="47"/>
      <c r="SCJ33" s="47"/>
      <c r="SCK33" s="47"/>
      <c r="SCL33" s="47"/>
      <c r="SCM33" s="47"/>
      <c r="SCN33" s="47"/>
      <c r="SCO33" s="47"/>
      <c r="SCP33" s="47"/>
      <c r="SCQ33" s="47"/>
      <c r="SCR33" s="47"/>
      <c r="SCS33" s="47"/>
      <c r="SCT33" s="47"/>
      <c r="SCU33" s="47"/>
      <c r="SCV33" s="47"/>
      <c r="SCW33" s="47"/>
      <c r="SCX33" s="47"/>
      <c r="SCY33" s="47"/>
      <c r="SCZ33" s="47"/>
      <c r="SDA33" s="47"/>
      <c r="SDB33" s="47"/>
      <c r="SDC33" s="47"/>
      <c r="SDD33" s="47"/>
      <c r="SDE33" s="47"/>
      <c r="SDF33" s="47"/>
      <c r="SDG33" s="47"/>
      <c r="SDH33" s="47"/>
      <c r="SDI33" s="47"/>
      <c r="SDJ33" s="47"/>
      <c r="SDK33" s="47"/>
      <c r="SDL33" s="47"/>
      <c r="SDM33" s="47"/>
      <c r="SDN33" s="47"/>
      <c r="SDO33" s="47"/>
      <c r="SDP33" s="47"/>
      <c r="SDQ33" s="47"/>
      <c r="SDR33" s="47"/>
      <c r="SDS33" s="47"/>
      <c r="SDT33" s="47"/>
      <c r="SDU33" s="47"/>
      <c r="SDV33" s="47"/>
      <c r="SDW33" s="47"/>
      <c r="SDX33" s="47"/>
      <c r="SDY33" s="47"/>
      <c r="SDZ33" s="47"/>
      <c r="SEA33" s="47"/>
      <c r="SEB33" s="47"/>
      <c r="SEC33" s="47"/>
      <c r="SED33" s="47"/>
      <c r="SEE33" s="47"/>
      <c r="SEF33" s="47"/>
      <c r="SEG33" s="47"/>
      <c r="SEH33" s="47"/>
      <c r="SEI33" s="47"/>
      <c r="SEJ33" s="47"/>
      <c r="SEK33" s="47"/>
      <c r="SEL33" s="47"/>
      <c r="SEM33" s="47"/>
      <c r="SEN33" s="47"/>
      <c r="SEO33" s="47"/>
      <c r="SEP33" s="47"/>
      <c r="SEQ33" s="47"/>
      <c r="SER33" s="47"/>
      <c r="SES33" s="47"/>
      <c r="SET33" s="47"/>
      <c r="SEU33" s="47"/>
      <c r="SEV33" s="47"/>
      <c r="SEW33" s="47"/>
      <c r="SEX33" s="47"/>
      <c r="SEY33" s="47"/>
      <c r="SEZ33" s="47"/>
      <c r="SFA33" s="47"/>
      <c r="SFB33" s="47"/>
      <c r="SFC33" s="47"/>
      <c r="SFD33" s="47"/>
      <c r="SFE33" s="47"/>
      <c r="SFF33" s="47"/>
      <c r="SFG33" s="47"/>
      <c r="SFH33" s="47"/>
      <c r="SFI33" s="47"/>
      <c r="SFJ33" s="47"/>
      <c r="SFK33" s="47"/>
      <c r="SFL33" s="47"/>
      <c r="SFM33" s="47"/>
      <c r="SFN33" s="47"/>
      <c r="SFO33" s="47"/>
      <c r="SFP33" s="47"/>
      <c r="SFQ33" s="47"/>
      <c r="SFR33" s="47"/>
      <c r="SFS33" s="47"/>
      <c r="SFT33" s="47"/>
      <c r="SFU33" s="47"/>
      <c r="SFV33" s="47"/>
      <c r="SFW33" s="47"/>
      <c r="SFX33" s="47"/>
      <c r="SFY33" s="47"/>
      <c r="SFZ33" s="47"/>
      <c r="SGA33" s="47"/>
      <c r="SGB33" s="47"/>
      <c r="SGC33" s="47"/>
      <c r="SGD33" s="47"/>
      <c r="SGE33" s="47"/>
      <c r="SGF33" s="47"/>
      <c r="SGG33" s="47"/>
      <c r="SGH33" s="47"/>
      <c r="SGI33" s="47"/>
      <c r="SGJ33" s="47"/>
      <c r="SGK33" s="47"/>
      <c r="SGL33" s="47"/>
      <c r="SGM33" s="47"/>
      <c r="SGN33" s="47"/>
      <c r="SGO33" s="47"/>
      <c r="SGP33" s="47"/>
      <c r="SGQ33" s="47"/>
      <c r="SGR33" s="47"/>
      <c r="SGS33" s="47"/>
      <c r="SGT33" s="47"/>
      <c r="SGU33" s="47"/>
      <c r="SGV33" s="47"/>
      <c r="SGW33" s="47"/>
      <c r="SGX33" s="47"/>
      <c r="SGY33" s="47"/>
      <c r="SGZ33" s="47"/>
      <c r="SHA33" s="47"/>
      <c r="SHB33" s="47"/>
      <c r="SHC33" s="47"/>
      <c r="SHD33" s="47"/>
      <c r="SHE33" s="47"/>
      <c r="SHF33" s="47"/>
      <c r="SHG33" s="47"/>
      <c r="SHH33" s="47"/>
      <c r="SHI33" s="47"/>
      <c r="SHJ33" s="47"/>
      <c r="SHK33" s="47"/>
      <c r="SHL33" s="47"/>
      <c r="SHM33" s="47"/>
      <c r="SHN33" s="47"/>
      <c r="SHO33" s="47"/>
      <c r="SHP33" s="47"/>
      <c r="SHQ33" s="47"/>
      <c r="SHR33" s="47"/>
      <c r="SHS33" s="47"/>
      <c r="SHT33" s="47"/>
      <c r="SHU33" s="47"/>
      <c r="SHV33" s="47"/>
      <c r="SHW33" s="47"/>
      <c r="SHX33" s="47"/>
      <c r="SHY33" s="47"/>
      <c r="SHZ33" s="47"/>
      <c r="SIA33" s="47"/>
      <c r="SIB33" s="47"/>
      <c r="SIC33" s="47"/>
      <c r="SID33" s="47"/>
      <c r="SIE33" s="47"/>
      <c r="SIF33" s="47"/>
      <c r="SIG33" s="47"/>
      <c r="SIH33" s="47"/>
      <c r="SII33" s="47"/>
      <c r="SIJ33" s="47"/>
      <c r="SIK33" s="47"/>
      <c r="SIL33" s="47"/>
      <c r="SIM33" s="47"/>
      <c r="SIN33" s="47"/>
      <c r="SIO33" s="47"/>
      <c r="SIP33" s="47"/>
      <c r="SIQ33" s="47"/>
      <c r="SIR33" s="47"/>
      <c r="SIS33" s="47"/>
      <c r="SIT33" s="47"/>
      <c r="SIU33" s="47"/>
      <c r="SIV33" s="47"/>
      <c r="SIW33" s="47"/>
      <c r="SIX33" s="47"/>
      <c r="SIY33" s="47"/>
      <c r="SIZ33" s="47"/>
      <c r="SJA33" s="47"/>
      <c r="SJB33" s="47"/>
      <c r="SJC33" s="47"/>
      <c r="SJD33" s="47"/>
      <c r="SJE33" s="47"/>
      <c r="SJF33" s="47"/>
      <c r="SJG33" s="47"/>
      <c r="SJH33" s="47"/>
      <c r="SJI33" s="47"/>
      <c r="SJJ33" s="47"/>
      <c r="SJK33" s="47"/>
      <c r="SJL33" s="47"/>
      <c r="SJM33" s="47"/>
      <c r="SJN33" s="47"/>
      <c r="SJO33" s="47"/>
      <c r="SJP33" s="47"/>
      <c r="SJQ33" s="47"/>
      <c r="SJR33" s="47"/>
      <c r="SJS33" s="47"/>
      <c r="SJT33" s="47"/>
      <c r="SJU33" s="47"/>
      <c r="SJV33" s="47"/>
      <c r="SJW33" s="47"/>
      <c r="SJX33" s="47"/>
      <c r="SJY33" s="47"/>
      <c r="SJZ33" s="47"/>
      <c r="SKA33" s="47"/>
      <c r="SKB33" s="47"/>
      <c r="SKC33" s="47"/>
      <c r="SKD33" s="47"/>
      <c r="SKE33" s="47"/>
      <c r="SKF33" s="47"/>
      <c r="SKG33" s="47"/>
      <c r="SKH33" s="47"/>
      <c r="SKI33" s="47"/>
      <c r="SKJ33" s="47"/>
      <c r="SKK33" s="47"/>
      <c r="SKL33" s="47"/>
      <c r="SKM33" s="47"/>
      <c r="SKN33" s="47"/>
      <c r="SKO33" s="47"/>
      <c r="SKP33" s="47"/>
      <c r="SKQ33" s="47"/>
      <c r="SKR33" s="47"/>
      <c r="SKS33" s="47"/>
      <c r="SKT33" s="47"/>
      <c r="SKU33" s="47"/>
      <c r="SKV33" s="47"/>
      <c r="SKW33" s="47"/>
      <c r="SKX33" s="47"/>
      <c r="SKY33" s="47"/>
      <c r="SKZ33" s="47"/>
      <c r="SLA33" s="47"/>
      <c r="SLB33" s="47"/>
      <c r="SLC33" s="47"/>
      <c r="SLD33" s="47"/>
      <c r="SLE33" s="47"/>
      <c r="SLF33" s="47"/>
      <c r="SLG33" s="47"/>
      <c r="SLH33" s="47"/>
      <c r="SLI33" s="47"/>
      <c r="SLJ33" s="47"/>
      <c r="SLK33" s="47"/>
      <c r="SLL33" s="47"/>
      <c r="SLM33" s="47"/>
      <c r="SLN33" s="47"/>
      <c r="SLO33" s="47"/>
      <c r="SLP33" s="47"/>
      <c r="SLQ33" s="47"/>
      <c r="SLR33" s="47"/>
      <c r="SLS33" s="47"/>
      <c r="SLT33" s="47"/>
      <c r="SLU33" s="47"/>
      <c r="SLV33" s="47"/>
      <c r="SLW33" s="47"/>
      <c r="SLX33" s="47"/>
      <c r="SLY33" s="47"/>
      <c r="SLZ33" s="47"/>
      <c r="SMA33" s="47"/>
      <c r="SMB33" s="47"/>
      <c r="SMC33" s="47"/>
      <c r="SMD33" s="47"/>
      <c r="SME33" s="47"/>
      <c r="SMF33" s="47"/>
      <c r="SMG33" s="47"/>
      <c r="SMH33" s="47"/>
      <c r="SMI33" s="47"/>
      <c r="SMJ33" s="47"/>
      <c r="SMK33" s="47"/>
      <c r="SML33" s="47"/>
      <c r="SMM33" s="47"/>
      <c r="SMN33" s="47"/>
      <c r="SMO33" s="47"/>
      <c r="SMP33" s="47"/>
      <c r="SMQ33" s="47"/>
      <c r="SMR33" s="47"/>
      <c r="SMS33" s="47"/>
      <c r="SMT33" s="47"/>
      <c r="SMU33" s="47"/>
      <c r="SMV33" s="47"/>
      <c r="SMW33" s="47"/>
      <c r="SMX33" s="47"/>
      <c r="SMY33" s="47"/>
      <c r="SMZ33" s="47"/>
      <c r="SNA33" s="47"/>
      <c r="SNB33" s="47"/>
      <c r="SNC33" s="47"/>
      <c r="SND33" s="47"/>
      <c r="SNE33" s="47"/>
      <c r="SNF33" s="47"/>
      <c r="SNG33" s="47"/>
      <c r="SNH33" s="47"/>
      <c r="SNI33" s="47"/>
      <c r="SNJ33" s="47"/>
      <c r="SNK33" s="47"/>
      <c r="SNL33" s="47"/>
      <c r="SNM33" s="47"/>
      <c r="SNN33" s="47"/>
      <c r="SNO33" s="47"/>
      <c r="SNP33" s="47"/>
      <c r="SNQ33" s="47"/>
      <c r="SNR33" s="47"/>
      <c r="SNS33" s="47"/>
      <c r="SNT33" s="47"/>
      <c r="SNU33" s="47"/>
      <c r="SNV33" s="47"/>
      <c r="SNW33" s="47"/>
      <c r="SNX33" s="47"/>
      <c r="SNY33" s="47"/>
      <c r="SNZ33" s="47"/>
      <c r="SOA33" s="47"/>
      <c r="SOB33" s="47"/>
      <c r="SOC33" s="47"/>
      <c r="SOD33" s="47"/>
      <c r="SOE33" s="47"/>
      <c r="SOF33" s="47"/>
      <c r="SOG33" s="47"/>
      <c r="SOH33" s="47"/>
      <c r="SOI33" s="47"/>
      <c r="SOJ33" s="47"/>
      <c r="SOK33" s="47"/>
      <c r="SOL33" s="47"/>
      <c r="SOM33" s="47"/>
      <c r="SON33" s="47"/>
      <c r="SOO33" s="47"/>
      <c r="SOP33" s="47"/>
      <c r="SOQ33" s="47"/>
      <c r="SOR33" s="47"/>
      <c r="SOS33" s="47"/>
      <c r="SOT33" s="47"/>
      <c r="SOU33" s="47"/>
      <c r="SOV33" s="47"/>
      <c r="SOW33" s="47"/>
      <c r="SOX33" s="47"/>
      <c r="SOY33" s="47"/>
      <c r="SOZ33" s="47"/>
      <c r="SPA33" s="47"/>
      <c r="SPB33" s="47"/>
      <c r="SPC33" s="47"/>
      <c r="SPD33" s="47"/>
      <c r="SPE33" s="47"/>
      <c r="SPF33" s="47"/>
      <c r="SPG33" s="47"/>
      <c r="SPH33" s="47"/>
      <c r="SPI33" s="47"/>
      <c r="SPJ33" s="47"/>
      <c r="SPK33" s="47"/>
      <c r="SPL33" s="47"/>
      <c r="SPM33" s="47"/>
      <c r="SPN33" s="47"/>
      <c r="SPO33" s="47"/>
      <c r="SPP33" s="47"/>
      <c r="SPQ33" s="47"/>
      <c r="SPR33" s="47"/>
      <c r="SPS33" s="47"/>
      <c r="SPT33" s="47"/>
      <c r="SPU33" s="47"/>
      <c r="SPV33" s="47"/>
      <c r="SPW33" s="47"/>
      <c r="SPX33" s="47"/>
      <c r="SPY33" s="47"/>
      <c r="SPZ33" s="47"/>
      <c r="SQA33" s="47"/>
      <c r="SQB33" s="47"/>
      <c r="SQC33" s="47"/>
      <c r="SQD33" s="47"/>
      <c r="SQE33" s="47"/>
      <c r="SQF33" s="47"/>
      <c r="SQG33" s="47"/>
      <c r="SQH33" s="47"/>
      <c r="SQI33" s="47"/>
      <c r="SQJ33" s="47"/>
      <c r="SQK33" s="47"/>
      <c r="SQL33" s="47"/>
      <c r="SQM33" s="47"/>
      <c r="SQN33" s="47"/>
      <c r="SQO33" s="47"/>
      <c r="SQP33" s="47"/>
      <c r="SQQ33" s="47"/>
      <c r="SQR33" s="47"/>
      <c r="SQS33" s="47"/>
      <c r="SQT33" s="47"/>
      <c r="SQU33" s="47"/>
      <c r="SQV33" s="47"/>
      <c r="SQW33" s="47"/>
      <c r="SQX33" s="47"/>
      <c r="SQY33" s="47"/>
      <c r="SQZ33" s="47"/>
      <c r="SRA33" s="47"/>
      <c r="SRB33" s="47"/>
      <c r="SRC33" s="47"/>
      <c r="SRD33" s="47"/>
      <c r="SRE33" s="47"/>
      <c r="SRF33" s="47"/>
      <c r="SRG33" s="47"/>
      <c r="SRH33" s="47"/>
      <c r="SRI33" s="47"/>
      <c r="SRJ33" s="47"/>
      <c r="SRK33" s="47"/>
      <c r="SRL33" s="47"/>
      <c r="SRM33" s="47"/>
      <c r="SRN33" s="47"/>
      <c r="SRO33" s="47"/>
      <c r="SRP33" s="47"/>
      <c r="SRQ33" s="47"/>
      <c r="SRR33" s="47"/>
      <c r="SRS33" s="47"/>
      <c r="SRT33" s="47"/>
      <c r="SRU33" s="47"/>
      <c r="SRV33" s="47"/>
      <c r="SRW33" s="47"/>
      <c r="SRX33" s="47"/>
      <c r="SRY33" s="47"/>
      <c r="SRZ33" s="47"/>
      <c r="SSA33" s="47"/>
      <c r="SSB33" s="47"/>
      <c r="SSC33" s="47"/>
      <c r="SSD33" s="47"/>
      <c r="SSE33" s="47"/>
      <c r="SSF33" s="47"/>
      <c r="SSG33" s="47"/>
      <c r="SSH33" s="47"/>
      <c r="SSI33" s="47"/>
      <c r="SSJ33" s="47"/>
      <c r="SSK33" s="47"/>
      <c r="SSL33" s="47"/>
      <c r="SSM33" s="47"/>
      <c r="SSN33" s="47"/>
      <c r="SSO33" s="47"/>
      <c r="SSP33" s="47"/>
      <c r="SSQ33" s="47"/>
      <c r="SSR33" s="47"/>
      <c r="SSS33" s="47"/>
      <c r="SST33" s="47"/>
      <c r="SSU33" s="47"/>
      <c r="SSV33" s="47"/>
      <c r="SSW33" s="47"/>
      <c r="SSX33" s="47"/>
      <c r="SSY33" s="47"/>
      <c r="SSZ33" s="47"/>
      <c r="STA33" s="47"/>
      <c r="STB33" s="47"/>
      <c r="STC33" s="47"/>
      <c r="STD33" s="47"/>
      <c r="STE33" s="47"/>
      <c r="STF33" s="47"/>
      <c r="STG33" s="47"/>
      <c r="STH33" s="47"/>
      <c r="STI33" s="47"/>
      <c r="STJ33" s="47"/>
      <c r="STK33" s="47"/>
      <c r="STL33" s="47"/>
      <c r="STM33" s="47"/>
      <c r="STN33" s="47"/>
      <c r="STO33" s="47"/>
      <c r="STP33" s="47"/>
      <c r="STQ33" s="47"/>
      <c r="STR33" s="47"/>
      <c r="STS33" s="47"/>
      <c r="STT33" s="47"/>
      <c r="STU33" s="47"/>
      <c r="STV33" s="47"/>
      <c r="STW33" s="47"/>
      <c r="STX33" s="47"/>
      <c r="STY33" s="47"/>
      <c r="STZ33" s="47"/>
      <c r="SUA33" s="47"/>
      <c r="SUB33" s="47"/>
      <c r="SUC33" s="47"/>
      <c r="SUD33" s="47"/>
      <c r="SUE33" s="47"/>
      <c r="SUF33" s="47"/>
      <c r="SUG33" s="47"/>
      <c r="SUH33" s="47"/>
      <c r="SUI33" s="47"/>
      <c r="SUJ33" s="47"/>
      <c r="SUK33" s="47"/>
      <c r="SUL33" s="47"/>
      <c r="SUM33" s="47"/>
      <c r="SUN33" s="47"/>
      <c r="SUO33" s="47"/>
      <c r="SUP33" s="47"/>
      <c r="SUQ33" s="47"/>
      <c r="SUR33" s="47"/>
      <c r="SUS33" s="47"/>
      <c r="SUT33" s="47"/>
      <c r="SUU33" s="47"/>
      <c r="SUV33" s="47"/>
      <c r="SUW33" s="47"/>
      <c r="SUX33" s="47"/>
      <c r="SUY33" s="47"/>
      <c r="SUZ33" s="47"/>
      <c r="SVA33" s="47"/>
      <c r="SVB33" s="47"/>
      <c r="SVC33" s="47"/>
      <c r="SVD33" s="47"/>
      <c r="SVE33" s="47"/>
      <c r="SVF33" s="47"/>
      <c r="SVG33" s="47"/>
      <c r="SVH33" s="47"/>
      <c r="SVI33" s="47"/>
      <c r="SVJ33" s="47"/>
      <c r="SVK33" s="47"/>
      <c r="SVL33" s="47"/>
      <c r="SVM33" s="47"/>
      <c r="SVN33" s="47"/>
      <c r="SVO33" s="47"/>
      <c r="SVP33" s="47"/>
      <c r="SVQ33" s="47"/>
      <c r="SVR33" s="47"/>
      <c r="SVS33" s="47"/>
      <c r="SVT33" s="47"/>
      <c r="SVU33" s="47"/>
      <c r="SVV33" s="47"/>
      <c r="SVW33" s="47"/>
      <c r="SVX33" s="47"/>
      <c r="SVY33" s="47"/>
      <c r="SVZ33" s="47"/>
      <c r="SWA33" s="47"/>
      <c r="SWB33" s="47"/>
      <c r="SWC33" s="47"/>
      <c r="SWD33" s="47"/>
      <c r="SWE33" s="47"/>
      <c r="SWF33" s="47"/>
      <c r="SWG33" s="47"/>
      <c r="SWH33" s="47"/>
      <c r="SWI33" s="47"/>
      <c r="SWJ33" s="47"/>
      <c r="SWK33" s="47"/>
      <c r="SWL33" s="47"/>
      <c r="SWM33" s="47"/>
      <c r="SWN33" s="47"/>
      <c r="SWO33" s="47"/>
      <c r="SWP33" s="47"/>
      <c r="SWQ33" s="47"/>
      <c r="SWR33" s="47"/>
      <c r="SWS33" s="47"/>
      <c r="SWT33" s="47"/>
      <c r="SWU33" s="47"/>
      <c r="SWV33" s="47"/>
      <c r="SWW33" s="47"/>
      <c r="SWX33" s="47"/>
      <c r="SWY33" s="47"/>
      <c r="SWZ33" s="47"/>
      <c r="SXA33" s="47"/>
      <c r="SXB33" s="47"/>
      <c r="SXC33" s="47"/>
      <c r="SXD33" s="47"/>
      <c r="SXE33" s="47"/>
      <c r="SXF33" s="47"/>
      <c r="SXG33" s="47"/>
      <c r="SXH33" s="47"/>
      <c r="SXI33" s="47"/>
      <c r="SXJ33" s="47"/>
      <c r="SXK33" s="47"/>
      <c r="SXL33" s="47"/>
      <c r="SXM33" s="47"/>
      <c r="SXN33" s="47"/>
      <c r="SXO33" s="47"/>
      <c r="SXP33" s="47"/>
      <c r="SXQ33" s="47"/>
      <c r="SXR33" s="47"/>
      <c r="SXS33" s="47"/>
      <c r="SXT33" s="47"/>
      <c r="SXU33" s="47"/>
      <c r="SXV33" s="47"/>
      <c r="SXW33" s="47"/>
      <c r="SXX33" s="47"/>
      <c r="SXY33" s="47"/>
      <c r="SXZ33" s="47"/>
      <c r="SYA33" s="47"/>
      <c r="SYB33" s="47"/>
      <c r="SYC33" s="47"/>
      <c r="SYD33" s="47"/>
      <c r="SYE33" s="47"/>
      <c r="SYF33" s="47"/>
      <c r="SYG33" s="47"/>
      <c r="SYH33" s="47"/>
      <c r="SYI33" s="47"/>
      <c r="SYJ33" s="47"/>
      <c r="SYK33" s="47"/>
      <c r="SYL33" s="47"/>
      <c r="SYM33" s="47"/>
      <c r="SYN33" s="47"/>
      <c r="SYO33" s="47"/>
      <c r="SYP33" s="47"/>
      <c r="SYQ33" s="47"/>
      <c r="SYR33" s="47"/>
      <c r="SYS33" s="47"/>
      <c r="SYT33" s="47"/>
      <c r="SYU33" s="47"/>
      <c r="SYV33" s="47"/>
      <c r="SYW33" s="47"/>
      <c r="SYX33" s="47"/>
      <c r="SYY33" s="47"/>
      <c r="SYZ33" s="47"/>
      <c r="SZA33" s="47"/>
      <c r="SZB33" s="47"/>
      <c r="SZC33" s="47"/>
      <c r="SZD33" s="47"/>
      <c r="SZE33" s="47"/>
      <c r="SZF33" s="47"/>
      <c r="SZG33" s="47"/>
      <c r="SZH33" s="47"/>
      <c r="SZI33" s="47"/>
      <c r="SZJ33" s="47"/>
      <c r="SZK33" s="47"/>
      <c r="SZL33" s="47"/>
      <c r="SZM33" s="47"/>
      <c r="SZN33" s="47"/>
      <c r="SZO33" s="47"/>
      <c r="SZP33" s="47"/>
      <c r="SZQ33" s="47"/>
      <c r="SZR33" s="47"/>
      <c r="SZS33" s="47"/>
      <c r="SZT33" s="47"/>
      <c r="SZU33" s="47"/>
      <c r="SZV33" s="47"/>
      <c r="SZW33" s="47"/>
      <c r="SZX33" s="47"/>
      <c r="SZY33" s="47"/>
      <c r="SZZ33" s="47"/>
      <c r="TAA33" s="47"/>
      <c r="TAB33" s="47"/>
      <c r="TAC33" s="47"/>
      <c r="TAD33" s="47"/>
      <c r="TAE33" s="47"/>
      <c r="TAF33" s="47"/>
      <c r="TAG33" s="47"/>
      <c r="TAH33" s="47"/>
      <c r="TAI33" s="47"/>
      <c r="TAJ33" s="47"/>
      <c r="TAK33" s="47"/>
      <c r="TAL33" s="47"/>
      <c r="TAM33" s="47"/>
      <c r="TAN33" s="47"/>
      <c r="TAO33" s="47"/>
      <c r="TAP33" s="47"/>
      <c r="TAQ33" s="47"/>
      <c r="TAR33" s="47"/>
      <c r="TAS33" s="47"/>
      <c r="TAT33" s="47"/>
      <c r="TAU33" s="47"/>
      <c r="TAV33" s="47"/>
      <c r="TAW33" s="47"/>
      <c r="TAX33" s="47"/>
      <c r="TAY33" s="47"/>
      <c r="TAZ33" s="47"/>
      <c r="TBA33" s="47"/>
      <c r="TBB33" s="47"/>
      <c r="TBC33" s="47"/>
      <c r="TBD33" s="47"/>
      <c r="TBE33" s="47"/>
      <c r="TBF33" s="47"/>
      <c r="TBG33" s="47"/>
      <c r="TBH33" s="47"/>
      <c r="TBI33" s="47"/>
      <c r="TBJ33" s="47"/>
      <c r="TBK33" s="47"/>
      <c r="TBL33" s="47"/>
      <c r="TBM33" s="47"/>
      <c r="TBN33" s="47"/>
      <c r="TBO33" s="47"/>
      <c r="TBP33" s="47"/>
      <c r="TBQ33" s="47"/>
      <c r="TBR33" s="47"/>
      <c r="TBS33" s="47"/>
      <c r="TBT33" s="47"/>
      <c r="TBU33" s="47"/>
      <c r="TBV33" s="47"/>
      <c r="TBW33" s="47"/>
      <c r="TBX33" s="47"/>
      <c r="TBY33" s="47"/>
      <c r="TBZ33" s="47"/>
      <c r="TCA33" s="47"/>
      <c r="TCB33" s="47"/>
      <c r="TCC33" s="47"/>
      <c r="TCD33" s="47"/>
      <c r="TCE33" s="47"/>
      <c r="TCF33" s="47"/>
      <c r="TCG33" s="47"/>
      <c r="TCH33" s="47"/>
      <c r="TCI33" s="47"/>
      <c r="TCJ33" s="47"/>
      <c r="TCK33" s="47"/>
      <c r="TCL33" s="47"/>
      <c r="TCM33" s="47"/>
      <c r="TCN33" s="47"/>
      <c r="TCO33" s="47"/>
      <c r="TCP33" s="47"/>
      <c r="TCQ33" s="47"/>
      <c r="TCR33" s="47"/>
      <c r="TCS33" s="47"/>
      <c r="TCT33" s="47"/>
      <c r="TCU33" s="47"/>
      <c r="TCV33" s="47"/>
      <c r="TCW33" s="47"/>
      <c r="TCX33" s="47"/>
      <c r="TCY33" s="47"/>
      <c r="TCZ33" s="47"/>
      <c r="TDA33" s="47"/>
      <c r="TDB33" s="47"/>
      <c r="TDC33" s="47"/>
      <c r="TDD33" s="47"/>
      <c r="TDE33" s="47"/>
      <c r="TDF33" s="47"/>
      <c r="TDG33" s="47"/>
      <c r="TDH33" s="47"/>
      <c r="TDI33" s="47"/>
      <c r="TDJ33" s="47"/>
      <c r="TDK33" s="47"/>
      <c r="TDL33" s="47"/>
      <c r="TDM33" s="47"/>
      <c r="TDN33" s="47"/>
      <c r="TDO33" s="47"/>
      <c r="TDP33" s="47"/>
      <c r="TDQ33" s="47"/>
      <c r="TDR33" s="47"/>
      <c r="TDS33" s="47"/>
      <c r="TDT33" s="47"/>
      <c r="TDU33" s="47"/>
      <c r="TDV33" s="47"/>
      <c r="TDW33" s="47"/>
      <c r="TDX33" s="47"/>
      <c r="TDY33" s="47"/>
      <c r="TDZ33" s="47"/>
      <c r="TEA33" s="47"/>
      <c r="TEB33" s="47"/>
      <c r="TEC33" s="47"/>
      <c r="TED33" s="47"/>
      <c r="TEE33" s="47"/>
      <c r="TEF33" s="47"/>
      <c r="TEG33" s="47"/>
      <c r="TEH33" s="47"/>
      <c r="TEI33" s="47"/>
      <c r="TEJ33" s="47"/>
      <c r="TEK33" s="47"/>
      <c r="TEL33" s="47"/>
      <c r="TEM33" s="47"/>
      <c r="TEN33" s="47"/>
      <c r="TEO33" s="47"/>
      <c r="TEP33" s="47"/>
      <c r="TEQ33" s="47"/>
      <c r="TER33" s="47"/>
      <c r="TES33" s="47"/>
      <c r="TET33" s="47"/>
      <c r="TEU33" s="47"/>
      <c r="TEV33" s="47"/>
      <c r="TEW33" s="47"/>
      <c r="TEX33" s="47"/>
      <c r="TEY33" s="47"/>
      <c r="TEZ33" s="47"/>
      <c r="TFA33" s="47"/>
      <c r="TFB33" s="47"/>
      <c r="TFC33" s="47"/>
      <c r="TFD33" s="47"/>
      <c r="TFE33" s="47"/>
      <c r="TFF33" s="47"/>
      <c r="TFG33" s="47"/>
      <c r="TFH33" s="47"/>
      <c r="TFI33" s="47"/>
      <c r="TFJ33" s="47"/>
      <c r="TFK33" s="47"/>
      <c r="TFL33" s="47"/>
      <c r="TFM33" s="47"/>
      <c r="TFN33" s="47"/>
      <c r="TFO33" s="47"/>
      <c r="TFP33" s="47"/>
      <c r="TFQ33" s="47"/>
      <c r="TFR33" s="47"/>
      <c r="TFS33" s="47"/>
      <c r="TFT33" s="47"/>
      <c r="TFU33" s="47"/>
      <c r="TFV33" s="47"/>
      <c r="TFW33" s="47"/>
      <c r="TFX33" s="47"/>
      <c r="TFY33" s="47"/>
      <c r="TFZ33" s="47"/>
      <c r="TGA33" s="47"/>
      <c r="TGB33" s="47"/>
      <c r="TGC33" s="47"/>
      <c r="TGD33" s="47"/>
      <c r="TGE33" s="47"/>
      <c r="TGF33" s="47"/>
      <c r="TGG33" s="47"/>
      <c r="TGH33" s="47"/>
      <c r="TGI33" s="47"/>
      <c r="TGJ33" s="47"/>
      <c r="TGK33" s="47"/>
      <c r="TGL33" s="47"/>
      <c r="TGM33" s="47"/>
      <c r="TGN33" s="47"/>
      <c r="TGO33" s="47"/>
      <c r="TGP33" s="47"/>
      <c r="TGQ33" s="47"/>
      <c r="TGR33" s="47"/>
      <c r="TGS33" s="47"/>
      <c r="TGT33" s="47"/>
      <c r="TGU33" s="47"/>
      <c r="TGV33" s="47"/>
      <c r="TGW33" s="47"/>
      <c r="TGX33" s="47"/>
      <c r="TGY33" s="47"/>
      <c r="TGZ33" s="47"/>
      <c r="THA33" s="47"/>
      <c r="THB33" s="47"/>
      <c r="THC33" s="47"/>
      <c r="THD33" s="47"/>
      <c r="THE33" s="47"/>
      <c r="THF33" s="47"/>
      <c r="THG33" s="47"/>
      <c r="THH33" s="47"/>
      <c r="THI33" s="47"/>
      <c r="THJ33" s="47"/>
      <c r="THK33" s="47"/>
      <c r="THL33" s="47"/>
      <c r="THM33" s="47"/>
      <c r="THN33" s="47"/>
      <c r="THO33" s="47"/>
      <c r="THP33" s="47"/>
      <c r="THQ33" s="47"/>
      <c r="THR33" s="47"/>
      <c r="THS33" s="47"/>
      <c r="THT33" s="47"/>
      <c r="THU33" s="47"/>
      <c r="THV33" s="47"/>
      <c r="THW33" s="47"/>
      <c r="THX33" s="47"/>
      <c r="THY33" s="47"/>
      <c r="THZ33" s="47"/>
      <c r="TIA33" s="47"/>
      <c r="TIB33" s="47"/>
      <c r="TIC33" s="47"/>
      <c r="TID33" s="47"/>
      <c r="TIE33" s="47"/>
      <c r="TIF33" s="47"/>
      <c r="TIG33" s="47"/>
      <c r="TIH33" s="47"/>
      <c r="TII33" s="47"/>
      <c r="TIJ33" s="47"/>
      <c r="TIK33" s="47"/>
      <c r="TIL33" s="47"/>
      <c r="TIM33" s="47"/>
      <c r="TIN33" s="47"/>
      <c r="TIO33" s="47"/>
      <c r="TIP33" s="47"/>
      <c r="TIQ33" s="47"/>
      <c r="TIR33" s="47"/>
      <c r="TIS33" s="47"/>
      <c r="TIT33" s="47"/>
      <c r="TIU33" s="47"/>
      <c r="TIV33" s="47"/>
      <c r="TIW33" s="47"/>
      <c r="TIX33" s="47"/>
      <c r="TIY33" s="47"/>
      <c r="TIZ33" s="47"/>
      <c r="TJA33" s="47"/>
      <c r="TJB33" s="47"/>
      <c r="TJC33" s="47"/>
      <c r="TJD33" s="47"/>
      <c r="TJE33" s="47"/>
      <c r="TJF33" s="47"/>
      <c r="TJG33" s="47"/>
      <c r="TJH33" s="47"/>
      <c r="TJI33" s="47"/>
      <c r="TJJ33" s="47"/>
      <c r="TJK33" s="47"/>
      <c r="TJL33" s="47"/>
      <c r="TJM33" s="47"/>
      <c r="TJN33" s="47"/>
      <c r="TJO33" s="47"/>
      <c r="TJP33" s="47"/>
      <c r="TJQ33" s="47"/>
      <c r="TJR33" s="47"/>
      <c r="TJS33" s="47"/>
      <c r="TJT33" s="47"/>
      <c r="TJU33" s="47"/>
      <c r="TJV33" s="47"/>
      <c r="TJW33" s="47"/>
      <c r="TJX33" s="47"/>
      <c r="TJY33" s="47"/>
      <c r="TJZ33" s="47"/>
      <c r="TKA33" s="47"/>
      <c r="TKB33" s="47"/>
      <c r="TKC33" s="47"/>
      <c r="TKD33" s="47"/>
      <c r="TKE33" s="47"/>
      <c r="TKF33" s="47"/>
      <c r="TKG33" s="47"/>
      <c r="TKH33" s="47"/>
      <c r="TKI33" s="47"/>
      <c r="TKJ33" s="47"/>
      <c r="TKK33" s="47"/>
      <c r="TKL33" s="47"/>
      <c r="TKM33" s="47"/>
      <c r="TKN33" s="47"/>
      <c r="TKO33" s="47"/>
      <c r="TKP33" s="47"/>
      <c r="TKQ33" s="47"/>
      <c r="TKR33" s="47"/>
      <c r="TKS33" s="47"/>
      <c r="TKT33" s="47"/>
      <c r="TKU33" s="47"/>
      <c r="TKV33" s="47"/>
      <c r="TKW33" s="47"/>
      <c r="TKX33" s="47"/>
      <c r="TKY33" s="47"/>
      <c r="TKZ33" s="47"/>
      <c r="TLA33" s="47"/>
      <c r="TLB33" s="47"/>
      <c r="TLC33" s="47"/>
      <c r="TLD33" s="47"/>
      <c r="TLE33" s="47"/>
      <c r="TLF33" s="47"/>
      <c r="TLG33" s="47"/>
      <c r="TLH33" s="47"/>
      <c r="TLI33" s="47"/>
      <c r="TLJ33" s="47"/>
      <c r="TLK33" s="47"/>
      <c r="TLL33" s="47"/>
      <c r="TLM33" s="47"/>
      <c r="TLN33" s="47"/>
      <c r="TLO33" s="47"/>
      <c r="TLP33" s="47"/>
      <c r="TLQ33" s="47"/>
      <c r="TLR33" s="47"/>
      <c r="TLS33" s="47"/>
      <c r="TLT33" s="47"/>
      <c r="TLU33" s="47"/>
      <c r="TLV33" s="47"/>
      <c r="TLW33" s="47"/>
      <c r="TLX33" s="47"/>
      <c r="TLY33" s="47"/>
      <c r="TLZ33" s="47"/>
      <c r="TMA33" s="47"/>
      <c r="TMB33" s="47"/>
      <c r="TMC33" s="47"/>
      <c r="TMD33" s="47"/>
      <c r="TME33" s="47"/>
      <c r="TMF33" s="47"/>
      <c r="TMG33" s="47"/>
      <c r="TMH33" s="47"/>
      <c r="TMI33" s="47"/>
      <c r="TMJ33" s="47"/>
      <c r="TMK33" s="47"/>
      <c r="TML33" s="47"/>
      <c r="TMM33" s="47"/>
      <c r="TMN33" s="47"/>
      <c r="TMO33" s="47"/>
      <c r="TMP33" s="47"/>
      <c r="TMQ33" s="47"/>
      <c r="TMR33" s="47"/>
      <c r="TMS33" s="47"/>
      <c r="TMT33" s="47"/>
      <c r="TMU33" s="47"/>
      <c r="TMV33" s="47"/>
      <c r="TMW33" s="47"/>
      <c r="TMX33" s="47"/>
      <c r="TMY33" s="47"/>
      <c r="TMZ33" s="47"/>
      <c r="TNA33" s="47"/>
      <c r="TNB33" s="47"/>
      <c r="TNC33" s="47"/>
      <c r="TND33" s="47"/>
      <c r="TNE33" s="47"/>
      <c r="TNF33" s="47"/>
      <c r="TNG33" s="47"/>
      <c r="TNH33" s="47"/>
      <c r="TNI33" s="47"/>
      <c r="TNJ33" s="47"/>
      <c r="TNK33" s="47"/>
      <c r="TNL33" s="47"/>
      <c r="TNM33" s="47"/>
      <c r="TNN33" s="47"/>
      <c r="TNO33" s="47"/>
      <c r="TNP33" s="47"/>
      <c r="TNQ33" s="47"/>
      <c r="TNR33" s="47"/>
      <c r="TNS33" s="47"/>
      <c r="TNT33" s="47"/>
      <c r="TNU33" s="47"/>
      <c r="TNV33" s="47"/>
      <c r="TNW33" s="47"/>
      <c r="TNX33" s="47"/>
      <c r="TNY33" s="47"/>
      <c r="TNZ33" s="47"/>
      <c r="TOA33" s="47"/>
      <c r="TOB33" s="47"/>
      <c r="TOC33" s="47"/>
      <c r="TOD33" s="47"/>
      <c r="TOE33" s="47"/>
      <c r="TOF33" s="47"/>
      <c r="TOG33" s="47"/>
      <c r="TOH33" s="47"/>
      <c r="TOI33" s="47"/>
      <c r="TOJ33" s="47"/>
      <c r="TOK33" s="47"/>
      <c r="TOL33" s="47"/>
      <c r="TOM33" s="47"/>
      <c r="TON33" s="47"/>
      <c r="TOO33" s="47"/>
      <c r="TOP33" s="47"/>
      <c r="TOQ33" s="47"/>
      <c r="TOR33" s="47"/>
      <c r="TOS33" s="47"/>
      <c r="TOT33" s="47"/>
      <c r="TOU33" s="47"/>
      <c r="TOV33" s="47"/>
      <c r="TOW33" s="47"/>
      <c r="TOX33" s="47"/>
      <c r="TOY33" s="47"/>
      <c r="TOZ33" s="47"/>
      <c r="TPA33" s="47"/>
      <c r="TPB33" s="47"/>
      <c r="TPC33" s="47"/>
      <c r="TPD33" s="47"/>
      <c r="TPE33" s="47"/>
      <c r="TPF33" s="47"/>
      <c r="TPG33" s="47"/>
      <c r="TPH33" s="47"/>
      <c r="TPI33" s="47"/>
      <c r="TPJ33" s="47"/>
      <c r="TPK33" s="47"/>
      <c r="TPL33" s="47"/>
      <c r="TPM33" s="47"/>
      <c r="TPN33" s="47"/>
      <c r="TPO33" s="47"/>
      <c r="TPP33" s="47"/>
      <c r="TPQ33" s="47"/>
      <c r="TPR33" s="47"/>
      <c r="TPS33" s="47"/>
      <c r="TPT33" s="47"/>
      <c r="TPU33" s="47"/>
      <c r="TPV33" s="47"/>
      <c r="TPW33" s="47"/>
      <c r="TPX33" s="47"/>
      <c r="TPY33" s="47"/>
      <c r="TPZ33" s="47"/>
      <c r="TQA33" s="47"/>
      <c r="TQB33" s="47"/>
      <c r="TQC33" s="47"/>
      <c r="TQD33" s="47"/>
      <c r="TQE33" s="47"/>
      <c r="TQF33" s="47"/>
      <c r="TQG33" s="47"/>
      <c r="TQH33" s="47"/>
      <c r="TQI33" s="47"/>
      <c r="TQJ33" s="47"/>
      <c r="TQK33" s="47"/>
      <c r="TQL33" s="47"/>
      <c r="TQM33" s="47"/>
      <c r="TQN33" s="47"/>
      <c r="TQO33" s="47"/>
      <c r="TQP33" s="47"/>
      <c r="TQQ33" s="47"/>
      <c r="TQR33" s="47"/>
      <c r="TQS33" s="47"/>
      <c r="TQT33" s="47"/>
      <c r="TQU33" s="47"/>
      <c r="TQV33" s="47"/>
      <c r="TQW33" s="47"/>
      <c r="TQX33" s="47"/>
      <c r="TQY33" s="47"/>
      <c r="TQZ33" s="47"/>
      <c r="TRA33" s="47"/>
      <c r="TRB33" s="47"/>
      <c r="TRC33" s="47"/>
      <c r="TRD33" s="47"/>
      <c r="TRE33" s="47"/>
      <c r="TRF33" s="47"/>
      <c r="TRG33" s="47"/>
      <c r="TRH33" s="47"/>
      <c r="TRI33" s="47"/>
      <c r="TRJ33" s="47"/>
      <c r="TRK33" s="47"/>
      <c r="TRL33" s="47"/>
      <c r="TRM33" s="47"/>
      <c r="TRN33" s="47"/>
      <c r="TRO33" s="47"/>
      <c r="TRP33" s="47"/>
      <c r="TRQ33" s="47"/>
      <c r="TRR33" s="47"/>
      <c r="TRS33" s="47"/>
      <c r="TRT33" s="47"/>
      <c r="TRU33" s="47"/>
      <c r="TRV33" s="47"/>
      <c r="TRW33" s="47"/>
      <c r="TRX33" s="47"/>
      <c r="TRY33" s="47"/>
      <c r="TRZ33" s="47"/>
      <c r="TSA33" s="47"/>
      <c r="TSB33" s="47"/>
      <c r="TSC33" s="47"/>
      <c r="TSD33" s="47"/>
      <c r="TSE33" s="47"/>
      <c r="TSF33" s="47"/>
      <c r="TSG33" s="47"/>
      <c r="TSH33" s="47"/>
      <c r="TSI33" s="47"/>
      <c r="TSJ33" s="47"/>
      <c r="TSK33" s="47"/>
      <c r="TSL33" s="47"/>
      <c r="TSM33" s="47"/>
      <c r="TSN33" s="47"/>
      <c r="TSO33" s="47"/>
      <c r="TSP33" s="47"/>
      <c r="TSQ33" s="47"/>
      <c r="TSR33" s="47"/>
      <c r="TSS33" s="47"/>
      <c r="TST33" s="47"/>
      <c r="TSU33" s="47"/>
      <c r="TSV33" s="47"/>
      <c r="TSW33" s="47"/>
      <c r="TSX33" s="47"/>
      <c r="TSY33" s="47"/>
      <c r="TSZ33" s="47"/>
      <c r="TTA33" s="47"/>
      <c r="TTB33" s="47"/>
      <c r="TTC33" s="47"/>
      <c r="TTD33" s="47"/>
      <c r="TTE33" s="47"/>
      <c r="TTF33" s="47"/>
      <c r="TTG33" s="47"/>
      <c r="TTH33" s="47"/>
      <c r="TTI33" s="47"/>
      <c r="TTJ33" s="47"/>
      <c r="TTK33" s="47"/>
      <c r="TTL33" s="47"/>
      <c r="TTM33" s="47"/>
      <c r="TTN33" s="47"/>
      <c r="TTO33" s="47"/>
      <c r="TTP33" s="47"/>
      <c r="TTQ33" s="47"/>
      <c r="TTR33" s="47"/>
      <c r="TTS33" s="47"/>
      <c r="TTT33" s="47"/>
      <c r="TTU33" s="47"/>
      <c r="TTV33" s="47"/>
      <c r="TTW33" s="47"/>
      <c r="TTX33" s="47"/>
      <c r="TTY33" s="47"/>
      <c r="TTZ33" s="47"/>
      <c r="TUA33" s="47"/>
      <c r="TUB33" s="47"/>
      <c r="TUC33" s="47"/>
      <c r="TUD33" s="47"/>
      <c r="TUE33" s="47"/>
      <c r="TUF33" s="47"/>
      <c r="TUG33" s="47"/>
      <c r="TUH33" s="47"/>
      <c r="TUI33" s="47"/>
      <c r="TUJ33" s="47"/>
      <c r="TUK33" s="47"/>
      <c r="TUL33" s="47"/>
      <c r="TUM33" s="47"/>
      <c r="TUN33" s="47"/>
      <c r="TUO33" s="47"/>
      <c r="TUP33" s="47"/>
      <c r="TUQ33" s="47"/>
      <c r="TUR33" s="47"/>
      <c r="TUS33" s="47"/>
      <c r="TUT33" s="47"/>
      <c r="TUU33" s="47"/>
      <c r="TUV33" s="47"/>
      <c r="TUW33" s="47"/>
      <c r="TUX33" s="47"/>
      <c r="TUY33" s="47"/>
      <c r="TUZ33" s="47"/>
      <c r="TVA33" s="47"/>
      <c r="TVB33" s="47"/>
      <c r="TVC33" s="47"/>
      <c r="TVD33" s="47"/>
      <c r="TVE33" s="47"/>
      <c r="TVF33" s="47"/>
      <c r="TVG33" s="47"/>
      <c r="TVH33" s="47"/>
      <c r="TVI33" s="47"/>
      <c r="TVJ33" s="47"/>
      <c r="TVK33" s="47"/>
      <c r="TVL33" s="47"/>
      <c r="TVM33" s="47"/>
      <c r="TVN33" s="47"/>
      <c r="TVO33" s="47"/>
      <c r="TVP33" s="47"/>
      <c r="TVQ33" s="47"/>
      <c r="TVR33" s="47"/>
      <c r="TVS33" s="47"/>
      <c r="TVT33" s="47"/>
      <c r="TVU33" s="47"/>
      <c r="TVV33" s="47"/>
      <c r="TVW33" s="47"/>
      <c r="TVX33" s="47"/>
      <c r="TVY33" s="47"/>
      <c r="TVZ33" s="47"/>
      <c r="TWA33" s="47"/>
      <c r="TWB33" s="47"/>
      <c r="TWC33" s="47"/>
      <c r="TWD33" s="47"/>
      <c r="TWE33" s="47"/>
      <c r="TWF33" s="47"/>
      <c r="TWG33" s="47"/>
      <c r="TWH33" s="47"/>
      <c r="TWI33" s="47"/>
      <c r="TWJ33" s="47"/>
      <c r="TWK33" s="47"/>
      <c r="TWL33" s="47"/>
      <c r="TWM33" s="47"/>
      <c r="TWN33" s="47"/>
      <c r="TWO33" s="47"/>
      <c r="TWP33" s="47"/>
      <c r="TWQ33" s="47"/>
      <c r="TWR33" s="47"/>
      <c r="TWS33" s="47"/>
      <c r="TWT33" s="47"/>
      <c r="TWU33" s="47"/>
      <c r="TWV33" s="47"/>
      <c r="TWW33" s="47"/>
      <c r="TWX33" s="47"/>
      <c r="TWY33" s="47"/>
      <c r="TWZ33" s="47"/>
      <c r="TXA33" s="47"/>
      <c r="TXB33" s="47"/>
      <c r="TXC33" s="47"/>
      <c r="TXD33" s="47"/>
      <c r="TXE33" s="47"/>
      <c r="TXF33" s="47"/>
      <c r="TXG33" s="47"/>
      <c r="TXH33" s="47"/>
      <c r="TXI33" s="47"/>
      <c r="TXJ33" s="47"/>
      <c r="TXK33" s="47"/>
      <c r="TXL33" s="47"/>
      <c r="TXM33" s="47"/>
      <c r="TXN33" s="47"/>
      <c r="TXO33" s="47"/>
      <c r="TXP33" s="47"/>
      <c r="TXQ33" s="47"/>
      <c r="TXR33" s="47"/>
      <c r="TXS33" s="47"/>
      <c r="TXT33" s="47"/>
      <c r="TXU33" s="47"/>
      <c r="TXV33" s="47"/>
      <c r="TXW33" s="47"/>
      <c r="TXX33" s="47"/>
      <c r="TXY33" s="47"/>
      <c r="TXZ33" s="47"/>
      <c r="TYA33" s="47"/>
      <c r="TYB33" s="47"/>
      <c r="TYC33" s="47"/>
      <c r="TYD33" s="47"/>
      <c r="TYE33" s="47"/>
      <c r="TYF33" s="47"/>
      <c r="TYG33" s="47"/>
      <c r="TYH33" s="47"/>
      <c r="TYI33" s="47"/>
      <c r="TYJ33" s="47"/>
      <c r="TYK33" s="47"/>
      <c r="TYL33" s="47"/>
      <c r="TYM33" s="47"/>
      <c r="TYN33" s="47"/>
      <c r="TYO33" s="47"/>
      <c r="TYP33" s="47"/>
      <c r="TYQ33" s="47"/>
      <c r="TYR33" s="47"/>
      <c r="TYS33" s="47"/>
      <c r="TYT33" s="47"/>
      <c r="TYU33" s="47"/>
      <c r="TYV33" s="47"/>
      <c r="TYW33" s="47"/>
      <c r="TYX33" s="47"/>
      <c r="TYY33" s="47"/>
      <c r="TYZ33" s="47"/>
      <c r="TZA33" s="47"/>
      <c r="TZB33" s="47"/>
      <c r="TZC33" s="47"/>
      <c r="TZD33" s="47"/>
      <c r="TZE33" s="47"/>
      <c r="TZF33" s="47"/>
      <c r="TZG33" s="47"/>
      <c r="TZH33" s="47"/>
      <c r="TZI33" s="47"/>
      <c r="TZJ33" s="47"/>
      <c r="TZK33" s="47"/>
      <c r="TZL33" s="47"/>
      <c r="TZM33" s="47"/>
      <c r="TZN33" s="47"/>
      <c r="TZO33" s="47"/>
      <c r="TZP33" s="47"/>
      <c r="TZQ33" s="47"/>
      <c r="TZR33" s="47"/>
      <c r="TZS33" s="47"/>
      <c r="TZT33" s="47"/>
      <c r="TZU33" s="47"/>
      <c r="TZV33" s="47"/>
      <c r="TZW33" s="47"/>
      <c r="TZX33" s="47"/>
      <c r="TZY33" s="47"/>
      <c r="TZZ33" s="47"/>
      <c r="UAA33" s="47"/>
      <c r="UAB33" s="47"/>
      <c r="UAC33" s="47"/>
      <c r="UAD33" s="47"/>
      <c r="UAE33" s="47"/>
      <c r="UAF33" s="47"/>
      <c r="UAG33" s="47"/>
      <c r="UAH33" s="47"/>
      <c r="UAI33" s="47"/>
      <c r="UAJ33" s="47"/>
      <c r="UAK33" s="47"/>
      <c r="UAL33" s="47"/>
      <c r="UAM33" s="47"/>
      <c r="UAN33" s="47"/>
      <c r="UAO33" s="47"/>
      <c r="UAP33" s="47"/>
      <c r="UAQ33" s="47"/>
      <c r="UAR33" s="47"/>
      <c r="UAS33" s="47"/>
      <c r="UAT33" s="47"/>
      <c r="UAU33" s="47"/>
      <c r="UAV33" s="47"/>
      <c r="UAW33" s="47"/>
      <c r="UAX33" s="47"/>
      <c r="UAY33" s="47"/>
      <c r="UAZ33" s="47"/>
      <c r="UBA33" s="47"/>
      <c r="UBB33" s="47"/>
      <c r="UBC33" s="47"/>
      <c r="UBD33" s="47"/>
      <c r="UBE33" s="47"/>
      <c r="UBF33" s="47"/>
      <c r="UBG33" s="47"/>
      <c r="UBH33" s="47"/>
      <c r="UBI33" s="47"/>
      <c r="UBJ33" s="47"/>
      <c r="UBK33" s="47"/>
      <c r="UBL33" s="47"/>
      <c r="UBM33" s="47"/>
      <c r="UBN33" s="47"/>
      <c r="UBO33" s="47"/>
      <c r="UBP33" s="47"/>
      <c r="UBQ33" s="47"/>
      <c r="UBR33" s="47"/>
      <c r="UBS33" s="47"/>
      <c r="UBT33" s="47"/>
      <c r="UBU33" s="47"/>
      <c r="UBV33" s="47"/>
      <c r="UBW33" s="47"/>
      <c r="UBX33" s="47"/>
      <c r="UBY33" s="47"/>
      <c r="UBZ33" s="47"/>
      <c r="UCA33" s="47"/>
      <c r="UCB33" s="47"/>
      <c r="UCC33" s="47"/>
      <c r="UCD33" s="47"/>
      <c r="UCE33" s="47"/>
      <c r="UCF33" s="47"/>
      <c r="UCG33" s="47"/>
      <c r="UCH33" s="47"/>
      <c r="UCI33" s="47"/>
      <c r="UCJ33" s="47"/>
      <c r="UCK33" s="47"/>
      <c r="UCL33" s="47"/>
      <c r="UCM33" s="47"/>
      <c r="UCN33" s="47"/>
      <c r="UCO33" s="47"/>
      <c r="UCP33" s="47"/>
      <c r="UCQ33" s="47"/>
      <c r="UCR33" s="47"/>
      <c r="UCS33" s="47"/>
      <c r="UCT33" s="47"/>
      <c r="UCU33" s="47"/>
      <c r="UCV33" s="47"/>
      <c r="UCW33" s="47"/>
      <c r="UCX33" s="47"/>
      <c r="UCY33" s="47"/>
      <c r="UCZ33" s="47"/>
      <c r="UDA33" s="47"/>
      <c r="UDB33" s="47"/>
      <c r="UDC33" s="47"/>
      <c r="UDD33" s="47"/>
      <c r="UDE33" s="47"/>
      <c r="UDF33" s="47"/>
      <c r="UDG33" s="47"/>
      <c r="UDH33" s="47"/>
      <c r="UDI33" s="47"/>
      <c r="UDJ33" s="47"/>
      <c r="UDK33" s="47"/>
      <c r="UDL33" s="47"/>
      <c r="UDM33" s="47"/>
      <c r="UDN33" s="47"/>
      <c r="UDO33" s="47"/>
      <c r="UDP33" s="47"/>
      <c r="UDQ33" s="47"/>
      <c r="UDR33" s="47"/>
      <c r="UDS33" s="47"/>
      <c r="UDT33" s="47"/>
      <c r="UDU33" s="47"/>
      <c r="UDV33" s="47"/>
      <c r="UDW33" s="47"/>
      <c r="UDX33" s="47"/>
      <c r="UDY33" s="47"/>
      <c r="UDZ33" s="47"/>
      <c r="UEA33" s="47"/>
      <c r="UEB33" s="47"/>
      <c r="UEC33" s="47"/>
      <c r="UED33" s="47"/>
      <c r="UEE33" s="47"/>
      <c r="UEF33" s="47"/>
      <c r="UEG33" s="47"/>
      <c r="UEH33" s="47"/>
      <c r="UEI33" s="47"/>
      <c r="UEJ33" s="47"/>
      <c r="UEK33" s="47"/>
      <c r="UEL33" s="47"/>
      <c r="UEM33" s="47"/>
      <c r="UEN33" s="47"/>
      <c r="UEO33" s="47"/>
      <c r="UEP33" s="47"/>
      <c r="UEQ33" s="47"/>
      <c r="UER33" s="47"/>
      <c r="UES33" s="47"/>
      <c r="UET33" s="47"/>
      <c r="UEU33" s="47"/>
      <c r="UEV33" s="47"/>
      <c r="UEW33" s="47"/>
      <c r="UEX33" s="47"/>
      <c r="UEY33" s="47"/>
      <c r="UEZ33" s="47"/>
      <c r="UFA33" s="47"/>
      <c r="UFB33" s="47"/>
      <c r="UFC33" s="47"/>
      <c r="UFD33" s="47"/>
      <c r="UFE33" s="47"/>
      <c r="UFF33" s="47"/>
      <c r="UFG33" s="47"/>
      <c r="UFH33" s="47"/>
      <c r="UFI33" s="47"/>
      <c r="UFJ33" s="47"/>
      <c r="UFK33" s="47"/>
      <c r="UFL33" s="47"/>
      <c r="UFM33" s="47"/>
      <c r="UFN33" s="47"/>
      <c r="UFO33" s="47"/>
      <c r="UFP33" s="47"/>
      <c r="UFQ33" s="47"/>
      <c r="UFR33" s="47"/>
      <c r="UFS33" s="47"/>
      <c r="UFT33" s="47"/>
      <c r="UFU33" s="47"/>
      <c r="UFV33" s="47"/>
      <c r="UFW33" s="47"/>
      <c r="UFX33" s="47"/>
      <c r="UFY33" s="47"/>
      <c r="UFZ33" s="47"/>
      <c r="UGA33" s="47"/>
      <c r="UGB33" s="47"/>
      <c r="UGC33" s="47"/>
      <c r="UGD33" s="47"/>
      <c r="UGE33" s="47"/>
      <c r="UGF33" s="47"/>
      <c r="UGG33" s="47"/>
      <c r="UGH33" s="47"/>
      <c r="UGI33" s="47"/>
      <c r="UGJ33" s="47"/>
      <c r="UGK33" s="47"/>
      <c r="UGL33" s="47"/>
      <c r="UGM33" s="47"/>
      <c r="UGN33" s="47"/>
      <c r="UGO33" s="47"/>
      <c r="UGP33" s="47"/>
      <c r="UGQ33" s="47"/>
      <c r="UGR33" s="47"/>
      <c r="UGS33" s="47"/>
      <c r="UGT33" s="47"/>
      <c r="UGU33" s="47"/>
      <c r="UGV33" s="47"/>
      <c r="UGW33" s="47"/>
      <c r="UGX33" s="47"/>
      <c r="UGY33" s="47"/>
      <c r="UGZ33" s="47"/>
      <c r="UHA33" s="47"/>
      <c r="UHB33" s="47"/>
      <c r="UHC33" s="47"/>
      <c r="UHD33" s="47"/>
      <c r="UHE33" s="47"/>
      <c r="UHF33" s="47"/>
      <c r="UHG33" s="47"/>
      <c r="UHH33" s="47"/>
      <c r="UHI33" s="47"/>
      <c r="UHJ33" s="47"/>
      <c r="UHK33" s="47"/>
      <c r="UHL33" s="47"/>
      <c r="UHM33" s="47"/>
      <c r="UHN33" s="47"/>
      <c r="UHO33" s="47"/>
      <c r="UHP33" s="47"/>
      <c r="UHQ33" s="47"/>
      <c r="UHR33" s="47"/>
      <c r="UHS33" s="47"/>
      <c r="UHT33" s="47"/>
      <c r="UHU33" s="47"/>
      <c r="UHV33" s="47"/>
      <c r="UHW33" s="47"/>
      <c r="UHX33" s="47"/>
      <c r="UHY33" s="47"/>
      <c r="UHZ33" s="47"/>
      <c r="UIA33" s="47"/>
      <c r="UIB33" s="47"/>
      <c r="UIC33" s="47"/>
      <c r="UID33" s="47"/>
      <c r="UIE33" s="47"/>
      <c r="UIF33" s="47"/>
      <c r="UIG33" s="47"/>
      <c r="UIH33" s="47"/>
      <c r="UII33" s="47"/>
      <c r="UIJ33" s="47"/>
      <c r="UIK33" s="47"/>
      <c r="UIL33" s="47"/>
      <c r="UIM33" s="47"/>
      <c r="UIN33" s="47"/>
      <c r="UIO33" s="47"/>
      <c r="UIP33" s="47"/>
      <c r="UIQ33" s="47"/>
      <c r="UIR33" s="47"/>
      <c r="UIS33" s="47"/>
      <c r="UIT33" s="47"/>
      <c r="UIU33" s="47"/>
      <c r="UIV33" s="47"/>
      <c r="UIW33" s="47"/>
      <c r="UIX33" s="47"/>
      <c r="UIY33" s="47"/>
      <c r="UIZ33" s="47"/>
      <c r="UJA33" s="47"/>
      <c r="UJB33" s="47"/>
      <c r="UJC33" s="47"/>
      <c r="UJD33" s="47"/>
      <c r="UJE33" s="47"/>
      <c r="UJF33" s="47"/>
      <c r="UJG33" s="47"/>
      <c r="UJH33" s="47"/>
      <c r="UJI33" s="47"/>
      <c r="UJJ33" s="47"/>
      <c r="UJK33" s="47"/>
      <c r="UJL33" s="47"/>
      <c r="UJM33" s="47"/>
      <c r="UJN33" s="47"/>
      <c r="UJO33" s="47"/>
      <c r="UJP33" s="47"/>
      <c r="UJQ33" s="47"/>
      <c r="UJR33" s="47"/>
      <c r="UJS33" s="47"/>
      <c r="UJT33" s="47"/>
      <c r="UJU33" s="47"/>
      <c r="UJV33" s="47"/>
      <c r="UJW33" s="47"/>
      <c r="UJX33" s="47"/>
      <c r="UJY33" s="47"/>
      <c r="UJZ33" s="47"/>
      <c r="UKA33" s="47"/>
      <c r="UKB33" s="47"/>
      <c r="UKC33" s="47"/>
      <c r="UKD33" s="47"/>
      <c r="UKE33" s="47"/>
      <c r="UKF33" s="47"/>
      <c r="UKG33" s="47"/>
      <c r="UKH33" s="47"/>
      <c r="UKI33" s="47"/>
      <c r="UKJ33" s="47"/>
      <c r="UKK33" s="47"/>
      <c r="UKL33" s="47"/>
      <c r="UKM33" s="47"/>
      <c r="UKN33" s="47"/>
      <c r="UKO33" s="47"/>
      <c r="UKP33" s="47"/>
      <c r="UKQ33" s="47"/>
      <c r="UKR33" s="47"/>
      <c r="UKS33" s="47"/>
      <c r="UKT33" s="47"/>
      <c r="UKU33" s="47"/>
      <c r="UKV33" s="47"/>
      <c r="UKW33" s="47"/>
      <c r="UKX33" s="47"/>
      <c r="UKY33" s="47"/>
      <c r="UKZ33" s="47"/>
      <c r="ULA33" s="47"/>
      <c r="ULB33" s="47"/>
      <c r="ULC33" s="47"/>
      <c r="ULD33" s="47"/>
      <c r="ULE33" s="47"/>
      <c r="ULF33" s="47"/>
      <c r="ULG33" s="47"/>
      <c r="ULH33" s="47"/>
      <c r="ULI33" s="47"/>
      <c r="ULJ33" s="47"/>
      <c r="ULK33" s="47"/>
      <c r="ULL33" s="47"/>
      <c r="ULM33" s="47"/>
      <c r="ULN33" s="47"/>
      <c r="ULO33" s="47"/>
      <c r="ULP33" s="47"/>
      <c r="ULQ33" s="47"/>
      <c r="ULR33" s="47"/>
      <c r="ULS33" s="47"/>
      <c r="ULT33" s="47"/>
      <c r="ULU33" s="47"/>
      <c r="ULV33" s="47"/>
      <c r="ULW33" s="47"/>
      <c r="ULX33" s="47"/>
      <c r="ULY33" s="47"/>
      <c r="ULZ33" s="47"/>
      <c r="UMA33" s="47"/>
      <c r="UMB33" s="47"/>
      <c r="UMC33" s="47"/>
      <c r="UMD33" s="47"/>
      <c r="UME33" s="47"/>
      <c r="UMF33" s="47"/>
      <c r="UMG33" s="47"/>
      <c r="UMH33" s="47"/>
      <c r="UMI33" s="47"/>
      <c r="UMJ33" s="47"/>
      <c r="UMK33" s="47"/>
      <c r="UML33" s="47"/>
      <c r="UMM33" s="47"/>
      <c r="UMN33" s="47"/>
      <c r="UMO33" s="47"/>
      <c r="UMP33" s="47"/>
      <c r="UMQ33" s="47"/>
      <c r="UMR33" s="47"/>
      <c r="UMS33" s="47"/>
      <c r="UMT33" s="47"/>
      <c r="UMU33" s="47"/>
      <c r="UMV33" s="47"/>
      <c r="UMW33" s="47"/>
      <c r="UMX33" s="47"/>
      <c r="UMY33" s="47"/>
      <c r="UMZ33" s="47"/>
      <c r="UNA33" s="47"/>
      <c r="UNB33" s="47"/>
      <c r="UNC33" s="47"/>
      <c r="UND33" s="47"/>
      <c r="UNE33" s="47"/>
      <c r="UNF33" s="47"/>
      <c r="UNG33" s="47"/>
      <c r="UNH33" s="47"/>
      <c r="UNI33" s="47"/>
      <c r="UNJ33" s="47"/>
      <c r="UNK33" s="47"/>
      <c r="UNL33" s="47"/>
      <c r="UNM33" s="47"/>
      <c r="UNN33" s="47"/>
      <c r="UNO33" s="47"/>
      <c r="UNP33" s="47"/>
      <c r="UNQ33" s="47"/>
      <c r="UNR33" s="47"/>
      <c r="UNS33" s="47"/>
      <c r="UNT33" s="47"/>
      <c r="UNU33" s="47"/>
      <c r="UNV33" s="47"/>
      <c r="UNW33" s="47"/>
      <c r="UNX33" s="47"/>
      <c r="UNY33" s="47"/>
      <c r="UNZ33" s="47"/>
      <c r="UOA33" s="47"/>
      <c r="UOB33" s="47"/>
      <c r="UOC33" s="47"/>
      <c r="UOD33" s="47"/>
      <c r="UOE33" s="47"/>
      <c r="UOF33" s="47"/>
      <c r="UOG33" s="47"/>
      <c r="UOH33" s="47"/>
      <c r="UOI33" s="47"/>
      <c r="UOJ33" s="47"/>
      <c r="UOK33" s="47"/>
      <c r="UOL33" s="47"/>
      <c r="UOM33" s="47"/>
      <c r="UON33" s="47"/>
      <c r="UOO33" s="47"/>
      <c r="UOP33" s="47"/>
      <c r="UOQ33" s="47"/>
      <c r="UOR33" s="47"/>
      <c r="UOS33" s="47"/>
      <c r="UOT33" s="47"/>
      <c r="UOU33" s="47"/>
      <c r="UOV33" s="47"/>
      <c r="UOW33" s="47"/>
      <c r="UOX33" s="47"/>
      <c r="UOY33" s="47"/>
      <c r="UOZ33" s="47"/>
      <c r="UPA33" s="47"/>
      <c r="UPB33" s="47"/>
      <c r="UPC33" s="47"/>
      <c r="UPD33" s="47"/>
      <c r="UPE33" s="47"/>
      <c r="UPF33" s="47"/>
      <c r="UPG33" s="47"/>
      <c r="UPH33" s="47"/>
      <c r="UPI33" s="47"/>
      <c r="UPJ33" s="47"/>
      <c r="UPK33" s="47"/>
      <c r="UPL33" s="47"/>
      <c r="UPM33" s="47"/>
      <c r="UPN33" s="47"/>
      <c r="UPO33" s="47"/>
      <c r="UPP33" s="47"/>
      <c r="UPQ33" s="47"/>
      <c r="UPR33" s="47"/>
      <c r="UPS33" s="47"/>
      <c r="UPT33" s="47"/>
      <c r="UPU33" s="47"/>
      <c r="UPV33" s="47"/>
      <c r="UPW33" s="47"/>
      <c r="UPX33" s="47"/>
      <c r="UPY33" s="47"/>
      <c r="UPZ33" s="47"/>
      <c r="UQA33" s="47"/>
      <c r="UQB33" s="47"/>
      <c r="UQC33" s="47"/>
      <c r="UQD33" s="47"/>
      <c r="UQE33" s="47"/>
      <c r="UQF33" s="47"/>
      <c r="UQG33" s="47"/>
      <c r="UQH33" s="47"/>
      <c r="UQI33" s="47"/>
      <c r="UQJ33" s="47"/>
      <c r="UQK33" s="47"/>
      <c r="UQL33" s="47"/>
      <c r="UQM33" s="47"/>
      <c r="UQN33" s="47"/>
      <c r="UQO33" s="47"/>
      <c r="UQP33" s="47"/>
      <c r="UQQ33" s="47"/>
      <c r="UQR33" s="47"/>
      <c r="UQS33" s="47"/>
      <c r="UQT33" s="47"/>
      <c r="UQU33" s="47"/>
      <c r="UQV33" s="47"/>
      <c r="UQW33" s="47"/>
      <c r="UQX33" s="47"/>
      <c r="UQY33" s="47"/>
      <c r="UQZ33" s="47"/>
      <c r="URA33" s="47"/>
      <c r="URB33" s="47"/>
      <c r="URC33" s="47"/>
      <c r="URD33" s="47"/>
      <c r="URE33" s="47"/>
      <c r="URF33" s="47"/>
      <c r="URG33" s="47"/>
      <c r="URH33" s="47"/>
      <c r="URI33" s="47"/>
      <c r="URJ33" s="47"/>
      <c r="URK33" s="47"/>
      <c r="URL33" s="47"/>
      <c r="URM33" s="47"/>
      <c r="URN33" s="47"/>
      <c r="URO33" s="47"/>
      <c r="URP33" s="47"/>
      <c r="URQ33" s="47"/>
      <c r="URR33" s="47"/>
      <c r="URS33" s="47"/>
      <c r="URT33" s="47"/>
      <c r="URU33" s="47"/>
      <c r="URV33" s="47"/>
      <c r="URW33" s="47"/>
      <c r="URX33" s="47"/>
      <c r="URY33" s="47"/>
      <c r="URZ33" s="47"/>
      <c r="USA33" s="47"/>
      <c r="USB33" s="47"/>
      <c r="USC33" s="47"/>
      <c r="USD33" s="47"/>
      <c r="USE33" s="47"/>
      <c r="USF33" s="47"/>
      <c r="USG33" s="47"/>
      <c r="USH33" s="47"/>
      <c r="USI33" s="47"/>
      <c r="USJ33" s="47"/>
      <c r="USK33" s="47"/>
      <c r="USL33" s="47"/>
      <c r="USM33" s="47"/>
      <c r="USN33" s="47"/>
      <c r="USO33" s="47"/>
      <c r="USP33" s="47"/>
      <c r="USQ33" s="47"/>
      <c r="USR33" s="47"/>
      <c r="USS33" s="47"/>
      <c r="UST33" s="47"/>
      <c r="USU33" s="47"/>
      <c r="USV33" s="47"/>
      <c r="USW33" s="47"/>
      <c r="USX33" s="47"/>
      <c r="USY33" s="47"/>
      <c r="USZ33" s="47"/>
      <c r="UTA33" s="47"/>
      <c r="UTB33" s="47"/>
      <c r="UTC33" s="47"/>
      <c r="UTD33" s="47"/>
      <c r="UTE33" s="47"/>
      <c r="UTF33" s="47"/>
      <c r="UTG33" s="47"/>
      <c r="UTH33" s="47"/>
      <c r="UTI33" s="47"/>
      <c r="UTJ33" s="47"/>
      <c r="UTK33" s="47"/>
      <c r="UTL33" s="47"/>
      <c r="UTM33" s="47"/>
      <c r="UTN33" s="47"/>
      <c r="UTO33" s="47"/>
      <c r="UTP33" s="47"/>
      <c r="UTQ33" s="47"/>
      <c r="UTR33" s="47"/>
      <c r="UTS33" s="47"/>
      <c r="UTT33" s="47"/>
      <c r="UTU33" s="47"/>
      <c r="UTV33" s="47"/>
      <c r="UTW33" s="47"/>
      <c r="UTX33" s="47"/>
      <c r="UTY33" s="47"/>
      <c r="UTZ33" s="47"/>
      <c r="UUA33" s="47"/>
      <c r="UUB33" s="47"/>
      <c r="UUC33" s="47"/>
      <c r="UUD33" s="47"/>
      <c r="UUE33" s="47"/>
      <c r="UUF33" s="47"/>
      <c r="UUG33" s="47"/>
      <c r="UUH33" s="47"/>
      <c r="UUI33" s="47"/>
      <c r="UUJ33" s="47"/>
      <c r="UUK33" s="47"/>
      <c r="UUL33" s="47"/>
      <c r="UUM33" s="47"/>
      <c r="UUN33" s="47"/>
      <c r="UUO33" s="47"/>
      <c r="UUP33" s="47"/>
      <c r="UUQ33" s="47"/>
      <c r="UUR33" s="47"/>
      <c r="UUS33" s="47"/>
      <c r="UUT33" s="47"/>
      <c r="UUU33" s="47"/>
      <c r="UUV33" s="47"/>
      <c r="UUW33" s="47"/>
      <c r="UUX33" s="47"/>
      <c r="UUY33" s="47"/>
      <c r="UUZ33" s="47"/>
      <c r="UVA33" s="47"/>
      <c r="UVB33" s="47"/>
      <c r="UVC33" s="47"/>
      <c r="UVD33" s="47"/>
      <c r="UVE33" s="47"/>
      <c r="UVF33" s="47"/>
      <c r="UVG33" s="47"/>
      <c r="UVH33" s="47"/>
      <c r="UVI33" s="47"/>
      <c r="UVJ33" s="47"/>
      <c r="UVK33" s="47"/>
      <c r="UVL33" s="47"/>
      <c r="UVM33" s="47"/>
      <c r="UVN33" s="47"/>
      <c r="UVO33" s="47"/>
      <c r="UVP33" s="47"/>
      <c r="UVQ33" s="47"/>
      <c r="UVR33" s="47"/>
      <c r="UVS33" s="47"/>
      <c r="UVT33" s="47"/>
      <c r="UVU33" s="47"/>
      <c r="UVV33" s="47"/>
      <c r="UVW33" s="47"/>
      <c r="UVX33" s="47"/>
      <c r="UVY33" s="47"/>
      <c r="UVZ33" s="47"/>
      <c r="UWA33" s="47"/>
      <c r="UWB33" s="47"/>
      <c r="UWC33" s="47"/>
      <c r="UWD33" s="47"/>
      <c r="UWE33" s="47"/>
      <c r="UWF33" s="47"/>
      <c r="UWG33" s="47"/>
      <c r="UWH33" s="47"/>
      <c r="UWI33" s="47"/>
      <c r="UWJ33" s="47"/>
      <c r="UWK33" s="47"/>
      <c r="UWL33" s="47"/>
      <c r="UWM33" s="47"/>
      <c r="UWN33" s="47"/>
      <c r="UWO33" s="47"/>
      <c r="UWP33" s="47"/>
      <c r="UWQ33" s="47"/>
      <c r="UWR33" s="47"/>
      <c r="UWS33" s="47"/>
      <c r="UWT33" s="47"/>
      <c r="UWU33" s="47"/>
      <c r="UWV33" s="47"/>
      <c r="UWW33" s="47"/>
      <c r="UWX33" s="47"/>
      <c r="UWY33" s="47"/>
      <c r="UWZ33" s="47"/>
      <c r="UXA33" s="47"/>
      <c r="UXB33" s="47"/>
      <c r="UXC33" s="47"/>
      <c r="UXD33" s="47"/>
      <c r="UXE33" s="47"/>
      <c r="UXF33" s="47"/>
      <c r="UXG33" s="47"/>
      <c r="UXH33" s="47"/>
      <c r="UXI33" s="47"/>
      <c r="UXJ33" s="47"/>
      <c r="UXK33" s="47"/>
      <c r="UXL33" s="47"/>
      <c r="UXM33" s="47"/>
      <c r="UXN33" s="47"/>
      <c r="UXO33" s="47"/>
      <c r="UXP33" s="47"/>
      <c r="UXQ33" s="47"/>
      <c r="UXR33" s="47"/>
      <c r="UXS33" s="47"/>
      <c r="UXT33" s="47"/>
      <c r="UXU33" s="47"/>
      <c r="UXV33" s="47"/>
      <c r="UXW33" s="47"/>
      <c r="UXX33" s="47"/>
      <c r="UXY33" s="47"/>
      <c r="UXZ33" s="47"/>
      <c r="UYA33" s="47"/>
      <c r="UYB33" s="47"/>
      <c r="UYC33" s="47"/>
      <c r="UYD33" s="47"/>
      <c r="UYE33" s="47"/>
      <c r="UYF33" s="47"/>
      <c r="UYG33" s="47"/>
      <c r="UYH33" s="47"/>
      <c r="UYI33" s="47"/>
      <c r="UYJ33" s="47"/>
      <c r="UYK33" s="47"/>
      <c r="UYL33" s="47"/>
      <c r="UYM33" s="47"/>
      <c r="UYN33" s="47"/>
      <c r="UYO33" s="47"/>
      <c r="UYP33" s="47"/>
      <c r="UYQ33" s="47"/>
      <c r="UYR33" s="47"/>
      <c r="UYS33" s="47"/>
      <c r="UYT33" s="47"/>
      <c r="UYU33" s="47"/>
      <c r="UYV33" s="47"/>
      <c r="UYW33" s="47"/>
      <c r="UYX33" s="47"/>
      <c r="UYY33" s="47"/>
      <c r="UYZ33" s="47"/>
      <c r="UZA33" s="47"/>
      <c r="UZB33" s="47"/>
      <c r="UZC33" s="47"/>
      <c r="UZD33" s="47"/>
      <c r="UZE33" s="47"/>
      <c r="UZF33" s="47"/>
      <c r="UZG33" s="47"/>
      <c r="UZH33" s="47"/>
      <c r="UZI33" s="47"/>
      <c r="UZJ33" s="47"/>
      <c r="UZK33" s="47"/>
      <c r="UZL33" s="47"/>
      <c r="UZM33" s="47"/>
      <c r="UZN33" s="47"/>
      <c r="UZO33" s="47"/>
      <c r="UZP33" s="47"/>
      <c r="UZQ33" s="47"/>
      <c r="UZR33" s="47"/>
      <c r="UZS33" s="47"/>
      <c r="UZT33" s="47"/>
      <c r="UZU33" s="47"/>
      <c r="UZV33" s="47"/>
      <c r="UZW33" s="47"/>
      <c r="UZX33" s="47"/>
      <c r="UZY33" s="47"/>
      <c r="UZZ33" s="47"/>
      <c r="VAA33" s="47"/>
      <c r="VAB33" s="47"/>
      <c r="VAC33" s="47"/>
      <c r="VAD33" s="47"/>
      <c r="VAE33" s="47"/>
      <c r="VAF33" s="47"/>
      <c r="VAG33" s="47"/>
      <c r="VAH33" s="47"/>
      <c r="VAI33" s="47"/>
      <c r="VAJ33" s="47"/>
      <c r="VAK33" s="47"/>
      <c r="VAL33" s="47"/>
      <c r="VAM33" s="47"/>
      <c r="VAN33" s="47"/>
      <c r="VAO33" s="47"/>
      <c r="VAP33" s="47"/>
      <c r="VAQ33" s="47"/>
      <c r="VAR33" s="47"/>
      <c r="VAS33" s="47"/>
      <c r="VAT33" s="47"/>
      <c r="VAU33" s="47"/>
      <c r="VAV33" s="47"/>
      <c r="VAW33" s="47"/>
      <c r="VAX33" s="47"/>
      <c r="VAY33" s="47"/>
      <c r="VAZ33" s="47"/>
      <c r="VBA33" s="47"/>
      <c r="VBB33" s="47"/>
      <c r="VBC33" s="47"/>
      <c r="VBD33" s="47"/>
      <c r="VBE33" s="47"/>
      <c r="VBF33" s="47"/>
      <c r="VBG33" s="47"/>
      <c r="VBH33" s="47"/>
      <c r="VBI33" s="47"/>
      <c r="VBJ33" s="47"/>
      <c r="VBK33" s="47"/>
      <c r="VBL33" s="47"/>
      <c r="VBM33" s="47"/>
      <c r="VBN33" s="47"/>
      <c r="VBO33" s="47"/>
      <c r="VBP33" s="47"/>
      <c r="VBQ33" s="47"/>
      <c r="VBR33" s="47"/>
      <c r="VBS33" s="47"/>
      <c r="VBT33" s="47"/>
      <c r="VBU33" s="47"/>
      <c r="VBV33" s="47"/>
      <c r="VBW33" s="47"/>
      <c r="VBX33" s="47"/>
      <c r="VBY33" s="47"/>
      <c r="VBZ33" s="47"/>
      <c r="VCA33" s="47"/>
      <c r="VCB33" s="47"/>
      <c r="VCC33" s="47"/>
      <c r="VCD33" s="47"/>
      <c r="VCE33" s="47"/>
      <c r="VCF33" s="47"/>
      <c r="VCG33" s="47"/>
      <c r="VCH33" s="47"/>
      <c r="VCI33" s="47"/>
      <c r="VCJ33" s="47"/>
      <c r="VCK33" s="47"/>
      <c r="VCL33" s="47"/>
      <c r="VCM33" s="47"/>
      <c r="VCN33" s="47"/>
      <c r="VCO33" s="47"/>
      <c r="VCP33" s="47"/>
      <c r="VCQ33" s="47"/>
      <c r="VCR33" s="47"/>
      <c r="VCS33" s="47"/>
      <c r="VCT33" s="47"/>
      <c r="VCU33" s="47"/>
      <c r="VCV33" s="47"/>
      <c r="VCW33" s="47"/>
      <c r="VCX33" s="47"/>
      <c r="VCY33" s="47"/>
      <c r="VCZ33" s="47"/>
      <c r="VDA33" s="47"/>
      <c r="VDB33" s="47"/>
      <c r="VDC33" s="47"/>
      <c r="VDD33" s="47"/>
      <c r="VDE33" s="47"/>
      <c r="VDF33" s="47"/>
      <c r="VDG33" s="47"/>
      <c r="VDH33" s="47"/>
      <c r="VDI33" s="47"/>
      <c r="VDJ33" s="47"/>
      <c r="VDK33" s="47"/>
      <c r="VDL33" s="47"/>
      <c r="VDM33" s="47"/>
      <c r="VDN33" s="47"/>
      <c r="VDO33" s="47"/>
      <c r="VDP33" s="47"/>
      <c r="VDQ33" s="47"/>
      <c r="VDR33" s="47"/>
      <c r="VDS33" s="47"/>
      <c r="VDT33" s="47"/>
      <c r="VDU33" s="47"/>
      <c r="VDV33" s="47"/>
      <c r="VDW33" s="47"/>
      <c r="VDX33" s="47"/>
      <c r="VDY33" s="47"/>
      <c r="VDZ33" s="47"/>
      <c r="VEA33" s="47"/>
      <c r="VEB33" s="47"/>
      <c r="VEC33" s="47"/>
      <c r="VED33" s="47"/>
      <c r="VEE33" s="47"/>
      <c r="VEF33" s="47"/>
      <c r="VEG33" s="47"/>
      <c r="VEH33" s="47"/>
      <c r="VEI33" s="47"/>
      <c r="VEJ33" s="47"/>
      <c r="VEK33" s="47"/>
      <c r="VEL33" s="47"/>
      <c r="VEM33" s="47"/>
      <c r="VEN33" s="47"/>
      <c r="VEO33" s="47"/>
      <c r="VEP33" s="47"/>
      <c r="VEQ33" s="47"/>
      <c r="VER33" s="47"/>
      <c r="VES33" s="47"/>
      <c r="VET33" s="47"/>
      <c r="VEU33" s="47"/>
      <c r="VEV33" s="47"/>
      <c r="VEW33" s="47"/>
      <c r="VEX33" s="47"/>
      <c r="VEY33" s="47"/>
      <c r="VEZ33" s="47"/>
      <c r="VFA33" s="47"/>
      <c r="VFB33" s="47"/>
      <c r="VFC33" s="47"/>
      <c r="VFD33" s="47"/>
      <c r="VFE33" s="47"/>
      <c r="VFF33" s="47"/>
      <c r="VFG33" s="47"/>
      <c r="VFH33" s="47"/>
      <c r="VFI33" s="47"/>
      <c r="VFJ33" s="47"/>
      <c r="VFK33" s="47"/>
      <c r="VFL33" s="47"/>
      <c r="VFM33" s="47"/>
      <c r="VFN33" s="47"/>
      <c r="VFO33" s="47"/>
      <c r="VFP33" s="47"/>
      <c r="VFQ33" s="47"/>
      <c r="VFR33" s="47"/>
      <c r="VFS33" s="47"/>
      <c r="VFT33" s="47"/>
      <c r="VFU33" s="47"/>
      <c r="VFV33" s="47"/>
      <c r="VFW33" s="47"/>
      <c r="VFX33" s="47"/>
      <c r="VFY33" s="47"/>
      <c r="VFZ33" s="47"/>
      <c r="VGA33" s="47"/>
      <c r="VGB33" s="47"/>
      <c r="VGC33" s="47"/>
      <c r="VGD33" s="47"/>
      <c r="VGE33" s="47"/>
      <c r="VGF33" s="47"/>
      <c r="VGG33" s="47"/>
      <c r="VGH33" s="47"/>
      <c r="VGI33" s="47"/>
      <c r="VGJ33" s="47"/>
      <c r="VGK33" s="47"/>
      <c r="VGL33" s="47"/>
      <c r="VGM33" s="47"/>
      <c r="VGN33" s="47"/>
      <c r="VGO33" s="47"/>
      <c r="VGP33" s="47"/>
      <c r="VGQ33" s="47"/>
      <c r="VGR33" s="47"/>
      <c r="VGS33" s="47"/>
      <c r="VGT33" s="47"/>
      <c r="VGU33" s="47"/>
      <c r="VGV33" s="47"/>
      <c r="VGW33" s="47"/>
      <c r="VGX33" s="47"/>
      <c r="VGY33" s="47"/>
      <c r="VGZ33" s="47"/>
      <c r="VHA33" s="47"/>
      <c r="VHB33" s="47"/>
      <c r="VHC33" s="47"/>
      <c r="VHD33" s="47"/>
      <c r="VHE33" s="47"/>
      <c r="VHF33" s="47"/>
      <c r="VHG33" s="47"/>
      <c r="VHH33" s="47"/>
      <c r="VHI33" s="47"/>
      <c r="VHJ33" s="47"/>
      <c r="VHK33" s="47"/>
      <c r="VHL33" s="47"/>
      <c r="VHM33" s="47"/>
      <c r="VHN33" s="47"/>
      <c r="VHO33" s="47"/>
      <c r="VHP33" s="47"/>
      <c r="VHQ33" s="47"/>
      <c r="VHR33" s="47"/>
      <c r="VHS33" s="47"/>
      <c r="VHT33" s="47"/>
      <c r="VHU33" s="47"/>
      <c r="VHV33" s="47"/>
      <c r="VHW33" s="47"/>
      <c r="VHX33" s="47"/>
      <c r="VHY33" s="47"/>
      <c r="VHZ33" s="47"/>
      <c r="VIA33" s="47"/>
      <c r="VIB33" s="47"/>
      <c r="VIC33" s="47"/>
      <c r="VID33" s="47"/>
      <c r="VIE33" s="47"/>
      <c r="VIF33" s="47"/>
      <c r="VIG33" s="47"/>
      <c r="VIH33" s="47"/>
      <c r="VII33" s="47"/>
      <c r="VIJ33" s="47"/>
      <c r="VIK33" s="47"/>
      <c r="VIL33" s="47"/>
      <c r="VIM33" s="47"/>
      <c r="VIN33" s="47"/>
      <c r="VIO33" s="47"/>
      <c r="VIP33" s="47"/>
      <c r="VIQ33" s="47"/>
      <c r="VIR33" s="47"/>
      <c r="VIS33" s="47"/>
      <c r="VIT33" s="47"/>
      <c r="VIU33" s="47"/>
      <c r="VIV33" s="47"/>
      <c r="VIW33" s="47"/>
      <c r="VIX33" s="47"/>
      <c r="VIY33" s="47"/>
      <c r="VIZ33" s="47"/>
      <c r="VJA33" s="47"/>
      <c r="VJB33" s="47"/>
      <c r="VJC33" s="47"/>
      <c r="VJD33" s="47"/>
      <c r="VJE33" s="47"/>
      <c r="VJF33" s="47"/>
      <c r="VJG33" s="47"/>
      <c r="VJH33" s="47"/>
      <c r="VJI33" s="47"/>
      <c r="VJJ33" s="47"/>
      <c r="VJK33" s="47"/>
      <c r="VJL33" s="47"/>
      <c r="VJM33" s="47"/>
      <c r="VJN33" s="47"/>
      <c r="VJO33" s="47"/>
      <c r="VJP33" s="47"/>
      <c r="VJQ33" s="47"/>
      <c r="VJR33" s="47"/>
      <c r="VJS33" s="47"/>
      <c r="VJT33" s="47"/>
      <c r="VJU33" s="47"/>
      <c r="VJV33" s="47"/>
      <c r="VJW33" s="47"/>
      <c r="VJX33" s="47"/>
      <c r="VJY33" s="47"/>
      <c r="VJZ33" s="47"/>
      <c r="VKA33" s="47"/>
      <c r="VKB33" s="47"/>
      <c r="VKC33" s="47"/>
      <c r="VKD33" s="47"/>
      <c r="VKE33" s="47"/>
      <c r="VKF33" s="47"/>
      <c r="VKG33" s="47"/>
      <c r="VKH33" s="47"/>
      <c r="VKI33" s="47"/>
      <c r="VKJ33" s="47"/>
      <c r="VKK33" s="47"/>
      <c r="VKL33" s="47"/>
      <c r="VKM33" s="47"/>
      <c r="VKN33" s="47"/>
      <c r="VKO33" s="47"/>
      <c r="VKP33" s="47"/>
      <c r="VKQ33" s="47"/>
      <c r="VKR33" s="47"/>
      <c r="VKS33" s="47"/>
      <c r="VKT33" s="47"/>
      <c r="VKU33" s="47"/>
      <c r="VKV33" s="47"/>
      <c r="VKW33" s="47"/>
      <c r="VKX33" s="47"/>
      <c r="VKY33" s="47"/>
      <c r="VKZ33" s="47"/>
      <c r="VLA33" s="47"/>
      <c r="VLB33" s="47"/>
      <c r="VLC33" s="47"/>
      <c r="VLD33" s="47"/>
      <c r="VLE33" s="47"/>
      <c r="VLF33" s="47"/>
      <c r="VLG33" s="47"/>
      <c r="VLH33" s="47"/>
      <c r="VLI33" s="47"/>
      <c r="VLJ33" s="47"/>
      <c r="VLK33" s="47"/>
      <c r="VLL33" s="47"/>
      <c r="VLM33" s="47"/>
      <c r="VLN33" s="47"/>
      <c r="VLO33" s="47"/>
      <c r="VLP33" s="47"/>
      <c r="VLQ33" s="47"/>
      <c r="VLR33" s="47"/>
      <c r="VLS33" s="47"/>
      <c r="VLT33" s="47"/>
      <c r="VLU33" s="47"/>
      <c r="VLV33" s="47"/>
      <c r="VLW33" s="47"/>
      <c r="VLX33" s="47"/>
      <c r="VLY33" s="47"/>
      <c r="VLZ33" s="47"/>
      <c r="VMA33" s="47"/>
      <c r="VMB33" s="47"/>
      <c r="VMC33" s="47"/>
      <c r="VMD33" s="47"/>
      <c r="VME33" s="47"/>
      <c r="VMF33" s="47"/>
      <c r="VMG33" s="47"/>
      <c r="VMH33" s="47"/>
      <c r="VMI33" s="47"/>
      <c r="VMJ33" s="47"/>
      <c r="VMK33" s="47"/>
      <c r="VML33" s="47"/>
      <c r="VMM33" s="47"/>
      <c r="VMN33" s="47"/>
      <c r="VMO33" s="47"/>
      <c r="VMP33" s="47"/>
      <c r="VMQ33" s="47"/>
      <c r="VMR33" s="47"/>
      <c r="VMS33" s="47"/>
      <c r="VMT33" s="47"/>
      <c r="VMU33" s="47"/>
      <c r="VMV33" s="47"/>
      <c r="VMW33" s="47"/>
      <c r="VMX33" s="47"/>
      <c r="VMY33" s="47"/>
      <c r="VMZ33" s="47"/>
      <c r="VNA33" s="47"/>
      <c r="VNB33" s="47"/>
      <c r="VNC33" s="47"/>
      <c r="VND33" s="47"/>
      <c r="VNE33" s="47"/>
      <c r="VNF33" s="47"/>
      <c r="VNG33" s="47"/>
      <c r="VNH33" s="47"/>
      <c r="VNI33" s="47"/>
      <c r="VNJ33" s="47"/>
      <c r="VNK33" s="47"/>
      <c r="VNL33" s="47"/>
      <c r="VNM33" s="47"/>
      <c r="VNN33" s="47"/>
      <c r="VNO33" s="47"/>
      <c r="VNP33" s="47"/>
      <c r="VNQ33" s="47"/>
      <c r="VNR33" s="47"/>
      <c r="VNS33" s="47"/>
      <c r="VNT33" s="47"/>
      <c r="VNU33" s="47"/>
      <c r="VNV33" s="47"/>
      <c r="VNW33" s="47"/>
      <c r="VNX33" s="47"/>
      <c r="VNY33" s="47"/>
      <c r="VNZ33" s="47"/>
      <c r="VOA33" s="47"/>
      <c r="VOB33" s="47"/>
      <c r="VOC33" s="47"/>
      <c r="VOD33" s="47"/>
      <c r="VOE33" s="47"/>
      <c r="VOF33" s="47"/>
      <c r="VOG33" s="47"/>
      <c r="VOH33" s="47"/>
      <c r="VOI33" s="47"/>
      <c r="VOJ33" s="47"/>
      <c r="VOK33" s="47"/>
      <c r="VOL33" s="47"/>
      <c r="VOM33" s="47"/>
      <c r="VON33" s="47"/>
      <c r="VOO33" s="47"/>
      <c r="VOP33" s="47"/>
      <c r="VOQ33" s="47"/>
      <c r="VOR33" s="47"/>
      <c r="VOS33" s="47"/>
      <c r="VOT33" s="47"/>
      <c r="VOU33" s="47"/>
      <c r="VOV33" s="47"/>
      <c r="VOW33" s="47"/>
      <c r="VOX33" s="47"/>
      <c r="VOY33" s="47"/>
      <c r="VOZ33" s="47"/>
      <c r="VPA33" s="47"/>
      <c r="VPB33" s="47"/>
      <c r="VPC33" s="47"/>
      <c r="VPD33" s="47"/>
      <c r="VPE33" s="47"/>
      <c r="VPF33" s="47"/>
      <c r="VPG33" s="47"/>
      <c r="VPH33" s="47"/>
      <c r="VPI33" s="47"/>
      <c r="VPJ33" s="47"/>
      <c r="VPK33" s="47"/>
      <c r="VPL33" s="47"/>
      <c r="VPM33" s="47"/>
      <c r="VPN33" s="47"/>
      <c r="VPO33" s="47"/>
      <c r="VPP33" s="47"/>
      <c r="VPQ33" s="47"/>
      <c r="VPR33" s="47"/>
      <c r="VPS33" s="47"/>
      <c r="VPT33" s="47"/>
      <c r="VPU33" s="47"/>
      <c r="VPV33" s="47"/>
      <c r="VPW33" s="47"/>
      <c r="VPX33" s="47"/>
      <c r="VPY33" s="47"/>
      <c r="VPZ33" s="47"/>
      <c r="VQA33" s="47"/>
      <c r="VQB33" s="47"/>
      <c r="VQC33" s="47"/>
      <c r="VQD33" s="47"/>
      <c r="VQE33" s="47"/>
      <c r="VQF33" s="47"/>
      <c r="VQG33" s="47"/>
      <c r="VQH33" s="47"/>
      <c r="VQI33" s="47"/>
      <c r="VQJ33" s="47"/>
      <c r="VQK33" s="47"/>
      <c r="VQL33" s="47"/>
      <c r="VQM33" s="47"/>
      <c r="VQN33" s="47"/>
      <c r="VQO33" s="47"/>
      <c r="VQP33" s="47"/>
      <c r="VQQ33" s="47"/>
      <c r="VQR33" s="47"/>
      <c r="VQS33" s="47"/>
      <c r="VQT33" s="47"/>
      <c r="VQU33" s="47"/>
      <c r="VQV33" s="47"/>
      <c r="VQW33" s="47"/>
      <c r="VQX33" s="47"/>
      <c r="VQY33" s="47"/>
      <c r="VQZ33" s="47"/>
      <c r="VRA33" s="47"/>
      <c r="VRB33" s="47"/>
      <c r="VRC33" s="47"/>
      <c r="VRD33" s="47"/>
      <c r="VRE33" s="47"/>
      <c r="VRF33" s="47"/>
      <c r="VRG33" s="47"/>
      <c r="VRH33" s="47"/>
      <c r="VRI33" s="47"/>
      <c r="VRJ33" s="47"/>
      <c r="VRK33" s="47"/>
      <c r="VRL33" s="47"/>
      <c r="VRM33" s="47"/>
      <c r="VRN33" s="47"/>
      <c r="VRO33" s="47"/>
      <c r="VRP33" s="47"/>
      <c r="VRQ33" s="47"/>
      <c r="VRR33" s="47"/>
      <c r="VRS33" s="47"/>
      <c r="VRT33" s="47"/>
      <c r="VRU33" s="47"/>
      <c r="VRV33" s="47"/>
      <c r="VRW33" s="47"/>
      <c r="VRX33" s="47"/>
      <c r="VRY33" s="47"/>
      <c r="VRZ33" s="47"/>
      <c r="VSA33" s="47"/>
      <c r="VSB33" s="47"/>
      <c r="VSC33" s="47"/>
      <c r="VSD33" s="47"/>
      <c r="VSE33" s="47"/>
      <c r="VSF33" s="47"/>
      <c r="VSG33" s="47"/>
      <c r="VSH33" s="47"/>
      <c r="VSI33" s="47"/>
      <c r="VSJ33" s="47"/>
      <c r="VSK33" s="47"/>
      <c r="VSL33" s="47"/>
      <c r="VSM33" s="47"/>
      <c r="VSN33" s="47"/>
      <c r="VSO33" s="47"/>
      <c r="VSP33" s="47"/>
      <c r="VSQ33" s="47"/>
      <c r="VSR33" s="47"/>
      <c r="VSS33" s="47"/>
      <c r="VST33" s="47"/>
      <c r="VSU33" s="47"/>
      <c r="VSV33" s="47"/>
      <c r="VSW33" s="47"/>
      <c r="VSX33" s="47"/>
      <c r="VSY33" s="47"/>
      <c r="VSZ33" s="47"/>
      <c r="VTA33" s="47"/>
      <c r="VTB33" s="47"/>
      <c r="VTC33" s="47"/>
      <c r="VTD33" s="47"/>
      <c r="VTE33" s="47"/>
      <c r="VTF33" s="47"/>
      <c r="VTG33" s="47"/>
      <c r="VTH33" s="47"/>
      <c r="VTI33" s="47"/>
      <c r="VTJ33" s="47"/>
      <c r="VTK33" s="47"/>
      <c r="VTL33" s="47"/>
      <c r="VTM33" s="47"/>
      <c r="VTN33" s="47"/>
      <c r="VTO33" s="47"/>
      <c r="VTP33" s="47"/>
      <c r="VTQ33" s="47"/>
      <c r="VTR33" s="47"/>
      <c r="VTS33" s="47"/>
      <c r="VTT33" s="47"/>
      <c r="VTU33" s="47"/>
      <c r="VTV33" s="47"/>
      <c r="VTW33" s="47"/>
      <c r="VTX33" s="47"/>
      <c r="VTY33" s="47"/>
      <c r="VTZ33" s="47"/>
      <c r="VUA33" s="47"/>
      <c r="VUB33" s="47"/>
      <c r="VUC33" s="47"/>
      <c r="VUD33" s="47"/>
      <c r="VUE33" s="47"/>
      <c r="VUF33" s="47"/>
      <c r="VUG33" s="47"/>
      <c r="VUH33" s="47"/>
      <c r="VUI33" s="47"/>
      <c r="VUJ33" s="47"/>
      <c r="VUK33" s="47"/>
      <c r="VUL33" s="47"/>
      <c r="VUM33" s="47"/>
      <c r="VUN33" s="47"/>
      <c r="VUO33" s="47"/>
      <c r="VUP33" s="47"/>
      <c r="VUQ33" s="47"/>
      <c r="VUR33" s="47"/>
      <c r="VUS33" s="47"/>
      <c r="VUT33" s="47"/>
      <c r="VUU33" s="47"/>
      <c r="VUV33" s="47"/>
      <c r="VUW33" s="47"/>
      <c r="VUX33" s="47"/>
      <c r="VUY33" s="47"/>
      <c r="VUZ33" s="47"/>
      <c r="VVA33" s="47"/>
      <c r="VVB33" s="47"/>
      <c r="VVC33" s="47"/>
      <c r="VVD33" s="47"/>
      <c r="VVE33" s="47"/>
      <c r="VVF33" s="47"/>
      <c r="VVG33" s="47"/>
      <c r="VVH33" s="47"/>
      <c r="VVI33" s="47"/>
      <c r="VVJ33" s="47"/>
      <c r="VVK33" s="47"/>
      <c r="VVL33" s="47"/>
      <c r="VVM33" s="47"/>
      <c r="VVN33" s="47"/>
      <c r="VVO33" s="47"/>
      <c r="VVP33" s="47"/>
      <c r="VVQ33" s="47"/>
      <c r="VVR33" s="47"/>
      <c r="VVS33" s="47"/>
      <c r="VVT33" s="47"/>
      <c r="VVU33" s="47"/>
      <c r="VVV33" s="47"/>
      <c r="VVW33" s="47"/>
      <c r="VVX33" s="47"/>
      <c r="VVY33" s="47"/>
      <c r="VVZ33" s="47"/>
      <c r="VWA33" s="47"/>
      <c r="VWB33" s="47"/>
      <c r="VWC33" s="47"/>
      <c r="VWD33" s="47"/>
      <c r="VWE33" s="47"/>
      <c r="VWF33" s="47"/>
      <c r="VWG33" s="47"/>
      <c r="VWH33" s="47"/>
      <c r="VWI33" s="47"/>
      <c r="VWJ33" s="47"/>
      <c r="VWK33" s="47"/>
      <c r="VWL33" s="47"/>
      <c r="VWM33" s="47"/>
      <c r="VWN33" s="47"/>
      <c r="VWO33" s="47"/>
      <c r="VWP33" s="47"/>
      <c r="VWQ33" s="47"/>
      <c r="VWR33" s="47"/>
      <c r="VWS33" s="47"/>
      <c r="VWT33" s="47"/>
      <c r="VWU33" s="47"/>
      <c r="VWV33" s="47"/>
      <c r="VWW33" s="47"/>
      <c r="VWX33" s="47"/>
      <c r="VWY33" s="47"/>
      <c r="VWZ33" s="47"/>
      <c r="VXA33" s="47"/>
      <c r="VXB33" s="47"/>
      <c r="VXC33" s="47"/>
      <c r="VXD33" s="47"/>
      <c r="VXE33" s="47"/>
      <c r="VXF33" s="47"/>
      <c r="VXG33" s="47"/>
      <c r="VXH33" s="47"/>
      <c r="VXI33" s="47"/>
      <c r="VXJ33" s="47"/>
      <c r="VXK33" s="47"/>
      <c r="VXL33" s="47"/>
      <c r="VXM33" s="47"/>
      <c r="VXN33" s="47"/>
      <c r="VXO33" s="47"/>
      <c r="VXP33" s="47"/>
      <c r="VXQ33" s="47"/>
      <c r="VXR33" s="47"/>
      <c r="VXS33" s="47"/>
      <c r="VXT33" s="47"/>
      <c r="VXU33" s="47"/>
      <c r="VXV33" s="47"/>
      <c r="VXW33" s="47"/>
      <c r="VXX33" s="47"/>
      <c r="VXY33" s="47"/>
      <c r="VXZ33" s="47"/>
      <c r="VYA33" s="47"/>
      <c r="VYB33" s="47"/>
      <c r="VYC33" s="47"/>
      <c r="VYD33" s="47"/>
      <c r="VYE33" s="47"/>
      <c r="VYF33" s="47"/>
      <c r="VYG33" s="47"/>
      <c r="VYH33" s="47"/>
      <c r="VYI33" s="47"/>
      <c r="VYJ33" s="47"/>
      <c r="VYK33" s="47"/>
      <c r="VYL33" s="47"/>
      <c r="VYM33" s="47"/>
      <c r="VYN33" s="47"/>
      <c r="VYO33" s="47"/>
      <c r="VYP33" s="47"/>
      <c r="VYQ33" s="47"/>
      <c r="VYR33" s="47"/>
      <c r="VYS33" s="47"/>
      <c r="VYT33" s="47"/>
      <c r="VYU33" s="47"/>
      <c r="VYV33" s="47"/>
      <c r="VYW33" s="47"/>
      <c r="VYX33" s="47"/>
      <c r="VYY33" s="47"/>
      <c r="VYZ33" s="47"/>
      <c r="VZA33" s="47"/>
      <c r="VZB33" s="47"/>
      <c r="VZC33" s="47"/>
      <c r="VZD33" s="47"/>
      <c r="VZE33" s="47"/>
      <c r="VZF33" s="47"/>
      <c r="VZG33" s="47"/>
      <c r="VZH33" s="47"/>
      <c r="VZI33" s="47"/>
      <c r="VZJ33" s="47"/>
      <c r="VZK33" s="47"/>
      <c r="VZL33" s="47"/>
      <c r="VZM33" s="47"/>
      <c r="VZN33" s="47"/>
      <c r="VZO33" s="47"/>
      <c r="VZP33" s="47"/>
      <c r="VZQ33" s="47"/>
      <c r="VZR33" s="47"/>
      <c r="VZS33" s="47"/>
      <c r="VZT33" s="47"/>
      <c r="VZU33" s="47"/>
      <c r="VZV33" s="47"/>
      <c r="VZW33" s="47"/>
      <c r="VZX33" s="47"/>
      <c r="VZY33" s="47"/>
      <c r="VZZ33" s="47"/>
      <c r="WAA33" s="47"/>
      <c r="WAB33" s="47"/>
      <c r="WAC33" s="47"/>
      <c r="WAD33" s="47"/>
      <c r="WAE33" s="47"/>
      <c r="WAF33" s="47"/>
      <c r="WAG33" s="47"/>
      <c r="WAH33" s="47"/>
      <c r="WAI33" s="47"/>
      <c r="WAJ33" s="47"/>
      <c r="WAK33" s="47"/>
      <c r="WAL33" s="47"/>
      <c r="WAM33" s="47"/>
      <c r="WAN33" s="47"/>
      <c r="WAO33" s="47"/>
      <c r="WAP33" s="47"/>
      <c r="WAQ33" s="47"/>
      <c r="WAR33" s="47"/>
      <c r="WAS33" s="47"/>
      <c r="WAT33" s="47"/>
      <c r="WAU33" s="47"/>
      <c r="WAV33" s="47"/>
      <c r="WAW33" s="47"/>
      <c r="WAX33" s="47"/>
      <c r="WAY33" s="47"/>
      <c r="WAZ33" s="47"/>
      <c r="WBA33" s="47"/>
      <c r="WBB33" s="47"/>
      <c r="WBC33" s="47"/>
      <c r="WBD33" s="47"/>
      <c r="WBE33" s="47"/>
      <c r="WBF33" s="47"/>
      <c r="WBG33" s="47"/>
      <c r="WBH33" s="47"/>
      <c r="WBI33" s="47"/>
      <c r="WBJ33" s="47"/>
      <c r="WBK33" s="47"/>
      <c r="WBL33" s="47"/>
      <c r="WBM33" s="47"/>
      <c r="WBN33" s="47"/>
      <c r="WBO33" s="47"/>
      <c r="WBP33" s="47"/>
      <c r="WBQ33" s="47"/>
      <c r="WBR33" s="47"/>
      <c r="WBS33" s="47"/>
      <c r="WBT33" s="47"/>
      <c r="WBU33" s="47"/>
      <c r="WBV33" s="47"/>
      <c r="WBW33" s="47"/>
      <c r="WBX33" s="47"/>
      <c r="WBY33" s="47"/>
      <c r="WBZ33" s="47"/>
      <c r="WCA33" s="47"/>
      <c r="WCB33" s="47"/>
      <c r="WCC33" s="47"/>
      <c r="WCD33" s="47"/>
      <c r="WCE33" s="47"/>
      <c r="WCF33" s="47"/>
      <c r="WCG33" s="47"/>
      <c r="WCH33" s="47"/>
      <c r="WCI33" s="47"/>
      <c r="WCJ33" s="47"/>
      <c r="WCK33" s="47"/>
      <c r="WCL33" s="47"/>
      <c r="WCM33" s="47"/>
      <c r="WCN33" s="47"/>
      <c r="WCO33" s="47"/>
      <c r="WCP33" s="47"/>
      <c r="WCQ33" s="47"/>
      <c r="WCR33" s="47"/>
      <c r="WCS33" s="47"/>
      <c r="WCT33" s="47"/>
      <c r="WCU33" s="47"/>
      <c r="WCV33" s="47"/>
      <c r="WCW33" s="47"/>
      <c r="WCX33" s="47"/>
      <c r="WCY33" s="47"/>
      <c r="WCZ33" s="47"/>
      <c r="WDA33" s="47"/>
      <c r="WDB33" s="47"/>
      <c r="WDC33" s="47"/>
      <c r="WDD33" s="47"/>
      <c r="WDE33" s="47"/>
      <c r="WDF33" s="47"/>
      <c r="WDG33" s="47"/>
      <c r="WDH33" s="47"/>
      <c r="WDI33" s="47"/>
      <c r="WDJ33" s="47"/>
      <c r="WDK33" s="47"/>
      <c r="WDL33" s="47"/>
      <c r="WDM33" s="47"/>
      <c r="WDN33" s="47"/>
      <c r="WDO33" s="47"/>
      <c r="WDP33" s="47"/>
      <c r="WDQ33" s="47"/>
      <c r="WDR33" s="47"/>
      <c r="WDS33" s="47"/>
      <c r="WDT33" s="47"/>
      <c r="WDU33" s="47"/>
      <c r="WDV33" s="47"/>
      <c r="WDW33" s="47"/>
      <c r="WDX33" s="47"/>
      <c r="WDY33" s="47"/>
      <c r="WDZ33" s="47"/>
      <c r="WEA33" s="47"/>
      <c r="WEB33" s="47"/>
      <c r="WEC33" s="47"/>
      <c r="WED33" s="47"/>
      <c r="WEE33" s="47"/>
      <c r="WEF33" s="47"/>
      <c r="WEG33" s="47"/>
      <c r="WEH33" s="47"/>
      <c r="WEI33" s="47"/>
      <c r="WEJ33" s="47"/>
      <c r="WEK33" s="47"/>
      <c r="WEL33" s="47"/>
      <c r="WEM33" s="47"/>
      <c r="WEN33" s="47"/>
      <c r="WEO33" s="47"/>
      <c r="WEP33" s="47"/>
      <c r="WEQ33" s="47"/>
      <c r="WER33" s="47"/>
      <c r="WES33" s="47"/>
      <c r="WET33" s="47"/>
      <c r="WEU33" s="47"/>
      <c r="WEV33" s="47"/>
      <c r="WEW33" s="47"/>
      <c r="WEX33" s="47"/>
      <c r="WEY33" s="47"/>
      <c r="WEZ33" s="47"/>
      <c r="WFA33" s="47"/>
      <c r="WFB33" s="47"/>
      <c r="WFC33" s="47"/>
      <c r="WFD33" s="47"/>
      <c r="WFE33" s="47"/>
      <c r="WFF33" s="47"/>
      <c r="WFG33" s="47"/>
      <c r="WFH33" s="47"/>
      <c r="WFI33" s="47"/>
      <c r="WFJ33" s="47"/>
      <c r="WFK33" s="47"/>
      <c r="WFL33" s="47"/>
      <c r="WFM33" s="47"/>
      <c r="WFN33" s="47"/>
      <c r="WFO33" s="47"/>
      <c r="WFP33" s="47"/>
      <c r="WFQ33" s="47"/>
      <c r="WFR33" s="47"/>
      <c r="WFS33" s="47"/>
      <c r="WFT33" s="47"/>
      <c r="WFU33" s="47"/>
      <c r="WFV33" s="47"/>
      <c r="WFW33" s="47"/>
      <c r="WFX33" s="47"/>
      <c r="WFY33" s="47"/>
      <c r="WFZ33" s="47"/>
      <c r="WGA33" s="47"/>
      <c r="WGB33" s="47"/>
      <c r="WGC33" s="47"/>
      <c r="WGD33" s="47"/>
      <c r="WGE33" s="47"/>
      <c r="WGF33" s="47"/>
      <c r="WGG33" s="47"/>
      <c r="WGH33" s="47"/>
      <c r="WGI33" s="47"/>
      <c r="WGJ33" s="47"/>
      <c r="WGK33" s="47"/>
      <c r="WGL33" s="47"/>
      <c r="WGM33" s="47"/>
      <c r="WGN33" s="47"/>
      <c r="WGO33" s="47"/>
      <c r="WGP33" s="47"/>
      <c r="WGQ33" s="47"/>
      <c r="WGR33" s="47"/>
      <c r="WGS33" s="47"/>
      <c r="WGT33" s="47"/>
      <c r="WGU33" s="47"/>
      <c r="WGV33" s="47"/>
      <c r="WGW33" s="47"/>
      <c r="WGX33" s="47"/>
      <c r="WGY33" s="47"/>
      <c r="WGZ33" s="47"/>
      <c r="WHA33" s="47"/>
      <c r="WHB33" s="47"/>
      <c r="WHC33" s="47"/>
      <c r="WHD33" s="47"/>
      <c r="WHE33" s="47"/>
      <c r="WHF33" s="47"/>
      <c r="WHG33" s="47"/>
      <c r="WHH33" s="47"/>
      <c r="WHI33" s="47"/>
      <c r="WHJ33" s="47"/>
      <c r="WHK33" s="47"/>
      <c r="WHL33" s="47"/>
      <c r="WHM33" s="47"/>
      <c r="WHN33" s="47"/>
      <c r="WHO33" s="47"/>
      <c r="WHP33" s="47"/>
      <c r="WHQ33" s="47"/>
      <c r="WHR33" s="47"/>
      <c r="WHS33" s="47"/>
      <c r="WHT33" s="47"/>
      <c r="WHU33" s="47"/>
      <c r="WHV33" s="47"/>
      <c r="WHW33" s="47"/>
      <c r="WHX33" s="47"/>
      <c r="WHY33" s="47"/>
      <c r="WHZ33" s="47"/>
      <c r="WIA33" s="47"/>
      <c r="WIB33" s="47"/>
      <c r="WIC33" s="47"/>
      <c r="WID33" s="47"/>
      <c r="WIE33" s="47"/>
      <c r="WIF33" s="47"/>
      <c r="WIG33" s="47"/>
      <c r="WIH33" s="47"/>
      <c r="WII33" s="47"/>
      <c r="WIJ33" s="47"/>
      <c r="WIK33" s="47"/>
      <c r="WIL33" s="47"/>
      <c r="WIM33" s="47"/>
      <c r="WIN33" s="47"/>
      <c r="WIO33" s="47"/>
      <c r="WIP33" s="47"/>
      <c r="WIQ33" s="47"/>
      <c r="WIR33" s="47"/>
      <c r="WIS33" s="47"/>
      <c r="WIT33" s="47"/>
      <c r="WIU33" s="47"/>
      <c r="WIV33" s="47"/>
      <c r="WIW33" s="47"/>
      <c r="WIX33" s="47"/>
      <c r="WIY33" s="47"/>
      <c r="WIZ33" s="47"/>
      <c r="WJA33" s="47"/>
      <c r="WJB33" s="47"/>
      <c r="WJC33" s="47"/>
      <c r="WJD33" s="47"/>
      <c r="WJE33" s="47"/>
      <c r="WJF33" s="47"/>
      <c r="WJG33" s="47"/>
      <c r="WJH33" s="47"/>
      <c r="WJI33" s="47"/>
      <c r="WJJ33" s="47"/>
      <c r="WJK33" s="47"/>
      <c r="WJL33" s="47"/>
      <c r="WJM33" s="47"/>
      <c r="WJN33" s="47"/>
      <c r="WJO33" s="47"/>
      <c r="WJP33" s="47"/>
      <c r="WJQ33" s="47"/>
      <c r="WJR33" s="47"/>
      <c r="WJS33" s="47"/>
      <c r="WJT33" s="47"/>
      <c r="WJU33" s="47"/>
      <c r="WJV33" s="47"/>
      <c r="WJW33" s="47"/>
      <c r="WJX33" s="47"/>
      <c r="WJY33" s="47"/>
      <c r="WJZ33" s="47"/>
      <c r="WKA33" s="47"/>
      <c r="WKB33" s="47"/>
      <c r="WKC33" s="47"/>
      <c r="WKD33" s="47"/>
      <c r="WKE33" s="47"/>
      <c r="WKF33" s="47"/>
      <c r="WKG33" s="47"/>
      <c r="WKH33" s="47"/>
      <c r="WKI33" s="47"/>
      <c r="WKJ33" s="47"/>
      <c r="WKK33" s="47"/>
      <c r="WKL33" s="47"/>
      <c r="WKM33" s="47"/>
      <c r="WKN33" s="47"/>
      <c r="WKO33" s="47"/>
      <c r="WKP33" s="47"/>
      <c r="WKQ33" s="47"/>
      <c r="WKR33" s="47"/>
      <c r="WKS33" s="47"/>
      <c r="WKT33" s="47"/>
      <c r="WKU33" s="47"/>
      <c r="WKV33" s="47"/>
      <c r="WKW33" s="47"/>
      <c r="WKX33" s="47"/>
      <c r="WKY33" s="47"/>
      <c r="WKZ33" s="47"/>
      <c r="WLA33" s="47"/>
      <c r="WLB33" s="47"/>
      <c r="WLC33" s="47"/>
      <c r="WLD33" s="47"/>
      <c r="WLE33" s="47"/>
      <c r="WLF33" s="47"/>
      <c r="WLG33" s="47"/>
      <c r="WLH33" s="47"/>
      <c r="WLI33" s="47"/>
      <c r="WLJ33" s="47"/>
      <c r="WLK33" s="47"/>
      <c r="WLL33" s="47"/>
      <c r="WLM33" s="47"/>
      <c r="WLN33" s="47"/>
      <c r="WLO33" s="47"/>
      <c r="WLP33" s="47"/>
      <c r="WLQ33" s="47"/>
      <c r="WLR33" s="47"/>
      <c r="WLS33" s="47"/>
      <c r="WLT33" s="47"/>
      <c r="WLU33" s="47"/>
      <c r="WLV33" s="47"/>
      <c r="WLW33" s="47"/>
      <c r="WLX33" s="47"/>
      <c r="WLY33" s="47"/>
      <c r="WLZ33" s="47"/>
      <c r="WMA33" s="47"/>
      <c r="WMB33" s="47"/>
      <c r="WMC33" s="47"/>
      <c r="WMD33" s="47"/>
      <c r="WME33" s="47"/>
      <c r="WMF33" s="47"/>
      <c r="WMG33" s="47"/>
      <c r="WMH33" s="47"/>
      <c r="WMI33" s="47"/>
      <c r="WMJ33" s="47"/>
      <c r="WMK33" s="47"/>
      <c r="WML33" s="47"/>
      <c r="WMM33" s="47"/>
      <c r="WMN33" s="47"/>
      <c r="WMO33" s="47"/>
      <c r="WMP33" s="47"/>
      <c r="WMQ33" s="47"/>
      <c r="WMR33" s="47"/>
      <c r="WMS33" s="47"/>
      <c r="WMT33" s="47"/>
      <c r="WMU33" s="47"/>
      <c r="WMV33" s="47"/>
      <c r="WMW33" s="47"/>
      <c r="WMX33" s="47"/>
      <c r="WMY33" s="47"/>
      <c r="WMZ33" s="47"/>
      <c r="WNA33" s="47"/>
      <c r="WNB33" s="47"/>
      <c r="WNC33" s="47"/>
      <c r="WND33" s="47"/>
      <c r="WNE33" s="47"/>
      <c r="WNF33" s="47"/>
      <c r="WNG33" s="47"/>
      <c r="WNH33" s="47"/>
      <c r="WNI33" s="47"/>
      <c r="WNJ33" s="47"/>
      <c r="WNK33" s="47"/>
      <c r="WNL33" s="47"/>
      <c r="WNM33" s="47"/>
      <c r="WNN33" s="47"/>
      <c r="WNO33" s="47"/>
      <c r="WNP33" s="47"/>
      <c r="WNQ33" s="47"/>
      <c r="WNR33" s="47"/>
      <c r="WNS33" s="47"/>
      <c r="WNT33" s="47"/>
      <c r="WNU33" s="47"/>
      <c r="WNV33" s="47"/>
      <c r="WNW33" s="47"/>
      <c r="WNX33" s="47"/>
      <c r="WNY33" s="47"/>
      <c r="WNZ33" s="47"/>
      <c r="WOA33" s="47"/>
      <c r="WOB33" s="47"/>
      <c r="WOC33" s="47"/>
      <c r="WOD33" s="47"/>
      <c r="WOE33" s="47"/>
      <c r="WOF33" s="47"/>
      <c r="WOG33" s="47"/>
      <c r="WOH33" s="47"/>
      <c r="WOI33" s="47"/>
      <c r="WOJ33" s="47"/>
      <c r="WOK33" s="47"/>
      <c r="WOL33" s="47"/>
      <c r="WOM33" s="47"/>
      <c r="WON33" s="47"/>
      <c r="WOO33" s="47"/>
      <c r="WOP33" s="47"/>
      <c r="WOQ33" s="47"/>
      <c r="WOR33" s="47"/>
      <c r="WOS33" s="47"/>
      <c r="WOT33" s="47"/>
      <c r="WOU33" s="47"/>
      <c r="WOV33" s="47"/>
      <c r="WOW33" s="47"/>
      <c r="WOX33" s="47"/>
      <c r="WOY33" s="47"/>
      <c r="WOZ33" s="47"/>
      <c r="WPA33" s="47"/>
      <c r="WPB33" s="47"/>
      <c r="WPC33" s="47"/>
      <c r="WPD33" s="47"/>
      <c r="WPE33" s="47"/>
      <c r="WPF33" s="47"/>
      <c r="WPG33" s="47"/>
      <c r="WPH33" s="47"/>
      <c r="WPI33" s="47"/>
      <c r="WPJ33" s="47"/>
      <c r="WPK33" s="47"/>
      <c r="WPL33" s="47"/>
      <c r="WPM33" s="47"/>
      <c r="WPN33" s="47"/>
      <c r="WPO33" s="47"/>
      <c r="WPP33" s="47"/>
      <c r="WPQ33" s="47"/>
      <c r="WPR33" s="47"/>
      <c r="WPS33" s="47"/>
      <c r="WPT33" s="47"/>
      <c r="WPU33" s="47"/>
      <c r="WPV33" s="47"/>
      <c r="WPW33" s="47"/>
      <c r="WPX33" s="47"/>
      <c r="WPY33" s="47"/>
      <c r="WPZ33" s="47"/>
      <c r="WQA33" s="47"/>
      <c r="WQB33" s="47"/>
      <c r="WQC33" s="47"/>
      <c r="WQD33" s="47"/>
      <c r="WQE33" s="47"/>
      <c r="WQF33" s="47"/>
      <c r="WQG33" s="47"/>
      <c r="WQH33" s="47"/>
      <c r="WQI33" s="47"/>
      <c r="WQJ33" s="47"/>
      <c r="WQK33" s="47"/>
      <c r="WQL33" s="47"/>
      <c r="WQM33" s="47"/>
      <c r="WQN33" s="47"/>
      <c r="WQO33" s="47"/>
      <c r="WQP33" s="47"/>
      <c r="WQQ33" s="47"/>
      <c r="WQR33" s="47"/>
      <c r="WQS33" s="47"/>
      <c r="WQT33" s="47"/>
      <c r="WQU33" s="47"/>
      <c r="WQV33" s="47"/>
      <c r="WQW33" s="47"/>
      <c r="WQX33" s="47"/>
      <c r="WQY33" s="47"/>
      <c r="WQZ33" s="47"/>
      <c r="WRA33" s="47"/>
      <c r="WRB33" s="47"/>
      <c r="WRC33" s="47"/>
      <c r="WRD33" s="47"/>
      <c r="WRE33" s="47"/>
      <c r="WRF33" s="47"/>
      <c r="WRG33" s="47"/>
      <c r="WRH33" s="47"/>
      <c r="WRI33" s="47"/>
      <c r="WRJ33" s="47"/>
      <c r="WRK33" s="47"/>
      <c r="WRL33" s="47"/>
      <c r="WRM33" s="47"/>
      <c r="WRN33" s="47"/>
      <c r="WRO33" s="47"/>
      <c r="WRP33" s="47"/>
      <c r="WRQ33" s="47"/>
      <c r="WRR33" s="47"/>
      <c r="WRS33" s="47"/>
      <c r="WRT33" s="47"/>
      <c r="WRU33" s="47"/>
      <c r="WRV33" s="47"/>
      <c r="WRW33" s="47"/>
      <c r="WRX33" s="47"/>
      <c r="WRY33" s="47"/>
      <c r="WRZ33" s="47"/>
      <c r="WSA33" s="47"/>
      <c r="WSB33" s="47"/>
      <c r="WSC33" s="47"/>
      <c r="WSD33" s="47"/>
      <c r="WSE33" s="47"/>
      <c r="WSF33" s="47"/>
      <c r="WSG33" s="47"/>
      <c r="WSH33" s="47"/>
      <c r="WSI33" s="47"/>
      <c r="WSJ33" s="47"/>
      <c r="WSK33" s="47"/>
      <c r="WSL33" s="47"/>
      <c r="WSM33" s="47"/>
      <c r="WSN33" s="47"/>
      <c r="WSO33" s="47"/>
      <c r="WSP33" s="47"/>
      <c r="WSQ33" s="47"/>
      <c r="WSR33" s="47"/>
      <c r="WSS33" s="47"/>
      <c r="WST33" s="47"/>
      <c r="WSU33" s="47"/>
      <c r="WSV33" s="47"/>
      <c r="WSW33" s="47"/>
      <c r="WSX33" s="47"/>
      <c r="WSY33" s="47"/>
      <c r="WSZ33" s="47"/>
      <c r="WTA33" s="47"/>
      <c r="WTB33" s="47"/>
      <c r="WTC33" s="47"/>
      <c r="WTD33" s="47"/>
      <c r="WTE33" s="47"/>
      <c r="WTF33" s="47"/>
      <c r="WTG33" s="47"/>
      <c r="WTH33" s="47"/>
      <c r="WTI33" s="47"/>
      <c r="WTJ33" s="47"/>
      <c r="WTK33" s="47"/>
      <c r="WTL33" s="47"/>
      <c r="WTM33" s="47"/>
      <c r="WTN33" s="47"/>
      <c r="WTO33" s="47"/>
      <c r="WTP33" s="47"/>
      <c r="WTQ33" s="47"/>
      <c r="WTR33" s="47"/>
      <c r="WTS33" s="47"/>
      <c r="WTT33" s="47"/>
      <c r="WTU33" s="47"/>
      <c r="WTV33" s="47"/>
      <c r="WTW33" s="47"/>
      <c r="WTX33" s="47"/>
      <c r="WTY33" s="47"/>
      <c r="WTZ33" s="47"/>
      <c r="WUA33" s="47"/>
      <c r="WUB33" s="47"/>
      <c r="WUC33" s="47"/>
      <c r="WUD33" s="47"/>
      <c r="WUE33" s="47"/>
      <c r="WUF33" s="47"/>
      <c r="WUG33" s="47"/>
      <c r="WUH33" s="47"/>
      <c r="WUI33" s="47"/>
      <c r="WUJ33" s="47"/>
      <c r="WUK33" s="47"/>
      <c r="WUL33" s="47"/>
      <c r="WUM33" s="47"/>
      <c r="WUN33" s="47"/>
      <c r="WUO33" s="47"/>
      <c r="WUP33" s="47"/>
      <c r="WUQ33" s="47"/>
      <c r="WUR33" s="47"/>
      <c r="WUS33" s="47"/>
      <c r="WUT33" s="47"/>
      <c r="WUU33" s="47"/>
      <c r="WUV33" s="47"/>
      <c r="WUW33" s="47"/>
      <c r="WUX33" s="47"/>
      <c r="WUY33" s="47"/>
      <c r="WUZ33" s="47"/>
      <c r="WVA33" s="47"/>
      <c r="WVB33" s="47"/>
      <c r="WVC33" s="47"/>
      <c r="WVD33" s="47"/>
      <c r="WVE33" s="47"/>
      <c r="WVF33" s="47"/>
      <c r="WVG33" s="47"/>
      <c r="WVH33" s="47"/>
      <c r="WVI33" s="47"/>
      <c r="WVJ33" s="47"/>
      <c r="WVK33" s="47"/>
      <c r="WVL33" s="47"/>
      <c r="WVM33" s="47"/>
      <c r="WVN33" s="47"/>
      <c r="WVO33" s="47"/>
      <c r="WVP33" s="47"/>
      <c r="WVQ33" s="47"/>
      <c r="WVR33" s="47"/>
      <c r="WVS33" s="47"/>
      <c r="WVT33" s="47"/>
      <c r="WVU33" s="47"/>
      <c r="WVV33" s="47"/>
      <c r="WVW33" s="47"/>
      <c r="WVX33" s="47"/>
      <c r="WVY33" s="47"/>
      <c r="WVZ33" s="47"/>
      <c r="WWA33" s="47"/>
      <c r="WWB33" s="47"/>
      <c r="WWC33" s="47"/>
      <c r="WWD33" s="47"/>
      <c r="WWE33" s="47"/>
      <c r="WWF33" s="47"/>
      <c r="WWG33" s="47"/>
      <c r="WWH33" s="47"/>
      <c r="WWI33" s="47"/>
      <c r="WWJ33" s="47"/>
      <c r="WWK33" s="47"/>
      <c r="WWL33" s="47"/>
      <c r="WWM33" s="47"/>
      <c r="WWN33" s="47"/>
      <c r="WWO33" s="47"/>
      <c r="WWP33" s="47"/>
      <c r="WWQ33" s="47"/>
      <c r="WWR33" s="47"/>
      <c r="WWS33" s="47"/>
      <c r="WWT33" s="47"/>
      <c r="WWU33" s="47"/>
      <c r="WWV33" s="47"/>
      <c r="WWW33" s="47"/>
      <c r="WWX33" s="47"/>
      <c r="WWY33" s="47"/>
      <c r="WWZ33" s="47"/>
      <c r="WXA33" s="47"/>
      <c r="WXB33" s="47"/>
      <c r="WXC33" s="47"/>
      <c r="WXD33" s="47"/>
      <c r="WXE33" s="47"/>
      <c r="WXF33" s="47"/>
      <c r="WXG33" s="47"/>
      <c r="WXH33" s="47"/>
      <c r="WXI33" s="47"/>
      <c r="WXJ33" s="47"/>
      <c r="WXK33" s="47"/>
      <c r="WXL33" s="47"/>
      <c r="WXM33" s="47"/>
      <c r="WXN33" s="47"/>
      <c r="WXO33" s="47"/>
      <c r="WXP33" s="47"/>
      <c r="WXQ33" s="47"/>
      <c r="WXR33" s="47"/>
      <c r="WXS33" s="47"/>
      <c r="WXT33" s="47"/>
      <c r="WXU33" s="47"/>
      <c r="WXV33" s="47"/>
      <c r="WXW33" s="47"/>
      <c r="WXX33" s="47"/>
      <c r="WXY33" s="47"/>
      <c r="WXZ33" s="47"/>
      <c r="WYA33" s="47"/>
      <c r="WYB33" s="47"/>
      <c r="WYC33" s="47"/>
      <c r="WYD33" s="47"/>
      <c r="WYE33" s="47"/>
      <c r="WYF33" s="47"/>
      <c r="WYG33" s="47"/>
      <c r="WYH33" s="47"/>
      <c r="WYI33" s="47"/>
      <c r="WYJ33" s="47"/>
      <c r="WYK33" s="47"/>
      <c r="WYL33" s="47"/>
      <c r="WYM33" s="47"/>
      <c r="WYN33" s="47"/>
      <c r="WYO33" s="47"/>
      <c r="WYP33" s="47"/>
      <c r="WYQ33" s="47"/>
      <c r="WYR33" s="47"/>
      <c r="WYS33" s="47"/>
      <c r="WYT33" s="47"/>
      <c r="WYU33" s="47"/>
      <c r="WYV33" s="47"/>
      <c r="WYW33" s="47"/>
      <c r="WYX33" s="47"/>
      <c r="WYY33" s="47"/>
      <c r="WYZ33" s="47"/>
      <c r="WZA33" s="47"/>
      <c r="WZB33" s="47"/>
      <c r="WZC33" s="47"/>
      <c r="WZD33" s="47"/>
      <c r="WZE33" s="47"/>
      <c r="WZF33" s="47"/>
      <c r="WZG33" s="47"/>
      <c r="WZH33" s="47"/>
      <c r="WZI33" s="47"/>
      <c r="WZJ33" s="47"/>
      <c r="WZK33" s="47"/>
      <c r="WZL33" s="47"/>
      <c r="WZM33" s="47"/>
      <c r="WZN33" s="47"/>
      <c r="WZO33" s="47"/>
      <c r="WZP33" s="47"/>
      <c r="WZQ33" s="47"/>
      <c r="WZR33" s="47"/>
      <c r="WZS33" s="47"/>
      <c r="WZT33" s="47"/>
      <c r="WZU33" s="47"/>
      <c r="WZV33" s="47"/>
      <c r="WZW33" s="47"/>
      <c r="WZX33" s="47"/>
      <c r="WZY33" s="47"/>
      <c r="WZZ33" s="47"/>
      <c r="XAA33" s="47"/>
      <c r="XAB33" s="47"/>
      <c r="XAC33" s="47"/>
      <c r="XAD33" s="47"/>
      <c r="XAE33" s="47"/>
      <c r="XAF33" s="47"/>
      <c r="XAG33" s="47"/>
      <c r="XAH33" s="47"/>
      <c r="XAI33" s="47"/>
      <c r="XAJ33" s="47"/>
      <c r="XAK33" s="47"/>
      <c r="XAL33" s="47"/>
      <c r="XAM33" s="47"/>
      <c r="XAN33" s="47"/>
      <c r="XAO33" s="47"/>
      <c r="XAP33" s="47"/>
      <c r="XAQ33" s="47"/>
      <c r="XAR33" s="47"/>
      <c r="XAS33" s="47"/>
      <c r="XAT33" s="47"/>
      <c r="XAU33" s="47"/>
      <c r="XAV33" s="47"/>
      <c r="XAW33" s="47"/>
      <c r="XAX33" s="47"/>
      <c r="XAY33" s="47"/>
      <c r="XAZ33" s="47"/>
      <c r="XBA33" s="47"/>
      <c r="XBB33" s="47"/>
      <c r="XBC33" s="47"/>
      <c r="XBD33" s="47"/>
      <c r="XBE33" s="47"/>
      <c r="XBF33" s="47"/>
      <c r="XBG33" s="47"/>
      <c r="XBH33" s="47"/>
      <c r="XBI33" s="47"/>
      <c r="XBJ33" s="47"/>
      <c r="XBK33" s="47"/>
      <c r="XBL33" s="47"/>
      <c r="XBM33" s="47"/>
      <c r="XBN33" s="47"/>
      <c r="XBO33" s="47"/>
      <c r="XBP33" s="47"/>
      <c r="XBQ33" s="47"/>
      <c r="XBR33" s="47"/>
      <c r="XBS33" s="47"/>
      <c r="XBT33" s="47"/>
      <c r="XBU33" s="47"/>
      <c r="XBV33" s="47"/>
      <c r="XBW33" s="47"/>
      <c r="XBX33" s="47"/>
      <c r="XBY33" s="47"/>
      <c r="XBZ33" s="47"/>
      <c r="XCA33" s="47"/>
      <c r="XCB33" s="47"/>
      <c r="XCC33" s="47"/>
      <c r="XCD33" s="47"/>
      <c r="XCE33" s="47"/>
      <c r="XCF33" s="47"/>
      <c r="XCG33" s="47"/>
      <c r="XCH33" s="47"/>
      <c r="XCI33" s="47"/>
      <c r="XCJ33" s="47"/>
      <c r="XCK33" s="47"/>
      <c r="XCL33" s="47"/>
      <c r="XCM33" s="47"/>
      <c r="XCN33" s="47"/>
      <c r="XCO33" s="47"/>
      <c r="XCP33" s="47"/>
      <c r="XCQ33" s="47"/>
      <c r="XCR33" s="47"/>
      <c r="XCS33" s="47"/>
      <c r="XCT33" s="47"/>
      <c r="XCU33" s="47"/>
      <c r="XCV33" s="47"/>
      <c r="XCW33" s="47"/>
      <c r="XCX33" s="47"/>
      <c r="XCY33" s="47"/>
      <c r="XCZ33" s="47"/>
      <c r="XDA33" s="47"/>
      <c r="XDB33" s="47"/>
      <c r="XDC33" s="47"/>
      <c r="XDD33" s="47"/>
      <c r="XDE33" s="47"/>
      <c r="XDF33" s="47"/>
      <c r="XDG33" s="47"/>
      <c r="XDH33" s="47"/>
      <c r="XDI33" s="47"/>
      <c r="XDJ33" s="47"/>
      <c r="XDK33" s="47"/>
      <c r="XDL33" s="47"/>
      <c r="XDM33" s="47"/>
      <c r="XDN33" s="47"/>
      <c r="XDO33" s="47"/>
      <c r="XDP33" s="47"/>
      <c r="XDQ33" s="47"/>
      <c r="XDR33" s="47"/>
      <c r="XDS33" s="47"/>
      <c r="XDT33" s="47"/>
      <c r="XDU33" s="47"/>
      <c r="XDV33" s="47"/>
      <c r="XDW33" s="47"/>
      <c r="XDX33" s="47"/>
      <c r="XDY33" s="47"/>
      <c r="XDZ33" s="47"/>
      <c r="XEA33" s="47"/>
      <c r="XEB33" s="47"/>
      <c r="XEC33" s="47"/>
      <c r="XED33" s="47"/>
      <c r="XEE33" s="47"/>
      <c r="XEF33" s="47"/>
      <c r="XEG33" s="47"/>
      <c r="XEH33" s="47"/>
      <c r="XEI33" s="47"/>
      <c r="XEJ33" s="47"/>
      <c r="XEK33" s="47"/>
      <c r="XEL33" s="47"/>
      <c r="XEM33" s="47"/>
      <c r="XEN33" s="47"/>
      <c r="XEO33" s="47"/>
      <c r="XEP33" s="47"/>
      <c r="XEQ33" s="47"/>
      <c r="XER33" s="47"/>
      <c r="XES33" s="47"/>
      <c r="XET33" s="47"/>
      <c r="XEU33" s="47"/>
      <c r="XEV33" s="47"/>
      <c r="XEW33" s="47"/>
      <c r="XEX33" s="47"/>
      <c r="XEY33" s="47"/>
      <c r="XEZ33" s="47"/>
      <c r="XFA33" s="47"/>
      <c r="XFB33" s="47"/>
      <c r="XFC33" s="47"/>
    </row>
    <row r="34" spans="1:16383" s="20" customFormat="1" ht="20.149999999999999" hidden="1" customHeight="1">
      <c r="A34" s="52"/>
      <c r="B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c r="IY34" s="47"/>
      <c r="IZ34" s="47"/>
      <c r="JA34" s="47"/>
      <c r="JB34" s="47"/>
      <c r="JC34" s="47"/>
      <c r="JD34" s="47"/>
      <c r="JE34" s="47"/>
      <c r="JF34" s="47"/>
      <c r="JG34" s="47"/>
      <c r="JH34" s="47"/>
      <c r="JI34" s="47"/>
      <c r="JJ34" s="47"/>
      <c r="JK34" s="47"/>
      <c r="JL34" s="47"/>
      <c r="JM34" s="47"/>
      <c r="JN34" s="47"/>
      <c r="JO34" s="47"/>
      <c r="JP34" s="47"/>
      <c r="JQ34" s="47"/>
      <c r="JR34" s="47"/>
      <c r="JS34" s="47"/>
      <c r="JT34" s="47"/>
      <c r="JU34" s="47"/>
      <c r="JV34" s="47"/>
      <c r="JW34" s="47"/>
      <c r="JX34" s="47"/>
      <c r="JY34" s="47"/>
      <c r="JZ34" s="47"/>
      <c r="KA34" s="47"/>
      <c r="KB34" s="47"/>
      <c r="KC34" s="47"/>
      <c r="KD34" s="47"/>
      <c r="KE34" s="47"/>
      <c r="KF34" s="47"/>
      <c r="KG34" s="47"/>
      <c r="KH34" s="47"/>
      <c r="KI34" s="47"/>
      <c r="KJ34" s="47"/>
      <c r="KK34" s="47"/>
      <c r="KL34" s="47"/>
      <c r="KM34" s="47"/>
      <c r="KN34" s="47"/>
      <c r="KO34" s="47"/>
      <c r="KP34" s="47"/>
      <c r="KQ34" s="47"/>
      <c r="KR34" s="47"/>
      <c r="KS34" s="47"/>
      <c r="KT34" s="47"/>
      <c r="KU34" s="47"/>
      <c r="KV34" s="47"/>
      <c r="KW34" s="47"/>
      <c r="KX34" s="47"/>
      <c r="KY34" s="47"/>
      <c r="KZ34" s="47"/>
      <c r="LA34" s="47"/>
      <c r="LB34" s="47"/>
      <c r="LC34" s="47"/>
      <c r="LD34" s="47"/>
      <c r="LE34" s="47"/>
      <c r="LF34" s="47"/>
      <c r="LG34" s="47"/>
      <c r="LH34" s="47"/>
      <c r="LI34" s="47"/>
      <c r="LJ34" s="47"/>
      <c r="LK34" s="47"/>
      <c r="LL34" s="47"/>
      <c r="LM34" s="47"/>
      <c r="LN34" s="47"/>
      <c r="LO34" s="47"/>
      <c r="LP34" s="47"/>
      <c r="LQ34" s="47"/>
      <c r="LR34" s="47"/>
      <c r="LS34" s="47"/>
      <c r="LT34" s="47"/>
      <c r="LU34" s="47"/>
      <c r="LV34" s="47"/>
      <c r="LW34" s="47"/>
      <c r="LX34" s="47"/>
      <c r="LY34" s="47"/>
      <c r="LZ34" s="47"/>
      <c r="MA34" s="47"/>
      <c r="MB34" s="47"/>
      <c r="MC34" s="47"/>
      <c r="MD34" s="47"/>
      <c r="ME34" s="47"/>
      <c r="MF34" s="47"/>
      <c r="MG34" s="47"/>
      <c r="MH34" s="47"/>
      <c r="MI34" s="47"/>
      <c r="MJ34" s="47"/>
      <c r="MK34" s="47"/>
      <c r="ML34" s="47"/>
      <c r="MM34" s="47"/>
      <c r="MN34" s="47"/>
      <c r="MO34" s="47"/>
      <c r="MP34" s="47"/>
      <c r="MQ34" s="47"/>
      <c r="MR34" s="47"/>
      <c r="MS34" s="47"/>
      <c r="MT34" s="47"/>
      <c r="MU34" s="47"/>
      <c r="MV34" s="47"/>
      <c r="MW34" s="47"/>
      <c r="MX34" s="47"/>
      <c r="MY34" s="47"/>
      <c r="MZ34" s="47"/>
      <c r="NA34" s="47"/>
      <c r="NB34" s="47"/>
      <c r="NC34" s="47"/>
      <c r="ND34" s="47"/>
      <c r="NE34" s="47"/>
      <c r="NF34" s="47"/>
      <c r="NG34" s="47"/>
      <c r="NH34" s="47"/>
      <c r="NI34" s="47"/>
      <c r="NJ34" s="47"/>
      <c r="NK34" s="47"/>
      <c r="NL34" s="47"/>
      <c r="NM34" s="47"/>
      <c r="NN34" s="47"/>
      <c r="NO34" s="47"/>
      <c r="NP34" s="47"/>
      <c r="NQ34" s="47"/>
      <c r="NR34" s="47"/>
      <c r="NS34" s="47"/>
      <c r="NT34" s="47"/>
      <c r="NU34" s="47"/>
      <c r="NV34" s="47"/>
      <c r="NW34" s="47"/>
      <c r="NX34" s="47"/>
      <c r="NY34" s="47"/>
      <c r="NZ34" s="47"/>
      <c r="OA34" s="47"/>
      <c r="OB34" s="47"/>
      <c r="OC34" s="47"/>
      <c r="OD34" s="47"/>
      <c r="OE34" s="47"/>
      <c r="OF34" s="47"/>
      <c r="OG34" s="47"/>
      <c r="OH34" s="47"/>
      <c r="OI34" s="47"/>
      <c r="OJ34" s="47"/>
      <c r="OK34" s="47"/>
      <c r="OL34" s="47"/>
      <c r="OM34" s="47"/>
      <c r="ON34" s="47"/>
      <c r="OO34" s="47"/>
      <c r="OP34" s="47"/>
      <c r="OQ34" s="47"/>
      <c r="OR34" s="47"/>
      <c r="OS34" s="47"/>
      <c r="OT34" s="47"/>
      <c r="OU34" s="47"/>
      <c r="OV34" s="47"/>
      <c r="OW34" s="47"/>
      <c r="OX34" s="47"/>
      <c r="OY34" s="47"/>
      <c r="OZ34" s="47"/>
      <c r="PA34" s="47"/>
      <c r="PB34" s="47"/>
      <c r="PC34" s="47"/>
      <c r="PD34" s="47"/>
      <c r="PE34" s="47"/>
      <c r="PF34" s="47"/>
      <c r="PG34" s="47"/>
      <c r="PH34" s="47"/>
      <c r="PI34" s="47"/>
      <c r="PJ34" s="47"/>
      <c r="PK34" s="47"/>
      <c r="PL34" s="47"/>
      <c r="PM34" s="47"/>
      <c r="PN34" s="47"/>
      <c r="PO34" s="47"/>
      <c r="PP34" s="47"/>
      <c r="PQ34" s="47"/>
      <c r="PR34" s="47"/>
      <c r="PS34" s="47"/>
      <c r="PT34" s="47"/>
      <c r="PU34" s="47"/>
      <c r="PV34" s="47"/>
      <c r="PW34" s="47"/>
      <c r="PX34" s="47"/>
      <c r="PY34" s="47"/>
      <c r="PZ34" s="47"/>
      <c r="QA34" s="47"/>
      <c r="QB34" s="47"/>
      <c r="QC34" s="47"/>
      <c r="QD34" s="47"/>
      <c r="QE34" s="47"/>
      <c r="QF34" s="47"/>
      <c r="QG34" s="47"/>
      <c r="QH34" s="47"/>
      <c r="QI34" s="47"/>
      <c r="QJ34" s="47"/>
      <c r="QK34" s="47"/>
      <c r="QL34" s="47"/>
      <c r="QM34" s="47"/>
      <c r="QN34" s="47"/>
      <c r="QO34" s="47"/>
      <c r="QP34" s="47"/>
      <c r="QQ34" s="47"/>
      <c r="QR34" s="47"/>
      <c r="QS34" s="47"/>
      <c r="QT34" s="47"/>
      <c r="QU34" s="47"/>
      <c r="QV34" s="47"/>
      <c r="QW34" s="47"/>
      <c r="QX34" s="47"/>
      <c r="QY34" s="47"/>
      <c r="QZ34" s="47"/>
      <c r="RA34" s="47"/>
      <c r="RB34" s="47"/>
      <c r="RC34" s="47"/>
      <c r="RD34" s="47"/>
      <c r="RE34" s="47"/>
      <c r="RF34" s="47"/>
      <c r="RG34" s="47"/>
      <c r="RH34" s="47"/>
      <c r="RI34" s="47"/>
      <c r="RJ34" s="47"/>
      <c r="RK34" s="47"/>
      <c r="RL34" s="47"/>
      <c r="RM34" s="47"/>
      <c r="RN34" s="47"/>
      <c r="RO34" s="47"/>
      <c r="RP34" s="47"/>
      <c r="RQ34" s="47"/>
      <c r="RR34" s="47"/>
      <c r="RS34" s="47"/>
      <c r="RT34" s="47"/>
      <c r="RU34" s="47"/>
      <c r="RV34" s="47"/>
      <c r="RW34" s="47"/>
      <c r="RX34" s="47"/>
      <c r="RY34" s="47"/>
      <c r="RZ34" s="47"/>
      <c r="SA34" s="47"/>
      <c r="SB34" s="47"/>
      <c r="SC34" s="47"/>
      <c r="SD34" s="47"/>
      <c r="SE34" s="47"/>
      <c r="SF34" s="47"/>
      <c r="SG34" s="47"/>
      <c r="SH34" s="47"/>
      <c r="SI34" s="47"/>
      <c r="SJ34" s="47"/>
      <c r="SK34" s="47"/>
      <c r="SL34" s="47"/>
      <c r="SM34" s="47"/>
      <c r="SN34" s="47"/>
      <c r="SO34" s="47"/>
      <c r="SP34" s="47"/>
      <c r="SQ34" s="47"/>
      <c r="SR34" s="47"/>
      <c r="SS34" s="47"/>
      <c r="ST34" s="47"/>
      <c r="SU34" s="47"/>
      <c r="SV34" s="47"/>
      <c r="SW34" s="47"/>
      <c r="SX34" s="47"/>
      <c r="SY34" s="47"/>
      <c r="SZ34" s="47"/>
      <c r="TA34" s="47"/>
      <c r="TB34" s="47"/>
      <c r="TC34" s="47"/>
      <c r="TD34" s="47"/>
      <c r="TE34" s="47"/>
      <c r="TF34" s="47"/>
      <c r="TG34" s="47"/>
      <c r="TH34" s="47"/>
      <c r="TI34" s="47"/>
      <c r="TJ34" s="47"/>
      <c r="TK34" s="47"/>
      <c r="TL34" s="47"/>
      <c r="TM34" s="47"/>
      <c r="TN34" s="47"/>
      <c r="TO34" s="47"/>
      <c r="TP34" s="47"/>
      <c r="TQ34" s="47"/>
      <c r="TR34" s="47"/>
      <c r="TS34" s="47"/>
      <c r="TT34" s="47"/>
      <c r="TU34" s="47"/>
      <c r="TV34" s="47"/>
      <c r="TW34" s="47"/>
      <c r="TX34" s="47"/>
      <c r="TY34" s="47"/>
      <c r="TZ34" s="47"/>
      <c r="UA34" s="47"/>
      <c r="UB34" s="47"/>
      <c r="UC34" s="47"/>
      <c r="UD34" s="47"/>
      <c r="UE34" s="47"/>
      <c r="UF34" s="47"/>
      <c r="UG34" s="47"/>
      <c r="UH34" s="47"/>
      <c r="UI34" s="47"/>
      <c r="UJ34" s="47"/>
      <c r="UK34" s="47"/>
      <c r="UL34" s="47"/>
      <c r="UM34" s="47"/>
      <c r="UN34" s="47"/>
      <c r="UO34" s="47"/>
      <c r="UP34" s="47"/>
      <c r="UQ34" s="47"/>
      <c r="UR34" s="47"/>
      <c r="US34" s="47"/>
      <c r="UT34" s="47"/>
      <c r="UU34" s="47"/>
      <c r="UV34" s="47"/>
      <c r="UW34" s="47"/>
      <c r="UX34" s="47"/>
      <c r="UY34" s="47"/>
      <c r="UZ34" s="47"/>
      <c r="VA34" s="47"/>
      <c r="VB34" s="47"/>
      <c r="VC34" s="47"/>
      <c r="VD34" s="47"/>
      <c r="VE34" s="47"/>
      <c r="VF34" s="47"/>
      <c r="VG34" s="47"/>
      <c r="VH34" s="47"/>
      <c r="VI34" s="47"/>
      <c r="VJ34" s="47"/>
      <c r="VK34" s="47"/>
      <c r="VL34" s="47"/>
      <c r="VM34" s="47"/>
      <c r="VN34" s="47"/>
      <c r="VO34" s="47"/>
      <c r="VP34" s="47"/>
      <c r="VQ34" s="47"/>
      <c r="VR34" s="47"/>
      <c r="VS34" s="47"/>
      <c r="VT34" s="47"/>
      <c r="VU34" s="47"/>
      <c r="VV34" s="47"/>
      <c r="VW34" s="47"/>
      <c r="VX34" s="47"/>
      <c r="VY34" s="47"/>
      <c r="VZ34" s="47"/>
      <c r="WA34" s="47"/>
      <c r="WB34" s="47"/>
      <c r="WC34" s="47"/>
      <c r="WD34" s="47"/>
      <c r="WE34" s="47"/>
      <c r="WF34" s="47"/>
      <c r="WG34" s="47"/>
      <c r="WH34" s="47"/>
      <c r="WI34" s="47"/>
      <c r="WJ34" s="47"/>
      <c r="WK34" s="47"/>
      <c r="WL34" s="47"/>
      <c r="WM34" s="47"/>
      <c r="WN34" s="47"/>
      <c r="WO34" s="47"/>
      <c r="WP34" s="47"/>
      <c r="WQ34" s="47"/>
      <c r="WR34" s="47"/>
      <c r="WS34" s="47"/>
      <c r="WT34" s="47"/>
      <c r="WU34" s="47"/>
      <c r="WV34" s="47"/>
      <c r="WW34" s="47"/>
      <c r="WX34" s="47"/>
      <c r="WY34" s="47"/>
      <c r="WZ34" s="47"/>
      <c r="XA34" s="47"/>
      <c r="XB34" s="47"/>
      <c r="XC34" s="47"/>
      <c r="XD34" s="47"/>
      <c r="XE34" s="47"/>
      <c r="XF34" s="47"/>
      <c r="XG34" s="47"/>
      <c r="XH34" s="47"/>
      <c r="XI34" s="47"/>
      <c r="XJ34" s="47"/>
      <c r="XK34" s="47"/>
      <c r="XL34" s="47"/>
      <c r="XM34" s="47"/>
      <c r="XN34" s="47"/>
      <c r="XO34" s="47"/>
      <c r="XP34" s="47"/>
      <c r="XQ34" s="47"/>
      <c r="XR34" s="47"/>
      <c r="XS34" s="47"/>
      <c r="XT34" s="47"/>
      <c r="XU34" s="47"/>
      <c r="XV34" s="47"/>
      <c r="XW34" s="47"/>
      <c r="XX34" s="47"/>
      <c r="XY34" s="47"/>
      <c r="XZ34" s="47"/>
      <c r="YA34" s="47"/>
      <c r="YB34" s="47"/>
      <c r="YC34" s="47"/>
      <c r="YD34" s="47"/>
      <c r="YE34" s="47"/>
      <c r="YF34" s="47"/>
      <c r="YG34" s="47"/>
      <c r="YH34" s="47"/>
      <c r="YI34" s="47"/>
      <c r="YJ34" s="47"/>
      <c r="YK34" s="47"/>
      <c r="YL34" s="47"/>
      <c r="YM34" s="47"/>
      <c r="YN34" s="47"/>
      <c r="YO34" s="47"/>
      <c r="YP34" s="47"/>
      <c r="YQ34" s="47"/>
      <c r="YR34" s="47"/>
      <c r="YS34" s="47"/>
      <c r="YT34" s="47"/>
      <c r="YU34" s="47"/>
      <c r="YV34" s="47"/>
      <c r="YW34" s="47"/>
      <c r="YX34" s="47"/>
      <c r="YY34" s="47"/>
      <c r="YZ34" s="47"/>
      <c r="ZA34" s="47"/>
      <c r="ZB34" s="47"/>
      <c r="ZC34" s="47"/>
      <c r="ZD34" s="47"/>
      <c r="ZE34" s="47"/>
      <c r="ZF34" s="47"/>
      <c r="ZG34" s="47"/>
      <c r="ZH34" s="47"/>
      <c r="ZI34" s="47"/>
      <c r="ZJ34" s="47"/>
      <c r="ZK34" s="47"/>
      <c r="ZL34" s="47"/>
      <c r="ZM34" s="47"/>
      <c r="ZN34" s="47"/>
      <c r="ZO34" s="47"/>
      <c r="ZP34" s="47"/>
      <c r="ZQ34" s="47"/>
      <c r="ZR34" s="47"/>
      <c r="ZS34" s="47"/>
      <c r="ZT34" s="47"/>
      <c r="ZU34" s="47"/>
      <c r="ZV34" s="47"/>
      <c r="ZW34" s="47"/>
      <c r="ZX34" s="47"/>
      <c r="ZY34" s="47"/>
      <c r="ZZ34" s="47"/>
      <c r="AAA34" s="47"/>
      <c r="AAB34" s="47"/>
      <c r="AAC34" s="47"/>
      <c r="AAD34" s="47"/>
      <c r="AAE34" s="47"/>
      <c r="AAF34" s="47"/>
      <c r="AAG34" s="47"/>
      <c r="AAH34" s="47"/>
      <c r="AAI34" s="47"/>
      <c r="AAJ34" s="47"/>
      <c r="AAK34" s="47"/>
      <c r="AAL34" s="47"/>
      <c r="AAM34" s="47"/>
      <c r="AAN34" s="47"/>
      <c r="AAO34" s="47"/>
      <c r="AAP34" s="47"/>
      <c r="AAQ34" s="47"/>
      <c r="AAR34" s="47"/>
      <c r="AAS34" s="47"/>
      <c r="AAT34" s="47"/>
      <c r="AAU34" s="47"/>
      <c r="AAV34" s="47"/>
      <c r="AAW34" s="47"/>
      <c r="AAX34" s="47"/>
      <c r="AAY34" s="47"/>
      <c r="AAZ34" s="47"/>
      <c r="ABA34" s="47"/>
      <c r="ABB34" s="47"/>
      <c r="ABC34" s="47"/>
      <c r="ABD34" s="47"/>
      <c r="ABE34" s="47"/>
      <c r="ABF34" s="47"/>
      <c r="ABG34" s="47"/>
      <c r="ABH34" s="47"/>
      <c r="ABI34" s="47"/>
      <c r="ABJ34" s="47"/>
      <c r="ABK34" s="47"/>
      <c r="ABL34" s="47"/>
      <c r="ABM34" s="47"/>
      <c r="ABN34" s="47"/>
      <c r="ABO34" s="47"/>
      <c r="ABP34" s="47"/>
      <c r="ABQ34" s="47"/>
      <c r="ABR34" s="47"/>
      <c r="ABS34" s="47"/>
      <c r="ABT34" s="47"/>
      <c r="ABU34" s="47"/>
      <c r="ABV34" s="47"/>
      <c r="ABW34" s="47"/>
      <c r="ABX34" s="47"/>
      <c r="ABY34" s="47"/>
      <c r="ABZ34" s="47"/>
      <c r="ACA34" s="47"/>
      <c r="ACB34" s="47"/>
      <c r="ACC34" s="47"/>
      <c r="ACD34" s="47"/>
      <c r="ACE34" s="47"/>
      <c r="ACF34" s="47"/>
      <c r="ACG34" s="47"/>
      <c r="ACH34" s="47"/>
      <c r="ACI34" s="47"/>
      <c r="ACJ34" s="47"/>
      <c r="ACK34" s="47"/>
      <c r="ACL34" s="47"/>
      <c r="ACM34" s="47"/>
      <c r="ACN34" s="47"/>
      <c r="ACO34" s="47"/>
      <c r="ACP34" s="47"/>
      <c r="ACQ34" s="47"/>
      <c r="ACR34" s="47"/>
      <c r="ACS34" s="47"/>
      <c r="ACT34" s="47"/>
      <c r="ACU34" s="47"/>
      <c r="ACV34" s="47"/>
      <c r="ACW34" s="47"/>
      <c r="ACX34" s="47"/>
      <c r="ACY34" s="47"/>
      <c r="ACZ34" s="47"/>
      <c r="ADA34" s="47"/>
      <c r="ADB34" s="47"/>
      <c r="ADC34" s="47"/>
      <c r="ADD34" s="47"/>
      <c r="ADE34" s="47"/>
      <c r="ADF34" s="47"/>
      <c r="ADG34" s="47"/>
      <c r="ADH34" s="47"/>
      <c r="ADI34" s="47"/>
      <c r="ADJ34" s="47"/>
      <c r="ADK34" s="47"/>
      <c r="ADL34" s="47"/>
      <c r="ADM34" s="47"/>
      <c r="ADN34" s="47"/>
      <c r="ADO34" s="47"/>
      <c r="ADP34" s="47"/>
      <c r="ADQ34" s="47"/>
      <c r="ADR34" s="47"/>
      <c r="ADS34" s="47"/>
      <c r="ADT34" s="47"/>
      <c r="ADU34" s="47"/>
      <c r="ADV34" s="47"/>
      <c r="ADW34" s="47"/>
      <c r="ADX34" s="47"/>
      <c r="ADY34" s="47"/>
      <c r="ADZ34" s="47"/>
      <c r="AEA34" s="47"/>
      <c r="AEB34" s="47"/>
      <c r="AEC34" s="47"/>
      <c r="AED34" s="47"/>
      <c r="AEE34" s="47"/>
      <c r="AEF34" s="47"/>
      <c r="AEG34" s="47"/>
      <c r="AEH34" s="47"/>
      <c r="AEI34" s="47"/>
      <c r="AEJ34" s="47"/>
      <c r="AEK34" s="47"/>
      <c r="AEL34" s="47"/>
      <c r="AEM34" s="47"/>
      <c r="AEN34" s="47"/>
      <c r="AEO34" s="47"/>
      <c r="AEP34" s="47"/>
      <c r="AEQ34" s="47"/>
      <c r="AER34" s="47"/>
      <c r="AES34" s="47"/>
      <c r="AET34" s="47"/>
      <c r="AEU34" s="47"/>
      <c r="AEV34" s="47"/>
      <c r="AEW34" s="47"/>
      <c r="AEX34" s="47"/>
      <c r="AEY34" s="47"/>
      <c r="AEZ34" s="47"/>
      <c r="AFA34" s="47"/>
      <c r="AFB34" s="47"/>
      <c r="AFC34" s="47"/>
      <c r="AFD34" s="47"/>
      <c r="AFE34" s="47"/>
      <c r="AFF34" s="47"/>
      <c r="AFG34" s="47"/>
      <c r="AFH34" s="47"/>
      <c r="AFI34" s="47"/>
      <c r="AFJ34" s="47"/>
      <c r="AFK34" s="47"/>
      <c r="AFL34" s="47"/>
      <c r="AFM34" s="47"/>
      <c r="AFN34" s="47"/>
      <c r="AFO34" s="47"/>
      <c r="AFP34" s="47"/>
      <c r="AFQ34" s="47"/>
      <c r="AFR34" s="47"/>
      <c r="AFS34" s="47"/>
      <c r="AFT34" s="47"/>
      <c r="AFU34" s="47"/>
      <c r="AFV34" s="47"/>
      <c r="AFW34" s="47"/>
      <c r="AFX34" s="47"/>
      <c r="AFY34" s="47"/>
      <c r="AFZ34" s="47"/>
      <c r="AGA34" s="47"/>
      <c r="AGB34" s="47"/>
      <c r="AGC34" s="47"/>
      <c r="AGD34" s="47"/>
      <c r="AGE34" s="47"/>
      <c r="AGF34" s="47"/>
      <c r="AGG34" s="47"/>
      <c r="AGH34" s="47"/>
      <c r="AGI34" s="47"/>
      <c r="AGJ34" s="47"/>
      <c r="AGK34" s="47"/>
      <c r="AGL34" s="47"/>
      <c r="AGM34" s="47"/>
      <c r="AGN34" s="47"/>
      <c r="AGO34" s="47"/>
      <c r="AGP34" s="47"/>
      <c r="AGQ34" s="47"/>
      <c r="AGR34" s="47"/>
      <c r="AGS34" s="47"/>
      <c r="AGT34" s="47"/>
      <c r="AGU34" s="47"/>
      <c r="AGV34" s="47"/>
      <c r="AGW34" s="47"/>
      <c r="AGX34" s="47"/>
      <c r="AGY34" s="47"/>
      <c r="AGZ34" s="47"/>
      <c r="AHA34" s="47"/>
      <c r="AHB34" s="47"/>
      <c r="AHC34" s="47"/>
      <c r="AHD34" s="47"/>
      <c r="AHE34" s="47"/>
      <c r="AHF34" s="47"/>
      <c r="AHG34" s="47"/>
      <c r="AHH34" s="47"/>
      <c r="AHI34" s="47"/>
      <c r="AHJ34" s="47"/>
      <c r="AHK34" s="47"/>
      <c r="AHL34" s="47"/>
      <c r="AHM34" s="47"/>
      <c r="AHN34" s="47"/>
      <c r="AHO34" s="47"/>
      <c r="AHP34" s="47"/>
      <c r="AHQ34" s="47"/>
      <c r="AHR34" s="47"/>
      <c r="AHS34" s="47"/>
      <c r="AHT34" s="47"/>
      <c r="AHU34" s="47"/>
      <c r="AHV34" s="47"/>
      <c r="AHW34" s="47"/>
      <c r="AHX34" s="47"/>
      <c r="AHY34" s="47"/>
      <c r="AHZ34" s="47"/>
      <c r="AIA34" s="47"/>
      <c r="AIB34" s="47"/>
      <c r="AIC34" s="47"/>
      <c r="AID34" s="47"/>
      <c r="AIE34" s="47"/>
      <c r="AIF34" s="47"/>
      <c r="AIG34" s="47"/>
      <c r="AIH34" s="47"/>
      <c r="AII34" s="47"/>
      <c r="AIJ34" s="47"/>
      <c r="AIK34" s="47"/>
      <c r="AIL34" s="47"/>
      <c r="AIM34" s="47"/>
      <c r="AIN34" s="47"/>
      <c r="AIO34" s="47"/>
      <c r="AIP34" s="47"/>
      <c r="AIQ34" s="47"/>
      <c r="AIR34" s="47"/>
      <c r="AIS34" s="47"/>
      <c r="AIT34" s="47"/>
      <c r="AIU34" s="47"/>
      <c r="AIV34" s="47"/>
      <c r="AIW34" s="47"/>
      <c r="AIX34" s="47"/>
      <c r="AIY34" s="47"/>
      <c r="AIZ34" s="47"/>
      <c r="AJA34" s="47"/>
      <c r="AJB34" s="47"/>
      <c r="AJC34" s="47"/>
      <c r="AJD34" s="47"/>
      <c r="AJE34" s="47"/>
      <c r="AJF34" s="47"/>
      <c r="AJG34" s="47"/>
      <c r="AJH34" s="47"/>
      <c r="AJI34" s="47"/>
      <c r="AJJ34" s="47"/>
      <c r="AJK34" s="47"/>
      <c r="AJL34" s="47"/>
      <c r="AJM34" s="47"/>
      <c r="AJN34" s="47"/>
      <c r="AJO34" s="47"/>
      <c r="AJP34" s="47"/>
      <c r="AJQ34" s="47"/>
      <c r="AJR34" s="47"/>
      <c r="AJS34" s="47"/>
      <c r="AJT34" s="47"/>
      <c r="AJU34" s="47"/>
      <c r="AJV34" s="47"/>
      <c r="AJW34" s="47"/>
      <c r="AJX34" s="47"/>
      <c r="AJY34" s="47"/>
      <c r="AJZ34" s="47"/>
      <c r="AKA34" s="47"/>
      <c r="AKB34" s="47"/>
      <c r="AKC34" s="47"/>
      <c r="AKD34" s="47"/>
      <c r="AKE34" s="47"/>
      <c r="AKF34" s="47"/>
      <c r="AKG34" s="47"/>
      <c r="AKH34" s="47"/>
      <c r="AKI34" s="47"/>
      <c r="AKJ34" s="47"/>
      <c r="AKK34" s="47"/>
      <c r="AKL34" s="47"/>
      <c r="AKM34" s="47"/>
      <c r="AKN34" s="47"/>
      <c r="AKO34" s="47"/>
      <c r="AKP34" s="47"/>
      <c r="AKQ34" s="47"/>
      <c r="AKR34" s="47"/>
      <c r="AKS34" s="47"/>
      <c r="AKT34" s="47"/>
      <c r="AKU34" s="47"/>
      <c r="AKV34" s="47"/>
      <c r="AKW34" s="47"/>
      <c r="AKX34" s="47"/>
      <c r="AKY34" s="47"/>
      <c r="AKZ34" s="47"/>
      <c r="ALA34" s="47"/>
      <c r="ALB34" s="47"/>
      <c r="ALC34" s="47"/>
      <c r="ALD34" s="47"/>
      <c r="ALE34" s="47"/>
      <c r="ALF34" s="47"/>
      <c r="ALG34" s="47"/>
      <c r="ALH34" s="47"/>
      <c r="ALI34" s="47"/>
      <c r="ALJ34" s="47"/>
      <c r="ALK34" s="47"/>
      <c r="ALL34" s="47"/>
      <c r="ALM34" s="47"/>
      <c r="ALN34" s="47"/>
      <c r="ALO34" s="47"/>
      <c r="ALP34" s="47"/>
      <c r="ALQ34" s="47"/>
      <c r="ALR34" s="47"/>
      <c r="ALS34" s="47"/>
      <c r="ALT34" s="47"/>
      <c r="ALU34" s="47"/>
      <c r="ALV34" s="47"/>
      <c r="ALW34" s="47"/>
      <c r="ALX34" s="47"/>
      <c r="ALY34" s="47"/>
      <c r="ALZ34" s="47"/>
      <c r="AMA34" s="47"/>
      <c r="AMB34" s="47"/>
      <c r="AMC34" s="47"/>
      <c r="AMD34" s="47"/>
      <c r="AME34" s="47"/>
      <c r="AMF34" s="47"/>
      <c r="AMG34" s="47"/>
      <c r="AMH34" s="47"/>
      <c r="AMI34" s="47"/>
      <c r="AMJ34" s="47"/>
      <c r="AMK34" s="47"/>
      <c r="AML34" s="47"/>
      <c r="AMM34" s="47"/>
      <c r="AMN34" s="47"/>
      <c r="AMO34" s="47"/>
      <c r="AMP34" s="47"/>
      <c r="AMQ34" s="47"/>
      <c r="AMR34" s="47"/>
      <c r="AMS34" s="47"/>
      <c r="AMT34" s="47"/>
      <c r="AMU34" s="47"/>
      <c r="AMV34" s="47"/>
      <c r="AMW34" s="47"/>
      <c r="AMX34" s="47"/>
      <c r="AMY34" s="47"/>
      <c r="AMZ34" s="47"/>
      <c r="ANA34" s="47"/>
      <c r="ANB34" s="47"/>
      <c r="ANC34" s="47"/>
      <c r="AND34" s="47"/>
      <c r="ANE34" s="47"/>
      <c r="ANF34" s="47"/>
      <c r="ANG34" s="47"/>
      <c r="ANH34" s="47"/>
      <c r="ANI34" s="47"/>
      <c r="ANJ34" s="47"/>
      <c r="ANK34" s="47"/>
      <c r="ANL34" s="47"/>
      <c r="ANM34" s="47"/>
      <c r="ANN34" s="47"/>
      <c r="ANO34" s="47"/>
      <c r="ANP34" s="47"/>
      <c r="ANQ34" s="47"/>
      <c r="ANR34" s="47"/>
      <c r="ANS34" s="47"/>
      <c r="ANT34" s="47"/>
      <c r="ANU34" s="47"/>
      <c r="ANV34" s="47"/>
      <c r="ANW34" s="47"/>
      <c r="ANX34" s="47"/>
      <c r="ANY34" s="47"/>
      <c r="ANZ34" s="47"/>
      <c r="AOA34" s="47"/>
      <c r="AOB34" s="47"/>
      <c r="AOC34" s="47"/>
      <c r="AOD34" s="47"/>
      <c r="AOE34" s="47"/>
      <c r="AOF34" s="47"/>
      <c r="AOG34" s="47"/>
      <c r="AOH34" s="47"/>
      <c r="AOI34" s="47"/>
      <c r="AOJ34" s="47"/>
      <c r="AOK34" s="47"/>
      <c r="AOL34" s="47"/>
      <c r="AOM34" s="47"/>
      <c r="AON34" s="47"/>
      <c r="AOO34" s="47"/>
      <c r="AOP34" s="47"/>
      <c r="AOQ34" s="47"/>
      <c r="AOR34" s="47"/>
      <c r="AOS34" s="47"/>
      <c r="AOT34" s="47"/>
      <c r="AOU34" s="47"/>
      <c r="AOV34" s="47"/>
      <c r="AOW34" s="47"/>
      <c r="AOX34" s="47"/>
      <c r="AOY34" s="47"/>
      <c r="AOZ34" s="47"/>
      <c r="APA34" s="47"/>
      <c r="APB34" s="47"/>
      <c r="APC34" s="47"/>
      <c r="APD34" s="47"/>
      <c r="APE34" s="47"/>
      <c r="APF34" s="47"/>
      <c r="APG34" s="47"/>
      <c r="APH34" s="47"/>
      <c r="API34" s="47"/>
      <c r="APJ34" s="47"/>
      <c r="APK34" s="47"/>
      <c r="APL34" s="47"/>
      <c r="APM34" s="47"/>
      <c r="APN34" s="47"/>
      <c r="APO34" s="47"/>
      <c r="APP34" s="47"/>
      <c r="APQ34" s="47"/>
      <c r="APR34" s="47"/>
      <c r="APS34" s="47"/>
      <c r="APT34" s="47"/>
      <c r="APU34" s="47"/>
      <c r="APV34" s="47"/>
      <c r="APW34" s="47"/>
      <c r="APX34" s="47"/>
      <c r="APY34" s="47"/>
      <c r="APZ34" s="47"/>
      <c r="AQA34" s="47"/>
      <c r="AQB34" s="47"/>
      <c r="AQC34" s="47"/>
      <c r="AQD34" s="47"/>
      <c r="AQE34" s="47"/>
      <c r="AQF34" s="47"/>
      <c r="AQG34" s="47"/>
      <c r="AQH34" s="47"/>
      <c r="AQI34" s="47"/>
      <c r="AQJ34" s="47"/>
      <c r="AQK34" s="47"/>
      <c r="AQL34" s="47"/>
      <c r="AQM34" s="47"/>
      <c r="AQN34" s="47"/>
      <c r="AQO34" s="47"/>
      <c r="AQP34" s="47"/>
      <c r="AQQ34" s="47"/>
      <c r="AQR34" s="47"/>
      <c r="AQS34" s="47"/>
      <c r="AQT34" s="47"/>
      <c r="AQU34" s="47"/>
      <c r="AQV34" s="47"/>
      <c r="AQW34" s="47"/>
      <c r="AQX34" s="47"/>
      <c r="AQY34" s="47"/>
      <c r="AQZ34" s="47"/>
      <c r="ARA34" s="47"/>
      <c r="ARB34" s="47"/>
      <c r="ARC34" s="47"/>
      <c r="ARD34" s="47"/>
      <c r="ARE34" s="47"/>
      <c r="ARF34" s="47"/>
      <c r="ARG34" s="47"/>
      <c r="ARH34" s="47"/>
      <c r="ARI34" s="47"/>
      <c r="ARJ34" s="47"/>
      <c r="ARK34" s="47"/>
      <c r="ARL34" s="47"/>
      <c r="ARM34" s="47"/>
      <c r="ARN34" s="47"/>
      <c r="ARO34" s="47"/>
      <c r="ARP34" s="47"/>
      <c r="ARQ34" s="47"/>
      <c r="ARR34" s="47"/>
      <c r="ARS34" s="47"/>
      <c r="ART34" s="47"/>
      <c r="ARU34" s="47"/>
      <c r="ARV34" s="47"/>
      <c r="ARW34" s="47"/>
      <c r="ARX34" s="47"/>
      <c r="ARY34" s="47"/>
      <c r="ARZ34" s="47"/>
      <c r="ASA34" s="47"/>
      <c r="ASB34" s="47"/>
      <c r="ASC34" s="47"/>
      <c r="ASD34" s="47"/>
      <c r="ASE34" s="47"/>
      <c r="ASF34" s="47"/>
      <c r="ASG34" s="47"/>
      <c r="ASH34" s="47"/>
      <c r="ASI34" s="47"/>
      <c r="ASJ34" s="47"/>
      <c r="ASK34" s="47"/>
      <c r="ASL34" s="47"/>
      <c r="ASM34" s="47"/>
      <c r="ASN34" s="47"/>
      <c r="ASO34" s="47"/>
      <c r="ASP34" s="47"/>
      <c r="ASQ34" s="47"/>
      <c r="ASR34" s="47"/>
      <c r="ASS34" s="47"/>
      <c r="AST34" s="47"/>
      <c r="ASU34" s="47"/>
      <c r="ASV34" s="47"/>
      <c r="ASW34" s="47"/>
      <c r="ASX34" s="47"/>
      <c r="ASY34" s="47"/>
      <c r="ASZ34" s="47"/>
      <c r="ATA34" s="47"/>
      <c r="ATB34" s="47"/>
      <c r="ATC34" s="47"/>
      <c r="ATD34" s="47"/>
      <c r="ATE34" s="47"/>
      <c r="ATF34" s="47"/>
      <c r="ATG34" s="47"/>
      <c r="ATH34" s="47"/>
      <c r="ATI34" s="47"/>
      <c r="ATJ34" s="47"/>
      <c r="ATK34" s="47"/>
      <c r="ATL34" s="47"/>
      <c r="ATM34" s="47"/>
      <c r="ATN34" s="47"/>
      <c r="ATO34" s="47"/>
      <c r="ATP34" s="47"/>
      <c r="ATQ34" s="47"/>
      <c r="ATR34" s="47"/>
      <c r="ATS34" s="47"/>
      <c r="ATT34" s="47"/>
      <c r="ATU34" s="47"/>
      <c r="ATV34" s="47"/>
      <c r="ATW34" s="47"/>
      <c r="ATX34" s="47"/>
      <c r="ATY34" s="47"/>
      <c r="ATZ34" s="47"/>
      <c r="AUA34" s="47"/>
      <c r="AUB34" s="47"/>
      <c r="AUC34" s="47"/>
      <c r="AUD34" s="47"/>
      <c r="AUE34" s="47"/>
      <c r="AUF34" s="47"/>
      <c r="AUG34" s="47"/>
      <c r="AUH34" s="47"/>
      <c r="AUI34" s="47"/>
      <c r="AUJ34" s="47"/>
      <c r="AUK34" s="47"/>
      <c r="AUL34" s="47"/>
      <c r="AUM34" s="47"/>
      <c r="AUN34" s="47"/>
      <c r="AUO34" s="47"/>
      <c r="AUP34" s="47"/>
      <c r="AUQ34" s="47"/>
      <c r="AUR34" s="47"/>
      <c r="AUS34" s="47"/>
      <c r="AUT34" s="47"/>
      <c r="AUU34" s="47"/>
      <c r="AUV34" s="47"/>
      <c r="AUW34" s="47"/>
      <c r="AUX34" s="47"/>
      <c r="AUY34" s="47"/>
      <c r="AUZ34" s="47"/>
      <c r="AVA34" s="47"/>
      <c r="AVB34" s="47"/>
      <c r="AVC34" s="47"/>
      <c r="AVD34" s="47"/>
      <c r="AVE34" s="47"/>
      <c r="AVF34" s="47"/>
      <c r="AVG34" s="47"/>
      <c r="AVH34" s="47"/>
      <c r="AVI34" s="47"/>
      <c r="AVJ34" s="47"/>
      <c r="AVK34" s="47"/>
      <c r="AVL34" s="47"/>
      <c r="AVM34" s="47"/>
      <c r="AVN34" s="47"/>
      <c r="AVO34" s="47"/>
      <c r="AVP34" s="47"/>
      <c r="AVQ34" s="47"/>
      <c r="AVR34" s="47"/>
      <c r="AVS34" s="47"/>
      <c r="AVT34" s="47"/>
      <c r="AVU34" s="47"/>
      <c r="AVV34" s="47"/>
      <c r="AVW34" s="47"/>
      <c r="AVX34" s="47"/>
      <c r="AVY34" s="47"/>
      <c r="AVZ34" s="47"/>
      <c r="AWA34" s="47"/>
      <c r="AWB34" s="47"/>
      <c r="AWC34" s="47"/>
      <c r="AWD34" s="47"/>
      <c r="AWE34" s="47"/>
      <c r="AWF34" s="47"/>
      <c r="AWG34" s="47"/>
      <c r="AWH34" s="47"/>
      <c r="AWI34" s="47"/>
      <c r="AWJ34" s="47"/>
      <c r="AWK34" s="47"/>
      <c r="AWL34" s="47"/>
      <c r="AWM34" s="47"/>
      <c r="AWN34" s="47"/>
      <c r="AWO34" s="47"/>
      <c r="AWP34" s="47"/>
      <c r="AWQ34" s="47"/>
      <c r="AWR34" s="47"/>
      <c r="AWS34" s="47"/>
      <c r="AWT34" s="47"/>
      <c r="AWU34" s="47"/>
      <c r="AWV34" s="47"/>
      <c r="AWW34" s="47"/>
      <c r="AWX34" s="47"/>
      <c r="AWY34" s="47"/>
      <c r="AWZ34" s="47"/>
      <c r="AXA34" s="47"/>
      <c r="AXB34" s="47"/>
      <c r="AXC34" s="47"/>
      <c r="AXD34" s="47"/>
      <c r="AXE34" s="47"/>
      <c r="AXF34" s="47"/>
      <c r="AXG34" s="47"/>
      <c r="AXH34" s="47"/>
      <c r="AXI34" s="47"/>
      <c r="AXJ34" s="47"/>
      <c r="AXK34" s="47"/>
      <c r="AXL34" s="47"/>
      <c r="AXM34" s="47"/>
      <c r="AXN34" s="47"/>
      <c r="AXO34" s="47"/>
      <c r="AXP34" s="47"/>
      <c r="AXQ34" s="47"/>
      <c r="AXR34" s="47"/>
      <c r="AXS34" s="47"/>
      <c r="AXT34" s="47"/>
      <c r="AXU34" s="47"/>
      <c r="AXV34" s="47"/>
      <c r="AXW34" s="47"/>
      <c r="AXX34" s="47"/>
      <c r="AXY34" s="47"/>
      <c r="AXZ34" s="47"/>
      <c r="AYA34" s="47"/>
      <c r="AYB34" s="47"/>
      <c r="AYC34" s="47"/>
      <c r="AYD34" s="47"/>
      <c r="AYE34" s="47"/>
      <c r="AYF34" s="47"/>
      <c r="AYG34" s="47"/>
      <c r="AYH34" s="47"/>
      <c r="AYI34" s="47"/>
      <c r="AYJ34" s="47"/>
      <c r="AYK34" s="47"/>
      <c r="AYL34" s="47"/>
      <c r="AYM34" s="47"/>
      <c r="AYN34" s="47"/>
      <c r="AYO34" s="47"/>
      <c r="AYP34" s="47"/>
      <c r="AYQ34" s="47"/>
      <c r="AYR34" s="47"/>
      <c r="AYS34" s="47"/>
      <c r="AYT34" s="47"/>
      <c r="AYU34" s="47"/>
      <c r="AYV34" s="47"/>
      <c r="AYW34" s="47"/>
      <c r="AYX34" s="47"/>
      <c r="AYY34" s="47"/>
      <c r="AYZ34" s="47"/>
      <c r="AZA34" s="47"/>
      <c r="AZB34" s="47"/>
      <c r="AZC34" s="47"/>
      <c r="AZD34" s="47"/>
      <c r="AZE34" s="47"/>
      <c r="AZF34" s="47"/>
      <c r="AZG34" s="47"/>
      <c r="AZH34" s="47"/>
      <c r="AZI34" s="47"/>
      <c r="AZJ34" s="47"/>
      <c r="AZK34" s="47"/>
      <c r="AZL34" s="47"/>
      <c r="AZM34" s="47"/>
      <c r="AZN34" s="47"/>
      <c r="AZO34" s="47"/>
      <c r="AZP34" s="47"/>
      <c r="AZQ34" s="47"/>
      <c r="AZR34" s="47"/>
      <c r="AZS34" s="47"/>
      <c r="AZT34" s="47"/>
      <c r="AZU34" s="47"/>
      <c r="AZV34" s="47"/>
      <c r="AZW34" s="47"/>
      <c r="AZX34" s="47"/>
      <c r="AZY34" s="47"/>
      <c r="AZZ34" s="47"/>
      <c r="BAA34" s="47"/>
      <c r="BAB34" s="47"/>
      <c r="BAC34" s="47"/>
      <c r="BAD34" s="47"/>
      <c r="BAE34" s="47"/>
      <c r="BAF34" s="47"/>
      <c r="BAG34" s="47"/>
      <c r="BAH34" s="47"/>
      <c r="BAI34" s="47"/>
      <c r="BAJ34" s="47"/>
      <c r="BAK34" s="47"/>
      <c r="BAL34" s="47"/>
      <c r="BAM34" s="47"/>
      <c r="BAN34" s="47"/>
      <c r="BAO34" s="47"/>
      <c r="BAP34" s="47"/>
      <c r="BAQ34" s="47"/>
      <c r="BAR34" s="47"/>
      <c r="BAS34" s="47"/>
      <c r="BAT34" s="47"/>
      <c r="BAU34" s="47"/>
      <c r="BAV34" s="47"/>
      <c r="BAW34" s="47"/>
      <c r="BAX34" s="47"/>
      <c r="BAY34" s="47"/>
      <c r="BAZ34" s="47"/>
      <c r="BBA34" s="47"/>
      <c r="BBB34" s="47"/>
      <c r="BBC34" s="47"/>
      <c r="BBD34" s="47"/>
      <c r="BBE34" s="47"/>
      <c r="BBF34" s="47"/>
      <c r="BBG34" s="47"/>
      <c r="BBH34" s="47"/>
      <c r="BBI34" s="47"/>
      <c r="BBJ34" s="47"/>
      <c r="BBK34" s="47"/>
      <c r="BBL34" s="47"/>
      <c r="BBM34" s="47"/>
      <c r="BBN34" s="47"/>
      <c r="BBO34" s="47"/>
      <c r="BBP34" s="47"/>
      <c r="BBQ34" s="47"/>
      <c r="BBR34" s="47"/>
      <c r="BBS34" s="47"/>
      <c r="BBT34" s="47"/>
      <c r="BBU34" s="47"/>
      <c r="BBV34" s="47"/>
      <c r="BBW34" s="47"/>
      <c r="BBX34" s="47"/>
      <c r="BBY34" s="47"/>
      <c r="BBZ34" s="47"/>
      <c r="BCA34" s="47"/>
      <c r="BCB34" s="47"/>
      <c r="BCC34" s="47"/>
      <c r="BCD34" s="47"/>
      <c r="BCE34" s="47"/>
      <c r="BCF34" s="47"/>
      <c r="BCG34" s="47"/>
      <c r="BCH34" s="47"/>
      <c r="BCI34" s="47"/>
      <c r="BCJ34" s="47"/>
      <c r="BCK34" s="47"/>
      <c r="BCL34" s="47"/>
      <c r="BCM34" s="47"/>
      <c r="BCN34" s="47"/>
      <c r="BCO34" s="47"/>
      <c r="BCP34" s="47"/>
      <c r="BCQ34" s="47"/>
      <c r="BCR34" s="47"/>
      <c r="BCS34" s="47"/>
      <c r="BCT34" s="47"/>
      <c r="BCU34" s="47"/>
      <c r="BCV34" s="47"/>
      <c r="BCW34" s="47"/>
      <c r="BCX34" s="47"/>
      <c r="BCY34" s="47"/>
      <c r="BCZ34" s="47"/>
      <c r="BDA34" s="47"/>
      <c r="BDB34" s="47"/>
      <c r="BDC34" s="47"/>
      <c r="BDD34" s="47"/>
      <c r="BDE34" s="47"/>
      <c r="BDF34" s="47"/>
      <c r="BDG34" s="47"/>
      <c r="BDH34" s="47"/>
      <c r="BDI34" s="47"/>
      <c r="BDJ34" s="47"/>
      <c r="BDK34" s="47"/>
      <c r="BDL34" s="47"/>
      <c r="BDM34" s="47"/>
      <c r="BDN34" s="47"/>
      <c r="BDO34" s="47"/>
      <c r="BDP34" s="47"/>
      <c r="BDQ34" s="47"/>
      <c r="BDR34" s="47"/>
      <c r="BDS34" s="47"/>
      <c r="BDT34" s="47"/>
      <c r="BDU34" s="47"/>
      <c r="BDV34" s="47"/>
      <c r="BDW34" s="47"/>
      <c r="BDX34" s="47"/>
      <c r="BDY34" s="47"/>
      <c r="BDZ34" s="47"/>
      <c r="BEA34" s="47"/>
      <c r="BEB34" s="47"/>
      <c r="BEC34" s="47"/>
      <c r="BED34" s="47"/>
      <c r="BEE34" s="47"/>
      <c r="BEF34" s="47"/>
      <c r="BEG34" s="47"/>
      <c r="BEH34" s="47"/>
      <c r="BEI34" s="47"/>
      <c r="BEJ34" s="47"/>
      <c r="BEK34" s="47"/>
      <c r="BEL34" s="47"/>
      <c r="BEM34" s="47"/>
      <c r="BEN34" s="47"/>
      <c r="BEO34" s="47"/>
      <c r="BEP34" s="47"/>
      <c r="BEQ34" s="47"/>
      <c r="BER34" s="47"/>
      <c r="BES34" s="47"/>
      <c r="BET34" s="47"/>
      <c r="BEU34" s="47"/>
      <c r="BEV34" s="47"/>
      <c r="BEW34" s="47"/>
      <c r="BEX34" s="47"/>
      <c r="BEY34" s="47"/>
      <c r="BEZ34" s="47"/>
      <c r="BFA34" s="47"/>
      <c r="BFB34" s="47"/>
      <c r="BFC34" s="47"/>
      <c r="BFD34" s="47"/>
      <c r="BFE34" s="47"/>
      <c r="BFF34" s="47"/>
      <c r="BFG34" s="47"/>
      <c r="BFH34" s="47"/>
      <c r="BFI34" s="47"/>
      <c r="BFJ34" s="47"/>
      <c r="BFK34" s="47"/>
      <c r="BFL34" s="47"/>
      <c r="BFM34" s="47"/>
      <c r="BFN34" s="47"/>
      <c r="BFO34" s="47"/>
      <c r="BFP34" s="47"/>
      <c r="BFQ34" s="47"/>
      <c r="BFR34" s="47"/>
      <c r="BFS34" s="47"/>
      <c r="BFT34" s="47"/>
      <c r="BFU34" s="47"/>
      <c r="BFV34" s="47"/>
      <c r="BFW34" s="47"/>
      <c r="BFX34" s="47"/>
      <c r="BFY34" s="47"/>
      <c r="BFZ34" s="47"/>
      <c r="BGA34" s="47"/>
      <c r="BGB34" s="47"/>
      <c r="BGC34" s="47"/>
      <c r="BGD34" s="47"/>
      <c r="BGE34" s="47"/>
      <c r="BGF34" s="47"/>
      <c r="BGG34" s="47"/>
      <c r="BGH34" s="47"/>
      <c r="BGI34" s="47"/>
      <c r="BGJ34" s="47"/>
      <c r="BGK34" s="47"/>
      <c r="BGL34" s="47"/>
      <c r="BGM34" s="47"/>
      <c r="BGN34" s="47"/>
      <c r="BGO34" s="47"/>
      <c r="BGP34" s="47"/>
      <c r="BGQ34" s="47"/>
      <c r="BGR34" s="47"/>
      <c r="BGS34" s="47"/>
      <c r="BGT34" s="47"/>
      <c r="BGU34" s="47"/>
      <c r="BGV34" s="47"/>
      <c r="BGW34" s="47"/>
      <c r="BGX34" s="47"/>
      <c r="BGY34" s="47"/>
      <c r="BGZ34" s="47"/>
      <c r="BHA34" s="47"/>
      <c r="BHB34" s="47"/>
      <c r="BHC34" s="47"/>
      <c r="BHD34" s="47"/>
      <c r="BHE34" s="47"/>
      <c r="BHF34" s="47"/>
      <c r="BHG34" s="47"/>
      <c r="BHH34" s="47"/>
      <c r="BHI34" s="47"/>
      <c r="BHJ34" s="47"/>
      <c r="BHK34" s="47"/>
      <c r="BHL34" s="47"/>
      <c r="BHM34" s="47"/>
      <c r="BHN34" s="47"/>
      <c r="BHO34" s="47"/>
      <c r="BHP34" s="47"/>
      <c r="BHQ34" s="47"/>
      <c r="BHR34" s="47"/>
      <c r="BHS34" s="47"/>
      <c r="BHT34" s="47"/>
      <c r="BHU34" s="47"/>
      <c r="BHV34" s="47"/>
      <c r="BHW34" s="47"/>
      <c r="BHX34" s="47"/>
      <c r="BHY34" s="47"/>
      <c r="BHZ34" s="47"/>
      <c r="BIA34" s="47"/>
      <c r="BIB34" s="47"/>
      <c r="BIC34" s="47"/>
      <c r="BID34" s="47"/>
      <c r="BIE34" s="47"/>
      <c r="BIF34" s="47"/>
      <c r="BIG34" s="47"/>
      <c r="BIH34" s="47"/>
      <c r="BII34" s="47"/>
      <c r="BIJ34" s="47"/>
      <c r="BIK34" s="47"/>
      <c r="BIL34" s="47"/>
      <c r="BIM34" s="47"/>
      <c r="BIN34" s="47"/>
      <c r="BIO34" s="47"/>
      <c r="BIP34" s="47"/>
      <c r="BIQ34" s="47"/>
      <c r="BIR34" s="47"/>
      <c r="BIS34" s="47"/>
      <c r="BIT34" s="47"/>
      <c r="BIU34" s="47"/>
      <c r="BIV34" s="47"/>
      <c r="BIW34" s="47"/>
      <c r="BIX34" s="47"/>
      <c r="BIY34" s="47"/>
      <c r="BIZ34" s="47"/>
      <c r="BJA34" s="47"/>
      <c r="BJB34" s="47"/>
      <c r="BJC34" s="47"/>
      <c r="BJD34" s="47"/>
      <c r="BJE34" s="47"/>
      <c r="BJF34" s="47"/>
      <c r="BJG34" s="47"/>
      <c r="BJH34" s="47"/>
      <c r="BJI34" s="47"/>
      <c r="BJJ34" s="47"/>
      <c r="BJK34" s="47"/>
      <c r="BJL34" s="47"/>
      <c r="BJM34" s="47"/>
      <c r="BJN34" s="47"/>
      <c r="BJO34" s="47"/>
      <c r="BJP34" s="47"/>
      <c r="BJQ34" s="47"/>
      <c r="BJR34" s="47"/>
      <c r="BJS34" s="47"/>
      <c r="BJT34" s="47"/>
      <c r="BJU34" s="47"/>
      <c r="BJV34" s="47"/>
      <c r="BJW34" s="47"/>
      <c r="BJX34" s="47"/>
      <c r="BJY34" s="47"/>
      <c r="BJZ34" s="47"/>
      <c r="BKA34" s="47"/>
      <c r="BKB34" s="47"/>
      <c r="BKC34" s="47"/>
      <c r="BKD34" s="47"/>
      <c r="BKE34" s="47"/>
      <c r="BKF34" s="47"/>
      <c r="BKG34" s="47"/>
      <c r="BKH34" s="47"/>
      <c r="BKI34" s="47"/>
      <c r="BKJ34" s="47"/>
      <c r="BKK34" s="47"/>
      <c r="BKL34" s="47"/>
      <c r="BKM34" s="47"/>
      <c r="BKN34" s="47"/>
      <c r="BKO34" s="47"/>
      <c r="BKP34" s="47"/>
      <c r="BKQ34" s="47"/>
      <c r="BKR34" s="47"/>
      <c r="BKS34" s="47"/>
      <c r="BKT34" s="47"/>
      <c r="BKU34" s="47"/>
      <c r="BKV34" s="47"/>
      <c r="BKW34" s="47"/>
      <c r="BKX34" s="47"/>
      <c r="BKY34" s="47"/>
      <c r="BKZ34" s="47"/>
      <c r="BLA34" s="47"/>
      <c r="BLB34" s="47"/>
      <c r="BLC34" s="47"/>
      <c r="BLD34" s="47"/>
      <c r="BLE34" s="47"/>
      <c r="BLF34" s="47"/>
      <c r="BLG34" s="47"/>
      <c r="BLH34" s="47"/>
      <c r="BLI34" s="47"/>
      <c r="BLJ34" s="47"/>
      <c r="BLK34" s="47"/>
      <c r="BLL34" s="47"/>
      <c r="BLM34" s="47"/>
      <c r="BLN34" s="47"/>
      <c r="BLO34" s="47"/>
      <c r="BLP34" s="47"/>
      <c r="BLQ34" s="47"/>
      <c r="BLR34" s="47"/>
      <c r="BLS34" s="47"/>
      <c r="BLT34" s="47"/>
      <c r="BLU34" s="47"/>
      <c r="BLV34" s="47"/>
      <c r="BLW34" s="47"/>
      <c r="BLX34" s="47"/>
      <c r="BLY34" s="47"/>
      <c r="BLZ34" s="47"/>
      <c r="BMA34" s="47"/>
      <c r="BMB34" s="47"/>
      <c r="BMC34" s="47"/>
      <c r="BMD34" s="47"/>
      <c r="BME34" s="47"/>
      <c r="BMF34" s="47"/>
      <c r="BMG34" s="47"/>
      <c r="BMH34" s="47"/>
      <c r="BMI34" s="47"/>
      <c r="BMJ34" s="47"/>
      <c r="BMK34" s="47"/>
      <c r="BML34" s="47"/>
      <c r="BMM34" s="47"/>
      <c r="BMN34" s="47"/>
      <c r="BMO34" s="47"/>
      <c r="BMP34" s="47"/>
      <c r="BMQ34" s="47"/>
      <c r="BMR34" s="47"/>
      <c r="BMS34" s="47"/>
      <c r="BMT34" s="47"/>
      <c r="BMU34" s="47"/>
      <c r="BMV34" s="47"/>
      <c r="BMW34" s="47"/>
      <c r="BMX34" s="47"/>
      <c r="BMY34" s="47"/>
      <c r="BMZ34" s="47"/>
      <c r="BNA34" s="47"/>
      <c r="BNB34" s="47"/>
      <c r="BNC34" s="47"/>
      <c r="BND34" s="47"/>
      <c r="BNE34" s="47"/>
      <c r="BNF34" s="47"/>
      <c r="BNG34" s="47"/>
      <c r="BNH34" s="47"/>
      <c r="BNI34" s="47"/>
      <c r="BNJ34" s="47"/>
      <c r="BNK34" s="47"/>
      <c r="BNL34" s="47"/>
      <c r="BNM34" s="47"/>
      <c r="BNN34" s="47"/>
      <c r="BNO34" s="47"/>
      <c r="BNP34" s="47"/>
      <c r="BNQ34" s="47"/>
      <c r="BNR34" s="47"/>
      <c r="BNS34" s="47"/>
      <c r="BNT34" s="47"/>
      <c r="BNU34" s="47"/>
      <c r="BNV34" s="47"/>
      <c r="BNW34" s="47"/>
      <c r="BNX34" s="47"/>
      <c r="BNY34" s="47"/>
      <c r="BNZ34" s="47"/>
      <c r="BOA34" s="47"/>
      <c r="BOB34" s="47"/>
      <c r="BOC34" s="47"/>
      <c r="BOD34" s="47"/>
      <c r="BOE34" s="47"/>
      <c r="BOF34" s="47"/>
      <c r="BOG34" s="47"/>
      <c r="BOH34" s="47"/>
      <c r="BOI34" s="47"/>
      <c r="BOJ34" s="47"/>
      <c r="BOK34" s="47"/>
      <c r="BOL34" s="47"/>
      <c r="BOM34" s="47"/>
      <c r="BON34" s="47"/>
      <c r="BOO34" s="47"/>
      <c r="BOP34" s="47"/>
      <c r="BOQ34" s="47"/>
      <c r="BOR34" s="47"/>
      <c r="BOS34" s="47"/>
      <c r="BOT34" s="47"/>
      <c r="BOU34" s="47"/>
      <c r="BOV34" s="47"/>
      <c r="BOW34" s="47"/>
      <c r="BOX34" s="47"/>
      <c r="BOY34" s="47"/>
      <c r="BOZ34" s="47"/>
      <c r="BPA34" s="47"/>
      <c r="BPB34" s="47"/>
      <c r="BPC34" s="47"/>
      <c r="BPD34" s="47"/>
      <c r="BPE34" s="47"/>
      <c r="BPF34" s="47"/>
      <c r="BPG34" s="47"/>
      <c r="BPH34" s="47"/>
      <c r="BPI34" s="47"/>
      <c r="BPJ34" s="47"/>
      <c r="BPK34" s="47"/>
      <c r="BPL34" s="47"/>
      <c r="BPM34" s="47"/>
      <c r="BPN34" s="47"/>
      <c r="BPO34" s="47"/>
      <c r="BPP34" s="47"/>
      <c r="BPQ34" s="47"/>
      <c r="BPR34" s="47"/>
      <c r="BPS34" s="47"/>
      <c r="BPT34" s="47"/>
      <c r="BPU34" s="47"/>
      <c r="BPV34" s="47"/>
      <c r="BPW34" s="47"/>
      <c r="BPX34" s="47"/>
      <c r="BPY34" s="47"/>
      <c r="BPZ34" s="47"/>
      <c r="BQA34" s="47"/>
      <c r="BQB34" s="47"/>
      <c r="BQC34" s="47"/>
      <c r="BQD34" s="47"/>
      <c r="BQE34" s="47"/>
      <c r="BQF34" s="47"/>
      <c r="BQG34" s="47"/>
      <c r="BQH34" s="47"/>
      <c r="BQI34" s="47"/>
      <c r="BQJ34" s="47"/>
      <c r="BQK34" s="47"/>
      <c r="BQL34" s="47"/>
      <c r="BQM34" s="47"/>
      <c r="BQN34" s="47"/>
      <c r="BQO34" s="47"/>
      <c r="BQP34" s="47"/>
      <c r="BQQ34" s="47"/>
      <c r="BQR34" s="47"/>
      <c r="BQS34" s="47"/>
      <c r="BQT34" s="47"/>
      <c r="BQU34" s="47"/>
      <c r="BQV34" s="47"/>
      <c r="BQW34" s="47"/>
      <c r="BQX34" s="47"/>
      <c r="BQY34" s="47"/>
      <c r="BQZ34" s="47"/>
      <c r="BRA34" s="47"/>
      <c r="BRB34" s="47"/>
      <c r="BRC34" s="47"/>
      <c r="BRD34" s="47"/>
      <c r="BRE34" s="47"/>
      <c r="BRF34" s="47"/>
      <c r="BRG34" s="47"/>
      <c r="BRH34" s="47"/>
      <c r="BRI34" s="47"/>
      <c r="BRJ34" s="47"/>
      <c r="BRK34" s="47"/>
      <c r="BRL34" s="47"/>
      <c r="BRM34" s="47"/>
      <c r="BRN34" s="47"/>
      <c r="BRO34" s="47"/>
      <c r="BRP34" s="47"/>
      <c r="BRQ34" s="47"/>
      <c r="BRR34" s="47"/>
      <c r="BRS34" s="47"/>
      <c r="BRT34" s="47"/>
      <c r="BRU34" s="47"/>
      <c r="BRV34" s="47"/>
      <c r="BRW34" s="47"/>
      <c r="BRX34" s="47"/>
      <c r="BRY34" s="47"/>
      <c r="BRZ34" s="47"/>
      <c r="BSA34" s="47"/>
      <c r="BSB34" s="47"/>
      <c r="BSC34" s="47"/>
      <c r="BSD34" s="47"/>
      <c r="BSE34" s="47"/>
      <c r="BSF34" s="47"/>
      <c r="BSG34" s="47"/>
      <c r="BSH34" s="47"/>
      <c r="BSI34" s="47"/>
      <c r="BSJ34" s="47"/>
      <c r="BSK34" s="47"/>
      <c r="BSL34" s="47"/>
      <c r="BSM34" s="47"/>
      <c r="BSN34" s="47"/>
      <c r="BSO34" s="47"/>
      <c r="BSP34" s="47"/>
      <c r="BSQ34" s="47"/>
      <c r="BSR34" s="47"/>
      <c r="BSS34" s="47"/>
      <c r="BST34" s="47"/>
      <c r="BSU34" s="47"/>
      <c r="BSV34" s="47"/>
      <c r="BSW34" s="47"/>
      <c r="BSX34" s="47"/>
      <c r="BSY34" s="47"/>
      <c r="BSZ34" s="47"/>
      <c r="BTA34" s="47"/>
      <c r="BTB34" s="47"/>
      <c r="BTC34" s="47"/>
      <c r="BTD34" s="47"/>
      <c r="BTE34" s="47"/>
      <c r="BTF34" s="47"/>
      <c r="BTG34" s="47"/>
      <c r="BTH34" s="47"/>
      <c r="BTI34" s="47"/>
      <c r="BTJ34" s="47"/>
      <c r="BTK34" s="47"/>
      <c r="BTL34" s="47"/>
      <c r="BTM34" s="47"/>
      <c r="BTN34" s="47"/>
      <c r="BTO34" s="47"/>
      <c r="BTP34" s="47"/>
      <c r="BTQ34" s="47"/>
      <c r="BTR34" s="47"/>
      <c r="BTS34" s="47"/>
      <c r="BTT34" s="47"/>
      <c r="BTU34" s="47"/>
      <c r="BTV34" s="47"/>
      <c r="BTW34" s="47"/>
      <c r="BTX34" s="47"/>
      <c r="BTY34" s="47"/>
      <c r="BTZ34" s="47"/>
      <c r="BUA34" s="47"/>
      <c r="BUB34" s="47"/>
      <c r="BUC34" s="47"/>
      <c r="BUD34" s="47"/>
      <c r="BUE34" s="47"/>
      <c r="BUF34" s="47"/>
      <c r="BUG34" s="47"/>
      <c r="BUH34" s="47"/>
      <c r="BUI34" s="47"/>
      <c r="BUJ34" s="47"/>
      <c r="BUK34" s="47"/>
      <c r="BUL34" s="47"/>
      <c r="BUM34" s="47"/>
      <c r="BUN34" s="47"/>
      <c r="BUO34" s="47"/>
      <c r="BUP34" s="47"/>
      <c r="BUQ34" s="47"/>
      <c r="BUR34" s="47"/>
      <c r="BUS34" s="47"/>
      <c r="BUT34" s="47"/>
      <c r="BUU34" s="47"/>
      <c r="BUV34" s="47"/>
      <c r="BUW34" s="47"/>
      <c r="BUX34" s="47"/>
      <c r="BUY34" s="47"/>
      <c r="BUZ34" s="47"/>
      <c r="BVA34" s="47"/>
      <c r="BVB34" s="47"/>
      <c r="BVC34" s="47"/>
      <c r="BVD34" s="47"/>
      <c r="BVE34" s="47"/>
      <c r="BVF34" s="47"/>
      <c r="BVG34" s="47"/>
      <c r="BVH34" s="47"/>
      <c r="BVI34" s="47"/>
      <c r="BVJ34" s="47"/>
      <c r="BVK34" s="47"/>
      <c r="BVL34" s="47"/>
      <c r="BVM34" s="47"/>
      <c r="BVN34" s="47"/>
      <c r="BVO34" s="47"/>
      <c r="BVP34" s="47"/>
      <c r="BVQ34" s="47"/>
      <c r="BVR34" s="47"/>
      <c r="BVS34" s="47"/>
      <c r="BVT34" s="47"/>
      <c r="BVU34" s="47"/>
      <c r="BVV34" s="47"/>
      <c r="BVW34" s="47"/>
      <c r="BVX34" s="47"/>
      <c r="BVY34" s="47"/>
      <c r="BVZ34" s="47"/>
      <c r="BWA34" s="47"/>
      <c r="BWB34" s="47"/>
      <c r="BWC34" s="47"/>
      <c r="BWD34" s="47"/>
      <c r="BWE34" s="47"/>
      <c r="BWF34" s="47"/>
      <c r="BWG34" s="47"/>
      <c r="BWH34" s="47"/>
      <c r="BWI34" s="47"/>
      <c r="BWJ34" s="47"/>
      <c r="BWK34" s="47"/>
      <c r="BWL34" s="47"/>
      <c r="BWM34" s="47"/>
      <c r="BWN34" s="47"/>
      <c r="BWO34" s="47"/>
      <c r="BWP34" s="47"/>
      <c r="BWQ34" s="47"/>
      <c r="BWR34" s="47"/>
      <c r="BWS34" s="47"/>
      <c r="BWT34" s="47"/>
      <c r="BWU34" s="47"/>
      <c r="BWV34" s="47"/>
      <c r="BWW34" s="47"/>
      <c r="BWX34" s="47"/>
      <c r="BWY34" s="47"/>
      <c r="BWZ34" s="47"/>
      <c r="BXA34" s="47"/>
      <c r="BXB34" s="47"/>
      <c r="BXC34" s="47"/>
      <c r="BXD34" s="47"/>
      <c r="BXE34" s="47"/>
      <c r="BXF34" s="47"/>
      <c r="BXG34" s="47"/>
      <c r="BXH34" s="47"/>
      <c r="BXI34" s="47"/>
      <c r="BXJ34" s="47"/>
      <c r="BXK34" s="47"/>
      <c r="BXL34" s="47"/>
      <c r="BXM34" s="47"/>
      <c r="BXN34" s="47"/>
      <c r="BXO34" s="47"/>
      <c r="BXP34" s="47"/>
      <c r="BXQ34" s="47"/>
      <c r="BXR34" s="47"/>
      <c r="BXS34" s="47"/>
      <c r="BXT34" s="47"/>
      <c r="BXU34" s="47"/>
      <c r="BXV34" s="47"/>
      <c r="BXW34" s="47"/>
      <c r="BXX34" s="47"/>
      <c r="BXY34" s="47"/>
      <c r="BXZ34" s="47"/>
      <c r="BYA34" s="47"/>
      <c r="BYB34" s="47"/>
      <c r="BYC34" s="47"/>
      <c r="BYD34" s="47"/>
      <c r="BYE34" s="47"/>
      <c r="BYF34" s="47"/>
      <c r="BYG34" s="47"/>
      <c r="BYH34" s="47"/>
      <c r="BYI34" s="47"/>
      <c r="BYJ34" s="47"/>
      <c r="BYK34" s="47"/>
      <c r="BYL34" s="47"/>
      <c r="BYM34" s="47"/>
      <c r="BYN34" s="47"/>
      <c r="BYO34" s="47"/>
      <c r="BYP34" s="47"/>
      <c r="BYQ34" s="47"/>
      <c r="BYR34" s="47"/>
      <c r="BYS34" s="47"/>
      <c r="BYT34" s="47"/>
      <c r="BYU34" s="47"/>
      <c r="BYV34" s="47"/>
      <c r="BYW34" s="47"/>
      <c r="BYX34" s="47"/>
      <c r="BYY34" s="47"/>
      <c r="BYZ34" s="47"/>
      <c r="BZA34" s="47"/>
      <c r="BZB34" s="47"/>
      <c r="BZC34" s="47"/>
      <c r="BZD34" s="47"/>
      <c r="BZE34" s="47"/>
      <c r="BZF34" s="47"/>
      <c r="BZG34" s="47"/>
      <c r="BZH34" s="47"/>
      <c r="BZI34" s="47"/>
      <c r="BZJ34" s="47"/>
      <c r="BZK34" s="47"/>
      <c r="BZL34" s="47"/>
      <c r="BZM34" s="47"/>
      <c r="BZN34" s="47"/>
      <c r="BZO34" s="47"/>
      <c r="BZP34" s="47"/>
      <c r="BZQ34" s="47"/>
      <c r="BZR34" s="47"/>
      <c r="BZS34" s="47"/>
      <c r="BZT34" s="47"/>
      <c r="BZU34" s="47"/>
      <c r="BZV34" s="47"/>
      <c r="BZW34" s="47"/>
      <c r="BZX34" s="47"/>
      <c r="BZY34" s="47"/>
      <c r="BZZ34" s="47"/>
      <c r="CAA34" s="47"/>
      <c r="CAB34" s="47"/>
      <c r="CAC34" s="47"/>
      <c r="CAD34" s="47"/>
      <c r="CAE34" s="47"/>
      <c r="CAF34" s="47"/>
      <c r="CAG34" s="47"/>
      <c r="CAH34" s="47"/>
      <c r="CAI34" s="47"/>
      <c r="CAJ34" s="47"/>
      <c r="CAK34" s="47"/>
      <c r="CAL34" s="47"/>
      <c r="CAM34" s="47"/>
      <c r="CAN34" s="47"/>
      <c r="CAO34" s="47"/>
      <c r="CAP34" s="47"/>
      <c r="CAQ34" s="47"/>
      <c r="CAR34" s="47"/>
      <c r="CAS34" s="47"/>
      <c r="CAT34" s="47"/>
      <c r="CAU34" s="47"/>
      <c r="CAV34" s="47"/>
      <c r="CAW34" s="47"/>
      <c r="CAX34" s="47"/>
      <c r="CAY34" s="47"/>
      <c r="CAZ34" s="47"/>
      <c r="CBA34" s="47"/>
      <c r="CBB34" s="47"/>
      <c r="CBC34" s="47"/>
      <c r="CBD34" s="47"/>
      <c r="CBE34" s="47"/>
      <c r="CBF34" s="47"/>
      <c r="CBG34" s="47"/>
      <c r="CBH34" s="47"/>
      <c r="CBI34" s="47"/>
      <c r="CBJ34" s="47"/>
      <c r="CBK34" s="47"/>
      <c r="CBL34" s="47"/>
      <c r="CBM34" s="47"/>
      <c r="CBN34" s="47"/>
      <c r="CBO34" s="47"/>
      <c r="CBP34" s="47"/>
      <c r="CBQ34" s="47"/>
      <c r="CBR34" s="47"/>
      <c r="CBS34" s="47"/>
      <c r="CBT34" s="47"/>
      <c r="CBU34" s="47"/>
      <c r="CBV34" s="47"/>
      <c r="CBW34" s="47"/>
      <c r="CBX34" s="47"/>
      <c r="CBY34" s="47"/>
      <c r="CBZ34" s="47"/>
      <c r="CCA34" s="47"/>
      <c r="CCB34" s="47"/>
      <c r="CCC34" s="47"/>
      <c r="CCD34" s="47"/>
      <c r="CCE34" s="47"/>
      <c r="CCF34" s="47"/>
      <c r="CCG34" s="47"/>
      <c r="CCH34" s="47"/>
      <c r="CCI34" s="47"/>
      <c r="CCJ34" s="47"/>
      <c r="CCK34" s="47"/>
      <c r="CCL34" s="47"/>
      <c r="CCM34" s="47"/>
      <c r="CCN34" s="47"/>
      <c r="CCO34" s="47"/>
      <c r="CCP34" s="47"/>
      <c r="CCQ34" s="47"/>
      <c r="CCR34" s="47"/>
      <c r="CCS34" s="47"/>
      <c r="CCT34" s="47"/>
      <c r="CCU34" s="47"/>
      <c r="CCV34" s="47"/>
      <c r="CCW34" s="47"/>
      <c r="CCX34" s="47"/>
      <c r="CCY34" s="47"/>
      <c r="CCZ34" s="47"/>
      <c r="CDA34" s="47"/>
      <c r="CDB34" s="47"/>
      <c r="CDC34" s="47"/>
      <c r="CDD34" s="47"/>
      <c r="CDE34" s="47"/>
      <c r="CDF34" s="47"/>
      <c r="CDG34" s="47"/>
      <c r="CDH34" s="47"/>
      <c r="CDI34" s="47"/>
      <c r="CDJ34" s="47"/>
      <c r="CDK34" s="47"/>
      <c r="CDL34" s="47"/>
      <c r="CDM34" s="47"/>
      <c r="CDN34" s="47"/>
      <c r="CDO34" s="47"/>
      <c r="CDP34" s="47"/>
      <c r="CDQ34" s="47"/>
      <c r="CDR34" s="47"/>
      <c r="CDS34" s="47"/>
      <c r="CDT34" s="47"/>
      <c r="CDU34" s="47"/>
      <c r="CDV34" s="47"/>
      <c r="CDW34" s="47"/>
      <c r="CDX34" s="47"/>
      <c r="CDY34" s="47"/>
      <c r="CDZ34" s="47"/>
      <c r="CEA34" s="47"/>
      <c r="CEB34" s="47"/>
      <c r="CEC34" s="47"/>
      <c r="CED34" s="47"/>
      <c r="CEE34" s="47"/>
      <c r="CEF34" s="47"/>
      <c r="CEG34" s="47"/>
      <c r="CEH34" s="47"/>
      <c r="CEI34" s="47"/>
      <c r="CEJ34" s="47"/>
      <c r="CEK34" s="47"/>
      <c r="CEL34" s="47"/>
      <c r="CEM34" s="47"/>
      <c r="CEN34" s="47"/>
      <c r="CEO34" s="47"/>
      <c r="CEP34" s="47"/>
      <c r="CEQ34" s="47"/>
      <c r="CER34" s="47"/>
      <c r="CES34" s="47"/>
      <c r="CET34" s="47"/>
      <c r="CEU34" s="47"/>
      <c r="CEV34" s="47"/>
      <c r="CEW34" s="47"/>
      <c r="CEX34" s="47"/>
      <c r="CEY34" s="47"/>
      <c r="CEZ34" s="47"/>
      <c r="CFA34" s="47"/>
      <c r="CFB34" s="47"/>
      <c r="CFC34" s="47"/>
      <c r="CFD34" s="47"/>
      <c r="CFE34" s="47"/>
      <c r="CFF34" s="47"/>
      <c r="CFG34" s="47"/>
      <c r="CFH34" s="47"/>
      <c r="CFI34" s="47"/>
      <c r="CFJ34" s="47"/>
      <c r="CFK34" s="47"/>
      <c r="CFL34" s="47"/>
      <c r="CFM34" s="47"/>
      <c r="CFN34" s="47"/>
      <c r="CFO34" s="47"/>
      <c r="CFP34" s="47"/>
      <c r="CFQ34" s="47"/>
      <c r="CFR34" s="47"/>
      <c r="CFS34" s="47"/>
      <c r="CFT34" s="47"/>
      <c r="CFU34" s="47"/>
      <c r="CFV34" s="47"/>
      <c r="CFW34" s="47"/>
      <c r="CFX34" s="47"/>
      <c r="CFY34" s="47"/>
      <c r="CFZ34" s="47"/>
      <c r="CGA34" s="47"/>
      <c r="CGB34" s="47"/>
      <c r="CGC34" s="47"/>
      <c r="CGD34" s="47"/>
      <c r="CGE34" s="47"/>
      <c r="CGF34" s="47"/>
      <c r="CGG34" s="47"/>
      <c r="CGH34" s="47"/>
      <c r="CGI34" s="47"/>
      <c r="CGJ34" s="47"/>
      <c r="CGK34" s="47"/>
      <c r="CGL34" s="47"/>
      <c r="CGM34" s="47"/>
      <c r="CGN34" s="47"/>
      <c r="CGO34" s="47"/>
      <c r="CGP34" s="47"/>
      <c r="CGQ34" s="47"/>
      <c r="CGR34" s="47"/>
      <c r="CGS34" s="47"/>
      <c r="CGT34" s="47"/>
      <c r="CGU34" s="47"/>
      <c r="CGV34" s="47"/>
      <c r="CGW34" s="47"/>
      <c r="CGX34" s="47"/>
      <c r="CGY34" s="47"/>
      <c r="CGZ34" s="47"/>
      <c r="CHA34" s="47"/>
      <c r="CHB34" s="47"/>
      <c r="CHC34" s="47"/>
      <c r="CHD34" s="47"/>
      <c r="CHE34" s="47"/>
      <c r="CHF34" s="47"/>
      <c r="CHG34" s="47"/>
      <c r="CHH34" s="47"/>
      <c r="CHI34" s="47"/>
      <c r="CHJ34" s="47"/>
      <c r="CHK34" s="47"/>
      <c r="CHL34" s="47"/>
      <c r="CHM34" s="47"/>
      <c r="CHN34" s="47"/>
      <c r="CHO34" s="47"/>
      <c r="CHP34" s="47"/>
      <c r="CHQ34" s="47"/>
      <c r="CHR34" s="47"/>
      <c r="CHS34" s="47"/>
      <c r="CHT34" s="47"/>
      <c r="CHU34" s="47"/>
      <c r="CHV34" s="47"/>
      <c r="CHW34" s="47"/>
      <c r="CHX34" s="47"/>
      <c r="CHY34" s="47"/>
      <c r="CHZ34" s="47"/>
      <c r="CIA34" s="47"/>
      <c r="CIB34" s="47"/>
      <c r="CIC34" s="47"/>
      <c r="CID34" s="47"/>
      <c r="CIE34" s="47"/>
      <c r="CIF34" s="47"/>
      <c r="CIG34" s="47"/>
      <c r="CIH34" s="47"/>
      <c r="CII34" s="47"/>
      <c r="CIJ34" s="47"/>
      <c r="CIK34" s="47"/>
      <c r="CIL34" s="47"/>
      <c r="CIM34" s="47"/>
      <c r="CIN34" s="47"/>
      <c r="CIO34" s="47"/>
      <c r="CIP34" s="47"/>
      <c r="CIQ34" s="47"/>
      <c r="CIR34" s="47"/>
      <c r="CIS34" s="47"/>
      <c r="CIT34" s="47"/>
      <c r="CIU34" s="47"/>
      <c r="CIV34" s="47"/>
      <c r="CIW34" s="47"/>
      <c r="CIX34" s="47"/>
      <c r="CIY34" s="47"/>
      <c r="CIZ34" s="47"/>
      <c r="CJA34" s="47"/>
      <c r="CJB34" s="47"/>
      <c r="CJC34" s="47"/>
      <c r="CJD34" s="47"/>
      <c r="CJE34" s="47"/>
      <c r="CJF34" s="47"/>
      <c r="CJG34" s="47"/>
      <c r="CJH34" s="47"/>
      <c r="CJI34" s="47"/>
      <c r="CJJ34" s="47"/>
      <c r="CJK34" s="47"/>
      <c r="CJL34" s="47"/>
      <c r="CJM34" s="47"/>
      <c r="CJN34" s="47"/>
      <c r="CJO34" s="47"/>
      <c r="CJP34" s="47"/>
      <c r="CJQ34" s="47"/>
      <c r="CJR34" s="47"/>
      <c r="CJS34" s="47"/>
      <c r="CJT34" s="47"/>
      <c r="CJU34" s="47"/>
      <c r="CJV34" s="47"/>
      <c r="CJW34" s="47"/>
      <c r="CJX34" s="47"/>
      <c r="CJY34" s="47"/>
      <c r="CJZ34" s="47"/>
      <c r="CKA34" s="47"/>
      <c r="CKB34" s="47"/>
      <c r="CKC34" s="47"/>
      <c r="CKD34" s="47"/>
      <c r="CKE34" s="47"/>
      <c r="CKF34" s="47"/>
      <c r="CKG34" s="47"/>
      <c r="CKH34" s="47"/>
      <c r="CKI34" s="47"/>
      <c r="CKJ34" s="47"/>
      <c r="CKK34" s="47"/>
      <c r="CKL34" s="47"/>
      <c r="CKM34" s="47"/>
      <c r="CKN34" s="47"/>
      <c r="CKO34" s="47"/>
      <c r="CKP34" s="47"/>
      <c r="CKQ34" s="47"/>
      <c r="CKR34" s="47"/>
      <c r="CKS34" s="47"/>
      <c r="CKT34" s="47"/>
      <c r="CKU34" s="47"/>
      <c r="CKV34" s="47"/>
      <c r="CKW34" s="47"/>
      <c r="CKX34" s="47"/>
      <c r="CKY34" s="47"/>
      <c r="CKZ34" s="47"/>
      <c r="CLA34" s="47"/>
      <c r="CLB34" s="47"/>
      <c r="CLC34" s="47"/>
      <c r="CLD34" s="47"/>
      <c r="CLE34" s="47"/>
      <c r="CLF34" s="47"/>
      <c r="CLG34" s="47"/>
      <c r="CLH34" s="47"/>
      <c r="CLI34" s="47"/>
      <c r="CLJ34" s="47"/>
      <c r="CLK34" s="47"/>
      <c r="CLL34" s="47"/>
      <c r="CLM34" s="47"/>
      <c r="CLN34" s="47"/>
      <c r="CLO34" s="47"/>
      <c r="CLP34" s="47"/>
      <c r="CLQ34" s="47"/>
      <c r="CLR34" s="47"/>
      <c r="CLS34" s="47"/>
      <c r="CLT34" s="47"/>
      <c r="CLU34" s="47"/>
      <c r="CLV34" s="47"/>
      <c r="CLW34" s="47"/>
      <c r="CLX34" s="47"/>
      <c r="CLY34" s="47"/>
      <c r="CLZ34" s="47"/>
      <c r="CMA34" s="47"/>
      <c r="CMB34" s="47"/>
      <c r="CMC34" s="47"/>
      <c r="CMD34" s="47"/>
      <c r="CME34" s="47"/>
      <c r="CMF34" s="47"/>
      <c r="CMG34" s="47"/>
      <c r="CMH34" s="47"/>
      <c r="CMI34" s="47"/>
      <c r="CMJ34" s="47"/>
      <c r="CMK34" s="47"/>
      <c r="CML34" s="47"/>
      <c r="CMM34" s="47"/>
      <c r="CMN34" s="47"/>
      <c r="CMO34" s="47"/>
      <c r="CMP34" s="47"/>
      <c r="CMQ34" s="47"/>
      <c r="CMR34" s="47"/>
      <c r="CMS34" s="47"/>
      <c r="CMT34" s="47"/>
      <c r="CMU34" s="47"/>
      <c r="CMV34" s="47"/>
      <c r="CMW34" s="47"/>
      <c r="CMX34" s="47"/>
      <c r="CMY34" s="47"/>
      <c r="CMZ34" s="47"/>
      <c r="CNA34" s="47"/>
      <c r="CNB34" s="47"/>
      <c r="CNC34" s="47"/>
      <c r="CND34" s="47"/>
      <c r="CNE34" s="47"/>
      <c r="CNF34" s="47"/>
      <c r="CNG34" s="47"/>
      <c r="CNH34" s="47"/>
      <c r="CNI34" s="47"/>
      <c r="CNJ34" s="47"/>
      <c r="CNK34" s="47"/>
      <c r="CNL34" s="47"/>
      <c r="CNM34" s="47"/>
      <c r="CNN34" s="47"/>
      <c r="CNO34" s="47"/>
      <c r="CNP34" s="47"/>
      <c r="CNQ34" s="47"/>
      <c r="CNR34" s="47"/>
      <c r="CNS34" s="47"/>
      <c r="CNT34" s="47"/>
      <c r="CNU34" s="47"/>
      <c r="CNV34" s="47"/>
      <c r="CNW34" s="47"/>
      <c r="CNX34" s="47"/>
      <c r="CNY34" s="47"/>
      <c r="CNZ34" s="47"/>
      <c r="COA34" s="47"/>
      <c r="COB34" s="47"/>
      <c r="COC34" s="47"/>
      <c r="COD34" s="47"/>
      <c r="COE34" s="47"/>
      <c r="COF34" s="47"/>
      <c r="COG34" s="47"/>
      <c r="COH34" s="47"/>
      <c r="COI34" s="47"/>
      <c r="COJ34" s="47"/>
      <c r="COK34" s="47"/>
      <c r="COL34" s="47"/>
      <c r="COM34" s="47"/>
      <c r="CON34" s="47"/>
      <c r="COO34" s="47"/>
      <c r="COP34" s="47"/>
      <c r="COQ34" s="47"/>
      <c r="COR34" s="47"/>
      <c r="COS34" s="47"/>
      <c r="COT34" s="47"/>
      <c r="COU34" s="47"/>
      <c r="COV34" s="47"/>
      <c r="COW34" s="47"/>
      <c r="COX34" s="47"/>
      <c r="COY34" s="47"/>
      <c r="COZ34" s="47"/>
      <c r="CPA34" s="47"/>
      <c r="CPB34" s="47"/>
      <c r="CPC34" s="47"/>
      <c r="CPD34" s="47"/>
      <c r="CPE34" s="47"/>
      <c r="CPF34" s="47"/>
      <c r="CPG34" s="47"/>
      <c r="CPH34" s="47"/>
      <c r="CPI34" s="47"/>
      <c r="CPJ34" s="47"/>
      <c r="CPK34" s="47"/>
      <c r="CPL34" s="47"/>
      <c r="CPM34" s="47"/>
      <c r="CPN34" s="47"/>
      <c r="CPO34" s="47"/>
      <c r="CPP34" s="47"/>
      <c r="CPQ34" s="47"/>
      <c r="CPR34" s="47"/>
      <c r="CPS34" s="47"/>
      <c r="CPT34" s="47"/>
      <c r="CPU34" s="47"/>
      <c r="CPV34" s="47"/>
      <c r="CPW34" s="47"/>
      <c r="CPX34" s="47"/>
      <c r="CPY34" s="47"/>
      <c r="CPZ34" s="47"/>
      <c r="CQA34" s="47"/>
      <c r="CQB34" s="47"/>
      <c r="CQC34" s="47"/>
      <c r="CQD34" s="47"/>
      <c r="CQE34" s="47"/>
      <c r="CQF34" s="47"/>
      <c r="CQG34" s="47"/>
      <c r="CQH34" s="47"/>
      <c r="CQI34" s="47"/>
      <c r="CQJ34" s="47"/>
      <c r="CQK34" s="47"/>
      <c r="CQL34" s="47"/>
      <c r="CQM34" s="47"/>
      <c r="CQN34" s="47"/>
      <c r="CQO34" s="47"/>
      <c r="CQP34" s="47"/>
      <c r="CQQ34" s="47"/>
      <c r="CQR34" s="47"/>
      <c r="CQS34" s="47"/>
      <c r="CQT34" s="47"/>
      <c r="CQU34" s="47"/>
      <c r="CQV34" s="47"/>
      <c r="CQW34" s="47"/>
      <c r="CQX34" s="47"/>
      <c r="CQY34" s="47"/>
      <c r="CQZ34" s="47"/>
      <c r="CRA34" s="47"/>
      <c r="CRB34" s="47"/>
      <c r="CRC34" s="47"/>
      <c r="CRD34" s="47"/>
      <c r="CRE34" s="47"/>
      <c r="CRF34" s="47"/>
      <c r="CRG34" s="47"/>
      <c r="CRH34" s="47"/>
      <c r="CRI34" s="47"/>
      <c r="CRJ34" s="47"/>
      <c r="CRK34" s="47"/>
      <c r="CRL34" s="47"/>
      <c r="CRM34" s="47"/>
      <c r="CRN34" s="47"/>
      <c r="CRO34" s="47"/>
      <c r="CRP34" s="47"/>
      <c r="CRQ34" s="47"/>
      <c r="CRR34" s="47"/>
      <c r="CRS34" s="47"/>
      <c r="CRT34" s="47"/>
      <c r="CRU34" s="47"/>
      <c r="CRV34" s="47"/>
      <c r="CRW34" s="47"/>
      <c r="CRX34" s="47"/>
      <c r="CRY34" s="47"/>
      <c r="CRZ34" s="47"/>
      <c r="CSA34" s="47"/>
      <c r="CSB34" s="47"/>
      <c r="CSC34" s="47"/>
      <c r="CSD34" s="47"/>
      <c r="CSE34" s="47"/>
      <c r="CSF34" s="47"/>
      <c r="CSG34" s="47"/>
      <c r="CSH34" s="47"/>
      <c r="CSI34" s="47"/>
      <c r="CSJ34" s="47"/>
      <c r="CSK34" s="47"/>
      <c r="CSL34" s="47"/>
      <c r="CSM34" s="47"/>
      <c r="CSN34" s="47"/>
      <c r="CSO34" s="47"/>
      <c r="CSP34" s="47"/>
      <c r="CSQ34" s="47"/>
      <c r="CSR34" s="47"/>
      <c r="CSS34" s="47"/>
      <c r="CST34" s="47"/>
      <c r="CSU34" s="47"/>
      <c r="CSV34" s="47"/>
      <c r="CSW34" s="47"/>
      <c r="CSX34" s="47"/>
      <c r="CSY34" s="47"/>
      <c r="CSZ34" s="47"/>
      <c r="CTA34" s="47"/>
      <c r="CTB34" s="47"/>
      <c r="CTC34" s="47"/>
      <c r="CTD34" s="47"/>
      <c r="CTE34" s="47"/>
      <c r="CTF34" s="47"/>
      <c r="CTG34" s="47"/>
      <c r="CTH34" s="47"/>
      <c r="CTI34" s="47"/>
      <c r="CTJ34" s="47"/>
      <c r="CTK34" s="47"/>
      <c r="CTL34" s="47"/>
      <c r="CTM34" s="47"/>
      <c r="CTN34" s="47"/>
      <c r="CTO34" s="47"/>
      <c r="CTP34" s="47"/>
      <c r="CTQ34" s="47"/>
      <c r="CTR34" s="47"/>
      <c r="CTS34" s="47"/>
      <c r="CTT34" s="47"/>
      <c r="CTU34" s="47"/>
      <c r="CTV34" s="47"/>
      <c r="CTW34" s="47"/>
      <c r="CTX34" s="47"/>
      <c r="CTY34" s="47"/>
      <c r="CTZ34" s="47"/>
      <c r="CUA34" s="47"/>
      <c r="CUB34" s="47"/>
      <c r="CUC34" s="47"/>
      <c r="CUD34" s="47"/>
      <c r="CUE34" s="47"/>
      <c r="CUF34" s="47"/>
      <c r="CUG34" s="47"/>
      <c r="CUH34" s="47"/>
      <c r="CUI34" s="47"/>
      <c r="CUJ34" s="47"/>
      <c r="CUK34" s="47"/>
      <c r="CUL34" s="47"/>
      <c r="CUM34" s="47"/>
      <c r="CUN34" s="47"/>
      <c r="CUO34" s="47"/>
      <c r="CUP34" s="47"/>
      <c r="CUQ34" s="47"/>
      <c r="CUR34" s="47"/>
      <c r="CUS34" s="47"/>
      <c r="CUT34" s="47"/>
      <c r="CUU34" s="47"/>
      <c r="CUV34" s="47"/>
      <c r="CUW34" s="47"/>
      <c r="CUX34" s="47"/>
      <c r="CUY34" s="47"/>
      <c r="CUZ34" s="47"/>
      <c r="CVA34" s="47"/>
      <c r="CVB34" s="47"/>
      <c r="CVC34" s="47"/>
      <c r="CVD34" s="47"/>
      <c r="CVE34" s="47"/>
      <c r="CVF34" s="47"/>
      <c r="CVG34" s="47"/>
      <c r="CVH34" s="47"/>
      <c r="CVI34" s="47"/>
      <c r="CVJ34" s="47"/>
      <c r="CVK34" s="47"/>
      <c r="CVL34" s="47"/>
      <c r="CVM34" s="47"/>
      <c r="CVN34" s="47"/>
      <c r="CVO34" s="47"/>
      <c r="CVP34" s="47"/>
      <c r="CVQ34" s="47"/>
      <c r="CVR34" s="47"/>
      <c r="CVS34" s="47"/>
      <c r="CVT34" s="47"/>
      <c r="CVU34" s="47"/>
      <c r="CVV34" s="47"/>
      <c r="CVW34" s="47"/>
      <c r="CVX34" s="47"/>
      <c r="CVY34" s="47"/>
      <c r="CVZ34" s="47"/>
      <c r="CWA34" s="47"/>
      <c r="CWB34" s="47"/>
      <c r="CWC34" s="47"/>
      <c r="CWD34" s="47"/>
      <c r="CWE34" s="47"/>
      <c r="CWF34" s="47"/>
      <c r="CWG34" s="47"/>
      <c r="CWH34" s="47"/>
      <c r="CWI34" s="47"/>
      <c r="CWJ34" s="47"/>
      <c r="CWK34" s="47"/>
      <c r="CWL34" s="47"/>
      <c r="CWM34" s="47"/>
      <c r="CWN34" s="47"/>
      <c r="CWO34" s="47"/>
      <c r="CWP34" s="47"/>
      <c r="CWQ34" s="47"/>
      <c r="CWR34" s="47"/>
      <c r="CWS34" s="47"/>
      <c r="CWT34" s="47"/>
      <c r="CWU34" s="47"/>
      <c r="CWV34" s="47"/>
      <c r="CWW34" s="47"/>
      <c r="CWX34" s="47"/>
      <c r="CWY34" s="47"/>
      <c r="CWZ34" s="47"/>
      <c r="CXA34" s="47"/>
      <c r="CXB34" s="47"/>
      <c r="CXC34" s="47"/>
      <c r="CXD34" s="47"/>
      <c r="CXE34" s="47"/>
      <c r="CXF34" s="47"/>
      <c r="CXG34" s="47"/>
      <c r="CXH34" s="47"/>
      <c r="CXI34" s="47"/>
      <c r="CXJ34" s="47"/>
      <c r="CXK34" s="47"/>
      <c r="CXL34" s="47"/>
      <c r="CXM34" s="47"/>
      <c r="CXN34" s="47"/>
      <c r="CXO34" s="47"/>
      <c r="CXP34" s="47"/>
      <c r="CXQ34" s="47"/>
      <c r="CXR34" s="47"/>
      <c r="CXS34" s="47"/>
      <c r="CXT34" s="47"/>
      <c r="CXU34" s="47"/>
      <c r="CXV34" s="47"/>
      <c r="CXW34" s="47"/>
      <c r="CXX34" s="47"/>
      <c r="CXY34" s="47"/>
      <c r="CXZ34" s="47"/>
      <c r="CYA34" s="47"/>
      <c r="CYB34" s="47"/>
      <c r="CYC34" s="47"/>
      <c r="CYD34" s="47"/>
      <c r="CYE34" s="47"/>
      <c r="CYF34" s="47"/>
      <c r="CYG34" s="47"/>
      <c r="CYH34" s="47"/>
      <c r="CYI34" s="47"/>
      <c r="CYJ34" s="47"/>
      <c r="CYK34" s="47"/>
      <c r="CYL34" s="47"/>
      <c r="CYM34" s="47"/>
      <c r="CYN34" s="47"/>
      <c r="CYO34" s="47"/>
      <c r="CYP34" s="47"/>
      <c r="CYQ34" s="47"/>
      <c r="CYR34" s="47"/>
      <c r="CYS34" s="47"/>
      <c r="CYT34" s="47"/>
      <c r="CYU34" s="47"/>
      <c r="CYV34" s="47"/>
      <c r="CYW34" s="47"/>
      <c r="CYX34" s="47"/>
      <c r="CYY34" s="47"/>
      <c r="CYZ34" s="47"/>
      <c r="CZA34" s="47"/>
      <c r="CZB34" s="47"/>
      <c r="CZC34" s="47"/>
      <c r="CZD34" s="47"/>
      <c r="CZE34" s="47"/>
      <c r="CZF34" s="47"/>
      <c r="CZG34" s="47"/>
      <c r="CZH34" s="47"/>
      <c r="CZI34" s="47"/>
      <c r="CZJ34" s="47"/>
      <c r="CZK34" s="47"/>
      <c r="CZL34" s="47"/>
      <c r="CZM34" s="47"/>
      <c r="CZN34" s="47"/>
      <c r="CZO34" s="47"/>
      <c r="CZP34" s="47"/>
      <c r="CZQ34" s="47"/>
      <c r="CZR34" s="47"/>
      <c r="CZS34" s="47"/>
      <c r="CZT34" s="47"/>
      <c r="CZU34" s="47"/>
      <c r="CZV34" s="47"/>
      <c r="CZW34" s="47"/>
      <c r="CZX34" s="47"/>
      <c r="CZY34" s="47"/>
      <c r="CZZ34" s="47"/>
      <c r="DAA34" s="47"/>
      <c r="DAB34" s="47"/>
      <c r="DAC34" s="47"/>
      <c r="DAD34" s="47"/>
      <c r="DAE34" s="47"/>
      <c r="DAF34" s="47"/>
      <c r="DAG34" s="47"/>
      <c r="DAH34" s="47"/>
      <c r="DAI34" s="47"/>
      <c r="DAJ34" s="47"/>
      <c r="DAK34" s="47"/>
      <c r="DAL34" s="47"/>
      <c r="DAM34" s="47"/>
      <c r="DAN34" s="47"/>
      <c r="DAO34" s="47"/>
      <c r="DAP34" s="47"/>
      <c r="DAQ34" s="47"/>
      <c r="DAR34" s="47"/>
      <c r="DAS34" s="47"/>
      <c r="DAT34" s="47"/>
      <c r="DAU34" s="47"/>
      <c r="DAV34" s="47"/>
      <c r="DAW34" s="47"/>
      <c r="DAX34" s="47"/>
      <c r="DAY34" s="47"/>
      <c r="DAZ34" s="47"/>
      <c r="DBA34" s="47"/>
      <c r="DBB34" s="47"/>
      <c r="DBC34" s="47"/>
      <c r="DBD34" s="47"/>
      <c r="DBE34" s="47"/>
      <c r="DBF34" s="47"/>
      <c r="DBG34" s="47"/>
      <c r="DBH34" s="47"/>
      <c r="DBI34" s="47"/>
      <c r="DBJ34" s="47"/>
      <c r="DBK34" s="47"/>
      <c r="DBL34" s="47"/>
      <c r="DBM34" s="47"/>
      <c r="DBN34" s="47"/>
      <c r="DBO34" s="47"/>
      <c r="DBP34" s="47"/>
      <c r="DBQ34" s="47"/>
      <c r="DBR34" s="47"/>
      <c r="DBS34" s="47"/>
      <c r="DBT34" s="47"/>
      <c r="DBU34" s="47"/>
      <c r="DBV34" s="47"/>
      <c r="DBW34" s="47"/>
      <c r="DBX34" s="47"/>
      <c r="DBY34" s="47"/>
      <c r="DBZ34" s="47"/>
      <c r="DCA34" s="47"/>
      <c r="DCB34" s="47"/>
      <c r="DCC34" s="47"/>
      <c r="DCD34" s="47"/>
      <c r="DCE34" s="47"/>
      <c r="DCF34" s="47"/>
      <c r="DCG34" s="47"/>
      <c r="DCH34" s="47"/>
      <c r="DCI34" s="47"/>
      <c r="DCJ34" s="47"/>
      <c r="DCK34" s="47"/>
      <c r="DCL34" s="47"/>
      <c r="DCM34" s="47"/>
      <c r="DCN34" s="47"/>
      <c r="DCO34" s="47"/>
      <c r="DCP34" s="47"/>
      <c r="DCQ34" s="47"/>
      <c r="DCR34" s="47"/>
      <c r="DCS34" s="47"/>
      <c r="DCT34" s="47"/>
      <c r="DCU34" s="47"/>
      <c r="DCV34" s="47"/>
      <c r="DCW34" s="47"/>
      <c r="DCX34" s="47"/>
      <c r="DCY34" s="47"/>
      <c r="DCZ34" s="47"/>
      <c r="DDA34" s="47"/>
      <c r="DDB34" s="47"/>
      <c r="DDC34" s="47"/>
      <c r="DDD34" s="47"/>
      <c r="DDE34" s="47"/>
      <c r="DDF34" s="47"/>
      <c r="DDG34" s="47"/>
      <c r="DDH34" s="47"/>
      <c r="DDI34" s="47"/>
      <c r="DDJ34" s="47"/>
      <c r="DDK34" s="47"/>
      <c r="DDL34" s="47"/>
      <c r="DDM34" s="47"/>
      <c r="DDN34" s="47"/>
      <c r="DDO34" s="47"/>
      <c r="DDP34" s="47"/>
      <c r="DDQ34" s="47"/>
      <c r="DDR34" s="47"/>
      <c r="DDS34" s="47"/>
      <c r="DDT34" s="47"/>
      <c r="DDU34" s="47"/>
      <c r="DDV34" s="47"/>
      <c r="DDW34" s="47"/>
      <c r="DDX34" s="47"/>
      <c r="DDY34" s="47"/>
      <c r="DDZ34" s="47"/>
      <c r="DEA34" s="47"/>
      <c r="DEB34" s="47"/>
      <c r="DEC34" s="47"/>
      <c r="DED34" s="47"/>
      <c r="DEE34" s="47"/>
      <c r="DEF34" s="47"/>
      <c r="DEG34" s="47"/>
      <c r="DEH34" s="47"/>
      <c r="DEI34" s="47"/>
      <c r="DEJ34" s="47"/>
      <c r="DEK34" s="47"/>
      <c r="DEL34" s="47"/>
      <c r="DEM34" s="47"/>
      <c r="DEN34" s="47"/>
      <c r="DEO34" s="47"/>
      <c r="DEP34" s="47"/>
      <c r="DEQ34" s="47"/>
      <c r="DER34" s="47"/>
      <c r="DES34" s="47"/>
      <c r="DET34" s="47"/>
      <c r="DEU34" s="47"/>
      <c r="DEV34" s="47"/>
      <c r="DEW34" s="47"/>
      <c r="DEX34" s="47"/>
      <c r="DEY34" s="47"/>
      <c r="DEZ34" s="47"/>
      <c r="DFA34" s="47"/>
      <c r="DFB34" s="47"/>
      <c r="DFC34" s="47"/>
      <c r="DFD34" s="47"/>
      <c r="DFE34" s="47"/>
      <c r="DFF34" s="47"/>
      <c r="DFG34" s="47"/>
      <c r="DFH34" s="47"/>
      <c r="DFI34" s="47"/>
      <c r="DFJ34" s="47"/>
      <c r="DFK34" s="47"/>
      <c r="DFL34" s="47"/>
      <c r="DFM34" s="47"/>
      <c r="DFN34" s="47"/>
      <c r="DFO34" s="47"/>
      <c r="DFP34" s="47"/>
      <c r="DFQ34" s="47"/>
      <c r="DFR34" s="47"/>
      <c r="DFS34" s="47"/>
      <c r="DFT34" s="47"/>
      <c r="DFU34" s="47"/>
      <c r="DFV34" s="47"/>
      <c r="DFW34" s="47"/>
      <c r="DFX34" s="47"/>
      <c r="DFY34" s="47"/>
      <c r="DFZ34" s="47"/>
      <c r="DGA34" s="47"/>
      <c r="DGB34" s="47"/>
      <c r="DGC34" s="47"/>
      <c r="DGD34" s="47"/>
      <c r="DGE34" s="47"/>
      <c r="DGF34" s="47"/>
      <c r="DGG34" s="47"/>
      <c r="DGH34" s="47"/>
      <c r="DGI34" s="47"/>
      <c r="DGJ34" s="47"/>
      <c r="DGK34" s="47"/>
      <c r="DGL34" s="47"/>
      <c r="DGM34" s="47"/>
      <c r="DGN34" s="47"/>
      <c r="DGO34" s="47"/>
      <c r="DGP34" s="47"/>
      <c r="DGQ34" s="47"/>
      <c r="DGR34" s="47"/>
      <c r="DGS34" s="47"/>
      <c r="DGT34" s="47"/>
      <c r="DGU34" s="47"/>
      <c r="DGV34" s="47"/>
      <c r="DGW34" s="47"/>
      <c r="DGX34" s="47"/>
      <c r="DGY34" s="47"/>
      <c r="DGZ34" s="47"/>
      <c r="DHA34" s="47"/>
      <c r="DHB34" s="47"/>
      <c r="DHC34" s="47"/>
      <c r="DHD34" s="47"/>
      <c r="DHE34" s="47"/>
      <c r="DHF34" s="47"/>
      <c r="DHG34" s="47"/>
      <c r="DHH34" s="47"/>
      <c r="DHI34" s="47"/>
      <c r="DHJ34" s="47"/>
      <c r="DHK34" s="47"/>
      <c r="DHL34" s="47"/>
      <c r="DHM34" s="47"/>
      <c r="DHN34" s="47"/>
      <c r="DHO34" s="47"/>
      <c r="DHP34" s="47"/>
      <c r="DHQ34" s="47"/>
      <c r="DHR34" s="47"/>
      <c r="DHS34" s="47"/>
      <c r="DHT34" s="47"/>
      <c r="DHU34" s="47"/>
      <c r="DHV34" s="47"/>
      <c r="DHW34" s="47"/>
      <c r="DHX34" s="47"/>
      <c r="DHY34" s="47"/>
      <c r="DHZ34" s="47"/>
      <c r="DIA34" s="47"/>
      <c r="DIB34" s="47"/>
      <c r="DIC34" s="47"/>
      <c r="DID34" s="47"/>
      <c r="DIE34" s="47"/>
      <c r="DIF34" s="47"/>
      <c r="DIG34" s="47"/>
      <c r="DIH34" s="47"/>
      <c r="DII34" s="47"/>
      <c r="DIJ34" s="47"/>
      <c r="DIK34" s="47"/>
      <c r="DIL34" s="47"/>
      <c r="DIM34" s="47"/>
      <c r="DIN34" s="47"/>
      <c r="DIO34" s="47"/>
      <c r="DIP34" s="47"/>
      <c r="DIQ34" s="47"/>
      <c r="DIR34" s="47"/>
      <c r="DIS34" s="47"/>
      <c r="DIT34" s="47"/>
      <c r="DIU34" s="47"/>
      <c r="DIV34" s="47"/>
      <c r="DIW34" s="47"/>
      <c r="DIX34" s="47"/>
      <c r="DIY34" s="47"/>
      <c r="DIZ34" s="47"/>
      <c r="DJA34" s="47"/>
      <c r="DJB34" s="47"/>
      <c r="DJC34" s="47"/>
      <c r="DJD34" s="47"/>
      <c r="DJE34" s="47"/>
      <c r="DJF34" s="47"/>
      <c r="DJG34" s="47"/>
      <c r="DJH34" s="47"/>
      <c r="DJI34" s="47"/>
      <c r="DJJ34" s="47"/>
      <c r="DJK34" s="47"/>
      <c r="DJL34" s="47"/>
      <c r="DJM34" s="47"/>
      <c r="DJN34" s="47"/>
      <c r="DJO34" s="47"/>
      <c r="DJP34" s="47"/>
      <c r="DJQ34" s="47"/>
      <c r="DJR34" s="47"/>
      <c r="DJS34" s="47"/>
      <c r="DJT34" s="47"/>
      <c r="DJU34" s="47"/>
      <c r="DJV34" s="47"/>
      <c r="DJW34" s="47"/>
      <c r="DJX34" s="47"/>
      <c r="DJY34" s="47"/>
      <c r="DJZ34" s="47"/>
      <c r="DKA34" s="47"/>
      <c r="DKB34" s="47"/>
      <c r="DKC34" s="47"/>
      <c r="DKD34" s="47"/>
      <c r="DKE34" s="47"/>
      <c r="DKF34" s="47"/>
      <c r="DKG34" s="47"/>
      <c r="DKH34" s="47"/>
      <c r="DKI34" s="47"/>
      <c r="DKJ34" s="47"/>
      <c r="DKK34" s="47"/>
      <c r="DKL34" s="47"/>
      <c r="DKM34" s="47"/>
      <c r="DKN34" s="47"/>
      <c r="DKO34" s="47"/>
      <c r="DKP34" s="47"/>
      <c r="DKQ34" s="47"/>
      <c r="DKR34" s="47"/>
      <c r="DKS34" s="47"/>
      <c r="DKT34" s="47"/>
      <c r="DKU34" s="47"/>
      <c r="DKV34" s="47"/>
      <c r="DKW34" s="47"/>
      <c r="DKX34" s="47"/>
      <c r="DKY34" s="47"/>
      <c r="DKZ34" s="47"/>
      <c r="DLA34" s="47"/>
      <c r="DLB34" s="47"/>
      <c r="DLC34" s="47"/>
      <c r="DLD34" s="47"/>
      <c r="DLE34" s="47"/>
      <c r="DLF34" s="47"/>
      <c r="DLG34" s="47"/>
      <c r="DLH34" s="47"/>
      <c r="DLI34" s="47"/>
      <c r="DLJ34" s="47"/>
      <c r="DLK34" s="47"/>
      <c r="DLL34" s="47"/>
      <c r="DLM34" s="47"/>
      <c r="DLN34" s="47"/>
      <c r="DLO34" s="47"/>
      <c r="DLP34" s="47"/>
      <c r="DLQ34" s="47"/>
      <c r="DLR34" s="47"/>
      <c r="DLS34" s="47"/>
      <c r="DLT34" s="47"/>
      <c r="DLU34" s="47"/>
      <c r="DLV34" s="47"/>
      <c r="DLW34" s="47"/>
      <c r="DLX34" s="47"/>
      <c r="DLY34" s="47"/>
      <c r="DLZ34" s="47"/>
      <c r="DMA34" s="47"/>
      <c r="DMB34" s="47"/>
      <c r="DMC34" s="47"/>
      <c r="DMD34" s="47"/>
      <c r="DME34" s="47"/>
      <c r="DMF34" s="47"/>
      <c r="DMG34" s="47"/>
      <c r="DMH34" s="47"/>
      <c r="DMI34" s="47"/>
      <c r="DMJ34" s="47"/>
      <c r="DMK34" s="47"/>
      <c r="DML34" s="47"/>
      <c r="DMM34" s="47"/>
      <c r="DMN34" s="47"/>
      <c r="DMO34" s="47"/>
      <c r="DMP34" s="47"/>
      <c r="DMQ34" s="47"/>
      <c r="DMR34" s="47"/>
      <c r="DMS34" s="47"/>
      <c r="DMT34" s="47"/>
      <c r="DMU34" s="47"/>
      <c r="DMV34" s="47"/>
      <c r="DMW34" s="47"/>
      <c r="DMX34" s="47"/>
      <c r="DMY34" s="47"/>
      <c r="DMZ34" s="47"/>
      <c r="DNA34" s="47"/>
      <c r="DNB34" s="47"/>
      <c r="DNC34" s="47"/>
      <c r="DND34" s="47"/>
      <c r="DNE34" s="47"/>
      <c r="DNF34" s="47"/>
      <c r="DNG34" s="47"/>
      <c r="DNH34" s="47"/>
      <c r="DNI34" s="47"/>
      <c r="DNJ34" s="47"/>
      <c r="DNK34" s="47"/>
      <c r="DNL34" s="47"/>
      <c r="DNM34" s="47"/>
      <c r="DNN34" s="47"/>
      <c r="DNO34" s="47"/>
      <c r="DNP34" s="47"/>
      <c r="DNQ34" s="47"/>
      <c r="DNR34" s="47"/>
      <c r="DNS34" s="47"/>
      <c r="DNT34" s="47"/>
      <c r="DNU34" s="47"/>
      <c r="DNV34" s="47"/>
      <c r="DNW34" s="47"/>
      <c r="DNX34" s="47"/>
      <c r="DNY34" s="47"/>
      <c r="DNZ34" s="47"/>
      <c r="DOA34" s="47"/>
      <c r="DOB34" s="47"/>
      <c r="DOC34" s="47"/>
      <c r="DOD34" s="47"/>
      <c r="DOE34" s="47"/>
      <c r="DOF34" s="47"/>
      <c r="DOG34" s="47"/>
      <c r="DOH34" s="47"/>
      <c r="DOI34" s="47"/>
      <c r="DOJ34" s="47"/>
      <c r="DOK34" s="47"/>
      <c r="DOL34" s="47"/>
      <c r="DOM34" s="47"/>
      <c r="DON34" s="47"/>
      <c r="DOO34" s="47"/>
      <c r="DOP34" s="47"/>
      <c r="DOQ34" s="47"/>
      <c r="DOR34" s="47"/>
      <c r="DOS34" s="47"/>
      <c r="DOT34" s="47"/>
      <c r="DOU34" s="47"/>
      <c r="DOV34" s="47"/>
      <c r="DOW34" s="47"/>
      <c r="DOX34" s="47"/>
      <c r="DOY34" s="47"/>
      <c r="DOZ34" s="47"/>
      <c r="DPA34" s="47"/>
      <c r="DPB34" s="47"/>
      <c r="DPC34" s="47"/>
      <c r="DPD34" s="47"/>
      <c r="DPE34" s="47"/>
      <c r="DPF34" s="47"/>
      <c r="DPG34" s="47"/>
      <c r="DPH34" s="47"/>
      <c r="DPI34" s="47"/>
      <c r="DPJ34" s="47"/>
      <c r="DPK34" s="47"/>
      <c r="DPL34" s="47"/>
      <c r="DPM34" s="47"/>
      <c r="DPN34" s="47"/>
      <c r="DPO34" s="47"/>
      <c r="DPP34" s="47"/>
      <c r="DPQ34" s="47"/>
      <c r="DPR34" s="47"/>
      <c r="DPS34" s="47"/>
      <c r="DPT34" s="47"/>
      <c r="DPU34" s="47"/>
      <c r="DPV34" s="47"/>
      <c r="DPW34" s="47"/>
      <c r="DPX34" s="47"/>
      <c r="DPY34" s="47"/>
      <c r="DPZ34" s="47"/>
      <c r="DQA34" s="47"/>
      <c r="DQB34" s="47"/>
      <c r="DQC34" s="47"/>
      <c r="DQD34" s="47"/>
      <c r="DQE34" s="47"/>
      <c r="DQF34" s="47"/>
      <c r="DQG34" s="47"/>
      <c r="DQH34" s="47"/>
      <c r="DQI34" s="47"/>
      <c r="DQJ34" s="47"/>
      <c r="DQK34" s="47"/>
      <c r="DQL34" s="47"/>
      <c r="DQM34" s="47"/>
      <c r="DQN34" s="47"/>
      <c r="DQO34" s="47"/>
      <c r="DQP34" s="47"/>
      <c r="DQQ34" s="47"/>
      <c r="DQR34" s="47"/>
      <c r="DQS34" s="47"/>
      <c r="DQT34" s="47"/>
      <c r="DQU34" s="47"/>
      <c r="DQV34" s="47"/>
      <c r="DQW34" s="47"/>
      <c r="DQX34" s="47"/>
      <c r="DQY34" s="47"/>
      <c r="DQZ34" s="47"/>
      <c r="DRA34" s="47"/>
      <c r="DRB34" s="47"/>
      <c r="DRC34" s="47"/>
      <c r="DRD34" s="47"/>
      <c r="DRE34" s="47"/>
      <c r="DRF34" s="47"/>
      <c r="DRG34" s="47"/>
      <c r="DRH34" s="47"/>
      <c r="DRI34" s="47"/>
      <c r="DRJ34" s="47"/>
      <c r="DRK34" s="47"/>
      <c r="DRL34" s="47"/>
      <c r="DRM34" s="47"/>
      <c r="DRN34" s="47"/>
      <c r="DRO34" s="47"/>
      <c r="DRP34" s="47"/>
      <c r="DRQ34" s="47"/>
      <c r="DRR34" s="47"/>
      <c r="DRS34" s="47"/>
      <c r="DRT34" s="47"/>
      <c r="DRU34" s="47"/>
      <c r="DRV34" s="47"/>
      <c r="DRW34" s="47"/>
      <c r="DRX34" s="47"/>
      <c r="DRY34" s="47"/>
      <c r="DRZ34" s="47"/>
      <c r="DSA34" s="47"/>
      <c r="DSB34" s="47"/>
      <c r="DSC34" s="47"/>
      <c r="DSD34" s="47"/>
      <c r="DSE34" s="47"/>
      <c r="DSF34" s="47"/>
      <c r="DSG34" s="47"/>
      <c r="DSH34" s="47"/>
      <c r="DSI34" s="47"/>
      <c r="DSJ34" s="47"/>
      <c r="DSK34" s="47"/>
      <c r="DSL34" s="47"/>
      <c r="DSM34" s="47"/>
      <c r="DSN34" s="47"/>
      <c r="DSO34" s="47"/>
      <c r="DSP34" s="47"/>
      <c r="DSQ34" s="47"/>
      <c r="DSR34" s="47"/>
      <c r="DSS34" s="47"/>
      <c r="DST34" s="47"/>
      <c r="DSU34" s="47"/>
      <c r="DSV34" s="47"/>
      <c r="DSW34" s="47"/>
      <c r="DSX34" s="47"/>
      <c r="DSY34" s="47"/>
      <c r="DSZ34" s="47"/>
      <c r="DTA34" s="47"/>
      <c r="DTB34" s="47"/>
      <c r="DTC34" s="47"/>
      <c r="DTD34" s="47"/>
      <c r="DTE34" s="47"/>
      <c r="DTF34" s="47"/>
      <c r="DTG34" s="47"/>
      <c r="DTH34" s="47"/>
      <c r="DTI34" s="47"/>
      <c r="DTJ34" s="47"/>
      <c r="DTK34" s="47"/>
      <c r="DTL34" s="47"/>
      <c r="DTM34" s="47"/>
      <c r="DTN34" s="47"/>
      <c r="DTO34" s="47"/>
      <c r="DTP34" s="47"/>
      <c r="DTQ34" s="47"/>
      <c r="DTR34" s="47"/>
      <c r="DTS34" s="47"/>
      <c r="DTT34" s="47"/>
      <c r="DTU34" s="47"/>
      <c r="DTV34" s="47"/>
      <c r="DTW34" s="47"/>
      <c r="DTX34" s="47"/>
      <c r="DTY34" s="47"/>
      <c r="DTZ34" s="47"/>
      <c r="DUA34" s="47"/>
      <c r="DUB34" s="47"/>
      <c r="DUC34" s="47"/>
      <c r="DUD34" s="47"/>
      <c r="DUE34" s="47"/>
      <c r="DUF34" s="47"/>
      <c r="DUG34" s="47"/>
      <c r="DUH34" s="47"/>
      <c r="DUI34" s="47"/>
      <c r="DUJ34" s="47"/>
      <c r="DUK34" s="47"/>
      <c r="DUL34" s="47"/>
      <c r="DUM34" s="47"/>
      <c r="DUN34" s="47"/>
      <c r="DUO34" s="47"/>
      <c r="DUP34" s="47"/>
      <c r="DUQ34" s="47"/>
      <c r="DUR34" s="47"/>
      <c r="DUS34" s="47"/>
      <c r="DUT34" s="47"/>
      <c r="DUU34" s="47"/>
      <c r="DUV34" s="47"/>
      <c r="DUW34" s="47"/>
      <c r="DUX34" s="47"/>
      <c r="DUY34" s="47"/>
      <c r="DUZ34" s="47"/>
      <c r="DVA34" s="47"/>
      <c r="DVB34" s="47"/>
      <c r="DVC34" s="47"/>
      <c r="DVD34" s="47"/>
      <c r="DVE34" s="47"/>
      <c r="DVF34" s="47"/>
      <c r="DVG34" s="47"/>
      <c r="DVH34" s="47"/>
      <c r="DVI34" s="47"/>
      <c r="DVJ34" s="47"/>
      <c r="DVK34" s="47"/>
      <c r="DVL34" s="47"/>
      <c r="DVM34" s="47"/>
      <c r="DVN34" s="47"/>
      <c r="DVO34" s="47"/>
      <c r="DVP34" s="47"/>
      <c r="DVQ34" s="47"/>
      <c r="DVR34" s="47"/>
      <c r="DVS34" s="47"/>
      <c r="DVT34" s="47"/>
      <c r="DVU34" s="47"/>
      <c r="DVV34" s="47"/>
      <c r="DVW34" s="47"/>
      <c r="DVX34" s="47"/>
      <c r="DVY34" s="47"/>
      <c r="DVZ34" s="47"/>
      <c r="DWA34" s="47"/>
      <c r="DWB34" s="47"/>
      <c r="DWC34" s="47"/>
      <c r="DWD34" s="47"/>
      <c r="DWE34" s="47"/>
      <c r="DWF34" s="47"/>
      <c r="DWG34" s="47"/>
      <c r="DWH34" s="47"/>
      <c r="DWI34" s="47"/>
      <c r="DWJ34" s="47"/>
      <c r="DWK34" s="47"/>
      <c r="DWL34" s="47"/>
      <c r="DWM34" s="47"/>
      <c r="DWN34" s="47"/>
      <c r="DWO34" s="47"/>
      <c r="DWP34" s="47"/>
      <c r="DWQ34" s="47"/>
      <c r="DWR34" s="47"/>
      <c r="DWS34" s="47"/>
      <c r="DWT34" s="47"/>
      <c r="DWU34" s="47"/>
      <c r="DWV34" s="47"/>
      <c r="DWW34" s="47"/>
      <c r="DWX34" s="47"/>
      <c r="DWY34" s="47"/>
      <c r="DWZ34" s="47"/>
      <c r="DXA34" s="47"/>
      <c r="DXB34" s="47"/>
      <c r="DXC34" s="47"/>
      <c r="DXD34" s="47"/>
      <c r="DXE34" s="47"/>
      <c r="DXF34" s="47"/>
      <c r="DXG34" s="47"/>
      <c r="DXH34" s="47"/>
      <c r="DXI34" s="47"/>
      <c r="DXJ34" s="47"/>
      <c r="DXK34" s="47"/>
      <c r="DXL34" s="47"/>
      <c r="DXM34" s="47"/>
      <c r="DXN34" s="47"/>
      <c r="DXO34" s="47"/>
      <c r="DXP34" s="47"/>
      <c r="DXQ34" s="47"/>
      <c r="DXR34" s="47"/>
      <c r="DXS34" s="47"/>
      <c r="DXT34" s="47"/>
      <c r="DXU34" s="47"/>
      <c r="DXV34" s="47"/>
      <c r="DXW34" s="47"/>
      <c r="DXX34" s="47"/>
      <c r="DXY34" s="47"/>
      <c r="DXZ34" s="47"/>
      <c r="DYA34" s="47"/>
      <c r="DYB34" s="47"/>
      <c r="DYC34" s="47"/>
      <c r="DYD34" s="47"/>
      <c r="DYE34" s="47"/>
      <c r="DYF34" s="47"/>
      <c r="DYG34" s="47"/>
      <c r="DYH34" s="47"/>
      <c r="DYI34" s="47"/>
      <c r="DYJ34" s="47"/>
      <c r="DYK34" s="47"/>
      <c r="DYL34" s="47"/>
      <c r="DYM34" s="47"/>
      <c r="DYN34" s="47"/>
      <c r="DYO34" s="47"/>
      <c r="DYP34" s="47"/>
      <c r="DYQ34" s="47"/>
      <c r="DYR34" s="47"/>
      <c r="DYS34" s="47"/>
      <c r="DYT34" s="47"/>
      <c r="DYU34" s="47"/>
      <c r="DYV34" s="47"/>
      <c r="DYW34" s="47"/>
      <c r="DYX34" s="47"/>
      <c r="DYY34" s="47"/>
      <c r="DYZ34" s="47"/>
      <c r="DZA34" s="47"/>
      <c r="DZB34" s="47"/>
      <c r="DZC34" s="47"/>
      <c r="DZD34" s="47"/>
      <c r="DZE34" s="47"/>
      <c r="DZF34" s="47"/>
      <c r="DZG34" s="47"/>
      <c r="DZH34" s="47"/>
      <c r="DZI34" s="47"/>
      <c r="DZJ34" s="47"/>
      <c r="DZK34" s="47"/>
      <c r="DZL34" s="47"/>
      <c r="DZM34" s="47"/>
      <c r="DZN34" s="47"/>
      <c r="DZO34" s="47"/>
      <c r="DZP34" s="47"/>
      <c r="DZQ34" s="47"/>
      <c r="DZR34" s="47"/>
      <c r="DZS34" s="47"/>
      <c r="DZT34" s="47"/>
      <c r="DZU34" s="47"/>
      <c r="DZV34" s="47"/>
      <c r="DZW34" s="47"/>
      <c r="DZX34" s="47"/>
      <c r="DZY34" s="47"/>
      <c r="DZZ34" s="47"/>
      <c r="EAA34" s="47"/>
      <c r="EAB34" s="47"/>
      <c r="EAC34" s="47"/>
      <c r="EAD34" s="47"/>
      <c r="EAE34" s="47"/>
      <c r="EAF34" s="47"/>
      <c r="EAG34" s="47"/>
      <c r="EAH34" s="47"/>
      <c r="EAI34" s="47"/>
      <c r="EAJ34" s="47"/>
      <c r="EAK34" s="47"/>
      <c r="EAL34" s="47"/>
      <c r="EAM34" s="47"/>
      <c r="EAN34" s="47"/>
      <c r="EAO34" s="47"/>
      <c r="EAP34" s="47"/>
      <c r="EAQ34" s="47"/>
      <c r="EAR34" s="47"/>
      <c r="EAS34" s="47"/>
      <c r="EAT34" s="47"/>
      <c r="EAU34" s="47"/>
      <c r="EAV34" s="47"/>
      <c r="EAW34" s="47"/>
      <c r="EAX34" s="47"/>
      <c r="EAY34" s="47"/>
      <c r="EAZ34" s="47"/>
      <c r="EBA34" s="47"/>
      <c r="EBB34" s="47"/>
      <c r="EBC34" s="47"/>
      <c r="EBD34" s="47"/>
      <c r="EBE34" s="47"/>
      <c r="EBF34" s="47"/>
      <c r="EBG34" s="47"/>
      <c r="EBH34" s="47"/>
      <c r="EBI34" s="47"/>
      <c r="EBJ34" s="47"/>
      <c r="EBK34" s="47"/>
      <c r="EBL34" s="47"/>
      <c r="EBM34" s="47"/>
      <c r="EBN34" s="47"/>
      <c r="EBO34" s="47"/>
      <c r="EBP34" s="47"/>
      <c r="EBQ34" s="47"/>
      <c r="EBR34" s="47"/>
      <c r="EBS34" s="47"/>
      <c r="EBT34" s="47"/>
      <c r="EBU34" s="47"/>
      <c r="EBV34" s="47"/>
      <c r="EBW34" s="47"/>
      <c r="EBX34" s="47"/>
      <c r="EBY34" s="47"/>
      <c r="EBZ34" s="47"/>
      <c r="ECA34" s="47"/>
      <c r="ECB34" s="47"/>
      <c r="ECC34" s="47"/>
      <c r="ECD34" s="47"/>
      <c r="ECE34" s="47"/>
      <c r="ECF34" s="47"/>
      <c r="ECG34" s="47"/>
      <c r="ECH34" s="47"/>
      <c r="ECI34" s="47"/>
      <c r="ECJ34" s="47"/>
      <c r="ECK34" s="47"/>
      <c r="ECL34" s="47"/>
      <c r="ECM34" s="47"/>
      <c r="ECN34" s="47"/>
      <c r="ECO34" s="47"/>
      <c r="ECP34" s="47"/>
      <c r="ECQ34" s="47"/>
      <c r="ECR34" s="47"/>
      <c r="ECS34" s="47"/>
      <c r="ECT34" s="47"/>
      <c r="ECU34" s="47"/>
      <c r="ECV34" s="47"/>
      <c r="ECW34" s="47"/>
      <c r="ECX34" s="47"/>
      <c r="ECY34" s="47"/>
      <c r="ECZ34" s="47"/>
      <c r="EDA34" s="47"/>
      <c r="EDB34" s="47"/>
      <c r="EDC34" s="47"/>
      <c r="EDD34" s="47"/>
      <c r="EDE34" s="47"/>
      <c r="EDF34" s="47"/>
      <c r="EDG34" s="47"/>
      <c r="EDH34" s="47"/>
      <c r="EDI34" s="47"/>
      <c r="EDJ34" s="47"/>
      <c r="EDK34" s="47"/>
      <c r="EDL34" s="47"/>
      <c r="EDM34" s="47"/>
      <c r="EDN34" s="47"/>
      <c r="EDO34" s="47"/>
      <c r="EDP34" s="47"/>
      <c r="EDQ34" s="47"/>
      <c r="EDR34" s="47"/>
      <c r="EDS34" s="47"/>
      <c r="EDT34" s="47"/>
      <c r="EDU34" s="47"/>
      <c r="EDV34" s="47"/>
      <c r="EDW34" s="47"/>
      <c r="EDX34" s="47"/>
      <c r="EDY34" s="47"/>
      <c r="EDZ34" s="47"/>
      <c r="EEA34" s="47"/>
      <c r="EEB34" s="47"/>
      <c r="EEC34" s="47"/>
      <c r="EED34" s="47"/>
      <c r="EEE34" s="47"/>
      <c r="EEF34" s="47"/>
      <c r="EEG34" s="47"/>
      <c r="EEH34" s="47"/>
      <c r="EEI34" s="47"/>
      <c r="EEJ34" s="47"/>
      <c r="EEK34" s="47"/>
      <c r="EEL34" s="47"/>
      <c r="EEM34" s="47"/>
      <c r="EEN34" s="47"/>
      <c r="EEO34" s="47"/>
      <c r="EEP34" s="47"/>
      <c r="EEQ34" s="47"/>
      <c r="EER34" s="47"/>
      <c r="EES34" s="47"/>
      <c r="EET34" s="47"/>
      <c r="EEU34" s="47"/>
      <c r="EEV34" s="47"/>
      <c r="EEW34" s="47"/>
      <c r="EEX34" s="47"/>
      <c r="EEY34" s="47"/>
      <c r="EEZ34" s="47"/>
      <c r="EFA34" s="47"/>
      <c r="EFB34" s="47"/>
      <c r="EFC34" s="47"/>
      <c r="EFD34" s="47"/>
      <c r="EFE34" s="47"/>
      <c r="EFF34" s="47"/>
      <c r="EFG34" s="47"/>
      <c r="EFH34" s="47"/>
      <c r="EFI34" s="47"/>
      <c r="EFJ34" s="47"/>
      <c r="EFK34" s="47"/>
      <c r="EFL34" s="47"/>
      <c r="EFM34" s="47"/>
      <c r="EFN34" s="47"/>
      <c r="EFO34" s="47"/>
      <c r="EFP34" s="47"/>
      <c r="EFQ34" s="47"/>
      <c r="EFR34" s="47"/>
      <c r="EFS34" s="47"/>
      <c r="EFT34" s="47"/>
      <c r="EFU34" s="47"/>
      <c r="EFV34" s="47"/>
      <c r="EFW34" s="47"/>
      <c r="EFX34" s="47"/>
      <c r="EFY34" s="47"/>
      <c r="EFZ34" s="47"/>
      <c r="EGA34" s="47"/>
      <c r="EGB34" s="47"/>
      <c r="EGC34" s="47"/>
      <c r="EGD34" s="47"/>
      <c r="EGE34" s="47"/>
      <c r="EGF34" s="47"/>
      <c r="EGG34" s="47"/>
      <c r="EGH34" s="47"/>
      <c r="EGI34" s="47"/>
      <c r="EGJ34" s="47"/>
      <c r="EGK34" s="47"/>
      <c r="EGL34" s="47"/>
      <c r="EGM34" s="47"/>
      <c r="EGN34" s="47"/>
      <c r="EGO34" s="47"/>
      <c r="EGP34" s="47"/>
      <c r="EGQ34" s="47"/>
      <c r="EGR34" s="47"/>
      <c r="EGS34" s="47"/>
      <c r="EGT34" s="47"/>
      <c r="EGU34" s="47"/>
      <c r="EGV34" s="47"/>
      <c r="EGW34" s="47"/>
      <c r="EGX34" s="47"/>
      <c r="EGY34" s="47"/>
      <c r="EGZ34" s="47"/>
      <c r="EHA34" s="47"/>
      <c r="EHB34" s="47"/>
      <c r="EHC34" s="47"/>
      <c r="EHD34" s="47"/>
      <c r="EHE34" s="47"/>
      <c r="EHF34" s="47"/>
      <c r="EHG34" s="47"/>
      <c r="EHH34" s="47"/>
      <c r="EHI34" s="47"/>
      <c r="EHJ34" s="47"/>
      <c r="EHK34" s="47"/>
      <c r="EHL34" s="47"/>
      <c r="EHM34" s="47"/>
      <c r="EHN34" s="47"/>
      <c r="EHO34" s="47"/>
      <c r="EHP34" s="47"/>
      <c r="EHQ34" s="47"/>
      <c r="EHR34" s="47"/>
      <c r="EHS34" s="47"/>
      <c r="EHT34" s="47"/>
      <c r="EHU34" s="47"/>
      <c r="EHV34" s="47"/>
      <c r="EHW34" s="47"/>
      <c r="EHX34" s="47"/>
      <c r="EHY34" s="47"/>
      <c r="EHZ34" s="47"/>
      <c r="EIA34" s="47"/>
      <c r="EIB34" s="47"/>
      <c r="EIC34" s="47"/>
      <c r="EID34" s="47"/>
      <c r="EIE34" s="47"/>
      <c r="EIF34" s="47"/>
      <c r="EIG34" s="47"/>
      <c r="EIH34" s="47"/>
      <c r="EII34" s="47"/>
      <c r="EIJ34" s="47"/>
      <c r="EIK34" s="47"/>
      <c r="EIL34" s="47"/>
      <c r="EIM34" s="47"/>
      <c r="EIN34" s="47"/>
      <c r="EIO34" s="47"/>
      <c r="EIP34" s="47"/>
      <c r="EIQ34" s="47"/>
      <c r="EIR34" s="47"/>
      <c r="EIS34" s="47"/>
      <c r="EIT34" s="47"/>
      <c r="EIU34" s="47"/>
      <c r="EIV34" s="47"/>
      <c r="EIW34" s="47"/>
      <c r="EIX34" s="47"/>
      <c r="EIY34" s="47"/>
      <c r="EIZ34" s="47"/>
      <c r="EJA34" s="47"/>
      <c r="EJB34" s="47"/>
      <c r="EJC34" s="47"/>
      <c r="EJD34" s="47"/>
      <c r="EJE34" s="47"/>
      <c r="EJF34" s="47"/>
      <c r="EJG34" s="47"/>
      <c r="EJH34" s="47"/>
      <c r="EJI34" s="47"/>
      <c r="EJJ34" s="47"/>
      <c r="EJK34" s="47"/>
      <c r="EJL34" s="47"/>
      <c r="EJM34" s="47"/>
      <c r="EJN34" s="47"/>
      <c r="EJO34" s="47"/>
      <c r="EJP34" s="47"/>
      <c r="EJQ34" s="47"/>
      <c r="EJR34" s="47"/>
      <c r="EJS34" s="47"/>
      <c r="EJT34" s="47"/>
      <c r="EJU34" s="47"/>
      <c r="EJV34" s="47"/>
      <c r="EJW34" s="47"/>
      <c r="EJX34" s="47"/>
      <c r="EJY34" s="47"/>
      <c r="EJZ34" s="47"/>
      <c r="EKA34" s="47"/>
      <c r="EKB34" s="47"/>
      <c r="EKC34" s="47"/>
      <c r="EKD34" s="47"/>
      <c r="EKE34" s="47"/>
      <c r="EKF34" s="47"/>
      <c r="EKG34" s="47"/>
      <c r="EKH34" s="47"/>
      <c r="EKI34" s="47"/>
      <c r="EKJ34" s="47"/>
      <c r="EKK34" s="47"/>
      <c r="EKL34" s="47"/>
      <c r="EKM34" s="47"/>
      <c r="EKN34" s="47"/>
      <c r="EKO34" s="47"/>
      <c r="EKP34" s="47"/>
      <c r="EKQ34" s="47"/>
      <c r="EKR34" s="47"/>
      <c r="EKS34" s="47"/>
      <c r="EKT34" s="47"/>
      <c r="EKU34" s="47"/>
      <c r="EKV34" s="47"/>
      <c r="EKW34" s="47"/>
      <c r="EKX34" s="47"/>
      <c r="EKY34" s="47"/>
      <c r="EKZ34" s="47"/>
      <c r="ELA34" s="47"/>
      <c r="ELB34" s="47"/>
      <c r="ELC34" s="47"/>
      <c r="ELD34" s="47"/>
      <c r="ELE34" s="47"/>
      <c r="ELF34" s="47"/>
      <c r="ELG34" s="47"/>
      <c r="ELH34" s="47"/>
      <c r="ELI34" s="47"/>
      <c r="ELJ34" s="47"/>
      <c r="ELK34" s="47"/>
      <c r="ELL34" s="47"/>
      <c r="ELM34" s="47"/>
      <c r="ELN34" s="47"/>
      <c r="ELO34" s="47"/>
      <c r="ELP34" s="47"/>
      <c r="ELQ34" s="47"/>
      <c r="ELR34" s="47"/>
      <c r="ELS34" s="47"/>
      <c r="ELT34" s="47"/>
      <c r="ELU34" s="47"/>
      <c r="ELV34" s="47"/>
      <c r="ELW34" s="47"/>
      <c r="ELX34" s="47"/>
      <c r="ELY34" s="47"/>
      <c r="ELZ34" s="47"/>
      <c r="EMA34" s="47"/>
      <c r="EMB34" s="47"/>
      <c r="EMC34" s="47"/>
      <c r="EMD34" s="47"/>
      <c r="EME34" s="47"/>
      <c r="EMF34" s="47"/>
      <c r="EMG34" s="47"/>
      <c r="EMH34" s="47"/>
      <c r="EMI34" s="47"/>
      <c r="EMJ34" s="47"/>
      <c r="EMK34" s="47"/>
      <c r="EML34" s="47"/>
      <c r="EMM34" s="47"/>
      <c r="EMN34" s="47"/>
      <c r="EMO34" s="47"/>
      <c r="EMP34" s="47"/>
      <c r="EMQ34" s="47"/>
      <c r="EMR34" s="47"/>
      <c r="EMS34" s="47"/>
      <c r="EMT34" s="47"/>
      <c r="EMU34" s="47"/>
      <c r="EMV34" s="47"/>
      <c r="EMW34" s="47"/>
      <c r="EMX34" s="47"/>
      <c r="EMY34" s="47"/>
      <c r="EMZ34" s="47"/>
      <c r="ENA34" s="47"/>
      <c r="ENB34" s="47"/>
      <c r="ENC34" s="47"/>
      <c r="END34" s="47"/>
      <c r="ENE34" s="47"/>
      <c r="ENF34" s="47"/>
      <c r="ENG34" s="47"/>
      <c r="ENH34" s="47"/>
      <c r="ENI34" s="47"/>
      <c r="ENJ34" s="47"/>
      <c r="ENK34" s="47"/>
      <c r="ENL34" s="47"/>
      <c r="ENM34" s="47"/>
      <c r="ENN34" s="47"/>
      <c r="ENO34" s="47"/>
      <c r="ENP34" s="47"/>
      <c r="ENQ34" s="47"/>
      <c r="ENR34" s="47"/>
      <c r="ENS34" s="47"/>
      <c r="ENT34" s="47"/>
      <c r="ENU34" s="47"/>
      <c r="ENV34" s="47"/>
      <c r="ENW34" s="47"/>
      <c r="ENX34" s="47"/>
      <c r="ENY34" s="47"/>
      <c r="ENZ34" s="47"/>
      <c r="EOA34" s="47"/>
      <c r="EOB34" s="47"/>
      <c r="EOC34" s="47"/>
      <c r="EOD34" s="47"/>
      <c r="EOE34" s="47"/>
      <c r="EOF34" s="47"/>
      <c r="EOG34" s="47"/>
      <c r="EOH34" s="47"/>
      <c r="EOI34" s="47"/>
      <c r="EOJ34" s="47"/>
      <c r="EOK34" s="47"/>
      <c r="EOL34" s="47"/>
      <c r="EOM34" s="47"/>
      <c r="EON34" s="47"/>
      <c r="EOO34" s="47"/>
      <c r="EOP34" s="47"/>
      <c r="EOQ34" s="47"/>
      <c r="EOR34" s="47"/>
      <c r="EOS34" s="47"/>
      <c r="EOT34" s="47"/>
      <c r="EOU34" s="47"/>
      <c r="EOV34" s="47"/>
      <c r="EOW34" s="47"/>
      <c r="EOX34" s="47"/>
      <c r="EOY34" s="47"/>
      <c r="EOZ34" s="47"/>
      <c r="EPA34" s="47"/>
      <c r="EPB34" s="47"/>
      <c r="EPC34" s="47"/>
      <c r="EPD34" s="47"/>
      <c r="EPE34" s="47"/>
      <c r="EPF34" s="47"/>
      <c r="EPG34" s="47"/>
      <c r="EPH34" s="47"/>
      <c r="EPI34" s="47"/>
      <c r="EPJ34" s="47"/>
      <c r="EPK34" s="47"/>
      <c r="EPL34" s="47"/>
      <c r="EPM34" s="47"/>
      <c r="EPN34" s="47"/>
      <c r="EPO34" s="47"/>
      <c r="EPP34" s="47"/>
      <c r="EPQ34" s="47"/>
      <c r="EPR34" s="47"/>
      <c r="EPS34" s="47"/>
      <c r="EPT34" s="47"/>
      <c r="EPU34" s="47"/>
      <c r="EPV34" s="47"/>
      <c r="EPW34" s="47"/>
      <c r="EPX34" s="47"/>
      <c r="EPY34" s="47"/>
      <c r="EPZ34" s="47"/>
      <c r="EQA34" s="47"/>
      <c r="EQB34" s="47"/>
      <c r="EQC34" s="47"/>
      <c r="EQD34" s="47"/>
      <c r="EQE34" s="47"/>
      <c r="EQF34" s="47"/>
      <c r="EQG34" s="47"/>
      <c r="EQH34" s="47"/>
      <c r="EQI34" s="47"/>
      <c r="EQJ34" s="47"/>
      <c r="EQK34" s="47"/>
      <c r="EQL34" s="47"/>
      <c r="EQM34" s="47"/>
      <c r="EQN34" s="47"/>
      <c r="EQO34" s="47"/>
      <c r="EQP34" s="47"/>
      <c r="EQQ34" s="47"/>
      <c r="EQR34" s="47"/>
      <c r="EQS34" s="47"/>
      <c r="EQT34" s="47"/>
      <c r="EQU34" s="47"/>
      <c r="EQV34" s="47"/>
      <c r="EQW34" s="47"/>
      <c r="EQX34" s="47"/>
      <c r="EQY34" s="47"/>
      <c r="EQZ34" s="47"/>
      <c r="ERA34" s="47"/>
      <c r="ERB34" s="47"/>
      <c r="ERC34" s="47"/>
      <c r="ERD34" s="47"/>
      <c r="ERE34" s="47"/>
      <c r="ERF34" s="47"/>
      <c r="ERG34" s="47"/>
      <c r="ERH34" s="47"/>
      <c r="ERI34" s="47"/>
      <c r="ERJ34" s="47"/>
      <c r="ERK34" s="47"/>
      <c r="ERL34" s="47"/>
      <c r="ERM34" s="47"/>
      <c r="ERN34" s="47"/>
      <c r="ERO34" s="47"/>
      <c r="ERP34" s="47"/>
      <c r="ERQ34" s="47"/>
      <c r="ERR34" s="47"/>
      <c r="ERS34" s="47"/>
      <c r="ERT34" s="47"/>
      <c r="ERU34" s="47"/>
      <c r="ERV34" s="47"/>
      <c r="ERW34" s="47"/>
      <c r="ERX34" s="47"/>
      <c r="ERY34" s="47"/>
      <c r="ERZ34" s="47"/>
      <c r="ESA34" s="47"/>
      <c r="ESB34" s="47"/>
      <c r="ESC34" s="47"/>
      <c r="ESD34" s="47"/>
      <c r="ESE34" s="47"/>
      <c r="ESF34" s="47"/>
      <c r="ESG34" s="47"/>
      <c r="ESH34" s="47"/>
      <c r="ESI34" s="47"/>
      <c r="ESJ34" s="47"/>
      <c r="ESK34" s="47"/>
      <c r="ESL34" s="47"/>
      <c r="ESM34" s="47"/>
      <c r="ESN34" s="47"/>
      <c r="ESO34" s="47"/>
      <c r="ESP34" s="47"/>
      <c r="ESQ34" s="47"/>
      <c r="ESR34" s="47"/>
      <c r="ESS34" s="47"/>
      <c r="EST34" s="47"/>
      <c r="ESU34" s="47"/>
      <c r="ESV34" s="47"/>
      <c r="ESW34" s="47"/>
      <c r="ESX34" s="47"/>
      <c r="ESY34" s="47"/>
      <c r="ESZ34" s="47"/>
      <c r="ETA34" s="47"/>
      <c r="ETB34" s="47"/>
      <c r="ETC34" s="47"/>
      <c r="ETD34" s="47"/>
      <c r="ETE34" s="47"/>
      <c r="ETF34" s="47"/>
      <c r="ETG34" s="47"/>
      <c r="ETH34" s="47"/>
      <c r="ETI34" s="47"/>
      <c r="ETJ34" s="47"/>
      <c r="ETK34" s="47"/>
      <c r="ETL34" s="47"/>
      <c r="ETM34" s="47"/>
      <c r="ETN34" s="47"/>
      <c r="ETO34" s="47"/>
      <c r="ETP34" s="47"/>
      <c r="ETQ34" s="47"/>
      <c r="ETR34" s="47"/>
      <c r="ETS34" s="47"/>
      <c r="ETT34" s="47"/>
      <c r="ETU34" s="47"/>
      <c r="ETV34" s="47"/>
      <c r="ETW34" s="47"/>
      <c r="ETX34" s="47"/>
      <c r="ETY34" s="47"/>
      <c r="ETZ34" s="47"/>
      <c r="EUA34" s="47"/>
      <c r="EUB34" s="47"/>
      <c r="EUC34" s="47"/>
      <c r="EUD34" s="47"/>
      <c r="EUE34" s="47"/>
      <c r="EUF34" s="47"/>
      <c r="EUG34" s="47"/>
      <c r="EUH34" s="47"/>
      <c r="EUI34" s="47"/>
      <c r="EUJ34" s="47"/>
      <c r="EUK34" s="47"/>
      <c r="EUL34" s="47"/>
      <c r="EUM34" s="47"/>
      <c r="EUN34" s="47"/>
      <c r="EUO34" s="47"/>
      <c r="EUP34" s="47"/>
      <c r="EUQ34" s="47"/>
      <c r="EUR34" s="47"/>
      <c r="EUS34" s="47"/>
      <c r="EUT34" s="47"/>
      <c r="EUU34" s="47"/>
      <c r="EUV34" s="47"/>
      <c r="EUW34" s="47"/>
      <c r="EUX34" s="47"/>
      <c r="EUY34" s="47"/>
      <c r="EUZ34" s="47"/>
      <c r="EVA34" s="47"/>
      <c r="EVB34" s="47"/>
      <c r="EVC34" s="47"/>
      <c r="EVD34" s="47"/>
      <c r="EVE34" s="47"/>
      <c r="EVF34" s="47"/>
      <c r="EVG34" s="47"/>
      <c r="EVH34" s="47"/>
      <c r="EVI34" s="47"/>
      <c r="EVJ34" s="47"/>
      <c r="EVK34" s="47"/>
      <c r="EVL34" s="47"/>
      <c r="EVM34" s="47"/>
      <c r="EVN34" s="47"/>
      <c r="EVO34" s="47"/>
      <c r="EVP34" s="47"/>
      <c r="EVQ34" s="47"/>
      <c r="EVR34" s="47"/>
      <c r="EVS34" s="47"/>
      <c r="EVT34" s="47"/>
      <c r="EVU34" s="47"/>
      <c r="EVV34" s="47"/>
      <c r="EVW34" s="47"/>
      <c r="EVX34" s="47"/>
      <c r="EVY34" s="47"/>
      <c r="EVZ34" s="47"/>
      <c r="EWA34" s="47"/>
      <c r="EWB34" s="47"/>
      <c r="EWC34" s="47"/>
      <c r="EWD34" s="47"/>
      <c r="EWE34" s="47"/>
      <c r="EWF34" s="47"/>
      <c r="EWG34" s="47"/>
      <c r="EWH34" s="47"/>
      <c r="EWI34" s="47"/>
      <c r="EWJ34" s="47"/>
      <c r="EWK34" s="47"/>
      <c r="EWL34" s="47"/>
      <c r="EWM34" s="47"/>
      <c r="EWN34" s="47"/>
      <c r="EWO34" s="47"/>
      <c r="EWP34" s="47"/>
      <c r="EWQ34" s="47"/>
      <c r="EWR34" s="47"/>
      <c r="EWS34" s="47"/>
      <c r="EWT34" s="47"/>
      <c r="EWU34" s="47"/>
      <c r="EWV34" s="47"/>
      <c r="EWW34" s="47"/>
      <c r="EWX34" s="47"/>
      <c r="EWY34" s="47"/>
      <c r="EWZ34" s="47"/>
      <c r="EXA34" s="47"/>
      <c r="EXB34" s="47"/>
      <c r="EXC34" s="47"/>
      <c r="EXD34" s="47"/>
      <c r="EXE34" s="47"/>
      <c r="EXF34" s="47"/>
      <c r="EXG34" s="47"/>
      <c r="EXH34" s="47"/>
      <c r="EXI34" s="47"/>
      <c r="EXJ34" s="47"/>
      <c r="EXK34" s="47"/>
      <c r="EXL34" s="47"/>
      <c r="EXM34" s="47"/>
      <c r="EXN34" s="47"/>
      <c r="EXO34" s="47"/>
      <c r="EXP34" s="47"/>
      <c r="EXQ34" s="47"/>
      <c r="EXR34" s="47"/>
      <c r="EXS34" s="47"/>
      <c r="EXT34" s="47"/>
      <c r="EXU34" s="47"/>
      <c r="EXV34" s="47"/>
      <c r="EXW34" s="47"/>
      <c r="EXX34" s="47"/>
      <c r="EXY34" s="47"/>
      <c r="EXZ34" s="47"/>
      <c r="EYA34" s="47"/>
      <c r="EYB34" s="47"/>
      <c r="EYC34" s="47"/>
      <c r="EYD34" s="47"/>
      <c r="EYE34" s="47"/>
      <c r="EYF34" s="47"/>
      <c r="EYG34" s="47"/>
      <c r="EYH34" s="47"/>
      <c r="EYI34" s="47"/>
      <c r="EYJ34" s="47"/>
      <c r="EYK34" s="47"/>
      <c r="EYL34" s="47"/>
      <c r="EYM34" s="47"/>
      <c r="EYN34" s="47"/>
      <c r="EYO34" s="47"/>
      <c r="EYP34" s="47"/>
      <c r="EYQ34" s="47"/>
      <c r="EYR34" s="47"/>
      <c r="EYS34" s="47"/>
      <c r="EYT34" s="47"/>
      <c r="EYU34" s="47"/>
      <c r="EYV34" s="47"/>
      <c r="EYW34" s="47"/>
      <c r="EYX34" s="47"/>
      <c r="EYY34" s="47"/>
      <c r="EYZ34" s="47"/>
      <c r="EZA34" s="47"/>
      <c r="EZB34" s="47"/>
      <c r="EZC34" s="47"/>
      <c r="EZD34" s="47"/>
      <c r="EZE34" s="47"/>
      <c r="EZF34" s="47"/>
      <c r="EZG34" s="47"/>
      <c r="EZH34" s="47"/>
      <c r="EZI34" s="47"/>
      <c r="EZJ34" s="47"/>
      <c r="EZK34" s="47"/>
      <c r="EZL34" s="47"/>
      <c r="EZM34" s="47"/>
      <c r="EZN34" s="47"/>
      <c r="EZO34" s="47"/>
      <c r="EZP34" s="47"/>
      <c r="EZQ34" s="47"/>
      <c r="EZR34" s="47"/>
      <c r="EZS34" s="47"/>
      <c r="EZT34" s="47"/>
      <c r="EZU34" s="47"/>
      <c r="EZV34" s="47"/>
      <c r="EZW34" s="47"/>
      <c r="EZX34" s="47"/>
      <c r="EZY34" s="47"/>
      <c r="EZZ34" s="47"/>
      <c r="FAA34" s="47"/>
      <c r="FAB34" s="47"/>
      <c r="FAC34" s="47"/>
      <c r="FAD34" s="47"/>
      <c r="FAE34" s="47"/>
      <c r="FAF34" s="47"/>
      <c r="FAG34" s="47"/>
      <c r="FAH34" s="47"/>
      <c r="FAI34" s="47"/>
      <c r="FAJ34" s="47"/>
      <c r="FAK34" s="47"/>
      <c r="FAL34" s="47"/>
      <c r="FAM34" s="47"/>
      <c r="FAN34" s="47"/>
      <c r="FAO34" s="47"/>
      <c r="FAP34" s="47"/>
      <c r="FAQ34" s="47"/>
      <c r="FAR34" s="47"/>
      <c r="FAS34" s="47"/>
      <c r="FAT34" s="47"/>
      <c r="FAU34" s="47"/>
      <c r="FAV34" s="47"/>
      <c r="FAW34" s="47"/>
      <c r="FAX34" s="47"/>
      <c r="FAY34" s="47"/>
      <c r="FAZ34" s="47"/>
      <c r="FBA34" s="47"/>
      <c r="FBB34" s="47"/>
      <c r="FBC34" s="47"/>
      <c r="FBD34" s="47"/>
      <c r="FBE34" s="47"/>
      <c r="FBF34" s="47"/>
      <c r="FBG34" s="47"/>
      <c r="FBH34" s="47"/>
      <c r="FBI34" s="47"/>
      <c r="FBJ34" s="47"/>
      <c r="FBK34" s="47"/>
      <c r="FBL34" s="47"/>
      <c r="FBM34" s="47"/>
      <c r="FBN34" s="47"/>
      <c r="FBO34" s="47"/>
      <c r="FBP34" s="47"/>
      <c r="FBQ34" s="47"/>
      <c r="FBR34" s="47"/>
      <c r="FBS34" s="47"/>
      <c r="FBT34" s="47"/>
      <c r="FBU34" s="47"/>
      <c r="FBV34" s="47"/>
      <c r="FBW34" s="47"/>
      <c r="FBX34" s="47"/>
      <c r="FBY34" s="47"/>
      <c r="FBZ34" s="47"/>
      <c r="FCA34" s="47"/>
      <c r="FCB34" s="47"/>
      <c r="FCC34" s="47"/>
      <c r="FCD34" s="47"/>
      <c r="FCE34" s="47"/>
      <c r="FCF34" s="47"/>
      <c r="FCG34" s="47"/>
      <c r="FCH34" s="47"/>
      <c r="FCI34" s="47"/>
      <c r="FCJ34" s="47"/>
      <c r="FCK34" s="47"/>
      <c r="FCL34" s="47"/>
      <c r="FCM34" s="47"/>
      <c r="FCN34" s="47"/>
      <c r="FCO34" s="47"/>
      <c r="FCP34" s="47"/>
      <c r="FCQ34" s="47"/>
      <c r="FCR34" s="47"/>
      <c r="FCS34" s="47"/>
      <c r="FCT34" s="47"/>
      <c r="FCU34" s="47"/>
      <c r="FCV34" s="47"/>
      <c r="FCW34" s="47"/>
      <c r="FCX34" s="47"/>
      <c r="FCY34" s="47"/>
      <c r="FCZ34" s="47"/>
      <c r="FDA34" s="47"/>
      <c r="FDB34" s="47"/>
      <c r="FDC34" s="47"/>
      <c r="FDD34" s="47"/>
      <c r="FDE34" s="47"/>
      <c r="FDF34" s="47"/>
      <c r="FDG34" s="47"/>
      <c r="FDH34" s="47"/>
      <c r="FDI34" s="47"/>
      <c r="FDJ34" s="47"/>
      <c r="FDK34" s="47"/>
      <c r="FDL34" s="47"/>
      <c r="FDM34" s="47"/>
      <c r="FDN34" s="47"/>
      <c r="FDO34" s="47"/>
      <c r="FDP34" s="47"/>
      <c r="FDQ34" s="47"/>
      <c r="FDR34" s="47"/>
      <c r="FDS34" s="47"/>
      <c r="FDT34" s="47"/>
      <c r="FDU34" s="47"/>
      <c r="FDV34" s="47"/>
      <c r="FDW34" s="47"/>
      <c r="FDX34" s="47"/>
      <c r="FDY34" s="47"/>
      <c r="FDZ34" s="47"/>
      <c r="FEA34" s="47"/>
      <c r="FEB34" s="47"/>
      <c r="FEC34" s="47"/>
      <c r="FED34" s="47"/>
      <c r="FEE34" s="47"/>
      <c r="FEF34" s="47"/>
      <c r="FEG34" s="47"/>
      <c r="FEH34" s="47"/>
      <c r="FEI34" s="47"/>
      <c r="FEJ34" s="47"/>
      <c r="FEK34" s="47"/>
      <c r="FEL34" s="47"/>
      <c r="FEM34" s="47"/>
      <c r="FEN34" s="47"/>
      <c r="FEO34" s="47"/>
      <c r="FEP34" s="47"/>
      <c r="FEQ34" s="47"/>
      <c r="FER34" s="47"/>
      <c r="FES34" s="47"/>
      <c r="FET34" s="47"/>
      <c r="FEU34" s="47"/>
      <c r="FEV34" s="47"/>
      <c r="FEW34" s="47"/>
      <c r="FEX34" s="47"/>
      <c r="FEY34" s="47"/>
      <c r="FEZ34" s="47"/>
      <c r="FFA34" s="47"/>
      <c r="FFB34" s="47"/>
      <c r="FFC34" s="47"/>
      <c r="FFD34" s="47"/>
      <c r="FFE34" s="47"/>
      <c r="FFF34" s="47"/>
      <c r="FFG34" s="47"/>
      <c r="FFH34" s="47"/>
      <c r="FFI34" s="47"/>
      <c r="FFJ34" s="47"/>
      <c r="FFK34" s="47"/>
      <c r="FFL34" s="47"/>
      <c r="FFM34" s="47"/>
      <c r="FFN34" s="47"/>
      <c r="FFO34" s="47"/>
      <c r="FFP34" s="47"/>
      <c r="FFQ34" s="47"/>
      <c r="FFR34" s="47"/>
      <c r="FFS34" s="47"/>
      <c r="FFT34" s="47"/>
      <c r="FFU34" s="47"/>
      <c r="FFV34" s="47"/>
      <c r="FFW34" s="47"/>
      <c r="FFX34" s="47"/>
      <c r="FFY34" s="47"/>
      <c r="FFZ34" s="47"/>
      <c r="FGA34" s="47"/>
      <c r="FGB34" s="47"/>
      <c r="FGC34" s="47"/>
      <c r="FGD34" s="47"/>
      <c r="FGE34" s="47"/>
      <c r="FGF34" s="47"/>
      <c r="FGG34" s="47"/>
      <c r="FGH34" s="47"/>
      <c r="FGI34" s="47"/>
      <c r="FGJ34" s="47"/>
      <c r="FGK34" s="47"/>
      <c r="FGL34" s="47"/>
      <c r="FGM34" s="47"/>
      <c r="FGN34" s="47"/>
      <c r="FGO34" s="47"/>
      <c r="FGP34" s="47"/>
      <c r="FGQ34" s="47"/>
      <c r="FGR34" s="47"/>
      <c r="FGS34" s="47"/>
      <c r="FGT34" s="47"/>
      <c r="FGU34" s="47"/>
      <c r="FGV34" s="47"/>
      <c r="FGW34" s="47"/>
      <c r="FGX34" s="47"/>
      <c r="FGY34" s="47"/>
      <c r="FGZ34" s="47"/>
      <c r="FHA34" s="47"/>
      <c r="FHB34" s="47"/>
      <c r="FHC34" s="47"/>
      <c r="FHD34" s="47"/>
      <c r="FHE34" s="47"/>
      <c r="FHF34" s="47"/>
      <c r="FHG34" s="47"/>
      <c r="FHH34" s="47"/>
      <c r="FHI34" s="47"/>
      <c r="FHJ34" s="47"/>
      <c r="FHK34" s="47"/>
      <c r="FHL34" s="47"/>
      <c r="FHM34" s="47"/>
      <c r="FHN34" s="47"/>
      <c r="FHO34" s="47"/>
      <c r="FHP34" s="47"/>
      <c r="FHQ34" s="47"/>
      <c r="FHR34" s="47"/>
      <c r="FHS34" s="47"/>
      <c r="FHT34" s="47"/>
      <c r="FHU34" s="47"/>
      <c r="FHV34" s="47"/>
      <c r="FHW34" s="47"/>
      <c r="FHX34" s="47"/>
      <c r="FHY34" s="47"/>
      <c r="FHZ34" s="47"/>
      <c r="FIA34" s="47"/>
      <c r="FIB34" s="47"/>
      <c r="FIC34" s="47"/>
      <c r="FID34" s="47"/>
      <c r="FIE34" s="47"/>
      <c r="FIF34" s="47"/>
      <c r="FIG34" s="47"/>
      <c r="FIH34" s="47"/>
      <c r="FII34" s="47"/>
      <c r="FIJ34" s="47"/>
      <c r="FIK34" s="47"/>
      <c r="FIL34" s="47"/>
      <c r="FIM34" s="47"/>
      <c r="FIN34" s="47"/>
      <c r="FIO34" s="47"/>
      <c r="FIP34" s="47"/>
      <c r="FIQ34" s="47"/>
      <c r="FIR34" s="47"/>
      <c r="FIS34" s="47"/>
      <c r="FIT34" s="47"/>
      <c r="FIU34" s="47"/>
      <c r="FIV34" s="47"/>
      <c r="FIW34" s="47"/>
      <c r="FIX34" s="47"/>
      <c r="FIY34" s="47"/>
      <c r="FIZ34" s="47"/>
      <c r="FJA34" s="47"/>
      <c r="FJB34" s="47"/>
      <c r="FJC34" s="47"/>
      <c r="FJD34" s="47"/>
      <c r="FJE34" s="47"/>
      <c r="FJF34" s="47"/>
      <c r="FJG34" s="47"/>
      <c r="FJH34" s="47"/>
      <c r="FJI34" s="47"/>
      <c r="FJJ34" s="47"/>
      <c r="FJK34" s="47"/>
      <c r="FJL34" s="47"/>
      <c r="FJM34" s="47"/>
      <c r="FJN34" s="47"/>
      <c r="FJO34" s="47"/>
      <c r="FJP34" s="47"/>
      <c r="FJQ34" s="47"/>
      <c r="FJR34" s="47"/>
      <c r="FJS34" s="47"/>
      <c r="FJT34" s="47"/>
      <c r="FJU34" s="47"/>
      <c r="FJV34" s="47"/>
      <c r="FJW34" s="47"/>
      <c r="FJX34" s="47"/>
      <c r="FJY34" s="47"/>
      <c r="FJZ34" s="47"/>
      <c r="FKA34" s="47"/>
      <c r="FKB34" s="47"/>
      <c r="FKC34" s="47"/>
      <c r="FKD34" s="47"/>
      <c r="FKE34" s="47"/>
      <c r="FKF34" s="47"/>
      <c r="FKG34" s="47"/>
      <c r="FKH34" s="47"/>
      <c r="FKI34" s="47"/>
      <c r="FKJ34" s="47"/>
      <c r="FKK34" s="47"/>
      <c r="FKL34" s="47"/>
      <c r="FKM34" s="47"/>
      <c r="FKN34" s="47"/>
      <c r="FKO34" s="47"/>
      <c r="FKP34" s="47"/>
      <c r="FKQ34" s="47"/>
      <c r="FKR34" s="47"/>
      <c r="FKS34" s="47"/>
      <c r="FKT34" s="47"/>
      <c r="FKU34" s="47"/>
      <c r="FKV34" s="47"/>
      <c r="FKW34" s="47"/>
      <c r="FKX34" s="47"/>
      <c r="FKY34" s="47"/>
      <c r="FKZ34" s="47"/>
      <c r="FLA34" s="47"/>
      <c r="FLB34" s="47"/>
      <c r="FLC34" s="47"/>
      <c r="FLD34" s="47"/>
      <c r="FLE34" s="47"/>
      <c r="FLF34" s="47"/>
      <c r="FLG34" s="47"/>
      <c r="FLH34" s="47"/>
      <c r="FLI34" s="47"/>
      <c r="FLJ34" s="47"/>
      <c r="FLK34" s="47"/>
      <c r="FLL34" s="47"/>
      <c r="FLM34" s="47"/>
      <c r="FLN34" s="47"/>
      <c r="FLO34" s="47"/>
      <c r="FLP34" s="47"/>
      <c r="FLQ34" s="47"/>
      <c r="FLR34" s="47"/>
      <c r="FLS34" s="47"/>
      <c r="FLT34" s="47"/>
      <c r="FLU34" s="47"/>
      <c r="FLV34" s="47"/>
      <c r="FLW34" s="47"/>
      <c r="FLX34" s="47"/>
      <c r="FLY34" s="47"/>
      <c r="FLZ34" s="47"/>
      <c r="FMA34" s="47"/>
      <c r="FMB34" s="47"/>
      <c r="FMC34" s="47"/>
      <c r="FMD34" s="47"/>
      <c r="FME34" s="47"/>
      <c r="FMF34" s="47"/>
      <c r="FMG34" s="47"/>
      <c r="FMH34" s="47"/>
      <c r="FMI34" s="47"/>
      <c r="FMJ34" s="47"/>
      <c r="FMK34" s="47"/>
      <c r="FML34" s="47"/>
      <c r="FMM34" s="47"/>
      <c r="FMN34" s="47"/>
      <c r="FMO34" s="47"/>
      <c r="FMP34" s="47"/>
      <c r="FMQ34" s="47"/>
      <c r="FMR34" s="47"/>
      <c r="FMS34" s="47"/>
      <c r="FMT34" s="47"/>
      <c r="FMU34" s="47"/>
      <c r="FMV34" s="47"/>
      <c r="FMW34" s="47"/>
      <c r="FMX34" s="47"/>
      <c r="FMY34" s="47"/>
      <c r="FMZ34" s="47"/>
      <c r="FNA34" s="47"/>
      <c r="FNB34" s="47"/>
      <c r="FNC34" s="47"/>
      <c r="FND34" s="47"/>
      <c r="FNE34" s="47"/>
      <c r="FNF34" s="47"/>
      <c r="FNG34" s="47"/>
      <c r="FNH34" s="47"/>
      <c r="FNI34" s="47"/>
      <c r="FNJ34" s="47"/>
      <c r="FNK34" s="47"/>
      <c r="FNL34" s="47"/>
      <c r="FNM34" s="47"/>
      <c r="FNN34" s="47"/>
      <c r="FNO34" s="47"/>
      <c r="FNP34" s="47"/>
      <c r="FNQ34" s="47"/>
      <c r="FNR34" s="47"/>
      <c r="FNS34" s="47"/>
      <c r="FNT34" s="47"/>
      <c r="FNU34" s="47"/>
      <c r="FNV34" s="47"/>
      <c r="FNW34" s="47"/>
      <c r="FNX34" s="47"/>
      <c r="FNY34" s="47"/>
      <c r="FNZ34" s="47"/>
      <c r="FOA34" s="47"/>
      <c r="FOB34" s="47"/>
      <c r="FOC34" s="47"/>
      <c r="FOD34" s="47"/>
      <c r="FOE34" s="47"/>
      <c r="FOF34" s="47"/>
      <c r="FOG34" s="47"/>
      <c r="FOH34" s="47"/>
      <c r="FOI34" s="47"/>
      <c r="FOJ34" s="47"/>
      <c r="FOK34" s="47"/>
      <c r="FOL34" s="47"/>
      <c r="FOM34" s="47"/>
      <c r="FON34" s="47"/>
      <c r="FOO34" s="47"/>
      <c r="FOP34" s="47"/>
      <c r="FOQ34" s="47"/>
      <c r="FOR34" s="47"/>
      <c r="FOS34" s="47"/>
      <c r="FOT34" s="47"/>
      <c r="FOU34" s="47"/>
      <c r="FOV34" s="47"/>
      <c r="FOW34" s="47"/>
      <c r="FOX34" s="47"/>
      <c r="FOY34" s="47"/>
      <c r="FOZ34" s="47"/>
      <c r="FPA34" s="47"/>
      <c r="FPB34" s="47"/>
      <c r="FPC34" s="47"/>
      <c r="FPD34" s="47"/>
      <c r="FPE34" s="47"/>
      <c r="FPF34" s="47"/>
      <c r="FPG34" s="47"/>
      <c r="FPH34" s="47"/>
      <c r="FPI34" s="47"/>
      <c r="FPJ34" s="47"/>
      <c r="FPK34" s="47"/>
      <c r="FPL34" s="47"/>
      <c r="FPM34" s="47"/>
      <c r="FPN34" s="47"/>
      <c r="FPO34" s="47"/>
      <c r="FPP34" s="47"/>
      <c r="FPQ34" s="47"/>
      <c r="FPR34" s="47"/>
      <c r="FPS34" s="47"/>
      <c r="FPT34" s="47"/>
      <c r="FPU34" s="47"/>
      <c r="FPV34" s="47"/>
      <c r="FPW34" s="47"/>
      <c r="FPX34" s="47"/>
      <c r="FPY34" s="47"/>
      <c r="FPZ34" s="47"/>
      <c r="FQA34" s="47"/>
      <c r="FQB34" s="47"/>
      <c r="FQC34" s="47"/>
      <c r="FQD34" s="47"/>
      <c r="FQE34" s="47"/>
      <c r="FQF34" s="47"/>
      <c r="FQG34" s="47"/>
      <c r="FQH34" s="47"/>
      <c r="FQI34" s="47"/>
      <c r="FQJ34" s="47"/>
      <c r="FQK34" s="47"/>
      <c r="FQL34" s="47"/>
      <c r="FQM34" s="47"/>
      <c r="FQN34" s="47"/>
      <c r="FQO34" s="47"/>
      <c r="FQP34" s="47"/>
      <c r="FQQ34" s="47"/>
      <c r="FQR34" s="47"/>
      <c r="FQS34" s="47"/>
      <c r="FQT34" s="47"/>
      <c r="FQU34" s="47"/>
      <c r="FQV34" s="47"/>
      <c r="FQW34" s="47"/>
      <c r="FQX34" s="47"/>
      <c r="FQY34" s="47"/>
      <c r="FQZ34" s="47"/>
      <c r="FRA34" s="47"/>
      <c r="FRB34" s="47"/>
      <c r="FRC34" s="47"/>
      <c r="FRD34" s="47"/>
      <c r="FRE34" s="47"/>
      <c r="FRF34" s="47"/>
      <c r="FRG34" s="47"/>
      <c r="FRH34" s="47"/>
      <c r="FRI34" s="47"/>
      <c r="FRJ34" s="47"/>
      <c r="FRK34" s="47"/>
      <c r="FRL34" s="47"/>
      <c r="FRM34" s="47"/>
      <c r="FRN34" s="47"/>
      <c r="FRO34" s="47"/>
      <c r="FRP34" s="47"/>
      <c r="FRQ34" s="47"/>
      <c r="FRR34" s="47"/>
      <c r="FRS34" s="47"/>
      <c r="FRT34" s="47"/>
      <c r="FRU34" s="47"/>
      <c r="FRV34" s="47"/>
      <c r="FRW34" s="47"/>
      <c r="FRX34" s="47"/>
      <c r="FRY34" s="47"/>
      <c r="FRZ34" s="47"/>
      <c r="FSA34" s="47"/>
      <c r="FSB34" s="47"/>
      <c r="FSC34" s="47"/>
      <c r="FSD34" s="47"/>
      <c r="FSE34" s="47"/>
      <c r="FSF34" s="47"/>
      <c r="FSG34" s="47"/>
      <c r="FSH34" s="47"/>
      <c r="FSI34" s="47"/>
      <c r="FSJ34" s="47"/>
      <c r="FSK34" s="47"/>
      <c r="FSL34" s="47"/>
      <c r="FSM34" s="47"/>
      <c r="FSN34" s="47"/>
      <c r="FSO34" s="47"/>
      <c r="FSP34" s="47"/>
      <c r="FSQ34" s="47"/>
      <c r="FSR34" s="47"/>
      <c r="FSS34" s="47"/>
      <c r="FST34" s="47"/>
      <c r="FSU34" s="47"/>
      <c r="FSV34" s="47"/>
      <c r="FSW34" s="47"/>
      <c r="FSX34" s="47"/>
      <c r="FSY34" s="47"/>
      <c r="FSZ34" s="47"/>
      <c r="FTA34" s="47"/>
      <c r="FTB34" s="47"/>
      <c r="FTC34" s="47"/>
      <c r="FTD34" s="47"/>
      <c r="FTE34" s="47"/>
      <c r="FTF34" s="47"/>
      <c r="FTG34" s="47"/>
      <c r="FTH34" s="47"/>
      <c r="FTI34" s="47"/>
      <c r="FTJ34" s="47"/>
      <c r="FTK34" s="47"/>
      <c r="FTL34" s="47"/>
      <c r="FTM34" s="47"/>
      <c r="FTN34" s="47"/>
      <c r="FTO34" s="47"/>
      <c r="FTP34" s="47"/>
      <c r="FTQ34" s="47"/>
      <c r="FTR34" s="47"/>
      <c r="FTS34" s="47"/>
      <c r="FTT34" s="47"/>
      <c r="FTU34" s="47"/>
      <c r="FTV34" s="47"/>
      <c r="FTW34" s="47"/>
      <c r="FTX34" s="47"/>
      <c r="FTY34" s="47"/>
      <c r="FTZ34" s="47"/>
      <c r="FUA34" s="47"/>
      <c r="FUB34" s="47"/>
      <c r="FUC34" s="47"/>
      <c r="FUD34" s="47"/>
      <c r="FUE34" s="47"/>
      <c r="FUF34" s="47"/>
      <c r="FUG34" s="47"/>
      <c r="FUH34" s="47"/>
      <c r="FUI34" s="47"/>
      <c r="FUJ34" s="47"/>
      <c r="FUK34" s="47"/>
      <c r="FUL34" s="47"/>
      <c r="FUM34" s="47"/>
      <c r="FUN34" s="47"/>
      <c r="FUO34" s="47"/>
      <c r="FUP34" s="47"/>
      <c r="FUQ34" s="47"/>
      <c r="FUR34" s="47"/>
      <c r="FUS34" s="47"/>
      <c r="FUT34" s="47"/>
      <c r="FUU34" s="47"/>
      <c r="FUV34" s="47"/>
      <c r="FUW34" s="47"/>
      <c r="FUX34" s="47"/>
      <c r="FUY34" s="47"/>
      <c r="FUZ34" s="47"/>
      <c r="FVA34" s="47"/>
      <c r="FVB34" s="47"/>
      <c r="FVC34" s="47"/>
      <c r="FVD34" s="47"/>
      <c r="FVE34" s="47"/>
      <c r="FVF34" s="47"/>
      <c r="FVG34" s="47"/>
      <c r="FVH34" s="47"/>
      <c r="FVI34" s="47"/>
      <c r="FVJ34" s="47"/>
      <c r="FVK34" s="47"/>
      <c r="FVL34" s="47"/>
      <c r="FVM34" s="47"/>
      <c r="FVN34" s="47"/>
      <c r="FVO34" s="47"/>
      <c r="FVP34" s="47"/>
      <c r="FVQ34" s="47"/>
      <c r="FVR34" s="47"/>
      <c r="FVS34" s="47"/>
      <c r="FVT34" s="47"/>
      <c r="FVU34" s="47"/>
      <c r="FVV34" s="47"/>
      <c r="FVW34" s="47"/>
      <c r="FVX34" s="47"/>
      <c r="FVY34" s="47"/>
      <c r="FVZ34" s="47"/>
      <c r="FWA34" s="47"/>
      <c r="FWB34" s="47"/>
      <c r="FWC34" s="47"/>
      <c r="FWD34" s="47"/>
      <c r="FWE34" s="47"/>
      <c r="FWF34" s="47"/>
      <c r="FWG34" s="47"/>
      <c r="FWH34" s="47"/>
      <c r="FWI34" s="47"/>
      <c r="FWJ34" s="47"/>
      <c r="FWK34" s="47"/>
      <c r="FWL34" s="47"/>
      <c r="FWM34" s="47"/>
      <c r="FWN34" s="47"/>
      <c r="FWO34" s="47"/>
      <c r="FWP34" s="47"/>
      <c r="FWQ34" s="47"/>
      <c r="FWR34" s="47"/>
      <c r="FWS34" s="47"/>
      <c r="FWT34" s="47"/>
      <c r="FWU34" s="47"/>
      <c r="FWV34" s="47"/>
      <c r="FWW34" s="47"/>
      <c r="FWX34" s="47"/>
      <c r="FWY34" s="47"/>
      <c r="FWZ34" s="47"/>
      <c r="FXA34" s="47"/>
      <c r="FXB34" s="47"/>
      <c r="FXC34" s="47"/>
      <c r="FXD34" s="47"/>
      <c r="FXE34" s="47"/>
      <c r="FXF34" s="47"/>
      <c r="FXG34" s="47"/>
      <c r="FXH34" s="47"/>
      <c r="FXI34" s="47"/>
      <c r="FXJ34" s="47"/>
      <c r="FXK34" s="47"/>
      <c r="FXL34" s="47"/>
      <c r="FXM34" s="47"/>
      <c r="FXN34" s="47"/>
      <c r="FXO34" s="47"/>
      <c r="FXP34" s="47"/>
      <c r="FXQ34" s="47"/>
      <c r="FXR34" s="47"/>
      <c r="FXS34" s="47"/>
      <c r="FXT34" s="47"/>
      <c r="FXU34" s="47"/>
      <c r="FXV34" s="47"/>
      <c r="FXW34" s="47"/>
      <c r="FXX34" s="47"/>
      <c r="FXY34" s="47"/>
      <c r="FXZ34" s="47"/>
      <c r="FYA34" s="47"/>
      <c r="FYB34" s="47"/>
      <c r="FYC34" s="47"/>
      <c r="FYD34" s="47"/>
      <c r="FYE34" s="47"/>
      <c r="FYF34" s="47"/>
      <c r="FYG34" s="47"/>
      <c r="FYH34" s="47"/>
      <c r="FYI34" s="47"/>
      <c r="FYJ34" s="47"/>
      <c r="FYK34" s="47"/>
      <c r="FYL34" s="47"/>
      <c r="FYM34" s="47"/>
      <c r="FYN34" s="47"/>
      <c r="FYO34" s="47"/>
      <c r="FYP34" s="47"/>
      <c r="FYQ34" s="47"/>
      <c r="FYR34" s="47"/>
      <c r="FYS34" s="47"/>
      <c r="FYT34" s="47"/>
      <c r="FYU34" s="47"/>
      <c r="FYV34" s="47"/>
      <c r="FYW34" s="47"/>
      <c r="FYX34" s="47"/>
      <c r="FYY34" s="47"/>
      <c r="FYZ34" s="47"/>
      <c r="FZA34" s="47"/>
      <c r="FZB34" s="47"/>
      <c r="FZC34" s="47"/>
      <c r="FZD34" s="47"/>
      <c r="FZE34" s="47"/>
      <c r="FZF34" s="47"/>
      <c r="FZG34" s="47"/>
      <c r="FZH34" s="47"/>
      <c r="FZI34" s="47"/>
      <c r="FZJ34" s="47"/>
      <c r="FZK34" s="47"/>
      <c r="FZL34" s="47"/>
      <c r="FZM34" s="47"/>
      <c r="FZN34" s="47"/>
      <c r="FZO34" s="47"/>
      <c r="FZP34" s="47"/>
      <c r="FZQ34" s="47"/>
      <c r="FZR34" s="47"/>
      <c r="FZS34" s="47"/>
      <c r="FZT34" s="47"/>
      <c r="FZU34" s="47"/>
      <c r="FZV34" s="47"/>
      <c r="FZW34" s="47"/>
      <c r="FZX34" s="47"/>
      <c r="FZY34" s="47"/>
      <c r="FZZ34" s="47"/>
      <c r="GAA34" s="47"/>
      <c r="GAB34" s="47"/>
      <c r="GAC34" s="47"/>
      <c r="GAD34" s="47"/>
      <c r="GAE34" s="47"/>
      <c r="GAF34" s="47"/>
      <c r="GAG34" s="47"/>
      <c r="GAH34" s="47"/>
      <c r="GAI34" s="47"/>
      <c r="GAJ34" s="47"/>
      <c r="GAK34" s="47"/>
      <c r="GAL34" s="47"/>
      <c r="GAM34" s="47"/>
      <c r="GAN34" s="47"/>
      <c r="GAO34" s="47"/>
      <c r="GAP34" s="47"/>
      <c r="GAQ34" s="47"/>
      <c r="GAR34" s="47"/>
      <c r="GAS34" s="47"/>
      <c r="GAT34" s="47"/>
      <c r="GAU34" s="47"/>
      <c r="GAV34" s="47"/>
      <c r="GAW34" s="47"/>
      <c r="GAX34" s="47"/>
      <c r="GAY34" s="47"/>
      <c r="GAZ34" s="47"/>
      <c r="GBA34" s="47"/>
      <c r="GBB34" s="47"/>
      <c r="GBC34" s="47"/>
      <c r="GBD34" s="47"/>
      <c r="GBE34" s="47"/>
      <c r="GBF34" s="47"/>
      <c r="GBG34" s="47"/>
      <c r="GBH34" s="47"/>
      <c r="GBI34" s="47"/>
      <c r="GBJ34" s="47"/>
      <c r="GBK34" s="47"/>
      <c r="GBL34" s="47"/>
      <c r="GBM34" s="47"/>
      <c r="GBN34" s="47"/>
      <c r="GBO34" s="47"/>
      <c r="GBP34" s="47"/>
      <c r="GBQ34" s="47"/>
      <c r="GBR34" s="47"/>
      <c r="GBS34" s="47"/>
      <c r="GBT34" s="47"/>
      <c r="GBU34" s="47"/>
      <c r="GBV34" s="47"/>
      <c r="GBW34" s="47"/>
      <c r="GBX34" s="47"/>
      <c r="GBY34" s="47"/>
      <c r="GBZ34" s="47"/>
      <c r="GCA34" s="47"/>
      <c r="GCB34" s="47"/>
      <c r="GCC34" s="47"/>
      <c r="GCD34" s="47"/>
      <c r="GCE34" s="47"/>
      <c r="GCF34" s="47"/>
      <c r="GCG34" s="47"/>
      <c r="GCH34" s="47"/>
      <c r="GCI34" s="47"/>
      <c r="GCJ34" s="47"/>
      <c r="GCK34" s="47"/>
      <c r="GCL34" s="47"/>
      <c r="GCM34" s="47"/>
      <c r="GCN34" s="47"/>
      <c r="GCO34" s="47"/>
      <c r="GCP34" s="47"/>
      <c r="GCQ34" s="47"/>
      <c r="GCR34" s="47"/>
      <c r="GCS34" s="47"/>
      <c r="GCT34" s="47"/>
      <c r="GCU34" s="47"/>
      <c r="GCV34" s="47"/>
      <c r="GCW34" s="47"/>
      <c r="GCX34" s="47"/>
      <c r="GCY34" s="47"/>
      <c r="GCZ34" s="47"/>
      <c r="GDA34" s="47"/>
      <c r="GDB34" s="47"/>
      <c r="GDC34" s="47"/>
      <c r="GDD34" s="47"/>
      <c r="GDE34" s="47"/>
      <c r="GDF34" s="47"/>
      <c r="GDG34" s="47"/>
      <c r="GDH34" s="47"/>
      <c r="GDI34" s="47"/>
      <c r="GDJ34" s="47"/>
      <c r="GDK34" s="47"/>
      <c r="GDL34" s="47"/>
      <c r="GDM34" s="47"/>
      <c r="GDN34" s="47"/>
      <c r="GDO34" s="47"/>
      <c r="GDP34" s="47"/>
      <c r="GDQ34" s="47"/>
      <c r="GDR34" s="47"/>
      <c r="GDS34" s="47"/>
      <c r="GDT34" s="47"/>
      <c r="GDU34" s="47"/>
      <c r="GDV34" s="47"/>
      <c r="GDW34" s="47"/>
      <c r="GDX34" s="47"/>
      <c r="GDY34" s="47"/>
      <c r="GDZ34" s="47"/>
      <c r="GEA34" s="47"/>
      <c r="GEB34" s="47"/>
      <c r="GEC34" s="47"/>
      <c r="GED34" s="47"/>
      <c r="GEE34" s="47"/>
      <c r="GEF34" s="47"/>
      <c r="GEG34" s="47"/>
      <c r="GEH34" s="47"/>
      <c r="GEI34" s="47"/>
      <c r="GEJ34" s="47"/>
      <c r="GEK34" s="47"/>
      <c r="GEL34" s="47"/>
      <c r="GEM34" s="47"/>
      <c r="GEN34" s="47"/>
      <c r="GEO34" s="47"/>
      <c r="GEP34" s="47"/>
      <c r="GEQ34" s="47"/>
      <c r="GER34" s="47"/>
      <c r="GES34" s="47"/>
      <c r="GET34" s="47"/>
      <c r="GEU34" s="47"/>
      <c r="GEV34" s="47"/>
      <c r="GEW34" s="47"/>
      <c r="GEX34" s="47"/>
      <c r="GEY34" s="47"/>
      <c r="GEZ34" s="47"/>
      <c r="GFA34" s="47"/>
      <c r="GFB34" s="47"/>
      <c r="GFC34" s="47"/>
      <c r="GFD34" s="47"/>
      <c r="GFE34" s="47"/>
      <c r="GFF34" s="47"/>
      <c r="GFG34" s="47"/>
      <c r="GFH34" s="47"/>
      <c r="GFI34" s="47"/>
      <c r="GFJ34" s="47"/>
      <c r="GFK34" s="47"/>
      <c r="GFL34" s="47"/>
      <c r="GFM34" s="47"/>
      <c r="GFN34" s="47"/>
      <c r="GFO34" s="47"/>
      <c r="GFP34" s="47"/>
      <c r="GFQ34" s="47"/>
      <c r="GFR34" s="47"/>
      <c r="GFS34" s="47"/>
      <c r="GFT34" s="47"/>
      <c r="GFU34" s="47"/>
      <c r="GFV34" s="47"/>
      <c r="GFW34" s="47"/>
      <c r="GFX34" s="47"/>
      <c r="GFY34" s="47"/>
      <c r="GFZ34" s="47"/>
      <c r="GGA34" s="47"/>
      <c r="GGB34" s="47"/>
      <c r="GGC34" s="47"/>
      <c r="GGD34" s="47"/>
      <c r="GGE34" s="47"/>
      <c r="GGF34" s="47"/>
      <c r="GGG34" s="47"/>
      <c r="GGH34" s="47"/>
      <c r="GGI34" s="47"/>
      <c r="GGJ34" s="47"/>
      <c r="GGK34" s="47"/>
      <c r="GGL34" s="47"/>
      <c r="GGM34" s="47"/>
      <c r="GGN34" s="47"/>
      <c r="GGO34" s="47"/>
      <c r="GGP34" s="47"/>
      <c r="GGQ34" s="47"/>
      <c r="GGR34" s="47"/>
      <c r="GGS34" s="47"/>
      <c r="GGT34" s="47"/>
      <c r="GGU34" s="47"/>
      <c r="GGV34" s="47"/>
      <c r="GGW34" s="47"/>
      <c r="GGX34" s="47"/>
      <c r="GGY34" s="47"/>
      <c r="GGZ34" s="47"/>
      <c r="GHA34" s="47"/>
      <c r="GHB34" s="47"/>
      <c r="GHC34" s="47"/>
      <c r="GHD34" s="47"/>
      <c r="GHE34" s="47"/>
      <c r="GHF34" s="47"/>
      <c r="GHG34" s="47"/>
      <c r="GHH34" s="47"/>
      <c r="GHI34" s="47"/>
      <c r="GHJ34" s="47"/>
      <c r="GHK34" s="47"/>
      <c r="GHL34" s="47"/>
      <c r="GHM34" s="47"/>
      <c r="GHN34" s="47"/>
      <c r="GHO34" s="47"/>
      <c r="GHP34" s="47"/>
      <c r="GHQ34" s="47"/>
      <c r="GHR34" s="47"/>
      <c r="GHS34" s="47"/>
      <c r="GHT34" s="47"/>
      <c r="GHU34" s="47"/>
      <c r="GHV34" s="47"/>
      <c r="GHW34" s="47"/>
      <c r="GHX34" s="47"/>
      <c r="GHY34" s="47"/>
      <c r="GHZ34" s="47"/>
      <c r="GIA34" s="47"/>
      <c r="GIB34" s="47"/>
      <c r="GIC34" s="47"/>
      <c r="GID34" s="47"/>
      <c r="GIE34" s="47"/>
      <c r="GIF34" s="47"/>
      <c r="GIG34" s="47"/>
      <c r="GIH34" s="47"/>
      <c r="GII34" s="47"/>
      <c r="GIJ34" s="47"/>
      <c r="GIK34" s="47"/>
      <c r="GIL34" s="47"/>
      <c r="GIM34" s="47"/>
      <c r="GIN34" s="47"/>
      <c r="GIO34" s="47"/>
      <c r="GIP34" s="47"/>
      <c r="GIQ34" s="47"/>
      <c r="GIR34" s="47"/>
      <c r="GIS34" s="47"/>
      <c r="GIT34" s="47"/>
      <c r="GIU34" s="47"/>
      <c r="GIV34" s="47"/>
      <c r="GIW34" s="47"/>
      <c r="GIX34" s="47"/>
      <c r="GIY34" s="47"/>
      <c r="GIZ34" s="47"/>
      <c r="GJA34" s="47"/>
      <c r="GJB34" s="47"/>
      <c r="GJC34" s="47"/>
      <c r="GJD34" s="47"/>
      <c r="GJE34" s="47"/>
      <c r="GJF34" s="47"/>
      <c r="GJG34" s="47"/>
      <c r="GJH34" s="47"/>
      <c r="GJI34" s="47"/>
      <c r="GJJ34" s="47"/>
      <c r="GJK34" s="47"/>
      <c r="GJL34" s="47"/>
      <c r="GJM34" s="47"/>
      <c r="GJN34" s="47"/>
      <c r="GJO34" s="47"/>
      <c r="GJP34" s="47"/>
      <c r="GJQ34" s="47"/>
      <c r="GJR34" s="47"/>
      <c r="GJS34" s="47"/>
      <c r="GJT34" s="47"/>
      <c r="GJU34" s="47"/>
      <c r="GJV34" s="47"/>
      <c r="GJW34" s="47"/>
      <c r="GJX34" s="47"/>
      <c r="GJY34" s="47"/>
      <c r="GJZ34" s="47"/>
      <c r="GKA34" s="47"/>
      <c r="GKB34" s="47"/>
      <c r="GKC34" s="47"/>
      <c r="GKD34" s="47"/>
      <c r="GKE34" s="47"/>
      <c r="GKF34" s="47"/>
      <c r="GKG34" s="47"/>
      <c r="GKH34" s="47"/>
      <c r="GKI34" s="47"/>
      <c r="GKJ34" s="47"/>
      <c r="GKK34" s="47"/>
      <c r="GKL34" s="47"/>
      <c r="GKM34" s="47"/>
      <c r="GKN34" s="47"/>
      <c r="GKO34" s="47"/>
      <c r="GKP34" s="47"/>
      <c r="GKQ34" s="47"/>
      <c r="GKR34" s="47"/>
      <c r="GKS34" s="47"/>
      <c r="GKT34" s="47"/>
      <c r="GKU34" s="47"/>
      <c r="GKV34" s="47"/>
      <c r="GKW34" s="47"/>
      <c r="GKX34" s="47"/>
      <c r="GKY34" s="47"/>
      <c r="GKZ34" s="47"/>
      <c r="GLA34" s="47"/>
      <c r="GLB34" s="47"/>
      <c r="GLC34" s="47"/>
      <c r="GLD34" s="47"/>
      <c r="GLE34" s="47"/>
      <c r="GLF34" s="47"/>
      <c r="GLG34" s="47"/>
      <c r="GLH34" s="47"/>
      <c r="GLI34" s="47"/>
      <c r="GLJ34" s="47"/>
      <c r="GLK34" s="47"/>
      <c r="GLL34" s="47"/>
      <c r="GLM34" s="47"/>
      <c r="GLN34" s="47"/>
      <c r="GLO34" s="47"/>
      <c r="GLP34" s="47"/>
      <c r="GLQ34" s="47"/>
      <c r="GLR34" s="47"/>
      <c r="GLS34" s="47"/>
      <c r="GLT34" s="47"/>
      <c r="GLU34" s="47"/>
      <c r="GLV34" s="47"/>
      <c r="GLW34" s="47"/>
      <c r="GLX34" s="47"/>
      <c r="GLY34" s="47"/>
      <c r="GLZ34" s="47"/>
      <c r="GMA34" s="47"/>
      <c r="GMB34" s="47"/>
      <c r="GMC34" s="47"/>
      <c r="GMD34" s="47"/>
      <c r="GME34" s="47"/>
      <c r="GMF34" s="47"/>
      <c r="GMG34" s="47"/>
      <c r="GMH34" s="47"/>
      <c r="GMI34" s="47"/>
      <c r="GMJ34" s="47"/>
      <c r="GMK34" s="47"/>
      <c r="GML34" s="47"/>
      <c r="GMM34" s="47"/>
      <c r="GMN34" s="47"/>
      <c r="GMO34" s="47"/>
      <c r="GMP34" s="47"/>
      <c r="GMQ34" s="47"/>
      <c r="GMR34" s="47"/>
      <c r="GMS34" s="47"/>
      <c r="GMT34" s="47"/>
      <c r="GMU34" s="47"/>
      <c r="GMV34" s="47"/>
      <c r="GMW34" s="47"/>
      <c r="GMX34" s="47"/>
      <c r="GMY34" s="47"/>
      <c r="GMZ34" s="47"/>
      <c r="GNA34" s="47"/>
      <c r="GNB34" s="47"/>
      <c r="GNC34" s="47"/>
      <c r="GND34" s="47"/>
      <c r="GNE34" s="47"/>
      <c r="GNF34" s="47"/>
      <c r="GNG34" s="47"/>
      <c r="GNH34" s="47"/>
      <c r="GNI34" s="47"/>
      <c r="GNJ34" s="47"/>
      <c r="GNK34" s="47"/>
      <c r="GNL34" s="47"/>
      <c r="GNM34" s="47"/>
      <c r="GNN34" s="47"/>
      <c r="GNO34" s="47"/>
      <c r="GNP34" s="47"/>
      <c r="GNQ34" s="47"/>
      <c r="GNR34" s="47"/>
      <c r="GNS34" s="47"/>
      <c r="GNT34" s="47"/>
      <c r="GNU34" s="47"/>
      <c r="GNV34" s="47"/>
      <c r="GNW34" s="47"/>
      <c r="GNX34" s="47"/>
      <c r="GNY34" s="47"/>
      <c r="GNZ34" s="47"/>
      <c r="GOA34" s="47"/>
      <c r="GOB34" s="47"/>
      <c r="GOC34" s="47"/>
      <c r="GOD34" s="47"/>
      <c r="GOE34" s="47"/>
      <c r="GOF34" s="47"/>
      <c r="GOG34" s="47"/>
      <c r="GOH34" s="47"/>
      <c r="GOI34" s="47"/>
      <c r="GOJ34" s="47"/>
      <c r="GOK34" s="47"/>
      <c r="GOL34" s="47"/>
      <c r="GOM34" s="47"/>
      <c r="GON34" s="47"/>
      <c r="GOO34" s="47"/>
      <c r="GOP34" s="47"/>
      <c r="GOQ34" s="47"/>
      <c r="GOR34" s="47"/>
      <c r="GOS34" s="47"/>
      <c r="GOT34" s="47"/>
      <c r="GOU34" s="47"/>
      <c r="GOV34" s="47"/>
      <c r="GOW34" s="47"/>
      <c r="GOX34" s="47"/>
      <c r="GOY34" s="47"/>
      <c r="GOZ34" s="47"/>
      <c r="GPA34" s="47"/>
      <c r="GPB34" s="47"/>
      <c r="GPC34" s="47"/>
      <c r="GPD34" s="47"/>
      <c r="GPE34" s="47"/>
      <c r="GPF34" s="47"/>
      <c r="GPG34" s="47"/>
      <c r="GPH34" s="47"/>
      <c r="GPI34" s="47"/>
      <c r="GPJ34" s="47"/>
      <c r="GPK34" s="47"/>
      <c r="GPL34" s="47"/>
      <c r="GPM34" s="47"/>
      <c r="GPN34" s="47"/>
      <c r="GPO34" s="47"/>
      <c r="GPP34" s="47"/>
      <c r="GPQ34" s="47"/>
      <c r="GPR34" s="47"/>
      <c r="GPS34" s="47"/>
      <c r="GPT34" s="47"/>
      <c r="GPU34" s="47"/>
      <c r="GPV34" s="47"/>
      <c r="GPW34" s="47"/>
      <c r="GPX34" s="47"/>
      <c r="GPY34" s="47"/>
      <c r="GPZ34" s="47"/>
      <c r="GQA34" s="47"/>
      <c r="GQB34" s="47"/>
      <c r="GQC34" s="47"/>
      <c r="GQD34" s="47"/>
      <c r="GQE34" s="47"/>
      <c r="GQF34" s="47"/>
      <c r="GQG34" s="47"/>
      <c r="GQH34" s="47"/>
      <c r="GQI34" s="47"/>
      <c r="GQJ34" s="47"/>
      <c r="GQK34" s="47"/>
      <c r="GQL34" s="47"/>
      <c r="GQM34" s="47"/>
      <c r="GQN34" s="47"/>
      <c r="GQO34" s="47"/>
      <c r="GQP34" s="47"/>
      <c r="GQQ34" s="47"/>
      <c r="GQR34" s="47"/>
      <c r="GQS34" s="47"/>
      <c r="GQT34" s="47"/>
      <c r="GQU34" s="47"/>
      <c r="GQV34" s="47"/>
      <c r="GQW34" s="47"/>
      <c r="GQX34" s="47"/>
      <c r="GQY34" s="47"/>
      <c r="GQZ34" s="47"/>
      <c r="GRA34" s="47"/>
      <c r="GRB34" s="47"/>
      <c r="GRC34" s="47"/>
      <c r="GRD34" s="47"/>
      <c r="GRE34" s="47"/>
      <c r="GRF34" s="47"/>
      <c r="GRG34" s="47"/>
      <c r="GRH34" s="47"/>
      <c r="GRI34" s="47"/>
      <c r="GRJ34" s="47"/>
      <c r="GRK34" s="47"/>
      <c r="GRL34" s="47"/>
      <c r="GRM34" s="47"/>
      <c r="GRN34" s="47"/>
      <c r="GRO34" s="47"/>
      <c r="GRP34" s="47"/>
      <c r="GRQ34" s="47"/>
      <c r="GRR34" s="47"/>
      <c r="GRS34" s="47"/>
      <c r="GRT34" s="47"/>
      <c r="GRU34" s="47"/>
      <c r="GRV34" s="47"/>
      <c r="GRW34" s="47"/>
      <c r="GRX34" s="47"/>
      <c r="GRY34" s="47"/>
      <c r="GRZ34" s="47"/>
      <c r="GSA34" s="47"/>
      <c r="GSB34" s="47"/>
      <c r="GSC34" s="47"/>
      <c r="GSD34" s="47"/>
      <c r="GSE34" s="47"/>
      <c r="GSF34" s="47"/>
      <c r="GSG34" s="47"/>
      <c r="GSH34" s="47"/>
      <c r="GSI34" s="47"/>
      <c r="GSJ34" s="47"/>
      <c r="GSK34" s="47"/>
      <c r="GSL34" s="47"/>
      <c r="GSM34" s="47"/>
      <c r="GSN34" s="47"/>
      <c r="GSO34" s="47"/>
      <c r="GSP34" s="47"/>
      <c r="GSQ34" s="47"/>
      <c r="GSR34" s="47"/>
      <c r="GSS34" s="47"/>
      <c r="GST34" s="47"/>
      <c r="GSU34" s="47"/>
      <c r="GSV34" s="47"/>
      <c r="GSW34" s="47"/>
      <c r="GSX34" s="47"/>
      <c r="GSY34" s="47"/>
      <c r="GSZ34" s="47"/>
      <c r="GTA34" s="47"/>
      <c r="GTB34" s="47"/>
      <c r="GTC34" s="47"/>
      <c r="GTD34" s="47"/>
      <c r="GTE34" s="47"/>
      <c r="GTF34" s="47"/>
      <c r="GTG34" s="47"/>
      <c r="GTH34" s="47"/>
      <c r="GTI34" s="47"/>
      <c r="GTJ34" s="47"/>
      <c r="GTK34" s="47"/>
      <c r="GTL34" s="47"/>
      <c r="GTM34" s="47"/>
      <c r="GTN34" s="47"/>
      <c r="GTO34" s="47"/>
      <c r="GTP34" s="47"/>
      <c r="GTQ34" s="47"/>
      <c r="GTR34" s="47"/>
      <c r="GTS34" s="47"/>
      <c r="GTT34" s="47"/>
      <c r="GTU34" s="47"/>
      <c r="GTV34" s="47"/>
      <c r="GTW34" s="47"/>
      <c r="GTX34" s="47"/>
      <c r="GTY34" s="47"/>
      <c r="GTZ34" s="47"/>
      <c r="GUA34" s="47"/>
      <c r="GUB34" s="47"/>
      <c r="GUC34" s="47"/>
      <c r="GUD34" s="47"/>
      <c r="GUE34" s="47"/>
      <c r="GUF34" s="47"/>
      <c r="GUG34" s="47"/>
      <c r="GUH34" s="47"/>
      <c r="GUI34" s="47"/>
      <c r="GUJ34" s="47"/>
      <c r="GUK34" s="47"/>
      <c r="GUL34" s="47"/>
      <c r="GUM34" s="47"/>
      <c r="GUN34" s="47"/>
      <c r="GUO34" s="47"/>
      <c r="GUP34" s="47"/>
      <c r="GUQ34" s="47"/>
      <c r="GUR34" s="47"/>
      <c r="GUS34" s="47"/>
      <c r="GUT34" s="47"/>
      <c r="GUU34" s="47"/>
      <c r="GUV34" s="47"/>
      <c r="GUW34" s="47"/>
      <c r="GUX34" s="47"/>
      <c r="GUY34" s="47"/>
      <c r="GUZ34" s="47"/>
      <c r="GVA34" s="47"/>
      <c r="GVB34" s="47"/>
      <c r="GVC34" s="47"/>
      <c r="GVD34" s="47"/>
      <c r="GVE34" s="47"/>
      <c r="GVF34" s="47"/>
      <c r="GVG34" s="47"/>
      <c r="GVH34" s="47"/>
      <c r="GVI34" s="47"/>
      <c r="GVJ34" s="47"/>
      <c r="GVK34" s="47"/>
      <c r="GVL34" s="47"/>
      <c r="GVM34" s="47"/>
      <c r="GVN34" s="47"/>
      <c r="GVO34" s="47"/>
      <c r="GVP34" s="47"/>
      <c r="GVQ34" s="47"/>
      <c r="GVR34" s="47"/>
      <c r="GVS34" s="47"/>
      <c r="GVT34" s="47"/>
      <c r="GVU34" s="47"/>
      <c r="GVV34" s="47"/>
      <c r="GVW34" s="47"/>
      <c r="GVX34" s="47"/>
      <c r="GVY34" s="47"/>
      <c r="GVZ34" s="47"/>
      <c r="GWA34" s="47"/>
      <c r="GWB34" s="47"/>
      <c r="GWC34" s="47"/>
      <c r="GWD34" s="47"/>
      <c r="GWE34" s="47"/>
      <c r="GWF34" s="47"/>
      <c r="GWG34" s="47"/>
      <c r="GWH34" s="47"/>
      <c r="GWI34" s="47"/>
      <c r="GWJ34" s="47"/>
      <c r="GWK34" s="47"/>
      <c r="GWL34" s="47"/>
      <c r="GWM34" s="47"/>
      <c r="GWN34" s="47"/>
      <c r="GWO34" s="47"/>
      <c r="GWP34" s="47"/>
      <c r="GWQ34" s="47"/>
      <c r="GWR34" s="47"/>
      <c r="GWS34" s="47"/>
      <c r="GWT34" s="47"/>
      <c r="GWU34" s="47"/>
      <c r="GWV34" s="47"/>
      <c r="GWW34" s="47"/>
      <c r="GWX34" s="47"/>
      <c r="GWY34" s="47"/>
      <c r="GWZ34" s="47"/>
      <c r="GXA34" s="47"/>
      <c r="GXB34" s="47"/>
      <c r="GXC34" s="47"/>
      <c r="GXD34" s="47"/>
      <c r="GXE34" s="47"/>
      <c r="GXF34" s="47"/>
      <c r="GXG34" s="47"/>
      <c r="GXH34" s="47"/>
      <c r="GXI34" s="47"/>
      <c r="GXJ34" s="47"/>
      <c r="GXK34" s="47"/>
      <c r="GXL34" s="47"/>
      <c r="GXM34" s="47"/>
      <c r="GXN34" s="47"/>
      <c r="GXO34" s="47"/>
      <c r="GXP34" s="47"/>
      <c r="GXQ34" s="47"/>
      <c r="GXR34" s="47"/>
      <c r="GXS34" s="47"/>
      <c r="GXT34" s="47"/>
      <c r="GXU34" s="47"/>
      <c r="GXV34" s="47"/>
      <c r="GXW34" s="47"/>
      <c r="GXX34" s="47"/>
      <c r="GXY34" s="47"/>
      <c r="GXZ34" s="47"/>
      <c r="GYA34" s="47"/>
      <c r="GYB34" s="47"/>
      <c r="GYC34" s="47"/>
      <c r="GYD34" s="47"/>
      <c r="GYE34" s="47"/>
      <c r="GYF34" s="47"/>
      <c r="GYG34" s="47"/>
      <c r="GYH34" s="47"/>
      <c r="GYI34" s="47"/>
      <c r="GYJ34" s="47"/>
      <c r="GYK34" s="47"/>
      <c r="GYL34" s="47"/>
      <c r="GYM34" s="47"/>
      <c r="GYN34" s="47"/>
      <c r="GYO34" s="47"/>
      <c r="GYP34" s="47"/>
      <c r="GYQ34" s="47"/>
      <c r="GYR34" s="47"/>
      <c r="GYS34" s="47"/>
      <c r="GYT34" s="47"/>
      <c r="GYU34" s="47"/>
      <c r="GYV34" s="47"/>
      <c r="GYW34" s="47"/>
      <c r="GYX34" s="47"/>
      <c r="GYY34" s="47"/>
      <c r="GYZ34" s="47"/>
      <c r="GZA34" s="47"/>
      <c r="GZB34" s="47"/>
      <c r="GZC34" s="47"/>
      <c r="GZD34" s="47"/>
      <c r="GZE34" s="47"/>
      <c r="GZF34" s="47"/>
      <c r="GZG34" s="47"/>
      <c r="GZH34" s="47"/>
      <c r="GZI34" s="47"/>
      <c r="GZJ34" s="47"/>
      <c r="GZK34" s="47"/>
      <c r="GZL34" s="47"/>
      <c r="GZM34" s="47"/>
      <c r="GZN34" s="47"/>
      <c r="GZO34" s="47"/>
      <c r="GZP34" s="47"/>
      <c r="GZQ34" s="47"/>
      <c r="GZR34" s="47"/>
      <c r="GZS34" s="47"/>
      <c r="GZT34" s="47"/>
      <c r="GZU34" s="47"/>
      <c r="GZV34" s="47"/>
      <c r="GZW34" s="47"/>
      <c r="GZX34" s="47"/>
      <c r="GZY34" s="47"/>
      <c r="GZZ34" s="47"/>
      <c r="HAA34" s="47"/>
      <c r="HAB34" s="47"/>
      <c r="HAC34" s="47"/>
      <c r="HAD34" s="47"/>
      <c r="HAE34" s="47"/>
      <c r="HAF34" s="47"/>
      <c r="HAG34" s="47"/>
      <c r="HAH34" s="47"/>
      <c r="HAI34" s="47"/>
      <c r="HAJ34" s="47"/>
      <c r="HAK34" s="47"/>
      <c r="HAL34" s="47"/>
      <c r="HAM34" s="47"/>
      <c r="HAN34" s="47"/>
      <c r="HAO34" s="47"/>
      <c r="HAP34" s="47"/>
      <c r="HAQ34" s="47"/>
      <c r="HAR34" s="47"/>
      <c r="HAS34" s="47"/>
      <c r="HAT34" s="47"/>
      <c r="HAU34" s="47"/>
      <c r="HAV34" s="47"/>
      <c r="HAW34" s="47"/>
      <c r="HAX34" s="47"/>
      <c r="HAY34" s="47"/>
      <c r="HAZ34" s="47"/>
      <c r="HBA34" s="47"/>
      <c r="HBB34" s="47"/>
      <c r="HBC34" s="47"/>
      <c r="HBD34" s="47"/>
      <c r="HBE34" s="47"/>
      <c r="HBF34" s="47"/>
      <c r="HBG34" s="47"/>
      <c r="HBH34" s="47"/>
      <c r="HBI34" s="47"/>
      <c r="HBJ34" s="47"/>
      <c r="HBK34" s="47"/>
      <c r="HBL34" s="47"/>
      <c r="HBM34" s="47"/>
      <c r="HBN34" s="47"/>
      <c r="HBO34" s="47"/>
      <c r="HBP34" s="47"/>
      <c r="HBQ34" s="47"/>
      <c r="HBR34" s="47"/>
      <c r="HBS34" s="47"/>
      <c r="HBT34" s="47"/>
      <c r="HBU34" s="47"/>
      <c r="HBV34" s="47"/>
      <c r="HBW34" s="47"/>
      <c r="HBX34" s="47"/>
      <c r="HBY34" s="47"/>
      <c r="HBZ34" s="47"/>
      <c r="HCA34" s="47"/>
      <c r="HCB34" s="47"/>
      <c r="HCC34" s="47"/>
      <c r="HCD34" s="47"/>
      <c r="HCE34" s="47"/>
      <c r="HCF34" s="47"/>
      <c r="HCG34" s="47"/>
      <c r="HCH34" s="47"/>
      <c r="HCI34" s="47"/>
      <c r="HCJ34" s="47"/>
      <c r="HCK34" s="47"/>
      <c r="HCL34" s="47"/>
      <c r="HCM34" s="47"/>
      <c r="HCN34" s="47"/>
      <c r="HCO34" s="47"/>
      <c r="HCP34" s="47"/>
      <c r="HCQ34" s="47"/>
      <c r="HCR34" s="47"/>
      <c r="HCS34" s="47"/>
      <c r="HCT34" s="47"/>
      <c r="HCU34" s="47"/>
      <c r="HCV34" s="47"/>
      <c r="HCW34" s="47"/>
      <c r="HCX34" s="47"/>
      <c r="HCY34" s="47"/>
      <c r="HCZ34" s="47"/>
      <c r="HDA34" s="47"/>
      <c r="HDB34" s="47"/>
      <c r="HDC34" s="47"/>
      <c r="HDD34" s="47"/>
      <c r="HDE34" s="47"/>
      <c r="HDF34" s="47"/>
      <c r="HDG34" s="47"/>
      <c r="HDH34" s="47"/>
      <c r="HDI34" s="47"/>
      <c r="HDJ34" s="47"/>
      <c r="HDK34" s="47"/>
      <c r="HDL34" s="47"/>
      <c r="HDM34" s="47"/>
      <c r="HDN34" s="47"/>
      <c r="HDO34" s="47"/>
      <c r="HDP34" s="47"/>
      <c r="HDQ34" s="47"/>
      <c r="HDR34" s="47"/>
      <c r="HDS34" s="47"/>
      <c r="HDT34" s="47"/>
      <c r="HDU34" s="47"/>
      <c r="HDV34" s="47"/>
      <c r="HDW34" s="47"/>
      <c r="HDX34" s="47"/>
      <c r="HDY34" s="47"/>
      <c r="HDZ34" s="47"/>
      <c r="HEA34" s="47"/>
      <c r="HEB34" s="47"/>
      <c r="HEC34" s="47"/>
      <c r="HED34" s="47"/>
      <c r="HEE34" s="47"/>
      <c r="HEF34" s="47"/>
      <c r="HEG34" s="47"/>
      <c r="HEH34" s="47"/>
      <c r="HEI34" s="47"/>
      <c r="HEJ34" s="47"/>
      <c r="HEK34" s="47"/>
      <c r="HEL34" s="47"/>
      <c r="HEM34" s="47"/>
      <c r="HEN34" s="47"/>
      <c r="HEO34" s="47"/>
      <c r="HEP34" s="47"/>
      <c r="HEQ34" s="47"/>
      <c r="HER34" s="47"/>
      <c r="HES34" s="47"/>
      <c r="HET34" s="47"/>
      <c r="HEU34" s="47"/>
      <c r="HEV34" s="47"/>
      <c r="HEW34" s="47"/>
      <c r="HEX34" s="47"/>
      <c r="HEY34" s="47"/>
      <c r="HEZ34" s="47"/>
      <c r="HFA34" s="47"/>
      <c r="HFB34" s="47"/>
      <c r="HFC34" s="47"/>
      <c r="HFD34" s="47"/>
      <c r="HFE34" s="47"/>
      <c r="HFF34" s="47"/>
      <c r="HFG34" s="47"/>
      <c r="HFH34" s="47"/>
      <c r="HFI34" s="47"/>
      <c r="HFJ34" s="47"/>
      <c r="HFK34" s="47"/>
      <c r="HFL34" s="47"/>
      <c r="HFM34" s="47"/>
      <c r="HFN34" s="47"/>
      <c r="HFO34" s="47"/>
      <c r="HFP34" s="47"/>
      <c r="HFQ34" s="47"/>
      <c r="HFR34" s="47"/>
      <c r="HFS34" s="47"/>
      <c r="HFT34" s="47"/>
      <c r="HFU34" s="47"/>
      <c r="HFV34" s="47"/>
      <c r="HFW34" s="47"/>
      <c r="HFX34" s="47"/>
      <c r="HFY34" s="47"/>
      <c r="HFZ34" s="47"/>
      <c r="HGA34" s="47"/>
      <c r="HGB34" s="47"/>
      <c r="HGC34" s="47"/>
      <c r="HGD34" s="47"/>
      <c r="HGE34" s="47"/>
      <c r="HGF34" s="47"/>
      <c r="HGG34" s="47"/>
      <c r="HGH34" s="47"/>
      <c r="HGI34" s="47"/>
      <c r="HGJ34" s="47"/>
      <c r="HGK34" s="47"/>
      <c r="HGL34" s="47"/>
      <c r="HGM34" s="47"/>
      <c r="HGN34" s="47"/>
      <c r="HGO34" s="47"/>
      <c r="HGP34" s="47"/>
      <c r="HGQ34" s="47"/>
      <c r="HGR34" s="47"/>
      <c r="HGS34" s="47"/>
      <c r="HGT34" s="47"/>
      <c r="HGU34" s="47"/>
      <c r="HGV34" s="47"/>
      <c r="HGW34" s="47"/>
      <c r="HGX34" s="47"/>
      <c r="HGY34" s="47"/>
      <c r="HGZ34" s="47"/>
      <c r="HHA34" s="47"/>
      <c r="HHB34" s="47"/>
      <c r="HHC34" s="47"/>
      <c r="HHD34" s="47"/>
      <c r="HHE34" s="47"/>
      <c r="HHF34" s="47"/>
      <c r="HHG34" s="47"/>
      <c r="HHH34" s="47"/>
      <c r="HHI34" s="47"/>
      <c r="HHJ34" s="47"/>
      <c r="HHK34" s="47"/>
      <c r="HHL34" s="47"/>
      <c r="HHM34" s="47"/>
      <c r="HHN34" s="47"/>
      <c r="HHO34" s="47"/>
      <c r="HHP34" s="47"/>
      <c r="HHQ34" s="47"/>
      <c r="HHR34" s="47"/>
      <c r="HHS34" s="47"/>
      <c r="HHT34" s="47"/>
      <c r="HHU34" s="47"/>
      <c r="HHV34" s="47"/>
      <c r="HHW34" s="47"/>
      <c r="HHX34" s="47"/>
      <c r="HHY34" s="47"/>
      <c r="HHZ34" s="47"/>
      <c r="HIA34" s="47"/>
      <c r="HIB34" s="47"/>
      <c r="HIC34" s="47"/>
      <c r="HID34" s="47"/>
      <c r="HIE34" s="47"/>
      <c r="HIF34" s="47"/>
      <c r="HIG34" s="47"/>
      <c r="HIH34" s="47"/>
      <c r="HII34" s="47"/>
      <c r="HIJ34" s="47"/>
      <c r="HIK34" s="47"/>
      <c r="HIL34" s="47"/>
      <c r="HIM34" s="47"/>
      <c r="HIN34" s="47"/>
      <c r="HIO34" s="47"/>
      <c r="HIP34" s="47"/>
      <c r="HIQ34" s="47"/>
      <c r="HIR34" s="47"/>
      <c r="HIS34" s="47"/>
      <c r="HIT34" s="47"/>
      <c r="HIU34" s="47"/>
      <c r="HIV34" s="47"/>
      <c r="HIW34" s="47"/>
      <c r="HIX34" s="47"/>
      <c r="HIY34" s="47"/>
      <c r="HIZ34" s="47"/>
      <c r="HJA34" s="47"/>
      <c r="HJB34" s="47"/>
      <c r="HJC34" s="47"/>
      <c r="HJD34" s="47"/>
      <c r="HJE34" s="47"/>
      <c r="HJF34" s="47"/>
      <c r="HJG34" s="47"/>
      <c r="HJH34" s="47"/>
      <c r="HJI34" s="47"/>
      <c r="HJJ34" s="47"/>
      <c r="HJK34" s="47"/>
      <c r="HJL34" s="47"/>
      <c r="HJM34" s="47"/>
      <c r="HJN34" s="47"/>
      <c r="HJO34" s="47"/>
      <c r="HJP34" s="47"/>
      <c r="HJQ34" s="47"/>
      <c r="HJR34" s="47"/>
      <c r="HJS34" s="47"/>
      <c r="HJT34" s="47"/>
      <c r="HJU34" s="47"/>
      <c r="HJV34" s="47"/>
      <c r="HJW34" s="47"/>
      <c r="HJX34" s="47"/>
      <c r="HJY34" s="47"/>
      <c r="HJZ34" s="47"/>
      <c r="HKA34" s="47"/>
      <c r="HKB34" s="47"/>
      <c r="HKC34" s="47"/>
      <c r="HKD34" s="47"/>
      <c r="HKE34" s="47"/>
      <c r="HKF34" s="47"/>
      <c r="HKG34" s="47"/>
      <c r="HKH34" s="47"/>
      <c r="HKI34" s="47"/>
      <c r="HKJ34" s="47"/>
      <c r="HKK34" s="47"/>
      <c r="HKL34" s="47"/>
      <c r="HKM34" s="47"/>
      <c r="HKN34" s="47"/>
      <c r="HKO34" s="47"/>
      <c r="HKP34" s="47"/>
      <c r="HKQ34" s="47"/>
      <c r="HKR34" s="47"/>
      <c r="HKS34" s="47"/>
      <c r="HKT34" s="47"/>
      <c r="HKU34" s="47"/>
      <c r="HKV34" s="47"/>
      <c r="HKW34" s="47"/>
      <c r="HKX34" s="47"/>
      <c r="HKY34" s="47"/>
      <c r="HKZ34" s="47"/>
      <c r="HLA34" s="47"/>
      <c r="HLB34" s="47"/>
      <c r="HLC34" s="47"/>
      <c r="HLD34" s="47"/>
      <c r="HLE34" s="47"/>
      <c r="HLF34" s="47"/>
      <c r="HLG34" s="47"/>
      <c r="HLH34" s="47"/>
      <c r="HLI34" s="47"/>
      <c r="HLJ34" s="47"/>
      <c r="HLK34" s="47"/>
      <c r="HLL34" s="47"/>
      <c r="HLM34" s="47"/>
      <c r="HLN34" s="47"/>
      <c r="HLO34" s="47"/>
      <c r="HLP34" s="47"/>
      <c r="HLQ34" s="47"/>
      <c r="HLR34" s="47"/>
      <c r="HLS34" s="47"/>
      <c r="HLT34" s="47"/>
      <c r="HLU34" s="47"/>
      <c r="HLV34" s="47"/>
      <c r="HLW34" s="47"/>
      <c r="HLX34" s="47"/>
      <c r="HLY34" s="47"/>
      <c r="HLZ34" s="47"/>
      <c r="HMA34" s="47"/>
      <c r="HMB34" s="47"/>
      <c r="HMC34" s="47"/>
      <c r="HMD34" s="47"/>
      <c r="HME34" s="47"/>
      <c r="HMF34" s="47"/>
      <c r="HMG34" s="47"/>
      <c r="HMH34" s="47"/>
      <c r="HMI34" s="47"/>
      <c r="HMJ34" s="47"/>
      <c r="HMK34" s="47"/>
      <c r="HML34" s="47"/>
      <c r="HMM34" s="47"/>
      <c r="HMN34" s="47"/>
      <c r="HMO34" s="47"/>
      <c r="HMP34" s="47"/>
      <c r="HMQ34" s="47"/>
      <c r="HMR34" s="47"/>
      <c r="HMS34" s="47"/>
      <c r="HMT34" s="47"/>
      <c r="HMU34" s="47"/>
      <c r="HMV34" s="47"/>
      <c r="HMW34" s="47"/>
      <c r="HMX34" s="47"/>
      <c r="HMY34" s="47"/>
      <c r="HMZ34" s="47"/>
      <c r="HNA34" s="47"/>
      <c r="HNB34" s="47"/>
      <c r="HNC34" s="47"/>
      <c r="HND34" s="47"/>
      <c r="HNE34" s="47"/>
      <c r="HNF34" s="47"/>
      <c r="HNG34" s="47"/>
      <c r="HNH34" s="47"/>
      <c r="HNI34" s="47"/>
      <c r="HNJ34" s="47"/>
      <c r="HNK34" s="47"/>
      <c r="HNL34" s="47"/>
      <c r="HNM34" s="47"/>
      <c r="HNN34" s="47"/>
      <c r="HNO34" s="47"/>
      <c r="HNP34" s="47"/>
      <c r="HNQ34" s="47"/>
      <c r="HNR34" s="47"/>
      <c r="HNS34" s="47"/>
      <c r="HNT34" s="47"/>
      <c r="HNU34" s="47"/>
      <c r="HNV34" s="47"/>
      <c r="HNW34" s="47"/>
      <c r="HNX34" s="47"/>
      <c r="HNY34" s="47"/>
      <c r="HNZ34" s="47"/>
      <c r="HOA34" s="47"/>
      <c r="HOB34" s="47"/>
      <c r="HOC34" s="47"/>
      <c r="HOD34" s="47"/>
      <c r="HOE34" s="47"/>
      <c r="HOF34" s="47"/>
      <c r="HOG34" s="47"/>
      <c r="HOH34" s="47"/>
      <c r="HOI34" s="47"/>
      <c r="HOJ34" s="47"/>
      <c r="HOK34" s="47"/>
      <c r="HOL34" s="47"/>
      <c r="HOM34" s="47"/>
      <c r="HON34" s="47"/>
      <c r="HOO34" s="47"/>
      <c r="HOP34" s="47"/>
      <c r="HOQ34" s="47"/>
      <c r="HOR34" s="47"/>
      <c r="HOS34" s="47"/>
      <c r="HOT34" s="47"/>
      <c r="HOU34" s="47"/>
      <c r="HOV34" s="47"/>
      <c r="HOW34" s="47"/>
      <c r="HOX34" s="47"/>
      <c r="HOY34" s="47"/>
      <c r="HOZ34" s="47"/>
      <c r="HPA34" s="47"/>
      <c r="HPB34" s="47"/>
      <c r="HPC34" s="47"/>
      <c r="HPD34" s="47"/>
      <c r="HPE34" s="47"/>
      <c r="HPF34" s="47"/>
      <c r="HPG34" s="47"/>
      <c r="HPH34" s="47"/>
      <c r="HPI34" s="47"/>
      <c r="HPJ34" s="47"/>
      <c r="HPK34" s="47"/>
      <c r="HPL34" s="47"/>
      <c r="HPM34" s="47"/>
      <c r="HPN34" s="47"/>
      <c r="HPO34" s="47"/>
      <c r="HPP34" s="47"/>
      <c r="HPQ34" s="47"/>
      <c r="HPR34" s="47"/>
      <c r="HPS34" s="47"/>
      <c r="HPT34" s="47"/>
      <c r="HPU34" s="47"/>
      <c r="HPV34" s="47"/>
      <c r="HPW34" s="47"/>
      <c r="HPX34" s="47"/>
      <c r="HPY34" s="47"/>
      <c r="HPZ34" s="47"/>
      <c r="HQA34" s="47"/>
      <c r="HQB34" s="47"/>
      <c r="HQC34" s="47"/>
      <c r="HQD34" s="47"/>
      <c r="HQE34" s="47"/>
      <c r="HQF34" s="47"/>
      <c r="HQG34" s="47"/>
      <c r="HQH34" s="47"/>
      <c r="HQI34" s="47"/>
      <c r="HQJ34" s="47"/>
      <c r="HQK34" s="47"/>
      <c r="HQL34" s="47"/>
      <c r="HQM34" s="47"/>
      <c r="HQN34" s="47"/>
      <c r="HQO34" s="47"/>
      <c r="HQP34" s="47"/>
      <c r="HQQ34" s="47"/>
      <c r="HQR34" s="47"/>
      <c r="HQS34" s="47"/>
      <c r="HQT34" s="47"/>
      <c r="HQU34" s="47"/>
      <c r="HQV34" s="47"/>
      <c r="HQW34" s="47"/>
      <c r="HQX34" s="47"/>
      <c r="HQY34" s="47"/>
      <c r="HQZ34" s="47"/>
      <c r="HRA34" s="47"/>
      <c r="HRB34" s="47"/>
      <c r="HRC34" s="47"/>
      <c r="HRD34" s="47"/>
      <c r="HRE34" s="47"/>
      <c r="HRF34" s="47"/>
      <c r="HRG34" s="47"/>
      <c r="HRH34" s="47"/>
      <c r="HRI34" s="47"/>
      <c r="HRJ34" s="47"/>
      <c r="HRK34" s="47"/>
      <c r="HRL34" s="47"/>
      <c r="HRM34" s="47"/>
      <c r="HRN34" s="47"/>
      <c r="HRO34" s="47"/>
      <c r="HRP34" s="47"/>
      <c r="HRQ34" s="47"/>
      <c r="HRR34" s="47"/>
      <c r="HRS34" s="47"/>
      <c r="HRT34" s="47"/>
      <c r="HRU34" s="47"/>
      <c r="HRV34" s="47"/>
      <c r="HRW34" s="47"/>
      <c r="HRX34" s="47"/>
      <c r="HRY34" s="47"/>
      <c r="HRZ34" s="47"/>
      <c r="HSA34" s="47"/>
      <c r="HSB34" s="47"/>
      <c r="HSC34" s="47"/>
      <c r="HSD34" s="47"/>
      <c r="HSE34" s="47"/>
      <c r="HSF34" s="47"/>
      <c r="HSG34" s="47"/>
      <c r="HSH34" s="47"/>
      <c r="HSI34" s="47"/>
      <c r="HSJ34" s="47"/>
      <c r="HSK34" s="47"/>
      <c r="HSL34" s="47"/>
      <c r="HSM34" s="47"/>
      <c r="HSN34" s="47"/>
      <c r="HSO34" s="47"/>
      <c r="HSP34" s="47"/>
      <c r="HSQ34" s="47"/>
      <c r="HSR34" s="47"/>
      <c r="HSS34" s="47"/>
      <c r="HST34" s="47"/>
      <c r="HSU34" s="47"/>
      <c r="HSV34" s="47"/>
      <c r="HSW34" s="47"/>
      <c r="HSX34" s="47"/>
      <c r="HSY34" s="47"/>
      <c r="HSZ34" s="47"/>
      <c r="HTA34" s="47"/>
      <c r="HTB34" s="47"/>
      <c r="HTC34" s="47"/>
      <c r="HTD34" s="47"/>
      <c r="HTE34" s="47"/>
      <c r="HTF34" s="47"/>
      <c r="HTG34" s="47"/>
      <c r="HTH34" s="47"/>
      <c r="HTI34" s="47"/>
      <c r="HTJ34" s="47"/>
      <c r="HTK34" s="47"/>
      <c r="HTL34" s="47"/>
      <c r="HTM34" s="47"/>
      <c r="HTN34" s="47"/>
      <c r="HTO34" s="47"/>
      <c r="HTP34" s="47"/>
      <c r="HTQ34" s="47"/>
      <c r="HTR34" s="47"/>
      <c r="HTS34" s="47"/>
      <c r="HTT34" s="47"/>
      <c r="HTU34" s="47"/>
      <c r="HTV34" s="47"/>
      <c r="HTW34" s="47"/>
      <c r="HTX34" s="47"/>
      <c r="HTY34" s="47"/>
      <c r="HTZ34" s="47"/>
      <c r="HUA34" s="47"/>
      <c r="HUB34" s="47"/>
      <c r="HUC34" s="47"/>
      <c r="HUD34" s="47"/>
      <c r="HUE34" s="47"/>
      <c r="HUF34" s="47"/>
      <c r="HUG34" s="47"/>
      <c r="HUH34" s="47"/>
      <c r="HUI34" s="47"/>
      <c r="HUJ34" s="47"/>
      <c r="HUK34" s="47"/>
      <c r="HUL34" s="47"/>
      <c r="HUM34" s="47"/>
      <c r="HUN34" s="47"/>
      <c r="HUO34" s="47"/>
      <c r="HUP34" s="47"/>
      <c r="HUQ34" s="47"/>
      <c r="HUR34" s="47"/>
      <c r="HUS34" s="47"/>
      <c r="HUT34" s="47"/>
      <c r="HUU34" s="47"/>
      <c r="HUV34" s="47"/>
      <c r="HUW34" s="47"/>
      <c r="HUX34" s="47"/>
      <c r="HUY34" s="47"/>
      <c r="HUZ34" s="47"/>
      <c r="HVA34" s="47"/>
      <c r="HVB34" s="47"/>
      <c r="HVC34" s="47"/>
      <c r="HVD34" s="47"/>
      <c r="HVE34" s="47"/>
      <c r="HVF34" s="47"/>
      <c r="HVG34" s="47"/>
      <c r="HVH34" s="47"/>
      <c r="HVI34" s="47"/>
      <c r="HVJ34" s="47"/>
      <c r="HVK34" s="47"/>
      <c r="HVL34" s="47"/>
      <c r="HVM34" s="47"/>
      <c r="HVN34" s="47"/>
      <c r="HVO34" s="47"/>
      <c r="HVP34" s="47"/>
      <c r="HVQ34" s="47"/>
      <c r="HVR34" s="47"/>
      <c r="HVS34" s="47"/>
      <c r="HVT34" s="47"/>
      <c r="HVU34" s="47"/>
      <c r="HVV34" s="47"/>
      <c r="HVW34" s="47"/>
      <c r="HVX34" s="47"/>
      <c r="HVY34" s="47"/>
      <c r="HVZ34" s="47"/>
      <c r="HWA34" s="47"/>
      <c r="HWB34" s="47"/>
      <c r="HWC34" s="47"/>
      <c r="HWD34" s="47"/>
      <c r="HWE34" s="47"/>
      <c r="HWF34" s="47"/>
      <c r="HWG34" s="47"/>
      <c r="HWH34" s="47"/>
      <c r="HWI34" s="47"/>
      <c r="HWJ34" s="47"/>
      <c r="HWK34" s="47"/>
      <c r="HWL34" s="47"/>
      <c r="HWM34" s="47"/>
      <c r="HWN34" s="47"/>
      <c r="HWO34" s="47"/>
      <c r="HWP34" s="47"/>
      <c r="HWQ34" s="47"/>
      <c r="HWR34" s="47"/>
      <c r="HWS34" s="47"/>
      <c r="HWT34" s="47"/>
      <c r="HWU34" s="47"/>
      <c r="HWV34" s="47"/>
      <c r="HWW34" s="47"/>
      <c r="HWX34" s="47"/>
      <c r="HWY34" s="47"/>
      <c r="HWZ34" s="47"/>
      <c r="HXA34" s="47"/>
      <c r="HXB34" s="47"/>
      <c r="HXC34" s="47"/>
      <c r="HXD34" s="47"/>
      <c r="HXE34" s="47"/>
      <c r="HXF34" s="47"/>
      <c r="HXG34" s="47"/>
      <c r="HXH34" s="47"/>
      <c r="HXI34" s="47"/>
      <c r="HXJ34" s="47"/>
      <c r="HXK34" s="47"/>
      <c r="HXL34" s="47"/>
      <c r="HXM34" s="47"/>
      <c r="HXN34" s="47"/>
      <c r="HXO34" s="47"/>
      <c r="HXP34" s="47"/>
      <c r="HXQ34" s="47"/>
      <c r="HXR34" s="47"/>
      <c r="HXS34" s="47"/>
      <c r="HXT34" s="47"/>
      <c r="HXU34" s="47"/>
      <c r="HXV34" s="47"/>
      <c r="HXW34" s="47"/>
      <c r="HXX34" s="47"/>
      <c r="HXY34" s="47"/>
      <c r="HXZ34" s="47"/>
      <c r="HYA34" s="47"/>
      <c r="HYB34" s="47"/>
      <c r="HYC34" s="47"/>
      <c r="HYD34" s="47"/>
      <c r="HYE34" s="47"/>
      <c r="HYF34" s="47"/>
      <c r="HYG34" s="47"/>
      <c r="HYH34" s="47"/>
      <c r="HYI34" s="47"/>
      <c r="HYJ34" s="47"/>
      <c r="HYK34" s="47"/>
      <c r="HYL34" s="47"/>
      <c r="HYM34" s="47"/>
      <c r="HYN34" s="47"/>
      <c r="HYO34" s="47"/>
      <c r="HYP34" s="47"/>
      <c r="HYQ34" s="47"/>
      <c r="HYR34" s="47"/>
      <c r="HYS34" s="47"/>
      <c r="HYT34" s="47"/>
      <c r="HYU34" s="47"/>
      <c r="HYV34" s="47"/>
      <c r="HYW34" s="47"/>
      <c r="HYX34" s="47"/>
      <c r="HYY34" s="47"/>
      <c r="HYZ34" s="47"/>
      <c r="HZA34" s="47"/>
      <c r="HZB34" s="47"/>
      <c r="HZC34" s="47"/>
      <c r="HZD34" s="47"/>
      <c r="HZE34" s="47"/>
      <c r="HZF34" s="47"/>
      <c r="HZG34" s="47"/>
      <c r="HZH34" s="47"/>
      <c r="HZI34" s="47"/>
      <c r="HZJ34" s="47"/>
      <c r="HZK34" s="47"/>
      <c r="HZL34" s="47"/>
      <c r="HZM34" s="47"/>
      <c r="HZN34" s="47"/>
      <c r="HZO34" s="47"/>
      <c r="HZP34" s="47"/>
      <c r="HZQ34" s="47"/>
      <c r="HZR34" s="47"/>
      <c r="HZS34" s="47"/>
      <c r="HZT34" s="47"/>
      <c r="HZU34" s="47"/>
      <c r="HZV34" s="47"/>
      <c r="HZW34" s="47"/>
      <c r="HZX34" s="47"/>
      <c r="HZY34" s="47"/>
      <c r="HZZ34" s="47"/>
      <c r="IAA34" s="47"/>
      <c r="IAB34" s="47"/>
      <c r="IAC34" s="47"/>
      <c r="IAD34" s="47"/>
      <c r="IAE34" s="47"/>
      <c r="IAF34" s="47"/>
      <c r="IAG34" s="47"/>
      <c r="IAH34" s="47"/>
      <c r="IAI34" s="47"/>
      <c r="IAJ34" s="47"/>
      <c r="IAK34" s="47"/>
      <c r="IAL34" s="47"/>
      <c r="IAM34" s="47"/>
      <c r="IAN34" s="47"/>
      <c r="IAO34" s="47"/>
      <c r="IAP34" s="47"/>
      <c r="IAQ34" s="47"/>
      <c r="IAR34" s="47"/>
      <c r="IAS34" s="47"/>
      <c r="IAT34" s="47"/>
      <c r="IAU34" s="47"/>
      <c r="IAV34" s="47"/>
      <c r="IAW34" s="47"/>
      <c r="IAX34" s="47"/>
      <c r="IAY34" s="47"/>
      <c r="IAZ34" s="47"/>
      <c r="IBA34" s="47"/>
      <c r="IBB34" s="47"/>
      <c r="IBC34" s="47"/>
      <c r="IBD34" s="47"/>
      <c r="IBE34" s="47"/>
      <c r="IBF34" s="47"/>
      <c r="IBG34" s="47"/>
      <c r="IBH34" s="47"/>
      <c r="IBI34" s="47"/>
      <c r="IBJ34" s="47"/>
      <c r="IBK34" s="47"/>
      <c r="IBL34" s="47"/>
      <c r="IBM34" s="47"/>
      <c r="IBN34" s="47"/>
      <c r="IBO34" s="47"/>
      <c r="IBP34" s="47"/>
      <c r="IBQ34" s="47"/>
      <c r="IBR34" s="47"/>
      <c r="IBS34" s="47"/>
      <c r="IBT34" s="47"/>
      <c r="IBU34" s="47"/>
      <c r="IBV34" s="47"/>
      <c r="IBW34" s="47"/>
      <c r="IBX34" s="47"/>
      <c r="IBY34" s="47"/>
      <c r="IBZ34" s="47"/>
      <c r="ICA34" s="47"/>
      <c r="ICB34" s="47"/>
      <c r="ICC34" s="47"/>
      <c r="ICD34" s="47"/>
      <c r="ICE34" s="47"/>
      <c r="ICF34" s="47"/>
      <c r="ICG34" s="47"/>
      <c r="ICH34" s="47"/>
      <c r="ICI34" s="47"/>
      <c r="ICJ34" s="47"/>
      <c r="ICK34" s="47"/>
      <c r="ICL34" s="47"/>
      <c r="ICM34" s="47"/>
      <c r="ICN34" s="47"/>
      <c r="ICO34" s="47"/>
      <c r="ICP34" s="47"/>
      <c r="ICQ34" s="47"/>
      <c r="ICR34" s="47"/>
      <c r="ICS34" s="47"/>
      <c r="ICT34" s="47"/>
      <c r="ICU34" s="47"/>
      <c r="ICV34" s="47"/>
      <c r="ICW34" s="47"/>
      <c r="ICX34" s="47"/>
      <c r="ICY34" s="47"/>
      <c r="ICZ34" s="47"/>
      <c r="IDA34" s="47"/>
      <c r="IDB34" s="47"/>
      <c r="IDC34" s="47"/>
      <c r="IDD34" s="47"/>
      <c r="IDE34" s="47"/>
      <c r="IDF34" s="47"/>
      <c r="IDG34" s="47"/>
      <c r="IDH34" s="47"/>
      <c r="IDI34" s="47"/>
      <c r="IDJ34" s="47"/>
      <c r="IDK34" s="47"/>
      <c r="IDL34" s="47"/>
      <c r="IDM34" s="47"/>
      <c r="IDN34" s="47"/>
      <c r="IDO34" s="47"/>
      <c r="IDP34" s="47"/>
      <c r="IDQ34" s="47"/>
      <c r="IDR34" s="47"/>
      <c r="IDS34" s="47"/>
      <c r="IDT34" s="47"/>
      <c r="IDU34" s="47"/>
      <c r="IDV34" s="47"/>
      <c r="IDW34" s="47"/>
      <c r="IDX34" s="47"/>
      <c r="IDY34" s="47"/>
      <c r="IDZ34" s="47"/>
      <c r="IEA34" s="47"/>
      <c r="IEB34" s="47"/>
      <c r="IEC34" s="47"/>
      <c r="IED34" s="47"/>
      <c r="IEE34" s="47"/>
      <c r="IEF34" s="47"/>
      <c r="IEG34" s="47"/>
      <c r="IEH34" s="47"/>
      <c r="IEI34" s="47"/>
      <c r="IEJ34" s="47"/>
      <c r="IEK34" s="47"/>
      <c r="IEL34" s="47"/>
      <c r="IEM34" s="47"/>
      <c r="IEN34" s="47"/>
      <c r="IEO34" s="47"/>
      <c r="IEP34" s="47"/>
      <c r="IEQ34" s="47"/>
      <c r="IER34" s="47"/>
      <c r="IES34" s="47"/>
      <c r="IET34" s="47"/>
      <c r="IEU34" s="47"/>
      <c r="IEV34" s="47"/>
      <c r="IEW34" s="47"/>
      <c r="IEX34" s="47"/>
      <c r="IEY34" s="47"/>
      <c r="IEZ34" s="47"/>
      <c r="IFA34" s="47"/>
      <c r="IFB34" s="47"/>
      <c r="IFC34" s="47"/>
      <c r="IFD34" s="47"/>
      <c r="IFE34" s="47"/>
      <c r="IFF34" s="47"/>
      <c r="IFG34" s="47"/>
      <c r="IFH34" s="47"/>
      <c r="IFI34" s="47"/>
      <c r="IFJ34" s="47"/>
      <c r="IFK34" s="47"/>
      <c r="IFL34" s="47"/>
      <c r="IFM34" s="47"/>
      <c r="IFN34" s="47"/>
      <c r="IFO34" s="47"/>
      <c r="IFP34" s="47"/>
      <c r="IFQ34" s="47"/>
      <c r="IFR34" s="47"/>
      <c r="IFS34" s="47"/>
      <c r="IFT34" s="47"/>
      <c r="IFU34" s="47"/>
      <c r="IFV34" s="47"/>
      <c r="IFW34" s="47"/>
      <c r="IFX34" s="47"/>
      <c r="IFY34" s="47"/>
      <c r="IFZ34" s="47"/>
      <c r="IGA34" s="47"/>
      <c r="IGB34" s="47"/>
      <c r="IGC34" s="47"/>
      <c r="IGD34" s="47"/>
      <c r="IGE34" s="47"/>
      <c r="IGF34" s="47"/>
      <c r="IGG34" s="47"/>
      <c r="IGH34" s="47"/>
      <c r="IGI34" s="47"/>
      <c r="IGJ34" s="47"/>
      <c r="IGK34" s="47"/>
      <c r="IGL34" s="47"/>
      <c r="IGM34" s="47"/>
      <c r="IGN34" s="47"/>
      <c r="IGO34" s="47"/>
      <c r="IGP34" s="47"/>
      <c r="IGQ34" s="47"/>
      <c r="IGR34" s="47"/>
      <c r="IGS34" s="47"/>
      <c r="IGT34" s="47"/>
      <c r="IGU34" s="47"/>
      <c r="IGV34" s="47"/>
      <c r="IGW34" s="47"/>
      <c r="IGX34" s="47"/>
      <c r="IGY34" s="47"/>
      <c r="IGZ34" s="47"/>
      <c r="IHA34" s="47"/>
      <c r="IHB34" s="47"/>
      <c r="IHC34" s="47"/>
      <c r="IHD34" s="47"/>
      <c r="IHE34" s="47"/>
      <c r="IHF34" s="47"/>
      <c r="IHG34" s="47"/>
      <c r="IHH34" s="47"/>
      <c r="IHI34" s="47"/>
      <c r="IHJ34" s="47"/>
      <c r="IHK34" s="47"/>
      <c r="IHL34" s="47"/>
      <c r="IHM34" s="47"/>
      <c r="IHN34" s="47"/>
      <c r="IHO34" s="47"/>
      <c r="IHP34" s="47"/>
      <c r="IHQ34" s="47"/>
      <c r="IHR34" s="47"/>
      <c r="IHS34" s="47"/>
      <c r="IHT34" s="47"/>
      <c r="IHU34" s="47"/>
      <c r="IHV34" s="47"/>
      <c r="IHW34" s="47"/>
      <c r="IHX34" s="47"/>
      <c r="IHY34" s="47"/>
      <c r="IHZ34" s="47"/>
      <c r="IIA34" s="47"/>
      <c r="IIB34" s="47"/>
      <c r="IIC34" s="47"/>
      <c r="IID34" s="47"/>
      <c r="IIE34" s="47"/>
      <c r="IIF34" s="47"/>
      <c r="IIG34" s="47"/>
      <c r="IIH34" s="47"/>
      <c r="III34" s="47"/>
      <c r="IIJ34" s="47"/>
      <c r="IIK34" s="47"/>
      <c r="IIL34" s="47"/>
      <c r="IIM34" s="47"/>
      <c r="IIN34" s="47"/>
      <c r="IIO34" s="47"/>
      <c r="IIP34" s="47"/>
      <c r="IIQ34" s="47"/>
      <c r="IIR34" s="47"/>
      <c r="IIS34" s="47"/>
      <c r="IIT34" s="47"/>
      <c r="IIU34" s="47"/>
      <c r="IIV34" s="47"/>
      <c r="IIW34" s="47"/>
      <c r="IIX34" s="47"/>
      <c r="IIY34" s="47"/>
      <c r="IIZ34" s="47"/>
      <c r="IJA34" s="47"/>
      <c r="IJB34" s="47"/>
      <c r="IJC34" s="47"/>
      <c r="IJD34" s="47"/>
      <c r="IJE34" s="47"/>
      <c r="IJF34" s="47"/>
      <c r="IJG34" s="47"/>
      <c r="IJH34" s="47"/>
      <c r="IJI34" s="47"/>
      <c r="IJJ34" s="47"/>
      <c r="IJK34" s="47"/>
      <c r="IJL34" s="47"/>
      <c r="IJM34" s="47"/>
      <c r="IJN34" s="47"/>
      <c r="IJO34" s="47"/>
      <c r="IJP34" s="47"/>
      <c r="IJQ34" s="47"/>
      <c r="IJR34" s="47"/>
      <c r="IJS34" s="47"/>
      <c r="IJT34" s="47"/>
      <c r="IJU34" s="47"/>
      <c r="IJV34" s="47"/>
      <c r="IJW34" s="47"/>
      <c r="IJX34" s="47"/>
      <c r="IJY34" s="47"/>
      <c r="IJZ34" s="47"/>
      <c r="IKA34" s="47"/>
      <c r="IKB34" s="47"/>
      <c r="IKC34" s="47"/>
      <c r="IKD34" s="47"/>
      <c r="IKE34" s="47"/>
      <c r="IKF34" s="47"/>
      <c r="IKG34" s="47"/>
      <c r="IKH34" s="47"/>
      <c r="IKI34" s="47"/>
      <c r="IKJ34" s="47"/>
      <c r="IKK34" s="47"/>
      <c r="IKL34" s="47"/>
      <c r="IKM34" s="47"/>
      <c r="IKN34" s="47"/>
      <c r="IKO34" s="47"/>
      <c r="IKP34" s="47"/>
      <c r="IKQ34" s="47"/>
      <c r="IKR34" s="47"/>
      <c r="IKS34" s="47"/>
      <c r="IKT34" s="47"/>
      <c r="IKU34" s="47"/>
      <c r="IKV34" s="47"/>
      <c r="IKW34" s="47"/>
      <c r="IKX34" s="47"/>
      <c r="IKY34" s="47"/>
      <c r="IKZ34" s="47"/>
      <c r="ILA34" s="47"/>
      <c r="ILB34" s="47"/>
      <c r="ILC34" s="47"/>
      <c r="ILD34" s="47"/>
      <c r="ILE34" s="47"/>
      <c r="ILF34" s="47"/>
      <c r="ILG34" s="47"/>
      <c r="ILH34" s="47"/>
      <c r="ILI34" s="47"/>
      <c r="ILJ34" s="47"/>
      <c r="ILK34" s="47"/>
      <c r="ILL34" s="47"/>
      <c r="ILM34" s="47"/>
      <c r="ILN34" s="47"/>
      <c r="ILO34" s="47"/>
      <c r="ILP34" s="47"/>
      <c r="ILQ34" s="47"/>
      <c r="ILR34" s="47"/>
      <c r="ILS34" s="47"/>
      <c r="ILT34" s="47"/>
      <c r="ILU34" s="47"/>
      <c r="ILV34" s="47"/>
      <c r="ILW34" s="47"/>
      <c r="ILX34" s="47"/>
      <c r="ILY34" s="47"/>
      <c r="ILZ34" s="47"/>
      <c r="IMA34" s="47"/>
      <c r="IMB34" s="47"/>
      <c r="IMC34" s="47"/>
      <c r="IMD34" s="47"/>
      <c r="IME34" s="47"/>
      <c r="IMF34" s="47"/>
      <c r="IMG34" s="47"/>
      <c r="IMH34" s="47"/>
      <c r="IMI34" s="47"/>
      <c r="IMJ34" s="47"/>
      <c r="IMK34" s="47"/>
      <c r="IML34" s="47"/>
      <c r="IMM34" s="47"/>
      <c r="IMN34" s="47"/>
      <c r="IMO34" s="47"/>
      <c r="IMP34" s="47"/>
      <c r="IMQ34" s="47"/>
      <c r="IMR34" s="47"/>
      <c r="IMS34" s="47"/>
      <c r="IMT34" s="47"/>
      <c r="IMU34" s="47"/>
      <c r="IMV34" s="47"/>
      <c r="IMW34" s="47"/>
      <c r="IMX34" s="47"/>
      <c r="IMY34" s="47"/>
      <c r="IMZ34" s="47"/>
      <c r="INA34" s="47"/>
      <c r="INB34" s="47"/>
      <c r="INC34" s="47"/>
      <c r="IND34" s="47"/>
      <c r="INE34" s="47"/>
      <c r="INF34" s="47"/>
      <c r="ING34" s="47"/>
      <c r="INH34" s="47"/>
      <c r="INI34" s="47"/>
      <c r="INJ34" s="47"/>
      <c r="INK34" s="47"/>
      <c r="INL34" s="47"/>
      <c r="INM34" s="47"/>
      <c r="INN34" s="47"/>
      <c r="INO34" s="47"/>
      <c r="INP34" s="47"/>
      <c r="INQ34" s="47"/>
      <c r="INR34" s="47"/>
      <c r="INS34" s="47"/>
      <c r="INT34" s="47"/>
      <c r="INU34" s="47"/>
      <c r="INV34" s="47"/>
      <c r="INW34" s="47"/>
      <c r="INX34" s="47"/>
      <c r="INY34" s="47"/>
      <c r="INZ34" s="47"/>
      <c r="IOA34" s="47"/>
      <c r="IOB34" s="47"/>
      <c r="IOC34" s="47"/>
      <c r="IOD34" s="47"/>
      <c r="IOE34" s="47"/>
      <c r="IOF34" s="47"/>
      <c r="IOG34" s="47"/>
      <c r="IOH34" s="47"/>
      <c r="IOI34" s="47"/>
      <c r="IOJ34" s="47"/>
      <c r="IOK34" s="47"/>
      <c r="IOL34" s="47"/>
      <c r="IOM34" s="47"/>
      <c r="ION34" s="47"/>
      <c r="IOO34" s="47"/>
      <c r="IOP34" s="47"/>
      <c r="IOQ34" s="47"/>
      <c r="IOR34" s="47"/>
      <c r="IOS34" s="47"/>
      <c r="IOT34" s="47"/>
      <c r="IOU34" s="47"/>
      <c r="IOV34" s="47"/>
      <c r="IOW34" s="47"/>
      <c r="IOX34" s="47"/>
      <c r="IOY34" s="47"/>
      <c r="IOZ34" s="47"/>
      <c r="IPA34" s="47"/>
      <c r="IPB34" s="47"/>
      <c r="IPC34" s="47"/>
      <c r="IPD34" s="47"/>
      <c r="IPE34" s="47"/>
      <c r="IPF34" s="47"/>
      <c r="IPG34" s="47"/>
      <c r="IPH34" s="47"/>
      <c r="IPI34" s="47"/>
      <c r="IPJ34" s="47"/>
      <c r="IPK34" s="47"/>
      <c r="IPL34" s="47"/>
      <c r="IPM34" s="47"/>
      <c r="IPN34" s="47"/>
      <c r="IPO34" s="47"/>
      <c r="IPP34" s="47"/>
      <c r="IPQ34" s="47"/>
      <c r="IPR34" s="47"/>
      <c r="IPS34" s="47"/>
      <c r="IPT34" s="47"/>
      <c r="IPU34" s="47"/>
      <c r="IPV34" s="47"/>
      <c r="IPW34" s="47"/>
      <c r="IPX34" s="47"/>
      <c r="IPY34" s="47"/>
      <c r="IPZ34" s="47"/>
      <c r="IQA34" s="47"/>
      <c r="IQB34" s="47"/>
      <c r="IQC34" s="47"/>
      <c r="IQD34" s="47"/>
      <c r="IQE34" s="47"/>
      <c r="IQF34" s="47"/>
      <c r="IQG34" s="47"/>
      <c r="IQH34" s="47"/>
      <c r="IQI34" s="47"/>
      <c r="IQJ34" s="47"/>
      <c r="IQK34" s="47"/>
      <c r="IQL34" s="47"/>
      <c r="IQM34" s="47"/>
      <c r="IQN34" s="47"/>
      <c r="IQO34" s="47"/>
      <c r="IQP34" s="47"/>
      <c r="IQQ34" s="47"/>
      <c r="IQR34" s="47"/>
      <c r="IQS34" s="47"/>
      <c r="IQT34" s="47"/>
      <c r="IQU34" s="47"/>
      <c r="IQV34" s="47"/>
      <c r="IQW34" s="47"/>
      <c r="IQX34" s="47"/>
      <c r="IQY34" s="47"/>
      <c r="IQZ34" s="47"/>
      <c r="IRA34" s="47"/>
      <c r="IRB34" s="47"/>
      <c r="IRC34" s="47"/>
      <c r="IRD34" s="47"/>
      <c r="IRE34" s="47"/>
      <c r="IRF34" s="47"/>
      <c r="IRG34" s="47"/>
      <c r="IRH34" s="47"/>
      <c r="IRI34" s="47"/>
      <c r="IRJ34" s="47"/>
      <c r="IRK34" s="47"/>
      <c r="IRL34" s="47"/>
      <c r="IRM34" s="47"/>
      <c r="IRN34" s="47"/>
      <c r="IRO34" s="47"/>
      <c r="IRP34" s="47"/>
      <c r="IRQ34" s="47"/>
      <c r="IRR34" s="47"/>
      <c r="IRS34" s="47"/>
      <c r="IRT34" s="47"/>
      <c r="IRU34" s="47"/>
      <c r="IRV34" s="47"/>
      <c r="IRW34" s="47"/>
      <c r="IRX34" s="47"/>
      <c r="IRY34" s="47"/>
      <c r="IRZ34" s="47"/>
      <c r="ISA34" s="47"/>
      <c r="ISB34" s="47"/>
      <c r="ISC34" s="47"/>
      <c r="ISD34" s="47"/>
      <c r="ISE34" s="47"/>
      <c r="ISF34" s="47"/>
      <c r="ISG34" s="47"/>
      <c r="ISH34" s="47"/>
      <c r="ISI34" s="47"/>
      <c r="ISJ34" s="47"/>
      <c r="ISK34" s="47"/>
      <c r="ISL34" s="47"/>
      <c r="ISM34" s="47"/>
      <c r="ISN34" s="47"/>
      <c r="ISO34" s="47"/>
      <c r="ISP34" s="47"/>
      <c r="ISQ34" s="47"/>
      <c r="ISR34" s="47"/>
      <c r="ISS34" s="47"/>
      <c r="IST34" s="47"/>
      <c r="ISU34" s="47"/>
      <c r="ISV34" s="47"/>
      <c r="ISW34" s="47"/>
      <c r="ISX34" s="47"/>
      <c r="ISY34" s="47"/>
      <c r="ISZ34" s="47"/>
      <c r="ITA34" s="47"/>
      <c r="ITB34" s="47"/>
      <c r="ITC34" s="47"/>
      <c r="ITD34" s="47"/>
      <c r="ITE34" s="47"/>
      <c r="ITF34" s="47"/>
      <c r="ITG34" s="47"/>
      <c r="ITH34" s="47"/>
      <c r="ITI34" s="47"/>
      <c r="ITJ34" s="47"/>
      <c r="ITK34" s="47"/>
      <c r="ITL34" s="47"/>
      <c r="ITM34" s="47"/>
      <c r="ITN34" s="47"/>
      <c r="ITO34" s="47"/>
      <c r="ITP34" s="47"/>
      <c r="ITQ34" s="47"/>
      <c r="ITR34" s="47"/>
      <c r="ITS34" s="47"/>
      <c r="ITT34" s="47"/>
      <c r="ITU34" s="47"/>
      <c r="ITV34" s="47"/>
      <c r="ITW34" s="47"/>
      <c r="ITX34" s="47"/>
      <c r="ITY34" s="47"/>
      <c r="ITZ34" s="47"/>
      <c r="IUA34" s="47"/>
      <c r="IUB34" s="47"/>
      <c r="IUC34" s="47"/>
      <c r="IUD34" s="47"/>
      <c r="IUE34" s="47"/>
      <c r="IUF34" s="47"/>
      <c r="IUG34" s="47"/>
      <c r="IUH34" s="47"/>
      <c r="IUI34" s="47"/>
      <c r="IUJ34" s="47"/>
      <c r="IUK34" s="47"/>
      <c r="IUL34" s="47"/>
      <c r="IUM34" s="47"/>
      <c r="IUN34" s="47"/>
      <c r="IUO34" s="47"/>
      <c r="IUP34" s="47"/>
      <c r="IUQ34" s="47"/>
      <c r="IUR34" s="47"/>
      <c r="IUS34" s="47"/>
      <c r="IUT34" s="47"/>
      <c r="IUU34" s="47"/>
      <c r="IUV34" s="47"/>
      <c r="IUW34" s="47"/>
      <c r="IUX34" s="47"/>
      <c r="IUY34" s="47"/>
      <c r="IUZ34" s="47"/>
      <c r="IVA34" s="47"/>
      <c r="IVB34" s="47"/>
      <c r="IVC34" s="47"/>
      <c r="IVD34" s="47"/>
      <c r="IVE34" s="47"/>
      <c r="IVF34" s="47"/>
      <c r="IVG34" s="47"/>
      <c r="IVH34" s="47"/>
      <c r="IVI34" s="47"/>
      <c r="IVJ34" s="47"/>
      <c r="IVK34" s="47"/>
      <c r="IVL34" s="47"/>
      <c r="IVM34" s="47"/>
      <c r="IVN34" s="47"/>
      <c r="IVO34" s="47"/>
      <c r="IVP34" s="47"/>
      <c r="IVQ34" s="47"/>
      <c r="IVR34" s="47"/>
      <c r="IVS34" s="47"/>
      <c r="IVT34" s="47"/>
      <c r="IVU34" s="47"/>
      <c r="IVV34" s="47"/>
      <c r="IVW34" s="47"/>
      <c r="IVX34" s="47"/>
      <c r="IVY34" s="47"/>
      <c r="IVZ34" s="47"/>
      <c r="IWA34" s="47"/>
      <c r="IWB34" s="47"/>
      <c r="IWC34" s="47"/>
      <c r="IWD34" s="47"/>
      <c r="IWE34" s="47"/>
      <c r="IWF34" s="47"/>
      <c r="IWG34" s="47"/>
      <c r="IWH34" s="47"/>
      <c r="IWI34" s="47"/>
      <c r="IWJ34" s="47"/>
      <c r="IWK34" s="47"/>
      <c r="IWL34" s="47"/>
      <c r="IWM34" s="47"/>
      <c r="IWN34" s="47"/>
      <c r="IWO34" s="47"/>
      <c r="IWP34" s="47"/>
      <c r="IWQ34" s="47"/>
      <c r="IWR34" s="47"/>
      <c r="IWS34" s="47"/>
      <c r="IWT34" s="47"/>
      <c r="IWU34" s="47"/>
      <c r="IWV34" s="47"/>
      <c r="IWW34" s="47"/>
      <c r="IWX34" s="47"/>
      <c r="IWY34" s="47"/>
      <c r="IWZ34" s="47"/>
      <c r="IXA34" s="47"/>
      <c r="IXB34" s="47"/>
      <c r="IXC34" s="47"/>
      <c r="IXD34" s="47"/>
      <c r="IXE34" s="47"/>
      <c r="IXF34" s="47"/>
      <c r="IXG34" s="47"/>
      <c r="IXH34" s="47"/>
      <c r="IXI34" s="47"/>
      <c r="IXJ34" s="47"/>
      <c r="IXK34" s="47"/>
      <c r="IXL34" s="47"/>
      <c r="IXM34" s="47"/>
      <c r="IXN34" s="47"/>
      <c r="IXO34" s="47"/>
      <c r="IXP34" s="47"/>
      <c r="IXQ34" s="47"/>
      <c r="IXR34" s="47"/>
      <c r="IXS34" s="47"/>
      <c r="IXT34" s="47"/>
      <c r="IXU34" s="47"/>
      <c r="IXV34" s="47"/>
      <c r="IXW34" s="47"/>
      <c r="IXX34" s="47"/>
      <c r="IXY34" s="47"/>
      <c r="IXZ34" s="47"/>
      <c r="IYA34" s="47"/>
      <c r="IYB34" s="47"/>
      <c r="IYC34" s="47"/>
      <c r="IYD34" s="47"/>
      <c r="IYE34" s="47"/>
      <c r="IYF34" s="47"/>
      <c r="IYG34" s="47"/>
      <c r="IYH34" s="47"/>
      <c r="IYI34" s="47"/>
      <c r="IYJ34" s="47"/>
      <c r="IYK34" s="47"/>
      <c r="IYL34" s="47"/>
      <c r="IYM34" s="47"/>
      <c r="IYN34" s="47"/>
      <c r="IYO34" s="47"/>
      <c r="IYP34" s="47"/>
      <c r="IYQ34" s="47"/>
      <c r="IYR34" s="47"/>
      <c r="IYS34" s="47"/>
      <c r="IYT34" s="47"/>
      <c r="IYU34" s="47"/>
      <c r="IYV34" s="47"/>
      <c r="IYW34" s="47"/>
      <c r="IYX34" s="47"/>
      <c r="IYY34" s="47"/>
      <c r="IYZ34" s="47"/>
      <c r="IZA34" s="47"/>
      <c r="IZB34" s="47"/>
      <c r="IZC34" s="47"/>
      <c r="IZD34" s="47"/>
      <c r="IZE34" s="47"/>
      <c r="IZF34" s="47"/>
      <c r="IZG34" s="47"/>
      <c r="IZH34" s="47"/>
      <c r="IZI34" s="47"/>
      <c r="IZJ34" s="47"/>
      <c r="IZK34" s="47"/>
      <c r="IZL34" s="47"/>
      <c r="IZM34" s="47"/>
      <c r="IZN34" s="47"/>
      <c r="IZO34" s="47"/>
      <c r="IZP34" s="47"/>
      <c r="IZQ34" s="47"/>
      <c r="IZR34" s="47"/>
      <c r="IZS34" s="47"/>
      <c r="IZT34" s="47"/>
      <c r="IZU34" s="47"/>
      <c r="IZV34" s="47"/>
      <c r="IZW34" s="47"/>
      <c r="IZX34" s="47"/>
      <c r="IZY34" s="47"/>
      <c r="IZZ34" s="47"/>
      <c r="JAA34" s="47"/>
      <c r="JAB34" s="47"/>
      <c r="JAC34" s="47"/>
      <c r="JAD34" s="47"/>
      <c r="JAE34" s="47"/>
      <c r="JAF34" s="47"/>
      <c r="JAG34" s="47"/>
      <c r="JAH34" s="47"/>
      <c r="JAI34" s="47"/>
      <c r="JAJ34" s="47"/>
      <c r="JAK34" s="47"/>
      <c r="JAL34" s="47"/>
      <c r="JAM34" s="47"/>
      <c r="JAN34" s="47"/>
      <c r="JAO34" s="47"/>
      <c r="JAP34" s="47"/>
      <c r="JAQ34" s="47"/>
      <c r="JAR34" s="47"/>
      <c r="JAS34" s="47"/>
      <c r="JAT34" s="47"/>
      <c r="JAU34" s="47"/>
      <c r="JAV34" s="47"/>
      <c r="JAW34" s="47"/>
      <c r="JAX34" s="47"/>
      <c r="JAY34" s="47"/>
      <c r="JAZ34" s="47"/>
      <c r="JBA34" s="47"/>
      <c r="JBB34" s="47"/>
      <c r="JBC34" s="47"/>
      <c r="JBD34" s="47"/>
      <c r="JBE34" s="47"/>
      <c r="JBF34" s="47"/>
      <c r="JBG34" s="47"/>
      <c r="JBH34" s="47"/>
      <c r="JBI34" s="47"/>
      <c r="JBJ34" s="47"/>
      <c r="JBK34" s="47"/>
      <c r="JBL34" s="47"/>
      <c r="JBM34" s="47"/>
      <c r="JBN34" s="47"/>
      <c r="JBO34" s="47"/>
      <c r="JBP34" s="47"/>
      <c r="JBQ34" s="47"/>
      <c r="JBR34" s="47"/>
      <c r="JBS34" s="47"/>
      <c r="JBT34" s="47"/>
      <c r="JBU34" s="47"/>
      <c r="JBV34" s="47"/>
      <c r="JBW34" s="47"/>
      <c r="JBX34" s="47"/>
      <c r="JBY34" s="47"/>
      <c r="JBZ34" s="47"/>
      <c r="JCA34" s="47"/>
      <c r="JCB34" s="47"/>
      <c r="JCC34" s="47"/>
      <c r="JCD34" s="47"/>
      <c r="JCE34" s="47"/>
      <c r="JCF34" s="47"/>
      <c r="JCG34" s="47"/>
      <c r="JCH34" s="47"/>
      <c r="JCI34" s="47"/>
      <c r="JCJ34" s="47"/>
      <c r="JCK34" s="47"/>
      <c r="JCL34" s="47"/>
      <c r="JCM34" s="47"/>
      <c r="JCN34" s="47"/>
      <c r="JCO34" s="47"/>
      <c r="JCP34" s="47"/>
      <c r="JCQ34" s="47"/>
      <c r="JCR34" s="47"/>
      <c r="JCS34" s="47"/>
      <c r="JCT34" s="47"/>
      <c r="JCU34" s="47"/>
      <c r="JCV34" s="47"/>
      <c r="JCW34" s="47"/>
      <c r="JCX34" s="47"/>
      <c r="JCY34" s="47"/>
      <c r="JCZ34" s="47"/>
      <c r="JDA34" s="47"/>
      <c r="JDB34" s="47"/>
      <c r="JDC34" s="47"/>
      <c r="JDD34" s="47"/>
      <c r="JDE34" s="47"/>
      <c r="JDF34" s="47"/>
      <c r="JDG34" s="47"/>
      <c r="JDH34" s="47"/>
      <c r="JDI34" s="47"/>
      <c r="JDJ34" s="47"/>
      <c r="JDK34" s="47"/>
      <c r="JDL34" s="47"/>
      <c r="JDM34" s="47"/>
      <c r="JDN34" s="47"/>
      <c r="JDO34" s="47"/>
      <c r="JDP34" s="47"/>
      <c r="JDQ34" s="47"/>
      <c r="JDR34" s="47"/>
      <c r="JDS34" s="47"/>
      <c r="JDT34" s="47"/>
      <c r="JDU34" s="47"/>
      <c r="JDV34" s="47"/>
      <c r="JDW34" s="47"/>
      <c r="JDX34" s="47"/>
      <c r="JDY34" s="47"/>
      <c r="JDZ34" s="47"/>
      <c r="JEA34" s="47"/>
      <c r="JEB34" s="47"/>
      <c r="JEC34" s="47"/>
      <c r="JED34" s="47"/>
      <c r="JEE34" s="47"/>
      <c r="JEF34" s="47"/>
      <c r="JEG34" s="47"/>
      <c r="JEH34" s="47"/>
      <c r="JEI34" s="47"/>
      <c r="JEJ34" s="47"/>
      <c r="JEK34" s="47"/>
      <c r="JEL34" s="47"/>
      <c r="JEM34" s="47"/>
      <c r="JEN34" s="47"/>
      <c r="JEO34" s="47"/>
      <c r="JEP34" s="47"/>
      <c r="JEQ34" s="47"/>
      <c r="JER34" s="47"/>
      <c r="JES34" s="47"/>
      <c r="JET34" s="47"/>
      <c r="JEU34" s="47"/>
      <c r="JEV34" s="47"/>
      <c r="JEW34" s="47"/>
      <c r="JEX34" s="47"/>
      <c r="JEY34" s="47"/>
      <c r="JEZ34" s="47"/>
      <c r="JFA34" s="47"/>
      <c r="JFB34" s="47"/>
      <c r="JFC34" s="47"/>
      <c r="JFD34" s="47"/>
      <c r="JFE34" s="47"/>
      <c r="JFF34" s="47"/>
      <c r="JFG34" s="47"/>
      <c r="JFH34" s="47"/>
      <c r="JFI34" s="47"/>
      <c r="JFJ34" s="47"/>
      <c r="JFK34" s="47"/>
      <c r="JFL34" s="47"/>
      <c r="JFM34" s="47"/>
      <c r="JFN34" s="47"/>
      <c r="JFO34" s="47"/>
      <c r="JFP34" s="47"/>
      <c r="JFQ34" s="47"/>
      <c r="JFR34" s="47"/>
      <c r="JFS34" s="47"/>
      <c r="JFT34" s="47"/>
      <c r="JFU34" s="47"/>
      <c r="JFV34" s="47"/>
      <c r="JFW34" s="47"/>
      <c r="JFX34" s="47"/>
      <c r="JFY34" s="47"/>
      <c r="JFZ34" s="47"/>
      <c r="JGA34" s="47"/>
      <c r="JGB34" s="47"/>
      <c r="JGC34" s="47"/>
      <c r="JGD34" s="47"/>
      <c r="JGE34" s="47"/>
      <c r="JGF34" s="47"/>
      <c r="JGG34" s="47"/>
      <c r="JGH34" s="47"/>
      <c r="JGI34" s="47"/>
      <c r="JGJ34" s="47"/>
      <c r="JGK34" s="47"/>
      <c r="JGL34" s="47"/>
      <c r="JGM34" s="47"/>
      <c r="JGN34" s="47"/>
      <c r="JGO34" s="47"/>
      <c r="JGP34" s="47"/>
      <c r="JGQ34" s="47"/>
      <c r="JGR34" s="47"/>
      <c r="JGS34" s="47"/>
      <c r="JGT34" s="47"/>
      <c r="JGU34" s="47"/>
      <c r="JGV34" s="47"/>
      <c r="JGW34" s="47"/>
      <c r="JGX34" s="47"/>
      <c r="JGY34" s="47"/>
      <c r="JGZ34" s="47"/>
      <c r="JHA34" s="47"/>
      <c r="JHB34" s="47"/>
      <c r="JHC34" s="47"/>
      <c r="JHD34" s="47"/>
      <c r="JHE34" s="47"/>
      <c r="JHF34" s="47"/>
      <c r="JHG34" s="47"/>
      <c r="JHH34" s="47"/>
      <c r="JHI34" s="47"/>
      <c r="JHJ34" s="47"/>
      <c r="JHK34" s="47"/>
      <c r="JHL34" s="47"/>
      <c r="JHM34" s="47"/>
      <c r="JHN34" s="47"/>
      <c r="JHO34" s="47"/>
      <c r="JHP34" s="47"/>
      <c r="JHQ34" s="47"/>
      <c r="JHR34" s="47"/>
      <c r="JHS34" s="47"/>
      <c r="JHT34" s="47"/>
      <c r="JHU34" s="47"/>
      <c r="JHV34" s="47"/>
      <c r="JHW34" s="47"/>
      <c r="JHX34" s="47"/>
      <c r="JHY34" s="47"/>
      <c r="JHZ34" s="47"/>
      <c r="JIA34" s="47"/>
      <c r="JIB34" s="47"/>
      <c r="JIC34" s="47"/>
      <c r="JID34" s="47"/>
      <c r="JIE34" s="47"/>
      <c r="JIF34" s="47"/>
      <c r="JIG34" s="47"/>
      <c r="JIH34" s="47"/>
      <c r="JII34" s="47"/>
      <c r="JIJ34" s="47"/>
      <c r="JIK34" s="47"/>
      <c r="JIL34" s="47"/>
      <c r="JIM34" s="47"/>
      <c r="JIN34" s="47"/>
      <c r="JIO34" s="47"/>
      <c r="JIP34" s="47"/>
      <c r="JIQ34" s="47"/>
      <c r="JIR34" s="47"/>
      <c r="JIS34" s="47"/>
      <c r="JIT34" s="47"/>
      <c r="JIU34" s="47"/>
      <c r="JIV34" s="47"/>
      <c r="JIW34" s="47"/>
      <c r="JIX34" s="47"/>
      <c r="JIY34" s="47"/>
      <c r="JIZ34" s="47"/>
      <c r="JJA34" s="47"/>
      <c r="JJB34" s="47"/>
      <c r="JJC34" s="47"/>
      <c r="JJD34" s="47"/>
      <c r="JJE34" s="47"/>
      <c r="JJF34" s="47"/>
      <c r="JJG34" s="47"/>
      <c r="JJH34" s="47"/>
      <c r="JJI34" s="47"/>
      <c r="JJJ34" s="47"/>
      <c r="JJK34" s="47"/>
      <c r="JJL34" s="47"/>
      <c r="JJM34" s="47"/>
      <c r="JJN34" s="47"/>
      <c r="JJO34" s="47"/>
      <c r="JJP34" s="47"/>
      <c r="JJQ34" s="47"/>
      <c r="JJR34" s="47"/>
      <c r="JJS34" s="47"/>
      <c r="JJT34" s="47"/>
      <c r="JJU34" s="47"/>
      <c r="JJV34" s="47"/>
      <c r="JJW34" s="47"/>
      <c r="JJX34" s="47"/>
      <c r="JJY34" s="47"/>
      <c r="JJZ34" s="47"/>
      <c r="JKA34" s="47"/>
      <c r="JKB34" s="47"/>
      <c r="JKC34" s="47"/>
      <c r="JKD34" s="47"/>
      <c r="JKE34" s="47"/>
      <c r="JKF34" s="47"/>
      <c r="JKG34" s="47"/>
      <c r="JKH34" s="47"/>
      <c r="JKI34" s="47"/>
      <c r="JKJ34" s="47"/>
      <c r="JKK34" s="47"/>
      <c r="JKL34" s="47"/>
      <c r="JKM34" s="47"/>
      <c r="JKN34" s="47"/>
      <c r="JKO34" s="47"/>
      <c r="JKP34" s="47"/>
      <c r="JKQ34" s="47"/>
      <c r="JKR34" s="47"/>
      <c r="JKS34" s="47"/>
      <c r="JKT34" s="47"/>
      <c r="JKU34" s="47"/>
      <c r="JKV34" s="47"/>
      <c r="JKW34" s="47"/>
      <c r="JKX34" s="47"/>
      <c r="JKY34" s="47"/>
      <c r="JKZ34" s="47"/>
      <c r="JLA34" s="47"/>
      <c r="JLB34" s="47"/>
      <c r="JLC34" s="47"/>
      <c r="JLD34" s="47"/>
      <c r="JLE34" s="47"/>
      <c r="JLF34" s="47"/>
      <c r="JLG34" s="47"/>
      <c r="JLH34" s="47"/>
      <c r="JLI34" s="47"/>
      <c r="JLJ34" s="47"/>
      <c r="JLK34" s="47"/>
      <c r="JLL34" s="47"/>
      <c r="JLM34" s="47"/>
      <c r="JLN34" s="47"/>
      <c r="JLO34" s="47"/>
      <c r="JLP34" s="47"/>
      <c r="JLQ34" s="47"/>
      <c r="JLR34" s="47"/>
      <c r="JLS34" s="47"/>
      <c r="JLT34" s="47"/>
      <c r="JLU34" s="47"/>
      <c r="JLV34" s="47"/>
      <c r="JLW34" s="47"/>
      <c r="JLX34" s="47"/>
      <c r="JLY34" s="47"/>
      <c r="JLZ34" s="47"/>
      <c r="JMA34" s="47"/>
      <c r="JMB34" s="47"/>
      <c r="JMC34" s="47"/>
      <c r="JMD34" s="47"/>
      <c r="JME34" s="47"/>
      <c r="JMF34" s="47"/>
      <c r="JMG34" s="47"/>
      <c r="JMH34" s="47"/>
      <c r="JMI34" s="47"/>
      <c r="JMJ34" s="47"/>
      <c r="JMK34" s="47"/>
      <c r="JML34" s="47"/>
      <c r="JMM34" s="47"/>
      <c r="JMN34" s="47"/>
      <c r="JMO34" s="47"/>
      <c r="JMP34" s="47"/>
      <c r="JMQ34" s="47"/>
      <c r="JMR34" s="47"/>
      <c r="JMS34" s="47"/>
      <c r="JMT34" s="47"/>
      <c r="JMU34" s="47"/>
      <c r="JMV34" s="47"/>
      <c r="JMW34" s="47"/>
      <c r="JMX34" s="47"/>
      <c r="JMY34" s="47"/>
      <c r="JMZ34" s="47"/>
      <c r="JNA34" s="47"/>
      <c r="JNB34" s="47"/>
      <c r="JNC34" s="47"/>
      <c r="JND34" s="47"/>
      <c r="JNE34" s="47"/>
      <c r="JNF34" s="47"/>
      <c r="JNG34" s="47"/>
      <c r="JNH34" s="47"/>
      <c r="JNI34" s="47"/>
      <c r="JNJ34" s="47"/>
      <c r="JNK34" s="47"/>
      <c r="JNL34" s="47"/>
      <c r="JNM34" s="47"/>
      <c r="JNN34" s="47"/>
      <c r="JNO34" s="47"/>
      <c r="JNP34" s="47"/>
      <c r="JNQ34" s="47"/>
      <c r="JNR34" s="47"/>
      <c r="JNS34" s="47"/>
      <c r="JNT34" s="47"/>
      <c r="JNU34" s="47"/>
      <c r="JNV34" s="47"/>
      <c r="JNW34" s="47"/>
      <c r="JNX34" s="47"/>
      <c r="JNY34" s="47"/>
      <c r="JNZ34" s="47"/>
      <c r="JOA34" s="47"/>
      <c r="JOB34" s="47"/>
      <c r="JOC34" s="47"/>
      <c r="JOD34" s="47"/>
      <c r="JOE34" s="47"/>
      <c r="JOF34" s="47"/>
      <c r="JOG34" s="47"/>
      <c r="JOH34" s="47"/>
      <c r="JOI34" s="47"/>
      <c r="JOJ34" s="47"/>
      <c r="JOK34" s="47"/>
      <c r="JOL34" s="47"/>
      <c r="JOM34" s="47"/>
      <c r="JON34" s="47"/>
      <c r="JOO34" s="47"/>
      <c r="JOP34" s="47"/>
      <c r="JOQ34" s="47"/>
      <c r="JOR34" s="47"/>
      <c r="JOS34" s="47"/>
      <c r="JOT34" s="47"/>
      <c r="JOU34" s="47"/>
      <c r="JOV34" s="47"/>
      <c r="JOW34" s="47"/>
      <c r="JOX34" s="47"/>
      <c r="JOY34" s="47"/>
      <c r="JOZ34" s="47"/>
      <c r="JPA34" s="47"/>
      <c r="JPB34" s="47"/>
      <c r="JPC34" s="47"/>
      <c r="JPD34" s="47"/>
      <c r="JPE34" s="47"/>
      <c r="JPF34" s="47"/>
      <c r="JPG34" s="47"/>
      <c r="JPH34" s="47"/>
      <c r="JPI34" s="47"/>
      <c r="JPJ34" s="47"/>
      <c r="JPK34" s="47"/>
      <c r="JPL34" s="47"/>
      <c r="JPM34" s="47"/>
      <c r="JPN34" s="47"/>
      <c r="JPO34" s="47"/>
      <c r="JPP34" s="47"/>
      <c r="JPQ34" s="47"/>
      <c r="JPR34" s="47"/>
      <c r="JPS34" s="47"/>
      <c r="JPT34" s="47"/>
      <c r="JPU34" s="47"/>
      <c r="JPV34" s="47"/>
      <c r="JPW34" s="47"/>
      <c r="JPX34" s="47"/>
      <c r="JPY34" s="47"/>
      <c r="JPZ34" s="47"/>
      <c r="JQA34" s="47"/>
      <c r="JQB34" s="47"/>
      <c r="JQC34" s="47"/>
      <c r="JQD34" s="47"/>
      <c r="JQE34" s="47"/>
      <c r="JQF34" s="47"/>
      <c r="JQG34" s="47"/>
      <c r="JQH34" s="47"/>
      <c r="JQI34" s="47"/>
      <c r="JQJ34" s="47"/>
      <c r="JQK34" s="47"/>
      <c r="JQL34" s="47"/>
      <c r="JQM34" s="47"/>
      <c r="JQN34" s="47"/>
      <c r="JQO34" s="47"/>
      <c r="JQP34" s="47"/>
      <c r="JQQ34" s="47"/>
      <c r="JQR34" s="47"/>
      <c r="JQS34" s="47"/>
      <c r="JQT34" s="47"/>
      <c r="JQU34" s="47"/>
      <c r="JQV34" s="47"/>
      <c r="JQW34" s="47"/>
      <c r="JQX34" s="47"/>
      <c r="JQY34" s="47"/>
      <c r="JQZ34" s="47"/>
      <c r="JRA34" s="47"/>
      <c r="JRB34" s="47"/>
      <c r="JRC34" s="47"/>
      <c r="JRD34" s="47"/>
      <c r="JRE34" s="47"/>
      <c r="JRF34" s="47"/>
      <c r="JRG34" s="47"/>
      <c r="JRH34" s="47"/>
      <c r="JRI34" s="47"/>
      <c r="JRJ34" s="47"/>
      <c r="JRK34" s="47"/>
      <c r="JRL34" s="47"/>
      <c r="JRM34" s="47"/>
      <c r="JRN34" s="47"/>
      <c r="JRO34" s="47"/>
      <c r="JRP34" s="47"/>
      <c r="JRQ34" s="47"/>
      <c r="JRR34" s="47"/>
      <c r="JRS34" s="47"/>
      <c r="JRT34" s="47"/>
      <c r="JRU34" s="47"/>
      <c r="JRV34" s="47"/>
      <c r="JRW34" s="47"/>
      <c r="JRX34" s="47"/>
      <c r="JRY34" s="47"/>
      <c r="JRZ34" s="47"/>
      <c r="JSA34" s="47"/>
      <c r="JSB34" s="47"/>
      <c r="JSC34" s="47"/>
      <c r="JSD34" s="47"/>
      <c r="JSE34" s="47"/>
      <c r="JSF34" s="47"/>
      <c r="JSG34" s="47"/>
      <c r="JSH34" s="47"/>
      <c r="JSI34" s="47"/>
      <c r="JSJ34" s="47"/>
      <c r="JSK34" s="47"/>
      <c r="JSL34" s="47"/>
      <c r="JSM34" s="47"/>
      <c r="JSN34" s="47"/>
      <c r="JSO34" s="47"/>
      <c r="JSP34" s="47"/>
      <c r="JSQ34" s="47"/>
      <c r="JSR34" s="47"/>
      <c r="JSS34" s="47"/>
      <c r="JST34" s="47"/>
      <c r="JSU34" s="47"/>
      <c r="JSV34" s="47"/>
      <c r="JSW34" s="47"/>
      <c r="JSX34" s="47"/>
      <c r="JSY34" s="47"/>
      <c r="JSZ34" s="47"/>
      <c r="JTA34" s="47"/>
      <c r="JTB34" s="47"/>
      <c r="JTC34" s="47"/>
      <c r="JTD34" s="47"/>
      <c r="JTE34" s="47"/>
      <c r="JTF34" s="47"/>
      <c r="JTG34" s="47"/>
      <c r="JTH34" s="47"/>
      <c r="JTI34" s="47"/>
      <c r="JTJ34" s="47"/>
      <c r="JTK34" s="47"/>
      <c r="JTL34" s="47"/>
      <c r="JTM34" s="47"/>
      <c r="JTN34" s="47"/>
      <c r="JTO34" s="47"/>
      <c r="JTP34" s="47"/>
      <c r="JTQ34" s="47"/>
      <c r="JTR34" s="47"/>
      <c r="JTS34" s="47"/>
      <c r="JTT34" s="47"/>
      <c r="JTU34" s="47"/>
      <c r="JTV34" s="47"/>
      <c r="JTW34" s="47"/>
      <c r="JTX34" s="47"/>
      <c r="JTY34" s="47"/>
      <c r="JTZ34" s="47"/>
      <c r="JUA34" s="47"/>
      <c r="JUB34" s="47"/>
      <c r="JUC34" s="47"/>
      <c r="JUD34" s="47"/>
      <c r="JUE34" s="47"/>
      <c r="JUF34" s="47"/>
      <c r="JUG34" s="47"/>
      <c r="JUH34" s="47"/>
      <c r="JUI34" s="47"/>
      <c r="JUJ34" s="47"/>
      <c r="JUK34" s="47"/>
      <c r="JUL34" s="47"/>
      <c r="JUM34" s="47"/>
      <c r="JUN34" s="47"/>
      <c r="JUO34" s="47"/>
      <c r="JUP34" s="47"/>
      <c r="JUQ34" s="47"/>
      <c r="JUR34" s="47"/>
      <c r="JUS34" s="47"/>
      <c r="JUT34" s="47"/>
      <c r="JUU34" s="47"/>
      <c r="JUV34" s="47"/>
      <c r="JUW34" s="47"/>
      <c r="JUX34" s="47"/>
      <c r="JUY34" s="47"/>
      <c r="JUZ34" s="47"/>
      <c r="JVA34" s="47"/>
      <c r="JVB34" s="47"/>
      <c r="JVC34" s="47"/>
      <c r="JVD34" s="47"/>
      <c r="JVE34" s="47"/>
      <c r="JVF34" s="47"/>
      <c r="JVG34" s="47"/>
      <c r="JVH34" s="47"/>
      <c r="JVI34" s="47"/>
      <c r="JVJ34" s="47"/>
      <c r="JVK34" s="47"/>
      <c r="JVL34" s="47"/>
      <c r="JVM34" s="47"/>
      <c r="JVN34" s="47"/>
      <c r="JVO34" s="47"/>
      <c r="JVP34" s="47"/>
      <c r="JVQ34" s="47"/>
      <c r="JVR34" s="47"/>
      <c r="JVS34" s="47"/>
      <c r="JVT34" s="47"/>
      <c r="JVU34" s="47"/>
      <c r="JVV34" s="47"/>
      <c r="JVW34" s="47"/>
      <c r="JVX34" s="47"/>
      <c r="JVY34" s="47"/>
      <c r="JVZ34" s="47"/>
      <c r="JWA34" s="47"/>
      <c r="JWB34" s="47"/>
      <c r="JWC34" s="47"/>
      <c r="JWD34" s="47"/>
      <c r="JWE34" s="47"/>
      <c r="JWF34" s="47"/>
      <c r="JWG34" s="47"/>
      <c r="JWH34" s="47"/>
      <c r="JWI34" s="47"/>
      <c r="JWJ34" s="47"/>
      <c r="JWK34" s="47"/>
      <c r="JWL34" s="47"/>
      <c r="JWM34" s="47"/>
      <c r="JWN34" s="47"/>
      <c r="JWO34" s="47"/>
      <c r="JWP34" s="47"/>
      <c r="JWQ34" s="47"/>
      <c r="JWR34" s="47"/>
      <c r="JWS34" s="47"/>
      <c r="JWT34" s="47"/>
      <c r="JWU34" s="47"/>
      <c r="JWV34" s="47"/>
      <c r="JWW34" s="47"/>
      <c r="JWX34" s="47"/>
      <c r="JWY34" s="47"/>
      <c r="JWZ34" s="47"/>
      <c r="JXA34" s="47"/>
      <c r="JXB34" s="47"/>
      <c r="JXC34" s="47"/>
      <c r="JXD34" s="47"/>
      <c r="JXE34" s="47"/>
      <c r="JXF34" s="47"/>
      <c r="JXG34" s="47"/>
      <c r="JXH34" s="47"/>
      <c r="JXI34" s="47"/>
      <c r="JXJ34" s="47"/>
      <c r="JXK34" s="47"/>
      <c r="JXL34" s="47"/>
      <c r="JXM34" s="47"/>
      <c r="JXN34" s="47"/>
      <c r="JXO34" s="47"/>
      <c r="JXP34" s="47"/>
      <c r="JXQ34" s="47"/>
      <c r="JXR34" s="47"/>
      <c r="JXS34" s="47"/>
      <c r="JXT34" s="47"/>
      <c r="JXU34" s="47"/>
      <c r="JXV34" s="47"/>
      <c r="JXW34" s="47"/>
      <c r="JXX34" s="47"/>
      <c r="JXY34" s="47"/>
      <c r="JXZ34" s="47"/>
      <c r="JYA34" s="47"/>
      <c r="JYB34" s="47"/>
      <c r="JYC34" s="47"/>
      <c r="JYD34" s="47"/>
      <c r="JYE34" s="47"/>
      <c r="JYF34" s="47"/>
      <c r="JYG34" s="47"/>
      <c r="JYH34" s="47"/>
      <c r="JYI34" s="47"/>
      <c r="JYJ34" s="47"/>
      <c r="JYK34" s="47"/>
      <c r="JYL34" s="47"/>
      <c r="JYM34" s="47"/>
      <c r="JYN34" s="47"/>
      <c r="JYO34" s="47"/>
      <c r="JYP34" s="47"/>
      <c r="JYQ34" s="47"/>
      <c r="JYR34" s="47"/>
      <c r="JYS34" s="47"/>
      <c r="JYT34" s="47"/>
      <c r="JYU34" s="47"/>
      <c r="JYV34" s="47"/>
      <c r="JYW34" s="47"/>
      <c r="JYX34" s="47"/>
      <c r="JYY34" s="47"/>
      <c r="JYZ34" s="47"/>
      <c r="JZA34" s="47"/>
      <c r="JZB34" s="47"/>
      <c r="JZC34" s="47"/>
      <c r="JZD34" s="47"/>
      <c r="JZE34" s="47"/>
      <c r="JZF34" s="47"/>
      <c r="JZG34" s="47"/>
      <c r="JZH34" s="47"/>
      <c r="JZI34" s="47"/>
      <c r="JZJ34" s="47"/>
      <c r="JZK34" s="47"/>
      <c r="JZL34" s="47"/>
      <c r="JZM34" s="47"/>
      <c r="JZN34" s="47"/>
      <c r="JZO34" s="47"/>
      <c r="JZP34" s="47"/>
      <c r="JZQ34" s="47"/>
      <c r="JZR34" s="47"/>
      <c r="JZS34" s="47"/>
      <c r="JZT34" s="47"/>
      <c r="JZU34" s="47"/>
      <c r="JZV34" s="47"/>
      <c r="JZW34" s="47"/>
      <c r="JZX34" s="47"/>
      <c r="JZY34" s="47"/>
      <c r="JZZ34" s="47"/>
      <c r="KAA34" s="47"/>
      <c r="KAB34" s="47"/>
      <c r="KAC34" s="47"/>
      <c r="KAD34" s="47"/>
      <c r="KAE34" s="47"/>
      <c r="KAF34" s="47"/>
      <c r="KAG34" s="47"/>
      <c r="KAH34" s="47"/>
      <c r="KAI34" s="47"/>
      <c r="KAJ34" s="47"/>
      <c r="KAK34" s="47"/>
      <c r="KAL34" s="47"/>
      <c r="KAM34" s="47"/>
      <c r="KAN34" s="47"/>
      <c r="KAO34" s="47"/>
      <c r="KAP34" s="47"/>
      <c r="KAQ34" s="47"/>
      <c r="KAR34" s="47"/>
      <c r="KAS34" s="47"/>
      <c r="KAT34" s="47"/>
      <c r="KAU34" s="47"/>
      <c r="KAV34" s="47"/>
      <c r="KAW34" s="47"/>
      <c r="KAX34" s="47"/>
      <c r="KAY34" s="47"/>
      <c r="KAZ34" s="47"/>
      <c r="KBA34" s="47"/>
      <c r="KBB34" s="47"/>
      <c r="KBC34" s="47"/>
      <c r="KBD34" s="47"/>
      <c r="KBE34" s="47"/>
      <c r="KBF34" s="47"/>
      <c r="KBG34" s="47"/>
      <c r="KBH34" s="47"/>
      <c r="KBI34" s="47"/>
      <c r="KBJ34" s="47"/>
      <c r="KBK34" s="47"/>
      <c r="KBL34" s="47"/>
      <c r="KBM34" s="47"/>
      <c r="KBN34" s="47"/>
      <c r="KBO34" s="47"/>
      <c r="KBP34" s="47"/>
      <c r="KBQ34" s="47"/>
      <c r="KBR34" s="47"/>
      <c r="KBS34" s="47"/>
      <c r="KBT34" s="47"/>
      <c r="KBU34" s="47"/>
      <c r="KBV34" s="47"/>
      <c r="KBW34" s="47"/>
      <c r="KBX34" s="47"/>
      <c r="KBY34" s="47"/>
      <c r="KBZ34" s="47"/>
      <c r="KCA34" s="47"/>
      <c r="KCB34" s="47"/>
      <c r="KCC34" s="47"/>
      <c r="KCD34" s="47"/>
      <c r="KCE34" s="47"/>
      <c r="KCF34" s="47"/>
      <c r="KCG34" s="47"/>
      <c r="KCH34" s="47"/>
      <c r="KCI34" s="47"/>
      <c r="KCJ34" s="47"/>
      <c r="KCK34" s="47"/>
      <c r="KCL34" s="47"/>
      <c r="KCM34" s="47"/>
      <c r="KCN34" s="47"/>
      <c r="KCO34" s="47"/>
      <c r="KCP34" s="47"/>
      <c r="KCQ34" s="47"/>
      <c r="KCR34" s="47"/>
      <c r="KCS34" s="47"/>
      <c r="KCT34" s="47"/>
      <c r="KCU34" s="47"/>
      <c r="KCV34" s="47"/>
      <c r="KCW34" s="47"/>
      <c r="KCX34" s="47"/>
      <c r="KCY34" s="47"/>
      <c r="KCZ34" s="47"/>
      <c r="KDA34" s="47"/>
      <c r="KDB34" s="47"/>
      <c r="KDC34" s="47"/>
      <c r="KDD34" s="47"/>
      <c r="KDE34" s="47"/>
      <c r="KDF34" s="47"/>
      <c r="KDG34" s="47"/>
      <c r="KDH34" s="47"/>
      <c r="KDI34" s="47"/>
      <c r="KDJ34" s="47"/>
      <c r="KDK34" s="47"/>
      <c r="KDL34" s="47"/>
      <c r="KDM34" s="47"/>
      <c r="KDN34" s="47"/>
      <c r="KDO34" s="47"/>
      <c r="KDP34" s="47"/>
      <c r="KDQ34" s="47"/>
      <c r="KDR34" s="47"/>
      <c r="KDS34" s="47"/>
      <c r="KDT34" s="47"/>
      <c r="KDU34" s="47"/>
      <c r="KDV34" s="47"/>
      <c r="KDW34" s="47"/>
      <c r="KDX34" s="47"/>
      <c r="KDY34" s="47"/>
      <c r="KDZ34" s="47"/>
      <c r="KEA34" s="47"/>
      <c r="KEB34" s="47"/>
      <c r="KEC34" s="47"/>
      <c r="KED34" s="47"/>
      <c r="KEE34" s="47"/>
      <c r="KEF34" s="47"/>
      <c r="KEG34" s="47"/>
      <c r="KEH34" s="47"/>
      <c r="KEI34" s="47"/>
      <c r="KEJ34" s="47"/>
      <c r="KEK34" s="47"/>
      <c r="KEL34" s="47"/>
      <c r="KEM34" s="47"/>
      <c r="KEN34" s="47"/>
      <c r="KEO34" s="47"/>
      <c r="KEP34" s="47"/>
      <c r="KEQ34" s="47"/>
      <c r="KER34" s="47"/>
      <c r="KES34" s="47"/>
      <c r="KET34" s="47"/>
      <c r="KEU34" s="47"/>
      <c r="KEV34" s="47"/>
      <c r="KEW34" s="47"/>
      <c r="KEX34" s="47"/>
      <c r="KEY34" s="47"/>
      <c r="KEZ34" s="47"/>
      <c r="KFA34" s="47"/>
      <c r="KFB34" s="47"/>
      <c r="KFC34" s="47"/>
      <c r="KFD34" s="47"/>
      <c r="KFE34" s="47"/>
      <c r="KFF34" s="47"/>
      <c r="KFG34" s="47"/>
      <c r="KFH34" s="47"/>
      <c r="KFI34" s="47"/>
      <c r="KFJ34" s="47"/>
      <c r="KFK34" s="47"/>
      <c r="KFL34" s="47"/>
      <c r="KFM34" s="47"/>
      <c r="KFN34" s="47"/>
      <c r="KFO34" s="47"/>
      <c r="KFP34" s="47"/>
      <c r="KFQ34" s="47"/>
      <c r="KFR34" s="47"/>
      <c r="KFS34" s="47"/>
      <c r="KFT34" s="47"/>
      <c r="KFU34" s="47"/>
      <c r="KFV34" s="47"/>
      <c r="KFW34" s="47"/>
      <c r="KFX34" s="47"/>
      <c r="KFY34" s="47"/>
      <c r="KFZ34" s="47"/>
      <c r="KGA34" s="47"/>
      <c r="KGB34" s="47"/>
      <c r="KGC34" s="47"/>
      <c r="KGD34" s="47"/>
      <c r="KGE34" s="47"/>
      <c r="KGF34" s="47"/>
      <c r="KGG34" s="47"/>
      <c r="KGH34" s="47"/>
      <c r="KGI34" s="47"/>
      <c r="KGJ34" s="47"/>
      <c r="KGK34" s="47"/>
      <c r="KGL34" s="47"/>
      <c r="KGM34" s="47"/>
      <c r="KGN34" s="47"/>
      <c r="KGO34" s="47"/>
      <c r="KGP34" s="47"/>
      <c r="KGQ34" s="47"/>
      <c r="KGR34" s="47"/>
      <c r="KGS34" s="47"/>
      <c r="KGT34" s="47"/>
      <c r="KGU34" s="47"/>
      <c r="KGV34" s="47"/>
      <c r="KGW34" s="47"/>
      <c r="KGX34" s="47"/>
      <c r="KGY34" s="47"/>
      <c r="KGZ34" s="47"/>
      <c r="KHA34" s="47"/>
      <c r="KHB34" s="47"/>
      <c r="KHC34" s="47"/>
      <c r="KHD34" s="47"/>
      <c r="KHE34" s="47"/>
      <c r="KHF34" s="47"/>
      <c r="KHG34" s="47"/>
      <c r="KHH34" s="47"/>
      <c r="KHI34" s="47"/>
      <c r="KHJ34" s="47"/>
      <c r="KHK34" s="47"/>
      <c r="KHL34" s="47"/>
      <c r="KHM34" s="47"/>
      <c r="KHN34" s="47"/>
      <c r="KHO34" s="47"/>
      <c r="KHP34" s="47"/>
      <c r="KHQ34" s="47"/>
      <c r="KHR34" s="47"/>
      <c r="KHS34" s="47"/>
      <c r="KHT34" s="47"/>
      <c r="KHU34" s="47"/>
      <c r="KHV34" s="47"/>
      <c r="KHW34" s="47"/>
      <c r="KHX34" s="47"/>
      <c r="KHY34" s="47"/>
      <c r="KHZ34" s="47"/>
      <c r="KIA34" s="47"/>
      <c r="KIB34" s="47"/>
      <c r="KIC34" s="47"/>
      <c r="KID34" s="47"/>
      <c r="KIE34" s="47"/>
      <c r="KIF34" s="47"/>
      <c r="KIG34" s="47"/>
      <c r="KIH34" s="47"/>
      <c r="KII34" s="47"/>
      <c r="KIJ34" s="47"/>
      <c r="KIK34" s="47"/>
      <c r="KIL34" s="47"/>
      <c r="KIM34" s="47"/>
      <c r="KIN34" s="47"/>
      <c r="KIO34" s="47"/>
      <c r="KIP34" s="47"/>
      <c r="KIQ34" s="47"/>
      <c r="KIR34" s="47"/>
      <c r="KIS34" s="47"/>
      <c r="KIT34" s="47"/>
      <c r="KIU34" s="47"/>
      <c r="KIV34" s="47"/>
      <c r="KIW34" s="47"/>
      <c r="KIX34" s="47"/>
      <c r="KIY34" s="47"/>
      <c r="KIZ34" s="47"/>
      <c r="KJA34" s="47"/>
      <c r="KJB34" s="47"/>
      <c r="KJC34" s="47"/>
      <c r="KJD34" s="47"/>
      <c r="KJE34" s="47"/>
      <c r="KJF34" s="47"/>
      <c r="KJG34" s="47"/>
      <c r="KJH34" s="47"/>
      <c r="KJI34" s="47"/>
      <c r="KJJ34" s="47"/>
      <c r="KJK34" s="47"/>
      <c r="KJL34" s="47"/>
      <c r="KJM34" s="47"/>
      <c r="KJN34" s="47"/>
      <c r="KJO34" s="47"/>
      <c r="KJP34" s="47"/>
      <c r="KJQ34" s="47"/>
      <c r="KJR34" s="47"/>
      <c r="KJS34" s="47"/>
      <c r="KJT34" s="47"/>
      <c r="KJU34" s="47"/>
      <c r="KJV34" s="47"/>
      <c r="KJW34" s="47"/>
      <c r="KJX34" s="47"/>
      <c r="KJY34" s="47"/>
      <c r="KJZ34" s="47"/>
      <c r="KKA34" s="47"/>
      <c r="KKB34" s="47"/>
      <c r="KKC34" s="47"/>
      <c r="KKD34" s="47"/>
      <c r="KKE34" s="47"/>
      <c r="KKF34" s="47"/>
      <c r="KKG34" s="47"/>
      <c r="KKH34" s="47"/>
      <c r="KKI34" s="47"/>
      <c r="KKJ34" s="47"/>
      <c r="KKK34" s="47"/>
      <c r="KKL34" s="47"/>
      <c r="KKM34" s="47"/>
      <c r="KKN34" s="47"/>
      <c r="KKO34" s="47"/>
      <c r="KKP34" s="47"/>
      <c r="KKQ34" s="47"/>
      <c r="KKR34" s="47"/>
      <c r="KKS34" s="47"/>
      <c r="KKT34" s="47"/>
      <c r="KKU34" s="47"/>
      <c r="KKV34" s="47"/>
      <c r="KKW34" s="47"/>
      <c r="KKX34" s="47"/>
      <c r="KKY34" s="47"/>
      <c r="KKZ34" s="47"/>
      <c r="KLA34" s="47"/>
      <c r="KLB34" s="47"/>
      <c r="KLC34" s="47"/>
      <c r="KLD34" s="47"/>
      <c r="KLE34" s="47"/>
      <c r="KLF34" s="47"/>
      <c r="KLG34" s="47"/>
      <c r="KLH34" s="47"/>
      <c r="KLI34" s="47"/>
      <c r="KLJ34" s="47"/>
      <c r="KLK34" s="47"/>
      <c r="KLL34" s="47"/>
      <c r="KLM34" s="47"/>
      <c r="KLN34" s="47"/>
      <c r="KLO34" s="47"/>
      <c r="KLP34" s="47"/>
      <c r="KLQ34" s="47"/>
      <c r="KLR34" s="47"/>
      <c r="KLS34" s="47"/>
      <c r="KLT34" s="47"/>
      <c r="KLU34" s="47"/>
      <c r="KLV34" s="47"/>
      <c r="KLW34" s="47"/>
      <c r="KLX34" s="47"/>
      <c r="KLY34" s="47"/>
      <c r="KLZ34" s="47"/>
      <c r="KMA34" s="47"/>
      <c r="KMB34" s="47"/>
      <c r="KMC34" s="47"/>
      <c r="KMD34" s="47"/>
      <c r="KME34" s="47"/>
      <c r="KMF34" s="47"/>
      <c r="KMG34" s="47"/>
      <c r="KMH34" s="47"/>
      <c r="KMI34" s="47"/>
      <c r="KMJ34" s="47"/>
      <c r="KMK34" s="47"/>
      <c r="KML34" s="47"/>
      <c r="KMM34" s="47"/>
      <c r="KMN34" s="47"/>
      <c r="KMO34" s="47"/>
      <c r="KMP34" s="47"/>
      <c r="KMQ34" s="47"/>
      <c r="KMR34" s="47"/>
      <c r="KMS34" s="47"/>
      <c r="KMT34" s="47"/>
      <c r="KMU34" s="47"/>
      <c r="KMV34" s="47"/>
      <c r="KMW34" s="47"/>
      <c r="KMX34" s="47"/>
      <c r="KMY34" s="47"/>
      <c r="KMZ34" s="47"/>
      <c r="KNA34" s="47"/>
      <c r="KNB34" s="47"/>
      <c r="KNC34" s="47"/>
      <c r="KND34" s="47"/>
      <c r="KNE34" s="47"/>
      <c r="KNF34" s="47"/>
      <c r="KNG34" s="47"/>
      <c r="KNH34" s="47"/>
      <c r="KNI34" s="47"/>
      <c r="KNJ34" s="47"/>
      <c r="KNK34" s="47"/>
      <c r="KNL34" s="47"/>
      <c r="KNM34" s="47"/>
      <c r="KNN34" s="47"/>
      <c r="KNO34" s="47"/>
      <c r="KNP34" s="47"/>
      <c r="KNQ34" s="47"/>
      <c r="KNR34" s="47"/>
      <c r="KNS34" s="47"/>
      <c r="KNT34" s="47"/>
      <c r="KNU34" s="47"/>
      <c r="KNV34" s="47"/>
      <c r="KNW34" s="47"/>
      <c r="KNX34" s="47"/>
      <c r="KNY34" s="47"/>
      <c r="KNZ34" s="47"/>
      <c r="KOA34" s="47"/>
      <c r="KOB34" s="47"/>
      <c r="KOC34" s="47"/>
      <c r="KOD34" s="47"/>
      <c r="KOE34" s="47"/>
      <c r="KOF34" s="47"/>
      <c r="KOG34" s="47"/>
      <c r="KOH34" s="47"/>
      <c r="KOI34" s="47"/>
      <c r="KOJ34" s="47"/>
      <c r="KOK34" s="47"/>
      <c r="KOL34" s="47"/>
      <c r="KOM34" s="47"/>
      <c r="KON34" s="47"/>
      <c r="KOO34" s="47"/>
      <c r="KOP34" s="47"/>
      <c r="KOQ34" s="47"/>
      <c r="KOR34" s="47"/>
      <c r="KOS34" s="47"/>
      <c r="KOT34" s="47"/>
      <c r="KOU34" s="47"/>
      <c r="KOV34" s="47"/>
      <c r="KOW34" s="47"/>
      <c r="KOX34" s="47"/>
      <c r="KOY34" s="47"/>
      <c r="KOZ34" s="47"/>
      <c r="KPA34" s="47"/>
      <c r="KPB34" s="47"/>
      <c r="KPC34" s="47"/>
      <c r="KPD34" s="47"/>
      <c r="KPE34" s="47"/>
      <c r="KPF34" s="47"/>
      <c r="KPG34" s="47"/>
      <c r="KPH34" s="47"/>
      <c r="KPI34" s="47"/>
      <c r="KPJ34" s="47"/>
      <c r="KPK34" s="47"/>
      <c r="KPL34" s="47"/>
      <c r="KPM34" s="47"/>
      <c r="KPN34" s="47"/>
      <c r="KPO34" s="47"/>
      <c r="KPP34" s="47"/>
      <c r="KPQ34" s="47"/>
      <c r="KPR34" s="47"/>
      <c r="KPS34" s="47"/>
      <c r="KPT34" s="47"/>
      <c r="KPU34" s="47"/>
      <c r="KPV34" s="47"/>
      <c r="KPW34" s="47"/>
      <c r="KPX34" s="47"/>
      <c r="KPY34" s="47"/>
      <c r="KPZ34" s="47"/>
      <c r="KQA34" s="47"/>
      <c r="KQB34" s="47"/>
      <c r="KQC34" s="47"/>
      <c r="KQD34" s="47"/>
      <c r="KQE34" s="47"/>
      <c r="KQF34" s="47"/>
      <c r="KQG34" s="47"/>
      <c r="KQH34" s="47"/>
      <c r="KQI34" s="47"/>
      <c r="KQJ34" s="47"/>
      <c r="KQK34" s="47"/>
      <c r="KQL34" s="47"/>
      <c r="KQM34" s="47"/>
      <c r="KQN34" s="47"/>
      <c r="KQO34" s="47"/>
      <c r="KQP34" s="47"/>
      <c r="KQQ34" s="47"/>
      <c r="KQR34" s="47"/>
      <c r="KQS34" s="47"/>
      <c r="KQT34" s="47"/>
      <c r="KQU34" s="47"/>
      <c r="KQV34" s="47"/>
      <c r="KQW34" s="47"/>
      <c r="KQX34" s="47"/>
      <c r="KQY34" s="47"/>
      <c r="KQZ34" s="47"/>
      <c r="KRA34" s="47"/>
      <c r="KRB34" s="47"/>
      <c r="KRC34" s="47"/>
      <c r="KRD34" s="47"/>
      <c r="KRE34" s="47"/>
      <c r="KRF34" s="47"/>
      <c r="KRG34" s="47"/>
      <c r="KRH34" s="47"/>
      <c r="KRI34" s="47"/>
      <c r="KRJ34" s="47"/>
      <c r="KRK34" s="47"/>
      <c r="KRL34" s="47"/>
      <c r="KRM34" s="47"/>
      <c r="KRN34" s="47"/>
      <c r="KRO34" s="47"/>
      <c r="KRP34" s="47"/>
      <c r="KRQ34" s="47"/>
      <c r="KRR34" s="47"/>
      <c r="KRS34" s="47"/>
      <c r="KRT34" s="47"/>
      <c r="KRU34" s="47"/>
      <c r="KRV34" s="47"/>
      <c r="KRW34" s="47"/>
      <c r="KRX34" s="47"/>
      <c r="KRY34" s="47"/>
      <c r="KRZ34" s="47"/>
      <c r="KSA34" s="47"/>
      <c r="KSB34" s="47"/>
      <c r="KSC34" s="47"/>
      <c r="KSD34" s="47"/>
      <c r="KSE34" s="47"/>
      <c r="KSF34" s="47"/>
      <c r="KSG34" s="47"/>
      <c r="KSH34" s="47"/>
      <c r="KSI34" s="47"/>
      <c r="KSJ34" s="47"/>
      <c r="KSK34" s="47"/>
      <c r="KSL34" s="47"/>
      <c r="KSM34" s="47"/>
      <c r="KSN34" s="47"/>
      <c r="KSO34" s="47"/>
      <c r="KSP34" s="47"/>
      <c r="KSQ34" s="47"/>
      <c r="KSR34" s="47"/>
      <c r="KSS34" s="47"/>
      <c r="KST34" s="47"/>
      <c r="KSU34" s="47"/>
      <c r="KSV34" s="47"/>
      <c r="KSW34" s="47"/>
      <c r="KSX34" s="47"/>
      <c r="KSY34" s="47"/>
      <c r="KSZ34" s="47"/>
      <c r="KTA34" s="47"/>
      <c r="KTB34" s="47"/>
      <c r="KTC34" s="47"/>
      <c r="KTD34" s="47"/>
      <c r="KTE34" s="47"/>
      <c r="KTF34" s="47"/>
      <c r="KTG34" s="47"/>
      <c r="KTH34" s="47"/>
      <c r="KTI34" s="47"/>
      <c r="KTJ34" s="47"/>
      <c r="KTK34" s="47"/>
      <c r="KTL34" s="47"/>
      <c r="KTM34" s="47"/>
      <c r="KTN34" s="47"/>
      <c r="KTO34" s="47"/>
      <c r="KTP34" s="47"/>
      <c r="KTQ34" s="47"/>
      <c r="KTR34" s="47"/>
      <c r="KTS34" s="47"/>
      <c r="KTT34" s="47"/>
      <c r="KTU34" s="47"/>
      <c r="KTV34" s="47"/>
      <c r="KTW34" s="47"/>
      <c r="KTX34" s="47"/>
      <c r="KTY34" s="47"/>
      <c r="KTZ34" s="47"/>
      <c r="KUA34" s="47"/>
      <c r="KUB34" s="47"/>
      <c r="KUC34" s="47"/>
      <c r="KUD34" s="47"/>
      <c r="KUE34" s="47"/>
      <c r="KUF34" s="47"/>
      <c r="KUG34" s="47"/>
      <c r="KUH34" s="47"/>
      <c r="KUI34" s="47"/>
      <c r="KUJ34" s="47"/>
      <c r="KUK34" s="47"/>
      <c r="KUL34" s="47"/>
      <c r="KUM34" s="47"/>
      <c r="KUN34" s="47"/>
      <c r="KUO34" s="47"/>
      <c r="KUP34" s="47"/>
      <c r="KUQ34" s="47"/>
      <c r="KUR34" s="47"/>
      <c r="KUS34" s="47"/>
      <c r="KUT34" s="47"/>
      <c r="KUU34" s="47"/>
      <c r="KUV34" s="47"/>
      <c r="KUW34" s="47"/>
      <c r="KUX34" s="47"/>
      <c r="KUY34" s="47"/>
      <c r="KUZ34" s="47"/>
      <c r="KVA34" s="47"/>
      <c r="KVB34" s="47"/>
      <c r="KVC34" s="47"/>
      <c r="KVD34" s="47"/>
      <c r="KVE34" s="47"/>
      <c r="KVF34" s="47"/>
      <c r="KVG34" s="47"/>
      <c r="KVH34" s="47"/>
      <c r="KVI34" s="47"/>
      <c r="KVJ34" s="47"/>
      <c r="KVK34" s="47"/>
      <c r="KVL34" s="47"/>
      <c r="KVM34" s="47"/>
      <c r="KVN34" s="47"/>
      <c r="KVO34" s="47"/>
      <c r="KVP34" s="47"/>
      <c r="KVQ34" s="47"/>
      <c r="KVR34" s="47"/>
      <c r="KVS34" s="47"/>
      <c r="KVT34" s="47"/>
      <c r="KVU34" s="47"/>
      <c r="KVV34" s="47"/>
      <c r="KVW34" s="47"/>
      <c r="KVX34" s="47"/>
      <c r="KVY34" s="47"/>
      <c r="KVZ34" s="47"/>
      <c r="KWA34" s="47"/>
      <c r="KWB34" s="47"/>
      <c r="KWC34" s="47"/>
      <c r="KWD34" s="47"/>
      <c r="KWE34" s="47"/>
      <c r="KWF34" s="47"/>
      <c r="KWG34" s="47"/>
      <c r="KWH34" s="47"/>
      <c r="KWI34" s="47"/>
      <c r="KWJ34" s="47"/>
      <c r="KWK34" s="47"/>
      <c r="KWL34" s="47"/>
      <c r="KWM34" s="47"/>
      <c r="KWN34" s="47"/>
      <c r="KWO34" s="47"/>
      <c r="KWP34" s="47"/>
      <c r="KWQ34" s="47"/>
      <c r="KWR34" s="47"/>
      <c r="KWS34" s="47"/>
      <c r="KWT34" s="47"/>
      <c r="KWU34" s="47"/>
      <c r="KWV34" s="47"/>
      <c r="KWW34" s="47"/>
      <c r="KWX34" s="47"/>
      <c r="KWY34" s="47"/>
      <c r="KWZ34" s="47"/>
      <c r="KXA34" s="47"/>
      <c r="KXB34" s="47"/>
      <c r="KXC34" s="47"/>
      <c r="KXD34" s="47"/>
      <c r="KXE34" s="47"/>
      <c r="KXF34" s="47"/>
      <c r="KXG34" s="47"/>
      <c r="KXH34" s="47"/>
      <c r="KXI34" s="47"/>
      <c r="KXJ34" s="47"/>
      <c r="KXK34" s="47"/>
      <c r="KXL34" s="47"/>
      <c r="KXM34" s="47"/>
      <c r="KXN34" s="47"/>
      <c r="KXO34" s="47"/>
      <c r="KXP34" s="47"/>
      <c r="KXQ34" s="47"/>
      <c r="KXR34" s="47"/>
      <c r="KXS34" s="47"/>
      <c r="KXT34" s="47"/>
      <c r="KXU34" s="47"/>
      <c r="KXV34" s="47"/>
      <c r="KXW34" s="47"/>
      <c r="KXX34" s="47"/>
      <c r="KXY34" s="47"/>
      <c r="KXZ34" s="47"/>
      <c r="KYA34" s="47"/>
      <c r="KYB34" s="47"/>
      <c r="KYC34" s="47"/>
      <c r="KYD34" s="47"/>
      <c r="KYE34" s="47"/>
      <c r="KYF34" s="47"/>
      <c r="KYG34" s="47"/>
      <c r="KYH34" s="47"/>
      <c r="KYI34" s="47"/>
      <c r="KYJ34" s="47"/>
      <c r="KYK34" s="47"/>
      <c r="KYL34" s="47"/>
      <c r="KYM34" s="47"/>
      <c r="KYN34" s="47"/>
      <c r="KYO34" s="47"/>
      <c r="KYP34" s="47"/>
      <c r="KYQ34" s="47"/>
      <c r="KYR34" s="47"/>
      <c r="KYS34" s="47"/>
      <c r="KYT34" s="47"/>
      <c r="KYU34" s="47"/>
      <c r="KYV34" s="47"/>
      <c r="KYW34" s="47"/>
      <c r="KYX34" s="47"/>
      <c r="KYY34" s="47"/>
      <c r="KYZ34" s="47"/>
      <c r="KZA34" s="47"/>
      <c r="KZB34" s="47"/>
      <c r="KZC34" s="47"/>
      <c r="KZD34" s="47"/>
      <c r="KZE34" s="47"/>
      <c r="KZF34" s="47"/>
      <c r="KZG34" s="47"/>
      <c r="KZH34" s="47"/>
      <c r="KZI34" s="47"/>
      <c r="KZJ34" s="47"/>
      <c r="KZK34" s="47"/>
      <c r="KZL34" s="47"/>
      <c r="KZM34" s="47"/>
      <c r="KZN34" s="47"/>
      <c r="KZO34" s="47"/>
      <c r="KZP34" s="47"/>
      <c r="KZQ34" s="47"/>
      <c r="KZR34" s="47"/>
      <c r="KZS34" s="47"/>
      <c r="KZT34" s="47"/>
      <c r="KZU34" s="47"/>
      <c r="KZV34" s="47"/>
      <c r="KZW34" s="47"/>
      <c r="KZX34" s="47"/>
      <c r="KZY34" s="47"/>
      <c r="KZZ34" s="47"/>
      <c r="LAA34" s="47"/>
      <c r="LAB34" s="47"/>
      <c r="LAC34" s="47"/>
      <c r="LAD34" s="47"/>
      <c r="LAE34" s="47"/>
      <c r="LAF34" s="47"/>
      <c r="LAG34" s="47"/>
      <c r="LAH34" s="47"/>
      <c r="LAI34" s="47"/>
      <c r="LAJ34" s="47"/>
      <c r="LAK34" s="47"/>
      <c r="LAL34" s="47"/>
      <c r="LAM34" s="47"/>
      <c r="LAN34" s="47"/>
      <c r="LAO34" s="47"/>
      <c r="LAP34" s="47"/>
      <c r="LAQ34" s="47"/>
      <c r="LAR34" s="47"/>
      <c r="LAS34" s="47"/>
      <c r="LAT34" s="47"/>
      <c r="LAU34" s="47"/>
      <c r="LAV34" s="47"/>
      <c r="LAW34" s="47"/>
      <c r="LAX34" s="47"/>
      <c r="LAY34" s="47"/>
      <c r="LAZ34" s="47"/>
      <c r="LBA34" s="47"/>
      <c r="LBB34" s="47"/>
      <c r="LBC34" s="47"/>
      <c r="LBD34" s="47"/>
      <c r="LBE34" s="47"/>
      <c r="LBF34" s="47"/>
      <c r="LBG34" s="47"/>
      <c r="LBH34" s="47"/>
      <c r="LBI34" s="47"/>
      <c r="LBJ34" s="47"/>
      <c r="LBK34" s="47"/>
      <c r="LBL34" s="47"/>
      <c r="LBM34" s="47"/>
      <c r="LBN34" s="47"/>
      <c r="LBO34" s="47"/>
      <c r="LBP34" s="47"/>
      <c r="LBQ34" s="47"/>
      <c r="LBR34" s="47"/>
      <c r="LBS34" s="47"/>
      <c r="LBT34" s="47"/>
      <c r="LBU34" s="47"/>
      <c r="LBV34" s="47"/>
      <c r="LBW34" s="47"/>
      <c r="LBX34" s="47"/>
      <c r="LBY34" s="47"/>
      <c r="LBZ34" s="47"/>
      <c r="LCA34" s="47"/>
      <c r="LCB34" s="47"/>
      <c r="LCC34" s="47"/>
      <c r="LCD34" s="47"/>
      <c r="LCE34" s="47"/>
      <c r="LCF34" s="47"/>
      <c r="LCG34" s="47"/>
      <c r="LCH34" s="47"/>
      <c r="LCI34" s="47"/>
      <c r="LCJ34" s="47"/>
      <c r="LCK34" s="47"/>
      <c r="LCL34" s="47"/>
      <c r="LCM34" s="47"/>
      <c r="LCN34" s="47"/>
      <c r="LCO34" s="47"/>
      <c r="LCP34" s="47"/>
      <c r="LCQ34" s="47"/>
      <c r="LCR34" s="47"/>
      <c r="LCS34" s="47"/>
      <c r="LCT34" s="47"/>
      <c r="LCU34" s="47"/>
      <c r="LCV34" s="47"/>
      <c r="LCW34" s="47"/>
      <c r="LCX34" s="47"/>
      <c r="LCY34" s="47"/>
      <c r="LCZ34" s="47"/>
      <c r="LDA34" s="47"/>
      <c r="LDB34" s="47"/>
      <c r="LDC34" s="47"/>
      <c r="LDD34" s="47"/>
      <c r="LDE34" s="47"/>
      <c r="LDF34" s="47"/>
      <c r="LDG34" s="47"/>
      <c r="LDH34" s="47"/>
      <c r="LDI34" s="47"/>
      <c r="LDJ34" s="47"/>
      <c r="LDK34" s="47"/>
      <c r="LDL34" s="47"/>
      <c r="LDM34" s="47"/>
      <c r="LDN34" s="47"/>
      <c r="LDO34" s="47"/>
      <c r="LDP34" s="47"/>
      <c r="LDQ34" s="47"/>
      <c r="LDR34" s="47"/>
      <c r="LDS34" s="47"/>
      <c r="LDT34" s="47"/>
      <c r="LDU34" s="47"/>
      <c r="LDV34" s="47"/>
      <c r="LDW34" s="47"/>
      <c r="LDX34" s="47"/>
      <c r="LDY34" s="47"/>
      <c r="LDZ34" s="47"/>
      <c r="LEA34" s="47"/>
      <c r="LEB34" s="47"/>
      <c r="LEC34" s="47"/>
      <c r="LED34" s="47"/>
      <c r="LEE34" s="47"/>
      <c r="LEF34" s="47"/>
      <c r="LEG34" s="47"/>
      <c r="LEH34" s="47"/>
      <c r="LEI34" s="47"/>
      <c r="LEJ34" s="47"/>
      <c r="LEK34" s="47"/>
      <c r="LEL34" s="47"/>
      <c r="LEM34" s="47"/>
      <c r="LEN34" s="47"/>
      <c r="LEO34" s="47"/>
      <c r="LEP34" s="47"/>
      <c r="LEQ34" s="47"/>
      <c r="LER34" s="47"/>
      <c r="LES34" s="47"/>
      <c r="LET34" s="47"/>
      <c r="LEU34" s="47"/>
      <c r="LEV34" s="47"/>
      <c r="LEW34" s="47"/>
      <c r="LEX34" s="47"/>
      <c r="LEY34" s="47"/>
      <c r="LEZ34" s="47"/>
      <c r="LFA34" s="47"/>
      <c r="LFB34" s="47"/>
      <c r="LFC34" s="47"/>
      <c r="LFD34" s="47"/>
      <c r="LFE34" s="47"/>
      <c r="LFF34" s="47"/>
      <c r="LFG34" s="47"/>
      <c r="LFH34" s="47"/>
      <c r="LFI34" s="47"/>
      <c r="LFJ34" s="47"/>
      <c r="LFK34" s="47"/>
      <c r="LFL34" s="47"/>
      <c r="LFM34" s="47"/>
      <c r="LFN34" s="47"/>
      <c r="LFO34" s="47"/>
      <c r="LFP34" s="47"/>
      <c r="LFQ34" s="47"/>
      <c r="LFR34" s="47"/>
      <c r="LFS34" s="47"/>
      <c r="LFT34" s="47"/>
      <c r="LFU34" s="47"/>
      <c r="LFV34" s="47"/>
      <c r="LFW34" s="47"/>
      <c r="LFX34" s="47"/>
      <c r="LFY34" s="47"/>
      <c r="LFZ34" s="47"/>
      <c r="LGA34" s="47"/>
      <c r="LGB34" s="47"/>
      <c r="LGC34" s="47"/>
      <c r="LGD34" s="47"/>
      <c r="LGE34" s="47"/>
      <c r="LGF34" s="47"/>
      <c r="LGG34" s="47"/>
      <c r="LGH34" s="47"/>
      <c r="LGI34" s="47"/>
      <c r="LGJ34" s="47"/>
      <c r="LGK34" s="47"/>
      <c r="LGL34" s="47"/>
      <c r="LGM34" s="47"/>
      <c r="LGN34" s="47"/>
      <c r="LGO34" s="47"/>
      <c r="LGP34" s="47"/>
      <c r="LGQ34" s="47"/>
      <c r="LGR34" s="47"/>
      <c r="LGS34" s="47"/>
      <c r="LGT34" s="47"/>
      <c r="LGU34" s="47"/>
      <c r="LGV34" s="47"/>
      <c r="LGW34" s="47"/>
      <c r="LGX34" s="47"/>
      <c r="LGY34" s="47"/>
      <c r="LGZ34" s="47"/>
      <c r="LHA34" s="47"/>
      <c r="LHB34" s="47"/>
      <c r="LHC34" s="47"/>
      <c r="LHD34" s="47"/>
      <c r="LHE34" s="47"/>
      <c r="LHF34" s="47"/>
      <c r="LHG34" s="47"/>
      <c r="LHH34" s="47"/>
      <c r="LHI34" s="47"/>
      <c r="LHJ34" s="47"/>
      <c r="LHK34" s="47"/>
      <c r="LHL34" s="47"/>
      <c r="LHM34" s="47"/>
      <c r="LHN34" s="47"/>
      <c r="LHO34" s="47"/>
      <c r="LHP34" s="47"/>
      <c r="LHQ34" s="47"/>
      <c r="LHR34" s="47"/>
      <c r="LHS34" s="47"/>
      <c r="LHT34" s="47"/>
      <c r="LHU34" s="47"/>
      <c r="LHV34" s="47"/>
      <c r="LHW34" s="47"/>
      <c r="LHX34" s="47"/>
      <c r="LHY34" s="47"/>
      <c r="LHZ34" s="47"/>
      <c r="LIA34" s="47"/>
      <c r="LIB34" s="47"/>
      <c r="LIC34" s="47"/>
      <c r="LID34" s="47"/>
      <c r="LIE34" s="47"/>
      <c r="LIF34" s="47"/>
      <c r="LIG34" s="47"/>
      <c r="LIH34" s="47"/>
      <c r="LII34" s="47"/>
      <c r="LIJ34" s="47"/>
      <c r="LIK34" s="47"/>
      <c r="LIL34" s="47"/>
      <c r="LIM34" s="47"/>
      <c r="LIN34" s="47"/>
      <c r="LIO34" s="47"/>
      <c r="LIP34" s="47"/>
      <c r="LIQ34" s="47"/>
      <c r="LIR34" s="47"/>
      <c r="LIS34" s="47"/>
      <c r="LIT34" s="47"/>
      <c r="LIU34" s="47"/>
      <c r="LIV34" s="47"/>
      <c r="LIW34" s="47"/>
      <c r="LIX34" s="47"/>
      <c r="LIY34" s="47"/>
      <c r="LIZ34" s="47"/>
      <c r="LJA34" s="47"/>
      <c r="LJB34" s="47"/>
      <c r="LJC34" s="47"/>
      <c r="LJD34" s="47"/>
      <c r="LJE34" s="47"/>
      <c r="LJF34" s="47"/>
      <c r="LJG34" s="47"/>
      <c r="LJH34" s="47"/>
      <c r="LJI34" s="47"/>
      <c r="LJJ34" s="47"/>
      <c r="LJK34" s="47"/>
      <c r="LJL34" s="47"/>
      <c r="LJM34" s="47"/>
      <c r="LJN34" s="47"/>
      <c r="LJO34" s="47"/>
      <c r="LJP34" s="47"/>
      <c r="LJQ34" s="47"/>
      <c r="LJR34" s="47"/>
      <c r="LJS34" s="47"/>
      <c r="LJT34" s="47"/>
      <c r="LJU34" s="47"/>
      <c r="LJV34" s="47"/>
      <c r="LJW34" s="47"/>
      <c r="LJX34" s="47"/>
      <c r="LJY34" s="47"/>
      <c r="LJZ34" s="47"/>
      <c r="LKA34" s="47"/>
      <c r="LKB34" s="47"/>
      <c r="LKC34" s="47"/>
      <c r="LKD34" s="47"/>
      <c r="LKE34" s="47"/>
      <c r="LKF34" s="47"/>
      <c r="LKG34" s="47"/>
      <c r="LKH34" s="47"/>
      <c r="LKI34" s="47"/>
      <c r="LKJ34" s="47"/>
      <c r="LKK34" s="47"/>
      <c r="LKL34" s="47"/>
      <c r="LKM34" s="47"/>
      <c r="LKN34" s="47"/>
      <c r="LKO34" s="47"/>
      <c r="LKP34" s="47"/>
      <c r="LKQ34" s="47"/>
      <c r="LKR34" s="47"/>
      <c r="LKS34" s="47"/>
      <c r="LKT34" s="47"/>
      <c r="LKU34" s="47"/>
      <c r="LKV34" s="47"/>
      <c r="LKW34" s="47"/>
      <c r="LKX34" s="47"/>
      <c r="LKY34" s="47"/>
      <c r="LKZ34" s="47"/>
      <c r="LLA34" s="47"/>
      <c r="LLB34" s="47"/>
      <c r="LLC34" s="47"/>
      <c r="LLD34" s="47"/>
      <c r="LLE34" s="47"/>
      <c r="LLF34" s="47"/>
      <c r="LLG34" s="47"/>
      <c r="LLH34" s="47"/>
      <c r="LLI34" s="47"/>
      <c r="LLJ34" s="47"/>
      <c r="LLK34" s="47"/>
      <c r="LLL34" s="47"/>
      <c r="LLM34" s="47"/>
      <c r="LLN34" s="47"/>
      <c r="LLO34" s="47"/>
      <c r="LLP34" s="47"/>
      <c r="LLQ34" s="47"/>
      <c r="LLR34" s="47"/>
      <c r="LLS34" s="47"/>
      <c r="LLT34" s="47"/>
      <c r="LLU34" s="47"/>
      <c r="LLV34" s="47"/>
      <c r="LLW34" s="47"/>
      <c r="LLX34" s="47"/>
      <c r="LLY34" s="47"/>
      <c r="LLZ34" s="47"/>
      <c r="LMA34" s="47"/>
      <c r="LMB34" s="47"/>
      <c r="LMC34" s="47"/>
      <c r="LMD34" s="47"/>
      <c r="LME34" s="47"/>
      <c r="LMF34" s="47"/>
      <c r="LMG34" s="47"/>
      <c r="LMH34" s="47"/>
      <c r="LMI34" s="47"/>
      <c r="LMJ34" s="47"/>
      <c r="LMK34" s="47"/>
      <c r="LML34" s="47"/>
      <c r="LMM34" s="47"/>
      <c r="LMN34" s="47"/>
      <c r="LMO34" s="47"/>
      <c r="LMP34" s="47"/>
      <c r="LMQ34" s="47"/>
      <c r="LMR34" s="47"/>
      <c r="LMS34" s="47"/>
      <c r="LMT34" s="47"/>
      <c r="LMU34" s="47"/>
      <c r="LMV34" s="47"/>
      <c r="LMW34" s="47"/>
      <c r="LMX34" s="47"/>
      <c r="LMY34" s="47"/>
      <c r="LMZ34" s="47"/>
      <c r="LNA34" s="47"/>
      <c r="LNB34" s="47"/>
      <c r="LNC34" s="47"/>
      <c r="LND34" s="47"/>
      <c r="LNE34" s="47"/>
      <c r="LNF34" s="47"/>
      <c r="LNG34" s="47"/>
      <c r="LNH34" s="47"/>
      <c r="LNI34" s="47"/>
      <c r="LNJ34" s="47"/>
      <c r="LNK34" s="47"/>
      <c r="LNL34" s="47"/>
      <c r="LNM34" s="47"/>
      <c r="LNN34" s="47"/>
      <c r="LNO34" s="47"/>
      <c r="LNP34" s="47"/>
      <c r="LNQ34" s="47"/>
      <c r="LNR34" s="47"/>
      <c r="LNS34" s="47"/>
      <c r="LNT34" s="47"/>
      <c r="LNU34" s="47"/>
      <c r="LNV34" s="47"/>
      <c r="LNW34" s="47"/>
      <c r="LNX34" s="47"/>
      <c r="LNY34" s="47"/>
      <c r="LNZ34" s="47"/>
      <c r="LOA34" s="47"/>
      <c r="LOB34" s="47"/>
      <c r="LOC34" s="47"/>
      <c r="LOD34" s="47"/>
      <c r="LOE34" s="47"/>
      <c r="LOF34" s="47"/>
      <c r="LOG34" s="47"/>
      <c r="LOH34" s="47"/>
      <c r="LOI34" s="47"/>
      <c r="LOJ34" s="47"/>
      <c r="LOK34" s="47"/>
      <c r="LOL34" s="47"/>
      <c r="LOM34" s="47"/>
      <c r="LON34" s="47"/>
      <c r="LOO34" s="47"/>
      <c r="LOP34" s="47"/>
      <c r="LOQ34" s="47"/>
      <c r="LOR34" s="47"/>
      <c r="LOS34" s="47"/>
      <c r="LOT34" s="47"/>
      <c r="LOU34" s="47"/>
      <c r="LOV34" s="47"/>
      <c r="LOW34" s="47"/>
      <c r="LOX34" s="47"/>
      <c r="LOY34" s="47"/>
      <c r="LOZ34" s="47"/>
      <c r="LPA34" s="47"/>
      <c r="LPB34" s="47"/>
      <c r="LPC34" s="47"/>
      <c r="LPD34" s="47"/>
      <c r="LPE34" s="47"/>
      <c r="LPF34" s="47"/>
      <c r="LPG34" s="47"/>
      <c r="LPH34" s="47"/>
      <c r="LPI34" s="47"/>
      <c r="LPJ34" s="47"/>
      <c r="LPK34" s="47"/>
      <c r="LPL34" s="47"/>
      <c r="LPM34" s="47"/>
      <c r="LPN34" s="47"/>
      <c r="LPO34" s="47"/>
      <c r="LPP34" s="47"/>
      <c r="LPQ34" s="47"/>
      <c r="LPR34" s="47"/>
      <c r="LPS34" s="47"/>
      <c r="LPT34" s="47"/>
      <c r="LPU34" s="47"/>
      <c r="LPV34" s="47"/>
      <c r="LPW34" s="47"/>
      <c r="LPX34" s="47"/>
      <c r="LPY34" s="47"/>
      <c r="LPZ34" s="47"/>
      <c r="LQA34" s="47"/>
      <c r="LQB34" s="47"/>
      <c r="LQC34" s="47"/>
      <c r="LQD34" s="47"/>
      <c r="LQE34" s="47"/>
      <c r="LQF34" s="47"/>
      <c r="LQG34" s="47"/>
      <c r="LQH34" s="47"/>
      <c r="LQI34" s="47"/>
      <c r="LQJ34" s="47"/>
      <c r="LQK34" s="47"/>
      <c r="LQL34" s="47"/>
      <c r="LQM34" s="47"/>
      <c r="LQN34" s="47"/>
      <c r="LQO34" s="47"/>
      <c r="LQP34" s="47"/>
      <c r="LQQ34" s="47"/>
      <c r="LQR34" s="47"/>
      <c r="LQS34" s="47"/>
      <c r="LQT34" s="47"/>
      <c r="LQU34" s="47"/>
      <c r="LQV34" s="47"/>
      <c r="LQW34" s="47"/>
      <c r="LQX34" s="47"/>
      <c r="LQY34" s="47"/>
      <c r="LQZ34" s="47"/>
      <c r="LRA34" s="47"/>
      <c r="LRB34" s="47"/>
      <c r="LRC34" s="47"/>
      <c r="LRD34" s="47"/>
      <c r="LRE34" s="47"/>
      <c r="LRF34" s="47"/>
      <c r="LRG34" s="47"/>
      <c r="LRH34" s="47"/>
      <c r="LRI34" s="47"/>
      <c r="LRJ34" s="47"/>
      <c r="LRK34" s="47"/>
      <c r="LRL34" s="47"/>
      <c r="LRM34" s="47"/>
      <c r="LRN34" s="47"/>
      <c r="LRO34" s="47"/>
      <c r="LRP34" s="47"/>
      <c r="LRQ34" s="47"/>
      <c r="LRR34" s="47"/>
      <c r="LRS34" s="47"/>
      <c r="LRT34" s="47"/>
      <c r="LRU34" s="47"/>
      <c r="LRV34" s="47"/>
      <c r="LRW34" s="47"/>
      <c r="LRX34" s="47"/>
      <c r="LRY34" s="47"/>
      <c r="LRZ34" s="47"/>
      <c r="LSA34" s="47"/>
      <c r="LSB34" s="47"/>
      <c r="LSC34" s="47"/>
      <c r="LSD34" s="47"/>
      <c r="LSE34" s="47"/>
      <c r="LSF34" s="47"/>
      <c r="LSG34" s="47"/>
      <c r="LSH34" s="47"/>
      <c r="LSI34" s="47"/>
      <c r="LSJ34" s="47"/>
      <c r="LSK34" s="47"/>
      <c r="LSL34" s="47"/>
      <c r="LSM34" s="47"/>
      <c r="LSN34" s="47"/>
      <c r="LSO34" s="47"/>
      <c r="LSP34" s="47"/>
      <c r="LSQ34" s="47"/>
      <c r="LSR34" s="47"/>
      <c r="LSS34" s="47"/>
      <c r="LST34" s="47"/>
      <c r="LSU34" s="47"/>
      <c r="LSV34" s="47"/>
      <c r="LSW34" s="47"/>
      <c r="LSX34" s="47"/>
      <c r="LSY34" s="47"/>
      <c r="LSZ34" s="47"/>
      <c r="LTA34" s="47"/>
      <c r="LTB34" s="47"/>
      <c r="LTC34" s="47"/>
      <c r="LTD34" s="47"/>
      <c r="LTE34" s="47"/>
      <c r="LTF34" s="47"/>
      <c r="LTG34" s="47"/>
      <c r="LTH34" s="47"/>
      <c r="LTI34" s="47"/>
      <c r="LTJ34" s="47"/>
      <c r="LTK34" s="47"/>
      <c r="LTL34" s="47"/>
      <c r="LTM34" s="47"/>
      <c r="LTN34" s="47"/>
      <c r="LTO34" s="47"/>
      <c r="LTP34" s="47"/>
      <c r="LTQ34" s="47"/>
      <c r="LTR34" s="47"/>
      <c r="LTS34" s="47"/>
      <c r="LTT34" s="47"/>
      <c r="LTU34" s="47"/>
      <c r="LTV34" s="47"/>
      <c r="LTW34" s="47"/>
      <c r="LTX34" s="47"/>
      <c r="LTY34" s="47"/>
      <c r="LTZ34" s="47"/>
      <c r="LUA34" s="47"/>
      <c r="LUB34" s="47"/>
      <c r="LUC34" s="47"/>
      <c r="LUD34" s="47"/>
      <c r="LUE34" s="47"/>
      <c r="LUF34" s="47"/>
      <c r="LUG34" s="47"/>
      <c r="LUH34" s="47"/>
      <c r="LUI34" s="47"/>
      <c r="LUJ34" s="47"/>
      <c r="LUK34" s="47"/>
      <c r="LUL34" s="47"/>
      <c r="LUM34" s="47"/>
      <c r="LUN34" s="47"/>
      <c r="LUO34" s="47"/>
      <c r="LUP34" s="47"/>
      <c r="LUQ34" s="47"/>
      <c r="LUR34" s="47"/>
      <c r="LUS34" s="47"/>
      <c r="LUT34" s="47"/>
      <c r="LUU34" s="47"/>
      <c r="LUV34" s="47"/>
      <c r="LUW34" s="47"/>
      <c r="LUX34" s="47"/>
      <c r="LUY34" s="47"/>
      <c r="LUZ34" s="47"/>
      <c r="LVA34" s="47"/>
      <c r="LVB34" s="47"/>
      <c r="LVC34" s="47"/>
      <c r="LVD34" s="47"/>
      <c r="LVE34" s="47"/>
      <c r="LVF34" s="47"/>
      <c r="LVG34" s="47"/>
      <c r="LVH34" s="47"/>
      <c r="LVI34" s="47"/>
      <c r="LVJ34" s="47"/>
      <c r="LVK34" s="47"/>
      <c r="LVL34" s="47"/>
      <c r="LVM34" s="47"/>
      <c r="LVN34" s="47"/>
      <c r="LVO34" s="47"/>
      <c r="LVP34" s="47"/>
      <c r="LVQ34" s="47"/>
      <c r="LVR34" s="47"/>
      <c r="LVS34" s="47"/>
      <c r="LVT34" s="47"/>
      <c r="LVU34" s="47"/>
      <c r="LVV34" s="47"/>
      <c r="LVW34" s="47"/>
      <c r="LVX34" s="47"/>
      <c r="LVY34" s="47"/>
      <c r="LVZ34" s="47"/>
      <c r="LWA34" s="47"/>
      <c r="LWB34" s="47"/>
      <c r="LWC34" s="47"/>
      <c r="LWD34" s="47"/>
      <c r="LWE34" s="47"/>
      <c r="LWF34" s="47"/>
      <c r="LWG34" s="47"/>
      <c r="LWH34" s="47"/>
      <c r="LWI34" s="47"/>
      <c r="LWJ34" s="47"/>
      <c r="LWK34" s="47"/>
      <c r="LWL34" s="47"/>
      <c r="LWM34" s="47"/>
      <c r="LWN34" s="47"/>
      <c r="LWO34" s="47"/>
      <c r="LWP34" s="47"/>
      <c r="LWQ34" s="47"/>
      <c r="LWR34" s="47"/>
      <c r="LWS34" s="47"/>
      <c r="LWT34" s="47"/>
      <c r="LWU34" s="47"/>
      <c r="LWV34" s="47"/>
      <c r="LWW34" s="47"/>
      <c r="LWX34" s="47"/>
      <c r="LWY34" s="47"/>
      <c r="LWZ34" s="47"/>
      <c r="LXA34" s="47"/>
      <c r="LXB34" s="47"/>
      <c r="LXC34" s="47"/>
      <c r="LXD34" s="47"/>
      <c r="LXE34" s="47"/>
      <c r="LXF34" s="47"/>
      <c r="LXG34" s="47"/>
      <c r="LXH34" s="47"/>
      <c r="LXI34" s="47"/>
      <c r="LXJ34" s="47"/>
      <c r="LXK34" s="47"/>
      <c r="LXL34" s="47"/>
      <c r="LXM34" s="47"/>
      <c r="LXN34" s="47"/>
      <c r="LXO34" s="47"/>
      <c r="LXP34" s="47"/>
      <c r="LXQ34" s="47"/>
      <c r="LXR34" s="47"/>
      <c r="LXS34" s="47"/>
      <c r="LXT34" s="47"/>
      <c r="LXU34" s="47"/>
      <c r="LXV34" s="47"/>
      <c r="LXW34" s="47"/>
      <c r="LXX34" s="47"/>
      <c r="LXY34" s="47"/>
      <c r="LXZ34" s="47"/>
      <c r="LYA34" s="47"/>
      <c r="LYB34" s="47"/>
      <c r="LYC34" s="47"/>
      <c r="LYD34" s="47"/>
      <c r="LYE34" s="47"/>
      <c r="LYF34" s="47"/>
      <c r="LYG34" s="47"/>
      <c r="LYH34" s="47"/>
      <c r="LYI34" s="47"/>
      <c r="LYJ34" s="47"/>
      <c r="LYK34" s="47"/>
      <c r="LYL34" s="47"/>
      <c r="LYM34" s="47"/>
      <c r="LYN34" s="47"/>
      <c r="LYO34" s="47"/>
      <c r="LYP34" s="47"/>
      <c r="LYQ34" s="47"/>
      <c r="LYR34" s="47"/>
      <c r="LYS34" s="47"/>
      <c r="LYT34" s="47"/>
      <c r="LYU34" s="47"/>
      <c r="LYV34" s="47"/>
      <c r="LYW34" s="47"/>
      <c r="LYX34" s="47"/>
      <c r="LYY34" s="47"/>
      <c r="LYZ34" s="47"/>
      <c r="LZA34" s="47"/>
      <c r="LZB34" s="47"/>
      <c r="LZC34" s="47"/>
      <c r="LZD34" s="47"/>
      <c r="LZE34" s="47"/>
      <c r="LZF34" s="47"/>
      <c r="LZG34" s="47"/>
      <c r="LZH34" s="47"/>
      <c r="LZI34" s="47"/>
      <c r="LZJ34" s="47"/>
      <c r="LZK34" s="47"/>
      <c r="LZL34" s="47"/>
      <c r="LZM34" s="47"/>
      <c r="LZN34" s="47"/>
      <c r="LZO34" s="47"/>
      <c r="LZP34" s="47"/>
      <c r="LZQ34" s="47"/>
      <c r="LZR34" s="47"/>
      <c r="LZS34" s="47"/>
      <c r="LZT34" s="47"/>
      <c r="LZU34" s="47"/>
      <c r="LZV34" s="47"/>
      <c r="LZW34" s="47"/>
      <c r="LZX34" s="47"/>
      <c r="LZY34" s="47"/>
      <c r="LZZ34" s="47"/>
      <c r="MAA34" s="47"/>
      <c r="MAB34" s="47"/>
      <c r="MAC34" s="47"/>
      <c r="MAD34" s="47"/>
      <c r="MAE34" s="47"/>
      <c r="MAF34" s="47"/>
      <c r="MAG34" s="47"/>
      <c r="MAH34" s="47"/>
      <c r="MAI34" s="47"/>
      <c r="MAJ34" s="47"/>
      <c r="MAK34" s="47"/>
      <c r="MAL34" s="47"/>
      <c r="MAM34" s="47"/>
      <c r="MAN34" s="47"/>
      <c r="MAO34" s="47"/>
      <c r="MAP34" s="47"/>
      <c r="MAQ34" s="47"/>
      <c r="MAR34" s="47"/>
      <c r="MAS34" s="47"/>
      <c r="MAT34" s="47"/>
      <c r="MAU34" s="47"/>
      <c r="MAV34" s="47"/>
      <c r="MAW34" s="47"/>
      <c r="MAX34" s="47"/>
      <c r="MAY34" s="47"/>
      <c r="MAZ34" s="47"/>
      <c r="MBA34" s="47"/>
      <c r="MBB34" s="47"/>
      <c r="MBC34" s="47"/>
      <c r="MBD34" s="47"/>
      <c r="MBE34" s="47"/>
      <c r="MBF34" s="47"/>
      <c r="MBG34" s="47"/>
      <c r="MBH34" s="47"/>
      <c r="MBI34" s="47"/>
      <c r="MBJ34" s="47"/>
      <c r="MBK34" s="47"/>
      <c r="MBL34" s="47"/>
      <c r="MBM34" s="47"/>
      <c r="MBN34" s="47"/>
      <c r="MBO34" s="47"/>
      <c r="MBP34" s="47"/>
      <c r="MBQ34" s="47"/>
      <c r="MBR34" s="47"/>
      <c r="MBS34" s="47"/>
      <c r="MBT34" s="47"/>
      <c r="MBU34" s="47"/>
      <c r="MBV34" s="47"/>
      <c r="MBW34" s="47"/>
      <c r="MBX34" s="47"/>
      <c r="MBY34" s="47"/>
      <c r="MBZ34" s="47"/>
      <c r="MCA34" s="47"/>
      <c r="MCB34" s="47"/>
      <c r="MCC34" s="47"/>
      <c r="MCD34" s="47"/>
      <c r="MCE34" s="47"/>
      <c r="MCF34" s="47"/>
      <c r="MCG34" s="47"/>
      <c r="MCH34" s="47"/>
      <c r="MCI34" s="47"/>
      <c r="MCJ34" s="47"/>
      <c r="MCK34" s="47"/>
      <c r="MCL34" s="47"/>
      <c r="MCM34" s="47"/>
      <c r="MCN34" s="47"/>
      <c r="MCO34" s="47"/>
      <c r="MCP34" s="47"/>
      <c r="MCQ34" s="47"/>
      <c r="MCR34" s="47"/>
      <c r="MCS34" s="47"/>
      <c r="MCT34" s="47"/>
      <c r="MCU34" s="47"/>
      <c r="MCV34" s="47"/>
      <c r="MCW34" s="47"/>
      <c r="MCX34" s="47"/>
      <c r="MCY34" s="47"/>
      <c r="MCZ34" s="47"/>
      <c r="MDA34" s="47"/>
      <c r="MDB34" s="47"/>
      <c r="MDC34" s="47"/>
      <c r="MDD34" s="47"/>
      <c r="MDE34" s="47"/>
      <c r="MDF34" s="47"/>
      <c r="MDG34" s="47"/>
      <c r="MDH34" s="47"/>
      <c r="MDI34" s="47"/>
      <c r="MDJ34" s="47"/>
      <c r="MDK34" s="47"/>
      <c r="MDL34" s="47"/>
      <c r="MDM34" s="47"/>
      <c r="MDN34" s="47"/>
      <c r="MDO34" s="47"/>
      <c r="MDP34" s="47"/>
      <c r="MDQ34" s="47"/>
      <c r="MDR34" s="47"/>
      <c r="MDS34" s="47"/>
      <c r="MDT34" s="47"/>
      <c r="MDU34" s="47"/>
      <c r="MDV34" s="47"/>
      <c r="MDW34" s="47"/>
      <c r="MDX34" s="47"/>
      <c r="MDY34" s="47"/>
      <c r="MDZ34" s="47"/>
      <c r="MEA34" s="47"/>
      <c r="MEB34" s="47"/>
      <c r="MEC34" s="47"/>
      <c r="MED34" s="47"/>
      <c r="MEE34" s="47"/>
      <c r="MEF34" s="47"/>
      <c r="MEG34" s="47"/>
      <c r="MEH34" s="47"/>
      <c r="MEI34" s="47"/>
      <c r="MEJ34" s="47"/>
      <c r="MEK34" s="47"/>
      <c r="MEL34" s="47"/>
      <c r="MEM34" s="47"/>
      <c r="MEN34" s="47"/>
      <c r="MEO34" s="47"/>
      <c r="MEP34" s="47"/>
      <c r="MEQ34" s="47"/>
      <c r="MER34" s="47"/>
      <c r="MES34" s="47"/>
      <c r="MET34" s="47"/>
      <c r="MEU34" s="47"/>
      <c r="MEV34" s="47"/>
      <c r="MEW34" s="47"/>
      <c r="MEX34" s="47"/>
      <c r="MEY34" s="47"/>
      <c r="MEZ34" s="47"/>
      <c r="MFA34" s="47"/>
      <c r="MFB34" s="47"/>
      <c r="MFC34" s="47"/>
      <c r="MFD34" s="47"/>
      <c r="MFE34" s="47"/>
      <c r="MFF34" s="47"/>
      <c r="MFG34" s="47"/>
      <c r="MFH34" s="47"/>
      <c r="MFI34" s="47"/>
      <c r="MFJ34" s="47"/>
      <c r="MFK34" s="47"/>
      <c r="MFL34" s="47"/>
      <c r="MFM34" s="47"/>
      <c r="MFN34" s="47"/>
      <c r="MFO34" s="47"/>
      <c r="MFP34" s="47"/>
      <c r="MFQ34" s="47"/>
      <c r="MFR34" s="47"/>
      <c r="MFS34" s="47"/>
      <c r="MFT34" s="47"/>
      <c r="MFU34" s="47"/>
      <c r="MFV34" s="47"/>
      <c r="MFW34" s="47"/>
      <c r="MFX34" s="47"/>
      <c r="MFY34" s="47"/>
      <c r="MFZ34" s="47"/>
      <c r="MGA34" s="47"/>
      <c r="MGB34" s="47"/>
      <c r="MGC34" s="47"/>
      <c r="MGD34" s="47"/>
      <c r="MGE34" s="47"/>
      <c r="MGF34" s="47"/>
      <c r="MGG34" s="47"/>
      <c r="MGH34" s="47"/>
      <c r="MGI34" s="47"/>
      <c r="MGJ34" s="47"/>
      <c r="MGK34" s="47"/>
      <c r="MGL34" s="47"/>
      <c r="MGM34" s="47"/>
      <c r="MGN34" s="47"/>
      <c r="MGO34" s="47"/>
      <c r="MGP34" s="47"/>
      <c r="MGQ34" s="47"/>
      <c r="MGR34" s="47"/>
      <c r="MGS34" s="47"/>
      <c r="MGT34" s="47"/>
      <c r="MGU34" s="47"/>
      <c r="MGV34" s="47"/>
      <c r="MGW34" s="47"/>
      <c r="MGX34" s="47"/>
      <c r="MGY34" s="47"/>
      <c r="MGZ34" s="47"/>
      <c r="MHA34" s="47"/>
      <c r="MHB34" s="47"/>
      <c r="MHC34" s="47"/>
      <c r="MHD34" s="47"/>
      <c r="MHE34" s="47"/>
      <c r="MHF34" s="47"/>
      <c r="MHG34" s="47"/>
      <c r="MHH34" s="47"/>
      <c r="MHI34" s="47"/>
      <c r="MHJ34" s="47"/>
      <c r="MHK34" s="47"/>
      <c r="MHL34" s="47"/>
      <c r="MHM34" s="47"/>
      <c r="MHN34" s="47"/>
      <c r="MHO34" s="47"/>
      <c r="MHP34" s="47"/>
      <c r="MHQ34" s="47"/>
      <c r="MHR34" s="47"/>
      <c r="MHS34" s="47"/>
      <c r="MHT34" s="47"/>
      <c r="MHU34" s="47"/>
      <c r="MHV34" s="47"/>
      <c r="MHW34" s="47"/>
      <c r="MHX34" s="47"/>
      <c r="MHY34" s="47"/>
      <c r="MHZ34" s="47"/>
      <c r="MIA34" s="47"/>
      <c r="MIB34" s="47"/>
      <c r="MIC34" s="47"/>
      <c r="MID34" s="47"/>
      <c r="MIE34" s="47"/>
      <c r="MIF34" s="47"/>
      <c r="MIG34" s="47"/>
      <c r="MIH34" s="47"/>
      <c r="MII34" s="47"/>
      <c r="MIJ34" s="47"/>
      <c r="MIK34" s="47"/>
      <c r="MIL34" s="47"/>
      <c r="MIM34" s="47"/>
      <c r="MIN34" s="47"/>
      <c r="MIO34" s="47"/>
      <c r="MIP34" s="47"/>
      <c r="MIQ34" s="47"/>
      <c r="MIR34" s="47"/>
      <c r="MIS34" s="47"/>
      <c r="MIT34" s="47"/>
      <c r="MIU34" s="47"/>
      <c r="MIV34" s="47"/>
      <c r="MIW34" s="47"/>
      <c r="MIX34" s="47"/>
      <c r="MIY34" s="47"/>
      <c r="MIZ34" s="47"/>
      <c r="MJA34" s="47"/>
      <c r="MJB34" s="47"/>
      <c r="MJC34" s="47"/>
      <c r="MJD34" s="47"/>
      <c r="MJE34" s="47"/>
      <c r="MJF34" s="47"/>
      <c r="MJG34" s="47"/>
      <c r="MJH34" s="47"/>
      <c r="MJI34" s="47"/>
      <c r="MJJ34" s="47"/>
      <c r="MJK34" s="47"/>
      <c r="MJL34" s="47"/>
      <c r="MJM34" s="47"/>
      <c r="MJN34" s="47"/>
      <c r="MJO34" s="47"/>
      <c r="MJP34" s="47"/>
      <c r="MJQ34" s="47"/>
      <c r="MJR34" s="47"/>
      <c r="MJS34" s="47"/>
      <c r="MJT34" s="47"/>
      <c r="MJU34" s="47"/>
      <c r="MJV34" s="47"/>
      <c r="MJW34" s="47"/>
      <c r="MJX34" s="47"/>
      <c r="MJY34" s="47"/>
      <c r="MJZ34" s="47"/>
      <c r="MKA34" s="47"/>
      <c r="MKB34" s="47"/>
      <c r="MKC34" s="47"/>
      <c r="MKD34" s="47"/>
      <c r="MKE34" s="47"/>
      <c r="MKF34" s="47"/>
      <c r="MKG34" s="47"/>
      <c r="MKH34" s="47"/>
      <c r="MKI34" s="47"/>
      <c r="MKJ34" s="47"/>
      <c r="MKK34" s="47"/>
      <c r="MKL34" s="47"/>
      <c r="MKM34" s="47"/>
      <c r="MKN34" s="47"/>
      <c r="MKO34" s="47"/>
      <c r="MKP34" s="47"/>
      <c r="MKQ34" s="47"/>
      <c r="MKR34" s="47"/>
      <c r="MKS34" s="47"/>
      <c r="MKT34" s="47"/>
      <c r="MKU34" s="47"/>
      <c r="MKV34" s="47"/>
      <c r="MKW34" s="47"/>
      <c r="MKX34" s="47"/>
      <c r="MKY34" s="47"/>
      <c r="MKZ34" s="47"/>
      <c r="MLA34" s="47"/>
      <c r="MLB34" s="47"/>
      <c r="MLC34" s="47"/>
      <c r="MLD34" s="47"/>
      <c r="MLE34" s="47"/>
      <c r="MLF34" s="47"/>
      <c r="MLG34" s="47"/>
      <c r="MLH34" s="47"/>
      <c r="MLI34" s="47"/>
      <c r="MLJ34" s="47"/>
      <c r="MLK34" s="47"/>
      <c r="MLL34" s="47"/>
      <c r="MLM34" s="47"/>
      <c r="MLN34" s="47"/>
      <c r="MLO34" s="47"/>
      <c r="MLP34" s="47"/>
      <c r="MLQ34" s="47"/>
      <c r="MLR34" s="47"/>
      <c r="MLS34" s="47"/>
      <c r="MLT34" s="47"/>
      <c r="MLU34" s="47"/>
      <c r="MLV34" s="47"/>
      <c r="MLW34" s="47"/>
      <c r="MLX34" s="47"/>
      <c r="MLY34" s="47"/>
      <c r="MLZ34" s="47"/>
      <c r="MMA34" s="47"/>
      <c r="MMB34" s="47"/>
      <c r="MMC34" s="47"/>
      <c r="MMD34" s="47"/>
      <c r="MME34" s="47"/>
      <c r="MMF34" s="47"/>
      <c r="MMG34" s="47"/>
      <c r="MMH34" s="47"/>
      <c r="MMI34" s="47"/>
      <c r="MMJ34" s="47"/>
      <c r="MMK34" s="47"/>
      <c r="MML34" s="47"/>
      <c r="MMM34" s="47"/>
      <c r="MMN34" s="47"/>
      <c r="MMO34" s="47"/>
      <c r="MMP34" s="47"/>
      <c r="MMQ34" s="47"/>
      <c r="MMR34" s="47"/>
      <c r="MMS34" s="47"/>
      <c r="MMT34" s="47"/>
      <c r="MMU34" s="47"/>
      <c r="MMV34" s="47"/>
      <c r="MMW34" s="47"/>
      <c r="MMX34" s="47"/>
      <c r="MMY34" s="47"/>
      <c r="MMZ34" s="47"/>
      <c r="MNA34" s="47"/>
      <c r="MNB34" s="47"/>
      <c r="MNC34" s="47"/>
      <c r="MND34" s="47"/>
      <c r="MNE34" s="47"/>
      <c r="MNF34" s="47"/>
      <c r="MNG34" s="47"/>
      <c r="MNH34" s="47"/>
      <c r="MNI34" s="47"/>
      <c r="MNJ34" s="47"/>
      <c r="MNK34" s="47"/>
      <c r="MNL34" s="47"/>
      <c r="MNM34" s="47"/>
      <c r="MNN34" s="47"/>
      <c r="MNO34" s="47"/>
      <c r="MNP34" s="47"/>
      <c r="MNQ34" s="47"/>
      <c r="MNR34" s="47"/>
      <c r="MNS34" s="47"/>
      <c r="MNT34" s="47"/>
      <c r="MNU34" s="47"/>
      <c r="MNV34" s="47"/>
      <c r="MNW34" s="47"/>
      <c r="MNX34" s="47"/>
      <c r="MNY34" s="47"/>
      <c r="MNZ34" s="47"/>
      <c r="MOA34" s="47"/>
      <c r="MOB34" s="47"/>
      <c r="MOC34" s="47"/>
      <c r="MOD34" s="47"/>
      <c r="MOE34" s="47"/>
      <c r="MOF34" s="47"/>
      <c r="MOG34" s="47"/>
      <c r="MOH34" s="47"/>
      <c r="MOI34" s="47"/>
      <c r="MOJ34" s="47"/>
      <c r="MOK34" s="47"/>
      <c r="MOL34" s="47"/>
      <c r="MOM34" s="47"/>
      <c r="MON34" s="47"/>
      <c r="MOO34" s="47"/>
      <c r="MOP34" s="47"/>
      <c r="MOQ34" s="47"/>
      <c r="MOR34" s="47"/>
      <c r="MOS34" s="47"/>
      <c r="MOT34" s="47"/>
      <c r="MOU34" s="47"/>
      <c r="MOV34" s="47"/>
      <c r="MOW34" s="47"/>
      <c r="MOX34" s="47"/>
      <c r="MOY34" s="47"/>
      <c r="MOZ34" s="47"/>
      <c r="MPA34" s="47"/>
      <c r="MPB34" s="47"/>
      <c r="MPC34" s="47"/>
      <c r="MPD34" s="47"/>
      <c r="MPE34" s="47"/>
      <c r="MPF34" s="47"/>
      <c r="MPG34" s="47"/>
      <c r="MPH34" s="47"/>
      <c r="MPI34" s="47"/>
      <c r="MPJ34" s="47"/>
      <c r="MPK34" s="47"/>
      <c r="MPL34" s="47"/>
      <c r="MPM34" s="47"/>
      <c r="MPN34" s="47"/>
      <c r="MPO34" s="47"/>
      <c r="MPP34" s="47"/>
      <c r="MPQ34" s="47"/>
      <c r="MPR34" s="47"/>
      <c r="MPS34" s="47"/>
      <c r="MPT34" s="47"/>
      <c r="MPU34" s="47"/>
      <c r="MPV34" s="47"/>
      <c r="MPW34" s="47"/>
      <c r="MPX34" s="47"/>
      <c r="MPY34" s="47"/>
      <c r="MPZ34" s="47"/>
      <c r="MQA34" s="47"/>
      <c r="MQB34" s="47"/>
      <c r="MQC34" s="47"/>
      <c r="MQD34" s="47"/>
      <c r="MQE34" s="47"/>
      <c r="MQF34" s="47"/>
      <c r="MQG34" s="47"/>
      <c r="MQH34" s="47"/>
      <c r="MQI34" s="47"/>
      <c r="MQJ34" s="47"/>
      <c r="MQK34" s="47"/>
      <c r="MQL34" s="47"/>
      <c r="MQM34" s="47"/>
      <c r="MQN34" s="47"/>
      <c r="MQO34" s="47"/>
      <c r="MQP34" s="47"/>
      <c r="MQQ34" s="47"/>
      <c r="MQR34" s="47"/>
      <c r="MQS34" s="47"/>
      <c r="MQT34" s="47"/>
      <c r="MQU34" s="47"/>
      <c r="MQV34" s="47"/>
      <c r="MQW34" s="47"/>
      <c r="MQX34" s="47"/>
      <c r="MQY34" s="47"/>
      <c r="MQZ34" s="47"/>
      <c r="MRA34" s="47"/>
      <c r="MRB34" s="47"/>
      <c r="MRC34" s="47"/>
      <c r="MRD34" s="47"/>
      <c r="MRE34" s="47"/>
      <c r="MRF34" s="47"/>
      <c r="MRG34" s="47"/>
      <c r="MRH34" s="47"/>
      <c r="MRI34" s="47"/>
      <c r="MRJ34" s="47"/>
      <c r="MRK34" s="47"/>
      <c r="MRL34" s="47"/>
      <c r="MRM34" s="47"/>
      <c r="MRN34" s="47"/>
      <c r="MRO34" s="47"/>
      <c r="MRP34" s="47"/>
      <c r="MRQ34" s="47"/>
      <c r="MRR34" s="47"/>
      <c r="MRS34" s="47"/>
      <c r="MRT34" s="47"/>
      <c r="MRU34" s="47"/>
      <c r="MRV34" s="47"/>
      <c r="MRW34" s="47"/>
      <c r="MRX34" s="47"/>
      <c r="MRY34" s="47"/>
      <c r="MRZ34" s="47"/>
      <c r="MSA34" s="47"/>
      <c r="MSB34" s="47"/>
      <c r="MSC34" s="47"/>
      <c r="MSD34" s="47"/>
      <c r="MSE34" s="47"/>
      <c r="MSF34" s="47"/>
      <c r="MSG34" s="47"/>
      <c r="MSH34" s="47"/>
      <c r="MSI34" s="47"/>
      <c r="MSJ34" s="47"/>
      <c r="MSK34" s="47"/>
      <c r="MSL34" s="47"/>
      <c r="MSM34" s="47"/>
      <c r="MSN34" s="47"/>
      <c r="MSO34" s="47"/>
      <c r="MSP34" s="47"/>
      <c r="MSQ34" s="47"/>
      <c r="MSR34" s="47"/>
      <c r="MSS34" s="47"/>
      <c r="MST34" s="47"/>
      <c r="MSU34" s="47"/>
      <c r="MSV34" s="47"/>
      <c r="MSW34" s="47"/>
      <c r="MSX34" s="47"/>
      <c r="MSY34" s="47"/>
      <c r="MSZ34" s="47"/>
      <c r="MTA34" s="47"/>
      <c r="MTB34" s="47"/>
      <c r="MTC34" s="47"/>
      <c r="MTD34" s="47"/>
      <c r="MTE34" s="47"/>
      <c r="MTF34" s="47"/>
      <c r="MTG34" s="47"/>
      <c r="MTH34" s="47"/>
      <c r="MTI34" s="47"/>
      <c r="MTJ34" s="47"/>
      <c r="MTK34" s="47"/>
      <c r="MTL34" s="47"/>
      <c r="MTM34" s="47"/>
      <c r="MTN34" s="47"/>
      <c r="MTO34" s="47"/>
      <c r="MTP34" s="47"/>
      <c r="MTQ34" s="47"/>
      <c r="MTR34" s="47"/>
      <c r="MTS34" s="47"/>
      <c r="MTT34" s="47"/>
      <c r="MTU34" s="47"/>
      <c r="MTV34" s="47"/>
      <c r="MTW34" s="47"/>
      <c r="MTX34" s="47"/>
      <c r="MTY34" s="47"/>
      <c r="MTZ34" s="47"/>
      <c r="MUA34" s="47"/>
      <c r="MUB34" s="47"/>
      <c r="MUC34" s="47"/>
      <c r="MUD34" s="47"/>
      <c r="MUE34" s="47"/>
      <c r="MUF34" s="47"/>
      <c r="MUG34" s="47"/>
      <c r="MUH34" s="47"/>
      <c r="MUI34" s="47"/>
      <c r="MUJ34" s="47"/>
      <c r="MUK34" s="47"/>
      <c r="MUL34" s="47"/>
      <c r="MUM34" s="47"/>
      <c r="MUN34" s="47"/>
      <c r="MUO34" s="47"/>
      <c r="MUP34" s="47"/>
      <c r="MUQ34" s="47"/>
      <c r="MUR34" s="47"/>
      <c r="MUS34" s="47"/>
      <c r="MUT34" s="47"/>
      <c r="MUU34" s="47"/>
      <c r="MUV34" s="47"/>
      <c r="MUW34" s="47"/>
      <c r="MUX34" s="47"/>
      <c r="MUY34" s="47"/>
      <c r="MUZ34" s="47"/>
      <c r="MVA34" s="47"/>
      <c r="MVB34" s="47"/>
      <c r="MVC34" s="47"/>
      <c r="MVD34" s="47"/>
      <c r="MVE34" s="47"/>
      <c r="MVF34" s="47"/>
      <c r="MVG34" s="47"/>
      <c r="MVH34" s="47"/>
      <c r="MVI34" s="47"/>
      <c r="MVJ34" s="47"/>
      <c r="MVK34" s="47"/>
      <c r="MVL34" s="47"/>
      <c r="MVM34" s="47"/>
      <c r="MVN34" s="47"/>
      <c r="MVO34" s="47"/>
      <c r="MVP34" s="47"/>
      <c r="MVQ34" s="47"/>
      <c r="MVR34" s="47"/>
      <c r="MVS34" s="47"/>
      <c r="MVT34" s="47"/>
      <c r="MVU34" s="47"/>
      <c r="MVV34" s="47"/>
      <c r="MVW34" s="47"/>
      <c r="MVX34" s="47"/>
      <c r="MVY34" s="47"/>
      <c r="MVZ34" s="47"/>
      <c r="MWA34" s="47"/>
      <c r="MWB34" s="47"/>
      <c r="MWC34" s="47"/>
      <c r="MWD34" s="47"/>
      <c r="MWE34" s="47"/>
      <c r="MWF34" s="47"/>
      <c r="MWG34" s="47"/>
      <c r="MWH34" s="47"/>
      <c r="MWI34" s="47"/>
      <c r="MWJ34" s="47"/>
      <c r="MWK34" s="47"/>
      <c r="MWL34" s="47"/>
      <c r="MWM34" s="47"/>
      <c r="MWN34" s="47"/>
      <c r="MWO34" s="47"/>
      <c r="MWP34" s="47"/>
      <c r="MWQ34" s="47"/>
      <c r="MWR34" s="47"/>
      <c r="MWS34" s="47"/>
      <c r="MWT34" s="47"/>
      <c r="MWU34" s="47"/>
      <c r="MWV34" s="47"/>
      <c r="MWW34" s="47"/>
      <c r="MWX34" s="47"/>
      <c r="MWY34" s="47"/>
      <c r="MWZ34" s="47"/>
      <c r="MXA34" s="47"/>
      <c r="MXB34" s="47"/>
      <c r="MXC34" s="47"/>
      <c r="MXD34" s="47"/>
      <c r="MXE34" s="47"/>
      <c r="MXF34" s="47"/>
      <c r="MXG34" s="47"/>
      <c r="MXH34" s="47"/>
      <c r="MXI34" s="47"/>
      <c r="MXJ34" s="47"/>
      <c r="MXK34" s="47"/>
      <c r="MXL34" s="47"/>
      <c r="MXM34" s="47"/>
      <c r="MXN34" s="47"/>
      <c r="MXO34" s="47"/>
      <c r="MXP34" s="47"/>
      <c r="MXQ34" s="47"/>
      <c r="MXR34" s="47"/>
      <c r="MXS34" s="47"/>
      <c r="MXT34" s="47"/>
      <c r="MXU34" s="47"/>
      <c r="MXV34" s="47"/>
      <c r="MXW34" s="47"/>
      <c r="MXX34" s="47"/>
      <c r="MXY34" s="47"/>
      <c r="MXZ34" s="47"/>
      <c r="MYA34" s="47"/>
      <c r="MYB34" s="47"/>
      <c r="MYC34" s="47"/>
      <c r="MYD34" s="47"/>
      <c r="MYE34" s="47"/>
      <c r="MYF34" s="47"/>
      <c r="MYG34" s="47"/>
      <c r="MYH34" s="47"/>
      <c r="MYI34" s="47"/>
      <c r="MYJ34" s="47"/>
      <c r="MYK34" s="47"/>
      <c r="MYL34" s="47"/>
      <c r="MYM34" s="47"/>
      <c r="MYN34" s="47"/>
      <c r="MYO34" s="47"/>
      <c r="MYP34" s="47"/>
      <c r="MYQ34" s="47"/>
      <c r="MYR34" s="47"/>
      <c r="MYS34" s="47"/>
      <c r="MYT34" s="47"/>
      <c r="MYU34" s="47"/>
      <c r="MYV34" s="47"/>
      <c r="MYW34" s="47"/>
      <c r="MYX34" s="47"/>
      <c r="MYY34" s="47"/>
      <c r="MYZ34" s="47"/>
      <c r="MZA34" s="47"/>
      <c r="MZB34" s="47"/>
      <c r="MZC34" s="47"/>
      <c r="MZD34" s="47"/>
      <c r="MZE34" s="47"/>
      <c r="MZF34" s="47"/>
      <c r="MZG34" s="47"/>
      <c r="MZH34" s="47"/>
      <c r="MZI34" s="47"/>
      <c r="MZJ34" s="47"/>
      <c r="MZK34" s="47"/>
      <c r="MZL34" s="47"/>
      <c r="MZM34" s="47"/>
      <c r="MZN34" s="47"/>
      <c r="MZO34" s="47"/>
      <c r="MZP34" s="47"/>
      <c r="MZQ34" s="47"/>
      <c r="MZR34" s="47"/>
      <c r="MZS34" s="47"/>
      <c r="MZT34" s="47"/>
      <c r="MZU34" s="47"/>
      <c r="MZV34" s="47"/>
      <c r="MZW34" s="47"/>
      <c r="MZX34" s="47"/>
      <c r="MZY34" s="47"/>
      <c r="MZZ34" s="47"/>
      <c r="NAA34" s="47"/>
      <c r="NAB34" s="47"/>
      <c r="NAC34" s="47"/>
      <c r="NAD34" s="47"/>
      <c r="NAE34" s="47"/>
      <c r="NAF34" s="47"/>
      <c r="NAG34" s="47"/>
      <c r="NAH34" s="47"/>
      <c r="NAI34" s="47"/>
      <c r="NAJ34" s="47"/>
      <c r="NAK34" s="47"/>
      <c r="NAL34" s="47"/>
      <c r="NAM34" s="47"/>
      <c r="NAN34" s="47"/>
      <c r="NAO34" s="47"/>
      <c r="NAP34" s="47"/>
      <c r="NAQ34" s="47"/>
      <c r="NAR34" s="47"/>
      <c r="NAS34" s="47"/>
      <c r="NAT34" s="47"/>
      <c r="NAU34" s="47"/>
      <c r="NAV34" s="47"/>
      <c r="NAW34" s="47"/>
      <c r="NAX34" s="47"/>
      <c r="NAY34" s="47"/>
      <c r="NAZ34" s="47"/>
      <c r="NBA34" s="47"/>
      <c r="NBB34" s="47"/>
      <c r="NBC34" s="47"/>
      <c r="NBD34" s="47"/>
      <c r="NBE34" s="47"/>
      <c r="NBF34" s="47"/>
      <c r="NBG34" s="47"/>
      <c r="NBH34" s="47"/>
      <c r="NBI34" s="47"/>
      <c r="NBJ34" s="47"/>
      <c r="NBK34" s="47"/>
      <c r="NBL34" s="47"/>
      <c r="NBM34" s="47"/>
      <c r="NBN34" s="47"/>
      <c r="NBO34" s="47"/>
      <c r="NBP34" s="47"/>
      <c r="NBQ34" s="47"/>
      <c r="NBR34" s="47"/>
      <c r="NBS34" s="47"/>
      <c r="NBT34" s="47"/>
      <c r="NBU34" s="47"/>
      <c r="NBV34" s="47"/>
      <c r="NBW34" s="47"/>
      <c r="NBX34" s="47"/>
      <c r="NBY34" s="47"/>
      <c r="NBZ34" s="47"/>
      <c r="NCA34" s="47"/>
      <c r="NCB34" s="47"/>
      <c r="NCC34" s="47"/>
      <c r="NCD34" s="47"/>
      <c r="NCE34" s="47"/>
      <c r="NCF34" s="47"/>
      <c r="NCG34" s="47"/>
      <c r="NCH34" s="47"/>
      <c r="NCI34" s="47"/>
      <c r="NCJ34" s="47"/>
      <c r="NCK34" s="47"/>
      <c r="NCL34" s="47"/>
      <c r="NCM34" s="47"/>
      <c r="NCN34" s="47"/>
      <c r="NCO34" s="47"/>
      <c r="NCP34" s="47"/>
      <c r="NCQ34" s="47"/>
      <c r="NCR34" s="47"/>
      <c r="NCS34" s="47"/>
      <c r="NCT34" s="47"/>
      <c r="NCU34" s="47"/>
      <c r="NCV34" s="47"/>
      <c r="NCW34" s="47"/>
      <c r="NCX34" s="47"/>
      <c r="NCY34" s="47"/>
      <c r="NCZ34" s="47"/>
      <c r="NDA34" s="47"/>
      <c r="NDB34" s="47"/>
      <c r="NDC34" s="47"/>
      <c r="NDD34" s="47"/>
      <c r="NDE34" s="47"/>
      <c r="NDF34" s="47"/>
      <c r="NDG34" s="47"/>
      <c r="NDH34" s="47"/>
      <c r="NDI34" s="47"/>
      <c r="NDJ34" s="47"/>
      <c r="NDK34" s="47"/>
      <c r="NDL34" s="47"/>
      <c r="NDM34" s="47"/>
      <c r="NDN34" s="47"/>
      <c r="NDO34" s="47"/>
      <c r="NDP34" s="47"/>
      <c r="NDQ34" s="47"/>
      <c r="NDR34" s="47"/>
      <c r="NDS34" s="47"/>
      <c r="NDT34" s="47"/>
      <c r="NDU34" s="47"/>
      <c r="NDV34" s="47"/>
      <c r="NDW34" s="47"/>
      <c r="NDX34" s="47"/>
      <c r="NDY34" s="47"/>
      <c r="NDZ34" s="47"/>
      <c r="NEA34" s="47"/>
      <c r="NEB34" s="47"/>
      <c r="NEC34" s="47"/>
      <c r="NED34" s="47"/>
      <c r="NEE34" s="47"/>
      <c r="NEF34" s="47"/>
      <c r="NEG34" s="47"/>
      <c r="NEH34" s="47"/>
      <c r="NEI34" s="47"/>
      <c r="NEJ34" s="47"/>
      <c r="NEK34" s="47"/>
      <c r="NEL34" s="47"/>
      <c r="NEM34" s="47"/>
      <c r="NEN34" s="47"/>
      <c r="NEO34" s="47"/>
      <c r="NEP34" s="47"/>
      <c r="NEQ34" s="47"/>
      <c r="NER34" s="47"/>
      <c r="NES34" s="47"/>
      <c r="NET34" s="47"/>
      <c r="NEU34" s="47"/>
      <c r="NEV34" s="47"/>
      <c r="NEW34" s="47"/>
      <c r="NEX34" s="47"/>
      <c r="NEY34" s="47"/>
      <c r="NEZ34" s="47"/>
      <c r="NFA34" s="47"/>
      <c r="NFB34" s="47"/>
      <c r="NFC34" s="47"/>
      <c r="NFD34" s="47"/>
      <c r="NFE34" s="47"/>
      <c r="NFF34" s="47"/>
      <c r="NFG34" s="47"/>
      <c r="NFH34" s="47"/>
      <c r="NFI34" s="47"/>
      <c r="NFJ34" s="47"/>
      <c r="NFK34" s="47"/>
      <c r="NFL34" s="47"/>
      <c r="NFM34" s="47"/>
      <c r="NFN34" s="47"/>
      <c r="NFO34" s="47"/>
      <c r="NFP34" s="47"/>
      <c r="NFQ34" s="47"/>
      <c r="NFR34" s="47"/>
      <c r="NFS34" s="47"/>
      <c r="NFT34" s="47"/>
      <c r="NFU34" s="47"/>
      <c r="NFV34" s="47"/>
      <c r="NFW34" s="47"/>
      <c r="NFX34" s="47"/>
      <c r="NFY34" s="47"/>
      <c r="NFZ34" s="47"/>
      <c r="NGA34" s="47"/>
      <c r="NGB34" s="47"/>
      <c r="NGC34" s="47"/>
      <c r="NGD34" s="47"/>
      <c r="NGE34" s="47"/>
      <c r="NGF34" s="47"/>
      <c r="NGG34" s="47"/>
      <c r="NGH34" s="47"/>
      <c r="NGI34" s="47"/>
      <c r="NGJ34" s="47"/>
      <c r="NGK34" s="47"/>
      <c r="NGL34" s="47"/>
      <c r="NGM34" s="47"/>
      <c r="NGN34" s="47"/>
      <c r="NGO34" s="47"/>
      <c r="NGP34" s="47"/>
      <c r="NGQ34" s="47"/>
      <c r="NGR34" s="47"/>
      <c r="NGS34" s="47"/>
      <c r="NGT34" s="47"/>
      <c r="NGU34" s="47"/>
      <c r="NGV34" s="47"/>
      <c r="NGW34" s="47"/>
      <c r="NGX34" s="47"/>
      <c r="NGY34" s="47"/>
      <c r="NGZ34" s="47"/>
      <c r="NHA34" s="47"/>
      <c r="NHB34" s="47"/>
      <c r="NHC34" s="47"/>
      <c r="NHD34" s="47"/>
      <c r="NHE34" s="47"/>
      <c r="NHF34" s="47"/>
      <c r="NHG34" s="47"/>
      <c r="NHH34" s="47"/>
      <c r="NHI34" s="47"/>
      <c r="NHJ34" s="47"/>
      <c r="NHK34" s="47"/>
      <c r="NHL34" s="47"/>
      <c r="NHM34" s="47"/>
      <c r="NHN34" s="47"/>
      <c r="NHO34" s="47"/>
      <c r="NHP34" s="47"/>
      <c r="NHQ34" s="47"/>
      <c r="NHR34" s="47"/>
      <c r="NHS34" s="47"/>
      <c r="NHT34" s="47"/>
      <c r="NHU34" s="47"/>
      <c r="NHV34" s="47"/>
      <c r="NHW34" s="47"/>
      <c r="NHX34" s="47"/>
      <c r="NHY34" s="47"/>
      <c r="NHZ34" s="47"/>
      <c r="NIA34" s="47"/>
      <c r="NIB34" s="47"/>
      <c r="NIC34" s="47"/>
      <c r="NID34" s="47"/>
      <c r="NIE34" s="47"/>
      <c r="NIF34" s="47"/>
      <c r="NIG34" s="47"/>
      <c r="NIH34" s="47"/>
      <c r="NII34" s="47"/>
      <c r="NIJ34" s="47"/>
      <c r="NIK34" s="47"/>
      <c r="NIL34" s="47"/>
      <c r="NIM34" s="47"/>
      <c r="NIN34" s="47"/>
      <c r="NIO34" s="47"/>
      <c r="NIP34" s="47"/>
      <c r="NIQ34" s="47"/>
      <c r="NIR34" s="47"/>
      <c r="NIS34" s="47"/>
      <c r="NIT34" s="47"/>
      <c r="NIU34" s="47"/>
      <c r="NIV34" s="47"/>
      <c r="NIW34" s="47"/>
      <c r="NIX34" s="47"/>
      <c r="NIY34" s="47"/>
      <c r="NIZ34" s="47"/>
      <c r="NJA34" s="47"/>
      <c r="NJB34" s="47"/>
      <c r="NJC34" s="47"/>
      <c r="NJD34" s="47"/>
      <c r="NJE34" s="47"/>
      <c r="NJF34" s="47"/>
      <c r="NJG34" s="47"/>
      <c r="NJH34" s="47"/>
      <c r="NJI34" s="47"/>
      <c r="NJJ34" s="47"/>
      <c r="NJK34" s="47"/>
      <c r="NJL34" s="47"/>
      <c r="NJM34" s="47"/>
      <c r="NJN34" s="47"/>
      <c r="NJO34" s="47"/>
      <c r="NJP34" s="47"/>
      <c r="NJQ34" s="47"/>
      <c r="NJR34" s="47"/>
      <c r="NJS34" s="47"/>
      <c r="NJT34" s="47"/>
      <c r="NJU34" s="47"/>
      <c r="NJV34" s="47"/>
      <c r="NJW34" s="47"/>
      <c r="NJX34" s="47"/>
      <c r="NJY34" s="47"/>
      <c r="NJZ34" s="47"/>
      <c r="NKA34" s="47"/>
      <c r="NKB34" s="47"/>
      <c r="NKC34" s="47"/>
      <c r="NKD34" s="47"/>
      <c r="NKE34" s="47"/>
      <c r="NKF34" s="47"/>
      <c r="NKG34" s="47"/>
      <c r="NKH34" s="47"/>
      <c r="NKI34" s="47"/>
      <c r="NKJ34" s="47"/>
      <c r="NKK34" s="47"/>
      <c r="NKL34" s="47"/>
      <c r="NKM34" s="47"/>
      <c r="NKN34" s="47"/>
      <c r="NKO34" s="47"/>
      <c r="NKP34" s="47"/>
      <c r="NKQ34" s="47"/>
      <c r="NKR34" s="47"/>
      <c r="NKS34" s="47"/>
      <c r="NKT34" s="47"/>
      <c r="NKU34" s="47"/>
      <c r="NKV34" s="47"/>
      <c r="NKW34" s="47"/>
      <c r="NKX34" s="47"/>
      <c r="NKY34" s="47"/>
      <c r="NKZ34" s="47"/>
      <c r="NLA34" s="47"/>
      <c r="NLB34" s="47"/>
      <c r="NLC34" s="47"/>
      <c r="NLD34" s="47"/>
      <c r="NLE34" s="47"/>
      <c r="NLF34" s="47"/>
      <c r="NLG34" s="47"/>
      <c r="NLH34" s="47"/>
      <c r="NLI34" s="47"/>
      <c r="NLJ34" s="47"/>
      <c r="NLK34" s="47"/>
      <c r="NLL34" s="47"/>
      <c r="NLM34" s="47"/>
      <c r="NLN34" s="47"/>
      <c r="NLO34" s="47"/>
      <c r="NLP34" s="47"/>
      <c r="NLQ34" s="47"/>
      <c r="NLR34" s="47"/>
      <c r="NLS34" s="47"/>
      <c r="NLT34" s="47"/>
      <c r="NLU34" s="47"/>
      <c r="NLV34" s="47"/>
      <c r="NLW34" s="47"/>
      <c r="NLX34" s="47"/>
      <c r="NLY34" s="47"/>
      <c r="NLZ34" s="47"/>
      <c r="NMA34" s="47"/>
      <c r="NMB34" s="47"/>
      <c r="NMC34" s="47"/>
      <c r="NMD34" s="47"/>
      <c r="NME34" s="47"/>
      <c r="NMF34" s="47"/>
      <c r="NMG34" s="47"/>
      <c r="NMH34" s="47"/>
      <c r="NMI34" s="47"/>
      <c r="NMJ34" s="47"/>
      <c r="NMK34" s="47"/>
      <c r="NML34" s="47"/>
      <c r="NMM34" s="47"/>
      <c r="NMN34" s="47"/>
      <c r="NMO34" s="47"/>
      <c r="NMP34" s="47"/>
      <c r="NMQ34" s="47"/>
      <c r="NMR34" s="47"/>
      <c r="NMS34" s="47"/>
      <c r="NMT34" s="47"/>
      <c r="NMU34" s="47"/>
      <c r="NMV34" s="47"/>
      <c r="NMW34" s="47"/>
      <c r="NMX34" s="47"/>
      <c r="NMY34" s="47"/>
      <c r="NMZ34" s="47"/>
      <c r="NNA34" s="47"/>
      <c r="NNB34" s="47"/>
      <c r="NNC34" s="47"/>
      <c r="NND34" s="47"/>
      <c r="NNE34" s="47"/>
      <c r="NNF34" s="47"/>
      <c r="NNG34" s="47"/>
      <c r="NNH34" s="47"/>
      <c r="NNI34" s="47"/>
      <c r="NNJ34" s="47"/>
      <c r="NNK34" s="47"/>
      <c r="NNL34" s="47"/>
      <c r="NNM34" s="47"/>
      <c r="NNN34" s="47"/>
      <c r="NNO34" s="47"/>
      <c r="NNP34" s="47"/>
      <c r="NNQ34" s="47"/>
      <c r="NNR34" s="47"/>
      <c r="NNS34" s="47"/>
      <c r="NNT34" s="47"/>
      <c r="NNU34" s="47"/>
      <c r="NNV34" s="47"/>
      <c r="NNW34" s="47"/>
      <c r="NNX34" s="47"/>
      <c r="NNY34" s="47"/>
      <c r="NNZ34" s="47"/>
      <c r="NOA34" s="47"/>
      <c r="NOB34" s="47"/>
      <c r="NOC34" s="47"/>
      <c r="NOD34" s="47"/>
      <c r="NOE34" s="47"/>
      <c r="NOF34" s="47"/>
      <c r="NOG34" s="47"/>
      <c r="NOH34" s="47"/>
      <c r="NOI34" s="47"/>
      <c r="NOJ34" s="47"/>
      <c r="NOK34" s="47"/>
      <c r="NOL34" s="47"/>
      <c r="NOM34" s="47"/>
      <c r="NON34" s="47"/>
      <c r="NOO34" s="47"/>
      <c r="NOP34" s="47"/>
      <c r="NOQ34" s="47"/>
      <c r="NOR34" s="47"/>
      <c r="NOS34" s="47"/>
      <c r="NOT34" s="47"/>
      <c r="NOU34" s="47"/>
      <c r="NOV34" s="47"/>
      <c r="NOW34" s="47"/>
      <c r="NOX34" s="47"/>
      <c r="NOY34" s="47"/>
      <c r="NOZ34" s="47"/>
      <c r="NPA34" s="47"/>
      <c r="NPB34" s="47"/>
      <c r="NPC34" s="47"/>
      <c r="NPD34" s="47"/>
      <c r="NPE34" s="47"/>
      <c r="NPF34" s="47"/>
      <c r="NPG34" s="47"/>
      <c r="NPH34" s="47"/>
      <c r="NPI34" s="47"/>
      <c r="NPJ34" s="47"/>
      <c r="NPK34" s="47"/>
      <c r="NPL34" s="47"/>
      <c r="NPM34" s="47"/>
      <c r="NPN34" s="47"/>
      <c r="NPO34" s="47"/>
      <c r="NPP34" s="47"/>
      <c r="NPQ34" s="47"/>
      <c r="NPR34" s="47"/>
      <c r="NPS34" s="47"/>
      <c r="NPT34" s="47"/>
      <c r="NPU34" s="47"/>
      <c r="NPV34" s="47"/>
      <c r="NPW34" s="47"/>
      <c r="NPX34" s="47"/>
      <c r="NPY34" s="47"/>
      <c r="NPZ34" s="47"/>
      <c r="NQA34" s="47"/>
      <c r="NQB34" s="47"/>
      <c r="NQC34" s="47"/>
      <c r="NQD34" s="47"/>
      <c r="NQE34" s="47"/>
      <c r="NQF34" s="47"/>
      <c r="NQG34" s="47"/>
      <c r="NQH34" s="47"/>
      <c r="NQI34" s="47"/>
      <c r="NQJ34" s="47"/>
      <c r="NQK34" s="47"/>
      <c r="NQL34" s="47"/>
      <c r="NQM34" s="47"/>
      <c r="NQN34" s="47"/>
      <c r="NQO34" s="47"/>
      <c r="NQP34" s="47"/>
      <c r="NQQ34" s="47"/>
      <c r="NQR34" s="47"/>
      <c r="NQS34" s="47"/>
      <c r="NQT34" s="47"/>
      <c r="NQU34" s="47"/>
      <c r="NQV34" s="47"/>
      <c r="NQW34" s="47"/>
      <c r="NQX34" s="47"/>
      <c r="NQY34" s="47"/>
      <c r="NQZ34" s="47"/>
      <c r="NRA34" s="47"/>
      <c r="NRB34" s="47"/>
      <c r="NRC34" s="47"/>
      <c r="NRD34" s="47"/>
      <c r="NRE34" s="47"/>
      <c r="NRF34" s="47"/>
      <c r="NRG34" s="47"/>
      <c r="NRH34" s="47"/>
      <c r="NRI34" s="47"/>
      <c r="NRJ34" s="47"/>
      <c r="NRK34" s="47"/>
      <c r="NRL34" s="47"/>
      <c r="NRM34" s="47"/>
      <c r="NRN34" s="47"/>
      <c r="NRO34" s="47"/>
      <c r="NRP34" s="47"/>
      <c r="NRQ34" s="47"/>
      <c r="NRR34" s="47"/>
      <c r="NRS34" s="47"/>
      <c r="NRT34" s="47"/>
      <c r="NRU34" s="47"/>
      <c r="NRV34" s="47"/>
      <c r="NRW34" s="47"/>
      <c r="NRX34" s="47"/>
      <c r="NRY34" s="47"/>
      <c r="NRZ34" s="47"/>
      <c r="NSA34" s="47"/>
      <c r="NSB34" s="47"/>
      <c r="NSC34" s="47"/>
      <c r="NSD34" s="47"/>
      <c r="NSE34" s="47"/>
      <c r="NSF34" s="47"/>
      <c r="NSG34" s="47"/>
      <c r="NSH34" s="47"/>
      <c r="NSI34" s="47"/>
      <c r="NSJ34" s="47"/>
      <c r="NSK34" s="47"/>
      <c r="NSL34" s="47"/>
      <c r="NSM34" s="47"/>
      <c r="NSN34" s="47"/>
      <c r="NSO34" s="47"/>
      <c r="NSP34" s="47"/>
      <c r="NSQ34" s="47"/>
      <c r="NSR34" s="47"/>
      <c r="NSS34" s="47"/>
      <c r="NST34" s="47"/>
      <c r="NSU34" s="47"/>
      <c r="NSV34" s="47"/>
      <c r="NSW34" s="47"/>
      <c r="NSX34" s="47"/>
      <c r="NSY34" s="47"/>
      <c r="NSZ34" s="47"/>
      <c r="NTA34" s="47"/>
      <c r="NTB34" s="47"/>
      <c r="NTC34" s="47"/>
      <c r="NTD34" s="47"/>
      <c r="NTE34" s="47"/>
      <c r="NTF34" s="47"/>
      <c r="NTG34" s="47"/>
      <c r="NTH34" s="47"/>
      <c r="NTI34" s="47"/>
      <c r="NTJ34" s="47"/>
      <c r="NTK34" s="47"/>
      <c r="NTL34" s="47"/>
      <c r="NTM34" s="47"/>
      <c r="NTN34" s="47"/>
      <c r="NTO34" s="47"/>
      <c r="NTP34" s="47"/>
      <c r="NTQ34" s="47"/>
      <c r="NTR34" s="47"/>
      <c r="NTS34" s="47"/>
      <c r="NTT34" s="47"/>
      <c r="NTU34" s="47"/>
      <c r="NTV34" s="47"/>
      <c r="NTW34" s="47"/>
      <c r="NTX34" s="47"/>
      <c r="NTY34" s="47"/>
      <c r="NTZ34" s="47"/>
      <c r="NUA34" s="47"/>
      <c r="NUB34" s="47"/>
      <c r="NUC34" s="47"/>
      <c r="NUD34" s="47"/>
      <c r="NUE34" s="47"/>
      <c r="NUF34" s="47"/>
      <c r="NUG34" s="47"/>
      <c r="NUH34" s="47"/>
      <c r="NUI34" s="47"/>
      <c r="NUJ34" s="47"/>
      <c r="NUK34" s="47"/>
      <c r="NUL34" s="47"/>
      <c r="NUM34" s="47"/>
      <c r="NUN34" s="47"/>
      <c r="NUO34" s="47"/>
      <c r="NUP34" s="47"/>
      <c r="NUQ34" s="47"/>
      <c r="NUR34" s="47"/>
      <c r="NUS34" s="47"/>
      <c r="NUT34" s="47"/>
      <c r="NUU34" s="47"/>
      <c r="NUV34" s="47"/>
      <c r="NUW34" s="47"/>
      <c r="NUX34" s="47"/>
      <c r="NUY34" s="47"/>
      <c r="NUZ34" s="47"/>
      <c r="NVA34" s="47"/>
      <c r="NVB34" s="47"/>
      <c r="NVC34" s="47"/>
      <c r="NVD34" s="47"/>
      <c r="NVE34" s="47"/>
      <c r="NVF34" s="47"/>
      <c r="NVG34" s="47"/>
      <c r="NVH34" s="47"/>
      <c r="NVI34" s="47"/>
      <c r="NVJ34" s="47"/>
      <c r="NVK34" s="47"/>
      <c r="NVL34" s="47"/>
      <c r="NVM34" s="47"/>
      <c r="NVN34" s="47"/>
      <c r="NVO34" s="47"/>
      <c r="NVP34" s="47"/>
      <c r="NVQ34" s="47"/>
      <c r="NVR34" s="47"/>
      <c r="NVS34" s="47"/>
      <c r="NVT34" s="47"/>
      <c r="NVU34" s="47"/>
      <c r="NVV34" s="47"/>
      <c r="NVW34" s="47"/>
      <c r="NVX34" s="47"/>
      <c r="NVY34" s="47"/>
      <c r="NVZ34" s="47"/>
      <c r="NWA34" s="47"/>
      <c r="NWB34" s="47"/>
      <c r="NWC34" s="47"/>
      <c r="NWD34" s="47"/>
      <c r="NWE34" s="47"/>
      <c r="NWF34" s="47"/>
      <c r="NWG34" s="47"/>
      <c r="NWH34" s="47"/>
      <c r="NWI34" s="47"/>
      <c r="NWJ34" s="47"/>
      <c r="NWK34" s="47"/>
      <c r="NWL34" s="47"/>
      <c r="NWM34" s="47"/>
      <c r="NWN34" s="47"/>
      <c r="NWO34" s="47"/>
      <c r="NWP34" s="47"/>
      <c r="NWQ34" s="47"/>
      <c r="NWR34" s="47"/>
      <c r="NWS34" s="47"/>
      <c r="NWT34" s="47"/>
      <c r="NWU34" s="47"/>
      <c r="NWV34" s="47"/>
      <c r="NWW34" s="47"/>
      <c r="NWX34" s="47"/>
      <c r="NWY34" s="47"/>
      <c r="NWZ34" s="47"/>
      <c r="NXA34" s="47"/>
      <c r="NXB34" s="47"/>
      <c r="NXC34" s="47"/>
      <c r="NXD34" s="47"/>
      <c r="NXE34" s="47"/>
      <c r="NXF34" s="47"/>
      <c r="NXG34" s="47"/>
      <c r="NXH34" s="47"/>
      <c r="NXI34" s="47"/>
      <c r="NXJ34" s="47"/>
      <c r="NXK34" s="47"/>
      <c r="NXL34" s="47"/>
      <c r="NXM34" s="47"/>
      <c r="NXN34" s="47"/>
      <c r="NXO34" s="47"/>
      <c r="NXP34" s="47"/>
      <c r="NXQ34" s="47"/>
      <c r="NXR34" s="47"/>
      <c r="NXS34" s="47"/>
      <c r="NXT34" s="47"/>
      <c r="NXU34" s="47"/>
      <c r="NXV34" s="47"/>
      <c r="NXW34" s="47"/>
      <c r="NXX34" s="47"/>
      <c r="NXY34" s="47"/>
      <c r="NXZ34" s="47"/>
      <c r="NYA34" s="47"/>
      <c r="NYB34" s="47"/>
      <c r="NYC34" s="47"/>
      <c r="NYD34" s="47"/>
      <c r="NYE34" s="47"/>
      <c r="NYF34" s="47"/>
      <c r="NYG34" s="47"/>
      <c r="NYH34" s="47"/>
      <c r="NYI34" s="47"/>
      <c r="NYJ34" s="47"/>
      <c r="NYK34" s="47"/>
      <c r="NYL34" s="47"/>
      <c r="NYM34" s="47"/>
      <c r="NYN34" s="47"/>
      <c r="NYO34" s="47"/>
      <c r="NYP34" s="47"/>
      <c r="NYQ34" s="47"/>
      <c r="NYR34" s="47"/>
      <c r="NYS34" s="47"/>
      <c r="NYT34" s="47"/>
      <c r="NYU34" s="47"/>
      <c r="NYV34" s="47"/>
      <c r="NYW34" s="47"/>
      <c r="NYX34" s="47"/>
      <c r="NYY34" s="47"/>
      <c r="NYZ34" s="47"/>
      <c r="NZA34" s="47"/>
      <c r="NZB34" s="47"/>
      <c r="NZC34" s="47"/>
      <c r="NZD34" s="47"/>
      <c r="NZE34" s="47"/>
      <c r="NZF34" s="47"/>
      <c r="NZG34" s="47"/>
      <c r="NZH34" s="47"/>
      <c r="NZI34" s="47"/>
      <c r="NZJ34" s="47"/>
      <c r="NZK34" s="47"/>
      <c r="NZL34" s="47"/>
      <c r="NZM34" s="47"/>
      <c r="NZN34" s="47"/>
      <c r="NZO34" s="47"/>
      <c r="NZP34" s="47"/>
      <c r="NZQ34" s="47"/>
      <c r="NZR34" s="47"/>
      <c r="NZS34" s="47"/>
      <c r="NZT34" s="47"/>
      <c r="NZU34" s="47"/>
      <c r="NZV34" s="47"/>
      <c r="NZW34" s="47"/>
      <c r="NZX34" s="47"/>
      <c r="NZY34" s="47"/>
      <c r="NZZ34" s="47"/>
      <c r="OAA34" s="47"/>
      <c r="OAB34" s="47"/>
      <c r="OAC34" s="47"/>
      <c r="OAD34" s="47"/>
      <c r="OAE34" s="47"/>
      <c r="OAF34" s="47"/>
      <c r="OAG34" s="47"/>
      <c r="OAH34" s="47"/>
      <c r="OAI34" s="47"/>
      <c r="OAJ34" s="47"/>
      <c r="OAK34" s="47"/>
      <c r="OAL34" s="47"/>
      <c r="OAM34" s="47"/>
      <c r="OAN34" s="47"/>
      <c r="OAO34" s="47"/>
      <c r="OAP34" s="47"/>
      <c r="OAQ34" s="47"/>
      <c r="OAR34" s="47"/>
      <c r="OAS34" s="47"/>
      <c r="OAT34" s="47"/>
      <c r="OAU34" s="47"/>
      <c r="OAV34" s="47"/>
      <c r="OAW34" s="47"/>
      <c r="OAX34" s="47"/>
      <c r="OAY34" s="47"/>
      <c r="OAZ34" s="47"/>
      <c r="OBA34" s="47"/>
      <c r="OBB34" s="47"/>
      <c r="OBC34" s="47"/>
      <c r="OBD34" s="47"/>
      <c r="OBE34" s="47"/>
      <c r="OBF34" s="47"/>
      <c r="OBG34" s="47"/>
      <c r="OBH34" s="47"/>
      <c r="OBI34" s="47"/>
      <c r="OBJ34" s="47"/>
      <c r="OBK34" s="47"/>
      <c r="OBL34" s="47"/>
      <c r="OBM34" s="47"/>
      <c r="OBN34" s="47"/>
      <c r="OBO34" s="47"/>
      <c r="OBP34" s="47"/>
      <c r="OBQ34" s="47"/>
      <c r="OBR34" s="47"/>
      <c r="OBS34" s="47"/>
      <c r="OBT34" s="47"/>
      <c r="OBU34" s="47"/>
      <c r="OBV34" s="47"/>
      <c r="OBW34" s="47"/>
      <c r="OBX34" s="47"/>
      <c r="OBY34" s="47"/>
      <c r="OBZ34" s="47"/>
      <c r="OCA34" s="47"/>
      <c r="OCB34" s="47"/>
      <c r="OCC34" s="47"/>
      <c r="OCD34" s="47"/>
      <c r="OCE34" s="47"/>
      <c r="OCF34" s="47"/>
      <c r="OCG34" s="47"/>
      <c r="OCH34" s="47"/>
      <c r="OCI34" s="47"/>
      <c r="OCJ34" s="47"/>
      <c r="OCK34" s="47"/>
      <c r="OCL34" s="47"/>
      <c r="OCM34" s="47"/>
      <c r="OCN34" s="47"/>
      <c r="OCO34" s="47"/>
      <c r="OCP34" s="47"/>
      <c r="OCQ34" s="47"/>
      <c r="OCR34" s="47"/>
      <c r="OCS34" s="47"/>
      <c r="OCT34" s="47"/>
      <c r="OCU34" s="47"/>
      <c r="OCV34" s="47"/>
      <c r="OCW34" s="47"/>
      <c r="OCX34" s="47"/>
      <c r="OCY34" s="47"/>
      <c r="OCZ34" s="47"/>
      <c r="ODA34" s="47"/>
      <c r="ODB34" s="47"/>
      <c r="ODC34" s="47"/>
      <c r="ODD34" s="47"/>
      <c r="ODE34" s="47"/>
      <c r="ODF34" s="47"/>
      <c r="ODG34" s="47"/>
      <c r="ODH34" s="47"/>
      <c r="ODI34" s="47"/>
      <c r="ODJ34" s="47"/>
      <c r="ODK34" s="47"/>
      <c r="ODL34" s="47"/>
      <c r="ODM34" s="47"/>
      <c r="ODN34" s="47"/>
      <c r="ODO34" s="47"/>
      <c r="ODP34" s="47"/>
      <c r="ODQ34" s="47"/>
      <c r="ODR34" s="47"/>
      <c r="ODS34" s="47"/>
      <c r="ODT34" s="47"/>
      <c r="ODU34" s="47"/>
      <c r="ODV34" s="47"/>
      <c r="ODW34" s="47"/>
      <c r="ODX34" s="47"/>
      <c r="ODY34" s="47"/>
      <c r="ODZ34" s="47"/>
      <c r="OEA34" s="47"/>
      <c r="OEB34" s="47"/>
      <c r="OEC34" s="47"/>
      <c r="OED34" s="47"/>
      <c r="OEE34" s="47"/>
      <c r="OEF34" s="47"/>
      <c r="OEG34" s="47"/>
      <c r="OEH34" s="47"/>
      <c r="OEI34" s="47"/>
      <c r="OEJ34" s="47"/>
      <c r="OEK34" s="47"/>
      <c r="OEL34" s="47"/>
      <c r="OEM34" s="47"/>
      <c r="OEN34" s="47"/>
      <c r="OEO34" s="47"/>
      <c r="OEP34" s="47"/>
      <c r="OEQ34" s="47"/>
      <c r="OER34" s="47"/>
      <c r="OES34" s="47"/>
      <c r="OET34" s="47"/>
      <c r="OEU34" s="47"/>
      <c r="OEV34" s="47"/>
      <c r="OEW34" s="47"/>
      <c r="OEX34" s="47"/>
      <c r="OEY34" s="47"/>
      <c r="OEZ34" s="47"/>
      <c r="OFA34" s="47"/>
      <c r="OFB34" s="47"/>
      <c r="OFC34" s="47"/>
      <c r="OFD34" s="47"/>
      <c r="OFE34" s="47"/>
      <c r="OFF34" s="47"/>
      <c r="OFG34" s="47"/>
      <c r="OFH34" s="47"/>
      <c r="OFI34" s="47"/>
      <c r="OFJ34" s="47"/>
      <c r="OFK34" s="47"/>
      <c r="OFL34" s="47"/>
      <c r="OFM34" s="47"/>
      <c r="OFN34" s="47"/>
      <c r="OFO34" s="47"/>
      <c r="OFP34" s="47"/>
      <c r="OFQ34" s="47"/>
      <c r="OFR34" s="47"/>
      <c r="OFS34" s="47"/>
      <c r="OFT34" s="47"/>
      <c r="OFU34" s="47"/>
      <c r="OFV34" s="47"/>
      <c r="OFW34" s="47"/>
      <c r="OFX34" s="47"/>
      <c r="OFY34" s="47"/>
      <c r="OFZ34" s="47"/>
      <c r="OGA34" s="47"/>
      <c r="OGB34" s="47"/>
      <c r="OGC34" s="47"/>
      <c r="OGD34" s="47"/>
      <c r="OGE34" s="47"/>
      <c r="OGF34" s="47"/>
      <c r="OGG34" s="47"/>
      <c r="OGH34" s="47"/>
      <c r="OGI34" s="47"/>
      <c r="OGJ34" s="47"/>
      <c r="OGK34" s="47"/>
      <c r="OGL34" s="47"/>
      <c r="OGM34" s="47"/>
      <c r="OGN34" s="47"/>
      <c r="OGO34" s="47"/>
      <c r="OGP34" s="47"/>
      <c r="OGQ34" s="47"/>
      <c r="OGR34" s="47"/>
      <c r="OGS34" s="47"/>
      <c r="OGT34" s="47"/>
      <c r="OGU34" s="47"/>
      <c r="OGV34" s="47"/>
      <c r="OGW34" s="47"/>
      <c r="OGX34" s="47"/>
      <c r="OGY34" s="47"/>
      <c r="OGZ34" s="47"/>
      <c r="OHA34" s="47"/>
      <c r="OHB34" s="47"/>
      <c r="OHC34" s="47"/>
      <c r="OHD34" s="47"/>
      <c r="OHE34" s="47"/>
      <c r="OHF34" s="47"/>
      <c r="OHG34" s="47"/>
      <c r="OHH34" s="47"/>
      <c r="OHI34" s="47"/>
      <c r="OHJ34" s="47"/>
      <c r="OHK34" s="47"/>
      <c r="OHL34" s="47"/>
      <c r="OHM34" s="47"/>
      <c r="OHN34" s="47"/>
      <c r="OHO34" s="47"/>
      <c r="OHP34" s="47"/>
      <c r="OHQ34" s="47"/>
      <c r="OHR34" s="47"/>
      <c r="OHS34" s="47"/>
      <c r="OHT34" s="47"/>
      <c r="OHU34" s="47"/>
      <c r="OHV34" s="47"/>
      <c r="OHW34" s="47"/>
      <c r="OHX34" s="47"/>
      <c r="OHY34" s="47"/>
      <c r="OHZ34" s="47"/>
      <c r="OIA34" s="47"/>
      <c r="OIB34" s="47"/>
      <c r="OIC34" s="47"/>
      <c r="OID34" s="47"/>
      <c r="OIE34" s="47"/>
      <c r="OIF34" s="47"/>
      <c r="OIG34" s="47"/>
      <c r="OIH34" s="47"/>
      <c r="OII34" s="47"/>
      <c r="OIJ34" s="47"/>
      <c r="OIK34" s="47"/>
      <c r="OIL34" s="47"/>
      <c r="OIM34" s="47"/>
      <c r="OIN34" s="47"/>
      <c r="OIO34" s="47"/>
      <c r="OIP34" s="47"/>
      <c r="OIQ34" s="47"/>
      <c r="OIR34" s="47"/>
      <c r="OIS34" s="47"/>
      <c r="OIT34" s="47"/>
      <c r="OIU34" s="47"/>
      <c r="OIV34" s="47"/>
      <c r="OIW34" s="47"/>
      <c r="OIX34" s="47"/>
      <c r="OIY34" s="47"/>
      <c r="OIZ34" s="47"/>
      <c r="OJA34" s="47"/>
      <c r="OJB34" s="47"/>
      <c r="OJC34" s="47"/>
      <c r="OJD34" s="47"/>
      <c r="OJE34" s="47"/>
      <c r="OJF34" s="47"/>
      <c r="OJG34" s="47"/>
      <c r="OJH34" s="47"/>
      <c r="OJI34" s="47"/>
      <c r="OJJ34" s="47"/>
      <c r="OJK34" s="47"/>
      <c r="OJL34" s="47"/>
      <c r="OJM34" s="47"/>
      <c r="OJN34" s="47"/>
      <c r="OJO34" s="47"/>
      <c r="OJP34" s="47"/>
      <c r="OJQ34" s="47"/>
      <c r="OJR34" s="47"/>
      <c r="OJS34" s="47"/>
      <c r="OJT34" s="47"/>
      <c r="OJU34" s="47"/>
      <c r="OJV34" s="47"/>
      <c r="OJW34" s="47"/>
      <c r="OJX34" s="47"/>
      <c r="OJY34" s="47"/>
      <c r="OJZ34" s="47"/>
      <c r="OKA34" s="47"/>
      <c r="OKB34" s="47"/>
      <c r="OKC34" s="47"/>
      <c r="OKD34" s="47"/>
      <c r="OKE34" s="47"/>
      <c r="OKF34" s="47"/>
      <c r="OKG34" s="47"/>
      <c r="OKH34" s="47"/>
      <c r="OKI34" s="47"/>
      <c r="OKJ34" s="47"/>
      <c r="OKK34" s="47"/>
      <c r="OKL34" s="47"/>
      <c r="OKM34" s="47"/>
      <c r="OKN34" s="47"/>
      <c r="OKO34" s="47"/>
      <c r="OKP34" s="47"/>
      <c r="OKQ34" s="47"/>
      <c r="OKR34" s="47"/>
      <c r="OKS34" s="47"/>
      <c r="OKT34" s="47"/>
      <c r="OKU34" s="47"/>
      <c r="OKV34" s="47"/>
      <c r="OKW34" s="47"/>
      <c r="OKX34" s="47"/>
      <c r="OKY34" s="47"/>
      <c r="OKZ34" s="47"/>
      <c r="OLA34" s="47"/>
      <c r="OLB34" s="47"/>
      <c r="OLC34" s="47"/>
      <c r="OLD34" s="47"/>
      <c r="OLE34" s="47"/>
      <c r="OLF34" s="47"/>
      <c r="OLG34" s="47"/>
      <c r="OLH34" s="47"/>
      <c r="OLI34" s="47"/>
      <c r="OLJ34" s="47"/>
      <c r="OLK34" s="47"/>
      <c r="OLL34" s="47"/>
      <c r="OLM34" s="47"/>
      <c r="OLN34" s="47"/>
      <c r="OLO34" s="47"/>
      <c r="OLP34" s="47"/>
      <c r="OLQ34" s="47"/>
      <c r="OLR34" s="47"/>
      <c r="OLS34" s="47"/>
      <c r="OLT34" s="47"/>
      <c r="OLU34" s="47"/>
      <c r="OLV34" s="47"/>
      <c r="OLW34" s="47"/>
      <c r="OLX34" s="47"/>
      <c r="OLY34" s="47"/>
      <c r="OLZ34" s="47"/>
      <c r="OMA34" s="47"/>
      <c r="OMB34" s="47"/>
      <c r="OMC34" s="47"/>
      <c r="OMD34" s="47"/>
      <c r="OME34" s="47"/>
      <c r="OMF34" s="47"/>
      <c r="OMG34" s="47"/>
      <c r="OMH34" s="47"/>
      <c r="OMI34" s="47"/>
      <c r="OMJ34" s="47"/>
      <c r="OMK34" s="47"/>
      <c r="OML34" s="47"/>
      <c r="OMM34" s="47"/>
      <c r="OMN34" s="47"/>
      <c r="OMO34" s="47"/>
      <c r="OMP34" s="47"/>
      <c r="OMQ34" s="47"/>
      <c r="OMR34" s="47"/>
      <c r="OMS34" s="47"/>
      <c r="OMT34" s="47"/>
      <c r="OMU34" s="47"/>
      <c r="OMV34" s="47"/>
      <c r="OMW34" s="47"/>
      <c r="OMX34" s="47"/>
      <c r="OMY34" s="47"/>
      <c r="OMZ34" s="47"/>
      <c r="ONA34" s="47"/>
      <c r="ONB34" s="47"/>
      <c r="ONC34" s="47"/>
      <c r="OND34" s="47"/>
      <c r="ONE34" s="47"/>
      <c r="ONF34" s="47"/>
      <c r="ONG34" s="47"/>
      <c r="ONH34" s="47"/>
      <c r="ONI34" s="47"/>
      <c r="ONJ34" s="47"/>
      <c r="ONK34" s="47"/>
      <c r="ONL34" s="47"/>
      <c r="ONM34" s="47"/>
      <c r="ONN34" s="47"/>
      <c r="ONO34" s="47"/>
      <c r="ONP34" s="47"/>
      <c r="ONQ34" s="47"/>
      <c r="ONR34" s="47"/>
      <c r="ONS34" s="47"/>
      <c r="ONT34" s="47"/>
      <c r="ONU34" s="47"/>
      <c r="ONV34" s="47"/>
      <c r="ONW34" s="47"/>
      <c r="ONX34" s="47"/>
      <c r="ONY34" s="47"/>
      <c r="ONZ34" s="47"/>
      <c r="OOA34" s="47"/>
      <c r="OOB34" s="47"/>
      <c r="OOC34" s="47"/>
      <c r="OOD34" s="47"/>
      <c r="OOE34" s="47"/>
      <c r="OOF34" s="47"/>
      <c r="OOG34" s="47"/>
      <c r="OOH34" s="47"/>
      <c r="OOI34" s="47"/>
      <c r="OOJ34" s="47"/>
      <c r="OOK34" s="47"/>
      <c r="OOL34" s="47"/>
      <c r="OOM34" s="47"/>
      <c r="OON34" s="47"/>
      <c r="OOO34" s="47"/>
      <c r="OOP34" s="47"/>
      <c r="OOQ34" s="47"/>
      <c r="OOR34" s="47"/>
      <c r="OOS34" s="47"/>
      <c r="OOT34" s="47"/>
      <c r="OOU34" s="47"/>
      <c r="OOV34" s="47"/>
      <c r="OOW34" s="47"/>
      <c r="OOX34" s="47"/>
      <c r="OOY34" s="47"/>
      <c r="OOZ34" s="47"/>
      <c r="OPA34" s="47"/>
      <c r="OPB34" s="47"/>
      <c r="OPC34" s="47"/>
      <c r="OPD34" s="47"/>
      <c r="OPE34" s="47"/>
      <c r="OPF34" s="47"/>
      <c r="OPG34" s="47"/>
      <c r="OPH34" s="47"/>
      <c r="OPI34" s="47"/>
      <c r="OPJ34" s="47"/>
      <c r="OPK34" s="47"/>
      <c r="OPL34" s="47"/>
      <c r="OPM34" s="47"/>
      <c r="OPN34" s="47"/>
      <c r="OPO34" s="47"/>
      <c r="OPP34" s="47"/>
      <c r="OPQ34" s="47"/>
      <c r="OPR34" s="47"/>
      <c r="OPS34" s="47"/>
      <c r="OPT34" s="47"/>
      <c r="OPU34" s="47"/>
      <c r="OPV34" s="47"/>
      <c r="OPW34" s="47"/>
      <c r="OPX34" s="47"/>
      <c r="OPY34" s="47"/>
      <c r="OPZ34" s="47"/>
      <c r="OQA34" s="47"/>
      <c r="OQB34" s="47"/>
      <c r="OQC34" s="47"/>
      <c r="OQD34" s="47"/>
      <c r="OQE34" s="47"/>
      <c r="OQF34" s="47"/>
      <c r="OQG34" s="47"/>
      <c r="OQH34" s="47"/>
      <c r="OQI34" s="47"/>
      <c r="OQJ34" s="47"/>
      <c r="OQK34" s="47"/>
      <c r="OQL34" s="47"/>
      <c r="OQM34" s="47"/>
      <c r="OQN34" s="47"/>
      <c r="OQO34" s="47"/>
      <c r="OQP34" s="47"/>
      <c r="OQQ34" s="47"/>
      <c r="OQR34" s="47"/>
      <c r="OQS34" s="47"/>
      <c r="OQT34" s="47"/>
      <c r="OQU34" s="47"/>
      <c r="OQV34" s="47"/>
      <c r="OQW34" s="47"/>
      <c r="OQX34" s="47"/>
      <c r="OQY34" s="47"/>
      <c r="OQZ34" s="47"/>
      <c r="ORA34" s="47"/>
      <c r="ORB34" s="47"/>
      <c r="ORC34" s="47"/>
      <c r="ORD34" s="47"/>
      <c r="ORE34" s="47"/>
      <c r="ORF34" s="47"/>
      <c r="ORG34" s="47"/>
      <c r="ORH34" s="47"/>
      <c r="ORI34" s="47"/>
      <c r="ORJ34" s="47"/>
      <c r="ORK34" s="47"/>
      <c r="ORL34" s="47"/>
      <c r="ORM34" s="47"/>
      <c r="ORN34" s="47"/>
      <c r="ORO34" s="47"/>
      <c r="ORP34" s="47"/>
      <c r="ORQ34" s="47"/>
      <c r="ORR34" s="47"/>
      <c r="ORS34" s="47"/>
      <c r="ORT34" s="47"/>
      <c r="ORU34" s="47"/>
      <c r="ORV34" s="47"/>
      <c r="ORW34" s="47"/>
      <c r="ORX34" s="47"/>
      <c r="ORY34" s="47"/>
      <c r="ORZ34" s="47"/>
      <c r="OSA34" s="47"/>
      <c r="OSB34" s="47"/>
      <c r="OSC34" s="47"/>
      <c r="OSD34" s="47"/>
      <c r="OSE34" s="47"/>
      <c r="OSF34" s="47"/>
      <c r="OSG34" s="47"/>
      <c r="OSH34" s="47"/>
      <c r="OSI34" s="47"/>
      <c r="OSJ34" s="47"/>
      <c r="OSK34" s="47"/>
      <c r="OSL34" s="47"/>
      <c r="OSM34" s="47"/>
      <c r="OSN34" s="47"/>
      <c r="OSO34" s="47"/>
      <c r="OSP34" s="47"/>
      <c r="OSQ34" s="47"/>
      <c r="OSR34" s="47"/>
      <c r="OSS34" s="47"/>
      <c r="OST34" s="47"/>
      <c r="OSU34" s="47"/>
      <c r="OSV34" s="47"/>
      <c r="OSW34" s="47"/>
      <c r="OSX34" s="47"/>
      <c r="OSY34" s="47"/>
      <c r="OSZ34" s="47"/>
      <c r="OTA34" s="47"/>
      <c r="OTB34" s="47"/>
      <c r="OTC34" s="47"/>
      <c r="OTD34" s="47"/>
      <c r="OTE34" s="47"/>
      <c r="OTF34" s="47"/>
      <c r="OTG34" s="47"/>
      <c r="OTH34" s="47"/>
      <c r="OTI34" s="47"/>
      <c r="OTJ34" s="47"/>
      <c r="OTK34" s="47"/>
      <c r="OTL34" s="47"/>
      <c r="OTM34" s="47"/>
      <c r="OTN34" s="47"/>
      <c r="OTO34" s="47"/>
      <c r="OTP34" s="47"/>
      <c r="OTQ34" s="47"/>
      <c r="OTR34" s="47"/>
      <c r="OTS34" s="47"/>
      <c r="OTT34" s="47"/>
      <c r="OTU34" s="47"/>
      <c r="OTV34" s="47"/>
      <c r="OTW34" s="47"/>
      <c r="OTX34" s="47"/>
      <c r="OTY34" s="47"/>
      <c r="OTZ34" s="47"/>
      <c r="OUA34" s="47"/>
      <c r="OUB34" s="47"/>
      <c r="OUC34" s="47"/>
      <c r="OUD34" s="47"/>
      <c r="OUE34" s="47"/>
      <c r="OUF34" s="47"/>
      <c r="OUG34" s="47"/>
      <c r="OUH34" s="47"/>
      <c r="OUI34" s="47"/>
      <c r="OUJ34" s="47"/>
      <c r="OUK34" s="47"/>
      <c r="OUL34" s="47"/>
      <c r="OUM34" s="47"/>
      <c r="OUN34" s="47"/>
      <c r="OUO34" s="47"/>
      <c r="OUP34" s="47"/>
      <c r="OUQ34" s="47"/>
      <c r="OUR34" s="47"/>
      <c r="OUS34" s="47"/>
      <c r="OUT34" s="47"/>
      <c r="OUU34" s="47"/>
      <c r="OUV34" s="47"/>
      <c r="OUW34" s="47"/>
      <c r="OUX34" s="47"/>
      <c r="OUY34" s="47"/>
      <c r="OUZ34" s="47"/>
      <c r="OVA34" s="47"/>
      <c r="OVB34" s="47"/>
      <c r="OVC34" s="47"/>
      <c r="OVD34" s="47"/>
      <c r="OVE34" s="47"/>
      <c r="OVF34" s="47"/>
      <c r="OVG34" s="47"/>
      <c r="OVH34" s="47"/>
      <c r="OVI34" s="47"/>
      <c r="OVJ34" s="47"/>
      <c r="OVK34" s="47"/>
      <c r="OVL34" s="47"/>
      <c r="OVM34" s="47"/>
      <c r="OVN34" s="47"/>
      <c r="OVO34" s="47"/>
      <c r="OVP34" s="47"/>
      <c r="OVQ34" s="47"/>
      <c r="OVR34" s="47"/>
      <c r="OVS34" s="47"/>
      <c r="OVT34" s="47"/>
      <c r="OVU34" s="47"/>
      <c r="OVV34" s="47"/>
      <c r="OVW34" s="47"/>
      <c r="OVX34" s="47"/>
      <c r="OVY34" s="47"/>
      <c r="OVZ34" s="47"/>
      <c r="OWA34" s="47"/>
      <c r="OWB34" s="47"/>
      <c r="OWC34" s="47"/>
      <c r="OWD34" s="47"/>
      <c r="OWE34" s="47"/>
      <c r="OWF34" s="47"/>
      <c r="OWG34" s="47"/>
      <c r="OWH34" s="47"/>
      <c r="OWI34" s="47"/>
      <c r="OWJ34" s="47"/>
      <c r="OWK34" s="47"/>
      <c r="OWL34" s="47"/>
      <c r="OWM34" s="47"/>
      <c r="OWN34" s="47"/>
      <c r="OWO34" s="47"/>
      <c r="OWP34" s="47"/>
      <c r="OWQ34" s="47"/>
      <c r="OWR34" s="47"/>
      <c r="OWS34" s="47"/>
      <c r="OWT34" s="47"/>
      <c r="OWU34" s="47"/>
      <c r="OWV34" s="47"/>
      <c r="OWW34" s="47"/>
      <c r="OWX34" s="47"/>
      <c r="OWY34" s="47"/>
      <c r="OWZ34" s="47"/>
      <c r="OXA34" s="47"/>
      <c r="OXB34" s="47"/>
      <c r="OXC34" s="47"/>
      <c r="OXD34" s="47"/>
      <c r="OXE34" s="47"/>
      <c r="OXF34" s="47"/>
      <c r="OXG34" s="47"/>
      <c r="OXH34" s="47"/>
      <c r="OXI34" s="47"/>
      <c r="OXJ34" s="47"/>
      <c r="OXK34" s="47"/>
      <c r="OXL34" s="47"/>
      <c r="OXM34" s="47"/>
      <c r="OXN34" s="47"/>
      <c r="OXO34" s="47"/>
      <c r="OXP34" s="47"/>
      <c r="OXQ34" s="47"/>
      <c r="OXR34" s="47"/>
      <c r="OXS34" s="47"/>
      <c r="OXT34" s="47"/>
      <c r="OXU34" s="47"/>
      <c r="OXV34" s="47"/>
      <c r="OXW34" s="47"/>
      <c r="OXX34" s="47"/>
      <c r="OXY34" s="47"/>
      <c r="OXZ34" s="47"/>
      <c r="OYA34" s="47"/>
      <c r="OYB34" s="47"/>
      <c r="OYC34" s="47"/>
      <c r="OYD34" s="47"/>
      <c r="OYE34" s="47"/>
      <c r="OYF34" s="47"/>
      <c r="OYG34" s="47"/>
      <c r="OYH34" s="47"/>
      <c r="OYI34" s="47"/>
      <c r="OYJ34" s="47"/>
      <c r="OYK34" s="47"/>
      <c r="OYL34" s="47"/>
      <c r="OYM34" s="47"/>
      <c r="OYN34" s="47"/>
      <c r="OYO34" s="47"/>
      <c r="OYP34" s="47"/>
      <c r="OYQ34" s="47"/>
      <c r="OYR34" s="47"/>
      <c r="OYS34" s="47"/>
      <c r="OYT34" s="47"/>
      <c r="OYU34" s="47"/>
      <c r="OYV34" s="47"/>
      <c r="OYW34" s="47"/>
      <c r="OYX34" s="47"/>
      <c r="OYY34" s="47"/>
      <c r="OYZ34" s="47"/>
      <c r="OZA34" s="47"/>
      <c r="OZB34" s="47"/>
      <c r="OZC34" s="47"/>
      <c r="OZD34" s="47"/>
      <c r="OZE34" s="47"/>
      <c r="OZF34" s="47"/>
      <c r="OZG34" s="47"/>
      <c r="OZH34" s="47"/>
      <c r="OZI34" s="47"/>
      <c r="OZJ34" s="47"/>
      <c r="OZK34" s="47"/>
      <c r="OZL34" s="47"/>
      <c r="OZM34" s="47"/>
      <c r="OZN34" s="47"/>
      <c r="OZO34" s="47"/>
      <c r="OZP34" s="47"/>
      <c r="OZQ34" s="47"/>
      <c r="OZR34" s="47"/>
      <c r="OZS34" s="47"/>
      <c r="OZT34" s="47"/>
      <c r="OZU34" s="47"/>
      <c r="OZV34" s="47"/>
      <c r="OZW34" s="47"/>
      <c r="OZX34" s="47"/>
      <c r="OZY34" s="47"/>
      <c r="OZZ34" s="47"/>
      <c r="PAA34" s="47"/>
      <c r="PAB34" s="47"/>
      <c r="PAC34" s="47"/>
      <c r="PAD34" s="47"/>
      <c r="PAE34" s="47"/>
      <c r="PAF34" s="47"/>
      <c r="PAG34" s="47"/>
      <c r="PAH34" s="47"/>
      <c r="PAI34" s="47"/>
      <c r="PAJ34" s="47"/>
      <c r="PAK34" s="47"/>
      <c r="PAL34" s="47"/>
      <c r="PAM34" s="47"/>
      <c r="PAN34" s="47"/>
      <c r="PAO34" s="47"/>
      <c r="PAP34" s="47"/>
      <c r="PAQ34" s="47"/>
      <c r="PAR34" s="47"/>
      <c r="PAS34" s="47"/>
      <c r="PAT34" s="47"/>
      <c r="PAU34" s="47"/>
      <c r="PAV34" s="47"/>
      <c r="PAW34" s="47"/>
      <c r="PAX34" s="47"/>
      <c r="PAY34" s="47"/>
      <c r="PAZ34" s="47"/>
      <c r="PBA34" s="47"/>
      <c r="PBB34" s="47"/>
      <c r="PBC34" s="47"/>
      <c r="PBD34" s="47"/>
      <c r="PBE34" s="47"/>
      <c r="PBF34" s="47"/>
      <c r="PBG34" s="47"/>
      <c r="PBH34" s="47"/>
      <c r="PBI34" s="47"/>
      <c r="PBJ34" s="47"/>
      <c r="PBK34" s="47"/>
      <c r="PBL34" s="47"/>
      <c r="PBM34" s="47"/>
      <c r="PBN34" s="47"/>
      <c r="PBO34" s="47"/>
      <c r="PBP34" s="47"/>
      <c r="PBQ34" s="47"/>
      <c r="PBR34" s="47"/>
      <c r="PBS34" s="47"/>
      <c r="PBT34" s="47"/>
      <c r="PBU34" s="47"/>
      <c r="PBV34" s="47"/>
      <c r="PBW34" s="47"/>
      <c r="PBX34" s="47"/>
      <c r="PBY34" s="47"/>
      <c r="PBZ34" s="47"/>
      <c r="PCA34" s="47"/>
      <c r="PCB34" s="47"/>
      <c r="PCC34" s="47"/>
      <c r="PCD34" s="47"/>
      <c r="PCE34" s="47"/>
      <c r="PCF34" s="47"/>
      <c r="PCG34" s="47"/>
      <c r="PCH34" s="47"/>
      <c r="PCI34" s="47"/>
      <c r="PCJ34" s="47"/>
      <c r="PCK34" s="47"/>
      <c r="PCL34" s="47"/>
      <c r="PCM34" s="47"/>
      <c r="PCN34" s="47"/>
      <c r="PCO34" s="47"/>
      <c r="PCP34" s="47"/>
      <c r="PCQ34" s="47"/>
      <c r="PCR34" s="47"/>
      <c r="PCS34" s="47"/>
      <c r="PCT34" s="47"/>
      <c r="PCU34" s="47"/>
      <c r="PCV34" s="47"/>
      <c r="PCW34" s="47"/>
      <c r="PCX34" s="47"/>
      <c r="PCY34" s="47"/>
      <c r="PCZ34" s="47"/>
      <c r="PDA34" s="47"/>
      <c r="PDB34" s="47"/>
      <c r="PDC34" s="47"/>
      <c r="PDD34" s="47"/>
      <c r="PDE34" s="47"/>
      <c r="PDF34" s="47"/>
      <c r="PDG34" s="47"/>
      <c r="PDH34" s="47"/>
      <c r="PDI34" s="47"/>
      <c r="PDJ34" s="47"/>
      <c r="PDK34" s="47"/>
      <c r="PDL34" s="47"/>
      <c r="PDM34" s="47"/>
      <c r="PDN34" s="47"/>
      <c r="PDO34" s="47"/>
      <c r="PDP34" s="47"/>
      <c r="PDQ34" s="47"/>
      <c r="PDR34" s="47"/>
      <c r="PDS34" s="47"/>
      <c r="PDT34" s="47"/>
      <c r="PDU34" s="47"/>
      <c r="PDV34" s="47"/>
      <c r="PDW34" s="47"/>
      <c r="PDX34" s="47"/>
      <c r="PDY34" s="47"/>
      <c r="PDZ34" s="47"/>
      <c r="PEA34" s="47"/>
      <c r="PEB34" s="47"/>
      <c r="PEC34" s="47"/>
      <c r="PED34" s="47"/>
      <c r="PEE34" s="47"/>
      <c r="PEF34" s="47"/>
      <c r="PEG34" s="47"/>
      <c r="PEH34" s="47"/>
      <c r="PEI34" s="47"/>
      <c r="PEJ34" s="47"/>
      <c r="PEK34" s="47"/>
      <c r="PEL34" s="47"/>
      <c r="PEM34" s="47"/>
      <c r="PEN34" s="47"/>
      <c r="PEO34" s="47"/>
      <c r="PEP34" s="47"/>
      <c r="PEQ34" s="47"/>
      <c r="PER34" s="47"/>
      <c r="PES34" s="47"/>
      <c r="PET34" s="47"/>
      <c r="PEU34" s="47"/>
      <c r="PEV34" s="47"/>
      <c r="PEW34" s="47"/>
      <c r="PEX34" s="47"/>
      <c r="PEY34" s="47"/>
      <c r="PEZ34" s="47"/>
      <c r="PFA34" s="47"/>
      <c r="PFB34" s="47"/>
      <c r="PFC34" s="47"/>
      <c r="PFD34" s="47"/>
      <c r="PFE34" s="47"/>
      <c r="PFF34" s="47"/>
      <c r="PFG34" s="47"/>
      <c r="PFH34" s="47"/>
      <c r="PFI34" s="47"/>
      <c r="PFJ34" s="47"/>
      <c r="PFK34" s="47"/>
      <c r="PFL34" s="47"/>
      <c r="PFM34" s="47"/>
      <c r="PFN34" s="47"/>
      <c r="PFO34" s="47"/>
      <c r="PFP34" s="47"/>
      <c r="PFQ34" s="47"/>
      <c r="PFR34" s="47"/>
      <c r="PFS34" s="47"/>
      <c r="PFT34" s="47"/>
      <c r="PFU34" s="47"/>
      <c r="PFV34" s="47"/>
      <c r="PFW34" s="47"/>
      <c r="PFX34" s="47"/>
      <c r="PFY34" s="47"/>
      <c r="PFZ34" s="47"/>
      <c r="PGA34" s="47"/>
      <c r="PGB34" s="47"/>
      <c r="PGC34" s="47"/>
      <c r="PGD34" s="47"/>
      <c r="PGE34" s="47"/>
      <c r="PGF34" s="47"/>
      <c r="PGG34" s="47"/>
      <c r="PGH34" s="47"/>
      <c r="PGI34" s="47"/>
      <c r="PGJ34" s="47"/>
      <c r="PGK34" s="47"/>
      <c r="PGL34" s="47"/>
      <c r="PGM34" s="47"/>
      <c r="PGN34" s="47"/>
      <c r="PGO34" s="47"/>
      <c r="PGP34" s="47"/>
      <c r="PGQ34" s="47"/>
      <c r="PGR34" s="47"/>
      <c r="PGS34" s="47"/>
      <c r="PGT34" s="47"/>
      <c r="PGU34" s="47"/>
      <c r="PGV34" s="47"/>
      <c r="PGW34" s="47"/>
      <c r="PGX34" s="47"/>
      <c r="PGY34" s="47"/>
      <c r="PGZ34" s="47"/>
      <c r="PHA34" s="47"/>
      <c r="PHB34" s="47"/>
      <c r="PHC34" s="47"/>
      <c r="PHD34" s="47"/>
      <c r="PHE34" s="47"/>
      <c r="PHF34" s="47"/>
      <c r="PHG34" s="47"/>
      <c r="PHH34" s="47"/>
      <c r="PHI34" s="47"/>
      <c r="PHJ34" s="47"/>
      <c r="PHK34" s="47"/>
      <c r="PHL34" s="47"/>
      <c r="PHM34" s="47"/>
      <c r="PHN34" s="47"/>
      <c r="PHO34" s="47"/>
      <c r="PHP34" s="47"/>
      <c r="PHQ34" s="47"/>
      <c r="PHR34" s="47"/>
      <c r="PHS34" s="47"/>
      <c r="PHT34" s="47"/>
      <c r="PHU34" s="47"/>
      <c r="PHV34" s="47"/>
      <c r="PHW34" s="47"/>
      <c r="PHX34" s="47"/>
      <c r="PHY34" s="47"/>
      <c r="PHZ34" s="47"/>
      <c r="PIA34" s="47"/>
      <c r="PIB34" s="47"/>
      <c r="PIC34" s="47"/>
      <c r="PID34" s="47"/>
      <c r="PIE34" s="47"/>
      <c r="PIF34" s="47"/>
      <c r="PIG34" s="47"/>
      <c r="PIH34" s="47"/>
      <c r="PII34" s="47"/>
      <c r="PIJ34" s="47"/>
      <c r="PIK34" s="47"/>
      <c r="PIL34" s="47"/>
      <c r="PIM34" s="47"/>
      <c r="PIN34" s="47"/>
      <c r="PIO34" s="47"/>
      <c r="PIP34" s="47"/>
      <c r="PIQ34" s="47"/>
      <c r="PIR34" s="47"/>
      <c r="PIS34" s="47"/>
      <c r="PIT34" s="47"/>
      <c r="PIU34" s="47"/>
      <c r="PIV34" s="47"/>
      <c r="PIW34" s="47"/>
      <c r="PIX34" s="47"/>
      <c r="PIY34" s="47"/>
      <c r="PIZ34" s="47"/>
      <c r="PJA34" s="47"/>
      <c r="PJB34" s="47"/>
      <c r="PJC34" s="47"/>
      <c r="PJD34" s="47"/>
      <c r="PJE34" s="47"/>
      <c r="PJF34" s="47"/>
      <c r="PJG34" s="47"/>
      <c r="PJH34" s="47"/>
      <c r="PJI34" s="47"/>
      <c r="PJJ34" s="47"/>
      <c r="PJK34" s="47"/>
      <c r="PJL34" s="47"/>
      <c r="PJM34" s="47"/>
      <c r="PJN34" s="47"/>
      <c r="PJO34" s="47"/>
      <c r="PJP34" s="47"/>
      <c r="PJQ34" s="47"/>
      <c r="PJR34" s="47"/>
      <c r="PJS34" s="47"/>
      <c r="PJT34" s="47"/>
      <c r="PJU34" s="47"/>
      <c r="PJV34" s="47"/>
      <c r="PJW34" s="47"/>
      <c r="PJX34" s="47"/>
      <c r="PJY34" s="47"/>
      <c r="PJZ34" s="47"/>
      <c r="PKA34" s="47"/>
      <c r="PKB34" s="47"/>
      <c r="PKC34" s="47"/>
      <c r="PKD34" s="47"/>
      <c r="PKE34" s="47"/>
      <c r="PKF34" s="47"/>
      <c r="PKG34" s="47"/>
      <c r="PKH34" s="47"/>
      <c r="PKI34" s="47"/>
      <c r="PKJ34" s="47"/>
      <c r="PKK34" s="47"/>
      <c r="PKL34" s="47"/>
      <c r="PKM34" s="47"/>
      <c r="PKN34" s="47"/>
      <c r="PKO34" s="47"/>
      <c r="PKP34" s="47"/>
      <c r="PKQ34" s="47"/>
      <c r="PKR34" s="47"/>
      <c r="PKS34" s="47"/>
      <c r="PKT34" s="47"/>
      <c r="PKU34" s="47"/>
      <c r="PKV34" s="47"/>
      <c r="PKW34" s="47"/>
      <c r="PKX34" s="47"/>
      <c r="PKY34" s="47"/>
      <c r="PKZ34" s="47"/>
      <c r="PLA34" s="47"/>
      <c r="PLB34" s="47"/>
      <c r="PLC34" s="47"/>
      <c r="PLD34" s="47"/>
      <c r="PLE34" s="47"/>
      <c r="PLF34" s="47"/>
      <c r="PLG34" s="47"/>
      <c r="PLH34" s="47"/>
      <c r="PLI34" s="47"/>
      <c r="PLJ34" s="47"/>
      <c r="PLK34" s="47"/>
      <c r="PLL34" s="47"/>
      <c r="PLM34" s="47"/>
      <c r="PLN34" s="47"/>
      <c r="PLO34" s="47"/>
      <c r="PLP34" s="47"/>
      <c r="PLQ34" s="47"/>
      <c r="PLR34" s="47"/>
      <c r="PLS34" s="47"/>
      <c r="PLT34" s="47"/>
      <c r="PLU34" s="47"/>
      <c r="PLV34" s="47"/>
      <c r="PLW34" s="47"/>
      <c r="PLX34" s="47"/>
      <c r="PLY34" s="47"/>
      <c r="PLZ34" s="47"/>
      <c r="PMA34" s="47"/>
      <c r="PMB34" s="47"/>
      <c r="PMC34" s="47"/>
      <c r="PMD34" s="47"/>
      <c r="PME34" s="47"/>
      <c r="PMF34" s="47"/>
      <c r="PMG34" s="47"/>
      <c r="PMH34" s="47"/>
      <c r="PMI34" s="47"/>
      <c r="PMJ34" s="47"/>
      <c r="PMK34" s="47"/>
      <c r="PML34" s="47"/>
      <c r="PMM34" s="47"/>
      <c r="PMN34" s="47"/>
      <c r="PMO34" s="47"/>
      <c r="PMP34" s="47"/>
      <c r="PMQ34" s="47"/>
      <c r="PMR34" s="47"/>
      <c r="PMS34" s="47"/>
      <c r="PMT34" s="47"/>
      <c r="PMU34" s="47"/>
      <c r="PMV34" s="47"/>
      <c r="PMW34" s="47"/>
      <c r="PMX34" s="47"/>
      <c r="PMY34" s="47"/>
      <c r="PMZ34" s="47"/>
      <c r="PNA34" s="47"/>
      <c r="PNB34" s="47"/>
      <c r="PNC34" s="47"/>
      <c r="PND34" s="47"/>
      <c r="PNE34" s="47"/>
      <c r="PNF34" s="47"/>
      <c r="PNG34" s="47"/>
      <c r="PNH34" s="47"/>
      <c r="PNI34" s="47"/>
      <c r="PNJ34" s="47"/>
      <c r="PNK34" s="47"/>
      <c r="PNL34" s="47"/>
      <c r="PNM34" s="47"/>
      <c r="PNN34" s="47"/>
      <c r="PNO34" s="47"/>
      <c r="PNP34" s="47"/>
      <c r="PNQ34" s="47"/>
      <c r="PNR34" s="47"/>
      <c r="PNS34" s="47"/>
      <c r="PNT34" s="47"/>
      <c r="PNU34" s="47"/>
      <c r="PNV34" s="47"/>
      <c r="PNW34" s="47"/>
      <c r="PNX34" s="47"/>
      <c r="PNY34" s="47"/>
      <c r="PNZ34" s="47"/>
      <c r="POA34" s="47"/>
      <c r="POB34" s="47"/>
      <c r="POC34" s="47"/>
      <c r="POD34" s="47"/>
      <c r="POE34" s="47"/>
      <c r="POF34" s="47"/>
      <c r="POG34" s="47"/>
      <c r="POH34" s="47"/>
      <c r="POI34" s="47"/>
      <c r="POJ34" s="47"/>
      <c r="POK34" s="47"/>
      <c r="POL34" s="47"/>
      <c r="POM34" s="47"/>
      <c r="PON34" s="47"/>
      <c r="POO34" s="47"/>
      <c r="POP34" s="47"/>
      <c r="POQ34" s="47"/>
      <c r="POR34" s="47"/>
      <c r="POS34" s="47"/>
      <c r="POT34" s="47"/>
      <c r="POU34" s="47"/>
      <c r="POV34" s="47"/>
      <c r="POW34" s="47"/>
      <c r="POX34" s="47"/>
      <c r="POY34" s="47"/>
      <c r="POZ34" s="47"/>
      <c r="PPA34" s="47"/>
      <c r="PPB34" s="47"/>
      <c r="PPC34" s="47"/>
      <c r="PPD34" s="47"/>
      <c r="PPE34" s="47"/>
      <c r="PPF34" s="47"/>
      <c r="PPG34" s="47"/>
      <c r="PPH34" s="47"/>
      <c r="PPI34" s="47"/>
      <c r="PPJ34" s="47"/>
      <c r="PPK34" s="47"/>
      <c r="PPL34" s="47"/>
      <c r="PPM34" s="47"/>
      <c r="PPN34" s="47"/>
      <c r="PPO34" s="47"/>
      <c r="PPP34" s="47"/>
      <c r="PPQ34" s="47"/>
      <c r="PPR34" s="47"/>
      <c r="PPS34" s="47"/>
      <c r="PPT34" s="47"/>
      <c r="PPU34" s="47"/>
      <c r="PPV34" s="47"/>
      <c r="PPW34" s="47"/>
      <c r="PPX34" s="47"/>
      <c r="PPY34" s="47"/>
      <c r="PPZ34" s="47"/>
      <c r="PQA34" s="47"/>
      <c r="PQB34" s="47"/>
      <c r="PQC34" s="47"/>
      <c r="PQD34" s="47"/>
      <c r="PQE34" s="47"/>
      <c r="PQF34" s="47"/>
      <c r="PQG34" s="47"/>
      <c r="PQH34" s="47"/>
      <c r="PQI34" s="47"/>
      <c r="PQJ34" s="47"/>
      <c r="PQK34" s="47"/>
      <c r="PQL34" s="47"/>
      <c r="PQM34" s="47"/>
      <c r="PQN34" s="47"/>
      <c r="PQO34" s="47"/>
      <c r="PQP34" s="47"/>
      <c r="PQQ34" s="47"/>
      <c r="PQR34" s="47"/>
      <c r="PQS34" s="47"/>
      <c r="PQT34" s="47"/>
      <c r="PQU34" s="47"/>
      <c r="PQV34" s="47"/>
      <c r="PQW34" s="47"/>
      <c r="PQX34" s="47"/>
      <c r="PQY34" s="47"/>
      <c r="PQZ34" s="47"/>
      <c r="PRA34" s="47"/>
      <c r="PRB34" s="47"/>
      <c r="PRC34" s="47"/>
      <c r="PRD34" s="47"/>
      <c r="PRE34" s="47"/>
      <c r="PRF34" s="47"/>
      <c r="PRG34" s="47"/>
      <c r="PRH34" s="47"/>
      <c r="PRI34" s="47"/>
      <c r="PRJ34" s="47"/>
      <c r="PRK34" s="47"/>
      <c r="PRL34" s="47"/>
      <c r="PRM34" s="47"/>
      <c r="PRN34" s="47"/>
      <c r="PRO34" s="47"/>
      <c r="PRP34" s="47"/>
      <c r="PRQ34" s="47"/>
      <c r="PRR34" s="47"/>
      <c r="PRS34" s="47"/>
      <c r="PRT34" s="47"/>
      <c r="PRU34" s="47"/>
      <c r="PRV34" s="47"/>
      <c r="PRW34" s="47"/>
      <c r="PRX34" s="47"/>
      <c r="PRY34" s="47"/>
      <c r="PRZ34" s="47"/>
      <c r="PSA34" s="47"/>
      <c r="PSB34" s="47"/>
      <c r="PSC34" s="47"/>
      <c r="PSD34" s="47"/>
      <c r="PSE34" s="47"/>
      <c r="PSF34" s="47"/>
      <c r="PSG34" s="47"/>
      <c r="PSH34" s="47"/>
      <c r="PSI34" s="47"/>
      <c r="PSJ34" s="47"/>
      <c r="PSK34" s="47"/>
      <c r="PSL34" s="47"/>
      <c r="PSM34" s="47"/>
      <c r="PSN34" s="47"/>
      <c r="PSO34" s="47"/>
      <c r="PSP34" s="47"/>
      <c r="PSQ34" s="47"/>
      <c r="PSR34" s="47"/>
      <c r="PSS34" s="47"/>
      <c r="PST34" s="47"/>
      <c r="PSU34" s="47"/>
      <c r="PSV34" s="47"/>
      <c r="PSW34" s="47"/>
      <c r="PSX34" s="47"/>
      <c r="PSY34" s="47"/>
      <c r="PSZ34" s="47"/>
      <c r="PTA34" s="47"/>
      <c r="PTB34" s="47"/>
      <c r="PTC34" s="47"/>
      <c r="PTD34" s="47"/>
      <c r="PTE34" s="47"/>
      <c r="PTF34" s="47"/>
      <c r="PTG34" s="47"/>
      <c r="PTH34" s="47"/>
      <c r="PTI34" s="47"/>
      <c r="PTJ34" s="47"/>
      <c r="PTK34" s="47"/>
      <c r="PTL34" s="47"/>
      <c r="PTM34" s="47"/>
      <c r="PTN34" s="47"/>
      <c r="PTO34" s="47"/>
      <c r="PTP34" s="47"/>
      <c r="PTQ34" s="47"/>
      <c r="PTR34" s="47"/>
      <c r="PTS34" s="47"/>
      <c r="PTT34" s="47"/>
      <c r="PTU34" s="47"/>
      <c r="PTV34" s="47"/>
      <c r="PTW34" s="47"/>
      <c r="PTX34" s="47"/>
      <c r="PTY34" s="47"/>
      <c r="PTZ34" s="47"/>
      <c r="PUA34" s="47"/>
      <c r="PUB34" s="47"/>
      <c r="PUC34" s="47"/>
      <c r="PUD34" s="47"/>
      <c r="PUE34" s="47"/>
      <c r="PUF34" s="47"/>
      <c r="PUG34" s="47"/>
      <c r="PUH34" s="47"/>
      <c r="PUI34" s="47"/>
      <c r="PUJ34" s="47"/>
      <c r="PUK34" s="47"/>
      <c r="PUL34" s="47"/>
      <c r="PUM34" s="47"/>
      <c r="PUN34" s="47"/>
      <c r="PUO34" s="47"/>
      <c r="PUP34" s="47"/>
      <c r="PUQ34" s="47"/>
      <c r="PUR34" s="47"/>
      <c r="PUS34" s="47"/>
      <c r="PUT34" s="47"/>
      <c r="PUU34" s="47"/>
      <c r="PUV34" s="47"/>
      <c r="PUW34" s="47"/>
      <c r="PUX34" s="47"/>
      <c r="PUY34" s="47"/>
      <c r="PUZ34" s="47"/>
      <c r="PVA34" s="47"/>
      <c r="PVB34" s="47"/>
      <c r="PVC34" s="47"/>
      <c r="PVD34" s="47"/>
      <c r="PVE34" s="47"/>
      <c r="PVF34" s="47"/>
      <c r="PVG34" s="47"/>
      <c r="PVH34" s="47"/>
      <c r="PVI34" s="47"/>
      <c r="PVJ34" s="47"/>
      <c r="PVK34" s="47"/>
      <c r="PVL34" s="47"/>
      <c r="PVM34" s="47"/>
      <c r="PVN34" s="47"/>
      <c r="PVO34" s="47"/>
      <c r="PVP34" s="47"/>
      <c r="PVQ34" s="47"/>
      <c r="PVR34" s="47"/>
      <c r="PVS34" s="47"/>
      <c r="PVT34" s="47"/>
      <c r="PVU34" s="47"/>
      <c r="PVV34" s="47"/>
      <c r="PVW34" s="47"/>
      <c r="PVX34" s="47"/>
      <c r="PVY34" s="47"/>
      <c r="PVZ34" s="47"/>
      <c r="PWA34" s="47"/>
      <c r="PWB34" s="47"/>
      <c r="PWC34" s="47"/>
      <c r="PWD34" s="47"/>
      <c r="PWE34" s="47"/>
      <c r="PWF34" s="47"/>
      <c r="PWG34" s="47"/>
      <c r="PWH34" s="47"/>
      <c r="PWI34" s="47"/>
      <c r="PWJ34" s="47"/>
      <c r="PWK34" s="47"/>
      <c r="PWL34" s="47"/>
      <c r="PWM34" s="47"/>
      <c r="PWN34" s="47"/>
      <c r="PWO34" s="47"/>
      <c r="PWP34" s="47"/>
      <c r="PWQ34" s="47"/>
      <c r="PWR34" s="47"/>
      <c r="PWS34" s="47"/>
      <c r="PWT34" s="47"/>
      <c r="PWU34" s="47"/>
      <c r="PWV34" s="47"/>
      <c r="PWW34" s="47"/>
      <c r="PWX34" s="47"/>
      <c r="PWY34" s="47"/>
      <c r="PWZ34" s="47"/>
      <c r="PXA34" s="47"/>
      <c r="PXB34" s="47"/>
      <c r="PXC34" s="47"/>
      <c r="PXD34" s="47"/>
      <c r="PXE34" s="47"/>
      <c r="PXF34" s="47"/>
      <c r="PXG34" s="47"/>
      <c r="PXH34" s="47"/>
      <c r="PXI34" s="47"/>
      <c r="PXJ34" s="47"/>
      <c r="PXK34" s="47"/>
      <c r="PXL34" s="47"/>
      <c r="PXM34" s="47"/>
      <c r="PXN34" s="47"/>
      <c r="PXO34" s="47"/>
      <c r="PXP34" s="47"/>
      <c r="PXQ34" s="47"/>
      <c r="PXR34" s="47"/>
      <c r="PXS34" s="47"/>
      <c r="PXT34" s="47"/>
      <c r="PXU34" s="47"/>
      <c r="PXV34" s="47"/>
      <c r="PXW34" s="47"/>
      <c r="PXX34" s="47"/>
      <c r="PXY34" s="47"/>
      <c r="PXZ34" s="47"/>
      <c r="PYA34" s="47"/>
      <c r="PYB34" s="47"/>
      <c r="PYC34" s="47"/>
      <c r="PYD34" s="47"/>
      <c r="PYE34" s="47"/>
      <c r="PYF34" s="47"/>
      <c r="PYG34" s="47"/>
      <c r="PYH34" s="47"/>
      <c r="PYI34" s="47"/>
      <c r="PYJ34" s="47"/>
      <c r="PYK34" s="47"/>
      <c r="PYL34" s="47"/>
      <c r="PYM34" s="47"/>
      <c r="PYN34" s="47"/>
      <c r="PYO34" s="47"/>
      <c r="PYP34" s="47"/>
      <c r="PYQ34" s="47"/>
      <c r="PYR34" s="47"/>
      <c r="PYS34" s="47"/>
      <c r="PYT34" s="47"/>
      <c r="PYU34" s="47"/>
      <c r="PYV34" s="47"/>
      <c r="PYW34" s="47"/>
      <c r="PYX34" s="47"/>
      <c r="PYY34" s="47"/>
      <c r="PYZ34" s="47"/>
      <c r="PZA34" s="47"/>
      <c r="PZB34" s="47"/>
      <c r="PZC34" s="47"/>
      <c r="PZD34" s="47"/>
      <c r="PZE34" s="47"/>
      <c r="PZF34" s="47"/>
      <c r="PZG34" s="47"/>
      <c r="PZH34" s="47"/>
      <c r="PZI34" s="47"/>
      <c r="PZJ34" s="47"/>
      <c r="PZK34" s="47"/>
      <c r="PZL34" s="47"/>
      <c r="PZM34" s="47"/>
      <c r="PZN34" s="47"/>
      <c r="PZO34" s="47"/>
      <c r="PZP34" s="47"/>
      <c r="PZQ34" s="47"/>
      <c r="PZR34" s="47"/>
      <c r="PZS34" s="47"/>
      <c r="PZT34" s="47"/>
      <c r="PZU34" s="47"/>
      <c r="PZV34" s="47"/>
      <c r="PZW34" s="47"/>
      <c r="PZX34" s="47"/>
      <c r="PZY34" s="47"/>
      <c r="PZZ34" s="47"/>
      <c r="QAA34" s="47"/>
      <c r="QAB34" s="47"/>
      <c r="QAC34" s="47"/>
      <c r="QAD34" s="47"/>
      <c r="QAE34" s="47"/>
      <c r="QAF34" s="47"/>
      <c r="QAG34" s="47"/>
      <c r="QAH34" s="47"/>
      <c r="QAI34" s="47"/>
      <c r="QAJ34" s="47"/>
      <c r="QAK34" s="47"/>
      <c r="QAL34" s="47"/>
      <c r="QAM34" s="47"/>
      <c r="QAN34" s="47"/>
      <c r="QAO34" s="47"/>
      <c r="QAP34" s="47"/>
      <c r="QAQ34" s="47"/>
      <c r="QAR34" s="47"/>
      <c r="QAS34" s="47"/>
      <c r="QAT34" s="47"/>
      <c r="QAU34" s="47"/>
      <c r="QAV34" s="47"/>
      <c r="QAW34" s="47"/>
      <c r="QAX34" s="47"/>
      <c r="QAY34" s="47"/>
      <c r="QAZ34" s="47"/>
      <c r="QBA34" s="47"/>
      <c r="QBB34" s="47"/>
      <c r="QBC34" s="47"/>
      <c r="QBD34" s="47"/>
      <c r="QBE34" s="47"/>
      <c r="QBF34" s="47"/>
      <c r="QBG34" s="47"/>
      <c r="QBH34" s="47"/>
      <c r="QBI34" s="47"/>
      <c r="QBJ34" s="47"/>
      <c r="QBK34" s="47"/>
      <c r="QBL34" s="47"/>
      <c r="QBM34" s="47"/>
      <c r="QBN34" s="47"/>
      <c r="QBO34" s="47"/>
      <c r="QBP34" s="47"/>
      <c r="QBQ34" s="47"/>
      <c r="QBR34" s="47"/>
      <c r="QBS34" s="47"/>
      <c r="QBT34" s="47"/>
      <c r="QBU34" s="47"/>
      <c r="QBV34" s="47"/>
      <c r="QBW34" s="47"/>
      <c r="QBX34" s="47"/>
      <c r="QBY34" s="47"/>
      <c r="QBZ34" s="47"/>
      <c r="QCA34" s="47"/>
      <c r="QCB34" s="47"/>
      <c r="QCC34" s="47"/>
      <c r="QCD34" s="47"/>
      <c r="QCE34" s="47"/>
      <c r="QCF34" s="47"/>
      <c r="QCG34" s="47"/>
      <c r="QCH34" s="47"/>
      <c r="QCI34" s="47"/>
      <c r="QCJ34" s="47"/>
      <c r="QCK34" s="47"/>
      <c r="QCL34" s="47"/>
      <c r="QCM34" s="47"/>
      <c r="QCN34" s="47"/>
      <c r="QCO34" s="47"/>
      <c r="QCP34" s="47"/>
      <c r="QCQ34" s="47"/>
      <c r="QCR34" s="47"/>
      <c r="QCS34" s="47"/>
      <c r="QCT34" s="47"/>
      <c r="QCU34" s="47"/>
      <c r="QCV34" s="47"/>
      <c r="QCW34" s="47"/>
      <c r="QCX34" s="47"/>
      <c r="QCY34" s="47"/>
      <c r="QCZ34" s="47"/>
      <c r="QDA34" s="47"/>
      <c r="QDB34" s="47"/>
      <c r="QDC34" s="47"/>
      <c r="QDD34" s="47"/>
      <c r="QDE34" s="47"/>
      <c r="QDF34" s="47"/>
      <c r="QDG34" s="47"/>
      <c r="QDH34" s="47"/>
      <c r="QDI34" s="47"/>
      <c r="QDJ34" s="47"/>
      <c r="QDK34" s="47"/>
      <c r="QDL34" s="47"/>
      <c r="QDM34" s="47"/>
      <c r="QDN34" s="47"/>
      <c r="QDO34" s="47"/>
      <c r="QDP34" s="47"/>
      <c r="QDQ34" s="47"/>
      <c r="QDR34" s="47"/>
      <c r="QDS34" s="47"/>
      <c r="QDT34" s="47"/>
      <c r="QDU34" s="47"/>
      <c r="QDV34" s="47"/>
      <c r="QDW34" s="47"/>
      <c r="QDX34" s="47"/>
      <c r="QDY34" s="47"/>
      <c r="QDZ34" s="47"/>
      <c r="QEA34" s="47"/>
      <c r="QEB34" s="47"/>
      <c r="QEC34" s="47"/>
      <c r="QED34" s="47"/>
      <c r="QEE34" s="47"/>
      <c r="QEF34" s="47"/>
      <c r="QEG34" s="47"/>
      <c r="QEH34" s="47"/>
      <c r="QEI34" s="47"/>
      <c r="QEJ34" s="47"/>
      <c r="QEK34" s="47"/>
      <c r="QEL34" s="47"/>
      <c r="QEM34" s="47"/>
      <c r="QEN34" s="47"/>
      <c r="QEO34" s="47"/>
      <c r="QEP34" s="47"/>
      <c r="QEQ34" s="47"/>
      <c r="QER34" s="47"/>
      <c r="QES34" s="47"/>
      <c r="QET34" s="47"/>
      <c r="QEU34" s="47"/>
      <c r="QEV34" s="47"/>
      <c r="QEW34" s="47"/>
      <c r="QEX34" s="47"/>
      <c r="QEY34" s="47"/>
      <c r="QEZ34" s="47"/>
      <c r="QFA34" s="47"/>
      <c r="QFB34" s="47"/>
      <c r="QFC34" s="47"/>
      <c r="QFD34" s="47"/>
      <c r="QFE34" s="47"/>
      <c r="QFF34" s="47"/>
      <c r="QFG34" s="47"/>
      <c r="QFH34" s="47"/>
      <c r="QFI34" s="47"/>
      <c r="QFJ34" s="47"/>
      <c r="QFK34" s="47"/>
      <c r="QFL34" s="47"/>
      <c r="QFM34" s="47"/>
      <c r="QFN34" s="47"/>
      <c r="QFO34" s="47"/>
      <c r="QFP34" s="47"/>
      <c r="QFQ34" s="47"/>
      <c r="QFR34" s="47"/>
      <c r="QFS34" s="47"/>
      <c r="QFT34" s="47"/>
      <c r="QFU34" s="47"/>
      <c r="QFV34" s="47"/>
      <c r="QFW34" s="47"/>
      <c r="QFX34" s="47"/>
      <c r="QFY34" s="47"/>
      <c r="QFZ34" s="47"/>
      <c r="QGA34" s="47"/>
      <c r="QGB34" s="47"/>
      <c r="QGC34" s="47"/>
      <c r="QGD34" s="47"/>
      <c r="QGE34" s="47"/>
      <c r="QGF34" s="47"/>
      <c r="QGG34" s="47"/>
      <c r="QGH34" s="47"/>
      <c r="QGI34" s="47"/>
      <c r="QGJ34" s="47"/>
      <c r="QGK34" s="47"/>
      <c r="QGL34" s="47"/>
      <c r="QGM34" s="47"/>
      <c r="QGN34" s="47"/>
      <c r="QGO34" s="47"/>
      <c r="QGP34" s="47"/>
      <c r="QGQ34" s="47"/>
      <c r="QGR34" s="47"/>
      <c r="QGS34" s="47"/>
      <c r="QGT34" s="47"/>
      <c r="QGU34" s="47"/>
      <c r="QGV34" s="47"/>
      <c r="QGW34" s="47"/>
      <c r="QGX34" s="47"/>
      <c r="QGY34" s="47"/>
      <c r="QGZ34" s="47"/>
      <c r="QHA34" s="47"/>
      <c r="QHB34" s="47"/>
      <c r="QHC34" s="47"/>
      <c r="QHD34" s="47"/>
      <c r="QHE34" s="47"/>
      <c r="QHF34" s="47"/>
      <c r="QHG34" s="47"/>
      <c r="QHH34" s="47"/>
      <c r="QHI34" s="47"/>
      <c r="QHJ34" s="47"/>
      <c r="QHK34" s="47"/>
      <c r="QHL34" s="47"/>
      <c r="QHM34" s="47"/>
      <c r="QHN34" s="47"/>
      <c r="QHO34" s="47"/>
      <c r="QHP34" s="47"/>
      <c r="QHQ34" s="47"/>
      <c r="QHR34" s="47"/>
      <c r="QHS34" s="47"/>
      <c r="QHT34" s="47"/>
      <c r="QHU34" s="47"/>
      <c r="QHV34" s="47"/>
      <c r="QHW34" s="47"/>
      <c r="QHX34" s="47"/>
      <c r="QHY34" s="47"/>
      <c r="QHZ34" s="47"/>
      <c r="QIA34" s="47"/>
      <c r="QIB34" s="47"/>
      <c r="QIC34" s="47"/>
      <c r="QID34" s="47"/>
      <c r="QIE34" s="47"/>
      <c r="QIF34" s="47"/>
      <c r="QIG34" s="47"/>
      <c r="QIH34" s="47"/>
      <c r="QII34" s="47"/>
      <c r="QIJ34" s="47"/>
      <c r="QIK34" s="47"/>
      <c r="QIL34" s="47"/>
      <c r="QIM34" s="47"/>
      <c r="QIN34" s="47"/>
      <c r="QIO34" s="47"/>
      <c r="QIP34" s="47"/>
      <c r="QIQ34" s="47"/>
      <c r="QIR34" s="47"/>
      <c r="QIS34" s="47"/>
      <c r="QIT34" s="47"/>
      <c r="QIU34" s="47"/>
      <c r="QIV34" s="47"/>
      <c r="QIW34" s="47"/>
      <c r="QIX34" s="47"/>
      <c r="QIY34" s="47"/>
      <c r="QIZ34" s="47"/>
      <c r="QJA34" s="47"/>
      <c r="QJB34" s="47"/>
      <c r="QJC34" s="47"/>
      <c r="QJD34" s="47"/>
      <c r="QJE34" s="47"/>
      <c r="QJF34" s="47"/>
      <c r="QJG34" s="47"/>
      <c r="QJH34" s="47"/>
      <c r="QJI34" s="47"/>
      <c r="QJJ34" s="47"/>
      <c r="QJK34" s="47"/>
      <c r="QJL34" s="47"/>
      <c r="QJM34" s="47"/>
      <c r="QJN34" s="47"/>
      <c r="QJO34" s="47"/>
      <c r="QJP34" s="47"/>
      <c r="QJQ34" s="47"/>
      <c r="QJR34" s="47"/>
      <c r="QJS34" s="47"/>
      <c r="QJT34" s="47"/>
      <c r="QJU34" s="47"/>
      <c r="QJV34" s="47"/>
      <c r="QJW34" s="47"/>
      <c r="QJX34" s="47"/>
      <c r="QJY34" s="47"/>
      <c r="QJZ34" s="47"/>
      <c r="QKA34" s="47"/>
      <c r="QKB34" s="47"/>
      <c r="QKC34" s="47"/>
      <c r="QKD34" s="47"/>
      <c r="QKE34" s="47"/>
      <c r="QKF34" s="47"/>
      <c r="QKG34" s="47"/>
      <c r="QKH34" s="47"/>
      <c r="QKI34" s="47"/>
      <c r="QKJ34" s="47"/>
      <c r="QKK34" s="47"/>
      <c r="QKL34" s="47"/>
      <c r="QKM34" s="47"/>
      <c r="QKN34" s="47"/>
      <c r="QKO34" s="47"/>
      <c r="QKP34" s="47"/>
      <c r="QKQ34" s="47"/>
      <c r="QKR34" s="47"/>
      <c r="QKS34" s="47"/>
      <c r="QKT34" s="47"/>
      <c r="QKU34" s="47"/>
      <c r="QKV34" s="47"/>
      <c r="QKW34" s="47"/>
      <c r="QKX34" s="47"/>
      <c r="QKY34" s="47"/>
      <c r="QKZ34" s="47"/>
      <c r="QLA34" s="47"/>
      <c r="QLB34" s="47"/>
      <c r="QLC34" s="47"/>
      <c r="QLD34" s="47"/>
      <c r="QLE34" s="47"/>
      <c r="QLF34" s="47"/>
      <c r="QLG34" s="47"/>
      <c r="QLH34" s="47"/>
      <c r="QLI34" s="47"/>
      <c r="QLJ34" s="47"/>
      <c r="QLK34" s="47"/>
      <c r="QLL34" s="47"/>
      <c r="QLM34" s="47"/>
      <c r="QLN34" s="47"/>
      <c r="QLO34" s="47"/>
      <c r="QLP34" s="47"/>
      <c r="QLQ34" s="47"/>
      <c r="QLR34" s="47"/>
      <c r="QLS34" s="47"/>
      <c r="QLT34" s="47"/>
      <c r="QLU34" s="47"/>
      <c r="QLV34" s="47"/>
      <c r="QLW34" s="47"/>
      <c r="QLX34" s="47"/>
      <c r="QLY34" s="47"/>
      <c r="QLZ34" s="47"/>
      <c r="QMA34" s="47"/>
      <c r="QMB34" s="47"/>
      <c r="QMC34" s="47"/>
      <c r="QMD34" s="47"/>
      <c r="QME34" s="47"/>
      <c r="QMF34" s="47"/>
      <c r="QMG34" s="47"/>
      <c r="QMH34" s="47"/>
      <c r="QMI34" s="47"/>
      <c r="QMJ34" s="47"/>
      <c r="QMK34" s="47"/>
      <c r="QML34" s="47"/>
      <c r="QMM34" s="47"/>
      <c r="QMN34" s="47"/>
      <c r="QMO34" s="47"/>
      <c r="QMP34" s="47"/>
      <c r="QMQ34" s="47"/>
      <c r="QMR34" s="47"/>
      <c r="QMS34" s="47"/>
      <c r="QMT34" s="47"/>
      <c r="QMU34" s="47"/>
      <c r="QMV34" s="47"/>
      <c r="QMW34" s="47"/>
      <c r="QMX34" s="47"/>
      <c r="QMY34" s="47"/>
      <c r="QMZ34" s="47"/>
      <c r="QNA34" s="47"/>
      <c r="QNB34" s="47"/>
      <c r="QNC34" s="47"/>
      <c r="QND34" s="47"/>
      <c r="QNE34" s="47"/>
      <c r="QNF34" s="47"/>
      <c r="QNG34" s="47"/>
      <c r="QNH34" s="47"/>
      <c r="QNI34" s="47"/>
      <c r="QNJ34" s="47"/>
      <c r="QNK34" s="47"/>
      <c r="QNL34" s="47"/>
      <c r="QNM34" s="47"/>
      <c r="QNN34" s="47"/>
      <c r="QNO34" s="47"/>
      <c r="QNP34" s="47"/>
      <c r="QNQ34" s="47"/>
      <c r="QNR34" s="47"/>
      <c r="QNS34" s="47"/>
      <c r="QNT34" s="47"/>
      <c r="QNU34" s="47"/>
      <c r="QNV34" s="47"/>
      <c r="QNW34" s="47"/>
      <c r="QNX34" s="47"/>
      <c r="QNY34" s="47"/>
      <c r="QNZ34" s="47"/>
      <c r="QOA34" s="47"/>
      <c r="QOB34" s="47"/>
      <c r="QOC34" s="47"/>
      <c r="QOD34" s="47"/>
      <c r="QOE34" s="47"/>
      <c r="QOF34" s="47"/>
      <c r="QOG34" s="47"/>
      <c r="QOH34" s="47"/>
      <c r="QOI34" s="47"/>
      <c r="QOJ34" s="47"/>
      <c r="QOK34" s="47"/>
      <c r="QOL34" s="47"/>
      <c r="QOM34" s="47"/>
      <c r="QON34" s="47"/>
      <c r="QOO34" s="47"/>
      <c r="QOP34" s="47"/>
      <c r="QOQ34" s="47"/>
      <c r="QOR34" s="47"/>
      <c r="QOS34" s="47"/>
      <c r="QOT34" s="47"/>
      <c r="QOU34" s="47"/>
      <c r="QOV34" s="47"/>
      <c r="QOW34" s="47"/>
      <c r="QOX34" s="47"/>
      <c r="QOY34" s="47"/>
      <c r="QOZ34" s="47"/>
      <c r="QPA34" s="47"/>
      <c r="QPB34" s="47"/>
      <c r="QPC34" s="47"/>
      <c r="QPD34" s="47"/>
      <c r="QPE34" s="47"/>
      <c r="QPF34" s="47"/>
      <c r="QPG34" s="47"/>
      <c r="QPH34" s="47"/>
      <c r="QPI34" s="47"/>
      <c r="QPJ34" s="47"/>
      <c r="QPK34" s="47"/>
      <c r="QPL34" s="47"/>
      <c r="QPM34" s="47"/>
      <c r="QPN34" s="47"/>
      <c r="QPO34" s="47"/>
      <c r="QPP34" s="47"/>
      <c r="QPQ34" s="47"/>
      <c r="QPR34" s="47"/>
      <c r="QPS34" s="47"/>
      <c r="QPT34" s="47"/>
      <c r="QPU34" s="47"/>
      <c r="QPV34" s="47"/>
      <c r="QPW34" s="47"/>
      <c r="QPX34" s="47"/>
      <c r="QPY34" s="47"/>
      <c r="QPZ34" s="47"/>
      <c r="QQA34" s="47"/>
      <c r="QQB34" s="47"/>
      <c r="QQC34" s="47"/>
      <c r="QQD34" s="47"/>
      <c r="QQE34" s="47"/>
      <c r="QQF34" s="47"/>
      <c r="QQG34" s="47"/>
      <c r="QQH34" s="47"/>
      <c r="QQI34" s="47"/>
      <c r="QQJ34" s="47"/>
      <c r="QQK34" s="47"/>
      <c r="QQL34" s="47"/>
      <c r="QQM34" s="47"/>
      <c r="QQN34" s="47"/>
      <c r="QQO34" s="47"/>
      <c r="QQP34" s="47"/>
      <c r="QQQ34" s="47"/>
      <c r="QQR34" s="47"/>
      <c r="QQS34" s="47"/>
      <c r="QQT34" s="47"/>
      <c r="QQU34" s="47"/>
      <c r="QQV34" s="47"/>
      <c r="QQW34" s="47"/>
      <c r="QQX34" s="47"/>
      <c r="QQY34" s="47"/>
      <c r="QQZ34" s="47"/>
      <c r="QRA34" s="47"/>
      <c r="QRB34" s="47"/>
      <c r="QRC34" s="47"/>
      <c r="QRD34" s="47"/>
      <c r="QRE34" s="47"/>
      <c r="QRF34" s="47"/>
      <c r="QRG34" s="47"/>
      <c r="QRH34" s="47"/>
      <c r="QRI34" s="47"/>
      <c r="QRJ34" s="47"/>
      <c r="QRK34" s="47"/>
      <c r="QRL34" s="47"/>
      <c r="QRM34" s="47"/>
      <c r="QRN34" s="47"/>
      <c r="QRO34" s="47"/>
      <c r="QRP34" s="47"/>
      <c r="QRQ34" s="47"/>
      <c r="QRR34" s="47"/>
      <c r="QRS34" s="47"/>
      <c r="QRT34" s="47"/>
      <c r="QRU34" s="47"/>
      <c r="QRV34" s="47"/>
      <c r="QRW34" s="47"/>
      <c r="QRX34" s="47"/>
      <c r="QRY34" s="47"/>
      <c r="QRZ34" s="47"/>
      <c r="QSA34" s="47"/>
      <c r="QSB34" s="47"/>
      <c r="QSC34" s="47"/>
      <c r="QSD34" s="47"/>
      <c r="QSE34" s="47"/>
      <c r="QSF34" s="47"/>
      <c r="QSG34" s="47"/>
      <c r="QSH34" s="47"/>
      <c r="QSI34" s="47"/>
      <c r="QSJ34" s="47"/>
      <c r="QSK34" s="47"/>
      <c r="QSL34" s="47"/>
      <c r="QSM34" s="47"/>
      <c r="QSN34" s="47"/>
      <c r="QSO34" s="47"/>
      <c r="QSP34" s="47"/>
      <c r="QSQ34" s="47"/>
      <c r="QSR34" s="47"/>
      <c r="QSS34" s="47"/>
      <c r="QST34" s="47"/>
      <c r="QSU34" s="47"/>
      <c r="QSV34" s="47"/>
      <c r="QSW34" s="47"/>
      <c r="QSX34" s="47"/>
      <c r="QSY34" s="47"/>
      <c r="QSZ34" s="47"/>
      <c r="QTA34" s="47"/>
      <c r="QTB34" s="47"/>
      <c r="QTC34" s="47"/>
      <c r="QTD34" s="47"/>
      <c r="QTE34" s="47"/>
      <c r="QTF34" s="47"/>
      <c r="QTG34" s="47"/>
      <c r="QTH34" s="47"/>
      <c r="QTI34" s="47"/>
      <c r="QTJ34" s="47"/>
      <c r="QTK34" s="47"/>
      <c r="QTL34" s="47"/>
      <c r="QTM34" s="47"/>
      <c r="QTN34" s="47"/>
      <c r="QTO34" s="47"/>
      <c r="QTP34" s="47"/>
      <c r="QTQ34" s="47"/>
      <c r="QTR34" s="47"/>
      <c r="QTS34" s="47"/>
      <c r="QTT34" s="47"/>
      <c r="QTU34" s="47"/>
      <c r="QTV34" s="47"/>
      <c r="QTW34" s="47"/>
      <c r="QTX34" s="47"/>
      <c r="QTY34" s="47"/>
      <c r="QTZ34" s="47"/>
      <c r="QUA34" s="47"/>
      <c r="QUB34" s="47"/>
      <c r="QUC34" s="47"/>
      <c r="QUD34" s="47"/>
      <c r="QUE34" s="47"/>
      <c r="QUF34" s="47"/>
      <c r="QUG34" s="47"/>
      <c r="QUH34" s="47"/>
      <c r="QUI34" s="47"/>
      <c r="QUJ34" s="47"/>
      <c r="QUK34" s="47"/>
      <c r="QUL34" s="47"/>
      <c r="QUM34" s="47"/>
      <c r="QUN34" s="47"/>
      <c r="QUO34" s="47"/>
      <c r="QUP34" s="47"/>
      <c r="QUQ34" s="47"/>
      <c r="QUR34" s="47"/>
      <c r="QUS34" s="47"/>
      <c r="QUT34" s="47"/>
      <c r="QUU34" s="47"/>
      <c r="QUV34" s="47"/>
      <c r="QUW34" s="47"/>
      <c r="QUX34" s="47"/>
      <c r="QUY34" s="47"/>
      <c r="QUZ34" s="47"/>
      <c r="QVA34" s="47"/>
      <c r="QVB34" s="47"/>
      <c r="QVC34" s="47"/>
      <c r="QVD34" s="47"/>
      <c r="QVE34" s="47"/>
      <c r="QVF34" s="47"/>
      <c r="QVG34" s="47"/>
      <c r="QVH34" s="47"/>
      <c r="QVI34" s="47"/>
      <c r="QVJ34" s="47"/>
      <c r="QVK34" s="47"/>
      <c r="QVL34" s="47"/>
      <c r="QVM34" s="47"/>
      <c r="QVN34" s="47"/>
      <c r="QVO34" s="47"/>
      <c r="QVP34" s="47"/>
      <c r="QVQ34" s="47"/>
      <c r="QVR34" s="47"/>
      <c r="QVS34" s="47"/>
      <c r="QVT34" s="47"/>
      <c r="QVU34" s="47"/>
      <c r="QVV34" s="47"/>
      <c r="QVW34" s="47"/>
      <c r="QVX34" s="47"/>
      <c r="QVY34" s="47"/>
      <c r="QVZ34" s="47"/>
      <c r="QWA34" s="47"/>
      <c r="QWB34" s="47"/>
      <c r="QWC34" s="47"/>
      <c r="QWD34" s="47"/>
      <c r="QWE34" s="47"/>
      <c r="QWF34" s="47"/>
      <c r="QWG34" s="47"/>
      <c r="QWH34" s="47"/>
      <c r="QWI34" s="47"/>
      <c r="QWJ34" s="47"/>
      <c r="QWK34" s="47"/>
      <c r="QWL34" s="47"/>
      <c r="QWM34" s="47"/>
      <c r="QWN34" s="47"/>
      <c r="QWO34" s="47"/>
      <c r="QWP34" s="47"/>
      <c r="QWQ34" s="47"/>
      <c r="QWR34" s="47"/>
      <c r="QWS34" s="47"/>
      <c r="QWT34" s="47"/>
      <c r="QWU34" s="47"/>
      <c r="QWV34" s="47"/>
      <c r="QWW34" s="47"/>
      <c r="QWX34" s="47"/>
      <c r="QWY34" s="47"/>
      <c r="QWZ34" s="47"/>
      <c r="QXA34" s="47"/>
      <c r="QXB34" s="47"/>
      <c r="QXC34" s="47"/>
      <c r="QXD34" s="47"/>
      <c r="QXE34" s="47"/>
      <c r="QXF34" s="47"/>
      <c r="QXG34" s="47"/>
      <c r="QXH34" s="47"/>
      <c r="QXI34" s="47"/>
      <c r="QXJ34" s="47"/>
      <c r="QXK34" s="47"/>
      <c r="QXL34" s="47"/>
      <c r="QXM34" s="47"/>
      <c r="QXN34" s="47"/>
      <c r="QXO34" s="47"/>
      <c r="QXP34" s="47"/>
      <c r="QXQ34" s="47"/>
      <c r="QXR34" s="47"/>
      <c r="QXS34" s="47"/>
      <c r="QXT34" s="47"/>
      <c r="QXU34" s="47"/>
      <c r="QXV34" s="47"/>
      <c r="QXW34" s="47"/>
      <c r="QXX34" s="47"/>
      <c r="QXY34" s="47"/>
      <c r="QXZ34" s="47"/>
      <c r="QYA34" s="47"/>
      <c r="QYB34" s="47"/>
      <c r="QYC34" s="47"/>
      <c r="QYD34" s="47"/>
      <c r="QYE34" s="47"/>
      <c r="QYF34" s="47"/>
      <c r="QYG34" s="47"/>
      <c r="QYH34" s="47"/>
      <c r="QYI34" s="47"/>
      <c r="QYJ34" s="47"/>
      <c r="QYK34" s="47"/>
      <c r="QYL34" s="47"/>
      <c r="QYM34" s="47"/>
      <c r="QYN34" s="47"/>
      <c r="QYO34" s="47"/>
      <c r="QYP34" s="47"/>
      <c r="QYQ34" s="47"/>
      <c r="QYR34" s="47"/>
      <c r="QYS34" s="47"/>
      <c r="QYT34" s="47"/>
      <c r="QYU34" s="47"/>
      <c r="QYV34" s="47"/>
      <c r="QYW34" s="47"/>
      <c r="QYX34" s="47"/>
      <c r="QYY34" s="47"/>
      <c r="QYZ34" s="47"/>
      <c r="QZA34" s="47"/>
      <c r="QZB34" s="47"/>
      <c r="QZC34" s="47"/>
      <c r="QZD34" s="47"/>
      <c r="QZE34" s="47"/>
      <c r="QZF34" s="47"/>
      <c r="QZG34" s="47"/>
      <c r="QZH34" s="47"/>
      <c r="QZI34" s="47"/>
      <c r="QZJ34" s="47"/>
      <c r="QZK34" s="47"/>
      <c r="QZL34" s="47"/>
      <c r="QZM34" s="47"/>
      <c r="QZN34" s="47"/>
      <c r="QZO34" s="47"/>
      <c r="QZP34" s="47"/>
      <c r="QZQ34" s="47"/>
      <c r="QZR34" s="47"/>
      <c r="QZS34" s="47"/>
      <c r="QZT34" s="47"/>
      <c r="QZU34" s="47"/>
      <c r="QZV34" s="47"/>
      <c r="QZW34" s="47"/>
      <c r="QZX34" s="47"/>
      <c r="QZY34" s="47"/>
      <c r="QZZ34" s="47"/>
      <c r="RAA34" s="47"/>
      <c r="RAB34" s="47"/>
      <c r="RAC34" s="47"/>
      <c r="RAD34" s="47"/>
      <c r="RAE34" s="47"/>
      <c r="RAF34" s="47"/>
      <c r="RAG34" s="47"/>
      <c r="RAH34" s="47"/>
      <c r="RAI34" s="47"/>
      <c r="RAJ34" s="47"/>
      <c r="RAK34" s="47"/>
      <c r="RAL34" s="47"/>
      <c r="RAM34" s="47"/>
      <c r="RAN34" s="47"/>
      <c r="RAO34" s="47"/>
      <c r="RAP34" s="47"/>
      <c r="RAQ34" s="47"/>
      <c r="RAR34" s="47"/>
      <c r="RAS34" s="47"/>
      <c r="RAT34" s="47"/>
      <c r="RAU34" s="47"/>
      <c r="RAV34" s="47"/>
      <c r="RAW34" s="47"/>
      <c r="RAX34" s="47"/>
      <c r="RAY34" s="47"/>
      <c r="RAZ34" s="47"/>
      <c r="RBA34" s="47"/>
      <c r="RBB34" s="47"/>
      <c r="RBC34" s="47"/>
      <c r="RBD34" s="47"/>
      <c r="RBE34" s="47"/>
      <c r="RBF34" s="47"/>
      <c r="RBG34" s="47"/>
      <c r="RBH34" s="47"/>
      <c r="RBI34" s="47"/>
      <c r="RBJ34" s="47"/>
      <c r="RBK34" s="47"/>
      <c r="RBL34" s="47"/>
      <c r="RBM34" s="47"/>
      <c r="RBN34" s="47"/>
      <c r="RBO34" s="47"/>
      <c r="RBP34" s="47"/>
      <c r="RBQ34" s="47"/>
      <c r="RBR34" s="47"/>
      <c r="RBS34" s="47"/>
      <c r="RBT34" s="47"/>
      <c r="RBU34" s="47"/>
      <c r="RBV34" s="47"/>
      <c r="RBW34" s="47"/>
      <c r="RBX34" s="47"/>
      <c r="RBY34" s="47"/>
      <c r="RBZ34" s="47"/>
      <c r="RCA34" s="47"/>
      <c r="RCB34" s="47"/>
      <c r="RCC34" s="47"/>
      <c r="RCD34" s="47"/>
      <c r="RCE34" s="47"/>
      <c r="RCF34" s="47"/>
      <c r="RCG34" s="47"/>
      <c r="RCH34" s="47"/>
      <c r="RCI34" s="47"/>
      <c r="RCJ34" s="47"/>
      <c r="RCK34" s="47"/>
      <c r="RCL34" s="47"/>
      <c r="RCM34" s="47"/>
      <c r="RCN34" s="47"/>
      <c r="RCO34" s="47"/>
      <c r="RCP34" s="47"/>
      <c r="RCQ34" s="47"/>
      <c r="RCR34" s="47"/>
      <c r="RCS34" s="47"/>
      <c r="RCT34" s="47"/>
      <c r="RCU34" s="47"/>
      <c r="RCV34" s="47"/>
      <c r="RCW34" s="47"/>
      <c r="RCX34" s="47"/>
      <c r="RCY34" s="47"/>
      <c r="RCZ34" s="47"/>
      <c r="RDA34" s="47"/>
      <c r="RDB34" s="47"/>
      <c r="RDC34" s="47"/>
      <c r="RDD34" s="47"/>
      <c r="RDE34" s="47"/>
      <c r="RDF34" s="47"/>
      <c r="RDG34" s="47"/>
      <c r="RDH34" s="47"/>
      <c r="RDI34" s="47"/>
      <c r="RDJ34" s="47"/>
      <c r="RDK34" s="47"/>
      <c r="RDL34" s="47"/>
      <c r="RDM34" s="47"/>
      <c r="RDN34" s="47"/>
      <c r="RDO34" s="47"/>
      <c r="RDP34" s="47"/>
      <c r="RDQ34" s="47"/>
      <c r="RDR34" s="47"/>
      <c r="RDS34" s="47"/>
      <c r="RDT34" s="47"/>
      <c r="RDU34" s="47"/>
      <c r="RDV34" s="47"/>
      <c r="RDW34" s="47"/>
      <c r="RDX34" s="47"/>
      <c r="RDY34" s="47"/>
      <c r="RDZ34" s="47"/>
      <c r="REA34" s="47"/>
      <c r="REB34" s="47"/>
      <c r="REC34" s="47"/>
      <c r="RED34" s="47"/>
      <c r="REE34" s="47"/>
      <c r="REF34" s="47"/>
      <c r="REG34" s="47"/>
      <c r="REH34" s="47"/>
      <c r="REI34" s="47"/>
      <c r="REJ34" s="47"/>
      <c r="REK34" s="47"/>
      <c r="REL34" s="47"/>
      <c r="REM34" s="47"/>
      <c r="REN34" s="47"/>
      <c r="REO34" s="47"/>
      <c r="REP34" s="47"/>
      <c r="REQ34" s="47"/>
      <c r="RER34" s="47"/>
      <c r="RES34" s="47"/>
      <c r="RET34" s="47"/>
      <c r="REU34" s="47"/>
      <c r="REV34" s="47"/>
      <c r="REW34" s="47"/>
      <c r="REX34" s="47"/>
      <c r="REY34" s="47"/>
      <c r="REZ34" s="47"/>
      <c r="RFA34" s="47"/>
      <c r="RFB34" s="47"/>
      <c r="RFC34" s="47"/>
      <c r="RFD34" s="47"/>
      <c r="RFE34" s="47"/>
      <c r="RFF34" s="47"/>
      <c r="RFG34" s="47"/>
      <c r="RFH34" s="47"/>
      <c r="RFI34" s="47"/>
      <c r="RFJ34" s="47"/>
      <c r="RFK34" s="47"/>
      <c r="RFL34" s="47"/>
      <c r="RFM34" s="47"/>
      <c r="RFN34" s="47"/>
      <c r="RFO34" s="47"/>
      <c r="RFP34" s="47"/>
      <c r="RFQ34" s="47"/>
      <c r="RFR34" s="47"/>
      <c r="RFS34" s="47"/>
      <c r="RFT34" s="47"/>
      <c r="RFU34" s="47"/>
      <c r="RFV34" s="47"/>
      <c r="RFW34" s="47"/>
      <c r="RFX34" s="47"/>
      <c r="RFY34" s="47"/>
      <c r="RFZ34" s="47"/>
      <c r="RGA34" s="47"/>
      <c r="RGB34" s="47"/>
      <c r="RGC34" s="47"/>
      <c r="RGD34" s="47"/>
      <c r="RGE34" s="47"/>
      <c r="RGF34" s="47"/>
      <c r="RGG34" s="47"/>
      <c r="RGH34" s="47"/>
      <c r="RGI34" s="47"/>
      <c r="RGJ34" s="47"/>
      <c r="RGK34" s="47"/>
      <c r="RGL34" s="47"/>
      <c r="RGM34" s="47"/>
      <c r="RGN34" s="47"/>
      <c r="RGO34" s="47"/>
      <c r="RGP34" s="47"/>
      <c r="RGQ34" s="47"/>
      <c r="RGR34" s="47"/>
      <c r="RGS34" s="47"/>
      <c r="RGT34" s="47"/>
      <c r="RGU34" s="47"/>
      <c r="RGV34" s="47"/>
      <c r="RGW34" s="47"/>
      <c r="RGX34" s="47"/>
      <c r="RGY34" s="47"/>
      <c r="RGZ34" s="47"/>
      <c r="RHA34" s="47"/>
      <c r="RHB34" s="47"/>
      <c r="RHC34" s="47"/>
      <c r="RHD34" s="47"/>
      <c r="RHE34" s="47"/>
      <c r="RHF34" s="47"/>
      <c r="RHG34" s="47"/>
      <c r="RHH34" s="47"/>
      <c r="RHI34" s="47"/>
      <c r="RHJ34" s="47"/>
      <c r="RHK34" s="47"/>
      <c r="RHL34" s="47"/>
      <c r="RHM34" s="47"/>
      <c r="RHN34" s="47"/>
      <c r="RHO34" s="47"/>
      <c r="RHP34" s="47"/>
      <c r="RHQ34" s="47"/>
      <c r="RHR34" s="47"/>
      <c r="RHS34" s="47"/>
      <c r="RHT34" s="47"/>
      <c r="RHU34" s="47"/>
      <c r="RHV34" s="47"/>
      <c r="RHW34" s="47"/>
      <c r="RHX34" s="47"/>
      <c r="RHY34" s="47"/>
      <c r="RHZ34" s="47"/>
      <c r="RIA34" s="47"/>
      <c r="RIB34" s="47"/>
      <c r="RIC34" s="47"/>
      <c r="RID34" s="47"/>
      <c r="RIE34" s="47"/>
      <c r="RIF34" s="47"/>
      <c r="RIG34" s="47"/>
      <c r="RIH34" s="47"/>
      <c r="RII34" s="47"/>
      <c r="RIJ34" s="47"/>
      <c r="RIK34" s="47"/>
      <c r="RIL34" s="47"/>
      <c r="RIM34" s="47"/>
      <c r="RIN34" s="47"/>
      <c r="RIO34" s="47"/>
      <c r="RIP34" s="47"/>
      <c r="RIQ34" s="47"/>
      <c r="RIR34" s="47"/>
      <c r="RIS34" s="47"/>
      <c r="RIT34" s="47"/>
      <c r="RIU34" s="47"/>
      <c r="RIV34" s="47"/>
      <c r="RIW34" s="47"/>
      <c r="RIX34" s="47"/>
      <c r="RIY34" s="47"/>
      <c r="RIZ34" s="47"/>
      <c r="RJA34" s="47"/>
      <c r="RJB34" s="47"/>
      <c r="RJC34" s="47"/>
      <c r="RJD34" s="47"/>
      <c r="RJE34" s="47"/>
      <c r="RJF34" s="47"/>
      <c r="RJG34" s="47"/>
      <c r="RJH34" s="47"/>
      <c r="RJI34" s="47"/>
      <c r="RJJ34" s="47"/>
      <c r="RJK34" s="47"/>
      <c r="RJL34" s="47"/>
      <c r="RJM34" s="47"/>
      <c r="RJN34" s="47"/>
      <c r="RJO34" s="47"/>
      <c r="RJP34" s="47"/>
      <c r="RJQ34" s="47"/>
      <c r="RJR34" s="47"/>
      <c r="RJS34" s="47"/>
      <c r="RJT34" s="47"/>
      <c r="RJU34" s="47"/>
      <c r="RJV34" s="47"/>
      <c r="RJW34" s="47"/>
      <c r="RJX34" s="47"/>
      <c r="RJY34" s="47"/>
      <c r="RJZ34" s="47"/>
      <c r="RKA34" s="47"/>
      <c r="RKB34" s="47"/>
      <c r="RKC34" s="47"/>
      <c r="RKD34" s="47"/>
      <c r="RKE34" s="47"/>
      <c r="RKF34" s="47"/>
      <c r="RKG34" s="47"/>
      <c r="RKH34" s="47"/>
      <c r="RKI34" s="47"/>
      <c r="RKJ34" s="47"/>
      <c r="RKK34" s="47"/>
      <c r="RKL34" s="47"/>
      <c r="RKM34" s="47"/>
      <c r="RKN34" s="47"/>
      <c r="RKO34" s="47"/>
      <c r="RKP34" s="47"/>
      <c r="RKQ34" s="47"/>
      <c r="RKR34" s="47"/>
      <c r="RKS34" s="47"/>
      <c r="RKT34" s="47"/>
      <c r="RKU34" s="47"/>
      <c r="RKV34" s="47"/>
      <c r="RKW34" s="47"/>
      <c r="RKX34" s="47"/>
      <c r="RKY34" s="47"/>
      <c r="RKZ34" s="47"/>
      <c r="RLA34" s="47"/>
      <c r="RLB34" s="47"/>
      <c r="RLC34" s="47"/>
      <c r="RLD34" s="47"/>
      <c r="RLE34" s="47"/>
      <c r="RLF34" s="47"/>
      <c r="RLG34" s="47"/>
      <c r="RLH34" s="47"/>
      <c r="RLI34" s="47"/>
      <c r="RLJ34" s="47"/>
      <c r="RLK34" s="47"/>
      <c r="RLL34" s="47"/>
      <c r="RLM34" s="47"/>
      <c r="RLN34" s="47"/>
      <c r="RLO34" s="47"/>
      <c r="RLP34" s="47"/>
      <c r="RLQ34" s="47"/>
      <c r="RLR34" s="47"/>
      <c r="RLS34" s="47"/>
      <c r="RLT34" s="47"/>
      <c r="RLU34" s="47"/>
      <c r="RLV34" s="47"/>
      <c r="RLW34" s="47"/>
      <c r="RLX34" s="47"/>
      <c r="RLY34" s="47"/>
      <c r="RLZ34" s="47"/>
      <c r="RMA34" s="47"/>
      <c r="RMB34" s="47"/>
      <c r="RMC34" s="47"/>
      <c r="RMD34" s="47"/>
      <c r="RME34" s="47"/>
      <c r="RMF34" s="47"/>
      <c r="RMG34" s="47"/>
      <c r="RMH34" s="47"/>
      <c r="RMI34" s="47"/>
      <c r="RMJ34" s="47"/>
      <c r="RMK34" s="47"/>
      <c r="RML34" s="47"/>
      <c r="RMM34" s="47"/>
      <c r="RMN34" s="47"/>
      <c r="RMO34" s="47"/>
      <c r="RMP34" s="47"/>
      <c r="RMQ34" s="47"/>
      <c r="RMR34" s="47"/>
      <c r="RMS34" s="47"/>
      <c r="RMT34" s="47"/>
      <c r="RMU34" s="47"/>
      <c r="RMV34" s="47"/>
      <c r="RMW34" s="47"/>
      <c r="RMX34" s="47"/>
      <c r="RMY34" s="47"/>
      <c r="RMZ34" s="47"/>
      <c r="RNA34" s="47"/>
      <c r="RNB34" s="47"/>
      <c r="RNC34" s="47"/>
      <c r="RND34" s="47"/>
      <c r="RNE34" s="47"/>
      <c r="RNF34" s="47"/>
      <c r="RNG34" s="47"/>
      <c r="RNH34" s="47"/>
      <c r="RNI34" s="47"/>
      <c r="RNJ34" s="47"/>
      <c r="RNK34" s="47"/>
      <c r="RNL34" s="47"/>
      <c r="RNM34" s="47"/>
      <c r="RNN34" s="47"/>
      <c r="RNO34" s="47"/>
      <c r="RNP34" s="47"/>
      <c r="RNQ34" s="47"/>
      <c r="RNR34" s="47"/>
      <c r="RNS34" s="47"/>
      <c r="RNT34" s="47"/>
      <c r="RNU34" s="47"/>
      <c r="RNV34" s="47"/>
      <c r="RNW34" s="47"/>
      <c r="RNX34" s="47"/>
      <c r="RNY34" s="47"/>
      <c r="RNZ34" s="47"/>
      <c r="ROA34" s="47"/>
      <c r="ROB34" s="47"/>
      <c r="ROC34" s="47"/>
      <c r="ROD34" s="47"/>
      <c r="ROE34" s="47"/>
      <c r="ROF34" s="47"/>
      <c r="ROG34" s="47"/>
      <c r="ROH34" s="47"/>
      <c r="ROI34" s="47"/>
      <c r="ROJ34" s="47"/>
      <c r="ROK34" s="47"/>
      <c r="ROL34" s="47"/>
      <c r="ROM34" s="47"/>
      <c r="RON34" s="47"/>
      <c r="ROO34" s="47"/>
      <c r="ROP34" s="47"/>
      <c r="ROQ34" s="47"/>
      <c r="ROR34" s="47"/>
      <c r="ROS34" s="47"/>
      <c r="ROT34" s="47"/>
      <c r="ROU34" s="47"/>
      <c r="ROV34" s="47"/>
      <c r="ROW34" s="47"/>
      <c r="ROX34" s="47"/>
      <c r="ROY34" s="47"/>
      <c r="ROZ34" s="47"/>
      <c r="RPA34" s="47"/>
      <c r="RPB34" s="47"/>
      <c r="RPC34" s="47"/>
      <c r="RPD34" s="47"/>
      <c r="RPE34" s="47"/>
      <c r="RPF34" s="47"/>
      <c r="RPG34" s="47"/>
      <c r="RPH34" s="47"/>
      <c r="RPI34" s="47"/>
      <c r="RPJ34" s="47"/>
      <c r="RPK34" s="47"/>
      <c r="RPL34" s="47"/>
      <c r="RPM34" s="47"/>
      <c r="RPN34" s="47"/>
      <c r="RPO34" s="47"/>
      <c r="RPP34" s="47"/>
      <c r="RPQ34" s="47"/>
      <c r="RPR34" s="47"/>
      <c r="RPS34" s="47"/>
      <c r="RPT34" s="47"/>
      <c r="RPU34" s="47"/>
      <c r="RPV34" s="47"/>
      <c r="RPW34" s="47"/>
      <c r="RPX34" s="47"/>
      <c r="RPY34" s="47"/>
      <c r="RPZ34" s="47"/>
      <c r="RQA34" s="47"/>
      <c r="RQB34" s="47"/>
      <c r="RQC34" s="47"/>
      <c r="RQD34" s="47"/>
      <c r="RQE34" s="47"/>
      <c r="RQF34" s="47"/>
      <c r="RQG34" s="47"/>
      <c r="RQH34" s="47"/>
      <c r="RQI34" s="47"/>
      <c r="RQJ34" s="47"/>
      <c r="RQK34" s="47"/>
      <c r="RQL34" s="47"/>
      <c r="RQM34" s="47"/>
      <c r="RQN34" s="47"/>
      <c r="RQO34" s="47"/>
      <c r="RQP34" s="47"/>
      <c r="RQQ34" s="47"/>
      <c r="RQR34" s="47"/>
      <c r="RQS34" s="47"/>
      <c r="RQT34" s="47"/>
      <c r="RQU34" s="47"/>
      <c r="RQV34" s="47"/>
      <c r="RQW34" s="47"/>
      <c r="RQX34" s="47"/>
      <c r="RQY34" s="47"/>
      <c r="RQZ34" s="47"/>
      <c r="RRA34" s="47"/>
      <c r="RRB34" s="47"/>
      <c r="RRC34" s="47"/>
      <c r="RRD34" s="47"/>
      <c r="RRE34" s="47"/>
      <c r="RRF34" s="47"/>
      <c r="RRG34" s="47"/>
      <c r="RRH34" s="47"/>
      <c r="RRI34" s="47"/>
      <c r="RRJ34" s="47"/>
      <c r="RRK34" s="47"/>
      <c r="RRL34" s="47"/>
      <c r="RRM34" s="47"/>
      <c r="RRN34" s="47"/>
      <c r="RRO34" s="47"/>
      <c r="RRP34" s="47"/>
      <c r="RRQ34" s="47"/>
      <c r="RRR34" s="47"/>
      <c r="RRS34" s="47"/>
      <c r="RRT34" s="47"/>
      <c r="RRU34" s="47"/>
      <c r="RRV34" s="47"/>
      <c r="RRW34" s="47"/>
      <c r="RRX34" s="47"/>
      <c r="RRY34" s="47"/>
      <c r="RRZ34" s="47"/>
      <c r="RSA34" s="47"/>
      <c r="RSB34" s="47"/>
      <c r="RSC34" s="47"/>
      <c r="RSD34" s="47"/>
      <c r="RSE34" s="47"/>
      <c r="RSF34" s="47"/>
      <c r="RSG34" s="47"/>
      <c r="RSH34" s="47"/>
      <c r="RSI34" s="47"/>
      <c r="RSJ34" s="47"/>
      <c r="RSK34" s="47"/>
      <c r="RSL34" s="47"/>
      <c r="RSM34" s="47"/>
      <c r="RSN34" s="47"/>
      <c r="RSO34" s="47"/>
      <c r="RSP34" s="47"/>
      <c r="RSQ34" s="47"/>
      <c r="RSR34" s="47"/>
      <c r="RSS34" s="47"/>
      <c r="RST34" s="47"/>
      <c r="RSU34" s="47"/>
      <c r="RSV34" s="47"/>
      <c r="RSW34" s="47"/>
      <c r="RSX34" s="47"/>
      <c r="RSY34" s="47"/>
      <c r="RSZ34" s="47"/>
      <c r="RTA34" s="47"/>
      <c r="RTB34" s="47"/>
      <c r="RTC34" s="47"/>
      <c r="RTD34" s="47"/>
      <c r="RTE34" s="47"/>
      <c r="RTF34" s="47"/>
      <c r="RTG34" s="47"/>
      <c r="RTH34" s="47"/>
      <c r="RTI34" s="47"/>
      <c r="RTJ34" s="47"/>
      <c r="RTK34" s="47"/>
      <c r="RTL34" s="47"/>
      <c r="RTM34" s="47"/>
      <c r="RTN34" s="47"/>
      <c r="RTO34" s="47"/>
      <c r="RTP34" s="47"/>
      <c r="RTQ34" s="47"/>
      <c r="RTR34" s="47"/>
      <c r="RTS34" s="47"/>
      <c r="RTT34" s="47"/>
      <c r="RTU34" s="47"/>
      <c r="RTV34" s="47"/>
      <c r="RTW34" s="47"/>
      <c r="RTX34" s="47"/>
      <c r="RTY34" s="47"/>
      <c r="RTZ34" s="47"/>
      <c r="RUA34" s="47"/>
      <c r="RUB34" s="47"/>
      <c r="RUC34" s="47"/>
      <c r="RUD34" s="47"/>
      <c r="RUE34" s="47"/>
      <c r="RUF34" s="47"/>
      <c r="RUG34" s="47"/>
      <c r="RUH34" s="47"/>
      <c r="RUI34" s="47"/>
      <c r="RUJ34" s="47"/>
      <c r="RUK34" s="47"/>
      <c r="RUL34" s="47"/>
      <c r="RUM34" s="47"/>
      <c r="RUN34" s="47"/>
      <c r="RUO34" s="47"/>
      <c r="RUP34" s="47"/>
      <c r="RUQ34" s="47"/>
      <c r="RUR34" s="47"/>
      <c r="RUS34" s="47"/>
      <c r="RUT34" s="47"/>
      <c r="RUU34" s="47"/>
      <c r="RUV34" s="47"/>
      <c r="RUW34" s="47"/>
      <c r="RUX34" s="47"/>
      <c r="RUY34" s="47"/>
      <c r="RUZ34" s="47"/>
      <c r="RVA34" s="47"/>
      <c r="RVB34" s="47"/>
      <c r="RVC34" s="47"/>
      <c r="RVD34" s="47"/>
      <c r="RVE34" s="47"/>
      <c r="RVF34" s="47"/>
      <c r="RVG34" s="47"/>
      <c r="RVH34" s="47"/>
      <c r="RVI34" s="47"/>
      <c r="RVJ34" s="47"/>
      <c r="RVK34" s="47"/>
      <c r="RVL34" s="47"/>
      <c r="RVM34" s="47"/>
      <c r="RVN34" s="47"/>
      <c r="RVO34" s="47"/>
      <c r="RVP34" s="47"/>
      <c r="RVQ34" s="47"/>
      <c r="RVR34" s="47"/>
      <c r="RVS34" s="47"/>
      <c r="RVT34" s="47"/>
      <c r="RVU34" s="47"/>
      <c r="RVV34" s="47"/>
      <c r="RVW34" s="47"/>
      <c r="RVX34" s="47"/>
      <c r="RVY34" s="47"/>
      <c r="RVZ34" s="47"/>
      <c r="RWA34" s="47"/>
      <c r="RWB34" s="47"/>
      <c r="RWC34" s="47"/>
      <c r="RWD34" s="47"/>
      <c r="RWE34" s="47"/>
      <c r="RWF34" s="47"/>
      <c r="RWG34" s="47"/>
      <c r="RWH34" s="47"/>
      <c r="RWI34" s="47"/>
      <c r="RWJ34" s="47"/>
      <c r="RWK34" s="47"/>
      <c r="RWL34" s="47"/>
      <c r="RWM34" s="47"/>
      <c r="RWN34" s="47"/>
      <c r="RWO34" s="47"/>
      <c r="RWP34" s="47"/>
      <c r="RWQ34" s="47"/>
      <c r="RWR34" s="47"/>
      <c r="RWS34" s="47"/>
      <c r="RWT34" s="47"/>
      <c r="RWU34" s="47"/>
      <c r="RWV34" s="47"/>
      <c r="RWW34" s="47"/>
      <c r="RWX34" s="47"/>
      <c r="RWY34" s="47"/>
      <c r="RWZ34" s="47"/>
      <c r="RXA34" s="47"/>
      <c r="RXB34" s="47"/>
      <c r="RXC34" s="47"/>
      <c r="RXD34" s="47"/>
      <c r="RXE34" s="47"/>
      <c r="RXF34" s="47"/>
      <c r="RXG34" s="47"/>
      <c r="RXH34" s="47"/>
      <c r="RXI34" s="47"/>
      <c r="RXJ34" s="47"/>
      <c r="RXK34" s="47"/>
      <c r="RXL34" s="47"/>
      <c r="RXM34" s="47"/>
      <c r="RXN34" s="47"/>
      <c r="RXO34" s="47"/>
      <c r="RXP34" s="47"/>
      <c r="RXQ34" s="47"/>
      <c r="RXR34" s="47"/>
      <c r="RXS34" s="47"/>
      <c r="RXT34" s="47"/>
      <c r="RXU34" s="47"/>
      <c r="RXV34" s="47"/>
      <c r="RXW34" s="47"/>
      <c r="RXX34" s="47"/>
      <c r="RXY34" s="47"/>
      <c r="RXZ34" s="47"/>
      <c r="RYA34" s="47"/>
      <c r="RYB34" s="47"/>
      <c r="RYC34" s="47"/>
      <c r="RYD34" s="47"/>
      <c r="RYE34" s="47"/>
      <c r="RYF34" s="47"/>
      <c r="RYG34" s="47"/>
      <c r="RYH34" s="47"/>
      <c r="RYI34" s="47"/>
      <c r="RYJ34" s="47"/>
      <c r="RYK34" s="47"/>
      <c r="RYL34" s="47"/>
      <c r="RYM34" s="47"/>
      <c r="RYN34" s="47"/>
      <c r="RYO34" s="47"/>
      <c r="RYP34" s="47"/>
      <c r="RYQ34" s="47"/>
      <c r="RYR34" s="47"/>
      <c r="RYS34" s="47"/>
      <c r="RYT34" s="47"/>
      <c r="RYU34" s="47"/>
      <c r="RYV34" s="47"/>
      <c r="RYW34" s="47"/>
      <c r="RYX34" s="47"/>
      <c r="RYY34" s="47"/>
      <c r="RYZ34" s="47"/>
      <c r="RZA34" s="47"/>
      <c r="RZB34" s="47"/>
      <c r="RZC34" s="47"/>
      <c r="RZD34" s="47"/>
      <c r="RZE34" s="47"/>
      <c r="RZF34" s="47"/>
      <c r="RZG34" s="47"/>
      <c r="RZH34" s="47"/>
      <c r="RZI34" s="47"/>
      <c r="RZJ34" s="47"/>
      <c r="RZK34" s="47"/>
      <c r="RZL34" s="47"/>
      <c r="RZM34" s="47"/>
      <c r="RZN34" s="47"/>
      <c r="RZO34" s="47"/>
      <c r="RZP34" s="47"/>
      <c r="RZQ34" s="47"/>
      <c r="RZR34" s="47"/>
      <c r="RZS34" s="47"/>
      <c r="RZT34" s="47"/>
      <c r="RZU34" s="47"/>
      <c r="RZV34" s="47"/>
      <c r="RZW34" s="47"/>
      <c r="RZX34" s="47"/>
      <c r="RZY34" s="47"/>
      <c r="RZZ34" s="47"/>
      <c r="SAA34" s="47"/>
      <c r="SAB34" s="47"/>
      <c r="SAC34" s="47"/>
      <c r="SAD34" s="47"/>
      <c r="SAE34" s="47"/>
      <c r="SAF34" s="47"/>
      <c r="SAG34" s="47"/>
      <c r="SAH34" s="47"/>
      <c r="SAI34" s="47"/>
      <c r="SAJ34" s="47"/>
      <c r="SAK34" s="47"/>
      <c r="SAL34" s="47"/>
      <c r="SAM34" s="47"/>
      <c r="SAN34" s="47"/>
      <c r="SAO34" s="47"/>
      <c r="SAP34" s="47"/>
      <c r="SAQ34" s="47"/>
      <c r="SAR34" s="47"/>
      <c r="SAS34" s="47"/>
      <c r="SAT34" s="47"/>
      <c r="SAU34" s="47"/>
      <c r="SAV34" s="47"/>
      <c r="SAW34" s="47"/>
      <c r="SAX34" s="47"/>
      <c r="SAY34" s="47"/>
      <c r="SAZ34" s="47"/>
      <c r="SBA34" s="47"/>
      <c r="SBB34" s="47"/>
      <c r="SBC34" s="47"/>
      <c r="SBD34" s="47"/>
      <c r="SBE34" s="47"/>
      <c r="SBF34" s="47"/>
      <c r="SBG34" s="47"/>
      <c r="SBH34" s="47"/>
      <c r="SBI34" s="47"/>
      <c r="SBJ34" s="47"/>
      <c r="SBK34" s="47"/>
      <c r="SBL34" s="47"/>
      <c r="SBM34" s="47"/>
      <c r="SBN34" s="47"/>
      <c r="SBO34" s="47"/>
      <c r="SBP34" s="47"/>
      <c r="SBQ34" s="47"/>
      <c r="SBR34" s="47"/>
      <c r="SBS34" s="47"/>
      <c r="SBT34" s="47"/>
      <c r="SBU34" s="47"/>
      <c r="SBV34" s="47"/>
      <c r="SBW34" s="47"/>
      <c r="SBX34" s="47"/>
      <c r="SBY34" s="47"/>
      <c r="SBZ34" s="47"/>
      <c r="SCA34" s="47"/>
      <c r="SCB34" s="47"/>
      <c r="SCC34" s="47"/>
      <c r="SCD34" s="47"/>
      <c r="SCE34" s="47"/>
      <c r="SCF34" s="47"/>
      <c r="SCG34" s="47"/>
      <c r="SCH34" s="47"/>
      <c r="SCI34" s="47"/>
      <c r="SCJ34" s="47"/>
      <c r="SCK34" s="47"/>
      <c r="SCL34" s="47"/>
      <c r="SCM34" s="47"/>
      <c r="SCN34" s="47"/>
      <c r="SCO34" s="47"/>
      <c r="SCP34" s="47"/>
      <c r="SCQ34" s="47"/>
      <c r="SCR34" s="47"/>
      <c r="SCS34" s="47"/>
      <c r="SCT34" s="47"/>
      <c r="SCU34" s="47"/>
      <c r="SCV34" s="47"/>
      <c r="SCW34" s="47"/>
      <c r="SCX34" s="47"/>
      <c r="SCY34" s="47"/>
      <c r="SCZ34" s="47"/>
      <c r="SDA34" s="47"/>
      <c r="SDB34" s="47"/>
      <c r="SDC34" s="47"/>
      <c r="SDD34" s="47"/>
      <c r="SDE34" s="47"/>
      <c r="SDF34" s="47"/>
      <c r="SDG34" s="47"/>
      <c r="SDH34" s="47"/>
      <c r="SDI34" s="47"/>
      <c r="SDJ34" s="47"/>
      <c r="SDK34" s="47"/>
      <c r="SDL34" s="47"/>
      <c r="SDM34" s="47"/>
      <c r="SDN34" s="47"/>
      <c r="SDO34" s="47"/>
      <c r="SDP34" s="47"/>
      <c r="SDQ34" s="47"/>
      <c r="SDR34" s="47"/>
      <c r="SDS34" s="47"/>
      <c r="SDT34" s="47"/>
      <c r="SDU34" s="47"/>
      <c r="SDV34" s="47"/>
      <c r="SDW34" s="47"/>
      <c r="SDX34" s="47"/>
      <c r="SDY34" s="47"/>
      <c r="SDZ34" s="47"/>
      <c r="SEA34" s="47"/>
      <c r="SEB34" s="47"/>
      <c r="SEC34" s="47"/>
      <c r="SED34" s="47"/>
      <c r="SEE34" s="47"/>
      <c r="SEF34" s="47"/>
      <c r="SEG34" s="47"/>
      <c r="SEH34" s="47"/>
      <c r="SEI34" s="47"/>
      <c r="SEJ34" s="47"/>
      <c r="SEK34" s="47"/>
      <c r="SEL34" s="47"/>
      <c r="SEM34" s="47"/>
      <c r="SEN34" s="47"/>
      <c r="SEO34" s="47"/>
      <c r="SEP34" s="47"/>
      <c r="SEQ34" s="47"/>
      <c r="SER34" s="47"/>
      <c r="SES34" s="47"/>
      <c r="SET34" s="47"/>
      <c r="SEU34" s="47"/>
      <c r="SEV34" s="47"/>
      <c r="SEW34" s="47"/>
      <c r="SEX34" s="47"/>
      <c r="SEY34" s="47"/>
      <c r="SEZ34" s="47"/>
      <c r="SFA34" s="47"/>
      <c r="SFB34" s="47"/>
      <c r="SFC34" s="47"/>
      <c r="SFD34" s="47"/>
      <c r="SFE34" s="47"/>
      <c r="SFF34" s="47"/>
      <c r="SFG34" s="47"/>
      <c r="SFH34" s="47"/>
      <c r="SFI34" s="47"/>
      <c r="SFJ34" s="47"/>
      <c r="SFK34" s="47"/>
      <c r="SFL34" s="47"/>
      <c r="SFM34" s="47"/>
      <c r="SFN34" s="47"/>
      <c r="SFO34" s="47"/>
      <c r="SFP34" s="47"/>
      <c r="SFQ34" s="47"/>
      <c r="SFR34" s="47"/>
      <c r="SFS34" s="47"/>
      <c r="SFT34" s="47"/>
      <c r="SFU34" s="47"/>
      <c r="SFV34" s="47"/>
      <c r="SFW34" s="47"/>
      <c r="SFX34" s="47"/>
      <c r="SFY34" s="47"/>
      <c r="SFZ34" s="47"/>
      <c r="SGA34" s="47"/>
      <c r="SGB34" s="47"/>
      <c r="SGC34" s="47"/>
      <c r="SGD34" s="47"/>
      <c r="SGE34" s="47"/>
      <c r="SGF34" s="47"/>
      <c r="SGG34" s="47"/>
      <c r="SGH34" s="47"/>
      <c r="SGI34" s="47"/>
      <c r="SGJ34" s="47"/>
      <c r="SGK34" s="47"/>
      <c r="SGL34" s="47"/>
      <c r="SGM34" s="47"/>
      <c r="SGN34" s="47"/>
      <c r="SGO34" s="47"/>
      <c r="SGP34" s="47"/>
      <c r="SGQ34" s="47"/>
      <c r="SGR34" s="47"/>
      <c r="SGS34" s="47"/>
      <c r="SGT34" s="47"/>
      <c r="SGU34" s="47"/>
      <c r="SGV34" s="47"/>
      <c r="SGW34" s="47"/>
      <c r="SGX34" s="47"/>
      <c r="SGY34" s="47"/>
      <c r="SGZ34" s="47"/>
      <c r="SHA34" s="47"/>
      <c r="SHB34" s="47"/>
      <c r="SHC34" s="47"/>
      <c r="SHD34" s="47"/>
      <c r="SHE34" s="47"/>
      <c r="SHF34" s="47"/>
      <c r="SHG34" s="47"/>
      <c r="SHH34" s="47"/>
      <c r="SHI34" s="47"/>
      <c r="SHJ34" s="47"/>
      <c r="SHK34" s="47"/>
      <c r="SHL34" s="47"/>
      <c r="SHM34" s="47"/>
      <c r="SHN34" s="47"/>
      <c r="SHO34" s="47"/>
      <c r="SHP34" s="47"/>
      <c r="SHQ34" s="47"/>
      <c r="SHR34" s="47"/>
      <c r="SHS34" s="47"/>
      <c r="SHT34" s="47"/>
      <c r="SHU34" s="47"/>
      <c r="SHV34" s="47"/>
      <c r="SHW34" s="47"/>
      <c r="SHX34" s="47"/>
      <c r="SHY34" s="47"/>
      <c r="SHZ34" s="47"/>
      <c r="SIA34" s="47"/>
      <c r="SIB34" s="47"/>
      <c r="SIC34" s="47"/>
      <c r="SID34" s="47"/>
      <c r="SIE34" s="47"/>
      <c r="SIF34" s="47"/>
      <c r="SIG34" s="47"/>
      <c r="SIH34" s="47"/>
      <c r="SII34" s="47"/>
      <c r="SIJ34" s="47"/>
      <c r="SIK34" s="47"/>
      <c r="SIL34" s="47"/>
      <c r="SIM34" s="47"/>
      <c r="SIN34" s="47"/>
      <c r="SIO34" s="47"/>
      <c r="SIP34" s="47"/>
      <c r="SIQ34" s="47"/>
      <c r="SIR34" s="47"/>
      <c r="SIS34" s="47"/>
      <c r="SIT34" s="47"/>
      <c r="SIU34" s="47"/>
      <c r="SIV34" s="47"/>
      <c r="SIW34" s="47"/>
      <c r="SIX34" s="47"/>
      <c r="SIY34" s="47"/>
      <c r="SIZ34" s="47"/>
      <c r="SJA34" s="47"/>
      <c r="SJB34" s="47"/>
      <c r="SJC34" s="47"/>
      <c r="SJD34" s="47"/>
      <c r="SJE34" s="47"/>
      <c r="SJF34" s="47"/>
      <c r="SJG34" s="47"/>
      <c r="SJH34" s="47"/>
      <c r="SJI34" s="47"/>
      <c r="SJJ34" s="47"/>
      <c r="SJK34" s="47"/>
      <c r="SJL34" s="47"/>
      <c r="SJM34" s="47"/>
      <c r="SJN34" s="47"/>
      <c r="SJO34" s="47"/>
      <c r="SJP34" s="47"/>
      <c r="SJQ34" s="47"/>
      <c r="SJR34" s="47"/>
      <c r="SJS34" s="47"/>
      <c r="SJT34" s="47"/>
      <c r="SJU34" s="47"/>
      <c r="SJV34" s="47"/>
      <c r="SJW34" s="47"/>
      <c r="SJX34" s="47"/>
      <c r="SJY34" s="47"/>
      <c r="SJZ34" s="47"/>
      <c r="SKA34" s="47"/>
      <c r="SKB34" s="47"/>
      <c r="SKC34" s="47"/>
      <c r="SKD34" s="47"/>
      <c r="SKE34" s="47"/>
      <c r="SKF34" s="47"/>
      <c r="SKG34" s="47"/>
      <c r="SKH34" s="47"/>
      <c r="SKI34" s="47"/>
      <c r="SKJ34" s="47"/>
      <c r="SKK34" s="47"/>
      <c r="SKL34" s="47"/>
      <c r="SKM34" s="47"/>
      <c r="SKN34" s="47"/>
      <c r="SKO34" s="47"/>
      <c r="SKP34" s="47"/>
      <c r="SKQ34" s="47"/>
      <c r="SKR34" s="47"/>
      <c r="SKS34" s="47"/>
      <c r="SKT34" s="47"/>
      <c r="SKU34" s="47"/>
      <c r="SKV34" s="47"/>
      <c r="SKW34" s="47"/>
      <c r="SKX34" s="47"/>
      <c r="SKY34" s="47"/>
      <c r="SKZ34" s="47"/>
      <c r="SLA34" s="47"/>
      <c r="SLB34" s="47"/>
      <c r="SLC34" s="47"/>
      <c r="SLD34" s="47"/>
      <c r="SLE34" s="47"/>
      <c r="SLF34" s="47"/>
      <c r="SLG34" s="47"/>
      <c r="SLH34" s="47"/>
      <c r="SLI34" s="47"/>
      <c r="SLJ34" s="47"/>
      <c r="SLK34" s="47"/>
      <c r="SLL34" s="47"/>
      <c r="SLM34" s="47"/>
      <c r="SLN34" s="47"/>
      <c r="SLO34" s="47"/>
      <c r="SLP34" s="47"/>
      <c r="SLQ34" s="47"/>
      <c r="SLR34" s="47"/>
      <c r="SLS34" s="47"/>
      <c r="SLT34" s="47"/>
      <c r="SLU34" s="47"/>
      <c r="SLV34" s="47"/>
      <c r="SLW34" s="47"/>
      <c r="SLX34" s="47"/>
      <c r="SLY34" s="47"/>
      <c r="SLZ34" s="47"/>
      <c r="SMA34" s="47"/>
      <c r="SMB34" s="47"/>
      <c r="SMC34" s="47"/>
      <c r="SMD34" s="47"/>
      <c r="SME34" s="47"/>
      <c r="SMF34" s="47"/>
      <c r="SMG34" s="47"/>
      <c r="SMH34" s="47"/>
      <c r="SMI34" s="47"/>
      <c r="SMJ34" s="47"/>
      <c r="SMK34" s="47"/>
      <c r="SML34" s="47"/>
      <c r="SMM34" s="47"/>
      <c r="SMN34" s="47"/>
      <c r="SMO34" s="47"/>
      <c r="SMP34" s="47"/>
      <c r="SMQ34" s="47"/>
      <c r="SMR34" s="47"/>
      <c r="SMS34" s="47"/>
      <c r="SMT34" s="47"/>
      <c r="SMU34" s="47"/>
      <c r="SMV34" s="47"/>
      <c r="SMW34" s="47"/>
      <c r="SMX34" s="47"/>
      <c r="SMY34" s="47"/>
      <c r="SMZ34" s="47"/>
      <c r="SNA34" s="47"/>
      <c r="SNB34" s="47"/>
      <c r="SNC34" s="47"/>
      <c r="SND34" s="47"/>
      <c r="SNE34" s="47"/>
      <c r="SNF34" s="47"/>
      <c r="SNG34" s="47"/>
      <c r="SNH34" s="47"/>
      <c r="SNI34" s="47"/>
      <c r="SNJ34" s="47"/>
      <c r="SNK34" s="47"/>
      <c r="SNL34" s="47"/>
      <c r="SNM34" s="47"/>
      <c r="SNN34" s="47"/>
      <c r="SNO34" s="47"/>
      <c r="SNP34" s="47"/>
      <c r="SNQ34" s="47"/>
      <c r="SNR34" s="47"/>
      <c r="SNS34" s="47"/>
      <c r="SNT34" s="47"/>
      <c r="SNU34" s="47"/>
      <c r="SNV34" s="47"/>
      <c r="SNW34" s="47"/>
      <c r="SNX34" s="47"/>
      <c r="SNY34" s="47"/>
      <c r="SNZ34" s="47"/>
      <c r="SOA34" s="47"/>
      <c r="SOB34" s="47"/>
      <c r="SOC34" s="47"/>
      <c r="SOD34" s="47"/>
      <c r="SOE34" s="47"/>
      <c r="SOF34" s="47"/>
      <c r="SOG34" s="47"/>
      <c r="SOH34" s="47"/>
      <c r="SOI34" s="47"/>
      <c r="SOJ34" s="47"/>
      <c r="SOK34" s="47"/>
      <c r="SOL34" s="47"/>
      <c r="SOM34" s="47"/>
      <c r="SON34" s="47"/>
      <c r="SOO34" s="47"/>
      <c r="SOP34" s="47"/>
      <c r="SOQ34" s="47"/>
      <c r="SOR34" s="47"/>
      <c r="SOS34" s="47"/>
      <c r="SOT34" s="47"/>
      <c r="SOU34" s="47"/>
      <c r="SOV34" s="47"/>
      <c r="SOW34" s="47"/>
      <c r="SOX34" s="47"/>
      <c r="SOY34" s="47"/>
      <c r="SOZ34" s="47"/>
      <c r="SPA34" s="47"/>
      <c r="SPB34" s="47"/>
      <c r="SPC34" s="47"/>
      <c r="SPD34" s="47"/>
      <c r="SPE34" s="47"/>
      <c r="SPF34" s="47"/>
      <c r="SPG34" s="47"/>
      <c r="SPH34" s="47"/>
      <c r="SPI34" s="47"/>
      <c r="SPJ34" s="47"/>
      <c r="SPK34" s="47"/>
      <c r="SPL34" s="47"/>
      <c r="SPM34" s="47"/>
      <c r="SPN34" s="47"/>
      <c r="SPO34" s="47"/>
      <c r="SPP34" s="47"/>
      <c r="SPQ34" s="47"/>
      <c r="SPR34" s="47"/>
      <c r="SPS34" s="47"/>
      <c r="SPT34" s="47"/>
      <c r="SPU34" s="47"/>
      <c r="SPV34" s="47"/>
      <c r="SPW34" s="47"/>
      <c r="SPX34" s="47"/>
      <c r="SPY34" s="47"/>
      <c r="SPZ34" s="47"/>
      <c r="SQA34" s="47"/>
      <c r="SQB34" s="47"/>
      <c r="SQC34" s="47"/>
      <c r="SQD34" s="47"/>
      <c r="SQE34" s="47"/>
      <c r="SQF34" s="47"/>
      <c r="SQG34" s="47"/>
      <c r="SQH34" s="47"/>
      <c r="SQI34" s="47"/>
      <c r="SQJ34" s="47"/>
      <c r="SQK34" s="47"/>
      <c r="SQL34" s="47"/>
      <c r="SQM34" s="47"/>
      <c r="SQN34" s="47"/>
      <c r="SQO34" s="47"/>
      <c r="SQP34" s="47"/>
      <c r="SQQ34" s="47"/>
      <c r="SQR34" s="47"/>
      <c r="SQS34" s="47"/>
      <c r="SQT34" s="47"/>
      <c r="SQU34" s="47"/>
      <c r="SQV34" s="47"/>
      <c r="SQW34" s="47"/>
      <c r="SQX34" s="47"/>
      <c r="SQY34" s="47"/>
      <c r="SQZ34" s="47"/>
      <c r="SRA34" s="47"/>
      <c r="SRB34" s="47"/>
      <c r="SRC34" s="47"/>
      <c r="SRD34" s="47"/>
      <c r="SRE34" s="47"/>
      <c r="SRF34" s="47"/>
      <c r="SRG34" s="47"/>
      <c r="SRH34" s="47"/>
      <c r="SRI34" s="47"/>
      <c r="SRJ34" s="47"/>
      <c r="SRK34" s="47"/>
      <c r="SRL34" s="47"/>
      <c r="SRM34" s="47"/>
      <c r="SRN34" s="47"/>
      <c r="SRO34" s="47"/>
      <c r="SRP34" s="47"/>
      <c r="SRQ34" s="47"/>
      <c r="SRR34" s="47"/>
      <c r="SRS34" s="47"/>
      <c r="SRT34" s="47"/>
      <c r="SRU34" s="47"/>
      <c r="SRV34" s="47"/>
      <c r="SRW34" s="47"/>
      <c r="SRX34" s="47"/>
      <c r="SRY34" s="47"/>
      <c r="SRZ34" s="47"/>
      <c r="SSA34" s="47"/>
      <c r="SSB34" s="47"/>
      <c r="SSC34" s="47"/>
      <c r="SSD34" s="47"/>
      <c r="SSE34" s="47"/>
      <c r="SSF34" s="47"/>
      <c r="SSG34" s="47"/>
      <c r="SSH34" s="47"/>
      <c r="SSI34" s="47"/>
      <c r="SSJ34" s="47"/>
      <c r="SSK34" s="47"/>
      <c r="SSL34" s="47"/>
      <c r="SSM34" s="47"/>
      <c r="SSN34" s="47"/>
      <c r="SSO34" s="47"/>
      <c r="SSP34" s="47"/>
      <c r="SSQ34" s="47"/>
      <c r="SSR34" s="47"/>
      <c r="SSS34" s="47"/>
      <c r="SST34" s="47"/>
      <c r="SSU34" s="47"/>
      <c r="SSV34" s="47"/>
      <c r="SSW34" s="47"/>
      <c r="SSX34" s="47"/>
      <c r="SSY34" s="47"/>
      <c r="SSZ34" s="47"/>
      <c r="STA34" s="47"/>
      <c r="STB34" s="47"/>
      <c r="STC34" s="47"/>
      <c r="STD34" s="47"/>
      <c r="STE34" s="47"/>
      <c r="STF34" s="47"/>
      <c r="STG34" s="47"/>
      <c r="STH34" s="47"/>
      <c r="STI34" s="47"/>
      <c r="STJ34" s="47"/>
      <c r="STK34" s="47"/>
      <c r="STL34" s="47"/>
      <c r="STM34" s="47"/>
      <c r="STN34" s="47"/>
      <c r="STO34" s="47"/>
      <c r="STP34" s="47"/>
      <c r="STQ34" s="47"/>
      <c r="STR34" s="47"/>
      <c r="STS34" s="47"/>
      <c r="STT34" s="47"/>
      <c r="STU34" s="47"/>
      <c r="STV34" s="47"/>
      <c r="STW34" s="47"/>
      <c r="STX34" s="47"/>
      <c r="STY34" s="47"/>
      <c r="STZ34" s="47"/>
      <c r="SUA34" s="47"/>
      <c r="SUB34" s="47"/>
      <c r="SUC34" s="47"/>
      <c r="SUD34" s="47"/>
      <c r="SUE34" s="47"/>
      <c r="SUF34" s="47"/>
      <c r="SUG34" s="47"/>
      <c r="SUH34" s="47"/>
      <c r="SUI34" s="47"/>
      <c r="SUJ34" s="47"/>
      <c r="SUK34" s="47"/>
      <c r="SUL34" s="47"/>
      <c r="SUM34" s="47"/>
      <c r="SUN34" s="47"/>
      <c r="SUO34" s="47"/>
      <c r="SUP34" s="47"/>
      <c r="SUQ34" s="47"/>
      <c r="SUR34" s="47"/>
      <c r="SUS34" s="47"/>
      <c r="SUT34" s="47"/>
      <c r="SUU34" s="47"/>
      <c r="SUV34" s="47"/>
      <c r="SUW34" s="47"/>
      <c r="SUX34" s="47"/>
      <c r="SUY34" s="47"/>
      <c r="SUZ34" s="47"/>
      <c r="SVA34" s="47"/>
      <c r="SVB34" s="47"/>
      <c r="SVC34" s="47"/>
      <c r="SVD34" s="47"/>
      <c r="SVE34" s="47"/>
      <c r="SVF34" s="47"/>
      <c r="SVG34" s="47"/>
      <c r="SVH34" s="47"/>
      <c r="SVI34" s="47"/>
      <c r="SVJ34" s="47"/>
      <c r="SVK34" s="47"/>
      <c r="SVL34" s="47"/>
      <c r="SVM34" s="47"/>
      <c r="SVN34" s="47"/>
      <c r="SVO34" s="47"/>
      <c r="SVP34" s="47"/>
      <c r="SVQ34" s="47"/>
      <c r="SVR34" s="47"/>
      <c r="SVS34" s="47"/>
      <c r="SVT34" s="47"/>
      <c r="SVU34" s="47"/>
      <c r="SVV34" s="47"/>
      <c r="SVW34" s="47"/>
      <c r="SVX34" s="47"/>
      <c r="SVY34" s="47"/>
      <c r="SVZ34" s="47"/>
      <c r="SWA34" s="47"/>
      <c r="SWB34" s="47"/>
      <c r="SWC34" s="47"/>
      <c r="SWD34" s="47"/>
      <c r="SWE34" s="47"/>
      <c r="SWF34" s="47"/>
      <c r="SWG34" s="47"/>
      <c r="SWH34" s="47"/>
      <c r="SWI34" s="47"/>
      <c r="SWJ34" s="47"/>
      <c r="SWK34" s="47"/>
      <c r="SWL34" s="47"/>
      <c r="SWM34" s="47"/>
      <c r="SWN34" s="47"/>
      <c r="SWO34" s="47"/>
      <c r="SWP34" s="47"/>
      <c r="SWQ34" s="47"/>
      <c r="SWR34" s="47"/>
      <c r="SWS34" s="47"/>
      <c r="SWT34" s="47"/>
      <c r="SWU34" s="47"/>
      <c r="SWV34" s="47"/>
      <c r="SWW34" s="47"/>
      <c r="SWX34" s="47"/>
      <c r="SWY34" s="47"/>
      <c r="SWZ34" s="47"/>
      <c r="SXA34" s="47"/>
      <c r="SXB34" s="47"/>
      <c r="SXC34" s="47"/>
      <c r="SXD34" s="47"/>
      <c r="SXE34" s="47"/>
      <c r="SXF34" s="47"/>
      <c r="SXG34" s="47"/>
      <c r="SXH34" s="47"/>
      <c r="SXI34" s="47"/>
      <c r="SXJ34" s="47"/>
      <c r="SXK34" s="47"/>
      <c r="SXL34" s="47"/>
      <c r="SXM34" s="47"/>
      <c r="SXN34" s="47"/>
      <c r="SXO34" s="47"/>
      <c r="SXP34" s="47"/>
      <c r="SXQ34" s="47"/>
      <c r="SXR34" s="47"/>
      <c r="SXS34" s="47"/>
      <c r="SXT34" s="47"/>
      <c r="SXU34" s="47"/>
      <c r="SXV34" s="47"/>
      <c r="SXW34" s="47"/>
      <c r="SXX34" s="47"/>
      <c r="SXY34" s="47"/>
      <c r="SXZ34" s="47"/>
      <c r="SYA34" s="47"/>
      <c r="SYB34" s="47"/>
      <c r="SYC34" s="47"/>
      <c r="SYD34" s="47"/>
      <c r="SYE34" s="47"/>
      <c r="SYF34" s="47"/>
      <c r="SYG34" s="47"/>
      <c r="SYH34" s="47"/>
      <c r="SYI34" s="47"/>
      <c r="SYJ34" s="47"/>
      <c r="SYK34" s="47"/>
      <c r="SYL34" s="47"/>
      <c r="SYM34" s="47"/>
      <c r="SYN34" s="47"/>
      <c r="SYO34" s="47"/>
      <c r="SYP34" s="47"/>
      <c r="SYQ34" s="47"/>
      <c r="SYR34" s="47"/>
      <c r="SYS34" s="47"/>
      <c r="SYT34" s="47"/>
      <c r="SYU34" s="47"/>
      <c r="SYV34" s="47"/>
      <c r="SYW34" s="47"/>
      <c r="SYX34" s="47"/>
      <c r="SYY34" s="47"/>
      <c r="SYZ34" s="47"/>
      <c r="SZA34" s="47"/>
      <c r="SZB34" s="47"/>
      <c r="SZC34" s="47"/>
      <c r="SZD34" s="47"/>
      <c r="SZE34" s="47"/>
      <c r="SZF34" s="47"/>
      <c r="SZG34" s="47"/>
      <c r="SZH34" s="47"/>
      <c r="SZI34" s="47"/>
      <c r="SZJ34" s="47"/>
      <c r="SZK34" s="47"/>
      <c r="SZL34" s="47"/>
      <c r="SZM34" s="47"/>
      <c r="SZN34" s="47"/>
      <c r="SZO34" s="47"/>
      <c r="SZP34" s="47"/>
      <c r="SZQ34" s="47"/>
      <c r="SZR34" s="47"/>
      <c r="SZS34" s="47"/>
      <c r="SZT34" s="47"/>
      <c r="SZU34" s="47"/>
      <c r="SZV34" s="47"/>
      <c r="SZW34" s="47"/>
      <c r="SZX34" s="47"/>
      <c r="SZY34" s="47"/>
      <c r="SZZ34" s="47"/>
      <c r="TAA34" s="47"/>
      <c r="TAB34" s="47"/>
      <c r="TAC34" s="47"/>
      <c r="TAD34" s="47"/>
      <c r="TAE34" s="47"/>
      <c r="TAF34" s="47"/>
      <c r="TAG34" s="47"/>
      <c r="TAH34" s="47"/>
      <c r="TAI34" s="47"/>
      <c r="TAJ34" s="47"/>
      <c r="TAK34" s="47"/>
      <c r="TAL34" s="47"/>
      <c r="TAM34" s="47"/>
      <c r="TAN34" s="47"/>
      <c r="TAO34" s="47"/>
      <c r="TAP34" s="47"/>
      <c r="TAQ34" s="47"/>
      <c r="TAR34" s="47"/>
      <c r="TAS34" s="47"/>
      <c r="TAT34" s="47"/>
      <c r="TAU34" s="47"/>
      <c r="TAV34" s="47"/>
      <c r="TAW34" s="47"/>
      <c r="TAX34" s="47"/>
      <c r="TAY34" s="47"/>
      <c r="TAZ34" s="47"/>
      <c r="TBA34" s="47"/>
      <c r="TBB34" s="47"/>
      <c r="TBC34" s="47"/>
      <c r="TBD34" s="47"/>
      <c r="TBE34" s="47"/>
      <c r="TBF34" s="47"/>
      <c r="TBG34" s="47"/>
      <c r="TBH34" s="47"/>
      <c r="TBI34" s="47"/>
      <c r="TBJ34" s="47"/>
      <c r="TBK34" s="47"/>
      <c r="TBL34" s="47"/>
      <c r="TBM34" s="47"/>
      <c r="TBN34" s="47"/>
      <c r="TBO34" s="47"/>
      <c r="TBP34" s="47"/>
      <c r="TBQ34" s="47"/>
      <c r="TBR34" s="47"/>
      <c r="TBS34" s="47"/>
      <c r="TBT34" s="47"/>
      <c r="TBU34" s="47"/>
      <c r="TBV34" s="47"/>
      <c r="TBW34" s="47"/>
      <c r="TBX34" s="47"/>
      <c r="TBY34" s="47"/>
      <c r="TBZ34" s="47"/>
      <c r="TCA34" s="47"/>
      <c r="TCB34" s="47"/>
      <c r="TCC34" s="47"/>
      <c r="TCD34" s="47"/>
      <c r="TCE34" s="47"/>
      <c r="TCF34" s="47"/>
      <c r="TCG34" s="47"/>
      <c r="TCH34" s="47"/>
      <c r="TCI34" s="47"/>
      <c r="TCJ34" s="47"/>
      <c r="TCK34" s="47"/>
      <c r="TCL34" s="47"/>
      <c r="TCM34" s="47"/>
      <c r="TCN34" s="47"/>
      <c r="TCO34" s="47"/>
      <c r="TCP34" s="47"/>
      <c r="TCQ34" s="47"/>
      <c r="TCR34" s="47"/>
      <c r="TCS34" s="47"/>
      <c r="TCT34" s="47"/>
      <c r="TCU34" s="47"/>
      <c r="TCV34" s="47"/>
      <c r="TCW34" s="47"/>
      <c r="TCX34" s="47"/>
      <c r="TCY34" s="47"/>
      <c r="TCZ34" s="47"/>
      <c r="TDA34" s="47"/>
      <c r="TDB34" s="47"/>
      <c r="TDC34" s="47"/>
      <c r="TDD34" s="47"/>
      <c r="TDE34" s="47"/>
      <c r="TDF34" s="47"/>
      <c r="TDG34" s="47"/>
      <c r="TDH34" s="47"/>
      <c r="TDI34" s="47"/>
      <c r="TDJ34" s="47"/>
      <c r="TDK34" s="47"/>
      <c r="TDL34" s="47"/>
      <c r="TDM34" s="47"/>
      <c r="TDN34" s="47"/>
      <c r="TDO34" s="47"/>
      <c r="TDP34" s="47"/>
      <c r="TDQ34" s="47"/>
      <c r="TDR34" s="47"/>
      <c r="TDS34" s="47"/>
      <c r="TDT34" s="47"/>
      <c r="TDU34" s="47"/>
      <c r="TDV34" s="47"/>
      <c r="TDW34" s="47"/>
      <c r="TDX34" s="47"/>
      <c r="TDY34" s="47"/>
      <c r="TDZ34" s="47"/>
      <c r="TEA34" s="47"/>
      <c r="TEB34" s="47"/>
      <c r="TEC34" s="47"/>
      <c r="TED34" s="47"/>
      <c r="TEE34" s="47"/>
      <c r="TEF34" s="47"/>
      <c r="TEG34" s="47"/>
      <c r="TEH34" s="47"/>
      <c r="TEI34" s="47"/>
      <c r="TEJ34" s="47"/>
      <c r="TEK34" s="47"/>
      <c r="TEL34" s="47"/>
      <c r="TEM34" s="47"/>
      <c r="TEN34" s="47"/>
      <c r="TEO34" s="47"/>
      <c r="TEP34" s="47"/>
      <c r="TEQ34" s="47"/>
      <c r="TER34" s="47"/>
      <c r="TES34" s="47"/>
      <c r="TET34" s="47"/>
      <c r="TEU34" s="47"/>
      <c r="TEV34" s="47"/>
      <c r="TEW34" s="47"/>
      <c r="TEX34" s="47"/>
      <c r="TEY34" s="47"/>
      <c r="TEZ34" s="47"/>
      <c r="TFA34" s="47"/>
      <c r="TFB34" s="47"/>
      <c r="TFC34" s="47"/>
      <c r="TFD34" s="47"/>
      <c r="TFE34" s="47"/>
      <c r="TFF34" s="47"/>
      <c r="TFG34" s="47"/>
      <c r="TFH34" s="47"/>
      <c r="TFI34" s="47"/>
      <c r="TFJ34" s="47"/>
      <c r="TFK34" s="47"/>
      <c r="TFL34" s="47"/>
      <c r="TFM34" s="47"/>
      <c r="TFN34" s="47"/>
      <c r="TFO34" s="47"/>
      <c r="TFP34" s="47"/>
      <c r="TFQ34" s="47"/>
      <c r="TFR34" s="47"/>
      <c r="TFS34" s="47"/>
      <c r="TFT34" s="47"/>
      <c r="TFU34" s="47"/>
      <c r="TFV34" s="47"/>
      <c r="TFW34" s="47"/>
      <c r="TFX34" s="47"/>
      <c r="TFY34" s="47"/>
      <c r="TFZ34" s="47"/>
      <c r="TGA34" s="47"/>
      <c r="TGB34" s="47"/>
      <c r="TGC34" s="47"/>
      <c r="TGD34" s="47"/>
      <c r="TGE34" s="47"/>
      <c r="TGF34" s="47"/>
      <c r="TGG34" s="47"/>
      <c r="TGH34" s="47"/>
      <c r="TGI34" s="47"/>
      <c r="TGJ34" s="47"/>
      <c r="TGK34" s="47"/>
      <c r="TGL34" s="47"/>
      <c r="TGM34" s="47"/>
      <c r="TGN34" s="47"/>
      <c r="TGO34" s="47"/>
      <c r="TGP34" s="47"/>
      <c r="TGQ34" s="47"/>
      <c r="TGR34" s="47"/>
      <c r="TGS34" s="47"/>
      <c r="TGT34" s="47"/>
      <c r="TGU34" s="47"/>
      <c r="TGV34" s="47"/>
      <c r="TGW34" s="47"/>
      <c r="TGX34" s="47"/>
      <c r="TGY34" s="47"/>
      <c r="TGZ34" s="47"/>
      <c r="THA34" s="47"/>
      <c r="THB34" s="47"/>
      <c r="THC34" s="47"/>
      <c r="THD34" s="47"/>
      <c r="THE34" s="47"/>
      <c r="THF34" s="47"/>
      <c r="THG34" s="47"/>
      <c r="THH34" s="47"/>
      <c r="THI34" s="47"/>
      <c r="THJ34" s="47"/>
      <c r="THK34" s="47"/>
      <c r="THL34" s="47"/>
      <c r="THM34" s="47"/>
      <c r="THN34" s="47"/>
      <c r="THO34" s="47"/>
      <c r="THP34" s="47"/>
      <c r="THQ34" s="47"/>
      <c r="THR34" s="47"/>
      <c r="THS34" s="47"/>
      <c r="THT34" s="47"/>
      <c r="THU34" s="47"/>
      <c r="THV34" s="47"/>
      <c r="THW34" s="47"/>
      <c r="THX34" s="47"/>
      <c r="THY34" s="47"/>
      <c r="THZ34" s="47"/>
      <c r="TIA34" s="47"/>
      <c r="TIB34" s="47"/>
      <c r="TIC34" s="47"/>
      <c r="TID34" s="47"/>
      <c r="TIE34" s="47"/>
      <c r="TIF34" s="47"/>
      <c r="TIG34" s="47"/>
      <c r="TIH34" s="47"/>
      <c r="TII34" s="47"/>
      <c r="TIJ34" s="47"/>
      <c r="TIK34" s="47"/>
      <c r="TIL34" s="47"/>
      <c r="TIM34" s="47"/>
      <c r="TIN34" s="47"/>
      <c r="TIO34" s="47"/>
      <c r="TIP34" s="47"/>
      <c r="TIQ34" s="47"/>
      <c r="TIR34" s="47"/>
      <c r="TIS34" s="47"/>
      <c r="TIT34" s="47"/>
      <c r="TIU34" s="47"/>
      <c r="TIV34" s="47"/>
      <c r="TIW34" s="47"/>
      <c r="TIX34" s="47"/>
      <c r="TIY34" s="47"/>
      <c r="TIZ34" s="47"/>
      <c r="TJA34" s="47"/>
      <c r="TJB34" s="47"/>
      <c r="TJC34" s="47"/>
      <c r="TJD34" s="47"/>
      <c r="TJE34" s="47"/>
      <c r="TJF34" s="47"/>
      <c r="TJG34" s="47"/>
      <c r="TJH34" s="47"/>
      <c r="TJI34" s="47"/>
      <c r="TJJ34" s="47"/>
      <c r="TJK34" s="47"/>
      <c r="TJL34" s="47"/>
      <c r="TJM34" s="47"/>
      <c r="TJN34" s="47"/>
      <c r="TJO34" s="47"/>
      <c r="TJP34" s="47"/>
      <c r="TJQ34" s="47"/>
      <c r="TJR34" s="47"/>
      <c r="TJS34" s="47"/>
      <c r="TJT34" s="47"/>
      <c r="TJU34" s="47"/>
      <c r="TJV34" s="47"/>
      <c r="TJW34" s="47"/>
      <c r="TJX34" s="47"/>
      <c r="TJY34" s="47"/>
      <c r="TJZ34" s="47"/>
      <c r="TKA34" s="47"/>
      <c r="TKB34" s="47"/>
      <c r="TKC34" s="47"/>
      <c r="TKD34" s="47"/>
      <c r="TKE34" s="47"/>
      <c r="TKF34" s="47"/>
      <c r="TKG34" s="47"/>
      <c r="TKH34" s="47"/>
      <c r="TKI34" s="47"/>
      <c r="TKJ34" s="47"/>
      <c r="TKK34" s="47"/>
      <c r="TKL34" s="47"/>
      <c r="TKM34" s="47"/>
      <c r="TKN34" s="47"/>
      <c r="TKO34" s="47"/>
      <c r="TKP34" s="47"/>
      <c r="TKQ34" s="47"/>
      <c r="TKR34" s="47"/>
      <c r="TKS34" s="47"/>
      <c r="TKT34" s="47"/>
      <c r="TKU34" s="47"/>
      <c r="TKV34" s="47"/>
      <c r="TKW34" s="47"/>
      <c r="TKX34" s="47"/>
      <c r="TKY34" s="47"/>
      <c r="TKZ34" s="47"/>
      <c r="TLA34" s="47"/>
      <c r="TLB34" s="47"/>
      <c r="TLC34" s="47"/>
      <c r="TLD34" s="47"/>
      <c r="TLE34" s="47"/>
      <c r="TLF34" s="47"/>
      <c r="TLG34" s="47"/>
      <c r="TLH34" s="47"/>
      <c r="TLI34" s="47"/>
      <c r="TLJ34" s="47"/>
      <c r="TLK34" s="47"/>
      <c r="TLL34" s="47"/>
      <c r="TLM34" s="47"/>
      <c r="TLN34" s="47"/>
      <c r="TLO34" s="47"/>
      <c r="TLP34" s="47"/>
      <c r="TLQ34" s="47"/>
      <c r="TLR34" s="47"/>
      <c r="TLS34" s="47"/>
      <c r="TLT34" s="47"/>
      <c r="TLU34" s="47"/>
      <c r="TLV34" s="47"/>
      <c r="TLW34" s="47"/>
      <c r="TLX34" s="47"/>
      <c r="TLY34" s="47"/>
      <c r="TLZ34" s="47"/>
      <c r="TMA34" s="47"/>
      <c r="TMB34" s="47"/>
      <c r="TMC34" s="47"/>
      <c r="TMD34" s="47"/>
      <c r="TME34" s="47"/>
      <c r="TMF34" s="47"/>
      <c r="TMG34" s="47"/>
      <c r="TMH34" s="47"/>
      <c r="TMI34" s="47"/>
      <c r="TMJ34" s="47"/>
      <c r="TMK34" s="47"/>
      <c r="TML34" s="47"/>
      <c r="TMM34" s="47"/>
      <c r="TMN34" s="47"/>
      <c r="TMO34" s="47"/>
      <c r="TMP34" s="47"/>
      <c r="TMQ34" s="47"/>
      <c r="TMR34" s="47"/>
      <c r="TMS34" s="47"/>
      <c r="TMT34" s="47"/>
      <c r="TMU34" s="47"/>
      <c r="TMV34" s="47"/>
      <c r="TMW34" s="47"/>
      <c r="TMX34" s="47"/>
      <c r="TMY34" s="47"/>
      <c r="TMZ34" s="47"/>
      <c r="TNA34" s="47"/>
      <c r="TNB34" s="47"/>
      <c r="TNC34" s="47"/>
      <c r="TND34" s="47"/>
      <c r="TNE34" s="47"/>
      <c r="TNF34" s="47"/>
      <c r="TNG34" s="47"/>
      <c r="TNH34" s="47"/>
      <c r="TNI34" s="47"/>
      <c r="TNJ34" s="47"/>
      <c r="TNK34" s="47"/>
      <c r="TNL34" s="47"/>
      <c r="TNM34" s="47"/>
      <c r="TNN34" s="47"/>
      <c r="TNO34" s="47"/>
      <c r="TNP34" s="47"/>
      <c r="TNQ34" s="47"/>
      <c r="TNR34" s="47"/>
      <c r="TNS34" s="47"/>
      <c r="TNT34" s="47"/>
      <c r="TNU34" s="47"/>
      <c r="TNV34" s="47"/>
      <c r="TNW34" s="47"/>
      <c r="TNX34" s="47"/>
      <c r="TNY34" s="47"/>
      <c r="TNZ34" s="47"/>
      <c r="TOA34" s="47"/>
      <c r="TOB34" s="47"/>
      <c r="TOC34" s="47"/>
      <c r="TOD34" s="47"/>
      <c r="TOE34" s="47"/>
      <c r="TOF34" s="47"/>
      <c r="TOG34" s="47"/>
      <c r="TOH34" s="47"/>
      <c r="TOI34" s="47"/>
      <c r="TOJ34" s="47"/>
      <c r="TOK34" s="47"/>
      <c r="TOL34" s="47"/>
      <c r="TOM34" s="47"/>
      <c r="TON34" s="47"/>
      <c r="TOO34" s="47"/>
      <c r="TOP34" s="47"/>
      <c r="TOQ34" s="47"/>
      <c r="TOR34" s="47"/>
      <c r="TOS34" s="47"/>
      <c r="TOT34" s="47"/>
      <c r="TOU34" s="47"/>
      <c r="TOV34" s="47"/>
      <c r="TOW34" s="47"/>
      <c r="TOX34" s="47"/>
      <c r="TOY34" s="47"/>
      <c r="TOZ34" s="47"/>
      <c r="TPA34" s="47"/>
      <c r="TPB34" s="47"/>
      <c r="TPC34" s="47"/>
      <c r="TPD34" s="47"/>
      <c r="TPE34" s="47"/>
      <c r="TPF34" s="47"/>
      <c r="TPG34" s="47"/>
      <c r="TPH34" s="47"/>
      <c r="TPI34" s="47"/>
      <c r="TPJ34" s="47"/>
      <c r="TPK34" s="47"/>
      <c r="TPL34" s="47"/>
      <c r="TPM34" s="47"/>
      <c r="TPN34" s="47"/>
      <c r="TPO34" s="47"/>
      <c r="TPP34" s="47"/>
      <c r="TPQ34" s="47"/>
      <c r="TPR34" s="47"/>
      <c r="TPS34" s="47"/>
      <c r="TPT34" s="47"/>
      <c r="TPU34" s="47"/>
      <c r="TPV34" s="47"/>
      <c r="TPW34" s="47"/>
      <c r="TPX34" s="47"/>
      <c r="TPY34" s="47"/>
      <c r="TPZ34" s="47"/>
      <c r="TQA34" s="47"/>
      <c r="TQB34" s="47"/>
      <c r="TQC34" s="47"/>
      <c r="TQD34" s="47"/>
      <c r="TQE34" s="47"/>
      <c r="TQF34" s="47"/>
      <c r="TQG34" s="47"/>
      <c r="TQH34" s="47"/>
      <c r="TQI34" s="47"/>
      <c r="TQJ34" s="47"/>
      <c r="TQK34" s="47"/>
      <c r="TQL34" s="47"/>
      <c r="TQM34" s="47"/>
      <c r="TQN34" s="47"/>
      <c r="TQO34" s="47"/>
      <c r="TQP34" s="47"/>
      <c r="TQQ34" s="47"/>
      <c r="TQR34" s="47"/>
      <c r="TQS34" s="47"/>
      <c r="TQT34" s="47"/>
      <c r="TQU34" s="47"/>
      <c r="TQV34" s="47"/>
      <c r="TQW34" s="47"/>
      <c r="TQX34" s="47"/>
      <c r="TQY34" s="47"/>
      <c r="TQZ34" s="47"/>
      <c r="TRA34" s="47"/>
      <c r="TRB34" s="47"/>
      <c r="TRC34" s="47"/>
      <c r="TRD34" s="47"/>
      <c r="TRE34" s="47"/>
      <c r="TRF34" s="47"/>
      <c r="TRG34" s="47"/>
      <c r="TRH34" s="47"/>
      <c r="TRI34" s="47"/>
      <c r="TRJ34" s="47"/>
      <c r="TRK34" s="47"/>
      <c r="TRL34" s="47"/>
      <c r="TRM34" s="47"/>
      <c r="TRN34" s="47"/>
      <c r="TRO34" s="47"/>
      <c r="TRP34" s="47"/>
      <c r="TRQ34" s="47"/>
      <c r="TRR34" s="47"/>
      <c r="TRS34" s="47"/>
      <c r="TRT34" s="47"/>
      <c r="TRU34" s="47"/>
      <c r="TRV34" s="47"/>
      <c r="TRW34" s="47"/>
      <c r="TRX34" s="47"/>
      <c r="TRY34" s="47"/>
      <c r="TRZ34" s="47"/>
      <c r="TSA34" s="47"/>
      <c r="TSB34" s="47"/>
      <c r="TSC34" s="47"/>
      <c r="TSD34" s="47"/>
      <c r="TSE34" s="47"/>
      <c r="TSF34" s="47"/>
      <c r="TSG34" s="47"/>
      <c r="TSH34" s="47"/>
      <c r="TSI34" s="47"/>
      <c r="TSJ34" s="47"/>
      <c r="TSK34" s="47"/>
      <c r="TSL34" s="47"/>
      <c r="TSM34" s="47"/>
      <c r="TSN34" s="47"/>
      <c r="TSO34" s="47"/>
      <c r="TSP34" s="47"/>
      <c r="TSQ34" s="47"/>
      <c r="TSR34" s="47"/>
      <c r="TSS34" s="47"/>
      <c r="TST34" s="47"/>
      <c r="TSU34" s="47"/>
      <c r="TSV34" s="47"/>
      <c r="TSW34" s="47"/>
      <c r="TSX34" s="47"/>
      <c r="TSY34" s="47"/>
      <c r="TSZ34" s="47"/>
      <c r="TTA34" s="47"/>
      <c r="TTB34" s="47"/>
      <c r="TTC34" s="47"/>
      <c r="TTD34" s="47"/>
      <c r="TTE34" s="47"/>
      <c r="TTF34" s="47"/>
      <c r="TTG34" s="47"/>
      <c r="TTH34" s="47"/>
      <c r="TTI34" s="47"/>
      <c r="TTJ34" s="47"/>
      <c r="TTK34" s="47"/>
      <c r="TTL34" s="47"/>
      <c r="TTM34" s="47"/>
      <c r="TTN34" s="47"/>
      <c r="TTO34" s="47"/>
      <c r="TTP34" s="47"/>
      <c r="TTQ34" s="47"/>
      <c r="TTR34" s="47"/>
      <c r="TTS34" s="47"/>
      <c r="TTT34" s="47"/>
      <c r="TTU34" s="47"/>
      <c r="TTV34" s="47"/>
      <c r="TTW34" s="47"/>
      <c r="TTX34" s="47"/>
      <c r="TTY34" s="47"/>
      <c r="TTZ34" s="47"/>
      <c r="TUA34" s="47"/>
      <c r="TUB34" s="47"/>
      <c r="TUC34" s="47"/>
      <c r="TUD34" s="47"/>
      <c r="TUE34" s="47"/>
      <c r="TUF34" s="47"/>
      <c r="TUG34" s="47"/>
      <c r="TUH34" s="47"/>
      <c r="TUI34" s="47"/>
      <c r="TUJ34" s="47"/>
      <c r="TUK34" s="47"/>
      <c r="TUL34" s="47"/>
      <c r="TUM34" s="47"/>
      <c r="TUN34" s="47"/>
      <c r="TUO34" s="47"/>
      <c r="TUP34" s="47"/>
      <c r="TUQ34" s="47"/>
      <c r="TUR34" s="47"/>
      <c r="TUS34" s="47"/>
      <c r="TUT34" s="47"/>
      <c r="TUU34" s="47"/>
      <c r="TUV34" s="47"/>
      <c r="TUW34" s="47"/>
      <c r="TUX34" s="47"/>
      <c r="TUY34" s="47"/>
      <c r="TUZ34" s="47"/>
      <c r="TVA34" s="47"/>
      <c r="TVB34" s="47"/>
      <c r="TVC34" s="47"/>
      <c r="TVD34" s="47"/>
      <c r="TVE34" s="47"/>
      <c r="TVF34" s="47"/>
      <c r="TVG34" s="47"/>
      <c r="TVH34" s="47"/>
      <c r="TVI34" s="47"/>
      <c r="TVJ34" s="47"/>
      <c r="TVK34" s="47"/>
      <c r="TVL34" s="47"/>
      <c r="TVM34" s="47"/>
      <c r="TVN34" s="47"/>
      <c r="TVO34" s="47"/>
      <c r="TVP34" s="47"/>
      <c r="TVQ34" s="47"/>
      <c r="TVR34" s="47"/>
      <c r="TVS34" s="47"/>
      <c r="TVT34" s="47"/>
      <c r="TVU34" s="47"/>
      <c r="TVV34" s="47"/>
      <c r="TVW34" s="47"/>
      <c r="TVX34" s="47"/>
      <c r="TVY34" s="47"/>
      <c r="TVZ34" s="47"/>
      <c r="TWA34" s="47"/>
      <c r="TWB34" s="47"/>
      <c r="TWC34" s="47"/>
      <c r="TWD34" s="47"/>
      <c r="TWE34" s="47"/>
      <c r="TWF34" s="47"/>
      <c r="TWG34" s="47"/>
      <c r="TWH34" s="47"/>
      <c r="TWI34" s="47"/>
      <c r="TWJ34" s="47"/>
      <c r="TWK34" s="47"/>
      <c r="TWL34" s="47"/>
      <c r="TWM34" s="47"/>
      <c r="TWN34" s="47"/>
      <c r="TWO34" s="47"/>
      <c r="TWP34" s="47"/>
      <c r="TWQ34" s="47"/>
      <c r="TWR34" s="47"/>
      <c r="TWS34" s="47"/>
      <c r="TWT34" s="47"/>
      <c r="TWU34" s="47"/>
      <c r="TWV34" s="47"/>
      <c r="TWW34" s="47"/>
      <c r="TWX34" s="47"/>
      <c r="TWY34" s="47"/>
      <c r="TWZ34" s="47"/>
      <c r="TXA34" s="47"/>
      <c r="TXB34" s="47"/>
      <c r="TXC34" s="47"/>
      <c r="TXD34" s="47"/>
      <c r="TXE34" s="47"/>
      <c r="TXF34" s="47"/>
      <c r="TXG34" s="47"/>
      <c r="TXH34" s="47"/>
      <c r="TXI34" s="47"/>
      <c r="TXJ34" s="47"/>
      <c r="TXK34" s="47"/>
      <c r="TXL34" s="47"/>
      <c r="TXM34" s="47"/>
      <c r="TXN34" s="47"/>
      <c r="TXO34" s="47"/>
      <c r="TXP34" s="47"/>
      <c r="TXQ34" s="47"/>
      <c r="TXR34" s="47"/>
      <c r="TXS34" s="47"/>
      <c r="TXT34" s="47"/>
      <c r="TXU34" s="47"/>
      <c r="TXV34" s="47"/>
      <c r="TXW34" s="47"/>
      <c r="TXX34" s="47"/>
      <c r="TXY34" s="47"/>
      <c r="TXZ34" s="47"/>
      <c r="TYA34" s="47"/>
      <c r="TYB34" s="47"/>
      <c r="TYC34" s="47"/>
      <c r="TYD34" s="47"/>
      <c r="TYE34" s="47"/>
      <c r="TYF34" s="47"/>
      <c r="TYG34" s="47"/>
      <c r="TYH34" s="47"/>
      <c r="TYI34" s="47"/>
      <c r="TYJ34" s="47"/>
      <c r="TYK34" s="47"/>
      <c r="TYL34" s="47"/>
      <c r="TYM34" s="47"/>
      <c r="TYN34" s="47"/>
      <c r="TYO34" s="47"/>
      <c r="TYP34" s="47"/>
      <c r="TYQ34" s="47"/>
      <c r="TYR34" s="47"/>
      <c r="TYS34" s="47"/>
      <c r="TYT34" s="47"/>
      <c r="TYU34" s="47"/>
      <c r="TYV34" s="47"/>
      <c r="TYW34" s="47"/>
      <c r="TYX34" s="47"/>
      <c r="TYY34" s="47"/>
      <c r="TYZ34" s="47"/>
      <c r="TZA34" s="47"/>
      <c r="TZB34" s="47"/>
      <c r="TZC34" s="47"/>
      <c r="TZD34" s="47"/>
      <c r="TZE34" s="47"/>
      <c r="TZF34" s="47"/>
      <c r="TZG34" s="47"/>
      <c r="TZH34" s="47"/>
      <c r="TZI34" s="47"/>
      <c r="TZJ34" s="47"/>
      <c r="TZK34" s="47"/>
      <c r="TZL34" s="47"/>
      <c r="TZM34" s="47"/>
      <c r="TZN34" s="47"/>
      <c r="TZO34" s="47"/>
      <c r="TZP34" s="47"/>
      <c r="TZQ34" s="47"/>
      <c r="TZR34" s="47"/>
      <c r="TZS34" s="47"/>
      <c r="TZT34" s="47"/>
      <c r="TZU34" s="47"/>
      <c r="TZV34" s="47"/>
      <c r="TZW34" s="47"/>
      <c r="TZX34" s="47"/>
      <c r="TZY34" s="47"/>
      <c r="TZZ34" s="47"/>
      <c r="UAA34" s="47"/>
      <c r="UAB34" s="47"/>
      <c r="UAC34" s="47"/>
      <c r="UAD34" s="47"/>
      <c r="UAE34" s="47"/>
      <c r="UAF34" s="47"/>
      <c r="UAG34" s="47"/>
      <c r="UAH34" s="47"/>
      <c r="UAI34" s="47"/>
      <c r="UAJ34" s="47"/>
      <c r="UAK34" s="47"/>
      <c r="UAL34" s="47"/>
      <c r="UAM34" s="47"/>
      <c r="UAN34" s="47"/>
      <c r="UAO34" s="47"/>
      <c r="UAP34" s="47"/>
      <c r="UAQ34" s="47"/>
      <c r="UAR34" s="47"/>
      <c r="UAS34" s="47"/>
      <c r="UAT34" s="47"/>
      <c r="UAU34" s="47"/>
      <c r="UAV34" s="47"/>
      <c r="UAW34" s="47"/>
      <c r="UAX34" s="47"/>
      <c r="UAY34" s="47"/>
      <c r="UAZ34" s="47"/>
      <c r="UBA34" s="47"/>
      <c r="UBB34" s="47"/>
      <c r="UBC34" s="47"/>
      <c r="UBD34" s="47"/>
      <c r="UBE34" s="47"/>
      <c r="UBF34" s="47"/>
      <c r="UBG34" s="47"/>
      <c r="UBH34" s="47"/>
      <c r="UBI34" s="47"/>
      <c r="UBJ34" s="47"/>
      <c r="UBK34" s="47"/>
      <c r="UBL34" s="47"/>
      <c r="UBM34" s="47"/>
      <c r="UBN34" s="47"/>
      <c r="UBO34" s="47"/>
      <c r="UBP34" s="47"/>
      <c r="UBQ34" s="47"/>
      <c r="UBR34" s="47"/>
      <c r="UBS34" s="47"/>
      <c r="UBT34" s="47"/>
      <c r="UBU34" s="47"/>
      <c r="UBV34" s="47"/>
      <c r="UBW34" s="47"/>
      <c r="UBX34" s="47"/>
      <c r="UBY34" s="47"/>
      <c r="UBZ34" s="47"/>
      <c r="UCA34" s="47"/>
      <c r="UCB34" s="47"/>
      <c r="UCC34" s="47"/>
      <c r="UCD34" s="47"/>
      <c r="UCE34" s="47"/>
      <c r="UCF34" s="47"/>
      <c r="UCG34" s="47"/>
      <c r="UCH34" s="47"/>
      <c r="UCI34" s="47"/>
      <c r="UCJ34" s="47"/>
      <c r="UCK34" s="47"/>
      <c r="UCL34" s="47"/>
      <c r="UCM34" s="47"/>
      <c r="UCN34" s="47"/>
      <c r="UCO34" s="47"/>
      <c r="UCP34" s="47"/>
      <c r="UCQ34" s="47"/>
      <c r="UCR34" s="47"/>
      <c r="UCS34" s="47"/>
      <c r="UCT34" s="47"/>
      <c r="UCU34" s="47"/>
      <c r="UCV34" s="47"/>
      <c r="UCW34" s="47"/>
      <c r="UCX34" s="47"/>
      <c r="UCY34" s="47"/>
      <c r="UCZ34" s="47"/>
      <c r="UDA34" s="47"/>
      <c r="UDB34" s="47"/>
      <c r="UDC34" s="47"/>
      <c r="UDD34" s="47"/>
      <c r="UDE34" s="47"/>
      <c r="UDF34" s="47"/>
      <c r="UDG34" s="47"/>
      <c r="UDH34" s="47"/>
      <c r="UDI34" s="47"/>
      <c r="UDJ34" s="47"/>
      <c r="UDK34" s="47"/>
      <c r="UDL34" s="47"/>
      <c r="UDM34" s="47"/>
      <c r="UDN34" s="47"/>
      <c r="UDO34" s="47"/>
      <c r="UDP34" s="47"/>
      <c r="UDQ34" s="47"/>
      <c r="UDR34" s="47"/>
      <c r="UDS34" s="47"/>
      <c r="UDT34" s="47"/>
      <c r="UDU34" s="47"/>
      <c r="UDV34" s="47"/>
      <c r="UDW34" s="47"/>
      <c r="UDX34" s="47"/>
      <c r="UDY34" s="47"/>
      <c r="UDZ34" s="47"/>
      <c r="UEA34" s="47"/>
      <c r="UEB34" s="47"/>
      <c r="UEC34" s="47"/>
      <c r="UED34" s="47"/>
      <c r="UEE34" s="47"/>
      <c r="UEF34" s="47"/>
      <c r="UEG34" s="47"/>
      <c r="UEH34" s="47"/>
      <c r="UEI34" s="47"/>
      <c r="UEJ34" s="47"/>
      <c r="UEK34" s="47"/>
      <c r="UEL34" s="47"/>
      <c r="UEM34" s="47"/>
      <c r="UEN34" s="47"/>
      <c r="UEO34" s="47"/>
      <c r="UEP34" s="47"/>
      <c r="UEQ34" s="47"/>
      <c r="UER34" s="47"/>
      <c r="UES34" s="47"/>
      <c r="UET34" s="47"/>
      <c r="UEU34" s="47"/>
      <c r="UEV34" s="47"/>
      <c r="UEW34" s="47"/>
      <c r="UEX34" s="47"/>
      <c r="UEY34" s="47"/>
      <c r="UEZ34" s="47"/>
      <c r="UFA34" s="47"/>
      <c r="UFB34" s="47"/>
      <c r="UFC34" s="47"/>
      <c r="UFD34" s="47"/>
      <c r="UFE34" s="47"/>
      <c r="UFF34" s="47"/>
      <c r="UFG34" s="47"/>
      <c r="UFH34" s="47"/>
      <c r="UFI34" s="47"/>
      <c r="UFJ34" s="47"/>
      <c r="UFK34" s="47"/>
      <c r="UFL34" s="47"/>
      <c r="UFM34" s="47"/>
      <c r="UFN34" s="47"/>
      <c r="UFO34" s="47"/>
      <c r="UFP34" s="47"/>
      <c r="UFQ34" s="47"/>
      <c r="UFR34" s="47"/>
      <c r="UFS34" s="47"/>
      <c r="UFT34" s="47"/>
      <c r="UFU34" s="47"/>
      <c r="UFV34" s="47"/>
      <c r="UFW34" s="47"/>
      <c r="UFX34" s="47"/>
      <c r="UFY34" s="47"/>
      <c r="UFZ34" s="47"/>
      <c r="UGA34" s="47"/>
      <c r="UGB34" s="47"/>
      <c r="UGC34" s="47"/>
      <c r="UGD34" s="47"/>
      <c r="UGE34" s="47"/>
      <c r="UGF34" s="47"/>
      <c r="UGG34" s="47"/>
      <c r="UGH34" s="47"/>
      <c r="UGI34" s="47"/>
      <c r="UGJ34" s="47"/>
      <c r="UGK34" s="47"/>
      <c r="UGL34" s="47"/>
      <c r="UGM34" s="47"/>
      <c r="UGN34" s="47"/>
      <c r="UGO34" s="47"/>
      <c r="UGP34" s="47"/>
      <c r="UGQ34" s="47"/>
      <c r="UGR34" s="47"/>
      <c r="UGS34" s="47"/>
      <c r="UGT34" s="47"/>
      <c r="UGU34" s="47"/>
      <c r="UGV34" s="47"/>
      <c r="UGW34" s="47"/>
      <c r="UGX34" s="47"/>
      <c r="UGY34" s="47"/>
      <c r="UGZ34" s="47"/>
      <c r="UHA34" s="47"/>
      <c r="UHB34" s="47"/>
      <c r="UHC34" s="47"/>
      <c r="UHD34" s="47"/>
      <c r="UHE34" s="47"/>
      <c r="UHF34" s="47"/>
      <c r="UHG34" s="47"/>
      <c r="UHH34" s="47"/>
      <c r="UHI34" s="47"/>
      <c r="UHJ34" s="47"/>
      <c r="UHK34" s="47"/>
      <c r="UHL34" s="47"/>
      <c r="UHM34" s="47"/>
      <c r="UHN34" s="47"/>
      <c r="UHO34" s="47"/>
      <c r="UHP34" s="47"/>
      <c r="UHQ34" s="47"/>
      <c r="UHR34" s="47"/>
      <c r="UHS34" s="47"/>
      <c r="UHT34" s="47"/>
      <c r="UHU34" s="47"/>
      <c r="UHV34" s="47"/>
      <c r="UHW34" s="47"/>
      <c r="UHX34" s="47"/>
      <c r="UHY34" s="47"/>
      <c r="UHZ34" s="47"/>
      <c r="UIA34" s="47"/>
      <c r="UIB34" s="47"/>
      <c r="UIC34" s="47"/>
      <c r="UID34" s="47"/>
      <c r="UIE34" s="47"/>
      <c r="UIF34" s="47"/>
      <c r="UIG34" s="47"/>
      <c r="UIH34" s="47"/>
      <c r="UII34" s="47"/>
      <c r="UIJ34" s="47"/>
      <c r="UIK34" s="47"/>
      <c r="UIL34" s="47"/>
      <c r="UIM34" s="47"/>
      <c r="UIN34" s="47"/>
      <c r="UIO34" s="47"/>
      <c r="UIP34" s="47"/>
      <c r="UIQ34" s="47"/>
      <c r="UIR34" s="47"/>
      <c r="UIS34" s="47"/>
      <c r="UIT34" s="47"/>
      <c r="UIU34" s="47"/>
      <c r="UIV34" s="47"/>
      <c r="UIW34" s="47"/>
      <c r="UIX34" s="47"/>
      <c r="UIY34" s="47"/>
      <c r="UIZ34" s="47"/>
      <c r="UJA34" s="47"/>
      <c r="UJB34" s="47"/>
      <c r="UJC34" s="47"/>
      <c r="UJD34" s="47"/>
      <c r="UJE34" s="47"/>
      <c r="UJF34" s="47"/>
      <c r="UJG34" s="47"/>
      <c r="UJH34" s="47"/>
      <c r="UJI34" s="47"/>
      <c r="UJJ34" s="47"/>
      <c r="UJK34" s="47"/>
      <c r="UJL34" s="47"/>
      <c r="UJM34" s="47"/>
      <c r="UJN34" s="47"/>
      <c r="UJO34" s="47"/>
      <c r="UJP34" s="47"/>
      <c r="UJQ34" s="47"/>
      <c r="UJR34" s="47"/>
      <c r="UJS34" s="47"/>
      <c r="UJT34" s="47"/>
      <c r="UJU34" s="47"/>
      <c r="UJV34" s="47"/>
      <c r="UJW34" s="47"/>
      <c r="UJX34" s="47"/>
      <c r="UJY34" s="47"/>
      <c r="UJZ34" s="47"/>
      <c r="UKA34" s="47"/>
      <c r="UKB34" s="47"/>
      <c r="UKC34" s="47"/>
      <c r="UKD34" s="47"/>
      <c r="UKE34" s="47"/>
      <c r="UKF34" s="47"/>
      <c r="UKG34" s="47"/>
      <c r="UKH34" s="47"/>
      <c r="UKI34" s="47"/>
      <c r="UKJ34" s="47"/>
      <c r="UKK34" s="47"/>
      <c r="UKL34" s="47"/>
      <c r="UKM34" s="47"/>
      <c r="UKN34" s="47"/>
      <c r="UKO34" s="47"/>
      <c r="UKP34" s="47"/>
      <c r="UKQ34" s="47"/>
      <c r="UKR34" s="47"/>
      <c r="UKS34" s="47"/>
      <c r="UKT34" s="47"/>
      <c r="UKU34" s="47"/>
      <c r="UKV34" s="47"/>
      <c r="UKW34" s="47"/>
      <c r="UKX34" s="47"/>
      <c r="UKY34" s="47"/>
      <c r="UKZ34" s="47"/>
      <c r="ULA34" s="47"/>
      <c r="ULB34" s="47"/>
      <c r="ULC34" s="47"/>
      <c r="ULD34" s="47"/>
      <c r="ULE34" s="47"/>
      <c r="ULF34" s="47"/>
      <c r="ULG34" s="47"/>
      <c r="ULH34" s="47"/>
      <c r="ULI34" s="47"/>
      <c r="ULJ34" s="47"/>
      <c r="ULK34" s="47"/>
      <c r="ULL34" s="47"/>
      <c r="ULM34" s="47"/>
      <c r="ULN34" s="47"/>
      <c r="ULO34" s="47"/>
      <c r="ULP34" s="47"/>
      <c r="ULQ34" s="47"/>
      <c r="ULR34" s="47"/>
      <c r="ULS34" s="47"/>
      <c r="ULT34" s="47"/>
      <c r="ULU34" s="47"/>
      <c r="ULV34" s="47"/>
      <c r="ULW34" s="47"/>
      <c r="ULX34" s="47"/>
      <c r="ULY34" s="47"/>
      <c r="ULZ34" s="47"/>
      <c r="UMA34" s="47"/>
      <c r="UMB34" s="47"/>
      <c r="UMC34" s="47"/>
      <c r="UMD34" s="47"/>
      <c r="UME34" s="47"/>
      <c r="UMF34" s="47"/>
      <c r="UMG34" s="47"/>
      <c r="UMH34" s="47"/>
      <c r="UMI34" s="47"/>
      <c r="UMJ34" s="47"/>
      <c r="UMK34" s="47"/>
      <c r="UML34" s="47"/>
      <c r="UMM34" s="47"/>
      <c r="UMN34" s="47"/>
      <c r="UMO34" s="47"/>
      <c r="UMP34" s="47"/>
      <c r="UMQ34" s="47"/>
      <c r="UMR34" s="47"/>
      <c r="UMS34" s="47"/>
      <c r="UMT34" s="47"/>
      <c r="UMU34" s="47"/>
      <c r="UMV34" s="47"/>
      <c r="UMW34" s="47"/>
      <c r="UMX34" s="47"/>
      <c r="UMY34" s="47"/>
      <c r="UMZ34" s="47"/>
      <c r="UNA34" s="47"/>
      <c r="UNB34" s="47"/>
      <c r="UNC34" s="47"/>
      <c r="UND34" s="47"/>
      <c r="UNE34" s="47"/>
      <c r="UNF34" s="47"/>
      <c r="UNG34" s="47"/>
      <c r="UNH34" s="47"/>
      <c r="UNI34" s="47"/>
      <c r="UNJ34" s="47"/>
      <c r="UNK34" s="47"/>
      <c r="UNL34" s="47"/>
      <c r="UNM34" s="47"/>
      <c r="UNN34" s="47"/>
      <c r="UNO34" s="47"/>
      <c r="UNP34" s="47"/>
      <c r="UNQ34" s="47"/>
      <c r="UNR34" s="47"/>
      <c r="UNS34" s="47"/>
      <c r="UNT34" s="47"/>
      <c r="UNU34" s="47"/>
      <c r="UNV34" s="47"/>
      <c r="UNW34" s="47"/>
      <c r="UNX34" s="47"/>
      <c r="UNY34" s="47"/>
      <c r="UNZ34" s="47"/>
      <c r="UOA34" s="47"/>
      <c r="UOB34" s="47"/>
      <c r="UOC34" s="47"/>
      <c r="UOD34" s="47"/>
      <c r="UOE34" s="47"/>
      <c r="UOF34" s="47"/>
      <c r="UOG34" s="47"/>
      <c r="UOH34" s="47"/>
      <c r="UOI34" s="47"/>
      <c r="UOJ34" s="47"/>
      <c r="UOK34" s="47"/>
      <c r="UOL34" s="47"/>
      <c r="UOM34" s="47"/>
      <c r="UON34" s="47"/>
      <c r="UOO34" s="47"/>
      <c r="UOP34" s="47"/>
      <c r="UOQ34" s="47"/>
      <c r="UOR34" s="47"/>
      <c r="UOS34" s="47"/>
      <c r="UOT34" s="47"/>
      <c r="UOU34" s="47"/>
      <c r="UOV34" s="47"/>
      <c r="UOW34" s="47"/>
      <c r="UOX34" s="47"/>
      <c r="UOY34" s="47"/>
      <c r="UOZ34" s="47"/>
      <c r="UPA34" s="47"/>
      <c r="UPB34" s="47"/>
      <c r="UPC34" s="47"/>
      <c r="UPD34" s="47"/>
      <c r="UPE34" s="47"/>
      <c r="UPF34" s="47"/>
      <c r="UPG34" s="47"/>
      <c r="UPH34" s="47"/>
      <c r="UPI34" s="47"/>
      <c r="UPJ34" s="47"/>
      <c r="UPK34" s="47"/>
      <c r="UPL34" s="47"/>
      <c r="UPM34" s="47"/>
      <c r="UPN34" s="47"/>
      <c r="UPO34" s="47"/>
      <c r="UPP34" s="47"/>
      <c r="UPQ34" s="47"/>
      <c r="UPR34" s="47"/>
      <c r="UPS34" s="47"/>
      <c r="UPT34" s="47"/>
      <c r="UPU34" s="47"/>
      <c r="UPV34" s="47"/>
      <c r="UPW34" s="47"/>
      <c r="UPX34" s="47"/>
      <c r="UPY34" s="47"/>
      <c r="UPZ34" s="47"/>
      <c r="UQA34" s="47"/>
      <c r="UQB34" s="47"/>
      <c r="UQC34" s="47"/>
      <c r="UQD34" s="47"/>
      <c r="UQE34" s="47"/>
      <c r="UQF34" s="47"/>
      <c r="UQG34" s="47"/>
      <c r="UQH34" s="47"/>
      <c r="UQI34" s="47"/>
      <c r="UQJ34" s="47"/>
      <c r="UQK34" s="47"/>
      <c r="UQL34" s="47"/>
      <c r="UQM34" s="47"/>
      <c r="UQN34" s="47"/>
      <c r="UQO34" s="47"/>
      <c r="UQP34" s="47"/>
      <c r="UQQ34" s="47"/>
      <c r="UQR34" s="47"/>
      <c r="UQS34" s="47"/>
      <c r="UQT34" s="47"/>
      <c r="UQU34" s="47"/>
      <c r="UQV34" s="47"/>
      <c r="UQW34" s="47"/>
      <c r="UQX34" s="47"/>
      <c r="UQY34" s="47"/>
      <c r="UQZ34" s="47"/>
      <c r="URA34" s="47"/>
      <c r="URB34" s="47"/>
      <c r="URC34" s="47"/>
      <c r="URD34" s="47"/>
      <c r="URE34" s="47"/>
      <c r="URF34" s="47"/>
      <c r="URG34" s="47"/>
      <c r="URH34" s="47"/>
      <c r="URI34" s="47"/>
      <c r="URJ34" s="47"/>
      <c r="URK34" s="47"/>
      <c r="URL34" s="47"/>
      <c r="URM34" s="47"/>
      <c r="URN34" s="47"/>
      <c r="URO34" s="47"/>
      <c r="URP34" s="47"/>
      <c r="URQ34" s="47"/>
      <c r="URR34" s="47"/>
      <c r="URS34" s="47"/>
      <c r="URT34" s="47"/>
      <c r="URU34" s="47"/>
      <c r="URV34" s="47"/>
      <c r="URW34" s="47"/>
      <c r="URX34" s="47"/>
      <c r="URY34" s="47"/>
      <c r="URZ34" s="47"/>
      <c r="USA34" s="47"/>
      <c r="USB34" s="47"/>
      <c r="USC34" s="47"/>
      <c r="USD34" s="47"/>
      <c r="USE34" s="47"/>
      <c r="USF34" s="47"/>
      <c r="USG34" s="47"/>
      <c r="USH34" s="47"/>
      <c r="USI34" s="47"/>
      <c r="USJ34" s="47"/>
      <c r="USK34" s="47"/>
      <c r="USL34" s="47"/>
      <c r="USM34" s="47"/>
      <c r="USN34" s="47"/>
      <c r="USO34" s="47"/>
      <c r="USP34" s="47"/>
      <c r="USQ34" s="47"/>
      <c r="USR34" s="47"/>
      <c r="USS34" s="47"/>
      <c r="UST34" s="47"/>
      <c r="USU34" s="47"/>
      <c r="USV34" s="47"/>
      <c r="USW34" s="47"/>
      <c r="USX34" s="47"/>
      <c r="USY34" s="47"/>
      <c r="USZ34" s="47"/>
      <c r="UTA34" s="47"/>
      <c r="UTB34" s="47"/>
      <c r="UTC34" s="47"/>
      <c r="UTD34" s="47"/>
      <c r="UTE34" s="47"/>
      <c r="UTF34" s="47"/>
      <c r="UTG34" s="47"/>
      <c r="UTH34" s="47"/>
      <c r="UTI34" s="47"/>
      <c r="UTJ34" s="47"/>
      <c r="UTK34" s="47"/>
      <c r="UTL34" s="47"/>
      <c r="UTM34" s="47"/>
      <c r="UTN34" s="47"/>
      <c r="UTO34" s="47"/>
      <c r="UTP34" s="47"/>
      <c r="UTQ34" s="47"/>
      <c r="UTR34" s="47"/>
      <c r="UTS34" s="47"/>
      <c r="UTT34" s="47"/>
      <c r="UTU34" s="47"/>
      <c r="UTV34" s="47"/>
      <c r="UTW34" s="47"/>
      <c r="UTX34" s="47"/>
      <c r="UTY34" s="47"/>
      <c r="UTZ34" s="47"/>
      <c r="UUA34" s="47"/>
      <c r="UUB34" s="47"/>
      <c r="UUC34" s="47"/>
      <c r="UUD34" s="47"/>
      <c r="UUE34" s="47"/>
      <c r="UUF34" s="47"/>
      <c r="UUG34" s="47"/>
      <c r="UUH34" s="47"/>
      <c r="UUI34" s="47"/>
      <c r="UUJ34" s="47"/>
      <c r="UUK34" s="47"/>
      <c r="UUL34" s="47"/>
      <c r="UUM34" s="47"/>
      <c r="UUN34" s="47"/>
      <c r="UUO34" s="47"/>
      <c r="UUP34" s="47"/>
      <c r="UUQ34" s="47"/>
      <c r="UUR34" s="47"/>
      <c r="UUS34" s="47"/>
      <c r="UUT34" s="47"/>
      <c r="UUU34" s="47"/>
      <c r="UUV34" s="47"/>
      <c r="UUW34" s="47"/>
      <c r="UUX34" s="47"/>
      <c r="UUY34" s="47"/>
      <c r="UUZ34" s="47"/>
      <c r="UVA34" s="47"/>
      <c r="UVB34" s="47"/>
      <c r="UVC34" s="47"/>
      <c r="UVD34" s="47"/>
      <c r="UVE34" s="47"/>
      <c r="UVF34" s="47"/>
      <c r="UVG34" s="47"/>
      <c r="UVH34" s="47"/>
      <c r="UVI34" s="47"/>
      <c r="UVJ34" s="47"/>
      <c r="UVK34" s="47"/>
      <c r="UVL34" s="47"/>
      <c r="UVM34" s="47"/>
      <c r="UVN34" s="47"/>
      <c r="UVO34" s="47"/>
      <c r="UVP34" s="47"/>
      <c r="UVQ34" s="47"/>
      <c r="UVR34" s="47"/>
      <c r="UVS34" s="47"/>
      <c r="UVT34" s="47"/>
      <c r="UVU34" s="47"/>
      <c r="UVV34" s="47"/>
      <c r="UVW34" s="47"/>
      <c r="UVX34" s="47"/>
      <c r="UVY34" s="47"/>
      <c r="UVZ34" s="47"/>
      <c r="UWA34" s="47"/>
      <c r="UWB34" s="47"/>
      <c r="UWC34" s="47"/>
      <c r="UWD34" s="47"/>
      <c r="UWE34" s="47"/>
      <c r="UWF34" s="47"/>
      <c r="UWG34" s="47"/>
      <c r="UWH34" s="47"/>
      <c r="UWI34" s="47"/>
      <c r="UWJ34" s="47"/>
      <c r="UWK34" s="47"/>
      <c r="UWL34" s="47"/>
      <c r="UWM34" s="47"/>
      <c r="UWN34" s="47"/>
      <c r="UWO34" s="47"/>
      <c r="UWP34" s="47"/>
      <c r="UWQ34" s="47"/>
      <c r="UWR34" s="47"/>
      <c r="UWS34" s="47"/>
      <c r="UWT34" s="47"/>
      <c r="UWU34" s="47"/>
      <c r="UWV34" s="47"/>
      <c r="UWW34" s="47"/>
      <c r="UWX34" s="47"/>
      <c r="UWY34" s="47"/>
      <c r="UWZ34" s="47"/>
      <c r="UXA34" s="47"/>
      <c r="UXB34" s="47"/>
      <c r="UXC34" s="47"/>
      <c r="UXD34" s="47"/>
      <c r="UXE34" s="47"/>
      <c r="UXF34" s="47"/>
      <c r="UXG34" s="47"/>
      <c r="UXH34" s="47"/>
      <c r="UXI34" s="47"/>
      <c r="UXJ34" s="47"/>
      <c r="UXK34" s="47"/>
      <c r="UXL34" s="47"/>
      <c r="UXM34" s="47"/>
      <c r="UXN34" s="47"/>
      <c r="UXO34" s="47"/>
      <c r="UXP34" s="47"/>
      <c r="UXQ34" s="47"/>
      <c r="UXR34" s="47"/>
      <c r="UXS34" s="47"/>
      <c r="UXT34" s="47"/>
      <c r="UXU34" s="47"/>
      <c r="UXV34" s="47"/>
      <c r="UXW34" s="47"/>
      <c r="UXX34" s="47"/>
      <c r="UXY34" s="47"/>
      <c r="UXZ34" s="47"/>
      <c r="UYA34" s="47"/>
      <c r="UYB34" s="47"/>
      <c r="UYC34" s="47"/>
      <c r="UYD34" s="47"/>
      <c r="UYE34" s="47"/>
      <c r="UYF34" s="47"/>
      <c r="UYG34" s="47"/>
      <c r="UYH34" s="47"/>
      <c r="UYI34" s="47"/>
      <c r="UYJ34" s="47"/>
      <c r="UYK34" s="47"/>
      <c r="UYL34" s="47"/>
      <c r="UYM34" s="47"/>
      <c r="UYN34" s="47"/>
      <c r="UYO34" s="47"/>
      <c r="UYP34" s="47"/>
      <c r="UYQ34" s="47"/>
      <c r="UYR34" s="47"/>
      <c r="UYS34" s="47"/>
      <c r="UYT34" s="47"/>
      <c r="UYU34" s="47"/>
      <c r="UYV34" s="47"/>
      <c r="UYW34" s="47"/>
      <c r="UYX34" s="47"/>
      <c r="UYY34" s="47"/>
      <c r="UYZ34" s="47"/>
      <c r="UZA34" s="47"/>
      <c r="UZB34" s="47"/>
      <c r="UZC34" s="47"/>
      <c r="UZD34" s="47"/>
      <c r="UZE34" s="47"/>
      <c r="UZF34" s="47"/>
      <c r="UZG34" s="47"/>
      <c r="UZH34" s="47"/>
      <c r="UZI34" s="47"/>
      <c r="UZJ34" s="47"/>
      <c r="UZK34" s="47"/>
      <c r="UZL34" s="47"/>
      <c r="UZM34" s="47"/>
      <c r="UZN34" s="47"/>
      <c r="UZO34" s="47"/>
      <c r="UZP34" s="47"/>
      <c r="UZQ34" s="47"/>
      <c r="UZR34" s="47"/>
      <c r="UZS34" s="47"/>
      <c r="UZT34" s="47"/>
      <c r="UZU34" s="47"/>
      <c r="UZV34" s="47"/>
      <c r="UZW34" s="47"/>
      <c r="UZX34" s="47"/>
      <c r="UZY34" s="47"/>
      <c r="UZZ34" s="47"/>
      <c r="VAA34" s="47"/>
      <c r="VAB34" s="47"/>
      <c r="VAC34" s="47"/>
      <c r="VAD34" s="47"/>
      <c r="VAE34" s="47"/>
      <c r="VAF34" s="47"/>
      <c r="VAG34" s="47"/>
      <c r="VAH34" s="47"/>
      <c r="VAI34" s="47"/>
      <c r="VAJ34" s="47"/>
      <c r="VAK34" s="47"/>
      <c r="VAL34" s="47"/>
      <c r="VAM34" s="47"/>
      <c r="VAN34" s="47"/>
      <c r="VAO34" s="47"/>
      <c r="VAP34" s="47"/>
      <c r="VAQ34" s="47"/>
      <c r="VAR34" s="47"/>
      <c r="VAS34" s="47"/>
      <c r="VAT34" s="47"/>
      <c r="VAU34" s="47"/>
      <c r="VAV34" s="47"/>
      <c r="VAW34" s="47"/>
      <c r="VAX34" s="47"/>
      <c r="VAY34" s="47"/>
      <c r="VAZ34" s="47"/>
      <c r="VBA34" s="47"/>
      <c r="VBB34" s="47"/>
      <c r="VBC34" s="47"/>
      <c r="VBD34" s="47"/>
      <c r="VBE34" s="47"/>
      <c r="VBF34" s="47"/>
      <c r="VBG34" s="47"/>
      <c r="VBH34" s="47"/>
      <c r="VBI34" s="47"/>
      <c r="VBJ34" s="47"/>
      <c r="VBK34" s="47"/>
      <c r="VBL34" s="47"/>
      <c r="VBM34" s="47"/>
      <c r="VBN34" s="47"/>
      <c r="VBO34" s="47"/>
      <c r="VBP34" s="47"/>
      <c r="VBQ34" s="47"/>
      <c r="VBR34" s="47"/>
      <c r="VBS34" s="47"/>
      <c r="VBT34" s="47"/>
      <c r="VBU34" s="47"/>
      <c r="VBV34" s="47"/>
      <c r="VBW34" s="47"/>
      <c r="VBX34" s="47"/>
      <c r="VBY34" s="47"/>
      <c r="VBZ34" s="47"/>
      <c r="VCA34" s="47"/>
      <c r="VCB34" s="47"/>
      <c r="VCC34" s="47"/>
      <c r="VCD34" s="47"/>
      <c r="VCE34" s="47"/>
      <c r="VCF34" s="47"/>
      <c r="VCG34" s="47"/>
      <c r="VCH34" s="47"/>
      <c r="VCI34" s="47"/>
      <c r="VCJ34" s="47"/>
      <c r="VCK34" s="47"/>
      <c r="VCL34" s="47"/>
      <c r="VCM34" s="47"/>
      <c r="VCN34" s="47"/>
      <c r="VCO34" s="47"/>
      <c r="VCP34" s="47"/>
      <c r="VCQ34" s="47"/>
      <c r="VCR34" s="47"/>
      <c r="VCS34" s="47"/>
      <c r="VCT34" s="47"/>
      <c r="VCU34" s="47"/>
      <c r="VCV34" s="47"/>
      <c r="VCW34" s="47"/>
      <c r="VCX34" s="47"/>
      <c r="VCY34" s="47"/>
      <c r="VCZ34" s="47"/>
      <c r="VDA34" s="47"/>
      <c r="VDB34" s="47"/>
      <c r="VDC34" s="47"/>
      <c r="VDD34" s="47"/>
      <c r="VDE34" s="47"/>
      <c r="VDF34" s="47"/>
      <c r="VDG34" s="47"/>
      <c r="VDH34" s="47"/>
      <c r="VDI34" s="47"/>
      <c r="VDJ34" s="47"/>
      <c r="VDK34" s="47"/>
      <c r="VDL34" s="47"/>
      <c r="VDM34" s="47"/>
      <c r="VDN34" s="47"/>
      <c r="VDO34" s="47"/>
      <c r="VDP34" s="47"/>
      <c r="VDQ34" s="47"/>
      <c r="VDR34" s="47"/>
      <c r="VDS34" s="47"/>
      <c r="VDT34" s="47"/>
      <c r="VDU34" s="47"/>
      <c r="VDV34" s="47"/>
      <c r="VDW34" s="47"/>
      <c r="VDX34" s="47"/>
      <c r="VDY34" s="47"/>
      <c r="VDZ34" s="47"/>
      <c r="VEA34" s="47"/>
      <c r="VEB34" s="47"/>
      <c r="VEC34" s="47"/>
      <c r="VED34" s="47"/>
      <c r="VEE34" s="47"/>
      <c r="VEF34" s="47"/>
      <c r="VEG34" s="47"/>
      <c r="VEH34" s="47"/>
      <c r="VEI34" s="47"/>
      <c r="VEJ34" s="47"/>
      <c r="VEK34" s="47"/>
      <c r="VEL34" s="47"/>
      <c r="VEM34" s="47"/>
      <c r="VEN34" s="47"/>
      <c r="VEO34" s="47"/>
      <c r="VEP34" s="47"/>
      <c r="VEQ34" s="47"/>
      <c r="VER34" s="47"/>
      <c r="VES34" s="47"/>
      <c r="VET34" s="47"/>
      <c r="VEU34" s="47"/>
      <c r="VEV34" s="47"/>
      <c r="VEW34" s="47"/>
      <c r="VEX34" s="47"/>
      <c r="VEY34" s="47"/>
      <c r="VEZ34" s="47"/>
      <c r="VFA34" s="47"/>
      <c r="VFB34" s="47"/>
      <c r="VFC34" s="47"/>
      <c r="VFD34" s="47"/>
      <c r="VFE34" s="47"/>
      <c r="VFF34" s="47"/>
      <c r="VFG34" s="47"/>
      <c r="VFH34" s="47"/>
      <c r="VFI34" s="47"/>
      <c r="VFJ34" s="47"/>
      <c r="VFK34" s="47"/>
      <c r="VFL34" s="47"/>
      <c r="VFM34" s="47"/>
      <c r="VFN34" s="47"/>
      <c r="VFO34" s="47"/>
      <c r="VFP34" s="47"/>
      <c r="VFQ34" s="47"/>
      <c r="VFR34" s="47"/>
      <c r="VFS34" s="47"/>
      <c r="VFT34" s="47"/>
      <c r="VFU34" s="47"/>
      <c r="VFV34" s="47"/>
      <c r="VFW34" s="47"/>
      <c r="VFX34" s="47"/>
      <c r="VFY34" s="47"/>
      <c r="VFZ34" s="47"/>
      <c r="VGA34" s="47"/>
      <c r="VGB34" s="47"/>
      <c r="VGC34" s="47"/>
      <c r="VGD34" s="47"/>
      <c r="VGE34" s="47"/>
      <c r="VGF34" s="47"/>
      <c r="VGG34" s="47"/>
      <c r="VGH34" s="47"/>
      <c r="VGI34" s="47"/>
      <c r="VGJ34" s="47"/>
      <c r="VGK34" s="47"/>
      <c r="VGL34" s="47"/>
      <c r="VGM34" s="47"/>
      <c r="VGN34" s="47"/>
      <c r="VGO34" s="47"/>
      <c r="VGP34" s="47"/>
      <c r="VGQ34" s="47"/>
      <c r="VGR34" s="47"/>
      <c r="VGS34" s="47"/>
      <c r="VGT34" s="47"/>
      <c r="VGU34" s="47"/>
      <c r="VGV34" s="47"/>
      <c r="VGW34" s="47"/>
      <c r="VGX34" s="47"/>
      <c r="VGY34" s="47"/>
      <c r="VGZ34" s="47"/>
      <c r="VHA34" s="47"/>
      <c r="VHB34" s="47"/>
      <c r="VHC34" s="47"/>
      <c r="VHD34" s="47"/>
      <c r="VHE34" s="47"/>
      <c r="VHF34" s="47"/>
      <c r="VHG34" s="47"/>
      <c r="VHH34" s="47"/>
      <c r="VHI34" s="47"/>
      <c r="VHJ34" s="47"/>
      <c r="VHK34" s="47"/>
      <c r="VHL34" s="47"/>
      <c r="VHM34" s="47"/>
      <c r="VHN34" s="47"/>
      <c r="VHO34" s="47"/>
      <c r="VHP34" s="47"/>
      <c r="VHQ34" s="47"/>
      <c r="VHR34" s="47"/>
      <c r="VHS34" s="47"/>
      <c r="VHT34" s="47"/>
      <c r="VHU34" s="47"/>
      <c r="VHV34" s="47"/>
      <c r="VHW34" s="47"/>
      <c r="VHX34" s="47"/>
      <c r="VHY34" s="47"/>
      <c r="VHZ34" s="47"/>
      <c r="VIA34" s="47"/>
      <c r="VIB34" s="47"/>
      <c r="VIC34" s="47"/>
      <c r="VID34" s="47"/>
      <c r="VIE34" s="47"/>
      <c r="VIF34" s="47"/>
      <c r="VIG34" s="47"/>
      <c r="VIH34" s="47"/>
      <c r="VII34" s="47"/>
      <c r="VIJ34" s="47"/>
      <c r="VIK34" s="47"/>
      <c r="VIL34" s="47"/>
      <c r="VIM34" s="47"/>
      <c r="VIN34" s="47"/>
      <c r="VIO34" s="47"/>
      <c r="VIP34" s="47"/>
      <c r="VIQ34" s="47"/>
      <c r="VIR34" s="47"/>
      <c r="VIS34" s="47"/>
      <c r="VIT34" s="47"/>
      <c r="VIU34" s="47"/>
      <c r="VIV34" s="47"/>
      <c r="VIW34" s="47"/>
      <c r="VIX34" s="47"/>
      <c r="VIY34" s="47"/>
      <c r="VIZ34" s="47"/>
      <c r="VJA34" s="47"/>
      <c r="VJB34" s="47"/>
      <c r="VJC34" s="47"/>
      <c r="VJD34" s="47"/>
      <c r="VJE34" s="47"/>
      <c r="VJF34" s="47"/>
      <c r="VJG34" s="47"/>
      <c r="VJH34" s="47"/>
      <c r="VJI34" s="47"/>
      <c r="VJJ34" s="47"/>
      <c r="VJK34" s="47"/>
      <c r="VJL34" s="47"/>
      <c r="VJM34" s="47"/>
      <c r="VJN34" s="47"/>
      <c r="VJO34" s="47"/>
      <c r="VJP34" s="47"/>
      <c r="VJQ34" s="47"/>
      <c r="VJR34" s="47"/>
      <c r="VJS34" s="47"/>
      <c r="VJT34" s="47"/>
      <c r="VJU34" s="47"/>
      <c r="VJV34" s="47"/>
      <c r="VJW34" s="47"/>
      <c r="VJX34" s="47"/>
      <c r="VJY34" s="47"/>
      <c r="VJZ34" s="47"/>
      <c r="VKA34" s="47"/>
      <c r="VKB34" s="47"/>
      <c r="VKC34" s="47"/>
      <c r="VKD34" s="47"/>
      <c r="VKE34" s="47"/>
      <c r="VKF34" s="47"/>
      <c r="VKG34" s="47"/>
      <c r="VKH34" s="47"/>
      <c r="VKI34" s="47"/>
      <c r="VKJ34" s="47"/>
      <c r="VKK34" s="47"/>
      <c r="VKL34" s="47"/>
      <c r="VKM34" s="47"/>
      <c r="VKN34" s="47"/>
      <c r="VKO34" s="47"/>
      <c r="VKP34" s="47"/>
      <c r="VKQ34" s="47"/>
      <c r="VKR34" s="47"/>
      <c r="VKS34" s="47"/>
      <c r="VKT34" s="47"/>
      <c r="VKU34" s="47"/>
      <c r="VKV34" s="47"/>
      <c r="VKW34" s="47"/>
      <c r="VKX34" s="47"/>
      <c r="VKY34" s="47"/>
      <c r="VKZ34" s="47"/>
      <c r="VLA34" s="47"/>
      <c r="VLB34" s="47"/>
      <c r="VLC34" s="47"/>
      <c r="VLD34" s="47"/>
      <c r="VLE34" s="47"/>
      <c r="VLF34" s="47"/>
      <c r="VLG34" s="47"/>
      <c r="VLH34" s="47"/>
      <c r="VLI34" s="47"/>
      <c r="VLJ34" s="47"/>
      <c r="VLK34" s="47"/>
      <c r="VLL34" s="47"/>
      <c r="VLM34" s="47"/>
      <c r="VLN34" s="47"/>
      <c r="VLO34" s="47"/>
      <c r="VLP34" s="47"/>
      <c r="VLQ34" s="47"/>
      <c r="VLR34" s="47"/>
      <c r="VLS34" s="47"/>
      <c r="VLT34" s="47"/>
      <c r="VLU34" s="47"/>
      <c r="VLV34" s="47"/>
      <c r="VLW34" s="47"/>
      <c r="VLX34" s="47"/>
      <c r="VLY34" s="47"/>
      <c r="VLZ34" s="47"/>
      <c r="VMA34" s="47"/>
      <c r="VMB34" s="47"/>
      <c r="VMC34" s="47"/>
      <c r="VMD34" s="47"/>
      <c r="VME34" s="47"/>
      <c r="VMF34" s="47"/>
      <c r="VMG34" s="47"/>
      <c r="VMH34" s="47"/>
      <c r="VMI34" s="47"/>
      <c r="VMJ34" s="47"/>
      <c r="VMK34" s="47"/>
      <c r="VML34" s="47"/>
      <c r="VMM34" s="47"/>
      <c r="VMN34" s="47"/>
      <c r="VMO34" s="47"/>
      <c r="VMP34" s="47"/>
      <c r="VMQ34" s="47"/>
      <c r="VMR34" s="47"/>
      <c r="VMS34" s="47"/>
      <c r="VMT34" s="47"/>
      <c r="VMU34" s="47"/>
      <c r="VMV34" s="47"/>
      <c r="VMW34" s="47"/>
      <c r="VMX34" s="47"/>
      <c r="VMY34" s="47"/>
      <c r="VMZ34" s="47"/>
      <c r="VNA34" s="47"/>
      <c r="VNB34" s="47"/>
      <c r="VNC34" s="47"/>
      <c r="VND34" s="47"/>
      <c r="VNE34" s="47"/>
      <c r="VNF34" s="47"/>
      <c r="VNG34" s="47"/>
      <c r="VNH34" s="47"/>
      <c r="VNI34" s="47"/>
      <c r="VNJ34" s="47"/>
      <c r="VNK34" s="47"/>
      <c r="VNL34" s="47"/>
      <c r="VNM34" s="47"/>
      <c r="VNN34" s="47"/>
      <c r="VNO34" s="47"/>
      <c r="VNP34" s="47"/>
      <c r="VNQ34" s="47"/>
      <c r="VNR34" s="47"/>
      <c r="VNS34" s="47"/>
      <c r="VNT34" s="47"/>
      <c r="VNU34" s="47"/>
      <c r="VNV34" s="47"/>
      <c r="VNW34" s="47"/>
      <c r="VNX34" s="47"/>
      <c r="VNY34" s="47"/>
      <c r="VNZ34" s="47"/>
      <c r="VOA34" s="47"/>
      <c r="VOB34" s="47"/>
      <c r="VOC34" s="47"/>
      <c r="VOD34" s="47"/>
      <c r="VOE34" s="47"/>
      <c r="VOF34" s="47"/>
      <c r="VOG34" s="47"/>
      <c r="VOH34" s="47"/>
      <c r="VOI34" s="47"/>
      <c r="VOJ34" s="47"/>
      <c r="VOK34" s="47"/>
      <c r="VOL34" s="47"/>
      <c r="VOM34" s="47"/>
      <c r="VON34" s="47"/>
      <c r="VOO34" s="47"/>
      <c r="VOP34" s="47"/>
      <c r="VOQ34" s="47"/>
      <c r="VOR34" s="47"/>
      <c r="VOS34" s="47"/>
      <c r="VOT34" s="47"/>
      <c r="VOU34" s="47"/>
      <c r="VOV34" s="47"/>
      <c r="VOW34" s="47"/>
      <c r="VOX34" s="47"/>
      <c r="VOY34" s="47"/>
      <c r="VOZ34" s="47"/>
      <c r="VPA34" s="47"/>
      <c r="VPB34" s="47"/>
      <c r="VPC34" s="47"/>
      <c r="VPD34" s="47"/>
      <c r="VPE34" s="47"/>
      <c r="VPF34" s="47"/>
      <c r="VPG34" s="47"/>
      <c r="VPH34" s="47"/>
      <c r="VPI34" s="47"/>
      <c r="VPJ34" s="47"/>
      <c r="VPK34" s="47"/>
      <c r="VPL34" s="47"/>
      <c r="VPM34" s="47"/>
      <c r="VPN34" s="47"/>
      <c r="VPO34" s="47"/>
      <c r="VPP34" s="47"/>
      <c r="VPQ34" s="47"/>
      <c r="VPR34" s="47"/>
      <c r="VPS34" s="47"/>
      <c r="VPT34" s="47"/>
      <c r="VPU34" s="47"/>
      <c r="VPV34" s="47"/>
      <c r="VPW34" s="47"/>
      <c r="VPX34" s="47"/>
      <c r="VPY34" s="47"/>
      <c r="VPZ34" s="47"/>
      <c r="VQA34" s="47"/>
      <c r="VQB34" s="47"/>
      <c r="VQC34" s="47"/>
      <c r="VQD34" s="47"/>
      <c r="VQE34" s="47"/>
      <c r="VQF34" s="47"/>
      <c r="VQG34" s="47"/>
      <c r="VQH34" s="47"/>
      <c r="VQI34" s="47"/>
      <c r="VQJ34" s="47"/>
      <c r="VQK34" s="47"/>
      <c r="VQL34" s="47"/>
      <c r="VQM34" s="47"/>
      <c r="VQN34" s="47"/>
      <c r="VQO34" s="47"/>
      <c r="VQP34" s="47"/>
      <c r="VQQ34" s="47"/>
      <c r="VQR34" s="47"/>
      <c r="VQS34" s="47"/>
      <c r="VQT34" s="47"/>
      <c r="VQU34" s="47"/>
      <c r="VQV34" s="47"/>
      <c r="VQW34" s="47"/>
      <c r="VQX34" s="47"/>
      <c r="VQY34" s="47"/>
      <c r="VQZ34" s="47"/>
      <c r="VRA34" s="47"/>
      <c r="VRB34" s="47"/>
      <c r="VRC34" s="47"/>
      <c r="VRD34" s="47"/>
      <c r="VRE34" s="47"/>
      <c r="VRF34" s="47"/>
      <c r="VRG34" s="47"/>
      <c r="VRH34" s="47"/>
      <c r="VRI34" s="47"/>
      <c r="VRJ34" s="47"/>
      <c r="VRK34" s="47"/>
      <c r="VRL34" s="47"/>
      <c r="VRM34" s="47"/>
      <c r="VRN34" s="47"/>
      <c r="VRO34" s="47"/>
      <c r="VRP34" s="47"/>
      <c r="VRQ34" s="47"/>
      <c r="VRR34" s="47"/>
      <c r="VRS34" s="47"/>
      <c r="VRT34" s="47"/>
      <c r="VRU34" s="47"/>
      <c r="VRV34" s="47"/>
      <c r="VRW34" s="47"/>
      <c r="VRX34" s="47"/>
      <c r="VRY34" s="47"/>
      <c r="VRZ34" s="47"/>
      <c r="VSA34" s="47"/>
      <c r="VSB34" s="47"/>
      <c r="VSC34" s="47"/>
      <c r="VSD34" s="47"/>
      <c r="VSE34" s="47"/>
      <c r="VSF34" s="47"/>
      <c r="VSG34" s="47"/>
      <c r="VSH34" s="47"/>
      <c r="VSI34" s="47"/>
      <c r="VSJ34" s="47"/>
      <c r="VSK34" s="47"/>
      <c r="VSL34" s="47"/>
      <c r="VSM34" s="47"/>
      <c r="VSN34" s="47"/>
      <c r="VSO34" s="47"/>
      <c r="VSP34" s="47"/>
      <c r="VSQ34" s="47"/>
      <c r="VSR34" s="47"/>
      <c r="VSS34" s="47"/>
      <c r="VST34" s="47"/>
      <c r="VSU34" s="47"/>
      <c r="VSV34" s="47"/>
      <c r="VSW34" s="47"/>
      <c r="VSX34" s="47"/>
      <c r="VSY34" s="47"/>
      <c r="VSZ34" s="47"/>
      <c r="VTA34" s="47"/>
      <c r="VTB34" s="47"/>
      <c r="VTC34" s="47"/>
      <c r="VTD34" s="47"/>
      <c r="VTE34" s="47"/>
      <c r="VTF34" s="47"/>
      <c r="VTG34" s="47"/>
      <c r="VTH34" s="47"/>
      <c r="VTI34" s="47"/>
      <c r="VTJ34" s="47"/>
      <c r="VTK34" s="47"/>
      <c r="VTL34" s="47"/>
      <c r="VTM34" s="47"/>
      <c r="VTN34" s="47"/>
      <c r="VTO34" s="47"/>
      <c r="VTP34" s="47"/>
      <c r="VTQ34" s="47"/>
      <c r="VTR34" s="47"/>
      <c r="VTS34" s="47"/>
      <c r="VTT34" s="47"/>
      <c r="VTU34" s="47"/>
      <c r="VTV34" s="47"/>
      <c r="VTW34" s="47"/>
      <c r="VTX34" s="47"/>
      <c r="VTY34" s="47"/>
      <c r="VTZ34" s="47"/>
      <c r="VUA34" s="47"/>
      <c r="VUB34" s="47"/>
      <c r="VUC34" s="47"/>
      <c r="VUD34" s="47"/>
      <c r="VUE34" s="47"/>
      <c r="VUF34" s="47"/>
      <c r="VUG34" s="47"/>
      <c r="VUH34" s="47"/>
      <c r="VUI34" s="47"/>
      <c r="VUJ34" s="47"/>
      <c r="VUK34" s="47"/>
      <c r="VUL34" s="47"/>
      <c r="VUM34" s="47"/>
      <c r="VUN34" s="47"/>
      <c r="VUO34" s="47"/>
      <c r="VUP34" s="47"/>
      <c r="VUQ34" s="47"/>
      <c r="VUR34" s="47"/>
      <c r="VUS34" s="47"/>
      <c r="VUT34" s="47"/>
      <c r="VUU34" s="47"/>
      <c r="VUV34" s="47"/>
      <c r="VUW34" s="47"/>
      <c r="VUX34" s="47"/>
      <c r="VUY34" s="47"/>
      <c r="VUZ34" s="47"/>
      <c r="VVA34" s="47"/>
      <c r="VVB34" s="47"/>
      <c r="VVC34" s="47"/>
      <c r="VVD34" s="47"/>
      <c r="VVE34" s="47"/>
      <c r="VVF34" s="47"/>
      <c r="VVG34" s="47"/>
      <c r="VVH34" s="47"/>
      <c r="VVI34" s="47"/>
      <c r="VVJ34" s="47"/>
      <c r="VVK34" s="47"/>
      <c r="VVL34" s="47"/>
      <c r="VVM34" s="47"/>
      <c r="VVN34" s="47"/>
      <c r="VVO34" s="47"/>
      <c r="VVP34" s="47"/>
      <c r="VVQ34" s="47"/>
      <c r="VVR34" s="47"/>
      <c r="VVS34" s="47"/>
      <c r="VVT34" s="47"/>
      <c r="VVU34" s="47"/>
      <c r="VVV34" s="47"/>
      <c r="VVW34" s="47"/>
      <c r="VVX34" s="47"/>
      <c r="VVY34" s="47"/>
      <c r="VVZ34" s="47"/>
      <c r="VWA34" s="47"/>
      <c r="VWB34" s="47"/>
      <c r="VWC34" s="47"/>
      <c r="VWD34" s="47"/>
      <c r="VWE34" s="47"/>
      <c r="VWF34" s="47"/>
      <c r="VWG34" s="47"/>
      <c r="VWH34" s="47"/>
      <c r="VWI34" s="47"/>
      <c r="VWJ34" s="47"/>
      <c r="VWK34" s="47"/>
      <c r="VWL34" s="47"/>
      <c r="VWM34" s="47"/>
      <c r="VWN34" s="47"/>
      <c r="VWO34" s="47"/>
      <c r="VWP34" s="47"/>
      <c r="VWQ34" s="47"/>
      <c r="VWR34" s="47"/>
      <c r="VWS34" s="47"/>
      <c r="VWT34" s="47"/>
      <c r="VWU34" s="47"/>
      <c r="VWV34" s="47"/>
      <c r="VWW34" s="47"/>
      <c r="VWX34" s="47"/>
      <c r="VWY34" s="47"/>
      <c r="VWZ34" s="47"/>
      <c r="VXA34" s="47"/>
      <c r="VXB34" s="47"/>
      <c r="VXC34" s="47"/>
      <c r="VXD34" s="47"/>
      <c r="VXE34" s="47"/>
      <c r="VXF34" s="47"/>
      <c r="VXG34" s="47"/>
      <c r="VXH34" s="47"/>
      <c r="VXI34" s="47"/>
      <c r="VXJ34" s="47"/>
      <c r="VXK34" s="47"/>
      <c r="VXL34" s="47"/>
      <c r="VXM34" s="47"/>
      <c r="VXN34" s="47"/>
      <c r="VXO34" s="47"/>
      <c r="VXP34" s="47"/>
      <c r="VXQ34" s="47"/>
      <c r="VXR34" s="47"/>
      <c r="VXS34" s="47"/>
      <c r="VXT34" s="47"/>
      <c r="VXU34" s="47"/>
      <c r="VXV34" s="47"/>
      <c r="VXW34" s="47"/>
      <c r="VXX34" s="47"/>
      <c r="VXY34" s="47"/>
      <c r="VXZ34" s="47"/>
      <c r="VYA34" s="47"/>
      <c r="VYB34" s="47"/>
      <c r="VYC34" s="47"/>
      <c r="VYD34" s="47"/>
      <c r="VYE34" s="47"/>
      <c r="VYF34" s="47"/>
      <c r="VYG34" s="47"/>
      <c r="VYH34" s="47"/>
      <c r="VYI34" s="47"/>
      <c r="VYJ34" s="47"/>
      <c r="VYK34" s="47"/>
      <c r="VYL34" s="47"/>
      <c r="VYM34" s="47"/>
      <c r="VYN34" s="47"/>
      <c r="VYO34" s="47"/>
      <c r="VYP34" s="47"/>
      <c r="VYQ34" s="47"/>
      <c r="VYR34" s="47"/>
      <c r="VYS34" s="47"/>
      <c r="VYT34" s="47"/>
      <c r="VYU34" s="47"/>
      <c r="VYV34" s="47"/>
      <c r="VYW34" s="47"/>
      <c r="VYX34" s="47"/>
      <c r="VYY34" s="47"/>
      <c r="VYZ34" s="47"/>
      <c r="VZA34" s="47"/>
      <c r="VZB34" s="47"/>
      <c r="VZC34" s="47"/>
      <c r="VZD34" s="47"/>
      <c r="VZE34" s="47"/>
      <c r="VZF34" s="47"/>
      <c r="VZG34" s="47"/>
      <c r="VZH34" s="47"/>
      <c r="VZI34" s="47"/>
      <c r="VZJ34" s="47"/>
      <c r="VZK34" s="47"/>
      <c r="VZL34" s="47"/>
      <c r="VZM34" s="47"/>
      <c r="VZN34" s="47"/>
      <c r="VZO34" s="47"/>
      <c r="VZP34" s="47"/>
      <c r="VZQ34" s="47"/>
      <c r="VZR34" s="47"/>
      <c r="VZS34" s="47"/>
      <c r="VZT34" s="47"/>
      <c r="VZU34" s="47"/>
      <c r="VZV34" s="47"/>
      <c r="VZW34" s="47"/>
      <c r="VZX34" s="47"/>
      <c r="VZY34" s="47"/>
      <c r="VZZ34" s="47"/>
      <c r="WAA34" s="47"/>
      <c r="WAB34" s="47"/>
      <c r="WAC34" s="47"/>
      <c r="WAD34" s="47"/>
      <c r="WAE34" s="47"/>
      <c r="WAF34" s="47"/>
      <c r="WAG34" s="47"/>
      <c r="WAH34" s="47"/>
      <c r="WAI34" s="47"/>
      <c r="WAJ34" s="47"/>
      <c r="WAK34" s="47"/>
      <c r="WAL34" s="47"/>
      <c r="WAM34" s="47"/>
      <c r="WAN34" s="47"/>
      <c r="WAO34" s="47"/>
      <c r="WAP34" s="47"/>
      <c r="WAQ34" s="47"/>
      <c r="WAR34" s="47"/>
      <c r="WAS34" s="47"/>
      <c r="WAT34" s="47"/>
      <c r="WAU34" s="47"/>
      <c r="WAV34" s="47"/>
      <c r="WAW34" s="47"/>
      <c r="WAX34" s="47"/>
      <c r="WAY34" s="47"/>
      <c r="WAZ34" s="47"/>
      <c r="WBA34" s="47"/>
      <c r="WBB34" s="47"/>
      <c r="WBC34" s="47"/>
      <c r="WBD34" s="47"/>
      <c r="WBE34" s="47"/>
      <c r="WBF34" s="47"/>
      <c r="WBG34" s="47"/>
      <c r="WBH34" s="47"/>
      <c r="WBI34" s="47"/>
      <c r="WBJ34" s="47"/>
      <c r="WBK34" s="47"/>
      <c r="WBL34" s="47"/>
      <c r="WBM34" s="47"/>
      <c r="WBN34" s="47"/>
      <c r="WBO34" s="47"/>
      <c r="WBP34" s="47"/>
      <c r="WBQ34" s="47"/>
      <c r="WBR34" s="47"/>
      <c r="WBS34" s="47"/>
      <c r="WBT34" s="47"/>
      <c r="WBU34" s="47"/>
      <c r="WBV34" s="47"/>
      <c r="WBW34" s="47"/>
      <c r="WBX34" s="47"/>
      <c r="WBY34" s="47"/>
      <c r="WBZ34" s="47"/>
      <c r="WCA34" s="47"/>
      <c r="WCB34" s="47"/>
      <c r="WCC34" s="47"/>
      <c r="WCD34" s="47"/>
      <c r="WCE34" s="47"/>
      <c r="WCF34" s="47"/>
      <c r="WCG34" s="47"/>
      <c r="WCH34" s="47"/>
      <c r="WCI34" s="47"/>
      <c r="WCJ34" s="47"/>
      <c r="WCK34" s="47"/>
      <c r="WCL34" s="47"/>
      <c r="WCM34" s="47"/>
      <c r="WCN34" s="47"/>
      <c r="WCO34" s="47"/>
      <c r="WCP34" s="47"/>
      <c r="WCQ34" s="47"/>
      <c r="WCR34" s="47"/>
      <c r="WCS34" s="47"/>
      <c r="WCT34" s="47"/>
      <c r="WCU34" s="47"/>
      <c r="WCV34" s="47"/>
      <c r="WCW34" s="47"/>
      <c r="WCX34" s="47"/>
      <c r="WCY34" s="47"/>
      <c r="WCZ34" s="47"/>
      <c r="WDA34" s="47"/>
      <c r="WDB34" s="47"/>
      <c r="WDC34" s="47"/>
      <c r="WDD34" s="47"/>
      <c r="WDE34" s="47"/>
      <c r="WDF34" s="47"/>
      <c r="WDG34" s="47"/>
      <c r="WDH34" s="47"/>
      <c r="WDI34" s="47"/>
      <c r="WDJ34" s="47"/>
      <c r="WDK34" s="47"/>
      <c r="WDL34" s="47"/>
      <c r="WDM34" s="47"/>
      <c r="WDN34" s="47"/>
      <c r="WDO34" s="47"/>
      <c r="WDP34" s="47"/>
      <c r="WDQ34" s="47"/>
      <c r="WDR34" s="47"/>
      <c r="WDS34" s="47"/>
      <c r="WDT34" s="47"/>
      <c r="WDU34" s="47"/>
      <c r="WDV34" s="47"/>
      <c r="WDW34" s="47"/>
      <c r="WDX34" s="47"/>
      <c r="WDY34" s="47"/>
      <c r="WDZ34" s="47"/>
      <c r="WEA34" s="47"/>
      <c r="WEB34" s="47"/>
      <c r="WEC34" s="47"/>
      <c r="WED34" s="47"/>
      <c r="WEE34" s="47"/>
      <c r="WEF34" s="47"/>
      <c r="WEG34" s="47"/>
      <c r="WEH34" s="47"/>
      <c r="WEI34" s="47"/>
      <c r="WEJ34" s="47"/>
      <c r="WEK34" s="47"/>
      <c r="WEL34" s="47"/>
      <c r="WEM34" s="47"/>
      <c r="WEN34" s="47"/>
      <c r="WEO34" s="47"/>
      <c r="WEP34" s="47"/>
      <c r="WEQ34" s="47"/>
      <c r="WER34" s="47"/>
      <c r="WES34" s="47"/>
      <c r="WET34" s="47"/>
      <c r="WEU34" s="47"/>
      <c r="WEV34" s="47"/>
      <c r="WEW34" s="47"/>
      <c r="WEX34" s="47"/>
      <c r="WEY34" s="47"/>
      <c r="WEZ34" s="47"/>
      <c r="WFA34" s="47"/>
      <c r="WFB34" s="47"/>
      <c r="WFC34" s="47"/>
      <c r="WFD34" s="47"/>
      <c r="WFE34" s="47"/>
      <c r="WFF34" s="47"/>
      <c r="WFG34" s="47"/>
      <c r="WFH34" s="47"/>
      <c r="WFI34" s="47"/>
      <c r="WFJ34" s="47"/>
      <c r="WFK34" s="47"/>
      <c r="WFL34" s="47"/>
      <c r="WFM34" s="47"/>
      <c r="WFN34" s="47"/>
      <c r="WFO34" s="47"/>
      <c r="WFP34" s="47"/>
      <c r="WFQ34" s="47"/>
      <c r="WFR34" s="47"/>
      <c r="WFS34" s="47"/>
      <c r="WFT34" s="47"/>
      <c r="WFU34" s="47"/>
      <c r="WFV34" s="47"/>
      <c r="WFW34" s="47"/>
      <c r="WFX34" s="47"/>
      <c r="WFY34" s="47"/>
      <c r="WFZ34" s="47"/>
      <c r="WGA34" s="47"/>
      <c r="WGB34" s="47"/>
      <c r="WGC34" s="47"/>
      <c r="WGD34" s="47"/>
      <c r="WGE34" s="47"/>
      <c r="WGF34" s="47"/>
      <c r="WGG34" s="47"/>
      <c r="WGH34" s="47"/>
      <c r="WGI34" s="47"/>
      <c r="WGJ34" s="47"/>
      <c r="WGK34" s="47"/>
      <c r="WGL34" s="47"/>
      <c r="WGM34" s="47"/>
      <c r="WGN34" s="47"/>
      <c r="WGO34" s="47"/>
      <c r="WGP34" s="47"/>
      <c r="WGQ34" s="47"/>
      <c r="WGR34" s="47"/>
      <c r="WGS34" s="47"/>
      <c r="WGT34" s="47"/>
      <c r="WGU34" s="47"/>
      <c r="WGV34" s="47"/>
      <c r="WGW34" s="47"/>
      <c r="WGX34" s="47"/>
      <c r="WGY34" s="47"/>
      <c r="WGZ34" s="47"/>
      <c r="WHA34" s="47"/>
      <c r="WHB34" s="47"/>
      <c r="WHC34" s="47"/>
      <c r="WHD34" s="47"/>
      <c r="WHE34" s="47"/>
      <c r="WHF34" s="47"/>
      <c r="WHG34" s="47"/>
      <c r="WHH34" s="47"/>
      <c r="WHI34" s="47"/>
      <c r="WHJ34" s="47"/>
      <c r="WHK34" s="47"/>
      <c r="WHL34" s="47"/>
      <c r="WHM34" s="47"/>
      <c r="WHN34" s="47"/>
      <c r="WHO34" s="47"/>
      <c r="WHP34" s="47"/>
      <c r="WHQ34" s="47"/>
      <c r="WHR34" s="47"/>
      <c r="WHS34" s="47"/>
      <c r="WHT34" s="47"/>
      <c r="WHU34" s="47"/>
      <c r="WHV34" s="47"/>
      <c r="WHW34" s="47"/>
      <c r="WHX34" s="47"/>
      <c r="WHY34" s="47"/>
      <c r="WHZ34" s="47"/>
      <c r="WIA34" s="47"/>
      <c r="WIB34" s="47"/>
      <c r="WIC34" s="47"/>
      <c r="WID34" s="47"/>
      <c r="WIE34" s="47"/>
      <c r="WIF34" s="47"/>
      <c r="WIG34" s="47"/>
      <c r="WIH34" s="47"/>
      <c r="WII34" s="47"/>
      <c r="WIJ34" s="47"/>
      <c r="WIK34" s="47"/>
      <c r="WIL34" s="47"/>
      <c r="WIM34" s="47"/>
      <c r="WIN34" s="47"/>
      <c r="WIO34" s="47"/>
      <c r="WIP34" s="47"/>
      <c r="WIQ34" s="47"/>
      <c r="WIR34" s="47"/>
      <c r="WIS34" s="47"/>
      <c r="WIT34" s="47"/>
      <c r="WIU34" s="47"/>
      <c r="WIV34" s="47"/>
      <c r="WIW34" s="47"/>
      <c r="WIX34" s="47"/>
      <c r="WIY34" s="47"/>
      <c r="WIZ34" s="47"/>
      <c r="WJA34" s="47"/>
      <c r="WJB34" s="47"/>
      <c r="WJC34" s="47"/>
      <c r="WJD34" s="47"/>
      <c r="WJE34" s="47"/>
      <c r="WJF34" s="47"/>
      <c r="WJG34" s="47"/>
      <c r="WJH34" s="47"/>
      <c r="WJI34" s="47"/>
      <c r="WJJ34" s="47"/>
      <c r="WJK34" s="47"/>
      <c r="WJL34" s="47"/>
      <c r="WJM34" s="47"/>
      <c r="WJN34" s="47"/>
      <c r="WJO34" s="47"/>
      <c r="WJP34" s="47"/>
      <c r="WJQ34" s="47"/>
      <c r="WJR34" s="47"/>
      <c r="WJS34" s="47"/>
      <c r="WJT34" s="47"/>
      <c r="WJU34" s="47"/>
      <c r="WJV34" s="47"/>
      <c r="WJW34" s="47"/>
      <c r="WJX34" s="47"/>
      <c r="WJY34" s="47"/>
      <c r="WJZ34" s="47"/>
      <c r="WKA34" s="47"/>
      <c r="WKB34" s="47"/>
      <c r="WKC34" s="47"/>
      <c r="WKD34" s="47"/>
      <c r="WKE34" s="47"/>
      <c r="WKF34" s="47"/>
      <c r="WKG34" s="47"/>
      <c r="WKH34" s="47"/>
      <c r="WKI34" s="47"/>
      <c r="WKJ34" s="47"/>
      <c r="WKK34" s="47"/>
      <c r="WKL34" s="47"/>
      <c r="WKM34" s="47"/>
      <c r="WKN34" s="47"/>
      <c r="WKO34" s="47"/>
      <c r="WKP34" s="47"/>
      <c r="WKQ34" s="47"/>
      <c r="WKR34" s="47"/>
      <c r="WKS34" s="47"/>
      <c r="WKT34" s="47"/>
      <c r="WKU34" s="47"/>
      <c r="WKV34" s="47"/>
      <c r="WKW34" s="47"/>
      <c r="WKX34" s="47"/>
      <c r="WKY34" s="47"/>
      <c r="WKZ34" s="47"/>
      <c r="WLA34" s="47"/>
      <c r="WLB34" s="47"/>
      <c r="WLC34" s="47"/>
      <c r="WLD34" s="47"/>
      <c r="WLE34" s="47"/>
      <c r="WLF34" s="47"/>
      <c r="WLG34" s="47"/>
      <c r="WLH34" s="47"/>
      <c r="WLI34" s="47"/>
      <c r="WLJ34" s="47"/>
      <c r="WLK34" s="47"/>
      <c r="WLL34" s="47"/>
      <c r="WLM34" s="47"/>
      <c r="WLN34" s="47"/>
      <c r="WLO34" s="47"/>
      <c r="WLP34" s="47"/>
      <c r="WLQ34" s="47"/>
      <c r="WLR34" s="47"/>
      <c r="WLS34" s="47"/>
      <c r="WLT34" s="47"/>
      <c r="WLU34" s="47"/>
      <c r="WLV34" s="47"/>
      <c r="WLW34" s="47"/>
      <c r="WLX34" s="47"/>
      <c r="WLY34" s="47"/>
      <c r="WLZ34" s="47"/>
      <c r="WMA34" s="47"/>
      <c r="WMB34" s="47"/>
      <c r="WMC34" s="47"/>
      <c r="WMD34" s="47"/>
      <c r="WME34" s="47"/>
      <c r="WMF34" s="47"/>
      <c r="WMG34" s="47"/>
      <c r="WMH34" s="47"/>
      <c r="WMI34" s="47"/>
      <c r="WMJ34" s="47"/>
      <c r="WMK34" s="47"/>
      <c r="WML34" s="47"/>
      <c r="WMM34" s="47"/>
      <c r="WMN34" s="47"/>
      <c r="WMO34" s="47"/>
      <c r="WMP34" s="47"/>
      <c r="WMQ34" s="47"/>
      <c r="WMR34" s="47"/>
      <c r="WMS34" s="47"/>
      <c r="WMT34" s="47"/>
      <c r="WMU34" s="47"/>
      <c r="WMV34" s="47"/>
      <c r="WMW34" s="47"/>
      <c r="WMX34" s="47"/>
      <c r="WMY34" s="47"/>
      <c r="WMZ34" s="47"/>
      <c r="WNA34" s="47"/>
      <c r="WNB34" s="47"/>
      <c r="WNC34" s="47"/>
      <c r="WND34" s="47"/>
      <c r="WNE34" s="47"/>
      <c r="WNF34" s="47"/>
      <c r="WNG34" s="47"/>
      <c r="WNH34" s="47"/>
      <c r="WNI34" s="47"/>
      <c r="WNJ34" s="47"/>
      <c r="WNK34" s="47"/>
      <c r="WNL34" s="47"/>
      <c r="WNM34" s="47"/>
      <c r="WNN34" s="47"/>
      <c r="WNO34" s="47"/>
      <c r="WNP34" s="47"/>
      <c r="WNQ34" s="47"/>
      <c r="WNR34" s="47"/>
      <c r="WNS34" s="47"/>
      <c r="WNT34" s="47"/>
      <c r="WNU34" s="47"/>
      <c r="WNV34" s="47"/>
      <c r="WNW34" s="47"/>
      <c r="WNX34" s="47"/>
      <c r="WNY34" s="47"/>
      <c r="WNZ34" s="47"/>
      <c r="WOA34" s="47"/>
      <c r="WOB34" s="47"/>
      <c r="WOC34" s="47"/>
      <c r="WOD34" s="47"/>
      <c r="WOE34" s="47"/>
      <c r="WOF34" s="47"/>
      <c r="WOG34" s="47"/>
      <c r="WOH34" s="47"/>
      <c r="WOI34" s="47"/>
      <c r="WOJ34" s="47"/>
      <c r="WOK34" s="47"/>
      <c r="WOL34" s="47"/>
      <c r="WOM34" s="47"/>
      <c r="WON34" s="47"/>
      <c r="WOO34" s="47"/>
      <c r="WOP34" s="47"/>
      <c r="WOQ34" s="47"/>
      <c r="WOR34" s="47"/>
      <c r="WOS34" s="47"/>
      <c r="WOT34" s="47"/>
      <c r="WOU34" s="47"/>
      <c r="WOV34" s="47"/>
      <c r="WOW34" s="47"/>
      <c r="WOX34" s="47"/>
      <c r="WOY34" s="47"/>
      <c r="WOZ34" s="47"/>
      <c r="WPA34" s="47"/>
      <c r="WPB34" s="47"/>
      <c r="WPC34" s="47"/>
      <c r="WPD34" s="47"/>
      <c r="WPE34" s="47"/>
      <c r="WPF34" s="47"/>
      <c r="WPG34" s="47"/>
      <c r="WPH34" s="47"/>
      <c r="WPI34" s="47"/>
      <c r="WPJ34" s="47"/>
      <c r="WPK34" s="47"/>
      <c r="WPL34" s="47"/>
      <c r="WPM34" s="47"/>
      <c r="WPN34" s="47"/>
      <c r="WPO34" s="47"/>
      <c r="WPP34" s="47"/>
      <c r="WPQ34" s="47"/>
      <c r="WPR34" s="47"/>
      <c r="WPS34" s="47"/>
      <c r="WPT34" s="47"/>
      <c r="WPU34" s="47"/>
      <c r="WPV34" s="47"/>
      <c r="WPW34" s="47"/>
      <c r="WPX34" s="47"/>
      <c r="WPY34" s="47"/>
      <c r="WPZ34" s="47"/>
      <c r="WQA34" s="47"/>
      <c r="WQB34" s="47"/>
      <c r="WQC34" s="47"/>
      <c r="WQD34" s="47"/>
      <c r="WQE34" s="47"/>
      <c r="WQF34" s="47"/>
      <c r="WQG34" s="47"/>
      <c r="WQH34" s="47"/>
      <c r="WQI34" s="47"/>
      <c r="WQJ34" s="47"/>
      <c r="WQK34" s="47"/>
      <c r="WQL34" s="47"/>
      <c r="WQM34" s="47"/>
      <c r="WQN34" s="47"/>
      <c r="WQO34" s="47"/>
      <c r="WQP34" s="47"/>
      <c r="WQQ34" s="47"/>
      <c r="WQR34" s="47"/>
      <c r="WQS34" s="47"/>
      <c r="WQT34" s="47"/>
      <c r="WQU34" s="47"/>
      <c r="WQV34" s="47"/>
      <c r="WQW34" s="47"/>
      <c r="WQX34" s="47"/>
      <c r="WQY34" s="47"/>
      <c r="WQZ34" s="47"/>
      <c r="WRA34" s="47"/>
      <c r="WRB34" s="47"/>
      <c r="WRC34" s="47"/>
      <c r="WRD34" s="47"/>
      <c r="WRE34" s="47"/>
      <c r="WRF34" s="47"/>
      <c r="WRG34" s="47"/>
      <c r="WRH34" s="47"/>
      <c r="WRI34" s="47"/>
      <c r="WRJ34" s="47"/>
      <c r="WRK34" s="47"/>
      <c r="WRL34" s="47"/>
      <c r="WRM34" s="47"/>
      <c r="WRN34" s="47"/>
      <c r="WRO34" s="47"/>
      <c r="WRP34" s="47"/>
      <c r="WRQ34" s="47"/>
      <c r="WRR34" s="47"/>
      <c r="WRS34" s="47"/>
      <c r="WRT34" s="47"/>
      <c r="WRU34" s="47"/>
      <c r="WRV34" s="47"/>
      <c r="WRW34" s="47"/>
      <c r="WRX34" s="47"/>
      <c r="WRY34" s="47"/>
      <c r="WRZ34" s="47"/>
      <c r="WSA34" s="47"/>
      <c r="WSB34" s="47"/>
      <c r="WSC34" s="47"/>
      <c r="WSD34" s="47"/>
      <c r="WSE34" s="47"/>
      <c r="WSF34" s="47"/>
      <c r="WSG34" s="47"/>
      <c r="WSH34" s="47"/>
      <c r="WSI34" s="47"/>
      <c r="WSJ34" s="47"/>
      <c r="WSK34" s="47"/>
      <c r="WSL34" s="47"/>
      <c r="WSM34" s="47"/>
      <c r="WSN34" s="47"/>
      <c r="WSO34" s="47"/>
      <c r="WSP34" s="47"/>
      <c r="WSQ34" s="47"/>
      <c r="WSR34" s="47"/>
      <c r="WSS34" s="47"/>
      <c r="WST34" s="47"/>
      <c r="WSU34" s="47"/>
      <c r="WSV34" s="47"/>
      <c r="WSW34" s="47"/>
      <c r="WSX34" s="47"/>
      <c r="WSY34" s="47"/>
      <c r="WSZ34" s="47"/>
      <c r="WTA34" s="47"/>
      <c r="WTB34" s="47"/>
      <c r="WTC34" s="47"/>
      <c r="WTD34" s="47"/>
      <c r="WTE34" s="47"/>
      <c r="WTF34" s="47"/>
      <c r="WTG34" s="47"/>
      <c r="WTH34" s="47"/>
      <c r="WTI34" s="47"/>
      <c r="WTJ34" s="47"/>
      <c r="WTK34" s="47"/>
      <c r="WTL34" s="47"/>
      <c r="WTM34" s="47"/>
      <c r="WTN34" s="47"/>
      <c r="WTO34" s="47"/>
      <c r="WTP34" s="47"/>
      <c r="WTQ34" s="47"/>
      <c r="WTR34" s="47"/>
      <c r="WTS34" s="47"/>
      <c r="WTT34" s="47"/>
      <c r="WTU34" s="47"/>
      <c r="WTV34" s="47"/>
      <c r="WTW34" s="47"/>
      <c r="WTX34" s="47"/>
      <c r="WTY34" s="47"/>
      <c r="WTZ34" s="47"/>
      <c r="WUA34" s="47"/>
      <c r="WUB34" s="47"/>
      <c r="WUC34" s="47"/>
      <c r="WUD34" s="47"/>
      <c r="WUE34" s="47"/>
      <c r="WUF34" s="47"/>
      <c r="WUG34" s="47"/>
      <c r="WUH34" s="47"/>
      <c r="WUI34" s="47"/>
      <c r="WUJ34" s="47"/>
      <c r="WUK34" s="47"/>
      <c r="WUL34" s="47"/>
      <c r="WUM34" s="47"/>
      <c r="WUN34" s="47"/>
      <c r="WUO34" s="47"/>
      <c r="WUP34" s="47"/>
      <c r="WUQ34" s="47"/>
      <c r="WUR34" s="47"/>
      <c r="WUS34" s="47"/>
      <c r="WUT34" s="47"/>
      <c r="WUU34" s="47"/>
      <c r="WUV34" s="47"/>
      <c r="WUW34" s="47"/>
      <c r="WUX34" s="47"/>
      <c r="WUY34" s="47"/>
      <c r="WUZ34" s="47"/>
      <c r="WVA34" s="47"/>
      <c r="WVB34" s="47"/>
      <c r="WVC34" s="47"/>
      <c r="WVD34" s="47"/>
      <c r="WVE34" s="47"/>
      <c r="WVF34" s="47"/>
      <c r="WVG34" s="47"/>
      <c r="WVH34" s="47"/>
      <c r="WVI34" s="47"/>
      <c r="WVJ34" s="47"/>
      <c r="WVK34" s="47"/>
      <c r="WVL34" s="47"/>
      <c r="WVM34" s="47"/>
      <c r="WVN34" s="47"/>
      <c r="WVO34" s="47"/>
      <c r="WVP34" s="47"/>
      <c r="WVQ34" s="47"/>
      <c r="WVR34" s="47"/>
      <c r="WVS34" s="47"/>
      <c r="WVT34" s="47"/>
      <c r="WVU34" s="47"/>
      <c r="WVV34" s="47"/>
      <c r="WVW34" s="47"/>
      <c r="WVX34" s="47"/>
      <c r="WVY34" s="47"/>
      <c r="WVZ34" s="47"/>
      <c r="WWA34" s="47"/>
      <c r="WWB34" s="47"/>
      <c r="WWC34" s="47"/>
      <c r="WWD34" s="47"/>
      <c r="WWE34" s="47"/>
      <c r="WWF34" s="47"/>
      <c r="WWG34" s="47"/>
      <c r="WWH34" s="47"/>
      <c r="WWI34" s="47"/>
      <c r="WWJ34" s="47"/>
      <c r="WWK34" s="47"/>
      <c r="WWL34" s="47"/>
      <c r="WWM34" s="47"/>
      <c r="WWN34" s="47"/>
      <c r="WWO34" s="47"/>
      <c r="WWP34" s="47"/>
      <c r="WWQ34" s="47"/>
      <c r="WWR34" s="47"/>
      <c r="WWS34" s="47"/>
      <c r="WWT34" s="47"/>
      <c r="WWU34" s="47"/>
      <c r="WWV34" s="47"/>
      <c r="WWW34" s="47"/>
      <c r="WWX34" s="47"/>
      <c r="WWY34" s="47"/>
      <c r="WWZ34" s="47"/>
      <c r="WXA34" s="47"/>
      <c r="WXB34" s="47"/>
      <c r="WXC34" s="47"/>
      <c r="WXD34" s="47"/>
      <c r="WXE34" s="47"/>
      <c r="WXF34" s="47"/>
      <c r="WXG34" s="47"/>
      <c r="WXH34" s="47"/>
      <c r="WXI34" s="47"/>
      <c r="WXJ34" s="47"/>
      <c r="WXK34" s="47"/>
      <c r="WXL34" s="47"/>
      <c r="WXM34" s="47"/>
      <c r="WXN34" s="47"/>
      <c r="WXO34" s="47"/>
      <c r="WXP34" s="47"/>
      <c r="WXQ34" s="47"/>
      <c r="WXR34" s="47"/>
      <c r="WXS34" s="47"/>
      <c r="WXT34" s="47"/>
      <c r="WXU34" s="47"/>
      <c r="WXV34" s="47"/>
      <c r="WXW34" s="47"/>
      <c r="WXX34" s="47"/>
      <c r="WXY34" s="47"/>
      <c r="WXZ34" s="47"/>
      <c r="WYA34" s="47"/>
      <c r="WYB34" s="47"/>
      <c r="WYC34" s="47"/>
      <c r="WYD34" s="47"/>
      <c r="WYE34" s="47"/>
      <c r="WYF34" s="47"/>
      <c r="WYG34" s="47"/>
      <c r="WYH34" s="47"/>
      <c r="WYI34" s="47"/>
      <c r="WYJ34" s="47"/>
      <c r="WYK34" s="47"/>
      <c r="WYL34" s="47"/>
      <c r="WYM34" s="47"/>
      <c r="WYN34" s="47"/>
      <c r="WYO34" s="47"/>
      <c r="WYP34" s="47"/>
      <c r="WYQ34" s="47"/>
      <c r="WYR34" s="47"/>
      <c r="WYS34" s="47"/>
      <c r="WYT34" s="47"/>
      <c r="WYU34" s="47"/>
      <c r="WYV34" s="47"/>
      <c r="WYW34" s="47"/>
      <c r="WYX34" s="47"/>
      <c r="WYY34" s="47"/>
      <c r="WYZ34" s="47"/>
      <c r="WZA34" s="47"/>
      <c r="WZB34" s="47"/>
      <c r="WZC34" s="47"/>
      <c r="WZD34" s="47"/>
      <c r="WZE34" s="47"/>
      <c r="WZF34" s="47"/>
      <c r="WZG34" s="47"/>
      <c r="WZH34" s="47"/>
      <c r="WZI34" s="47"/>
      <c r="WZJ34" s="47"/>
      <c r="WZK34" s="47"/>
      <c r="WZL34" s="47"/>
      <c r="WZM34" s="47"/>
      <c r="WZN34" s="47"/>
      <c r="WZO34" s="47"/>
      <c r="WZP34" s="47"/>
      <c r="WZQ34" s="47"/>
      <c r="WZR34" s="47"/>
      <c r="WZS34" s="47"/>
      <c r="WZT34" s="47"/>
      <c r="WZU34" s="47"/>
      <c r="WZV34" s="47"/>
      <c r="WZW34" s="47"/>
      <c r="WZX34" s="47"/>
      <c r="WZY34" s="47"/>
      <c r="WZZ34" s="47"/>
      <c r="XAA34" s="47"/>
      <c r="XAB34" s="47"/>
      <c r="XAC34" s="47"/>
      <c r="XAD34" s="47"/>
      <c r="XAE34" s="47"/>
      <c r="XAF34" s="47"/>
      <c r="XAG34" s="47"/>
      <c r="XAH34" s="47"/>
      <c r="XAI34" s="47"/>
      <c r="XAJ34" s="47"/>
      <c r="XAK34" s="47"/>
      <c r="XAL34" s="47"/>
      <c r="XAM34" s="47"/>
      <c r="XAN34" s="47"/>
      <c r="XAO34" s="47"/>
      <c r="XAP34" s="47"/>
      <c r="XAQ34" s="47"/>
      <c r="XAR34" s="47"/>
      <c r="XAS34" s="47"/>
      <c r="XAT34" s="47"/>
      <c r="XAU34" s="47"/>
      <c r="XAV34" s="47"/>
      <c r="XAW34" s="47"/>
      <c r="XAX34" s="47"/>
      <c r="XAY34" s="47"/>
      <c r="XAZ34" s="47"/>
      <c r="XBA34" s="47"/>
      <c r="XBB34" s="47"/>
      <c r="XBC34" s="47"/>
      <c r="XBD34" s="47"/>
      <c r="XBE34" s="47"/>
      <c r="XBF34" s="47"/>
      <c r="XBG34" s="47"/>
      <c r="XBH34" s="47"/>
      <c r="XBI34" s="47"/>
      <c r="XBJ34" s="47"/>
      <c r="XBK34" s="47"/>
      <c r="XBL34" s="47"/>
      <c r="XBM34" s="47"/>
      <c r="XBN34" s="47"/>
      <c r="XBO34" s="47"/>
      <c r="XBP34" s="47"/>
      <c r="XBQ34" s="47"/>
      <c r="XBR34" s="47"/>
      <c r="XBS34" s="47"/>
      <c r="XBT34" s="47"/>
      <c r="XBU34" s="47"/>
      <c r="XBV34" s="47"/>
      <c r="XBW34" s="47"/>
      <c r="XBX34" s="47"/>
      <c r="XBY34" s="47"/>
      <c r="XBZ34" s="47"/>
      <c r="XCA34" s="47"/>
      <c r="XCB34" s="47"/>
      <c r="XCC34" s="47"/>
      <c r="XCD34" s="47"/>
      <c r="XCE34" s="47"/>
      <c r="XCF34" s="47"/>
      <c r="XCG34" s="47"/>
      <c r="XCH34" s="47"/>
      <c r="XCI34" s="47"/>
      <c r="XCJ34" s="47"/>
      <c r="XCK34" s="47"/>
      <c r="XCL34" s="47"/>
      <c r="XCM34" s="47"/>
      <c r="XCN34" s="47"/>
      <c r="XCO34" s="47"/>
      <c r="XCP34" s="47"/>
      <c r="XCQ34" s="47"/>
      <c r="XCR34" s="47"/>
      <c r="XCS34" s="47"/>
      <c r="XCT34" s="47"/>
      <c r="XCU34" s="47"/>
      <c r="XCV34" s="47"/>
      <c r="XCW34" s="47"/>
      <c r="XCX34" s="47"/>
      <c r="XCY34" s="47"/>
      <c r="XCZ34" s="47"/>
      <c r="XDA34" s="47"/>
      <c r="XDB34" s="47"/>
      <c r="XDC34" s="47"/>
      <c r="XDD34" s="47"/>
      <c r="XDE34" s="47"/>
      <c r="XDF34" s="47"/>
      <c r="XDG34" s="47"/>
      <c r="XDH34" s="47"/>
      <c r="XDI34" s="47"/>
      <c r="XDJ34" s="47"/>
      <c r="XDK34" s="47"/>
      <c r="XDL34" s="47"/>
      <c r="XDM34" s="47"/>
      <c r="XDN34" s="47"/>
      <c r="XDO34" s="47"/>
      <c r="XDP34" s="47"/>
      <c r="XDQ34" s="47"/>
      <c r="XDR34" s="47"/>
      <c r="XDS34" s="47"/>
      <c r="XDT34" s="47"/>
      <c r="XDU34" s="47"/>
      <c r="XDV34" s="47"/>
      <c r="XDW34" s="47"/>
      <c r="XDX34" s="47"/>
      <c r="XDY34" s="47"/>
      <c r="XDZ34" s="47"/>
      <c r="XEA34" s="47"/>
      <c r="XEB34" s="47"/>
      <c r="XEC34" s="47"/>
      <c r="XED34" s="47"/>
      <c r="XEE34" s="47"/>
      <c r="XEF34" s="47"/>
      <c r="XEG34" s="47"/>
      <c r="XEH34" s="47"/>
      <c r="XEI34" s="47"/>
      <c r="XEJ34" s="47"/>
      <c r="XEK34" s="47"/>
      <c r="XEL34" s="47"/>
      <c r="XEM34" s="47"/>
      <c r="XEN34" s="47"/>
      <c r="XEO34" s="47"/>
      <c r="XEP34" s="47"/>
      <c r="XEQ34" s="47"/>
      <c r="XER34" s="47"/>
      <c r="XES34" s="47"/>
      <c r="XET34" s="47"/>
      <c r="XEU34" s="47"/>
      <c r="XEV34" s="47"/>
      <c r="XEW34" s="47"/>
      <c r="XEX34" s="47"/>
      <c r="XEY34" s="47"/>
      <c r="XEZ34" s="47"/>
      <c r="XFA34" s="47"/>
      <c r="XFB34" s="47"/>
      <c r="XFC34" s="47"/>
    </row>
    <row r="35" spans="1:16383" s="20" customFormat="1" ht="20.149999999999999" hidden="1" customHeight="1">
      <c r="A35" s="53"/>
      <c r="B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47"/>
      <c r="MC35" s="47"/>
      <c r="MD35" s="47"/>
      <c r="ME35" s="47"/>
      <c r="MF35" s="47"/>
      <c r="MG35" s="47"/>
      <c r="MH35" s="47"/>
      <c r="MI35" s="47"/>
      <c r="MJ35" s="47"/>
      <c r="MK35" s="47"/>
      <c r="ML35" s="47"/>
      <c r="MM35" s="47"/>
      <c r="MN35" s="47"/>
      <c r="MO35" s="47"/>
      <c r="MP35" s="47"/>
      <c r="MQ35" s="47"/>
      <c r="MR35" s="47"/>
      <c r="MS35" s="47"/>
      <c r="MT35" s="47"/>
      <c r="MU35" s="47"/>
      <c r="MV35" s="47"/>
      <c r="MW35" s="47"/>
      <c r="MX35" s="47"/>
      <c r="MY35" s="47"/>
      <c r="MZ35" s="47"/>
      <c r="NA35" s="47"/>
      <c r="NB35" s="47"/>
      <c r="NC35" s="47"/>
      <c r="ND35" s="47"/>
      <c r="NE35" s="47"/>
      <c r="NF35" s="47"/>
      <c r="NG35" s="47"/>
      <c r="NH35" s="47"/>
      <c r="NI35" s="47"/>
      <c r="NJ35" s="47"/>
      <c r="NK35" s="47"/>
      <c r="NL35" s="47"/>
      <c r="NM35" s="47"/>
      <c r="NN35" s="47"/>
      <c r="NO35" s="47"/>
      <c r="NP35" s="47"/>
      <c r="NQ35" s="47"/>
      <c r="NR35" s="47"/>
      <c r="NS35" s="47"/>
      <c r="NT35" s="47"/>
      <c r="NU35" s="47"/>
      <c r="NV35" s="47"/>
      <c r="NW35" s="47"/>
      <c r="NX35" s="47"/>
      <c r="NY35" s="47"/>
      <c r="NZ35" s="47"/>
      <c r="OA35" s="47"/>
      <c r="OB35" s="47"/>
      <c r="OC35" s="47"/>
      <c r="OD35" s="47"/>
      <c r="OE35" s="47"/>
      <c r="OF35" s="47"/>
      <c r="OG35" s="47"/>
      <c r="OH35" s="47"/>
      <c r="OI35" s="47"/>
      <c r="OJ35" s="47"/>
      <c r="OK35" s="47"/>
      <c r="OL35" s="47"/>
      <c r="OM35" s="47"/>
      <c r="ON35" s="47"/>
      <c r="OO35" s="47"/>
      <c r="OP35" s="47"/>
      <c r="OQ35" s="47"/>
      <c r="OR35" s="47"/>
      <c r="OS35" s="47"/>
      <c r="OT35" s="47"/>
      <c r="OU35" s="47"/>
      <c r="OV35" s="47"/>
      <c r="OW35" s="47"/>
      <c r="OX35" s="47"/>
      <c r="OY35" s="47"/>
      <c r="OZ35" s="47"/>
      <c r="PA35" s="47"/>
      <c r="PB35" s="47"/>
      <c r="PC35" s="47"/>
      <c r="PD35" s="47"/>
      <c r="PE35" s="47"/>
      <c r="PF35" s="47"/>
      <c r="PG35" s="47"/>
      <c r="PH35" s="47"/>
      <c r="PI35" s="47"/>
      <c r="PJ35" s="47"/>
      <c r="PK35" s="47"/>
      <c r="PL35" s="47"/>
      <c r="PM35" s="47"/>
      <c r="PN35" s="47"/>
      <c r="PO35" s="47"/>
      <c r="PP35" s="47"/>
      <c r="PQ35" s="47"/>
      <c r="PR35" s="47"/>
      <c r="PS35" s="47"/>
      <c r="PT35" s="47"/>
      <c r="PU35" s="47"/>
      <c r="PV35" s="47"/>
      <c r="PW35" s="47"/>
      <c r="PX35" s="47"/>
      <c r="PY35" s="47"/>
      <c r="PZ35" s="47"/>
      <c r="QA35" s="47"/>
      <c r="QB35" s="47"/>
      <c r="QC35" s="47"/>
      <c r="QD35" s="47"/>
      <c r="QE35" s="47"/>
      <c r="QF35" s="47"/>
      <c r="QG35" s="47"/>
      <c r="QH35" s="47"/>
      <c r="QI35" s="47"/>
      <c r="QJ35" s="47"/>
      <c r="QK35" s="47"/>
      <c r="QL35" s="47"/>
      <c r="QM35" s="47"/>
      <c r="QN35" s="47"/>
      <c r="QO35" s="47"/>
      <c r="QP35" s="47"/>
      <c r="QQ35" s="47"/>
      <c r="QR35" s="47"/>
      <c r="QS35" s="47"/>
      <c r="QT35" s="47"/>
      <c r="QU35" s="47"/>
      <c r="QV35" s="47"/>
      <c r="QW35" s="47"/>
      <c r="QX35" s="47"/>
      <c r="QY35" s="47"/>
      <c r="QZ35" s="47"/>
      <c r="RA35" s="47"/>
      <c r="RB35" s="47"/>
      <c r="RC35" s="47"/>
      <c r="RD35" s="47"/>
      <c r="RE35" s="47"/>
      <c r="RF35" s="47"/>
      <c r="RG35" s="47"/>
      <c r="RH35" s="47"/>
      <c r="RI35" s="47"/>
      <c r="RJ35" s="47"/>
      <c r="RK35" s="47"/>
      <c r="RL35" s="47"/>
      <c r="RM35" s="47"/>
      <c r="RN35" s="47"/>
      <c r="RO35" s="47"/>
      <c r="RP35" s="47"/>
      <c r="RQ35" s="47"/>
      <c r="RR35" s="47"/>
      <c r="RS35" s="47"/>
      <c r="RT35" s="47"/>
      <c r="RU35" s="47"/>
      <c r="RV35" s="47"/>
      <c r="RW35" s="47"/>
      <c r="RX35" s="47"/>
      <c r="RY35" s="47"/>
      <c r="RZ35" s="47"/>
      <c r="SA35" s="47"/>
      <c r="SB35" s="47"/>
      <c r="SC35" s="47"/>
      <c r="SD35" s="47"/>
      <c r="SE35" s="47"/>
      <c r="SF35" s="47"/>
      <c r="SG35" s="47"/>
      <c r="SH35" s="47"/>
      <c r="SI35" s="47"/>
      <c r="SJ35" s="47"/>
      <c r="SK35" s="47"/>
      <c r="SL35" s="47"/>
      <c r="SM35" s="47"/>
      <c r="SN35" s="47"/>
      <c r="SO35" s="47"/>
      <c r="SP35" s="47"/>
      <c r="SQ35" s="47"/>
      <c r="SR35" s="47"/>
      <c r="SS35" s="47"/>
      <c r="ST35" s="47"/>
      <c r="SU35" s="47"/>
      <c r="SV35" s="47"/>
      <c r="SW35" s="47"/>
      <c r="SX35" s="47"/>
      <c r="SY35" s="47"/>
      <c r="SZ35" s="47"/>
      <c r="TA35" s="47"/>
      <c r="TB35" s="47"/>
      <c r="TC35" s="47"/>
      <c r="TD35" s="47"/>
      <c r="TE35" s="47"/>
      <c r="TF35" s="47"/>
      <c r="TG35" s="47"/>
      <c r="TH35" s="47"/>
      <c r="TI35" s="47"/>
      <c r="TJ35" s="47"/>
      <c r="TK35" s="47"/>
      <c r="TL35" s="47"/>
      <c r="TM35" s="47"/>
      <c r="TN35" s="47"/>
      <c r="TO35" s="47"/>
      <c r="TP35" s="47"/>
      <c r="TQ35" s="47"/>
      <c r="TR35" s="47"/>
      <c r="TS35" s="47"/>
      <c r="TT35" s="47"/>
      <c r="TU35" s="47"/>
      <c r="TV35" s="47"/>
      <c r="TW35" s="47"/>
      <c r="TX35" s="47"/>
      <c r="TY35" s="47"/>
      <c r="TZ35" s="47"/>
      <c r="UA35" s="47"/>
      <c r="UB35" s="47"/>
      <c r="UC35" s="47"/>
      <c r="UD35" s="47"/>
      <c r="UE35" s="47"/>
      <c r="UF35" s="47"/>
      <c r="UG35" s="47"/>
      <c r="UH35" s="47"/>
      <c r="UI35" s="47"/>
      <c r="UJ35" s="47"/>
      <c r="UK35" s="47"/>
      <c r="UL35" s="47"/>
      <c r="UM35" s="47"/>
      <c r="UN35" s="47"/>
      <c r="UO35" s="47"/>
      <c r="UP35" s="47"/>
      <c r="UQ35" s="47"/>
      <c r="UR35" s="47"/>
      <c r="US35" s="47"/>
      <c r="UT35" s="47"/>
      <c r="UU35" s="47"/>
      <c r="UV35" s="47"/>
      <c r="UW35" s="47"/>
      <c r="UX35" s="47"/>
      <c r="UY35" s="47"/>
      <c r="UZ35" s="47"/>
      <c r="VA35" s="47"/>
      <c r="VB35" s="47"/>
      <c r="VC35" s="47"/>
      <c r="VD35" s="47"/>
      <c r="VE35" s="47"/>
      <c r="VF35" s="47"/>
      <c r="VG35" s="47"/>
      <c r="VH35" s="47"/>
      <c r="VI35" s="47"/>
      <c r="VJ35" s="47"/>
      <c r="VK35" s="47"/>
      <c r="VL35" s="47"/>
      <c r="VM35" s="47"/>
      <c r="VN35" s="47"/>
      <c r="VO35" s="47"/>
      <c r="VP35" s="47"/>
      <c r="VQ35" s="47"/>
      <c r="VR35" s="47"/>
      <c r="VS35" s="47"/>
      <c r="VT35" s="47"/>
      <c r="VU35" s="47"/>
      <c r="VV35" s="47"/>
      <c r="VW35" s="47"/>
      <c r="VX35" s="47"/>
      <c r="VY35" s="47"/>
      <c r="VZ35" s="47"/>
      <c r="WA35" s="47"/>
      <c r="WB35" s="47"/>
      <c r="WC35" s="47"/>
      <c r="WD35" s="47"/>
      <c r="WE35" s="47"/>
      <c r="WF35" s="47"/>
      <c r="WG35" s="47"/>
      <c r="WH35" s="47"/>
      <c r="WI35" s="47"/>
      <c r="WJ35" s="47"/>
      <c r="WK35" s="47"/>
      <c r="WL35" s="47"/>
      <c r="WM35" s="47"/>
      <c r="WN35" s="47"/>
      <c r="WO35" s="47"/>
      <c r="WP35" s="47"/>
      <c r="WQ35" s="47"/>
      <c r="WR35" s="47"/>
      <c r="WS35" s="47"/>
      <c r="WT35" s="47"/>
      <c r="WU35" s="47"/>
      <c r="WV35" s="47"/>
      <c r="WW35" s="47"/>
      <c r="WX35" s="47"/>
      <c r="WY35" s="47"/>
      <c r="WZ35" s="47"/>
      <c r="XA35" s="47"/>
      <c r="XB35" s="47"/>
      <c r="XC35" s="47"/>
      <c r="XD35" s="47"/>
      <c r="XE35" s="47"/>
      <c r="XF35" s="47"/>
      <c r="XG35" s="47"/>
      <c r="XH35" s="47"/>
      <c r="XI35" s="47"/>
      <c r="XJ35" s="47"/>
      <c r="XK35" s="47"/>
      <c r="XL35" s="47"/>
      <c r="XM35" s="47"/>
      <c r="XN35" s="47"/>
      <c r="XO35" s="47"/>
      <c r="XP35" s="47"/>
      <c r="XQ35" s="47"/>
      <c r="XR35" s="47"/>
      <c r="XS35" s="47"/>
      <c r="XT35" s="47"/>
      <c r="XU35" s="47"/>
      <c r="XV35" s="47"/>
      <c r="XW35" s="47"/>
      <c r="XX35" s="47"/>
      <c r="XY35" s="47"/>
      <c r="XZ35" s="47"/>
      <c r="YA35" s="47"/>
      <c r="YB35" s="47"/>
      <c r="YC35" s="47"/>
      <c r="YD35" s="47"/>
      <c r="YE35" s="47"/>
      <c r="YF35" s="47"/>
      <c r="YG35" s="47"/>
      <c r="YH35" s="47"/>
      <c r="YI35" s="47"/>
      <c r="YJ35" s="47"/>
      <c r="YK35" s="47"/>
      <c r="YL35" s="47"/>
      <c r="YM35" s="47"/>
      <c r="YN35" s="47"/>
      <c r="YO35" s="47"/>
      <c r="YP35" s="47"/>
      <c r="YQ35" s="47"/>
      <c r="YR35" s="47"/>
      <c r="YS35" s="47"/>
      <c r="YT35" s="47"/>
      <c r="YU35" s="47"/>
      <c r="YV35" s="47"/>
      <c r="YW35" s="47"/>
      <c r="YX35" s="47"/>
      <c r="YY35" s="47"/>
      <c r="YZ35" s="47"/>
      <c r="ZA35" s="47"/>
      <c r="ZB35" s="47"/>
      <c r="ZC35" s="47"/>
      <c r="ZD35" s="47"/>
      <c r="ZE35" s="47"/>
      <c r="ZF35" s="47"/>
      <c r="ZG35" s="47"/>
      <c r="ZH35" s="47"/>
      <c r="ZI35" s="47"/>
      <c r="ZJ35" s="47"/>
      <c r="ZK35" s="47"/>
      <c r="ZL35" s="47"/>
      <c r="ZM35" s="47"/>
      <c r="ZN35" s="47"/>
      <c r="ZO35" s="47"/>
      <c r="ZP35" s="47"/>
      <c r="ZQ35" s="47"/>
      <c r="ZR35" s="47"/>
      <c r="ZS35" s="47"/>
      <c r="ZT35" s="47"/>
      <c r="ZU35" s="47"/>
      <c r="ZV35" s="47"/>
      <c r="ZW35" s="47"/>
      <c r="ZX35" s="47"/>
      <c r="ZY35" s="47"/>
      <c r="ZZ35" s="47"/>
      <c r="AAA35" s="47"/>
      <c r="AAB35" s="47"/>
      <c r="AAC35" s="47"/>
      <c r="AAD35" s="47"/>
      <c r="AAE35" s="47"/>
      <c r="AAF35" s="47"/>
      <c r="AAG35" s="47"/>
      <c r="AAH35" s="47"/>
      <c r="AAI35" s="47"/>
      <c r="AAJ35" s="47"/>
      <c r="AAK35" s="47"/>
      <c r="AAL35" s="47"/>
      <c r="AAM35" s="47"/>
      <c r="AAN35" s="47"/>
      <c r="AAO35" s="47"/>
      <c r="AAP35" s="47"/>
      <c r="AAQ35" s="47"/>
      <c r="AAR35" s="47"/>
      <c r="AAS35" s="47"/>
      <c r="AAT35" s="47"/>
      <c r="AAU35" s="47"/>
      <c r="AAV35" s="47"/>
      <c r="AAW35" s="47"/>
      <c r="AAX35" s="47"/>
      <c r="AAY35" s="47"/>
      <c r="AAZ35" s="47"/>
      <c r="ABA35" s="47"/>
      <c r="ABB35" s="47"/>
      <c r="ABC35" s="47"/>
      <c r="ABD35" s="47"/>
      <c r="ABE35" s="47"/>
      <c r="ABF35" s="47"/>
      <c r="ABG35" s="47"/>
      <c r="ABH35" s="47"/>
      <c r="ABI35" s="47"/>
      <c r="ABJ35" s="47"/>
      <c r="ABK35" s="47"/>
      <c r="ABL35" s="47"/>
      <c r="ABM35" s="47"/>
      <c r="ABN35" s="47"/>
      <c r="ABO35" s="47"/>
      <c r="ABP35" s="47"/>
      <c r="ABQ35" s="47"/>
      <c r="ABR35" s="47"/>
      <c r="ABS35" s="47"/>
      <c r="ABT35" s="47"/>
      <c r="ABU35" s="47"/>
      <c r="ABV35" s="47"/>
      <c r="ABW35" s="47"/>
      <c r="ABX35" s="47"/>
      <c r="ABY35" s="47"/>
      <c r="ABZ35" s="47"/>
      <c r="ACA35" s="47"/>
      <c r="ACB35" s="47"/>
      <c r="ACC35" s="47"/>
      <c r="ACD35" s="47"/>
      <c r="ACE35" s="47"/>
      <c r="ACF35" s="47"/>
      <c r="ACG35" s="47"/>
      <c r="ACH35" s="47"/>
      <c r="ACI35" s="47"/>
      <c r="ACJ35" s="47"/>
      <c r="ACK35" s="47"/>
      <c r="ACL35" s="47"/>
      <c r="ACM35" s="47"/>
      <c r="ACN35" s="47"/>
      <c r="ACO35" s="47"/>
      <c r="ACP35" s="47"/>
      <c r="ACQ35" s="47"/>
      <c r="ACR35" s="47"/>
      <c r="ACS35" s="47"/>
      <c r="ACT35" s="47"/>
      <c r="ACU35" s="47"/>
      <c r="ACV35" s="47"/>
      <c r="ACW35" s="47"/>
      <c r="ACX35" s="47"/>
      <c r="ACY35" s="47"/>
      <c r="ACZ35" s="47"/>
      <c r="ADA35" s="47"/>
      <c r="ADB35" s="47"/>
      <c r="ADC35" s="47"/>
      <c r="ADD35" s="47"/>
      <c r="ADE35" s="47"/>
      <c r="ADF35" s="47"/>
      <c r="ADG35" s="47"/>
      <c r="ADH35" s="47"/>
      <c r="ADI35" s="47"/>
      <c r="ADJ35" s="47"/>
      <c r="ADK35" s="47"/>
      <c r="ADL35" s="47"/>
      <c r="ADM35" s="47"/>
      <c r="ADN35" s="47"/>
      <c r="ADO35" s="47"/>
      <c r="ADP35" s="47"/>
      <c r="ADQ35" s="47"/>
      <c r="ADR35" s="47"/>
      <c r="ADS35" s="47"/>
      <c r="ADT35" s="47"/>
      <c r="ADU35" s="47"/>
      <c r="ADV35" s="47"/>
      <c r="ADW35" s="47"/>
      <c r="ADX35" s="47"/>
      <c r="ADY35" s="47"/>
      <c r="ADZ35" s="47"/>
      <c r="AEA35" s="47"/>
      <c r="AEB35" s="47"/>
      <c r="AEC35" s="47"/>
      <c r="AED35" s="47"/>
      <c r="AEE35" s="47"/>
      <c r="AEF35" s="47"/>
      <c r="AEG35" s="47"/>
      <c r="AEH35" s="47"/>
      <c r="AEI35" s="47"/>
      <c r="AEJ35" s="47"/>
      <c r="AEK35" s="47"/>
      <c r="AEL35" s="47"/>
      <c r="AEM35" s="47"/>
      <c r="AEN35" s="47"/>
      <c r="AEO35" s="47"/>
      <c r="AEP35" s="47"/>
      <c r="AEQ35" s="47"/>
      <c r="AER35" s="47"/>
      <c r="AES35" s="47"/>
      <c r="AET35" s="47"/>
      <c r="AEU35" s="47"/>
      <c r="AEV35" s="47"/>
      <c r="AEW35" s="47"/>
      <c r="AEX35" s="47"/>
      <c r="AEY35" s="47"/>
      <c r="AEZ35" s="47"/>
      <c r="AFA35" s="47"/>
      <c r="AFB35" s="47"/>
      <c r="AFC35" s="47"/>
      <c r="AFD35" s="47"/>
      <c r="AFE35" s="47"/>
      <c r="AFF35" s="47"/>
      <c r="AFG35" s="47"/>
      <c r="AFH35" s="47"/>
      <c r="AFI35" s="47"/>
      <c r="AFJ35" s="47"/>
      <c r="AFK35" s="47"/>
      <c r="AFL35" s="47"/>
      <c r="AFM35" s="47"/>
      <c r="AFN35" s="47"/>
      <c r="AFO35" s="47"/>
      <c r="AFP35" s="47"/>
      <c r="AFQ35" s="47"/>
      <c r="AFR35" s="47"/>
      <c r="AFS35" s="47"/>
      <c r="AFT35" s="47"/>
      <c r="AFU35" s="47"/>
      <c r="AFV35" s="47"/>
      <c r="AFW35" s="47"/>
      <c r="AFX35" s="47"/>
      <c r="AFY35" s="47"/>
      <c r="AFZ35" s="47"/>
      <c r="AGA35" s="47"/>
      <c r="AGB35" s="47"/>
      <c r="AGC35" s="47"/>
      <c r="AGD35" s="47"/>
      <c r="AGE35" s="47"/>
      <c r="AGF35" s="47"/>
      <c r="AGG35" s="47"/>
      <c r="AGH35" s="47"/>
      <c r="AGI35" s="47"/>
      <c r="AGJ35" s="47"/>
      <c r="AGK35" s="47"/>
      <c r="AGL35" s="47"/>
      <c r="AGM35" s="47"/>
      <c r="AGN35" s="47"/>
      <c r="AGO35" s="47"/>
      <c r="AGP35" s="47"/>
      <c r="AGQ35" s="47"/>
      <c r="AGR35" s="47"/>
      <c r="AGS35" s="47"/>
      <c r="AGT35" s="47"/>
      <c r="AGU35" s="47"/>
      <c r="AGV35" s="47"/>
      <c r="AGW35" s="47"/>
      <c r="AGX35" s="47"/>
      <c r="AGY35" s="47"/>
      <c r="AGZ35" s="47"/>
      <c r="AHA35" s="47"/>
      <c r="AHB35" s="47"/>
      <c r="AHC35" s="47"/>
      <c r="AHD35" s="47"/>
      <c r="AHE35" s="47"/>
      <c r="AHF35" s="47"/>
      <c r="AHG35" s="47"/>
      <c r="AHH35" s="47"/>
      <c r="AHI35" s="47"/>
      <c r="AHJ35" s="47"/>
      <c r="AHK35" s="47"/>
      <c r="AHL35" s="47"/>
      <c r="AHM35" s="47"/>
      <c r="AHN35" s="47"/>
      <c r="AHO35" s="47"/>
      <c r="AHP35" s="47"/>
      <c r="AHQ35" s="47"/>
      <c r="AHR35" s="47"/>
      <c r="AHS35" s="47"/>
      <c r="AHT35" s="47"/>
      <c r="AHU35" s="47"/>
      <c r="AHV35" s="47"/>
      <c r="AHW35" s="47"/>
      <c r="AHX35" s="47"/>
      <c r="AHY35" s="47"/>
      <c r="AHZ35" s="47"/>
      <c r="AIA35" s="47"/>
      <c r="AIB35" s="47"/>
      <c r="AIC35" s="47"/>
      <c r="AID35" s="47"/>
      <c r="AIE35" s="47"/>
      <c r="AIF35" s="47"/>
      <c r="AIG35" s="47"/>
      <c r="AIH35" s="47"/>
      <c r="AII35" s="47"/>
      <c r="AIJ35" s="47"/>
      <c r="AIK35" s="47"/>
      <c r="AIL35" s="47"/>
      <c r="AIM35" s="47"/>
      <c r="AIN35" s="47"/>
      <c r="AIO35" s="47"/>
      <c r="AIP35" s="47"/>
      <c r="AIQ35" s="47"/>
      <c r="AIR35" s="47"/>
      <c r="AIS35" s="47"/>
      <c r="AIT35" s="47"/>
      <c r="AIU35" s="47"/>
      <c r="AIV35" s="47"/>
      <c r="AIW35" s="47"/>
      <c r="AIX35" s="47"/>
      <c r="AIY35" s="47"/>
      <c r="AIZ35" s="47"/>
      <c r="AJA35" s="47"/>
      <c r="AJB35" s="47"/>
      <c r="AJC35" s="47"/>
      <c r="AJD35" s="47"/>
      <c r="AJE35" s="47"/>
      <c r="AJF35" s="47"/>
      <c r="AJG35" s="47"/>
      <c r="AJH35" s="47"/>
      <c r="AJI35" s="47"/>
      <c r="AJJ35" s="47"/>
      <c r="AJK35" s="47"/>
      <c r="AJL35" s="47"/>
      <c r="AJM35" s="47"/>
      <c r="AJN35" s="47"/>
      <c r="AJO35" s="47"/>
      <c r="AJP35" s="47"/>
      <c r="AJQ35" s="47"/>
      <c r="AJR35" s="47"/>
      <c r="AJS35" s="47"/>
      <c r="AJT35" s="47"/>
      <c r="AJU35" s="47"/>
      <c r="AJV35" s="47"/>
      <c r="AJW35" s="47"/>
      <c r="AJX35" s="47"/>
      <c r="AJY35" s="47"/>
      <c r="AJZ35" s="47"/>
      <c r="AKA35" s="47"/>
      <c r="AKB35" s="47"/>
      <c r="AKC35" s="47"/>
      <c r="AKD35" s="47"/>
      <c r="AKE35" s="47"/>
      <c r="AKF35" s="47"/>
      <c r="AKG35" s="47"/>
      <c r="AKH35" s="47"/>
      <c r="AKI35" s="47"/>
      <c r="AKJ35" s="47"/>
      <c r="AKK35" s="47"/>
      <c r="AKL35" s="47"/>
      <c r="AKM35" s="47"/>
      <c r="AKN35" s="47"/>
      <c r="AKO35" s="47"/>
      <c r="AKP35" s="47"/>
      <c r="AKQ35" s="47"/>
      <c r="AKR35" s="47"/>
      <c r="AKS35" s="47"/>
      <c r="AKT35" s="47"/>
      <c r="AKU35" s="47"/>
      <c r="AKV35" s="47"/>
      <c r="AKW35" s="47"/>
      <c r="AKX35" s="47"/>
      <c r="AKY35" s="47"/>
      <c r="AKZ35" s="47"/>
      <c r="ALA35" s="47"/>
      <c r="ALB35" s="47"/>
      <c r="ALC35" s="47"/>
      <c r="ALD35" s="47"/>
      <c r="ALE35" s="47"/>
      <c r="ALF35" s="47"/>
      <c r="ALG35" s="47"/>
      <c r="ALH35" s="47"/>
      <c r="ALI35" s="47"/>
      <c r="ALJ35" s="47"/>
      <c r="ALK35" s="47"/>
      <c r="ALL35" s="47"/>
      <c r="ALM35" s="47"/>
      <c r="ALN35" s="47"/>
      <c r="ALO35" s="47"/>
      <c r="ALP35" s="47"/>
      <c r="ALQ35" s="47"/>
      <c r="ALR35" s="47"/>
      <c r="ALS35" s="47"/>
      <c r="ALT35" s="47"/>
      <c r="ALU35" s="47"/>
      <c r="ALV35" s="47"/>
      <c r="ALW35" s="47"/>
      <c r="ALX35" s="47"/>
      <c r="ALY35" s="47"/>
      <c r="ALZ35" s="47"/>
      <c r="AMA35" s="47"/>
      <c r="AMB35" s="47"/>
      <c r="AMC35" s="47"/>
      <c r="AMD35" s="47"/>
      <c r="AME35" s="47"/>
      <c r="AMF35" s="47"/>
      <c r="AMG35" s="47"/>
      <c r="AMH35" s="47"/>
      <c r="AMI35" s="47"/>
      <c r="AMJ35" s="47"/>
      <c r="AMK35" s="47"/>
      <c r="AML35" s="47"/>
      <c r="AMM35" s="47"/>
      <c r="AMN35" s="47"/>
      <c r="AMO35" s="47"/>
      <c r="AMP35" s="47"/>
      <c r="AMQ35" s="47"/>
      <c r="AMR35" s="47"/>
      <c r="AMS35" s="47"/>
      <c r="AMT35" s="47"/>
      <c r="AMU35" s="47"/>
      <c r="AMV35" s="47"/>
      <c r="AMW35" s="47"/>
      <c r="AMX35" s="47"/>
      <c r="AMY35" s="47"/>
      <c r="AMZ35" s="47"/>
      <c r="ANA35" s="47"/>
      <c r="ANB35" s="47"/>
      <c r="ANC35" s="47"/>
      <c r="AND35" s="47"/>
      <c r="ANE35" s="47"/>
      <c r="ANF35" s="47"/>
      <c r="ANG35" s="47"/>
      <c r="ANH35" s="47"/>
      <c r="ANI35" s="47"/>
      <c r="ANJ35" s="47"/>
      <c r="ANK35" s="47"/>
      <c r="ANL35" s="47"/>
      <c r="ANM35" s="47"/>
      <c r="ANN35" s="47"/>
      <c r="ANO35" s="47"/>
      <c r="ANP35" s="47"/>
      <c r="ANQ35" s="47"/>
      <c r="ANR35" s="47"/>
      <c r="ANS35" s="47"/>
      <c r="ANT35" s="47"/>
      <c r="ANU35" s="47"/>
      <c r="ANV35" s="47"/>
      <c r="ANW35" s="47"/>
      <c r="ANX35" s="47"/>
      <c r="ANY35" s="47"/>
      <c r="ANZ35" s="47"/>
      <c r="AOA35" s="47"/>
      <c r="AOB35" s="47"/>
      <c r="AOC35" s="47"/>
      <c r="AOD35" s="47"/>
      <c r="AOE35" s="47"/>
      <c r="AOF35" s="47"/>
      <c r="AOG35" s="47"/>
      <c r="AOH35" s="47"/>
      <c r="AOI35" s="47"/>
      <c r="AOJ35" s="47"/>
      <c r="AOK35" s="47"/>
      <c r="AOL35" s="47"/>
      <c r="AOM35" s="47"/>
      <c r="AON35" s="47"/>
      <c r="AOO35" s="47"/>
      <c r="AOP35" s="47"/>
      <c r="AOQ35" s="47"/>
      <c r="AOR35" s="47"/>
      <c r="AOS35" s="47"/>
      <c r="AOT35" s="47"/>
      <c r="AOU35" s="47"/>
      <c r="AOV35" s="47"/>
      <c r="AOW35" s="47"/>
      <c r="AOX35" s="47"/>
      <c r="AOY35" s="47"/>
      <c r="AOZ35" s="47"/>
      <c r="APA35" s="47"/>
      <c r="APB35" s="47"/>
      <c r="APC35" s="47"/>
      <c r="APD35" s="47"/>
      <c r="APE35" s="47"/>
      <c r="APF35" s="47"/>
      <c r="APG35" s="47"/>
      <c r="APH35" s="47"/>
      <c r="API35" s="47"/>
      <c r="APJ35" s="47"/>
      <c r="APK35" s="47"/>
      <c r="APL35" s="47"/>
      <c r="APM35" s="47"/>
      <c r="APN35" s="47"/>
      <c r="APO35" s="47"/>
      <c r="APP35" s="47"/>
      <c r="APQ35" s="47"/>
      <c r="APR35" s="47"/>
      <c r="APS35" s="47"/>
      <c r="APT35" s="47"/>
      <c r="APU35" s="47"/>
      <c r="APV35" s="47"/>
      <c r="APW35" s="47"/>
      <c r="APX35" s="47"/>
      <c r="APY35" s="47"/>
      <c r="APZ35" s="47"/>
      <c r="AQA35" s="47"/>
      <c r="AQB35" s="47"/>
      <c r="AQC35" s="47"/>
      <c r="AQD35" s="47"/>
      <c r="AQE35" s="47"/>
      <c r="AQF35" s="47"/>
      <c r="AQG35" s="47"/>
      <c r="AQH35" s="47"/>
      <c r="AQI35" s="47"/>
      <c r="AQJ35" s="47"/>
      <c r="AQK35" s="47"/>
      <c r="AQL35" s="47"/>
      <c r="AQM35" s="47"/>
      <c r="AQN35" s="47"/>
      <c r="AQO35" s="47"/>
      <c r="AQP35" s="47"/>
      <c r="AQQ35" s="47"/>
      <c r="AQR35" s="47"/>
      <c r="AQS35" s="47"/>
      <c r="AQT35" s="47"/>
      <c r="AQU35" s="47"/>
      <c r="AQV35" s="47"/>
      <c r="AQW35" s="47"/>
      <c r="AQX35" s="47"/>
      <c r="AQY35" s="47"/>
      <c r="AQZ35" s="47"/>
      <c r="ARA35" s="47"/>
      <c r="ARB35" s="47"/>
      <c r="ARC35" s="47"/>
      <c r="ARD35" s="47"/>
      <c r="ARE35" s="47"/>
      <c r="ARF35" s="47"/>
      <c r="ARG35" s="47"/>
      <c r="ARH35" s="47"/>
      <c r="ARI35" s="47"/>
      <c r="ARJ35" s="47"/>
      <c r="ARK35" s="47"/>
      <c r="ARL35" s="47"/>
      <c r="ARM35" s="47"/>
      <c r="ARN35" s="47"/>
      <c r="ARO35" s="47"/>
      <c r="ARP35" s="47"/>
      <c r="ARQ35" s="47"/>
      <c r="ARR35" s="47"/>
      <c r="ARS35" s="47"/>
      <c r="ART35" s="47"/>
      <c r="ARU35" s="47"/>
      <c r="ARV35" s="47"/>
      <c r="ARW35" s="47"/>
      <c r="ARX35" s="47"/>
      <c r="ARY35" s="47"/>
      <c r="ARZ35" s="47"/>
      <c r="ASA35" s="47"/>
      <c r="ASB35" s="47"/>
      <c r="ASC35" s="47"/>
      <c r="ASD35" s="47"/>
      <c r="ASE35" s="47"/>
      <c r="ASF35" s="47"/>
      <c r="ASG35" s="47"/>
      <c r="ASH35" s="47"/>
      <c r="ASI35" s="47"/>
      <c r="ASJ35" s="47"/>
      <c r="ASK35" s="47"/>
      <c r="ASL35" s="47"/>
      <c r="ASM35" s="47"/>
      <c r="ASN35" s="47"/>
      <c r="ASO35" s="47"/>
      <c r="ASP35" s="47"/>
      <c r="ASQ35" s="47"/>
      <c r="ASR35" s="47"/>
      <c r="ASS35" s="47"/>
      <c r="AST35" s="47"/>
      <c r="ASU35" s="47"/>
      <c r="ASV35" s="47"/>
      <c r="ASW35" s="47"/>
      <c r="ASX35" s="47"/>
      <c r="ASY35" s="47"/>
      <c r="ASZ35" s="47"/>
      <c r="ATA35" s="47"/>
      <c r="ATB35" s="47"/>
      <c r="ATC35" s="47"/>
      <c r="ATD35" s="47"/>
      <c r="ATE35" s="47"/>
      <c r="ATF35" s="47"/>
      <c r="ATG35" s="47"/>
      <c r="ATH35" s="47"/>
      <c r="ATI35" s="47"/>
      <c r="ATJ35" s="47"/>
      <c r="ATK35" s="47"/>
      <c r="ATL35" s="47"/>
      <c r="ATM35" s="47"/>
      <c r="ATN35" s="47"/>
      <c r="ATO35" s="47"/>
      <c r="ATP35" s="47"/>
      <c r="ATQ35" s="47"/>
      <c r="ATR35" s="47"/>
      <c r="ATS35" s="47"/>
      <c r="ATT35" s="47"/>
      <c r="ATU35" s="47"/>
      <c r="ATV35" s="47"/>
      <c r="ATW35" s="47"/>
      <c r="ATX35" s="47"/>
      <c r="ATY35" s="47"/>
      <c r="ATZ35" s="47"/>
      <c r="AUA35" s="47"/>
      <c r="AUB35" s="47"/>
      <c r="AUC35" s="47"/>
      <c r="AUD35" s="47"/>
      <c r="AUE35" s="47"/>
      <c r="AUF35" s="47"/>
      <c r="AUG35" s="47"/>
      <c r="AUH35" s="47"/>
      <c r="AUI35" s="47"/>
      <c r="AUJ35" s="47"/>
      <c r="AUK35" s="47"/>
      <c r="AUL35" s="47"/>
      <c r="AUM35" s="47"/>
      <c r="AUN35" s="47"/>
      <c r="AUO35" s="47"/>
      <c r="AUP35" s="47"/>
      <c r="AUQ35" s="47"/>
      <c r="AUR35" s="47"/>
      <c r="AUS35" s="47"/>
      <c r="AUT35" s="47"/>
      <c r="AUU35" s="47"/>
      <c r="AUV35" s="47"/>
      <c r="AUW35" s="47"/>
      <c r="AUX35" s="47"/>
      <c r="AUY35" s="47"/>
      <c r="AUZ35" s="47"/>
      <c r="AVA35" s="47"/>
      <c r="AVB35" s="47"/>
      <c r="AVC35" s="47"/>
      <c r="AVD35" s="47"/>
      <c r="AVE35" s="47"/>
      <c r="AVF35" s="47"/>
      <c r="AVG35" s="47"/>
      <c r="AVH35" s="47"/>
      <c r="AVI35" s="47"/>
      <c r="AVJ35" s="47"/>
      <c r="AVK35" s="47"/>
      <c r="AVL35" s="47"/>
      <c r="AVM35" s="47"/>
      <c r="AVN35" s="47"/>
      <c r="AVO35" s="47"/>
      <c r="AVP35" s="47"/>
      <c r="AVQ35" s="47"/>
      <c r="AVR35" s="47"/>
      <c r="AVS35" s="47"/>
      <c r="AVT35" s="47"/>
      <c r="AVU35" s="47"/>
      <c r="AVV35" s="47"/>
      <c r="AVW35" s="47"/>
      <c r="AVX35" s="47"/>
      <c r="AVY35" s="47"/>
      <c r="AVZ35" s="47"/>
      <c r="AWA35" s="47"/>
      <c r="AWB35" s="47"/>
      <c r="AWC35" s="47"/>
      <c r="AWD35" s="47"/>
      <c r="AWE35" s="47"/>
      <c r="AWF35" s="47"/>
      <c r="AWG35" s="47"/>
      <c r="AWH35" s="47"/>
      <c r="AWI35" s="47"/>
      <c r="AWJ35" s="47"/>
      <c r="AWK35" s="47"/>
      <c r="AWL35" s="47"/>
      <c r="AWM35" s="47"/>
      <c r="AWN35" s="47"/>
      <c r="AWO35" s="47"/>
      <c r="AWP35" s="47"/>
      <c r="AWQ35" s="47"/>
      <c r="AWR35" s="47"/>
      <c r="AWS35" s="47"/>
      <c r="AWT35" s="47"/>
      <c r="AWU35" s="47"/>
      <c r="AWV35" s="47"/>
      <c r="AWW35" s="47"/>
      <c r="AWX35" s="47"/>
      <c r="AWY35" s="47"/>
      <c r="AWZ35" s="47"/>
      <c r="AXA35" s="47"/>
      <c r="AXB35" s="47"/>
      <c r="AXC35" s="47"/>
      <c r="AXD35" s="47"/>
      <c r="AXE35" s="47"/>
      <c r="AXF35" s="47"/>
      <c r="AXG35" s="47"/>
      <c r="AXH35" s="47"/>
      <c r="AXI35" s="47"/>
      <c r="AXJ35" s="47"/>
      <c r="AXK35" s="47"/>
      <c r="AXL35" s="47"/>
      <c r="AXM35" s="47"/>
      <c r="AXN35" s="47"/>
      <c r="AXO35" s="47"/>
      <c r="AXP35" s="47"/>
      <c r="AXQ35" s="47"/>
      <c r="AXR35" s="47"/>
      <c r="AXS35" s="47"/>
      <c r="AXT35" s="47"/>
      <c r="AXU35" s="47"/>
      <c r="AXV35" s="47"/>
      <c r="AXW35" s="47"/>
      <c r="AXX35" s="47"/>
      <c r="AXY35" s="47"/>
      <c r="AXZ35" s="47"/>
      <c r="AYA35" s="47"/>
      <c r="AYB35" s="47"/>
      <c r="AYC35" s="47"/>
      <c r="AYD35" s="47"/>
      <c r="AYE35" s="47"/>
      <c r="AYF35" s="47"/>
      <c r="AYG35" s="47"/>
      <c r="AYH35" s="47"/>
      <c r="AYI35" s="47"/>
      <c r="AYJ35" s="47"/>
      <c r="AYK35" s="47"/>
      <c r="AYL35" s="47"/>
      <c r="AYM35" s="47"/>
      <c r="AYN35" s="47"/>
      <c r="AYO35" s="47"/>
      <c r="AYP35" s="47"/>
      <c r="AYQ35" s="47"/>
      <c r="AYR35" s="47"/>
      <c r="AYS35" s="47"/>
      <c r="AYT35" s="47"/>
      <c r="AYU35" s="47"/>
      <c r="AYV35" s="47"/>
      <c r="AYW35" s="47"/>
      <c r="AYX35" s="47"/>
      <c r="AYY35" s="47"/>
      <c r="AYZ35" s="47"/>
      <c r="AZA35" s="47"/>
      <c r="AZB35" s="47"/>
      <c r="AZC35" s="47"/>
      <c r="AZD35" s="47"/>
      <c r="AZE35" s="47"/>
      <c r="AZF35" s="47"/>
      <c r="AZG35" s="47"/>
      <c r="AZH35" s="47"/>
      <c r="AZI35" s="47"/>
      <c r="AZJ35" s="47"/>
      <c r="AZK35" s="47"/>
      <c r="AZL35" s="47"/>
      <c r="AZM35" s="47"/>
      <c r="AZN35" s="47"/>
      <c r="AZO35" s="47"/>
      <c r="AZP35" s="47"/>
      <c r="AZQ35" s="47"/>
      <c r="AZR35" s="47"/>
      <c r="AZS35" s="47"/>
      <c r="AZT35" s="47"/>
      <c r="AZU35" s="47"/>
      <c r="AZV35" s="47"/>
      <c r="AZW35" s="47"/>
      <c r="AZX35" s="47"/>
      <c r="AZY35" s="47"/>
      <c r="AZZ35" s="47"/>
      <c r="BAA35" s="47"/>
      <c r="BAB35" s="47"/>
      <c r="BAC35" s="47"/>
      <c r="BAD35" s="47"/>
      <c r="BAE35" s="47"/>
      <c r="BAF35" s="47"/>
      <c r="BAG35" s="47"/>
      <c r="BAH35" s="47"/>
      <c r="BAI35" s="47"/>
      <c r="BAJ35" s="47"/>
      <c r="BAK35" s="47"/>
      <c r="BAL35" s="47"/>
      <c r="BAM35" s="47"/>
      <c r="BAN35" s="47"/>
      <c r="BAO35" s="47"/>
      <c r="BAP35" s="47"/>
      <c r="BAQ35" s="47"/>
      <c r="BAR35" s="47"/>
      <c r="BAS35" s="47"/>
      <c r="BAT35" s="47"/>
      <c r="BAU35" s="47"/>
      <c r="BAV35" s="47"/>
      <c r="BAW35" s="47"/>
      <c r="BAX35" s="47"/>
      <c r="BAY35" s="47"/>
      <c r="BAZ35" s="47"/>
      <c r="BBA35" s="47"/>
      <c r="BBB35" s="47"/>
      <c r="BBC35" s="47"/>
      <c r="BBD35" s="47"/>
      <c r="BBE35" s="47"/>
      <c r="BBF35" s="47"/>
      <c r="BBG35" s="47"/>
      <c r="BBH35" s="47"/>
      <c r="BBI35" s="47"/>
      <c r="BBJ35" s="47"/>
      <c r="BBK35" s="47"/>
      <c r="BBL35" s="47"/>
      <c r="BBM35" s="47"/>
      <c r="BBN35" s="47"/>
      <c r="BBO35" s="47"/>
      <c r="BBP35" s="47"/>
      <c r="BBQ35" s="47"/>
      <c r="BBR35" s="47"/>
      <c r="BBS35" s="47"/>
      <c r="BBT35" s="47"/>
      <c r="BBU35" s="47"/>
      <c r="BBV35" s="47"/>
      <c r="BBW35" s="47"/>
      <c r="BBX35" s="47"/>
      <c r="BBY35" s="47"/>
      <c r="BBZ35" s="47"/>
      <c r="BCA35" s="47"/>
      <c r="BCB35" s="47"/>
      <c r="BCC35" s="47"/>
      <c r="BCD35" s="47"/>
      <c r="BCE35" s="47"/>
      <c r="BCF35" s="47"/>
      <c r="BCG35" s="47"/>
      <c r="BCH35" s="47"/>
      <c r="BCI35" s="47"/>
      <c r="BCJ35" s="47"/>
      <c r="BCK35" s="47"/>
      <c r="BCL35" s="47"/>
      <c r="BCM35" s="47"/>
      <c r="BCN35" s="47"/>
      <c r="BCO35" s="47"/>
      <c r="BCP35" s="47"/>
      <c r="BCQ35" s="47"/>
      <c r="BCR35" s="47"/>
      <c r="BCS35" s="47"/>
      <c r="BCT35" s="47"/>
      <c r="BCU35" s="47"/>
      <c r="BCV35" s="47"/>
      <c r="BCW35" s="47"/>
      <c r="BCX35" s="47"/>
      <c r="BCY35" s="47"/>
      <c r="BCZ35" s="47"/>
      <c r="BDA35" s="47"/>
      <c r="BDB35" s="47"/>
      <c r="BDC35" s="47"/>
      <c r="BDD35" s="47"/>
      <c r="BDE35" s="47"/>
      <c r="BDF35" s="47"/>
      <c r="BDG35" s="47"/>
      <c r="BDH35" s="47"/>
      <c r="BDI35" s="47"/>
      <c r="BDJ35" s="47"/>
      <c r="BDK35" s="47"/>
      <c r="BDL35" s="47"/>
      <c r="BDM35" s="47"/>
      <c r="BDN35" s="47"/>
      <c r="BDO35" s="47"/>
      <c r="BDP35" s="47"/>
      <c r="BDQ35" s="47"/>
      <c r="BDR35" s="47"/>
      <c r="BDS35" s="47"/>
      <c r="BDT35" s="47"/>
      <c r="BDU35" s="47"/>
      <c r="BDV35" s="47"/>
      <c r="BDW35" s="47"/>
      <c r="BDX35" s="47"/>
      <c r="BDY35" s="47"/>
      <c r="BDZ35" s="47"/>
      <c r="BEA35" s="47"/>
      <c r="BEB35" s="47"/>
      <c r="BEC35" s="47"/>
      <c r="BED35" s="47"/>
      <c r="BEE35" s="47"/>
      <c r="BEF35" s="47"/>
      <c r="BEG35" s="47"/>
      <c r="BEH35" s="47"/>
      <c r="BEI35" s="47"/>
      <c r="BEJ35" s="47"/>
      <c r="BEK35" s="47"/>
      <c r="BEL35" s="47"/>
      <c r="BEM35" s="47"/>
      <c r="BEN35" s="47"/>
      <c r="BEO35" s="47"/>
      <c r="BEP35" s="47"/>
      <c r="BEQ35" s="47"/>
      <c r="BER35" s="47"/>
      <c r="BES35" s="47"/>
      <c r="BET35" s="47"/>
      <c r="BEU35" s="47"/>
      <c r="BEV35" s="47"/>
      <c r="BEW35" s="47"/>
      <c r="BEX35" s="47"/>
      <c r="BEY35" s="47"/>
      <c r="BEZ35" s="47"/>
      <c r="BFA35" s="47"/>
      <c r="BFB35" s="47"/>
      <c r="BFC35" s="47"/>
      <c r="BFD35" s="47"/>
      <c r="BFE35" s="47"/>
      <c r="BFF35" s="47"/>
      <c r="BFG35" s="47"/>
      <c r="BFH35" s="47"/>
      <c r="BFI35" s="47"/>
      <c r="BFJ35" s="47"/>
      <c r="BFK35" s="47"/>
      <c r="BFL35" s="47"/>
      <c r="BFM35" s="47"/>
      <c r="BFN35" s="47"/>
      <c r="BFO35" s="47"/>
      <c r="BFP35" s="47"/>
      <c r="BFQ35" s="47"/>
      <c r="BFR35" s="47"/>
      <c r="BFS35" s="47"/>
      <c r="BFT35" s="47"/>
      <c r="BFU35" s="47"/>
      <c r="BFV35" s="47"/>
      <c r="BFW35" s="47"/>
      <c r="BFX35" s="47"/>
      <c r="BFY35" s="47"/>
      <c r="BFZ35" s="47"/>
      <c r="BGA35" s="47"/>
      <c r="BGB35" s="47"/>
      <c r="BGC35" s="47"/>
      <c r="BGD35" s="47"/>
      <c r="BGE35" s="47"/>
      <c r="BGF35" s="47"/>
      <c r="BGG35" s="47"/>
      <c r="BGH35" s="47"/>
      <c r="BGI35" s="47"/>
      <c r="BGJ35" s="47"/>
      <c r="BGK35" s="47"/>
      <c r="BGL35" s="47"/>
      <c r="BGM35" s="47"/>
      <c r="BGN35" s="47"/>
      <c r="BGO35" s="47"/>
      <c r="BGP35" s="47"/>
      <c r="BGQ35" s="47"/>
      <c r="BGR35" s="47"/>
      <c r="BGS35" s="47"/>
      <c r="BGT35" s="47"/>
      <c r="BGU35" s="47"/>
      <c r="BGV35" s="47"/>
      <c r="BGW35" s="47"/>
      <c r="BGX35" s="47"/>
      <c r="BGY35" s="47"/>
      <c r="BGZ35" s="47"/>
      <c r="BHA35" s="47"/>
      <c r="BHB35" s="47"/>
      <c r="BHC35" s="47"/>
      <c r="BHD35" s="47"/>
      <c r="BHE35" s="47"/>
      <c r="BHF35" s="47"/>
      <c r="BHG35" s="47"/>
      <c r="BHH35" s="47"/>
      <c r="BHI35" s="47"/>
      <c r="BHJ35" s="47"/>
      <c r="BHK35" s="47"/>
      <c r="BHL35" s="47"/>
      <c r="BHM35" s="47"/>
      <c r="BHN35" s="47"/>
      <c r="BHO35" s="47"/>
      <c r="BHP35" s="47"/>
      <c r="BHQ35" s="47"/>
      <c r="BHR35" s="47"/>
      <c r="BHS35" s="47"/>
      <c r="BHT35" s="47"/>
      <c r="BHU35" s="47"/>
      <c r="BHV35" s="47"/>
      <c r="BHW35" s="47"/>
      <c r="BHX35" s="47"/>
      <c r="BHY35" s="47"/>
      <c r="BHZ35" s="47"/>
      <c r="BIA35" s="47"/>
      <c r="BIB35" s="47"/>
      <c r="BIC35" s="47"/>
      <c r="BID35" s="47"/>
      <c r="BIE35" s="47"/>
      <c r="BIF35" s="47"/>
      <c r="BIG35" s="47"/>
      <c r="BIH35" s="47"/>
      <c r="BII35" s="47"/>
      <c r="BIJ35" s="47"/>
      <c r="BIK35" s="47"/>
      <c r="BIL35" s="47"/>
      <c r="BIM35" s="47"/>
      <c r="BIN35" s="47"/>
      <c r="BIO35" s="47"/>
      <c r="BIP35" s="47"/>
      <c r="BIQ35" s="47"/>
      <c r="BIR35" s="47"/>
      <c r="BIS35" s="47"/>
      <c r="BIT35" s="47"/>
      <c r="BIU35" s="47"/>
      <c r="BIV35" s="47"/>
      <c r="BIW35" s="47"/>
      <c r="BIX35" s="47"/>
      <c r="BIY35" s="47"/>
      <c r="BIZ35" s="47"/>
      <c r="BJA35" s="47"/>
      <c r="BJB35" s="47"/>
      <c r="BJC35" s="47"/>
      <c r="BJD35" s="47"/>
      <c r="BJE35" s="47"/>
      <c r="BJF35" s="47"/>
      <c r="BJG35" s="47"/>
      <c r="BJH35" s="47"/>
      <c r="BJI35" s="47"/>
      <c r="BJJ35" s="47"/>
      <c r="BJK35" s="47"/>
      <c r="BJL35" s="47"/>
      <c r="BJM35" s="47"/>
      <c r="BJN35" s="47"/>
      <c r="BJO35" s="47"/>
      <c r="BJP35" s="47"/>
      <c r="BJQ35" s="47"/>
      <c r="BJR35" s="47"/>
      <c r="BJS35" s="47"/>
      <c r="BJT35" s="47"/>
      <c r="BJU35" s="47"/>
      <c r="BJV35" s="47"/>
      <c r="BJW35" s="47"/>
      <c r="BJX35" s="47"/>
      <c r="BJY35" s="47"/>
      <c r="BJZ35" s="47"/>
      <c r="BKA35" s="47"/>
      <c r="BKB35" s="47"/>
      <c r="BKC35" s="47"/>
      <c r="BKD35" s="47"/>
      <c r="BKE35" s="47"/>
      <c r="BKF35" s="47"/>
      <c r="BKG35" s="47"/>
      <c r="BKH35" s="47"/>
      <c r="BKI35" s="47"/>
      <c r="BKJ35" s="47"/>
      <c r="BKK35" s="47"/>
      <c r="BKL35" s="47"/>
      <c r="BKM35" s="47"/>
      <c r="BKN35" s="47"/>
      <c r="BKO35" s="47"/>
      <c r="BKP35" s="47"/>
      <c r="BKQ35" s="47"/>
      <c r="BKR35" s="47"/>
      <c r="BKS35" s="47"/>
      <c r="BKT35" s="47"/>
      <c r="BKU35" s="47"/>
      <c r="BKV35" s="47"/>
      <c r="BKW35" s="47"/>
      <c r="BKX35" s="47"/>
      <c r="BKY35" s="47"/>
      <c r="BKZ35" s="47"/>
      <c r="BLA35" s="47"/>
      <c r="BLB35" s="47"/>
      <c r="BLC35" s="47"/>
      <c r="BLD35" s="47"/>
      <c r="BLE35" s="47"/>
      <c r="BLF35" s="47"/>
      <c r="BLG35" s="47"/>
      <c r="BLH35" s="47"/>
      <c r="BLI35" s="47"/>
      <c r="BLJ35" s="47"/>
      <c r="BLK35" s="47"/>
      <c r="BLL35" s="47"/>
      <c r="BLM35" s="47"/>
      <c r="BLN35" s="47"/>
      <c r="BLO35" s="47"/>
      <c r="BLP35" s="47"/>
      <c r="BLQ35" s="47"/>
      <c r="BLR35" s="47"/>
      <c r="BLS35" s="47"/>
      <c r="BLT35" s="47"/>
      <c r="BLU35" s="47"/>
      <c r="BLV35" s="47"/>
      <c r="BLW35" s="47"/>
      <c r="BLX35" s="47"/>
      <c r="BLY35" s="47"/>
      <c r="BLZ35" s="47"/>
      <c r="BMA35" s="47"/>
      <c r="BMB35" s="47"/>
      <c r="BMC35" s="47"/>
      <c r="BMD35" s="47"/>
      <c r="BME35" s="47"/>
      <c r="BMF35" s="47"/>
      <c r="BMG35" s="47"/>
      <c r="BMH35" s="47"/>
      <c r="BMI35" s="47"/>
      <c r="BMJ35" s="47"/>
      <c r="BMK35" s="47"/>
      <c r="BML35" s="47"/>
      <c r="BMM35" s="47"/>
      <c r="BMN35" s="47"/>
      <c r="BMO35" s="47"/>
      <c r="BMP35" s="47"/>
      <c r="BMQ35" s="47"/>
      <c r="BMR35" s="47"/>
      <c r="BMS35" s="47"/>
      <c r="BMT35" s="47"/>
      <c r="BMU35" s="47"/>
      <c r="BMV35" s="47"/>
      <c r="BMW35" s="47"/>
      <c r="BMX35" s="47"/>
      <c r="BMY35" s="47"/>
      <c r="BMZ35" s="47"/>
      <c r="BNA35" s="47"/>
      <c r="BNB35" s="47"/>
      <c r="BNC35" s="47"/>
      <c r="BND35" s="47"/>
      <c r="BNE35" s="47"/>
      <c r="BNF35" s="47"/>
      <c r="BNG35" s="47"/>
      <c r="BNH35" s="47"/>
      <c r="BNI35" s="47"/>
      <c r="BNJ35" s="47"/>
      <c r="BNK35" s="47"/>
      <c r="BNL35" s="47"/>
      <c r="BNM35" s="47"/>
      <c r="BNN35" s="47"/>
      <c r="BNO35" s="47"/>
      <c r="BNP35" s="47"/>
      <c r="BNQ35" s="47"/>
      <c r="BNR35" s="47"/>
      <c r="BNS35" s="47"/>
      <c r="BNT35" s="47"/>
      <c r="BNU35" s="47"/>
      <c r="BNV35" s="47"/>
      <c r="BNW35" s="47"/>
      <c r="BNX35" s="47"/>
      <c r="BNY35" s="47"/>
      <c r="BNZ35" s="47"/>
      <c r="BOA35" s="47"/>
      <c r="BOB35" s="47"/>
      <c r="BOC35" s="47"/>
      <c r="BOD35" s="47"/>
      <c r="BOE35" s="47"/>
      <c r="BOF35" s="47"/>
      <c r="BOG35" s="47"/>
      <c r="BOH35" s="47"/>
      <c r="BOI35" s="47"/>
      <c r="BOJ35" s="47"/>
      <c r="BOK35" s="47"/>
      <c r="BOL35" s="47"/>
      <c r="BOM35" s="47"/>
      <c r="BON35" s="47"/>
      <c r="BOO35" s="47"/>
      <c r="BOP35" s="47"/>
      <c r="BOQ35" s="47"/>
      <c r="BOR35" s="47"/>
      <c r="BOS35" s="47"/>
      <c r="BOT35" s="47"/>
      <c r="BOU35" s="47"/>
      <c r="BOV35" s="47"/>
      <c r="BOW35" s="47"/>
      <c r="BOX35" s="47"/>
      <c r="BOY35" s="47"/>
      <c r="BOZ35" s="47"/>
      <c r="BPA35" s="47"/>
      <c r="BPB35" s="47"/>
      <c r="BPC35" s="47"/>
      <c r="BPD35" s="47"/>
      <c r="BPE35" s="47"/>
      <c r="BPF35" s="47"/>
      <c r="BPG35" s="47"/>
      <c r="BPH35" s="47"/>
      <c r="BPI35" s="47"/>
      <c r="BPJ35" s="47"/>
      <c r="BPK35" s="47"/>
      <c r="BPL35" s="47"/>
      <c r="BPM35" s="47"/>
      <c r="BPN35" s="47"/>
      <c r="BPO35" s="47"/>
      <c r="BPP35" s="47"/>
      <c r="BPQ35" s="47"/>
      <c r="BPR35" s="47"/>
      <c r="BPS35" s="47"/>
      <c r="BPT35" s="47"/>
      <c r="BPU35" s="47"/>
      <c r="BPV35" s="47"/>
      <c r="BPW35" s="47"/>
      <c r="BPX35" s="47"/>
      <c r="BPY35" s="47"/>
      <c r="BPZ35" s="47"/>
      <c r="BQA35" s="47"/>
      <c r="BQB35" s="47"/>
      <c r="BQC35" s="47"/>
      <c r="BQD35" s="47"/>
      <c r="BQE35" s="47"/>
      <c r="BQF35" s="47"/>
      <c r="BQG35" s="47"/>
      <c r="BQH35" s="47"/>
      <c r="BQI35" s="47"/>
      <c r="BQJ35" s="47"/>
      <c r="BQK35" s="47"/>
      <c r="BQL35" s="47"/>
      <c r="BQM35" s="47"/>
      <c r="BQN35" s="47"/>
      <c r="BQO35" s="47"/>
      <c r="BQP35" s="47"/>
      <c r="BQQ35" s="47"/>
      <c r="BQR35" s="47"/>
      <c r="BQS35" s="47"/>
      <c r="BQT35" s="47"/>
      <c r="BQU35" s="47"/>
      <c r="BQV35" s="47"/>
      <c r="BQW35" s="47"/>
      <c r="BQX35" s="47"/>
      <c r="BQY35" s="47"/>
      <c r="BQZ35" s="47"/>
      <c r="BRA35" s="47"/>
      <c r="BRB35" s="47"/>
      <c r="BRC35" s="47"/>
      <c r="BRD35" s="47"/>
      <c r="BRE35" s="47"/>
      <c r="BRF35" s="47"/>
      <c r="BRG35" s="47"/>
      <c r="BRH35" s="47"/>
      <c r="BRI35" s="47"/>
      <c r="BRJ35" s="47"/>
      <c r="BRK35" s="47"/>
      <c r="BRL35" s="47"/>
      <c r="BRM35" s="47"/>
      <c r="BRN35" s="47"/>
      <c r="BRO35" s="47"/>
      <c r="BRP35" s="47"/>
      <c r="BRQ35" s="47"/>
      <c r="BRR35" s="47"/>
      <c r="BRS35" s="47"/>
      <c r="BRT35" s="47"/>
      <c r="BRU35" s="47"/>
      <c r="BRV35" s="47"/>
      <c r="BRW35" s="47"/>
      <c r="BRX35" s="47"/>
      <c r="BRY35" s="47"/>
      <c r="BRZ35" s="47"/>
      <c r="BSA35" s="47"/>
      <c r="BSB35" s="47"/>
      <c r="BSC35" s="47"/>
      <c r="BSD35" s="47"/>
      <c r="BSE35" s="47"/>
      <c r="BSF35" s="47"/>
      <c r="BSG35" s="47"/>
      <c r="BSH35" s="47"/>
      <c r="BSI35" s="47"/>
      <c r="BSJ35" s="47"/>
      <c r="BSK35" s="47"/>
      <c r="BSL35" s="47"/>
      <c r="BSM35" s="47"/>
      <c r="BSN35" s="47"/>
      <c r="BSO35" s="47"/>
      <c r="BSP35" s="47"/>
      <c r="BSQ35" s="47"/>
      <c r="BSR35" s="47"/>
      <c r="BSS35" s="47"/>
      <c r="BST35" s="47"/>
      <c r="BSU35" s="47"/>
      <c r="BSV35" s="47"/>
      <c r="BSW35" s="47"/>
      <c r="BSX35" s="47"/>
      <c r="BSY35" s="47"/>
      <c r="BSZ35" s="47"/>
      <c r="BTA35" s="47"/>
      <c r="BTB35" s="47"/>
      <c r="BTC35" s="47"/>
      <c r="BTD35" s="47"/>
      <c r="BTE35" s="47"/>
      <c r="BTF35" s="47"/>
      <c r="BTG35" s="47"/>
      <c r="BTH35" s="47"/>
      <c r="BTI35" s="47"/>
      <c r="BTJ35" s="47"/>
      <c r="BTK35" s="47"/>
      <c r="BTL35" s="47"/>
      <c r="BTM35" s="47"/>
      <c r="BTN35" s="47"/>
      <c r="BTO35" s="47"/>
      <c r="BTP35" s="47"/>
      <c r="BTQ35" s="47"/>
      <c r="BTR35" s="47"/>
      <c r="BTS35" s="47"/>
      <c r="BTT35" s="47"/>
      <c r="BTU35" s="47"/>
      <c r="BTV35" s="47"/>
      <c r="BTW35" s="47"/>
      <c r="BTX35" s="47"/>
      <c r="BTY35" s="47"/>
      <c r="BTZ35" s="47"/>
      <c r="BUA35" s="47"/>
      <c r="BUB35" s="47"/>
      <c r="BUC35" s="47"/>
      <c r="BUD35" s="47"/>
      <c r="BUE35" s="47"/>
      <c r="BUF35" s="47"/>
      <c r="BUG35" s="47"/>
      <c r="BUH35" s="47"/>
      <c r="BUI35" s="47"/>
      <c r="BUJ35" s="47"/>
      <c r="BUK35" s="47"/>
      <c r="BUL35" s="47"/>
      <c r="BUM35" s="47"/>
      <c r="BUN35" s="47"/>
      <c r="BUO35" s="47"/>
      <c r="BUP35" s="47"/>
      <c r="BUQ35" s="47"/>
      <c r="BUR35" s="47"/>
      <c r="BUS35" s="47"/>
      <c r="BUT35" s="47"/>
      <c r="BUU35" s="47"/>
      <c r="BUV35" s="47"/>
      <c r="BUW35" s="47"/>
      <c r="BUX35" s="47"/>
      <c r="BUY35" s="47"/>
      <c r="BUZ35" s="47"/>
      <c r="BVA35" s="47"/>
      <c r="BVB35" s="47"/>
      <c r="BVC35" s="47"/>
      <c r="BVD35" s="47"/>
      <c r="BVE35" s="47"/>
      <c r="BVF35" s="47"/>
      <c r="BVG35" s="47"/>
      <c r="BVH35" s="47"/>
      <c r="BVI35" s="47"/>
      <c r="BVJ35" s="47"/>
      <c r="BVK35" s="47"/>
      <c r="BVL35" s="47"/>
      <c r="BVM35" s="47"/>
      <c r="BVN35" s="47"/>
      <c r="BVO35" s="47"/>
      <c r="BVP35" s="47"/>
      <c r="BVQ35" s="47"/>
      <c r="BVR35" s="47"/>
      <c r="BVS35" s="47"/>
      <c r="BVT35" s="47"/>
      <c r="BVU35" s="47"/>
      <c r="BVV35" s="47"/>
      <c r="BVW35" s="47"/>
      <c r="BVX35" s="47"/>
      <c r="BVY35" s="47"/>
      <c r="BVZ35" s="47"/>
      <c r="BWA35" s="47"/>
      <c r="BWB35" s="47"/>
      <c r="BWC35" s="47"/>
      <c r="BWD35" s="47"/>
      <c r="BWE35" s="47"/>
      <c r="BWF35" s="47"/>
      <c r="BWG35" s="47"/>
      <c r="BWH35" s="47"/>
      <c r="BWI35" s="47"/>
      <c r="BWJ35" s="47"/>
      <c r="BWK35" s="47"/>
      <c r="BWL35" s="47"/>
      <c r="BWM35" s="47"/>
      <c r="BWN35" s="47"/>
      <c r="BWO35" s="47"/>
      <c r="BWP35" s="47"/>
      <c r="BWQ35" s="47"/>
      <c r="BWR35" s="47"/>
      <c r="BWS35" s="47"/>
      <c r="BWT35" s="47"/>
      <c r="BWU35" s="47"/>
      <c r="BWV35" s="47"/>
      <c r="BWW35" s="47"/>
      <c r="BWX35" s="47"/>
      <c r="BWY35" s="47"/>
      <c r="BWZ35" s="47"/>
      <c r="BXA35" s="47"/>
      <c r="BXB35" s="47"/>
      <c r="BXC35" s="47"/>
      <c r="BXD35" s="47"/>
      <c r="BXE35" s="47"/>
      <c r="BXF35" s="47"/>
      <c r="BXG35" s="47"/>
      <c r="BXH35" s="47"/>
      <c r="BXI35" s="47"/>
      <c r="BXJ35" s="47"/>
      <c r="BXK35" s="47"/>
      <c r="BXL35" s="47"/>
      <c r="BXM35" s="47"/>
      <c r="BXN35" s="47"/>
      <c r="BXO35" s="47"/>
      <c r="BXP35" s="47"/>
      <c r="BXQ35" s="47"/>
      <c r="BXR35" s="47"/>
      <c r="BXS35" s="47"/>
      <c r="BXT35" s="47"/>
      <c r="BXU35" s="47"/>
      <c r="BXV35" s="47"/>
      <c r="BXW35" s="47"/>
      <c r="BXX35" s="47"/>
      <c r="BXY35" s="47"/>
      <c r="BXZ35" s="47"/>
      <c r="BYA35" s="47"/>
      <c r="BYB35" s="47"/>
      <c r="BYC35" s="47"/>
      <c r="BYD35" s="47"/>
      <c r="BYE35" s="47"/>
      <c r="BYF35" s="47"/>
      <c r="BYG35" s="47"/>
      <c r="BYH35" s="47"/>
      <c r="BYI35" s="47"/>
      <c r="BYJ35" s="47"/>
      <c r="BYK35" s="47"/>
      <c r="BYL35" s="47"/>
      <c r="BYM35" s="47"/>
      <c r="BYN35" s="47"/>
      <c r="BYO35" s="47"/>
      <c r="BYP35" s="47"/>
      <c r="BYQ35" s="47"/>
      <c r="BYR35" s="47"/>
      <c r="BYS35" s="47"/>
      <c r="BYT35" s="47"/>
      <c r="BYU35" s="47"/>
      <c r="BYV35" s="47"/>
      <c r="BYW35" s="47"/>
      <c r="BYX35" s="47"/>
      <c r="BYY35" s="47"/>
      <c r="BYZ35" s="47"/>
      <c r="BZA35" s="47"/>
      <c r="BZB35" s="47"/>
      <c r="BZC35" s="47"/>
      <c r="BZD35" s="47"/>
      <c r="BZE35" s="47"/>
      <c r="BZF35" s="47"/>
      <c r="BZG35" s="47"/>
      <c r="BZH35" s="47"/>
      <c r="BZI35" s="47"/>
      <c r="BZJ35" s="47"/>
      <c r="BZK35" s="47"/>
      <c r="BZL35" s="47"/>
      <c r="BZM35" s="47"/>
      <c r="BZN35" s="47"/>
      <c r="BZO35" s="47"/>
      <c r="BZP35" s="47"/>
      <c r="BZQ35" s="47"/>
      <c r="BZR35" s="47"/>
      <c r="BZS35" s="47"/>
      <c r="BZT35" s="47"/>
      <c r="BZU35" s="47"/>
      <c r="BZV35" s="47"/>
      <c r="BZW35" s="47"/>
      <c r="BZX35" s="47"/>
      <c r="BZY35" s="47"/>
      <c r="BZZ35" s="47"/>
      <c r="CAA35" s="47"/>
      <c r="CAB35" s="47"/>
      <c r="CAC35" s="47"/>
      <c r="CAD35" s="47"/>
      <c r="CAE35" s="47"/>
      <c r="CAF35" s="47"/>
      <c r="CAG35" s="47"/>
      <c r="CAH35" s="47"/>
      <c r="CAI35" s="47"/>
      <c r="CAJ35" s="47"/>
      <c r="CAK35" s="47"/>
      <c r="CAL35" s="47"/>
      <c r="CAM35" s="47"/>
      <c r="CAN35" s="47"/>
      <c r="CAO35" s="47"/>
      <c r="CAP35" s="47"/>
      <c r="CAQ35" s="47"/>
      <c r="CAR35" s="47"/>
      <c r="CAS35" s="47"/>
      <c r="CAT35" s="47"/>
      <c r="CAU35" s="47"/>
      <c r="CAV35" s="47"/>
      <c r="CAW35" s="47"/>
      <c r="CAX35" s="47"/>
      <c r="CAY35" s="47"/>
      <c r="CAZ35" s="47"/>
      <c r="CBA35" s="47"/>
      <c r="CBB35" s="47"/>
      <c r="CBC35" s="47"/>
      <c r="CBD35" s="47"/>
      <c r="CBE35" s="47"/>
      <c r="CBF35" s="47"/>
      <c r="CBG35" s="47"/>
      <c r="CBH35" s="47"/>
      <c r="CBI35" s="47"/>
      <c r="CBJ35" s="47"/>
      <c r="CBK35" s="47"/>
      <c r="CBL35" s="47"/>
      <c r="CBM35" s="47"/>
      <c r="CBN35" s="47"/>
      <c r="CBO35" s="47"/>
      <c r="CBP35" s="47"/>
      <c r="CBQ35" s="47"/>
      <c r="CBR35" s="47"/>
      <c r="CBS35" s="47"/>
      <c r="CBT35" s="47"/>
      <c r="CBU35" s="47"/>
      <c r="CBV35" s="47"/>
      <c r="CBW35" s="47"/>
      <c r="CBX35" s="47"/>
      <c r="CBY35" s="47"/>
      <c r="CBZ35" s="47"/>
      <c r="CCA35" s="47"/>
      <c r="CCB35" s="47"/>
      <c r="CCC35" s="47"/>
      <c r="CCD35" s="47"/>
      <c r="CCE35" s="47"/>
      <c r="CCF35" s="47"/>
      <c r="CCG35" s="47"/>
      <c r="CCH35" s="47"/>
      <c r="CCI35" s="47"/>
      <c r="CCJ35" s="47"/>
      <c r="CCK35" s="47"/>
      <c r="CCL35" s="47"/>
      <c r="CCM35" s="47"/>
      <c r="CCN35" s="47"/>
      <c r="CCO35" s="47"/>
      <c r="CCP35" s="47"/>
      <c r="CCQ35" s="47"/>
      <c r="CCR35" s="47"/>
      <c r="CCS35" s="47"/>
      <c r="CCT35" s="47"/>
      <c r="CCU35" s="47"/>
      <c r="CCV35" s="47"/>
      <c r="CCW35" s="47"/>
      <c r="CCX35" s="47"/>
      <c r="CCY35" s="47"/>
      <c r="CCZ35" s="47"/>
      <c r="CDA35" s="47"/>
      <c r="CDB35" s="47"/>
      <c r="CDC35" s="47"/>
      <c r="CDD35" s="47"/>
      <c r="CDE35" s="47"/>
      <c r="CDF35" s="47"/>
      <c r="CDG35" s="47"/>
      <c r="CDH35" s="47"/>
      <c r="CDI35" s="47"/>
      <c r="CDJ35" s="47"/>
      <c r="CDK35" s="47"/>
      <c r="CDL35" s="47"/>
      <c r="CDM35" s="47"/>
      <c r="CDN35" s="47"/>
      <c r="CDO35" s="47"/>
      <c r="CDP35" s="47"/>
      <c r="CDQ35" s="47"/>
      <c r="CDR35" s="47"/>
      <c r="CDS35" s="47"/>
      <c r="CDT35" s="47"/>
      <c r="CDU35" s="47"/>
      <c r="CDV35" s="47"/>
      <c r="CDW35" s="47"/>
      <c r="CDX35" s="47"/>
      <c r="CDY35" s="47"/>
      <c r="CDZ35" s="47"/>
      <c r="CEA35" s="47"/>
      <c r="CEB35" s="47"/>
      <c r="CEC35" s="47"/>
      <c r="CED35" s="47"/>
      <c r="CEE35" s="47"/>
      <c r="CEF35" s="47"/>
      <c r="CEG35" s="47"/>
      <c r="CEH35" s="47"/>
      <c r="CEI35" s="47"/>
      <c r="CEJ35" s="47"/>
      <c r="CEK35" s="47"/>
      <c r="CEL35" s="47"/>
      <c r="CEM35" s="47"/>
      <c r="CEN35" s="47"/>
      <c r="CEO35" s="47"/>
      <c r="CEP35" s="47"/>
      <c r="CEQ35" s="47"/>
      <c r="CER35" s="47"/>
      <c r="CES35" s="47"/>
      <c r="CET35" s="47"/>
      <c r="CEU35" s="47"/>
      <c r="CEV35" s="47"/>
      <c r="CEW35" s="47"/>
      <c r="CEX35" s="47"/>
      <c r="CEY35" s="47"/>
      <c r="CEZ35" s="47"/>
      <c r="CFA35" s="47"/>
      <c r="CFB35" s="47"/>
      <c r="CFC35" s="47"/>
      <c r="CFD35" s="47"/>
      <c r="CFE35" s="47"/>
      <c r="CFF35" s="47"/>
      <c r="CFG35" s="47"/>
      <c r="CFH35" s="47"/>
      <c r="CFI35" s="47"/>
      <c r="CFJ35" s="47"/>
      <c r="CFK35" s="47"/>
      <c r="CFL35" s="47"/>
      <c r="CFM35" s="47"/>
      <c r="CFN35" s="47"/>
      <c r="CFO35" s="47"/>
      <c r="CFP35" s="47"/>
      <c r="CFQ35" s="47"/>
      <c r="CFR35" s="47"/>
      <c r="CFS35" s="47"/>
      <c r="CFT35" s="47"/>
      <c r="CFU35" s="47"/>
      <c r="CFV35" s="47"/>
      <c r="CFW35" s="47"/>
      <c r="CFX35" s="47"/>
      <c r="CFY35" s="47"/>
      <c r="CFZ35" s="47"/>
      <c r="CGA35" s="47"/>
      <c r="CGB35" s="47"/>
      <c r="CGC35" s="47"/>
      <c r="CGD35" s="47"/>
      <c r="CGE35" s="47"/>
      <c r="CGF35" s="47"/>
      <c r="CGG35" s="47"/>
      <c r="CGH35" s="47"/>
      <c r="CGI35" s="47"/>
      <c r="CGJ35" s="47"/>
      <c r="CGK35" s="47"/>
      <c r="CGL35" s="47"/>
      <c r="CGM35" s="47"/>
      <c r="CGN35" s="47"/>
      <c r="CGO35" s="47"/>
      <c r="CGP35" s="47"/>
      <c r="CGQ35" s="47"/>
      <c r="CGR35" s="47"/>
      <c r="CGS35" s="47"/>
      <c r="CGT35" s="47"/>
      <c r="CGU35" s="47"/>
      <c r="CGV35" s="47"/>
      <c r="CGW35" s="47"/>
      <c r="CGX35" s="47"/>
      <c r="CGY35" s="47"/>
      <c r="CGZ35" s="47"/>
      <c r="CHA35" s="47"/>
      <c r="CHB35" s="47"/>
      <c r="CHC35" s="47"/>
      <c r="CHD35" s="47"/>
      <c r="CHE35" s="47"/>
      <c r="CHF35" s="47"/>
      <c r="CHG35" s="47"/>
      <c r="CHH35" s="47"/>
      <c r="CHI35" s="47"/>
      <c r="CHJ35" s="47"/>
      <c r="CHK35" s="47"/>
      <c r="CHL35" s="47"/>
      <c r="CHM35" s="47"/>
      <c r="CHN35" s="47"/>
      <c r="CHO35" s="47"/>
      <c r="CHP35" s="47"/>
      <c r="CHQ35" s="47"/>
      <c r="CHR35" s="47"/>
      <c r="CHS35" s="47"/>
      <c r="CHT35" s="47"/>
      <c r="CHU35" s="47"/>
      <c r="CHV35" s="47"/>
      <c r="CHW35" s="47"/>
      <c r="CHX35" s="47"/>
      <c r="CHY35" s="47"/>
      <c r="CHZ35" s="47"/>
      <c r="CIA35" s="47"/>
      <c r="CIB35" s="47"/>
      <c r="CIC35" s="47"/>
      <c r="CID35" s="47"/>
      <c r="CIE35" s="47"/>
      <c r="CIF35" s="47"/>
      <c r="CIG35" s="47"/>
      <c r="CIH35" s="47"/>
      <c r="CII35" s="47"/>
      <c r="CIJ35" s="47"/>
      <c r="CIK35" s="47"/>
      <c r="CIL35" s="47"/>
      <c r="CIM35" s="47"/>
      <c r="CIN35" s="47"/>
      <c r="CIO35" s="47"/>
      <c r="CIP35" s="47"/>
      <c r="CIQ35" s="47"/>
      <c r="CIR35" s="47"/>
      <c r="CIS35" s="47"/>
      <c r="CIT35" s="47"/>
      <c r="CIU35" s="47"/>
      <c r="CIV35" s="47"/>
      <c r="CIW35" s="47"/>
      <c r="CIX35" s="47"/>
      <c r="CIY35" s="47"/>
      <c r="CIZ35" s="47"/>
      <c r="CJA35" s="47"/>
      <c r="CJB35" s="47"/>
      <c r="CJC35" s="47"/>
      <c r="CJD35" s="47"/>
      <c r="CJE35" s="47"/>
      <c r="CJF35" s="47"/>
      <c r="CJG35" s="47"/>
      <c r="CJH35" s="47"/>
      <c r="CJI35" s="47"/>
      <c r="CJJ35" s="47"/>
      <c r="CJK35" s="47"/>
      <c r="CJL35" s="47"/>
      <c r="CJM35" s="47"/>
      <c r="CJN35" s="47"/>
      <c r="CJO35" s="47"/>
      <c r="CJP35" s="47"/>
      <c r="CJQ35" s="47"/>
      <c r="CJR35" s="47"/>
      <c r="CJS35" s="47"/>
      <c r="CJT35" s="47"/>
      <c r="CJU35" s="47"/>
      <c r="CJV35" s="47"/>
      <c r="CJW35" s="47"/>
      <c r="CJX35" s="47"/>
      <c r="CJY35" s="47"/>
      <c r="CJZ35" s="47"/>
      <c r="CKA35" s="47"/>
      <c r="CKB35" s="47"/>
      <c r="CKC35" s="47"/>
      <c r="CKD35" s="47"/>
      <c r="CKE35" s="47"/>
      <c r="CKF35" s="47"/>
      <c r="CKG35" s="47"/>
      <c r="CKH35" s="47"/>
      <c r="CKI35" s="47"/>
      <c r="CKJ35" s="47"/>
      <c r="CKK35" s="47"/>
      <c r="CKL35" s="47"/>
      <c r="CKM35" s="47"/>
      <c r="CKN35" s="47"/>
      <c r="CKO35" s="47"/>
      <c r="CKP35" s="47"/>
      <c r="CKQ35" s="47"/>
      <c r="CKR35" s="47"/>
      <c r="CKS35" s="47"/>
      <c r="CKT35" s="47"/>
      <c r="CKU35" s="47"/>
      <c r="CKV35" s="47"/>
      <c r="CKW35" s="47"/>
      <c r="CKX35" s="47"/>
      <c r="CKY35" s="47"/>
      <c r="CKZ35" s="47"/>
      <c r="CLA35" s="47"/>
      <c r="CLB35" s="47"/>
      <c r="CLC35" s="47"/>
      <c r="CLD35" s="47"/>
      <c r="CLE35" s="47"/>
      <c r="CLF35" s="47"/>
      <c r="CLG35" s="47"/>
      <c r="CLH35" s="47"/>
      <c r="CLI35" s="47"/>
      <c r="CLJ35" s="47"/>
      <c r="CLK35" s="47"/>
      <c r="CLL35" s="47"/>
      <c r="CLM35" s="47"/>
      <c r="CLN35" s="47"/>
      <c r="CLO35" s="47"/>
      <c r="CLP35" s="47"/>
      <c r="CLQ35" s="47"/>
      <c r="CLR35" s="47"/>
      <c r="CLS35" s="47"/>
      <c r="CLT35" s="47"/>
      <c r="CLU35" s="47"/>
      <c r="CLV35" s="47"/>
      <c r="CLW35" s="47"/>
      <c r="CLX35" s="47"/>
      <c r="CLY35" s="47"/>
      <c r="CLZ35" s="47"/>
      <c r="CMA35" s="47"/>
      <c r="CMB35" s="47"/>
      <c r="CMC35" s="47"/>
      <c r="CMD35" s="47"/>
      <c r="CME35" s="47"/>
      <c r="CMF35" s="47"/>
      <c r="CMG35" s="47"/>
      <c r="CMH35" s="47"/>
      <c r="CMI35" s="47"/>
      <c r="CMJ35" s="47"/>
      <c r="CMK35" s="47"/>
      <c r="CML35" s="47"/>
      <c r="CMM35" s="47"/>
      <c r="CMN35" s="47"/>
      <c r="CMO35" s="47"/>
      <c r="CMP35" s="47"/>
      <c r="CMQ35" s="47"/>
      <c r="CMR35" s="47"/>
      <c r="CMS35" s="47"/>
      <c r="CMT35" s="47"/>
      <c r="CMU35" s="47"/>
      <c r="CMV35" s="47"/>
      <c r="CMW35" s="47"/>
      <c r="CMX35" s="47"/>
      <c r="CMY35" s="47"/>
      <c r="CMZ35" s="47"/>
      <c r="CNA35" s="47"/>
      <c r="CNB35" s="47"/>
      <c r="CNC35" s="47"/>
      <c r="CND35" s="47"/>
      <c r="CNE35" s="47"/>
      <c r="CNF35" s="47"/>
      <c r="CNG35" s="47"/>
      <c r="CNH35" s="47"/>
      <c r="CNI35" s="47"/>
      <c r="CNJ35" s="47"/>
      <c r="CNK35" s="47"/>
      <c r="CNL35" s="47"/>
      <c r="CNM35" s="47"/>
      <c r="CNN35" s="47"/>
      <c r="CNO35" s="47"/>
      <c r="CNP35" s="47"/>
      <c r="CNQ35" s="47"/>
      <c r="CNR35" s="47"/>
      <c r="CNS35" s="47"/>
      <c r="CNT35" s="47"/>
      <c r="CNU35" s="47"/>
      <c r="CNV35" s="47"/>
      <c r="CNW35" s="47"/>
      <c r="CNX35" s="47"/>
      <c r="CNY35" s="47"/>
      <c r="CNZ35" s="47"/>
      <c r="COA35" s="47"/>
      <c r="COB35" s="47"/>
      <c r="COC35" s="47"/>
      <c r="COD35" s="47"/>
      <c r="COE35" s="47"/>
      <c r="COF35" s="47"/>
      <c r="COG35" s="47"/>
      <c r="COH35" s="47"/>
      <c r="COI35" s="47"/>
      <c r="COJ35" s="47"/>
      <c r="COK35" s="47"/>
      <c r="COL35" s="47"/>
      <c r="COM35" s="47"/>
      <c r="CON35" s="47"/>
      <c r="COO35" s="47"/>
      <c r="COP35" s="47"/>
      <c r="COQ35" s="47"/>
      <c r="COR35" s="47"/>
      <c r="COS35" s="47"/>
      <c r="COT35" s="47"/>
      <c r="COU35" s="47"/>
      <c r="COV35" s="47"/>
      <c r="COW35" s="47"/>
      <c r="COX35" s="47"/>
      <c r="COY35" s="47"/>
      <c r="COZ35" s="47"/>
      <c r="CPA35" s="47"/>
      <c r="CPB35" s="47"/>
      <c r="CPC35" s="47"/>
      <c r="CPD35" s="47"/>
      <c r="CPE35" s="47"/>
      <c r="CPF35" s="47"/>
      <c r="CPG35" s="47"/>
      <c r="CPH35" s="47"/>
      <c r="CPI35" s="47"/>
      <c r="CPJ35" s="47"/>
      <c r="CPK35" s="47"/>
      <c r="CPL35" s="47"/>
      <c r="CPM35" s="47"/>
      <c r="CPN35" s="47"/>
      <c r="CPO35" s="47"/>
      <c r="CPP35" s="47"/>
      <c r="CPQ35" s="47"/>
      <c r="CPR35" s="47"/>
      <c r="CPS35" s="47"/>
      <c r="CPT35" s="47"/>
      <c r="CPU35" s="47"/>
      <c r="CPV35" s="47"/>
      <c r="CPW35" s="47"/>
      <c r="CPX35" s="47"/>
      <c r="CPY35" s="47"/>
      <c r="CPZ35" s="47"/>
      <c r="CQA35" s="47"/>
      <c r="CQB35" s="47"/>
      <c r="CQC35" s="47"/>
      <c r="CQD35" s="47"/>
      <c r="CQE35" s="47"/>
      <c r="CQF35" s="47"/>
      <c r="CQG35" s="47"/>
      <c r="CQH35" s="47"/>
      <c r="CQI35" s="47"/>
      <c r="CQJ35" s="47"/>
      <c r="CQK35" s="47"/>
      <c r="CQL35" s="47"/>
      <c r="CQM35" s="47"/>
      <c r="CQN35" s="47"/>
      <c r="CQO35" s="47"/>
      <c r="CQP35" s="47"/>
      <c r="CQQ35" s="47"/>
      <c r="CQR35" s="47"/>
      <c r="CQS35" s="47"/>
      <c r="CQT35" s="47"/>
      <c r="CQU35" s="47"/>
      <c r="CQV35" s="47"/>
      <c r="CQW35" s="47"/>
      <c r="CQX35" s="47"/>
      <c r="CQY35" s="47"/>
      <c r="CQZ35" s="47"/>
      <c r="CRA35" s="47"/>
      <c r="CRB35" s="47"/>
      <c r="CRC35" s="47"/>
      <c r="CRD35" s="47"/>
      <c r="CRE35" s="47"/>
      <c r="CRF35" s="47"/>
      <c r="CRG35" s="47"/>
      <c r="CRH35" s="47"/>
      <c r="CRI35" s="47"/>
      <c r="CRJ35" s="47"/>
      <c r="CRK35" s="47"/>
      <c r="CRL35" s="47"/>
      <c r="CRM35" s="47"/>
      <c r="CRN35" s="47"/>
      <c r="CRO35" s="47"/>
      <c r="CRP35" s="47"/>
      <c r="CRQ35" s="47"/>
      <c r="CRR35" s="47"/>
      <c r="CRS35" s="47"/>
      <c r="CRT35" s="47"/>
      <c r="CRU35" s="47"/>
      <c r="CRV35" s="47"/>
      <c r="CRW35" s="47"/>
      <c r="CRX35" s="47"/>
      <c r="CRY35" s="47"/>
      <c r="CRZ35" s="47"/>
      <c r="CSA35" s="47"/>
      <c r="CSB35" s="47"/>
      <c r="CSC35" s="47"/>
      <c r="CSD35" s="47"/>
      <c r="CSE35" s="47"/>
      <c r="CSF35" s="47"/>
      <c r="CSG35" s="47"/>
      <c r="CSH35" s="47"/>
      <c r="CSI35" s="47"/>
      <c r="CSJ35" s="47"/>
      <c r="CSK35" s="47"/>
      <c r="CSL35" s="47"/>
      <c r="CSM35" s="47"/>
      <c r="CSN35" s="47"/>
      <c r="CSO35" s="47"/>
      <c r="CSP35" s="47"/>
      <c r="CSQ35" s="47"/>
      <c r="CSR35" s="47"/>
      <c r="CSS35" s="47"/>
      <c r="CST35" s="47"/>
      <c r="CSU35" s="47"/>
      <c r="CSV35" s="47"/>
      <c r="CSW35" s="47"/>
      <c r="CSX35" s="47"/>
      <c r="CSY35" s="47"/>
      <c r="CSZ35" s="47"/>
      <c r="CTA35" s="47"/>
      <c r="CTB35" s="47"/>
      <c r="CTC35" s="47"/>
      <c r="CTD35" s="47"/>
      <c r="CTE35" s="47"/>
      <c r="CTF35" s="47"/>
      <c r="CTG35" s="47"/>
      <c r="CTH35" s="47"/>
      <c r="CTI35" s="47"/>
      <c r="CTJ35" s="47"/>
      <c r="CTK35" s="47"/>
      <c r="CTL35" s="47"/>
      <c r="CTM35" s="47"/>
      <c r="CTN35" s="47"/>
      <c r="CTO35" s="47"/>
      <c r="CTP35" s="47"/>
      <c r="CTQ35" s="47"/>
      <c r="CTR35" s="47"/>
      <c r="CTS35" s="47"/>
      <c r="CTT35" s="47"/>
      <c r="CTU35" s="47"/>
      <c r="CTV35" s="47"/>
      <c r="CTW35" s="47"/>
      <c r="CTX35" s="47"/>
      <c r="CTY35" s="47"/>
      <c r="CTZ35" s="47"/>
      <c r="CUA35" s="47"/>
      <c r="CUB35" s="47"/>
      <c r="CUC35" s="47"/>
      <c r="CUD35" s="47"/>
      <c r="CUE35" s="47"/>
      <c r="CUF35" s="47"/>
      <c r="CUG35" s="47"/>
      <c r="CUH35" s="47"/>
      <c r="CUI35" s="47"/>
      <c r="CUJ35" s="47"/>
      <c r="CUK35" s="47"/>
      <c r="CUL35" s="47"/>
      <c r="CUM35" s="47"/>
      <c r="CUN35" s="47"/>
      <c r="CUO35" s="47"/>
      <c r="CUP35" s="47"/>
      <c r="CUQ35" s="47"/>
      <c r="CUR35" s="47"/>
      <c r="CUS35" s="47"/>
      <c r="CUT35" s="47"/>
      <c r="CUU35" s="47"/>
      <c r="CUV35" s="47"/>
      <c r="CUW35" s="47"/>
      <c r="CUX35" s="47"/>
      <c r="CUY35" s="47"/>
      <c r="CUZ35" s="47"/>
      <c r="CVA35" s="47"/>
      <c r="CVB35" s="47"/>
      <c r="CVC35" s="47"/>
      <c r="CVD35" s="47"/>
      <c r="CVE35" s="47"/>
      <c r="CVF35" s="47"/>
      <c r="CVG35" s="47"/>
      <c r="CVH35" s="47"/>
      <c r="CVI35" s="47"/>
      <c r="CVJ35" s="47"/>
      <c r="CVK35" s="47"/>
      <c r="CVL35" s="47"/>
      <c r="CVM35" s="47"/>
      <c r="CVN35" s="47"/>
      <c r="CVO35" s="47"/>
      <c r="CVP35" s="47"/>
      <c r="CVQ35" s="47"/>
      <c r="CVR35" s="47"/>
      <c r="CVS35" s="47"/>
      <c r="CVT35" s="47"/>
      <c r="CVU35" s="47"/>
      <c r="CVV35" s="47"/>
      <c r="CVW35" s="47"/>
      <c r="CVX35" s="47"/>
      <c r="CVY35" s="47"/>
      <c r="CVZ35" s="47"/>
      <c r="CWA35" s="47"/>
      <c r="CWB35" s="47"/>
      <c r="CWC35" s="47"/>
      <c r="CWD35" s="47"/>
      <c r="CWE35" s="47"/>
      <c r="CWF35" s="47"/>
      <c r="CWG35" s="47"/>
      <c r="CWH35" s="47"/>
      <c r="CWI35" s="47"/>
      <c r="CWJ35" s="47"/>
      <c r="CWK35" s="47"/>
      <c r="CWL35" s="47"/>
      <c r="CWM35" s="47"/>
      <c r="CWN35" s="47"/>
      <c r="CWO35" s="47"/>
      <c r="CWP35" s="47"/>
      <c r="CWQ35" s="47"/>
      <c r="CWR35" s="47"/>
      <c r="CWS35" s="47"/>
      <c r="CWT35" s="47"/>
      <c r="CWU35" s="47"/>
      <c r="CWV35" s="47"/>
      <c r="CWW35" s="47"/>
      <c r="CWX35" s="47"/>
      <c r="CWY35" s="47"/>
      <c r="CWZ35" s="47"/>
      <c r="CXA35" s="47"/>
      <c r="CXB35" s="47"/>
      <c r="CXC35" s="47"/>
      <c r="CXD35" s="47"/>
      <c r="CXE35" s="47"/>
      <c r="CXF35" s="47"/>
      <c r="CXG35" s="47"/>
      <c r="CXH35" s="47"/>
      <c r="CXI35" s="47"/>
      <c r="CXJ35" s="47"/>
      <c r="CXK35" s="47"/>
      <c r="CXL35" s="47"/>
      <c r="CXM35" s="47"/>
      <c r="CXN35" s="47"/>
      <c r="CXO35" s="47"/>
      <c r="CXP35" s="47"/>
      <c r="CXQ35" s="47"/>
      <c r="CXR35" s="47"/>
      <c r="CXS35" s="47"/>
      <c r="CXT35" s="47"/>
      <c r="CXU35" s="47"/>
      <c r="CXV35" s="47"/>
      <c r="CXW35" s="47"/>
      <c r="CXX35" s="47"/>
      <c r="CXY35" s="47"/>
      <c r="CXZ35" s="47"/>
      <c r="CYA35" s="47"/>
      <c r="CYB35" s="47"/>
      <c r="CYC35" s="47"/>
      <c r="CYD35" s="47"/>
      <c r="CYE35" s="47"/>
      <c r="CYF35" s="47"/>
      <c r="CYG35" s="47"/>
      <c r="CYH35" s="47"/>
      <c r="CYI35" s="47"/>
      <c r="CYJ35" s="47"/>
      <c r="CYK35" s="47"/>
      <c r="CYL35" s="47"/>
      <c r="CYM35" s="47"/>
      <c r="CYN35" s="47"/>
      <c r="CYO35" s="47"/>
      <c r="CYP35" s="47"/>
      <c r="CYQ35" s="47"/>
      <c r="CYR35" s="47"/>
      <c r="CYS35" s="47"/>
      <c r="CYT35" s="47"/>
      <c r="CYU35" s="47"/>
      <c r="CYV35" s="47"/>
      <c r="CYW35" s="47"/>
      <c r="CYX35" s="47"/>
      <c r="CYY35" s="47"/>
      <c r="CYZ35" s="47"/>
      <c r="CZA35" s="47"/>
      <c r="CZB35" s="47"/>
      <c r="CZC35" s="47"/>
      <c r="CZD35" s="47"/>
      <c r="CZE35" s="47"/>
      <c r="CZF35" s="47"/>
      <c r="CZG35" s="47"/>
      <c r="CZH35" s="47"/>
      <c r="CZI35" s="47"/>
      <c r="CZJ35" s="47"/>
      <c r="CZK35" s="47"/>
      <c r="CZL35" s="47"/>
      <c r="CZM35" s="47"/>
      <c r="CZN35" s="47"/>
      <c r="CZO35" s="47"/>
      <c r="CZP35" s="47"/>
      <c r="CZQ35" s="47"/>
      <c r="CZR35" s="47"/>
      <c r="CZS35" s="47"/>
      <c r="CZT35" s="47"/>
      <c r="CZU35" s="47"/>
      <c r="CZV35" s="47"/>
      <c r="CZW35" s="47"/>
      <c r="CZX35" s="47"/>
      <c r="CZY35" s="47"/>
      <c r="CZZ35" s="47"/>
      <c r="DAA35" s="47"/>
      <c r="DAB35" s="47"/>
      <c r="DAC35" s="47"/>
      <c r="DAD35" s="47"/>
      <c r="DAE35" s="47"/>
      <c r="DAF35" s="47"/>
      <c r="DAG35" s="47"/>
      <c r="DAH35" s="47"/>
      <c r="DAI35" s="47"/>
      <c r="DAJ35" s="47"/>
      <c r="DAK35" s="47"/>
      <c r="DAL35" s="47"/>
      <c r="DAM35" s="47"/>
      <c r="DAN35" s="47"/>
      <c r="DAO35" s="47"/>
      <c r="DAP35" s="47"/>
      <c r="DAQ35" s="47"/>
      <c r="DAR35" s="47"/>
      <c r="DAS35" s="47"/>
      <c r="DAT35" s="47"/>
      <c r="DAU35" s="47"/>
      <c r="DAV35" s="47"/>
      <c r="DAW35" s="47"/>
      <c r="DAX35" s="47"/>
      <c r="DAY35" s="47"/>
      <c r="DAZ35" s="47"/>
      <c r="DBA35" s="47"/>
      <c r="DBB35" s="47"/>
      <c r="DBC35" s="47"/>
      <c r="DBD35" s="47"/>
      <c r="DBE35" s="47"/>
      <c r="DBF35" s="47"/>
      <c r="DBG35" s="47"/>
      <c r="DBH35" s="47"/>
      <c r="DBI35" s="47"/>
      <c r="DBJ35" s="47"/>
      <c r="DBK35" s="47"/>
      <c r="DBL35" s="47"/>
      <c r="DBM35" s="47"/>
      <c r="DBN35" s="47"/>
      <c r="DBO35" s="47"/>
      <c r="DBP35" s="47"/>
      <c r="DBQ35" s="47"/>
      <c r="DBR35" s="47"/>
      <c r="DBS35" s="47"/>
      <c r="DBT35" s="47"/>
      <c r="DBU35" s="47"/>
      <c r="DBV35" s="47"/>
      <c r="DBW35" s="47"/>
      <c r="DBX35" s="47"/>
      <c r="DBY35" s="47"/>
      <c r="DBZ35" s="47"/>
      <c r="DCA35" s="47"/>
      <c r="DCB35" s="47"/>
      <c r="DCC35" s="47"/>
      <c r="DCD35" s="47"/>
      <c r="DCE35" s="47"/>
      <c r="DCF35" s="47"/>
      <c r="DCG35" s="47"/>
      <c r="DCH35" s="47"/>
      <c r="DCI35" s="47"/>
      <c r="DCJ35" s="47"/>
      <c r="DCK35" s="47"/>
      <c r="DCL35" s="47"/>
      <c r="DCM35" s="47"/>
      <c r="DCN35" s="47"/>
      <c r="DCO35" s="47"/>
      <c r="DCP35" s="47"/>
      <c r="DCQ35" s="47"/>
      <c r="DCR35" s="47"/>
      <c r="DCS35" s="47"/>
      <c r="DCT35" s="47"/>
      <c r="DCU35" s="47"/>
      <c r="DCV35" s="47"/>
      <c r="DCW35" s="47"/>
      <c r="DCX35" s="47"/>
      <c r="DCY35" s="47"/>
      <c r="DCZ35" s="47"/>
      <c r="DDA35" s="47"/>
      <c r="DDB35" s="47"/>
      <c r="DDC35" s="47"/>
      <c r="DDD35" s="47"/>
      <c r="DDE35" s="47"/>
      <c r="DDF35" s="47"/>
      <c r="DDG35" s="47"/>
      <c r="DDH35" s="47"/>
      <c r="DDI35" s="47"/>
      <c r="DDJ35" s="47"/>
      <c r="DDK35" s="47"/>
      <c r="DDL35" s="47"/>
      <c r="DDM35" s="47"/>
      <c r="DDN35" s="47"/>
      <c r="DDO35" s="47"/>
      <c r="DDP35" s="47"/>
      <c r="DDQ35" s="47"/>
      <c r="DDR35" s="47"/>
      <c r="DDS35" s="47"/>
      <c r="DDT35" s="47"/>
      <c r="DDU35" s="47"/>
      <c r="DDV35" s="47"/>
      <c r="DDW35" s="47"/>
      <c r="DDX35" s="47"/>
      <c r="DDY35" s="47"/>
      <c r="DDZ35" s="47"/>
      <c r="DEA35" s="47"/>
      <c r="DEB35" s="47"/>
      <c r="DEC35" s="47"/>
      <c r="DED35" s="47"/>
      <c r="DEE35" s="47"/>
      <c r="DEF35" s="47"/>
      <c r="DEG35" s="47"/>
      <c r="DEH35" s="47"/>
      <c r="DEI35" s="47"/>
      <c r="DEJ35" s="47"/>
      <c r="DEK35" s="47"/>
      <c r="DEL35" s="47"/>
      <c r="DEM35" s="47"/>
      <c r="DEN35" s="47"/>
      <c r="DEO35" s="47"/>
      <c r="DEP35" s="47"/>
      <c r="DEQ35" s="47"/>
      <c r="DER35" s="47"/>
      <c r="DES35" s="47"/>
      <c r="DET35" s="47"/>
      <c r="DEU35" s="47"/>
      <c r="DEV35" s="47"/>
      <c r="DEW35" s="47"/>
      <c r="DEX35" s="47"/>
      <c r="DEY35" s="47"/>
      <c r="DEZ35" s="47"/>
      <c r="DFA35" s="47"/>
      <c r="DFB35" s="47"/>
      <c r="DFC35" s="47"/>
      <c r="DFD35" s="47"/>
      <c r="DFE35" s="47"/>
      <c r="DFF35" s="47"/>
      <c r="DFG35" s="47"/>
      <c r="DFH35" s="47"/>
      <c r="DFI35" s="47"/>
      <c r="DFJ35" s="47"/>
      <c r="DFK35" s="47"/>
      <c r="DFL35" s="47"/>
      <c r="DFM35" s="47"/>
      <c r="DFN35" s="47"/>
      <c r="DFO35" s="47"/>
      <c r="DFP35" s="47"/>
      <c r="DFQ35" s="47"/>
      <c r="DFR35" s="47"/>
      <c r="DFS35" s="47"/>
      <c r="DFT35" s="47"/>
      <c r="DFU35" s="47"/>
      <c r="DFV35" s="47"/>
      <c r="DFW35" s="47"/>
      <c r="DFX35" s="47"/>
      <c r="DFY35" s="47"/>
      <c r="DFZ35" s="47"/>
      <c r="DGA35" s="47"/>
      <c r="DGB35" s="47"/>
      <c r="DGC35" s="47"/>
      <c r="DGD35" s="47"/>
      <c r="DGE35" s="47"/>
      <c r="DGF35" s="47"/>
      <c r="DGG35" s="47"/>
      <c r="DGH35" s="47"/>
      <c r="DGI35" s="47"/>
      <c r="DGJ35" s="47"/>
      <c r="DGK35" s="47"/>
      <c r="DGL35" s="47"/>
      <c r="DGM35" s="47"/>
      <c r="DGN35" s="47"/>
      <c r="DGO35" s="47"/>
      <c r="DGP35" s="47"/>
      <c r="DGQ35" s="47"/>
      <c r="DGR35" s="47"/>
      <c r="DGS35" s="47"/>
      <c r="DGT35" s="47"/>
      <c r="DGU35" s="47"/>
      <c r="DGV35" s="47"/>
      <c r="DGW35" s="47"/>
      <c r="DGX35" s="47"/>
      <c r="DGY35" s="47"/>
      <c r="DGZ35" s="47"/>
      <c r="DHA35" s="47"/>
      <c r="DHB35" s="47"/>
      <c r="DHC35" s="47"/>
      <c r="DHD35" s="47"/>
      <c r="DHE35" s="47"/>
      <c r="DHF35" s="47"/>
      <c r="DHG35" s="47"/>
      <c r="DHH35" s="47"/>
      <c r="DHI35" s="47"/>
      <c r="DHJ35" s="47"/>
      <c r="DHK35" s="47"/>
      <c r="DHL35" s="47"/>
      <c r="DHM35" s="47"/>
      <c r="DHN35" s="47"/>
      <c r="DHO35" s="47"/>
      <c r="DHP35" s="47"/>
      <c r="DHQ35" s="47"/>
      <c r="DHR35" s="47"/>
      <c r="DHS35" s="47"/>
      <c r="DHT35" s="47"/>
      <c r="DHU35" s="47"/>
      <c r="DHV35" s="47"/>
      <c r="DHW35" s="47"/>
      <c r="DHX35" s="47"/>
      <c r="DHY35" s="47"/>
      <c r="DHZ35" s="47"/>
      <c r="DIA35" s="47"/>
      <c r="DIB35" s="47"/>
      <c r="DIC35" s="47"/>
      <c r="DID35" s="47"/>
      <c r="DIE35" s="47"/>
      <c r="DIF35" s="47"/>
      <c r="DIG35" s="47"/>
      <c r="DIH35" s="47"/>
      <c r="DII35" s="47"/>
      <c r="DIJ35" s="47"/>
      <c r="DIK35" s="47"/>
      <c r="DIL35" s="47"/>
      <c r="DIM35" s="47"/>
      <c r="DIN35" s="47"/>
      <c r="DIO35" s="47"/>
      <c r="DIP35" s="47"/>
      <c r="DIQ35" s="47"/>
      <c r="DIR35" s="47"/>
      <c r="DIS35" s="47"/>
      <c r="DIT35" s="47"/>
      <c r="DIU35" s="47"/>
      <c r="DIV35" s="47"/>
      <c r="DIW35" s="47"/>
      <c r="DIX35" s="47"/>
      <c r="DIY35" s="47"/>
      <c r="DIZ35" s="47"/>
      <c r="DJA35" s="47"/>
      <c r="DJB35" s="47"/>
      <c r="DJC35" s="47"/>
      <c r="DJD35" s="47"/>
      <c r="DJE35" s="47"/>
      <c r="DJF35" s="47"/>
      <c r="DJG35" s="47"/>
      <c r="DJH35" s="47"/>
      <c r="DJI35" s="47"/>
      <c r="DJJ35" s="47"/>
      <c r="DJK35" s="47"/>
      <c r="DJL35" s="47"/>
      <c r="DJM35" s="47"/>
      <c r="DJN35" s="47"/>
      <c r="DJO35" s="47"/>
      <c r="DJP35" s="47"/>
      <c r="DJQ35" s="47"/>
      <c r="DJR35" s="47"/>
      <c r="DJS35" s="47"/>
      <c r="DJT35" s="47"/>
      <c r="DJU35" s="47"/>
      <c r="DJV35" s="47"/>
      <c r="DJW35" s="47"/>
      <c r="DJX35" s="47"/>
      <c r="DJY35" s="47"/>
      <c r="DJZ35" s="47"/>
      <c r="DKA35" s="47"/>
      <c r="DKB35" s="47"/>
      <c r="DKC35" s="47"/>
      <c r="DKD35" s="47"/>
      <c r="DKE35" s="47"/>
      <c r="DKF35" s="47"/>
      <c r="DKG35" s="47"/>
      <c r="DKH35" s="47"/>
      <c r="DKI35" s="47"/>
      <c r="DKJ35" s="47"/>
      <c r="DKK35" s="47"/>
      <c r="DKL35" s="47"/>
      <c r="DKM35" s="47"/>
      <c r="DKN35" s="47"/>
      <c r="DKO35" s="47"/>
      <c r="DKP35" s="47"/>
      <c r="DKQ35" s="47"/>
      <c r="DKR35" s="47"/>
      <c r="DKS35" s="47"/>
      <c r="DKT35" s="47"/>
      <c r="DKU35" s="47"/>
      <c r="DKV35" s="47"/>
      <c r="DKW35" s="47"/>
      <c r="DKX35" s="47"/>
      <c r="DKY35" s="47"/>
      <c r="DKZ35" s="47"/>
      <c r="DLA35" s="47"/>
      <c r="DLB35" s="47"/>
      <c r="DLC35" s="47"/>
      <c r="DLD35" s="47"/>
      <c r="DLE35" s="47"/>
      <c r="DLF35" s="47"/>
      <c r="DLG35" s="47"/>
      <c r="DLH35" s="47"/>
      <c r="DLI35" s="47"/>
      <c r="DLJ35" s="47"/>
      <c r="DLK35" s="47"/>
      <c r="DLL35" s="47"/>
      <c r="DLM35" s="47"/>
      <c r="DLN35" s="47"/>
      <c r="DLO35" s="47"/>
      <c r="DLP35" s="47"/>
      <c r="DLQ35" s="47"/>
      <c r="DLR35" s="47"/>
      <c r="DLS35" s="47"/>
      <c r="DLT35" s="47"/>
      <c r="DLU35" s="47"/>
      <c r="DLV35" s="47"/>
      <c r="DLW35" s="47"/>
      <c r="DLX35" s="47"/>
      <c r="DLY35" s="47"/>
      <c r="DLZ35" s="47"/>
      <c r="DMA35" s="47"/>
      <c r="DMB35" s="47"/>
      <c r="DMC35" s="47"/>
      <c r="DMD35" s="47"/>
      <c r="DME35" s="47"/>
      <c r="DMF35" s="47"/>
      <c r="DMG35" s="47"/>
      <c r="DMH35" s="47"/>
      <c r="DMI35" s="47"/>
      <c r="DMJ35" s="47"/>
      <c r="DMK35" s="47"/>
      <c r="DML35" s="47"/>
      <c r="DMM35" s="47"/>
      <c r="DMN35" s="47"/>
      <c r="DMO35" s="47"/>
      <c r="DMP35" s="47"/>
      <c r="DMQ35" s="47"/>
      <c r="DMR35" s="47"/>
      <c r="DMS35" s="47"/>
      <c r="DMT35" s="47"/>
      <c r="DMU35" s="47"/>
      <c r="DMV35" s="47"/>
      <c r="DMW35" s="47"/>
      <c r="DMX35" s="47"/>
      <c r="DMY35" s="47"/>
      <c r="DMZ35" s="47"/>
      <c r="DNA35" s="47"/>
      <c r="DNB35" s="47"/>
      <c r="DNC35" s="47"/>
      <c r="DND35" s="47"/>
      <c r="DNE35" s="47"/>
      <c r="DNF35" s="47"/>
      <c r="DNG35" s="47"/>
      <c r="DNH35" s="47"/>
      <c r="DNI35" s="47"/>
      <c r="DNJ35" s="47"/>
      <c r="DNK35" s="47"/>
      <c r="DNL35" s="47"/>
      <c r="DNM35" s="47"/>
      <c r="DNN35" s="47"/>
      <c r="DNO35" s="47"/>
      <c r="DNP35" s="47"/>
      <c r="DNQ35" s="47"/>
      <c r="DNR35" s="47"/>
      <c r="DNS35" s="47"/>
      <c r="DNT35" s="47"/>
      <c r="DNU35" s="47"/>
      <c r="DNV35" s="47"/>
      <c r="DNW35" s="47"/>
      <c r="DNX35" s="47"/>
      <c r="DNY35" s="47"/>
      <c r="DNZ35" s="47"/>
      <c r="DOA35" s="47"/>
      <c r="DOB35" s="47"/>
      <c r="DOC35" s="47"/>
      <c r="DOD35" s="47"/>
      <c r="DOE35" s="47"/>
      <c r="DOF35" s="47"/>
      <c r="DOG35" s="47"/>
      <c r="DOH35" s="47"/>
      <c r="DOI35" s="47"/>
      <c r="DOJ35" s="47"/>
      <c r="DOK35" s="47"/>
      <c r="DOL35" s="47"/>
      <c r="DOM35" s="47"/>
      <c r="DON35" s="47"/>
      <c r="DOO35" s="47"/>
      <c r="DOP35" s="47"/>
      <c r="DOQ35" s="47"/>
      <c r="DOR35" s="47"/>
      <c r="DOS35" s="47"/>
      <c r="DOT35" s="47"/>
      <c r="DOU35" s="47"/>
      <c r="DOV35" s="47"/>
      <c r="DOW35" s="47"/>
      <c r="DOX35" s="47"/>
      <c r="DOY35" s="47"/>
      <c r="DOZ35" s="47"/>
      <c r="DPA35" s="47"/>
      <c r="DPB35" s="47"/>
      <c r="DPC35" s="47"/>
      <c r="DPD35" s="47"/>
      <c r="DPE35" s="47"/>
      <c r="DPF35" s="47"/>
      <c r="DPG35" s="47"/>
      <c r="DPH35" s="47"/>
      <c r="DPI35" s="47"/>
      <c r="DPJ35" s="47"/>
      <c r="DPK35" s="47"/>
      <c r="DPL35" s="47"/>
      <c r="DPM35" s="47"/>
      <c r="DPN35" s="47"/>
      <c r="DPO35" s="47"/>
      <c r="DPP35" s="47"/>
      <c r="DPQ35" s="47"/>
      <c r="DPR35" s="47"/>
      <c r="DPS35" s="47"/>
      <c r="DPT35" s="47"/>
      <c r="DPU35" s="47"/>
      <c r="DPV35" s="47"/>
      <c r="DPW35" s="47"/>
      <c r="DPX35" s="47"/>
      <c r="DPY35" s="47"/>
      <c r="DPZ35" s="47"/>
      <c r="DQA35" s="47"/>
      <c r="DQB35" s="47"/>
      <c r="DQC35" s="47"/>
      <c r="DQD35" s="47"/>
      <c r="DQE35" s="47"/>
      <c r="DQF35" s="47"/>
      <c r="DQG35" s="47"/>
      <c r="DQH35" s="47"/>
      <c r="DQI35" s="47"/>
      <c r="DQJ35" s="47"/>
      <c r="DQK35" s="47"/>
      <c r="DQL35" s="47"/>
      <c r="DQM35" s="47"/>
      <c r="DQN35" s="47"/>
      <c r="DQO35" s="47"/>
      <c r="DQP35" s="47"/>
      <c r="DQQ35" s="47"/>
      <c r="DQR35" s="47"/>
      <c r="DQS35" s="47"/>
      <c r="DQT35" s="47"/>
      <c r="DQU35" s="47"/>
      <c r="DQV35" s="47"/>
      <c r="DQW35" s="47"/>
      <c r="DQX35" s="47"/>
      <c r="DQY35" s="47"/>
      <c r="DQZ35" s="47"/>
      <c r="DRA35" s="47"/>
      <c r="DRB35" s="47"/>
      <c r="DRC35" s="47"/>
      <c r="DRD35" s="47"/>
      <c r="DRE35" s="47"/>
      <c r="DRF35" s="47"/>
      <c r="DRG35" s="47"/>
      <c r="DRH35" s="47"/>
      <c r="DRI35" s="47"/>
      <c r="DRJ35" s="47"/>
      <c r="DRK35" s="47"/>
      <c r="DRL35" s="47"/>
      <c r="DRM35" s="47"/>
      <c r="DRN35" s="47"/>
      <c r="DRO35" s="47"/>
      <c r="DRP35" s="47"/>
      <c r="DRQ35" s="47"/>
      <c r="DRR35" s="47"/>
      <c r="DRS35" s="47"/>
      <c r="DRT35" s="47"/>
      <c r="DRU35" s="47"/>
      <c r="DRV35" s="47"/>
      <c r="DRW35" s="47"/>
      <c r="DRX35" s="47"/>
      <c r="DRY35" s="47"/>
      <c r="DRZ35" s="47"/>
      <c r="DSA35" s="47"/>
      <c r="DSB35" s="47"/>
      <c r="DSC35" s="47"/>
      <c r="DSD35" s="47"/>
      <c r="DSE35" s="47"/>
      <c r="DSF35" s="47"/>
      <c r="DSG35" s="47"/>
      <c r="DSH35" s="47"/>
      <c r="DSI35" s="47"/>
      <c r="DSJ35" s="47"/>
      <c r="DSK35" s="47"/>
      <c r="DSL35" s="47"/>
      <c r="DSM35" s="47"/>
      <c r="DSN35" s="47"/>
      <c r="DSO35" s="47"/>
      <c r="DSP35" s="47"/>
      <c r="DSQ35" s="47"/>
      <c r="DSR35" s="47"/>
      <c r="DSS35" s="47"/>
      <c r="DST35" s="47"/>
      <c r="DSU35" s="47"/>
      <c r="DSV35" s="47"/>
      <c r="DSW35" s="47"/>
      <c r="DSX35" s="47"/>
      <c r="DSY35" s="47"/>
      <c r="DSZ35" s="47"/>
      <c r="DTA35" s="47"/>
      <c r="DTB35" s="47"/>
      <c r="DTC35" s="47"/>
      <c r="DTD35" s="47"/>
      <c r="DTE35" s="47"/>
      <c r="DTF35" s="47"/>
      <c r="DTG35" s="47"/>
      <c r="DTH35" s="47"/>
      <c r="DTI35" s="47"/>
      <c r="DTJ35" s="47"/>
      <c r="DTK35" s="47"/>
      <c r="DTL35" s="47"/>
      <c r="DTM35" s="47"/>
      <c r="DTN35" s="47"/>
      <c r="DTO35" s="47"/>
      <c r="DTP35" s="47"/>
      <c r="DTQ35" s="47"/>
      <c r="DTR35" s="47"/>
      <c r="DTS35" s="47"/>
      <c r="DTT35" s="47"/>
      <c r="DTU35" s="47"/>
      <c r="DTV35" s="47"/>
      <c r="DTW35" s="47"/>
      <c r="DTX35" s="47"/>
      <c r="DTY35" s="47"/>
      <c r="DTZ35" s="47"/>
      <c r="DUA35" s="47"/>
      <c r="DUB35" s="47"/>
      <c r="DUC35" s="47"/>
      <c r="DUD35" s="47"/>
      <c r="DUE35" s="47"/>
      <c r="DUF35" s="47"/>
      <c r="DUG35" s="47"/>
      <c r="DUH35" s="47"/>
      <c r="DUI35" s="47"/>
      <c r="DUJ35" s="47"/>
      <c r="DUK35" s="47"/>
      <c r="DUL35" s="47"/>
      <c r="DUM35" s="47"/>
      <c r="DUN35" s="47"/>
      <c r="DUO35" s="47"/>
      <c r="DUP35" s="47"/>
      <c r="DUQ35" s="47"/>
      <c r="DUR35" s="47"/>
      <c r="DUS35" s="47"/>
      <c r="DUT35" s="47"/>
      <c r="DUU35" s="47"/>
      <c r="DUV35" s="47"/>
      <c r="DUW35" s="47"/>
      <c r="DUX35" s="47"/>
      <c r="DUY35" s="47"/>
      <c r="DUZ35" s="47"/>
      <c r="DVA35" s="47"/>
      <c r="DVB35" s="47"/>
      <c r="DVC35" s="47"/>
      <c r="DVD35" s="47"/>
      <c r="DVE35" s="47"/>
      <c r="DVF35" s="47"/>
      <c r="DVG35" s="47"/>
      <c r="DVH35" s="47"/>
      <c r="DVI35" s="47"/>
      <c r="DVJ35" s="47"/>
      <c r="DVK35" s="47"/>
      <c r="DVL35" s="47"/>
      <c r="DVM35" s="47"/>
      <c r="DVN35" s="47"/>
      <c r="DVO35" s="47"/>
      <c r="DVP35" s="47"/>
      <c r="DVQ35" s="47"/>
      <c r="DVR35" s="47"/>
      <c r="DVS35" s="47"/>
      <c r="DVT35" s="47"/>
      <c r="DVU35" s="47"/>
      <c r="DVV35" s="47"/>
      <c r="DVW35" s="47"/>
      <c r="DVX35" s="47"/>
      <c r="DVY35" s="47"/>
      <c r="DVZ35" s="47"/>
      <c r="DWA35" s="47"/>
      <c r="DWB35" s="47"/>
      <c r="DWC35" s="47"/>
      <c r="DWD35" s="47"/>
      <c r="DWE35" s="47"/>
      <c r="DWF35" s="47"/>
      <c r="DWG35" s="47"/>
      <c r="DWH35" s="47"/>
      <c r="DWI35" s="47"/>
      <c r="DWJ35" s="47"/>
      <c r="DWK35" s="47"/>
      <c r="DWL35" s="47"/>
      <c r="DWM35" s="47"/>
      <c r="DWN35" s="47"/>
      <c r="DWO35" s="47"/>
      <c r="DWP35" s="47"/>
      <c r="DWQ35" s="47"/>
      <c r="DWR35" s="47"/>
      <c r="DWS35" s="47"/>
      <c r="DWT35" s="47"/>
      <c r="DWU35" s="47"/>
      <c r="DWV35" s="47"/>
      <c r="DWW35" s="47"/>
      <c r="DWX35" s="47"/>
      <c r="DWY35" s="47"/>
      <c r="DWZ35" s="47"/>
      <c r="DXA35" s="47"/>
      <c r="DXB35" s="47"/>
      <c r="DXC35" s="47"/>
      <c r="DXD35" s="47"/>
      <c r="DXE35" s="47"/>
      <c r="DXF35" s="47"/>
      <c r="DXG35" s="47"/>
      <c r="DXH35" s="47"/>
      <c r="DXI35" s="47"/>
      <c r="DXJ35" s="47"/>
      <c r="DXK35" s="47"/>
      <c r="DXL35" s="47"/>
      <c r="DXM35" s="47"/>
      <c r="DXN35" s="47"/>
      <c r="DXO35" s="47"/>
      <c r="DXP35" s="47"/>
      <c r="DXQ35" s="47"/>
      <c r="DXR35" s="47"/>
      <c r="DXS35" s="47"/>
      <c r="DXT35" s="47"/>
      <c r="DXU35" s="47"/>
      <c r="DXV35" s="47"/>
      <c r="DXW35" s="47"/>
      <c r="DXX35" s="47"/>
      <c r="DXY35" s="47"/>
      <c r="DXZ35" s="47"/>
      <c r="DYA35" s="47"/>
      <c r="DYB35" s="47"/>
      <c r="DYC35" s="47"/>
      <c r="DYD35" s="47"/>
      <c r="DYE35" s="47"/>
      <c r="DYF35" s="47"/>
      <c r="DYG35" s="47"/>
      <c r="DYH35" s="47"/>
      <c r="DYI35" s="47"/>
      <c r="DYJ35" s="47"/>
      <c r="DYK35" s="47"/>
      <c r="DYL35" s="47"/>
      <c r="DYM35" s="47"/>
      <c r="DYN35" s="47"/>
      <c r="DYO35" s="47"/>
      <c r="DYP35" s="47"/>
      <c r="DYQ35" s="47"/>
      <c r="DYR35" s="47"/>
      <c r="DYS35" s="47"/>
      <c r="DYT35" s="47"/>
      <c r="DYU35" s="47"/>
      <c r="DYV35" s="47"/>
      <c r="DYW35" s="47"/>
      <c r="DYX35" s="47"/>
      <c r="DYY35" s="47"/>
      <c r="DYZ35" s="47"/>
      <c r="DZA35" s="47"/>
      <c r="DZB35" s="47"/>
      <c r="DZC35" s="47"/>
      <c r="DZD35" s="47"/>
      <c r="DZE35" s="47"/>
      <c r="DZF35" s="47"/>
      <c r="DZG35" s="47"/>
      <c r="DZH35" s="47"/>
      <c r="DZI35" s="47"/>
      <c r="DZJ35" s="47"/>
      <c r="DZK35" s="47"/>
      <c r="DZL35" s="47"/>
      <c r="DZM35" s="47"/>
      <c r="DZN35" s="47"/>
      <c r="DZO35" s="47"/>
      <c r="DZP35" s="47"/>
      <c r="DZQ35" s="47"/>
      <c r="DZR35" s="47"/>
      <c r="DZS35" s="47"/>
      <c r="DZT35" s="47"/>
      <c r="DZU35" s="47"/>
      <c r="DZV35" s="47"/>
      <c r="DZW35" s="47"/>
      <c r="DZX35" s="47"/>
      <c r="DZY35" s="47"/>
      <c r="DZZ35" s="47"/>
      <c r="EAA35" s="47"/>
      <c r="EAB35" s="47"/>
      <c r="EAC35" s="47"/>
      <c r="EAD35" s="47"/>
      <c r="EAE35" s="47"/>
      <c r="EAF35" s="47"/>
      <c r="EAG35" s="47"/>
      <c r="EAH35" s="47"/>
      <c r="EAI35" s="47"/>
      <c r="EAJ35" s="47"/>
      <c r="EAK35" s="47"/>
      <c r="EAL35" s="47"/>
      <c r="EAM35" s="47"/>
      <c r="EAN35" s="47"/>
      <c r="EAO35" s="47"/>
      <c r="EAP35" s="47"/>
      <c r="EAQ35" s="47"/>
      <c r="EAR35" s="47"/>
      <c r="EAS35" s="47"/>
      <c r="EAT35" s="47"/>
      <c r="EAU35" s="47"/>
      <c r="EAV35" s="47"/>
      <c r="EAW35" s="47"/>
      <c r="EAX35" s="47"/>
      <c r="EAY35" s="47"/>
      <c r="EAZ35" s="47"/>
      <c r="EBA35" s="47"/>
      <c r="EBB35" s="47"/>
      <c r="EBC35" s="47"/>
      <c r="EBD35" s="47"/>
      <c r="EBE35" s="47"/>
      <c r="EBF35" s="47"/>
      <c r="EBG35" s="47"/>
      <c r="EBH35" s="47"/>
      <c r="EBI35" s="47"/>
      <c r="EBJ35" s="47"/>
      <c r="EBK35" s="47"/>
      <c r="EBL35" s="47"/>
      <c r="EBM35" s="47"/>
      <c r="EBN35" s="47"/>
      <c r="EBO35" s="47"/>
      <c r="EBP35" s="47"/>
      <c r="EBQ35" s="47"/>
      <c r="EBR35" s="47"/>
      <c r="EBS35" s="47"/>
      <c r="EBT35" s="47"/>
      <c r="EBU35" s="47"/>
      <c r="EBV35" s="47"/>
      <c r="EBW35" s="47"/>
      <c r="EBX35" s="47"/>
      <c r="EBY35" s="47"/>
      <c r="EBZ35" s="47"/>
      <c r="ECA35" s="47"/>
      <c r="ECB35" s="47"/>
      <c r="ECC35" s="47"/>
      <c r="ECD35" s="47"/>
      <c r="ECE35" s="47"/>
      <c r="ECF35" s="47"/>
      <c r="ECG35" s="47"/>
      <c r="ECH35" s="47"/>
      <c r="ECI35" s="47"/>
      <c r="ECJ35" s="47"/>
      <c r="ECK35" s="47"/>
      <c r="ECL35" s="47"/>
      <c r="ECM35" s="47"/>
      <c r="ECN35" s="47"/>
      <c r="ECO35" s="47"/>
      <c r="ECP35" s="47"/>
      <c r="ECQ35" s="47"/>
      <c r="ECR35" s="47"/>
      <c r="ECS35" s="47"/>
      <c r="ECT35" s="47"/>
      <c r="ECU35" s="47"/>
      <c r="ECV35" s="47"/>
      <c r="ECW35" s="47"/>
      <c r="ECX35" s="47"/>
      <c r="ECY35" s="47"/>
      <c r="ECZ35" s="47"/>
      <c r="EDA35" s="47"/>
      <c r="EDB35" s="47"/>
      <c r="EDC35" s="47"/>
      <c r="EDD35" s="47"/>
      <c r="EDE35" s="47"/>
      <c r="EDF35" s="47"/>
      <c r="EDG35" s="47"/>
      <c r="EDH35" s="47"/>
      <c r="EDI35" s="47"/>
      <c r="EDJ35" s="47"/>
      <c r="EDK35" s="47"/>
      <c r="EDL35" s="47"/>
      <c r="EDM35" s="47"/>
      <c r="EDN35" s="47"/>
      <c r="EDO35" s="47"/>
      <c r="EDP35" s="47"/>
      <c r="EDQ35" s="47"/>
      <c r="EDR35" s="47"/>
      <c r="EDS35" s="47"/>
      <c r="EDT35" s="47"/>
      <c r="EDU35" s="47"/>
      <c r="EDV35" s="47"/>
      <c r="EDW35" s="47"/>
      <c r="EDX35" s="47"/>
      <c r="EDY35" s="47"/>
      <c r="EDZ35" s="47"/>
      <c r="EEA35" s="47"/>
      <c r="EEB35" s="47"/>
      <c r="EEC35" s="47"/>
      <c r="EED35" s="47"/>
      <c r="EEE35" s="47"/>
      <c r="EEF35" s="47"/>
      <c r="EEG35" s="47"/>
      <c r="EEH35" s="47"/>
      <c r="EEI35" s="47"/>
      <c r="EEJ35" s="47"/>
      <c r="EEK35" s="47"/>
      <c r="EEL35" s="47"/>
      <c r="EEM35" s="47"/>
      <c r="EEN35" s="47"/>
      <c r="EEO35" s="47"/>
      <c r="EEP35" s="47"/>
      <c r="EEQ35" s="47"/>
      <c r="EER35" s="47"/>
      <c r="EES35" s="47"/>
      <c r="EET35" s="47"/>
      <c r="EEU35" s="47"/>
      <c r="EEV35" s="47"/>
      <c r="EEW35" s="47"/>
      <c r="EEX35" s="47"/>
      <c r="EEY35" s="47"/>
      <c r="EEZ35" s="47"/>
      <c r="EFA35" s="47"/>
      <c r="EFB35" s="47"/>
      <c r="EFC35" s="47"/>
      <c r="EFD35" s="47"/>
      <c r="EFE35" s="47"/>
      <c r="EFF35" s="47"/>
      <c r="EFG35" s="47"/>
      <c r="EFH35" s="47"/>
      <c r="EFI35" s="47"/>
      <c r="EFJ35" s="47"/>
      <c r="EFK35" s="47"/>
      <c r="EFL35" s="47"/>
      <c r="EFM35" s="47"/>
      <c r="EFN35" s="47"/>
      <c r="EFO35" s="47"/>
      <c r="EFP35" s="47"/>
      <c r="EFQ35" s="47"/>
      <c r="EFR35" s="47"/>
      <c r="EFS35" s="47"/>
      <c r="EFT35" s="47"/>
      <c r="EFU35" s="47"/>
      <c r="EFV35" s="47"/>
      <c r="EFW35" s="47"/>
      <c r="EFX35" s="47"/>
      <c r="EFY35" s="47"/>
      <c r="EFZ35" s="47"/>
      <c r="EGA35" s="47"/>
      <c r="EGB35" s="47"/>
      <c r="EGC35" s="47"/>
      <c r="EGD35" s="47"/>
      <c r="EGE35" s="47"/>
      <c r="EGF35" s="47"/>
      <c r="EGG35" s="47"/>
      <c r="EGH35" s="47"/>
      <c r="EGI35" s="47"/>
      <c r="EGJ35" s="47"/>
      <c r="EGK35" s="47"/>
      <c r="EGL35" s="47"/>
      <c r="EGM35" s="47"/>
      <c r="EGN35" s="47"/>
      <c r="EGO35" s="47"/>
      <c r="EGP35" s="47"/>
      <c r="EGQ35" s="47"/>
      <c r="EGR35" s="47"/>
      <c r="EGS35" s="47"/>
      <c r="EGT35" s="47"/>
      <c r="EGU35" s="47"/>
      <c r="EGV35" s="47"/>
      <c r="EGW35" s="47"/>
      <c r="EGX35" s="47"/>
      <c r="EGY35" s="47"/>
      <c r="EGZ35" s="47"/>
      <c r="EHA35" s="47"/>
      <c r="EHB35" s="47"/>
      <c r="EHC35" s="47"/>
      <c r="EHD35" s="47"/>
      <c r="EHE35" s="47"/>
      <c r="EHF35" s="47"/>
      <c r="EHG35" s="47"/>
      <c r="EHH35" s="47"/>
      <c r="EHI35" s="47"/>
      <c r="EHJ35" s="47"/>
      <c r="EHK35" s="47"/>
      <c r="EHL35" s="47"/>
      <c r="EHM35" s="47"/>
      <c r="EHN35" s="47"/>
      <c r="EHO35" s="47"/>
      <c r="EHP35" s="47"/>
      <c r="EHQ35" s="47"/>
      <c r="EHR35" s="47"/>
      <c r="EHS35" s="47"/>
      <c r="EHT35" s="47"/>
      <c r="EHU35" s="47"/>
      <c r="EHV35" s="47"/>
      <c r="EHW35" s="47"/>
      <c r="EHX35" s="47"/>
      <c r="EHY35" s="47"/>
      <c r="EHZ35" s="47"/>
      <c r="EIA35" s="47"/>
      <c r="EIB35" s="47"/>
      <c r="EIC35" s="47"/>
      <c r="EID35" s="47"/>
      <c r="EIE35" s="47"/>
      <c r="EIF35" s="47"/>
      <c r="EIG35" s="47"/>
      <c r="EIH35" s="47"/>
      <c r="EII35" s="47"/>
      <c r="EIJ35" s="47"/>
      <c r="EIK35" s="47"/>
      <c r="EIL35" s="47"/>
      <c r="EIM35" s="47"/>
      <c r="EIN35" s="47"/>
      <c r="EIO35" s="47"/>
      <c r="EIP35" s="47"/>
      <c r="EIQ35" s="47"/>
      <c r="EIR35" s="47"/>
      <c r="EIS35" s="47"/>
      <c r="EIT35" s="47"/>
      <c r="EIU35" s="47"/>
      <c r="EIV35" s="47"/>
      <c r="EIW35" s="47"/>
      <c r="EIX35" s="47"/>
      <c r="EIY35" s="47"/>
      <c r="EIZ35" s="47"/>
      <c r="EJA35" s="47"/>
      <c r="EJB35" s="47"/>
      <c r="EJC35" s="47"/>
      <c r="EJD35" s="47"/>
      <c r="EJE35" s="47"/>
      <c r="EJF35" s="47"/>
      <c r="EJG35" s="47"/>
      <c r="EJH35" s="47"/>
      <c r="EJI35" s="47"/>
      <c r="EJJ35" s="47"/>
      <c r="EJK35" s="47"/>
      <c r="EJL35" s="47"/>
      <c r="EJM35" s="47"/>
      <c r="EJN35" s="47"/>
      <c r="EJO35" s="47"/>
      <c r="EJP35" s="47"/>
      <c r="EJQ35" s="47"/>
      <c r="EJR35" s="47"/>
      <c r="EJS35" s="47"/>
      <c r="EJT35" s="47"/>
      <c r="EJU35" s="47"/>
      <c r="EJV35" s="47"/>
      <c r="EJW35" s="47"/>
      <c r="EJX35" s="47"/>
      <c r="EJY35" s="47"/>
      <c r="EJZ35" s="47"/>
      <c r="EKA35" s="47"/>
      <c r="EKB35" s="47"/>
      <c r="EKC35" s="47"/>
      <c r="EKD35" s="47"/>
      <c r="EKE35" s="47"/>
      <c r="EKF35" s="47"/>
      <c r="EKG35" s="47"/>
      <c r="EKH35" s="47"/>
      <c r="EKI35" s="47"/>
      <c r="EKJ35" s="47"/>
      <c r="EKK35" s="47"/>
      <c r="EKL35" s="47"/>
      <c r="EKM35" s="47"/>
      <c r="EKN35" s="47"/>
      <c r="EKO35" s="47"/>
      <c r="EKP35" s="47"/>
      <c r="EKQ35" s="47"/>
      <c r="EKR35" s="47"/>
      <c r="EKS35" s="47"/>
      <c r="EKT35" s="47"/>
      <c r="EKU35" s="47"/>
      <c r="EKV35" s="47"/>
      <c r="EKW35" s="47"/>
      <c r="EKX35" s="47"/>
      <c r="EKY35" s="47"/>
      <c r="EKZ35" s="47"/>
      <c r="ELA35" s="47"/>
      <c r="ELB35" s="47"/>
      <c r="ELC35" s="47"/>
      <c r="ELD35" s="47"/>
      <c r="ELE35" s="47"/>
      <c r="ELF35" s="47"/>
      <c r="ELG35" s="47"/>
      <c r="ELH35" s="47"/>
      <c r="ELI35" s="47"/>
      <c r="ELJ35" s="47"/>
      <c r="ELK35" s="47"/>
      <c r="ELL35" s="47"/>
      <c r="ELM35" s="47"/>
      <c r="ELN35" s="47"/>
      <c r="ELO35" s="47"/>
      <c r="ELP35" s="47"/>
      <c r="ELQ35" s="47"/>
      <c r="ELR35" s="47"/>
      <c r="ELS35" s="47"/>
      <c r="ELT35" s="47"/>
      <c r="ELU35" s="47"/>
      <c r="ELV35" s="47"/>
      <c r="ELW35" s="47"/>
      <c r="ELX35" s="47"/>
      <c r="ELY35" s="47"/>
      <c r="ELZ35" s="47"/>
      <c r="EMA35" s="47"/>
      <c r="EMB35" s="47"/>
      <c r="EMC35" s="47"/>
      <c r="EMD35" s="47"/>
      <c r="EME35" s="47"/>
      <c r="EMF35" s="47"/>
      <c r="EMG35" s="47"/>
      <c r="EMH35" s="47"/>
      <c r="EMI35" s="47"/>
      <c r="EMJ35" s="47"/>
      <c r="EMK35" s="47"/>
      <c r="EML35" s="47"/>
      <c r="EMM35" s="47"/>
      <c r="EMN35" s="47"/>
      <c r="EMO35" s="47"/>
      <c r="EMP35" s="47"/>
      <c r="EMQ35" s="47"/>
      <c r="EMR35" s="47"/>
      <c r="EMS35" s="47"/>
      <c r="EMT35" s="47"/>
      <c r="EMU35" s="47"/>
      <c r="EMV35" s="47"/>
      <c r="EMW35" s="47"/>
      <c r="EMX35" s="47"/>
      <c r="EMY35" s="47"/>
      <c r="EMZ35" s="47"/>
      <c r="ENA35" s="47"/>
      <c r="ENB35" s="47"/>
      <c r="ENC35" s="47"/>
      <c r="END35" s="47"/>
      <c r="ENE35" s="47"/>
      <c r="ENF35" s="47"/>
      <c r="ENG35" s="47"/>
      <c r="ENH35" s="47"/>
      <c r="ENI35" s="47"/>
      <c r="ENJ35" s="47"/>
      <c r="ENK35" s="47"/>
      <c r="ENL35" s="47"/>
      <c r="ENM35" s="47"/>
      <c r="ENN35" s="47"/>
      <c r="ENO35" s="47"/>
      <c r="ENP35" s="47"/>
      <c r="ENQ35" s="47"/>
      <c r="ENR35" s="47"/>
      <c r="ENS35" s="47"/>
      <c r="ENT35" s="47"/>
      <c r="ENU35" s="47"/>
      <c r="ENV35" s="47"/>
      <c r="ENW35" s="47"/>
      <c r="ENX35" s="47"/>
      <c r="ENY35" s="47"/>
      <c r="ENZ35" s="47"/>
      <c r="EOA35" s="47"/>
      <c r="EOB35" s="47"/>
      <c r="EOC35" s="47"/>
      <c r="EOD35" s="47"/>
      <c r="EOE35" s="47"/>
      <c r="EOF35" s="47"/>
      <c r="EOG35" s="47"/>
      <c r="EOH35" s="47"/>
      <c r="EOI35" s="47"/>
      <c r="EOJ35" s="47"/>
      <c r="EOK35" s="47"/>
      <c r="EOL35" s="47"/>
      <c r="EOM35" s="47"/>
      <c r="EON35" s="47"/>
      <c r="EOO35" s="47"/>
      <c r="EOP35" s="47"/>
      <c r="EOQ35" s="47"/>
      <c r="EOR35" s="47"/>
      <c r="EOS35" s="47"/>
      <c r="EOT35" s="47"/>
      <c r="EOU35" s="47"/>
      <c r="EOV35" s="47"/>
      <c r="EOW35" s="47"/>
      <c r="EOX35" s="47"/>
      <c r="EOY35" s="47"/>
      <c r="EOZ35" s="47"/>
      <c r="EPA35" s="47"/>
      <c r="EPB35" s="47"/>
      <c r="EPC35" s="47"/>
      <c r="EPD35" s="47"/>
      <c r="EPE35" s="47"/>
      <c r="EPF35" s="47"/>
      <c r="EPG35" s="47"/>
      <c r="EPH35" s="47"/>
      <c r="EPI35" s="47"/>
      <c r="EPJ35" s="47"/>
      <c r="EPK35" s="47"/>
      <c r="EPL35" s="47"/>
      <c r="EPM35" s="47"/>
      <c r="EPN35" s="47"/>
      <c r="EPO35" s="47"/>
      <c r="EPP35" s="47"/>
      <c r="EPQ35" s="47"/>
      <c r="EPR35" s="47"/>
      <c r="EPS35" s="47"/>
      <c r="EPT35" s="47"/>
      <c r="EPU35" s="47"/>
      <c r="EPV35" s="47"/>
      <c r="EPW35" s="47"/>
      <c r="EPX35" s="47"/>
      <c r="EPY35" s="47"/>
      <c r="EPZ35" s="47"/>
      <c r="EQA35" s="47"/>
      <c r="EQB35" s="47"/>
      <c r="EQC35" s="47"/>
      <c r="EQD35" s="47"/>
      <c r="EQE35" s="47"/>
      <c r="EQF35" s="47"/>
      <c r="EQG35" s="47"/>
      <c r="EQH35" s="47"/>
      <c r="EQI35" s="47"/>
      <c r="EQJ35" s="47"/>
      <c r="EQK35" s="47"/>
      <c r="EQL35" s="47"/>
      <c r="EQM35" s="47"/>
      <c r="EQN35" s="47"/>
      <c r="EQO35" s="47"/>
      <c r="EQP35" s="47"/>
      <c r="EQQ35" s="47"/>
      <c r="EQR35" s="47"/>
      <c r="EQS35" s="47"/>
      <c r="EQT35" s="47"/>
      <c r="EQU35" s="47"/>
      <c r="EQV35" s="47"/>
      <c r="EQW35" s="47"/>
      <c r="EQX35" s="47"/>
      <c r="EQY35" s="47"/>
      <c r="EQZ35" s="47"/>
      <c r="ERA35" s="47"/>
      <c r="ERB35" s="47"/>
      <c r="ERC35" s="47"/>
      <c r="ERD35" s="47"/>
      <c r="ERE35" s="47"/>
      <c r="ERF35" s="47"/>
      <c r="ERG35" s="47"/>
      <c r="ERH35" s="47"/>
      <c r="ERI35" s="47"/>
      <c r="ERJ35" s="47"/>
      <c r="ERK35" s="47"/>
      <c r="ERL35" s="47"/>
      <c r="ERM35" s="47"/>
      <c r="ERN35" s="47"/>
      <c r="ERO35" s="47"/>
      <c r="ERP35" s="47"/>
      <c r="ERQ35" s="47"/>
      <c r="ERR35" s="47"/>
      <c r="ERS35" s="47"/>
      <c r="ERT35" s="47"/>
      <c r="ERU35" s="47"/>
      <c r="ERV35" s="47"/>
      <c r="ERW35" s="47"/>
      <c r="ERX35" s="47"/>
      <c r="ERY35" s="47"/>
      <c r="ERZ35" s="47"/>
      <c r="ESA35" s="47"/>
      <c r="ESB35" s="47"/>
      <c r="ESC35" s="47"/>
      <c r="ESD35" s="47"/>
      <c r="ESE35" s="47"/>
      <c r="ESF35" s="47"/>
      <c r="ESG35" s="47"/>
      <c r="ESH35" s="47"/>
      <c r="ESI35" s="47"/>
      <c r="ESJ35" s="47"/>
      <c r="ESK35" s="47"/>
      <c r="ESL35" s="47"/>
      <c r="ESM35" s="47"/>
      <c r="ESN35" s="47"/>
      <c r="ESO35" s="47"/>
      <c r="ESP35" s="47"/>
      <c r="ESQ35" s="47"/>
      <c r="ESR35" s="47"/>
      <c r="ESS35" s="47"/>
      <c r="EST35" s="47"/>
      <c r="ESU35" s="47"/>
      <c r="ESV35" s="47"/>
      <c r="ESW35" s="47"/>
      <c r="ESX35" s="47"/>
      <c r="ESY35" s="47"/>
      <c r="ESZ35" s="47"/>
      <c r="ETA35" s="47"/>
      <c r="ETB35" s="47"/>
      <c r="ETC35" s="47"/>
      <c r="ETD35" s="47"/>
      <c r="ETE35" s="47"/>
      <c r="ETF35" s="47"/>
      <c r="ETG35" s="47"/>
      <c r="ETH35" s="47"/>
      <c r="ETI35" s="47"/>
      <c r="ETJ35" s="47"/>
      <c r="ETK35" s="47"/>
      <c r="ETL35" s="47"/>
      <c r="ETM35" s="47"/>
      <c r="ETN35" s="47"/>
      <c r="ETO35" s="47"/>
      <c r="ETP35" s="47"/>
      <c r="ETQ35" s="47"/>
      <c r="ETR35" s="47"/>
      <c r="ETS35" s="47"/>
      <c r="ETT35" s="47"/>
      <c r="ETU35" s="47"/>
      <c r="ETV35" s="47"/>
      <c r="ETW35" s="47"/>
      <c r="ETX35" s="47"/>
      <c r="ETY35" s="47"/>
      <c r="ETZ35" s="47"/>
      <c r="EUA35" s="47"/>
      <c r="EUB35" s="47"/>
      <c r="EUC35" s="47"/>
      <c r="EUD35" s="47"/>
      <c r="EUE35" s="47"/>
      <c r="EUF35" s="47"/>
      <c r="EUG35" s="47"/>
      <c r="EUH35" s="47"/>
      <c r="EUI35" s="47"/>
      <c r="EUJ35" s="47"/>
      <c r="EUK35" s="47"/>
      <c r="EUL35" s="47"/>
      <c r="EUM35" s="47"/>
      <c r="EUN35" s="47"/>
      <c r="EUO35" s="47"/>
      <c r="EUP35" s="47"/>
      <c r="EUQ35" s="47"/>
      <c r="EUR35" s="47"/>
      <c r="EUS35" s="47"/>
      <c r="EUT35" s="47"/>
      <c r="EUU35" s="47"/>
      <c r="EUV35" s="47"/>
      <c r="EUW35" s="47"/>
      <c r="EUX35" s="47"/>
      <c r="EUY35" s="47"/>
      <c r="EUZ35" s="47"/>
      <c r="EVA35" s="47"/>
      <c r="EVB35" s="47"/>
      <c r="EVC35" s="47"/>
      <c r="EVD35" s="47"/>
      <c r="EVE35" s="47"/>
      <c r="EVF35" s="47"/>
      <c r="EVG35" s="47"/>
      <c r="EVH35" s="47"/>
      <c r="EVI35" s="47"/>
      <c r="EVJ35" s="47"/>
      <c r="EVK35" s="47"/>
      <c r="EVL35" s="47"/>
      <c r="EVM35" s="47"/>
      <c r="EVN35" s="47"/>
      <c r="EVO35" s="47"/>
      <c r="EVP35" s="47"/>
      <c r="EVQ35" s="47"/>
      <c r="EVR35" s="47"/>
      <c r="EVS35" s="47"/>
      <c r="EVT35" s="47"/>
      <c r="EVU35" s="47"/>
      <c r="EVV35" s="47"/>
      <c r="EVW35" s="47"/>
      <c r="EVX35" s="47"/>
      <c r="EVY35" s="47"/>
      <c r="EVZ35" s="47"/>
      <c r="EWA35" s="47"/>
      <c r="EWB35" s="47"/>
      <c r="EWC35" s="47"/>
      <c r="EWD35" s="47"/>
      <c r="EWE35" s="47"/>
      <c r="EWF35" s="47"/>
      <c r="EWG35" s="47"/>
      <c r="EWH35" s="47"/>
      <c r="EWI35" s="47"/>
      <c r="EWJ35" s="47"/>
      <c r="EWK35" s="47"/>
      <c r="EWL35" s="47"/>
      <c r="EWM35" s="47"/>
      <c r="EWN35" s="47"/>
      <c r="EWO35" s="47"/>
      <c r="EWP35" s="47"/>
      <c r="EWQ35" s="47"/>
      <c r="EWR35" s="47"/>
      <c r="EWS35" s="47"/>
      <c r="EWT35" s="47"/>
      <c r="EWU35" s="47"/>
      <c r="EWV35" s="47"/>
      <c r="EWW35" s="47"/>
      <c r="EWX35" s="47"/>
      <c r="EWY35" s="47"/>
      <c r="EWZ35" s="47"/>
      <c r="EXA35" s="47"/>
      <c r="EXB35" s="47"/>
      <c r="EXC35" s="47"/>
      <c r="EXD35" s="47"/>
      <c r="EXE35" s="47"/>
      <c r="EXF35" s="47"/>
      <c r="EXG35" s="47"/>
      <c r="EXH35" s="47"/>
      <c r="EXI35" s="47"/>
      <c r="EXJ35" s="47"/>
      <c r="EXK35" s="47"/>
      <c r="EXL35" s="47"/>
      <c r="EXM35" s="47"/>
      <c r="EXN35" s="47"/>
      <c r="EXO35" s="47"/>
      <c r="EXP35" s="47"/>
      <c r="EXQ35" s="47"/>
      <c r="EXR35" s="47"/>
      <c r="EXS35" s="47"/>
      <c r="EXT35" s="47"/>
      <c r="EXU35" s="47"/>
      <c r="EXV35" s="47"/>
      <c r="EXW35" s="47"/>
      <c r="EXX35" s="47"/>
      <c r="EXY35" s="47"/>
      <c r="EXZ35" s="47"/>
      <c r="EYA35" s="47"/>
      <c r="EYB35" s="47"/>
      <c r="EYC35" s="47"/>
      <c r="EYD35" s="47"/>
      <c r="EYE35" s="47"/>
      <c r="EYF35" s="47"/>
      <c r="EYG35" s="47"/>
      <c r="EYH35" s="47"/>
      <c r="EYI35" s="47"/>
      <c r="EYJ35" s="47"/>
      <c r="EYK35" s="47"/>
      <c r="EYL35" s="47"/>
      <c r="EYM35" s="47"/>
      <c r="EYN35" s="47"/>
      <c r="EYO35" s="47"/>
      <c r="EYP35" s="47"/>
      <c r="EYQ35" s="47"/>
      <c r="EYR35" s="47"/>
      <c r="EYS35" s="47"/>
      <c r="EYT35" s="47"/>
      <c r="EYU35" s="47"/>
      <c r="EYV35" s="47"/>
      <c r="EYW35" s="47"/>
      <c r="EYX35" s="47"/>
      <c r="EYY35" s="47"/>
      <c r="EYZ35" s="47"/>
      <c r="EZA35" s="47"/>
      <c r="EZB35" s="47"/>
      <c r="EZC35" s="47"/>
      <c r="EZD35" s="47"/>
      <c r="EZE35" s="47"/>
      <c r="EZF35" s="47"/>
      <c r="EZG35" s="47"/>
      <c r="EZH35" s="47"/>
      <c r="EZI35" s="47"/>
      <c r="EZJ35" s="47"/>
      <c r="EZK35" s="47"/>
      <c r="EZL35" s="47"/>
      <c r="EZM35" s="47"/>
      <c r="EZN35" s="47"/>
      <c r="EZO35" s="47"/>
      <c r="EZP35" s="47"/>
      <c r="EZQ35" s="47"/>
      <c r="EZR35" s="47"/>
      <c r="EZS35" s="47"/>
      <c r="EZT35" s="47"/>
      <c r="EZU35" s="47"/>
      <c r="EZV35" s="47"/>
      <c r="EZW35" s="47"/>
      <c r="EZX35" s="47"/>
      <c r="EZY35" s="47"/>
      <c r="EZZ35" s="47"/>
      <c r="FAA35" s="47"/>
      <c r="FAB35" s="47"/>
      <c r="FAC35" s="47"/>
      <c r="FAD35" s="47"/>
      <c r="FAE35" s="47"/>
      <c r="FAF35" s="47"/>
      <c r="FAG35" s="47"/>
      <c r="FAH35" s="47"/>
      <c r="FAI35" s="47"/>
      <c r="FAJ35" s="47"/>
      <c r="FAK35" s="47"/>
      <c r="FAL35" s="47"/>
      <c r="FAM35" s="47"/>
      <c r="FAN35" s="47"/>
      <c r="FAO35" s="47"/>
      <c r="FAP35" s="47"/>
      <c r="FAQ35" s="47"/>
      <c r="FAR35" s="47"/>
      <c r="FAS35" s="47"/>
      <c r="FAT35" s="47"/>
      <c r="FAU35" s="47"/>
      <c r="FAV35" s="47"/>
      <c r="FAW35" s="47"/>
      <c r="FAX35" s="47"/>
      <c r="FAY35" s="47"/>
      <c r="FAZ35" s="47"/>
      <c r="FBA35" s="47"/>
      <c r="FBB35" s="47"/>
      <c r="FBC35" s="47"/>
      <c r="FBD35" s="47"/>
      <c r="FBE35" s="47"/>
      <c r="FBF35" s="47"/>
      <c r="FBG35" s="47"/>
      <c r="FBH35" s="47"/>
      <c r="FBI35" s="47"/>
      <c r="FBJ35" s="47"/>
      <c r="FBK35" s="47"/>
      <c r="FBL35" s="47"/>
      <c r="FBM35" s="47"/>
      <c r="FBN35" s="47"/>
      <c r="FBO35" s="47"/>
      <c r="FBP35" s="47"/>
      <c r="FBQ35" s="47"/>
      <c r="FBR35" s="47"/>
      <c r="FBS35" s="47"/>
      <c r="FBT35" s="47"/>
      <c r="FBU35" s="47"/>
      <c r="FBV35" s="47"/>
      <c r="FBW35" s="47"/>
      <c r="FBX35" s="47"/>
      <c r="FBY35" s="47"/>
      <c r="FBZ35" s="47"/>
      <c r="FCA35" s="47"/>
      <c r="FCB35" s="47"/>
      <c r="FCC35" s="47"/>
      <c r="FCD35" s="47"/>
      <c r="FCE35" s="47"/>
      <c r="FCF35" s="47"/>
      <c r="FCG35" s="47"/>
      <c r="FCH35" s="47"/>
      <c r="FCI35" s="47"/>
      <c r="FCJ35" s="47"/>
      <c r="FCK35" s="47"/>
      <c r="FCL35" s="47"/>
      <c r="FCM35" s="47"/>
      <c r="FCN35" s="47"/>
      <c r="FCO35" s="47"/>
      <c r="FCP35" s="47"/>
      <c r="FCQ35" s="47"/>
      <c r="FCR35" s="47"/>
      <c r="FCS35" s="47"/>
      <c r="FCT35" s="47"/>
      <c r="FCU35" s="47"/>
      <c r="FCV35" s="47"/>
      <c r="FCW35" s="47"/>
      <c r="FCX35" s="47"/>
      <c r="FCY35" s="47"/>
      <c r="FCZ35" s="47"/>
      <c r="FDA35" s="47"/>
      <c r="FDB35" s="47"/>
      <c r="FDC35" s="47"/>
      <c r="FDD35" s="47"/>
      <c r="FDE35" s="47"/>
      <c r="FDF35" s="47"/>
      <c r="FDG35" s="47"/>
      <c r="FDH35" s="47"/>
      <c r="FDI35" s="47"/>
      <c r="FDJ35" s="47"/>
      <c r="FDK35" s="47"/>
      <c r="FDL35" s="47"/>
      <c r="FDM35" s="47"/>
      <c r="FDN35" s="47"/>
      <c r="FDO35" s="47"/>
      <c r="FDP35" s="47"/>
      <c r="FDQ35" s="47"/>
      <c r="FDR35" s="47"/>
      <c r="FDS35" s="47"/>
      <c r="FDT35" s="47"/>
      <c r="FDU35" s="47"/>
      <c r="FDV35" s="47"/>
      <c r="FDW35" s="47"/>
      <c r="FDX35" s="47"/>
      <c r="FDY35" s="47"/>
      <c r="FDZ35" s="47"/>
      <c r="FEA35" s="47"/>
      <c r="FEB35" s="47"/>
      <c r="FEC35" s="47"/>
      <c r="FED35" s="47"/>
      <c r="FEE35" s="47"/>
      <c r="FEF35" s="47"/>
      <c r="FEG35" s="47"/>
      <c r="FEH35" s="47"/>
      <c r="FEI35" s="47"/>
      <c r="FEJ35" s="47"/>
      <c r="FEK35" s="47"/>
      <c r="FEL35" s="47"/>
      <c r="FEM35" s="47"/>
      <c r="FEN35" s="47"/>
      <c r="FEO35" s="47"/>
      <c r="FEP35" s="47"/>
      <c r="FEQ35" s="47"/>
      <c r="FER35" s="47"/>
      <c r="FES35" s="47"/>
      <c r="FET35" s="47"/>
      <c r="FEU35" s="47"/>
      <c r="FEV35" s="47"/>
      <c r="FEW35" s="47"/>
      <c r="FEX35" s="47"/>
      <c r="FEY35" s="47"/>
      <c r="FEZ35" s="47"/>
      <c r="FFA35" s="47"/>
      <c r="FFB35" s="47"/>
      <c r="FFC35" s="47"/>
      <c r="FFD35" s="47"/>
      <c r="FFE35" s="47"/>
      <c r="FFF35" s="47"/>
      <c r="FFG35" s="47"/>
      <c r="FFH35" s="47"/>
      <c r="FFI35" s="47"/>
      <c r="FFJ35" s="47"/>
      <c r="FFK35" s="47"/>
      <c r="FFL35" s="47"/>
      <c r="FFM35" s="47"/>
      <c r="FFN35" s="47"/>
      <c r="FFO35" s="47"/>
      <c r="FFP35" s="47"/>
      <c r="FFQ35" s="47"/>
      <c r="FFR35" s="47"/>
      <c r="FFS35" s="47"/>
      <c r="FFT35" s="47"/>
      <c r="FFU35" s="47"/>
      <c r="FFV35" s="47"/>
      <c r="FFW35" s="47"/>
      <c r="FFX35" s="47"/>
      <c r="FFY35" s="47"/>
      <c r="FFZ35" s="47"/>
      <c r="FGA35" s="47"/>
      <c r="FGB35" s="47"/>
      <c r="FGC35" s="47"/>
      <c r="FGD35" s="47"/>
      <c r="FGE35" s="47"/>
      <c r="FGF35" s="47"/>
      <c r="FGG35" s="47"/>
      <c r="FGH35" s="47"/>
      <c r="FGI35" s="47"/>
      <c r="FGJ35" s="47"/>
      <c r="FGK35" s="47"/>
      <c r="FGL35" s="47"/>
      <c r="FGM35" s="47"/>
      <c r="FGN35" s="47"/>
      <c r="FGO35" s="47"/>
      <c r="FGP35" s="47"/>
      <c r="FGQ35" s="47"/>
      <c r="FGR35" s="47"/>
      <c r="FGS35" s="47"/>
      <c r="FGT35" s="47"/>
      <c r="FGU35" s="47"/>
      <c r="FGV35" s="47"/>
      <c r="FGW35" s="47"/>
      <c r="FGX35" s="47"/>
      <c r="FGY35" s="47"/>
      <c r="FGZ35" s="47"/>
      <c r="FHA35" s="47"/>
      <c r="FHB35" s="47"/>
      <c r="FHC35" s="47"/>
      <c r="FHD35" s="47"/>
      <c r="FHE35" s="47"/>
      <c r="FHF35" s="47"/>
      <c r="FHG35" s="47"/>
      <c r="FHH35" s="47"/>
      <c r="FHI35" s="47"/>
      <c r="FHJ35" s="47"/>
      <c r="FHK35" s="47"/>
      <c r="FHL35" s="47"/>
      <c r="FHM35" s="47"/>
      <c r="FHN35" s="47"/>
      <c r="FHO35" s="47"/>
      <c r="FHP35" s="47"/>
      <c r="FHQ35" s="47"/>
      <c r="FHR35" s="47"/>
      <c r="FHS35" s="47"/>
      <c r="FHT35" s="47"/>
      <c r="FHU35" s="47"/>
      <c r="FHV35" s="47"/>
      <c r="FHW35" s="47"/>
      <c r="FHX35" s="47"/>
      <c r="FHY35" s="47"/>
      <c r="FHZ35" s="47"/>
      <c r="FIA35" s="47"/>
      <c r="FIB35" s="47"/>
      <c r="FIC35" s="47"/>
      <c r="FID35" s="47"/>
      <c r="FIE35" s="47"/>
      <c r="FIF35" s="47"/>
      <c r="FIG35" s="47"/>
      <c r="FIH35" s="47"/>
      <c r="FII35" s="47"/>
      <c r="FIJ35" s="47"/>
      <c r="FIK35" s="47"/>
      <c r="FIL35" s="47"/>
      <c r="FIM35" s="47"/>
      <c r="FIN35" s="47"/>
      <c r="FIO35" s="47"/>
      <c r="FIP35" s="47"/>
      <c r="FIQ35" s="47"/>
      <c r="FIR35" s="47"/>
      <c r="FIS35" s="47"/>
      <c r="FIT35" s="47"/>
      <c r="FIU35" s="47"/>
      <c r="FIV35" s="47"/>
      <c r="FIW35" s="47"/>
      <c r="FIX35" s="47"/>
      <c r="FIY35" s="47"/>
      <c r="FIZ35" s="47"/>
      <c r="FJA35" s="47"/>
      <c r="FJB35" s="47"/>
      <c r="FJC35" s="47"/>
      <c r="FJD35" s="47"/>
      <c r="FJE35" s="47"/>
      <c r="FJF35" s="47"/>
      <c r="FJG35" s="47"/>
      <c r="FJH35" s="47"/>
      <c r="FJI35" s="47"/>
      <c r="FJJ35" s="47"/>
      <c r="FJK35" s="47"/>
      <c r="FJL35" s="47"/>
      <c r="FJM35" s="47"/>
      <c r="FJN35" s="47"/>
      <c r="FJO35" s="47"/>
      <c r="FJP35" s="47"/>
      <c r="FJQ35" s="47"/>
      <c r="FJR35" s="47"/>
      <c r="FJS35" s="47"/>
      <c r="FJT35" s="47"/>
      <c r="FJU35" s="47"/>
      <c r="FJV35" s="47"/>
      <c r="FJW35" s="47"/>
      <c r="FJX35" s="47"/>
      <c r="FJY35" s="47"/>
      <c r="FJZ35" s="47"/>
      <c r="FKA35" s="47"/>
      <c r="FKB35" s="47"/>
      <c r="FKC35" s="47"/>
      <c r="FKD35" s="47"/>
      <c r="FKE35" s="47"/>
      <c r="FKF35" s="47"/>
      <c r="FKG35" s="47"/>
      <c r="FKH35" s="47"/>
      <c r="FKI35" s="47"/>
      <c r="FKJ35" s="47"/>
      <c r="FKK35" s="47"/>
      <c r="FKL35" s="47"/>
      <c r="FKM35" s="47"/>
      <c r="FKN35" s="47"/>
      <c r="FKO35" s="47"/>
      <c r="FKP35" s="47"/>
      <c r="FKQ35" s="47"/>
      <c r="FKR35" s="47"/>
      <c r="FKS35" s="47"/>
      <c r="FKT35" s="47"/>
      <c r="FKU35" s="47"/>
      <c r="FKV35" s="47"/>
      <c r="FKW35" s="47"/>
      <c r="FKX35" s="47"/>
      <c r="FKY35" s="47"/>
      <c r="FKZ35" s="47"/>
      <c r="FLA35" s="47"/>
      <c r="FLB35" s="47"/>
      <c r="FLC35" s="47"/>
      <c r="FLD35" s="47"/>
      <c r="FLE35" s="47"/>
      <c r="FLF35" s="47"/>
      <c r="FLG35" s="47"/>
      <c r="FLH35" s="47"/>
      <c r="FLI35" s="47"/>
      <c r="FLJ35" s="47"/>
      <c r="FLK35" s="47"/>
      <c r="FLL35" s="47"/>
      <c r="FLM35" s="47"/>
      <c r="FLN35" s="47"/>
      <c r="FLO35" s="47"/>
      <c r="FLP35" s="47"/>
      <c r="FLQ35" s="47"/>
      <c r="FLR35" s="47"/>
      <c r="FLS35" s="47"/>
      <c r="FLT35" s="47"/>
      <c r="FLU35" s="47"/>
      <c r="FLV35" s="47"/>
      <c r="FLW35" s="47"/>
      <c r="FLX35" s="47"/>
      <c r="FLY35" s="47"/>
      <c r="FLZ35" s="47"/>
      <c r="FMA35" s="47"/>
      <c r="FMB35" s="47"/>
      <c r="FMC35" s="47"/>
      <c r="FMD35" s="47"/>
      <c r="FME35" s="47"/>
      <c r="FMF35" s="47"/>
      <c r="FMG35" s="47"/>
      <c r="FMH35" s="47"/>
      <c r="FMI35" s="47"/>
      <c r="FMJ35" s="47"/>
      <c r="FMK35" s="47"/>
      <c r="FML35" s="47"/>
      <c r="FMM35" s="47"/>
      <c r="FMN35" s="47"/>
      <c r="FMO35" s="47"/>
      <c r="FMP35" s="47"/>
      <c r="FMQ35" s="47"/>
      <c r="FMR35" s="47"/>
      <c r="FMS35" s="47"/>
      <c r="FMT35" s="47"/>
      <c r="FMU35" s="47"/>
      <c r="FMV35" s="47"/>
      <c r="FMW35" s="47"/>
      <c r="FMX35" s="47"/>
      <c r="FMY35" s="47"/>
      <c r="FMZ35" s="47"/>
      <c r="FNA35" s="47"/>
      <c r="FNB35" s="47"/>
      <c r="FNC35" s="47"/>
      <c r="FND35" s="47"/>
      <c r="FNE35" s="47"/>
      <c r="FNF35" s="47"/>
      <c r="FNG35" s="47"/>
      <c r="FNH35" s="47"/>
      <c r="FNI35" s="47"/>
      <c r="FNJ35" s="47"/>
      <c r="FNK35" s="47"/>
      <c r="FNL35" s="47"/>
      <c r="FNM35" s="47"/>
      <c r="FNN35" s="47"/>
      <c r="FNO35" s="47"/>
      <c r="FNP35" s="47"/>
      <c r="FNQ35" s="47"/>
      <c r="FNR35" s="47"/>
      <c r="FNS35" s="47"/>
      <c r="FNT35" s="47"/>
      <c r="FNU35" s="47"/>
      <c r="FNV35" s="47"/>
      <c r="FNW35" s="47"/>
      <c r="FNX35" s="47"/>
      <c r="FNY35" s="47"/>
      <c r="FNZ35" s="47"/>
      <c r="FOA35" s="47"/>
      <c r="FOB35" s="47"/>
      <c r="FOC35" s="47"/>
      <c r="FOD35" s="47"/>
      <c r="FOE35" s="47"/>
      <c r="FOF35" s="47"/>
      <c r="FOG35" s="47"/>
      <c r="FOH35" s="47"/>
      <c r="FOI35" s="47"/>
      <c r="FOJ35" s="47"/>
      <c r="FOK35" s="47"/>
      <c r="FOL35" s="47"/>
      <c r="FOM35" s="47"/>
      <c r="FON35" s="47"/>
      <c r="FOO35" s="47"/>
      <c r="FOP35" s="47"/>
      <c r="FOQ35" s="47"/>
      <c r="FOR35" s="47"/>
      <c r="FOS35" s="47"/>
      <c r="FOT35" s="47"/>
      <c r="FOU35" s="47"/>
      <c r="FOV35" s="47"/>
      <c r="FOW35" s="47"/>
      <c r="FOX35" s="47"/>
      <c r="FOY35" s="47"/>
      <c r="FOZ35" s="47"/>
      <c r="FPA35" s="47"/>
      <c r="FPB35" s="47"/>
      <c r="FPC35" s="47"/>
      <c r="FPD35" s="47"/>
      <c r="FPE35" s="47"/>
      <c r="FPF35" s="47"/>
      <c r="FPG35" s="47"/>
      <c r="FPH35" s="47"/>
      <c r="FPI35" s="47"/>
      <c r="FPJ35" s="47"/>
      <c r="FPK35" s="47"/>
      <c r="FPL35" s="47"/>
      <c r="FPM35" s="47"/>
      <c r="FPN35" s="47"/>
      <c r="FPO35" s="47"/>
      <c r="FPP35" s="47"/>
      <c r="FPQ35" s="47"/>
      <c r="FPR35" s="47"/>
      <c r="FPS35" s="47"/>
      <c r="FPT35" s="47"/>
      <c r="FPU35" s="47"/>
      <c r="FPV35" s="47"/>
      <c r="FPW35" s="47"/>
      <c r="FPX35" s="47"/>
      <c r="FPY35" s="47"/>
      <c r="FPZ35" s="47"/>
      <c r="FQA35" s="47"/>
      <c r="FQB35" s="47"/>
      <c r="FQC35" s="47"/>
      <c r="FQD35" s="47"/>
      <c r="FQE35" s="47"/>
      <c r="FQF35" s="47"/>
      <c r="FQG35" s="47"/>
      <c r="FQH35" s="47"/>
      <c r="FQI35" s="47"/>
      <c r="FQJ35" s="47"/>
      <c r="FQK35" s="47"/>
      <c r="FQL35" s="47"/>
      <c r="FQM35" s="47"/>
      <c r="FQN35" s="47"/>
      <c r="FQO35" s="47"/>
      <c r="FQP35" s="47"/>
      <c r="FQQ35" s="47"/>
      <c r="FQR35" s="47"/>
      <c r="FQS35" s="47"/>
      <c r="FQT35" s="47"/>
      <c r="FQU35" s="47"/>
      <c r="FQV35" s="47"/>
      <c r="FQW35" s="47"/>
      <c r="FQX35" s="47"/>
      <c r="FQY35" s="47"/>
      <c r="FQZ35" s="47"/>
      <c r="FRA35" s="47"/>
      <c r="FRB35" s="47"/>
      <c r="FRC35" s="47"/>
      <c r="FRD35" s="47"/>
      <c r="FRE35" s="47"/>
      <c r="FRF35" s="47"/>
      <c r="FRG35" s="47"/>
      <c r="FRH35" s="47"/>
      <c r="FRI35" s="47"/>
      <c r="FRJ35" s="47"/>
      <c r="FRK35" s="47"/>
      <c r="FRL35" s="47"/>
      <c r="FRM35" s="47"/>
      <c r="FRN35" s="47"/>
      <c r="FRO35" s="47"/>
      <c r="FRP35" s="47"/>
      <c r="FRQ35" s="47"/>
      <c r="FRR35" s="47"/>
      <c r="FRS35" s="47"/>
      <c r="FRT35" s="47"/>
      <c r="FRU35" s="47"/>
      <c r="FRV35" s="47"/>
      <c r="FRW35" s="47"/>
      <c r="FRX35" s="47"/>
      <c r="FRY35" s="47"/>
      <c r="FRZ35" s="47"/>
      <c r="FSA35" s="47"/>
      <c r="FSB35" s="47"/>
      <c r="FSC35" s="47"/>
      <c r="FSD35" s="47"/>
      <c r="FSE35" s="47"/>
      <c r="FSF35" s="47"/>
      <c r="FSG35" s="47"/>
      <c r="FSH35" s="47"/>
      <c r="FSI35" s="47"/>
      <c r="FSJ35" s="47"/>
      <c r="FSK35" s="47"/>
      <c r="FSL35" s="47"/>
      <c r="FSM35" s="47"/>
      <c r="FSN35" s="47"/>
      <c r="FSO35" s="47"/>
      <c r="FSP35" s="47"/>
      <c r="FSQ35" s="47"/>
      <c r="FSR35" s="47"/>
      <c r="FSS35" s="47"/>
      <c r="FST35" s="47"/>
      <c r="FSU35" s="47"/>
      <c r="FSV35" s="47"/>
      <c r="FSW35" s="47"/>
      <c r="FSX35" s="47"/>
      <c r="FSY35" s="47"/>
      <c r="FSZ35" s="47"/>
      <c r="FTA35" s="47"/>
      <c r="FTB35" s="47"/>
      <c r="FTC35" s="47"/>
      <c r="FTD35" s="47"/>
      <c r="FTE35" s="47"/>
      <c r="FTF35" s="47"/>
      <c r="FTG35" s="47"/>
      <c r="FTH35" s="47"/>
      <c r="FTI35" s="47"/>
      <c r="FTJ35" s="47"/>
      <c r="FTK35" s="47"/>
      <c r="FTL35" s="47"/>
      <c r="FTM35" s="47"/>
      <c r="FTN35" s="47"/>
      <c r="FTO35" s="47"/>
      <c r="FTP35" s="47"/>
      <c r="FTQ35" s="47"/>
      <c r="FTR35" s="47"/>
      <c r="FTS35" s="47"/>
      <c r="FTT35" s="47"/>
      <c r="FTU35" s="47"/>
      <c r="FTV35" s="47"/>
      <c r="FTW35" s="47"/>
      <c r="FTX35" s="47"/>
      <c r="FTY35" s="47"/>
      <c r="FTZ35" s="47"/>
      <c r="FUA35" s="47"/>
      <c r="FUB35" s="47"/>
      <c r="FUC35" s="47"/>
      <c r="FUD35" s="47"/>
      <c r="FUE35" s="47"/>
      <c r="FUF35" s="47"/>
      <c r="FUG35" s="47"/>
      <c r="FUH35" s="47"/>
      <c r="FUI35" s="47"/>
      <c r="FUJ35" s="47"/>
      <c r="FUK35" s="47"/>
      <c r="FUL35" s="47"/>
      <c r="FUM35" s="47"/>
      <c r="FUN35" s="47"/>
      <c r="FUO35" s="47"/>
      <c r="FUP35" s="47"/>
      <c r="FUQ35" s="47"/>
      <c r="FUR35" s="47"/>
      <c r="FUS35" s="47"/>
      <c r="FUT35" s="47"/>
      <c r="FUU35" s="47"/>
      <c r="FUV35" s="47"/>
      <c r="FUW35" s="47"/>
      <c r="FUX35" s="47"/>
      <c r="FUY35" s="47"/>
      <c r="FUZ35" s="47"/>
      <c r="FVA35" s="47"/>
      <c r="FVB35" s="47"/>
      <c r="FVC35" s="47"/>
      <c r="FVD35" s="47"/>
      <c r="FVE35" s="47"/>
      <c r="FVF35" s="47"/>
      <c r="FVG35" s="47"/>
      <c r="FVH35" s="47"/>
      <c r="FVI35" s="47"/>
      <c r="FVJ35" s="47"/>
      <c r="FVK35" s="47"/>
      <c r="FVL35" s="47"/>
      <c r="FVM35" s="47"/>
      <c r="FVN35" s="47"/>
      <c r="FVO35" s="47"/>
      <c r="FVP35" s="47"/>
      <c r="FVQ35" s="47"/>
      <c r="FVR35" s="47"/>
      <c r="FVS35" s="47"/>
      <c r="FVT35" s="47"/>
      <c r="FVU35" s="47"/>
      <c r="FVV35" s="47"/>
      <c r="FVW35" s="47"/>
      <c r="FVX35" s="47"/>
      <c r="FVY35" s="47"/>
      <c r="FVZ35" s="47"/>
      <c r="FWA35" s="47"/>
      <c r="FWB35" s="47"/>
      <c r="FWC35" s="47"/>
      <c r="FWD35" s="47"/>
      <c r="FWE35" s="47"/>
      <c r="FWF35" s="47"/>
      <c r="FWG35" s="47"/>
      <c r="FWH35" s="47"/>
      <c r="FWI35" s="47"/>
      <c r="FWJ35" s="47"/>
      <c r="FWK35" s="47"/>
      <c r="FWL35" s="47"/>
      <c r="FWM35" s="47"/>
      <c r="FWN35" s="47"/>
      <c r="FWO35" s="47"/>
      <c r="FWP35" s="47"/>
      <c r="FWQ35" s="47"/>
      <c r="FWR35" s="47"/>
      <c r="FWS35" s="47"/>
      <c r="FWT35" s="47"/>
      <c r="FWU35" s="47"/>
      <c r="FWV35" s="47"/>
      <c r="FWW35" s="47"/>
      <c r="FWX35" s="47"/>
      <c r="FWY35" s="47"/>
      <c r="FWZ35" s="47"/>
      <c r="FXA35" s="47"/>
      <c r="FXB35" s="47"/>
      <c r="FXC35" s="47"/>
      <c r="FXD35" s="47"/>
      <c r="FXE35" s="47"/>
      <c r="FXF35" s="47"/>
      <c r="FXG35" s="47"/>
      <c r="FXH35" s="47"/>
      <c r="FXI35" s="47"/>
      <c r="FXJ35" s="47"/>
      <c r="FXK35" s="47"/>
      <c r="FXL35" s="47"/>
      <c r="FXM35" s="47"/>
      <c r="FXN35" s="47"/>
      <c r="FXO35" s="47"/>
      <c r="FXP35" s="47"/>
      <c r="FXQ35" s="47"/>
      <c r="FXR35" s="47"/>
      <c r="FXS35" s="47"/>
      <c r="FXT35" s="47"/>
      <c r="FXU35" s="47"/>
      <c r="FXV35" s="47"/>
      <c r="FXW35" s="47"/>
      <c r="FXX35" s="47"/>
      <c r="FXY35" s="47"/>
      <c r="FXZ35" s="47"/>
      <c r="FYA35" s="47"/>
      <c r="FYB35" s="47"/>
      <c r="FYC35" s="47"/>
      <c r="FYD35" s="47"/>
      <c r="FYE35" s="47"/>
      <c r="FYF35" s="47"/>
      <c r="FYG35" s="47"/>
      <c r="FYH35" s="47"/>
      <c r="FYI35" s="47"/>
      <c r="FYJ35" s="47"/>
      <c r="FYK35" s="47"/>
      <c r="FYL35" s="47"/>
      <c r="FYM35" s="47"/>
      <c r="FYN35" s="47"/>
      <c r="FYO35" s="47"/>
      <c r="FYP35" s="47"/>
      <c r="FYQ35" s="47"/>
      <c r="FYR35" s="47"/>
      <c r="FYS35" s="47"/>
      <c r="FYT35" s="47"/>
      <c r="FYU35" s="47"/>
      <c r="FYV35" s="47"/>
      <c r="FYW35" s="47"/>
      <c r="FYX35" s="47"/>
      <c r="FYY35" s="47"/>
      <c r="FYZ35" s="47"/>
      <c r="FZA35" s="47"/>
      <c r="FZB35" s="47"/>
      <c r="FZC35" s="47"/>
      <c r="FZD35" s="47"/>
      <c r="FZE35" s="47"/>
      <c r="FZF35" s="47"/>
      <c r="FZG35" s="47"/>
      <c r="FZH35" s="47"/>
      <c r="FZI35" s="47"/>
      <c r="FZJ35" s="47"/>
      <c r="FZK35" s="47"/>
      <c r="FZL35" s="47"/>
      <c r="FZM35" s="47"/>
      <c r="FZN35" s="47"/>
      <c r="FZO35" s="47"/>
      <c r="FZP35" s="47"/>
      <c r="FZQ35" s="47"/>
      <c r="FZR35" s="47"/>
      <c r="FZS35" s="47"/>
      <c r="FZT35" s="47"/>
      <c r="FZU35" s="47"/>
      <c r="FZV35" s="47"/>
      <c r="FZW35" s="47"/>
      <c r="FZX35" s="47"/>
      <c r="FZY35" s="47"/>
      <c r="FZZ35" s="47"/>
      <c r="GAA35" s="47"/>
      <c r="GAB35" s="47"/>
      <c r="GAC35" s="47"/>
      <c r="GAD35" s="47"/>
      <c r="GAE35" s="47"/>
      <c r="GAF35" s="47"/>
      <c r="GAG35" s="47"/>
      <c r="GAH35" s="47"/>
      <c r="GAI35" s="47"/>
      <c r="GAJ35" s="47"/>
      <c r="GAK35" s="47"/>
      <c r="GAL35" s="47"/>
      <c r="GAM35" s="47"/>
      <c r="GAN35" s="47"/>
      <c r="GAO35" s="47"/>
      <c r="GAP35" s="47"/>
      <c r="GAQ35" s="47"/>
      <c r="GAR35" s="47"/>
      <c r="GAS35" s="47"/>
      <c r="GAT35" s="47"/>
      <c r="GAU35" s="47"/>
      <c r="GAV35" s="47"/>
      <c r="GAW35" s="47"/>
      <c r="GAX35" s="47"/>
      <c r="GAY35" s="47"/>
      <c r="GAZ35" s="47"/>
      <c r="GBA35" s="47"/>
      <c r="GBB35" s="47"/>
      <c r="GBC35" s="47"/>
      <c r="GBD35" s="47"/>
      <c r="GBE35" s="47"/>
      <c r="GBF35" s="47"/>
      <c r="GBG35" s="47"/>
      <c r="GBH35" s="47"/>
      <c r="GBI35" s="47"/>
      <c r="GBJ35" s="47"/>
      <c r="GBK35" s="47"/>
      <c r="GBL35" s="47"/>
      <c r="GBM35" s="47"/>
      <c r="GBN35" s="47"/>
      <c r="GBO35" s="47"/>
      <c r="GBP35" s="47"/>
      <c r="GBQ35" s="47"/>
      <c r="GBR35" s="47"/>
      <c r="GBS35" s="47"/>
      <c r="GBT35" s="47"/>
      <c r="GBU35" s="47"/>
      <c r="GBV35" s="47"/>
      <c r="GBW35" s="47"/>
      <c r="GBX35" s="47"/>
      <c r="GBY35" s="47"/>
      <c r="GBZ35" s="47"/>
      <c r="GCA35" s="47"/>
      <c r="GCB35" s="47"/>
      <c r="GCC35" s="47"/>
      <c r="GCD35" s="47"/>
      <c r="GCE35" s="47"/>
      <c r="GCF35" s="47"/>
      <c r="GCG35" s="47"/>
      <c r="GCH35" s="47"/>
      <c r="GCI35" s="47"/>
      <c r="GCJ35" s="47"/>
      <c r="GCK35" s="47"/>
      <c r="GCL35" s="47"/>
      <c r="GCM35" s="47"/>
      <c r="GCN35" s="47"/>
      <c r="GCO35" s="47"/>
      <c r="GCP35" s="47"/>
      <c r="GCQ35" s="47"/>
      <c r="GCR35" s="47"/>
      <c r="GCS35" s="47"/>
      <c r="GCT35" s="47"/>
      <c r="GCU35" s="47"/>
      <c r="GCV35" s="47"/>
      <c r="GCW35" s="47"/>
      <c r="GCX35" s="47"/>
      <c r="GCY35" s="47"/>
      <c r="GCZ35" s="47"/>
      <c r="GDA35" s="47"/>
      <c r="GDB35" s="47"/>
      <c r="GDC35" s="47"/>
      <c r="GDD35" s="47"/>
      <c r="GDE35" s="47"/>
      <c r="GDF35" s="47"/>
      <c r="GDG35" s="47"/>
      <c r="GDH35" s="47"/>
      <c r="GDI35" s="47"/>
      <c r="GDJ35" s="47"/>
      <c r="GDK35" s="47"/>
      <c r="GDL35" s="47"/>
      <c r="GDM35" s="47"/>
      <c r="GDN35" s="47"/>
      <c r="GDO35" s="47"/>
      <c r="GDP35" s="47"/>
      <c r="GDQ35" s="47"/>
      <c r="GDR35" s="47"/>
      <c r="GDS35" s="47"/>
      <c r="GDT35" s="47"/>
      <c r="GDU35" s="47"/>
      <c r="GDV35" s="47"/>
      <c r="GDW35" s="47"/>
      <c r="GDX35" s="47"/>
      <c r="GDY35" s="47"/>
      <c r="GDZ35" s="47"/>
      <c r="GEA35" s="47"/>
      <c r="GEB35" s="47"/>
      <c r="GEC35" s="47"/>
      <c r="GED35" s="47"/>
      <c r="GEE35" s="47"/>
      <c r="GEF35" s="47"/>
      <c r="GEG35" s="47"/>
      <c r="GEH35" s="47"/>
      <c r="GEI35" s="47"/>
      <c r="GEJ35" s="47"/>
      <c r="GEK35" s="47"/>
      <c r="GEL35" s="47"/>
      <c r="GEM35" s="47"/>
      <c r="GEN35" s="47"/>
      <c r="GEO35" s="47"/>
      <c r="GEP35" s="47"/>
      <c r="GEQ35" s="47"/>
      <c r="GER35" s="47"/>
      <c r="GES35" s="47"/>
      <c r="GET35" s="47"/>
      <c r="GEU35" s="47"/>
      <c r="GEV35" s="47"/>
      <c r="GEW35" s="47"/>
      <c r="GEX35" s="47"/>
      <c r="GEY35" s="47"/>
      <c r="GEZ35" s="47"/>
      <c r="GFA35" s="47"/>
      <c r="GFB35" s="47"/>
      <c r="GFC35" s="47"/>
      <c r="GFD35" s="47"/>
      <c r="GFE35" s="47"/>
      <c r="GFF35" s="47"/>
      <c r="GFG35" s="47"/>
      <c r="GFH35" s="47"/>
      <c r="GFI35" s="47"/>
      <c r="GFJ35" s="47"/>
      <c r="GFK35" s="47"/>
      <c r="GFL35" s="47"/>
      <c r="GFM35" s="47"/>
      <c r="GFN35" s="47"/>
      <c r="GFO35" s="47"/>
      <c r="GFP35" s="47"/>
      <c r="GFQ35" s="47"/>
      <c r="GFR35" s="47"/>
      <c r="GFS35" s="47"/>
      <c r="GFT35" s="47"/>
      <c r="GFU35" s="47"/>
      <c r="GFV35" s="47"/>
      <c r="GFW35" s="47"/>
      <c r="GFX35" s="47"/>
      <c r="GFY35" s="47"/>
      <c r="GFZ35" s="47"/>
      <c r="GGA35" s="47"/>
      <c r="GGB35" s="47"/>
      <c r="GGC35" s="47"/>
      <c r="GGD35" s="47"/>
      <c r="GGE35" s="47"/>
      <c r="GGF35" s="47"/>
      <c r="GGG35" s="47"/>
      <c r="GGH35" s="47"/>
      <c r="GGI35" s="47"/>
      <c r="GGJ35" s="47"/>
      <c r="GGK35" s="47"/>
      <c r="GGL35" s="47"/>
      <c r="GGM35" s="47"/>
      <c r="GGN35" s="47"/>
      <c r="GGO35" s="47"/>
      <c r="GGP35" s="47"/>
      <c r="GGQ35" s="47"/>
      <c r="GGR35" s="47"/>
      <c r="GGS35" s="47"/>
      <c r="GGT35" s="47"/>
      <c r="GGU35" s="47"/>
      <c r="GGV35" s="47"/>
      <c r="GGW35" s="47"/>
      <c r="GGX35" s="47"/>
      <c r="GGY35" s="47"/>
      <c r="GGZ35" s="47"/>
      <c r="GHA35" s="47"/>
      <c r="GHB35" s="47"/>
      <c r="GHC35" s="47"/>
      <c r="GHD35" s="47"/>
      <c r="GHE35" s="47"/>
      <c r="GHF35" s="47"/>
      <c r="GHG35" s="47"/>
      <c r="GHH35" s="47"/>
      <c r="GHI35" s="47"/>
      <c r="GHJ35" s="47"/>
      <c r="GHK35" s="47"/>
      <c r="GHL35" s="47"/>
      <c r="GHM35" s="47"/>
      <c r="GHN35" s="47"/>
      <c r="GHO35" s="47"/>
      <c r="GHP35" s="47"/>
      <c r="GHQ35" s="47"/>
      <c r="GHR35" s="47"/>
      <c r="GHS35" s="47"/>
      <c r="GHT35" s="47"/>
      <c r="GHU35" s="47"/>
      <c r="GHV35" s="47"/>
      <c r="GHW35" s="47"/>
      <c r="GHX35" s="47"/>
      <c r="GHY35" s="47"/>
      <c r="GHZ35" s="47"/>
      <c r="GIA35" s="47"/>
      <c r="GIB35" s="47"/>
      <c r="GIC35" s="47"/>
      <c r="GID35" s="47"/>
      <c r="GIE35" s="47"/>
      <c r="GIF35" s="47"/>
      <c r="GIG35" s="47"/>
      <c r="GIH35" s="47"/>
      <c r="GII35" s="47"/>
      <c r="GIJ35" s="47"/>
      <c r="GIK35" s="47"/>
      <c r="GIL35" s="47"/>
      <c r="GIM35" s="47"/>
      <c r="GIN35" s="47"/>
      <c r="GIO35" s="47"/>
      <c r="GIP35" s="47"/>
      <c r="GIQ35" s="47"/>
      <c r="GIR35" s="47"/>
      <c r="GIS35" s="47"/>
      <c r="GIT35" s="47"/>
      <c r="GIU35" s="47"/>
      <c r="GIV35" s="47"/>
      <c r="GIW35" s="47"/>
      <c r="GIX35" s="47"/>
      <c r="GIY35" s="47"/>
      <c r="GIZ35" s="47"/>
      <c r="GJA35" s="47"/>
      <c r="GJB35" s="47"/>
      <c r="GJC35" s="47"/>
      <c r="GJD35" s="47"/>
      <c r="GJE35" s="47"/>
      <c r="GJF35" s="47"/>
      <c r="GJG35" s="47"/>
      <c r="GJH35" s="47"/>
      <c r="GJI35" s="47"/>
      <c r="GJJ35" s="47"/>
      <c r="GJK35" s="47"/>
      <c r="GJL35" s="47"/>
      <c r="GJM35" s="47"/>
      <c r="GJN35" s="47"/>
      <c r="GJO35" s="47"/>
      <c r="GJP35" s="47"/>
      <c r="GJQ35" s="47"/>
      <c r="GJR35" s="47"/>
      <c r="GJS35" s="47"/>
      <c r="GJT35" s="47"/>
      <c r="GJU35" s="47"/>
      <c r="GJV35" s="47"/>
      <c r="GJW35" s="47"/>
      <c r="GJX35" s="47"/>
      <c r="GJY35" s="47"/>
      <c r="GJZ35" s="47"/>
      <c r="GKA35" s="47"/>
      <c r="GKB35" s="47"/>
      <c r="GKC35" s="47"/>
      <c r="GKD35" s="47"/>
      <c r="GKE35" s="47"/>
      <c r="GKF35" s="47"/>
      <c r="GKG35" s="47"/>
      <c r="GKH35" s="47"/>
      <c r="GKI35" s="47"/>
      <c r="GKJ35" s="47"/>
      <c r="GKK35" s="47"/>
      <c r="GKL35" s="47"/>
      <c r="GKM35" s="47"/>
      <c r="GKN35" s="47"/>
      <c r="GKO35" s="47"/>
      <c r="GKP35" s="47"/>
      <c r="GKQ35" s="47"/>
      <c r="GKR35" s="47"/>
      <c r="GKS35" s="47"/>
      <c r="GKT35" s="47"/>
      <c r="GKU35" s="47"/>
      <c r="GKV35" s="47"/>
      <c r="GKW35" s="47"/>
      <c r="GKX35" s="47"/>
      <c r="GKY35" s="47"/>
      <c r="GKZ35" s="47"/>
      <c r="GLA35" s="47"/>
      <c r="GLB35" s="47"/>
      <c r="GLC35" s="47"/>
      <c r="GLD35" s="47"/>
      <c r="GLE35" s="47"/>
      <c r="GLF35" s="47"/>
      <c r="GLG35" s="47"/>
      <c r="GLH35" s="47"/>
      <c r="GLI35" s="47"/>
      <c r="GLJ35" s="47"/>
      <c r="GLK35" s="47"/>
      <c r="GLL35" s="47"/>
      <c r="GLM35" s="47"/>
      <c r="GLN35" s="47"/>
      <c r="GLO35" s="47"/>
      <c r="GLP35" s="47"/>
      <c r="GLQ35" s="47"/>
      <c r="GLR35" s="47"/>
      <c r="GLS35" s="47"/>
      <c r="GLT35" s="47"/>
      <c r="GLU35" s="47"/>
      <c r="GLV35" s="47"/>
      <c r="GLW35" s="47"/>
      <c r="GLX35" s="47"/>
      <c r="GLY35" s="47"/>
      <c r="GLZ35" s="47"/>
      <c r="GMA35" s="47"/>
      <c r="GMB35" s="47"/>
      <c r="GMC35" s="47"/>
      <c r="GMD35" s="47"/>
      <c r="GME35" s="47"/>
      <c r="GMF35" s="47"/>
      <c r="GMG35" s="47"/>
      <c r="GMH35" s="47"/>
      <c r="GMI35" s="47"/>
      <c r="GMJ35" s="47"/>
      <c r="GMK35" s="47"/>
      <c r="GML35" s="47"/>
      <c r="GMM35" s="47"/>
      <c r="GMN35" s="47"/>
      <c r="GMO35" s="47"/>
      <c r="GMP35" s="47"/>
      <c r="GMQ35" s="47"/>
      <c r="GMR35" s="47"/>
      <c r="GMS35" s="47"/>
      <c r="GMT35" s="47"/>
      <c r="GMU35" s="47"/>
      <c r="GMV35" s="47"/>
      <c r="GMW35" s="47"/>
      <c r="GMX35" s="47"/>
      <c r="GMY35" s="47"/>
      <c r="GMZ35" s="47"/>
      <c r="GNA35" s="47"/>
      <c r="GNB35" s="47"/>
      <c r="GNC35" s="47"/>
      <c r="GND35" s="47"/>
      <c r="GNE35" s="47"/>
      <c r="GNF35" s="47"/>
      <c r="GNG35" s="47"/>
      <c r="GNH35" s="47"/>
      <c r="GNI35" s="47"/>
      <c r="GNJ35" s="47"/>
      <c r="GNK35" s="47"/>
      <c r="GNL35" s="47"/>
      <c r="GNM35" s="47"/>
      <c r="GNN35" s="47"/>
      <c r="GNO35" s="47"/>
      <c r="GNP35" s="47"/>
      <c r="GNQ35" s="47"/>
      <c r="GNR35" s="47"/>
      <c r="GNS35" s="47"/>
      <c r="GNT35" s="47"/>
      <c r="GNU35" s="47"/>
      <c r="GNV35" s="47"/>
      <c r="GNW35" s="47"/>
      <c r="GNX35" s="47"/>
      <c r="GNY35" s="47"/>
      <c r="GNZ35" s="47"/>
      <c r="GOA35" s="47"/>
      <c r="GOB35" s="47"/>
      <c r="GOC35" s="47"/>
      <c r="GOD35" s="47"/>
      <c r="GOE35" s="47"/>
      <c r="GOF35" s="47"/>
      <c r="GOG35" s="47"/>
      <c r="GOH35" s="47"/>
      <c r="GOI35" s="47"/>
      <c r="GOJ35" s="47"/>
      <c r="GOK35" s="47"/>
      <c r="GOL35" s="47"/>
      <c r="GOM35" s="47"/>
      <c r="GON35" s="47"/>
      <c r="GOO35" s="47"/>
      <c r="GOP35" s="47"/>
      <c r="GOQ35" s="47"/>
      <c r="GOR35" s="47"/>
      <c r="GOS35" s="47"/>
      <c r="GOT35" s="47"/>
      <c r="GOU35" s="47"/>
      <c r="GOV35" s="47"/>
      <c r="GOW35" s="47"/>
      <c r="GOX35" s="47"/>
      <c r="GOY35" s="47"/>
      <c r="GOZ35" s="47"/>
      <c r="GPA35" s="47"/>
      <c r="GPB35" s="47"/>
      <c r="GPC35" s="47"/>
      <c r="GPD35" s="47"/>
      <c r="GPE35" s="47"/>
      <c r="GPF35" s="47"/>
      <c r="GPG35" s="47"/>
      <c r="GPH35" s="47"/>
      <c r="GPI35" s="47"/>
      <c r="GPJ35" s="47"/>
      <c r="GPK35" s="47"/>
      <c r="GPL35" s="47"/>
      <c r="GPM35" s="47"/>
      <c r="GPN35" s="47"/>
      <c r="GPO35" s="47"/>
      <c r="GPP35" s="47"/>
      <c r="GPQ35" s="47"/>
      <c r="GPR35" s="47"/>
      <c r="GPS35" s="47"/>
      <c r="GPT35" s="47"/>
      <c r="GPU35" s="47"/>
      <c r="GPV35" s="47"/>
      <c r="GPW35" s="47"/>
      <c r="GPX35" s="47"/>
      <c r="GPY35" s="47"/>
      <c r="GPZ35" s="47"/>
      <c r="GQA35" s="47"/>
      <c r="GQB35" s="47"/>
      <c r="GQC35" s="47"/>
      <c r="GQD35" s="47"/>
      <c r="GQE35" s="47"/>
      <c r="GQF35" s="47"/>
      <c r="GQG35" s="47"/>
      <c r="GQH35" s="47"/>
      <c r="GQI35" s="47"/>
      <c r="GQJ35" s="47"/>
      <c r="GQK35" s="47"/>
      <c r="GQL35" s="47"/>
      <c r="GQM35" s="47"/>
      <c r="GQN35" s="47"/>
      <c r="GQO35" s="47"/>
      <c r="GQP35" s="47"/>
      <c r="GQQ35" s="47"/>
      <c r="GQR35" s="47"/>
      <c r="GQS35" s="47"/>
      <c r="GQT35" s="47"/>
      <c r="GQU35" s="47"/>
      <c r="GQV35" s="47"/>
      <c r="GQW35" s="47"/>
      <c r="GQX35" s="47"/>
      <c r="GQY35" s="47"/>
      <c r="GQZ35" s="47"/>
      <c r="GRA35" s="47"/>
      <c r="GRB35" s="47"/>
      <c r="GRC35" s="47"/>
      <c r="GRD35" s="47"/>
      <c r="GRE35" s="47"/>
      <c r="GRF35" s="47"/>
      <c r="GRG35" s="47"/>
      <c r="GRH35" s="47"/>
      <c r="GRI35" s="47"/>
      <c r="GRJ35" s="47"/>
      <c r="GRK35" s="47"/>
      <c r="GRL35" s="47"/>
      <c r="GRM35" s="47"/>
      <c r="GRN35" s="47"/>
      <c r="GRO35" s="47"/>
      <c r="GRP35" s="47"/>
      <c r="GRQ35" s="47"/>
      <c r="GRR35" s="47"/>
      <c r="GRS35" s="47"/>
      <c r="GRT35" s="47"/>
      <c r="GRU35" s="47"/>
      <c r="GRV35" s="47"/>
      <c r="GRW35" s="47"/>
      <c r="GRX35" s="47"/>
      <c r="GRY35" s="47"/>
      <c r="GRZ35" s="47"/>
      <c r="GSA35" s="47"/>
      <c r="GSB35" s="47"/>
      <c r="GSC35" s="47"/>
      <c r="GSD35" s="47"/>
      <c r="GSE35" s="47"/>
      <c r="GSF35" s="47"/>
      <c r="GSG35" s="47"/>
      <c r="GSH35" s="47"/>
      <c r="GSI35" s="47"/>
      <c r="GSJ35" s="47"/>
      <c r="GSK35" s="47"/>
      <c r="GSL35" s="47"/>
      <c r="GSM35" s="47"/>
      <c r="GSN35" s="47"/>
      <c r="GSO35" s="47"/>
      <c r="GSP35" s="47"/>
      <c r="GSQ35" s="47"/>
      <c r="GSR35" s="47"/>
      <c r="GSS35" s="47"/>
      <c r="GST35" s="47"/>
      <c r="GSU35" s="47"/>
      <c r="GSV35" s="47"/>
      <c r="GSW35" s="47"/>
      <c r="GSX35" s="47"/>
      <c r="GSY35" s="47"/>
      <c r="GSZ35" s="47"/>
      <c r="GTA35" s="47"/>
      <c r="GTB35" s="47"/>
      <c r="GTC35" s="47"/>
      <c r="GTD35" s="47"/>
      <c r="GTE35" s="47"/>
      <c r="GTF35" s="47"/>
      <c r="GTG35" s="47"/>
      <c r="GTH35" s="47"/>
      <c r="GTI35" s="47"/>
      <c r="GTJ35" s="47"/>
      <c r="GTK35" s="47"/>
      <c r="GTL35" s="47"/>
      <c r="GTM35" s="47"/>
      <c r="GTN35" s="47"/>
      <c r="GTO35" s="47"/>
      <c r="GTP35" s="47"/>
      <c r="GTQ35" s="47"/>
      <c r="GTR35" s="47"/>
      <c r="GTS35" s="47"/>
      <c r="GTT35" s="47"/>
      <c r="GTU35" s="47"/>
      <c r="GTV35" s="47"/>
      <c r="GTW35" s="47"/>
      <c r="GTX35" s="47"/>
      <c r="GTY35" s="47"/>
      <c r="GTZ35" s="47"/>
      <c r="GUA35" s="47"/>
      <c r="GUB35" s="47"/>
      <c r="GUC35" s="47"/>
      <c r="GUD35" s="47"/>
      <c r="GUE35" s="47"/>
      <c r="GUF35" s="47"/>
      <c r="GUG35" s="47"/>
      <c r="GUH35" s="47"/>
      <c r="GUI35" s="47"/>
      <c r="GUJ35" s="47"/>
      <c r="GUK35" s="47"/>
      <c r="GUL35" s="47"/>
      <c r="GUM35" s="47"/>
      <c r="GUN35" s="47"/>
      <c r="GUO35" s="47"/>
      <c r="GUP35" s="47"/>
      <c r="GUQ35" s="47"/>
      <c r="GUR35" s="47"/>
      <c r="GUS35" s="47"/>
      <c r="GUT35" s="47"/>
      <c r="GUU35" s="47"/>
      <c r="GUV35" s="47"/>
      <c r="GUW35" s="47"/>
      <c r="GUX35" s="47"/>
      <c r="GUY35" s="47"/>
      <c r="GUZ35" s="47"/>
      <c r="GVA35" s="47"/>
      <c r="GVB35" s="47"/>
      <c r="GVC35" s="47"/>
      <c r="GVD35" s="47"/>
      <c r="GVE35" s="47"/>
      <c r="GVF35" s="47"/>
      <c r="GVG35" s="47"/>
      <c r="GVH35" s="47"/>
      <c r="GVI35" s="47"/>
      <c r="GVJ35" s="47"/>
      <c r="GVK35" s="47"/>
      <c r="GVL35" s="47"/>
      <c r="GVM35" s="47"/>
      <c r="GVN35" s="47"/>
      <c r="GVO35" s="47"/>
      <c r="GVP35" s="47"/>
      <c r="GVQ35" s="47"/>
      <c r="GVR35" s="47"/>
      <c r="GVS35" s="47"/>
      <c r="GVT35" s="47"/>
      <c r="GVU35" s="47"/>
      <c r="GVV35" s="47"/>
      <c r="GVW35" s="47"/>
      <c r="GVX35" s="47"/>
      <c r="GVY35" s="47"/>
      <c r="GVZ35" s="47"/>
      <c r="GWA35" s="47"/>
      <c r="GWB35" s="47"/>
      <c r="GWC35" s="47"/>
      <c r="GWD35" s="47"/>
      <c r="GWE35" s="47"/>
      <c r="GWF35" s="47"/>
      <c r="GWG35" s="47"/>
      <c r="GWH35" s="47"/>
      <c r="GWI35" s="47"/>
      <c r="GWJ35" s="47"/>
      <c r="GWK35" s="47"/>
      <c r="GWL35" s="47"/>
      <c r="GWM35" s="47"/>
      <c r="GWN35" s="47"/>
      <c r="GWO35" s="47"/>
      <c r="GWP35" s="47"/>
      <c r="GWQ35" s="47"/>
      <c r="GWR35" s="47"/>
      <c r="GWS35" s="47"/>
      <c r="GWT35" s="47"/>
      <c r="GWU35" s="47"/>
      <c r="GWV35" s="47"/>
      <c r="GWW35" s="47"/>
      <c r="GWX35" s="47"/>
      <c r="GWY35" s="47"/>
      <c r="GWZ35" s="47"/>
      <c r="GXA35" s="47"/>
      <c r="GXB35" s="47"/>
      <c r="GXC35" s="47"/>
      <c r="GXD35" s="47"/>
      <c r="GXE35" s="47"/>
      <c r="GXF35" s="47"/>
      <c r="GXG35" s="47"/>
      <c r="GXH35" s="47"/>
      <c r="GXI35" s="47"/>
      <c r="GXJ35" s="47"/>
      <c r="GXK35" s="47"/>
      <c r="GXL35" s="47"/>
      <c r="GXM35" s="47"/>
      <c r="GXN35" s="47"/>
      <c r="GXO35" s="47"/>
      <c r="GXP35" s="47"/>
      <c r="GXQ35" s="47"/>
      <c r="GXR35" s="47"/>
      <c r="GXS35" s="47"/>
      <c r="GXT35" s="47"/>
      <c r="GXU35" s="47"/>
      <c r="GXV35" s="47"/>
      <c r="GXW35" s="47"/>
      <c r="GXX35" s="47"/>
      <c r="GXY35" s="47"/>
      <c r="GXZ35" s="47"/>
      <c r="GYA35" s="47"/>
      <c r="GYB35" s="47"/>
      <c r="GYC35" s="47"/>
      <c r="GYD35" s="47"/>
      <c r="GYE35" s="47"/>
      <c r="GYF35" s="47"/>
      <c r="GYG35" s="47"/>
      <c r="GYH35" s="47"/>
      <c r="GYI35" s="47"/>
      <c r="GYJ35" s="47"/>
      <c r="GYK35" s="47"/>
      <c r="GYL35" s="47"/>
      <c r="GYM35" s="47"/>
      <c r="GYN35" s="47"/>
      <c r="GYO35" s="47"/>
      <c r="GYP35" s="47"/>
      <c r="GYQ35" s="47"/>
      <c r="GYR35" s="47"/>
      <c r="GYS35" s="47"/>
      <c r="GYT35" s="47"/>
      <c r="GYU35" s="47"/>
      <c r="GYV35" s="47"/>
      <c r="GYW35" s="47"/>
      <c r="GYX35" s="47"/>
      <c r="GYY35" s="47"/>
      <c r="GYZ35" s="47"/>
      <c r="GZA35" s="47"/>
      <c r="GZB35" s="47"/>
      <c r="GZC35" s="47"/>
      <c r="GZD35" s="47"/>
      <c r="GZE35" s="47"/>
      <c r="GZF35" s="47"/>
      <c r="GZG35" s="47"/>
      <c r="GZH35" s="47"/>
      <c r="GZI35" s="47"/>
      <c r="GZJ35" s="47"/>
      <c r="GZK35" s="47"/>
      <c r="GZL35" s="47"/>
      <c r="GZM35" s="47"/>
      <c r="GZN35" s="47"/>
      <c r="GZO35" s="47"/>
      <c r="GZP35" s="47"/>
      <c r="GZQ35" s="47"/>
      <c r="GZR35" s="47"/>
      <c r="GZS35" s="47"/>
      <c r="GZT35" s="47"/>
      <c r="GZU35" s="47"/>
      <c r="GZV35" s="47"/>
      <c r="GZW35" s="47"/>
      <c r="GZX35" s="47"/>
      <c r="GZY35" s="47"/>
      <c r="GZZ35" s="47"/>
      <c r="HAA35" s="47"/>
      <c r="HAB35" s="47"/>
      <c r="HAC35" s="47"/>
      <c r="HAD35" s="47"/>
      <c r="HAE35" s="47"/>
      <c r="HAF35" s="47"/>
      <c r="HAG35" s="47"/>
      <c r="HAH35" s="47"/>
      <c r="HAI35" s="47"/>
      <c r="HAJ35" s="47"/>
      <c r="HAK35" s="47"/>
      <c r="HAL35" s="47"/>
      <c r="HAM35" s="47"/>
      <c r="HAN35" s="47"/>
      <c r="HAO35" s="47"/>
      <c r="HAP35" s="47"/>
      <c r="HAQ35" s="47"/>
      <c r="HAR35" s="47"/>
      <c r="HAS35" s="47"/>
      <c r="HAT35" s="47"/>
      <c r="HAU35" s="47"/>
      <c r="HAV35" s="47"/>
      <c r="HAW35" s="47"/>
      <c r="HAX35" s="47"/>
      <c r="HAY35" s="47"/>
      <c r="HAZ35" s="47"/>
      <c r="HBA35" s="47"/>
      <c r="HBB35" s="47"/>
      <c r="HBC35" s="47"/>
      <c r="HBD35" s="47"/>
      <c r="HBE35" s="47"/>
      <c r="HBF35" s="47"/>
      <c r="HBG35" s="47"/>
      <c r="HBH35" s="47"/>
      <c r="HBI35" s="47"/>
      <c r="HBJ35" s="47"/>
      <c r="HBK35" s="47"/>
      <c r="HBL35" s="47"/>
      <c r="HBM35" s="47"/>
      <c r="HBN35" s="47"/>
      <c r="HBO35" s="47"/>
      <c r="HBP35" s="47"/>
      <c r="HBQ35" s="47"/>
      <c r="HBR35" s="47"/>
      <c r="HBS35" s="47"/>
      <c r="HBT35" s="47"/>
      <c r="HBU35" s="47"/>
      <c r="HBV35" s="47"/>
      <c r="HBW35" s="47"/>
      <c r="HBX35" s="47"/>
      <c r="HBY35" s="47"/>
      <c r="HBZ35" s="47"/>
      <c r="HCA35" s="47"/>
      <c r="HCB35" s="47"/>
      <c r="HCC35" s="47"/>
      <c r="HCD35" s="47"/>
      <c r="HCE35" s="47"/>
      <c r="HCF35" s="47"/>
      <c r="HCG35" s="47"/>
      <c r="HCH35" s="47"/>
      <c r="HCI35" s="47"/>
      <c r="HCJ35" s="47"/>
      <c r="HCK35" s="47"/>
      <c r="HCL35" s="47"/>
      <c r="HCM35" s="47"/>
      <c r="HCN35" s="47"/>
      <c r="HCO35" s="47"/>
      <c r="HCP35" s="47"/>
      <c r="HCQ35" s="47"/>
      <c r="HCR35" s="47"/>
      <c r="HCS35" s="47"/>
      <c r="HCT35" s="47"/>
      <c r="HCU35" s="47"/>
      <c r="HCV35" s="47"/>
      <c r="HCW35" s="47"/>
      <c r="HCX35" s="47"/>
      <c r="HCY35" s="47"/>
      <c r="HCZ35" s="47"/>
      <c r="HDA35" s="47"/>
      <c r="HDB35" s="47"/>
      <c r="HDC35" s="47"/>
      <c r="HDD35" s="47"/>
      <c r="HDE35" s="47"/>
      <c r="HDF35" s="47"/>
      <c r="HDG35" s="47"/>
      <c r="HDH35" s="47"/>
      <c r="HDI35" s="47"/>
      <c r="HDJ35" s="47"/>
      <c r="HDK35" s="47"/>
      <c r="HDL35" s="47"/>
      <c r="HDM35" s="47"/>
      <c r="HDN35" s="47"/>
      <c r="HDO35" s="47"/>
      <c r="HDP35" s="47"/>
      <c r="HDQ35" s="47"/>
      <c r="HDR35" s="47"/>
      <c r="HDS35" s="47"/>
      <c r="HDT35" s="47"/>
      <c r="HDU35" s="47"/>
      <c r="HDV35" s="47"/>
      <c r="HDW35" s="47"/>
      <c r="HDX35" s="47"/>
      <c r="HDY35" s="47"/>
      <c r="HDZ35" s="47"/>
      <c r="HEA35" s="47"/>
      <c r="HEB35" s="47"/>
      <c r="HEC35" s="47"/>
      <c r="HED35" s="47"/>
      <c r="HEE35" s="47"/>
      <c r="HEF35" s="47"/>
      <c r="HEG35" s="47"/>
      <c r="HEH35" s="47"/>
      <c r="HEI35" s="47"/>
      <c r="HEJ35" s="47"/>
      <c r="HEK35" s="47"/>
      <c r="HEL35" s="47"/>
      <c r="HEM35" s="47"/>
      <c r="HEN35" s="47"/>
      <c r="HEO35" s="47"/>
      <c r="HEP35" s="47"/>
      <c r="HEQ35" s="47"/>
      <c r="HER35" s="47"/>
      <c r="HES35" s="47"/>
      <c r="HET35" s="47"/>
      <c r="HEU35" s="47"/>
      <c r="HEV35" s="47"/>
      <c r="HEW35" s="47"/>
      <c r="HEX35" s="47"/>
      <c r="HEY35" s="47"/>
      <c r="HEZ35" s="47"/>
      <c r="HFA35" s="47"/>
      <c r="HFB35" s="47"/>
      <c r="HFC35" s="47"/>
      <c r="HFD35" s="47"/>
      <c r="HFE35" s="47"/>
      <c r="HFF35" s="47"/>
      <c r="HFG35" s="47"/>
      <c r="HFH35" s="47"/>
      <c r="HFI35" s="47"/>
      <c r="HFJ35" s="47"/>
      <c r="HFK35" s="47"/>
      <c r="HFL35" s="47"/>
      <c r="HFM35" s="47"/>
      <c r="HFN35" s="47"/>
      <c r="HFO35" s="47"/>
      <c r="HFP35" s="47"/>
      <c r="HFQ35" s="47"/>
      <c r="HFR35" s="47"/>
      <c r="HFS35" s="47"/>
      <c r="HFT35" s="47"/>
      <c r="HFU35" s="47"/>
      <c r="HFV35" s="47"/>
      <c r="HFW35" s="47"/>
      <c r="HFX35" s="47"/>
      <c r="HFY35" s="47"/>
      <c r="HFZ35" s="47"/>
      <c r="HGA35" s="47"/>
      <c r="HGB35" s="47"/>
      <c r="HGC35" s="47"/>
      <c r="HGD35" s="47"/>
      <c r="HGE35" s="47"/>
      <c r="HGF35" s="47"/>
      <c r="HGG35" s="47"/>
      <c r="HGH35" s="47"/>
      <c r="HGI35" s="47"/>
      <c r="HGJ35" s="47"/>
      <c r="HGK35" s="47"/>
      <c r="HGL35" s="47"/>
      <c r="HGM35" s="47"/>
      <c r="HGN35" s="47"/>
      <c r="HGO35" s="47"/>
      <c r="HGP35" s="47"/>
      <c r="HGQ35" s="47"/>
      <c r="HGR35" s="47"/>
      <c r="HGS35" s="47"/>
      <c r="HGT35" s="47"/>
      <c r="HGU35" s="47"/>
      <c r="HGV35" s="47"/>
      <c r="HGW35" s="47"/>
      <c r="HGX35" s="47"/>
      <c r="HGY35" s="47"/>
      <c r="HGZ35" s="47"/>
      <c r="HHA35" s="47"/>
      <c r="HHB35" s="47"/>
      <c r="HHC35" s="47"/>
      <c r="HHD35" s="47"/>
      <c r="HHE35" s="47"/>
      <c r="HHF35" s="47"/>
      <c r="HHG35" s="47"/>
      <c r="HHH35" s="47"/>
      <c r="HHI35" s="47"/>
      <c r="HHJ35" s="47"/>
      <c r="HHK35" s="47"/>
      <c r="HHL35" s="47"/>
      <c r="HHM35" s="47"/>
      <c r="HHN35" s="47"/>
      <c r="HHO35" s="47"/>
      <c r="HHP35" s="47"/>
      <c r="HHQ35" s="47"/>
      <c r="HHR35" s="47"/>
      <c r="HHS35" s="47"/>
      <c r="HHT35" s="47"/>
      <c r="HHU35" s="47"/>
      <c r="HHV35" s="47"/>
      <c r="HHW35" s="47"/>
      <c r="HHX35" s="47"/>
      <c r="HHY35" s="47"/>
      <c r="HHZ35" s="47"/>
      <c r="HIA35" s="47"/>
      <c r="HIB35" s="47"/>
      <c r="HIC35" s="47"/>
      <c r="HID35" s="47"/>
      <c r="HIE35" s="47"/>
      <c r="HIF35" s="47"/>
      <c r="HIG35" s="47"/>
      <c r="HIH35" s="47"/>
      <c r="HII35" s="47"/>
      <c r="HIJ35" s="47"/>
      <c r="HIK35" s="47"/>
      <c r="HIL35" s="47"/>
      <c r="HIM35" s="47"/>
      <c r="HIN35" s="47"/>
      <c r="HIO35" s="47"/>
      <c r="HIP35" s="47"/>
      <c r="HIQ35" s="47"/>
      <c r="HIR35" s="47"/>
      <c r="HIS35" s="47"/>
      <c r="HIT35" s="47"/>
      <c r="HIU35" s="47"/>
      <c r="HIV35" s="47"/>
      <c r="HIW35" s="47"/>
      <c r="HIX35" s="47"/>
      <c r="HIY35" s="47"/>
      <c r="HIZ35" s="47"/>
      <c r="HJA35" s="47"/>
      <c r="HJB35" s="47"/>
      <c r="HJC35" s="47"/>
      <c r="HJD35" s="47"/>
      <c r="HJE35" s="47"/>
      <c r="HJF35" s="47"/>
      <c r="HJG35" s="47"/>
      <c r="HJH35" s="47"/>
      <c r="HJI35" s="47"/>
      <c r="HJJ35" s="47"/>
      <c r="HJK35" s="47"/>
      <c r="HJL35" s="47"/>
      <c r="HJM35" s="47"/>
      <c r="HJN35" s="47"/>
      <c r="HJO35" s="47"/>
      <c r="HJP35" s="47"/>
      <c r="HJQ35" s="47"/>
      <c r="HJR35" s="47"/>
      <c r="HJS35" s="47"/>
      <c r="HJT35" s="47"/>
      <c r="HJU35" s="47"/>
      <c r="HJV35" s="47"/>
      <c r="HJW35" s="47"/>
      <c r="HJX35" s="47"/>
      <c r="HJY35" s="47"/>
      <c r="HJZ35" s="47"/>
      <c r="HKA35" s="47"/>
      <c r="HKB35" s="47"/>
      <c r="HKC35" s="47"/>
      <c r="HKD35" s="47"/>
      <c r="HKE35" s="47"/>
      <c r="HKF35" s="47"/>
      <c r="HKG35" s="47"/>
      <c r="HKH35" s="47"/>
      <c r="HKI35" s="47"/>
      <c r="HKJ35" s="47"/>
      <c r="HKK35" s="47"/>
      <c r="HKL35" s="47"/>
      <c r="HKM35" s="47"/>
      <c r="HKN35" s="47"/>
      <c r="HKO35" s="47"/>
      <c r="HKP35" s="47"/>
      <c r="HKQ35" s="47"/>
      <c r="HKR35" s="47"/>
      <c r="HKS35" s="47"/>
      <c r="HKT35" s="47"/>
      <c r="HKU35" s="47"/>
      <c r="HKV35" s="47"/>
      <c r="HKW35" s="47"/>
      <c r="HKX35" s="47"/>
      <c r="HKY35" s="47"/>
      <c r="HKZ35" s="47"/>
      <c r="HLA35" s="47"/>
      <c r="HLB35" s="47"/>
      <c r="HLC35" s="47"/>
      <c r="HLD35" s="47"/>
      <c r="HLE35" s="47"/>
      <c r="HLF35" s="47"/>
      <c r="HLG35" s="47"/>
      <c r="HLH35" s="47"/>
      <c r="HLI35" s="47"/>
      <c r="HLJ35" s="47"/>
      <c r="HLK35" s="47"/>
      <c r="HLL35" s="47"/>
      <c r="HLM35" s="47"/>
      <c r="HLN35" s="47"/>
      <c r="HLO35" s="47"/>
      <c r="HLP35" s="47"/>
      <c r="HLQ35" s="47"/>
      <c r="HLR35" s="47"/>
      <c r="HLS35" s="47"/>
      <c r="HLT35" s="47"/>
      <c r="HLU35" s="47"/>
      <c r="HLV35" s="47"/>
      <c r="HLW35" s="47"/>
      <c r="HLX35" s="47"/>
      <c r="HLY35" s="47"/>
      <c r="HLZ35" s="47"/>
      <c r="HMA35" s="47"/>
      <c r="HMB35" s="47"/>
      <c r="HMC35" s="47"/>
      <c r="HMD35" s="47"/>
      <c r="HME35" s="47"/>
      <c r="HMF35" s="47"/>
      <c r="HMG35" s="47"/>
      <c r="HMH35" s="47"/>
      <c r="HMI35" s="47"/>
      <c r="HMJ35" s="47"/>
      <c r="HMK35" s="47"/>
      <c r="HML35" s="47"/>
      <c r="HMM35" s="47"/>
      <c r="HMN35" s="47"/>
      <c r="HMO35" s="47"/>
      <c r="HMP35" s="47"/>
      <c r="HMQ35" s="47"/>
      <c r="HMR35" s="47"/>
      <c r="HMS35" s="47"/>
      <c r="HMT35" s="47"/>
      <c r="HMU35" s="47"/>
      <c r="HMV35" s="47"/>
      <c r="HMW35" s="47"/>
      <c r="HMX35" s="47"/>
      <c r="HMY35" s="47"/>
      <c r="HMZ35" s="47"/>
      <c r="HNA35" s="47"/>
      <c r="HNB35" s="47"/>
      <c r="HNC35" s="47"/>
      <c r="HND35" s="47"/>
      <c r="HNE35" s="47"/>
      <c r="HNF35" s="47"/>
      <c r="HNG35" s="47"/>
      <c r="HNH35" s="47"/>
      <c r="HNI35" s="47"/>
      <c r="HNJ35" s="47"/>
      <c r="HNK35" s="47"/>
      <c r="HNL35" s="47"/>
      <c r="HNM35" s="47"/>
      <c r="HNN35" s="47"/>
      <c r="HNO35" s="47"/>
      <c r="HNP35" s="47"/>
      <c r="HNQ35" s="47"/>
      <c r="HNR35" s="47"/>
      <c r="HNS35" s="47"/>
      <c r="HNT35" s="47"/>
      <c r="HNU35" s="47"/>
      <c r="HNV35" s="47"/>
      <c r="HNW35" s="47"/>
      <c r="HNX35" s="47"/>
      <c r="HNY35" s="47"/>
      <c r="HNZ35" s="47"/>
      <c r="HOA35" s="47"/>
      <c r="HOB35" s="47"/>
      <c r="HOC35" s="47"/>
      <c r="HOD35" s="47"/>
      <c r="HOE35" s="47"/>
      <c r="HOF35" s="47"/>
      <c r="HOG35" s="47"/>
      <c r="HOH35" s="47"/>
      <c r="HOI35" s="47"/>
      <c r="HOJ35" s="47"/>
      <c r="HOK35" s="47"/>
      <c r="HOL35" s="47"/>
      <c r="HOM35" s="47"/>
      <c r="HON35" s="47"/>
      <c r="HOO35" s="47"/>
      <c r="HOP35" s="47"/>
      <c r="HOQ35" s="47"/>
      <c r="HOR35" s="47"/>
      <c r="HOS35" s="47"/>
      <c r="HOT35" s="47"/>
      <c r="HOU35" s="47"/>
      <c r="HOV35" s="47"/>
      <c r="HOW35" s="47"/>
      <c r="HOX35" s="47"/>
      <c r="HOY35" s="47"/>
      <c r="HOZ35" s="47"/>
      <c r="HPA35" s="47"/>
      <c r="HPB35" s="47"/>
      <c r="HPC35" s="47"/>
      <c r="HPD35" s="47"/>
      <c r="HPE35" s="47"/>
      <c r="HPF35" s="47"/>
      <c r="HPG35" s="47"/>
      <c r="HPH35" s="47"/>
      <c r="HPI35" s="47"/>
      <c r="HPJ35" s="47"/>
      <c r="HPK35" s="47"/>
      <c r="HPL35" s="47"/>
      <c r="HPM35" s="47"/>
      <c r="HPN35" s="47"/>
      <c r="HPO35" s="47"/>
      <c r="HPP35" s="47"/>
      <c r="HPQ35" s="47"/>
      <c r="HPR35" s="47"/>
      <c r="HPS35" s="47"/>
      <c r="HPT35" s="47"/>
      <c r="HPU35" s="47"/>
      <c r="HPV35" s="47"/>
      <c r="HPW35" s="47"/>
      <c r="HPX35" s="47"/>
      <c r="HPY35" s="47"/>
      <c r="HPZ35" s="47"/>
      <c r="HQA35" s="47"/>
      <c r="HQB35" s="47"/>
      <c r="HQC35" s="47"/>
      <c r="HQD35" s="47"/>
      <c r="HQE35" s="47"/>
      <c r="HQF35" s="47"/>
      <c r="HQG35" s="47"/>
      <c r="HQH35" s="47"/>
      <c r="HQI35" s="47"/>
      <c r="HQJ35" s="47"/>
      <c r="HQK35" s="47"/>
      <c r="HQL35" s="47"/>
      <c r="HQM35" s="47"/>
      <c r="HQN35" s="47"/>
      <c r="HQO35" s="47"/>
      <c r="HQP35" s="47"/>
      <c r="HQQ35" s="47"/>
      <c r="HQR35" s="47"/>
      <c r="HQS35" s="47"/>
      <c r="HQT35" s="47"/>
      <c r="HQU35" s="47"/>
      <c r="HQV35" s="47"/>
      <c r="HQW35" s="47"/>
      <c r="HQX35" s="47"/>
      <c r="HQY35" s="47"/>
      <c r="HQZ35" s="47"/>
      <c r="HRA35" s="47"/>
      <c r="HRB35" s="47"/>
      <c r="HRC35" s="47"/>
      <c r="HRD35" s="47"/>
      <c r="HRE35" s="47"/>
      <c r="HRF35" s="47"/>
      <c r="HRG35" s="47"/>
      <c r="HRH35" s="47"/>
      <c r="HRI35" s="47"/>
      <c r="HRJ35" s="47"/>
      <c r="HRK35" s="47"/>
      <c r="HRL35" s="47"/>
      <c r="HRM35" s="47"/>
      <c r="HRN35" s="47"/>
      <c r="HRO35" s="47"/>
      <c r="HRP35" s="47"/>
      <c r="HRQ35" s="47"/>
      <c r="HRR35" s="47"/>
      <c r="HRS35" s="47"/>
      <c r="HRT35" s="47"/>
      <c r="HRU35" s="47"/>
      <c r="HRV35" s="47"/>
      <c r="HRW35" s="47"/>
      <c r="HRX35" s="47"/>
      <c r="HRY35" s="47"/>
      <c r="HRZ35" s="47"/>
      <c r="HSA35" s="47"/>
      <c r="HSB35" s="47"/>
      <c r="HSC35" s="47"/>
      <c r="HSD35" s="47"/>
      <c r="HSE35" s="47"/>
      <c r="HSF35" s="47"/>
      <c r="HSG35" s="47"/>
      <c r="HSH35" s="47"/>
      <c r="HSI35" s="47"/>
      <c r="HSJ35" s="47"/>
      <c r="HSK35" s="47"/>
      <c r="HSL35" s="47"/>
      <c r="HSM35" s="47"/>
      <c r="HSN35" s="47"/>
      <c r="HSO35" s="47"/>
      <c r="HSP35" s="47"/>
      <c r="HSQ35" s="47"/>
      <c r="HSR35" s="47"/>
      <c r="HSS35" s="47"/>
      <c r="HST35" s="47"/>
      <c r="HSU35" s="47"/>
      <c r="HSV35" s="47"/>
      <c r="HSW35" s="47"/>
      <c r="HSX35" s="47"/>
      <c r="HSY35" s="47"/>
      <c r="HSZ35" s="47"/>
      <c r="HTA35" s="47"/>
      <c r="HTB35" s="47"/>
      <c r="HTC35" s="47"/>
      <c r="HTD35" s="47"/>
      <c r="HTE35" s="47"/>
      <c r="HTF35" s="47"/>
      <c r="HTG35" s="47"/>
      <c r="HTH35" s="47"/>
      <c r="HTI35" s="47"/>
      <c r="HTJ35" s="47"/>
      <c r="HTK35" s="47"/>
      <c r="HTL35" s="47"/>
      <c r="HTM35" s="47"/>
      <c r="HTN35" s="47"/>
      <c r="HTO35" s="47"/>
      <c r="HTP35" s="47"/>
      <c r="HTQ35" s="47"/>
      <c r="HTR35" s="47"/>
      <c r="HTS35" s="47"/>
      <c r="HTT35" s="47"/>
      <c r="HTU35" s="47"/>
      <c r="HTV35" s="47"/>
      <c r="HTW35" s="47"/>
      <c r="HTX35" s="47"/>
      <c r="HTY35" s="47"/>
      <c r="HTZ35" s="47"/>
      <c r="HUA35" s="47"/>
      <c r="HUB35" s="47"/>
      <c r="HUC35" s="47"/>
      <c r="HUD35" s="47"/>
      <c r="HUE35" s="47"/>
      <c r="HUF35" s="47"/>
      <c r="HUG35" s="47"/>
      <c r="HUH35" s="47"/>
      <c r="HUI35" s="47"/>
      <c r="HUJ35" s="47"/>
      <c r="HUK35" s="47"/>
      <c r="HUL35" s="47"/>
      <c r="HUM35" s="47"/>
      <c r="HUN35" s="47"/>
      <c r="HUO35" s="47"/>
      <c r="HUP35" s="47"/>
      <c r="HUQ35" s="47"/>
      <c r="HUR35" s="47"/>
      <c r="HUS35" s="47"/>
      <c r="HUT35" s="47"/>
      <c r="HUU35" s="47"/>
      <c r="HUV35" s="47"/>
      <c r="HUW35" s="47"/>
      <c r="HUX35" s="47"/>
      <c r="HUY35" s="47"/>
      <c r="HUZ35" s="47"/>
      <c r="HVA35" s="47"/>
      <c r="HVB35" s="47"/>
      <c r="HVC35" s="47"/>
      <c r="HVD35" s="47"/>
      <c r="HVE35" s="47"/>
      <c r="HVF35" s="47"/>
      <c r="HVG35" s="47"/>
      <c r="HVH35" s="47"/>
      <c r="HVI35" s="47"/>
      <c r="HVJ35" s="47"/>
      <c r="HVK35" s="47"/>
      <c r="HVL35" s="47"/>
      <c r="HVM35" s="47"/>
      <c r="HVN35" s="47"/>
      <c r="HVO35" s="47"/>
      <c r="HVP35" s="47"/>
      <c r="HVQ35" s="47"/>
      <c r="HVR35" s="47"/>
      <c r="HVS35" s="47"/>
      <c r="HVT35" s="47"/>
      <c r="HVU35" s="47"/>
      <c r="HVV35" s="47"/>
      <c r="HVW35" s="47"/>
      <c r="HVX35" s="47"/>
      <c r="HVY35" s="47"/>
      <c r="HVZ35" s="47"/>
      <c r="HWA35" s="47"/>
      <c r="HWB35" s="47"/>
      <c r="HWC35" s="47"/>
      <c r="HWD35" s="47"/>
      <c r="HWE35" s="47"/>
      <c r="HWF35" s="47"/>
      <c r="HWG35" s="47"/>
      <c r="HWH35" s="47"/>
      <c r="HWI35" s="47"/>
      <c r="HWJ35" s="47"/>
      <c r="HWK35" s="47"/>
      <c r="HWL35" s="47"/>
      <c r="HWM35" s="47"/>
      <c r="HWN35" s="47"/>
      <c r="HWO35" s="47"/>
      <c r="HWP35" s="47"/>
      <c r="HWQ35" s="47"/>
      <c r="HWR35" s="47"/>
      <c r="HWS35" s="47"/>
      <c r="HWT35" s="47"/>
      <c r="HWU35" s="47"/>
      <c r="HWV35" s="47"/>
      <c r="HWW35" s="47"/>
      <c r="HWX35" s="47"/>
      <c r="HWY35" s="47"/>
      <c r="HWZ35" s="47"/>
      <c r="HXA35" s="47"/>
      <c r="HXB35" s="47"/>
      <c r="HXC35" s="47"/>
      <c r="HXD35" s="47"/>
      <c r="HXE35" s="47"/>
      <c r="HXF35" s="47"/>
      <c r="HXG35" s="47"/>
      <c r="HXH35" s="47"/>
      <c r="HXI35" s="47"/>
      <c r="HXJ35" s="47"/>
      <c r="HXK35" s="47"/>
      <c r="HXL35" s="47"/>
      <c r="HXM35" s="47"/>
      <c r="HXN35" s="47"/>
      <c r="HXO35" s="47"/>
      <c r="HXP35" s="47"/>
      <c r="HXQ35" s="47"/>
      <c r="HXR35" s="47"/>
      <c r="HXS35" s="47"/>
      <c r="HXT35" s="47"/>
      <c r="HXU35" s="47"/>
      <c r="HXV35" s="47"/>
      <c r="HXW35" s="47"/>
      <c r="HXX35" s="47"/>
      <c r="HXY35" s="47"/>
      <c r="HXZ35" s="47"/>
      <c r="HYA35" s="47"/>
      <c r="HYB35" s="47"/>
      <c r="HYC35" s="47"/>
      <c r="HYD35" s="47"/>
      <c r="HYE35" s="47"/>
      <c r="HYF35" s="47"/>
      <c r="HYG35" s="47"/>
      <c r="HYH35" s="47"/>
      <c r="HYI35" s="47"/>
      <c r="HYJ35" s="47"/>
      <c r="HYK35" s="47"/>
      <c r="HYL35" s="47"/>
      <c r="HYM35" s="47"/>
      <c r="HYN35" s="47"/>
      <c r="HYO35" s="47"/>
      <c r="HYP35" s="47"/>
      <c r="HYQ35" s="47"/>
      <c r="HYR35" s="47"/>
      <c r="HYS35" s="47"/>
      <c r="HYT35" s="47"/>
      <c r="HYU35" s="47"/>
      <c r="HYV35" s="47"/>
      <c r="HYW35" s="47"/>
      <c r="HYX35" s="47"/>
      <c r="HYY35" s="47"/>
      <c r="HYZ35" s="47"/>
      <c r="HZA35" s="47"/>
      <c r="HZB35" s="47"/>
      <c r="HZC35" s="47"/>
      <c r="HZD35" s="47"/>
      <c r="HZE35" s="47"/>
      <c r="HZF35" s="47"/>
      <c r="HZG35" s="47"/>
      <c r="HZH35" s="47"/>
      <c r="HZI35" s="47"/>
      <c r="HZJ35" s="47"/>
      <c r="HZK35" s="47"/>
      <c r="HZL35" s="47"/>
      <c r="HZM35" s="47"/>
      <c r="HZN35" s="47"/>
      <c r="HZO35" s="47"/>
      <c r="HZP35" s="47"/>
      <c r="HZQ35" s="47"/>
      <c r="HZR35" s="47"/>
      <c r="HZS35" s="47"/>
      <c r="HZT35" s="47"/>
      <c r="HZU35" s="47"/>
      <c r="HZV35" s="47"/>
      <c r="HZW35" s="47"/>
      <c r="HZX35" s="47"/>
      <c r="HZY35" s="47"/>
      <c r="HZZ35" s="47"/>
      <c r="IAA35" s="47"/>
      <c r="IAB35" s="47"/>
      <c r="IAC35" s="47"/>
      <c r="IAD35" s="47"/>
      <c r="IAE35" s="47"/>
      <c r="IAF35" s="47"/>
      <c r="IAG35" s="47"/>
      <c r="IAH35" s="47"/>
      <c r="IAI35" s="47"/>
      <c r="IAJ35" s="47"/>
      <c r="IAK35" s="47"/>
      <c r="IAL35" s="47"/>
      <c r="IAM35" s="47"/>
      <c r="IAN35" s="47"/>
      <c r="IAO35" s="47"/>
      <c r="IAP35" s="47"/>
      <c r="IAQ35" s="47"/>
      <c r="IAR35" s="47"/>
      <c r="IAS35" s="47"/>
      <c r="IAT35" s="47"/>
      <c r="IAU35" s="47"/>
      <c r="IAV35" s="47"/>
      <c r="IAW35" s="47"/>
      <c r="IAX35" s="47"/>
      <c r="IAY35" s="47"/>
      <c r="IAZ35" s="47"/>
      <c r="IBA35" s="47"/>
      <c r="IBB35" s="47"/>
      <c r="IBC35" s="47"/>
      <c r="IBD35" s="47"/>
      <c r="IBE35" s="47"/>
      <c r="IBF35" s="47"/>
      <c r="IBG35" s="47"/>
      <c r="IBH35" s="47"/>
      <c r="IBI35" s="47"/>
      <c r="IBJ35" s="47"/>
      <c r="IBK35" s="47"/>
      <c r="IBL35" s="47"/>
      <c r="IBM35" s="47"/>
      <c r="IBN35" s="47"/>
      <c r="IBO35" s="47"/>
      <c r="IBP35" s="47"/>
      <c r="IBQ35" s="47"/>
      <c r="IBR35" s="47"/>
      <c r="IBS35" s="47"/>
      <c r="IBT35" s="47"/>
      <c r="IBU35" s="47"/>
      <c r="IBV35" s="47"/>
      <c r="IBW35" s="47"/>
      <c r="IBX35" s="47"/>
      <c r="IBY35" s="47"/>
      <c r="IBZ35" s="47"/>
      <c r="ICA35" s="47"/>
      <c r="ICB35" s="47"/>
      <c r="ICC35" s="47"/>
      <c r="ICD35" s="47"/>
      <c r="ICE35" s="47"/>
      <c r="ICF35" s="47"/>
      <c r="ICG35" s="47"/>
      <c r="ICH35" s="47"/>
      <c r="ICI35" s="47"/>
      <c r="ICJ35" s="47"/>
      <c r="ICK35" s="47"/>
      <c r="ICL35" s="47"/>
      <c r="ICM35" s="47"/>
      <c r="ICN35" s="47"/>
      <c r="ICO35" s="47"/>
      <c r="ICP35" s="47"/>
      <c r="ICQ35" s="47"/>
      <c r="ICR35" s="47"/>
      <c r="ICS35" s="47"/>
      <c r="ICT35" s="47"/>
      <c r="ICU35" s="47"/>
      <c r="ICV35" s="47"/>
      <c r="ICW35" s="47"/>
      <c r="ICX35" s="47"/>
      <c r="ICY35" s="47"/>
      <c r="ICZ35" s="47"/>
      <c r="IDA35" s="47"/>
      <c r="IDB35" s="47"/>
      <c r="IDC35" s="47"/>
      <c r="IDD35" s="47"/>
      <c r="IDE35" s="47"/>
      <c r="IDF35" s="47"/>
      <c r="IDG35" s="47"/>
      <c r="IDH35" s="47"/>
      <c r="IDI35" s="47"/>
      <c r="IDJ35" s="47"/>
      <c r="IDK35" s="47"/>
      <c r="IDL35" s="47"/>
      <c r="IDM35" s="47"/>
      <c r="IDN35" s="47"/>
      <c r="IDO35" s="47"/>
      <c r="IDP35" s="47"/>
      <c r="IDQ35" s="47"/>
      <c r="IDR35" s="47"/>
      <c r="IDS35" s="47"/>
      <c r="IDT35" s="47"/>
      <c r="IDU35" s="47"/>
      <c r="IDV35" s="47"/>
      <c r="IDW35" s="47"/>
      <c r="IDX35" s="47"/>
      <c r="IDY35" s="47"/>
      <c r="IDZ35" s="47"/>
      <c r="IEA35" s="47"/>
      <c r="IEB35" s="47"/>
      <c r="IEC35" s="47"/>
      <c r="IED35" s="47"/>
      <c r="IEE35" s="47"/>
      <c r="IEF35" s="47"/>
      <c r="IEG35" s="47"/>
      <c r="IEH35" s="47"/>
      <c r="IEI35" s="47"/>
      <c r="IEJ35" s="47"/>
      <c r="IEK35" s="47"/>
      <c r="IEL35" s="47"/>
      <c r="IEM35" s="47"/>
      <c r="IEN35" s="47"/>
      <c r="IEO35" s="47"/>
      <c r="IEP35" s="47"/>
      <c r="IEQ35" s="47"/>
      <c r="IER35" s="47"/>
      <c r="IES35" s="47"/>
      <c r="IET35" s="47"/>
      <c r="IEU35" s="47"/>
      <c r="IEV35" s="47"/>
      <c r="IEW35" s="47"/>
      <c r="IEX35" s="47"/>
      <c r="IEY35" s="47"/>
      <c r="IEZ35" s="47"/>
      <c r="IFA35" s="47"/>
      <c r="IFB35" s="47"/>
      <c r="IFC35" s="47"/>
      <c r="IFD35" s="47"/>
      <c r="IFE35" s="47"/>
      <c r="IFF35" s="47"/>
      <c r="IFG35" s="47"/>
      <c r="IFH35" s="47"/>
      <c r="IFI35" s="47"/>
      <c r="IFJ35" s="47"/>
      <c r="IFK35" s="47"/>
      <c r="IFL35" s="47"/>
      <c r="IFM35" s="47"/>
      <c r="IFN35" s="47"/>
      <c r="IFO35" s="47"/>
      <c r="IFP35" s="47"/>
      <c r="IFQ35" s="47"/>
      <c r="IFR35" s="47"/>
      <c r="IFS35" s="47"/>
      <c r="IFT35" s="47"/>
      <c r="IFU35" s="47"/>
      <c r="IFV35" s="47"/>
      <c r="IFW35" s="47"/>
      <c r="IFX35" s="47"/>
      <c r="IFY35" s="47"/>
      <c r="IFZ35" s="47"/>
      <c r="IGA35" s="47"/>
      <c r="IGB35" s="47"/>
      <c r="IGC35" s="47"/>
      <c r="IGD35" s="47"/>
      <c r="IGE35" s="47"/>
      <c r="IGF35" s="47"/>
      <c r="IGG35" s="47"/>
      <c r="IGH35" s="47"/>
      <c r="IGI35" s="47"/>
      <c r="IGJ35" s="47"/>
      <c r="IGK35" s="47"/>
      <c r="IGL35" s="47"/>
      <c r="IGM35" s="47"/>
      <c r="IGN35" s="47"/>
      <c r="IGO35" s="47"/>
      <c r="IGP35" s="47"/>
      <c r="IGQ35" s="47"/>
      <c r="IGR35" s="47"/>
      <c r="IGS35" s="47"/>
      <c r="IGT35" s="47"/>
      <c r="IGU35" s="47"/>
      <c r="IGV35" s="47"/>
      <c r="IGW35" s="47"/>
      <c r="IGX35" s="47"/>
      <c r="IGY35" s="47"/>
      <c r="IGZ35" s="47"/>
      <c r="IHA35" s="47"/>
      <c r="IHB35" s="47"/>
      <c r="IHC35" s="47"/>
      <c r="IHD35" s="47"/>
      <c r="IHE35" s="47"/>
      <c r="IHF35" s="47"/>
      <c r="IHG35" s="47"/>
      <c r="IHH35" s="47"/>
      <c r="IHI35" s="47"/>
      <c r="IHJ35" s="47"/>
      <c r="IHK35" s="47"/>
      <c r="IHL35" s="47"/>
      <c r="IHM35" s="47"/>
      <c r="IHN35" s="47"/>
      <c r="IHO35" s="47"/>
      <c r="IHP35" s="47"/>
      <c r="IHQ35" s="47"/>
      <c r="IHR35" s="47"/>
      <c r="IHS35" s="47"/>
      <c r="IHT35" s="47"/>
      <c r="IHU35" s="47"/>
      <c r="IHV35" s="47"/>
      <c r="IHW35" s="47"/>
      <c r="IHX35" s="47"/>
      <c r="IHY35" s="47"/>
      <c r="IHZ35" s="47"/>
      <c r="IIA35" s="47"/>
      <c r="IIB35" s="47"/>
      <c r="IIC35" s="47"/>
      <c r="IID35" s="47"/>
      <c r="IIE35" s="47"/>
      <c r="IIF35" s="47"/>
      <c r="IIG35" s="47"/>
      <c r="IIH35" s="47"/>
      <c r="III35" s="47"/>
      <c r="IIJ35" s="47"/>
      <c r="IIK35" s="47"/>
      <c r="IIL35" s="47"/>
      <c r="IIM35" s="47"/>
      <c r="IIN35" s="47"/>
      <c r="IIO35" s="47"/>
      <c r="IIP35" s="47"/>
      <c r="IIQ35" s="47"/>
      <c r="IIR35" s="47"/>
      <c r="IIS35" s="47"/>
      <c r="IIT35" s="47"/>
      <c r="IIU35" s="47"/>
      <c r="IIV35" s="47"/>
      <c r="IIW35" s="47"/>
      <c r="IIX35" s="47"/>
      <c r="IIY35" s="47"/>
      <c r="IIZ35" s="47"/>
      <c r="IJA35" s="47"/>
      <c r="IJB35" s="47"/>
      <c r="IJC35" s="47"/>
      <c r="IJD35" s="47"/>
      <c r="IJE35" s="47"/>
      <c r="IJF35" s="47"/>
      <c r="IJG35" s="47"/>
      <c r="IJH35" s="47"/>
      <c r="IJI35" s="47"/>
      <c r="IJJ35" s="47"/>
      <c r="IJK35" s="47"/>
      <c r="IJL35" s="47"/>
      <c r="IJM35" s="47"/>
      <c r="IJN35" s="47"/>
      <c r="IJO35" s="47"/>
      <c r="IJP35" s="47"/>
      <c r="IJQ35" s="47"/>
      <c r="IJR35" s="47"/>
      <c r="IJS35" s="47"/>
      <c r="IJT35" s="47"/>
      <c r="IJU35" s="47"/>
      <c r="IJV35" s="47"/>
      <c r="IJW35" s="47"/>
      <c r="IJX35" s="47"/>
      <c r="IJY35" s="47"/>
      <c r="IJZ35" s="47"/>
      <c r="IKA35" s="47"/>
      <c r="IKB35" s="47"/>
      <c r="IKC35" s="47"/>
      <c r="IKD35" s="47"/>
      <c r="IKE35" s="47"/>
      <c r="IKF35" s="47"/>
      <c r="IKG35" s="47"/>
      <c r="IKH35" s="47"/>
      <c r="IKI35" s="47"/>
      <c r="IKJ35" s="47"/>
      <c r="IKK35" s="47"/>
      <c r="IKL35" s="47"/>
      <c r="IKM35" s="47"/>
      <c r="IKN35" s="47"/>
      <c r="IKO35" s="47"/>
      <c r="IKP35" s="47"/>
      <c r="IKQ35" s="47"/>
      <c r="IKR35" s="47"/>
      <c r="IKS35" s="47"/>
      <c r="IKT35" s="47"/>
      <c r="IKU35" s="47"/>
      <c r="IKV35" s="47"/>
      <c r="IKW35" s="47"/>
      <c r="IKX35" s="47"/>
      <c r="IKY35" s="47"/>
      <c r="IKZ35" s="47"/>
      <c r="ILA35" s="47"/>
      <c r="ILB35" s="47"/>
      <c r="ILC35" s="47"/>
      <c r="ILD35" s="47"/>
      <c r="ILE35" s="47"/>
      <c r="ILF35" s="47"/>
      <c r="ILG35" s="47"/>
      <c r="ILH35" s="47"/>
      <c r="ILI35" s="47"/>
      <c r="ILJ35" s="47"/>
      <c r="ILK35" s="47"/>
      <c r="ILL35" s="47"/>
      <c r="ILM35" s="47"/>
      <c r="ILN35" s="47"/>
      <c r="ILO35" s="47"/>
      <c r="ILP35" s="47"/>
      <c r="ILQ35" s="47"/>
      <c r="ILR35" s="47"/>
      <c r="ILS35" s="47"/>
      <c r="ILT35" s="47"/>
      <c r="ILU35" s="47"/>
      <c r="ILV35" s="47"/>
      <c r="ILW35" s="47"/>
      <c r="ILX35" s="47"/>
      <c r="ILY35" s="47"/>
      <c r="ILZ35" s="47"/>
      <c r="IMA35" s="47"/>
      <c r="IMB35" s="47"/>
      <c r="IMC35" s="47"/>
      <c r="IMD35" s="47"/>
      <c r="IME35" s="47"/>
      <c r="IMF35" s="47"/>
      <c r="IMG35" s="47"/>
      <c r="IMH35" s="47"/>
      <c r="IMI35" s="47"/>
      <c r="IMJ35" s="47"/>
      <c r="IMK35" s="47"/>
      <c r="IML35" s="47"/>
      <c r="IMM35" s="47"/>
      <c r="IMN35" s="47"/>
      <c r="IMO35" s="47"/>
      <c r="IMP35" s="47"/>
      <c r="IMQ35" s="47"/>
      <c r="IMR35" s="47"/>
      <c r="IMS35" s="47"/>
      <c r="IMT35" s="47"/>
      <c r="IMU35" s="47"/>
      <c r="IMV35" s="47"/>
      <c r="IMW35" s="47"/>
      <c r="IMX35" s="47"/>
      <c r="IMY35" s="47"/>
      <c r="IMZ35" s="47"/>
      <c r="INA35" s="47"/>
      <c r="INB35" s="47"/>
      <c r="INC35" s="47"/>
      <c r="IND35" s="47"/>
      <c r="INE35" s="47"/>
      <c r="INF35" s="47"/>
      <c r="ING35" s="47"/>
      <c r="INH35" s="47"/>
      <c r="INI35" s="47"/>
      <c r="INJ35" s="47"/>
      <c r="INK35" s="47"/>
      <c r="INL35" s="47"/>
      <c r="INM35" s="47"/>
      <c r="INN35" s="47"/>
      <c r="INO35" s="47"/>
      <c r="INP35" s="47"/>
      <c r="INQ35" s="47"/>
      <c r="INR35" s="47"/>
      <c r="INS35" s="47"/>
      <c r="INT35" s="47"/>
      <c r="INU35" s="47"/>
      <c r="INV35" s="47"/>
      <c r="INW35" s="47"/>
      <c r="INX35" s="47"/>
      <c r="INY35" s="47"/>
      <c r="INZ35" s="47"/>
      <c r="IOA35" s="47"/>
      <c r="IOB35" s="47"/>
      <c r="IOC35" s="47"/>
      <c r="IOD35" s="47"/>
      <c r="IOE35" s="47"/>
      <c r="IOF35" s="47"/>
      <c r="IOG35" s="47"/>
      <c r="IOH35" s="47"/>
      <c r="IOI35" s="47"/>
      <c r="IOJ35" s="47"/>
      <c r="IOK35" s="47"/>
      <c r="IOL35" s="47"/>
      <c r="IOM35" s="47"/>
      <c r="ION35" s="47"/>
      <c r="IOO35" s="47"/>
      <c r="IOP35" s="47"/>
      <c r="IOQ35" s="47"/>
      <c r="IOR35" s="47"/>
      <c r="IOS35" s="47"/>
      <c r="IOT35" s="47"/>
      <c r="IOU35" s="47"/>
      <c r="IOV35" s="47"/>
      <c r="IOW35" s="47"/>
      <c r="IOX35" s="47"/>
      <c r="IOY35" s="47"/>
      <c r="IOZ35" s="47"/>
      <c r="IPA35" s="47"/>
      <c r="IPB35" s="47"/>
      <c r="IPC35" s="47"/>
      <c r="IPD35" s="47"/>
      <c r="IPE35" s="47"/>
      <c r="IPF35" s="47"/>
      <c r="IPG35" s="47"/>
      <c r="IPH35" s="47"/>
      <c r="IPI35" s="47"/>
      <c r="IPJ35" s="47"/>
      <c r="IPK35" s="47"/>
      <c r="IPL35" s="47"/>
      <c r="IPM35" s="47"/>
      <c r="IPN35" s="47"/>
      <c r="IPO35" s="47"/>
      <c r="IPP35" s="47"/>
      <c r="IPQ35" s="47"/>
      <c r="IPR35" s="47"/>
      <c r="IPS35" s="47"/>
      <c r="IPT35" s="47"/>
      <c r="IPU35" s="47"/>
      <c r="IPV35" s="47"/>
      <c r="IPW35" s="47"/>
      <c r="IPX35" s="47"/>
      <c r="IPY35" s="47"/>
      <c r="IPZ35" s="47"/>
      <c r="IQA35" s="47"/>
      <c r="IQB35" s="47"/>
      <c r="IQC35" s="47"/>
      <c r="IQD35" s="47"/>
      <c r="IQE35" s="47"/>
      <c r="IQF35" s="47"/>
      <c r="IQG35" s="47"/>
      <c r="IQH35" s="47"/>
      <c r="IQI35" s="47"/>
      <c r="IQJ35" s="47"/>
      <c r="IQK35" s="47"/>
      <c r="IQL35" s="47"/>
      <c r="IQM35" s="47"/>
      <c r="IQN35" s="47"/>
      <c r="IQO35" s="47"/>
      <c r="IQP35" s="47"/>
      <c r="IQQ35" s="47"/>
      <c r="IQR35" s="47"/>
      <c r="IQS35" s="47"/>
      <c r="IQT35" s="47"/>
      <c r="IQU35" s="47"/>
      <c r="IQV35" s="47"/>
      <c r="IQW35" s="47"/>
      <c r="IQX35" s="47"/>
      <c r="IQY35" s="47"/>
      <c r="IQZ35" s="47"/>
      <c r="IRA35" s="47"/>
      <c r="IRB35" s="47"/>
      <c r="IRC35" s="47"/>
      <c r="IRD35" s="47"/>
      <c r="IRE35" s="47"/>
      <c r="IRF35" s="47"/>
      <c r="IRG35" s="47"/>
      <c r="IRH35" s="47"/>
      <c r="IRI35" s="47"/>
      <c r="IRJ35" s="47"/>
      <c r="IRK35" s="47"/>
      <c r="IRL35" s="47"/>
      <c r="IRM35" s="47"/>
      <c r="IRN35" s="47"/>
      <c r="IRO35" s="47"/>
      <c r="IRP35" s="47"/>
      <c r="IRQ35" s="47"/>
      <c r="IRR35" s="47"/>
      <c r="IRS35" s="47"/>
      <c r="IRT35" s="47"/>
      <c r="IRU35" s="47"/>
      <c r="IRV35" s="47"/>
      <c r="IRW35" s="47"/>
      <c r="IRX35" s="47"/>
      <c r="IRY35" s="47"/>
      <c r="IRZ35" s="47"/>
      <c r="ISA35" s="47"/>
      <c r="ISB35" s="47"/>
      <c r="ISC35" s="47"/>
      <c r="ISD35" s="47"/>
      <c r="ISE35" s="47"/>
      <c r="ISF35" s="47"/>
      <c r="ISG35" s="47"/>
      <c r="ISH35" s="47"/>
      <c r="ISI35" s="47"/>
      <c r="ISJ35" s="47"/>
      <c r="ISK35" s="47"/>
      <c r="ISL35" s="47"/>
      <c r="ISM35" s="47"/>
      <c r="ISN35" s="47"/>
      <c r="ISO35" s="47"/>
      <c r="ISP35" s="47"/>
      <c r="ISQ35" s="47"/>
      <c r="ISR35" s="47"/>
      <c r="ISS35" s="47"/>
      <c r="IST35" s="47"/>
      <c r="ISU35" s="47"/>
      <c r="ISV35" s="47"/>
      <c r="ISW35" s="47"/>
      <c r="ISX35" s="47"/>
      <c r="ISY35" s="47"/>
      <c r="ISZ35" s="47"/>
      <c r="ITA35" s="47"/>
      <c r="ITB35" s="47"/>
      <c r="ITC35" s="47"/>
      <c r="ITD35" s="47"/>
      <c r="ITE35" s="47"/>
      <c r="ITF35" s="47"/>
      <c r="ITG35" s="47"/>
      <c r="ITH35" s="47"/>
      <c r="ITI35" s="47"/>
      <c r="ITJ35" s="47"/>
      <c r="ITK35" s="47"/>
      <c r="ITL35" s="47"/>
      <c r="ITM35" s="47"/>
      <c r="ITN35" s="47"/>
      <c r="ITO35" s="47"/>
      <c r="ITP35" s="47"/>
      <c r="ITQ35" s="47"/>
      <c r="ITR35" s="47"/>
      <c r="ITS35" s="47"/>
      <c r="ITT35" s="47"/>
      <c r="ITU35" s="47"/>
      <c r="ITV35" s="47"/>
      <c r="ITW35" s="47"/>
      <c r="ITX35" s="47"/>
      <c r="ITY35" s="47"/>
      <c r="ITZ35" s="47"/>
      <c r="IUA35" s="47"/>
      <c r="IUB35" s="47"/>
      <c r="IUC35" s="47"/>
      <c r="IUD35" s="47"/>
      <c r="IUE35" s="47"/>
      <c r="IUF35" s="47"/>
      <c r="IUG35" s="47"/>
      <c r="IUH35" s="47"/>
      <c r="IUI35" s="47"/>
      <c r="IUJ35" s="47"/>
      <c r="IUK35" s="47"/>
      <c r="IUL35" s="47"/>
      <c r="IUM35" s="47"/>
      <c r="IUN35" s="47"/>
      <c r="IUO35" s="47"/>
      <c r="IUP35" s="47"/>
      <c r="IUQ35" s="47"/>
      <c r="IUR35" s="47"/>
      <c r="IUS35" s="47"/>
      <c r="IUT35" s="47"/>
      <c r="IUU35" s="47"/>
      <c r="IUV35" s="47"/>
      <c r="IUW35" s="47"/>
      <c r="IUX35" s="47"/>
      <c r="IUY35" s="47"/>
      <c r="IUZ35" s="47"/>
      <c r="IVA35" s="47"/>
      <c r="IVB35" s="47"/>
      <c r="IVC35" s="47"/>
      <c r="IVD35" s="47"/>
      <c r="IVE35" s="47"/>
      <c r="IVF35" s="47"/>
      <c r="IVG35" s="47"/>
      <c r="IVH35" s="47"/>
      <c r="IVI35" s="47"/>
      <c r="IVJ35" s="47"/>
      <c r="IVK35" s="47"/>
      <c r="IVL35" s="47"/>
      <c r="IVM35" s="47"/>
      <c r="IVN35" s="47"/>
      <c r="IVO35" s="47"/>
      <c r="IVP35" s="47"/>
      <c r="IVQ35" s="47"/>
      <c r="IVR35" s="47"/>
      <c r="IVS35" s="47"/>
      <c r="IVT35" s="47"/>
      <c r="IVU35" s="47"/>
      <c r="IVV35" s="47"/>
      <c r="IVW35" s="47"/>
      <c r="IVX35" s="47"/>
      <c r="IVY35" s="47"/>
      <c r="IVZ35" s="47"/>
      <c r="IWA35" s="47"/>
      <c r="IWB35" s="47"/>
      <c r="IWC35" s="47"/>
      <c r="IWD35" s="47"/>
      <c r="IWE35" s="47"/>
      <c r="IWF35" s="47"/>
      <c r="IWG35" s="47"/>
      <c r="IWH35" s="47"/>
      <c r="IWI35" s="47"/>
      <c r="IWJ35" s="47"/>
      <c r="IWK35" s="47"/>
      <c r="IWL35" s="47"/>
      <c r="IWM35" s="47"/>
      <c r="IWN35" s="47"/>
      <c r="IWO35" s="47"/>
      <c r="IWP35" s="47"/>
      <c r="IWQ35" s="47"/>
      <c r="IWR35" s="47"/>
      <c r="IWS35" s="47"/>
      <c r="IWT35" s="47"/>
      <c r="IWU35" s="47"/>
      <c r="IWV35" s="47"/>
      <c r="IWW35" s="47"/>
      <c r="IWX35" s="47"/>
      <c r="IWY35" s="47"/>
      <c r="IWZ35" s="47"/>
      <c r="IXA35" s="47"/>
      <c r="IXB35" s="47"/>
      <c r="IXC35" s="47"/>
      <c r="IXD35" s="47"/>
      <c r="IXE35" s="47"/>
      <c r="IXF35" s="47"/>
      <c r="IXG35" s="47"/>
      <c r="IXH35" s="47"/>
      <c r="IXI35" s="47"/>
      <c r="IXJ35" s="47"/>
      <c r="IXK35" s="47"/>
      <c r="IXL35" s="47"/>
      <c r="IXM35" s="47"/>
      <c r="IXN35" s="47"/>
      <c r="IXO35" s="47"/>
      <c r="IXP35" s="47"/>
      <c r="IXQ35" s="47"/>
      <c r="IXR35" s="47"/>
      <c r="IXS35" s="47"/>
      <c r="IXT35" s="47"/>
      <c r="IXU35" s="47"/>
      <c r="IXV35" s="47"/>
      <c r="IXW35" s="47"/>
      <c r="IXX35" s="47"/>
      <c r="IXY35" s="47"/>
      <c r="IXZ35" s="47"/>
      <c r="IYA35" s="47"/>
      <c r="IYB35" s="47"/>
      <c r="IYC35" s="47"/>
      <c r="IYD35" s="47"/>
      <c r="IYE35" s="47"/>
      <c r="IYF35" s="47"/>
      <c r="IYG35" s="47"/>
      <c r="IYH35" s="47"/>
      <c r="IYI35" s="47"/>
      <c r="IYJ35" s="47"/>
      <c r="IYK35" s="47"/>
      <c r="IYL35" s="47"/>
      <c r="IYM35" s="47"/>
      <c r="IYN35" s="47"/>
      <c r="IYO35" s="47"/>
      <c r="IYP35" s="47"/>
      <c r="IYQ35" s="47"/>
      <c r="IYR35" s="47"/>
      <c r="IYS35" s="47"/>
      <c r="IYT35" s="47"/>
      <c r="IYU35" s="47"/>
      <c r="IYV35" s="47"/>
      <c r="IYW35" s="47"/>
      <c r="IYX35" s="47"/>
      <c r="IYY35" s="47"/>
      <c r="IYZ35" s="47"/>
      <c r="IZA35" s="47"/>
      <c r="IZB35" s="47"/>
      <c r="IZC35" s="47"/>
      <c r="IZD35" s="47"/>
      <c r="IZE35" s="47"/>
      <c r="IZF35" s="47"/>
      <c r="IZG35" s="47"/>
      <c r="IZH35" s="47"/>
      <c r="IZI35" s="47"/>
      <c r="IZJ35" s="47"/>
      <c r="IZK35" s="47"/>
      <c r="IZL35" s="47"/>
      <c r="IZM35" s="47"/>
      <c r="IZN35" s="47"/>
      <c r="IZO35" s="47"/>
      <c r="IZP35" s="47"/>
      <c r="IZQ35" s="47"/>
      <c r="IZR35" s="47"/>
      <c r="IZS35" s="47"/>
      <c r="IZT35" s="47"/>
      <c r="IZU35" s="47"/>
      <c r="IZV35" s="47"/>
      <c r="IZW35" s="47"/>
      <c r="IZX35" s="47"/>
      <c r="IZY35" s="47"/>
      <c r="IZZ35" s="47"/>
      <c r="JAA35" s="47"/>
      <c r="JAB35" s="47"/>
      <c r="JAC35" s="47"/>
      <c r="JAD35" s="47"/>
      <c r="JAE35" s="47"/>
      <c r="JAF35" s="47"/>
      <c r="JAG35" s="47"/>
      <c r="JAH35" s="47"/>
      <c r="JAI35" s="47"/>
      <c r="JAJ35" s="47"/>
      <c r="JAK35" s="47"/>
      <c r="JAL35" s="47"/>
      <c r="JAM35" s="47"/>
      <c r="JAN35" s="47"/>
      <c r="JAO35" s="47"/>
      <c r="JAP35" s="47"/>
      <c r="JAQ35" s="47"/>
      <c r="JAR35" s="47"/>
      <c r="JAS35" s="47"/>
      <c r="JAT35" s="47"/>
      <c r="JAU35" s="47"/>
      <c r="JAV35" s="47"/>
      <c r="JAW35" s="47"/>
      <c r="JAX35" s="47"/>
      <c r="JAY35" s="47"/>
      <c r="JAZ35" s="47"/>
      <c r="JBA35" s="47"/>
      <c r="JBB35" s="47"/>
      <c r="JBC35" s="47"/>
      <c r="JBD35" s="47"/>
      <c r="JBE35" s="47"/>
      <c r="JBF35" s="47"/>
      <c r="JBG35" s="47"/>
      <c r="JBH35" s="47"/>
      <c r="JBI35" s="47"/>
      <c r="JBJ35" s="47"/>
      <c r="JBK35" s="47"/>
      <c r="JBL35" s="47"/>
      <c r="JBM35" s="47"/>
      <c r="JBN35" s="47"/>
      <c r="JBO35" s="47"/>
      <c r="JBP35" s="47"/>
      <c r="JBQ35" s="47"/>
      <c r="JBR35" s="47"/>
      <c r="JBS35" s="47"/>
      <c r="JBT35" s="47"/>
      <c r="JBU35" s="47"/>
      <c r="JBV35" s="47"/>
      <c r="JBW35" s="47"/>
      <c r="JBX35" s="47"/>
      <c r="JBY35" s="47"/>
      <c r="JBZ35" s="47"/>
      <c r="JCA35" s="47"/>
      <c r="JCB35" s="47"/>
      <c r="JCC35" s="47"/>
      <c r="JCD35" s="47"/>
      <c r="JCE35" s="47"/>
      <c r="JCF35" s="47"/>
      <c r="JCG35" s="47"/>
      <c r="JCH35" s="47"/>
      <c r="JCI35" s="47"/>
      <c r="JCJ35" s="47"/>
      <c r="JCK35" s="47"/>
      <c r="JCL35" s="47"/>
      <c r="JCM35" s="47"/>
      <c r="JCN35" s="47"/>
      <c r="JCO35" s="47"/>
      <c r="JCP35" s="47"/>
      <c r="JCQ35" s="47"/>
      <c r="JCR35" s="47"/>
      <c r="JCS35" s="47"/>
      <c r="JCT35" s="47"/>
      <c r="JCU35" s="47"/>
      <c r="JCV35" s="47"/>
      <c r="JCW35" s="47"/>
      <c r="JCX35" s="47"/>
      <c r="JCY35" s="47"/>
      <c r="JCZ35" s="47"/>
      <c r="JDA35" s="47"/>
      <c r="JDB35" s="47"/>
      <c r="JDC35" s="47"/>
      <c r="JDD35" s="47"/>
      <c r="JDE35" s="47"/>
      <c r="JDF35" s="47"/>
      <c r="JDG35" s="47"/>
      <c r="JDH35" s="47"/>
      <c r="JDI35" s="47"/>
      <c r="JDJ35" s="47"/>
      <c r="JDK35" s="47"/>
      <c r="JDL35" s="47"/>
      <c r="JDM35" s="47"/>
      <c r="JDN35" s="47"/>
      <c r="JDO35" s="47"/>
      <c r="JDP35" s="47"/>
      <c r="JDQ35" s="47"/>
      <c r="JDR35" s="47"/>
      <c r="JDS35" s="47"/>
      <c r="JDT35" s="47"/>
      <c r="JDU35" s="47"/>
      <c r="JDV35" s="47"/>
      <c r="JDW35" s="47"/>
      <c r="JDX35" s="47"/>
      <c r="JDY35" s="47"/>
      <c r="JDZ35" s="47"/>
      <c r="JEA35" s="47"/>
      <c r="JEB35" s="47"/>
      <c r="JEC35" s="47"/>
      <c r="JED35" s="47"/>
      <c r="JEE35" s="47"/>
      <c r="JEF35" s="47"/>
      <c r="JEG35" s="47"/>
      <c r="JEH35" s="47"/>
      <c r="JEI35" s="47"/>
      <c r="JEJ35" s="47"/>
      <c r="JEK35" s="47"/>
      <c r="JEL35" s="47"/>
      <c r="JEM35" s="47"/>
      <c r="JEN35" s="47"/>
      <c r="JEO35" s="47"/>
      <c r="JEP35" s="47"/>
      <c r="JEQ35" s="47"/>
      <c r="JER35" s="47"/>
      <c r="JES35" s="47"/>
      <c r="JET35" s="47"/>
      <c r="JEU35" s="47"/>
      <c r="JEV35" s="47"/>
      <c r="JEW35" s="47"/>
      <c r="JEX35" s="47"/>
      <c r="JEY35" s="47"/>
      <c r="JEZ35" s="47"/>
      <c r="JFA35" s="47"/>
      <c r="JFB35" s="47"/>
      <c r="JFC35" s="47"/>
      <c r="JFD35" s="47"/>
      <c r="JFE35" s="47"/>
      <c r="JFF35" s="47"/>
      <c r="JFG35" s="47"/>
      <c r="JFH35" s="47"/>
      <c r="JFI35" s="47"/>
      <c r="JFJ35" s="47"/>
      <c r="JFK35" s="47"/>
      <c r="JFL35" s="47"/>
      <c r="JFM35" s="47"/>
      <c r="JFN35" s="47"/>
      <c r="JFO35" s="47"/>
      <c r="JFP35" s="47"/>
      <c r="JFQ35" s="47"/>
      <c r="JFR35" s="47"/>
      <c r="JFS35" s="47"/>
      <c r="JFT35" s="47"/>
      <c r="JFU35" s="47"/>
      <c r="JFV35" s="47"/>
      <c r="JFW35" s="47"/>
      <c r="JFX35" s="47"/>
      <c r="JFY35" s="47"/>
      <c r="JFZ35" s="47"/>
      <c r="JGA35" s="47"/>
      <c r="JGB35" s="47"/>
      <c r="JGC35" s="47"/>
      <c r="JGD35" s="47"/>
      <c r="JGE35" s="47"/>
      <c r="JGF35" s="47"/>
      <c r="JGG35" s="47"/>
      <c r="JGH35" s="47"/>
      <c r="JGI35" s="47"/>
      <c r="JGJ35" s="47"/>
      <c r="JGK35" s="47"/>
      <c r="JGL35" s="47"/>
      <c r="JGM35" s="47"/>
      <c r="JGN35" s="47"/>
      <c r="JGO35" s="47"/>
      <c r="JGP35" s="47"/>
      <c r="JGQ35" s="47"/>
      <c r="JGR35" s="47"/>
      <c r="JGS35" s="47"/>
      <c r="JGT35" s="47"/>
      <c r="JGU35" s="47"/>
      <c r="JGV35" s="47"/>
      <c r="JGW35" s="47"/>
      <c r="JGX35" s="47"/>
      <c r="JGY35" s="47"/>
      <c r="JGZ35" s="47"/>
      <c r="JHA35" s="47"/>
      <c r="JHB35" s="47"/>
      <c r="JHC35" s="47"/>
      <c r="JHD35" s="47"/>
      <c r="JHE35" s="47"/>
      <c r="JHF35" s="47"/>
      <c r="JHG35" s="47"/>
      <c r="JHH35" s="47"/>
      <c r="JHI35" s="47"/>
      <c r="JHJ35" s="47"/>
      <c r="JHK35" s="47"/>
      <c r="JHL35" s="47"/>
      <c r="JHM35" s="47"/>
      <c r="JHN35" s="47"/>
      <c r="JHO35" s="47"/>
      <c r="JHP35" s="47"/>
      <c r="JHQ35" s="47"/>
      <c r="JHR35" s="47"/>
      <c r="JHS35" s="47"/>
      <c r="JHT35" s="47"/>
      <c r="JHU35" s="47"/>
      <c r="JHV35" s="47"/>
      <c r="JHW35" s="47"/>
      <c r="JHX35" s="47"/>
      <c r="JHY35" s="47"/>
      <c r="JHZ35" s="47"/>
      <c r="JIA35" s="47"/>
      <c r="JIB35" s="47"/>
      <c r="JIC35" s="47"/>
      <c r="JID35" s="47"/>
      <c r="JIE35" s="47"/>
      <c r="JIF35" s="47"/>
      <c r="JIG35" s="47"/>
      <c r="JIH35" s="47"/>
      <c r="JII35" s="47"/>
      <c r="JIJ35" s="47"/>
      <c r="JIK35" s="47"/>
      <c r="JIL35" s="47"/>
      <c r="JIM35" s="47"/>
      <c r="JIN35" s="47"/>
      <c r="JIO35" s="47"/>
      <c r="JIP35" s="47"/>
      <c r="JIQ35" s="47"/>
      <c r="JIR35" s="47"/>
      <c r="JIS35" s="47"/>
      <c r="JIT35" s="47"/>
      <c r="JIU35" s="47"/>
      <c r="JIV35" s="47"/>
      <c r="JIW35" s="47"/>
      <c r="JIX35" s="47"/>
      <c r="JIY35" s="47"/>
      <c r="JIZ35" s="47"/>
      <c r="JJA35" s="47"/>
      <c r="JJB35" s="47"/>
      <c r="JJC35" s="47"/>
      <c r="JJD35" s="47"/>
      <c r="JJE35" s="47"/>
      <c r="JJF35" s="47"/>
      <c r="JJG35" s="47"/>
      <c r="JJH35" s="47"/>
      <c r="JJI35" s="47"/>
      <c r="JJJ35" s="47"/>
      <c r="JJK35" s="47"/>
      <c r="JJL35" s="47"/>
      <c r="JJM35" s="47"/>
      <c r="JJN35" s="47"/>
      <c r="JJO35" s="47"/>
      <c r="JJP35" s="47"/>
      <c r="JJQ35" s="47"/>
      <c r="JJR35" s="47"/>
      <c r="JJS35" s="47"/>
      <c r="JJT35" s="47"/>
      <c r="JJU35" s="47"/>
      <c r="JJV35" s="47"/>
      <c r="JJW35" s="47"/>
      <c r="JJX35" s="47"/>
      <c r="JJY35" s="47"/>
      <c r="JJZ35" s="47"/>
      <c r="JKA35" s="47"/>
      <c r="JKB35" s="47"/>
      <c r="JKC35" s="47"/>
      <c r="JKD35" s="47"/>
      <c r="JKE35" s="47"/>
      <c r="JKF35" s="47"/>
      <c r="JKG35" s="47"/>
      <c r="JKH35" s="47"/>
      <c r="JKI35" s="47"/>
      <c r="JKJ35" s="47"/>
      <c r="JKK35" s="47"/>
      <c r="JKL35" s="47"/>
      <c r="JKM35" s="47"/>
      <c r="JKN35" s="47"/>
      <c r="JKO35" s="47"/>
      <c r="JKP35" s="47"/>
      <c r="JKQ35" s="47"/>
      <c r="JKR35" s="47"/>
      <c r="JKS35" s="47"/>
      <c r="JKT35" s="47"/>
      <c r="JKU35" s="47"/>
      <c r="JKV35" s="47"/>
      <c r="JKW35" s="47"/>
      <c r="JKX35" s="47"/>
      <c r="JKY35" s="47"/>
      <c r="JKZ35" s="47"/>
      <c r="JLA35" s="47"/>
      <c r="JLB35" s="47"/>
      <c r="JLC35" s="47"/>
      <c r="JLD35" s="47"/>
      <c r="JLE35" s="47"/>
      <c r="JLF35" s="47"/>
      <c r="JLG35" s="47"/>
      <c r="JLH35" s="47"/>
      <c r="JLI35" s="47"/>
      <c r="JLJ35" s="47"/>
      <c r="JLK35" s="47"/>
      <c r="JLL35" s="47"/>
      <c r="JLM35" s="47"/>
      <c r="JLN35" s="47"/>
      <c r="JLO35" s="47"/>
      <c r="JLP35" s="47"/>
      <c r="JLQ35" s="47"/>
      <c r="JLR35" s="47"/>
      <c r="JLS35" s="47"/>
      <c r="JLT35" s="47"/>
      <c r="JLU35" s="47"/>
      <c r="JLV35" s="47"/>
      <c r="JLW35" s="47"/>
      <c r="JLX35" s="47"/>
      <c r="JLY35" s="47"/>
      <c r="JLZ35" s="47"/>
      <c r="JMA35" s="47"/>
      <c r="JMB35" s="47"/>
      <c r="JMC35" s="47"/>
      <c r="JMD35" s="47"/>
      <c r="JME35" s="47"/>
      <c r="JMF35" s="47"/>
      <c r="JMG35" s="47"/>
      <c r="JMH35" s="47"/>
      <c r="JMI35" s="47"/>
      <c r="JMJ35" s="47"/>
      <c r="JMK35" s="47"/>
      <c r="JML35" s="47"/>
      <c r="JMM35" s="47"/>
      <c r="JMN35" s="47"/>
      <c r="JMO35" s="47"/>
      <c r="JMP35" s="47"/>
      <c r="JMQ35" s="47"/>
      <c r="JMR35" s="47"/>
      <c r="JMS35" s="47"/>
      <c r="JMT35" s="47"/>
      <c r="JMU35" s="47"/>
      <c r="JMV35" s="47"/>
      <c r="JMW35" s="47"/>
      <c r="JMX35" s="47"/>
      <c r="JMY35" s="47"/>
      <c r="JMZ35" s="47"/>
      <c r="JNA35" s="47"/>
      <c r="JNB35" s="47"/>
      <c r="JNC35" s="47"/>
      <c r="JND35" s="47"/>
      <c r="JNE35" s="47"/>
      <c r="JNF35" s="47"/>
      <c r="JNG35" s="47"/>
      <c r="JNH35" s="47"/>
      <c r="JNI35" s="47"/>
      <c r="JNJ35" s="47"/>
      <c r="JNK35" s="47"/>
      <c r="JNL35" s="47"/>
      <c r="JNM35" s="47"/>
      <c r="JNN35" s="47"/>
      <c r="JNO35" s="47"/>
      <c r="JNP35" s="47"/>
      <c r="JNQ35" s="47"/>
      <c r="JNR35" s="47"/>
      <c r="JNS35" s="47"/>
      <c r="JNT35" s="47"/>
      <c r="JNU35" s="47"/>
      <c r="JNV35" s="47"/>
      <c r="JNW35" s="47"/>
      <c r="JNX35" s="47"/>
      <c r="JNY35" s="47"/>
      <c r="JNZ35" s="47"/>
      <c r="JOA35" s="47"/>
      <c r="JOB35" s="47"/>
      <c r="JOC35" s="47"/>
      <c r="JOD35" s="47"/>
      <c r="JOE35" s="47"/>
      <c r="JOF35" s="47"/>
      <c r="JOG35" s="47"/>
      <c r="JOH35" s="47"/>
      <c r="JOI35" s="47"/>
      <c r="JOJ35" s="47"/>
      <c r="JOK35" s="47"/>
      <c r="JOL35" s="47"/>
      <c r="JOM35" s="47"/>
      <c r="JON35" s="47"/>
      <c r="JOO35" s="47"/>
      <c r="JOP35" s="47"/>
      <c r="JOQ35" s="47"/>
      <c r="JOR35" s="47"/>
      <c r="JOS35" s="47"/>
      <c r="JOT35" s="47"/>
      <c r="JOU35" s="47"/>
      <c r="JOV35" s="47"/>
      <c r="JOW35" s="47"/>
      <c r="JOX35" s="47"/>
      <c r="JOY35" s="47"/>
      <c r="JOZ35" s="47"/>
      <c r="JPA35" s="47"/>
      <c r="JPB35" s="47"/>
      <c r="JPC35" s="47"/>
      <c r="JPD35" s="47"/>
      <c r="JPE35" s="47"/>
      <c r="JPF35" s="47"/>
      <c r="JPG35" s="47"/>
      <c r="JPH35" s="47"/>
      <c r="JPI35" s="47"/>
      <c r="JPJ35" s="47"/>
      <c r="JPK35" s="47"/>
      <c r="JPL35" s="47"/>
      <c r="JPM35" s="47"/>
      <c r="JPN35" s="47"/>
      <c r="JPO35" s="47"/>
      <c r="JPP35" s="47"/>
      <c r="JPQ35" s="47"/>
      <c r="JPR35" s="47"/>
      <c r="JPS35" s="47"/>
      <c r="JPT35" s="47"/>
      <c r="JPU35" s="47"/>
      <c r="JPV35" s="47"/>
      <c r="JPW35" s="47"/>
      <c r="JPX35" s="47"/>
      <c r="JPY35" s="47"/>
      <c r="JPZ35" s="47"/>
      <c r="JQA35" s="47"/>
      <c r="JQB35" s="47"/>
      <c r="JQC35" s="47"/>
      <c r="JQD35" s="47"/>
      <c r="JQE35" s="47"/>
      <c r="JQF35" s="47"/>
      <c r="JQG35" s="47"/>
      <c r="JQH35" s="47"/>
      <c r="JQI35" s="47"/>
      <c r="JQJ35" s="47"/>
      <c r="JQK35" s="47"/>
      <c r="JQL35" s="47"/>
      <c r="JQM35" s="47"/>
      <c r="JQN35" s="47"/>
      <c r="JQO35" s="47"/>
      <c r="JQP35" s="47"/>
      <c r="JQQ35" s="47"/>
      <c r="JQR35" s="47"/>
      <c r="JQS35" s="47"/>
      <c r="JQT35" s="47"/>
      <c r="JQU35" s="47"/>
      <c r="JQV35" s="47"/>
      <c r="JQW35" s="47"/>
      <c r="JQX35" s="47"/>
      <c r="JQY35" s="47"/>
      <c r="JQZ35" s="47"/>
      <c r="JRA35" s="47"/>
      <c r="JRB35" s="47"/>
      <c r="JRC35" s="47"/>
      <c r="JRD35" s="47"/>
      <c r="JRE35" s="47"/>
      <c r="JRF35" s="47"/>
      <c r="JRG35" s="47"/>
      <c r="JRH35" s="47"/>
      <c r="JRI35" s="47"/>
      <c r="JRJ35" s="47"/>
      <c r="JRK35" s="47"/>
      <c r="JRL35" s="47"/>
      <c r="JRM35" s="47"/>
      <c r="JRN35" s="47"/>
      <c r="JRO35" s="47"/>
      <c r="JRP35" s="47"/>
      <c r="JRQ35" s="47"/>
      <c r="JRR35" s="47"/>
      <c r="JRS35" s="47"/>
      <c r="JRT35" s="47"/>
      <c r="JRU35" s="47"/>
      <c r="JRV35" s="47"/>
      <c r="JRW35" s="47"/>
      <c r="JRX35" s="47"/>
      <c r="JRY35" s="47"/>
      <c r="JRZ35" s="47"/>
      <c r="JSA35" s="47"/>
      <c r="JSB35" s="47"/>
      <c r="JSC35" s="47"/>
      <c r="JSD35" s="47"/>
      <c r="JSE35" s="47"/>
      <c r="JSF35" s="47"/>
      <c r="JSG35" s="47"/>
      <c r="JSH35" s="47"/>
      <c r="JSI35" s="47"/>
      <c r="JSJ35" s="47"/>
      <c r="JSK35" s="47"/>
      <c r="JSL35" s="47"/>
      <c r="JSM35" s="47"/>
      <c r="JSN35" s="47"/>
      <c r="JSO35" s="47"/>
      <c r="JSP35" s="47"/>
      <c r="JSQ35" s="47"/>
      <c r="JSR35" s="47"/>
      <c r="JSS35" s="47"/>
      <c r="JST35" s="47"/>
      <c r="JSU35" s="47"/>
      <c r="JSV35" s="47"/>
      <c r="JSW35" s="47"/>
      <c r="JSX35" s="47"/>
      <c r="JSY35" s="47"/>
      <c r="JSZ35" s="47"/>
      <c r="JTA35" s="47"/>
      <c r="JTB35" s="47"/>
      <c r="JTC35" s="47"/>
      <c r="JTD35" s="47"/>
      <c r="JTE35" s="47"/>
      <c r="JTF35" s="47"/>
      <c r="JTG35" s="47"/>
      <c r="JTH35" s="47"/>
      <c r="JTI35" s="47"/>
      <c r="JTJ35" s="47"/>
      <c r="JTK35" s="47"/>
      <c r="JTL35" s="47"/>
      <c r="JTM35" s="47"/>
      <c r="JTN35" s="47"/>
      <c r="JTO35" s="47"/>
      <c r="JTP35" s="47"/>
      <c r="JTQ35" s="47"/>
      <c r="JTR35" s="47"/>
      <c r="JTS35" s="47"/>
      <c r="JTT35" s="47"/>
      <c r="JTU35" s="47"/>
      <c r="JTV35" s="47"/>
      <c r="JTW35" s="47"/>
      <c r="JTX35" s="47"/>
      <c r="JTY35" s="47"/>
      <c r="JTZ35" s="47"/>
      <c r="JUA35" s="47"/>
      <c r="JUB35" s="47"/>
      <c r="JUC35" s="47"/>
      <c r="JUD35" s="47"/>
      <c r="JUE35" s="47"/>
      <c r="JUF35" s="47"/>
      <c r="JUG35" s="47"/>
      <c r="JUH35" s="47"/>
      <c r="JUI35" s="47"/>
      <c r="JUJ35" s="47"/>
      <c r="JUK35" s="47"/>
      <c r="JUL35" s="47"/>
      <c r="JUM35" s="47"/>
      <c r="JUN35" s="47"/>
      <c r="JUO35" s="47"/>
      <c r="JUP35" s="47"/>
      <c r="JUQ35" s="47"/>
      <c r="JUR35" s="47"/>
      <c r="JUS35" s="47"/>
      <c r="JUT35" s="47"/>
      <c r="JUU35" s="47"/>
      <c r="JUV35" s="47"/>
      <c r="JUW35" s="47"/>
      <c r="JUX35" s="47"/>
      <c r="JUY35" s="47"/>
      <c r="JUZ35" s="47"/>
      <c r="JVA35" s="47"/>
      <c r="JVB35" s="47"/>
      <c r="JVC35" s="47"/>
      <c r="JVD35" s="47"/>
      <c r="JVE35" s="47"/>
      <c r="JVF35" s="47"/>
      <c r="JVG35" s="47"/>
      <c r="JVH35" s="47"/>
      <c r="JVI35" s="47"/>
      <c r="JVJ35" s="47"/>
      <c r="JVK35" s="47"/>
      <c r="JVL35" s="47"/>
      <c r="JVM35" s="47"/>
      <c r="JVN35" s="47"/>
      <c r="JVO35" s="47"/>
      <c r="JVP35" s="47"/>
      <c r="JVQ35" s="47"/>
      <c r="JVR35" s="47"/>
      <c r="JVS35" s="47"/>
      <c r="JVT35" s="47"/>
      <c r="JVU35" s="47"/>
      <c r="JVV35" s="47"/>
      <c r="JVW35" s="47"/>
      <c r="JVX35" s="47"/>
      <c r="JVY35" s="47"/>
      <c r="JVZ35" s="47"/>
      <c r="JWA35" s="47"/>
      <c r="JWB35" s="47"/>
      <c r="JWC35" s="47"/>
      <c r="JWD35" s="47"/>
      <c r="JWE35" s="47"/>
      <c r="JWF35" s="47"/>
      <c r="JWG35" s="47"/>
      <c r="JWH35" s="47"/>
      <c r="JWI35" s="47"/>
      <c r="JWJ35" s="47"/>
      <c r="JWK35" s="47"/>
      <c r="JWL35" s="47"/>
      <c r="JWM35" s="47"/>
      <c r="JWN35" s="47"/>
      <c r="JWO35" s="47"/>
      <c r="JWP35" s="47"/>
      <c r="JWQ35" s="47"/>
      <c r="JWR35" s="47"/>
      <c r="JWS35" s="47"/>
      <c r="JWT35" s="47"/>
      <c r="JWU35" s="47"/>
      <c r="JWV35" s="47"/>
      <c r="JWW35" s="47"/>
      <c r="JWX35" s="47"/>
      <c r="JWY35" s="47"/>
      <c r="JWZ35" s="47"/>
      <c r="JXA35" s="47"/>
      <c r="JXB35" s="47"/>
      <c r="JXC35" s="47"/>
      <c r="JXD35" s="47"/>
      <c r="JXE35" s="47"/>
      <c r="JXF35" s="47"/>
      <c r="JXG35" s="47"/>
      <c r="JXH35" s="47"/>
      <c r="JXI35" s="47"/>
      <c r="JXJ35" s="47"/>
      <c r="JXK35" s="47"/>
      <c r="JXL35" s="47"/>
      <c r="JXM35" s="47"/>
      <c r="JXN35" s="47"/>
      <c r="JXO35" s="47"/>
      <c r="JXP35" s="47"/>
      <c r="JXQ35" s="47"/>
      <c r="JXR35" s="47"/>
      <c r="JXS35" s="47"/>
      <c r="JXT35" s="47"/>
      <c r="JXU35" s="47"/>
      <c r="JXV35" s="47"/>
      <c r="JXW35" s="47"/>
      <c r="JXX35" s="47"/>
      <c r="JXY35" s="47"/>
      <c r="JXZ35" s="47"/>
      <c r="JYA35" s="47"/>
      <c r="JYB35" s="47"/>
      <c r="JYC35" s="47"/>
      <c r="JYD35" s="47"/>
      <c r="JYE35" s="47"/>
      <c r="JYF35" s="47"/>
      <c r="JYG35" s="47"/>
      <c r="JYH35" s="47"/>
      <c r="JYI35" s="47"/>
      <c r="JYJ35" s="47"/>
      <c r="JYK35" s="47"/>
      <c r="JYL35" s="47"/>
      <c r="JYM35" s="47"/>
      <c r="JYN35" s="47"/>
      <c r="JYO35" s="47"/>
      <c r="JYP35" s="47"/>
      <c r="JYQ35" s="47"/>
      <c r="JYR35" s="47"/>
      <c r="JYS35" s="47"/>
      <c r="JYT35" s="47"/>
      <c r="JYU35" s="47"/>
      <c r="JYV35" s="47"/>
      <c r="JYW35" s="47"/>
      <c r="JYX35" s="47"/>
      <c r="JYY35" s="47"/>
      <c r="JYZ35" s="47"/>
      <c r="JZA35" s="47"/>
      <c r="JZB35" s="47"/>
      <c r="JZC35" s="47"/>
      <c r="JZD35" s="47"/>
      <c r="JZE35" s="47"/>
      <c r="JZF35" s="47"/>
      <c r="JZG35" s="47"/>
      <c r="JZH35" s="47"/>
      <c r="JZI35" s="47"/>
      <c r="JZJ35" s="47"/>
      <c r="JZK35" s="47"/>
      <c r="JZL35" s="47"/>
      <c r="JZM35" s="47"/>
      <c r="JZN35" s="47"/>
      <c r="JZO35" s="47"/>
      <c r="JZP35" s="47"/>
      <c r="JZQ35" s="47"/>
      <c r="JZR35" s="47"/>
      <c r="JZS35" s="47"/>
      <c r="JZT35" s="47"/>
      <c r="JZU35" s="47"/>
      <c r="JZV35" s="47"/>
      <c r="JZW35" s="47"/>
      <c r="JZX35" s="47"/>
      <c r="JZY35" s="47"/>
      <c r="JZZ35" s="47"/>
      <c r="KAA35" s="47"/>
      <c r="KAB35" s="47"/>
      <c r="KAC35" s="47"/>
      <c r="KAD35" s="47"/>
      <c r="KAE35" s="47"/>
      <c r="KAF35" s="47"/>
      <c r="KAG35" s="47"/>
      <c r="KAH35" s="47"/>
      <c r="KAI35" s="47"/>
      <c r="KAJ35" s="47"/>
      <c r="KAK35" s="47"/>
      <c r="KAL35" s="47"/>
      <c r="KAM35" s="47"/>
      <c r="KAN35" s="47"/>
      <c r="KAO35" s="47"/>
      <c r="KAP35" s="47"/>
      <c r="KAQ35" s="47"/>
      <c r="KAR35" s="47"/>
      <c r="KAS35" s="47"/>
      <c r="KAT35" s="47"/>
      <c r="KAU35" s="47"/>
      <c r="KAV35" s="47"/>
      <c r="KAW35" s="47"/>
      <c r="KAX35" s="47"/>
      <c r="KAY35" s="47"/>
      <c r="KAZ35" s="47"/>
      <c r="KBA35" s="47"/>
      <c r="KBB35" s="47"/>
      <c r="KBC35" s="47"/>
      <c r="KBD35" s="47"/>
      <c r="KBE35" s="47"/>
      <c r="KBF35" s="47"/>
      <c r="KBG35" s="47"/>
      <c r="KBH35" s="47"/>
      <c r="KBI35" s="47"/>
      <c r="KBJ35" s="47"/>
      <c r="KBK35" s="47"/>
      <c r="KBL35" s="47"/>
      <c r="KBM35" s="47"/>
      <c r="KBN35" s="47"/>
      <c r="KBO35" s="47"/>
      <c r="KBP35" s="47"/>
      <c r="KBQ35" s="47"/>
      <c r="KBR35" s="47"/>
      <c r="KBS35" s="47"/>
      <c r="KBT35" s="47"/>
      <c r="KBU35" s="47"/>
      <c r="KBV35" s="47"/>
      <c r="KBW35" s="47"/>
      <c r="KBX35" s="47"/>
      <c r="KBY35" s="47"/>
      <c r="KBZ35" s="47"/>
      <c r="KCA35" s="47"/>
      <c r="KCB35" s="47"/>
      <c r="KCC35" s="47"/>
      <c r="KCD35" s="47"/>
      <c r="KCE35" s="47"/>
      <c r="KCF35" s="47"/>
      <c r="KCG35" s="47"/>
      <c r="KCH35" s="47"/>
      <c r="KCI35" s="47"/>
      <c r="KCJ35" s="47"/>
      <c r="KCK35" s="47"/>
      <c r="KCL35" s="47"/>
      <c r="KCM35" s="47"/>
      <c r="KCN35" s="47"/>
      <c r="KCO35" s="47"/>
      <c r="KCP35" s="47"/>
      <c r="KCQ35" s="47"/>
      <c r="KCR35" s="47"/>
      <c r="KCS35" s="47"/>
      <c r="KCT35" s="47"/>
      <c r="KCU35" s="47"/>
      <c r="KCV35" s="47"/>
      <c r="KCW35" s="47"/>
      <c r="KCX35" s="47"/>
      <c r="KCY35" s="47"/>
      <c r="KCZ35" s="47"/>
      <c r="KDA35" s="47"/>
      <c r="KDB35" s="47"/>
      <c r="KDC35" s="47"/>
      <c r="KDD35" s="47"/>
      <c r="KDE35" s="47"/>
      <c r="KDF35" s="47"/>
      <c r="KDG35" s="47"/>
      <c r="KDH35" s="47"/>
      <c r="KDI35" s="47"/>
      <c r="KDJ35" s="47"/>
      <c r="KDK35" s="47"/>
      <c r="KDL35" s="47"/>
      <c r="KDM35" s="47"/>
      <c r="KDN35" s="47"/>
      <c r="KDO35" s="47"/>
      <c r="KDP35" s="47"/>
      <c r="KDQ35" s="47"/>
      <c r="KDR35" s="47"/>
      <c r="KDS35" s="47"/>
      <c r="KDT35" s="47"/>
      <c r="KDU35" s="47"/>
      <c r="KDV35" s="47"/>
      <c r="KDW35" s="47"/>
      <c r="KDX35" s="47"/>
      <c r="KDY35" s="47"/>
      <c r="KDZ35" s="47"/>
      <c r="KEA35" s="47"/>
      <c r="KEB35" s="47"/>
      <c r="KEC35" s="47"/>
      <c r="KED35" s="47"/>
      <c r="KEE35" s="47"/>
      <c r="KEF35" s="47"/>
      <c r="KEG35" s="47"/>
      <c r="KEH35" s="47"/>
      <c r="KEI35" s="47"/>
      <c r="KEJ35" s="47"/>
      <c r="KEK35" s="47"/>
      <c r="KEL35" s="47"/>
      <c r="KEM35" s="47"/>
      <c r="KEN35" s="47"/>
      <c r="KEO35" s="47"/>
      <c r="KEP35" s="47"/>
      <c r="KEQ35" s="47"/>
      <c r="KER35" s="47"/>
      <c r="KES35" s="47"/>
      <c r="KET35" s="47"/>
      <c r="KEU35" s="47"/>
      <c r="KEV35" s="47"/>
      <c r="KEW35" s="47"/>
      <c r="KEX35" s="47"/>
      <c r="KEY35" s="47"/>
      <c r="KEZ35" s="47"/>
      <c r="KFA35" s="47"/>
      <c r="KFB35" s="47"/>
      <c r="KFC35" s="47"/>
      <c r="KFD35" s="47"/>
      <c r="KFE35" s="47"/>
      <c r="KFF35" s="47"/>
      <c r="KFG35" s="47"/>
      <c r="KFH35" s="47"/>
      <c r="KFI35" s="47"/>
      <c r="KFJ35" s="47"/>
      <c r="KFK35" s="47"/>
      <c r="KFL35" s="47"/>
      <c r="KFM35" s="47"/>
      <c r="KFN35" s="47"/>
      <c r="KFO35" s="47"/>
      <c r="KFP35" s="47"/>
      <c r="KFQ35" s="47"/>
      <c r="KFR35" s="47"/>
      <c r="KFS35" s="47"/>
      <c r="KFT35" s="47"/>
      <c r="KFU35" s="47"/>
      <c r="KFV35" s="47"/>
      <c r="KFW35" s="47"/>
      <c r="KFX35" s="47"/>
      <c r="KFY35" s="47"/>
      <c r="KFZ35" s="47"/>
      <c r="KGA35" s="47"/>
      <c r="KGB35" s="47"/>
      <c r="KGC35" s="47"/>
      <c r="KGD35" s="47"/>
      <c r="KGE35" s="47"/>
      <c r="KGF35" s="47"/>
      <c r="KGG35" s="47"/>
      <c r="KGH35" s="47"/>
      <c r="KGI35" s="47"/>
      <c r="KGJ35" s="47"/>
      <c r="KGK35" s="47"/>
      <c r="KGL35" s="47"/>
      <c r="KGM35" s="47"/>
      <c r="KGN35" s="47"/>
      <c r="KGO35" s="47"/>
      <c r="KGP35" s="47"/>
      <c r="KGQ35" s="47"/>
      <c r="KGR35" s="47"/>
      <c r="KGS35" s="47"/>
      <c r="KGT35" s="47"/>
      <c r="KGU35" s="47"/>
      <c r="KGV35" s="47"/>
      <c r="KGW35" s="47"/>
      <c r="KGX35" s="47"/>
      <c r="KGY35" s="47"/>
      <c r="KGZ35" s="47"/>
      <c r="KHA35" s="47"/>
      <c r="KHB35" s="47"/>
      <c r="KHC35" s="47"/>
      <c r="KHD35" s="47"/>
      <c r="KHE35" s="47"/>
      <c r="KHF35" s="47"/>
      <c r="KHG35" s="47"/>
      <c r="KHH35" s="47"/>
      <c r="KHI35" s="47"/>
      <c r="KHJ35" s="47"/>
      <c r="KHK35" s="47"/>
      <c r="KHL35" s="47"/>
      <c r="KHM35" s="47"/>
      <c r="KHN35" s="47"/>
      <c r="KHO35" s="47"/>
      <c r="KHP35" s="47"/>
      <c r="KHQ35" s="47"/>
      <c r="KHR35" s="47"/>
      <c r="KHS35" s="47"/>
      <c r="KHT35" s="47"/>
      <c r="KHU35" s="47"/>
      <c r="KHV35" s="47"/>
      <c r="KHW35" s="47"/>
      <c r="KHX35" s="47"/>
      <c r="KHY35" s="47"/>
      <c r="KHZ35" s="47"/>
      <c r="KIA35" s="47"/>
      <c r="KIB35" s="47"/>
      <c r="KIC35" s="47"/>
      <c r="KID35" s="47"/>
      <c r="KIE35" s="47"/>
      <c r="KIF35" s="47"/>
      <c r="KIG35" s="47"/>
      <c r="KIH35" s="47"/>
      <c r="KII35" s="47"/>
      <c r="KIJ35" s="47"/>
      <c r="KIK35" s="47"/>
      <c r="KIL35" s="47"/>
      <c r="KIM35" s="47"/>
      <c r="KIN35" s="47"/>
      <c r="KIO35" s="47"/>
      <c r="KIP35" s="47"/>
      <c r="KIQ35" s="47"/>
      <c r="KIR35" s="47"/>
      <c r="KIS35" s="47"/>
      <c r="KIT35" s="47"/>
      <c r="KIU35" s="47"/>
      <c r="KIV35" s="47"/>
      <c r="KIW35" s="47"/>
      <c r="KIX35" s="47"/>
      <c r="KIY35" s="47"/>
      <c r="KIZ35" s="47"/>
      <c r="KJA35" s="47"/>
      <c r="KJB35" s="47"/>
      <c r="KJC35" s="47"/>
      <c r="KJD35" s="47"/>
      <c r="KJE35" s="47"/>
      <c r="KJF35" s="47"/>
      <c r="KJG35" s="47"/>
      <c r="KJH35" s="47"/>
      <c r="KJI35" s="47"/>
      <c r="KJJ35" s="47"/>
      <c r="KJK35" s="47"/>
      <c r="KJL35" s="47"/>
      <c r="KJM35" s="47"/>
      <c r="KJN35" s="47"/>
      <c r="KJO35" s="47"/>
      <c r="KJP35" s="47"/>
      <c r="KJQ35" s="47"/>
      <c r="KJR35" s="47"/>
      <c r="KJS35" s="47"/>
      <c r="KJT35" s="47"/>
      <c r="KJU35" s="47"/>
      <c r="KJV35" s="47"/>
      <c r="KJW35" s="47"/>
      <c r="KJX35" s="47"/>
      <c r="KJY35" s="47"/>
      <c r="KJZ35" s="47"/>
      <c r="KKA35" s="47"/>
      <c r="KKB35" s="47"/>
      <c r="KKC35" s="47"/>
      <c r="KKD35" s="47"/>
      <c r="KKE35" s="47"/>
      <c r="KKF35" s="47"/>
      <c r="KKG35" s="47"/>
      <c r="KKH35" s="47"/>
      <c r="KKI35" s="47"/>
      <c r="KKJ35" s="47"/>
      <c r="KKK35" s="47"/>
      <c r="KKL35" s="47"/>
      <c r="KKM35" s="47"/>
      <c r="KKN35" s="47"/>
      <c r="KKO35" s="47"/>
      <c r="KKP35" s="47"/>
      <c r="KKQ35" s="47"/>
      <c r="KKR35" s="47"/>
      <c r="KKS35" s="47"/>
      <c r="KKT35" s="47"/>
      <c r="KKU35" s="47"/>
      <c r="KKV35" s="47"/>
      <c r="KKW35" s="47"/>
      <c r="KKX35" s="47"/>
      <c r="KKY35" s="47"/>
      <c r="KKZ35" s="47"/>
      <c r="KLA35" s="47"/>
      <c r="KLB35" s="47"/>
      <c r="KLC35" s="47"/>
      <c r="KLD35" s="47"/>
      <c r="KLE35" s="47"/>
      <c r="KLF35" s="47"/>
      <c r="KLG35" s="47"/>
      <c r="KLH35" s="47"/>
      <c r="KLI35" s="47"/>
      <c r="KLJ35" s="47"/>
      <c r="KLK35" s="47"/>
      <c r="KLL35" s="47"/>
      <c r="KLM35" s="47"/>
      <c r="KLN35" s="47"/>
      <c r="KLO35" s="47"/>
      <c r="KLP35" s="47"/>
      <c r="KLQ35" s="47"/>
      <c r="KLR35" s="47"/>
      <c r="KLS35" s="47"/>
      <c r="KLT35" s="47"/>
      <c r="KLU35" s="47"/>
      <c r="KLV35" s="47"/>
      <c r="KLW35" s="47"/>
      <c r="KLX35" s="47"/>
      <c r="KLY35" s="47"/>
      <c r="KLZ35" s="47"/>
      <c r="KMA35" s="47"/>
      <c r="KMB35" s="47"/>
      <c r="KMC35" s="47"/>
      <c r="KMD35" s="47"/>
      <c r="KME35" s="47"/>
      <c r="KMF35" s="47"/>
      <c r="KMG35" s="47"/>
      <c r="KMH35" s="47"/>
      <c r="KMI35" s="47"/>
      <c r="KMJ35" s="47"/>
      <c r="KMK35" s="47"/>
      <c r="KML35" s="47"/>
      <c r="KMM35" s="47"/>
      <c r="KMN35" s="47"/>
      <c r="KMO35" s="47"/>
      <c r="KMP35" s="47"/>
      <c r="KMQ35" s="47"/>
      <c r="KMR35" s="47"/>
      <c r="KMS35" s="47"/>
      <c r="KMT35" s="47"/>
      <c r="KMU35" s="47"/>
      <c r="KMV35" s="47"/>
      <c r="KMW35" s="47"/>
      <c r="KMX35" s="47"/>
      <c r="KMY35" s="47"/>
      <c r="KMZ35" s="47"/>
      <c r="KNA35" s="47"/>
      <c r="KNB35" s="47"/>
      <c r="KNC35" s="47"/>
      <c r="KND35" s="47"/>
      <c r="KNE35" s="47"/>
      <c r="KNF35" s="47"/>
      <c r="KNG35" s="47"/>
      <c r="KNH35" s="47"/>
      <c r="KNI35" s="47"/>
      <c r="KNJ35" s="47"/>
      <c r="KNK35" s="47"/>
      <c r="KNL35" s="47"/>
      <c r="KNM35" s="47"/>
      <c r="KNN35" s="47"/>
      <c r="KNO35" s="47"/>
      <c r="KNP35" s="47"/>
      <c r="KNQ35" s="47"/>
      <c r="KNR35" s="47"/>
      <c r="KNS35" s="47"/>
      <c r="KNT35" s="47"/>
      <c r="KNU35" s="47"/>
      <c r="KNV35" s="47"/>
      <c r="KNW35" s="47"/>
      <c r="KNX35" s="47"/>
      <c r="KNY35" s="47"/>
      <c r="KNZ35" s="47"/>
      <c r="KOA35" s="47"/>
      <c r="KOB35" s="47"/>
      <c r="KOC35" s="47"/>
      <c r="KOD35" s="47"/>
      <c r="KOE35" s="47"/>
      <c r="KOF35" s="47"/>
      <c r="KOG35" s="47"/>
      <c r="KOH35" s="47"/>
      <c r="KOI35" s="47"/>
      <c r="KOJ35" s="47"/>
      <c r="KOK35" s="47"/>
      <c r="KOL35" s="47"/>
      <c r="KOM35" s="47"/>
      <c r="KON35" s="47"/>
      <c r="KOO35" s="47"/>
      <c r="KOP35" s="47"/>
      <c r="KOQ35" s="47"/>
      <c r="KOR35" s="47"/>
      <c r="KOS35" s="47"/>
      <c r="KOT35" s="47"/>
      <c r="KOU35" s="47"/>
      <c r="KOV35" s="47"/>
      <c r="KOW35" s="47"/>
      <c r="KOX35" s="47"/>
      <c r="KOY35" s="47"/>
      <c r="KOZ35" s="47"/>
      <c r="KPA35" s="47"/>
      <c r="KPB35" s="47"/>
      <c r="KPC35" s="47"/>
      <c r="KPD35" s="47"/>
      <c r="KPE35" s="47"/>
      <c r="KPF35" s="47"/>
      <c r="KPG35" s="47"/>
      <c r="KPH35" s="47"/>
      <c r="KPI35" s="47"/>
      <c r="KPJ35" s="47"/>
      <c r="KPK35" s="47"/>
      <c r="KPL35" s="47"/>
      <c r="KPM35" s="47"/>
      <c r="KPN35" s="47"/>
      <c r="KPO35" s="47"/>
      <c r="KPP35" s="47"/>
      <c r="KPQ35" s="47"/>
      <c r="KPR35" s="47"/>
      <c r="KPS35" s="47"/>
      <c r="KPT35" s="47"/>
      <c r="KPU35" s="47"/>
      <c r="KPV35" s="47"/>
      <c r="KPW35" s="47"/>
      <c r="KPX35" s="47"/>
      <c r="KPY35" s="47"/>
      <c r="KPZ35" s="47"/>
      <c r="KQA35" s="47"/>
      <c r="KQB35" s="47"/>
      <c r="KQC35" s="47"/>
      <c r="KQD35" s="47"/>
      <c r="KQE35" s="47"/>
      <c r="KQF35" s="47"/>
      <c r="KQG35" s="47"/>
      <c r="KQH35" s="47"/>
      <c r="KQI35" s="47"/>
      <c r="KQJ35" s="47"/>
      <c r="KQK35" s="47"/>
      <c r="KQL35" s="47"/>
      <c r="KQM35" s="47"/>
      <c r="KQN35" s="47"/>
      <c r="KQO35" s="47"/>
      <c r="KQP35" s="47"/>
      <c r="KQQ35" s="47"/>
      <c r="KQR35" s="47"/>
      <c r="KQS35" s="47"/>
      <c r="KQT35" s="47"/>
      <c r="KQU35" s="47"/>
      <c r="KQV35" s="47"/>
      <c r="KQW35" s="47"/>
      <c r="KQX35" s="47"/>
      <c r="KQY35" s="47"/>
      <c r="KQZ35" s="47"/>
      <c r="KRA35" s="47"/>
      <c r="KRB35" s="47"/>
      <c r="KRC35" s="47"/>
      <c r="KRD35" s="47"/>
      <c r="KRE35" s="47"/>
      <c r="KRF35" s="47"/>
      <c r="KRG35" s="47"/>
      <c r="KRH35" s="47"/>
      <c r="KRI35" s="47"/>
      <c r="KRJ35" s="47"/>
      <c r="KRK35" s="47"/>
      <c r="KRL35" s="47"/>
      <c r="KRM35" s="47"/>
      <c r="KRN35" s="47"/>
      <c r="KRO35" s="47"/>
      <c r="KRP35" s="47"/>
      <c r="KRQ35" s="47"/>
      <c r="KRR35" s="47"/>
      <c r="KRS35" s="47"/>
      <c r="KRT35" s="47"/>
      <c r="KRU35" s="47"/>
      <c r="KRV35" s="47"/>
      <c r="KRW35" s="47"/>
      <c r="KRX35" s="47"/>
      <c r="KRY35" s="47"/>
      <c r="KRZ35" s="47"/>
      <c r="KSA35" s="47"/>
      <c r="KSB35" s="47"/>
      <c r="KSC35" s="47"/>
      <c r="KSD35" s="47"/>
      <c r="KSE35" s="47"/>
      <c r="KSF35" s="47"/>
      <c r="KSG35" s="47"/>
      <c r="KSH35" s="47"/>
      <c r="KSI35" s="47"/>
      <c r="KSJ35" s="47"/>
      <c r="KSK35" s="47"/>
      <c r="KSL35" s="47"/>
      <c r="KSM35" s="47"/>
      <c r="KSN35" s="47"/>
      <c r="KSO35" s="47"/>
      <c r="KSP35" s="47"/>
      <c r="KSQ35" s="47"/>
      <c r="KSR35" s="47"/>
      <c r="KSS35" s="47"/>
      <c r="KST35" s="47"/>
      <c r="KSU35" s="47"/>
      <c r="KSV35" s="47"/>
      <c r="KSW35" s="47"/>
      <c r="KSX35" s="47"/>
      <c r="KSY35" s="47"/>
      <c r="KSZ35" s="47"/>
      <c r="KTA35" s="47"/>
      <c r="KTB35" s="47"/>
      <c r="KTC35" s="47"/>
      <c r="KTD35" s="47"/>
      <c r="KTE35" s="47"/>
      <c r="KTF35" s="47"/>
      <c r="KTG35" s="47"/>
      <c r="KTH35" s="47"/>
      <c r="KTI35" s="47"/>
      <c r="KTJ35" s="47"/>
      <c r="KTK35" s="47"/>
      <c r="KTL35" s="47"/>
      <c r="KTM35" s="47"/>
      <c r="KTN35" s="47"/>
      <c r="KTO35" s="47"/>
      <c r="KTP35" s="47"/>
      <c r="KTQ35" s="47"/>
      <c r="KTR35" s="47"/>
      <c r="KTS35" s="47"/>
      <c r="KTT35" s="47"/>
      <c r="KTU35" s="47"/>
      <c r="KTV35" s="47"/>
      <c r="KTW35" s="47"/>
      <c r="KTX35" s="47"/>
      <c r="KTY35" s="47"/>
      <c r="KTZ35" s="47"/>
      <c r="KUA35" s="47"/>
      <c r="KUB35" s="47"/>
      <c r="KUC35" s="47"/>
      <c r="KUD35" s="47"/>
      <c r="KUE35" s="47"/>
      <c r="KUF35" s="47"/>
      <c r="KUG35" s="47"/>
      <c r="KUH35" s="47"/>
      <c r="KUI35" s="47"/>
      <c r="KUJ35" s="47"/>
      <c r="KUK35" s="47"/>
      <c r="KUL35" s="47"/>
      <c r="KUM35" s="47"/>
      <c r="KUN35" s="47"/>
      <c r="KUO35" s="47"/>
      <c r="KUP35" s="47"/>
      <c r="KUQ35" s="47"/>
      <c r="KUR35" s="47"/>
      <c r="KUS35" s="47"/>
      <c r="KUT35" s="47"/>
      <c r="KUU35" s="47"/>
      <c r="KUV35" s="47"/>
      <c r="KUW35" s="47"/>
      <c r="KUX35" s="47"/>
      <c r="KUY35" s="47"/>
      <c r="KUZ35" s="47"/>
      <c r="KVA35" s="47"/>
      <c r="KVB35" s="47"/>
      <c r="KVC35" s="47"/>
      <c r="KVD35" s="47"/>
      <c r="KVE35" s="47"/>
      <c r="KVF35" s="47"/>
      <c r="KVG35" s="47"/>
      <c r="KVH35" s="47"/>
      <c r="KVI35" s="47"/>
      <c r="KVJ35" s="47"/>
      <c r="KVK35" s="47"/>
      <c r="KVL35" s="47"/>
      <c r="KVM35" s="47"/>
      <c r="KVN35" s="47"/>
      <c r="KVO35" s="47"/>
      <c r="KVP35" s="47"/>
      <c r="KVQ35" s="47"/>
      <c r="KVR35" s="47"/>
      <c r="KVS35" s="47"/>
      <c r="KVT35" s="47"/>
      <c r="KVU35" s="47"/>
      <c r="KVV35" s="47"/>
      <c r="KVW35" s="47"/>
      <c r="KVX35" s="47"/>
      <c r="KVY35" s="47"/>
      <c r="KVZ35" s="47"/>
      <c r="KWA35" s="47"/>
      <c r="KWB35" s="47"/>
      <c r="KWC35" s="47"/>
      <c r="KWD35" s="47"/>
      <c r="KWE35" s="47"/>
      <c r="KWF35" s="47"/>
      <c r="KWG35" s="47"/>
      <c r="KWH35" s="47"/>
      <c r="KWI35" s="47"/>
      <c r="KWJ35" s="47"/>
      <c r="KWK35" s="47"/>
      <c r="KWL35" s="47"/>
      <c r="KWM35" s="47"/>
      <c r="KWN35" s="47"/>
      <c r="KWO35" s="47"/>
      <c r="KWP35" s="47"/>
      <c r="KWQ35" s="47"/>
      <c r="KWR35" s="47"/>
      <c r="KWS35" s="47"/>
      <c r="KWT35" s="47"/>
      <c r="KWU35" s="47"/>
      <c r="KWV35" s="47"/>
      <c r="KWW35" s="47"/>
      <c r="KWX35" s="47"/>
      <c r="KWY35" s="47"/>
      <c r="KWZ35" s="47"/>
      <c r="KXA35" s="47"/>
      <c r="KXB35" s="47"/>
      <c r="KXC35" s="47"/>
      <c r="KXD35" s="47"/>
      <c r="KXE35" s="47"/>
      <c r="KXF35" s="47"/>
      <c r="KXG35" s="47"/>
      <c r="KXH35" s="47"/>
      <c r="KXI35" s="47"/>
      <c r="KXJ35" s="47"/>
      <c r="KXK35" s="47"/>
      <c r="KXL35" s="47"/>
      <c r="KXM35" s="47"/>
      <c r="KXN35" s="47"/>
      <c r="KXO35" s="47"/>
      <c r="KXP35" s="47"/>
      <c r="KXQ35" s="47"/>
      <c r="KXR35" s="47"/>
      <c r="KXS35" s="47"/>
      <c r="KXT35" s="47"/>
      <c r="KXU35" s="47"/>
      <c r="KXV35" s="47"/>
      <c r="KXW35" s="47"/>
      <c r="KXX35" s="47"/>
      <c r="KXY35" s="47"/>
      <c r="KXZ35" s="47"/>
      <c r="KYA35" s="47"/>
      <c r="KYB35" s="47"/>
      <c r="KYC35" s="47"/>
      <c r="KYD35" s="47"/>
      <c r="KYE35" s="47"/>
      <c r="KYF35" s="47"/>
      <c r="KYG35" s="47"/>
      <c r="KYH35" s="47"/>
      <c r="KYI35" s="47"/>
      <c r="KYJ35" s="47"/>
      <c r="KYK35" s="47"/>
      <c r="KYL35" s="47"/>
      <c r="KYM35" s="47"/>
      <c r="KYN35" s="47"/>
      <c r="KYO35" s="47"/>
      <c r="KYP35" s="47"/>
      <c r="KYQ35" s="47"/>
      <c r="KYR35" s="47"/>
      <c r="KYS35" s="47"/>
      <c r="KYT35" s="47"/>
      <c r="KYU35" s="47"/>
      <c r="KYV35" s="47"/>
      <c r="KYW35" s="47"/>
      <c r="KYX35" s="47"/>
      <c r="KYY35" s="47"/>
      <c r="KYZ35" s="47"/>
      <c r="KZA35" s="47"/>
      <c r="KZB35" s="47"/>
      <c r="KZC35" s="47"/>
      <c r="KZD35" s="47"/>
      <c r="KZE35" s="47"/>
      <c r="KZF35" s="47"/>
      <c r="KZG35" s="47"/>
      <c r="KZH35" s="47"/>
      <c r="KZI35" s="47"/>
      <c r="KZJ35" s="47"/>
      <c r="KZK35" s="47"/>
      <c r="KZL35" s="47"/>
      <c r="KZM35" s="47"/>
      <c r="KZN35" s="47"/>
      <c r="KZO35" s="47"/>
      <c r="KZP35" s="47"/>
      <c r="KZQ35" s="47"/>
      <c r="KZR35" s="47"/>
      <c r="KZS35" s="47"/>
      <c r="KZT35" s="47"/>
      <c r="KZU35" s="47"/>
      <c r="KZV35" s="47"/>
      <c r="KZW35" s="47"/>
      <c r="KZX35" s="47"/>
      <c r="KZY35" s="47"/>
      <c r="KZZ35" s="47"/>
      <c r="LAA35" s="47"/>
      <c r="LAB35" s="47"/>
      <c r="LAC35" s="47"/>
      <c r="LAD35" s="47"/>
      <c r="LAE35" s="47"/>
      <c r="LAF35" s="47"/>
      <c r="LAG35" s="47"/>
      <c r="LAH35" s="47"/>
      <c r="LAI35" s="47"/>
      <c r="LAJ35" s="47"/>
      <c r="LAK35" s="47"/>
      <c r="LAL35" s="47"/>
      <c r="LAM35" s="47"/>
      <c r="LAN35" s="47"/>
      <c r="LAO35" s="47"/>
      <c r="LAP35" s="47"/>
      <c r="LAQ35" s="47"/>
      <c r="LAR35" s="47"/>
      <c r="LAS35" s="47"/>
      <c r="LAT35" s="47"/>
      <c r="LAU35" s="47"/>
      <c r="LAV35" s="47"/>
      <c r="LAW35" s="47"/>
      <c r="LAX35" s="47"/>
      <c r="LAY35" s="47"/>
      <c r="LAZ35" s="47"/>
      <c r="LBA35" s="47"/>
      <c r="LBB35" s="47"/>
      <c r="LBC35" s="47"/>
      <c r="LBD35" s="47"/>
      <c r="LBE35" s="47"/>
      <c r="LBF35" s="47"/>
      <c r="LBG35" s="47"/>
      <c r="LBH35" s="47"/>
      <c r="LBI35" s="47"/>
      <c r="LBJ35" s="47"/>
      <c r="LBK35" s="47"/>
      <c r="LBL35" s="47"/>
      <c r="LBM35" s="47"/>
      <c r="LBN35" s="47"/>
      <c r="LBO35" s="47"/>
      <c r="LBP35" s="47"/>
      <c r="LBQ35" s="47"/>
      <c r="LBR35" s="47"/>
      <c r="LBS35" s="47"/>
      <c r="LBT35" s="47"/>
      <c r="LBU35" s="47"/>
      <c r="LBV35" s="47"/>
      <c r="LBW35" s="47"/>
      <c r="LBX35" s="47"/>
      <c r="LBY35" s="47"/>
      <c r="LBZ35" s="47"/>
      <c r="LCA35" s="47"/>
      <c r="LCB35" s="47"/>
      <c r="LCC35" s="47"/>
      <c r="LCD35" s="47"/>
      <c r="LCE35" s="47"/>
      <c r="LCF35" s="47"/>
      <c r="LCG35" s="47"/>
      <c r="LCH35" s="47"/>
      <c r="LCI35" s="47"/>
      <c r="LCJ35" s="47"/>
      <c r="LCK35" s="47"/>
      <c r="LCL35" s="47"/>
      <c r="LCM35" s="47"/>
      <c r="LCN35" s="47"/>
      <c r="LCO35" s="47"/>
      <c r="LCP35" s="47"/>
      <c r="LCQ35" s="47"/>
      <c r="LCR35" s="47"/>
      <c r="LCS35" s="47"/>
      <c r="LCT35" s="47"/>
      <c r="LCU35" s="47"/>
      <c r="LCV35" s="47"/>
      <c r="LCW35" s="47"/>
      <c r="LCX35" s="47"/>
      <c r="LCY35" s="47"/>
      <c r="LCZ35" s="47"/>
      <c r="LDA35" s="47"/>
      <c r="LDB35" s="47"/>
      <c r="LDC35" s="47"/>
      <c r="LDD35" s="47"/>
      <c r="LDE35" s="47"/>
      <c r="LDF35" s="47"/>
      <c r="LDG35" s="47"/>
      <c r="LDH35" s="47"/>
      <c r="LDI35" s="47"/>
      <c r="LDJ35" s="47"/>
      <c r="LDK35" s="47"/>
      <c r="LDL35" s="47"/>
      <c r="LDM35" s="47"/>
      <c r="LDN35" s="47"/>
      <c r="LDO35" s="47"/>
      <c r="LDP35" s="47"/>
      <c r="LDQ35" s="47"/>
      <c r="LDR35" s="47"/>
      <c r="LDS35" s="47"/>
      <c r="LDT35" s="47"/>
      <c r="LDU35" s="47"/>
      <c r="LDV35" s="47"/>
      <c r="LDW35" s="47"/>
      <c r="LDX35" s="47"/>
      <c r="LDY35" s="47"/>
      <c r="LDZ35" s="47"/>
      <c r="LEA35" s="47"/>
      <c r="LEB35" s="47"/>
      <c r="LEC35" s="47"/>
      <c r="LED35" s="47"/>
      <c r="LEE35" s="47"/>
      <c r="LEF35" s="47"/>
      <c r="LEG35" s="47"/>
      <c r="LEH35" s="47"/>
      <c r="LEI35" s="47"/>
      <c r="LEJ35" s="47"/>
      <c r="LEK35" s="47"/>
      <c r="LEL35" s="47"/>
      <c r="LEM35" s="47"/>
      <c r="LEN35" s="47"/>
      <c r="LEO35" s="47"/>
      <c r="LEP35" s="47"/>
      <c r="LEQ35" s="47"/>
      <c r="LER35" s="47"/>
      <c r="LES35" s="47"/>
      <c r="LET35" s="47"/>
      <c r="LEU35" s="47"/>
      <c r="LEV35" s="47"/>
      <c r="LEW35" s="47"/>
      <c r="LEX35" s="47"/>
      <c r="LEY35" s="47"/>
      <c r="LEZ35" s="47"/>
      <c r="LFA35" s="47"/>
      <c r="LFB35" s="47"/>
      <c r="LFC35" s="47"/>
      <c r="LFD35" s="47"/>
      <c r="LFE35" s="47"/>
      <c r="LFF35" s="47"/>
      <c r="LFG35" s="47"/>
      <c r="LFH35" s="47"/>
      <c r="LFI35" s="47"/>
      <c r="LFJ35" s="47"/>
      <c r="LFK35" s="47"/>
      <c r="LFL35" s="47"/>
      <c r="LFM35" s="47"/>
      <c r="LFN35" s="47"/>
      <c r="LFO35" s="47"/>
      <c r="LFP35" s="47"/>
      <c r="LFQ35" s="47"/>
      <c r="LFR35" s="47"/>
      <c r="LFS35" s="47"/>
      <c r="LFT35" s="47"/>
      <c r="LFU35" s="47"/>
      <c r="LFV35" s="47"/>
      <c r="LFW35" s="47"/>
      <c r="LFX35" s="47"/>
      <c r="LFY35" s="47"/>
      <c r="LFZ35" s="47"/>
      <c r="LGA35" s="47"/>
      <c r="LGB35" s="47"/>
      <c r="LGC35" s="47"/>
      <c r="LGD35" s="47"/>
      <c r="LGE35" s="47"/>
      <c r="LGF35" s="47"/>
      <c r="LGG35" s="47"/>
      <c r="LGH35" s="47"/>
      <c r="LGI35" s="47"/>
      <c r="LGJ35" s="47"/>
      <c r="LGK35" s="47"/>
      <c r="LGL35" s="47"/>
      <c r="LGM35" s="47"/>
      <c r="LGN35" s="47"/>
      <c r="LGO35" s="47"/>
      <c r="LGP35" s="47"/>
      <c r="LGQ35" s="47"/>
      <c r="LGR35" s="47"/>
      <c r="LGS35" s="47"/>
      <c r="LGT35" s="47"/>
      <c r="LGU35" s="47"/>
      <c r="LGV35" s="47"/>
      <c r="LGW35" s="47"/>
      <c r="LGX35" s="47"/>
      <c r="LGY35" s="47"/>
      <c r="LGZ35" s="47"/>
      <c r="LHA35" s="47"/>
      <c r="LHB35" s="47"/>
      <c r="LHC35" s="47"/>
      <c r="LHD35" s="47"/>
      <c r="LHE35" s="47"/>
      <c r="LHF35" s="47"/>
      <c r="LHG35" s="47"/>
      <c r="LHH35" s="47"/>
      <c r="LHI35" s="47"/>
      <c r="LHJ35" s="47"/>
      <c r="LHK35" s="47"/>
      <c r="LHL35" s="47"/>
      <c r="LHM35" s="47"/>
      <c r="LHN35" s="47"/>
      <c r="LHO35" s="47"/>
      <c r="LHP35" s="47"/>
      <c r="LHQ35" s="47"/>
      <c r="LHR35" s="47"/>
      <c r="LHS35" s="47"/>
      <c r="LHT35" s="47"/>
      <c r="LHU35" s="47"/>
      <c r="LHV35" s="47"/>
      <c r="LHW35" s="47"/>
      <c r="LHX35" s="47"/>
      <c r="LHY35" s="47"/>
      <c r="LHZ35" s="47"/>
      <c r="LIA35" s="47"/>
      <c r="LIB35" s="47"/>
      <c r="LIC35" s="47"/>
      <c r="LID35" s="47"/>
      <c r="LIE35" s="47"/>
      <c r="LIF35" s="47"/>
      <c r="LIG35" s="47"/>
      <c r="LIH35" s="47"/>
      <c r="LII35" s="47"/>
      <c r="LIJ35" s="47"/>
      <c r="LIK35" s="47"/>
      <c r="LIL35" s="47"/>
      <c r="LIM35" s="47"/>
      <c r="LIN35" s="47"/>
      <c r="LIO35" s="47"/>
      <c r="LIP35" s="47"/>
      <c r="LIQ35" s="47"/>
      <c r="LIR35" s="47"/>
      <c r="LIS35" s="47"/>
      <c r="LIT35" s="47"/>
      <c r="LIU35" s="47"/>
      <c r="LIV35" s="47"/>
      <c r="LIW35" s="47"/>
      <c r="LIX35" s="47"/>
      <c r="LIY35" s="47"/>
      <c r="LIZ35" s="47"/>
      <c r="LJA35" s="47"/>
      <c r="LJB35" s="47"/>
      <c r="LJC35" s="47"/>
      <c r="LJD35" s="47"/>
      <c r="LJE35" s="47"/>
      <c r="LJF35" s="47"/>
      <c r="LJG35" s="47"/>
      <c r="LJH35" s="47"/>
      <c r="LJI35" s="47"/>
      <c r="LJJ35" s="47"/>
      <c r="LJK35" s="47"/>
      <c r="LJL35" s="47"/>
      <c r="LJM35" s="47"/>
      <c r="LJN35" s="47"/>
      <c r="LJO35" s="47"/>
      <c r="LJP35" s="47"/>
      <c r="LJQ35" s="47"/>
      <c r="LJR35" s="47"/>
      <c r="LJS35" s="47"/>
      <c r="LJT35" s="47"/>
      <c r="LJU35" s="47"/>
      <c r="LJV35" s="47"/>
      <c r="LJW35" s="47"/>
      <c r="LJX35" s="47"/>
      <c r="LJY35" s="47"/>
      <c r="LJZ35" s="47"/>
      <c r="LKA35" s="47"/>
      <c r="LKB35" s="47"/>
      <c r="LKC35" s="47"/>
      <c r="LKD35" s="47"/>
      <c r="LKE35" s="47"/>
      <c r="LKF35" s="47"/>
      <c r="LKG35" s="47"/>
      <c r="LKH35" s="47"/>
      <c r="LKI35" s="47"/>
      <c r="LKJ35" s="47"/>
      <c r="LKK35" s="47"/>
      <c r="LKL35" s="47"/>
      <c r="LKM35" s="47"/>
      <c r="LKN35" s="47"/>
      <c r="LKO35" s="47"/>
      <c r="LKP35" s="47"/>
      <c r="LKQ35" s="47"/>
      <c r="LKR35" s="47"/>
      <c r="LKS35" s="47"/>
      <c r="LKT35" s="47"/>
      <c r="LKU35" s="47"/>
      <c r="LKV35" s="47"/>
      <c r="LKW35" s="47"/>
      <c r="LKX35" s="47"/>
      <c r="LKY35" s="47"/>
      <c r="LKZ35" s="47"/>
      <c r="LLA35" s="47"/>
      <c r="LLB35" s="47"/>
      <c r="LLC35" s="47"/>
      <c r="LLD35" s="47"/>
      <c r="LLE35" s="47"/>
      <c r="LLF35" s="47"/>
      <c r="LLG35" s="47"/>
      <c r="LLH35" s="47"/>
      <c r="LLI35" s="47"/>
      <c r="LLJ35" s="47"/>
      <c r="LLK35" s="47"/>
      <c r="LLL35" s="47"/>
      <c r="LLM35" s="47"/>
      <c r="LLN35" s="47"/>
      <c r="LLO35" s="47"/>
      <c r="LLP35" s="47"/>
      <c r="LLQ35" s="47"/>
      <c r="LLR35" s="47"/>
      <c r="LLS35" s="47"/>
      <c r="LLT35" s="47"/>
      <c r="LLU35" s="47"/>
      <c r="LLV35" s="47"/>
      <c r="LLW35" s="47"/>
      <c r="LLX35" s="47"/>
      <c r="LLY35" s="47"/>
      <c r="LLZ35" s="47"/>
      <c r="LMA35" s="47"/>
      <c r="LMB35" s="47"/>
      <c r="LMC35" s="47"/>
      <c r="LMD35" s="47"/>
      <c r="LME35" s="47"/>
      <c r="LMF35" s="47"/>
      <c r="LMG35" s="47"/>
      <c r="LMH35" s="47"/>
      <c r="LMI35" s="47"/>
      <c r="LMJ35" s="47"/>
      <c r="LMK35" s="47"/>
      <c r="LML35" s="47"/>
      <c r="LMM35" s="47"/>
      <c r="LMN35" s="47"/>
      <c r="LMO35" s="47"/>
      <c r="LMP35" s="47"/>
      <c r="LMQ35" s="47"/>
      <c r="LMR35" s="47"/>
      <c r="LMS35" s="47"/>
      <c r="LMT35" s="47"/>
      <c r="LMU35" s="47"/>
      <c r="LMV35" s="47"/>
      <c r="LMW35" s="47"/>
      <c r="LMX35" s="47"/>
      <c r="LMY35" s="47"/>
      <c r="LMZ35" s="47"/>
      <c r="LNA35" s="47"/>
      <c r="LNB35" s="47"/>
      <c r="LNC35" s="47"/>
      <c r="LND35" s="47"/>
      <c r="LNE35" s="47"/>
      <c r="LNF35" s="47"/>
      <c r="LNG35" s="47"/>
      <c r="LNH35" s="47"/>
      <c r="LNI35" s="47"/>
      <c r="LNJ35" s="47"/>
      <c r="LNK35" s="47"/>
      <c r="LNL35" s="47"/>
      <c r="LNM35" s="47"/>
      <c r="LNN35" s="47"/>
      <c r="LNO35" s="47"/>
      <c r="LNP35" s="47"/>
      <c r="LNQ35" s="47"/>
      <c r="LNR35" s="47"/>
      <c r="LNS35" s="47"/>
      <c r="LNT35" s="47"/>
      <c r="LNU35" s="47"/>
      <c r="LNV35" s="47"/>
      <c r="LNW35" s="47"/>
      <c r="LNX35" s="47"/>
      <c r="LNY35" s="47"/>
      <c r="LNZ35" s="47"/>
      <c r="LOA35" s="47"/>
      <c r="LOB35" s="47"/>
      <c r="LOC35" s="47"/>
      <c r="LOD35" s="47"/>
      <c r="LOE35" s="47"/>
      <c r="LOF35" s="47"/>
      <c r="LOG35" s="47"/>
      <c r="LOH35" s="47"/>
      <c r="LOI35" s="47"/>
      <c r="LOJ35" s="47"/>
      <c r="LOK35" s="47"/>
      <c r="LOL35" s="47"/>
      <c r="LOM35" s="47"/>
      <c r="LON35" s="47"/>
      <c r="LOO35" s="47"/>
      <c r="LOP35" s="47"/>
      <c r="LOQ35" s="47"/>
      <c r="LOR35" s="47"/>
      <c r="LOS35" s="47"/>
      <c r="LOT35" s="47"/>
      <c r="LOU35" s="47"/>
      <c r="LOV35" s="47"/>
      <c r="LOW35" s="47"/>
      <c r="LOX35" s="47"/>
      <c r="LOY35" s="47"/>
      <c r="LOZ35" s="47"/>
      <c r="LPA35" s="47"/>
      <c r="LPB35" s="47"/>
      <c r="LPC35" s="47"/>
      <c r="LPD35" s="47"/>
      <c r="LPE35" s="47"/>
      <c r="LPF35" s="47"/>
      <c r="LPG35" s="47"/>
      <c r="LPH35" s="47"/>
      <c r="LPI35" s="47"/>
      <c r="LPJ35" s="47"/>
      <c r="LPK35" s="47"/>
      <c r="LPL35" s="47"/>
      <c r="LPM35" s="47"/>
      <c r="LPN35" s="47"/>
      <c r="LPO35" s="47"/>
      <c r="LPP35" s="47"/>
      <c r="LPQ35" s="47"/>
      <c r="LPR35" s="47"/>
      <c r="LPS35" s="47"/>
      <c r="LPT35" s="47"/>
      <c r="LPU35" s="47"/>
      <c r="LPV35" s="47"/>
      <c r="LPW35" s="47"/>
      <c r="LPX35" s="47"/>
      <c r="LPY35" s="47"/>
      <c r="LPZ35" s="47"/>
      <c r="LQA35" s="47"/>
      <c r="LQB35" s="47"/>
      <c r="LQC35" s="47"/>
      <c r="LQD35" s="47"/>
      <c r="LQE35" s="47"/>
      <c r="LQF35" s="47"/>
      <c r="LQG35" s="47"/>
      <c r="LQH35" s="47"/>
      <c r="LQI35" s="47"/>
      <c r="LQJ35" s="47"/>
      <c r="LQK35" s="47"/>
      <c r="LQL35" s="47"/>
      <c r="LQM35" s="47"/>
      <c r="LQN35" s="47"/>
      <c r="LQO35" s="47"/>
      <c r="LQP35" s="47"/>
      <c r="LQQ35" s="47"/>
      <c r="LQR35" s="47"/>
      <c r="LQS35" s="47"/>
      <c r="LQT35" s="47"/>
      <c r="LQU35" s="47"/>
      <c r="LQV35" s="47"/>
      <c r="LQW35" s="47"/>
      <c r="LQX35" s="47"/>
      <c r="LQY35" s="47"/>
      <c r="LQZ35" s="47"/>
      <c r="LRA35" s="47"/>
      <c r="LRB35" s="47"/>
      <c r="LRC35" s="47"/>
      <c r="LRD35" s="47"/>
      <c r="LRE35" s="47"/>
      <c r="LRF35" s="47"/>
      <c r="LRG35" s="47"/>
      <c r="LRH35" s="47"/>
      <c r="LRI35" s="47"/>
      <c r="LRJ35" s="47"/>
      <c r="LRK35" s="47"/>
      <c r="LRL35" s="47"/>
      <c r="LRM35" s="47"/>
      <c r="LRN35" s="47"/>
      <c r="LRO35" s="47"/>
      <c r="LRP35" s="47"/>
      <c r="LRQ35" s="47"/>
      <c r="LRR35" s="47"/>
      <c r="LRS35" s="47"/>
      <c r="LRT35" s="47"/>
      <c r="LRU35" s="47"/>
      <c r="LRV35" s="47"/>
      <c r="LRW35" s="47"/>
      <c r="LRX35" s="47"/>
      <c r="LRY35" s="47"/>
      <c r="LRZ35" s="47"/>
      <c r="LSA35" s="47"/>
      <c r="LSB35" s="47"/>
      <c r="LSC35" s="47"/>
      <c r="LSD35" s="47"/>
      <c r="LSE35" s="47"/>
      <c r="LSF35" s="47"/>
      <c r="LSG35" s="47"/>
      <c r="LSH35" s="47"/>
      <c r="LSI35" s="47"/>
      <c r="LSJ35" s="47"/>
      <c r="LSK35" s="47"/>
      <c r="LSL35" s="47"/>
      <c r="LSM35" s="47"/>
      <c r="LSN35" s="47"/>
      <c r="LSO35" s="47"/>
      <c r="LSP35" s="47"/>
      <c r="LSQ35" s="47"/>
      <c r="LSR35" s="47"/>
      <c r="LSS35" s="47"/>
      <c r="LST35" s="47"/>
      <c r="LSU35" s="47"/>
      <c r="LSV35" s="47"/>
      <c r="LSW35" s="47"/>
      <c r="LSX35" s="47"/>
      <c r="LSY35" s="47"/>
      <c r="LSZ35" s="47"/>
      <c r="LTA35" s="47"/>
      <c r="LTB35" s="47"/>
      <c r="LTC35" s="47"/>
      <c r="LTD35" s="47"/>
      <c r="LTE35" s="47"/>
      <c r="LTF35" s="47"/>
      <c r="LTG35" s="47"/>
      <c r="LTH35" s="47"/>
      <c r="LTI35" s="47"/>
      <c r="LTJ35" s="47"/>
      <c r="LTK35" s="47"/>
      <c r="LTL35" s="47"/>
      <c r="LTM35" s="47"/>
      <c r="LTN35" s="47"/>
      <c r="LTO35" s="47"/>
      <c r="LTP35" s="47"/>
      <c r="LTQ35" s="47"/>
      <c r="LTR35" s="47"/>
      <c r="LTS35" s="47"/>
      <c r="LTT35" s="47"/>
      <c r="LTU35" s="47"/>
      <c r="LTV35" s="47"/>
      <c r="LTW35" s="47"/>
      <c r="LTX35" s="47"/>
      <c r="LTY35" s="47"/>
      <c r="LTZ35" s="47"/>
      <c r="LUA35" s="47"/>
      <c r="LUB35" s="47"/>
      <c r="LUC35" s="47"/>
      <c r="LUD35" s="47"/>
      <c r="LUE35" s="47"/>
      <c r="LUF35" s="47"/>
      <c r="LUG35" s="47"/>
      <c r="LUH35" s="47"/>
      <c r="LUI35" s="47"/>
      <c r="LUJ35" s="47"/>
      <c r="LUK35" s="47"/>
      <c r="LUL35" s="47"/>
      <c r="LUM35" s="47"/>
      <c r="LUN35" s="47"/>
      <c r="LUO35" s="47"/>
      <c r="LUP35" s="47"/>
      <c r="LUQ35" s="47"/>
      <c r="LUR35" s="47"/>
      <c r="LUS35" s="47"/>
      <c r="LUT35" s="47"/>
      <c r="LUU35" s="47"/>
      <c r="LUV35" s="47"/>
      <c r="LUW35" s="47"/>
      <c r="LUX35" s="47"/>
      <c r="LUY35" s="47"/>
      <c r="LUZ35" s="47"/>
      <c r="LVA35" s="47"/>
      <c r="LVB35" s="47"/>
      <c r="LVC35" s="47"/>
      <c r="LVD35" s="47"/>
      <c r="LVE35" s="47"/>
      <c r="LVF35" s="47"/>
      <c r="LVG35" s="47"/>
      <c r="LVH35" s="47"/>
      <c r="LVI35" s="47"/>
      <c r="LVJ35" s="47"/>
      <c r="LVK35" s="47"/>
      <c r="LVL35" s="47"/>
      <c r="LVM35" s="47"/>
      <c r="LVN35" s="47"/>
      <c r="LVO35" s="47"/>
      <c r="LVP35" s="47"/>
      <c r="LVQ35" s="47"/>
      <c r="LVR35" s="47"/>
      <c r="LVS35" s="47"/>
      <c r="LVT35" s="47"/>
      <c r="LVU35" s="47"/>
      <c r="LVV35" s="47"/>
      <c r="LVW35" s="47"/>
      <c r="LVX35" s="47"/>
      <c r="LVY35" s="47"/>
      <c r="LVZ35" s="47"/>
      <c r="LWA35" s="47"/>
      <c r="LWB35" s="47"/>
      <c r="LWC35" s="47"/>
      <c r="LWD35" s="47"/>
      <c r="LWE35" s="47"/>
      <c r="LWF35" s="47"/>
      <c r="LWG35" s="47"/>
      <c r="LWH35" s="47"/>
      <c r="LWI35" s="47"/>
      <c r="LWJ35" s="47"/>
      <c r="LWK35" s="47"/>
      <c r="LWL35" s="47"/>
      <c r="LWM35" s="47"/>
      <c r="LWN35" s="47"/>
      <c r="LWO35" s="47"/>
      <c r="LWP35" s="47"/>
      <c r="LWQ35" s="47"/>
      <c r="LWR35" s="47"/>
      <c r="LWS35" s="47"/>
      <c r="LWT35" s="47"/>
      <c r="LWU35" s="47"/>
      <c r="LWV35" s="47"/>
      <c r="LWW35" s="47"/>
      <c r="LWX35" s="47"/>
      <c r="LWY35" s="47"/>
      <c r="LWZ35" s="47"/>
      <c r="LXA35" s="47"/>
      <c r="LXB35" s="47"/>
      <c r="LXC35" s="47"/>
      <c r="LXD35" s="47"/>
      <c r="LXE35" s="47"/>
      <c r="LXF35" s="47"/>
      <c r="LXG35" s="47"/>
      <c r="LXH35" s="47"/>
      <c r="LXI35" s="47"/>
      <c r="LXJ35" s="47"/>
      <c r="LXK35" s="47"/>
      <c r="LXL35" s="47"/>
      <c r="LXM35" s="47"/>
      <c r="LXN35" s="47"/>
      <c r="LXO35" s="47"/>
      <c r="LXP35" s="47"/>
      <c r="LXQ35" s="47"/>
      <c r="LXR35" s="47"/>
      <c r="LXS35" s="47"/>
      <c r="LXT35" s="47"/>
      <c r="LXU35" s="47"/>
      <c r="LXV35" s="47"/>
      <c r="LXW35" s="47"/>
      <c r="LXX35" s="47"/>
      <c r="LXY35" s="47"/>
      <c r="LXZ35" s="47"/>
      <c r="LYA35" s="47"/>
      <c r="LYB35" s="47"/>
      <c r="LYC35" s="47"/>
      <c r="LYD35" s="47"/>
      <c r="LYE35" s="47"/>
      <c r="LYF35" s="47"/>
      <c r="LYG35" s="47"/>
      <c r="LYH35" s="47"/>
      <c r="LYI35" s="47"/>
      <c r="LYJ35" s="47"/>
      <c r="LYK35" s="47"/>
      <c r="LYL35" s="47"/>
      <c r="LYM35" s="47"/>
      <c r="LYN35" s="47"/>
      <c r="LYO35" s="47"/>
      <c r="LYP35" s="47"/>
      <c r="LYQ35" s="47"/>
      <c r="LYR35" s="47"/>
      <c r="LYS35" s="47"/>
      <c r="LYT35" s="47"/>
      <c r="LYU35" s="47"/>
      <c r="LYV35" s="47"/>
      <c r="LYW35" s="47"/>
      <c r="LYX35" s="47"/>
      <c r="LYY35" s="47"/>
      <c r="LYZ35" s="47"/>
      <c r="LZA35" s="47"/>
      <c r="LZB35" s="47"/>
      <c r="LZC35" s="47"/>
      <c r="LZD35" s="47"/>
      <c r="LZE35" s="47"/>
      <c r="LZF35" s="47"/>
      <c r="LZG35" s="47"/>
      <c r="LZH35" s="47"/>
      <c r="LZI35" s="47"/>
      <c r="LZJ35" s="47"/>
      <c r="LZK35" s="47"/>
      <c r="LZL35" s="47"/>
      <c r="LZM35" s="47"/>
      <c r="LZN35" s="47"/>
      <c r="LZO35" s="47"/>
      <c r="LZP35" s="47"/>
      <c r="LZQ35" s="47"/>
      <c r="LZR35" s="47"/>
      <c r="LZS35" s="47"/>
      <c r="LZT35" s="47"/>
      <c r="LZU35" s="47"/>
      <c r="LZV35" s="47"/>
      <c r="LZW35" s="47"/>
      <c r="LZX35" s="47"/>
      <c r="LZY35" s="47"/>
      <c r="LZZ35" s="47"/>
      <c r="MAA35" s="47"/>
      <c r="MAB35" s="47"/>
      <c r="MAC35" s="47"/>
      <c r="MAD35" s="47"/>
      <c r="MAE35" s="47"/>
      <c r="MAF35" s="47"/>
      <c r="MAG35" s="47"/>
      <c r="MAH35" s="47"/>
      <c r="MAI35" s="47"/>
      <c r="MAJ35" s="47"/>
      <c r="MAK35" s="47"/>
      <c r="MAL35" s="47"/>
      <c r="MAM35" s="47"/>
      <c r="MAN35" s="47"/>
      <c r="MAO35" s="47"/>
      <c r="MAP35" s="47"/>
      <c r="MAQ35" s="47"/>
      <c r="MAR35" s="47"/>
      <c r="MAS35" s="47"/>
      <c r="MAT35" s="47"/>
      <c r="MAU35" s="47"/>
      <c r="MAV35" s="47"/>
      <c r="MAW35" s="47"/>
      <c r="MAX35" s="47"/>
      <c r="MAY35" s="47"/>
      <c r="MAZ35" s="47"/>
      <c r="MBA35" s="47"/>
      <c r="MBB35" s="47"/>
      <c r="MBC35" s="47"/>
      <c r="MBD35" s="47"/>
      <c r="MBE35" s="47"/>
      <c r="MBF35" s="47"/>
      <c r="MBG35" s="47"/>
      <c r="MBH35" s="47"/>
      <c r="MBI35" s="47"/>
      <c r="MBJ35" s="47"/>
      <c r="MBK35" s="47"/>
      <c r="MBL35" s="47"/>
      <c r="MBM35" s="47"/>
      <c r="MBN35" s="47"/>
      <c r="MBO35" s="47"/>
      <c r="MBP35" s="47"/>
      <c r="MBQ35" s="47"/>
      <c r="MBR35" s="47"/>
      <c r="MBS35" s="47"/>
      <c r="MBT35" s="47"/>
      <c r="MBU35" s="47"/>
      <c r="MBV35" s="47"/>
      <c r="MBW35" s="47"/>
      <c r="MBX35" s="47"/>
      <c r="MBY35" s="47"/>
      <c r="MBZ35" s="47"/>
      <c r="MCA35" s="47"/>
      <c r="MCB35" s="47"/>
      <c r="MCC35" s="47"/>
      <c r="MCD35" s="47"/>
      <c r="MCE35" s="47"/>
      <c r="MCF35" s="47"/>
      <c r="MCG35" s="47"/>
      <c r="MCH35" s="47"/>
      <c r="MCI35" s="47"/>
      <c r="MCJ35" s="47"/>
      <c r="MCK35" s="47"/>
      <c r="MCL35" s="47"/>
      <c r="MCM35" s="47"/>
      <c r="MCN35" s="47"/>
      <c r="MCO35" s="47"/>
      <c r="MCP35" s="47"/>
      <c r="MCQ35" s="47"/>
      <c r="MCR35" s="47"/>
      <c r="MCS35" s="47"/>
      <c r="MCT35" s="47"/>
      <c r="MCU35" s="47"/>
      <c r="MCV35" s="47"/>
      <c r="MCW35" s="47"/>
      <c r="MCX35" s="47"/>
      <c r="MCY35" s="47"/>
      <c r="MCZ35" s="47"/>
      <c r="MDA35" s="47"/>
      <c r="MDB35" s="47"/>
      <c r="MDC35" s="47"/>
      <c r="MDD35" s="47"/>
      <c r="MDE35" s="47"/>
      <c r="MDF35" s="47"/>
      <c r="MDG35" s="47"/>
      <c r="MDH35" s="47"/>
      <c r="MDI35" s="47"/>
      <c r="MDJ35" s="47"/>
      <c r="MDK35" s="47"/>
      <c r="MDL35" s="47"/>
      <c r="MDM35" s="47"/>
      <c r="MDN35" s="47"/>
      <c r="MDO35" s="47"/>
      <c r="MDP35" s="47"/>
      <c r="MDQ35" s="47"/>
      <c r="MDR35" s="47"/>
      <c r="MDS35" s="47"/>
      <c r="MDT35" s="47"/>
      <c r="MDU35" s="47"/>
      <c r="MDV35" s="47"/>
      <c r="MDW35" s="47"/>
      <c r="MDX35" s="47"/>
      <c r="MDY35" s="47"/>
      <c r="MDZ35" s="47"/>
      <c r="MEA35" s="47"/>
      <c r="MEB35" s="47"/>
      <c r="MEC35" s="47"/>
      <c r="MED35" s="47"/>
      <c r="MEE35" s="47"/>
      <c r="MEF35" s="47"/>
      <c r="MEG35" s="47"/>
      <c r="MEH35" s="47"/>
      <c r="MEI35" s="47"/>
      <c r="MEJ35" s="47"/>
      <c r="MEK35" s="47"/>
      <c r="MEL35" s="47"/>
      <c r="MEM35" s="47"/>
      <c r="MEN35" s="47"/>
      <c r="MEO35" s="47"/>
      <c r="MEP35" s="47"/>
      <c r="MEQ35" s="47"/>
      <c r="MER35" s="47"/>
      <c r="MES35" s="47"/>
      <c r="MET35" s="47"/>
      <c r="MEU35" s="47"/>
      <c r="MEV35" s="47"/>
      <c r="MEW35" s="47"/>
      <c r="MEX35" s="47"/>
      <c r="MEY35" s="47"/>
      <c r="MEZ35" s="47"/>
      <c r="MFA35" s="47"/>
      <c r="MFB35" s="47"/>
      <c r="MFC35" s="47"/>
      <c r="MFD35" s="47"/>
      <c r="MFE35" s="47"/>
      <c r="MFF35" s="47"/>
      <c r="MFG35" s="47"/>
      <c r="MFH35" s="47"/>
      <c r="MFI35" s="47"/>
      <c r="MFJ35" s="47"/>
      <c r="MFK35" s="47"/>
      <c r="MFL35" s="47"/>
      <c r="MFM35" s="47"/>
      <c r="MFN35" s="47"/>
      <c r="MFO35" s="47"/>
      <c r="MFP35" s="47"/>
      <c r="MFQ35" s="47"/>
      <c r="MFR35" s="47"/>
      <c r="MFS35" s="47"/>
      <c r="MFT35" s="47"/>
      <c r="MFU35" s="47"/>
      <c r="MFV35" s="47"/>
      <c r="MFW35" s="47"/>
      <c r="MFX35" s="47"/>
      <c r="MFY35" s="47"/>
      <c r="MFZ35" s="47"/>
      <c r="MGA35" s="47"/>
      <c r="MGB35" s="47"/>
      <c r="MGC35" s="47"/>
      <c r="MGD35" s="47"/>
      <c r="MGE35" s="47"/>
      <c r="MGF35" s="47"/>
      <c r="MGG35" s="47"/>
      <c r="MGH35" s="47"/>
      <c r="MGI35" s="47"/>
      <c r="MGJ35" s="47"/>
      <c r="MGK35" s="47"/>
      <c r="MGL35" s="47"/>
      <c r="MGM35" s="47"/>
      <c r="MGN35" s="47"/>
      <c r="MGO35" s="47"/>
      <c r="MGP35" s="47"/>
      <c r="MGQ35" s="47"/>
      <c r="MGR35" s="47"/>
      <c r="MGS35" s="47"/>
      <c r="MGT35" s="47"/>
      <c r="MGU35" s="47"/>
      <c r="MGV35" s="47"/>
      <c r="MGW35" s="47"/>
      <c r="MGX35" s="47"/>
      <c r="MGY35" s="47"/>
      <c r="MGZ35" s="47"/>
      <c r="MHA35" s="47"/>
      <c r="MHB35" s="47"/>
      <c r="MHC35" s="47"/>
      <c r="MHD35" s="47"/>
      <c r="MHE35" s="47"/>
      <c r="MHF35" s="47"/>
      <c r="MHG35" s="47"/>
      <c r="MHH35" s="47"/>
      <c r="MHI35" s="47"/>
      <c r="MHJ35" s="47"/>
      <c r="MHK35" s="47"/>
      <c r="MHL35" s="47"/>
      <c r="MHM35" s="47"/>
      <c r="MHN35" s="47"/>
      <c r="MHO35" s="47"/>
      <c r="MHP35" s="47"/>
      <c r="MHQ35" s="47"/>
      <c r="MHR35" s="47"/>
      <c r="MHS35" s="47"/>
      <c r="MHT35" s="47"/>
      <c r="MHU35" s="47"/>
      <c r="MHV35" s="47"/>
      <c r="MHW35" s="47"/>
      <c r="MHX35" s="47"/>
      <c r="MHY35" s="47"/>
      <c r="MHZ35" s="47"/>
      <c r="MIA35" s="47"/>
      <c r="MIB35" s="47"/>
      <c r="MIC35" s="47"/>
      <c r="MID35" s="47"/>
      <c r="MIE35" s="47"/>
      <c r="MIF35" s="47"/>
      <c r="MIG35" s="47"/>
      <c r="MIH35" s="47"/>
      <c r="MII35" s="47"/>
      <c r="MIJ35" s="47"/>
      <c r="MIK35" s="47"/>
      <c r="MIL35" s="47"/>
      <c r="MIM35" s="47"/>
      <c r="MIN35" s="47"/>
      <c r="MIO35" s="47"/>
      <c r="MIP35" s="47"/>
      <c r="MIQ35" s="47"/>
      <c r="MIR35" s="47"/>
      <c r="MIS35" s="47"/>
      <c r="MIT35" s="47"/>
      <c r="MIU35" s="47"/>
      <c r="MIV35" s="47"/>
      <c r="MIW35" s="47"/>
      <c r="MIX35" s="47"/>
      <c r="MIY35" s="47"/>
      <c r="MIZ35" s="47"/>
      <c r="MJA35" s="47"/>
      <c r="MJB35" s="47"/>
      <c r="MJC35" s="47"/>
      <c r="MJD35" s="47"/>
      <c r="MJE35" s="47"/>
      <c r="MJF35" s="47"/>
      <c r="MJG35" s="47"/>
      <c r="MJH35" s="47"/>
      <c r="MJI35" s="47"/>
      <c r="MJJ35" s="47"/>
      <c r="MJK35" s="47"/>
      <c r="MJL35" s="47"/>
      <c r="MJM35" s="47"/>
      <c r="MJN35" s="47"/>
      <c r="MJO35" s="47"/>
      <c r="MJP35" s="47"/>
      <c r="MJQ35" s="47"/>
      <c r="MJR35" s="47"/>
      <c r="MJS35" s="47"/>
      <c r="MJT35" s="47"/>
      <c r="MJU35" s="47"/>
      <c r="MJV35" s="47"/>
      <c r="MJW35" s="47"/>
      <c r="MJX35" s="47"/>
      <c r="MJY35" s="47"/>
      <c r="MJZ35" s="47"/>
      <c r="MKA35" s="47"/>
      <c r="MKB35" s="47"/>
      <c r="MKC35" s="47"/>
      <c r="MKD35" s="47"/>
      <c r="MKE35" s="47"/>
      <c r="MKF35" s="47"/>
      <c r="MKG35" s="47"/>
      <c r="MKH35" s="47"/>
      <c r="MKI35" s="47"/>
      <c r="MKJ35" s="47"/>
      <c r="MKK35" s="47"/>
      <c r="MKL35" s="47"/>
      <c r="MKM35" s="47"/>
      <c r="MKN35" s="47"/>
      <c r="MKO35" s="47"/>
      <c r="MKP35" s="47"/>
      <c r="MKQ35" s="47"/>
      <c r="MKR35" s="47"/>
      <c r="MKS35" s="47"/>
      <c r="MKT35" s="47"/>
      <c r="MKU35" s="47"/>
      <c r="MKV35" s="47"/>
      <c r="MKW35" s="47"/>
      <c r="MKX35" s="47"/>
      <c r="MKY35" s="47"/>
      <c r="MKZ35" s="47"/>
      <c r="MLA35" s="47"/>
      <c r="MLB35" s="47"/>
      <c r="MLC35" s="47"/>
      <c r="MLD35" s="47"/>
      <c r="MLE35" s="47"/>
      <c r="MLF35" s="47"/>
      <c r="MLG35" s="47"/>
      <c r="MLH35" s="47"/>
      <c r="MLI35" s="47"/>
      <c r="MLJ35" s="47"/>
      <c r="MLK35" s="47"/>
      <c r="MLL35" s="47"/>
      <c r="MLM35" s="47"/>
      <c r="MLN35" s="47"/>
      <c r="MLO35" s="47"/>
      <c r="MLP35" s="47"/>
      <c r="MLQ35" s="47"/>
      <c r="MLR35" s="47"/>
      <c r="MLS35" s="47"/>
      <c r="MLT35" s="47"/>
      <c r="MLU35" s="47"/>
      <c r="MLV35" s="47"/>
      <c r="MLW35" s="47"/>
      <c r="MLX35" s="47"/>
      <c r="MLY35" s="47"/>
      <c r="MLZ35" s="47"/>
      <c r="MMA35" s="47"/>
      <c r="MMB35" s="47"/>
      <c r="MMC35" s="47"/>
      <c r="MMD35" s="47"/>
      <c r="MME35" s="47"/>
      <c r="MMF35" s="47"/>
      <c r="MMG35" s="47"/>
      <c r="MMH35" s="47"/>
      <c r="MMI35" s="47"/>
      <c r="MMJ35" s="47"/>
      <c r="MMK35" s="47"/>
      <c r="MML35" s="47"/>
      <c r="MMM35" s="47"/>
      <c r="MMN35" s="47"/>
      <c r="MMO35" s="47"/>
      <c r="MMP35" s="47"/>
      <c r="MMQ35" s="47"/>
      <c r="MMR35" s="47"/>
      <c r="MMS35" s="47"/>
      <c r="MMT35" s="47"/>
      <c r="MMU35" s="47"/>
      <c r="MMV35" s="47"/>
      <c r="MMW35" s="47"/>
      <c r="MMX35" s="47"/>
      <c r="MMY35" s="47"/>
      <c r="MMZ35" s="47"/>
      <c r="MNA35" s="47"/>
      <c r="MNB35" s="47"/>
      <c r="MNC35" s="47"/>
      <c r="MND35" s="47"/>
      <c r="MNE35" s="47"/>
      <c r="MNF35" s="47"/>
      <c r="MNG35" s="47"/>
      <c r="MNH35" s="47"/>
      <c r="MNI35" s="47"/>
      <c r="MNJ35" s="47"/>
      <c r="MNK35" s="47"/>
      <c r="MNL35" s="47"/>
      <c r="MNM35" s="47"/>
      <c r="MNN35" s="47"/>
      <c r="MNO35" s="47"/>
      <c r="MNP35" s="47"/>
      <c r="MNQ35" s="47"/>
      <c r="MNR35" s="47"/>
      <c r="MNS35" s="47"/>
      <c r="MNT35" s="47"/>
      <c r="MNU35" s="47"/>
      <c r="MNV35" s="47"/>
      <c r="MNW35" s="47"/>
      <c r="MNX35" s="47"/>
      <c r="MNY35" s="47"/>
      <c r="MNZ35" s="47"/>
      <c r="MOA35" s="47"/>
      <c r="MOB35" s="47"/>
      <c r="MOC35" s="47"/>
      <c r="MOD35" s="47"/>
      <c r="MOE35" s="47"/>
      <c r="MOF35" s="47"/>
      <c r="MOG35" s="47"/>
      <c r="MOH35" s="47"/>
      <c r="MOI35" s="47"/>
      <c r="MOJ35" s="47"/>
      <c r="MOK35" s="47"/>
      <c r="MOL35" s="47"/>
      <c r="MOM35" s="47"/>
      <c r="MON35" s="47"/>
      <c r="MOO35" s="47"/>
      <c r="MOP35" s="47"/>
      <c r="MOQ35" s="47"/>
      <c r="MOR35" s="47"/>
      <c r="MOS35" s="47"/>
      <c r="MOT35" s="47"/>
      <c r="MOU35" s="47"/>
      <c r="MOV35" s="47"/>
      <c r="MOW35" s="47"/>
      <c r="MOX35" s="47"/>
      <c r="MOY35" s="47"/>
      <c r="MOZ35" s="47"/>
      <c r="MPA35" s="47"/>
      <c r="MPB35" s="47"/>
      <c r="MPC35" s="47"/>
      <c r="MPD35" s="47"/>
      <c r="MPE35" s="47"/>
      <c r="MPF35" s="47"/>
      <c r="MPG35" s="47"/>
      <c r="MPH35" s="47"/>
      <c r="MPI35" s="47"/>
      <c r="MPJ35" s="47"/>
      <c r="MPK35" s="47"/>
      <c r="MPL35" s="47"/>
      <c r="MPM35" s="47"/>
      <c r="MPN35" s="47"/>
      <c r="MPO35" s="47"/>
      <c r="MPP35" s="47"/>
      <c r="MPQ35" s="47"/>
      <c r="MPR35" s="47"/>
      <c r="MPS35" s="47"/>
      <c r="MPT35" s="47"/>
      <c r="MPU35" s="47"/>
      <c r="MPV35" s="47"/>
      <c r="MPW35" s="47"/>
      <c r="MPX35" s="47"/>
      <c r="MPY35" s="47"/>
      <c r="MPZ35" s="47"/>
      <c r="MQA35" s="47"/>
      <c r="MQB35" s="47"/>
      <c r="MQC35" s="47"/>
      <c r="MQD35" s="47"/>
      <c r="MQE35" s="47"/>
      <c r="MQF35" s="47"/>
      <c r="MQG35" s="47"/>
      <c r="MQH35" s="47"/>
      <c r="MQI35" s="47"/>
      <c r="MQJ35" s="47"/>
      <c r="MQK35" s="47"/>
      <c r="MQL35" s="47"/>
      <c r="MQM35" s="47"/>
      <c r="MQN35" s="47"/>
      <c r="MQO35" s="47"/>
      <c r="MQP35" s="47"/>
      <c r="MQQ35" s="47"/>
      <c r="MQR35" s="47"/>
      <c r="MQS35" s="47"/>
      <c r="MQT35" s="47"/>
      <c r="MQU35" s="47"/>
      <c r="MQV35" s="47"/>
      <c r="MQW35" s="47"/>
      <c r="MQX35" s="47"/>
      <c r="MQY35" s="47"/>
      <c r="MQZ35" s="47"/>
      <c r="MRA35" s="47"/>
      <c r="MRB35" s="47"/>
      <c r="MRC35" s="47"/>
      <c r="MRD35" s="47"/>
      <c r="MRE35" s="47"/>
      <c r="MRF35" s="47"/>
      <c r="MRG35" s="47"/>
      <c r="MRH35" s="47"/>
      <c r="MRI35" s="47"/>
      <c r="MRJ35" s="47"/>
      <c r="MRK35" s="47"/>
      <c r="MRL35" s="47"/>
      <c r="MRM35" s="47"/>
      <c r="MRN35" s="47"/>
      <c r="MRO35" s="47"/>
      <c r="MRP35" s="47"/>
      <c r="MRQ35" s="47"/>
      <c r="MRR35" s="47"/>
      <c r="MRS35" s="47"/>
      <c r="MRT35" s="47"/>
      <c r="MRU35" s="47"/>
      <c r="MRV35" s="47"/>
      <c r="MRW35" s="47"/>
      <c r="MRX35" s="47"/>
      <c r="MRY35" s="47"/>
      <c r="MRZ35" s="47"/>
      <c r="MSA35" s="47"/>
      <c r="MSB35" s="47"/>
      <c r="MSC35" s="47"/>
      <c r="MSD35" s="47"/>
      <c r="MSE35" s="47"/>
      <c r="MSF35" s="47"/>
      <c r="MSG35" s="47"/>
      <c r="MSH35" s="47"/>
      <c r="MSI35" s="47"/>
      <c r="MSJ35" s="47"/>
      <c r="MSK35" s="47"/>
      <c r="MSL35" s="47"/>
      <c r="MSM35" s="47"/>
      <c r="MSN35" s="47"/>
      <c r="MSO35" s="47"/>
      <c r="MSP35" s="47"/>
      <c r="MSQ35" s="47"/>
      <c r="MSR35" s="47"/>
      <c r="MSS35" s="47"/>
      <c r="MST35" s="47"/>
      <c r="MSU35" s="47"/>
      <c r="MSV35" s="47"/>
      <c r="MSW35" s="47"/>
      <c r="MSX35" s="47"/>
      <c r="MSY35" s="47"/>
      <c r="MSZ35" s="47"/>
      <c r="MTA35" s="47"/>
      <c r="MTB35" s="47"/>
      <c r="MTC35" s="47"/>
      <c r="MTD35" s="47"/>
      <c r="MTE35" s="47"/>
      <c r="MTF35" s="47"/>
      <c r="MTG35" s="47"/>
      <c r="MTH35" s="47"/>
      <c r="MTI35" s="47"/>
      <c r="MTJ35" s="47"/>
      <c r="MTK35" s="47"/>
      <c r="MTL35" s="47"/>
      <c r="MTM35" s="47"/>
      <c r="MTN35" s="47"/>
      <c r="MTO35" s="47"/>
      <c r="MTP35" s="47"/>
      <c r="MTQ35" s="47"/>
      <c r="MTR35" s="47"/>
      <c r="MTS35" s="47"/>
      <c r="MTT35" s="47"/>
      <c r="MTU35" s="47"/>
      <c r="MTV35" s="47"/>
      <c r="MTW35" s="47"/>
      <c r="MTX35" s="47"/>
      <c r="MTY35" s="47"/>
      <c r="MTZ35" s="47"/>
      <c r="MUA35" s="47"/>
      <c r="MUB35" s="47"/>
      <c r="MUC35" s="47"/>
      <c r="MUD35" s="47"/>
      <c r="MUE35" s="47"/>
      <c r="MUF35" s="47"/>
      <c r="MUG35" s="47"/>
      <c r="MUH35" s="47"/>
      <c r="MUI35" s="47"/>
      <c r="MUJ35" s="47"/>
      <c r="MUK35" s="47"/>
      <c r="MUL35" s="47"/>
      <c r="MUM35" s="47"/>
      <c r="MUN35" s="47"/>
      <c r="MUO35" s="47"/>
      <c r="MUP35" s="47"/>
      <c r="MUQ35" s="47"/>
      <c r="MUR35" s="47"/>
      <c r="MUS35" s="47"/>
      <c r="MUT35" s="47"/>
      <c r="MUU35" s="47"/>
      <c r="MUV35" s="47"/>
      <c r="MUW35" s="47"/>
      <c r="MUX35" s="47"/>
      <c r="MUY35" s="47"/>
      <c r="MUZ35" s="47"/>
      <c r="MVA35" s="47"/>
      <c r="MVB35" s="47"/>
      <c r="MVC35" s="47"/>
      <c r="MVD35" s="47"/>
      <c r="MVE35" s="47"/>
      <c r="MVF35" s="47"/>
      <c r="MVG35" s="47"/>
      <c r="MVH35" s="47"/>
      <c r="MVI35" s="47"/>
      <c r="MVJ35" s="47"/>
      <c r="MVK35" s="47"/>
      <c r="MVL35" s="47"/>
      <c r="MVM35" s="47"/>
      <c r="MVN35" s="47"/>
      <c r="MVO35" s="47"/>
      <c r="MVP35" s="47"/>
      <c r="MVQ35" s="47"/>
      <c r="MVR35" s="47"/>
      <c r="MVS35" s="47"/>
      <c r="MVT35" s="47"/>
      <c r="MVU35" s="47"/>
      <c r="MVV35" s="47"/>
      <c r="MVW35" s="47"/>
      <c r="MVX35" s="47"/>
      <c r="MVY35" s="47"/>
      <c r="MVZ35" s="47"/>
      <c r="MWA35" s="47"/>
      <c r="MWB35" s="47"/>
      <c r="MWC35" s="47"/>
      <c r="MWD35" s="47"/>
      <c r="MWE35" s="47"/>
      <c r="MWF35" s="47"/>
      <c r="MWG35" s="47"/>
      <c r="MWH35" s="47"/>
      <c r="MWI35" s="47"/>
      <c r="MWJ35" s="47"/>
      <c r="MWK35" s="47"/>
      <c r="MWL35" s="47"/>
      <c r="MWM35" s="47"/>
      <c r="MWN35" s="47"/>
      <c r="MWO35" s="47"/>
      <c r="MWP35" s="47"/>
      <c r="MWQ35" s="47"/>
      <c r="MWR35" s="47"/>
      <c r="MWS35" s="47"/>
      <c r="MWT35" s="47"/>
      <c r="MWU35" s="47"/>
      <c r="MWV35" s="47"/>
      <c r="MWW35" s="47"/>
      <c r="MWX35" s="47"/>
      <c r="MWY35" s="47"/>
      <c r="MWZ35" s="47"/>
      <c r="MXA35" s="47"/>
      <c r="MXB35" s="47"/>
      <c r="MXC35" s="47"/>
      <c r="MXD35" s="47"/>
      <c r="MXE35" s="47"/>
      <c r="MXF35" s="47"/>
      <c r="MXG35" s="47"/>
      <c r="MXH35" s="47"/>
      <c r="MXI35" s="47"/>
      <c r="MXJ35" s="47"/>
      <c r="MXK35" s="47"/>
      <c r="MXL35" s="47"/>
      <c r="MXM35" s="47"/>
      <c r="MXN35" s="47"/>
      <c r="MXO35" s="47"/>
      <c r="MXP35" s="47"/>
      <c r="MXQ35" s="47"/>
      <c r="MXR35" s="47"/>
      <c r="MXS35" s="47"/>
      <c r="MXT35" s="47"/>
      <c r="MXU35" s="47"/>
      <c r="MXV35" s="47"/>
      <c r="MXW35" s="47"/>
      <c r="MXX35" s="47"/>
      <c r="MXY35" s="47"/>
      <c r="MXZ35" s="47"/>
      <c r="MYA35" s="47"/>
      <c r="MYB35" s="47"/>
      <c r="MYC35" s="47"/>
      <c r="MYD35" s="47"/>
      <c r="MYE35" s="47"/>
      <c r="MYF35" s="47"/>
      <c r="MYG35" s="47"/>
      <c r="MYH35" s="47"/>
      <c r="MYI35" s="47"/>
      <c r="MYJ35" s="47"/>
      <c r="MYK35" s="47"/>
      <c r="MYL35" s="47"/>
      <c r="MYM35" s="47"/>
      <c r="MYN35" s="47"/>
      <c r="MYO35" s="47"/>
      <c r="MYP35" s="47"/>
      <c r="MYQ35" s="47"/>
      <c r="MYR35" s="47"/>
      <c r="MYS35" s="47"/>
      <c r="MYT35" s="47"/>
      <c r="MYU35" s="47"/>
      <c r="MYV35" s="47"/>
      <c r="MYW35" s="47"/>
      <c r="MYX35" s="47"/>
      <c r="MYY35" s="47"/>
      <c r="MYZ35" s="47"/>
      <c r="MZA35" s="47"/>
      <c r="MZB35" s="47"/>
      <c r="MZC35" s="47"/>
      <c r="MZD35" s="47"/>
      <c r="MZE35" s="47"/>
      <c r="MZF35" s="47"/>
      <c r="MZG35" s="47"/>
      <c r="MZH35" s="47"/>
      <c r="MZI35" s="47"/>
      <c r="MZJ35" s="47"/>
      <c r="MZK35" s="47"/>
      <c r="MZL35" s="47"/>
      <c r="MZM35" s="47"/>
      <c r="MZN35" s="47"/>
      <c r="MZO35" s="47"/>
      <c r="MZP35" s="47"/>
      <c r="MZQ35" s="47"/>
      <c r="MZR35" s="47"/>
      <c r="MZS35" s="47"/>
      <c r="MZT35" s="47"/>
      <c r="MZU35" s="47"/>
      <c r="MZV35" s="47"/>
      <c r="MZW35" s="47"/>
      <c r="MZX35" s="47"/>
      <c r="MZY35" s="47"/>
      <c r="MZZ35" s="47"/>
      <c r="NAA35" s="47"/>
      <c r="NAB35" s="47"/>
      <c r="NAC35" s="47"/>
      <c r="NAD35" s="47"/>
      <c r="NAE35" s="47"/>
      <c r="NAF35" s="47"/>
      <c r="NAG35" s="47"/>
      <c r="NAH35" s="47"/>
      <c r="NAI35" s="47"/>
      <c r="NAJ35" s="47"/>
      <c r="NAK35" s="47"/>
      <c r="NAL35" s="47"/>
      <c r="NAM35" s="47"/>
      <c r="NAN35" s="47"/>
      <c r="NAO35" s="47"/>
      <c r="NAP35" s="47"/>
      <c r="NAQ35" s="47"/>
      <c r="NAR35" s="47"/>
      <c r="NAS35" s="47"/>
      <c r="NAT35" s="47"/>
      <c r="NAU35" s="47"/>
      <c r="NAV35" s="47"/>
      <c r="NAW35" s="47"/>
      <c r="NAX35" s="47"/>
      <c r="NAY35" s="47"/>
      <c r="NAZ35" s="47"/>
      <c r="NBA35" s="47"/>
      <c r="NBB35" s="47"/>
      <c r="NBC35" s="47"/>
      <c r="NBD35" s="47"/>
      <c r="NBE35" s="47"/>
      <c r="NBF35" s="47"/>
      <c r="NBG35" s="47"/>
      <c r="NBH35" s="47"/>
      <c r="NBI35" s="47"/>
      <c r="NBJ35" s="47"/>
      <c r="NBK35" s="47"/>
      <c r="NBL35" s="47"/>
      <c r="NBM35" s="47"/>
      <c r="NBN35" s="47"/>
      <c r="NBO35" s="47"/>
      <c r="NBP35" s="47"/>
      <c r="NBQ35" s="47"/>
      <c r="NBR35" s="47"/>
      <c r="NBS35" s="47"/>
      <c r="NBT35" s="47"/>
      <c r="NBU35" s="47"/>
      <c r="NBV35" s="47"/>
      <c r="NBW35" s="47"/>
      <c r="NBX35" s="47"/>
      <c r="NBY35" s="47"/>
      <c r="NBZ35" s="47"/>
      <c r="NCA35" s="47"/>
      <c r="NCB35" s="47"/>
      <c r="NCC35" s="47"/>
      <c r="NCD35" s="47"/>
      <c r="NCE35" s="47"/>
      <c r="NCF35" s="47"/>
      <c r="NCG35" s="47"/>
      <c r="NCH35" s="47"/>
      <c r="NCI35" s="47"/>
      <c r="NCJ35" s="47"/>
      <c r="NCK35" s="47"/>
      <c r="NCL35" s="47"/>
      <c r="NCM35" s="47"/>
      <c r="NCN35" s="47"/>
      <c r="NCO35" s="47"/>
      <c r="NCP35" s="47"/>
      <c r="NCQ35" s="47"/>
      <c r="NCR35" s="47"/>
      <c r="NCS35" s="47"/>
      <c r="NCT35" s="47"/>
      <c r="NCU35" s="47"/>
      <c r="NCV35" s="47"/>
      <c r="NCW35" s="47"/>
      <c r="NCX35" s="47"/>
      <c r="NCY35" s="47"/>
      <c r="NCZ35" s="47"/>
      <c r="NDA35" s="47"/>
      <c r="NDB35" s="47"/>
      <c r="NDC35" s="47"/>
      <c r="NDD35" s="47"/>
      <c r="NDE35" s="47"/>
      <c r="NDF35" s="47"/>
      <c r="NDG35" s="47"/>
      <c r="NDH35" s="47"/>
      <c r="NDI35" s="47"/>
      <c r="NDJ35" s="47"/>
      <c r="NDK35" s="47"/>
      <c r="NDL35" s="47"/>
      <c r="NDM35" s="47"/>
      <c r="NDN35" s="47"/>
      <c r="NDO35" s="47"/>
      <c r="NDP35" s="47"/>
      <c r="NDQ35" s="47"/>
      <c r="NDR35" s="47"/>
      <c r="NDS35" s="47"/>
      <c r="NDT35" s="47"/>
      <c r="NDU35" s="47"/>
      <c r="NDV35" s="47"/>
      <c r="NDW35" s="47"/>
      <c r="NDX35" s="47"/>
      <c r="NDY35" s="47"/>
      <c r="NDZ35" s="47"/>
      <c r="NEA35" s="47"/>
      <c r="NEB35" s="47"/>
      <c r="NEC35" s="47"/>
      <c r="NED35" s="47"/>
      <c r="NEE35" s="47"/>
      <c r="NEF35" s="47"/>
      <c r="NEG35" s="47"/>
      <c r="NEH35" s="47"/>
      <c r="NEI35" s="47"/>
      <c r="NEJ35" s="47"/>
      <c r="NEK35" s="47"/>
      <c r="NEL35" s="47"/>
      <c r="NEM35" s="47"/>
      <c r="NEN35" s="47"/>
      <c r="NEO35" s="47"/>
      <c r="NEP35" s="47"/>
      <c r="NEQ35" s="47"/>
      <c r="NER35" s="47"/>
      <c r="NES35" s="47"/>
      <c r="NET35" s="47"/>
      <c r="NEU35" s="47"/>
      <c r="NEV35" s="47"/>
      <c r="NEW35" s="47"/>
      <c r="NEX35" s="47"/>
      <c r="NEY35" s="47"/>
      <c r="NEZ35" s="47"/>
      <c r="NFA35" s="47"/>
      <c r="NFB35" s="47"/>
      <c r="NFC35" s="47"/>
      <c r="NFD35" s="47"/>
      <c r="NFE35" s="47"/>
      <c r="NFF35" s="47"/>
      <c r="NFG35" s="47"/>
      <c r="NFH35" s="47"/>
      <c r="NFI35" s="47"/>
      <c r="NFJ35" s="47"/>
      <c r="NFK35" s="47"/>
      <c r="NFL35" s="47"/>
      <c r="NFM35" s="47"/>
      <c r="NFN35" s="47"/>
      <c r="NFO35" s="47"/>
      <c r="NFP35" s="47"/>
      <c r="NFQ35" s="47"/>
      <c r="NFR35" s="47"/>
      <c r="NFS35" s="47"/>
      <c r="NFT35" s="47"/>
      <c r="NFU35" s="47"/>
      <c r="NFV35" s="47"/>
      <c r="NFW35" s="47"/>
      <c r="NFX35" s="47"/>
      <c r="NFY35" s="47"/>
      <c r="NFZ35" s="47"/>
      <c r="NGA35" s="47"/>
      <c r="NGB35" s="47"/>
      <c r="NGC35" s="47"/>
      <c r="NGD35" s="47"/>
      <c r="NGE35" s="47"/>
      <c r="NGF35" s="47"/>
      <c r="NGG35" s="47"/>
      <c r="NGH35" s="47"/>
      <c r="NGI35" s="47"/>
      <c r="NGJ35" s="47"/>
      <c r="NGK35" s="47"/>
      <c r="NGL35" s="47"/>
      <c r="NGM35" s="47"/>
      <c r="NGN35" s="47"/>
      <c r="NGO35" s="47"/>
      <c r="NGP35" s="47"/>
      <c r="NGQ35" s="47"/>
      <c r="NGR35" s="47"/>
      <c r="NGS35" s="47"/>
      <c r="NGT35" s="47"/>
      <c r="NGU35" s="47"/>
      <c r="NGV35" s="47"/>
      <c r="NGW35" s="47"/>
      <c r="NGX35" s="47"/>
      <c r="NGY35" s="47"/>
      <c r="NGZ35" s="47"/>
      <c r="NHA35" s="47"/>
      <c r="NHB35" s="47"/>
      <c r="NHC35" s="47"/>
      <c r="NHD35" s="47"/>
      <c r="NHE35" s="47"/>
      <c r="NHF35" s="47"/>
      <c r="NHG35" s="47"/>
      <c r="NHH35" s="47"/>
      <c r="NHI35" s="47"/>
      <c r="NHJ35" s="47"/>
      <c r="NHK35" s="47"/>
      <c r="NHL35" s="47"/>
      <c r="NHM35" s="47"/>
      <c r="NHN35" s="47"/>
      <c r="NHO35" s="47"/>
      <c r="NHP35" s="47"/>
      <c r="NHQ35" s="47"/>
      <c r="NHR35" s="47"/>
      <c r="NHS35" s="47"/>
      <c r="NHT35" s="47"/>
      <c r="NHU35" s="47"/>
      <c r="NHV35" s="47"/>
      <c r="NHW35" s="47"/>
      <c r="NHX35" s="47"/>
      <c r="NHY35" s="47"/>
      <c r="NHZ35" s="47"/>
      <c r="NIA35" s="47"/>
      <c r="NIB35" s="47"/>
      <c r="NIC35" s="47"/>
      <c r="NID35" s="47"/>
      <c r="NIE35" s="47"/>
      <c r="NIF35" s="47"/>
      <c r="NIG35" s="47"/>
      <c r="NIH35" s="47"/>
      <c r="NII35" s="47"/>
      <c r="NIJ35" s="47"/>
      <c r="NIK35" s="47"/>
      <c r="NIL35" s="47"/>
      <c r="NIM35" s="47"/>
      <c r="NIN35" s="47"/>
      <c r="NIO35" s="47"/>
      <c r="NIP35" s="47"/>
      <c r="NIQ35" s="47"/>
      <c r="NIR35" s="47"/>
      <c r="NIS35" s="47"/>
      <c r="NIT35" s="47"/>
      <c r="NIU35" s="47"/>
      <c r="NIV35" s="47"/>
      <c r="NIW35" s="47"/>
      <c r="NIX35" s="47"/>
      <c r="NIY35" s="47"/>
      <c r="NIZ35" s="47"/>
      <c r="NJA35" s="47"/>
      <c r="NJB35" s="47"/>
      <c r="NJC35" s="47"/>
      <c r="NJD35" s="47"/>
      <c r="NJE35" s="47"/>
      <c r="NJF35" s="47"/>
      <c r="NJG35" s="47"/>
      <c r="NJH35" s="47"/>
      <c r="NJI35" s="47"/>
      <c r="NJJ35" s="47"/>
      <c r="NJK35" s="47"/>
      <c r="NJL35" s="47"/>
      <c r="NJM35" s="47"/>
      <c r="NJN35" s="47"/>
      <c r="NJO35" s="47"/>
      <c r="NJP35" s="47"/>
      <c r="NJQ35" s="47"/>
      <c r="NJR35" s="47"/>
      <c r="NJS35" s="47"/>
      <c r="NJT35" s="47"/>
      <c r="NJU35" s="47"/>
      <c r="NJV35" s="47"/>
      <c r="NJW35" s="47"/>
      <c r="NJX35" s="47"/>
      <c r="NJY35" s="47"/>
      <c r="NJZ35" s="47"/>
      <c r="NKA35" s="47"/>
      <c r="NKB35" s="47"/>
      <c r="NKC35" s="47"/>
      <c r="NKD35" s="47"/>
      <c r="NKE35" s="47"/>
      <c r="NKF35" s="47"/>
      <c r="NKG35" s="47"/>
      <c r="NKH35" s="47"/>
      <c r="NKI35" s="47"/>
      <c r="NKJ35" s="47"/>
      <c r="NKK35" s="47"/>
      <c r="NKL35" s="47"/>
      <c r="NKM35" s="47"/>
      <c r="NKN35" s="47"/>
      <c r="NKO35" s="47"/>
      <c r="NKP35" s="47"/>
      <c r="NKQ35" s="47"/>
      <c r="NKR35" s="47"/>
      <c r="NKS35" s="47"/>
      <c r="NKT35" s="47"/>
      <c r="NKU35" s="47"/>
      <c r="NKV35" s="47"/>
      <c r="NKW35" s="47"/>
      <c r="NKX35" s="47"/>
      <c r="NKY35" s="47"/>
      <c r="NKZ35" s="47"/>
      <c r="NLA35" s="47"/>
      <c r="NLB35" s="47"/>
      <c r="NLC35" s="47"/>
      <c r="NLD35" s="47"/>
      <c r="NLE35" s="47"/>
      <c r="NLF35" s="47"/>
      <c r="NLG35" s="47"/>
      <c r="NLH35" s="47"/>
      <c r="NLI35" s="47"/>
      <c r="NLJ35" s="47"/>
      <c r="NLK35" s="47"/>
      <c r="NLL35" s="47"/>
      <c r="NLM35" s="47"/>
      <c r="NLN35" s="47"/>
      <c r="NLO35" s="47"/>
      <c r="NLP35" s="47"/>
      <c r="NLQ35" s="47"/>
      <c r="NLR35" s="47"/>
      <c r="NLS35" s="47"/>
      <c r="NLT35" s="47"/>
      <c r="NLU35" s="47"/>
      <c r="NLV35" s="47"/>
      <c r="NLW35" s="47"/>
      <c r="NLX35" s="47"/>
      <c r="NLY35" s="47"/>
      <c r="NLZ35" s="47"/>
      <c r="NMA35" s="47"/>
      <c r="NMB35" s="47"/>
      <c r="NMC35" s="47"/>
      <c r="NMD35" s="47"/>
      <c r="NME35" s="47"/>
      <c r="NMF35" s="47"/>
      <c r="NMG35" s="47"/>
      <c r="NMH35" s="47"/>
      <c r="NMI35" s="47"/>
      <c r="NMJ35" s="47"/>
      <c r="NMK35" s="47"/>
      <c r="NML35" s="47"/>
      <c r="NMM35" s="47"/>
      <c r="NMN35" s="47"/>
      <c r="NMO35" s="47"/>
      <c r="NMP35" s="47"/>
      <c r="NMQ35" s="47"/>
      <c r="NMR35" s="47"/>
      <c r="NMS35" s="47"/>
      <c r="NMT35" s="47"/>
      <c r="NMU35" s="47"/>
      <c r="NMV35" s="47"/>
      <c r="NMW35" s="47"/>
      <c r="NMX35" s="47"/>
      <c r="NMY35" s="47"/>
      <c r="NMZ35" s="47"/>
      <c r="NNA35" s="47"/>
      <c r="NNB35" s="47"/>
      <c r="NNC35" s="47"/>
      <c r="NND35" s="47"/>
      <c r="NNE35" s="47"/>
      <c r="NNF35" s="47"/>
      <c r="NNG35" s="47"/>
      <c r="NNH35" s="47"/>
      <c r="NNI35" s="47"/>
      <c r="NNJ35" s="47"/>
      <c r="NNK35" s="47"/>
      <c r="NNL35" s="47"/>
      <c r="NNM35" s="47"/>
      <c r="NNN35" s="47"/>
      <c r="NNO35" s="47"/>
      <c r="NNP35" s="47"/>
      <c r="NNQ35" s="47"/>
      <c r="NNR35" s="47"/>
      <c r="NNS35" s="47"/>
      <c r="NNT35" s="47"/>
      <c r="NNU35" s="47"/>
      <c r="NNV35" s="47"/>
      <c r="NNW35" s="47"/>
      <c r="NNX35" s="47"/>
      <c r="NNY35" s="47"/>
      <c r="NNZ35" s="47"/>
      <c r="NOA35" s="47"/>
      <c r="NOB35" s="47"/>
      <c r="NOC35" s="47"/>
      <c r="NOD35" s="47"/>
      <c r="NOE35" s="47"/>
      <c r="NOF35" s="47"/>
      <c r="NOG35" s="47"/>
      <c r="NOH35" s="47"/>
      <c r="NOI35" s="47"/>
      <c r="NOJ35" s="47"/>
      <c r="NOK35" s="47"/>
      <c r="NOL35" s="47"/>
      <c r="NOM35" s="47"/>
      <c r="NON35" s="47"/>
      <c r="NOO35" s="47"/>
      <c r="NOP35" s="47"/>
      <c r="NOQ35" s="47"/>
      <c r="NOR35" s="47"/>
      <c r="NOS35" s="47"/>
      <c r="NOT35" s="47"/>
      <c r="NOU35" s="47"/>
      <c r="NOV35" s="47"/>
      <c r="NOW35" s="47"/>
      <c r="NOX35" s="47"/>
      <c r="NOY35" s="47"/>
      <c r="NOZ35" s="47"/>
      <c r="NPA35" s="47"/>
      <c r="NPB35" s="47"/>
      <c r="NPC35" s="47"/>
      <c r="NPD35" s="47"/>
      <c r="NPE35" s="47"/>
      <c r="NPF35" s="47"/>
      <c r="NPG35" s="47"/>
      <c r="NPH35" s="47"/>
      <c r="NPI35" s="47"/>
      <c r="NPJ35" s="47"/>
      <c r="NPK35" s="47"/>
      <c r="NPL35" s="47"/>
      <c r="NPM35" s="47"/>
      <c r="NPN35" s="47"/>
      <c r="NPO35" s="47"/>
      <c r="NPP35" s="47"/>
      <c r="NPQ35" s="47"/>
      <c r="NPR35" s="47"/>
      <c r="NPS35" s="47"/>
      <c r="NPT35" s="47"/>
      <c r="NPU35" s="47"/>
      <c r="NPV35" s="47"/>
      <c r="NPW35" s="47"/>
      <c r="NPX35" s="47"/>
      <c r="NPY35" s="47"/>
      <c r="NPZ35" s="47"/>
      <c r="NQA35" s="47"/>
      <c r="NQB35" s="47"/>
      <c r="NQC35" s="47"/>
      <c r="NQD35" s="47"/>
      <c r="NQE35" s="47"/>
      <c r="NQF35" s="47"/>
      <c r="NQG35" s="47"/>
      <c r="NQH35" s="47"/>
      <c r="NQI35" s="47"/>
      <c r="NQJ35" s="47"/>
      <c r="NQK35" s="47"/>
      <c r="NQL35" s="47"/>
      <c r="NQM35" s="47"/>
      <c r="NQN35" s="47"/>
      <c r="NQO35" s="47"/>
      <c r="NQP35" s="47"/>
      <c r="NQQ35" s="47"/>
      <c r="NQR35" s="47"/>
      <c r="NQS35" s="47"/>
      <c r="NQT35" s="47"/>
      <c r="NQU35" s="47"/>
      <c r="NQV35" s="47"/>
      <c r="NQW35" s="47"/>
      <c r="NQX35" s="47"/>
      <c r="NQY35" s="47"/>
      <c r="NQZ35" s="47"/>
      <c r="NRA35" s="47"/>
      <c r="NRB35" s="47"/>
      <c r="NRC35" s="47"/>
      <c r="NRD35" s="47"/>
      <c r="NRE35" s="47"/>
      <c r="NRF35" s="47"/>
      <c r="NRG35" s="47"/>
      <c r="NRH35" s="47"/>
      <c r="NRI35" s="47"/>
      <c r="NRJ35" s="47"/>
      <c r="NRK35" s="47"/>
      <c r="NRL35" s="47"/>
      <c r="NRM35" s="47"/>
      <c r="NRN35" s="47"/>
      <c r="NRO35" s="47"/>
      <c r="NRP35" s="47"/>
      <c r="NRQ35" s="47"/>
      <c r="NRR35" s="47"/>
      <c r="NRS35" s="47"/>
      <c r="NRT35" s="47"/>
      <c r="NRU35" s="47"/>
      <c r="NRV35" s="47"/>
      <c r="NRW35" s="47"/>
      <c r="NRX35" s="47"/>
      <c r="NRY35" s="47"/>
      <c r="NRZ35" s="47"/>
      <c r="NSA35" s="47"/>
      <c r="NSB35" s="47"/>
      <c r="NSC35" s="47"/>
      <c r="NSD35" s="47"/>
      <c r="NSE35" s="47"/>
      <c r="NSF35" s="47"/>
      <c r="NSG35" s="47"/>
      <c r="NSH35" s="47"/>
      <c r="NSI35" s="47"/>
      <c r="NSJ35" s="47"/>
      <c r="NSK35" s="47"/>
      <c r="NSL35" s="47"/>
      <c r="NSM35" s="47"/>
      <c r="NSN35" s="47"/>
      <c r="NSO35" s="47"/>
      <c r="NSP35" s="47"/>
      <c r="NSQ35" s="47"/>
      <c r="NSR35" s="47"/>
      <c r="NSS35" s="47"/>
      <c r="NST35" s="47"/>
      <c r="NSU35" s="47"/>
      <c r="NSV35" s="47"/>
      <c r="NSW35" s="47"/>
      <c r="NSX35" s="47"/>
      <c r="NSY35" s="47"/>
      <c r="NSZ35" s="47"/>
      <c r="NTA35" s="47"/>
      <c r="NTB35" s="47"/>
      <c r="NTC35" s="47"/>
      <c r="NTD35" s="47"/>
      <c r="NTE35" s="47"/>
      <c r="NTF35" s="47"/>
      <c r="NTG35" s="47"/>
      <c r="NTH35" s="47"/>
      <c r="NTI35" s="47"/>
      <c r="NTJ35" s="47"/>
      <c r="NTK35" s="47"/>
      <c r="NTL35" s="47"/>
      <c r="NTM35" s="47"/>
      <c r="NTN35" s="47"/>
      <c r="NTO35" s="47"/>
      <c r="NTP35" s="47"/>
      <c r="NTQ35" s="47"/>
      <c r="NTR35" s="47"/>
      <c r="NTS35" s="47"/>
      <c r="NTT35" s="47"/>
      <c r="NTU35" s="47"/>
      <c r="NTV35" s="47"/>
      <c r="NTW35" s="47"/>
      <c r="NTX35" s="47"/>
      <c r="NTY35" s="47"/>
      <c r="NTZ35" s="47"/>
      <c r="NUA35" s="47"/>
      <c r="NUB35" s="47"/>
      <c r="NUC35" s="47"/>
      <c r="NUD35" s="47"/>
      <c r="NUE35" s="47"/>
      <c r="NUF35" s="47"/>
      <c r="NUG35" s="47"/>
      <c r="NUH35" s="47"/>
      <c r="NUI35" s="47"/>
      <c r="NUJ35" s="47"/>
      <c r="NUK35" s="47"/>
      <c r="NUL35" s="47"/>
      <c r="NUM35" s="47"/>
      <c r="NUN35" s="47"/>
      <c r="NUO35" s="47"/>
      <c r="NUP35" s="47"/>
      <c r="NUQ35" s="47"/>
      <c r="NUR35" s="47"/>
      <c r="NUS35" s="47"/>
      <c r="NUT35" s="47"/>
      <c r="NUU35" s="47"/>
      <c r="NUV35" s="47"/>
      <c r="NUW35" s="47"/>
      <c r="NUX35" s="47"/>
      <c r="NUY35" s="47"/>
      <c r="NUZ35" s="47"/>
      <c r="NVA35" s="47"/>
      <c r="NVB35" s="47"/>
      <c r="NVC35" s="47"/>
      <c r="NVD35" s="47"/>
      <c r="NVE35" s="47"/>
      <c r="NVF35" s="47"/>
      <c r="NVG35" s="47"/>
      <c r="NVH35" s="47"/>
      <c r="NVI35" s="47"/>
      <c r="NVJ35" s="47"/>
      <c r="NVK35" s="47"/>
      <c r="NVL35" s="47"/>
      <c r="NVM35" s="47"/>
      <c r="NVN35" s="47"/>
      <c r="NVO35" s="47"/>
      <c r="NVP35" s="47"/>
      <c r="NVQ35" s="47"/>
      <c r="NVR35" s="47"/>
      <c r="NVS35" s="47"/>
      <c r="NVT35" s="47"/>
      <c r="NVU35" s="47"/>
      <c r="NVV35" s="47"/>
      <c r="NVW35" s="47"/>
      <c r="NVX35" s="47"/>
      <c r="NVY35" s="47"/>
      <c r="NVZ35" s="47"/>
      <c r="NWA35" s="47"/>
      <c r="NWB35" s="47"/>
      <c r="NWC35" s="47"/>
      <c r="NWD35" s="47"/>
      <c r="NWE35" s="47"/>
      <c r="NWF35" s="47"/>
      <c r="NWG35" s="47"/>
      <c r="NWH35" s="47"/>
      <c r="NWI35" s="47"/>
      <c r="NWJ35" s="47"/>
      <c r="NWK35" s="47"/>
      <c r="NWL35" s="47"/>
      <c r="NWM35" s="47"/>
      <c r="NWN35" s="47"/>
      <c r="NWO35" s="47"/>
      <c r="NWP35" s="47"/>
      <c r="NWQ35" s="47"/>
      <c r="NWR35" s="47"/>
      <c r="NWS35" s="47"/>
      <c r="NWT35" s="47"/>
      <c r="NWU35" s="47"/>
      <c r="NWV35" s="47"/>
      <c r="NWW35" s="47"/>
      <c r="NWX35" s="47"/>
      <c r="NWY35" s="47"/>
      <c r="NWZ35" s="47"/>
      <c r="NXA35" s="47"/>
      <c r="NXB35" s="47"/>
      <c r="NXC35" s="47"/>
      <c r="NXD35" s="47"/>
      <c r="NXE35" s="47"/>
      <c r="NXF35" s="47"/>
      <c r="NXG35" s="47"/>
      <c r="NXH35" s="47"/>
      <c r="NXI35" s="47"/>
      <c r="NXJ35" s="47"/>
      <c r="NXK35" s="47"/>
      <c r="NXL35" s="47"/>
      <c r="NXM35" s="47"/>
      <c r="NXN35" s="47"/>
      <c r="NXO35" s="47"/>
      <c r="NXP35" s="47"/>
      <c r="NXQ35" s="47"/>
      <c r="NXR35" s="47"/>
      <c r="NXS35" s="47"/>
      <c r="NXT35" s="47"/>
      <c r="NXU35" s="47"/>
      <c r="NXV35" s="47"/>
      <c r="NXW35" s="47"/>
      <c r="NXX35" s="47"/>
      <c r="NXY35" s="47"/>
      <c r="NXZ35" s="47"/>
      <c r="NYA35" s="47"/>
      <c r="NYB35" s="47"/>
      <c r="NYC35" s="47"/>
      <c r="NYD35" s="47"/>
      <c r="NYE35" s="47"/>
      <c r="NYF35" s="47"/>
      <c r="NYG35" s="47"/>
      <c r="NYH35" s="47"/>
      <c r="NYI35" s="47"/>
      <c r="NYJ35" s="47"/>
      <c r="NYK35" s="47"/>
      <c r="NYL35" s="47"/>
      <c r="NYM35" s="47"/>
      <c r="NYN35" s="47"/>
      <c r="NYO35" s="47"/>
      <c r="NYP35" s="47"/>
      <c r="NYQ35" s="47"/>
      <c r="NYR35" s="47"/>
      <c r="NYS35" s="47"/>
      <c r="NYT35" s="47"/>
      <c r="NYU35" s="47"/>
      <c r="NYV35" s="47"/>
      <c r="NYW35" s="47"/>
      <c r="NYX35" s="47"/>
      <c r="NYY35" s="47"/>
      <c r="NYZ35" s="47"/>
      <c r="NZA35" s="47"/>
      <c r="NZB35" s="47"/>
      <c r="NZC35" s="47"/>
      <c r="NZD35" s="47"/>
      <c r="NZE35" s="47"/>
      <c r="NZF35" s="47"/>
      <c r="NZG35" s="47"/>
      <c r="NZH35" s="47"/>
      <c r="NZI35" s="47"/>
      <c r="NZJ35" s="47"/>
      <c r="NZK35" s="47"/>
      <c r="NZL35" s="47"/>
      <c r="NZM35" s="47"/>
      <c r="NZN35" s="47"/>
      <c r="NZO35" s="47"/>
      <c r="NZP35" s="47"/>
      <c r="NZQ35" s="47"/>
      <c r="NZR35" s="47"/>
      <c r="NZS35" s="47"/>
      <c r="NZT35" s="47"/>
      <c r="NZU35" s="47"/>
      <c r="NZV35" s="47"/>
      <c r="NZW35" s="47"/>
      <c r="NZX35" s="47"/>
      <c r="NZY35" s="47"/>
      <c r="NZZ35" s="47"/>
      <c r="OAA35" s="47"/>
      <c r="OAB35" s="47"/>
      <c r="OAC35" s="47"/>
      <c r="OAD35" s="47"/>
      <c r="OAE35" s="47"/>
      <c r="OAF35" s="47"/>
      <c r="OAG35" s="47"/>
      <c r="OAH35" s="47"/>
      <c r="OAI35" s="47"/>
      <c r="OAJ35" s="47"/>
      <c r="OAK35" s="47"/>
      <c r="OAL35" s="47"/>
      <c r="OAM35" s="47"/>
      <c r="OAN35" s="47"/>
      <c r="OAO35" s="47"/>
      <c r="OAP35" s="47"/>
      <c r="OAQ35" s="47"/>
      <c r="OAR35" s="47"/>
      <c r="OAS35" s="47"/>
      <c r="OAT35" s="47"/>
      <c r="OAU35" s="47"/>
      <c r="OAV35" s="47"/>
      <c r="OAW35" s="47"/>
      <c r="OAX35" s="47"/>
      <c r="OAY35" s="47"/>
      <c r="OAZ35" s="47"/>
      <c r="OBA35" s="47"/>
      <c r="OBB35" s="47"/>
      <c r="OBC35" s="47"/>
      <c r="OBD35" s="47"/>
      <c r="OBE35" s="47"/>
      <c r="OBF35" s="47"/>
      <c r="OBG35" s="47"/>
      <c r="OBH35" s="47"/>
      <c r="OBI35" s="47"/>
      <c r="OBJ35" s="47"/>
      <c r="OBK35" s="47"/>
      <c r="OBL35" s="47"/>
      <c r="OBM35" s="47"/>
      <c r="OBN35" s="47"/>
      <c r="OBO35" s="47"/>
      <c r="OBP35" s="47"/>
      <c r="OBQ35" s="47"/>
      <c r="OBR35" s="47"/>
      <c r="OBS35" s="47"/>
      <c r="OBT35" s="47"/>
      <c r="OBU35" s="47"/>
      <c r="OBV35" s="47"/>
      <c r="OBW35" s="47"/>
      <c r="OBX35" s="47"/>
      <c r="OBY35" s="47"/>
      <c r="OBZ35" s="47"/>
      <c r="OCA35" s="47"/>
      <c r="OCB35" s="47"/>
      <c r="OCC35" s="47"/>
      <c r="OCD35" s="47"/>
      <c r="OCE35" s="47"/>
      <c r="OCF35" s="47"/>
      <c r="OCG35" s="47"/>
      <c r="OCH35" s="47"/>
      <c r="OCI35" s="47"/>
      <c r="OCJ35" s="47"/>
      <c r="OCK35" s="47"/>
      <c r="OCL35" s="47"/>
      <c r="OCM35" s="47"/>
      <c r="OCN35" s="47"/>
      <c r="OCO35" s="47"/>
      <c r="OCP35" s="47"/>
      <c r="OCQ35" s="47"/>
      <c r="OCR35" s="47"/>
      <c r="OCS35" s="47"/>
      <c r="OCT35" s="47"/>
      <c r="OCU35" s="47"/>
      <c r="OCV35" s="47"/>
      <c r="OCW35" s="47"/>
      <c r="OCX35" s="47"/>
      <c r="OCY35" s="47"/>
      <c r="OCZ35" s="47"/>
      <c r="ODA35" s="47"/>
      <c r="ODB35" s="47"/>
      <c r="ODC35" s="47"/>
      <c r="ODD35" s="47"/>
      <c r="ODE35" s="47"/>
      <c r="ODF35" s="47"/>
      <c r="ODG35" s="47"/>
      <c r="ODH35" s="47"/>
      <c r="ODI35" s="47"/>
      <c r="ODJ35" s="47"/>
      <c r="ODK35" s="47"/>
      <c r="ODL35" s="47"/>
      <c r="ODM35" s="47"/>
      <c r="ODN35" s="47"/>
      <c r="ODO35" s="47"/>
      <c r="ODP35" s="47"/>
      <c r="ODQ35" s="47"/>
      <c r="ODR35" s="47"/>
      <c r="ODS35" s="47"/>
      <c r="ODT35" s="47"/>
      <c r="ODU35" s="47"/>
      <c r="ODV35" s="47"/>
      <c r="ODW35" s="47"/>
      <c r="ODX35" s="47"/>
      <c r="ODY35" s="47"/>
      <c r="ODZ35" s="47"/>
      <c r="OEA35" s="47"/>
      <c r="OEB35" s="47"/>
      <c r="OEC35" s="47"/>
      <c r="OED35" s="47"/>
      <c r="OEE35" s="47"/>
      <c r="OEF35" s="47"/>
      <c r="OEG35" s="47"/>
      <c r="OEH35" s="47"/>
      <c r="OEI35" s="47"/>
      <c r="OEJ35" s="47"/>
      <c r="OEK35" s="47"/>
      <c r="OEL35" s="47"/>
      <c r="OEM35" s="47"/>
      <c r="OEN35" s="47"/>
      <c r="OEO35" s="47"/>
      <c r="OEP35" s="47"/>
      <c r="OEQ35" s="47"/>
      <c r="OER35" s="47"/>
      <c r="OES35" s="47"/>
      <c r="OET35" s="47"/>
      <c r="OEU35" s="47"/>
      <c r="OEV35" s="47"/>
      <c r="OEW35" s="47"/>
      <c r="OEX35" s="47"/>
      <c r="OEY35" s="47"/>
      <c r="OEZ35" s="47"/>
      <c r="OFA35" s="47"/>
      <c r="OFB35" s="47"/>
      <c r="OFC35" s="47"/>
      <c r="OFD35" s="47"/>
      <c r="OFE35" s="47"/>
      <c r="OFF35" s="47"/>
      <c r="OFG35" s="47"/>
      <c r="OFH35" s="47"/>
      <c r="OFI35" s="47"/>
      <c r="OFJ35" s="47"/>
      <c r="OFK35" s="47"/>
      <c r="OFL35" s="47"/>
      <c r="OFM35" s="47"/>
      <c r="OFN35" s="47"/>
      <c r="OFO35" s="47"/>
      <c r="OFP35" s="47"/>
      <c r="OFQ35" s="47"/>
      <c r="OFR35" s="47"/>
      <c r="OFS35" s="47"/>
      <c r="OFT35" s="47"/>
      <c r="OFU35" s="47"/>
      <c r="OFV35" s="47"/>
      <c r="OFW35" s="47"/>
      <c r="OFX35" s="47"/>
      <c r="OFY35" s="47"/>
      <c r="OFZ35" s="47"/>
      <c r="OGA35" s="47"/>
      <c r="OGB35" s="47"/>
      <c r="OGC35" s="47"/>
      <c r="OGD35" s="47"/>
      <c r="OGE35" s="47"/>
      <c r="OGF35" s="47"/>
      <c r="OGG35" s="47"/>
      <c r="OGH35" s="47"/>
      <c r="OGI35" s="47"/>
      <c r="OGJ35" s="47"/>
      <c r="OGK35" s="47"/>
      <c r="OGL35" s="47"/>
      <c r="OGM35" s="47"/>
      <c r="OGN35" s="47"/>
      <c r="OGO35" s="47"/>
      <c r="OGP35" s="47"/>
      <c r="OGQ35" s="47"/>
      <c r="OGR35" s="47"/>
      <c r="OGS35" s="47"/>
      <c r="OGT35" s="47"/>
      <c r="OGU35" s="47"/>
      <c r="OGV35" s="47"/>
      <c r="OGW35" s="47"/>
      <c r="OGX35" s="47"/>
      <c r="OGY35" s="47"/>
      <c r="OGZ35" s="47"/>
      <c r="OHA35" s="47"/>
      <c r="OHB35" s="47"/>
      <c r="OHC35" s="47"/>
      <c r="OHD35" s="47"/>
      <c r="OHE35" s="47"/>
      <c r="OHF35" s="47"/>
      <c r="OHG35" s="47"/>
      <c r="OHH35" s="47"/>
      <c r="OHI35" s="47"/>
      <c r="OHJ35" s="47"/>
      <c r="OHK35" s="47"/>
      <c r="OHL35" s="47"/>
      <c r="OHM35" s="47"/>
      <c r="OHN35" s="47"/>
      <c r="OHO35" s="47"/>
      <c r="OHP35" s="47"/>
      <c r="OHQ35" s="47"/>
      <c r="OHR35" s="47"/>
      <c r="OHS35" s="47"/>
      <c r="OHT35" s="47"/>
      <c r="OHU35" s="47"/>
      <c r="OHV35" s="47"/>
      <c r="OHW35" s="47"/>
      <c r="OHX35" s="47"/>
      <c r="OHY35" s="47"/>
      <c r="OHZ35" s="47"/>
      <c r="OIA35" s="47"/>
      <c r="OIB35" s="47"/>
      <c r="OIC35" s="47"/>
      <c r="OID35" s="47"/>
      <c r="OIE35" s="47"/>
      <c r="OIF35" s="47"/>
      <c r="OIG35" s="47"/>
      <c r="OIH35" s="47"/>
      <c r="OII35" s="47"/>
      <c r="OIJ35" s="47"/>
      <c r="OIK35" s="47"/>
      <c r="OIL35" s="47"/>
      <c r="OIM35" s="47"/>
      <c r="OIN35" s="47"/>
      <c r="OIO35" s="47"/>
      <c r="OIP35" s="47"/>
      <c r="OIQ35" s="47"/>
      <c r="OIR35" s="47"/>
      <c r="OIS35" s="47"/>
      <c r="OIT35" s="47"/>
      <c r="OIU35" s="47"/>
      <c r="OIV35" s="47"/>
      <c r="OIW35" s="47"/>
      <c r="OIX35" s="47"/>
      <c r="OIY35" s="47"/>
      <c r="OIZ35" s="47"/>
      <c r="OJA35" s="47"/>
      <c r="OJB35" s="47"/>
      <c r="OJC35" s="47"/>
      <c r="OJD35" s="47"/>
      <c r="OJE35" s="47"/>
      <c r="OJF35" s="47"/>
      <c r="OJG35" s="47"/>
      <c r="OJH35" s="47"/>
      <c r="OJI35" s="47"/>
      <c r="OJJ35" s="47"/>
      <c r="OJK35" s="47"/>
      <c r="OJL35" s="47"/>
      <c r="OJM35" s="47"/>
      <c r="OJN35" s="47"/>
      <c r="OJO35" s="47"/>
      <c r="OJP35" s="47"/>
      <c r="OJQ35" s="47"/>
      <c r="OJR35" s="47"/>
      <c r="OJS35" s="47"/>
      <c r="OJT35" s="47"/>
      <c r="OJU35" s="47"/>
      <c r="OJV35" s="47"/>
      <c r="OJW35" s="47"/>
      <c r="OJX35" s="47"/>
      <c r="OJY35" s="47"/>
      <c r="OJZ35" s="47"/>
      <c r="OKA35" s="47"/>
      <c r="OKB35" s="47"/>
      <c r="OKC35" s="47"/>
      <c r="OKD35" s="47"/>
      <c r="OKE35" s="47"/>
      <c r="OKF35" s="47"/>
      <c r="OKG35" s="47"/>
      <c r="OKH35" s="47"/>
      <c r="OKI35" s="47"/>
      <c r="OKJ35" s="47"/>
      <c r="OKK35" s="47"/>
      <c r="OKL35" s="47"/>
      <c r="OKM35" s="47"/>
      <c r="OKN35" s="47"/>
      <c r="OKO35" s="47"/>
      <c r="OKP35" s="47"/>
      <c r="OKQ35" s="47"/>
      <c r="OKR35" s="47"/>
      <c r="OKS35" s="47"/>
      <c r="OKT35" s="47"/>
      <c r="OKU35" s="47"/>
      <c r="OKV35" s="47"/>
      <c r="OKW35" s="47"/>
      <c r="OKX35" s="47"/>
      <c r="OKY35" s="47"/>
      <c r="OKZ35" s="47"/>
      <c r="OLA35" s="47"/>
      <c r="OLB35" s="47"/>
      <c r="OLC35" s="47"/>
      <c r="OLD35" s="47"/>
      <c r="OLE35" s="47"/>
      <c r="OLF35" s="47"/>
      <c r="OLG35" s="47"/>
      <c r="OLH35" s="47"/>
      <c r="OLI35" s="47"/>
      <c r="OLJ35" s="47"/>
      <c r="OLK35" s="47"/>
      <c r="OLL35" s="47"/>
      <c r="OLM35" s="47"/>
      <c r="OLN35" s="47"/>
      <c r="OLO35" s="47"/>
      <c r="OLP35" s="47"/>
      <c r="OLQ35" s="47"/>
      <c r="OLR35" s="47"/>
      <c r="OLS35" s="47"/>
      <c r="OLT35" s="47"/>
      <c r="OLU35" s="47"/>
      <c r="OLV35" s="47"/>
      <c r="OLW35" s="47"/>
      <c r="OLX35" s="47"/>
      <c r="OLY35" s="47"/>
      <c r="OLZ35" s="47"/>
      <c r="OMA35" s="47"/>
      <c r="OMB35" s="47"/>
      <c r="OMC35" s="47"/>
      <c r="OMD35" s="47"/>
      <c r="OME35" s="47"/>
      <c r="OMF35" s="47"/>
      <c r="OMG35" s="47"/>
      <c r="OMH35" s="47"/>
      <c r="OMI35" s="47"/>
      <c r="OMJ35" s="47"/>
      <c r="OMK35" s="47"/>
      <c r="OML35" s="47"/>
      <c r="OMM35" s="47"/>
      <c r="OMN35" s="47"/>
      <c r="OMO35" s="47"/>
      <c r="OMP35" s="47"/>
      <c r="OMQ35" s="47"/>
      <c r="OMR35" s="47"/>
      <c r="OMS35" s="47"/>
      <c r="OMT35" s="47"/>
      <c r="OMU35" s="47"/>
      <c r="OMV35" s="47"/>
      <c r="OMW35" s="47"/>
      <c r="OMX35" s="47"/>
      <c r="OMY35" s="47"/>
      <c r="OMZ35" s="47"/>
      <c r="ONA35" s="47"/>
      <c r="ONB35" s="47"/>
      <c r="ONC35" s="47"/>
      <c r="OND35" s="47"/>
      <c r="ONE35" s="47"/>
      <c r="ONF35" s="47"/>
      <c r="ONG35" s="47"/>
      <c r="ONH35" s="47"/>
      <c r="ONI35" s="47"/>
      <c r="ONJ35" s="47"/>
      <c r="ONK35" s="47"/>
      <c r="ONL35" s="47"/>
      <c r="ONM35" s="47"/>
      <c r="ONN35" s="47"/>
      <c r="ONO35" s="47"/>
      <c r="ONP35" s="47"/>
      <c r="ONQ35" s="47"/>
      <c r="ONR35" s="47"/>
      <c r="ONS35" s="47"/>
      <c r="ONT35" s="47"/>
      <c r="ONU35" s="47"/>
      <c r="ONV35" s="47"/>
      <c r="ONW35" s="47"/>
      <c r="ONX35" s="47"/>
      <c r="ONY35" s="47"/>
      <c r="ONZ35" s="47"/>
      <c r="OOA35" s="47"/>
      <c r="OOB35" s="47"/>
      <c r="OOC35" s="47"/>
      <c r="OOD35" s="47"/>
      <c r="OOE35" s="47"/>
      <c r="OOF35" s="47"/>
      <c r="OOG35" s="47"/>
      <c r="OOH35" s="47"/>
      <c r="OOI35" s="47"/>
      <c r="OOJ35" s="47"/>
      <c r="OOK35" s="47"/>
      <c r="OOL35" s="47"/>
      <c r="OOM35" s="47"/>
      <c r="OON35" s="47"/>
      <c r="OOO35" s="47"/>
      <c r="OOP35" s="47"/>
      <c r="OOQ35" s="47"/>
      <c r="OOR35" s="47"/>
      <c r="OOS35" s="47"/>
      <c r="OOT35" s="47"/>
      <c r="OOU35" s="47"/>
      <c r="OOV35" s="47"/>
      <c r="OOW35" s="47"/>
      <c r="OOX35" s="47"/>
      <c r="OOY35" s="47"/>
      <c r="OOZ35" s="47"/>
      <c r="OPA35" s="47"/>
      <c r="OPB35" s="47"/>
      <c r="OPC35" s="47"/>
      <c r="OPD35" s="47"/>
      <c r="OPE35" s="47"/>
      <c r="OPF35" s="47"/>
      <c r="OPG35" s="47"/>
      <c r="OPH35" s="47"/>
      <c r="OPI35" s="47"/>
      <c r="OPJ35" s="47"/>
      <c r="OPK35" s="47"/>
      <c r="OPL35" s="47"/>
      <c r="OPM35" s="47"/>
      <c r="OPN35" s="47"/>
      <c r="OPO35" s="47"/>
      <c r="OPP35" s="47"/>
      <c r="OPQ35" s="47"/>
      <c r="OPR35" s="47"/>
      <c r="OPS35" s="47"/>
      <c r="OPT35" s="47"/>
      <c r="OPU35" s="47"/>
      <c r="OPV35" s="47"/>
      <c r="OPW35" s="47"/>
      <c r="OPX35" s="47"/>
      <c r="OPY35" s="47"/>
      <c r="OPZ35" s="47"/>
      <c r="OQA35" s="47"/>
      <c r="OQB35" s="47"/>
      <c r="OQC35" s="47"/>
      <c r="OQD35" s="47"/>
      <c r="OQE35" s="47"/>
      <c r="OQF35" s="47"/>
      <c r="OQG35" s="47"/>
      <c r="OQH35" s="47"/>
      <c r="OQI35" s="47"/>
      <c r="OQJ35" s="47"/>
      <c r="OQK35" s="47"/>
      <c r="OQL35" s="47"/>
      <c r="OQM35" s="47"/>
      <c r="OQN35" s="47"/>
      <c r="OQO35" s="47"/>
      <c r="OQP35" s="47"/>
      <c r="OQQ35" s="47"/>
      <c r="OQR35" s="47"/>
      <c r="OQS35" s="47"/>
      <c r="OQT35" s="47"/>
      <c r="OQU35" s="47"/>
      <c r="OQV35" s="47"/>
      <c r="OQW35" s="47"/>
      <c r="OQX35" s="47"/>
      <c r="OQY35" s="47"/>
      <c r="OQZ35" s="47"/>
      <c r="ORA35" s="47"/>
      <c r="ORB35" s="47"/>
      <c r="ORC35" s="47"/>
      <c r="ORD35" s="47"/>
      <c r="ORE35" s="47"/>
      <c r="ORF35" s="47"/>
      <c r="ORG35" s="47"/>
      <c r="ORH35" s="47"/>
      <c r="ORI35" s="47"/>
      <c r="ORJ35" s="47"/>
      <c r="ORK35" s="47"/>
      <c r="ORL35" s="47"/>
      <c r="ORM35" s="47"/>
      <c r="ORN35" s="47"/>
      <c r="ORO35" s="47"/>
      <c r="ORP35" s="47"/>
      <c r="ORQ35" s="47"/>
      <c r="ORR35" s="47"/>
      <c r="ORS35" s="47"/>
      <c r="ORT35" s="47"/>
      <c r="ORU35" s="47"/>
      <c r="ORV35" s="47"/>
      <c r="ORW35" s="47"/>
      <c r="ORX35" s="47"/>
      <c r="ORY35" s="47"/>
      <c r="ORZ35" s="47"/>
      <c r="OSA35" s="47"/>
      <c r="OSB35" s="47"/>
      <c r="OSC35" s="47"/>
      <c r="OSD35" s="47"/>
      <c r="OSE35" s="47"/>
      <c r="OSF35" s="47"/>
      <c r="OSG35" s="47"/>
      <c r="OSH35" s="47"/>
      <c r="OSI35" s="47"/>
      <c r="OSJ35" s="47"/>
      <c r="OSK35" s="47"/>
      <c r="OSL35" s="47"/>
      <c r="OSM35" s="47"/>
      <c r="OSN35" s="47"/>
      <c r="OSO35" s="47"/>
      <c r="OSP35" s="47"/>
      <c r="OSQ35" s="47"/>
      <c r="OSR35" s="47"/>
      <c r="OSS35" s="47"/>
      <c r="OST35" s="47"/>
      <c r="OSU35" s="47"/>
      <c r="OSV35" s="47"/>
      <c r="OSW35" s="47"/>
      <c r="OSX35" s="47"/>
      <c r="OSY35" s="47"/>
      <c r="OSZ35" s="47"/>
      <c r="OTA35" s="47"/>
      <c r="OTB35" s="47"/>
      <c r="OTC35" s="47"/>
      <c r="OTD35" s="47"/>
      <c r="OTE35" s="47"/>
      <c r="OTF35" s="47"/>
      <c r="OTG35" s="47"/>
      <c r="OTH35" s="47"/>
      <c r="OTI35" s="47"/>
      <c r="OTJ35" s="47"/>
      <c r="OTK35" s="47"/>
      <c r="OTL35" s="47"/>
      <c r="OTM35" s="47"/>
      <c r="OTN35" s="47"/>
      <c r="OTO35" s="47"/>
      <c r="OTP35" s="47"/>
      <c r="OTQ35" s="47"/>
      <c r="OTR35" s="47"/>
      <c r="OTS35" s="47"/>
      <c r="OTT35" s="47"/>
      <c r="OTU35" s="47"/>
      <c r="OTV35" s="47"/>
      <c r="OTW35" s="47"/>
      <c r="OTX35" s="47"/>
      <c r="OTY35" s="47"/>
      <c r="OTZ35" s="47"/>
      <c r="OUA35" s="47"/>
      <c r="OUB35" s="47"/>
      <c r="OUC35" s="47"/>
      <c r="OUD35" s="47"/>
      <c r="OUE35" s="47"/>
      <c r="OUF35" s="47"/>
      <c r="OUG35" s="47"/>
      <c r="OUH35" s="47"/>
      <c r="OUI35" s="47"/>
      <c r="OUJ35" s="47"/>
      <c r="OUK35" s="47"/>
      <c r="OUL35" s="47"/>
      <c r="OUM35" s="47"/>
      <c r="OUN35" s="47"/>
      <c r="OUO35" s="47"/>
      <c r="OUP35" s="47"/>
      <c r="OUQ35" s="47"/>
      <c r="OUR35" s="47"/>
      <c r="OUS35" s="47"/>
      <c r="OUT35" s="47"/>
      <c r="OUU35" s="47"/>
      <c r="OUV35" s="47"/>
      <c r="OUW35" s="47"/>
      <c r="OUX35" s="47"/>
      <c r="OUY35" s="47"/>
      <c r="OUZ35" s="47"/>
      <c r="OVA35" s="47"/>
      <c r="OVB35" s="47"/>
      <c r="OVC35" s="47"/>
      <c r="OVD35" s="47"/>
      <c r="OVE35" s="47"/>
      <c r="OVF35" s="47"/>
      <c r="OVG35" s="47"/>
      <c r="OVH35" s="47"/>
      <c r="OVI35" s="47"/>
      <c r="OVJ35" s="47"/>
      <c r="OVK35" s="47"/>
      <c r="OVL35" s="47"/>
      <c r="OVM35" s="47"/>
      <c r="OVN35" s="47"/>
      <c r="OVO35" s="47"/>
      <c r="OVP35" s="47"/>
      <c r="OVQ35" s="47"/>
      <c r="OVR35" s="47"/>
      <c r="OVS35" s="47"/>
      <c r="OVT35" s="47"/>
      <c r="OVU35" s="47"/>
      <c r="OVV35" s="47"/>
      <c r="OVW35" s="47"/>
      <c r="OVX35" s="47"/>
      <c r="OVY35" s="47"/>
      <c r="OVZ35" s="47"/>
      <c r="OWA35" s="47"/>
      <c r="OWB35" s="47"/>
      <c r="OWC35" s="47"/>
      <c r="OWD35" s="47"/>
      <c r="OWE35" s="47"/>
      <c r="OWF35" s="47"/>
      <c r="OWG35" s="47"/>
      <c r="OWH35" s="47"/>
      <c r="OWI35" s="47"/>
      <c r="OWJ35" s="47"/>
      <c r="OWK35" s="47"/>
      <c r="OWL35" s="47"/>
      <c r="OWM35" s="47"/>
      <c r="OWN35" s="47"/>
      <c r="OWO35" s="47"/>
      <c r="OWP35" s="47"/>
      <c r="OWQ35" s="47"/>
      <c r="OWR35" s="47"/>
      <c r="OWS35" s="47"/>
      <c r="OWT35" s="47"/>
      <c r="OWU35" s="47"/>
      <c r="OWV35" s="47"/>
      <c r="OWW35" s="47"/>
      <c r="OWX35" s="47"/>
      <c r="OWY35" s="47"/>
      <c r="OWZ35" s="47"/>
      <c r="OXA35" s="47"/>
      <c r="OXB35" s="47"/>
      <c r="OXC35" s="47"/>
      <c r="OXD35" s="47"/>
      <c r="OXE35" s="47"/>
      <c r="OXF35" s="47"/>
      <c r="OXG35" s="47"/>
      <c r="OXH35" s="47"/>
      <c r="OXI35" s="47"/>
      <c r="OXJ35" s="47"/>
      <c r="OXK35" s="47"/>
      <c r="OXL35" s="47"/>
      <c r="OXM35" s="47"/>
      <c r="OXN35" s="47"/>
      <c r="OXO35" s="47"/>
      <c r="OXP35" s="47"/>
      <c r="OXQ35" s="47"/>
      <c r="OXR35" s="47"/>
      <c r="OXS35" s="47"/>
      <c r="OXT35" s="47"/>
      <c r="OXU35" s="47"/>
      <c r="OXV35" s="47"/>
      <c r="OXW35" s="47"/>
      <c r="OXX35" s="47"/>
      <c r="OXY35" s="47"/>
      <c r="OXZ35" s="47"/>
      <c r="OYA35" s="47"/>
      <c r="OYB35" s="47"/>
      <c r="OYC35" s="47"/>
      <c r="OYD35" s="47"/>
      <c r="OYE35" s="47"/>
      <c r="OYF35" s="47"/>
      <c r="OYG35" s="47"/>
      <c r="OYH35" s="47"/>
      <c r="OYI35" s="47"/>
      <c r="OYJ35" s="47"/>
      <c r="OYK35" s="47"/>
      <c r="OYL35" s="47"/>
      <c r="OYM35" s="47"/>
      <c r="OYN35" s="47"/>
      <c r="OYO35" s="47"/>
      <c r="OYP35" s="47"/>
      <c r="OYQ35" s="47"/>
      <c r="OYR35" s="47"/>
      <c r="OYS35" s="47"/>
      <c r="OYT35" s="47"/>
      <c r="OYU35" s="47"/>
      <c r="OYV35" s="47"/>
      <c r="OYW35" s="47"/>
      <c r="OYX35" s="47"/>
      <c r="OYY35" s="47"/>
      <c r="OYZ35" s="47"/>
      <c r="OZA35" s="47"/>
      <c r="OZB35" s="47"/>
      <c r="OZC35" s="47"/>
      <c r="OZD35" s="47"/>
      <c r="OZE35" s="47"/>
      <c r="OZF35" s="47"/>
      <c r="OZG35" s="47"/>
      <c r="OZH35" s="47"/>
      <c r="OZI35" s="47"/>
      <c r="OZJ35" s="47"/>
      <c r="OZK35" s="47"/>
      <c r="OZL35" s="47"/>
      <c r="OZM35" s="47"/>
      <c r="OZN35" s="47"/>
      <c r="OZO35" s="47"/>
      <c r="OZP35" s="47"/>
      <c r="OZQ35" s="47"/>
      <c r="OZR35" s="47"/>
      <c r="OZS35" s="47"/>
      <c r="OZT35" s="47"/>
      <c r="OZU35" s="47"/>
      <c r="OZV35" s="47"/>
      <c r="OZW35" s="47"/>
      <c r="OZX35" s="47"/>
      <c r="OZY35" s="47"/>
      <c r="OZZ35" s="47"/>
      <c r="PAA35" s="47"/>
      <c r="PAB35" s="47"/>
      <c r="PAC35" s="47"/>
      <c r="PAD35" s="47"/>
      <c r="PAE35" s="47"/>
      <c r="PAF35" s="47"/>
      <c r="PAG35" s="47"/>
      <c r="PAH35" s="47"/>
      <c r="PAI35" s="47"/>
      <c r="PAJ35" s="47"/>
      <c r="PAK35" s="47"/>
      <c r="PAL35" s="47"/>
      <c r="PAM35" s="47"/>
      <c r="PAN35" s="47"/>
      <c r="PAO35" s="47"/>
      <c r="PAP35" s="47"/>
      <c r="PAQ35" s="47"/>
      <c r="PAR35" s="47"/>
      <c r="PAS35" s="47"/>
      <c r="PAT35" s="47"/>
      <c r="PAU35" s="47"/>
      <c r="PAV35" s="47"/>
      <c r="PAW35" s="47"/>
      <c r="PAX35" s="47"/>
      <c r="PAY35" s="47"/>
      <c r="PAZ35" s="47"/>
      <c r="PBA35" s="47"/>
      <c r="PBB35" s="47"/>
      <c r="PBC35" s="47"/>
      <c r="PBD35" s="47"/>
      <c r="PBE35" s="47"/>
      <c r="PBF35" s="47"/>
      <c r="PBG35" s="47"/>
      <c r="PBH35" s="47"/>
      <c r="PBI35" s="47"/>
      <c r="PBJ35" s="47"/>
      <c r="PBK35" s="47"/>
      <c r="PBL35" s="47"/>
      <c r="PBM35" s="47"/>
      <c r="PBN35" s="47"/>
      <c r="PBO35" s="47"/>
      <c r="PBP35" s="47"/>
      <c r="PBQ35" s="47"/>
      <c r="PBR35" s="47"/>
      <c r="PBS35" s="47"/>
      <c r="PBT35" s="47"/>
      <c r="PBU35" s="47"/>
      <c r="PBV35" s="47"/>
      <c r="PBW35" s="47"/>
      <c r="PBX35" s="47"/>
      <c r="PBY35" s="47"/>
      <c r="PBZ35" s="47"/>
      <c r="PCA35" s="47"/>
      <c r="PCB35" s="47"/>
      <c r="PCC35" s="47"/>
      <c r="PCD35" s="47"/>
      <c r="PCE35" s="47"/>
      <c r="PCF35" s="47"/>
      <c r="PCG35" s="47"/>
      <c r="PCH35" s="47"/>
      <c r="PCI35" s="47"/>
      <c r="PCJ35" s="47"/>
      <c r="PCK35" s="47"/>
      <c r="PCL35" s="47"/>
      <c r="PCM35" s="47"/>
      <c r="PCN35" s="47"/>
      <c r="PCO35" s="47"/>
      <c r="PCP35" s="47"/>
      <c r="PCQ35" s="47"/>
      <c r="PCR35" s="47"/>
      <c r="PCS35" s="47"/>
      <c r="PCT35" s="47"/>
      <c r="PCU35" s="47"/>
      <c r="PCV35" s="47"/>
      <c r="PCW35" s="47"/>
      <c r="PCX35" s="47"/>
      <c r="PCY35" s="47"/>
      <c r="PCZ35" s="47"/>
      <c r="PDA35" s="47"/>
      <c r="PDB35" s="47"/>
      <c r="PDC35" s="47"/>
      <c r="PDD35" s="47"/>
      <c r="PDE35" s="47"/>
      <c r="PDF35" s="47"/>
      <c r="PDG35" s="47"/>
      <c r="PDH35" s="47"/>
      <c r="PDI35" s="47"/>
      <c r="PDJ35" s="47"/>
      <c r="PDK35" s="47"/>
      <c r="PDL35" s="47"/>
      <c r="PDM35" s="47"/>
      <c r="PDN35" s="47"/>
      <c r="PDO35" s="47"/>
      <c r="PDP35" s="47"/>
      <c r="PDQ35" s="47"/>
      <c r="PDR35" s="47"/>
      <c r="PDS35" s="47"/>
      <c r="PDT35" s="47"/>
      <c r="PDU35" s="47"/>
      <c r="PDV35" s="47"/>
      <c r="PDW35" s="47"/>
      <c r="PDX35" s="47"/>
      <c r="PDY35" s="47"/>
      <c r="PDZ35" s="47"/>
      <c r="PEA35" s="47"/>
      <c r="PEB35" s="47"/>
      <c r="PEC35" s="47"/>
      <c r="PED35" s="47"/>
      <c r="PEE35" s="47"/>
      <c r="PEF35" s="47"/>
      <c r="PEG35" s="47"/>
      <c r="PEH35" s="47"/>
      <c r="PEI35" s="47"/>
      <c r="PEJ35" s="47"/>
      <c r="PEK35" s="47"/>
      <c r="PEL35" s="47"/>
      <c r="PEM35" s="47"/>
      <c r="PEN35" s="47"/>
      <c r="PEO35" s="47"/>
      <c r="PEP35" s="47"/>
      <c r="PEQ35" s="47"/>
      <c r="PER35" s="47"/>
      <c r="PES35" s="47"/>
      <c r="PET35" s="47"/>
      <c r="PEU35" s="47"/>
      <c r="PEV35" s="47"/>
      <c r="PEW35" s="47"/>
      <c r="PEX35" s="47"/>
      <c r="PEY35" s="47"/>
      <c r="PEZ35" s="47"/>
      <c r="PFA35" s="47"/>
      <c r="PFB35" s="47"/>
      <c r="PFC35" s="47"/>
      <c r="PFD35" s="47"/>
      <c r="PFE35" s="47"/>
      <c r="PFF35" s="47"/>
      <c r="PFG35" s="47"/>
      <c r="PFH35" s="47"/>
      <c r="PFI35" s="47"/>
      <c r="PFJ35" s="47"/>
      <c r="PFK35" s="47"/>
      <c r="PFL35" s="47"/>
      <c r="PFM35" s="47"/>
      <c r="PFN35" s="47"/>
      <c r="PFO35" s="47"/>
      <c r="PFP35" s="47"/>
      <c r="PFQ35" s="47"/>
      <c r="PFR35" s="47"/>
      <c r="PFS35" s="47"/>
      <c r="PFT35" s="47"/>
      <c r="PFU35" s="47"/>
      <c r="PFV35" s="47"/>
      <c r="PFW35" s="47"/>
      <c r="PFX35" s="47"/>
      <c r="PFY35" s="47"/>
      <c r="PFZ35" s="47"/>
      <c r="PGA35" s="47"/>
      <c r="PGB35" s="47"/>
      <c r="PGC35" s="47"/>
      <c r="PGD35" s="47"/>
      <c r="PGE35" s="47"/>
      <c r="PGF35" s="47"/>
      <c r="PGG35" s="47"/>
      <c r="PGH35" s="47"/>
      <c r="PGI35" s="47"/>
      <c r="PGJ35" s="47"/>
      <c r="PGK35" s="47"/>
      <c r="PGL35" s="47"/>
      <c r="PGM35" s="47"/>
      <c r="PGN35" s="47"/>
      <c r="PGO35" s="47"/>
      <c r="PGP35" s="47"/>
      <c r="PGQ35" s="47"/>
      <c r="PGR35" s="47"/>
      <c r="PGS35" s="47"/>
      <c r="PGT35" s="47"/>
      <c r="PGU35" s="47"/>
      <c r="PGV35" s="47"/>
      <c r="PGW35" s="47"/>
      <c r="PGX35" s="47"/>
      <c r="PGY35" s="47"/>
      <c r="PGZ35" s="47"/>
      <c r="PHA35" s="47"/>
      <c r="PHB35" s="47"/>
      <c r="PHC35" s="47"/>
      <c r="PHD35" s="47"/>
      <c r="PHE35" s="47"/>
      <c r="PHF35" s="47"/>
      <c r="PHG35" s="47"/>
      <c r="PHH35" s="47"/>
      <c r="PHI35" s="47"/>
      <c r="PHJ35" s="47"/>
      <c r="PHK35" s="47"/>
      <c r="PHL35" s="47"/>
      <c r="PHM35" s="47"/>
      <c r="PHN35" s="47"/>
      <c r="PHO35" s="47"/>
      <c r="PHP35" s="47"/>
      <c r="PHQ35" s="47"/>
      <c r="PHR35" s="47"/>
      <c r="PHS35" s="47"/>
      <c r="PHT35" s="47"/>
      <c r="PHU35" s="47"/>
      <c r="PHV35" s="47"/>
      <c r="PHW35" s="47"/>
      <c r="PHX35" s="47"/>
      <c r="PHY35" s="47"/>
      <c r="PHZ35" s="47"/>
      <c r="PIA35" s="47"/>
      <c r="PIB35" s="47"/>
      <c r="PIC35" s="47"/>
      <c r="PID35" s="47"/>
      <c r="PIE35" s="47"/>
      <c r="PIF35" s="47"/>
      <c r="PIG35" s="47"/>
      <c r="PIH35" s="47"/>
      <c r="PII35" s="47"/>
      <c r="PIJ35" s="47"/>
      <c r="PIK35" s="47"/>
      <c r="PIL35" s="47"/>
      <c r="PIM35" s="47"/>
      <c r="PIN35" s="47"/>
      <c r="PIO35" s="47"/>
      <c r="PIP35" s="47"/>
      <c r="PIQ35" s="47"/>
      <c r="PIR35" s="47"/>
      <c r="PIS35" s="47"/>
      <c r="PIT35" s="47"/>
      <c r="PIU35" s="47"/>
      <c r="PIV35" s="47"/>
      <c r="PIW35" s="47"/>
      <c r="PIX35" s="47"/>
      <c r="PIY35" s="47"/>
      <c r="PIZ35" s="47"/>
      <c r="PJA35" s="47"/>
      <c r="PJB35" s="47"/>
      <c r="PJC35" s="47"/>
      <c r="PJD35" s="47"/>
      <c r="PJE35" s="47"/>
      <c r="PJF35" s="47"/>
      <c r="PJG35" s="47"/>
      <c r="PJH35" s="47"/>
      <c r="PJI35" s="47"/>
      <c r="PJJ35" s="47"/>
      <c r="PJK35" s="47"/>
      <c r="PJL35" s="47"/>
      <c r="PJM35" s="47"/>
      <c r="PJN35" s="47"/>
      <c r="PJO35" s="47"/>
      <c r="PJP35" s="47"/>
      <c r="PJQ35" s="47"/>
      <c r="PJR35" s="47"/>
      <c r="PJS35" s="47"/>
      <c r="PJT35" s="47"/>
      <c r="PJU35" s="47"/>
      <c r="PJV35" s="47"/>
      <c r="PJW35" s="47"/>
      <c r="PJX35" s="47"/>
      <c r="PJY35" s="47"/>
      <c r="PJZ35" s="47"/>
      <c r="PKA35" s="47"/>
      <c r="PKB35" s="47"/>
      <c r="PKC35" s="47"/>
      <c r="PKD35" s="47"/>
      <c r="PKE35" s="47"/>
      <c r="PKF35" s="47"/>
      <c r="PKG35" s="47"/>
      <c r="PKH35" s="47"/>
      <c r="PKI35" s="47"/>
      <c r="PKJ35" s="47"/>
      <c r="PKK35" s="47"/>
      <c r="PKL35" s="47"/>
      <c r="PKM35" s="47"/>
      <c r="PKN35" s="47"/>
      <c r="PKO35" s="47"/>
      <c r="PKP35" s="47"/>
      <c r="PKQ35" s="47"/>
      <c r="PKR35" s="47"/>
      <c r="PKS35" s="47"/>
      <c r="PKT35" s="47"/>
      <c r="PKU35" s="47"/>
      <c r="PKV35" s="47"/>
      <c r="PKW35" s="47"/>
      <c r="PKX35" s="47"/>
      <c r="PKY35" s="47"/>
      <c r="PKZ35" s="47"/>
      <c r="PLA35" s="47"/>
      <c r="PLB35" s="47"/>
      <c r="PLC35" s="47"/>
      <c r="PLD35" s="47"/>
      <c r="PLE35" s="47"/>
      <c r="PLF35" s="47"/>
      <c r="PLG35" s="47"/>
      <c r="PLH35" s="47"/>
      <c r="PLI35" s="47"/>
      <c r="PLJ35" s="47"/>
      <c r="PLK35" s="47"/>
      <c r="PLL35" s="47"/>
      <c r="PLM35" s="47"/>
      <c r="PLN35" s="47"/>
      <c r="PLO35" s="47"/>
      <c r="PLP35" s="47"/>
      <c r="PLQ35" s="47"/>
      <c r="PLR35" s="47"/>
      <c r="PLS35" s="47"/>
      <c r="PLT35" s="47"/>
      <c r="PLU35" s="47"/>
      <c r="PLV35" s="47"/>
      <c r="PLW35" s="47"/>
      <c r="PLX35" s="47"/>
      <c r="PLY35" s="47"/>
      <c r="PLZ35" s="47"/>
      <c r="PMA35" s="47"/>
      <c r="PMB35" s="47"/>
      <c r="PMC35" s="47"/>
      <c r="PMD35" s="47"/>
      <c r="PME35" s="47"/>
      <c r="PMF35" s="47"/>
      <c r="PMG35" s="47"/>
      <c r="PMH35" s="47"/>
      <c r="PMI35" s="47"/>
      <c r="PMJ35" s="47"/>
      <c r="PMK35" s="47"/>
      <c r="PML35" s="47"/>
      <c r="PMM35" s="47"/>
      <c r="PMN35" s="47"/>
      <c r="PMO35" s="47"/>
      <c r="PMP35" s="47"/>
      <c r="PMQ35" s="47"/>
      <c r="PMR35" s="47"/>
      <c r="PMS35" s="47"/>
      <c r="PMT35" s="47"/>
      <c r="PMU35" s="47"/>
      <c r="PMV35" s="47"/>
      <c r="PMW35" s="47"/>
      <c r="PMX35" s="47"/>
      <c r="PMY35" s="47"/>
      <c r="PMZ35" s="47"/>
      <c r="PNA35" s="47"/>
      <c r="PNB35" s="47"/>
      <c r="PNC35" s="47"/>
      <c r="PND35" s="47"/>
      <c r="PNE35" s="47"/>
      <c r="PNF35" s="47"/>
      <c r="PNG35" s="47"/>
      <c r="PNH35" s="47"/>
      <c r="PNI35" s="47"/>
      <c r="PNJ35" s="47"/>
      <c r="PNK35" s="47"/>
      <c r="PNL35" s="47"/>
      <c r="PNM35" s="47"/>
      <c r="PNN35" s="47"/>
      <c r="PNO35" s="47"/>
      <c r="PNP35" s="47"/>
      <c r="PNQ35" s="47"/>
      <c r="PNR35" s="47"/>
      <c r="PNS35" s="47"/>
      <c r="PNT35" s="47"/>
      <c r="PNU35" s="47"/>
      <c r="PNV35" s="47"/>
      <c r="PNW35" s="47"/>
      <c r="PNX35" s="47"/>
      <c r="PNY35" s="47"/>
      <c r="PNZ35" s="47"/>
      <c r="POA35" s="47"/>
      <c r="POB35" s="47"/>
      <c r="POC35" s="47"/>
      <c r="POD35" s="47"/>
      <c r="POE35" s="47"/>
      <c r="POF35" s="47"/>
      <c r="POG35" s="47"/>
      <c r="POH35" s="47"/>
      <c r="POI35" s="47"/>
      <c r="POJ35" s="47"/>
      <c r="POK35" s="47"/>
      <c r="POL35" s="47"/>
      <c r="POM35" s="47"/>
      <c r="PON35" s="47"/>
      <c r="POO35" s="47"/>
      <c r="POP35" s="47"/>
      <c r="POQ35" s="47"/>
      <c r="POR35" s="47"/>
      <c r="POS35" s="47"/>
      <c r="POT35" s="47"/>
      <c r="POU35" s="47"/>
      <c r="POV35" s="47"/>
      <c r="POW35" s="47"/>
      <c r="POX35" s="47"/>
      <c r="POY35" s="47"/>
      <c r="POZ35" s="47"/>
      <c r="PPA35" s="47"/>
      <c r="PPB35" s="47"/>
      <c r="PPC35" s="47"/>
      <c r="PPD35" s="47"/>
      <c r="PPE35" s="47"/>
      <c r="PPF35" s="47"/>
      <c r="PPG35" s="47"/>
      <c r="PPH35" s="47"/>
      <c r="PPI35" s="47"/>
      <c r="PPJ35" s="47"/>
      <c r="PPK35" s="47"/>
      <c r="PPL35" s="47"/>
      <c r="PPM35" s="47"/>
      <c r="PPN35" s="47"/>
      <c r="PPO35" s="47"/>
      <c r="PPP35" s="47"/>
      <c r="PPQ35" s="47"/>
      <c r="PPR35" s="47"/>
      <c r="PPS35" s="47"/>
      <c r="PPT35" s="47"/>
      <c r="PPU35" s="47"/>
      <c r="PPV35" s="47"/>
      <c r="PPW35" s="47"/>
      <c r="PPX35" s="47"/>
      <c r="PPY35" s="47"/>
      <c r="PPZ35" s="47"/>
      <c r="PQA35" s="47"/>
      <c r="PQB35" s="47"/>
      <c r="PQC35" s="47"/>
      <c r="PQD35" s="47"/>
      <c r="PQE35" s="47"/>
      <c r="PQF35" s="47"/>
      <c r="PQG35" s="47"/>
      <c r="PQH35" s="47"/>
      <c r="PQI35" s="47"/>
      <c r="PQJ35" s="47"/>
      <c r="PQK35" s="47"/>
      <c r="PQL35" s="47"/>
      <c r="PQM35" s="47"/>
      <c r="PQN35" s="47"/>
      <c r="PQO35" s="47"/>
      <c r="PQP35" s="47"/>
      <c r="PQQ35" s="47"/>
      <c r="PQR35" s="47"/>
      <c r="PQS35" s="47"/>
      <c r="PQT35" s="47"/>
      <c r="PQU35" s="47"/>
      <c r="PQV35" s="47"/>
      <c r="PQW35" s="47"/>
      <c r="PQX35" s="47"/>
      <c r="PQY35" s="47"/>
      <c r="PQZ35" s="47"/>
      <c r="PRA35" s="47"/>
      <c r="PRB35" s="47"/>
      <c r="PRC35" s="47"/>
      <c r="PRD35" s="47"/>
      <c r="PRE35" s="47"/>
      <c r="PRF35" s="47"/>
      <c r="PRG35" s="47"/>
      <c r="PRH35" s="47"/>
      <c r="PRI35" s="47"/>
      <c r="PRJ35" s="47"/>
      <c r="PRK35" s="47"/>
      <c r="PRL35" s="47"/>
      <c r="PRM35" s="47"/>
      <c r="PRN35" s="47"/>
      <c r="PRO35" s="47"/>
      <c r="PRP35" s="47"/>
      <c r="PRQ35" s="47"/>
      <c r="PRR35" s="47"/>
      <c r="PRS35" s="47"/>
      <c r="PRT35" s="47"/>
      <c r="PRU35" s="47"/>
      <c r="PRV35" s="47"/>
      <c r="PRW35" s="47"/>
      <c r="PRX35" s="47"/>
      <c r="PRY35" s="47"/>
      <c r="PRZ35" s="47"/>
      <c r="PSA35" s="47"/>
      <c r="PSB35" s="47"/>
      <c r="PSC35" s="47"/>
      <c r="PSD35" s="47"/>
      <c r="PSE35" s="47"/>
      <c r="PSF35" s="47"/>
      <c r="PSG35" s="47"/>
      <c r="PSH35" s="47"/>
      <c r="PSI35" s="47"/>
      <c r="PSJ35" s="47"/>
      <c r="PSK35" s="47"/>
      <c r="PSL35" s="47"/>
      <c r="PSM35" s="47"/>
      <c r="PSN35" s="47"/>
      <c r="PSO35" s="47"/>
      <c r="PSP35" s="47"/>
      <c r="PSQ35" s="47"/>
      <c r="PSR35" s="47"/>
      <c r="PSS35" s="47"/>
      <c r="PST35" s="47"/>
      <c r="PSU35" s="47"/>
      <c r="PSV35" s="47"/>
      <c r="PSW35" s="47"/>
      <c r="PSX35" s="47"/>
      <c r="PSY35" s="47"/>
      <c r="PSZ35" s="47"/>
      <c r="PTA35" s="47"/>
      <c r="PTB35" s="47"/>
      <c r="PTC35" s="47"/>
      <c r="PTD35" s="47"/>
      <c r="PTE35" s="47"/>
      <c r="PTF35" s="47"/>
      <c r="PTG35" s="47"/>
      <c r="PTH35" s="47"/>
      <c r="PTI35" s="47"/>
      <c r="PTJ35" s="47"/>
      <c r="PTK35" s="47"/>
      <c r="PTL35" s="47"/>
      <c r="PTM35" s="47"/>
      <c r="PTN35" s="47"/>
      <c r="PTO35" s="47"/>
      <c r="PTP35" s="47"/>
      <c r="PTQ35" s="47"/>
      <c r="PTR35" s="47"/>
      <c r="PTS35" s="47"/>
      <c r="PTT35" s="47"/>
      <c r="PTU35" s="47"/>
      <c r="PTV35" s="47"/>
      <c r="PTW35" s="47"/>
      <c r="PTX35" s="47"/>
      <c r="PTY35" s="47"/>
      <c r="PTZ35" s="47"/>
      <c r="PUA35" s="47"/>
      <c r="PUB35" s="47"/>
      <c r="PUC35" s="47"/>
      <c r="PUD35" s="47"/>
      <c r="PUE35" s="47"/>
      <c r="PUF35" s="47"/>
      <c r="PUG35" s="47"/>
      <c r="PUH35" s="47"/>
      <c r="PUI35" s="47"/>
      <c r="PUJ35" s="47"/>
      <c r="PUK35" s="47"/>
      <c r="PUL35" s="47"/>
      <c r="PUM35" s="47"/>
      <c r="PUN35" s="47"/>
      <c r="PUO35" s="47"/>
      <c r="PUP35" s="47"/>
      <c r="PUQ35" s="47"/>
      <c r="PUR35" s="47"/>
      <c r="PUS35" s="47"/>
      <c r="PUT35" s="47"/>
      <c r="PUU35" s="47"/>
      <c r="PUV35" s="47"/>
      <c r="PUW35" s="47"/>
      <c r="PUX35" s="47"/>
      <c r="PUY35" s="47"/>
      <c r="PUZ35" s="47"/>
      <c r="PVA35" s="47"/>
      <c r="PVB35" s="47"/>
      <c r="PVC35" s="47"/>
      <c r="PVD35" s="47"/>
      <c r="PVE35" s="47"/>
      <c r="PVF35" s="47"/>
      <c r="PVG35" s="47"/>
      <c r="PVH35" s="47"/>
      <c r="PVI35" s="47"/>
      <c r="PVJ35" s="47"/>
      <c r="PVK35" s="47"/>
      <c r="PVL35" s="47"/>
      <c r="PVM35" s="47"/>
      <c r="PVN35" s="47"/>
      <c r="PVO35" s="47"/>
      <c r="PVP35" s="47"/>
      <c r="PVQ35" s="47"/>
      <c r="PVR35" s="47"/>
      <c r="PVS35" s="47"/>
      <c r="PVT35" s="47"/>
      <c r="PVU35" s="47"/>
      <c r="PVV35" s="47"/>
      <c r="PVW35" s="47"/>
      <c r="PVX35" s="47"/>
      <c r="PVY35" s="47"/>
      <c r="PVZ35" s="47"/>
      <c r="PWA35" s="47"/>
      <c r="PWB35" s="47"/>
      <c r="PWC35" s="47"/>
      <c r="PWD35" s="47"/>
      <c r="PWE35" s="47"/>
      <c r="PWF35" s="47"/>
      <c r="PWG35" s="47"/>
      <c r="PWH35" s="47"/>
      <c r="PWI35" s="47"/>
      <c r="PWJ35" s="47"/>
      <c r="PWK35" s="47"/>
      <c r="PWL35" s="47"/>
      <c r="PWM35" s="47"/>
      <c r="PWN35" s="47"/>
      <c r="PWO35" s="47"/>
      <c r="PWP35" s="47"/>
      <c r="PWQ35" s="47"/>
      <c r="PWR35" s="47"/>
      <c r="PWS35" s="47"/>
      <c r="PWT35" s="47"/>
      <c r="PWU35" s="47"/>
      <c r="PWV35" s="47"/>
      <c r="PWW35" s="47"/>
      <c r="PWX35" s="47"/>
      <c r="PWY35" s="47"/>
      <c r="PWZ35" s="47"/>
      <c r="PXA35" s="47"/>
      <c r="PXB35" s="47"/>
      <c r="PXC35" s="47"/>
      <c r="PXD35" s="47"/>
      <c r="PXE35" s="47"/>
      <c r="PXF35" s="47"/>
      <c r="PXG35" s="47"/>
      <c r="PXH35" s="47"/>
      <c r="PXI35" s="47"/>
      <c r="PXJ35" s="47"/>
      <c r="PXK35" s="47"/>
      <c r="PXL35" s="47"/>
      <c r="PXM35" s="47"/>
      <c r="PXN35" s="47"/>
      <c r="PXO35" s="47"/>
      <c r="PXP35" s="47"/>
      <c r="PXQ35" s="47"/>
      <c r="PXR35" s="47"/>
      <c r="PXS35" s="47"/>
      <c r="PXT35" s="47"/>
      <c r="PXU35" s="47"/>
      <c r="PXV35" s="47"/>
      <c r="PXW35" s="47"/>
      <c r="PXX35" s="47"/>
      <c r="PXY35" s="47"/>
      <c r="PXZ35" s="47"/>
      <c r="PYA35" s="47"/>
      <c r="PYB35" s="47"/>
      <c r="PYC35" s="47"/>
      <c r="PYD35" s="47"/>
      <c r="PYE35" s="47"/>
      <c r="PYF35" s="47"/>
      <c r="PYG35" s="47"/>
      <c r="PYH35" s="47"/>
      <c r="PYI35" s="47"/>
      <c r="PYJ35" s="47"/>
      <c r="PYK35" s="47"/>
      <c r="PYL35" s="47"/>
      <c r="PYM35" s="47"/>
      <c r="PYN35" s="47"/>
      <c r="PYO35" s="47"/>
      <c r="PYP35" s="47"/>
      <c r="PYQ35" s="47"/>
      <c r="PYR35" s="47"/>
      <c r="PYS35" s="47"/>
      <c r="PYT35" s="47"/>
      <c r="PYU35" s="47"/>
      <c r="PYV35" s="47"/>
      <c r="PYW35" s="47"/>
      <c r="PYX35" s="47"/>
      <c r="PYY35" s="47"/>
      <c r="PYZ35" s="47"/>
      <c r="PZA35" s="47"/>
      <c r="PZB35" s="47"/>
      <c r="PZC35" s="47"/>
      <c r="PZD35" s="47"/>
      <c r="PZE35" s="47"/>
      <c r="PZF35" s="47"/>
      <c r="PZG35" s="47"/>
      <c r="PZH35" s="47"/>
      <c r="PZI35" s="47"/>
      <c r="PZJ35" s="47"/>
      <c r="PZK35" s="47"/>
      <c r="PZL35" s="47"/>
      <c r="PZM35" s="47"/>
      <c r="PZN35" s="47"/>
      <c r="PZO35" s="47"/>
      <c r="PZP35" s="47"/>
      <c r="PZQ35" s="47"/>
      <c r="PZR35" s="47"/>
      <c r="PZS35" s="47"/>
      <c r="PZT35" s="47"/>
      <c r="PZU35" s="47"/>
      <c r="PZV35" s="47"/>
      <c r="PZW35" s="47"/>
      <c r="PZX35" s="47"/>
      <c r="PZY35" s="47"/>
      <c r="PZZ35" s="47"/>
      <c r="QAA35" s="47"/>
      <c r="QAB35" s="47"/>
      <c r="QAC35" s="47"/>
      <c r="QAD35" s="47"/>
      <c r="QAE35" s="47"/>
      <c r="QAF35" s="47"/>
      <c r="QAG35" s="47"/>
      <c r="QAH35" s="47"/>
      <c r="QAI35" s="47"/>
      <c r="QAJ35" s="47"/>
      <c r="QAK35" s="47"/>
      <c r="QAL35" s="47"/>
      <c r="QAM35" s="47"/>
      <c r="QAN35" s="47"/>
      <c r="QAO35" s="47"/>
      <c r="QAP35" s="47"/>
      <c r="QAQ35" s="47"/>
      <c r="QAR35" s="47"/>
      <c r="QAS35" s="47"/>
      <c r="QAT35" s="47"/>
      <c r="QAU35" s="47"/>
      <c r="QAV35" s="47"/>
      <c r="QAW35" s="47"/>
      <c r="QAX35" s="47"/>
      <c r="QAY35" s="47"/>
      <c r="QAZ35" s="47"/>
      <c r="QBA35" s="47"/>
      <c r="QBB35" s="47"/>
      <c r="QBC35" s="47"/>
      <c r="QBD35" s="47"/>
      <c r="QBE35" s="47"/>
      <c r="QBF35" s="47"/>
      <c r="QBG35" s="47"/>
      <c r="QBH35" s="47"/>
      <c r="QBI35" s="47"/>
      <c r="QBJ35" s="47"/>
      <c r="QBK35" s="47"/>
      <c r="QBL35" s="47"/>
      <c r="QBM35" s="47"/>
      <c r="QBN35" s="47"/>
      <c r="QBO35" s="47"/>
      <c r="QBP35" s="47"/>
      <c r="QBQ35" s="47"/>
      <c r="QBR35" s="47"/>
      <c r="QBS35" s="47"/>
      <c r="QBT35" s="47"/>
      <c r="QBU35" s="47"/>
      <c r="QBV35" s="47"/>
      <c r="QBW35" s="47"/>
      <c r="QBX35" s="47"/>
      <c r="QBY35" s="47"/>
      <c r="QBZ35" s="47"/>
      <c r="QCA35" s="47"/>
      <c r="QCB35" s="47"/>
      <c r="QCC35" s="47"/>
      <c r="QCD35" s="47"/>
      <c r="QCE35" s="47"/>
      <c r="QCF35" s="47"/>
      <c r="QCG35" s="47"/>
      <c r="QCH35" s="47"/>
      <c r="QCI35" s="47"/>
      <c r="QCJ35" s="47"/>
      <c r="QCK35" s="47"/>
      <c r="QCL35" s="47"/>
      <c r="QCM35" s="47"/>
      <c r="QCN35" s="47"/>
      <c r="QCO35" s="47"/>
      <c r="QCP35" s="47"/>
      <c r="QCQ35" s="47"/>
      <c r="QCR35" s="47"/>
      <c r="QCS35" s="47"/>
      <c r="QCT35" s="47"/>
      <c r="QCU35" s="47"/>
      <c r="QCV35" s="47"/>
      <c r="QCW35" s="47"/>
      <c r="QCX35" s="47"/>
      <c r="QCY35" s="47"/>
      <c r="QCZ35" s="47"/>
      <c r="QDA35" s="47"/>
      <c r="QDB35" s="47"/>
      <c r="QDC35" s="47"/>
      <c r="QDD35" s="47"/>
      <c r="QDE35" s="47"/>
      <c r="QDF35" s="47"/>
      <c r="QDG35" s="47"/>
      <c r="QDH35" s="47"/>
      <c r="QDI35" s="47"/>
      <c r="QDJ35" s="47"/>
      <c r="QDK35" s="47"/>
      <c r="QDL35" s="47"/>
      <c r="QDM35" s="47"/>
      <c r="QDN35" s="47"/>
      <c r="QDO35" s="47"/>
      <c r="QDP35" s="47"/>
      <c r="QDQ35" s="47"/>
      <c r="QDR35" s="47"/>
      <c r="QDS35" s="47"/>
      <c r="QDT35" s="47"/>
      <c r="QDU35" s="47"/>
      <c r="QDV35" s="47"/>
      <c r="QDW35" s="47"/>
      <c r="QDX35" s="47"/>
      <c r="QDY35" s="47"/>
      <c r="QDZ35" s="47"/>
      <c r="QEA35" s="47"/>
      <c r="QEB35" s="47"/>
      <c r="QEC35" s="47"/>
      <c r="QED35" s="47"/>
      <c r="QEE35" s="47"/>
      <c r="QEF35" s="47"/>
      <c r="QEG35" s="47"/>
      <c r="QEH35" s="47"/>
      <c r="QEI35" s="47"/>
      <c r="QEJ35" s="47"/>
      <c r="QEK35" s="47"/>
      <c r="QEL35" s="47"/>
      <c r="QEM35" s="47"/>
      <c r="QEN35" s="47"/>
      <c r="QEO35" s="47"/>
      <c r="QEP35" s="47"/>
      <c r="QEQ35" s="47"/>
      <c r="QER35" s="47"/>
      <c r="QES35" s="47"/>
      <c r="QET35" s="47"/>
      <c r="QEU35" s="47"/>
      <c r="QEV35" s="47"/>
      <c r="QEW35" s="47"/>
      <c r="QEX35" s="47"/>
      <c r="QEY35" s="47"/>
      <c r="QEZ35" s="47"/>
      <c r="QFA35" s="47"/>
      <c r="QFB35" s="47"/>
      <c r="QFC35" s="47"/>
      <c r="QFD35" s="47"/>
      <c r="QFE35" s="47"/>
      <c r="QFF35" s="47"/>
      <c r="QFG35" s="47"/>
      <c r="QFH35" s="47"/>
      <c r="QFI35" s="47"/>
      <c r="QFJ35" s="47"/>
      <c r="QFK35" s="47"/>
      <c r="QFL35" s="47"/>
      <c r="QFM35" s="47"/>
      <c r="QFN35" s="47"/>
      <c r="QFO35" s="47"/>
      <c r="QFP35" s="47"/>
      <c r="QFQ35" s="47"/>
      <c r="QFR35" s="47"/>
      <c r="QFS35" s="47"/>
      <c r="QFT35" s="47"/>
      <c r="QFU35" s="47"/>
      <c r="QFV35" s="47"/>
      <c r="QFW35" s="47"/>
      <c r="QFX35" s="47"/>
      <c r="QFY35" s="47"/>
      <c r="QFZ35" s="47"/>
      <c r="QGA35" s="47"/>
      <c r="QGB35" s="47"/>
      <c r="QGC35" s="47"/>
      <c r="QGD35" s="47"/>
      <c r="QGE35" s="47"/>
      <c r="QGF35" s="47"/>
      <c r="QGG35" s="47"/>
      <c r="QGH35" s="47"/>
      <c r="QGI35" s="47"/>
      <c r="QGJ35" s="47"/>
      <c r="QGK35" s="47"/>
      <c r="QGL35" s="47"/>
      <c r="QGM35" s="47"/>
      <c r="QGN35" s="47"/>
      <c r="QGO35" s="47"/>
      <c r="QGP35" s="47"/>
      <c r="QGQ35" s="47"/>
      <c r="QGR35" s="47"/>
      <c r="QGS35" s="47"/>
      <c r="QGT35" s="47"/>
      <c r="QGU35" s="47"/>
      <c r="QGV35" s="47"/>
      <c r="QGW35" s="47"/>
      <c r="QGX35" s="47"/>
      <c r="QGY35" s="47"/>
      <c r="QGZ35" s="47"/>
      <c r="QHA35" s="47"/>
      <c r="QHB35" s="47"/>
      <c r="QHC35" s="47"/>
      <c r="QHD35" s="47"/>
      <c r="QHE35" s="47"/>
      <c r="QHF35" s="47"/>
      <c r="QHG35" s="47"/>
      <c r="QHH35" s="47"/>
      <c r="QHI35" s="47"/>
      <c r="QHJ35" s="47"/>
      <c r="QHK35" s="47"/>
      <c r="QHL35" s="47"/>
      <c r="QHM35" s="47"/>
      <c r="QHN35" s="47"/>
      <c r="QHO35" s="47"/>
      <c r="QHP35" s="47"/>
      <c r="QHQ35" s="47"/>
      <c r="QHR35" s="47"/>
      <c r="QHS35" s="47"/>
      <c r="QHT35" s="47"/>
      <c r="QHU35" s="47"/>
      <c r="QHV35" s="47"/>
      <c r="QHW35" s="47"/>
      <c r="QHX35" s="47"/>
      <c r="QHY35" s="47"/>
      <c r="QHZ35" s="47"/>
      <c r="QIA35" s="47"/>
      <c r="QIB35" s="47"/>
      <c r="QIC35" s="47"/>
      <c r="QID35" s="47"/>
      <c r="QIE35" s="47"/>
      <c r="QIF35" s="47"/>
      <c r="QIG35" s="47"/>
      <c r="QIH35" s="47"/>
      <c r="QII35" s="47"/>
      <c r="QIJ35" s="47"/>
      <c r="QIK35" s="47"/>
      <c r="QIL35" s="47"/>
      <c r="QIM35" s="47"/>
      <c r="QIN35" s="47"/>
      <c r="QIO35" s="47"/>
      <c r="QIP35" s="47"/>
      <c r="QIQ35" s="47"/>
      <c r="QIR35" s="47"/>
      <c r="QIS35" s="47"/>
      <c r="QIT35" s="47"/>
      <c r="QIU35" s="47"/>
      <c r="QIV35" s="47"/>
      <c r="QIW35" s="47"/>
      <c r="QIX35" s="47"/>
      <c r="QIY35" s="47"/>
      <c r="QIZ35" s="47"/>
      <c r="QJA35" s="47"/>
      <c r="QJB35" s="47"/>
      <c r="QJC35" s="47"/>
      <c r="QJD35" s="47"/>
      <c r="QJE35" s="47"/>
      <c r="QJF35" s="47"/>
      <c r="QJG35" s="47"/>
      <c r="QJH35" s="47"/>
      <c r="QJI35" s="47"/>
      <c r="QJJ35" s="47"/>
      <c r="QJK35" s="47"/>
      <c r="QJL35" s="47"/>
      <c r="QJM35" s="47"/>
      <c r="QJN35" s="47"/>
      <c r="QJO35" s="47"/>
      <c r="QJP35" s="47"/>
      <c r="QJQ35" s="47"/>
      <c r="QJR35" s="47"/>
      <c r="QJS35" s="47"/>
      <c r="QJT35" s="47"/>
      <c r="QJU35" s="47"/>
      <c r="QJV35" s="47"/>
      <c r="QJW35" s="47"/>
      <c r="QJX35" s="47"/>
      <c r="QJY35" s="47"/>
      <c r="QJZ35" s="47"/>
      <c r="QKA35" s="47"/>
      <c r="QKB35" s="47"/>
      <c r="QKC35" s="47"/>
      <c r="QKD35" s="47"/>
      <c r="QKE35" s="47"/>
      <c r="QKF35" s="47"/>
      <c r="QKG35" s="47"/>
      <c r="QKH35" s="47"/>
      <c r="QKI35" s="47"/>
      <c r="QKJ35" s="47"/>
      <c r="QKK35" s="47"/>
      <c r="QKL35" s="47"/>
      <c r="QKM35" s="47"/>
      <c r="QKN35" s="47"/>
      <c r="QKO35" s="47"/>
      <c r="QKP35" s="47"/>
      <c r="QKQ35" s="47"/>
      <c r="QKR35" s="47"/>
      <c r="QKS35" s="47"/>
      <c r="QKT35" s="47"/>
      <c r="QKU35" s="47"/>
      <c r="QKV35" s="47"/>
      <c r="QKW35" s="47"/>
      <c r="QKX35" s="47"/>
      <c r="QKY35" s="47"/>
      <c r="QKZ35" s="47"/>
      <c r="QLA35" s="47"/>
      <c r="QLB35" s="47"/>
      <c r="QLC35" s="47"/>
      <c r="QLD35" s="47"/>
      <c r="QLE35" s="47"/>
      <c r="QLF35" s="47"/>
      <c r="QLG35" s="47"/>
      <c r="QLH35" s="47"/>
      <c r="QLI35" s="47"/>
      <c r="QLJ35" s="47"/>
      <c r="QLK35" s="47"/>
      <c r="QLL35" s="47"/>
      <c r="QLM35" s="47"/>
      <c r="QLN35" s="47"/>
      <c r="QLO35" s="47"/>
      <c r="QLP35" s="47"/>
      <c r="QLQ35" s="47"/>
      <c r="QLR35" s="47"/>
      <c r="QLS35" s="47"/>
      <c r="QLT35" s="47"/>
      <c r="QLU35" s="47"/>
      <c r="QLV35" s="47"/>
      <c r="QLW35" s="47"/>
      <c r="QLX35" s="47"/>
      <c r="QLY35" s="47"/>
      <c r="QLZ35" s="47"/>
      <c r="QMA35" s="47"/>
      <c r="QMB35" s="47"/>
      <c r="QMC35" s="47"/>
      <c r="QMD35" s="47"/>
      <c r="QME35" s="47"/>
      <c r="QMF35" s="47"/>
      <c r="QMG35" s="47"/>
      <c r="QMH35" s="47"/>
      <c r="QMI35" s="47"/>
      <c r="QMJ35" s="47"/>
      <c r="QMK35" s="47"/>
      <c r="QML35" s="47"/>
      <c r="QMM35" s="47"/>
      <c r="QMN35" s="47"/>
      <c r="QMO35" s="47"/>
      <c r="QMP35" s="47"/>
      <c r="QMQ35" s="47"/>
      <c r="QMR35" s="47"/>
      <c r="QMS35" s="47"/>
      <c r="QMT35" s="47"/>
      <c r="QMU35" s="47"/>
      <c r="QMV35" s="47"/>
      <c r="QMW35" s="47"/>
      <c r="QMX35" s="47"/>
      <c r="QMY35" s="47"/>
      <c r="QMZ35" s="47"/>
      <c r="QNA35" s="47"/>
      <c r="QNB35" s="47"/>
      <c r="QNC35" s="47"/>
      <c r="QND35" s="47"/>
      <c r="QNE35" s="47"/>
      <c r="QNF35" s="47"/>
      <c r="QNG35" s="47"/>
      <c r="QNH35" s="47"/>
      <c r="QNI35" s="47"/>
      <c r="QNJ35" s="47"/>
      <c r="QNK35" s="47"/>
      <c r="QNL35" s="47"/>
      <c r="QNM35" s="47"/>
      <c r="QNN35" s="47"/>
      <c r="QNO35" s="47"/>
      <c r="QNP35" s="47"/>
      <c r="QNQ35" s="47"/>
      <c r="QNR35" s="47"/>
      <c r="QNS35" s="47"/>
      <c r="QNT35" s="47"/>
      <c r="QNU35" s="47"/>
      <c r="QNV35" s="47"/>
      <c r="QNW35" s="47"/>
      <c r="QNX35" s="47"/>
      <c r="QNY35" s="47"/>
      <c r="QNZ35" s="47"/>
      <c r="QOA35" s="47"/>
      <c r="QOB35" s="47"/>
      <c r="QOC35" s="47"/>
      <c r="QOD35" s="47"/>
      <c r="QOE35" s="47"/>
      <c r="QOF35" s="47"/>
      <c r="QOG35" s="47"/>
      <c r="QOH35" s="47"/>
      <c r="QOI35" s="47"/>
      <c r="QOJ35" s="47"/>
      <c r="QOK35" s="47"/>
      <c r="QOL35" s="47"/>
      <c r="QOM35" s="47"/>
      <c r="QON35" s="47"/>
      <c r="QOO35" s="47"/>
      <c r="QOP35" s="47"/>
      <c r="QOQ35" s="47"/>
      <c r="QOR35" s="47"/>
      <c r="QOS35" s="47"/>
      <c r="QOT35" s="47"/>
      <c r="QOU35" s="47"/>
      <c r="QOV35" s="47"/>
      <c r="QOW35" s="47"/>
      <c r="QOX35" s="47"/>
      <c r="QOY35" s="47"/>
      <c r="QOZ35" s="47"/>
      <c r="QPA35" s="47"/>
      <c r="QPB35" s="47"/>
      <c r="QPC35" s="47"/>
      <c r="QPD35" s="47"/>
      <c r="QPE35" s="47"/>
      <c r="QPF35" s="47"/>
      <c r="QPG35" s="47"/>
      <c r="QPH35" s="47"/>
      <c r="QPI35" s="47"/>
      <c r="QPJ35" s="47"/>
      <c r="QPK35" s="47"/>
      <c r="QPL35" s="47"/>
      <c r="QPM35" s="47"/>
      <c r="QPN35" s="47"/>
      <c r="QPO35" s="47"/>
      <c r="QPP35" s="47"/>
      <c r="QPQ35" s="47"/>
      <c r="QPR35" s="47"/>
      <c r="QPS35" s="47"/>
      <c r="QPT35" s="47"/>
      <c r="QPU35" s="47"/>
      <c r="QPV35" s="47"/>
      <c r="QPW35" s="47"/>
      <c r="QPX35" s="47"/>
      <c r="QPY35" s="47"/>
      <c r="QPZ35" s="47"/>
      <c r="QQA35" s="47"/>
      <c r="QQB35" s="47"/>
      <c r="QQC35" s="47"/>
      <c r="QQD35" s="47"/>
      <c r="QQE35" s="47"/>
      <c r="QQF35" s="47"/>
      <c r="QQG35" s="47"/>
      <c r="QQH35" s="47"/>
      <c r="QQI35" s="47"/>
      <c r="QQJ35" s="47"/>
      <c r="QQK35" s="47"/>
      <c r="QQL35" s="47"/>
      <c r="QQM35" s="47"/>
      <c r="QQN35" s="47"/>
      <c r="QQO35" s="47"/>
      <c r="QQP35" s="47"/>
      <c r="QQQ35" s="47"/>
      <c r="QQR35" s="47"/>
      <c r="QQS35" s="47"/>
      <c r="QQT35" s="47"/>
      <c r="QQU35" s="47"/>
      <c r="QQV35" s="47"/>
      <c r="QQW35" s="47"/>
      <c r="QQX35" s="47"/>
      <c r="QQY35" s="47"/>
      <c r="QQZ35" s="47"/>
      <c r="QRA35" s="47"/>
      <c r="QRB35" s="47"/>
      <c r="QRC35" s="47"/>
      <c r="QRD35" s="47"/>
      <c r="QRE35" s="47"/>
      <c r="QRF35" s="47"/>
      <c r="QRG35" s="47"/>
      <c r="QRH35" s="47"/>
      <c r="QRI35" s="47"/>
      <c r="QRJ35" s="47"/>
      <c r="QRK35" s="47"/>
      <c r="QRL35" s="47"/>
      <c r="QRM35" s="47"/>
      <c r="QRN35" s="47"/>
      <c r="QRO35" s="47"/>
      <c r="QRP35" s="47"/>
      <c r="QRQ35" s="47"/>
      <c r="QRR35" s="47"/>
      <c r="QRS35" s="47"/>
      <c r="QRT35" s="47"/>
      <c r="QRU35" s="47"/>
      <c r="QRV35" s="47"/>
      <c r="QRW35" s="47"/>
      <c r="QRX35" s="47"/>
      <c r="QRY35" s="47"/>
      <c r="QRZ35" s="47"/>
      <c r="QSA35" s="47"/>
      <c r="QSB35" s="47"/>
      <c r="QSC35" s="47"/>
      <c r="QSD35" s="47"/>
      <c r="QSE35" s="47"/>
      <c r="QSF35" s="47"/>
      <c r="QSG35" s="47"/>
      <c r="QSH35" s="47"/>
      <c r="QSI35" s="47"/>
      <c r="QSJ35" s="47"/>
      <c r="QSK35" s="47"/>
      <c r="QSL35" s="47"/>
      <c r="QSM35" s="47"/>
      <c r="QSN35" s="47"/>
      <c r="QSO35" s="47"/>
      <c r="QSP35" s="47"/>
      <c r="QSQ35" s="47"/>
      <c r="QSR35" s="47"/>
      <c r="QSS35" s="47"/>
      <c r="QST35" s="47"/>
      <c r="QSU35" s="47"/>
      <c r="QSV35" s="47"/>
      <c r="QSW35" s="47"/>
      <c r="QSX35" s="47"/>
      <c r="QSY35" s="47"/>
      <c r="QSZ35" s="47"/>
      <c r="QTA35" s="47"/>
      <c r="QTB35" s="47"/>
      <c r="QTC35" s="47"/>
      <c r="QTD35" s="47"/>
      <c r="QTE35" s="47"/>
      <c r="QTF35" s="47"/>
      <c r="QTG35" s="47"/>
      <c r="QTH35" s="47"/>
      <c r="QTI35" s="47"/>
      <c r="QTJ35" s="47"/>
      <c r="QTK35" s="47"/>
      <c r="QTL35" s="47"/>
      <c r="QTM35" s="47"/>
      <c r="QTN35" s="47"/>
      <c r="QTO35" s="47"/>
      <c r="QTP35" s="47"/>
      <c r="QTQ35" s="47"/>
      <c r="QTR35" s="47"/>
      <c r="QTS35" s="47"/>
      <c r="QTT35" s="47"/>
      <c r="QTU35" s="47"/>
      <c r="QTV35" s="47"/>
      <c r="QTW35" s="47"/>
      <c r="QTX35" s="47"/>
      <c r="QTY35" s="47"/>
      <c r="QTZ35" s="47"/>
      <c r="QUA35" s="47"/>
      <c r="QUB35" s="47"/>
      <c r="QUC35" s="47"/>
      <c r="QUD35" s="47"/>
      <c r="QUE35" s="47"/>
      <c r="QUF35" s="47"/>
      <c r="QUG35" s="47"/>
      <c r="QUH35" s="47"/>
      <c r="QUI35" s="47"/>
      <c r="QUJ35" s="47"/>
      <c r="QUK35" s="47"/>
      <c r="QUL35" s="47"/>
      <c r="QUM35" s="47"/>
      <c r="QUN35" s="47"/>
      <c r="QUO35" s="47"/>
      <c r="QUP35" s="47"/>
      <c r="QUQ35" s="47"/>
      <c r="QUR35" s="47"/>
      <c r="QUS35" s="47"/>
      <c r="QUT35" s="47"/>
      <c r="QUU35" s="47"/>
      <c r="QUV35" s="47"/>
      <c r="QUW35" s="47"/>
      <c r="QUX35" s="47"/>
      <c r="QUY35" s="47"/>
      <c r="QUZ35" s="47"/>
      <c r="QVA35" s="47"/>
      <c r="QVB35" s="47"/>
      <c r="QVC35" s="47"/>
      <c r="QVD35" s="47"/>
      <c r="QVE35" s="47"/>
      <c r="QVF35" s="47"/>
      <c r="QVG35" s="47"/>
      <c r="QVH35" s="47"/>
      <c r="QVI35" s="47"/>
      <c r="QVJ35" s="47"/>
      <c r="QVK35" s="47"/>
      <c r="QVL35" s="47"/>
      <c r="QVM35" s="47"/>
      <c r="QVN35" s="47"/>
      <c r="QVO35" s="47"/>
      <c r="QVP35" s="47"/>
      <c r="QVQ35" s="47"/>
      <c r="QVR35" s="47"/>
      <c r="QVS35" s="47"/>
      <c r="QVT35" s="47"/>
      <c r="QVU35" s="47"/>
      <c r="QVV35" s="47"/>
      <c r="QVW35" s="47"/>
      <c r="QVX35" s="47"/>
      <c r="QVY35" s="47"/>
      <c r="QVZ35" s="47"/>
      <c r="QWA35" s="47"/>
      <c r="QWB35" s="47"/>
      <c r="QWC35" s="47"/>
      <c r="QWD35" s="47"/>
      <c r="QWE35" s="47"/>
      <c r="QWF35" s="47"/>
      <c r="QWG35" s="47"/>
      <c r="QWH35" s="47"/>
      <c r="QWI35" s="47"/>
      <c r="QWJ35" s="47"/>
      <c r="QWK35" s="47"/>
      <c r="QWL35" s="47"/>
      <c r="QWM35" s="47"/>
      <c r="QWN35" s="47"/>
      <c r="QWO35" s="47"/>
      <c r="QWP35" s="47"/>
      <c r="QWQ35" s="47"/>
      <c r="QWR35" s="47"/>
      <c r="QWS35" s="47"/>
      <c r="QWT35" s="47"/>
      <c r="QWU35" s="47"/>
      <c r="QWV35" s="47"/>
      <c r="QWW35" s="47"/>
      <c r="QWX35" s="47"/>
      <c r="QWY35" s="47"/>
      <c r="QWZ35" s="47"/>
      <c r="QXA35" s="47"/>
      <c r="QXB35" s="47"/>
      <c r="QXC35" s="47"/>
      <c r="QXD35" s="47"/>
      <c r="QXE35" s="47"/>
      <c r="QXF35" s="47"/>
      <c r="QXG35" s="47"/>
      <c r="QXH35" s="47"/>
      <c r="QXI35" s="47"/>
      <c r="QXJ35" s="47"/>
      <c r="QXK35" s="47"/>
      <c r="QXL35" s="47"/>
      <c r="QXM35" s="47"/>
      <c r="QXN35" s="47"/>
      <c r="QXO35" s="47"/>
      <c r="QXP35" s="47"/>
      <c r="QXQ35" s="47"/>
      <c r="QXR35" s="47"/>
      <c r="QXS35" s="47"/>
      <c r="QXT35" s="47"/>
      <c r="QXU35" s="47"/>
      <c r="QXV35" s="47"/>
      <c r="QXW35" s="47"/>
      <c r="QXX35" s="47"/>
      <c r="QXY35" s="47"/>
      <c r="QXZ35" s="47"/>
      <c r="QYA35" s="47"/>
      <c r="QYB35" s="47"/>
      <c r="QYC35" s="47"/>
      <c r="QYD35" s="47"/>
      <c r="QYE35" s="47"/>
      <c r="QYF35" s="47"/>
      <c r="QYG35" s="47"/>
      <c r="QYH35" s="47"/>
      <c r="QYI35" s="47"/>
      <c r="QYJ35" s="47"/>
      <c r="QYK35" s="47"/>
      <c r="QYL35" s="47"/>
      <c r="QYM35" s="47"/>
      <c r="QYN35" s="47"/>
      <c r="QYO35" s="47"/>
      <c r="QYP35" s="47"/>
      <c r="QYQ35" s="47"/>
      <c r="QYR35" s="47"/>
      <c r="QYS35" s="47"/>
      <c r="QYT35" s="47"/>
      <c r="QYU35" s="47"/>
      <c r="QYV35" s="47"/>
      <c r="QYW35" s="47"/>
      <c r="QYX35" s="47"/>
      <c r="QYY35" s="47"/>
      <c r="QYZ35" s="47"/>
      <c r="QZA35" s="47"/>
      <c r="QZB35" s="47"/>
      <c r="QZC35" s="47"/>
      <c r="QZD35" s="47"/>
      <c r="QZE35" s="47"/>
      <c r="QZF35" s="47"/>
      <c r="QZG35" s="47"/>
      <c r="QZH35" s="47"/>
      <c r="QZI35" s="47"/>
      <c r="QZJ35" s="47"/>
      <c r="QZK35" s="47"/>
      <c r="QZL35" s="47"/>
      <c r="QZM35" s="47"/>
      <c r="QZN35" s="47"/>
      <c r="QZO35" s="47"/>
      <c r="QZP35" s="47"/>
      <c r="QZQ35" s="47"/>
      <c r="QZR35" s="47"/>
      <c r="QZS35" s="47"/>
      <c r="QZT35" s="47"/>
      <c r="QZU35" s="47"/>
      <c r="QZV35" s="47"/>
      <c r="QZW35" s="47"/>
      <c r="QZX35" s="47"/>
      <c r="QZY35" s="47"/>
      <c r="QZZ35" s="47"/>
      <c r="RAA35" s="47"/>
      <c r="RAB35" s="47"/>
      <c r="RAC35" s="47"/>
      <c r="RAD35" s="47"/>
      <c r="RAE35" s="47"/>
      <c r="RAF35" s="47"/>
      <c r="RAG35" s="47"/>
      <c r="RAH35" s="47"/>
      <c r="RAI35" s="47"/>
      <c r="RAJ35" s="47"/>
      <c r="RAK35" s="47"/>
      <c r="RAL35" s="47"/>
      <c r="RAM35" s="47"/>
      <c r="RAN35" s="47"/>
      <c r="RAO35" s="47"/>
      <c r="RAP35" s="47"/>
      <c r="RAQ35" s="47"/>
      <c r="RAR35" s="47"/>
      <c r="RAS35" s="47"/>
      <c r="RAT35" s="47"/>
      <c r="RAU35" s="47"/>
      <c r="RAV35" s="47"/>
      <c r="RAW35" s="47"/>
      <c r="RAX35" s="47"/>
      <c r="RAY35" s="47"/>
      <c r="RAZ35" s="47"/>
      <c r="RBA35" s="47"/>
      <c r="RBB35" s="47"/>
      <c r="RBC35" s="47"/>
      <c r="RBD35" s="47"/>
      <c r="RBE35" s="47"/>
      <c r="RBF35" s="47"/>
      <c r="RBG35" s="47"/>
      <c r="RBH35" s="47"/>
      <c r="RBI35" s="47"/>
      <c r="RBJ35" s="47"/>
      <c r="RBK35" s="47"/>
      <c r="RBL35" s="47"/>
      <c r="RBM35" s="47"/>
      <c r="RBN35" s="47"/>
      <c r="RBO35" s="47"/>
      <c r="RBP35" s="47"/>
      <c r="RBQ35" s="47"/>
      <c r="RBR35" s="47"/>
      <c r="RBS35" s="47"/>
      <c r="RBT35" s="47"/>
      <c r="RBU35" s="47"/>
      <c r="RBV35" s="47"/>
      <c r="RBW35" s="47"/>
      <c r="RBX35" s="47"/>
      <c r="RBY35" s="47"/>
      <c r="RBZ35" s="47"/>
      <c r="RCA35" s="47"/>
      <c r="RCB35" s="47"/>
      <c r="RCC35" s="47"/>
      <c r="RCD35" s="47"/>
      <c r="RCE35" s="47"/>
      <c r="RCF35" s="47"/>
      <c r="RCG35" s="47"/>
      <c r="RCH35" s="47"/>
      <c r="RCI35" s="47"/>
      <c r="RCJ35" s="47"/>
      <c r="RCK35" s="47"/>
      <c r="RCL35" s="47"/>
      <c r="RCM35" s="47"/>
      <c r="RCN35" s="47"/>
      <c r="RCO35" s="47"/>
      <c r="RCP35" s="47"/>
      <c r="RCQ35" s="47"/>
      <c r="RCR35" s="47"/>
      <c r="RCS35" s="47"/>
      <c r="RCT35" s="47"/>
      <c r="RCU35" s="47"/>
      <c r="RCV35" s="47"/>
      <c r="RCW35" s="47"/>
      <c r="RCX35" s="47"/>
      <c r="RCY35" s="47"/>
      <c r="RCZ35" s="47"/>
      <c r="RDA35" s="47"/>
      <c r="RDB35" s="47"/>
      <c r="RDC35" s="47"/>
      <c r="RDD35" s="47"/>
      <c r="RDE35" s="47"/>
      <c r="RDF35" s="47"/>
      <c r="RDG35" s="47"/>
      <c r="RDH35" s="47"/>
      <c r="RDI35" s="47"/>
      <c r="RDJ35" s="47"/>
      <c r="RDK35" s="47"/>
      <c r="RDL35" s="47"/>
      <c r="RDM35" s="47"/>
      <c r="RDN35" s="47"/>
      <c r="RDO35" s="47"/>
      <c r="RDP35" s="47"/>
      <c r="RDQ35" s="47"/>
      <c r="RDR35" s="47"/>
      <c r="RDS35" s="47"/>
      <c r="RDT35" s="47"/>
      <c r="RDU35" s="47"/>
      <c r="RDV35" s="47"/>
      <c r="RDW35" s="47"/>
      <c r="RDX35" s="47"/>
      <c r="RDY35" s="47"/>
      <c r="RDZ35" s="47"/>
      <c r="REA35" s="47"/>
      <c r="REB35" s="47"/>
      <c r="REC35" s="47"/>
      <c r="RED35" s="47"/>
      <c r="REE35" s="47"/>
      <c r="REF35" s="47"/>
      <c r="REG35" s="47"/>
      <c r="REH35" s="47"/>
      <c r="REI35" s="47"/>
      <c r="REJ35" s="47"/>
      <c r="REK35" s="47"/>
      <c r="REL35" s="47"/>
      <c r="REM35" s="47"/>
      <c r="REN35" s="47"/>
      <c r="REO35" s="47"/>
      <c r="REP35" s="47"/>
      <c r="REQ35" s="47"/>
      <c r="RER35" s="47"/>
      <c r="RES35" s="47"/>
      <c r="RET35" s="47"/>
      <c r="REU35" s="47"/>
      <c r="REV35" s="47"/>
      <c r="REW35" s="47"/>
      <c r="REX35" s="47"/>
      <c r="REY35" s="47"/>
      <c r="REZ35" s="47"/>
      <c r="RFA35" s="47"/>
      <c r="RFB35" s="47"/>
      <c r="RFC35" s="47"/>
      <c r="RFD35" s="47"/>
      <c r="RFE35" s="47"/>
      <c r="RFF35" s="47"/>
      <c r="RFG35" s="47"/>
      <c r="RFH35" s="47"/>
      <c r="RFI35" s="47"/>
      <c r="RFJ35" s="47"/>
      <c r="RFK35" s="47"/>
      <c r="RFL35" s="47"/>
      <c r="RFM35" s="47"/>
      <c r="RFN35" s="47"/>
      <c r="RFO35" s="47"/>
      <c r="RFP35" s="47"/>
      <c r="RFQ35" s="47"/>
      <c r="RFR35" s="47"/>
      <c r="RFS35" s="47"/>
      <c r="RFT35" s="47"/>
      <c r="RFU35" s="47"/>
      <c r="RFV35" s="47"/>
      <c r="RFW35" s="47"/>
      <c r="RFX35" s="47"/>
      <c r="RFY35" s="47"/>
      <c r="RFZ35" s="47"/>
      <c r="RGA35" s="47"/>
      <c r="RGB35" s="47"/>
      <c r="RGC35" s="47"/>
      <c r="RGD35" s="47"/>
      <c r="RGE35" s="47"/>
      <c r="RGF35" s="47"/>
      <c r="RGG35" s="47"/>
      <c r="RGH35" s="47"/>
      <c r="RGI35" s="47"/>
      <c r="RGJ35" s="47"/>
      <c r="RGK35" s="47"/>
      <c r="RGL35" s="47"/>
      <c r="RGM35" s="47"/>
      <c r="RGN35" s="47"/>
      <c r="RGO35" s="47"/>
      <c r="RGP35" s="47"/>
      <c r="RGQ35" s="47"/>
      <c r="RGR35" s="47"/>
      <c r="RGS35" s="47"/>
      <c r="RGT35" s="47"/>
      <c r="RGU35" s="47"/>
      <c r="RGV35" s="47"/>
      <c r="RGW35" s="47"/>
      <c r="RGX35" s="47"/>
      <c r="RGY35" s="47"/>
      <c r="RGZ35" s="47"/>
      <c r="RHA35" s="47"/>
      <c r="RHB35" s="47"/>
      <c r="RHC35" s="47"/>
      <c r="RHD35" s="47"/>
      <c r="RHE35" s="47"/>
      <c r="RHF35" s="47"/>
      <c r="RHG35" s="47"/>
      <c r="RHH35" s="47"/>
      <c r="RHI35" s="47"/>
      <c r="RHJ35" s="47"/>
      <c r="RHK35" s="47"/>
      <c r="RHL35" s="47"/>
      <c r="RHM35" s="47"/>
      <c r="RHN35" s="47"/>
      <c r="RHO35" s="47"/>
      <c r="RHP35" s="47"/>
      <c r="RHQ35" s="47"/>
      <c r="RHR35" s="47"/>
      <c r="RHS35" s="47"/>
      <c r="RHT35" s="47"/>
      <c r="RHU35" s="47"/>
      <c r="RHV35" s="47"/>
      <c r="RHW35" s="47"/>
      <c r="RHX35" s="47"/>
      <c r="RHY35" s="47"/>
      <c r="RHZ35" s="47"/>
      <c r="RIA35" s="47"/>
      <c r="RIB35" s="47"/>
      <c r="RIC35" s="47"/>
      <c r="RID35" s="47"/>
      <c r="RIE35" s="47"/>
      <c r="RIF35" s="47"/>
      <c r="RIG35" s="47"/>
      <c r="RIH35" s="47"/>
      <c r="RII35" s="47"/>
      <c r="RIJ35" s="47"/>
      <c r="RIK35" s="47"/>
      <c r="RIL35" s="47"/>
      <c r="RIM35" s="47"/>
      <c r="RIN35" s="47"/>
      <c r="RIO35" s="47"/>
      <c r="RIP35" s="47"/>
      <c r="RIQ35" s="47"/>
      <c r="RIR35" s="47"/>
      <c r="RIS35" s="47"/>
      <c r="RIT35" s="47"/>
      <c r="RIU35" s="47"/>
      <c r="RIV35" s="47"/>
      <c r="RIW35" s="47"/>
      <c r="RIX35" s="47"/>
      <c r="RIY35" s="47"/>
      <c r="RIZ35" s="47"/>
      <c r="RJA35" s="47"/>
      <c r="RJB35" s="47"/>
      <c r="RJC35" s="47"/>
      <c r="RJD35" s="47"/>
      <c r="RJE35" s="47"/>
      <c r="RJF35" s="47"/>
      <c r="RJG35" s="47"/>
      <c r="RJH35" s="47"/>
      <c r="RJI35" s="47"/>
      <c r="RJJ35" s="47"/>
      <c r="RJK35" s="47"/>
      <c r="RJL35" s="47"/>
      <c r="RJM35" s="47"/>
      <c r="RJN35" s="47"/>
      <c r="RJO35" s="47"/>
      <c r="RJP35" s="47"/>
      <c r="RJQ35" s="47"/>
      <c r="RJR35" s="47"/>
      <c r="RJS35" s="47"/>
      <c r="RJT35" s="47"/>
      <c r="RJU35" s="47"/>
      <c r="RJV35" s="47"/>
      <c r="RJW35" s="47"/>
      <c r="RJX35" s="47"/>
      <c r="RJY35" s="47"/>
      <c r="RJZ35" s="47"/>
      <c r="RKA35" s="47"/>
      <c r="RKB35" s="47"/>
      <c r="RKC35" s="47"/>
      <c r="RKD35" s="47"/>
      <c r="RKE35" s="47"/>
      <c r="RKF35" s="47"/>
      <c r="RKG35" s="47"/>
      <c r="RKH35" s="47"/>
      <c r="RKI35" s="47"/>
      <c r="RKJ35" s="47"/>
      <c r="RKK35" s="47"/>
      <c r="RKL35" s="47"/>
      <c r="RKM35" s="47"/>
      <c r="RKN35" s="47"/>
      <c r="RKO35" s="47"/>
      <c r="RKP35" s="47"/>
      <c r="RKQ35" s="47"/>
      <c r="RKR35" s="47"/>
      <c r="RKS35" s="47"/>
      <c r="RKT35" s="47"/>
      <c r="RKU35" s="47"/>
      <c r="RKV35" s="47"/>
      <c r="RKW35" s="47"/>
      <c r="RKX35" s="47"/>
      <c r="RKY35" s="47"/>
      <c r="RKZ35" s="47"/>
      <c r="RLA35" s="47"/>
      <c r="RLB35" s="47"/>
      <c r="RLC35" s="47"/>
      <c r="RLD35" s="47"/>
      <c r="RLE35" s="47"/>
      <c r="RLF35" s="47"/>
      <c r="RLG35" s="47"/>
      <c r="RLH35" s="47"/>
      <c r="RLI35" s="47"/>
      <c r="RLJ35" s="47"/>
      <c r="RLK35" s="47"/>
      <c r="RLL35" s="47"/>
      <c r="RLM35" s="47"/>
      <c r="RLN35" s="47"/>
      <c r="RLO35" s="47"/>
      <c r="RLP35" s="47"/>
      <c r="RLQ35" s="47"/>
      <c r="RLR35" s="47"/>
      <c r="RLS35" s="47"/>
      <c r="RLT35" s="47"/>
      <c r="RLU35" s="47"/>
      <c r="RLV35" s="47"/>
      <c r="RLW35" s="47"/>
      <c r="RLX35" s="47"/>
      <c r="RLY35" s="47"/>
      <c r="RLZ35" s="47"/>
      <c r="RMA35" s="47"/>
      <c r="RMB35" s="47"/>
      <c r="RMC35" s="47"/>
      <c r="RMD35" s="47"/>
      <c r="RME35" s="47"/>
      <c r="RMF35" s="47"/>
      <c r="RMG35" s="47"/>
      <c r="RMH35" s="47"/>
      <c r="RMI35" s="47"/>
      <c r="RMJ35" s="47"/>
      <c r="RMK35" s="47"/>
      <c r="RML35" s="47"/>
      <c r="RMM35" s="47"/>
      <c r="RMN35" s="47"/>
      <c r="RMO35" s="47"/>
      <c r="RMP35" s="47"/>
      <c r="RMQ35" s="47"/>
      <c r="RMR35" s="47"/>
      <c r="RMS35" s="47"/>
      <c r="RMT35" s="47"/>
      <c r="RMU35" s="47"/>
      <c r="RMV35" s="47"/>
      <c r="RMW35" s="47"/>
      <c r="RMX35" s="47"/>
      <c r="RMY35" s="47"/>
      <c r="RMZ35" s="47"/>
      <c r="RNA35" s="47"/>
      <c r="RNB35" s="47"/>
      <c r="RNC35" s="47"/>
      <c r="RND35" s="47"/>
      <c r="RNE35" s="47"/>
      <c r="RNF35" s="47"/>
      <c r="RNG35" s="47"/>
      <c r="RNH35" s="47"/>
      <c r="RNI35" s="47"/>
      <c r="RNJ35" s="47"/>
      <c r="RNK35" s="47"/>
      <c r="RNL35" s="47"/>
      <c r="RNM35" s="47"/>
      <c r="RNN35" s="47"/>
      <c r="RNO35" s="47"/>
      <c r="RNP35" s="47"/>
      <c r="RNQ35" s="47"/>
      <c r="RNR35" s="47"/>
      <c r="RNS35" s="47"/>
      <c r="RNT35" s="47"/>
      <c r="RNU35" s="47"/>
      <c r="RNV35" s="47"/>
      <c r="RNW35" s="47"/>
      <c r="RNX35" s="47"/>
      <c r="RNY35" s="47"/>
      <c r="RNZ35" s="47"/>
      <c r="ROA35" s="47"/>
      <c r="ROB35" s="47"/>
      <c r="ROC35" s="47"/>
      <c r="ROD35" s="47"/>
      <c r="ROE35" s="47"/>
      <c r="ROF35" s="47"/>
      <c r="ROG35" s="47"/>
      <c r="ROH35" s="47"/>
      <c r="ROI35" s="47"/>
      <c r="ROJ35" s="47"/>
      <c r="ROK35" s="47"/>
      <c r="ROL35" s="47"/>
      <c r="ROM35" s="47"/>
      <c r="RON35" s="47"/>
      <c r="ROO35" s="47"/>
      <c r="ROP35" s="47"/>
      <c r="ROQ35" s="47"/>
      <c r="ROR35" s="47"/>
      <c r="ROS35" s="47"/>
      <c r="ROT35" s="47"/>
      <c r="ROU35" s="47"/>
      <c r="ROV35" s="47"/>
      <c r="ROW35" s="47"/>
      <c r="ROX35" s="47"/>
      <c r="ROY35" s="47"/>
      <c r="ROZ35" s="47"/>
      <c r="RPA35" s="47"/>
      <c r="RPB35" s="47"/>
      <c r="RPC35" s="47"/>
      <c r="RPD35" s="47"/>
      <c r="RPE35" s="47"/>
      <c r="RPF35" s="47"/>
      <c r="RPG35" s="47"/>
      <c r="RPH35" s="47"/>
      <c r="RPI35" s="47"/>
      <c r="RPJ35" s="47"/>
      <c r="RPK35" s="47"/>
      <c r="RPL35" s="47"/>
      <c r="RPM35" s="47"/>
      <c r="RPN35" s="47"/>
      <c r="RPO35" s="47"/>
      <c r="RPP35" s="47"/>
      <c r="RPQ35" s="47"/>
      <c r="RPR35" s="47"/>
      <c r="RPS35" s="47"/>
      <c r="RPT35" s="47"/>
      <c r="RPU35" s="47"/>
      <c r="RPV35" s="47"/>
      <c r="RPW35" s="47"/>
      <c r="RPX35" s="47"/>
      <c r="RPY35" s="47"/>
      <c r="RPZ35" s="47"/>
      <c r="RQA35" s="47"/>
      <c r="RQB35" s="47"/>
      <c r="RQC35" s="47"/>
      <c r="RQD35" s="47"/>
      <c r="RQE35" s="47"/>
      <c r="RQF35" s="47"/>
      <c r="RQG35" s="47"/>
      <c r="RQH35" s="47"/>
      <c r="RQI35" s="47"/>
      <c r="RQJ35" s="47"/>
      <c r="RQK35" s="47"/>
      <c r="RQL35" s="47"/>
      <c r="RQM35" s="47"/>
      <c r="RQN35" s="47"/>
      <c r="RQO35" s="47"/>
      <c r="RQP35" s="47"/>
      <c r="RQQ35" s="47"/>
      <c r="RQR35" s="47"/>
      <c r="RQS35" s="47"/>
      <c r="RQT35" s="47"/>
      <c r="RQU35" s="47"/>
      <c r="RQV35" s="47"/>
      <c r="RQW35" s="47"/>
      <c r="RQX35" s="47"/>
      <c r="RQY35" s="47"/>
      <c r="RQZ35" s="47"/>
      <c r="RRA35" s="47"/>
      <c r="RRB35" s="47"/>
      <c r="RRC35" s="47"/>
      <c r="RRD35" s="47"/>
      <c r="RRE35" s="47"/>
      <c r="RRF35" s="47"/>
      <c r="RRG35" s="47"/>
      <c r="RRH35" s="47"/>
      <c r="RRI35" s="47"/>
      <c r="RRJ35" s="47"/>
      <c r="RRK35" s="47"/>
      <c r="RRL35" s="47"/>
      <c r="RRM35" s="47"/>
      <c r="RRN35" s="47"/>
      <c r="RRO35" s="47"/>
      <c r="RRP35" s="47"/>
      <c r="RRQ35" s="47"/>
      <c r="RRR35" s="47"/>
      <c r="RRS35" s="47"/>
      <c r="RRT35" s="47"/>
      <c r="RRU35" s="47"/>
      <c r="RRV35" s="47"/>
      <c r="RRW35" s="47"/>
      <c r="RRX35" s="47"/>
      <c r="RRY35" s="47"/>
      <c r="RRZ35" s="47"/>
      <c r="RSA35" s="47"/>
      <c r="RSB35" s="47"/>
      <c r="RSC35" s="47"/>
      <c r="RSD35" s="47"/>
      <c r="RSE35" s="47"/>
      <c r="RSF35" s="47"/>
      <c r="RSG35" s="47"/>
      <c r="RSH35" s="47"/>
      <c r="RSI35" s="47"/>
      <c r="RSJ35" s="47"/>
      <c r="RSK35" s="47"/>
      <c r="RSL35" s="47"/>
      <c r="RSM35" s="47"/>
      <c r="RSN35" s="47"/>
      <c r="RSO35" s="47"/>
      <c r="RSP35" s="47"/>
      <c r="RSQ35" s="47"/>
      <c r="RSR35" s="47"/>
      <c r="RSS35" s="47"/>
      <c r="RST35" s="47"/>
      <c r="RSU35" s="47"/>
      <c r="RSV35" s="47"/>
      <c r="RSW35" s="47"/>
      <c r="RSX35" s="47"/>
      <c r="RSY35" s="47"/>
      <c r="RSZ35" s="47"/>
      <c r="RTA35" s="47"/>
      <c r="RTB35" s="47"/>
      <c r="RTC35" s="47"/>
      <c r="RTD35" s="47"/>
      <c r="RTE35" s="47"/>
      <c r="RTF35" s="47"/>
      <c r="RTG35" s="47"/>
      <c r="RTH35" s="47"/>
      <c r="RTI35" s="47"/>
      <c r="RTJ35" s="47"/>
      <c r="RTK35" s="47"/>
      <c r="RTL35" s="47"/>
      <c r="RTM35" s="47"/>
      <c r="RTN35" s="47"/>
      <c r="RTO35" s="47"/>
      <c r="RTP35" s="47"/>
      <c r="RTQ35" s="47"/>
      <c r="RTR35" s="47"/>
      <c r="RTS35" s="47"/>
      <c r="RTT35" s="47"/>
      <c r="RTU35" s="47"/>
      <c r="RTV35" s="47"/>
      <c r="RTW35" s="47"/>
      <c r="RTX35" s="47"/>
      <c r="RTY35" s="47"/>
      <c r="RTZ35" s="47"/>
      <c r="RUA35" s="47"/>
      <c r="RUB35" s="47"/>
      <c r="RUC35" s="47"/>
      <c r="RUD35" s="47"/>
      <c r="RUE35" s="47"/>
      <c r="RUF35" s="47"/>
      <c r="RUG35" s="47"/>
      <c r="RUH35" s="47"/>
      <c r="RUI35" s="47"/>
      <c r="RUJ35" s="47"/>
      <c r="RUK35" s="47"/>
      <c r="RUL35" s="47"/>
      <c r="RUM35" s="47"/>
      <c r="RUN35" s="47"/>
      <c r="RUO35" s="47"/>
      <c r="RUP35" s="47"/>
      <c r="RUQ35" s="47"/>
      <c r="RUR35" s="47"/>
      <c r="RUS35" s="47"/>
      <c r="RUT35" s="47"/>
      <c r="RUU35" s="47"/>
      <c r="RUV35" s="47"/>
      <c r="RUW35" s="47"/>
      <c r="RUX35" s="47"/>
      <c r="RUY35" s="47"/>
      <c r="RUZ35" s="47"/>
      <c r="RVA35" s="47"/>
      <c r="RVB35" s="47"/>
      <c r="RVC35" s="47"/>
      <c r="RVD35" s="47"/>
      <c r="RVE35" s="47"/>
      <c r="RVF35" s="47"/>
      <c r="RVG35" s="47"/>
      <c r="RVH35" s="47"/>
      <c r="RVI35" s="47"/>
      <c r="RVJ35" s="47"/>
      <c r="RVK35" s="47"/>
      <c r="RVL35" s="47"/>
      <c r="RVM35" s="47"/>
      <c r="RVN35" s="47"/>
      <c r="RVO35" s="47"/>
      <c r="RVP35" s="47"/>
      <c r="RVQ35" s="47"/>
      <c r="RVR35" s="47"/>
      <c r="RVS35" s="47"/>
      <c r="RVT35" s="47"/>
      <c r="RVU35" s="47"/>
      <c r="RVV35" s="47"/>
      <c r="RVW35" s="47"/>
      <c r="RVX35" s="47"/>
      <c r="RVY35" s="47"/>
      <c r="RVZ35" s="47"/>
      <c r="RWA35" s="47"/>
      <c r="RWB35" s="47"/>
      <c r="RWC35" s="47"/>
      <c r="RWD35" s="47"/>
      <c r="RWE35" s="47"/>
      <c r="RWF35" s="47"/>
      <c r="RWG35" s="47"/>
      <c r="RWH35" s="47"/>
      <c r="RWI35" s="47"/>
      <c r="RWJ35" s="47"/>
      <c r="RWK35" s="47"/>
      <c r="RWL35" s="47"/>
      <c r="RWM35" s="47"/>
      <c r="RWN35" s="47"/>
      <c r="RWO35" s="47"/>
      <c r="RWP35" s="47"/>
      <c r="RWQ35" s="47"/>
      <c r="RWR35" s="47"/>
      <c r="RWS35" s="47"/>
      <c r="RWT35" s="47"/>
      <c r="RWU35" s="47"/>
      <c r="RWV35" s="47"/>
      <c r="RWW35" s="47"/>
      <c r="RWX35" s="47"/>
      <c r="RWY35" s="47"/>
      <c r="RWZ35" s="47"/>
      <c r="RXA35" s="47"/>
      <c r="RXB35" s="47"/>
      <c r="RXC35" s="47"/>
      <c r="RXD35" s="47"/>
      <c r="RXE35" s="47"/>
      <c r="RXF35" s="47"/>
      <c r="RXG35" s="47"/>
      <c r="RXH35" s="47"/>
      <c r="RXI35" s="47"/>
      <c r="RXJ35" s="47"/>
      <c r="RXK35" s="47"/>
      <c r="RXL35" s="47"/>
      <c r="RXM35" s="47"/>
      <c r="RXN35" s="47"/>
      <c r="RXO35" s="47"/>
      <c r="RXP35" s="47"/>
      <c r="RXQ35" s="47"/>
      <c r="RXR35" s="47"/>
      <c r="RXS35" s="47"/>
      <c r="RXT35" s="47"/>
      <c r="RXU35" s="47"/>
      <c r="RXV35" s="47"/>
      <c r="RXW35" s="47"/>
      <c r="RXX35" s="47"/>
      <c r="RXY35" s="47"/>
      <c r="RXZ35" s="47"/>
      <c r="RYA35" s="47"/>
      <c r="RYB35" s="47"/>
      <c r="RYC35" s="47"/>
      <c r="RYD35" s="47"/>
      <c r="RYE35" s="47"/>
      <c r="RYF35" s="47"/>
      <c r="RYG35" s="47"/>
      <c r="RYH35" s="47"/>
      <c r="RYI35" s="47"/>
      <c r="RYJ35" s="47"/>
      <c r="RYK35" s="47"/>
      <c r="RYL35" s="47"/>
      <c r="RYM35" s="47"/>
      <c r="RYN35" s="47"/>
      <c r="RYO35" s="47"/>
      <c r="RYP35" s="47"/>
      <c r="RYQ35" s="47"/>
      <c r="RYR35" s="47"/>
      <c r="RYS35" s="47"/>
      <c r="RYT35" s="47"/>
      <c r="RYU35" s="47"/>
      <c r="RYV35" s="47"/>
      <c r="RYW35" s="47"/>
      <c r="RYX35" s="47"/>
      <c r="RYY35" s="47"/>
      <c r="RYZ35" s="47"/>
      <c r="RZA35" s="47"/>
      <c r="RZB35" s="47"/>
      <c r="RZC35" s="47"/>
      <c r="RZD35" s="47"/>
      <c r="RZE35" s="47"/>
      <c r="RZF35" s="47"/>
      <c r="RZG35" s="47"/>
      <c r="RZH35" s="47"/>
      <c r="RZI35" s="47"/>
      <c r="RZJ35" s="47"/>
      <c r="RZK35" s="47"/>
      <c r="RZL35" s="47"/>
      <c r="RZM35" s="47"/>
      <c r="RZN35" s="47"/>
      <c r="RZO35" s="47"/>
      <c r="RZP35" s="47"/>
      <c r="RZQ35" s="47"/>
      <c r="RZR35" s="47"/>
      <c r="RZS35" s="47"/>
      <c r="RZT35" s="47"/>
      <c r="RZU35" s="47"/>
      <c r="RZV35" s="47"/>
      <c r="RZW35" s="47"/>
      <c r="RZX35" s="47"/>
      <c r="RZY35" s="47"/>
      <c r="RZZ35" s="47"/>
      <c r="SAA35" s="47"/>
      <c r="SAB35" s="47"/>
      <c r="SAC35" s="47"/>
      <c r="SAD35" s="47"/>
      <c r="SAE35" s="47"/>
      <c r="SAF35" s="47"/>
      <c r="SAG35" s="47"/>
      <c r="SAH35" s="47"/>
      <c r="SAI35" s="47"/>
      <c r="SAJ35" s="47"/>
      <c r="SAK35" s="47"/>
      <c r="SAL35" s="47"/>
      <c r="SAM35" s="47"/>
      <c r="SAN35" s="47"/>
      <c r="SAO35" s="47"/>
      <c r="SAP35" s="47"/>
      <c r="SAQ35" s="47"/>
      <c r="SAR35" s="47"/>
      <c r="SAS35" s="47"/>
      <c r="SAT35" s="47"/>
      <c r="SAU35" s="47"/>
      <c r="SAV35" s="47"/>
      <c r="SAW35" s="47"/>
      <c r="SAX35" s="47"/>
      <c r="SAY35" s="47"/>
      <c r="SAZ35" s="47"/>
      <c r="SBA35" s="47"/>
      <c r="SBB35" s="47"/>
      <c r="SBC35" s="47"/>
      <c r="SBD35" s="47"/>
      <c r="SBE35" s="47"/>
      <c r="SBF35" s="47"/>
      <c r="SBG35" s="47"/>
      <c r="SBH35" s="47"/>
      <c r="SBI35" s="47"/>
      <c r="SBJ35" s="47"/>
      <c r="SBK35" s="47"/>
      <c r="SBL35" s="47"/>
      <c r="SBM35" s="47"/>
      <c r="SBN35" s="47"/>
      <c r="SBO35" s="47"/>
      <c r="SBP35" s="47"/>
      <c r="SBQ35" s="47"/>
      <c r="SBR35" s="47"/>
      <c r="SBS35" s="47"/>
      <c r="SBT35" s="47"/>
      <c r="SBU35" s="47"/>
      <c r="SBV35" s="47"/>
      <c r="SBW35" s="47"/>
      <c r="SBX35" s="47"/>
      <c r="SBY35" s="47"/>
      <c r="SBZ35" s="47"/>
      <c r="SCA35" s="47"/>
      <c r="SCB35" s="47"/>
      <c r="SCC35" s="47"/>
      <c r="SCD35" s="47"/>
      <c r="SCE35" s="47"/>
      <c r="SCF35" s="47"/>
      <c r="SCG35" s="47"/>
      <c r="SCH35" s="47"/>
      <c r="SCI35" s="47"/>
      <c r="SCJ35" s="47"/>
      <c r="SCK35" s="47"/>
      <c r="SCL35" s="47"/>
      <c r="SCM35" s="47"/>
      <c r="SCN35" s="47"/>
      <c r="SCO35" s="47"/>
      <c r="SCP35" s="47"/>
      <c r="SCQ35" s="47"/>
      <c r="SCR35" s="47"/>
      <c r="SCS35" s="47"/>
      <c r="SCT35" s="47"/>
      <c r="SCU35" s="47"/>
      <c r="SCV35" s="47"/>
      <c r="SCW35" s="47"/>
      <c r="SCX35" s="47"/>
      <c r="SCY35" s="47"/>
      <c r="SCZ35" s="47"/>
      <c r="SDA35" s="47"/>
      <c r="SDB35" s="47"/>
      <c r="SDC35" s="47"/>
      <c r="SDD35" s="47"/>
      <c r="SDE35" s="47"/>
      <c r="SDF35" s="47"/>
      <c r="SDG35" s="47"/>
      <c r="SDH35" s="47"/>
      <c r="SDI35" s="47"/>
      <c r="SDJ35" s="47"/>
      <c r="SDK35" s="47"/>
      <c r="SDL35" s="47"/>
      <c r="SDM35" s="47"/>
      <c r="SDN35" s="47"/>
      <c r="SDO35" s="47"/>
      <c r="SDP35" s="47"/>
      <c r="SDQ35" s="47"/>
      <c r="SDR35" s="47"/>
      <c r="SDS35" s="47"/>
      <c r="SDT35" s="47"/>
      <c r="SDU35" s="47"/>
      <c r="SDV35" s="47"/>
      <c r="SDW35" s="47"/>
      <c r="SDX35" s="47"/>
      <c r="SDY35" s="47"/>
      <c r="SDZ35" s="47"/>
      <c r="SEA35" s="47"/>
      <c r="SEB35" s="47"/>
      <c r="SEC35" s="47"/>
      <c r="SED35" s="47"/>
      <c r="SEE35" s="47"/>
      <c r="SEF35" s="47"/>
      <c r="SEG35" s="47"/>
      <c r="SEH35" s="47"/>
      <c r="SEI35" s="47"/>
      <c r="SEJ35" s="47"/>
      <c r="SEK35" s="47"/>
      <c r="SEL35" s="47"/>
      <c r="SEM35" s="47"/>
      <c r="SEN35" s="47"/>
      <c r="SEO35" s="47"/>
      <c r="SEP35" s="47"/>
      <c r="SEQ35" s="47"/>
      <c r="SER35" s="47"/>
      <c r="SES35" s="47"/>
      <c r="SET35" s="47"/>
      <c r="SEU35" s="47"/>
      <c r="SEV35" s="47"/>
      <c r="SEW35" s="47"/>
      <c r="SEX35" s="47"/>
      <c r="SEY35" s="47"/>
      <c r="SEZ35" s="47"/>
      <c r="SFA35" s="47"/>
      <c r="SFB35" s="47"/>
      <c r="SFC35" s="47"/>
      <c r="SFD35" s="47"/>
      <c r="SFE35" s="47"/>
      <c r="SFF35" s="47"/>
      <c r="SFG35" s="47"/>
      <c r="SFH35" s="47"/>
      <c r="SFI35" s="47"/>
      <c r="SFJ35" s="47"/>
      <c r="SFK35" s="47"/>
      <c r="SFL35" s="47"/>
      <c r="SFM35" s="47"/>
      <c r="SFN35" s="47"/>
      <c r="SFO35" s="47"/>
      <c r="SFP35" s="47"/>
      <c r="SFQ35" s="47"/>
      <c r="SFR35" s="47"/>
      <c r="SFS35" s="47"/>
      <c r="SFT35" s="47"/>
      <c r="SFU35" s="47"/>
      <c r="SFV35" s="47"/>
      <c r="SFW35" s="47"/>
      <c r="SFX35" s="47"/>
      <c r="SFY35" s="47"/>
      <c r="SFZ35" s="47"/>
      <c r="SGA35" s="47"/>
      <c r="SGB35" s="47"/>
      <c r="SGC35" s="47"/>
      <c r="SGD35" s="47"/>
      <c r="SGE35" s="47"/>
      <c r="SGF35" s="47"/>
      <c r="SGG35" s="47"/>
      <c r="SGH35" s="47"/>
      <c r="SGI35" s="47"/>
      <c r="SGJ35" s="47"/>
      <c r="SGK35" s="47"/>
      <c r="SGL35" s="47"/>
      <c r="SGM35" s="47"/>
      <c r="SGN35" s="47"/>
      <c r="SGO35" s="47"/>
      <c r="SGP35" s="47"/>
      <c r="SGQ35" s="47"/>
      <c r="SGR35" s="47"/>
      <c r="SGS35" s="47"/>
      <c r="SGT35" s="47"/>
      <c r="SGU35" s="47"/>
      <c r="SGV35" s="47"/>
      <c r="SGW35" s="47"/>
      <c r="SGX35" s="47"/>
      <c r="SGY35" s="47"/>
      <c r="SGZ35" s="47"/>
      <c r="SHA35" s="47"/>
      <c r="SHB35" s="47"/>
      <c r="SHC35" s="47"/>
      <c r="SHD35" s="47"/>
      <c r="SHE35" s="47"/>
      <c r="SHF35" s="47"/>
      <c r="SHG35" s="47"/>
      <c r="SHH35" s="47"/>
      <c r="SHI35" s="47"/>
      <c r="SHJ35" s="47"/>
      <c r="SHK35" s="47"/>
      <c r="SHL35" s="47"/>
      <c r="SHM35" s="47"/>
      <c r="SHN35" s="47"/>
      <c r="SHO35" s="47"/>
      <c r="SHP35" s="47"/>
      <c r="SHQ35" s="47"/>
      <c r="SHR35" s="47"/>
      <c r="SHS35" s="47"/>
      <c r="SHT35" s="47"/>
      <c r="SHU35" s="47"/>
      <c r="SHV35" s="47"/>
      <c r="SHW35" s="47"/>
      <c r="SHX35" s="47"/>
      <c r="SHY35" s="47"/>
      <c r="SHZ35" s="47"/>
      <c r="SIA35" s="47"/>
      <c r="SIB35" s="47"/>
      <c r="SIC35" s="47"/>
      <c r="SID35" s="47"/>
      <c r="SIE35" s="47"/>
      <c r="SIF35" s="47"/>
      <c r="SIG35" s="47"/>
      <c r="SIH35" s="47"/>
      <c r="SII35" s="47"/>
      <c r="SIJ35" s="47"/>
      <c r="SIK35" s="47"/>
      <c r="SIL35" s="47"/>
      <c r="SIM35" s="47"/>
      <c r="SIN35" s="47"/>
      <c r="SIO35" s="47"/>
      <c r="SIP35" s="47"/>
      <c r="SIQ35" s="47"/>
      <c r="SIR35" s="47"/>
      <c r="SIS35" s="47"/>
      <c r="SIT35" s="47"/>
      <c r="SIU35" s="47"/>
      <c r="SIV35" s="47"/>
      <c r="SIW35" s="47"/>
      <c r="SIX35" s="47"/>
      <c r="SIY35" s="47"/>
      <c r="SIZ35" s="47"/>
      <c r="SJA35" s="47"/>
      <c r="SJB35" s="47"/>
      <c r="SJC35" s="47"/>
      <c r="SJD35" s="47"/>
      <c r="SJE35" s="47"/>
      <c r="SJF35" s="47"/>
      <c r="SJG35" s="47"/>
      <c r="SJH35" s="47"/>
      <c r="SJI35" s="47"/>
      <c r="SJJ35" s="47"/>
      <c r="SJK35" s="47"/>
      <c r="SJL35" s="47"/>
      <c r="SJM35" s="47"/>
      <c r="SJN35" s="47"/>
      <c r="SJO35" s="47"/>
      <c r="SJP35" s="47"/>
      <c r="SJQ35" s="47"/>
      <c r="SJR35" s="47"/>
      <c r="SJS35" s="47"/>
      <c r="SJT35" s="47"/>
      <c r="SJU35" s="47"/>
      <c r="SJV35" s="47"/>
      <c r="SJW35" s="47"/>
      <c r="SJX35" s="47"/>
      <c r="SJY35" s="47"/>
      <c r="SJZ35" s="47"/>
      <c r="SKA35" s="47"/>
      <c r="SKB35" s="47"/>
      <c r="SKC35" s="47"/>
      <c r="SKD35" s="47"/>
      <c r="SKE35" s="47"/>
      <c r="SKF35" s="47"/>
      <c r="SKG35" s="47"/>
      <c r="SKH35" s="47"/>
      <c r="SKI35" s="47"/>
      <c r="SKJ35" s="47"/>
      <c r="SKK35" s="47"/>
      <c r="SKL35" s="47"/>
      <c r="SKM35" s="47"/>
      <c r="SKN35" s="47"/>
      <c r="SKO35" s="47"/>
      <c r="SKP35" s="47"/>
      <c r="SKQ35" s="47"/>
      <c r="SKR35" s="47"/>
      <c r="SKS35" s="47"/>
      <c r="SKT35" s="47"/>
      <c r="SKU35" s="47"/>
      <c r="SKV35" s="47"/>
      <c r="SKW35" s="47"/>
      <c r="SKX35" s="47"/>
      <c r="SKY35" s="47"/>
      <c r="SKZ35" s="47"/>
      <c r="SLA35" s="47"/>
      <c r="SLB35" s="47"/>
      <c r="SLC35" s="47"/>
      <c r="SLD35" s="47"/>
      <c r="SLE35" s="47"/>
      <c r="SLF35" s="47"/>
      <c r="SLG35" s="47"/>
      <c r="SLH35" s="47"/>
      <c r="SLI35" s="47"/>
      <c r="SLJ35" s="47"/>
      <c r="SLK35" s="47"/>
      <c r="SLL35" s="47"/>
      <c r="SLM35" s="47"/>
      <c r="SLN35" s="47"/>
      <c r="SLO35" s="47"/>
      <c r="SLP35" s="47"/>
      <c r="SLQ35" s="47"/>
      <c r="SLR35" s="47"/>
      <c r="SLS35" s="47"/>
      <c r="SLT35" s="47"/>
      <c r="SLU35" s="47"/>
      <c r="SLV35" s="47"/>
      <c r="SLW35" s="47"/>
      <c r="SLX35" s="47"/>
      <c r="SLY35" s="47"/>
      <c r="SLZ35" s="47"/>
      <c r="SMA35" s="47"/>
      <c r="SMB35" s="47"/>
      <c r="SMC35" s="47"/>
      <c r="SMD35" s="47"/>
      <c r="SME35" s="47"/>
      <c r="SMF35" s="47"/>
      <c r="SMG35" s="47"/>
      <c r="SMH35" s="47"/>
      <c r="SMI35" s="47"/>
      <c r="SMJ35" s="47"/>
      <c r="SMK35" s="47"/>
      <c r="SML35" s="47"/>
      <c r="SMM35" s="47"/>
      <c r="SMN35" s="47"/>
      <c r="SMO35" s="47"/>
      <c r="SMP35" s="47"/>
      <c r="SMQ35" s="47"/>
      <c r="SMR35" s="47"/>
      <c r="SMS35" s="47"/>
      <c r="SMT35" s="47"/>
      <c r="SMU35" s="47"/>
      <c r="SMV35" s="47"/>
      <c r="SMW35" s="47"/>
      <c r="SMX35" s="47"/>
      <c r="SMY35" s="47"/>
      <c r="SMZ35" s="47"/>
      <c r="SNA35" s="47"/>
      <c r="SNB35" s="47"/>
      <c r="SNC35" s="47"/>
      <c r="SND35" s="47"/>
      <c r="SNE35" s="47"/>
      <c r="SNF35" s="47"/>
      <c r="SNG35" s="47"/>
      <c r="SNH35" s="47"/>
      <c r="SNI35" s="47"/>
      <c r="SNJ35" s="47"/>
      <c r="SNK35" s="47"/>
      <c r="SNL35" s="47"/>
      <c r="SNM35" s="47"/>
      <c r="SNN35" s="47"/>
      <c r="SNO35" s="47"/>
      <c r="SNP35" s="47"/>
      <c r="SNQ35" s="47"/>
      <c r="SNR35" s="47"/>
      <c r="SNS35" s="47"/>
      <c r="SNT35" s="47"/>
      <c r="SNU35" s="47"/>
      <c r="SNV35" s="47"/>
      <c r="SNW35" s="47"/>
      <c r="SNX35" s="47"/>
      <c r="SNY35" s="47"/>
      <c r="SNZ35" s="47"/>
      <c r="SOA35" s="47"/>
      <c r="SOB35" s="47"/>
      <c r="SOC35" s="47"/>
      <c r="SOD35" s="47"/>
      <c r="SOE35" s="47"/>
      <c r="SOF35" s="47"/>
      <c r="SOG35" s="47"/>
      <c r="SOH35" s="47"/>
      <c r="SOI35" s="47"/>
      <c r="SOJ35" s="47"/>
      <c r="SOK35" s="47"/>
      <c r="SOL35" s="47"/>
      <c r="SOM35" s="47"/>
      <c r="SON35" s="47"/>
      <c r="SOO35" s="47"/>
      <c r="SOP35" s="47"/>
      <c r="SOQ35" s="47"/>
      <c r="SOR35" s="47"/>
      <c r="SOS35" s="47"/>
      <c r="SOT35" s="47"/>
      <c r="SOU35" s="47"/>
      <c r="SOV35" s="47"/>
      <c r="SOW35" s="47"/>
      <c r="SOX35" s="47"/>
      <c r="SOY35" s="47"/>
      <c r="SOZ35" s="47"/>
      <c r="SPA35" s="47"/>
      <c r="SPB35" s="47"/>
      <c r="SPC35" s="47"/>
      <c r="SPD35" s="47"/>
      <c r="SPE35" s="47"/>
      <c r="SPF35" s="47"/>
      <c r="SPG35" s="47"/>
      <c r="SPH35" s="47"/>
      <c r="SPI35" s="47"/>
      <c r="SPJ35" s="47"/>
      <c r="SPK35" s="47"/>
      <c r="SPL35" s="47"/>
      <c r="SPM35" s="47"/>
      <c r="SPN35" s="47"/>
      <c r="SPO35" s="47"/>
      <c r="SPP35" s="47"/>
      <c r="SPQ35" s="47"/>
      <c r="SPR35" s="47"/>
      <c r="SPS35" s="47"/>
      <c r="SPT35" s="47"/>
      <c r="SPU35" s="47"/>
      <c r="SPV35" s="47"/>
      <c r="SPW35" s="47"/>
      <c r="SPX35" s="47"/>
      <c r="SPY35" s="47"/>
      <c r="SPZ35" s="47"/>
      <c r="SQA35" s="47"/>
      <c r="SQB35" s="47"/>
      <c r="SQC35" s="47"/>
      <c r="SQD35" s="47"/>
      <c r="SQE35" s="47"/>
      <c r="SQF35" s="47"/>
      <c r="SQG35" s="47"/>
      <c r="SQH35" s="47"/>
      <c r="SQI35" s="47"/>
      <c r="SQJ35" s="47"/>
      <c r="SQK35" s="47"/>
      <c r="SQL35" s="47"/>
      <c r="SQM35" s="47"/>
      <c r="SQN35" s="47"/>
      <c r="SQO35" s="47"/>
      <c r="SQP35" s="47"/>
      <c r="SQQ35" s="47"/>
      <c r="SQR35" s="47"/>
      <c r="SQS35" s="47"/>
      <c r="SQT35" s="47"/>
      <c r="SQU35" s="47"/>
      <c r="SQV35" s="47"/>
      <c r="SQW35" s="47"/>
      <c r="SQX35" s="47"/>
      <c r="SQY35" s="47"/>
      <c r="SQZ35" s="47"/>
      <c r="SRA35" s="47"/>
      <c r="SRB35" s="47"/>
      <c r="SRC35" s="47"/>
      <c r="SRD35" s="47"/>
      <c r="SRE35" s="47"/>
      <c r="SRF35" s="47"/>
      <c r="SRG35" s="47"/>
      <c r="SRH35" s="47"/>
      <c r="SRI35" s="47"/>
      <c r="SRJ35" s="47"/>
      <c r="SRK35" s="47"/>
      <c r="SRL35" s="47"/>
      <c r="SRM35" s="47"/>
      <c r="SRN35" s="47"/>
      <c r="SRO35" s="47"/>
      <c r="SRP35" s="47"/>
      <c r="SRQ35" s="47"/>
      <c r="SRR35" s="47"/>
      <c r="SRS35" s="47"/>
      <c r="SRT35" s="47"/>
      <c r="SRU35" s="47"/>
      <c r="SRV35" s="47"/>
      <c r="SRW35" s="47"/>
      <c r="SRX35" s="47"/>
      <c r="SRY35" s="47"/>
      <c r="SRZ35" s="47"/>
      <c r="SSA35" s="47"/>
      <c r="SSB35" s="47"/>
      <c r="SSC35" s="47"/>
      <c r="SSD35" s="47"/>
      <c r="SSE35" s="47"/>
      <c r="SSF35" s="47"/>
      <c r="SSG35" s="47"/>
      <c r="SSH35" s="47"/>
      <c r="SSI35" s="47"/>
      <c r="SSJ35" s="47"/>
      <c r="SSK35" s="47"/>
      <c r="SSL35" s="47"/>
      <c r="SSM35" s="47"/>
      <c r="SSN35" s="47"/>
      <c r="SSO35" s="47"/>
      <c r="SSP35" s="47"/>
      <c r="SSQ35" s="47"/>
      <c r="SSR35" s="47"/>
      <c r="SSS35" s="47"/>
      <c r="SST35" s="47"/>
      <c r="SSU35" s="47"/>
      <c r="SSV35" s="47"/>
      <c r="SSW35" s="47"/>
      <c r="SSX35" s="47"/>
      <c r="SSY35" s="47"/>
      <c r="SSZ35" s="47"/>
      <c r="STA35" s="47"/>
      <c r="STB35" s="47"/>
      <c r="STC35" s="47"/>
      <c r="STD35" s="47"/>
      <c r="STE35" s="47"/>
      <c r="STF35" s="47"/>
      <c r="STG35" s="47"/>
      <c r="STH35" s="47"/>
      <c r="STI35" s="47"/>
      <c r="STJ35" s="47"/>
      <c r="STK35" s="47"/>
      <c r="STL35" s="47"/>
      <c r="STM35" s="47"/>
      <c r="STN35" s="47"/>
      <c r="STO35" s="47"/>
      <c r="STP35" s="47"/>
      <c r="STQ35" s="47"/>
      <c r="STR35" s="47"/>
      <c r="STS35" s="47"/>
      <c r="STT35" s="47"/>
      <c r="STU35" s="47"/>
      <c r="STV35" s="47"/>
      <c r="STW35" s="47"/>
      <c r="STX35" s="47"/>
      <c r="STY35" s="47"/>
      <c r="STZ35" s="47"/>
      <c r="SUA35" s="47"/>
      <c r="SUB35" s="47"/>
      <c r="SUC35" s="47"/>
      <c r="SUD35" s="47"/>
      <c r="SUE35" s="47"/>
      <c r="SUF35" s="47"/>
      <c r="SUG35" s="47"/>
      <c r="SUH35" s="47"/>
      <c r="SUI35" s="47"/>
      <c r="SUJ35" s="47"/>
      <c r="SUK35" s="47"/>
      <c r="SUL35" s="47"/>
      <c r="SUM35" s="47"/>
      <c r="SUN35" s="47"/>
      <c r="SUO35" s="47"/>
      <c r="SUP35" s="47"/>
      <c r="SUQ35" s="47"/>
      <c r="SUR35" s="47"/>
      <c r="SUS35" s="47"/>
      <c r="SUT35" s="47"/>
      <c r="SUU35" s="47"/>
      <c r="SUV35" s="47"/>
      <c r="SUW35" s="47"/>
      <c r="SUX35" s="47"/>
      <c r="SUY35" s="47"/>
      <c r="SUZ35" s="47"/>
      <c r="SVA35" s="47"/>
      <c r="SVB35" s="47"/>
      <c r="SVC35" s="47"/>
      <c r="SVD35" s="47"/>
      <c r="SVE35" s="47"/>
      <c r="SVF35" s="47"/>
      <c r="SVG35" s="47"/>
      <c r="SVH35" s="47"/>
      <c r="SVI35" s="47"/>
      <c r="SVJ35" s="47"/>
      <c r="SVK35" s="47"/>
      <c r="SVL35" s="47"/>
      <c r="SVM35" s="47"/>
      <c r="SVN35" s="47"/>
      <c r="SVO35" s="47"/>
      <c r="SVP35" s="47"/>
      <c r="SVQ35" s="47"/>
      <c r="SVR35" s="47"/>
      <c r="SVS35" s="47"/>
      <c r="SVT35" s="47"/>
      <c r="SVU35" s="47"/>
      <c r="SVV35" s="47"/>
      <c r="SVW35" s="47"/>
      <c r="SVX35" s="47"/>
      <c r="SVY35" s="47"/>
      <c r="SVZ35" s="47"/>
      <c r="SWA35" s="47"/>
      <c r="SWB35" s="47"/>
      <c r="SWC35" s="47"/>
      <c r="SWD35" s="47"/>
      <c r="SWE35" s="47"/>
      <c r="SWF35" s="47"/>
      <c r="SWG35" s="47"/>
      <c r="SWH35" s="47"/>
      <c r="SWI35" s="47"/>
      <c r="SWJ35" s="47"/>
      <c r="SWK35" s="47"/>
      <c r="SWL35" s="47"/>
      <c r="SWM35" s="47"/>
      <c r="SWN35" s="47"/>
      <c r="SWO35" s="47"/>
      <c r="SWP35" s="47"/>
      <c r="SWQ35" s="47"/>
      <c r="SWR35" s="47"/>
      <c r="SWS35" s="47"/>
      <c r="SWT35" s="47"/>
      <c r="SWU35" s="47"/>
      <c r="SWV35" s="47"/>
      <c r="SWW35" s="47"/>
      <c r="SWX35" s="47"/>
      <c r="SWY35" s="47"/>
      <c r="SWZ35" s="47"/>
      <c r="SXA35" s="47"/>
      <c r="SXB35" s="47"/>
      <c r="SXC35" s="47"/>
      <c r="SXD35" s="47"/>
      <c r="SXE35" s="47"/>
      <c r="SXF35" s="47"/>
      <c r="SXG35" s="47"/>
      <c r="SXH35" s="47"/>
      <c r="SXI35" s="47"/>
      <c r="SXJ35" s="47"/>
      <c r="SXK35" s="47"/>
      <c r="SXL35" s="47"/>
      <c r="SXM35" s="47"/>
      <c r="SXN35" s="47"/>
      <c r="SXO35" s="47"/>
      <c r="SXP35" s="47"/>
      <c r="SXQ35" s="47"/>
      <c r="SXR35" s="47"/>
      <c r="SXS35" s="47"/>
      <c r="SXT35" s="47"/>
      <c r="SXU35" s="47"/>
      <c r="SXV35" s="47"/>
      <c r="SXW35" s="47"/>
      <c r="SXX35" s="47"/>
      <c r="SXY35" s="47"/>
      <c r="SXZ35" s="47"/>
      <c r="SYA35" s="47"/>
      <c r="SYB35" s="47"/>
      <c r="SYC35" s="47"/>
      <c r="SYD35" s="47"/>
      <c r="SYE35" s="47"/>
      <c r="SYF35" s="47"/>
      <c r="SYG35" s="47"/>
      <c r="SYH35" s="47"/>
      <c r="SYI35" s="47"/>
      <c r="SYJ35" s="47"/>
      <c r="SYK35" s="47"/>
      <c r="SYL35" s="47"/>
      <c r="SYM35" s="47"/>
      <c r="SYN35" s="47"/>
      <c r="SYO35" s="47"/>
      <c r="SYP35" s="47"/>
      <c r="SYQ35" s="47"/>
      <c r="SYR35" s="47"/>
      <c r="SYS35" s="47"/>
      <c r="SYT35" s="47"/>
      <c r="SYU35" s="47"/>
      <c r="SYV35" s="47"/>
      <c r="SYW35" s="47"/>
      <c r="SYX35" s="47"/>
      <c r="SYY35" s="47"/>
      <c r="SYZ35" s="47"/>
      <c r="SZA35" s="47"/>
      <c r="SZB35" s="47"/>
      <c r="SZC35" s="47"/>
      <c r="SZD35" s="47"/>
      <c r="SZE35" s="47"/>
      <c r="SZF35" s="47"/>
      <c r="SZG35" s="47"/>
      <c r="SZH35" s="47"/>
      <c r="SZI35" s="47"/>
      <c r="SZJ35" s="47"/>
      <c r="SZK35" s="47"/>
      <c r="SZL35" s="47"/>
      <c r="SZM35" s="47"/>
      <c r="SZN35" s="47"/>
      <c r="SZO35" s="47"/>
      <c r="SZP35" s="47"/>
      <c r="SZQ35" s="47"/>
      <c r="SZR35" s="47"/>
      <c r="SZS35" s="47"/>
      <c r="SZT35" s="47"/>
      <c r="SZU35" s="47"/>
      <c r="SZV35" s="47"/>
      <c r="SZW35" s="47"/>
      <c r="SZX35" s="47"/>
      <c r="SZY35" s="47"/>
      <c r="SZZ35" s="47"/>
      <c r="TAA35" s="47"/>
      <c r="TAB35" s="47"/>
      <c r="TAC35" s="47"/>
      <c r="TAD35" s="47"/>
      <c r="TAE35" s="47"/>
      <c r="TAF35" s="47"/>
      <c r="TAG35" s="47"/>
      <c r="TAH35" s="47"/>
      <c r="TAI35" s="47"/>
      <c r="TAJ35" s="47"/>
      <c r="TAK35" s="47"/>
      <c r="TAL35" s="47"/>
      <c r="TAM35" s="47"/>
      <c r="TAN35" s="47"/>
      <c r="TAO35" s="47"/>
      <c r="TAP35" s="47"/>
      <c r="TAQ35" s="47"/>
      <c r="TAR35" s="47"/>
      <c r="TAS35" s="47"/>
      <c r="TAT35" s="47"/>
      <c r="TAU35" s="47"/>
      <c r="TAV35" s="47"/>
      <c r="TAW35" s="47"/>
      <c r="TAX35" s="47"/>
      <c r="TAY35" s="47"/>
      <c r="TAZ35" s="47"/>
      <c r="TBA35" s="47"/>
      <c r="TBB35" s="47"/>
      <c r="TBC35" s="47"/>
      <c r="TBD35" s="47"/>
      <c r="TBE35" s="47"/>
      <c r="TBF35" s="47"/>
      <c r="TBG35" s="47"/>
      <c r="TBH35" s="47"/>
      <c r="TBI35" s="47"/>
      <c r="TBJ35" s="47"/>
      <c r="TBK35" s="47"/>
      <c r="TBL35" s="47"/>
      <c r="TBM35" s="47"/>
      <c r="TBN35" s="47"/>
      <c r="TBO35" s="47"/>
      <c r="TBP35" s="47"/>
      <c r="TBQ35" s="47"/>
      <c r="TBR35" s="47"/>
      <c r="TBS35" s="47"/>
      <c r="TBT35" s="47"/>
      <c r="TBU35" s="47"/>
      <c r="TBV35" s="47"/>
      <c r="TBW35" s="47"/>
      <c r="TBX35" s="47"/>
      <c r="TBY35" s="47"/>
      <c r="TBZ35" s="47"/>
      <c r="TCA35" s="47"/>
      <c r="TCB35" s="47"/>
      <c r="TCC35" s="47"/>
      <c r="TCD35" s="47"/>
      <c r="TCE35" s="47"/>
      <c r="TCF35" s="47"/>
      <c r="TCG35" s="47"/>
      <c r="TCH35" s="47"/>
      <c r="TCI35" s="47"/>
      <c r="TCJ35" s="47"/>
      <c r="TCK35" s="47"/>
      <c r="TCL35" s="47"/>
      <c r="TCM35" s="47"/>
      <c r="TCN35" s="47"/>
      <c r="TCO35" s="47"/>
      <c r="TCP35" s="47"/>
      <c r="TCQ35" s="47"/>
      <c r="TCR35" s="47"/>
      <c r="TCS35" s="47"/>
      <c r="TCT35" s="47"/>
      <c r="TCU35" s="47"/>
      <c r="TCV35" s="47"/>
      <c r="TCW35" s="47"/>
      <c r="TCX35" s="47"/>
      <c r="TCY35" s="47"/>
      <c r="TCZ35" s="47"/>
      <c r="TDA35" s="47"/>
      <c r="TDB35" s="47"/>
      <c r="TDC35" s="47"/>
      <c r="TDD35" s="47"/>
      <c r="TDE35" s="47"/>
      <c r="TDF35" s="47"/>
      <c r="TDG35" s="47"/>
      <c r="TDH35" s="47"/>
      <c r="TDI35" s="47"/>
      <c r="TDJ35" s="47"/>
      <c r="TDK35" s="47"/>
      <c r="TDL35" s="47"/>
      <c r="TDM35" s="47"/>
      <c r="TDN35" s="47"/>
      <c r="TDO35" s="47"/>
      <c r="TDP35" s="47"/>
      <c r="TDQ35" s="47"/>
      <c r="TDR35" s="47"/>
      <c r="TDS35" s="47"/>
      <c r="TDT35" s="47"/>
      <c r="TDU35" s="47"/>
      <c r="TDV35" s="47"/>
      <c r="TDW35" s="47"/>
      <c r="TDX35" s="47"/>
      <c r="TDY35" s="47"/>
      <c r="TDZ35" s="47"/>
      <c r="TEA35" s="47"/>
      <c r="TEB35" s="47"/>
      <c r="TEC35" s="47"/>
      <c r="TED35" s="47"/>
      <c r="TEE35" s="47"/>
      <c r="TEF35" s="47"/>
      <c r="TEG35" s="47"/>
      <c r="TEH35" s="47"/>
      <c r="TEI35" s="47"/>
      <c r="TEJ35" s="47"/>
      <c r="TEK35" s="47"/>
      <c r="TEL35" s="47"/>
      <c r="TEM35" s="47"/>
      <c r="TEN35" s="47"/>
      <c r="TEO35" s="47"/>
      <c r="TEP35" s="47"/>
      <c r="TEQ35" s="47"/>
      <c r="TER35" s="47"/>
      <c r="TES35" s="47"/>
      <c r="TET35" s="47"/>
      <c r="TEU35" s="47"/>
      <c r="TEV35" s="47"/>
      <c r="TEW35" s="47"/>
      <c r="TEX35" s="47"/>
      <c r="TEY35" s="47"/>
      <c r="TEZ35" s="47"/>
      <c r="TFA35" s="47"/>
      <c r="TFB35" s="47"/>
      <c r="TFC35" s="47"/>
      <c r="TFD35" s="47"/>
      <c r="TFE35" s="47"/>
      <c r="TFF35" s="47"/>
      <c r="TFG35" s="47"/>
      <c r="TFH35" s="47"/>
      <c r="TFI35" s="47"/>
      <c r="TFJ35" s="47"/>
      <c r="TFK35" s="47"/>
      <c r="TFL35" s="47"/>
      <c r="TFM35" s="47"/>
      <c r="TFN35" s="47"/>
      <c r="TFO35" s="47"/>
      <c r="TFP35" s="47"/>
      <c r="TFQ35" s="47"/>
      <c r="TFR35" s="47"/>
      <c r="TFS35" s="47"/>
      <c r="TFT35" s="47"/>
      <c r="TFU35" s="47"/>
      <c r="TFV35" s="47"/>
      <c r="TFW35" s="47"/>
      <c r="TFX35" s="47"/>
      <c r="TFY35" s="47"/>
      <c r="TFZ35" s="47"/>
      <c r="TGA35" s="47"/>
      <c r="TGB35" s="47"/>
      <c r="TGC35" s="47"/>
      <c r="TGD35" s="47"/>
      <c r="TGE35" s="47"/>
      <c r="TGF35" s="47"/>
      <c r="TGG35" s="47"/>
      <c r="TGH35" s="47"/>
      <c r="TGI35" s="47"/>
      <c r="TGJ35" s="47"/>
      <c r="TGK35" s="47"/>
      <c r="TGL35" s="47"/>
      <c r="TGM35" s="47"/>
      <c r="TGN35" s="47"/>
      <c r="TGO35" s="47"/>
      <c r="TGP35" s="47"/>
      <c r="TGQ35" s="47"/>
      <c r="TGR35" s="47"/>
      <c r="TGS35" s="47"/>
      <c r="TGT35" s="47"/>
      <c r="TGU35" s="47"/>
      <c r="TGV35" s="47"/>
      <c r="TGW35" s="47"/>
      <c r="TGX35" s="47"/>
      <c r="TGY35" s="47"/>
      <c r="TGZ35" s="47"/>
      <c r="THA35" s="47"/>
      <c r="THB35" s="47"/>
      <c r="THC35" s="47"/>
      <c r="THD35" s="47"/>
      <c r="THE35" s="47"/>
      <c r="THF35" s="47"/>
      <c r="THG35" s="47"/>
      <c r="THH35" s="47"/>
      <c r="THI35" s="47"/>
      <c r="THJ35" s="47"/>
      <c r="THK35" s="47"/>
      <c r="THL35" s="47"/>
      <c r="THM35" s="47"/>
      <c r="THN35" s="47"/>
      <c r="THO35" s="47"/>
      <c r="THP35" s="47"/>
      <c r="THQ35" s="47"/>
      <c r="THR35" s="47"/>
      <c r="THS35" s="47"/>
      <c r="THT35" s="47"/>
      <c r="THU35" s="47"/>
      <c r="THV35" s="47"/>
      <c r="THW35" s="47"/>
      <c r="THX35" s="47"/>
      <c r="THY35" s="47"/>
      <c r="THZ35" s="47"/>
      <c r="TIA35" s="47"/>
      <c r="TIB35" s="47"/>
      <c r="TIC35" s="47"/>
      <c r="TID35" s="47"/>
      <c r="TIE35" s="47"/>
      <c r="TIF35" s="47"/>
      <c r="TIG35" s="47"/>
      <c r="TIH35" s="47"/>
      <c r="TII35" s="47"/>
      <c r="TIJ35" s="47"/>
      <c r="TIK35" s="47"/>
      <c r="TIL35" s="47"/>
      <c r="TIM35" s="47"/>
      <c r="TIN35" s="47"/>
      <c r="TIO35" s="47"/>
      <c r="TIP35" s="47"/>
      <c r="TIQ35" s="47"/>
      <c r="TIR35" s="47"/>
      <c r="TIS35" s="47"/>
      <c r="TIT35" s="47"/>
      <c r="TIU35" s="47"/>
      <c r="TIV35" s="47"/>
      <c r="TIW35" s="47"/>
      <c r="TIX35" s="47"/>
      <c r="TIY35" s="47"/>
      <c r="TIZ35" s="47"/>
      <c r="TJA35" s="47"/>
      <c r="TJB35" s="47"/>
      <c r="TJC35" s="47"/>
      <c r="TJD35" s="47"/>
      <c r="TJE35" s="47"/>
      <c r="TJF35" s="47"/>
      <c r="TJG35" s="47"/>
      <c r="TJH35" s="47"/>
      <c r="TJI35" s="47"/>
      <c r="TJJ35" s="47"/>
      <c r="TJK35" s="47"/>
      <c r="TJL35" s="47"/>
      <c r="TJM35" s="47"/>
      <c r="TJN35" s="47"/>
      <c r="TJO35" s="47"/>
      <c r="TJP35" s="47"/>
      <c r="TJQ35" s="47"/>
      <c r="TJR35" s="47"/>
      <c r="TJS35" s="47"/>
      <c r="TJT35" s="47"/>
      <c r="TJU35" s="47"/>
      <c r="TJV35" s="47"/>
      <c r="TJW35" s="47"/>
      <c r="TJX35" s="47"/>
      <c r="TJY35" s="47"/>
      <c r="TJZ35" s="47"/>
      <c r="TKA35" s="47"/>
      <c r="TKB35" s="47"/>
      <c r="TKC35" s="47"/>
      <c r="TKD35" s="47"/>
      <c r="TKE35" s="47"/>
      <c r="TKF35" s="47"/>
      <c r="TKG35" s="47"/>
      <c r="TKH35" s="47"/>
      <c r="TKI35" s="47"/>
      <c r="TKJ35" s="47"/>
      <c r="TKK35" s="47"/>
      <c r="TKL35" s="47"/>
      <c r="TKM35" s="47"/>
      <c r="TKN35" s="47"/>
      <c r="TKO35" s="47"/>
      <c r="TKP35" s="47"/>
      <c r="TKQ35" s="47"/>
      <c r="TKR35" s="47"/>
      <c r="TKS35" s="47"/>
      <c r="TKT35" s="47"/>
      <c r="TKU35" s="47"/>
      <c r="TKV35" s="47"/>
      <c r="TKW35" s="47"/>
      <c r="TKX35" s="47"/>
      <c r="TKY35" s="47"/>
      <c r="TKZ35" s="47"/>
      <c r="TLA35" s="47"/>
      <c r="TLB35" s="47"/>
      <c r="TLC35" s="47"/>
      <c r="TLD35" s="47"/>
      <c r="TLE35" s="47"/>
      <c r="TLF35" s="47"/>
      <c r="TLG35" s="47"/>
      <c r="TLH35" s="47"/>
      <c r="TLI35" s="47"/>
      <c r="TLJ35" s="47"/>
      <c r="TLK35" s="47"/>
      <c r="TLL35" s="47"/>
      <c r="TLM35" s="47"/>
      <c r="TLN35" s="47"/>
      <c r="TLO35" s="47"/>
      <c r="TLP35" s="47"/>
      <c r="TLQ35" s="47"/>
      <c r="TLR35" s="47"/>
      <c r="TLS35" s="47"/>
      <c r="TLT35" s="47"/>
      <c r="TLU35" s="47"/>
      <c r="TLV35" s="47"/>
      <c r="TLW35" s="47"/>
      <c r="TLX35" s="47"/>
      <c r="TLY35" s="47"/>
      <c r="TLZ35" s="47"/>
      <c r="TMA35" s="47"/>
      <c r="TMB35" s="47"/>
      <c r="TMC35" s="47"/>
      <c r="TMD35" s="47"/>
      <c r="TME35" s="47"/>
      <c r="TMF35" s="47"/>
      <c r="TMG35" s="47"/>
      <c r="TMH35" s="47"/>
      <c r="TMI35" s="47"/>
      <c r="TMJ35" s="47"/>
      <c r="TMK35" s="47"/>
      <c r="TML35" s="47"/>
      <c r="TMM35" s="47"/>
      <c r="TMN35" s="47"/>
      <c r="TMO35" s="47"/>
      <c r="TMP35" s="47"/>
      <c r="TMQ35" s="47"/>
      <c r="TMR35" s="47"/>
      <c r="TMS35" s="47"/>
      <c r="TMT35" s="47"/>
      <c r="TMU35" s="47"/>
      <c r="TMV35" s="47"/>
      <c r="TMW35" s="47"/>
      <c r="TMX35" s="47"/>
      <c r="TMY35" s="47"/>
      <c r="TMZ35" s="47"/>
      <c r="TNA35" s="47"/>
      <c r="TNB35" s="47"/>
      <c r="TNC35" s="47"/>
      <c r="TND35" s="47"/>
      <c r="TNE35" s="47"/>
      <c r="TNF35" s="47"/>
      <c r="TNG35" s="47"/>
      <c r="TNH35" s="47"/>
      <c r="TNI35" s="47"/>
      <c r="TNJ35" s="47"/>
      <c r="TNK35" s="47"/>
      <c r="TNL35" s="47"/>
      <c r="TNM35" s="47"/>
      <c r="TNN35" s="47"/>
      <c r="TNO35" s="47"/>
      <c r="TNP35" s="47"/>
      <c r="TNQ35" s="47"/>
      <c r="TNR35" s="47"/>
      <c r="TNS35" s="47"/>
      <c r="TNT35" s="47"/>
      <c r="TNU35" s="47"/>
      <c r="TNV35" s="47"/>
      <c r="TNW35" s="47"/>
      <c r="TNX35" s="47"/>
      <c r="TNY35" s="47"/>
      <c r="TNZ35" s="47"/>
      <c r="TOA35" s="47"/>
      <c r="TOB35" s="47"/>
      <c r="TOC35" s="47"/>
      <c r="TOD35" s="47"/>
      <c r="TOE35" s="47"/>
      <c r="TOF35" s="47"/>
      <c r="TOG35" s="47"/>
      <c r="TOH35" s="47"/>
      <c r="TOI35" s="47"/>
      <c r="TOJ35" s="47"/>
      <c r="TOK35" s="47"/>
      <c r="TOL35" s="47"/>
      <c r="TOM35" s="47"/>
      <c r="TON35" s="47"/>
      <c r="TOO35" s="47"/>
      <c r="TOP35" s="47"/>
      <c r="TOQ35" s="47"/>
      <c r="TOR35" s="47"/>
      <c r="TOS35" s="47"/>
      <c r="TOT35" s="47"/>
      <c r="TOU35" s="47"/>
      <c r="TOV35" s="47"/>
      <c r="TOW35" s="47"/>
      <c r="TOX35" s="47"/>
      <c r="TOY35" s="47"/>
      <c r="TOZ35" s="47"/>
      <c r="TPA35" s="47"/>
      <c r="TPB35" s="47"/>
      <c r="TPC35" s="47"/>
      <c r="TPD35" s="47"/>
      <c r="TPE35" s="47"/>
      <c r="TPF35" s="47"/>
      <c r="TPG35" s="47"/>
      <c r="TPH35" s="47"/>
      <c r="TPI35" s="47"/>
      <c r="TPJ35" s="47"/>
      <c r="TPK35" s="47"/>
      <c r="TPL35" s="47"/>
      <c r="TPM35" s="47"/>
      <c r="TPN35" s="47"/>
      <c r="TPO35" s="47"/>
      <c r="TPP35" s="47"/>
      <c r="TPQ35" s="47"/>
      <c r="TPR35" s="47"/>
      <c r="TPS35" s="47"/>
      <c r="TPT35" s="47"/>
      <c r="TPU35" s="47"/>
      <c r="TPV35" s="47"/>
      <c r="TPW35" s="47"/>
      <c r="TPX35" s="47"/>
      <c r="TPY35" s="47"/>
      <c r="TPZ35" s="47"/>
      <c r="TQA35" s="47"/>
      <c r="TQB35" s="47"/>
      <c r="TQC35" s="47"/>
      <c r="TQD35" s="47"/>
      <c r="TQE35" s="47"/>
      <c r="TQF35" s="47"/>
      <c r="TQG35" s="47"/>
      <c r="TQH35" s="47"/>
      <c r="TQI35" s="47"/>
      <c r="TQJ35" s="47"/>
      <c r="TQK35" s="47"/>
      <c r="TQL35" s="47"/>
      <c r="TQM35" s="47"/>
      <c r="TQN35" s="47"/>
      <c r="TQO35" s="47"/>
      <c r="TQP35" s="47"/>
      <c r="TQQ35" s="47"/>
      <c r="TQR35" s="47"/>
      <c r="TQS35" s="47"/>
      <c r="TQT35" s="47"/>
      <c r="TQU35" s="47"/>
      <c r="TQV35" s="47"/>
      <c r="TQW35" s="47"/>
      <c r="TQX35" s="47"/>
      <c r="TQY35" s="47"/>
      <c r="TQZ35" s="47"/>
      <c r="TRA35" s="47"/>
      <c r="TRB35" s="47"/>
      <c r="TRC35" s="47"/>
      <c r="TRD35" s="47"/>
      <c r="TRE35" s="47"/>
      <c r="TRF35" s="47"/>
      <c r="TRG35" s="47"/>
      <c r="TRH35" s="47"/>
      <c r="TRI35" s="47"/>
      <c r="TRJ35" s="47"/>
      <c r="TRK35" s="47"/>
      <c r="TRL35" s="47"/>
      <c r="TRM35" s="47"/>
      <c r="TRN35" s="47"/>
      <c r="TRO35" s="47"/>
      <c r="TRP35" s="47"/>
      <c r="TRQ35" s="47"/>
      <c r="TRR35" s="47"/>
      <c r="TRS35" s="47"/>
      <c r="TRT35" s="47"/>
      <c r="TRU35" s="47"/>
      <c r="TRV35" s="47"/>
      <c r="TRW35" s="47"/>
      <c r="TRX35" s="47"/>
      <c r="TRY35" s="47"/>
      <c r="TRZ35" s="47"/>
      <c r="TSA35" s="47"/>
      <c r="TSB35" s="47"/>
      <c r="TSC35" s="47"/>
      <c r="TSD35" s="47"/>
      <c r="TSE35" s="47"/>
      <c r="TSF35" s="47"/>
      <c r="TSG35" s="47"/>
      <c r="TSH35" s="47"/>
      <c r="TSI35" s="47"/>
      <c r="TSJ35" s="47"/>
      <c r="TSK35" s="47"/>
      <c r="TSL35" s="47"/>
      <c r="TSM35" s="47"/>
      <c r="TSN35" s="47"/>
      <c r="TSO35" s="47"/>
      <c r="TSP35" s="47"/>
      <c r="TSQ35" s="47"/>
      <c r="TSR35" s="47"/>
      <c r="TSS35" s="47"/>
      <c r="TST35" s="47"/>
      <c r="TSU35" s="47"/>
      <c r="TSV35" s="47"/>
      <c r="TSW35" s="47"/>
      <c r="TSX35" s="47"/>
      <c r="TSY35" s="47"/>
      <c r="TSZ35" s="47"/>
      <c r="TTA35" s="47"/>
      <c r="TTB35" s="47"/>
      <c r="TTC35" s="47"/>
      <c r="TTD35" s="47"/>
      <c r="TTE35" s="47"/>
      <c r="TTF35" s="47"/>
      <c r="TTG35" s="47"/>
      <c r="TTH35" s="47"/>
      <c r="TTI35" s="47"/>
      <c r="TTJ35" s="47"/>
      <c r="TTK35" s="47"/>
      <c r="TTL35" s="47"/>
      <c r="TTM35" s="47"/>
      <c r="TTN35" s="47"/>
      <c r="TTO35" s="47"/>
      <c r="TTP35" s="47"/>
      <c r="TTQ35" s="47"/>
      <c r="TTR35" s="47"/>
      <c r="TTS35" s="47"/>
      <c r="TTT35" s="47"/>
      <c r="TTU35" s="47"/>
      <c r="TTV35" s="47"/>
      <c r="TTW35" s="47"/>
      <c r="TTX35" s="47"/>
      <c r="TTY35" s="47"/>
      <c r="TTZ35" s="47"/>
      <c r="TUA35" s="47"/>
      <c r="TUB35" s="47"/>
      <c r="TUC35" s="47"/>
      <c r="TUD35" s="47"/>
      <c r="TUE35" s="47"/>
      <c r="TUF35" s="47"/>
      <c r="TUG35" s="47"/>
      <c r="TUH35" s="47"/>
      <c r="TUI35" s="47"/>
      <c r="TUJ35" s="47"/>
      <c r="TUK35" s="47"/>
      <c r="TUL35" s="47"/>
      <c r="TUM35" s="47"/>
      <c r="TUN35" s="47"/>
      <c r="TUO35" s="47"/>
      <c r="TUP35" s="47"/>
      <c r="TUQ35" s="47"/>
      <c r="TUR35" s="47"/>
      <c r="TUS35" s="47"/>
      <c r="TUT35" s="47"/>
      <c r="TUU35" s="47"/>
      <c r="TUV35" s="47"/>
      <c r="TUW35" s="47"/>
      <c r="TUX35" s="47"/>
      <c r="TUY35" s="47"/>
      <c r="TUZ35" s="47"/>
      <c r="TVA35" s="47"/>
      <c r="TVB35" s="47"/>
      <c r="TVC35" s="47"/>
      <c r="TVD35" s="47"/>
      <c r="TVE35" s="47"/>
      <c r="TVF35" s="47"/>
      <c r="TVG35" s="47"/>
      <c r="TVH35" s="47"/>
      <c r="TVI35" s="47"/>
      <c r="TVJ35" s="47"/>
      <c r="TVK35" s="47"/>
      <c r="TVL35" s="47"/>
      <c r="TVM35" s="47"/>
      <c r="TVN35" s="47"/>
      <c r="TVO35" s="47"/>
      <c r="TVP35" s="47"/>
      <c r="TVQ35" s="47"/>
      <c r="TVR35" s="47"/>
      <c r="TVS35" s="47"/>
      <c r="TVT35" s="47"/>
      <c r="TVU35" s="47"/>
      <c r="TVV35" s="47"/>
      <c r="TVW35" s="47"/>
      <c r="TVX35" s="47"/>
      <c r="TVY35" s="47"/>
      <c r="TVZ35" s="47"/>
      <c r="TWA35" s="47"/>
      <c r="TWB35" s="47"/>
      <c r="TWC35" s="47"/>
      <c r="TWD35" s="47"/>
      <c r="TWE35" s="47"/>
      <c r="TWF35" s="47"/>
      <c r="TWG35" s="47"/>
      <c r="TWH35" s="47"/>
      <c r="TWI35" s="47"/>
      <c r="TWJ35" s="47"/>
      <c r="TWK35" s="47"/>
      <c r="TWL35" s="47"/>
      <c r="TWM35" s="47"/>
      <c r="TWN35" s="47"/>
      <c r="TWO35" s="47"/>
      <c r="TWP35" s="47"/>
      <c r="TWQ35" s="47"/>
      <c r="TWR35" s="47"/>
      <c r="TWS35" s="47"/>
      <c r="TWT35" s="47"/>
      <c r="TWU35" s="47"/>
      <c r="TWV35" s="47"/>
      <c r="TWW35" s="47"/>
      <c r="TWX35" s="47"/>
      <c r="TWY35" s="47"/>
      <c r="TWZ35" s="47"/>
      <c r="TXA35" s="47"/>
      <c r="TXB35" s="47"/>
      <c r="TXC35" s="47"/>
      <c r="TXD35" s="47"/>
      <c r="TXE35" s="47"/>
      <c r="TXF35" s="47"/>
      <c r="TXG35" s="47"/>
      <c r="TXH35" s="47"/>
      <c r="TXI35" s="47"/>
      <c r="TXJ35" s="47"/>
      <c r="TXK35" s="47"/>
      <c r="TXL35" s="47"/>
      <c r="TXM35" s="47"/>
      <c r="TXN35" s="47"/>
      <c r="TXO35" s="47"/>
      <c r="TXP35" s="47"/>
      <c r="TXQ35" s="47"/>
      <c r="TXR35" s="47"/>
      <c r="TXS35" s="47"/>
      <c r="TXT35" s="47"/>
      <c r="TXU35" s="47"/>
      <c r="TXV35" s="47"/>
      <c r="TXW35" s="47"/>
      <c r="TXX35" s="47"/>
      <c r="TXY35" s="47"/>
      <c r="TXZ35" s="47"/>
      <c r="TYA35" s="47"/>
      <c r="TYB35" s="47"/>
      <c r="TYC35" s="47"/>
      <c r="TYD35" s="47"/>
      <c r="TYE35" s="47"/>
      <c r="TYF35" s="47"/>
      <c r="TYG35" s="47"/>
      <c r="TYH35" s="47"/>
      <c r="TYI35" s="47"/>
      <c r="TYJ35" s="47"/>
      <c r="TYK35" s="47"/>
      <c r="TYL35" s="47"/>
      <c r="TYM35" s="47"/>
      <c r="TYN35" s="47"/>
      <c r="TYO35" s="47"/>
      <c r="TYP35" s="47"/>
      <c r="TYQ35" s="47"/>
      <c r="TYR35" s="47"/>
      <c r="TYS35" s="47"/>
      <c r="TYT35" s="47"/>
      <c r="TYU35" s="47"/>
      <c r="TYV35" s="47"/>
      <c r="TYW35" s="47"/>
      <c r="TYX35" s="47"/>
      <c r="TYY35" s="47"/>
      <c r="TYZ35" s="47"/>
      <c r="TZA35" s="47"/>
      <c r="TZB35" s="47"/>
      <c r="TZC35" s="47"/>
      <c r="TZD35" s="47"/>
      <c r="TZE35" s="47"/>
      <c r="TZF35" s="47"/>
      <c r="TZG35" s="47"/>
      <c r="TZH35" s="47"/>
      <c r="TZI35" s="47"/>
      <c r="TZJ35" s="47"/>
      <c r="TZK35" s="47"/>
      <c r="TZL35" s="47"/>
      <c r="TZM35" s="47"/>
      <c r="TZN35" s="47"/>
      <c r="TZO35" s="47"/>
      <c r="TZP35" s="47"/>
      <c r="TZQ35" s="47"/>
      <c r="TZR35" s="47"/>
      <c r="TZS35" s="47"/>
      <c r="TZT35" s="47"/>
      <c r="TZU35" s="47"/>
      <c r="TZV35" s="47"/>
      <c r="TZW35" s="47"/>
      <c r="TZX35" s="47"/>
      <c r="TZY35" s="47"/>
      <c r="TZZ35" s="47"/>
      <c r="UAA35" s="47"/>
      <c r="UAB35" s="47"/>
      <c r="UAC35" s="47"/>
      <c r="UAD35" s="47"/>
      <c r="UAE35" s="47"/>
      <c r="UAF35" s="47"/>
      <c r="UAG35" s="47"/>
      <c r="UAH35" s="47"/>
      <c r="UAI35" s="47"/>
      <c r="UAJ35" s="47"/>
      <c r="UAK35" s="47"/>
      <c r="UAL35" s="47"/>
      <c r="UAM35" s="47"/>
      <c r="UAN35" s="47"/>
      <c r="UAO35" s="47"/>
      <c r="UAP35" s="47"/>
      <c r="UAQ35" s="47"/>
      <c r="UAR35" s="47"/>
      <c r="UAS35" s="47"/>
      <c r="UAT35" s="47"/>
      <c r="UAU35" s="47"/>
      <c r="UAV35" s="47"/>
      <c r="UAW35" s="47"/>
      <c r="UAX35" s="47"/>
      <c r="UAY35" s="47"/>
      <c r="UAZ35" s="47"/>
      <c r="UBA35" s="47"/>
      <c r="UBB35" s="47"/>
      <c r="UBC35" s="47"/>
      <c r="UBD35" s="47"/>
      <c r="UBE35" s="47"/>
      <c r="UBF35" s="47"/>
      <c r="UBG35" s="47"/>
      <c r="UBH35" s="47"/>
      <c r="UBI35" s="47"/>
      <c r="UBJ35" s="47"/>
      <c r="UBK35" s="47"/>
      <c r="UBL35" s="47"/>
      <c r="UBM35" s="47"/>
      <c r="UBN35" s="47"/>
      <c r="UBO35" s="47"/>
      <c r="UBP35" s="47"/>
      <c r="UBQ35" s="47"/>
      <c r="UBR35" s="47"/>
      <c r="UBS35" s="47"/>
      <c r="UBT35" s="47"/>
      <c r="UBU35" s="47"/>
      <c r="UBV35" s="47"/>
      <c r="UBW35" s="47"/>
      <c r="UBX35" s="47"/>
      <c r="UBY35" s="47"/>
      <c r="UBZ35" s="47"/>
      <c r="UCA35" s="47"/>
      <c r="UCB35" s="47"/>
      <c r="UCC35" s="47"/>
      <c r="UCD35" s="47"/>
      <c r="UCE35" s="47"/>
      <c r="UCF35" s="47"/>
      <c r="UCG35" s="47"/>
      <c r="UCH35" s="47"/>
      <c r="UCI35" s="47"/>
      <c r="UCJ35" s="47"/>
      <c r="UCK35" s="47"/>
      <c r="UCL35" s="47"/>
      <c r="UCM35" s="47"/>
      <c r="UCN35" s="47"/>
      <c r="UCO35" s="47"/>
      <c r="UCP35" s="47"/>
      <c r="UCQ35" s="47"/>
      <c r="UCR35" s="47"/>
      <c r="UCS35" s="47"/>
      <c r="UCT35" s="47"/>
      <c r="UCU35" s="47"/>
      <c r="UCV35" s="47"/>
      <c r="UCW35" s="47"/>
      <c r="UCX35" s="47"/>
      <c r="UCY35" s="47"/>
      <c r="UCZ35" s="47"/>
      <c r="UDA35" s="47"/>
      <c r="UDB35" s="47"/>
      <c r="UDC35" s="47"/>
      <c r="UDD35" s="47"/>
      <c r="UDE35" s="47"/>
      <c r="UDF35" s="47"/>
      <c r="UDG35" s="47"/>
      <c r="UDH35" s="47"/>
      <c r="UDI35" s="47"/>
      <c r="UDJ35" s="47"/>
      <c r="UDK35" s="47"/>
      <c r="UDL35" s="47"/>
      <c r="UDM35" s="47"/>
      <c r="UDN35" s="47"/>
      <c r="UDO35" s="47"/>
      <c r="UDP35" s="47"/>
      <c r="UDQ35" s="47"/>
      <c r="UDR35" s="47"/>
      <c r="UDS35" s="47"/>
      <c r="UDT35" s="47"/>
      <c r="UDU35" s="47"/>
      <c r="UDV35" s="47"/>
      <c r="UDW35" s="47"/>
      <c r="UDX35" s="47"/>
      <c r="UDY35" s="47"/>
      <c r="UDZ35" s="47"/>
      <c r="UEA35" s="47"/>
      <c r="UEB35" s="47"/>
      <c r="UEC35" s="47"/>
      <c r="UED35" s="47"/>
      <c r="UEE35" s="47"/>
      <c r="UEF35" s="47"/>
      <c r="UEG35" s="47"/>
      <c r="UEH35" s="47"/>
      <c r="UEI35" s="47"/>
      <c r="UEJ35" s="47"/>
      <c r="UEK35" s="47"/>
      <c r="UEL35" s="47"/>
      <c r="UEM35" s="47"/>
      <c r="UEN35" s="47"/>
      <c r="UEO35" s="47"/>
      <c r="UEP35" s="47"/>
      <c r="UEQ35" s="47"/>
      <c r="UER35" s="47"/>
      <c r="UES35" s="47"/>
      <c r="UET35" s="47"/>
      <c r="UEU35" s="47"/>
      <c r="UEV35" s="47"/>
      <c r="UEW35" s="47"/>
      <c r="UEX35" s="47"/>
      <c r="UEY35" s="47"/>
      <c r="UEZ35" s="47"/>
      <c r="UFA35" s="47"/>
      <c r="UFB35" s="47"/>
      <c r="UFC35" s="47"/>
      <c r="UFD35" s="47"/>
      <c r="UFE35" s="47"/>
      <c r="UFF35" s="47"/>
      <c r="UFG35" s="47"/>
      <c r="UFH35" s="47"/>
      <c r="UFI35" s="47"/>
      <c r="UFJ35" s="47"/>
      <c r="UFK35" s="47"/>
      <c r="UFL35" s="47"/>
      <c r="UFM35" s="47"/>
      <c r="UFN35" s="47"/>
      <c r="UFO35" s="47"/>
      <c r="UFP35" s="47"/>
      <c r="UFQ35" s="47"/>
      <c r="UFR35" s="47"/>
      <c r="UFS35" s="47"/>
      <c r="UFT35" s="47"/>
      <c r="UFU35" s="47"/>
      <c r="UFV35" s="47"/>
      <c r="UFW35" s="47"/>
      <c r="UFX35" s="47"/>
      <c r="UFY35" s="47"/>
      <c r="UFZ35" s="47"/>
      <c r="UGA35" s="47"/>
      <c r="UGB35" s="47"/>
      <c r="UGC35" s="47"/>
      <c r="UGD35" s="47"/>
      <c r="UGE35" s="47"/>
      <c r="UGF35" s="47"/>
      <c r="UGG35" s="47"/>
      <c r="UGH35" s="47"/>
      <c r="UGI35" s="47"/>
      <c r="UGJ35" s="47"/>
      <c r="UGK35" s="47"/>
      <c r="UGL35" s="47"/>
      <c r="UGM35" s="47"/>
      <c r="UGN35" s="47"/>
      <c r="UGO35" s="47"/>
      <c r="UGP35" s="47"/>
      <c r="UGQ35" s="47"/>
      <c r="UGR35" s="47"/>
      <c r="UGS35" s="47"/>
      <c r="UGT35" s="47"/>
      <c r="UGU35" s="47"/>
      <c r="UGV35" s="47"/>
      <c r="UGW35" s="47"/>
      <c r="UGX35" s="47"/>
      <c r="UGY35" s="47"/>
      <c r="UGZ35" s="47"/>
      <c r="UHA35" s="47"/>
      <c r="UHB35" s="47"/>
      <c r="UHC35" s="47"/>
      <c r="UHD35" s="47"/>
      <c r="UHE35" s="47"/>
      <c r="UHF35" s="47"/>
      <c r="UHG35" s="47"/>
      <c r="UHH35" s="47"/>
      <c r="UHI35" s="47"/>
      <c r="UHJ35" s="47"/>
      <c r="UHK35" s="47"/>
      <c r="UHL35" s="47"/>
      <c r="UHM35" s="47"/>
      <c r="UHN35" s="47"/>
      <c r="UHO35" s="47"/>
      <c r="UHP35" s="47"/>
      <c r="UHQ35" s="47"/>
      <c r="UHR35" s="47"/>
      <c r="UHS35" s="47"/>
      <c r="UHT35" s="47"/>
      <c r="UHU35" s="47"/>
      <c r="UHV35" s="47"/>
      <c r="UHW35" s="47"/>
      <c r="UHX35" s="47"/>
      <c r="UHY35" s="47"/>
      <c r="UHZ35" s="47"/>
      <c r="UIA35" s="47"/>
      <c r="UIB35" s="47"/>
      <c r="UIC35" s="47"/>
      <c r="UID35" s="47"/>
      <c r="UIE35" s="47"/>
      <c r="UIF35" s="47"/>
      <c r="UIG35" s="47"/>
      <c r="UIH35" s="47"/>
      <c r="UII35" s="47"/>
      <c r="UIJ35" s="47"/>
      <c r="UIK35" s="47"/>
      <c r="UIL35" s="47"/>
      <c r="UIM35" s="47"/>
      <c r="UIN35" s="47"/>
      <c r="UIO35" s="47"/>
      <c r="UIP35" s="47"/>
      <c r="UIQ35" s="47"/>
      <c r="UIR35" s="47"/>
      <c r="UIS35" s="47"/>
      <c r="UIT35" s="47"/>
      <c r="UIU35" s="47"/>
      <c r="UIV35" s="47"/>
      <c r="UIW35" s="47"/>
      <c r="UIX35" s="47"/>
      <c r="UIY35" s="47"/>
      <c r="UIZ35" s="47"/>
      <c r="UJA35" s="47"/>
      <c r="UJB35" s="47"/>
      <c r="UJC35" s="47"/>
      <c r="UJD35" s="47"/>
      <c r="UJE35" s="47"/>
      <c r="UJF35" s="47"/>
      <c r="UJG35" s="47"/>
      <c r="UJH35" s="47"/>
      <c r="UJI35" s="47"/>
      <c r="UJJ35" s="47"/>
      <c r="UJK35" s="47"/>
      <c r="UJL35" s="47"/>
      <c r="UJM35" s="47"/>
      <c r="UJN35" s="47"/>
      <c r="UJO35" s="47"/>
      <c r="UJP35" s="47"/>
      <c r="UJQ35" s="47"/>
      <c r="UJR35" s="47"/>
      <c r="UJS35" s="47"/>
      <c r="UJT35" s="47"/>
      <c r="UJU35" s="47"/>
      <c r="UJV35" s="47"/>
      <c r="UJW35" s="47"/>
      <c r="UJX35" s="47"/>
      <c r="UJY35" s="47"/>
      <c r="UJZ35" s="47"/>
      <c r="UKA35" s="47"/>
      <c r="UKB35" s="47"/>
      <c r="UKC35" s="47"/>
      <c r="UKD35" s="47"/>
      <c r="UKE35" s="47"/>
      <c r="UKF35" s="47"/>
      <c r="UKG35" s="47"/>
      <c r="UKH35" s="47"/>
      <c r="UKI35" s="47"/>
      <c r="UKJ35" s="47"/>
      <c r="UKK35" s="47"/>
      <c r="UKL35" s="47"/>
      <c r="UKM35" s="47"/>
      <c r="UKN35" s="47"/>
      <c r="UKO35" s="47"/>
      <c r="UKP35" s="47"/>
      <c r="UKQ35" s="47"/>
      <c r="UKR35" s="47"/>
      <c r="UKS35" s="47"/>
      <c r="UKT35" s="47"/>
      <c r="UKU35" s="47"/>
      <c r="UKV35" s="47"/>
      <c r="UKW35" s="47"/>
      <c r="UKX35" s="47"/>
      <c r="UKY35" s="47"/>
      <c r="UKZ35" s="47"/>
      <c r="ULA35" s="47"/>
      <c r="ULB35" s="47"/>
      <c r="ULC35" s="47"/>
      <c r="ULD35" s="47"/>
      <c r="ULE35" s="47"/>
      <c r="ULF35" s="47"/>
      <c r="ULG35" s="47"/>
      <c r="ULH35" s="47"/>
      <c r="ULI35" s="47"/>
      <c r="ULJ35" s="47"/>
      <c r="ULK35" s="47"/>
      <c r="ULL35" s="47"/>
      <c r="ULM35" s="47"/>
      <c r="ULN35" s="47"/>
      <c r="ULO35" s="47"/>
      <c r="ULP35" s="47"/>
      <c r="ULQ35" s="47"/>
      <c r="ULR35" s="47"/>
      <c r="ULS35" s="47"/>
      <c r="ULT35" s="47"/>
      <c r="ULU35" s="47"/>
      <c r="ULV35" s="47"/>
      <c r="ULW35" s="47"/>
      <c r="ULX35" s="47"/>
      <c r="ULY35" s="47"/>
      <c r="ULZ35" s="47"/>
      <c r="UMA35" s="47"/>
      <c r="UMB35" s="47"/>
      <c r="UMC35" s="47"/>
      <c r="UMD35" s="47"/>
      <c r="UME35" s="47"/>
      <c r="UMF35" s="47"/>
      <c r="UMG35" s="47"/>
      <c r="UMH35" s="47"/>
      <c r="UMI35" s="47"/>
      <c r="UMJ35" s="47"/>
      <c r="UMK35" s="47"/>
      <c r="UML35" s="47"/>
      <c r="UMM35" s="47"/>
      <c r="UMN35" s="47"/>
      <c r="UMO35" s="47"/>
      <c r="UMP35" s="47"/>
      <c r="UMQ35" s="47"/>
      <c r="UMR35" s="47"/>
      <c r="UMS35" s="47"/>
      <c r="UMT35" s="47"/>
      <c r="UMU35" s="47"/>
      <c r="UMV35" s="47"/>
      <c r="UMW35" s="47"/>
      <c r="UMX35" s="47"/>
      <c r="UMY35" s="47"/>
      <c r="UMZ35" s="47"/>
      <c r="UNA35" s="47"/>
      <c r="UNB35" s="47"/>
      <c r="UNC35" s="47"/>
      <c r="UND35" s="47"/>
      <c r="UNE35" s="47"/>
      <c r="UNF35" s="47"/>
      <c r="UNG35" s="47"/>
      <c r="UNH35" s="47"/>
      <c r="UNI35" s="47"/>
      <c r="UNJ35" s="47"/>
      <c r="UNK35" s="47"/>
      <c r="UNL35" s="47"/>
      <c r="UNM35" s="47"/>
      <c r="UNN35" s="47"/>
      <c r="UNO35" s="47"/>
      <c r="UNP35" s="47"/>
      <c r="UNQ35" s="47"/>
      <c r="UNR35" s="47"/>
      <c r="UNS35" s="47"/>
      <c r="UNT35" s="47"/>
      <c r="UNU35" s="47"/>
      <c r="UNV35" s="47"/>
      <c r="UNW35" s="47"/>
      <c r="UNX35" s="47"/>
      <c r="UNY35" s="47"/>
      <c r="UNZ35" s="47"/>
      <c r="UOA35" s="47"/>
      <c r="UOB35" s="47"/>
      <c r="UOC35" s="47"/>
      <c r="UOD35" s="47"/>
      <c r="UOE35" s="47"/>
      <c r="UOF35" s="47"/>
      <c r="UOG35" s="47"/>
      <c r="UOH35" s="47"/>
      <c r="UOI35" s="47"/>
      <c r="UOJ35" s="47"/>
      <c r="UOK35" s="47"/>
      <c r="UOL35" s="47"/>
      <c r="UOM35" s="47"/>
      <c r="UON35" s="47"/>
      <c r="UOO35" s="47"/>
      <c r="UOP35" s="47"/>
      <c r="UOQ35" s="47"/>
      <c r="UOR35" s="47"/>
      <c r="UOS35" s="47"/>
      <c r="UOT35" s="47"/>
      <c r="UOU35" s="47"/>
      <c r="UOV35" s="47"/>
      <c r="UOW35" s="47"/>
      <c r="UOX35" s="47"/>
      <c r="UOY35" s="47"/>
      <c r="UOZ35" s="47"/>
      <c r="UPA35" s="47"/>
      <c r="UPB35" s="47"/>
      <c r="UPC35" s="47"/>
      <c r="UPD35" s="47"/>
      <c r="UPE35" s="47"/>
      <c r="UPF35" s="47"/>
      <c r="UPG35" s="47"/>
      <c r="UPH35" s="47"/>
      <c r="UPI35" s="47"/>
      <c r="UPJ35" s="47"/>
      <c r="UPK35" s="47"/>
      <c r="UPL35" s="47"/>
      <c r="UPM35" s="47"/>
      <c r="UPN35" s="47"/>
      <c r="UPO35" s="47"/>
      <c r="UPP35" s="47"/>
      <c r="UPQ35" s="47"/>
      <c r="UPR35" s="47"/>
      <c r="UPS35" s="47"/>
      <c r="UPT35" s="47"/>
      <c r="UPU35" s="47"/>
      <c r="UPV35" s="47"/>
      <c r="UPW35" s="47"/>
      <c r="UPX35" s="47"/>
      <c r="UPY35" s="47"/>
      <c r="UPZ35" s="47"/>
      <c r="UQA35" s="47"/>
      <c r="UQB35" s="47"/>
      <c r="UQC35" s="47"/>
      <c r="UQD35" s="47"/>
      <c r="UQE35" s="47"/>
      <c r="UQF35" s="47"/>
      <c r="UQG35" s="47"/>
      <c r="UQH35" s="47"/>
      <c r="UQI35" s="47"/>
      <c r="UQJ35" s="47"/>
      <c r="UQK35" s="47"/>
      <c r="UQL35" s="47"/>
      <c r="UQM35" s="47"/>
      <c r="UQN35" s="47"/>
      <c r="UQO35" s="47"/>
      <c r="UQP35" s="47"/>
      <c r="UQQ35" s="47"/>
      <c r="UQR35" s="47"/>
      <c r="UQS35" s="47"/>
      <c r="UQT35" s="47"/>
      <c r="UQU35" s="47"/>
      <c r="UQV35" s="47"/>
      <c r="UQW35" s="47"/>
      <c r="UQX35" s="47"/>
      <c r="UQY35" s="47"/>
      <c r="UQZ35" s="47"/>
      <c r="URA35" s="47"/>
      <c r="URB35" s="47"/>
      <c r="URC35" s="47"/>
      <c r="URD35" s="47"/>
      <c r="URE35" s="47"/>
      <c r="URF35" s="47"/>
      <c r="URG35" s="47"/>
      <c r="URH35" s="47"/>
      <c r="URI35" s="47"/>
      <c r="URJ35" s="47"/>
      <c r="URK35" s="47"/>
      <c r="URL35" s="47"/>
      <c r="URM35" s="47"/>
      <c r="URN35" s="47"/>
      <c r="URO35" s="47"/>
      <c r="URP35" s="47"/>
      <c r="URQ35" s="47"/>
      <c r="URR35" s="47"/>
      <c r="URS35" s="47"/>
      <c r="URT35" s="47"/>
      <c r="URU35" s="47"/>
      <c r="URV35" s="47"/>
      <c r="URW35" s="47"/>
      <c r="URX35" s="47"/>
      <c r="URY35" s="47"/>
      <c r="URZ35" s="47"/>
      <c r="USA35" s="47"/>
      <c r="USB35" s="47"/>
      <c r="USC35" s="47"/>
      <c r="USD35" s="47"/>
      <c r="USE35" s="47"/>
      <c r="USF35" s="47"/>
      <c r="USG35" s="47"/>
      <c r="USH35" s="47"/>
      <c r="USI35" s="47"/>
      <c r="USJ35" s="47"/>
      <c r="USK35" s="47"/>
      <c r="USL35" s="47"/>
      <c r="USM35" s="47"/>
      <c r="USN35" s="47"/>
      <c r="USO35" s="47"/>
      <c r="USP35" s="47"/>
      <c r="USQ35" s="47"/>
      <c r="USR35" s="47"/>
      <c r="USS35" s="47"/>
      <c r="UST35" s="47"/>
      <c r="USU35" s="47"/>
      <c r="USV35" s="47"/>
      <c r="USW35" s="47"/>
      <c r="USX35" s="47"/>
      <c r="USY35" s="47"/>
      <c r="USZ35" s="47"/>
      <c r="UTA35" s="47"/>
      <c r="UTB35" s="47"/>
      <c r="UTC35" s="47"/>
      <c r="UTD35" s="47"/>
      <c r="UTE35" s="47"/>
      <c r="UTF35" s="47"/>
      <c r="UTG35" s="47"/>
      <c r="UTH35" s="47"/>
      <c r="UTI35" s="47"/>
      <c r="UTJ35" s="47"/>
      <c r="UTK35" s="47"/>
      <c r="UTL35" s="47"/>
      <c r="UTM35" s="47"/>
      <c r="UTN35" s="47"/>
      <c r="UTO35" s="47"/>
      <c r="UTP35" s="47"/>
      <c r="UTQ35" s="47"/>
      <c r="UTR35" s="47"/>
      <c r="UTS35" s="47"/>
      <c r="UTT35" s="47"/>
      <c r="UTU35" s="47"/>
      <c r="UTV35" s="47"/>
      <c r="UTW35" s="47"/>
      <c r="UTX35" s="47"/>
      <c r="UTY35" s="47"/>
      <c r="UTZ35" s="47"/>
      <c r="UUA35" s="47"/>
      <c r="UUB35" s="47"/>
      <c r="UUC35" s="47"/>
      <c r="UUD35" s="47"/>
      <c r="UUE35" s="47"/>
      <c r="UUF35" s="47"/>
      <c r="UUG35" s="47"/>
      <c r="UUH35" s="47"/>
      <c r="UUI35" s="47"/>
      <c r="UUJ35" s="47"/>
      <c r="UUK35" s="47"/>
      <c r="UUL35" s="47"/>
      <c r="UUM35" s="47"/>
      <c r="UUN35" s="47"/>
      <c r="UUO35" s="47"/>
      <c r="UUP35" s="47"/>
      <c r="UUQ35" s="47"/>
      <c r="UUR35" s="47"/>
      <c r="UUS35" s="47"/>
      <c r="UUT35" s="47"/>
      <c r="UUU35" s="47"/>
      <c r="UUV35" s="47"/>
      <c r="UUW35" s="47"/>
      <c r="UUX35" s="47"/>
      <c r="UUY35" s="47"/>
      <c r="UUZ35" s="47"/>
      <c r="UVA35" s="47"/>
      <c r="UVB35" s="47"/>
      <c r="UVC35" s="47"/>
      <c r="UVD35" s="47"/>
      <c r="UVE35" s="47"/>
      <c r="UVF35" s="47"/>
      <c r="UVG35" s="47"/>
      <c r="UVH35" s="47"/>
      <c r="UVI35" s="47"/>
      <c r="UVJ35" s="47"/>
      <c r="UVK35" s="47"/>
      <c r="UVL35" s="47"/>
      <c r="UVM35" s="47"/>
      <c r="UVN35" s="47"/>
      <c r="UVO35" s="47"/>
      <c r="UVP35" s="47"/>
      <c r="UVQ35" s="47"/>
      <c r="UVR35" s="47"/>
      <c r="UVS35" s="47"/>
      <c r="UVT35" s="47"/>
      <c r="UVU35" s="47"/>
      <c r="UVV35" s="47"/>
      <c r="UVW35" s="47"/>
      <c r="UVX35" s="47"/>
      <c r="UVY35" s="47"/>
      <c r="UVZ35" s="47"/>
      <c r="UWA35" s="47"/>
      <c r="UWB35" s="47"/>
      <c r="UWC35" s="47"/>
      <c r="UWD35" s="47"/>
      <c r="UWE35" s="47"/>
      <c r="UWF35" s="47"/>
      <c r="UWG35" s="47"/>
      <c r="UWH35" s="47"/>
      <c r="UWI35" s="47"/>
      <c r="UWJ35" s="47"/>
      <c r="UWK35" s="47"/>
      <c r="UWL35" s="47"/>
      <c r="UWM35" s="47"/>
      <c r="UWN35" s="47"/>
      <c r="UWO35" s="47"/>
      <c r="UWP35" s="47"/>
      <c r="UWQ35" s="47"/>
      <c r="UWR35" s="47"/>
      <c r="UWS35" s="47"/>
      <c r="UWT35" s="47"/>
      <c r="UWU35" s="47"/>
      <c r="UWV35" s="47"/>
      <c r="UWW35" s="47"/>
      <c r="UWX35" s="47"/>
      <c r="UWY35" s="47"/>
      <c r="UWZ35" s="47"/>
      <c r="UXA35" s="47"/>
      <c r="UXB35" s="47"/>
      <c r="UXC35" s="47"/>
      <c r="UXD35" s="47"/>
      <c r="UXE35" s="47"/>
      <c r="UXF35" s="47"/>
      <c r="UXG35" s="47"/>
      <c r="UXH35" s="47"/>
      <c r="UXI35" s="47"/>
      <c r="UXJ35" s="47"/>
      <c r="UXK35" s="47"/>
      <c r="UXL35" s="47"/>
      <c r="UXM35" s="47"/>
      <c r="UXN35" s="47"/>
      <c r="UXO35" s="47"/>
      <c r="UXP35" s="47"/>
      <c r="UXQ35" s="47"/>
      <c r="UXR35" s="47"/>
      <c r="UXS35" s="47"/>
      <c r="UXT35" s="47"/>
      <c r="UXU35" s="47"/>
      <c r="UXV35" s="47"/>
      <c r="UXW35" s="47"/>
      <c r="UXX35" s="47"/>
      <c r="UXY35" s="47"/>
      <c r="UXZ35" s="47"/>
      <c r="UYA35" s="47"/>
      <c r="UYB35" s="47"/>
      <c r="UYC35" s="47"/>
      <c r="UYD35" s="47"/>
      <c r="UYE35" s="47"/>
      <c r="UYF35" s="47"/>
      <c r="UYG35" s="47"/>
      <c r="UYH35" s="47"/>
      <c r="UYI35" s="47"/>
      <c r="UYJ35" s="47"/>
      <c r="UYK35" s="47"/>
      <c r="UYL35" s="47"/>
      <c r="UYM35" s="47"/>
      <c r="UYN35" s="47"/>
      <c r="UYO35" s="47"/>
      <c r="UYP35" s="47"/>
      <c r="UYQ35" s="47"/>
      <c r="UYR35" s="47"/>
      <c r="UYS35" s="47"/>
      <c r="UYT35" s="47"/>
      <c r="UYU35" s="47"/>
      <c r="UYV35" s="47"/>
      <c r="UYW35" s="47"/>
      <c r="UYX35" s="47"/>
      <c r="UYY35" s="47"/>
      <c r="UYZ35" s="47"/>
      <c r="UZA35" s="47"/>
      <c r="UZB35" s="47"/>
      <c r="UZC35" s="47"/>
      <c r="UZD35" s="47"/>
      <c r="UZE35" s="47"/>
      <c r="UZF35" s="47"/>
      <c r="UZG35" s="47"/>
      <c r="UZH35" s="47"/>
      <c r="UZI35" s="47"/>
      <c r="UZJ35" s="47"/>
      <c r="UZK35" s="47"/>
      <c r="UZL35" s="47"/>
      <c r="UZM35" s="47"/>
      <c r="UZN35" s="47"/>
      <c r="UZO35" s="47"/>
      <c r="UZP35" s="47"/>
      <c r="UZQ35" s="47"/>
      <c r="UZR35" s="47"/>
      <c r="UZS35" s="47"/>
      <c r="UZT35" s="47"/>
      <c r="UZU35" s="47"/>
      <c r="UZV35" s="47"/>
      <c r="UZW35" s="47"/>
      <c r="UZX35" s="47"/>
      <c r="UZY35" s="47"/>
      <c r="UZZ35" s="47"/>
      <c r="VAA35" s="47"/>
      <c r="VAB35" s="47"/>
      <c r="VAC35" s="47"/>
      <c r="VAD35" s="47"/>
      <c r="VAE35" s="47"/>
      <c r="VAF35" s="47"/>
      <c r="VAG35" s="47"/>
      <c r="VAH35" s="47"/>
      <c r="VAI35" s="47"/>
      <c r="VAJ35" s="47"/>
      <c r="VAK35" s="47"/>
      <c r="VAL35" s="47"/>
      <c r="VAM35" s="47"/>
      <c r="VAN35" s="47"/>
      <c r="VAO35" s="47"/>
      <c r="VAP35" s="47"/>
      <c r="VAQ35" s="47"/>
      <c r="VAR35" s="47"/>
      <c r="VAS35" s="47"/>
      <c r="VAT35" s="47"/>
      <c r="VAU35" s="47"/>
      <c r="VAV35" s="47"/>
      <c r="VAW35" s="47"/>
      <c r="VAX35" s="47"/>
      <c r="VAY35" s="47"/>
      <c r="VAZ35" s="47"/>
      <c r="VBA35" s="47"/>
      <c r="VBB35" s="47"/>
      <c r="VBC35" s="47"/>
      <c r="VBD35" s="47"/>
      <c r="VBE35" s="47"/>
      <c r="VBF35" s="47"/>
      <c r="VBG35" s="47"/>
      <c r="VBH35" s="47"/>
      <c r="VBI35" s="47"/>
      <c r="VBJ35" s="47"/>
      <c r="VBK35" s="47"/>
      <c r="VBL35" s="47"/>
      <c r="VBM35" s="47"/>
      <c r="VBN35" s="47"/>
      <c r="VBO35" s="47"/>
      <c r="VBP35" s="47"/>
      <c r="VBQ35" s="47"/>
      <c r="VBR35" s="47"/>
      <c r="VBS35" s="47"/>
      <c r="VBT35" s="47"/>
      <c r="VBU35" s="47"/>
      <c r="VBV35" s="47"/>
      <c r="VBW35" s="47"/>
      <c r="VBX35" s="47"/>
      <c r="VBY35" s="47"/>
      <c r="VBZ35" s="47"/>
      <c r="VCA35" s="47"/>
      <c r="VCB35" s="47"/>
      <c r="VCC35" s="47"/>
      <c r="VCD35" s="47"/>
      <c r="VCE35" s="47"/>
      <c r="VCF35" s="47"/>
      <c r="VCG35" s="47"/>
      <c r="VCH35" s="47"/>
      <c r="VCI35" s="47"/>
      <c r="VCJ35" s="47"/>
      <c r="VCK35" s="47"/>
      <c r="VCL35" s="47"/>
      <c r="VCM35" s="47"/>
      <c r="VCN35" s="47"/>
      <c r="VCO35" s="47"/>
      <c r="VCP35" s="47"/>
      <c r="VCQ35" s="47"/>
      <c r="VCR35" s="47"/>
      <c r="VCS35" s="47"/>
      <c r="VCT35" s="47"/>
      <c r="VCU35" s="47"/>
      <c r="VCV35" s="47"/>
      <c r="VCW35" s="47"/>
      <c r="VCX35" s="47"/>
      <c r="VCY35" s="47"/>
      <c r="VCZ35" s="47"/>
      <c r="VDA35" s="47"/>
      <c r="VDB35" s="47"/>
      <c r="VDC35" s="47"/>
      <c r="VDD35" s="47"/>
      <c r="VDE35" s="47"/>
      <c r="VDF35" s="47"/>
      <c r="VDG35" s="47"/>
      <c r="VDH35" s="47"/>
      <c r="VDI35" s="47"/>
      <c r="VDJ35" s="47"/>
      <c r="VDK35" s="47"/>
      <c r="VDL35" s="47"/>
      <c r="VDM35" s="47"/>
      <c r="VDN35" s="47"/>
      <c r="VDO35" s="47"/>
      <c r="VDP35" s="47"/>
      <c r="VDQ35" s="47"/>
      <c r="VDR35" s="47"/>
      <c r="VDS35" s="47"/>
      <c r="VDT35" s="47"/>
      <c r="VDU35" s="47"/>
      <c r="VDV35" s="47"/>
      <c r="VDW35" s="47"/>
      <c r="VDX35" s="47"/>
      <c r="VDY35" s="47"/>
      <c r="VDZ35" s="47"/>
      <c r="VEA35" s="47"/>
      <c r="VEB35" s="47"/>
      <c r="VEC35" s="47"/>
      <c r="VED35" s="47"/>
      <c r="VEE35" s="47"/>
      <c r="VEF35" s="47"/>
      <c r="VEG35" s="47"/>
      <c r="VEH35" s="47"/>
      <c r="VEI35" s="47"/>
      <c r="VEJ35" s="47"/>
      <c r="VEK35" s="47"/>
      <c r="VEL35" s="47"/>
      <c r="VEM35" s="47"/>
      <c r="VEN35" s="47"/>
      <c r="VEO35" s="47"/>
      <c r="VEP35" s="47"/>
      <c r="VEQ35" s="47"/>
      <c r="VER35" s="47"/>
      <c r="VES35" s="47"/>
      <c r="VET35" s="47"/>
      <c r="VEU35" s="47"/>
      <c r="VEV35" s="47"/>
      <c r="VEW35" s="47"/>
      <c r="VEX35" s="47"/>
      <c r="VEY35" s="47"/>
      <c r="VEZ35" s="47"/>
      <c r="VFA35" s="47"/>
      <c r="VFB35" s="47"/>
      <c r="VFC35" s="47"/>
      <c r="VFD35" s="47"/>
      <c r="VFE35" s="47"/>
      <c r="VFF35" s="47"/>
      <c r="VFG35" s="47"/>
      <c r="VFH35" s="47"/>
      <c r="VFI35" s="47"/>
      <c r="VFJ35" s="47"/>
      <c r="VFK35" s="47"/>
      <c r="VFL35" s="47"/>
      <c r="VFM35" s="47"/>
      <c r="VFN35" s="47"/>
      <c r="VFO35" s="47"/>
      <c r="VFP35" s="47"/>
      <c r="VFQ35" s="47"/>
      <c r="VFR35" s="47"/>
      <c r="VFS35" s="47"/>
      <c r="VFT35" s="47"/>
      <c r="VFU35" s="47"/>
      <c r="VFV35" s="47"/>
      <c r="VFW35" s="47"/>
      <c r="VFX35" s="47"/>
      <c r="VFY35" s="47"/>
      <c r="VFZ35" s="47"/>
      <c r="VGA35" s="47"/>
      <c r="VGB35" s="47"/>
      <c r="VGC35" s="47"/>
      <c r="VGD35" s="47"/>
      <c r="VGE35" s="47"/>
      <c r="VGF35" s="47"/>
      <c r="VGG35" s="47"/>
      <c r="VGH35" s="47"/>
      <c r="VGI35" s="47"/>
      <c r="VGJ35" s="47"/>
      <c r="VGK35" s="47"/>
      <c r="VGL35" s="47"/>
      <c r="VGM35" s="47"/>
      <c r="VGN35" s="47"/>
      <c r="VGO35" s="47"/>
      <c r="VGP35" s="47"/>
      <c r="VGQ35" s="47"/>
      <c r="VGR35" s="47"/>
      <c r="VGS35" s="47"/>
      <c r="VGT35" s="47"/>
      <c r="VGU35" s="47"/>
      <c r="VGV35" s="47"/>
      <c r="VGW35" s="47"/>
      <c r="VGX35" s="47"/>
      <c r="VGY35" s="47"/>
      <c r="VGZ35" s="47"/>
      <c r="VHA35" s="47"/>
      <c r="VHB35" s="47"/>
      <c r="VHC35" s="47"/>
      <c r="VHD35" s="47"/>
      <c r="VHE35" s="47"/>
      <c r="VHF35" s="47"/>
      <c r="VHG35" s="47"/>
      <c r="VHH35" s="47"/>
      <c r="VHI35" s="47"/>
      <c r="VHJ35" s="47"/>
      <c r="VHK35" s="47"/>
      <c r="VHL35" s="47"/>
      <c r="VHM35" s="47"/>
      <c r="VHN35" s="47"/>
      <c r="VHO35" s="47"/>
      <c r="VHP35" s="47"/>
      <c r="VHQ35" s="47"/>
      <c r="VHR35" s="47"/>
      <c r="VHS35" s="47"/>
      <c r="VHT35" s="47"/>
      <c r="VHU35" s="47"/>
      <c r="VHV35" s="47"/>
      <c r="VHW35" s="47"/>
      <c r="VHX35" s="47"/>
      <c r="VHY35" s="47"/>
      <c r="VHZ35" s="47"/>
      <c r="VIA35" s="47"/>
      <c r="VIB35" s="47"/>
      <c r="VIC35" s="47"/>
      <c r="VID35" s="47"/>
      <c r="VIE35" s="47"/>
      <c r="VIF35" s="47"/>
      <c r="VIG35" s="47"/>
      <c r="VIH35" s="47"/>
      <c r="VII35" s="47"/>
      <c r="VIJ35" s="47"/>
      <c r="VIK35" s="47"/>
      <c r="VIL35" s="47"/>
      <c r="VIM35" s="47"/>
      <c r="VIN35" s="47"/>
      <c r="VIO35" s="47"/>
      <c r="VIP35" s="47"/>
      <c r="VIQ35" s="47"/>
      <c r="VIR35" s="47"/>
      <c r="VIS35" s="47"/>
      <c r="VIT35" s="47"/>
      <c r="VIU35" s="47"/>
      <c r="VIV35" s="47"/>
      <c r="VIW35" s="47"/>
      <c r="VIX35" s="47"/>
      <c r="VIY35" s="47"/>
      <c r="VIZ35" s="47"/>
      <c r="VJA35" s="47"/>
      <c r="VJB35" s="47"/>
      <c r="VJC35" s="47"/>
      <c r="VJD35" s="47"/>
      <c r="VJE35" s="47"/>
      <c r="VJF35" s="47"/>
      <c r="VJG35" s="47"/>
      <c r="VJH35" s="47"/>
      <c r="VJI35" s="47"/>
      <c r="VJJ35" s="47"/>
      <c r="VJK35" s="47"/>
      <c r="VJL35" s="47"/>
      <c r="VJM35" s="47"/>
      <c r="VJN35" s="47"/>
      <c r="VJO35" s="47"/>
      <c r="VJP35" s="47"/>
      <c r="VJQ35" s="47"/>
      <c r="VJR35" s="47"/>
      <c r="VJS35" s="47"/>
      <c r="VJT35" s="47"/>
      <c r="VJU35" s="47"/>
      <c r="VJV35" s="47"/>
      <c r="VJW35" s="47"/>
      <c r="VJX35" s="47"/>
      <c r="VJY35" s="47"/>
      <c r="VJZ35" s="47"/>
      <c r="VKA35" s="47"/>
      <c r="VKB35" s="47"/>
      <c r="VKC35" s="47"/>
      <c r="VKD35" s="47"/>
      <c r="VKE35" s="47"/>
      <c r="VKF35" s="47"/>
      <c r="VKG35" s="47"/>
      <c r="VKH35" s="47"/>
      <c r="VKI35" s="47"/>
      <c r="VKJ35" s="47"/>
      <c r="VKK35" s="47"/>
      <c r="VKL35" s="47"/>
      <c r="VKM35" s="47"/>
      <c r="VKN35" s="47"/>
      <c r="VKO35" s="47"/>
      <c r="VKP35" s="47"/>
      <c r="VKQ35" s="47"/>
      <c r="VKR35" s="47"/>
      <c r="VKS35" s="47"/>
      <c r="VKT35" s="47"/>
      <c r="VKU35" s="47"/>
      <c r="VKV35" s="47"/>
      <c r="VKW35" s="47"/>
      <c r="VKX35" s="47"/>
      <c r="VKY35" s="47"/>
      <c r="VKZ35" s="47"/>
      <c r="VLA35" s="47"/>
      <c r="VLB35" s="47"/>
      <c r="VLC35" s="47"/>
      <c r="VLD35" s="47"/>
      <c r="VLE35" s="47"/>
      <c r="VLF35" s="47"/>
      <c r="VLG35" s="47"/>
      <c r="VLH35" s="47"/>
      <c r="VLI35" s="47"/>
      <c r="VLJ35" s="47"/>
      <c r="VLK35" s="47"/>
      <c r="VLL35" s="47"/>
      <c r="VLM35" s="47"/>
      <c r="VLN35" s="47"/>
      <c r="VLO35" s="47"/>
      <c r="VLP35" s="47"/>
      <c r="VLQ35" s="47"/>
      <c r="VLR35" s="47"/>
      <c r="VLS35" s="47"/>
      <c r="VLT35" s="47"/>
      <c r="VLU35" s="47"/>
      <c r="VLV35" s="47"/>
      <c r="VLW35" s="47"/>
      <c r="VLX35" s="47"/>
      <c r="VLY35" s="47"/>
      <c r="VLZ35" s="47"/>
      <c r="VMA35" s="47"/>
      <c r="VMB35" s="47"/>
      <c r="VMC35" s="47"/>
      <c r="VMD35" s="47"/>
      <c r="VME35" s="47"/>
      <c r="VMF35" s="47"/>
      <c r="VMG35" s="47"/>
      <c r="VMH35" s="47"/>
      <c r="VMI35" s="47"/>
      <c r="VMJ35" s="47"/>
      <c r="VMK35" s="47"/>
      <c r="VML35" s="47"/>
      <c r="VMM35" s="47"/>
      <c r="VMN35" s="47"/>
      <c r="VMO35" s="47"/>
      <c r="VMP35" s="47"/>
      <c r="VMQ35" s="47"/>
      <c r="VMR35" s="47"/>
      <c r="VMS35" s="47"/>
      <c r="VMT35" s="47"/>
      <c r="VMU35" s="47"/>
      <c r="VMV35" s="47"/>
      <c r="VMW35" s="47"/>
      <c r="VMX35" s="47"/>
      <c r="VMY35" s="47"/>
      <c r="VMZ35" s="47"/>
      <c r="VNA35" s="47"/>
      <c r="VNB35" s="47"/>
      <c r="VNC35" s="47"/>
      <c r="VND35" s="47"/>
      <c r="VNE35" s="47"/>
      <c r="VNF35" s="47"/>
      <c r="VNG35" s="47"/>
      <c r="VNH35" s="47"/>
      <c r="VNI35" s="47"/>
      <c r="VNJ35" s="47"/>
      <c r="VNK35" s="47"/>
      <c r="VNL35" s="47"/>
      <c r="VNM35" s="47"/>
      <c r="VNN35" s="47"/>
      <c r="VNO35" s="47"/>
      <c r="VNP35" s="47"/>
      <c r="VNQ35" s="47"/>
      <c r="VNR35" s="47"/>
      <c r="VNS35" s="47"/>
      <c r="VNT35" s="47"/>
      <c r="VNU35" s="47"/>
      <c r="VNV35" s="47"/>
      <c r="VNW35" s="47"/>
      <c r="VNX35" s="47"/>
      <c r="VNY35" s="47"/>
      <c r="VNZ35" s="47"/>
      <c r="VOA35" s="47"/>
      <c r="VOB35" s="47"/>
      <c r="VOC35" s="47"/>
      <c r="VOD35" s="47"/>
      <c r="VOE35" s="47"/>
      <c r="VOF35" s="47"/>
      <c r="VOG35" s="47"/>
      <c r="VOH35" s="47"/>
      <c r="VOI35" s="47"/>
      <c r="VOJ35" s="47"/>
      <c r="VOK35" s="47"/>
      <c r="VOL35" s="47"/>
      <c r="VOM35" s="47"/>
      <c r="VON35" s="47"/>
      <c r="VOO35" s="47"/>
      <c r="VOP35" s="47"/>
      <c r="VOQ35" s="47"/>
      <c r="VOR35" s="47"/>
      <c r="VOS35" s="47"/>
      <c r="VOT35" s="47"/>
      <c r="VOU35" s="47"/>
      <c r="VOV35" s="47"/>
      <c r="VOW35" s="47"/>
      <c r="VOX35" s="47"/>
      <c r="VOY35" s="47"/>
      <c r="VOZ35" s="47"/>
      <c r="VPA35" s="47"/>
      <c r="VPB35" s="47"/>
      <c r="VPC35" s="47"/>
      <c r="VPD35" s="47"/>
      <c r="VPE35" s="47"/>
      <c r="VPF35" s="47"/>
      <c r="VPG35" s="47"/>
      <c r="VPH35" s="47"/>
      <c r="VPI35" s="47"/>
      <c r="VPJ35" s="47"/>
      <c r="VPK35" s="47"/>
      <c r="VPL35" s="47"/>
      <c r="VPM35" s="47"/>
      <c r="VPN35" s="47"/>
      <c r="VPO35" s="47"/>
      <c r="VPP35" s="47"/>
      <c r="VPQ35" s="47"/>
      <c r="VPR35" s="47"/>
      <c r="VPS35" s="47"/>
      <c r="VPT35" s="47"/>
      <c r="VPU35" s="47"/>
      <c r="VPV35" s="47"/>
      <c r="VPW35" s="47"/>
      <c r="VPX35" s="47"/>
      <c r="VPY35" s="47"/>
      <c r="VPZ35" s="47"/>
      <c r="VQA35" s="47"/>
      <c r="VQB35" s="47"/>
      <c r="VQC35" s="47"/>
      <c r="VQD35" s="47"/>
      <c r="VQE35" s="47"/>
      <c r="VQF35" s="47"/>
      <c r="VQG35" s="47"/>
      <c r="VQH35" s="47"/>
      <c r="VQI35" s="47"/>
      <c r="VQJ35" s="47"/>
      <c r="VQK35" s="47"/>
      <c r="VQL35" s="47"/>
      <c r="VQM35" s="47"/>
      <c r="VQN35" s="47"/>
      <c r="VQO35" s="47"/>
      <c r="VQP35" s="47"/>
      <c r="VQQ35" s="47"/>
      <c r="VQR35" s="47"/>
      <c r="VQS35" s="47"/>
      <c r="VQT35" s="47"/>
      <c r="VQU35" s="47"/>
      <c r="VQV35" s="47"/>
      <c r="VQW35" s="47"/>
      <c r="VQX35" s="47"/>
      <c r="VQY35" s="47"/>
      <c r="VQZ35" s="47"/>
      <c r="VRA35" s="47"/>
      <c r="VRB35" s="47"/>
      <c r="VRC35" s="47"/>
      <c r="VRD35" s="47"/>
      <c r="VRE35" s="47"/>
      <c r="VRF35" s="47"/>
      <c r="VRG35" s="47"/>
      <c r="VRH35" s="47"/>
      <c r="VRI35" s="47"/>
      <c r="VRJ35" s="47"/>
      <c r="VRK35" s="47"/>
      <c r="VRL35" s="47"/>
      <c r="VRM35" s="47"/>
      <c r="VRN35" s="47"/>
      <c r="VRO35" s="47"/>
      <c r="VRP35" s="47"/>
      <c r="VRQ35" s="47"/>
      <c r="VRR35" s="47"/>
      <c r="VRS35" s="47"/>
      <c r="VRT35" s="47"/>
      <c r="VRU35" s="47"/>
      <c r="VRV35" s="47"/>
      <c r="VRW35" s="47"/>
      <c r="VRX35" s="47"/>
      <c r="VRY35" s="47"/>
      <c r="VRZ35" s="47"/>
      <c r="VSA35" s="47"/>
      <c r="VSB35" s="47"/>
      <c r="VSC35" s="47"/>
      <c r="VSD35" s="47"/>
      <c r="VSE35" s="47"/>
      <c r="VSF35" s="47"/>
      <c r="VSG35" s="47"/>
      <c r="VSH35" s="47"/>
      <c r="VSI35" s="47"/>
      <c r="VSJ35" s="47"/>
      <c r="VSK35" s="47"/>
      <c r="VSL35" s="47"/>
      <c r="VSM35" s="47"/>
      <c r="VSN35" s="47"/>
      <c r="VSO35" s="47"/>
      <c r="VSP35" s="47"/>
      <c r="VSQ35" s="47"/>
      <c r="VSR35" s="47"/>
      <c r="VSS35" s="47"/>
      <c r="VST35" s="47"/>
      <c r="VSU35" s="47"/>
      <c r="VSV35" s="47"/>
      <c r="VSW35" s="47"/>
      <c r="VSX35" s="47"/>
      <c r="VSY35" s="47"/>
      <c r="VSZ35" s="47"/>
      <c r="VTA35" s="47"/>
      <c r="VTB35" s="47"/>
      <c r="VTC35" s="47"/>
      <c r="VTD35" s="47"/>
      <c r="VTE35" s="47"/>
      <c r="VTF35" s="47"/>
      <c r="VTG35" s="47"/>
      <c r="VTH35" s="47"/>
      <c r="VTI35" s="47"/>
      <c r="VTJ35" s="47"/>
      <c r="VTK35" s="47"/>
      <c r="VTL35" s="47"/>
      <c r="VTM35" s="47"/>
      <c r="VTN35" s="47"/>
      <c r="VTO35" s="47"/>
      <c r="VTP35" s="47"/>
      <c r="VTQ35" s="47"/>
      <c r="VTR35" s="47"/>
      <c r="VTS35" s="47"/>
      <c r="VTT35" s="47"/>
      <c r="VTU35" s="47"/>
      <c r="VTV35" s="47"/>
      <c r="VTW35" s="47"/>
      <c r="VTX35" s="47"/>
      <c r="VTY35" s="47"/>
      <c r="VTZ35" s="47"/>
      <c r="VUA35" s="47"/>
      <c r="VUB35" s="47"/>
      <c r="VUC35" s="47"/>
      <c r="VUD35" s="47"/>
      <c r="VUE35" s="47"/>
      <c r="VUF35" s="47"/>
      <c r="VUG35" s="47"/>
      <c r="VUH35" s="47"/>
      <c r="VUI35" s="47"/>
      <c r="VUJ35" s="47"/>
      <c r="VUK35" s="47"/>
      <c r="VUL35" s="47"/>
      <c r="VUM35" s="47"/>
      <c r="VUN35" s="47"/>
      <c r="VUO35" s="47"/>
      <c r="VUP35" s="47"/>
      <c r="VUQ35" s="47"/>
      <c r="VUR35" s="47"/>
      <c r="VUS35" s="47"/>
      <c r="VUT35" s="47"/>
      <c r="VUU35" s="47"/>
      <c r="VUV35" s="47"/>
      <c r="VUW35" s="47"/>
      <c r="VUX35" s="47"/>
      <c r="VUY35" s="47"/>
      <c r="VUZ35" s="47"/>
      <c r="VVA35" s="47"/>
      <c r="VVB35" s="47"/>
      <c r="VVC35" s="47"/>
      <c r="VVD35" s="47"/>
      <c r="VVE35" s="47"/>
      <c r="VVF35" s="47"/>
      <c r="VVG35" s="47"/>
      <c r="VVH35" s="47"/>
      <c r="VVI35" s="47"/>
      <c r="VVJ35" s="47"/>
      <c r="VVK35" s="47"/>
      <c r="VVL35" s="47"/>
      <c r="VVM35" s="47"/>
      <c r="VVN35" s="47"/>
      <c r="VVO35" s="47"/>
      <c r="VVP35" s="47"/>
      <c r="VVQ35" s="47"/>
      <c r="VVR35" s="47"/>
      <c r="VVS35" s="47"/>
      <c r="VVT35" s="47"/>
      <c r="VVU35" s="47"/>
      <c r="VVV35" s="47"/>
      <c r="VVW35" s="47"/>
      <c r="VVX35" s="47"/>
      <c r="VVY35" s="47"/>
      <c r="VVZ35" s="47"/>
      <c r="VWA35" s="47"/>
      <c r="VWB35" s="47"/>
      <c r="VWC35" s="47"/>
      <c r="VWD35" s="47"/>
      <c r="VWE35" s="47"/>
      <c r="VWF35" s="47"/>
      <c r="VWG35" s="47"/>
      <c r="VWH35" s="47"/>
      <c r="VWI35" s="47"/>
      <c r="VWJ35" s="47"/>
      <c r="VWK35" s="47"/>
      <c r="VWL35" s="47"/>
      <c r="VWM35" s="47"/>
      <c r="VWN35" s="47"/>
      <c r="VWO35" s="47"/>
      <c r="VWP35" s="47"/>
      <c r="VWQ35" s="47"/>
      <c r="VWR35" s="47"/>
      <c r="VWS35" s="47"/>
      <c r="VWT35" s="47"/>
      <c r="VWU35" s="47"/>
      <c r="VWV35" s="47"/>
      <c r="VWW35" s="47"/>
      <c r="VWX35" s="47"/>
      <c r="VWY35" s="47"/>
      <c r="VWZ35" s="47"/>
      <c r="VXA35" s="47"/>
      <c r="VXB35" s="47"/>
      <c r="VXC35" s="47"/>
      <c r="VXD35" s="47"/>
      <c r="VXE35" s="47"/>
      <c r="VXF35" s="47"/>
      <c r="VXG35" s="47"/>
      <c r="VXH35" s="47"/>
      <c r="VXI35" s="47"/>
      <c r="VXJ35" s="47"/>
      <c r="VXK35" s="47"/>
      <c r="VXL35" s="47"/>
      <c r="VXM35" s="47"/>
      <c r="VXN35" s="47"/>
      <c r="VXO35" s="47"/>
      <c r="VXP35" s="47"/>
      <c r="VXQ35" s="47"/>
      <c r="VXR35" s="47"/>
      <c r="VXS35" s="47"/>
      <c r="VXT35" s="47"/>
      <c r="VXU35" s="47"/>
      <c r="VXV35" s="47"/>
      <c r="VXW35" s="47"/>
      <c r="VXX35" s="47"/>
      <c r="VXY35" s="47"/>
      <c r="VXZ35" s="47"/>
      <c r="VYA35" s="47"/>
      <c r="VYB35" s="47"/>
      <c r="VYC35" s="47"/>
      <c r="VYD35" s="47"/>
      <c r="VYE35" s="47"/>
      <c r="VYF35" s="47"/>
      <c r="VYG35" s="47"/>
      <c r="VYH35" s="47"/>
      <c r="VYI35" s="47"/>
      <c r="VYJ35" s="47"/>
      <c r="VYK35" s="47"/>
      <c r="VYL35" s="47"/>
      <c r="VYM35" s="47"/>
      <c r="VYN35" s="47"/>
      <c r="VYO35" s="47"/>
      <c r="VYP35" s="47"/>
      <c r="VYQ35" s="47"/>
      <c r="VYR35" s="47"/>
      <c r="VYS35" s="47"/>
      <c r="VYT35" s="47"/>
      <c r="VYU35" s="47"/>
      <c r="VYV35" s="47"/>
      <c r="VYW35" s="47"/>
      <c r="VYX35" s="47"/>
      <c r="VYY35" s="47"/>
      <c r="VYZ35" s="47"/>
      <c r="VZA35" s="47"/>
      <c r="VZB35" s="47"/>
      <c r="VZC35" s="47"/>
      <c r="VZD35" s="47"/>
      <c r="VZE35" s="47"/>
      <c r="VZF35" s="47"/>
      <c r="VZG35" s="47"/>
      <c r="VZH35" s="47"/>
      <c r="VZI35" s="47"/>
      <c r="VZJ35" s="47"/>
      <c r="VZK35" s="47"/>
      <c r="VZL35" s="47"/>
      <c r="VZM35" s="47"/>
      <c r="VZN35" s="47"/>
      <c r="VZO35" s="47"/>
      <c r="VZP35" s="47"/>
      <c r="VZQ35" s="47"/>
      <c r="VZR35" s="47"/>
      <c r="VZS35" s="47"/>
      <c r="VZT35" s="47"/>
      <c r="VZU35" s="47"/>
      <c r="VZV35" s="47"/>
      <c r="VZW35" s="47"/>
      <c r="VZX35" s="47"/>
      <c r="VZY35" s="47"/>
      <c r="VZZ35" s="47"/>
      <c r="WAA35" s="47"/>
      <c r="WAB35" s="47"/>
      <c r="WAC35" s="47"/>
      <c r="WAD35" s="47"/>
      <c r="WAE35" s="47"/>
      <c r="WAF35" s="47"/>
      <c r="WAG35" s="47"/>
      <c r="WAH35" s="47"/>
      <c r="WAI35" s="47"/>
      <c r="WAJ35" s="47"/>
      <c r="WAK35" s="47"/>
      <c r="WAL35" s="47"/>
      <c r="WAM35" s="47"/>
      <c r="WAN35" s="47"/>
      <c r="WAO35" s="47"/>
      <c r="WAP35" s="47"/>
      <c r="WAQ35" s="47"/>
      <c r="WAR35" s="47"/>
      <c r="WAS35" s="47"/>
      <c r="WAT35" s="47"/>
      <c r="WAU35" s="47"/>
      <c r="WAV35" s="47"/>
      <c r="WAW35" s="47"/>
      <c r="WAX35" s="47"/>
      <c r="WAY35" s="47"/>
      <c r="WAZ35" s="47"/>
      <c r="WBA35" s="47"/>
      <c r="WBB35" s="47"/>
      <c r="WBC35" s="47"/>
      <c r="WBD35" s="47"/>
      <c r="WBE35" s="47"/>
      <c r="WBF35" s="47"/>
      <c r="WBG35" s="47"/>
      <c r="WBH35" s="47"/>
      <c r="WBI35" s="47"/>
      <c r="WBJ35" s="47"/>
      <c r="WBK35" s="47"/>
      <c r="WBL35" s="47"/>
      <c r="WBM35" s="47"/>
      <c r="WBN35" s="47"/>
      <c r="WBO35" s="47"/>
      <c r="WBP35" s="47"/>
      <c r="WBQ35" s="47"/>
      <c r="WBR35" s="47"/>
      <c r="WBS35" s="47"/>
      <c r="WBT35" s="47"/>
      <c r="WBU35" s="47"/>
      <c r="WBV35" s="47"/>
      <c r="WBW35" s="47"/>
      <c r="WBX35" s="47"/>
      <c r="WBY35" s="47"/>
      <c r="WBZ35" s="47"/>
      <c r="WCA35" s="47"/>
      <c r="WCB35" s="47"/>
      <c r="WCC35" s="47"/>
      <c r="WCD35" s="47"/>
      <c r="WCE35" s="47"/>
      <c r="WCF35" s="47"/>
      <c r="WCG35" s="47"/>
      <c r="WCH35" s="47"/>
      <c r="WCI35" s="47"/>
      <c r="WCJ35" s="47"/>
      <c r="WCK35" s="47"/>
      <c r="WCL35" s="47"/>
      <c r="WCM35" s="47"/>
      <c r="WCN35" s="47"/>
      <c r="WCO35" s="47"/>
      <c r="WCP35" s="47"/>
      <c r="WCQ35" s="47"/>
      <c r="WCR35" s="47"/>
      <c r="WCS35" s="47"/>
      <c r="WCT35" s="47"/>
      <c r="WCU35" s="47"/>
      <c r="WCV35" s="47"/>
      <c r="WCW35" s="47"/>
      <c r="WCX35" s="47"/>
      <c r="WCY35" s="47"/>
      <c r="WCZ35" s="47"/>
      <c r="WDA35" s="47"/>
      <c r="WDB35" s="47"/>
      <c r="WDC35" s="47"/>
      <c r="WDD35" s="47"/>
      <c r="WDE35" s="47"/>
      <c r="WDF35" s="47"/>
      <c r="WDG35" s="47"/>
      <c r="WDH35" s="47"/>
      <c r="WDI35" s="47"/>
      <c r="WDJ35" s="47"/>
      <c r="WDK35" s="47"/>
      <c r="WDL35" s="47"/>
      <c r="WDM35" s="47"/>
      <c r="WDN35" s="47"/>
      <c r="WDO35" s="47"/>
      <c r="WDP35" s="47"/>
      <c r="WDQ35" s="47"/>
      <c r="WDR35" s="47"/>
      <c r="WDS35" s="47"/>
      <c r="WDT35" s="47"/>
      <c r="WDU35" s="47"/>
      <c r="WDV35" s="47"/>
      <c r="WDW35" s="47"/>
      <c r="WDX35" s="47"/>
      <c r="WDY35" s="47"/>
      <c r="WDZ35" s="47"/>
      <c r="WEA35" s="47"/>
      <c r="WEB35" s="47"/>
      <c r="WEC35" s="47"/>
      <c r="WED35" s="47"/>
      <c r="WEE35" s="47"/>
      <c r="WEF35" s="47"/>
      <c r="WEG35" s="47"/>
      <c r="WEH35" s="47"/>
      <c r="WEI35" s="47"/>
      <c r="WEJ35" s="47"/>
      <c r="WEK35" s="47"/>
      <c r="WEL35" s="47"/>
      <c r="WEM35" s="47"/>
      <c r="WEN35" s="47"/>
      <c r="WEO35" s="47"/>
      <c r="WEP35" s="47"/>
      <c r="WEQ35" s="47"/>
      <c r="WER35" s="47"/>
      <c r="WES35" s="47"/>
      <c r="WET35" s="47"/>
      <c r="WEU35" s="47"/>
      <c r="WEV35" s="47"/>
      <c r="WEW35" s="47"/>
      <c r="WEX35" s="47"/>
      <c r="WEY35" s="47"/>
      <c r="WEZ35" s="47"/>
      <c r="WFA35" s="47"/>
      <c r="WFB35" s="47"/>
      <c r="WFC35" s="47"/>
      <c r="WFD35" s="47"/>
      <c r="WFE35" s="47"/>
      <c r="WFF35" s="47"/>
      <c r="WFG35" s="47"/>
      <c r="WFH35" s="47"/>
      <c r="WFI35" s="47"/>
      <c r="WFJ35" s="47"/>
      <c r="WFK35" s="47"/>
      <c r="WFL35" s="47"/>
      <c r="WFM35" s="47"/>
      <c r="WFN35" s="47"/>
      <c r="WFO35" s="47"/>
      <c r="WFP35" s="47"/>
      <c r="WFQ35" s="47"/>
      <c r="WFR35" s="47"/>
      <c r="WFS35" s="47"/>
      <c r="WFT35" s="47"/>
      <c r="WFU35" s="47"/>
      <c r="WFV35" s="47"/>
      <c r="WFW35" s="47"/>
      <c r="WFX35" s="47"/>
      <c r="WFY35" s="47"/>
      <c r="WFZ35" s="47"/>
      <c r="WGA35" s="47"/>
      <c r="WGB35" s="47"/>
      <c r="WGC35" s="47"/>
      <c r="WGD35" s="47"/>
      <c r="WGE35" s="47"/>
      <c r="WGF35" s="47"/>
      <c r="WGG35" s="47"/>
      <c r="WGH35" s="47"/>
      <c r="WGI35" s="47"/>
      <c r="WGJ35" s="47"/>
      <c r="WGK35" s="47"/>
      <c r="WGL35" s="47"/>
      <c r="WGM35" s="47"/>
      <c r="WGN35" s="47"/>
      <c r="WGO35" s="47"/>
      <c r="WGP35" s="47"/>
      <c r="WGQ35" s="47"/>
      <c r="WGR35" s="47"/>
      <c r="WGS35" s="47"/>
      <c r="WGT35" s="47"/>
      <c r="WGU35" s="47"/>
      <c r="WGV35" s="47"/>
      <c r="WGW35" s="47"/>
      <c r="WGX35" s="47"/>
      <c r="WGY35" s="47"/>
      <c r="WGZ35" s="47"/>
      <c r="WHA35" s="47"/>
      <c r="WHB35" s="47"/>
      <c r="WHC35" s="47"/>
      <c r="WHD35" s="47"/>
      <c r="WHE35" s="47"/>
      <c r="WHF35" s="47"/>
      <c r="WHG35" s="47"/>
      <c r="WHH35" s="47"/>
      <c r="WHI35" s="47"/>
      <c r="WHJ35" s="47"/>
      <c r="WHK35" s="47"/>
      <c r="WHL35" s="47"/>
      <c r="WHM35" s="47"/>
      <c r="WHN35" s="47"/>
      <c r="WHO35" s="47"/>
      <c r="WHP35" s="47"/>
      <c r="WHQ35" s="47"/>
      <c r="WHR35" s="47"/>
      <c r="WHS35" s="47"/>
      <c r="WHT35" s="47"/>
      <c r="WHU35" s="47"/>
      <c r="WHV35" s="47"/>
      <c r="WHW35" s="47"/>
      <c r="WHX35" s="47"/>
      <c r="WHY35" s="47"/>
      <c r="WHZ35" s="47"/>
      <c r="WIA35" s="47"/>
      <c r="WIB35" s="47"/>
      <c r="WIC35" s="47"/>
      <c r="WID35" s="47"/>
      <c r="WIE35" s="47"/>
      <c r="WIF35" s="47"/>
      <c r="WIG35" s="47"/>
      <c r="WIH35" s="47"/>
      <c r="WII35" s="47"/>
      <c r="WIJ35" s="47"/>
      <c r="WIK35" s="47"/>
      <c r="WIL35" s="47"/>
      <c r="WIM35" s="47"/>
      <c r="WIN35" s="47"/>
      <c r="WIO35" s="47"/>
      <c r="WIP35" s="47"/>
      <c r="WIQ35" s="47"/>
      <c r="WIR35" s="47"/>
      <c r="WIS35" s="47"/>
      <c r="WIT35" s="47"/>
      <c r="WIU35" s="47"/>
      <c r="WIV35" s="47"/>
      <c r="WIW35" s="47"/>
      <c r="WIX35" s="47"/>
      <c r="WIY35" s="47"/>
      <c r="WIZ35" s="47"/>
      <c r="WJA35" s="47"/>
      <c r="WJB35" s="47"/>
      <c r="WJC35" s="47"/>
      <c r="WJD35" s="47"/>
      <c r="WJE35" s="47"/>
      <c r="WJF35" s="47"/>
      <c r="WJG35" s="47"/>
      <c r="WJH35" s="47"/>
      <c r="WJI35" s="47"/>
      <c r="WJJ35" s="47"/>
      <c r="WJK35" s="47"/>
      <c r="WJL35" s="47"/>
      <c r="WJM35" s="47"/>
      <c r="WJN35" s="47"/>
      <c r="WJO35" s="47"/>
      <c r="WJP35" s="47"/>
      <c r="WJQ35" s="47"/>
      <c r="WJR35" s="47"/>
      <c r="WJS35" s="47"/>
      <c r="WJT35" s="47"/>
      <c r="WJU35" s="47"/>
      <c r="WJV35" s="47"/>
      <c r="WJW35" s="47"/>
      <c r="WJX35" s="47"/>
      <c r="WJY35" s="47"/>
      <c r="WJZ35" s="47"/>
      <c r="WKA35" s="47"/>
      <c r="WKB35" s="47"/>
      <c r="WKC35" s="47"/>
      <c r="WKD35" s="47"/>
      <c r="WKE35" s="47"/>
      <c r="WKF35" s="47"/>
      <c r="WKG35" s="47"/>
      <c r="WKH35" s="47"/>
      <c r="WKI35" s="47"/>
      <c r="WKJ35" s="47"/>
      <c r="WKK35" s="47"/>
      <c r="WKL35" s="47"/>
      <c r="WKM35" s="47"/>
      <c r="WKN35" s="47"/>
      <c r="WKO35" s="47"/>
      <c r="WKP35" s="47"/>
      <c r="WKQ35" s="47"/>
      <c r="WKR35" s="47"/>
      <c r="WKS35" s="47"/>
      <c r="WKT35" s="47"/>
      <c r="WKU35" s="47"/>
      <c r="WKV35" s="47"/>
      <c r="WKW35" s="47"/>
      <c r="WKX35" s="47"/>
      <c r="WKY35" s="47"/>
      <c r="WKZ35" s="47"/>
      <c r="WLA35" s="47"/>
      <c r="WLB35" s="47"/>
      <c r="WLC35" s="47"/>
      <c r="WLD35" s="47"/>
      <c r="WLE35" s="47"/>
      <c r="WLF35" s="47"/>
      <c r="WLG35" s="47"/>
      <c r="WLH35" s="47"/>
      <c r="WLI35" s="47"/>
      <c r="WLJ35" s="47"/>
      <c r="WLK35" s="47"/>
      <c r="WLL35" s="47"/>
      <c r="WLM35" s="47"/>
      <c r="WLN35" s="47"/>
      <c r="WLO35" s="47"/>
      <c r="WLP35" s="47"/>
      <c r="WLQ35" s="47"/>
      <c r="WLR35" s="47"/>
      <c r="WLS35" s="47"/>
      <c r="WLT35" s="47"/>
      <c r="WLU35" s="47"/>
      <c r="WLV35" s="47"/>
      <c r="WLW35" s="47"/>
      <c r="WLX35" s="47"/>
      <c r="WLY35" s="47"/>
      <c r="WLZ35" s="47"/>
      <c r="WMA35" s="47"/>
      <c r="WMB35" s="47"/>
      <c r="WMC35" s="47"/>
      <c r="WMD35" s="47"/>
      <c r="WME35" s="47"/>
      <c r="WMF35" s="47"/>
      <c r="WMG35" s="47"/>
      <c r="WMH35" s="47"/>
      <c r="WMI35" s="47"/>
      <c r="WMJ35" s="47"/>
      <c r="WMK35" s="47"/>
      <c r="WML35" s="47"/>
      <c r="WMM35" s="47"/>
      <c r="WMN35" s="47"/>
      <c r="WMO35" s="47"/>
      <c r="WMP35" s="47"/>
      <c r="WMQ35" s="47"/>
      <c r="WMR35" s="47"/>
      <c r="WMS35" s="47"/>
      <c r="WMT35" s="47"/>
      <c r="WMU35" s="47"/>
      <c r="WMV35" s="47"/>
      <c r="WMW35" s="47"/>
      <c r="WMX35" s="47"/>
      <c r="WMY35" s="47"/>
      <c r="WMZ35" s="47"/>
      <c r="WNA35" s="47"/>
      <c r="WNB35" s="47"/>
      <c r="WNC35" s="47"/>
      <c r="WND35" s="47"/>
      <c r="WNE35" s="47"/>
      <c r="WNF35" s="47"/>
      <c r="WNG35" s="47"/>
      <c r="WNH35" s="47"/>
      <c r="WNI35" s="47"/>
      <c r="WNJ35" s="47"/>
      <c r="WNK35" s="47"/>
      <c r="WNL35" s="47"/>
      <c r="WNM35" s="47"/>
      <c r="WNN35" s="47"/>
      <c r="WNO35" s="47"/>
      <c r="WNP35" s="47"/>
      <c r="WNQ35" s="47"/>
      <c r="WNR35" s="47"/>
      <c r="WNS35" s="47"/>
      <c r="WNT35" s="47"/>
      <c r="WNU35" s="47"/>
      <c r="WNV35" s="47"/>
      <c r="WNW35" s="47"/>
      <c r="WNX35" s="47"/>
      <c r="WNY35" s="47"/>
      <c r="WNZ35" s="47"/>
      <c r="WOA35" s="47"/>
      <c r="WOB35" s="47"/>
      <c r="WOC35" s="47"/>
      <c r="WOD35" s="47"/>
      <c r="WOE35" s="47"/>
      <c r="WOF35" s="47"/>
      <c r="WOG35" s="47"/>
      <c r="WOH35" s="47"/>
      <c r="WOI35" s="47"/>
      <c r="WOJ35" s="47"/>
      <c r="WOK35" s="47"/>
      <c r="WOL35" s="47"/>
      <c r="WOM35" s="47"/>
      <c r="WON35" s="47"/>
      <c r="WOO35" s="47"/>
      <c r="WOP35" s="47"/>
      <c r="WOQ35" s="47"/>
      <c r="WOR35" s="47"/>
      <c r="WOS35" s="47"/>
      <c r="WOT35" s="47"/>
      <c r="WOU35" s="47"/>
      <c r="WOV35" s="47"/>
      <c r="WOW35" s="47"/>
      <c r="WOX35" s="47"/>
      <c r="WOY35" s="47"/>
      <c r="WOZ35" s="47"/>
      <c r="WPA35" s="47"/>
      <c r="WPB35" s="47"/>
      <c r="WPC35" s="47"/>
      <c r="WPD35" s="47"/>
      <c r="WPE35" s="47"/>
      <c r="WPF35" s="47"/>
      <c r="WPG35" s="47"/>
      <c r="WPH35" s="47"/>
      <c r="WPI35" s="47"/>
      <c r="WPJ35" s="47"/>
      <c r="WPK35" s="47"/>
      <c r="WPL35" s="47"/>
      <c r="WPM35" s="47"/>
      <c r="WPN35" s="47"/>
      <c r="WPO35" s="47"/>
      <c r="WPP35" s="47"/>
      <c r="WPQ35" s="47"/>
      <c r="WPR35" s="47"/>
      <c r="WPS35" s="47"/>
      <c r="WPT35" s="47"/>
      <c r="WPU35" s="47"/>
      <c r="WPV35" s="47"/>
      <c r="WPW35" s="47"/>
      <c r="WPX35" s="47"/>
      <c r="WPY35" s="47"/>
      <c r="WPZ35" s="47"/>
      <c r="WQA35" s="47"/>
      <c r="WQB35" s="47"/>
      <c r="WQC35" s="47"/>
      <c r="WQD35" s="47"/>
      <c r="WQE35" s="47"/>
      <c r="WQF35" s="47"/>
      <c r="WQG35" s="47"/>
      <c r="WQH35" s="47"/>
      <c r="WQI35" s="47"/>
      <c r="WQJ35" s="47"/>
      <c r="WQK35" s="47"/>
      <c r="WQL35" s="47"/>
      <c r="WQM35" s="47"/>
      <c r="WQN35" s="47"/>
      <c r="WQO35" s="47"/>
      <c r="WQP35" s="47"/>
      <c r="WQQ35" s="47"/>
      <c r="WQR35" s="47"/>
      <c r="WQS35" s="47"/>
      <c r="WQT35" s="47"/>
      <c r="WQU35" s="47"/>
      <c r="WQV35" s="47"/>
      <c r="WQW35" s="47"/>
      <c r="WQX35" s="47"/>
      <c r="WQY35" s="47"/>
      <c r="WQZ35" s="47"/>
      <c r="WRA35" s="47"/>
      <c r="WRB35" s="47"/>
      <c r="WRC35" s="47"/>
      <c r="WRD35" s="47"/>
      <c r="WRE35" s="47"/>
      <c r="WRF35" s="47"/>
      <c r="WRG35" s="47"/>
      <c r="WRH35" s="47"/>
      <c r="WRI35" s="47"/>
      <c r="WRJ35" s="47"/>
      <c r="WRK35" s="47"/>
      <c r="WRL35" s="47"/>
      <c r="WRM35" s="47"/>
      <c r="WRN35" s="47"/>
      <c r="WRO35" s="47"/>
      <c r="WRP35" s="47"/>
      <c r="WRQ35" s="47"/>
      <c r="WRR35" s="47"/>
      <c r="WRS35" s="47"/>
      <c r="WRT35" s="47"/>
      <c r="WRU35" s="47"/>
      <c r="WRV35" s="47"/>
      <c r="WRW35" s="47"/>
      <c r="WRX35" s="47"/>
      <c r="WRY35" s="47"/>
      <c r="WRZ35" s="47"/>
      <c r="WSA35" s="47"/>
      <c r="WSB35" s="47"/>
      <c r="WSC35" s="47"/>
      <c r="WSD35" s="47"/>
      <c r="WSE35" s="47"/>
      <c r="WSF35" s="47"/>
      <c r="WSG35" s="47"/>
      <c r="WSH35" s="47"/>
      <c r="WSI35" s="47"/>
      <c r="WSJ35" s="47"/>
      <c r="WSK35" s="47"/>
      <c r="WSL35" s="47"/>
      <c r="WSM35" s="47"/>
      <c r="WSN35" s="47"/>
      <c r="WSO35" s="47"/>
      <c r="WSP35" s="47"/>
      <c r="WSQ35" s="47"/>
      <c r="WSR35" s="47"/>
      <c r="WSS35" s="47"/>
      <c r="WST35" s="47"/>
      <c r="WSU35" s="47"/>
      <c r="WSV35" s="47"/>
      <c r="WSW35" s="47"/>
      <c r="WSX35" s="47"/>
      <c r="WSY35" s="47"/>
      <c r="WSZ35" s="47"/>
      <c r="WTA35" s="47"/>
      <c r="WTB35" s="47"/>
      <c r="WTC35" s="47"/>
      <c r="WTD35" s="47"/>
      <c r="WTE35" s="47"/>
      <c r="WTF35" s="47"/>
      <c r="WTG35" s="47"/>
      <c r="WTH35" s="47"/>
      <c r="WTI35" s="47"/>
      <c r="WTJ35" s="47"/>
      <c r="WTK35" s="47"/>
      <c r="WTL35" s="47"/>
      <c r="WTM35" s="47"/>
      <c r="WTN35" s="47"/>
      <c r="WTO35" s="47"/>
      <c r="WTP35" s="47"/>
      <c r="WTQ35" s="47"/>
      <c r="WTR35" s="47"/>
      <c r="WTS35" s="47"/>
      <c r="WTT35" s="47"/>
      <c r="WTU35" s="47"/>
      <c r="WTV35" s="47"/>
      <c r="WTW35" s="47"/>
      <c r="WTX35" s="47"/>
      <c r="WTY35" s="47"/>
      <c r="WTZ35" s="47"/>
      <c r="WUA35" s="47"/>
      <c r="WUB35" s="47"/>
      <c r="WUC35" s="47"/>
      <c r="WUD35" s="47"/>
      <c r="WUE35" s="47"/>
      <c r="WUF35" s="47"/>
      <c r="WUG35" s="47"/>
      <c r="WUH35" s="47"/>
      <c r="WUI35" s="47"/>
      <c r="WUJ35" s="47"/>
      <c r="WUK35" s="47"/>
      <c r="WUL35" s="47"/>
      <c r="WUM35" s="47"/>
      <c r="WUN35" s="47"/>
      <c r="WUO35" s="47"/>
      <c r="WUP35" s="47"/>
      <c r="WUQ35" s="47"/>
      <c r="WUR35" s="47"/>
      <c r="WUS35" s="47"/>
      <c r="WUT35" s="47"/>
      <c r="WUU35" s="47"/>
      <c r="WUV35" s="47"/>
      <c r="WUW35" s="47"/>
      <c r="WUX35" s="47"/>
      <c r="WUY35" s="47"/>
      <c r="WUZ35" s="47"/>
      <c r="WVA35" s="47"/>
      <c r="WVB35" s="47"/>
      <c r="WVC35" s="47"/>
      <c r="WVD35" s="47"/>
      <c r="WVE35" s="47"/>
      <c r="WVF35" s="47"/>
      <c r="WVG35" s="47"/>
      <c r="WVH35" s="47"/>
      <c r="WVI35" s="47"/>
      <c r="WVJ35" s="47"/>
      <c r="WVK35" s="47"/>
      <c r="WVL35" s="47"/>
      <c r="WVM35" s="47"/>
      <c r="WVN35" s="47"/>
      <c r="WVO35" s="47"/>
      <c r="WVP35" s="47"/>
      <c r="WVQ35" s="47"/>
      <c r="WVR35" s="47"/>
      <c r="WVS35" s="47"/>
      <c r="WVT35" s="47"/>
      <c r="WVU35" s="47"/>
      <c r="WVV35" s="47"/>
      <c r="WVW35" s="47"/>
      <c r="WVX35" s="47"/>
      <c r="WVY35" s="47"/>
      <c r="WVZ35" s="47"/>
      <c r="WWA35" s="47"/>
      <c r="WWB35" s="47"/>
      <c r="WWC35" s="47"/>
      <c r="WWD35" s="47"/>
      <c r="WWE35" s="47"/>
      <c r="WWF35" s="47"/>
      <c r="WWG35" s="47"/>
      <c r="WWH35" s="47"/>
      <c r="WWI35" s="47"/>
      <c r="WWJ35" s="47"/>
      <c r="WWK35" s="47"/>
      <c r="WWL35" s="47"/>
      <c r="WWM35" s="47"/>
      <c r="WWN35" s="47"/>
      <c r="WWO35" s="47"/>
      <c r="WWP35" s="47"/>
      <c r="WWQ35" s="47"/>
      <c r="WWR35" s="47"/>
      <c r="WWS35" s="47"/>
      <c r="WWT35" s="47"/>
      <c r="WWU35" s="47"/>
      <c r="WWV35" s="47"/>
      <c r="WWW35" s="47"/>
      <c r="WWX35" s="47"/>
      <c r="WWY35" s="47"/>
      <c r="WWZ35" s="47"/>
      <c r="WXA35" s="47"/>
      <c r="WXB35" s="47"/>
      <c r="WXC35" s="47"/>
      <c r="WXD35" s="47"/>
      <c r="WXE35" s="47"/>
      <c r="WXF35" s="47"/>
      <c r="WXG35" s="47"/>
      <c r="WXH35" s="47"/>
      <c r="WXI35" s="47"/>
      <c r="WXJ35" s="47"/>
      <c r="WXK35" s="47"/>
      <c r="WXL35" s="47"/>
      <c r="WXM35" s="47"/>
      <c r="WXN35" s="47"/>
      <c r="WXO35" s="47"/>
      <c r="WXP35" s="47"/>
      <c r="WXQ35" s="47"/>
      <c r="WXR35" s="47"/>
      <c r="WXS35" s="47"/>
      <c r="WXT35" s="47"/>
      <c r="WXU35" s="47"/>
      <c r="WXV35" s="47"/>
      <c r="WXW35" s="47"/>
      <c r="WXX35" s="47"/>
      <c r="WXY35" s="47"/>
      <c r="WXZ35" s="47"/>
      <c r="WYA35" s="47"/>
      <c r="WYB35" s="47"/>
      <c r="WYC35" s="47"/>
      <c r="WYD35" s="47"/>
      <c r="WYE35" s="47"/>
      <c r="WYF35" s="47"/>
      <c r="WYG35" s="47"/>
      <c r="WYH35" s="47"/>
      <c r="WYI35" s="47"/>
      <c r="WYJ35" s="47"/>
      <c r="WYK35" s="47"/>
      <c r="WYL35" s="47"/>
      <c r="WYM35" s="47"/>
      <c r="WYN35" s="47"/>
      <c r="WYO35" s="47"/>
      <c r="WYP35" s="47"/>
      <c r="WYQ35" s="47"/>
      <c r="WYR35" s="47"/>
      <c r="WYS35" s="47"/>
      <c r="WYT35" s="47"/>
      <c r="WYU35" s="47"/>
      <c r="WYV35" s="47"/>
      <c r="WYW35" s="47"/>
      <c r="WYX35" s="47"/>
      <c r="WYY35" s="47"/>
      <c r="WYZ35" s="47"/>
      <c r="WZA35" s="47"/>
      <c r="WZB35" s="47"/>
      <c r="WZC35" s="47"/>
      <c r="WZD35" s="47"/>
      <c r="WZE35" s="47"/>
      <c r="WZF35" s="47"/>
      <c r="WZG35" s="47"/>
      <c r="WZH35" s="47"/>
      <c r="WZI35" s="47"/>
      <c r="WZJ35" s="47"/>
      <c r="WZK35" s="47"/>
      <c r="WZL35" s="47"/>
      <c r="WZM35" s="47"/>
      <c r="WZN35" s="47"/>
      <c r="WZO35" s="47"/>
      <c r="WZP35" s="47"/>
      <c r="WZQ35" s="47"/>
      <c r="WZR35" s="47"/>
      <c r="WZS35" s="47"/>
      <c r="WZT35" s="47"/>
      <c r="WZU35" s="47"/>
      <c r="WZV35" s="47"/>
      <c r="WZW35" s="47"/>
      <c r="WZX35" s="47"/>
      <c r="WZY35" s="47"/>
      <c r="WZZ35" s="47"/>
      <c r="XAA35" s="47"/>
      <c r="XAB35" s="47"/>
      <c r="XAC35" s="47"/>
      <c r="XAD35" s="47"/>
      <c r="XAE35" s="47"/>
      <c r="XAF35" s="47"/>
      <c r="XAG35" s="47"/>
      <c r="XAH35" s="47"/>
      <c r="XAI35" s="47"/>
      <c r="XAJ35" s="47"/>
      <c r="XAK35" s="47"/>
      <c r="XAL35" s="47"/>
      <c r="XAM35" s="47"/>
      <c r="XAN35" s="47"/>
      <c r="XAO35" s="47"/>
      <c r="XAP35" s="47"/>
      <c r="XAQ35" s="47"/>
      <c r="XAR35" s="47"/>
      <c r="XAS35" s="47"/>
      <c r="XAT35" s="47"/>
      <c r="XAU35" s="47"/>
      <c r="XAV35" s="47"/>
      <c r="XAW35" s="47"/>
      <c r="XAX35" s="47"/>
      <c r="XAY35" s="47"/>
      <c r="XAZ35" s="47"/>
      <c r="XBA35" s="47"/>
      <c r="XBB35" s="47"/>
      <c r="XBC35" s="47"/>
      <c r="XBD35" s="47"/>
      <c r="XBE35" s="47"/>
      <c r="XBF35" s="47"/>
      <c r="XBG35" s="47"/>
      <c r="XBH35" s="47"/>
      <c r="XBI35" s="47"/>
      <c r="XBJ35" s="47"/>
      <c r="XBK35" s="47"/>
      <c r="XBL35" s="47"/>
      <c r="XBM35" s="47"/>
      <c r="XBN35" s="47"/>
      <c r="XBO35" s="47"/>
      <c r="XBP35" s="47"/>
      <c r="XBQ35" s="47"/>
      <c r="XBR35" s="47"/>
      <c r="XBS35" s="47"/>
      <c r="XBT35" s="47"/>
      <c r="XBU35" s="47"/>
      <c r="XBV35" s="47"/>
      <c r="XBW35" s="47"/>
      <c r="XBX35" s="47"/>
      <c r="XBY35" s="47"/>
      <c r="XBZ35" s="47"/>
      <c r="XCA35" s="47"/>
      <c r="XCB35" s="47"/>
      <c r="XCC35" s="47"/>
      <c r="XCD35" s="47"/>
      <c r="XCE35" s="47"/>
      <c r="XCF35" s="47"/>
      <c r="XCG35" s="47"/>
      <c r="XCH35" s="47"/>
      <c r="XCI35" s="47"/>
      <c r="XCJ35" s="47"/>
      <c r="XCK35" s="47"/>
      <c r="XCL35" s="47"/>
      <c r="XCM35" s="47"/>
      <c r="XCN35" s="47"/>
      <c r="XCO35" s="47"/>
      <c r="XCP35" s="47"/>
      <c r="XCQ35" s="47"/>
      <c r="XCR35" s="47"/>
      <c r="XCS35" s="47"/>
      <c r="XCT35" s="47"/>
      <c r="XCU35" s="47"/>
      <c r="XCV35" s="47"/>
      <c r="XCW35" s="47"/>
      <c r="XCX35" s="47"/>
      <c r="XCY35" s="47"/>
      <c r="XCZ35" s="47"/>
      <c r="XDA35" s="47"/>
      <c r="XDB35" s="47"/>
      <c r="XDC35" s="47"/>
      <c r="XDD35" s="47"/>
      <c r="XDE35" s="47"/>
      <c r="XDF35" s="47"/>
      <c r="XDG35" s="47"/>
      <c r="XDH35" s="47"/>
      <c r="XDI35" s="47"/>
      <c r="XDJ35" s="47"/>
      <c r="XDK35" s="47"/>
      <c r="XDL35" s="47"/>
      <c r="XDM35" s="47"/>
      <c r="XDN35" s="47"/>
      <c r="XDO35" s="47"/>
      <c r="XDP35" s="47"/>
      <c r="XDQ35" s="47"/>
      <c r="XDR35" s="47"/>
      <c r="XDS35" s="47"/>
      <c r="XDT35" s="47"/>
      <c r="XDU35" s="47"/>
      <c r="XDV35" s="47"/>
      <c r="XDW35" s="47"/>
      <c r="XDX35" s="47"/>
      <c r="XDY35" s="47"/>
      <c r="XDZ35" s="47"/>
      <c r="XEA35" s="47"/>
      <c r="XEB35" s="47"/>
      <c r="XEC35" s="47"/>
      <c r="XED35" s="47"/>
      <c r="XEE35" s="47"/>
      <c r="XEF35" s="47"/>
      <c r="XEG35" s="47"/>
      <c r="XEH35" s="47"/>
      <c r="XEI35" s="47"/>
      <c r="XEJ35" s="47"/>
      <c r="XEK35" s="47"/>
      <c r="XEL35" s="47"/>
      <c r="XEM35" s="47"/>
      <c r="XEN35" s="47"/>
      <c r="XEO35" s="47"/>
      <c r="XEP35" s="47"/>
      <c r="XEQ35" s="47"/>
      <c r="XER35" s="47"/>
      <c r="XES35" s="47"/>
      <c r="XET35" s="47"/>
      <c r="XEU35" s="47"/>
      <c r="XEV35" s="47"/>
      <c r="XEW35" s="47"/>
      <c r="XEX35" s="47"/>
      <c r="XEY35" s="47"/>
      <c r="XEZ35" s="47"/>
      <c r="XFA35" s="47"/>
      <c r="XFB35" s="47"/>
      <c r="XFC35" s="47"/>
    </row>
    <row r="39" spans="1:16383" s="20" customFormat="1" ht="20.149999999999999" hidden="1" customHeight="1">
      <c r="B39" s="47"/>
    </row>
    <row r="40" spans="1:16383" s="20" customFormat="1" ht="20.149999999999999" hidden="1" customHeight="1">
      <c r="B40" s="47"/>
    </row>
    <row r="41" spans="1:16383" s="20" customFormat="1" ht="20.149999999999999" hidden="1" customHeight="1">
      <c r="B41" s="47"/>
    </row>
    <row r="42" spans="1:16383" s="20" customFormat="1" ht="20.149999999999999" hidden="1" customHeight="1">
      <c r="B42" s="47"/>
    </row>
  </sheetData>
  <sheetProtection algorithmName="SHA-512" hashValue="P4pqDAD5kOZqDFLOBvddRrnpD9uv8IcNe0tOEflX5r1i/nlR+mYqcS2GNeJfG+j+lKq68sxSe3nh3HP4ngaCNw==" saltValue="+oqYphOm6OG3fiDhduRBRw==" spinCount="100000" sheet="1" objects="1" scenarios="1"/>
  <hyperlinks>
    <hyperlink ref="A6" location="'Investment risk - current level'!A1" display="Current level of investment risk" xr:uid="{A66E739C-BBE0-4658-A2A8-2C5AAFBDEF2E}"/>
    <hyperlink ref="A7" location="Liquidity!A1" display="Liquidity" xr:uid="{E280925C-0011-4153-96D7-6CCD8DE53258}"/>
    <hyperlink ref="A8" location="'Invest journey plan-risk level'!A1" display="Risk level in journey plan" xr:uid="{E90E5FC3-A39B-40F3-AEBA-965519FBDC8D}"/>
  </hyperlinks>
  <pageMargins left="0.70000000000000007" right="0.70000000000000007" top="0.75" bottom="0.75" header="0.30000000000000004" footer="0.30000000000000004"/>
  <pageSetup paperSize="9" fitToWidth="0" fitToHeight="0"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D2B40-61BE-4CF1-8BAA-BE67D1384D60}">
  <sheetPr codeName="Sheet16"/>
  <dimension ref="A1:MA53"/>
  <sheetViews>
    <sheetView topLeftCell="A4" zoomScaleNormal="100" workbookViewId="0">
      <selection activeCell="A8" sqref="A8"/>
    </sheetView>
  </sheetViews>
  <sheetFormatPr defaultColWidth="0" defaultRowHeight="0" customHeight="1" zeroHeight="1"/>
  <cols>
    <col min="1" max="1" width="12.69140625" style="4" customWidth="1"/>
    <col min="2" max="2" width="62.69140625" style="4" customWidth="1"/>
    <col min="3" max="3" width="28.69140625" style="4" customWidth="1"/>
    <col min="4" max="7" width="62.69140625" style="4" customWidth="1"/>
    <col min="8" max="8" width="4.07421875" style="4" hidden="1" customWidth="1"/>
    <col min="9" max="9" width="0" style="4" hidden="1" customWidth="1"/>
    <col min="10" max="10" width="4.07421875" style="4" hidden="1" customWidth="1"/>
    <col min="11" max="338" width="0" style="4" hidden="1" customWidth="1"/>
    <col min="339" max="339" width="4.07421875" style="4" hidden="1" customWidth="1"/>
    <col min="340" max="340" width="0" style="4" hidden="1" customWidth="1"/>
    <col min="341" max="16384" width="0" style="4" hidden="1"/>
  </cols>
  <sheetData>
    <row r="1" spans="1:8" s="14" customFormat="1" ht="50.15" customHeight="1" thickBot="1">
      <c r="A1" s="747" t="s">
        <v>432</v>
      </c>
      <c r="B1" s="748"/>
      <c r="C1" s="13"/>
      <c r="D1" s="13"/>
      <c r="E1" s="13"/>
      <c r="F1" s="13"/>
      <c r="G1" s="13"/>
    </row>
    <row r="2" spans="1:8" s="14" customFormat="1" ht="50.15" customHeight="1" thickTop="1" thickBot="1">
      <c r="A2" s="742" t="s">
        <v>85</v>
      </c>
      <c r="B2" s="742"/>
      <c r="C2" s="62"/>
      <c r="D2" s="57"/>
      <c r="E2" s="57"/>
      <c r="F2" s="57"/>
      <c r="G2" s="57"/>
    </row>
    <row r="3" spans="1:8" s="14" customFormat="1" ht="408.65" customHeight="1" thickTop="1">
      <c r="A3" s="797" t="s">
        <v>4780</v>
      </c>
      <c r="B3" s="797"/>
      <c r="C3" s="467"/>
      <c r="D3" s="468"/>
      <c r="E3" s="468"/>
      <c r="F3" s="468"/>
      <c r="G3" s="468"/>
    </row>
    <row r="4" spans="1:8" s="14" customFormat="1" ht="127" customHeight="1" thickBot="1">
      <c r="A4" s="798"/>
      <c r="B4" s="798"/>
      <c r="C4" s="67"/>
      <c r="D4" s="67"/>
      <c r="E4" s="67"/>
      <c r="F4" s="67"/>
      <c r="G4" s="67"/>
    </row>
    <row r="5" spans="1:8" s="30" customFormat="1" ht="20.149999999999999" customHeight="1" thickBot="1">
      <c r="A5" s="69"/>
      <c r="B5" s="69"/>
      <c r="C5" s="69" t="s">
        <v>23</v>
      </c>
      <c r="D5" s="69"/>
      <c r="E5" s="69"/>
      <c r="F5" s="69"/>
      <c r="G5" s="69"/>
    </row>
    <row r="6" spans="1:8" s="14" customFormat="1" ht="50.15" customHeight="1" thickBot="1">
      <c r="A6" s="755" t="s">
        <v>53</v>
      </c>
      <c r="B6" s="755"/>
      <c r="C6" s="57"/>
      <c r="D6" s="57"/>
      <c r="E6" s="57"/>
      <c r="F6" s="57"/>
      <c r="G6" s="57"/>
    </row>
    <row r="7" spans="1:8" s="47" customFormat="1" ht="36" customHeight="1" thickTop="1" thickBot="1">
      <c r="A7" s="8" t="s">
        <v>89</v>
      </c>
      <c r="B7" s="8" t="s">
        <v>90</v>
      </c>
      <c r="C7" s="8" t="s">
        <v>91</v>
      </c>
      <c r="D7" s="8" t="s">
        <v>92</v>
      </c>
      <c r="E7" s="761" t="s">
        <v>104</v>
      </c>
      <c r="F7" s="753"/>
      <c r="G7" s="199" t="s">
        <v>93</v>
      </c>
      <c r="H7" s="17"/>
    </row>
    <row r="8" spans="1:8" s="14" customFormat="1" ht="209.5" customHeight="1" thickTop="1">
      <c r="A8" s="15" t="s">
        <v>433</v>
      </c>
      <c r="B8" s="5" t="str">
        <f>Questions!C149</f>
        <v xml:space="preserve">
What is the scheme's current level of investment risk calculated according to the Fast Track stress test expressed as a percentage? (%)
</v>
      </c>
      <c r="C8" s="559"/>
      <c r="D8" s="361" t="str">
        <f ca="1">'Reconciliation report'!D1029</f>
        <v/>
      </c>
      <c r="E8" s="794" t="str">
        <f>Guidance!B85</f>
        <v xml:space="preserve">
The percentage drop in funding level for the level of risk based on the scheme’s notional investment strategy applied to the total scheme assets on the valuation date. This is calculated according to the Fast Track stress test parameters.
Provide the figure found from the calculation:
1 minus 
minimum (Fast Track TP parameter, stressed funding level)
divided by
minimum (Fast Track TP parameter, unstressed funding level)
</v>
      </c>
      <c r="F8" s="758"/>
      <c r="G8" s="215"/>
    </row>
    <row r="9" spans="1:8" s="14" customFormat="1" ht="108.65" customHeight="1">
      <c r="A9" s="15" t="s">
        <v>434</v>
      </c>
      <c r="B9" s="5" t="str">
        <f>Questions!C150</f>
        <v xml:space="preserve">
What is the scheme's current level of investment risk expressed as a pound value? (£)
</v>
      </c>
      <c r="C9" s="421"/>
      <c r="D9" s="361" t="str">
        <f ca="1">'Reconciliation report'!D1030</f>
        <v/>
      </c>
      <c r="E9" s="795" t="str">
        <f>Guidance!B86</f>
        <v xml:space="preserve">
The monetary amount for the level of risk, based on the scheme’s notional investment strategy applied to the total scheme assets on the valuation date.
This should be at least a one in six risk level 1 year figure. In the unlikely event that the impact of the stress is positive, enter 0 as the value.
</v>
      </c>
      <c r="F9" s="760"/>
      <c r="G9" s="215"/>
    </row>
    <row r="10" spans="1:8" s="14" customFormat="1" ht="110.15" customHeight="1" thickBot="1">
      <c r="A10" s="15" t="s">
        <v>435</v>
      </c>
      <c r="B10" s="7" t="str">
        <f>Questions!C151</f>
        <v xml:space="preserve">
How does the scheme's intended investment allocation at the relevant date comply with the objective that assets of at least the value of the scheme's liabilities (calculated on a low dependency funding basis) are invested in accordance with a low dependency investment allocation?
</v>
      </c>
      <c r="C10" s="496"/>
      <c r="D10" s="362" t="str">
        <f ca="1">'Reconciliation report'!D1031</f>
        <v/>
      </c>
      <c r="E10" s="793" t="str">
        <f>Guidance!B87</f>
        <v xml:space="preserve">
For those schemes that are post-relevant date, a narrative description of how the intended investment allocation at the relevant date complies with the objective that assets of at least the value of the scheme's liabilities (calculated on a low dependency funding basis) are invested in accordance with a low dependency investment allocation.
</v>
      </c>
      <c r="F10" s="745"/>
      <c r="G10" s="106"/>
    </row>
    <row r="11" spans="1:8" s="30" customFormat="1" ht="20.149999999999999" customHeight="1" thickBot="1">
      <c r="A11" s="75"/>
      <c r="B11" s="69"/>
      <c r="C11" s="69" t="s">
        <v>23</v>
      </c>
      <c r="D11" s="69"/>
      <c r="E11" s="69"/>
      <c r="F11" s="69"/>
      <c r="G11" s="69"/>
    </row>
    <row r="12" spans="1:8" s="15" customFormat="1" ht="50.15" customHeight="1" thickBot="1">
      <c r="A12" s="755" t="s">
        <v>436</v>
      </c>
      <c r="B12" s="755"/>
      <c r="C12" s="57"/>
      <c r="D12" s="57"/>
      <c r="E12" s="57"/>
      <c r="F12" s="57"/>
      <c r="G12" s="57"/>
    </row>
    <row r="13" spans="1:8" s="47" customFormat="1" ht="36" customHeight="1" thickTop="1" thickBot="1">
      <c r="A13" s="8" t="s">
        <v>89</v>
      </c>
      <c r="B13" s="8" t="s">
        <v>90</v>
      </c>
      <c r="C13" s="31" t="s">
        <v>91</v>
      </c>
      <c r="D13" s="31" t="s">
        <v>92</v>
      </c>
      <c r="E13" s="761" t="s">
        <v>104</v>
      </c>
      <c r="F13" s="753"/>
      <c r="G13" s="199" t="s">
        <v>93</v>
      </c>
      <c r="H13" s="17"/>
    </row>
    <row r="14" spans="1:8" s="15" customFormat="1" ht="90" customHeight="1" thickTop="1" thickBot="1">
      <c r="A14" s="15" t="s">
        <v>437</v>
      </c>
      <c r="B14" s="5" t="str">
        <f>Questions!C152</f>
        <v xml:space="preserve">
How has the current level of risk in the scheme's notional investment strategy been determined?
</v>
      </c>
      <c r="C14" s="343"/>
      <c r="D14" s="372" t="str">
        <f ca="1">'Reconciliation report'!D1032</f>
        <v/>
      </c>
      <c r="E14" s="794" t="str">
        <f>Guidance!B88</f>
        <v xml:space="preserve">
Indicate the method used to determine investment risk. Trustees who select 'other' will be asked to  explain the method used.
</v>
      </c>
      <c r="F14" s="758"/>
      <c r="G14" s="251"/>
    </row>
    <row r="15" spans="1:8" s="15" customFormat="1" ht="114.65" customHeight="1" thickBot="1">
      <c r="A15" s="15" t="s">
        <v>439</v>
      </c>
      <c r="B15" s="5" t="str">
        <f>Questions!C153</f>
        <v xml:space="preserve">No answer required
Explain how the level of risk has been determined.
</v>
      </c>
      <c r="C15" s="206"/>
      <c r="D15" s="361" t="str">
        <f ca="1">'Reconciliation report'!D1033</f>
        <v/>
      </c>
      <c r="E15" s="795" t="str">
        <f>Guidance!B89</f>
        <v xml:space="preserve">
If none of TPR FastTrack stress, VaR or CVaR calculation methods are used, please explain what is the method of determining risk. Please include in the explanation any suitable figures (e.g. percentiles), whether the method considers both assets and liabilities and, if the method includes liabilities, on what basis those liabilities are considered. Please also include any results of this calculation.
</v>
      </c>
      <c r="F15" s="760"/>
      <c r="G15" s="215"/>
    </row>
    <row r="16" spans="1:8" s="15" customFormat="1" ht="129.65" customHeight="1" thickBot="1">
      <c r="A16" s="15" t="s">
        <v>440</v>
      </c>
      <c r="B16" s="2" t="str">
        <f>Questions!C154</f>
        <v xml:space="preserve">No answer required
Has the investment risk calculation been based on liabilities and assets or assets only?
</v>
      </c>
      <c r="C16" s="343"/>
      <c r="D16" s="372" t="str">
        <f ca="1">'Reconciliation report'!D1034</f>
        <v/>
      </c>
      <c r="E16" s="796" t="str">
        <f>Guidance!B90</f>
        <v xml:space="preserve">
The answer should depend on whether the stresses are applied to notional assets and liabilities or notional assets only. We would expect that, in most cases, the answer will be assets and liabilities, to produce a funding level stress rather than just an asset-only stress.
</v>
      </c>
      <c r="F16" s="760"/>
      <c r="G16" s="112"/>
    </row>
    <row r="17" spans="1:8" ht="89.75" customHeight="1" thickBot="1">
      <c r="A17" s="15" t="s">
        <v>442</v>
      </c>
      <c r="B17" s="2" t="str">
        <f>Questions!C155</f>
        <v xml:space="preserve">
What liability basis has been used?
</v>
      </c>
      <c r="C17" s="343"/>
      <c r="D17" s="372" t="str">
        <f ca="1">'Reconciliation report'!D1035</f>
        <v/>
      </c>
      <c r="E17" s="796" t="str">
        <f>Guidance!B91</f>
        <v xml:space="preserve">
For value at risk, conditional value at risk and other calculations, if the person completing this is not certain, they should be able to take advice from the scheme actuary on the liability basis.
</v>
      </c>
      <c r="F17" s="760"/>
      <c r="G17" s="112"/>
    </row>
    <row r="18" spans="1:8" ht="89.15" customHeight="1">
      <c r="A18" s="15" t="s">
        <v>443</v>
      </c>
      <c r="B18" s="2" t="str">
        <f>Questions!C156</f>
        <v xml:space="preserve">No answer required
What margin over gilts has been used? (%)
</v>
      </c>
      <c r="C18" s="560"/>
      <c r="D18" s="361" t="str">
        <f ca="1">'Reconciliation report'!D1036</f>
        <v/>
      </c>
      <c r="E18" s="796" t="str">
        <f>Guidance!B92</f>
        <v xml:space="preserve">
Where a value at risk or conditional value at risk approach has been adopted and the liabilities are calculated with reference to gilts, the premium applied to the gilts curve (or spot rate) when calculating the liabilities. If there is no premium applied then enter 0.
</v>
      </c>
      <c r="F18" s="760"/>
      <c r="G18" s="112"/>
    </row>
    <row r="19" spans="1:8" ht="108" customHeight="1">
      <c r="A19" s="15" t="s">
        <v>444</v>
      </c>
      <c r="B19" s="2" t="str">
        <f>Questions!C157</f>
        <v xml:space="preserve">No answer required
What margin over swaps has been used? (%)
</v>
      </c>
      <c r="C19" s="547"/>
      <c r="D19" s="361" t="str">
        <f ca="1">'Reconciliation report'!D1037</f>
        <v/>
      </c>
      <c r="E19" s="796" t="str">
        <f>Guidance!B93</f>
        <v xml:space="preserve">
Where a value at risk or conditional value at risk approach has been adopted and the liabilities are calculated with reference to swaps, the premium applied to the swaps curve (or spot rate) when calculating the liabilities. If there is no premium applied then enter 0.
</v>
      </c>
      <c r="F19" s="760"/>
      <c r="G19" s="112"/>
    </row>
    <row r="20" spans="1:8" ht="101.15" customHeight="1">
      <c r="A20" s="15" t="s">
        <v>445</v>
      </c>
      <c r="B20" s="2" t="str">
        <f>Questions!C158</f>
        <v xml:space="preserve">No answer required
Describe the liability basis.
</v>
      </c>
      <c r="C20" s="206"/>
      <c r="D20" s="361" t="str">
        <f ca="1">'Reconciliation report'!D1038</f>
        <v/>
      </c>
      <c r="E20" s="796" t="str">
        <f>Guidance!B94</f>
        <v xml:space="preserve">
Where a value at risk or conditional value at risk approach has been adopted and the liabilities are calculated with reference to 'Other', a description of the discount rates used when calculating the liabilities.
</v>
      </c>
      <c r="F20" s="760"/>
      <c r="G20" s="112"/>
    </row>
    <row r="21" spans="1:8" ht="113.15" customHeight="1">
      <c r="A21" s="15" t="s">
        <v>446</v>
      </c>
      <c r="B21" s="2" t="str">
        <f>Questions!C159</f>
        <v xml:space="preserve">
At or to which percentile point has the investment risk been calculated? (%)
</v>
      </c>
      <c r="C21" s="547"/>
      <c r="D21" s="361" t="str">
        <f ca="1">'Reconciliation report'!D1039</f>
        <v xml:space="preserve">
Enter a percentage value between 0 and 100.
</v>
      </c>
      <c r="E21" s="796" t="str">
        <f>Guidance!B95</f>
        <v xml:space="preserve">
This is the percentile level of the calculation. If it is a value at risk or conditional value at risk calculation, we need the 1-tailed percentile. For example, if it is a 1 in 20 stress, this means that there is 5% of the area under the distribution curve below the cut-off point and we would expect this to be expressed as 5%.
</v>
      </c>
      <c r="F21" s="760"/>
      <c r="G21" s="112"/>
    </row>
    <row r="22" spans="1:8" ht="120" customHeight="1" thickBot="1">
      <c r="A22" s="15" t="s">
        <v>447</v>
      </c>
      <c r="B22" s="7" t="str">
        <f>Questions!C160</f>
        <v xml:space="preserve">
Over what period has the investment risk been calculated?
</v>
      </c>
      <c r="C22" s="486"/>
      <c r="D22" s="362" t="str">
        <f ca="1">'Reconciliation report'!D1040</f>
        <v xml:space="preserve">
Enter a number (in years) between 1 and 10.
</v>
      </c>
      <c r="E22" s="793" t="str">
        <f>Guidance!B96</f>
        <v xml:space="preserve">
Please input a figure in years. For example, if you have calculated a one-year 5% stress, input 1.
</v>
      </c>
      <c r="F22" s="745"/>
      <c r="G22" s="106"/>
    </row>
    <row r="23" spans="1:8" s="30" customFormat="1" ht="20.149999999999999" customHeight="1" thickBot="1">
      <c r="A23" s="75"/>
      <c r="B23" s="69"/>
      <c r="C23" s="75" t="s">
        <v>23</v>
      </c>
      <c r="D23" s="283"/>
      <c r="E23" s="69"/>
      <c r="F23" s="69"/>
      <c r="G23" s="69"/>
    </row>
    <row r="24" spans="1:8" ht="50.15" customHeight="1" thickBot="1">
      <c r="A24" s="755" t="s">
        <v>448</v>
      </c>
      <c r="B24" s="755"/>
      <c r="C24" s="57"/>
      <c r="D24" s="284"/>
      <c r="E24" s="57"/>
      <c r="F24" s="57"/>
      <c r="G24" s="57"/>
    </row>
    <row r="25" spans="1:8" s="47" customFormat="1" ht="36" customHeight="1" thickTop="1" thickBot="1">
      <c r="A25" s="8" t="s">
        <v>89</v>
      </c>
      <c r="B25" s="8" t="s">
        <v>90</v>
      </c>
      <c r="C25" s="8" t="s">
        <v>91</v>
      </c>
      <c r="D25" s="8" t="s">
        <v>92</v>
      </c>
      <c r="E25" s="761" t="s">
        <v>104</v>
      </c>
      <c r="F25" s="753"/>
      <c r="G25" s="199" t="s">
        <v>93</v>
      </c>
      <c r="H25" s="17"/>
    </row>
    <row r="26" spans="1:8" ht="152.75" customHeight="1" thickTop="1" thickBot="1">
      <c r="A26" s="15" t="s">
        <v>449</v>
      </c>
      <c r="B26" s="5" t="str">
        <f>Questions!C161</f>
        <v xml:space="preserve">
Is the expected long-term return that the notional investment allocation is assumed to provide expressed as a nominal value or as a margin over gilts?
</v>
      </c>
      <c r="C26" s="343"/>
      <c r="D26" s="351" t="str">
        <f ca="1">'Reconciliation report'!D1041</f>
        <v xml:space="preserve">
Select 'Nominal value' or 'Margin over gilts' from the drop-down menu.
</v>
      </c>
      <c r="E26" s="799" t="str">
        <f>Guidance!B97</f>
        <v xml:space="preserve">
We'll need to know the answer to this question for the purposes of asking for the right information.
Whether the expected investment return to be achieved over the long term from the notional investment strategy with no adjustment applied for prudence is expressed as a 'nominal value' or expressed as the 'margin over the gilt return'.
If the scheme is a DC scheme with no final salary benefits other than a GMP underpin, please select 'margin over gilts'.
</v>
      </c>
      <c r="F26" s="758"/>
      <c r="G26" s="215"/>
    </row>
    <row r="27" spans="1:8" ht="112.25" customHeight="1">
      <c r="A27" s="15" t="s">
        <v>451</v>
      </c>
      <c r="B27" s="5" t="str">
        <f>Questions!C162</f>
        <v xml:space="preserve">No answer required
What is the expected long-term return that the notional investment allocation is assumed to provide, expressed as a margin over gilts? (%)
</v>
      </c>
      <c r="C27" s="545"/>
      <c r="D27" s="351" t="str">
        <f ca="1">'Reconciliation report'!D1042</f>
        <v/>
      </c>
      <c r="E27" s="800" t="str">
        <f>Guidance!B98</f>
        <v xml:space="preserve">
This is the expected investment return to be achieved over the long term from the notional investment strategy with no adjustment applied for prudence, expressed as a margin over the return on gilts.
If the scheme is a DC scheme with no final salary benefits other than a GMP underpin, please put 0% as the margin over gilts.
</v>
      </c>
      <c r="F27" s="760"/>
      <c r="G27" s="215"/>
    </row>
    <row r="28" spans="1:8" ht="111.65" customHeight="1">
      <c r="A28" s="15" t="s">
        <v>452</v>
      </c>
      <c r="B28" s="2" t="str">
        <f>Questions!C163</f>
        <v xml:space="preserve">No answer required
What is the expected long-term return that the notional investment allocation is assumed to provide expressed as a nominal value?
</v>
      </c>
      <c r="C28" s="547"/>
      <c r="D28" s="351" t="str">
        <f ca="1">'Reconciliation report'!D1043</f>
        <v/>
      </c>
      <c r="E28" s="801" t="str">
        <f>Guidance!B99</f>
        <v xml:space="preserve">
This is the expected investment return to be achieved over the long term from the notional investment strategy, with no adjustment applied for prudence.
</v>
      </c>
      <c r="F28" s="760"/>
      <c r="G28" s="112"/>
    </row>
    <row r="29" spans="1:8" ht="132" customHeight="1">
      <c r="A29" s="15" t="s">
        <v>453</v>
      </c>
      <c r="B29" s="2" t="str">
        <f>Questions!B164</f>
        <v xml:space="preserve">
Notional asset investment allocation: fixed interest – UK Government bonds (%)
</v>
      </c>
      <c r="C29" s="547"/>
      <c r="D29" s="351" t="str">
        <f ca="1">'Reconciliation report'!D1044</f>
        <v xml:space="preserve">
Enter a percentage value between -200 and 300.</v>
      </c>
      <c r="E29" s="801" t="str">
        <f>Guidance!B100</f>
        <v xml:space="preserve">
Include in this category UK government bonds (gilts) and other bonds with explicit UK government guarantees. One example of this could be supranationals with UK government guarantees.
If the scheme is a DC scheme with no final salary benefits other than a GMP underpin, please allocate 100% to this category, regardless of the actual investments made.
</v>
      </c>
      <c r="F29" s="760"/>
      <c r="G29" s="112"/>
    </row>
    <row r="30" spans="1:8" ht="309.64999999999998" customHeight="1">
      <c r="A30" s="15" t="s">
        <v>454</v>
      </c>
      <c r="B30" s="2" t="str">
        <f>Questions!B165</f>
        <v xml:space="preserve">
Notional asset investment allocation: fixed interest investment grade bonds (excluding UK Government) (%)
</v>
      </c>
      <c r="C30" s="547"/>
      <c r="D30" s="351" t="str">
        <f ca="1">'Reconciliation report'!D1045</f>
        <v xml:space="preserve">
Enter a percentage value between -200 and 300.</v>
      </c>
      <c r="E30" s="801" t="str">
        <f>Guidance!B101</f>
        <v xml:space="preserve">
Include bonds (except UK gilts) with investment grade credit ratings where investment grade is defined as a credit rating of at least BBB (Standard and Poor’s/Fitch) or Baa (Moody’s).
Although this is a fixed-interest category, inflation-linked corporate bonds and inflation-linked overseas government bonds should also be included here.
Examples of these include:  
• UK corporate bonds
• overseas government and corporate bonds
• UK and overseas debt-like investments
• convertible bonds where they are classified as debt-like
• asset-backed securities (ABS)
• mortgage-backed securities (MBS)
• sterling inflation-linked corporate bonds
• inflation-linked bonds issued by overseas governments or corporates (for example, treasury inflation-protected securities (TIPS))
• senior debt with an investment grade rating which forms part of structured credit
• supranationals and other sub-sovereigns (for example, bonds issued by supranational agencies) where there is no UK government guarantee
</v>
      </c>
      <c r="F30" s="760"/>
      <c r="G30" s="112"/>
    </row>
    <row r="31" spans="1:8" ht="190.25" customHeight="1">
      <c r="A31" s="15" t="s">
        <v>455</v>
      </c>
      <c r="B31" s="2" t="str">
        <f>Questions!B166</f>
        <v xml:space="preserve">
Notional asset investment allocation: fixed interest – sub-investment grade bonds (%)
</v>
      </c>
      <c r="C31" s="547"/>
      <c r="D31" s="351" t="str">
        <f ca="1">'Reconciliation report'!D1046</f>
        <v xml:space="preserve">
Enter a percentage value between -200 and 300.</v>
      </c>
      <c r="E31" s="801" t="str">
        <f>Guidance!B102</f>
        <v xml:space="preserve">
Include UK and overseas corporate and government bonds and debt-like investments with below investment grade credit ratings where investment grade is defined as a credit rating at least BBB (Standard and Poor’s/Fitch) or Baa (Moody’s).
Examples of these include:
• high yield bonds
• distressed debt
• subordinated debt
• mezzanine debt
• leveraged loans
• private debt
</v>
      </c>
      <c r="F31" s="760"/>
      <c r="G31" s="112"/>
    </row>
    <row r="32" spans="1:8" ht="82.25" customHeight="1">
      <c r="A32" s="15" t="s">
        <v>456</v>
      </c>
      <c r="B32" s="2" t="str">
        <f>Questions!B167</f>
        <v xml:space="preserve">
Notional asset investment allocation: UK inflation-linked – government bonds (%)
</v>
      </c>
      <c r="C32" s="547"/>
      <c r="D32" s="351" t="str">
        <f ca="1">'Reconciliation report'!D1047</f>
        <v xml:space="preserve">
Enter a percentage value between -200 and 300.</v>
      </c>
      <c r="E32" s="801" t="str">
        <f>Guidance!B103</f>
        <v xml:space="preserve">
Include the following:
• UK government inflation-linked bonds (index-linked gilts)
• Inflation-linked bonds with explicit UK government guarantees
</v>
      </c>
      <c r="F32" s="760"/>
      <c r="G32" s="112"/>
    </row>
    <row r="33" spans="1:7" ht="161.75" customHeight="1">
      <c r="A33" s="15" t="s">
        <v>457</v>
      </c>
      <c r="B33" s="2" t="str">
        <f>Questions!B168</f>
        <v xml:space="preserve">
Notional asset investment allocation: UK quoted equities (%)
</v>
      </c>
      <c r="C33" s="547"/>
      <c r="D33" s="351" t="str">
        <f ca="1">'Reconciliation report'!D1048</f>
        <v xml:space="preserve">
Enter a percentage value between -200 and 200.</v>
      </c>
      <c r="E33" s="801" t="str">
        <f>Guidance!B104</f>
        <v xml:space="preserve">
Include all equity investments where the underlying shares are quoted on the London Stock Exchange or Alternative Investment Market (AIM) unless those shares are denominated in currencies other than sterling.
Trustees who do not split their notional quoted equity allocation between UK quoted equities and overseas quoted equities can allocate 100% of quoted equities to overseas equities.
This category may also include convertible bonds where they are classified as equity-like. In these types of cases, schemes should consult their asset manager or investment adviser to understand the most appropriate category in the context of current market conditions.
</v>
      </c>
      <c r="F33" s="760"/>
      <c r="G33" s="112"/>
    </row>
    <row r="34" spans="1:7" ht="97.5" customHeight="1">
      <c r="A34" s="15" t="s">
        <v>458</v>
      </c>
      <c r="B34" s="2" t="str">
        <f>Questions!B169</f>
        <v xml:space="preserve">
Notional asset investment allocation: overseas quoted equities (%)
</v>
      </c>
      <c r="C34" s="547"/>
      <c r="D34" s="351" t="str">
        <f ca="1">'Reconciliation report'!D1049</f>
        <v xml:space="preserve">
Enter a percentage value between -200 and 200.</v>
      </c>
      <c r="E34" s="801" t="str">
        <f>Guidance!B105</f>
        <v xml:space="preserve">
Include all equity investments where the underlying investments are quoted on the stock exchanges of (non-UK) markets – regardless of whether developed or emerging markets – or which are quoted on a UK market but are not denominated in sterling.
</v>
      </c>
      <c r="F34" s="760"/>
      <c r="G34" s="112"/>
    </row>
    <row r="35" spans="1:7" ht="180.65" customHeight="1">
      <c r="A35" s="15" t="s">
        <v>459</v>
      </c>
      <c r="B35" s="2" t="str">
        <f>Questions!B170</f>
        <v xml:space="preserve">
Notional asset investment allocation: unquoted and private equity (%)
</v>
      </c>
      <c r="C35" s="547"/>
      <c r="D35" s="351" t="str">
        <f ca="1">'Reconciliation report'!D1050</f>
        <v xml:space="preserve">
Enter a percentage value between -200 and 200.</v>
      </c>
      <c r="E35" s="801" t="str">
        <f>Guidance!B106</f>
        <v xml:space="preserve">
Unquoted equities and private equity represent investments in the equity capital of unlisted companies or investment structures. Equity capital is a form of investment in which the investor shares in the profits of the company or structure but is exposed to the first loss on capital.
Assets that can be allocated to this category include:
• UK and overseas unquoted equity shares
• private equity
• venture capital
• leveraged buy-outs
</v>
      </c>
      <c r="F35" s="760"/>
      <c r="G35" s="112"/>
    </row>
    <row r="36" spans="1:7" ht="258.64999999999998" customHeight="1">
      <c r="A36" s="15" t="s">
        <v>460</v>
      </c>
      <c r="B36" s="2" t="str">
        <f>Questions!B171</f>
        <v xml:space="preserve">
Notional asset investment allocation: property (%)
</v>
      </c>
      <c r="C36" s="547"/>
      <c r="D36" s="351" t="str">
        <f ca="1">'Reconciliation report'!D1051</f>
        <v xml:space="preserve">
Enter a percentage value between -200 and 200.</v>
      </c>
      <c r="E36" s="801" t="str">
        <f>Guidance!B107</f>
        <v xml:space="preserve">
Assets that should be captured here include:
• all UK and overseas land or property (commercial, residential and industrial)
• any land or property owned by the pension scheme that is occupied by a scheme sponsor
• holdings in non-listed property funds (for example, property unit trusts)
We wouldn’t expect you to include real estate debt unless it is part of a property investment vehicle – such as real estate investment trusts (REITS) – in which there is debt and where the total value of the investment vehicle is included here. Listed property funds such as REITS may be included here where the holding is explicitly intended to provide exposure to the property sector. However, small concentrations of these held as part of a larger equity portfolio do not need to be separately identified. They can be included along with the rest of the portfolio as UK or overseas quoted equities.
</v>
      </c>
      <c r="F36" s="760"/>
      <c r="G36" s="112"/>
    </row>
    <row r="37" spans="1:7" ht="166.25" customHeight="1">
      <c r="A37" s="15" t="s">
        <v>461</v>
      </c>
      <c r="B37" s="2" t="str">
        <f>Questions!B172</f>
        <v xml:space="preserve">
Notional asset investment allocation: deferred or immediate fully insured annuities (%)
</v>
      </c>
      <c r="C37" s="547"/>
      <c r="D37" s="351" t="str">
        <f ca="1">'Reconciliation report'!D1052</f>
        <v xml:space="preserve">
Enter a percentage value between -200 and 200.</v>
      </c>
      <c r="E37" s="801" t="str">
        <f>Guidance!B108</f>
        <v xml:space="preserve">Insured annuities are contracts through which payments in respect of a portion of the scheme’s liabilities are met by a third-party insurance company. Typically, such contracts will be written in the name of the pension scheme trustees. These annuities relate to a particular group of named members and dependents of the scheme.
Include in this category the proportion of total assets invested in annuities where the audited accounts reflect a value for these assets.
If annuity assets (and matching liabilities) are excluded from the scheme accounts, then the asset breakdown here should not include these assets either.
</v>
      </c>
      <c r="F37" s="760"/>
      <c r="G37" s="112"/>
    </row>
    <row r="38" spans="1:7" ht="320.75" customHeight="1">
      <c r="A38" s="472" t="s">
        <v>462</v>
      </c>
      <c r="B38" s="2" t="str">
        <f>Questions!B173</f>
        <v xml:space="preserve">
Notional asset investment allocation: diversified growth funds (%)
</v>
      </c>
      <c r="C38" s="547"/>
      <c r="D38" s="471" t="str">
        <f ca="1">'Reconciliation report'!D1053</f>
        <v xml:space="preserve">
Enter a percentage value between -200 and 200.</v>
      </c>
      <c r="E38" s="801" t="str">
        <f>Guidance!B109</f>
        <v xml:space="preserve">
A diversified growth fund (DGF) invests across a range of asset classes with the aim of generating growth with lower volatility than equities.
DGFs have a volatility (risk) target. Typically, this is expressed in relation to equity markets, often within the range 1/3 to 2/3 of equity market volatility.
The difference between DGFs and absolute returns funds is that DGFs generate growth which is sensitive to movements in typical major asset classes (beta). This may be through a mix of direct holdings and investments in other funds (both internal and external), although it may also be achieved using derivatives. In contrast, absolute return funds predominately use derivative-based strategies to reduce performance sensitivity to the typical major asset classes. Look at the guidance on absolute return funds (Tiers 2 and 3 only) for more information.
You can take one of the following approaches, depending on the characteristics of the fund:
• Allocate to the DGF asset category (all tiers).
• Get a breakdown of the underlying asset classes and allocate to the available asset categories.
• Allocate to the ‘Other’ asset category.
Trustees have full discretion to allocating according to the breakdown of the underlying assets in the multi-asset fund. Keep in mind that if a fund generates returns regardless of market movements (for example, a long-short absolute return fund), then splitting the fund by asset categories is not a suitable way of capturing the level of risk.
</v>
      </c>
      <c r="F38" s="760"/>
      <c r="G38" s="112"/>
    </row>
    <row r="39" spans="1:7" ht="144.65" customHeight="1">
      <c r="A39" s="15" t="s">
        <v>463</v>
      </c>
      <c r="B39" s="2" t="str">
        <f>Questions!B174</f>
        <v xml:space="preserve">
Notional asset investment allocation: cash and net current assets (%)
</v>
      </c>
      <c r="C39" s="547"/>
      <c r="D39" s="351" t="str">
        <f ca="1">'Reconciliation report'!D1054</f>
        <v xml:space="preserve">
Enter a percentage value between -200 and 200.</v>
      </c>
      <c r="E39" s="801" t="str">
        <f>Guidance!B110</f>
        <v xml:space="preserve">
Cash investments have high liquidity and short maturities (usually 90 days or less).
Include in this category:
• cash in any currency or denomination
• cash held in savings accounts, bank accounts, money market funds, negotiable certificates of deposit (CDs), commercial paper and floating rate notes (FRNs)
• net current assets
</v>
      </c>
      <c r="F39" s="760"/>
      <c r="G39" s="112"/>
    </row>
    <row r="40" spans="1:7" ht="104.75" customHeight="1">
      <c r="A40" s="15" t="s">
        <v>464</v>
      </c>
      <c r="B40" s="2" t="str">
        <f>Questions!B175</f>
        <v xml:space="preserve">
Notional asset investment allocation: asset-backed contributions (ABCs) (%)
</v>
      </c>
      <c r="C40" s="547"/>
      <c r="D40" s="351" t="str">
        <f ca="1">'Reconciliation report'!D1055</f>
        <v xml:space="preserve">
Enter a percentage value between -200 and 200.</v>
      </c>
      <c r="E40" s="801" t="str">
        <f>Guidance!B111</f>
        <v xml:space="preserve">
An asset-backed contribution arrangement (ABC) is a contractual arrangement between trustees and one or more entities within the sponsoring employer’s group. ABCs involve regular payments to the scheme for the duration of the arrangement, often being indirectly funded by the sponsoring employer. Such arrangements are underpinned by an asset.
</v>
      </c>
      <c r="F40" s="760"/>
      <c r="G40" s="112"/>
    </row>
    <row r="41" spans="1:7" ht="240" customHeight="1">
      <c r="A41" s="15" t="s">
        <v>465</v>
      </c>
      <c r="B41" s="2" t="str">
        <f>Questions!B176</f>
        <v xml:space="preserve">
Notional asset investment allocation: other (%)
</v>
      </c>
      <c r="C41" s="547"/>
      <c r="D41" s="351" t="str">
        <f ca="1">'Reconciliation report'!D1056</f>
        <v xml:space="preserve">
Enter a percentage value between -200 and 200.</v>
      </c>
      <c r="E41" s="801" t="str">
        <f>Guidance!B112</f>
        <v xml:space="preserve">
Some notional allocations to assets do not obviously fall into any of the available categories.
A general description of the key characteristics of each asset category has been provided so that in such circumstances the trustees, in conjunction with their investment adviser or asset manager, can judge which category best reflects that allocation’s risk characteristics. This may involve dividing the allocation amongst more than one category.
Only asset allocations that cannot be assigned in this way, should  be recorded in this category as ‘Other’.
Examples of asset allocations that could be included here are:
• absolute return funds or other hedge funds, where it would be inappropriate to split them up into constituent parts because they are not thought to have significant and stable beta exposures
• insurance funds that cannot be split up into constituent parts
• commodities
</v>
      </c>
      <c r="F41" s="760"/>
      <c r="G41" s="112"/>
    </row>
    <row r="42" spans="1:7" ht="72" customHeight="1" thickBot="1">
      <c r="A42" s="15" t="str">
        <f>Questions!D776</f>
        <v>IRC 28.1</v>
      </c>
      <c r="B42" s="2" t="str">
        <f>Questions!B776</f>
        <v xml:space="preserve">
Total value of assets
</v>
      </c>
      <c r="C42" s="561">
        <f>SUM(C29:C41)</f>
        <v>0</v>
      </c>
      <c r="D42" s="351" t="str">
        <f ca="1">'Reconciliation report'!D1088</f>
        <v xml:space="preserve">
The total of the above percentages does not equal 100%.
</v>
      </c>
      <c r="E42" s="801"/>
      <c r="F42" s="760"/>
      <c r="G42" s="112"/>
    </row>
    <row r="43" spans="1:7" ht="108.65" customHeight="1" thickBot="1">
      <c r="A43" s="15" t="s">
        <v>466</v>
      </c>
      <c r="B43" s="2" t="str">
        <f>Questions!C177</f>
        <v xml:space="preserve">
Does the scheme currently have an explicit interest rate or inflation-hedging target?
</v>
      </c>
      <c r="C43" s="343"/>
      <c r="D43" s="351" t="str">
        <f ca="1">'Reconciliation report'!D1057</f>
        <v xml:space="preserve">
Select 'Yes' if the scheme does currently have an explicit interest rate or inflation-hedging target and 'No' if it does not.
</v>
      </c>
      <c r="E43" s="801" t="str">
        <f>Guidance!B113</f>
        <v xml:space="preserve">
Many schemes will have set target hedge ratios for interest rates and inflation as part of their investment strategy and consider their notional investment allocation to include these. We are only asking trustee of schemes that have target hedging ratios for their strategy as a whole to answer these questions.
</v>
      </c>
      <c r="F43" s="760"/>
      <c r="G43" s="112"/>
    </row>
    <row r="44" spans="1:7" ht="105" customHeight="1" thickBot="1">
      <c r="A44" s="15" t="s">
        <v>468</v>
      </c>
      <c r="B44" s="2" t="str">
        <f>Questions!C178</f>
        <v xml:space="preserve">
What are the current hedging targets measured as a proportion of?
</v>
      </c>
      <c r="C44" s="343"/>
      <c r="D44" s="351" t="str">
        <f ca="1">'Reconciliation report'!D1058</f>
        <v/>
      </c>
      <c r="E44" s="801" t="str">
        <f>Guidance!B114</f>
        <v xml:space="preserve">
A multiple choice to indicate what hedging targets are currently measured as a proportion of. Those selecting 'Other' will be asked to explain what their scheme's interest and/or inflation hedging targets are measured against.
</v>
      </c>
      <c r="F44" s="760"/>
      <c r="G44" s="112"/>
    </row>
    <row r="45" spans="1:7" ht="108" customHeight="1" thickBot="1">
      <c r="A45" s="15" t="s">
        <v>469</v>
      </c>
      <c r="B45" s="2" t="str">
        <f>Questions!C179</f>
        <v xml:space="preserve">No answer required
Explain what the scheme's interest and/or inflation hedging targets are measured against.
</v>
      </c>
      <c r="C45" s="206"/>
      <c r="D45" s="351" t="str">
        <f ca="1">'Reconciliation report'!D1059</f>
        <v/>
      </c>
      <c r="E45" s="801" t="str">
        <f>Guidance!B115</f>
        <v xml:space="preserve">
Where a scheme has a target hedge ratio for interest rates and inflation and has chosen 'Other', a description of how the target hedge ratio is calculated and monitored.
</v>
      </c>
      <c r="F45" s="760"/>
      <c r="G45" s="112"/>
    </row>
    <row r="46" spans="1:7" ht="134.75" customHeight="1" thickBot="1">
      <c r="A46" s="15" t="s">
        <v>470</v>
      </c>
      <c r="B46" s="2" t="str">
        <f>Questions!C180</f>
        <v xml:space="preserve">
Do the current target interest and inflation hedging ratios include insured annuities?
</v>
      </c>
      <c r="C46" s="343"/>
      <c r="D46" s="351" t="str">
        <f ca="1">'Reconciliation report'!D1060</f>
        <v/>
      </c>
      <c r="E46" s="801" t="str">
        <f>Guidance!B128</f>
        <v xml:space="preserve">
This is important because the inclusion of insured annuities in the denominator when calculating a hedging ratio can make a considerable difference to the outcome and without this information there would be the potential for the result to be misinterpreted.
We expect trustees to be consistent in the inclusion or exclusion of insured annuities when calculating hedging ratios for both interest rates and inflation.  Please ensure that this is the case.
Where insured annuities are included, they should be included within both the numerator and the denominator in determining a percentage hedge ratio.
</v>
      </c>
      <c r="F46" s="760"/>
      <c r="G46" s="112"/>
    </row>
    <row r="47" spans="1:7" ht="148.5" customHeight="1">
      <c r="A47" s="15" t="s">
        <v>472</v>
      </c>
      <c r="B47" s="2" t="str">
        <f>Questions!C181</f>
        <v xml:space="preserve">
What is the target interest rate hedging ratio? (%)
</v>
      </c>
      <c r="C47" s="547"/>
      <c r="D47" s="351" t="str">
        <f ca="1">'Reconciliation report'!D1061</f>
        <v/>
      </c>
      <c r="E47" s="801" t="str">
        <f>Guidance!B117</f>
        <v xml:space="preserve">
This is a percentage figure relating to the proportion of the measure selected in the question 'what are the current hedging targets measured as a proportion of?'
For example, if current hedging targets are measured as a proportion of 'assets (funded liabilities)' and it is 80% of assets, the answer would be 80%.
If the target is a range, rather than a single number, please enter the single number that is at the centre of the range.
</v>
      </c>
      <c r="F47" s="760"/>
      <c r="G47" s="112"/>
    </row>
    <row r="48" spans="1:7" ht="153" customHeight="1" thickBot="1">
      <c r="A48" s="250" t="s">
        <v>473</v>
      </c>
      <c r="B48" s="7" t="str">
        <f>Questions!C182</f>
        <v xml:space="preserve">
What is the target inflation rate hedging ratio? (%)
</v>
      </c>
      <c r="C48" s="548"/>
      <c r="D48" s="351" t="str">
        <f ca="1">'Reconciliation report'!D1062</f>
        <v/>
      </c>
      <c r="E48" s="802" t="str">
        <f>Guidance!B118</f>
        <v xml:space="preserve">
This is a percentage figure relating to the proportion of the measure selected in the question 'what are the current hedging targets measured as a proportion of?'
For example, if current hedging targets are measured as a proportion of 'assets (funded liabilities)' and it is 80% of assets, the answer would be 80%.
If the target is a range, rather than a single number, please enter the single number that is at the centre of the range.
</v>
      </c>
      <c r="F48" s="745"/>
      <c r="G48" s="106"/>
    </row>
    <row r="49" spans="1:8" s="20" customFormat="1" ht="20.149999999999999" hidden="1" customHeight="1" thickBot="1">
      <c r="A49" s="75"/>
      <c r="B49" s="75"/>
      <c r="C49" s="75" t="s">
        <v>23</v>
      </c>
      <c r="D49" s="99"/>
      <c r="E49" s="200"/>
      <c r="F49" s="200"/>
      <c r="G49" s="200"/>
    </row>
    <row r="50" spans="1:8" s="20" customFormat="1" ht="50.15" hidden="1" customHeight="1" thickBot="1">
      <c r="A50" s="750" t="s">
        <v>117</v>
      </c>
      <c r="B50" s="751"/>
      <c r="C50" s="57"/>
      <c r="D50" s="57"/>
      <c r="E50" s="57"/>
      <c r="F50" s="57"/>
      <c r="G50" s="57"/>
    </row>
    <row r="51" spans="1:8" s="47" customFormat="1" ht="36" hidden="1" customHeight="1" thickTop="1" thickBot="1">
      <c r="A51" s="752" t="s">
        <v>90</v>
      </c>
      <c r="B51" s="753"/>
      <c r="C51" s="668" t="s">
        <v>91</v>
      </c>
      <c r="D51" s="669"/>
      <c r="E51" s="667"/>
      <c r="F51" s="667"/>
      <c r="G51" s="667"/>
      <c r="H51" s="17"/>
    </row>
    <row r="52" spans="1:8" s="20" customFormat="1" ht="86" hidden="1" customHeight="1" thickTop="1" thickBot="1">
      <c r="A52" s="744" t="s">
        <v>118</v>
      </c>
      <c r="B52" s="754"/>
      <c r="C52" s="683"/>
      <c r="D52" s="62"/>
      <c r="E52" s="667"/>
      <c r="F52" s="667"/>
      <c r="G52" s="667"/>
    </row>
    <row r="53" spans="1:8" s="47" customFormat="1" ht="50.25" customHeight="1">
      <c r="A53" s="439"/>
      <c r="B53" s="255"/>
      <c r="C53" s="439"/>
      <c r="D53" s="439"/>
      <c r="E53" s="439"/>
      <c r="F53" s="439"/>
      <c r="G53" s="439"/>
    </row>
  </sheetData>
  <sheetProtection algorithmName="SHA-512" hashValue="dCmPkWUvSjUjFYeesImN2LAcXjQoq0QlPmJWcGnD1xseBkZRGy2ZWBlMoWoaNkmoIJCv5CN9y/XgTvk8kEY8Fg==" saltValue="92/+mQpZPXhSmbM0yEd65Q==" spinCount="100000" sheet="1" objects="1" scenarios="1" sort="0" autoFilter="0"/>
  <mergeCells count="47">
    <mergeCell ref="A50:B50"/>
    <mergeCell ref="A51:B51"/>
    <mergeCell ref="A52:B52"/>
    <mergeCell ref="E47:F47"/>
    <mergeCell ref="E48:F48"/>
    <mergeCell ref="E40:F40"/>
    <mergeCell ref="E43:F43"/>
    <mergeCell ref="E44:F44"/>
    <mergeCell ref="E45:F45"/>
    <mergeCell ref="E46:F46"/>
    <mergeCell ref="E41:F41"/>
    <mergeCell ref="E42:F42"/>
    <mergeCell ref="E35:F35"/>
    <mergeCell ref="E36:F36"/>
    <mergeCell ref="E37:F37"/>
    <mergeCell ref="E38:F38"/>
    <mergeCell ref="E39:F39"/>
    <mergeCell ref="E30:F30"/>
    <mergeCell ref="E31:F31"/>
    <mergeCell ref="E32:F32"/>
    <mergeCell ref="E33:F33"/>
    <mergeCell ref="E34:F34"/>
    <mergeCell ref="E25:F25"/>
    <mergeCell ref="E26:F26"/>
    <mergeCell ref="E27:F27"/>
    <mergeCell ref="E28:F28"/>
    <mergeCell ref="E29:F29"/>
    <mergeCell ref="A1:B1"/>
    <mergeCell ref="A2:B2"/>
    <mergeCell ref="A3:B4"/>
    <mergeCell ref="E8:F8"/>
    <mergeCell ref="E9:F9"/>
    <mergeCell ref="E7:F7"/>
    <mergeCell ref="A6:B6"/>
    <mergeCell ref="A24:B24"/>
    <mergeCell ref="A12:B12"/>
    <mergeCell ref="E10:F10"/>
    <mergeCell ref="E13:F13"/>
    <mergeCell ref="E14:F14"/>
    <mergeCell ref="E15:F15"/>
    <mergeCell ref="E16:F16"/>
    <mergeCell ref="E17:F17"/>
    <mergeCell ref="E18:F18"/>
    <mergeCell ref="E19:F19"/>
    <mergeCell ref="E20:F20"/>
    <mergeCell ref="E21:F21"/>
    <mergeCell ref="E22:F22"/>
  </mergeCells>
  <conditionalFormatting sqref="C52">
    <cfRule type="expression" dxfId="619" priority="1">
      <formula>$C$52=""</formula>
    </cfRule>
  </conditionalFormatting>
  <conditionalFormatting sqref="D8:D10 D14:D22 D26:D48">
    <cfRule type="notContainsBlanks" dxfId="616" priority="6">
      <formula>LEN(TRIM(D8))&gt;0</formula>
    </cfRule>
  </conditionalFormatting>
  <dataValidations count="14">
    <dataValidation allowBlank="1" showInputMessage="1" showErrorMessage="1" error="Select from the list." sqref="C53" xr:uid="{7AEE5AA0-447A-412D-8ADA-928D91FFD454}"/>
    <dataValidation type="whole" allowBlank="1" showInputMessage="1" showErrorMessage="1" errorTitle="There is a problem" error="You must enter a number between 1 and 10." promptTitle="Enter a value" prompt="Enter a number" sqref="C22" xr:uid="{01962AF9-4A27-4424-A5DB-AC29A94FDABE}">
      <formula1>1</formula1>
      <formula2>10</formula2>
    </dataValidation>
    <dataValidation type="decimal" allowBlank="1" showInputMessage="1" showErrorMessage="1" errorTitle="There is a problem" error="You must enter a percentage value between 0 and 100." promptTitle="Enter a percentage" prompt="Enter a percentage value" sqref="C8" xr:uid="{60638EC6-1457-4D8E-A72B-54D13977F813}">
      <formula1>0</formula1>
      <formula2>1</formula2>
    </dataValidation>
    <dataValidation type="custom" allowBlank="1" showInputMessage="1" showErrorMessage="1" errorTitle="There is a problem" error="You must enter a number greater than -1,000,000,000,000 (minus 1 trillion) and less than or equal to 0.00 with up to two decimal places._x000a_" promptTitle="Enter a value" prompt="Enter a number (£)" sqref="C9" xr:uid="{B9A805D6-A34B-41A9-A747-9C1F727415E0}">
      <formula1>AND(ISNUMBER(VALUE(C9)), VALUE(C9)&lt;=0, VALUE(C9)&gt;=-999999999999.99, IF(ISERROR(FIND(".", C9)), VALUE(C9)=INT(VALUE(C9)), LEN(C9)-FIND(".", C9)&lt;=2))</formula1>
    </dataValidation>
    <dataValidation type="textLength" operator="lessThan" allowBlank="1" showInputMessage="1" showErrorMessage="1" errorTitle="There is a problem" error="Your answer must not exceed 4000 characters." promptTitle="Add your answer" prompt="Answer this question in 4000 characters or less" sqref="C10" xr:uid="{35EBD08D-0B05-4CB1-9B95-072914D21645}">
      <formula1>4000</formula1>
    </dataValidation>
    <dataValidation type="textLength" operator="lessThanOrEqual" allowBlank="1" showInputMessage="1" showErrorMessage="1" errorTitle="There is a problem" error="Your answer must not exceed 4000 characters." promptTitle="Add your answer" prompt="Answer this question in 4000 characters or less" sqref="C45 C20" xr:uid="{204C126E-0CEE-4C9B-9A83-36647343A31F}">
      <formula1>4000</formula1>
    </dataValidation>
    <dataValidation type="decimal" allowBlank="1" showInputMessage="1" showErrorMessage="1" errorTitle="There is a problem" error="You must enter a percentage value between -10 and 10." promptTitle="Enter a percentage" prompt="Enter a percentage value" sqref="C18:C19" xr:uid="{2B07C500-11BD-4D77-AE2B-68957AB3FC41}">
      <formula1>-0.1</formula1>
      <formula2>0.1</formula2>
    </dataValidation>
    <dataValidation type="decimal" allowBlank="1" showInputMessage="1" showErrorMessage="1" errorTitle="There is a problem" error="You must enter a percentage value between 0 and 100." promptTitle="Enter a value" prompt="Enter a percentage value" sqref="C21" xr:uid="{70D22416-F88C-4795-8B23-51185BAB066A}">
      <formula1>0</formula1>
      <formula2>1</formula2>
    </dataValidation>
    <dataValidation type="decimal" operator="greaterThanOrEqual" allowBlank="1" showInputMessage="1" showErrorMessage="1" errorTitle="There is a problem" error="You must enter a percentage value that is equal to or greater than 0." promptTitle="Enter a value" prompt="Enter a percentage value" sqref="C47:C48" xr:uid="{F8A26334-5C68-46B7-8114-6210238A7AC5}">
      <formula1>0</formula1>
    </dataValidation>
    <dataValidation type="decimal" operator="greaterThanOrEqual" allowBlank="1" showInputMessage="1" showErrorMessage="1" errorTitle="There is a problem" error="You must enter a percentage value that is equal to or greater than 0." promptTitle="Enter a value" prompt="Enter a percentage value that is equal to or greater than 0." sqref="C27:C28" xr:uid="{F1CFA4D1-6D68-4476-859E-BCE51AE28E9E}">
      <formula1>0</formula1>
    </dataValidation>
    <dataValidation type="custom" allowBlank="1" showInputMessage="1" showErrorMessage="1" errorTitle="There is a problem" error="You must enter a percentage value between 0 and 100. In addition, the total 'Notional asset investment allocations' percentages cannot total to more than 100%" promptTitle="Enter a value" prompt="Enter a percentage value" sqref="C42" xr:uid="{9236312C-B0A0-4AB4-8801-3B6C9E9F4FB6}">
      <formula1>AND(C42&gt;=0, C42&lt;=1, SUM($C$29:$C$41)&lt;=1)</formula1>
    </dataValidation>
    <dataValidation type="textLength" allowBlank="1" showInputMessage="1" showErrorMessage="1" errorTitle="There is a problem" error="Your answer must not exceed 4000 characters." promptTitle="Add your answer" prompt="Answer this question in 4000 characters or less" sqref="C15" xr:uid="{42EDC657-2D20-484F-A2E2-521D178F6725}">
      <formula1>0</formula1>
      <formula2>4000</formula2>
    </dataValidation>
    <dataValidation type="custom" allowBlank="1" showInputMessage="1" showErrorMessage="1" errorTitle="There is a problem" error="You must enter a percentage value between -200% and 300%. " promptTitle="Enter a value" prompt="Enter a percentage value" sqref="C29:C32" xr:uid="{3EEF3959-1559-4BAC-A0EE-2BFB1AEB0727}">
      <formula1>AND(C29&gt;=-2, C29&lt;=3)</formula1>
    </dataValidation>
    <dataValidation type="custom" allowBlank="1" showInputMessage="1" showErrorMessage="1" errorTitle="There is a problem" error="You must enter a percentage value between -200% and 200%." promptTitle="Enter a value" prompt="Enter a percentage value" sqref="C33:C41" xr:uid="{DCD5E4D4-AAAC-499C-A22B-1252A358D705}">
      <formula1>AND(C33&gt;=-2, C33&lt;=2)</formula1>
    </dataValidation>
  </dataValidations>
  <pageMargins left="0.70000000000000007" right="0.70000000000000007" top="0.75" bottom="0.75" header="0.30000000000000004" footer="0.30000000000000004"/>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8" id="{AC4279EA-4EDB-4A41-924E-EC7744BC6F14}">
            <xm:f>SEARCH(RefData!$B$2,$B$8)</xm:f>
            <x14:dxf>
              <fill>
                <patternFill>
                  <bgColor theme="0" tint="-0.14996795556505021"/>
                </patternFill>
              </fill>
            </x14:dxf>
          </x14:cfRule>
          <xm:sqref>A8:E8 G8</xm:sqref>
        </x14:conditionalFormatting>
        <x14:conditionalFormatting xmlns:xm="http://schemas.microsoft.com/office/excel/2006/main">
          <x14:cfRule type="expression" priority="9" id="{3D85D606-1C5F-4154-A6E9-9E1389536E86}">
            <xm:f>SEARCH(RefData!$B$2,$B$9)</xm:f>
            <x14:dxf>
              <fill>
                <patternFill>
                  <bgColor theme="0" tint="-0.14996795556505021"/>
                </patternFill>
              </fill>
            </x14:dxf>
          </x14:cfRule>
          <xm:sqref>A9:E9 G9</xm:sqref>
        </x14:conditionalFormatting>
        <x14:conditionalFormatting xmlns:xm="http://schemas.microsoft.com/office/excel/2006/main">
          <x14:cfRule type="expression" priority="10" id="{5130B60D-1F5A-40BD-BDEC-32305BA6036C}">
            <xm:f>SEARCH(RefData!$B$2,$B$10)</xm:f>
            <x14:dxf>
              <fill>
                <patternFill>
                  <bgColor theme="0" tint="-0.14996795556505021"/>
                </patternFill>
              </fill>
            </x14:dxf>
          </x14:cfRule>
          <xm:sqref>A10:E10 G10</xm:sqref>
        </x14:conditionalFormatting>
        <x14:conditionalFormatting xmlns:xm="http://schemas.microsoft.com/office/excel/2006/main">
          <x14:cfRule type="expression" priority="11" id="{9E2195C5-B8BD-489E-A7A5-867954AD43EA}">
            <xm:f>SEARCH(RefData!$B$2,$B$14)</xm:f>
            <x14:dxf>
              <font>
                <color rgb="FF5F5F5F"/>
              </font>
              <fill>
                <patternFill>
                  <bgColor theme="0" tint="-0.14996795556505021"/>
                </patternFill>
              </fill>
            </x14:dxf>
          </x14:cfRule>
          <xm:sqref>A14:E14 G14</xm:sqref>
        </x14:conditionalFormatting>
        <x14:conditionalFormatting xmlns:xm="http://schemas.microsoft.com/office/excel/2006/main">
          <x14:cfRule type="expression" priority="12" id="{955F0ECA-55B4-41E9-B03B-358ED137A4F9}">
            <xm:f>SEARCH(RefData!$B$2,$B$15)</xm:f>
            <x14:dxf>
              <font>
                <color rgb="FF5F5F5F"/>
              </font>
              <fill>
                <patternFill>
                  <bgColor theme="0" tint="-0.14996795556505021"/>
                </patternFill>
              </fill>
            </x14:dxf>
          </x14:cfRule>
          <xm:sqref>A15:E15 G15</xm:sqref>
        </x14:conditionalFormatting>
        <x14:conditionalFormatting xmlns:xm="http://schemas.microsoft.com/office/excel/2006/main">
          <x14:cfRule type="expression" priority="14" id="{46B8AE1B-F220-4650-A44E-4F9E89563F83}">
            <xm:f>SEARCH(RefData!$B$2,$B$16)</xm:f>
            <x14:dxf>
              <font>
                <color rgb="FF5F5F5F"/>
              </font>
              <fill>
                <patternFill>
                  <bgColor theme="0" tint="-0.14996795556505021"/>
                </patternFill>
              </fill>
            </x14:dxf>
          </x14:cfRule>
          <xm:sqref>A16:E16 G16</xm:sqref>
        </x14:conditionalFormatting>
        <x14:conditionalFormatting xmlns:xm="http://schemas.microsoft.com/office/excel/2006/main">
          <x14:cfRule type="expression" priority="15" id="{4E64F204-7230-4E70-B24A-AD183509F2AF}">
            <xm:f>SEARCH(RefData!$B$2,$B$17)</xm:f>
            <x14:dxf>
              <font>
                <color rgb="FF5F5F5F"/>
              </font>
              <fill>
                <patternFill>
                  <bgColor theme="0" tint="-0.14996795556505021"/>
                </patternFill>
              </fill>
            </x14:dxf>
          </x14:cfRule>
          <xm:sqref>A17:E17 G17</xm:sqref>
        </x14:conditionalFormatting>
        <x14:conditionalFormatting xmlns:xm="http://schemas.microsoft.com/office/excel/2006/main">
          <x14:cfRule type="expression" priority="16" id="{F8B176F6-B496-4563-B126-7A4F5B50105C}">
            <xm:f>SEARCH(RefData!$B$2,$B$18)</xm:f>
            <x14:dxf>
              <font>
                <color rgb="FF5F5F5F"/>
              </font>
              <fill>
                <patternFill>
                  <bgColor theme="0" tint="-0.14996795556505021"/>
                </patternFill>
              </fill>
            </x14:dxf>
          </x14:cfRule>
          <xm:sqref>A18:E18 G18</xm:sqref>
        </x14:conditionalFormatting>
        <x14:conditionalFormatting xmlns:xm="http://schemas.microsoft.com/office/excel/2006/main">
          <x14:cfRule type="expression" priority="17" id="{24F3014B-8AEA-4CAE-A727-89ACCE5D5548}">
            <xm:f>SEARCH(RefData!$B$2,$B$19)</xm:f>
            <x14:dxf>
              <font>
                <color rgb="FF5F5F5F"/>
              </font>
              <fill>
                <patternFill>
                  <bgColor theme="0" tint="-0.14996795556505021"/>
                </patternFill>
              </fill>
            </x14:dxf>
          </x14:cfRule>
          <xm:sqref>A19:E19 G19</xm:sqref>
        </x14:conditionalFormatting>
        <x14:conditionalFormatting xmlns:xm="http://schemas.microsoft.com/office/excel/2006/main">
          <x14:cfRule type="expression" priority="18" id="{6C33159F-9698-4A21-A9C4-529BF0C81DD0}">
            <xm:f>SEARCH(RefData!$B$2,$B$20)</xm:f>
            <x14:dxf>
              <font>
                <color rgb="FF5F5F5F"/>
              </font>
              <fill>
                <patternFill>
                  <bgColor theme="0" tint="-0.14996795556505021"/>
                </patternFill>
              </fill>
            </x14:dxf>
          </x14:cfRule>
          <xm:sqref>A20:E20 G20</xm:sqref>
        </x14:conditionalFormatting>
        <x14:conditionalFormatting xmlns:xm="http://schemas.microsoft.com/office/excel/2006/main">
          <x14:cfRule type="expression" priority="19" id="{D0B95B1A-AE5C-440B-8819-F62E6185DE11}">
            <xm:f>SEARCH(RefData!$B$2,$B$21)</xm:f>
            <x14:dxf>
              <font>
                <color rgb="FF5F5F5F"/>
              </font>
              <fill>
                <patternFill>
                  <bgColor theme="0" tint="-0.14996795556505021"/>
                </patternFill>
              </fill>
            </x14:dxf>
          </x14:cfRule>
          <xm:sqref>A21:E21 G21</xm:sqref>
        </x14:conditionalFormatting>
        <x14:conditionalFormatting xmlns:xm="http://schemas.microsoft.com/office/excel/2006/main">
          <x14:cfRule type="expression" priority="20" id="{3CA74A17-B6D7-4BC0-89FC-32FE036B4A0E}">
            <xm:f>SEARCH(RefData!$B$2,$B$22)</xm:f>
            <x14:dxf>
              <font>
                <color rgb="FF5F5F5F"/>
              </font>
              <fill>
                <patternFill>
                  <bgColor theme="0" tint="-0.14996795556505021"/>
                </patternFill>
              </fill>
            </x14:dxf>
          </x14:cfRule>
          <xm:sqref>A22:E22 G22</xm:sqref>
        </x14:conditionalFormatting>
        <x14:conditionalFormatting xmlns:xm="http://schemas.microsoft.com/office/excel/2006/main">
          <x14:cfRule type="expression" priority="21" id="{52D82AE9-47E0-473B-BDDE-AA3E24BADDA4}">
            <xm:f>SEARCH(RefData!$B$2,$B$26)</xm:f>
            <x14:dxf>
              <font>
                <color rgb="FF5F5F5F"/>
              </font>
              <fill>
                <patternFill>
                  <bgColor theme="0" tint="-0.14996795556505021"/>
                </patternFill>
              </fill>
            </x14:dxf>
          </x14:cfRule>
          <xm:sqref>A26:E26 G26</xm:sqref>
        </x14:conditionalFormatting>
        <x14:conditionalFormatting xmlns:xm="http://schemas.microsoft.com/office/excel/2006/main">
          <x14:cfRule type="expression" priority="22" id="{2DDEEC84-0E02-476A-8CB9-04C6BA50E328}">
            <xm:f>SEARCH(RefData!$B$2,$B$27)</xm:f>
            <x14:dxf>
              <font>
                <color rgb="FF5F5F5F"/>
              </font>
              <fill>
                <patternFill>
                  <bgColor theme="0" tint="-0.14996795556505021"/>
                </patternFill>
              </fill>
            </x14:dxf>
          </x14:cfRule>
          <xm:sqref>A27:E27 G27</xm:sqref>
        </x14:conditionalFormatting>
        <x14:conditionalFormatting xmlns:xm="http://schemas.microsoft.com/office/excel/2006/main">
          <x14:cfRule type="expression" priority="24" id="{24619299-8FE2-47B4-9F00-2DC619CA46EA}">
            <xm:f>SEARCH(RefData!$B$2,$B$28)</xm:f>
            <x14:dxf>
              <font>
                <color rgb="FF5F5F5F"/>
              </font>
              <fill>
                <patternFill>
                  <bgColor theme="0" tint="-0.14996795556505021"/>
                </patternFill>
              </fill>
            </x14:dxf>
          </x14:cfRule>
          <xm:sqref>A28:E28 G28</xm:sqref>
        </x14:conditionalFormatting>
        <x14:conditionalFormatting xmlns:xm="http://schemas.microsoft.com/office/excel/2006/main">
          <x14:cfRule type="expression" priority="25" id="{EE5D6B60-33F0-489F-BE6A-13EEC4A89506}">
            <xm:f>SEARCH(RefData!$B$2,$B$43)</xm:f>
            <x14:dxf>
              <font>
                <color rgb="FF5F5F5F"/>
              </font>
              <fill>
                <patternFill>
                  <bgColor theme="0" tint="-0.14996795556505021"/>
                </patternFill>
              </fill>
            </x14:dxf>
          </x14:cfRule>
          <xm:sqref>A43:E43 G43</xm:sqref>
        </x14:conditionalFormatting>
        <x14:conditionalFormatting xmlns:xm="http://schemas.microsoft.com/office/excel/2006/main">
          <x14:cfRule type="expression" priority="26" id="{7A13F57A-4502-48EE-82A4-49564ACE2EC1}">
            <xm:f>SEARCH(RefData!$B$2,$B$44)</xm:f>
            <x14:dxf>
              <font>
                <color rgb="FF5F5F5F"/>
              </font>
              <fill>
                <patternFill>
                  <bgColor theme="0" tint="-0.14996795556505021"/>
                </patternFill>
              </fill>
            </x14:dxf>
          </x14:cfRule>
          <xm:sqref>A44:E44 G44</xm:sqref>
        </x14:conditionalFormatting>
        <x14:conditionalFormatting xmlns:xm="http://schemas.microsoft.com/office/excel/2006/main">
          <x14:cfRule type="expression" priority="27" id="{64EE8585-8B38-4D37-9EDE-85DAA7B66A1A}">
            <xm:f>SEARCH(RefData!$B$2,$B$45)</xm:f>
            <x14:dxf>
              <font>
                <color rgb="FF5F5F5F"/>
              </font>
              <fill>
                <patternFill>
                  <bgColor theme="0" tint="-0.14996795556505021"/>
                </patternFill>
              </fill>
            </x14:dxf>
          </x14:cfRule>
          <xm:sqref>A45:E45 G45</xm:sqref>
        </x14:conditionalFormatting>
        <x14:conditionalFormatting xmlns:xm="http://schemas.microsoft.com/office/excel/2006/main">
          <x14:cfRule type="expression" priority="29" id="{DC3FA777-2F4A-41D9-B596-8184CE7286DE}">
            <xm:f>SEARCH(RefData!$B$2,$B$46)</xm:f>
            <x14:dxf>
              <font>
                <color rgb="FF5F5F5F"/>
              </font>
              <fill>
                <patternFill>
                  <bgColor theme="0" tint="-0.14996795556505021"/>
                </patternFill>
              </fill>
            </x14:dxf>
          </x14:cfRule>
          <xm:sqref>A46:E46 G46</xm:sqref>
        </x14:conditionalFormatting>
        <x14:conditionalFormatting xmlns:xm="http://schemas.microsoft.com/office/excel/2006/main">
          <x14:cfRule type="expression" priority="35" id="{8A48E97A-2606-41A8-81BB-4B081E269224}">
            <xm:f>SEARCH(RefData!$B$2,$B$47)</xm:f>
            <x14:dxf>
              <font>
                <color rgb="FF5F5F5F"/>
              </font>
              <fill>
                <patternFill>
                  <bgColor theme="0" tint="-0.14996795556505021"/>
                </patternFill>
              </fill>
            </x14:dxf>
          </x14:cfRule>
          <xm:sqref>A47:E47 G47</xm:sqref>
        </x14:conditionalFormatting>
        <x14:conditionalFormatting xmlns:xm="http://schemas.microsoft.com/office/excel/2006/main">
          <x14:cfRule type="expression" priority="36" id="{3AF239B7-CDCF-4EE6-BF66-72C38C5D394E}">
            <xm:f>SEARCH(RefData!$B$2,$B$48)</xm:f>
            <x14:dxf>
              <font>
                <color rgb="FF5F5F5F"/>
              </font>
              <fill>
                <patternFill>
                  <bgColor theme="0" tint="-0.14996795556505021"/>
                </patternFill>
              </fill>
            </x14:dxf>
          </x14:cfRule>
          <xm:sqref>A48:E48 G48</xm:sqref>
        </x14:conditionalFormatting>
        <x14:conditionalFormatting xmlns:xm="http://schemas.microsoft.com/office/excel/2006/main">
          <x14:cfRule type="expression" priority="2" id="{8B009FBE-3442-4209-A8CE-647066523FF9}">
            <xm:f>$C$52=RefData!$B$433</xm:f>
            <x14:dxf>
              <fill>
                <patternFill>
                  <bgColor rgb="FFEFF5FA"/>
                </patternFill>
              </fill>
            </x14:dxf>
          </x14:cfRule>
          <x14:cfRule type="expression" priority="3" id="{795B4F1F-A097-4481-84C1-16ED7A125750}">
            <xm:f>$C$52=RefData!$B$434</xm:f>
            <x14:dxf>
              <fill>
                <patternFill>
                  <bgColor rgb="FFEFF5FA"/>
                </patternFill>
              </fill>
            </x14:dxf>
          </x14:cfRule>
          <xm:sqref>C52</xm:sqref>
        </x14:conditionalFormatting>
      </x14:conditionalFormattings>
    </ext>
    <ext xmlns:x14="http://schemas.microsoft.com/office/spreadsheetml/2009/9/main" uri="{CCE6A557-97BC-4b89-ADB6-D9C93CAAB3DF}">
      <x14:dataValidations xmlns:xm="http://schemas.microsoft.com/office/excel/2006/main" count="8">
        <x14:dataValidation type="list" operator="greaterThanOrEqual" allowBlank="1" showInputMessage="1" showErrorMessage="1" errorTitle="There is a problem" error="You must select your answer from the drop-down list." promptTitle="Select an answer" prompt="Choose from the list provided." xr:uid="{B5A6E8C5-980F-478C-9430-A736F411A436}">
          <x14:formula1>
            <xm:f>RefData!$B$57:$B$58</xm:f>
          </x14:formula1>
          <xm:sqref>C16</xm:sqref>
        </x14:dataValidation>
        <x14:dataValidation type="list" allowBlank="1" showInputMessage="1" showErrorMessage="1" errorTitle="There is a problem" error="You must select your answer from the drop-down list." promptTitle="Select an answer" prompt="Choose from the list provided." xr:uid="{5539606D-CE51-43B5-B253-C41647C13BB4}">
          <x14:formula1>
            <xm:f>RefData!$B$53:$B$56</xm:f>
          </x14:formula1>
          <xm:sqref>C14</xm:sqref>
        </x14:dataValidation>
        <x14:dataValidation type="list" operator="greaterThanOrEqual" allowBlank="1" showInputMessage="1" showErrorMessage="1" errorTitle="There is a problem" error="You must select your answer from the drop-down list." promptTitle="Select an answer" prompt="Choose from the list provided." xr:uid="{65AAE296-7826-4ACA-95B9-B8C31F2E7E23}">
          <x14:formula1>
            <xm:f>RefData!$B$59:$B$63</xm:f>
          </x14:formula1>
          <xm:sqref>C17</xm:sqref>
        </x14:dataValidation>
        <x14:dataValidation type="list" allowBlank="1" showInputMessage="1" showErrorMessage="1" errorTitle="There is a problem" error="Select ‘Nominal’ or ‘Margin over gilts’ from the dropdown list." promptTitle="Select an answer" prompt="Choose from the list provided." xr:uid="{E176690A-A8A8-4779-BEC2-C76AE00A7D14}">
          <x14:formula1>
            <xm:f>RefData!$B$64:$B$65</xm:f>
          </x14:formula1>
          <xm:sqref>C26</xm:sqref>
        </x14:dataValidation>
        <x14:dataValidation type="list" allowBlank="1" showInputMessage="1" showErrorMessage="1" errorTitle="There is a problem" error="You must select 'Yes' or 'No' from the drop-down list." promptTitle="Select an answer" prompt="Choose from the list provided." xr:uid="{3F403A3B-1163-4D24-9CBF-D4DAEEE46988}">
          <x14:formula1>
            <xm:f>RefData!$B$81:$B$82</xm:f>
          </x14:formula1>
          <xm:sqref>C43</xm:sqref>
        </x14:dataValidation>
        <x14:dataValidation type="list" allowBlank="1" showInputMessage="1" showErrorMessage="1" errorTitle="There is a problem" error="You must select your answer from the drop-down list." promptTitle="Select an answer" prompt="Choose from the list provided." xr:uid="{60AACBDA-BEEB-4858-8DFE-CEAC1FCC3B5B}">
          <x14:formula1>
            <xm:f>RefData!$B$83:$B$86</xm:f>
          </x14:formula1>
          <xm:sqref>C44</xm:sqref>
        </x14:dataValidation>
        <x14:dataValidation type="list" allowBlank="1" showInputMessage="1" showErrorMessage="1" errorTitle="There is a problem" error="You must select 'Yes' or 'No' from the drop-down list." promptTitle="Select an answer" prompt="Choose from the list provided." xr:uid="{5CCD0C65-0890-46D3-8AD4-B9065E559C82}">
          <x14:formula1>
            <xm:f>RefData!$B$87:$B$88</xm:f>
          </x14:formula1>
          <xm:sqref>C46</xm:sqref>
        </x14:dataValidation>
        <x14:dataValidation type="list" allowBlank="1" showInputMessage="1" showErrorMessage="1" xr:uid="{CE54CDF3-F14D-42A2-BC21-6BB7AF9245AA}">
          <x14:formula1>
            <xm:f>RefData!$B$433:$B$435</xm:f>
          </x14:formula1>
          <xm:sqref>C52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35BCE-2EE9-46AC-802E-D7B1768730FF}">
  <sheetPr codeName="Sheet17"/>
  <dimension ref="A1:XFC14"/>
  <sheetViews>
    <sheetView zoomScaleNormal="100" workbookViewId="0">
      <selection sqref="A1:B1"/>
    </sheetView>
  </sheetViews>
  <sheetFormatPr defaultColWidth="0" defaultRowHeight="0" customHeight="1" zeroHeight="1"/>
  <cols>
    <col min="1" max="1" width="15.07421875" style="20" customWidth="1"/>
    <col min="2" max="6" width="62.69140625" style="20" customWidth="1"/>
    <col min="7" max="104" width="11.69140625" style="20" hidden="1" customWidth="1"/>
    <col min="105" max="105" width="2.69140625" style="20" hidden="1" customWidth="1"/>
    <col min="106" max="16381" width="11.69140625" style="20" hidden="1"/>
    <col min="16382" max="16383" width="0" style="20" hidden="1"/>
    <col min="16384" max="16384" width="11.69140625" style="20" hidden="1"/>
  </cols>
  <sheetData>
    <row r="1" spans="1:103" ht="50.15" customHeight="1" thickBot="1">
      <c r="A1" s="747" t="s">
        <v>474</v>
      </c>
      <c r="B1" s="748"/>
      <c r="C1" s="13"/>
      <c r="D1" s="13"/>
      <c r="E1" s="13"/>
      <c r="F1" s="13"/>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row>
    <row r="2" spans="1:103" ht="50.15" customHeight="1" thickTop="1" thickBot="1">
      <c r="A2" s="742" t="s">
        <v>85</v>
      </c>
      <c r="B2" s="742"/>
      <c r="C2" s="57"/>
      <c r="D2" s="57"/>
      <c r="E2" s="57"/>
      <c r="F2" s="57"/>
    </row>
    <row r="3" spans="1:103" ht="333.65" customHeight="1" thickTop="1" thickBot="1">
      <c r="A3" s="765" t="s">
        <v>475</v>
      </c>
      <c r="B3" s="803"/>
      <c r="C3" s="25"/>
      <c r="D3" s="26"/>
      <c r="E3" s="26"/>
      <c r="F3" s="26"/>
    </row>
    <row r="4" spans="1:103" s="30" customFormat="1" ht="20.149999999999999" customHeight="1" thickBot="1">
      <c r="A4" s="75"/>
      <c r="B4" s="69"/>
      <c r="C4" s="75" t="s">
        <v>23</v>
      </c>
      <c r="D4" s="69"/>
      <c r="E4" s="69"/>
      <c r="F4" s="69"/>
    </row>
    <row r="5" spans="1:103" ht="50.15" customHeight="1" thickBot="1">
      <c r="A5" s="750" t="s">
        <v>55</v>
      </c>
      <c r="B5" s="750"/>
      <c r="C5" s="57"/>
      <c r="D5" s="57"/>
      <c r="E5" s="57"/>
      <c r="F5" s="57"/>
      <c r="G5" s="73"/>
      <c r="H5" s="73"/>
      <c r="I5" s="73"/>
      <c r="J5" s="73"/>
      <c r="K5" s="73"/>
    </row>
    <row r="6" spans="1:103" s="47" customFormat="1" ht="36" customHeight="1" thickTop="1" thickBot="1">
      <c r="A6" s="8" t="s">
        <v>89</v>
      </c>
      <c r="B6" s="8" t="s">
        <v>90</v>
      </c>
      <c r="C6" s="8" t="s">
        <v>91</v>
      </c>
      <c r="D6" s="199" t="s">
        <v>92</v>
      </c>
      <c r="E6" s="199" t="s">
        <v>104</v>
      </c>
      <c r="F6" s="199" t="s">
        <v>93</v>
      </c>
      <c r="G6" s="17"/>
    </row>
    <row r="7" spans="1:103" ht="155.5" thickTop="1">
      <c r="A7" s="5" t="s">
        <v>476</v>
      </c>
      <c r="B7" s="5" t="str">
        <f>Questions!B183</f>
        <v xml:space="preserve">
What is the proportion of highly liquid investments? (%)
</v>
      </c>
      <c r="C7" s="562"/>
      <c r="D7" s="351" t="str">
        <f ca="1">'Reconciliation report'!D1063</f>
        <v xml:space="preserve">
Enter a percentage value between 0 and 100.
</v>
      </c>
      <c r="E7" s="109" t="str">
        <f>Guidance!B119</f>
        <v xml:space="preserve">
Investments which the trustees can reasonably expect to be able to call upon to meet unexpected liquidity needs at very short notice without incurring any significant penalties or other losses.
We would consider assets which can be consistently available within five working days (irrespective of the date and of market conditions) to be highly liquid. The five working days period includes the notice period and settlement time.
</v>
      </c>
      <c r="F7" s="252"/>
    </row>
    <row r="8" spans="1:103" ht="171" thickBot="1">
      <c r="A8" s="5" t="s">
        <v>477</v>
      </c>
      <c r="B8" s="5" t="str">
        <f>Questions!B184</f>
        <v xml:space="preserve">
What is the proportion of illiquid investments? (%)
</v>
      </c>
      <c r="C8" s="562"/>
      <c r="D8" s="351" t="str">
        <f ca="1">'Reconciliation report'!D1064</f>
        <v xml:space="preserve">
Enter a percentage value between 0 and 100.
</v>
      </c>
      <c r="E8" s="110" t="str">
        <f>Guidance!B120</f>
        <v xml:space="preserve">
Assets which may take a long time to sell without accepting a significant discount to their fair value.
The use of the word 'may' is deliberate to include assets which are realisable monthly or at less frequent dates, so where there could be a long period until they are realisable (even though they may be realisable at short notice at certain specific times). Assets which are, for example, daily traded but can only be realised at a significant discount would also be regarded as illiquid. 
</v>
      </c>
      <c r="F8" s="253"/>
    </row>
    <row r="9" spans="1:103" ht="389.15" customHeight="1" thickBot="1">
      <c r="A9" s="34" t="s">
        <v>478</v>
      </c>
      <c r="B9" s="6" t="str">
        <f>Questions!C185</f>
        <v xml:space="preserve">
Does the scheme’s notional investment allocation include leveraged investments that could result in unexpected demands on liquidity from the rest of the scheme’s assets?
</v>
      </c>
      <c r="C9" s="495"/>
      <c r="D9" s="351" t="str">
        <f ca="1">'Reconciliation report'!D1065</f>
        <v xml:space="preserve">
Select 'Yes' if the scheme’s notional investment allocation includes leveraged investments that could result in unexpected demands on liquidity from the rest of the scheme’s assets and 'No' if it does not.
</v>
      </c>
      <c r="E9" s="318" t="str">
        <f>Guidance!B121</f>
        <v xml:space="preserve">
Whether the scheme’s notional investment allocation includes leveraged investments that could result in unexpected demands on liquidity from the rest of the scheme’s assets.
Leverage is when the exposure to movements in prices is greater than the value of the allocation. A common example of where this could result in unexpected demands on liquidity results from investment in derivatives (including repos) in a liability-driven investment (LDI) portfolio, where leverage is used to allow a scheme to gain a higher exposure to long-term interest rates and/or inflation than the total value of the LDI portfolio.
If there is an allocation to LDI, we would expect the answer to this question to be 'yes'. Even if outside an LDI portfolio, the use of derivatives is highly likely to involve leverage that could result in unexpected demands on liquidity from other scheme assets. Common examples of derivatives are interest rate swaps and swaptions, equity options and futures, credit default swaps and currency forwards.
If the only leveraged investments are in respect of currency hedging, then answer 'No' to this question.
</v>
      </c>
      <c r="F9" s="260"/>
    </row>
    <row r="10" spans="1:103" ht="20.149999999999999" hidden="1" customHeight="1" thickBot="1">
      <c r="A10" s="75"/>
      <c r="B10" s="75"/>
      <c r="C10" s="75" t="s">
        <v>23</v>
      </c>
      <c r="D10" s="99"/>
      <c r="E10" s="200"/>
      <c r="F10" s="200"/>
      <c r="G10" s="200"/>
    </row>
    <row r="11" spans="1:103" ht="50.15" hidden="1" customHeight="1" thickBot="1">
      <c r="A11" s="750" t="s">
        <v>117</v>
      </c>
      <c r="B11" s="751"/>
      <c r="C11" s="57"/>
      <c r="D11" s="57"/>
      <c r="E11" s="57"/>
      <c r="F11" s="57"/>
      <c r="G11" s="57"/>
    </row>
    <row r="12" spans="1:103" s="47" customFormat="1" ht="36" hidden="1" customHeight="1" thickTop="1" thickBot="1">
      <c r="A12" s="752" t="s">
        <v>90</v>
      </c>
      <c r="B12" s="753"/>
      <c r="C12" s="668" t="s">
        <v>91</v>
      </c>
      <c r="D12" s="669"/>
      <c r="E12" s="667"/>
      <c r="F12" s="667"/>
      <c r="G12" s="667"/>
      <c r="H12" s="17"/>
    </row>
    <row r="13" spans="1:103" ht="86" hidden="1" customHeight="1" thickTop="1" thickBot="1">
      <c r="A13" s="744" t="s">
        <v>118</v>
      </c>
      <c r="B13" s="754"/>
      <c r="C13" s="683"/>
      <c r="D13" s="62"/>
      <c r="E13" s="667"/>
      <c r="F13" s="667"/>
      <c r="G13" s="196"/>
    </row>
    <row r="14" spans="1:103" s="47" customFormat="1" ht="50.25" customHeight="1">
      <c r="A14" s="439"/>
      <c r="B14" s="255"/>
      <c r="C14" s="439"/>
      <c r="D14" s="439"/>
      <c r="E14" s="439"/>
      <c r="F14" s="439"/>
    </row>
  </sheetData>
  <sheetProtection algorithmName="SHA-512" hashValue="CdB8b9nnbtCiEQP3hRJqeFibdqVT21b0Ml2qvZrlnNj8HuMW24DFCRDfs2WGyICKEGuosdcyUtdWrnwXTk5FoQ==" saltValue="rC02P+rerVLlOHeejMiODg==" spinCount="100000" sheet="1" objects="1" scenarios="1" sort="0" autoFilter="0"/>
  <mergeCells count="7">
    <mergeCell ref="A12:B12"/>
    <mergeCell ref="A13:B13"/>
    <mergeCell ref="A1:B1"/>
    <mergeCell ref="A2:B2"/>
    <mergeCell ref="A3:B3"/>
    <mergeCell ref="A5:B5"/>
    <mergeCell ref="A11:B11"/>
  </mergeCells>
  <conditionalFormatting sqref="C13">
    <cfRule type="expression" dxfId="614" priority="1">
      <formula>$C$13=""</formula>
    </cfRule>
  </conditionalFormatting>
  <conditionalFormatting sqref="D7:D9">
    <cfRule type="notContainsBlanks" dxfId="611" priority="4">
      <formula>LEN(TRIM(D7))&gt;0</formula>
    </cfRule>
  </conditionalFormatting>
  <dataValidations count="3">
    <dataValidation type="custom" allowBlank="1" showInputMessage="1" showErrorMessage="1" errorTitle="There is a problem" error="You must enter a percentage value between 0 and 100. In addition, the total liquid and illiquid investments cannot be more than 100%." promptTitle="Enter a value" prompt="Enter a percentage value" sqref="C8" xr:uid="{E1FAAA5B-7F46-46CE-8C0B-1D2F4E94387F}">
      <formula1>AND(C8&gt;=0, C8&lt;=1, SUM($C$7:$C$8)&lt;=1)</formula1>
    </dataValidation>
    <dataValidation type="custom" allowBlank="1" showInputMessage="1" showErrorMessage="1" errorTitle="There is a problem" error="You must enter a percentage value between -100 and 100. In addition, the total liquid and illiquid investments cannot be more than 100%." promptTitle="Enter a value" prompt="Enter a percentage value" sqref="C7" xr:uid="{F957AFC9-61CF-4759-806E-6846F837BB26}">
      <formula1>AND(C7&gt;=-1, C7&lt;=1, SUM($C$7:$C$8)&lt;=1)</formula1>
    </dataValidation>
    <dataValidation allowBlank="1" showInputMessage="1" showErrorMessage="1" error="Select from the list." sqref="C14" xr:uid="{3CD0B98B-2783-438F-8F9E-C616E7F716ED}"/>
  </dataValidations>
  <pageMargins left="0.70000000000000007" right="0.70000000000000007" top="0.75" bottom="0.75" header="0.30000000000000004" footer="0.30000000000000004"/>
  <pageSetup paperSize="9" fitToWidth="0"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635" id="{CC90CEA2-D7AB-4336-A169-90134D60986C}">
            <xm:f>SEARCH(RefData!$B$2,$B$9)</xm:f>
            <x14:dxf>
              <font>
                <color rgb="FF5F5F5F"/>
              </font>
              <fill>
                <patternFill>
                  <bgColor theme="0" tint="-0.14996795556505021"/>
                </patternFill>
              </fill>
            </x14:dxf>
          </x14:cfRule>
          <xm:sqref>A9:F9</xm:sqref>
        </x14:conditionalFormatting>
        <x14:conditionalFormatting xmlns:xm="http://schemas.microsoft.com/office/excel/2006/main">
          <x14:cfRule type="expression" priority="2" id="{84DB395E-9ABE-4A33-B8E1-4E31B1A08B11}">
            <xm:f>$C$13=RefData!$B$433</xm:f>
            <x14:dxf>
              <fill>
                <patternFill>
                  <bgColor rgb="FFEFF5FA"/>
                </patternFill>
              </fill>
            </x14:dxf>
          </x14:cfRule>
          <x14:cfRule type="expression" priority="3" id="{8833BD24-897E-4CFC-AE5C-BF951763A7DD}">
            <xm:f>$C$13=RefData!$B$434</xm:f>
            <x14:dxf>
              <fill>
                <patternFill>
                  <bgColor rgb="FFEFF5FA"/>
                </patternFill>
              </fill>
            </x14:dxf>
          </x14:cfRule>
          <xm:sqref>C13</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errorTitle="There is a problem" error="You must select 'Yes' or 'No' form the drop-down list." promptTitle="Select an answer" prompt="Choose from the list provided" xr:uid="{A640AED9-CBBD-4CE5-9C1F-9E31DE987FE2}">
          <x14:formula1>
            <xm:f>RefData!$B$66:$B$67</xm:f>
          </x14:formula1>
          <xm:sqref>C9</xm:sqref>
        </x14:dataValidation>
        <x14:dataValidation type="list" allowBlank="1" showInputMessage="1" showErrorMessage="1" xr:uid="{DB50F732-42C7-470D-9546-CAD6C0D1BAB8}">
          <x14:formula1>
            <xm:f>RefData!$B$433:$B$435</xm:f>
          </x14:formula1>
          <xm:sqref>C13</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8F825-3ED7-4792-AAC4-AC92C4F3B748}">
  <sheetPr codeName="Sheet18"/>
  <dimension ref="A1:XFC39"/>
  <sheetViews>
    <sheetView zoomScaleNormal="100" workbookViewId="0">
      <selection sqref="A1:B1"/>
    </sheetView>
  </sheetViews>
  <sheetFormatPr defaultColWidth="0" defaultRowHeight="0" customHeight="1" zeroHeight="1"/>
  <cols>
    <col min="1" max="1" width="15.07421875" style="20" customWidth="1"/>
    <col min="2" max="4" width="62.69140625" style="20" customWidth="1"/>
    <col min="5" max="5" width="68.69140625" style="20" customWidth="1"/>
    <col min="6" max="6" width="62.69140625" style="20" customWidth="1"/>
    <col min="7" max="16381" width="11.69140625" style="20" hidden="1"/>
    <col min="16382" max="16383" width="0" style="20" hidden="1"/>
    <col min="16384" max="16384" width="11.69140625" style="20" hidden="1"/>
  </cols>
  <sheetData>
    <row r="1" spans="1:7" ht="50.15" customHeight="1" thickBot="1">
      <c r="A1" s="747" t="s">
        <v>479</v>
      </c>
      <c r="B1" s="748"/>
      <c r="C1" s="13"/>
      <c r="D1" s="13"/>
      <c r="E1" s="13"/>
      <c r="F1" s="13"/>
    </row>
    <row r="2" spans="1:7" ht="50.15" customHeight="1" thickTop="1" thickBot="1">
      <c r="A2" s="742" t="s">
        <v>85</v>
      </c>
      <c r="B2" s="742"/>
      <c r="C2" s="57"/>
      <c r="D2" s="57"/>
      <c r="E2" s="57"/>
      <c r="F2" s="57"/>
    </row>
    <row r="3" spans="1:7" ht="373.4" customHeight="1" thickTop="1" thickBot="1">
      <c r="A3" s="765" t="s">
        <v>480</v>
      </c>
      <c r="B3" s="803"/>
      <c r="C3" s="25"/>
      <c r="D3" s="26"/>
      <c r="E3" s="26"/>
      <c r="F3" s="26"/>
    </row>
    <row r="4" spans="1:7" s="30" customFormat="1" ht="20.149999999999999" customHeight="1" thickBot="1">
      <c r="A4" s="75"/>
      <c r="B4" s="69"/>
      <c r="C4" s="75" t="s">
        <v>23</v>
      </c>
      <c r="D4" s="69"/>
      <c r="E4" s="69"/>
      <c r="F4" s="69"/>
    </row>
    <row r="5" spans="1:7" ht="50.15" customHeight="1" thickBot="1">
      <c r="A5" s="755" t="s">
        <v>481</v>
      </c>
      <c r="B5" s="755"/>
      <c r="C5" s="57"/>
      <c r="D5" s="57"/>
      <c r="E5" s="57"/>
      <c r="F5" s="57"/>
    </row>
    <row r="6" spans="1:7" s="47" customFormat="1" ht="36" customHeight="1" thickTop="1" thickBot="1">
      <c r="A6" s="8" t="s">
        <v>89</v>
      </c>
      <c r="B6" s="8" t="s">
        <v>90</v>
      </c>
      <c r="C6" s="8" t="s">
        <v>91</v>
      </c>
      <c r="D6" s="8" t="s">
        <v>92</v>
      </c>
      <c r="E6" s="199" t="s">
        <v>104</v>
      </c>
      <c r="F6" s="199" t="s">
        <v>93</v>
      </c>
      <c r="G6" s="17"/>
    </row>
    <row r="7" spans="1:7" ht="94" thickTop="1" thickBot="1">
      <c r="A7" s="5" t="s">
        <v>482</v>
      </c>
      <c r="B7" s="5" t="str">
        <f>Questions!C186</f>
        <v xml:space="preserve">
What will be the intended investment risk at the relevant date expressed as a percentage drop in funding level? (%)
</v>
      </c>
      <c r="C7" s="562"/>
      <c r="D7" s="361" t="str">
        <f ca="1">'Reconciliation report'!D1066</f>
        <v/>
      </c>
      <c r="E7" s="109" t="str">
        <f>Guidance!B122</f>
        <v xml:space="preserve">
Our expectation is that the intended investment risk at the relevant date will reflect the objective of a low dependency investment allocation at that date. If for any reason this is not the case, the reasons for this should be explained in the later narrative regarding the level of risk in the journey plan.
</v>
      </c>
      <c r="F7" s="252"/>
    </row>
    <row r="8" spans="1:7" ht="388.5" thickTop="1" thickBot="1">
      <c r="A8" s="5" t="s">
        <v>483</v>
      </c>
      <c r="B8" s="5" t="str">
        <f>Questions!C187</f>
        <v xml:space="preserve">
What is the scheme's de-risking approach?
</v>
      </c>
      <c r="C8" s="497"/>
      <c r="D8" s="372" t="str">
        <f ca="1">'Reconciliation report'!D1067</f>
        <v/>
      </c>
      <c r="E8" s="109" t="str">
        <f>Guidance!B123</f>
        <v xml:space="preserve">
Select the option which most closely aligns with the trustees' approach.
If there are no plans to de-risk from the current strategy, then select the option "no change from current notional investment allocation" This may be because the current notional investment allocation is already a low dependency investment allocation. Another possible reason would be that the trustee accepts that the sponsor cannot afford to pay contributions which are sufficient to close the funding gap if an investment strategy which meets the requirements of the DB funding code is followed.
If there are plans to begin de-risking only after the reliability period, then select one of the options in which de-risking only begins after the reliability period.
If the approach is to reduce the level of risk annually, then select one of the linear de-risking approaches. If the intention is to reduce the level of risk in a few steps to get to the LDIA, then one of the stepped options is likely to be most appropriate. If many steps are anticipated to get from the current allocation to the LDIA, and steps are not as frequent as once every two years, then one of the stepped options should be selected. If the period between steps is 2 years then a judgement will need to be made about whether this should be considered a stepped evolution or a linear evolution with the former being more appropriate if the period to the relevant date is not expected to be many years.
</v>
      </c>
      <c r="F8" s="252"/>
    </row>
    <row r="9" spans="1:7" ht="218" thickTop="1" thickBot="1">
      <c r="A9" s="5" t="s">
        <v>484</v>
      </c>
      <c r="B9" s="34" t="str">
        <f>Questions!C188</f>
        <v xml:space="preserve">
Provide further information that may be helpful to understand the level of risk in the journey plan. (Optional)
</v>
      </c>
      <c r="C9" s="498"/>
      <c r="D9" s="362" t="str">
        <f ca="1">'Reconciliation report'!D1068</f>
        <v/>
      </c>
      <c r="E9" s="111" t="str">
        <f>Guidance!B124</f>
        <v xml:space="preserve">
Trustees may provide further information on the progression of the investment strategy through the journey plan. This may include the time-frame, the frequency and level of de-risking, and any metrics that might trigger de-risking to take place.
For example, they may have felt that none of the options available to describe their de-risking approach adequately describe it. In this case, they can add an explanation of what their approach is.  
Also, if they do not think that it would be appropriate for the scheme to get to a low dependency investment allocation by the time they reach the relevant date, they may wish to explain why.
</v>
      </c>
      <c r="F9" s="579"/>
    </row>
    <row r="10" spans="1:7" s="27" customFormat="1" ht="20.149999999999999" customHeight="1" thickBot="1">
      <c r="A10" s="254"/>
      <c r="B10" s="72"/>
      <c r="C10" s="75" t="s">
        <v>23</v>
      </c>
      <c r="D10" s="69"/>
      <c r="E10" s="70"/>
      <c r="F10" s="70"/>
    </row>
    <row r="11" spans="1:7" ht="50.15" customHeight="1" thickBot="1">
      <c r="A11" s="805" t="s">
        <v>485</v>
      </c>
      <c r="B11" s="805"/>
      <c r="C11" s="57"/>
      <c r="D11" s="57"/>
      <c r="E11" s="57"/>
      <c r="F11" s="57"/>
    </row>
    <row r="12" spans="1:7" s="47" customFormat="1" ht="36" customHeight="1" thickTop="1" thickBot="1">
      <c r="A12" s="8" t="s">
        <v>89</v>
      </c>
      <c r="B12" s="8" t="s">
        <v>90</v>
      </c>
      <c r="C12" s="8" t="s">
        <v>91</v>
      </c>
      <c r="D12" s="8" t="s">
        <v>92</v>
      </c>
      <c r="E12" s="199" t="s">
        <v>104</v>
      </c>
      <c r="F12" s="199" t="s">
        <v>93</v>
      </c>
      <c r="G12" s="17"/>
    </row>
    <row r="13" spans="1:7" ht="125" thickTop="1" thickBot="1">
      <c r="A13" s="5" t="s">
        <v>486</v>
      </c>
      <c r="B13" s="5" t="str">
        <f>Questions!C189</f>
        <v xml:space="preserve">
Does the scheme have an explicit interest rate or inflation hedging target at the relevant date?
</v>
      </c>
      <c r="C13" s="187"/>
      <c r="D13" s="372" t="str">
        <f ca="1">'Reconciliation report'!D1069</f>
        <v xml:space="preserve">
Select 'Yes' if the scheme has an explicit interest rate or inflation hedging target at the relevant date or 'No' if it does not.
</v>
      </c>
      <c r="E13" s="5" t="str">
        <f>Guidance!B125</f>
        <v xml:space="preserve">
Many schemes will have set target hedge ratios for interest rates and inflation as part of their investment strategy, which includes strategies aligned with their low dependency investment allocation.
We are only asking schemes that have target hedging ratios for their strategy at the relevant date to answer the following five questions.
</v>
      </c>
      <c r="F13" s="319"/>
    </row>
    <row r="14" spans="1:7" ht="78" thickBot="1">
      <c r="A14" s="5" t="s">
        <v>488</v>
      </c>
      <c r="B14" s="5" t="str">
        <f>Questions!C190</f>
        <v xml:space="preserve">
What are the relevant date hedging targets measured as a proportion of?
</v>
      </c>
      <c r="C14" s="499"/>
      <c r="D14" s="372" t="str">
        <f ca="1">'Reconciliation report'!D1070</f>
        <v/>
      </c>
      <c r="E14" s="5" t="str">
        <f>Guidance!B126</f>
        <v xml:space="preserve">
If the options do not include one which applies to the scheme, trustees will be able to use the 'other' box and provide an explanation of the measure to which the percentage hedging level applies.
</v>
      </c>
      <c r="F14" s="320"/>
    </row>
    <row r="15" spans="1:7" ht="77.5">
      <c r="A15" s="5" t="s">
        <v>490</v>
      </c>
      <c r="B15" s="5" t="str">
        <f>Questions!C191</f>
        <v xml:space="preserve">No answer required
Describe what the scheme's interest rate or inflation hedging targets at relevant date are measured against.
</v>
      </c>
      <c r="C15" s="205"/>
      <c r="D15" s="361" t="str">
        <f ca="1">'Reconciliation report'!D1071</f>
        <v/>
      </c>
      <c r="E15" s="5" t="str">
        <f>Guidance!B127</f>
        <v xml:space="preserve">
This explanation will be available for trustees who have chosen 'other' in the question above.
</v>
      </c>
      <c r="F15" s="320"/>
    </row>
    <row r="16" spans="1:7" ht="201.5">
      <c r="A16" s="5" t="s">
        <v>491</v>
      </c>
      <c r="B16" s="5" t="str">
        <f>Questions!C192</f>
        <v xml:space="preserve">
Do the target interest rate and inflation hedging ratios include insured annuities at the relevant date?
</v>
      </c>
      <c r="C16" s="500"/>
      <c r="D16" s="361" t="str">
        <f ca="1">'Reconciliation report'!D1072</f>
        <v/>
      </c>
      <c r="E16" s="5" t="str">
        <f>Guidance!B128</f>
        <v xml:space="preserve">
This is important because the inclusion of insured annuities in the denominator when calculating a hedging ratio can make a considerable difference to the outcome and without this information there would be the potential for the result to be misinterpreted.
We expect trustees to be consistent in the inclusion or exclusion of insured annuities when calculating hedging ratios for both interest rates and inflation.  Please ensure that this is the case.
Where insured annuities are included, they should be included within both the numerator and the denominator in determining a percentage hedge ratio.
</v>
      </c>
      <c r="F16" s="320"/>
    </row>
    <row r="17" spans="1:7" ht="139.5">
      <c r="A17" s="5" t="s">
        <v>493</v>
      </c>
      <c r="B17" s="5" t="str">
        <f>Questions!C193</f>
        <v xml:space="preserve">
What is the scheme's intended interest rate hedging as a proportion of liabilities at the relevant date? (%)
</v>
      </c>
      <c r="C17" s="563"/>
      <c r="D17" s="361" t="str">
        <f ca="1">'Reconciliation report'!D1073</f>
        <v/>
      </c>
      <c r="E17" s="5" t="str">
        <f>Guidance!B129</f>
        <v xml:space="preserve">
This is a percentage figure relating to the proportion of the measure selected in the question 'what are the current hedging targets measured as a proportion of?'
For example, if hedging targets at the relevant date are measured as a proportion of 'assets (funded liabilities)' and it is 80% of assets, the answer would be 80%.
</v>
      </c>
      <c r="F17" s="320"/>
    </row>
    <row r="18" spans="1:7" ht="139.5">
      <c r="A18" s="5" t="s">
        <v>494</v>
      </c>
      <c r="B18" s="5" t="str">
        <f>Questions!C194</f>
        <v xml:space="preserve">
What is the scheme's intended inflation hedging as a proportion of liabilities at the relevant date? (%)
</v>
      </c>
      <c r="C18" s="563"/>
      <c r="D18" s="361" t="str">
        <f ca="1">'Reconciliation report'!D1074</f>
        <v/>
      </c>
      <c r="E18" s="5" t="str">
        <f>Guidance!B130</f>
        <v xml:space="preserve">
This is a percentage figure relating to the proportion of the measure selected in the question 'what are the current hedging targets measured as a proportion of?'
For example, if hedging targets at the relevant date are measured as a proportion of 'assets (funded liabilities)' and it is 80% of assets, the answer would be 80%.
</v>
      </c>
      <c r="F18" s="320"/>
    </row>
    <row r="19" spans="1:7" ht="409.25" customHeight="1" thickBot="1">
      <c r="A19" s="5" t="s">
        <v>495</v>
      </c>
      <c r="B19" s="34" t="str">
        <f>Questions!C195</f>
        <v xml:space="preserve">
How do the trustees intend to achieve the objective that the assets underpinning the minimum funding level are invested in accordance with a low dependency investment allocation on and after the relevant date?
</v>
      </c>
      <c r="C19" s="498"/>
      <c r="D19" s="362" t="str">
        <f ca="1">'Reconciliation report'!D1075</f>
        <v/>
      </c>
      <c r="E19" s="34" t="str">
        <f>Guidance!B131</f>
        <v xml:space="preserve">
A description of how the trustees expect their investment allocation to evolve to achieve the objective of a low dependency investment allocation by the relevant date - at least for the assets backing the low dependency liabilities. We provide some examples below.
Example 1: We are adopting a linear approach, which we anticipate will become consistent with a low dependency investment allocation by duration 10.5. We intend to revise the de-risking trajectory, as required, to achieve this, should investment conditions and other factors vary significantly from those anticipated.
Example 2: We are following a stepped evolution and intend to de-risk whenever the average maturity of liabilities, on a low dependency funding basis, falls below the next integer value – or earlier if there is a 7% or greater improvement in that funding level.  Our modelling indicates that this should enable us to achieve full funding on a low dependency funding basis by the relevant date.
Example 3: The situation for this scheme is that, when the FIS regulations came into force, the funding level was below 60% on a low dependency basis and the average duration of the scheme’s liabilities was around 11 years. The trustees are seeking to address the deficit through a combination of employer support and investment returns. The approach is, therefore, to maintain the current investment strategy in order to achieve the investment returns required to reach full funding on a low dependency basis by the relevant date.
</v>
      </c>
      <c r="F19" s="321"/>
    </row>
    <row r="20" spans="1:7" s="27" customFormat="1" ht="20.149999999999999" customHeight="1" thickBot="1">
      <c r="A20" s="254"/>
      <c r="B20" s="72"/>
      <c r="C20" s="254" t="s">
        <v>23</v>
      </c>
      <c r="D20" s="285"/>
      <c r="E20" s="70"/>
      <c r="F20" s="70"/>
    </row>
    <row r="21" spans="1:7" ht="50.15" customHeight="1" thickBot="1">
      <c r="A21" s="804" t="s">
        <v>496</v>
      </c>
      <c r="B21" s="804"/>
      <c r="C21" s="57"/>
      <c r="D21" s="284"/>
      <c r="E21" s="57"/>
      <c r="F21" s="57"/>
    </row>
    <row r="22" spans="1:7" s="47" customFormat="1" ht="36" customHeight="1" thickTop="1" thickBot="1">
      <c r="A22" s="8" t="s">
        <v>89</v>
      </c>
      <c r="B22" s="8" t="s">
        <v>90</v>
      </c>
      <c r="C22" s="8" t="s">
        <v>91</v>
      </c>
      <c r="D22" s="8" t="s">
        <v>92</v>
      </c>
      <c r="E22" s="199" t="s">
        <v>104</v>
      </c>
      <c r="F22" s="199" t="s">
        <v>93</v>
      </c>
      <c r="G22" s="17"/>
    </row>
    <row r="23" spans="1:7" ht="166.5" customHeight="1" thickTop="1" thickBot="1">
      <c r="A23" s="5" t="s">
        <v>497</v>
      </c>
      <c r="B23" s="5" t="str">
        <f>Questions!C196</f>
        <v xml:space="preserve">
How has the level of investment risk at the relevant date been determined?
</v>
      </c>
      <c r="C23" s="187"/>
      <c r="D23" s="372" t="str">
        <f ca="1">'Reconciliation report'!D1076</f>
        <v xml:space="preserve">
You must select one of the following options from the drop down list:
• TPR Fast Track stress test
• Value at Risk (VAR)
• Conditional Value at Risk (CVAR)
• Other
</v>
      </c>
      <c r="E23" s="5" t="str">
        <f>Guidance!B132</f>
        <v xml:space="preserve">
A multiple choice to indicate the method used to determine investment risk at the relevant date. Trustees who select 'other' will be asked to explain the method used. We recommend that trustees are pragmatic in this calculation. 
For example, a calculation which is the same as a value at risk calculation at the valuation date, but with a Low Dependency Investment Allocation would be a reasonable method - i.e. it is not necessary to allow for demographic changes in the scheme up to the relevant date and/or anticipated changes in yield curves or other investment parameters.
</v>
      </c>
      <c r="F23" s="215"/>
    </row>
    <row r="24" spans="1:7" ht="245.15" customHeight="1" thickBot="1">
      <c r="A24" s="5" t="s">
        <v>498</v>
      </c>
      <c r="B24" s="5" t="str">
        <f>Questions!C197</f>
        <v xml:space="preserve">No answer required
Explain how the level of risk at the relevant date has been determined.
</v>
      </c>
      <c r="C24" s="205"/>
      <c r="D24" s="361" t="str">
        <f ca="1">'Reconciliation report'!D1077</f>
        <v/>
      </c>
      <c r="E24" s="5" t="str">
        <f>Guidance!B133</f>
        <v xml:space="preserve">
If none of TPR FastTrack stress, VaR or CVaR calculation methods are used, please explain what is the method of determining risk. Please include in the explanation any suitable figures (e.g. percentiles), whether the method considers both assets and liabilities and, if the method includes liabilities, on what basis those liabilities are considered.
</v>
      </c>
      <c r="F24" s="215"/>
    </row>
    <row r="25" spans="1:7" ht="155.75" customHeight="1" thickBot="1">
      <c r="A25" s="5" t="s">
        <v>499</v>
      </c>
      <c r="B25" s="5" t="str">
        <f>Questions!C198</f>
        <v xml:space="preserve">
Has the investment risk calculation at the relevant date been based on liabilities and assets or assets only?
</v>
      </c>
      <c r="C25" s="499"/>
      <c r="D25" s="372" t="str">
        <f ca="1">'Reconciliation report'!D1078</f>
        <v xml:space="preserve">
You must select one of the following options from the drop down list:
• Liabilities and assets
• Assets only
</v>
      </c>
      <c r="E25" s="5" t="str">
        <f>Guidance!B134</f>
        <v xml:space="preserve">
The answer should depend on whether the stresses are applied to notional assets and liabilities or notional assets (both at the relevant date) only.
We would expect that in most cases the answer will be assets and liabilities, to produce a funding level stress rather than just an asset-only stress.
</v>
      </c>
      <c r="F25" s="215"/>
    </row>
    <row r="26" spans="1:7" ht="140.15" customHeight="1" thickBot="1">
      <c r="A26" s="5" t="s">
        <v>500</v>
      </c>
      <c r="B26" s="5" t="str">
        <f>Questions!C199</f>
        <v xml:space="preserve">
What liability basis has been used?
</v>
      </c>
      <c r="C26" s="499"/>
      <c r="D26" s="372" t="str">
        <f ca="1">'Reconciliation report'!D1079</f>
        <v xml:space="preserve">
Select one of the following options from the drop down list:
• Technical provisions
• Low dependency funding
• Gilts/ Margin over gilts
• Swaps/ Margin over swaps
• Other
</v>
      </c>
      <c r="E26" s="5" t="str">
        <f>Guidance!B135</f>
        <v xml:space="preserve">
For value at risk, conditional value at risk and other stresses, if the person completing this is not certain about the actuarial basis used, they should be able to take advice from the scheme actuary on the approach that has been adopted.
</v>
      </c>
      <c r="F26" s="215"/>
    </row>
    <row r="27" spans="1:7" ht="93">
      <c r="A27" s="5" t="s">
        <v>501</v>
      </c>
      <c r="B27" s="5" t="str">
        <f>Questions!C200</f>
        <v xml:space="preserve">No answer required
What margin over gilts has been used? (%)
</v>
      </c>
      <c r="C27" s="563"/>
      <c r="D27" s="361" t="str">
        <f ca="1">'Reconciliation report'!D1080</f>
        <v/>
      </c>
      <c r="E27" s="5" t="str">
        <f>Guidance!B136</f>
        <v xml:space="preserve">
Where a value at risk or conditional value at risk approach has been adopted and the liabilities are calculated with reference to gilts, the premium applied to the gilts curve (or spot rate) when calculating the liabilities. If there is no premium applied then enter 0.
</v>
      </c>
      <c r="F27" s="215"/>
    </row>
    <row r="28" spans="1:7" ht="93">
      <c r="A28" s="5" t="s">
        <v>502</v>
      </c>
      <c r="B28" s="5" t="str">
        <f>Questions!C201</f>
        <v xml:space="preserve">No answer required
What margin over swaps has been used? (%)
</v>
      </c>
      <c r="C28" s="563"/>
      <c r="D28" s="361" t="str">
        <f ca="1">'Reconciliation report'!D1081</f>
        <v/>
      </c>
      <c r="E28" s="5" t="str">
        <f>Guidance!B137</f>
        <v xml:space="preserve">
Where a value at risk or conditional value at risk approach has been adopted and the liabilities are calculated with reference to swaps, the premium applied to the swaps curve (or spot rate) when calculating the liabilities. If there is no premium applied then enter '0'.
</v>
      </c>
      <c r="F28" s="215"/>
    </row>
    <row r="29" spans="1:7" ht="77.5">
      <c r="A29" s="5" t="s">
        <v>503</v>
      </c>
      <c r="B29" s="5" t="str">
        <f>Questions!C202</f>
        <v xml:space="preserve">No answer required
Describe the liability basis.
</v>
      </c>
      <c r="C29" s="205"/>
      <c r="D29" s="361" t="str">
        <f ca="1">'Reconciliation report'!D1082</f>
        <v/>
      </c>
      <c r="E29" s="5" t="str">
        <f>Guidance!B138</f>
        <v xml:space="preserve">
Where a value at risk or conditional value at risk approach or Other approach has been adopted and the liabilities are calculated with reference to 'other', a description of the discount rates when calculating the liabilities.
</v>
      </c>
      <c r="F29" s="215"/>
    </row>
    <row r="30" spans="1:7" ht="93">
      <c r="A30" s="5" t="s">
        <v>504</v>
      </c>
      <c r="B30" s="5" t="str">
        <f>Questions!C203</f>
        <v xml:space="preserve">
At or to which percentile point has the investment risk been calculated? (%)
</v>
      </c>
      <c r="C30" s="563"/>
      <c r="D30" s="361" t="str">
        <f ca="1">'Reconciliation report'!D1083</f>
        <v/>
      </c>
      <c r="E30" s="5" t="str">
        <f>Guidance!B139</f>
        <v xml:space="preserve">
If it is a value at risk or conditional value at risk calculation, we need the one-tailed percentile. For example, if it is a 1 in 20 stress, this means that there is 5% of the area under the distribution curve below the cut-off point. We would expect this to be expressed as 5%.
</v>
      </c>
      <c r="F30" s="215"/>
    </row>
    <row r="31" spans="1:7" ht="62.5" thickBot="1">
      <c r="A31" s="5" t="s">
        <v>505</v>
      </c>
      <c r="B31" s="5" t="str">
        <f>Questions!C204</f>
        <v xml:space="preserve">
Over what period has the investment risk been calculated?
</v>
      </c>
      <c r="C31" s="420"/>
      <c r="D31" s="361" t="str">
        <f ca="1">'Reconciliation report'!D1084</f>
        <v/>
      </c>
      <c r="E31" s="5" t="str">
        <f>Guidance!B140</f>
        <v xml:space="preserve">
Enter a figure in years. For example, if the calculation is at the 5% tail level over a one year period, enter '1'.
</v>
      </c>
      <c r="F31" s="215"/>
    </row>
    <row r="32" spans="1:7" ht="140" thickBot="1">
      <c r="A32" s="5" t="s">
        <v>506</v>
      </c>
      <c r="B32" s="5" t="str">
        <f>Questions!C205</f>
        <v xml:space="preserve">
Is the expected long-term return that the intended investment allocation at the relevant date is assumed to provide expressed as a nominal value or as a margin over gilts?
</v>
      </c>
      <c r="C32" s="499"/>
      <c r="D32" s="372" t="str">
        <f ca="1">'Reconciliation report'!D1085</f>
        <v xml:space="preserve">
You must answer this question if the scheme follows a Bespoke approach (SH 13.0) and the valuation is 'pre-relevant date' (SH 10.0).
</v>
      </c>
      <c r="E32" s="5" t="str">
        <f>Guidance!B141</f>
        <v xml:space="preserve">
We'll need to know the answer to this question for the purposes of asking for the right information.
Whether the expected investment return to be achieved over the long term from the notional investment strategy with no adjustment applied for prudence is expressed as a 'Nominal value' figure or expressed as the 'Margin over the gilt return'.
</v>
      </c>
      <c r="F32" s="215"/>
    </row>
    <row r="33" spans="1:8" ht="93" customHeight="1">
      <c r="A33" s="5" t="s">
        <v>507</v>
      </c>
      <c r="B33" s="5" t="str">
        <f>Questions!C206</f>
        <v xml:space="preserve">No answer required
What is the expected long-term return that the intended investment allocation at the relevant date is assumed to provide expressed as a margin over gilts? (%)
</v>
      </c>
      <c r="C33" s="563"/>
      <c r="D33" s="361" t="str">
        <f ca="1">'Reconciliation report'!D1086</f>
        <v/>
      </c>
      <c r="E33" s="5" t="str">
        <f>Guidance!B142</f>
        <v xml:space="preserve">
Enter the margin over gilts expected expressed as %p.a.
</v>
      </c>
      <c r="F33" s="215"/>
    </row>
    <row r="34" spans="1:8" ht="93.5" thickBot="1">
      <c r="A34" s="34" t="s">
        <v>508</v>
      </c>
      <c r="B34" s="34" t="str">
        <f>Questions!C207</f>
        <v xml:space="preserve">No answer required
What is the expected long-term return that the intended investment allocation at the relevant date is assumed to provide expressed a nominal value? (%)
</v>
      </c>
      <c r="C34" s="564"/>
      <c r="D34" s="362" t="str">
        <f ca="1">'Reconciliation report'!D1087</f>
        <v/>
      </c>
      <c r="E34" s="34" t="str">
        <f>Guidance!B143</f>
        <v xml:space="preserve">
This return should be consistent with the objective of a low dependency investment allocation unless there is a good reason why the trustees do not consider it appropriate to intend to invest the assets in line with the LDIA.
</v>
      </c>
      <c r="F34" s="290"/>
    </row>
    <row r="35" spans="1:8" ht="20.149999999999999" hidden="1" customHeight="1" thickBot="1">
      <c r="A35" s="75"/>
      <c r="B35" s="75"/>
      <c r="C35" s="75" t="s">
        <v>23</v>
      </c>
      <c r="D35" s="99"/>
      <c r="E35" s="200"/>
      <c r="F35" s="200"/>
      <c r="G35" s="200"/>
    </row>
    <row r="36" spans="1:8" ht="50.15" hidden="1" customHeight="1" thickBot="1">
      <c r="A36" s="750" t="s">
        <v>117</v>
      </c>
      <c r="B36" s="751"/>
      <c r="C36" s="57"/>
      <c r="D36" s="57"/>
      <c r="E36" s="57"/>
      <c r="F36" s="57"/>
      <c r="G36" s="57"/>
    </row>
    <row r="37" spans="1:8" s="47" customFormat="1" ht="36" hidden="1" customHeight="1" thickTop="1" thickBot="1">
      <c r="A37" s="752" t="s">
        <v>90</v>
      </c>
      <c r="B37" s="753"/>
      <c r="C37" s="668" t="s">
        <v>91</v>
      </c>
      <c r="D37" s="669"/>
      <c r="E37" s="667"/>
      <c r="F37" s="667"/>
      <c r="G37" s="667"/>
      <c r="H37" s="17"/>
    </row>
    <row r="38" spans="1:8" ht="86" hidden="1" customHeight="1" thickTop="1" thickBot="1">
      <c r="A38" s="744" t="s">
        <v>118</v>
      </c>
      <c r="B38" s="754"/>
      <c r="C38" s="683"/>
      <c r="D38" s="62"/>
      <c r="E38" s="667"/>
      <c r="F38" s="667"/>
      <c r="G38" s="196"/>
    </row>
    <row r="39" spans="1:8" s="47" customFormat="1" ht="50.25" customHeight="1">
      <c r="A39" s="439"/>
      <c r="B39" s="255"/>
      <c r="C39" s="439"/>
      <c r="D39" s="439"/>
      <c r="E39" s="439"/>
      <c r="F39" s="439"/>
    </row>
  </sheetData>
  <sheetProtection algorithmName="SHA-512" hashValue="oOtlrj2X0moMvMAZgEO7j6m6VV5gWELaQxA+qwRm3cwKQAgURLcy9jFE04iQUZ0RL101/lqwE7FW8PtoNSFlTg==" saltValue="apqJ2JF9LgVDuqczjBkc2Q==" spinCount="100000" sheet="1" objects="1" scenarios="1" sort="0" autoFilter="0"/>
  <mergeCells count="9">
    <mergeCell ref="A36:B36"/>
    <mergeCell ref="A37:B37"/>
    <mergeCell ref="A38:B38"/>
    <mergeCell ref="A21:B21"/>
    <mergeCell ref="A1:B1"/>
    <mergeCell ref="A3:B3"/>
    <mergeCell ref="A2:B2"/>
    <mergeCell ref="A5:B5"/>
    <mergeCell ref="A11:B11"/>
  </mergeCells>
  <conditionalFormatting sqref="C38">
    <cfRule type="expression" dxfId="588" priority="1">
      <formula>$C$38=""</formula>
    </cfRule>
  </conditionalFormatting>
  <conditionalFormatting sqref="D7:D9 D13:D19 D23:D34">
    <cfRule type="notContainsBlanks" dxfId="585" priority="5">
      <formula>LEN(TRIM(D7))&gt;0</formula>
    </cfRule>
  </conditionalFormatting>
  <dataValidations xWindow="879" yWindow="608" count="6">
    <dataValidation type="decimal" allowBlank="1" showInputMessage="1" showErrorMessage="1" errorTitle="There is a problem" error="You must enter a percentage value between 0 and 100." promptTitle="Enter a value" prompt="Enter a percentage value" sqref="C7 C28 C30" xr:uid="{5CE64693-20DE-4F96-9B67-A414F141510B}">
      <formula1>0</formula1>
      <formula2>1</formula2>
    </dataValidation>
    <dataValidation type="textLength" operator="lessThanOrEqual" allowBlank="1" showInputMessage="1" showErrorMessage="1" errorTitle="There is a problem" error="Your answer must not exceed 4000 characters." promptTitle="Add your answer" prompt="Answer this question in 4000 characters or less" sqref="C29 C9 C15 C19 C24" xr:uid="{334FC091-9DBB-4929-B80B-A29F93702079}">
      <formula1>4000</formula1>
    </dataValidation>
    <dataValidation type="decimal" operator="greaterThanOrEqual" allowBlank="1" showInputMessage="1" showErrorMessage="1" errorTitle="There is a problem" error="You must enter a percentage value that is equal to or greater than 0." promptTitle="Enter a value" prompt="Enter a percentage value" sqref="C17:C18 C33:C34" xr:uid="{D477A750-36C6-4828-B806-1BD8664FAB43}">
      <formula1>0</formula1>
    </dataValidation>
    <dataValidation type="whole" allowBlank="1" showInputMessage="1" showErrorMessage="1" errorTitle="There is a problem" error="You must enter a number between 1 and 10." promptTitle="Enter a value" prompt="Enter a number" sqref="C31" xr:uid="{24DF9A2C-5060-4326-BAE1-83864DE30FB5}">
      <formula1>1</formula1>
      <formula2>10</formula2>
    </dataValidation>
    <dataValidation type="decimal" allowBlank="1" showInputMessage="1" showErrorMessage="1" errorTitle="There is a problem" error="You must enter a percentage value between -10 and 10." promptTitle="Enter a value" prompt="Enter a percentage value" sqref="C27" xr:uid="{BA3E4359-0301-447C-8578-A1F329D9592D}">
      <formula1>-0.1</formula1>
      <formula2>0.1</formula2>
    </dataValidation>
    <dataValidation allowBlank="1" showInputMessage="1" showErrorMessage="1" error="Select from the list." sqref="C39" xr:uid="{A92D0E50-9697-4C31-865E-708C2BEB24DD}"/>
  </dataValidations>
  <pageMargins left="0.70000000000000007" right="0.70000000000000007" top="0.75" bottom="0.75" header="0.30000000000000004" footer="0.30000000000000004"/>
  <pageSetup paperSize="9" fitToWidth="0"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636" id="{F576DAF5-D3CC-4733-99BD-A0DFE45935D6}">
            <xm:f>SEARCH(RefData!$B$2,$B$7)</xm:f>
            <x14:dxf>
              <fill>
                <patternFill>
                  <bgColor theme="0" tint="-0.14996795556505021"/>
                </patternFill>
              </fill>
            </x14:dxf>
          </x14:cfRule>
          <xm:sqref>A7:F7</xm:sqref>
        </x14:conditionalFormatting>
        <x14:conditionalFormatting xmlns:xm="http://schemas.microsoft.com/office/excel/2006/main">
          <x14:cfRule type="expression" priority="637" id="{E63F37CB-D7C3-47F7-9EEA-0DE166367997}">
            <xm:f>SEARCH(RefData!$B$2,$B$8)</xm:f>
            <x14:dxf>
              <fill>
                <patternFill>
                  <bgColor theme="0" tint="-0.14996795556505021"/>
                </patternFill>
              </fill>
            </x14:dxf>
          </x14:cfRule>
          <xm:sqref>A8:F8</xm:sqref>
        </x14:conditionalFormatting>
        <x14:conditionalFormatting xmlns:xm="http://schemas.microsoft.com/office/excel/2006/main">
          <x14:cfRule type="expression" priority="638" id="{BEF5FA67-101C-43D9-9821-08E6BE966434}">
            <xm:f>SEARCH(RefData!$B$2,$B$9)</xm:f>
            <x14:dxf>
              <fill>
                <patternFill>
                  <bgColor theme="0" tint="-0.14996795556505021"/>
                </patternFill>
              </fill>
            </x14:dxf>
          </x14:cfRule>
          <xm:sqref>A9:F9</xm:sqref>
        </x14:conditionalFormatting>
        <x14:conditionalFormatting xmlns:xm="http://schemas.microsoft.com/office/excel/2006/main">
          <x14:cfRule type="expression" priority="639" id="{B0AF4FD4-3CAF-4DE1-8073-1298B963B948}">
            <xm:f>SEARCH(RefData!$B$2,$B$13)</xm:f>
            <x14:dxf>
              <fill>
                <patternFill>
                  <bgColor theme="0" tint="-0.14996795556505021"/>
                </patternFill>
              </fill>
            </x14:dxf>
          </x14:cfRule>
          <xm:sqref>A13:F13</xm:sqref>
        </x14:conditionalFormatting>
        <x14:conditionalFormatting xmlns:xm="http://schemas.microsoft.com/office/excel/2006/main">
          <x14:cfRule type="expression" priority="640" id="{569D471E-92C5-4C51-B83E-A8ACE69684C2}">
            <xm:f>SEARCH(RefData!$B$2,$B$14)</xm:f>
            <x14:dxf>
              <fill>
                <patternFill>
                  <bgColor theme="0" tint="-0.14996795556505021"/>
                </patternFill>
              </fill>
            </x14:dxf>
          </x14:cfRule>
          <xm:sqref>A14:F14</xm:sqref>
        </x14:conditionalFormatting>
        <x14:conditionalFormatting xmlns:xm="http://schemas.microsoft.com/office/excel/2006/main">
          <x14:cfRule type="expression" priority="641" id="{21B0466F-D330-4237-BAAA-8A2265DDFF1E}">
            <xm:f>SEARCH(RefData!$B$2,$B$15)</xm:f>
            <x14:dxf>
              <fill>
                <patternFill>
                  <bgColor theme="0" tint="-0.14996795556505021"/>
                </patternFill>
              </fill>
            </x14:dxf>
          </x14:cfRule>
          <xm:sqref>A15:F15</xm:sqref>
        </x14:conditionalFormatting>
        <x14:conditionalFormatting xmlns:xm="http://schemas.microsoft.com/office/excel/2006/main">
          <x14:cfRule type="expression" priority="642" id="{B16F875E-6036-4BB7-B46A-19D5351D84F2}">
            <xm:f>SEARCH(RefData!$B$2,$B$16)</xm:f>
            <x14:dxf>
              <fill>
                <patternFill>
                  <bgColor theme="0" tint="-0.14996795556505021"/>
                </patternFill>
              </fill>
            </x14:dxf>
          </x14:cfRule>
          <xm:sqref>A16:F16</xm:sqref>
        </x14:conditionalFormatting>
        <x14:conditionalFormatting xmlns:xm="http://schemas.microsoft.com/office/excel/2006/main">
          <x14:cfRule type="expression" priority="643" id="{2D2BB954-DA80-44A8-A5D0-9C3BF49A398F}">
            <xm:f>SEARCH(RefData!$B$2,$B$17)</xm:f>
            <x14:dxf>
              <fill>
                <patternFill>
                  <bgColor theme="0" tint="-0.14996795556505021"/>
                </patternFill>
              </fill>
            </x14:dxf>
          </x14:cfRule>
          <xm:sqref>A17:F17</xm:sqref>
        </x14:conditionalFormatting>
        <x14:conditionalFormatting xmlns:xm="http://schemas.microsoft.com/office/excel/2006/main">
          <x14:cfRule type="expression" priority="644" id="{9C7BC6E1-5E82-4799-A929-D80D56007AB5}">
            <xm:f>SEARCH(RefData!$B$2,$B$18)</xm:f>
            <x14:dxf>
              <fill>
                <patternFill>
                  <bgColor theme="0" tint="-0.14996795556505021"/>
                </patternFill>
              </fill>
            </x14:dxf>
          </x14:cfRule>
          <xm:sqref>A18:F18</xm:sqref>
        </x14:conditionalFormatting>
        <x14:conditionalFormatting xmlns:xm="http://schemas.microsoft.com/office/excel/2006/main">
          <x14:cfRule type="expression" priority="645" id="{869F4499-6403-42EE-A68E-B3C42CCF018F}">
            <xm:f>SEARCH(RefData!$B$2,$B$19)</xm:f>
            <x14:dxf>
              <fill>
                <patternFill>
                  <bgColor theme="0" tint="-0.14996795556505021"/>
                </patternFill>
              </fill>
            </x14:dxf>
          </x14:cfRule>
          <xm:sqref>A19:F19</xm:sqref>
        </x14:conditionalFormatting>
        <x14:conditionalFormatting xmlns:xm="http://schemas.microsoft.com/office/excel/2006/main">
          <x14:cfRule type="expression" priority="646" id="{2FE46876-1E97-4116-A967-F72A689B906E}">
            <xm:f>SEARCH(RefData!$B$2,$B$23)</xm:f>
            <x14:dxf>
              <fill>
                <patternFill>
                  <bgColor theme="0" tint="-0.14996795556505021"/>
                </patternFill>
              </fill>
            </x14:dxf>
          </x14:cfRule>
          <xm:sqref>A23:F23</xm:sqref>
        </x14:conditionalFormatting>
        <x14:conditionalFormatting xmlns:xm="http://schemas.microsoft.com/office/excel/2006/main">
          <x14:cfRule type="expression" priority="647" id="{4A9DF0A5-3683-4BEE-A68A-3F05D033794D}">
            <xm:f>SEARCH(RefData!$B$2,$B$24)</xm:f>
            <x14:dxf>
              <fill>
                <patternFill>
                  <bgColor theme="0" tint="-0.14996795556505021"/>
                </patternFill>
              </fill>
            </x14:dxf>
          </x14:cfRule>
          <xm:sqref>A24:F24</xm:sqref>
        </x14:conditionalFormatting>
        <x14:conditionalFormatting xmlns:xm="http://schemas.microsoft.com/office/excel/2006/main">
          <x14:cfRule type="expression" priority="648" id="{AAE07860-E553-4947-9808-4BA1C0D0FA7C}">
            <xm:f>SEARCH(RefData!$B$2,$B$25)</xm:f>
            <x14:dxf>
              <fill>
                <patternFill>
                  <bgColor theme="0" tint="-0.14996795556505021"/>
                </patternFill>
              </fill>
            </x14:dxf>
          </x14:cfRule>
          <xm:sqref>A25:F25</xm:sqref>
        </x14:conditionalFormatting>
        <x14:conditionalFormatting xmlns:xm="http://schemas.microsoft.com/office/excel/2006/main">
          <x14:cfRule type="expression" priority="649" id="{90DE0E2D-4678-4C1E-B65F-5CEE86763B3E}">
            <xm:f>SEARCH(RefData!$B$2,$B$26)</xm:f>
            <x14:dxf>
              <fill>
                <patternFill>
                  <bgColor theme="0" tint="-0.14996795556505021"/>
                </patternFill>
              </fill>
            </x14:dxf>
          </x14:cfRule>
          <xm:sqref>A26:F26</xm:sqref>
        </x14:conditionalFormatting>
        <x14:conditionalFormatting xmlns:xm="http://schemas.microsoft.com/office/excel/2006/main">
          <x14:cfRule type="expression" priority="650" id="{6ADB27F0-CF15-42D2-A895-0313391368D7}">
            <xm:f>SEARCH(RefData!$B$2,$B$27)</xm:f>
            <x14:dxf>
              <fill>
                <patternFill>
                  <bgColor theme="0" tint="-0.14996795556505021"/>
                </patternFill>
              </fill>
            </x14:dxf>
          </x14:cfRule>
          <xm:sqref>A27:F27</xm:sqref>
        </x14:conditionalFormatting>
        <x14:conditionalFormatting xmlns:xm="http://schemas.microsoft.com/office/excel/2006/main">
          <x14:cfRule type="expression" priority="651" id="{5C363E7D-D4D3-4E4F-B999-A3E6B90BEE39}">
            <xm:f>SEARCH(RefData!$B$2,$B$28)</xm:f>
            <x14:dxf>
              <fill>
                <patternFill>
                  <bgColor theme="0" tint="-0.14996795556505021"/>
                </patternFill>
              </fill>
            </x14:dxf>
          </x14:cfRule>
          <xm:sqref>A28:F28</xm:sqref>
        </x14:conditionalFormatting>
        <x14:conditionalFormatting xmlns:xm="http://schemas.microsoft.com/office/excel/2006/main">
          <x14:cfRule type="expression" priority="652" id="{D847280B-80E5-41D4-9B8D-9079AC1502B7}">
            <xm:f>SEARCH(RefData!$B$2,$B$29)</xm:f>
            <x14:dxf>
              <fill>
                <patternFill>
                  <bgColor theme="0" tint="-0.14996795556505021"/>
                </patternFill>
              </fill>
            </x14:dxf>
          </x14:cfRule>
          <xm:sqref>A29:F29</xm:sqref>
        </x14:conditionalFormatting>
        <x14:conditionalFormatting xmlns:xm="http://schemas.microsoft.com/office/excel/2006/main">
          <x14:cfRule type="expression" priority="653" id="{6CDFFE65-1D9E-4C4C-ABF2-495D987CA2DC}">
            <xm:f>SEARCH(RefData!$B$2,$B$30)</xm:f>
            <x14:dxf>
              <fill>
                <patternFill>
                  <bgColor theme="0" tint="-0.14996795556505021"/>
                </patternFill>
              </fill>
            </x14:dxf>
          </x14:cfRule>
          <xm:sqref>A30:F30</xm:sqref>
        </x14:conditionalFormatting>
        <x14:conditionalFormatting xmlns:xm="http://schemas.microsoft.com/office/excel/2006/main">
          <x14:cfRule type="expression" priority="654" id="{77C2BF77-6D6F-491E-8FD5-67FD0C247AA0}">
            <xm:f>SEARCH(RefData!$B$2,$B$31)</xm:f>
            <x14:dxf>
              <fill>
                <patternFill>
                  <bgColor theme="0" tint="-0.14996795556505021"/>
                </patternFill>
              </fill>
            </x14:dxf>
          </x14:cfRule>
          <xm:sqref>A31:F31</xm:sqref>
        </x14:conditionalFormatting>
        <x14:conditionalFormatting xmlns:xm="http://schemas.microsoft.com/office/excel/2006/main">
          <x14:cfRule type="expression" priority="655" id="{4CB8DDE6-2D1F-4E16-810F-C0E099F26C3E}">
            <xm:f>SEARCH(RefData!$B$2,$B$32)</xm:f>
            <x14:dxf>
              <fill>
                <patternFill>
                  <bgColor theme="0" tint="-0.14996795556505021"/>
                </patternFill>
              </fill>
            </x14:dxf>
          </x14:cfRule>
          <xm:sqref>A32:F32</xm:sqref>
        </x14:conditionalFormatting>
        <x14:conditionalFormatting xmlns:xm="http://schemas.microsoft.com/office/excel/2006/main">
          <x14:cfRule type="expression" priority="656" id="{65035A03-B06C-4100-A087-A479E2F7CB1A}">
            <xm:f>SEARCH(RefData!$B$2,$B$33)</xm:f>
            <x14:dxf>
              <fill>
                <patternFill>
                  <bgColor theme="0" tint="-0.14996795556505021"/>
                </patternFill>
              </fill>
            </x14:dxf>
          </x14:cfRule>
          <xm:sqref>A33:F33</xm:sqref>
        </x14:conditionalFormatting>
        <x14:conditionalFormatting xmlns:xm="http://schemas.microsoft.com/office/excel/2006/main">
          <x14:cfRule type="expression" priority="657" id="{7DD286A4-65B5-4B37-8A00-D9E2908F44ED}">
            <xm:f>SEARCH(RefData!$B$2,$B$34)</xm:f>
            <x14:dxf>
              <fill>
                <patternFill>
                  <bgColor theme="0" tint="-0.14996795556505021"/>
                </patternFill>
              </fill>
            </x14:dxf>
          </x14:cfRule>
          <xm:sqref>A34:F34</xm:sqref>
        </x14:conditionalFormatting>
        <x14:conditionalFormatting xmlns:xm="http://schemas.microsoft.com/office/excel/2006/main">
          <x14:cfRule type="expression" priority="2" id="{82B76432-B767-467C-BEC1-457D244EC37D}">
            <xm:f>$C$38=RefData!$B$433</xm:f>
            <x14:dxf>
              <fill>
                <patternFill>
                  <bgColor rgb="FFEFF5FA"/>
                </patternFill>
              </fill>
            </x14:dxf>
          </x14:cfRule>
          <x14:cfRule type="expression" priority="3" id="{B3866CE5-0793-4A17-9AED-7448916ABB5E}">
            <xm:f>$C$38=RefData!$B$434</xm:f>
            <x14:dxf>
              <fill>
                <patternFill>
                  <bgColor rgb="FFEFF5FA"/>
                </patternFill>
              </fill>
            </x14:dxf>
          </x14:cfRule>
          <xm:sqref>C38</xm:sqref>
        </x14:conditionalFormatting>
      </x14:conditionalFormattings>
    </ext>
    <ext xmlns:x14="http://schemas.microsoft.com/office/spreadsheetml/2009/9/main" uri="{CCE6A557-97BC-4b89-ADB6-D9C93CAAB3DF}">
      <x14:dataValidations xmlns:xm="http://schemas.microsoft.com/office/excel/2006/main" xWindow="879" yWindow="608" count="9">
        <x14:dataValidation type="list" allowBlank="1" showInputMessage="1" showErrorMessage="1" errorTitle="There is a problem" error="You must select your answer from the drop-down list." promptTitle="Select an answer" prompt="Choose from the list provided." xr:uid="{5A9D19DB-6B0A-4830-BC82-D6747620874C}">
          <x14:formula1>
            <xm:f>RefData!$B$68:$B$72</xm:f>
          </x14:formula1>
          <xm:sqref>C8</xm:sqref>
        </x14:dataValidation>
        <x14:dataValidation type="list" operator="greaterThanOrEqual" allowBlank="1" showInputMessage="1" showErrorMessage="1" errorTitle="There is a problem" error="You must select 'Yes' or 'No' from the drop-down list." promptTitle="Select an answer" prompt="Choose from the list provided." xr:uid="{333C0A4B-5964-4F65-A01D-AB5407E0097C}">
          <x14:formula1>
            <xm:f>RefData!$B$73:$B$74</xm:f>
          </x14:formula1>
          <xm:sqref>C13</xm:sqref>
        </x14:dataValidation>
        <x14:dataValidation type="list" operator="greaterThanOrEqual" allowBlank="1" showInputMessage="1" showErrorMessage="1" errorTitle="There is a problem" error="You must select your answer from the drop-down list." promptTitle="Select an answer" prompt="Choose from the list provided." xr:uid="{5B900A71-3E6E-4389-BEB9-15A033E8CBFE}">
          <x14:formula1>
            <xm:f>RefData!$B$75:$B$78</xm:f>
          </x14:formula1>
          <xm:sqref>C14</xm:sqref>
        </x14:dataValidation>
        <x14:dataValidation type="list" operator="greaterThanOrEqual" allowBlank="1" showInputMessage="1" showErrorMessage="1" errorTitle="There is a problem" error="You must select 'Yes' or 'No' from the drop-down list." promptTitle="Select an answer" prompt="Choose from the list provided." xr:uid="{BA43245E-34A8-4C31-9025-DE462520ED69}">
          <x14:formula1>
            <xm:f>RefData!$B$79:$B$80</xm:f>
          </x14:formula1>
          <xm:sqref>C16</xm:sqref>
        </x14:dataValidation>
        <x14:dataValidation type="list" allowBlank="1" showInputMessage="1" showErrorMessage="1" errorTitle="There is a problem" error="You must select your answer from the drop-down list." promptTitle="Select an answer" prompt="Choose from the list provided." xr:uid="{88A25BD3-ABE4-4673-8826-AD62BF5B639C}">
          <x14:formula1>
            <xm:f>RefData!$B$89:$B$92</xm:f>
          </x14:formula1>
          <xm:sqref>C23</xm:sqref>
        </x14:dataValidation>
        <x14:dataValidation type="list" allowBlank="1" showInputMessage="1" showErrorMessage="1" errorTitle="There is a problem" error="You must select your answer from the drop-down list." promptTitle="Select an answer" prompt="Choose from the list provided." xr:uid="{0B37F71C-0705-414D-A1AC-962635B8433E}">
          <x14:formula1>
            <xm:f>RefData!$B$93:$B$94</xm:f>
          </x14:formula1>
          <xm:sqref>C25</xm:sqref>
        </x14:dataValidation>
        <x14:dataValidation type="list" allowBlank="1" showInputMessage="1" showErrorMessage="1" errorTitle="There is a problem" error="You must select your answer from the drop-down list." promptTitle="Select an answer" prompt="Choose from the list provided." xr:uid="{7E06AA95-F130-4135-80C7-149924814B92}">
          <x14:formula1>
            <xm:f>RefData!$B$95:$B$99</xm:f>
          </x14:formula1>
          <xm:sqref>C26</xm:sqref>
        </x14:dataValidation>
        <x14:dataValidation type="list" allowBlank="1" showInputMessage="1" showErrorMessage="1" errorTitle="There is a problem" error="You must select your answer from the drop-down list." promptTitle="Select an answer" prompt="Choose from the list provided." xr:uid="{4080D55A-D3B4-4B67-9114-E0468FFEDF3B}">
          <x14:formula1>
            <xm:f>RefData!$B$100:$B$101</xm:f>
          </x14:formula1>
          <xm:sqref>C32</xm:sqref>
        </x14:dataValidation>
        <x14:dataValidation type="list" allowBlank="1" showInputMessage="1" showErrorMessage="1" xr:uid="{8FDD0220-CB91-4AE4-83D5-4FC874185395}">
          <x14:formula1>
            <xm:f>RefData!$B$433:$B$435</xm:f>
          </x14:formula1>
          <xm:sqref>C38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B5251-A684-4E72-982D-63CED181C222}">
  <sheetPr codeName="Sheet19">
    <tabColor rgb="FF404040"/>
  </sheetPr>
  <dimension ref="A1:B34"/>
  <sheetViews>
    <sheetView zoomScaleNormal="100" workbookViewId="0"/>
  </sheetViews>
  <sheetFormatPr defaultColWidth="0" defaultRowHeight="0" customHeight="1" zeroHeight="1"/>
  <cols>
    <col min="1" max="1" width="62.69140625" style="20" customWidth="1"/>
    <col min="2" max="2" width="62.69140625" style="47" customWidth="1"/>
    <col min="3" max="16384" width="7.07421875" style="47" hidden="1"/>
  </cols>
  <sheetData>
    <row r="1" spans="1:2" s="30" customFormat="1" ht="50.15" customHeight="1" thickBot="1">
      <c r="A1" s="571" t="s">
        <v>509</v>
      </c>
      <c r="B1" s="13"/>
    </row>
    <row r="2" spans="1:2" s="30" customFormat="1" ht="50.15" customHeight="1" thickTop="1" thickBot="1">
      <c r="A2" s="57" t="s">
        <v>1</v>
      </c>
      <c r="B2" s="57"/>
    </row>
    <row r="3" spans="1:2" s="30" customFormat="1" ht="266.14999999999998" customHeight="1" thickTop="1" thickBot="1">
      <c r="A3" s="34" t="s">
        <v>510</v>
      </c>
      <c r="B3" s="22"/>
    </row>
    <row r="4" spans="1:2" s="30" customFormat="1" ht="50.15" customHeight="1" thickBot="1">
      <c r="A4" s="57" t="s">
        <v>511</v>
      </c>
      <c r="B4" s="57"/>
    </row>
    <row r="5" spans="1:2" s="30" customFormat="1" ht="36" customHeight="1" thickTop="1">
      <c r="A5" s="12" t="s">
        <v>122</v>
      </c>
      <c r="B5" s="12" t="s">
        <v>123</v>
      </c>
    </row>
    <row r="6" spans="1:2" s="5" customFormat="1" ht="50.15" customHeight="1">
      <c r="A6" s="1" t="s">
        <v>64</v>
      </c>
      <c r="B6" s="5" t="str">
        <f>'Table of Contents'!B31</f>
        <v>Summary information and data relating to the scheme’s employer covenant.</v>
      </c>
    </row>
    <row r="7" spans="1:2" s="30" customFormat="1" ht="50.15" customHeight="1">
      <c r="A7" s="1" t="s">
        <v>66</v>
      </c>
      <c r="B7" s="63" t="str">
        <f>'Table of Contents'!B32</f>
        <v>Data and information relating to the employer cash flow and liquid assets.</v>
      </c>
    </row>
    <row r="8" spans="1:2" s="30" customFormat="1" ht="50.15" customHeight="1">
      <c r="A8" s="1" t="s">
        <v>68</v>
      </c>
      <c r="B8" s="5" t="str">
        <f>'Table of Contents'!B33</f>
        <v xml:space="preserve">Data and information about guarantees which the scheme relies on to take funding and investment risk above what the employer can support.  </v>
      </c>
    </row>
    <row r="9" spans="1:2" s="30" customFormat="1" ht="50.15" customHeight="1">
      <c r="A9" s="1" t="s">
        <v>70</v>
      </c>
      <c r="B9" s="5" t="str">
        <f>'Table of Contents'!B34</f>
        <v xml:space="preserve">Data and information about securities which the scheme relies on to take funding and investment risk above what the employer can support. </v>
      </c>
    </row>
    <row r="10" spans="1:2" s="30" customFormat="1" ht="50.15" customHeight="1">
      <c r="A10" s="1" t="s">
        <v>72</v>
      </c>
      <c r="B10" s="5" t="str">
        <f>'Table of Contents'!B35</f>
        <v>Data and information about other contingent assets which the scheme relies on to take funding and investment risk above what the employer can support.</v>
      </c>
    </row>
    <row r="11" spans="1:2" s="30" customFormat="1" ht="50.15" customHeight="1">
      <c r="A11" s="1" t="s">
        <v>74</v>
      </c>
      <c r="B11" s="5" t="str">
        <f>'Table of Contents'!B36</f>
        <v xml:space="preserve">Data and information about any asset-backed contribution arrangements the scheme is party to. </v>
      </c>
    </row>
    <row r="12" spans="1:2" s="30" customFormat="1" ht="50.15" customHeight="1" thickBot="1">
      <c r="A12" s="1" t="s">
        <v>76</v>
      </c>
      <c r="B12" s="5" t="str">
        <f>'Table of Contents'!B37</f>
        <v>The expected future income steam for the asset-backed contributions.</v>
      </c>
    </row>
    <row r="13" spans="1:2" ht="50.25" customHeight="1">
      <c r="A13" s="441"/>
      <c r="B13" s="439"/>
    </row>
    <row r="14" spans="1:2" s="30" customFormat="1" ht="20.149999999999999" hidden="1" customHeight="1">
      <c r="A14" s="52"/>
      <c r="B14" s="47"/>
    </row>
    <row r="15" spans="1:2" ht="20.149999999999999" hidden="1" customHeight="1">
      <c r="A15" s="52"/>
    </row>
    <row r="17" spans="1:1" ht="20.149999999999999" hidden="1" customHeight="1">
      <c r="A17" s="51"/>
    </row>
    <row r="18" spans="1:1" ht="20.149999999999999" hidden="1" customHeight="1">
      <c r="A18" s="53"/>
    </row>
    <row r="19" spans="1:1" ht="20.149999999999999" hidden="1" customHeight="1">
      <c r="A19" s="51"/>
    </row>
    <row r="20" spans="1:1" ht="20.149999999999999" hidden="1" customHeight="1">
      <c r="A20" s="53"/>
    </row>
    <row r="21" spans="1:1" ht="20.149999999999999" hidden="1" customHeight="1">
      <c r="A21" s="51"/>
    </row>
    <row r="23" spans="1:1" ht="20.149999999999999" hidden="1" customHeight="1">
      <c r="A23" s="51"/>
    </row>
    <row r="24" spans="1:1" ht="20.149999999999999" hidden="1" customHeight="1">
      <c r="A24" s="52"/>
    </row>
    <row r="25" spans="1:1" ht="20.149999999999999" hidden="1" customHeight="1">
      <c r="A25" s="53"/>
    </row>
    <row r="26" spans="1:1" ht="20.149999999999999" hidden="1" customHeight="1">
      <c r="A26" s="51"/>
    </row>
    <row r="32" spans="1:1" ht="20.149999999999999" hidden="1" customHeight="1"/>
    <row r="33" ht="20.149999999999999" hidden="1" customHeight="1"/>
    <row r="34" ht="20.149999999999999" hidden="1" customHeight="1"/>
  </sheetData>
  <sheetProtection algorithmName="SHA-512" hashValue="EHvSuElYBkB9Pyee1WX04ItNmp4oJf+qmV1Ocw1G9Erwjk0q4Jg2WVCN7CiqjyrfKTy4H8MklDtwWVQhfiDQaA==" saltValue="NudK3iQT0XMCHMhfMQHGxQ==" spinCount="100000" sheet="1" objects="1" scenarios="1"/>
  <hyperlinks>
    <hyperlink ref="A6" location="'Covenant summary information'!A1" display="Covenant summary information" xr:uid="{581F04EC-9B24-4C0F-9F50-A045E3450D35}"/>
    <hyperlink ref="A7" location="'Employer CF and liquid assets'!A1" display="Employer cash flow and liquid assets" xr:uid="{92781040-D727-45ED-896C-C1A4429E8105}"/>
    <hyperlink ref="A8" location="Guarantees!A1" display="Guarantees" xr:uid="{612D4686-9239-441B-A47A-C2EBD4ECB1EB}"/>
    <hyperlink ref="A9" location="Securities!A1" display="Securities" xr:uid="{0B0C031B-CBFE-410D-BFE3-36506A2B03D2}"/>
    <hyperlink ref="A10" location="'Other contingent assets'!A1" display="Other contingent assets" xr:uid="{9E15006A-34F1-4C6E-A730-B83012E6A175}"/>
    <hyperlink ref="A12" location="'ABC income stream'!A1" display="ABC income stream" xr:uid="{BC8C20A0-D343-4DDD-B4D7-3FF28AF9E7F3}"/>
    <hyperlink ref="A11" location="'Asset-backed contributions'!A1" display="Asset-backed contributions (ABCs)" xr:uid="{8781E41C-0B69-4531-97FE-C5F66FCD55F4}"/>
  </hyperlinks>
  <pageMargins left="0.70000000000000007" right="0.70000000000000007" top="0.75" bottom="0.75" header="0.30000000000000004" footer="0.30000000000000004"/>
  <pageSetup paperSize="9" fitToWidth="0" fitToHeight="0" orientation="portrait"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117191-3C76-472B-8F81-E231F531C167}">
  <sheetPr codeName="Sheet20"/>
  <dimension ref="A1:H116"/>
  <sheetViews>
    <sheetView zoomScaleNormal="100" workbookViewId="0">
      <selection sqref="A1:B1"/>
    </sheetView>
  </sheetViews>
  <sheetFormatPr defaultColWidth="0" defaultRowHeight="0" customHeight="1" zeroHeight="1"/>
  <cols>
    <col min="1" max="1" width="14.69140625" style="20" customWidth="1"/>
    <col min="2" max="2" width="62.69140625" style="20" customWidth="1"/>
    <col min="3" max="3" width="28.69140625" style="36" customWidth="1"/>
    <col min="4" max="6" width="62.69140625" style="20" customWidth="1"/>
    <col min="7" max="16384" width="8.69140625" style="20" hidden="1"/>
  </cols>
  <sheetData>
    <row r="1" spans="1:6" s="123" customFormat="1" ht="50.15" customHeight="1" thickBot="1">
      <c r="A1" s="747" t="s">
        <v>512</v>
      </c>
      <c r="B1" s="806"/>
      <c r="C1" s="240"/>
      <c r="D1" s="13"/>
      <c r="E1" s="13"/>
      <c r="F1" s="13"/>
    </row>
    <row r="2" spans="1:6" s="123" customFormat="1" ht="50.15" customHeight="1" thickTop="1" thickBot="1">
      <c r="A2" s="742" t="s">
        <v>85</v>
      </c>
      <c r="B2" s="743"/>
      <c r="C2" s="241"/>
      <c r="D2" s="57"/>
      <c r="E2" s="57"/>
      <c r="F2" s="57"/>
    </row>
    <row r="3" spans="1:6" s="123" customFormat="1" ht="349.5" customHeight="1" thickTop="1" thickBot="1">
      <c r="A3" s="766" t="s">
        <v>513</v>
      </c>
      <c r="B3" s="787"/>
      <c r="C3" s="242"/>
      <c r="D3" s="26"/>
      <c r="E3" s="26"/>
      <c r="F3" s="26"/>
    </row>
    <row r="4" spans="1:6" s="575" customFormat="1" ht="20.149999999999999" customHeight="1" thickBot="1">
      <c r="A4" s="573"/>
      <c r="B4" s="574"/>
      <c r="C4" s="573" t="s">
        <v>23</v>
      </c>
      <c r="D4" s="574"/>
      <c r="E4" s="574"/>
      <c r="F4" s="574"/>
    </row>
    <row r="5" spans="1:6" s="127" customFormat="1" ht="50.15" customHeight="1" thickBot="1">
      <c r="A5" s="750" t="s">
        <v>514</v>
      </c>
      <c r="B5" s="751"/>
      <c r="C5" s="241"/>
      <c r="D5" s="57"/>
      <c r="E5" s="57"/>
      <c r="F5" s="57"/>
    </row>
    <row r="6" spans="1:6" s="47" customFormat="1" ht="36" customHeight="1" thickTop="1" thickBot="1">
      <c r="A6" s="8" t="s">
        <v>89</v>
      </c>
      <c r="B6" s="8" t="s">
        <v>90</v>
      </c>
      <c r="C6" s="8" t="s">
        <v>91</v>
      </c>
      <c r="D6" s="8" t="s">
        <v>92</v>
      </c>
      <c r="E6" s="199" t="s">
        <v>104</v>
      </c>
      <c r="F6" s="199" t="s">
        <v>93</v>
      </c>
    </row>
    <row r="7" spans="1:6" s="123" customFormat="1" ht="78.5" thickTop="1" thickBot="1">
      <c r="A7" s="27" t="s">
        <v>515</v>
      </c>
      <c r="B7" s="121" t="str">
        <f>Questions!B243</f>
        <v xml:space="preserve">
As at what date have the trustees assessed the employer covenant?
</v>
      </c>
      <c r="C7" s="428"/>
      <c r="D7" s="364" t="str">
        <f ca="1">'Reconciliation report'!D416</f>
        <v xml:space="preserve">
Enter a valid date that is less than or equal to today in the format dd/mm/yyyy.
</v>
      </c>
      <c r="E7" s="122" t="str">
        <f>Guidance!B164</f>
        <v xml:space="preserve">
The purpose of this question is to understand how recent the covenant assessment is. If you are unsure of the specific date, choose a day within that month.
</v>
      </c>
      <c r="F7" s="227"/>
    </row>
    <row r="8" spans="1:6" ht="87" customHeight="1" thickBot="1">
      <c r="A8" s="27" t="s">
        <v>516</v>
      </c>
      <c r="B8" s="121" t="str">
        <f>Questions!C244</f>
        <v xml:space="preserve">
Was professional covenant advice taken for this valuation?
</v>
      </c>
      <c r="C8" s="343"/>
      <c r="D8" s="368" t="str">
        <f ca="1">'Reconciliation report'!D417</f>
        <v/>
      </c>
      <c r="E8" s="122" t="str">
        <f>Guidance!B287</f>
        <v>Guidance is not required for this question.</v>
      </c>
      <c r="F8" s="227"/>
    </row>
    <row r="9" spans="1:6" ht="78" thickBot="1">
      <c r="A9" s="27" t="s">
        <v>518</v>
      </c>
      <c r="B9" s="121" t="str">
        <f>Questions!C246</f>
        <v xml:space="preserve">
What experience do the trustees have to enable them to assess covenant without professional covenant advice?
</v>
      </c>
      <c r="C9" s="481"/>
      <c r="D9" s="364" t="str">
        <f ca="1">'Reconciliation report'!D418</f>
        <v/>
      </c>
      <c r="E9" s="122" t="str">
        <f>Guidance!B167</f>
        <v xml:space="preserve">
Describe any professional qualifications or experience the trustees have that enables them to assess covenant without professional covenant advice.
</v>
      </c>
      <c r="F9" s="227"/>
    </row>
    <row r="10" spans="1:6" ht="109" thickBot="1">
      <c r="A10" s="27" t="s">
        <v>519</v>
      </c>
      <c r="B10" s="121" t="str">
        <f>Questions!C249</f>
        <v xml:space="preserve">
Is the scheme a non-segregated non-associated multi-employer scheme?
</v>
      </c>
      <c r="C10" s="343"/>
      <c r="D10" s="368" t="str">
        <f ca="1">'Reconciliation report'!D419</f>
        <v/>
      </c>
      <c r="E10" s="122" t="str">
        <f>Guidance!B170</f>
        <v xml:space="preserve">
A multi-employer scheme is a pension scheme that has more than one employer. Schemes may be either segregated or non-segregated. When we refer to a non-associated multi-employer scheme, we refer to the relationship between the scheme's employers which may have no connection other than operating in the same general industry or sector.
</v>
      </c>
      <c r="F10" s="227"/>
    </row>
    <row r="11" spans="1:6" ht="109" thickBot="1">
      <c r="A11" s="27" t="s">
        <v>521</v>
      </c>
      <c r="B11" s="121" t="str">
        <f>Questions!C245</f>
        <v xml:space="preserve">
In determining covenant strength, do you place reliance on any entity other than statutory employers and their subsidiaries?
</v>
      </c>
      <c r="C11" s="343"/>
      <c r="D11" s="368" t="str">
        <f ca="1">'Reconciliation report'!D420</f>
        <v/>
      </c>
      <c r="E11" s="122" t="str">
        <f>Guidance!B166</f>
        <v xml:space="preserve">
Some schemes may have non-statutory employers with direct funding obligations to the scheme by way of agreement made with those entities or under the provisions of the scheme's trust deed and rules. This differs from contingent asset support, which is considered separately.
</v>
      </c>
      <c r="F11" s="227"/>
    </row>
    <row r="12" spans="1:6" ht="93.5" thickBot="1">
      <c r="A12" s="27" t="s">
        <v>523</v>
      </c>
      <c r="B12" s="121" t="str">
        <f>Questions!C247</f>
        <v xml:space="preserve">
Upon how many entities other than statutory employers is covenant reliance placed?
</v>
      </c>
      <c r="C12" s="407"/>
      <c r="D12" s="368" t="str">
        <f ca="1">'Reconciliation report'!D421</f>
        <v/>
      </c>
      <c r="E12" s="122" t="str">
        <f>Guidance!B168</f>
        <v xml:space="preserve">
We will ask for details for up to 5 entities on which covenant reliance is placed (in the question CSI 5.0). If the scheme has more than that, select ‘5’ and provide details for those 5 which provide all or most of the covenant support.
</v>
      </c>
      <c r="F12" s="227"/>
    </row>
    <row r="13" spans="1:6" ht="105" customHeight="1" thickBot="1">
      <c r="A13" s="27" t="s">
        <v>524</v>
      </c>
      <c r="B13" s="125" t="str">
        <f>Questions!C248</f>
        <v xml:space="preserve">
For what reason or reasons is it appropriate to place reliance on the entities (other than statutory employers) on which covenant reliance is placed?
</v>
      </c>
      <c r="C13" s="501"/>
      <c r="D13" s="365" t="str">
        <f ca="1">'Reconciliation report'!D422</f>
        <v/>
      </c>
      <c r="E13" s="126" t="str">
        <f>Guidance!B169</f>
        <v xml:space="preserve">
Describe the direct funding obligations to the scheme that these entities have that make it appropriate to place reliance on them.
</v>
      </c>
      <c r="F13" s="309"/>
    </row>
    <row r="14" spans="1:6" s="143" customFormat="1" ht="20.149999999999999" customHeight="1" thickBot="1">
      <c r="A14" s="75"/>
      <c r="B14" s="69"/>
      <c r="C14" s="75" t="s">
        <v>23</v>
      </c>
      <c r="D14" s="68"/>
      <c r="E14" s="68"/>
      <c r="F14" s="68"/>
    </row>
    <row r="15" spans="1:6" s="127" customFormat="1" ht="50.15" customHeight="1" thickBot="1">
      <c r="A15" s="750" t="s">
        <v>525</v>
      </c>
      <c r="B15" s="751"/>
      <c r="C15" s="241"/>
      <c r="D15" s="57"/>
      <c r="E15" s="57"/>
      <c r="F15" s="57"/>
    </row>
    <row r="16" spans="1:6" s="47" customFormat="1" ht="36" customHeight="1" thickTop="1" thickBot="1">
      <c r="A16" s="8" t="s">
        <v>89</v>
      </c>
      <c r="B16" s="8" t="s">
        <v>90</v>
      </c>
      <c r="C16" s="8" t="s">
        <v>91</v>
      </c>
      <c r="D16" s="8" t="s">
        <v>92</v>
      </c>
      <c r="E16" s="199" t="s">
        <v>104</v>
      </c>
      <c r="F16" s="199" t="s">
        <v>93</v>
      </c>
    </row>
    <row r="17" spans="1:6" s="143" customFormat="1" ht="94.25" customHeight="1" thickTop="1">
      <c r="A17" s="280" t="s">
        <v>526</v>
      </c>
      <c r="B17" s="324" t="str">
        <f>Questions!$C625</f>
        <v xml:space="preserve">
No answer required
Legal name
</v>
      </c>
      <c r="C17" s="502"/>
      <c r="D17" s="364" t="str">
        <f ca="1">'Reconciliation report'!D423</f>
        <v/>
      </c>
      <c r="E17" s="332" t="str">
        <f>Guidance!B261</f>
        <v xml:space="preserve">
Provide the official name of the entity as it appears on legal documents.
</v>
      </c>
      <c r="F17" s="377"/>
    </row>
    <row r="18" spans="1:6" s="143" customFormat="1" ht="124.25" customHeight="1">
      <c r="A18" s="238" t="s">
        <v>527</v>
      </c>
      <c r="B18" s="324" t="str">
        <f>Questions!$C626</f>
        <v xml:space="preserve">
No answer required
Companies House number (if applicable)
</v>
      </c>
      <c r="C18" s="663"/>
      <c r="D18" s="364" t="str">
        <f ca="1">'Reconciliation report'!D424</f>
        <v/>
      </c>
      <c r="E18" s="565" t="str">
        <f>Guidance!B262</f>
        <v xml:space="preserve">
If the entity is a UK registered company, enter its unique registration number from Companies House.
</v>
      </c>
      <c r="F18" s="381"/>
    </row>
    <row r="19" spans="1:6" s="143" customFormat="1" ht="93" customHeight="1">
      <c r="A19" s="238" t="s">
        <v>528</v>
      </c>
      <c r="B19" s="324" t="str">
        <f>Questions!$C627</f>
        <v xml:space="preserve">
No answer required
Charity number (if applicable)
</v>
      </c>
      <c r="C19" s="664"/>
      <c r="D19" s="364" t="str">
        <f ca="1">'Reconciliation report'!D425</f>
        <v/>
      </c>
      <c r="E19" s="565" t="str">
        <f>Guidance!B263</f>
        <v xml:space="preserve">
If the entity is a UK registered charity, provide its unique registration number from the relevant charity commission.
</v>
      </c>
      <c r="F19" s="381"/>
    </row>
    <row r="20" spans="1:6" s="143" customFormat="1" ht="124.25" customHeight="1">
      <c r="A20" s="238" t="s">
        <v>529</v>
      </c>
      <c r="B20" s="324" t="str">
        <f>Questions!$C628</f>
        <v xml:space="preserve">
No answer required
Trading name
</v>
      </c>
      <c r="C20" s="480"/>
      <c r="D20" s="364" t="str">
        <f ca="1">'Reconciliation report'!D426</f>
        <v/>
      </c>
      <c r="E20" s="565" t="str">
        <f>Guidance!B264</f>
        <v xml:space="preserve">
This is the name the entity uses in its day-to-day business, which might differ from its legal name.
</v>
      </c>
      <c r="F20" s="381"/>
    </row>
    <row r="21" spans="1:6" s="143" customFormat="1" ht="124.25" customHeight="1">
      <c r="A21" s="238" t="s">
        <v>530</v>
      </c>
      <c r="B21" s="324" t="str">
        <f>Questions!$C629</f>
        <v xml:space="preserve">
No answer required
Address line 1
</v>
      </c>
      <c r="C21" s="480"/>
      <c r="D21" s="364" t="str">
        <f ca="1">'Reconciliation report'!D427</f>
        <v/>
      </c>
      <c r="E21" s="565" t="str">
        <f>Guidance!B287</f>
        <v>Guidance is not required for this question.</v>
      </c>
      <c r="F21" s="381"/>
    </row>
    <row r="22" spans="1:6" s="143" customFormat="1" ht="80.150000000000006" customHeight="1">
      <c r="A22" s="238" t="s">
        <v>531</v>
      </c>
      <c r="B22" s="324" t="str">
        <f>Questions!$C630</f>
        <v xml:space="preserve">
No answer required
Address line 2 (optional)
</v>
      </c>
      <c r="C22" s="480"/>
      <c r="D22" s="364" t="str">
        <f ca="1">'Reconciliation report'!D428</f>
        <v/>
      </c>
      <c r="E22" s="565" t="str">
        <f>Guidance!B287</f>
        <v>Guidance is not required for this question.</v>
      </c>
      <c r="F22" s="381"/>
    </row>
    <row r="23" spans="1:6" s="143" customFormat="1" ht="80.150000000000006" customHeight="1">
      <c r="A23" s="238" t="s">
        <v>532</v>
      </c>
      <c r="B23" s="324" t="str">
        <f>Questions!$C631</f>
        <v xml:space="preserve">
No answer required
Address line 3 (optional)
</v>
      </c>
      <c r="C23" s="665"/>
      <c r="D23" s="364" t="str">
        <f ca="1">'Reconciliation report'!D429</f>
        <v/>
      </c>
      <c r="E23" s="565" t="str">
        <f>Guidance!B287</f>
        <v>Guidance is not required for this question.</v>
      </c>
      <c r="F23" s="381"/>
    </row>
    <row r="24" spans="1:6" s="143" customFormat="1" ht="124.5" customHeight="1" thickBot="1">
      <c r="A24" s="238" t="s">
        <v>533</v>
      </c>
      <c r="B24" s="324" t="str">
        <f>Questions!$C632</f>
        <v xml:space="preserve">
No answer required
Post town or city
</v>
      </c>
      <c r="C24" s="666"/>
      <c r="D24" s="368" t="str">
        <f ca="1">'Reconciliation report'!D430</f>
        <v/>
      </c>
      <c r="E24" s="544" t="str">
        <f>Guidance!B287</f>
        <v>Guidance is not required for this question.</v>
      </c>
      <c r="F24" s="381"/>
    </row>
    <row r="25" spans="1:6" s="143" customFormat="1" ht="124.5" customHeight="1" thickBot="1">
      <c r="A25" s="238" t="s">
        <v>534</v>
      </c>
      <c r="B25" s="324" t="str">
        <f>Questions!$C633</f>
        <v xml:space="preserve">
No answer required
Country
</v>
      </c>
      <c r="C25" s="487"/>
      <c r="D25" s="364" t="str">
        <f ca="1">'Reconciliation report'!D431</f>
        <v/>
      </c>
      <c r="E25" s="544" t="str">
        <f>Guidance!B287</f>
        <v>Guidance is not required for this question.</v>
      </c>
      <c r="F25" s="473"/>
    </row>
    <row r="26" spans="1:6" s="325" customFormat="1" ht="124.5" customHeight="1" thickBot="1">
      <c r="A26" s="244" t="s">
        <v>535</v>
      </c>
      <c r="B26" s="170" t="str">
        <f>Questions!$C634</f>
        <v xml:space="preserve">
No answer required
Postcode
</v>
      </c>
      <c r="C26" s="503"/>
      <c r="D26" s="365" t="str">
        <f ca="1">'Reconciliation report'!D432</f>
        <v/>
      </c>
      <c r="E26" s="26" t="str">
        <f>Guidance!B287</f>
        <v>Guidance is not required for this question.</v>
      </c>
      <c r="F26" s="443"/>
    </row>
    <row r="27" spans="1:6" s="143" customFormat="1" ht="20.149999999999999" customHeight="1" thickBot="1">
      <c r="A27" s="75"/>
      <c r="B27" s="69"/>
      <c r="C27" s="75" t="s">
        <v>23</v>
      </c>
      <c r="D27" s="68"/>
      <c r="E27" s="68"/>
      <c r="F27" s="68"/>
    </row>
    <row r="28" spans="1:6" s="127" customFormat="1" ht="50.15" customHeight="1" thickBot="1">
      <c r="A28" s="750" t="s">
        <v>536</v>
      </c>
      <c r="B28" s="751"/>
      <c r="C28" s="241"/>
      <c r="D28" s="57"/>
      <c r="E28" s="57"/>
      <c r="F28" s="57"/>
    </row>
    <row r="29" spans="1:6" s="47" customFormat="1" ht="36" customHeight="1" thickTop="1" thickBot="1">
      <c r="A29" s="8" t="s">
        <v>89</v>
      </c>
      <c r="B29" s="8" t="s">
        <v>90</v>
      </c>
      <c r="C29" s="8" t="s">
        <v>91</v>
      </c>
      <c r="D29" s="8" t="s">
        <v>92</v>
      </c>
      <c r="E29" s="199" t="s">
        <v>104</v>
      </c>
      <c r="F29" s="199" t="s">
        <v>93</v>
      </c>
    </row>
    <row r="30" spans="1:6" s="143" customFormat="1" ht="93.65" customHeight="1" thickTop="1">
      <c r="A30" s="280" t="s">
        <v>537</v>
      </c>
      <c r="B30" s="324" t="str">
        <f>Questions!C635</f>
        <v xml:space="preserve">
No answer required
Legal name
</v>
      </c>
      <c r="C30" s="502"/>
      <c r="D30" s="364" t="str">
        <f ca="1">'Reconciliation report'!D433</f>
        <v/>
      </c>
      <c r="E30" s="332" t="str">
        <f>Guidance!B261</f>
        <v xml:space="preserve">
Provide the official name of the entity as it appears on legal documents.
</v>
      </c>
      <c r="F30" s="377"/>
    </row>
    <row r="31" spans="1:6" s="143" customFormat="1" ht="124.25" customHeight="1">
      <c r="A31" s="238" t="s">
        <v>538</v>
      </c>
      <c r="B31" s="324" t="str">
        <f>Questions!C636</f>
        <v xml:space="preserve">
No answer required
Companies House number (if applicable)
</v>
      </c>
      <c r="C31" s="480"/>
      <c r="D31" s="364" t="str">
        <f ca="1">'Reconciliation report'!D434</f>
        <v/>
      </c>
      <c r="E31" s="565" t="str">
        <f>Guidance!B262</f>
        <v xml:space="preserve">
If the entity is a UK registered company, enter its unique registration number from Companies House.
</v>
      </c>
      <c r="F31" s="381"/>
    </row>
    <row r="32" spans="1:6" s="143" customFormat="1" ht="93" customHeight="1">
      <c r="A32" s="238" t="s">
        <v>539</v>
      </c>
      <c r="B32" s="324" t="str">
        <f>Questions!C637</f>
        <v xml:space="preserve">
No answer required
Charity number (if applicable)
</v>
      </c>
      <c r="C32" s="480"/>
      <c r="D32" s="364" t="str">
        <f ca="1">'Reconciliation report'!D435</f>
        <v/>
      </c>
      <c r="E32" s="565" t="str">
        <f>Guidance!B263</f>
        <v xml:space="preserve">
If the entity is a UK registered charity, provide its unique registration number from the relevant charity commission.
</v>
      </c>
      <c r="F32" s="381"/>
    </row>
    <row r="33" spans="1:6" s="143" customFormat="1" ht="124.25" customHeight="1">
      <c r="A33" s="238" t="s">
        <v>540</v>
      </c>
      <c r="B33" s="324" t="str">
        <f>Questions!C638</f>
        <v xml:space="preserve">
No answer required
Trading name
</v>
      </c>
      <c r="C33" s="480"/>
      <c r="D33" s="364" t="str">
        <f ca="1">'Reconciliation report'!D436</f>
        <v/>
      </c>
      <c r="E33" s="565" t="str">
        <f>Guidance!B264</f>
        <v xml:space="preserve">
This is the name the entity uses in its day-to-day business, which might differ from its legal name.
</v>
      </c>
      <c r="F33" s="381"/>
    </row>
    <row r="34" spans="1:6" s="143" customFormat="1" ht="124.25" customHeight="1">
      <c r="A34" s="331" t="s">
        <v>541</v>
      </c>
      <c r="B34" s="324" t="str">
        <f>Questions!C639</f>
        <v xml:space="preserve">
No answer required
Address line 1
</v>
      </c>
      <c r="C34" s="480"/>
      <c r="D34" s="364" t="str">
        <f ca="1">'Reconciliation report'!D437</f>
        <v/>
      </c>
      <c r="E34" s="565" t="str">
        <f>Guidance!B287</f>
        <v>Guidance is not required for this question.</v>
      </c>
      <c r="F34" s="381"/>
    </row>
    <row r="35" spans="1:6" s="143" customFormat="1" ht="93" customHeight="1">
      <c r="A35" s="238" t="s">
        <v>542</v>
      </c>
      <c r="B35" s="324" t="str">
        <f>Questions!C640</f>
        <v xml:space="preserve">
No answer required
Address line 2 (optional)
</v>
      </c>
      <c r="C35" s="480"/>
      <c r="D35" s="364" t="str">
        <f ca="1">'Reconciliation report'!D438</f>
        <v/>
      </c>
      <c r="E35" s="565" t="str">
        <f>Guidance!B287</f>
        <v>Guidance is not required for this question.</v>
      </c>
      <c r="F35" s="381"/>
    </row>
    <row r="36" spans="1:6" s="143" customFormat="1" ht="93" customHeight="1">
      <c r="A36" s="238" t="s">
        <v>543</v>
      </c>
      <c r="B36" s="324" t="str">
        <f>Questions!C641</f>
        <v xml:space="preserve">
No answer required
Address line 3 (optional)
</v>
      </c>
      <c r="C36" s="480"/>
      <c r="D36" s="364" t="str">
        <f ca="1">'Reconciliation report'!D439</f>
        <v/>
      </c>
      <c r="E36" s="565" t="str">
        <f>Guidance!B287</f>
        <v>Guidance is not required for this question.</v>
      </c>
      <c r="F36" s="381"/>
    </row>
    <row r="37" spans="1:6" s="143" customFormat="1" ht="78" thickBot="1">
      <c r="A37" s="238" t="s">
        <v>544</v>
      </c>
      <c r="B37" s="324" t="str">
        <f>Questions!C642</f>
        <v xml:space="preserve">
No answer required
Post town or city
</v>
      </c>
      <c r="C37" s="504"/>
      <c r="D37" s="364" t="str">
        <f ca="1">'Reconciliation report'!D440</f>
        <v/>
      </c>
      <c r="E37" s="544" t="str">
        <f>Guidance!B287</f>
        <v>Guidance is not required for this question.</v>
      </c>
      <c r="F37" s="381"/>
    </row>
    <row r="38" spans="1:6" s="143" customFormat="1" ht="78" thickBot="1">
      <c r="A38" s="238" t="s">
        <v>545</v>
      </c>
      <c r="B38" s="324" t="str">
        <f>Questions!C643</f>
        <v xml:space="preserve">
No answer required
Country
</v>
      </c>
      <c r="C38" s="487"/>
      <c r="D38" s="368" t="str">
        <f ca="1">'Reconciliation report'!D441</f>
        <v/>
      </c>
      <c r="E38" s="544" t="str">
        <f>Guidance!B287</f>
        <v>Guidance is not required for this question.</v>
      </c>
      <c r="F38" s="473"/>
    </row>
    <row r="39" spans="1:6" s="325" customFormat="1" ht="125.15" customHeight="1" thickBot="1">
      <c r="A39" s="244" t="s">
        <v>546</v>
      </c>
      <c r="B39" s="170" t="str">
        <f>Questions!C644</f>
        <v xml:space="preserve">
No answer required
Postcode
</v>
      </c>
      <c r="C39" s="503"/>
      <c r="D39" s="365" t="str">
        <f ca="1">'Reconciliation report'!D442</f>
        <v/>
      </c>
      <c r="E39" s="26" t="str">
        <f>Guidance!B287</f>
        <v>Guidance is not required for this question.</v>
      </c>
      <c r="F39" s="443"/>
    </row>
    <row r="40" spans="1:6" s="143" customFormat="1" ht="20.149999999999999" customHeight="1" thickBot="1">
      <c r="A40" s="75"/>
      <c r="B40" s="69"/>
      <c r="C40" s="75" t="s">
        <v>23</v>
      </c>
      <c r="D40" s="68"/>
      <c r="E40" s="68"/>
      <c r="F40" s="68"/>
    </row>
    <row r="41" spans="1:6" s="127" customFormat="1" ht="50.15" customHeight="1" thickBot="1">
      <c r="A41" s="750" t="s">
        <v>547</v>
      </c>
      <c r="B41" s="751"/>
      <c r="C41" s="241"/>
      <c r="D41" s="57"/>
      <c r="E41" s="57"/>
      <c r="F41" s="57"/>
    </row>
    <row r="42" spans="1:6" s="47" customFormat="1" ht="36" customHeight="1" thickTop="1" thickBot="1">
      <c r="A42" s="8" t="s">
        <v>89</v>
      </c>
      <c r="B42" s="8" t="s">
        <v>90</v>
      </c>
      <c r="C42" s="8" t="s">
        <v>91</v>
      </c>
      <c r="D42" s="8" t="s">
        <v>92</v>
      </c>
      <c r="E42" s="199" t="s">
        <v>104</v>
      </c>
      <c r="F42" s="199" t="s">
        <v>93</v>
      </c>
    </row>
    <row r="43" spans="1:6" s="143" customFormat="1" ht="94.25" customHeight="1" thickTop="1">
      <c r="A43" s="280" t="s">
        <v>548</v>
      </c>
      <c r="B43" s="324" t="str">
        <f>Questions!$C645</f>
        <v xml:space="preserve">
No answer required
Legal name
</v>
      </c>
      <c r="C43" s="502"/>
      <c r="D43" s="364" t="str">
        <f ca="1">'Reconciliation report'!D443</f>
        <v/>
      </c>
      <c r="E43" s="332" t="str">
        <f>Guidance!B261</f>
        <v xml:space="preserve">
Provide the official name of the entity as it appears on legal documents.
</v>
      </c>
      <c r="F43" s="377"/>
    </row>
    <row r="44" spans="1:6" s="143" customFormat="1" ht="124.25" customHeight="1">
      <c r="A44" s="238" t="s">
        <v>549</v>
      </c>
      <c r="B44" s="324" t="str">
        <f>Questions!$C646</f>
        <v xml:space="preserve">
No answer required
Companies House number (if applicable)
</v>
      </c>
      <c r="C44" s="480"/>
      <c r="D44" s="364" t="str">
        <f ca="1">'Reconciliation report'!D444</f>
        <v/>
      </c>
      <c r="E44" s="565" t="str">
        <f>Guidance!B262</f>
        <v xml:space="preserve">
If the entity is a UK registered company, enter its unique registration number from Companies House.
</v>
      </c>
      <c r="F44" s="381"/>
    </row>
    <row r="45" spans="1:6" s="143" customFormat="1" ht="94.25" customHeight="1">
      <c r="A45" s="238" t="s">
        <v>550</v>
      </c>
      <c r="B45" s="324" t="str">
        <f>Questions!$C647</f>
        <v xml:space="preserve">
No answer required
Charity number (if applicable)
</v>
      </c>
      <c r="C45" s="480"/>
      <c r="D45" s="364" t="str">
        <f ca="1">'Reconciliation report'!D445</f>
        <v/>
      </c>
      <c r="E45" s="565" t="str">
        <f>Guidance!B263</f>
        <v xml:space="preserve">
If the entity is a UK registered charity, provide its unique registration number from the relevant charity commission.
</v>
      </c>
      <c r="F45" s="381"/>
    </row>
    <row r="46" spans="1:6" s="143" customFormat="1" ht="77.75" customHeight="1">
      <c r="A46" s="238" t="s">
        <v>551</v>
      </c>
      <c r="B46" s="324" t="str">
        <f>Questions!$C648</f>
        <v xml:space="preserve">
No answer required
Trading name
</v>
      </c>
      <c r="C46" s="480"/>
      <c r="D46" s="364" t="str">
        <f ca="1">'Reconciliation report'!D446</f>
        <v/>
      </c>
      <c r="E46" s="565" t="str">
        <f>Guidance!B264</f>
        <v xml:space="preserve">
This is the name the entity uses in its day-to-day business, which might differ from its legal name.
</v>
      </c>
      <c r="F46" s="381"/>
    </row>
    <row r="47" spans="1:6" s="143" customFormat="1" ht="77.75" customHeight="1">
      <c r="A47" s="331" t="s">
        <v>552</v>
      </c>
      <c r="B47" s="324" t="str">
        <f>Questions!$C649</f>
        <v xml:space="preserve">
No answer required
Address line 1
</v>
      </c>
      <c r="C47" s="480"/>
      <c r="D47" s="364" t="str">
        <f ca="1">'Reconciliation report'!D447</f>
        <v/>
      </c>
      <c r="E47" s="565" t="str">
        <f>Guidance!B287</f>
        <v>Guidance is not required for this question.</v>
      </c>
      <c r="F47" s="381"/>
    </row>
    <row r="48" spans="1:6" s="143" customFormat="1" ht="77.75" customHeight="1">
      <c r="A48" s="238" t="s">
        <v>553</v>
      </c>
      <c r="B48" s="324" t="str">
        <f>Questions!$C650</f>
        <v xml:space="preserve">
No answer required
Address line 2 (optional)
</v>
      </c>
      <c r="C48" s="480"/>
      <c r="D48" s="364" t="str">
        <f ca="1">'Reconciliation report'!D448</f>
        <v/>
      </c>
      <c r="E48" s="565" t="str">
        <f>Guidance!B287</f>
        <v>Guidance is not required for this question.</v>
      </c>
      <c r="F48" s="381"/>
    </row>
    <row r="49" spans="1:6" s="143" customFormat="1" ht="77.75" customHeight="1">
      <c r="A49" s="238" t="s">
        <v>554</v>
      </c>
      <c r="B49" s="324" t="str">
        <f>Questions!$C651</f>
        <v xml:space="preserve">
No answer required
Address line 3 (optional)
</v>
      </c>
      <c r="C49" s="480"/>
      <c r="D49" s="364" t="str">
        <f ca="1">'Reconciliation report'!D449</f>
        <v/>
      </c>
      <c r="E49" s="565" t="str">
        <f>Guidance!B287</f>
        <v>Guidance is not required for this question.</v>
      </c>
      <c r="F49" s="381"/>
    </row>
    <row r="50" spans="1:6" s="143" customFormat="1" ht="77.75" customHeight="1" thickBot="1">
      <c r="A50" s="238" t="s">
        <v>555</v>
      </c>
      <c r="B50" s="324" t="str">
        <f>Questions!$C652</f>
        <v xml:space="preserve">
No answer required
Post town or city
</v>
      </c>
      <c r="C50" s="504"/>
      <c r="D50" s="364" t="str">
        <f ca="1">'Reconciliation report'!D450</f>
        <v/>
      </c>
      <c r="E50" s="544" t="str">
        <f>Guidance!B287</f>
        <v>Guidance is not required for this question.</v>
      </c>
      <c r="F50" s="381"/>
    </row>
    <row r="51" spans="1:6" s="143" customFormat="1" ht="78" customHeight="1" thickBot="1">
      <c r="A51" s="238" t="s">
        <v>556</v>
      </c>
      <c r="B51" s="324" t="str">
        <f>Questions!$C653</f>
        <v xml:space="preserve">
No answer required
Country
</v>
      </c>
      <c r="C51" s="487"/>
      <c r="D51" s="368" t="str">
        <f ca="1">'Reconciliation report'!D451</f>
        <v/>
      </c>
      <c r="E51" s="544" t="str">
        <f>Guidance!B287</f>
        <v>Guidance is not required for this question.</v>
      </c>
      <c r="F51" s="473"/>
    </row>
    <row r="52" spans="1:6" s="325" customFormat="1" ht="124.5" customHeight="1" thickBot="1">
      <c r="A52" s="244" t="s">
        <v>558</v>
      </c>
      <c r="B52" s="170" t="str">
        <f>Questions!$C654</f>
        <v xml:space="preserve">
No answer required
Postcode
</v>
      </c>
      <c r="C52" s="503"/>
      <c r="D52" s="365" t="str">
        <f ca="1">'Reconciliation report'!D452</f>
        <v/>
      </c>
      <c r="E52" s="26" t="str">
        <f>Guidance!B287</f>
        <v>Guidance is not required for this question.</v>
      </c>
      <c r="F52" s="443"/>
    </row>
    <row r="53" spans="1:6" s="143" customFormat="1" ht="20.149999999999999" customHeight="1" thickBot="1">
      <c r="A53" s="75"/>
      <c r="B53" s="69"/>
      <c r="C53" s="75" t="s">
        <v>23</v>
      </c>
      <c r="D53" s="68"/>
      <c r="E53" s="68"/>
      <c r="F53" s="68"/>
    </row>
    <row r="54" spans="1:6" s="127" customFormat="1" ht="50.15" customHeight="1" thickBot="1">
      <c r="A54" s="750" t="s">
        <v>559</v>
      </c>
      <c r="B54" s="751"/>
      <c r="C54" s="241"/>
      <c r="D54" s="57"/>
      <c r="E54" s="57"/>
      <c r="F54" s="57"/>
    </row>
    <row r="55" spans="1:6" s="47" customFormat="1" ht="36" customHeight="1" thickTop="1" thickBot="1">
      <c r="A55" s="8" t="s">
        <v>89</v>
      </c>
      <c r="B55" s="8" t="s">
        <v>90</v>
      </c>
      <c r="C55" s="8" t="s">
        <v>91</v>
      </c>
      <c r="D55" s="8" t="s">
        <v>92</v>
      </c>
      <c r="E55" s="199" t="s">
        <v>104</v>
      </c>
      <c r="F55" s="199" t="s">
        <v>93</v>
      </c>
    </row>
    <row r="56" spans="1:6" s="143" customFormat="1" ht="93.65" customHeight="1" thickTop="1">
      <c r="A56" s="280" t="s">
        <v>560</v>
      </c>
      <c r="B56" s="324" t="str">
        <f>Questions!$C655</f>
        <v xml:space="preserve">
No answer required
Legal name
</v>
      </c>
      <c r="C56" s="502"/>
      <c r="D56" s="364" t="str">
        <f ca="1">'Reconciliation report'!D453</f>
        <v/>
      </c>
      <c r="E56" s="332" t="str">
        <f>Guidance!B261</f>
        <v xml:space="preserve">
Provide the official name of the entity as it appears on legal documents.
</v>
      </c>
      <c r="F56" s="377"/>
    </row>
    <row r="57" spans="1:6" s="143" customFormat="1" ht="124.25" customHeight="1">
      <c r="A57" s="238" t="s">
        <v>561</v>
      </c>
      <c r="B57" s="324" t="str">
        <f>Questions!$C656</f>
        <v xml:space="preserve">
No answer required
Companies House number (if applicable)
</v>
      </c>
      <c r="C57" s="480"/>
      <c r="D57" s="364" t="str">
        <f ca="1">'Reconciliation report'!D454</f>
        <v/>
      </c>
      <c r="E57" s="565" t="str">
        <f>Guidance!B262</f>
        <v xml:space="preserve">
If the entity is a UK registered company, enter its unique registration number from Companies House.
</v>
      </c>
      <c r="F57" s="381"/>
    </row>
    <row r="58" spans="1:6" s="143" customFormat="1" ht="77.75" customHeight="1">
      <c r="A58" s="238" t="s">
        <v>562</v>
      </c>
      <c r="B58" s="324" t="str">
        <f>Questions!$C657</f>
        <v xml:space="preserve">
No answer required
Charity number (if applicable)
</v>
      </c>
      <c r="C58" s="480"/>
      <c r="D58" s="364" t="str">
        <f ca="1">'Reconciliation report'!D455</f>
        <v/>
      </c>
      <c r="E58" s="565" t="str">
        <f>Guidance!B263</f>
        <v xml:space="preserve">
If the entity is a UK registered charity, provide its unique registration number from the relevant charity commission.
</v>
      </c>
      <c r="F58" s="381"/>
    </row>
    <row r="59" spans="1:6" s="143" customFormat="1" ht="124.25" customHeight="1">
      <c r="A59" s="238" t="s">
        <v>563</v>
      </c>
      <c r="B59" s="324" t="str">
        <f>Questions!$C658</f>
        <v xml:space="preserve">
No answer required
Trading name
</v>
      </c>
      <c r="C59" s="480"/>
      <c r="D59" s="364" t="str">
        <f ca="1">'Reconciliation report'!D456</f>
        <v/>
      </c>
      <c r="E59" s="565" t="str">
        <f>Guidance!B264</f>
        <v xml:space="preserve">
This is the name the entity uses in its day-to-day business, which might differ from its legal name.
</v>
      </c>
      <c r="F59" s="381"/>
    </row>
    <row r="60" spans="1:6" s="143" customFormat="1" ht="124.25" customHeight="1">
      <c r="A60" s="331" t="s">
        <v>564</v>
      </c>
      <c r="B60" s="324" t="str">
        <f>Questions!$C659</f>
        <v xml:space="preserve">
No answer required
Address line 1
</v>
      </c>
      <c r="C60" s="480"/>
      <c r="D60" s="364" t="str">
        <f ca="1">'Reconciliation report'!D457</f>
        <v/>
      </c>
      <c r="E60" s="565" t="str">
        <f>Guidance!B287</f>
        <v>Guidance is not required for this question.</v>
      </c>
      <c r="F60" s="381"/>
    </row>
    <row r="61" spans="1:6" s="143" customFormat="1" ht="77.75" customHeight="1">
      <c r="A61" s="238" t="s">
        <v>565</v>
      </c>
      <c r="B61" s="324" t="str">
        <f>Questions!$C660</f>
        <v xml:space="preserve">
No answer required
Address line 2 (optional)
</v>
      </c>
      <c r="C61" s="480"/>
      <c r="D61" s="364" t="str">
        <f ca="1">'Reconciliation report'!D458</f>
        <v/>
      </c>
      <c r="E61" s="565" t="str">
        <f>Guidance!B287</f>
        <v>Guidance is not required for this question.</v>
      </c>
      <c r="F61" s="381"/>
    </row>
    <row r="62" spans="1:6" s="143" customFormat="1" ht="77.75" customHeight="1">
      <c r="A62" s="238" t="s">
        <v>566</v>
      </c>
      <c r="B62" s="324" t="str">
        <f>Questions!$C661</f>
        <v xml:space="preserve">
No answer required
Address line 3 (optional)
</v>
      </c>
      <c r="C62" s="480"/>
      <c r="D62" s="364" t="str">
        <f ca="1">'Reconciliation report'!D459</f>
        <v/>
      </c>
      <c r="E62" s="565" t="str">
        <f>Guidance!B287</f>
        <v>Guidance is not required for this question.</v>
      </c>
      <c r="F62" s="381"/>
    </row>
    <row r="63" spans="1:6" s="143" customFormat="1" ht="124.5" customHeight="1" thickBot="1">
      <c r="A63" s="238" t="s">
        <v>567</v>
      </c>
      <c r="B63" s="324" t="str">
        <f>Questions!$C662</f>
        <v xml:space="preserve">
No answer required
Post town or city
</v>
      </c>
      <c r="C63" s="504"/>
      <c r="D63" s="364" t="str">
        <f ca="1">'Reconciliation report'!D460</f>
        <v/>
      </c>
      <c r="E63" s="544" t="str">
        <f>Guidance!B287</f>
        <v>Guidance is not required for this question.</v>
      </c>
      <c r="F63" s="381"/>
    </row>
    <row r="64" spans="1:6" s="143" customFormat="1" ht="77.75" customHeight="1" thickBot="1">
      <c r="A64" s="238" t="s">
        <v>568</v>
      </c>
      <c r="B64" s="324" t="str">
        <f>Questions!$C663</f>
        <v xml:space="preserve">
No answer required
Country
</v>
      </c>
      <c r="C64" s="487"/>
      <c r="D64" s="368" t="str">
        <f ca="1">'Reconciliation report'!D461</f>
        <v/>
      </c>
      <c r="E64" s="544" t="str">
        <f>Guidance!B287</f>
        <v>Guidance is not required for this question.</v>
      </c>
      <c r="F64" s="473"/>
    </row>
    <row r="65" spans="1:6" s="325" customFormat="1" ht="124.5" customHeight="1" thickBot="1">
      <c r="A65" s="244" t="s">
        <v>569</v>
      </c>
      <c r="B65" s="170" t="str">
        <f>Questions!$C664</f>
        <v xml:space="preserve">
No answer required
Postcode
</v>
      </c>
      <c r="C65" s="503"/>
      <c r="D65" s="365" t="str">
        <f ca="1">'Reconciliation report'!D462</f>
        <v/>
      </c>
      <c r="E65" s="26" t="str">
        <f>Guidance!B287</f>
        <v>Guidance is not required for this question.</v>
      </c>
      <c r="F65" s="443"/>
    </row>
    <row r="66" spans="1:6" s="143" customFormat="1" ht="20.149999999999999" customHeight="1" thickBot="1">
      <c r="A66" s="75"/>
      <c r="B66" s="69"/>
      <c r="C66" s="75" t="s">
        <v>23</v>
      </c>
      <c r="D66" s="68"/>
      <c r="E66" s="68"/>
      <c r="F66" s="68"/>
    </row>
    <row r="67" spans="1:6" s="127" customFormat="1" ht="50.15" customHeight="1" thickBot="1">
      <c r="A67" s="750" t="s">
        <v>570</v>
      </c>
      <c r="B67" s="751"/>
      <c r="C67" s="241"/>
      <c r="D67" s="57"/>
      <c r="E67" s="57"/>
      <c r="F67" s="57"/>
    </row>
    <row r="68" spans="1:6" s="47" customFormat="1" ht="36" customHeight="1" thickTop="1" thickBot="1">
      <c r="A68" s="8" t="s">
        <v>89</v>
      </c>
      <c r="B68" s="8" t="s">
        <v>90</v>
      </c>
      <c r="C68" s="8" t="s">
        <v>91</v>
      </c>
      <c r="D68" s="8" t="s">
        <v>92</v>
      </c>
      <c r="E68" s="199" t="s">
        <v>104</v>
      </c>
      <c r="F68" s="199" t="s">
        <v>93</v>
      </c>
    </row>
    <row r="69" spans="1:6" s="143" customFormat="1" ht="93.65" customHeight="1" thickTop="1">
      <c r="A69" s="280" t="s">
        <v>571</v>
      </c>
      <c r="B69" s="324" t="str">
        <f>Questions!$C665</f>
        <v xml:space="preserve">
No answer required
Legal name
</v>
      </c>
      <c r="C69" s="502"/>
      <c r="D69" s="364" t="str">
        <f ca="1">'Reconciliation report'!D463</f>
        <v/>
      </c>
      <c r="E69" s="332" t="str">
        <f>Guidance!B261</f>
        <v xml:space="preserve">
Provide the official name of the entity as it appears on legal documents.
</v>
      </c>
      <c r="F69" s="377"/>
    </row>
    <row r="70" spans="1:6" s="143" customFormat="1" ht="124.25" customHeight="1">
      <c r="A70" s="238" t="s">
        <v>572</v>
      </c>
      <c r="B70" s="324" t="str">
        <f>Questions!$C666</f>
        <v xml:space="preserve">
No answer required
Companies House number (if applicable)
</v>
      </c>
      <c r="C70" s="480"/>
      <c r="D70" s="364" t="str">
        <f ca="1">'Reconciliation report'!D464</f>
        <v/>
      </c>
      <c r="E70" s="565" t="str">
        <f>Guidance!B262</f>
        <v xml:space="preserve">
If the entity is a UK registered company, enter its unique registration number from Companies House.
</v>
      </c>
      <c r="F70" s="381"/>
    </row>
    <row r="71" spans="1:6" s="143" customFormat="1" ht="77.75" customHeight="1">
      <c r="A71" s="238" t="s">
        <v>573</v>
      </c>
      <c r="B71" s="324" t="str">
        <f>Questions!$C667</f>
        <v xml:space="preserve">
No answer required
Charity number (if applicable)
</v>
      </c>
      <c r="C71" s="480"/>
      <c r="D71" s="364" t="str">
        <f ca="1">'Reconciliation report'!D465</f>
        <v/>
      </c>
      <c r="E71" s="565" t="str">
        <f>Guidance!B263</f>
        <v xml:space="preserve">
If the entity is a UK registered charity, provide its unique registration number from the relevant charity commission.
</v>
      </c>
      <c r="F71" s="381"/>
    </row>
    <row r="72" spans="1:6" s="143" customFormat="1" ht="124.25" customHeight="1">
      <c r="A72" s="238" t="s">
        <v>574</v>
      </c>
      <c r="B72" s="324" t="str">
        <f>Questions!$C668</f>
        <v xml:space="preserve">
No answer required
Trading name
</v>
      </c>
      <c r="C72" s="480"/>
      <c r="D72" s="364" t="str">
        <f ca="1">'Reconciliation report'!D466</f>
        <v/>
      </c>
      <c r="E72" s="565" t="str">
        <f>Guidance!B264</f>
        <v xml:space="preserve">
This is the name the entity uses in its day-to-day business, which might differ from its legal name.
</v>
      </c>
      <c r="F72" s="381"/>
    </row>
    <row r="73" spans="1:6" s="143" customFormat="1" ht="124.25" customHeight="1">
      <c r="A73" s="331" t="s">
        <v>575</v>
      </c>
      <c r="B73" s="324" t="str">
        <f>Questions!$C669</f>
        <v xml:space="preserve">
No answer required
Address line 1
</v>
      </c>
      <c r="C73" s="480"/>
      <c r="D73" s="364" t="str">
        <f ca="1">'Reconciliation report'!D467</f>
        <v/>
      </c>
      <c r="E73" s="565" t="str">
        <f>Guidance!B287</f>
        <v>Guidance is not required for this question.</v>
      </c>
      <c r="F73" s="381"/>
    </row>
    <row r="74" spans="1:6" s="143" customFormat="1" ht="77.75" customHeight="1">
      <c r="A74" s="238" t="s">
        <v>576</v>
      </c>
      <c r="B74" s="324" t="str">
        <f>Questions!$C670</f>
        <v xml:space="preserve">
No answer required
Address line 2 (optional)
</v>
      </c>
      <c r="C74" s="480"/>
      <c r="D74" s="364" t="str">
        <f ca="1">'Reconciliation report'!D468</f>
        <v/>
      </c>
      <c r="E74" s="565" t="str">
        <f>Guidance!B287</f>
        <v>Guidance is not required for this question.</v>
      </c>
      <c r="F74" s="381"/>
    </row>
    <row r="75" spans="1:6" s="143" customFormat="1" ht="77.75" customHeight="1">
      <c r="A75" s="238" t="s">
        <v>577</v>
      </c>
      <c r="B75" s="324" t="str">
        <f>Questions!$C671</f>
        <v xml:space="preserve">
No answer required
Address line 3 (optional)
</v>
      </c>
      <c r="C75" s="480"/>
      <c r="D75" s="364" t="str">
        <f ca="1">'Reconciliation report'!D469</f>
        <v/>
      </c>
      <c r="E75" s="565" t="str">
        <f>Guidance!B287</f>
        <v>Guidance is not required for this question.</v>
      </c>
      <c r="F75" s="381"/>
    </row>
    <row r="76" spans="1:6" s="143" customFormat="1" ht="124.5" customHeight="1" thickBot="1">
      <c r="A76" s="238" t="s">
        <v>578</v>
      </c>
      <c r="B76" s="324" t="str">
        <f>Questions!$C672</f>
        <v xml:space="preserve">
No answer required
Post town or city
</v>
      </c>
      <c r="C76" s="504"/>
      <c r="D76" s="364" t="str">
        <f ca="1">'Reconciliation report'!D470</f>
        <v/>
      </c>
      <c r="E76" s="544" t="str">
        <f>Guidance!B287</f>
        <v>Guidance is not required for this question.</v>
      </c>
      <c r="F76" s="381"/>
    </row>
    <row r="77" spans="1:6" s="143" customFormat="1" ht="93.65" customHeight="1" thickBot="1">
      <c r="A77" s="238" t="s">
        <v>579</v>
      </c>
      <c r="B77" s="324" t="str">
        <f>Questions!$C673</f>
        <v xml:space="preserve">
No answer required
Country
</v>
      </c>
      <c r="C77" s="487"/>
      <c r="D77" s="368" t="str">
        <f ca="1">'Reconciliation report'!D471</f>
        <v/>
      </c>
      <c r="E77" s="544" t="str">
        <f>Guidance!B287</f>
        <v>Guidance is not required for this question.</v>
      </c>
      <c r="F77" s="473"/>
    </row>
    <row r="78" spans="1:6" s="325" customFormat="1" ht="124.5" customHeight="1" thickBot="1">
      <c r="A78" s="244" t="s">
        <v>581</v>
      </c>
      <c r="B78" s="170" t="str">
        <f>Questions!$C674</f>
        <v xml:space="preserve">
No answer required
Postcode
</v>
      </c>
      <c r="C78" s="503"/>
      <c r="D78" s="365" t="str">
        <f ca="1">'Reconciliation report'!D472</f>
        <v/>
      </c>
      <c r="E78" s="26" t="str">
        <f>Guidance!B287</f>
        <v>Guidance is not required for this question.</v>
      </c>
      <c r="F78" s="443"/>
    </row>
    <row r="79" spans="1:6" s="143" customFormat="1" ht="20.149999999999999" customHeight="1" thickBot="1">
      <c r="A79" s="75"/>
      <c r="B79" s="69"/>
      <c r="C79" s="75" t="s">
        <v>23</v>
      </c>
      <c r="D79" s="68"/>
      <c r="E79" s="68"/>
      <c r="F79" s="68"/>
    </row>
    <row r="80" spans="1:6" s="127" customFormat="1" ht="50.15" customHeight="1" thickBot="1">
      <c r="A80" s="750" t="s">
        <v>582</v>
      </c>
      <c r="B80" s="751"/>
      <c r="C80" s="241"/>
      <c r="D80" s="57"/>
      <c r="E80" s="57"/>
      <c r="F80" s="57"/>
    </row>
    <row r="81" spans="1:6" s="47" customFormat="1" ht="36" customHeight="1" thickTop="1" thickBot="1">
      <c r="A81" s="8" t="s">
        <v>89</v>
      </c>
      <c r="B81" s="8" t="s">
        <v>90</v>
      </c>
      <c r="C81" s="8" t="s">
        <v>91</v>
      </c>
      <c r="D81" s="8" t="s">
        <v>92</v>
      </c>
      <c r="E81" s="199" t="s">
        <v>104</v>
      </c>
      <c r="F81" s="199" t="s">
        <v>93</v>
      </c>
    </row>
    <row r="82" spans="1:6" s="123" customFormat="1" ht="156" thickTop="1" thickBot="1">
      <c r="A82" s="27" t="s">
        <v>583</v>
      </c>
      <c r="B82" s="121" t="str">
        <f>Questions!C236</f>
        <v xml:space="preserve">No answer required
Does the scheme rely on contingent assets to take funding and investment risk above what the employer can support?
</v>
      </c>
      <c r="C82" s="187"/>
      <c r="D82" s="347" t="str">
        <f ca="1">'Reconciliation report'!D473</f>
        <v/>
      </c>
      <c r="E82" s="122" t="str">
        <f>Guidance!B157</f>
        <v xml:space="preserve">
Contingent assets are arrangements that can be put in place to support the level of scheme funding, including in the event of employer insolvency. They can provide valuable support to a scheme that is not otherwise available from the employer or can enhance a scheme’s existing claim against its employer. For example, contingent assets might be relied upon to support funding and investment risk before reaching ‘significant maturity’, or to underpin a longer recovery plan for affordability reasons.
</v>
      </c>
      <c r="F82" s="227"/>
    </row>
    <row r="83" spans="1:6" ht="187.5" customHeight="1" thickBot="1">
      <c r="A83" s="27" t="s">
        <v>585</v>
      </c>
      <c r="B83" s="121" t="str">
        <f>Questions!C237</f>
        <v xml:space="preserve">No answer required
How many guarantees do the trustees wish to include details about?
</v>
      </c>
      <c r="C83" s="407"/>
      <c r="D83" s="347" t="str">
        <f ca="1">'Reconciliation report'!D474</f>
        <v/>
      </c>
      <c r="E83" s="122" t="str">
        <f>Guidance!B158</f>
        <v xml:space="preserve">
For example, list the guarantee the trustees are placing reliance on. 
A guarantee is a legal agreement between a guarantor and the scheme which provides the latter with legal recourse to a party other than its employer in a pre-defined situation (for example, non-payment of obligations to the scheme by the employer).
</v>
      </c>
      <c r="F83" s="128"/>
    </row>
    <row r="84" spans="1:6" ht="187.5" customHeight="1" thickBot="1">
      <c r="A84" s="27" t="s">
        <v>586</v>
      </c>
      <c r="B84" s="121" t="str">
        <f>Questions!C238</f>
        <v xml:space="preserve">No answer required
How many securities do the trustees wish to include details about?
</v>
      </c>
      <c r="C84" s="407"/>
      <c r="D84" s="347" t="str">
        <f ca="1">'Reconciliation report'!D475</f>
        <v/>
      </c>
      <c r="E84" s="122" t="str">
        <f>Guidance!B159</f>
        <v xml:space="preserve">
For example, list the security arrangements where the trustees are placing reliance on. 
Security arrangements provide schemes with direct security, or a legally binding promise over a tangible or intangible asset, where a monetary value can be assigned.
</v>
      </c>
      <c r="F84" s="128"/>
    </row>
    <row r="85" spans="1:6" ht="187.5" customHeight="1" thickBot="1">
      <c r="A85" s="27" t="s">
        <v>587</v>
      </c>
      <c r="B85" s="121" t="str">
        <f>Questions!C239</f>
        <v xml:space="preserve">No answer required
How many other contingent assets do the trustees wish to include details about (excl ABCs)?
</v>
      </c>
      <c r="C85" s="407"/>
      <c r="D85" s="347" t="str">
        <f ca="1">'Reconciliation report'!D476</f>
        <v/>
      </c>
      <c r="E85" s="122" t="str">
        <f>Guidance!B160</f>
        <v xml:space="preserve">
For example, list the other contingent assets where the trustees are placing reliance on. 
Other contingent assets which are not guarantees of security arrangements can still provide valuable support to a scheme that is not otherwise available from the employer, or can enhance a scheme’s existing claim against its employer. To factor these into the assessment of the covenant available to the scheme, these should be legally enforceable, and sufficient to provide the specified level of support when required.
</v>
      </c>
      <c r="F85" s="128"/>
    </row>
    <row r="86" spans="1:6" ht="78" thickBot="1">
      <c r="A86" s="27" t="s">
        <v>588</v>
      </c>
      <c r="B86" s="170" t="str">
        <f>Questions!C241</f>
        <v xml:space="preserve">No answer required
What is the total value ascribed to contingent assets? (£)
</v>
      </c>
      <c r="C86" s="408"/>
      <c r="D86" s="363" t="str">
        <f ca="1">'Reconciliation report'!D477</f>
        <v/>
      </c>
      <c r="E86" s="126" t="str">
        <f>Guidance!B162</f>
        <v xml:space="preserve">
The total expected realisable value of all contingent assets when called upon, taking account of the scenario the security(s) is/are intended to provide support for. This can be in terms of 'equal to or at least'.
</v>
      </c>
      <c r="F86" s="424"/>
    </row>
    <row r="87" spans="1:6" s="129" customFormat="1" ht="20.149999999999999" customHeight="1" thickBot="1">
      <c r="A87" s="75"/>
      <c r="B87" s="69"/>
      <c r="C87" s="75" t="s">
        <v>23</v>
      </c>
      <c r="D87" s="68"/>
      <c r="E87" s="68"/>
      <c r="F87" s="68"/>
    </row>
    <row r="88" spans="1:6" s="127" customFormat="1" ht="50.15" customHeight="1" thickBot="1">
      <c r="A88" s="750" t="s">
        <v>589</v>
      </c>
      <c r="B88" s="751"/>
      <c r="C88" s="57"/>
      <c r="D88" s="57"/>
      <c r="E88" s="57"/>
      <c r="F88" s="57"/>
    </row>
    <row r="89" spans="1:6" s="123" customFormat="1" ht="36" customHeight="1" thickTop="1" thickBot="1">
      <c r="A89" s="8" t="s">
        <v>89</v>
      </c>
      <c r="B89" s="8" t="s">
        <v>590</v>
      </c>
      <c r="C89" s="8" t="s">
        <v>91</v>
      </c>
      <c r="D89" s="243" t="s">
        <v>92</v>
      </c>
      <c r="E89" s="8" t="s">
        <v>104</v>
      </c>
      <c r="F89" s="199" t="s">
        <v>93</v>
      </c>
    </row>
    <row r="90" spans="1:6" ht="233" thickTop="1">
      <c r="A90" s="237" t="s">
        <v>591</v>
      </c>
      <c r="B90" s="121" t="str">
        <f>Questions!C250</f>
        <v xml:space="preserve">
What is the reliability period?
</v>
      </c>
      <c r="C90" s="409"/>
      <c r="D90" s="364" t="str">
        <f ca="1">'Reconciliation report'!D478</f>
        <v/>
      </c>
      <c r="E90" s="124" t="str">
        <f>Guidance!B171</f>
        <v xml:space="preserve">
The period, in years, over which trustees can be reasonably certain of the employer’s cash flows and its future ability to support the scheme. This can be in terms of 'equal to or at least'.
When assessing the reliability period, trustees should consider the employer's current and forecast cash flows, to the extent that these are available and deemed reasonable, and the employer’s prospects (further guidance is included within the DB funding code).  
Most employers will only have reliability over the short to medium term (three to six years). However, some employers’ reliability periods may extend to the longer term based on employer-specific circumstances.
</v>
      </c>
      <c r="F90" s="226"/>
    </row>
    <row r="91" spans="1:6" ht="232.5">
      <c r="A91" s="238" t="s">
        <v>592</v>
      </c>
      <c r="B91" s="121" t="str">
        <f>Questions!C251</f>
        <v xml:space="preserve">
What is the covenant longevity? 
</v>
      </c>
      <c r="C91" s="483"/>
      <c r="D91" s="364" t="str">
        <f ca="1">'Reconciliation report'!D479</f>
        <v/>
      </c>
      <c r="E91" s="122" t="str">
        <f>Guidance!B172</f>
        <v xml:space="preserve">
How long (in years) the trustee can be reasonably certain (based on information available at the time) that the employer will be able to continue to support the scheme. This can be in terms of 'equal to or at least'.  
Covenant longevity will end when trustees do not have reasonable certainty that the employer will be able to continue to support the scheme or where uncertainty over the viability of the employer exists, which could lead to an insolvency or other event that could trigger the crystallisation of the scheme’s solvency deficit. 
We expect that reasonable certainty over the covenant longevity for most employers will not exceed ten years.                     
</v>
      </c>
      <c r="F91" s="227"/>
    </row>
    <row r="92" spans="1:6" ht="155.5" thickBot="1">
      <c r="A92" s="27" t="s">
        <v>593</v>
      </c>
      <c r="B92" s="125" t="str">
        <f>Questions!C252</f>
        <v xml:space="preserve">
Add any additional information that will help us understand the trustees' approach to assessing reliability and longevity periods. (Optional)
</v>
      </c>
      <c r="C92" s="505"/>
      <c r="D92" s="365" t="str">
        <f ca="1">'Reconciliation report'!D480</f>
        <v/>
      </c>
      <c r="E92" s="126" t="str">
        <f>Guidance!B285</f>
        <v xml:space="preserve">
Comment on the risks or limiting factors that drove your consideration around the reliability and longevity periods. For example, the length of forecasts available, whether they are considered reasonable and any relevant risks over to short-medium-long term to which the employers' guarantor and the wider industry are exposed to. This commentary is particularly relevant if the trustees reached a conclusion on the reliability period being longer than three to six years, and or the covenant longevity being longer than ten years or both.
</v>
      </c>
      <c r="F92" s="309"/>
    </row>
    <row r="93" spans="1:6" s="129" customFormat="1" ht="20.149999999999999" customHeight="1" thickBot="1">
      <c r="A93" s="75"/>
      <c r="B93" s="69"/>
      <c r="C93" s="75" t="s">
        <v>23</v>
      </c>
      <c r="D93" s="68"/>
      <c r="E93" s="68"/>
      <c r="F93" s="68"/>
    </row>
    <row r="94" spans="1:6" s="127" customFormat="1" ht="50.15" customHeight="1" thickBot="1">
      <c r="A94" s="750" t="s">
        <v>594</v>
      </c>
      <c r="B94" s="751"/>
      <c r="C94" s="241"/>
      <c r="D94" s="57"/>
      <c r="E94" s="57"/>
      <c r="F94" s="57"/>
    </row>
    <row r="95" spans="1:6" s="123" customFormat="1" ht="36" customHeight="1" thickTop="1" thickBot="1">
      <c r="A95" s="8" t="s">
        <v>89</v>
      </c>
      <c r="B95" s="8" t="s">
        <v>590</v>
      </c>
      <c r="C95" s="8" t="s">
        <v>91</v>
      </c>
      <c r="D95" s="243" t="s">
        <v>92</v>
      </c>
      <c r="E95" s="8" t="s">
        <v>104</v>
      </c>
      <c r="F95" s="199" t="s">
        <v>93</v>
      </c>
    </row>
    <row r="96" spans="1:6" ht="94.25" customHeight="1" thickTop="1" thickBot="1">
      <c r="A96" s="18" t="s">
        <v>595</v>
      </c>
      <c r="B96" s="395" t="str">
        <f>Questions!C215</f>
        <v xml:space="preserve">
Is the recovery plan longer than the reliability period or more than 6 years?
</v>
      </c>
      <c r="C96" s="506"/>
      <c r="D96" s="347" t="str">
        <f ca="1">'Reconciliation report'!D481</f>
        <v/>
      </c>
      <c r="E96" s="307" t="str">
        <f>Guidance!B148</f>
        <v xml:space="preserve">
We will ask this question if your scheme is pre-relevant date.
</v>
      </c>
      <c r="F96" s="310"/>
    </row>
    <row r="97" spans="1:7" ht="109.25" customHeight="1" thickBot="1">
      <c r="A97" s="18" t="s">
        <v>597</v>
      </c>
      <c r="B97" s="175" t="str">
        <f>Questions!C216</f>
        <v xml:space="preserve">
Is the recovery plan longer than the reliability period or more than 3 years?
</v>
      </c>
      <c r="C97" s="507"/>
      <c r="D97" s="363" t="str">
        <f ca="1">'Reconciliation report'!D482</f>
        <v/>
      </c>
      <c r="E97" s="308" t="str">
        <f>Guidance!B149</f>
        <v xml:space="preserve">
We will ask this question if your scheme is post-relevant date.
</v>
      </c>
      <c r="F97" s="311"/>
    </row>
    <row r="98" spans="1:7" s="129" customFormat="1" ht="20.149999999999999" customHeight="1" thickBot="1">
      <c r="A98" s="75"/>
      <c r="B98" s="69"/>
      <c r="C98" s="75" t="s">
        <v>23</v>
      </c>
      <c r="D98" s="68"/>
      <c r="E98" s="68"/>
      <c r="F98" s="68"/>
      <c r="G98" s="32"/>
    </row>
    <row r="99" spans="1:7" s="127" customFormat="1" ht="50.15" customHeight="1" thickBot="1">
      <c r="A99" s="750" t="s">
        <v>598</v>
      </c>
      <c r="B99" s="751"/>
      <c r="C99" s="241"/>
      <c r="D99" s="57"/>
      <c r="E99" s="57"/>
      <c r="F99" s="57"/>
      <c r="G99" s="21"/>
    </row>
    <row r="100" spans="1:7" s="47" customFormat="1" ht="36" customHeight="1" thickTop="1" thickBot="1">
      <c r="A100" s="8" t="s">
        <v>89</v>
      </c>
      <c r="B100" s="8" t="s">
        <v>90</v>
      </c>
      <c r="C100" s="8" t="s">
        <v>91</v>
      </c>
      <c r="D100" s="8" t="s">
        <v>92</v>
      </c>
      <c r="E100" s="199" t="s">
        <v>104</v>
      </c>
      <c r="F100" s="199" t="s">
        <v>93</v>
      </c>
    </row>
    <row r="101" spans="1:7" ht="124.5" thickTop="1">
      <c r="A101" s="18" t="s">
        <v>599</v>
      </c>
      <c r="B101" s="191" t="str">
        <f>Questions!C340</f>
        <v xml:space="preserve">
No answer required
What are the maximum affordable contributions over the reliability period after deficit repair contributions (DRCs)? (£)
</v>
      </c>
      <c r="C101" s="410"/>
      <c r="D101" s="364" t="str">
        <f ca="1">'Reconciliation report'!D483</f>
        <v/>
      </c>
      <c r="E101" s="307" t="str">
        <f>Guidance!B235</f>
        <v xml:space="preserve">
Over the 'reliability period', what your view is on the aggregate level of maximum affordable contributions your employer(s) could afford to pay to your scheme after taking into account reasonable adjustments for alternative uses of cash as well as deficit-repair contributions to your scheme and other defined benefit schemes supported by the employer(s).
</v>
      </c>
      <c r="F101" s="310"/>
    </row>
    <row r="102" spans="1:7" ht="109" thickBot="1">
      <c r="A102" s="18" t="s">
        <v>600</v>
      </c>
      <c r="B102" s="192" t="str">
        <f>Questions!C214</f>
        <v xml:space="preserve">
No answer required
Add any additional information that will help us understand trustees' approach to assessing employer cash flows or maximum affordable contributions or both. (Optional)
</v>
      </c>
      <c r="C102" s="508"/>
      <c r="D102" s="366" t="str">
        <f ca="1">'Reconciliation report'!D484</f>
        <v/>
      </c>
      <c r="E102" s="358" t="str">
        <f>Guidance!B147</f>
        <v xml:space="preserve">
An optional text box to provide any additional information that the trustees consider relevant relating to cash flow information that is provided to TPR and/or relied upon for the purposes of assessing maximum affordable contributions.
</v>
      </c>
      <c r="F102" s="176"/>
    </row>
    <row r="103" spans="1:7" s="129" customFormat="1" ht="20.149999999999999" customHeight="1" thickBot="1">
      <c r="A103" s="75"/>
      <c r="B103" s="69"/>
      <c r="C103" s="75" t="s">
        <v>23</v>
      </c>
      <c r="D103" s="68"/>
      <c r="E103" s="68"/>
      <c r="F103" s="68"/>
      <c r="G103" s="32"/>
    </row>
    <row r="104" spans="1:7" s="127" customFormat="1" ht="50.15" customHeight="1" thickBot="1">
      <c r="A104" s="750" t="s">
        <v>601</v>
      </c>
      <c r="B104" s="751"/>
      <c r="C104" s="241"/>
      <c r="D104" s="57"/>
      <c r="E104" s="57"/>
      <c r="F104" s="57"/>
      <c r="G104" s="21"/>
    </row>
    <row r="105" spans="1:7" s="47" customFormat="1" ht="36" customHeight="1" thickTop="1" thickBot="1">
      <c r="A105" s="8" t="s">
        <v>89</v>
      </c>
      <c r="B105" s="752" t="s">
        <v>90</v>
      </c>
      <c r="C105" s="752"/>
      <c r="D105" s="752"/>
      <c r="E105" s="199" t="s">
        <v>104</v>
      </c>
      <c r="F105" s="199" t="s">
        <v>93</v>
      </c>
    </row>
    <row r="106" spans="1:7" ht="93.5" thickTop="1">
      <c r="A106" s="160" t="s">
        <v>602</v>
      </c>
      <c r="B106" s="807" t="str">
        <f>Questions!C341</f>
        <v xml:space="preserve">
No answer required
You are required to upload a PDF document showing a summary of the trustees' assessment of supportable risk over the reliability period
</v>
      </c>
      <c r="C106" s="808"/>
      <c r="D106" s="809"/>
      <c r="E106" s="160" t="str">
        <f>Guidance!B236</f>
        <v xml:space="preserve">
This should include details of the trustees' assessment of the covenant and the level of supportable risk over the reliability period, including key assumptions and financial information (for example, cash flow, guarantee or other contingent assets relied upon).
</v>
      </c>
      <c r="F106" s="312"/>
    </row>
    <row r="107" spans="1:7" ht="93.5" thickBot="1">
      <c r="A107" s="239" t="s">
        <v>603</v>
      </c>
      <c r="B107" s="810" t="str">
        <f>Questions!C342</f>
        <v xml:space="preserve">
No answer required
You are required to upload a PDF document showing a summary of the trustees' analysis of maximum affordable contributions
</v>
      </c>
      <c r="C107" s="811"/>
      <c r="D107" s="812"/>
      <c r="E107" s="181" t="str">
        <f>Guidance!B237</f>
        <v xml:space="preserve">
This should include details of how the trustees have assessed the employer’s current and future cash flow to determine the maximum affordable contributions over the employer’s reliability period and  key underlying assumptions.
</v>
      </c>
      <c r="F107" s="313"/>
    </row>
    <row r="108" spans="1:7" s="129" customFormat="1" ht="20.149999999999999" customHeight="1" thickBot="1">
      <c r="A108" s="75"/>
      <c r="B108" s="69"/>
      <c r="C108" s="75" t="s">
        <v>23</v>
      </c>
      <c r="D108" s="68"/>
      <c r="E108" s="68"/>
      <c r="F108" s="68"/>
      <c r="G108" s="32"/>
    </row>
    <row r="109" spans="1:7" s="127" customFormat="1" ht="50.15" customHeight="1" thickBot="1">
      <c r="A109" s="750" t="s">
        <v>604</v>
      </c>
      <c r="B109" s="751"/>
      <c r="C109" s="241"/>
      <c r="D109" s="57"/>
      <c r="E109" s="57"/>
      <c r="F109" s="57"/>
      <c r="G109" s="21"/>
    </row>
    <row r="110" spans="1:7" s="47" customFormat="1" ht="36" customHeight="1" thickTop="1" thickBot="1">
      <c r="A110" s="8" t="s">
        <v>89</v>
      </c>
      <c r="B110" s="8" t="s">
        <v>90</v>
      </c>
      <c r="C110" s="8" t="s">
        <v>91</v>
      </c>
      <c r="D110" s="8" t="s">
        <v>92</v>
      </c>
      <c r="E110" s="199" t="s">
        <v>104</v>
      </c>
      <c r="F110" s="199" t="s">
        <v>93</v>
      </c>
    </row>
    <row r="111" spans="1:7" s="123" customFormat="1" ht="115.25" customHeight="1" thickTop="1" thickBot="1">
      <c r="A111" s="18" t="s">
        <v>605</v>
      </c>
      <c r="B111" s="174" t="str">
        <f>Questions!B253</f>
        <v xml:space="preserve">
Is the strength of the employer covenant adequate by reference to the actuarial valuation to which the funding and investments strategy relates?
</v>
      </c>
      <c r="C111" s="542"/>
      <c r="D111" s="367" t="str">
        <f ca="1">'Reconciliation report'!D487</f>
        <v xml:space="preserve">
Select ‘Yes’ if the strength of the employer covenant is adequate by reference to the actuarial valuation to which the funding and investment strategy relates, or ‘No’ if it does not.
</v>
      </c>
      <c r="E111" s="359" t="str">
        <f>Guidance!B173</f>
        <v xml:space="preserve">
In determining the adequacy of the employer covenant to support the scheme, we would expect trustees to consider the employer's cash flows and contingent assets. Further guidance on how to assess the covenant is set out in the DB funding code.
</v>
      </c>
      <c r="F111" s="342"/>
      <c r="G111" s="27"/>
    </row>
    <row r="112" spans="1:7" ht="20.149999999999999" hidden="1" customHeight="1" thickBot="1">
      <c r="A112" s="75"/>
      <c r="B112" s="75"/>
      <c r="C112" s="75" t="s">
        <v>23</v>
      </c>
      <c r="D112" s="99"/>
      <c r="E112" s="200"/>
      <c r="F112" s="200"/>
      <c r="G112" s="200"/>
    </row>
    <row r="113" spans="1:8" ht="50.15" hidden="1" customHeight="1" thickBot="1">
      <c r="A113" s="750" t="s">
        <v>117</v>
      </c>
      <c r="B113" s="751"/>
      <c r="C113" s="57"/>
      <c r="D113" s="57"/>
      <c r="E113" s="57"/>
      <c r="F113" s="57"/>
      <c r="G113" s="57"/>
    </row>
    <row r="114" spans="1:8" s="47" customFormat="1" ht="36" hidden="1" customHeight="1" thickTop="1" thickBot="1">
      <c r="A114" s="752" t="s">
        <v>90</v>
      </c>
      <c r="B114" s="753"/>
      <c r="C114" s="668" t="s">
        <v>91</v>
      </c>
      <c r="D114" s="669"/>
      <c r="E114" s="667"/>
      <c r="F114" s="667"/>
      <c r="G114" s="667"/>
      <c r="H114" s="17"/>
    </row>
    <row r="115" spans="1:8" ht="86" hidden="1" customHeight="1" thickTop="1" thickBot="1">
      <c r="A115" s="744" t="s">
        <v>118</v>
      </c>
      <c r="B115" s="754"/>
      <c r="C115" s="683"/>
      <c r="D115" s="62"/>
      <c r="E115" s="667"/>
      <c r="F115" s="667"/>
      <c r="G115" s="196"/>
    </row>
    <row r="116" spans="1:8" s="47" customFormat="1" ht="50.25" customHeight="1">
      <c r="A116" s="439"/>
      <c r="B116" s="255"/>
      <c r="C116" s="439"/>
      <c r="D116" s="439"/>
      <c r="E116" s="439"/>
      <c r="F116" s="439"/>
    </row>
  </sheetData>
  <sheetProtection algorithmName="SHA-512" hashValue="TMhOR7RUtkgufwJkijlii97E0ztd+yuPgxQ/u78vYyyuegI211/fTalThl4lmMBOIRrdgTis5nhqkQeWNsktyw==" saltValue="CqatVI9YjfUik3mB3coLNw==" spinCount="100000" sheet="1" objects="1" scenarios="1" sort="0" autoFilter="0"/>
  <mergeCells count="21">
    <mergeCell ref="A113:B113"/>
    <mergeCell ref="A114:B114"/>
    <mergeCell ref="A115:B115"/>
    <mergeCell ref="A1:B1"/>
    <mergeCell ref="A2:B2"/>
    <mergeCell ref="A3:B3"/>
    <mergeCell ref="A5:B5"/>
    <mergeCell ref="A15:B15"/>
    <mergeCell ref="A109:B109"/>
    <mergeCell ref="A28:B28"/>
    <mergeCell ref="A41:B41"/>
    <mergeCell ref="A54:B54"/>
    <mergeCell ref="A67:B67"/>
    <mergeCell ref="A80:B80"/>
    <mergeCell ref="B106:D106"/>
    <mergeCell ref="B107:D107"/>
    <mergeCell ref="B105:D105"/>
    <mergeCell ref="A88:B88"/>
    <mergeCell ref="A94:B94"/>
    <mergeCell ref="A99:B99"/>
    <mergeCell ref="A104:B104"/>
  </mergeCells>
  <conditionalFormatting sqref="C115">
    <cfRule type="expression" dxfId="511" priority="1">
      <formula>$C$115=""</formula>
    </cfRule>
  </conditionalFormatting>
  <conditionalFormatting sqref="D7:D13 D17:D26 D30:D39 D43:D52 D56:D65 D69:D78 D82:D86 D90:D92 D96:D97 D101:D102 D111">
    <cfRule type="notContainsBlanks" dxfId="509" priority="4">
      <formula>LEN(TRIM(D7))&gt;0</formula>
    </cfRule>
  </conditionalFormatting>
  <dataValidations count="12">
    <dataValidation type="date" operator="lessThanOrEqual" allowBlank="1" showInputMessage="1" showErrorMessage="1" errorTitle="There is a problem" error="You must enter a valid date that is less than or equal to today in the format dd/mm/yyyy." promptTitle="Enter a date" prompt="Enter a date (dd/mm/yyyy)" sqref="C7" xr:uid="{A81A0162-B6EA-4448-A000-EF5E3D803F1C}">
      <formula1>TODAY()</formula1>
    </dataValidation>
    <dataValidation operator="lessThanOrEqual" allowBlank="1" showInputMessage="1" showErrorMessage="1" sqref="E102" xr:uid="{C2B59E9A-1BDA-4D22-B319-AB5F8E1EA564}"/>
    <dataValidation type="list" allowBlank="1" showInputMessage="1" showErrorMessage="1" errorTitle="There is a problem" error="You must enter a number between 0 and 5" promptTitle="Add your answer" prompt="Enter a number" sqref="C12" xr:uid="{5C0D7133-A4AF-42EF-9029-6D7B8564045E}">
      <formula1>"0,1,2,3,4,5"</formula1>
    </dataValidation>
    <dataValidation type="whole" operator="greaterThanOrEqual" allowBlank="1" showInputMessage="1" showErrorMessage="1" errorTitle="There is a problem" error="You must enter a whole number greater than or equal to 0." promptTitle="Enter a value" prompt="Enter a number" sqref="C90:C91" xr:uid="{7DCE0182-7F05-489A-8F1A-299AE6443D22}">
      <formula1>0</formula1>
    </dataValidation>
    <dataValidation type="custom" allowBlank="1" showInputMessage="1" showErrorMessage="1" errorTitle="There is a problem" error="You must enter a number greater than or equal to 0.00 and less than 1,000,000,000,000 (1 trillion) with up to two decimal places." promptTitle="Enter a value" prompt="Enter a number (£)" sqref="C86" xr:uid="{61C3B74A-D78A-4177-B9E7-8D16EDA85FC8}">
      <formula1>AND(ISNUMBER(VALUE(C86)), VALUE(C86)&gt;=0, VALUE(C86)&lt;=999999999999.99, IF(ISERROR(FIND(".", C86)), VALUE(C86)=INT(VALUE(C86)), LEN(C86)-FIND(".", C86)&lt;=2))</formula1>
    </dataValidation>
    <dataValidation type="custom" allowBlank="1" showInputMessage="1" showErrorMessage="1" errorTitle="There is a problem" error="Enter a value between - 1,000,000,000,000 and 1,000,000,000,000 (1 trillion). It can be accurate to two decimal places. " promptTitle="Enter a value" prompt="Enter a number (£)" sqref="C101" xr:uid="{DB680881-B081-4DF2-9CAE-942EBB7AC270}">
      <formula1>AND(ISNUMBER(VALUE(C101)), VALUE(C101)&gt;=-999999999999.99, VALUE(C101)&lt;=999999999999.99, IF(ISERROR(FIND(".", C101)), VALUE(C101)=INT(VALUE(C101)), LEN(C101)-FIND(".", C101)&lt;=2))</formula1>
    </dataValidation>
    <dataValidation type="textLength" operator="lessThanOrEqual" allowBlank="1" showInputMessage="1" showErrorMessage="1" errorTitle="There is a problem" error="Your answer must not exceed 4000 characters." promptTitle="Add your answer" prompt="Answer this question in 4000 characters or less." sqref="C13 C102 C9 C92" xr:uid="{CA224AC7-2D4F-496B-9084-38C2598EF1FF}">
      <formula1>4000</formula1>
    </dataValidation>
    <dataValidation type="list" operator="greaterThanOrEqual" allowBlank="1" showInputMessage="1" showErrorMessage="1" errorTitle="There is a problem" error="You must enter a whole number greater than or equal to 0." promptTitle="Enter a value" prompt="Enter a number" sqref="C83:C85" xr:uid="{6A25CC2B-972F-4B1F-8E8D-A36FF39E188A}">
      <formula1>"0, 1, 2, 3, 4, 5"</formula1>
    </dataValidation>
    <dataValidation type="textLength" operator="lessThanOrEqual" allowBlank="1" showInputMessage="1" showErrorMessage="1" errorTitle="There is a problem" error="Your answer must not exceed 510 characters" promptTitle="Add your answer" prompt="Answer this question in 510 characters or less" sqref="C72:C76 C59:C63 C46:C50 C33:C37 C20:C24" xr:uid="{E3099369-C863-4F3E-A7BE-F27F9D13D5C9}">
      <formula1>510</formula1>
    </dataValidation>
    <dataValidation type="textLength" allowBlank="1" showInputMessage="1" showErrorMessage="1" errorTitle="There is a problem" error="Your answer must be between 6 and 8 characters" promptTitle="Add your answer" prompt="Enter your answer between 6 and 8 characters" sqref="C71 C58 C45 C32" xr:uid="{563430BF-7764-4301-96F3-19CA1D5F9E5E}">
      <formula1>6</formula1>
      <formula2>8</formula2>
    </dataValidation>
    <dataValidation type="textLength" operator="lessThanOrEqual" allowBlank="1" showInputMessage="1" showErrorMessage="1" errorTitle="There is a problem" error="Your answer must not exceed 510 characters" promptTitle="Add your answer" prompt="Answer this question in 510 characters" sqref="C69 C56 C43 C30 C17" xr:uid="{9D2607F5-3CDA-42C7-A101-A3A499949D5B}">
      <formula1>510</formula1>
    </dataValidation>
    <dataValidation allowBlank="1" showInputMessage="1" showErrorMessage="1" error="Select from the list." sqref="C116" xr:uid="{9241B424-4BEC-4B5D-9CF0-91CFF3763D91}"/>
  </dataValidations>
  <pageMargins left="0.70000000000000007" right="0.70000000000000007" top="0.75" bottom="0.75" header="0.30000000000000004" footer="0.30000000000000004"/>
  <pageSetup paperSize="9" fitToWidth="0" fitToHeight="0" orientation="portrait" r:id="rId1"/>
  <ignoredErrors>
    <ignoredError sqref="E102" unlockedFormula="1"/>
  </ignoredErrors>
  <extLst>
    <ext xmlns:x14="http://schemas.microsoft.com/office/spreadsheetml/2009/9/main" uri="{78C0D931-6437-407d-A8EE-F0AAD7539E65}">
      <x14:conditionalFormattings>
        <x14:conditionalFormatting xmlns:xm="http://schemas.microsoft.com/office/excel/2006/main">
          <x14:cfRule type="expression" priority="658" id="{22FC8DA0-B1CF-42AC-B897-254F33CECCFD}">
            <xm:f>SEARCH(RefData!$B$2,$B$7)</xm:f>
            <x14:dxf>
              <fill>
                <patternFill>
                  <bgColor theme="0" tint="-0.14996795556505021"/>
                </patternFill>
              </fill>
            </x14:dxf>
          </x14:cfRule>
          <xm:sqref>A7:F7</xm:sqref>
        </x14:conditionalFormatting>
        <x14:conditionalFormatting xmlns:xm="http://schemas.microsoft.com/office/excel/2006/main">
          <x14:cfRule type="expression" priority="659" id="{71703888-36B1-45F4-A672-A3F55141BF07}">
            <xm:f>SEARCH(RefData!$B$2,$B$8)</xm:f>
            <x14:dxf>
              <fill>
                <patternFill>
                  <bgColor theme="0" tint="-0.14996795556505021"/>
                </patternFill>
              </fill>
            </x14:dxf>
          </x14:cfRule>
          <xm:sqref>A8:F8</xm:sqref>
        </x14:conditionalFormatting>
        <x14:conditionalFormatting xmlns:xm="http://schemas.microsoft.com/office/excel/2006/main">
          <x14:cfRule type="expression" priority="660" id="{75A13677-F6FD-400A-9B5A-E1D2E26732FC}">
            <xm:f>SEARCH(RefData!$B$2,$B$9)</xm:f>
            <x14:dxf>
              <fill>
                <patternFill>
                  <bgColor theme="0" tint="-0.14996795556505021"/>
                </patternFill>
              </fill>
            </x14:dxf>
          </x14:cfRule>
          <xm:sqref>A9:F9</xm:sqref>
        </x14:conditionalFormatting>
        <x14:conditionalFormatting xmlns:xm="http://schemas.microsoft.com/office/excel/2006/main">
          <x14:cfRule type="expression" priority="661" id="{0A1625DC-9B69-45E8-816D-65D09670E2B7}">
            <xm:f>SEARCH(RefData!$B$2,$B$10)</xm:f>
            <x14:dxf>
              <fill>
                <patternFill>
                  <bgColor theme="0" tint="-0.14996795556505021"/>
                </patternFill>
              </fill>
            </x14:dxf>
          </x14:cfRule>
          <xm:sqref>A10:F10</xm:sqref>
        </x14:conditionalFormatting>
        <x14:conditionalFormatting xmlns:xm="http://schemas.microsoft.com/office/excel/2006/main">
          <x14:cfRule type="expression" priority="662" id="{33F58C28-4C24-4D78-A83F-3A015AD07592}">
            <xm:f>SEARCH(RefData!$B$2,$B$11)</xm:f>
            <x14:dxf>
              <fill>
                <patternFill>
                  <bgColor theme="0" tint="-0.14996795556505021"/>
                </patternFill>
              </fill>
            </x14:dxf>
          </x14:cfRule>
          <xm:sqref>A11:F11</xm:sqref>
        </x14:conditionalFormatting>
        <x14:conditionalFormatting xmlns:xm="http://schemas.microsoft.com/office/excel/2006/main">
          <x14:cfRule type="expression" priority="663" id="{C07EDEFD-CCF0-4272-B882-316532229B73}">
            <xm:f>SEARCH(RefData!$B$2,$B$12)</xm:f>
            <x14:dxf>
              <fill>
                <patternFill>
                  <bgColor theme="0" tint="-0.14996795556505021"/>
                </patternFill>
              </fill>
            </x14:dxf>
          </x14:cfRule>
          <xm:sqref>A12:F12</xm:sqref>
        </x14:conditionalFormatting>
        <x14:conditionalFormatting xmlns:xm="http://schemas.microsoft.com/office/excel/2006/main">
          <x14:cfRule type="expression" priority="664" id="{DD6C7EA3-2A19-4B72-A467-8E0693B8F370}">
            <xm:f>SEARCH(RefData!$B$2,$B$13)</xm:f>
            <x14:dxf>
              <fill>
                <patternFill>
                  <bgColor theme="0" tint="-0.14996795556505021"/>
                </patternFill>
              </fill>
            </x14:dxf>
          </x14:cfRule>
          <xm:sqref>A13:F13</xm:sqref>
        </x14:conditionalFormatting>
        <x14:conditionalFormatting xmlns:xm="http://schemas.microsoft.com/office/excel/2006/main">
          <x14:cfRule type="expression" priority="665" id="{DD463446-B6F6-4553-9792-613D201EC52F}">
            <xm:f>SEARCH(RefData!$B$2,$B$17)</xm:f>
            <x14:dxf>
              <fill>
                <patternFill>
                  <bgColor theme="0" tint="-0.14996795556505021"/>
                </patternFill>
              </fill>
            </x14:dxf>
          </x14:cfRule>
          <xm:sqref>A17:F17</xm:sqref>
        </x14:conditionalFormatting>
        <x14:conditionalFormatting xmlns:xm="http://schemas.microsoft.com/office/excel/2006/main">
          <x14:cfRule type="expression" priority="666" id="{3BE2E008-9AA8-4613-BA5B-E365DCC3688A}">
            <xm:f>SEARCH(RefData!$B$2,$B$18)</xm:f>
            <x14:dxf>
              <fill>
                <patternFill>
                  <bgColor theme="0" tint="-0.14996795556505021"/>
                </patternFill>
              </fill>
            </x14:dxf>
          </x14:cfRule>
          <xm:sqref>A18:F18</xm:sqref>
        </x14:conditionalFormatting>
        <x14:conditionalFormatting xmlns:xm="http://schemas.microsoft.com/office/excel/2006/main">
          <x14:cfRule type="expression" priority="667" id="{59287F8B-A22D-47F1-8D91-62BF768F77EC}">
            <xm:f>SEARCH(RefData!$B$2,$B$19)</xm:f>
            <x14:dxf>
              <fill>
                <patternFill>
                  <bgColor theme="0" tint="-0.14996795556505021"/>
                </patternFill>
              </fill>
            </x14:dxf>
          </x14:cfRule>
          <xm:sqref>A19:F19</xm:sqref>
        </x14:conditionalFormatting>
        <x14:conditionalFormatting xmlns:xm="http://schemas.microsoft.com/office/excel/2006/main">
          <x14:cfRule type="expression" priority="668" id="{F1CE44FE-46E3-4173-851C-92FC6680950D}">
            <xm:f>SEARCH(RefData!$B$2,$B$20)</xm:f>
            <x14:dxf>
              <fill>
                <patternFill>
                  <bgColor theme="0" tint="-0.14996795556505021"/>
                </patternFill>
              </fill>
            </x14:dxf>
          </x14:cfRule>
          <xm:sqref>A20:F20</xm:sqref>
        </x14:conditionalFormatting>
        <x14:conditionalFormatting xmlns:xm="http://schemas.microsoft.com/office/excel/2006/main">
          <x14:cfRule type="expression" priority="669" id="{0D56EA14-0C82-4A0E-AE43-A436AE85A8E4}">
            <xm:f>SEARCH(RefData!$B$2,$B$21)</xm:f>
            <x14:dxf>
              <fill>
                <patternFill>
                  <bgColor theme="0" tint="-0.14996795556505021"/>
                </patternFill>
              </fill>
            </x14:dxf>
          </x14:cfRule>
          <xm:sqref>A21:F21</xm:sqref>
        </x14:conditionalFormatting>
        <x14:conditionalFormatting xmlns:xm="http://schemas.microsoft.com/office/excel/2006/main">
          <x14:cfRule type="expression" priority="670" id="{E9C19E48-1636-4D35-8582-2E8910ADDC60}">
            <xm:f>SEARCH(RefData!$B$2,$B$22)</xm:f>
            <x14:dxf>
              <fill>
                <patternFill>
                  <bgColor theme="0" tint="-0.14996795556505021"/>
                </patternFill>
              </fill>
            </x14:dxf>
          </x14:cfRule>
          <xm:sqref>A22:F22</xm:sqref>
        </x14:conditionalFormatting>
        <x14:conditionalFormatting xmlns:xm="http://schemas.microsoft.com/office/excel/2006/main">
          <x14:cfRule type="expression" priority="671" id="{37BA0A4E-BD37-4DA6-8FAB-18DE816F496C}">
            <xm:f>SEARCH(RefData!$B$2,$B$23)</xm:f>
            <x14:dxf>
              <fill>
                <patternFill>
                  <bgColor theme="0" tint="-0.14996795556505021"/>
                </patternFill>
              </fill>
            </x14:dxf>
          </x14:cfRule>
          <xm:sqref>A23:F23</xm:sqref>
        </x14:conditionalFormatting>
        <x14:conditionalFormatting xmlns:xm="http://schemas.microsoft.com/office/excel/2006/main">
          <x14:cfRule type="expression" priority="672" id="{0AD54386-C232-44EA-B2D1-9E0B984DE45B}">
            <xm:f>SEARCH(RefData!$B$2,$B$24)</xm:f>
            <x14:dxf>
              <fill>
                <patternFill>
                  <bgColor theme="0" tint="-0.14996795556505021"/>
                </patternFill>
              </fill>
            </x14:dxf>
          </x14:cfRule>
          <xm:sqref>A24:F24</xm:sqref>
        </x14:conditionalFormatting>
        <x14:conditionalFormatting xmlns:xm="http://schemas.microsoft.com/office/excel/2006/main">
          <x14:cfRule type="expression" priority="673" id="{F6C685B8-2AC2-4A7A-A7F7-8503D8E047FF}">
            <xm:f>SEARCH(RefData!$B$2,$B$25)</xm:f>
            <x14:dxf>
              <fill>
                <patternFill>
                  <bgColor theme="0" tint="-0.14996795556505021"/>
                </patternFill>
              </fill>
            </x14:dxf>
          </x14:cfRule>
          <xm:sqref>A25:F25</xm:sqref>
        </x14:conditionalFormatting>
        <x14:conditionalFormatting xmlns:xm="http://schemas.microsoft.com/office/excel/2006/main">
          <x14:cfRule type="expression" priority="674" id="{7A11412B-A6ED-4F09-B27E-DD522195089F}">
            <xm:f>SEARCH(RefData!$B$2,$B$26)</xm:f>
            <x14:dxf>
              <fill>
                <patternFill>
                  <bgColor theme="0" tint="-0.14996795556505021"/>
                </patternFill>
              </fill>
            </x14:dxf>
          </x14:cfRule>
          <xm:sqref>A26:F26</xm:sqref>
        </x14:conditionalFormatting>
        <x14:conditionalFormatting xmlns:xm="http://schemas.microsoft.com/office/excel/2006/main">
          <x14:cfRule type="expression" priority="675" id="{078D0B3D-A1BB-40D2-8ADE-18F197BC6488}">
            <xm:f>SEARCH(RefData!$B$2,$B$30)</xm:f>
            <x14:dxf>
              <fill>
                <patternFill>
                  <bgColor theme="0" tint="-0.14996795556505021"/>
                </patternFill>
              </fill>
            </x14:dxf>
          </x14:cfRule>
          <xm:sqref>A30:F30</xm:sqref>
        </x14:conditionalFormatting>
        <x14:conditionalFormatting xmlns:xm="http://schemas.microsoft.com/office/excel/2006/main">
          <x14:cfRule type="expression" priority="676" id="{D59A5177-E1C9-4AD4-BA91-4BE26B74CDEB}">
            <xm:f>SEARCH(RefData!$B$2,$B$31)</xm:f>
            <x14:dxf>
              <fill>
                <patternFill>
                  <bgColor theme="0" tint="-0.14996795556505021"/>
                </patternFill>
              </fill>
            </x14:dxf>
          </x14:cfRule>
          <xm:sqref>A31:F31</xm:sqref>
        </x14:conditionalFormatting>
        <x14:conditionalFormatting xmlns:xm="http://schemas.microsoft.com/office/excel/2006/main">
          <x14:cfRule type="expression" priority="677" id="{2AEEDBA3-5D0A-4736-87A4-E55E9F00B65A}">
            <xm:f>SEARCH(RefData!$B$2,$B$32)</xm:f>
            <x14:dxf>
              <fill>
                <patternFill>
                  <bgColor theme="0" tint="-0.14996795556505021"/>
                </patternFill>
              </fill>
            </x14:dxf>
          </x14:cfRule>
          <xm:sqref>A32:F32</xm:sqref>
        </x14:conditionalFormatting>
        <x14:conditionalFormatting xmlns:xm="http://schemas.microsoft.com/office/excel/2006/main">
          <x14:cfRule type="expression" priority="678" id="{54BFEA7B-5626-4E4E-A9A9-47BC9BBB54AA}">
            <xm:f>SEARCH(RefData!$B$2,$B$33)</xm:f>
            <x14:dxf>
              <fill>
                <patternFill>
                  <bgColor theme="0" tint="-0.14996795556505021"/>
                </patternFill>
              </fill>
            </x14:dxf>
          </x14:cfRule>
          <xm:sqref>A33:F33</xm:sqref>
        </x14:conditionalFormatting>
        <x14:conditionalFormatting xmlns:xm="http://schemas.microsoft.com/office/excel/2006/main">
          <x14:cfRule type="expression" priority="679" id="{85E1DA1C-09C1-4A6D-9415-C7D31E074F55}">
            <xm:f>SEARCH(RefData!$B$2,$B$34)</xm:f>
            <x14:dxf>
              <fill>
                <patternFill>
                  <bgColor theme="0" tint="-0.14996795556505021"/>
                </patternFill>
              </fill>
            </x14:dxf>
          </x14:cfRule>
          <xm:sqref>A34:F34</xm:sqref>
        </x14:conditionalFormatting>
        <x14:conditionalFormatting xmlns:xm="http://schemas.microsoft.com/office/excel/2006/main">
          <x14:cfRule type="expression" priority="680" id="{208D4075-F116-4BAA-B169-7E6A59E1D041}">
            <xm:f>SEARCH(RefData!$B$2,$B$35)</xm:f>
            <x14:dxf>
              <fill>
                <patternFill>
                  <bgColor theme="0" tint="-0.14996795556505021"/>
                </patternFill>
              </fill>
            </x14:dxf>
          </x14:cfRule>
          <xm:sqref>A35:F35</xm:sqref>
        </x14:conditionalFormatting>
        <x14:conditionalFormatting xmlns:xm="http://schemas.microsoft.com/office/excel/2006/main">
          <x14:cfRule type="expression" priority="681" id="{307F58A4-E5B4-4A2B-9B8B-71C52AA990B0}">
            <xm:f>SEARCH(RefData!$B$2,$B$36)</xm:f>
            <x14:dxf>
              <fill>
                <patternFill>
                  <bgColor theme="0" tint="-0.14996795556505021"/>
                </patternFill>
              </fill>
            </x14:dxf>
          </x14:cfRule>
          <xm:sqref>A36:F36</xm:sqref>
        </x14:conditionalFormatting>
        <x14:conditionalFormatting xmlns:xm="http://schemas.microsoft.com/office/excel/2006/main">
          <x14:cfRule type="expression" priority="682" id="{B6C40551-7CF4-4F37-AA97-DA874181C136}">
            <xm:f>SEARCH(RefData!$B$2,$B$37)</xm:f>
            <x14:dxf>
              <fill>
                <patternFill>
                  <bgColor theme="0" tint="-0.14996795556505021"/>
                </patternFill>
              </fill>
            </x14:dxf>
          </x14:cfRule>
          <xm:sqref>A37:F37</xm:sqref>
        </x14:conditionalFormatting>
        <x14:conditionalFormatting xmlns:xm="http://schemas.microsoft.com/office/excel/2006/main">
          <x14:cfRule type="expression" priority="683" id="{6FF24B0D-FEB3-4D37-B7CE-760DD537C7BB}">
            <xm:f>SEARCH(RefData!$B$2,$B$38)</xm:f>
            <x14:dxf>
              <fill>
                <patternFill>
                  <bgColor theme="0" tint="-0.14996795556505021"/>
                </patternFill>
              </fill>
            </x14:dxf>
          </x14:cfRule>
          <xm:sqref>A38:F38</xm:sqref>
        </x14:conditionalFormatting>
        <x14:conditionalFormatting xmlns:xm="http://schemas.microsoft.com/office/excel/2006/main">
          <x14:cfRule type="expression" priority="684" id="{DAD90266-60CD-4C0D-A66E-B1C4DABA4E44}">
            <xm:f>SEARCH(RefData!$B$2,$B$39)</xm:f>
            <x14:dxf>
              <fill>
                <patternFill>
                  <bgColor theme="0" tint="-0.14996795556505021"/>
                </patternFill>
              </fill>
            </x14:dxf>
          </x14:cfRule>
          <xm:sqref>A39:F39</xm:sqref>
        </x14:conditionalFormatting>
        <x14:conditionalFormatting xmlns:xm="http://schemas.microsoft.com/office/excel/2006/main">
          <x14:cfRule type="expression" priority="685" id="{39B4F107-69CE-42EE-923B-4D5980B7CC71}">
            <xm:f>SEARCH(RefData!$B$2,$B$43)</xm:f>
            <x14:dxf>
              <fill>
                <patternFill>
                  <bgColor theme="0" tint="-0.14996795556505021"/>
                </patternFill>
              </fill>
            </x14:dxf>
          </x14:cfRule>
          <xm:sqref>A43:F43</xm:sqref>
        </x14:conditionalFormatting>
        <x14:conditionalFormatting xmlns:xm="http://schemas.microsoft.com/office/excel/2006/main">
          <x14:cfRule type="expression" priority="686" id="{739E0F3B-6C20-4AFF-B90A-0E19A542658B}">
            <xm:f>SEARCH(RefData!$B$2,$B$44)</xm:f>
            <x14:dxf>
              <fill>
                <patternFill>
                  <bgColor theme="0" tint="-0.14996795556505021"/>
                </patternFill>
              </fill>
            </x14:dxf>
          </x14:cfRule>
          <xm:sqref>A44:F44</xm:sqref>
        </x14:conditionalFormatting>
        <x14:conditionalFormatting xmlns:xm="http://schemas.microsoft.com/office/excel/2006/main">
          <x14:cfRule type="expression" priority="687" id="{00A067C0-4105-4A9A-A849-B3EA94CFA9BF}">
            <xm:f>SEARCH(RefData!$B$2,$B$45)</xm:f>
            <x14:dxf>
              <fill>
                <patternFill>
                  <bgColor theme="0" tint="-0.14996795556505021"/>
                </patternFill>
              </fill>
            </x14:dxf>
          </x14:cfRule>
          <xm:sqref>A45:F45</xm:sqref>
        </x14:conditionalFormatting>
        <x14:conditionalFormatting xmlns:xm="http://schemas.microsoft.com/office/excel/2006/main">
          <x14:cfRule type="expression" priority="688" id="{6189C422-9B75-4B0B-9D61-C3ADE817B8A7}">
            <xm:f>SEARCH(RefData!$B$2,$B$46)</xm:f>
            <x14:dxf>
              <fill>
                <patternFill>
                  <bgColor theme="0" tint="-0.14996795556505021"/>
                </patternFill>
              </fill>
            </x14:dxf>
          </x14:cfRule>
          <xm:sqref>A46:F46</xm:sqref>
        </x14:conditionalFormatting>
        <x14:conditionalFormatting xmlns:xm="http://schemas.microsoft.com/office/excel/2006/main">
          <x14:cfRule type="expression" priority="689" id="{1C1E3215-00A3-4E6F-81D5-AADB8A4EAD0C}">
            <xm:f>SEARCH(RefData!$B$2,$B$47)</xm:f>
            <x14:dxf>
              <fill>
                <patternFill>
                  <bgColor theme="0" tint="-0.14996795556505021"/>
                </patternFill>
              </fill>
            </x14:dxf>
          </x14:cfRule>
          <xm:sqref>A47:F47</xm:sqref>
        </x14:conditionalFormatting>
        <x14:conditionalFormatting xmlns:xm="http://schemas.microsoft.com/office/excel/2006/main">
          <x14:cfRule type="expression" priority="690" id="{BFA1EABB-867F-4541-BE5F-F2FA23A00470}">
            <xm:f>SEARCH(RefData!$B$2,$B$48)</xm:f>
            <x14:dxf>
              <fill>
                <patternFill>
                  <bgColor theme="0" tint="-0.14996795556505021"/>
                </patternFill>
              </fill>
            </x14:dxf>
          </x14:cfRule>
          <xm:sqref>A48:F48</xm:sqref>
        </x14:conditionalFormatting>
        <x14:conditionalFormatting xmlns:xm="http://schemas.microsoft.com/office/excel/2006/main">
          <x14:cfRule type="expression" priority="691" id="{37E8591B-6CCB-4D09-BC64-DB29DD38FF14}">
            <xm:f>SEARCH(RefData!$B$2,$B$49)</xm:f>
            <x14:dxf>
              <fill>
                <patternFill>
                  <bgColor theme="0" tint="-0.14996795556505021"/>
                </patternFill>
              </fill>
            </x14:dxf>
          </x14:cfRule>
          <xm:sqref>A49:F49</xm:sqref>
        </x14:conditionalFormatting>
        <x14:conditionalFormatting xmlns:xm="http://schemas.microsoft.com/office/excel/2006/main">
          <x14:cfRule type="expression" priority="692" id="{FAB6B364-6057-442A-AB58-C8BAE3C1AC76}">
            <xm:f>SEARCH(RefData!$B$2,$B$50)</xm:f>
            <x14:dxf>
              <fill>
                <patternFill>
                  <bgColor theme="0" tint="-0.14996795556505021"/>
                </patternFill>
              </fill>
            </x14:dxf>
          </x14:cfRule>
          <xm:sqref>A50:F50</xm:sqref>
        </x14:conditionalFormatting>
        <x14:conditionalFormatting xmlns:xm="http://schemas.microsoft.com/office/excel/2006/main">
          <x14:cfRule type="expression" priority="693" id="{4F89F1EA-3E41-4382-8EDE-F72F469D0D28}">
            <xm:f>SEARCH(RefData!$B$2,$B$51)</xm:f>
            <x14:dxf>
              <fill>
                <patternFill>
                  <bgColor theme="0" tint="-0.14996795556505021"/>
                </patternFill>
              </fill>
            </x14:dxf>
          </x14:cfRule>
          <xm:sqref>A51:F51</xm:sqref>
        </x14:conditionalFormatting>
        <x14:conditionalFormatting xmlns:xm="http://schemas.microsoft.com/office/excel/2006/main">
          <x14:cfRule type="expression" priority="694" id="{E0F82811-5AF3-4B87-8275-7CD2C2848C21}">
            <xm:f>SEARCH(RefData!$B$2,$B$52)</xm:f>
            <x14:dxf>
              <fill>
                <patternFill>
                  <bgColor theme="0" tint="-0.14996795556505021"/>
                </patternFill>
              </fill>
            </x14:dxf>
          </x14:cfRule>
          <xm:sqref>A52:F52</xm:sqref>
        </x14:conditionalFormatting>
        <x14:conditionalFormatting xmlns:xm="http://schemas.microsoft.com/office/excel/2006/main">
          <x14:cfRule type="expression" priority="695" id="{5715A49B-F554-4A2A-A778-102C84D6B967}">
            <xm:f>SEARCH(RefData!$B$2,$B$56)</xm:f>
            <x14:dxf>
              <fill>
                <patternFill>
                  <bgColor theme="0" tint="-0.14996795556505021"/>
                </patternFill>
              </fill>
            </x14:dxf>
          </x14:cfRule>
          <xm:sqref>A56:F56</xm:sqref>
        </x14:conditionalFormatting>
        <x14:conditionalFormatting xmlns:xm="http://schemas.microsoft.com/office/excel/2006/main">
          <x14:cfRule type="expression" priority="696" id="{8FAF81BD-1711-4073-929F-EF53B9018368}">
            <xm:f>SEARCH(RefData!$B$2,$B$57)</xm:f>
            <x14:dxf>
              <fill>
                <patternFill>
                  <bgColor theme="0" tint="-0.14996795556505021"/>
                </patternFill>
              </fill>
            </x14:dxf>
          </x14:cfRule>
          <xm:sqref>A57:F57</xm:sqref>
        </x14:conditionalFormatting>
        <x14:conditionalFormatting xmlns:xm="http://schemas.microsoft.com/office/excel/2006/main">
          <x14:cfRule type="expression" priority="697" id="{9D31008C-C1BE-4774-BC65-6EFC696DFC45}">
            <xm:f>SEARCH(RefData!$B$2,$B$58)</xm:f>
            <x14:dxf>
              <fill>
                <patternFill>
                  <bgColor theme="0" tint="-0.14996795556505021"/>
                </patternFill>
              </fill>
            </x14:dxf>
          </x14:cfRule>
          <xm:sqref>A58:F58</xm:sqref>
        </x14:conditionalFormatting>
        <x14:conditionalFormatting xmlns:xm="http://schemas.microsoft.com/office/excel/2006/main">
          <x14:cfRule type="expression" priority="698" id="{4E68A4FE-6B73-41BD-AC99-3E610BD35A10}">
            <xm:f>SEARCH(RefData!$B$2,$B$59)</xm:f>
            <x14:dxf>
              <fill>
                <patternFill>
                  <bgColor theme="0" tint="-0.14996795556505021"/>
                </patternFill>
              </fill>
            </x14:dxf>
          </x14:cfRule>
          <xm:sqref>A59:F59</xm:sqref>
        </x14:conditionalFormatting>
        <x14:conditionalFormatting xmlns:xm="http://schemas.microsoft.com/office/excel/2006/main">
          <x14:cfRule type="expression" priority="699" id="{42C9F9F7-AE59-4575-9291-0F28301CE0F5}">
            <xm:f>SEARCH(RefData!$B$2,$B$60)</xm:f>
            <x14:dxf>
              <fill>
                <patternFill>
                  <bgColor theme="0" tint="-0.14996795556505021"/>
                </patternFill>
              </fill>
            </x14:dxf>
          </x14:cfRule>
          <xm:sqref>A60:F60</xm:sqref>
        </x14:conditionalFormatting>
        <x14:conditionalFormatting xmlns:xm="http://schemas.microsoft.com/office/excel/2006/main">
          <x14:cfRule type="expression" priority="700" id="{E70E7A8F-3F34-41B5-9E8B-2052A876472B}">
            <xm:f>SEARCH(RefData!$B$2,$B$61)</xm:f>
            <x14:dxf>
              <fill>
                <patternFill>
                  <bgColor theme="0" tint="-0.14996795556505021"/>
                </patternFill>
              </fill>
            </x14:dxf>
          </x14:cfRule>
          <xm:sqref>A61:F61</xm:sqref>
        </x14:conditionalFormatting>
        <x14:conditionalFormatting xmlns:xm="http://schemas.microsoft.com/office/excel/2006/main">
          <x14:cfRule type="expression" priority="701" id="{0953B25C-7B0B-4068-AFF3-8E6A5612BAB2}">
            <xm:f>SEARCH(RefData!$B$2,$B$62)</xm:f>
            <x14:dxf>
              <fill>
                <patternFill>
                  <bgColor theme="0" tint="-0.14996795556505021"/>
                </patternFill>
              </fill>
            </x14:dxf>
          </x14:cfRule>
          <xm:sqref>A62:F62</xm:sqref>
        </x14:conditionalFormatting>
        <x14:conditionalFormatting xmlns:xm="http://schemas.microsoft.com/office/excel/2006/main">
          <x14:cfRule type="expression" priority="702" id="{0E179DC1-A9FC-4679-AA3B-216C648E6B92}">
            <xm:f>SEARCH(RefData!$B$2,$B$63)</xm:f>
            <x14:dxf>
              <fill>
                <patternFill>
                  <bgColor theme="0" tint="-0.14996795556505021"/>
                </patternFill>
              </fill>
            </x14:dxf>
          </x14:cfRule>
          <xm:sqref>A63:F63</xm:sqref>
        </x14:conditionalFormatting>
        <x14:conditionalFormatting xmlns:xm="http://schemas.microsoft.com/office/excel/2006/main">
          <x14:cfRule type="expression" priority="703" id="{55B30F58-F13A-4330-A1A4-CB00CE1D0BDA}">
            <xm:f>SEARCH(RefData!$B$2,$B$64)</xm:f>
            <x14:dxf>
              <fill>
                <patternFill>
                  <bgColor theme="0" tint="-0.14996795556505021"/>
                </patternFill>
              </fill>
            </x14:dxf>
          </x14:cfRule>
          <xm:sqref>A64:F64</xm:sqref>
        </x14:conditionalFormatting>
        <x14:conditionalFormatting xmlns:xm="http://schemas.microsoft.com/office/excel/2006/main">
          <x14:cfRule type="expression" priority="704" id="{8EF36353-A912-40DE-A088-582559A4E751}">
            <xm:f>SEARCH(RefData!$B$2,$B$65)</xm:f>
            <x14:dxf>
              <fill>
                <patternFill>
                  <bgColor theme="0" tint="-0.14996795556505021"/>
                </patternFill>
              </fill>
            </x14:dxf>
          </x14:cfRule>
          <xm:sqref>A65:F65</xm:sqref>
        </x14:conditionalFormatting>
        <x14:conditionalFormatting xmlns:xm="http://schemas.microsoft.com/office/excel/2006/main">
          <x14:cfRule type="expression" priority="705" id="{9C6EAD9E-A247-41A7-9E99-F3F8148FA1EE}">
            <xm:f>SEARCH(RefData!$B$2,$B$69)</xm:f>
            <x14:dxf>
              <fill>
                <patternFill>
                  <bgColor theme="0" tint="-0.14996795556505021"/>
                </patternFill>
              </fill>
            </x14:dxf>
          </x14:cfRule>
          <xm:sqref>A69:F69</xm:sqref>
        </x14:conditionalFormatting>
        <x14:conditionalFormatting xmlns:xm="http://schemas.microsoft.com/office/excel/2006/main">
          <x14:cfRule type="expression" priority="706" id="{AA726D93-C370-43B7-815D-049F336B7854}">
            <xm:f>SEARCH(RefData!$B$2,$B$70)</xm:f>
            <x14:dxf>
              <fill>
                <patternFill>
                  <bgColor theme="0" tint="-0.14996795556505021"/>
                </patternFill>
              </fill>
            </x14:dxf>
          </x14:cfRule>
          <xm:sqref>A70:F70</xm:sqref>
        </x14:conditionalFormatting>
        <x14:conditionalFormatting xmlns:xm="http://schemas.microsoft.com/office/excel/2006/main">
          <x14:cfRule type="expression" priority="707" id="{CDB84048-5114-49CB-9EEB-78C2B9848328}">
            <xm:f>SEARCH(RefData!$B$2,$B$71)</xm:f>
            <x14:dxf>
              <fill>
                <patternFill>
                  <bgColor theme="0" tint="-0.14996795556505021"/>
                </patternFill>
              </fill>
            </x14:dxf>
          </x14:cfRule>
          <xm:sqref>A71:F71</xm:sqref>
        </x14:conditionalFormatting>
        <x14:conditionalFormatting xmlns:xm="http://schemas.microsoft.com/office/excel/2006/main">
          <x14:cfRule type="expression" priority="708" id="{3AC8156E-3B5B-416A-A35C-6ADAA11808B8}">
            <xm:f>SEARCH(RefData!$B$2,$B$72)</xm:f>
            <x14:dxf>
              <fill>
                <patternFill>
                  <bgColor theme="0" tint="-0.14996795556505021"/>
                </patternFill>
              </fill>
            </x14:dxf>
          </x14:cfRule>
          <xm:sqref>A72:F72</xm:sqref>
        </x14:conditionalFormatting>
        <x14:conditionalFormatting xmlns:xm="http://schemas.microsoft.com/office/excel/2006/main">
          <x14:cfRule type="expression" priority="709" id="{FF0D2FC0-0611-4BAD-A807-F446B8D427DB}">
            <xm:f>SEARCH(RefData!$B$2,$B$73)</xm:f>
            <x14:dxf>
              <fill>
                <patternFill>
                  <bgColor theme="0" tint="-0.14996795556505021"/>
                </patternFill>
              </fill>
            </x14:dxf>
          </x14:cfRule>
          <xm:sqref>A73:F73</xm:sqref>
        </x14:conditionalFormatting>
        <x14:conditionalFormatting xmlns:xm="http://schemas.microsoft.com/office/excel/2006/main">
          <x14:cfRule type="expression" priority="710" id="{D3607BC0-E8F0-418E-A213-7B817FF0F049}">
            <xm:f>SEARCH(RefData!$B$2,$B$74)</xm:f>
            <x14:dxf>
              <fill>
                <patternFill>
                  <bgColor theme="0" tint="-0.14996795556505021"/>
                </patternFill>
              </fill>
            </x14:dxf>
          </x14:cfRule>
          <xm:sqref>A74:F74</xm:sqref>
        </x14:conditionalFormatting>
        <x14:conditionalFormatting xmlns:xm="http://schemas.microsoft.com/office/excel/2006/main">
          <x14:cfRule type="expression" priority="711" id="{B30DF85E-4315-423F-816C-0667937247FC}">
            <xm:f>SEARCH(RefData!$B$2,$B$75)</xm:f>
            <x14:dxf>
              <fill>
                <patternFill>
                  <bgColor theme="0" tint="-0.14996795556505021"/>
                </patternFill>
              </fill>
            </x14:dxf>
          </x14:cfRule>
          <xm:sqref>A75:F75</xm:sqref>
        </x14:conditionalFormatting>
        <x14:conditionalFormatting xmlns:xm="http://schemas.microsoft.com/office/excel/2006/main">
          <x14:cfRule type="expression" priority="712" id="{74550A35-8DFE-465E-B7B9-1997478C032B}">
            <xm:f>SEARCH(RefData!$B$2,$B$76)</xm:f>
            <x14:dxf>
              <fill>
                <patternFill>
                  <bgColor theme="0" tint="-0.14996795556505021"/>
                </patternFill>
              </fill>
            </x14:dxf>
          </x14:cfRule>
          <xm:sqref>A76:F76</xm:sqref>
        </x14:conditionalFormatting>
        <x14:conditionalFormatting xmlns:xm="http://schemas.microsoft.com/office/excel/2006/main">
          <x14:cfRule type="expression" priority="713" id="{33BC5AD0-FE56-432D-859B-8D2DE77D842A}">
            <xm:f>SEARCH(RefData!$B$2,$B$77)</xm:f>
            <x14:dxf>
              <fill>
                <patternFill>
                  <bgColor theme="0" tint="-0.14996795556505021"/>
                </patternFill>
              </fill>
            </x14:dxf>
          </x14:cfRule>
          <xm:sqref>A77:F77</xm:sqref>
        </x14:conditionalFormatting>
        <x14:conditionalFormatting xmlns:xm="http://schemas.microsoft.com/office/excel/2006/main">
          <x14:cfRule type="expression" priority="714" id="{41366E01-4E9B-4841-BFC7-DFE50EDFA21F}">
            <xm:f>SEARCH(RefData!$B$2,$B$78)</xm:f>
            <x14:dxf>
              <fill>
                <patternFill>
                  <bgColor theme="0" tint="-0.14996795556505021"/>
                </patternFill>
              </fill>
            </x14:dxf>
          </x14:cfRule>
          <xm:sqref>A78:F78</xm:sqref>
        </x14:conditionalFormatting>
        <x14:conditionalFormatting xmlns:xm="http://schemas.microsoft.com/office/excel/2006/main">
          <x14:cfRule type="expression" priority="715" id="{DA65350F-2492-44BB-BD67-11EB86C8DB5D}">
            <xm:f>SEARCH(RefData!$B$2,$B$82)</xm:f>
            <x14:dxf>
              <fill>
                <patternFill>
                  <bgColor theme="0" tint="-0.14996795556505021"/>
                </patternFill>
              </fill>
            </x14:dxf>
          </x14:cfRule>
          <xm:sqref>A82:F82</xm:sqref>
        </x14:conditionalFormatting>
        <x14:conditionalFormatting xmlns:xm="http://schemas.microsoft.com/office/excel/2006/main">
          <x14:cfRule type="expression" priority="716" id="{E40E98C7-5713-4213-A62F-E6B44CA48C56}">
            <xm:f>SEARCH(RefData!$B$2,$B$83)</xm:f>
            <x14:dxf>
              <fill>
                <patternFill>
                  <bgColor theme="0" tint="-0.14996795556505021"/>
                </patternFill>
              </fill>
            </x14:dxf>
          </x14:cfRule>
          <xm:sqref>A83:F83</xm:sqref>
        </x14:conditionalFormatting>
        <x14:conditionalFormatting xmlns:xm="http://schemas.microsoft.com/office/excel/2006/main">
          <x14:cfRule type="expression" priority="717" id="{A09CE6B2-E15F-4B55-92DF-7655C07728E2}">
            <xm:f>SEARCH(RefData!$B$2,$B$84)</xm:f>
            <x14:dxf>
              <fill>
                <patternFill>
                  <bgColor theme="0" tint="-0.14996795556505021"/>
                </patternFill>
              </fill>
            </x14:dxf>
          </x14:cfRule>
          <xm:sqref>A84:F84</xm:sqref>
        </x14:conditionalFormatting>
        <x14:conditionalFormatting xmlns:xm="http://schemas.microsoft.com/office/excel/2006/main">
          <x14:cfRule type="expression" priority="718" id="{61D09821-035D-45E5-8C9D-41448A8F8D70}">
            <xm:f>SEARCH(RefData!$B$2,$B$85)</xm:f>
            <x14:dxf>
              <fill>
                <patternFill>
                  <bgColor theme="0" tint="-0.14996795556505021"/>
                </patternFill>
              </fill>
            </x14:dxf>
          </x14:cfRule>
          <xm:sqref>A85:F85</xm:sqref>
        </x14:conditionalFormatting>
        <x14:conditionalFormatting xmlns:xm="http://schemas.microsoft.com/office/excel/2006/main">
          <x14:cfRule type="expression" priority="719" id="{E8D24F21-1E8A-4CC6-8498-BD0BD1DA945F}">
            <xm:f>SEARCH(RefData!$B$2,$B$86)</xm:f>
            <x14:dxf>
              <fill>
                <patternFill>
                  <bgColor theme="0" tint="-0.14996795556505021"/>
                </patternFill>
              </fill>
            </x14:dxf>
          </x14:cfRule>
          <xm:sqref>A86:F86</xm:sqref>
        </x14:conditionalFormatting>
        <x14:conditionalFormatting xmlns:xm="http://schemas.microsoft.com/office/excel/2006/main">
          <x14:cfRule type="expression" priority="720" id="{D7FEFD74-96CE-4D1A-9877-3B1F9564B9B3}">
            <xm:f>SEARCH(RefData!$B$2,$B$90)</xm:f>
            <x14:dxf>
              <fill>
                <patternFill>
                  <bgColor theme="0" tint="-0.14996795556505021"/>
                </patternFill>
              </fill>
            </x14:dxf>
          </x14:cfRule>
          <xm:sqref>A90:F90</xm:sqref>
        </x14:conditionalFormatting>
        <x14:conditionalFormatting xmlns:xm="http://schemas.microsoft.com/office/excel/2006/main">
          <x14:cfRule type="expression" priority="721" id="{6C78F788-22D6-435F-B013-78731DFD08C3}">
            <xm:f>SEARCH(RefData!$B$2,$B$91)</xm:f>
            <x14:dxf>
              <fill>
                <patternFill>
                  <bgColor theme="0" tint="-0.14996795556505021"/>
                </patternFill>
              </fill>
            </x14:dxf>
          </x14:cfRule>
          <xm:sqref>A91:F91</xm:sqref>
        </x14:conditionalFormatting>
        <x14:conditionalFormatting xmlns:xm="http://schemas.microsoft.com/office/excel/2006/main">
          <x14:cfRule type="expression" priority="722" id="{F7FF3566-31A4-4298-BFCA-44881C8018D2}">
            <xm:f>SEARCH(RefData!$B$2,$B$92)</xm:f>
            <x14:dxf>
              <fill>
                <patternFill>
                  <bgColor theme="0" tint="-0.14996795556505021"/>
                </patternFill>
              </fill>
            </x14:dxf>
          </x14:cfRule>
          <xm:sqref>A92:F92</xm:sqref>
        </x14:conditionalFormatting>
        <x14:conditionalFormatting xmlns:xm="http://schemas.microsoft.com/office/excel/2006/main">
          <x14:cfRule type="expression" priority="723" id="{AC9D07F1-4338-4D2E-BB50-8869CA90FF95}">
            <xm:f>SEARCH(RefData!$B$2,$B$96)</xm:f>
            <x14:dxf>
              <fill>
                <patternFill>
                  <bgColor theme="0" tint="-0.14996795556505021"/>
                </patternFill>
              </fill>
            </x14:dxf>
          </x14:cfRule>
          <xm:sqref>A96:F96</xm:sqref>
        </x14:conditionalFormatting>
        <x14:conditionalFormatting xmlns:xm="http://schemas.microsoft.com/office/excel/2006/main">
          <x14:cfRule type="expression" priority="724" id="{D72E1176-0BF2-4E87-A8BD-7EE44F061AA2}">
            <xm:f>SEARCH(RefData!$B$2,$B$97)</xm:f>
            <x14:dxf>
              <fill>
                <patternFill>
                  <bgColor theme="0" tint="-0.14996795556505021"/>
                </patternFill>
              </fill>
            </x14:dxf>
          </x14:cfRule>
          <xm:sqref>A97:F97</xm:sqref>
        </x14:conditionalFormatting>
        <x14:conditionalFormatting xmlns:xm="http://schemas.microsoft.com/office/excel/2006/main">
          <x14:cfRule type="expression" priority="725" id="{5F70B535-7DB5-402D-B971-E07DC7305888}">
            <xm:f>SEARCH(RefData!$B$2,$B$101)</xm:f>
            <x14:dxf>
              <fill>
                <patternFill>
                  <bgColor theme="0" tint="-0.14996795556505021"/>
                </patternFill>
              </fill>
            </x14:dxf>
          </x14:cfRule>
          <xm:sqref>A101:F101</xm:sqref>
        </x14:conditionalFormatting>
        <x14:conditionalFormatting xmlns:xm="http://schemas.microsoft.com/office/excel/2006/main">
          <x14:cfRule type="expression" priority="726" id="{CE11C68C-F2D7-490A-87E2-5DB8488650D7}">
            <xm:f>SEARCH(RefData!$B$2,$B$102)</xm:f>
            <x14:dxf>
              <fill>
                <patternFill>
                  <bgColor theme="0" tint="-0.14996795556505021"/>
                </patternFill>
              </fill>
            </x14:dxf>
          </x14:cfRule>
          <xm:sqref>A102:F102</xm:sqref>
        </x14:conditionalFormatting>
        <x14:conditionalFormatting xmlns:xm="http://schemas.microsoft.com/office/excel/2006/main">
          <x14:cfRule type="expression" priority="727" id="{B511C1AF-F7BB-4FE5-AD5B-127EE3822D63}">
            <xm:f>SEARCH(RefData!$B$2,$B$106)</xm:f>
            <x14:dxf>
              <fill>
                <patternFill>
                  <bgColor theme="0" tint="-0.14996795556505021"/>
                </patternFill>
              </fill>
            </x14:dxf>
          </x14:cfRule>
          <xm:sqref>A106:F106</xm:sqref>
        </x14:conditionalFormatting>
        <x14:conditionalFormatting xmlns:xm="http://schemas.microsoft.com/office/excel/2006/main">
          <x14:cfRule type="expression" priority="728" id="{5EF4A066-6BB1-4E5A-ADF7-03E294B64414}">
            <xm:f>SEARCH(RefData!$B$2,$B$107)</xm:f>
            <x14:dxf>
              <fill>
                <patternFill>
                  <bgColor theme="0" tint="-0.14996795556505021"/>
                </patternFill>
              </fill>
            </x14:dxf>
          </x14:cfRule>
          <xm:sqref>A107:F107</xm:sqref>
        </x14:conditionalFormatting>
        <x14:conditionalFormatting xmlns:xm="http://schemas.microsoft.com/office/excel/2006/main">
          <x14:cfRule type="expression" priority="729" id="{AFAF486F-9265-4529-BA07-F53EE134870F}">
            <xm:f>SEARCH(RefData!$B$2,$B$111)</xm:f>
            <x14:dxf>
              <fill>
                <patternFill>
                  <bgColor theme="0" tint="-0.14996795556505021"/>
                </patternFill>
              </fill>
            </x14:dxf>
          </x14:cfRule>
          <xm:sqref>A111:F111</xm:sqref>
        </x14:conditionalFormatting>
        <x14:conditionalFormatting xmlns:xm="http://schemas.microsoft.com/office/excel/2006/main">
          <x14:cfRule type="expression" priority="3" id="{3139A9E0-CB52-4D5F-BCF5-1C310E25D0A1}">
            <xm:f>$C$115=RefData!$B$434</xm:f>
            <x14:dxf>
              <fill>
                <patternFill>
                  <bgColor rgb="FFEFF5FA"/>
                </patternFill>
              </fill>
            </x14:dxf>
          </x14:cfRule>
          <x14:cfRule type="expression" priority="2" id="{D9AA2757-241D-4C0A-8753-001C8BE9DDD4}">
            <xm:f>$C$115=RefData!$B$433</xm:f>
            <x14:dxf>
              <fill>
                <patternFill>
                  <bgColor rgb="FFEFF5FA"/>
                </patternFill>
              </fill>
            </x14:dxf>
          </x14:cfRule>
          <xm:sqref>C115</xm:sqref>
        </x14:conditionalFormatting>
      </x14:conditionalFormattings>
    </ext>
    <ext xmlns:x14="http://schemas.microsoft.com/office/spreadsheetml/2009/9/main" uri="{CCE6A557-97BC-4b89-ADB6-D9C93CAAB3DF}">
      <x14:dataValidations xmlns:xm="http://schemas.microsoft.com/office/excel/2006/main" count="16">
        <x14:dataValidation type="custom" allowBlank="1" showInputMessage="1" showErrorMessage="1" errorTitle="There is a problem" error="Your answer must be a valid postcode between 5 and 8 characters." promptTitle="Add your answer" prompt="Enter a valid postcode between 5 and 8 characters" xr:uid="{E4703C19-A60D-49BB-8B0A-CAD58291E061}">
          <x14:formula1>
            <xm:f>NOT($D26=ErrorMsgs!$H$432)</xm:f>
          </x14:formula1>
          <xm:sqref>C26 C65 C52 C39 C78</xm:sqref>
        </x14:dataValidation>
        <x14:dataValidation type="list" allowBlank="1" showInputMessage="1" showErrorMessage="1" errorTitle="There is a problem" error="You must select 'Yes' or 'No' from the drop-down list." promptTitle="Select an answer" prompt="Choose from the list provided." xr:uid="{C376FA30-59A7-4C4B-A68B-1ABDAC81E4D7}">
          <x14:formula1>
            <xm:f>RefData!$B$116:$B$117</xm:f>
          </x14:formula1>
          <xm:sqref>C11</xm:sqref>
        </x14:dataValidation>
        <x14:dataValidation type="list" allowBlank="1" showInputMessage="1" showErrorMessage="1" errorTitle="There is a problem" error="You must select 'Yes' or 'No' from the drop-down list." promptTitle="Select an answer" prompt="Choose from the list provided." xr:uid="{F5632927-AB8C-4E1B-9D4D-2272602D6476}">
          <x14:formula1>
            <xm:f>RefData!$B$120:$B$121</xm:f>
          </x14:formula1>
          <xm:sqref>C111</xm:sqref>
        </x14:dataValidation>
        <x14:dataValidation type="list" operator="lessThanOrEqual" allowBlank="1" showInputMessage="1" showErrorMessage="1" errorTitle="There is a problem" error="You must select 'Yes' or 'No' from the drop-down list" promptTitle="Select an answer" prompt="Choose from the list provided" xr:uid="{C94784E1-7E5E-4D39-BAE0-1335897705DB}">
          <x14:formula1>
            <xm:f>RefData!$B$110:$B$111</xm:f>
          </x14:formula1>
          <xm:sqref>C97</xm:sqref>
        </x14:dataValidation>
        <x14:dataValidation type="list" allowBlank="1" showInputMessage="1" showErrorMessage="1" errorTitle="There is a problem" error="You must select 'Yes' or 'No' from the drop-down list." promptTitle="Select an answer" prompt="Choose from the list provided." xr:uid="{5CEC6025-DDB7-456B-903B-61E534BCDA7C}">
          <x14:formula1>
            <xm:f>RefData!$B$114:$B$115</xm:f>
          </x14:formula1>
          <xm:sqref>C8</xm:sqref>
        </x14:dataValidation>
        <x14:dataValidation type="list" allowBlank="1" showInputMessage="1" showErrorMessage="1" errorTitle="There is a problem" error="You must select 'Yes' or 'No' from the drop-down list" promptTitle="Select an answer" prompt="Choose from the list provided" xr:uid="{DC4330A2-7F7A-440F-BFB7-23EC464AE6F9}">
          <x14:formula1>
            <xm:f>RefData!$B$112:$B$113</xm:f>
          </x14:formula1>
          <xm:sqref>C82</xm:sqref>
        </x14:dataValidation>
        <x14:dataValidation type="list" allowBlank="1" showInputMessage="1" showErrorMessage="1" errorTitle="There is a problem" error="You must select 'Yes' or 'No' from the drop-down list." promptTitle="Select an answer" prompt="Choose from the list provided." xr:uid="{ABCCA2BE-9EEE-438A-A9A4-29408376197D}">
          <x14:formula1>
            <xm:f>RefData!$B$118:$B$119</xm:f>
          </x14:formula1>
          <xm:sqref>C10:C11</xm:sqref>
        </x14:dataValidation>
        <x14:dataValidation type="list" operator="lessThanOrEqual" allowBlank="1" showInputMessage="1" showErrorMessage="1" errorTitle="There is a problem" error="Your answer must not exceed 4096 characters." promptTitle="Add your answer" prompt="Answer this question in 4096 characters or less" xr:uid="{1791D568-C8DC-4658-AE18-CC460258FD66}">
          <x14:formula1>
            <xm:f>RefData!$B$118:$B$119</xm:f>
          </x14:formula1>
          <xm:sqref>C10</xm:sqref>
        </x14:dataValidation>
        <x14:dataValidation type="list" allowBlank="1" showInputMessage="1" showErrorMessage="1" errorTitle="There is a problem" error="You must select your answer from the drop-down list" promptTitle="Select an answer" prompt="Choose from the list provided" xr:uid="{3EB17E81-A3CE-4D77-A44B-C3E33016DE1D}">
          <x14:formula1>
            <xm:f>RefData!$B$206:$B$400</xm:f>
          </x14:formula1>
          <xm:sqref>C77 C64 C51 C38 C24:C25</xm:sqref>
        </x14:dataValidation>
        <x14:dataValidation type="list" allowBlank="1" showInputMessage="1" showErrorMessage="1" xr:uid="{6527D09B-7287-405F-AB46-16A15555FD71}">
          <x14:formula1>
            <xm:f>RefData!$B$108:$B$109</xm:f>
          </x14:formula1>
          <xm:sqref>C96</xm:sqref>
        </x14:dataValidation>
        <x14:dataValidation type="list" allowBlank="1" showInputMessage="1" showErrorMessage="1" xr:uid="{E94EA36F-1C32-42D9-8ECC-1C8056CCF1C1}">
          <x14:formula1>
            <xm:f>RefData!$B$433:$B$435</xm:f>
          </x14:formula1>
          <xm:sqref>C115</xm:sqref>
        </x14:dataValidation>
        <x14:dataValidation type="custom" operator="lessThanOrEqual" allowBlank="1" showInputMessage="1" showErrorMessage="1" errorTitle="There is a problem" error="You must enter a valid Companies House number." promptTitle="Add your answer" prompt="Answer this question in 8 characters or less" xr:uid="{921BC86A-0463-41D9-93C7-AF54A367713D}">
          <x14:formula1>
            <xm:f>D70&lt;&gt;ErrorMsgs!C563</xm:f>
          </x14:formula1>
          <xm:sqref>C70</xm:sqref>
        </x14:dataValidation>
        <x14:dataValidation type="custom" operator="lessThanOrEqual" allowBlank="1" showInputMessage="1" showErrorMessage="1" errorTitle="There is a problem" error="You must enter a valid Companies House number." promptTitle="Add your answer" prompt="Answer this question in 8 characters or less" xr:uid="{9576B095-8392-4012-B7CC-0755D459EEE5}">
          <x14:formula1>
            <xm:f>D31&lt;&gt;ErrorMsgs!C563</xm:f>
          </x14:formula1>
          <xm:sqref>C31</xm:sqref>
        </x14:dataValidation>
        <x14:dataValidation type="custom" operator="lessThanOrEqual" allowBlank="1" showInputMessage="1" showErrorMessage="1" errorTitle="There is a problem" error="You must enter a valid Companies House number." promptTitle="Add your answer" prompt="Answer this question in 8 characters or less" xr:uid="{A7E367BD-A104-420E-9D23-48EC7FF4F32C}">
          <x14:formula1>
            <xm:f>D44&lt;&gt;ErrorMsgs!C563</xm:f>
          </x14:formula1>
          <xm:sqref>C44</xm:sqref>
        </x14:dataValidation>
        <x14:dataValidation type="custom" operator="lessThanOrEqual" allowBlank="1" showInputMessage="1" showErrorMessage="1" errorTitle="There is a problem" error="You must enter a valid Companies House number." promptTitle="Add your answer" prompt="Answer this question in 8 characters or less" xr:uid="{9BCF13DC-8BEC-4FA5-8F44-277E2AB740B3}">
          <x14:formula1>
            <xm:f>D57&lt;&gt;ErrorMsgs!C563</xm:f>
          </x14:formula1>
          <xm:sqref>C57</xm:sqref>
        </x14:dataValidation>
        <x14:dataValidation type="custom" allowBlank="1" showInputMessage="1" showErrorMessage="1" errorTitle="There is a problem" error="You must enter a valid Companies House number." xr:uid="{51A4A014-967B-445E-AA05-DA57FB4BFFA8}">
          <x14:formula1>
            <xm:f>D18&lt;&gt;ErrorMsgs!C563</xm:f>
          </x14:formula1>
          <xm:sqref>C18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3D4E0-FA4C-4F98-9F66-BF77855F9835}">
  <sheetPr codeName="Sheet21"/>
  <dimension ref="A1:P105"/>
  <sheetViews>
    <sheetView zoomScaleNormal="100" workbookViewId="0">
      <selection sqref="A1:C1"/>
    </sheetView>
  </sheetViews>
  <sheetFormatPr defaultColWidth="0" defaultRowHeight="0" customHeight="1" zeroHeight="1"/>
  <cols>
    <col min="1" max="1" width="14.69140625" style="20" customWidth="1"/>
    <col min="2" max="2" width="31.69140625" style="20" customWidth="1"/>
    <col min="3" max="3" width="28.69140625" customWidth="1"/>
    <col min="4" max="4" width="28.69140625" style="20" customWidth="1"/>
    <col min="5" max="5" width="69.07421875" style="20" customWidth="1"/>
    <col min="6" max="6" width="46.23046875" style="20" customWidth="1"/>
    <col min="7" max="7" width="53.69140625" style="19" customWidth="1"/>
    <col min="8" max="8" width="47.53515625" style="20" customWidth="1"/>
    <col min="9" max="16" width="33.69140625" style="20" hidden="1" customWidth="1"/>
    <col min="17" max="16384" width="8.69140625" style="20" hidden="1"/>
  </cols>
  <sheetData>
    <row r="1" spans="1:8" s="27" customFormat="1" ht="50.15" customHeight="1" thickBot="1">
      <c r="A1" s="813" t="s">
        <v>607</v>
      </c>
      <c r="B1" s="814"/>
      <c r="C1" s="814"/>
      <c r="D1" s="274"/>
      <c r="E1" s="274"/>
      <c r="F1" s="274"/>
      <c r="G1" s="274"/>
      <c r="H1" s="274"/>
    </row>
    <row r="2" spans="1:8" s="27" customFormat="1" ht="50.15" customHeight="1" thickBot="1">
      <c r="A2" s="750" t="s">
        <v>85</v>
      </c>
      <c r="B2" s="750"/>
      <c r="C2" s="750"/>
      <c r="D2" s="57"/>
      <c r="E2" s="57"/>
      <c r="F2" s="57"/>
      <c r="G2" s="57"/>
      <c r="H2" s="57"/>
    </row>
    <row r="3" spans="1:8" s="27" customFormat="1" ht="409.5" customHeight="1" thickTop="1" thickBot="1">
      <c r="A3" s="765" t="s">
        <v>608</v>
      </c>
      <c r="B3" s="765"/>
      <c r="C3" s="765"/>
      <c r="D3" s="3"/>
      <c r="E3" s="26"/>
      <c r="F3" s="26"/>
      <c r="G3" s="26"/>
      <c r="H3" s="3"/>
    </row>
    <row r="4" spans="1:8" s="572" customFormat="1" ht="20.149999999999999" customHeight="1" thickBot="1">
      <c r="A4" s="573"/>
      <c r="B4" s="75"/>
      <c r="C4" s="75"/>
      <c r="D4" s="573" t="s">
        <v>23</v>
      </c>
      <c r="E4" s="69"/>
      <c r="F4" s="75"/>
      <c r="G4" s="75"/>
      <c r="H4" s="75"/>
    </row>
    <row r="5" spans="1:8" s="127" customFormat="1" ht="50.15" customHeight="1" thickBot="1">
      <c r="A5" s="750" t="s">
        <v>609</v>
      </c>
      <c r="B5" s="751"/>
      <c r="C5" s="751"/>
      <c r="D5" s="131"/>
      <c r="E5" s="131"/>
      <c r="F5" s="837"/>
      <c r="G5" s="838"/>
      <c r="H5" s="131"/>
    </row>
    <row r="6" spans="1:8" s="123" customFormat="1" ht="36" customHeight="1" thickTop="1" thickBot="1">
      <c r="A6" s="133" t="s">
        <v>297</v>
      </c>
      <c r="B6" s="752" t="s">
        <v>590</v>
      </c>
      <c r="C6" s="753" t="s">
        <v>84</v>
      </c>
      <c r="D6" s="328" t="s">
        <v>610</v>
      </c>
      <c r="E6" s="133" t="s">
        <v>92</v>
      </c>
      <c r="F6" s="752" t="s">
        <v>611</v>
      </c>
      <c r="G6" s="822"/>
      <c r="H6" s="133" t="s">
        <v>93</v>
      </c>
    </row>
    <row r="7" spans="1:8" s="123" customFormat="1" ht="124.25" customHeight="1" thickTop="1" thickBot="1">
      <c r="A7" s="77" t="s">
        <v>613</v>
      </c>
      <c r="B7" s="818" t="str">
        <f>Questions!$C725</f>
        <v xml:space="preserve">No answer required
How many entities have been considered when determining the employer cash flow?
</v>
      </c>
      <c r="C7" s="828"/>
      <c r="D7" s="485"/>
      <c r="E7" s="376" t="str">
        <f ca="1">'Reconciliation report'!D488</f>
        <v/>
      </c>
      <c r="F7" s="829" t="str">
        <f>Guidance!$B$286</f>
        <v xml:space="preserve">
Entities considered when determining employer cash flows could include statutory employers, non-statutory employers or guarantors. We will ask for details for up to 5 entities. If the scheme has more than that, select ‘5’ and provide details for those 5 which you consider most relevant for determining employer cash flows.
</v>
      </c>
      <c r="G7" s="830"/>
      <c r="H7" s="465"/>
    </row>
    <row r="8" spans="1:8" s="123" customFormat="1" ht="20.149999999999999" customHeight="1" thickBot="1">
      <c r="A8" s="75"/>
      <c r="B8" s="75"/>
      <c r="C8" s="75"/>
      <c r="D8" s="69" t="s">
        <v>23</v>
      </c>
      <c r="E8" s="69"/>
      <c r="F8" s="75"/>
      <c r="G8" s="75"/>
      <c r="H8" s="75"/>
    </row>
    <row r="9" spans="1:8" s="127" customFormat="1" ht="50.15" customHeight="1" thickBot="1">
      <c r="A9" s="750" t="s">
        <v>614</v>
      </c>
      <c r="B9" s="751"/>
      <c r="C9" s="751"/>
      <c r="D9" s="131"/>
      <c r="E9" s="131"/>
      <c r="F9" s="837"/>
      <c r="G9" s="838"/>
      <c r="H9" s="131"/>
    </row>
    <row r="10" spans="1:8" s="123" customFormat="1" ht="36" customHeight="1" thickTop="1" thickBot="1">
      <c r="A10" s="133" t="s">
        <v>297</v>
      </c>
      <c r="B10" s="752" t="s">
        <v>590</v>
      </c>
      <c r="C10" s="753" t="s">
        <v>84</v>
      </c>
      <c r="D10" s="133" t="s">
        <v>610</v>
      </c>
      <c r="E10" s="133" t="s">
        <v>92</v>
      </c>
      <c r="F10" s="752" t="s">
        <v>611</v>
      </c>
      <c r="G10" s="822"/>
      <c r="H10" s="133" t="s">
        <v>93</v>
      </c>
    </row>
    <row r="11" spans="1:8" ht="94.25" customHeight="1" thickTop="1">
      <c r="A11" s="280" t="s">
        <v>616</v>
      </c>
      <c r="B11" s="839" t="str">
        <f>Questions!$C726</f>
        <v xml:space="preserve">
No answer required
Legal name
</v>
      </c>
      <c r="C11" s="840"/>
      <c r="D11" s="502"/>
      <c r="E11" s="373" t="str">
        <f ca="1">'Reconciliation report'!$D$489</f>
        <v/>
      </c>
      <c r="F11" s="820" t="str">
        <f>Guidance!$B$261</f>
        <v xml:space="preserve">
Provide the official name of the entity as it appears on legal documents.
</v>
      </c>
      <c r="G11" s="841"/>
      <c r="H11" s="278"/>
    </row>
    <row r="12" spans="1:8" ht="124.25" customHeight="1">
      <c r="A12" s="238" t="s">
        <v>618</v>
      </c>
      <c r="B12" s="825" t="str">
        <f>Questions!$C727</f>
        <v xml:space="preserve">
No answer required
Companies House number (if applicable)
</v>
      </c>
      <c r="C12" s="826"/>
      <c r="D12" s="662"/>
      <c r="E12" s="361" t="str">
        <f ca="1">'Reconciliation report'!$D$490</f>
        <v/>
      </c>
      <c r="F12" s="769" t="str">
        <f>Guidance!$B$262</f>
        <v xml:space="preserve">
If the entity is a UK registered company, enter its unique registration number from Companies House.
</v>
      </c>
      <c r="G12" s="770"/>
      <c r="H12" s="275"/>
    </row>
    <row r="13" spans="1:8" ht="94.25" customHeight="1">
      <c r="A13" s="238" t="s">
        <v>620</v>
      </c>
      <c r="B13" s="825" t="str">
        <f>Questions!$C728</f>
        <v xml:space="preserve">
No answer required
Charity number (if applicable)
</v>
      </c>
      <c r="C13" s="826"/>
      <c r="D13" s="480"/>
      <c r="E13" s="361" t="str">
        <f ca="1">'Reconciliation report'!$D$491</f>
        <v/>
      </c>
      <c r="F13" s="769" t="str">
        <f>Guidance!$B$263</f>
        <v xml:space="preserve">
If the entity is a UK registered charity, provide its unique registration number from the relevant charity commission.
</v>
      </c>
      <c r="G13" s="770"/>
      <c r="H13" s="275"/>
    </row>
    <row r="14" spans="1:8" ht="141" customHeight="1">
      <c r="A14" s="238" t="s">
        <v>622</v>
      </c>
      <c r="B14" s="825" t="str">
        <f>Questions!$C729</f>
        <v xml:space="preserve">
No answer required
Trading name
</v>
      </c>
      <c r="C14" s="826"/>
      <c r="D14" s="480"/>
      <c r="E14" s="361" t="str">
        <f ca="1">'Reconciliation report'!$D$492</f>
        <v/>
      </c>
      <c r="F14" s="769" t="str">
        <f>Guidance!$B$264</f>
        <v xml:space="preserve">
This is the name the entity uses in its day-to-day business, which might differ from its legal name.
</v>
      </c>
      <c r="G14" s="770"/>
      <c r="H14" s="275"/>
    </row>
    <row r="15" spans="1:8" ht="141" customHeight="1">
      <c r="A15" s="238" t="s">
        <v>624</v>
      </c>
      <c r="B15" s="825" t="str">
        <f>Questions!$C730</f>
        <v xml:space="preserve">
No answer required
Address line 1
</v>
      </c>
      <c r="C15" s="826"/>
      <c r="D15" s="480"/>
      <c r="E15" s="361" t="str">
        <f ca="1">'Reconciliation report'!$D$493</f>
        <v/>
      </c>
      <c r="F15" s="769" t="str">
        <f>Guidance!B287</f>
        <v>Guidance is not required for this question.</v>
      </c>
      <c r="G15" s="770"/>
      <c r="H15" s="275"/>
    </row>
    <row r="16" spans="1:8" ht="94.25" customHeight="1">
      <c r="A16" s="238" t="s">
        <v>626</v>
      </c>
      <c r="B16" s="825" t="str">
        <f>Questions!$C731</f>
        <v xml:space="preserve">
No answer required
Address line 2 (optional)
</v>
      </c>
      <c r="C16" s="826"/>
      <c r="D16" s="480"/>
      <c r="E16" s="361" t="str">
        <f ca="1">'Reconciliation report'!$D$494</f>
        <v/>
      </c>
      <c r="F16" s="769" t="str">
        <f>Guidance!B287</f>
        <v>Guidance is not required for this question.</v>
      </c>
      <c r="G16" s="770"/>
      <c r="H16" s="275"/>
    </row>
    <row r="17" spans="1:8" ht="94.25" customHeight="1">
      <c r="A17" s="238" t="s">
        <v>628</v>
      </c>
      <c r="B17" s="825" t="str">
        <f>Questions!$C732</f>
        <v xml:space="preserve">
No answer required
Address line 3 (optional)
</v>
      </c>
      <c r="C17" s="826"/>
      <c r="D17" s="480"/>
      <c r="E17" s="361" t="str">
        <f ca="1">'Reconciliation report'!$D$495</f>
        <v/>
      </c>
      <c r="F17" s="769" t="str">
        <f>Guidance!B287</f>
        <v>Guidance is not required for this question.</v>
      </c>
      <c r="G17" s="770"/>
      <c r="H17" s="275"/>
    </row>
    <row r="18" spans="1:8" ht="141" customHeight="1" thickBot="1">
      <c r="A18" s="238" t="s">
        <v>630</v>
      </c>
      <c r="B18" s="825" t="str">
        <f>Questions!$C733</f>
        <v xml:space="preserve">
No answer required
Post town or city
</v>
      </c>
      <c r="C18" s="826"/>
      <c r="D18" s="504"/>
      <c r="E18" s="361" t="str">
        <f ca="1">'Reconciliation report'!$D$496</f>
        <v/>
      </c>
      <c r="F18" s="769" t="str">
        <f>Guidance!B287</f>
        <v>Guidance is not required for this question.</v>
      </c>
      <c r="G18" s="770"/>
      <c r="H18" s="150"/>
    </row>
    <row r="19" spans="1:8" ht="141" customHeight="1" thickBot="1">
      <c r="A19" s="238" t="s">
        <v>632</v>
      </c>
      <c r="B19" s="825" t="str">
        <f>Questions!$C734</f>
        <v xml:space="preserve">
No answer required
Country
</v>
      </c>
      <c r="C19" s="827"/>
      <c r="D19" s="487"/>
      <c r="E19" s="372" t="str">
        <f ca="1">'Reconciliation report'!$D$497</f>
        <v/>
      </c>
      <c r="F19" s="769" t="str">
        <f>Guidance!B287</f>
        <v>Guidance is not required for this question.</v>
      </c>
      <c r="G19" s="770"/>
      <c r="H19" s="150"/>
    </row>
    <row r="20" spans="1:8" ht="141" customHeight="1" thickBot="1">
      <c r="A20" s="244" t="s">
        <v>634</v>
      </c>
      <c r="B20" s="842" t="str">
        <f>Questions!$C735</f>
        <v xml:space="preserve">
No answer required
Postcode
</v>
      </c>
      <c r="C20" s="843"/>
      <c r="D20" s="509"/>
      <c r="E20" s="362" t="str">
        <f ca="1">'Reconciliation report'!$D$498</f>
        <v/>
      </c>
      <c r="F20" s="769" t="str">
        <f>Guidance!B287</f>
        <v>Guidance is not required for this question.</v>
      </c>
      <c r="G20" s="770"/>
      <c r="H20" s="276"/>
    </row>
    <row r="21" spans="1:8" s="123" customFormat="1" ht="20.149999999999999" customHeight="1" thickBot="1">
      <c r="A21" s="75"/>
      <c r="B21" s="75"/>
      <c r="C21" s="75"/>
      <c r="D21" s="75" t="s">
        <v>23</v>
      </c>
      <c r="E21" s="69"/>
      <c r="F21" s="75"/>
      <c r="G21" s="75"/>
      <c r="H21" s="75"/>
    </row>
    <row r="22" spans="1:8" s="127" customFormat="1" ht="50.15" customHeight="1" thickBot="1">
      <c r="A22" s="750" t="s">
        <v>635</v>
      </c>
      <c r="B22" s="751"/>
      <c r="C22" s="751"/>
      <c r="D22" s="131"/>
      <c r="E22" s="131"/>
      <c r="F22" s="837"/>
      <c r="G22" s="838"/>
      <c r="H22" s="131"/>
    </row>
    <row r="23" spans="1:8" s="123" customFormat="1" ht="36" customHeight="1" thickTop="1" thickBot="1">
      <c r="A23" s="133" t="s">
        <v>297</v>
      </c>
      <c r="B23" s="752" t="s">
        <v>590</v>
      </c>
      <c r="C23" s="753" t="s">
        <v>84</v>
      </c>
      <c r="D23" s="133" t="s">
        <v>610</v>
      </c>
      <c r="E23" s="133" t="s">
        <v>92</v>
      </c>
      <c r="F23" s="752" t="s">
        <v>611</v>
      </c>
      <c r="G23" s="822"/>
      <c r="H23" s="133" t="s">
        <v>93</v>
      </c>
    </row>
    <row r="24" spans="1:8" ht="94.25" customHeight="1" thickTop="1">
      <c r="A24" s="280" t="s">
        <v>637</v>
      </c>
      <c r="B24" s="839" t="str">
        <f>Questions!$C736</f>
        <v xml:space="preserve">
No answer required
Legal name
</v>
      </c>
      <c r="C24" s="840"/>
      <c r="D24" s="502"/>
      <c r="E24" s="361" t="str">
        <f ca="1">'Reconciliation report'!$D$499</f>
        <v/>
      </c>
      <c r="F24" s="820" t="str">
        <f>Guidance!$B$261</f>
        <v xml:space="preserve">
Provide the official name of the entity as it appears on legal documents.
</v>
      </c>
      <c r="G24" s="841"/>
      <c r="H24" s="278"/>
    </row>
    <row r="25" spans="1:8" ht="124.25" customHeight="1">
      <c r="A25" s="238" t="s">
        <v>639</v>
      </c>
      <c r="B25" s="825" t="str">
        <f>Questions!$C737</f>
        <v xml:space="preserve">
No answer required
Companies House number (if applicable)
</v>
      </c>
      <c r="C25" s="826"/>
      <c r="D25" s="480"/>
      <c r="E25" s="361" t="str">
        <f ca="1">'Reconciliation report'!$D$500</f>
        <v/>
      </c>
      <c r="F25" s="769" t="str">
        <f>Guidance!$B$262</f>
        <v xml:space="preserve">
If the entity is a UK registered company, enter its unique registration number from Companies House.
</v>
      </c>
      <c r="G25" s="770"/>
      <c r="H25" s="275"/>
    </row>
    <row r="26" spans="1:8" ht="94.25" customHeight="1">
      <c r="A26" s="238" t="s">
        <v>641</v>
      </c>
      <c r="B26" s="825" t="str">
        <f>Questions!$C738</f>
        <v xml:space="preserve">
No answer required
Charity number (if applicable)
</v>
      </c>
      <c r="C26" s="826"/>
      <c r="D26" s="480"/>
      <c r="E26" s="361" t="str">
        <f ca="1">'Reconciliation report'!$D$501</f>
        <v/>
      </c>
      <c r="F26" s="769" t="str">
        <f>Guidance!$B$263</f>
        <v xml:space="preserve">
If the entity is a UK registered charity, provide its unique registration number from the relevant charity commission.
</v>
      </c>
      <c r="G26" s="770"/>
      <c r="H26" s="275"/>
    </row>
    <row r="27" spans="1:8" ht="141" customHeight="1">
      <c r="A27" s="238" t="s">
        <v>643</v>
      </c>
      <c r="B27" s="825" t="str">
        <f>Questions!$C739</f>
        <v xml:space="preserve">
No answer required
Trading name
</v>
      </c>
      <c r="C27" s="826"/>
      <c r="D27" s="480"/>
      <c r="E27" s="361" t="str">
        <f ca="1">'Reconciliation report'!$D$502</f>
        <v/>
      </c>
      <c r="F27" s="769" t="str">
        <f>Guidance!$B$264</f>
        <v xml:space="preserve">
This is the name the entity uses in its day-to-day business, which might differ from its legal name.
</v>
      </c>
      <c r="G27" s="770"/>
      <c r="H27" s="275"/>
    </row>
    <row r="28" spans="1:8" ht="141" customHeight="1">
      <c r="A28" s="238" t="s">
        <v>645</v>
      </c>
      <c r="B28" s="825" t="str">
        <f>Questions!$C740</f>
        <v xml:space="preserve">
No answer required
Address line 1
</v>
      </c>
      <c r="C28" s="826"/>
      <c r="D28" s="480"/>
      <c r="E28" s="361" t="str">
        <f ca="1">'Reconciliation report'!$D$503</f>
        <v/>
      </c>
      <c r="F28" s="769" t="str">
        <f>Guidance!B287</f>
        <v>Guidance is not required for this question.</v>
      </c>
      <c r="G28" s="770"/>
      <c r="H28" s="275"/>
    </row>
    <row r="29" spans="1:8" ht="94.25" customHeight="1">
      <c r="A29" s="238" t="s">
        <v>647</v>
      </c>
      <c r="B29" s="825" t="str">
        <f>Questions!$C741</f>
        <v xml:space="preserve">
No answer required
Address line 2 (optional)
</v>
      </c>
      <c r="C29" s="826"/>
      <c r="D29" s="480"/>
      <c r="E29" s="361" t="str">
        <f ca="1">'Reconciliation report'!$D$504</f>
        <v/>
      </c>
      <c r="F29" s="769" t="str">
        <f>Guidance!B287</f>
        <v>Guidance is not required for this question.</v>
      </c>
      <c r="G29" s="770"/>
      <c r="H29" s="275"/>
    </row>
    <row r="30" spans="1:8" ht="94.25" customHeight="1">
      <c r="A30" s="238" t="s">
        <v>649</v>
      </c>
      <c r="B30" s="825" t="str">
        <f>Questions!$C742</f>
        <v xml:space="preserve">
No answer required
Address line 3 (optional)
</v>
      </c>
      <c r="C30" s="826"/>
      <c r="D30" s="480"/>
      <c r="E30" s="361" t="str">
        <f ca="1">'Reconciliation report'!$D$505</f>
        <v/>
      </c>
      <c r="F30" s="769" t="str">
        <f>Guidance!B287</f>
        <v>Guidance is not required for this question.</v>
      </c>
      <c r="G30" s="770"/>
      <c r="H30" s="275"/>
    </row>
    <row r="31" spans="1:8" ht="141" customHeight="1" thickBot="1">
      <c r="A31" s="238" t="s">
        <v>651</v>
      </c>
      <c r="B31" s="825" t="str">
        <f>Questions!$C743</f>
        <v xml:space="preserve">
No answer required
Post town or city
</v>
      </c>
      <c r="C31" s="826"/>
      <c r="D31" s="504"/>
      <c r="E31" s="361" t="str">
        <f ca="1">'Reconciliation report'!$D$506</f>
        <v/>
      </c>
      <c r="F31" s="769" t="str">
        <f>Guidance!B287</f>
        <v>Guidance is not required for this question.</v>
      </c>
      <c r="G31" s="770"/>
      <c r="H31" s="150"/>
    </row>
    <row r="32" spans="1:8" ht="141" customHeight="1" thickBot="1">
      <c r="A32" s="238" t="s">
        <v>653</v>
      </c>
      <c r="B32" s="825" t="str">
        <f>Questions!$C744</f>
        <v xml:space="preserve">
No answer required
Country
</v>
      </c>
      <c r="C32" s="827"/>
      <c r="D32" s="487"/>
      <c r="E32" s="372" t="str">
        <f ca="1">'Reconciliation report'!$D$507</f>
        <v/>
      </c>
      <c r="F32" s="769" t="str">
        <f>Guidance!B287</f>
        <v>Guidance is not required for this question.</v>
      </c>
      <c r="G32" s="770"/>
      <c r="H32" s="150"/>
    </row>
    <row r="33" spans="1:8" ht="141" customHeight="1" thickBot="1">
      <c r="A33" s="244" t="s">
        <v>655</v>
      </c>
      <c r="B33" s="842" t="str">
        <f>Questions!$C745</f>
        <v xml:space="preserve">
No answer required
Postcode
</v>
      </c>
      <c r="C33" s="843"/>
      <c r="D33" s="509"/>
      <c r="E33" s="362" t="str">
        <f ca="1">'Reconciliation report'!$D$508</f>
        <v/>
      </c>
      <c r="F33" s="769" t="str">
        <f>Guidance!B287</f>
        <v>Guidance is not required for this question.</v>
      </c>
      <c r="G33" s="770"/>
      <c r="H33" s="276"/>
    </row>
    <row r="34" spans="1:8" s="123" customFormat="1" ht="20.149999999999999" customHeight="1" thickBot="1">
      <c r="A34" s="75"/>
      <c r="B34" s="75"/>
      <c r="C34" s="75"/>
      <c r="D34" s="75" t="s">
        <v>23</v>
      </c>
      <c r="E34" s="69"/>
      <c r="F34" s="75"/>
      <c r="G34" s="75"/>
      <c r="H34" s="75"/>
    </row>
    <row r="35" spans="1:8" s="127" customFormat="1" ht="50.15" customHeight="1" thickBot="1">
      <c r="A35" s="750" t="s">
        <v>656</v>
      </c>
      <c r="B35" s="751"/>
      <c r="C35" s="751"/>
      <c r="D35" s="131"/>
      <c r="E35" s="131"/>
      <c r="F35" s="837"/>
      <c r="G35" s="838"/>
      <c r="H35" s="131"/>
    </row>
    <row r="36" spans="1:8" s="123" customFormat="1" ht="36" customHeight="1" thickTop="1" thickBot="1">
      <c r="A36" s="133" t="s">
        <v>297</v>
      </c>
      <c r="B36" s="752" t="s">
        <v>590</v>
      </c>
      <c r="C36" s="753" t="s">
        <v>84</v>
      </c>
      <c r="D36" s="133" t="s">
        <v>610</v>
      </c>
      <c r="E36" s="133" t="s">
        <v>92</v>
      </c>
      <c r="F36" s="752" t="s">
        <v>611</v>
      </c>
      <c r="G36" s="822"/>
      <c r="H36" s="133" t="s">
        <v>93</v>
      </c>
    </row>
    <row r="37" spans="1:8" ht="94.25" customHeight="1" thickTop="1">
      <c r="A37" s="280" t="s">
        <v>658</v>
      </c>
      <c r="B37" s="839" t="str">
        <f>Questions!$C746</f>
        <v xml:space="preserve">
No answer required
Legal name
</v>
      </c>
      <c r="C37" s="840"/>
      <c r="D37" s="502"/>
      <c r="E37" s="361" t="str">
        <f ca="1">'Reconciliation report'!$D$509</f>
        <v/>
      </c>
      <c r="F37" s="820" t="str">
        <f>Guidance!$B$261</f>
        <v xml:space="preserve">
Provide the official name of the entity as it appears on legal documents.
</v>
      </c>
      <c r="G37" s="841"/>
      <c r="H37" s="278"/>
    </row>
    <row r="38" spans="1:8" ht="124.25" customHeight="1">
      <c r="A38" s="238" t="s">
        <v>660</v>
      </c>
      <c r="B38" s="825" t="str">
        <f>Questions!$C747</f>
        <v xml:space="preserve">
No answer required
Companies House number (if applicable)
</v>
      </c>
      <c r="C38" s="826"/>
      <c r="D38" s="480"/>
      <c r="E38" s="361" t="str">
        <f ca="1">'Reconciliation report'!$D$510</f>
        <v/>
      </c>
      <c r="F38" s="769" t="str">
        <f>Guidance!$B$262</f>
        <v xml:space="preserve">
If the entity is a UK registered company, enter its unique registration number from Companies House.
</v>
      </c>
      <c r="G38" s="770"/>
      <c r="H38" s="275"/>
    </row>
    <row r="39" spans="1:8" ht="94.25" customHeight="1">
      <c r="A39" s="238" t="s">
        <v>662</v>
      </c>
      <c r="B39" s="825" t="str">
        <f>Questions!$C748</f>
        <v xml:space="preserve">
No answer required
Charity number (if applicable)
</v>
      </c>
      <c r="C39" s="826"/>
      <c r="D39" s="480"/>
      <c r="E39" s="361" t="str">
        <f ca="1">'Reconciliation report'!$D$511</f>
        <v/>
      </c>
      <c r="F39" s="769" t="str">
        <f>Guidance!$B$263</f>
        <v xml:space="preserve">
If the entity is a UK registered charity, provide its unique registration number from the relevant charity commission.
</v>
      </c>
      <c r="G39" s="770"/>
      <c r="H39" s="275"/>
    </row>
    <row r="40" spans="1:8" ht="141" customHeight="1">
      <c r="A40" s="238" t="s">
        <v>664</v>
      </c>
      <c r="B40" s="825" t="str">
        <f>Questions!$C749</f>
        <v xml:space="preserve">
No answer required
Trading name
</v>
      </c>
      <c r="C40" s="826"/>
      <c r="D40" s="480"/>
      <c r="E40" s="361" t="str">
        <f ca="1">'Reconciliation report'!$D$512</f>
        <v/>
      </c>
      <c r="F40" s="769" t="str">
        <f>Guidance!$B$264</f>
        <v xml:space="preserve">
This is the name the entity uses in its day-to-day business, which might differ from its legal name.
</v>
      </c>
      <c r="G40" s="770"/>
      <c r="H40" s="275"/>
    </row>
    <row r="41" spans="1:8" ht="141" customHeight="1">
      <c r="A41" s="238" t="s">
        <v>666</v>
      </c>
      <c r="B41" s="825" t="str">
        <f>Questions!$C750</f>
        <v xml:space="preserve">
No answer required
Address line 1
</v>
      </c>
      <c r="C41" s="826"/>
      <c r="D41" s="480"/>
      <c r="E41" s="361" t="str">
        <f ca="1">'Reconciliation report'!$D$513</f>
        <v/>
      </c>
      <c r="F41" s="769" t="str">
        <f>Guidance!B287</f>
        <v>Guidance is not required for this question.</v>
      </c>
      <c r="G41" s="770"/>
      <c r="H41" s="275"/>
    </row>
    <row r="42" spans="1:8" ht="94.25" customHeight="1">
      <c r="A42" s="238" t="s">
        <v>668</v>
      </c>
      <c r="B42" s="825" t="str">
        <f>Questions!$C751</f>
        <v xml:space="preserve">
No answer required
Address line 2 (optional)
</v>
      </c>
      <c r="C42" s="826"/>
      <c r="D42" s="480"/>
      <c r="E42" s="361" t="str">
        <f ca="1">'Reconciliation report'!$D$514</f>
        <v/>
      </c>
      <c r="F42" s="769" t="str">
        <f>Guidance!B287</f>
        <v>Guidance is not required for this question.</v>
      </c>
      <c r="G42" s="770"/>
      <c r="H42" s="275"/>
    </row>
    <row r="43" spans="1:8" ht="94.25" customHeight="1">
      <c r="A43" s="238" t="s">
        <v>670</v>
      </c>
      <c r="B43" s="825" t="str">
        <f>Questions!$C752</f>
        <v xml:space="preserve">
No answer required
Address line 3 (optional)
</v>
      </c>
      <c r="C43" s="826"/>
      <c r="D43" s="480"/>
      <c r="E43" s="361" t="str">
        <f ca="1">'Reconciliation report'!$D$515</f>
        <v/>
      </c>
      <c r="F43" s="769" t="str">
        <f>Guidance!B287</f>
        <v>Guidance is not required for this question.</v>
      </c>
      <c r="G43" s="770"/>
      <c r="H43" s="275"/>
    </row>
    <row r="44" spans="1:8" ht="141" customHeight="1" thickBot="1">
      <c r="A44" s="238" t="s">
        <v>672</v>
      </c>
      <c r="B44" s="825" t="str">
        <f>Questions!$C753</f>
        <v xml:space="preserve">
No answer required
Post town or city
</v>
      </c>
      <c r="C44" s="826"/>
      <c r="D44" s="504"/>
      <c r="E44" s="361" t="str">
        <f ca="1">'Reconciliation report'!$D$516</f>
        <v/>
      </c>
      <c r="F44" s="769" t="str">
        <f>Guidance!B287</f>
        <v>Guidance is not required for this question.</v>
      </c>
      <c r="G44" s="770"/>
      <c r="H44" s="150"/>
    </row>
    <row r="45" spans="1:8" ht="141" customHeight="1" thickBot="1">
      <c r="A45" s="238" t="s">
        <v>674</v>
      </c>
      <c r="B45" s="825" t="str">
        <f>Questions!$C754</f>
        <v xml:space="preserve">
No answer required
Country
</v>
      </c>
      <c r="C45" s="827"/>
      <c r="D45" s="487"/>
      <c r="E45" s="372" t="str">
        <f ca="1">'Reconciliation report'!$D$517</f>
        <v/>
      </c>
      <c r="F45" s="769" t="str">
        <f>Guidance!B287</f>
        <v>Guidance is not required for this question.</v>
      </c>
      <c r="G45" s="770"/>
      <c r="H45" s="150"/>
    </row>
    <row r="46" spans="1:8" ht="141" customHeight="1" thickBot="1">
      <c r="A46" s="244" t="s">
        <v>676</v>
      </c>
      <c r="B46" s="842" t="str">
        <f>Questions!$C755</f>
        <v xml:space="preserve">
No answer required
Postcode
</v>
      </c>
      <c r="C46" s="843"/>
      <c r="D46" s="509"/>
      <c r="E46" s="362" t="str">
        <f ca="1">'Reconciliation report'!$D$518</f>
        <v/>
      </c>
      <c r="F46" s="769" t="str">
        <f>Guidance!B287</f>
        <v>Guidance is not required for this question.</v>
      </c>
      <c r="G46" s="770"/>
      <c r="H46" s="276"/>
    </row>
    <row r="47" spans="1:8" s="123" customFormat="1" ht="20.149999999999999" customHeight="1" thickBot="1">
      <c r="A47" s="75"/>
      <c r="B47" s="75"/>
      <c r="C47" s="75"/>
      <c r="D47" s="75" t="s">
        <v>23</v>
      </c>
      <c r="E47" s="69"/>
      <c r="F47" s="75"/>
      <c r="G47" s="75"/>
      <c r="H47" s="75"/>
    </row>
    <row r="48" spans="1:8" s="127" customFormat="1" ht="50.15" customHeight="1" thickBot="1">
      <c r="A48" s="750" t="s">
        <v>677</v>
      </c>
      <c r="B48" s="751"/>
      <c r="C48" s="751"/>
      <c r="D48" s="131"/>
      <c r="E48" s="131"/>
      <c r="F48" s="837"/>
      <c r="G48" s="838"/>
      <c r="H48" s="131"/>
    </row>
    <row r="49" spans="1:8" s="123" customFormat="1" ht="36" customHeight="1" thickTop="1" thickBot="1">
      <c r="A49" s="133" t="s">
        <v>297</v>
      </c>
      <c r="B49" s="752" t="s">
        <v>590</v>
      </c>
      <c r="C49" s="753" t="s">
        <v>84</v>
      </c>
      <c r="D49" s="133" t="s">
        <v>610</v>
      </c>
      <c r="E49" s="133" t="s">
        <v>92</v>
      </c>
      <c r="F49" s="752" t="s">
        <v>611</v>
      </c>
      <c r="G49" s="822"/>
      <c r="H49" s="133" t="s">
        <v>93</v>
      </c>
    </row>
    <row r="50" spans="1:8" ht="94.25" customHeight="1" thickTop="1">
      <c r="A50" s="280" t="s">
        <v>679</v>
      </c>
      <c r="B50" s="839" t="str">
        <f>Questions!$C756</f>
        <v xml:space="preserve">
No answer required
Legal name
</v>
      </c>
      <c r="C50" s="840"/>
      <c r="D50" s="502"/>
      <c r="E50" s="361" t="str">
        <f ca="1">'Reconciliation report'!$D519</f>
        <v/>
      </c>
      <c r="F50" s="820" t="str">
        <f>Guidance!$B$261</f>
        <v xml:space="preserve">
Provide the official name of the entity as it appears on legal documents.
</v>
      </c>
      <c r="G50" s="841"/>
      <c r="H50" s="278"/>
    </row>
    <row r="51" spans="1:8" ht="124.25" customHeight="1">
      <c r="A51" s="238" t="s">
        <v>681</v>
      </c>
      <c r="B51" s="825" t="str">
        <f>Questions!$C757</f>
        <v xml:space="preserve">
No answer required
Companies House number (if applicable)
</v>
      </c>
      <c r="C51" s="826"/>
      <c r="D51" s="480"/>
      <c r="E51" s="361" t="str">
        <f ca="1">'Reconciliation report'!$D520</f>
        <v/>
      </c>
      <c r="F51" s="769" t="str">
        <f>Guidance!$B$262</f>
        <v xml:space="preserve">
If the entity is a UK registered company, enter its unique registration number from Companies House.
</v>
      </c>
      <c r="G51" s="770"/>
      <c r="H51" s="275"/>
    </row>
    <row r="52" spans="1:8" ht="94.25" customHeight="1">
      <c r="A52" s="238" t="s">
        <v>683</v>
      </c>
      <c r="B52" s="825" t="str">
        <f>Questions!$C758</f>
        <v xml:space="preserve">
No answer required
Charity number (if applicable)
</v>
      </c>
      <c r="C52" s="826"/>
      <c r="D52" s="480"/>
      <c r="E52" s="361" t="str">
        <f ca="1">'Reconciliation report'!$D521</f>
        <v/>
      </c>
      <c r="F52" s="769" t="str">
        <f>Guidance!$B$263</f>
        <v xml:space="preserve">
If the entity is a UK registered charity, provide its unique registration number from the relevant charity commission.
</v>
      </c>
      <c r="G52" s="770"/>
      <c r="H52" s="275"/>
    </row>
    <row r="53" spans="1:8" ht="141" customHeight="1">
      <c r="A53" s="238" t="s">
        <v>685</v>
      </c>
      <c r="B53" s="825" t="str">
        <f>Questions!$C759</f>
        <v xml:space="preserve">
No answer required
Trading name
</v>
      </c>
      <c r="C53" s="826"/>
      <c r="D53" s="480"/>
      <c r="E53" s="361" t="str">
        <f ca="1">'Reconciliation report'!$D522</f>
        <v/>
      </c>
      <c r="F53" s="769" t="str">
        <f>Guidance!$B$264</f>
        <v xml:space="preserve">
This is the name the entity uses in its day-to-day business, which might differ from its legal name.
</v>
      </c>
      <c r="G53" s="770"/>
      <c r="H53" s="275"/>
    </row>
    <row r="54" spans="1:8" ht="141" customHeight="1">
      <c r="A54" s="238" t="s">
        <v>687</v>
      </c>
      <c r="B54" s="825" t="str">
        <f>Questions!$C760</f>
        <v xml:space="preserve">
No answer required
Address line 1
</v>
      </c>
      <c r="C54" s="826"/>
      <c r="D54" s="480"/>
      <c r="E54" s="361" t="str">
        <f ca="1">'Reconciliation report'!$D523</f>
        <v/>
      </c>
      <c r="F54" s="769" t="str">
        <f>Guidance!B287</f>
        <v>Guidance is not required for this question.</v>
      </c>
      <c r="G54" s="770"/>
      <c r="H54" s="275"/>
    </row>
    <row r="55" spans="1:8" ht="94.25" customHeight="1">
      <c r="A55" s="238" t="s">
        <v>689</v>
      </c>
      <c r="B55" s="825" t="str">
        <f>Questions!$C761</f>
        <v xml:space="preserve">
No answer required
Address line 2 (optional)
</v>
      </c>
      <c r="C55" s="826"/>
      <c r="D55" s="480"/>
      <c r="E55" s="361" t="str">
        <f ca="1">'Reconciliation report'!$D524</f>
        <v/>
      </c>
      <c r="F55" s="769" t="str">
        <f>Guidance!B287</f>
        <v>Guidance is not required for this question.</v>
      </c>
      <c r="G55" s="770"/>
      <c r="H55" s="275"/>
    </row>
    <row r="56" spans="1:8" ht="94.25" customHeight="1">
      <c r="A56" s="238" t="s">
        <v>691</v>
      </c>
      <c r="B56" s="825" t="str">
        <f>Questions!$C762</f>
        <v xml:space="preserve">
No answer required
Address line 3 (optional)
</v>
      </c>
      <c r="C56" s="826"/>
      <c r="D56" s="480"/>
      <c r="E56" s="361" t="str">
        <f ca="1">'Reconciliation report'!$D525</f>
        <v/>
      </c>
      <c r="F56" s="769" t="str">
        <f>Guidance!B287</f>
        <v>Guidance is not required for this question.</v>
      </c>
      <c r="G56" s="770"/>
      <c r="H56" s="275"/>
    </row>
    <row r="57" spans="1:8" ht="141" customHeight="1" thickBot="1">
      <c r="A57" s="238" t="s">
        <v>693</v>
      </c>
      <c r="B57" s="825" t="str">
        <f>Questions!$C763</f>
        <v xml:space="preserve">
No answer required
Post town or city
</v>
      </c>
      <c r="C57" s="826"/>
      <c r="D57" s="504"/>
      <c r="E57" s="361" t="str">
        <f ca="1">'Reconciliation report'!$D526</f>
        <v/>
      </c>
      <c r="F57" s="769" t="str">
        <f>Guidance!B287</f>
        <v>Guidance is not required for this question.</v>
      </c>
      <c r="G57" s="770"/>
      <c r="H57" s="150"/>
    </row>
    <row r="58" spans="1:8" ht="141" customHeight="1" thickBot="1">
      <c r="A58" s="238" t="s">
        <v>695</v>
      </c>
      <c r="B58" s="825" t="str">
        <f>Questions!$C764</f>
        <v xml:space="preserve">
No answer required
Country
</v>
      </c>
      <c r="C58" s="827"/>
      <c r="D58" s="487"/>
      <c r="E58" s="372" t="str">
        <f ca="1">'Reconciliation report'!$D527</f>
        <v/>
      </c>
      <c r="F58" s="769" t="str">
        <f>Guidance!B287</f>
        <v>Guidance is not required for this question.</v>
      </c>
      <c r="G58" s="770"/>
      <c r="H58" s="150"/>
    </row>
    <row r="59" spans="1:8" ht="141" customHeight="1" thickBot="1">
      <c r="A59" s="244" t="s">
        <v>697</v>
      </c>
      <c r="B59" s="842" t="str">
        <f>Questions!$C765</f>
        <v xml:space="preserve">
No answer required
Postcode
</v>
      </c>
      <c r="C59" s="843"/>
      <c r="D59" s="509"/>
      <c r="E59" s="362" t="str">
        <f ca="1">'Reconciliation report'!$D528</f>
        <v/>
      </c>
      <c r="F59" s="769" t="str">
        <f>Guidance!B287</f>
        <v>Guidance is not required for this question.</v>
      </c>
      <c r="G59" s="770"/>
      <c r="H59" s="276"/>
    </row>
    <row r="60" spans="1:8" s="123" customFormat="1" ht="20.149999999999999" customHeight="1" thickBot="1">
      <c r="A60" s="75"/>
      <c r="B60" s="75"/>
      <c r="C60" s="75"/>
      <c r="D60" s="75" t="s">
        <v>23</v>
      </c>
      <c r="E60" s="69"/>
      <c r="F60" s="75"/>
      <c r="G60" s="75"/>
      <c r="H60" s="75"/>
    </row>
    <row r="61" spans="1:8" s="127" customFormat="1" ht="50.15" customHeight="1" thickBot="1">
      <c r="A61" s="750" t="s">
        <v>698</v>
      </c>
      <c r="B61" s="751"/>
      <c r="C61" s="751"/>
      <c r="D61" s="131"/>
      <c r="E61" s="131"/>
      <c r="F61" s="837"/>
      <c r="G61" s="838"/>
      <c r="H61" s="131"/>
    </row>
    <row r="62" spans="1:8" s="123" customFormat="1" ht="36" customHeight="1" thickTop="1" thickBot="1">
      <c r="A62" s="133" t="s">
        <v>297</v>
      </c>
      <c r="B62" s="752" t="s">
        <v>590</v>
      </c>
      <c r="C62" s="753" t="s">
        <v>84</v>
      </c>
      <c r="D62" s="133" t="s">
        <v>610</v>
      </c>
      <c r="E62" s="133" t="s">
        <v>92</v>
      </c>
      <c r="F62" s="752" t="s">
        <v>611</v>
      </c>
      <c r="G62" s="822"/>
      <c r="H62" s="133" t="s">
        <v>93</v>
      </c>
    </row>
    <row r="63" spans="1:8" ht="94.25" customHeight="1" thickTop="1">
      <c r="A63" s="280" t="s">
        <v>700</v>
      </c>
      <c r="B63" s="839" t="str">
        <f>Questions!$C766</f>
        <v xml:space="preserve">
No answer required
Legal name
</v>
      </c>
      <c r="C63" s="840"/>
      <c r="D63" s="502"/>
      <c r="E63" s="361" t="str">
        <f ca="1">'Reconciliation report'!$D529</f>
        <v/>
      </c>
      <c r="F63" s="820" t="str">
        <f>Guidance!$B$261</f>
        <v xml:space="preserve">
Provide the official name of the entity as it appears on legal documents.
</v>
      </c>
      <c r="G63" s="841"/>
      <c r="H63" s="278"/>
    </row>
    <row r="64" spans="1:8" ht="124.25" customHeight="1">
      <c r="A64" s="238" t="s">
        <v>702</v>
      </c>
      <c r="B64" s="825" t="str">
        <f>Questions!$C767</f>
        <v xml:space="preserve">
No answer required
Companies House number (if applicable)
</v>
      </c>
      <c r="C64" s="826"/>
      <c r="D64" s="480"/>
      <c r="E64" s="361" t="str">
        <f ca="1">'Reconciliation report'!$D530</f>
        <v/>
      </c>
      <c r="F64" s="769" t="str">
        <f>Guidance!$B$262</f>
        <v xml:space="preserve">
If the entity is a UK registered company, enter its unique registration number from Companies House.
</v>
      </c>
      <c r="G64" s="770"/>
      <c r="H64" s="275"/>
    </row>
    <row r="65" spans="1:8" ht="94.25" customHeight="1">
      <c r="A65" s="238" t="s">
        <v>704</v>
      </c>
      <c r="B65" s="825" t="str">
        <f>Questions!$C768</f>
        <v xml:space="preserve">
No answer required
Charity number (if applicable)
</v>
      </c>
      <c r="C65" s="826"/>
      <c r="D65" s="480"/>
      <c r="E65" s="361" t="str">
        <f ca="1">'Reconciliation report'!$D531</f>
        <v/>
      </c>
      <c r="F65" s="769" t="str">
        <f>Guidance!$B$263</f>
        <v xml:space="preserve">
If the entity is a UK registered charity, provide its unique registration number from the relevant charity commission.
</v>
      </c>
      <c r="G65" s="770"/>
      <c r="H65" s="275"/>
    </row>
    <row r="66" spans="1:8" ht="141" customHeight="1">
      <c r="A66" s="238" t="s">
        <v>706</v>
      </c>
      <c r="B66" s="825" t="str">
        <f>Questions!$C769</f>
        <v xml:space="preserve">
No answer required
Trading name
</v>
      </c>
      <c r="C66" s="826"/>
      <c r="D66" s="480"/>
      <c r="E66" s="361" t="str">
        <f ca="1">'Reconciliation report'!$D532</f>
        <v/>
      </c>
      <c r="F66" s="769" t="str">
        <f>Guidance!$B$264</f>
        <v xml:space="preserve">
This is the name the entity uses in its day-to-day business, which might differ from its legal name.
</v>
      </c>
      <c r="G66" s="770"/>
      <c r="H66" s="275"/>
    </row>
    <row r="67" spans="1:8" ht="141" customHeight="1">
      <c r="A67" s="238" t="s">
        <v>708</v>
      </c>
      <c r="B67" s="825" t="str">
        <f>Questions!$C770</f>
        <v xml:space="preserve">
No answer required
Address line 1
</v>
      </c>
      <c r="C67" s="826"/>
      <c r="D67" s="480"/>
      <c r="E67" s="361" t="str">
        <f ca="1">'Reconciliation report'!$D533</f>
        <v/>
      </c>
      <c r="F67" s="769" t="str">
        <f>Guidance!B287</f>
        <v>Guidance is not required for this question.</v>
      </c>
      <c r="G67" s="770"/>
      <c r="H67" s="275"/>
    </row>
    <row r="68" spans="1:8" ht="94.25" customHeight="1">
      <c r="A68" s="238" t="s">
        <v>710</v>
      </c>
      <c r="B68" s="825" t="str">
        <f>Questions!$C771</f>
        <v xml:space="preserve">
No answer required
Address line 2 (optional)
</v>
      </c>
      <c r="C68" s="826"/>
      <c r="D68" s="480"/>
      <c r="E68" s="361" t="str">
        <f ca="1">'Reconciliation report'!$D534</f>
        <v/>
      </c>
      <c r="F68" s="769" t="str">
        <f>Guidance!B287</f>
        <v>Guidance is not required for this question.</v>
      </c>
      <c r="G68" s="770"/>
      <c r="H68" s="275"/>
    </row>
    <row r="69" spans="1:8" ht="94.25" customHeight="1">
      <c r="A69" s="238" t="s">
        <v>712</v>
      </c>
      <c r="B69" s="825" t="str">
        <f>Questions!$C772</f>
        <v xml:space="preserve">
No answer required
Address line 3 (optional)
</v>
      </c>
      <c r="C69" s="826"/>
      <c r="D69" s="480"/>
      <c r="E69" s="361" t="str">
        <f ca="1">'Reconciliation report'!$D535</f>
        <v/>
      </c>
      <c r="F69" s="769" t="str">
        <f>Guidance!B287</f>
        <v>Guidance is not required for this question.</v>
      </c>
      <c r="G69" s="770"/>
      <c r="H69" s="275"/>
    </row>
    <row r="70" spans="1:8" ht="141" customHeight="1" thickBot="1">
      <c r="A70" s="238" t="s">
        <v>714</v>
      </c>
      <c r="B70" s="825" t="str">
        <f>Questions!$C773</f>
        <v xml:space="preserve">
No answer required
Post town or city
</v>
      </c>
      <c r="C70" s="826"/>
      <c r="D70" s="504"/>
      <c r="E70" s="361" t="str">
        <f ca="1">'Reconciliation report'!$D536</f>
        <v/>
      </c>
      <c r="F70" s="769" t="str">
        <f>Guidance!B287</f>
        <v>Guidance is not required for this question.</v>
      </c>
      <c r="G70" s="770"/>
      <c r="H70" s="150"/>
    </row>
    <row r="71" spans="1:8" ht="141" customHeight="1" thickBot="1">
      <c r="A71" s="238" t="s">
        <v>716</v>
      </c>
      <c r="B71" s="825" t="str">
        <f>Questions!$C774</f>
        <v xml:space="preserve">
No answer required
Country
</v>
      </c>
      <c r="C71" s="827"/>
      <c r="D71" s="487"/>
      <c r="E71" s="372" t="str">
        <f ca="1">'Reconciliation report'!$D537</f>
        <v/>
      </c>
      <c r="F71" s="769" t="str">
        <f>Guidance!B287</f>
        <v>Guidance is not required for this question.</v>
      </c>
      <c r="G71" s="770"/>
      <c r="H71" s="150"/>
    </row>
    <row r="72" spans="1:8" ht="141" customHeight="1" thickBot="1">
      <c r="A72" s="244" t="s">
        <v>718</v>
      </c>
      <c r="B72" s="842" t="str">
        <f>Questions!$C775</f>
        <v xml:space="preserve">
No answer required
Postcode
</v>
      </c>
      <c r="C72" s="843"/>
      <c r="D72" s="509"/>
      <c r="E72" s="362" t="str">
        <f ca="1">'Reconciliation report'!$D538</f>
        <v/>
      </c>
      <c r="F72" s="769" t="str">
        <f>Guidance!B287</f>
        <v>Guidance is not required for this question.</v>
      </c>
      <c r="G72" s="770"/>
      <c r="H72" s="276"/>
    </row>
    <row r="73" spans="1:8" s="123" customFormat="1" ht="20.149999999999999" customHeight="1" thickBot="1">
      <c r="A73" s="75"/>
      <c r="B73" s="75"/>
      <c r="C73" s="75"/>
      <c r="D73" s="75" t="s">
        <v>23</v>
      </c>
      <c r="E73" s="69"/>
      <c r="F73" s="75"/>
      <c r="G73" s="75"/>
      <c r="H73" s="75"/>
    </row>
    <row r="74" spans="1:8" s="127" customFormat="1" ht="50.15" customHeight="1" thickBot="1">
      <c r="A74" s="750" t="s">
        <v>719</v>
      </c>
      <c r="B74" s="751"/>
      <c r="C74" s="751"/>
      <c r="D74" s="131"/>
      <c r="E74" s="131"/>
      <c r="F74" s="837"/>
      <c r="G74" s="838"/>
      <c r="H74" s="131"/>
    </row>
    <row r="75" spans="1:8" s="27" customFormat="1" ht="36" customHeight="1" thickTop="1" thickBot="1">
      <c r="A75" s="133" t="s">
        <v>297</v>
      </c>
      <c r="B75" s="752" t="s">
        <v>590</v>
      </c>
      <c r="C75" s="753" t="s">
        <v>84</v>
      </c>
      <c r="D75" s="133" t="s">
        <v>610</v>
      </c>
      <c r="E75" s="133" t="s">
        <v>92</v>
      </c>
      <c r="F75" s="752" t="s">
        <v>611</v>
      </c>
      <c r="G75" s="822"/>
      <c r="H75" s="133" t="s">
        <v>93</v>
      </c>
    </row>
    <row r="76" spans="1:8" ht="152.15" customHeight="1" thickTop="1" thickBot="1">
      <c r="A76" s="27" t="s">
        <v>720</v>
      </c>
      <c r="B76" s="845" t="str">
        <f>Questions!C212</f>
        <v xml:space="preserve">No answer required
Employer cash flow: basis of assessment
</v>
      </c>
      <c r="C76" s="846"/>
      <c r="D76" s="187"/>
      <c r="E76" s="375" t="str">
        <f ca="1">'Reconciliation report'!$D$539</f>
        <v/>
      </c>
      <c r="F76" s="760" t="str">
        <f>Guidance!B145</f>
        <v xml:space="preserve">
Employer’s cash flow means the free cash flow generated by the employer adjusted to take into account reasonable operational and committed finance costs. Where cash flow information is not produced for the employer (or it is not proportionate to produce it for covenant assessment purposes), trustees should work with the employer to find a suitable proxy (for example, earnings before interest, tax, depreciation, and amortisation (EBITDA), profit before tax or consolidated cash flow), adjusted as necessary to best reflect the employer’s cash flow position.
</v>
      </c>
      <c r="G76" s="772"/>
      <c r="H76" s="215"/>
    </row>
    <row r="77" spans="1:8" ht="111.65" customHeight="1" thickBot="1">
      <c r="A77" s="27" t="s">
        <v>721</v>
      </c>
      <c r="B77" s="823" t="str">
        <f>Questions!C213</f>
        <v xml:space="preserve">No answer required
Describe the basis of assessment of employer cash flow.
</v>
      </c>
      <c r="C77" s="824"/>
      <c r="D77" s="510"/>
      <c r="E77" s="374" t="str">
        <f ca="1">'Reconciliation report'!$D$540</f>
        <v/>
      </c>
      <c r="F77" s="817" t="str">
        <f>Guidance!B146</f>
        <v xml:space="preserve">
Provide further comments on the trustees' approach to formulating their view on cash flow. Comment on how you aggregated cash flow into your calculation of employer cash flows, and why you have followed this approach.
</v>
      </c>
      <c r="G77" s="776"/>
      <c r="H77" s="279"/>
    </row>
    <row r="78" spans="1:8" s="123" customFormat="1" ht="20.149999999999999" customHeight="1" thickBot="1">
      <c r="A78" s="75"/>
      <c r="B78" s="69"/>
      <c r="C78" s="75" t="s">
        <v>23</v>
      </c>
      <c r="D78" s="75" t="s">
        <v>23</v>
      </c>
      <c r="E78" s="75" t="s">
        <v>23</v>
      </c>
      <c r="F78" s="69"/>
      <c r="G78" s="69"/>
      <c r="H78" s="69"/>
    </row>
    <row r="79" spans="1:8" s="21" customFormat="1" ht="50.15" customHeight="1" thickBot="1">
      <c r="A79" s="785" t="s">
        <v>722</v>
      </c>
      <c r="B79" s="751"/>
      <c r="C79" s="751"/>
      <c r="D79" s="57"/>
      <c r="E79" s="57"/>
      <c r="F79" s="57"/>
      <c r="G79" s="57"/>
      <c r="H79" s="57"/>
    </row>
    <row r="80" spans="1:8" s="27" customFormat="1" ht="36" customHeight="1" thickTop="1" thickBot="1">
      <c r="A80" s="133" t="s">
        <v>297</v>
      </c>
      <c r="B80" s="8" t="s">
        <v>590</v>
      </c>
      <c r="C80" s="8" t="str">
        <f>Questions!$B222</f>
        <v xml:space="preserve">
Prior year actuals (£)
</v>
      </c>
      <c r="D80" s="8" t="str">
        <f>Questions!$B223</f>
        <v xml:space="preserve">
Current year forecasts (£)
</v>
      </c>
      <c r="E80" s="8" t="str">
        <f>Questions!$B224</f>
        <v xml:space="preserve">
Year 1 forecasts (£)
</v>
      </c>
      <c r="F80" s="8" t="s">
        <v>92</v>
      </c>
      <c r="G80" s="133" t="s">
        <v>611</v>
      </c>
      <c r="H80" s="133" t="s">
        <v>93</v>
      </c>
    </row>
    <row r="81" spans="1:8" s="27" customFormat="1" ht="385.25" customHeight="1" thickTop="1">
      <c r="A81" s="27" t="s">
        <v>723</v>
      </c>
      <c r="B81" s="178" t="str">
        <f>Questions!$C208</f>
        <v xml:space="preserve">No answer required
Employer free cash flows (FCF)
</v>
      </c>
      <c r="C81" s="411"/>
      <c r="D81" s="411"/>
      <c r="E81" s="412"/>
      <c r="F81" s="394" t="str">
        <f ca="1">_xlfn.TEXTJOIN("",TRUE,'Reconciliation report'!$D541,'Reconciliation report'!$D542,'Reconciliation report'!$D543)</f>
        <v/>
      </c>
      <c r="G81" s="369" t="str">
        <f>Guidance!$B$144</f>
        <v xml:space="preserve">
Free cash flow (FCF) generated by the employers (and other relevant entity used to determine employer cash flow) after taking into account reasonable operational costs and committed finance costs (for example, utility costs, essential maintenance, staff costs, committed debt service costs) but before deficit repair contributions (DRCs) to the scheme or other reasonable alternative uses of free cash.
</v>
      </c>
      <c r="H81" s="120"/>
    </row>
    <row r="82" spans="1:8" s="27" customFormat="1" ht="321.64999999999998" customHeight="1">
      <c r="A82" s="5" t="s">
        <v>724</v>
      </c>
      <c r="B82" s="178" t="str">
        <f>Questions!C217</f>
        <v xml:space="preserve">No answer required
Employer Investment in sustainable growth
</v>
      </c>
      <c r="C82" s="411"/>
      <c r="D82" s="411"/>
      <c r="E82" s="412"/>
      <c r="F82" s="394" t="str">
        <f ca="1">_xlfn.TEXTJOIN("",TRUE,'Reconciliation report'!$D544,'Reconciliation report'!$D545,'Reconciliation report'!$D546)</f>
        <v/>
      </c>
      <c r="G82" s="370" t="str">
        <f>Guidance!$B$150</f>
        <v xml:space="preserve">
In general terms, this involves the employer (and other relevant entity used to determine employer cash flow) using available cash to finance investment in its business. Sustainable growth refers to the growth a business could realistically achieve and maintain without creating a heightened risk of running into difficulty. Please add cash outflow amounts as negative numbers.
</v>
      </c>
      <c r="H82" s="120"/>
    </row>
    <row r="83" spans="1:8" s="27" customFormat="1" ht="315" customHeight="1">
      <c r="A83" s="27" t="s">
        <v>725</v>
      </c>
      <c r="B83" s="178" t="str">
        <f>Questions!C221</f>
        <v xml:space="preserve">No answer required
Shareholder returns
</v>
      </c>
      <c r="C83" s="411"/>
      <c r="D83" s="411"/>
      <c r="E83" s="412"/>
      <c r="F83" s="394" t="str">
        <f ca="1">_xlfn.TEXTJOIN("",TRUE,'Reconciliation report'!$D547,'Reconciliation report'!$D548,'Reconciliation report'!$D549)</f>
        <v/>
      </c>
      <c r="G83" s="370" t="str">
        <f>Guidance!$B$151</f>
        <v xml:space="preserve">
This includes ordinary dividends, special dividends and share buybacks. Please add cash outflow amounts as negative numbers.
</v>
      </c>
      <c r="H83" s="120"/>
    </row>
    <row r="84" spans="1:8" s="27" customFormat="1" ht="311.75" customHeight="1">
      <c r="A84" s="27" t="s">
        <v>726</v>
      </c>
      <c r="B84" s="178" t="str">
        <f>Questions!C225</f>
        <v xml:space="preserve">No answer required
Employer payments to other DB schemes
</v>
      </c>
      <c r="C84" s="411"/>
      <c r="D84" s="411"/>
      <c r="E84" s="412"/>
      <c r="F84" s="394" t="str">
        <f ca="1">_xlfn.TEXTJOIN("",TRUE,'Reconciliation report'!$D550,'Reconciliation report'!$D551,'Reconciliation report'!$D552)</f>
        <v/>
      </c>
      <c r="G84" s="370" t="str">
        <f>Guidance!$B$152</f>
        <v xml:space="preserve">
Employer (and other relevant entity used to determine employer cash flow) payments to other defined benefit schemes. Please add cash outflow amounts as negative numbers.
</v>
      </c>
      <c r="H84" s="120"/>
    </row>
    <row r="85" spans="1:8" s="27" customFormat="1" ht="321" customHeight="1" thickBot="1">
      <c r="A85" s="27" t="s">
        <v>727</v>
      </c>
      <c r="B85" s="179" t="str">
        <f>Questions!C229</f>
        <v xml:space="preserve">No answer required
Other alternative uses of cash by employer
</v>
      </c>
      <c r="C85" s="413"/>
      <c r="D85" s="413"/>
      <c r="E85" s="304"/>
      <c r="F85" s="469" t="str">
        <f ca="1">_xlfn.TEXTJOIN("",TRUE,'Reconciliation report'!$D553,'Reconciliation report'!$D554,'Reconciliation report'!$D555)</f>
        <v/>
      </c>
      <c r="G85" s="371" t="str">
        <f>Guidance!$B$153</f>
        <v xml:space="preserve">
Including but not limited to:
- other forms of covenant leakage such as intercompany loans that are unlikely to be recovered
- non-arms length management fees
- discretionary payments to other creditors - such as early repayment of bank debt
Please add cash outflow amounts as negative numbers.
</v>
      </c>
      <c r="H85" s="180"/>
    </row>
    <row r="86" spans="1:8" s="142" customFormat="1" ht="20.149999999999999" customHeight="1" thickBot="1">
      <c r="A86" s="75" t="s">
        <v>23</v>
      </c>
      <c r="B86" s="75"/>
      <c r="C86" s="75" t="s">
        <v>23</v>
      </c>
      <c r="D86" s="75" t="s">
        <v>23</v>
      </c>
      <c r="E86" s="75" t="s">
        <v>23</v>
      </c>
      <c r="F86" s="69"/>
      <c r="G86" s="75"/>
      <c r="H86" s="75"/>
    </row>
    <row r="87" spans="1:8" s="144" customFormat="1" ht="50.15" customHeight="1" thickBot="1">
      <c r="A87" s="750" t="s">
        <v>728</v>
      </c>
      <c r="B87" s="751"/>
      <c r="C87" s="751"/>
      <c r="D87" s="131"/>
      <c r="E87" s="131"/>
      <c r="F87" s="837"/>
      <c r="G87" s="838"/>
      <c r="H87" s="131"/>
    </row>
    <row r="88" spans="1:8" s="142" customFormat="1" ht="36" customHeight="1" thickTop="1" thickBot="1">
      <c r="A88" s="133" t="s">
        <v>297</v>
      </c>
      <c r="B88" s="752" t="s">
        <v>590</v>
      </c>
      <c r="C88" s="753" t="s">
        <v>84</v>
      </c>
      <c r="D88" s="133" t="s">
        <v>610</v>
      </c>
      <c r="E88" s="133" t="s">
        <v>92</v>
      </c>
      <c r="F88" s="752" t="s">
        <v>611</v>
      </c>
      <c r="G88" s="822"/>
      <c r="H88" s="133" t="s">
        <v>93</v>
      </c>
    </row>
    <row r="89" spans="1:8" ht="156" customHeight="1" thickTop="1" thickBot="1">
      <c r="A89" s="27" t="s">
        <v>729</v>
      </c>
      <c r="B89" s="844" t="str">
        <f>Questions!C233</f>
        <v xml:space="preserve">No answer required
What is the value of the employer(s) liquid assets at the time of agreeing the recovery plan? (£)
</v>
      </c>
      <c r="C89" s="772"/>
      <c r="D89" s="414"/>
      <c r="E89" s="360" t="str">
        <f ca="1">'Reconciliation report'!$D556</f>
        <v/>
      </c>
      <c r="F89" s="768" t="str">
        <f>Guidance!B154</f>
        <v xml:space="preserve">
We would expect the value of an employer's liquid assets to reflect the value of the employer's assets shown on the balance sheet which can be readily converted into cash after making reasonable adjustments for working capital. Liquid assets can include cash, intercompany debtor balances that relate to pooled or swept cash, credit facilities to the extent these support liquidity requirements, proceeds of debt or equity raises and other liquid assets to the extent that these are on the balance sheet and not already factored into cash.
</v>
      </c>
      <c r="G89" s="772"/>
      <c r="H89" s="277"/>
    </row>
    <row r="90" spans="1:8" s="123" customFormat="1" ht="20.149999999999999" customHeight="1" thickBot="1">
      <c r="A90" s="75"/>
      <c r="B90" s="75"/>
      <c r="C90" s="75"/>
      <c r="D90" s="75" t="s">
        <v>23</v>
      </c>
      <c r="E90" s="69"/>
      <c r="F90" s="75"/>
      <c r="G90" s="75"/>
      <c r="H90" s="75"/>
    </row>
    <row r="91" spans="1:8" s="127" customFormat="1" ht="50.15" customHeight="1" thickBot="1">
      <c r="A91" s="750" t="s">
        <v>730</v>
      </c>
      <c r="B91" s="750"/>
      <c r="C91" s="750"/>
      <c r="D91" s="131"/>
      <c r="E91" s="131"/>
      <c r="F91" s="837"/>
      <c r="G91" s="838"/>
      <c r="H91" s="131"/>
    </row>
    <row r="92" spans="1:8" s="123" customFormat="1" ht="36" customHeight="1" thickTop="1" thickBot="1">
      <c r="A92" s="133" t="s">
        <v>297</v>
      </c>
      <c r="B92" s="752" t="s">
        <v>590</v>
      </c>
      <c r="C92" s="753" t="s">
        <v>84</v>
      </c>
      <c r="D92" s="133" t="s">
        <v>610</v>
      </c>
      <c r="E92" s="133" t="s">
        <v>92</v>
      </c>
      <c r="F92" s="752" t="s">
        <v>611</v>
      </c>
      <c r="G92" s="822"/>
      <c r="H92" s="133" t="s">
        <v>93</v>
      </c>
    </row>
    <row r="93" spans="1:8" ht="138" customHeight="1" thickTop="1">
      <c r="A93" s="134" t="s">
        <v>731</v>
      </c>
      <c r="B93" s="818" t="str">
        <f>Questions!C234</f>
        <v xml:space="preserve">No answer required
Provide any further information on the alternative uses of cash and liquid assets. (Optional)
</v>
      </c>
      <c r="C93" s="819"/>
      <c r="D93" s="511"/>
      <c r="E93" s="373" t="str">
        <f ca="1">'Reconciliation report'!$D557</f>
        <v/>
      </c>
      <c r="F93" s="820" t="str">
        <f>Guidance!B155</f>
        <v xml:space="preserve">
An optional text box to provide any additional information that the trustees consider relevant relating to alternative uses of employer cash and/or employer liquid assets.
</v>
      </c>
      <c r="G93" s="821"/>
      <c r="H93" s="278"/>
    </row>
    <row r="94" spans="1:8" ht="82.25" customHeight="1" thickBot="1">
      <c r="A94" s="27" t="s">
        <v>732</v>
      </c>
      <c r="B94" s="815" t="str">
        <f>Questions!B235</f>
        <v xml:space="preserve">
Provide any further information relevant to covenant not covered elsewhere. (Optional)
</v>
      </c>
      <c r="C94" s="816"/>
      <c r="D94" s="512"/>
      <c r="E94" s="362" t="str">
        <f ca="1">'Reconciliation report'!$D558</f>
        <v/>
      </c>
      <c r="F94" s="817" t="str">
        <f>Guidance!B156</f>
        <v xml:space="preserve">
Where providing this discretionary information, this should be limited to [1000] words.
</v>
      </c>
      <c r="G94" s="776"/>
      <c r="H94" s="314"/>
    </row>
    <row r="95" spans="1:8" s="123" customFormat="1" ht="20.149999999999999" customHeight="1" thickBot="1">
      <c r="A95" s="75" t="s">
        <v>23</v>
      </c>
      <c r="B95" s="130"/>
      <c r="C95" s="130"/>
      <c r="D95" s="75" t="s">
        <v>23</v>
      </c>
      <c r="E95" s="130"/>
      <c r="F95" s="130"/>
      <c r="G95" s="130"/>
      <c r="H95" s="130"/>
    </row>
    <row r="96" spans="1:8" ht="50.15" customHeight="1" thickBot="1">
      <c r="A96" s="750" t="s">
        <v>733</v>
      </c>
      <c r="B96" s="750"/>
      <c r="C96" s="750"/>
      <c r="D96" s="131"/>
      <c r="E96" s="131"/>
      <c r="F96" s="837"/>
      <c r="G96" s="838"/>
      <c r="H96" s="131"/>
    </row>
    <row r="97" spans="1:8" ht="36" customHeight="1" thickTop="1" thickBot="1">
      <c r="A97" s="133" t="s">
        <v>297</v>
      </c>
      <c r="B97" s="752" t="s">
        <v>590</v>
      </c>
      <c r="C97" s="753" t="s">
        <v>84</v>
      </c>
      <c r="D97" s="133" t="s">
        <v>610</v>
      </c>
      <c r="E97" s="133" t="s">
        <v>92</v>
      </c>
      <c r="F97" s="752" t="s">
        <v>611</v>
      </c>
      <c r="G97" s="822"/>
      <c r="H97" s="133" t="s">
        <v>93</v>
      </c>
    </row>
    <row r="98" spans="1:8" ht="93" customHeight="1" thickTop="1" thickBot="1">
      <c r="A98" s="134" t="s">
        <v>734</v>
      </c>
      <c r="B98" s="818" t="str">
        <f>Questions!B385</f>
        <v xml:space="preserve">
Have the trustees consulted the employer in the preparation or revision of 'Part 2: supplementary matters' of the statement of strategy?
</v>
      </c>
      <c r="C98" s="819"/>
      <c r="D98" s="513"/>
      <c r="E98" s="372" t="str">
        <f ca="1">'Reconciliation report'!$D559</f>
        <v xml:space="preserve">
Select 'Yes’ if the trustees have consulted the employer in the preparation or revision of part 2 of the statement of strategy, or ‘No’ if they have not.
</v>
      </c>
      <c r="F98" s="831" t="str">
        <f>Guidance!B287</f>
        <v>Guidance is not required for this question.</v>
      </c>
      <c r="G98" s="832"/>
      <c r="H98" s="315"/>
    </row>
    <row r="99" spans="1:8" ht="61.4" customHeight="1" thickBot="1">
      <c r="A99" s="134" t="s">
        <v>735</v>
      </c>
      <c r="B99" s="833" t="str">
        <f>Questions!B386</f>
        <v xml:space="preserve">
Has the employer asked for any comments to be included in the document?
</v>
      </c>
      <c r="C99" s="834"/>
      <c r="D99" s="487"/>
      <c r="E99" s="372" t="str">
        <f ca="1">'Reconciliation report'!$D560</f>
        <v xml:space="preserve">
Select ‘Yes’ if the employer has asked for comments to be included in the document, or ‘No’ if they have not.
</v>
      </c>
      <c r="F99" s="835" t="str">
        <f>Guidance!B287</f>
        <v>Guidance is not required for this question.</v>
      </c>
      <c r="G99" s="836"/>
      <c r="H99" s="286"/>
    </row>
    <row r="100" spans="1:8" s="26" customFormat="1" ht="80.150000000000006" customHeight="1" thickBot="1">
      <c r="A100" s="323" t="s">
        <v>737</v>
      </c>
      <c r="B100" s="815" t="str">
        <f>Questions!C387</f>
        <v xml:space="preserve">
Add the comments the employer has asked to be included.
</v>
      </c>
      <c r="C100" s="776"/>
      <c r="D100" s="514"/>
      <c r="E100" s="362" t="str">
        <f ca="1">'Reconciliation report'!$D561</f>
        <v/>
      </c>
      <c r="F100" s="817" t="str">
        <f>Guidance!B287</f>
        <v>Guidance is not required for this question.</v>
      </c>
      <c r="G100" s="776"/>
      <c r="H100" s="443"/>
    </row>
    <row r="101" spans="1:8" s="123" customFormat="1" ht="20.149999999999999" hidden="1" customHeight="1" thickBot="1">
      <c r="A101" s="75"/>
      <c r="B101" s="75"/>
      <c r="C101" s="75"/>
      <c r="D101" s="75" t="s">
        <v>23</v>
      </c>
      <c r="E101" s="75"/>
      <c r="F101" s="75"/>
      <c r="G101" s="75"/>
      <c r="H101" s="75"/>
    </row>
    <row r="102" spans="1:8" s="57" customFormat="1" ht="50.15" hidden="1" customHeight="1" thickBot="1">
      <c r="A102" s="750" t="s">
        <v>117</v>
      </c>
      <c r="B102" s="751"/>
    </row>
    <row r="103" spans="1:8" s="669" customFormat="1" ht="36" hidden="1" customHeight="1" thickTop="1" thickBot="1">
      <c r="A103" s="752" t="s">
        <v>90</v>
      </c>
      <c r="B103" s="753"/>
      <c r="C103" s="668" t="s">
        <v>91</v>
      </c>
      <c r="D103" s="671"/>
      <c r="E103" s="670"/>
      <c r="F103" s="62"/>
      <c r="G103" s="670"/>
      <c r="H103" s="62"/>
    </row>
    <row r="104" spans="1:8" s="57" customFormat="1" ht="80.150000000000006" hidden="1" customHeight="1" thickTop="1" thickBot="1">
      <c r="A104" s="744" t="s">
        <v>118</v>
      </c>
      <c r="B104" s="754"/>
      <c r="C104" s="683"/>
      <c r="D104" s="62"/>
      <c r="E104" s="62"/>
      <c r="F104" s="62"/>
      <c r="G104" s="62"/>
      <c r="H104" s="62"/>
    </row>
    <row r="105" spans="1:8" s="47" customFormat="1" ht="50.25" customHeight="1">
      <c r="A105" s="441"/>
      <c r="B105" s="439"/>
      <c r="C105" s="255"/>
      <c r="D105" s="439"/>
      <c r="E105" s="439"/>
      <c r="F105" s="442"/>
      <c r="G105" s="439"/>
      <c r="H105" s="439"/>
    </row>
  </sheetData>
  <sheetProtection algorithmName="SHA-512" hashValue="1hmCE8lXhKcFe51MFD9gPHjsV2YHD8aI/Nz4Iiwqv/KpJsG+mrGQ0mLK5YgLCN9KMk1GkJZhI/rtYax6yUXyKA==" saltValue="MnwmNEcSTGYUjR6kAAaXGw==" spinCount="100000" sheet="1" objects="1" scenarios="1" sort="0" autoFilter="0"/>
  <mergeCells count="165">
    <mergeCell ref="A102:B102"/>
    <mergeCell ref="A103:B103"/>
    <mergeCell ref="A104:B104"/>
    <mergeCell ref="F69:G69"/>
    <mergeCell ref="F64:G64"/>
    <mergeCell ref="F65:G65"/>
    <mergeCell ref="F66:G66"/>
    <mergeCell ref="F61:G61"/>
    <mergeCell ref="B62:C62"/>
    <mergeCell ref="F71:G71"/>
    <mergeCell ref="F87:G87"/>
    <mergeCell ref="B88:C88"/>
    <mergeCell ref="F88:G88"/>
    <mergeCell ref="F62:G62"/>
    <mergeCell ref="F68:G68"/>
    <mergeCell ref="A61:C61"/>
    <mergeCell ref="F91:G91"/>
    <mergeCell ref="B89:C89"/>
    <mergeCell ref="B72:C72"/>
    <mergeCell ref="F72:G72"/>
    <mergeCell ref="A79:C79"/>
    <mergeCell ref="B76:C76"/>
    <mergeCell ref="F77:G77"/>
    <mergeCell ref="A74:C74"/>
    <mergeCell ref="F74:G74"/>
    <mergeCell ref="F76:G76"/>
    <mergeCell ref="F75:G75"/>
    <mergeCell ref="A91:C91"/>
    <mergeCell ref="F12:G12"/>
    <mergeCell ref="B13:C13"/>
    <mergeCell ref="F13:G13"/>
    <mergeCell ref="B14:C14"/>
    <mergeCell ref="F14:G14"/>
    <mergeCell ref="B53:C53"/>
    <mergeCell ref="F53:G53"/>
    <mergeCell ref="A48:C48"/>
    <mergeCell ref="F48:G48"/>
    <mergeCell ref="B49:C49"/>
    <mergeCell ref="F49:G49"/>
    <mergeCell ref="B50:C50"/>
    <mergeCell ref="F50:G50"/>
    <mergeCell ref="F33:G33"/>
    <mergeCell ref="B28:C28"/>
    <mergeCell ref="F28:G28"/>
    <mergeCell ref="B43:C43"/>
    <mergeCell ref="F43:G43"/>
    <mergeCell ref="B58:C58"/>
    <mergeCell ref="F58:G58"/>
    <mergeCell ref="B59:C59"/>
    <mergeCell ref="B29:C29"/>
    <mergeCell ref="B52:C52"/>
    <mergeCell ref="F52:G52"/>
    <mergeCell ref="F15:G15"/>
    <mergeCell ref="B16:C16"/>
    <mergeCell ref="F16:G16"/>
    <mergeCell ref="F17:G17"/>
    <mergeCell ref="F51:G51"/>
    <mergeCell ref="B27:C27"/>
    <mergeCell ref="F27:G27"/>
    <mergeCell ref="A22:C22"/>
    <mergeCell ref="F22:G22"/>
    <mergeCell ref="B23:C23"/>
    <mergeCell ref="F23:G23"/>
    <mergeCell ref="B24:C24"/>
    <mergeCell ref="F24:G24"/>
    <mergeCell ref="F31:G31"/>
    <mergeCell ref="B32:C32"/>
    <mergeCell ref="F32:G32"/>
    <mergeCell ref="B33:C33"/>
    <mergeCell ref="B10:C10"/>
    <mergeCell ref="F10:G10"/>
    <mergeCell ref="B11:C11"/>
    <mergeCell ref="F11:G11"/>
    <mergeCell ref="F59:G59"/>
    <mergeCell ref="B54:C54"/>
    <mergeCell ref="F54:G54"/>
    <mergeCell ref="B55:C55"/>
    <mergeCell ref="F55:G55"/>
    <mergeCell ref="B56:C56"/>
    <mergeCell ref="F56:G56"/>
    <mergeCell ref="F25:G25"/>
    <mergeCell ref="B26:C26"/>
    <mergeCell ref="F26:G26"/>
    <mergeCell ref="F29:G29"/>
    <mergeCell ref="B30:C30"/>
    <mergeCell ref="F30:G30"/>
    <mergeCell ref="F38:G38"/>
    <mergeCell ref="B39:C39"/>
    <mergeCell ref="F39:G39"/>
    <mergeCell ref="B40:C40"/>
    <mergeCell ref="F40:G40"/>
    <mergeCell ref="B17:C17"/>
    <mergeCell ref="F57:G57"/>
    <mergeCell ref="F5:G5"/>
    <mergeCell ref="B6:C6"/>
    <mergeCell ref="F6:G6"/>
    <mergeCell ref="B63:C63"/>
    <mergeCell ref="F63:G63"/>
    <mergeCell ref="F67:G67"/>
    <mergeCell ref="A35:C35"/>
    <mergeCell ref="F35:G35"/>
    <mergeCell ref="B36:C36"/>
    <mergeCell ref="F36:G36"/>
    <mergeCell ref="B37:C37"/>
    <mergeCell ref="F37:G37"/>
    <mergeCell ref="F44:G44"/>
    <mergeCell ref="B45:C45"/>
    <mergeCell ref="F45:G45"/>
    <mergeCell ref="B46:C46"/>
    <mergeCell ref="F46:G46"/>
    <mergeCell ref="B41:C41"/>
    <mergeCell ref="F41:G41"/>
    <mergeCell ref="B42:C42"/>
    <mergeCell ref="F42:G42"/>
    <mergeCell ref="B20:C20"/>
    <mergeCell ref="F20:G20"/>
    <mergeCell ref="B15:C15"/>
    <mergeCell ref="F7:G7"/>
    <mergeCell ref="B100:C100"/>
    <mergeCell ref="F100:G100"/>
    <mergeCell ref="B98:C98"/>
    <mergeCell ref="F98:G98"/>
    <mergeCell ref="B99:C99"/>
    <mergeCell ref="F99:G99"/>
    <mergeCell ref="F96:G96"/>
    <mergeCell ref="B97:C97"/>
    <mergeCell ref="F97:G97"/>
    <mergeCell ref="A9:C9"/>
    <mergeCell ref="B12:C12"/>
    <mergeCell ref="B51:C51"/>
    <mergeCell ref="B57:C57"/>
    <mergeCell ref="B25:C25"/>
    <mergeCell ref="B31:C31"/>
    <mergeCell ref="B38:C38"/>
    <mergeCell ref="B44:C44"/>
    <mergeCell ref="F70:G70"/>
    <mergeCell ref="B18:C18"/>
    <mergeCell ref="F18:G18"/>
    <mergeCell ref="B19:C19"/>
    <mergeCell ref="F19:G19"/>
    <mergeCell ref="F9:G9"/>
    <mergeCell ref="A1:C1"/>
    <mergeCell ref="A2:C2"/>
    <mergeCell ref="A96:C96"/>
    <mergeCell ref="A3:C3"/>
    <mergeCell ref="A5:C5"/>
    <mergeCell ref="B94:C94"/>
    <mergeCell ref="F94:G94"/>
    <mergeCell ref="A87:C87"/>
    <mergeCell ref="B93:C93"/>
    <mergeCell ref="F89:G89"/>
    <mergeCell ref="F93:G93"/>
    <mergeCell ref="B92:C92"/>
    <mergeCell ref="F92:G92"/>
    <mergeCell ref="B77:C77"/>
    <mergeCell ref="B75:C75"/>
    <mergeCell ref="B70:C70"/>
    <mergeCell ref="B71:C71"/>
    <mergeCell ref="B67:C67"/>
    <mergeCell ref="B68:C68"/>
    <mergeCell ref="B69:C69"/>
    <mergeCell ref="B64:C64"/>
    <mergeCell ref="B65:C65"/>
    <mergeCell ref="B66:C66"/>
    <mergeCell ref="B7:C7"/>
  </mergeCells>
  <conditionalFormatting sqref="C104">
    <cfRule type="expression" dxfId="443" priority="1">
      <formula>$C$104=""</formula>
    </cfRule>
  </conditionalFormatting>
  <conditionalFormatting sqref="E7 E11:E20 E24:E33 E37:E46 E50:E59 E63:E72 E76:E77 F81:F85 E89 E93:E94 E98:E100">
    <cfRule type="notContainsBlanks" dxfId="441" priority="5">
      <formula>LEN(TRIM(E7))&gt;0</formula>
    </cfRule>
  </conditionalFormatting>
  <dataValidations xWindow="690" yWindow="817" count="12">
    <dataValidation allowBlank="1" showInputMessage="1" showErrorMessage="1" errorTitle="There is a problem" sqref="E73 E4 E95 E21 E90 E60 D8:E8 E34 E47" xr:uid="{99CAB094-2243-4D7E-8FEB-CD7650FF47CF}"/>
    <dataValidation type="textLength" operator="lessThanOrEqual" allowBlank="1" showInputMessage="1" showErrorMessage="1" errorTitle="There is a problem" error="Your answer must not exceed 4000 characters." promptTitle="Add your answer" prompt="Answer this question in 4000 characters or less." sqref="D77 D94" xr:uid="{C285472B-481B-4A09-87B3-48A90EF30BBD}">
      <formula1>4000</formula1>
    </dataValidation>
    <dataValidation type="textLength" operator="lessThanOrEqual" allowBlank="1" showInputMessage="1" showErrorMessage="1" errorTitle="There is a problem" error="Your answer must not exceed 510 characters" promptTitle="Add your answer" prompt="Answer this question in 510 characters" sqref="D63 D11 D50 D37 D24" xr:uid="{8593B534-3595-4994-B22F-8FFEAA825FCA}">
      <formula1>510</formula1>
    </dataValidation>
    <dataValidation type="textLength" allowBlank="1" showInputMessage="1" showErrorMessage="1" errorTitle="There is a problem" error="Your answer must be between 6 and 8 characters" promptTitle="Add your answer" prompt="Enter your answer between 6 and 8 characters" sqref="D65 D13 D52 D39 D26" xr:uid="{3D403969-E357-4D48-8039-240F9B2C720B}">
      <formula1>6</formula1>
      <formula2>8</formula2>
    </dataValidation>
    <dataValidation type="textLength" operator="lessThanOrEqual" allowBlank="1" showInputMessage="1" showErrorMessage="1" errorTitle="There is a problem" error="Your answer must not exceed 510 characters" promptTitle="Add your answer" prompt="Answer this question in 510 characters or less" sqref="D66:D70 D14:D18 D53:D57 D40:D44 D27:D31" xr:uid="{C64523A9-3DB9-4DDD-85D6-B4FFAC6997C3}">
      <formula1>510</formula1>
    </dataValidation>
    <dataValidation type="textLength" operator="lessThanOrEqual" allowBlank="1" showInputMessage="1" showErrorMessage="1" errorTitle="There is a problem" error="Your answer must not exceed 4000 characters." promptTitle="Add your answer" prompt="Answer this question in 4000 characters or less" sqref="D100" xr:uid="{BDA34CC6-856D-4DCD-B157-ADF0994A5EA0}">
      <formula1>4000</formula1>
    </dataValidation>
    <dataValidation type="custom" allowBlank="1" showInputMessage="1" showErrorMessage="1" errorTitle="There is a problem" error="Enter a value between - 1,000,000,000,000 and 1,000,000,000,000 (1 trillion). It can be accurate to two decimal places. " promptTitle="Enter a value" prompt="Enter a number (£)" sqref="C81:E81" xr:uid="{3EFD1A49-2055-47B8-9755-3259DD18DA26}">
      <formula1>AND(ISNUMBER(VALUE(C81)), VALUE(C81)&gt;=-999999999999.99, VALUE(C81)&lt;=999999999999.99, IF(ISERROR(FIND(".", C81)), VALUE(C81)=INT(VALUE(C81)), LEN(C81)-FIND(".", C81)&lt;=2))</formula1>
    </dataValidation>
    <dataValidation type="list" allowBlank="1" showInputMessage="1" showErrorMessage="1" errorTitle=" There is a problem" error="You must enter a number between 0 and 5" promptTitle="Select an answer" prompt="Choose from the list provided." sqref="D7" xr:uid="{C420BA3C-FA91-41CC-9E3F-3386E0020407}">
      <formula1>"0, 1, 2, 3, 4, 5"</formula1>
    </dataValidation>
    <dataValidation type="custom" allowBlank="1" showInputMessage="1" showErrorMessage="1" errorTitle="There is a problem" error="You must enter a number greater than -1,000,000,000,000.00 (minus 1 trillion) and less than or equal to 0 with up to two decimal places." promptTitle="Enter a value" prompt="Enter a number (£)" sqref="C82:E85" xr:uid="{1C5C7961-A04A-4AC1-B6F0-7EC10CF3F375}">
      <formula1>AND(ISNUMBER(VALUE(C82)), VALUE(C82)&gt;=-999999999999.99, VALUE(C82)&lt;=0, IF(ISERROR(FIND(".", C82)), VALUE(C82)=INT(VALUE(C82)), LEN(C82)-FIND(".", C82)&lt;=2))</formula1>
    </dataValidation>
    <dataValidation type="textLength" operator="lessThanOrEqual" allowBlank="1" showInputMessage="1" showErrorMessage="1" errorTitle="There is a problem" error="Your answer must not exceed 4000 characters" promptTitle="Add your answer" prompt="Answer this question in 4000 characters or less" sqref="D93" xr:uid="{9A797A15-6B23-496B-ADA0-7B42AA04140F}">
      <formula1>4000</formula1>
    </dataValidation>
    <dataValidation allowBlank="1" showInputMessage="1" showErrorMessage="1" error="Select from the list." sqref="D105" xr:uid="{9B28017F-89EE-4A7B-A6BD-14AB54830820}"/>
    <dataValidation type="custom" allowBlank="1" showInputMessage="1" showErrorMessage="1" errorTitle="There is a problem" error="You must enter a number greater than -1,000,000,000,000 (minus 1 trillion) and less than 1,000,000,000,000 (1 trillion) with up to two decimal places." promptTitle="Enter a value" prompt="Enter a number (£)" sqref="D89" xr:uid="{294A16BD-D223-453F-A114-118D5623ECF9}">
      <formula1>AND(ISNUMBER(VALUE(D89)), VALUE(D89)&gt;=-999999999999.99, VALUE(D89)&lt;=999999999999.99, IF(ISERROR(FIND(".", D89)), VALUE(D89)=INT(VALUE(D89)), LEN(D89)-FIND(".", D89)&lt;=2))</formula1>
    </dataValidation>
  </dataValidations>
  <pageMargins left="0.70000000000000007" right="0.70000000000000007" top="0.75" bottom="0.75" header="0.30000000000000004" footer="0.30000000000000004"/>
  <pageSetup paperSize="9" fitToWidth="0"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730" id="{8E865EAB-2519-41DB-83D4-14A161D59ABB}">
            <xm:f>SEARCH(RefData!$B$2,$B$7)</xm:f>
            <x14:dxf>
              <font>
                <color rgb="FF5F5F5F"/>
              </font>
              <fill>
                <patternFill>
                  <bgColor theme="0" tint="-0.14996795556505021"/>
                </patternFill>
              </fill>
            </x14:dxf>
          </x14:cfRule>
          <xm:sqref>A7:F7</xm:sqref>
        </x14:conditionalFormatting>
        <x14:conditionalFormatting xmlns:xm="http://schemas.microsoft.com/office/excel/2006/main">
          <x14:cfRule type="expression" priority="731" id="{34985BF9-4682-4329-8A3A-290BB597F8D0}">
            <xm:f>SEARCH(RefData!$B$2,$B$11)</xm:f>
            <x14:dxf>
              <font>
                <color rgb="FF5F5F5F"/>
              </font>
              <fill>
                <patternFill>
                  <bgColor theme="0" tint="-0.14996795556505021"/>
                </patternFill>
              </fill>
            </x14:dxf>
          </x14:cfRule>
          <xm:sqref>A11:F11</xm:sqref>
        </x14:conditionalFormatting>
        <x14:conditionalFormatting xmlns:xm="http://schemas.microsoft.com/office/excel/2006/main">
          <x14:cfRule type="expression" priority="732" id="{2F6CA759-1769-499F-AD00-B415891DA1A4}">
            <xm:f>SEARCH(RefData!$B$2,$B$13)</xm:f>
            <x14:dxf>
              <font>
                <color rgb="FF5F5F5F"/>
              </font>
              <fill>
                <patternFill>
                  <bgColor theme="0" tint="-0.14996795556505021"/>
                </patternFill>
              </fill>
            </x14:dxf>
          </x14:cfRule>
          <xm:sqref>A13:F13</xm:sqref>
        </x14:conditionalFormatting>
        <x14:conditionalFormatting xmlns:xm="http://schemas.microsoft.com/office/excel/2006/main">
          <x14:cfRule type="expression" priority="733" id="{E63351CB-F258-47B5-9257-88FC46C4A8E0}">
            <xm:f>SEARCH(RefData!$B$2,$B$14)</xm:f>
            <x14:dxf>
              <font>
                <color rgb="FF5F5F5F"/>
              </font>
              <fill>
                <patternFill>
                  <bgColor theme="0" tint="-0.14996795556505021"/>
                </patternFill>
              </fill>
            </x14:dxf>
          </x14:cfRule>
          <xm:sqref>A14:F14</xm:sqref>
        </x14:conditionalFormatting>
        <x14:conditionalFormatting xmlns:xm="http://schemas.microsoft.com/office/excel/2006/main">
          <x14:cfRule type="expression" priority="734" id="{2F2F9331-EEC9-4F9E-B8C8-F9C8BE5B087F}">
            <xm:f>SEARCH(RefData!$B$2,$B$15)</xm:f>
            <x14:dxf>
              <font>
                <color rgb="FF5F5F5F"/>
              </font>
              <fill>
                <patternFill>
                  <bgColor theme="0" tint="-0.14996795556505021"/>
                </patternFill>
              </fill>
            </x14:dxf>
          </x14:cfRule>
          <xm:sqref>A15:F15</xm:sqref>
        </x14:conditionalFormatting>
        <x14:conditionalFormatting xmlns:xm="http://schemas.microsoft.com/office/excel/2006/main">
          <x14:cfRule type="expression" priority="735" id="{5ED37878-E06B-4D57-AE96-8A848A892B3F}">
            <xm:f>SEARCH(RefData!$B$2,$B$16)</xm:f>
            <x14:dxf>
              <font>
                <color rgb="FF5F5F5F"/>
              </font>
              <fill>
                <patternFill>
                  <bgColor theme="0" tint="-0.14996795556505021"/>
                </patternFill>
              </fill>
            </x14:dxf>
          </x14:cfRule>
          <xm:sqref>A16:F16</xm:sqref>
        </x14:conditionalFormatting>
        <x14:conditionalFormatting xmlns:xm="http://schemas.microsoft.com/office/excel/2006/main">
          <x14:cfRule type="expression" priority="736" id="{A0FD7B81-9AA2-42A1-BAED-518A253F885F}">
            <xm:f>SEARCH(RefData!$B$2,$B$17)</xm:f>
            <x14:dxf>
              <font>
                <color rgb="FF5F5F5F"/>
              </font>
              <fill>
                <patternFill>
                  <bgColor theme="0" tint="-0.14996795556505021"/>
                </patternFill>
              </fill>
            </x14:dxf>
          </x14:cfRule>
          <xm:sqref>A17:F17</xm:sqref>
        </x14:conditionalFormatting>
        <x14:conditionalFormatting xmlns:xm="http://schemas.microsoft.com/office/excel/2006/main">
          <x14:cfRule type="expression" priority="737" id="{C8E314E1-D362-48C8-9D3B-BAF26335BD48}">
            <xm:f>SEARCH(RefData!$B$2,$B$18)</xm:f>
            <x14:dxf>
              <font>
                <color rgb="FF5F5F5F"/>
              </font>
              <fill>
                <patternFill>
                  <bgColor theme="0" tint="-0.14996795556505021"/>
                </patternFill>
              </fill>
            </x14:dxf>
          </x14:cfRule>
          <xm:sqref>A18:F18</xm:sqref>
        </x14:conditionalFormatting>
        <x14:conditionalFormatting xmlns:xm="http://schemas.microsoft.com/office/excel/2006/main">
          <x14:cfRule type="expression" priority="738" id="{C2D6423A-5EB5-4DBD-9A6F-A1875084F665}">
            <xm:f>SEARCH(RefData!$B$2,$B$19)</xm:f>
            <x14:dxf>
              <font>
                <color rgb="FF5F5F5F"/>
              </font>
              <fill>
                <patternFill>
                  <bgColor theme="0" tint="-0.14996795556505021"/>
                </patternFill>
              </fill>
            </x14:dxf>
          </x14:cfRule>
          <xm:sqref>A19:F19</xm:sqref>
        </x14:conditionalFormatting>
        <x14:conditionalFormatting xmlns:xm="http://schemas.microsoft.com/office/excel/2006/main">
          <x14:cfRule type="expression" priority="739" id="{DDEB1C52-5E00-442C-BB2E-E397E4638044}">
            <xm:f>SEARCH(RefData!$B$2,$B$20)</xm:f>
            <x14:dxf>
              <font>
                <color rgb="FF5F5F5F"/>
              </font>
              <fill>
                <patternFill>
                  <bgColor theme="0" tint="-0.14996795556505021"/>
                </patternFill>
              </fill>
            </x14:dxf>
          </x14:cfRule>
          <xm:sqref>A20:F20</xm:sqref>
        </x14:conditionalFormatting>
        <x14:conditionalFormatting xmlns:xm="http://schemas.microsoft.com/office/excel/2006/main">
          <x14:cfRule type="expression" priority="740" id="{6A31147D-70AF-4B13-AE10-98C9F82AF75F}">
            <xm:f>SEARCH(RefData!$B$2,$B$24)</xm:f>
            <x14:dxf>
              <font>
                <color rgb="FF5F5F5F"/>
              </font>
              <fill>
                <patternFill>
                  <bgColor theme="0" tint="-0.14996795556505021"/>
                </patternFill>
              </fill>
            </x14:dxf>
          </x14:cfRule>
          <xm:sqref>A24:F24</xm:sqref>
        </x14:conditionalFormatting>
        <x14:conditionalFormatting xmlns:xm="http://schemas.microsoft.com/office/excel/2006/main">
          <x14:cfRule type="expression" priority="741" id="{E28717F8-8E8B-4047-86D0-C34E5EF012E3}">
            <xm:f>SEARCH(RefData!$B$2,$B$25)</xm:f>
            <x14:dxf>
              <font>
                <color rgb="FF5F5F5F"/>
              </font>
              <fill>
                <patternFill>
                  <bgColor theme="0" tint="-0.14996795556505021"/>
                </patternFill>
              </fill>
            </x14:dxf>
          </x14:cfRule>
          <xm:sqref>A25:F25</xm:sqref>
        </x14:conditionalFormatting>
        <x14:conditionalFormatting xmlns:xm="http://schemas.microsoft.com/office/excel/2006/main">
          <x14:cfRule type="expression" priority="742" id="{74F4AFA3-FE77-4BBD-9127-B8497A4455C0}">
            <xm:f>SEARCH(RefData!$B$2,$B$26)</xm:f>
            <x14:dxf>
              <font>
                <color rgb="FF5F5F5F"/>
              </font>
              <fill>
                <patternFill>
                  <bgColor theme="0" tint="-0.14996795556505021"/>
                </patternFill>
              </fill>
            </x14:dxf>
          </x14:cfRule>
          <xm:sqref>A26:F26</xm:sqref>
        </x14:conditionalFormatting>
        <x14:conditionalFormatting xmlns:xm="http://schemas.microsoft.com/office/excel/2006/main">
          <x14:cfRule type="expression" priority="743" id="{58138924-4C13-4508-8626-D81B831ACB54}">
            <xm:f>SEARCH(RefData!$B$2,$B$27)</xm:f>
            <x14:dxf>
              <font>
                <color rgb="FF5F5F5F"/>
              </font>
              <fill>
                <patternFill>
                  <bgColor theme="0" tint="-0.14996795556505021"/>
                </patternFill>
              </fill>
            </x14:dxf>
          </x14:cfRule>
          <xm:sqref>A27:F27</xm:sqref>
        </x14:conditionalFormatting>
        <x14:conditionalFormatting xmlns:xm="http://schemas.microsoft.com/office/excel/2006/main">
          <x14:cfRule type="expression" priority="744" id="{57473B92-834B-4A22-A731-D2B854FE7005}">
            <xm:f>SEARCH(RefData!$B$2,$B$28)</xm:f>
            <x14:dxf>
              <font>
                <color rgb="FF5F5F5F"/>
              </font>
              <fill>
                <patternFill>
                  <bgColor theme="0" tint="-0.14996795556505021"/>
                </patternFill>
              </fill>
            </x14:dxf>
          </x14:cfRule>
          <xm:sqref>A28:F28</xm:sqref>
        </x14:conditionalFormatting>
        <x14:conditionalFormatting xmlns:xm="http://schemas.microsoft.com/office/excel/2006/main">
          <x14:cfRule type="expression" priority="745" id="{E1F4EF16-55A8-424D-900F-757147802FD8}">
            <xm:f>SEARCH(RefData!$B$2,$B$29)</xm:f>
            <x14:dxf>
              <font>
                <color rgb="FF5F5F5F"/>
              </font>
              <fill>
                <patternFill>
                  <bgColor theme="0" tint="-0.14996795556505021"/>
                </patternFill>
              </fill>
            </x14:dxf>
          </x14:cfRule>
          <xm:sqref>A29:F29</xm:sqref>
        </x14:conditionalFormatting>
        <x14:conditionalFormatting xmlns:xm="http://schemas.microsoft.com/office/excel/2006/main">
          <x14:cfRule type="expression" priority="746" id="{F881A1AA-53A1-4A28-A865-E8CE921FFE49}">
            <xm:f>SEARCH(RefData!$B$2,$B$30)</xm:f>
            <x14:dxf>
              <font>
                <color rgb="FF5F5F5F"/>
              </font>
              <fill>
                <patternFill>
                  <bgColor theme="0" tint="-0.14996795556505021"/>
                </patternFill>
              </fill>
            </x14:dxf>
          </x14:cfRule>
          <xm:sqref>A30:F30</xm:sqref>
        </x14:conditionalFormatting>
        <x14:conditionalFormatting xmlns:xm="http://schemas.microsoft.com/office/excel/2006/main">
          <x14:cfRule type="expression" priority="747" id="{C2CA323C-A330-4009-BB98-C4DB6B654442}">
            <xm:f>SEARCH(RefData!$B$2,$B$31)</xm:f>
            <x14:dxf>
              <font>
                <color rgb="FF5F5F5F"/>
              </font>
              <fill>
                <patternFill>
                  <bgColor theme="0" tint="-0.14996795556505021"/>
                </patternFill>
              </fill>
            </x14:dxf>
          </x14:cfRule>
          <xm:sqref>A31:F31</xm:sqref>
        </x14:conditionalFormatting>
        <x14:conditionalFormatting xmlns:xm="http://schemas.microsoft.com/office/excel/2006/main">
          <x14:cfRule type="expression" priority="748" id="{E1F4EC49-6FE5-476A-B32D-6DBD516CC270}">
            <xm:f>SEARCH(RefData!$B$2,$B$32)</xm:f>
            <x14:dxf>
              <font>
                <color rgb="FF5F5F5F"/>
              </font>
              <fill>
                <patternFill>
                  <bgColor theme="0" tint="-0.14996795556505021"/>
                </patternFill>
              </fill>
            </x14:dxf>
          </x14:cfRule>
          <xm:sqref>A32:F32</xm:sqref>
        </x14:conditionalFormatting>
        <x14:conditionalFormatting xmlns:xm="http://schemas.microsoft.com/office/excel/2006/main">
          <x14:cfRule type="expression" priority="749" id="{3E73F50E-91F1-42C9-A15E-5D160FFC4569}">
            <xm:f>SEARCH(RefData!$B$2,$B$33)</xm:f>
            <x14:dxf>
              <font>
                <color rgb="FF5F5F5F"/>
              </font>
              <fill>
                <patternFill>
                  <bgColor theme="0" tint="-0.14996795556505021"/>
                </patternFill>
              </fill>
            </x14:dxf>
          </x14:cfRule>
          <xm:sqref>A33:F33</xm:sqref>
        </x14:conditionalFormatting>
        <x14:conditionalFormatting xmlns:xm="http://schemas.microsoft.com/office/excel/2006/main">
          <x14:cfRule type="expression" priority="750" id="{6FA1F791-4739-4EE7-96C2-425AA7539AB3}">
            <xm:f>SEARCH(RefData!$B$2,$B$37)</xm:f>
            <x14:dxf>
              <font>
                <color rgb="FF5F5F5F"/>
              </font>
              <fill>
                <patternFill>
                  <bgColor theme="0" tint="-0.14996795556505021"/>
                </patternFill>
              </fill>
            </x14:dxf>
          </x14:cfRule>
          <xm:sqref>A37:F37</xm:sqref>
        </x14:conditionalFormatting>
        <x14:conditionalFormatting xmlns:xm="http://schemas.microsoft.com/office/excel/2006/main">
          <x14:cfRule type="expression" priority="751" id="{0EB73E43-81CA-47D6-9773-A71C32226CF1}">
            <xm:f>SEARCH(RefData!$B$2,$B$38)</xm:f>
            <x14:dxf>
              <font>
                <color rgb="FF5F5F5F"/>
              </font>
              <fill>
                <patternFill>
                  <bgColor theme="0" tint="-0.14996795556505021"/>
                </patternFill>
              </fill>
            </x14:dxf>
          </x14:cfRule>
          <xm:sqref>A38:F38</xm:sqref>
        </x14:conditionalFormatting>
        <x14:conditionalFormatting xmlns:xm="http://schemas.microsoft.com/office/excel/2006/main">
          <x14:cfRule type="expression" priority="752" id="{480A0023-CE9E-464B-AB95-7762E8829A7F}">
            <xm:f>SEARCH(RefData!$B$2,$B$39)</xm:f>
            <x14:dxf>
              <font>
                <color rgb="FF5F5F5F"/>
              </font>
              <fill>
                <patternFill>
                  <bgColor theme="0" tint="-0.14996795556505021"/>
                </patternFill>
              </fill>
            </x14:dxf>
          </x14:cfRule>
          <xm:sqref>A39:F39</xm:sqref>
        </x14:conditionalFormatting>
        <x14:conditionalFormatting xmlns:xm="http://schemas.microsoft.com/office/excel/2006/main">
          <x14:cfRule type="expression" priority="753" id="{E5863B10-4A5F-46C0-A210-26821F3735B0}">
            <xm:f>SEARCH(RefData!$B$2,$B$40)</xm:f>
            <x14:dxf>
              <font>
                <color rgb="FF5F5F5F"/>
              </font>
              <fill>
                <patternFill>
                  <bgColor theme="0" tint="-0.14996795556505021"/>
                </patternFill>
              </fill>
            </x14:dxf>
          </x14:cfRule>
          <xm:sqref>A40:F40</xm:sqref>
        </x14:conditionalFormatting>
        <x14:conditionalFormatting xmlns:xm="http://schemas.microsoft.com/office/excel/2006/main">
          <x14:cfRule type="expression" priority="754" id="{E06BA96A-6CD9-48D2-B401-96DC0804902A}">
            <xm:f>SEARCH(RefData!$B$2,$B$41)</xm:f>
            <x14:dxf>
              <font>
                <color rgb="FF5F5F5F"/>
              </font>
              <fill>
                <patternFill>
                  <bgColor theme="0" tint="-0.14996795556505021"/>
                </patternFill>
              </fill>
            </x14:dxf>
          </x14:cfRule>
          <xm:sqref>A41:F41</xm:sqref>
        </x14:conditionalFormatting>
        <x14:conditionalFormatting xmlns:xm="http://schemas.microsoft.com/office/excel/2006/main">
          <x14:cfRule type="expression" priority="755" id="{6C0DDD3F-7087-4B31-9645-189DD6055A10}">
            <xm:f>SEARCH(RefData!$B$2,$B$42)</xm:f>
            <x14:dxf>
              <font>
                <color rgb="FF5F5F5F"/>
              </font>
              <fill>
                <patternFill>
                  <bgColor theme="0" tint="-0.14996795556505021"/>
                </patternFill>
              </fill>
            </x14:dxf>
          </x14:cfRule>
          <xm:sqref>A42:F42</xm:sqref>
        </x14:conditionalFormatting>
        <x14:conditionalFormatting xmlns:xm="http://schemas.microsoft.com/office/excel/2006/main">
          <x14:cfRule type="expression" priority="756" id="{27A2C6A8-D879-43EA-A8A0-BB814EA1FC9C}">
            <xm:f>SEARCH(RefData!$B$2,$B$43)</xm:f>
            <x14:dxf>
              <font>
                <color rgb="FF5F5F5F"/>
              </font>
              <fill>
                <patternFill>
                  <bgColor theme="0" tint="-0.14996795556505021"/>
                </patternFill>
              </fill>
            </x14:dxf>
          </x14:cfRule>
          <xm:sqref>A43:F43</xm:sqref>
        </x14:conditionalFormatting>
        <x14:conditionalFormatting xmlns:xm="http://schemas.microsoft.com/office/excel/2006/main">
          <x14:cfRule type="expression" priority="757" id="{BE308316-702F-43AB-B747-450A4BAB332B}">
            <xm:f>SEARCH(RefData!$B$2,$B$44)</xm:f>
            <x14:dxf>
              <font>
                <color rgb="FF5F5F5F"/>
              </font>
              <fill>
                <patternFill>
                  <bgColor theme="0" tint="-0.14996795556505021"/>
                </patternFill>
              </fill>
            </x14:dxf>
          </x14:cfRule>
          <xm:sqref>A44:F44</xm:sqref>
        </x14:conditionalFormatting>
        <x14:conditionalFormatting xmlns:xm="http://schemas.microsoft.com/office/excel/2006/main">
          <x14:cfRule type="expression" priority="758" id="{64B8AC13-D23E-492E-B8B4-5ABE584303A9}">
            <xm:f>SEARCH(RefData!$B$2,$B$45)</xm:f>
            <x14:dxf>
              <font>
                <color rgb="FF5F5F5F"/>
              </font>
              <fill>
                <patternFill>
                  <bgColor theme="0" tint="-0.14996795556505021"/>
                </patternFill>
              </fill>
            </x14:dxf>
          </x14:cfRule>
          <xm:sqref>A45:F45</xm:sqref>
        </x14:conditionalFormatting>
        <x14:conditionalFormatting xmlns:xm="http://schemas.microsoft.com/office/excel/2006/main">
          <x14:cfRule type="expression" priority="759" id="{2E563664-0DAC-4899-B1C8-709E78744A2B}">
            <xm:f>SEARCH(RefData!$B$2,$B$46)</xm:f>
            <x14:dxf>
              <font>
                <color rgb="FF5F5F5F"/>
              </font>
              <fill>
                <patternFill>
                  <bgColor theme="0" tint="-0.14996795556505021"/>
                </patternFill>
              </fill>
            </x14:dxf>
          </x14:cfRule>
          <xm:sqref>A46:F46</xm:sqref>
        </x14:conditionalFormatting>
        <x14:conditionalFormatting xmlns:xm="http://schemas.microsoft.com/office/excel/2006/main">
          <x14:cfRule type="expression" priority="760" id="{AD72A90D-835C-4DB7-A987-D607C8AED1FC}">
            <xm:f>SEARCH(RefData!$B$2,$B$50)</xm:f>
            <x14:dxf>
              <font>
                <color rgb="FF5F5F5F"/>
              </font>
              <fill>
                <patternFill>
                  <bgColor theme="0" tint="-0.14996795556505021"/>
                </patternFill>
              </fill>
            </x14:dxf>
          </x14:cfRule>
          <xm:sqref>A50:F50</xm:sqref>
        </x14:conditionalFormatting>
        <x14:conditionalFormatting xmlns:xm="http://schemas.microsoft.com/office/excel/2006/main">
          <x14:cfRule type="expression" priority="761" id="{74D8935C-F08C-43EE-8688-ABF8CBBB3AF1}">
            <xm:f>SEARCH(RefData!$B$2,$B$51)</xm:f>
            <x14:dxf>
              <font>
                <color rgb="FF5F5F5F"/>
              </font>
              <fill>
                <patternFill>
                  <bgColor theme="0" tint="-0.14996795556505021"/>
                </patternFill>
              </fill>
            </x14:dxf>
          </x14:cfRule>
          <xm:sqref>A51:F51</xm:sqref>
        </x14:conditionalFormatting>
        <x14:conditionalFormatting xmlns:xm="http://schemas.microsoft.com/office/excel/2006/main">
          <x14:cfRule type="expression" priority="762" id="{2E50B099-293E-46F0-A983-952926FDDBF9}">
            <xm:f>SEARCH(RefData!$B$2,$B$52)</xm:f>
            <x14:dxf>
              <font>
                <color rgb="FF5F5F5F"/>
              </font>
              <fill>
                <patternFill>
                  <bgColor theme="0" tint="-0.14996795556505021"/>
                </patternFill>
              </fill>
            </x14:dxf>
          </x14:cfRule>
          <xm:sqref>A52:F52</xm:sqref>
        </x14:conditionalFormatting>
        <x14:conditionalFormatting xmlns:xm="http://schemas.microsoft.com/office/excel/2006/main">
          <x14:cfRule type="expression" priority="763" id="{7EC42E61-1450-423A-919A-AA12AC832C3F}">
            <xm:f>SEARCH(RefData!$B$2,$B$53)</xm:f>
            <x14:dxf>
              <font>
                <color rgb="FF5F5F5F"/>
              </font>
              <fill>
                <patternFill>
                  <bgColor theme="0" tint="-0.14996795556505021"/>
                </patternFill>
              </fill>
            </x14:dxf>
          </x14:cfRule>
          <xm:sqref>A53:F53</xm:sqref>
        </x14:conditionalFormatting>
        <x14:conditionalFormatting xmlns:xm="http://schemas.microsoft.com/office/excel/2006/main">
          <x14:cfRule type="expression" priority="764" id="{5579C1A8-36C5-4F50-BDC9-16631AEEBDEB}">
            <xm:f>SEARCH(RefData!$B$2,$B$54)</xm:f>
            <x14:dxf>
              <font>
                <color rgb="FF5F5F5F"/>
              </font>
              <fill>
                <patternFill>
                  <bgColor theme="0" tint="-0.14996795556505021"/>
                </patternFill>
              </fill>
            </x14:dxf>
          </x14:cfRule>
          <xm:sqref>A54:F54</xm:sqref>
        </x14:conditionalFormatting>
        <x14:conditionalFormatting xmlns:xm="http://schemas.microsoft.com/office/excel/2006/main">
          <x14:cfRule type="expression" priority="765" id="{E23B7E4B-39E8-490D-9679-AA785BA7F7D3}">
            <xm:f>SEARCH(RefData!$B$2,$B$55)</xm:f>
            <x14:dxf>
              <font>
                <color rgb="FF5F5F5F"/>
              </font>
              <fill>
                <patternFill>
                  <bgColor theme="0" tint="-0.14996795556505021"/>
                </patternFill>
              </fill>
            </x14:dxf>
          </x14:cfRule>
          <xm:sqref>A55:F55</xm:sqref>
        </x14:conditionalFormatting>
        <x14:conditionalFormatting xmlns:xm="http://schemas.microsoft.com/office/excel/2006/main">
          <x14:cfRule type="expression" priority="766" id="{CCBE40FF-8F99-46D2-B0A6-E548F17CB6D4}">
            <xm:f>SEARCH(RefData!$B$2,$B$56)</xm:f>
            <x14:dxf>
              <font>
                <color rgb="FF5F5F5F"/>
              </font>
              <fill>
                <patternFill>
                  <bgColor theme="0" tint="-0.14996795556505021"/>
                </patternFill>
              </fill>
            </x14:dxf>
          </x14:cfRule>
          <xm:sqref>A56:F56</xm:sqref>
        </x14:conditionalFormatting>
        <x14:conditionalFormatting xmlns:xm="http://schemas.microsoft.com/office/excel/2006/main">
          <x14:cfRule type="expression" priority="767" id="{C2534A25-BD33-4974-B33E-27837DC693E2}">
            <xm:f>SEARCH(RefData!$B$2,$B$57)</xm:f>
            <x14:dxf>
              <font>
                <color rgb="FF5F5F5F"/>
              </font>
              <fill>
                <patternFill>
                  <bgColor theme="0" tint="-0.14996795556505021"/>
                </patternFill>
              </fill>
            </x14:dxf>
          </x14:cfRule>
          <xm:sqref>A57:F57</xm:sqref>
        </x14:conditionalFormatting>
        <x14:conditionalFormatting xmlns:xm="http://schemas.microsoft.com/office/excel/2006/main">
          <x14:cfRule type="expression" priority="768" id="{1AFC3030-BD70-464B-A48A-BE8175B0E91A}">
            <xm:f>SEARCH(RefData!$B$2,$B$58)</xm:f>
            <x14:dxf>
              <font>
                <color rgb="FF5F5F5F"/>
              </font>
              <fill>
                <patternFill>
                  <bgColor theme="0" tint="-0.14996795556505021"/>
                </patternFill>
              </fill>
            </x14:dxf>
          </x14:cfRule>
          <xm:sqref>A58:F58</xm:sqref>
        </x14:conditionalFormatting>
        <x14:conditionalFormatting xmlns:xm="http://schemas.microsoft.com/office/excel/2006/main">
          <x14:cfRule type="expression" priority="769" id="{9C79363D-9B7D-49CA-8843-727C601FF242}">
            <xm:f>SEARCH(RefData!$B$2,$B$59)</xm:f>
            <x14:dxf>
              <font>
                <color rgb="FF5F5F5F"/>
              </font>
              <fill>
                <patternFill>
                  <bgColor theme="0" tint="-0.14996795556505021"/>
                </patternFill>
              </fill>
            </x14:dxf>
          </x14:cfRule>
          <xm:sqref>A59:F59</xm:sqref>
        </x14:conditionalFormatting>
        <x14:conditionalFormatting xmlns:xm="http://schemas.microsoft.com/office/excel/2006/main">
          <x14:cfRule type="expression" priority="770" id="{AD0F5C68-FDF4-4924-9CF9-65200821BAE6}">
            <xm:f>SEARCH(RefData!$B$2,$B$63)</xm:f>
            <x14:dxf>
              <font>
                <color rgb="FF5F5F5F"/>
              </font>
              <fill>
                <patternFill>
                  <bgColor theme="0" tint="-0.14996795556505021"/>
                </patternFill>
              </fill>
            </x14:dxf>
          </x14:cfRule>
          <xm:sqref>A63:F63</xm:sqref>
        </x14:conditionalFormatting>
        <x14:conditionalFormatting xmlns:xm="http://schemas.microsoft.com/office/excel/2006/main">
          <x14:cfRule type="expression" priority="771" id="{9A5DAC73-BCF1-4DC0-B3F3-69882E3424BA}">
            <xm:f>SEARCH(RefData!$B$2,$B$64)</xm:f>
            <x14:dxf>
              <font>
                <color rgb="FF5F5F5F"/>
              </font>
              <fill>
                <patternFill>
                  <bgColor theme="0" tint="-0.14996795556505021"/>
                </patternFill>
              </fill>
            </x14:dxf>
          </x14:cfRule>
          <xm:sqref>A64:F64</xm:sqref>
        </x14:conditionalFormatting>
        <x14:conditionalFormatting xmlns:xm="http://schemas.microsoft.com/office/excel/2006/main">
          <x14:cfRule type="expression" priority="772" id="{E1E2A09E-CA80-4FA8-86A3-CADC037EA78D}">
            <xm:f>SEARCH(RefData!$B$2,$B$65)</xm:f>
            <x14:dxf>
              <font>
                <color rgb="FF5F5F5F"/>
              </font>
              <fill>
                <patternFill>
                  <bgColor theme="0" tint="-0.14996795556505021"/>
                </patternFill>
              </fill>
            </x14:dxf>
          </x14:cfRule>
          <xm:sqref>A65:F65</xm:sqref>
        </x14:conditionalFormatting>
        <x14:conditionalFormatting xmlns:xm="http://schemas.microsoft.com/office/excel/2006/main">
          <x14:cfRule type="expression" priority="773" id="{883AD17E-2465-410F-A10C-DFAFCC5D28F0}">
            <xm:f>SEARCH(RefData!$B$2,$B$66)</xm:f>
            <x14:dxf>
              <font>
                <color rgb="FF5F5F5F"/>
              </font>
              <fill>
                <patternFill>
                  <bgColor theme="0" tint="-0.14996795556505021"/>
                </patternFill>
              </fill>
            </x14:dxf>
          </x14:cfRule>
          <xm:sqref>A66:F66</xm:sqref>
        </x14:conditionalFormatting>
        <x14:conditionalFormatting xmlns:xm="http://schemas.microsoft.com/office/excel/2006/main">
          <x14:cfRule type="expression" priority="774" id="{498C65D2-1300-4E0F-A786-A61714767AD5}">
            <xm:f>SEARCH(RefData!$B$2,$B$67)</xm:f>
            <x14:dxf>
              <font>
                <color rgb="FF5F5F5F"/>
              </font>
              <fill>
                <patternFill>
                  <bgColor theme="0" tint="-0.14996795556505021"/>
                </patternFill>
              </fill>
            </x14:dxf>
          </x14:cfRule>
          <xm:sqref>A67:F67</xm:sqref>
        </x14:conditionalFormatting>
        <x14:conditionalFormatting xmlns:xm="http://schemas.microsoft.com/office/excel/2006/main">
          <x14:cfRule type="expression" priority="775" id="{19CC247D-5E1A-4DF5-B5FA-C4DBD6440084}">
            <xm:f>SEARCH(RefData!$B$2,$B$68)</xm:f>
            <x14:dxf>
              <font>
                <color rgb="FF5F5F5F"/>
              </font>
              <fill>
                <patternFill>
                  <bgColor theme="0" tint="-0.14996795556505021"/>
                </patternFill>
              </fill>
            </x14:dxf>
          </x14:cfRule>
          <xm:sqref>A68:F68</xm:sqref>
        </x14:conditionalFormatting>
        <x14:conditionalFormatting xmlns:xm="http://schemas.microsoft.com/office/excel/2006/main">
          <x14:cfRule type="expression" priority="776" id="{F6346B56-1CAD-44C9-9B12-0004F5EEE23A}">
            <xm:f>SEARCH(RefData!$B$2,$B$69)</xm:f>
            <x14:dxf>
              <font>
                <color rgb="FF5F5F5F"/>
              </font>
              <fill>
                <patternFill>
                  <bgColor theme="0" tint="-0.14996795556505021"/>
                </patternFill>
              </fill>
            </x14:dxf>
          </x14:cfRule>
          <xm:sqref>A69:F69</xm:sqref>
        </x14:conditionalFormatting>
        <x14:conditionalFormatting xmlns:xm="http://schemas.microsoft.com/office/excel/2006/main">
          <x14:cfRule type="expression" priority="777" id="{E2BE2943-2639-497B-AEB3-5D7BF60FF422}">
            <xm:f>SEARCH(RefData!$B$2,$B$70)</xm:f>
            <x14:dxf>
              <font>
                <color rgb="FF5F5F5F"/>
              </font>
              <fill>
                <patternFill>
                  <bgColor theme="0" tint="-0.14996795556505021"/>
                </patternFill>
              </fill>
            </x14:dxf>
          </x14:cfRule>
          <xm:sqref>A70:F70</xm:sqref>
        </x14:conditionalFormatting>
        <x14:conditionalFormatting xmlns:xm="http://schemas.microsoft.com/office/excel/2006/main">
          <x14:cfRule type="expression" priority="778" id="{50B1E07E-AE3B-4B56-AF9A-D3CAB3EEB1B7}">
            <xm:f>SEARCH(RefData!$B$2,$B$71)</xm:f>
            <x14:dxf>
              <font>
                <color rgb="FF5F5F5F"/>
              </font>
              <fill>
                <patternFill>
                  <bgColor theme="0" tint="-0.14996795556505021"/>
                </patternFill>
              </fill>
            </x14:dxf>
          </x14:cfRule>
          <xm:sqref>A71:F71</xm:sqref>
        </x14:conditionalFormatting>
        <x14:conditionalFormatting xmlns:xm="http://schemas.microsoft.com/office/excel/2006/main">
          <x14:cfRule type="expression" priority="779" id="{31D6A31E-9C4D-40F6-A2E4-0964CF3E1A59}">
            <xm:f>SEARCH(RefData!$B$2,$B$72)</xm:f>
            <x14:dxf>
              <font>
                <color rgb="FF5F5F5F"/>
              </font>
              <fill>
                <patternFill>
                  <bgColor theme="0" tint="-0.14996795556505021"/>
                </patternFill>
              </fill>
            </x14:dxf>
          </x14:cfRule>
          <xm:sqref>A72:F72</xm:sqref>
        </x14:conditionalFormatting>
        <x14:conditionalFormatting xmlns:xm="http://schemas.microsoft.com/office/excel/2006/main">
          <x14:cfRule type="expression" priority="780" id="{8A5B8E26-0D03-4FFF-A0B5-DFB985D83B82}">
            <xm:f>SEARCH(RefData!$B$2,$B$76)</xm:f>
            <x14:dxf>
              <font>
                <color rgb="FF5F5F5F"/>
              </font>
              <fill>
                <patternFill>
                  <bgColor theme="0" tint="-0.14996795556505021"/>
                </patternFill>
              </fill>
            </x14:dxf>
          </x14:cfRule>
          <xm:sqref>A76:F76</xm:sqref>
        </x14:conditionalFormatting>
        <x14:conditionalFormatting xmlns:xm="http://schemas.microsoft.com/office/excel/2006/main">
          <x14:cfRule type="expression" priority="781" id="{83B8D40D-3EEF-405A-857F-F7DFB52E031C}">
            <xm:f>SEARCH(RefData!$B$2,$B$77)</xm:f>
            <x14:dxf>
              <font>
                <color rgb="FF5F5F5F"/>
              </font>
              <fill>
                <patternFill>
                  <bgColor theme="0" tint="-0.14996795556505021"/>
                </patternFill>
              </fill>
            </x14:dxf>
          </x14:cfRule>
          <xm:sqref>A77:F77</xm:sqref>
        </x14:conditionalFormatting>
        <x14:conditionalFormatting xmlns:xm="http://schemas.microsoft.com/office/excel/2006/main">
          <x14:cfRule type="expression" priority="782" id="{CAAEC795-602F-4CF5-AF72-80649E2E6B25}">
            <xm:f>SEARCH(RefData!$B$2,$B$81)</xm:f>
            <x14:dxf>
              <font>
                <color rgb="FF5F5F5F"/>
              </font>
              <fill>
                <patternFill>
                  <bgColor theme="0" tint="-0.14996795556505021"/>
                </patternFill>
              </fill>
            </x14:dxf>
          </x14:cfRule>
          <xm:sqref>A81:F81</xm:sqref>
        </x14:conditionalFormatting>
        <x14:conditionalFormatting xmlns:xm="http://schemas.microsoft.com/office/excel/2006/main">
          <x14:cfRule type="expression" priority="783" id="{35CEE701-B56A-42F9-93F4-8CAB707647BD}">
            <xm:f>SEARCH(RefData!$B$2,$B$82)</xm:f>
            <x14:dxf>
              <font>
                <color rgb="FF5F5F5F"/>
              </font>
              <fill>
                <patternFill>
                  <bgColor theme="0" tint="-0.14996795556505021"/>
                </patternFill>
              </fill>
            </x14:dxf>
          </x14:cfRule>
          <xm:sqref>A82:F82</xm:sqref>
        </x14:conditionalFormatting>
        <x14:conditionalFormatting xmlns:xm="http://schemas.microsoft.com/office/excel/2006/main">
          <x14:cfRule type="expression" priority="784" id="{3EF3D4E7-BADA-4312-AA47-314660E9E6C0}">
            <xm:f>SEARCH(RefData!$B$2,$B$83)</xm:f>
            <x14:dxf>
              <font>
                <color rgb="FF5F5F5F"/>
              </font>
              <fill>
                <patternFill>
                  <bgColor theme="0" tint="-0.14996795556505021"/>
                </patternFill>
              </fill>
            </x14:dxf>
          </x14:cfRule>
          <xm:sqref>A83:F83</xm:sqref>
        </x14:conditionalFormatting>
        <x14:conditionalFormatting xmlns:xm="http://schemas.microsoft.com/office/excel/2006/main">
          <x14:cfRule type="expression" priority="785" id="{7DD262A7-337C-4D87-BEA0-EEDDBC26D534}">
            <xm:f>SEARCH(RefData!$B$2,$B$84)</xm:f>
            <x14:dxf>
              <font>
                <color rgb="FF5F5F5F"/>
              </font>
              <fill>
                <patternFill>
                  <bgColor theme="0" tint="-0.14996795556505021"/>
                </patternFill>
              </fill>
            </x14:dxf>
          </x14:cfRule>
          <xm:sqref>A84:F84</xm:sqref>
        </x14:conditionalFormatting>
        <x14:conditionalFormatting xmlns:xm="http://schemas.microsoft.com/office/excel/2006/main">
          <x14:cfRule type="expression" priority="786" id="{0E90910B-0804-4A3A-B5D9-E4658588666D}">
            <xm:f>SEARCH(RefData!$B$2,$B$85)</xm:f>
            <x14:dxf>
              <font>
                <color rgb="FF5F5F5F"/>
              </font>
              <fill>
                <patternFill>
                  <bgColor theme="0" tint="-0.14996795556505021"/>
                </patternFill>
              </fill>
            </x14:dxf>
          </x14:cfRule>
          <xm:sqref>A85:F85</xm:sqref>
        </x14:conditionalFormatting>
        <x14:conditionalFormatting xmlns:xm="http://schemas.microsoft.com/office/excel/2006/main">
          <x14:cfRule type="expression" priority="787" id="{DE8164DF-CEF9-4A81-A69D-4A444C85E316}">
            <xm:f>SEARCH(RefData!$B$2,$B$89)</xm:f>
            <x14:dxf>
              <font>
                <color rgb="FF5F5F5F"/>
              </font>
              <fill>
                <patternFill>
                  <bgColor theme="0" tint="-0.14996795556505021"/>
                </patternFill>
              </fill>
            </x14:dxf>
          </x14:cfRule>
          <xm:sqref>A89:F89</xm:sqref>
        </x14:conditionalFormatting>
        <x14:conditionalFormatting xmlns:xm="http://schemas.microsoft.com/office/excel/2006/main">
          <x14:cfRule type="expression" priority="788" id="{BA45515C-4760-42B0-9DFE-BC32FA5A7C5E}">
            <xm:f>SEARCH(RefData!$B$2,$B$93)</xm:f>
            <x14:dxf>
              <font>
                <color rgb="FF5F5F5F"/>
              </font>
              <fill>
                <patternFill>
                  <bgColor theme="0" tint="-0.14996795556505021"/>
                </patternFill>
              </fill>
            </x14:dxf>
          </x14:cfRule>
          <xm:sqref>A93:F93</xm:sqref>
        </x14:conditionalFormatting>
        <x14:conditionalFormatting xmlns:xm="http://schemas.microsoft.com/office/excel/2006/main">
          <x14:cfRule type="expression" priority="789" id="{B91C2487-CF10-4CD5-BB3C-6FD57D68798E}">
            <xm:f>SEARCH(RefData!$B$2,$B$94)</xm:f>
            <x14:dxf>
              <font>
                <color rgb="FF5F5F5F"/>
              </font>
              <fill>
                <patternFill>
                  <bgColor theme="0" tint="-0.14996795556505021"/>
                </patternFill>
              </fill>
            </x14:dxf>
          </x14:cfRule>
          <xm:sqref>A94:F94</xm:sqref>
        </x14:conditionalFormatting>
        <x14:conditionalFormatting xmlns:xm="http://schemas.microsoft.com/office/excel/2006/main">
          <x14:cfRule type="expression" priority="790" id="{9D505466-8E3B-4D32-A849-C28290E42994}">
            <xm:f>SEARCH(RefData!$B$2,$B$98)</xm:f>
            <x14:dxf>
              <font>
                <color rgb="FF5F5F5F"/>
              </font>
              <fill>
                <patternFill>
                  <bgColor theme="0" tint="-0.14996795556505021"/>
                </patternFill>
              </fill>
            </x14:dxf>
          </x14:cfRule>
          <xm:sqref>A98:F98</xm:sqref>
        </x14:conditionalFormatting>
        <x14:conditionalFormatting xmlns:xm="http://schemas.microsoft.com/office/excel/2006/main">
          <x14:cfRule type="expression" priority="791" id="{4225D9C8-1789-4056-AC57-307364475879}">
            <xm:f>SEARCH(RefData!$B$2,$B$99)</xm:f>
            <x14:dxf>
              <font>
                <color rgb="FF5F5F5F"/>
              </font>
              <fill>
                <patternFill>
                  <bgColor theme="0" tint="-0.14996795556505021"/>
                </patternFill>
              </fill>
            </x14:dxf>
          </x14:cfRule>
          <xm:sqref>A99:F99</xm:sqref>
        </x14:conditionalFormatting>
        <x14:conditionalFormatting xmlns:xm="http://schemas.microsoft.com/office/excel/2006/main">
          <x14:cfRule type="expression" priority="792" id="{33414353-6D25-4C88-B032-A4422AE85E5C}">
            <xm:f>SEARCH(RefData!$B$2,$B$100)</xm:f>
            <x14:dxf>
              <font>
                <color rgb="FF5F5F5F"/>
              </font>
              <fill>
                <patternFill>
                  <bgColor theme="0" tint="-0.14996795556505021"/>
                </patternFill>
              </fill>
            </x14:dxf>
          </x14:cfRule>
          <xm:sqref>A100:F100</xm:sqref>
        </x14:conditionalFormatting>
        <x14:conditionalFormatting xmlns:xm="http://schemas.microsoft.com/office/excel/2006/main">
          <x14:cfRule type="expression" priority="793" id="{C01BD321-2029-4E9A-B5C9-19E1F7D0DF9F}">
            <xm:f>SEARCH(RefData!$B$2,$B$12)</xm:f>
            <x14:dxf>
              <font>
                <color rgb="FF5F5F5F"/>
              </font>
              <fill>
                <patternFill>
                  <bgColor theme="0" tint="-0.14996795556505021"/>
                </patternFill>
              </fill>
            </x14:dxf>
          </x14:cfRule>
          <xm:sqref>A12:H12</xm:sqref>
        </x14:conditionalFormatting>
        <x14:conditionalFormatting xmlns:xm="http://schemas.microsoft.com/office/excel/2006/main">
          <x14:cfRule type="expression" priority="3" id="{A76D5CEB-A74E-40F4-8456-12360DB298B9}">
            <xm:f>$C$104=RefData!$B$434</xm:f>
            <x14:dxf>
              <fill>
                <patternFill>
                  <bgColor rgb="FFEFF5FA"/>
                </patternFill>
              </fill>
            </x14:dxf>
          </x14:cfRule>
          <x14:cfRule type="expression" priority="2" id="{88FF0668-7A10-469B-9FFC-E517BBA9FDA5}">
            <xm:f>$C$104=RefData!$B$433</xm:f>
            <x14:dxf>
              <fill>
                <patternFill>
                  <bgColor rgb="FFEFF5FA"/>
                </patternFill>
              </fill>
            </x14:dxf>
          </x14:cfRule>
          <xm:sqref>C104</xm:sqref>
        </x14:conditionalFormatting>
      </x14:conditionalFormattings>
    </ext>
    <ext xmlns:x14="http://schemas.microsoft.com/office/spreadsheetml/2009/9/main" uri="{CCE6A557-97BC-4b89-ADB6-D9C93CAAB3DF}">
      <x14:dataValidations xmlns:xm="http://schemas.microsoft.com/office/excel/2006/main" xWindow="690" yWindow="817" count="11">
        <x14:dataValidation type="custom" allowBlank="1" showInputMessage="1" showErrorMessage="1" errorTitle="There is a problem" error="Your answer must be a valid postcode between 5 and 8 characters." promptTitle="Add your answer" prompt="Enter a valid postcode between 5 and 8 characters" xr:uid="{3CE1E2DD-1504-442D-8AB8-9698E3A3FB38}">
          <x14:formula1>
            <xm:f>NOT($E20=ErrorMsgs!$H$432)</xm:f>
          </x14:formula1>
          <xm:sqref>D59 D46 D33 D20 D72</xm:sqref>
        </x14:dataValidation>
        <x14:dataValidation type="list" operator="lessThanOrEqual" allowBlank="1" showInputMessage="1" showErrorMessage="1" errorTitle="There is a problem" error="You must select your answer from the drop-down list." promptTitle="Select an answer" prompt="Choose from the list provided" xr:uid="{01B47EAE-7F1F-4891-AAB8-F533B0DF676F}">
          <x14:formula1>
            <xm:f>RefData!$B$104:$B$107</xm:f>
          </x14:formula1>
          <xm:sqref>D76</xm:sqref>
        </x14:dataValidation>
        <x14:dataValidation type="list" allowBlank="1" showInputMessage="1" showErrorMessage="1" errorTitle="There is a problem" error="You must select your answer from the drop-down list" promptTitle="Select an answer" prompt="Choose from the list provided" xr:uid="{17F23DB3-6244-4070-A706-1063D281338E}">
          <x14:formula1>
            <xm:f>RefData!$B$206:$B$400</xm:f>
          </x14:formula1>
          <xm:sqref>D71 D19 D58 D45 D32</xm:sqref>
        </x14:dataValidation>
        <x14:dataValidation type="list" operator="lessThanOrEqual" allowBlank="1" showInputMessage="1" showErrorMessage="1" errorTitle="There is a problem" error="You must select 'Yes' or 'No' from the drop-down list." promptTitle="Select an answer" prompt="Choose from the list provided" xr:uid="{1A0D782F-894A-409A-980A-CE0EECA21F5C}">
          <x14:formula1>
            <xm:f>RefData!$B$401:$B$402</xm:f>
          </x14:formula1>
          <xm:sqref>D98</xm:sqref>
        </x14:dataValidation>
        <x14:dataValidation type="list" operator="lessThanOrEqual" allowBlank="1" showInputMessage="1" showErrorMessage="1" errorTitle="There is a problem" error="You must select 'Yes' or 'No' from the drop-down list." promptTitle="Select an answer" prompt="Choose from the list provided" xr:uid="{AF27E05D-FA9E-4986-8699-7E1A15920C6F}">
          <x14:formula1>
            <xm:f>RefData!$B$403:$B$404</xm:f>
          </x14:formula1>
          <xm:sqref>D99</xm:sqref>
        </x14:dataValidation>
        <x14:dataValidation type="list" allowBlank="1" showInputMessage="1" showErrorMessage="1" xr:uid="{0AB19A90-CE00-4A11-9674-BBD03EAD5D82}">
          <x14:formula1>
            <xm:f>RefData!$B$433:$B$435</xm:f>
          </x14:formula1>
          <xm:sqref>C104</xm:sqref>
        </x14:dataValidation>
        <x14:dataValidation type="custom" operator="lessThanOrEqual" allowBlank="1" showInputMessage="1" showErrorMessage="1" errorTitle="There is a problem" error="You must enter a valid Companies House number." promptTitle="Add your answer" prompt="Answer this question in 8 characters or less" xr:uid="{8E85C788-60BB-4D0B-844E-0181DA220A5F}">
          <x14:formula1>
            <xm:f>E64&lt;&gt;ErrorMsgs!C563</xm:f>
          </x14:formula1>
          <xm:sqref>D64</xm:sqref>
        </x14:dataValidation>
        <x14:dataValidation type="custom" operator="lessThanOrEqual" allowBlank="1" showInputMessage="1" showErrorMessage="1" errorTitle="There is a problem" error="You must enter a valid Companies House number." promptTitle="Add your answer" prompt="Answer this question in 8 characters or less" xr:uid="{174D4A0B-94C1-46E3-9F4C-E402B562777E}">
          <x14:formula1>
            <xm:f>E25&lt;&gt;ErrorMsgs!C563</xm:f>
          </x14:formula1>
          <xm:sqref>D25</xm:sqref>
        </x14:dataValidation>
        <x14:dataValidation type="custom" operator="lessThanOrEqual" allowBlank="1" showInputMessage="1" showErrorMessage="1" errorTitle="There is a problem" error="You must enter a valid Companies House number." promptTitle="Add your answer" prompt="Answer this question in 8 characters or less" xr:uid="{171EB52E-A9EB-4481-A31C-633E2F4A698B}">
          <x14:formula1>
            <xm:f>E38&lt;&gt;ErrorMsgs!C563</xm:f>
          </x14:formula1>
          <xm:sqref>D38</xm:sqref>
        </x14:dataValidation>
        <x14:dataValidation type="custom" operator="lessThanOrEqual" allowBlank="1" showInputMessage="1" showErrorMessage="1" errorTitle="There is a problem" error="You must enter a valid Companies House number." promptTitle="Add your answer" prompt="Answer this question in 8 characters or less" xr:uid="{66E826BB-630C-4332-8362-6070B6C94D3C}">
          <x14:formula1>
            <xm:f>E51&lt;&gt;ErrorMsgs!C563</xm:f>
          </x14:formula1>
          <xm:sqref>D51</xm:sqref>
        </x14:dataValidation>
        <x14:dataValidation type="custom" allowBlank="1" showInputMessage="1" showErrorMessage="1" errorTitle="There is a problem" error="You must enter a valid Companies House number." xr:uid="{93E06B6A-045F-435C-AF19-1B9EA90913E6}">
          <x14:formula1>
            <xm:f>D12&lt;&gt;ErrorMsgs!D563</xm:f>
          </x14:formula1>
          <xm:sqref>D12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FEEF2-CD1D-432A-86C1-80A7266186AC}">
  <sheetPr codeName="Sheet4"/>
  <dimension ref="A1:H33"/>
  <sheetViews>
    <sheetView topLeftCell="A4" zoomScaleNormal="100" workbookViewId="0">
      <selection activeCell="C9" sqref="C9"/>
    </sheetView>
  </sheetViews>
  <sheetFormatPr defaultColWidth="0" defaultRowHeight="0" customHeight="1" zeroHeight="1"/>
  <cols>
    <col min="1" max="1" width="13.07421875" style="47" customWidth="1"/>
    <col min="2" max="2" width="61.69140625" style="20" customWidth="1"/>
    <col min="3" max="5" width="62.69140625" style="79" customWidth="1"/>
    <col min="6" max="6" width="59" style="201" bestFit="1" customWidth="1"/>
    <col min="7" max="7" width="11.07421875" style="47" hidden="1" customWidth="1"/>
    <col min="8" max="8" width="0" style="47" hidden="1" customWidth="1"/>
    <col min="9" max="16384" width="0" style="47" hidden="1"/>
  </cols>
  <sheetData>
    <row r="1" spans="1:7" s="30" customFormat="1" ht="50.15" customHeight="1" thickBot="1">
      <c r="A1" s="747" t="s">
        <v>83</v>
      </c>
      <c r="B1" s="748"/>
      <c r="C1" s="30" t="s">
        <v>84</v>
      </c>
    </row>
    <row r="2" spans="1:7" s="30" customFormat="1" ht="50.15" customHeight="1" thickTop="1" thickBot="1">
      <c r="A2" s="742" t="s">
        <v>85</v>
      </c>
      <c r="B2" s="749"/>
      <c r="C2" s="742" t="s">
        <v>84</v>
      </c>
      <c r="D2" s="743"/>
      <c r="E2" s="742"/>
      <c r="F2" s="743"/>
    </row>
    <row r="3" spans="1:7" s="30" customFormat="1" ht="409.5" customHeight="1" thickTop="1">
      <c r="A3" s="744" t="s">
        <v>86</v>
      </c>
      <c r="B3" s="744"/>
      <c r="C3" s="746" t="s">
        <v>84</v>
      </c>
      <c r="D3" s="746"/>
      <c r="E3" s="746"/>
      <c r="F3" s="203"/>
    </row>
    <row r="4" spans="1:7" s="30" customFormat="1" ht="202.5" customHeight="1" thickBot="1">
      <c r="A4" s="745"/>
      <c r="B4" s="745"/>
      <c r="C4" s="745"/>
      <c r="D4" s="745"/>
      <c r="E4" s="745"/>
      <c r="F4" s="203"/>
    </row>
    <row r="5" spans="1:7" s="30" customFormat="1" ht="20.149999999999999" customHeight="1" thickBot="1">
      <c r="A5" s="75"/>
      <c r="B5" s="75"/>
      <c r="C5" s="75" t="s">
        <v>87</v>
      </c>
      <c r="D5" s="75"/>
      <c r="E5" s="75"/>
      <c r="F5" s="75"/>
      <c r="G5" s="49"/>
    </row>
    <row r="6" spans="1:7" s="30" customFormat="1" ht="50.15" customHeight="1" thickBot="1">
      <c r="A6" s="755" t="s">
        <v>88</v>
      </c>
      <c r="B6" s="755"/>
      <c r="C6" s="533"/>
      <c r="D6" s="94"/>
      <c r="E6" s="533"/>
      <c r="F6" s="94"/>
    </row>
    <row r="7" spans="1:7" s="30" customFormat="1" ht="36" customHeight="1" thickTop="1" thickBot="1">
      <c r="A7" s="8" t="s">
        <v>89</v>
      </c>
      <c r="B7" s="8" t="s">
        <v>90</v>
      </c>
      <c r="C7" s="8" t="s">
        <v>91</v>
      </c>
      <c r="D7" s="8" t="s">
        <v>92</v>
      </c>
      <c r="E7" s="538" t="s">
        <v>93</v>
      </c>
      <c r="F7" s="204"/>
    </row>
    <row r="8" spans="1:7" s="30" customFormat="1" ht="68.150000000000006" customHeight="1" thickTop="1">
      <c r="A8" s="531" t="s">
        <v>94</v>
      </c>
      <c r="B8" s="531" t="str">
        <f>"
"&amp;RefData!B2&amp;"
Name and version number
"</f>
        <v xml:space="preserve">
No answer required
Name and version number
</v>
      </c>
      <c r="C8" s="449" t="s">
        <v>4782</v>
      </c>
      <c r="D8" s="450"/>
      <c r="E8" s="582"/>
      <c r="F8" s="203"/>
    </row>
    <row r="9" spans="1:7" s="30" customFormat="1" ht="68.150000000000006" customHeight="1">
      <c r="A9" s="532" t="s">
        <v>95</v>
      </c>
      <c r="B9" s="532" t="str">
        <f>"
"&amp;RefData!B2&amp;"
Version date
"</f>
        <v xml:space="preserve">
No answer required
Version date
</v>
      </c>
      <c r="C9" s="451">
        <v>45966</v>
      </c>
      <c r="D9" s="452"/>
      <c r="E9" s="582"/>
      <c r="F9" s="203"/>
    </row>
    <row r="10" spans="1:7" s="30" customFormat="1" ht="76.5" customHeight="1">
      <c r="A10" s="532" t="s">
        <v>96</v>
      </c>
      <c r="B10" s="532" t="str">
        <f>"
" &amp;RefData!B2&amp;"
Timeframe covered
"</f>
        <v xml:space="preserve">
No answer required
Timeframe covered
</v>
      </c>
      <c r="C10" s="453" t="s">
        <v>97</v>
      </c>
      <c r="D10" s="452"/>
      <c r="E10" s="582"/>
      <c r="F10" s="203"/>
    </row>
    <row r="11" spans="1:7" s="30" customFormat="1" ht="50.15" customHeight="1">
      <c r="A11" s="5" t="s">
        <v>98</v>
      </c>
      <c r="B11" s="5" t="str">
        <f>Questions!B17</f>
        <v xml:space="preserve">
Scheme name
</v>
      </c>
      <c r="C11" s="173"/>
      <c r="D11" s="347" t="str">
        <f ca="1">'Reconciliation report'!D2</f>
        <v xml:space="preserve">
Enter the scheme’s name as recorded on the Pension Scheme Registry (PSR).
</v>
      </c>
      <c r="E11" s="582"/>
      <c r="F11" s="203"/>
    </row>
    <row r="12" spans="1:7" s="30" customFormat="1" ht="50.15" customHeight="1" thickBot="1">
      <c r="A12" s="5" t="s">
        <v>99</v>
      </c>
      <c r="B12" s="5" t="str">
        <f>Questions!B16</f>
        <v xml:space="preserve">
Pension Scheme Registration (PSR) number
</v>
      </c>
      <c r="C12" s="426"/>
      <c r="D12" s="363" t="str">
        <f ca="1">'Reconciliation report'!D3</f>
        <v>Enter an eight-digit PSR number beginning with '1'. For example, 12345678.</v>
      </c>
      <c r="E12" s="582"/>
      <c r="F12" s="203"/>
    </row>
    <row r="13" spans="1:7" s="30" customFormat="1" ht="20.149999999999999" customHeight="1" thickBot="1">
      <c r="A13" s="75"/>
      <c r="B13" s="75"/>
      <c r="C13" s="75" t="s">
        <v>87</v>
      </c>
      <c r="D13" s="75"/>
      <c r="E13" s="75"/>
      <c r="F13" s="75"/>
      <c r="G13" s="49"/>
    </row>
    <row r="14" spans="1:7" s="27" customFormat="1" ht="50.15" customHeight="1" thickBot="1">
      <c r="A14" s="755" t="s">
        <v>100</v>
      </c>
      <c r="B14" s="755"/>
      <c r="C14" s="57"/>
      <c r="D14" s="57"/>
      <c r="E14" s="537"/>
      <c r="F14" s="204"/>
      <c r="G14" s="16"/>
    </row>
    <row r="15" spans="1:7" ht="36" customHeight="1" thickTop="1" thickBot="1">
      <c r="A15" s="8" t="s">
        <v>89</v>
      </c>
      <c r="B15" s="8" t="s">
        <v>90</v>
      </c>
      <c r="C15" s="8" t="s">
        <v>91</v>
      </c>
      <c r="D15" s="8" t="s">
        <v>92</v>
      </c>
      <c r="E15" s="538" t="s">
        <v>93</v>
      </c>
      <c r="F15" s="203"/>
    </row>
    <row r="16" spans="1:7" s="30" customFormat="1" ht="50.15" customHeight="1" thickTop="1">
      <c r="A16" s="5" t="s">
        <v>101</v>
      </c>
      <c r="B16" s="5" t="str">
        <f>Questions!B388</f>
        <v xml:space="preserve">
First name
</v>
      </c>
      <c r="C16" s="173"/>
      <c r="D16" s="347" t="str">
        <f ca="1">'Reconciliation report'!D4</f>
        <v xml:space="preserve">
You must answer the question. The answer must be no more than 100 characters.
</v>
      </c>
      <c r="E16" s="582"/>
      <c r="F16" s="203"/>
    </row>
    <row r="17" spans="1:8" s="30" customFormat="1" ht="50.15" customHeight="1" thickBot="1">
      <c r="A17" s="5" t="s">
        <v>102</v>
      </c>
      <c r="B17" s="34" t="str">
        <f>Questions!B389</f>
        <v xml:space="preserve">	
Last name
</v>
      </c>
      <c r="C17" s="539"/>
      <c r="D17" s="363" t="str">
        <f ca="1">'Reconciliation report'!D5</f>
        <v xml:space="preserve">
You must answer the question. The answer must be no more than 100 characters.
</v>
      </c>
      <c r="E17" s="582"/>
      <c r="F17" s="203"/>
    </row>
    <row r="18" spans="1:8" s="30" customFormat="1" ht="20.149999999999999" customHeight="1" thickBot="1">
      <c r="A18" s="75"/>
      <c r="B18" s="75"/>
      <c r="C18" s="75" t="s">
        <v>87</v>
      </c>
      <c r="D18" s="75"/>
      <c r="E18" s="75"/>
      <c r="F18" s="75"/>
      <c r="G18" s="49"/>
    </row>
    <row r="19" spans="1:8" s="27" customFormat="1" ht="50.15" customHeight="1" thickBot="1">
      <c r="A19" s="750" t="s">
        <v>103</v>
      </c>
      <c r="B19" s="750"/>
      <c r="C19" s="57" t="s">
        <v>84</v>
      </c>
      <c r="D19" s="57"/>
      <c r="E19" s="57"/>
      <c r="F19" s="196"/>
      <c r="G19" s="16"/>
    </row>
    <row r="20" spans="1:8" ht="36" customHeight="1" thickTop="1" thickBot="1">
      <c r="A20" s="8" t="s">
        <v>89</v>
      </c>
      <c r="B20" s="8" t="s">
        <v>90</v>
      </c>
      <c r="C20" s="8" t="s">
        <v>91</v>
      </c>
      <c r="D20" s="8" t="s">
        <v>92</v>
      </c>
      <c r="E20" s="8" t="s">
        <v>104</v>
      </c>
      <c r="F20" s="199" t="s">
        <v>93</v>
      </c>
      <c r="G20" s="17"/>
    </row>
    <row r="21" spans="1:8" ht="93.5" thickTop="1">
      <c r="A21" s="29" t="s">
        <v>105</v>
      </c>
      <c r="B21" s="56" t="str">
        <f>Questions!C2</f>
        <v xml:space="preserve">
What is the effective date of the actuarial valuation this statement of strategy relates to? (dd/mm/yyyy)
</v>
      </c>
      <c r="C21" s="425"/>
      <c r="D21" s="347" t="str">
        <f ca="1">'Reconciliation report'!D6</f>
        <v xml:space="preserve">
Enter a valid date in the format dd/mm/yyyy.
</v>
      </c>
      <c r="E21" s="28" t="str">
        <f>Guidance!B2</f>
        <v xml:space="preserve">
The effective date is date at which the assets are valued and the Technical Provisions of the scheme are calculated.
</v>
      </c>
      <c r="F21" s="582"/>
      <c r="G21" s="17"/>
    </row>
    <row r="22" spans="1:8" ht="77.5">
      <c r="A22" s="29" t="s">
        <v>106</v>
      </c>
      <c r="B22" s="5" t="str">
        <f>Questions!C15</f>
        <v xml:space="preserve">
What is the scheme's relevant date? (dd/mm/yyyy)
</v>
      </c>
      <c r="C22" s="425"/>
      <c r="D22" s="347" t="str">
        <f ca="1">'Reconciliation report'!D7</f>
        <v xml:space="preserve">
Enter a date in the format dd/mm/yyyy.
</v>
      </c>
      <c r="E22" s="5" t="str">
        <f>Guidance!B10</f>
        <v xml:space="preserve">
The date at which the trustee is targeting (at least) 100% funding on a low dependency funding basis and the scheme is planning to be invested in low dependency investment allocation.
</v>
      </c>
      <c r="F22" s="582"/>
      <c r="G22" s="17"/>
    </row>
    <row r="23" spans="1:8" ht="140" thickBot="1">
      <c r="A23" s="29" t="s">
        <v>107</v>
      </c>
      <c r="B23" s="5" t="str">
        <f>Questions!B14</f>
        <v xml:space="preserve">
Has the scheme reached its relevant date on or before the effective date of the valuation? (The answer has been or will be derived from the answers given to questions SH 8.0 and SH 9.0)
</v>
      </c>
      <c r="C23" s="482" t="str">
        <f>IF(OR('Start here'!C21="", 'Start here'!C22=""),"",IF('Start here'!C21&lt;'Start here'!C22, RefData!B18, RefData!B17))</f>
        <v/>
      </c>
      <c r="D23" s="347" t="str">
        <f ca="1">'Reconciliation report'!D8</f>
        <v>Select ‘Yes' if the scheme has reached its relevant date on or before the effective date of the valuation or 'No' if it has not.</v>
      </c>
      <c r="E23" s="212" t="str">
        <f>Guidance!B9</f>
        <v xml:space="preserve">
We need to know if the scheme is pre or post relevant date for the purposes of asking for the correct information and providing the correct template. In this context, ‘post relevant date’ means on or after the relevant date.
This information has been derived from your answers to the two previous questions. 
</v>
      </c>
      <c r="F23" s="582"/>
      <c r="G23" s="19"/>
    </row>
    <row r="24" spans="1:8" ht="171" thickBot="1">
      <c r="A24" s="29" t="s">
        <v>108</v>
      </c>
      <c r="B24" s="84" t="str">
        <f>Questions!B3</f>
        <v xml:space="preserve">
Is the scheme a 'small scheme' on the effective date of the valuation?
</v>
      </c>
      <c r="C24" s="343"/>
      <c r="D24" s="347" t="str">
        <f ca="1">'Reconciliation report'!D9</f>
        <v>Select ‘Yes’ if the scheme meets the 'small scheme' definition on the effective date of the valuation and ‘No’ if it does not.</v>
      </c>
      <c r="E24" s="212" t="str">
        <f>Guidance!B3</f>
        <v xml:space="preserve">
We'll need to know if the scheme is 'small' for the purposes of asking for the correct information and providing the correct template. We have defined a small scheme as:
"Schemes with 200 members or less, excluding:
- members only eligible for lump sum death benefit;
- members with only defined contribution (DC) benefits; and
- wholly insured annuitants where they are not included in the calculation of Technical Provision liabilities".
</v>
      </c>
      <c r="F24" s="582"/>
      <c r="G24" s="19"/>
    </row>
    <row r="25" spans="1:8" ht="78" thickBot="1">
      <c r="A25" s="29" t="s">
        <v>110</v>
      </c>
      <c r="B25" s="58" t="str">
        <f>Questions!B13</f>
        <v xml:space="preserve">
Is the scheme in surplus or deficit on a technical provisions (TP) basis at the effective date of valuation?
</v>
      </c>
      <c r="C25" s="343"/>
      <c r="D25" s="347" t="str">
        <f ca="1">'Reconciliation report'!D10</f>
        <v>Select ‘In surplus’ if the scheme is in surplus on a technical provisions basis at the effective date of valuation or ‘In deficit’ if it is in deficit.</v>
      </c>
      <c r="E25" s="2" t="str">
        <f>Guidance!B8</f>
        <v xml:space="preserve">
Whether your scheme is in surplus or deficit on a technical provisions basis at the effective date of the valuation defines whether we will ask you for recovery plan information.
</v>
      </c>
      <c r="F25" s="582"/>
      <c r="G25" s="17"/>
    </row>
    <row r="26" spans="1:8" ht="78" thickBot="1">
      <c r="A26" s="29" t="s">
        <v>112</v>
      </c>
      <c r="B26" s="58" t="str">
        <f>Questions!B5</f>
        <v xml:space="preserve">
Does the scheme follow a Fast Track or Bespoke approach?
</v>
      </c>
      <c r="C26" s="343"/>
      <c r="D26" s="347" t="str">
        <f ca="1">'Reconciliation report'!D11</f>
        <v>Select 'Fast Track' if the scheme follows a Fast Track approach or 'Bespoke' if it follows a Bespoke approach.</v>
      </c>
      <c r="E26" s="59" t="str">
        <f>Guidance!B5</f>
        <v xml:space="preserve">
We'll need to know if the scheme follows a Fast Track or Bespoke approach for the purposes of asking for the correct information and providing the correct template.
</v>
      </c>
      <c r="F26" s="582"/>
      <c r="G26" s="17"/>
    </row>
    <row r="27" spans="1:8" ht="171" thickBot="1">
      <c r="A27" s="29" t="s">
        <v>114</v>
      </c>
      <c r="B27" s="208" t="str">
        <f>Questions!C6</f>
        <v xml:space="preserve">
Does the scheme meet the 'Bespoke low-risk scheme' requirements?
</v>
      </c>
      <c r="C27" s="427"/>
      <c r="D27" s="347" t="str">
        <f ca="1">'Reconciliation report'!D12</f>
        <v/>
      </c>
      <c r="E27" s="348" t="str">
        <f>Guidance!B6</f>
        <v xml:space="preserve">
If your scheme follows the Bespoke approach and is post-relevant date, we need to know if your scheme meets the requirements for being a Bespoke low-risk scheme. If it does, this reduces the data that we will ask from you. 
We have defined a Bespoke low-risk scheme as a scheme that is:
"in surplus on their low dependency funding basis after applying an immediate stress  based on their notional investment allocation".
</v>
      </c>
      <c r="F27" s="582"/>
    </row>
    <row r="28" spans="1:8" ht="248.5" thickBot="1">
      <c r="A28" s="29" t="s">
        <v>115</v>
      </c>
      <c r="B28" s="58" t="str">
        <f>Questions!C7</f>
        <v xml:space="preserve">
Does the scheme meet the 'Fast Track low-risk scheme' requirements?
</v>
      </c>
      <c r="C28" s="440"/>
      <c r="D28" s="347" t="str">
        <f ca="1">'Reconciliation report'!D13</f>
        <v/>
      </c>
      <c r="E28" s="59" t="str">
        <f>Guidance!B7</f>
        <v xml:space="preserve">
We will ask this question if you have selected 'Fast Track approach' in the previous question.
If your scheme follows a Fast Track approach, we'll ask if your scheme meets the requirements for being a 'Fast Track low-risk scheme'. If it does, this reduces the data that we will ask from you.
We have defined a Fast Track low-risk scheme as a scheme that is:
"either:
a) in surplus on a low dependency funding basis after applying an immediate Fast Track stress; or
b) in a position where full benefits for all members have been secured/bought in with an insurer."
</v>
      </c>
      <c r="F28" s="582"/>
    </row>
    <row r="29" spans="1:8" s="20" customFormat="1" ht="20.149999999999999" hidden="1" customHeight="1" thickBot="1">
      <c r="A29" s="75"/>
      <c r="B29" s="75"/>
      <c r="C29" s="75" t="s">
        <v>23</v>
      </c>
      <c r="D29" s="99"/>
      <c r="E29" s="200"/>
      <c r="F29" s="200"/>
      <c r="G29" s="200"/>
    </row>
    <row r="30" spans="1:8" s="20" customFormat="1" ht="50.15" hidden="1" customHeight="1" thickBot="1">
      <c r="A30" s="750" t="s">
        <v>117</v>
      </c>
      <c r="B30" s="751"/>
      <c r="C30" s="57"/>
      <c r="D30" s="57"/>
      <c r="E30" s="57"/>
      <c r="F30" s="57"/>
      <c r="G30" s="196"/>
    </row>
    <row r="31" spans="1:8" ht="36" hidden="1" customHeight="1" thickTop="1" thickBot="1">
      <c r="A31" s="752" t="s">
        <v>90</v>
      </c>
      <c r="B31" s="753"/>
      <c r="C31" s="668" t="s">
        <v>91</v>
      </c>
      <c r="D31" s="667"/>
      <c r="E31" s="667"/>
      <c r="F31" s="667"/>
      <c r="G31" s="199" t="s">
        <v>93</v>
      </c>
      <c r="H31" s="17"/>
    </row>
    <row r="32" spans="1:8" s="20" customFormat="1" ht="86" hidden="1" customHeight="1" thickTop="1" thickBot="1">
      <c r="A32" s="744" t="s">
        <v>118</v>
      </c>
      <c r="B32" s="754"/>
      <c r="C32" s="683"/>
      <c r="D32" s="667"/>
      <c r="E32" s="667"/>
      <c r="F32" s="667"/>
      <c r="G32" s="684"/>
    </row>
    <row r="33" spans="2:7" s="439" customFormat="1" ht="50.25" customHeight="1">
      <c r="B33" s="255"/>
      <c r="G33" s="442"/>
    </row>
  </sheetData>
  <sheetProtection algorithmName="SHA-512" hashValue="9k6rQ1PriCA6HSfgupyZcHYT441oQ9BEtE3zKzYwRYesAQ/0jWlKAYlagkW+00sXa1FVtC02UE+zlIYEWK/tHw==" saltValue="eJsFVT1CkXdcEIgJmp3sTQ==" spinCount="100000" sheet="1" objects="1" scenarios="1" sort="0" autoFilter="0"/>
  <mergeCells count="14">
    <mergeCell ref="A30:B30"/>
    <mergeCell ref="A31:B31"/>
    <mergeCell ref="A32:B32"/>
    <mergeCell ref="C3:C4"/>
    <mergeCell ref="D3:D4"/>
    <mergeCell ref="A6:B6"/>
    <mergeCell ref="A14:B14"/>
    <mergeCell ref="A19:B19"/>
    <mergeCell ref="C2:D2"/>
    <mergeCell ref="E2:F2"/>
    <mergeCell ref="A3:B4"/>
    <mergeCell ref="E3:E4"/>
    <mergeCell ref="A1:B1"/>
    <mergeCell ref="A2:B2"/>
  </mergeCells>
  <phoneticPr fontId="11" type="noConversion"/>
  <conditionalFormatting sqref="C32">
    <cfRule type="expression" dxfId="770" priority="1">
      <formula>$C$32=""</formula>
    </cfRule>
  </conditionalFormatting>
  <conditionalFormatting sqref="D8:D12 D16:D17 D21:D28">
    <cfRule type="notContainsBlanks" dxfId="767" priority="4">
      <formula>LEN(TRIM(D8))&gt;0</formula>
    </cfRule>
  </conditionalFormatting>
  <dataValidations xWindow="1079" yWindow="630" count="6">
    <dataValidation type="date" operator="greaterThan" allowBlank="1" showInputMessage="1" showErrorMessage="1" errorTitle="There is a problem" error="Enter a date later in the format dd/mm/yyyy" promptTitle="Enter a date" prompt="Enter a date (dd/mm/yyyy)" sqref="C22" xr:uid="{F6F6CCFC-B8BA-4623-8128-4B6DB859CD34}">
      <formula1>1</formula1>
    </dataValidation>
    <dataValidation type="textLength" showInputMessage="1" showErrorMessage="1" errorTitle="There is a problem" error="You must answer the question. Your answer must not exceed 100 characters." promptTitle="Add your answer" prompt="Answer this question in 100 characters or less" sqref="C16:C17" xr:uid="{9677B826-16F8-4AE5-9A99-B1DF3F69FDB1}">
      <formula1>1</formula1>
      <formula2>100</formula2>
    </dataValidation>
    <dataValidation operator="greaterThanOrEqual" allowBlank="1" errorTitle="There is a problem" error="You must select 'Yes' or 'No' from the dropdown list._x000a__x000a_Select ‘Yes' if the scheme has reached its relevant date on or before the effective date of the valuation or 'No' if it has not." promptTitle="Select an answer" prompt="Choose from the list provided." sqref="C23" xr:uid="{9970F904-D10A-4F50-B9FE-ED71A1EFCE1D}"/>
    <dataValidation type="date" allowBlank="1" showInputMessage="1" showErrorMessage="1" errorTitle="There is a problem" error="Enter a date in the format dd/mm/yyyy." promptTitle="Enter a date" prompt="Enter a date (dd/mm/yyyy)" sqref="C21" xr:uid="{10A8A442-A3B1-4D61-9A4B-2FE5B27A37DA}">
      <formula1>45557</formula1>
      <formula2>TODAY()</formula2>
    </dataValidation>
    <dataValidation type="textLength" allowBlank="1" showInputMessage="1" showErrorMessage="1" errorTitle="There is a problem" error="Your answer must be with between 2 and 510 characters." promptTitle="Add your answer" prompt="Answer this question with between 2 and 510 characters or less" sqref="C11" xr:uid="{533C2A1C-38AD-4724-ABE7-B0F802AB3E79}">
      <formula1>2</formula1>
      <formula2>510</formula2>
    </dataValidation>
    <dataValidation allowBlank="1" showInputMessage="1" showErrorMessage="1" error="Select from the list." sqref="C33" xr:uid="{9AAF5760-82F6-4AD7-A74F-032F49BE8D58}"/>
  </dataValidations>
  <pageMargins left="0.70000000000000007" right="0.70000000000000007" top="0.75" bottom="0.75" header="0.30000000000000004" footer="0.30000000000000004"/>
  <pageSetup paperSize="9" fitToWidth="0"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96" id="{85498AD0-C8B0-4F94-9E65-814F34BB95AB}">
            <xm:f>SEARCH(RefData!$B$2,$B$27)</xm:f>
            <x14:dxf>
              <font>
                <color rgb="FF5F5F5F"/>
              </font>
              <fill>
                <patternFill>
                  <bgColor theme="0" tint="-0.14996795556505021"/>
                </patternFill>
              </fill>
            </x14:dxf>
          </x14:cfRule>
          <xm:sqref>A27:F27</xm:sqref>
        </x14:conditionalFormatting>
        <x14:conditionalFormatting xmlns:xm="http://schemas.microsoft.com/office/excel/2006/main">
          <x14:cfRule type="expression" priority="579" id="{85498AD0-C8B0-4F94-9E65-814F34BB95AB}">
            <xm:f>SEARCH(RefData!$B$2,$B$28)</xm:f>
            <x14:dxf>
              <font>
                <color rgb="FF5F5F5F"/>
              </font>
              <fill>
                <patternFill>
                  <bgColor theme="0" tint="-0.14996795556505021"/>
                </patternFill>
              </fill>
            </x14:dxf>
          </x14:cfRule>
          <xm:sqref>A28:F28</xm:sqref>
        </x14:conditionalFormatting>
        <x14:conditionalFormatting xmlns:xm="http://schemas.microsoft.com/office/excel/2006/main">
          <x14:cfRule type="expression" priority="2" id="{9D26AD22-94A1-413A-BB69-DE9FEB951685}">
            <xm:f>$C$32=RefData!$B$433</xm:f>
            <x14:dxf>
              <fill>
                <patternFill>
                  <bgColor rgb="FFEFF5FA"/>
                </patternFill>
              </fill>
            </x14:dxf>
          </x14:cfRule>
          <x14:cfRule type="expression" priority="3" id="{5A199D21-57AA-409B-AE86-C7A3CF576FEC}">
            <xm:f>$C$32=RefData!$B$434</xm:f>
            <x14:dxf>
              <fill>
                <patternFill>
                  <bgColor rgb="FFEFF5FA"/>
                </patternFill>
              </fill>
            </x14:dxf>
          </x14:cfRule>
          <xm:sqref>C32</xm:sqref>
        </x14:conditionalFormatting>
      </x14:conditionalFormattings>
    </ext>
    <ext xmlns:x14="http://schemas.microsoft.com/office/spreadsheetml/2009/9/main" uri="{CCE6A557-97BC-4b89-ADB6-D9C93CAAB3DF}">
      <x14:dataValidations xmlns:xm="http://schemas.microsoft.com/office/excel/2006/main" xWindow="1079" yWindow="630" count="6">
        <x14:dataValidation type="list" allowBlank="1" showInputMessage="1" showErrorMessage="1" errorTitle="There is a problem" error="You must select an option from the dropdown list._x000a__x000a_Select 'Fast Track' if the scheme follows a Fast Track approach or 'Bespoke' if it follows a Bespoke approach." promptTitle="Select an answer" prompt="Choose from the list provided." xr:uid="{8C5F4DE8-87C8-4421-9DFA-99F1BAF5419B}">
          <x14:formula1>
            <xm:f>RefData!$B$9:$B$10</xm:f>
          </x14:formula1>
          <xm:sqref>C26</xm:sqref>
        </x14:dataValidation>
        <x14:dataValidation type="list" allowBlank="1" showInputMessage="1" showErrorMessage="1" errorTitle="There is a problem" error="You must select 'Yes' or 'No' from the dropdown list._x000a__x000a_Select ‘Yes’ if the scheme meets the 'small scheme' definition on the effective date of the valuation or ‘No’ if it is does not." promptTitle="Select an answer" prompt="Choose from the list provided." xr:uid="{5742E54E-EBF5-4E18-BFCF-ADDBC5BC36DD}">
          <x14:formula1>
            <xm:f>RefData!$B$4:$B$5</xm:f>
          </x14:formula1>
          <xm:sqref>C24</xm:sqref>
        </x14:dataValidation>
        <x14:dataValidation type="list" allowBlank="1" showInputMessage="1" showErrorMessage="1" errorTitle="There is a problem" error="You must select 'Yes' or 'No' from the dropdown list." promptTitle="Select an answer" prompt="Choose from the list provided." xr:uid="{39DB27C6-A45E-4B5C-B70A-9AD1D6F28B00}">
          <x14:formula1>
            <xm:f>RefData!$B$13:$B$14</xm:f>
          </x14:formula1>
          <xm:sqref>C28</xm:sqref>
        </x14:dataValidation>
        <x14:dataValidation type="list" allowBlank="1" showInputMessage="1" showErrorMessage="1" errorTitle="There is a problem" error="You must select an option from the dropdown list._x000a__x000a_Select ‘In surplus’ if the scheme is in surplus on a technical provisions basis at the effective date of valuation or ‘In deficit’ if it is in deficit." promptTitle="Select an answer" prompt="Choose from the list provided." xr:uid="{9A0259BE-1706-4395-BAB0-9BB06F0DFD6B}">
          <x14:formula1>
            <xm:f>RefData!$B$15:$B$16</xm:f>
          </x14:formula1>
          <xm:sqref>C25</xm:sqref>
        </x14:dataValidation>
        <x14:dataValidation type="list" allowBlank="1" showInputMessage="1" showErrorMessage="1" errorTitle="There is a problem" error="Do not answer this question if you have indicated that your scheme follows a Fast Track approach._x000a__x000a_If the scheme follows a Bespoke approach, you must select ‘Yes‘ or 'No' from the dropdown list." promptTitle="Select an answer" prompt="Choose from the list provided." xr:uid="{11E6ACE0-E69C-47B7-9305-FA6DC0F36B7A}">
          <x14:formula1>
            <xm:f>RefData!$B$11:$B$12</xm:f>
          </x14:formula1>
          <xm:sqref>C27</xm:sqref>
        </x14:dataValidation>
        <x14:dataValidation type="list" allowBlank="1" showInputMessage="1" showErrorMessage="1" xr:uid="{E378177D-B3F2-4B79-AE7E-F3BA50C1B56B}">
          <x14:formula1>
            <xm:f>RefData!$B$433:$B$435</xm:f>
          </x14:formula1>
          <xm:sqref>C32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E36E9-FA33-4B99-AC5E-F4FE61CD89F2}">
  <sheetPr codeName="Sheet22"/>
  <dimension ref="A1:N174"/>
  <sheetViews>
    <sheetView zoomScaleNormal="100" workbookViewId="0">
      <selection sqref="A1:B1"/>
    </sheetView>
  </sheetViews>
  <sheetFormatPr defaultColWidth="0" defaultRowHeight="0" customHeight="1" zeroHeight="1"/>
  <cols>
    <col min="1" max="1" width="14.69140625" style="20" customWidth="1"/>
    <col min="2" max="2" width="62.69140625" style="20" customWidth="1"/>
    <col min="3" max="3" width="28.69140625" style="20" customWidth="1"/>
    <col min="4" max="6" width="62.69140625" style="20" customWidth="1"/>
    <col min="7" max="14" width="33.69140625" style="20" hidden="1" customWidth="1"/>
    <col min="15" max="16384" width="8.69140625" style="20" hidden="1"/>
  </cols>
  <sheetData>
    <row r="1" spans="1:13" s="142" customFormat="1" ht="50.15" customHeight="1" thickBot="1">
      <c r="A1" s="747" t="s">
        <v>738</v>
      </c>
      <c r="B1" s="748"/>
      <c r="C1" s="13"/>
      <c r="D1" s="13"/>
      <c r="E1" s="13"/>
      <c r="F1" s="13"/>
      <c r="G1" s="27"/>
      <c r="H1" s="27"/>
      <c r="I1" s="27"/>
      <c r="J1" s="27"/>
      <c r="K1" s="27"/>
      <c r="L1" s="27"/>
      <c r="M1" s="27"/>
    </row>
    <row r="2" spans="1:13" s="142" customFormat="1" ht="50.15" customHeight="1" thickTop="1" thickBot="1">
      <c r="A2" s="742" t="s">
        <v>85</v>
      </c>
      <c r="B2" s="742"/>
      <c r="C2" s="57"/>
      <c r="D2" s="57"/>
      <c r="E2" s="57"/>
      <c r="F2" s="57"/>
      <c r="G2" s="27"/>
      <c r="H2" s="27"/>
      <c r="I2" s="27"/>
      <c r="J2" s="27"/>
      <c r="K2" s="27"/>
      <c r="L2" s="27"/>
      <c r="M2" s="27"/>
    </row>
    <row r="3" spans="1:13" s="142" customFormat="1" ht="409.4" customHeight="1" thickTop="1" thickBot="1">
      <c r="A3" s="766" t="s">
        <v>739</v>
      </c>
      <c r="B3" s="787"/>
      <c r="C3" s="25"/>
      <c r="D3" s="26"/>
      <c r="E3" s="26"/>
      <c r="F3" s="26"/>
      <c r="G3" s="27"/>
      <c r="H3" s="27"/>
      <c r="I3" s="27"/>
      <c r="J3" s="27"/>
      <c r="K3" s="27"/>
      <c r="L3" s="27"/>
      <c r="M3" s="27"/>
    </row>
    <row r="4" spans="1:13" s="143" customFormat="1" ht="20.149999999999999" customHeight="1" thickBot="1">
      <c r="A4" s="75"/>
      <c r="B4" s="75"/>
      <c r="C4" s="75" t="s">
        <v>23</v>
      </c>
      <c r="D4" s="99"/>
      <c r="E4" s="99"/>
      <c r="F4" s="99"/>
      <c r="G4" s="32"/>
      <c r="H4" s="32"/>
      <c r="I4" s="32"/>
      <c r="J4" s="32"/>
      <c r="K4" s="32"/>
      <c r="L4" s="32"/>
      <c r="M4" s="32"/>
    </row>
    <row r="5" spans="1:13" s="144" customFormat="1" ht="50.15" customHeight="1" thickBot="1">
      <c r="A5" s="755" t="s">
        <v>740</v>
      </c>
      <c r="B5" s="755"/>
      <c r="C5" s="57"/>
      <c r="D5" s="57"/>
      <c r="E5" s="57"/>
      <c r="F5" s="57"/>
      <c r="G5" s="21"/>
      <c r="H5" s="21"/>
      <c r="I5" s="21"/>
      <c r="J5" s="21"/>
      <c r="K5" s="21"/>
      <c r="L5" s="21"/>
      <c r="M5" s="21"/>
    </row>
    <row r="6" spans="1:13" s="47" customFormat="1" ht="36" customHeight="1" thickTop="1" thickBot="1">
      <c r="A6" s="8" t="s">
        <v>89</v>
      </c>
      <c r="B6" s="8" t="s">
        <v>90</v>
      </c>
      <c r="C6" s="8" t="s">
        <v>91</v>
      </c>
      <c r="D6" s="8" t="s">
        <v>92</v>
      </c>
      <c r="E6" s="199" t="s">
        <v>104</v>
      </c>
      <c r="F6" s="199" t="s">
        <v>93</v>
      </c>
      <c r="G6" s="17"/>
    </row>
    <row r="7" spans="1:13" ht="78" thickTop="1">
      <c r="A7" s="27" t="s">
        <v>742</v>
      </c>
      <c r="B7" s="118" t="str">
        <f>Questions!$C$400</f>
        <v xml:space="preserve">
No answer required
Legal name
</v>
      </c>
      <c r="C7" s="515"/>
      <c r="D7" s="361" t="str">
        <f ca="1">'Reconciliation report'!$D562</f>
        <v/>
      </c>
      <c r="E7" s="122" t="str">
        <f>Guidance!$B$174</f>
        <v xml:space="preserve">
Full legal name of the guarantor.
</v>
      </c>
      <c r="F7" s="128"/>
    </row>
    <row r="8" spans="1:13" ht="124.25" customHeight="1">
      <c r="A8" s="27" t="s">
        <v>744</v>
      </c>
      <c r="B8" s="118" t="str">
        <f>Questions!$C$401</f>
        <v xml:space="preserve">
No answer required
Companies House number (if applicable)
</v>
      </c>
      <c r="C8" s="481"/>
      <c r="D8" s="361" t="str">
        <f ca="1">'Reconciliation report'!$D563</f>
        <v/>
      </c>
      <c r="E8" s="122" t="str">
        <f>Guidance!$B$175</f>
        <v xml:space="preserve">
If the entity is a UK registered company, enter its unique registration number from Companies House.
</v>
      </c>
      <c r="F8" s="128"/>
    </row>
    <row r="9" spans="1:13" ht="77.5">
      <c r="A9" s="27" t="s">
        <v>746</v>
      </c>
      <c r="B9" s="118" t="str">
        <f>Questions!$C$402</f>
        <v xml:space="preserve">
No answer required
Charity number (if applicable)
</v>
      </c>
      <c r="C9" s="481"/>
      <c r="D9" s="361" t="str">
        <f ca="1">'Reconciliation report'!$D564</f>
        <v/>
      </c>
      <c r="E9" s="122" t="str">
        <f>Guidance!$B$259</f>
        <v xml:space="preserve">
If the entity is a UK registered charity, provide its unique registration number from the relevant charity commission.
</v>
      </c>
      <c r="F9" s="128"/>
    </row>
    <row r="10" spans="1:13" ht="108.65" customHeight="1">
      <c r="A10" s="27" t="s">
        <v>748</v>
      </c>
      <c r="B10" s="118" t="str">
        <f>Questions!$C$403</f>
        <v xml:space="preserve">
No answer required
Trading name
</v>
      </c>
      <c r="C10" s="481"/>
      <c r="D10" s="361" t="str">
        <f ca="1">'Reconciliation report'!$D565</f>
        <v/>
      </c>
      <c r="E10" s="122" t="str">
        <f>Guidance!$B$260</f>
        <v xml:space="preserve">
This is the name the entity uses in its day-to-day business, which might differ from its legal name.
</v>
      </c>
      <c r="F10" s="128"/>
    </row>
    <row r="11" spans="1:13" ht="108.65" customHeight="1">
      <c r="A11" s="27" t="s">
        <v>750</v>
      </c>
      <c r="B11" s="118" t="str">
        <f>Questions!$C$404</f>
        <v xml:space="preserve">
No answer required
Address line 1
</v>
      </c>
      <c r="C11" s="481"/>
      <c r="D11" s="361" t="str">
        <f ca="1">'Reconciliation report'!$D566</f>
        <v/>
      </c>
      <c r="E11" s="122" t="str">
        <f>Guidance!B287</f>
        <v>Guidance is not required for this question.</v>
      </c>
      <c r="F11" s="128"/>
    </row>
    <row r="12" spans="1:13" ht="77.5">
      <c r="A12" s="27" t="s">
        <v>752</v>
      </c>
      <c r="B12" s="118" t="str">
        <f>Questions!$C$405</f>
        <v xml:space="preserve">
No answer required
Address line 2 (optional)
</v>
      </c>
      <c r="C12" s="481"/>
      <c r="D12" s="361" t="str">
        <f ca="1">'Reconciliation report'!$D567</f>
        <v/>
      </c>
      <c r="E12" s="122" t="str">
        <f>Guidance!B287</f>
        <v>Guidance is not required for this question.</v>
      </c>
      <c r="F12" s="128"/>
    </row>
    <row r="13" spans="1:13" ht="77.5">
      <c r="A13" s="27" t="s">
        <v>754</v>
      </c>
      <c r="B13" s="118" t="str">
        <f>Questions!$C$406</f>
        <v xml:space="preserve">
No answer required
Address line 3 (optional)
</v>
      </c>
      <c r="C13" s="481"/>
      <c r="D13" s="361" t="str">
        <f ca="1">'Reconciliation report'!$D568</f>
        <v/>
      </c>
      <c r="E13" s="122" t="str">
        <f>Guidance!B287</f>
        <v>Guidance is not required for this question.</v>
      </c>
      <c r="F13" s="128"/>
    </row>
    <row r="14" spans="1:13" ht="109.25" customHeight="1" thickBot="1">
      <c r="A14" s="27" t="s">
        <v>756</v>
      </c>
      <c r="B14" s="118" t="str">
        <f>Questions!$C$407</f>
        <v xml:space="preserve">
No answer required
Post town or city
</v>
      </c>
      <c r="C14" s="481"/>
      <c r="D14" s="361" t="str">
        <f ca="1">'Reconciliation report'!$D569</f>
        <v/>
      </c>
      <c r="E14" s="122" t="str">
        <f>Guidance!B287</f>
        <v>Guidance is not required for this question.</v>
      </c>
      <c r="F14" s="128"/>
    </row>
    <row r="15" spans="1:13" ht="109.25" customHeight="1" thickBot="1">
      <c r="A15" s="27" t="s">
        <v>758</v>
      </c>
      <c r="B15" s="121" t="str">
        <f>Questions!$C$408</f>
        <v xml:space="preserve">
No answer required
Country
</v>
      </c>
      <c r="C15" s="343"/>
      <c r="D15" s="372" t="str">
        <f ca="1">'Reconciliation report'!$D570</f>
        <v/>
      </c>
      <c r="E15" s="122" t="str">
        <f>Guidance!B287</f>
        <v>Guidance is not required for this question.</v>
      </c>
      <c r="F15" s="227"/>
    </row>
    <row r="16" spans="1:13" s="332" customFormat="1" ht="124.5" customHeight="1" thickBot="1">
      <c r="A16" s="659" t="s">
        <v>760</v>
      </c>
      <c r="B16" s="118" t="str">
        <f>Questions!$C$409</f>
        <v xml:space="preserve">
No answer required
Postcode
</v>
      </c>
      <c r="C16" s="380"/>
      <c r="D16" s="361" t="str">
        <f ca="1">'Reconciliation report'!$D571</f>
        <v/>
      </c>
      <c r="E16" s="122" t="str">
        <f>Guidance!B287</f>
        <v>Guidance is not required for this question.</v>
      </c>
      <c r="F16" s="128"/>
    </row>
    <row r="17" spans="1:13" ht="93.5" thickBot="1">
      <c r="A17" s="330" t="s">
        <v>762</v>
      </c>
      <c r="B17" s="324" t="str">
        <f>Questions!$C$410</f>
        <v xml:space="preserve">
No answer required
Is the guarantor an associated company?
</v>
      </c>
      <c r="C17" s="343"/>
      <c r="D17" s="372" t="str">
        <f ca="1">'Reconciliation report'!$D572</f>
        <v/>
      </c>
      <c r="E17" s="124" t="str">
        <f>Guidance!$B$176</f>
        <v xml:space="preserve">
Companies are generally associated if one has control of the other or if both are under the control of the same person or group of people. If trustees are unsure as to whether the guarantor is associated with the employer(s), they should consider seeking legal advice.
</v>
      </c>
      <c r="F17" s="226"/>
    </row>
    <row r="18" spans="1:13" ht="233" thickBot="1">
      <c r="A18" s="282" t="s">
        <v>765</v>
      </c>
      <c r="B18" s="121" t="str">
        <f>Questions!$C$411</f>
        <v xml:space="preserve">
No answer required
What is type of guarantee?
</v>
      </c>
      <c r="C18" s="343"/>
      <c r="D18" s="372" t="str">
        <f ca="1">'Reconciliation report'!$D573</f>
        <v/>
      </c>
      <c r="E18" s="122" t="str">
        <f>Guidance!$B$177</f>
        <v xml:space="preserve">
A 'formal look-through guarantee' enables trustees to claim against the guarantor in respect of all monies owed by the employer to the scheme without restrictions or qualifications once a trigger event has taken place and is structured in such a way that they largely replicate the obligations placed on a statutory employer.
'Look-through guarantees subject to limitation(s)' also enable trustees to claim against the guarantor in a similar way to a 'formal look through guarantee' but are subject to some restrictions or qualifications, for example, limiting the amount that can be claimed. Non look-through guarantees do not have a legal mechanism enabling trustees to look through to the guarantor’s cash flows when setting contributions.
</v>
      </c>
      <c r="F18" s="227"/>
    </row>
    <row r="19" spans="1:13" ht="78" thickBot="1">
      <c r="A19" s="282" t="s">
        <v>767</v>
      </c>
      <c r="B19" s="118" t="str">
        <f>Questions!$C$412</f>
        <v xml:space="preserve">
No answer required
Describe the other type of guarantee.
</v>
      </c>
      <c r="C19" s="380"/>
      <c r="D19" s="361" t="str">
        <f ca="1">'Reconciliation report'!$D574</f>
        <v/>
      </c>
      <c r="E19" s="122" t="str">
        <f>Guidance!B287</f>
        <v>Guidance is not required for this question.</v>
      </c>
      <c r="F19" s="128"/>
    </row>
    <row r="20" spans="1:13" ht="109" thickBot="1">
      <c r="A20" s="282" t="s">
        <v>769</v>
      </c>
      <c r="B20" s="121" t="str">
        <f>Questions!$C$413</f>
        <v xml:space="preserve">
No answer required
Type of maturity
</v>
      </c>
      <c r="C20" s="343"/>
      <c r="D20" s="372" t="str">
        <f ca="1">'Reconciliation report'!$D575</f>
        <v/>
      </c>
      <c r="E20" s="122" t="str">
        <f>Guidance!$B$179</f>
        <v xml:space="preserve">
Multiple choice answer setting out details regarding the maturity date of the guarantee. Select 'evergreen' when there is no fixed expiry date. Otherwise, provide the date of maturity, which is when the scheme's legal access to or the term of the guarantee  is due to end. If neither of these options apply, select 'Other'.
</v>
      </c>
      <c r="F20" s="227"/>
    </row>
    <row r="21" spans="1:13" ht="93" customHeight="1">
      <c r="A21" s="282" t="s">
        <v>772</v>
      </c>
      <c r="B21" s="118" t="str">
        <f>Questions!$C$414</f>
        <v xml:space="preserve">
No answer required
Date of maturity
</v>
      </c>
      <c r="C21" s="429"/>
      <c r="D21" s="361" t="str">
        <f ca="1">'Reconciliation report'!$D576</f>
        <v/>
      </c>
      <c r="E21" s="122" t="str">
        <f>Guidance!B287</f>
        <v>Guidance is not required for this question.</v>
      </c>
      <c r="F21" s="128"/>
    </row>
    <row r="22" spans="1:13" ht="106.5" customHeight="1">
      <c r="A22" s="282" t="s">
        <v>774</v>
      </c>
      <c r="B22" s="118" t="str">
        <f>Questions!$C$415</f>
        <v xml:space="preserve">
No answer required
Maturity date narrative
</v>
      </c>
      <c r="C22" s="516"/>
      <c r="D22" s="361" t="str">
        <f ca="1">'Reconciliation report'!$D577</f>
        <v/>
      </c>
      <c r="E22" s="122" t="str">
        <f>Guidance!$B$181</f>
        <v xml:space="preserve">
If the answer to the maturity date question above is 'Other', describe the maturity date (for example, what drives the maturity).
</v>
      </c>
      <c r="F22" s="128"/>
    </row>
    <row r="23" spans="1:13" ht="155">
      <c r="A23" s="282" t="s">
        <v>776</v>
      </c>
      <c r="B23" s="118" t="str">
        <f>Questions!$C$416</f>
        <v xml:space="preserve">
No answer required
Value ascribed (£)
</v>
      </c>
      <c r="C23" s="412"/>
      <c r="D23" s="361" t="str">
        <f ca="1">'Reconciliation report'!$D578</f>
        <v/>
      </c>
      <c r="E23" s="122" t="str">
        <f>Guidance!$B$182</f>
        <v xml:space="preserve">
The amount expected to be realisable from the guarantee. This can be in terms of 'equal to or at least'.
This should take into account the scenarios the security is intended to address, and any keep well agreements or pre-insolvency triggered included. For example, if the guarantee is triggered on an employer's insolvency, this is the amount expected to be recovered from the guarantor in that scenario.
</v>
      </c>
      <c r="F23" s="128"/>
    </row>
    <row r="24" spans="1:13" ht="78" thickBot="1">
      <c r="A24" s="282" t="s">
        <v>778</v>
      </c>
      <c r="B24" s="118" t="str">
        <f>Questions!$C$417</f>
        <v xml:space="preserve">
No answer required
Date of valuation
</v>
      </c>
      <c r="C24" s="528"/>
      <c r="D24" s="361" t="str">
        <f ca="1">'Reconciliation report'!$D579</f>
        <v/>
      </c>
      <c r="E24" s="122" t="str">
        <f>Guidance!$B$183</f>
        <v xml:space="preserve">
The date as at which the guarantee was valued.
</v>
      </c>
      <c r="F24" s="128"/>
    </row>
    <row r="25" spans="1:13" ht="175.25" customHeight="1" thickBot="1">
      <c r="A25" s="282" t="s">
        <v>780</v>
      </c>
      <c r="B25" s="121" t="str">
        <f>Questions!$C$418</f>
        <v xml:space="preserve">
No answer required
Value cap
</v>
      </c>
      <c r="C25" s="343"/>
      <c r="D25" s="372" t="str">
        <f ca="1">'Reconciliation report'!$D580</f>
        <v/>
      </c>
      <c r="E25" s="122" t="str">
        <f>Guidance!$B$184</f>
        <v xml:space="preserve">
This is the maximum amount payable to the scheme pursuant to the terms of the guarantee when called upon. 
</v>
      </c>
      <c r="F25" s="227"/>
    </row>
    <row r="26" spans="1:13" ht="93" customHeight="1">
      <c r="A26" s="282" t="s">
        <v>782</v>
      </c>
      <c r="B26" s="118" t="str">
        <f>Questions!$C$419</f>
        <v xml:space="preserve">
No answer required
Narrative regarding value cap
</v>
      </c>
      <c r="C26" s="380"/>
      <c r="D26" s="361" t="str">
        <f ca="1">'Reconciliation report'!$D581</f>
        <v/>
      </c>
      <c r="E26" s="122" t="str">
        <f>Guidance!$B$185</f>
        <v xml:space="preserve">
If the answer to the value cap question above is 'Other', describe the value cap.
</v>
      </c>
      <c r="F26" s="317"/>
    </row>
    <row r="27" spans="1:13" ht="78" customHeight="1" thickBot="1">
      <c r="A27" s="282" t="s">
        <v>784</v>
      </c>
      <c r="B27" s="140" t="str">
        <f>Questions!$C$420</f>
        <v xml:space="preserve">
No answer required
Fixed cap amount (£)
</v>
      </c>
      <c r="C27" s="304"/>
      <c r="D27" s="362" t="str">
        <f ca="1">'Reconciliation report'!$D582</f>
        <v/>
      </c>
      <c r="E27" s="141" t="str">
        <f>Guidance!$B$287</f>
        <v>Guidance is not required for this question.</v>
      </c>
      <c r="F27" s="317"/>
    </row>
    <row r="28" spans="1:13" s="143" customFormat="1" ht="20.149999999999999" customHeight="1" thickBot="1">
      <c r="A28" s="75"/>
      <c r="B28" s="75"/>
      <c r="C28" s="75" t="s">
        <v>23</v>
      </c>
      <c r="D28" s="68"/>
      <c r="E28" s="99"/>
      <c r="F28" s="99"/>
      <c r="G28" s="32"/>
      <c r="H28" s="32"/>
      <c r="I28" s="32"/>
      <c r="J28" s="32"/>
      <c r="K28" s="32"/>
      <c r="L28" s="32"/>
      <c r="M28" s="32"/>
    </row>
    <row r="29" spans="1:13" s="144" customFormat="1" ht="50.15" customHeight="1" thickBot="1">
      <c r="A29" s="755" t="s">
        <v>785</v>
      </c>
      <c r="B29" s="755"/>
      <c r="C29" s="57"/>
      <c r="D29" s="57"/>
      <c r="E29" s="57"/>
      <c r="F29" s="57"/>
      <c r="G29" s="21"/>
      <c r="H29" s="21"/>
      <c r="I29" s="21"/>
      <c r="J29" s="21"/>
      <c r="K29" s="21"/>
      <c r="L29" s="21"/>
      <c r="M29" s="21"/>
    </row>
    <row r="30" spans="1:13" s="47" customFormat="1" ht="36" customHeight="1" thickTop="1" thickBot="1">
      <c r="A30" s="8" t="s">
        <v>89</v>
      </c>
      <c r="B30" s="8" t="s">
        <v>90</v>
      </c>
      <c r="C30" s="8" t="s">
        <v>91</v>
      </c>
      <c r="D30" s="8" t="s">
        <v>92</v>
      </c>
      <c r="E30" s="199" t="s">
        <v>104</v>
      </c>
      <c r="F30" s="199" t="s">
        <v>93</v>
      </c>
      <c r="G30" s="17"/>
    </row>
    <row r="31" spans="1:13" ht="78.5" thickTop="1" thickBot="1">
      <c r="A31" s="282" t="s">
        <v>787</v>
      </c>
      <c r="B31" s="121" t="str">
        <f>Questions!$C$421</f>
        <v xml:space="preserve">
Participating employer insolvency
</v>
      </c>
      <c r="C31" s="187"/>
      <c r="D31" s="382" t="str">
        <f ca="1">'Reconciliation report'!$D$583</f>
        <v/>
      </c>
      <c r="E31" s="122" t="str">
        <f>Guidance!$B$186</f>
        <v xml:space="preserve">
If insolvency of a participating employer is a circumstance in which the trustees may seek payment from the guarantor under the terms of the guarantee. 
</v>
      </c>
      <c r="F31" s="227"/>
    </row>
    <row r="32" spans="1:13" ht="78" thickBot="1">
      <c r="A32" s="282" t="s">
        <v>790</v>
      </c>
      <c r="B32" s="121" t="str">
        <f>Questions!$C$422</f>
        <v xml:space="preserve">
Insolvency of associated company
</v>
      </c>
      <c r="C32" s="343"/>
      <c r="D32" s="383" t="str">
        <f ca="1">'Reconciliation report'!$D$584</f>
        <v/>
      </c>
      <c r="E32" s="122" t="str">
        <f>Guidance!$B$187</f>
        <v xml:space="preserve">
If insolvency of an associated company is a circumstance in which the trustees may seek payment from the guarantor under the terms of the guarantee.
</v>
      </c>
      <c r="F32" s="227"/>
    </row>
    <row r="33" spans="1:13" ht="78" thickBot="1">
      <c r="A33" s="282" t="s">
        <v>792</v>
      </c>
      <c r="B33" s="121" t="str">
        <f>Questions!$C$423</f>
        <v xml:space="preserve">
Non payment of contributions
</v>
      </c>
      <c r="C33" s="343"/>
      <c r="D33" s="383" t="str">
        <f ca="1">'Reconciliation report'!$D$585</f>
        <v/>
      </c>
      <c r="E33" s="122" t="str">
        <f>Guidance!$B$188</f>
        <v xml:space="preserve">
If non-payment of contributions is a circumstance in which the trustees may seek payment from the guarantor under the terms of the guarantee.
</v>
      </c>
      <c r="F33" s="227"/>
    </row>
    <row r="34" spans="1:13" ht="78" thickBot="1">
      <c r="A34" s="282" t="s">
        <v>794</v>
      </c>
      <c r="B34" s="121" t="str">
        <f>Questions!$C$424</f>
        <v xml:space="preserve">
Crystallisation of investment risk
</v>
      </c>
      <c r="C34" s="343"/>
      <c r="D34" s="383" t="str">
        <f ca="1">'Reconciliation report'!$D$586</f>
        <v/>
      </c>
      <c r="E34" s="122" t="str">
        <f>Guidance!$B$189</f>
        <v xml:space="preserve">
If crystallisation of investment risk is a circumstance in which the trustees may seek payment from the guarantor under the terms of the guarantee.
</v>
      </c>
      <c r="F34" s="227"/>
    </row>
    <row r="35" spans="1:13" ht="62.5" thickBot="1">
      <c r="A35" s="282" t="s">
        <v>796</v>
      </c>
      <c r="B35" s="121" t="str">
        <f>Questions!$C$425</f>
        <v xml:space="preserve">
Other
</v>
      </c>
      <c r="C35" s="343"/>
      <c r="D35" s="383" t="str">
        <f ca="1">'Reconciliation report'!$D$587</f>
        <v/>
      </c>
      <c r="E35" s="122" t="str">
        <f>Guidance!$B$190</f>
        <v xml:space="preserve">
If there are other circumstances in which the trustees may seek payment from the guarantor under the terms of the guarantee.
</v>
      </c>
      <c r="F35" s="227"/>
    </row>
    <row r="36" spans="1:13" ht="77.5">
      <c r="A36" s="282" t="s">
        <v>798</v>
      </c>
      <c r="B36" s="118" t="str">
        <f>Questions!$C$426</f>
        <v xml:space="preserve">
Describe the other triggers for access to value
</v>
      </c>
      <c r="C36" s="517"/>
      <c r="D36" s="384" t="str">
        <f ca="1">'Reconciliation report'!$D$588</f>
        <v/>
      </c>
      <c r="E36" s="122" t="str">
        <f>Guidance!$B$191</f>
        <v xml:space="preserve">
Specific description of the 'other' circumstances in which the trustees may seek payment from the guarantor under the terms of the guarantee.
</v>
      </c>
      <c r="F36" s="128"/>
    </row>
    <row r="37" spans="1:13" ht="62.5" thickBot="1">
      <c r="A37" s="281" t="s">
        <v>800</v>
      </c>
      <c r="B37" s="136" t="str">
        <f>Questions!$C$427</f>
        <v xml:space="preserve">
Triggers for termination
</v>
      </c>
      <c r="C37" s="501"/>
      <c r="D37" s="385" t="str">
        <f ca="1">'Reconciliation report'!$D$589</f>
        <v/>
      </c>
      <c r="E37" s="132" t="str">
        <f>Guidance!$B$192</f>
        <v xml:space="preserve">
The circumstances specified in the guarantee under which the guarantee will terminate or cease to have effect
</v>
      </c>
      <c r="F37" s="155"/>
    </row>
    <row r="38" spans="1:13" s="143" customFormat="1" ht="20.149999999999999" customHeight="1" thickBot="1">
      <c r="A38" s="75"/>
      <c r="B38" s="69"/>
      <c r="C38" s="75" t="s">
        <v>23</v>
      </c>
      <c r="D38" s="68"/>
      <c r="E38" s="68"/>
      <c r="F38" s="68"/>
      <c r="G38" s="32"/>
      <c r="H38" s="32"/>
      <c r="I38" s="32"/>
      <c r="J38" s="32"/>
      <c r="K38" s="32"/>
      <c r="L38" s="32"/>
      <c r="M38" s="32"/>
    </row>
    <row r="39" spans="1:13" s="144" customFormat="1" ht="50.15" customHeight="1" thickBot="1">
      <c r="A39" s="755" t="s">
        <v>801</v>
      </c>
      <c r="B39" s="755"/>
      <c r="C39" s="57"/>
      <c r="D39" s="57"/>
      <c r="E39" s="57"/>
      <c r="F39" s="57"/>
      <c r="G39" s="21"/>
      <c r="H39" s="21"/>
      <c r="I39" s="21"/>
      <c r="J39" s="21"/>
      <c r="K39" s="21"/>
      <c r="L39" s="21"/>
      <c r="M39" s="21"/>
    </row>
    <row r="40" spans="1:13" s="47" customFormat="1" ht="36" customHeight="1" thickTop="1" thickBot="1">
      <c r="A40" s="8" t="s">
        <v>89</v>
      </c>
      <c r="B40" s="8" t="s">
        <v>90</v>
      </c>
      <c r="C40" s="8" t="s">
        <v>91</v>
      </c>
      <c r="D40" s="8" t="s">
        <v>92</v>
      </c>
      <c r="E40" s="199" t="s">
        <v>104</v>
      </c>
      <c r="F40" s="199" t="s">
        <v>93</v>
      </c>
      <c r="G40" s="17"/>
    </row>
    <row r="41" spans="1:13" ht="78" thickTop="1">
      <c r="A41" s="27" t="s">
        <v>803</v>
      </c>
      <c r="B41" s="118" t="str">
        <f>Questions!$C$428</f>
        <v xml:space="preserve">
No answer required
Legal name
</v>
      </c>
      <c r="C41" s="515"/>
      <c r="D41" s="361" t="str">
        <f ca="1">'Reconciliation report'!$D590</f>
        <v/>
      </c>
      <c r="E41" s="122" t="str">
        <f>Guidance!$B$174</f>
        <v xml:space="preserve">
Full legal name of the guarantor.
</v>
      </c>
      <c r="F41" s="128"/>
    </row>
    <row r="42" spans="1:13" ht="124.25" customHeight="1">
      <c r="A42" s="27" t="s">
        <v>805</v>
      </c>
      <c r="B42" s="118" t="str">
        <f>Questions!$C$429</f>
        <v xml:space="preserve">
No answer required
Companies House number (if applicable)
</v>
      </c>
      <c r="C42" s="481"/>
      <c r="D42" s="361" t="str">
        <f ca="1">'Reconciliation report'!$D591</f>
        <v/>
      </c>
      <c r="E42" s="122" t="str">
        <f>Guidance!$B$175</f>
        <v xml:space="preserve">
If the entity is a UK registered company, enter its unique registration number from Companies House.
</v>
      </c>
      <c r="F42" s="128"/>
    </row>
    <row r="43" spans="1:13" ht="77.5">
      <c r="A43" s="27" t="s">
        <v>807</v>
      </c>
      <c r="B43" s="118" t="str">
        <f>Questions!$C$430</f>
        <v xml:space="preserve">
No answer required
Charity number (if applicable)
</v>
      </c>
      <c r="C43" s="481"/>
      <c r="D43" s="361" t="str">
        <f ca="1">'Reconciliation report'!$D592</f>
        <v/>
      </c>
      <c r="E43" s="122" t="str">
        <f>Guidance!$B$259</f>
        <v xml:space="preserve">
If the entity is a UK registered charity, provide its unique registration number from the relevant charity commission.
</v>
      </c>
      <c r="F43" s="128"/>
    </row>
    <row r="44" spans="1:13" ht="108.65" customHeight="1">
      <c r="A44" s="27" t="s">
        <v>809</v>
      </c>
      <c r="B44" s="118" t="str">
        <f>Questions!$C$431</f>
        <v xml:space="preserve">
No answer required
Trading name
</v>
      </c>
      <c r="C44" s="481"/>
      <c r="D44" s="361" t="str">
        <f ca="1">'Reconciliation report'!$D593</f>
        <v/>
      </c>
      <c r="E44" s="122" t="str">
        <f>Guidance!$B$260</f>
        <v xml:space="preserve">
This is the name the entity uses in its day-to-day business, which might differ from its legal name.
</v>
      </c>
      <c r="F44" s="128"/>
    </row>
    <row r="45" spans="1:13" ht="108.65" customHeight="1">
      <c r="A45" s="27" t="s">
        <v>811</v>
      </c>
      <c r="B45" s="118" t="str">
        <f>Questions!$C$432</f>
        <v xml:space="preserve">
No answer required
Address line 1
</v>
      </c>
      <c r="C45" s="481"/>
      <c r="D45" s="361" t="str">
        <f ca="1">'Reconciliation report'!$D594</f>
        <v/>
      </c>
      <c r="E45" s="122" t="str">
        <f>Guidance!B287</f>
        <v>Guidance is not required for this question.</v>
      </c>
      <c r="F45" s="128"/>
    </row>
    <row r="46" spans="1:13" ht="77.5">
      <c r="A46" s="27" t="s">
        <v>813</v>
      </c>
      <c r="B46" s="118" t="str">
        <f>Questions!$C$433</f>
        <v xml:space="preserve">
No answer required
Address line 2 (optional)
</v>
      </c>
      <c r="C46" s="481"/>
      <c r="D46" s="361" t="str">
        <f ca="1">'Reconciliation report'!$D595</f>
        <v/>
      </c>
      <c r="E46" s="122" t="str">
        <f>Guidance!B287</f>
        <v>Guidance is not required for this question.</v>
      </c>
      <c r="F46" s="128"/>
    </row>
    <row r="47" spans="1:13" ht="77.5">
      <c r="A47" s="27" t="s">
        <v>815</v>
      </c>
      <c r="B47" s="118" t="str">
        <f>Questions!$C$434</f>
        <v xml:space="preserve">
No answer required
Address line 3 (optional)
</v>
      </c>
      <c r="C47" s="481"/>
      <c r="D47" s="361" t="str">
        <f ca="1">'Reconciliation report'!$D596</f>
        <v/>
      </c>
      <c r="E47" s="122" t="str">
        <f>Guidance!B287</f>
        <v>Guidance is not required for this question.</v>
      </c>
      <c r="F47" s="128"/>
    </row>
    <row r="48" spans="1:13" ht="109.25" customHeight="1" thickBot="1">
      <c r="A48" s="27" t="s">
        <v>817</v>
      </c>
      <c r="B48" s="118" t="str">
        <f>Questions!$C$435</f>
        <v xml:space="preserve">
No answer required
Post town or city
</v>
      </c>
      <c r="C48" s="481"/>
      <c r="D48" s="361" t="str">
        <f ca="1">'Reconciliation report'!$D597</f>
        <v/>
      </c>
      <c r="E48" s="122" t="str">
        <f>Guidance!B287</f>
        <v>Guidance is not required for this question.</v>
      </c>
      <c r="F48" s="128"/>
    </row>
    <row r="49" spans="1:13" ht="109.25" customHeight="1" thickBot="1">
      <c r="A49" s="27" t="s">
        <v>819</v>
      </c>
      <c r="B49" s="121" t="str">
        <f>Questions!$C$436</f>
        <v xml:space="preserve">
No answer required
Country
</v>
      </c>
      <c r="C49" s="343"/>
      <c r="D49" s="372" t="str">
        <f ca="1">'Reconciliation report'!$D598</f>
        <v/>
      </c>
      <c r="E49" s="122" t="str">
        <f>Guidance!B287</f>
        <v>Guidance is not required for this question.</v>
      </c>
      <c r="F49" s="227"/>
    </row>
    <row r="50" spans="1:13" s="332" customFormat="1" ht="78" thickBot="1">
      <c r="A50" s="659" t="s">
        <v>822</v>
      </c>
      <c r="B50" s="118" t="str">
        <f>Questions!$C$437</f>
        <v xml:space="preserve">
No answer required
Postcode
</v>
      </c>
      <c r="C50" s="380"/>
      <c r="D50" s="361" t="str">
        <f ca="1">'Reconciliation report'!$D599</f>
        <v/>
      </c>
      <c r="E50" s="122" t="str">
        <f>Guidance!B287</f>
        <v>Guidance is not required for this question.</v>
      </c>
      <c r="F50" s="128"/>
    </row>
    <row r="51" spans="1:13" ht="93.65" customHeight="1" thickBot="1">
      <c r="A51" s="330" t="s">
        <v>824</v>
      </c>
      <c r="B51" s="324" t="str">
        <f>Questions!$C$438</f>
        <v xml:space="preserve">
No answer required
Is the guarantor an associated company?
</v>
      </c>
      <c r="C51" s="343"/>
      <c r="D51" s="372" t="str">
        <f ca="1">'Reconciliation report'!$D600</f>
        <v/>
      </c>
      <c r="E51" s="124" t="str">
        <f>Guidance!$B$176</f>
        <v xml:space="preserve">
Companies are generally associated if one has control of the other or if both are under the control of the same person or group of people. If trustees are unsure as to whether the guarantor is associated with the employer(s), they should consider seeking legal advice.
</v>
      </c>
      <c r="F51" s="226"/>
    </row>
    <row r="52" spans="1:13" ht="212.15" customHeight="1" thickBot="1">
      <c r="A52" s="282" t="s">
        <v>827</v>
      </c>
      <c r="B52" s="121" t="str">
        <f>Questions!$C$439</f>
        <v xml:space="preserve">
No answer required
What is type of guarantee?
</v>
      </c>
      <c r="C52" s="343"/>
      <c r="D52" s="372" t="str">
        <f ca="1">'Reconciliation report'!$D601</f>
        <v/>
      </c>
      <c r="E52" s="122" t="str">
        <f>Guidance!$B$177</f>
        <v xml:space="preserve">
A 'formal look-through guarantee' enables trustees to claim against the guarantor in respect of all monies owed by the employer to the scheme without restrictions or qualifications once a trigger event has taken place and is structured in such a way that they largely replicate the obligations placed on a statutory employer.
'Look-through guarantees subject to limitation(s)' also enable trustees to claim against the guarantor in a similar way to a 'formal look through guarantee' but are subject to some restrictions or qualifications, for example, limiting the amount that can be claimed. Non look-through guarantees do not have a legal mechanism enabling trustees to look through to the guarantor’s cash flows when setting contributions.
</v>
      </c>
      <c r="F52" s="227"/>
    </row>
    <row r="53" spans="1:13" ht="78" thickBot="1">
      <c r="A53" s="282" t="s">
        <v>829</v>
      </c>
      <c r="B53" s="118" t="str">
        <f>Questions!$C$440</f>
        <v xml:space="preserve">
No answer required
Describe the other type of guarantee.
</v>
      </c>
      <c r="C53" s="380"/>
      <c r="D53" s="361" t="str">
        <f ca="1">'Reconciliation report'!$D602</f>
        <v/>
      </c>
      <c r="E53" s="122" t="str">
        <f>Guidance!B287</f>
        <v>Guidance is not required for this question.</v>
      </c>
      <c r="F53" s="128"/>
    </row>
    <row r="54" spans="1:13" ht="109" thickBot="1">
      <c r="A54" s="282" t="s">
        <v>831</v>
      </c>
      <c r="B54" s="121" t="str">
        <f>Questions!$C$441</f>
        <v xml:space="preserve">
No answer required
Type of maturity
</v>
      </c>
      <c r="C54" s="343"/>
      <c r="D54" s="372" t="str">
        <f ca="1">'Reconciliation report'!$D603</f>
        <v/>
      </c>
      <c r="E54" s="122" t="str">
        <f>Guidance!$B$179</f>
        <v xml:space="preserve">
Multiple choice answer setting out details regarding the maturity date of the guarantee. Select 'evergreen' when there is no fixed expiry date. Otherwise, provide the date of maturity, which is when the scheme's legal access to or the term of the guarantee  is due to end. If neither of these options apply, select 'Other'.
</v>
      </c>
      <c r="F54" s="227"/>
    </row>
    <row r="55" spans="1:13" ht="77.5">
      <c r="A55" s="282" t="s">
        <v>833</v>
      </c>
      <c r="B55" s="118" t="str">
        <f>Questions!$C$442</f>
        <v xml:space="preserve">
No answer required
Date of maturity
</v>
      </c>
      <c r="C55" s="429"/>
      <c r="D55" s="361" t="str">
        <f ca="1">'Reconciliation report'!$D604</f>
        <v/>
      </c>
      <c r="E55" s="122" t="str">
        <f>Guidance!B287</f>
        <v>Guidance is not required for this question.</v>
      </c>
      <c r="F55" s="128"/>
    </row>
    <row r="56" spans="1:13" ht="150" customHeight="1">
      <c r="A56" s="282" t="s">
        <v>835</v>
      </c>
      <c r="B56" s="118" t="str">
        <f>Questions!$C$443</f>
        <v xml:space="preserve">
No answer required
Maturity date narrative
</v>
      </c>
      <c r="C56" s="516"/>
      <c r="D56" s="361" t="str">
        <f ca="1">'Reconciliation report'!$D605</f>
        <v/>
      </c>
      <c r="E56" s="122" t="str">
        <f>Guidance!$B$181</f>
        <v xml:space="preserve">
If the answer to the maturity date question above is 'Other', describe the maturity date (for example, what drives the maturity).
</v>
      </c>
      <c r="F56" s="128"/>
    </row>
    <row r="57" spans="1:13" ht="155">
      <c r="A57" s="282" t="s">
        <v>837</v>
      </c>
      <c r="B57" s="118" t="str">
        <f>Questions!$C$444</f>
        <v xml:space="preserve">
No answer required
Value ascribed (£)
</v>
      </c>
      <c r="C57" s="412"/>
      <c r="D57" s="361" t="str">
        <f ca="1">'Reconciliation report'!$D606</f>
        <v/>
      </c>
      <c r="E57" s="122" t="str">
        <f>Guidance!$B$182</f>
        <v xml:space="preserve">
The amount expected to be realisable from the guarantee. This can be in terms of 'equal to or at least'.
This should take into account the scenarios the security is intended to address, and any keep well agreements or pre-insolvency triggered included. For example, if the guarantee is triggered on an employer's insolvency, this is the amount expected to be recovered from the guarantor in that scenario.
</v>
      </c>
      <c r="F57" s="128"/>
    </row>
    <row r="58" spans="1:13" ht="78" thickBot="1">
      <c r="A58" s="282" t="s">
        <v>839</v>
      </c>
      <c r="B58" s="118" t="str">
        <f>Questions!$C$445</f>
        <v xml:space="preserve">
No answer required
Date of valuation
</v>
      </c>
      <c r="C58" s="528"/>
      <c r="D58" s="361" t="str">
        <f ca="1">'Reconciliation report'!$D607</f>
        <v/>
      </c>
      <c r="E58" s="122" t="str">
        <f>Guidance!$B$183</f>
        <v xml:space="preserve">
The date as at which the guarantee was valued.
</v>
      </c>
      <c r="F58" s="128"/>
    </row>
    <row r="59" spans="1:13" ht="175.25" customHeight="1" thickBot="1">
      <c r="A59" s="282" t="s">
        <v>841</v>
      </c>
      <c r="B59" s="121" t="str">
        <f>Questions!$C$446</f>
        <v xml:space="preserve">
No answer required
Value cap
</v>
      </c>
      <c r="C59" s="343"/>
      <c r="D59" s="372" t="str">
        <f ca="1">'Reconciliation report'!$D608</f>
        <v/>
      </c>
      <c r="E59" s="122" t="str">
        <f>Guidance!$B$184</f>
        <v xml:space="preserve">
This is the maximum amount payable to the scheme pursuant to the terms of the guarantee when called upon. 
</v>
      </c>
      <c r="F59" s="227"/>
    </row>
    <row r="60" spans="1:13" ht="93" customHeight="1">
      <c r="A60" s="282" t="s">
        <v>844</v>
      </c>
      <c r="B60" s="118" t="str">
        <f>Questions!$C$447</f>
        <v xml:space="preserve">
No answer required
Narrative regarding value cap
</v>
      </c>
      <c r="C60" s="380"/>
      <c r="D60" s="361" t="str">
        <f ca="1">'Reconciliation report'!$D609</f>
        <v/>
      </c>
      <c r="E60" s="122" t="str">
        <f>Guidance!$B$185</f>
        <v xml:space="preserve">
If the answer to the value cap question above is 'Other', describe the value cap.
</v>
      </c>
      <c r="F60" s="128"/>
    </row>
    <row r="61" spans="1:13" ht="78" thickBot="1">
      <c r="A61" s="329" t="s">
        <v>846</v>
      </c>
      <c r="B61" s="140" t="str">
        <f>Questions!$C$448</f>
        <v xml:space="preserve">
No answer required
Fixed cap amount (£)
</v>
      </c>
      <c r="C61" s="304"/>
      <c r="D61" s="362" t="str">
        <f ca="1">'Reconciliation report'!$D610</f>
        <v/>
      </c>
      <c r="E61" s="141" t="str">
        <f>Guidance!$B$287</f>
        <v>Guidance is not required for this question.</v>
      </c>
      <c r="F61" s="317"/>
    </row>
    <row r="62" spans="1:13" s="143" customFormat="1" ht="20.149999999999999" customHeight="1" thickBot="1">
      <c r="A62" s="75"/>
      <c r="B62" s="75"/>
      <c r="C62" s="75" t="s">
        <v>23</v>
      </c>
      <c r="D62" s="68"/>
      <c r="E62" s="99"/>
      <c r="F62" s="99"/>
      <c r="G62" s="32"/>
      <c r="H62" s="32"/>
      <c r="I62" s="32"/>
      <c r="J62" s="32"/>
      <c r="K62" s="32"/>
      <c r="L62" s="32"/>
      <c r="M62" s="32"/>
    </row>
    <row r="63" spans="1:13" s="144" customFormat="1" ht="50.15" customHeight="1" thickBot="1">
      <c r="A63" s="755" t="s">
        <v>847</v>
      </c>
      <c r="B63" s="755"/>
      <c r="C63" s="57"/>
      <c r="D63" s="57"/>
      <c r="E63" s="57"/>
      <c r="F63" s="57"/>
      <c r="G63" s="21"/>
      <c r="H63" s="21"/>
      <c r="I63" s="21"/>
      <c r="J63" s="21"/>
      <c r="K63" s="21"/>
      <c r="L63" s="21"/>
      <c r="M63" s="21"/>
    </row>
    <row r="64" spans="1:13" s="47" customFormat="1" ht="36" customHeight="1" thickTop="1" thickBot="1">
      <c r="A64" s="8" t="s">
        <v>89</v>
      </c>
      <c r="B64" s="8" t="s">
        <v>90</v>
      </c>
      <c r="C64" s="8" t="s">
        <v>91</v>
      </c>
      <c r="D64" s="8" t="s">
        <v>92</v>
      </c>
      <c r="E64" s="199" t="s">
        <v>104</v>
      </c>
      <c r="F64" s="199" t="s">
        <v>93</v>
      </c>
      <c r="G64" s="17"/>
    </row>
    <row r="65" spans="1:13" ht="78.5" thickTop="1" thickBot="1">
      <c r="A65" s="282" t="s">
        <v>849</v>
      </c>
      <c r="B65" s="121" t="str">
        <f>Questions!$C$449</f>
        <v xml:space="preserve">
Participating employer insolvency
</v>
      </c>
      <c r="C65" s="187"/>
      <c r="D65" s="372" t="str">
        <f ca="1">'Reconciliation report'!$D611</f>
        <v/>
      </c>
      <c r="E65" s="122" t="str">
        <f>Guidance!$B$186</f>
        <v xml:space="preserve">
If insolvency of a participating employer is a circumstance in which the trustees may seek payment from the guarantor under the terms of the guarantee. 
</v>
      </c>
      <c r="F65" s="227"/>
    </row>
    <row r="66" spans="1:13" ht="78" thickBot="1">
      <c r="A66" s="282" t="s">
        <v>852</v>
      </c>
      <c r="B66" s="121" t="str">
        <f>Questions!$C$450</f>
        <v xml:space="preserve">
Insolvency of associated company
</v>
      </c>
      <c r="C66" s="343"/>
      <c r="D66" s="372" t="str">
        <f ca="1">'Reconciliation report'!$D612</f>
        <v/>
      </c>
      <c r="E66" s="122" t="str">
        <f>Guidance!$B$187</f>
        <v xml:space="preserve">
If insolvency of an associated company is a circumstance in which the trustees may seek payment from the guarantor under the terms of the guarantee.
</v>
      </c>
      <c r="F66" s="227"/>
    </row>
    <row r="67" spans="1:13" ht="78" thickBot="1">
      <c r="A67" s="282" t="s">
        <v>854</v>
      </c>
      <c r="B67" s="121" t="str">
        <f>Questions!$C$451</f>
        <v xml:space="preserve">
Non payment of contributions
</v>
      </c>
      <c r="C67" s="343"/>
      <c r="D67" s="372" t="str">
        <f ca="1">'Reconciliation report'!$D613</f>
        <v/>
      </c>
      <c r="E67" s="122" t="str">
        <f>Guidance!$B$188</f>
        <v xml:space="preserve">
If non-payment of contributions is a circumstance in which the trustees may seek payment from the guarantor under the terms of the guarantee.
</v>
      </c>
      <c r="F67" s="227"/>
    </row>
    <row r="68" spans="1:13" ht="78" thickBot="1">
      <c r="A68" s="282" t="s">
        <v>856</v>
      </c>
      <c r="B68" s="121" t="str">
        <f>Questions!$C$452</f>
        <v xml:space="preserve">
Crystallisation of investment risk
</v>
      </c>
      <c r="C68" s="343"/>
      <c r="D68" s="372" t="str">
        <f ca="1">'Reconciliation report'!$D614</f>
        <v/>
      </c>
      <c r="E68" s="122" t="str">
        <f>Guidance!$B$189</f>
        <v xml:space="preserve">
If crystallisation of investment risk is a circumstance in which the trustees may seek payment from the guarantor under the terms of the guarantee.
</v>
      </c>
      <c r="F68" s="227"/>
    </row>
    <row r="69" spans="1:13" ht="62.5" thickBot="1">
      <c r="A69" s="282" t="s">
        <v>858</v>
      </c>
      <c r="B69" s="121" t="str">
        <f>Questions!$C$453</f>
        <v xml:space="preserve">
Other
</v>
      </c>
      <c r="C69" s="343"/>
      <c r="D69" s="372" t="str">
        <f ca="1">'Reconciliation report'!$D615</f>
        <v/>
      </c>
      <c r="E69" s="122" t="str">
        <f>Guidance!$B$190</f>
        <v xml:space="preserve">
If there are other circumstances in which the trustees may seek payment from the guarantor under the terms of the guarantee.
</v>
      </c>
      <c r="F69" s="227"/>
    </row>
    <row r="70" spans="1:13" ht="77.5">
      <c r="A70" s="282" t="s">
        <v>860</v>
      </c>
      <c r="B70" s="118" t="str">
        <f>Questions!$C$454</f>
        <v xml:space="preserve">
Describe the other triggers for access to value
</v>
      </c>
      <c r="C70" s="517"/>
      <c r="D70" s="361" t="str">
        <f ca="1">'Reconciliation report'!$D616</f>
        <v/>
      </c>
      <c r="E70" s="122" t="str">
        <f>Guidance!$B$191</f>
        <v xml:space="preserve">
Specific description of the 'other' circumstances in which the trustees may seek payment from the guarantor under the terms of the guarantee.
</v>
      </c>
      <c r="F70" s="128"/>
    </row>
    <row r="71" spans="1:13" ht="62.5" thickBot="1">
      <c r="A71" s="281" t="s">
        <v>862</v>
      </c>
      <c r="B71" s="172" t="str">
        <f>Questions!$C$455</f>
        <v xml:space="preserve">
Triggers for termination
</v>
      </c>
      <c r="C71" s="518"/>
      <c r="D71" s="362" t="str">
        <f ca="1">'Reconciliation report'!$D617</f>
        <v/>
      </c>
      <c r="E71" s="132" t="str">
        <f>Guidance!$B$192</f>
        <v xml:space="preserve">
The circumstances specified in the guarantee under which the guarantee will terminate or cease to have effect
</v>
      </c>
      <c r="F71" s="155"/>
    </row>
    <row r="72" spans="1:13" s="143" customFormat="1" ht="20.149999999999999" customHeight="1" thickBot="1">
      <c r="A72" s="75"/>
      <c r="B72" s="69"/>
      <c r="C72" s="75" t="s">
        <v>23</v>
      </c>
      <c r="D72" s="68"/>
      <c r="E72" s="68"/>
      <c r="F72" s="68"/>
      <c r="G72" s="32"/>
      <c r="H72" s="32"/>
      <c r="I72" s="32"/>
      <c r="J72" s="32"/>
      <c r="K72" s="32"/>
      <c r="L72" s="32"/>
      <c r="M72" s="32"/>
    </row>
    <row r="73" spans="1:13" s="144" customFormat="1" ht="50.15" customHeight="1" thickBot="1">
      <c r="A73" s="755" t="s">
        <v>863</v>
      </c>
      <c r="B73" s="755"/>
      <c r="C73" s="57"/>
      <c r="D73" s="57"/>
      <c r="E73" s="57"/>
      <c r="F73" s="57"/>
      <c r="G73" s="21"/>
      <c r="H73" s="21"/>
      <c r="I73" s="21"/>
      <c r="J73" s="21"/>
      <c r="K73" s="21"/>
      <c r="L73" s="21"/>
      <c r="M73" s="21"/>
    </row>
    <row r="74" spans="1:13" s="47" customFormat="1" ht="36" customHeight="1" thickTop="1" thickBot="1">
      <c r="A74" s="8" t="s">
        <v>89</v>
      </c>
      <c r="B74" s="8" t="s">
        <v>90</v>
      </c>
      <c r="C74" s="8" t="s">
        <v>91</v>
      </c>
      <c r="D74" s="8" t="s">
        <v>92</v>
      </c>
      <c r="E74" s="199" t="s">
        <v>104</v>
      </c>
      <c r="F74" s="199" t="s">
        <v>93</v>
      </c>
      <c r="G74" s="17"/>
    </row>
    <row r="75" spans="1:13" ht="78" thickTop="1">
      <c r="A75" s="27" t="s">
        <v>865</v>
      </c>
      <c r="B75" s="118" t="str">
        <f>Questions!$C$456</f>
        <v xml:space="preserve">
No answer required
Legal name
</v>
      </c>
      <c r="C75" s="515"/>
      <c r="D75" s="361" t="str">
        <f ca="1">'Reconciliation report'!$D618</f>
        <v/>
      </c>
      <c r="E75" s="122" t="str">
        <f>Guidance!$B$174</f>
        <v xml:space="preserve">
Full legal name of the guarantor.
</v>
      </c>
      <c r="F75" s="128"/>
    </row>
    <row r="76" spans="1:13" ht="124.25" customHeight="1">
      <c r="A76" s="27" t="s">
        <v>867</v>
      </c>
      <c r="B76" s="118" t="str">
        <f>Questions!$C$457</f>
        <v xml:space="preserve">
No answer required
Companies House number (if applicable)
</v>
      </c>
      <c r="C76" s="481"/>
      <c r="D76" s="361" t="str">
        <f ca="1">'Reconciliation report'!$D619</f>
        <v/>
      </c>
      <c r="E76" s="122" t="str">
        <f>Guidance!$B$175</f>
        <v xml:space="preserve">
If the entity is a UK registered company, enter its unique registration number from Companies House.
</v>
      </c>
      <c r="F76" s="128"/>
    </row>
    <row r="77" spans="1:13" ht="77.5">
      <c r="A77" s="27" t="s">
        <v>869</v>
      </c>
      <c r="B77" s="118" t="str">
        <f>Questions!$C$458</f>
        <v xml:space="preserve">
No answer required
Charity number (if applicable)
</v>
      </c>
      <c r="C77" s="481"/>
      <c r="D77" s="361" t="str">
        <f ca="1">'Reconciliation report'!$D620</f>
        <v/>
      </c>
      <c r="E77" s="122" t="str">
        <f>Guidance!$B$259</f>
        <v xml:space="preserve">
If the entity is a UK registered charity, provide its unique registration number from the relevant charity commission.
</v>
      </c>
      <c r="F77" s="128"/>
    </row>
    <row r="78" spans="1:13" ht="108.65" customHeight="1">
      <c r="A78" s="27" t="s">
        <v>871</v>
      </c>
      <c r="B78" s="118" t="str">
        <f>Questions!$C$459</f>
        <v xml:space="preserve">
No answer required
Trading name
</v>
      </c>
      <c r="C78" s="481"/>
      <c r="D78" s="361" t="str">
        <f ca="1">'Reconciliation report'!$D621</f>
        <v/>
      </c>
      <c r="E78" s="122" t="str">
        <f>Guidance!$B$260</f>
        <v xml:space="preserve">
This is the name the entity uses in its day-to-day business, which might differ from its legal name.
</v>
      </c>
      <c r="F78" s="128"/>
    </row>
    <row r="79" spans="1:13" ht="108.65" customHeight="1">
      <c r="A79" s="27" t="s">
        <v>873</v>
      </c>
      <c r="B79" s="118" t="str">
        <f>Questions!$C$460</f>
        <v xml:space="preserve">
No answer required
Address line 1
</v>
      </c>
      <c r="C79" s="481"/>
      <c r="D79" s="361" t="str">
        <f ca="1">'Reconciliation report'!$D622</f>
        <v/>
      </c>
      <c r="E79" s="122" t="str">
        <f>Guidance!B287</f>
        <v>Guidance is not required for this question.</v>
      </c>
      <c r="F79" s="128"/>
    </row>
    <row r="80" spans="1:13" ht="77.5">
      <c r="A80" s="27" t="s">
        <v>875</v>
      </c>
      <c r="B80" s="118" t="str">
        <f>Questions!$C$461</f>
        <v xml:space="preserve">
No answer required
Address line 2 (optional)
</v>
      </c>
      <c r="C80" s="481"/>
      <c r="D80" s="361" t="str">
        <f ca="1">'Reconciliation report'!$D623</f>
        <v/>
      </c>
      <c r="E80" s="122" t="str">
        <f>Guidance!B287</f>
        <v>Guidance is not required for this question.</v>
      </c>
      <c r="F80" s="128"/>
    </row>
    <row r="81" spans="1:13" ht="77.5">
      <c r="A81" s="27" t="s">
        <v>877</v>
      </c>
      <c r="B81" s="118" t="str">
        <f>Questions!$C$462</f>
        <v xml:space="preserve">
No answer required
Address line 3 (optional)
</v>
      </c>
      <c r="C81" s="481"/>
      <c r="D81" s="361" t="str">
        <f ca="1">'Reconciliation report'!$D624</f>
        <v/>
      </c>
      <c r="E81" s="122" t="str">
        <f>Guidance!B287</f>
        <v>Guidance is not required for this question.</v>
      </c>
      <c r="F81" s="128"/>
    </row>
    <row r="82" spans="1:13" ht="109.25" customHeight="1" thickBot="1">
      <c r="A82" s="27" t="s">
        <v>879</v>
      </c>
      <c r="B82" s="118" t="str">
        <f>Questions!$C$463</f>
        <v xml:space="preserve">
No answer required
Post town or city
</v>
      </c>
      <c r="C82" s="481"/>
      <c r="D82" s="361" t="str">
        <f ca="1">'Reconciliation report'!$D625</f>
        <v/>
      </c>
      <c r="E82" s="122" t="str">
        <f>Guidance!B287</f>
        <v>Guidance is not required for this question.</v>
      </c>
      <c r="F82" s="128"/>
    </row>
    <row r="83" spans="1:13" ht="109.25" customHeight="1" thickBot="1">
      <c r="A83" s="27" t="s">
        <v>881</v>
      </c>
      <c r="B83" s="121" t="str">
        <f>Questions!$C$464</f>
        <v xml:space="preserve">
No answer required
Country
</v>
      </c>
      <c r="C83" s="343"/>
      <c r="D83" s="372" t="str">
        <f ca="1">'Reconciliation report'!$D626</f>
        <v/>
      </c>
      <c r="E83" s="122" t="str">
        <f>Guidance!B287</f>
        <v>Guidance is not required for this question.</v>
      </c>
      <c r="F83" s="227"/>
    </row>
    <row r="84" spans="1:13" s="332" customFormat="1" ht="78" thickBot="1">
      <c r="A84" s="659" t="s">
        <v>883</v>
      </c>
      <c r="B84" s="118" t="str">
        <f>Questions!$C$465</f>
        <v xml:space="preserve">
No answer required
Postcode
</v>
      </c>
      <c r="C84" s="380"/>
      <c r="D84" s="361" t="str">
        <f ca="1">'Reconciliation report'!$D627</f>
        <v/>
      </c>
      <c r="E84" s="122" t="str">
        <f>Guidance!B287</f>
        <v>Guidance is not required for this question.</v>
      </c>
      <c r="F84" s="128"/>
    </row>
    <row r="85" spans="1:13" ht="93.5" thickBot="1">
      <c r="A85" s="330" t="s">
        <v>885</v>
      </c>
      <c r="B85" s="324" t="str">
        <f>Questions!$C$466</f>
        <v xml:space="preserve">
No answer required
Is the guarantor an associated company?
</v>
      </c>
      <c r="C85" s="343"/>
      <c r="D85" s="372" t="str">
        <f ca="1">'Reconciliation report'!$D628</f>
        <v/>
      </c>
      <c r="E85" s="124" t="str">
        <f>Guidance!$B$176</f>
        <v xml:space="preserve">
Companies are generally associated if one has control of the other or if both are under the control of the same person or group of people. If trustees are unsure as to whether the guarantor is associated with the employer(s), they should consider seeking legal advice.
</v>
      </c>
      <c r="F85" s="226"/>
    </row>
    <row r="86" spans="1:13" ht="233" thickBot="1">
      <c r="A86" s="282" t="s">
        <v>887</v>
      </c>
      <c r="B86" s="121" t="str">
        <f>Questions!$C$467</f>
        <v xml:space="preserve">
No answer required
What is type of guarantee?
</v>
      </c>
      <c r="C86" s="343"/>
      <c r="D86" s="372" t="str">
        <f ca="1">'Reconciliation report'!$D629</f>
        <v/>
      </c>
      <c r="E86" s="122" t="str">
        <f>Guidance!$B$177</f>
        <v xml:space="preserve">
A 'formal look-through guarantee' enables trustees to claim against the guarantor in respect of all monies owed by the employer to the scheme without restrictions or qualifications once a trigger event has taken place and is structured in such a way that they largely replicate the obligations placed on a statutory employer.
'Look-through guarantees subject to limitation(s)' also enable trustees to claim against the guarantor in a similar way to a 'formal look through guarantee' but are subject to some restrictions or qualifications, for example, limiting the amount that can be claimed. Non look-through guarantees do not have a legal mechanism enabling trustees to look through to the guarantor’s cash flows when setting contributions.
</v>
      </c>
      <c r="F86" s="227"/>
    </row>
    <row r="87" spans="1:13" ht="78" thickBot="1">
      <c r="A87" s="282" t="s">
        <v>889</v>
      </c>
      <c r="B87" s="118" t="str">
        <f>Questions!$C$468</f>
        <v xml:space="preserve">
No answer required
Describe the other type of guarantee.
</v>
      </c>
      <c r="C87" s="380"/>
      <c r="D87" s="361" t="str">
        <f ca="1">'Reconciliation report'!$D630</f>
        <v/>
      </c>
      <c r="E87" s="122" t="str">
        <f>Guidance!B287</f>
        <v>Guidance is not required for this question.</v>
      </c>
      <c r="F87" s="128"/>
    </row>
    <row r="88" spans="1:13" ht="109" thickBot="1">
      <c r="A88" s="282" t="s">
        <v>891</v>
      </c>
      <c r="B88" s="121" t="str">
        <f>Questions!$C$469</f>
        <v xml:space="preserve">
No answer required
Type of maturity
</v>
      </c>
      <c r="C88" s="343"/>
      <c r="D88" s="372" t="str">
        <f ca="1">'Reconciliation report'!$D631</f>
        <v/>
      </c>
      <c r="E88" s="122" t="str">
        <f>Guidance!$B$179</f>
        <v xml:space="preserve">
Multiple choice answer setting out details regarding the maturity date of the guarantee. Select 'evergreen' when there is no fixed expiry date. Otherwise, provide the date of maturity, which is when the scheme's legal access to or the term of the guarantee  is due to end. If neither of these options apply, select 'Other'.
</v>
      </c>
      <c r="F88" s="227"/>
    </row>
    <row r="89" spans="1:13" ht="93" customHeight="1">
      <c r="A89" s="282" t="s">
        <v>893</v>
      </c>
      <c r="B89" s="118" t="str">
        <f>Questions!$C$470</f>
        <v xml:space="preserve">
No answer required
Date of maturity
</v>
      </c>
      <c r="C89" s="429"/>
      <c r="D89" s="361" t="str">
        <f ca="1">'Reconciliation report'!$D632</f>
        <v/>
      </c>
      <c r="E89" s="122" t="str">
        <f>Guidance!B287</f>
        <v>Guidance is not required for this question.</v>
      </c>
      <c r="F89" s="128"/>
    </row>
    <row r="90" spans="1:13" ht="93" customHeight="1">
      <c r="A90" s="282" t="s">
        <v>895</v>
      </c>
      <c r="B90" s="118" t="str">
        <f>Questions!$C$471</f>
        <v xml:space="preserve">
No answer required
Maturity date narrative
</v>
      </c>
      <c r="C90" s="516"/>
      <c r="D90" s="361" t="str">
        <f ca="1">'Reconciliation report'!$D633</f>
        <v/>
      </c>
      <c r="E90" s="122" t="str">
        <f>Guidance!$B$181</f>
        <v xml:space="preserve">
If the answer to the maturity date question above is 'Other', describe the maturity date (for example, what drives the maturity).
</v>
      </c>
      <c r="F90" s="128"/>
    </row>
    <row r="91" spans="1:13" ht="155">
      <c r="A91" s="282" t="s">
        <v>897</v>
      </c>
      <c r="B91" s="118" t="str">
        <f>Questions!$C$472</f>
        <v xml:space="preserve">
No answer required
Value ascribed (£)
</v>
      </c>
      <c r="C91" s="412"/>
      <c r="D91" s="361" t="str">
        <f ca="1">'Reconciliation report'!$D634</f>
        <v/>
      </c>
      <c r="E91" s="122" t="str">
        <f>Guidance!$B$182</f>
        <v xml:space="preserve">
The amount expected to be realisable from the guarantee. This can be in terms of 'equal to or at least'.
This should take into account the scenarios the security is intended to address, and any keep well agreements or pre-insolvency triggered included. For example, if the guarantee is triggered on an employer's insolvency, this is the amount expected to be recovered from the guarantor in that scenario.
</v>
      </c>
      <c r="F91" s="128"/>
    </row>
    <row r="92" spans="1:13" ht="78" thickBot="1">
      <c r="A92" s="282" t="s">
        <v>899</v>
      </c>
      <c r="B92" s="118" t="str">
        <f>Questions!$C$473</f>
        <v xml:space="preserve">
No answer required
Date of valuation
</v>
      </c>
      <c r="C92" s="528"/>
      <c r="D92" s="361" t="str">
        <f ca="1">'Reconciliation report'!$D635</f>
        <v/>
      </c>
      <c r="E92" s="122" t="str">
        <f>Guidance!$B$183</f>
        <v xml:space="preserve">
The date as at which the guarantee was valued.
</v>
      </c>
      <c r="F92" s="128"/>
    </row>
    <row r="93" spans="1:13" ht="175.25" customHeight="1" thickBot="1">
      <c r="A93" s="282" t="s">
        <v>901</v>
      </c>
      <c r="B93" s="121" t="str">
        <f>Questions!$C$474</f>
        <v xml:space="preserve">
No answer required
Value cap
</v>
      </c>
      <c r="C93" s="343"/>
      <c r="D93" s="372" t="str">
        <f ca="1">'Reconciliation report'!$D636</f>
        <v/>
      </c>
      <c r="E93" s="122" t="str">
        <f>Guidance!$B$184</f>
        <v xml:space="preserve">
This is the maximum amount payable to the scheme pursuant to the terms of the guarantee when called upon. 
</v>
      </c>
      <c r="F93" s="227"/>
    </row>
    <row r="94" spans="1:13" ht="93" customHeight="1">
      <c r="A94" s="282" t="s">
        <v>903</v>
      </c>
      <c r="B94" s="118" t="str">
        <f>Questions!$C$475</f>
        <v xml:space="preserve">
No answer required
Narrative regarding value cap
</v>
      </c>
      <c r="C94" s="380"/>
      <c r="D94" s="361" t="str">
        <f ca="1">'Reconciliation report'!$D637</f>
        <v/>
      </c>
      <c r="E94" s="122" t="str">
        <f>Guidance!$B$185</f>
        <v xml:space="preserve">
If the answer to the value cap question above is 'Other', describe the value cap.
</v>
      </c>
      <c r="F94" s="128"/>
    </row>
    <row r="95" spans="1:13" ht="78" customHeight="1" thickBot="1">
      <c r="A95" s="329" t="s">
        <v>905</v>
      </c>
      <c r="B95" s="140" t="str">
        <f>Questions!$C$476</f>
        <v xml:space="preserve">
No answer required
Fixed cap amount (£)
</v>
      </c>
      <c r="C95" s="304"/>
      <c r="D95" s="362" t="str">
        <f ca="1">'Reconciliation report'!$D638</f>
        <v/>
      </c>
      <c r="E95" s="141" t="str">
        <f>Guidance!$B$287</f>
        <v>Guidance is not required for this question.</v>
      </c>
      <c r="F95" s="317"/>
    </row>
    <row r="96" spans="1:13" s="143" customFormat="1" ht="20.149999999999999" customHeight="1" thickBot="1">
      <c r="A96" s="75"/>
      <c r="B96" s="75"/>
      <c r="C96" s="75" t="s">
        <v>23</v>
      </c>
      <c r="D96" s="68"/>
      <c r="E96" s="99"/>
      <c r="F96" s="99"/>
      <c r="G96" s="32"/>
      <c r="H96" s="32"/>
      <c r="I96" s="32"/>
      <c r="J96" s="32"/>
      <c r="K96" s="32"/>
      <c r="L96" s="32"/>
      <c r="M96" s="32"/>
    </row>
    <row r="97" spans="1:13" s="144" customFormat="1" ht="50.15" customHeight="1" thickBot="1">
      <c r="A97" s="755" t="s">
        <v>906</v>
      </c>
      <c r="B97" s="755"/>
      <c r="C97" s="57"/>
      <c r="D97" s="57"/>
      <c r="E97" s="57"/>
      <c r="F97" s="57"/>
      <c r="G97" s="21"/>
      <c r="H97" s="21"/>
      <c r="I97" s="21"/>
      <c r="J97" s="21"/>
      <c r="K97" s="21"/>
      <c r="L97" s="21"/>
      <c r="M97" s="21"/>
    </row>
    <row r="98" spans="1:13" s="47" customFormat="1" ht="36" customHeight="1" thickTop="1" thickBot="1">
      <c r="A98" s="8" t="s">
        <v>89</v>
      </c>
      <c r="B98" s="8" t="s">
        <v>90</v>
      </c>
      <c r="C98" s="8" t="s">
        <v>91</v>
      </c>
      <c r="D98" s="8"/>
      <c r="E98" s="199" t="s">
        <v>104</v>
      </c>
      <c r="F98" s="199" t="s">
        <v>93</v>
      </c>
      <c r="G98" s="17"/>
    </row>
    <row r="99" spans="1:13" ht="78.5" thickTop="1" thickBot="1">
      <c r="A99" s="282" t="s">
        <v>908</v>
      </c>
      <c r="B99" s="121" t="str">
        <f>Questions!$C$477</f>
        <v xml:space="preserve">
Participating employer insolvency
</v>
      </c>
      <c r="C99" s="187"/>
      <c r="D99" s="372" t="str">
        <f ca="1">'Reconciliation report'!$D639</f>
        <v/>
      </c>
      <c r="E99" s="122" t="str">
        <f>Guidance!$B$186</f>
        <v xml:space="preserve">
If insolvency of a participating employer is a circumstance in which the trustees may seek payment from the guarantor under the terms of the guarantee. 
</v>
      </c>
      <c r="F99" s="227"/>
    </row>
    <row r="100" spans="1:13" ht="78" thickBot="1">
      <c r="A100" s="282" t="s">
        <v>910</v>
      </c>
      <c r="B100" s="121" t="str">
        <f>Questions!$C$478</f>
        <v xml:space="preserve">
Insolvency of associated company
</v>
      </c>
      <c r="C100" s="343"/>
      <c r="D100" s="372" t="str">
        <f ca="1">'Reconciliation report'!$D640</f>
        <v/>
      </c>
      <c r="E100" s="122" t="str">
        <f>Guidance!$B$187</f>
        <v xml:space="preserve">
If insolvency of an associated company is a circumstance in which the trustees may seek payment from the guarantor under the terms of the guarantee.
</v>
      </c>
      <c r="F100" s="227"/>
    </row>
    <row r="101" spans="1:13" ht="78" thickBot="1">
      <c r="A101" s="282" t="s">
        <v>912</v>
      </c>
      <c r="B101" s="121" t="str">
        <f>Questions!$C$479</f>
        <v xml:space="preserve">
Non payment of contributions
</v>
      </c>
      <c r="C101" s="343"/>
      <c r="D101" s="372" t="str">
        <f ca="1">'Reconciliation report'!$D641</f>
        <v/>
      </c>
      <c r="E101" s="122" t="str">
        <f>Guidance!$B$188</f>
        <v xml:space="preserve">
If non-payment of contributions is a circumstance in which the trustees may seek payment from the guarantor under the terms of the guarantee.
</v>
      </c>
      <c r="F101" s="227"/>
    </row>
    <row r="102" spans="1:13" ht="78" thickBot="1">
      <c r="A102" s="282" t="s">
        <v>914</v>
      </c>
      <c r="B102" s="121" t="str">
        <f>Questions!$C$480</f>
        <v xml:space="preserve">
Crystallisation of investment risk
</v>
      </c>
      <c r="C102" s="343"/>
      <c r="D102" s="372" t="str">
        <f ca="1">'Reconciliation report'!$D642</f>
        <v/>
      </c>
      <c r="E102" s="122" t="str">
        <f>Guidance!$B$189</f>
        <v xml:space="preserve">
If crystallisation of investment risk is a circumstance in which the trustees may seek payment from the guarantor under the terms of the guarantee.
</v>
      </c>
      <c r="F102" s="227"/>
    </row>
    <row r="103" spans="1:13" ht="62.5" thickBot="1">
      <c r="A103" s="282" t="s">
        <v>916</v>
      </c>
      <c r="B103" s="121" t="str">
        <f>Questions!$C$481</f>
        <v xml:space="preserve">
Other
</v>
      </c>
      <c r="C103" s="343"/>
      <c r="D103" s="372" t="str">
        <f ca="1">'Reconciliation report'!$D643</f>
        <v/>
      </c>
      <c r="E103" s="122" t="str">
        <f>Guidance!$B$190</f>
        <v xml:space="preserve">
If there are other circumstances in which the trustees may seek payment from the guarantor under the terms of the guarantee.
</v>
      </c>
      <c r="F103" s="227"/>
    </row>
    <row r="104" spans="1:13" ht="77.5">
      <c r="A104" s="282" t="s">
        <v>918</v>
      </c>
      <c r="B104" s="118" t="str">
        <f>Questions!$C$482</f>
        <v xml:space="preserve">
Describe the other triggers for access to value
</v>
      </c>
      <c r="C104" s="517"/>
      <c r="D104" s="361" t="str">
        <f ca="1">'Reconciliation report'!$D644</f>
        <v/>
      </c>
      <c r="E104" s="122" t="str">
        <f>Guidance!$B$191</f>
        <v xml:space="preserve">
Specific description of the 'other' circumstances in which the trustees may seek payment from the guarantor under the terms of the guarantee.
</v>
      </c>
      <c r="F104" s="128"/>
    </row>
    <row r="105" spans="1:13" ht="62.5" thickBot="1">
      <c r="A105" s="281" t="s">
        <v>920</v>
      </c>
      <c r="B105" s="136" t="str">
        <f>Questions!$C$483</f>
        <v xml:space="preserve">
Triggers for termination
</v>
      </c>
      <c r="C105" s="501"/>
      <c r="D105" s="362" t="str">
        <f ca="1">'Reconciliation report'!$D645</f>
        <v/>
      </c>
      <c r="E105" s="132" t="str">
        <f>Guidance!$B$192</f>
        <v xml:space="preserve">
The circumstances specified in the guarantee under which the guarantee will terminate or cease to have effect
</v>
      </c>
      <c r="F105" s="155"/>
    </row>
    <row r="106" spans="1:13" s="143" customFormat="1" ht="20.149999999999999" customHeight="1" thickBot="1">
      <c r="A106" s="75"/>
      <c r="B106" s="69"/>
      <c r="C106" s="75" t="s">
        <v>23</v>
      </c>
      <c r="D106" s="68"/>
      <c r="E106" s="68"/>
      <c r="F106" s="68"/>
      <c r="G106" s="32"/>
      <c r="H106" s="32"/>
      <c r="I106" s="32"/>
      <c r="J106" s="32"/>
      <c r="K106" s="32"/>
      <c r="L106" s="32"/>
      <c r="M106" s="32"/>
    </row>
    <row r="107" spans="1:13" s="144" customFormat="1" ht="50.15" customHeight="1" thickBot="1">
      <c r="A107" s="755" t="s">
        <v>921</v>
      </c>
      <c r="B107" s="755"/>
      <c r="C107" s="57"/>
      <c r="D107" s="57"/>
      <c r="E107" s="57"/>
      <c r="F107" s="57"/>
      <c r="G107" s="21"/>
      <c r="H107" s="21"/>
      <c r="I107" s="21"/>
      <c r="J107" s="21"/>
      <c r="K107" s="21"/>
      <c r="L107" s="21"/>
      <c r="M107" s="21"/>
    </row>
    <row r="108" spans="1:13" s="47" customFormat="1" ht="36" customHeight="1" thickTop="1" thickBot="1">
      <c r="A108" s="8" t="s">
        <v>89</v>
      </c>
      <c r="B108" s="8" t="s">
        <v>90</v>
      </c>
      <c r="C108" s="8" t="s">
        <v>91</v>
      </c>
      <c r="D108" s="8" t="s">
        <v>92</v>
      </c>
      <c r="E108" s="199" t="s">
        <v>104</v>
      </c>
      <c r="F108" s="199" t="s">
        <v>93</v>
      </c>
      <c r="G108" s="17"/>
    </row>
    <row r="109" spans="1:13" ht="78" thickTop="1">
      <c r="A109" s="27" t="s">
        <v>923</v>
      </c>
      <c r="B109" s="118" t="str">
        <f>Questions!$C$484</f>
        <v xml:space="preserve">
No answer required
Legal name
</v>
      </c>
      <c r="C109" s="515"/>
      <c r="D109" s="361" t="str">
        <f ca="1">'Reconciliation report'!$D646</f>
        <v/>
      </c>
      <c r="E109" s="122" t="str">
        <f>Guidance!$B$174</f>
        <v xml:space="preserve">
Full legal name of the guarantor.
</v>
      </c>
      <c r="F109" s="128"/>
    </row>
    <row r="110" spans="1:13" ht="124.25" customHeight="1">
      <c r="A110" s="27" t="s">
        <v>925</v>
      </c>
      <c r="B110" s="118" t="str">
        <f>Questions!$C$485</f>
        <v xml:space="preserve">
No answer required
Companies House number (if applicable)
</v>
      </c>
      <c r="C110" s="481"/>
      <c r="D110" s="361" t="str">
        <f ca="1">'Reconciliation report'!$D647</f>
        <v/>
      </c>
      <c r="E110" s="122" t="str">
        <f>Guidance!$B$175</f>
        <v xml:space="preserve">
If the entity is a UK registered company, enter its unique registration number from Companies House.
</v>
      </c>
      <c r="F110" s="128"/>
    </row>
    <row r="111" spans="1:13" ht="77.5">
      <c r="A111" s="27" t="s">
        <v>927</v>
      </c>
      <c r="B111" s="118" t="str">
        <f>Questions!$C$486</f>
        <v xml:space="preserve">
No answer required
Charity number (if applicable)
</v>
      </c>
      <c r="C111" s="481"/>
      <c r="D111" s="361" t="str">
        <f ca="1">'Reconciliation report'!$D648</f>
        <v/>
      </c>
      <c r="E111" s="122" t="str">
        <f>Guidance!$B$259</f>
        <v xml:space="preserve">
If the entity is a UK registered charity, provide its unique registration number from the relevant charity commission.
</v>
      </c>
      <c r="F111" s="128"/>
    </row>
    <row r="112" spans="1:13" ht="77.5">
      <c r="A112" s="27" t="s">
        <v>929</v>
      </c>
      <c r="B112" s="118" t="str">
        <f>Questions!$C$487</f>
        <v xml:space="preserve">
No answer required
Trading name
</v>
      </c>
      <c r="C112" s="481"/>
      <c r="D112" s="361" t="str">
        <f ca="1">'Reconciliation report'!$D649</f>
        <v/>
      </c>
      <c r="E112" s="122" t="str">
        <f>Guidance!$B$260</f>
        <v xml:space="preserve">
This is the name the entity uses in its day-to-day business, which might differ from its legal name.
</v>
      </c>
      <c r="F112" s="128"/>
    </row>
    <row r="113" spans="1:6" ht="77.5">
      <c r="A113" s="27" t="s">
        <v>931</v>
      </c>
      <c r="B113" s="118" t="str">
        <f>Questions!$C$488</f>
        <v xml:space="preserve">
No answer required
Address line 1
</v>
      </c>
      <c r="C113" s="481"/>
      <c r="D113" s="361" t="str">
        <f ca="1">'Reconciliation report'!$D650</f>
        <v/>
      </c>
      <c r="E113" s="122" t="str">
        <f>Guidance!B287</f>
        <v>Guidance is not required for this question.</v>
      </c>
      <c r="F113" s="128"/>
    </row>
    <row r="114" spans="1:6" ht="77.5">
      <c r="A114" s="27" t="s">
        <v>933</v>
      </c>
      <c r="B114" s="118" t="str">
        <f>Questions!$C$489</f>
        <v xml:space="preserve">
No answer required
Address line 2 (optional)
</v>
      </c>
      <c r="C114" s="481"/>
      <c r="D114" s="361" t="str">
        <f ca="1">'Reconciliation report'!$D651</f>
        <v/>
      </c>
      <c r="E114" s="122" t="str">
        <f>Guidance!B287</f>
        <v>Guidance is not required for this question.</v>
      </c>
      <c r="F114" s="128"/>
    </row>
    <row r="115" spans="1:6" ht="77.5">
      <c r="A115" s="27" t="s">
        <v>935</v>
      </c>
      <c r="B115" s="118" t="str">
        <f>Questions!$C$490</f>
        <v xml:space="preserve">
No answer required
Address line 3 (optional)
</v>
      </c>
      <c r="C115" s="481"/>
      <c r="D115" s="361" t="str">
        <f ca="1">'Reconciliation report'!$D652</f>
        <v/>
      </c>
      <c r="E115" s="122" t="str">
        <f>Guidance!B287</f>
        <v>Guidance is not required for this question.</v>
      </c>
      <c r="F115" s="128"/>
    </row>
    <row r="116" spans="1:6" ht="78" thickBot="1">
      <c r="A116" s="27" t="s">
        <v>937</v>
      </c>
      <c r="B116" s="118" t="str">
        <f>Questions!$C$491</f>
        <v xml:space="preserve">
No answer required
Post town or city
</v>
      </c>
      <c r="C116" s="481"/>
      <c r="D116" s="361" t="str">
        <f ca="1">'Reconciliation report'!$D653</f>
        <v/>
      </c>
      <c r="E116" s="122" t="str">
        <f>Guidance!B287</f>
        <v>Guidance is not required for this question.</v>
      </c>
      <c r="F116" s="128"/>
    </row>
    <row r="117" spans="1:6" ht="78" thickBot="1">
      <c r="A117" s="27" t="s">
        <v>939</v>
      </c>
      <c r="B117" s="121" t="str">
        <f>Questions!$C$492</f>
        <v xml:space="preserve">
No answer required
Country
</v>
      </c>
      <c r="C117" s="343"/>
      <c r="D117" s="372" t="str">
        <f ca="1">'Reconciliation report'!$D654</f>
        <v/>
      </c>
      <c r="E117" s="122" t="str">
        <f>Guidance!B287</f>
        <v>Guidance is not required for this question.</v>
      </c>
      <c r="F117" s="227"/>
    </row>
    <row r="118" spans="1:6" s="332" customFormat="1" ht="78" thickBot="1">
      <c r="A118" s="659" t="s">
        <v>941</v>
      </c>
      <c r="B118" s="118" t="str">
        <f>Questions!$C$493</f>
        <v xml:space="preserve">
No answer required
Postcode
</v>
      </c>
      <c r="C118" s="380"/>
      <c r="D118" s="361" t="str">
        <f ca="1">'Reconciliation report'!$D655</f>
        <v/>
      </c>
      <c r="E118" s="122" t="str">
        <f>Guidance!B287</f>
        <v>Guidance is not required for this question.</v>
      </c>
      <c r="F118" s="128"/>
    </row>
    <row r="119" spans="1:6" ht="93.5" thickBot="1">
      <c r="A119" s="330" t="s">
        <v>943</v>
      </c>
      <c r="B119" s="324" t="str">
        <f>Questions!$C$494</f>
        <v xml:space="preserve">
No answer required
Is the guarantor an associated company?
</v>
      </c>
      <c r="C119" s="343"/>
      <c r="D119" s="372" t="str">
        <f ca="1">'Reconciliation report'!$D656</f>
        <v/>
      </c>
      <c r="E119" s="124" t="str">
        <f>Guidance!$B$176</f>
        <v xml:space="preserve">
Companies are generally associated if one has control of the other or if both are under the control of the same person or group of people. If trustees are unsure as to whether the guarantor is associated with the employer(s), they should consider seeking legal advice.
</v>
      </c>
      <c r="F119" s="226"/>
    </row>
    <row r="120" spans="1:6" ht="233" thickBot="1">
      <c r="A120" s="282" t="s">
        <v>945</v>
      </c>
      <c r="B120" s="121" t="str">
        <f>Questions!$C$495</f>
        <v xml:space="preserve">
No answer required
What is type of guarantee?
</v>
      </c>
      <c r="C120" s="343"/>
      <c r="D120" s="372" t="str">
        <f ca="1">'Reconciliation report'!$D657</f>
        <v/>
      </c>
      <c r="E120" s="122" t="str">
        <f>Guidance!$B$177</f>
        <v xml:space="preserve">
A 'formal look-through guarantee' enables trustees to claim against the guarantor in respect of all monies owed by the employer to the scheme without restrictions or qualifications once a trigger event has taken place and is structured in such a way that they largely replicate the obligations placed on a statutory employer.
'Look-through guarantees subject to limitation(s)' also enable trustees to claim against the guarantor in a similar way to a 'formal look through guarantee' but are subject to some restrictions or qualifications, for example, limiting the amount that can be claimed. Non look-through guarantees do not have a legal mechanism enabling trustees to look through to the guarantor’s cash flows when setting contributions.
</v>
      </c>
      <c r="F120" s="227"/>
    </row>
    <row r="121" spans="1:6" ht="78" thickBot="1">
      <c r="A121" s="282" t="s">
        <v>948</v>
      </c>
      <c r="B121" s="118" t="str">
        <f>Questions!$C$496</f>
        <v xml:space="preserve">
No answer required
Describe the other type of guarantee.
</v>
      </c>
      <c r="C121" s="380"/>
      <c r="D121" s="361" t="str">
        <f ca="1">'Reconciliation report'!$D658</f>
        <v/>
      </c>
      <c r="E121" s="122" t="str">
        <f>Guidance!B287</f>
        <v>Guidance is not required for this question.</v>
      </c>
      <c r="F121" s="128"/>
    </row>
    <row r="122" spans="1:6" ht="109" thickBot="1">
      <c r="A122" s="282" t="s">
        <v>950</v>
      </c>
      <c r="B122" s="121" t="str">
        <f>Questions!$C$497</f>
        <v xml:space="preserve">
No answer required
Type of maturity
</v>
      </c>
      <c r="C122" s="343"/>
      <c r="D122" s="372" t="str">
        <f ca="1">'Reconciliation report'!$D659</f>
        <v/>
      </c>
      <c r="E122" s="122" t="str">
        <f>Guidance!$B$179</f>
        <v xml:space="preserve">
Multiple choice answer setting out details regarding the maturity date of the guarantee. Select 'evergreen' when there is no fixed expiry date. Otherwise, provide the date of maturity, which is when the scheme's legal access to or the term of the guarantee  is due to end. If neither of these options apply, select 'Other'.
</v>
      </c>
      <c r="F122" s="227"/>
    </row>
    <row r="123" spans="1:6" ht="108.65" customHeight="1">
      <c r="A123" s="282" t="s">
        <v>952</v>
      </c>
      <c r="B123" s="118" t="str">
        <f>Questions!$C$498</f>
        <v xml:space="preserve">
No answer required
Date of maturity
</v>
      </c>
      <c r="C123" s="429"/>
      <c r="D123" s="361" t="str">
        <f ca="1">'Reconciliation report'!$D660</f>
        <v/>
      </c>
      <c r="E123" s="122" t="str">
        <f>Guidance!B287</f>
        <v>Guidance is not required for this question.</v>
      </c>
      <c r="F123" s="128"/>
    </row>
    <row r="124" spans="1:6" ht="93" customHeight="1">
      <c r="A124" s="282" t="s">
        <v>954</v>
      </c>
      <c r="B124" s="118" t="str">
        <f>Questions!$C$499</f>
        <v xml:space="preserve">
No answer required
Maturity date narrative
</v>
      </c>
      <c r="C124" s="516"/>
      <c r="D124" s="361" t="str">
        <f ca="1">'Reconciliation report'!$D661</f>
        <v/>
      </c>
      <c r="E124" s="122" t="str">
        <f>Guidance!$B$181</f>
        <v xml:space="preserve">
If the answer to the maturity date question above is 'Other', describe the maturity date (for example, what drives the maturity).
</v>
      </c>
      <c r="F124" s="128"/>
    </row>
    <row r="125" spans="1:6" ht="155">
      <c r="A125" s="282" t="s">
        <v>956</v>
      </c>
      <c r="B125" s="118" t="str">
        <f>Questions!$C$500</f>
        <v xml:space="preserve">
No answer required
Value ascribed (£)
</v>
      </c>
      <c r="C125" s="412"/>
      <c r="D125" s="361" t="str">
        <f ca="1">'Reconciliation report'!$D662</f>
        <v/>
      </c>
      <c r="E125" s="122" t="str">
        <f>Guidance!$B$182</f>
        <v xml:space="preserve">
The amount expected to be realisable from the guarantee. This can be in terms of 'equal to or at least'.
This should take into account the scenarios the security is intended to address, and any keep well agreements or pre-insolvency triggered included. For example, if the guarantee is triggered on an employer's insolvency, this is the amount expected to be recovered from the guarantor in that scenario.
</v>
      </c>
      <c r="F125" s="128"/>
    </row>
    <row r="126" spans="1:6" ht="78" thickBot="1">
      <c r="A126" s="282" t="s">
        <v>958</v>
      </c>
      <c r="B126" s="118" t="str">
        <f>Questions!$C$501</f>
        <v xml:space="preserve">
No answer required
Date of valuation
</v>
      </c>
      <c r="C126" s="528"/>
      <c r="D126" s="361" t="str">
        <f ca="1">'Reconciliation report'!$D663</f>
        <v/>
      </c>
      <c r="E126" s="122" t="str">
        <f>Guidance!$B$183</f>
        <v xml:space="preserve">
The date as at which the guarantee was valued.
</v>
      </c>
      <c r="F126" s="128"/>
    </row>
    <row r="127" spans="1:6" ht="175.25" customHeight="1" thickBot="1">
      <c r="A127" s="282" t="s">
        <v>960</v>
      </c>
      <c r="B127" s="121" t="str">
        <f>Questions!$C$502</f>
        <v xml:space="preserve">
No answer required
Value cap
</v>
      </c>
      <c r="C127" s="343"/>
      <c r="D127" s="372" t="str">
        <f ca="1">'Reconciliation report'!$D664</f>
        <v/>
      </c>
      <c r="E127" s="122" t="str">
        <f>Guidance!$B$184</f>
        <v xml:space="preserve">
This is the maximum amount payable to the scheme pursuant to the terms of the guarantee when called upon. 
</v>
      </c>
      <c r="F127" s="227"/>
    </row>
    <row r="128" spans="1:6" ht="93" customHeight="1">
      <c r="A128" s="282" t="s">
        <v>962</v>
      </c>
      <c r="B128" s="118" t="str">
        <f>Questions!$C$503</f>
        <v xml:space="preserve">
No answer required
Narrative regarding value cap
</v>
      </c>
      <c r="C128" s="380"/>
      <c r="D128" s="361" t="str">
        <f ca="1">'Reconciliation report'!$D665</f>
        <v/>
      </c>
      <c r="E128" s="122" t="str">
        <f>Guidance!$B$185</f>
        <v xml:space="preserve">
If the answer to the value cap question above is 'Other', describe the value cap.
</v>
      </c>
      <c r="F128" s="128"/>
    </row>
    <row r="129" spans="1:13" ht="62.75" customHeight="1" thickBot="1">
      <c r="A129" s="329" t="s">
        <v>964</v>
      </c>
      <c r="B129" s="140" t="str">
        <f>Questions!$C$504</f>
        <v xml:space="preserve">
No answer required
Fixed cap amount (£)
</v>
      </c>
      <c r="C129" s="304"/>
      <c r="D129" s="362" t="str">
        <f ca="1">'Reconciliation report'!$D666</f>
        <v/>
      </c>
      <c r="E129" s="141" t="str">
        <f>Guidance!$B$287</f>
        <v>Guidance is not required for this question.</v>
      </c>
      <c r="F129" s="317"/>
    </row>
    <row r="130" spans="1:13" s="143" customFormat="1" ht="20.149999999999999" customHeight="1" thickBot="1">
      <c r="A130" s="75"/>
      <c r="B130" s="75"/>
      <c r="C130" s="75" t="s">
        <v>23</v>
      </c>
      <c r="D130" s="68"/>
      <c r="E130" s="99"/>
      <c r="F130" s="99"/>
      <c r="G130" s="32"/>
      <c r="H130" s="32"/>
      <c r="I130" s="32"/>
      <c r="J130" s="32"/>
      <c r="K130" s="32"/>
      <c r="L130" s="32"/>
      <c r="M130" s="32"/>
    </row>
    <row r="131" spans="1:13" s="144" customFormat="1" ht="50.15" customHeight="1" thickBot="1">
      <c r="A131" s="755" t="s">
        <v>965</v>
      </c>
      <c r="B131" s="755"/>
      <c r="C131" s="57"/>
      <c r="D131" s="57"/>
      <c r="E131" s="57"/>
      <c r="F131" s="57"/>
      <c r="G131" s="21"/>
      <c r="H131" s="21"/>
      <c r="I131" s="21"/>
      <c r="J131" s="21"/>
      <c r="K131" s="21"/>
      <c r="L131" s="21"/>
      <c r="M131" s="21"/>
    </row>
    <row r="132" spans="1:13" s="47" customFormat="1" ht="36" customHeight="1" thickTop="1" thickBot="1">
      <c r="A132" s="8" t="s">
        <v>89</v>
      </c>
      <c r="B132" s="8" t="s">
        <v>90</v>
      </c>
      <c r="C132" s="8" t="s">
        <v>91</v>
      </c>
      <c r="D132" s="8" t="s">
        <v>92</v>
      </c>
      <c r="E132" s="199" t="s">
        <v>104</v>
      </c>
      <c r="F132" s="199" t="s">
        <v>93</v>
      </c>
      <c r="G132" s="17"/>
    </row>
    <row r="133" spans="1:13" ht="78.5" thickTop="1" thickBot="1">
      <c r="A133" s="282" t="s">
        <v>967</v>
      </c>
      <c r="B133" s="121" t="str">
        <f>Questions!$C$505</f>
        <v xml:space="preserve">
Participating employer insolvency
</v>
      </c>
      <c r="C133" s="187"/>
      <c r="D133" s="372" t="str">
        <f ca="1">'Reconciliation report'!$D667</f>
        <v/>
      </c>
      <c r="E133" s="122" t="str">
        <f>Guidance!$B$186</f>
        <v xml:space="preserve">
If insolvency of a participating employer is a circumstance in which the trustees may seek payment from the guarantor under the terms of the guarantee. 
</v>
      </c>
      <c r="F133" s="227"/>
    </row>
    <row r="134" spans="1:13" ht="78" thickBot="1">
      <c r="A134" s="282" t="s">
        <v>969</v>
      </c>
      <c r="B134" s="121" t="str">
        <f>Questions!$C$506</f>
        <v xml:space="preserve">
Insolvency of associated company
</v>
      </c>
      <c r="C134" s="343"/>
      <c r="D134" s="372" t="str">
        <f ca="1">'Reconciliation report'!$D668</f>
        <v/>
      </c>
      <c r="E134" s="122" t="str">
        <f>Guidance!$B$187</f>
        <v xml:space="preserve">
If insolvency of an associated company is a circumstance in which the trustees may seek payment from the guarantor under the terms of the guarantee.
</v>
      </c>
      <c r="F134" s="227"/>
    </row>
    <row r="135" spans="1:13" ht="78" thickBot="1">
      <c r="A135" s="282" t="s">
        <v>971</v>
      </c>
      <c r="B135" s="121" t="str">
        <f>Questions!$C$507</f>
        <v xml:space="preserve">
Non payment of contributions
</v>
      </c>
      <c r="C135" s="343"/>
      <c r="D135" s="372" t="str">
        <f ca="1">'Reconciliation report'!$D669</f>
        <v/>
      </c>
      <c r="E135" s="122" t="str">
        <f>Guidance!$B$188</f>
        <v xml:space="preserve">
If non-payment of contributions is a circumstance in which the trustees may seek payment from the guarantor under the terms of the guarantee.
</v>
      </c>
      <c r="F135" s="227"/>
    </row>
    <row r="136" spans="1:13" ht="78" thickBot="1">
      <c r="A136" s="282" t="s">
        <v>973</v>
      </c>
      <c r="B136" s="121" t="str">
        <f>Questions!$C$508</f>
        <v xml:space="preserve">
Crystallisation of investment risk
</v>
      </c>
      <c r="C136" s="343"/>
      <c r="D136" s="372" t="str">
        <f ca="1">'Reconciliation report'!$D670</f>
        <v/>
      </c>
      <c r="E136" s="122" t="str">
        <f>Guidance!$B$189</f>
        <v xml:space="preserve">
If crystallisation of investment risk is a circumstance in which the trustees may seek payment from the guarantor under the terms of the guarantee.
</v>
      </c>
      <c r="F136" s="227"/>
    </row>
    <row r="137" spans="1:13" ht="62.5" thickBot="1">
      <c r="A137" s="282" t="s">
        <v>975</v>
      </c>
      <c r="B137" s="121" t="str">
        <f>Questions!$C$509</f>
        <v xml:space="preserve">
Other
</v>
      </c>
      <c r="C137" s="343"/>
      <c r="D137" s="372" t="str">
        <f ca="1">'Reconciliation report'!$D671</f>
        <v/>
      </c>
      <c r="E137" s="122" t="str">
        <f>Guidance!$B$190</f>
        <v xml:space="preserve">
If there are other circumstances in which the trustees may seek payment from the guarantor under the terms of the guarantee.
</v>
      </c>
      <c r="F137" s="227"/>
    </row>
    <row r="138" spans="1:13" ht="77.5">
      <c r="A138" s="282" t="s">
        <v>977</v>
      </c>
      <c r="B138" s="118" t="str">
        <f>Questions!$C$510</f>
        <v xml:space="preserve">
Describe the other triggers for access to value
</v>
      </c>
      <c r="C138" s="517"/>
      <c r="D138" s="361" t="str">
        <f ca="1">'Reconciliation report'!$D672</f>
        <v/>
      </c>
      <c r="E138" s="122" t="str">
        <f>Guidance!$B$191</f>
        <v xml:space="preserve">
Specific description of the 'other' circumstances in which the trustees may seek payment from the guarantor under the terms of the guarantee.
</v>
      </c>
      <c r="F138" s="128"/>
    </row>
    <row r="139" spans="1:13" ht="62.5" thickBot="1">
      <c r="A139" s="281" t="s">
        <v>979</v>
      </c>
      <c r="B139" s="136" t="str">
        <f>Questions!$C$511</f>
        <v xml:space="preserve">
Triggers for termination
</v>
      </c>
      <c r="C139" s="501"/>
      <c r="D139" s="362" t="str">
        <f ca="1">'Reconciliation report'!$D673</f>
        <v/>
      </c>
      <c r="E139" s="132" t="str">
        <f>Guidance!$B$192</f>
        <v xml:space="preserve">
The circumstances specified in the guarantee under which the guarantee will terminate or cease to have effect
</v>
      </c>
      <c r="F139" s="155"/>
    </row>
    <row r="140" spans="1:13" s="143" customFormat="1" ht="20.149999999999999" customHeight="1" thickBot="1">
      <c r="A140" s="75"/>
      <c r="B140" s="69"/>
      <c r="C140" s="75" t="s">
        <v>23</v>
      </c>
      <c r="D140" s="68"/>
      <c r="E140" s="68"/>
      <c r="F140" s="68"/>
      <c r="G140" s="32"/>
      <c r="H140" s="32"/>
      <c r="I140" s="32"/>
      <c r="J140" s="32"/>
      <c r="K140" s="32"/>
      <c r="L140" s="32"/>
      <c r="M140" s="32"/>
    </row>
    <row r="141" spans="1:13" s="144" customFormat="1" ht="50.15" customHeight="1" thickBot="1">
      <c r="A141" s="755" t="s">
        <v>980</v>
      </c>
      <c r="B141" s="755"/>
      <c r="C141" s="57"/>
      <c r="D141" s="57"/>
      <c r="E141" s="57"/>
      <c r="F141" s="57"/>
      <c r="G141" s="21"/>
      <c r="H141" s="21"/>
      <c r="I141" s="21"/>
      <c r="J141" s="21"/>
      <c r="K141" s="21"/>
      <c r="L141" s="21"/>
      <c r="M141" s="21"/>
    </row>
    <row r="142" spans="1:13" s="47" customFormat="1" ht="36" customHeight="1" thickTop="1" thickBot="1">
      <c r="A142" s="8" t="s">
        <v>89</v>
      </c>
      <c r="B142" s="8" t="s">
        <v>90</v>
      </c>
      <c r="C142" s="8" t="s">
        <v>91</v>
      </c>
      <c r="D142" s="8" t="s">
        <v>92</v>
      </c>
      <c r="E142" s="199" t="s">
        <v>104</v>
      </c>
      <c r="F142" s="199" t="s">
        <v>93</v>
      </c>
      <c r="G142" s="17"/>
    </row>
    <row r="143" spans="1:13" ht="78" thickTop="1">
      <c r="A143" s="27" t="s">
        <v>982</v>
      </c>
      <c r="B143" s="118" t="str">
        <f>Questions!$C$512</f>
        <v xml:space="preserve">
No answer required
Legal name
</v>
      </c>
      <c r="C143" s="515"/>
      <c r="D143" s="361" t="str">
        <f ca="1">'Reconciliation report'!$D674</f>
        <v/>
      </c>
      <c r="E143" s="122" t="str">
        <f>Guidance!$B$174</f>
        <v xml:space="preserve">
Full legal name of the guarantor.
</v>
      </c>
      <c r="F143" s="128"/>
    </row>
    <row r="144" spans="1:13" ht="124.25" customHeight="1">
      <c r="A144" s="27" t="s">
        <v>984</v>
      </c>
      <c r="B144" s="118" t="str">
        <f>Questions!$C$513</f>
        <v xml:space="preserve">
No answer required
Companies House number (if applicable)
</v>
      </c>
      <c r="C144" s="481"/>
      <c r="D144" s="361" t="str">
        <f ca="1">'Reconciliation report'!$D675</f>
        <v/>
      </c>
      <c r="E144" s="122" t="str">
        <f>Guidance!$B$175</f>
        <v xml:space="preserve">
If the entity is a UK registered company, enter its unique registration number from Companies House.
</v>
      </c>
      <c r="F144" s="128"/>
    </row>
    <row r="145" spans="1:6" ht="77.5">
      <c r="A145" s="27" t="s">
        <v>986</v>
      </c>
      <c r="B145" s="118" t="str">
        <f>Questions!$C$514</f>
        <v xml:space="preserve">
No answer required
Charity number (if applicable)
</v>
      </c>
      <c r="C145" s="481"/>
      <c r="D145" s="361" t="str">
        <f ca="1">'Reconciliation report'!$D676</f>
        <v/>
      </c>
      <c r="E145" s="122" t="str">
        <f>Guidance!$B$259</f>
        <v xml:space="preserve">
If the entity is a UK registered charity, provide its unique registration number from the relevant charity commission.
</v>
      </c>
      <c r="F145" s="128"/>
    </row>
    <row r="146" spans="1:6" ht="108.65" customHeight="1">
      <c r="A146" s="27" t="s">
        <v>988</v>
      </c>
      <c r="B146" s="118" t="str">
        <f>Questions!$C$515</f>
        <v xml:space="preserve">
No answer required
Trading name
</v>
      </c>
      <c r="C146" s="481"/>
      <c r="D146" s="361" t="str">
        <f ca="1">'Reconciliation report'!$D677</f>
        <v/>
      </c>
      <c r="E146" s="122" t="str">
        <f>Guidance!$B$260</f>
        <v xml:space="preserve">
This is the name the entity uses in its day-to-day business, which might differ from its legal name.
</v>
      </c>
      <c r="F146" s="128"/>
    </row>
    <row r="147" spans="1:6" ht="108.65" customHeight="1">
      <c r="A147" s="27" t="s">
        <v>990</v>
      </c>
      <c r="B147" s="118" t="str">
        <f>Questions!$C$516</f>
        <v xml:space="preserve">
No answer required
Address line 1
</v>
      </c>
      <c r="C147" s="481"/>
      <c r="D147" s="361" t="str">
        <f ca="1">'Reconciliation report'!$D678</f>
        <v/>
      </c>
      <c r="E147" s="122" t="str">
        <f>Guidance!B287</f>
        <v>Guidance is not required for this question.</v>
      </c>
      <c r="F147" s="128"/>
    </row>
    <row r="148" spans="1:6" ht="77.5">
      <c r="A148" s="27" t="s">
        <v>992</v>
      </c>
      <c r="B148" s="118" t="str">
        <f>Questions!$C$517</f>
        <v xml:space="preserve">
No answer required
Address line 2 (optional)
</v>
      </c>
      <c r="C148" s="481"/>
      <c r="D148" s="361" t="str">
        <f ca="1">'Reconciliation report'!$D679</f>
        <v/>
      </c>
      <c r="E148" s="122" t="str">
        <f>Guidance!B287</f>
        <v>Guidance is not required for this question.</v>
      </c>
      <c r="F148" s="128"/>
    </row>
    <row r="149" spans="1:6" ht="77.5">
      <c r="A149" s="27" t="s">
        <v>994</v>
      </c>
      <c r="B149" s="118" t="str">
        <f>Questions!$C$518</f>
        <v xml:space="preserve">
No answer required
Address line 3 (optional)
</v>
      </c>
      <c r="C149" s="481"/>
      <c r="D149" s="361" t="str">
        <f ca="1">'Reconciliation report'!$D680</f>
        <v/>
      </c>
      <c r="E149" s="122" t="str">
        <f>Guidance!B287</f>
        <v>Guidance is not required for this question.</v>
      </c>
      <c r="F149" s="128"/>
    </row>
    <row r="150" spans="1:6" ht="109.25" customHeight="1" thickBot="1">
      <c r="A150" s="27" t="s">
        <v>996</v>
      </c>
      <c r="B150" s="118" t="str">
        <f>Questions!$C$519</f>
        <v xml:space="preserve">
No answer required
Post town or city
</v>
      </c>
      <c r="C150" s="481"/>
      <c r="D150" s="361" t="str">
        <f ca="1">'Reconciliation report'!$D681</f>
        <v/>
      </c>
      <c r="E150" s="122" t="str">
        <f>Guidance!B287</f>
        <v>Guidance is not required for this question.</v>
      </c>
      <c r="F150" s="128"/>
    </row>
    <row r="151" spans="1:6" ht="109.25" customHeight="1" thickBot="1">
      <c r="A151" s="27" t="s">
        <v>998</v>
      </c>
      <c r="B151" s="121" t="str">
        <f>Questions!$C$520</f>
        <v xml:space="preserve">
No answer required
Country
</v>
      </c>
      <c r="C151" s="343"/>
      <c r="D151" s="372" t="str">
        <f ca="1">'Reconciliation report'!$D682</f>
        <v/>
      </c>
      <c r="E151" s="122" t="str">
        <f>Guidance!B287</f>
        <v>Guidance is not required for this question.</v>
      </c>
      <c r="F151" s="227"/>
    </row>
    <row r="152" spans="1:6" s="332" customFormat="1" ht="78" thickBot="1">
      <c r="A152" s="659" t="s">
        <v>1000</v>
      </c>
      <c r="B152" s="118" t="str">
        <f>Questions!$C$521</f>
        <v xml:space="preserve">
No answer required
Postcode
</v>
      </c>
      <c r="C152" s="380"/>
      <c r="D152" s="361" t="str">
        <f ca="1">'Reconciliation report'!$D683</f>
        <v/>
      </c>
      <c r="E152" s="122" t="str">
        <f>Guidance!B287</f>
        <v>Guidance is not required for this question.</v>
      </c>
      <c r="F152" s="128"/>
    </row>
    <row r="153" spans="1:6" ht="93.5" thickBot="1">
      <c r="A153" s="330" t="s">
        <v>1002</v>
      </c>
      <c r="B153" s="324" t="str">
        <f>Questions!$C$522</f>
        <v xml:space="preserve">
No answer required
Is the guarantor an associated company?
</v>
      </c>
      <c r="C153" s="343"/>
      <c r="D153" s="372" t="str">
        <f ca="1">'Reconciliation report'!$D684</f>
        <v/>
      </c>
      <c r="E153" s="124" t="str">
        <f>Guidance!$B$176</f>
        <v xml:space="preserve">
Companies are generally associated if one has control of the other or if both are under the control of the same person or group of people. If trustees are unsure as to whether the guarantor is associated with the employer(s), they should consider seeking legal advice.
</v>
      </c>
      <c r="F153" s="226"/>
    </row>
    <row r="154" spans="1:6" ht="233" thickBot="1">
      <c r="A154" s="282" t="s">
        <v>1004</v>
      </c>
      <c r="B154" s="121" t="str">
        <f>Questions!$C$523</f>
        <v xml:space="preserve">
No answer required
What is type of guarantee?
</v>
      </c>
      <c r="C154" s="343"/>
      <c r="D154" s="372" t="str">
        <f ca="1">'Reconciliation report'!$D685</f>
        <v/>
      </c>
      <c r="E154" s="122" t="str">
        <f>Guidance!$B$177</f>
        <v xml:space="preserve">
A 'formal look-through guarantee' enables trustees to claim against the guarantor in respect of all monies owed by the employer to the scheme without restrictions or qualifications once a trigger event has taken place and is structured in such a way that they largely replicate the obligations placed on a statutory employer.
'Look-through guarantees subject to limitation(s)' also enable trustees to claim against the guarantor in a similar way to a 'formal look through guarantee' but are subject to some restrictions or qualifications, for example, limiting the amount that can be claimed. Non look-through guarantees do not have a legal mechanism enabling trustees to look through to the guarantor’s cash flows when setting contributions.
</v>
      </c>
      <c r="F154" s="227"/>
    </row>
    <row r="155" spans="1:6" ht="78" thickBot="1">
      <c r="A155" s="282" t="s">
        <v>1006</v>
      </c>
      <c r="B155" s="118" t="str">
        <f>Questions!$C$524</f>
        <v xml:space="preserve">
No answer required
Describe the other type of guarantee.
</v>
      </c>
      <c r="C155" s="380"/>
      <c r="D155" s="361" t="str">
        <f ca="1">'Reconciliation report'!$D686</f>
        <v/>
      </c>
      <c r="E155" s="122" t="str">
        <f>Guidance!B287</f>
        <v>Guidance is not required for this question.</v>
      </c>
      <c r="F155" s="128"/>
    </row>
    <row r="156" spans="1:6" ht="109" thickBot="1">
      <c r="A156" s="282" t="s">
        <v>1008</v>
      </c>
      <c r="B156" s="121" t="str">
        <f>Questions!$C$525</f>
        <v xml:space="preserve">
No answer required
Type of maturity
</v>
      </c>
      <c r="C156" s="343"/>
      <c r="D156" s="372" t="str">
        <f ca="1">'Reconciliation report'!$D687</f>
        <v/>
      </c>
      <c r="E156" s="122" t="str">
        <f>Guidance!$B$179</f>
        <v xml:space="preserve">
Multiple choice answer setting out details regarding the maturity date of the guarantee. Select 'evergreen' when there is no fixed expiry date. Otherwise, provide the date of maturity, which is when the scheme's legal access to or the term of the guarantee  is due to end. If neither of these options apply, select 'Other'.
</v>
      </c>
      <c r="F156" s="227"/>
    </row>
    <row r="157" spans="1:6" ht="108.65" customHeight="1">
      <c r="A157" s="282" t="s">
        <v>1010</v>
      </c>
      <c r="B157" s="118" t="str">
        <f>Questions!$C$526</f>
        <v xml:space="preserve">
No answer required
Date of maturity
</v>
      </c>
      <c r="C157" s="429"/>
      <c r="D157" s="361" t="str">
        <f ca="1">'Reconciliation report'!$D688</f>
        <v/>
      </c>
      <c r="E157" s="122" t="str">
        <f>Guidance!B287</f>
        <v>Guidance is not required for this question.</v>
      </c>
      <c r="F157" s="128"/>
    </row>
    <row r="158" spans="1:6" ht="93" customHeight="1">
      <c r="A158" s="282" t="s">
        <v>1012</v>
      </c>
      <c r="B158" s="118" t="str">
        <f>Questions!$C$527</f>
        <v xml:space="preserve">
No answer required
Maturity date narrative
</v>
      </c>
      <c r="C158" s="516"/>
      <c r="D158" s="361" t="str">
        <f ca="1">'Reconciliation report'!$D689</f>
        <v/>
      </c>
      <c r="E158" s="122" t="str">
        <f>Guidance!$B$181</f>
        <v xml:space="preserve">
If the answer to the maturity date question above is 'Other', describe the maturity date (for example, what drives the maturity).
</v>
      </c>
      <c r="F158" s="128"/>
    </row>
    <row r="159" spans="1:6" ht="155">
      <c r="A159" s="282" t="s">
        <v>1014</v>
      </c>
      <c r="B159" s="118" t="str">
        <f>Questions!$C$528</f>
        <v xml:space="preserve">
No answer required
Value ascribed (£)
</v>
      </c>
      <c r="C159" s="412"/>
      <c r="D159" s="361" t="str">
        <f ca="1">'Reconciliation report'!$D690</f>
        <v/>
      </c>
      <c r="E159" s="122" t="str">
        <f>Guidance!$B$182</f>
        <v xml:space="preserve">
The amount expected to be realisable from the guarantee. This can be in terms of 'equal to or at least'.
This should take into account the scenarios the security is intended to address, and any keep well agreements or pre-insolvency triggered included. For example, if the guarantee is triggered on an employer's insolvency, this is the amount expected to be recovered from the guarantor in that scenario.
</v>
      </c>
      <c r="F159" s="128"/>
    </row>
    <row r="160" spans="1:6" ht="78" thickBot="1">
      <c r="A160" s="282" t="s">
        <v>1016</v>
      </c>
      <c r="B160" s="118" t="str">
        <f>Questions!$C$529</f>
        <v xml:space="preserve">
No answer required
Date of valuation
</v>
      </c>
      <c r="C160" s="528"/>
      <c r="D160" s="361" t="str">
        <f ca="1">'Reconciliation report'!$D691</f>
        <v/>
      </c>
      <c r="E160" s="122" t="str">
        <f>Guidance!$B$183</f>
        <v xml:space="preserve">
The date as at which the guarantee was valued.
</v>
      </c>
      <c r="F160" s="128"/>
    </row>
    <row r="161" spans="1:13" ht="175.25" customHeight="1" thickBot="1">
      <c r="A161" s="282" t="s">
        <v>1018</v>
      </c>
      <c r="B161" s="121" t="str">
        <f>Questions!$C$530</f>
        <v xml:space="preserve">
No answer required
Value cap
</v>
      </c>
      <c r="C161" s="343"/>
      <c r="D161" s="372" t="str">
        <f ca="1">'Reconciliation report'!$D692</f>
        <v/>
      </c>
      <c r="E161" s="122" t="str">
        <f>Guidance!$B$184</f>
        <v xml:space="preserve">
This is the maximum amount payable to the scheme pursuant to the terms of the guarantee when called upon. 
</v>
      </c>
      <c r="F161" s="227"/>
    </row>
    <row r="162" spans="1:13" ht="93" customHeight="1">
      <c r="A162" s="282" t="s">
        <v>1020</v>
      </c>
      <c r="B162" s="118" t="str">
        <f>Questions!$C$531</f>
        <v xml:space="preserve">
No answer required
Narrative regarding value cap
</v>
      </c>
      <c r="C162" s="380"/>
      <c r="D162" s="361" t="str">
        <f ca="1">'Reconciliation report'!$D693</f>
        <v/>
      </c>
      <c r="E162" s="122" t="str">
        <f>Guidance!$B$185</f>
        <v xml:space="preserve">
If the answer to the value cap question above is 'Other', describe the value cap.
</v>
      </c>
      <c r="F162" s="128"/>
    </row>
    <row r="163" spans="1:13" ht="78" customHeight="1" thickBot="1">
      <c r="A163" s="329" t="s">
        <v>1022</v>
      </c>
      <c r="B163" s="140" t="str">
        <f>Questions!$C$532</f>
        <v xml:space="preserve">
No answer required
Fixed cap amount (£)
</v>
      </c>
      <c r="C163" s="304"/>
      <c r="D163" s="362" t="str">
        <f ca="1">'Reconciliation report'!$D694</f>
        <v/>
      </c>
      <c r="E163" s="141" t="str">
        <f>Guidance!$B$287</f>
        <v>Guidance is not required for this question.</v>
      </c>
      <c r="F163" s="317"/>
    </row>
    <row r="164" spans="1:13" s="143" customFormat="1" ht="20.149999999999999" customHeight="1" thickBot="1">
      <c r="A164" s="75"/>
      <c r="B164" s="75"/>
      <c r="C164" s="75" t="s">
        <v>23</v>
      </c>
      <c r="D164" s="68"/>
      <c r="E164" s="99"/>
      <c r="F164" s="99"/>
      <c r="G164" s="32"/>
      <c r="H164" s="32"/>
      <c r="I164" s="32"/>
      <c r="J164" s="32"/>
      <c r="K164" s="32"/>
      <c r="L164" s="32"/>
      <c r="M164" s="32"/>
    </row>
    <row r="165" spans="1:13" s="144" customFormat="1" ht="50.15" customHeight="1" thickBot="1">
      <c r="A165" s="755" t="s">
        <v>1023</v>
      </c>
      <c r="B165" s="755"/>
      <c r="C165" s="57"/>
      <c r="D165" s="57"/>
      <c r="E165" s="57"/>
      <c r="F165" s="57"/>
      <c r="G165" s="21"/>
      <c r="H165" s="21"/>
      <c r="I165" s="21"/>
      <c r="J165" s="21"/>
      <c r="K165" s="21"/>
      <c r="L165" s="21"/>
      <c r="M165" s="21"/>
    </row>
    <row r="166" spans="1:13" s="47" customFormat="1" ht="36" customHeight="1" thickTop="1" thickBot="1">
      <c r="A166" s="8" t="s">
        <v>89</v>
      </c>
      <c r="B166" s="8" t="s">
        <v>90</v>
      </c>
      <c r="C166" s="8" t="s">
        <v>91</v>
      </c>
      <c r="D166" s="8" t="s">
        <v>92</v>
      </c>
      <c r="E166" s="199" t="s">
        <v>104</v>
      </c>
      <c r="F166" s="199" t="s">
        <v>93</v>
      </c>
      <c r="G166" s="17"/>
    </row>
    <row r="167" spans="1:13" ht="78.5" thickTop="1" thickBot="1">
      <c r="A167" s="660" t="s">
        <v>1025</v>
      </c>
      <c r="B167" s="121" t="str">
        <f>Questions!$C$533</f>
        <v xml:space="preserve">
Participating employer insolvency
</v>
      </c>
      <c r="C167" s="187"/>
      <c r="D167" s="372" t="str">
        <f ca="1">'Reconciliation report'!$D695</f>
        <v/>
      </c>
      <c r="E167" s="122" t="str">
        <f>Guidance!$B$186</f>
        <v xml:space="preserve">
If insolvency of a participating employer is a circumstance in which the trustees may seek payment from the guarantor under the terms of the guarantee. 
</v>
      </c>
      <c r="F167" s="227"/>
    </row>
    <row r="168" spans="1:13" ht="78" thickBot="1">
      <c r="A168" s="660" t="s">
        <v>1027</v>
      </c>
      <c r="B168" s="121" t="str">
        <f>Questions!$C$534</f>
        <v xml:space="preserve">
Insolvency of associated company
</v>
      </c>
      <c r="C168" s="343"/>
      <c r="D168" s="372" t="str">
        <f ca="1">'Reconciliation report'!$D696</f>
        <v/>
      </c>
      <c r="E168" s="122" t="str">
        <f>Guidance!$B$187</f>
        <v xml:space="preserve">
If insolvency of an associated company is a circumstance in which the trustees may seek payment from the guarantor under the terms of the guarantee.
</v>
      </c>
      <c r="F168" s="227"/>
    </row>
    <row r="169" spans="1:13" ht="78" thickBot="1">
      <c r="A169" s="660" t="s">
        <v>1029</v>
      </c>
      <c r="B169" s="121" t="str">
        <f>Questions!$C$535</f>
        <v xml:space="preserve">
Non payment of contributions
</v>
      </c>
      <c r="C169" s="343"/>
      <c r="D169" s="372" t="str">
        <f ca="1">'Reconciliation report'!$D697</f>
        <v/>
      </c>
      <c r="E169" s="122" t="str">
        <f>Guidance!$B$188</f>
        <v xml:space="preserve">
If non-payment of contributions is a circumstance in which the trustees may seek payment from the guarantor under the terms of the guarantee.
</v>
      </c>
      <c r="F169" s="227"/>
    </row>
    <row r="170" spans="1:13" ht="78" thickBot="1">
      <c r="A170" s="660" t="s">
        <v>1031</v>
      </c>
      <c r="B170" s="121" t="str">
        <f>Questions!$C$536</f>
        <v xml:space="preserve">
Crystallisation of investment risk
</v>
      </c>
      <c r="C170" s="343"/>
      <c r="D170" s="372" t="str">
        <f ca="1">'Reconciliation report'!$D698</f>
        <v/>
      </c>
      <c r="E170" s="122" t="str">
        <f>Guidance!$B$189</f>
        <v xml:space="preserve">
If crystallisation of investment risk is a circumstance in which the trustees may seek payment from the guarantor under the terms of the guarantee.
</v>
      </c>
      <c r="F170" s="227"/>
    </row>
    <row r="171" spans="1:13" ht="62.5" thickBot="1">
      <c r="A171" s="660" t="s">
        <v>1033</v>
      </c>
      <c r="B171" s="121" t="str">
        <f>Questions!$C$537</f>
        <v xml:space="preserve">
Other
</v>
      </c>
      <c r="C171" s="343"/>
      <c r="D171" s="372" t="str">
        <f ca="1">'Reconciliation report'!$D699</f>
        <v/>
      </c>
      <c r="E171" s="122" t="str">
        <f>Guidance!$B$190</f>
        <v xml:space="preserve">
If there are other circumstances in which the trustees may seek payment from the guarantor under the terms of the guarantee.
</v>
      </c>
      <c r="F171" s="227"/>
    </row>
    <row r="172" spans="1:13" ht="77.5">
      <c r="A172" s="660" t="s">
        <v>1035</v>
      </c>
      <c r="B172" s="118" t="str">
        <f>Questions!$C$538</f>
        <v xml:space="preserve">
Describe the other triggers for access to value
</v>
      </c>
      <c r="C172" s="517"/>
      <c r="D172" s="361" t="str">
        <f ca="1">'Reconciliation report'!$D700</f>
        <v/>
      </c>
      <c r="E172" s="122" t="str">
        <f>Guidance!$B$191</f>
        <v xml:space="preserve">
Specific description of the 'other' circumstances in which the trustees may seek payment from the guarantor under the terms of the guarantee.
</v>
      </c>
      <c r="F172" s="128"/>
    </row>
    <row r="173" spans="1:13" s="26" customFormat="1" ht="62.5" thickBot="1">
      <c r="A173" s="661" t="s">
        <v>1037</v>
      </c>
      <c r="B173" s="136" t="str">
        <f>Questions!$C$539</f>
        <v xml:space="preserve">
Triggers for termination
</v>
      </c>
      <c r="C173" s="501"/>
      <c r="D173" s="362" t="str">
        <f ca="1">'Reconciliation report'!$D701</f>
        <v/>
      </c>
      <c r="E173" s="132" t="str">
        <f>Guidance!$B$192</f>
        <v xml:space="preserve">
The circumstances specified in the guarantee under which the guarantee will terminate or cease to have effect
</v>
      </c>
      <c r="F173" s="155"/>
    </row>
    <row r="174" spans="1:13" s="47" customFormat="1" ht="50.25" customHeight="1">
      <c r="B174" s="20"/>
    </row>
  </sheetData>
  <sheetProtection algorithmName="SHA-512" hashValue="ePP8xf4tbdte1xFxbt6sPEzsMk0yqs06hPgX8QMOagM9cjvR35tXYF1VwPbUa/z2Y8/JM4bVGPOzoaPk9c7VHA==" saltValue="2taNs2cIVJeI3hntM6OSIQ==" spinCount="100000" sheet="1" objects="1" scenarios="1" sort="0" autoFilter="0"/>
  <mergeCells count="13">
    <mergeCell ref="A165:B165"/>
    <mergeCell ref="A1:B1"/>
    <mergeCell ref="A5:B5"/>
    <mergeCell ref="A29:B29"/>
    <mergeCell ref="A131:B131"/>
    <mergeCell ref="A141:B141"/>
    <mergeCell ref="A39:B39"/>
    <mergeCell ref="A63:B63"/>
    <mergeCell ref="A73:B73"/>
    <mergeCell ref="A97:B97"/>
    <mergeCell ref="A107:B107"/>
    <mergeCell ref="A3:B3"/>
    <mergeCell ref="A2:B2"/>
  </mergeCells>
  <conditionalFormatting sqref="D7:D27 D31:D37 D41:D61 D65:D71 D75:D95 D99:D105 D109:D129 D133:D139 D143:D163 D167:D173">
    <cfRule type="notContainsBlanks" dxfId="300" priority="11">
      <formula>LEN(TRIM(D7))&gt;0</formula>
    </cfRule>
  </conditionalFormatting>
  <dataValidations xWindow="812" yWindow="815" count="8">
    <dataValidation type="textLength" operator="lessThanOrEqual" allowBlank="1" showInputMessage="1" showErrorMessage="1" errorTitle="There is a problem" error="Your answer must not exceed 510 characters" promptTitle="Add your answer" prompt="Answer this question in 510 characters or less" sqref="C10:C14 C7 C44:C48 C41 C78:C82 C75 C112:C116 C109 C146:C150 C143" xr:uid="{D06A66E4-8CCE-46A0-900A-05C9051E87B1}">
      <formula1>510</formula1>
    </dataValidation>
    <dataValidation type="textLength" allowBlank="1" showInputMessage="1" showErrorMessage="1" errorTitle="There is a problem" error="Your answer must be between 6 and 8 characters" promptTitle="Add your answer" prompt="Answer this question between 6 and 8 characters" sqref="C9 C43 C77 C111 C145" xr:uid="{B8325D2B-A749-4E14-BA93-AA8DD7AEAB80}">
      <formula1>6</formula1>
      <formula2>8</formula2>
    </dataValidation>
    <dataValidation type="textLength" operator="lessThanOrEqual" allowBlank="1" showInputMessage="1" showErrorMessage="1" errorTitle="There is a problem" error="Your answer must not exceed 4000 characters." promptTitle="Add your answer" prompt="Answer this question in 4000 characters or less" sqref="C172:C173 C90 C70:C71 C53 C94 C124 C87 C128 C104:C105 C121 C162 C138:C139 C155 C37 C158 C56 C60" xr:uid="{934D1EA6-995D-42C9-9F73-8D035E5B1E51}">
      <formula1>4000</formula1>
    </dataValidation>
    <dataValidation type="custom" allowBlank="1" showInputMessage="1" showErrorMessage="1" errorTitle="There is a problem" error="You must enter a number greater than or equal to 0.00 and less than 1,000,000,000,000 (1 trillion) with up to two decimal places." promptTitle="Enter a value" prompt="Enter a number (£)" sqref="C23 C57 C91 C125 C159 C27 C61 C95 C129 C163" xr:uid="{CCA6E6FE-2C5B-4946-9CA2-658CE6AA57BC}">
      <formula1>AND(ISNUMBER(VALUE(C23)), VALUE(C23)&gt;=0, VALUE(C23)&lt;=999999999999.99, IF(ISERROR(FIND(".", C23)), VALUE(C23)=INT(VALUE(C23)), LEN(C23)-FIND(".", C23)&lt;=2))</formula1>
    </dataValidation>
    <dataValidation type="date" operator="lessThanOrEqual" allowBlank="1" showInputMessage="1" showErrorMessage="1" errorTitle="There is a problem" error="Enter a date in the format dd/mm/yyyy" promptTitle="Enter a date" prompt="Enter a date (dd/mm/yyyy)" sqref="C160 C24 C58 C92 C126" xr:uid="{92EA3A65-7F81-47D0-BFA2-4A4BA0BD40FB}">
      <formula1>TODAY()</formula1>
    </dataValidation>
    <dataValidation type="textLength" operator="lessThanOrEqual" allowBlank="1" showInputMessage="1" showErrorMessage="1" errorTitle="There is a problem" error="Your answer must not exceed 4000 characters" promptTitle="Add your answer" prompt="Answer this question in 4000 characters or less" sqref="C36 C26 C19" xr:uid="{D6088E71-A34A-447C-9472-603CC4498D4A}">
      <formula1>4000</formula1>
    </dataValidation>
    <dataValidation type="textLength" operator="lessThanOrEqual" allowBlank="1" showInputMessage="1" showErrorMessage="1" errorTitle="There is a problem" error="Your answer must not exceed 4000 charaters" promptTitle="Add your answer" prompt="Answer this question in 4000 characters or less" sqref="C22" xr:uid="{40655E50-1B1D-47DC-9B71-F606FD8C945E}">
      <formula1>4000</formula1>
    </dataValidation>
    <dataValidation allowBlank="1" showInputMessage="1" showErrorMessage="1" error="Select from the list." sqref="C174" xr:uid="{B5770E13-F924-40A6-AEA1-F749C4A6B87F}"/>
  </dataValidations>
  <pageMargins left="0.70000000000000007" right="0.70000000000000007" top="0.75" bottom="0.75" header="0.30000000000000004" footer="0.30000000000000004"/>
  <pageSetup paperSize="9" fitToWidth="0"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794" id="{D5764752-5594-4A84-B488-52FA6CB1FA6C}">
            <xm:f>SEARCH(RefData!$B$2,$B$7)</xm:f>
            <x14:dxf>
              <fill>
                <patternFill>
                  <bgColor theme="0" tint="-0.14996795556505021"/>
                </patternFill>
              </fill>
            </x14:dxf>
          </x14:cfRule>
          <xm:sqref>A7:F7</xm:sqref>
        </x14:conditionalFormatting>
        <x14:conditionalFormatting xmlns:xm="http://schemas.microsoft.com/office/excel/2006/main">
          <x14:cfRule type="expression" priority="795" id="{94BEB4A1-C3A1-46BB-BB20-150B5769FB9C}">
            <xm:f>SEARCH(RefData!$B$2,$B$8)</xm:f>
            <x14:dxf>
              <fill>
                <patternFill>
                  <bgColor theme="0" tint="-0.14996795556505021"/>
                </patternFill>
              </fill>
            </x14:dxf>
          </x14:cfRule>
          <xm:sqref>A8:F8</xm:sqref>
        </x14:conditionalFormatting>
        <x14:conditionalFormatting xmlns:xm="http://schemas.microsoft.com/office/excel/2006/main">
          <x14:cfRule type="expression" priority="796" id="{DB54C616-3015-44E2-B3A8-85D68B11FEB4}">
            <xm:f>SEARCH(RefData!$B$2,$B$9)</xm:f>
            <x14:dxf>
              <fill>
                <patternFill>
                  <bgColor theme="0" tint="-0.14996795556505021"/>
                </patternFill>
              </fill>
            </x14:dxf>
          </x14:cfRule>
          <xm:sqref>A9:F9</xm:sqref>
        </x14:conditionalFormatting>
        <x14:conditionalFormatting xmlns:xm="http://schemas.microsoft.com/office/excel/2006/main">
          <x14:cfRule type="expression" priority="797" id="{1C66AE89-EA58-48A9-AB1B-329DBC8F93CA}">
            <xm:f>SEARCH(RefData!$B$2,$B$10)</xm:f>
            <x14:dxf>
              <fill>
                <patternFill>
                  <bgColor theme="0" tint="-0.14996795556505021"/>
                </patternFill>
              </fill>
            </x14:dxf>
          </x14:cfRule>
          <xm:sqref>A10:F10</xm:sqref>
        </x14:conditionalFormatting>
        <x14:conditionalFormatting xmlns:xm="http://schemas.microsoft.com/office/excel/2006/main">
          <x14:cfRule type="expression" priority="798" id="{645167C4-03C2-4301-9E96-E457F1EAE7B0}">
            <xm:f>SEARCH(RefData!$B$2,$B$11)</xm:f>
            <x14:dxf>
              <fill>
                <patternFill>
                  <bgColor theme="0" tint="-0.14996795556505021"/>
                </patternFill>
              </fill>
            </x14:dxf>
          </x14:cfRule>
          <xm:sqref>A11:F11</xm:sqref>
        </x14:conditionalFormatting>
        <x14:conditionalFormatting xmlns:xm="http://schemas.microsoft.com/office/excel/2006/main">
          <x14:cfRule type="expression" priority="799" id="{6450B118-A021-4A29-853D-EAB30DB82150}">
            <xm:f>SEARCH(RefData!$B$2,$B$12)</xm:f>
            <x14:dxf>
              <fill>
                <patternFill>
                  <bgColor theme="0" tint="-0.14996795556505021"/>
                </patternFill>
              </fill>
            </x14:dxf>
          </x14:cfRule>
          <xm:sqref>A12:F12</xm:sqref>
        </x14:conditionalFormatting>
        <x14:conditionalFormatting xmlns:xm="http://schemas.microsoft.com/office/excel/2006/main">
          <x14:cfRule type="expression" priority="800" id="{20E484CF-CFFE-43D8-9984-0CDB4AFA865A}">
            <xm:f>SEARCH(RefData!$B$2,$B$13)</xm:f>
            <x14:dxf>
              <fill>
                <patternFill>
                  <bgColor theme="0" tint="-0.14996795556505021"/>
                </patternFill>
              </fill>
            </x14:dxf>
          </x14:cfRule>
          <xm:sqref>A13:F13</xm:sqref>
        </x14:conditionalFormatting>
        <x14:conditionalFormatting xmlns:xm="http://schemas.microsoft.com/office/excel/2006/main">
          <x14:cfRule type="expression" priority="801" id="{131E4EAA-674C-424E-89F2-4E391DDD8FDA}">
            <xm:f>SEARCH(RefData!$B$2,$B$14)</xm:f>
            <x14:dxf>
              <fill>
                <patternFill>
                  <bgColor theme="0" tint="-0.14996795556505021"/>
                </patternFill>
              </fill>
            </x14:dxf>
          </x14:cfRule>
          <xm:sqref>A14:F14</xm:sqref>
        </x14:conditionalFormatting>
        <x14:conditionalFormatting xmlns:xm="http://schemas.microsoft.com/office/excel/2006/main">
          <x14:cfRule type="expression" priority="802" id="{5CBD65D7-8B2F-42B0-85A2-96ECF4FBF58B}">
            <xm:f>SEARCH(RefData!$B$2,$B$15)</xm:f>
            <x14:dxf>
              <fill>
                <patternFill>
                  <bgColor theme="0" tint="-0.14996795556505021"/>
                </patternFill>
              </fill>
            </x14:dxf>
          </x14:cfRule>
          <xm:sqref>A15:F15</xm:sqref>
        </x14:conditionalFormatting>
        <x14:conditionalFormatting xmlns:xm="http://schemas.microsoft.com/office/excel/2006/main">
          <x14:cfRule type="expression" priority="803" id="{1E61A7BF-444B-430B-9574-CFB216113EA7}">
            <xm:f>SEARCH(RefData!$B$2,$B$16)</xm:f>
            <x14:dxf>
              <fill>
                <patternFill>
                  <bgColor theme="0" tint="-0.14996795556505021"/>
                </patternFill>
              </fill>
            </x14:dxf>
          </x14:cfRule>
          <xm:sqref>A16:F16</xm:sqref>
        </x14:conditionalFormatting>
        <x14:conditionalFormatting xmlns:xm="http://schemas.microsoft.com/office/excel/2006/main">
          <x14:cfRule type="expression" priority="804" id="{D6B126A8-AD6C-4064-9E3D-60C817319CE0}">
            <xm:f>SEARCH(RefData!$B$2,$B$17)</xm:f>
            <x14:dxf>
              <fill>
                <patternFill>
                  <bgColor theme="0" tint="-0.14996795556505021"/>
                </patternFill>
              </fill>
            </x14:dxf>
          </x14:cfRule>
          <xm:sqref>A17:F17</xm:sqref>
        </x14:conditionalFormatting>
        <x14:conditionalFormatting xmlns:xm="http://schemas.microsoft.com/office/excel/2006/main">
          <x14:cfRule type="expression" priority="805" id="{7AAF31A1-4217-4F63-83BB-7B180EC5971E}">
            <xm:f>SEARCH(RefData!$B$2,$B$18)</xm:f>
            <x14:dxf>
              <fill>
                <patternFill>
                  <bgColor theme="0" tint="-0.14996795556505021"/>
                </patternFill>
              </fill>
            </x14:dxf>
          </x14:cfRule>
          <xm:sqref>A18:F18</xm:sqref>
        </x14:conditionalFormatting>
        <x14:conditionalFormatting xmlns:xm="http://schemas.microsoft.com/office/excel/2006/main">
          <x14:cfRule type="expression" priority="806" id="{D586967C-936A-4930-AE9C-7F97A807CCCB}">
            <xm:f>SEARCH(RefData!$B$2,$B$19)</xm:f>
            <x14:dxf>
              <fill>
                <patternFill>
                  <bgColor theme="0" tint="-0.14996795556505021"/>
                </patternFill>
              </fill>
            </x14:dxf>
          </x14:cfRule>
          <xm:sqref>A19:F19</xm:sqref>
        </x14:conditionalFormatting>
        <x14:conditionalFormatting xmlns:xm="http://schemas.microsoft.com/office/excel/2006/main">
          <x14:cfRule type="expression" priority="807" id="{5747D673-694E-49F9-BE90-325FE69D6B1C}">
            <xm:f>SEARCH(RefData!$B$2,$B$20)</xm:f>
            <x14:dxf>
              <fill>
                <patternFill>
                  <bgColor theme="0" tint="-0.14996795556505021"/>
                </patternFill>
              </fill>
            </x14:dxf>
          </x14:cfRule>
          <xm:sqref>A20:F20</xm:sqref>
        </x14:conditionalFormatting>
        <x14:conditionalFormatting xmlns:xm="http://schemas.microsoft.com/office/excel/2006/main">
          <x14:cfRule type="expression" priority="808" id="{C4B914FE-FEE1-4A2F-A9C0-92CAEC6D7DA7}">
            <xm:f>SEARCH(RefData!$B$2,$B$21)</xm:f>
            <x14:dxf>
              <fill>
                <patternFill>
                  <bgColor theme="0" tint="-0.14996795556505021"/>
                </patternFill>
              </fill>
            </x14:dxf>
          </x14:cfRule>
          <xm:sqref>A21:F21</xm:sqref>
        </x14:conditionalFormatting>
        <x14:conditionalFormatting xmlns:xm="http://schemas.microsoft.com/office/excel/2006/main">
          <x14:cfRule type="expression" priority="809" id="{81DFA4C3-CC8A-4388-B096-B1C50865812F}">
            <xm:f>SEARCH(RefData!$B$2,$B$22)</xm:f>
            <x14:dxf>
              <fill>
                <patternFill>
                  <bgColor theme="0" tint="-0.14996795556505021"/>
                </patternFill>
              </fill>
            </x14:dxf>
          </x14:cfRule>
          <xm:sqref>A22:F22</xm:sqref>
        </x14:conditionalFormatting>
        <x14:conditionalFormatting xmlns:xm="http://schemas.microsoft.com/office/excel/2006/main">
          <x14:cfRule type="expression" priority="810" id="{04AB0E2C-A6BF-4A16-91D8-1E6209C45251}">
            <xm:f>SEARCH(RefData!$B$2,$B$23)</xm:f>
            <x14:dxf>
              <fill>
                <patternFill>
                  <bgColor theme="0" tint="-0.14996795556505021"/>
                </patternFill>
              </fill>
            </x14:dxf>
          </x14:cfRule>
          <xm:sqref>A23:F23</xm:sqref>
        </x14:conditionalFormatting>
        <x14:conditionalFormatting xmlns:xm="http://schemas.microsoft.com/office/excel/2006/main">
          <x14:cfRule type="expression" priority="811" id="{B38EB48E-F154-4C0C-86B4-435C2709C936}">
            <xm:f>SEARCH(RefData!$B$2,$B$24)</xm:f>
            <x14:dxf>
              <fill>
                <patternFill>
                  <bgColor theme="0" tint="-0.14996795556505021"/>
                </patternFill>
              </fill>
            </x14:dxf>
          </x14:cfRule>
          <xm:sqref>A24:F24</xm:sqref>
        </x14:conditionalFormatting>
        <x14:conditionalFormatting xmlns:xm="http://schemas.microsoft.com/office/excel/2006/main">
          <x14:cfRule type="expression" priority="812" id="{6B7A9312-A890-4168-BAAB-F3433B35D493}">
            <xm:f>SEARCH(RefData!$B$2,$B$25)</xm:f>
            <x14:dxf>
              <fill>
                <patternFill>
                  <bgColor theme="0" tint="-0.14996795556505021"/>
                </patternFill>
              </fill>
            </x14:dxf>
          </x14:cfRule>
          <xm:sqref>A25:F25</xm:sqref>
        </x14:conditionalFormatting>
        <x14:conditionalFormatting xmlns:xm="http://schemas.microsoft.com/office/excel/2006/main">
          <x14:cfRule type="expression" priority="813" id="{02085FC2-A6B2-4F5A-8854-D5AD4E0AE9CF}">
            <xm:f>SEARCH(RefData!$B$2,$B$26)</xm:f>
            <x14:dxf>
              <fill>
                <patternFill>
                  <bgColor theme="0" tint="-0.14996795556505021"/>
                </patternFill>
              </fill>
            </x14:dxf>
          </x14:cfRule>
          <xm:sqref>A26:F26</xm:sqref>
        </x14:conditionalFormatting>
        <x14:conditionalFormatting xmlns:xm="http://schemas.microsoft.com/office/excel/2006/main">
          <x14:cfRule type="expression" priority="814" id="{1551A15B-34CF-4FFC-835A-7B3C16C27764}">
            <xm:f>SEARCH(RefData!$B$2,$B$27)</xm:f>
            <x14:dxf>
              <fill>
                <patternFill>
                  <bgColor theme="0" tint="-0.14996795556505021"/>
                </patternFill>
              </fill>
            </x14:dxf>
          </x14:cfRule>
          <xm:sqref>A27:F27</xm:sqref>
        </x14:conditionalFormatting>
        <x14:conditionalFormatting xmlns:xm="http://schemas.microsoft.com/office/excel/2006/main">
          <x14:cfRule type="expression" priority="815" id="{A1361B94-2BA2-472D-909E-7CC0E40D7377}">
            <xm:f>SEARCH(RefData!$B$2,$B$31)</xm:f>
            <x14:dxf>
              <fill>
                <patternFill>
                  <bgColor theme="0" tint="-0.14996795556505021"/>
                </patternFill>
              </fill>
            </x14:dxf>
          </x14:cfRule>
          <xm:sqref>A31:F31</xm:sqref>
        </x14:conditionalFormatting>
        <x14:conditionalFormatting xmlns:xm="http://schemas.microsoft.com/office/excel/2006/main">
          <x14:cfRule type="expression" priority="816" id="{294F6874-1A04-48F0-9E0A-C3F54FE08316}">
            <xm:f>SEARCH(RefData!$B$2,$B$32)</xm:f>
            <x14:dxf>
              <fill>
                <patternFill>
                  <bgColor theme="0" tint="-0.14996795556505021"/>
                </patternFill>
              </fill>
            </x14:dxf>
          </x14:cfRule>
          <xm:sqref>A32:F32</xm:sqref>
        </x14:conditionalFormatting>
        <x14:conditionalFormatting xmlns:xm="http://schemas.microsoft.com/office/excel/2006/main">
          <x14:cfRule type="expression" priority="817" id="{79E3EEFE-831E-48E6-9832-4C497992CAFE}">
            <xm:f>SEARCH(RefData!$B$2,$B$33)</xm:f>
            <x14:dxf>
              <fill>
                <patternFill>
                  <bgColor theme="0" tint="-0.14996795556505021"/>
                </patternFill>
              </fill>
            </x14:dxf>
          </x14:cfRule>
          <xm:sqref>A33:F33</xm:sqref>
        </x14:conditionalFormatting>
        <x14:conditionalFormatting xmlns:xm="http://schemas.microsoft.com/office/excel/2006/main">
          <x14:cfRule type="expression" priority="818" id="{062C7CA5-440E-47B9-8803-CE9CF662EBE9}">
            <xm:f>SEARCH(RefData!$B$2,$B$34)</xm:f>
            <x14:dxf>
              <fill>
                <patternFill>
                  <bgColor theme="0" tint="-0.14996795556505021"/>
                </patternFill>
              </fill>
            </x14:dxf>
          </x14:cfRule>
          <xm:sqref>A34:F34</xm:sqref>
        </x14:conditionalFormatting>
        <x14:conditionalFormatting xmlns:xm="http://schemas.microsoft.com/office/excel/2006/main">
          <x14:cfRule type="expression" priority="819" id="{A608EA6E-4EEA-4AC0-BD66-172624891378}">
            <xm:f>SEARCH(RefData!$B$2,$B$35)</xm:f>
            <x14:dxf>
              <fill>
                <patternFill>
                  <bgColor theme="0" tint="-0.14996795556505021"/>
                </patternFill>
              </fill>
            </x14:dxf>
          </x14:cfRule>
          <xm:sqref>A35:F35</xm:sqref>
        </x14:conditionalFormatting>
        <x14:conditionalFormatting xmlns:xm="http://schemas.microsoft.com/office/excel/2006/main">
          <x14:cfRule type="expression" priority="820" id="{95C92B23-15D1-4F8D-9AB9-ACCE41D85AA6}">
            <xm:f>SEARCH(RefData!$B$2,$B$36)</xm:f>
            <x14:dxf>
              <fill>
                <patternFill>
                  <bgColor theme="0" tint="-0.14996795556505021"/>
                </patternFill>
              </fill>
            </x14:dxf>
          </x14:cfRule>
          <xm:sqref>A36:F36</xm:sqref>
        </x14:conditionalFormatting>
        <x14:conditionalFormatting xmlns:xm="http://schemas.microsoft.com/office/excel/2006/main">
          <x14:cfRule type="expression" priority="821" id="{B24199BD-7247-4A7E-8C83-DDCA04C7D825}">
            <xm:f>SEARCH(RefData!$B$2,$B$37)</xm:f>
            <x14:dxf>
              <fill>
                <patternFill>
                  <bgColor theme="0" tint="-0.14996795556505021"/>
                </patternFill>
              </fill>
            </x14:dxf>
          </x14:cfRule>
          <xm:sqref>A37:F37</xm:sqref>
        </x14:conditionalFormatting>
        <x14:conditionalFormatting xmlns:xm="http://schemas.microsoft.com/office/excel/2006/main">
          <x14:cfRule type="expression" priority="822" id="{F954EE6C-0BCD-40B1-BA4D-E95D7C0F7AD1}">
            <xm:f>SEARCH(RefData!$B$2,$B$41)</xm:f>
            <x14:dxf>
              <fill>
                <patternFill>
                  <bgColor theme="0" tint="-0.14996795556505021"/>
                </patternFill>
              </fill>
            </x14:dxf>
          </x14:cfRule>
          <xm:sqref>A41:F41</xm:sqref>
        </x14:conditionalFormatting>
        <x14:conditionalFormatting xmlns:xm="http://schemas.microsoft.com/office/excel/2006/main">
          <x14:cfRule type="expression" priority="823" id="{A2BADC91-DBE0-466E-8ED6-828ED15CEB3B}">
            <xm:f>SEARCH(RefData!$B$2,$B$42)</xm:f>
            <x14:dxf>
              <fill>
                <patternFill>
                  <bgColor theme="0" tint="-0.14996795556505021"/>
                </patternFill>
              </fill>
            </x14:dxf>
          </x14:cfRule>
          <xm:sqref>A42:F42</xm:sqref>
        </x14:conditionalFormatting>
        <x14:conditionalFormatting xmlns:xm="http://schemas.microsoft.com/office/excel/2006/main">
          <x14:cfRule type="expression" priority="824" id="{D2509C14-C6CE-4018-B83E-DC4C9CEE6333}">
            <xm:f>SEARCH(RefData!$B$2,$B$43)</xm:f>
            <x14:dxf>
              <fill>
                <patternFill>
                  <bgColor theme="0" tint="-0.14996795556505021"/>
                </patternFill>
              </fill>
            </x14:dxf>
          </x14:cfRule>
          <xm:sqref>A43:F43</xm:sqref>
        </x14:conditionalFormatting>
        <x14:conditionalFormatting xmlns:xm="http://schemas.microsoft.com/office/excel/2006/main">
          <x14:cfRule type="expression" priority="825" id="{EBE8D8E2-9A74-4D7B-A8F3-22D5350D45A1}">
            <xm:f>SEARCH(RefData!$B$2,$B$44)</xm:f>
            <x14:dxf>
              <fill>
                <patternFill>
                  <bgColor theme="0" tint="-0.14996795556505021"/>
                </patternFill>
              </fill>
            </x14:dxf>
          </x14:cfRule>
          <xm:sqref>A44:F44</xm:sqref>
        </x14:conditionalFormatting>
        <x14:conditionalFormatting xmlns:xm="http://schemas.microsoft.com/office/excel/2006/main">
          <x14:cfRule type="expression" priority="826" id="{14393CD2-23BA-4588-98E5-DE7E32E9E60E}">
            <xm:f>SEARCH(RefData!$B$2,$B$45)</xm:f>
            <x14:dxf>
              <fill>
                <patternFill>
                  <bgColor theme="0" tint="-0.14996795556505021"/>
                </patternFill>
              </fill>
            </x14:dxf>
          </x14:cfRule>
          <xm:sqref>A45:F45</xm:sqref>
        </x14:conditionalFormatting>
        <x14:conditionalFormatting xmlns:xm="http://schemas.microsoft.com/office/excel/2006/main">
          <x14:cfRule type="expression" priority="827" id="{5518F16C-20D2-438A-960D-AD4F1C99844F}">
            <xm:f>SEARCH(RefData!$B$2,$B$46)</xm:f>
            <x14:dxf>
              <fill>
                <patternFill>
                  <bgColor theme="0" tint="-0.14996795556505021"/>
                </patternFill>
              </fill>
            </x14:dxf>
          </x14:cfRule>
          <xm:sqref>A46:F46</xm:sqref>
        </x14:conditionalFormatting>
        <x14:conditionalFormatting xmlns:xm="http://schemas.microsoft.com/office/excel/2006/main">
          <x14:cfRule type="expression" priority="828" id="{95C524E9-C911-4CB6-A9FC-0E27A9EA2C70}">
            <xm:f>SEARCH(RefData!$B$2,$B$47)</xm:f>
            <x14:dxf>
              <fill>
                <patternFill>
                  <bgColor theme="0" tint="-0.14996795556505021"/>
                </patternFill>
              </fill>
            </x14:dxf>
          </x14:cfRule>
          <xm:sqref>A47:F47</xm:sqref>
        </x14:conditionalFormatting>
        <x14:conditionalFormatting xmlns:xm="http://schemas.microsoft.com/office/excel/2006/main">
          <x14:cfRule type="expression" priority="829" id="{85C9CA8C-EEF0-4BC4-AFB3-A444C62BE093}">
            <xm:f>SEARCH(RefData!$B$2,$B$48)</xm:f>
            <x14:dxf>
              <fill>
                <patternFill>
                  <bgColor theme="0" tint="-0.14996795556505021"/>
                </patternFill>
              </fill>
            </x14:dxf>
          </x14:cfRule>
          <xm:sqref>A48:F48</xm:sqref>
        </x14:conditionalFormatting>
        <x14:conditionalFormatting xmlns:xm="http://schemas.microsoft.com/office/excel/2006/main">
          <x14:cfRule type="expression" priority="830" id="{5769E3BE-C1F1-485C-9846-71535CDA2F02}">
            <xm:f>SEARCH(RefData!$B$2,$B$49)</xm:f>
            <x14:dxf>
              <fill>
                <patternFill>
                  <bgColor theme="0" tint="-0.14996795556505021"/>
                </patternFill>
              </fill>
            </x14:dxf>
          </x14:cfRule>
          <xm:sqref>A49:F49</xm:sqref>
        </x14:conditionalFormatting>
        <x14:conditionalFormatting xmlns:xm="http://schemas.microsoft.com/office/excel/2006/main">
          <x14:cfRule type="expression" priority="831" id="{72635E1B-613E-4DBF-9111-7FCD109E7E65}">
            <xm:f>SEARCH(RefData!$B$2,$B$50)</xm:f>
            <x14:dxf>
              <fill>
                <patternFill>
                  <bgColor theme="0" tint="-0.14996795556505021"/>
                </patternFill>
              </fill>
            </x14:dxf>
          </x14:cfRule>
          <xm:sqref>A50:F50</xm:sqref>
        </x14:conditionalFormatting>
        <x14:conditionalFormatting xmlns:xm="http://schemas.microsoft.com/office/excel/2006/main">
          <x14:cfRule type="expression" priority="832" id="{1D8118E0-6D8B-4D56-A341-96323206EC81}">
            <xm:f>SEARCH(RefData!$B$2,$B$51)</xm:f>
            <x14:dxf>
              <fill>
                <patternFill>
                  <bgColor theme="0" tint="-0.14996795556505021"/>
                </patternFill>
              </fill>
            </x14:dxf>
          </x14:cfRule>
          <xm:sqref>A51:F51</xm:sqref>
        </x14:conditionalFormatting>
        <x14:conditionalFormatting xmlns:xm="http://schemas.microsoft.com/office/excel/2006/main">
          <x14:cfRule type="expression" priority="833" id="{91BC71B2-1DC4-4FFA-89D1-EB0FB49ABD75}">
            <xm:f>SEARCH(RefData!$B$2,$B$52)</xm:f>
            <x14:dxf>
              <fill>
                <patternFill>
                  <bgColor theme="0" tint="-0.14996795556505021"/>
                </patternFill>
              </fill>
            </x14:dxf>
          </x14:cfRule>
          <xm:sqref>A52:F52</xm:sqref>
        </x14:conditionalFormatting>
        <x14:conditionalFormatting xmlns:xm="http://schemas.microsoft.com/office/excel/2006/main">
          <x14:cfRule type="expression" priority="834" id="{7FC7D0D9-EF90-4105-A514-4945ACF17260}">
            <xm:f>SEARCH(RefData!$B$2,$B$53)</xm:f>
            <x14:dxf>
              <fill>
                <patternFill>
                  <bgColor theme="0" tint="-0.14996795556505021"/>
                </patternFill>
              </fill>
            </x14:dxf>
          </x14:cfRule>
          <xm:sqref>A53:F53</xm:sqref>
        </x14:conditionalFormatting>
        <x14:conditionalFormatting xmlns:xm="http://schemas.microsoft.com/office/excel/2006/main">
          <x14:cfRule type="expression" priority="835" id="{D1B8D102-2ECC-4D3F-BE89-9C7F16C8FCC7}">
            <xm:f>SEARCH(RefData!$B$2,$B$54)</xm:f>
            <x14:dxf>
              <fill>
                <patternFill>
                  <bgColor theme="0" tint="-0.14996795556505021"/>
                </patternFill>
              </fill>
            </x14:dxf>
          </x14:cfRule>
          <xm:sqref>A54:F54</xm:sqref>
        </x14:conditionalFormatting>
        <x14:conditionalFormatting xmlns:xm="http://schemas.microsoft.com/office/excel/2006/main">
          <x14:cfRule type="expression" priority="836" id="{2AEA1872-E444-485F-B5FD-E82C095AF3DD}">
            <xm:f>SEARCH(RefData!$B$2,$B$55)</xm:f>
            <x14:dxf>
              <fill>
                <patternFill>
                  <bgColor theme="0" tint="-0.14996795556505021"/>
                </patternFill>
              </fill>
            </x14:dxf>
          </x14:cfRule>
          <xm:sqref>A55:F55</xm:sqref>
        </x14:conditionalFormatting>
        <x14:conditionalFormatting xmlns:xm="http://schemas.microsoft.com/office/excel/2006/main">
          <x14:cfRule type="expression" priority="837" id="{36920E56-D261-4EBB-898A-7A57763F0DF0}">
            <xm:f>SEARCH(RefData!$B$2,$B$56)</xm:f>
            <x14:dxf>
              <fill>
                <patternFill>
                  <bgColor theme="0" tint="-0.14996795556505021"/>
                </patternFill>
              </fill>
            </x14:dxf>
          </x14:cfRule>
          <xm:sqref>A56:F56</xm:sqref>
        </x14:conditionalFormatting>
        <x14:conditionalFormatting xmlns:xm="http://schemas.microsoft.com/office/excel/2006/main">
          <x14:cfRule type="expression" priority="838" id="{EB7A6D0B-37F1-4397-B097-66A1C621B784}">
            <xm:f>SEARCH(RefData!$B$2,$B$57)</xm:f>
            <x14:dxf>
              <fill>
                <patternFill>
                  <bgColor theme="0" tint="-0.14996795556505021"/>
                </patternFill>
              </fill>
            </x14:dxf>
          </x14:cfRule>
          <xm:sqref>A57:F57</xm:sqref>
        </x14:conditionalFormatting>
        <x14:conditionalFormatting xmlns:xm="http://schemas.microsoft.com/office/excel/2006/main">
          <x14:cfRule type="expression" priority="839" id="{8B4E170A-9A62-4099-B13B-F5624B060880}">
            <xm:f>SEARCH(RefData!$B$2,$B$58)</xm:f>
            <x14:dxf>
              <fill>
                <patternFill>
                  <bgColor theme="0" tint="-0.14996795556505021"/>
                </patternFill>
              </fill>
            </x14:dxf>
          </x14:cfRule>
          <xm:sqref>A58:F58</xm:sqref>
        </x14:conditionalFormatting>
        <x14:conditionalFormatting xmlns:xm="http://schemas.microsoft.com/office/excel/2006/main">
          <x14:cfRule type="expression" priority="840" id="{D7CF0467-7DC9-4B9D-B5FD-F9571FCFC5E7}">
            <xm:f>SEARCH(RefData!$B$2,$B$59)</xm:f>
            <x14:dxf>
              <fill>
                <patternFill>
                  <bgColor theme="0" tint="-0.14996795556505021"/>
                </patternFill>
              </fill>
            </x14:dxf>
          </x14:cfRule>
          <xm:sqref>A59:F59</xm:sqref>
        </x14:conditionalFormatting>
        <x14:conditionalFormatting xmlns:xm="http://schemas.microsoft.com/office/excel/2006/main">
          <x14:cfRule type="expression" priority="841" id="{731E0B45-3817-466B-95A9-2B0E4F22ACBC}">
            <xm:f>SEARCH(RefData!$B$2,$B$60)</xm:f>
            <x14:dxf>
              <fill>
                <patternFill>
                  <bgColor theme="0" tint="-0.14996795556505021"/>
                </patternFill>
              </fill>
            </x14:dxf>
          </x14:cfRule>
          <xm:sqref>A60:F60</xm:sqref>
        </x14:conditionalFormatting>
        <x14:conditionalFormatting xmlns:xm="http://schemas.microsoft.com/office/excel/2006/main">
          <x14:cfRule type="expression" priority="842" id="{5DAD9598-7978-4B2C-8CAC-313D09CCF62F}">
            <xm:f>SEARCH(RefData!$B$2,$B$61)</xm:f>
            <x14:dxf>
              <fill>
                <patternFill>
                  <bgColor theme="0" tint="-0.14996795556505021"/>
                </patternFill>
              </fill>
            </x14:dxf>
          </x14:cfRule>
          <xm:sqref>A61:F61</xm:sqref>
        </x14:conditionalFormatting>
        <x14:conditionalFormatting xmlns:xm="http://schemas.microsoft.com/office/excel/2006/main">
          <x14:cfRule type="expression" priority="843" id="{249E61A7-2A66-47BA-AF87-8DA413AFC8E4}">
            <xm:f>SEARCH(RefData!$B$2,$B$65)</xm:f>
            <x14:dxf>
              <fill>
                <patternFill>
                  <bgColor theme="0" tint="-0.14996795556505021"/>
                </patternFill>
              </fill>
            </x14:dxf>
          </x14:cfRule>
          <xm:sqref>A65:F65</xm:sqref>
        </x14:conditionalFormatting>
        <x14:conditionalFormatting xmlns:xm="http://schemas.microsoft.com/office/excel/2006/main">
          <x14:cfRule type="expression" priority="844" id="{F918F751-E0EC-41B5-B17B-0C160B29AB49}">
            <xm:f>SEARCH(RefData!$B$2,$B$66)</xm:f>
            <x14:dxf>
              <fill>
                <patternFill>
                  <bgColor theme="0" tint="-0.14996795556505021"/>
                </patternFill>
              </fill>
            </x14:dxf>
          </x14:cfRule>
          <xm:sqref>A66:F66</xm:sqref>
        </x14:conditionalFormatting>
        <x14:conditionalFormatting xmlns:xm="http://schemas.microsoft.com/office/excel/2006/main">
          <x14:cfRule type="expression" priority="845" id="{C7CB1E40-B8B5-4ACA-BC0E-79EAAF90B3C2}">
            <xm:f>SEARCH(RefData!$B$2,$B$67)</xm:f>
            <x14:dxf>
              <fill>
                <patternFill>
                  <bgColor theme="0" tint="-0.14996795556505021"/>
                </patternFill>
              </fill>
            </x14:dxf>
          </x14:cfRule>
          <xm:sqref>A67:F67</xm:sqref>
        </x14:conditionalFormatting>
        <x14:conditionalFormatting xmlns:xm="http://schemas.microsoft.com/office/excel/2006/main">
          <x14:cfRule type="expression" priority="846" id="{AD126367-B9F0-4704-A3D6-E855958B1978}">
            <xm:f>SEARCH(RefData!$B$2,$B$68)</xm:f>
            <x14:dxf>
              <fill>
                <patternFill>
                  <bgColor theme="0" tint="-0.14996795556505021"/>
                </patternFill>
              </fill>
            </x14:dxf>
          </x14:cfRule>
          <xm:sqref>A68:F68</xm:sqref>
        </x14:conditionalFormatting>
        <x14:conditionalFormatting xmlns:xm="http://schemas.microsoft.com/office/excel/2006/main">
          <x14:cfRule type="expression" priority="847" id="{0D2B9719-AB58-4E36-81A5-592445D6C23A}">
            <xm:f>SEARCH(RefData!$B$2,$B$69)</xm:f>
            <x14:dxf>
              <fill>
                <patternFill>
                  <bgColor theme="0" tint="-0.14996795556505021"/>
                </patternFill>
              </fill>
            </x14:dxf>
          </x14:cfRule>
          <xm:sqref>A69:F69</xm:sqref>
        </x14:conditionalFormatting>
        <x14:conditionalFormatting xmlns:xm="http://schemas.microsoft.com/office/excel/2006/main">
          <x14:cfRule type="expression" priority="848" id="{E4068C67-7936-4DD7-9CB2-BE0707975037}">
            <xm:f>SEARCH(RefData!$B$2,$B$70)</xm:f>
            <x14:dxf>
              <fill>
                <patternFill>
                  <bgColor theme="0" tint="-0.14996795556505021"/>
                </patternFill>
              </fill>
            </x14:dxf>
          </x14:cfRule>
          <xm:sqref>A70:F70</xm:sqref>
        </x14:conditionalFormatting>
        <x14:conditionalFormatting xmlns:xm="http://schemas.microsoft.com/office/excel/2006/main">
          <x14:cfRule type="expression" priority="849" id="{DE785645-180F-4B95-A1D1-F98CAC5832EC}">
            <xm:f>SEARCH(RefData!$B$2,$B$71)</xm:f>
            <x14:dxf>
              <fill>
                <patternFill>
                  <bgColor theme="0" tint="-0.14996795556505021"/>
                </patternFill>
              </fill>
            </x14:dxf>
          </x14:cfRule>
          <xm:sqref>A71:F71</xm:sqref>
        </x14:conditionalFormatting>
        <x14:conditionalFormatting xmlns:xm="http://schemas.microsoft.com/office/excel/2006/main">
          <x14:cfRule type="expression" priority="850" id="{68CC2DC1-8C49-4DCF-A3CF-A4BF8FB79128}">
            <xm:f>SEARCH(RefData!$B$2,$B$75)</xm:f>
            <x14:dxf>
              <fill>
                <patternFill>
                  <bgColor theme="0" tint="-0.14996795556505021"/>
                </patternFill>
              </fill>
            </x14:dxf>
          </x14:cfRule>
          <xm:sqref>A75:F75</xm:sqref>
        </x14:conditionalFormatting>
        <x14:conditionalFormatting xmlns:xm="http://schemas.microsoft.com/office/excel/2006/main">
          <x14:cfRule type="expression" priority="851" id="{8DE71C81-F2FE-4AD5-AA8F-CF045A026A23}">
            <xm:f>SEARCH(RefData!$B$2,$B$76)</xm:f>
            <x14:dxf>
              <fill>
                <patternFill>
                  <bgColor theme="0" tint="-0.14996795556505021"/>
                </patternFill>
              </fill>
            </x14:dxf>
          </x14:cfRule>
          <xm:sqref>A76:F76</xm:sqref>
        </x14:conditionalFormatting>
        <x14:conditionalFormatting xmlns:xm="http://schemas.microsoft.com/office/excel/2006/main">
          <x14:cfRule type="expression" priority="852" id="{382D5CA0-3432-49AA-82D3-26D6CDDC39CD}">
            <xm:f>SEARCH(RefData!$B$2,$B$77)</xm:f>
            <x14:dxf>
              <fill>
                <patternFill>
                  <bgColor theme="0" tint="-0.14996795556505021"/>
                </patternFill>
              </fill>
            </x14:dxf>
          </x14:cfRule>
          <xm:sqref>A77:F77</xm:sqref>
        </x14:conditionalFormatting>
        <x14:conditionalFormatting xmlns:xm="http://schemas.microsoft.com/office/excel/2006/main">
          <x14:cfRule type="expression" priority="853" id="{B29A56EB-A69D-4294-BEFE-90770C65C758}">
            <xm:f>SEARCH(RefData!$B$2,$B$78)</xm:f>
            <x14:dxf>
              <fill>
                <patternFill>
                  <bgColor theme="0" tint="-0.14996795556505021"/>
                </patternFill>
              </fill>
            </x14:dxf>
          </x14:cfRule>
          <xm:sqref>A78:F78</xm:sqref>
        </x14:conditionalFormatting>
        <x14:conditionalFormatting xmlns:xm="http://schemas.microsoft.com/office/excel/2006/main">
          <x14:cfRule type="expression" priority="854" id="{BDF9DDE7-A98D-40A9-9475-E24CE316CC12}">
            <xm:f>SEARCH(RefData!$B$2,$B$79)</xm:f>
            <x14:dxf>
              <fill>
                <patternFill>
                  <bgColor theme="0" tint="-0.14996795556505021"/>
                </patternFill>
              </fill>
            </x14:dxf>
          </x14:cfRule>
          <xm:sqref>A79:F79</xm:sqref>
        </x14:conditionalFormatting>
        <x14:conditionalFormatting xmlns:xm="http://schemas.microsoft.com/office/excel/2006/main">
          <x14:cfRule type="expression" priority="855" id="{A5BEDE34-9A47-473F-BC1D-93108E2577F5}">
            <xm:f>SEARCH(RefData!$B$2,$B$80)</xm:f>
            <x14:dxf>
              <fill>
                <patternFill>
                  <bgColor theme="0" tint="-0.14996795556505021"/>
                </patternFill>
              </fill>
            </x14:dxf>
          </x14:cfRule>
          <xm:sqref>A80:F80</xm:sqref>
        </x14:conditionalFormatting>
        <x14:conditionalFormatting xmlns:xm="http://schemas.microsoft.com/office/excel/2006/main">
          <x14:cfRule type="expression" priority="856" id="{300C4919-8D72-4B7D-824F-58F497B5B51C}">
            <xm:f>SEARCH(RefData!$B$2,$B$81)</xm:f>
            <x14:dxf>
              <fill>
                <patternFill>
                  <bgColor theme="0" tint="-0.14996795556505021"/>
                </patternFill>
              </fill>
            </x14:dxf>
          </x14:cfRule>
          <xm:sqref>A81:F81</xm:sqref>
        </x14:conditionalFormatting>
        <x14:conditionalFormatting xmlns:xm="http://schemas.microsoft.com/office/excel/2006/main">
          <x14:cfRule type="expression" priority="857" id="{594F70AC-10E8-43C3-BDBE-FCFA83EEA9FC}">
            <xm:f>SEARCH(RefData!$B$2,$B$82)</xm:f>
            <x14:dxf>
              <fill>
                <patternFill>
                  <bgColor theme="0" tint="-0.14996795556505021"/>
                </patternFill>
              </fill>
            </x14:dxf>
          </x14:cfRule>
          <xm:sqref>A82:F82</xm:sqref>
        </x14:conditionalFormatting>
        <x14:conditionalFormatting xmlns:xm="http://schemas.microsoft.com/office/excel/2006/main">
          <x14:cfRule type="expression" priority="858" id="{A06FBD77-E37B-40F1-AA15-645CE0281893}">
            <xm:f>SEARCH(RefData!$B$2,$B$83)</xm:f>
            <x14:dxf>
              <fill>
                <patternFill>
                  <bgColor theme="0" tint="-0.14996795556505021"/>
                </patternFill>
              </fill>
            </x14:dxf>
          </x14:cfRule>
          <xm:sqref>A83:F83</xm:sqref>
        </x14:conditionalFormatting>
        <x14:conditionalFormatting xmlns:xm="http://schemas.microsoft.com/office/excel/2006/main">
          <x14:cfRule type="expression" priority="859" id="{CA557CFD-8369-491E-A633-A939602DB1A2}">
            <xm:f>SEARCH(RefData!$B$2,$B$84)</xm:f>
            <x14:dxf>
              <fill>
                <patternFill>
                  <bgColor theme="0" tint="-0.14996795556505021"/>
                </patternFill>
              </fill>
            </x14:dxf>
          </x14:cfRule>
          <xm:sqref>A84:F84</xm:sqref>
        </x14:conditionalFormatting>
        <x14:conditionalFormatting xmlns:xm="http://schemas.microsoft.com/office/excel/2006/main">
          <x14:cfRule type="expression" priority="860" id="{EE8E3105-5DF7-4665-85BD-ED4B660B3D84}">
            <xm:f>SEARCH(RefData!$B$2,$B$85)</xm:f>
            <x14:dxf>
              <fill>
                <patternFill>
                  <bgColor theme="0" tint="-0.14996795556505021"/>
                </patternFill>
              </fill>
            </x14:dxf>
          </x14:cfRule>
          <xm:sqref>A85:F85</xm:sqref>
        </x14:conditionalFormatting>
        <x14:conditionalFormatting xmlns:xm="http://schemas.microsoft.com/office/excel/2006/main">
          <x14:cfRule type="expression" priority="861" id="{5972ABB6-BB13-4CBF-99D0-0F8CAD1F6475}">
            <xm:f>SEARCH(RefData!$B$2,$B$86)</xm:f>
            <x14:dxf>
              <fill>
                <patternFill>
                  <bgColor theme="0" tint="-0.14996795556505021"/>
                </patternFill>
              </fill>
            </x14:dxf>
          </x14:cfRule>
          <xm:sqref>A86:F86</xm:sqref>
        </x14:conditionalFormatting>
        <x14:conditionalFormatting xmlns:xm="http://schemas.microsoft.com/office/excel/2006/main">
          <x14:cfRule type="expression" priority="862" id="{9EE36370-A9EA-4342-880C-A35E8AC9C666}">
            <xm:f>SEARCH(RefData!$B$2,$B$87)</xm:f>
            <x14:dxf>
              <fill>
                <patternFill>
                  <bgColor theme="0" tint="-0.14996795556505021"/>
                </patternFill>
              </fill>
            </x14:dxf>
          </x14:cfRule>
          <xm:sqref>A87:F87</xm:sqref>
        </x14:conditionalFormatting>
        <x14:conditionalFormatting xmlns:xm="http://schemas.microsoft.com/office/excel/2006/main">
          <x14:cfRule type="expression" priority="863" id="{21EFE31B-4DCD-4729-891F-9867C96E0F68}">
            <xm:f>SEARCH(RefData!$B$2,$B$88)</xm:f>
            <x14:dxf>
              <fill>
                <patternFill>
                  <bgColor theme="0" tint="-0.14996795556505021"/>
                </patternFill>
              </fill>
            </x14:dxf>
          </x14:cfRule>
          <xm:sqref>A88:F88</xm:sqref>
        </x14:conditionalFormatting>
        <x14:conditionalFormatting xmlns:xm="http://schemas.microsoft.com/office/excel/2006/main">
          <x14:cfRule type="expression" priority="864" id="{C421E4A8-D7BE-4066-83BF-58B3C34D223F}">
            <xm:f>SEARCH(RefData!$B$2,$B$89)</xm:f>
            <x14:dxf>
              <fill>
                <patternFill>
                  <bgColor theme="0" tint="-0.14996795556505021"/>
                </patternFill>
              </fill>
            </x14:dxf>
          </x14:cfRule>
          <xm:sqref>A89:F89</xm:sqref>
        </x14:conditionalFormatting>
        <x14:conditionalFormatting xmlns:xm="http://schemas.microsoft.com/office/excel/2006/main">
          <x14:cfRule type="expression" priority="865" id="{18F1C5C1-02B7-43D2-B8C3-C490B33ADFB6}">
            <xm:f>SEARCH(RefData!$B$2,$B$90)</xm:f>
            <x14:dxf>
              <fill>
                <patternFill>
                  <bgColor theme="0" tint="-0.14996795556505021"/>
                </patternFill>
              </fill>
            </x14:dxf>
          </x14:cfRule>
          <xm:sqref>A90:F90</xm:sqref>
        </x14:conditionalFormatting>
        <x14:conditionalFormatting xmlns:xm="http://schemas.microsoft.com/office/excel/2006/main">
          <x14:cfRule type="expression" priority="866" id="{79F991B2-1177-4804-ACB1-592E2C5405D8}">
            <xm:f>SEARCH(RefData!$B$2,$B$91)</xm:f>
            <x14:dxf>
              <fill>
                <patternFill>
                  <bgColor theme="0" tint="-0.14996795556505021"/>
                </patternFill>
              </fill>
            </x14:dxf>
          </x14:cfRule>
          <xm:sqref>A91:F91</xm:sqref>
        </x14:conditionalFormatting>
        <x14:conditionalFormatting xmlns:xm="http://schemas.microsoft.com/office/excel/2006/main">
          <x14:cfRule type="expression" priority="867" id="{05F21053-0AF9-4B72-8FDB-5B661F010F09}">
            <xm:f>SEARCH(RefData!$B$2,$B$92)</xm:f>
            <x14:dxf>
              <fill>
                <patternFill>
                  <bgColor theme="0" tint="-0.14996795556505021"/>
                </patternFill>
              </fill>
            </x14:dxf>
          </x14:cfRule>
          <xm:sqref>A92:F92</xm:sqref>
        </x14:conditionalFormatting>
        <x14:conditionalFormatting xmlns:xm="http://schemas.microsoft.com/office/excel/2006/main">
          <x14:cfRule type="expression" priority="868" id="{76EC4A40-9A65-4AB2-9840-84970342D821}">
            <xm:f>SEARCH(RefData!$B$2,$B$93)</xm:f>
            <x14:dxf>
              <fill>
                <patternFill>
                  <bgColor theme="0" tint="-0.14996795556505021"/>
                </patternFill>
              </fill>
            </x14:dxf>
          </x14:cfRule>
          <xm:sqref>A93:F93</xm:sqref>
        </x14:conditionalFormatting>
        <x14:conditionalFormatting xmlns:xm="http://schemas.microsoft.com/office/excel/2006/main">
          <x14:cfRule type="expression" priority="869" id="{B18E44B9-F753-48E9-860F-FD1C9F9EF668}">
            <xm:f>SEARCH(RefData!$B$2,$B$94)</xm:f>
            <x14:dxf>
              <fill>
                <patternFill>
                  <bgColor theme="0" tint="-0.14996795556505021"/>
                </patternFill>
              </fill>
            </x14:dxf>
          </x14:cfRule>
          <xm:sqref>A94:F94</xm:sqref>
        </x14:conditionalFormatting>
        <x14:conditionalFormatting xmlns:xm="http://schemas.microsoft.com/office/excel/2006/main">
          <x14:cfRule type="expression" priority="870" id="{9D6CA6CF-F261-4F9C-ACCE-1816C921AAD3}">
            <xm:f>SEARCH(RefData!$B$2,$B$95)</xm:f>
            <x14:dxf>
              <fill>
                <patternFill>
                  <bgColor theme="0" tint="-0.14996795556505021"/>
                </patternFill>
              </fill>
            </x14:dxf>
          </x14:cfRule>
          <xm:sqref>A95:F95</xm:sqref>
        </x14:conditionalFormatting>
        <x14:conditionalFormatting xmlns:xm="http://schemas.microsoft.com/office/excel/2006/main">
          <x14:cfRule type="expression" priority="871" id="{B1D6A0E2-1C32-4ADC-B9AE-88D920DDD6EC}">
            <xm:f>SEARCH(RefData!$B$2,$B$99)</xm:f>
            <x14:dxf>
              <fill>
                <patternFill>
                  <bgColor theme="0" tint="-0.14996795556505021"/>
                </patternFill>
              </fill>
            </x14:dxf>
          </x14:cfRule>
          <xm:sqref>A99:F99</xm:sqref>
        </x14:conditionalFormatting>
        <x14:conditionalFormatting xmlns:xm="http://schemas.microsoft.com/office/excel/2006/main">
          <x14:cfRule type="expression" priority="872" id="{077FD5A1-8E3D-4B9E-91A8-462D8C05A5D6}">
            <xm:f>SEARCH(RefData!$B$2,$B$100)</xm:f>
            <x14:dxf>
              <fill>
                <patternFill>
                  <bgColor theme="0" tint="-0.14996795556505021"/>
                </patternFill>
              </fill>
            </x14:dxf>
          </x14:cfRule>
          <xm:sqref>A100:F100</xm:sqref>
        </x14:conditionalFormatting>
        <x14:conditionalFormatting xmlns:xm="http://schemas.microsoft.com/office/excel/2006/main">
          <x14:cfRule type="expression" priority="873" id="{BCE42791-996A-4AD6-A7C0-337823EBCDE9}">
            <xm:f>SEARCH(RefData!$B$2,$B$101)</xm:f>
            <x14:dxf>
              <fill>
                <patternFill>
                  <bgColor theme="0" tint="-0.14996795556505021"/>
                </patternFill>
              </fill>
            </x14:dxf>
          </x14:cfRule>
          <xm:sqref>A101:F101</xm:sqref>
        </x14:conditionalFormatting>
        <x14:conditionalFormatting xmlns:xm="http://schemas.microsoft.com/office/excel/2006/main">
          <x14:cfRule type="expression" priority="874" id="{08F01A34-0D09-4CF0-A803-9599388FF702}">
            <xm:f>SEARCH(RefData!$B$2,$B$102)</xm:f>
            <x14:dxf>
              <fill>
                <patternFill>
                  <bgColor theme="0" tint="-0.14996795556505021"/>
                </patternFill>
              </fill>
            </x14:dxf>
          </x14:cfRule>
          <xm:sqref>A102:F102</xm:sqref>
        </x14:conditionalFormatting>
        <x14:conditionalFormatting xmlns:xm="http://schemas.microsoft.com/office/excel/2006/main">
          <x14:cfRule type="expression" priority="875" id="{F8B190C6-F797-4A52-8011-99E16FBF4E5D}">
            <xm:f>SEARCH(RefData!$B$2,$B$103)</xm:f>
            <x14:dxf>
              <fill>
                <patternFill>
                  <bgColor theme="0" tint="-0.14996795556505021"/>
                </patternFill>
              </fill>
            </x14:dxf>
          </x14:cfRule>
          <xm:sqref>A103:F103</xm:sqref>
        </x14:conditionalFormatting>
        <x14:conditionalFormatting xmlns:xm="http://schemas.microsoft.com/office/excel/2006/main">
          <x14:cfRule type="expression" priority="876" id="{775AB937-33EA-4887-9E5D-586AB854296D}">
            <xm:f>SEARCH(RefData!$B$2,$B$104)</xm:f>
            <x14:dxf>
              <fill>
                <patternFill>
                  <bgColor theme="0" tint="-0.14996795556505021"/>
                </patternFill>
              </fill>
            </x14:dxf>
          </x14:cfRule>
          <xm:sqref>A104:F104</xm:sqref>
        </x14:conditionalFormatting>
        <x14:conditionalFormatting xmlns:xm="http://schemas.microsoft.com/office/excel/2006/main">
          <x14:cfRule type="expression" priority="877" id="{3B531C40-812E-42E9-9599-4894FD3BD94E}">
            <xm:f>SEARCH(RefData!$B$2,$B$105)</xm:f>
            <x14:dxf>
              <fill>
                <patternFill>
                  <bgColor theme="0" tint="-0.14996795556505021"/>
                </patternFill>
              </fill>
            </x14:dxf>
          </x14:cfRule>
          <xm:sqref>A105:F105</xm:sqref>
        </x14:conditionalFormatting>
        <x14:conditionalFormatting xmlns:xm="http://schemas.microsoft.com/office/excel/2006/main">
          <x14:cfRule type="expression" priority="878" id="{5371BDFA-B796-4119-820E-59B5F2DD783C}">
            <xm:f>SEARCH(RefData!$B$2,$B$109)</xm:f>
            <x14:dxf>
              <fill>
                <patternFill>
                  <bgColor theme="0" tint="-0.14996795556505021"/>
                </patternFill>
              </fill>
            </x14:dxf>
          </x14:cfRule>
          <xm:sqref>A109:F109</xm:sqref>
        </x14:conditionalFormatting>
        <x14:conditionalFormatting xmlns:xm="http://schemas.microsoft.com/office/excel/2006/main">
          <x14:cfRule type="expression" priority="879" id="{8025755B-82A7-4FE7-9D76-AD9E8E6F86EE}">
            <xm:f>SEARCH(RefData!$B$2,$B$110)</xm:f>
            <x14:dxf>
              <fill>
                <patternFill>
                  <bgColor theme="0" tint="-0.14996795556505021"/>
                </patternFill>
              </fill>
            </x14:dxf>
          </x14:cfRule>
          <xm:sqref>A110:F110</xm:sqref>
        </x14:conditionalFormatting>
        <x14:conditionalFormatting xmlns:xm="http://schemas.microsoft.com/office/excel/2006/main">
          <x14:cfRule type="expression" priority="880" id="{EAB51F3C-41E4-4FEC-AF24-7CE30A532003}">
            <xm:f>SEARCH(RefData!$B$2,$B$111)</xm:f>
            <x14:dxf>
              <fill>
                <patternFill>
                  <bgColor theme="0" tint="-0.14996795556505021"/>
                </patternFill>
              </fill>
            </x14:dxf>
          </x14:cfRule>
          <xm:sqref>A111:F111</xm:sqref>
        </x14:conditionalFormatting>
        <x14:conditionalFormatting xmlns:xm="http://schemas.microsoft.com/office/excel/2006/main">
          <x14:cfRule type="expression" priority="881" id="{BB91E554-7799-4090-B5FD-B3837047F1E7}">
            <xm:f>SEARCH(RefData!$B$2,$B$112)</xm:f>
            <x14:dxf>
              <fill>
                <patternFill>
                  <bgColor theme="0" tint="-0.14996795556505021"/>
                </patternFill>
              </fill>
            </x14:dxf>
          </x14:cfRule>
          <xm:sqref>A112:F112</xm:sqref>
        </x14:conditionalFormatting>
        <x14:conditionalFormatting xmlns:xm="http://schemas.microsoft.com/office/excel/2006/main">
          <x14:cfRule type="expression" priority="882" id="{DB3DF7DD-08E4-484E-BA4E-EF9B4D42E7A2}">
            <xm:f>SEARCH(RefData!$B$2,$B$113)</xm:f>
            <x14:dxf>
              <fill>
                <patternFill>
                  <bgColor theme="0" tint="-0.14996795556505021"/>
                </patternFill>
              </fill>
            </x14:dxf>
          </x14:cfRule>
          <xm:sqref>A113:F113</xm:sqref>
        </x14:conditionalFormatting>
        <x14:conditionalFormatting xmlns:xm="http://schemas.microsoft.com/office/excel/2006/main">
          <x14:cfRule type="expression" priority="883" id="{E76DB93E-62EB-4736-9D1E-5E77ACD470D5}">
            <xm:f>SEARCH(RefData!$B$2,$B$114)</xm:f>
            <x14:dxf>
              <fill>
                <patternFill>
                  <bgColor theme="0" tint="-0.14996795556505021"/>
                </patternFill>
              </fill>
            </x14:dxf>
          </x14:cfRule>
          <xm:sqref>A114:F114</xm:sqref>
        </x14:conditionalFormatting>
        <x14:conditionalFormatting xmlns:xm="http://schemas.microsoft.com/office/excel/2006/main">
          <x14:cfRule type="expression" priority="884" id="{8C258E2C-146F-454D-8393-88789369BCCF}">
            <xm:f>SEARCH(RefData!$B$2,$B$115)</xm:f>
            <x14:dxf>
              <fill>
                <patternFill>
                  <bgColor theme="0" tint="-0.14996795556505021"/>
                </patternFill>
              </fill>
            </x14:dxf>
          </x14:cfRule>
          <xm:sqref>A115:F115</xm:sqref>
        </x14:conditionalFormatting>
        <x14:conditionalFormatting xmlns:xm="http://schemas.microsoft.com/office/excel/2006/main">
          <x14:cfRule type="expression" priority="885" id="{7D4FE036-9EDB-46C8-AE95-4F38FB6BA76D}">
            <xm:f>SEARCH(RefData!$B$2,$B$116)</xm:f>
            <x14:dxf>
              <fill>
                <patternFill>
                  <bgColor theme="0" tint="-0.14996795556505021"/>
                </patternFill>
              </fill>
            </x14:dxf>
          </x14:cfRule>
          <xm:sqref>A116:F116</xm:sqref>
        </x14:conditionalFormatting>
        <x14:conditionalFormatting xmlns:xm="http://schemas.microsoft.com/office/excel/2006/main">
          <x14:cfRule type="expression" priority="886" id="{6AB38779-4599-4720-9E7A-CE83515863A6}">
            <xm:f>SEARCH(RefData!$B$2,$B$117)</xm:f>
            <x14:dxf>
              <fill>
                <patternFill>
                  <bgColor theme="0" tint="-0.14996795556505021"/>
                </patternFill>
              </fill>
            </x14:dxf>
          </x14:cfRule>
          <xm:sqref>A117:F117</xm:sqref>
        </x14:conditionalFormatting>
        <x14:conditionalFormatting xmlns:xm="http://schemas.microsoft.com/office/excel/2006/main">
          <x14:cfRule type="expression" priority="887" id="{BB09DC41-0299-477A-9ABA-2270E56EE15A}">
            <xm:f>SEARCH(RefData!$B$2,$B$118)</xm:f>
            <x14:dxf>
              <fill>
                <patternFill>
                  <bgColor theme="0" tint="-0.14996795556505021"/>
                </patternFill>
              </fill>
            </x14:dxf>
          </x14:cfRule>
          <xm:sqref>A118:F118</xm:sqref>
        </x14:conditionalFormatting>
        <x14:conditionalFormatting xmlns:xm="http://schemas.microsoft.com/office/excel/2006/main">
          <x14:cfRule type="expression" priority="888" id="{E6D9EF80-D891-49BE-983E-AE14739D8E6B}">
            <xm:f>SEARCH(RefData!$B$2,$B$119)</xm:f>
            <x14:dxf>
              <fill>
                <patternFill>
                  <bgColor theme="0" tint="-0.14996795556505021"/>
                </patternFill>
              </fill>
            </x14:dxf>
          </x14:cfRule>
          <xm:sqref>A119:F119</xm:sqref>
        </x14:conditionalFormatting>
        <x14:conditionalFormatting xmlns:xm="http://schemas.microsoft.com/office/excel/2006/main">
          <x14:cfRule type="expression" priority="889" id="{177EE267-BD9F-416A-99ED-5D8961C9EF78}">
            <xm:f>SEARCH(RefData!$B$2,$B$120)</xm:f>
            <x14:dxf>
              <fill>
                <patternFill>
                  <bgColor theme="0" tint="-0.14996795556505021"/>
                </patternFill>
              </fill>
            </x14:dxf>
          </x14:cfRule>
          <xm:sqref>A120:F120</xm:sqref>
        </x14:conditionalFormatting>
        <x14:conditionalFormatting xmlns:xm="http://schemas.microsoft.com/office/excel/2006/main">
          <x14:cfRule type="expression" priority="890" id="{F3F7AE90-0954-4CC6-AA9D-81118FBADFFD}">
            <xm:f>SEARCH(RefData!$B$2,$B$121)</xm:f>
            <x14:dxf>
              <fill>
                <patternFill>
                  <bgColor theme="0" tint="-0.14996795556505021"/>
                </patternFill>
              </fill>
            </x14:dxf>
          </x14:cfRule>
          <xm:sqref>A121:F121</xm:sqref>
        </x14:conditionalFormatting>
        <x14:conditionalFormatting xmlns:xm="http://schemas.microsoft.com/office/excel/2006/main">
          <x14:cfRule type="expression" priority="891" id="{9E2B7607-6B09-4D35-9DE6-5A23EC583DBA}">
            <xm:f>SEARCH(RefData!$B$2,$B$122)</xm:f>
            <x14:dxf>
              <fill>
                <patternFill>
                  <bgColor theme="0" tint="-0.14996795556505021"/>
                </patternFill>
              </fill>
            </x14:dxf>
          </x14:cfRule>
          <xm:sqref>A122:F122</xm:sqref>
        </x14:conditionalFormatting>
        <x14:conditionalFormatting xmlns:xm="http://schemas.microsoft.com/office/excel/2006/main">
          <x14:cfRule type="expression" priority="892" id="{F457F671-FC31-4CE8-9EAE-9528E2D3489B}">
            <xm:f>SEARCH(RefData!$B$2,$B$123)</xm:f>
            <x14:dxf>
              <fill>
                <patternFill>
                  <bgColor theme="0" tint="-0.14996795556505021"/>
                </patternFill>
              </fill>
            </x14:dxf>
          </x14:cfRule>
          <xm:sqref>A123:F123</xm:sqref>
        </x14:conditionalFormatting>
        <x14:conditionalFormatting xmlns:xm="http://schemas.microsoft.com/office/excel/2006/main">
          <x14:cfRule type="expression" priority="893" id="{1002196C-4976-43D0-B641-9E7F96772794}">
            <xm:f>SEARCH(RefData!$B$2,$B$124)</xm:f>
            <x14:dxf>
              <fill>
                <patternFill>
                  <bgColor theme="0" tint="-0.14996795556505021"/>
                </patternFill>
              </fill>
            </x14:dxf>
          </x14:cfRule>
          <xm:sqref>A124:F124</xm:sqref>
        </x14:conditionalFormatting>
        <x14:conditionalFormatting xmlns:xm="http://schemas.microsoft.com/office/excel/2006/main">
          <x14:cfRule type="expression" priority="894" id="{EE790EEC-F4C4-41F4-9E66-AE09F63051F9}">
            <xm:f>SEARCH(RefData!$B$2,$B$125)</xm:f>
            <x14:dxf>
              <fill>
                <patternFill>
                  <bgColor theme="0" tint="-0.14996795556505021"/>
                </patternFill>
              </fill>
            </x14:dxf>
          </x14:cfRule>
          <xm:sqref>A125:F125</xm:sqref>
        </x14:conditionalFormatting>
        <x14:conditionalFormatting xmlns:xm="http://schemas.microsoft.com/office/excel/2006/main">
          <x14:cfRule type="expression" priority="895" id="{B589078C-1324-48CB-9DEB-42063449997A}">
            <xm:f>SEARCH(RefData!$B$2,$B$126)</xm:f>
            <x14:dxf>
              <fill>
                <patternFill>
                  <bgColor theme="0" tint="-0.14996795556505021"/>
                </patternFill>
              </fill>
            </x14:dxf>
          </x14:cfRule>
          <xm:sqref>A126:F126</xm:sqref>
        </x14:conditionalFormatting>
        <x14:conditionalFormatting xmlns:xm="http://schemas.microsoft.com/office/excel/2006/main">
          <x14:cfRule type="expression" priority="896" id="{5C0C3600-38E4-470B-A6D0-B68D60CAAD9D}">
            <xm:f>SEARCH(RefData!$B$2,$B$127)</xm:f>
            <x14:dxf>
              <fill>
                <patternFill>
                  <bgColor theme="0" tint="-0.14996795556505021"/>
                </patternFill>
              </fill>
            </x14:dxf>
          </x14:cfRule>
          <xm:sqref>A127:F127</xm:sqref>
        </x14:conditionalFormatting>
        <x14:conditionalFormatting xmlns:xm="http://schemas.microsoft.com/office/excel/2006/main">
          <x14:cfRule type="expression" priority="897" id="{D95B1B70-D690-4979-9745-804223014173}">
            <xm:f>SEARCH(RefData!$B$2,$B$128)</xm:f>
            <x14:dxf>
              <fill>
                <patternFill>
                  <bgColor theme="0" tint="-0.14996795556505021"/>
                </patternFill>
              </fill>
            </x14:dxf>
          </x14:cfRule>
          <xm:sqref>A128:F128</xm:sqref>
        </x14:conditionalFormatting>
        <x14:conditionalFormatting xmlns:xm="http://schemas.microsoft.com/office/excel/2006/main">
          <x14:cfRule type="expression" priority="898" id="{DE0340E2-DCE0-40C7-926B-D1B498432D6A}">
            <xm:f>SEARCH(RefData!$B$2,$B$129)</xm:f>
            <x14:dxf>
              <fill>
                <patternFill>
                  <bgColor theme="0" tint="-0.14996795556505021"/>
                </patternFill>
              </fill>
            </x14:dxf>
          </x14:cfRule>
          <xm:sqref>A129:F129</xm:sqref>
        </x14:conditionalFormatting>
        <x14:conditionalFormatting xmlns:xm="http://schemas.microsoft.com/office/excel/2006/main">
          <x14:cfRule type="expression" priority="899" id="{B5CB3EE6-8CB4-4835-9426-685022882E5E}">
            <xm:f>SEARCH(RefData!$B$2,$B$133)</xm:f>
            <x14:dxf>
              <fill>
                <patternFill>
                  <bgColor theme="0" tint="-0.14996795556505021"/>
                </patternFill>
              </fill>
            </x14:dxf>
          </x14:cfRule>
          <xm:sqref>A133:F133</xm:sqref>
        </x14:conditionalFormatting>
        <x14:conditionalFormatting xmlns:xm="http://schemas.microsoft.com/office/excel/2006/main">
          <x14:cfRule type="expression" priority="900" id="{5FEF90B2-0A6B-43AB-A5B0-8CCB830BEC6E}">
            <xm:f>SEARCH(RefData!$B$2,$B$134)</xm:f>
            <x14:dxf>
              <fill>
                <patternFill>
                  <bgColor theme="0" tint="-0.14996795556505021"/>
                </patternFill>
              </fill>
            </x14:dxf>
          </x14:cfRule>
          <xm:sqref>A134:F134</xm:sqref>
        </x14:conditionalFormatting>
        <x14:conditionalFormatting xmlns:xm="http://schemas.microsoft.com/office/excel/2006/main">
          <x14:cfRule type="expression" priority="901" id="{345A3DFA-9141-4A9B-9271-58EC6B44CF30}">
            <xm:f>SEARCH(RefData!$B$2,$B$135)</xm:f>
            <x14:dxf>
              <fill>
                <patternFill>
                  <bgColor theme="0" tint="-0.14996795556505021"/>
                </patternFill>
              </fill>
            </x14:dxf>
          </x14:cfRule>
          <xm:sqref>A135:F135</xm:sqref>
        </x14:conditionalFormatting>
        <x14:conditionalFormatting xmlns:xm="http://schemas.microsoft.com/office/excel/2006/main">
          <x14:cfRule type="expression" priority="902" id="{7D740F65-A660-4444-A5FF-CC109E943F1D}">
            <xm:f>SEARCH(RefData!$B$2,$B$136)</xm:f>
            <x14:dxf>
              <fill>
                <patternFill>
                  <bgColor theme="0" tint="-0.14996795556505021"/>
                </patternFill>
              </fill>
            </x14:dxf>
          </x14:cfRule>
          <xm:sqref>A136:F136</xm:sqref>
        </x14:conditionalFormatting>
        <x14:conditionalFormatting xmlns:xm="http://schemas.microsoft.com/office/excel/2006/main">
          <x14:cfRule type="expression" priority="903" id="{BFBC0283-F36A-491A-B82E-EBF5DC74D3A3}">
            <xm:f>SEARCH(RefData!$B$2,$B$137)</xm:f>
            <x14:dxf>
              <fill>
                <patternFill>
                  <bgColor theme="0" tint="-0.14996795556505021"/>
                </patternFill>
              </fill>
            </x14:dxf>
          </x14:cfRule>
          <xm:sqref>A137:F137</xm:sqref>
        </x14:conditionalFormatting>
        <x14:conditionalFormatting xmlns:xm="http://schemas.microsoft.com/office/excel/2006/main">
          <x14:cfRule type="expression" priority="904" id="{BB30E2DC-FC7F-4319-AD64-CA469BE60692}">
            <xm:f>SEARCH(RefData!$B$2,$B$138)</xm:f>
            <x14:dxf>
              <fill>
                <patternFill>
                  <bgColor theme="0" tint="-0.14996795556505021"/>
                </patternFill>
              </fill>
            </x14:dxf>
          </x14:cfRule>
          <xm:sqref>A138:F138</xm:sqref>
        </x14:conditionalFormatting>
        <x14:conditionalFormatting xmlns:xm="http://schemas.microsoft.com/office/excel/2006/main">
          <x14:cfRule type="expression" priority="905" id="{75D80795-CEC0-4849-9EB9-C8B2EB2B891B}">
            <xm:f>SEARCH(RefData!$B$2,$B$139)</xm:f>
            <x14:dxf>
              <fill>
                <patternFill>
                  <bgColor theme="0" tint="-0.14996795556505021"/>
                </patternFill>
              </fill>
            </x14:dxf>
          </x14:cfRule>
          <xm:sqref>A139:F139</xm:sqref>
        </x14:conditionalFormatting>
        <x14:conditionalFormatting xmlns:xm="http://schemas.microsoft.com/office/excel/2006/main">
          <x14:cfRule type="expression" priority="906" id="{1FE0D28E-3F1B-477C-84BC-43043ECB5AC9}">
            <xm:f>SEARCH(RefData!$B$2,$B$143)</xm:f>
            <x14:dxf>
              <fill>
                <patternFill>
                  <bgColor theme="0" tint="-0.14996795556505021"/>
                </patternFill>
              </fill>
            </x14:dxf>
          </x14:cfRule>
          <xm:sqref>A143:F143</xm:sqref>
        </x14:conditionalFormatting>
        <x14:conditionalFormatting xmlns:xm="http://schemas.microsoft.com/office/excel/2006/main">
          <x14:cfRule type="expression" priority="907" id="{AD8C4631-8FF3-4B4F-BE17-EB4EE55D7ECB}">
            <xm:f>SEARCH(RefData!$B$2,$B$144)</xm:f>
            <x14:dxf>
              <fill>
                <patternFill>
                  <bgColor theme="0" tint="-0.14996795556505021"/>
                </patternFill>
              </fill>
            </x14:dxf>
          </x14:cfRule>
          <xm:sqref>A144:F144</xm:sqref>
        </x14:conditionalFormatting>
        <x14:conditionalFormatting xmlns:xm="http://schemas.microsoft.com/office/excel/2006/main">
          <x14:cfRule type="expression" priority="908" id="{39429374-0CCB-4371-A46F-88B689255F74}">
            <xm:f>SEARCH(RefData!$B$2,$B$145)</xm:f>
            <x14:dxf>
              <fill>
                <patternFill>
                  <bgColor theme="0" tint="-0.14996795556505021"/>
                </patternFill>
              </fill>
            </x14:dxf>
          </x14:cfRule>
          <xm:sqref>A145:F145</xm:sqref>
        </x14:conditionalFormatting>
        <x14:conditionalFormatting xmlns:xm="http://schemas.microsoft.com/office/excel/2006/main">
          <x14:cfRule type="expression" priority="909" id="{694102BB-C9A2-44A1-9EAE-CB209DCB6FE1}">
            <xm:f>SEARCH(RefData!$B$2,$B$146)</xm:f>
            <x14:dxf>
              <fill>
                <patternFill>
                  <bgColor theme="0" tint="-0.14996795556505021"/>
                </patternFill>
              </fill>
            </x14:dxf>
          </x14:cfRule>
          <xm:sqref>A146:F146</xm:sqref>
        </x14:conditionalFormatting>
        <x14:conditionalFormatting xmlns:xm="http://schemas.microsoft.com/office/excel/2006/main">
          <x14:cfRule type="expression" priority="910" id="{EE1BF4EB-995C-4113-A5B8-7A0A73CE7998}">
            <xm:f>SEARCH(RefData!$B$2,$B$147)</xm:f>
            <x14:dxf>
              <fill>
                <patternFill>
                  <bgColor theme="0" tint="-0.14996795556505021"/>
                </patternFill>
              </fill>
            </x14:dxf>
          </x14:cfRule>
          <xm:sqref>A147:F147</xm:sqref>
        </x14:conditionalFormatting>
        <x14:conditionalFormatting xmlns:xm="http://schemas.microsoft.com/office/excel/2006/main">
          <x14:cfRule type="expression" priority="911" id="{0B1A3EC1-F742-4276-A3A8-683DD09F0FD7}">
            <xm:f>SEARCH(RefData!$B$2,$B$148)</xm:f>
            <x14:dxf>
              <fill>
                <patternFill>
                  <bgColor theme="0" tint="-0.14996795556505021"/>
                </patternFill>
              </fill>
            </x14:dxf>
          </x14:cfRule>
          <xm:sqref>A148:F148</xm:sqref>
        </x14:conditionalFormatting>
        <x14:conditionalFormatting xmlns:xm="http://schemas.microsoft.com/office/excel/2006/main">
          <x14:cfRule type="expression" priority="912" id="{CF77E2D5-F529-4665-AE81-34DA59A73AA1}">
            <xm:f>SEARCH(RefData!$B$2,$B$149)</xm:f>
            <x14:dxf>
              <fill>
                <patternFill>
                  <bgColor theme="0" tint="-0.14996795556505021"/>
                </patternFill>
              </fill>
            </x14:dxf>
          </x14:cfRule>
          <xm:sqref>A149:F149</xm:sqref>
        </x14:conditionalFormatting>
        <x14:conditionalFormatting xmlns:xm="http://schemas.microsoft.com/office/excel/2006/main">
          <x14:cfRule type="expression" priority="913" id="{D4D66E8E-9F3A-4FBB-9680-1BB53BEDC4A1}">
            <xm:f>SEARCH(RefData!$B$2,$B$150)</xm:f>
            <x14:dxf>
              <fill>
                <patternFill>
                  <bgColor theme="0" tint="-0.14996795556505021"/>
                </patternFill>
              </fill>
            </x14:dxf>
          </x14:cfRule>
          <xm:sqref>A150:F150</xm:sqref>
        </x14:conditionalFormatting>
        <x14:conditionalFormatting xmlns:xm="http://schemas.microsoft.com/office/excel/2006/main">
          <x14:cfRule type="expression" priority="914" id="{18CF0290-459A-41A7-A14F-211E9165C121}">
            <xm:f>SEARCH(RefData!$B$2,$B$151)</xm:f>
            <x14:dxf>
              <fill>
                <patternFill>
                  <bgColor theme="0" tint="-0.14996795556505021"/>
                </patternFill>
              </fill>
            </x14:dxf>
          </x14:cfRule>
          <xm:sqref>A151:F151</xm:sqref>
        </x14:conditionalFormatting>
        <x14:conditionalFormatting xmlns:xm="http://schemas.microsoft.com/office/excel/2006/main">
          <x14:cfRule type="expression" priority="915" id="{53C0279A-BA04-4A0E-8FAE-73E792C27DAE}">
            <xm:f>SEARCH(RefData!$B$2,$B$152)</xm:f>
            <x14:dxf>
              <fill>
                <patternFill>
                  <bgColor theme="0" tint="-0.14996795556505021"/>
                </patternFill>
              </fill>
            </x14:dxf>
          </x14:cfRule>
          <xm:sqref>A152:F152</xm:sqref>
        </x14:conditionalFormatting>
        <x14:conditionalFormatting xmlns:xm="http://schemas.microsoft.com/office/excel/2006/main">
          <x14:cfRule type="expression" priority="916" id="{DF35E9C8-049D-490E-98CA-C82856A384C6}">
            <xm:f>SEARCH(RefData!$B$2,$B$153)</xm:f>
            <x14:dxf>
              <fill>
                <patternFill>
                  <bgColor theme="0" tint="-0.14996795556505021"/>
                </patternFill>
              </fill>
            </x14:dxf>
          </x14:cfRule>
          <xm:sqref>A153:F153</xm:sqref>
        </x14:conditionalFormatting>
        <x14:conditionalFormatting xmlns:xm="http://schemas.microsoft.com/office/excel/2006/main">
          <x14:cfRule type="expression" priority="917" id="{5EEDDA64-843D-4C2E-9463-3006DBB3BB53}">
            <xm:f>SEARCH(RefData!$B$2,$B$154)</xm:f>
            <x14:dxf>
              <fill>
                <patternFill>
                  <bgColor theme="0" tint="-0.14996795556505021"/>
                </patternFill>
              </fill>
            </x14:dxf>
          </x14:cfRule>
          <xm:sqref>A154:F154</xm:sqref>
        </x14:conditionalFormatting>
        <x14:conditionalFormatting xmlns:xm="http://schemas.microsoft.com/office/excel/2006/main">
          <x14:cfRule type="expression" priority="918" id="{A255A208-3127-465F-87C4-FFA985C4BD92}">
            <xm:f>SEARCH(RefData!$B$2,$B$155)</xm:f>
            <x14:dxf>
              <fill>
                <patternFill>
                  <bgColor theme="0" tint="-0.14996795556505021"/>
                </patternFill>
              </fill>
            </x14:dxf>
          </x14:cfRule>
          <xm:sqref>A155:F155</xm:sqref>
        </x14:conditionalFormatting>
        <x14:conditionalFormatting xmlns:xm="http://schemas.microsoft.com/office/excel/2006/main">
          <x14:cfRule type="expression" priority="919" id="{C5DE1C22-E1F9-46CF-BAC2-C2E6A9911965}">
            <xm:f>SEARCH(RefData!$B$2,$B$156)</xm:f>
            <x14:dxf>
              <fill>
                <patternFill>
                  <bgColor theme="0" tint="-0.14996795556505021"/>
                </patternFill>
              </fill>
            </x14:dxf>
          </x14:cfRule>
          <xm:sqref>A156:F156</xm:sqref>
        </x14:conditionalFormatting>
        <x14:conditionalFormatting xmlns:xm="http://schemas.microsoft.com/office/excel/2006/main">
          <x14:cfRule type="expression" priority="920" id="{275BE61C-A0C8-477E-8362-1E77F498E20D}">
            <xm:f>SEARCH(RefData!$B$2,$B$157)</xm:f>
            <x14:dxf>
              <fill>
                <patternFill>
                  <bgColor theme="0" tint="-0.14996795556505021"/>
                </patternFill>
              </fill>
            </x14:dxf>
          </x14:cfRule>
          <xm:sqref>A157:F157</xm:sqref>
        </x14:conditionalFormatting>
        <x14:conditionalFormatting xmlns:xm="http://schemas.microsoft.com/office/excel/2006/main">
          <x14:cfRule type="expression" priority="921" id="{43BF1F0F-EB6A-4D4E-8F89-8ADF077330C1}">
            <xm:f>SEARCH(RefData!$B$2,$B$158)</xm:f>
            <x14:dxf>
              <fill>
                <patternFill>
                  <bgColor theme="0" tint="-0.14996795556505021"/>
                </patternFill>
              </fill>
            </x14:dxf>
          </x14:cfRule>
          <xm:sqref>A158:F158</xm:sqref>
        </x14:conditionalFormatting>
        <x14:conditionalFormatting xmlns:xm="http://schemas.microsoft.com/office/excel/2006/main">
          <x14:cfRule type="expression" priority="922" id="{7F408497-F153-45AC-82EE-8D481C0FB860}">
            <xm:f>SEARCH(RefData!$B$2,$B$159)</xm:f>
            <x14:dxf>
              <fill>
                <patternFill>
                  <bgColor theme="0" tint="-0.14996795556505021"/>
                </patternFill>
              </fill>
            </x14:dxf>
          </x14:cfRule>
          <xm:sqref>A159:F159</xm:sqref>
        </x14:conditionalFormatting>
        <x14:conditionalFormatting xmlns:xm="http://schemas.microsoft.com/office/excel/2006/main">
          <x14:cfRule type="expression" priority="923" id="{A2A18A11-7F1B-433C-9417-21DAE7F41768}">
            <xm:f>SEARCH(RefData!$B$2,$B$160)</xm:f>
            <x14:dxf>
              <fill>
                <patternFill>
                  <bgColor theme="0" tint="-0.14996795556505021"/>
                </patternFill>
              </fill>
            </x14:dxf>
          </x14:cfRule>
          <xm:sqref>A160:F160</xm:sqref>
        </x14:conditionalFormatting>
        <x14:conditionalFormatting xmlns:xm="http://schemas.microsoft.com/office/excel/2006/main">
          <x14:cfRule type="expression" priority="924" id="{786215F0-FB04-44A8-B821-8A9213B223DE}">
            <xm:f>SEARCH(RefData!$B$2,$B$161)</xm:f>
            <x14:dxf>
              <fill>
                <patternFill>
                  <bgColor theme="0" tint="-0.14996795556505021"/>
                </patternFill>
              </fill>
            </x14:dxf>
          </x14:cfRule>
          <xm:sqref>A161:F161</xm:sqref>
        </x14:conditionalFormatting>
        <x14:conditionalFormatting xmlns:xm="http://schemas.microsoft.com/office/excel/2006/main">
          <x14:cfRule type="expression" priority="925" id="{9549DA0A-29E0-4303-999F-85609652DD55}">
            <xm:f>SEARCH(RefData!$B$2,$B$162)</xm:f>
            <x14:dxf>
              <fill>
                <patternFill>
                  <bgColor theme="0" tint="-0.14996795556505021"/>
                </patternFill>
              </fill>
            </x14:dxf>
          </x14:cfRule>
          <xm:sqref>A162:F162</xm:sqref>
        </x14:conditionalFormatting>
        <x14:conditionalFormatting xmlns:xm="http://schemas.microsoft.com/office/excel/2006/main">
          <x14:cfRule type="expression" priority="926" id="{232BC8AA-264D-44B5-90F6-1C94011D68EA}">
            <xm:f>SEARCH(RefData!$B$2,$B$163)</xm:f>
            <x14:dxf>
              <fill>
                <patternFill>
                  <bgColor theme="0" tint="-0.14996795556505021"/>
                </patternFill>
              </fill>
            </x14:dxf>
          </x14:cfRule>
          <xm:sqref>A163:F163</xm:sqref>
        </x14:conditionalFormatting>
        <x14:conditionalFormatting xmlns:xm="http://schemas.microsoft.com/office/excel/2006/main">
          <x14:cfRule type="expression" priority="927" id="{841DACC4-158E-488E-A2C3-0E9C3F09584A}">
            <xm:f>SEARCH(RefData!$B$2,$B$167)</xm:f>
            <x14:dxf>
              <fill>
                <patternFill>
                  <bgColor theme="0" tint="-0.14996795556505021"/>
                </patternFill>
              </fill>
            </x14:dxf>
          </x14:cfRule>
          <xm:sqref>A167:F167</xm:sqref>
        </x14:conditionalFormatting>
        <x14:conditionalFormatting xmlns:xm="http://schemas.microsoft.com/office/excel/2006/main">
          <x14:cfRule type="expression" priority="928" id="{3AFF2C14-2DFD-4565-A4C1-BAAC16E2AB39}">
            <xm:f>SEARCH(RefData!$B$2,$B$168)</xm:f>
            <x14:dxf>
              <fill>
                <patternFill>
                  <bgColor theme="0" tint="-0.14996795556505021"/>
                </patternFill>
              </fill>
            </x14:dxf>
          </x14:cfRule>
          <xm:sqref>A168:F168</xm:sqref>
        </x14:conditionalFormatting>
        <x14:conditionalFormatting xmlns:xm="http://schemas.microsoft.com/office/excel/2006/main">
          <x14:cfRule type="expression" priority="929" id="{2FBEE715-37FE-4DE1-9CB9-0A2C180C18CA}">
            <xm:f>SEARCH(RefData!$B$2,$B$169)</xm:f>
            <x14:dxf>
              <fill>
                <patternFill>
                  <bgColor theme="0" tint="-0.14996795556505021"/>
                </patternFill>
              </fill>
            </x14:dxf>
          </x14:cfRule>
          <xm:sqref>A169:F169</xm:sqref>
        </x14:conditionalFormatting>
        <x14:conditionalFormatting xmlns:xm="http://schemas.microsoft.com/office/excel/2006/main">
          <x14:cfRule type="expression" priority="930" id="{0F743A0E-24CC-4568-BB1B-03E83AF368E8}">
            <xm:f>SEARCH(RefData!$B$2,$B$170)</xm:f>
            <x14:dxf>
              <fill>
                <patternFill>
                  <bgColor theme="0" tint="-0.14996795556505021"/>
                </patternFill>
              </fill>
            </x14:dxf>
          </x14:cfRule>
          <xm:sqref>A170:F170</xm:sqref>
        </x14:conditionalFormatting>
        <x14:conditionalFormatting xmlns:xm="http://schemas.microsoft.com/office/excel/2006/main">
          <x14:cfRule type="expression" priority="931" id="{D578D9B3-DC9D-4DEA-BB30-28FF82C4B5F4}">
            <xm:f>SEARCH(RefData!$B$2,$B$171)</xm:f>
            <x14:dxf>
              <fill>
                <patternFill>
                  <bgColor theme="0" tint="-0.14996795556505021"/>
                </patternFill>
              </fill>
            </x14:dxf>
          </x14:cfRule>
          <xm:sqref>A171:F171</xm:sqref>
        </x14:conditionalFormatting>
        <x14:conditionalFormatting xmlns:xm="http://schemas.microsoft.com/office/excel/2006/main">
          <x14:cfRule type="expression" priority="932" id="{8EFFE357-BCCE-44AA-9B6E-1CA62E5FD5F1}">
            <xm:f>SEARCH(RefData!$B$2,$B$172)</xm:f>
            <x14:dxf>
              <fill>
                <patternFill>
                  <bgColor theme="0" tint="-0.14996795556505021"/>
                </patternFill>
              </fill>
            </x14:dxf>
          </x14:cfRule>
          <xm:sqref>A172:F172</xm:sqref>
        </x14:conditionalFormatting>
        <x14:conditionalFormatting xmlns:xm="http://schemas.microsoft.com/office/excel/2006/main">
          <x14:cfRule type="expression" priority="933" id="{5E309800-C0C6-4906-A171-780F88F6C86C}">
            <xm:f>SEARCH(RefData!$B$2,$B$173)</xm:f>
            <x14:dxf>
              <fill>
                <patternFill>
                  <bgColor theme="0" tint="-0.14996795556505021"/>
                </patternFill>
              </fill>
            </x14:dxf>
          </x14:cfRule>
          <xm:sqref>A173:F173</xm:sqref>
        </x14:conditionalFormatting>
      </x14:conditionalFormattings>
    </ext>
    <ext xmlns:x14="http://schemas.microsoft.com/office/spreadsheetml/2009/9/main" uri="{CCE6A557-97BC-4b89-ADB6-D9C93CAAB3DF}">
      <x14:dataValidations xmlns:xm="http://schemas.microsoft.com/office/excel/2006/main" xWindow="812" yWindow="815" count="13">
        <x14:dataValidation type="date" operator="greaterThan" allowBlank="1" showInputMessage="1" showErrorMessage="1" errorTitle="There is a problem" error="Enter a date in the format dd/mm/yyyy" promptTitle="Enter a date" prompt="Enter a date (dd/mm/yyyy)" xr:uid="{C73059A7-67F9-45D1-847C-FF6E36DE7EA2}">
          <x14:formula1>
            <xm:f>'Start here'!$C$21</xm:f>
          </x14:formula1>
          <xm:sqref>C157 C21 C55 C89 C123</xm:sqref>
        </x14:dataValidation>
        <x14:dataValidation type="custom" allowBlank="1" showInputMessage="1" showErrorMessage="1" errorTitle="There is a problem" error="Your answer must be a valid postcode between 5 and 8 characters" promptTitle="Add your answer" prompt="Enter a valid postcode between 5 and 8 characters" xr:uid="{605EA503-11AE-4BA2-BF22-FCB5D5B86477}">
          <x14:formula1>
            <xm:f>NOT($D16=ErrorMsgs!$H$432)</xm:f>
          </x14:formula1>
          <xm:sqref>C16 C152 C50 C118 C84</xm:sqref>
        </x14:dataValidation>
        <x14:dataValidation type="list" allowBlank="1" showInputMessage="1" showErrorMessage="1" errorTitle="There is a problem" error="You must select 'Yes' or 'No' from the drop-down list" promptTitle="Select an answer" prompt="Choose from the list provided" xr:uid="{761192D8-8B63-415C-AEC2-D196BB7DC7B3}">
          <x14:formula1>
            <xm:f>RefData!$B$140:$B$141</xm:f>
          </x14:formula1>
          <xm:sqref>C31:C35 C65:C69 C99:C103 C133:C137 C167:C171</xm:sqref>
        </x14:dataValidation>
        <x14:dataValidation type="list" allowBlank="1" showInputMessage="1" showErrorMessage="1" errorTitle="There is a problem" error="You must select your answer from the drop-down list" promptTitle="Select an answer" prompt="Choose from the list provided" xr:uid="{41D2DA80-912B-40FE-B642-DF18002B0FE4}">
          <x14:formula1>
            <xm:f>RefData!$B$130:$B$132</xm:f>
          </x14:formula1>
          <xm:sqref>C20 C54 C88 C122 C156</xm:sqref>
        </x14:dataValidation>
        <x14:dataValidation type="list" allowBlank="1" showInputMessage="1" showErrorMessage="1" errorTitle="There is a problem" error="You must select your answer from the drop-down list" promptTitle="Select an answer" prompt="Choose from the list provided" xr:uid="{721C7B3A-A0DA-4088-BA99-C65C0DE86727}">
          <x14:formula1>
            <xm:f>RefData!$B$126:$B$129</xm:f>
          </x14:formula1>
          <xm:sqref>C18 C52 C86 C120 C154</xm:sqref>
        </x14:dataValidation>
        <x14:dataValidation type="list" allowBlank="1" showInputMessage="1" showErrorMessage="1" errorTitle="There is a problem" error="You must select 'Yes' or 'No' from the drop-down list" promptTitle="Select an answer" prompt="Choose from the list provided" xr:uid="{12DF1D78-C34B-4D72-ABF2-3416844B0EF1}">
          <x14:formula1>
            <xm:f>RefData!$B$124:$B$125</xm:f>
          </x14:formula1>
          <xm:sqref>C17 C51 C85 C119 C153</xm:sqref>
        </x14:dataValidation>
        <x14:dataValidation type="list" allowBlank="1" showInputMessage="1" showErrorMessage="1" errorTitle="There is a problem" error="You must select your answer from the drop-down list" promptTitle="Select an answer" prompt="Choose from the list provided" xr:uid="{3D663A60-65A6-4C0F-8326-E5546F92F58E}">
          <x14:formula1>
            <xm:f>RefData!$B$133:$B$139</xm:f>
          </x14:formula1>
          <xm:sqref>C25 C59 C93 C127 C161</xm:sqref>
        </x14:dataValidation>
        <x14:dataValidation type="list" allowBlank="1" showInputMessage="1" showErrorMessage="1" errorTitle="There is a problem" error="You must select your answer from the drop down list" promptTitle="Select an answer" prompt="Choose from the list provided" xr:uid="{0EA1BE4D-45D7-4F8D-A4F5-4B5A5E055052}">
          <x14:formula1>
            <xm:f>RefData!$B$206:$B$400</xm:f>
          </x14:formula1>
          <xm:sqref>C15 C49 C83 C117 C151</xm:sqref>
        </x14:dataValidation>
        <x14:dataValidation type="custom" operator="lessThanOrEqual" allowBlank="1" showInputMessage="1" showErrorMessage="1" errorTitle="There is a problem" error="You must enter a valid Companies House number." promptTitle="Add your answer" prompt="Answer this question in 8 characters or less" xr:uid="{1EA32B81-D20E-4734-8EAE-DDDAC138EFAC}">
          <x14:formula1>
            <xm:f>D144&lt;&gt;ErrorMsgs!C563</xm:f>
          </x14:formula1>
          <xm:sqref>C144</xm:sqref>
        </x14:dataValidation>
        <x14:dataValidation type="custom" operator="lessThanOrEqual" allowBlank="1" showInputMessage="1" showErrorMessage="1" errorTitle="There is a problem" error="You must enter a valid Companies House number." promptTitle="Add your answer" prompt="Answer this question in 8 characters or less" xr:uid="{77E45730-A606-4F6F-A061-A9DEBF4DA9D8}">
          <x14:formula1>
            <xm:f>D8&lt;&gt;ErrorMsgs!C563</xm:f>
          </x14:formula1>
          <xm:sqref>C8</xm:sqref>
        </x14:dataValidation>
        <x14:dataValidation type="custom" operator="lessThanOrEqual" allowBlank="1" showInputMessage="1" showErrorMessage="1" errorTitle="There is a problem" error="You must enter a valid Companies House number." promptTitle="Add your answer" prompt="Answer this question in 8 characters or less" xr:uid="{EA32BA1A-DA79-4565-959F-A488B49C749B}">
          <x14:formula1>
            <xm:f>D42&lt;&gt;ErrorMsgs!C563</xm:f>
          </x14:formula1>
          <xm:sqref>C42</xm:sqref>
        </x14:dataValidation>
        <x14:dataValidation type="custom" operator="lessThanOrEqual" allowBlank="1" showInputMessage="1" showErrorMessage="1" errorTitle="There is a problem" error="You must enter a valid Companies House number." promptTitle="Add your answer" prompt="Answer this question in 8 characters or less" xr:uid="{F4A9CB32-5683-459E-83EA-08CACEB8F8CB}">
          <x14:formula1>
            <xm:f>D76&lt;&gt;ErrorMsgs!C563</xm:f>
          </x14:formula1>
          <xm:sqref>C76</xm:sqref>
        </x14:dataValidation>
        <x14:dataValidation type="custom" operator="lessThanOrEqual" allowBlank="1" showInputMessage="1" showErrorMessage="1" errorTitle="There is a problem" error="You must enter a valid Companies House number." promptTitle="Add your answer" prompt="Answer this question in 8 characters or less" xr:uid="{FE723AB6-D7F5-4DE1-BEB4-C84AA35414DC}">
          <x14:formula1>
            <xm:f>D110&lt;&gt;ErrorMsgs!C563</xm:f>
          </x14:formula1>
          <xm:sqref>C110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86354-8E69-49D0-8794-164E8E58AC0A}">
  <sheetPr codeName="Sheet23"/>
  <dimension ref="A1:XFC123"/>
  <sheetViews>
    <sheetView zoomScaleNormal="100" workbookViewId="0">
      <selection sqref="A1:B1"/>
    </sheetView>
  </sheetViews>
  <sheetFormatPr defaultColWidth="0" defaultRowHeight="0" customHeight="1" zeroHeight="1"/>
  <cols>
    <col min="1" max="1" width="14.69140625" style="20" customWidth="1"/>
    <col min="2" max="2" width="62.69140625" style="20" customWidth="1"/>
    <col min="3" max="3" width="28.69140625" style="20" customWidth="1"/>
    <col min="4" max="6" width="62.69140625" style="20" customWidth="1"/>
    <col min="7" max="13" width="40.69140625" style="20" hidden="1"/>
    <col min="14" max="16383" width="8.69140625" style="20" hidden="1"/>
    <col min="16384" max="16384" width="40.69140625" style="20" hidden="1"/>
  </cols>
  <sheetData>
    <row r="1" spans="1:6" s="123" customFormat="1" ht="50.15" customHeight="1" thickBot="1">
      <c r="A1" s="747" t="s">
        <v>1038</v>
      </c>
      <c r="B1" s="748"/>
      <c r="C1" s="245"/>
      <c r="D1" s="245"/>
      <c r="E1" s="245"/>
      <c r="F1" s="245"/>
    </row>
    <row r="2" spans="1:6" s="123" customFormat="1" ht="50.15" customHeight="1" thickTop="1" thickBot="1">
      <c r="A2" s="742" t="s">
        <v>85</v>
      </c>
      <c r="B2" s="742"/>
      <c r="C2" s="57"/>
      <c r="D2" s="57"/>
      <c r="E2" s="57"/>
      <c r="F2" s="57"/>
    </row>
    <row r="3" spans="1:6" s="123" customFormat="1" ht="398.9" customHeight="1" thickTop="1" thickBot="1">
      <c r="A3" s="766" t="s">
        <v>1039</v>
      </c>
      <c r="B3" s="787"/>
      <c r="C3" s="25"/>
      <c r="D3" s="26"/>
      <c r="E3" s="26"/>
      <c r="F3" s="26"/>
    </row>
    <row r="4" spans="1:6" s="143" customFormat="1" ht="20.149999999999999" customHeight="1" thickBot="1">
      <c r="A4" s="69"/>
      <c r="B4" s="69"/>
      <c r="C4" s="69" t="s">
        <v>23</v>
      </c>
      <c r="D4" s="68"/>
      <c r="E4" s="68"/>
      <c r="F4" s="68"/>
    </row>
    <row r="5" spans="1:6" s="127" customFormat="1" ht="50.15" customHeight="1" thickBot="1">
      <c r="A5" s="750" t="s">
        <v>1040</v>
      </c>
      <c r="B5" s="750"/>
      <c r="C5" s="57"/>
      <c r="D5" s="57"/>
      <c r="E5" s="57"/>
      <c r="F5" s="57"/>
    </row>
    <row r="6" spans="1:6" s="47" customFormat="1" ht="36" customHeight="1" thickTop="1" thickBot="1">
      <c r="A6" s="8" t="s">
        <v>89</v>
      </c>
      <c r="B6" s="8" t="s">
        <v>90</v>
      </c>
      <c r="C6" s="8" t="s">
        <v>91</v>
      </c>
      <c r="D6" s="8" t="s">
        <v>92</v>
      </c>
      <c r="E6" s="199" t="s">
        <v>104</v>
      </c>
      <c r="F6" s="199" t="s">
        <v>93</v>
      </c>
    </row>
    <row r="7" spans="1:6" ht="151.25" customHeight="1" thickTop="1" thickBot="1">
      <c r="A7" s="27" t="s">
        <v>1042</v>
      </c>
      <c r="B7" s="121" t="str">
        <f>Questions!$C$255</f>
        <v xml:space="preserve">
No answer required
What is the type of underlying asset that the scheme has security over?
</v>
      </c>
      <c r="C7" s="187"/>
      <c r="D7" s="372" t="str">
        <f ca="1">'Reconciliation report'!$D$702</f>
        <v/>
      </c>
      <c r="E7" s="122" t="str">
        <f>Guidance!$B$219</f>
        <v xml:space="preserve">
Please note that letters of credit, bank guarantees, surety bonds and contingent funding mechanisms are covered in the 'Other assets' section.
</v>
      </c>
      <c r="F7" s="227"/>
    </row>
    <row r="8" spans="1:6" ht="60.65" customHeight="1" thickBot="1">
      <c r="A8" s="27" t="s">
        <v>1045</v>
      </c>
      <c r="B8" s="118" t="str">
        <f>Questions!$C$256</f>
        <v xml:space="preserve">
No answer required
Provide specific details of the underlying asset
</v>
      </c>
      <c r="C8" s="519"/>
      <c r="D8" s="361" t="str">
        <f ca="1">'Reconciliation report'!$D$703</f>
        <v/>
      </c>
      <c r="E8" s="122" t="str">
        <f>Guidance!$B$220</f>
        <v xml:space="preserve">
Specific details of the underlying asset over which the security has been provided.
</v>
      </c>
      <c r="F8" s="128"/>
    </row>
    <row r="9" spans="1:6" ht="83.15" customHeight="1" thickBot="1">
      <c r="A9" s="27" t="s">
        <v>1047</v>
      </c>
      <c r="B9" s="121" t="str">
        <f>Questions!$C$257</f>
        <v xml:space="preserve">
No answer required
Type of maturity
</v>
      </c>
      <c r="C9" s="343"/>
      <c r="D9" s="372" t="str">
        <f ca="1">'Reconciliation report'!$D$704</f>
        <v/>
      </c>
      <c r="E9" s="122" t="str">
        <f>Guidance!$B$221</f>
        <v xml:space="preserve">
Multiple choice answer setting out details regarding the maturity date of the security. Select 'evergreen' when there is no fixed expiry date. Otherwise, provide the date of maturity, which is when the scheme's legal access to the security or the term of the security arrangement is due to end. If neither of these options apply, select 'other'.
</v>
      </c>
      <c r="F9" s="227"/>
    </row>
    <row r="10" spans="1:6" ht="108.65" customHeight="1">
      <c r="A10" s="27" t="s">
        <v>1049</v>
      </c>
      <c r="B10" s="118" t="str">
        <f>Questions!$C$258</f>
        <v xml:space="preserve">
No answer required
Date of maturity
</v>
      </c>
      <c r="C10" s="527"/>
      <c r="D10" s="361" t="str">
        <f ca="1">'Reconciliation report'!$D$705</f>
        <v/>
      </c>
      <c r="E10" s="122" t="str">
        <f>Guidance!B287</f>
        <v>Guidance is not required for this question.</v>
      </c>
      <c r="F10" s="128"/>
    </row>
    <row r="11" spans="1:6" ht="114" customHeight="1">
      <c r="A11" s="27" t="s">
        <v>1051</v>
      </c>
      <c r="B11" s="118" t="str">
        <f>Questions!$C$259</f>
        <v xml:space="preserve">
No answer required
Maturity date narrative
</v>
      </c>
      <c r="C11" s="519"/>
      <c r="D11" s="361" t="str">
        <f ca="1">'Reconciliation report'!$D$706</f>
        <v/>
      </c>
      <c r="E11" s="122" t="str">
        <f>Guidance!$B$223</f>
        <v xml:space="preserve">
If the answer to the maturity date query above is 'Other', include some narrative related to the maturity date or likely maturity date of the contingent asset.
</v>
      </c>
      <c r="F11" s="128"/>
    </row>
    <row r="12" spans="1:6" ht="108.65" customHeight="1">
      <c r="A12" s="27" t="s">
        <v>1053</v>
      </c>
      <c r="B12" s="121" t="str">
        <f>Questions!$C$260</f>
        <v xml:space="preserve">
No answer required
Value ascribed (£)
</v>
      </c>
      <c r="C12" s="412"/>
      <c r="D12" s="361" t="str">
        <f ca="1">'Reconciliation report'!$D$707</f>
        <v/>
      </c>
      <c r="E12" s="122" t="str">
        <f>Guidance!$B$224</f>
        <v xml:space="preserve">
The amount expected to be realisable under the security arrangement. This can be in terms of 'equal to or at least'.
This should take into account the scenarios the security is intended to address. For example, if the security is triggered on an employer's insolvency, this is the amount expected to be recovered in that scenario.     
</v>
      </c>
      <c r="F12" s="128"/>
    </row>
    <row r="13" spans="1:6" ht="62.75" customHeight="1" thickBot="1">
      <c r="A13" s="27" t="s">
        <v>1055</v>
      </c>
      <c r="B13" s="118" t="str">
        <f>Questions!$C$261</f>
        <v xml:space="preserve">
No answer required
Date of valuation
</v>
      </c>
      <c r="C13" s="527"/>
      <c r="D13" s="361" t="str">
        <f ca="1">'Reconciliation report'!$D$708</f>
        <v/>
      </c>
      <c r="E13" s="122" t="str">
        <f>Guidance!$B$225</f>
        <v xml:space="preserve">
The date as at which the value of the security has been assessed.
</v>
      </c>
      <c r="F13" s="128"/>
    </row>
    <row r="14" spans="1:6" ht="140.15" customHeight="1" thickBot="1">
      <c r="A14" s="27" t="s">
        <v>1057</v>
      </c>
      <c r="B14" s="121" t="str">
        <f>Questions!$C$262</f>
        <v xml:space="preserve">
No answer required
Value cap
</v>
      </c>
      <c r="C14" s="343"/>
      <c r="D14" s="372" t="str">
        <f ca="1">'Reconciliation report'!$D$709</f>
        <v/>
      </c>
      <c r="E14" s="122" t="str">
        <f>Guidance!$B$226</f>
        <v xml:space="preserve">
This is the maximum amount payable to the scheme pursuant to the terms of the security agreement when called upon.
</v>
      </c>
      <c r="F14" s="227"/>
    </row>
    <row r="15" spans="1:6" ht="93" customHeight="1">
      <c r="A15" s="27" t="s">
        <v>1059</v>
      </c>
      <c r="B15" s="118" t="str">
        <f>Questions!$C$263</f>
        <v xml:space="preserve">
No answer required
Narrative regarding value cap
</v>
      </c>
      <c r="C15" s="519"/>
      <c r="D15" s="361" t="str">
        <f ca="1">'Reconciliation report'!$D$710</f>
        <v/>
      </c>
      <c r="E15" s="122" t="str">
        <f>Guidance!$B$227</f>
        <v xml:space="preserve">
If the answer to the value cap question above is 'Other', describe the value cap.
</v>
      </c>
      <c r="F15" s="128"/>
    </row>
    <row r="16" spans="1:6" ht="78" customHeight="1" thickBot="1">
      <c r="A16" s="27" t="s">
        <v>1061</v>
      </c>
      <c r="B16" s="118" t="str">
        <f>Questions!$C$264</f>
        <v xml:space="preserve">
No answer required
Fixed cap amount (£)
</v>
      </c>
      <c r="C16" s="415"/>
      <c r="D16" s="362" t="str">
        <f ca="1">'Reconciliation report'!$D$711</f>
        <v/>
      </c>
      <c r="E16" s="122" t="str">
        <f>Guidance!$B$287</f>
        <v>Guidance is not required for this question.</v>
      </c>
      <c r="F16" s="128"/>
    </row>
    <row r="17" spans="1:13" s="143" customFormat="1" ht="20.149999999999999" customHeight="1" thickBot="1">
      <c r="A17" s="75"/>
      <c r="B17" s="75"/>
      <c r="C17" s="75" t="s">
        <v>23</v>
      </c>
      <c r="D17" s="68"/>
      <c r="E17" s="99"/>
      <c r="F17" s="99"/>
      <c r="G17" s="32"/>
      <c r="H17" s="32"/>
      <c r="I17" s="32"/>
      <c r="J17" s="32"/>
      <c r="K17" s="32"/>
      <c r="L17" s="32"/>
      <c r="M17" s="32"/>
    </row>
    <row r="18" spans="1:13" s="144" customFormat="1" ht="50.15" customHeight="1" thickBot="1">
      <c r="A18" s="755" t="s">
        <v>785</v>
      </c>
      <c r="B18" s="755"/>
      <c r="C18" s="57"/>
      <c r="D18" s="57"/>
      <c r="E18" s="57"/>
      <c r="F18" s="57"/>
      <c r="G18" s="21"/>
      <c r="H18" s="21"/>
      <c r="I18" s="21"/>
      <c r="J18" s="21"/>
      <c r="K18" s="21"/>
      <c r="L18" s="21"/>
      <c r="M18" s="21"/>
    </row>
    <row r="19" spans="1:13" s="47" customFormat="1" ht="36" customHeight="1" thickTop="1" thickBot="1">
      <c r="A19" s="8" t="s">
        <v>89</v>
      </c>
      <c r="B19" s="8" t="s">
        <v>90</v>
      </c>
      <c r="C19" s="8" t="s">
        <v>91</v>
      </c>
      <c r="D19" s="8" t="s">
        <v>92</v>
      </c>
      <c r="E19" s="199" t="s">
        <v>104</v>
      </c>
      <c r="F19" s="199" t="s">
        <v>93</v>
      </c>
      <c r="G19" s="17"/>
    </row>
    <row r="20" spans="1:13" ht="78" customHeight="1" thickTop="1" thickBot="1">
      <c r="A20" s="27" t="s">
        <v>1063</v>
      </c>
      <c r="B20" s="121" t="str">
        <f>Questions!$C$265</f>
        <v xml:space="preserve">
No answer required
Participating employer insolvency
</v>
      </c>
      <c r="C20" s="187"/>
      <c r="D20" s="372" t="str">
        <f ca="1">'Reconciliation report'!$D$712</f>
        <v/>
      </c>
      <c r="E20" s="122" t="str">
        <f>Guidance!$B$228</f>
        <v xml:space="preserve">
If insolvency of a participating employer is a circumstance in which the trustees may seek to enforce the security provided under the terms of the agreement.
</v>
      </c>
      <c r="F20" s="227"/>
    </row>
    <row r="21" spans="1:13" ht="78" customHeight="1" thickBot="1">
      <c r="A21" s="27" t="s">
        <v>1065</v>
      </c>
      <c r="B21" s="121" t="str">
        <f>Questions!$C$266</f>
        <v xml:space="preserve">
No answer required
Insolvency of associated company
</v>
      </c>
      <c r="C21" s="343"/>
      <c r="D21" s="372" t="str">
        <f ca="1">'Reconciliation report'!$D$713</f>
        <v/>
      </c>
      <c r="E21" s="122" t="str">
        <f>Guidance!$B$229</f>
        <v xml:space="preserve">
If insolvency of an associated company is a circumstance in which the trustees may seek to enforce the security provided under the terms of the agreement.
</v>
      </c>
      <c r="F21" s="227"/>
    </row>
    <row r="22" spans="1:13" ht="78" customHeight="1" thickBot="1">
      <c r="A22" s="27" t="s">
        <v>1067</v>
      </c>
      <c r="B22" s="121" t="str">
        <f>Questions!$C$267</f>
        <v xml:space="preserve">
No answer required
Non payment of contributions
</v>
      </c>
      <c r="C22" s="343"/>
      <c r="D22" s="372" t="str">
        <f ca="1">'Reconciliation report'!$D$714</f>
        <v/>
      </c>
      <c r="E22" s="122" t="str">
        <f>Guidance!$B$230</f>
        <v xml:space="preserve">
If non-payment of contributions is a circumstance in which the trustees may seek to enforce the security provided under the terms of the agreement.
</v>
      </c>
      <c r="F22" s="227"/>
    </row>
    <row r="23" spans="1:13" ht="78" customHeight="1" thickBot="1">
      <c r="A23" s="27" t="s">
        <v>1069</v>
      </c>
      <c r="B23" s="121" t="str">
        <f>Questions!$C$268</f>
        <v xml:space="preserve">
No answer required
Crystallisation of investment risk
</v>
      </c>
      <c r="C23" s="343"/>
      <c r="D23" s="372" t="str">
        <f ca="1">'Reconciliation report'!$D$715</f>
        <v/>
      </c>
      <c r="E23" s="122" t="str">
        <f>Guidance!$B$231</f>
        <v xml:space="preserve">
If crystallisation of investment risk is a circumstance in which the trustees may seek to enforce the security provided under the terms of the agreement.
</v>
      </c>
      <c r="F23" s="227"/>
    </row>
    <row r="24" spans="1:13" ht="78" customHeight="1" thickBot="1">
      <c r="A24" s="27" t="s">
        <v>1071</v>
      </c>
      <c r="B24" s="121" t="str">
        <f>Questions!$C$269</f>
        <v xml:space="preserve">
No answer required
Other
</v>
      </c>
      <c r="C24" s="343"/>
      <c r="D24" s="372" t="str">
        <f ca="1">'Reconciliation report'!$D$716</f>
        <v/>
      </c>
      <c r="E24" s="122" t="str">
        <f>Guidance!$B$232</f>
        <v xml:space="preserve">
If there are other circumstances in which the trustees may seek to enforce the security provided under the terms of the agreement.
</v>
      </c>
      <c r="F24" s="227"/>
    </row>
    <row r="25" spans="1:13" ht="93" customHeight="1">
      <c r="A25" s="27" t="s">
        <v>1073</v>
      </c>
      <c r="B25" s="118" t="str">
        <f>Questions!$C$270</f>
        <v xml:space="preserve">
No answer required
Describe the other triggers for access to value
</v>
      </c>
      <c r="C25" s="519"/>
      <c r="D25" s="361" t="str">
        <f ca="1">'Reconciliation report'!$D$717</f>
        <v/>
      </c>
      <c r="E25" s="122" t="str">
        <f>Guidance!$B$233</f>
        <v xml:space="preserve">
Specific description of the 'other' circumstances in which the trustees may seek to enforce the security provided under the terms of the agreement.
</v>
      </c>
      <c r="F25" s="128"/>
    </row>
    <row r="26" spans="1:13" ht="150" customHeight="1" thickBot="1">
      <c r="A26" s="246" t="s">
        <v>1075</v>
      </c>
      <c r="B26" s="172" t="str">
        <f>Questions!$C$271</f>
        <v xml:space="preserve">
No answer required
Triggers for termination
</v>
      </c>
      <c r="C26" s="520"/>
      <c r="D26" s="362" t="str">
        <f ca="1">'Reconciliation report'!$D$718</f>
        <v/>
      </c>
      <c r="E26" s="132" t="str">
        <f>Guidance!$B$234</f>
        <v xml:space="preserve">
The circumstances specified in the security agreement under which the agreement will be terminated or will cease to have effect.
</v>
      </c>
      <c r="F26" s="224"/>
    </row>
    <row r="27" spans="1:13" s="143" customFormat="1" ht="20.149999999999999" customHeight="1" thickBot="1">
      <c r="A27" s="69"/>
      <c r="B27" s="69"/>
      <c r="C27" s="69" t="s">
        <v>23</v>
      </c>
      <c r="D27" s="68"/>
      <c r="E27" s="68"/>
      <c r="F27" s="68"/>
      <c r="G27" s="32"/>
      <c r="H27" s="32"/>
      <c r="I27" s="32"/>
      <c r="J27" s="32"/>
      <c r="K27" s="32"/>
      <c r="L27" s="32"/>
      <c r="M27" s="32"/>
    </row>
    <row r="28" spans="1:13" s="127" customFormat="1" ht="50.15" customHeight="1" thickBot="1">
      <c r="A28" s="750" t="s">
        <v>1076</v>
      </c>
      <c r="B28" s="750"/>
      <c r="C28" s="57"/>
      <c r="D28" s="57"/>
      <c r="E28" s="57"/>
      <c r="F28" s="57"/>
      <c r="G28" s="21"/>
      <c r="H28" s="21"/>
      <c r="I28" s="21"/>
      <c r="J28" s="21"/>
      <c r="K28" s="21"/>
      <c r="L28" s="21"/>
      <c r="M28" s="21"/>
    </row>
    <row r="29" spans="1:13" s="47" customFormat="1" ht="36" customHeight="1" thickTop="1" thickBot="1">
      <c r="A29" s="8" t="s">
        <v>89</v>
      </c>
      <c r="B29" s="8" t="s">
        <v>90</v>
      </c>
      <c r="C29" s="8" t="s">
        <v>91</v>
      </c>
      <c r="D29" s="8" t="s">
        <v>92</v>
      </c>
      <c r="E29" s="199" t="s">
        <v>104</v>
      </c>
      <c r="F29" s="199" t="s">
        <v>93</v>
      </c>
    </row>
    <row r="30" spans="1:13" ht="151.25" customHeight="1" thickTop="1" thickBot="1">
      <c r="A30" s="27" t="s">
        <v>1078</v>
      </c>
      <c r="B30" s="121" t="str">
        <f>Questions!$C$272</f>
        <v xml:space="preserve">
No answer required
What is the type of underlying asset that the scheme has security over?
</v>
      </c>
      <c r="C30" s="187"/>
      <c r="D30" s="372" t="str">
        <f ca="1">'Reconciliation report'!$D719</f>
        <v/>
      </c>
      <c r="E30" s="122" t="str">
        <f>Guidance!$B$219</f>
        <v xml:space="preserve">
Please note that letters of credit, bank guarantees, surety bonds and contingent funding mechanisms are covered in the 'Other assets' section.
</v>
      </c>
      <c r="F30" s="227"/>
    </row>
    <row r="31" spans="1:13" ht="78" thickBot="1">
      <c r="A31" s="27" t="s">
        <v>1080</v>
      </c>
      <c r="B31" s="118" t="str">
        <f>Questions!$C$273</f>
        <v xml:space="preserve">
No answer required
Provide specific details of the underlying asset
</v>
      </c>
      <c r="C31" s="519"/>
      <c r="D31" s="361" t="str">
        <f ca="1">'Reconciliation report'!$D720</f>
        <v/>
      </c>
      <c r="E31" s="122" t="str">
        <f>Guidance!$B$220</f>
        <v xml:space="preserve">
Specific details of the underlying asset over which the security has been provided.
</v>
      </c>
      <c r="F31" s="128"/>
    </row>
    <row r="32" spans="1:13" ht="109" thickBot="1">
      <c r="A32" s="27" t="s">
        <v>1082</v>
      </c>
      <c r="B32" s="121" t="str">
        <f>Questions!$C$274</f>
        <v xml:space="preserve">
No answer required
Type of maturity
</v>
      </c>
      <c r="C32" s="343"/>
      <c r="D32" s="372" t="str">
        <f ca="1">'Reconciliation report'!$D721</f>
        <v/>
      </c>
      <c r="E32" s="122" t="str">
        <f>Guidance!$B$221</f>
        <v xml:space="preserve">
Multiple choice answer setting out details regarding the maturity date of the security. Select 'evergreen' when there is no fixed expiry date. Otherwise, provide the date of maturity, which is when the scheme's legal access to the security or the term of the security arrangement is due to end. If neither of these options apply, select 'other'.
</v>
      </c>
      <c r="F32" s="227"/>
    </row>
    <row r="33" spans="1:16382" ht="93" customHeight="1">
      <c r="A33" s="27" t="s">
        <v>1084</v>
      </c>
      <c r="B33" s="118" t="str">
        <f>Questions!$C$275</f>
        <v xml:space="preserve">
No answer required
Date of maturity
</v>
      </c>
      <c r="C33" s="527"/>
      <c r="D33" s="361" t="str">
        <f ca="1">'Reconciliation report'!$D722</f>
        <v/>
      </c>
      <c r="E33" s="122" t="str">
        <f>Guidance!B287</f>
        <v>Guidance is not required for this question.</v>
      </c>
      <c r="F33" s="128"/>
    </row>
    <row r="34" spans="1:16382" ht="93" customHeight="1">
      <c r="A34" s="27" t="s">
        <v>1086</v>
      </c>
      <c r="B34" s="118" t="str">
        <f>Questions!$C$276</f>
        <v xml:space="preserve">
No answer required
Maturity date narrative
</v>
      </c>
      <c r="C34" s="519"/>
      <c r="D34" s="361" t="str">
        <f ca="1">'Reconciliation report'!$D723</f>
        <v/>
      </c>
      <c r="E34" s="122" t="str">
        <f>Guidance!$B$223</f>
        <v xml:space="preserve">
If the answer to the maturity date query above is 'Other', include some narrative related to the maturity date or likely maturity date of the contingent asset.
</v>
      </c>
      <c r="F34" s="128"/>
    </row>
    <row r="35" spans="1:16382" ht="108.65" customHeight="1">
      <c r="A35" s="27" t="s">
        <v>1088</v>
      </c>
      <c r="B35" s="121" t="str">
        <f>Questions!$C$277</f>
        <v xml:space="preserve">
No answer required
Value ascribed (£)
</v>
      </c>
      <c r="C35" s="412"/>
      <c r="D35" s="361" t="str">
        <f ca="1">'Reconciliation report'!$D724</f>
        <v/>
      </c>
      <c r="E35" s="122" t="str">
        <f>Guidance!$B$224</f>
        <v xml:space="preserve">
The amount expected to be realisable under the security arrangement. This can be in terms of 'equal to or at least'.
This should take into account the scenarios the security is intended to address. For example, if the security is triggered on an employer's insolvency, this is the amount expected to be recovered in that scenario.     
</v>
      </c>
      <c r="F35" s="128"/>
    </row>
    <row r="36" spans="1:16382" ht="78" thickBot="1">
      <c r="A36" s="27" t="s">
        <v>1090</v>
      </c>
      <c r="B36" s="118" t="str">
        <f>Questions!$C$278</f>
        <v xml:space="preserve">
No answer required
Date of valuation
</v>
      </c>
      <c r="C36" s="527"/>
      <c r="D36" s="361" t="str">
        <f ca="1">'Reconciliation report'!$D725</f>
        <v/>
      </c>
      <c r="E36" s="122" t="str">
        <f>Guidance!$B$225</f>
        <v xml:space="preserve">
The date as at which the value of the security has been assessed.
</v>
      </c>
      <c r="F36" s="128"/>
    </row>
    <row r="37" spans="1:16382" ht="140.15" customHeight="1" thickBot="1">
      <c r="A37" s="27" t="s">
        <v>1092</v>
      </c>
      <c r="B37" s="121" t="str">
        <f>Questions!$C$279</f>
        <v xml:space="preserve">
No answer required
Value cap
</v>
      </c>
      <c r="C37" s="343"/>
      <c r="D37" s="372" t="str">
        <f ca="1">'Reconciliation report'!$D726</f>
        <v/>
      </c>
      <c r="E37" s="122" t="str">
        <f>Guidance!$B$226</f>
        <v xml:space="preserve">
This is the maximum amount payable to the scheme pursuant to the terms of the security agreement when called upon.
</v>
      </c>
      <c r="F37" s="227"/>
    </row>
    <row r="38" spans="1:16382" ht="77.5">
      <c r="A38" s="27" t="s">
        <v>1094</v>
      </c>
      <c r="B38" s="118" t="str">
        <f>Questions!$C$280</f>
        <v xml:space="preserve">
No answer required
Narrative regarding value cap
</v>
      </c>
      <c r="C38" s="519"/>
      <c r="D38" s="361" t="str">
        <f ca="1">'Reconciliation report'!$D727</f>
        <v/>
      </c>
      <c r="E38" s="122" t="str">
        <f>Guidance!$B$227</f>
        <v xml:space="preserve">
If the answer to the value cap question above is 'Other', describe the value cap.
</v>
      </c>
      <c r="F38" s="128"/>
    </row>
    <row r="39" spans="1:16382" ht="80.150000000000006" customHeight="1" thickBot="1">
      <c r="A39" s="27" t="s">
        <v>1096</v>
      </c>
      <c r="B39" s="118" t="str">
        <f>Questions!$C$281</f>
        <v xml:space="preserve">
No answer required
Fixed cap amount (£)
</v>
      </c>
      <c r="C39" s="416"/>
      <c r="D39" s="362" t="str">
        <f ca="1">'Reconciliation report'!$D728</f>
        <v/>
      </c>
      <c r="E39" s="122" t="str">
        <f>Guidance!$B$287</f>
        <v>Guidance is not required for this question.</v>
      </c>
      <c r="F39" s="128"/>
    </row>
    <row r="40" spans="1:16382" s="143" customFormat="1" ht="20.149999999999999" customHeight="1" thickBot="1">
      <c r="A40" s="75"/>
      <c r="B40" s="75"/>
      <c r="C40" s="75" t="s">
        <v>23</v>
      </c>
      <c r="D40" s="68"/>
      <c r="E40" s="99"/>
      <c r="F40" s="99"/>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2"/>
      <c r="CQ40" s="32"/>
      <c r="CR40" s="32"/>
      <c r="CS40" s="32"/>
      <c r="CT40" s="32"/>
      <c r="CU40" s="32"/>
      <c r="CV40" s="32"/>
      <c r="CW40" s="32"/>
      <c r="CX40" s="32"/>
      <c r="CY40" s="32"/>
      <c r="CZ40" s="32"/>
      <c r="DA40" s="32"/>
      <c r="DB40" s="32"/>
      <c r="DC40" s="32"/>
      <c r="DD40" s="32"/>
      <c r="DE40" s="32"/>
      <c r="DF40" s="32"/>
      <c r="DG40" s="32"/>
      <c r="DH40" s="32"/>
      <c r="DI40" s="32"/>
      <c r="DJ40" s="32"/>
      <c r="DK40" s="32"/>
      <c r="DL40" s="32"/>
      <c r="DM40" s="32"/>
      <c r="DN40" s="32"/>
      <c r="DO40" s="32"/>
      <c r="DP40" s="32"/>
      <c r="DQ40" s="32"/>
      <c r="DR40" s="32"/>
      <c r="DS40" s="32"/>
      <c r="DT40" s="32"/>
      <c r="DU40" s="32"/>
      <c r="DV40" s="32"/>
      <c r="DW40" s="32"/>
      <c r="DX40" s="32"/>
      <c r="DY40" s="32"/>
      <c r="DZ40" s="32"/>
      <c r="EA40" s="32"/>
      <c r="EB40" s="32"/>
      <c r="EC40" s="32"/>
      <c r="ED40" s="32"/>
      <c r="EE40" s="32"/>
      <c r="EF40" s="32"/>
      <c r="EG40" s="32"/>
      <c r="EH40" s="32"/>
      <c r="EI40" s="32"/>
      <c r="EJ40" s="32"/>
      <c r="EK40" s="32"/>
      <c r="EL40" s="32"/>
      <c r="EM40" s="32"/>
      <c r="EN40" s="32"/>
      <c r="EO40" s="32"/>
      <c r="EP40" s="32"/>
      <c r="EQ40" s="32"/>
      <c r="ER40" s="32"/>
      <c r="ES40" s="32"/>
      <c r="ET40" s="32"/>
      <c r="EU40" s="32"/>
      <c r="EV40" s="32"/>
      <c r="EW40" s="32"/>
      <c r="EX40" s="32"/>
      <c r="EY40" s="32"/>
      <c r="EZ40" s="32"/>
      <c r="FA40" s="32"/>
      <c r="FB40" s="32"/>
      <c r="FC40" s="32"/>
      <c r="FD40" s="32"/>
      <c r="FE40" s="32"/>
      <c r="FF40" s="32"/>
      <c r="FG40" s="32"/>
      <c r="FH40" s="32"/>
      <c r="FI40" s="32"/>
      <c r="FJ40" s="32"/>
      <c r="FK40" s="32"/>
      <c r="FL40" s="32"/>
      <c r="FM40" s="32"/>
      <c r="FN40" s="32"/>
      <c r="FO40" s="32"/>
      <c r="FP40" s="32"/>
      <c r="FQ40" s="32"/>
      <c r="FR40" s="32"/>
      <c r="FS40" s="32"/>
      <c r="FT40" s="32"/>
      <c r="FU40" s="32"/>
      <c r="FV40" s="32"/>
      <c r="FW40" s="32"/>
      <c r="FX40" s="32"/>
      <c r="FY40" s="32"/>
      <c r="FZ40" s="32"/>
      <c r="GA40" s="32"/>
      <c r="GB40" s="32"/>
      <c r="GC40" s="32"/>
      <c r="GD40" s="32"/>
      <c r="GE40" s="32"/>
      <c r="GF40" s="32"/>
      <c r="GG40" s="32"/>
      <c r="GH40" s="32"/>
      <c r="GI40" s="32"/>
      <c r="GJ40" s="32"/>
      <c r="GK40" s="32"/>
      <c r="GL40" s="32"/>
      <c r="GM40" s="32"/>
      <c r="GN40" s="32"/>
      <c r="GO40" s="32"/>
      <c r="GP40" s="32"/>
      <c r="GQ40" s="32"/>
      <c r="GR40" s="32"/>
      <c r="GS40" s="32"/>
      <c r="GT40" s="32"/>
      <c r="GU40" s="32"/>
      <c r="GV40" s="32"/>
      <c r="GW40" s="32"/>
      <c r="GX40" s="32"/>
      <c r="GY40" s="32"/>
      <c r="GZ40" s="32"/>
      <c r="HA40" s="32"/>
      <c r="HB40" s="32"/>
      <c r="HC40" s="32"/>
      <c r="HD40" s="32"/>
      <c r="HE40" s="32"/>
      <c r="HF40" s="32"/>
      <c r="HG40" s="32"/>
      <c r="HH40" s="32"/>
      <c r="HI40" s="32"/>
      <c r="HJ40" s="32"/>
      <c r="HK40" s="32"/>
      <c r="HL40" s="32"/>
      <c r="HM40" s="32"/>
      <c r="HN40" s="32"/>
      <c r="HO40" s="32"/>
      <c r="HP40" s="32"/>
      <c r="HQ40" s="32"/>
      <c r="HR40" s="32"/>
      <c r="HS40" s="32"/>
      <c r="HT40" s="32"/>
      <c r="HU40" s="32"/>
      <c r="HV40" s="32"/>
      <c r="HW40" s="32"/>
      <c r="HX40" s="32"/>
      <c r="HY40" s="32"/>
      <c r="HZ40" s="32"/>
      <c r="IA40" s="32"/>
      <c r="IB40" s="32"/>
      <c r="IC40" s="32"/>
      <c r="ID40" s="32"/>
      <c r="IE40" s="32"/>
      <c r="IF40" s="32"/>
      <c r="IG40" s="32"/>
      <c r="IH40" s="32"/>
      <c r="II40" s="32"/>
      <c r="IJ40" s="32"/>
      <c r="IK40" s="32"/>
      <c r="IL40" s="32"/>
      <c r="IM40" s="32"/>
      <c r="IN40" s="32"/>
      <c r="IO40" s="32"/>
      <c r="IP40" s="32"/>
      <c r="IQ40" s="32"/>
      <c r="IR40" s="32"/>
      <c r="IS40" s="32"/>
      <c r="IT40" s="32"/>
      <c r="IU40" s="32"/>
      <c r="IV40" s="32"/>
      <c r="IW40" s="32"/>
      <c r="IX40" s="32"/>
      <c r="IY40" s="32"/>
      <c r="IZ40" s="32"/>
      <c r="JA40" s="32"/>
      <c r="JB40" s="32"/>
      <c r="JC40" s="32"/>
      <c r="JD40" s="32"/>
      <c r="JE40" s="32"/>
      <c r="JF40" s="32"/>
      <c r="JG40" s="32"/>
      <c r="JH40" s="32"/>
      <c r="JI40" s="32"/>
      <c r="JJ40" s="32"/>
      <c r="JK40" s="32"/>
      <c r="JL40" s="32"/>
      <c r="JM40" s="32"/>
      <c r="JN40" s="32"/>
      <c r="JO40" s="32"/>
      <c r="JP40" s="32"/>
      <c r="JQ40" s="32"/>
      <c r="JR40" s="32"/>
      <c r="JS40" s="32"/>
      <c r="JT40" s="32"/>
      <c r="JU40" s="32"/>
      <c r="JV40" s="32"/>
      <c r="JW40" s="32"/>
      <c r="JX40" s="32"/>
      <c r="JY40" s="32"/>
      <c r="JZ40" s="32"/>
      <c r="KA40" s="32"/>
      <c r="KB40" s="32"/>
      <c r="KC40" s="32"/>
      <c r="KD40" s="32"/>
      <c r="KE40" s="32"/>
      <c r="KF40" s="32"/>
      <c r="KG40" s="32"/>
      <c r="KH40" s="32"/>
      <c r="KI40" s="32"/>
      <c r="KJ40" s="32"/>
      <c r="KK40" s="32"/>
      <c r="KL40" s="32"/>
      <c r="KM40" s="32"/>
      <c r="KN40" s="32"/>
      <c r="KO40" s="32"/>
      <c r="KP40" s="32"/>
      <c r="KQ40" s="32"/>
      <c r="KR40" s="32"/>
      <c r="KS40" s="32"/>
      <c r="KT40" s="32"/>
      <c r="KU40" s="32"/>
      <c r="KV40" s="32"/>
      <c r="KW40" s="32"/>
      <c r="KX40" s="32"/>
      <c r="KY40" s="32"/>
      <c r="KZ40" s="32"/>
      <c r="LA40" s="32"/>
      <c r="LB40" s="32"/>
      <c r="LC40" s="32"/>
      <c r="LD40" s="32"/>
      <c r="LE40" s="32"/>
      <c r="LF40" s="32"/>
      <c r="LG40" s="32"/>
      <c r="LH40" s="32"/>
      <c r="LI40" s="32"/>
      <c r="LJ40" s="32"/>
      <c r="LK40" s="32"/>
      <c r="LL40" s="32"/>
      <c r="LM40" s="32"/>
      <c r="LN40" s="32"/>
      <c r="LO40" s="32"/>
      <c r="LP40" s="32"/>
      <c r="LQ40" s="32"/>
      <c r="LR40" s="32"/>
      <c r="LS40" s="32"/>
      <c r="LT40" s="32"/>
      <c r="LU40" s="32"/>
      <c r="LV40" s="32"/>
      <c r="LW40" s="32"/>
      <c r="LX40" s="32"/>
      <c r="LY40" s="32"/>
      <c r="LZ40" s="32"/>
      <c r="MA40" s="32"/>
      <c r="MB40" s="32"/>
      <c r="MC40" s="32"/>
      <c r="MD40" s="32"/>
      <c r="ME40" s="32"/>
      <c r="MF40" s="32"/>
      <c r="MG40" s="32"/>
      <c r="MH40" s="32"/>
      <c r="MI40" s="32"/>
      <c r="MJ40" s="32"/>
      <c r="MK40" s="32"/>
      <c r="ML40" s="32"/>
      <c r="MM40" s="32"/>
      <c r="MN40" s="32"/>
      <c r="MO40" s="32"/>
      <c r="MP40" s="32"/>
      <c r="MQ40" s="32"/>
      <c r="MR40" s="32"/>
      <c r="MS40" s="32"/>
      <c r="MT40" s="32"/>
      <c r="MU40" s="32"/>
      <c r="MV40" s="32"/>
      <c r="MW40" s="32"/>
      <c r="MX40" s="32"/>
      <c r="MY40" s="32"/>
      <c r="MZ40" s="32"/>
      <c r="NA40" s="32"/>
      <c r="NB40" s="32"/>
      <c r="NC40" s="32"/>
      <c r="ND40" s="32"/>
      <c r="NE40" s="32"/>
      <c r="NF40" s="32"/>
      <c r="NG40" s="32"/>
      <c r="NH40" s="32"/>
      <c r="NI40" s="32"/>
      <c r="NJ40" s="32"/>
      <c r="NK40" s="32"/>
      <c r="NL40" s="32"/>
      <c r="NM40" s="32"/>
      <c r="NN40" s="32"/>
      <c r="NO40" s="32"/>
      <c r="NP40" s="32"/>
      <c r="NQ40" s="32"/>
      <c r="NR40" s="32"/>
      <c r="NS40" s="32"/>
      <c r="NT40" s="32"/>
      <c r="NU40" s="32"/>
      <c r="NV40" s="32"/>
      <c r="NW40" s="32"/>
      <c r="NX40" s="32"/>
      <c r="NY40" s="32"/>
      <c r="NZ40" s="32"/>
      <c r="OA40" s="32"/>
      <c r="OB40" s="32"/>
      <c r="OC40" s="32"/>
      <c r="OD40" s="32"/>
      <c r="OE40" s="32"/>
      <c r="OF40" s="32"/>
      <c r="OG40" s="32"/>
      <c r="OH40" s="32"/>
      <c r="OI40" s="32"/>
      <c r="OJ40" s="32"/>
      <c r="OK40" s="32"/>
      <c r="OL40" s="32"/>
      <c r="OM40" s="32"/>
      <c r="ON40" s="32"/>
      <c r="OO40" s="32"/>
      <c r="OP40" s="32"/>
      <c r="OQ40" s="32"/>
      <c r="OR40" s="32"/>
      <c r="OS40" s="32"/>
      <c r="OT40" s="32"/>
      <c r="OU40" s="32"/>
      <c r="OV40" s="32"/>
      <c r="OW40" s="32"/>
      <c r="OX40" s="32"/>
      <c r="OY40" s="32"/>
      <c r="OZ40" s="32"/>
      <c r="PA40" s="32"/>
      <c r="PB40" s="32"/>
      <c r="PC40" s="32"/>
      <c r="PD40" s="32"/>
      <c r="PE40" s="32"/>
      <c r="PF40" s="32"/>
      <c r="PG40" s="32"/>
      <c r="PH40" s="32"/>
      <c r="PI40" s="32"/>
      <c r="PJ40" s="32"/>
      <c r="PK40" s="32"/>
      <c r="PL40" s="32"/>
      <c r="PM40" s="32"/>
      <c r="PN40" s="32"/>
      <c r="PO40" s="32"/>
      <c r="PP40" s="32"/>
      <c r="PQ40" s="32"/>
      <c r="PR40" s="32"/>
      <c r="PS40" s="32"/>
      <c r="PT40" s="32"/>
      <c r="PU40" s="32"/>
      <c r="PV40" s="32"/>
      <c r="PW40" s="32"/>
      <c r="PX40" s="32"/>
      <c r="PY40" s="32"/>
      <c r="PZ40" s="32"/>
      <c r="QA40" s="32"/>
      <c r="QB40" s="32"/>
      <c r="QC40" s="32"/>
      <c r="QD40" s="32"/>
      <c r="QE40" s="32"/>
      <c r="QF40" s="32"/>
      <c r="QG40" s="32"/>
      <c r="QH40" s="32"/>
      <c r="QI40" s="32"/>
      <c r="QJ40" s="32"/>
      <c r="QK40" s="32"/>
      <c r="QL40" s="32"/>
      <c r="QM40" s="32"/>
      <c r="QN40" s="32"/>
      <c r="QO40" s="32"/>
      <c r="QP40" s="32"/>
      <c r="QQ40" s="32"/>
      <c r="QR40" s="32"/>
      <c r="QS40" s="32"/>
      <c r="QT40" s="32"/>
      <c r="QU40" s="32"/>
      <c r="QV40" s="32"/>
      <c r="QW40" s="32"/>
      <c r="QX40" s="32"/>
      <c r="QY40" s="32"/>
      <c r="QZ40" s="32"/>
      <c r="RA40" s="32"/>
      <c r="RB40" s="32"/>
      <c r="RC40" s="32"/>
      <c r="RD40" s="32"/>
      <c r="RE40" s="32"/>
      <c r="RF40" s="32"/>
      <c r="RG40" s="32"/>
      <c r="RH40" s="32"/>
      <c r="RI40" s="32"/>
      <c r="RJ40" s="32"/>
      <c r="RK40" s="32"/>
      <c r="RL40" s="32"/>
      <c r="RM40" s="32"/>
      <c r="RN40" s="32"/>
      <c r="RO40" s="32"/>
      <c r="RP40" s="32"/>
      <c r="RQ40" s="32"/>
      <c r="RR40" s="32"/>
      <c r="RS40" s="32"/>
      <c r="RT40" s="32"/>
      <c r="RU40" s="32"/>
      <c r="RV40" s="32"/>
      <c r="RW40" s="32"/>
      <c r="RX40" s="32"/>
      <c r="RY40" s="32"/>
      <c r="RZ40" s="32"/>
      <c r="SA40" s="32"/>
      <c r="SB40" s="32"/>
      <c r="SC40" s="32"/>
      <c r="SD40" s="32"/>
      <c r="SE40" s="32"/>
      <c r="SF40" s="32"/>
      <c r="SG40" s="32"/>
      <c r="SH40" s="32"/>
      <c r="SI40" s="32"/>
      <c r="SJ40" s="32"/>
      <c r="SK40" s="32"/>
      <c r="SL40" s="32"/>
      <c r="SM40" s="32"/>
      <c r="SN40" s="32"/>
      <c r="SO40" s="32"/>
      <c r="SP40" s="32"/>
      <c r="SQ40" s="32"/>
      <c r="SR40" s="32"/>
      <c r="SS40" s="32"/>
      <c r="ST40" s="32"/>
      <c r="SU40" s="32"/>
      <c r="SV40" s="32"/>
      <c r="SW40" s="32"/>
      <c r="SX40" s="32"/>
      <c r="SY40" s="32"/>
      <c r="SZ40" s="32"/>
      <c r="TA40" s="32"/>
      <c r="TB40" s="32"/>
      <c r="TC40" s="32"/>
      <c r="TD40" s="32"/>
      <c r="TE40" s="32"/>
      <c r="TF40" s="32"/>
      <c r="TG40" s="32"/>
      <c r="TH40" s="32"/>
      <c r="TI40" s="32"/>
      <c r="TJ40" s="32"/>
      <c r="TK40" s="32"/>
      <c r="TL40" s="32"/>
      <c r="TM40" s="32"/>
      <c r="TN40" s="32"/>
      <c r="TO40" s="32"/>
      <c r="TP40" s="32"/>
      <c r="TQ40" s="32"/>
      <c r="TR40" s="32"/>
      <c r="TS40" s="32"/>
      <c r="TT40" s="32"/>
      <c r="TU40" s="32"/>
      <c r="TV40" s="32"/>
      <c r="TW40" s="32"/>
      <c r="TX40" s="32"/>
      <c r="TY40" s="32"/>
      <c r="TZ40" s="32"/>
      <c r="UA40" s="32"/>
      <c r="UB40" s="32"/>
      <c r="UC40" s="32"/>
      <c r="UD40" s="32"/>
      <c r="UE40" s="32"/>
      <c r="UF40" s="32"/>
      <c r="UG40" s="32"/>
      <c r="UH40" s="32"/>
      <c r="UI40" s="32"/>
      <c r="UJ40" s="32"/>
      <c r="UK40" s="32"/>
      <c r="UL40" s="32"/>
      <c r="UM40" s="32"/>
      <c r="UN40" s="32"/>
      <c r="UO40" s="32"/>
      <c r="UP40" s="32"/>
      <c r="UQ40" s="32"/>
      <c r="UR40" s="32"/>
      <c r="US40" s="32"/>
      <c r="UT40" s="32"/>
      <c r="UU40" s="32"/>
      <c r="UV40" s="32"/>
      <c r="UW40" s="32"/>
      <c r="UX40" s="32"/>
      <c r="UY40" s="32"/>
      <c r="UZ40" s="32"/>
      <c r="VA40" s="32"/>
      <c r="VB40" s="32"/>
      <c r="VC40" s="32"/>
      <c r="VD40" s="32"/>
      <c r="VE40" s="32"/>
      <c r="VF40" s="32"/>
      <c r="VG40" s="32"/>
      <c r="VH40" s="32"/>
      <c r="VI40" s="32"/>
      <c r="VJ40" s="32"/>
      <c r="VK40" s="32"/>
      <c r="VL40" s="32"/>
      <c r="VM40" s="32"/>
      <c r="VN40" s="32"/>
      <c r="VO40" s="32"/>
      <c r="VP40" s="32"/>
      <c r="VQ40" s="32"/>
      <c r="VR40" s="32"/>
      <c r="VS40" s="32"/>
      <c r="VT40" s="32"/>
      <c r="VU40" s="32"/>
      <c r="VV40" s="32"/>
      <c r="VW40" s="32"/>
      <c r="VX40" s="32"/>
      <c r="VY40" s="32"/>
      <c r="VZ40" s="32"/>
      <c r="WA40" s="32"/>
      <c r="WB40" s="32"/>
      <c r="WC40" s="32"/>
      <c r="WD40" s="32"/>
      <c r="WE40" s="32"/>
      <c r="WF40" s="32"/>
      <c r="WG40" s="32"/>
      <c r="WH40" s="32"/>
      <c r="WI40" s="32"/>
      <c r="WJ40" s="32"/>
      <c r="WK40" s="32"/>
      <c r="WL40" s="32"/>
      <c r="WM40" s="32"/>
      <c r="WN40" s="32"/>
      <c r="WO40" s="32"/>
      <c r="WP40" s="32"/>
      <c r="WQ40" s="32"/>
      <c r="WR40" s="32"/>
      <c r="WS40" s="32"/>
      <c r="WT40" s="32"/>
      <c r="WU40" s="32"/>
      <c r="WV40" s="32"/>
      <c r="WW40" s="32"/>
      <c r="WX40" s="32"/>
      <c r="WY40" s="32"/>
      <c r="WZ40" s="32"/>
      <c r="XA40" s="32"/>
      <c r="XB40" s="32"/>
      <c r="XC40" s="32"/>
      <c r="XD40" s="32"/>
      <c r="XE40" s="32"/>
      <c r="XF40" s="32"/>
      <c r="XG40" s="32"/>
      <c r="XH40" s="32"/>
      <c r="XI40" s="32"/>
      <c r="XJ40" s="32"/>
      <c r="XK40" s="32"/>
      <c r="XL40" s="32"/>
      <c r="XM40" s="32"/>
      <c r="XN40" s="32"/>
      <c r="XO40" s="32"/>
      <c r="XP40" s="32"/>
      <c r="XQ40" s="32"/>
      <c r="XR40" s="32"/>
      <c r="XS40" s="32"/>
      <c r="XT40" s="32"/>
      <c r="XU40" s="32"/>
      <c r="XV40" s="32"/>
      <c r="XW40" s="32"/>
      <c r="XX40" s="32"/>
      <c r="XY40" s="32"/>
      <c r="XZ40" s="32"/>
      <c r="YA40" s="32"/>
      <c r="YB40" s="32"/>
      <c r="YC40" s="32"/>
      <c r="YD40" s="32"/>
      <c r="YE40" s="32"/>
      <c r="YF40" s="32"/>
      <c r="YG40" s="32"/>
      <c r="YH40" s="32"/>
      <c r="YI40" s="32"/>
      <c r="YJ40" s="32"/>
      <c r="YK40" s="32"/>
      <c r="YL40" s="32"/>
      <c r="YM40" s="32"/>
      <c r="YN40" s="32"/>
      <c r="YO40" s="32"/>
      <c r="YP40" s="32"/>
      <c r="YQ40" s="32"/>
      <c r="YR40" s="32"/>
      <c r="YS40" s="32"/>
      <c r="YT40" s="32"/>
      <c r="YU40" s="32"/>
      <c r="YV40" s="32"/>
      <c r="YW40" s="32"/>
      <c r="YX40" s="32"/>
      <c r="YY40" s="32"/>
      <c r="YZ40" s="32"/>
      <c r="ZA40" s="32"/>
      <c r="ZB40" s="32"/>
      <c r="ZC40" s="32"/>
      <c r="ZD40" s="32"/>
      <c r="ZE40" s="32"/>
      <c r="ZF40" s="32"/>
      <c r="ZG40" s="32"/>
      <c r="ZH40" s="32"/>
      <c r="ZI40" s="32"/>
      <c r="ZJ40" s="32"/>
      <c r="ZK40" s="32"/>
      <c r="ZL40" s="32"/>
      <c r="ZM40" s="32"/>
      <c r="ZN40" s="32"/>
      <c r="ZO40" s="32"/>
      <c r="ZP40" s="32"/>
      <c r="ZQ40" s="32"/>
      <c r="ZR40" s="32"/>
      <c r="ZS40" s="32"/>
      <c r="ZT40" s="32"/>
      <c r="ZU40" s="32"/>
      <c r="ZV40" s="32"/>
      <c r="ZW40" s="32"/>
      <c r="ZX40" s="32"/>
      <c r="ZY40" s="32"/>
      <c r="ZZ40" s="32"/>
      <c r="AAA40" s="32"/>
      <c r="AAB40" s="32"/>
      <c r="AAC40" s="32"/>
      <c r="AAD40" s="32"/>
      <c r="AAE40" s="32"/>
      <c r="AAF40" s="32"/>
      <c r="AAG40" s="32"/>
      <c r="AAH40" s="32"/>
      <c r="AAI40" s="32"/>
      <c r="AAJ40" s="32"/>
      <c r="AAK40" s="32"/>
      <c r="AAL40" s="32"/>
      <c r="AAM40" s="32"/>
      <c r="AAN40" s="32"/>
      <c r="AAO40" s="32"/>
      <c r="AAP40" s="32"/>
      <c r="AAQ40" s="32"/>
      <c r="AAR40" s="32"/>
      <c r="AAS40" s="32"/>
      <c r="AAT40" s="32"/>
      <c r="AAU40" s="32"/>
      <c r="AAV40" s="32"/>
      <c r="AAW40" s="32"/>
      <c r="AAX40" s="32"/>
      <c r="AAY40" s="32"/>
      <c r="AAZ40" s="32"/>
      <c r="ABA40" s="32"/>
      <c r="ABB40" s="32"/>
      <c r="ABC40" s="32"/>
      <c r="ABD40" s="32"/>
      <c r="ABE40" s="32"/>
      <c r="ABF40" s="32"/>
      <c r="ABG40" s="32"/>
      <c r="ABH40" s="32"/>
      <c r="ABI40" s="32"/>
      <c r="ABJ40" s="32"/>
      <c r="ABK40" s="32"/>
      <c r="ABL40" s="32"/>
      <c r="ABM40" s="32"/>
      <c r="ABN40" s="32"/>
      <c r="ABO40" s="32"/>
      <c r="ABP40" s="32"/>
      <c r="ABQ40" s="32"/>
      <c r="ABR40" s="32"/>
      <c r="ABS40" s="32"/>
      <c r="ABT40" s="32"/>
      <c r="ABU40" s="32"/>
      <c r="ABV40" s="32"/>
      <c r="ABW40" s="32"/>
      <c r="ABX40" s="32"/>
      <c r="ABY40" s="32"/>
      <c r="ABZ40" s="32"/>
      <c r="ACA40" s="32"/>
      <c r="ACB40" s="32"/>
      <c r="ACC40" s="32"/>
      <c r="ACD40" s="32"/>
      <c r="ACE40" s="32"/>
      <c r="ACF40" s="32"/>
      <c r="ACG40" s="32"/>
      <c r="ACH40" s="32"/>
      <c r="ACI40" s="32"/>
      <c r="ACJ40" s="32"/>
      <c r="ACK40" s="32"/>
      <c r="ACL40" s="32"/>
      <c r="ACM40" s="32"/>
      <c r="ACN40" s="32"/>
      <c r="ACO40" s="32"/>
      <c r="ACP40" s="32"/>
      <c r="ACQ40" s="32"/>
      <c r="ACR40" s="32"/>
      <c r="ACS40" s="32"/>
      <c r="ACT40" s="32"/>
      <c r="ACU40" s="32"/>
      <c r="ACV40" s="32"/>
      <c r="ACW40" s="32"/>
      <c r="ACX40" s="32"/>
      <c r="ACY40" s="32"/>
      <c r="ACZ40" s="32"/>
      <c r="ADA40" s="32"/>
      <c r="ADB40" s="32"/>
      <c r="ADC40" s="32"/>
      <c r="ADD40" s="32"/>
      <c r="ADE40" s="32"/>
      <c r="ADF40" s="32"/>
      <c r="ADG40" s="32"/>
      <c r="ADH40" s="32"/>
      <c r="ADI40" s="32"/>
      <c r="ADJ40" s="32"/>
      <c r="ADK40" s="32"/>
      <c r="ADL40" s="32"/>
      <c r="ADM40" s="32"/>
      <c r="ADN40" s="32"/>
      <c r="ADO40" s="32"/>
      <c r="ADP40" s="32"/>
      <c r="ADQ40" s="32"/>
      <c r="ADR40" s="32"/>
      <c r="ADS40" s="32"/>
      <c r="ADT40" s="32"/>
      <c r="ADU40" s="32"/>
      <c r="ADV40" s="32"/>
      <c r="ADW40" s="32"/>
      <c r="ADX40" s="32"/>
      <c r="ADY40" s="32"/>
      <c r="ADZ40" s="32"/>
      <c r="AEA40" s="32"/>
      <c r="AEB40" s="32"/>
      <c r="AEC40" s="32"/>
      <c r="AED40" s="32"/>
      <c r="AEE40" s="32"/>
      <c r="AEF40" s="32"/>
      <c r="AEG40" s="32"/>
      <c r="AEH40" s="32"/>
      <c r="AEI40" s="32"/>
      <c r="AEJ40" s="32"/>
      <c r="AEK40" s="32"/>
      <c r="AEL40" s="32"/>
      <c r="AEM40" s="32"/>
      <c r="AEN40" s="32"/>
      <c r="AEO40" s="32"/>
      <c r="AEP40" s="32"/>
      <c r="AEQ40" s="32"/>
      <c r="AER40" s="32"/>
      <c r="AES40" s="32"/>
      <c r="AET40" s="32"/>
      <c r="AEU40" s="32"/>
      <c r="AEV40" s="32"/>
      <c r="AEW40" s="32"/>
      <c r="AEX40" s="32"/>
      <c r="AEY40" s="32"/>
      <c r="AEZ40" s="32"/>
      <c r="AFA40" s="32"/>
      <c r="AFB40" s="32"/>
      <c r="AFC40" s="32"/>
      <c r="AFD40" s="32"/>
      <c r="AFE40" s="32"/>
      <c r="AFF40" s="32"/>
      <c r="AFG40" s="32"/>
      <c r="AFH40" s="32"/>
      <c r="AFI40" s="32"/>
      <c r="AFJ40" s="32"/>
      <c r="AFK40" s="32"/>
      <c r="AFL40" s="32"/>
      <c r="AFM40" s="32"/>
      <c r="AFN40" s="32"/>
      <c r="AFO40" s="32"/>
      <c r="AFP40" s="32"/>
      <c r="AFQ40" s="32"/>
      <c r="AFR40" s="32"/>
      <c r="AFS40" s="32"/>
      <c r="AFT40" s="32"/>
      <c r="AFU40" s="32"/>
      <c r="AFV40" s="32"/>
      <c r="AFW40" s="32"/>
      <c r="AFX40" s="32"/>
      <c r="AFY40" s="32"/>
      <c r="AFZ40" s="32"/>
      <c r="AGA40" s="32"/>
      <c r="AGB40" s="32"/>
      <c r="AGC40" s="32"/>
      <c r="AGD40" s="32"/>
      <c r="AGE40" s="32"/>
      <c r="AGF40" s="32"/>
      <c r="AGG40" s="32"/>
      <c r="AGH40" s="32"/>
      <c r="AGI40" s="32"/>
      <c r="AGJ40" s="32"/>
      <c r="AGK40" s="32"/>
      <c r="AGL40" s="32"/>
      <c r="AGM40" s="32"/>
      <c r="AGN40" s="32"/>
      <c r="AGO40" s="32"/>
      <c r="AGP40" s="32"/>
      <c r="AGQ40" s="32"/>
      <c r="AGR40" s="32"/>
      <c r="AGS40" s="32"/>
      <c r="AGT40" s="32"/>
      <c r="AGU40" s="32"/>
      <c r="AGV40" s="32"/>
      <c r="AGW40" s="32"/>
      <c r="AGX40" s="32"/>
      <c r="AGY40" s="32"/>
      <c r="AGZ40" s="32"/>
      <c r="AHA40" s="32"/>
      <c r="AHB40" s="32"/>
      <c r="AHC40" s="32"/>
      <c r="AHD40" s="32"/>
      <c r="AHE40" s="32"/>
      <c r="AHF40" s="32"/>
      <c r="AHG40" s="32"/>
      <c r="AHH40" s="32"/>
      <c r="AHI40" s="32"/>
      <c r="AHJ40" s="32"/>
      <c r="AHK40" s="32"/>
      <c r="AHL40" s="32"/>
      <c r="AHM40" s="32"/>
      <c r="AHN40" s="32"/>
      <c r="AHO40" s="32"/>
      <c r="AHP40" s="32"/>
      <c r="AHQ40" s="32"/>
      <c r="AHR40" s="32"/>
      <c r="AHS40" s="32"/>
      <c r="AHT40" s="32"/>
      <c r="AHU40" s="32"/>
      <c r="AHV40" s="32"/>
      <c r="AHW40" s="32"/>
      <c r="AHX40" s="32"/>
      <c r="AHY40" s="32"/>
      <c r="AHZ40" s="32"/>
      <c r="AIA40" s="32"/>
      <c r="AIB40" s="32"/>
      <c r="AIC40" s="32"/>
      <c r="AID40" s="32"/>
      <c r="AIE40" s="32"/>
      <c r="AIF40" s="32"/>
      <c r="AIG40" s="32"/>
      <c r="AIH40" s="32"/>
      <c r="AII40" s="32"/>
      <c r="AIJ40" s="32"/>
      <c r="AIK40" s="32"/>
      <c r="AIL40" s="32"/>
      <c r="AIM40" s="32"/>
      <c r="AIN40" s="32"/>
      <c r="AIO40" s="32"/>
      <c r="AIP40" s="32"/>
      <c r="AIQ40" s="32"/>
      <c r="AIR40" s="32"/>
      <c r="AIS40" s="32"/>
      <c r="AIT40" s="32"/>
      <c r="AIU40" s="32"/>
      <c r="AIV40" s="32"/>
      <c r="AIW40" s="32"/>
      <c r="AIX40" s="32"/>
      <c r="AIY40" s="32"/>
      <c r="AIZ40" s="32"/>
      <c r="AJA40" s="32"/>
      <c r="AJB40" s="32"/>
      <c r="AJC40" s="32"/>
      <c r="AJD40" s="32"/>
      <c r="AJE40" s="32"/>
      <c r="AJF40" s="32"/>
      <c r="AJG40" s="32"/>
      <c r="AJH40" s="32"/>
      <c r="AJI40" s="32"/>
      <c r="AJJ40" s="32"/>
      <c r="AJK40" s="32"/>
      <c r="AJL40" s="32"/>
      <c r="AJM40" s="32"/>
      <c r="AJN40" s="32"/>
      <c r="AJO40" s="32"/>
      <c r="AJP40" s="32"/>
      <c r="AJQ40" s="32"/>
      <c r="AJR40" s="32"/>
      <c r="AJS40" s="32"/>
      <c r="AJT40" s="32"/>
      <c r="AJU40" s="32"/>
      <c r="AJV40" s="32"/>
      <c r="AJW40" s="32"/>
      <c r="AJX40" s="32"/>
      <c r="AJY40" s="32"/>
      <c r="AJZ40" s="32"/>
      <c r="AKA40" s="32"/>
      <c r="AKB40" s="32"/>
      <c r="AKC40" s="32"/>
      <c r="AKD40" s="32"/>
      <c r="AKE40" s="32"/>
      <c r="AKF40" s="32"/>
      <c r="AKG40" s="32"/>
      <c r="AKH40" s="32"/>
      <c r="AKI40" s="32"/>
      <c r="AKJ40" s="32"/>
      <c r="AKK40" s="32"/>
      <c r="AKL40" s="32"/>
      <c r="AKM40" s="32"/>
      <c r="AKN40" s="32"/>
      <c r="AKO40" s="32"/>
      <c r="AKP40" s="32"/>
      <c r="AKQ40" s="32"/>
      <c r="AKR40" s="32"/>
      <c r="AKS40" s="32"/>
      <c r="AKT40" s="32"/>
      <c r="AKU40" s="32"/>
      <c r="AKV40" s="32"/>
      <c r="AKW40" s="32"/>
      <c r="AKX40" s="32"/>
      <c r="AKY40" s="32"/>
      <c r="AKZ40" s="32"/>
      <c r="ALA40" s="32"/>
      <c r="ALB40" s="32"/>
      <c r="ALC40" s="32"/>
      <c r="ALD40" s="32"/>
      <c r="ALE40" s="32"/>
      <c r="ALF40" s="32"/>
      <c r="ALG40" s="32"/>
      <c r="ALH40" s="32"/>
      <c r="ALI40" s="32"/>
      <c r="ALJ40" s="32"/>
      <c r="ALK40" s="32"/>
      <c r="ALL40" s="32"/>
      <c r="ALM40" s="32"/>
      <c r="ALN40" s="32"/>
      <c r="ALO40" s="32"/>
      <c r="ALP40" s="32"/>
      <c r="ALQ40" s="32"/>
      <c r="ALR40" s="32"/>
      <c r="ALS40" s="32"/>
      <c r="ALT40" s="32"/>
      <c r="ALU40" s="32"/>
      <c r="ALV40" s="32"/>
      <c r="ALW40" s="32"/>
      <c r="ALX40" s="32"/>
      <c r="ALY40" s="32"/>
      <c r="ALZ40" s="32"/>
      <c r="AMA40" s="32"/>
      <c r="AMB40" s="32"/>
      <c r="AMC40" s="32"/>
      <c r="AMD40" s="32"/>
      <c r="AME40" s="32"/>
      <c r="AMF40" s="32"/>
      <c r="AMG40" s="32"/>
      <c r="AMH40" s="32"/>
      <c r="AMI40" s="32"/>
      <c r="AMJ40" s="32"/>
      <c r="AMK40" s="32"/>
      <c r="AML40" s="32"/>
      <c r="AMM40" s="32"/>
      <c r="AMN40" s="32"/>
      <c r="AMO40" s="32"/>
      <c r="AMP40" s="32"/>
      <c r="AMQ40" s="32"/>
      <c r="AMR40" s="32"/>
      <c r="AMS40" s="32"/>
      <c r="AMT40" s="32"/>
      <c r="AMU40" s="32"/>
      <c r="AMV40" s="32"/>
      <c r="AMW40" s="32"/>
      <c r="AMX40" s="32"/>
      <c r="AMY40" s="32"/>
      <c r="AMZ40" s="32"/>
      <c r="ANA40" s="32"/>
      <c r="ANB40" s="32"/>
      <c r="ANC40" s="32"/>
      <c r="AND40" s="32"/>
      <c r="ANE40" s="32"/>
      <c r="ANF40" s="32"/>
      <c r="ANG40" s="32"/>
      <c r="ANH40" s="32"/>
      <c r="ANI40" s="32"/>
      <c r="ANJ40" s="32"/>
      <c r="ANK40" s="32"/>
      <c r="ANL40" s="32"/>
      <c r="ANM40" s="32"/>
      <c r="ANN40" s="32"/>
      <c r="ANO40" s="32"/>
      <c r="ANP40" s="32"/>
      <c r="ANQ40" s="32"/>
      <c r="ANR40" s="32"/>
      <c r="ANS40" s="32"/>
      <c r="ANT40" s="32"/>
      <c r="ANU40" s="32"/>
      <c r="ANV40" s="32"/>
      <c r="ANW40" s="32"/>
      <c r="ANX40" s="32"/>
      <c r="ANY40" s="32"/>
      <c r="ANZ40" s="32"/>
      <c r="AOA40" s="32"/>
      <c r="AOB40" s="32"/>
      <c r="AOC40" s="32"/>
      <c r="AOD40" s="32"/>
      <c r="AOE40" s="32"/>
      <c r="AOF40" s="32"/>
      <c r="AOG40" s="32"/>
      <c r="AOH40" s="32"/>
      <c r="AOI40" s="32"/>
      <c r="AOJ40" s="32"/>
      <c r="AOK40" s="32"/>
      <c r="AOL40" s="32"/>
      <c r="AOM40" s="32"/>
      <c r="AON40" s="32"/>
      <c r="AOO40" s="32"/>
      <c r="AOP40" s="32"/>
      <c r="AOQ40" s="32"/>
      <c r="AOR40" s="32"/>
      <c r="AOS40" s="32"/>
      <c r="AOT40" s="32"/>
      <c r="AOU40" s="32"/>
      <c r="AOV40" s="32"/>
      <c r="AOW40" s="32"/>
      <c r="AOX40" s="32"/>
      <c r="AOY40" s="32"/>
      <c r="AOZ40" s="32"/>
      <c r="APA40" s="32"/>
      <c r="APB40" s="32"/>
      <c r="APC40" s="32"/>
      <c r="APD40" s="32"/>
      <c r="APE40" s="32"/>
      <c r="APF40" s="32"/>
      <c r="APG40" s="32"/>
      <c r="APH40" s="32"/>
      <c r="API40" s="32"/>
      <c r="APJ40" s="32"/>
      <c r="APK40" s="32"/>
      <c r="APL40" s="32"/>
      <c r="APM40" s="32"/>
      <c r="APN40" s="32"/>
      <c r="APO40" s="32"/>
      <c r="APP40" s="32"/>
      <c r="APQ40" s="32"/>
      <c r="APR40" s="32"/>
      <c r="APS40" s="32"/>
      <c r="APT40" s="32"/>
      <c r="APU40" s="32"/>
      <c r="APV40" s="32"/>
      <c r="APW40" s="32"/>
      <c r="APX40" s="32"/>
      <c r="APY40" s="32"/>
      <c r="APZ40" s="32"/>
      <c r="AQA40" s="32"/>
      <c r="AQB40" s="32"/>
      <c r="AQC40" s="32"/>
      <c r="AQD40" s="32"/>
      <c r="AQE40" s="32"/>
      <c r="AQF40" s="32"/>
      <c r="AQG40" s="32"/>
      <c r="AQH40" s="32"/>
      <c r="AQI40" s="32"/>
      <c r="AQJ40" s="32"/>
      <c r="AQK40" s="32"/>
      <c r="AQL40" s="32"/>
      <c r="AQM40" s="32"/>
      <c r="AQN40" s="32"/>
      <c r="AQO40" s="32"/>
      <c r="AQP40" s="32"/>
      <c r="AQQ40" s="32"/>
      <c r="AQR40" s="32"/>
      <c r="AQS40" s="32"/>
      <c r="AQT40" s="32"/>
      <c r="AQU40" s="32"/>
      <c r="AQV40" s="32"/>
      <c r="AQW40" s="32"/>
      <c r="AQX40" s="32"/>
      <c r="AQY40" s="32"/>
      <c r="AQZ40" s="32"/>
      <c r="ARA40" s="32"/>
      <c r="ARB40" s="32"/>
      <c r="ARC40" s="32"/>
      <c r="ARD40" s="32"/>
      <c r="ARE40" s="32"/>
      <c r="ARF40" s="32"/>
      <c r="ARG40" s="32"/>
      <c r="ARH40" s="32"/>
      <c r="ARI40" s="32"/>
      <c r="ARJ40" s="32"/>
      <c r="ARK40" s="32"/>
      <c r="ARL40" s="32"/>
      <c r="ARM40" s="32"/>
      <c r="ARN40" s="32"/>
      <c r="ARO40" s="32"/>
      <c r="ARP40" s="32"/>
      <c r="ARQ40" s="32"/>
      <c r="ARR40" s="32"/>
      <c r="ARS40" s="32"/>
      <c r="ART40" s="32"/>
      <c r="ARU40" s="32"/>
      <c r="ARV40" s="32"/>
      <c r="ARW40" s="32"/>
      <c r="ARX40" s="32"/>
      <c r="ARY40" s="32"/>
      <c r="ARZ40" s="32"/>
      <c r="ASA40" s="32"/>
      <c r="ASB40" s="32"/>
      <c r="ASC40" s="32"/>
      <c r="ASD40" s="32"/>
      <c r="ASE40" s="32"/>
      <c r="ASF40" s="32"/>
      <c r="ASG40" s="32"/>
      <c r="ASH40" s="32"/>
      <c r="ASI40" s="32"/>
      <c r="ASJ40" s="32"/>
      <c r="ASK40" s="32"/>
      <c r="ASL40" s="32"/>
      <c r="ASM40" s="32"/>
      <c r="ASN40" s="32"/>
      <c r="ASO40" s="32"/>
      <c r="ASP40" s="32"/>
      <c r="ASQ40" s="32"/>
      <c r="ASR40" s="32"/>
      <c r="ASS40" s="32"/>
      <c r="AST40" s="32"/>
      <c r="ASU40" s="32"/>
      <c r="ASV40" s="32"/>
      <c r="ASW40" s="32"/>
      <c r="ASX40" s="32"/>
      <c r="ASY40" s="32"/>
      <c r="ASZ40" s="32"/>
      <c r="ATA40" s="32"/>
      <c r="ATB40" s="32"/>
      <c r="ATC40" s="32"/>
      <c r="ATD40" s="32"/>
      <c r="ATE40" s="32"/>
      <c r="ATF40" s="32"/>
      <c r="ATG40" s="32"/>
      <c r="ATH40" s="32"/>
      <c r="ATI40" s="32"/>
      <c r="ATJ40" s="32"/>
      <c r="ATK40" s="32"/>
      <c r="ATL40" s="32"/>
      <c r="ATM40" s="32"/>
      <c r="ATN40" s="32"/>
      <c r="ATO40" s="32"/>
      <c r="ATP40" s="32"/>
      <c r="ATQ40" s="32"/>
      <c r="ATR40" s="32"/>
      <c r="ATS40" s="32"/>
      <c r="ATT40" s="32"/>
      <c r="ATU40" s="32"/>
      <c r="ATV40" s="32"/>
      <c r="ATW40" s="32"/>
      <c r="ATX40" s="32"/>
      <c r="ATY40" s="32"/>
      <c r="ATZ40" s="32"/>
      <c r="AUA40" s="32"/>
      <c r="AUB40" s="32"/>
      <c r="AUC40" s="32"/>
      <c r="AUD40" s="32"/>
      <c r="AUE40" s="32"/>
      <c r="AUF40" s="32"/>
      <c r="AUG40" s="32"/>
      <c r="AUH40" s="32"/>
      <c r="AUI40" s="32"/>
      <c r="AUJ40" s="32"/>
      <c r="AUK40" s="32"/>
      <c r="AUL40" s="32"/>
      <c r="AUM40" s="32"/>
      <c r="AUN40" s="32"/>
      <c r="AUO40" s="32"/>
      <c r="AUP40" s="32"/>
      <c r="AUQ40" s="32"/>
      <c r="AUR40" s="32"/>
      <c r="AUS40" s="32"/>
      <c r="AUT40" s="32"/>
      <c r="AUU40" s="32"/>
      <c r="AUV40" s="32"/>
      <c r="AUW40" s="32"/>
      <c r="AUX40" s="32"/>
      <c r="AUY40" s="32"/>
      <c r="AUZ40" s="32"/>
      <c r="AVA40" s="32"/>
      <c r="AVB40" s="32"/>
      <c r="AVC40" s="32"/>
      <c r="AVD40" s="32"/>
      <c r="AVE40" s="32"/>
      <c r="AVF40" s="32"/>
      <c r="AVG40" s="32"/>
      <c r="AVH40" s="32"/>
      <c r="AVI40" s="32"/>
      <c r="AVJ40" s="32"/>
      <c r="AVK40" s="32"/>
      <c r="AVL40" s="32"/>
      <c r="AVM40" s="32"/>
      <c r="AVN40" s="32"/>
      <c r="AVO40" s="32"/>
      <c r="AVP40" s="32"/>
      <c r="AVQ40" s="32"/>
      <c r="AVR40" s="32"/>
      <c r="AVS40" s="32"/>
      <c r="AVT40" s="32"/>
      <c r="AVU40" s="32"/>
      <c r="AVV40" s="32"/>
      <c r="AVW40" s="32"/>
      <c r="AVX40" s="32"/>
      <c r="AVY40" s="32"/>
      <c r="AVZ40" s="32"/>
      <c r="AWA40" s="32"/>
      <c r="AWB40" s="32"/>
      <c r="AWC40" s="32"/>
      <c r="AWD40" s="32"/>
      <c r="AWE40" s="32"/>
      <c r="AWF40" s="32"/>
      <c r="AWG40" s="32"/>
      <c r="AWH40" s="32"/>
      <c r="AWI40" s="32"/>
      <c r="AWJ40" s="32"/>
      <c r="AWK40" s="32"/>
      <c r="AWL40" s="32"/>
      <c r="AWM40" s="32"/>
      <c r="AWN40" s="32"/>
      <c r="AWO40" s="32"/>
      <c r="AWP40" s="32"/>
      <c r="AWQ40" s="32"/>
      <c r="AWR40" s="32"/>
      <c r="AWS40" s="32"/>
      <c r="AWT40" s="32"/>
      <c r="AWU40" s="32"/>
      <c r="AWV40" s="32"/>
      <c r="AWW40" s="32"/>
      <c r="AWX40" s="32"/>
      <c r="AWY40" s="32"/>
      <c r="AWZ40" s="32"/>
      <c r="AXA40" s="32"/>
      <c r="AXB40" s="32"/>
      <c r="AXC40" s="32"/>
      <c r="AXD40" s="32"/>
      <c r="AXE40" s="32"/>
      <c r="AXF40" s="32"/>
      <c r="AXG40" s="32"/>
      <c r="AXH40" s="32"/>
      <c r="AXI40" s="32"/>
      <c r="AXJ40" s="32"/>
      <c r="AXK40" s="32"/>
      <c r="AXL40" s="32"/>
      <c r="AXM40" s="32"/>
      <c r="AXN40" s="32"/>
      <c r="AXO40" s="32"/>
      <c r="AXP40" s="32"/>
      <c r="AXQ40" s="32"/>
      <c r="AXR40" s="32"/>
      <c r="AXS40" s="32"/>
      <c r="AXT40" s="32"/>
      <c r="AXU40" s="32"/>
      <c r="AXV40" s="32"/>
      <c r="AXW40" s="32"/>
      <c r="AXX40" s="32"/>
      <c r="AXY40" s="32"/>
      <c r="AXZ40" s="32"/>
      <c r="AYA40" s="32"/>
      <c r="AYB40" s="32"/>
      <c r="AYC40" s="32"/>
      <c r="AYD40" s="32"/>
      <c r="AYE40" s="32"/>
      <c r="AYF40" s="32"/>
      <c r="AYG40" s="32"/>
      <c r="AYH40" s="32"/>
      <c r="AYI40" s="32"/>
      <c r="AYJ40" s="32"/>
      <c r="AYK40" s="32"/>
      <c r="AYL40" s="32"/>
      <c r="AYM40" s="32"/>
      <c r="AYN40" s="32"/>
      <c r="AYO40" s="32"/>
      <c r="AYP40" s="32"/>
      <c r="AYQ40" s="32"/>
      <c r="AYR40" s="32"/>
      <c r="AYS40" s="32"/>
      <c r="AYT40" s="32"/>
      <c r="AYU40" s="32"/>
      <c r="AYV40" s="32"/>
      <c r="AYW40" s="32"/>
      <c r="AYX40" s="32"/>
      <c r="AYY40" s="32"/>
      <c r="AYZ40" s="32"/>
      <c r="AZA40" s="32"/>
      <c r="AZB40" s="32"/>
      <c r="AZC40" s="32"/>
      <c r="AZD40" s="32"/>
      <c r="AZE40" s="32"/>
      <c r="AZF40" s="32"/>
      <c r="AZG40" s="32"/>
      <c r="AZH40" s="32"/>
      <c r="AZI40" s="32"/>
      <c r="AZJ40" s="32"/>
      <c r="AZK40" s="32"/>
      <c r="AZL40" s="32"/>
      <c r="AZM40" s="32"/>
      <c r="AZN40" s="32"/>
      <c r="AZO40" s="32"/>
      <c r="AZP40" s="32"/>
      <c r="AZQ40" s="32"/>
      <c r="AZR40" s="32"/>
      <c r="AZS40" s="32"/>
      <c r="AZT40" s="32"/>
      <c r="AZU40" s="32"/>
      <c r="AZV40" s="32"/>
      <c r="AZW40" s="32"/>
      <c r="AZX40" s="32"/>
      <c r="AZY40" s="32"/>
      <c r="AZZ40" s="32"/>
      <c r="BAA40" s="32"/>
      <c r="BAB40" s="32"/>
      <c r="BAC40" s="32"/>
      <c r="BAD40" s="32"/>
      <c r="BAE40" s="32"/>
      <c r="BAF40" s="32"/>
      <c r="BAG40" s="32"/>
      <c r="BAH40" s="32"/>
      <c r="BAI40" s="32"/>
      <c r="BAJ40" s="32"/>
      <c r="BAK40" s="32"/>
      <c r="BAL40" s="32"/>
      <c r="BAM40" s="32"/>
      <c r="BAN40" s="32"/>
      <c r="BAO40" s="32"/>
      <c r="BAP40" s="32"/>
      <c r="BAQ40" s="32"/>
      <c r="BAR40" s="32"/>
      <c r="BAS40" s="32"/>
      <c r="BAT40" s="32"/>
      <c r="BAU40" s="32"/>
      <c r="BAV40" s="32"/>
      <c r="BAW40" s="32"/>
      <c r="BAX40" s="32"/>
      <c r="BAY40" s="32"/>
      <c r="BAZ40" s="32"/>
      <c r="BBA40" s="32"/>
      <c r="BBB40" s="32"/>
      <c r="BBC40" s="32"/>
      <c r="BBD40" s="32"/>
      <c r="BBE40" s="32"/>
      <c r="BBF40" s="32"/>
      <c r="BBG40" s="32"/>
      <c r="BBH40" s="32"/>
      <c r="BBI40" s="32"/>
      <c r="BBJ40" s="32"/>
      <c r="BBK40" s="32"/>
      <c r="BBL40" s="32"/>
      <c r="BBM40" s="32"/>
      <c r="BBN40" s="32"/>
      <c r="BBO40" s="32"/>
      <c r="BBP40" s="32"/>
      <c r="BBQ40" s="32"/>
      <c r="BBR40" s="32"/>
      <c r="BBS40" s="32"/>
      <c r="BBT40" s="32"/>
      <c r="BBU40" s="32"/>
      <c r="BBV40" s="32"/>
      <c r="BBW40" s="32"/>
      <c r="BBX40" s="32"/>
      <c r="BBY40" s="32"/>
      <c r="BBZ40" s="32"/>
      <c r="BCA40" s="32"/>
      <c r="BCB40" s="32"/>
      <c r="BCC40" s="32"/>
      <c r="BCD40" s="32"/>
      <c r="BCE40" s="32"/>
      <c r="BCF40" s="32"/>
      <c r="BCG40" s="32"/>
      <c r="BCH40" s="32"/>
      <c r="BCI40" s="32"/>
      <c r="BCJ40" s="32"/>
      <c r="BCK40" s="32"/>
      <c r="BCL40" s="32"/>
      <c r="BCM40" s="32"/>
      <c r="BCN40" s="32"/>
      <c r="BCO40" s="32"/>
      <c r="BCP40" s="32"/>
      <c r="BCQ40" s="32"/>
      <c r="BCR40" s="32"/>
      <c r="BCS40" s="32"/>
      <c r="BCT40" s="32"/>
      <c r="BCU40" s="32"/>
      <c r="BCV40" s="32"/>
      <c r="BCW40" s="32"/>
      <c r="BCX40" s="32"/>
      <c r="BCY40" s="32"/>
      <c r="BCZ40" s="32"/>
      <c r="BDA40" s="32"/>
      <c r="BDB40" s="32"/>
      <c r="BDC40" s="32"/>
      <c r="BDD40" s="32"/>
      <c r="BDE40" s="32"/>
      <c r="BDF40" s="32"/>
      <c r="BDG40" s="32"/>
      <c r="BDH40" s="32"/>
      <c r="BDI40" s="32"/>
      <c r="BDJ40" s="32"/>
      <c r="BDK40" s="32"/>
      <c r="BDL40" s="32"/>
      <c r="BDM40" s="32"/>
      <c r="BDN40" s="32"/>
      <c r="BDO40" s="32"/>
      <c r="BDP40" s="32"/>
      <c r="BDQ40" s="32"/>
      <c r="BDR40" s="32"/>
      <c r="BDS40" s="32"/>
      <c r="BDT40" s="32"/>
      <c r="BDU40" s="32"/>
      <c r="BDV40" s="32"/>
      <c r="BDW40" s="32"/>
      <c r="BDX40" s="32"/>
      <c r="BDY40" s="32"/>
      <c r="BDZ40" s="32"/>
      <c r="BEA40" s="32"/>
      <c r="BEB40" s="32"/>
      <c r="BEC40" s="32"/>
      <c r="BED40" s="32"/>
      <c r="BEE40" s="32"/>
      <c r="BEF40" s="32"/>
      <c r="BEG40" s="32"/>
      <c r="BEH40" s="32"/>
      <c r="BEI40" s="32"/>
      <c r="BEJ40" s="32"/>
      <c r="BEK40" s="32"/>
      <c r="BEL40" s="32"/>
      <c r="BEM40" s="32"/>
      <c r="BEN40" s="32"/>
      <c r="BEO40" s="32"/>
      <c r="BEP40" s="32"/>
      <c r="BEQ40" s="32"/>
      <c r="BER40" s="32"/>
      <c r="BES40" s="32"/>
      <c r="BET40" s="32"/>
      <c r="BEU40" s="32"/>
      <c r="BEV40" s="32"/>
      <c r="BEW40" s="32"/>
      <c r="BEX40" s="32"/>
      <c r="BEY40" s="32"/>
      <c r="BEZ40" s="32"/>
      <c r="BFA40" s="32"/>
      <c r="BFB40" s="32"/>
      <c r="BFC40" s="32"/>
      <c r="BFD40" s="32"/>
      <c r="BFE40" s="32"/>
      <c r="BFF40" s="32"/>
      <c r="BFG40" s="32"/>
      <c r="BFH40" s="32"/>
      <c r="BFI40" s="32"/>
      <c r="BFJ40" s="32"/>
      <c r="BFK40" s="32"/>
      <c r="BFL40" s="32"/>
      <c r="BFM40" s="32"/>
      <c r="BFN40" s="32"/>
      <c r="BFO40" s="32"/>
      <c r="BFP40" s="32"/>
      <c r="BFQ40" s="32"/>
      <c r="BFR40" s="32"/>
      <c r="BFS40" s="32"/>
      <c r="BFT40" s="32"/>
      <c r="BFU40" s="32"/>
      <c r="BFV40" s="32"/>
      <c r="BFW40" s="32"/>
      <c r="BFX40" s="32"/>
      <c r="BFY40" s="32"/>
      <c r="BFZ40" s="32"/>
      <c r="BGA40" s="32"/>
      <c r="BGB40" s="32"/>
      <c r="BGC40" s="32"/>
      <c r="BGD40" s="32"/>
      <c r="BGE40" s="32"/>
      <c r="BGF40" s="32"/>
      <c r="BGG40" s="32"/>
      <c r="BGH40" s="32"/>
      <c r="BGI40" s="32"/>
      <c r="BGJ40" s="32"/>
      <c r="BGK40" s="32"/>
      <c r="BGL40" s="32"/>
      <c r="BGM40" s="32"/>
      <c r="BGN40" s="32"/>
      <c r="BGO40" s="32"/>
      <c r="BGP40" s="32"/>
      <c r="BGQ40" s="32"/>
      <c r="BGR40" s="32"/>
      <c r="BGS40" s="32"/>
      <c r="BGT40" s="32"/>
      <c r="BGU40" s="32"/>
      <c r="BGV40" s="32"/>
      <c r="BGW40" s="32"/>
      <c r="BGX40" s="32"/>
      <c r="BGY40" s="32"/>
      <c r="BGZ40" s="32"/>
      <c r="BHA40" s="32"/>
      <c r="BHB40" s="32"/>
      <c r="BHC40" s="32"/>
      <c r="BHD40" s="32"/>
      <c r="BHE40" s="32"/>
      <c r="BHF40" s="32"/>
      <c r="BHG40" s="32"/>
      <c r="BHH40" s="32"/>
      <c r="BHI40" s="32"/>
      <c r="BHJ40" s="32"/>
      <c r="BHK40" s="32"/>
      <c r="BHL40" s="32"/>
      <c r="BHM40" s="32"/>
      <c r="BHN40" s="32"/>
      <c r="BHO40" s="32"/>
      <c r="BHP40" s="32"/>
      <c r="BHQ40" s="32"/>
      <c r="BHR40" s="32"/>
      <c r="BHS40" s="32"/>
      <c r="BHT40" s="32"/>
      <c r="BHU40" s="32"/>
      <c r="BHV40" s="32"/>
      <c r="BHW40" s="32"/>
      <c r="BHX40" s="32"/>
      <c r="BHY40" s="32"/>
      <c r="BHZ40" s="32"/>
      <c r="BIA40" s="32"/>
      <c r="BIB40" s="32"/>
      <c r="BIC40" s="32"/>
      <c r="BID40" s="32"/>
      <c r="BIE40" s="32"/>
      <c r="BIF40" s="32"/>
      <c r="BIG40" s="32"/>
      <c r="BIH40" s="32"/>
      <c r="BII40" s="32"/>
      <c r="BIJ40" s="32"/>
      <c r="BIK40" s="32"/>
      <c r="BIL40" s="32"/>
      <c r="BIM40" s="32"/>
      <c r="BIN40" s="32"/>
      <c r="BIO40" s="32"/>
      <c r="BIP40" s="32"/>
      <c r="BIQ40" s="32"/>
      <c r="BIR40" s="32"/>
      <c r="BIS40" s="32"/>
      <c r="BIT40" s="32"/>
      <c r="BIU40" s="32"/>
      <c r="BIV40" s="32"/>
      <c r="BIW40" s="32"/>
      <c r="BIX40" s="32"/>
      <c r="BIY40" s="32"/>
      <c r="BIZ40" s="32"/>
      <c r="BJA40" s="32"/>
      <c r="BJB40" s="32"/>
      <c r="BJC40" s="32"/>
      <c r="BJD40" s="32"/>
      <c r="BJE40" s="32"/>
      <c r="BJF40" s="32"/>
      <c r="BJG40" s="32"/>
      <c r="BJH40" s="32"/>
      <c r="BJI40" s="32"/>
      <c r="BJJ40" s="32"/>
      <c r="BJK40" s="32"/>
      <c r="BJL40" s="32"/>
      <c r="BJM40" s="32"/>
      <c r="BJN40" s="32"/>
      <c r="BJO40" s="32"/>
      <c r="BJP40" s="32"/>
      <c r="BJQ40" s="32"/>
      <c r="BJR40" s="32"/>
      <c r="BJS40" s="32"/>
      <c r="BJT40" s="32"/>
      <c r="BJU40" s="32"/>
      <c r="BJV40" s="32"/>
      <c r="BJW40" s="32"/>
      <c r="BJX40" s="32"/>
      <c r="BJY40" s="32"/>
      <c r="BJZ40" s="32"/>
      <c r="BKA40" s="32"/>
      <c r="BKB40" s="32"/>
      <c r="BKC40" s="32"/>
      <c r="BKD40" s="32"/>
      <c r="BKE40" s="32"/>
      <c r="BKF40" s="32"/>
      <c r="BKG40" s="32"/>
      <c r="BKH40" s="32"/>
      <c r="BKI40" s="32"/>
      <c r="BKJ40" s="32"/>
      <c r="BKK40" s="32"/>
      <c r="BKL40" s="32"/>
      <c r="BKM40" s="32"/>
      <c r="BKN40" s="32"/>
      <c r="BKO40" s="32"/>
      <c r="BKP40" s="32"/>
      <c r="BKQ40" s="32"/>
      <c r="BKR40" s="32"/>
      <c r="BKS40" s="32"/>
      <c r="BKT40" s="32"/>
      <c r="BKU40" s="32"/>
      <c r="BKV40" s="32"/>
      <c r="BKW40" s="32"/>
      <c r="BKX40" s="32"/>
      <c r="BKY40" s="32"/>
      <c r="BKZ40" s="32"/>
      <c r="BLA40" s="32"/>
      <c r="BLB40" s="32"/>
      <c r="BLC40" s="32"/>
      <c r="BLD40" s="32"/>
      <c r="BLE40" s="32"/>
      <c r="BLF40" s="32"/>
      <c r="BLG40" s="32"/>
      <c r="BLH40" s="32"/>
      <c r="BLI40" s="32"/>
      <c r="BLJ40" s="32"/>
      <c r="BLK40" s="32"/>
      <c r="BLL40" s="32"/>
      <c r="BLM40" s="32"/>
      <c r="BLN40" s="32"/>
      <c r="BLO40" s="32"/>
      <c r="BLP40" s="32"/>
      <c r="BLQ40" s="32"/>
      <c r="BLR40" s="32"/>
      <c r="BLS40" s="32"/>
      <c r="BLT40" s="32"/>
      <c r="BLU40" s="32"/>
      <c r="BLV40" s="32"/>
      <c r="BLW40" s="32"/>
      <c r="BLX40" s="32"/>
      <c r="BLY40" s="32"/>
      <c r="BLZ40" s="32"/>
      <c r="BMA40" s="32"/>
      <c r="BMB40" s="32"/>
      <c r="BMC40" s="32"/>
      <c r="BMD40" s="32"/>
      <c r="BME40" s="32"/>
      <c r="BMF40" s="32"/>
      <c r="BMG40" s="32"/>
      <c r="BMH40" s="32"/>
      <c r="BMI40" s="32"/>
      <c r="BMJ40" s="32"/>
      <c r="BMK40" s="32"/>
      <c r="BML40" s="32"/>
      <c r="BMM40" s="32"/>
      <c r="BMN40" s="32"/>
      <c r="BMO40" s="32"/>
      <c r="BMP40" s="32"/>
      <c r="BMQ40" s="32"/>
      <c r="BMR40" s="32"/>
      <c r="BMS40" s="32"/>
      <c r="BMT40" s="32"/>
      <c r="BMU40" s="32"/>
      <c r="BMV40" s="32"/>
      <c r="BMW40" s="32"/>
      <c r="BMX40" s="32"/>
      <c r="BMY40" s="32"/>
      <c r="BMZ40" s="32"/>
      <c r="BNA40" s="32"/>
      <c r="BNB40" s="32"/>
      <c r="BNC40" s="32"/>
      <c r="BND40" s="32"/>
      <c r="BNE40" s="32"/>
      <c r="BNF40" s="32"/>
      <c r="BNG40" s="32"/>
      <c r="BNH40" s="32"/>
      <c r="BNI40" s="32"/>
      <c r="BNJ40" s="32"/>
      <c r="BNK40" s="32"/>
      <c r="BNL40" s="32"/>
      <c r="BNM40" s="32"/>
      <c r="BNN40" s="32"/>
      <c r="BNO40" s="32"/>
      <c r="BNP40" s="32"/>
      <c r="BNQ40" s="32"/>
      <c r="BNR40" s="32"/>
      <c r="BNS40" s="32"/>
      <c r="BNT40" s="32"/>
      <c r="BNU40" s="32"/>
      <c r="BNV40" s="32"/>
      <c r="BNW40" s="32"/>
      <c r="BNX40" s="32"/>
      <c r="BNY40" s="32"/>
      <c r="BNZ40" s="32"/>
      <c r="BOA40" s="32"/>
      <c r="BOB40" s="32"/>
      <c r="BOC40" s="32"/>
      <c r="BOD40" s="32"/>
      <c r="BOE40" s="32"/>
      <c r="BOF40" s="32"/>
      <c r="BOG40" s="32"/>
      <c r="BOH40" s="32"/>
      <c r="BOI40" s="32"/>
      <c r="BOJ40" s="32"/>
      <c r="BOK40" s="32"/>
      <c r="BOL40" s="32"/>
      <c r="BOM40" s="32"/>
      <c r="BON40" s="32"/>
      <c r="BOO40" s="32"/>
      <c r="BOP40" s="32"/>
      <c r="BOQ40" s="32"/>
      <c r="BOR40" s="32"/>
      <c r="BOS40" s="32"/>
      <c r="BOT40" s="32"/>
      <c r="BOU40" s="32"/>
      <c r="BOV40" s="32"/>
      <c r="BOW40" s="32"/>
      <c r="BOX40" s="32"/>
      <c r="BOY40" s="32"/>
      <c r="BOZ40" s="32"/>
      <c r="BPA40" s="32"/>
      <c r="BPB40" s="32"/>
      <c r="BPC40" s="32"/>
      <c r="BPD40" s="32"/>
      <c r="BPE40" s="32"/>
      <c r="BPF40" s="32"/>
      <c r="BPG40" s="32"/>
      <c r="BPH40" s="32"/>
      <c r="BPI40" s="32"/>
      <c r="BPJ40" s="32"/>
      <c r="BPK40" s="32"/>
      <c r="BPL40" s="32"/>
      <c r="BPM40" s="32"/>
      <c r="BPN40" s="32"/>
      <c r="BPO40" s="32"/>
      <c r="BPP40" s="32"/>
      <c r="BPQ40" s="32"/>
      <c r="BPR40" s="32"/>
      <c r="BPS40" s="32"/>
      <c r="BPT40" s="32"/>
      <c r="BPU40" s="32"/>
      <c r="BPV40" s="32"/>
      <c r="BPW40" s="32"/>
      <c r="BPX40" s="32"/>
      <c r="BPY40" s="32"/>
      <c r="BPZ40" s="32"/>
      <c r="BQA40" s="32"/>
      <c r="BQB40" s="32"/>
      <c r="BQC40" s="32"/>
      <c r="BQD40" s="32"/>
      <c r="BQE40" s="32"/>
      <c r="BQF40" s="32"/>
      <c r="BQG40" s="32"/>
      <c r="BQH40" s="32"/>
      <c r="BQI40" s="32"/>
      <c r="BQJ40" s="32"/>
      <c r="BQK40" s="32"/>
      <c r="BQL40" s="32"/>
      <c r="BQM40" s="32"/>
      <c r="BQN40" s="32"/>
      <c r="BQO40" s="32"/>
      <c r="BQP40" s="32"/>
      <c r="BQQ40" s="32"/>
      <c r="BQR40" s="32"/>
      <c r="BQS40" s="32"/>
      <c r="BQT40" s="32"/>
      <c r="BQU40" s="32"/>
      <c r="BQV40" s="32"/>
      <c r="BQW40" s="32"/>
      <c r="BQX40" s="32"/>
      <c r="BQY40" s="32"/>
      <c r="BQZ40" s="32"/>
      <c r="BRA40" s="32"/>
      <c r="BRB40" s="32"/>
      <c r="BRC40" s="32"/>
      <c r="BRD40" s="32"/>
      <c r="BRE40" s="32"/>
      <c r="BRF40" s="32"/>
      <c r="BRG40" s="32"/>
      <c r="BRH40" s="32"/>
      <c r="BRI40" s="32"/>
      <c r="BRJ40" s="32"/>
      <c r="BRK40" s="32"/>
      <c r="BRL40" s="32"/>
      <c r="BRM40" s="32"/>
      <c r="BRN40" s="32"/>
      <c r="BRO40" s="32"/>
      <c r="BRP40" s="32"/>
      <c r="BRQ40" s="32"/>
      <c r="BRR40" s="32"/>
      <c r="BRS40" s="32"/>
      <c r="BRT40" s="32"/>
      <c r="BRU40" s="32"/>
      <c r="BRV40" s="32"/>
      <c r="BRW40" s="32"/>
      <c r="BRX40" s="32"/>
      <c r="BRY40" s="32"/>
      <c r="BRZ40" s="32"/>
      <c r="BSA40" s="32"/>
      <c r="BSB40" s="32"/>
      <c r="BSC40" s="32"/>
      <c r="BSD40" s="32"/>
      <c r="BSE40" s="32"/>
      <c r="BSF40" s="32"/>
      <c r="BSG40" s="32"/>
      <c r="BSH40" s="32"/>
      <c r="BSI40" s="32"/>
      <c r="BSJ40" s="32"/>
      <c r="BSK40" s="32"/>
      <c r="BSL40" s="32"/>
      <c r="BSM40" s="32"/>
      <c r="BSN40" s="32"/>
      <c r="BSO40" s="32"/>
      <c r="BSP40" s="32"/>
      <c r="BSQ40" s="32"/>
      <c r="BSR40" s="32"/>
      <c r="BSS40" s="32"/>
      <c r="BST40" s="32"/>
      <c r="BSU40" s="32"/>
      <c r="BSV40" s="32"/>
      <c r="BSW40" s="32"/>
      <c r="BSX40" s="32"/>
      <c r="BSY40" s="32"/>
      <c r="BSZ40" s="32"/>
      <c r="BTA40" s="32"/>
      <c r="BTB40" s="32"/>
      <c r="BTC40" s="32"/>
      <c r="BTD40" s="32"/>
      <c r="BTE40" s="32"/>
      <c r="BTF40" s="32"/>
      <c r="BTG40" s="32"/>
      <c r="BTH40" s="32"/>
      <c r="BTI40" s="32"/>
      <c r="BTJ40" s="32"/>
      <c r="BTK40" s="32"/>
      <c r="BTL40" s="32"/>
      <c r="BTM40" s="32"/>
      <c r="BTN40" s="32"/>
      <c r="BTO40" s="32"/>
      <c r="BTP40" s="32"/>
      <c r="BTQ40" s="32"/>
      <c r="BTR40" s="32"/>
      <c r="BTS40" s="32"/>
      <c r="BTT40" s="32"/>
      <c r="BTU40" s="32"/>
      <c r="BTV40" s="32"/>
      <c r="BTW40" s="32"/>
      <c r="BTX40" s="32"/>
      <c r="BTY40" s="32"/>
      <c r="BTZ40" s="32"/>
      <c r="BUA40" s="32"/>
      <c r="BUB40" s="32"/>
      <c r="BUC40" s="32"/>
      <c r="BUD40" s="32"/>
      <c r="BUE40" s="32"/>
      <c r="BUF40" s="32"/>
      <c r="BUG40" s="32"/>
      <c r="BUH40" s="32"/>
      <c r="BUI40" s="32"/>
      <c r="BUJ40" s="32"/>
      <c r="BUK40" s="32"/>
      <c r="BUL40" s="32"/>
      <c r="BUM40" s="32"/>
      <c r="BUN40" s="32"/>
      <c r="BUO40" s="32"/>
      <c r="BUP40" s="32"/>
      <c r="BUQ40" s="32"/>
      <c r="BUR40" s="32"/>
      <c r="BUS40" s="32"/>
      <c r="BUT40" s="32"/>
      <c r="BUU40" s="32"/>
      <c r="BUV40" s="32"/>
      <c r="BUW40" s="32"/>
      <c r="BUX40" s="32"/>
      <c r="BUY40" s="32"/>
      <c r="BUZ40" s="32"/>
      <c r="BVA40" s="32"/>
      <c r="BVB40" s="32"/>
      <c r="BVC40" s="32"/>
      <c r="BVD40" s="32"/>
      <c r="BVE40" s="32"/>
      <c r="BVF40" s="32"/>
      <c r="BVG40" s="32"/>
      <c r="BVH40" s="32"/>
      <c r="BVI40" s="32"/>
      <c r="BVJ40" s="32"/>
      <c r="BVK40" s="32"/>
      <c r="BVL40" s="32"/>
      <c r="BVM40" s="32"/>
      <c r="BVN40" s="32"/>
      <c r="BVO40" s="32"/>
      <c r="BVP40" s="32"/>
      <c r="BVQ40" s="32"/>
      <c r="BVR40" s="32"/>
      <c r="BVS40" s="32"/>
      <c r="BVT40" s="32"/>
      <c r="BVU40" s="32"/>
      <c r="BVV40" s="32"/>
      <c r="BVW40" s="32"/>
      <c r="BVX40" s="32"/>
      <c r="BVY40" s="32"/>
      <c r="BVZ40" s="32"/>
      <c r="BWA40" s="32"/>
      <c r="BWB40" s="32"/>
      <c r="BWC40" s="32"/>
      <c r="BWD40" s="32"/>
      <c r="BWE40" s="32"/>
      <c r="BWF40" s="32"/>
      <c r="BWG40" s="32"/>
      <c r="BWH40" s="32"/>
      <c r="BWI40" s="32"/>
      <c r="BWJ40" s="32"/>
      <c r="BWK40" s="32"/>
      <c r="BWL40" s="32"/>
      <c r="BWM40" s="32"/>
      <c r="BWN40" s="32"/>
      <c r="BWO40" s="32"/>
      <c r="BWP40" s="32"/>
      <c r="BWQ40" s="32"/>
      <c r="BWR40" s="32"/>
      <c r="BWS40" s="32"/>
      <c r="BWT40" s="32"/>
      <c r="BWU40" s="32"/>
      <c r="BWV40" s="32"/>
      <c r="BWW40" s="32"/>
      <c r="BWX40" s="32"/>
      <c r="BWY40" s="32"/>
      <c r="BWZ40" s="32"/>
      <c r="BXA40" s="32"/>
      <c r="BXB40" s="32"/>
      <c r="BXC40" s="32"/>
      <c r="BXD40" s="32"/>
      <c r="BXE40" s="32"/>
      <c r="BXF40" s="32"/>
      <c r="BXG40" s="32"/>
      <c r="BXH40" s="32"/>
      <c r="BXI40" s="32"/>
      <c r="BXJ40" s="32"/>
      <c r="BXK40" s="32"/>
      <c r="BXL40" s="32"/>
      <c r="BXM40" s="32"/>
      <c r="BXN40" s="32"/>
      <c r="BXO40" s="32"/>
      <c r="BXP40" s="32"/>
      <c r="BXQ40" s="32"/>
      <c r="BXR40" s="32"/>
      <c r="BXS40" s="32"/>
      <c r="BXT40" s="32"/>
      <c r="BXU40" s="32"/>
      <c r="BXV40" s="32"/>
      <c r="BXW40" s="32"/>
      <c r="BXX40" s="32"/>
      <c r="BXY40" s="32"/>
      <c r="BXZ40" s="32"/>
      <c r="BYA40" s="32"/>
      <c r="BYB40" s="32"/>
      <c r="BYC40" s="32"/>
      <c r="BYD40" s="32"/>
      <c r="BYE40" s="32"/>
      <c r="BYF40" s="32"/>
      <c r="BYG40" s="32"/>
      <c r="BYH40" s="32"/>
      <c r="BYI40" s="32"/>
      <c r="BYJ40" s="32"/>
      <c r="BYK40" s="32"/>
      <c r="BYL40" s="32"/>
      <c r="BYM40" s="32"/>
      <c r="BYN40" s="32"/>
      <c r="BYO40" s="32"/>
      <c r="BYP40" s="32"/>
      <c r="BYQ40" s="32"/>
      <c r="BYR40" s="32"/>
      <c r="BYS40" s="32"/>
      <c r="BYT40" s="32"/>
      <c r="BYU40" s="32"/>
      <c r="BYV40" s="32"/>
      <c r="BYW40" s="32"/>
      <c r="BYX40" s="32"/>
      <c r="BYY40" s="32"/>
      <c r="BYZ40" s="32"/>
      <c r="BZA40" s="32"/>
      <c r="BZB40" s="32"/>
      <c r="BZC40" s="32"/>
      <c r="BZD40" s="32"/>
      <c r="BZE40" s="32"/>
      <c r="BZF40" s="32"/>
      <c r="BZG40" s="32"/>
      <c r="BZH40" s="32"/>
      <c r="BZI40" s="32"/>
      <c r="BZJ40" s="32"/>
      <c r="BZK40" s="32"/>
      <c r="BZL40" s="32"/>
      <c r="BZM40" s="32"/>
      <c r="BZN40" s="32"/>
      <c r="BZO40" s="32"/>
      <c r="BZP40" s="32"/>
      <c r="BZQ40" s="32"/>
      <c r="BZR40" s="32"/>
      <c r="BZS40" s="32"/>
      <c r="BZT40" s="32"/>
      <c r="BZU40" s="32"/>
      <c r="BZV40" s="32"/>
      <c r="BZW40" s="32"/>
      <c r="BZX40" s="32"/>
      <c r="BZY40" s="32"/>
      <c r="BZZ40" s="32"/>
      <c r="CAA40" s="32"/>
      <c r="CAB40" s="32"/>
      <c r="CAC40" s="32"/>
      <c r="CAD40" s="32"/>
      <c r="CAE40" s="32"/>
      <c r="CAF40" s="32"/>
      <c r="CAG40" s="32"/>
      <c r="CAH40" s="32"/>
      <c r="CAI40" s="32"/>
      <c r="CAJ40" s="32"/>
      <c r="CAK40" s="32"/>
      <c r="CAL40" s="32"/>
      <c r="CAM40" s="32"/>
      <c r="CAN40" s="32"/>
      <c r="CAO40" s="32"/>
      <c r="CAP40" s="32"/>
      <c r="CAQ40" s="32"/>
      <c r="CAR40" s="32"/>
      <c r="CAS40" s="32"/>
      <c r="CAT40" s="32"/>
      <c r="CAU40" s="32"/>
      <c r="CAV40" s="32"/>
      <c r="CAW40" s="32"/>
      <c r="CAX40" s="32"/>
      <c r="CAY40" s="32"/>
      <c r="CAZ40" s="32"/>
      <c r="CBA40" s="32"/>
      <c r="CBB40" s="32"/>
      <c r="CBC40" s="32"/>
      <c r="CBD40" s="32"/>
      <c r="CBE40" s="32"/>
      <c r="CBF40" s="32"/>
      <c r="CBG40" s="32"/>
      <c r="CBH40" s="32"/>
      <c r="CBI40" s="32"/>
      <c r="CBJ40" s="32"/>
      <c r="CBK40" s="32"/>
      <c r="CBL40" s="32"/>
      <c r="CBM40" s="32"/>
      <c r="CBN40" s="32"/>
      <c r="CBO40" s="32"/>
      <c r="CBP40" s="32"/>
      <c r="CBQ40" s="32"/>
      <c r="CBR40" s="32"/>
      <c r="CBS40" s="32"/>
      <c r="CBT40" s="32"/>
      <c r="CBU40" s="32"/>
      <c r="CBV40" s="32"/>
      <c r="CBW40" s="32"/>
      <c r="CBX40" s="32"/>
      <c r="CBY40" s="32"/>
      <c r="CBZ40" s="32"/>
      <c r="CCA40" s="32"/>
      <c r="CCB40" s="32"/>
      <c r="CCC40" s="32"/>
      <c r="CCD40" s="32"/>
      <c r="CCE40" s="32"/>
      <c r="CCF40" s="32"/>
      <c r="CCG40" s="32"/>
      <c r="CCH40" s="32"/>
      <c r="CCI40" s="32"/>
      <c r="CCJ40" s="32"/>
      <c r="CCK40" s="32"/>
      <c r="CCL40" s="32"/>
      <c r="CCM40" s="32"/>
      <c r="CCN40" s="32"/>
      <c r="CCO40" s="32"/>
      <c r="CCP40" s="32"/>
      <c r="CCQ40" s="32"/>
      <c r="CCR40" s="32"/>
      <c r="CCS40" s="32"/>
      <c r="CCT40" s="32"/>
      <c r="CCU40" s="32"/>
      <c r="CCV40" s="32"/>
      <c r="CCW40" s="32"/>
      <c r="CCX40" s="32"/>
      <c r="CCY40" s="32"/>
      <c r="CCZ40" s="32"/>
      <c r="CDA40" s="32"/>
      <c r="CDB40" s="32"/>
      <c r="CDC40" s="32"/>
      <c r="CDD40" s="32"/>
      <c r="CDE40" s="32"/>
      <c r="CDF40" s="32"/>
      <c r="CDG40" s="32"/>
      <c r="CDH40" s="32"/>
      <c r="CDI40" s="32"/>
      <c r="CDJ40" s="32"/>
      <c r="CDK40" s="32"/>
      <c r="CDL40" s="32"/>
      <c r="CDM40" s="32"/>
      <c r="CDN40" s="32"/>
      <c r="CDO40" s="32"/>
      <c r="CDP40" s="32"/>
      <c r="CDQ40" s="32"/>
      <c r="CDR40" s="32"/>
      <c r="CDS40" s="32"/>
      <c r="CDT40" s="32"/>
      <c r="CDU40" s="32"/>
      <c r="CDV40" s="32"/>
      <c r="CDW40" s="32"/>
      <c r="CDX40" s="32"/>
      <c r="CDY40" s="32"/>
      <c r="CDZ40" s="32"/>
      <c r="CEA40" s="32"/>
      <c r="CEB40" s="32"/>
      <c r="CEC40" s="32"/>
      <c r="CED40" s="32"/>
      <c r="CEE40" s="32"/>
      <c r="CEF40" s="32"/>
      <c r="CEG40" s="32"/>
      <c r="CEH40" s="32"/>
      <c r="CEI40" s="32"/>
      <c r="CEJ40" s="32"/>
      <c r="CEK40" s="32"/>
      <c r="CEL40" s="32"/>
      <c r="CEM40" s="32"/>
      <c r="CEN40" s="32"/>
      <c r="CEO40" s="32"/>
      <c r="CEP40" s="32"/>
      <c r="CEQ40" s="32"/>
      <c r="CER40" s="32"/>
      <c r="CES40" s="32"/>
      <c r="CET40" s="32"/>
      <c r="CEU40" s="32"/>
      <c r="CEV40" s="32"/>
      <c r="CEW40" s="32"/>
      <c r="CEX40" s="32"/>
      <c r="CEY40" s="32"/>
      <c r="CEZ40" s="32"/>
      <c r="CFA40" s="32"/>
      <c r="CFB40" s="32"/>
      <c r="CFC40" s="32"/>
      <c r="CFD40" s="32"/>
      <c r="CFE40" s="32"/>
      <c r="CFF40" s="32"/>
      <c r="CFG40" s="32"/>
      <c r="CFH40" s="32"/>
      <c r="CFI40" s="32"/>
      <c r="CFJ40" s="32"/>
      <c r="CFK40" s="32"/>
      <c r="CFL40" s="32"/>
      <c r="CFM40" s="32"/>
      <c r="CFN40" s="32"/>
      <c r="CFO40" s="32"/>
      <c r="CFP40" s="32"/>
      <c r="CFQ40" s="32"/>
      <c r="CFR40" s="32"/>
      <c r="CFS40" s="32"/>
      <c r="CFT40" s="32"/>
      <c r="CFU40" s="32"/>
      <c r="CFV40" s="32"/>
      <c r="CFW40" s="32"/>
      <c r="CFX40" s="32"/>
      <c r="CFY40" s="32"/>
      <c r="CFZ40" s="32"/>
      <c r="CGA40" s="32"/>
      <c r="CGB40" s="32"/>
      <c r="CGC40" s="32"/>
      <c r="CGD40" s="32"/>
      <c r="CGE40" s="32"/>
      <c r="CGF40" s="32"/>
      <c r="CGG40" s="32"/>
      <c r="CGH40" s="32"/>
      <c r="CGI40" s="32"/>
      <c r="CGJ40" s="32"/>
      <c r="CGK40" s="32"/>
      <c r="CGL40" s="32"/>
      <c r="CGM40" s="32"/>
      <c r="CGN40" s="32"/>
      <c r="CGO40" s="32"/>
      <c r="CGP40" s="32"/>
      <c r="CGQ40" s="32"/>
      <c r="CGR40" s="32"/>
      <c r="CGS40" s="32"/>
      <c r="CGT40" s="32"/>
      <c r="CGU40" s="32"/>
      <c r="CGV40" s="32"/>
      <c r="CGW40" s="32"/>
      <c r="CGX40" s="32"/>
      <c r="CGY40" s="32"/>
      <c r="CGZ40" s="32"/>
      <c r="CHA40" s="32"/>
      <c r="CHB40" s="32"/>
      <c r="CHC40" s="32"/>
      <c r="CHD40" s="32"/>
      <c r="CHE40" s="32"/>
      <c r="CHF40" s="32"/>
      <c r="CHG40" s="32"/>
      <c r="CHH40" s="32"/>
      <c r="CHI40" s="32"/>
      <c r="CHJ40" s="32"/>
      <c r="CHK40" s="32"/>
      <c r="CHL40" s="32"/>
      <c r="CHM40" s="32"/>
      <c r="CHN40" s="32"/>
      <c r="CHO40" s="32"/>
      <c r="CHP40" s="32"/>
      <c r="CHQ40" s="32"/>
      <c r="CHR40" s="32"/>
      <c r="CHS40" s="32"/>
      <c r="CHT40" s="32"/>
      <c r="CHU40" s="32"/>
      <c r="CHV40" s="32"/>
      <c r="CHW40" s="32"/>
      <c r="CHX40" s="32"/>
      <c r="CHY40" s="32"/>
      <c r="CHZ40" s="32"/>
      <c r="CIA40" s="32"/>
      <c r="CIB40" s="32"/>
      <c r="CIC40" s="32"/>
      <c r="CID40" s="32"/>
      <c r="CIE40" s="32"/>
      <c r="CIF40" s="32"/>
      <c r="CIG40" s="32"/>
      <c r="CIH40" s="32"/>
      <c r="CII40" s="32"/>
      <c r="CIJ40" s="32"/>
      <c r="CIK40" s="32"/>
      <c r="CIL40" s="32"/>
      <c r="CIM40" s="32"/>
      <c r="CIN40" s="32"/>
      <c r="CIO40" s="32"/>
      <c r="CIP40" s="32"/>
      <c r="CIQ40" s="32"/>
      <c r="CIR40" s="32"/>
      <c r="CIS40" s="32"/>
      <c r="CIT40" s="32"/>
      <c r="CIU40" s="32"/>
      <c r="CIV40" s="32"/>
      <c r="CIW40" s="32"/>
      <c r="CIX40" s="32"/>
      <c r="CIY40" s="32"/>
      <c r="CIZ40" s="32"/>
      <c r="CJA40" s="32"/>
      <c r="CJB40" s="32"/>
      <c r="CJC40" s="32"/>
      <c r="CJD40" s="32"/>
      <c r="CJE40" s="32"/>
      <c r="CJF40" s="32"/>
      <c r="CJG40" s="32"/>
      <c r="CJH40" s="32"/>
      <c r="CJI40" s="32"/>
      <c r="CJJ40" s="32"/>
      <c r="CJK40" s="32"/>
      <c r="CJL40" s="32"/>
      <c r="CJM40" s="32"/>
      <c r="CJN40" s="32"/>
      <c r="CJO40" s="32"/>
      <c r="CJP40" s="32"/>
      <c r="CJQ40" s="32"/>
      <c r="CJR40" s="32"/>
      <c r="CJS40" s="32"/>
      <c r="CJT40" s="32"/>
      <c r="CJU40" s="32"/>
      <c r="CJV40" s="32"/>
      <c r="CJW40" s="32"/>
      <c r="CJX40" s="32"/>
      <c r="CJY40" s="32"/>
      <c r="CJZ40" s="32"/>
      <c r="CKA40" s="32"/>
      <c r="CKB40" s="32"/>
      <c r="CKC40" s="32"/>
      <c r="CKD40" s="32"/>
      <c r="CKE40" s="32"/>
      <c r="CKF40" s="32"/>
      <c r="CKG40" s="32"/>
      <c r="CKH40" s="32"/>
      <c r="CKI40" s="32"/>
      <c r="CKJ40" s="32"/>
      <c r="CKK40" s="32"/>
      <c r="CKL40" s="32"/>
      <c r="CKM40" s="32"/>
      <c r="CKN40" s="32"/>
      <c r="CKO40" s="32"/>
      <c r="CKP40" s="32"/>
      <c r="CKQ40" s="32"/>
      <c r="CKR40" s="32"/>
      <c r="CKS40" s="32"/>
      <c r="CKT40" s="32"/>
      <c r="CKU40" s="32"/>
      <c r="CKV40" s="32"/>
      <c r="CKW40" s="32"/>
      <c r="CKX40" s="32"/>
      <c r="CKY40" s="32"/>
      <c r="CKZ40" s="32"/>
      <c r="CLA40" s="32"/>
      <c r="CLB40" s="32"/>
      <c r="CLC40" s="32"/>
      <c r="CLD40" s="32"/>
      <c r="CLE40" s="32"/>
      <c r="CLF40" s="32"/>
      <c r="CLG40" s="32"/>
      <c r="CLH40" s="32"/>
      <c r="CLI40" s="32"/>
      <c r="CLJ40" s="32"/>
      <c r="CLK40" s="32"/>
      <c r="CLL40" s="32"/>
      <c r="CLM40" s="32"/>
      <c r="CLN40" s="32"/>
      <c r="CLO40" s="32"/>
      <c r="CLP40" s="32"/>
      <c r="CLQ40" s="32"/>
      <c r="CLR40" s="32"/>
      <c r="CLS40" s="32"/>
      <c r="CLT40" s="32"/>
      <c r="CLU40" s="32"/>
      <c r="CLV40" s="32"/>
      <c r="CLW40" s="32"/>
      <c r="CLX40" s="32"/>
      <c r="CLY40" s="32"/>
      <c r="CLZ40" s="32"/>
      <c r="CMA40" s="32"/>
      <c r="CMB40" s="32"/>
      <c r="CMC40" s="32"/>
      <c r="CMD40" s="32"/>
      <c r="CME40" s="32"/>
      <c r="CMF40" s="32"/>
      <c r="CMG40" s="32"/>
      <c r="CMH40" s="32"/>
      <c r="CMI40" s="32"/>
      <c r="CMJ40" s="32"/>
      <c r="CMK40" s="32"/>
      <c r="CML40" s="32"/>
      <c r="CMM40" s="32"/>
      <c r="CMN40" s="32"/>
      <c r="CMO40" s="32"/>
      <c r="CMP40" s="32"/>
      <c r="CMQ40" s="32"/>
      <c r="CMR40" s="32"/>
      <c r="CMS40" s="32"/>
      <c r="CMT40" s="32"/>
      <c r="CMU40" s="32"/>
      <c r="CMV40" s="32"/>
      <c r="CMW40" s="32"/>
      <c r="CMX40" s="32"/>
      <c r="CMY40" s="32"/>
      <c r="CMZ40" s="32"/>
      <c r="CNA40" s="32"/>
      <c r="CNB40" s="32"/>
      <c r="CNC40" s="32"/>
      <c r="CND40" s="32"/>
      <c r="CNE40" s="32"/>
      <c r="CNF40" s="32"/>
      <c r="CNG40" s="32"/>
      <c r="CNH40" s="32"/>
      <c r="CNI40" s="32"/>
      <c r="CNJ40" s="32"/>
      <c r="CNK40" s="32"/>
      <c r="CNL40" s="32"/>
      <c r="CNM40" s="32"/>
      <c r="CNN40" s="32"/>
      <c r="CNO40" s="32"/>
      <c r="CNP40" s="32"/>
      <c r="CNQ40" s="32"/>
      <c r="CNR40" s="32"/>
      <c r="CNS40" s="32"/>
      <c r="CNT40" s="32"/>
      <c r="CNU40" s="32"/>
      <c r="CNV40" s="32"/>
      <c r="CNW40" s="32"/>
      <c r="CNX40" s="32"/>
      <c r="CNY40" s="32"/>
      <c r="CNZ40" s="32"/>
      <c r="COA40" s="32"/>
      <c r="COB40" s="32"/>
      <c r="COC40" s="32"/>
      <c r="COD40" s="32"/>
      <c r="COE40" s="32"/>
      <c r="COF40" s="32"/>
      <c r="COG40" s="32"/>
      <c r="COH40" s="32"/>
      <c r="COI40" s="32"/>
      <c r="COJ40" s="32"/>
      <c r="COK40" s="32"/>
      <c r="COL40" s="32"/>
      <c r="COM40" s="32"/>
      <c r="CON40" s="32"/>
      <c r="COO40" s="32"/>
      <c r="COP40" s="32"/>
      <c r="COQ40" s="32"/>
      <c r="COR40" s="32"/>
      <c r="COS40" s="32"/>
      <c r="COT40" s="32"/>
      <c r="COU40" s="32"/>
      <c r="COV40" s="32"/>
      <c r="COW40" s="32"/>
      <c r="COX40" s="32"/>
      <c r="COY40" s="32"/>
      <c r="COZ40" s="32"/>
      <c r="CPA40" s="32"/>
      <c r="CPB40" s="32"/>
      <c r="CPC40" s="32"/>
      <c r="CPD40" s="32"/>
      <c r="CPE40" s="32"/>
      <c r="CPF40" s="32"/>
      <c r="CPG40" s="32"/>
      <c r="CPH40" s="32"/>
      <c r="CPI40" s="32"/>
      <c r="CPJ40" s="32"/>
      <c r="CPK40" s="32"/>
      <c r="CPL40" s="32"/>
      <c r="CPM40" s="32"/>
      <c r="CPN40" s="32"/>
      <c r="CPO40" s="32"/>
      <c r="CPP40" s="32"/>
      <c r="CPQ40" s="32"/>
      <c r="CPR40" s="32"/>
      <c r="CPS40" s="32"/>
      <c r="CPT40" s="32"/>
      <c r="CPU40" s="32"/>
      <c r="CPV40" s="32"/>
      <c r="CPW40" s="32"/>
      <c r="CPX40" s="32"/>
      <c r="CPY40" s="32"/>
      <c r="CPZ40" s="32"/>
      <c r="CQA40" s="32"/>
      <c r="CQB40" s="32"/>
      <c r="CQC40" s="32"/>
      <c r="CQD40" s="32"/>
      <c r="CQE40" s="32"/>
      <c r="CQF40" s="32"/>
      <c r="CQG40" s="32"/>
      <c r="CQH40" s="32"/>
      <c r="CQI40" s="32"/>
      <c r="CQJ40" s="32"/>
      <c r="CQK40" s="32"/>
      <c r="CQL40" s="32"/>
      <c r="CQM40" s="32"/>
      <c r="CQN40" s="32"/>
      <c r="CQO40" s="32"/>
      <c r="CQP40" s="32"/>
      <c r="CQQ40" s="32"/>
      <c r="CQR40" s="32"/>
      <c r="CQS40" s="32"/>
      <c r="CQT40" s="32"/>
      <c r="CQU40" s="32"/>
      <c r="CQV40" s="32"/>
      <c r="CQW40" s="32"/>
      <c r="CQX40" s="32"/>
      <c r="CQY40" s="32"/>
      <c r="CQZ40" s="32"/>
      <c r="CRA40" s="32"/>
      <c r="CRB40" s="32"/>
      <c r="CRC40" s="32"/>
      <c r="CRD40" s="32"/>
      <c r="CRE40" s="32"/>
      <c r="CRF40" s="32"/>
      <c r="CRG40" s="32"/>
      <c r="CRH40" s="32"/>
      <c r="CRI40" s="32"/>
      <c r="CRJ40" s="32"/>
      <c r="CRK40" s="32"/>
      <c r="CRL40" s="32"/>
      <c r="CRM40" s="32"/>
      <c r="CRN40" s="32"/>
      <c r="CRO40" s="32"/>
      <c r="CRP40" s="32"/>
      <c r="CRQ40" s="32"/>
      <c r="CRR40" s="32"/>
      <c r="CRS40" s="32"/>
      <c r="CRT40" s="32"/>
      <c r="CRU40" s="32"/>
      <c r="CRV40" s="32"/>
      <c r="CRW40" s="32"/>
      <c r="CRX40" s="32"/>
      <c r="CRY40" s="32"/>
      <c r="CRZ40" s="32"/>
      <c r="CSA40" s="32"/>
      <c r="CSB40" s="32"/>
      <c r="CSC40" s="32"/>
      <c r="CSD40" s="32"/>
      <c r="CSE40" s="32"/>
      <c r="CSF40" s="32"/>
      <c r="CSG40" s="32"/>
      <c r="CSH40" s="32"/>
      <c r="CSI40" s="32"/>
      <c r="CSJ40" s="32"/>
      <c r="CSK40" s="32"/>
      <c r="CSL40" s="32"/>
      <c r="CSM40" s="32"/>
      <c r="CSN40" s="32"/>
      <c r="CSO40" s="32"/>
      <c r="CSP40" s="32"/>
      <c r="CSQ40" s="32"/>
      <c r="CSR40" s="32"/>
      <c r="CSS40" s="32"/>
      <c r="CST40" s="32"/>
      <c r="CSU40" s="32"/>
      <c r="CSV40" s="32"/>
      <c r="CSW40" s="32"/>
      <c r="CSX40" s="32"/>
      <c r="CSY40" s="32"/>
      <c r="CSZ40" s="32"/>
      <c r="CTA40" s="32"/>
      <c r="CTB40" s="32"/>
      <c r="CTC40" s="32"/>
      <c r="CTD40" s="32"/>
      <c r="CTE40" s="32"/>
      <c r="CTF40" s="32"/>
      <c r="CTG40" s="32"/>
      <c r="CTH40" s="32"/>
      <c r="CTI40" s="32"/>
      <c r="CTJ40" s="32"/>
      <c r="CTK40" s="32"/>
      <c r="CTL40" s="32"/>
      <c r="CTM40" s="32"/>
      <c r="CTN40" s="32"/>
      <c r="CTO40" s="32"/>
      <c r="CTP40" s="32"/>
      <c r="CTQ40" s="32"/>
      <c r="CTR40" s="32"/>
      <c r="CTS40" s="32"/>
      <c r="CTT40" s="32"/>
      <c r="CTU40" s="32"/>
      <c r="CTV40" s="32"/>
      <c r="CTW40" s="32"/>
      <c r="CTX40" s="32"/>
      <c r="CTY40" s="32"/>
      <c r="CTZ40" s="32"/>
      <c r="CUA40" s="32"/>
      <c r="CUB40" s="32"/>
      <c r="CUC40" s="32"/>
      <c r="CUD40" s="32"/>
      <c r="CUE40" s="32"/>
      <c r="CUF40" s="32"/>
      <c r="CUG40" s="32"/>
      <c r="CUH40" s="32"/>
      <c r="CUI40" s="32"/>
      <c r="CUJ40" s="32"/>
      <c r="CUK40" s="32"/>
      <c r="CUL40" s="32"/>
      <c r="CUM40" s="32"/>
      <c r="CUN40" s="32"/>
      <c r="CUO40" s="32"/>
      <c r="CUP40" s="32"/>
      <c r="CUQ40" s="32"/>
      <c r="CUR40" s="32"/>
      <c r="CUS40" s="32"/>
      <c r="CUT40" s="32"/>
      <c r="CUU40" s="32"/>
      <c r="CUV40" s="32"/>
      <c r="CUW40" s="32"/>
      <c r="CUX40" s="32"/>
      <c r="CUY40" s="32"/>
      <c r="CUZ40" s="32"/>
      <c r="CVA40" s="32"/>
      <c r="CVB40" s="32"/>
      <c r="CVC40" s="32"/>
      <c r="CVD40" s="32"/>
      <c r="CVE40" s="32"/>
      <c r="CVF40" s="32"/>
      <c r="CVG40" s="32"/>
      <c r="CVH40" s="32"/>
      <c r="CVI40" s="32"/>
      <c r="CVJ40" s="32"/>
      <c r="CVK40" s="32"/>
      <c r="CVL40" s="32"/>
      <c r="CVM40" s="32"/>
      <c r="CVN40" s="32"/>
      <c r="CVO40" s="32"/>
      <c r="CVP40" s="32"/>
      <c r="CVQ40" s="32"/>
      <c r="CVR40" s="32"/>
      <c r="CVS40" s="32"/>
      <c r="CVT40" s="32"/>
      <c r="CVU40" s="32"/>
      <c r="CVV40" s="32"/>
      <c r="CVW40" s="32"/>
      <c r="CVX40" s="32"/>
      <c r="CVY40" s="32"/>
      <c r="CVZ40" s="32"/>
      <c r="CWA40" s="32"/>
      <c r="CWB40" s="32"/>
      <c r="CWC40" s="32"/>
      <c r="CWD40" s="32"/>
      <c r="CWE40" s="32"/>
      <c r="CWF40" s="32"/>
      <c r="CWG40" s="32"/>
      <c r="CWH40" s="32"/>
      <c r="CWI40" s="32"/>
      <c r="CWJ40" s="32"/>
      <c r="CWK40" s="32"/>
      <c r="CWL40" s="32"/>
      <c r="CWM40" s="32"/>
      <c r="CWN40" s="32"/>
      <c r="CWO40" s="32"/>
      <c r="CWP40" s="32"/>
      <c r="CWQ40" s="32"/>
      <c r="CWR40" s="32"/>
      <c r="CWS40" s="32"/>
      <c r="CWT40" s="32"/>
      <c r="CWU40" s="32"/>
      <c r="CWV40" s="32"/>
      <c r="CWW40" s="32"/>
      <c r="CWX40" s="32"/>
      <c r="CWY40" s="32"/>
      <c r="CWZ40" s="32"/>
      <c r="CXA40" s="32"/>
      <c r="CXB40" s="32"/>
      <c r="CXC40" s="32"/>
      <c r="CXD40" s="32"/>
      <c r="CXE40" s="32"/>
      <c r="CXF40" s="32"/>
      <c r="CXG40" s="32"/>
      <c r="CXH40" s="32"/>
      <c r="CXI40" s="32"/>
      <c r="CXJ40" s="32"/>
      <c r="CXK40" s="32"/>
      <c r="CXL40" s="32"/>
      <c r="CXM40" s="32"/>
      <c r="CXN40" s="32"/>
      <c r="CXO40" s="32"/>
      <c r="CXP40" s="32"/>
      <c r="CXQ40" s="32"/>
      <c r="CXR40" s="32"/>
      <c r="CXS40" s="32"/>
      <c r="CXT40" s="32"/>
      <c r="CXU40" s="32"/>
      <c r="CXV40" s="32"/>
      <c r="CXW40" s="32"/>
      <c r="CXX40" s="32"/>
      <c r="CXY40" s="32"/>
      <c r="CXZ40" s="32"/>
      <c r="CYA40" s="32"/>
      <c r="CYB40" s="32"/>
      <c r="CYC40" s="32"/>
      <c r="CYD40" s="32"/>
      <c r="CYE40" s="32"/>
      <c r="CYF40" s="32"/>
      <c r="CYG40" s="32"/>
      <c r="CYH40" s="32"/>
      <c r="CYI40" s="32"/>
      <c r="CYJ40" s="32"/>
      <c r="CYK40" s="32"/>
      <c r="CYL40" s="32"/>
      <c r="CYM40" s="32"/>
      <c r="CYN40" s="32"/>
      <c r="CYO40" s="32"/>
      <c r="CYP40" s="32"/>
      <c r="CYQ40" s="32"/>
      <c r="CYR40" s="32"/>
      <c r="CYS40" s="32"/>
      <c r="CYT40" s="32"/>
      <c r="CYU40" s="32"/>
      <c r="CYV40" s="32"/>
      <c r="CYW40" s="32"/>
      <c r="CYX40" s="32"/>
      <c r="CYY40" s="32"/>
      <c r="CYZ40" s="32"/>
      <c r="CZA40" s="32"/>
      <c r="CZB40" s="32"/>
      <c r="CZC40" s="32"/>
      <c r="CZD40" s="32"/>
      <c r="CZE40" s="32"/>
      <c r="CZF40" s="32"/>
      <c r="CZG40" s="32"/>
      <c r="CZH40" s="32"/>
      <c r="CZI40" s="32"/>
      <c r="CZJ40" s="32"/>
      <c r="CZK40" s="32"/>
      <c r="CZL40" s="32"/>
      <c r="CZM40" s="32"/>
      <c r="CZN40" s="32"/>
      <c r="CZO40" s="32"/>
      <c r="CZP40" s="32"/>
      <c r="CZQ40" s="32"/>
      <c r="CZR40" s="32"/>
      <c r="CZS40" s="32"/>
      <c r="CZT40" s="32"/>
      <c r="CZU40" s="32"/>
      <c r="CZV40" s="32"/>
      <c r="CZW40" s="32"/>
      <c r="CZX40" s="32"/>
      <c r="CZY40" s="32"/>
      <c r="CZZ40" s="32"/>
      <c r="DAA40" s="32"/>
      <c r="DAB40" s="32"/>
      <c r="DAC40" s="32"/>
      <c r="DAD40" s="32"/>
      <c r="DAE40" s="32"/>
      <c r="DAF40" s="32"/>
      <c r="DAG40" s="32"/>
      <c r="DAH40" s="32"/>
      <c r="DAI40" s="32"/>
      <c r="DAJ40" s="32"/>
      <c r="DAK40" s="32"/>
      <c r="DAL40" s="32"/>
      <c r="DAM40" s="32"/>
      <c r="DAN40" s="32"/>
      <c r="DAO40" s="32"/>
      <c r="DAP40" s="32"/>
      <c r="DAQ40" s="32"/>
      <c r="DAR40" s="32"/>
      <c r="DAS40" s="32"/>
      <c r="DAT40" s="32"/>
      <c r="DAU40" s="32"/>
      <c r="DAV40" s="32"/>
      <c r="DAW40" s="32"/>
      <c r="DAX40" s="32"/>
      <c r="DAY40" s="32"/>
      <c r="DAZ40" s="32"/>
      <c r="DBA40" s="32"/>
      <c r="DBB40" s="32"/>
      <c r="DBC40" s="32"/>
      <c r="DBD40" s="32"/>
      <c r="DBE40" s="32"/>
      <c r="DBF40" s="32"/>
      <c r="DBG40" s="32"/>
      <c r="DBH40" s="32"/>
      <c r="DBI40" s="32"/>
      <c r="DBJ40" s="32"/>
      <c r="DBK40" s="32"/>
      <c r="DBL40" s="32"/>
      <c r="DBM40" s="32"/>
      <c r="DBN40" s="32"/>
      <c r="DBO40" s="32"/>
      <c r="DBP40" s="32"/>
      <c r="DBQ40" s="32"/>
      <c r="DBR40" s="32"/>
      <c r="DBS40" s="32"/>
      <c r="DBT40" s="32"/>
      <c r="DBU40" s="32"/>
      <c r="DBV40" s="32"/>
      <c r="DBW40" s="32"/>
      <c r="DBX40" s="32"/>
      <c r="DBY40" s="32"/>
      <c r="DBZ40" s="32"/>
      <c r="DCA40" s="32"/>
      <c r="DCB40" s="32"/>
      <c r="DCC40" s="32"/>
      <c r="DCD40" s="32"/>
      <c r="DCE40" s="32"/>
      <c r="DCF40" s="32"/>
      <c r="DCG40" s="32"/>
      <c r="DCH40" s="32"/>
      <c r="DCI40" s="32"/>
      <c r="DCJ40" s="32"/>
      <c r="DCK40" s="32"/>
      <c r="DCL40" s="32"/>
      <c r="DCM40" s="32"/>
      <c r="DCN40" s="32"/>
      <c r="DCO40" s="32"/>
      <c r="DCP40" s="32"/>
      <c r="DCQ40" s="32"/>
      <c r="DCR40" s="32"/>
      <c r="DCS40" s="32"/>
      <c r="DCT40" s="32"/>
      <c r="DCU40" s="32"/>
      <c r="DCV40" s="32"/>
      <c r="DCW40" s="32"/>
      <c r="DCX40" s="32"/>
      <c r="DCY40" s="32"/>
      <c r="DCZ40" s="32"/>
      <c r="DDA40" s="32"/>
      <c r="DDB40" s="32"/>
      <c r="DDC40" s="32"/>
      <c r="DDD40" s="32"/>
      <c r="DDE40" s="32"/>
      <c r="DDF40" s="32"/>
      <c r="DDG40" s="32"/>
      <c r="DDH40" s="32"/>
      <c r="DDI40" s="32"/>
      <c r="DDJ40" s="32"/>
      <c r="DDK40" s="32"/>
      <c r="DDL40" s="32"/>
      <c r="DDM40" s="32"/>
      <c r="DDN40" s="32"/>
      <c r="DDO40" s="32"/>
      <c r="DDP40" s="32"/>
      <c r="DDQ40" s="32"/>
      <c r="DDR40" s="32"/>
      <c r="DDS40" s="32"/>
      <c r="DDT40" s="32"/>
      <c r="DDU40" s="32"/>
      <c r="DDV40" s="32"/>
      <c r="DDW40" s="32"/>
      <c r="DDX40" s="32"/>
      <c r="DDY40" s="32"/>
      <c r="DDZ40" s="32"/>
      <c r="DEA40" s="32"/>
      <c r="DEB40" s="32"/>
      <c r="DEC40" s="32"/>
      <c r="DED40" s="32"/>
      <c r="DEE40" s="32"/>
      <c r="DEF40" s="32"/>
      <c r="DEG40" s="32"/>
      <c r="DEH40" s="32"/>
      <c r="DEI40" s="32"/>
      <c r="DEJ40" s="32"/>
      <c r="DEK40" s="32"/>
      <c r="DEL40" s="32"/>
      <c r="DEM40" s="32"/>
      <c r="DEN40" s="32"/>
      <c r="DEO40" s="32"/>
      <c r="DEP40" s="32"/>
      <c r="DEQ40" s="32"/>
      <c r="DER40" s="32"/>
      <c r="DES40" s="32"/>
      <c r="DET40" s="32"/>
      <c r="DEU40" s="32"/>
      <c r="DEV40" s="32"/>
      <c r="DEW40" s="32"/>
      <c r="DEX40" s="32"/>
      <c r="DEY40" s="32"/>
      <c r="DEZ40" s="32"/>
      <c r="DFA40" s="32"/>
      <c r="DFB40" s="32"/>
      <c r="DFC40" s="32"/>
      <c r="DFD40" s="32"/>
      <c r="DFE40" s="32"/>
      <c r="DFF40" s="32"/>
      <c r="DFG40" s="32"/>
      <c r="DFH40" s="32"/>
      <c r="DFI40" s="32"/>
      <c r="DFJ40" s="32"/>
      <c r="DFK40" s="32"/>
      <c r="DFL40" s="32"/>
      <c r="DFM40" s="32"/>
      <c r="DFN40" s="32"/>
      <c r="DFO40" s="32"/>
      <c r="DFP40" s="32"/>
      <c r="DFQ40" s="32"/>
      <c r="DFR40" s="32"/>
      <c r="DFS40" s="32"/>
      <c r="DFT40" s="32"/>
      <c r="DFU40" s="32"/>
      <c r="DFV40" s="32"/>
      <c r="DFW40" s="32"/>
      <c r="DFX40" s="32"/>
      <c r="DFY40" s="32"/>
      <c r="DFZ40" s="32"/>
      <c r="DGA40" s="32"/>
      <c r="DGB40" s="32"/>
      <c r="DGC40" s="32"/>
      <c r="DGD40" s="32"/>
      <c r="DGE40" s="32"/>
      <c r="DGF40" s="32"/>
      <c r="DGG40" s="32"/>
      <c r="DGH40" s="32"/>
      <c r="DGI40" s="32"/>
      <c r="DGJ40" s="32"/>
      <c r="DGK40" s="32"/>
      <c r="DGL40" s="32"/>
      <c r="DGM40" s="32"/>
      <c r="DGN40" s="32"/>
      <c r="DGO40" s="32"/>
      <c r="DGP40" s="32"/>
      <c r="DGQ40" s="32"/>
      <c r="DGR40" s="32"/>
      <c r="DGS40" s="32"/>
      <c r="DGT40" s="32"/>
      <c r="DGU40" s="32"/>
      <c r="DGV40" s="32"/>
      <c r="DGW40" s="32"/>
      <c r="DGX40" s="32"/>
      <c r="DGY40" s="32"/>
      <c r="DGZ40" s="32"/>
      <c r="DHA40" s="32"/>
      <c r="DHB40" s="32"/>
      <c r="DHC40" s="32"/>
      <c r="DHD40" s="32"/>
      <c r="DHE40" s="32"/>
      <c r="DHF40" s="32"/>
      <c r="DHG40" s="32"/>
      <c r="DHH40" s="32"/>
      <c r="DHI40" s="32"/>
      <c r="DHJ40" s="32"/>
      <c r="DHK40" s="32"/>
      <c r="DHL40" s="32"/>
      <c r="DHM40" s="32"/>
      <c r="DHN40" s="32"/>
      <c r="DHO40" s="32"/>
      <c r="DHP40" s="32"/>
      <c r="DHQ40" s="32"/>
      <c r="DHR40" s="32"/>
      <c r="DHS40" s="32"/>
      <c r="DHT40" s="32"/>
      <c r="DHU40" s="32"/>
      <c r="DHV40" s="32"/>
      <c r="DHW40" s="32"/>
      <c r="DHX40" s="32"/>
      <c r="DHY40" s="32"/>
      <c r="DHZ40" s="32"/>
      <c r="DIA40" s="32"/>
      <c r="DIB40" s="32"/>
      <c r="DIC40" s="32"/>
      <c r="DID40" s="32"/>
      <c r="DIE40" s="32"/>
      <c r="DIF40" s="32"/>
      <c r="DIG40" s="32"/>
      <c r="DIH40" s="32"/>
      <c r="DII40" s="32"/>
      <c r="DIJ40" s="32"/>
      <c r="DIK40" s="32"/>
      <c r="DIL40" s="32"/>
      <c r="DIM40" s="32"/>
      <c r="DIN40" s="32"/>
      <c r="DIO40" s="32"/>
      <c r="DIP40" s="32"/>
      <c r="DIQ40" s="32"/>
      <c r="DIR40" s="32"/>
      <c r="DIS40" s="32"/>
      <c r="DIT40" s="32"/>
      <c r="DIU40" s="32"/>
      <c r="DIV40" s="32"/>
      <c r="DIW40" s="32"/>
      <c r="DIX40" s="32"/>
      <c r="DIY40" s="32"/>
      <c r="DIZ40" s="32"/>
      <c r="DJA40" s="32"/>
      <c r="DJB40" s="32"/>
      <c r="DJC40" s="32"/>
      <c r="DJD40" s="32"/>
      <c r="DJE40" s="32"/>
      <c r="DJF40" s="32"/>
      <c r="DJG40" s="32"/>
      <c r="DJH40" s="32"/>
      <c r="DJI40" s="32"/>
      <c r="DJJ40" s="32"/>
      <c r="DJK40" s="32"/>
      <c r="DJL40" s="32"/>
      <c r="DJM40" s="32"/>
      <c r="DJN40" s="32"/>
      <c r="DJO40" s="32"/>
      <c r="DJP40" s="32"/>
      <c r="DJQ40" s="32"/>
      <c r="DJR40" s="32"/>
      <c r="DJS40" s="32"/>
      <c r="DJT40" s="32"/>
      <c r="DJU40" s="32"/>
      <c r="DJV40" s="32"/>
      <c r="DJW40" s="32"/>
      <c r="DJX40" s="32"/>
      <c r="DJY40" s="32"/>
      <c r="DJZ40" s="32"/>
      <c r="DKA40" s="32"/>
      <c r="DKB40" s="32"/>
      <c r="DKC40" s="32"/>
      <c r="DKD40" s="32"/>
      <c r="DKE40" s="32"/>
      <c r="DKF40" s="32"/>
      <c r="DKG40" s="32"/>
      <c r="DKH40" s="32"/>
      <c r="DKI40" s="32"/>
      <c r="DKJ40" s="32"/>
      <c r="DKK40" s="32"/>
      <c r="DKL40" s="32"/>
      <c r="DKM40" s="32"/>
      <c r="DKN40" s="32"/>
      <c r="DKO40" s="32"/>
      <c r="DKP40" s="32"/>
      <c r="DKQ40" s="32"/>
      <c r="DKR40" s="32"/>
      <c r="DKS40" s="32"/>
      <c r="DKT40" s="32"/>
      <c r="DKU40" s="32"/>
      <c r="DKV40" s="32"/>
      <c r="DKW40" s="32"/>
      <c r="DKX40" s="32"/>
      <c r="DKY40" s="32"/>
      <c r="DKZ40" s="32"/>
      <c r="DLA40" s="32"/>
      <c r="DLB40" s="32"/>
      <c r="DLC40" s="32"/>
      <c r="DLD40" s="32"/>
      <c r="DLE40" s="32"/>
      <c r="DLF40" s="32"/>
      <c r="DLG40" s="32"/>
      <c r="DLH40" s="32"/>
      <c r="DLI40" s="32"/>
      <c r="DLJ40" s="32"/>
      <c r="DLK40" s="32"/>
      <c r="DLL40" s="32"/>
      <c r="DLM40" s="32"/>
      <c r="DLN40" s="32"/>
      <c r="DLO40" s="32"/>
      <c r="DLP40" s="32"/>
      <c r="DLQ40" s="32"/>
      <c r="DLR40" s="32"/>
      <c r="DLS40" s="32"/>
      <c r="DLT40" s="32"/>
      <c r="DLU40" s="32"/>
      <c r="DLV40" s="32"/>
      <c r="DLW40" s="32"/>
      <c r="DLX40" s="32"/>
      <c r="DLY40" s="32"/>
      <c r="DLZ40" s="32"/>
      <c r="DMA40" s="32"/>
      <c r="DMB40" s="32"/>
      <c r="DMC40" s="32"/>
      <c r="DMD40" s="32"/>
      <c r="DME40" s="32"/>
      <c r="DMF40" s="32"/>
      <c r="DMG40" s="32"/>
      <c r="DMH40" s="32"/>
      <c r="DMI40" s="32"/>
      <c r="DMJ40" s="32"/>
      <c r="DMK40" s="32"/>
      <c r="DML40" s="32"/>
      <c r="DMM40" s="32"/>
      <c r="DMN40" s="32"/>
      <c r="DMO40" s="32"/>
      <c r="DMP40" s="32"/>
      <c r="DMQ40" s="32"/>
      <c r="DMR40" s="32"/>
      <c r="DMS40" s="32"/>
      <c r="DMT40" s="32"/>
      <c r="DMU40" s="32"/>
      <c r="DMV40" s="32"/>
      <c r="DMW40" s="32"/>
      <c r="DMX40" s="32"/>
      <c r="DMY40" s="32"/>
      <c r="DMZ40" s="32"/>
      <c r="DNA40" s="32"/>
      <c r="DNB40" s="32"/>
      <c r="DNC40" s="32"/>
      <c r="DND40" s="32"/>
      <c r="DNE40" s="32"/>
      <c r="DNF40" s="32"/>
      <c r="DNG40" s="32"/>
      <c r="DNH40" s="32"/>
      <c r="DNI40" s="32"/>
      <c r="DNJ40" s="32"/>
      <c r="DNK40" s="32"/>
      <c r="DNL40" s="32"/>
      <c r="DNM40" s="32"/>
      <c r="DNN40" s="32"/>
      <c r="DNO40" s="32"/>
      <c r="DNP40" s="32"/>
      <c r="DNQ40" s="32"/>
      <c r="DNR40" s="32"/>
      <c r="DNS40" s="32"/>
      <c r="DNT40" s="32"/>
      <c r="DNU40" s="32"/>
      <c r="DNV40" s="32"/>
      <c r="DNW40" s="32"/>
      <c r="DNX40" s="32"/>
      <c r="DNY40" s="32"/>
      <c r="DNZ40" s="32"/>
      <c r="DOA40" s="32"/>
      <c r="DOB40" s="32"/>
      <c r="DOC40" s="32"/>
      <c r="DOD40" s="32"/>
      <c r="DOE40" s="32"/>
      <c r="DOF40" s="32"/>
      <c r="DOG40" s="32"/>
      <c r="DOH40" s="32"/>
      <c r="DOI40" s="32"/>
      <c r="DOJ40" s="32"/>
      <c r="DOK40" s="32"/>
      <c r="DOL40" s="32"/>
      <c r="DOM40" s="32"/>
      <c r="DON40" s="32"/>
      <c r="DOO40" s="32"/>
      <c r="DOP40" s="32"/>
      <c r="DOQ40" s="32"/>
      <c r="DOR40" s="32"/>
      <c r="DOS40" s="32"/>
      <c r="DOT40" s="32"/>
      <c r="DOU40" s="32"/>
      <c r="DOV40" s="32"/>
      <c r="DOW40" s="32"/>
      <c r="DOX40" s="32"/>
      <c r="DOY40" s="32"/>
      <c r="DOZ40" s="32"/>
      <c r="DPA40" s="32"/>
      <c r="DPB40" s="32"/>
      <c r="DPC40" s="32"/>
      <c r="DPD40" s="32"/>
      <c r="DPE40" s="32"/>
      <c r="DPF40" s="32"/>
      <c r="DPG40" s="32"/>
      <c r="DPH40" s="32"/>
      <c r="DPI40" s="32"/>
      <c r="DPJ40" s="32"/>
      <c r="DPK40" s="32"/>
      <c r="DPL40" s="32"/>
      <c r="DPM40" s="32"/>
      <c r="DPN40" s="32"/>
      <c r="DPO40" s="32"/>
      <c r="DPP40" s="32"/>
      <c r="DPQ40" s="32"/>
      <c r="DPR40" s="32"/>
      <c r="DPS40" s="32"/>
      <c r="DPT40" s="32"/>
      <c r="DPU40" s="32"/>
      <c r="DPV40" s="32"/>
      <c r="DPW40" s="32"/>
      <c r="DPX40" s="32"/>
      <c r="DPY40" s="32"/>
      <c r="DPZ40" s="32"/>
      <c r="DQA40" s="32"/>
      <c r="DQB40" s="32"/>
      <c r="DQC40" s="32"/>
      <c r="DQD40" s="32"/>
      <c r="DQE40" s="32"/>
      <c r="DQF40" s="32"/>
      <c r="DQG40" s="32"/>
      <c r="DQH40" s="32"/>
      <c r="DQI40" s="32"/>
      <c r="DQJ40" s="32"/>
      <c r="DQK40" s="32"/>
      <c r="DQL40" s="32"/>
      <c r="DQM40" s="32"/>
      <c r="DQN40" s="32"/>
      <c r="DQO40" s="32"/>
      <c r="DQP40" s="32"/>
      <c r="DQQ40" s="32"/>
      <c r="DQR40" s="32"/>
      <c r="DQS40" s="32"/>
      <c r="DQT40" s="32"/>
      <c r="DQU40" s="32"/>
      <c r="DQV40" s="32"/>
      <c r="DQW40" s="32"/>
      <c r="DQX40" s="32"/>
      <c r="DQY40" s="32"/>
      <c r="DQZ40" s="32"/>
      <c r="DRA40" s="32"/>
      <c r="DRB40" s="32"/>
      <c r="DRC40" s="32"/>
      <c r="DRD40" s="32"/>
      <c r="DRE40" s="32"/>
      <c r="DRF40" s="32"/>
      <c r="DRG40" s="32"/>
      <c r="DRH40" s="32"/>
      <c r="DRI40" s="32"/>
      <c r="DRJ40" s="32"/>
      <c r="DRK40" s="32"/>
      <c r="DRL40" s="32"/>
      <c r="DRM40" s="32"/>
      <c r="DRN40" s="32"/>
      <c r="DRO40" s="32"/>
      <c r="DRP40" s="32"/>
      <c r="DRQ40" s="32"/>
      <c r="DRR40" s="32"/>
      <c r="DRS40" s="32"/>
      <c r="DRT40" s="32"/>
      <c r="DRU40" s="32"/>
      <c r="DRV40" s="32"/>
      <c r="DRW40" s="32"/>
      <c r="DRX40" s="32"/>
      <c r="DRY40" s="32"/>
      <c r="DRZ40" s="32"/>
      <c r="DSA40" s="32"/>
      <c r="DSB40" s="32"/>
      <c r="DSC40" s="32"/>
      <c r="DSD40" s="32"/>
      <c r="DSE40" s="32"/>
      <c r="DSF40" s="32"/>
      <c r="DSG40" s="32"/>
      <c r="DSH40" s="32"/>
      <c r="DSI40" s="32"/>
      <c r="DSJ40" s="32"/>
      <c r="DSK40" s="32"/>
      <c r="DSL40" s="32"/>
      <c r="DSM40" s="32"/>
      <c r="DSN40" s="32"/>
      <c r="DSO40" s="32"/>
      <c r="DSP40" s="32"/>
      <c r="DSQ40" s="32"/>
      <c r="DSR40" s="32"/>
      <c r="DSS40" s="32"/>
      <c r="DST40" s="32"/>
      <c r="DSU40" s="32"/>
      <c r="DSV40" s="32"/>
      <c r="DSW40" s="32"/>
      <c r="DSX40" s="32"/>
      <c r="DSY40" s="32"/>
      <c r="DSZ40" s="32"/>
      <c r="DTA40" s="32"/>
      <c r="DTB40" s="32"/>
      <c r="DTC40" s="32"/>
      <c r="DTD40" s="32"/>
      <c r="DTE40" s="32"/>
      <c r="DTF40" s="32"/>
      <c r="DTG40" s="32"/>
      <c r="DTH40" s="32"/>
      <c r="DTI40" s="32"/>
      <c r="DTJ40" s="32"/>
      <c r="DTK40" s="32"/>
      <c r="DTL40" s="32"/>
      <c r="DTM40" s="32"/>
      <c r="DTN40" s="32"/>
      <c r="DTO40" s="32"/>
      <c r="DTP40" s="32"/>
      <c r="DTQ40" s="32"/>
      <c r="DTR40" s="32"/>
      <c r="DTS40" s="32"/>
      <c r="DTT40" s="32"/>
      <c r="DTU40" s="32"/>
      <c r="DTV40" s="32"/>
      <c r="DTW40" s="32"/>
      <c r="DTX40" s="32"/>
      <c r="DTY40" s="32"/>
      <c r="DTZ40" s="32"/>
      <c r="DUA40" s="32"/>
      <c r="DUB40" s="32"/>
      <c r="DUC40" s="32"/>
      <c r="DUD40" s="32"/>
      <c r="DUE40" s="32"/>
      <c r="DUF40" s="32"/>
      <c r="DUG40" s="32"/>
      <c r="DUH40" s="32"/>
      <c r="DUI40" s="32"/>
      <c r="DUJ40" s="32"/>
      <c r="DUK40" s="32"/>
      <c r="DUL40" s="32"/>
      <c r="DUM40" s="32"/>
      <c r="DUN40" s="32"/>
      <c r="DUO40" s="32"/>
      <c r="DUP40" s="32"/>
      <c r="DUQ40" s="32"/>
      <c r="DUR40" s="32"/>
      <c r="DUS40" s="32"/>
      <c r="DUT40" s="32"/>
      <c r="DUU40" s="32"/>
      <c r="DUV40" s="32"/>
      <c r="DUW40" s="32"/>
      <c r="DUX40" s="32"/>
      <c r="DUY40" s="32"/>
      <c r="DUZ40" s="32"/>
      <c r="DVA40" s="32"/>
      <c r="DVB40" s="32"/>
      <c r="DVC40" s="32"/>
      <c r="DVD40" s="32"/>
      <c r="DVE40" s="32"/>
      <c r="DVF40" s="32"/>
      <c r="DVG40" s="32"/>
      <c r="DVH40" s="32"/>
      <c r="DVI40" s="32"/>
      <c r="DVJ40" s="32"/>
      <c r="DVK40" s="32"/>
      <c r="DVL40" s="32"/>
      <c r="DVM40" s="32"/>
      <c r="DVN40" s="32"/>
      <c r="DVO40" s="32"/>
      <c r="DVP40" s="32"/>
      <c r="DVQ40" s="32"/>
      <c r="DVR40" s="32"/>
      <c r="DVS40" s="32"/>
      <c r="DVT40" s="32"/>
      <c r="DVU40" s="32"/>
      <c r="DVV40" s="32"/>
      <c r="DVW40" s="32"/>
      <c r="DVX40" s="32"/>
      <c r="DVY40" s="32"/>
      <c r="DVZ40" s="32"/>
      <c r="DWA40" s="32"/>
      <c r="DWB40" s="32"/>
      <c r="DWC40" s="32"/>
      <c r="DWD40" s="32"/>
      <c r="DWE40" s="32"/>
      <c r="DWF40" s="32"/>
      <c r="DWG40" s="32"/>
      <c r="DWH40" s="32"/>
      <c r="DWI40" s="32"/>
      <c r="DWJ40" s="32"/>
      <c r="DWK40" s="32"/>
      <c r="DWL40" s="32"/>
      <c r="DWM40" s="32"/>
      <c r="DWN40" s="32"/>
      <c r="DWO40" s="32"/>
      <c r="DWP40" s="32"/>
      <c r="DWQ40" s="32"/>
      <c r="DWR40" s="32"/>
      <c r="DWS40" s="32"/>
      <c r="DWT40" s="32"/>
      <c r="DWU40" s="32"/>
      <c r="DWV40" s="32"/>
      <c r="DWW40" s="32"/>
      <c r="DWX40" s="32"/>
      <c r="DWY40" s="32"/>
      <c r="DWZ40" s="32"/>
      <c r="DXA40" s="32"/>
      <c r="DXB40" s="32"/>
      <c r="DXC40" s="32"/>
      <c r="DXD40" s="32"/>
      <c r="DXE40" s="32"/>
      <c r="DXF40" s="32"/>
      <c r="DXG40" s="32"/>
      <c r="DXH40" s="32"/>
      <c r="DXI40" s="32"/>
      <c r="DXJ40" s="32"/>
      <c r="DXK40" s="32"/>
      <c r="DXL40" s="32"/>
      <c r="DXM40" s="32"/>
      <c r="DXN40" s="32"/>
      <c r="DXO40" s="32"/>
      <c r="DXP40" s="32"/>
      <c r="DXQ40" s="32"/>
      <c r="DXR40" s="32"/>
      <c r="DXS40" s="32"/>
      <c r="DXT40" s="32"/>
      <c r="DXU40" s="32"/>
      <c r="DXV40" s="32"/>
      <c r="DXW40" s="32"/>
      <c r="DXX40" s="32"/>
      <c r="DXY40" s="32"/>
      <c r="DXZ40" s="32"/>
      <c r="DYA40" s="32"/>
      <c r="DYB40" s="32"/>
      <c r="DYC40" s="32"/>
      <c r="DYD40" s="32"/>
      <c r="DYE40" s="32"/>
      <c r="DYF40" s="32"/>
      <c r="DYG40" s="32"/>
      <c r="DYH40" s="32"/>
      <c r="DYI40" s="32"/>
      <c r="DYJ40" s="32"/>
      <c r="DYK40" s="32"/>
      <c r="DYL40" s="32"/>
      <c r="DYM40" s="32"/>
      <c r="DYN40" s="32"/>
      <c r="DYO40" s="32"/>
      <c r="DYP40" s="32"/>
      <c r="DYQ40" s="32"/>
      <c r="DYR40" s="32"/>
      <c r="DYS40" s="32"/>
      <c r="DYT40" s="32"/>
      <c r="DYU40" s="32"/>
      <c r="DYV40" s="32"/>
      <c r="DYW40" s="32"/>
      <c r="DYX40" s="32"/>
      <c r="DYY40" s="32"/>
      <c r="DYZ40" s="32"/>
      <c r="DZA40" s="32"/>
      <c r="DZB40" s="32"/>
      <c r="DZC40" s="32"/>
      <c r="DZD40" s="32"/>
      <c r="DZE40" s="32"/>
      <c r="DZF40" s="32"/>
      <c r="DZG40" s="32"/>
      <c r="DZH40" s="32"/>
      <c r="DZI40" s="32"/>
      <c r="DZJ40" s="32"/>
      <c r="DZK40" s="32"/>
      <c r="DZL40" s="32"/>
      <c r="DZM40" s="32"/>
      <c r="DZN40" s="32"/>
      <c r="DZO40" s="32"/>
      <c r="DZP40" s="32"/>
      <c r="DZQ40" s="32"/>
      <c r="DZR40" s="32"/>
      <c r="DZS40" s="32"/>
      <c r="DZT40" s="32"/>
      <c r="DZU40" s="32"/>
      <c r="DZV40" s="32"/>
      <c r="DZW40" s="32"/>
      <c r="DZX40" s="32"/>
      <c r="DZY40" s="32"/>
      <c r="DZZ40" s="32"/>
      <c r="EAA40" s="32"/>
      <c r="EAB40" s="32"/>
      <c r="EAC40" s="32"/>
      <c r="EAD40" s="32"/>
      <c r="EAE40" s="32"/>
      <c r="EAF40" s="32"/>
      <c r="EAG40" s="32"/>
      <c r="EAH40" s="32"/>
      <c r="EAI40" s="32"/>
      <c r="EAJ40" s="32"/>
      <c r="EAK40" s="32"/>
      <c r="EAL40" s="32"/>
      <c r="EAM40" s="32"/>
      <c r="EAN40" s="32"/>
      <c r="EAO40" s="32"/>
      <c r="EAP40" s="32"/>
      <c r="EAQ40" s="32"/>
      <c r="EAR40" s="32"/>
      <c r="EAS40" s="32"/>
      <c r="EAT40" s="32"/>
      <c r="EAU40" s="32"/>
      <c r="EAV40" s="32"/>
      <c r="EAW40" s="32"/>
      <c r="EAX40" s="32"/>
      <c r="EAY40" s="32"/>
      <c r="EAZ40" s="32"/>
      <c r="EBA40" s="32"/>
      <c r="EBB40" s="32"/>
      <c r="EBC40" s="32"/>
      <c r="EBD40" s="32"/>
      <c r="EBE40" s="32"/>
      <c r="EBF40" s="32"/>
      <c r="EBG40" s="32"/>
      <c r="EBH40" s="32"/>
      <c r="EBI40" s="32"/>
      <c r="EBJ40" s="32"/>
      <c r="EBK40" s="32"/>
      <c r="EBL40" s="32"/>
      <c r="EBM40" s="32"/>
      <c r="EBN40" s="32"/>
      <c r="EBO40" s="32"/>
      <c r="EBP40" s="32"/>
      <c r="EBQ40" s="32"/>
      <c r="EBR40" s="32"/>
      <c r="EBS40" s="32"/>
      <c r="EBT40" s="32"/>
      <c r="EBU40" s="32"/>
      <c r="EBV40" s="32"/>
      <c r="EBW40" s="32"/>
      <c r="EBX40" s="32"/>
      <c r="EBY40" s="32"/>
      <c r="EBZ40" s="32"/>
      <c r="ECA40" s="32"/>
      <c r="ECB40" s="32"/>
      <c r="ECC40" s="32"/>
      <c r="ECD40" s="32"/>
      <c r="ECE40" s="32"/>
      <c r="ECF40" s="32"/>
      <c r="ECG40" s="32"/>
      <c r="ECH40" s="32"/>
      <c r="ECI40" s="32"/>
      <c r="ECJ40" s="32"/>
      <c r="ECK40" s="32"/>
      <c r="ECL40" s="32"/>
      <c r="ECM40" s="32"/>
      <c r="ECN40" s="32"/>
      <c r="ECO40" s="32"/>
      <c r="ECP40" s="32"/>
      <c r="ECQ40" s="32"/>
      <c r="ECR40" s="32"/>
      <c r="ECS40" s="32"/>
      <c r="ECT40" s="32"/>
      <c r="ECU40" s="32"/>
      <c r="ECV40" s="32"/>
      <c r="ECW40" s="32"/>
      <c r="ECX40" s="32"/>
      <c r="ECY40" s="32"/>
      <c r="ECZ40" s="32"/>
      <c r="EDA40" s="32"/>
      <c r="EDB40" s="32"/>
      <c r="EDC40" s="32"/>
      <c r="EDD40" s="32"/>
      <c r="EDE40" s="32"/>
      <c r="EDF40" s="32"/>
      <c r="EDG40" s="32"/>
      <c r="EDH40" s="32"/>
      <c r="EDI40" s="32"/>
      <c r="EDJ40" s="32"/>
      <c r="EDK40" s="32"/>
      <c r="EDL40" s="32"/>
      <c r="EDM40" s="32"/>
      <c r="EDN40" s="32"/>
      <c r="EDO40" s="32"/>
      <c r="EDP40" s="32"/>
      <c r="EDQ40" s="32"/>
      <c r="EDR40" s="32"/>
      <c r="EDS40" s="32"/>
      <c r="EDT40" s="32"/>
      <c r="EDU40" s="32"/>
      <c r="EDV40" s="32"/>
      <c r="EDW40" s="32"/>
      <c r="EDX40" s="32"/>
      <c r="EDY40" s="32"/>
      <c r="EDZ40" s="32"/>
      <c r="EEA40" s="32"/>
      <c r="EEB40" s="32"/>
      <c r="EEC40" s="32"/>
      <c r="EED40" s="32"/>
      <c r="EEE40" s="32"/>
      <c r="EEF40" s="32"/>
      <c r="EEG40" s="32"/>
      <c r="EEH40" s="32"/>
      <c r="EEI40" s="32"/>
      <c r="EEJ40" s="32"/>
      <c r="EEK40" s="32"/>
      <c r="EEL40" s="32"/>
      <c r="EEM40" s="32"/>
      <c r="EEN40" s="32"/>
      <c r="EEO40" s="32"/>
      <c r="EEP40" s="32"/>
      <c r="EEQ40" s="32"/>
      <c r="EER40" s="32"/>
      <c r="EES40" s="32"/>
      <c r="EET40" s="32"/>
      <c r="EEU40" s="32"/>
      <c r="EEV40" s="32"/>
      <c r="EEW40" s="32"/>
      <c r="EEX40" s="32"/>
      <c r="EEY40" s="32"/>
      <c r="EEZ40" s="32"/>
      <c r="EFA40" s="32"/>
      <c r="EFB40" s="32"/>
      <c r="EFC40" s="32"/>
      <c r="EFD40" s="32"/>
      <c r="EFE40" s="32"/>
      <c r="EFF40" s="32"/>
      <c r="EFG40" s="32"/>
      <c r="EFH40" s="32"/>
      <c r="EFI40" s="32"/>
      <c r="EFJ40" s="32"/>
      <c r="EFK40" s="32"/>
      <c r="EFL40" s="32"/>
      <c r="EFM40" s="32"/>
      <c r="EFN40" s="32"/>
      <c r="EFO40" s="32"/>
      <c r="EFP40" s="32"/>
      <c r="EFQ40" s="32"/>
      <c r="EFR40" s="32"/>
      <c r="EFS40" s="32"/>
      <c r="EFT40" s="32"/>
      <c r="EFU40" s="32"/>
      <c r="EFV40" s="32"/>
      <c r="EFW40" s="32"/>
      <c r="EFX40" s="32"/>
      <c r="EFY40" s="32"/>
      <c r="EFZ40" s="32"/>
      <c r="EGA40" s="32"/>
      <c r="EGB40" s="32"/>
      <c r="EGC40" s="32"/>
      <c r="EGD40" s="32"/>
      <c r="EGE40" s="32"/>
      <c r="EGF40" s="32"/>
      <c r="EGG40" s="32"/>
      <c r="EGH40" s="32"/>
      <c r="EGI40" s="32"/>
      <c r="EGJ40" s="32"/>
      <c r="EGK40" s="32"/>
      <c r="EGL40" s="32"/>
      <c r="EGM40" s="32"/>
      <c r="EGN40" s="32"/>
      <c r="EGO40" s="32"/>
      <c r="EGP40" s="32"/>
      <c r="EGQ40" s="32"/>
      <c r="EGR40" s="32"/>
      <c r="EGS40" s="32"/>
      <c r="EGT40" s="32"/>
      <c r="EGU40" s="32"/>
      <c r="EGV40" s="32"/>
      <c r="EGW40" s="32"/>
      <c r="EGX40" s="32"/>
      <c r="EGY40" s="32"/>
      <c r="EGZ40" s="32"/>
      <c r="EHA40" s="32"/>
      <c r="EHB40" s="32"/>
      <c r="EHC40" s="32"/>
      <c r="EHD40" s="32"/>
      <c r="EHE40" s="32"/>
      <c r="EHF40" s="32"/>
      <c r="EHG40" s="32"/>
      <c r="EHH40" s="32"/>
      <c r="EHI40" s="32"/>
      <c r="EHJ40" s="32"/>
      <c r="EHK40" s="32"/>
      <c r="EHL40" s="32"/>
      <c r="EHM40" s="32"/>
      <c r="EHN40" s="32"/>
      <c r="EHO40" s="32"/>
      <c r="EHP40" s="32"/>
      <c r="EHQ40" s="32"/>
      <c r="EHR40" s="32"/>
      <c r="EHS40" s="32"/>
      <c r="EHT40" s="32"/>
      <c r="EHU40" s="32"/>
      <c r="EHV40" s="32"/>
      <c r="EHW40" s="32"/>
      <c r="EHX40" s="32"/>
      <c r="EHY40" s="32"/>
      <c r="EHZ40" s="32"/>
      <c r="EIA40" s="32"/>
      <c r="EIB40" s="32"/>
      <c r="EIC40" s="32"/>
      <c r="EID40" s="32"/>
      <c r="EIE40" s="32"/>
      <c r="EIF40" s="32"/>
      <c r="EIG40" s="32"/>
      <c r="EIH40" s="32"/>
      <c r="EII40" s="32"/>
      <c r="EIJ40" s="32"/>
      <c r="EIK40" s="32"/>
      <c r="EIL40" s="32"/>
      <c r="EIM40" s="32"/>
      <c r="EIN40" s="32"/>
      <c r="EIO40" s="32"/>
      <c r="EIP40" s="32"/>
      <c r="EIQ40" s="32"/>
      <c r="EIR40" s="32"/>
      <c r="EIS40" s="32"/>
      <c r="EIT40" s="32"/>
      <c r="EIU40" s="32"/>
      <c r="EIV40" s="32"/>
      <c r="EIW40" s="32"/>
      <c r="EIX40" s="32"/>
      <c r="EIY40" s="32"/>
      <c r="EIZ40" s="32"/>
      <c r="EJA40" s="32"/>
      <c r="EJB40" s="32"/>
      <c r="EJC40" s="32"/>
      <c r="EJD40" s="32"/>
      <c r="EJE40" s="32"/>
      <c r="EJF40" s="32"/>
      <c r="EJG40" s="32"/>
      <c r="EJH40" s="32"/>
      <c r="EJI40" s="32"/>
      <c r="EJJ40" s="32"/>
      <c r="EJK40" s="32"/>
      <c r="EJL40" s="32"/>
      <c r="EJM40" s="32"/>
      <c r="EJN40" s="32"/>
      <c r="EJO40" s="32"/>
      <c r="EJP40" s="32"/>
      <c r="EJQ40" s="32"/>
      <c r="EJR40" s="32"/>
      <c r="EJS40" s="32"/>
      <c r="EJT40" s="32"/>
      <c r="EJU40" s="32"/>
      <c r="EJV40" s="32"/>
      <c r="EJW40" s="32"/>
      <c r="EJX40" s="32"/>
      <c r="EJY40" s="32"/>
      <c r="EJZ40" s="32"/>
      <c r="EKA40" s="32"/>
      <c r="EKB40" s="32"/>
      <c r="EKC40" s="32"/>
      <c r="EKD40" s="32"/>
      <c r="EKE40" s="32"/>
      <c r="EKF40" s="32"/>
      <c r="EKG40" s="32"/>
      <c r="EKH40" s="32"/>
      <c r="EKI40" s="32"/>
      <c r="EKJ40" s="32"/>
      <c r="EKK40" s="32"/>
      <c r="EKL40" s="32"/>
      <c r="EKM40" s="32"/>
      <c r="EKN40" s="32"/>
      <c r="EKO40" s="32"/>
      <c r="EKP40" s="32"/>
      <c r="EKQ40" s="32"/>
      <c r="EKR40" s="32"/>
      <c r="EKS40" s="32"/>
      <c r="EKT40" s="32"/>
      <c r="EKU40" s="32"/>
      <c r="EKV40" s="32"/>
      <c r="EKW40" s="32"/>
      <c r="EKX40" s="32"/>
      <c r="EKY40" s="32"/>
      <c r="EKZ40" s="32"/>
      <c r="ELA40" s="32"/>
      <c r="ELB40" s="32"/>
      <c r="ELC40" s="32"/>
      <c r="ELD40" s="32"/>
      <c r="ELE40" s="32"/>
      <c r="ELF40" s="32"/>
      <c r="ELG40" s="32"/>
      <c r="ELH40" s="32"/>
      <c r="ELI40" s="32"/>
      <c r="ELJ40" s="32"/>
      <c r="ELK40" s="32"/>
      <c r="ELL40" s="32"/>
      <c r="ELM40" s="32"/>
      <c r="ELN40" s="32"/>
      <c r="ELO40" s="32"/>
      <c r="ELP40" s="32"/>
      <c r="ELQ40" s="32"/>
      <c r="ELR40" s="32"/>
      <c r="ELS40" s="32"/>
      <c r="ELT40" s="32"/>
      <c r="ELU40" s="32"/>
      <c r="ELV40" s="32"/>
      <c r="ELW40" s="32"/>
      <c r="ELX40" s="32"/>
      <c r="ELY40" s="32"/>
      <c r="ELZ40" s="32"/>
      <c r="EMA40" s="32"/>
      <c r="EMB40" s="32"/>
      <c r="EMC40" s="32"/>
      <c r="EMD40" s="32"/>
      <c r="EME40" s="32"/>
      <c r="EMF40" s="32"/>
      <c r="EMG40" s="32"/>
      <c r="EMH40" s="32"/>
      <c r="EMI40" s="32"/>
      <c r="EMJ40" s="32"/>
      <c r="EMK40" s="32"/>
      <c r="EML40" s="32"/>
      <c r="EMM40" s="32"/>
      <c r="EMN40" s="32"/>
      <c r="EMO40" s="32"/>
      <c r="EMP40" s="32"/>
      <c r="EMQ40" s="32"/>
      <c r="EMR40" s="32"/>
      <c r="EMS40" s="32"/>
      <c r="EMT40" s="32"/>
      <c r="EMU40" s="32"/>
      <c r="EMV40" s="32"/>
      <c r="EMW40" s="32"/>
      <c r="EMX40" s="32"/>
      <c r="EMY40" s="32"/>
      <c r="EMZ40" s="32"/>
      <c r="ENA40" s="32"/>
      <c r="ENB40" s="32"/>
      <c r="ENC40" s="32"/>
      <c r="END40" s="32"/>
      <c r="ENE40" s="32"/>
      <c r="ENF40" s="32"/>
      <c r="ENG40" s="32"/>
      <c r="ENH40" s="32"/>
      <c r="ENI40" s="32"/>
      <c r="ENJ40" s="32"/>
      <c r="ENK40" s="32"/>
      <c r="ENL40" s="32"/>
      <c r="ENM40" s="32"/>
      <c r="ENN40" s="32"/>
      <c r="ENO40" s="32"/>
      <c r="ENP40" s="32"/>
      <c r="ENQ40" s="32"/>
      <c r="ENR40" s="32"/>
      <c r="ENS40" s="32"/>
      <c r="ENT40" s="32"/>
      <c r="ENU40" s="32"/>
      <c r="ENV40" s="32"/>
      <c r="ENW40" s="32"/>
      <c r="ENX40" s="32"/>
      <c r="ENY40" s="32"/>
      <c r="ENZ40" s="32"/>
      <c r="EOA40" s="32"/>
      <c r="EOB40" s="32"/>
      <c r="EOC40" s="32"/>
      <c r="EOD40" s="32"/>
      <c r="EOE40" s="32"/>
      <c r="EOF40" s="32"/>
      <c r="EOG40" s="32"/>
      <c r="EOH40" s="32"/>
      <c r="EOI40" s="32"/>
      <c r="EOJ40" s="32"/>
      <c r="EOK40" s="32"/>
      <c r="EOL40" s="32"/>
      <c r="EOM40" s="32"/>
      <c r="EON40" s="32"/>
      <c r="EOO40" s="32"/>
      <c r="EOP40" s="32"/>
      <c r="EOQ40" s="32"/>
      <c r="EOR40" s="32"/>
      <c r="EOS40" s="32"/>
      <c r="EOT40" s="32"/>
      <c r="EOU40" s="32"/>
      <c r="EOV40" s="32"/>
      <c r="EOW40" s="32"/>
      <c r="EOX40" s="32"/>
      <c r="EOY40" s="32"/>
      <c r="EOZ40" s="32"/>
      <c r="EPA40" s="32"/>
      <c r="EPB40" s="32"/>
      <c r="EPC40" s="32"/>
      <c r="EPD40" s="32"/>
      <c r="EPE40" s="32"/>
      <c r="EPF40" s="32"/>
      <c r="EPG40" s="32"/>
      <c r="EPH40" s="32"/>
      <c r="EPI40" s="32"/>
      <c r="EPJ40" s="32"/>
      <c r="EPK40" s="32"/>
      <c r="EPL40" s="32"/>
      <c r="EPM40" s="32"/>
      <c r="EPN40" s="32"/>
      <c r="EPO40" s="32"/>
      <c r="EPP40" s="32"/>
      <c r="EPQ40" s="32"/>
      <c r="EPR40" s="32"/>
      <c r="EPS40" s="32"/>
      <c r="EPT40" s="32"/>
      <c r="EPU40" s="32"/>
      <c r="EPV40" s="32"/>
      <c r="EPW40" s="32"/>
      <c r="EPX40" s="32"/>
      <c r="EPY40" s="32"/>
      <c r="EPZ40" s="32"/>
      <c r="EQA40" s="32"/>
      <c r="EQB40" s="32"/>
      <c r="EQC40" s="32"/>
      <c r="EQD40" s="32"/>
      <c r="EQE40" s="32"/>
      <c r="EQF40" s="32"/>
      <c r="EQG40" s="32"/>
      <c r="EQH40" s="32"/>
      <c r="EQI40" s="32"/>
      <c r="EQJ40" s="32"/>
      <c r="EQK40" s="32"/>
      <c r="EQL40" s="32"/>
      <c r="EQM40" s="32"/>
      <c r="EQN40" s="32"/>
      <c r="EQO40" s="32"/>
      <c r="EQP40" s="32"/>
      <c r="EQQ40" s="32"/>
      <c r="EQR40" s="32"/>
      <c r="EQS40" s="32"/>
      <c r="EQT40" s="32"/>
      <c r="EQU40" s="32"/>
      <c r="EQV40" s="32"/>
      <c r="EQW40" s="32"/>
      <c r="EQX40" s="32"/>
      <c r="EQY40" s="32"/>
      <c r="EQZ40" s="32"/>
      <c r="ERA40" s="32"/>
      <c r="ERB40" s="32"/>
      <c r="ERC40" s="32"/>
      <c r="ERD40" s="32"/>
      <c r="ERE40" s="32"/>
      <c r="ERF40" s="32"/>
      <c r="ERG40" s="32"/>
      <c r="ERH40" s="32"/>
      <c r="ERI40" s="32"/>
      <c r="ERJ40" s="32"/>
      <c r="ERK40" s="32"/>
      <c r="ERL40" s="32"/>
      <c r="ERM40" s="32"/>
      <c r="ERN40" s="32"/>
      <c r="ERO40" s="32"/>
      <c r="ERP40" s="32"/>
      <c r="ERQ40" s="32"/>
      <c r="ERR40" s="32"/>
      <c r="ERS40" s="32"/>
      <c r="ERT40" s="32"/>
      <c r="ERU40" s="32"/>
      <c r="ERV40" s="32"/>
      <c r="ERW40" s="32"/>
      <c r="ERX40" s="32"/>
      <c r="ERY40" s="32"/>
      <c r="ERZ40" s="32"/>
      <c r="ESA40" s="32"/>
      <c r="ESB40" s="32"/>
      <c r="ESC40" s="32"/>
      <c r="ESD40" s="32"/>
      <c r="ESE40" s="32"/>
      <c r="ESF40" s="32"/>
      <c r="ESG40" s="32"/>
      <c r="ESH40" s="32"/>
      <c r="ESI40" s="32"/>
      <c r="ESJ40" s="32"/>
      <c r="ESK40" s="32"/>
      <c r="ESL40" s="32"/>
      <c r="ESM40" s="32"/>
      <c r="ESN40" s="32"/>
      <c r="ESO40" s="32"/>
      <c r="ESP40" s="32"/>
      <c r="ESQ40" s="32"/>
      <c r="ESR40" s="32"/>
      <c r="ESS40" s="32"/>
      <c r="EST40" s="32"/>
      <c r="ESU40" s="32"/>
      <c r="ESV40" s="32"/>
      <c r="ESW40" s="32"/>
      <c r="ESX40" s="32"/>
      <c r="ESY40" s="32"/>
      <c r="ESZ40" s="32"/>
      <c r="ETA40" s="32"/>
      <c r="ETB40" s="32"/>
      <c r="ETC40" s="32"/>
      <c r="ETD40" s="32"/>
      <c r="ETE40" s="32"/>
      <c r="ETF40" s="32"/>
      <c r="ETG40" s="32"/>
      <c r="ETH40" s="32"/>
      <c r="ETI40" s="32"/>
      <c r="ETJ40" s="32"/>
      <c r="ETK40" s="32"/>
      <c r="ETL40" s="32"/>
      <c r="ETM40" s="32"/>
      <c r="ETN40" s="32"/>
      <c r="ETO40" s="32"/>
      <c r="ETP40" s="32"/>
      <c r="ETQ40" s="32"/>
      <c r="ETR40" s="32"/>
      <c r="ETS40" s="32"/>
      <c r="ETT40" s="32"/>
      <c r="ETU40" s="32"/>
      <c r="ETV40" s="32"/>
      <c r="ETW40" s="32"/>
      <c r="ETX40" s="32"/>
      <c r="ETY40" s="32"/>
      <c r="ETZ40" s="32"/>
      <c r="EUA40" s="32"/>
      <c r="EUB40" s="32"/>
      <c r="EUC40" s="32"/>
      <c r="EUD40" s="32"/>
      <c r="EUE40" s="32"/>
      <c r="EUF40" s="32"/>
      <c r="EUG40" s="32"/>
      <c r="EUH40" s="32"/>
      <c r="EUI40" s="32"/>
      <c r="EUJ40" s="32"/>
      <c r="EUK40" s="32"/>
      <c r="EUL40" s="32"/>
      <c r="EUM40" s="32"/>
      <c r="EUN40" s="32"/>
      <c r="EUO40" s="32"/>
      <c r="EUP40" s="32"/>
      <c r="EUQ40" s="32"/>
      <c r="EUR40" s="32"/>
      <c r="EUS40" s="32"/>
      <c r="EUT40" s="32"/>
      <c r="EUU40" s="32"/>
      <c r="EUV40" s="32"/>
      <c r="EUW40" s="32"/>
      <c r="EUX40" s="32"/>
      <c r="EUY40" s="32"/>
      <c r="EUZ40" s="32"/>
      <c r="EVA40" s="32"/>
      <c r="EVB40" s="32"/>
      <c r="EVC40" s="32"/>
      <c r="EVD40" s="32"/>
      <c r="EVE40" s="32"/>
      <c r="EVF40" s="32"/>
      <c r="EVG40" s="32"/>
      <c r="EVH40" s="32"/>
      <c r="EVI40" s="32"/>
      <c r="EVJ40" s="32"/>
      <c r="EVK40" s="32"/>
      <c r="EVL40" s="32"/>
      <c r="EVM40" s="32"/>
      <c r="EVN40" s="32"/>
      <c r="EVO40" s="32"/>
      <c r="EVP40" s="32"/>
      <c r="EVQ40" s="32"/>
      <c r="EVR40" s="32"/>
      <c r="EVS40" s="32"/>
      <c r="EVT40" s="32"/>
      <c r="EVU40" s="32"/>
      <c r="EVV40" s="32"/>
      <c r="EVW40" s="32"/>
      <c r="EVX40" s="32"/>
      <c r="EVY40" s="32"/>
      <c r="EVZ40" s="32"/>
      <c r="EWA40" s="32"/>
      <c r="EWB40" s="32"/>
      <c r="EWC40" s="32"/>
      <c r="EWD40" s="32"/>
      <c r="EWE40" s="32"/>
      <c r="EWF40" s="32"/>
      <c r="EWG40" s="32"/>
      <c r="EWH40" s="32"/>
      <c r="EWI40" s="32"/>
      <c r="EWJ40" s="32"/>
      <c r="EWK40" s="32"/>
      <c r="EWL40" s="32"/>
      <c r="EWM40" s="32"/>
      <c r="EWN40" s="32"/>
      <c r="EWO40" s="32"/>
      <c r="EWP40" s="32"/>
      <c r="EWQ40" s="32"/>
      <c r="EWR40" s="32"/>
      <c r="EWS40" s="32"/>
      <c r="EWT40" s="32"/>
      <c r="EWU40" s="32"/>
      <c r="EWV40" s="32"/>
      <c r="EWW40" s="32"/>
      <c r="EWX40" s="32"/>
      <c r="EWY40" s="32"/>
      <c r="EWZ40" s="32"/>
      <c r="EXA40" s="32"/>
      <c r="EXB40" s="32"/>
      <c r="EXC40" s="32"/>
      <c r="EXD40" s="32"/>
      <c r="EXE40" s="32"/>
      <c r="EXF40" s="32"/>
      <c r="EXG40" s="32"/>
      <c r="EXH40" s="32"/>
      <c r="EXI40" s="32"/>
      <c r="EXJ40" s="32"/>
      <c r="EXK40" s="32"/>
      <c r="EXL40" s="32"/>
      <c r="EXM40" s="32"/>
      <c r="EXN40" s="32"/>
      <c r="EXO40" s="32"/>
      <c r="EXP40" s="32"/>
      <c r="EXQ40" s="32"/>
      <c r="EXR40" s="32"/>
      <c r="EXS40" s="32"/>
      <c r="EXT40" s="32"/>
      <c r="EXU40" s="32"/>
      <c r="EXV40" s="32"/>
      <c r="EXW40" s="32"/>
      <c r="EXX40" s="32"/>
      <c r="EXY40" s="32"/>
      <c r="EXZ40" s="32"/>
      <c r="EYA40" s="32"/>
      <c r="EYB40" s="32"/>
      <c r="EYC40" s="32"/>
      <c r="EYD40" s="32"/>
      <c r="EYE40" s="32"/>
      <c r="EYF40" s="32"/>
      <c r="EYG40" s="32"/>
      <c r="EYH40" s="32"/>
      <c r="EYI40" s="32"/>
      <c r="EYJ40" s="32"/>
      <c r="EYK40" s="32"/>
      <c r="EYL40" s="32"/>
      <c r="EYM40" s="32"/>
      <c r="EYN40" s="32"/>
      <c r="EYO40" s="32"/>
      <c r="EYP40" s="32"/>
      <c r="EYQ40" s="32"/>
      <c r="EYR40" s="32"/>
      <c r="EYS40" s="32"/>
      <c r="EYT40" s="32"/>
      <c r="EYU40" s="32"/>
      <c r="EYV40" s="32"/>
      <c r="EYW40" s="32"/>
      <c r="EYX40" s="32"/>
      <c r="EYY40" s="32"/>
      <c r="EYZ40" s="32"/>
      <c r="EZA40" s="32"/>
      <c r="EZB40" s="32"/>
      <c r="EZC40" s="32"/>
      <c r="EZD40" s="32"/>
      <c r="EZE40" s="32"/>
      <c r="EZF40" s="32"/>
      <c r="EZG40" s="32"/>
      <c r="EZH40" s="32"/>
      <c r="EZI40" s="32"/>
      <c r="EZJ40" s="32"/>
      <c r="EZK40" s="32"/>
      <c r="EZL40" s="32"/>
      <c r="EZM40" s="32"/>
      <c r="EZN40" s="32"/>
      <c r="EZO40" s="32"/>
      <c r="EZP40" s="32"/>
      <c r="EZQ40" s="32"/>
      <c r="EZR40" s="32"/>
      <c r="EZS40" s="32"/>
      <c r="EZT40" s="32"/>
      <c r="EZU40" s="32"/>
      <c r="EZV40" s="32"/>
      <c r="EZW40" s="32"/>
      <c r="EZX40" s="32"/>
      <c r="EZY40" s="32"/>
      <c r="EZZ40" s="32"/>
      <c r="FAA40" s="32"/>
      <c r="FAB40" s="32"/>
      <c r="FAC40" s="32"/>
      <c r="FAD40" s="32"/>
      <c r="FAE40" s="32"/>
      <c r="FAF40" s="32"/>
      <c r="FAG40" s="32"/>
      <c r="FAH40" s="32"/>
      <c r="FAI40" s="32"/>
      <c r="FAJ40" s="32"/>
      <c r="FAK40" s="32"/>
      <c r="FAL40" s="32"/>
      <c r="FAM40" s="32"/>
      <c r="FAN40" s="32"/>
      <c r="FAO40" s="32"/>
      <c r="FAP40" s="32"/>
      <c r="FAQ40" s="32"/>
      <c r="FAR40" s="32"/>
      <c r="FAS40" s="32"/>
      <c r="FAT40" s="32"/>
      <c r="FAU40" s="32"/>
      <c r="FAV40" s="32"/>
      <c r="FAW40" s="32"/>
      <c r="FAX40" s="32"/>
      <c r="FAY40" s="32"/>
      <c r="FAZ40" s="32"/>
      <c r="FBA40" s="32"/>
      <c r="FBB40" s="32"/>
      <c r="FBC40" s="32"/>
      <c r="FBD40" s="32"/>
      <c r="FBE40" s="32"/>
      <c r="FBF40" s="32"/>
      <c r="FBG40" s="32"/>
      <c r="FBH40" s="32"/>
      <c r="FBI40" s="32"/>
      <c r="FBJ40" s="32"/>
      <c r="FBK40" s="32"/>
      <c r="FBL40" s="32"/>
      <c r="FBM40" s="32"/>
      <c r="FBN40" s="32"/>
      <c r="FBO40" s="32"/>
      <c r="FBP40" s="32"/>
      <c r="FBQ40" s="32"/>
      <c r="FBR40" s="32"/>
      <c r="FBS40" s="32"/>
      <c r="FBT40" s="32"/>
      <c r="FBU40" s="32"/>
      <c r="FBV40" s="32"/>
      <c r="FBW40" s="32"/>
      <c r="FBX40" s="32"/>
      <c r="FBY40" s="32"/>
      <c r="FBZ40" s="32"/>
      <c r="FCA40" s="32"/>
      <c r="FCB40" s="32"/>
      <c r="FCC40" s="32"/>
      <c r="FCD40" s="32"/>
      <c r="FCE40" s="32"/>
      <c r="FCF40" s="32"/>
      <c r="FCG40" s="32"/>
      <c r="FCH40" s="32"/>
      <c r="FCI40" s="32"/>
      <c r="FCJ40" s="32"/>
      <c r="FCK40" s="32"/>
      <c r="FCL40" s="32"/>
      <c r="FCM40" s="32"/>
      <c r="FCN40" s="32"/>
      <c r="FCO40" s="32"/>
      <c r="FCP40" s="32"/>
      <c r="FCQ40" s="32"/>
      <c r="FCR40" s="32"/>
      <c r="FCS40" s="32"/>
      <c r="FCT40" s="32"/>
      <c r="FCU40" s="32"/>
      <c r="FCV40" s="32"/>
      <c r="FCW40" s="32"/>
      <c r="FCX40" s="32"/>
      <c r="FCY40" s="32"/>
      <c r="FCZ40" s="32"/>
      <c r="FDA40" s="32"/>
      <c r="FDB40" s="32"/>
      <c r="FDC40" s="32"/>
      <c r="FDD40" s="32"/>
      <c r="FDE40" s="32"/>
      <c r="FDF40" s="32"/>
      <c r="FDG40" s="32"/>
      <c r="FDH40" s="32"/>
      <c r="FDI40" s="32"/>
      <c r="FDJ40" s="32"/>
      <c r="FDK40" s="32"/>
      <c r="FDL40" s="32"/>
      <c r="FDM40" s="32"/>
      <c r="FDN40" s="32"/>
      <c r="FDO40" s="32"/>
      <c r="FDP40" s="32"/>
      <c r="FDQ40" s="32"/>
      <c r="FDR40" s="32"/>
      <c r="FDS40" s="32"/>
      <c r="FDT40" s="32"/>
      <c r="FDU40" s="32"/>
      <c r="FDV40" s="32"/>
      <c r="FDW40" s="32"/>
      <c r="FDX40" s="32"/>
      <c r="FDY40" s="32"/>
      <c r="FDZ40" s="32"/>
      <c r="FEA40" s="32"/>
      <c r="FEB40" s="32"/>
      <c r="FEC40" s="32"/>
      <c r="FED40" s="32"/>
      <c r="FEE40" s="32"/>
      <c r="FEF40" s="32"/>
      <c r="FEG40" s="32"/>
      <c r="FEH40" s="32"/>
      <c r="FEI40" s="32"/>
      <c r="FEJ40" s="32"/>
      <c r="FEK40" s="32"/>
      <c r="FEL40" s="32"/>
      <c r="FEM40" s="32"/>
      <c r="FEN40" s="32"/>
      <c r="FEO40" s="32"/>
      <c r="FEP40" s="32"/>
      <c r="FEQ40" s="32"/>
      <c r="FER40" s="32"/>
      <c r="FES40" s="32"/>
      <c r="FET40" s="32"/>
      <c r="FEU40" s="32"/>
      <c r="FEV40" s="32"/>
      <c r="FEW40" s="32"/>
      <c r="FEX40" s="32"/>
      <c r="FEY40" s="32"/>
      <c r="FEZ40" s="32"/>
      <c r="FFA40" s="32"/>
      <c r="FFB40" s="32"/>
      <c r="FFC40" s="32"/>
      <c r="FFD40" s="32"/>
      <c r="FFE40" s="32"/>
      <c r="FFF40" s="32"/>
      <c r="FFG40" s="32"/>
      <c r="FFH40" s="32"/>
      <c r="FFI40" s="32"/>
      <c r="FFJ40" s="32"/>
      <c r="FFK40" s="32"/>
      <c r="FFL40" s="32"/>
      <c r="FFM40" s="32"/>
      <c r="FFN40" s="32"/>
      <c r="FFO40" s="32"/>
      <c r="FFP40" s="32"/>
      <c r="FFQ40" s="32"/>
      <c r="FFR40" s="32"/>
      <c r="FFS40" s="32"/>
      <c r="FFT40" s="32"/>
      <c r="FFU40" s="32"/>
      <c r="FFV40" s="32"/>
      <c r="FFW40" s="32"/>
      <c r="FFX40" s="32"/>
      <c r="FFY40" s="32"/>
      <c r="FFZ40" s="32"/>
      <c r="FGA40" s="32"/>
      <c r="FGB40" s="32"/>
      <c r="FGC40" s="32"/>
      <c r="FGD40" s="32"/>
      <c r="FGE40" s="32"/>
      <c r="FGF40" s="32"/>
      <c r="FGG40" s="32"/>
      <c r="FGH40" s="32"/>
      <c r="FGI40" s="32"/>
      <c r="FGJ40" s="32"/>
      <c r="FGK40" s="32"/>
      <c r="FGL40" s="32"/>
      <c r="FGM40" s="32"/>
      <c r="FGN40" s="32"/>
      <c r="FGO40" s="32"/>
      <c r="FGP40" s="32"/>
      <c r="FGQ40" s="32"/>
      <c r="FGR40" s="32"/>
      <c r="FGS40" s="32"/>
      <c r="FGT40" s="32"/>
      <c r="FGU40" s="32"/>
      <c r="FGV40" s="32"/>
      <c r="FGW40" s="32"/>
      <c r="FGX40" s="32"/>
      <c r="FGY40" s="32"/>
      <c r="FGZ40" s="32"/>
      <c r="FHA40" s="32"/>
      <c r="FHB40" s="32"/>
      <c r="FHC40" s="32"/>
      <c r="FHD40" s="32"/>
      <c r="FHE40" s="32"/>
      <c r="FHF40" s="32"/>
      <c r="FHG40" s="32"/>
      <c r="FHH40" s="32"/>
      <c r="FHI40" s="32"/>
      <c r="FHJ40" s="32"/>
      <c r="FHK40" s="32"/>
      <c r="FHL40" s="32"/>
      <c r="FHM40" s="32"/>
      <c r="FHN40" s="32"/>
      <c r="FHO40" s="32"/>
      <c r="FHP40" s="32"/>
      <c r="FHQ40" s="32"/>
      <c r="FHR40" s="32"/>
      <c r="FHS40" s="32"/>
      <c r="FHT40" s="32"/>
      <c r="FHU40" s="32"/>
      <c r="FHV40" s="32"/>
      <c r="FHW40" s="32"/>
      <c r="FHX40" s="32"/>
      <c r="FHY40" s="32"/>
      <c r="FHZ40" s="32"/>
      <c r="FIA40" s="32"/>
      <c r="FIB40" s="32"/>
      <c r="FIC40" s="32"/>
      <c r="FID40" s="32"/>
      <c r="FIE40" s="32"/>
      <c r="FIF40" s="32"/>
      <c r="FIG40" s="32"/>
      <c r="FIH40" s="32"/>
      <c r="FII40" s="32"/>
      <c r="FIJ40" s="32"/>
      <c r="FIK40" s="32"/>
      <c r="FIL40" s="32"/>
      <c r="FIM40" s="32"/>
      <c r="FIN40" s="32"/>
      <c r="FIO40" s="32"/>
      <c r="FIP40" s="32"/>
      <c r="FIQ40" s="32"/>
      <c r="FIR40" s="32"/>
      <c r="FIS40" s="32"/>
      <c r="FIT40" s="32"/>
      <c r="FIU40" s="32"/>
      <c r="FIV40" s="32"/>
      <c r="FIW40" s="32"/>
      <c r="FIX40" s="32"/>
      <c r="FIY40" s="32"/>
      <c r="FIZ40" s="32"/>
      <c r="FJA40" s="32"/>
      <c r="FJB40" s="32"/>
      <c r="FJC40" s="32"/>
      <c r="FJD40" s="32"/>
      <c r="FJE40" s="32"/>
      <c r="FJF40" s="32"/>
      <c r="FJG40" s="32"/>
      <c r="FJH40" s="32"/>
      <c r="FJI40" s="32"/>
      <c r="FJJ40" s="32"/>
      <c r="FJK40" s="32"/>
      <c r="FJL40" s="32"/>
      <c r="FJM40" s="32"/>
      <c r="FJN40" s="32"/>
      <c r="FJO40" s="32"/>
      <c r="FJP40" s="32"/>
      <c r="FJQ40" s="32"/>
      <c r="FJR40" s="32"/>
      <c r="FJS40" s="32"/>
      <c r="FJT40" s="32"/>
      <c r="FJU40" s="32"/>
      <c r="FJV40" s="32"/>
      <c r="FJW40" s="32"/>
      <c r="FJX40" s="32"/>
      <c r="FJY40" s="32"/>
      <c r="FJZ40" s="32"/>
      <c r="FKA40" s="32"/>
      <c r="FKB40" s="32"/>
      <c r="FKC40" s="32"/>
      <c r="FKD40" s="32"/>
      <c r="FKE40" s="32"/>
      <c r="FKF40" s="32"/>
      <c r="FKG40" s="32"/>
      <c r="FKH40" s="32"/>
      <c r="FKI40" s="32"/>
      <c r="FKJ40" s="32"/>
      <c r="FKK40" s="32"/>
      <c r="FKL40" s="32"/>
      <c r="FKM40" s="32"/>
      <c r="FKN40" s="32"/>
      <c r="FKO40" s="32"/>
      <c r="FKP40" s="32"/>
      <c r="FKQ40" s="32"/>
      <c r="FKR40" s="32"/>
      <c r="FKS40" s="32"/>
      <c r="FKT40" s="32"/>
      <c r="FKU40" s="32"/>
      <c r="FKV40" s="32"/>
      <c r="FKW40" s="32"/>
      <c r="FKX40" s="32"/>
      <c r="FKY40" s="32"/>
      <c r="FKZ40" s="32"/>
      <c r="FLA40" s="32"/>
      <c r="FLB40" s="32"/>
      <c r="FLC40" s="32"/>
      <c r="FLD40" s="32"/>
      <c r="FLE40" s="32"/>
      <c r="FLF40" s="32"/>
      <c r="FLG40" s="32"/>
      <c r="FLH40" s="32"/>
      <c r="FLI40" s="32"/>
      <c r="FLJ40" s="32"/>
      <c r="FLK40" s="32"/>
      <c r="FLL40" s="32"/>
      <c r="FLM40" s="32"/>
      <c r="FLN40" s="32"/>
      <c r="FLO40" s="32"/>
      <c r="FLP40" s="32"/>
      <c r="FLQ40" s="32"/>
      <c r="FLR40" s="32"/>
      <c r="FLS40" s="32"/>
      <c r="FLT40" s="32"/>
      <c r="FLU40" s="32"/>
      <c r="FLV40" s="32"/>
      <c r="FLW40" s="32"/>
      <c r="FLX40" s="32"/>
      <c r="FLY40" s="32"/>
      <c r="FLZ40" s="32"/>
      <c r="FMA40" s="32"/>
      <c r="FMB40" s="32"/>
      <c r="FMC40" s="32"/>
      <c r="FMD40" s="32"/>
      <c r="FME40" s="32"/>
      <c r="FMF40" s="32"/>
      <c r="FMG40" s="32"/>
      <c r="FMH40" s="32"/>
      <c r="FMI40" s="32"/>
      <c r="FMJ40" s="32"/>
      <c r="FMK40" s="32"/>
      <c r="FML40" s="32"/>
      <c r="FMM40" s="32"/>
      <c r="FMN40" s="32"/>
      <c r="FMO40" s="32"/>
      <c r="FMP40" s="32"/>
      <c r="FMQ40" s="32"/>
      <c r="FMR40" s="32"/>
      <c r="FMS40" s="32"/>
      <c r="FMT40" s="32"/>
      <c r="FMU40" s="32"/>
      <c r="FMV40" s="32"/>
      <c r="FMW40" s="32"/>
      <c r="FMX40" s="32"/>
      <c r="FMY40" s="32"/>
      <c r="FMZ40" s="32"/>
      <c r="FNA40" s="32"/>
      <c r="FNB40" s="32"/>
      <c r="FNC40" s="32"/>
      <c r="FND40" s="32"/>
      <c r="FNE40" s="32"/>
      <c r="FNF40" s="32"/>
      <c r="FNG40" s="32"/>
      <c r="FNH40" s="32"/>
      <c r="FNI40" s="32"/>
      <c r="FNJ40" s="32"/>
      <c r="FNK40" s="32"/>
      <c r="FNL40" s="32"/>
      <c r="FNM40" s="32"/>
      <c r="FNN40" s="32"/>
      <c r="FNO40" s="32"/>
      <c r="FNP40" s="32"/>
      <c r="FNQ40" s="32"/>
      <c r="FNR40" s="32"/>
      <c r="FNS40" s="32"/>
      <c r="FNT40" s="32"/>
      <c r="FNU40" s="32"/>
      <c r="FNV40" s="32"/>
      <c r="FNW40" s="32"/>
      <c r="FNX40" s="32"/>
      <c r="FNY40" s="32"/>
      <c r="FNZ40" s="32"/>
      <c r="FOA40" s="32"/>
      <c r="FOB40" s="32"/>
      <c r="FOC40" s="32"/>
      <c r="FOD40" s="32"/>
      <c r="FOE40" s="32"/>
      <c r="FOF40" s="32"/>
      <c r="FOG40" s="32"/>
      <c r="FOH40" s="32"/>
      <c r="FOI40" s="32"/>
      <c r="FOJ40" s="32"/>
      <c r="FOK40" s="32"/>
      <c r="FOL40" s="32"/>
      <c r="FOM40" s="32"/>
      <c r="FON40" s="32"/>
      <c r="FOO40" s="32"/>
      <c r="FOP40" s="32"/>
      <c r="FOQ40" s="32"/>
      <c r="FOR40" s="32"/>
      <c r="FOS40" s="32"/>
      <c r="FOT40" s="32"/>
      <c r="FOU40" s="32"/>
      <c r="FOV40" s="32"/>
      <c r="FOW40" s="32"/>
      <c r="FOX40" s="32"/>
      <c r="FOY40" s="32"/>
      <c r="FOZ40" s="32"/>
      <c r="FPA40" s="32"/>
      <c r="FPB40" s="32"/>
      <c r="FPC40" s="32"/>
      <c r="FPD40" s="32"/>
      <c r="FPE40" s="32"/>
      <c r="FPF40" s="32"/>
      <c r="FPG40" s="32"/>
      <c r="FPH40" s="32"/>
      <c r="FPI40" s="32"/>
      <c r="FPJ40" s="32"/>
      <c r="FPK40" s="32"/>
      <c r="FPL40" s="32"/>
      <c r="FPM40" s="32"/>
      <c r="FPN40" s="32"/>
      <c r="FPO40" s="32"/>
      <c r="FPP40" s="32"/>
      <c r="FPQ40" s="32"/>
      <c r="FPR40" s="32"/>
      <c r="FPS40" s="32"/>
      <c r="FPT40" s="32"/>
      <c r="FPU40" s="32"/>
      <c r="FPV40" s="32"/>
      <c r="FPW40" s="32"/>
      <c r="FPX40" s="32"/>
      <c r="FPY40" s="32"/>
      <c r="FPZ40" s="32"/>
      <c r="FQA40" s="32"/>
      <c r="FQB40" s="32"/>
      <c r="FQC40" s="32"/>
      <c r="FQD40" s="32"/>
      <c r="FQE40" s="32"/>
      <c r="FQF40" s="32"/>
      <c r="FQG40" s="32"/>
      <c r="FQH40" s="32"/>
      <c r="FQI40" s="32"/>
      <c r="FQJ40" s="32"/>
      <c r="FQK40" s="32"/>
      <c r="FQL40" s="32"/>
      <c r="FQM40" s="32"/>
      <c r="FQN40" s="32"/>
      <c r="FQO40" s="32"/>
      <c r="FQP40" s="32"/>
      <c r="FQQ40" s="32"/>
      <c r="FQR40" s="32"/>
      <c r="FQS40" s="32"/>
      <c r="FQT40" s="32"/>
      <c r="FQU40" s="32"/>
      <c r="FQV40" s="32"/>
      <c r="FQW40" s="32"/>
      <c r="FQX40" s="32"/>
      <c r="FQY40" s="32"/>
      <c r="FQZ40" s="32"/>
      <c r="FRA40" s="32"/>
      <c r="FRB40" s="32"/>
      <c r="FRC40" s="32"/>
      <c r="FRD40" s="32"/>
      <c r="FRE40" s="32"/>
      <c r="FRF40" s="32"/>
      <c r="FRG40" s="32"/>
      <c r="FRH40" s="32"/>
      <c r="FRI40" s="32"/>
      <c r="FRJ40" s="32"/>
      <c r="FRK40" s="32"/>
      <c r="FRL40" s="32"/>
      <c r="FRM40" s="32"/>
      <c r="FRN40" s="32"/>
      <c r="FRO40" s="32"/>
      <c r="FRP40" s="32"/>
      <c r="FRQ40" s="32"/>
      <c r="FRR40" s="32"/>
      <c r="FRS40" s="32"/>
      <c r="FRT40" s="32"/>
      <c r="FRU40" s="32"/>
      <c r="FRV40" s="32"/>
      <c r="FRW40" s="32"/>
      <c r="FRX40" s="32"/>
      <c r="FRY40" s="32"/>
      <c r="FRZ40" s="32"/>
      <c r="FSA40" s="32"/>
      <c r="FSB40" s="32"/>
      <c r="FSC40" s="32"/>
      <c r="FSD40" s="32"/>
      <c r="FSE40" s="32"/>
      <c r="FSF40" s="32"/>
      <c r="FSG40" s="32"/>
      <c r="FSH40" s="32"/>
      <c r="FSI40" s="32"/>
      <c r="FSJ40" s="32"/>
      <c r="FSK40" s="32"/>
      <c r="FSL40" s="32"/>
      <c r="FSM40" s="32"/>
      <c r="FSN40" s="32"/>
      <c r="FSO40" s="32"/>
      <c r="FSP40" s="32"/>
      <c r="FSQ40" s="32"/>
      <c r="FSR40" s="32"/>
      <c r="FSS40" s="32"/>
      <c r="FST40" s="32"/>
      <c r="FSU40" s="32"/>
      <c r="FSV40" s="32"/>
      <c r="FSW40" s="32"/>
      <c r="FSX40" s="32"/>
      <c r="FSY40" s="32"/>
      <c r="FSZ40" s="32"/>
      <c r="FTA40" s="32"/>
      <c r="FTB40" s="32"/>
      <c r="FTC40" s="32"/>
      <c r="FTD40" s="32"/>
      <c r="FTE40" s="32"/>
      <c r="FTF40" s="32"/>
      <c r="FTG40" s="32"/>
      <c r="FTH40" s="32"/>
      <c r="FTI40" s="32"/>
      <c r="FTJ40" s="32"/>
      <c r="FTK40" s="32"/>
      <c r="FTL40" s="32"/>
      <c r="FTM40" s="32"/>
      <c r="FTN40" s="32"/>
      <c r="FTO40" s="32"/>
      <c r="FTP40" s="32"/>
      <c r="FTQ40" s="32"/>
      <c r="FTR40" s="32"/>
      <c r="FTS40" s="32"/>
      <c r="FTT40" s="32"/>
      <c r="FTU40" s="32"/>
      <c r="FTV40" s="32"/>
      <c r="FTW40" s="32"/>
      <c r="FTX40" s="32"/>
      <c r="FTY40" s="32"/>
      <c r="FTZ40" s="32"/>
      <c r="FUA40" s="32"/>
      <c r="FUB40" s="32"/>
      <c r="FUC40" s="32"/>
      <c r="FUD40" s="32"/>
      <c r="FUE40" s="32"/>
      <c r="FUF40" s="32"/>
      <c r="FUG40" s="32"/>
      <c r="FUH40" s="32"/>
      <c r="FUI40" s="32"/>
      <c r="FUJ40" s="32"/>
      <c r="FUK40" s="32"/>
      <c r="FUL40" s="32"/>
      <c r="FUM40" s="32"/>
      <c r="FUN40" s="32"/>
      <c r="FUO40" s="32"/>
      <c r="FUP40" s="32"/>
      <c r="FUQ40" s="32"/>
      <c r="FUR40" s="32"/>
      <c r="FUS40" s="32"/>
      <c r="FUT40" s="32"/>
      <c r="FUU40" s="32"/>
      <c r="FUV40" s="32"/>
      <c r="FUW40" s="32"/>
      <c r="FUX40" s="32"/>
      <c r="FUY40" s="32"/>
      <c r="FUZ40" s="32"/>
      <c r="FVA40" s="32"/>
      <c r="FVB40" s="32"/>
      <c r="FVC40" s="32"/>
      <c r="FVD40" s="32"/>
      <c r="FVE40" s="32"/>
      <c r="FVF40" s="32"/>
      <c r="FVG40" s="32"/>
      <c r="FVH40" s="32"/>
      <c r="FVI40" s="32"/>
      <c r="FVJ40" s="32"/>
      <c r="FVK40" s="32"/>
      <c r="FVL40" s="32"/>
      <c r="FVM40" s="32"/>
      <c r="FVN40" s="32"/>
      <c r="FVO40" s="32"/>
      <c r="FVP40" s="32"/>
      <c r="FVQ40" s="32"/>
      <c r="FVR40" s="32"/>
      <c r="FVS40" s="32"/>
      <c r="FVT40" s="32"/>
      <c r="FVU40" s="32"/>
      <c r="FVV40" s="32"/>
      <c r="FVW40" s="32"/>
      <c r="FVX40" s="32"/>
      <c r="FVY40" s="32"/>
      <c r="FVZ40" s="32"/>
      <c r="FWA40" s="32"/>
      <c r="FWB40" s="32"/>
      <c r="FWC40" s="32"/>
      <c r="FWD40" s="32"/>
      <c r="FWE40" s="32"/>
      <c r="FWF40" s="32"/>
      <c r="FWG40" s="32"/>
      <c r="FWH40" s="32"/>
      <c r="FWI40" s="32"/>
      <c r="FWJ40" s="32"/>
      <c r="FWK40" s="32"/>
      <c r="FWL40" s="32"/>
      <c r="FWM40" s="32"/>
      <c r="FWN40" s="32"/>
      <c r="FWO40" s="32"/>
      <c r="FWP40" s="32"/>
      <c r="FWQ40" s="32"/>
      <c r="FWR40" s="32"/>
      <c r="FWS40" s="32"/>
      <c r="FWT40" s="32"/>
      <c r="FWU40" s="32"/>
      <c r="FWV40" s="32"/>
      <c r="FWW40" s="32"/>
      <c r="FWX40" s="32"/>
      <c r="FWY40" s="32"/>
      <c r="FWZ40" s="32"/>
      <c r="FXA40" s="32"/>
      <c r="FXB40" s="32"/>
      <c r="FXC40" s="32"/>
      <c r="FXD40" s="32"/>
      <c r="FXE40" s="32"/>
      <c r="FXF40" s="32"/>
      <c r="FXG40" s="32"/>
      <c r="FXH40" s="32"/>
      <c r="FXI40" s="32"/>
      <c r="FXJ40" s="32"/>
      <c r="FXK40" s="32"/>
      <c r="FXL40" s="32"/>
      <c r="FXM40" s="32"/>
      <c r="FXN40" s="32"/>
      <c r="FXO40" s="32"/>
      <c r="FXP40" s="32"/>
      <c r="FXQ40" s="32"/>
      <c r="FXR40" s="32"/>
      <c r="FXS40" s="32"/>
      <c r="FXT40" s="32"/>
      <c r="FXU40" s="32"/>
      <c r="FXV40" s="32"/>
      <c r="FXW40" s="32"/>
      <c r="FXX40" s="32"/>
      <c r="FXY40" s="32"/>
      <c r="FXZ40" s="32"/>
      <c r="FYA40" s="32"/>
      <c r="FYB40" s="32"/>
      <c r="FYC40" s="32"/>
      <c r="FYD40" s="32"/>
      <c r="FYE40" s="32"/>
      <c r="FYF40" s="32"/>
      <c r="FYG40" s="32"/>
      <c r="FYH40" s="32"/>
      <c r="FYI40" s="32"/>
      <c r="FYJ40" s="32"/>
      <c r="FYK40" s="32"/>
      <c r="FYL40" s="32"/>
      <c r="FYM40" s="32"/>
      <c r="FYN40" s="32"/>
      <c r="FYO40" s="32"/>
      <c r="FYP40" s="32"/>
      <c r="FYQ40" s="32"/>
      <c r="FYR40" s="32"/>
      <c r="FYS40" s="32"/>
      <c r="FYT40" s="32"/>
      <c r="FYU40" s="32"/>
      <c r="FYV40" s="32"/>
      <c r="FYW40" s="32"/>
      <c r="FYX40" s="32"/>
      <c r="FYY40" s="32"/>
      <c r="FYZ40" s="32"/>
      <c r="FZA40" s="32"/>
      <c r="FZB40" s="32"/>
      <c r="FZC40" s="32"/>
      <c r="FZD40" s="32"/>
      <c r="FZE40" s="32"/>
      <c r="FZF40" s="32"/>
      <c r="FZG40" s="32"/>
      <c r="FZH40" s="32"/>
      <c r="FZI40" s="32"/>
      <c r="FZJ40" s="32"/>
      <c r="FZK40" s="32"/>
      <c r="FZL40" s="32"/>
      <c r="FZM40" s="32"/>
      <c r="FZN40" s="32"/>
      <c r="FZO40" s="32"/>
      <c r="FZP40" s="32"/>
      <c r="FZQ40" s="32"/>
      <c r="FZR40" s="32"/>
      <c r="FZS40" s="32"/>
      <c r="FZT40" s="32"/>
      <c r="FZU40" s="32"/>
      <c r="FZV40" s="32"/>
      <c r="FZW40" s="32"/>
      <c r="FZX40" s="32"/>
      <c r="FZY40" s="32"/>
      <c r="FZZ40" s="32"/>
      <c r="GAA40" s="32"/>
      <c r="GAB40" s="32"/>
      <c r="GAC40" s="32"/>
      <c r="GAD40" s="32"/>
      <c r="GAE40" s="32"/>
      <c r="GAF40" s="32"/>
      <c r="GAG40" s="32"/>
      <c r="GAH40" s="32"/>
      <c r="GAI40" s="32"/>
      <c r="GAJ40" s="32"/>
      <c r="GAK40" s="32"/>
      <c r="GAL40" s="32"/>
      <c r="GAM40" s="32"/>
      <c r="GAN40" s="32"/>
      <c r="GAO40" s="32"/>
      <c r="GAP40" s="32"/>
      <c r="GAQ40" s="32"/>
      <c r="GAR40" s="32"/>
      <c r="GAS40" s="32"/>
      <c r="GAT40" s="32"/>
      <c r="GAU40" s="32"/>
      <c r="GAV40" s="32"/>
      <c r="GAW40" s="32"/>
      <c r="GAX40" s="32"/>
      <c r="GAY40" s="32"/>
      <c r="GAZ40" s="32"/>
      <c r="GBA40" s="32"/>
      <c r="GBB40" s="32"/>
      <c r="GBC40" s="32"/>
      <c r="GBD40" s="32"/>
      <c r="GBE40" s="32"/>
      <c r="GBF40" s="32"/>
      <c r="GBG40" s="32"/>
      <c r="GBH40" s="32"/>
      <c r="GBI40" s="32"/>
      <c r="GBJ40" s="32"/>
      <c r="GBK40" s="32"/>
      <c r="GBL40" s="32"/>
      <c r="GBM40" s="32"/>
      <c r="GBN40" s="32"/>
      <c r="GBO40" s="32"/>
      <c r="GBP40" s="32"/>
      <c r="GBQ40" s="32"/>
      <c r="GBR40" s="32"/>
      <c r="GBS40" s="32"/>
      <c r="GBT40" s="32"/>
      <c r="GBU40" s="32"/>
      <c r="GBV40" s="32"/>
      <c r="GBW40" s="32"/>
      <c r="GBX40" s="32"/>
      <c r="GBY40" s="32"/>
      <c r="GBZ40" s="32"/>
      <c r="GCA40" s="32"/>
      <c r="GCB40" s="32"/>
      <c r="GCC40" s="32"/>
      <c r="GCD40" s="32"/>
      <c r="GCE40" s="32"/>
      <c r="GCF40" s="32"/>
      <c r="GCG40" s="32"/>
      <c r="GCH40" s="32"/>
      <c r="GCI40" s="32"/>
      <c r="GCJ40" s="32"/>
      <c r="GCK40" s="32"/>
      <c r="GCL40" s="32"/>
      <c r="GCM40" s="32"/>
      <c r="GCN40" s="32"/>
      <c r="GCO40" s="32"/>
      <c r="GCP40" s="32"/>
      <c r="GCQ40" s="32"/>
      <c r="GCR40" s="32"/>
      <c r="GCS40" s="32"/>
      <c r="GCT40" s="32"/>
      <c r="GCU40" s="32"/>
      <c r="GCV40" s="32"/>
      <c r="GCW40" s="32"/>
      <c r="GCX40" s="32"/>
      <c r="GCY40" s="32"/>
      <c r="GCZ40" s="32"/>
      <c r="GDA40" s="32"/>
      <c r="GDB40" s="32"/>
      <c r="GDC40" s="32"/>
      <c r="GDD40" s="32"/>
      <c r="GDE40" s="32"/>
      <c r="GDF40" s="32"/>
      <c r="GDG40" s="32"/>
      <c r="GDH40" s="32"/>
      <c r="GDI40" s="32"/>
      <c r="GDJ40" s="32"/>
      <c r="GDK40" s="32"/>
      <c r="GDL40" s="32"/>
      <c r="GDM40" s="32"/>
      <c r="GDN40" s="32"/>
      <c r="GDO40" s="32"/>
      <c r="GDP40" s="32"/>
      <c r="GDQ40" s="32"/>
      <c r="GDR40" s="32"/>
      <c r="GDS40" s="32"/>
      <c r="GDT40" s="32"/>
      <c r="GDU40" s="32"/>
      <c r="GDV40" s="32"/>
      <c r="GDW40" s="32"/>
      <c r="GDX40" s="32"/>
      <c r="GDY40" s="32"/>
      <c r="GDZ40" s="32"/>
      <c r="GEA40" s="32"/>
      <c r="GEB40" s="32"/>
      <c r="GEC40" s="32"/>
      <c r="GED40" s="32"/>
      <c r="GEE40" s="32"/>
      <c r="GEF40" s="32"/>
      <c r="GEG40" s="32"/>
      <c r="GEH40" s="32"/>
      <c r="GEI40" s="32"/>
      <c r="GEJ40" s="32"/>
      <c r="GEK40" s="32"/>
      <c r="GEL40" s="32"/>
      <c r="GEM40" s="32"/>
      <c r="GEN40" s="32"/>
      <c r="GEO40" s="32"/>
      <c r="GEP40" s="32"/>
      <c r="GEQ40" s="32"/>
      <c r="GER40" s="32"/>
      <c r="GES40" s="32"/>
      <c r="GET40" s="32"/>
      <c r="GEU40" s="32"/>
      <c r="GEV40" s="32"/>
      <c r="GEW40" s="32"/>
      <c r="GEX40" s="32"/>
      <c r="GEY40" s="32"/>
      <c r="GEZ40" s="32"/>
      <c r="GFA40" s="32"/>
      <c r="GFB40" s="32"/>
      <c r="GFC40" s="32"/>
      <c r="GFD40" s="32"/>
      <c r="GFE40" s="32"/>
      <c r="GFF40" s="32"/>
      <c r="GFG40" s="32"/>
      <c r="GFH40" s="32"/>
      <c r="GFI40" s="32"/>
      <c r="GFJ40" s="32"/>
      <c r="GFK40" s="32"/>
      <c r="GFL40" s="32"/>
      <c r="GFM40" s="32"/>
      <c r="GFN40" s="32"/>
      <c r="GFO40" s="32"/>
      <c r="GFP40" s="32"/>
      <c r="GFQ40" s="32"/>
      <c r="GFR40" s="32"/>
      <c r="GFS40" s="32"/>
      <c r="GFT40" s="32"/>
      <c r="GFU40" s="32"/>
      <c r="GFV40" s="32"/>
      <c r="GFW40" s="32"/>
      <c r="GFX40" s="32"/>
      <c r="GFY40" s="32"/>
      <c r="GFZ40" s="32"/>
      <c r="GGA40" s="32"/>
      <c r="GGB40" s="32"/>
      <c r="GGC40" s="32"/>
      <c r="GGD40" s="32"/>
      <c r="GGE40" s="32"/>
      <c r="GGF40" s="32"/>
      <c r="GGG40" s="32"/>
      <c r="GGH40" s="32"/>
      <c r="GGI40" s="32"/>
      <c r="GGJ40" s="32"/>
      <c r="GGK40" s="32"/>
      <c r="GGL40" s="32"/>
      <c r="GGM40" s="32"/>
      <c r="GGN40" s="32"/>
      <c r="GGO40" s="32"/>
      <c r="GGP40" s="32"/>
      <c r="GGQ40" s="32"/>
      <c r="GGR40" s="32"/>
      <c r="GGS40" s="32"/>
      <c r="GGT40" s="32"/>
      <c r="GGU40" s="32"/>
      <c r="GGV40" s="32"/>
      <c r="GGW40" s="32"/>
      <c r="GGX40" s="32"/>
      <c r="GGY40" s="32"/>
      <c r="GGZ40" s="32"/>
      <c r="GHA40" s="32"/>
      <c r="GHB40" s="32"/>
      <c r="GHC40" s="32"/>
      <c r="GHD40" s="32"/>
      <c r="GHE40" s="32"/>
      <c r="GHF40" s="32"/>
      <c r="GHG40" s="32"/>
      <c r="GHH40" s="32"/>
      <c r="GHI40" s="32"/>
      <c r="GHJ40" s="32"/>
      <c r="GHK40" s="32"/>
      <c r="GHL40" s="32"/>
      <c r="GHM40" s="32"/>
      <c r="GHN40" s="32"/>
      <c r="GHO40" s="32"/>
      <c r="GHP40" s="32"/>
      <c r="GHQ40" s="32"/>
      <c r="GHR40" s="32"/>
      <c r="GHS40" s="32"/>
      <c r="GHT40" s="32"/>
      <c r="GHU40" s="32"/>
      <c r="GHV40" s="32"/>
      <c r="GHW40" s="32"/>
      <c r="GHX40" s="32"/>
      <c r="GHY40" s="32"/>
      <c r="GHZ40" s="32"/>
      <c r="GIA40" s="32"/>
      <c r="GIB40" s="32"/>
      <c r="GIC40" s="32"/>
      <c r="GID40" s="32"/>
      <c r="GIE40" s="32"/>
      <c r="GIF40" s="32"/>
      <c r="GIG40" s="32"/>
      <c r="GIH40" s="32"/>
      <c r="GII40" s="32"/>
      <c r="GIJ40" s="32"/>
      <c r="GIK40" s="32"/>
      <c r="GIL40" s="32"/>
      <c r="GIM40" s="32"/>
      <c r="GIN40" s="32"/>
      <c r="GIO40" s="32"/>
      <c r="GIP40" s="32"/>
      <c r="GIQ40" s="32"/>
      <c r="GIR40" s="32"/>
      <c r="GIS40" s="32"/>
      <c r="GIT40" s="32"/>
      <c r="GIU40" s="32"/>
      <c r="GIV40" s="32"/>
      <c r="GIW40" s="32"/>
      <c r="GIX40" s="32"/>
      <c r="GIY40" s="32"/>
      <c r="GIZ40" s="32"/>
      <c r="GJA40" s="32"/>
      <c r="GJB40" s="32"/>
      <c r="GJC40" s="32"/>
      <c r="GJD40" s="32"/>
      <c r="GJE40" s="32"/>
      <c r="GJF40" s="32"/>
      <c r="GJG40" s="32"/>
      <c r="GJH40" s="32"/>
      <c r="GJI40" s="32"/>
      <c r="GJJ40" s="32"/>
      <c r="GJK40" s="32"/>
      <c r="GJL40" s="32"/>
      <c r="GJM40" s="32"/>
      <c r="GJN40" s="32"/>
      <c r="GJO40" s="32"/>
      <c r="GJP40" s="32"/>
      <c r="GJQ40" s="32"/>
      <c r="GJR40" s="32"/>
      <c r="GJS40" s="32"/>
      <c r="GJT40" s="32"/>
      <c r="GJU40" s="32"/>
      <c r="GJV40" s="32"/>
      <c r="GJW40" s="32"/>
      <c r="GJX40" s="32"/>
      <c r="GJY40" s="32"/>
      <c r="GJZ40" s="32"/>
      <c r="GKA40" s="32"/>
      <c r="GKB40" s="32"/>
      <c r="GKC40" s="32"/>
      <c r="GKD40" s="32"/>
      <c r="GKE40" s="32"/>
      <c r="GKF40" s="32"/>
      <c r="GKG40" s="32"/>
      <c r="GKH40" s="32"/>
      <c r="GKI40" s="32"/>
      <c r="GKJ40" s="32"/>
      <c r="GKK40" s="32"/>
      <c r="GKL40" s="32"/>
      <c r="GKM40" s="32"/>
      <c r="GKN40" s="32"/>
      <c r="GKO40" s="32"/>
      <c r="GKP40" s="32"/>
      <c r="GKQ40" s="32"/>
      <c r="GKR40" s="32"/>
      <c r="GKS40" s="32"/>
      <c r="GKT40" s="32"/>
      <c r="GKU40" s="32"/>
      <c r="GKV40" s="32"/>
      <c r="GKW40" s="32"/>
      <c r="GKX40" s="32"/>
      <c r="GKY40" s="32"/>
      <c r="GKZ40" s="32"/>
      <c r="GLA40" s="32"/>
      <c r="GLB40" s="32"/>
      <c r="GLC40" s="32"/>
      <c r="GLD40" s="32"/>
      <c r="GLE40" s="32"/>
      <c r="GLF40" s="32"/>
      <c r="GLG40" s="32"/>
      <c r="GLH40" s="32"/>
      <c r="GLI40" s="32"/>
      <c r="GLJ40" s="32"/>
      <c r="GLK40" s="32"/>
      <c r="GLL40" s="32"/>
      <c r="GLM40" s="32"/>
      <c r="GLN40" s="32"/>
      <c r="GLO40" s="32"/>
      <c r="GLP40" s="32"/>
      <c r="GLQ40" s="32"/>
      <c r="GLR40" s="32"/>
      <c r="GLS40" s="32"/>
      <c r="GLT40" s="32"/>
      <c r="GLU40" s="32"/>
      <c r="GLV40" s="32"/>
      <c r="GLW40" s="32"/>
      <c r="GLX40" s="32"/>
      <c r="GLY40" s="32"/>
      <c r="GLZ40" s="32"/>
      <c r="GMA40" s="32"/>
      <c r="GMB40" s="32"/>
      <c r="GMC40" s="32"/>
      <c r="GMD40" s="32"/>
      <c r="GME40" s="32"/>
      <c r="GMF40" s="32"/>
      <c r="GMG40" s="32"/>
      <c r="GMH40" s="32"/>
      <c r="GMI40" s="32"/>
      <c r="GMJ40" s="32"/>
      <c r="GMK40" s="32"/>
      <c r="GML40" s="32"/>
      <c r="GMM40" s="32"/>
      <c r="GMN40" s="32"/>
      <c r="GMO40" s="32"/>
      <c r="GMP40" s="32"/>
      <c r="GMQ40" s="32"/>
      <c r="GMR40" s="32"/>
      <c r="GMS40" s="32"/>
      <c r="GMT40" s="32"/>
      <c r="GMU40" s="32"/>
      <c r="GMV40" s="32"/>
      <c r="GMW40" s="32"/>
      <c r="GMX40" s="32"/>
      <c r="GMY40" s="32"/>
      <c r="GMZ40" s="32"/>
      <c r="GNA40" s="32"/>
      <c r="GNB40" s="32"/>
      <c r="GNC40" s="32"/>
      <c r="GND40" s="32"/>
      <c r="GNE40" s="32"/>
      <c r="GNF40" s="32"/>
      <c r="GNG40" s="32"/>
      <c r="GNH40" s="32"/>
      <c r="GNI40" s="32"/>
      <c r="GNJ40" s="32"/>
      <c r="GNK40" s="32"/>
      <c r="GNL40" s="32"/>
      <c r="GNM40" s="32"/>
      <c r="GNN40" s="32"/>
      <c r="GNO40" s="32"/>
      <c r="GNP40" s="32"/>
      <c r="GNQ40" s="32"/>
      <c r="GNR40" s="32"/>
      <c r="GNS40" s="32"/>
      <c r="GNT40" s="32"/>
      <c r="GNU40" s="32"/>
      <c r="GNV40" s="32"/>
      <c r="GNW40" s="32"/>
      <c r="GNX40" s="32"/>
      <c r="GNY40" s="32"/>
      <c r="GNZ40" s="32"/>
      <c r="GOA40" s="32"/>
      <c r="GOB40" s="32"/>
      <c r="GOC40" s="32"/>
      <c r="GOD40" s="32"/>
      <c r="GOE40" s="32"/>
      <c r="GOF40" s="32"/>
      <c r="GOG40" s="32"/>
      <c r="GOH40" s="32"/>
      <c r="GOI40" s="32"/>
      <c r="GOJ40" s="32"/>
      <c r="GOK40" s="32"/>
      <c r="GOL40" s="32"/>
      <c r="GOM40" s="32"/>
      <c r="GON40" s="32"/>
      <c r="GOO40" s="32"/>
      <c r="GOP40" s="32"/>
      <c r="GOQ40" s="32"/>
      <c r="GOR40" s="32"/>
      <c r="GOS40" s="32"/>
      <c r="GOT40" s="32"/>
      <c r="GOU40" s="32"/>
      <c r="GOV40" s="32"/>
      <c r="GOW40" s="32"/>
      <c r="GOX40" s="32"/>
      <c r="GOY40" s="32"/>
      <c r="GOZ40" s="32"/>
      <c r="GPA40" s="32"/>
      <c r="GPB40" s="32"/>
      <c r="GPC40" s="32"/>
      <c r="GPD40" s="32"/>
      <c r="GPE40" s="32"/>
      <c r="GPF40" s="32"/>
      <c r="GPG40" s="32"/>
      <c r="GPH40" s="32"/>
      <c r="GPI40" s="32"/>
      <c r="GPJ40" s="32"/>
      <c r="GPK40" s="32"/>
      <c r="GPL40" s="32"/>
      <c r="GPM40" s="32"/>
      <c r="GPN40" s="32"/>
      <c r="GPO40" s="32"/>
      <c r="GPP40" s="32"/>
      <c r="GPQ40" s="32"/>
      <c r="GPR40" s="32"/>
      <c r="GPS40" s="32"/>
      <c r="GPT40" s="32"/>
      <c r="GPU40" s="32"/>
      <c r="GPV40" s="32"/>
      <c r="GPW40" s="32"/>
      <c r="GPX40" s="32"/>
      <c r="GPY40" s="32"/>
      <c r="GPZ40" s="32"/>
      <c r="GQA40" s="32"/>
      <c r="GQB40" s="32"/>
      <c r="GQC40" s="32"/>
      <c r="GQD40" s="32"/>
      <c r="GQE40" s="32"/>
      <c r="GQF40" s="32"/>
      <c r="GQG40" s="32"/>
      <c r="GQH40" s="32"/>
      <c r="GQI40" s="32"/>
      <c r="GQJ40" s="32"/>
      <c r="GQK40" s="32"/>
      <c r="GQL40" s="32"/>
      <c r="GQM40" s="32"/>
      <c r="GQN40" s="32"/>
      <c r="GQO40" s="32"/>
      <c r="GQP40" s="32"/>
      <c r="GQQ40" s="32"/>
      <c r="GQR40" s="32"/>
      <c r="GQS40" s="32"/>
      <c r="GQT40" s="32"/>
      <c r="GQU40" s="32"/>
      <c r="GQV40" s="32"/>
      <c r="GQW40" s="32"/>
      <c r="GQX40" s="32"/>
      <c r="GQY40" s="32"/>
      <c r="GQZ40" s="32"/>
      <c r="GRA40" s="32"/>
      <c r="GRB40" s="32"/>
      <c r="GRC40" s="32"/>
      <c r="GRD40" s="32"/>
      <c r="GRE40" s="32"/>
      <c r="GRF40" s="32"/>
      <c r="GRG40" s="32"/>
      <c r="GRH40" s="32"/>
      <c r="GRI40" s="32"/>
      <c r="GRJ40" s="32"/>
      <c r="GRK40" s="32"/>
      <c r="GRL40" s="32"/>
      <c r="GRM40" s="32"/>
      <c r="GRN40" s="32"/>
      <c r="GRO40" s="32"/>
      <c r="GRP40" s="32"/>
      <c r="GRQ40" s="32"/>
      <c r="GRR40" s="32"/>
      <c r="GRS40" s="32"/>
      <c r="GRT40" s="32"/>
      <c r="GRU40" s="32"/>
      <c r="GRV40" s="32"/>
      <c r="GRW40" s="32"/>
      <c r="GRX40" s="32"/>
      <c r="GRY40" s="32"/>
      <c r="GRZ40" s="32"/>
      <c r="GSA40" s="32"/>
      <c r="GSB40" s="32"/>
      <c r="GSC40" s="32"/>
      <c r="GSD40" s="32"/>
      <c r="GSE40" s="32"/>
      <c r="GSF40" s="32"/>
      <c r="GSG40" s="32"/>
      <c r="GSH40" s="32"/>
      <c r="GSI40" s="32"/>
      <c r="GSJ40" s="32"/>
      <c r="GSK40" s="32"/>
      <c r="GSL40" s="32"/>
      <c r="GSM40" s="32"/>
      <c r="GSN40" s="32"/>
      <c r="GSO40" s="32"/>
      <c r="GSP40" s="32"/>
      <c r="GSQ40" s="32"/>
      <c r="GSR40" s="32"/>
      <c r="GSS40" s="32"/>
      <c r="GST40" s="32"/>
      <c r="GSU40" s="32"/>
      <c r="GSV40" s="32"/>
      <c r="GSW40" s="32"/>
      <c r="GSX40" s="32"/>
      <c r="GSY40" s="32"/>
      <c r="GSZ40" s="32"/>
      <c r="GTA40" s="32"/>
      <c r="GTB40" s="32"/>
      <c r="GTC40" s="32"/>
      <c r="GTD40" s="32"/>
      <c r="GTE40" s="32"/>
      <c r="GTF40" s="32"/>
      <c r="GTG40" s="32"/>
      <c r="GTH40" s="32"/>
      <c r="GTI40" s="32"/>
      <c r="GTJ40" s="32"/>
      <c r="GTK40" s="32"/>
      <c r="GTL40" s="32"/>
      <c r="GTM40" s="32"/>
      <c r="GTN40" s="32"/>
      <c r="GTO40" s="32"/>
      <c r="GTP40" s="32"/>
      <c r="GTQ40" s="32"/>
      <c r="GTR40" s="32"/>
      <c r="GTS40" s="32"/>
      <c r="GTT40" s="32"/>
      <c r="GTU40" s="32"/>
      <c r="GTV40" s="32"/>
      <c r="GTW40" s="32"/>
      <c r="GTX40" s="32"/>
      <c r="GTY40" s="32"/>
      <c r="GTZ40" s="32"/>
      <c r="GUA40" s="32"/>
      <c r="GUB40" s="32"/>
      <c r="GUC40" s="32"/>
      <c r="GUD40" s="32"/>
      <c r="GUE40" s="32"/>
      <c r="GUF40" s="32"/>
      <c r="GUG40" s="32"/>
      <c r="GUH40" s="32"/>
      <c r="GUI40" s="32"/>
      <c r="GUJ40" s="32"/>
      <c r="GUK40" s="32"/>
      <c r="GUL40" s="32"/>
      <c r="GUM40" s="32"/>
      <c r="GUN40" s="32"/>
      <c r="GUO40" s="32"/>
      <c r="GUP40" s="32"/>
      <c r="GUQ40" s="32"/>
      <c r="GUR40" s="32"/>
      <c r="GUS40" s="32"/>
      <c r="GUT40" s="32"/>
      <c r="GUU40" s="32"/>
      <c r="GUV40" s="32"/>
      <c r="GUW40" s="32"/>
      <c r="GUX40" s="32"/>
      <c r="GUY40" s="32"/>
      <c r="GUZ40" s="32"/>
      <c r="GVA40" s="32"/>
      <c r="GVB40" s="32"/>
      <c r="GVC40" s="32"/>
      <c r="GVD40" s="32"/>
      <c r="GVE40" s="32"/>
      <c r="GVF40" s="32"/>
      <c r="GVG40" s="32"/>
      <c r="GVH40" s="32"/>
      <c r="GVI40" s="32"/>
      <c r="GVJ40" s="32"/>
      <c r="GVK40" s="32"/>
      <c r="GVL40" s="32"/>
      <c r="GVM40" s="32"/>
      <c r="GVN40" s="32"/>
      <c r="GVO40" s="32"/>
      <c r="GVP40" s="32"/>
      <c r="GVQ40" s="32"/>
      <c r="GVR40" s="32"/>
      <c r="GVS40" s="32"/>
      <c r="GVT40" s="32"/>
      <c r="GVU40" s="32"/>
      <c r="GVV40" s="32"/>
      <c r="GVW40" s="32"/>
      <c r="GVX40" s="32"/>
      <c r="GVY40" s="32"/>
      <c r="GVZ40" s="32"/>
      <c r="GWA40" s="32"/>
      <c r="GWB40" s="32"/>
      <c r="GWC40" s="32"/>
      <c r="GWD40" s="32"/>
      <c r="GWE40" s="32"/>
      <c r="GWF40" s="32"/>
      <c r="GWG40" s="32"/>
      <c r="GWH40" s="32"/>
      <c r="GWI40" s="32"/>
      <c r="GWJ40" s="32"/>
      <c r="GWK40" s="32"/>
      <c r="GWL40" s="32"/>
      <c r="GWM40" s="32"/>
      <c r="GWN40" s="32"/>
      <c r="GWO40" s="32"/>
      <c r="GWP40" s="32"/>
      <c r="GWQ40" s="32"/>
      <c r="GWR40" s="32"/>
      <c r="GWS40" s="32"/>
      <c r="GWT40" s="32"/>
      <c r="GWU40" s="32"/>
      <c r="GWV40" s="32"/>
      <c r="GWW40" s="32"/>
      <c r="GWX40" s="32"/>
      <c r="GWY40" s="32"/>
      <c r="GWZ40" s="32"/>
      <c r="GXA40" s="32"/>
      <c r="GXB40" s="32"/>
      <c r="GXC40" s="32"/>
      <c r="GXD40" s="32"/>
      <c r="GXE40" s="32"/>
      <c r="GXF40" s="32"/>
      <c r="GXG40" s="32"/>
      <c r="GXH40" s="32"/>
      <c r="GXI40" s="32"/>
      <c r="GXJ40" s="32"/>
      <c r="GXK40" s="32"/>
      <c r="GXL40" s="32"/>
      <c r="GXM40" s="32"/>
      <c r="GXN40" s="32"/>
      <c r="GXO40" s="32"/>
      <c r="GXP40" s="32"/>
      <c r="GXQ40" s="32"/>
      <c r="GXR40" s="32"/>
      <c r="GXS40" s="32"/>
      <c r="GXT40" s="32"/>
      <c r="GXU40" s="32"/>
      <c r="GXV40" s="32"/>
      <c r="GXW40" s="32"/>
      <c r="GXX40" s="32"/>
      <c r="GXY40" s="32"/>
      <c r="GXZ40" s="32"/>
      <c r="GYA40" s="32"/>
      <c r="GYB40" s="32"/>
      <c r="GYC40" s="32"/>
      <c r="GYD40" s="32"/>
      <c r="GYE40" s="32"/>
      <c r="GYF40" s="32"/>
      <c r="GYG40" s="32"/>
      <c r="GYH40" s="32"/>
      <c r="GYI40" s="32"/>
      <c r="GYJ40" s="32"/>
      <c r="GYK40" s="32"/>
      <c r="GYL40" s="32"/>
      <c r="GYM40" s="32"/>
      <c r="GYN40" s="32"/>
      <c r="GYO40" s="32"/>
      <c r="GYP40" s="32"/>
      <c r="GYQ40" s="32"/>
      <c r="GYR40" s="32"/>
      <c r="GYS40" s="32"/>
      <c r="GYT40" s="32"/>
      <c r="GYU40" s="32"/>
      <c r="GYV40" s="32"/>
      <c r="GYW40" s="32"/>
      <c r="GYX40" s="32"/>
      <c r="GYY40" s="32"/>
      <c r="GYZ40" s="32"/>
      <c r="GZA40" s="32"/>
      <c r="GZB40" s="32"/>
      <c r="GZC40" s="32"/>
      <c r="GZD40" s="32"/>
      <c r="GZE40" s="32"/>
      <c r="GZF40" s="32"/>
      <c r="GZG40" s="32"/>
      <c r="GZH40" s="32"/>
      <c r="GZI40" s="32"/>
      <c r="GZJ40" s="32"/>
      <c r="GZK40" s="32"/>
      <c r="GZL40" s="32"/>
      <c r="GZM40" s="32"/>
      <c r="GZN40" s="32"/>
      <c r="GZO40" s="32"/>
      <c r="GZP40" s="32"/>
      <c r="GZQ40" s="32"/>
      <c r="GZR40" s="32"/>
      <c r="GZS40" s="32"/>
      <c r="GZT40" s="32"/>
      <c r="GZU40" s="32"/>
      <c r="GZV40" s="32"/>
      <c r="GZW40" s="32"/>
      <c r="GZX40" s="32"/>
      <c r="GZY40" s="32"/>
      <c r="GZZ40" s="32"/>
      <c r="HAA40" s="32"/>
      <c r="HAB40" s="32"/>
      <c r="HAC40" s="32"/>
      <c r="HAD40" s="32"/>
      <c r="HAE40" s="32"/>
      <c r="HAF40" s="32"/>
      <c r="HAG40" s="32"/>
      <c r="HAH40" s="32"/>
      <c r="HAI40" s="32"/>
      <c r="HAJ40" s="32"/>
      <c r="HAK40" s="32"/>
      <c r="HAL40" s="32"/>
      <c r="HAM40" s="32"/>
      <c r="HAN40" s="32"/>
      <c r="HAO40" s="32"/>
      <c r="HAP40" s="32"/>
      <c r="HAQ40" s="32"/>
      <c r="HAR40" s="32"/>
      <c r="HAS40" s="32"/>
      <c r="HAT40" s="32"/>
      <c r="HAU40" s="32"/>
      <c r="HAV40" s="32"/>
      <c r="HAW40" s="32"/>
      <c r="HAX40" s="32"/>
      <c r="HAY40" s="32"/>
      <c r="HAZ40" s="32"/>
      <c r="HBA40" s="32"/>
      <c r="HBB40" s="32"/>
      <c r="HBC40" s="32"/>
      <c r="HBD40" s="32"/>
      <c r="HBE40" s="32"/>
      <c r="HBF40" s="32"/>
      <c r="HBG40" s="32"/>
      <c r="HBH40" s="32"/>
      <c r="HBI40" s="32"/>
      <c r="HBJ40" s="32"/>
      <c r="HBK40" s="32"/>
      <c r="HBL40" s="32"/>
      <c r="HBM40" s="32"/>
      <c r="HBN40" s="32"/>
      <c r="HBO40" s="32"/>
      <c r="HBP40" s="32"/>
      <c r="HBQ40" s="32"/>
      <c r="HBR40" s="32"/>
      <c r="HBS40" s="32"/>
      <c r="HBT40" s="32"/>
      <c r="HBU40" s="32"/>
      <c r="HBV40" s="32"/>
      <c r="HBW40" s="32"/>
      <c r="HBX40" s="32"/>
      <c r="HBY40" s="32"/>
      <c r="HBZ40" s="32"/>
      <c r="HCA40" s="32"/>
      <c r="HCB40" s="32"/>
      <c r="HCC40" s="32"/>
      <c r="HCD40" s="32"/>
      <c r="HCE40" s="32"/>
      <c r="HCF40" s="32"/>
      <c r="HCG40" s="32"/>
      <c r="HCH40" s="32"/>
      <c r="HCI40" s="32"/>
      <c r="HCJ40" s="32"/>
      <c r="HCK40" s="32"/>
      <c r="HCL40" s="32"/>
      <c r="HCM40" s="32"/>
      <c r="HCN40" s="32"/>
      <c r="HCO40" s="32"/>
      <c r="HCP40" s="32"/>
      <c r="HCQ40" s="32"/>
      <c r="HCR40" s="32"/>
      <c r="HCS40" s="32"/>
      <c r="HCT40" s="32"/>
      <c r="HCU40" s="32"/>
      <c r="HCV40" s="32"/>
      <c r="HCW40" s="32"/>
      <c r="HCX40" s="32"/>
      <c r="HCY40" s="32"/>
      <c r="HCZ40" s="32"/>
      <c r="HDA40" s="32"/>
      <c r="HDB40" s="32"/>
      <c r="HDC40" s="32"/>
      <c r="HDD40" s="32"/>
      <c r="HDE40" s="32"/>
      <c r="HDF40" s="32"/>
      <c r="HDG40" s="32"/>
      <c r="HDH40" s="32"/>
      <c r="HDI40" s="32"/>
      <c r="HDJ40" s="32"/>
      <c r="HDK40" s="32"/>
      <c r="HDL40" s="32"/>
      <c r="HDM40" s="32"/>
      <c r="HDN40" s="32"/>
      <c r="HDO40" s="32"/>
      <c r="HDP40" s="32"/>
      <c r="HDQ40" s="32"/>
      <c r="HDR40" s="32"/>
      <c r="HDS40" s="32"/>
      <c r="HDT40" s="32"/>
      <c r="HDU40" s="32"/>
      <c r="HDV40" s="32"/>
      <c r="HDW40" s="32"/>
      <c r="HDX40" s="32"/>
      <c r="HDY40" s="32"/>
      <c r="HDZ40" s="32"/>
      <c r="HEA40" s="32"/>
      <c r="HEB40" s="32"/>
      <c r="HEC40" s="32"/>
      <c r="HED40" s="32"/>
      <c r="HEE40" s="32"/>
      <c r="HEF40" s="32"/>
      <c r="HEG40" s="32"/>
      <c r="HEH40" s="32"/>
      <c r="HEI40" s="32"/>
      <c r="HEJ40" s="32"/>
      <c r="HEK40" s="32"/>
      <c r="HEL40" s="32"/>
      <c r="HEM40" s="32"/>
      <c r="HEN40" s="32"/>
      <c r="HEO40" s="32"/>
      <c r="HEP40" s="32"/>
      <c r="HEQ40" s="32"/>
      <c r="HER40" s="32"/>
      <c r="HES40" s="32"/>
      <c r="HET40" s="32"/>
      <c r="HEU40" s="32"/>
      <c r="HEV40" s="32"/>
      <c r="HEW40" s="32"/>
      <c r="HEX40" s="32"/>
      <c r="HEY40" s="32"/>
      <c r="HEZ40" s="32"/>
      <c r="HFA40" s="32"/>
      <c r="HFB40" s="32"/>
      <c r="HFC40" s="32"/>
      <c r="HFD40" s="32"/>
      <c r="HFE40" s="32"/>
      <c r="HFF40" s="32"/>
      <c r="HFG40" s="32"/>
      <c r="HFH40" s="32"/>
      <c r="HFI40" s="32"/>
      <c r="HFJ40" s="32"/>
      <c r="HFK40" s="32"/>
      <c r="HFL40" s="32"/>
      <c r="HFM40" s="32"/>
      <c r="HFN40" s="32"/>
      <c r="HFO40" s="32"/>
      <c r="HFP40" s="32"/>
      <c r="HFQ40" s="32"/>
      <c r="HFR40" s="32"/>
      <c r="HFS40" s="32"/>
      <c r="HFT40" s="32"/>
      <c r="HFU40" s="32"/>
      <c r="HFV40" s="32"/>
      <c r="HFW40" s="32"/>
      <c r="HFX40" s="32"/>
      <c r="HFY40" s="32"/>
      <c r="HFZ40" s="32"/>
      <c r="HGA40" s="32"/>
      <c r="HGB40" s="32"/>
      <c r="HGC40" s="32"/>
      <c r="HGD40" s="32"/>
      <c r="HGE40" s="32"/>
      <c r="HGF40" s="32"/>
      <c r="HGG40" s="32"/>
      <c r="HGH40" s="32"/>
      <c r="HGI40" s="32"/>
      <c r="HGJ40" s="32"/>
      <c r="HGK40" s="32"/>
      <c r="HGL40" s="32"/>
      <c r="HGM40" s="32"/>
      <c r="HGN40" s="32"/>
      <c r="HGO40" s="32"/>
      <c r="HGP40" s="32"/>
      <c r="HGQ40" s="32"/>
      <c r="HGR40" s="32"/>
      <c r="HGS40" s="32"/>
      <c r="HGT40" s="32"/>
      <c r="HGU40" s="32"/>
      <c r="HGV40" s="32"/>
      <c r="HGW40" s="32"/>
      <c r="HGX40" s="32"/>
      <c r="HGY40" s="32"/>
      <c r="HGZ40" s="32"/>
      <c r="HHA40" s="32"/>
      <c r="HHB40" s="32"/>
      <c r="HHC40" s="32"/>
      <c r="HHD40" s="32"/>
      <c r="HHE40" s="32"/>
      <c r="HHF40" s="32"/>
      <c r="HHG40" s="32"/>
      <c r="HHH40" s="32"/>
      <c r="HHI40" s="32"/>
      <c r="HHJ40" s="32"/>
      <c r="HHK40" s="32"/>
      <c r="HHL40" s="32"/>
      <c r="HHM40" s="32"/>
      <c r="HHN40" s="32"/>
      <c r="HHO40" s="32"/>
      <c r="HHP40" s="32"/>
      <c r="HHQ40" s="32"/>
      <c r="HHR40" s="32"/>
      <c r="HHS40" s="32"/>
      <c r="HHT40" s="32"/>
      <c r="HHU40" s="32"/>
      <c r="HHV40" s="32"/>
      <c r="HHW40" s="32"/>
      <c r="HHX40" s="32"/>
      <c r="HHY40" s="32"/>
      <c r="HHZ40" s="32"/>
      <c r="HIA40" s="32"/>
      <c r="HIB40" s="32"/>
      <c r="HIC40" s="32"/>
      <c r="HID40" s="32"/>
      <c r="HIE40" s="32"/>
      <c r="HIF40" s="32"/>
      <c r="HIG40" s="32"/>
      <c r="HIH40" s="32"/>
      <c r="HII40" s="32"/>
      <c r="HIJ40" s="32"/>
      <c r="HIK40" s="32"/>
      <c r="HIL40" s="32"/>
      <c r="HIM40" s="32"/>
      <c r="HIN40" s="32"/>
      <c r="HIO40" s="32"/>
      <c r="HIP40" s="32"/>
      <c r="HIQ40" s="32"/>
      <c r="HIR40" s="32"/>
      <c r="HIS40" s="32"/>
      <c r="HIT40" s="32"/>
      <c r="HIU40" s="32"/>
      <c r="HIV40" s="32"/>
      <c r="HIW40" s="32"/>
      <c r="HIX40" s="32"/>
      <c r="HIY40" s="32"/>
      <c r="HIZ40" s="32"/>
      <c r="HJA40" s="32"/>
      <c r="HJB40" s="32"/>
      <c r="HJC40" s="32"/>
      <c r="HJD40" s="32"/>
      <c r="HJE40" s="32"/>
      <c r="HJF40" s="32"/>
      <c r="HJG40" s="32"/>
      <c r="HJH40" s="32"/>
      <c r="HJI40" s="32"/>
      <c r="HJJ40" s="32"/>
      <c r="HJK40" s="32"/>
      <c r="HJL40" s="32"/>
      <c r="HJM40" s="32"/>
      <c r="HJN40" s="32"/>
      <c r="HJO40" s="32"/>
      <c r="HJP40" s="32"/>
      <c r="HJQ40" s="32"/>
      <c r="HJR40" s="32"/>
      <c r="HJS40" s="32"/>
      <c r="HJT40" s="32"/>
      <c r="HJU40" s="32"/>
      <c r="HJV40" s="32"/>
      <c r="HJW40" s="32"/>
      <c r="HJX40" s="32"/>
      <c r="HJY40" s="32"/>
      <c r="HJZ40" s="32"/>
      <c r="HKA40" s="32"/>
      <c r="HKB40" s="32"/>
      <c r="HKC40" s="32"/>
      <c r="HKD40" s="32"/>
      <c r="HKE40" s="32"/>
      <c r="HKF40" s="32"/>
      <c r="HKG40" s="32"/>
      <c r="HKH40" s="32"/>
      <c r="HKI40" s="32"/>
      <c r="HKJ40" s="32"/>
      <c r="HKK40" s="32"/>
      <c r="HKL40" s="32"/>
      <c r="HKM40" s="32"/>
      <c r="HKN40" s="32"/>
      <c r="HKO40" s="32"/>
      <c r="HKP40" s="32"/>
      <c r="HKQ40" s="32"/>
      <c r="HKR40" s="32"/>
      <c r="HKS40" s="32"/>
      <c r="HKT40" s="32"/>
      <c r="HKU40" s="32"/>
      <c r="HKV40" s="32"/>
      <c r="HKW40" s="32"/>
      <c r="HKX40" s="32"/>
      <c r="HKY40" s="32"/>
      <c r="HKZ40" s="32"/>
      <c r="HLA40" s="32"/>
      <c r="HLB40" s="32"/>
      <c r="HLC40" s="32"/>
      <c r="HLD40" s="32"/>
      <c r="HLE40" s="32"/>
      <c r="HLF40" s="32"/>
      <c r="HLG40" s="32"/>
      <c r="HLH40" s="32"/>
      <c r="HLI40" s="32"/>
      <c r="HLJ40" s="32"/>
      <c r="HLK40" s="32"/>
      <c r="HLL40" s="32"/>
      <c r="HLM40" s="32"/>
      <c r="HLN40" s="32"/>
      <c r="HLO40" s="32"/>
      <c r="HLP40" s="32"/>
      <c r="HLQ40" s="32"/>
      <c r="HLR40" s="32"/>
      <c r="HLS40" s="32"/>
      <c r="HLT40" s="32"/>
      <c r="HLU40" s="32"/>
      <c r="HLV40" s="32"/>
      <c r="HLW40" s="32"/>
      <c r="HLX40" s="32"/>
      <c r="HLY40" s="32"/>
      <c r="HLZ40" s="32"/>
      <c r="HMA40" s="32"/>
      <c r="HMB40" s="32"/>
      <c r="HMC40" s="32"/>
      <c r="HMD40" s="32"/>
      <c r="HME40" s="32"/>
      <c r="HMF40" s="32"/>
      <c r="HMG40" s="32"/>
      <c r="HMH40" s="32"/>
      <c r="HMI40" s="32"/>
      <c r="HMJ40" s="32"/>
      <c r="HMK40" s="32"/>
      <c r="HML40" s="32"/>
      <c r="HMM40" s="32"/>
      <c r="HMN40" s="32"/>
      <c r="HMO40" s="32"/>
      <c r="HMP40" s="32"/>
      <c r="HMQ40" s="32"/>
      <c r="HMR40" s="32"/>
      <c r="HMS40" s="32"/>
      <c r="HMT40" s="32"/>
      <c r="HMU40" s="32"/>
      <c r="HMV40" s="32"/>
      <c r="HMW40" s="32"/>
      <c r="HMX40" s="32"/>
      <c r="HMY40" s="32"/>
      <c r="HMZ40" s="32"/>
      <c r="HNA40" s="32"/>
      <c r="HNB40" s="32"/>
      <c r="HNC40" s="32"/>
      <c r="HND40" s="32"/>
      <c r="HNE40" s="32"/>
      <c r="HNF40" s="32"/>
      <c r="HNG40" s="32"/>
      <c r="HNH40" s="32"/>
      <c r="HNI40" s="32"/>
      <c r="HNJ40" s="32"/>
      <c r="HNK40" s="32"/>
      <c r="HNL40" s="32"/>
      <c r="HNM40" s="32"/>
      <c r="HNN40" s="32"/>
      <c r="HNO40" s="32"/>
      <c r="HNP40" s="32"/>
      <c r="HNQ40" s="32"/>
      <c r="HNR40" s="32"/>
      <c r="HNS40" s="32"/>
      <c r="HNT40" s="32"/>
      <c r="HNU40" s="32"/>
      <c r="HNV40" s="32"/>
      <c r="HNW40" s="32"/>
      <c r="HNX40" s="32"/>
      <c r="HNY40" s="32"/>
      <c r="HNZ40" s="32"/>
      <c r="HOA40" s="32"/>
      <c r="HOB40" s="32"/>
      <c r="HOC40" s="32"/>
      <c r="HOD40" s="32"/>
      <c r="HOE40" s="32"/>
      <c r="HOF40" s="32"/>
      <c r="HOG40" s="32"/>
      <c r="HOH40" s="32"/>
      <c r="HOI40" s="32"/>
      <c r="HOJ40" s="32"/>
      <c r="HOK40" s="32"/>
      <c r="HOL40" s="32"/>
      <c r="HOM40" s="32"/>
      <c r="HON40" s="32"/>
      <c r="HOO40" s="32"/>
      <c r="HOP40" s="32"/>
      <c r="HOQ40" s="32"/>
      <c r="HOR40" s="32"/>
      <c r="HOS40" s="32"/>
      <c r="HOT40" s="32"/>
      <c r="HOU40" s="32"/>
      <c r="HOV40" s="32"/>
      <c r="HOW40" s="32"/>
      <c r="HOX40" s="32"/>
      <c r="HOY40" s="32"/>
      <c r="HOZ40" s="32"/>
      <c r="HPA40" s="32"/>
      <c r="HPB40" s="32"/>
      <c r="HPC40" s="32"/>
      <c r="HPD40" s="32"/>
      <c r="HPE40" s="32"/>
      <c r="HPF40" s="32"/>
      <c r="HPG40" s="32"/>
      <c r="HPH40" s="32"/>
      <c r="HPI40" s="32"/>
      <c r="HPJ40" s="32"/>
      <c r="HPK40" s="32"/>
      <c r="HPL40" s="32"/>
      <c r="HPM40" s="32"/>
      <c r="HPN40" s="32"/>
      <c r="HPO40" s="32"/>
      <c r="HPP40" s="32"/>
      <c r="HPQ40" s="32"/>
      <c r="HPR40" s="32"/>
      <c r="HPS40" s="32"/>
      <c r="HPT40" s="32"/>
      <c r="HPU40" s="32"/>
      <c r="HPV40" s="32"/>
      <c r="HPW40" s="32"/>
      <c r="HPX40" s="32"/>
      <c r="HPY40" s="32"/>
      <c r="HPZ40" s="32"/>
      <c r="HQA40" s="32"/>
      <c r="HQB40" s="32"/>
      <c r="HQC40" s="32"/>
      <c r="HQD40" s="32"/>
      <c r="HQE40" s="32"/>
      <c r="HQF40" s="32"/>
      <c r="HQG40" s="32"/>
      <c r="HQH40" s="32"/>
      <c r="HQI40" s="32"/>
      <c r="HQJ40" s="32"/>
      <c r="HQK40" s="32"/>
      <c r="HQL40" s="32"/>
      <c r="HQM40" s="32"/>
      <c r="HQN40" s="32"/>
      <c r="HQO40" s="32"/>
      <c r="HQP40" s="32"/>
      <c r="HQQ40" s="32"/>
      <c r="HQR40" s="32"/>
      <c r="HQS40" s="32"/>
      <c r="HQT40" s="32"/>
      <c r="HQU40" s="32"/>
      <c r="HQV40" s="32"/>
      <c r="HQW40" s="32"/>
      <c r="HQX40" s="32"/>
      <c r="HQY40" s="32"/>
      <c r="HQZ40" s="32"/>
      <c r="HRA40" s="32"/>
      <c r="HRB40" s="32"/>
      <c r="HRC40" s="32"/>
      <c r="HRD40" s="32"/>
      <c r="HRE40" s="32"/>
      <c r="HRF40" s="32"/>
      <c r="HRG40" s="32"/>
      <c r="HRH40" s="32"/>
      <c r="HRI40" s="32"/>
      <c r="HRJ40" s="32"/>
      <c r="HRK40" s="32"/>
      <c r="HRL40" s="32"/>
      <c r="HRM40" s="32"/>
      <c r="HRN40" s="32"/>
      <c r="HRO40" s="32"/>
      <c r="HRP40" s="32"/>
      <c r="HRQ40" s="32"/>
      <c r="HRR40" s="32"/>
      <c r="HRS40" s="32"/>
      <c r="HRT40" s="32"/>
      <c r="HRU40" s="32"/>
      <c r="HRV40" s="32"/>
      <c r="HRW40" s="32"/>
      <c r="HRX40" s="32"/>
      <c r="HRY40" s="32"/>
      <c r="HRZ40" s="32"/>
      <c r="HSA40" s="32"/>
      <c r="HSB40" s="32"/>
      <c r="HSC40" s="32"/>
      <c r="HSD40" s="32"/>
      <c r="HSE40" s="32"/>
      <c r="HSF40" s="32"/>
      <c r="HSG40" s="32"/>
      <c r="HSH40" s="32"/>
      <c r="HSI40" s="32"/>
      <c r="HSJ40" s="32"/>
      <c r="HSK40" s="32"/>
      <c r="HSL40" s="32"/>
      <c r="HSM40" s="32"/>
      <c r="HSN40" s="32"/>
      <c r="HSO40" s="32"/>
      <c r="HSP40" s="32"/>
      <c r="HSQ40" s="32"/>
      <c r="HSR40" s="32"/>
      <c r="HSS40" s="32"/>
      <c r="HST40" s="32"/>
      <c r="HSU40" s="32"/>
      <c r="HSV40" s="32"/>
      <c r="HSW40" s="32"/>
      <c r="HSX40" s="32"/>
      <c r="HSY40" s="32"/>
      <c r="HSZ40" s="32"/>
      <c r="HTA40" s="32"/>
      <c r="HTB40" s="32"/>
      <c r="HTC40" s="32"/>
      <c r="HTD40" s="32"/>
      <c r="HTE40" s="32"/>
      <c r="HTF40" s="32"/>
      <c r="HTG40" s="32"/>
      <c r="HTH40" s="32"/>
      <c r="HTI40" s="32"/>
      <c r="HTJ40" s="32"/>
      <c r="HTK40" s="32"/>
      <c r="HTL40" s="32"/>
      <c r="HTM40" s="32"/>
      <c r="HTN40" s="32"/>
      <c r="HTO40" s="32"/>
      <c r="HTP40" s="32"/>
      <c r="HTQ40" s="32"/>
      <c r="HTR40" s="32"/>
      <c r="HTS40" s="32"/>
      <c r="HTT40" s="32"/>
      <c r="HTU40" s="32"/>
      <c r="HTV40" s="32"/>
      <c r="HTW40" s="32"/>
      <c r="HTX40" s="32"/>
      <c r="HTY40" s="32"/>
      <c r="HTZ40" s="32"/>
      <c r="HUA40" s="32"/>
      <c r="HUB40" s="32"/>
      <c r="HUC40" s="32"/>
      <c r="HUD40" s="32"/>
      <c r="HUE40" s="32"/>
      <c r="HUF40" s="32"/>
      <c r="HUG40" s="32"/>
      <c r="HUH40" s="32"/>
      <c r="HUI40" s="32"/>
      <c r="HUJ40" s="32"/>
      <c r="HUK40" s="32"/>
      <c r="HUL40" s="32"/>
      <c r="HUM40" s="32"/>
      <c r="HUN40" s="32"/>
      <c r="HUO40" s="32"/>
      <c r="HUP40" s="32"/>
      <c r="HUQ40" s="32"/>
      <c r="HUR40" s="32"/>
      <c r="HUS40" s="32"/>
      <c r="HUT40" s="32"/>
      <c r="HUU40" s="32"/>
      <c r="HUV40" s="32"/>
      <c r="HUW40" s="32"/>
      <c r="HUX40" s="32"/>
      <c r="HUY40" s="32"/>
      <c r="HUZ40" s="32"/>
      <c r="HVA40" s="32"/>
      <c r="HVB40" s="32"/>
      <c r="HVC40" s="32"/>
      <c r="HVD40" s="32"/>
      <c r="HVE40" s="32"/>
      <c r="HVF40" s="32"/>
      <c r="HVG40" s="32"/>
      <c r="HVH40" s="32"/>
      <c r="HVI40" s="32"/>
      <c r="HVJ40" s="32"/>
      <c r="HVK40" s="32"/>
      <c r="HVL40" s="32"/>
      <c r="HVM40" s="32"/>
      <c r="HVN40" s="32"/>
      <c r="HVO40" s="32"/>
      <c r="HVP40" s="32"/>
      <c r="HVQ40" s="32"/>
      <c r="HVR40" s="32"/>
      <c r="HVS40" s="32"/>
      <c r="HVT40" s="32"/>
      <c r="HVU40" s="32"/>
      <c r="HVV40" s="32"/>
      <c r="HVW40" s="32"/>
      <c r="HVX40" s="32"/>
      <c r="HVY40" s="32"/>
      <c r="HVZ40" s="32"/>
      <c r="HWA40" s="32"/>
      <c r="HWB40" s="32"/>
      <c r="HWC40" s="32"/>
      <c r="HWD40" s="32"/>
      <c r="HWE40" s="32"/>
      <c r="HWF40" s="32"/>
      <c r="HWG40" s="32"/>
      <c r="HWH40" s="32"/>
      <c r="HWI40" s="32"/>
      <c r="HWJ40" s="32"/>
      <c r="HWK40" s="32"/>
      <c r="HWL40" s="32"/>
      <c r="HWM40" s="32"/>
      <c r="HWN40" s="32"/>
      <c r="HWO40" s="32"/>
      <c r="HWP40" s="32"/>
      <c r="HWQ40" s="32"/>
      <c r="HWR40" s="32"/>
      <c r="HWS40" s="32"/>
      <c r="HWT40" s="32"/>
      <c r="HWU40" s="32"/>
      <c r="HWV40" s="32"/>
      <c r="HWW40" s="32"/>
      <c r="HWX40" s="32"/>
      <c r="HWY40" s="32"/>
      <c r="HWZ40" s="32"/>
      <c r="HXA40" s="32"/>
      <c r="HXB40" s="32"/>
      <c r="HXC40" s="32"/>
      <c r="HXD40" s="32"/>
      <c r="HXE40" s="32"/>
      <c r="HXF40" s="32"/>
      <c r="HXG40" s="32"/>
      <c r="HXH40" s="32"/>
      <c r="HXI40" s="32"/>
      <c r="HXJ40" s="32"/>
      <c r="HXK40" s="32"/>
      <c r="HXL40" s="32"/>
      <c r="HXM40" s="32"/>
      <c r="HXN40" s="32"/>
      <c r="HXO40" s="32"/>
      <c r="HXP40" s="32"/>
      <c r="HXQ40" s="32"/>
      <c r="HXR40" s="32"/>
      <c r="HXS40" s="32"/>
      <c r="HXT40" s="32"/>
      <c r="HXU40" s="32"/>
      <c r="HXV40" s="32"/>
      <c r="HXW40" s="32"/>
      <c r="HXX40" s="32"/>
      <c r="HXY40" s="32"/>
      <c r="HXZ40" s="32"/>
      <c r="HYA40" s="32"/>
      <c r="HYB40" s="32"/>
      <c r="HYC40" s="32"/>
      <c r="HYD40" s="32"/>
      <c r="HYE40" s="32"/>
      <c r="HYF40" s="32"/>
      <c r="HYG40" s="32"/>
      <c r="HYH40" s="32"/>
      <c r="HYI40" s="32"/>
      <c r="HYJ40" s="32"/>
      <c r="HYK40" s="32"/>
      <c r="HYL40" s="32"/>
      <c r="HYM40" s="32"/>
      <c r="HYN40" s="32"/>
      <c r="HYO40" s="32"/>
      <c r="HYP40" s="32"/>
      <c r="HYQ40" s="32"/>
      <c r="HYR40" s="32"/>
      <c r="HYS40" s="32"/>
      <c r="HYT40" s="32"/>
      <c r="HYU40" s="32"/>
      <c r="HYV40" s="32"/>
      <c r="HYW40" s="32"/>
      <c r="HYX40" s="32"/>
      <c r="HYY40" s="32"/>
      <c r="HYZ40" s="32"/>
      <c r="HZA40" s="32"/>
      <c r="HZB40" s="32"/>
      <c r="HZC40" s="32"/>
      <c r="HZD40" s="32"/>
      <c r="HZE40" s="32"/>
      <c r="HZF40" s="32"/>
      <c r="HZG40" s="32"/>
      <c r="HZH40" s="32"/>
      <c r="HZI40" s="32"/>
      <c r="HZJ40" s="32"/>
      <c r="HZK40" s="32"/>
      <c r="HZL40" s="32"/>
      <c r="HZM40" s="32"/>
      <c r="HZN40" s="32"/>
      <c r="HZO40" s="32"/>
      <c r="HZP40" s="32"/>
      <c r="HZQ40" s="32"/>
      <c r="HZR40" s="32"/>
      <c r="HZS40" s="32"/>
      <c r="HZT40" s="32"/>
      <c r="HZU40" s="32"/>
      <c r="HZV40" s="32"/>
      <c r="HZW40" s="32"/>
      <c r="HZX40" s="32"/>
      <c r="HZY40" s="32"/>
      <c r="HZZ40" s="32"/>
      <c r="IAA40" s="32"/>
      <c r="IAB40" s="32"/>
      <c r="IAC40" s="32"/>
      <c r="IAD40" s="32"/>
      <c r="IAE40" s="32"/>
      <c r="IAF40" s="32"/>
      <c r="IAG40" s="32"/>
      <c r="IAH40" s="32"/>
      <c r="IAI40" s="32"/>
      <c r="IAJ40" s="32"/>
      <c r="IAK40" s="32"/>
      <c r="IAL40" s="32"/>
      <c r="IAM40" s="32"/>
      <c r="IAN40" s="32"/>
      <c r="IAO40" s="32"/>
      <c r="IAP40" s="32"/>
      <c r="IAQ40" s="32"/>
      <c r="IAR40" s="32"/>
      <c r="IAS40" s="32"/>
      <c r="IAT40" s="32"/>
      <c r="IAU40" s="32"/>
      <c r="IAV40" s="32"/>
      <c r="IAW40" s="32"/>
      <c r="IAX40" s="32"/>
      <c r="IAY40" s="32"/>
      <c r="IAZ40" s="32"/>
      <c r="IBA40" s="32"/>
      <c r="IBB40" s="32"/>
      <c r="IBC40" s="32"/>
      <c r="IBD40" s="32"/>
      <c r="IBE40" s="32"/>
      <c r="IBF40" s="32"/>
      <c r="IBG40" s="32"/>
      <c r="IBH40" s="32"/>
      <c r="IBI40" s="32"/>
      <c r="IBJ40" s="32"/>
      <c r="IBK40" s="32"/>
      <c r="IBL40" s="32"/>
      <c r="IBM40" s="32"/>
      <c r="IBN40" s="32"/>
      <c r="IBO40" s="32"/>
      <c r="IBP40" s="32"/>
      <c r="IBQ40" s="32"/>
      <c r="IBR40" s="32"/>
      <c r="IBS40" s="32"/>
      <c r="IBT40" s="32"/>
      <c r="IBU40" s="32"/>
      <c r="IBV40" s="32"/>
      <c r="IBW40" s="32"/>
      <c r="IBX40" s="32"/>
      <c r="IBY40" s="32"/>
      <c r="IBZ40" s="32"/>
      <c r="ICA40" s="32"/>
      <c r="ICB40" s="32"/>
      <c r="ICC40" s="32"/>
      <c r="ICD40" s="32"/>
      <c r="ICE40" s="32"/>
      <c r="ICF40" s="32"/>
      <c r="ICG40" s="32"/>
      <c r="ICH40" s="32"/>
      <c r="ICI40" s="32"/>
      <c r="ICJ40" s="32"/>
      <c r="ICK40" s="32"/>
      <c r="ICL40" s="32"/>
      <c r="ICM40" s="32"/>
      <c r="ICN40" s="32"/>
      <c r="ICO40" s="32"/>
      <c r="ICP40" s="32"/>
      <c r="ICQ40" s="32"/>
      <c r="ICR40" s="32"/>
      <c r="ICS40" s="32"/>
      <c r="ICT40" s="32"/>
      <c r="ICU40" s="32"/>
      <c r="ICV40" s="32"/>
      <c r="ICW40" s="32"/>
      <c r="ICX40" s="32"/>
      <c r="ICY40" s="32"/>
      <c r="ICZ40" s="32"/>
      <c r="IDA40" s="32"/>
      <c r="IDB40" s="32"/>
      <c r="IDC40" s="32"/>
      <c r="IDD40" s="32"/>
      <c r="IDE40" s="32"/>
      <c r="IDF40" s="32"/>
      <c r="IDG40" s="32"/>
      <c r="IDH40" s="32"/>
      <c r="IDI40" s="32"/>
      <c r="IDJ40" s="32"/>
      <c r="IDK40" s="32"/>
      <c r="IDL40" s="32"/>
      <c r="IDM40" s="32"/>
      <c r="IDN40" s="32"/>
      <c r="IDO40" s="32"/>
      <c r="IDP40" s="32"/>
      <c r="IDQ40" s="32"/>
      <c r="IDR40" s="32"/>
      <c r="IDS40" s="32"/>
      <c r="IDT40" s="32"/>
      <c r="IDU40" s="32"/>
      <c r="IDV40" s="32"/>
      <c r="IDW40" s="32"/>
      <c r="IDX40" s="32"/>
      <c r="IDY40" s="32"/>
      <c r="IDZ40" s="32"/>
      <c r="IEA40" s="32"/>
      <c r="IEB40" s="32"/>
      <c r="IEC40" s="32"/>
      <c r="IED40" s="32"/>
      <c r="IEE40" s="32"/>
      <c r="IEF40" s="32"/>
      <c r="IEG40" s="32"/>
      <c r="IEH40" s="32"/>
      <c r="IEI40" s="32"/>
      <c r="IEJ40" s="32"/>
      <c r="IEK40" s="32"/>
      <c r="IEL40" s="32"/>
      <c r="IEM40" s="32"/>
      <c r="IEN40" s="32"/>
      <c r="IEO40" s="32"/>
      <c r="IEP40" s="32"/>
      <c r="IEQ40" s="32"/>
      <c r="IER40" s="32"/>
      <c r="IES40" s="32"/>
      <c r="IET40" s="32"/>
      <c r="IEU40" s="32"/>
      <c r="IEV40" s="32"/>
      <c r="IEW40" s="32"/>
      <c r="IEX40" s="32"/>
      <c r="IEY40" s="32"/>
      <c r="IEZ40" s="32"/>
      <c r="IFA40" s="32"/>
      <c r="IFB40" s="32"/>
      <c r="IFC40" s="32"/>
      <c r="IFD40" s="32"/>
      <c r="IFE40" s="32"/>
      <c r="IFF40" s="32"/>
      <c r="IFG40" s="32"/>
      <c r="IFH40" s="32"/>
      <c r="IFI40" s="32"/>
      <c r="IFJ40" s="32"/>
      <c r="IFK40" s="32"/>
      <c r="IFL40" s="32"/>
      <c r="IFM40" s="32"/>
      <c r="IFN40" s="32"/>
      <c r="IFO40" s="32"/>
      <c r="IFP40" s="32"/>
      <c r="IFQ40" s="32"/>
      <c r="IFR40" s="32"/>
      <c r="IFS40" s="32"/>
      <c r="IFT40" s="32"/>
      <c r="IFU40" s="32"/>
      <c r="IFV40" s="32"/>
      <c r="IFW40" s="32"/>
      <c r="IFX40" s="32"/>
      <c r="IFY40" s="32"/>
      <c r="IFZ40" s="32"/>
      <c r="IGA40" s="32"/>
      <c r="IGB40" s="32"/>
      <c r="IGC40" s="32"/>
      <c r="IGD40" s="32"/>
      <c r="IGE40" s="32"/>
      <c r="IGF40" s="32"/>
      <c r="IGG40" s="32"/>
      <c r="IGH40" s="32"/>
      <c r="IGI40" s="32"/>
      <c r="IGJ40" s="32"/>
      <c r="IGK40" s="32"/>
      <c r="IGL40" s="32"/>
      <c r="IGM40" s="32"/>
      <c r="IGN40" s="32"/>
      <c r="IGO40" s="32"/>
      <c r="IGP40" s="32"/>
      <c r="IGQ40" s="32"/>
      <c r="IGR40" s="32"/>
      <c r="IGS40" s="32"/>
      <c r="IGT40" s="32"/>
      <c r="IGU40" s="32"/>
      <c r="IGV40" s="32"/>
      <c r="IGW40" s="32"/>
      <c r="IGX40" s="32"/>
      <c r="IGY40" s="32"/>
      <c r="IGZ40" s="32"/>
      <c r="IHA40" s="32"/>
      <c r="IHB40" s="32"/>
      <c r="IHC40" s="32"/>
      <c r="IHD40" s="32"/>
      <c r="IHE40" s="32"/>
      <c r="IHF40" s="32"/>
      <c r="IHG40" s="32"/>
      <c r="IHH40" s="32"/>
      <c r="IHI40" s="32"/>
      <c r="IHJ40" s="32"/>
      <c r="IHK40" s="32"/>
      <c r="IHL40" s="32"/>
      <c r="IHM40" s="32"/>
      <c r="IHN40" s="32"/>
      <c r="IHO40" s="32"/>
      <c r="IHP40" s="32"/>
      <c r="IHQ40" s="32"/>
      <c r="IHR40" s="32"/>
      <c r="IHS40" s="32"/>
      <c r="IHT40" s="32"/>
      <c r="IHU40" s="32"/>
      <c r="IHV40" s="32"/>
      <c r="IHW40" s="32"/>
      <c r="IHX40" s="32"/>
      <c r="IHY40" s="32"/>
      <c r="IHZ40" s="32"/>
      <c r="IIA40" s="32"/>
      <c r="IIB40" s="32"/>
      <c r="IIC40" s="32"/>
      <c r="IID40" s="32"/>
      <c r="IIE40" s="32"/>
      <c r="IIF40" s="32"/>
      <c r="IIG40" s="32"/>
      <c r="IIH40" s="32"/>
      <c r="III40" s="32"/>
      <c r="IIJ40" s="32"/>
      <c r="IIK40" s="32"/>
      <c r="IIL40" s="32"/>
      <c r="IIM40" s="32"/>
      <c r="IIN40" s="32"/>
      <c r="IIO40" s="32"/>
      <c r="IIP40" s="32"/>
      <c r="IIQ40" s="32"/>
      <c r="IIR40" s="32"/>
      <c r="IIS40" s="32"/>
      <c r="IIT40" s="32"/>
      <c r="IIU40" s="32"/>
      <c r="IIV40" s="32"/>
      <c r="IIW40" s="32"/>
      <c r="IIX40" s="32"/>
      <c r="IIY40" s="32"/>
      <c r="IIZ40" s="32"/>
      <c r="IJA40" s="32"/>
      <c r="IJB40" s="32"/>
      <c r="IJC40" s="32"/>
      <c r="IJD40" s="32"/>
      <c r="IJE40" s="32"/>
      <c r="IJF40" s="32"/>
      <c r="IJG40" s="32"/>
      <c r="IJH40" s="32"/>
      <c r="IJI40" s="32"/>
      <c r="IJJ40" s="32"/>
      <c r="IJK40" s="32"/>
      <c r="IJL40" s="32"/>
      <c r="IJM40" s="32"/>
      <c r="IJN40" s="32"/>
      <c r="IJO40" s="32"/>
      <c r="IJP40" s="32"/>
      <c r="IJQ40" s="32"/>
      <c r="IJR40" s="32"/>
      <c r="IJS40" s="32"/>
      <c r="IJT40" s="32"/>
      <c r="IJU40" s="32"/>
      <c r="IJV40" s="32"/>
      <c r="IJW40" s="32"/>
      <c r="IJX40" s="32"/>
      <c r="IJY40" s="32"/>
      <c r="IJZ40" s="32"/>
      <c r="IKA40" s="32"/>
      <c r="IKB40" s="32"/>
      <c r="IKC40" s="32"/>
      <c r="IKD40" s="32"/>
      <c r="IKE40" s="32"/>
      <c r="IKF40" s="32"/>
      <c r="IKG40" s="32"/>
      <c r="IKH40" s="32"/>
      <c r="IKI40" s="32"/>
      <c r="IKJ40" s="32"/>
      <c r="IKK40" s="32"/>
      <c r="IKL40" s="32"/>
      <c r="IKM40" s="32"/>
      <c r="IKN40" s="32"/>
      <c r="IKO40" s="32"/>
      <c r="IKP40" s="32"/>
      <c r="IKQ40" s="32"/>
      <c r="IKR40" s="32"/>
      <c r="IKS40" s="32"/>
      <c r="IKT40" s="32"/>
      <c r="IKU40" s="32"/>
      <c r="IKV40" s="32"/>
      <c r="IKW40" s="32"/>
      <c r="IKX40" s="32"/>
      <c r="IKY40" s="32"/>
      <c r="IKZ40" s="32"/>
      <c r="ILA40" s="32"/>
      <c r="ILB40" s="32"/>
      <c r="ILC40" s="32"/>
      <c r="ILD40" s="32"/>
      <c r="ILE40" s="32"/>
      <c r="ILF40" s="32"/>
      <c r="ILG40" s="32"/>
      <c r="ILH40" s="32"/>
      <c r="ILI40" s="32"/>
      <c r="ILJ40" s="32"/>
      <c r="ILK40" s="32"/>
      <c r="ILL40" s="32"/>
      <c r="ILM40" s="32"/>
      <c r="ILN40" s="32"/>
      <c r="ILO40" s="32"/>
      <c r="ILP40" s="32"/>
      <c r="ILQ40" s="32"/>
      <c r="ILR40" s="32"/>
      <c r="ILS40" s="32"/>
      <c r="ILT40" s="32"/>
      <c r="ILU40" s="32"/>
      <c r="ILV40" s="32"/>
      <c r="ILW40" s="32"/>
      <c r="ILX40" s="32"/>
      <c r="ILY40" s="32"/>
      <c r="ILZ40" s="32"/>
      <c r="IMA40" s="32"/>
      <c r="IMB40" s="32"/>
      <c r="IMC40" s="32"/>
      <c r="IMD40" s="32"/>
      <c r="IME40" s="32"/>
      <c r="IMF40" s="32"/>
      <c r="IMG40" s="32"/>
      <c r="IMH40" s="32"/>
      <c r="IMI40" s="32"/>
      <c r="IMJ40" s="32"/>
      <c r="IMK40" s="32"/>
      <c r="IML40" s="32"/>
      <c r="IMM40" s="32"/>
      <c r="IMN40" s="32"/>
      <c r="IMO40" s="32"/>
      <c r="IMP40" s="32"/>
      <c r="IMQ40" s="32"/>
      <c r="IMR40" s="32"/>
      <c r="IMS40" s="32"/>
      <c r="IMT40" s="32"/>
      <c r="IMU40" s="32"/>
      <c r="IMV40" s="32"/>
      <c r="IMW40" s="32"/>
      <c r="IMX40" s="32"/>
      <c r="IMY40" s="32"/>
      <c r="IMZ40" s="32"/>
      <c r="INA40" s="32"/>
      <c r="INB40" s="32"/>
      <c r="INC40" s="32"/>
      <c r="IND40" s="32"/>
      <c r="INE40" s="32"/>
      <c r="INF40" s="32"/>
      <c r="ING40" s="32"/>
      <c r="INH40" s="32"/>
      <c r="INI40" s="32"/>
      <c r="INJ40" s="32"/>
      <c r="INK40" s="32"/>
      <c r="INL40" s="32"/>
      <c r="INM40" s="32"/>
      <c r="INN40" s="32"/>
      <c r="INO40" s="32"/>
      <c r="INP40" s="32"/>
      <c r="INQ40" s="32"/>
      <c r="INR40" s="32"/>
      <c r="INS40" s="32"/>
      <c r="INT40" s="32"/>
      <c r="INU40" s="32"/>
      <c r="INV40" s="32"/>
      <c r="INW40" s="32"/>
      <c r="INX40" s="32"/>
      <c r="INY40" s="32"/>
      <c r="INZ40" s="32"/>
      <c r="IOA40" s="32"/>
      <c r="IOB40" s="32"/>
      <c r="IOC40" s="32"/>
      <c r="IOD40" s="32"/>
      <c r="IOE40" s="32"/>
      <c r="IOF40" s="32"/>
      <c r="IOG40" s="32"/>
      <c r="IOH40" s="32"/>
      <c r="IOI40" s="32"/>
      <c r="IOJ40" s="32"/>
      <c r="IOK40" s="32"/>
      <c r="IOL40" s="32"/>
      <c r="IOM40" s="32"/>
      <c r="ION40" s="32"/>
      <c r="IOO40" s="32"/>
      <c r="IOP40" s="32"/>
      <c r="IOQ40" s="32"/>
      <c r="IOR40" s="32"/>
      <c r="IOS40" s="32"/>
      <c r="IOT40" s="32"/>
      <c r="IOU40" s="32"/>
      <c r="IOV40" s="32"/>
      <c r="IOW40" s="32"/>
      <c r="IOX40" s="32"/>
      <c r="IOY40" s="32"/>
      <c r="IOZ40" s="32"/>
      <c r="IPA40" s="32"/>
      <c r="IPB40" s="32"/>
      <c r="IPC40" s="32"/>
      <c r="IPD40" s="32"/>
      <c r="IPE40" s="32"/>
      <c r="IPF40" s="32"/>
      <c r="IPG40" s="32"/>
      <c r="IPH40" s="32"/>
      <c r="IPI40" s="32"/>
      <c r="IPJ40" s="32"/>
      <c r="IPK40" s="32"/>
      <c r="IPL40" s="32"/>
      <c r="IPM40" s="32"/>
      <c r="IPN40" s="32"/>
      <c r="IPO40" s="32"/>
      <c r="IPP40" s="32"/>
      <c r="IPQ40" s="32"/>
      <c r="IPR40" s="32"/>
      <c r="IPS40" s="32"/>
      <c r="IPT40" s="32"/>
      <c r="IPU40" s="32"/>
      <c r="IPV40" s="32"/>
      <c r="IPW40" s="32"/>
      <c r="IPX40" s="32"/>
      <c r="IPY40" s="32"/>
      <c r="IPZ40" s="32"/>
      <c r="IQA40" s="32"/>
      <c r="IQB40" s="32"/>
      <c r="IQC40" s="32"/>
      <c r="IQD40" s="32"/>
      <c r="IQE40" s="32"/>
      <c r="IQF40" s="32"/>
      <c r="IQG40" s="32"/>
      <c r="IQH40" s="32"/>
      <c r="IQI40" s="32"/>
      <c r="IQJ40" s="32"/>
      <c r="IQK40" s="32"/>
      <c r="IQL40" s="32"/>
      <c r="IQM40" s="32"/>
      <c r="IQN40" s="32"/>
      <c r="IQO40" s="32"/>
      <c r="IQP40" s="32"/>
      <c r="IQQ40" s="32"/>
      <c r="IQR40" s="32"/>
      <c r="IQS40" s="32"/>
      <c r="IQT40" s="32"/>
      <c r="IQU40" s="32"/>
      <c r="IQV40" s="32"/>
      <c r="IQW40" s="32"/>
      <c r="IQX40" s="32"/>
      <c r="IQY40" s="32"/>
      <c r="IQZ40" s="32"/>
      <c r="IRA40" s="32"/>
      <c r="IRB40" s="32"/>
      <c r="IRC40" s="32"/>
      <c r="IRD40" s="32"/>
      <c r="IRE40" s="32"/>
      <c r="IRF40" s="32"/>
      <c r="IRG40" s="32"/>
      <c r="IRH40" s="32"/>
      <c r="IRI40" s="32"/>
      <c r="IRJ40" s="32"/>
      <c r="IRK40" s="32"/>
      <c r="IRL40" s="32"/>
      <c r="IRM40" s="32"/>
      <c r="IRN40" s="32"/>
      <c r="IRO40" s="32"/>
      <c r="IRP40" s="32"/>
      <c r="IRQ40" s="32"/>
      <c r="IRR40" s="32"/>
      <c r="IRS40" s="32"/>
      <c r="IRT40" s="32"/>
      <c r="IRU40" s="32"/>
      <c r="IRV40" s="32"/>
      <c r="IRW40" s="32"/>
      <c r="IRX40" s="32"/>
      <c r="IRY40" s="32"/>
      <c r="IRZ40" s="32"/>
      <c r="ISA40" s="32"/>
      <c r="ISB40" s="32"/>
      <c r="ISC40" s="32"/>
      <c r="ISD40" s="32"/>
      <c r="ISE40" s="32"/>
      <c r="ISF40" s="32"/>
      <c r="ISG40" s="32"/>
      <c r="ISH40" s="32"/>
      <c r="ISI40" s="32"/>
      <c r="ISJ40" s="32"/>
      <c r="ISK40" s="32"/>
      <c r="ISL40" s="32"/>
      <c r="ISM40" s="32"/>
      <c r="ISN40" s="32"/>
      <c r="ISO40" s="32"/>
      <c r="ISP40" s="32"/>
      <c r="ISQ40" s="32"/>
      <c r="ISR40" s="32"/>
      <c r="ISS40" s="32"/>
      <c r="IST40" s="32"/>
      <c r="ISU40" s="32"/>
      <c r="ISV40" s="32"/>
      <c r="ISW40" s="32"/>
      <c r="ISX40" s="32"/>
      <c r="ISY40" s="32"/>
      <c r="ISZ40" s="32"/>
      <c r="ITA40" s="32"/>
      <c r="ITB40" s="32"/>
      <c r="ITC40" s="32"/>
      <c r="ITD40" s="32"/>
      <c r="ITE40" s="32"/>
      <c r="ITF40" s="32"/>
      <c r="ITG40" s="32"/>
      <c r="ITH40" s="32"/>
      <c r="ITI40" s="32"/>
      <c r="ITJ40" s="32"/>
      <c r="ITK40" s="32"/>
      <c r="ITL40" s="32"/>
      <c r="ITM40" s="32"/>
      <c r="ITN40" s="32"/>
      <c r="ITO40" s="32"/>
      <c r="ITP40" s="32"/>
      <c r="ITQ40" s="32"/>
      <c r="ITR40" s="32"/>
      <c r="ITS40" s="32"/>
      <c r="ITT40" s="32"/>
      <c r="ITU40" s="32"/>
      <c r="ITV40" s="32"/>
      <c r="ITW40" s="32"/>
      <c r="ITX40" s="32"/>
      <c r="ITY40" s="32"/>
      <c r="ITZ40" s="32"/>
      <c r="IUA40" s="32"/>
      <c r="IUB40" s="32"/>
      <c r="IUC40" s="32"/>
      <c r="IUD40" s="32"/>
      <c r="IUE40" s="32"/>
      <c r="IUF40" s="32"/>
      <c r="IUG40" s="32"/>
      <c r="IUH40" s="32"/>
      <c r="IUI40" s="32"/>
      <c r="IUJ40" s="32"/>
      <c r="IUK40" s="32"/>
      <c r="IUL40" s="32"/>
      <c r="IUM40" s="32"/>
      <c r="IUN40" s="32"/>
      <c r="IUO40" s="32"/>
      <c r="IUP40" s="32"/>
      <c r="IUQ40" s="32"/>
      <c r="IUR40" s="32"/>
      <c r="IUS40" s="32"/>
      <c r="IUT40" s="32"/>
      <c r="IUU40" s="32"/>
      <c r="IUV40" s="32"/>
      <c r="IUW40" s="32"/>
      <c r="IUX40" s="32"/>
      <c r="IUY40" s="32"/>
      <c r="IUZ40" s="32"/>
      <c r="IVA40" s="32"/>
      <c r="IVB40" s="32"/>
      <c r="IVC40" s="32"/>
      <c r="IVD40" s="32"/>
      <c r="IVE40" s="32"/>
      <c r="IVF40" s="32"/>
      <c r="IVG40" s="32"/>
      <c r="IVH40" s="32"/>
      <c r="IVI40" s="32"/>
      <c r="IVJ40" s="32"/>
      <c r="IVK40" s="32"/>
      <c r="IVL40" s="32"/>
      <c r="IVM40" s="32"/>
      <c r="IVN40" s="32"/>
      <c r="IVO40" s="32"/>
      <c r="IVP40" s="32"/>
      <c r="IVQ40" s="32"/>
      <c r="IVR40" s="32"/>
      <c r="IVS40" s="32"/>
      <c r="IVT40" s="32"/>
      <c r="IVU40" s="32"/>
      <c r="IVV40" s="32"/>
      <c r="IVW40" s="32"/>
      <c r="IVX40" s="32"/>
      <c r="IVY40" s="32"/>
      <c r="IVZ40" s="32"/>
      <c r="IWA40" s="32"/>
      <c r="IWB40" s="32"/>
      <c r="IWC40" s="32"/>
      <c r="IWD40" s="32"/>
      <c r="IWE40" s="32"/>
      <c r="IWF40" s="32"/>
      <c r="IWG40" s="32"/>
      <c r="IWH40" s="32"/>
      <c r="IWI40" s="32"/>
      <c r="IWJ40" s="32"/>
      <c r="IWK40" s="32"/>
      <c r="IWL40" s="32"/>
      <c r="IWM40" s="32"/>
      <c r="IWN40" s="32"/>
      <c r="IWO40" s="32"/>
      <c r="IWP40" s="32"/>
      <c r="IWQ40" s="32"/>
      <c r="IWR40" s="32"/>
      <c r="IWS40" s="32"/>
      <c r="IWT40" s="32"/>
      <c r="IWU40" s="32"/>
      <c r="IWV40" s="32"/>
      <c r="IWW40" s="32"/>
      <c r="IWX40" s="32"/>
      <c r="IWY40" s="32"/>
      <c r="IWZ40" s="32"/>
      <c r="IXA40" s="32"/>
      <c r="IXB40" s="32"/>
      <c r="IXC40" s="32"/>
      <c r="IXD40" s="32"/>
      <c r="IXE40" s="32"/>
      <c r="IXF40" s="32"/>
      <c r="IXG40" s="32"/>
      <c r="IXH40" s="32"/>
      <c r="IXI40" s="32"/>
      <c r="IXJ40" s="32"/>
      <c r="IXK40" s="32"/>
      <c r="IXL40" s="32"/>
      <c r="IXM40" s="32"/>
      <c r="IXN40" s="32"/>
      <c r="IXO40" s="32"/>
      <c r="IXP40" s="32"/>
      <c r="IXQ40" s="32"/>
      <c r="IXR40" s="32"/>
      <c r="IXS40" s="32"/>
      <c r="IXT40" s="32"/>
      <c r="IXU40" s="32"/>
      <c r="IXV40" s="32"/>
      <c r="IXW40" s="32"/>
      <c r="IXX40" s="32"/>
      <c r="IXY40" s="32"/>
      <c r="IXZ40" s="32"/>
      <c r="IYA40" s="32"/>
      <c r="IYB40" s="32"/>
      <c r="IYC40" s="32"/>
      <c r="IYD40" s="32"/>
      <c r="IYE40" s="32"/>
      <c r="IYF40" s="32"/>
      <c r="IYG40" s="32"/>
      <c r="IYH40" s="32"/>
      <c r="IYI40" s="32"/>
      <c r="IYJ40" s="32"/>
      <c r="IYK40" s="32"/>
      <c r="IYL40" s="32"/>
      <c r="IYM40" s="32"/>
      <c r="IYN40" s="32"/>
      <c r="IYO40" s="32"/>
      <c r="IYP40" s="32"/>
      <c r="IYQ40" s="32"/>
      <c r="IYR40" s="32"/>
      <c r="IYS40" s="32"/>
      <c r="IYT40" s="32"/>
      <c r="IYU40" s="32"/>
      <c r="IYV40" s="32"/>
      <c r="IYW40" s="32"/>
      <c r="IYX40" s="32"/>
      <c r="IYY40" s="32"/>
      <c r="IYZ40" s="32"/>
      <c r="IZA40" s="32"/>
      <c r="IZB40" s="32"/>
      <c r="IZC40" s="32"/>
      <c r="IZD40" s="32"/>
      <c r="IZE40" s="32"/>
      <c r="IZF40" s="32"/>
      <c r="IZG40" s="32"/>
      <c r="IZH40" s="32"/>
      <c r="IZI40" s="32"/>
      <c r="IZJ40" s="32"/>
      <c r="IZK40" s="32"/>
      <c r="IZL40" s="32"/>
      <c r="IZM40" s="32"/>
      <c r="IZN40" s="32"/>
      <c r="IZO40" s="32"/>
      <c r="IZP40" s="32"/>
      <c r="IZQ40" s="32"/>
      <c r="IZR40" s="32"/>
      <c r="IZS40" s="32"/>
      <c r="IZT40" s="32"/>
      <c r="IZU40" s="32"/>
      <c r="IZV40" s="32"/>
      <c r="IZW40" s="32"/>
      <c r="IZX40" s="32"/>
      <c r="IZY40" s="32"/>
      <c r="IZZ40" s="32"/>
      <c r="JAA40" s="32"/>
      <c r="JAB40" s="32"/>
      <c r="JAC40" s="32"/>
      <c r="JAD40" s="32"/>
      <c r="JAE40" s="32"/>
      <c r="JAF40" s="32"/>
      <c r="JAG40" s="32"/>
      <c r="JAH40" s="32"/>
      <c r="JAI40" s="32"/>
      <c r="JAJ40" s="32"/>
      <c r="JAK40" s="32"/>
      <c r="JAL40" s="32"/>
      <c r="JAM40" s="32"/>
      <c r="JAN40" s="32"/>
      <c r="JAO40" s="32"/>
      <c r="JAP40" s="32"/>
      <c r="JAQ40" s="32"/>
      <c r="JAR40" s="32"/>
      <c r="JAS40" s="32"/>
      <c r="JAT40" s="32"/>
      <c r="JAU40" s="32"/>
      <c r="JAV40" s="32"/>
      <c r="JAW40" s="32"/>
      <c r="JAX40" s="32"/>
      <c r="JAY40" s="32"/>
      <c r="JAZ40" s="32"/>
      <c r="JBA40" s="32"/>
      <c r="JBB40" s="32"/>
      <c r="JBC40" s="32"/>
      <c r="JBD40" s="32"/>
      <c r="JBE40" s="32"/>
      <c r="JBF40" s="32"/>
      <c r="JBG40" s="32"/>
      <c r="JBH40" s="32"/>
      <c r="JBI40" s="32"/>
      <c r="JBJ40" s="32"/>
      <c r="JBK40" s="32"/>
      <c r="JBL40" s="32"/>
      <c r="JBM40" s="32"/>
      <c r="JBN40" s="32"/>
      <c r="JBO40" s="32"/>
      <c r="JBP40" s="32"/>
      <c r="JBQ40" s="32"/>
      <c r="JBR40" s="32"/>
      <c r="JBS40" s="32"/>
      <c r="JBT40" s="32"/>
      <c r="JBU40" s="32"/>
      <c r="JBV40" s="32"/>
      <c r="JBW40" s="32"/>
      <c r="JBX40" s="32"/>
      <c r="JBY40" s="32"/>
      <c r="JBZ40" s="32"/>
      <c r="JCA40" s="32"/>
      <c r="JCB40" s="32"/>
      <c r="JCC40" s="32"/>
      <c r="JCD40" s="32"/>
      <c r="JCE40" s="32"/>
      <c r="JCF40" s="32"/>
      <c r="JCG40" s="32"/>
      <c r="JCH40" s="32"/>
      <c r="JCI40" s="32"/>
      <c r="JCJ40" s="32"/>
      <c r="JCK40" s="32"/>
      <c r="JCL40" s="32"/>
      <c r="JCM40" s="32"/>
      <c r="JCN40" s="32"/>
      <c r="JCO40" s="32"/>
      <c r="JCP40" s="32"/>
      <c r="JCQ40" s="32"/>
      <c r="JCR40" s="32"/>
      <c r="JCS40" s="32"/>
      <c r="JCT40" s="32"/>
      <c r="JCU40" s="32"/>
      <c r="JCV40" s="32"/>
      <c r="JCW40" s="32"/>
      <c r="JCX40" s="32"/>
      <c r="JCY40" s="32"/>
      <c r="JCZ40" s="32"/>
      <c r="JDA40" s="32"/>
      <c r="JDB40" s="32"/>
      <c r="JDC40" s="32"/>
      <c r="JDD40" s="32"/>
      <c r="JDE40" s="32"/>
      <c r="JDF40" s="32"/>
      <c r="JDG40" s="32"/>
      <c r="JDH40" s="32"/>
      <c r="JDI40" s="32"/>
      <c r="JDJ40" s="32"/>
      <c r="JDK40" s="32"/>
      <c r="JDL40" s="32"/>
      <c r="JDM40" s="32"/>
      <c r="JDN40" s="32"/>
      <c r="JDO40" s="32"/>
      <c r="JDP40" s="32"/>
      <c r="JDQ40" s="32"/>
      <c r="JDR40" s="32"/>
      <c r="JDS40" s="32"/>
      <c r="JDT40" s="32"/>
      <c r="JDU40" s="32"/>
      <c r="JDV40" s="32"/>
      <c r="JDW40" s="32"/>
      <c r="JDX40" s="32"/>
      <c r="JDY40" s="32"/>
      <c r="JDZ40" s="32"/>
      <c r="JEA40" s="32"/>
      <c r="JEB40" s="32"/>
      <c r="JEC40" s="32"/>
      <c r="JED40" s="32"/>
      <c r="JEE40" s="32"/>
      <c r="JEF40" s="32"/>
      <c r="JEG40" s="32"/>
      <c r="JEH40" s="32"/>
      <c r="JEI40" s="32"/>
      <c r="JEJ40" s="32"/>
      <c r="JEK40" s="32"/>
      <c r="JEL40" s="32"/>
      <c r="JEM40" s="32"/>
      <c r="JEN40" s="32"/>
      <c r="JEO40" s="32"/>
      <c r="JEP40" s="32"/>
      <c r="JEQ40" s="32"/>
      <c r="JER40" s="32"/>
      <c r="JES40" s="32"/>
      <c r="JET40" s="32"/>
      <c r="JEU40" s="32"/>
      <c r="JEV40" s="32"/>
      <c r="JEW40" s="32"/>
      <c r="JEX40" s="32"/>
      <c r="JEY40" s="32"/>
      <c r="JEZ40" s="32"/>
      <c r="JFA40" s="32"/>
      <c r="JFB40" s="32"/>
      <c r="JFC40" s="32"/>
      <c r="JFD40" s="32"/>
      <c r="JFE40" s="32"/>
      <c r="JFF40" s="32"/>
      <c r="JFG40" s="32"/>
      <c r="JFH40" s="32"/>
      <c r="JFI40" s="32"/>
      <c r="JFJ40" s="32"/>
      <c r="JFK40" s="32"/>
      <c r="JFL40" s="32"/>
      <c r="JFM40" s="32"/>
      <c r="JFN40" s="32"/>
      <c r="JFO40" s="32"/>
      <c r="JFP40" s="32"/>
      <c r="JFQ40" s="32"/>
      <c r="JFR40" s="32"/>
      <c r="JFS40" s="32"/>
      <c r="JFT40" s="32"/>
      <c r="JFU40" s="32"/>
      <c r="JFV40" s="32"/>
      <c r="JFW40" s="32"/>
      <c r="JFX40" s="32"/>
      <c r="JFY40" s="32"/>
      <c r="JFZ40" s="32"/>
      <c r="JGA40" s="32"/>
      <c r="JGB40" s="32"/>
      <c r="JGC40" s="32"/>
      <c r="JGD40" s="32"/>
      <c r="JGE40" s="32"/>
      <c r="JGF40" s="32"/>
      <c r="JGG40" s="32"/>
      <c r="JGH40" s="32"/>
      <c r="JGI40" s="32"/>
      <c r="JGJ40" s="32"/>
      <c r="JGK40" s="32"/>
      <c r="JGL40" s="32"/>
      <c r="JGM40" s="32"/>
      <c r="JGN40" s="32"/>
      <c r="JGO40" s="32"/>
      <c r="JGP40" s="32"/>
      <c r="JGQ40" s="32"/>
      <c r="JGR40" s="32"/>
      <c r="JGS40" s="32"/>
      <c r="JGT40" s="32"/>
      <c r="JGU40" s="32"/>
      <c r="JGV40" s="32"/>
      <c r="JGW40" s="32"/>
      <c r="JGX40" s="32"/>
      <c r="JGY40" s="32"/>
      <c r="JGZ40" s="32"/>
      <c r="JHA40" s="32"/>
      <c r="JHB40" s="32"/>
      <c r="JHC40" s="32"/>
      <c r="JHD40" s="32"/>
      <c r="JHE40" s="32"/>
      <c r="JHF40" s="32"/>
      <c r="JHG40" s="32"/>
      <c r="JHH40" s="32"/>
      <c r="JHI40" s="32"/>
      <c r="JHJ40" s="32"/>
      <c r="JHK40" s="32"/>
      <c r="JHL40" s="32"/>
      <c r="JHM40" s="32"/>
      <c r="JHN40" s="32"/>
      <c r="JHO40" s="32"/>
      <c r="JHP40" s="32"/>
      <c r="JHQ40" s="32"/>
      <c r="JHR40" s="32"/>
      <c r="JHS40" s="32"/>
      <c r="JHT40" s="32"/>
      <c r="JHU40" s="32"/>
      <c r="JHV40" s="32"/>
      <c r="JHW40" s="32"/>
      <c r="JHX40" s="32"/>
      <c r="JHY40" s="32"/>
      <c r="JHZ40" s="32"/>
      <c r="JIA40" s="32"/>
      <c r="JIB40" s="32"/>
      <c r="JIC40" s="32"/>
      <c r="JID40" s="32"/>
      <c r="JIE40" s="32"/>
      <c r="JIF40" s="32"/>
      <c r="JIG40" s="32"/>
      <c r="JIH40" s="32"/>
      <c r="JII40" s="32"/>
      <c r="JIJ40" s="32"/>
      <c r="JIK40" s="32"/>
      <c r="JIL40" s="32"/>
      <c r="JIM40" s="32"/>
      <c r="JIN40" s="32"/>
      <c r="JIO40" s="32"/>
      <c r="JIP40" s="32"/>
      <c r="JIQ40" s="32"/>
      <c r="JIR40" s="32"/>
      <c r="JIS40" s="32"/>
      <c r="JIT40" s="32"/>
      <c r="JIU40" s="32"/>
      <c r="JIV40" s="32"/>
      <c r="JIW40" s="32"/>
      <c r="JIX40" s="32"/>
      <c r="JIY40" s="32"/>
      <c r="JIZ40" s="32"/>
      <c r="JJA40" s="32"/>
      <c r="JJB40" s="32"/>
      <c r="JJC40" s="32"/>
      <c r="JJD40" s="32"/>
      <c r="JJE40" s="32"/>
      <c r="JJF40" s="32"/>
      <c r="JJG40" s="32"/>
      <c r="JJH40" s="32"/>
      <c r="JJI40" s="32"/>
      <c r="JJJ40" s="32"/>
      <c r="JJK40" s="32"/>
      <c r="JJL40" s="32"/>
      <c r="JJM40" s="32"/>
      <c r="JJN40" s="32"/>
      <c r="JJO40" s="32"/>
      <c r="JJP40" s="32"/>
      <c r="JJQ40" s="32"/>
      <c r="JJR40" s="32"/>
      <c r="JJS40" s="32"/>
      <c r="JJT40" s="32"/>
      <c r="JJU40" s="32"/>
      <c r="JJV40" s="32"/>
      <c r="JJW40" s="32"/>
      <c r="JJX40" s="32"/>
      <c r="JJY40" s="32"/>
      <c r="JJZ40" s="32"/>
      <c r="JKA40" s="32"/>
      <c r="JKB40" s="32"/>
      <c r="JKC40" s="32"/>
      <c r="JKD40" s="32"/>
      <c r="JKE40" s="32"/>
      <c r="JKF40" s="32"/>
      <c r="JKG40" s="32"/>
      <c r="JKH40" s="32"/>
      <c r="JKI40" s="32"/>
      <c r="JKJ40" s="32"/>
      <c r="JKK40" s="32"/>
      <c r="JKL40" s="32"/>
      <c r="JKM40" s="32"/>
      <c r="JKN40" s="32"/>
      <c r="JKO40" s="32"/>
      <c r="JKP40" s="32"/>
      <c r="JKQ40" s="32"/>
      <c r="JKR40" s="32"/>
      <c r="JKS40" s="32"/>
      <c r="JKT40" s="32"/>
      <c r="JKU40" s="32"/>
      <c r="JKV40" s="32"/>
      <c r="JKW40" s="32"/>
      <c r="JKX40" s="32"/>
      <c r="JKY40" s="32"/>
      <c r="JKZ40" s="32"/>
      <c r="JLA40" s="32"/>
      <c r="JLB40" s="32"/>
      <c r="JLC40" s="32"/>
      <c r="JLD40" s="32"/>
      <c r="JLE40" s="32"/>
      <c r="JLF40" s="32"/>
      <c r="JLG40" s="32"/>
      <c r="JLH40" s="32"/>
      <c r="JLI40" s="32"/>
      <c r="JLJ40" s="32"/>
      <c r="JLK40" s="32"/>
      <c r="JLL40" s="32"/>
      <c r="JLM40" s="32"/>
      <c r="JLN40" s="32"/>
      <c r="JLO40" s="32"/>
      <c r="JLP40" s="32"/>
      <c r="JLQ40" s="32"/>
      <c r="JLR40" s="32"/>
      <c r="JLS40" s="32"/>
      <c r="JLT40" s="32"/>
      <c r="JLU40" s="32"/>
      <c r="JLV40" s="32"/>
      <c r="JLW40" s="32"/>
      <c r="JLX40" s="32"/>
      <c r="JLY40" s="32"/>
      <c r="JLZ40" s="32"/>
      <c r="JMA40" s="32"/>
      <c r="JMB40" s="32"/>
      <c r="JMC40" s="32"/>
      <c r="JMD40" s="32"/>
      <c r="JME40" s="32"/>
      <c r="JMF40" s="32"/>
      <c r="JMG40" s="32"/>
      <c r="JMH40" s="32"/>
      <c r="JMI40" s="32"/>
      <c r="JMJ40" s="32"/>
      <c r="JMK40" s="32"/>
      <c r="JML40" s="32"/>
      <c r="JMM40" s="32"/>
      <c r="JMN40" s="32"/>
      <c r="JMO40" s="32"/>
      <c r="JMP40" s="32"/>
      <c r="JMQ40" s="32"/>
      <c r="JMR40" s="32"/>
      <c r="JMS40" s="32"/>
      <c r="JMT40" s="32"/>
      <c r="JMU40" s="32"/>
      <c r="JMV40" s="32"/>
      <c r="JMW40" s="32"/>
      <c r="JMX40" s="32"/>
      <c r="JMY40" s="32"/>
      <c r="JMZ40" s="32"/>
      <c r="JNA40" s="32"/>
      <c r="JNB40" s="32"/>
      <c r="JNC40" s="32"/>
      <c r="JND40" s="32"/>
      <c r="JNE40" s="32"/>
      <c r="JNF40" s="32"/>
      <c r="JNG40" s="32"/>
      <c r="JNH40" s="32"/>
      <c r="JNI40" s="32"/>
      <c r="JNJ40" s="32"/>
      <c r="JNK40" s="32"/>
      <c r="JNL40" s="32"/>
      <c r="JNM40" s="32"/>
      <c r="JNN40" s="32"/>
      <c r="JNO40" s="32"/>
      <c r="JNP40" s="32"/>
      <c r="JNQ40" s="32"/>
      <c r="JNR40" s="32"/>
      <c r="JNS40" s="32"/>
      <c r="JNT40" s="32"/>
      <c r="JNU40" s="32"/>
      <c r="JNV40" s="32"/>
      <c r="JNW40" s="32"/>
      <c r="JNX40" s="32"/>
      <c r="JNY40" s="32"/>
      <c r="JNZ40" s="32"/>
      <c r="JOA40" s="32"/>
      <c r="JOB40" s="32"/>
      <c r="JOC40" s="32"/>
      <c r="JOD40" s="32"/>
      <c r="JOE40" s="32"/>
      <c r="JOF40" s="32"/>
      <c r="JOG40" s="32"/>
      <c r="JOH40" s="32"/>
      <c r="JOI40" s="32"/>
      <c r="JOJ40" s="32"/>
      <c r="JOK40" s="32"/>
      <c r="JOL40" s="32"/>
      <c r="JOM40" s="32"/>
      <c r="JON40" s="32"/>
      <c r="JOO40" s="32"/>
      <c r="JOP40" s="32"/>
      <c r="JOQ40" s="32"/>
      <c r="JOR40" s="32"/>
      <c r="JOS40" s="32"/>
      <c r="JOT40" s="32"/>
      <c r="JOU40" s="32"/>
      <c r="JOV40" s="32"/>
      <c r="JOW40" s="32"/>
      <c r="JOX40" s="32"/>
      <c r="JOY40" s="32"/>
      <c r="JOZ40" s="32"/>
      <c r="JPA40" s="32"/>
      <c r="JPB40" s="32"/>
      <c r="JPC40" s="32"/>
      <c r="JPD40" s="32"/>
      <c r="JPE40" s="32"/>
      <c r="JPF40" s="32"/>
      <c r="JPG40" s="32"/>
      <c r="JPH40" s="32"/>
      <c r="JPI40" s="32"/>
      <c r="JPJ40" s="32"/>
      <c r="JPK40" s="32"/>
      <c r="JPL40" s="32"/>
      <c r="JPM40" s="32"/>
      <c r="JPN40" s="32"/>
      <c r="JPO40" s="32"/>
      <c r="JPP40" s="32"/>
      <c r="JPQ40" s="32"/>
      <c r="JPR40" s="32"/>
      <c r="JPS40" s="32"/>
      <c r="JPT40" s="32"/>
      <c r="JPU40" s="32"/>
      <c r="JPV40" s="32"/>
      <c r="JPW40" s="32"/>
      <c r="JPX40" s="32"/>
      <c r="JPY40" s="32"/>
      <c r="JPZ40" s="32"/>
      <c r="JQA40" s="32"/>
      <c r="JQB40" s="32"/>
      <c r="JQC40" s="32"/>
      <c r="JQD40" s="32"/>
      <c r="JQE40" s="32"/>
      <c r="JQF40" s="32"/>
      <c r="JQG40" s="32"/>
      <c r="JQH40" s="32"/>
      <c r="JQI40" s="32"/>
      <c r="JQJ40" s="32"/>
      <c r="JQK40" s="32"/>
      <c r="JQL40" s="32"/>
      <c r="JQM40" s="32"/>
      <c r="JQN40" s="32"/>
      <c r="JQO40" s="32"/>
      <c r="JQP40" s="32"/>
      <c r="JQQ40" s="32"/>
      <c r="JQR40" s="32"/>
      <c r="JQS40" s="32"/>
      <c r="JQT40" s="32"/>
      <c r="JQU40" s="32"/>
      <c r="JQV40" s="32"/>
      <c r="JQW40" s="32"/>
      <c r="JQX40" s="32"/>
      <c r="JQY40" s="32"/>
      <c r="JQZ40" s="32"/>
      <c r="JRA40" s="32"/>
      <c r="JRB40" s="32"/>
      <c r="JRC40" s="32"/>
      <c r="JRD40" s="32"/>
      <c r="JRE40" s="32"/>
      <c r="JRF40" s="32"/>
      <c r="JRG40" s="32"/>
      <c r="JRH40" s="32"/>
      <c r="JRI40" s="32"/>
      <c r="JRJ40" s="32"/>
      <c r="JRK40" s="32"/>
      <c r="JRL40" s="32"/>
      <c r="JRM40" s="32"/>
      <c r="JRN40" s="32"/>
      <c r="JRO40" s="32"/>
      <c r="JRP40" s="32"/>
      <c r="JRQ40" s="32"/>
      <c r="JRR40" s="32"/>
      <c r="JRS40" s="32"/>
      <c r="JRT40" s="32"/>
      <c r="JRU40" s="32"/>
      <c r="JRV40" s="32"/>
      <c r="JRW40" s="32"/>
      <c r="JRX40" s="32"/>
      <c r="JRY40" s="32"/>
      <c r="JRZ40" s="32"/>
      <c r="JSA40" s="32"/>
      <c r="JSB40" s="32"/>
      <c r="JSC40" s="32"/>
      <c r="JSD40" s="32"/>
      <c r="JSE40" s="32"/>
      <c r="JSF40" s="32"/>
      <c r="JSG40" s="32"/>
      <c r="JSH40" s="32"/>
      <c r="JSI40" s="32"/>
      <c r="JSJ40" s="32"/>
      <c r="JSK40" s="32"/>
      <c r="JSL40" s="32"/>
      <c r="JSM40" s="32"/>
      <c r="JSN40" s="32"/>
      <c r="JSO40" s="32"/>
      <c r="JSP40" s="32"/>
      <c r="JSQ40" s="32"/>
      <c r="JSR40" s="32"/>
      <c r="JSS40" s="32"/>
      <c r="JST40" s="32"/>
      <c r="JSU40" s="32"/>
      <c r="JSV40" s="32"/>
      <c r="JSW40" s="32"/>
      <c r="JSX40" s="32"/>
      <c r="JSY40" s="32"/>
      <c r="JSZ40" s="32"/>
      <c r="JTA40" s="32"/>
      <c r="JTB40" s="32"/>
      <c r="JTC40" s="32"/>
      <c r="JTD40" s="32"/>
      <c r="JTE40" s="32"/>
      <c r="JTF40" s="32"/>
      <c r="JTG40" s="32"/>
      <c r="JTH40" s="32"/>
      <c r="JTI40" s="32"/>
      <c r="JTJ40" s="32"/>
      <c r="JTK40" s="32"/>
      <c r="JTL40" s="32"/>
      <c r="JTM40" s="32"/>
      <c r="JTN40" s="32"/>
      <c r="JTO40" s="32"/>
      <c r="JTP40" s="32"/>
      <c r="JTQ40" s="32"/>
      <c r="JTR40" s="32"/>
      <c r="JTS40" s="32"/>
      <c r="JTT40" s="32"/>
      <c r="JTU40" s="32"/>
      <c r="JTV40" s="32"/>
      <c r="JTW40" s="32"/>
      <c r="JTX40" s="32"/>
      <c r="JTY40" s="32"/>
      <c r="JTZ40" s="32"/>
      <c r="JUA40" s="32"/>
      <c r="JUB40" s="32"/>
      <c r="JUC40" s="32"/>
      <c r="JUD40" s="32"/>
      <c r="JUE40" s="32"/>
      <c r="JUF40" s="32"/>
      <c r="JUG40" s="32"/>
      <c r="JUH40" s="32"/>
      <c r="JUI40" s="32"/>
      <c r="JUJ40" s="32"/>
      <c r="JUK40" s="32"/>
      <c r="JUL40" s="32"/>
      <c r="JUM40" s="32"/>
      <c r="JUN40" s="32"/>
      <c r="JUO40" s="32"/>
      <c r="JUP40" s="32"/>
      <c r="JUQ40" s="32"/>
      <c r="JUR40" s="32"/>
      <c r="JUS40" s="32"/>
      <c r="JUT40" s="32"/>
      <c r="JUU40" s="32"/>
      <c r="JUV40" s="32"/>
      <c r="JUW40" s="32"/>
      <c r="JUX40" s="32"/>
      <c r="JUY40" s="32"/>
      <c r="JUZ40" s="32"/>
      <c r="JVA40" s="32"/>
      <c r="JVB40" s="32"/>
      <c r="JVC40" s="32"/>
      <c r="JVD40" s="32"/>
      <c r="JVE40" s="32"/>
      <c r="JVF40" s="32"/>
      <c r="JVG40" s="32"/>
      <c r="JVH40" s="32"/>
      <c r="JVI40" s="32"/>
      <c r="JVJ40" s="32"/>
      <c r="JVK40" s="32"/>
      <c r="JVL40" s="32"/>
      <c r="JVM40" s="32"/>
      <c r="JVN40" s="32"/>
      <c r="JVO40" s="32"/>
      <c r="JVP40" s="32"/>
      <c r="JVQ40" s="32"/>
      <c r="JVR40" s="32"/>
      <c r="JVS40" s="32"/>
      <c r="JVT40" s="32"/>
      <c r="JVU40" s="32"/>
      <c r="JVV40" s="32"/>
      <c r="JVW40" s="32"/>
      <c r="JVX40" s="32"/>
      <c r="JVY40" s="32"/>
      <c r="JVZ40" s="32"/>
      <c r="JWA40" s="32"/>
      <c r="JWB40" s="32"/>
      <c r="JWC40" s="32"/>
      <c r="JWD40" s="32"/>
      <c r="JWE40" s="32"/>
      <c r="JWF40" s="32"/>
      <c r="JWG40" s="32"/>
      <c r="JWH40" s="32"/>
      <c r="JWI40" s="32"/>
      <c r="JWJ40" s="32"/>
      <c r="JWK40" s="32"/>
      <c r="JWL40" s="32"/>
      <c r="JWM40" s="32"/>
      <c r="JWN40" s="32"/>
      <c r="JWO40" s="32"/>
      <c r="JWP40" s="32"/>
      <c r="JWQ40" s="32"/>
      <c r="JWR40" s="32"/>
      <c r="JWS40" s="32"/>
      <c r="JWT40" s="32"/>
      <c r="JWU40" s="32"/>
      <c r="JWV40" s="32"/>
      <c r="JWW40" s="32"/>
      <c r="JWX40" s="32"/>
      <c r="JWY40" s="32"/>
      <c r="JWZ40" s="32"/>
      <c r="JXA40" s="32"/>
      <c r="JXB40" s="32"/>
      <c r="JXC40" s="32"/>
      <c r="JXD40" s="32"/>
      <c r="JXE40" s="32"/>
      <c r="JXF40" s="32"/>
      <c r="JXG40" s="32"/>
      <c r="JXH40" s="32"/>
      <c r="JXI40" s="32"/>
      <c r="JXJ40" s="32"/>
      <c r="JXK40" s="32"/>
      <c r="JXL40" s="32"/>
      <c r="JXM40" s="32"/>
      <c r="JXN40" s="32"/>
      <c r="JXO40" s="32"/>
      <c r="JXP40" s="32"/>
      <c r="JXQ40" s="32"/>
      <c r="JXR40" s="32"/>
      <c r="JXS40" s="32"/>
      <c r="JXT40" s="32"/>
      <c r="JXU40" s="32"/>
      <c r="JXV40" s="32"/>
      <c r="JXW40" s="32"/>
      <c r="JXX40" s="32"/>
      <c r="JXY40" s="32"/>
      <c r="JXZ40" s="32"/>
      <c r="JYA40" s="32"/>
      <c r="JYB40" s="32"/>
      <c r="JYC40" s="32"/>
      <c r="JYD40" s="32"/>
      <c r="JYE40" s="32"/>
      <c r="JYF40" s="32"/>
      <c r="JYG40" s="32"/>
      <c r="JYH40" s="32"/>
      <c r="JYI40" s="32"/>
      <c r="JYJ40" s="32"/>
      <c r="JYK40" s="32"/>
      <c r="JYL40" s="32"/>
      <c r="JYM40" s="32"/>
      <c r="JYN40" s="32"/>
      <c r="JYO40" s="32"/>
      <c r="JYP40" s="32"/>
      <c r="JYQ40" s="32"/>
      <c r="JYR40" s="32"/>
      <c r="JYS40" s="32"/>
      <c r="JYT40" s="32"/>
      <c r="JYU40" s="32"/>
      <c r="JYV40" s="32"/>
      <c r="JYW40" s="32"/>
      <c r="JYX40" s="32"/>
      <c r="JYY40" s="32"/>
      <c r="JYZ40" s="32"/>
      <c r="JZA40" s="32"/>
      <c r="JZB40" s="32"/>
      <c r="JZC40" s="32"/>
      <c r="JZD40" s="32"/>
      <c r="JZE40" s="32"/>
      <c r="JZF40" s="32"/>
      <c r="JZG40" s="32"/>
      <c r="JZH40" s="32"/>
      <c r="JZI40" s="32"/>
      <c r="JZJ40" s="32"/>
      <c r="JZK40" s="32"/>
      <c r="JZL40" s="32"/>
      <c r="JZM40" s="32"/>
      <c r="JZN40" s="32"/>
      <c r="JZO40" s="32"/>
      <c r="JZP40" s="32"/>
      <c r="JZQ40" s="32"/>
      <c r="JZR40" s="32"/>
      <c r="JZS40" s="32"/>
      <c r="JZT40" s="32"/>
      <c r="JZU40" s="32"/>
      <c r="JZV40" s="32"/>
      <c r="JZW40" s="32"/>
      <c r="JZX40" s="32"/>
      <c r="JZY40" s="32"/>
      <c r="JZZ40" s="32"/>
      <c r="KAA40" s="32"/>
      <c r="KAB40" s="32"/>
      <c r="KAC40" s="32"/>
      <c r="KAD40" s="32"/>
      <c r="KAE40" s="32"/>
      <c r="KAF40" s="32"/>
      <c r="KAG40" s="32"/>
      <c r="KAH40" s="32"/>
      <c r="KAI40" s="32"/>
      <c r="KAJ40" s="32"/>
      <c r="KAK40" s="32"/>
      <c r="KAL40" s="32"/>
      <c r="KAM40" s="32"/>
      <c r="KAN40" s="32"/>
      <c r="KAO40" s="32"/>
      <c r="KAP40" s="32"/>
      <c r="KAQ40" s="32"/>
      <c r="KAR40" s="32"/>
      <c r="KAS40" s="32"/>
      <c r="KAT40" s="32"/>
      <c r="KAU40" s="32"/>
      <c r="KAV40" s="32"/>
      <c r="KAW40" s="32"/>
      <c r="KAX40" s="32"/>
      <c r="KAY40" s="32"/>
      <c r="KAZ40" s="32"/>
      <c r="KBA40" s="32"/>
      <c r="KBB40" s="32"/>
      <c r="KBC40" s="32"/>
      <c r="KBD40" s="32"/>
      <c r="KBE40" s="32"/>
      <c r="KBF40" s="32"/>
      <c r="KBG40" s="32"/>
      <c r="KBH40" s="32"/>
      <c r="KBI40" s="32"/>
      <c r="KBJ40" s="32"/>
      <c r="KBK40" s="32"/>
      <c r="KBL40" s="32"/>
      <c r="KBM40" s="32"/>
      <c r="KBN40" s="32"/>
      <c r="KBO40" s="32"/>
      <c r="KBP40" s="32"/>
      <c r="KBQ40" s="32"/>
      <c r="KBR40" s="32"/>
      <c r="KBS40" s="32"/>
      <c r="KBT40" s="32"/>
      <c r="KBU40" s="32"/>
      <c r="KBV40" s="32"/>
      <c r="KBW40" s="32"/>
      <c r="KBX40" s="32"/>
      <c r="KBY40" s="32"/>
      <c r="KBZ40" s="32"/>
      <c r="KCA40" s="32"/>
      <c r="KCB40" s="32"/>
      <c r="KCC40" s="32"/>
      <c r="KCD40" s="32"/>
      <c r="KCE40" s="32"/>
      <c r="KCF40" s="32"/>
      <c r="KCG40" s="32"/>
      <c r="KCH40" s="32"/>
      <c r="KCI40" s="32"/>
      <c r="KCJ40" s="32"/>
      <c r="KCK40" s="32"/>
      <c r="KCL40" s="32"/>
      <c r="KCM40" s="32"/>
      <c r="KCN40" s="32"/>
      <c r="KCO40" s="32"/>
      <c r="KCP40" s="32"/>
      <c r="KCQ40" s="32"/>
      <c r="KCR40" s="32"/>
      <c r="KCS40" s="32"/>
      <c r="KCT40" s="32"/>
      <c r="KCU40" s="32"/>
      <c r="KCV40" s="32"/>
      <c r="KCW40" s="32"/>
      <c r="KCX40" s="32"/>
      <c r="KCY40" s="32"/>
      <c r="KCZ40" s="32"/>
      <c r="KDA40" s="32"/>
      <c r="KDB40" s="32"/>
      <c r="KDC40" s="32"/>
      <c r="KDD40" s="32"/>
      <c r="KDE40" s="32"/>
      <c r="KDF40" s="32"/>
      <c r="KDG40" s="32"/>
      <c r="KDH40" s="32"/>
      <c r="KDI40" s="32"/>
      <c r="KDJ40" s="32"/>
      <c r="KDK40" s="32"/>
      <c r="KDL40" s="32"/>
      <c r="KDM40" s="32"/>
      <c r="KDN40" s="32"/>
      <c r="KDO40" s="32"/>
      <c r="KDP40" s="32"/>
      <c r="KDQ40" s="32"/>
      <c r="KDR40" s="32"/>
      <c r="KDS40" s="32"/>
      <c r="KDT40" s="32"/>
      <c r="KDU40" s="32"/>
      <c r="KDV40" s="32"/>
      <c r="KDW40" s="32"/>
      <c r="KDX40" s="32"/>
      <c r="KDY40" s="32"/>
      <c r="KDZ40" s="32"/>
      <c r="KEA40" s="32"/>
      <c r="KEB40" s="32"/>
      <c r="KEC40" s="32"/>
      <c r="KED40" s="32"/>
      <c r="KEE40" s="32"/>
      <c r="KEF40" s="32"/>
      <c r="KEG40" s="32"/>
      <c r="KEH40" s="32"/>
      <c r="KEI40" s="32"/>
      <c r="KEJ40" s="32"/>
      <c r="KEK40" s="32"/>
      <c r="KEL40" s="32"/>
      <c r="KEM40" s="32"/>
      <c r="KEN40" s="32"/>
      <c r="KEO40" s="32"/>
      <c r="KEP40" s="32"/>
      <c r="KEQ40" s="32"/>
      <c r="KER40" s="32"/>
      <c r="KES40" s="32"/>
      <c r="KET40" s="32"/>
      <c r="KEU40" s="32"/>
      <c r="KEV40" s="32"/>
      <c r="KEW40" s="32"/>
      <c r="KEX40" s="32"/>
      <c r="KEY40" s="32"/>
      <c r="KEZ40" s="32"/>
      <c r="KFA40" s="32"/>
      <c r="KFB40" s="32"/>
      <c r="KFC40" s="32"/>
      <c r="KFD40" s="32"/>
      <c r="KFE40" s="32"/>
      <c r="KFF40" s="32"/>
      <c r="KFG40" s="32"/>
      <c r="KFH40" s="32"/>
      <c r="KFI40" s="32"/>
      <c r="KFJ40" s="32"/>
      <c r="KFK40" s="32"/>
      <c r="KFL40" s="32"/>
      <c r="KFM40" s="32"/>
      <c r="KFN40" s="32"/>
      <c r="KFO40" s="32"/>
      <c r="KFP40" s="32"/>
      <c r="KFQ40" s="32"/>
      <c r="KFR40" s="32"/>
      <c r="KFS40" s="32"/>
      <c r="KFT40" s="32"/>
      <c r="KFU40" s="32"/>
      <c r="KFV40" s="32"/>
      <c r="KFW40" s="32"/>
      <c r="KFX40" s="32"/>
      <c r="KFY40" s="32"/>
      <c r="KFZ40" s="32"/>
      <c r="KGA40" s="32"/>
      <c r="KGB40" s="32"/>
      <c r="KGC40" s="32"/>
      <c r="KGD40" s="32"/>
      <c r="KGE40" s="32"/>
      <c r="KGF40" s="32"/>
      <c r="KGG40" s="32"/>
      <c r="KGH40" s="32"/>
      <c r="KGI40" s="32"/>
      <c r="KGJ40" s="32"/>
      <c r="KGK40" s="32"/>
      <c r="KGL40" s="32"/>
      <c r="KGM40" s="32"/>
      <c r="KGN40" s="32"/>
      <c r="KGO40" s="32"/>
      <c r="KGP40" s="32"/>
      <c r="KGQ40" s="32"/>
      <c r="KGR40" s="32"/>
      <c r="KGS40" s="32"/>
      <c r="KGT40" s="32"/>
      <c r="KGU40" s="32"/>
      <c r="KGV40" s="32"/>
      <c r="KGW40" s="32"/>
      <c r="KGX40" s="32"/>
      <c r="KGY40" s="32"/>
      <c r="KGZ40" s="32"/>
      <c r="KHA40" s="32"/>
      <c r="KHB40" s="32"/>
      <c r="KHC40" s="32"/>
      <c r="KHD40" s="32"/>
      <c r="KHE40" s="32"/>
      <c r="KHF40" s="32"/>
      <c r="KHG40" s="32"/>
      <c r="KHH40" s="32"/>
      <c r="KHI40" s="32"/>
      <c r="KHJ40" s="32"/>
      <c r="KHK40" s="32"/>
      <c r="KHL40" s="32"/>
      <c r="KHM40" s="32"/>
      <c r="KHN40" s="32"/>
      <c r="KHO40" s="32"/>
      <c r="KHP40" s="32"/>
      <c r="KHQ40" s="32"/>
      <c r="KHR40" s="32"/>
      <c r="KHS40" s="32"/>
      <c r="KHT40" s="32"/>
      <c r="KHU40" s="32"/>
      <c r="KHV40" s="32"/>
      <c r="KHW40" s="32"/>
      <c r="KHX40" s="32"/>
      <c r="KHY40" s="32"/>
      <c r="KHZ40" s="32"/>
      <c r="KIA40" s="32"/>
      <c r="KIB40" s="32"/>
      <c r="KIC40" s="32"/>
      <c r="KID40" s="32"/>
      <c r="KIE40" s="32"/>
      <c r="KIF40" s="32"/>
      <c r="KIG40" s="32"/>
      <c r="KIH40" s="32"/>
      <c r="KII40" s="32"/>
      <c r="KIJ40" s="32"/>
      <c r="KIK40" s="32"/>
      <c r="KIL40" s="32"/>
      <c r="KIM40" s="32"/>
      <c r="KIN40" s="32"/>
      <c r="KIO40" s="32"/>
      <c r="KIP40" s="32"/>
      <c r="KIQ40" s="32"/>
      <c r="KIR40" s="32"/>
      <c r="KIS40" s="32"/>
      <c r="KIT40" s="32"/>
      <c r="KIU40" s="32"/>
      <c r="KIV40" s="32"/>
      <c r="KIW40" s="32"/>
      <c r="KIX40" s="32"/>
      <c r="KIY40" s="32"/>
      <c r="KIZ40" s="32"/>
      <c r="KJA40" s="32"/>
      <c r="KJB40" s="32"/>
      <c r="KJC40" s="32"/>
      <c r="KJD40" s="32"/>
      <c r="KJE40" s="32"/>
      <c r="KJF40" s="32"/>
      <c r="KJG40" s="32"/>
      <c r="KJH40" s="32"/>
      <c r="KJI40" s="32"/>
      <c r="KJJ40" s="32"/>
      <c r="KJK40" s="32"/>
      <c r="KJL40" s="32"/>
      <c r="KJM40" s="32"/>
      <c r="KJN40" s="32"/>
      <c r="KJO40" s="32"/>
      <c r="KJP40" s="32"/>
      <c r="KJQ40" s="32"/>
      <c r="KJR40" s="32"/>
      <c r="KJS40" s="32"/>
      <c r="KJT40" s="32"/>
      <c r="KJU40" s="32"/>
      <c r="KJV40" s="32"/>
      <c r="KJW40" s="32"/>
      <c r="KJX40" s="32"/>
      <c r="KJY40" s="32"/>
      <c r="KJZ40" s="32"/>
      <c r="KKA40" s="32"/>
      <c r="KKB40" s="32"/>
      <c r="KKC40" s="32"/>
      <c r="KKD40" s="32"/>
      <c r="KKE40" s="32"/>
      <c r="KKF40" s="32"/>
      <c r="KKG40" s="32"/>
      <c r="KKH40" s="32"/>
      <c r="KKI40" s="32"/>
      <c r="KKJ40" s="32"/>
      <c r="KKK40" s="32"/>
      <c r="KKL40" s="32"/>
      <c r="KKM40" s="32"/>
      <c r="KKN40" s="32"/>
      <c r="KKO40" s="32"/>
      <c r="KKP40" s="32"/>
      <c r="KKQ40" s="32"/>
      <c r="KKR40" s="32"/>
      <c r="KKS40" s="32"/>
      <c r="KKT40" s="32"/>
      <c r="KKU40" s="32"/>
      <c r="KKV40" s="32"/>
      <c r="KKW40" s="32"/>
      <c r="KKX40" s="32"/>
      <c r="KKY40" s="32"/>
      <c r="KKZ40" s="32"/>
      <c r="KLA40" s="32"/>
      <c r="KLB40" s="32"/>
      <c r="KLC40" s="32"/>
      <c r="KLD40" s="32"/>
      <c r="KLE40" s="32"/>
      <c r="KLF40" s="32"/>
      <c r="KLG40" s="32"/>
      <c r="KLH40" s="32"/>
      <c r="KLI40" s="32"/>
      <c r="KLJ40" s="32"/>
      <c r="KLK40" s="32"/>
      <c r="KLL40" s="32"/>
      <c r="KLM40" s="32"/>
      <c r="KLN40" s="32"/>
      <c r="KLO40" s="32"/>
      <c r="KLP40" s="32"/>
      <c r="KLQ40" s="32"/>
      <c r="KLR40" s="32"/>
      <c r="KLS40" s="32"/>
      <c r="KLT40" s="32"/>
      <c r="KLU40" s="32"/>
      <c r="KLV40" s="32"/>
      <c r="KLW40" s="32"/>
      <c r="KLX40" s="32"/>
      <c r="KLY40" s="32"/>
      <c r="KLZ40" s="32"/>
      <c r="KMA40" s="32"/>
      <c r="KMB40" s="32"/>
      <c r="KMC40" s="32"/>
      <c r="KMD40" s="32"/>
      <c r="KME40" s="32"/>
      <c r="KMF40" s="32"/>
      <c r="KMG40" s="32"/>
      <c r="KMH40" s="32"/>
      <c r="KMI40" s="32"/>
      <c r="KMJ40" s="32"/>
      <c r="KMK40" s="32"/>
      <c r="KML40" s="32"/>
      <c r="KMM40" s="32"/>
      <c r="KMN40" s="32"/>
      <c r="KMO40" s="32"/>
      <c r="KMP40" s="32"/>
      <c r="KMQ40" s="32"/>
      <c r="KMR40" s="32"/>
      <c r="KMS40" s="32"/>
      <c r="KMT40" s="32"/>
      <c r="KMU40" s="32"/>
      <c r="KMV40" s="32"/>
      <c r="KMW40" s="32"/>
      <c r="KMX40" s="32"/>
      <c r="KMY40" s="32"/>
      <c r="KMZ40" s="32"/>
      <c r="KNA40" s="32"/>
      <c r="KNB40" s="32"/>
      <c r="KNC40" s="32"/>
      <c r="KND40" s="32"/>
      <c r="KNE40" s="32"/>
      <c r="KNF40" s="32"/>
      <c r="KNG40" s="32"/>
      <c r="KNH40" s="32"/>
      <c r="KNI40" s="32"/>
      <c r="KNJ40" s="32"/>
      <c r="KNK40" s="32"/>
      <c r="KNL40" s="32"/>
      <c r="KNM40" s="32"/>
      <c r="KNN40" s="32"/>
      <c r="KNO40" s="32"/>
      <c r="KNP40" s="32"/>
      <c r="KNQ40" s="32"/>
      <c r="KNR40" s="32"/>
      <c r="KNS40" s="32"/>
      <c r="KNT40" s="32"/>
      <c r="KNU40" s="32"/>
      <c r="KNV40" s="32"/>
      <c r="KNW40" s="32"/>
      <c r="KNX40" s="32"/>
      <c r="KNY40" s="32"/>
      <c r="KNZ40" s="32"/>
      <c r="KOA40" s="32"/>
      <c r="KOB40" s="32"/>
      <c r="KOC40" s="32"/>
      <c r="KOD40" s="32"/>
      <c r="KOE40" s="32"/>
      <c r="KOF40" s="32"/>
      <c r="KOG40" s="32"/>
      <c r="KOH40" s="32"/>
      <c r="KOI40" s="32"/>
      <c r="KOJ40" s="32"/>
      <c r="KOK40" s="32"/>
      <c r="KOL40" s="32"/>
      <c r="KOM40" s="32"/>
      <c r="KON40" s="32"/>
      <c r="KOO40" s="32"/>
      <c r="KOP40" s="32"/>
      <c r="KOQ40" s="32"/>
      <c r="KOR40" s="32"/>
      <c r="KOS40" s="32"/>
      <c r="KOT40" s="32"/>
      <c r="KOU40" s="32"/>
      <c r="KOV40" s="32"/>
      <c r="KOW40" s="32"/>
      <c r="KOX40" s="32"/>
      <c r="KOY40" s="32"/>
      <c r="KOZ40" s="32"/>
      <c r="KPA40" s="32"/>
      <c r="KPB40" s="32"/>
      <c r="KPC40" s="32"/>
      <c r="KPD40" s="32"/>
      <c r="KPE40" s="32"/>
      <c r="KPF40" s="32"/>
      <c r="KPG40" s="32"/>
      <c r="KPH40" s="32"/>
      <c r="KPI40" s="32"/>
      <c r="KPJ40" s="32"/>
      <c r="KPK40" s="32"/>
      <c r="KPL40" s="32"/>
      <c r="KPM40" s="32"/>
      <c r="KPN40" s="32"/>
      <c r="KPO40" s="32"/>
      <c r="KPP40" s="32"/>
      <c r="KPQ40" s="32"/>
      <c r="KPR40" s="32"/>
      <c r="KPS40" s="32"/>
      <c r="KPT40" s="32"/>
      <c r="KPU40" s="32"/>
      <c r="KPV40" s="32"/>
      <c r="KPW40" s="32"/>
      <c r="KPX40" s="32"/>
      <c r="KPY40" s="32"/>
      <c r="KPZ40" s="32"/>
      <c r="KQA40" s="32"/>
      <c r="KQB40" s="32"/>
      <c r="KQC40" s="32"/>
      <c r="KQD40" s="32"/>
      <c r="KQE40" s="32"/>
      <c r="KQF40" s="32"/>
      <c r="KQG40" s="32"/>
      <c r="KQH40" s="32"/>
      <c r="KQI40" s="32"/>
      <c r="KQJ40" s="32"/>
      <c r="KQK40" s="32"/>
      <c r="KQL40" s="32"/>
      <c r="KQM40" s="32"/>
      <c r="KQN40" s="32"/>
      <c r="KQO40" s="32"/>
      <c r="KQP40" s="32"/>
      <c r="KQQ40" s="32"/>
      <c r="KQR40" s="32"/>
      <c r="KQS40" s="32"/>
      <c r="KQT40" s="32"/>
      <c r="KQU40" s="32"/>
      <c r="KQV40" s="32"/>
      <c r="KQW40" s="32"/>
      <c r="KQX40" s="32"/>
      <c r="KQY40" s="32"/>
      <c r="KQZ40" s="32"/>
      <c r="KRA40" s="32"/>
      <c r="KRB40" s="32"/>
      <c r="KRC40" s="32"/>
      <c r="KRD40" s="32"/>
      <c r="KRE40" s="32"/>
      <c r="KRF40" s="32"/>
      <c r="KRG40" s="32"/>
      <c r="KRH40" s="32"/>
      <c r="KRI40" s="32"/>
      <c r="KRJ40" s="32"/>
      <c r="KRK40" s="32"/>
      <c r="KRL40" s="32"/>
      <c r="KRM40" s="32"/>
      <c r="KRN40" s="32"/>
      <c r="KRO40" s="32"/>
      <c r="KRP40" s="32"/>
      <c r="KRQ40" s="32"/>
      <c r="KRR40" s="32"/>
      <c r="KRS40" s="32"/>
      <c r="KRT40" s="32"/>
      <c r="KRU40" s="32"/>
      <c r="KRV40" s="32"/>
      <c r="KRW40" s="32"/>
      <c r="KRX40" s="32"/>
      <c r="KRY40" s="32"/>
      <c r="KRZ40" s="32"/>
      <c r="KSA40" s="32"/>
      <c r="KSB40" s="32"/>
      <c r="KSC40" s="32"/>
      <c r="KSD40" s="32"/>
      <c r="KSE40" s="32"/>
      <c r="KSF40" s="32"/>
      <c r="KSG40" s="32"/>
      <c r="KSH40" s="32"/>
      <c r="KSI40" s="32"/>
      <c r="KSJ40" s="32"/>
      <c r="KSK40" s="32"/>
      <c r="KSL40" s="32"/>
      <c r="KSM40" s="32"/>
      <c r="KSN40" s="32"/>
      <c r="KSO40" s="32"/>
      <c r="KSP40" s="32"/>
      <c r="KSQ40" s="32"/>
      <c r="KSR40" s="32"/>
      <c r="KSS40" s="32"/>
      <c r="KST40" s="32"/>
      <c r="KSU40" s="32"/>
      <c r="KSV40" s="32"/>
      <c r="KSW40" s="32"/>
      <c r="KSX40" s="32"/>
      <c r="KSY40" s="32"/>
      <c r="KSZ40" s="32"/>
      <c r="KTA40" s="32"/>
      <c r="KTB40" s="32"/>
      <c r="KTC40" s="32"/>
      <c r="KTD40" s="32"/>
      <c r="KTE40" s="32"/>
      <c r="KTF40" s="32"/>
      <c r="KTG40" s="32"/>
      <c r="KTH40" s="32"/>
      <c r="KTI40" s="32"/>
      <c r="KTJ40" s="32"/>
      <c r="KTK40" s="32"/>
      <c r="KTL40" s="32"/>
      <c r="KTM40" s="32"/>
      <c r="KTN40" s="32"/>
      <c r="KTO40" s="32"/>
      <c r="KTP40" s="32"/>
      <c r="KTQ40" s="32"/>
      <c r="KTR40" s="32"/>
      <c r="KTS40" s="32"/>
      <c r="KTT40" s="32"/>
      <c r="KTU40" s="32"/>
      <c r="KTV40" s="32"/>
      <c r="KTW40" s="32"/>
      <c r="KTX40" s="32"/>
      <c r="KTY40" s="32"/>
      <c r="KTZ40" s="32"/>
      <c r="KUA40" s="32"/>
      <c r="KUB40" s="32"/>
      <c r="KUC40" s="32"/>
      <c r="KUD40" s="32"/>
      <c r="KUE40" s="32"/>
      <c r="KUF40" s="32"/>
      <c r="KUG40" s="32"/>
      <c r="KUH40" s="32"/>
      <c r="KUI40" s="32"/>
      <c r="KUJ40" s="32"/>
      <c r="KUK40" s="32"/>
      <c r="KUL40" s="32"/>
      <c r="KUM40" s="32"/>
      <c r="KUN40" s="32"/>
      <c r="KUO40" s="32"/>
      <c r="KUP40" s="32"/>
      <c r="KUQ40" s="32"/>
      <c r="KUR40" s="32"/>
      <c r="KUS40" s="32"/>
      <c r="KUT40" s="32"/>
      <c r="KUU40" s="32"/>
      <c r="KUV40" s="32"/>
      <c r="KUW40" s="32"/>
      <c r="KUX40" s="32"/>
      <c r="KUY40" s="32"/>
      <c r="KUZ40" s="32"/>
      <c r="KVA40" s="32"/>
      <c r="KVB40" s="32"/>
      <c r="KVC40" s="32"/>
      <c r="KVD40" s="32"/>
      <c r="KVE40" s="32"/>
      <c r="KVF40" s="32"/>
      <c r="KVG40" s="32"/>
      <c r="KVH40" s="32"/>
      <c r="KVI40" s="32"/>
      <c r="KVJ40" s="32"/>
      <c r="KVK40" s="32"/>
      <c r="KVL40" s="32"/>
      <c r="KVM40" s="32"/>
      <c r="KVN40" s="32"/>
      <c r="KVO40" s="32"/>
      <c r="KVP40" s="32"/>
      <c r="KVQ40" s="32"/>
      <c r="KVR40" s="32"/>
      <c r="KVS40" s="32"/>
      <c r="KVT40" s="32"/>
      <c r="KVU40" s="32"/>
      <c r="KVV40" s="32"/>
      <c r="KVW40" s="32"/>
      <c r="KVX40" s="32"/>
      <c r="KVY40" s="32"/>
      <c r="KVZ40" s="32"/>
      <c r="KWA40" s="32"/>
      <c r="KWB40" s="32"/>
      <c r="KWC40" s="32"/>
      <c r="KWD40" s="32"/>
      <c r="KWE40" s="32"/>
      <c r="KWF40" s="32"/>
      <c r="KWG40" s="32"/>
      <c r="KWH40" s="32"/>
      <c r="KWI40" s="32"/>
      <c r="KWJ40" s="32"/>
      <c r="KWK40" s="32"/>
      <c r="KWL40" s="32"/>
      <c r="KWM40" s="32"/>
      <c r="KWN40" s="32"/>
      <c r="KWO40" s="32"/>
      <c r="KWP40" s="32"/>
      <c r="KWQ40" s="32"/>
      <c r="KWR40" s="32"/>
      <c r="KWS40" s="32"/>
      <c r="KWT40" s="32"/>
      <c r="KWU40" s="32"/>
      <c r="KWV40" s="32"/>
      <c r="KWW40" s="32"/>
      <c r="KWX40" s="32"/>
      <c r="KWY40" s="32"/>
      <c r="KWZ40" s="32"/>
      <c r="KXA40" s="32"/>
      <c r="KXB40" s="32"/>
      <c r="KXC40" s="32"/>
      <c r="KXD40" s="32"/>
      <c r="KXE40" s="32"/>
      <c r="KXF40" s="32"/>
      <c r="KXG40" s="32"/>
      <c r="KXH40" s="32"/>
      <c r="KXI40" s="32"/>
      <c r="KXJ40" s="32"/>
      <c r="KXK40" s="32"/>
      <c r="KXL40" s="32"/>
      <c r="KXM40" s="32"/>
      <c r="KXN40" s="32"/>
      <c r="KXO40" s="32"/>
      <c r="KXP40" s="32"/>
      <c r="KXQ40" s="32"/>
      <c r="KXR40" s="32"/>
      <c r="KXS40" s="32"/>
      <c r="KXT40" s="32"/>
      <c r="KXU40" s="32"/>
      <c r="KXV40" s="32"/>
      <c r="KXW40" s="32"/>
      <c r="KXX40" s="32"/>
      <c r="KXY40" s="32"/>
      <c r="KXZ40" s="32"/>
      <c r="KYA40" s="32"/>
      <c r="KYB40" s="32"/>
      <c r="KYC40" s="32"/>
      <c r="KYD40" s="32"/>
      <c r="KYE40" s="32"/>
      <c r="KYF40" s="32"/>
      <c r="KYG40" s="32"/>
      <c r="KYH40" s="32"/>
      <c r="KYI40" s="32"/>
      <c r="KYJ40" s="32"/>
      <c r="KYK40" s="32"/>
      <c r="KYL40" s="32"/>
      <c r="KYM40" s="32"/>
      <c r="KYN40" s="32"/>
      <c r="KYO40" s="32"/>
      <c r="KYP40" s="32"/>
      <c r="KYQ40" s="32"/>
      <c r="KYR40" s="32"/>
      <c r="KYS40" s="32"/>
      <c r="KYT40" s="32"/>
      <c r="KYU40" s="32"/>
      <c r="KYV40" s="32"/>
      <c r="KYW40" s="32"/>
      <c r="KYX40" s="32"/>
      <c r="KYY40" s="32"/>
      <c r="KYZ40" s="32"/>
      <c r="KZA40" s="32"/>
      <c r="KZB40" s="32"/>
      <c r="KZC40" s="32"/>
      <c r="KZD40" s="32"/>
      <c r="KZE40" s="32"/>
      <c r="KZF40" s="32"/>
      <c r="KZG40" s="32"/>
      <c r="KZH40" s="32"/>
      <c r="KZI40" s="32"/>
      <c r="KZJ40" s="32"/>
      <c r="KZK40" s="32"/>
      <c r="KZL40" s="32"/>
      <c r="KZM40" s="32"/>
      <c r="KZN40" s="32"/>
      <c r="KZO40" s="32"/>
      <c r="KZP40" s="32"/>
      <c r="KZQ40" s="32"/>
      <c r="KZR40" s="32"/>
      <c r="KZS40" s="32"/>
      <c r="KZT40" s="32"/>
      <c r="KZU40" s="32"/>
      <c r="KZV40" s="32"/>
      <c r="KZW40" s="32"/>
      <c r="KZX40" s="32"/>
      <c r="KZY40" s="32"/>
      <c r="KZZ40" s="32"/>
      <c r="LAA40" s="32"/>
      <c r="LAB40" s="32"/>
      <c r="LAC40" s="32"/>
      <c r="LAD40" s="32"/>
      <c r="LAE40" s="32"/>
      <c r="LAF40" s="32"/>
      <c r="LAG40" s="32"/>
      <c r="LAH40" s="32"/>
      <c r="LAI40" s="32"/>
      <c r="LAJ40" s="32"/>
      <c r="LAK40" s="32"/>
      <c r="LAL40" s="32"/>
      <c r="LAM40" s="32"/>
      <c r="LAN40" s="32"/>
      <c r="LAO40" s="32"/>
      <c r="LAP40" s="32"/>
      <c r="LAQ40" s="32"/>
      <c r="LAR40" s="32"/>
      <c r="LAS40" s="32"/>
      <c r="LAT40" s="32"/>
      <c r="LAU40" s="32"/>
      <c r="LAV40" s="32"/>
      <c r="LAW40" s="32"/>
      <c r="LAX40" s="32"/>
      <c r="LAY40" s="32"/>
      <c r="LAZ40" s="32"/>
      <c r="LBA40" s="32"/>
      <c r="LBB40" s="32"/>
      <c r="LBC40" s="32"/>
      <c r="LBD40" s="32"/>
      <c r="LBE40" s="32"/>
      <c r="LBF40" s="32"/>
      <c r="LBG40" s="32"/>
      <c r="LBH40" s="32"/>
      <c r="LBI40" s="32"/>
      <c r="LBJ40" s="32"/>
      <c r="LBK40" s="32"/>
      <c r="LBL40" s="32"/>
      <c r="LBM40" s="32"/>
      <c r="LBN40" s="32"/>
      <c r="LBO40" s="32"/>
      <c r="LBP40" s="32"/>
      <c r="LBQ40" s="32"/>
      <c r="LBR40" s="32"/>
      <c r="LBS40" s="32"/>
      <c r="LBT40" s="32"/>
      <c r="LBU40" s="32"/>
      <c r="LBV40" s="32"/>
      <c r="LBW40" s="32"/>
      <c r="LBX40" s="32"/>
      <c r="LBY40" s="32"/>
      <c r="LBZ40" s="32"/>
      <c r="LCA40" s="32"/>
      <c r="LCB40" s="32"/>
      <c r="LCC40" s="32"/>
      <c r="LCD40" s="32"/>
      <c r="LCE40" s="32"/>
      <c r="LCF40" s="32"/>
      <c r="LCG40" s="32"/>
      <c r="LCH40" s="32"/>
      <c r="LCI40" s="32"/>
      <c r="LCJ40" s="32"/>
      <c r="LCK40" s="32"/>
      <c r="LCL40" s="32"/>
      <c r="LCM40" s="32"/>
      <c r="LCN40" s="32"/>
      <c r="LCO40" s="32"/>
      <c r="LCP40" s="32"/>
      <c r="LCQ40" s="32"/>
      <c r="LCR40" s="32"/>
      <c r="LCS40" s="32"/>
      <c r="LCT40" s="32"/>
      <c r="LCU40" s="32"/>
      <c r="LCV40" s="32"/>
      <c r="LCW40" s="32"/>
      <c r="LCX40" s="32"/>
      <c r="LCY40" s="32"/>
      <c r="LCZ40" s="32"/>
      <c r="LDA40" s="32"/>
      <c r="LDB40" s="32"/>
      <c r="LDC40" s="32"/>
      <c r="LDD40" s="32"/>
      <c r="LDE40" s="32"/>
      <c r="LDF40" s="32"/>
      <c r="LDG40" s="32"/>
      <c r="LDH40" s="32"/>
      <c r="LDI40" s="32"/>
      <c r="LDJ40" s="32"/>
      <c r="LDK40" s="32"/>
      <c r="LDL40" s="32"/>
      <c r="LDM40" s="32"/>
      <c r="LDN40" s="32"/>
      <c r="LDO40" s="32"/>
      <c r="LDP40" s="32"/>
      <c r="LDQ40" s="32"/>
      <c r="LDR40" s="32"/>
      <c r="LDS40" s="32"/>
      <c r="LDT40" s="32"/>
      <c r="LDU40" s="32"/>
      <c r="LDV40" s="32"/>
      <c r="LDW40" s="32"/>
      <c r="LDX40" s="32"/>
      <c r="LDY40" s="32"/>
      <c r="LDZ40" s="32"/>
      <c r="LEA40" s="32"/>
      <c r="LEB40" s="32"/>
      <c r="LEC40" s="32"/>
      <c r="LED40" s="32"/>
      <c r="LEE40" s="32"/>
      <c r="LEF40" s="32"/>
      <c r="LEG40" s="32"/>
      <c r="LEH40" s="32"/>
      <c r="LEI40" s="32"/>
      <c r="LEJ40" s="32"/>
      <c r="LEK40" s="32"/>
      <c r="LEL40" s="32"/>
      <c r="LEM40" s="32"/>
      <c r="LEN40" s="32"/>
      <c r="LEO40" s="32"/>
      <c r="LEP40" s="32"/>
      <c r="LEQ40" s="32"/>
      <c r="LER40" s="32"/>
      <c r="LES40" s="32"/>
      <c r="LET40" s="32"/>
      <c r="LEU40" s="32"/>
      <c r="LEV40" s="32"/>
      <c r="LEW40" s="32"/>
      <c r="LEX40" s="32"/>
      <c r="LEY40" s="32"/>
      <c r="LEZ40" s="32"/>
      <c r="LFA40" s="32"/>
      <c r="LFB40" s="32"/>
      <c r="LFC40" s="32"/>
      <c r="LFD40" s="32"/>
      <c r="LFE40" s="32"/>
      <c r="LFF40" s="32"/>
      <c r="LFG40" s="32"/>
      <c r="LFH40" s="32"/>
      <c r="LFI40" s="32"/>
      <c r="LFJ40" s="32"/>
      <c r="LFK40" s="32"/>
      <c r="LFL40" s="32"/>
      <c r="LFM40" s="32"/>
      <c r="LFN40" s="32"/>
      <c r="LFO40" s="32"/>
      <c r="LFP40" s="32"/>
      <c r="LFQ40" s="32"/>
      <c r="LFR40" s="32"/>
      <c r="LFS40" s="32"/>
      <c r="LFT40" s="32"/>
      <c r="LFU40" s="32"/>
      <c r="LFV40" s="32"/>
      <c r="LFW40" s="32"/>
      <c r="LFX40" s="32"/>
      <c r="LFY40" s="32"/>
      <c r="LFZ40" s="32"/>
      <c r="LGA40" s="32"/>
      <c r="LGB40" s="32"/>
      <c r="LGC40" s="32"/>
      <c r="LGD40" s="32"/>
      <c r="LGE40" s="32"/>
      <c r="LGF40" s="32"/>
      <c r="LGG40" s="32"/>
      <c r="LGH40" s="32"/>
      <c r="LGI40" s="32"/>
      <c r="LGJ40" s="32"/>
      <c r="LGK40" s="32"/>
      <c r="LGL40" s="32"/>
      <c r="LGM40" s="32"/>
      <c r="LGN40" s="32"/>
      <c r="LGO40" s="32"/>
      <c r="LGP40" s="32"/>
      <c r="LGQ40" s="32"/>
      <c r="LGR40" s="32"/>
      <c r="LGS40" s="32"/>
      <c r="LGT40" s="32"/>
      <c r="LGU40" s="32"/>
      <c r="LGV40" s="32"/>
      <c r="LGW40" s="32"/>
      <c r="LGX40" s="32"/>
      <c r="LGY40" s="32"/>
      <c r="LGZ40" s="32"/>
      <c r="LHA40" s="32"/>
      <c r="LHB40" s="32"/>
      <c r="LHC40" s="32"/>
      <c r="LHD40" s="32"/>
      <c r="LHE40" s="32"/>
      <c r="LHF40" s="32"/>
      <c r="LHG40" s="32"/>
      <c r="LHH40" s="32"/>
      <c r="LHI40" s="32"/>
      <c r="LHJ40" s="32"/>
      <c r="LHK40" s="32"/>
      <c r="LHL40" s="32"/>
      <c r="LHM40" s="32"/>
      <c r="LHN40" s="32"/>
      <c r="LHO40" s="32"/>
      <c r="LHP40" s="32"/>
      <c r="LHQ40" s="32"/>
      <c r="LHR40" s="32"/>
      <c r="LHS40" s="32"/>
      <c r="LHT40" s="32"/>
      <c r="LHU40" s="32"/>
      <c r="LHV40" s="32"/>
      <c r="LHW40" s="32"/>
      <c r="LHX40" s="32"/>
      <c r="LHY40" s="32"/>
      <c r="LHZ40" s="32"/>
      <c r="LIA40" s="32"/>
      <c r="LIB40" s="32"/>
      <c r="LIC40" s="32"/>
      <c r="LID40" s="32"/>
      <c r="LIE40" s="32"/>
      <c r="LIF40" s="32"/>
      <c r="LIG40" s="32"/>
      <c r="LIH40" s="32"/>
      <c r="LII40" s="32"/>
      <c r="LIJ40" s="32"/>
      <c r="LIK40" s="32"/>
      <c r="LIL40" s="32"/>
      <c r="LIM40" s="32"/>
      <c r="LIN40" s="32"/>
      <c r="LIO40" s="32"/>
      <c r="LIP40" s="32"/>
      <c r="LIQ40" s="32"/>
      <c r="LIR40" s="32"/>
      <c r="LIS40" s="32"/>
      <c r="LIT40" s="32"/>
      <c r="LIU40" s="32"/>
      <c r="LIV40" s="32"/>
      <c r="LIW40" s="32"/>
      <c r="LIX40" s="32"/>
      <c r="LIY40" s="32"/>
      <c r="LIZ40" s="32"/>
      <c r="LJA40" s="32"/>
      <c r="LJB40" s="32"/>
      <c r="LJC40" s="32"/>
      <c r="LJD40" s="32"/>
      <c r="LJE40" s="32"/>
      <c r="LJF40" s="32"/>
      <c r="LJG40" s="32"/>
      <c r="LJH40" s="32"/>
      <c r="LJI40" s="32"/>
      <c r="LJJ40" s="32"/>
      <c r="LJK40" s="32"/>
      <c r="LJL40" s="32"/>
      <c r="LJM40" s="32"/>
      <c r="LJN40" s="32"/>
      <c r="LJO40" s="32"/>
      <c r="LJP40" s="32"/>
      <c r="LJQ40" s="32"/>
      <c r="LJR40" s="32"/>
      <c r="LJS40" s="32"/>
      <c r="LJT40" s="32"/>
      <c r="LJU40" s="32"/>
      <c r="LJV40" s="32"/>
      <c r="LJW40" s="32"/>
      <c r="LJX40" s="32"/>
      <c r="LJY40" s="32"/>
      <c r="LJZ40" s="32"/>
      <c r="LKA40" s="32"/>
      <c r="LKB40" s="32"/>
      <c r="LKC40" s="32"/>
      <c r="LKD40" s="32"/>
      <c r="LKE40" s="32"/>
      <c r="LKF40" s="32"/>
      <c r="LKG40" s="32"/>
      <c r="LKH40" s="32"/>
      <c r="LKI40" s="32"/>
      <c r="LKJ40" s="32"/>
      <c r="LKK40" s="32"/>
      <c r="LKL40" s="32"/>
      <c r="LKM40" s="32"/>
      <c r="LKN40" s="32"/>
      <c r="LKO40" s="32"/>
      <c r="LKP40" s="32"/>
      <c r="LKQ40" s="32"/>
      <c r="LKR40" s="32"/>
      <c r="LKS40" s="32"/>
      <c r="LKT40" s="32"/>
      <c r="LKU40" s="32"/>
      <c r="LKV40" s="32"/>
      <c r="LKW40" s="32"/>
      <c r="LKX40" s="32"/>
      <c r="LKY40" s="32"/>
      <c r="LKZ40" s="32"/>
      <c r="LLA40" s="32"/>
      <c r="LLB40" s="32"/>
      <c r="LLC40" s="32"/>
      <c r="LLD40" s="32"/>
      <c r="LLE40" s="32"/>
      <c r="LLF40" s="32"/>
      <c r="LLG40" s="32"/>
      <c r="LLH40" s="32"/>
      <c r="LLI40" s="32"/>
      <c r="LLJ40" s="32"/>
      <c r="LLK40" s="32"/>
      <c r="LLL40" s="32"/>
      <c r="LLM40" s="32"/>
      <c r="LLN40" s="32"/>
      <c r="LLO40" s="32"/>
      <c r="LLP40" s="32"/>
      <c r="LLQ40" s="32"/>
      <c r="LLR40" s="32"/>
      <c r="LLS40" s="32"/>
      <c r="LLT40" s="32"/>
      <c r="LLU40" s="32"/>
      <c r="LLV40" s="32"/>
      <c r="LLW40" s="32"/>
      <c r="LLX40" s="32"/>
      <c r="LLY40" s="32"/>
      <c r="LLZ40" s="32"/>
      <c r="LMA40" s="32"/>
      <c r="LMB40" s="32"/>
      <c r="LMC40" s="32"/>
      <c r="LMD40" s="32"/>
      <c r="LME40" s="32"/>
      <c r="LMF40" s="32"/>
      <c r="LMG40" s="32"/>
      <c r="LMH40" s="32"/>
      <c r="LMI40" s="32"/>
      <c r="LMJ40" s="32"/>
      <c r="LMK40" s="32"/>
      <c r="LML40" s="32"/>
      <c r="LMM40" s="32"/>
      <c r="LMN40" s="32"/>
      <c r="LMO40" s="32"/>
      <c r="LMP40" s="32"/>
      <c r="LMQ40" s="32"/>
      <c r="LMR40" s="32"/>
      <c r="LMS40" s="32"/>
      <c r="LMT40" s="32"/>
      <c r="LMU40" s="32"/>
      <c r="LMV40" s="32"/>
      <c r="LMW40" s="32"/>
      <c r="LMX40" s="32"/>
      <c r="LMY40" s="32"/>
      <c r="LMZ40" s="32"/>
      <c r="LNA40" s="32"/>
      <c r="LNB40" s="32"/>
      <c r="LNC40" s="32"/>
      <c r="LND40" s="32"/>
      <c r="LNE40" s="32"/>
      <c r="LNF40" s="32"/>
      <c r="LNG40" s="32"/>
      <c r="LNH40" s="32"/>
      <c r="LNI40" s="32"/>
      <c r="LNJ40" s="32"/>
      <c r="LNK40" s="32"/>
      <c r="LNL40" s="32"/>
      <c r="LNM40" s="32"/>
      <c r="LNN40" s="32"/>
      <c r="LNO40" s="32"/>
      <c r="LNP40" s="32"/>
      <c r="LNQ40" s="32"/>
      <c r="LNR40" s="32"/>
      <c r="LNS40" s="32"/>
      <c r="LNT40" s="32"/>
      <c r="LNU40" s="32"/>
      <c r="LNV40" s="32"/>
      <c r="LNW40" s="32"/>
      <c r="LNX40" s="32"/>
      <c r="LNY40" s="32"/>
      <c r="LNZ40" s="32"/>
      <c r="LOA40" s="32"/>
      <c r="LOB40" s="32"/>
      <c r="LOC40" s="32"/>
      <c r="LOD40" s="32"/>
      <c r="LOE40" s="32"/>
      <c r="LOF40" s="32"/>
      <c r="LOG40" s="32"/>
      <c r="LOH40" s="32"/>
      <c r="LOI40" s="32"/>
      <c r="LOJ40" s="32"/>
      <c r="LOK40" s="32"/>
      <c r="LOL40" s="32"/>
      <c r="LOM40" s="32"/>
      <c r="LON40" s="32"/>
      <c r="LOO40" s="32"/>
      <c r="LOP40" s="32"/>
      <c r="LOQ40" s="32"/>
      <c r="LOR40" s="32"/>
      <c r="LOS40" s="32"/>
      <c r="LOT40" s="32"/>
      <c r="LOU40" s="32"/>
      <c r="LOV40" s="32"/>
      <c r="LOW40" s="32"/>
      <c r="LOX40" s="32"/>
      <c r="LOY40" s="32"/>
      <c r="LOZ40" s="32"/>
      <c r="LPA40" s="32"/>
      <c r="LPB40" s="32"/>
      <c r="LPC40" s="32"/>
      <c r="LPD40" s="32"/>
      <c r="LPE40" s="32"/>
      <c r="LPF40" s="32"/>
      <c r="LPG40" s="32"/>
      <c r="LPH40" s="32"/>
      <c r="LPI40" s="32"/>
      <c r="LPJ40" s="32"/>
      <c r="LPK40" s="32"/>
      <c r="LPL40" s="32"/>
      <c r="LPM40" s="32"/>
      <c r="LPN40" s="32"/>
      <c r="LPO40" s="32"/>
      <c r="LPP40" s="32"/>
      <c r="LPQ40" s="32"/>
      <c r="LPR40" s="32"/>
      <c r="LPS40" s="32"/>
      <c r="LPT40" s="32"/>
      <c r="LPU40" s="32"/>
      <c r="LPV40" s="32"/>
      <c r="LPW40" s="32"/>
      <c r="LPX40" s="32"/>
      <c r="LPY40" s="32"/>
      <c r="LPZ40" s="32"/>
      <c r="LQA40" s="32"/>
      <c r="LQB40" s="32"/>
      <c r="LQC40" s="32"/>
      <c r="LQD40" s="32"/>
      <c r="LQE40" s="32"/>
      <c r="LQF40" s="32"/>
      <c r="LQG40" s="32"/>
      <c r="LQH40" s="32"/>
      <c r="LQI40" s="32"/>
      <c r="LQJ40" s="32"/>
      <c r="LQK40" s="32"/>
      <c r="LQL40" s="32"/>
      <c r="LQM40" s="32"/>
      <c r="LQN40" s="32"/>
      <c r="LQO40" s="32"/>
      <c r="LQP40" s="32"/>
      <c r="LQQ40" s="32"/>
      <c r="LQR40" s="32"/>
      <c r="LQS40" s="32"/>
      <c r="LQT40" s="32"/>
      <c r="LQU40" s="32"/>
      <c r="LQV40" s="32"/>
      <c r="LQW40" s="32"/>
      <c r="LQX40" s="32"/>
      <c r="LQY40" s="32"/>
      <c r="LQZ40" s="32"/>
      <c r="LRA40" s="32"/>
      <c r="LRB40" s="32"/>
      <c r="LRC40" s="32"/>
      <c r="LRD40" s="32"/>
      <c r="LRE40" s="32"/>
      <c r="LRF40" s="32"/>
      <c r="LRG40" s="32"/>
      <c r="LRH40" s="32"/>
      <c r="LRI40" s="32"/>
      <c r="LRJ40" s="32"/>
      <c r="LRK40" s="32"/>
      <c r="LRL40" s="32"/>
      <c r="LRM40" s="32"/>
      <c r="LRN40" s="32"/>
      <c r="LRO40" s="32"/>
      <c r="LRP40" s="32"/>
      <c r="LRQ40" s="32"/>
      <c r="LRR40" s="32"/>
      <c r="LRS40" s="32"/>
      <c r="LRT40" s="32"/>
      <c r="LRU40" s="32"/>
      <c r="LRV40" s="32"/>
      <c r="LRW40" s="32"/>
      <c r="LRX40" s="32"/>
      <c r="LRY40" s="32"/>
      <c r="LRZ40" s="32"/>
      <c r="LSA40" s="32"/>
      <c r="LSB40" s="32"/>
      <c r="LSC40" s="32"/>
      <c r="LSD40" s="32"/>
      <c r="LSE40" s="32"/>
      <c r="LSF40" s="32"/>
      <c r="LSG40" s="32"/>
      <c r="LSH40" s="32"/>
      <c r="LSI40" s="32"/>
      <c r="LSJ40" s="32"/>
      <c r="LSK40" s="32"/>
      <c r="LSL40" s="32"/>
      <c r="LSM40" s="32"/>
      <c r="LSN40" s="32"/>
      <c r="LSO40" s="32"/>
      <c r="LSP40" s="32"/>
      <c r="LSQ40" s="32"/>
      <c r="LSR40" s="32"/>
      <c r="LSS40" s="32"/>
      <c r="LST40" s="32"/>
      <c r="LSU40" s="32"/>
      <c r="LSV40" s="32"/>
      <c r="LSW40" s="32"/>
      <c r="LSX40" s="32"/>
      <c r="LSY40" s="32"/>
      <c r="LSZ40" s="32"/>
      <c r="LTA40" s="32"/>
      <c r="LTB40" s="32"/>
      <c r="LTC40" s="32"/>
      <c r="LTD40" s="32"/>
      <c r="LTE40" s="32"/>
      <c r="LTF40" s="32"/>
      <c r="LTG40" s="32"/>
      <c r="LTH40" s="32"/>
      <c r="LTI40" s="32"/>
      <c r="LTJ40" s="32"/>
      <c r="LTK40" s="32"/>
      <c r="LTL40" s="32"/>
      <c r="LTM40" s="32"/>
      <c r="LTN40" s="32"/>
      <c r="LTO40" s="32"/>
      <c r="LTP40" s="32"/>
      <c r="LTQ40" s="32"/>
      <c r="LTR40" s="32"/>
      <c r="LTS40" s="32"/>
      <c r="LTT40" s="32"/>
      <c r="LTU40" s="32"/>
      <c r="LTV40" s="32"/>
      <c r="LTW40" s="32"/>
      <c r="LTX40" s="32"/>
      <c r="LTY40" s="32"/>
      <c r="LTZ40" s="32"/>
      <c r="LUA40" s="32"/>
      <c r="LUB40" s="32"/>
      <c r="LUC40" s="32"/>
      <c r="LUD40" s="32"/>
      <c r="LUE40" s="32"/>
      <c r="LUF40" s="32"/>
      <c r="LUG40" s="32"/>
      <c r="LUH40" s="32"/>
      <c r="LUI40" s="32"/>
      <c r="LUJ40" s="32"/>
      <c r="LUK40" s="32"/>
      <c r="LUL40" s="32"/>
      <c r="LUM40" s="32"/>
      <c r="LUN40" s="32"/>
      <c r="LUO40" s="32"/>
      <c r="LUP40" s="32"/>
      <c r="LUQ40" s="32"/>
      <c r="LUR40" s="32"/>
      <c r="LUS40" s="32"/>
      <c r="LUT40" s="32"/>
      <c r="LUU40" s="32"/>
      <c r="LUV40" s="32"/>
      <c r="LUW40" s="32"/>
      <c r="LUX40" s="32"/>
      <c r="LUY40" s="32"/>
      <c r="LUZ40" s="32"/>
      <c r="LVA40" s="32"/>
      <c r="LVB40" s="32"/>
      <c r="LVC40" s="32"/>
      <c r="LVD40" s="32"/>
      <c r="LVE40" s="32"/>
      <c r="LVF40" s="32"/>
      <c r="LVG40" s="32"/>
      <c r="LVH40" s="32"/>
      <c r="LVI40" s="32"/>
      <c r="LVJ40" s="32"/>
      <c r="LVK40" s="32"/>
      <c r="LVL40" s="32"/>
      <c r="LVM40" s="32"/>
      <c r="LVN40" s="32"/>
      <c r="LVO40" s="32"/>
      <c r="LVP40" s="32"/>
      <c r="LVQ40" s="32"/>
      <c r="LVR40" s="32"/>
      <c r="LVS40" s="32"/>
      <c r="LVT40" s="32"/>
      <c r="LVU40" s="32"/>
      <c r="LVV40" s="32"/>
      <c r="LVW40" s="32"/>
      <c r="LVX40" s="32"/>
      <c r="LVY40" s="32"/>
      <c r="LVZ40" s="32"/>
      <c r="LWA40" s="32"/>
      <c r="LWB40" s="32"/>
      <c r="LWC40" s="32"/>
      <c r="LWD40" s="32"/>
      <c r="LWE40" s="32"/>
      <c r="LWF40" s="32"/>
      <c r="LWG40" s="32"/>
      <c r="LWH40" s="32"/>
      <c r="LWI40" s="32"/>
      <c r="LWJ40" s="32"/>
      <c r="LWK40" s="32"/>
      <c r="LWL40" s="32"/>
      <c r="LWM40" s="32"/>
      <c r="LWN40" s="32"/>
      <c r="LWO40" s="32"/>
      <c r="LWP40" s="32"/>
      <c r="LWQ40" s="32"/>
      <c r="LWR40" s="32"/>
      <c r="LWS40" s="32"/>
      <c r="LWT40" s="32"/>
      <c r="LWU40" s="32"/>
      <c r="LWV40" s="32"/>
      <c r="LWW40" s="32"/>
      <c r="LWX40" s="32"/>
      <c r="LWY40" s="32"/>
      <c r="LWZ40" s="32"/>
      <c r="LXA40" s="32"/>
      <c r="LXB40" s="32"/>
      <c r="LXC40" s="32"/>
      <c r="LXD40" s="32"/>
      <c r="LXE40" s="32"/>
      <c r="LXF40" s="32"/>
      <c r="LXG40" s="32"/>
      <c r="LXH40" s="32"/>
      <c r="LXI40" s="32"/>
      <c r="LXJ40" s="32"/>
      <c r="LXK40" s="32"/>
      <c r="LXL40" s="32"/>
      <c r="LXM40" s="32"/>
      <c r="LXN40" s="32"/>
      <c r="LXO40" s="32"/>
      <c r="LXP40" s="32"/>
      <c r="LXQ40" s="32"/>
      <c r="LXR40" s="32"/>
      <c r="LXS40" s="32"/>
      <c r="LXT40" s="32"/>
      <c r="LXU40" s="32"/>
      <c r="LXV40" s="32"/>
      <c r="LXW40" s="32"/>
      <c r="LXX40" s="32"/>
      <c r="LXY40" s="32"/>
      <c r="LXZ40" s="32"/>
      <c r="LYA40" s="32"/>
      <c r="LYB40" s="32"/>
      <c r="LYC40" s="32"/>
      <c r="LYD40" s="32"/>
      <c r="LYE40" s="32"/>
      <c r="LYF40" s="32"/>
      <c r="LYG40" s="32"/>
      <c r="LYH40" s="32"/>
      <c r="LYI40" s="32"/>
      <c r="LYJ40" s="32"/>
      <c r="LYK40" s="32"/>
      <c r="LYL40" s="32"/>
      <c r="LYM40" s="32"/>
      <c r="LYN40" s="32"/>
      <c r="LYO40" s="32"/>
      <c r="LYP40" s="32"/>
      <c r="LYQ40" s="32"/>
      <c r="LYR40" s="32"/>
      <c r="LYS40" s="32"/>
      <c r="LYT40" s="32"/>
      <c r="LYU40" s="32"/>
      <c r="LYV40" s="32"/>
      <c r="LYW40" s="32"/>
      <c r="LYX40" s="32"/>
      <c r="LYY40" s="32"/>
      <c r="LYZ40" s="32"/>
      <c r="LZA40" s="32"/>
      <c r="LZB40" s="32"/>
      <c r="LZC40" s="32"/>
      <c r="LZD40" s="32"/>
      <c r="LZE40" s="32"/>
      <c r="LZF40" s="32"/>
      <c r="LZG40" s="32"/>
      <c r="LZH40" s="32"/>
      <c r="LZI40" s="32"/>
      <c r="LZJ40" s="32"/>
      <c r="LZK40" s="32"/>
      <c r="LZL40" s="32"/>
      <c r="LZM40" s="32"/>
      <c r="LZN40" s="32"/>
      <c r="LZO40" s="32"/>
      <c r="LZP40" s="32"/>
      <c r="LZQ40" s="32"/>
      <c r="LZR40" s="32"/>
      <c r="LZS40" s="32"/>
      <c r="LZT40" s="32"/>
      <c r="LZU40" s="32"/>
      <c r="LZV40" s="32"/>
      <c r="LZW40" s="32"/>
      <c r="LZX40" s="32"/>
      <c r="LZY40" s="32"/>
      <c r="LZZ40" s="32"/>
      <c r="MAA40" s="32"/>
      <c r="MAB40" s="32"/>
      <c r="MAC40" s="32"/>
      <c r="MAD40" s="32"/>
      <c r="MAE40" s="32"/>
      <c r="MAF40" s="32"/>
      <c r="MAG40" s="32"/>
      <c r="MAH40" s="32"/>
      <c r="MAI40" s="32"/>
      <c r="MAJ40" s="32"/>
      <c r="MAK40" s="32"/>
      <c r="MAL40" s="32"/>
      <c r="MAM40" s="32"/>
      <c r="MAN40" s="32"/>
      <c r="MAO40" s="32"/>
      <c r="MAP40" s="32"/>
      <c r="MAQ40" s="32"/>
      <c r="MAR40" s="32"/>
      <c r="MAS40" s="32"/>
      <c r="MAT40" s="32"/>
      <c r="MAU40" s="32"/>
      <c r="MAV40" s="32"/>
      <c r="MAW40" s="32"/>
      <c r="MAX40" s="32"/>
      <c r="MAY40" s="32"/>
      <c r="MAZ40" s="32"/>
      <c r="MBA40" s="32"/>
      <c r="MBB40" s="32"/>
      <c r="MBC40" s="32"/>
      <c r="MBD40" s="32"/>
      <c r="MBE40" s="32"/>
      <c r="MBF40" s="32"/>
      <c r="MBG40" s="32"/>
      <c r="MBH40" s="32"/>
      <c r="MBI40" s="32"/>
      <c r="MBJ40" s="32"/>
      <c r="MBK40" s="32"/>
      <c r="MBL40" s="32"/>
      <c r="MBM40" s="32"/>
      <c r="MBN40" s="32"/>
      <c r="MBO40" s="32"/>
      <c r="MBP40" s="32"/>
      <c r="MBQ40" s="32"/>
      <c r="MBR40" s="32"/>
      <c r="MBS40" s="32"/>
      <c r="MBT40" s="32"/>
      <c r="MBU40" s="32"/>
      <c r="MBV40" s="32"/>
      <c r="MBW40" s="32"/>
      <c r="MBX40" s="32"/>
      <c r="MBY40" s="32"/>
      <c r="MBZ40" s="32"/>
      <c r="MCA40" s="32"/>
      <c r="MCB40" s="32"/>
      <c r="MCC40" s="32"/>
      <c r="MCD40" s="32"/>
      <c r="MCE40" s="32"/>
      <c r="MCF40" s="32"/>
      <c r="MCG40" s="32"/>
      <c r="MCH40" s="32"/>
      <c r="MCI40" s="32"/>
      <c r="MCJ40" s="32"/>
      <c r="MCK40" s="32"/>
      <c r="MCL40" s="32"/>
      <c r="MCM40" s="32"/>
      <c r="MCN40" s="32"/>
      <c r="MCO40" s="32"/>
      <c r="MCP40" s="32"/>
      <c r="MCQ40" s="32"/>
      <c r="MCR40" s="32"/>
      <c r="MCS40" s="32"/>
      <c r="MCT40" s="32"/>
      <c r="MCU40" s="32"/>
      <c r="MCV40" s="32"/>
      <c r="MCW40" s="32"/>
      <c r="MCX40" s="32"/>
      <c r="MCY40" s="32"/>
      <c r="MCZ40" s="32"/>
      <c r="MDA40" s="32"/>
      <c r="MDB40" s="32"/>
      <c r="MDC40" s="32"/>
      <c r="MDD40" s="32"/>
      <c r="MDE40" s="32"/>
      <c r="MDF40" s="32"/>
      <c r="MDG40" s="32"/>
      <c r="MDH40" s="32"/>
      <c r="MDI40" s="32"/>
      <c r="MDJ40" s="32"/>
      <c r="MDK40" s="32"/>
      <c r="MDL40" s="32"/>
      <c r="MDM40" s="32"/>
      <c r="MDN40" s="32"/>
      <c r="MDO40" s="32"/>
      <c r="MDP40" s="32"/>
      <c r="MDQ40" s="32"/>
      <c r="MDR40" s="32"/>
      <c r="MDS40" s="32"/>
      <c r="MDT40" s="32"/>
      <c r="MDU40" s="32"/>
      <c r="MDV40" s="32"/>
      <c r="MDW40" s="32"/>
      <c r="MDX40" s="32"/>
      <c r="MDY40" s="32"/>
      <c r="MDZ40" s="32"/>
      <c r="MEA40" s="32"/>
      <c r="MEB40" s="32"/>
      <c r="MEC40" s="32"/>
      <c r="MED40" s="32"/>
      <c r="MEE40" s="32"/>
      <c r="MEF40" s="32"/>
      <c r="MEG40" s="32"/>
      <c r="MEH40" s="32"/>
      <c r="MEI40" s="32"/>
      <c r="MEJ40" s="32"/>
      <c r="MEK40" s="32"/>
      <c r="MEL40" s="32"/>
      <c r="MEM40" s="32"/>
      <c r="MEN40" s="32"/>
      <c r="MEO40" s="32"/>
      <c r="MEP40" s="32"/>
      <c r="MEQ40" s="32"/>
      <c r="MER40" s="32"/>
      <c r="MES40" s="32"/>
      <c r="MET40" s="32"/>
      <c r="MEU40" s="32"/>
      <c r="MEV40" s="32"/>
      <c r="MEW40" s="32"/>
      <c r="MEX40" s="32"/>
      <c r="MEY40" s="32"/>
      <c r="MEZ40" s="32"/>
      <c r="MFA40" s="32"/>
      <c r="MFB40" s="32"/>
      <c r="MFC40" s="32"/>
      <c r="MFD40" s="32"/>
      <c r="MFE40" s="32"/>
      <c r="MFF40" s="32"/>
      <c r="MFG40" s="32"/>
      <c r="MFH40" s="32"/>
      <c r="MFI40" s="32"/>
      <c r="MFJ40" s="32"/>
      <c r="MFK40" s="32"/>
      <c r="MFL40" s="32"/>
      <c r="MFM40" s="32"/>
      <c r="MFN40" s="32"/>
      <c r="MFO40" s="32"/>
      <c r="MFP40" s="32"/>
      <c r="MFQ40" s="32"/>
      <c r="MFR40" s="32"/>
      <c r="MFS40" s="32"/>
      <c r="MFT40" s="32"/>
      <c r="MFU40" s="32"/>
      <c r="MFV40" s="32"/>
      <c r="MFW40" s="32"/>
      <c r="MFX40" s="32"/>
      <c r="MFY40" s="32"/>
      <c r="MFZ40" s="32"/>
      <c r="MGA40" s="32"/>
      <c r="MGB40" s="32"/>
      <c r="MGC40" s="32"/>
      <c r="MGD40" s="32"/>
      <c r="MGE40" s="32"/>
      <c r="MGF40" s="32"/>
      <c r="MGG40" s="32"/>
      <c r="MGH40" s="32"/>
      <c r="MGI40" s="32"/>
      <c r="MGJ40" s="32"/>
      <c r="MGK40" s="32"/>
      <c r="MGL40" s="32"/>
      <c r="MGM40" s="32"/>
      <c r="MGN40" s="32"/>
      <c r="MGO40" s="32"/>
      <c r="MGP40" s="32"/>
      <c r="MGQ40" s="32"/>
      <c r="MGR40" s="32"/>
      <c r="MGS40" s="32"/>
      <c r="MGT40" s="32"/>
      <c r="MGU40" s="32"/>
      <c r="MGV40" s="32"/>
      <c r="MGW40" s="32"/>
      <c r="MGX40" s="32"/>
      <c r="MGY40" s="32"/>
      <c r="MGZ40" s="32"/>
      <c r="MHA40" s="32"/>
      <c r="MHB40" s="32"/>
      <c r="MHC40" s="32"/>
      <c r="MHD40" s="32"/>
      <c r="MHE40" s="32"/>
      <c r="MHF40" s="32"/>
      <c r="MHG40" s="32"/>
      <c r="MHH40" s="32"/>
      <c r="MHI40" s="32"/>
      <c r="MHJ40" s="32"/>
      <c r="MHK40" s="32"/>
      <c r="MHL40" s="32"/>
      <c r="MHM40" s="32"/>
      <c r="MHN40" s="32"/>
      <c r="MHO40" s="32"/>
      <c r="MHP40" s="32"/>
      <c r="MHQ40" s="32"/>
      <c r="MHR40" s="32"/>
      <c r="MHS40" s="32"/>
      <c r="MHT40" s="32"/>
      <c r="MHU40" s="32"/>
      <c r="MHV40" s="32"/>
      <c r="MHW40" s="32"/>
      <c r="MHX40" s="32"/>
      <c r="MHY40" s="32"/>
      <c r="MHZ40" s="32"/>
      <c r="MIA40" s="32"/>
      <c r="MIB40" s="32"/>
      <c r="MIC40" s="32"/>
      <c r="MID40" s="32"/>
      <c r="MIE40" s="32"/>
      <c r="MIF40" s="32"/>
      <c r="MIG40" s="32"/>
      <c r="MIH40" s="32"/>
      <c r="MII40" s="32"/>
      <c r="MIJ40" s="32"/>
      <c r="MIK40" s="32"/>
      <c r="MIL40" s="32"/>
      <c r="MIM40" s="32"/>
      <c r="MIN40" s="32"/>
      <c r="MIO40" s="32"/>
      <c r="MIP40" s="32"/>
      <c r="MIQ40" s="32"/>
      <c r="MIR40" s="32"/>
      <c r="MIS40" s="32"/>
      <c r="MIT40" s="32"/>
      <c r="MIU40" s="32"/>
      <c r="MIV40" s="32"/>
      <c r="MIW40" s="32"/>
      <c r="MIX40" s="32"/>
      <c r="MIY40" s="32"/>
      <c r="MIZ40" s="32"/>
      <c r="MJA40" s="32"/>
      <c r="MJB40" s="32"/>
      <c r="MJC40" s="32"/>
      <c r="MJD40" s="32"/>
      <c r="MJE40" s="32"/>
      <c r="MJF40" s="32"/>
      <c r="MJG40" s="32"/>
      <c r="MJH40" s="32"/>
      <c r="MJI40" s="32"/>
      <c r="MJJ40" s="32"/>
      <c r="MJK40" s="32"/>
      <c r="MJL40" s="32"/>
      <c r="MJM40" s="32"/>
      <c r="MJN40" s="32"/>
      <c r="MJO40" s="32"/>
      <c r="MJP40" s="32"/>
      <c r="MJQ40" s="32"/>
      <c r="MJR40" s="32"/>
      <c r="MJS40" s="32"/>
      <c r="MJT40" s="32"/>
      <c r="MJU40" s="32"/>
      <c r="MJV40" s="32"/>
      <c r="MJW40" s="32"/>
      <c r="MJX40" s="32"/>
      <c r="MJY40" s="32"/>
      <c r="MJZ40" s="32"/>
      <c r="MKA40" s="32"/>
      <c r="MKB40" s="32"/>
      <c r="MKC40" s="32"/>
      <c r="MKD40" s="32"/>
      <c r="MKE40" s="32"/>
      <c r="MKF40" s="32"/>
      <c r="MKG40" s="32"/>
      <c r="MKH40" s="32"/>
      <c r="MKI40" s="32"/>
      <c r="MKJ40" s="32"/>
      <c r="MKK40" s="32"/>
      <c r="MKL40" s="32"/>
      <c r="MKM40" s="32"/>
      <c r="MKN40" s="32"/>
      <c r="MKO40" s="32"/>
      <c r="MKP40" s="32"/>
      <c r="MKQ40" s="32"/>
      <c r="MKR40" s="32"/>
      <c r="MKS40" s="32"/>
      <c r="MKT40" s="32"/>
      <c r="MKU40" s="32"/>
      <c r="MKV40" s="32"/>
      <c r="MKW40" s="32"/>
      <c r="MKX40" s="32"/>
      <c r="MKY40" s="32"/>
      <c r="MKZ40" s="32"/>
      <c r="MLA40" s="32"/>
      <c r="MLB40" s="32"/>
      <c r="MLC40" s="32"/>
      <c r="MLD40" s="32"/>
      <c r="MLE40" s="32"/>
      <c r="MLF40" s="32"/>
      <c r="MLG40" s="32"/>
      <c r="MLH40" s="32"/>
      <c r="MLI40" s="32"/>
      <c r="MLJ40" s="32"/>
      <c r="MLK40" s="32"/>
      <c r="MLL40" s="32"/>
      <c r="MLM40" s="32"/>
      <c r="MLN40" s="32"/>
      <c r="MLO40" s="32"/>
      <c r="MLP40" s="32"/>
      <c r="MLQ40" s="32"/>
      <c r="MLR40" s="32"/>
      <c r="MLS40" s="32"/>
      <c r="MLT40" s="32"/>
      <c r="MLU40" s="32"/>
      <c r="MLV40" s="32"/>
      <c r="MLW40" s="32"/>
      <c r="MLX40" s="32"/>
      <c r="MLY40" s="32"/>
      <c r="MLZ40" s="32"/>
      <c r="MMA40" s="32"/>
      <c r="MMB40" s="32"/>
      <c r="MMC40" s="32"/>
      <c r="MMD40" s="32"/>
      <c r="MME40" s="32"/>
      <c r="MMF40" s="32"/>
      <c r="MMG40" s="32"/>
      <c r="MMH40" s="32"/>
      <c r="MMI40" s="32"/>
      <c r="MMJ40" s="32"/>
      <c r="MMK40" s="32"/>
      <c r="MML40" s="32"/>
      <c r="MMM40" s="32"/>
      <c r="MMN40" s="32"/>
      <c r="MMO40" s="32"/>
      <c r="MMP40" s="32"/>
      <c r="MMQ40" s="32"/>
      <c r="MMR40" s="32"/>
      <c r="MMS40" s="32"/>
      <c r="MMT40" s="32"/>
      <c r="MMU40" s="32"/>
      <c r="MMV40" s="32"/>
      <c r="MMW40" s="32"/>
      <c r="MMX40" s="32"/>
      <c r="MMY40" s="32"/>
      <c r="MMZ40" s="32"/>
      <c r="MNA40" s="32"/>
      <c r="MNB40" s="32"/>
      <c r="MNC40" s="32"/>
      <c r="MND40" s="32"/>
      <c r="MNE40" s="32"/>
      <c r="MNF40" s="32"/>
      <c r="MNG40" s="32"/>
      <c r="MNH40" s="32"/>
      <c r="MNI40" s="32"/>
      <c r="MNJ40" s="32"/>
      <c r="MNK40" s="32"/>
      <c r="MNL40" s="32"/>
      <c r="MNM40" s="32"/>
      <c r="MNN40" s="32"/>
      <c r="MNO40" s="32"/>
      <c r="MNP40" s="32"/>
      <c r="MNQ40" s="32"/>
      <c r="MNR40" s="32"/>
      <c r="MNS40" s="32"/>
      <c r="MNT40" s="32"/>
      <c r="MNU40" s="32"/>
      <c r="MNV40" s="32"/>
      <c r="MNW40" s="32"/>
      <c r="MNX40" s="32"/>
      <c r="MNY40" s="32"/>
      <c r="MNZ40" s="32"/>
      <c r="MOA40" s="32"/>
      <c r="MOB40" s="32"/>
      <c r="MOC40" s="32"/>
      <c r="MOD40" s="32"/>
      <c r="MOE40" s="32"/>
      <c r="MOF40" s="32"/>
      <c r="MOG40" s="32"/>
      <c r="MOH40" s="32"/>
      <c r="MOI40" s="32"/>
      <c r="MOJ40" s="32"/>
      <c r="MOK40" s="32"/>
      <c r="MOL40" s="32"/>
      <c r="MOM40" s="32"/>
      <c r="MON40" s="32"/>
      <c r="MOO40" s="32"/>
      <c r="MOP40" s="32"/>
      <c r="MOQ40" s="32"/>
      <c r="MOR40" s="32"/>
      <c r="MOS40" s="32"/>
      <c r="MOT40" s="32"/>
      <c r="MOU40" s="32"/>
      <c r="MOV40" s="32"/>
      <c r="MOW40" s="32"/>
      <c r="MOX40" s="32"/>
      <c r="MOY40" s="32"/>
      <c r="MOZ40" s="32"/>
      <c r="MPA40" s="32"/>
      <c r="MPB40" s="32"/>
      <c r="MPC40" s="32"/>
      <c r="MPD40" s="32"/>
      <c r="MPE40" s="32"/>
      <c r="MPF40" s="32"/>
      <c r="MPG40" s="32"/>
      <c r="MPH40" s="32"/>
      <c r="MPI40" s="32"/>
      <c r="MPJ40" s="32"/>
      <c r="MPK40" s="32"/>
      <c r="MPL40" s="32"/>
      <c r="MPM40" s="32"/>
      <c r="MPN40" s="32"/>
      <c r="MPO40" s="32"/>
      <c r="MPP40" s="32"/>
      <c r="MPQ40" s="32"/>
      <c r="MPR40" s="32"/>
      <c r="MPS40" s="32"/>
      <c r="MPT40" s="32"/>
      <c r="MPU40" s="32"/>
      <c r="MPV40" s="32"/>
      <c r="MPW40" s="32"/>
      <c r="MPX40" s="32"/>
      <c r="MPY40" s="32"/>
      <c r="MPZ40" s="32"/>
      <c r="MQA40" s="32"/>
      <c r="MQB40" s="32"/>
      <c r="MQC40" s="32"/>
      <c r="MQD40" s="32"/>
      <c r="MQE40" s="32"/>
      <c r="MQF40" s="32"/>
      <c r="MQG40" s="32"/>
      <c r="MQH40" s="32"/>
      <c r="MQI40" s="32"/>
      <c r="MQJ40" s="32"/>
      <c r="MQK40" s="32"/>
      <c r="MQL40" s="32"/>
      <c r="MQM40" s="32"/>
      <c r="MQN40" s="32"/>
      <c r="MQO40" s="32"/>
      <c r="MQP40" s="32"/>
      <c r="MQQ40" s="32"/>
      <c r="MQR40" s="32"/>
      <c r="MQS40" s="32"/>
      <c r="MQT40" s="32"/>
      <c r="MQU40" s="32"/>
      <c r="MQV40" s="32"/>
      <c r="MQW40" s="32"/>
      <c r="MQX40" s="32"/>
      <c r="MQY40" s="32"/>
      <c r="MQZ40" s="32"/>
      <c r="MRA40" s="32"/>
      <c r="MRB40" s="32"/>
      <c r="MRC40" s="32"/>
      <c r="MRD40" s="32"/>
      <c r="MRE40" s="32"/>
      <c r="MRF40" s="32"/>
      <c r="MRG40" s="32"/>
      <c r="MRH40" s="32"/>
      <c r="MRI40" s="32"/>
      <c r="MRJ40" s="32"/>
      <c r="MRK40" s="32"/>
      <c r="MRL40" s="32"/>
      <c r="MRM40" s="32"/>
      <c r="MRN40" s="32"/>
      <c r="MRO40" s="32"/>
      <c r="MRP40" s="32"/>
      <c r="MRQ40" s="32"/>
      <c r="MRR40" s="32"/>
      <c r="MRS40" s="32"/>
      <c r="MRT40" s="32"/>
      <c r="MRU40" s="32"/>
      <c r="MRV40" s="32"/>
      <c r="MRW40" s="32"/>
      <c r="MRX40" s="32"/>
      <c r="MRY40" s="32"/>
      <c r="MRZ40" s="32"/>
      <c r="MSA40" s="32"/>
      <c r="MSB40" s="32"/>
      <c r="MSC40" s="32"/>
      <c r="MSD40" s="32"/>
      <c r="MSE40" s="32"/>
      <c r="MSF40" s="32"/>
      <c r="MSG40" s="32"/>
      <c r="MSH40" s="32"/>
      <c r="MSI40" s="32"/>
      <c r="MSJ40" s="32"/>
      <c r="MSK40" s="32"/>
      <c r="MSL40" s="32"/>
      <c r="MSM40" s="32"/>
      <c r="MSN40" s="32"/>
      <c r="MSO40" s="32"/>
      <c r="MSP40" s="32"/>
      <c r="MSQ40" s="32"/>
      <c r="MSR40" s="32"/>
      <c r="MSS40" s="32"/>
      <c r="MST40" s="32"/>
      <c r="MSU40" s="32"/>
      <c r="MSV40" s="32"/>
      <c r="MSW40" s="32"/>
      <c r="MSX40" s="32"/>
      <c r="MSY40" s="32"/>
      <c r="MSZ40" s="32"/>
      <c r="MTA40" s="32"/>
      <c r="MTB40" s="32"/>
      <c r="MTC40" s="32"/>
      <c r="MTD40" s="32"/>
      <c r="MTE40" s="32"/>
      <c r="MTF40" s="32"/>
      <c r="MTG40" s="32"/>
      <c r="MTH40" s="32"/>
      <c r="MTI40" s="32"/>
      <c r="MTJ40" s="32"/>
      <c r="MTK40" s="32"/>
      <c r="MTL40" s="32"/>
      <c r="MTM40" s="32"/>
      <c r="MTN40" s="32"/>
      <c r="MTO40" s="32"/>
      <c r="MTP40" s="32"/>
      <c r="MTQ40" s="32"/>
      <c r="MTR40" s="32"/>
      <c r="MTS40" s="32"/>
      <c r="MTT40" s="32"/>
      <c r="MTU40" s="32"/>
      <c r="MTV40" s="32"/>
      <c r="MTW40" s="32"/>
      <c r="MTX40" s="32"/>
      <c r="MTY40" s="32"/>
      <c r="MTZ40" s="32"/>
      <c r="MUA40" s="32"/>
      <c r="MUB40" s="32"/>
      <c r="MUC40" s="32"/>
      <c r="MUD40" s="32"/>
      <c r="MUE40" s="32"/>
      <c r="MUF40" s="32"/>
      <c r="MUG40" s="32"/>
      <c r="MUH40" s="32"/>
      <c r="MUI40" s="32"/>
      <c r="MUJ40" s="32"/>
      <c r="MUK40" s="32"/>
      <c r="MUL40" s="32"/>
      <c r="MUM40" s="32"/>
      <c r="MUN40" s="32"/>
      <c r="MUO40" s="32"/>
      <c r="MUP40" s="32"/>
      <c r="MUQ40" s="32"/>
      <c r="MUR40" s="32"/>
      <c r="MUS40" s="32"/>
      <c r="MUT40" s="32"/>
      <c r="MUU40" s="32"/>
      <c r="MUV40" s="32"/>
      <c r="MUW40" s="32"/>
      <c r="MUX40" s="32"/>
      <c r="MUY40" s="32"/>
      <c r="MUZ40" s="32"/>
      <c r="MVA40" s="32"/>
      <c r="MVB40" s="32"/>
      <c r="MVC40" s="32"/>
      <c r="MVD40" s="32"/>
      <c r="MVE40" s="32"/>
      <c r="MVF40" s="32"/>
      <c r="MVG40" s="32"/>
      <c r="MVH40" s="32"/>
      <c r="MVI40" s="32"/>
      <c r="MVJ40" s="32"/>
      <c r="MVK40" s="32"/>
      <c r="MVL40" s="32"/>
      <c r="MVM40" s="32"/>
      <c r="MVN40" s="32"/>
      <c r="MVO40" s="32"/>
      <c r="MVP40" s="32"/>
      <c r="MVQ40" s="32"/>
      <c r="MVR40" s="32"/>
      <c r="MVS40" s="32"/>
      <c r="MVT40" s="32"/>
      <c r="MVU40" s="32"/>
      <c r="MVV40" s="32"/>
      <c r="MVW40" s="32"/>
      <c r="MVX40" s="32"/>
      <c r="MVY40" s="32"/>
      <c r="MVZ40" s="32"/>
      <c r="MWA40" s="32"/>
      <c r="MWB40" s="32"/>
      <c r="MWC40" s="32"/>
      <c r="MWD40" s="32"/>
      <c r="MWE40" s="32"/>
      <c r="MWF40" s="32"/>
      <c r="MWG40" s="32"/>
      <c r="MWH40" s="32"/>
      <c r="MWI40" s="32"/>
      <c r="MWJ40" s="32"/>
      <c r="MWK40" s="32"/>
      <c r="MWL40" s="32"/>
      <c r="MWM40" s="32"/>
      <c r="MWN40" s="32"/>
      <c r="MWO40" s="32"/>
      <c r="MWP40" s="32"/>
      <c r="MWQ40" s="32"/>
      <c r="MWR40" s="32"/>
      <c r="MWS40" s="32"/>
      <c r="MWT40" s="32"/>
      <c r="MWU40" s="32"/>
      <c r="MWV40" s="32"/>
      <c r="MWW40" s="32"/>
      <c r="MWX40" s="32"/>
      <c r="MWY40" s="32"/>
      <c r="MWZ40" s="32"/>
      <c r="MXA40" s="32"/>
      <c r="MXB40" s="32"/>
      <c r="MXC40" s="32"/>
      <c r="MXD40" s="32"/>
      <c r="MXE40" s="32"/>
      <c r="MXF40" s="32"/>
      <c r="MXG40" s="32"/>
      <c r="MXH40" s="32"/>
      <c r="MXI40" s="32"/>
      <c r="MXJ40" s="32"/>
      <c r="MXK40" s="32"/>
      <c r="MXL40" s="32"/>
      <c r="MXM40" s="32"/>
      <c r="MXN40" s="32"/>
      <c r="MXO40" s="32"/>
      <c r="MXP40" s="32"/>
      <c r="MXQ40" s="32"/>
      <c r="MXR40" s="32"/>
      <c r="MXS40" s="32"/>
      <c r="MXT40" s="32"/>
      <c r="MXU40" s="32"/>
      <c r="MXV40" s="32"/>
      <c r="MXW40" s="32"/>
      <c r="MXX40" s="32"/>
      <c r="MXY40" s="32"/>
      <c r="MXZ40" s="32"/>
      <c r="MYA40" s="32"/>
      <c r="MYB40" s="32"/>
      <c r="MYC40" s="32"/>
      <c r="MYD40" s="32"/>
      <c r="MYE40" s="32"/>
      <c r="MYF40" s="32"/>
      <c r="MYG40" s="32"/>
      <c r="MYH40" s="32"/>
      <c r="MYI40" s="32"/>
      <c r="MYJ40" s="32"/>
      <c r="MYK40" s="32"/>
      <c r="MYL40" s="32"/>
      <c r="MYM40" s="32"/>
      <c r="MYN40" s="32"/>
      <c r="MYO40" s="32"/>
      <c r="MYP40" s="32"/>
      <c r="MYQ40" s="32"/>
      <c r="MYR40" s="32"/>
      <c r="MYS40" s="32"/>
      <c r="MYT40" s="32"/>
      <c r="MYU40" s="32"/>
      <c r="MYV40" s="32"/>
      <c r="MYW40" s="32"/>
      <c r="MYX40" s="32"/>
      <c r="MYY40" s="32"/>
      <c r="MYZ40" s="32"/>
      <c r="MZA40" s="32"/>
      <c r="MZB40" s="32"/>
      <c r="MZC40" s="32"/>
      <c r="MZD40" s="32"/>
      <c r="MZE40" s="32"/>
      <c r="MZF40" s="32"/>
      <c r="MZG40" s="32"/>
      <c r="MZH40" s="32"/>
      <c r="MZI40" s="32"/>
      <c r="MZJ40" s="32"/>
      <c r="MZK40" s="32"/>
      <c r="MZL40" s="32"/>
      <c r="MZM40" s="32"/>
      <c r="MZN40" s="32"/>
      <c r="MZO40" s="32"/>
      <c r="MZP40" s="32"/>
      <c r="MZQ40" s="32"/>
      <c r="MZR40" s="32"/>
      <c r="MZS40" s="32"/>
      <c r="MZT40" s="32"/>
      <c r="MZU40" s="32"/>
      <c r="MZV40" s="32"/>
      <c r="MZW40" s="32"/>
      <c r="MZX40" s="32"/>
      <c r="MZY40" s="32"/>
      <c r="MZZ40" s="32"/>
      <c r="NAA40" s="32"/>
      <c r="NAB40" s="32"/>
      <c r="NAC40" s="32"/>
      <c r="NAD40" s="32"/>
      <c r="NAE40" s="32"/>
      <c r="NAF40" s="32"/>
      <c r="NAG40" s="32"/>
      <c r="NAH40" s="32"/>
      <c r="NAI40" s="32"/>
      <c r="NAJ40" s="32"/>
      <c r="NAK40" s="32"/>
      <c r="NAL40" s="32"/>
      <c r="NAM40" s="32"/>
      <c r="NAN40" s="32"/>
      <c r="NAO40" s="32"/>
      <c r="NAP40" s="32"/>
      <c r="NAQ40" s="32"/>
      <c r="NAR40" s="32"/>
      <c r="NAS40" s="32"/>
      <c r="NAT40" s="32"/>
      <c r="NAU40" s="32"/>
      <c r="NAV40" s="32"/>
      <c r="NAW40" s="32"/>
      <c r="NAX40" s="32"/>
      <c r="NAY40" s="32"/>
      <c r="NAZ40" s="32"/>
      <c r="NBA40" s="32"/>
      <c r="NBB40" s="32"/>
      <c r="NBC40" s="32"/>
      <c r="NBD40" s="32"/>
      <c r="NBE40" s="32"/>
      <c r="NBF40" s="32"/>
      <c r="NBG40" s="32"/>
      <c r="NBH40" s="32"/>
      <c r="NBI40" s="32"/>
      <c r="NBJ40" s="32"/>
      <c r="NBK40" s="32"/>
      <c r="NBL40" s="32"/>
      <c r="NBM40" s="32"/>
      <c r="NBN40" s="32"/>
      <c r="NBO40" s="32"/>
      <c r="NBP40" s="32"/>
      <c r="NBQ40" s="32"/>
      <c r="NBR40" s="32"/>
      <c r="NBS40" s="32"/>
      <c r="NBT40" s="32"/>
      <c r="NBU40" s="32"/>
      <c r="NBV40" s="32"/>
      <c r="NBW40" s="32"/>
      <c r="NBX40" s="32"/>
      <c r="NBY40" s="32"/>
      <c r="NBZ40" s="32"/>
      <c r="NCA40" s="32"/>
      <c r="NCB40" s="32"/>
      <c r="NCC40" s="32"/>
      <c r="NCD40" s="32"/>
      <c r="NCE40" s="32"/>
      <c r="NCF40" s="32"/>
      <c r="NCG40" s="32"/>
      <c r="NCH40" s="32"/>
      <c r="NCI40" s="32"/>
      <c r="NCJ40" s="32"/>
      <c r="NCK40" s="32"/>
      <c r="NCL40" s="32"/>
      <c r="NCM40" s="32"/>
      <c r="NCN40" s="32"/>
      <c r="NCO40" s="32"/>
      <c r="NCP40" s="32"/>
      <c r="NCQ40" s="32"/>
      <c r="NCR40" s="32"/>
      <c r="NCS40" s="32"/>
      <c r="NCT40" s="32"/>
      <c r="NCU40" s="32"/>
      <c r="NCV40" s="32"/>
      <c r="NCW40" s="32"/>
      <c r="NCX40" s="32"/>
      <c r="NCY40" s="32"/>
      <c r="NCZ40" s="32"/>
      <c r="NDA40" s="32"/>
      <c r="NDB40" s="32"/>
      <c r="NDC40" s="32"/>
      <c r="NDD40" s="32"/>
      <c r="NDE40" s="32"/>
      <c r="NDF40" s="32"/>
      <c r="NDG40" s="32"/>
      <c r="NDH40" s="32"/>
      <c r="NDI40" s="32"/>
      <c r="NDJ40" s="32"/>
      <c r="NDK40" s="32"/>
      <c r="NDL40" s="32"/>
      <c r="NDM40" s="32"/>
      <c r="NDN40" s="32"/>
      <c r="NDO40" s="32"/>
      <c r="NDP40" s="32"/>
      <c r="NDQ40" s="32"/>
      <c r="NDR40" s="32"/>
      <c r="NDS40" s="32"/>
      <c r="NDT40" s="32"/>
      <c r="NDU40" s="32"/>
      <c r="NDV40" s="32"/>
      <c r="NDW40" s="32"/>
      <c r="NDX40" s="32"/>
      <c r="NDY40" s="32"/>
      <c r="NDZ40" s="32"/>
      <c r="NEA40" s="32"/>
      <c r="NEB40" s="32"/>
      <c r="NEC40" s="32"/>
      <c r="NED40" s="32"/>
      <c r="NEE40" s="32"/>
      <c r="NEF40" s="32"/>
      <c r="NEG40" s="32"/>
      <c r="NEH40" s="32"/>
      <c r="NEI40" s="32"/>
      <c r="NEJ40" s="32"/>
      <c r="NEK40" s="32"/>
      <c r="NEL40" s="32"/>
      <c r="NEM40" s="32"/>
      <c r="NEN40" s="32"/>
      <c r="NEO40" s="32"/>
      <c r="NEP40" s="32"/>
      <c r="NEQ40" s="32"/>
      <c r="NER40" s="32"/>
      <c r="NES40" s="32"/>
      <c r="NET40" s="32"/>
      <c r="NEU40" s="32"/>
      <c r="NEV40" s="32"/>
      <c r="NEW40" s="32"/>
      <c r="NEX40" s="32"/>
      <c r="NEY40" s="32"/>
      <c r="NEZ40" s="32"/>
      <c r="NFA40" s="32"/>
      <c r="NFB40" s="32"/>
      <c r="NFC40" s="32"/>
      <c r="NFD40" s="32"/>
      <c r="NFE40" s="32"/>
      <c r="NFF40" s="32"/>
      <c r="NFG40" s="32"/>
      <c r="NFH40" s="32"/>
      <c r="NFI40" s="32"/>
      <c r="NFJ40" s="32"/>
      <c r="NFK40" s="32"/>
      <c r="NFL40" s="32"/>
      <c r="NFM40" s="32"/>
      <c r="NFN40" s="32"/>
      <c r="NFO40" s="32"/>
      <c r="NFP40" s="32"/>
      <c r="NFQ40" s="32"/>
      <c r="NFR40" s="32"/>
      <c r="NFS40" s="32"/>
      <c r="NFT40" s="32"/>
      <c r="NFU40" s="32"/>
      <c r="NFV40" s="32"/>
      <c r="NFW40" s="32"/>
      <c r="NFX40" s="32"/>
      <c r="NFY40" s="32"/>
      <c r="NFZ40" s="32"/>
      <c r="NGA40" s="32"/>
      <c r="NGB40" s="32"/>
      <c r="NGC40" s="32"/>
      <c r="NGD40" s="32"/>
      <c r="NGE40" s="32"/>
      <c r="NGF40" s="32"/>
      <c r="NGG40" s="32"/>
      <c r="NGH40" s="32"/>
      <c r="NGI40" s="32"/>
      <c r="NGJ40" s="32"/>
      <c r="NGK40" s="32"/>
      <c r="NGL40" s="32"/>
      <c r="NGM40" s="32"/>
      <c r="NGN40" s="32"/>
      <c r="NGO40" s="32"/>
      <c r="NGP40" s="32"/>
      <c r="NGQ40" s="32"/>
      <c r="NGR40" s="32"/>
      <c r="NGS40" s="32"/>
      <c r="NGT40" s="32"/>
      <c r="NGU40" s="32"/>
      <c r="NGV40" s="32"/>
      <c r="NGW40" s="32"/>
      <c r="NGX40" s="32"/>
      <c r="NGY40" s="32"/>
      <c r="NGZ40" s="32"/>
      <c r="NHA40" s="32"/>
      <c r="NHB40" s="32"/>
      <c r="NHC40" s="32"/>
      <c r="NHD40" s="32"/>
      <c r="NHE40" s="32"/>
      <c r="NHF40" s="32"/>
      <c r="NHG40" s="32"/>
      <c r="NHH40" s="32"/>
      <c r="NHI40" s="32"/>
      <c r="NHJ40" s="32"/>
      <c r="NHK40" s="32"/>
      <c r="NHL40" s="32"/>
      <c r="NHM40" s="32"/>
      <c r="NHN40" s="32"/>
      <c r="NHO40" s="32"/>
      <c r="NHP40" s="32"/>
      <c r="NHQ40" s="32"/>
      <c r="NHR40" s="32"/>
      <c r="NHS40" s="32"/>
      <c r="NHT40" s="32"/>
      <c r="NHU40" s="32"/>
      <c r="NHV40" s="32"/>
      <c r="NHW40" s="32"/>
      <c r="NHX40" s="32"/>
      <c r="NHY40" s="32"/>
      <c r="NHZ40" s="32"/>
      <c r="NIA40" s="32"/>
      <c r="NIB40" s="32"/>
      <c r="NIC40" s="32"/>
      <c r="NID40" s="32"/>
      <c r="NIE40" s="32"/>
      <c r="NIF40" s="32"/>
      <c r="NIG40" s="32"/>
      <c r="NIH40" s="32"/>
      <c r="NII40" s="32"/>
      <c r="NIJ40" s="32"/>
      <c r="NIK40" s="32"/>
      <c r="NIL40" s="32"/>
      <c r="NIM40" s="32"/>
      <c r="NIN40" s="32"/>
      <c r="NIO40" s="32"/>
      <c r="NIP40" s="32"/>
      <c r="NIQ40" s="32"/>
      <c r="NIR40" s="32"/>
      <c r="NIS40" s="32"/>
      <c r="NIT40" s="32"/>
      <c r="NIU40" s="32"/>
      <c r="NIV40" s="32"/>
      <c r="NIW40" s="32"/>
      <c r="NIX40" s="32"/>
      <c r="NIY40" s="32"/>
      <c r="NIZ40" s="32"/>
      <c r="NJA40" s="32"/>
      <c r="NJB40" s="32"/>
      <c r="NJC40" s="32"/>
      <c r="NJD40" s="32"/>
      <c r="NJE40" s="32"/>
      <c r="NJF40" s="32"/>
      <c r="NJG40" s="32"/>
      <c r="NJH40" s="32"/>
      <c r="NJI40" s="32"/>
      <c r="NJJ40" s="32"/>
      <c r="NJK40" s="32"/>
      <c r="NJL40" s="32"/>
      <c r="NJM40" s="32"/>
      <c r="NJN40" s="32"/>
      <c r="NJO40" s="32"/>
      <c r="NJP40" s="32"/>
      <c r="NJQ40" s="32"/>
      <c r="NJR40" s="32"/>
      <c r="NJS40" s="32"/>
      <c r="NJT40" s="32"/>
      <c r="NJU40" s="32"/>
      <c r="NJV40" s="32"/>
      <c r="NJW40" s="32"/>
      <c r="NJX40" s="32"/>
      <c r="NJY40" s="32"/>
      <c r="NJZ40" s="32"/>
      <c r="NKA40" s="32"/>
      <c r="NKB40" s="32"/>
      <c r="NKC40" s="32"/>
      <c r="NKD40" s="32"/>
      <c r="NKE40" s="32"/>
      <c r="NKF40" s="32"/>
      <c r="NKG40" s="32"/>
      <c r="NKH40" s="32"/>
      <c r="NKI40" s="32"/>
      <c r="NKJ40" s="32"/>
      <c r="NKK40" s="32"/>
      <c r="NKL40" s="32"/>
      <c r="NKM40" s="32"/>
      <c r="NKN40" s="32"/>
      <c r="NKO40" s="32"/>
      <c r="NKP40" s="32"/>
      <c r="NKQ40" s="32"/>
      <c r="NKR40" s="32"/>
      <c r="NKS40" s="32"/>
      <c r="NKT40" s="32"/>
      <c r="NKU40" s="32"/>
      <c r="NKV40" s="32"/>
      <c r="NKW40" s="32"/>
      <c r="NKX40" s="32"/>
      <c r="NKY40" s="32"/>
      <c r="NKZ40" s="32"/>
      <c r="NLA40" s="32"/>
      <c r="NLB40" s="32"/>
      <c r="NLC40" s="32"/>
      <c r="NLD40" s="32"/>
      <c r="NLE40" s="32"/>
      <c r="NLF40" s="32"/>
      <c r="NLG40" s="32"/>
      <c r="NLH40" s="32"/>
      <c r="NLI40" s="32"/>
      <c r="NLJ40" s="32"/>
      <c r="NLK40" s="32"/>
      <c r="NLL40" s="32"/>
      <c r="NLM40" s="32"/>
      <c r="NLN40" s="32"/>
      <c r="NLO40" s="32"/>
      <c r="NLP40" s="32"/>
      <c r="NLQ40" s="32"/>
      <c r="NLR40" s="32"/>
      <c r="NLS40" s="32"/>
      <c r="NLT40" s="32"/>
      <c r="NLU40" s="32"/>
      <c r="NLV40" s="32"/>
      <c r="NLW40" s="32"/>
      <c r="NLX40" s="32"/>
      <c r="NLY40" s="32"/>
      <c r="NLZ40" s="32"/>
      <c r="NMA40" s="32"/>
      <c r="NMB40" s="32"/>
      <c r="NMC40" s="32"/>
      <c r="NMD40" s="32"/>
      <c r="NME40" s="32"/>
      <c r="NMF40" s="32"/>
      <c r="NMG40" s="32"/>
      <c r="NMH40" s="32"/>
      <c r="NMI40" s="32"/>
      <c r="NMJ40" s="32"/>
      <c r="NMK40" s="32"/>
      <c r="NML40" s="32"/>
      <c r="NMM40" s="32"/>
      <c r="NMN40" s="32"/>
      <c r="NMO40" s="32"/>
      <c r="NMP40" s="32"/>
      <c r="NMQ40" s="32"/>
      <c r="NMR40" s="32"/>
      <c r="NMS40" s="32"/>
      <c r="NMT40" s="32"/>
      <c r="NMU40" s="32"/>
      <c r="NMV40" s="32"/>
      <c r="NMW40" s="32"/>
      <c r="NMX40" s="32"/>
      <c r="NMY40" s="32"/>
      <c r="NMZ40" s="32"/>
      <c r="NNA40" s="32"/>
      <c r="NNB40" s="32"/>
      <c r="NNC40" s="32"/>
      <c r="NND40" s="32"/>
      <c r="NNE40" s="32"/>
      <c r="NNF40" s="32"/>
      <c r="NNG40" s="32"/>
      <c r="NNH40" s="32"/>
      <c r="NNI40" s="32"/>
      <c r="NNJ40" s="32"/>
      <c r="NNK40" s="32"/>
      <c r="NNL40" s="32"/>
      <c r="NNM40" s="32"/>
      <c r="NNN40" s="32"/>
      <c r="NNO40" s="32"/>
      <c r="NNP40" s="32"/>
      <c r="NNQ40" s="32"/>
      <c r="NNR40" s="32"/>
      <c r="NNS40" s="32"/>
      <c r="NNT40" s="32"/>
      <c r="NNU40" s="32"/>
      <c r="NNV40" s="32"/>
      <c r="NNW40" s="32"/>
      <c r="NNX40" s="32"/>
      <c r="NNY40" s="32"/>
      <c r="NNZ40" s="32"/>
      <c r="NOA40" s="32"/>
      <c r="NOB40" s="32"/>
      <c r="NOC40" s="32"/>
      <c r="NOD40" s="32"/>
      <c r="NOE40" s="32"/>
      <c r="NOF40" s="32"/>
      <c r="NOG40" s="32"/>
      <c r="NOH40" s="32"/>
      <c r="NOI40" s="32"/>
      <c r="NOJ40" s="32"/>
      <c r="NOK40" s="32"/>
      <c r="NOL40" s="32"/>
      <c r="NOM40" s="32"/>
      <c r="NON40" s="32"/>
      <c r="NOO40" s="32"/>
      <c r="NOP40" s="32"/>
      <c r="NOQ40" s="32"/>
      <c r="NOR40" s="32"/>
      <c r="NOS40" s="32"/>
      <c r="NOT40" s="32"/>
      <c r="NOU40" s="32"/>
      <c r="NOV40" s="32"/>
      <c r="NOW40" s="32"/>
      <c r="NOX40" s="32"/>
      <c r="NOY40" s="32"/>
      <c r="NOZ40" s="32"/>
      <c r="NPA40" s="32"/>
      <c r="NPB40" s="32"/>
      <c r="NPC40" s="32"/>
      <c r="NPD40" s="32"/>
      <c r="NPE40" s="32"/>
      <c r="NPF40" s="32"/>
      <c r="NPG40" s="32"/>
      <c r="NPH40" s="32"/>
      <c r="NPI40" s="32"/>
      <c r="NPJ40" s="32"/>
      <c r="NPK40" s="32"/>
      <c r="NPL40" s="32"/>
      <c r="NPM40" s="32"/>
      <c r="NPN40" s="32"/>
      <c r="NPO40" s="32"/>
      <c r="NPP40" s="32"/>
      <c r="NPQ40" s="32"/>
      <c r="NPR40" s="32"/>
      <c r="NPS40" s="32"/>
      <c r="NPT40" s="32"/>
      <c r="NPU40" s="32"/>
      <c r="NPV40" s="32"/>
      <c r="NPW40" s="32"/>
      <c r="NPX40" s="32"/>
      <c r="NPY40" s="32"/>
      <c r="NPZ40" s="32"/>
      <c r="NQA40" s="32"/>
      <c r="NQB40" s="32"/>
      <c r="NQC40" s="32"/>
      <c r="NQD40" s="32"/>
      <c r="NQE40" s="32"/>
      <c r="NQF40" s="32"/>
      <c r="NQG40" s="32"/>
      <c r="NQH40" s="32"/>
      <c r="NQI40" s="32"/>
      <c r="NQJ40" s="32"/>
      <c r="NQK40" s="32"/>
      <c r="NQL40" s="32"/>
      <c r="NQM40" s="32"/>
      <c r="NQN40" s="32"/>
      <c r="NQO40" s="32"/>
      <c r="NQP40" s="32"/>
      <c r="NQQ40" s="32"/>
      <c r="NQR40" s="32"/>
      <c r="NQS40" s="32"/>
      <c r="NQT40" s="32"/>
      <c r="NQU40" s="32"/>
      <c r="NQV40" s="32"/>
      <c r="NQW40" s="32"/>
      <c r="NQX40" s="32"/>
      <c r="NQY40" s="32"/>
      <c r="NQZ40" s="32"/>
      <c r="NRA40" s="32"/>
      <c r="NRB40" s="32"/>
      <c r="NRC40" s="32"/>
      <c r="NRD40" s="32"/>
      <c r="NRE40" s="32"/>
      <c r="NRF40" s="32"/>
      <c r="NRG40" s="32"/>
      <c r="NRH40" s="32"/>
      <c r="NRI40" s="32"/>
      <c r="NRJ40" s="32"/>
      <c r="NRK40" s="32"/>
      <c r="NRL40" s="32"/>
      <c r="NRM40" s="32"/>
      <c r="NRN40" s="32"/>
      <c r="NRO40" s="32"/>
      <c r="NRP40" s="32"/>
      <c r="NRQ40" s="32"/>
      <c r="NRR40" s="32"/>
      <c r="NRS40" s="32"/>
      <c r="NRT40" s="32"/>
      <c r="NRU40" s="32"/>
      <c r="NRV40" s="32"/>
      <c r="NRW40" s="32"/>
      <c r="NRX40" s="32"/>
      <c r="NRY40" s="32"/>
      <c r="NRZ40" s="32"/>
      <c r="NSA40" s="32"/>
      <c r="NSB40" s="32"/>
      <c r="NSC40" s="32"/>
      <c r="NSD40" s="32"/>
      <c r="NSE40" s="32"/>
      <c r="NSF40" s="32"/>
      <c r="NSG40" s="32"/>
      <c r="NSH40" s="32"/>
      <c r="NSI40" s="32"/>
      <c r="NSJ40" s="32"/>
      <c r="NSK40" s="32"/>
      <c r="NSL40" s="32"/>
      <c r="NSM40" s="32"/>
      <c r="NSN40" s="32"/>
      <c r="NSO40" s="32"/>
      <c r="NSP40" s="32"/>
      <c r="NSQ40" s="32"/>
      <c r="NSR40" s="32"/>
      <c r="NSS40" s="32"/>
      <c r="NST40" s="32"/>
      <c r="NSU40" s="32"/>
      <c r="NSV40" s="32"/>
      <c r="NSW40" s="32"/>
      <c r="NSX40" s="32"/>
      <c r="NSY40" s="32"/>
      <c r="NSZ40" s="32"/>
      <c r="NTA40" s="32"/>
      <c r="NTB40" s="32"/>
      <c r="NTC40" s="32"/>
      <c r="NTD40" s="32"/>
      <c r="NTE40" s="32"/>
      <c r="NTF40" s="32"/>
      <c r="NTG40" s="32"/>
      <c r="NTH40" s="32"/>
      <c r="NTI40" s="32"/>
      <c r="NTJ40" s="32"/>
      <c r="NTK40" s="32"/>
      <c r="NTL40" s="32"/>
      <c r="NTM40" s="32"/>
      <c r="NTN40" s="32"/>
      <c r="NTO40" s="32"/>
      <c r="NTP40" s="32"/>
      <c r="NTQ40" s="32"/>
      <c r="NTR40" s="32"/>
      <c r="NTS40" s="32"/>
      <c r="NTT40" s="32"/>
      <c r="NTU40" s="32"/>
      <c r="NTV40" s="32"/>
      <c r="NTW40" s="32"/>
      <c r="NTX40" s="32"/>
      <c r="NTY40" s="32"/>
      <c r="NTZ40" s="32"/>
      <c r="NUA40" s="32"/>
      <c r="NUB40" s="32"/>
      <c r="NUC40" s="32"/>
      <c r="NUD40" s="32"/>
      <c r="NUE40" s="32"/>
      <c r="NUF40" s="32"/>
      <c r="NUG40" s="32"/>
      <c r="NUH40" s="32"/>
      <c r="NUI40" s="32"/>
      <c r="NUJ40" s="32"/>
      <c r="NUK40" s="32"/>
      <c r="NUL40" s="32"/>
      <c r="NUM40" s="32"/>
      <c r="NUN40" s="32"/>
      <c r="NUO40" s="32"/>
      <c r="NUP40" s="32"/>
      <c r="NUQ40" s="32"/>
      <c r="NUR40" s="32"/>
      <c r="NUS40" s="32"/>
      <c r="NUT40" s="32"/>
      <c r="NUU40" s="32"/>
      <c r="NUV40" s="32"/>
      <c r="NUW40" s="32"/>
      <c r="NUX40" s="32"/>
      <c r="NUY40" s="32"/>
      <c r="NUZ40" s="32"/>
      <c r="NVA40" s="32"/>
      <c r="NVB40" s="32"/>
      <c r="NVC40" s="32"/>
      <c r="NVD40" s="32"/>
      <c r="NVE40" s="32"/>
      <c r="NVF40" s="32"/>
      <c r="NVG40" s="32"/>
      <c r="NVH40" s="32"/>
      <c r="NVI40" s="32"/>
      <c r="NVJ40" s="32"/>
      <c r="NVK40" s="32"/>
      <c r="NVL40" s="32"/>
      <c r="NVM40" s="32"/>
      <c r="NVN40" s="32"/>
      <c r="NVO40" s="32"/>
      <c r="NVP40" s="32"/>
      <c r="NVQ40" s="32"/>
      <c r="NVR40" s="32"/>
      <c r="NVS40" s="32"/>
      <c r="NVT40" s="32"/>
      <c r="NVU40" s="32"/>
      <c r="NVV40" s="32"/>
      <c r="NVW40" s="32"/>
      <c r="NVX40" s="32"/>
      <c r="NVY40" s="32"/>
      <c r="NVZ40" s="32"/>
      <c r="NWA40" s="32"/>
      <c r="NWB40" s="32"/>
      <c r="NWC40" s="32"/>
      <c r="NWD40" s="32"/>
      <c r="NWE40" s="32"/>
      <c r="NWF40" s="32"/>
      <c r="NWG40" s="32"/>
      <c r="NWH40" s="32"/>
      <c r="NWI40" s="32"/>
      <c r="NWJ40" s="32"/>
      <c r="NWK40" s="32"/>
      <c r="NWL40" s="32"/>
      <c r="NWM40" s="32"/>
      <c r="NWN40" s="32"/>
      <c r="NWO40" s="32"/>
      <c r="NWP40" s="32"/>
      <c r="NWQ40" s="32"/>
      <c r="NWR40" s="32"/>
      <c r="NWS40" s="32"/>
      <c r="NWT40" s="32"/>
      <c r="NWU40" s="32"/>
      <c r="NWV40" s="32"/>
      <c r="NWW40" s="32"/>
      <c r="NWX40" s="32"/>
      <c r="NWY40" s="32"/>
      <c r="NWZ40" s="32"/>
      <c r="NXA40" s="32"/>
      <c r="NXB40" s="32"/>
      <c r="NXC40" s="32"/>
      <c r="NXD40" s="32"/>
      <c r="NXE40" s="32"/>
      <c r="NXF40" s="32"/>
      <c r="NXG40" s="32"/>
      <c r="NXH40" s="32"/>
      <c r="NXI40" s="32"/>
      <c r="NXJ40" s="32"/>
      <c r="NXK40" s="32"/>
      <c r="NXL40" s="32"/>
      <c r="NXM40" s="32"/>
      <c r="NXN40" s="32"/>
      <c r="NXO40" s="32"/>
      <c r="NXP40" s="32"/>
      <c r="NXQ40" s="32"/>
      <c r="NXR40" s="32"/>
      <c r="NXS40" s="32"/>
      <c r="NXT40" s="32"/>
      <c r="NXU40" s="32"/>
      <c r="NXV40" s="32"/>
      <c r="NXW40" s="32"/>
      <c r="NXX40" s="32"/>
      <c r="NXY40" s="32"/>
      <c r="NXZ40" s="32"/>
      <c r="NYA40" s="32"/>
      <c r="NYB40" s="32"/>
      <c r="NYC40" s="32"/>
      <c r="NYD40" s="32"/>
      <c r="NYE40" s="32"/>
      <c r="NYF40" s="32"/>
      <c r="NYG40" s="32"/>
      <c r="NYH40" s="32"/>
      <c r="NYI40" s="32"/>
      <c r="NYJ40" s="32"/>
      <c r="NYK40" s="32"/>
      <c r="NYL40" s="32"/>
      <c r="NYM40" s="32"/>
      <c r="NYN40" s="32"/>
      <c r="NYO40" s="32"/>
      <c r="NYP40" s="32"/>
      <c r="NYQ40" s="32"/>
      <c r="NYR40" s="32"/>
      <c r="NYS40" s="32"/>
      <c r="NYT40" s="32"/>
      <c r="NYU40" s="32"/>
      <c r="NYV40" s="32"/>
      <c r="NYW40" s="32"/>
      <c r="NYX40" s="32"/>
      <c r="NYY40" s="32"/>
      <c r="NYZ40" s="32"/>
      <c r="NZA40" s="32"/>
      <c r="NZB40" s="32"/>
      <c r="NZC40" s="32"/>
      <c r="NZD40" s="32"/>
      <c r="NZE40" s="32"/>
      <c r="NZF40" s="32"/>
      <c r="NZG40" s="32"/>
      <c r="NZH40" s="32"/>
      <c r="NZI40" s="32"/>
      <c r="NZJ40" s="32"/>
      <c r="NZK40" s="32"/>
      <c r="NZL40" s="32"/>
      <c r="NZM40" s="32"/>
      <c r="NZN40" s="32"/>
      <c r="NZO40" s="32"/>
      <c r="NZP40" s="32"/>
      <c r="NZQ40" s="32"/>
      <c r="NZR40" s="32"/>
      <c r="NZS40" s="32"/>
      <c r="NZT40" s="32"/>
      <c r="NZU40" s="32"/>
      <c r="NZV40" s="32"/>
      <c r="NZW40" s="32"/>
      <c r="NZX40" s="32"/>
      <c r="NZY40" s="32"/>
      <c r="NZZ40" s="32"/>
      <c r="OAA40" s="32"/>
      <c r="OAB40" s="32"/>
      <c r="OAC40" s="32"/>
      <c r="OAD40" s="32"/>
      <c r="OAE40" s="32"/>
      <c r="OAF40" s="32"/>
      <c r="OAG40" s="32"/>
      <c r="OAH40" s="32"/>
      <c r="OAI40" s="32"/>
      <c r="OAJ40" s="32"/>
      <c r="OAK40" s="32"/>
      <c r="OAL40" s="32"/>
      <c r="OAM40" s="32"/>
      <c r="OAN40" s="32"/>
      <c r="OAO40" s="32"/>
      <c r="OAP40" s="32"/>
      <c r="OAQ40" s="32"/>
      <c r="OAR40" s="32"/>
      <c r="OAS40" s="32"/>
      <c r="OAT40" s="32"/>
      <c r="OAU40" s="32"/>
      <c r="OAV40" s="32"/>
      <c r="OAW40" s="32"/>
      <c r="OAX40" s="32"/>
      <c r="OAY40" s="32"/>
      <c r="OAZ40" s="32"/>
      <c r="OBA40" s="32"/>
      <c r="OBB40" s="32"/>
      <c r="OBC40" s="32"/>
      <c r="OBD40" s="32"/>
      <c r="OBE40" s="32"/>
      <c r="OBF40" s="32"/>
      <c r="OBG40" s="32"/>
      <c r="OBH40" s="32"/>
      <c r="OBI40" s="32"/>
      <c r="OBJ40" s="32"/>
      <c r="OBK40" s="32"/>
      <c r="OBL40" s="32"/>
      <c r="OBM40" s="32"/>
      <c r="OBN40" s="32"/>
      <c r="OBO40" s="32"/>
      <c r="OBP40" s="32"/>
      <c r="OBQ40" s="32"/>
      <c r="OBR40" s="32"/>
      <c r="OBS40" s="32"/>
      <c r="OBT40" s="32"/>
      <c r="OBU40" s="32"/>
      <c r="OBV40" s="32"/>
      <c r="OBW40" s="32"/>
      <c r="OBX40" s="32"/>
      <c r="OBY40" s="32"/>
      <c r="OBZ40" s="32"/>
      <c r="OCA40" s="32"/>
      <c r="OCB40" s="32"/>
      <c r="OCC40" s="32"/>
      <c r="OCD40" s="32"/>
      <c r="OCE40" s="32"/>
      <c r="OCF40" s="32"/>
      <c r="OCG40" s="32"/>
      <c r="OCH40" s="32"/>
      <c r="OCI40" s="32"/>
      <c r="OCJ40" s="32"/>
      <c r="OCK40" s="32"/>
      <c r="OCL40" s="32"/>
      <c r="OCM40" s="32"/>
      <c r="OCN40" s="32"/>
      <c r="OCO40" s="32"/>
      <c r="OCP40" s="32"/>
      <c r="OCQ40" s="32"/>
      <c r="OCR40" s="32"/>
      <c r="OCS40" s="32"/>
      <c r="OCT40" s="32"/>
      <c r="OCU40" s="32"/>
      <c r="OCV40" s="32"/>
      <c r="OCW40" s="32"/>
      <c r="OCX40" s="32"/>
      <c r="OCY40" s="32"/>
      <c r="OCZ40" s="32"/>
      <c r="ODA40" s="32"/>
      <c r="ODB40" s="32"/>
      <c r="ODC40" s="32"/>
      <c r="ODD40" s="32"/>
      <c r="ODE40" s="32"/>
      <c r="ODF40" s="32"/>
      <c r="ODG40" s="32"/>
      <c r="ODH40" s="32"/>
      <c r="ODI40" s="32"/>
      <c r="ODJ40" s="32"/>
      <c r="ODK40" s="32"/>
      <c r="ODL40" s="32"/>
      <c r="ODM40" s="32"/>
      <c r="ODN40" s="32"/>
      <c r="ODO40" s="32"/>
      <c r="ODP40" s="32"/>
      <c r="ODQ40" s="32"/>
      <c r="ODR40" s="32"/>
      <c r="ODS40" s="32"/>
      <c r="ODT40" s="32"/>
      <c r="ODU40" s="32"/>
      <c r="ODV40" s="32"/>
      <c r="ODW40" s="32"/>
      <c r="ODX40" s="32"/>
      <c r="ODY40" s="32"/>
      <c r="ODZ40" s="32"/>
      <c r="OEA40" s="32"/>
      <c r="OEB40" s="32"/>
      <c r="OEC40" s="32"/>
      <c r="OED40" s="32"/>
      <c r="OEE40" s="32"/>
      <c r="OEF40" s="32"/>
      <c r="OEG40" s="32"/>
      <c r="OEH40" s="32"/>
      <c r="OEI40" s="32"/>
      <c r="OEJ40" s="32"/>
      <c r="OEK40" s="32"/>
      <c r="OEL40" s="32"/>
      <c r="OEM40" s="32"/>
      <c r="OEN40" s="32"/>
      <c r="OEO40" s="32"/>
      <c r="OEP40" s="32"/>
      <c r="OEQ40" s="32"/>
      <c r="OER40" s="32"/>
      <c r="OES40" s="32"/>
      <c r="OET40" s="32"/>
      <c r="OEU40" s="32"/>
      <c r="OEV40" s="32"/>
      <c r="OEW40" s="32"/>
      <c r="OEX40" s="32"/>
      <c r="OEY40" s="32"/>
      <c r="OEZ40" s="32"/>
      <c r="OFA40" s="32"/>
      <c r="OFB40" s="32"/>
      <c r="OFC40" s="32"/>
      <c r="OFD40" s="32"/>
      <c r="OFE40" s="32"/>
      <c r="OFF40" s="32"/>
      <c r="OFG40" s="32"/>
      <c r="OFH40" s="32"/>
      <c r="OFI40" s="32"/>
      <c r="OFJ40" s="32"/>
      <c r="OFK40" s="32"/>
      <c r="OFL40" s="32"/>
      <c r="OFM40" s="32"/>
      <c r="OFN40" s="32"/>
      <c r="OFO40" s="32"/>
      <c r="OFP40" s="32"/>
      <c r="OFQ40" s="32"/>
      <c r="OFR40" s="32"/>
      <c r="OFS40" s="32"/>
      <c r="OFT40" s="32"/>
      <c r="OFU40" s="32"/>
      <c r="OFV40" s="32"/>
      <c r="OFW40" s="32"/>
      <c r="OFX40" s="32"/>
      <c r="OFY40" s="32"/>
      <c r="OFZ40" s="32"/>
      <c r="OGA40" s="32"/>
      <c r="OGB40" s="32"/>
      <c r="OGC40" s="32"/>
      <c r="OGD40" s="32"/>
      <c r="OGE40" s="32"/>
      <c r="OGF40" s="32"/>
      <c r="OGG40" s="32"/>
      <c r="OGH40" s="32"/>
      <c r="OGI40" s="32"/>
      <c r="OGJ40" s="32"/>
      <c r="OGK40" s="32"/>
      <c r="OGL40" s="32"/>
      <c r="OGM40" s="32"/>
      <c r="OGN40" s="32"/>
      <c r="OGO40" s="32"/>
      <c r="OGP40" s="32"/>
      <c r="OGQ40" s="32"/>
      <c r="OGR40" s="32"/>
      <c r="OGS40" s="32"/>
      <c r="OGT40" s="32"/>
      <c r="OGU40" s="32"/>
      <c r="OGV40" s="32"/>
      <c r="OGW40" s="32"/>
      <c r="OGX40" s="32"/>
      <c r="OGY40" s="32"/>
      <c r="OGZ40" s="32"/>
      <c r="OHA40" s="32"/>
      <c r="OHB40" s="32"/>
      <c r="OHC40" s="32"/>
      <c r="OHD40" s="32"/>
      <c r="OHE40" s="32"/>
      <c r="OHF40" s="32"/>
      <c r="OHG40" s="32"/>
      <c r="OHH40" s="32"/>
      <c r="OHI40" s="32"/>
      <c r="OHJ40" s="32"/>
      <c r="OHK40" s="32"/>
      <c r="OHL40" s="32"/>
      <c r="OHM40" s="32"/>
      <c r="OHN40" s="32"/>
      <c r="OHO40" s="32"/>
      <c r="OHP40" s="32"/>
      <c r="OHQ40" s="32"/>
      <c r="OHR40" s="32"/>
      <c r="OHS40" s="32"/>
      <c r="OHT40" s="32"/>
      <c r="OHU40" s="32"/>
      <c r="OHV40" s="32"/>
      <c r="OHW40" s="32"/>
      <c r="OHX40" s="32"/>
      <c r="OHY40" s="32"/>
      <c r="OHZ40" s="32"/>
      <c r="OIA40" s="32"/>
      <c r="OIB40" s="32"/>
      <c r="OIC40" s="32"/>
      <c r="OID40" s="32"/>
      <c r="OIE40" s="32"/>
      <c r="OIF40" s="32"/>
      <c r="OIG40" s="32"/>
      <c r="OIH40" s="32"/>
      <c r="OII40" s="32"/>
      <c r="OIJ40" s="32"/>
      <c r="OIK40" s="32"/>
      <c r="OIL40" s="32"/>
      <c r="OIM40" s="32"/>
      <c r="OIN40" s="32"/>
      <c r="OIO40" s="32"/>
      <c r="OIP40" s="32"/>
      <c r="OIQ40" s="32"/>
      <c r="OIR40" s="32"/>
      <c r="OIS40" s="32"/>
      <c r="OIT40" s="32"/>
      <c r="OIU40" s="32"/>
      <c r="OIV40" s="32"/>
      <c r="OIW40" s="32"/>
      <c r="OIX40" s="32"/>
      <c r="OIY40" s="32"/>
      <c r="OIZ40" s="32"/>
      <c r="OJA40" s="32"/>
      <c r="OJB40" s="32"/>
      <c r="OJC40" s="32"/>
      <c r="OJD40" s="32"/>
      <c r="OJE40" s="32"/>
      <c r="OJF40" s="32"/>
      <c r="OJG40" s="32"/>
      <c r="OJH40" s="32"/>
      <c r="OJI40" s="32"/>
      <c r="OJJ40" s="32"/>
      <c r="OJK40" s="32"/>
      <c r="OJL40" s="32"/>
      <c r="OJM40" s="32"/>
      <c r="OJN40" s="32"/>
      <c r="OJO40" s="32"/>
      <c r="OJP40" s="32"/>
      <c r="OJQ40" s="32"/>
      <c r="OJR40" s="32"/>
      <c r="OJS40" s="32"/>
      <c r="OJT40" s="32"/>
      <c r="OJU40" s="32"/>
      <c r="OJV40" s="32"/>
      <c r="OJW40" s="32"/>
      <c r="OJX40" s="32"/>
      <c r="OJY40" s="32"/>
      <c r="OJZ40" s="32"/>
      <c r="OKA40" s="32"/>
      <c r="OKB40" s="32"/>
      <c r="OKC40" s="32"/>
      <c r="OKD40" s="32"/>
      <c r="OKE40" s="32"/>
      <c r="OKF40" s="32"/>
      <c r="OKG40" s="32"/>
      <c r="OKH40" s="32"/>
      <c r="OKI40" s="32"/>
      <c r="OKJ40" s="32"/>
      <c r="OKK40" s="32"/>
      <c r="OKL40" s="32"/>
      <c r="OKM40" s="32"/>
      <c r="OKN40" s="32"/>
      <c r="OKO40" s="32"/>
      <c r="OKP40" s="32"/>
      <c r="OKQ40" s="32"/>
      <c r="OKR40" s="32"/>
      <c r="OKS40" s="32"/>
      <c r="OKT40" s="32"/>
      <c r="OKU40" s="32"/>
      <c r="OKV40" s="32"/>
      <c r="OKW40" s="32"/>
      <c r="OKX40" s="32"/>
      <c r="OKY40" s="32"/>
      <c r="OKZ40" s="32"/>
      <c r="OLA40" s="32"/>
      <c r="OLB40" s="32"/>
      <c r="OLC40" s="32"/>
      <c r="OLD40" s="32"/>
      <c r="OLE40" s="32"/>
      <c r="OLF40" s="32"/>
      <c r="OLG40" s="32"/>
      <c r="OLH40" s="32"/>
      <c r="OLI40" s="32"/>
      <c r="OLJ40" s="32"/>
      <c r="OLK40" s="32"/>
      <c r="OLL40" s="32"/>
      <c r="OLM40" s="32"/>
      <c r="OLN40" s="32"/>
      <c r="OLO40" s="32"/>
      <c r="OLP40" s="32"/>
      <c r="OLQ40" s="32"/>
      <c r="OLR40" s="32"/>
      <c r="OLS40" s="32"/>
      <c r="OLT40" s="32"/>
      <c r="OLU40" s="32"/>
      <c r="OLV40" s="32"/>
      <c r="OLW40" s="32"/>
      <c r="OLX40" s="32"/>
      <c r="OLY40" s="32"/>
      <c r="OLZ40" s="32"/>
      <c r="OMA40" s="32"/>
      <c r="OMB40" s="32"/>
      <c r="OMC40" s="32"/>
      <c r="OMD40" s="32"/>
      <c r="OME40" s="32"/>
      <c r="OMF40" s="32"/>
      <c r="OMG40" s="32"/>
      <c r="OMH40" s="32"/>
      <c r="OMI40" s="32"/>
      <c r="OMJ40" s="32"/>
      <c r="OMK40" s="32"/>
      <c r="OML40" s="32"/>
      <c r="OMM40" s="32"/>
      <c r="OMN40" s="32"/>
      <c r="OMO40" s="32"/>
      <c r="OMP40" s="32"/>
      <c r="OMQ40" s="32"/>
      <c r="OMR40" s="32"/>
      <c r="OMS40" s="32"/>
      <c r="OMT40" s="32"/>
      <c r="OMU40" s="32"/>
      <c r="OMV40" s="32"/>
      <c r="OMW40" s="32"/>
      <c r="OMX40" s="32"/>
      <c r="OMY40" s="32"/>
      <c r="OMZ40" s="32"/>
      <c r="ONA40" s="32"/>
      <c r="ONB40" s="32"/>
      <c r="ONC40" s="32"/>
      <c r="OND40" s="32"/>
      <c r="ONE40" s="32"/>
      <c r="ONF40" s="32"/>
      <c r="ONG40" s="32"/>
      <c r="ONH40" s="32"/>
      <c r="ONI40" s="32"/>
      <c r="ONJ40" s="32"/>
      <c r="ONK40" s="32"/>
      <c r="ONL40" s="32"/>
      <c r="ONM40" s="32"/>
      <c r="ONN40" s="32"/>
      <c r="ONO40" s="32"/>
      <c r="ONP40" s="32"/>
      <c r="ONQ40" s="32"/>
      <c r="ONR40" s="32"/>
      <c r="ONS40" s="32"/>
      <c r="ONT40" s="32"/>
      <c r="ONU40" s="32"/>
      <c r="ONV40" s="32"/>
      <c r="ONW40" s="32"/>
      <c r="ONX40" s="32"/>
      <c r="ONY40" s="32"/>
      <c r="ONZ40" s="32"/>
      <c r="OOA40" s="32"/>
      <c r="OOB40" s="32"/>
      <c r="OOC40" s="32"/>
      <c r="OOD40" s="32"/>
      <c r="OOE40" s="32"/>
      <c r="OOF40" s="32"/>
      <c r="OOG40" s="32"/>
      <c r="OOH40" s="32"/>
      <c r="OOI40" s="32"/>
      <c r="OOJ40" s="32"/>
      <c r="OOK40" s="32"/>
      <c r="OOL40" s="32"/>
      <c r="OOM40" s="32"/>
      <c r="OON40" s="32"/>
      <c r="OOO40" s="32"/>
      <c r="OOP40" s="32"/>
      <c r="OOQ40" s="32"/>
      <c r="OOR40" s="32"/>
      <c r="OOS40" s="32"/>
      <c r="OOT40" s="32"/>
      <c r="OOU40" s="32"/>
      <c r="OOV40" s="32"/>
      <c r="OOW40" s="32"/>
      <c r="OOX40" s="32"/>
      <c r="OOY40" s="32"/>
      <c r="OOZ40" s="32"/>
      <c r="OPA40" s="32"/>
      <c r="OPB40" s="32"/>
      <c r="OPC40" s="32"/>
      <c r="OPD40" s="32"/>
      <c r="OPE40" s="32"/>
      <c r="OPF40" s="32"/>
      <c r="OPG40" s="32"/>
      <c r="OPH40" s="32"/>
      <c r="OPI40" s="32"/>
      <c r="OPJ40" s="32"/>
      <c r="OPK40" s="32"/>
      <c r="OPL40" s="32"/>
      <c r="OPM40" s="32"/>
      <c r="OPN40" s="32"/>
      <c r="OPO40" s="32"/>
      <c r="OPP40" s="32"/>
      <c r="OPQ40" s="32"/>
      <c r="OPR40" s="32"/>
      <c r="OPS40" s="32"/>
      <c r="OPT40" s="32"/>
      <c r="OPU40" s="32"/>
      <c r="OPV40" s="32"/>
      <c r="OPW40" s="32"/>
      <c r="OPX40" s="32"/>
      <c r="OPY40" s="32"/>
      <c r="OPZ40" s="32"/>
      <c r="OQA40" s="32"/>
      <c r="OQB40" s="32"/>
      <c r="OQC40" s="32"/>
      <c r="OQD40" s="32"/>
      <c r="OQE40" s="32"/>
      <c r="OQF40" s="32"/>
      <c r="OQG40" s="32"/>
      <c r="OQH40" s="32"/>
      <c r="OQI40" s="32"/>
      <c r="OQJ40" s="32"/>
      <c r="OQK40" s="32"/>
      <c r="OQL40" s="32"/>
      <c r="OQM40" s="32"/>
      <c r="OQN40" s="32"/>
      <c r="OQO40" s="32"/>
      <c r="OQP40" s="32"/>
      <c r="OQQ40" s="32"/>
      <c r="OQR40" s="32"/>
      <c r="OQS40" s="32"/>
      <c r="OQT40" s="32"/>
      <c r="OQU40" s="32"/>
      <c r="OQV40" s="32"/>
      <c r="OQW40" s="32"/>
      <c r="OQX40" s="32"/>
      <c r="OQY40" s="32"/>
      <c r="OQZ40" s="32"/>
      <c r="ORA40" s="32"/>
      <c r="ORB40" s="32"/>
      <c r="ORC40" s="32"/>
      <c r="ORD40" s="32"/>
      <c r="ORE40" s="32"/>
      <c r="ORF40" s="32"/>
      <c r="ORG40" s="32"/>
      <c r="ORH40" s="32"/>
      <c r="ORI40" s="32"/>
      <c r="ORJ40" s="32"/>
      <c r="ORK40" s="32"/>
      <c r="ORL40" s="32"/>
      <c r="ORM40" s="32"/>
      <c r="ORN40" s="32"/>
      <c r="ORO40" s="32"/>
      <c r="ORP40" s="32"/>
      <c r="ORQ40" s="32"/>
      <c r="ORR40" s="32"/>
      <c r="ORS40" s="32"/>
      <c r="ORT40" s="32"/>
      <c r="ORU40" s="32"/>
      <c r="ORV40" s="32"/>
      <c r="ORW40" s="32"/>
      <c r="ORX40" s="32"/>
      <c r="ORY40" s="32"/>
      <c r="ORZ40" s="32"/>
      <c r="OSA40" s="32"/>
      <c r="OSB40" s="32"/>
      <c r="OSC40" s="32"/>
      <c r="OSD40" s="32"/>
      <c r="OSE40" s="32"/>
      <c r="OSF40" s="32"/>
      <c r="OSG40" s="32"/>
      <c r="OSH40" s="32"/>
      <c r="OSI40" s="32"/>
      <c r="OSJ40" s="32"/>
      <c r="OSK40" s="32"/>
      <c r="OSL40" s="32"/>
      <c r="OSM40" s="32"/>
      <c r="OSN40" s="32"/>
      <c r="OSO40" s="32"/>
      <c r="OSP40" s="32"/>
      <c r="OSQ40" s="32"/>
      <c r="OSR40" s="32"/>
      <c r="OSS40" s="32"/>
      <c r="OST40" s="32"/>
      <c r="OSU40" s="32"/>
      <c r="OSV40" s="32"/>
      <c r="OSW40" s="32"/>
      <c r="OSX40" s="32"/>
      <c r="OSY40" s="32"/>
      <c r="OSZ40" s="32"/>
      <c r="OTA40" s="32"/>
      <c r="OTB40" s="32"/>
      <c r="OTC40" s="32"/>
      <c r="OTD40" s="32"/>
      <c r="OTE40" s="32"/>
      <c r="OTF40" s="32"/>
      <c r="OTG40" s="32"/>
      <c r="OTH40" s="32"/>
      <c r="OTI40" s="32"/>
      <c r="OTJ40" s="32"/>
      <c r="OTK40" s="32"/>
      <c r="OTL40" s="32"/>
      <c r="OTM40" s="32"/>
      <c r="OTN40" s="32"/>
      <c r="OTO40" s="32"/>
      <c r="OTP40" s="32"/>
      <c r="OTQ40" s="32"/>
      <c r="OTR40" s="32"/>
      <c r="OTS40" s="32"/>
      <c r="OTT40" s="32"/>
      <c r="OTU40" s="32"/>
      <c r="OTV40" s="32"/>
      <c r="OTW40" s="32"/>
      <c r="OTX40" s="32"/>
      <c r="OTY40" s="32"/>
      <c r="OTZ40" s="32"/>
      <c r="OUA40" s="32"/>
      <c r="OUB40" s="32"/>
      <c r="OUC40" s="32"/>
      <c r="OUD40" s="32"/>
      <c r="OUE40" s="32"/>
      <c r="OUF40" s="32"/>
      <c r="OUG40" s="32"/>
      <c r="OUH40" s="32"/>
      <c r="OUI40" s="32"/>
      <c r="OUJ40" s="32"/>
      <c r="OUK40" s="32"/>
      <c r="OUL40" s="32"/>
      <c r="OUM40" s="32"/>
      <c r="OUN40" s="32"/>
      <c r="OUO40" s="32"/>
      <c r="OUP40" s="32"/>
      <c r="OUQ40" s="32"/>
      <c r="OUR40" s="32"/>
      <c r="OUS40" s="32"/>
      <c r="OUT40" s="32"/>
      <c r="OUU40" s="32"/>
      <c r="OUV40" s="32"/>
      <c r="OUW40" s="32"/>
      <c r="OUX40" s="32"/>
      <c r="OUY40" s="32"/>
      <c r="OUZ40" s="32"/>
      <c r="OVA40" s="32"/>
      <c r="OVB40" s="32"/>
      <c r="OVC40" s="32"/>
      <c r="OVD40" s="32"/>
      <c r="OVE40" s="32"/>
      <c r="OVF40" s="32"/>
      <c r="OVG40" s="32"/>
      <c r="OVH40" s="32"/>
      <c r="OVI40" s="32"/>
      <c r="OVJ40" s="32"/>
      <c r="OVK40" s="32"/>
      <c r="OVL40" s="32"/>
      <c r="OVM40" s="32"/>
      <c r="OVN40" s="32"/>
      <c r="OVO40" s="32"/>
      <c r="OVP40" s="32"/>
      <c r="OVQ40" s="32"/>
      <c r="OVR40" s="32"/>
      <c r="OVS40" s="32"/>
      <c r="OVT40" s="32"/>
      <c r="OVU40" s="32"/>
      <c r="OVV40" s="32"/>
      <c r="OVW40" s="32"/>
      <c r="OVX40" s="32"/>
      <c r="OVY40" s="32"/>
      <c r="OVZ40" s="32"/>
      <c r="OWA40" s="32"/>
      <c r="OWB40" s="32"/>
      <c r="OWC40" s="32"/>
      <c r="OWD40" s="32"/>
      <c r="OWE40" s="32"/>
      <c r="OWF40" s="32"/>
      <c r="OWG40" s="32"/>
      <c r="OWH40" s="32"/>
      <c r="OWI40" s="32"/>
      <c r="OWJ40" s="32"/>
      <c r="OWK40" s="32"/>
      <c r="OWL40" s="32"/>
      <c r="OWM40" s="32"/>
      <c r="OWN40" s="32"/>
      <c r="OWO40" s="32"/>
      <c r="OWP40" s="32"/>
      <c r="OWQ40" s="32"/>
      <c r="OWR40" s="32"/>
      <c r="OWS40" s="32"/>
      <c r="OWT40" s="32"/>
      <c r="OWU40" s="32"/>
      <c r="OWV40" s="32"/>
      <c r="OWW40" s="32"/>
      <c r="OWX40" s="32"/>
      <c r="OWY40" s="32"/>
      <c r="OWZ40" s="32"/>
      <c r="OXA40" s="32"/>
      <c r="OXB40" s="32"/>
      <c r="OXC40" s="32"/>
      <c r="OXD40" s="32"/>
      <c r="OXE40" s="32"/>
      <c r="OXF40" s="32"/>
      <c r="OXG40" s="32"/>
      <c r="OXH40" s="32"/>
      <c r="OXI40" s="32"/>
      <c r="OXJ40" s="32"/>
      <c r="OXK40" s="32"/>
      <c r="OXL40" s="32"/>
      <c r="OXM40" s="32"/>
      <c r="OXN40" s="32"/>
      <c r="OXO40" s="32"/>
      <c r="OXP40" s="32"/>
      <c r="OXQ40" s="32"/>
      <c r="OXR40" s="32"/>
      <c r="OXS40" s="32"/>
      <c r="OXT40" s="32"/>
      <c r="OXU40" s="32"/>
      <c r="OXV40" s="32"/>
      <c r="OXW40" s="32"/>
      <c r="OXX40" s="32"/>
      <c r="OXY40" s="32"/>
      <c r="OXZ40" s="32"/>
      <c r="OYA40" s="32"/>
      <c r="OYB40" s="32"/>
      <c r="OYC40" s="32"/>
      <c r="OYD40" s="32"/>
      <c r="OYE40" s="32"/>
      <c r="OYF40" s="32"/>
      <c r="OYG40" s="32"/>
      <c r="OYH40" s="32"/>
      <c r="OYI40" s="32"/>
      <c r="OYJ40" s="32"/>
      <c r="OYK40" s="32"/>
      <c r="OYL40" s="32"/>
      <c r="OYM40" s="32"/>
      <c r="OYN40" s="32"/>
      <c r="OYO40" s="32"/>
      <c r="OYP40" s="32"/>
      <c r="OYQ40" s="32"/>
      <c r="OYR40" s="32"/>
      <c r="OYS40" s="32"/>
      <c r="OYT40" s="32"/>
      <c r="OYU40" s="32"/>
      <c r="OYV40" s="32"/>
      <c r="OYW40" s="32"/>
      <c r="OYX40" s="32"/>
      <c r="OYY40" s="32"/>
      <c r="OYZ40" s="32"/>
      <c r="OZA40" s="32"/>
      <c r="OZB40" s="32"/>
      <c r="OZC40" s="32"/>
      <c r="OZD40" s="32"/>
      <c r="OZE40" s="32"/>
      <c r="OZF40" s="32"/>
      <c r="OZG40" s="32"/>
      <c r="OZH40" s="32"/>
      <c r="OZI40" s="32"/>
      <c r="OZJ40" s="32"/>
      <c r="OZK40" s="32"/>
      <c r="OZL40" s="32"/>
      <c r="OZM40" s="32"/>
      <c r="OZN40" s="32"/>
      <c r="OZO40" s="32"/>
      <c r="OZP40" s="32"/>
      <c r="OZQ40" s="32"/>
      <c r="OZR40" s="32"/>
      <c r="OZS40" s="32"/>
      <c r="OZT40" s="32"/>
      <c r="OZU40" s="32"/>
      <c r="OZV40" s="32"/>
      <c r="OZW40" s="32"/>
      <c r="OZX40" s="32"/>
      <c r="OZY40" s="32"/>
      <c r="OZZ40" s="32"/>
      <c r="PAA40" s="32"/>
      <c r="PAB40" s="32"/>
      <c r="PAC40" s="32"/>
      <c r="PAD40" s="32"/>
      <c r="PAE40" s="32"/>
      <c r="PAF40" s="32"/>
      <c r="PAG40" s="32"/>
      <c r="PAH40" s="32"/>
      <c r="PAI40" s="32"/>
      <c r="PAJ40" s="32"/>
      <c r="PAK40" s="32"/>
      <c r="PAL40" s="32"/>
      <c r="PAM40" s="32"/>
      <c r="PAN40" s="32"/>
      <c r="PAO40" s="32"/>
      <c r="PAP40" s="32"/>
      <c r="PAQ40" s="32"/>
      <c r="PAR40" s="32"/>
      <c r="PAS40" s="32"/>
      <c r="PAT40" s="32"/>
      <c r="PAU40" s="32"/>
      <c r="PAV40" s="32"/>
      <c r="PAW40" s="32"/>
      <c r="PAX40" s="32"/>
      <c r="PAY40" s="32"/>
      <c r="PAZ40" s="32"/>
      <c r="PBA40" s="32"/>
      <c r="PBB40" s="32"/>
      <c r="PBC40" s="32"/>
      <c r="PBD40" s="32"/>
      <c r="PBE40" s="32"/>
      <c r="PBF40" s="32"/>
      <c r="PBG40" s="32"/>
      <c r="PBH40" s="32"/>
      <c r="PBI40" s="32"/>
      <c r="PBJ40" s="32"/>
      <c r="PBK40" s="32"/>
      <c r="PBL40" s="32"/>
      <c r="PBM40" s="32"/>
      <c r="PBN40" s="32"/>
      <c r="PBO40" s="32"/>
      <c r="PBP40" s="32"/>
      <c r="PBQ40" s="32"/>
      <c r="PBR40" s="32"/>
      <c r="PBS40" s="32"/>
      <c r="PBT40" s="32"/>
      <c r="PBU40" s="32"/>
      <c r="PBV40" s="32"/>
      <c r="PBW40" s="32"/>
      <c r="PBX40" s="32"/>
      <c r="PBY40" s="32"/>
      <c r="PBZ40" s="32"/>
      <c r="PCA40" s="32"/>
      <c r="PCB40" s="32"/>
      <c r="PCC40" s="32"/>
      <c r="PCD40" s="32"/>
      <c r="PCE40" s="32"/>
      <c r="PCF40" s="32"/>
      <c r="PCG40" s="32"/>
      <c r="PCH40" s="32"/>
      <c r="PCI40" s="32"/>
      <c r="PCJ40" s="32"/>
      <c r="PCK40" s="32"/>
      <c r="PCL40" s="32"/>
      <c r="PCM40" s="32"/>
      <c r="PCN40" s="32"/>
      <c r="PCO40" s="32"/>
      <c r="PCP40" s="32"/>
      <c r="PCQ40" s="32"/>
      <c r="PCR40" s="32"/>
      <c r="PCS40" s="32"/>
      <c r="PCT40" s="32"/>
      <c r="PCU40" s="32"/>
      <c r="PCV40" s="32"/>
      <c r="PCW40" s="32"/>
      <c r="PCX40" s="32"/>
      <c r="PCY40" s="32"/>
      <c r="PCZ40" s="32"/>
      <c r="PDA40" s="32"/>
      <c r="PDB40" s="32"/>
      <c r="PDC40" s="32"/>
      <c r="PDD40" s="32"/>
      <c r="PDE40" s="32"/>
      <c r="PDF40" s="32"/>
      <c r="PDG40" s="32"/>
      <c r="PDH40" s="32"/>
      <c r="PDI40" s="32"/>
      <c r="PDJ40" s="32"/>
      <c r="PDK40" s="32"/>
      <c r="PDL40" s="32"/>
      <c r="PDM40" s="32"/>
      <c r="PDN40" s="32"/>
      <c r="PDO40" s="32"/>
      <c r="PDP40" s="32"/>
      <c r="PDQ40" s="32"/>
      <c r="PDR40" s="32"/>
      <c r="PDS40" s="32"/>
      <c r="PDT40" s="32"/>
      <c r="PDU40" s="32"/>
      <c r="PDV40" s="32"/>
      <c r="PDW40" s="32"/>
      <c r="PDX40" s="32"/>
      <c r="PDY40" s="32"/>
      <c r="PDZ40" s="32"/>
      <c r="PEA40" s="32"/>
      <c r="PEB40" s="32"/>
      <c r="PEC40" s="32"/>
      <c r="PED40" s="32"/>
      <c r="PEE40" s="32"/>
      <c r="PEF40" s="32"/>
      <c r="PEG40" s="32"/>
      <c r="PEH40" s="32"/>
      <c r="PEI40" s="32"/>
      <c r="PEJ40" s="32"/>
      <c r="PEK40" s="32"/>
      <c r="PEL40" s="32"/>
      <c r="PEM40" s="32"/>
      <c r="PEN40" s="32"/>
      <c r="PEO40" s="32"/>
      <c r="PEP40" s="32"/>
      <c r="PEQ40" s="32"/>
      <c r="PER40" s="32"/>
      <c r="PES40" s="32"/>
      <c r="PET40" s="32"/>
      <c r="PEU40" s="32"/>
      <c r="PEV40" s="32"/>
      <c r="PEW40" s="32"/>
      <c r="PEX40" s="32"/>
      <c r="PEY40" s="32"/>
      <c r="PEZ40" s="32"/>
      <c r="PFA40" s="32"/>
      <c r="PFB40" s="32"/>
      <c r="PFC40" s="32"/>
      <c r="PFD40" s="32"/>
      <c r="PFE40" s="32"/>
      <c r="PFF40" s="32"/>
      <c r="PFG40" s="32"/>
      <c r="PFH40" s="32"/>
      <c r="PFI40" s="32"/>
      <c r="PFJ40" s="32"/>
      <c r="PFK40" s="32"/>
      <c r="PFL40" s="32"/>
      <c r="PFM40" s="32"/>
      <c r="PFN40" s="32"/>
      <c r="PFO40" s="32"/>
      <c r="PFP40" s="32"/>
      <c r="PFQ40" s="32"/>
      <c r="PFR40" s="32"/>
      <c r="PFS40" s="32"/>
      <c r="PFT40" s="32"/>
      <c r="PFU40" s="32"/>
      <c r="PFV40" s="32"/>
      <c r="PFW40" s="32"/>
      <c r="PFX40" s="32"/>
      <c r="PFY40" s="32"/>
      <c r="PFZ40" s="32"/>
      <c r="PGA40" s="32"/>
      <c r="PGB40" s="32"/>
      <c r="PGC40" s="32"/>
      <c r="PGD40" s="32"/>
      <c r="PGE40" s="32"/>
      <c r="PGF40" s="32"/>
      <c r="PGG40" s="32"/>
      <c r="PGH40" s="32"/>
      <c r="PGI40" s="32"/>
      <c r="PGJ40" s="32"/>
      <c r="PGK40" s="32"/>
      <c r="PGL40" s="32"/>
      <c r="PGM40" s="32"/>
      <c r="PGN40" s="32"/>
      <c r="PGO40" s="32"/>
      <c r="PGP40" s="32"/>
      <c r="PGQ40" s="32"/>
      <c r="PGR40" s="32"/>
      <c r="PGS40" s="32"/>
      <c r="PGT40" s="32"/>
      <c r="PGU40" s="32"/>
      <c r="PGV40" s="32"/>
      <c r="PGW40" s="32"/>
      <c r="PGX40" s="32"/>
      <c r="PGY40" s="32"/>
      <c r="PGZ40" s="32"/>
      <c r="PHA40" s="32"/>
      <c r="PHB40" s="32"/>
      <c r="PHC40" s="32"/>
      <c r="PHD40" s="32"/>
      <c r="PHE40" s="32"/>
      <c r="PHF40" s="32"/>
      <c r="PHG40" s="32"/>
      <c r="PHH40" s="32"/>
      <c r="PHI40" s="32"/>
      <c r="PHJ40" s="32"/>
      <c r="PHK40" s="32"/>
      <c r="PHL40" s="32"/>
      <c r="PHM40" s="32"/>
      <c r="PHN40" s="32"/>
      <c r="PHO40" s="32"/>
      <c r="PHP40" s="32"/>
      <c r="PHQ40" s="32"/>
      <c r="PHR40" s="32"/>
      <c r="PHS40" s="32"/>
      <c r="PHT40" s="32"/>
      <c r="PHU40" s="32"/>
      <c r="PHV40" s="32"/>
      <c r="PHW40" s="32"/>
      <c r="PHX40" s="32"/>
      <c r="PHY40" s="32"/>
      <c r="PHZ40" s="32"/>
      <c r="PIA40" s="32"/>
      <c r="PIB40" s="32"/>
      <c r="PIC40" s="32"/>
      <c r="PID40" s="32"/>
      <c r="PIE40" s="32"/>
      <c r="PIF40" s="32"/>
      <c r="PIG40" s="32"/>
      <c r="PIH40" s="32"/>
      <c r="PII40" s="32"/>
      <c r="PIJ40" s="32"/>
      <c r="PIK40" s="32"/>
      <c r="PIL40" s="32"/>
      <c r="PIM40" s="32"/>
      <c r="PIN40" s="32"/>
      <c r="PIO40" s="32"/>
      <c r="PIP40" s="32"/>
      <c r="PIQ40" s="32"/>
      <c r="PIR40" s="32"/>
      <c r="PIS40" s="32"/>
      <c r="PIT40" s="32"/>
      <c r="PIU40" s="32"/>
      <c r="PIV40" s="32"/>
      <c r="PIW40" s="32"/>
      <c r="PIX40" s="32"/>
      <c r="PIY40" s="32"/>
      <c r="PIZ40" s="32"/>
      <c r="PJA40" s="32"/>
      <c r="PJB40" s="32"/>
      <c r="PJC40" s="32"/>
      <c r="PJD40" s="32"/>
      <c r="PJE40" s="32"/>
      <c r="PJF40" s="32"/>
      <c r="PJG40" s="32"/>
      <c r="PJH40" s="32"/>
      <c r="PJI40" s="32"/>
      <c r="PJJ40" s="32"/>
      <c r="PJK40" s="32"/>
      <c r="PJL40" s="32"/>
      <c r="PJM40" s="32"/>
      <c r="PJN40" s="32"/>
      <c r="PJO40" s="32"/>
      <c r="PJP40" s="32"/>
      <c r="PJQ40" s="32"/>
      <c r="PJR40" s="32"/>
      <c r="PJS40" s="32"/>
      <c r="PJT40" s="32"/>
      <c r="PJU40" s="32"/>
      <c r="PJV40" s="32"/>
      <c r="PJW40" s="32"/>
      <c r="PJX40" s="32"/>
      <c r="PJY40" s="32"/>
      <c r="PJZ40" s="32"/>
      <c r="PKA40" s="32"/>
      <c r="PKB40" s="32"/>
      <c r="PKC40" s="32"/>
      <c r="PKD40" s="32"/>
      <c r="PKE40" s="32"/>
      <c r="PKF40" s="32"/>
      <c r="PKG40" s="32"/>
      <c r="PKH40" s="32"/>
      <c r="PKI40" s="32"/>
      <c r="PKJ40" s="32"/>
      <c r="PKK40" s="32"/>
      <c r="PKL40" s="32"/>
      <c r="PKM40" s="32"/>
      <c r="PKN40" s="32"/>
      <c r="PKO40" s="32"/>
      <c r="PKP40" s="32"/>
      <c r="PKQ40" s="32"/>
      <c r="PKR40" s="32"/>
      <c r="PKS40" s="32"/>
      <c r="PKT40" s="32"/>
      <c r="PKU40" s="32"/>
      <c r="PKV40" s="32"/>
      <c r="PKW40" s="32"/>
      <c r="PKX40" s="32"/>
      <c r="PKY40" s="32"/>
      <c r="PKZ40" s="32"/>
      <c r="PLA40" s="32"/>
      <c r="PLB40" s="32"/>
      <c r="PLC40" s="32"/>
      <c r="PLD40" s="32"/>
      <c r="PLE40" s="32"/>
      <c r="PLF40" s="32"/>
      <c r="PLG40" s="32"/>
      <c r="PLH40" s="32"/>
      <c r="PLI40" s="32"/>
      <c r="PLJ40" s="32"/>
      <c r="PLK40" s="32"/>
      <c r="PLL40" s="32"/>
      <c r="PLM40" s="32"/>
      <c r="PLN40" s="32"/>
      <c r="PLO40" s="32"/>
      <c r="PLP40" s="32"/>
      <c r="PLQ40" s="32"/>
      <c r="PLR40" s="32"/>
      <c r="PLS40" s="32"/>
      <c r="PLT40" s="32"/>
      <c r="PLU40" s="32"/>
      <c r="PLV40" s="32"/>
      <c r="PLW40" s="32"/>
      <c r="PLX40" s="32"/>
      <c r="PLY40" s="32"/>
      <c r="PLZ40" s="32"/>
      <c r="PMA40" s="32"/>
      <c r="PMB40" s="32"/>
      <c r="PMC40" s="32"/>
      <c r="PMD40" s="32"/>
      <c r="PME40" s="32"/>
      <c r="PMF40" s="32"/>
      <c r="PMG40" s="32"/>
      <c r="PMH40" s="32"/>
      <c r="PMI40" s="32"/>
      <c r="PMJ40" s="32"/>
      <c r="PMK40" s="32"/>
      <c r="PML40" s="32"/>
      <c r="PMM40" s="32"/>
      <c r="PMN40" s="32"/>
      <c r="PMO40" s="32"/>
      <c r="PMP40" s="32"/>
      <c r="PMQ40" s="32"/>
      <c r="PMR40" s="32"/>
      <c r="PMS40" s="32"/>
      <c r="PMT40" s="32"/>
      <c r="PMU40" s="32"/>
      <c r="PMV40" s="32"/>
      <c r="PMW40" s="32"/>
      <c r="PMX40" s="32"/>
      <c r="PMY40" s="32"/>
      <c r="PMZ40" s="32"/>
      <c r="PNA40" s="32"/>
      <c r="PNB40" s="32"/>
      <c r="PNC40" s="32"/>
      <c r="PND40" s="32"/>
      <c r="PNE40" s="32"/>
      <c r="PNF40" s="32"/>
      <c r="PNG40" s="32"/>
      <c r="PNH40" s="32"/>
      <c r="PNI40" s="32"/>
      <c r="PNJ40" s="32"/>
      <c r="PNK40" s="32"/>
      <c r="PNL40" s="32"/>
      <c r="PNM40" s="32"/>
      <c r="PNN40" s="32"/>
      <c r="PNO40" s="32"/>
      <c r="PNP40" s="32"/>
      <c r="PNQ40" s="32"/>
      <c r="PNR40" s="32"/>
      <c r="PNS40" s="32"/>
      <c r="PNT40" s="32"/>
      <c r="PNU40" s="32"/>
      <c r="PNV40" s="32"/>
      <c r="PNW40" s="32"/>
      <c r="PNX40" s="32"/>
      <c r="PNY40" s="32"/>
      <c r="PNZ40" s="32"/>
      <c r="POA40" s="32"/>
      <c r="POB40" s="32"/>
      <c r="POC40" s="32"/>
      <c r="POD40" s="32"/>
      <c r="POE40" s="32"/>
      <c r="POF40" s="32"/>
      <c r="POG40" s="32"/>
      <c r="POH40" s="32"/>
      <c r="POI40" s="32"/>
      <c r="POJ40" s="32"/>
      <c r="POK40" s="32"/>
      <c r="POL40" s="32"/>
      <c r="POM40" s="32"/>
      <c r="PON40" s="32"/>
      <c r="POO40" s="32"/>
      <c r="POP40" s="32"/>
      <c r="POQ40" s="32"/>
      <c r="POR40" s="32"/>
      <c r="POS40" s="32"/>
      <c r="POT40" s="32"/>
      <c r="POU40" s="32"/>
      <c r="POV40" s="32"/>
      <c r="POW40" s="32"/>
      <c r="POX40" s="32"/>
      <c r="POY40" s="32"/>
      <c r="POZ40" s="32"/>
      <c r="PPA40" s="32"/>
      <c r="PPB40" s="32"/>
      <c r="PPC40" s="32"/>
      <c r="PPD40" s="32"/>
      <c r="PPE40" s="32"/>
      <c r="PPF40" s="32"/>
      <c r="PPG40" s="32"/>
      <c r="PPH40" s="32"/>
      <c r="PPI40" s="32"/>
      <c r="PPJ40" s="32"/>
      <c r="PPK40" s="32"/>
      <c r="PPL40" s="32"/>
      <c r="PPM40" s="32"/>
      <c r="PPN40" s="32"/>
      <c r="PPO40" s="32"/>
      <c r="PPP40" s="32"/>
      <c r="PPQ40" s="32"/>
      <c r="PPR40" s="32"/>
      <c r="PPS40" s="32"/>
      <c r="PPT40" s="32"/>
      <c r="PPU40" s="32"/>
      <c r="PPV40" s="32"/>
      <c r="PPW40" s="32"/>
      <c r="PPX40" s="32"/>
      <c r="PPY40" s="32"/>
      <c r="PPZ40" s="32"/>
      <c r="PQA40" s="32"/>
      <c r="PQB40" s="32"/>
      <c r="PQC40" s="32"/>
      <c r="PQD40" s="32"/>
      <c r="PQE40" s="32"/>
      <c r="PQF40" s="32"/>
      <c r="PQG40" s="32"/>
      <c r="PQH40" s="32"/>
      <c r="PQI40" s="32"/>
      <c r="PQJ40" s="32"/>
      <c r="PQK40" s="32"/>
      <c r="PQL40" s="32"/>
      <c r="PQM40" s="32"/>
      <c r="PQN40" s="32"/>
      <c r="PQO40" s="32"/>
      <c r="PQP40" s="32"/>
      <c r="PQQ40" s="32"/>
      <c r="PQR40" s="32"/>
      <c r="PQS40" s="32"/>
      <c r="PQT40" s="32"/>
      <c r="PQU40" s="32"/>
      <c r="PQV40" s="32"/>
      <c r="PQW40" s="32"/>
      <c r="PQX40" s="32"/>
      <c r="PQY40" s="32"/>
      <c r="PQZ40" s="32"/>
      <c r="PRA40" s="32"/>
      <c r="PRB40" s="32"/>
      <c r="PRC40" s="32"/>
      <c r="PRD40" s="32"/>
      <c r="PRE40" s="32"/>
      <c r="PRF40" s="32"/>
      <c r="PRG40" s="32"/>
      <c r="PRH40" s="32"/>
      <c r="PRI40" s="32"/>
      <c r="PRJ40" s="32"/>
      <c r="PRK40" s="32"/>
      <c r="PRL40" s="32"/>
      <c r="PRM40" s="32"/>
      <c r="PRN40" s="32"/>
      <c r="PRO40" s="32"/>
      <c r="PRP40" s="32"/>
      <c r="PRQ40" s="32"/>
      <c r="PRR40" s="32"/>
      <c r="PRS40" s="32"/>
      <c r="PRT40" s="32"/>
      <c r="PRU40" s="32"/>
      <c r="PRV40" s="32"/>
      <c r="PRW40" s="32"/>
      <c r="PRX40" s="32"/>
      <c r="PRY40" s="32"/>
      <c r="PRZ40" s="32"/>
      <c r="PSA40" s="32"/>
      <c r="PSB40" s="32"/>
      <c r="PSC40" s="32"/>
      <c r="PSD40" s="32"/>
      <c r="PSE40" s="32"/>
      <c r="PSF40" s="32"/>
      <c r="PSG40" s="32"/>
      <c r="PSH40" s="32"/>
      <c r="PSI40" s="32"/>
      <c r="PSJ40" s="32"/>
      <c r="PSK40" s="32"/>
      <c r="PSL40" s="32"/>
      <c r="PSM40" s="32"/>
      <c r="PSN40" s="32"/>
      <c r="PSO40" s="32"/>
      <c r="PSP40" s="32"/>
      <c r="PSQ40" s="32"/>
      <c r="PSR40" s="32"/>
      <c r="PSS40" s="32"/>
      <c r="PST40" s="32"/>
      <c r="PSU40" s="32"/>
      <c r="PSV40" s="32"/>
      <c r="PSW40" s="32"/>
      <c r="PSX40" s="32"/>
      <c r="PSY40" s="32"/>
      <c r="PSZ40" s="32"/>
      <c r="PTA40" s="32"/>
      <c r="PTB40" s="32"/>
      <c r="PTC40" s="32"/>
      <c r="PTD40" s="32"/>
      <c r="PTE40" s="32"/>
      <c r="PTF40" s="32"/>
      <c r="PTG40" s="32"/>
      <c r="PTH40" s="32"/>
      <c r="PTI40" s="32"/>
      <c r="PTJ40" s="32"/>
      <c r="PTK40" s="32"/>
      <c r="PTL40" s="32"/>
      <c r="PTM40" s="32"/>
      <c r="PTN40" s="32"/>
      <c r="PTO40" s="32"/>
      <c r="PTP40" s="32"/>
      <c r="PTQ40" s="32"/>
      <c r="PTR40" s="32"/>
      <c r="PTS40" s="32"/>
      <c r="PTT40" s="32"/>
      <c r="PTU40" s="32"/>
      <c r="PTV40" s="32"/>
      <c r="PTW40" s="32"/>
      <c r="PTX40" s="32"/>
      <c r="PTY40" s="32"/>
      <c r="PTZ40" s="32"/>
      <c r="PUA40" s="32"/>
      <c r="PUB40" s="32"/>
      <c r="PUC40" s="32"/>
      <c r="PUD40" s="32"/>
      <c r="PUE40" s="32"/>
      <c r="PUF40" s="32"/>
      <c r="PUG40" s="32"/>
      <c r="PUH40" s="32"/>
      <c r="PUI40" s="32"/>
      <c r="PUJ40" s="32"/>
      <c r="PUK40" s="32"/>
      <c r="PUL40" s="32"/>
      <c r="PUM40" s="32"/>
      <c r="PUN40" s="32"/>
      <c r="PUO40" s="32"/>
      <c r="PUP40" s="32"/>
      <c r="PUQ40" s="32"/>
      <c r="PUR40" s="32"/>
      <c r="PUS40" s="32"/>
      <c r="PUT40" s="32"/>
      <c r="PUU40" s="32"/>
      <c r="PUV40" s="32"/>
      <c r="PUW40" s="32"/>
      <c r="PUX40" s="32"/>
      <c r="PUY40" s="32"/>
      <c r="PUZ40" s="32"/>
      <c r="PVA40" s="32"/>
      <c r="PVB40" s="32"/>
      <c r="PVC40" s="32"/>
      <c r="PVD40" s="32"/>
      <c r="PVE40" s="32"/>
      <c r="PVF40" s="32"/>
      <c r="PVG40" s="32"/>
      <c r="PVH40" s="32"/>
      <c r="PVI40" s="32"/>
      <c r="PVJ40" s="32"/>
      <c r="PVK40" s="32"/>
      <c r="PVL40" s="32"/>
      <c r="PVM40" s="32"/>
      <c r="PVN40" s="32"/>
      <c r="PVO40" s="32"/>
      <c r="PVP40" s="32"/>
      <c r="PVQ40" s="32"/>
      <c r="PVR40" s="32"/>
      <c r="PVS40" s="32"/>
      <c r="PVT40" s="32"/>
      <c r="PVU40" s="32"/>
      <c r="PVV40" s="32"/>
      <c r="PVW40" s="32"/>
      <c r="PVX40" s="32"/>
      <c r="PVY40" s="32"/>
      <c r="PVZ40" s="32"/>
      <c r="PWA40" s="32"/>
      <c r="PWB40" s="32"/>
      <c r="PWC40" s="32"/>
      <c r="PWD40" s="32"/>
      <c r="PWE40" s="32"/>
      <c r="PWF40" s="32"/>
      <c r="PWG40" s="32"/>
      <c r="PWH40" s="32"/>
      <c r="PWI40" s="32"/>
      <c r="PWJ40" s="32"/>
      <c r="PWK40" s="32"/>
      <c r="PWL40" s="32"/>
      <c r="PWM40" s="32"/>
      <c r="PWN40" s="32"/>
      <c r="PWO40" s="32"/>
      <c r="PWP40" s="32"/>
      <c r="PWQ40" s="32"/>
      <c r="PWR40" s="32"/>
      <c r="PWS40" s="32"/>
      <c r="PWT40" s="32"/>
      <c r="PWU40" s="32"/>
      <c r="PWV40" s="32"/>
      <c r="PWW40" s="32"/>
      <c r="PWX40" s="32"/>
      <c r="PWY40" s="32"/>
      <c r="PWZ40" s="32"/>
      <c r="PXA40" s="32"/>
      <c r="PXB40" s="32"/>
      <c r="PXC40" s="32"/>
      <c r="PXD40" s="32"/>
      <c r="PXE40" s="32"/>
      <c r="PXF40" s="32"/>
      <c r="PXG40" s="32"/>
      <c r="PXH40" s="32"/>
      <c r="PXI40" s="32"/>
      <c r="PXJ40" s="32"/>
      <c r="PXK40" s="32"/>
      <c r="PXL40" s="32"/>
      <c r="PXM40" s="32"/>
      <c r="PXN40" s="32"/>
      <c r="PXO40" s="32"/>
      <c r="PXP40" s="32"/>
      <c r="PXQ40" s="32"/>
      <c r="PXR40" s="32"/>
      <c r="PXS40" s="32"/>
      <c r="PXT40" s="32"/>
      <c r="PXU40" s="32"/>
      <c r="PXV40" s="32"/>
      <c r="PXW40" s="32"/>
      <c r="PXX40" s="32"/>
      <c r="PXY40" s="32"/>
      <c r="PXZ40" s="32"/>
      <c r="PYA40" s="32"/>
      <c r="PYB40" s="32"/>
      <c r="PYC40" s="32"/>
      <c r="PYD40" s="32"/>
      <c r="PYE40" s="32"/>
      <c r="PYF40" s="32"/>
      <c r="PYG40" s="32"/>
      <c r="PYH40" s="32"/>
      <c r="PYI40" s="32"/>
      <c r="PYJ40" s="32"/>
      <c r="PYK40" s="32"/>
      <c r="PYL40" s="32"/>
      <c r="PYM40" s="32"/>
      <c r="PYN40" s="32"/>
      <c r="PYO40" s="32"/>
      <c r="PYP40" s="32"/>
      <c r="PYQ40" s="32"/>
      <c r="PYR40" s="32"/>
      <c r="PYS40" s="32"/>
      <c r="PYT40" s="32"/>
      <c r="PYU40" s="32"/>
      <c r="PYV40" s="32"/>
      <c r="PYW40" s="32"/>
      <c r="PYX40" s="32"/>
      <c r="PYY40" s="32"/>
      <c r="PYZ40" s="32"/>
      <c r="PZA40" s="32"/>
      <c r="PZB40" s="32"/>
      <c r="PZC40" s="32"/>
      <c r="PZD40" s="32"/>
      <c r="PZE40" s="32"/>
      <c r="PZF40" s="32"/>
      <c r="PZG40" s="32"/>
      <c r="PZH40" s="32"/>
      <c r="PZI40" s="32"/>
      <c r="PZJ40" s="32"/>
      <c r="PZK40" s="32"/>
      <c r="PZL40" s="32"/>
      <c r="PZM40" s="32"/>
      <c r="PZN40" s="32"/>
      <c r="PZO40" s="32"/>
      <c r="PZP40" s="32"/>
      <c r="PZQ40" s="32"/>
      <c r="PZR40" s="32"/>
      <c r="PZS40" s="32"/>
      <c r="PZT40" s="32"/>
      <c r="PZU40" s="32"/>
      <c r="PZV40" s="32"/>
      <c r="PZW40" s="32"/>
      <c r="PZX40" s="32"/>
      <c r="PZY40" s="32"/>
      <c r="PZZ40" s="32"/>
      <c r="QAA40" s="32"/>
      <c r="QAB40" s="32"/>
      <c r="QAC40" s="32"/>
      <c r="QAD40" s="32"/>
      <c r="QAE40" s="32"/>
      <c r="QAF40" s="32"/>
      <c r="QAG40" s="32"/>
      <c r="QAH40" s="32"/>
      <c r="QAI40" s="32"/>
      <c r="QAJ40" s="32"/>
      <c r="QAK40" s="32"/>
      <c r="QAL40" s="32"/>
      <c r="QAM40" s="32"/>
      <c r="QAN40" s="32"/>
      <c r="QAO40" s="32"/>
      <c r="QAP40" s="32"/>
      <c r="QAQ40" s="32"/>
      <c r="QAR40" s="32"/>
      <c r="QAS40" s="32"/>
      <c r="QAT40" s="32"/>
      <c r="QAU40" s="32"/>
      <c r="QAV40" s="32"/>
      <c r="QAW40" s="32"/>
      <c r="QAX40" s="32"/>
      <c r="QAY40" s="32"/>
      <c r="QAZ40" s="32"/>
      <c r="QBA40" s="32"/>
      <c r="QBB40" s="32"/>
      <c r="QBC40" s="32"/>
      <c r="QBD40" s="32"/>
      <c r="QBE40" s="32"/>
      <c r="QBF40" s="32"/>
      <c r="QBG40" s="32"/>
      <c r="QBH40" s="32"/>
      <c r="QBI40" s="32"/>
      <c r="QBJ40" s="32"/>
      <c r="QBK40" s="32"/>
      <c r="QBL40" s="32"/>
      <c r="QBM40" s="32"/>
      <c r="QBN40" s="32"/>
      <c r="QBO40" s="32"/>
      <c r="QBP40" s="32"/>
      <c r="QBQ40" s="32"/>
      <c r="QBR40" s="32"/>
      <c r="QBS40" s="32"/>
      <c r="QBT40" s="32"/>
      <c r="QBU40" s="32"/>
      <c r="QBV40" s="32"/>
      <c r="QBW40" s="32"/>
      <c r="QBX40" s="32"/>
      <c r="QBY40" s="32"/>
      <c r="QBZ40" s="32"/>
      <c r="QCA40" s="32"/>
      <c r="QCB40" s="32"/>
      <c r="QCC40" s="32"/>
      <c r="QCD40" s="32"/>
      <c r="QCE40" s="32"/>
      <c r="QCF40" s="32"/>
      <c r="QCG40" s="32"/>
      <c r="QCH40" s="32"/>
      <c r="QCI40" s="32"/>
      <c r="QCJ40" s="32"/>
      <c r="QCK40" s="32"/>
      <c r="QCL40" s="32"/>
      <c r="QCM40" s="32"/>
      <c r="QCN40" s="32"/>
      <c r="QCO40" s="32"/>
      <c r="QCP40" s="32"/>
      <c r="QCQ40" s="32"/>
      <c r="QCR40" s="32"/>
      <c r="QCS40" s="32"/>
      <c r="QCT40" s="32"/>
      <c r="QCU40" s="32"/>
      <c r="QCV40" s="32"/>
      <c r="QCW40" s="32"/>
      <c r="QCX40" s="32"/>
      <c r="QCY40" s="32"/>
      <c r="QCZ40" s="32"/>
      <c r="QDA40" s="32"/>
      <c r="QDB40" s="32"/>
      <c r="QDC40" s="32"/>
      <c r="QDD40" s="32"/>
      <c r="QDE40" s="32"/>
      <c r="QDF40" s="32"/>
      <c r="QDG40" s="32"/>
      <c r="QDH40" s="32"/>
      <c r="QDI40" s="32"/>
      <c r="QDJ40" s="32"/>
      <c r="QDK40" s="32"/>
      <c r="QDL40" s="32"/>
      <c r="QDM40" s="32"/>
      <c r="QDN40" s="32"/>
      <c r="QDO40" s="32"/>
      <c r="QDP40" s="32"/>
      <c r="QDQ40" s="32"/>
      <c r="QDR40" s="32"/>
      <c r="QDS40" s="32"/>
      <c r="QDT40" s="32"/>
      <c r="QDU40" s="32"/>
      <c r="QDV40" s="32"/>
      <c r="QDW40" s="32"/>
      <c r="QDX40" s="32"/>
      <c r="QDY40" s="32"/>
      <c r="QDZ40" s="32"/>
      <c r="QEA40" s="32"/>
      <c r="QEB40" s="32"/>
      <c r="QEC40" s="32"/>
      <c r="QED40" s="32"/>
      <c r="QEE40" s="32"/>
      <c r="QEF40" s="32"/>
      <c r="QEG40" s="32"/>
      <c r="QEH40" s="32"/>
      <c r="QEI40" s="32"/>
      <c r="QEJ40" s="32"/>
      <c r="QEK40" s="32"/>
      <c r="QEL40" s="32"/>
      <c r="QEM40" s="32"/>
      <c r="QEN40" s="32"/>
      <c r="QEO40" s="32"/>
      <c r="QEP40" s="32"/>
      <c r="QEQ40" s="32"/>
      <c r="QER40" s="32"/>
      <c r="QES40" s="32"/>
      <c r="QET40" s="32"/>
      <c r="QEU40" s="32"/>
      <c r="QEV40" s="32"/>
      <c r="QEW40" s="32"/>
      <c r="QEX40" s="32"/>
      <c r="QEY40" s="32"/>
      <c r="QEZ40" s="32"/>
      <c r="QFA40" s="32"/>
      <c r="QFB40" s="32"/>
      <c r="QFC40" s="32"/>
      <c r="QFD40" s="32"/>
      <c r="QFE40" s="32"/>
      <c r="QFF40" s="32"/>
      <c r="QFG40" s="32"/>
      <c r="QFH40" s="32"/>
      <c r="QFI40" s="32"/>
      <c r="QFJ40" s="32"/>
      <c r="QFK40" s="32"/>
      <c r="QFL40" s="32"/>
      <c r="QFM40" s="32"/>
      <c r="QFN40" s="32"/>
      <c r="QFO40" s="32"/>
      <c r="QFP40" s="32"/>
      <c r="QFQ40" s="32"/>
      <c r="QFR40" s="32"/>
      <c r="QFS40" s="32"/>
      <c r="QFT40" s="32"/>
      <c r="QFU40" s="32"/>
      <c r="QFV40" s="32"/>
      <c r="QFW40" s="32"/>
      <c r="QFX40" s="32"/>
      <c r="QFY40" s="32"/>
      <c r="QFZ40" s="32"/>
      <c r="QGA40" s="32"/>
      <c r="QGB40" s="32"/>
      <c r="QGC40" s="32"/>
      <c r="QGD40" s="32"/>
      <c r="QGE40" s="32"/>
      <c r="QGF40" s="32"/>
      <c r="QGG40" s="32"/>
      <c r="QGH40" s="32"/>
      <c r="QGI40" s="32"/>
      <c r="QGJ40" s="32"/>
      <c r="QGK40" s="32"/>
      <c r="QGL40" s="32"/>
      <c r="QGM40" s="32"/>
      <c r="QGN40" s="32"/>
      <c r="QGO40" s="32"/>
      <c r="QGP40" s="32"/>
      <c r="QGQ40" s="32"/>
      <c r="QGR40" s="32"/>
      <c r="QGS40" s="32"/>
      <c r="QGT40" s="32"/>
      <c r="QGU40" s="32"/>
      <c r="QGV40" s="32"/>
      <c r="QGW40" s="32"/>
      <c r="QGX40" s="32"/>
      <c r="QGY40" s="32"/>
      <c r="QGZ40" s="32"/>
      <c r="QHA40" s="32"/>
      <c r="QHB40" s="32"/>
      <c r="QHC40" s="32"/>
      <c r="QHD40" s="32"/>
      <c r="QHE40" s="32"/>
      <c r="QHF40" s="32"/>
      <c r="QHG40" s="32"/>
      <c r="QHH40" s="32"/>
      <c r="QHI40" s="32"/>
      <c r="QHJ40" s="32"/>
      <c r="QHK40" s="32"/>
      <c r="QHL40" s="32"/>
      <c r="QHM40" s="32"/>
      <c r="QHN40" s="32"/>
      <c r="QHO40" s="32"/>
      <c r="QHP40" s="32"/>
      <c r="QHQ40" s="32"/>
      <c r="QHR40" s="32"/>
      <c r="QHS40" s="32"/>
      <c r="QHT40" s="32"/>
      <c r="QHU40" s="32"/>
      <c r="QHV40" s="32"/>
      <c r="QHW40" s="32"/>
      <c r="QHX40" s="32"/>
      <c r="QHY40" s="32"/>
      <c r="QHZ40" s="32"/>
      <c r="QIA40" s="32"/>
      <c r="QIB40" s="32"/>
      <c r="QIC40" s="32"/>
      <c r="QID40" s="32"/>
      <c r="QIE40" s="32"/>
      <c r="QIF40" s="32"/>
      <c r="QIG40" s="32"/>
      <c r="QIH40" s="32"/>
      <c r="QII40" s="32"/>
      <c r="QIJ40" s="32"/>
      <c r="QIK40" s="32"/>
      <c r="QIL40" s="32"/>
      <c r="QIM40" s="32"/>
      <c r="QIN40" s="32"/>
      <c r="QIO40" s="32"/>
      <c r="QIP40" s="32"/>
      <c r="QIQ40" s="32"/>
      <c r="QIR40" s="32"/>
      <c r="QIS40" s="32"/>
      <c r="QIT40" s="32"/>
      <c r="QIU40" s="32"/>
      <c r="QIV40" s="32"/>
      <c r="QIW40" s="32"/>
      <c r="QIX40" s="32"/>
      <c r="QIY40" s="32"/>
      <c r="QIZ40" s="32"/>
      <c r="QJA40" s="32"/>
      <c r="QJB40" s="32"/>
      <c r="QJC40" s="32"/>
      <c r="QJD40" s="32"/>
      <c r="QJE40" s="32"/>
      <c r="QJF40" s="32"/>
      <c r="QJG40" s="32"/>
      <c r="QJH40" s="32"/>
      <c r="QJI40" s="32"/>
      <c r="QJJ40" s="32"/>
      <c r="QJK40" s="32"/>
      <c r="QJL40" s="32"/>
      <c r="QJM40" s="32"/>
      <c r="QJN40" s="32"/>
      <c r="QJO40" s="32"/>
      <c r="QJP40" s="32"/>
      <c r="QJQ40" s="32"/>
      <c r="QJR40" s="32"/>
      <c r="QJS40" s="32"/>
      <c r="QJT40" s="32"/>
      <c r="QJU40" s="32"/>
      <c r="QJV40" s="32"/>
      <c r="QJW40" s="32"/>
      <c r="QJX40" s="32"/>
      <c r="QJY40" s="32"/>
      <c r="QJZ40" s="32"/>
      <c r="QKA40" s="32"/>
      <c r="QKB40" s="32"/>
      <c r="QKC40" s="32"/>
      <c r="QKD40" s="32"/>
      <c r="QKE40" s="32"/>
      <c r="QKF40" s="32"/>
      <c r="QKG40" s="32"/>
      <c r="QKH40" s="32"/>
      <c r="QKI40" s="32"/>
      <c r="QKJ40" s="32"/>
      <c r="QKK40" s="32"/>
      <c r="QKL40" s="32"/>
      <c r="QKM40" s="32"/>
      <c r="QKN40" s="32"/>
      <c r="QKO40" s="32"/>
      <c r="QKP40" s="32"/>
      <c r="QKQ40" s="32"/>
      <c r="QKR40" s="32"/>
      <c r="QKS40" s="32"/>
      <c r="QKT40" s="32"/>
      <c r="QKU40" s="32"/>
      <c r="QKV40" s="32"/>
      <c r="QKW40" s="32"/>
      <c r="QKX40" s="32"/>
      <c r="QKY40" s="32"/>
      <c r="QKZ40" s="32"/>
      <c r="QLA40" s="32"/>
      <c r="QLB40" s="32"/>
      <c r="QLC40" s="32"/>
      <c r="QLD40" s="32"/>
      <c r="QLE40" s="32"/>
      <c r="QLF40" s="32"/>
      <c r="QLG40" s="32"/>
      <c r="QLH40" s="32"/>
      <c r="QLI40" s="32"/>
      <c r="QLJ40" s="32"/>
      <c r="QLK40" s="32"/>
      <c r="QLL40" s="32"/>
      <c r="QLM40" s="32"/>
      <c r="QLN40" s="32"/>
      <c r="QLO40" s="32"/>
      <c r="QLP40" s="32"/>
      <c r="QLQ40" s="32"/>
      <c r="QLR40" s="32"/>
      <c r="QLS40" s="32"/>
      <c r="QLT40" s="32"/>
      <c r="QLU40" s="32"/>
      <c r="QLV40" s="32"/>
      <c r="QLW40" s="32"/>
      <c r="QLX40" s="32"/>
      <c r="QLY40" s="32"/>
      <c r="QLZ40" s="32"/>
      <c r="QMA40" s="32"/>
      <c r="QMB40" s="32"/>
      <c r="QMC40" s="32"/>
      <c r="QMD40" s="32"/>
      <c r="QME40" s="32"/>
      <c r="QMF40" s="32"/>
      <c r="QMG40" s="32"/>
      <c r="QMH40" s="32"/>
      <c r="QMI40" s="32"/>
      <c r="QMJ40" s="32"/>
      <c r="QMK40" s="32"/>
      <c r="QML40" s="32"/>
      <c r="QMM40" s="32"/>
      <c r="QMN40" s="32"/>
      <c r="QMO40" s="32"/>
      <c r="QMP40" s="32"/>
      <c r="QMQ40" s="32"/>
      <c r="QMR40" s="32"/>
      <c r="QMS40" s="32"/>
      <c r="QMT40" s="32"/>
      <c r="QMU40" s="32"/>
      <c r="QMV40" s="32"/>
      <c r="QMW40" s="32"/>
      <c r="QMX40" s="32"/>
      <c r="QMY40" s="32"/>
      <c r="QMZ40" s="32"/>
      <c r="QNA40" s="32"/>
      <c r="QNB40" s="32"/>
      <c r="QNC40" s="32"/>
      <c r="QND40" s="32"/>
      <c r="QNE40" s="32"/>
      <c r="QNF40" s="32"/>
      <c r="QNG40" s="32"/>
      <c r="QNH40" s="32"/>
      <c r="QNI40" s="32"/>
      <c r="QNJ40" s="32"/>
      <c r="QNK40" s="32"/>
      <c r="QNL40" s="32"/>
      <c r="QNM40" s="32"/>
      <c r="QNN40" s="32"/>
      <c r="QNO40" s="32"/>
      <c r="QNP40" s="32"/>
      <c r="QNQ40" s="32"/>
      <c r="QNR40" s="32"/>
      <c r="QNS40" s="32"/>
      <c r="QNT40" s="32"/>
      <c r="QNU40" s="32"/>
      <c r="QNV40" s="32"/>
      <c r="QNW40" s="32"/>
      <c r="QNX40" s="32"/>
      <c r="QNY40" s="32"/>
      <c r="QNZ40" s="32"/>
      <c r="QOA40" s="32"/>
      <c r="QOB40" s="32"/>
      <c r="QOC40" s="32"/>
      <c r="QOD40" s="32"/>
      <c r="QOE40" s="32"/>
      <c r="QOF40" s="32"/>
      <c r="QOG40" s="32"/>
      <c r="QOH40" s="32"/>
      <c r="QOI40" s="32"/>
      <c r="QOJ40" s="32"/>
      <c r="QOK40" s="32"/>
      <c r="QOL40" s="32"/>
      <c r="QOM40" s="32"/>
      <c r="QON40" s="32"/>
      <c r="QOO40" s="32"/>
      <c r="QOP40" s="32"/>
      <c r="QOQ40" s="32"/>
      <c r="QOR40" s="32"/>
      <c r="QOS40" s="32"/>
      <c r="QOT40" s="32"/>
      <c r="QOU40" s="32"/>
      <c r="QOV40" s="32"/>
      <c r="QOW40" s="32"/>
      <c r="QOX40" s="32"/>
      <c r="QOY40" s="32"/>
      <c r="QOZ40" s="32"/>
      <c r="QPA40" s="32"/>
      <c r="QPB40" s="32"/>
      <c r="QPC40" s="32"/>
      <c r="QPD40" s="32"/>
      <c r="QPE40" s="32"/>
      <c r="QPF40" s="32"/>
      <c r="QPG40" s="32"/>
      <c r="QPH40" s="32"/>
      <c r="QPI40" s="32"/>
      <c r="QPJ40" s="32"/>
      <c r="QPK40" s="32"/>
      <c r="QPL40" s="32"/>
      <c r="QPM40" s="32"/>
      <c r="QPN40" s="32"/>
      <c r="QPO40" s="32"/>
      <c r="QPP40" s="32"/>
      <c r="QPQ40" s="32"/>
      <c r="QPR40" s="32"/>
      <c r="QPS40" s="32"/>
      <c r="QPT40" s="32"/>
      <c r="QPU40" s="32"/>
      <c r="QPV40" s="32"/>
      <c r="QPW40" s="32"/>
      <c r="QPX40" s="32"/>
      <c r="QPY40" s="32"/>
      <c r="QPZ40" s="32"/>
      <c r="QQA40" s="32"/>
      <c r="QQB40" s="32"/>
      <c r="QQC40" s="32"/>
      <c r="QQD40" s="32"/>
      <c r="QQE40" s="32"/>
      <c r="QQF40" s="32"/>
      <c r="QQG40" s="32"/>
      <c r="QQH40" s="32"/>
      <c r="QQI40" s="32"/>
      <c r="QQJ40" s="32"/>
      <c r="QQK40" s="32"/>
      <c r="QQL40" s="32"/>
      <c r="QQM40" s="32"/>
      <c r="QQN40" s="32"/>
      <c r="QQO40" s="32"/>
      <c r="QQP40" s="32"/>
      <c r="QQQ40" s="32"/>
      <c r="QQR40" s="32"/>
      <c r="QQS40" s="32"/>
      <c r="QQT40" s="32"/>
      <c r="QQU40" s="32"/>
      <c r="QQV40" s="32"/>
      <c r="QQW40" s="32"/>
      <c r="QQX40" s="32"/>
      <c r="QQY40" s="32"/>
      <c r="QQZ40" s="32"/>
      <c r="QRA40" s="32"/>
      <c r="QRB40" s="32"/>
      <c r="QRC40" s="32"/>
      <c r="QRD40" s="32"/>
      <c r="QRE40" s="32"/>
      <c r="QRF40" s="32"/>
      <c r="QRG40" s="32"/>
      <c r="QRH40" s="32"/>
      <c r="QRI40" s="32"/>
      <c r="QRJ40" s="32"/>
      <c r="QRK40" s="32"/>
      <c r="QRL40" s="32"/>
      <c r="QRM40" s="32"/>
      <c r="QRN40" s="32"/>
      <c r="QRO40" s="32"/>
      <c r="QRP40" s="32"/>
      <c r="QRQ40" s="32"/>
      <c r="QRR40" s="32"/>
      <c r="QRS40" s="32"/>
      <c r="QRT40" s="32"/>
      <c r="QRU40" s="32"/>
      <c r="QRV40" s="32"/>
      <c r="QRW40" s="32"/>
      <c r="QRX40" s="32"/>
      <c r="QRY40" s="32"/>
      <c r="QRZ40" s="32"/>
      <c r="QSA40" s="32"/>
      <c r="QSB40" s="32"/>
      <c r="QSC40" s="32"/>
      <c r="QSD40" s="32"/>
      <c r="QSE40" s="32"/>
      <c r="QSF40" s="32"/>
      <c r="QSG40" s="32"/>
      <c r="QSH40" s="32"/>
      <c r="QSI40" s="32"/>
      <c r="QSJ40" s="32"/>
      <c r="QSK40" s="32"/>
      <c r="QSL40" s="32"/>
      <c r="QSM40" s="32"/>
      <c r="QSN40" s="32"/>
      <c r="QSO40" s="32"/>
      <c r="QSP40" s="32"/>
      <c r="QSQ40" s="32"/>
      <c r="QSR40" s="32"/>
      <c r="QSS40" s="32"/>
      <c r="QST40" s="32"/>
      <c r="QSU40" s="32"/>
      <c r="QSV40" s="32"/>
      <c r="QSW40" s="32"/>
      <c r="QSX40" s="32"/>
      <c r="QSY40" s="32"/>
      <c r="QSZ40" s="32"/>
      <c r="QTA40" s="32"/>
      <c r="QTB40" s="32"/>
      <c r="QTC40" s="32"/>
      <c r="QTD40" s="32"/>
      <c r="QTE40" s="32"/>
      <c r="QTF40" s="32"/>
      <c r="QTG40" s="32"/>
      <c r="QTH40" s="32"/>
      <c r="QTI40" s="32"/>
      <c r="QTJ40" s="32"/>
      <c r="QTK40" s="32"/>
      <c r="QTL40" s="32"/>
      <c r="QTM40" s="32"/>
      <c r="QTN40" s="32"/>
      <c r="QTO40" s="32"/>
      <c r="QTP40" s="32"/>
      <c r="QTQ40" s="32"/>
      <c r="QTR40" s="32"/>
      <c r="QTS40" s="32"/>
      <c r="QTT40" s="32"/>
      <c r="QTU40" s="32"/>
      <c r="QTV40" s="32"/>
      <c r="QTW40" s="32"/>
      <c r="QTX40" s="32"/>
      <c r="QTY40" s="32"/>
      <c r="QTZ40" s="32"/>
      <c r="QUA40" s="32"/>
      <c r="QUB40" s="32"/>
      <c r="QUC40" s="32"/>
      <c r="QUD40" s="32"/>
      <c r="QUE40" s="32"/>
      <c r="QUF40" s="32"/>
      <c r="QUG40" s="32"/>
      <c r="QUH40" s="32"/>
      <c r="QUI40" s="32"/>
      <c r="QUJ40" s="32"/>
      <c r="QUK40" s="32"/>
      <c r="QUL40" s="32"/>
      <c r="QUM40" s="32"/>
      <c r="QUN40" s="32"/>
      <c r="QUO40" s="32"/>
      <c r="QUP40" s="32"/>
      <c r="QUQ40" s="32"/>
      <c r="QUR40" s="32"/>
      <c r="QUS40" s="32"/>
      <c r="QUT40" s="32"/>
      <c r="QUU40" s="32"/>
      <c r="QUV40" s="32"/>
      <c r="QUW40" s="32"/>
      <c r="QUX40" s="32"/>
      <c r="QUY40" s="32"/>
      <c r="QUZ40" s="32"/>
      <c r="QVA40" s="32"/>
      <c r="QVB40" s="32"/>
      <c r="QVC40" s="32"/>
      <c r="QVD40" s="32"/>
      <c r="QVE40" s="32"/>
      <c r="QVF40" s="32"/>
      <c r="QVG40" s="32"/>
      <c r="QVH40" s="32"/>
      <c r="QVI40" s="32"/>
      <c r="QVJ40" s="32"/>
      <c r="QVK40" s="32"/>
      <c r="QVL40" s="32"/>
      <c r="QVM40" s="32"/>
      <c r="QVN40" s="32"/>
      <c r="QVO40" s="32"/>
      <c r="QVP40" s="32"/>
      <c r="QVQ40" s="32"/>
      <c r="QVR40" s="32"/>
      <c r="QVS40" s="32"/>
      <c r="QVT40" s="32"/>
      <c r="QVU40" s="32"/>
      <c r="QVV40" s="32"/>
      <c r="QVW40" s="32"/>
      <c r="QVX40" s="32"/>
      <c r="QVY40" s="32"/>
      <c r="QVZ40" s="32"/>
      <c r="QWA40" s="32"/>
      <c r="QWB40" s="32"/>
      <c r="QWC40" s="32"/>
      <c r="QWD40" s="32"/>
      <c r="QWE40" s="32"/>
      <c r="QWF40" s="32"/>
      <c r="QWG40" s="32"/>
      <c r="QWH40" s="32"/>
      <c r="QWI40" s="32"/>
      <c r="QWJ40" s="32"/>
      <c r="QWK40" s="32"/>
      <c r="QWL40" s="32"/>
      <c r="QWM40" s="32"/>
      <c r="QWN40" s="32"/>
      <c r="QWO40" s="32"/>
      <c r="QWP40" s="32"/>
      <c r="QWQ40" s="32"/>
      <c r="QWR40" s="32"/>
      <c r="QWS40" s="32"/>
      <c r="QWT40" s="32"/>
      <c r="QWU40" s="32"/>
      <c r="QWV40" s="32"/>
      <c r="QWW40" s="32"/>
      <c r="QWX40" s="32"/>
      <c r="QWY40" s="32"/>
      <c r="QWZ40" s="32"/>
      <c r="QXA40" s="32"/>
      <c r="QXB40" s="32"/>
      <c r="QXC40" s="32"/>
      <c r="QXD40" s="32"/>
      <c r="QXE40" s="32"/>
      <c r="QXF40" s="32"/>
      <c r="QXG40" s="32"/>
      <c r="QXH40" s="32"/>
      <c r="QXI40" s="32"/>
      <c r="QXJ40" s="32"/>
      <c r="QXK40" s="32"/>
      <c r="QXL40" s="32"/>
      <c r="QXM40" s="32"/>
      <c r="QXN40" s="32"/>
      <c r="QXO40" s="32"/>
      <c r="QXP40" s="32"/>
      <c r="QXQ40" s="32"/>
      <c r="QXR40" s="32"/>
      <c r="QXS40" s="32"/>
      <c r="QXT40" s="32"/>
      <c r="QXU40" s="32"/>
      <c r="QXV40" s="32"/>
      <c r="QXW40" s="32"/>
      <c r="QXX40" s="32"/>
      <c r="QXY40" s="32"/>
      <c r="QXZ40" s="32"/>
      <c r="QYA40" s="32"/>
      <c r="QYB40" s="32"/>
      <c r="QYC40" s="32"/>
      <c r="QYD40" s="32"/>
      <c r="QYE40" s="32"/>
      <c r="QYF40" s="32"/>
      <c r="QYG40" s="32"/>
      <c r="QYH40" s="32"/>
      <c r="QYI40" s="32"/>
      <c r="QYJ40" s="32"/>
      <c r="QYK40" s="32"/>
      <c r="QYL40" s="32"/>
      <c r="QYM40" s="32"/>
      <c r="QYN40" s="32"/>
      <c r="QYO40" s="32"/>
      <c r="QYP40" s="32"/>
      <c r="QYQ40" s="32"/>
      <c r="QYR40" s="32"/>
      <c r="QYS40" s="32"/>
      <c r="QYT40" s="32"/>
      <c r="QYU40" s="32"/>
      <c r="QYV40" s="32"/>
      <c r="QYW40" s="32"/>
      <c r="QYX40" s="32"/>
      <c r="QYY40" s="32"/>
      <c r="QYZ40" s="32"/>
      <c r="QZA40" s="32"/>
      <c r="QZB40" s="32"/>
      <c r="QZC40" s="32"/>
      <c r="QZD40" s="32"/>
      <c r="QZE40" s="32"/>
      <c r="QZF40" s="32"/>
      <c r="QZG40" s="32"/>
      <c r="QZH40" s="32"/>
      <c r="QZI40" s="32"/>
      <c r="QZJ40" s="32"/>
      <c r="QZK40" s="32"/>
      <c r="QZL40" s="32"/>
      <c r="QZM40" s="32"/>
      <c r="QZN40" s="32"/>
      <c r="QZO40" s="32"/>
      <c r="QZP40" s="32"/>
      <c r="QZQ40" s="32"/>
      <c r="QZR40" s="32"/>
      <c r="QZS40" s="32"/>
      <c r="QZT40" s="32"/>
      <c r="QZU40" s="32"/>
      <c r="QZV40" s="32"/>
      <c r="QZW40" s="32"/>
      <c r="QZX40" s="32"/>
      <c r="QZY40" s="32"/>
      <c r="QZZ40" s="32"/>
      <c r="RAA40" s="32"/>
      <c r="RAB40" s="32"/>
      <c r="RAC40" s="32"/>
      <c r="RAD40" s="32"/>
      <c r="RAE40" s="32"/>
      <c r="RAF40" s="32"/>
      <c r="RAG40" s="32"/>
      <c r="RAH40" s="32"/>
      <c r="RAI40" s="32"/>
      <c r="RAJ40" s="32"/>
      <c r="RAK40" s="32"/>
      <c r="RAL40" s="32"/>
      <c r="RAM40" s="32"/>
      <c r="RAN40" s="32"/>
      <c r="RAO40" s="32"/>
      <c r="RAP40" s="32"/>
      <c r="RAQ40" s="32"/>
      <c r="RAR40" s="32"/>
      <c r="RAS40" s="32"/>
      <c r="RAT40" s="32"/>
      <c r="RAU40" s="32"/>
      <c r="RAV40" s="32"/>
      <c r="RAW40" s="32"/>
      <c r="RAX40" s="32"/>
      <c r="RAY40" s="32"/>
      <c r="RAZ40" s="32"/>
      <c r="RBA40" s="32"/>
      <c r="RBB40" s="32"/>
      <c r="RBC40" s="32"/>
      <c r="RBD40" s="32"/>
      <c r="RBE40" s="32"/>
      <c r="RBF40" s="32"/>
      <c r="RBG40" s="32"/>
      <c r="RBH40" s="32"/>
      <c r="RBI40" s="32"/>
      <c r="RBJ40" s="32"/>
      <c r="RBK40" s="32"/>
      <c r="RBL40" s="32"/>
      <c r="RBM40" s="32"/>
      <c r="RBN40" s="32"/>
      <c r="RBO40" s="32"/>
      <c r="RBP40" s="32"/>
      <c r="RBQ40" s="32"/>
      <c r="RBR40" s="32"/>
      <c r="RBS40" s="32"/>
      <c r="RBT40" s="32"/>
      <c r="RBU40" s="32"/>
      <c r="RBV40" s="32"/>
      <c r="RBW40" s="32"/>
      <c r="RBX40" s="32"/>
      <c r="RBY40" s="32"/>
      <c r="RBZ40" s="32"/>
      <c r="RCA40" s="32"/>
      <c r="RCB40" s="32"/>
      <c r="RCC40" s="32"/>
      <c r="RCD40" s="32"/>
      <c r="RCE40" s="32"/>
      <c r="RCF40" s="32"/>
      <c r="RCG40" s="32"/>
      <c r="RCH40" s="32"/>
      <c r="RCI40" s="32"/>
      <c r="RCJ40" s="32"/>
      <c r="RCK40" s="32"/>
      <c r="RCL40" s="32"/>
      <c r="RCM40" s="32"/>
      <c r="RCN40" s="32"/>
      <c r="RCO40" s="32"/>
      <c r="RCP40" s="32"/>
      <c r="RCQ40" s="32"/>
      <c r="RCR40" s="32"/>
      <c r="RCS40" s="32"/>
      <c r="RCT40" s="32"/>
      <c r="RCU40" s="32"/>
      <c r="RCV40" s="32"/>
      <c r="RCW40" s="32"/>
      <c r="RCX40" s="32"/>
      <c r="RCY40" s="32"/>
      <c r="RCZ40" s="32"/>
      <c r="RDA40" s="32"/>
      <c r="RDB40" s="32"/>
      <c r="RDC40" s="32"/>
      <c r="RDD40" s="32"/>
      <c r="RDE40" s="32"/>
      <c r="RDF40" s="32"/>
      <c r="RDG40" s="32"/>
      <c r="RDH40" s="32"/>
      <c r="RDI40" s="32"/>
      <c r="RDJ40" s="32"/>
      <c r="RDK40" s="32"/>
      <c r="RDL40" s="32"/>
      <c r="RDM40" s="32"/>
      <c r="RDN40" s="32"/>
      <c r="RDO40" s="32"/>
      <c r="RDP40" s="32"/>
      <c r="RDQ40" s="32"/>
      <c r="RDR40" s="32"/>
      <c r="RDS40" s="32"/>
      <c r="RDT40" s="32"/>
      <c r="RDU40" s="32"/>
      <c r="RDV40" s="32"/>
      <c r="RDW40" s="32"/>
      <c r="RDX40" s="32"/>
      <c r="RDY40" s="32"/>
      <c r="RDZ40" s="32"/>
      <c r="REA40" s="32"/>
      <c r="REB40" s="32"/>
      <c r="REC40" s="32"/>
      <c r="RED40" s="32"/>
      <c r="REE40" s="32"/>
      <c r="REF40" s="32"/>
      <c r="REG40" s="32"/>
      <c r="REH40" s="32"/>
      <c r="REI40" s="32"/>
      <c r="REJ40" s="32"/>
      <c r="REK40" s="32"/>
      <c r="REL40" s="32"/>
      <c r="REM40" s="32"/>
      <c r="REN40" s="32"/>
      <c r="REO40" s="32"/>
      <c r="REP40" s="32"/>
      <c r="REQ40" s="32"/>
      <c r="RER40" s="32"/>
      <c r="RES40" s="32"/>
      <c r="RET40" s="32"/>
      <c r="REU40" s="32"/>
      <c r="REV40" s="32"/>
      <c r="REW40" s="32"/>
      <c r="REX40" s="32"/>
      <c r="REY40" s="32"/>
      <c r="REZ40" s="32"/>
      <c r="RFA40" s="32"/>
      <c r="RFB40" s="32"/>
      <c r="RFC40" s="32"/>
      <c r="RFD40" s="32"/>
      <c r="RFE40" s="32"/>
      <c r="RFF40" s="32"/>
      <c r="RFG40" s="32"/>
      <c r="RFH40" s="32"/>
      <c r="RFI40" s="32"/>
      <c r="RFJ40" s="32"/>
      <c r="RFK40" s="32"/>
      <c r="RFL40" s="32"/>
      <c r="RFM40" s="32"/>
      <c r="RFN40" s="32"/>
      <c r="RFO40" s="32"/>
      <c r="RFP40" s="32"/>
      <c r="RFQ40" s="32"/>
      <c r="RFR40" s="32"/>
      <c r="RFS40" s="32"/>
      <c r="RFT40" s="32"/>
      <c r="RFU40" s="32"/>
      <c r="RFV40" s="32"/>
      <c r="RFW40" s="32"/>
      <c r="RFX40" s="32"/>
      <c r="RFY40" s="32"/>
      <c r="RFZ40" s="32"/>
      <c r="RGA40" s="32"/>
      <c r="RGB40" s="32"/>
      <c r="RGC40" s="32"/>
      <c r="RGD40" s="32"/>
      <c r="RGE40" s="32"/>
      <c r="RGF40" s="32"/>
      <c r="RGG40" s="32"/>
      <c r="RGH40" s="32"/>
      <c r="RGI40" s="32"/>
      <c r="RGJ40" s="32"/>
      <c r="RGK40" s="32"/>
      <c r="RGL40" s="32"/>
      <c r="RGM40" s="32"/>
      <c r="RGN40" s="32"/>
      <c r="RGO40" s="32"/>
      <c r="RGP40" s="32"/>
      <c r="RGQ40" s="32"/>
      <c r="RGR40" s="32"/>
      <c r="RGS40" s="32"/>
      <c r="RGT40" s="32"/>
      <c r="RGU40" s="32"/>
      <c r="RGV40" s="32"/>
      <c r="RGW40" s="32"/>
      <c r="RGX40" s="32"/>
      <c r="RGY40" s="32"/>
      <c r="RGZ40" s="32"/>
      <c r="RHA40" s="32"/>
      <c r="RHB40" s="32"/>
      <c r="RHC40" s="32"/>
      <c r="RHD40" s="32"/>
      <c r="RHE40" s="32"/>
      <c r="RHF40" s="32"/>
      <c r="RHG40" s="32"/>
      <c r="RHH40" s="32"/>
      <c r="RHI40" s="32"/>
      <c r="RHJ40" s="32"/>
      <c r="RHK40" s="32"/>
      <c r="RHL40" s="32"/>
      <c r="RHM40" s="32"/>
      <c r="RHN40" s="32"/>
      <c r="RHO40" s="32"/>
      <c r="RHP40" s="32"/>
      <c r="RHQ40" s="32"/>
      <c r="RHR40" s="32"/>
      <c r="RHS40" s="32"/>
      <c r="RHT40" s="32"/>
      <c r="RHU40" s="32"/>
      <c r="RHV40" s="32"/>
      <c r="RHW40" s="32"/>
      <c r="RHX40" s="32"/>
      <c r="RHY40" s="32"/>
      <c r="RHZ40" s="32"/>
      <c r="RIA40" s="32"/>
      <c r="RIB40" s="32"/>
      <c r="RIC40" s="32"/>
      <c r="RID40" s="32"/>
      <c r="RIE40" s="32"/>
      <c r="RIF40" s="32"/>
      <c r="RIG40" s="32"/>
      <c r="RIH40" s="32"/>
      <c r="RII40" s="32"/>
      <c r="RIJ40" s="32"/>
      <c r="RIK40" s="32"/>
      <c r="RIL40" s="32"/>
      <c r="RIM40" s="32"/>
      <c r="RIN40" s="32"/>
      <c r="RIO40" s="32"/>
      <c r="RIP40" s="32"/>
      <c r="RIQ40" s="32"/>
      <c r="RIR40" s="32"/>
      <c r="RIS40" s="32"/>
      <c r="RIT40" s="32"/>
      <c r="RIU40" s="32"/>
      <c r="RIV40" s="32"/>
      <c r="RIW40" s="32"/>
      <c r="RIX40" s="32"/>
      <c r="RIY40" s="32"/>
      <c r="RIZ40" s="32"/>
      <c r="RJA40" s="32"/>
      <c r="RJB40" s="32"/>
      <c r="RJC40" s="32"/>
      <c r="RJD40" s="32"/>
      <c r="RJE40" s="32"/>
      <c r="RJF40" s="32"/>
      <c r="RJG40" s="32"/>
      <c r="RJH40" s="32"/>
      <c r="RJI40" s="32"/>
      <c r="RJJ40" s="32"/>
      <c r="RJK40" s="32"/>
      <c r="RJL40" s="32"/>
      <c r="RJM40" s="32"/>
      <c r="RJN40" s="32"/>
      <c r="RJO40" s="32"/>
      <c r="RJP40" s="32"/>
      <c r="RJQ40" s="32"/>
      <c r="RJR40" s="32"/>
      <c r="RJS40" s="32"/>
      <c r="RJT40" s="32"/>
      <c r="RJU40" s="32"/>
      <c r="RJV40" s="32"/>
      <c r="RJW40" s="32"/>
      <c r="RJX40" s="32"/>
      <c r="RJY40" s="32"/>
      <c r="RJZ40" s="32"/>
      <c r="RKA40" s="32"/>
      <c r="RKB40" s="32"/>
      <c r="RKC40" s="32"/>
      <c r="RKD40" s="32"/>
      <c r="RKE40" s="32"/>
      <c r="RKF40" s="32"/>
      <c r="RKG40" s="32"/>
      <c r="RKH40" s="32"/>
      <c r="RKI40" s="32"/>
      <c r="RKJ40" s="32"/>
      <c r="RKK40" s="32"/>
      <c r="RKL40" s="32"/>
      <c r="RKM40" s="32"/>
      <c r="RKN40" s="32"/>
      <c r="RKO40" s="32"/>
      <c r="RKP40" s="32"/>
      <c r="RKQ40" s="32"/>
      <c r="RKR40" s="32"/>
      <c r="RKS40" s="32"/>
      <c r="RKT40" s="32"/>
      <c r="RKU40" s="32"/>
      <c r="RKV40" s="32"/>
      <c r="RKW40" s="32"/>
      <c r="RKX40" s="32"/>
      <c r="RKY40" s="32"/>
      <c r="RKZ40" s="32"/>
      <c r="RLA40" s="32"/>
      <c r="RLB40" s="32"/>
      <c r="RLC40" s="32"/>
      <c r="RLD40" s="32"/>
      <c r="RLE40" s="32"/>
      <c r="RLF40" s="32"/>
      <c r="RLG40" s="32"/>
      <c r="RLH40" s="32"/>
      <c r="RLI40" s="32"/>
      <c r="RLJ40" s="32"/>
      <c r="RLK40" s="32"/>
      <c r="RLL40" s="32"/>
      <c r="RLM40" s="32"/>
      <c r="RLN40" s="32"/>
      <c r="RLO40" s="32"/>
      <c r="RLP40" s="32"/>
      <c r="RLQ40" s="32"/>
      <c r="RLR40" s="32"/>
      <c r="RLS40" s="32"/>
      <c r="RLT40" s="32"/>
      <c r="RLU40" s="32"/>
      <c r="RLV40" s="32"/>
      <c r="RLW40" s="32"/>
      <c r="RLX40" s="32"/>
      <c r="RLY40" s="32"/>
      <c r="RLZ40" s="32"/>
      <c r="RMA40" s="32"/>
      <c r="RMB40" s="32"/>
      <c r="RMC40" s="32"/>
      <c r="RMD40" s="32"/>
      <c r="RME40" s="32"/>
      <c r="RMF40" s="32"/>
      <c r="RMG40" s="32"/>
      <c r="RMH40" s="32"/>
      <c r="RMI40" s="32"/>
      <c r="RMJ40" s="32"/>
      <c r="RMK40" s="32"/>
      <c r="RML40" s="32"/>
      <c r="RMM40" s="32"/>
      <c r="RMN40" s="32"/>
      <c r="RMO40" s="32"/>
      <c r="RMP40" s="32"/>
      <c r="RMQ40" s="32"/>
      <c r="RMR40" s="32"/>
      <c r="RMS40" s="32"/>
      <c r="RMT40" s="32"/>
      <c r="RMU40" s="32"/>
      <c r="RMV40" s="32"/>
      <c r="RMW40" s="32"/>
      <c r="RMX40" s="32"/>
      <c r="RMY40" s="32"/>
      <c r="RMZ40" s="32"/>
      <c r="RNA40" s="32"/>
      <c r="RNB40" s="32"/>
      <c r="RNC40" s="32"/>
      <c r="RND40" s="32"/>
      <c r="RNE40" s="32"/>
      <c r="RNF40" s="32"/>
      <c r="RNG40" s="32"/>
      <c r="RNH40" s="32"/>
      <c r="RNI40" s="32"/>
      <c r="RNJ40" s="32"/>
      <c r="RNK40" s="32"/>
      <c r="RNL40" s="32"/>
      <c r="RNM40" s="32"/>
      <c r="RNN40" s="32"/>
      <c r="RNO40" s="32"/>
      <c r="RNP40" s="32"/>
      <c r="RNQ40" s="32"/>
      <c r="RNR40" s="32"/>
      <c r="RNS40" s="32"/>
      <c r="RNT40" s="32"/>
      <c r="RNU40" s="32"/>
      <c r="RNV40" s="32"/>
      <c r="RNW40" s="32"/>
      <c r="RNX40" s="32"/>
      <c r="RNY40" s="32"/>
      <c r="RNZ40" s="32"/>
      <c r="ROA40" s="32"/>
      <c r="ROB40" s="32"/>
      <c r="ROC40" s="32"/>
      <c r="ROD40" s="32"/>
      <c r="ROE40" s="32"/>
      <c r="ROF40" s="32"/>
      <c r="ROG40" s="32"/>
      <c r="ROH40" s="32"/>
      <c r="ROI40" s="32"/>
      <c r="ROJ40" s="32"/>
      <c r="ROK40" s="32"/>
      <c r="ROL40" s="32"/>
      <c r="ROM40" s="32"/>
      <c r="RON40" s="32"/>
      <c r="ROO40" s="32"/>
      <c r="ROP40" s="32"/>
      <c r="ROQ40" s="32"/>
      <c r="ROR40" s="32"/>
      <c r="ROS40" s="32"/>
      <c r="ROT40" s="32"/>
      <c r="ROU40" s="32"/>
      <c r="ROV40" s="32"/>
      <c r="ROW40" s="32"/>
      <c r="ROX40" s="32"/>
      <c r="ROY40" s="32"/>
      <c r="ROZ40" s="32"/>
      <c r="RPA40" s="32"/>
      <c r="RPB40" s="32"/>
      <c r="RPC40" s="32"/>
      <c r="RPD40" s="32"/>
      <c r="RPE40" s="32"/>
      <c r="RPF40" s="32"/>
      <c r="RPG40" s="32"/>
      <c r="RPH40" s="32"/>
      <c r="RPI40" s="32"/>
      <c r="RPJ40" s="32"/>
      <c r="RPK40" s="32"/>
      <c r="RPL40" s="32"/>
      <c r="RPM40" s="32"/>
      <c r="RPN40" s="32"/>
      <c r="RPO40" s="32"/>
      <c r="RPP40" s="32"/>
      <c r="RPQ40" s="32"/>
      <c r="RPR40" s="32"/>
      <c r="RPS40" s="32"/>
      <c r="RPT40" s="32"/>
      <c r="RPU40" s="32"/>
      <c r="RPV40" s="32"/>
      <c r="RPW40" s="32"/>
      <c r="RPX40" s="32"/>
      <c r="RPY40" s="32"/>
      <c r="RPZ40" s="32"/>
      <c r="RQA40" s="32"/>
      <c r="RQB40" s="32"/>
      <c r="RQC40" s="32"/>
      <c r="RQD40" s="32"/>
      <c r="RQE40" s="32"/>
      <c r="RQF40" s="32"/>
      <c r="RQG40" s="32"/>
      <c r="RQH40" s="32"/>
      <c r="RQI40" s="32"/>
      <c r="RQJ40" s="32"/>
      <c r="RQK40" s="32"/>
      <c r="RQL40" s="32"/>
      <c r="RQM40" s="32"/>
      <c r="RQN40" s="32"/>
      <c r="RQO40" s="32"/>
      <c r="RQP40" s="32"/>
      <c r="RQQ40" s="32"/>
      <c r="RQR40" s="32"/>
      <c r="RQS40" s="32"/>
      <c r="RQT40" s="32"/>
      <c r="RQU40" s="32"/>
      <c r="RQV40" s="32"/>
      <c r="RQW40" s="32"/>
      <c r="RQX40" s="32"/>
      <c r="RQY40" s="32"/>
      <c r="RQZ40" s="32"/>
      <c r="RRA40" s="32"/>
      <c r="RRB40" s="32"/>
      <c r="RRC40" s="32"/>
      <c r="RRD40" s="32"/>
      <c r="RRE40" s="32"/>
      <c r="RRF40" s="32"/>
      <c r="RRG40" s="32"/>
      <c r="RRH40" s="32"/>
      <c r="RRI40" s="32"/>
      <c r="RRJ40" s="32"/>
      <c r="RRK40" s="32"/>
      <c r="RRL40" s="32"/>
      <c r="RRM40" s="32"/>
      <c r="RRN40" s="32"/>
      <c r="RRO40" s="32"/>
      <c r="RRP40" s="32"/>
      <c r="RRQ40" s="32"/>
      <c r="RRR40" s="32"/>
      <c r="RRS40" s="32"/>
      <c r="RRT40" s="32"/>
      <c r="RRU40" s="32"/>
      <c r="RRV40" s="32"/>
      <c r="RRW40" s="32"/>
      <c r="RRX40" s="32"/>
      <c r="RRY40" s="32"/>
      <c r="RRZ40" s="32"/>
      <c r="RSA40" s="32"/>
      <c r="RSB40" s="32"/>
      <c r="RSC40" s="32"/>
      <c r="RSD40" s="32"/>
      <c r="RSE40" s="32"/>
      <c r="RSF40" s="32"/>
      <c r="RSG40" s="32"/>
      <c r="RSH40" s="32"/>
      <c r="RSI40" s="32"/>
      <c r="RSJ40" s="32"/>
      <c r="RSK40" s="32"/>
      <c r="RSL40" s="32"/>
      <c r="RSM40" s="32"/>
      <c r="RSN40" s="32"/>
      <c r="RSO40" s="32"/>
      <c r="RSP40" s="32"/>
      <c r="RSQ40" s="32"/>
      <c r="RSR40" s="32"/>
      <c r="RSS40" s="32"/>
      <c r="RST40" s="32"/>
      <c r="RSU40" s="32"/>
      <c r="RSV40" s="32"/>
      <c r="RSW40" s="32"/>
      <c r="RSX40" s="32"/>
      <c r="RSY40" s="32"/>
      <c r="RSZ40" s="32"/>
      <c r="RTA40" s="32"/>
      <c r="RTB40" s="32"/>
      <c r="RTC40" s="32"/>
      <c r="RTD40" s="32"/>
      <c r="RTE40" s="32"/>
      <c r="RTF40" s="32"/>
      <c r="RTG40" s="32"/>
      <c r="RTH40" s="32"/>
      <c r="RTI40" s="32"/>
      <c r="RTJ40" s="32"/>
      <c r="RTK40" s="32"/>
      <c r="RTL40" s="32"/>
      <c r="RTM40" s="32"/>
      <c r="RTN40" s="32"/>
      <c r="RTO40" s="32"/>
      <c r="RTP40" s="32"/>
      <c r="RTQ40" s="32"/>
      <c r="RTR40" s="32"/>
      <c r="RTS40" s="32"/>
      <c r="RTT40" s="32"/>
      <c r="RTU40" s="32"/>
      <c r="RTV40" s="32"/>
      <c r="RTW40" s="32"/>
      <c r="RTX40" s="32"/>
      <c r="RTY40" s="32"/>
      <c r="RTZ40" s="32"/>
      <c r="RUA40" s="32"/>
      <c r="RUB40" s="32"/>
      <c r="RUC40" s="32"/>
      <c r="RUD40" s="32"/>
      <c r="RUE40" s="32"/>
      <c r="RUF40" s="32"/>
      <c r="RUG40" s="32"/>
      <c r="RUH40" s="32"/>
      <c r="RUI40" s="32"/>
      <c r="RUJ40" s="32"/>
      <c r="RUK40" s="32"/>
      <c r="RUL40" s="32"/>
      <c r="RUM40" s="32"/>
      <c r="RUN40" s="32"/>
      <c r="RUO40" s="32"/>
      <c r="RUP40" s="32"/>
      <c r="RUQ40" s="32"/>
      <c r="RUR40" s="32"/>
      <c r="RUS40" s="32"/>
      <c r="RUT40" s="32"/>
      <c r="RUU40" s="32"/>
      <c r="RUV40" s="32"/>
      <c r="RUW40" s="32"/>
      <c r="RUX40" s="32"/>
      <c r="RUY40" s="32"/>
      <c r="RUZ40" s="32"/>
      <c r="RVA40" s="32"/>
      <c r="RVB40" s="32"/>
      <c r="RVC40" s="32"/>
      <c r="RVD40" s="32"/>
      <c r="RVE40" s="32"/>
      <c r="RVF40" s="32"/>
      <c r="RVG40" s="32"/>
      <c r="RVH40" s="32"/>
      <c r="RVI40" s="32"/>
      <c r="RVJ40" s="32"/>
      <c r="RVK40" s="32"/>
      <c r="RVL40" s="32"/>
      <c r="RVM40" s="32"/>
      <c r="RVN40" s="32"/>
      <c r="RVO40" s="32"/>
      <c r="RVP40" s="32"/>
      <c r="RVQ40" s="32"/>
      <c r="RVR40" s="32"/>
      <c r="RVS40" s="32"/>
      <c r="RVT40" s="32"/>
      <c r="RVU40" s="32"/>
      <c r="RVV40" s="32"/>
      <c r="RVW40" s="32"/>
      <c r="RVX40" s="32"/>
      <c r="RVY40" s="32"/>
      <c r="RVZ40" s="32"/>
      <c r="RWA40" s="32"/>
      <c r="RWB40" s="32"/>
      <c r="RWC40" s="32"/>
      <c r="RWD40" s="32"/>
      <c r="RWE40" s="32"/>
      <c r="RWF40" s="32"/>
      <c r="RWG40" s="32"/>
      <c r="RWH40" s="32"/>
      <c r="RWI40" s="32"/>
      <c r="RWJ40" s="32"/>
      <c r="RWK40" s="32"/>
      <c r="RWL40" s="32"/>
      <c r="RWM40" s="32"/>
      <c r="RWN40" s="32"/>
      <c r="RWO40" s="32"/>
      <c r="RWP40" s="32"/>
      <c r="RWQ40" s="32"/>
      <c r="RWR40" s="32"/>
      <c r="RWS40" s="32"/>
      <c r="RWT40" s="32"/>
      <c r="RWU40" s="32"/>
      <c r="RWV40" s="32"/>
      <c r="RWW40" s="32"/>
      <c r="RWX40" s="32"/>
      <c r="RWY40" s="32"/>
      <c r="RWZ40" s="32"/>
      <c r="RXA40" s="32"/>
      <c r="RXB40" s="32"/>
      <c r="RXC40" s="32"/>
      <c r="RXD40" s="32"/>
      <c r="RXE40" s="32"/>
      <c r="RXF40" s="32"/>
      <c r="RXG40" s="32"/>
      <c r="RXH40" s="32"/>
      <c r="RXI40" s="32"/>
      <c r="RXJ40" s="32"/>
      <c r="RXK40" s="32"/>
      <c r="RXL40" s="32"/>
      <c r="RXM40" s="32"/>
      <c r="RXN40" s="32"/>
      <c r="RXO40" s="32"/>
      <c r="RXP40" s="32"/>
      <c r="RXQ40" s="32"/>
      <c r="RXR40" s="32"/>
      <c r="RXS40" s="32"/>
      <c r="RXT40" s="32"/>
      <c r="RXU40" s="32"/>
      <c r="RXV40" s="32"/>
      <c r="RXW40" s="32"/>
      <c r="RXX40" s="32"/>
      <c r="RXY40" s="32"/>
      <c r="RXZ40" s="32"/>
      <c r="RYA40" s="32"/>
      <c r="RYB40" s="32"/>
      <c r="RYC40" s="32"/>
      <c r="RYD40" s="32"/>
      <c r="RYE40" s="32"/>
      <c r="RYF40" s="32"/>
      <c r="RYG40" s="32"/>
      <c r="RYH40" s="32"/>
      <c r="RYI40" s="32"/>
      <c r="RYJ40" s="32"/>
      <c r="RYK40" s="32"/>
      <c r="RYL40" s="32"/>
      <c r="RYM40" s="32"/>
      <c r="RYN40" s="32"/>
      <c r="RYO40" s="32"/>
      <c r="RYP40" s="32"/>
      <c r="RYQ40" s="32"/>
      <c r="RYR40" s="32"/>
      <c r="RYS40" s="32"/>
      <c r="RYT40" s="32"/>
      <c r="RYU40" s="32"/>
      <c r="RYV40" s="32"/>
      <c r="RYW40" s="32"/>
      <c r="RYX40" s="32"/>
      <c r="RYY40" s="32"/>
      <c r="RYZ40" s="32"/>
      <c r="RZA40" s="32"/>
      <c r="RZB40" s="32"/>
      <c r="RZC40" s="32"/>
      <c r="RZD40" s="32"/>
      <c r="RZE40" s="32"/>
      <c r="RZF40" s="32"/>
      <c r="RZG40" s="32"/>
      <c r="RZH40" s="32"/>
      <c r="RZI40" s="32"/>
      <c r="RZJ40" s="32"/>
      <c r="RZK40" s="32"/>
      <c r="RZL40" s="32"/>
      <c r="RZM40" s="32"/>
      <c r="RZN40" s="32"/>
      <c r="RZO40" s="32"/>
      <c r="RZP40" s="32"/>
      <c r="RZQ40" s="32"/>
      <c r="RZR40" s="32"/>
      <c r="RZS40" s="32"/>
      <c r="RZT40" s="32"/>
      <c r="RZU40" s="32"/>
      <c r="RZV40" s="32"/>
      <c r="RZW40" s="32"/>
      <c r="RZX40" s="32"/>
      <c r="RZY40" s="32"/>
      <c r="RZZ40" s="32"/>
      <c r="SAA40" s="32"/>
      <c r="SAB40" s="32"/>
      <c r="SAC40" s="32"/>
      <c r="SAD40" s="32"/>
      <c r="SAE40" s="32"/>
      <c r="SAF40" s="32"/>
      <c r="SAG40" s="32"/>
      <c r="SAH40" s="32"/>
      <c r="SAI40" s="32"/>
      <c r="SAJ40" s="32"/>
      <c r="SAK40" s="32"/>
      <c r="SAL40" s="32"/>
      <c r="SAM40" s="32"/>
      <c r="SAN40" s="32"/>
      <c r="SAO40" s="32"/>
      <c r="SAP40" s="32"/>
      <c r="SAQ40" s="32"/>
      <c r="SAR40" s="32"/>
      <c r="SAS40" s="32"/>
      <c r="SAT40" s="32"/>
      <c r="SAU40" s="32"/>
      <c r="SAV40" s="32"/>
      <c r="SAW40" s="32"/>
      <c r="SAX40" s="32"/>
      <c r="SAY40" s="32"/>
      <c r="SAZ40" s="32"/>
      <c r="SBA40" s="32"/>
      <c r="SBB40" s="32"/>
      <c r="SBC40" s="32"/>
      <c r="SBD40" s="32"/>
      <c r="SBE40" s="32"/>
      <c r="SBF40" s="32"/>
      <c r="SBG40" s="32"/>
      <c r="SBH40" s="32"/>
      <c r="SBI40" s="32"/>
      <c r="SBJ40" s="32"/>
      <c r="SBK40" s="32"/>
      <c r="SBL40" s="32"/>
      <c r="SBM40" s="32"/>
      <c r="SBN40" s="32"/>
      <c r="SBO40" s="32"/>
      <c r="SBP40" s="32"/>
      <c r="SBQ40" s="32"/>
      <c r="SBR40" s="32"/>
      <c r="SBS40" s="32"/>
      <c r="SBT40" s="32"/>
      <c r="SBU40" s="32"/>
      <c r="SBV40" s="32"/>
      <c r="SBW40" s="32"/>
      <c r="SBX40" s="32"/>
      <c r="SBY40" s="32"/>
      <c r="SBZ40" s="32"/>
      <c r="SCA40" s="32"/>
      <c r="SCB40" s="32"/>
      <c r="SCC40" s="32"/>
      <c r="SCD40" s="32"/>
      <c r="SCE40" s="32"/>
      <c r="SCF40" s="32"/>
      <c r="SCG40" s="32"/>
      <c r="SCH40" s="32"/>
      <c r="SCI40" s="32"/>
      <c r="SCJ40" s="32"/>
      <c r="SCK40" s="32"/>
      <c r="SCL40" s="32"/>
      <c r="SCM40" s="32"/>
      <c r="SCN40" s="32"/>
      <c r="SCO40" s="32"/>
      <c r="SCP40" s="32"/>
      <c r="SCQ40" s="32"/>
      <c r="SCR40" s="32"/>
      <c r="SCS40" s="32"/>
      <c r="SCT40" s="32"/>
      <c r="SCU40" s="32"/>
      <c r="SCV40" s="32"/>
      <c r="SCW40" s="32"/>
      <c r="SCX40" s="32"/>
      <c r="SCY40" s="32"/>
      <c r="SCZ40" s="32"/>
      <c r="SDA40" s="32"/>
      <c r="SDB40" s="32"/>
      <c r="SDC40" s="32"/>
      <c r="SDD40" s="32"/>
      <c r="SDE40" s="32"/>
      <c r="SDF40" s="32"/>
      <c r="SDG40" s="32"/>
      <c r="SDH40" s="32"/>
      <c r="SDI40" s="32"/>
      <c r="SDJ40" s="32"/>
      <c r="SDK40" s="32"/>
      <c r="SDL40" s="32"/>
      <c r="SDM40" s="32"/>
      <c r="SDN40" s="32"/>
      <c r="SDO40" s="32"/>
      <c r="SDP40" s="32"/>
      <c r="SDQ40" s="32"/>
      <c r="SDR40" s="32"/>
      <c r="SDS40" s="32"/>
      <c r="SDT40" s="32"/>
      <c r="SDU40" s="32"/>
      <c r="SDV40" s="32"/>
      <c r="SDW40" s="32"/>
      <c r="SDX40" s="32"/>
      <c r="SDY40" s="32"/>
      <c r="SDZ40" s="32"/>
      <c r="SEA40" s="32"/>
      <c r="SEB40" s="32"/>
      <c r="SEC40" s="32"/>
      <c r="SED40" s="32"/>
      <c r="SEE40" s="32"/>
      <c r="SEF40" s="32"/>
      <c r="SEG40" s="32"/>
      <c r="SEH40" s="32"/>
      <c r="SEI40" s="32"/>
      <c r="SEJ40" s="32"/>
      <c r="SEK40" s="32"/>
      <c r="SEL40" s="32"/>
      <c r="SEM40" s="32"/>
      <c r="SEN40" s="32"/>
      <c r="SEO40" s="32"/>
      <c r="SEP40" s="32"/>
      <c r="SEQ40" s="32"/>
      <c r="SER40" s="32"/>
      <c r="SES40" s="32"/>
      <c r="SET40" s="32"/>
      <c r="SEU40" s="32"/>
      <c r="SEV40" s="32"/>
      <c r="SEW40" s="32"/>
      <c r="SEX40" s="32"/>
      <c r="SEY40" s="32"/>
      <c r="SEZ40" s="32"/>
      <c r="SFA40" s="32"/>
      <c r="SFB40" s="32"/>
      <c r="SFC40" s="32"/>
      <c r="SFD40" s="32"/>
      <c r="SFE40" s="32"/>
      <c r="SFF40" s="32"/>
      <c r="SFG40" s="32"/>
      <c r="SFH40" s="32"/>
      <c r="SFI40" s="32"/>
      <c r="SFJ40" s="32"/>
      <c r="SFK40" s="32"/>
      <c r="SFL40" s="32"/>
      <c r="SFM40" s="32"/>
      <c r="SFN40" s="32"/>
      <c r="SFO40" s="32"/>
      <c r="SFP40" s="32"/>
      <c r="SFQ40" s="32"/>
      <c r="SFR40" s="32"/>
      <c r="SFS40" s="32"/>
      <c r="SFT40" s="32"/>
      <c r="SFU40" s="32"/>
      <c r="SFV40" s="32"/>
      <c r="SFW40" s="32"/>
      <c r="SFX40" s="32"/>
      <c r="SFY40" s="32"/>
      <c r="SFZ40" s="32"/>
      <c r="SGA40" s="32"/>
      <c r="SGB40" s="32"/>
      <c r="SGC40" s="32"/>
      <c r="SGD40" s="32"/>
      <c r="SGE40" s="32"/>
      <c r="SGF40" s="32"/>
      <c r="SGG40" s="32"/>
      <c r="SGH40" s="32"/>
      <c r="SGI40" s="32"/>
      <c r="SGJ40" s="32"/>
      <c r="SGK40" s="32"/>
      <c r="SGL40" s="32"/>
      <c r="SGM40" s="32"/>
      <c r="SGN40" s="32"/>
      <c r="SGO40" s="32"/>
      <c r="SGP40" s="32"/>
      <c r="SGQ40" s="32"/>
      <c r="SGR40" s="32"/>
      <c r="SGS40" s="32"/>
      <c r="SGT40" s="32"/>
      <c r="SGU40" s="32"/>
      <c r="SGV40" s="32"/>
      <c r="SGW40" s="32"/>
      <c r="SGX40" s="32"/>
      <c r="SGY40" s="32"/>
      <c r="SGZ40" s="32"/>
      <c r="SHA40" s="32"/>
      <c r="SHB40" s="32"/>
      <c r="SHC40" s="32"/>
      <c r="SHD40" s="32"/>
      <c r="SHE40" s="32"/>
      <c r="SHF40" s="32"/>
      <c r="SHG40" s="32"/>
      <c r="SHH40" s="32"/>
      <c r="SHI40" s="32"/>
      <c r="SHJ40" s="32"/>
      <c r="SHK40" s="32"/>
      <c r="SHL40" s="32"/>
      <c r="SHM40" s="32"/>
      <c r="SHN40" s="32"/>
      <c r="SHO40" s="32"/>
      <c r="SHP40" s="32"/>
      <c r="SHQ40" s="32"/>
      <c r="SHR40" s="32"/>
      <c r="SHS40" s="32"/>
      <c r="SHT40" s="32"/>
      <c r="SHU40" s="32"/>
      <c r="SHV40" s="32"/>
      <c r="SHW40" s="32"/>
      <c r="SHX40" s="32"/>
      <c r="SHY40" s="32"/>
      <c r="SHZ40" s="32"/>
      <c r="SIA40" s="32"/>
      <c r="SIB40" s="32"/>
      <c r="SIC40" s="32"/>
      <c r="SID40" s="32"/>
      <c r="SIE40" s="32"/>
      <c r="SIF40" s="32"/>
      <c r="SIG40" s="32"/>
      <c r="SIH40" s="32"/>
      <c r="SII40" s="32"/>
      <c r="SIJ40" s="32"/>
      <c r="SIK40" s="32"/>
      <c r="SIL40" s="32"/>
      <c r="SIM40" s="32"/>
      <c r="SIN40" s="32"/>
      <c r="SIO40" s="32"/>
      <c r="SIP40" s="32"/>
      <c r="SIQ40" s="32"/>
      <c r="SIR40" s="32"/>
      <c r="SIS40" s="32"/>
      <c r="SIT40" s="32"/>
      <c r="SIU40" s="32"/>
      <c r="SIV40" s="32"/>
      <c r="SIW40" s="32"/>
      <c r="SIX40" s="32"/>
      <c r="SIY40" s="32"/>
      <c r="SIZ40" s="32"/>
      <c r="SJA40" s="32"/>
      <c r="SJB40" s="32"/>
      <c r="SJC40" s="32"/>
      <c r="SJD40" s="32"/>
      <c r="SJE40" s="32"/>
      <c r="SJF40" s="32"/>
      <c r="SJG40" s="32"/>
      <c r="SJH40" s="32"/>
      <c r="SJI40" s="32"/>
      <c r="SJJ40" s="32"/>
      <c r="SJK40" s="32"/>
      <c r="SJL40" s="32"/>
      <c r="SJM40" s="32"/>
      <c r="SJN40" s="32"/>
      <c r="SJO40" s="32"/>
      <c r="SJP40" s="32"/>
      <c r="SJQ40" s="32"/>
      <c r="SJR40" s="32"/>
      <c r="SJS40" s="32"/>
      <c r="SJT40" s="32"/>
      <c r="SJU40" s="32"/>
      <c r="SJV40" s="32"/>
      <c r="SJW40" s="32"/>
      <c r="SJX40" s="32"/>
      <c r="SJY40" s="32"/>
      <c r="SJZ40" s="32"/>
      <c r="SKA40" s="32"/>
      <c r="SKB40" s="32"/>
      <c r="SKC40" s="32"/>
      <c r="SKD40" s="32"/>
      <c r="SKE40" s="32"/>
      <c r="SKF40" s="32"/>
      <c r="SKG40" s="32"/>
      <c r="SKH40" s="32"/>
      <c r="SKI40" s="32"/>
      <c r="SKJ40" s="32"/>
      <c r="SKK40" s="32"/>
      <c r="SKL40" s="32"/>
      <c r="SKM40" s="32"/>
      <c r="SKN40" s="32"/>
      <c r="SKO40" s="32"/>
      <c r="SKP40" s="32"/>
      <c r="SKQ40" s="32"/>
      <c r="SKR40" s="32"/>
      <c r="SKS40" s="32"/>
      <c r="SKT40" s="32"/>
      <c r="SKU40" s="32"/>
      <c r="SKV40" s="32"/>
      <c r="SKW40" s="32"/>
      <c r="SKX40" s="32"/>
      <c r="SKY40" s="32"/>
      <c r="SKZ40" s="32"/>
      <c r="SLA40" s="32"/>
      <c r="SLB40" s="32"/>
      <c r="SLC40" s="32"/>
      <c r="SLD40" s="32"/>
      <c r="SLE40" s="32"/>
      <c r="SLF40" s="32"/>
      <c r="SLG40" s="32"/>
      <c r="SLH40" s="32"/>
      <c r="SLI40" s="32"/>
      <c r="SLJ40" s="32"/>
      <c r="SLK40" s="32"/>
      <c r="SLL40" s="32"/>
      <c r="SLM40" s="32"/>
      <c r="SLN40" s="32"/>
      <c r="SLO40" s="32"/>
      <c r="SLP40" s="32"/>
      <c r="SLQ40" s="32"/>
      <c r="SLR40" s="32"/>
      <c r="SLS40" s="32"/>
      <c r="SLT40" s="32"/>
      <c r="SLU40" s="32"/>
      <c r="SLV40" s="32"/>
      <c r="SLW40" s="32"/>
      <c r="SLX40" s="32"/>
      <c r="SLY40" s="32"/>
      <c r="SLZ40" s="32"/>
      <c r="SMA40" s="32"/>
      <c r="SMB40" s="32"/>
      <c r="SMC40" s="32"/>
      <c r="SMD40" s="32"/>
      <c r="SME40" s="32"/>
      <c r="SMF40" s="32"/>
      <c r="SMG40" s="32"/>
      <c r="SMH40" s="32"/>
      <c r="SMI40" s="32"/>
      <c r="SMJ40" s="32"/>
      <c r="SMK40" s="32"/>
      <c r="SML40" s="32"/>
      <c r="SMM40" s="32"/>
      <c r="SMN40" s="32"/>
      <c r="SMO40" s="32"/>
      <c r="SMP40" s="32"/>
      <c r="SMQ40" s="32"/>
      <c r="SMR40" s="32"/>
      <c r="SMS40" s="32"/>
      <c r="SMT40" s="32"/>
      <c r="SMU40" s="32"/>
      <c r="SMV40" s="32"/>
      <c r="SMW40" s="32"/>
      <c r="SMX40" s="32"/>
      <c r="SMY40" s="32"/>
      <c r="SMZ40" s="32"/>
      <c r="SNA40" s="32"/>
      <c r="SNB40" s="32"/>
      <c r="SNC40" s="32"/>
      <c r="SND40" s="32"/>
      <c r="SNE40" s="32"/>
      <c r="SNF40" s="32"/>
      <c r="SNG40" s="32"/>
      <c r="SNH40" s="32"/>
      <c r="SNI40" s="32"/>
      <c r="SNJ40" s="32"/>
      <c r="SNK40" s="32"/>
      <c r="SNL40" s="32"/>
      <c r="SNM40" s="32"/>
      <c r="SNN40" s="32"/>
      <c r="SNO40" s="32"/>
      <c r="SNP40" s="32"/>
      <c r="SNQ40" s="32"/>
      <c r="SNR40" s="32"/>
      <c r="SNS40" s="32"/>
      <c r="SNT40" s="32"/>
      <c r="SNU40" s="32"/>
      <c r="SNV40" s="32"/>
      <c r="SNW40" s="32"/>
      <c r="SNX40" s="32"/>
      <c r="SNY40" s="32"/>
      <c r="SNZ40" s="32"/>
      <c r="SOA40" s="32"/>
      <c r="SOB40" s="32"/>
      <c r="SOC40" s="32"/>
      <c r="SOD40" s="32"/>
      <c r="SOE40" s="32"/>
      <c r="SOF40" s="32"/>
      <c r="SOG40" s="32"/>
      <c r="SOH40" s="32"/>
      <c r="SOI40" s="32"/>
      <c r="SOJ40" s="32"/>
      <c r="SOK40" s="32"/>
      <c r="SOL40" s="32"/>
      <c r="SOM40" s="32"/>
      <c r="SON40" s="32"/>
      <c r="SOO40" s="32"/>
      <c r="SOP40" s="32"/>
      <c r="SOQ40" s="32"/>
      <c r="SOR40" s="32"/>
      <c r="SOS40" s="32"/>
      <c r="SOT40" s="32"/>
      <c r="SOU40" s="32"/>
      <c r="SOV40" s="32"/>
      <c r="SOW40" s="32"/>
      <c r="SOX40" s="32"/>
      <c r="SOY40" s="32"/>
      <c r="SOZ40" s="32"/>
      <c r="SPA40" s="32"/>
      <c r="SPB40" s="32"/>
      <c r="SPC40" s="32"/>
      <c r="SPD40" s="32"/>
      <c r="SPE40" s="32"/>
      <c r="SPF40" s="32"/>
      <c r="SPG40" s="32"/>
      <c r="SPH40" s="32"/>
      <c r="SPI40" s="32"/>
      <c r="SPJ40" s="32"/>
      <c r="SPK40" s="32"/>
      <c r="SPL40" s="32"/>
      <c r="SPM40" s="32"/>
      <c r="SPN40" s="32"/>
      <c r="SPO40" s="32"/>
      <c r="SPP40" s="32"/>
      <c r="SPQ40" s="32"/>
      <c r="SPR40" s="32"/>
      <c r="SPS40" s="32"/>
      <c r="SPT40" s="32"/>
      <c r="SPU40" s="32"/>
      <c r="SPV40" s="32"/>
      <c r="SPW40" s="32"/>
      <c r="SPX40" s="32"/>
      <c r="SPY40" s="32"/>
      <c r="SPZ40" s="32"/>
      <c r="SQA40" s="32"/>
      <c r="SQB40" s="32"/>
      <c r="SQC40" s="32"/>
      <c r="SQD40" s="32"/>
      <c r="SQE40" s="32"/>
      <c r="SQF40" s="32"/>
      <c r="SQG40" s="32"/>
      <c r="SQH40" s="32"/>
      <c r="SQI40" s="32"/>
      <c r="SQJ40" s="32"/>
      <c r="SQK40" s="32"/>
      <c r="SQL40" s="32"/>
      <c r="SQM40" s="32"/>
      <c r="SQN40" s="32"/>
      <c r="SQO40" s="32"/>
      <c r="SQP40" s="32"/>
      <c r="SQQ40" s="32"/>
      <c r="SQR40" s="32"/>
      <c r="SQS40" s="32"/>
      <c r="SQT40" s="32"/>
      <c r="SQU40" s="32"/>
      <c r="SQV40" s="32"/>
      <c r="SQW40" s="32"/>
      <c r="SQX40" s="32"/>
      <c r="SQY40" s="32"/>
      <c r="SQZ40" s="32"/>
      <c r="SRA40" s="32"/>
      <c r="SRB40" s="32"/>
      <c r="SRC40" s="32"/>
      <c r="SRD40" s="32"/>
      <c r="SRE40" s="32"/>
      <c r="SRF40" s="32"/>
      <c r="SRG40" s="32"/>
      <c r="SRH40" s="32"/>
      <c r="SRI40" s="32"/>
      <c r="SRJ40" s="32"/>
      <c r="SRK40" s="32"/>
      <c r="SRL40" s="32"/>
      <c r="SRM40" s="32"/>
      <c r="SRN40" s="32"/>
      <c r="SRO40" s="32"/>
      <c r="SRP40" s="32"/>
      <c r="SRQ40" s="32"/>
      <c r="SRR40" s="32"/>
      <c r="SRS40" s="32"/>
      <c r="SRT40" s="32"/>
      <c r="SRU40" s="32"/>
      <c r="SRV40" s="32"/>
      <c r="SRW40" s="32"/>
      <c r="SRX40" s="32"/>
      <c r="SRY40" s="32"/>
      <c r="SRZ40" s="32"/>
      <c r="SSA40" s="32"/>
      <c r="SSB40" s="32"/>
      <c r="SSC40" s="32"/>
      <c r="SSD40" s="32"/>
      <c r="SSE40" s="32"/>
      <c r="SSF40" s="32"/>
      <c r="SSG40" s="32"/>
      <c r="SSH40" s="32"/>
      <c r="SSI40" s="32"/>
      <c r="SSJ40" s="32"/>
      <c r="SSK40" s="32"/>
      <c r="SSL40" s="32"/>
      <c r="SSM40" s="32"/>
      <c r="SSN40" s="32"/>
      <c r="SSO40" s="32"/>
      <c r="SSP40" s="32"/>
      <c r="SSQ40" s="32"/>
      <c r="SSR40" s="32"/>
      <c r="SSS40" s="32"/>
      <c r="SST40" s="32"/>
      <c r="SSU40" s="32"/>
      <c r="SSV40" s="32"/>
      <c r="SSW40" s="32"/>
      <c r="SSX40" s="32"/>
      <c r="SSY40" s="32"/>
      <c r="SSZ40" s="32"/>
      <c r="STA40" s="32"/>
      <c r="STB40" s="32"/>
      <c r="STC40" s="32"/>
      <c r="STD40" s="32"/>
      <c r="STE40" s="32"/>
      <c r="STF40" s="32"/>
      <c r="STG40" s="32"/>
      <c r="STH40" s="32"/>
      <c r="STI40" s="32"/>
      <c r="STJ40" s="32"/>
      <c r="STK40" s="32"/>
      <c r="STL40" s="32"/>
      <c r="STM40" s="32"/>
      <c r="STN40" s="32"/>
      <c r="STO40" s="32"/>
      <c r="STP40" s="32"/>
      <c r="STQ40" s="32"/>
      <c r="STR40" s="32"/>
      <c r="STS40" s="32"/>
      <c r="STT40" s="32"/>
      <c r="STU40" s="32"/>
      <c r="STV40" s="32"/>
      <c r="STW40" s="32"/>
      <c r="STX40" s="32"/>
      <c r="STY40" s="32"/>
      <c r="STZ40" s="32"/>
      <c r="SUA40" s="32"/>
      <c r="SUB40" s="32"/>
      <c r="SUC40" s="32"/>
      <c r="SUD40" s="32"/>
      <c r="SUE40" s="32"/>
      <c r="SUF40" s="32"/>
      <c r="SUG40" s="32"/>
      <c r="SUH40" s="32"/>
      <c r="SUI40" s="32"/>
      <c r="SUJ40" s="32"/>
      <c r="SUK40" s="32"/>
      <c r="SUL40" s="32"/>
      <c r="SUM40" s="32"/>
      <c r="SUN40" s="32"/>
      <c r="SUO40" s="32"/>
      <c r="SUP40" s="32"/>
      <c r="SUQ40" s="32"/>
      <c r="SUR40" s="32"/>
      <c r="SUS40" s="32"/>
      <c r="SUT40" s="32"/>
      <c r="SUU40" s="32"/>
      <c r="SUV40" s="32"/>
      <c r="SUW40" s="32"/>
      <c r="SUX40" s="32"/>
      <c r="SUY40" s="32"/>
      <c r="SUZ40" s="32"/>
      <c r="SVA40" s="32"/>
      <c r="SVB40" s="32"/>
      <c r="SVC40" s="32"/>
      <c r="SVD40" s="32"/>
      <c r="SVE40" s="32"/>
      <c r="SVF40" s="32"/>
      <c r="SVG40" s="32"/>
      <c r="SVH40" s="32"/>
      <c r="SVI40" s="32"/>
      <c r="SVJ40" s="32"/>
      <c r="SVK40" s="32"/>
      <c r="SVL40" s="32"/>
      <c r="SVM40" s="32"/>
      <c r="SVN40" s="32"/>
      <c r="SVO40" s="32"/>
      <c r="SVP40" s="32"/>
      <c r="SVQ40" s="32"/>
      <c r="SVR40" s="32"/>
      <c r="SVS40" s="32"/>
      <c r="SVT40" s="32"/>
      <c r="SVU40" s="32"/>
      <c r="SVV40" s="32"/>
      <c r="SVW40" s="32"/>
      <c r="SVX40" s="32"/>
      <c r="SVY40" s="32"/>
      <c r="SVZ40" s="32"/>
      <c r="SWA40" s="32"/>
      <c r="SWB40" s="32"/>
      <c r="SWC40" s="32"/>
      <c r="SWD40" s="32"/>
      <c r="SWE40" s="32"/>
      <c r="SWF40" s="32"/>
      <c r="SWG40" s="32"/>
      <c r="SWH40" s="32"/>
      <c r="SWI40" s="32"/>
      <c r="SWJ40" s="32"/>
      <c r="SWK40" s="32"/>
      <c r="SWL40" s="32"/>
      <c r="SWM40" s="32"/>
      <c r="SWN40" s="32"/>
      <c r="SWO40" s="32"/>
      <c r="SWP40" s="32"/>
      <c r="SWQ40" s="32"/>
      <c r="SWR40" s="32"/>
      <c r="SWS40" s="32"/>
      <c r="SWT40" s="32"/>
      <c r="SWU40" s="32"/>
      <c r="SWV40" s="32"/>
      <c r="SWW40" s="32"/>
      <c r="SWX40" s="32"/>
      <c r="SWY40" s="32"/>
      <c r="SWZ40" s="32"/>
      <c r="SXA40" s="32"/>
      <c r="SXB40" s="32"/>
      <c r="SXC40" s="32"/>
      <c r="SXD40" s="32"/>
      <c r="SXE40" s="32"/>
      <c r="SXF40" s="32"/>
      <c r="SXG40" s="32"/>
      <c r="SXH40" s="32"/>
      <c r="SXI40" s="32"/>
      <c r="SXJ40" s="32"/>
      <c r="SXK40" s="32"/>
      <c r="SXL40" s="32"/>
      <c r="SXM40" s="32"/>
      <c r="SXN40" s="32"/>
      <c r="SXO40" s="32"/>
      <c r="SXP40" s="32"/>
      <c r="SXQ40" s="32"/>
      <c r="SXR40" s="32"/>
      <c r="SXS40" s="32"/>
      <c r="SXT40" s="32"/>
      <c r="SXU40" s="32"/>
      <c r="SXV40" s="32"/>
      <c r="SXW40" s="32"/>
      <c r="SXX40" s="32"/>
      <c r="SXY40" s="32"/>
      <c r="SXZ40" s="32"/>
      <c r="SYA40" s="32"/>
      <c r="SYB40" s="32"/>
      <c r="SYC40" s="32"/>
      <c r="SYD40" s="32"/>
      <c r="SYE40" s="32"/>
      <c r="SYF40" s="32"/>
      <c r="SYG40" s="32"/>
      <c r="SYH40" s="32"/>
      <c r="SYI40" s="32"/>
      <c r="SYJ40" s="32"/>
      <c r="SYK40" s="32"/>
      <c r="SYL40" s="32"/>
      <c r="SYM40" s="32"/>
      <c r="SYN40" s="32"/>
      <c r="SYO40" s="32"/>
      <c r="SYP40" s="32"/>
      <c r="SYQ40" s="32"/>
      <c r="SYR40" s="32"/>
      <c r="SYS40" s="32"/>
      <c r="SYT40" s="32"/>
      <c r="SYU40" s="32"/>
      <c r="SYV40" s="32"/>
      <c r="SYW40" s="32"/>
      <c r="SYX40" s="32"/>
      <c r="SYY40" s="32"/>
      <c r="SYZ40" s="32"/>
      <c r="SZA40" s="32"/>
      <c r="SZB40" s="32"/>
      <c r="SZC40" s="32"/>
      <c r="SZD40" s="32"/>
      <c r="SZE40" s="32"/>
      <c r="SZF40" s="32"/>
      <c r="SZG40" s="32"/>
      <c r="SZH40" s="32"/>
      <c r="SZI40" s="32"/>
      <c r="SZJ40" s="32"/>
      <c r="SZK40" s="32"/>
      <c r="SZL40" s="32"/>
      <c r="SZM40" s="32"/>
      <c r="SZN40" s="32"/>
      <c r="SZO40" s="32"/>
      <c r="SZP40" s="32"/>
      <c r="SZQ40" s="32"/>
      <c r="SZR40" s="32"/>
      <c r="SZS40" s="32"/>
      <c r="SZT40" s="32"/>
      <c r="SZU40" s="32"/>
      <c r="SZV40" s="32"/>
      <c r="SZW40" s="32"/>
      <c r="SZX40" s="32"/>
      <c r="SZY40" s="32"/>
      <c r="SZZ40" s="32"/>
      <c r="TAA40" s="32"/>
      <c r="TAB40" s="32"/>
      <c r="TAC40" s="32"/>
      <c r="TAD40" s="32"/>
      <c r="TAE40" s="32"/>
      <c r="TAF40" s="32"/>
      <c r="TAG40" s="32"/>
      <c r="TAH40" s="32"/>
      <c r="TAI40" s="32"/>
      <c r="TAJ40" s="32"/>
      <c r="TAK40" s="32"/>
      <c r="TAL40" s="32"/>
      <c r="TAM40" s="32"/>
      <c r="TAN40" s="32"/>
      <c r="TAO40" s="32"/>
      <c r="TAP40" s="32"/>
      <c r="TAQ40" s="32"/>
      <c r="TAR40" s="32"/>
      <c r="TAS40" s="32"/>
      <c r="TAT40" s="32"/>
      <c r="TAU40" s="32"/>
      <c r="TAV40" s="32"/>
      <c r="TAW40" s="32"/>
      <c r="TAX40" s="32"/>
      <c r="TAY40" s="32"/>
      <c r="TAZ40" s="32"/>
      <c r="TBA40" s="32"/>
      <c r="TBB40" s="32"/>
      <c r="TBC40" s="32"/>
      <c r="TBD40" s="32"/>
      <c r="TBE40" s="32"/>
      <c r="TBF40" s="32"/>
      <c r="TBG40" s="32"/>
      <c r="TBH40" s="32"/>
      <c r="TBI40" s="32"/>
      <c r="TBJ40" s="32"/>
      <c r="TBK40" s="32"/>
      <c r="TBL40" s="32"/>
      <c r="TBM40" s="32"/>
      <c r="TBN40" s="32"/>
      <c r="TBO40" s="32"/>
      <c r="TBP40" s="32"/>
      <c r="TBQ40" s="32"/>
      <c r="TBR40" s="32"/>
      <c r="TBS40" s="32"/>
      <c r="TBT40" s="32"/>
      <c r="TBU40" s="32"/>
      <c r="TBV40" s="32"/>
      <c r="TBW40" s="32"/>
      <c r="TBX40" s="32"/>
      <c r="TBY40" s="32"/>
      <c r="TBZ40" s="32"/>
      <c r="TCA40" s="32"/>
      <c r="TCB40" s="32"/>
      <c r="TCC40" s="32"/>
      <c r="TCD40" s="32"/>
      <c r="TCE40" s="32"/>
      <c r="TCF40" s="32"/>
      <c r="TCG40" s="32"/>
      <c r="TCH40" s="32"/>
      <c r="TCI40" s="32"/>
      <c r="TCJ40" s="32"/>
      <c r="TCK40" s="32"/>
      <c r="TCL40" s="32"/>
      <c r="TCM40" s="32"/>
      <c r="TCN40" s="32"/>
      <c r="TCO40" s="32"/>
      <c r="TCP40" s="32"/>
      <c r="TCQ40" s="32"/>
      <c r="TCR40" s="32"/>
      <c r="TCS40" s="32"/>
      <c r="TCT40" s="32"/>
      <c r="TCU40" s="32"/>
      <c r="TCV40" s="32"/>
      <c r="TCW40" s="32"/>
      <c r="TCX40" s="32"/>
      <c r="TCY40" s="32"/>
      <c r="TCZ40" s="32"/>
      <c r="TDA40" s="32"/>
      <c r="TDB40" s="32"/>
      <c r="TDC40" s="32"/>
      <c r="TDD40" s="32"/>
      <c r="TDE40" s="32"/>
      <c r="TDF40" s="32"/>
      <c r="TDG40" s="32"/>
      <c r="TDH40" s="32"/>
      <c r="TDI40" s="32"/>
      <c r="TDJ40" s="32"/>
      <c r="TDK40" s="32"/>
      <c r="TDL40" s="32"/>
      <c r="TDM40" s="32"/>
      <c r="TDN40" s="32"/>
      <c r="TDO40" s="32"/>
      <c r="TDP40" s="32"/>
      <c r="TDQ40" s="32"/>
      <c r="TDR40" s="32"/>
      <c r="TDS40" s="32"/>
      <c r="TDT40" s="32"/>
      <c r="TDU40" s="32"/>
      <c r="TDV40" s="32"/>
      <c r="TDW40" s="32"/>
      <c r="TDX40" s="32"/>
      <c r="TDY40" s="32"/>
      <c r="TDZ40" s="32"/>
      <c r="TEA40" s="32"/>
      <c r="TEB40" s="32"/>
      <c r="TEC40" s="32"/>
      <c r="TED40" s="32"/>
      <c r="TEE40" s="32"/>
      <c r="TEF40" s="32"/>
      <c r="TEG40" s="32"/>
      <c r="TEH40" s="32"/>
      <c r="TEI40" s="32"/>
      <c r="TEJ40" s="32"/>
      <c r="TEK40" s="32"/>
      <c r="TEL40" s="32"/>
      <c r="TEM40" s="32"/>
      <c r="TEN40" s="32"/>
      <c r="TEO40" s="32"/>
      <c r="TEP40" s="32"/>
      <c r="TEQ40" s="32"/>
      <c r="TER40" s="32"/>
      <c r="TES40" s="32"/>
      <c r="TET40" s="32"/>
      <c r="TEU40" s="32"/>
      <c r="TEV40" s="32"/>
      <c r="TEW40" s="32"/>
      <c r="TEX40" s="32"/>
      <c r="TEY40" s="32"/>
      <c r="TEZ40" s="32"/>
      <c r="TFA40" s="32"/>
      <c r="TFB40" s="32"/>
      <c r="TFC40" s="32"/>
      <c r="TFD40" s="32"/>
      <c r="TFE40" s="32"/>
      <c r="TFF40" s="32"/>
      <c r="TFG40" s="32"/>
      <c r="TFH40" s="32"/>
      <c r="TFI40" s="32"/>
      <c r="TFJ40" s="32"/>
      <c r="TFK40" s="32"/>
      <c r="TFL40" s="32"/>
      <c r="TFM40" s="32"/>
      <c r="TFN40" s="32"/>
      <c r="TFO40" s="32"/>
      <c r="TFP40" s="32"/>
      <c r="TFQ40" s="32"/>
      <c r="TFR40" s="32"/>
      <c r="TFS40" s="32"/>
      <c r="TFT40" s="32"/>
      <c r="TFU40" s="32"/>
      <c r="TFV40" s="32"/>
      <c r="TFW40" s="32"/>
      <c r="TFX40" s="32"/>
      <c r="TFY40" s="32"/>
      <c r="TFZ40" s="32"/>
      <c r="TGA40" s="32"/>
      <c r="TGB40" s="32"/>
      <c r="TGC40" s="32"/>
      <c r="TGD40" s="32"/>
      <c r="TGE40" s="32"/>
      <c r="TGF40" s="32"/>
      <c r="TGG40" s="32"/>
      <c r="TGH40" s="32"/>
      <c r="TGI40" s="32"/>
      <c r="TGJ40" s="32"/>
      <c r="TGK40" s="32"/>
      <c r="TGL40" s="32"/>
      <c r="TGM40" s="32"/>
      <c r="TGN40" s="32"/>
      <c r="TGO40" s="32"/>
      <c r="TGP40" s="32"/>
      <c r="TGQ40" s="32"/>
      <c r="TGR40" s="32"/>
      <c r="TGS40" s="32"/>
      <c r="TGT40" s="32"/>
      <c r="TGU40" s="32"/>
      <c r="TGV40" s="32"/>
      <c r="TGW40" s="32"/>
      <c r="TGX40" s="32"/>
      <c r="TGY40" s="32"/>
      <c r="TGZ40" s="32"/>
      <c r="THA40" s="32"/>
      <c r="THB40" s="32"/>
      <c r="THC40" s="32"/>
      <c r="THD40" s="32"/>
      <c r="THE40" s="32"/>
      <c r="THF40" s="32"/>
      <c r="THG40" s="32"/>
      <c r="THH40" s="32"/>
      <c r="THI40" s="32"/>
      <c r="THJ40" s="32"/>
      <c r="THK40" s="32"/>
      <c r="THL40" s="32"/>
      <c r="THM40" s="32"/>
      <c r="THN40" s="32"/>
      <c r="THO40" s="32"/>
      <c r="THP40" s="32"/>
      <c r="THQ40" s="32"/>
      <c r="THR40" s="32"/>
      <c r="THS40" s="32"/>
      <c r="THT40" s="32"/>
      <c r="THU40" s="32"/>
      <c r="THV40" s="32"/>
      <c r="THW40" s="32"/>
      <c r="THX40" s="32"/>
      <c r="THY40" s="32"/>
      <c r="THZ40" s="32"/>
      <c r="TIA40" s="32"/>
      <c r="TIB40" s="32"/>
      <c r="TIC40" s="32"/>
      <c r="TID40" s="32"/>
      <c r="TIE40" s="32"/>
      <c r="TIF40" s="32"/>
      <c r="TIG40" s="32"/>
      <c r="TIH40" s="32"/>
      <c r="TII40" s="32"/>
      <c r="TIJ40" s="32"/>
      <c r="TIK40" s="32"/>
      <c r="TIL40" s="32"/>
      <c r="TIM40" s="32"/>
      <c r="TIN40" s="32"/>
      <c r="TIO40" s="32"/>
      <c r="TIP40" s="32"/>
      <c r="TIQ40" s="32"/>
      <c r="TIR40" s="32"/>
      <c r="TIS40" s="32"/>
      <c r="TIT40" s="32"/>
      <c r="TIU40" s="32"/>
      <c r="TIV40" s="32"/>
      <c r="TIW40" s="32"/>
      <c r="TIX40" s="32"/>
      <c r="TIY40" s="32"/>
      <c r="TIZ40" s="32"/>
      <c r="TJA40" s="32"/>
      <c r="TJB40" s="32"/>
      <c r="TJC40" s="32"/>
      <c r="TJD40" s="32"/>
      <c r="TJE40" s="32"/>
      <c r="TJF40" s="32"/>
      <c r="TJG40" s="32"/>
      <c r="TJH40" s="32"/>
      <c r="TJI40" s="32"/>
      <c r="TJJ40" s="32"/>
      <c r="TJK40" s="32"/>
      <c r="TJL40" s="32"/>
      <c r="TJM40" s="32"/>
      <c r="TJN40" s="32"/>
      <c r="TJO40" s="32"/>
      <c r="TJP40" s="32"/>
      <c r="TJQ40" s="32"/>
      <c r="TJR40" s="32"/>
      <c r="TJS40" s="32"/>
      <c r="TJT40" s="32"/>
      <c r="TJU40" s="32"/>
      <c r="TJV40" s="32"/>
      <c r="TJW40" s="32"/>
      <c r="TJX40" s="32"/>
      <c r="TJY40" s="32"/>
      <c r="TJZ40" s="32"/>
      <c r="TKA40" s="32"/>
      <c r="TKB40" s="32"/>
      <c r="TKC40" s="32"/>
      <c r="TKD40" s="32"/>
      <c r="TKE40" s="32"/>
      <c r="TKF40" s="32"/>
      <c r="TKG40" s="32"/>
      <c r="TKH40" s="32"/>
      <c r="TKI40" s="32"/>
      <c r="TKJ40" s="32"/>
      <c r="TKK40" s="32"/>
      <c r="TKL40" s="32"/>
      <c r="TKM40" s="32"/>
      <c r="TKN40" s="32"/>
      <c r="TKO40" s="32"/>
      <c r="TKP40" s="32"/>
      <c r="TKQ40" s="32"/>
      <c r="TKR40" s="32"/>
      <c r="TKS40" s="32"/>
      <c r="TKT40" s="32"/>
      <c r="TKU40" s="32"/>
      <c r="TKV40" s="32"/>
      <c r="TKW40" s="32"/>
      <c r="TKX40" s="32"/>
      <c r="TKY40" s="32"/>
      <c r="TKZ40" s="32"/>
      <c r="TLA40" s="32"/>
      <c r="TLB40" s="32"/>
      <c r="TLC40" s="32"/>
      <c r="TLD40" s="32"/>
      <c r="TLE40" s="32"/>
      <c r="TLF40" s="32"/>
      <c r="TLG40" s="32"/>
      <c r="TLH40" s="32"/>
      <c r="TLI40" s="32"/>
      <c r="TLJ40" s="32"/>
      <c r="TLK40" s="32"/>
      <c r="TLL40" s="32"/>
      <c r="TLM40" s="32"/>
      <c r="TLN40" s="32"/>
      <c r="TLO40" s="32"/>
      <c r="TLP40" s="32"/>
      <c r="TLQ40" s="32"/>
      <c r="TLR40" s="32"/>
      <c r="TLS40" s="32"/>
      <c r="TLT40" s="32"/>
      <c r="TLU40" s="32"/>
      <c r="TLV40" s="32"/>
      <c r="TLW40" s="32"/>
      <c r="TLX40" s="32"/>
      <c r="TLY40" s="32"/>
      <c r="TLZ40" s="32"/>
      <c r="TMA40" s="32"/>
      <c r="TMB40" s="32"/>
      <c r="TMC40" s="32"/>
      <c r="TMD40" s="32"/>
      <c r="TME40" s="32"/>
      <c r="TMF40" s="32"/>
      <c r="TMG40" s="32"/>
      <c r="TMH40" s="32"/>
      <c r="TMI40" s="32"/>
      <c r="TMJ40" s="32"/>
      <c r="TMK40" s="32"/>
      <c r="TML40" s="32"/>
      <c r="TMM40" s="32"/>
      <c r="TMN40" s="32"/>
      <c r="TMO40" s="32"/>
      <c r="TMP40" s="32"/>
      <c r="TMQ40" s="32"/>
      <c r="TMR40" s="32"/>
      <c r="TMS40" s="32"/>
      <c r="TMT40" s="32"/>
      <c r="TMU40" s="32"/>
      <c r="TMV40" s="32"/>
      <c r="TMW40" s="32"/>
      <c r="TMX40" s="32"/>
      <c r="TMY40" s="32"/>
      <c r="TMZ40" s="32"/>
      <c r="TNA40" s="32"/>
      <c r="TNB40" s="32"/>
      <c r="TNC40" s="32"/>
      <c r="TND40" s="32"/>
      <c r="TNE40" s="32"/>
      <c r="TNF40" s="32"/>
      <c r="TNG40" s="32"/>
      <c r="TNH40" s="32"/>
      <c r="TNI40" s="32"/>
      <c r="TNJ40" s="32"/>
      <c r="TNK40" s="32"/>
      <c r="TNL40" s="32"/>
      <c r="TNM40" s="32"/>
      <c r="TNN40" s="32"/>
      <c r="TNO40" s="32"/>
      <c r="TNP40" s="32"/>
      <c r="TNQ40" s="32"/>
      <c r="TNR40" s="32"/>
      <c r="TNS40" s="32"/>
      <c r="TNT40" s="32"/>
      <c r="TNU40" s="32"/>
      <c r="TNV40" s="32"/>
      <c r="TNW40" s="32"/>
      <c r="TNX40" s="32"/>
      <c r="TNY40" s="32"/>
      <c r="TNZ40" s="32"/>
      <c r="TOA40" s="32"/>
      <c r="TOB40" s="32"/>
      <c r="TOC40" s="32"/>
      <c r="TOD40" s="32"/>
      <c r="TOE40" s="32"/>
      <c r="TOF40" s="32"/>
      <c r="TOG40" s="32"/>
      <c r="TOH40" s="32"/>
      <c r="TOI40" s="32"/>
      <c r="TOJ40" s="32"/>
      <c r="TOK40" s="32"/>
      <c r="TOL40" s="32"/>
      <c r="TOM40" s="32"/>
      <c r="TON40" s="32"/>
      <c r="TOO40" s="32"/>
      <c r="TOP40" s="32"/>
      <c r="TOQ40" s="32"/>
      <c r="TOR40" s="32"/>
      <c r="TOS40" s="32"/>
      <c r="TOT40" s="32"/>
      <c r="TOU40" s="32"/>
      <c r="TOV40" s="32"/>
      <c r="TOW40" s="32"/>
      <c r="TOX40" s="32"/>
      <c r="TOY40" s="32"/>
      <c r="TOZ40" s="32"/>
      <c r="TPA40" s="32"/>
      <c r="TPB40" s="32"/>
      <c r="TPC40" s="32"/>
      <c r="TPD40" s="32"/>
      <c r="TPE40" s="32"/>
      <c r="TPF40" s="32"/>
      <c r="TPG40" s="32"/>
      <c r="TPH40" s="32"/>
      <c r="TPI40" s="32"/>
      <c r="TPJ40" s="32"/>
      <c r="TPK40" s="32"/>
      <c r="TPL40" s="32"/>
      <c r="TPM40" s="32"/>
      <c r="TPN40" s="32"/>
      <c r="TPO40" s="32"/>
      <c r="TPP40" s="32"/>
      <c r="TPQ40" s="32"/>
      <c r="TPR40" s="32"/>
      <c r="TPS40" s="32"/>
      <c r="TPT40" s="32"/>
      <c r="TPU40" s="32"/>
      <c r="TPV40" s="32"/>
      <c r="TPW40" s="32"/>
      <c r="TPX40" s="32"/>
      <c r="TPY40" s="32"/>
      <c r="TPZ40" s="32"/>
      <c r="TQA40" s="32"/>
      <c r="TQB40" s="32"/>
      <c r="TQC40" s="32"/>
      <c r="TQD40" s="32"/>
      <c r="TQE40" s="32"/>
      <c r="TQF40" s="32"/>
      <c r="TQG40" s="32"/>
      <c r="TQH40" s="32"/>
      <c r="TQI40" s="32"/>
      <c r="TQJ40" s="32"/>
      <c r="TQK40" s="32"/>
      <c r="TQL40" s="32"/>
      <c r="TQM40" s="32"/>
      <c r="TQN40" s="32"/>
      <c r="TQO40" s="32"/>
      <c r="TQP40" s="32"/>
      <c r="TQQ40" s="32"/>
      <c r="TQR40" s="32"/>
      <c r="TQS40" s="32"/>
      <c r="TQT40" s="32"/>
      <c r="TQU40" s="32"/>
      <c r="TQV40" s="32"/>
      <c r="TQW40" s="32"/>
      <c r="TQX40" s="32"/>
      <c r="TQY40" s="32"/>
      <c r="TQZ40" s="32"/>
      <c r="TRA40" s="32"/>
      <c r="TRB40" s="32"/>
      <c r="TRC40" s="32"/>
      <c r="TRD40" s="32"/>
      <c r="TRE40" s="32"/>
      <c r="TRF40" s="32"/>
      <c r="TRG40" s="32"/>
      <c r="TRH40" s="32"/>
      <c r="TRI40" s="32"/>
      <c r="TRJ40" s="32"/>
      <c r="TRK40" s="32"/>
      <c r="TRL40" s="32"/>
      <c r="TRM40" s="32"/>
      <c r="TRN40" s="32"/>
      <c r="TRO40" s="32"/>
      <c r="TRP40" s="32"/>
      <c r="TRQ40" s="32"/>
      <c r="TRR40" s="32"/>
      <c r="TRS40" s="32"/>
      <c r="TRT40" s="32"/>
      <c r="TRU40" s="32"/>
      <c r="TRV40" s="32"/>
      <c r="TRW40" s="32"/>
      <c r="TRX40" s="32"/>
      <c r="TRY40" s="32"/>
      <c r="TRZ40" s="32"/>
      <c r="TSA40" s="32"/>
      <c r="TSB40" s="32"/>
      <c r="TSC40" s="32"/>
      <c r="TSD40" s="32"/>
      <c r="TSE40" s="32"/>
      <c r="TSF40" s="32"/>
      <c r="TSG40" s="32"/>
      <c r="TSH40" s="32"/>
      <c r="TSI40" s="32"/>
      <c r="TSJ40" s="32"/>
      <c r="TSK40" s="32"/>
      <c r="TSL40" s="32"/>
      <c r="TSM40" s="32"/>
      <c r="TSN40" s="32"/>
      <c r="TSO40" s="32"/>
      <c r="TSP40" s="32"/>
      <c r="TSQ40" s="32"/>
      <c r="TSR40" s="32"/>
      <c r="TSS40" s="32"/>
      <c r="TST40" s="32"/>
      <c r="TSU40" s="32"/>
      <c r="TSV40" s="32"/>
      <c r="TSW40" s="32"/>
      <c r="TSX40" s="32"/>
      <c r="TSY40" s="32"/>
      <c r="TSZ40" s="32"/>
      <c r="TTA40" s="32"/>
      <c r="TTB40" s="32"/>
      <c r="TTC40" s="32"/>
      <c r="TTD40" s="32"/>
      <c r="TTE40" s="32"/>
      <c r="TTF40" s="32"/>
      <c r="TTG40" s="32"/>
      <c r="TTH40" s="32"/>
      <c r="TTI40" s="32"/>
      <c r="TTJ40" s="32"/>
      <c r="TTK40" s="32"/>
      <c r="TTL40" s="32"/>
      <c r="TTM40" s="32"/>
      <c r="TTN40" s="32"/>
      <c r="TTO40" s="32"/>
      <c r="TTP40" s="32"/>
      <c r="TTQ40" s="32"/>
      <c r="TTR40" s="32"/>
      <c r="TTS40" s="32"/>
      <c r="TTT40" s="32"/>
      <c r="TTU40" s="32"/>
      <c r="TTV40" s="32"/>
      <c r="TTW40" s="32"/>
      <c r="TTX40" s="32"/>
      <c r="TTY40" s="32"/>
      <c r="TTZ40" s="32"/>
      <c r="TUA40" s="32"/>
      <c r="TUB40" s="32"/>
      <c r="TUC40" s="32"/>
      <c r="TUD40" s="32"/>
      <c r="TUE40" s="32"/>
      <c r="TUF40" s="32"/>
      <c r="TUG40" s="32"/>
      <c r="TUH40" s="32"/>
      <c r="TUI40" s="32"/>
      <c r="TUJ40" s="32"/>
      <c r="TUK40" s="32"/>
      <c r="TUL40" s="32"/>
      <c r="TUM40" s="32"/>
      <c r="TUN40" s="32"/>
      <c r="TUO40" s="32"/>
      <c r="TUP40" s="32"/>
      <c r="TUQ40" s="32"/>
      <c r="TUR40" s="32"/>
      <c r="TUS40" s="32"/>
      <c r="TUT40" s="32"/>
      <c r="TUU40" s="32"/>
      <c r="TUV40" s="32"/>
      <c r="TUW40" s="32"/>
      <c r="TUX40" s="32"/>
      <c r="TUY40" s="32"/>
      <c r="TUZ40" s="32"/>
      <c r="TVA40" s="32"/>
      <c r="TVB40" s="32"/>
      <c r="TVC40" s="32"/>
      <c r="TVD40" s="32"/>
      <c r="TVE40" s="32"/>
      <c r="TVF40" s="32"/>
      <c r="TVG40" s="32"/>
      <c r="TVH40" s="32"/>
      <c r="TVI40" s="32"/>
      <c r="TVJ40" s="32"/>
      <c r="TVK40" s="32"/>
      <c r="TVL40" s="32"/>
      <c r="TVM40" s="32"/>
      <c r="TVN40" s="32"/>
      <c r="TVO40" s="32"/>
      <c r="TVP40" s="32"/>
      <c r="TVQ40" s="32"/>
      <c r="TVR40" s="32"/>
      <c r="TVS40" s="32"/>
      <c r="TVT40" s="32"/>
      <c r="TVU40" s="32"/>
      <c r="TVV40" s="32"/>
      <c r="TVW40" s="32"/>
      <c r="TVX40" s="32"/>
      <c r="TVY40" s="32"/>
      <c r="TVZ40" s="32"/>
      <c r="TWA40" s="32"/>
      <c r="TWB40" s="32"/>
      <c r="TWC40" s="32"/>
      <c r="TWD40" s="32"/>
      <c r="TWE40" s="32"/>
      <c r="TWF40" s="32"/>
      <c r="TWG40" s="32"/>
      <c r="TWH40" s="32"/>
      <c r="TWI40" s="32"/>
      <c r="TWJ40" s="32"/>
      <c r="TWK40" s="32"/>
      <c r="TWL40" s="32"/>
      <c r="TWM40" s="32"/>
      <c r="TWN40" s="32"/>
      <c r="TWO40" s="32"/>
      <c r="TWP40" s="32"/>
      <c r="TWQ40" s="32"/>
      <c r="TWR40" s="32"/>
      <c r="TWS40" s="32"/>
      <c r="TWT40" s="32"/>
      <c r="TWU40" s="32"/>
      <c r="TWV40" s="32"/>
      <c r="TWW40" s="32"/>
      <c r="TWX40" s="32"/>
      <c r="TWY40" s="32"/>
      <c r="TWZ40" s="32"/>
      <c r="TXA40" s="32"/>
      <c r="TXB40" s="32"/>
      <c r="TXC40" s="32"/>
      <c r="TXD40" s="32"/>
      <c r="TXE40" s="32"/>
      <c r="TXF40" s="32"/>
      <c r="TXG40" s="32"/>
      <c r="TXH40" s="32"/>
      <c r="TXI40" s="32"/>
      <c r="TXJ40" s="32"/>
      <c r="TXK40" s="32"/>
      <c r="TXL40" s="32"/>
      <c r="TXM40" s="32"/>
      <c r="TXN40" s="32"/>
      <c r="TXO40" s="32"/>
      <c r="TXP40" s="32"/>
      <c r="TXQ40" s="32"/>
      <c r="TXR40" s="32"/>
      <c r="TXS40" s="32"/>
      <c r="TXT40" s="32"/>
      <c r="TXU40" s="32"/>
      <c r="TXV40" s="32"/>
      <c r="TXW40" s="32"/>
      <c r="TXX40" s="32"/>
      <c r="TXY40" s="32"/>
      <c r="TXZ40" s="32"/>
      <c r="TYA40" s="32"/>
      <c r="TYB40" s="32"/>
      <c r="TYC40" s="32"/>
      <c r="TYD40" s="32"/>
      <c r="TYE40" s="32"/>
      <c r="TYF40" s="32"/>
      <c r="TYG40" s="32"/>
      <c r="TYH40" s="32"/>
      <c r="TYI40" s="32"/>
      <c r="TYJ40" s="32"/>
      <c r="TYK40" s="32"/>
      <c r="TYL40" s="32"/>
      <c r="TYM40" s="32"/>
      <c r="TYN40" s="32"/>
      <c r="TYO40" s="32"/>
      <c r="TYP40" s="32"/>
      <c r="TYQ40" s="32"/>
      <c r="TYR40" s="32"/>
      <c r="TYS40" s="32"/>
      <c r="TYT40" s="32"/>
      <c r="TYU40" s="32"/>
      <c r="TYV40" s="32"/>
      <c r="TYW40" s="32"/>
      <c r="TYX40" s="32"/>
      <c r="TYY40" s="32"/>
      <c r="TYZ40" s="32"/>
      <c r="TZA40" s="32"/>
      <c r="TZB40" s="32"/>
      <c r="TZC40" s="32"/>
      <c r="TZD40" s="32"/>
      <c r="TZE40" s="32"/>
      <c r="TZF40" s="32"/>
      <c r="TZG40" s="32"/>
      <c r="TZH40" s="32"/>
      <c r="TZI40" s="32"/>
      <c r="TZJ40" s="32"/>
      <c r="TZK40" s="32"/>
      <c r="TZL40" s="32"/>
      <c r="TZM40" s="32"/>
      <c r="TZN40" s="32"/>
      <c r="TZO40" s="32"/>
      <c r="TZP40" s="32"/>
      <c r="TZQ40" s="32"/>
      <c r="TZR40" s="32"/>
      <c r="TZS40" s="32"/>
      <c r="TZT40" s="32"/>
      <c r="TZU40" s="32"/>
      <c r="TZV40" s="32"/>
      <c r="TZW40" s="32"/>
      <c r="TZX40" s="32"/>
      <c r="TZY40" s="32"/>
      <c r="TZZ40" s="32"/>
      <c r="UAA40" s="32"/>
      <c r="UAB40" s="32"/>
      <c r="UAC40" s="32"/>
      <c r="UAD40" s="32"/>
      <c r="UAE40" s="32"/>
      <c r="UAF40" s="32"/>
      <c r="UAG40" s="32"/>
      <c r="UAH40" s="32"/>
      <c r="UAI40" s="32"/>
      <c r="UAJ40" s="32"/>
      <c r="UAK40" s="32"/>
      <c r="UAL40" s="32"/>
      <c r="UAM40" s="32"/>
      <c r="UAN40" s="32"/>
      <c r="UAO40" s="32"/>
      <c r="UAP40" s="32"/>
      <c r="UAQ40" s="32"/>
      <c r="UAR40" s="32"/>
      <c r="UAS40" s="32"/>
      <c r="UAT40" s="32"/>
      <c r="UAU40" s="32"/>
      <c r="UAV40" s="32"/>
      <c r="UAW40" s="32"/>
      <c r="UAX40" s="32"/>
      <c r="UAY40" s="32"/>
      <c r="UAZ40" s="32"/>
      <c r="UBA40" s="32"/>
      <c r="UBB40" s="32"/>
      <c r="UBC40" s="32"/>
      <c r="UBD40" s="32"/>
      <c r="UBE40" s="32"/>
      <c r="UBF40" s="32"/>
      <c r="UBG40" s="32"/>
      <c r="UBH40" s="32"/>
      <c r="UBI40" s="32"/>
      <c r="UBJ40" s="32"/>
      <c r="UBK40" s="32"/>
      <c r="UBL40" s="32"/>
      <c r="UBM40" s="32"/>
      <c r="UBN40" s="32"/>
      <c r="UBO40" s="32"/>
      <c r="UBP40" s="32"/>
      <c r="UBQ40" s="32"/>
      <c r="UBR40" s="32"/>
      <c r="UBS40" s="32"/>
      <c r="UBT40" s="32"/>
      <c r="UBU40" s="32"/>
      <c r="UBV40" s="32"/>
      <c r="UBW40" s="32"/>
      <c r="UBX40" s="32"/>
      <c r="UBY40" s="32"/>
      <c r="UBZ40" s="32"/>
      <c r="UCA40" s="32"/>
      <c r="UCB40" s="32"/>
      <c r="UCC40" s="32"/>
      <c r="UCD40" s="32"/>
      <c r="UCE40" s="32"/>
      <c r="UCF40" s="32"/>
      <c r="UCG40" s="32"/>
      <c r="UCH40" s="32"/>
      <c r="UCI40" s="32"/>
      <c r="UCJ40" s="32"/>
      <c r="UCK40" s="32"/>
      <c r="UCL40" s="32"/>
      <c r="UCM40" s="32"/>
      <c r="UCN40" s="32"/>
      <c r="UCO40" s="32"/>
      <c r="UCP40" s="32"/>
      <c r="UCQ40" s="32"/>
      <c r="UCR40" s="32"/>
      <c r="UCS40" s="32"/>
      <c r="UCT40" s="32"/>
      <c r="UCU40" s="32"/>
      <c r="UCV40" s="32"/>
      <c r="UCW40" s="32"/>
      <c r="UCX40" s="32"/>
      <c r="UCY40" s="32"/>
      <c r="UCZ40" s="32"/>
      <c r="UDA40" s="32"/>
      <c r="UDB40" s="32"/>
      <c r="UDC40" s="32"/>
      <c r="UDD40" s="32"/>
      <c r="UDE40" s="32"/>
      <c r="UDF40" s="32"/>
      <c r="UDG40" s="32"/>
      <c r="UDH40" s="32"/>
      <c r="UDI40" s="32"/>
      <c r="UDJ40" s="32"/>
      <c r="UDK40" s="32"/>
      <c r="UDL40" s="32"/>
      <c r="UDM40" s="32"/>
      <c r="UDN40" s="32"/>
      <c r="UDO40" s="32"/>
      <c r="UDP40" s="32"/>
      <c r="UDQ40" s="32"/>
      <c r="UDR40" s="32"/>
      <c r="UDS40" s="32"/>
      <c r="UDT40" s="32"/>
      <c r="UDU40" s="32"/>
      <c r="UDV40" s="32"/>
      <c r="UDW40" s="32"/>
      <c r="UDX40" s="32"/>
      <c r="UDY40" s="32"/>
      <c r="UDZ40" s="32"/>
      <c r="UEA40" s="32"/>
      <c r="UEB40" s="32"/>
      <c r="UEC40" s="32"/>
      <c r="UED40" s="32"/>
      <c r="UEE40" s="32"/>
      <c r="UEF40" s="32"/>
      <c r="UEG40" s="32"/>
      <c r="UEH40" s="32"/>
      <c r="UEI40" s="32"/>
      <c r="UEJ40" s="32"/>
      <c r="UEK40" s="32"/>
      <c r="UEL40" s="32"/>
      <c r="UEM40" s="32"/>
      <c r="UEN40" s="32"/>
      <c r="UEO40" s="32"/>
      <c r="UEP40" s="32"/>
      <c r="UEQ40" s="32"/>
      <c r="UER40" s="32"/>
      <c r="UES40" s="32"/>
      <c r="UET40" s="32"/>
      <c r="UEU40" s="32"/>
      <c r="UEV40" s="32"/>
      <c r="UEW40" s="32"/>
      <c r="UEX40" s="32"/>
      <c r="UEY40" s="32"/>
      <c r="UEZ40" s="32"/>
      <c r="UFA40" s="32"/>
      <c r="UFB40" s="32"/>
      <c r="UFC40" s="32"/>
      <c r="UFD40" s="32"/>
      <c r="UFE40" s="32"/>
      <c r="UFF40" s="32"/>
      <c r="UFG40" s="32"/>
      <c r="UFH40" s="32"/>
      <c r="UFI40" s="32"/>
      <c r="UFJ40" s="32"/>
      <c r="UFK40" s="32"/>
      <c r="UFL40" s="32"/>
      <c r="UFM40" s="32"/>
      <c r="UFN40" s="32"/>
      <c r="UFO40" s="32"/>
      <c r="UFP40" s="32"/>
      <c r="UFQ40" s="32"/>
      <c r="UFR40" s="32"/>
      <c r="UFS40" s="32"/>
      <c r="UFT40" s="32"/>
      <c r="UFU40" s="32"/>
      <c r="UFV40" s="32"/>
      <c r="UFW40" s="32"/>
      <c r="UFX40" s="32"/>
      <c r="UFY40" s="32"/>
      <c r="UFZ40" s="32"/>
      <c r="UGA40" s="32"/>
      <c r="UGB40" s="32"/>
      <c r="UGC40" s="32"/>
      <c r="UGD40" s="32"/>
      <c r="UGE40" s="32"/>
      <c r="UGF40" s="32"/>
      <c r="UGG40" s="32"/>
      <c r="UGH40" s="32"/>
      <c r="UGI40" s="32"/>
      <c r="UGJ40" s="32"/>
      <c r="UGK40" s="32"/>
      <c r="UGL40" s="32"/>
      <c r="UGM40" s="32"/>
      <c r="UGN40" s="32"/>
      <c r="UGO40" s="32"/>
      <c r="UGP40" s="32"/>
      <c r="UGQ40" s="32"/>
      <c r="UGR40" s="32"/>
      <c r="UGS40" s="32"/>
      <c r="UGT40" s="32"/>
      <c r="UGU40" s="32"/>
      <c r="UGV40" s="32"/>
      <c r="UGW40" s="32"/>
      <c r="UGX40" s="32"/>
      <c r="UGY40" s="32"/>
      <c r="UGZ40" s="32"/>
      <c r="UHA40" s="32"/>
      <c r="UHB40" s="32"/>
      <c r="UHC40" s="32"/>
      <c r="UHD40" s="32"/>
      <c r="UHE40" s="32"/>
      <c r="UHF40" s="32"/>
      <c r="UHG40" s="32"/>
      <c r="UHH40" s="32"/>
      <c r="UHI40" s="32"/>
      <c r="UHJ40" s="32"/>
      <c r="UHK40" s="32"/>
      <c r="UHL40" s="32"/>
      <c r="UHM40" s="32"/>
      <c r="UHN40" s="32"/>
      <c r="UHO40" s="32"/>
      <c r="UHP40" s="32"/>
      <c r="UHQ40" s="32"/>
      <c r="UHR40" s="32"/>
      <c r="UHS40" s="32"/>
      <c r="UHT40" s="32"/>
      <c r="UHU40" s="32"/>
      <c r="UHV40" s="32"/>
      <c r="UHW40" s="32"/>
      <c r="UHX40" s="32"/>
      <c r="UHY40" s="32"/>
      <c r="UHZ40" s="32"/>
      <c r="UIA40" s="32"/>
      <c r="UIB40" s="32"/>
      <c r="UIC40" s="32"/>
      <c r="UID40" s="32"/>
      <c r="UIE40" s="32"/>
      <c r="UIF40" s="32"/>
      <c r="UIG40" s="32"/>
      <c r="UIH40" s="32"/>
      <c r="UII40" s="32"/>
      <c r="UIJ40" s="32"/>
      <c r="UIK40" s="32"/>
      <c r="UIL40" s="32"/>
      <c r="UIM40" s="32"/>
      <c r="UIN40" s="32"/>
      <c r="UIO40" s="32"/>
      <c r="UIP40" s="32"/>
      <c r="UIQ40" s="32"/>
      <c r="UIR40" s="32"/>
      <c r="UIS40" s="32"/>
      <c r="UIT40" s="32"/>
      <c r="UIU40" s="32"/>
      <c r="UIV40" s="32"/>
      <c r="UIW40" s="32"/>
      <c r="UIX40" s="32"/>
      <c r="UIY40" s="32"/>
      <c r="UIZ40" s="32"/>
      <c r="UJA40" s="32"/>
      <c r="UJB40" s="32"/>
      <c r="UJC40" s="32"/>
      <c r="UJD40" s="32"/>
      <c r="UJE40" s="32"/>
      <c r="UJF40" s="32"/>
      <c r="UJG40" s="32"/>
      <c r="UJH40" s="32"/>
      <c r="UJI40" s="32"/>
      <c r="UJJ40" s="32"/>
      <c r="UJK40" s="32"/>
      <c r="UJL40" s="32"/>
      <c r="UJM40" s="32"/>
      <c r="UJN40" s="32"/>
      <c r="UJO40" s="32"/>
      <c r="UJP40" s="32"/>
      <c r="UJQ40" s="32"/>
      <c r="UJR40" s="32"/>
      <c r="UJS40" s="32"/>
      <c r="UJT40" s="32"/>
      <c r="UJU40" s="32"/>
      <c r="UJV40" s="32"/>
      <c r="UJW40" s="32"/>
      <c r="UJX40" s="32"/>
      <c r="UJY40" s="32"/>
      <c r="UJZ40" s="32"/>
      <c r="UKA40" s="32"/>
      <c r="UKB40" s="32"/>
      <c r="UKC40" s="32"/>
      <c r="UKD40" s="32"/>
      <c r="UKE40" s="32"/>
      <c r="UKF40" s="32"/>
      <c r="UKG40" s="32"/>
      <c r="UKH40" s="32"/>
      <c r="UKI40" s="32"/>
      <c r="UKJ40" s="32"/>
      <c r="UKK40" s="32"/>
      <c r="UKL40" s="32"/>
      <c r="UKM40" s="32"/>
      <c r="UKN40" s="32"/>
      <c r="UKO40" s="32"/>
      <c r="UKP40" s="32"/>
      <c r="UKQ40" s="32"/>
      <c r="UKR40" s="32"/>
      <c r="UKS40" s="32"/>
      <c r="UKT40" s="32"/>
      <c r="UKU40" s="32"/>
      <c r="UKV40" s="32"/>
      <c r="UKW40" s="32"/>
      <c r="UKX40" s="32"/>
      <c r="UKY40" s="32"/>
      <c r="UKZ40" s="32"/>
      <c r="ULA40" s="32"/>
      <c r="ULB40" s="32"/>
      <c r="ULC40" s="32"/>
      <c r="ULD40" s="32"/>
      <c r="ULE40" s="32"/>
      <c r="ULF40" s="32"/>
      <c r="ULG40" s="32"/>
      <c r="ULH40" s="32"/>
      <c r="ULI40" s="32"/>
      <c r="ULJ40" s="32"/>
      <c r="ULK40" s="32"/>
      <c r="ULL40" s="32"/>
      <c r="ULM40" s="32"/>
      <c r="ULN40" s="32"/>
      <c r="ULO40" s="32"/>
      <c r="ULP40" s="32"/>
      <c r="ULQ40" s="32"/>
      <c r="ULR40" s="32"/>
      <c r="ULS40" s="32"/>
      <c r="ULT40" s="32"/>
      <c r="ULU40" s="32"/>
      <c r="ULV40" s="32"/>
      <c r="ULW40" s="32"/>
      <c r="ULX40" s="32"/>
      <c r="ULY40" s="32"/>
      <c r="ULZ40" s="32"/>
      <c r="UMA40" s="32"/>
      <c r="UMB40" s="32"/>
      <c r="UMC40" s="32"/>
      <c r="UMD40" s="32"/>
      <c r="UME40" s="32"/>
      <c r="UMF40" s="32"/>
      <c r="UMG40" s="32"/>
      <c r="UMH40" s="32"/>
      <c r="UMI40" s="32"/>
      <c r="UMJ40" s="32"/>
      <c r="UMK40" s="32"/>
      <c r="UML40" s="32"/>
      <c r="UMM40" s="32"/>
      <c r="UMN40" s="32"/>
      <c r="UMO40" s="32"/>
      <c r="UMP40" s="32"/>
      <c r="UMQ40" s="32"/>
      <c r="UMR40" s="32"/>
      <c r="UMS40" s="32"/>
      <c r="UMT40" s="32"/>
      <c r="UMU40" s="32"/>
      <c r="UMV40" s="32"/>
      <c r="UMW40" s="32"/>
      <c r="UMX40" s="32"/>
      <c r="UMY40" s="32"/>
      <c r="UMZ40" s="32"/>
      <c r="UNA40" s="32"/>
      <c r="UNB40" s="32"/>
      <c r="UNC40" s="32"/>
      <c r="UND40" s="32"/>
      <c r="UNE40" s="32"/>
      <c r="UNF40" s="32"/>
      <c r="UNG40" s="32"/>
      <c r="UNH40" s="32"/>
      <c r="UNI40" s="32"/>
      <c r="UNJ40" s="32"/>
      <c r="UNK40" s="32"/>
      <c r="UNL40" s="32"/>
      <c r="UNM40" s="32"/>
      <c r="UNN40" s="32"/>
      <c r="UNO40" s="32"/>
      <c r="UNP40" s="32"/>
      <c r="UNQ40" s="32"/>
      <c r="UNR40" s="32"/>
      <c r="UNS40" s="32"/>
      <c r="UNT40" s="32"/>
      <c r="UNU40" s="32"/>
      <c r="UNV40" s="32"/>
      <c r="UNW40" s="32"/>
      <c r="UNX40" s="32"/>
      <c r="UNY40" s="32"/>
      <c r="UNZ40" s="32"/>
      <c r="UOA40" s="32"/>
      <c r="UOB40" s="32"/>
      <c r="UOC40" s="32"/>
      <c r="UOD40" s="32"/>
      <c r="UOE40" s="32"/>
      <c r="UOF40" s="32"/>
      <c r="UOG40" s="32"/>
      <c r="UOH40" s="32"/>
      <c r="UOI40" s="32"/>
      <c r="UOJ40" s="32"/>
      <c r="UOK40" s="32"/>
      <c r="UOL40" s="32"/>
      <c r="UOM40" s="32"/>
      <c r="UON40" s="32"/>
      <c r="UOO40" s="32"/>
      <c r="UOP40" s="32"/>
      <c r="UOQ40" s="32"/>
      <c r="UOR40" s="32"/>
      <c r="UOS40" s="32"/>
      <c r="UOT40" s="32"/>
      <c r="UOU40" s="32"/>
      <c r="UOV40" s="32"/>
      <c r="UOW40" s="32"/>
      <c r="UOX40" s="32"/>
      <c r="UOY40" s="32"/>
      <c r="UOZ40" s="32"/>
      <c r="UPA40" s="32"/>
      <c r="UPB40" s="32"/>
      <c r="UPC40" s="32"/>
      <c r="UPD40" s="32"/>
      <c r="UPE40" s="32"/>
      <c r="UPF40" s="32"/>
      <c r="UPG40" s="32"/>
      <c r="UPH40" s="32"/>
      <c r="UPI40" s="32"/>
      <c r="UPJ40" s="32"/>
      <c r="UPK40" s="32"/>
      <c r="UPL40" s="32"/>
      <c r="UPM40" s="32"/>
      <c r="UPN40" s="32"/>
      <c r="UPO40" s="32"/>
      <c r="UPP40" s="32"/>
      <c r="UPQ40" s="32"/>
      <c r="UPR40" s="32"/>
      <c r="UPS40" s="32"/>
      <c r="UPT40" s="32"/>
      <c r="UPU40" s="32"/>
      <c r="UPV40" s="32"/>
      <c r="UPW40" s="32"/>
      <c r="UPX40" s="32"/>
      <c r="UPY40" s="32"/>
      <c r="UPZ40" s="32"/>
      <c r="UQA40" s="32"/>
      <c r="UQB40" s="32"/>
      <c r="UQC40" s="32"/>
      <c r="UQD40" s="32"/>
      <c r="UQE40" s="32"/>
      <c r="UQF40" s="32"/>
      <c r="UQG40" s="32"/>
      <c r="UQH40" s="32"/>
      <c r="UQI40" s="32"/>
      <c r="UQJ40" s="32"/>
      <c r="UQK40" s="32"/>
      <c r="UQL40" s="32"/>
      <c r="UQM40" s="32"/>
      <c r="UQN40" s="32"/>
      <c r="UQO40" s="32"/>
      <c r="UQP40" s="32"/>
      <c r="UQQ40" s="32"/>
      <c r="UQR40" s="32"/>
      <c r="UQS40" s="32"/>
      <c r="UQT40" s="32"/>
      <c r="UQU40" s="32"/>
      <c r="UQV40" s="32"/>
      <c r="UQW40" s="32"/>
      <c r="UQX40" s="32"/>
      <c r="UQY40" s="32"/>
      <c r="UQZ40" s="32"/>
      <c r="URA40" s="32"/>
      <c r="URB40" s="32"/>
      <c r="URC40" s="32"/>
      <c r="URD40" s="32"/>
      <c r="URE40" s="32"/>
      <c r="URF40" s="32"/>
      <c r="URG40" s="32"/>
      <c r="URH40" s="32"/>
      <c r="URI40" s="32"/>
      <c r="URJ40" s="32"/>
      <c r="URK40" s="32"/>
      <c r="URL40" s="32"/>
      <c r="URM40" s="32"/>
      <c r="URN40" s="32"/>
      <c r="URO40" s="32"/>
      <c r="URP40" s="32"/>
      <c r="URQ40" s="32"/>
      <c r="URR40" s="32"/>
      <c r="URS40" s="32"/>
      <c r="URT40" s="32"/>
      <c r="URU40" s="32"/>
      <c r="URV40" s="32"/>
      <c r="URW40" s="32"/>
      <c r="URX40" s="32"/>
      <c r="URY40" s="32"/>
      <c r="URZ40" s="32"/>
      <c r="USA40" s="32"/>
      <c r="USB40" s="32"/>
      <c r="USC40" s="32"/>
      <c r="USD40" s="32"/>
      <c r="USE40" s="32"/>
      <c r="USF40" s="32"/>
      <c r="USG40" s="32"/>
      <c r="USH40" s="32"/>
      <c r="USI40" s="32"/>
      <c r="USJ40" s="32"/>
      <c r="USK40" s="32"/>
      <c r="USL40" s="32"/>
      <c r="USM40" s="32"/>
      <c r="USN40" s="32"/>
      <c r="USO40" s="32"/>
      <c r="USP40" s="32"/>
      <c r="USQ40" s="32"/>
      <c r="USR40" s="32"/>
      <c r="USS40" s="32"/>
      <c r="UST40" s="32"/>
      <c r="USU40" s="32"/>
      <c r="USV40" s="32"/>
      <c r="USW40" s="32"/>
      <c r="USX40" s="32"/>
      <c r="USY40" s="32"/>
      <c r="USZ40" s="32"/>
      <c r="UTA40" s="32"/>
      <c r="UTB40" s="32"/>
      <c r="UTC40" s="32"/>
      <c r="UTD40" s="32"/>
      <c r="UTE40" s="32"/>
      <c r="UTF40" s="32"/>
      <c r="UTG40" s="32"/>
      <c r="UTH40" s="32"/>
      <c r="UTI40" s="32"/>
      <c r="UTJ40" s="32"/>
      <c r="UTK40" s="32"/>
      <c r="UTL40" s="32"/>
      <c r="UTM40" s="32"/>
      <c r="UTN40" s="32"/>
      <c r="UTO40" s="32"/>
      <c r="UTP40" s="32"/>
      <c r="UTQ40" s="32"/>
      <c r="UTR40" s="32"/>
      <c r="UTS40" s="32"/>
      <c r="UTT40" s="32"/>
      <c r="UTU40" s="32"/>
      <c r="UTV40" s="32"/>
      <c r="UTW40" s="32"/>
      <c r="UTX40" s="32"/>
      <c r="UTY40" s="32"/>
      <c r="UTZ40" s="32"/>
      <c r="UUA40" s="32"/>
      <c r="UUB40" s="32"/>
      <c r="UUC40" s="32"/>
      <c r="UUD40" s="32"/>
      <c r="UUE40" s="32"/>
      <c r="UUF40" s="32"/>
      <c r="UUG40" s="32"/>
      <c r="UUH40" s="32"/>
      <c r="UUI40" s="32"/>
      <c r="UUJ40" s="32"/>
      <c r="UUK40" s="32"/>
      <c r="UUL40" s="32"/>
      <c r="UUM40" s="32"/>
      <c r="UUN40" s="32"/>
      <c r="UUO40" s="32"/>
      <c r="UUP40" s="32"/>
      <c r="UUQ40" s="32"/>
      <c r="UUR40" s="32"/>
      <c r="UUS40" s="32"/>
      <c r="UUT40" s="32"/>
      <c r="UUU40" s="32"/>
      <c r="UUV40" s="32"/>
      <c r="UUW40" s="32"/>
      <c r="UUX40" s="32"/>
      <c r="UUY40" s="32"/>
      <c r="UUZ40" s="32"/>
      <c r="UVA40" s="32"/>
      <c r="UVB40" s="32"/>
      <c r="UVC40" s="32"/>
      <c r="UVD40" s="32"/>
      <c r="UVE40" s="32"/>
      <c r="UVF40" s="32"/>
      <c r="UVG40" s="32"/>
      <c r="UVH40" s="32"/>
      <c r="UVI40" s="32"/>
      <c r="UVJ40" s="32"/>
      <c r="UVK40" s="32"/>
      <c r="UVL40" s="32"/>
      <c r="UVM40" s="32"/>
      <c r="UVN40" s="32"/>
      <c r="UVO40" s="32"/>
      <c r="UVP40" s="32"/>
      <c r="UVQ40" s="32"/>
      <c r="UVR40" s="32"/>
      <c r="UVS40" s="32"/>
      <c r="UVT40" s="32"/>
      <c r="UVU40" s="32"/>
      <c r="UVV40" s="32"/>
      <c r="UVW40" s="32"/>
      <c r="UVX40" s="32"/>
      <c r="UVY40" s="32"/>
      <c r="UVZ40" s="32"/>
      <c r="UWA40" s="32"/>
      <c r="UWB40" s="32"/>
      <c r="UWC40" s="32"/>
      <c r="UWD40" s="32"/>
      <c r="UWE40" s="32"/>
      <c r="UWF40" s="32"/>
      <c r="UWG40" s="32"/>
      <c r="UWH40" s="32"/>
      <c r="UWI40" s="32"/>
      <c r="UWJ40" s="32"/>
      <c r="UWK40" s="32"/>
      <c r="UWL40" s="32"/>
      <c r="UWM40" s="32"/>
      <c r="UWN40" s="32"/>
      <c r="UWO40" s="32"/>
      <c r="UWP40" s="32"/>
      <c r="UWQ40" s="32"/>
      <c r="UWR40" s="32"/>
      <c r="UWS40" s="32"/>
      <c r="UWT40" s="32"/>
      <c r="UWU40" s="32"/>
      <c r="UWV40" s="32"/>
      <c r="UWW40" s="32"/>
      <c r="UWX40" s="32"/>
      <c r="UWY40" s="32"/>
      <c r="UWZ40" s="32"/>
      <c r="UXA40" s="32"/>
      <c r="UXB40" s="32"/>
      <c r="UXC40" s="32"/>
      <c r="UXD40" s="32"/>
      <c r="UXE40" s="32"/>
      <c r="UXF40" s="32"/>
      <c r="UXG40" s="32"/>
      <c r="UXH40" s="32"/>
      <c r="UXI40" s="32"/>
      <c r="UXJ40" s="32"/>
      <c r="UXK40" s="32"/>
      <c r="UXL40" s="32"/>
      <c r="UXM40" s="32"/>
      <c r="UXN40" s="32"/>
      <c r="UXO40" s="32"/>
      <c r="UXP40" s="32"/>
      <c r="UXQ40" s="32"/>
      <c r="UXR40" s="32"/>
      <c r="UXS40" s="32"/>
      <c r="UXT40" s="32"/>
      <c r="UXU40" s="32"/>
      <c r="UXV40" s="32"/>
      <c r="UXW40" s="32"/>
      <c r="UXX40" s="32"/>
      <c r="UXY40" s="32"/>
      <c r="UXZ40" s="32"/>
      <c r="UYA40" s="32"/>
      <c r="UYB40" s="32"/>
      <c r="UYC40" s="32"/>
      <c r="UYD40" s="32"/>
      <c r="UYE40" s="32"/>
      <c r="UYF40" s="32"/>
      <c r="UYG40" s="32"/>
      <c r="UYH40" s="32"/>
      <c r="UYI40" s="32"/>
      <c r="UYJ40" s="32"/>
      <c r="UYK40" s="32"/>
      <c r="UYL40" s="32"/>
      <c r="UYM40" s="32"/>
      <c r="UYN40" s="32"/>
      <c r="UYO40" s="32"/>
      <c r="UYP40" s="32"/>
      <c r="UYQ40" s="32"/>
      <c r="UYR40" s="32"/>
      <c r="UYS40" s="32"/>
      <c r="UYT40" s="32"/>
      <c r="UYU40" s="32"/>
      <c r="UYV40" s="32"/>
      <c r="UYW40" s="32"/>
      <c r="UYX40" s="32"/>
      <c r="UYY40" s="32"/>
      <c r="UYZ40" s="32"/>
      <c r="UZA40" s="32"/>
      <c r="UZB40" s="32"/>
      <c r="UZC40" s="32"/>
      <c r="UZD40" s="32"/>
      <c r="UZE40" s="32"/>
      <c r="UZF40" s="32"/>
      <c r="UZG40" s="32"/>
      <c r="UZH40" s="32"/>
      <c r="UZI40" s="32"/>
      <c r="UZJ40" s="32"/>
      <c r="UZK40" s="32"/>
      <c r="UZL40" s="32"/>
      <c r="UZM40" s="32"/>
      <c r="UZN40" s="32"/>
      <c r="UZO40" s="32"/>
      <c r="UZP40" s="32"/>
      <c r="UZQ40" s="32"/>
      <c r="UZR40" s="32"/>
      <c r="UZS40" s="32"/>
      <c r="UZT40" s="32"/>
      <c r="UZU40" s="32"/>
      <c r="UZV40" s="32"/>
      <c r="UZW40" s="32"/>
      <c r="UZX40" s="32"/>
      <c r="UZY40" s="32"/>
      <c r="UZZ40" s="32"/>
      <c r="VAA40" s="32"/>
      <c r="VAB40" s="32"/>
      <c r="VAC40" s="32"/>
      <c r="VAD40" s="32"/>
      <c r="VAE40" s="32"/>
      <c r="VAF40" s="32"/>
      <c r="VAG40" s="32"/>
      <c r="VAH40" s="32"/>
      <c r="VAI40" s="32"/>
      <c r="VAJ40" s="32"/>
      <c r="VAK40" s="32"/>
      <c r="VAL40" s="32"/>
      <c r="VAM40" s="32"/>
      <c r="VAN40" s="32"/>
      <c r="VAO40" s="32"/>
      <c r="VAP40" s="32"/>
      <c r="VAQ40" s="32"/>
      <c r="VAR40" s="32"/>
      <c r="VAS40" s="32"/>
      <c r="VAT40" s="32"/>
      <c r="VAU40" s="32"/>
      <c r="VAV40" s="32"/>
      <c r="VAW40" s="32"/>
      <c r="VAX40" s="32"/>
      <c r="VAY40" s="32"/>
      <c r="VAZ40" s="32"/>
      <c r="VBA40" s="32"/>
      <c r="VBB40" s="32"/>
      <c r="VBC40" s="32"/>
      <c r="VBD40" s="32"/>
      <c r="VBE40" s="32"/>
      <c r="VBF40" s="32"/>
      <c r="VBG40" s="32"/>
      <c r="VBH40" s="32"/>
      <c r="VBI40" s="32"/>
      <c r="VBJ40" s="32"/>
      <c r="VBK40" s="32"/>
      <c r="VBL40" s="32"/>
      <c r="VBM40" s="32"/>
      <c r="VBN40" s="32"/>
      <c r="VBO40" s="32"/>
      <c r="VBP40" s="32"/>
      <c r="VBQ40" s="32"/>
      <c r="VBR40" s="32"/>
      <c r="VBS40" s="32"/>
      <c r="VBT40" s="32"/>
      <c r="VBU40" s="32"/>
      <c r="VBV40" s="32"/>
      <c r="VBW40" s="32"/>
      <c r="VBX40" s="32"/>
      <c r="VBY40" s="32"/>
      <c r="VBZ40" s="32"/>
      <c r="VCA40" s="32"/>
      <c r="VCB40" s="32"/>
      <c r="VCC40" s="32"/>
      <c r="VCD40" s="32"/>
      <c r="VCE40" s="32"/>
      <c r="VCF40" s="32"/>
      <c r="VCG40" s="32"/>
      <c r="VCH40" s="32"/>
      <c r="VCI40" s="32"/>
      <c r="VCJ40" s="32"/>
      <c r="VCK40" s="32"/>
      <c r="VCL40" s="32"/>
      <c r="VCM40" s="32"/>
      <c r="VCN40" s="32"/>
      <c r="VCO40" s="32"/>
      <c r="VCP40" s="32"/>
      <c r="VCQ40" s="32"/>
      <c r="VCR40" s="32"/>
      <c r="VCS40" s="32"/>
      <c r="VCT40" s="32"/>
      <c r="VCU40" s="32"/>
      <c r="VCV40" s="32"/>
      <c r="VCW40" s="32"/>
      <c r="VCX40" s="32"/>
      <c r="VCY40" s="32"/>
      <c r="VCZ40" s="32"/>
      <c r="VDA40" s="32"/>
      <c r="VDB40" s="32"/>
      <c r="VDC40" s="32"/>
      <c r="VDD40" s="32"/>
      <c r="VDE40" s="32"/>
      <c r="VDF40" s="32"/>
      <c r="VDG40" s="32"/>
      <c r="VDH40" s="32"/>
      <c r="VDI40" s="32"/>
      <c r="VDJ40" s="32"/>
      <c r="VDK40" s="32"/>
      <c r="VDL40" s="32"/>
      <c r="VDM40" s="32"/>
      <c r="VDN40" s="32"/>
      <c r="VDO40" s="32"/>
      <c r="VDP40" s="32"/>
      <c r="VDQ40" s="32"/>
      <c r="VDR40" s="32"/>
      <c r="VDS40" s="32"/>
      <c r="VDT40" s="32"/>
      <c r="VDU40" s="32"/>
      <c r="VDV40" s="32"/>
      <c r="VDW40" s="32"/>
      <c r="VDX40" s="32"/>
      <c r="VDY40" s="32"/>
      <c r="VDZ40" s="32"/>
      <c r="VEA40" s="32"/>
      <c r="VEB40" s="32"/>
      <c r="VEC40" s="32"/>
      <c r="VED40" s="32"/>
      <c r="VEE40" s="32"/>
      <c r="VEF40" s="32"/>
      <c r="VEG40" s="32"/>
      <c r="VEH40" s="32"/>
      <c r="VEI40" s="32"/>
      <c r="VEJ40" s="32"/>
      <c r="VEK40" s="32"/>
      <c r="VEL40" s="32"/>
      <c r="VEM40" s="32"/>
      <c r="VEN40" s="32"/>
      <c r="VEO40" s="32"/>
      <c r="VEP40" s="32"/>
      <c r="VEQ40" s="32"/>
      <c r="VER40" s="32"/>
      <c r="VES40" s="32"/>
      <c r="VET40" s="32"/>
      <c r="VEU40" s="32"/>
      <c r="VEV40" s="32"/>
      <c r="VEW40" s="32"/>
      <c r="VEX40" s="32"/>
      <c r="VEY40" s="32"/>
      <c r="VEZ40" s="32"/>
      <c r="VFA40" s="32"/>
      <c r="VFB40" s="32"/>
      <c r="VFC40" s="32"/>
      <c r="VFD40" s="32"/>
      <c r="VFE40" s="32"/>
      <c r="VFF40" s="32"/>
      <c r="VFG40" s="32"/>
      <c r="VFH40" s="32"/>
      <c r="VFI40" s="32"/>
      <c r="VFJ40" s="32"/>
      <c r="VFK40" s="32"/>
      <c r="VFL40" s="32"/>
      <c r="VFM40" s="32"/>
      <c r="VFN40" s="32"/>
      <c r="VFO40" s="32"/>
      <c r="VFP40" s="32"/>
      <c r="VFQ40" s="32"/>
      <c r="VFR40" s="32"/>
      <c r="VFS40" s="32"/>
      <c r="VFT40" s="32"/>
      <c r="VFU40" s="32"/>
      <c r="VFV40" s="32"/>
      <c r="VFW40" s="32"/>
      <c r="VFX40" s="32"/>
      <c r="VFY40" s="32"/>
      <c r="VFZ40" s="32"/>
      <c r="VGA40" s="32"/>
      <c r="VGB40" s="32"/>
      <c r="VGC40" s="32"/>
      <c r="VGD40" s="32"/>
      <c r="VGE40" s="32"/>
      <c r="VGF40" s="32"/>
      <c r="VGG40" s="32"/>
      <c r="VGH40" s="32"/>
      <c r="VGI40" s="32"/>
      <c r="VGJ40" s="32"/>
      <c r="VGK40" s="32"/>
      <c r="VGL40" s="32"/>
      <c r="VGM40" s="32"/>
      <c r="VGN40" s="32"/>
      <c r="VGO40" s="32"/>
      <c r="VGP40" s="32"/>
      <c r="VGQ40" s="32"/>
      <c r="VGR40" s="32"/>
      <c r="VGS40" s="32"/>
      <c r="VGT40" s="32"/>
      <c r="VGU40" s="32"/>
      <c r="VGV40" s="32"/>
      <c r="VGW40" s="32"/>
      <c r="VGX40" s="32"/>
      <c r="VGY40" s="32"/>
      <c r="VGZ40" s="32"/>
      <c r="VHA40" s="32"/>
      <c r="VHB40" s="32"/>
      <c r="VHC40" s="32"/>
      <c r="VHD40" s="32"/>
      <c r="VHE40" s="32"/>
      <c r="VHF40" s="32"/>
      <c r="VHG40" s="32"/>
      <c r="VHH40" s="32"/>
      <c r="VHI40" s="32"/>
      <c r="VHJ40" s="32"/>
      <c r="VHK40" s="32"/>
      <c r="VHL40" s="32"/>
      <c r="VHM40" s="32"/>
      <c r="VHN40" s="32"/>
      <c r="VHO40" s="32"/>
      <c r="VHP40" s="32"/>
      <c r="VHQ40" s="32"/>
      <c r="VHR40" s="32"/>
      <c r="VHS40" s="32"/>
      <c r="VHT40" s="32"/>
      <c r="VHU40" s="32"/>
      <c r="VHV40" s="32"/>
      <c r="VHW40" s="32"/>
      <c r="VHX40" s="32"/>
      <c r="VHY40" s="32"/>
      <c r="VHZ40" s="32"/>
      <c r="VIA40" s="32"/>
      <c r="VIB40" s="32"/>
      <c r="VIC40" s="32"/>
      <c r="VID40" s="32"/>
      <c r="VIE40" s="32"/>
      <c r="VIF40" s="32"/>
      <c r="VIG40" s="32"/>
      <c r="VIH40" s="32"/>
      <c r="VII40" s="32"/>
      <c r="VIJ40" s="32"/>
      <c r="VIK40" s="32"/>
      <c r="VIL40" s="32"/>
      <c r="VIM40" s="32"/>
      <c r="VIN40" s="32"/>
      <c r="VIO40" s="32"/>
      <c r="VIP40" s="32"/>
      <c r="VIQ40" s="32"/>
      <c r="VIR40" s="32"/>
      <c r="VIS40" s="32"/>
      <c r="VIT40" s="32"/>
      <c r="VIU40" s="32"/>
      <c r="VIV40" s="32"/>
      <c r="VIW40" s="32"/>
      <c r="VIX40" s="32"/>
      <c r="VIY40" s="32"/>
      <c r="VIZ40" s="32"/>
      <c r="VJA40" s="32"/>
      <c r="VJB40" s="32"/>
      <c r="VJC40" s="32"/>
      <c r="VJD40" s="32"/>
      <c r="VJE40" s="32"/>
      <c r="VJF40" s="32"/>
      <c r="VJG40" s="32"/>
      <c r="VJH40" s="32"/>
      <c r="VJI40" s="32"/>
      <c r="VJJ40" s="32"/>
      <c r="VJK40" s="32"/>
      <c r="VJL40" s="32"/>
      <c r="VJM40" s="32"/>
      <c r="VJN40" s="32"/>
      <c r="VJO40" s="32"/>
      <c r="VJP40" s="32"/>
      <c r="VJQ40" s="32"/>
      <c r="VJR40" s="32"/>
      <c r="VJS40" s="32"/>
      <c r="VJT40" s="32"/>
      <c r="VJU40" s="32"/>
      <c r="VJV40" s="32"/>
      <c r="VJW40" s="32"/>
      <c r="VJX40" s="32"/>
      <c r="VJY40" s="32"/>
      <c r="VJZ40" s="32"/>
      <c r="VKA40" s="32"/>
      <c r="VKB40" s="32"/>
      <c r="VKC40" s="32"/>
      <c r="VKD40" s="32"/>
      <c r="VKE40" s="32"/>
      <c r="VKF40" s="32"/>
      <c r="VKG40" s="32"/>
      <c r="VKH40" s="32"/>
      <c r="VKI40" s="32"/>
      <c r="VKJ40" s="32"/>
      <c r="VKK40" s="32"/>
      <c r="VKL40" s="32"/>
      <c r="VKM40" s="32"/>
      <c r="VKN40" s="32"/>
      <c r="VKO40" s="32"/>
      <c r="VKP40" s="32"/>
      <c r="VKQ40" s="32"/>
      <c r="VKR40" s="32"/>
      <c r="VKS40" s="32"/>
      <c r="VKT40" s="32"/>
      <c r="VKU40" s="32"/>
      <c r="VKV40" s="32"/>
      <c r="VKW40" s="32"/>
      <c r="VKX40" s="32"/>
      <c r="VKY40" s="32"/>
      <c r="VKZ40" s="32"/>
      <c r="VLA40" s="32"/>
      <c r="VLB40" s="32"/>
      <c r="VLC40" s="32"/>
      <c r="VLD40" s="32"/>
      <c r="VLE40" s="32"/>
      <c r="VLF40" s="32"/>
      <c r="VLG40" s="32"/>
      <c r="VLH40" s="32"/>
      <c r="VLI40" s="32"/>
      <c r="VLJ40" s="32"/>
      <c r="VLK40" s="32"/>
      <c r="VLL40" s="32"/>
      <c r="VLM40" s="32"/>
      <c r="VLN40" s="32"/>
      <c r="VLO40" s="32"/>
      <c r="VLP40" s="32"/>
      <c r="VLQ40" s="32"/>
      <c r="VLR40" s="32"/>
      <c r="VLS40" s="32"/>
      <c r="VLT40" s="32"/>
      <c r="VLU40" s="32"/>
      <c r="VLV40" s="32"/>
      <c r="VLW40" s="32"/>
      <c r="VLX40" s="32"/>
      <c r="VLY40" s="32"/>
      <c r="VLZ40" s="32"/>
      <c r="VMA40" s="32"/>
      <c r="VMB40" s="32"/>
      <c r="VMC40" s="32"/>
      <c r="VMD40" s="32"/>
      <c r="VME40" s="32"/>
      <c r="VMF40" s="32"/>
      <c r="VMG40" s="32"/>
      <c r="VMH40" s="32"/>
      <c r="VMI40" s="32"/>
      <c r="VMJ40" s="32"/>
      <c r="VMK40" s="32"/>
      <c r="VML40" s="32"/>
      <c r="VMM40" s="32"/>
      <c r="VMN40" s="32"/>
      <c r="VMO40" s="32"/>
      <c r="VMP40" s="32"/>
      <c r="VMQ40" s="32"/>
      <c r="VMR40" s="32"/>
      <c r="VMS40" s="32"/>
      <c r="VMT40" s="32"/>
      <c r="VMU40" s="32"/>
      <c r="VMV40" s="32"/>
      <c r="VMW40" s="32"/>
      <c r="VMX40" s="32"/>
      <c r="VMY40" s="32"/>
      <c r="VMZ40" s="32"/>
      <c r="VNA40" s="32"/>
      <c r="VNB40" s="32"/>
      <c r="VNC40" s="32"/>
      <c r="VND40" s="32"/>
      <c r="VNE40" s="32"/>
      <c r="VNF40" s="32"/>
      <c r="VNG40" s="32"/>
      <c r="VNH40" s="32"/>
      <c r="VNI40" s="32"/>
      <c r="VNJ40" s="32"/>
      <c r="VNK40" s="32"/>
      <c r="VNL40" s="32"/>
      <c r="VNM40" s="32"/>
      <c r="VNN40" s="32"/>
      <c r="VNO40" s="32"/>
      <c r="VNP40" s="32"/>
      <c r="VNQ40" s="32"/>
      <c r="VNR40" s="32"/>
      <c r="VNS40" s="32"/>
      <c r="VNT40" s="32"/>
      <c r="VNU40" s="32"/>
      <c r="VNV40" s="32"/>
      <c r="VNW40" s="32"/>
      <c r="VNX40" s="32"/>
      <c r="VNY40" s="32"/>
      <c r="VNZ40" s="32"/>
      <c r="VOA40" s="32"/>
      <c r="VOB40" s="32"/>
      <c r="VOC40" s="32"/>
      <c r="VOD40" s="32"/>
      <c r="VOE40" s="32"/>
      <c r="VOF40" s="32"/>
      <c r="VOG40" s="32"/>
      <c r="VOH40" s="32"/>
      <c r="VOI40" s="32"/>
      <c r="VOJ40" s="32"/>
      <c r="VOK40" s="32"/>
      <c r="VOL40" s="32"/>
      <c r="VOM40" s="32"/>
      <c r="VON40" s="32"/>
      <c r="VOO40" s="32"/>
      <c r="VOP40" s="32"/>
      <c r="VOQ40" s="32"/>
      <c r="VOR40" s="32"/>
      <c r="VOS40" s="32"/>
      <c r="VOT40" s="32"/>
      <c r="VOU40" s="32"/>
      <c r="VOV40" s="32"/>
      <c r="VOW40" s="32"/>
      <c r="VOX40" s="32"/>
      <c r="VOY40" s="32"/>
      <c r="VOZ40" s="32"/>
      <c r="VPA40" s="32"/>
      <c r="VPB40" s="32"/>
      <c r="VPC40" s="32"/>
      <c r="VPD40" s="32"/>
      <c r="VPE40" s="32"/>
      <c r="VPF40" s="32"/>
      <c r="VPG40" s="32"/>
      <c r="VPH40" s="32"/>
      <c r="VPI40" s="32"/>
      <c r="VPJ40" s="32"/>
      <c r="VPK40" s="32"/>
      <c r="VPL40" s="32"/>
      <c r="VPM40" s="32"/>
      <c r="VPN40" s="32"/>
      <c r="VPO40" s="32"/>
      <c r="VPP40" s="32"/>
      <c r="VPQ40" s="32"/>
      <c r="VPR40" s="32"/>
      <c r="VPS40" s="32"/>
      <c r="VPT40" s="32"/>
      <c r="VPU40" s="32"/>
      <c r="VPV40" s="32"/>
      <c r="VPW40" s="32"/>
      <c r="VPX40" s="32"/>
      <c r="VPY40" s="32"/>
      <c r="VPZ40" s="32"/>
      <c r="VQA40" s="32"/>
      <c r="VQB40" s="32"/>
      <c r="VQC40" s="32"/>
      <c r="VQD40" s="32"/>
      <c r="VQE40" s="32"/>
      <c r="VQF40" s="32"/>
      <c r="VQG40" s="32"/>
      <c r="VQH40" s="32"/>
      <c r="VQI40" s="32"/>
      <c r="VQJ40" s="32"/>
      <c r="VQK40" s="32"/>
      <c r="VQL40" s="32"/>
      <c r="VQM40" s="32"/>
      <c r="VQN40" s="32"/>
      <c r="VQO40" s="32"/>
      <c r="VQP40" s="32"/>
      <c r="VQQ40" s="32"/>
      <c r="VQR40" s="32"/>
      <c r="VQS40" s="32"/>
      <c r="VQT40" s="32"/>
      <c r="VQU40" s="32"/>
      <c r="VQV40" s="32"/>
      <c r="VQW40" s="32"/>
      <c r="VQX40" s="32"/>
      <c r="VQY40" s="32"/>
      <c r="VQZ40" s="32"/>
      <c r="VRA40" s="32"/>
      <c r="VRB40" s="32"/>
      <c r="VRC40" s="32"/>
      <c r="VRD40" s="32"/>
      <c r="VRE40" s="32"/>
      <c r="VRF40" s="32"/>
      <c r="VRG40" s="32"/>
      <c r="VRH40" s="32"/>
      <c r="VRI40" s="32"/>
      <c r="VRJ40" s="32"/>
      <c r="VRK40" s="32"/>
      <c r="VRL40" s="32"/>
      <c r="VRM40" s="32"/>
      <c r="VRN40" s="32"/>
      <c r="VRO40" s="32"/>
      <c r="VRP40" s="32"/>
      <c r="VRQ40" s="32"/>
      <c r="VRR40" s="32"/>
      <c r="VRS40" s="32"/>
      <c r="VRT40" s="32"/>
      <c r="VRU40" s="32"/>
      <c r="VRV40" s="32"/>
      <c r="VRW40" s="32"/>
      <c r="VRX40" s="32"/>
      <c r="VRY40" s="32"/>
      <c r="VRZ40" s="32"/>
      <c r="VSA40" s="32"/>
      <c r="VSB40" s="32"/>
      <c r="VSC40" s="32"/>
      <c r="VSD40" s="32"/>
      <c r="VSE40" s="32"/>
      <c r="VSF40" s="32"/>
      <c r="VSG40" s="32"/>
      <c r="VSH40" s="32"/>
      <c r="VSI40" s="32"/>
      <c r="VSJ40" s="32"/>
      <c r="VSK40" s="32"/>
      <c r="VSL40" s="32"/>
      <c r="VSM40" s="32"/>
      <c r="VSN40" s="32"/>
      <c r="VSO40" s="32"/>
      <c r="VSP40" s="32"/>
      <c r="VSQ40" s="32"/>
      <c r="VSR40" s="32"/>
      <c r="VSS40" s="32"/>
      <c r="VST40" s="32"/>
      <c r="VSU40" s="32"/>
      <c r="VSV40" s="32"/>
      <c r="VSW40" s="32"/>
      <c r="VSX40" s="32"/>
      <c r="VSY40" s="32"/>
      <c r="VSZ40" s="32"/>
      <c r="VTA40" s="32"/>
      <c r="VTB40" s="32"/>
      <c r="VTC40" s="32"/>
      <c r="VTD40" s="32"/>
      <c r="VTE40" s="32"/>
      <c r="VTF40" s="32"/>
      <c r="VTG40" s="32"/>
      <c r="VTH40" s="32"/>
      <c r="VTI40" s="32"/>
      <c r="VTJ40" s="32"/>
      <c r="VTK40" s="32"/>
      <c r="VTL40" s="32"/>
      <c r="VTM40" s="32"/>
      <c r="VTN40" s="32"/>
      <c r="VTO40" s="32"/>
      <c r="VTP40" s="32"/>
      <c r="VTQ40" s="32"/>
      <c r="VTR40" s="32"/>
      <c r="VTS40" s="32"/>
      <c r="VTT40" s="32"/>
      <c r="VTU40" s="32"/>
      <c r="VTV40" s="32"/>
      <c r="VTW40" s="32"/>
      <c r="VTX40" s="32"/>
      <c r="VTY40" s="32"/>
      <c r="VTZ40" s="32"/>
      <c r="VUA40" s="32"/>
      <c r="VUB40" s="32"/>
      <c r="VUC40" s="32"/>
      <c r="VUD40" s="32"/>
      <c r="VUE40" s="32"/>
      <c r="VUF40" s="32"/>
      <c r="VUG40" s="32"/>
      <c r="VUH40" s="32"/>
      <c r="VUI40" s="32"/>
      <c r="VUJ40" s="32"/>
      <c r="VUK40" s="32"/>
      <c r="VUL40" s="32"/>
      <c r="VUM40" s="32"/>
      <c r="VUN40" s="32"/>
      <c r="VUO40" s="32"/>
      <c r="VUP40" s="32"/>
      <c r="VUQ40" s="32"/>
      <c r="VUR40" s="32"/>
      <c r="VUS40" s="32"/>
      <c r="VUT40" s="32"/>
      <c r="VUU40" s="32"/>
      <c r="VUV40" s="32"/>
      <c r="VUW40" s="32"/>
      <c r="VUX40" s="32"/>
      <c r="VUY40" s="32"/>
      <c r="VUZ40" s="32"/>
      <c r="VVA40" s="32"/>
      <c r="VVB40" s="32"/>
      <c r="VVC40" s="32"/>
      <c r="VVD40" s="32"/>
      <c r="VVE40" s="32"/>
      <c r="VVF40" s="32"/>
      <c r="VVG40" s="32"/>
      <c r="VVH40" s="32"/>
      <c r="VVI40" s="32"/>
      <c r="VVJ40" s="32"/>
      <c r="VVK40" s="32"/>
      <c r="VVL40" s="32"/>
      <c r="VVM40" s="32"/>
      <c r="VVN40" s="32"/>
      <c r="VVO40" s="32"/>
      <c r="VVP40" s="32"/>
      <c r="VVQ40" s="32"/>
      <c r="VVR40" s="32"/>
      <c r="VVS40" s="32"/>
      <c r="VVT40" s="32"/>
      <c r="VVU40" s="32"/>
      <c r="VVV40" s="32"/>
      <c r="VVW40" s="32"/>
      <c r="VVX40" s="32"/>
      <c r="VVY40" s="32"/>
      <c r="VVZ40" s="32"/>
      <c r="VWA40" s="32"/>
      <c r="VWB40" s="32"/>
      <c r="VWC40" s="32"/>
      <c r="VWD40" s="32"/>
      <c r="VWE40" s="32"/>
      <c r="VWF40" s="32"/>
      <c r="VWG40" s="32"/>
      <c r="VWH40" s="32"/>
      <c r="VWI40" s="32"/>
      <c r="VWJ40" s="32"/>
      <c r="VWK40" s="32"/>
      <c r="VWL40" s="32"/>
      <c r="VWM40" s="32"/>
      <c r="VWN40" s="32"/>
      <c r="VWO40" s="32"/>
      <c r="VWP40" s="32"/>
      <c r="VWQ40" s="32"/>
      <c r="VWR40" s="32"/>
      <c r="VWS40" s="32"/>
      <c r="VWT40" s="32"/>
      <c r="VWU40" s="32"/>
      <c r="VWV40" s="32"/>
      <c r="VWW40" s="32"/>
      <c r="VWX40" s="32"/>
      <c r="VWY40" s="32"/>
      <c r="VWZ40" s="32"/>
      <c r="VXA40" s="32"/>
      <c r="VXB40" s="32"/>
      <c r="VXC40" s="32"/>
      <c r="VXD40" s="32"/>
      <c r="VXE40" s="32"/>
      <c r="VXF40" s="32"/>
      <c r="VXG40" s="32"/>
      <c r="VXH40" s="32"/>
      <c r="VXI40" s="32"/>
      <c r="VXJ40" s="32"/>
      <c r="VXK40" s="32"/>
      <c r="VXL40" s="32"/>
      <c r="VXM40" s="32"/>
      <c r="VXN40" s="32"/>
      <c r="VXO40" s="32"/>
      <c r="VXP40" s="32"/>
      <c r="VXQ40" s="32"/>
      <c r="VXR40" s="32"/>
      <c r="VXS40" s="32"/>
      <c r="VXT40" s="32"/>
      <c r="VXU40" s="32"/>
      <c r="VXV40" s="32"/>
      <c r="VXW40" s="32"/>
      <c r="VXX40" s="32"/>
      <c r="VXY40" s="32"/>
      <c r="VXZ40" s="32"/>
      <c r="VYA40" s="32"/>
      <c r="VYB40" s="32"/>
      <c r="VYC40" s="32"/>
      <c r="VYD40" s="32"/>
      <c r="VYE40" s="32"/>
      <c r="VYF40" s="32"/>
      <c r="VYG40" s="32"/>
      <c r="VYH40" s="32"/>
      <c r="VYI40" s="32"/>
      <c r="VYJ40" s="32"/>
      <c r="VYK40" s="32"/>
      <c r="VYL40" s="32"/>
      <c r="VYM40" s="32"/>
      <c r="VYN40" s="32"/>
      <c r="VYO40" s="32"/>
      <c r="VYP40" s="32"/>
      <c r="VYQ40" s="32"/>
      <c r="VYR40" s="32"/>
      <c r="VYS40" s="32"/>
      <c r="VYT40" s="32"/>
      <c r="VYU40" s="32"/>
      <c r="VYV40" s="32"/>
      <c r="VYW40" s="32"/>
      <c r="VYX40" s="32"/>
      <c r="VYY40" s="32"/>
      <c r="VYZ40" s="32"/>
      <c r="VZA40" s="32"/>
      <c r="VZB40" s="32"/>
      <c r="VZC40" s="32"/>
      <c r="VZD40" s="32"/>
      <c r="VZE40" s="32"/>
      <c r="VZF40" s="32"/>
      <c r="VZG40" s="32"/>
      <c r="VZH40" s="32"/>
      <c r="VZI40" s="32"/>
      <c r="VZJ40" s="32"/>
      <c r="VZK40" s="32"/>
      <c r="VZL40" s="32"/>
      <c r="VZM40" s="32"/>
      <c r="VZN40" s="32"/>
      <c r="VZO40" s="32"/>
      <c r="VZP40" s="32"/>
      <c r="VZQ40" s="32"/>
      <c r="VZR40" s="32"/>
      <c r="VZS40" s="32"/>
      <c r="VZT40" s="32"/>
      <c r="VZU40" s="32"/>
      <c r="VZV40" s="32"/>
      <c r="VZW40" s="32"/>
      <c r="VZX40" s="32"/>
      <c r="VZY40" s="32"/>
      <c r="VZZ40" s="32"/>
      <c r="WAA40" s="32"/>
      <c r="WAB40" s="32"/>
      <c r="WAC40" s="32"/>
      <c r="WAD40" s="32"/>
      <c r="WAE40" s="32"/>
      <c r="WAF40" s="32"/>
      <c r="WAG40" s="32"/>
      <c r="WAH40" s="32"/>
      <c r="WAI40" s="32"/>
      <c r="WAJ40" s="32"/>
      <c r="WAK40" s="32"/>
      <c r="WAL40" s="32"/>
      <c r="WAM40" s="32"/>
      <c r="WAN40" s="32"/>
      <c r="WAO40" s="32"/>
      <c r="WAP40" s="32"/>
      <c r="WAQ40" s="32"/>
      <c r="WAR40" s="32"/>
      <c r="WAS40" s="32"/>
      <c r="WAT40" s="32"/>
      <c r="WAU40" s="32"/>
      <c r="WAV40" s="32"/>
      <c r="WAW40" s="32"/>
      <c r="WAX40" s="32"/>
      <c r="WAY40" s="32"/>
      <c r="WAZ40" s="32"/>
      <c r="WBA40" s="32"/>
      <c r="WBB40" s="32"/>
      <c r="WBC40" s="32"/>
      <c r="WBD40" s="32"/>
      <c r="WBE40" s="32"/>
      <c r="WBF40" s="32"/>
      <c r="WBG40" s="32"/>
      <c r="WBH40" s="32"/>
      <c r="WBI40" s="32"/>
      <c r="WBJ40" s="32"/>
      <c r="WBK40" s="32"/>
      <c r="WBL40" s="32"/>
      <c r="WBM40" s="32"/>
      <c r="WBN40" s="32"/>
      <c r="WBO40" s="32"/>
      <c r="WBP40" s="32"/>
      <c r="WBQ40" s="32"/>
      <c r="WBR40" s="32"/>
      <c r="WBS40" s="32"/>
      <c r="WBT40" s="32"/>
      <c r="WBU40" s="32"/>
      <c r="WBV40" s="32"/>
      <c r="WBW40" s="32"/>
      <c r="WBX40" s="32"/>
      <c r="WBY40" s="32"/>
      <c r="WBZ40" s="32"/>
      <c r="WCA40" s="32"/>
      <c r="WCB40" s="32"/>
      <c r="WCC40" s="32"/>
      <c r="WCD40" s="32"/>
      <c r="WCE40" s="32"/>
      <c r="WCF40" s="32"/>
      <c r="WCG40" s="32"/>
      <c r="WCH40" s="32"/>
      <c r="WCI40" s="32"/>
      <c r="WCJ40" s="32"/>
      <c r="WCK40" s="32"/>
      <c r="WCL40" s="32"/>
      <c r="WCM40" s="32"/>
      <c r="WCN40" s="32"/>
      <c r="WCO40" s="32"/>
      <c r="WCP40" s="32"/>
      <c r="WCQ40" s="32"/>
      <c r="WCR40" s="32"/>
      <c r="WCS40" s="32"/>
      <c r="WCT40" s="32"/>
      <c r="WCU40" s="32"/>
      <c r="WCV40" s="32"/>
      <c r="WCW40" s="32"/>
      <c r="WCX40" s="32"/>
      <c r="WCY40" s="32"/>
      <c r="WCZ40" s="32"/>
      <c r="WDA40" s="32"/>
      <c r="WDB40" s="32"/>
      <c r="WDC40" s="32"/>
      <c r="WDD40" s="32"/>
      <c r="WDE40" s="32"/>
      <c r="WDF40" s="32"/>
      <c r="WDG40" s="32"/>
      <c r="WDH40" s="32"/>
      <c r="WDI40" s="32"/>
      <c r="WDJ40" s="32"/>
      <c r="WDK40" s="32"/>
      <c r="WDL40" s="32"/>
      <c r="WDM40" s="32"/>
      <c r="WDN40" s="32"/>
      <c r="WDO40" s="32"/>
      <c r="WDP40" s="32"/>
      <c r="WDQ40" s="32"/>
      <c r="WDR40" s="32"/>
      <c r="WDS40" s="32"/>
      <c r="WDT40" s="32"/>
      <c r="WDU40" s="32"/>
      <c r="WDV40" s="32"/>
      <c r="WDW40" s="32"/>
      <c r="WDX40" s="32"/>
      <c r="WDY40" s="32"/>
      <c r="WDZ40" s="32"/>
      <c r="WEA40" s="32"/>
      <c r="WEB40" s="32"/>
      <c r="WEC40" s="32"/>
      <c r="WED40" s="32"/>
      <c r="WEE40" s="32"/>
      <c r="WEF40" s="32"/>
      <c r="WEG40" s="32"/>
      <c r="WEH40" s="32"/>
      <c r="WEI40" s="32"/>
      <c r="WEJ40" s="32"/>
      <c r="WEK40" s="32"/>
      <c r="WEL40" s="32"/>
      <c r="WEM40" s="32"/>
      <c r="WEN40" s="32"/>
      <c r="WEO40" s="32"/>
      <c r="WEP40" s="32"/>
      <c r="WEQ40" s="32"/>
      <c r="WER40" s="32"/>
      <c r="WES40" s="32"/>
      <c r="WET40" s="32"/>
      <c r="WEU40" s="32"/>
      <c r="WEV40" s="32"/>
      <c r="WEW40" s="32"/>
      <c r="WEX40" s="32"/>
      <c r="WEY40" s="32"/>
      <c r="WEZ40" s="32"/>
      <c r="WFA40" s="32"/>
      <c r="WFB40" s="32"/>
      <c r="WFC40" s="32"/>
      <c r="WFD40" s="32"/>
      <c r="WFE40" s="32"/>
      <c r="WFF40" s="32"/>
      <c r="WFG40" s="32"/>
      <c r="WFH40" s="32"/>
      <c r="WFI40" s="32"/>
      <c r="WFJ40" s="32"/>
      <c r="WFK40" s="32"/>
      <c r="WFL40" s="32"/>
      <c r="WFM40" s="32"/>
      <c r="WFN40" s="32"/>
      <c r="WFO40" s="32"/>
      <c r="WFP40" s="32"/>
      <c r="WFQ40" s="32"/>
      <c r="WFR40" s="32"/>
      <c r="WFS40" s="32"/>
      <c r="WFT40" s="32"/>
      <c r="WFU40" s="32"/>
      <c r="WFV40" s="32"/>
      <c r="WFW40" s="32"/>
      <c r="WFX40" s="32"/>
      <c r="WFY40" s="32"/>
      <c r="WFZ40" s="32"/>
      <c r="WGA40" s="32"/>
      <c r="WGB40" s="32"/>
      <c r="WGC40" s="32"/>
      <c r="WGD40" s="32"/>
      <c r="WGE40" s="32"/>
      <c r="WGF40" s="32"/>
      <c r="WGG40" s="32"/>
      <c r="WGH40" s="32"/>
      <c r="WGI40" s="32"/>
      <c r="WGJ40" s="32"/>
      <c r="WGK40" s="32"/>
      <c r="WGL40" s="32"/>
      <c r="WGM40" s="32"/>
      <c r="WGN40" s="32"/>
      <c r="WGO40" s="32"/>
      <c r="WGP40" s="32"/>
      <c r="WGQ40" s="32"/>
      <c r="WGR40" s="32"/>
      <c r="WGS40" s="32"/>
      <c r="WGT40" s="32"/>
      <c r="WGU40" s="32"/>
      <c r="WGV40" s="32"/>
      <c r="WGW40" s="32"/>
      <c r="WGX40" s="32"/>
      <c r="WGY40" s="32"/>
      <c r="WGZ40" s="32"/>
      <c r="WHA40" s="32"/>
      <c r="WHB40" s="32"/>
      <c r="WHC40" s="32"/>
      <c r="WHD40" s="32"/>
      <c r="WHE40" s="32"/>
      <c r="WHF40" s="32"/>
      <c r="WHG40" s="32"/>
      <c r="WHH40" s="32"/>
      <c r="WHI40" s="32"/>
      <c r="WHJ40" s="32"/>
      <c r="WHK40" s="32"/>
      <c r="WHL40" s="32"/>
      <c r="WHM40" s="32"/>
      <c r="WHN40" s="32"/>
      <c r="WHO40" s="32"/>
      <c r="WHP40" s="32"/>
      <c r="WHQ40" s="32"/>
      <c r="WHR40" s="32"/>
      <c r="WHS40" s="32"/>
      <c r="WHT40" s="32"/>
      <c r="WHU40" s="32"/>
      <c r="WHV40" s="32"/>
      <c r="WHW40" s="32"/>
      <c r="WHX40" s="32"/>
      <c r="WHY40" s="32"/>
      <c r="WHZ40" s="32"/>
      <c r="WIA40" s="32"/>
      <c r="WIB40" s="32"/>
      <c r="WIC40" s="32"/>
      <c r="WID40" s="32"/>
      <c r="WIE40" s="32"/>
      <c r="WIF40" s="32"/>
      <c r="WIG40" s="32"/>
      <c r="WIH40" s="32"/>
      <c r="WII40" s="32"/>
      <c r="WIJ40" s="32"/>
      <c r="WIK40" s="32"/>
      <c r="WIL40" s="32"/>
      <c r="WIM40" s="32"/>
      <c r="WIN40" s="32"/>
      <c r="WIO40" s="32"/>
      <c r="WIP40" s="32"/>
      <c r="WIQ40" s="32"/>
      <c r="WIR40" s="32"/>
      <c r="WIS40" s="32"/>
      <c r="WIT40" s="32"/>
      <c r="WIU40" s="32"/>
      <c r="WIV40" s="32"/>
      <c r="WIW40" s="32"/>
      <c r="WIX40" s="32"/>
      <c r="WIY40" s="32"/>
      <c r="WIZ40" s="32"/>
      <c r="WJA40" s="32"/>
      <c r="WJB40" s="32"/>
      <c r="WJC40" s="32"/>
      <c r="WJD40" s="32"/>
      <c r="WJE40" s="32"/>
      <c r="WJF40" s="32"/>
      <c r="WJG40" s="32"/>
      <c r="WJH40" s="32"/>
      <c r="WJI40" s="32"/>
      <c r="WJJ40" s="32"/>
      <c r="WJK40" s="32"/>
      <c r="WJL40" s="32"/>
      <c r="WJM40" s="32"/>
      <c r="WJN40" s="32"/>
      <c r="WJO40" s="32"/>
      <c r="WJP40" s="32"/>
      <c r="WJQ40" s="32"/>
      <c r="WJR40" s="32"/>
      <c r="WJS40" s="32"/>
      <c r="WJT40" s="32"/>
      <c r="WJU40" s="32"/>
      <c r="WJV40" s="32"/>
      <c r="WJW40" s="32"/>
      <c r="WJX40" s="32"/>
      <c r="WJY40" s="32"/>
      <c r="WJZ40" s="32"/>
      <c r="WKA40" s="32"/>
      <c r="WKB40" s="32"/>
      <c r="WKC40" s="32"/>
      <c r="WKD40" s="32"/>
      <c r="WKE40" s="32"/>
      <c r="WKF40" s="32"/>
      <c r="WKG40" s="32"/>
      <c r="WKH40" s="32"/>
      <c r="WKI40" s="32"/>
      <c r="WKJ40" s="32"/>
      <c r="WKK40" s="32"/>
      <c r="WKL40" s="32"/>
      <c r="WKM40" s="32"/>
      <c r="WKN40" s="32"/>
      <c r="WKO40" s="32"/>
      <c r="WKP40" s="32"/>
      <c r="WKQ40" s="32"/>
      <c r="WKR40" s="32"/>
      <c r="WKS40" s="32"/>
      <c r="WKT40" s="32"/>
      <c r="WKU40" s="32"/>
      <c r="WKV40" s="32"/>
      <c r="WKW40" s="32"/>
      <c r="WKX40" s="32"/>
      <c r="WKY40" s="32"/>
      <c r="WKZ40" s="32"/>
      <c r="WLA40" s="32"/>
      <c r="WLB40" s="32"/>
      <c r="WLC40" s="32"/>
      <c r="WLD40" s="32"/>
      <c r="WLE40" s="32"/>
      <c r="WLF40" s="32"/>
      <c r="WLG40" s="32"/>
      <c r="WLH40" s="32"/>
      <c r="WLI40" s="32"/>
      <c r="WLJ40" s="32"/>
      <c r="WLK40" s="32"/>
      <c r="WLL40" s="32"/>
      <c r="WLM40" s="32"/>
      <c r="WLN40" s="32"/>
      <c r="WLO40" s="32"/>
      <c r="WLP40" s="32"/>
      <c r="WLQ40" s="32"/>
      <c r="WLR40" s="32"/>
      <c r="WLS40" s="32"/>
      <c r="WLT40" s="32"/>
      <c r="WLU40" s="32"/>
      <c r="WLV40" s="32"/>
      <c r="WLW40" s="32"/>
      <c r="WLX40" s="32"/>
      <c r="WLY40" s="32"/>
      <c r="WLZ40" s="32"/>
      <c r="WMA40" s="32"/>
      <c r="WMB40" s="32"/>
      <c r="WMC40" s="32"/>
      <c r="WMD40" s="32"/>
      <c r="WME40" s="32"/>
      <c r="WMF40" s="32"/>
      <c r="WMG40" s="32"/>
      <c r="WMH40" s="32"/>
      <c r="WMI40" s="32"/>
      <c r="WMJ40" s="32"/>
      <c r="WMK40" s="32"/>
      <c r="WML40" s="32"/>
      <c r="WMM40" s="32"/>
      <c r="WMN40" s="32"/>
      <c r="WMO40" s="32"/>
      <c r="WMP40" s="32"/>
      <c r="WMQ40" s="32"/>
      <c r="WMR40" s="32"/>
      <c r="WMS40" s="32"/>
      <c r="WMT40" s="32"/>
      <c r="WMU40" s="32"/>
      <c r="WMV40" s="32"/>
      <c r="WMW40" s="32"/>
      <c r="WMX40" s="32"/>
      <c r="WMY40" s="32"/>
      <c r="WMZ40" s="32"/>
      <c r="WNA40" s="32"/>
      <c r="WNB40" s="32"/>
      <c r="WNC40" s="32"/>
      <c r="WND40" s="32"/>
      <c r="WNE40" s="32"/>
      <c r="WNF40" s="32"/>
      <c r="WNG40" s="32"/>
      <c r="WNH40" s="32"/>
      <c r="WNI40" s="32"/>
      <c r="WNJ40" s="32"/>
      <c r="WNK40" s="32"/>
      <c r="WNL40" s="32"/>
      <c r="WNM40" s="32"/>
      <c r="WNN40" s="32"/>
      <c r="WNO40" s="32"/>
      <c r="WNP40" s="32"/>
      <c r="WNQ40" s="32"/>
      <c r="WNR40" s="32"/>
      <c r="WNS40" s="32"/>
      <c r="WNT40" s="32"/>
      <c r="WNU40" s="32"/>
      <c r="WNV40" s="32"/>
      <c r="WNW40" s="32"/>
      <c r="WNX40" s="32"/>
      <c r="WNY40" s="32"/>
      <c r="WNZ40" s="32"/>
      <c r="WOA40" s="32"/>
      <c r="WOB40" s="32"/>
      <c r="WOC40" s="32"/>
      <c r="WOD40" s="32"/>
      <c r="WOE40" s="32"/>
      <c r="WOF40" s="32"/>
      <c r="WOG40" s="32"/>
      <c r="WOH40" s="32"/>
      <c r="WOI40" s="32"/>
      <c r="WOJ40" s="32"/>
      <c r="WOK40" s="32"/>
      <c r="WOL40" s="32"/>
      <c r="WOM40" s="32"/>
      <c r="WON40" s="32"/>
      <c r="WOO40" s="32"/>
      <c r="WOP40" s="32"/>
      <c r="WOQ40" s="32"/>
      <c r="WOR40" s="32"/>
      <c r="WOS40" s="32"/>
      <c r="WOT40" s="32"/>
      <c r="WOU40" s="32"/>
      <c r="WOV40" s="32"/>
      <c r="WOW40" s="32"/>
      <c r="WOX40" s="32"/>
      <c r="WOY40" s="32"/>
      <c r="WOZ40" s="32"/>
      <c r="WPA40" s="32"/>
      <c r="WPB40" s="32"/>
      <c r="WPC40" s="32"/>
      <c r="WPD40" s="32"/>
      <c r="WPE40" s="32"/>
      <c r="WPF40" s="32"/>
      <c r="WPG40" s="32"/>
      <c r="WPH40" s="32"/>
      <c r="WPI40" s="32"/>
      <c r="WPJ40" s="32"/>
      <c r="WPK40" s="32"/>
      <c r="WPL40" s="32"/>
      <c r="WPM40" s="32"/>
      <c r="WPN40" s="32"/>
      <c r="WPO40" s="32"/>
      <c r="WPP40" s="32"/>
      <c r="WPQ40" s="32"/>
      <c r="WPR40" s="32"/>
      <c r="WPS40" s="32"/>
      <c r="WPT40" s="32"/>
      <c r="WPU40" s="32"/>
      <c r="WPV40" s="32"/>
      <c r="WPW40" s="32"/>
      <c r="WPX40" s="32"/>
      <c r="WPY40" s="32"/>
      <c r="WPZ40" s="32"/>
      <c r="WQA40" s="32"/>
      <c r="WQB40" s="32"/>
      <c r="WQC40" s="32"/>
      <c r="WQD40" s="32"/>
      <c r="WQE40" s="32"/>
      <c r="WQF40" s="32"/>
      <c r="WQG40" s="32"/>
      <c r="WQH40" s="32"/>
      <c r="WQI40" s="32"/>
      <c r="WQJ40" s="32"/>
      <c r="WQK40" s="32"/>
      <c r="WQL40" s="32"/>
      <c r="WQM40" s="32"/>
      <c r="WQN40" s="32"/>
      <c r="WQO40" s="32"/>
      <c r="WQP40" s="32"/>
      <c r="WQQ40" s="32"/>
      <c r="WQR40" s="32"/>
      <c r="WQS40" s="32"/>
      <c r="WQT40" s="32"/>
      <c r="WQU40" s="32"/>
      <c r="WQV40" s="32"/>
      <c r="WQW40" s="32"/>
      <c r="WQX40" s="32"/>
      <c r="WQY40" s="32"/>
      <c r="WQZ40" s="32"/>
      <c r="WRA40" s="32"/>
      <c r="WRB40" s="32"/>
      <c r="WRC40" s="32"/>
      <c r="WRD40" s="32"/>
      <c r="WRE40" s="32"/>
      <c r="WRF40" s="32"/>
      <c r="WRG40" s="32"/>
      <c r="WRH40" s="32"/>
      <c r="WRI40" s="32"/>
      <c r="WRJ40" s="32"/>
      <c r="WRK40" s="32"/>
      <c r="WRL40" s="32"/>
      <c r="WRM40" s="32"/>
      <c r="WRN40" s="32"/>
      <c r="WRO40" s="32"/>
      <c r="WRP40" s="32"/>
      <c r="WRQ40" s="32"/>
      <c r="WRR40" s="32"/>
      <c r="WRS40" s="32"/>
      <c r="WRT40" s="32"/>
      <c r="WRU40" s="32"/>
      <c r="WRV40" s="32"/>
      <c r="WRW40" s="32"/>
      <c r="WRX40" s="32"/>
      <c r="WRY40" s="32"/>
      <c r="WRZ40" s="32"/>
      <c r="WSA40" s="32"/>
      <c r="WSB40" s="32"/>
      <c r="WSC40" s="32"/>
      <c r="WSD40" s="32"/>
      <c r="WSE40" s="32"/>
      <c r="WSF40" s="32"/>
      <c r="WSG40" s="32"/>
      <c r="WSH40" s="32"/>
      <c r="WSI40" s="32"/>
      <c r="WSJ40" s="32"/>
      <c r="WSK40" s="32"/>
      <c r="WSL40" s="32"/>
      <c r="WSM40" s="32"/>
      <c r="WSN40" s="32"/>
      <c r="WSO40" s="32"/>
      <c r="WSP40" s="32"/>
      <c r="WSQ40" s="32"/>
      <c r="WSR40" s="32"/>
      <c r="WSS40" s="32"/>
      <c r="WST40" s="32"/>
      <c r="WSU40" s="32"/>
      <c r="WSV40" s="32"/>
      <c r="WSW40" s="32"/>
      <c r="WSX40" s="32"/>
      <c r="WSY40" s="32"/>
      <c r="WSZ40" s="32"/>
      <c r="WTA40" s="32"/>
      <c r="WTB40" s="32"/>
      <c r="WTC40" s="32"/>
      <c r="WTD40" s="32"/>
      <c r="WTE40" s="32"/>
      <c r="WTF40" s="32"/>
      <c r="WTG40" s="32"/>
      <c r="WTH40" s="32"/>
      <c r="WTI40" s="32"/>
      <c r="WTJ40" s="32"/>
      <c r="WTK40" s="32"/>
      <c r="WTL40" s="32"/>
      <c r="WTM40" s="32"/>
      <c r="WTN40" s="32"/>
      <c r="WTO40" s="32"/>
      <c r="WTP40" s="32"/>
      <c r="WTQ40" s="32"/>
      <c r="WTR40" s="32"/>
      <c r="WTS40" s="32"/>
      <c r="WTT40" s="32"/>
      <c r="WTU40" s="32"/>
      <c r="WTV40" s="32"/>
      <c r="WTW40" s="32"/>
      <c r="WTX40" s="32"/>
      <c r="WTY40" s="32"/>
      <c r="WTZ40" s="32"/>
      <c r="WUA40" s="32"/>
      <c r="WUB40" s="32"/>
      <c r="WUC40" s="32"/>
      <c r="WUD40" s="32"/>
      <c r="WUE40" s="32"/>
      <c r="WUF40" s="32"/>
      <c r="WUG40" s="32"/>
      <c r="WUH40" s="32"/>
      <c r="WUI40" s="32"/>
      <c r="WUJ40" s="32"/>
      <c r="WUK40" s="32"/>
      <c r="WUL40" s="32"/>
      <c r="WUM40" s="32"/>
      <c r="WUN40" s="32"/>
      <c r="WUO40" s="32"/>
      <c r="WUP40" s="32"/>
      <c r="WUQ40" s="32"/>
      <c r="WUR40" s="32"/>
      <c r="WUS40" s="32"/>
      <c r="WUT40" s="32"/>
      <c r="WUU40" s="32"/>
      <c r="WUV40" s="32"/>
      <c r="WUW40" s="32"/>
      <c r="WUX40" s="32"/>
      <c r="WUY40" s="32"/>
      <c r="WUZ40" s="32"/>
      <c r="WVA40" s="32"/>
      <c r="WVB40" s="32"/>
      <c r="WVC40" s="32"/>
      <c r="WVD40" s="32"/>
      <c r="WVE40" s="32"/>
      <c r="WVF40" s="32"/>
      <c r="WVG40" s="32"/>
      <c r="WVH40" s="32"/>
      <c r="WVI40" s="32"/>
      <c r="WVJ40" s="32"/>
      <c r="WVK40" s="32"/>
      <c r="WVL40" s="32"/>
      <c r="WVM40" s="32"/>
      <c r="WVN40" s="32"/>
      <c r="WVO40" s="32"/>
      <c r="WVP40" s="32"/>
      <c r="WVQ40" s="32"/>
      <c r="WVR40" s="32"/>
      <c r="WVS40" s="32"/>
      <c r="WVT40" s="32"/>
      <c r="WVU40" s="32"/>
      <c r="WVV40" s="32"/>
      <c r="WVW40" s="32"/>
      <c r="WVX40" s="32"/>
      <c r="WVY40" s="32"/>
      <c r="WVZ40" s="32"/>
      <c r="WWA40" s="32"/>
      <c r="WWB40" s="32"/>
      <c r="WWC40" s="32"/>
      <c r="WWD40" s="32"/>
      <c r="WWE40" s="32"/>
      <c r="WWF40" s="32"/>
      <c r="WWG40" s="32"/>
      <c r="WWH40" s="32"/>
      <c r="WWI40" s="32"/>
      <c r="WWJ40" s="32"/>
      <c r="WWK40" s="32"/>
      <c r="WWL40" s="32"/>
      <c r="WWM40" s="32"/>
      <c r="WWN40" s="32"/>
      <c r="WWO40" s="32"/>
      <c r="WWP40" s="32"/>
      <c r="WWQ40" s="32"/>
      <c r="WWR40" s="32"/>
      <c r="WWS40" s="32"/>
      <c r="WWT40" s="32"/>
      <c r="WWU40" s="32"/>
      <c r="WWV40" s="32"/>
      <c r="WWW40" s="32"/>
      <c r="WWX40" s="32"/>
      <c r="WWY40" s="32"/>
      <c r="WWZ40" s="32"/>
      <c r="WXA40" s="32"/>
      <c r="WXB40" s="32"/>
      <c r="WXC40" s="32"/>
      <c r="WXD40" s="32"/>
      <c r="WXE40" s="32"/>
      <c r="WXF40" s="32"/>
      <c r="WXG40" s="32"/>
      <c r="WXH40" s="32"/>
      <c r="WXI40" s="32"/>
      <c r="WXJ40" s="32"/>
      <c r="WXK40" s="32"/>
      <c r="WXL40" s="32"/>
      <c r="WXM40" s="32"/>
      <c r="WXN40" s="32"/>
      <c r="WXO40" s="32"/>
      <c r="WXP40" s="32"/>
      <c r="WXQ40" s="32"/>
      <c r="WXR40" s="32"/>
      <c r="WXS40" s="32"/>
      <c r="WXT40" s="32"/>
      <c r="WXU40" s="32"/>
      <c r="WXV40" s="32"/>
      <c r="WXW40" s="32"/>
      <c r="WXX40" s="32"/>
      <c r="WXY40" s="32"/>
      <c r="WXZ40" s="32"/>
      <c r="WYA40" s="32"/>
      <c r="WYB40" s="32"/>
      <c r="WYC40" s="32"/>
      <c r="WYD40" s="32"/>
      <c r="WYE40" s="32"/>
      <c r="WYF40" s="32"/>
      <c r="WYG40" s="32"/>
      <c r="WYH40" s="32"/>
      <c r="WYI40" s="32"/>
      <c r="WYJ40" s="32"/>
      <c r="WYK40" s="32"/>
      <c r="WYL40" s="32"/>
      <c r="WYM40" s="32"/>
      <c r="WYN40" s="32"/>
      <c r="WYO40" s="32"/>
      <c r="WYP40" s="32"/>
      <c r="WYQ40" s="32"/>
      <c r="WYR40" s="32"/>
      <c r="WYS40" s="32"/>
      <c r="WYT40" s="32"/>
      <c r="WYU40" s="32"/>
      <c r="WYV40" s="32"/>
      <c r="WYW40" s="32"/>
      <c r="WYX40" s="32"/>
      <c r="WYY40" s="32"/>
      <c r="WYZ40" s="32"/>
      <c r="WZA40" s="32"/>
      <c r="WZB40" s="32"/>
      <c r="WZC40" s="32"/>
      <c r="WZD40" s="32"/>
      <c r="WZE40" s="32"/>
      <c r="WZF40" s="32"/>
      <c r="WZG40" s="32"/>
      <c r="WZH40" s="32"/>
      <c r="WZI40" s="32"/>
      <c r="WZJ40" s="32"/>
      <c r="WZK40" s="32"/>
      <c r="WZL40" s="32"/>
      <c r="WZM40" s="32"/>
      <c r="WZN40" s="32"/>
      <c r="WZO40" s="32"/>
      <c r="WZP40" s="32"/>
      <c r="WZQ40" s="32"/>
      <c r="WZR40" s="32"/>
      <c r="WZS40" s="32"/>
      <c r="WZT40" s="32"/>
      <c r="WZU40" s="32"/>
      <c r="WZV40" s="32"/>
      <c r="WZW40" s="32"/>
      <c r="WZX40" s="32"/>
      <c r="WZY40" s="32"/>
      <c r="WZZ40" s="32"/>
      <c r="XAA40" s="32"/>
      <c r="XAB40" s="32"/>
      <c r="XAC40" s="32"/>
      <c r="XAD40" s="32"/>
      <c r="XAE40" s="32"/>
      <c r="XAF40" s="32"/>
      <c r="XAG40" s="32"/>
      <c r="XAH40" s="32"/>
      <c r="XAI40" s="32"/>
      <c r="XAJ40" s="32"/>
      <c r="XAK40" s="32"/>
      <c r="XAL40" s="32"/>
      <c r="XAM40" s="32"/>
      <c r="XAN40" s="32"/>
      <c r="XAO40" s="32"/>
      <c r="XAP40" s="32"/>
      <c r="XAQ40" s="32"/>
      <c r="XAR40" s="32"/>
      <c r="XAS40" s="32"/>
      <c r="XAT40" s="32"/>
      <c r="XAU40" s="32"/>
      <c r="XAV40" s="32"/>
      <c r="XAW40" s="32"/>
      <c r="XAX40" s="32"/>
      <c r="XAY40" s="32"/>
      <c r="XAZ40" s="32"/>
      <c r="XBA40" s="32"/>
      <c r="XBB40" s="32"/>
      <c r="XBC40" s="32"/>
      <c r="XBD40" s="32"/>
      <c r="XBE40" s="32"/>
      <c r="XBF40" s="32"/>
      <c r="XBG40" s="32"/>
      <c r="XBH40" s="32"/>
      <c r="XBI40" s="32"/>
      <c r="XBJ40" s="32"/>
      <c r="XBK40" s="32"/>
      <c r="XBL40" s="32"/>
      <c r="XBM40" s="32"/>
      <c r="XBN40" s="32"/>
      <c r="XBO40" s="32"/>
      <c r="XBP40" s="32"/>
      <c r="XBQ40" s="32"/>
      <c r="XBR40" s="32"/>
      <c r="XBS40" s="32"/>
      <c r="XBT40" s="32"/>
      <c r="XBU40" s="32"/>
      <c r="XBV40" s="32"/>
      <c r="XBW40" s="32"/>
      <c r="XBX40" s="32"/>
      <c r="XBY40" s="32"/>
      <c r="XBZ40" s="32"/>
      <c r="XCA40" s="32"/>
      <c r="XCB40" s="32"/>
      <c r="XCC40" s="32"/>
      <c r="XCD40" s="32"/>
      <c r="XCE40" s="32"/>
      <c r="XCF40" s="32"/>
      <c r="XCG40" s="32"/>
      <c r="XCH40" s="32"/>
      <c r="XCI40" s="32"/>
      <c r="XCJ40" s="32"/>
      <c r="XCK40" s="32"/>
      <c r="XCL40" s="32"/>
      <c r="XCM40" s="32"/>
      <c r="XCN40" s="32"/>
      <c r="XCO40" s="32"/>
      <c r="XCP40" s="32"/>
      <c r="XCQ40" s="32"/>
      <c r="XCR40" s="32"/>
      <c r="XCS40" s="32"/>
      <c r="XCT40" s="32"/>
      <c r="XCU40" s="32"/>
      <c r="XCV40" s="32"/>
      <c r="XCW40" s="32"/>
      <c r="XCX40" s="32"/>
      <c r="XCY40" s="32"/>
      <c r="XCZ40" s="32"/>
      <c r="XDA40" s="32"/>
      <c r="XDB40" s="32"/>
      <c r="XDC40" s="32"/>
      <c r="XDD40" s="32"/>
      <c r="XDE40" s="32"/>
      <c r="XDF40" s="32"/>
      <c r="XDG40" s="32"/>
      <c r="XDH40" s="32"/>
      <c r="XDI40" s="32"/>
      <c r="XDJ40" s="32"/>
      <c r="XDK40" s="32"/>
      <c r="XDL40" s="32"/>
      <c r="XDM40" s="32"/>
      <c r="XDN40" s="32"/>
      <c r="XDO40" s="32"/>
      <c r="XDP40" s="32"/>
      <c r="XDQ40" s="32"/>
      <c r="XDR40" s="32"/>
      <c r="XDS40" s="32"/>
      <c r="XDT40" s="32"/>
      <c r="XDU40" s="32"/>
      <c r="XDV40" s="32"/>
      <c r="XDW40" s="32"/>
      <c r="XDX40" s="32"/>
      <c r="XDY40" s="32"/>
      <c r="XDZ40" s="32"/>
      <c r="XEA40" s="32"/>
      <c r="XEB40" s="32"/>
      <c r="XEC40" s="32"/>
      <c r="XED40" s="32"/>
      <c r="XEE40" s="32"/>
      <c r="XEF40" s="32"/>
      <c r="XEG40" s="32"/>
      <c r="XEH40" s="32"/>
      <c r="XEI40" s="32"/>
      <c r="XEJ40" s="32"/>
      <c r="XEK40" s="32"/>
      <c r="XEL40" s="32"/>
      <c r="XEM40" s="32"/>
      <c r="XEN40" s="32"/>
      <c r="XEO40" s="32"/>
      <c r="XEP40" s="32"/>
      <c r="XEQ40" s="32"/>
      <c r="XER40" s="32"/>
      <c r="XES40" s="32"/>
      <c r="XET40" s="32"/>
      <c r="XEU40" s="32"/>
      <c r="XEV40" s="32"/>
      <c r="XEW40" s="32"/>
      <c r="XEX40" s="32"/>
      <c r="XEY40" s="32"/>
      <c r="XEZ40" s="32"/>
      <c r="XFA40" s="32"/>
      <c r="XFB40" s="32"/>
    </row>
    <row r="41" spans="1:16382" s="144" customFormat="1" ht="50.15" customHeight="1" thickBot="1">
      <c r="A41" s="755" t="s">
        <v>847</v>
      </c>
      <c r="B41" s="755"/>
      <c r="C41" s="57"/>
      <c r="D41" s="57"/>
      <c r="E41" s="57"/>
      <c r="F41" s="57"/>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21"/>
      <c r="DN41" s="21"/>
      <c r="DO41" s="21"/>
      <c r="DP41" s="21"/>
      <c r="DQ41" s="21"/>
      <c r="DR41" s="21"/>
      <c r="DS41" s="21"/>
      <c r="DT41" s="21"/>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W41" s="21"/>
      <c r="EX41" s="21"/>
      <c r="EY41" s="21"/>
      <c r="EZ41" s="21"/>
      <c r="FA41" s="21"/>
      <c r="FB41" s="21"/>
      <c r="FC41" s="21"/>
      <c r="FD41" s="21"/>
      <c r="FE41" s="21"/>
      <c r="FF41" s="21"/>
      <c r="FG41" s="21"/>
      <c r="FH41" s="21"/>
      <c r="FI41" s="21"/>
      <c r="FJ41" s="21"/>
      <c r="FK41" s="21"/>
      <c r="FL41" s="21"/>
      <c r="FM41" s="21"/>
      <c r="FN41" s="21"/>
      <c r="FO41" s="21"/>
      <c r="FP41" s="21"/>
      <c r="FQ41" s="21"/>
      <c r="FR41" s="21"/>
      <c r="FS41" s="21"/>
      <c r="FT41" s="21"/>
      <c r="FU41" s="21"/>
      <c r="FV41" s="21"/>
      <c r="FW41" s="21"/>
      <c r="FX41" s="21"/>
      <c r="FY41" s="21"/>
      <c r="FZ41" s="21"/>
      <c r="GA41" s="21"/>
      <c r="GB41" s="21"/>
      <c r="GC41" s="21"/>
      <c r="GD41" s="21"/>
      <c r="GE41" s="21"/>
      <c r="GF41" s="21"/>
      <c r="GG41" s="21"/>
      <c r="GH41" s="21"/>
      <c r="GI41" s="21"/>
      <c r="GJ41" s="21"/>
      <c r="GK41" s="21"/>
      <c r="GL41" s="21"/>
      <c r="GM41" s="21"/>
      <c r="GN41" s="21"/>
      <c r="GO41" s="21"/>
      <c r="GP41" s="21"/>
      <c r="GQ41" s="21"/>
      <c r="GR41" s="21"/>
      <c r="GS41" s="21"/>
      <c r="GT41" s="21"/>
      <c r="GU41" s="21"/>
      <c r="GV41" s="21"/>
      <c r="GW41" s="21"/>
      <c r="GX41" s="21"/>
      <c r="GY41" s="21"/>
      <c r="GZ41" s="21"/>
      <c r="HA41" s="21"/>
      <c r="HB41" s="21"/>
      <c r="HC41" s="21"/>
      <c r="HD41" s="21"/>
      <c r="HE41" s="21"/>
      <c r="HF41" s="21"/>
      <c r="HG41" s="21"/>
      <c r="HH41" s="21"/>
      <c r="HI41" s="21"/>
      <c r="HJ41" s="21"/>
      <c r="HK41" s="21"/>
      <c r="HL41" s="21"/>
      <c r="HM41" s="21"/>
      <c r="HN41" s="21"/>
      <c r="HO41" s="21"/>
      <c r="HP41" s="21"/>
      <c r="HQ41" s="21"/>
      <c r="HR41" s="21"/>
      <c r="HS41" s="21"/>
      <c r="HT41" s="21"/>
      <c r="HU41" s="21"/>
      <c r="HV41" s="21"/>
      <c r="HW41" s="21"/>
      <c r="HX41" s="21"/>
      <c r="HY41" s="21"/>
      <c r="HZ41" s="21"/>
      <c r="IA41" s="21"/>
      <c r="IB41" s="21"/>
      <c r="IC41" s="21"/>
      <c r="ID41" s="21"/>
      <c r="IE41" s="21"/>
      <c r="IF41" s="21"/>
      <c r="IG41" s="21"/>
      <c r="IH41" s="21"/>
      <c r="II41" s="21"/>
      <c r="IJ41" s="21"/>
      <c r="IK41" s="21"/>
      <c r="IL41" s="21"/>
      <c r="IM41" s="21"/>
      <c r="IN41" s="21"/>
      <c r="IO41" s="21"/>
      <c r="IP41" s="21"/>
      <c r="IQ41" s="21"/>
      <c r="IR41" s="21"/>
      <c r="IS41" s="21"/>
      <c r="IT41" s="21"/>
      <c r="IU41" s="21"/>
      <c r="IV41" s="21"/>
      <c r="IW41" s="21"/>
      <c r="IX41" s="21"/>
      <c r="IY41" s="21"/>
      <c r="IZ41" s="21"/>
      <c r="JA41" s="21"/>
      <c r="JB41" s="21"/>
      <c r="JC41" s="21"/>
      <c r="JD41" s="21"/>
      <c r="JE41" s="21"/>
      <c r="JF41" s="21"/>
      <c r="JG41" s="21"/>
      <c r="JH41" s="21"/>
      <c r="JI41" s="21"/>
      <c r="JJ41" s="21"/>
      <c r="JK41" s="21"/>
      <c r="JL41" s="21"/>
      <c r="JM41" s="21"/>
      <c r="JN41" s="21"/>
      <c r="JO41" s="21"/>
      <c r="JP41" s="21"/>
      <c r="JQ41" s="21"/>
      <c r="JR41" s="21"/>
      <c r="JS41" s="21"/>
      <c r="JT41" s="21"/>
      <c r="JU41" s="21"/>
      <c r="JV41" s="21"/>
      <c r="JW41" s="21"/>
      <c r="JX41" s="21"/>
      <c r="JY41" s="21"/>
      <c r="JZ41" s="21"/>
      <c r="KA41" s="21"/>
      <c r="KB41" s="21"/>
      <c r="KC41" s="21"/>
      <c r="KD41" s="21"/>
      <c r="KE41" s="21"/>
      <c r="KF41" s="21"/>
      <c r="KG41" s="21"/>
      <c r="KH41" s="21"/>
      <c r="KI41" s="21"/>
      <c r="KJ41" s="21"/>
      <c r="KK41" s="21"/>
      <c r="KL41" s="21"/>
      <c r="KM41" s="21"/>
      <c r="KN41" s="21"/>
      <c r="KO41" s="21"/>
      <c r="KP41" s="21"/>
      <c r="KQ41" s="21"/>
      <c r="KR41" s="21"/>
      <c r="KS41" s="21"/>
      <c r="KT41" s="21"/>
      <c r="KU41" s="21"/>
      <c r="KV41" s="21"/>
      <c r="KW41" s="21"/>
      <c r="KX41" s="21"/>
      <c r="KY41" s="21"/>
      <c r="KZ41" s="21"/>
      <c r="LA41" s="21"/>
      <c r="LB41" s="21"/>
      <c r="LC41" s="21"/>
      <c r="LD41" s="21"/>
      <c r="LE41" s="21"/>
      <c r="LF41" s="21"/>
      <c r="LG41" s="21"/>
      <c r="LH41" s="21"/>
      <c r="LI41" s="21"/>
      <c r="LJ41" s="21"/>
      <c r="LK41" s="21"/>
      <c r="LL41" s="21"/>
      <c r="LM41" s="21"/>
      <c r="LN41" s="21"/>
      <c r="LO41" s="21"/>
      <c r="LP41" s="21"/>
      <c r="LQ41" s="21"/>
      <c r="LR41" s="21"/>
      <c r="LS41" s="21"/>
      <c r="LT41" s="21"/>
      <c r="LU41" s="21"/>
      <c r="LV41" s="21"/>
      <c r="LW41" s="21"/>
      <c r="LX41" s="21"/>
      <c r="LY41" s="21"/>
      <c r="LZ41" s="21"/>
      <c r="MA41" s="21"/>
      <c r="MB41" s="21"/>
      <c r="MC41" s="21"/>
      <c r="MD41" s="21"/>
      <c r="ME41" s="21"/>
      <c r="MF41" s="21"/>
      <c r="MG41" s="21"/>
      <c r="MH41" s="21"/>
      <c r="MI41" s="21"/>
      <c r="MJ41" s="21"/>
      <c r="MK41" s="21"/>
      <c r="ML41" s="21"/>
      <c r="MM41" s="21"/>
      <c r="MN41" s="21"/>
      <c r="MO41" s="21"/>
      <c r="MP41" s="21"/>
      <c r="MQ41" s="21"/>
      <c r="MR41" s="21"/>
      <c r="MS41" s="21"/>
      <c r="MT41" s="21"/>
      <c r="MU41" s="21"/>
      <c r="MV41" s="21"/>
      <c r="MW41" s="21"/>
      <c r="MX41" s="21"/>
      <c r="MY41" s="21"/>
      <c r="MZ41" s="21"/>
      <c r="NA41" s="21"/>
      <c r="NB41" s="21"/>
      <c r="NC41" s="21"/>
      <c r="ND41" s="21"/>
      <c r="NE41" s="21"/>
      <c r="NF41" s="21"/>
      <c r="NG41" s="21"/>
      <c r="NH41" s="21"/>
      <c r="NI41" s="21"/>
      <c r="NJ41" s="21"/>
      <c r="NK41" s="21"/>
      <c r="NL41" s="21"/>
      <c r="NM41" s="21"/>
      <c r="NN41" s="21"/>
      <c r="NO41" s="21"/>
      <c r="NP41" s="21"/>
      <c r="NQ41" s="21"/>
      <c r="NR41" s="21"/>
      <c r="NS41" s="21"/>
      <c r="NT41" s="21"/>
      <c r="NU41" s="21"/>
      <c r="NV41" s="21"/>
      <c r="NW41" s="21"/>
      <c r="NX41" s="21"/>
      <c r="NY41" s="21"/>
      <c r="NZ41" s="21"/>
      <c r="OA41" s="21"/>
      <c r="OB41" s="21"/>
      <c r="OC41" s="21"/>
      <c r="OD41" s="21"/>
      <c r="OE41" s="21"/>
      <c r="OF41" s="21"/>
      <c r="OG41" s="21"/>
      <c r="OH41" s="21"/>
      <c r="OI41" s="21"/>
      <c r="OJ41" s="21"/>
      <c r="OK41" s="21"/>
      <c r="OL41" s="21"/>
      <c r="OM41" s="21"/>
      <c r="ON41" s="21"/>
      <c r="OO41" s="21"/>
      <c r="OP41" s="21"/>
      <c r="OQ41" s="21"/>
      <c r="OR41" s="21"/>
      <c r="OS41" s="21"/>
      <c r="OT41" s="21"/>
      <c r="OU41" s="21"/>
      <c r="OV41" s="21"/>
      <c r="OW41" s="21"/>
      <c r="OX41" s="21"/>
      <c r="OY41" s="21"/>
      <c r="OZ41" s="21"/>
      <c r="PA41" s="21"/>
      <c r="PB41" s="21"/>
      <c r="PC41" s="21"/>
      <c r="PD41" s="21"/>
      <c r="PE41" s="21"/>
      <c r="PF41" s="21"/>
      <c r="PG41" s="21"/>
      <c r="PH41" s="21"/>
      <c r="PI41" s="21"/>
      <c r="PJ41" s="21"/>
      <c r="PK41" s="21"/>
      <c r="PL41" s="21"/>
      <c r="PM41" s="21"/>
      <c r="PN41" s="21"/>
      <c r="PO41" s="21"/>
      <c r="PP41" s="21"/>
      <c r="PQ41" s="21"/>
      <c r="PR41" s="21"/>
      <c r="PS41" s="21"/>
      <c r="PT41" s="21"/>
      <c r="PU41" s="21"/>
      <c r="PV41" s="21"/>
      <c r="PW41" s="21"/>
      <c r="PX41" s="21"/>
      <c r="PY41" s="21"/>
      <c r="PZ41" s="21"/>
      <c r="QA41" s="21"/>
      <c r="QB41" s="21"/>
      <c r="QC41" s="21"/>
      <c r="QD41" s="21"/>
      <c r="QE41" s="21"/>
      <c r="QF41" s="21"/>
      <c r="QG41" s="21"/>
      <c r="QH41" s="21"/>
      <c r="QI41" s="21"/>
      <c r="QJ41" s="21"/>
      <c r="QK41" s="21"/>
      <c r="QL41" s="21"/>
      <c r="QM41" s="21"/>
      <c r="QN41" s="21"/>
      <c r="QO41" s="21"/>
      <c r="QP41" s="21"/>
      <c r="QQ41" s="21"/>
      <c r="QR41" s="21"/>
      <c r="QS41" s="21"/>
      <c r="QT41" s="21"/>
      <c r="QU41" s="21"/>
      <c r="QV41" s="21"/>
      <c r="QW41" s="21"/>
      <c r="QX41" s="21"/>
      <c r="QY41" s="21"/>
      <c r="QZ41" s="21"/>
      <c r="RA41" s="21"/>
      <c r="RB41" s="21"/>
      <c r="RC41" s="21"/>
      <c r="RD41" s="21"/>
      <c r="RE41" s="21"/>
      <c r="RF41" s="21"/>
      <c r="RG41" s="21"/>
      <c r="RH41" s="21"/>
      <c r="RI41" s="21"/>
      <c r="RJ41" s="21"/>
      <c r="RK41" s="21"/>
      <c r="RL41" s="21"/>
      <c r="RM41" s="21"/>
      <c r="RN41" s="21"/>
      <c r="RO41" s="21"/>
      <c r="RP41" s="21"/>
      <c r="RQ41" s="21"/>
      <c r="RR41" s="21"/>
      <c r="RS41" s="21"/>
      <c r="RT41" s="21"/>
      <c r="RU41" s="21"/>
      <c r="RV41" s="21"/>
      <c r="RW41" s="21"/>
      <c r="RX41" s="21"/>
      <c r="RY41" s="21"/>
      <c r="RZ41" s="21"/>
      <c r="SA41" s="21"/>
      <c r="SB41" s="21"/>
      <c r="SC41" s="21"/>
      <c r="SD41" s="21"/>
      <c r="SE41" s="21"/>
      <c r="SF41" s="21"/>
      <c r="SG41" s="21"/>
      <c r="SH41" s="21"/>
      <c r="SI41" s="21"/>
      <c r="SJ41" s="21"/>
      <c r="SK41" s="21"/>
      <c r="SL41" s="21"/>
      <c r="SM41" s="21"/>
      <c r="SN41" s="21"/>
      <c r="SO41" s="21"/>
      <c r="SP41" s="21"/>
      <c r="SQ41" s="21"/>
      <c r="SR41" s="21"/>
      <c r="SS41" s="21"/>
      <c r="ST41" s="21"/>
      <c r="SU41" s="21"/>
      <c r="SV41" s="21"/>
      <c r="SW41" s="21"/>
      <c r="SX41" s="21"/>
      <c r="SY41" s="21"/>
      <c r="SZ41" s="21"/>
      <c r="TA41" s="21"/>
      <c r="TB41" s="21"/>
      <c r="TC41" s="21"/>
      <c r="TD41" s="21"/>
      <c r="TE41" s="21"/>
      <c r="TF41" s="21"/>
      <c r="TG41" s="21"/>
      <c r="TH41" s="21"/>
      <c r="TI41" s="21"/>
      <c r="TJ41" s="21"/>
      <c r="TK41" s="21"/>
      <c r="TL41" s="21"/>
      <c r="TM41" s="21"/>
      <c r="TN41" s="21"/>
      <c r="TO41" s="21"/>
      <c r="TP41" s="21"/>
      <c r="TQ41" s="21"/>
      <c r="TR41" s="21"/>
      <c r="TS41" s="21"/>
      <c r="TT41" s="21"/>
      <c r="TU41" s="21"/>
      <c r="TV41" s="21"/>
      <c r="TW41" s="21"/>
      <c r="TX41" s="21"/>
      <c r="TY41" s="21"/>
      <c r="TZ41" s="21"/>
      <c r="UA41" s="21"/>
      <c r="UB41" s="21"/>
      <c r="UC41" s="21"/>
      <c r="UD41" s="21"/>
      <c r="UE41" s="21"/>
      <c r="UF41" s="21"/>
      <c r="UG41" s="21"/>
      <c r="UH41" s="21"/>
      <c r="UI41" s="21"/>
      <c r="UJ41" s="21"/>
      <c r="UK41" s="21"/>
      <c r="UL41" s="21"/>
      <c r="UM41" s="21"/>
      <c r="UN41" s="21"/>
      <c r="UO41" s="21"/>
      <c r="UP41" s="21"/>
      <c r="UQ41" s="21"/>
      <c r="UR41" s="21"/>
      <c r="US41" s="21"/>
      <c r="UT41" s="21"/>
      <c r="UU41" s="21"/>
      <c r="UV41" s="21"/>
      <c r="UW41" s="21"/>
      <c r="UX41" s="21"/>
      <c r="UY41" s="21"/>
      <c r="UZ41" s="21"/>
      <c r="VA41" s="21"/>
      <c r="VB41" s="21"/>
      <c r="VC41" s="21"/>
      <c r="VD41" s="21"/>
      <c r="VE41" s="21"/>
      <c r="VF41" s="21"/>
      <c r="VG41" s="21"/>
      <c r="VH41" s="21"/>
      <c r="VI41" s="21"/>
      <c r="VJ41" s="21"/>
      <c r="VK41" s="21"/>
      <c r="VL41" s="21"/>
      <c r="VM41" s="21"/>
      <c r="VN41" s="21"/>
      <c r="VO41" s="21"/>
      <c r="VP41" s="21"/>
      <c r="VQ41" s="21"/>
      <c r="VR41" s="21"/>
      <c r="VS41" s="21"/>
      <c r="VT41" s="21"/>
      <c r="VU41" s="21"/>
      <c r="VV41" s="21"/>
      <c r="VW41" s="21"/>
      <c r="VX41" s="21"/>
      <c r="VY41" s="21"/>
      <c r="VZ41" s="21"/>
      <c r="WA41" s="21"/>
      <c r="WB41" s="21"/>
      <c r="WC41" s="21"/>
      <c r="WD41" s="21"/>
      <c r="WE41" s="21"/>
      <c r="WF41" s="21"/>
      <c r="WG41" s="21"/>
      <c r="WH41" s="21"/>
      <c r="WI41" s="21"/>
      <c r="WJ41" s="21"/>
      <c r="WK41" s="21"/>
      <c r="WL41" s="21"/>
      <c r="WM41" s="21"/>
      <c r="WN41" s="21"/>
      <c r="WO41" s="21"/>
      <c r="WP41" s="21"/>
      <c r="WQ41" s="21"/>
      <c r="WR41" s="21"/>
      <c r="WS41" s="21"/>
      <c r="WT41" s="21"/>
      <c r="WU41" s="21"/>
      <c r="WV41" s="21"/>
      <c r="WW41" s="21"/>
      <c r="WX41" s="21"/>
      <c r="WY41" s="21"/>
      <c r="WZ41" s="21"/>
      <c r="XA41" s="21"/>
      <c r="XB41" s="21"/>
      <c r="XC41" s="21"/>
      <c r="XD41" s="21"/>
      <c r="XE41" s="21"/>
      <c r="XF41" s="21"/>
      <c r="XG41" s="21"/>
      <c r="XH41" s="21"/>
      <c r="XI41" s="21"/>
      <c r="XJ41" s="21"/>
      <c r="XK41" s="21"/>
      <c r="XL41" s="21"/>
      <c r="XM41" s="21"/>
      <c r="XN41" s="21"/>
      <c r="XO41" s="21"/>
      <c r="XP41" s="21"/>
      <c r="XQ41" s="21"/>
      <c r="XR41" s="21"/>
      <c r="XS41" s="21"/>
      <c r="XT41" s="21"/>
      <c r="XU41" s="21"/>
      <c r="XV41" s="21"/>
      <c r="XW41" s="21"/>
      <c r="XX41" s="21"/>
      <c r="XY41" s="21"/>
      <c r="XZ41" s="21"/>
      <c r="YA41" s="21"/>
      <c r="YB41" s="21"/>
      <c r="YC41" s="21"/>
      <c r="YD41" s="21"/>
      <c r="YE41" s="21"/>
      <c r="YF41" s="21"/>
      <c r="YG41" s="21"/>
      <c r="YH41" s="21"/>
      <c r="YI41" s="21"/>
      <c r="YJ41" s="21"/>
      <c r="YK41" s="21"/>
      <c r="YL41" s="21"/>
      <c r="YM41" s="21"/>
      <c r="YN41" s="21"/>
      <c r="YO41" s="21"/>
      <c r="YP41" s="21"/>
      <c r="YQ41" s="21"/>
      <c r="YR41" s="21"/>
      <c r="YS41" s="21"/>
      <c r="YT41" s="21"/>
      <c r="YU41" s="21"/>
      <c r="YV41" s="21"/>
      <c r="YW41" s="21"/>
      <c r="YX41" s="21"/>
      <c r="YY41" s="21"/>
      <c r="YZ41" s="21"/>
      <c r="ZA41" s="21"/>
      <c r="ZB41" s="21"/>
      <c r="ZC41" s="21"/>
      <c r="ZD41" s="21"/>
      <c r="ZE41" s="21"/>
      <c r="ZF41" s="21"/>
      <c r="ZG41" s="21"/>
      <c r="ZH41" s="21"/>
      <c r="ZI41" s="21"/>
      <c r="ZJ41" s="21"/>
      <c r="ZK41" s="21"/>
      <c r="ZL41" s="21"/>
      <c r="ZM41" s="21"/>
      <c r="ZN41" s="21"/>
      <c r="ZO41" s="21"/>
      <c r="ZP41" s="21"/>
      <c r="ZQ41" s="21"/>
      <c r="ZR41" s="21"/>
      <c r="ZS41" s="21"/>
      <c r="ZT41" s="21"/>
      <c r="ZU41" s="21"/>
      <c r="ZV41" s="21"/>
      <c r="ZW41" s="21"/>
      <c r="ZX41" s="21"/>
      <c r="ZY41" s="21"/>
      <c r="ZZ41" s="21"/>
      <c r="AAA41" s="21"/>
      <c r="AAB41" s="21"/>
      <c r="AAC41" s="21"/>
      <c r="AAD41" s="21"/>
      <c r="AAE41" s="21"/>
      <c r="AAF41" s="21"/>
      <c r="AAG41" s="21"/>
      <c r="AAH41" s="21"/>
      <c r="AAI41" s="21"/>
      <c r="AAJ41" s="21"/>
      <c r="AAK41" s="21"/>
      <c r="AAL41" s="21"/>
      <c r="AAM41" s="21"/>
      <c r="AAN41" s="21"/>
      <c r="AAO41" s="21"/>
      <c r="AAP41" s="21"/>
      <c r="AAQ41" s="21"/>
      <c r="AAR41" s="21"/>
      <c r="AAS41" s="21"/>
      <c r="AAT41" s="21"/>
      <c r="AAU41" s="21"/>
      <c r="AAV41" s="21"/>
      <c r="AAW41" s="21"/>
      <c r="AAX41" s="21"/>
      <c r="AAY41" s="21"/>
      <c r="AAZ41" s="21"/>
      <c r="ABA41" s="21"/>
      <c r="ABB41" s="21"/>
      <c r="ABC41" s="21"/>
      <c r="ABD41" s="21"/>
      <c r="ABE41" s="21"/>
      <c r="ABF41" s="21"/>
      <c r="ABG41" s="21"/>
      <c r="ABH41" s="21"/>
      <c r="ABI41" s="21"/>
      <c r="ABJ41" s="21"/>
      <c r="ABK41" s="21"/>
      <c r="ABL41" s="21"/>
      <c r="ABM41" s="21"/>
      <c r="ABN41" s="21"/>
      <c r="ABO41" s="21"/>
      <c r="ABP41" s="21"/>
      <c r="ABQ41" s="21"/>
      <c r="ABR41" s="21"/>
      <c r="ABS41" s="21"/>
      <c r="ABT41" s="21"/>
      <c r="ABU41" s="21"/>
      <c r="ABV41" s="21"/>
      <c r="ABW41" s="21"/>
      <c r="ABX41" s="21"/>
      <c r="ABY41" s="21"/>
      <c r="ABZ41" s="21"/>
      <c r="ACA41" s="21"/>
      <c r="ACB41" s="21"/>
      <c r="ACC41" s="21"/>
      <c r="ACD41" s="21"/>
      <c r="ACE41" s="21"/>
      <c r="ACF41" s="21"/>
      <c r="ACG41" s="21"/>
      <c r="ACH41" s="21"/>
      <c r="ACI41" s="21"/>
      <c r="ACJ41" s="21"/>
      <c r="ACK41" s="21"/>
      <c r="ACL41" s="21"/>
      <c r="ACM41" s="21"/>
      <c r="ACN41" s="21"/>
      <c r="ACO41" s="21"/>
      <c r="ACP41" s="21"/>
      <c r="ACQ41" s="21"/>
      <c r="ACR41" s="21"/>
      <c r="ACS41" s="21"/>
      <c r="ACT41" s="21"/>
      <c r="ACU41" s="21"/>
      <c r="ACV41" s="21"/>
      <c r="ACW41" s="21"/>
      <c r="ACX41" s="21"/>
      <c r="ACY41" s="21"/>
      <c r="ACZ41" s="21"/>
      <c r="ADA41" s="21"/>
      <c r="ADB41" s="21"/>
      <c r="ADC41" s="21"/>
      <c r="ADD41" s="21"/>
      <c r="ADE41" s="21"/>
      <c r="ADF41" s="21"/>
      <c r="ADG41" s="21"/>
      <c r="ADH41" s="21"/>
      <c r="ADI41" s="21"/>
      <c r="ADJ41" s="21"/>
      <c r="ADK41" s="21"/>
      <c r="ADL41" s="21"/>
      <c r="ADM41" s="21"/>
      <c r="ADN41" s="21"/>
      <c r="ADO41" s="21"/>
      <c r="ADP41" s="21"/>
      <c r="ADQ41" s="21"/>
      <c r="ADR41" s="21"/>
      <c r="ADS41" s="21"/>
      <c r="ADT41" s="21"/>
      <c r="ADU41" s="21"/>
      <c r="ADV41" s="21"/>
      <c r="ADW41" s="21"/>
      <c r="ADX41" s="21"/>
      <c r="ADY41" s="21"/>
      <c r="ADZ41" s="21"/>
      <c r="AEA41" s="21"/>
      <c r="AEB41" s="21"/>
      <c r="AEC41" s="21"/>
      <c r="AED41" s="21"/>
      <c r="AEE41" s="21"/>
      <c r="AEF41" s="21"/>
      <c r="AEG41" s="21"/>
      <c r="AEH41" s="21"/>
      <c r="AEI41" s="21"/>
      <c r="AEJ41" s="21"/>
      <c r="AEK41" s="21"/>
      <c r="AEL41" s="21"/>
      <c r="AEM41" s="21"/>
      <c r="AEN41" s="21"/>
      <c r="AEO41" s="21"/>
      <c r="AEP41" s="21"/>
      <c r="AEQ41" s="21"/>
      <c r="AER41" s="21"/>
      <c r="AES41" s="21"/>
      <c r="AET41" s="21"/>
      <c r="AEU41" s="21"/>
      <c r="AEV41" s="21"/>
      <c r="AEW41" s="21"/>
      <c r="AEX41" s="21"/>
      <c r="AEY41" s="21"/>
      <c r="AEZ41" s="21"/>
      <c r="AFA41" s="21"/>
      <c r="AFB41" s="21"/>
      <c r="AFC41" s="21"/>
      <c r="AFD41" s="21"/>
      <c r="AFE41" s="21"/>
      <c r="AFF41" s="21"/>
      <c r="AFG41" s="21"/>
      <c r="AFH41" s="21"/>
      <c r="AFI41" s="21"/>
      <c r="AFJ41" s="21"/>
      <c r="AFK41" s="21"/>
      <c r="AFL41" s="21"/>
      <c r="AFM41" s="21"/>
      <c r="AFN41" s="21"/>
      <c r="AFO41" s="21"/>
      <c r="AFP41" s="21"/>
      <c r="AFQ41" s="21"/>
      <c r="AFR41" s="21"/>
      <c r="AFS41" s="21"/>
      <c r="AFT41" s="21"/>
      <c r="AFU41" s="21"/>
      <c r="AFV41" s="21"/>
      <c r="AFW41" s="21"/>
      <c r="AFX41" s="21"/>
      <c r="AFY41" s="21"/>
      <c r="AFZ41" s="21"/>
      <c r="AGA41" s="21"/>
      <c r="AGB41" s="21"/>
      <c r="AGC41" s="21"/>
      <c r="AGD41" s="21"/>
      <c r="AGE41" s="21"/>
      <c r="AGF41" s="21"/>
      <c r="AGG41" s="21"/>
      <c r="AGH41" s="21"/>
      <c r="AGI41" s="21"/>
      <c r="AGJ41" s="21"/>
      <c r="AGK41" s="21"/>
      <c r="AGL41" s="21"/>
      <c r="AGM41" s="21"/>
      <c r="AGN41" s="21"/>
      <c r="AGO41" s="21"/>
      <c r="AGP41" s="21"/>
      <c r="AGQ41" s="21"/>
      <c r="AGR41" s="21"/>
      <c r="AGS41" s="21"/>
      <c r="AGT41" s="21"/>
      <c r="AGU41" s="21"/>
      <c r="AGV41" s="21"/>
      <c r="AGW41" s="21"/>
      <c r="AGX41" s="21"/>
      <c r="AGY41" s="21"/>
      <c r="AGZ41" s="21"/>
      <c r="AHA41" s="21"/>
      <c r="AHB41" s="21"/>
      <c r="AHC41" s="21"/>
      <c r="AHD41" s="21"/>
      <c r="AHE41" s="21"/>
      <c r="AHF41" s="21"/>
      <c r="AHG41" s="21"/>
      <c r="AHH41" s="21"/>
      <c r="AHI41" s="21"/>
      <c r="AHJ41" s="21"/>
      <c r="AHK41" s="21"/>
      <c r="AHL41" s="21"/>
      <c r="AHM41" s="21"/>
      <c r="AHN41" s="21"/>
      <c r="AHO41" s="21"/>
      <c r="AHP41" s="21"/>
      <c r="AHQ41" s="21"/>
      <c r="AHR41" s="21"/>
      <c r="AHS41" s="21"/>
      <c r="AHT41" s="21"/>
      <c r="AHU41" s="21"/>
      <c r="AHV41" s="21"/>
      <c r="AHW41" s="21"/>
      <c r="AHX41" s="21"/>
      <c r="AHY41" s="21"/>
      <c r="AHZ41" s="21"/>
      <c r="AIA41" s="21"/>
      <c r="AIB41" s="21"/>
      <c r="AIC41" s="21"/>
      <c r="AID41" s="21"/>
      <c r="AIE41" s="21"/>
      <c r="AIF41" s="21"/>
      <c r="AIG41" s="21"/>
      <c r="AIH41" s="21"/>
      <c r="AII41" s="21"/>
      <c r="AIJ41" s="21"/>
      <c r="AIK41" s="21"/>
      <c r="AIL41" s="21"/>
      <c r="AIM41" s="21"/>
      <c r="AIN41" s="21"/>
      <c r="AIO41" s="21"/>
      <c r="AIP41" s="21"/>
      <c r="AIQ41" s="21"/>
      <c r="AIR41" s="21"/>
      <c r="AIS41" s="21"/>
      <c r="AIT41" s="21"/>
      <c r="AIU41" s="21"/>
      <c r="AIV41" s="21"/>
      <c r="AIW41" s="21"/>
      <c r="AIX41" s="21"/>
      <c r="AIY41" s="21"/>
      <c r="AIZ41" s="21"/>
      <c r="AJA41" s="21"/>
      <c r="AJB41" s="21"/>
      <c r="AJC41" s="21"/>
      <c r="AJD41" s="21"/>
      <c r="AJE41" s="21"/>
      <c r="AJF41" s="21"/>
      <c r="AJG41" s="21"/>
      <c r="AJH41" s="21"/>
      <c r="AJI41" s="21"/>
      <c r="AJJ41" s="21"/>
      <c r="AJK41" s="21"/>
      <c r="AJL41" s="21"/>
      <c r="AJM41" s="21"/>
      <c r="AJN41" s="21"/>
      <c r="AJO41" s="21"/>
      <c r="AJP41" s="21"/>
      <c r="AJQ41" s="21"/>
      <c r="AJR41" s="21"/>
      <c r="AJS41" s="21"/>
      <c r="AJT41" s="21"/>
      <c r="AJU41" s="21"/>
      <c r="AJV41" s="21"/>
      <c r="AJW41" s="21"/>
      <c r="AJX41" s="21"/>
      <c r="AJY41" s="21"/>
      <c r="AJZ41" s="21"/>
      <c r="AKA41" s="21"/>
      <c r="AKB41" s="21"/>
      <c r="AKC41" s="21"/>
      <c r="AKD41" s="21"/>
      <c r="AKE41" s="21"/>
      <c r="AKF41" s="21"/>
      <c r="AKG41" s="21"/>
      <c r="AKH41" s="21"/>
      <c r="AKI41" s="21"/>
      <c r="AKJ41" s="21"/>
      <c r="AKK41" s="21"/>
      <c r="AKL41" s="21"/>
      <c r="AKM41" s="21"/>
      <c r="AKN41" s="21"/>
      <c r="AKO41" s="21"/>
      <c r="AKP41" s="21"/>
      <c r="AKQ41" s="21"/>
      <c r="AKR41" s="21"/>
      <c r="AKS41" s="21"/>
      <c r="AKT41" s="21"/>
      <c r="AKU41" s="21"/>
      <c r="AKV41" s="21"/>
      <c r="AKW41" s="21"/>
      <c r="AKX41" s="21"/>
      <c r="AKY41" s="21"/>
      <c r="AKZ41" s="21"/>
      <c r="ALA41" s="21"/>
      <c r="ALB41" s="21"/>
      <c r="ALC41" s="21"/>
      <c r="ALD41" s="21"/>
      <c r="ALE41" s="21"/>
      <c r="ALF41" s="21"/>
      <c r="ALG41" s="21"/>
      <c r="ALH41" s="21"/>
      <c r="ALI41" s="21"/>
      <c r="ALJ41" s="21"/>
      <c r="ALK41" s="21"/>
      <c r="ALL41" s="21"/>
      <c r="ALM41" s="21"/>
      <c r="ALN41" s="21"/>
      <c r="ALO41" s="21"/>
      <c r="ALP41" s="21"/>
      <c r="ALQ41" s="21"/>
      <c r="ALR41" s="21"/>
      <c r="ALS41" s="21"/>
      <c r="ALT41" s="21"/>
      <c r="ALU41" s="21"/>
      <c r="ALV41" s="21"/>
      <c r="ALW41" s="21"/>
      <c r="ALX41" s="21"/>
      <c r="ALY41" s="21"/>
      <c r="ALZ41" s="21"/>
      <c r="AMA41" s="21"/>
      <c r="AMB41" s="21"/>
      <c r="AMC41" s="21"/>
      <c r="AMD41" s="21"/>
      <c r="AME41" s="21"/>
      <c r="AMF41" s="21"/>
      <c r="AMG41" s="21"/>
      <c r="AMH41" s="21"/>
      <c r="AMI41" s="21"/>
      <c r="AMJ41" s="21"/>
      <c r="AMK41" s="21"/>
      <c r="AML41" s="21"/>
      <c r="AMM41" s="21"/>
      <c r="AMN41" s="21"/>
      <c r="AMO41" s="21"/>
      <c r="AMP41" s="21"/>
      <c r="AMQ41" s="21"/>
      <c r="AMR41" s="21"/>
      <c r="AMS41" s="21"/>
      <c r="AMT41" s="21"/>
      <c r="AMU41" s="21"/>
      <c r="AMV41" s="21"/>
      <c r="AMW41" s="21"/>
      <c r="AMX41" s="21"/>
      <c r="AMY41" s="21"/>
      <c r="AMZ41" s="21"/>
      <c r="ANA41" s="21"/>
      <c r="ANB41" s="21"/>
      <c r="ANC41" s="21"/>
      <c r="AND41" s="21"/>
      <c r="ANE41" s="21"/>
      <c r="ANF41" s="21"/>
      <c r="ANG41" s="21"/>
      <c r="ANH41" s="21"/>
      <c r="ANI41" s="21"/>
      <c r="ANJ41" s="21"/>
      <c r="ANK41" s="21"/>
      <c r="ANL41" s="21"/>
      <c r="ANM41" s="21"/>
      <c r="ANN41" s="21"/>
      <c r="ANO41" s="21"/>
      <c r="ANP41" s="21"/>
      <c r="ANQ41" s="21"/>
      <c r="ANR41" s="21"/>
      <c r="ANS41" s="21"/>
      <c r="ANT41" s="21"/>
      <c r="ANU41" s="21"/>
      <c r="ANV41" s="21"/>
      <c r="ANW41" s="21"/>
      <c r="ANX41" s="21"/>
      <c r="ANY41" s="21"/>
      <c r="ANZ41" s="21"/>
      <c r="AOA41" s="21"/>
      <c r="AOB41" s="21"/>
      <c r="AOC41" s="21"/>
      <c r="AOD41" s="21"/>
      <c r="AOE41" s="21"/>
      <c r="AOF41" s="21"/>
      <c r="AOG41" s="21"/>
      <c r="AOH41" s="21"/>
      <c r="AOI41" s="21"/>
      <c r="AOJ41" s="21"/>
      <c r="AOK41" s="21"/>
      <c r="AOL41" s="21"/>
      <c r="AOM41" s="21"/>
      <c r="AON41" s="21"/>
      <c r="AOO41" s="21"/>
      <c r="AOP41" s="21"/>
      <c r="AOQ41" s="21"/>
      <c r="AOR41" s="21"/>
      <c r="AOS41" s="21"/>
      <c r="AOT41" s="21"/>
      <c r="AOU41" s="21"/>
      <c r="AOV41" s="21"/>
      <c r="AOW41" s="21"/>
      <c r="AOX41" s="21"/>
      <c r="AOY41" s="21"/>
      <c r="AOZ41" s="21"/>
      <c r="APA41" s="21"/>
      <c r="APB41" s="21"/>
      <c r="APC41" s="21"/>
      <c r="APD41" s="21"/>
      <c r="APE41" s="21"/>
      <c r="APF41" s="21"/>
      <c r="APG41" s="21"/>
      <c r="APH41" s="21"/>
      <c r="API41" s="21"/>
      <c r="APJ41" s="21"/>
      <c r="APK41" s="21"/>
      <c r="APL41" s="21"/>
      <c r="APM41" s="21"/>
      <c r="APN41" s="21"/>
      <c r="APO41" s="21"/>
      <c r="APP41" s="21"/>
      <c r="APQ41" s="21"/>
      <c r="APR41" s="21"/>
      <c r="APS41" s="21"/>
      <c r="APT41" s="21"/>
      <c r="APU41" s="21"/>
      <c r="APV41" s="21"/>
      <c r="APW41" s="21"/>
      <c r="APX41" s="21"/>
      <c r="APY41" s="21"/>
      <c r="APZ41" s="21"/>
      <c r="AQA41" s="21"/>
      <c r="AQB41" s="21"/>
      <c r="AQC41" s="21"/>
      <c r="AQD41" s="21"/>
      <c r="AQE41" s="21"/>
      <c r="AQF41" s="21"/>
      <c r="AQG41" s="21"/>
      <c r="AQH41" s="21"/>
      <c r="AQI41" s="21"/>
      <c r="AQJ41" s="21"/>
      <c r="AQK41" s="21"/>
      <c r="AQL41" s="21"/>
      <c r="AQM41" s="21"/>
      <c r="AQN41" s="21"/>
      <c r="AQO41" s="21"/>
      <c r="AQP41" s="21"/>
      <c r="AQQ41" s="21"/>
      <c r="AQR41" s="21"/>
      <c r="AQS41" s="21"/>
      <c r="AQT41" s="21"/>
      <c r="AQU41" s="21"/>
      <c r="AQV41" s="21"/>
      <c r="AQW41" s="21"/>
      <c r="AQX41" s="21"/>
      <c r="AQY41" s="21"/>
      <c r="AQZ41" s="21"/>
      <c r="ARA41" s="21"/>
      <c r="ARB41" s="21"/>
      <c r="ARC41" s="21"/>
      <c r="ARD41" s="21"/>
      <c r="ARE41" s="21"/>
      <c r="ARF41" s="21"/>
      <c r="ARG41" s="21"/>
      <c r="ARH41" s="21"/>
      <c r="ARI41" s="21"/>
      <c r="ARJ41" s="21"/>
      <c r="ARK41" s="21"/>
      <c r="ARL41" s="21"/>
      <c r="ARM41" s="21"/>
      <c r="ARN41" s="21"/>
      <c r="ARO41" s="21"/>
      <c r="ARP41" s="21"/>
      <c r="ARQ41" s="21"/>
      <c r="ARR41" s="21"/>
      <c r="ARS41" s="21"/>
      <c r="ART41" s="21"/>
      <c r="ARU41" s="21"/>
      <c r="ARV41" s="21"/>
      <c r="ARW41" s="21"/>
      <c r="ARX41" s="21"/>
      <c r="ARY41" s="21"/>
      <c r="ARZ41" s="21"/>
      <c r="ASA41" s="21"/>
      <c r="ASB41" s="21"/>
      <c r="ASC41" s="21"/>
      <c r="ASD41" s="21"/>
      <c r="ASE41" s="21"/>
      <c r="ASF41" s="21"/>
      <c r="ASG41" s="21"/>
      <c r="ASH41" s="21"/>
      <c r="ASI41" s="21"/>
      <c r="ASJ41" s="21"/>
      <c r="ASK41" s="21"/>
      <c r="ASL41" s="21"/>
      <c r="ASM41" s="21"/>
      <c r="ASN41" s="21"/>
      <c r="ASO41" s="21"/>
      <c r="ASP41" s="21"/>
      <c r="ASQ41" s="21"/>
      <c r="ASR41" s="21"/>
      <c r="ASS41" s="21"/>
      <c r="AST41" s="21"/>
      <c r="ASU41" s="21"/>
      <c r="ASV41" s="21"/>
      <c r="ASW41" s="21"/>
      <c r="ASX41" s="21"/>
      <c r="ASY41" s="21"/>
      <c r="ASZ41" s="21"/>
      <c r="ATA41" s="21"/>
      <c r="ATB41" s="21"/>
      <c r="ATC41" s="21"/>
      <c r="ATD41" s="21"/>
      <c r="ATE41" s="21"/>
      <c r="ATF41" s="21"/>
      <c r="ATG41" s="21"/>
      <c r="ATH41" s="21"/>
      <c r="ATI41" s="21"/>
      <c r="ATJ41" s="21"/>
      <c r="ATK41" s="21"/>
      <c r="ATL41" s="21"/>
      <c r="ATM41" s="21"/>
      <c r="ATN41" s="21"/>
      <c r="ATO41" s="21"/>
      <c r="ATP41" s="21"/>
      <c r="ATQ41" s="21"/>
      <c r="ATR41" s="21"/>
      <c r="ATS41" s="21"/>
      <c r="ATT41" s="21"/>
      <c r="ATU41" s="21"/>
      <c r="ATV41" s="21"/>
      <c r="ATW41" s="21"/>
      <c r="ATX41" s="21"/>
      <c r="ATY41" s="21"/>
      <c r="ATZ41" s="21"/>
      <c r="AUA41" s="21"/>
      <c r="AUB41" s="21"/>
      <c r="AUC41" s="21"/>
      <c r="AUD41" s="21"/>
      <c r="AUE41" s="21"/>
      <c r="AUF41" s="21"/>
      <c r="AUG41" s="21"/>
      <c r="AUH41" s="21"/>
      <c r="AUI41" s="21"/>
      <c r="AUJ41" s="21"/>
      <c r="AUK41" s="21"/>
      <c r="AUL41" s="21"/>
      <c r="AUM41" s="21"/>
      <c r="AUN41" s="21"/>
      <c r="AUO41" s="21"/>
      <c r="AUP41" s="21"/>
      <c r="AUQ41" s="21"/>
      <c r="AUR41" s="21"/>
      <c r="AUS41" s="21"/>
      <c r="AUT41" s="21"/>
      <c r="AUU41" s="21"/>
      <c r="AUV41" s="21"/>
      <c r="AUW41" s="21"/>
      <c r="AUX41" s="21"/>
      <c r="AUY41" s="21"/>
      <c r="AUZ41" s="21"/>
      <c r="AVA41" s="21"/>
      <c r="AVB41" s="21"/>
      <c r="AVC41" s="21"/>
      <c r="AVD41" s="21"/>
      <c r="AVE41" s="21"/>
      <c r="AVF41" s="21"/>
      <c r="AVG41" s="21"/>
      <c r="AVH41" s="21"/>
      <c r="AVI41" s="21"/>
      <c r="AVJ41" s="21"/>
      <c r="AVK41" s="21"/>
      <c r="AVL41" s="21"/>
      <c r="AVM41" s="21"/>
      <c r="AVN41" s="21"/>
      <c r="AVO41" s="21"/>
      <c r="AVP41" s="21"/>
      <c r="AVQ41" s="21"/>
      <c r="AVR41" s="21"/>
      <c r="AVS41" s="21"/>
      <c r="AVT41" s="21"/>
      <c r="AVU41" s="21"/>
      <c r="AVV41" s="21"/>
      <c r="AVW41" s="21"/>
      <c r="AVX41" s="21"/>
      <c r="AVY41" s="21"/>
      <c r="AVZ41" s="21"/>
      <c r="AWA41" s="21"/>
      <c r="AWB41" s="21"/>
      <c r="AWC41" s="21"/>
      <c r="AWD41" s="21"/>
      <c r="AWE41" s="21"/>
      <c r="AWF41" s="21"/>
      <c r="AWG41" s="21"/>
      <c r="AWH41" s="21"/>
      <c r="AWI41" s="21"/>
      <c r="AWJ41" s="21"/>
      <c r="AWK41" s="21"/>
      <c r="AWL41" s="21"/>
      <c r="AWM41" s="21"/>
      <c r="AWN41" s="21"/>
      <c r="AWO41" s="21"/>
      <c r="AWP41" s="21"/>
      <c r="AWQ41" s="21"/>
      <c r="AWR41" s="21"/>
      <c r="AWS41" s="21"/>
      <c r="AWT41" s="21"/>
      <c r="AWU41" s="21"/>
      <c r="AWV41" s="21"/>
      <c r="AWW41" s="21"/>
      <c r="AWX41" s="21"/>
      <c r="AWY41" s="21"/>
      <c r="AWZ41" s="21"/>
      <c r="AXA41" s="21"/>
      <c r="AXB41" s="21"/>
      <c r="AXC41" s="21"/>
      <c r="AXD41" s="21"/>
      <c r="AXE41" s="21"/>
      <c r="AXF41" s="21"/>
      <c r="AXG41" s="21"/>
      <c r="AXH41" s="21"/>
      <c r="AXI41" s="21"/>
      <c r="AXJ41" s="21"/>
      <c r="AXK41" s="21"/>
      <c r="AXL41" s="21"/>
      <c r="AXM41" s="21"/>
      <c r="AXN41" s="21"/>
      <c r="AXO41" s="21"/>
      <c r="AXP41" s="21"/>
      <c r="AXQ41" s="21"/>
      <c r="AXR41" s="21"/>
      <c r="AXS41" s="21"/>
      <c r="AXT41" s="21"/>
      <c r="AXU41" s="21"/>
      <c r="AXV41" s="21"/>
      <c r="AXW41" s="21"/>
      <c r="AXX41" s="21"/>
      <c r="AXY41" s="21"/>
      <c r="AXZ41" s="21"/>
      <c r="AYA41" s="21"/>
      <c r="AYB41" s="21"/>
      <c r="AYC41" s="21"/>
      <c r="AYD41" s="21"/>
      <c r="AYE41" s="21"/>
      <c r="AYF41" s="21"/>
      <c r="AYG41" s="21"/>
      <c r="AYH41" s="21"/>
      <c r="AYI41" s="21"/>
      <c r="AYJ41" s="21"/>
      <c r="AYK41" s="21"/>
      <c r="AYL41" s="21"/>
      <c r="AYM41" s="21"/>
      <c r="AYN41" s="21"/>
      <c r="AYO41" s="21"/>
      <c r="AYP41" s="21"/>
      <c r="AYQ41" s="21"/>
      <c r="AYR41" s="21"/>
      <c r="AYS41" s="21"/>
      <c r="AYT41" s="21"/>
      <c r="AYU41" s="21"/>
      <c r="AYV41" s="21"/>
      <c r="AYW41" s="21"/>
      <c r="AYX41" s="21"/>
      <c r="AYY41" s="21"/>
      <c r="AYZ41" s="21"/>
      <c r="AZA41" s="21"/>
      <c r="AZB41" s="21"/>
      <c r="AZC41" s="21"/>
      <c r="AZD41" s="21"/>
      <c r="AZE41" s="21"/>
      <c r="AZF41" s="21"/>
      <c r="AZG41" s="21"/>
      <c r="AZH41" s="21"/>
      <c r="AZI41" s="21"/>
      <c r="AZJ41" s="21"/>
      <c r="AZK41" s="21"/>
      <c r="AZL41" s="21"/>
      <c r="AZM41" s="21"/>
      <c r="AZN41" s="21"/>
      <c r="AZO41" s="21"/>
      <c r="AZP41" s="21"/>
      <c r="AZQ41" s="21"/>
      <c r="AZR41" s="21"/>
      <c r="AZS41" s="21"/>
      <c r="AZT41" s="21"/>
      <c r="AZU41" s="21"/>
      <c r="AZV41" s="21"/>
      <c r="AZW41" s="21"/>
      <c r="AZX41" s="21"/>
      <c r="AZY41" s="21"/>
      <c r="AZZ41" s="21"/>
      <c r="BAA41" s="21"/>
      <c r="BAB41" s="21"/>
      <c r="BAC41" s="21"/>
      <c r="BAD41" s="21"/>
      <c r="BAE41" s="21"/>
      <c r="BAF41" s="21"/>
      <c r="BAG41" s="21"/>
      <c r="BAH41" s="21"/>
      <c r="BAI41" s="21"/>
      <c r="BAJ41" s="21"/>
      <c r="BAK41" s="21"/>
      <c r="BAL41" s="21"/>
      <c r="BAM41" s="21"/>
      <c r="BAN41" s="21"/>
      <c r="BAO41" s="21"/>
      <c r="BAP41" s="21"/>
      <c r="BAQ41" s="21"/>
      <c r="BAR41" s="21"/>
      <c r="BAS41" s="21"/>
      <c r="BAT41" s="21"/>
      <c r="BAU41" s="21"/>
      <c r="BAV41" s="21"/>
      <c r="BAW41" s="21"/>
      <c r="BAX41" s="21"/>
      <c r="BAY41" s="21"/>
      <c r="BAZ41" s="21"/>
      <c r="BBA41" s="21"/>
      <c r="BBB41" s="21"/>
      <c r="BBC41" s="21"/>
      <c r="BBD41" s="21"/>
      <c r="BBE41" s="21"/>
      <c r="BBF41" s="21"/>
      <c r="BBG41" s="21"/>
      <c r="BBH41" s="21"/>
      <c r="BBI41" s="21"/>
      <c r="BBJ41" s="21"/>
      <c r="BBK41" s="21"/>
      <c r="BBL41" s="21"/>
      <c r="BBM41" s="21"/>
      <c r="BBN41" s="21"/>
      <c r="BBO41" s="21"/>
      <c r="BBP41" s="21"/>
      <c r="BBQ41" s="21"/>
      <c r="BBR41" s="21"/>
      <c r="BBS41" s="21"/>
      <c r="BBT41" s="21"/>
      <c r="BBU41" s="21"/>
      <c r="BBV41" s="21"/>
      <c r="BBW41" s="21"/>
      <c r="BBX41" s="21"/>
      <c r="BBY41" s="21"/>
      <c r="BBZ41" s="21"/>
      <c r="BCA41" s="21"/>
      <c r="BCB41" s="21"/>
      <c r="BCC41" s="21"/>
      <c r="BCD41" s="21"/>
      <c r="BCE41" s="21"/>
      <c r="BCF41" s="21"/>
      <c r="BCG41" s="21"/>
      <c r="BCH41" s="21"/>
      <c r="BCI41" s="21"/>
      <c r="BCJ41" s="21"/>
      <c r="BCK41" s="21"/>
      <c r="BCL41" s="21"/>
      <c r="BCM41" s="21"/>
      <c r="BCN41" s="21"/>
      <c r="BCO41" s="21"/>
      <c r="BCP41" s="21"/>
      <c r="BCQ41" s="21"/>
      <c r="BCR41" s="21"/>
      <c r="BCS41" s="21"/>
      <c r="BCT41" s="21"/>
      <c r="BCU41" s="21"/>
      <c r="BCV41" s="21"/>
      <c r="BCW41" s="21"/>
      <c r="BCX41" s="21"/>
      <c r="BCY41" s="21"/>
      <c r="BCZ41" s="21"/>
      <c r="BDA41" s="21"/>
      <c r="BDB41" s="21"/>
      <c r="BDC41" s="21"/>
      <c r="BDD41" s="21"/>
      <c r="BDE41" s="21"/>
      <c r="BDF41" s="21"/>
      <c r="BDG41" s="21"/>
      <c r="BDH41" s="21"/>
      <c r="BDI41" s="21"/>
      <c r="BDJ41" s="21"/>
      <c r="BDK41" s="21"/>
      <c r="BDL41" s="21"/>
      <c r="BDM41" s="21"/>
      <c r="BDN41" s="21"/>
      <c r="BDO41" s="21"/>
      <c r="BDP41" s="21"/>
      <c r="BDQ41" s="21"/>
      <c r="BDR41" s="21"/>
      <c r="BDS41" s="21"/>
      <c r="BDT41" s="21"/>
      <c r="BDU41" s="21"/>
      <c r="BDV41" s="21"/>
      <c r="BDW41" s="21"/>
      <c r="BDX41" s="21"/>
      <c r="BDY41" s="21"/>
      <c r="BDZ41" s="21"/>
      <c r="BEA41" s="21"/>
      <c r="BEB41" s="21"/>
      <c r="BEC41" s="21"/>
      <c r="BED41" s="21"/>
      <c r="BEE41" s="21"/>
      <c r="BEF41" s="21"/>
      <c r="BEG41" s="21"/>
      <c r="BEH41" s="21"/>
      <c r="BEI41" s="21"/>
      <c r="BEJ41" s="21"/>
      <c r="BEK41" s="21"/>
      <c r="BEL41" s="21"/>
      <c r="BEM41" s="21"/>
      <c r="BEN41" s="21"/>
      <c r="BEO41" s="21"/>
      <c r="BEP41" s="21"/>
      <c r="BEQ41" s="21"/>
      <c r="BER41" s="21"/>
      <c r="BES41" s="21"/>
      <c r="BET41" s="21"/>
      <c r="BEU41" s="21"/>
      <c r="BEV41" s="21"/>
      <c r="BEW41" s="21"/>
      <c r="BEX41" s="21"/>
      <c r="BEY41" s="21"/>
      <c r="BEZ41" s="21"/>
      <c r="BFA41" s="21"/>
      <c r="BFB41" s="21"/>
      <c r="BFC41" s="21"/>
      <c r="BFD41" s="21"/>
      <c r="BFE41" s="21"/>
      <c r="BFF41" s="21"/>
      <c r="BFG41" s="21"/>
      <c r="BFH41" s="21"/>
      <c r="BFI41" s="21"/>
      <c r="BFJ41" s="21"/>
      <c r="BFK41" s="21"/>
      <c r="BFL41" s="21"/>
      <c r="BFM41" s="21"/>
      <c r="BFN41" s="21"/>
      <c r="BFO41" s="21"/>
      <c r="BFP41" s="21"/>
      <c r="BFQ41" s="21"/>
      <c r="BFR41" s="21"/>
      <c r="BFS41" s="21"/>
      <c r="BFT41" s="21"/>
      <c r="BFU41" s="21"/>
      <c r="BFV41" s="21"/>
      <c r="BFW41" s="21"/>
      <c r="BFX41" s="21"/>
      <c r="BFY41" s="21"/>
      <c r="BFZ41" s="21"/>
      <c r="BGA41" s="21"/>
      <c r="BGB41" s="21"/>
      <c r="BGC41" s="21"/>
      <c r="BGD41" s="21"/>
      <c r="BGE41" s="21"/>
      <c r="BGF41" s="21"/>
      <c r="BGG41" s="21"/>
      <c r="BGH41" s="21"/>
      <c r="BGI41" s="21"/>
      <c r="BGJ41" s="21"/>
      <c r="BGK41" s="21"/>
      <c r="BGL41" s="21"/>
      <c r="BGM41" s="21"/>
      <c r="BGN41" s="21"/>
      <c r="BGO41" s="21"/>
      <c r="BGP41" s="21"/>
      <c r="BGQ41" s="21"/>
      <c r="BGR41" s="21"/>
      <c r="BGS41" s="21"/>
      <c r="BGT41" s="21"/>
      <c r="BGU41" s="21"/>
      <c r="BGV41" s="21"/>
      <c r="BGW41" s="21"/>
      <c r="BGX41" s="21"/>
      <c r="BGY41" s="21"/>
      <c r="BGZ41" s="21"/>
      <c r="BHA41" s="21"/>
      <c r="BHB41" s="21"/>
      <c r="BHC41" s="21"/>
      <c r="BHD41" s="21"/>
      <c r="BHE41" s="21"/>
      <c r="BHF41" s="21"/>
      <c r="BHG41" s="21"/>
      <c r="BHH41" s="21"/>
      <c r="BHI41" s="21"/>
      <c r="BHJ41" s="21"/>
      <c r="BHK41" s="21"/>
      <c r="BHL41" s="21"/>
      <c r="BHM41" s="21"/>
      <c r="BHN41" s="21"/>
      <c r="BHO41" s="21"/>
      <c r="BHP41" s="21"/>
      <c r="BHQ41" s="21"/>
      <c r="BHR41" s="21"/>
      <c r="BHS41" s="21"/>
      <c r="BHT41" s="21"/>
      <c r="BHU41" s="21"/>
      <c r="BHV41" s="21"/>
      <c r="BHW41" s="21"/>
      <c r="BHX41" s="21"/>
      <c r="BHY41" s="21"/>
      <c r="BHZ41" s="21"/>
      <c r="BIA41" s="21"/>
      <c r="BIB41" s="21"/>
      <c r="BIC41" s="21"/>
      <c r="BID41" s="21"/>
      <c r="BIE41" s="21"/>
      <c r="BIF41" s="21"/>
      <c r="BIG41" s="21"/>
      <c r="BIH41" s="21"/>
      <c r="BII41" s="21"/>
      <c r="BIJ41" s="21"/>
      <c r="BIK41" s="21"/>
      <c r="BIL41" s="21"/>
      <c r="BIM41" s="21"/>
      <c r="BIN41" s="21"/>
      <c r="BIO41" s="21"/>
      <c r="BIP41" s="21"/>
      <c r="BIQ41" s="21"/>
      <c r="BIR41" s="21"/>
      <c r="BIS41" s="21"/>
      <c r="BIT41" s="21"/>
      <c r="BIU41" s="21"/>
      <c r="BIV41" s="21"/>
      <c r="BIW41" s="21"/>
      <c r="BIX41" s="21"/>
      <c r="BIY41" s="21"/>
      <c r="BIZ41" s="21"/>
      <c r="BJA41" s="21"/>
      <c r="BJB41" s="21"/>
      <c r="BJC41" s="21"/>
      <c r="BJD41" s="21"/>
      <c r="BJE41" s="21"/>
      <c r="BJF41" s="21"/>
      <c r="BJG41" s="21"/>
      <c r="BJH41" s="21"/>
      <c r="BJI41" s="21"/>
      <c r="BJJ41" s="21"/>
      <c r="BJK41" s="21"/>
      <c r="BJL41" s="21"/>
      <c r="BJM41" s="21"/>
      <c r="BJN41" s="21"/>
      <c r="BJO41" s="21"/>
      <c r="BJP41" s="21"/>
      <c r="BJQ41" s="21"/>
      <c r="BJR41" s="21"/>
      <c r="BJS41" s="21"/>
      <c r="BJT41" s="21"/>
      <c r="BJU41" s="21"/>
      <c r="BJV41" s="21"/>
      <c r="BJW41" s="21"/>
      <c r="BJX41" s="21"/>
      <c r="BJY41" s="21"/>
      <c r="BJZ41" s="21"/>
      <c r="BKA41" s="21"/>
      <c r="BKB41" s="21"/>
      <c r="BKC41" s="21"/>
      <c r="BKD41" s="21"/>
      <c r="BKE41" s="21"/>
      <c r="BKF41" s="21"/>
      <c r="BKG41" s="21"/>
      <c r="BKH41" s="21"/>
      <c r="BKI41" s="21"/>
      <c r="BKJ41" s="21"/>
      <c r="BKK41" s="21"/>
      <c r="BKL41" s="21"/>
      <c r="BKM41" s="21"/>
      <c r="BKN41" s="21"/>
      <c r="BKO41" s="21"/>
      <c r="BKP41" s="21"/>
      <c r="BKQ41" s="21"/>
      <c r="BKR41" s="21"/>
      <c r="BKS41" s="21"/>
      <c r="BKT41" s="21"/>
      <c r="BKU41" s="21"/>
      <c r="BKV41" s="21"/>
      <c r="BKW41" s="21"/>
      <c r="BKX41" s="21"/>
      <c r="BKY41" s="21"/>
      <c r="BKZ41" s="21"/>
      <c r="BLA41" s="21"/>
      <c r="BLB41" s="21"/>
      <c r="BLC41" s="21"/>
      <c r="BLD41" s="21"/>
      <c r="BLE41" s="21"/>
      <c r="BLF41" s="21"/>
      <c r="BLG41" s="21"/>
      <c r="BLH41" s="21"/>
      <c r="BLI41" s="21"/>
      <c r="BLJ41" s="21"/>
      <c r="BLK41" s="21"/>
      <c r="BLL41" s="21"/>
      <c r="BLM41" s="21"/>
      <c r="BLN41" s="21"/>
      <c r="BLO41" s="21"/>
      <c r="BLP41" s="21"/>
      <c r="BLQ41" s="21"/>
      <c r="BLR41" s="21"/>
      <c r="BLS41" s="21"/>
      <c r="BLT41" s="21"/>
      <c r="BLU41" s="21"/>
      <c r="BLV41" s="21"/>
      <c r="BLW41" s="21"/>
      <c r="BLX41" s="21"/>
      <c r="BLY41" s="21"/>
      <c r="BLZ41" s="21"/>
      <c r="BMA41" s="21"/>
      <c r="BMB41" s="21"/>
      <c r="BMC41" s="21"/>
      <c r="BMD41" s="21"/>
      <c r="BME41" s="21"/>
      <c r="BMF41" s="21"/>
      <c r="BMG41" s="21"/>
      <c r="BMH41" s="21"/>
      <c r="BMI41" s="21"/>
      <c r="BMJ41" s="21"/>
      <c r="BMK41" s="21"/>
      <c r="BML41" s="21"/>
      <c r="BMM41" s="21"/>
      <c r="BMN41" s="21"/>
      <c r="BMO41" s="21"/>
      <c r="BMP41" s="21"/>
      <c r="BMQ41" s="21"/>
      <c r="BMR41" s="21"/>
      <c r="BMS41" s="21"/>
      <c r="BMT41" s="21"/>
      <c r="BMU41" s="21"/>
      <c r="BMV41" s="21"/>
      <c r="BMW41" s="21"/>
      <c r="BMX41" s="21"/>
      <c r="BMY41" s="21"/>
      <c r="BMZ41" s="21"/>
      <c r="BNA41" s="21"/>
      <c r="BNB41" s="21"/>
      <c r="BNC41" s="21"/>
      <c r="BND41" s="21"/>
      <c r="BNE41" s="21"/>
      <c r="BNF41" s="21"/>
      <c r="BNG41" s="21"/>
      <c r="BNH41" s="21"/>
      <c r="BNI41" s="21"/>
      <c r="BNJ41" s="21"/>
      <c r="BNK41" s="21"/>
      <c r="BNL41" s="21"/>
      <c r="BNM41" s="21"/>
      <c r="BNN41" s="21"/>
      <c r="BNO41" s="21"/>
      <c r="BNP41" s="21"/>
      <c r="BNQ41" s="21"/>
      <c r="BNR41" s="21"/>
      <c r="BNS41" s="21"/>
      <c r="BNT41" s="21"/>
      <c r="BNU41" s="21"/>
      <c r="BNV41" s="21"/>
      <c r="BNW41" s="21"/>
      <c r="BNX41" s="21"/>
      <c r="BNY41" s="21"/>
      <c r="BNZ41" s="21"/>
      <c r="BOA41" s="21"/>
      <c r="BOB41" s="21"/>
      <c r="BOC41" s="21"/>
      <c r="BOD41" s="21"/>
      <c r="BOE41" s="21"/>
      <c r="BOF41" s="21"/>
      <c r="BOG41" s="21"/>
      <c r="BOH41" s="21"/>
      <c r="BOI41" s="21"/>
      <c r="BOJ41" s="21"/>
      <c r="BOK41" s="21"/>
      <c r="BOL41" s="21"/>
      <c r="BOM41" s="21"/>
      <c r="BON41" s="21"/>
      <c r="BOO41" s="21"/>
      <c r="BOP41" s="21"/>
      <c r="BOQ41" s="21"/>
      <c r="BOR41" s="21"/>
      <c r="BOS41" s="21"/>
      <c r="BOT41" s="21"/>
      <c r="BOU41" s="21"/>
      <c r="BOV41" s="21"/>
      <c r="BOW41" s="21"/>
      <c r="BOX41" s="21"/>
      <c r="BOY41" s="21"/>
      <c r="BOZ41" s="21"/>
      <c r="BPA41" s="21"/>
      <c r="BPB41" s="21"/>
      <c r="BPC41" s="21"/>
      <c r="BPD41" s="21"/>
      <c r="BPE41" s="21"/>
      <c r="BPF41" s="21"/>
      <c r="BPG41" s="21"/>
      <c r="BPH41" s="21"/>
      <c r="BPI41" s="21"/>
      <c r="BPJ41" s="21"/>
      <c r="BPK41" s="21"/>
      <c r="BPL41" s="21"/>
      <c r="BPM41" s="21"/>
      <c r="BPN41" s="21"/>
      <c r="BPO41" s="21"/>
      <c r="BPP41" s="21"/>
      <c r="BPQ41" s="21"/>
      <c r="BPR41" s="21"/>
      <c r="BPS41" s="21"/>
      <c r="BPT41" s="21"/>
      <c r="BPU41" s="21"/>
      <c r="BPV41" s="21"/>
      <c r="BPW41" s="21"/>
      <c r="BPX41" s="21"/>
      <c r="BPY41" s="21"/>
      <c r="BPZ41" s="21"/>
      <c r="BQA41" s="21"/>
      <c r="BQB41" s="21"/>
      <c r="BQC41" s="21"/>
      <c r="BQD41" s="21"/>
      <c r="BQE41" s="21"/>
      <c r="BQF41" s="21"/>
      <c r="BQG41" s="21"/>
      <c r="BQH41" s="21"/>
      <c r="BQI41" s="21"/>
      <c r="BQJ41" s="21"/>
      <c r="BQK41" s="21"/>
      <c r="BQL41" s="21"/>
      <c r="BQM41" s="21"/>
      <c r="BQN41" s="21"/>
      <c r="BQO41" s="21"/>
      <c r="BQP41" s="21"/>
      <c r="BQQ41" s="21"/>
      <c r="BQR41" s="21"/>
      <c r="BQS41" s="21"/>
      <c r="BQT41" s="21"/>
      <c r="BQU41" s="21"/>
      <c r="BQV41" s="21"/>
      <c r="BQW41" s="21"/>
      <c r="BQX41" s="21"/>
      <c r="BQY41" s="21"/>
      <c r="BQZ41" s="21"/>
      <c r="BRA41" s="21"/>
      <c r="BRB41" s="21"/>
      <c r="BRC41" s="21"/>
      <c r="BRD41" s="21"/>
      <c r="BRE41" s="21"/>
      <c r="BRF41" s="21"/>
      <c r="BRG41" s="21"/>
      <c r="BRH41" s="21"/>
      <c r="BRI41" s="21"/>
      <c r="BRJ41" s="21"/>
      <c r="BRK41" s="21"/>
      <c r="BRL41" s="21"/>
      <c r="BRM41" s="21"/>
      <c r="BRN41" s="21"/>
      <c r="BRO41" s="21"/>
      <c r="BRP41" s="21"/>
      <c r="BRQ41" s="21"/>
      <c r="BRR41" s="21"/>
      <c r="BRS41" s="21"/>
      <c r="BRT41" s="21"/>
      <c r="BRU41" s="21"/>
      <c r="BRV41" s="21"/>
      <c r="BRW41" s="21"/>
      <c r="BRX41" s="21"/>
      <c r="BRY41" s="21"/>
      <c r="BRZ41" s="21"/>
      <c r="BSA41" s="21"/>
      <c r="BSB41" s="21"/>
      <c r="BSC41" s="21"/>
      <c r="BSD41" s="21"/>
      <c r="BSE41" s="21"/>
      <c r="BSF41" s="21"/>
      <c r="BSG41" s="21"/>
      <c r="BSH41" s="21"/>
      <c r="BSI41" s="21"/>
      <c r="BSJ41" s="21"/>
      <c r="BSK41" s="21"/>
      <c r="BSL41" s="21"/>
      <c r="BSM41" s="21"/>
      <c r="BSN41" s="21"/>
      <c r="BSO41" s="21"/>
      <c r="BSP41" s="21"/>
      <c r="BSQ41" s="21"/>
      <c r="BSR41" s="21"/>
      <c r="BSS41" s="21"/>
      <c r="BST41" s="21"/>
      <c r="BSU41" s="21"/>
      <c r="BSV41" s="21"/>
      <c r="BSW41" s="21"/>
      <c r="BSX41" s="21"/>
      <c r="BSY41" s="21"/>
      <c r="BSZ41" s="21"/>
      <c r="BTA41" s="21"/>
      <c r="BTB41" s="21"/>
      <c r="BTC41" s="21"/>
      <c r="BTD41" s="21"/>
      <c r="BTE41" s="21"/>
      <c r="BTF41" s="21"/>
      <c r="BTG41" s="21"/>
      <c r="BTH41" s="21"/>
      <c r="BTI41" s="21"/>
      <c r="BTJ41" s="21"/>
      <c r="BTK41" s="21"/>
      <c r="BTL41" s="21"/>
      <c r="BTM41" s="21"/>
      <c r="BTN41" s="21"/>
      <c r="BTO41" s="21"/>
      <c r="BTP41" s="21"/>
      <c r="BTQ41" s="21"/>
      <c r="BTR41" s="21"/>
      <c r="BTS41" s="21"/>
      <c r="BTT41" s="21"/>
      <c r="BTU41" s="21"/>
      <c r="BTV41" s="21"/>
      <c r="BTW41" s="21"/>
      <c r="BTX41" s="21"/>
      <c r="BTY41" s="21"/>
      <c r="BTZ41" s="21"/>
      <c r="BUA41" s="21"/>
      <c r="BUB41" s="21"/>
      <c r="BUC41" s="21"/>
      <c r="BUD41" s="21"/>
      <c r="BUE41" s="21"/>
      <c r="BUF41" s="21"/>
      <c r="BUG41" s="21"/>
      <c r="BUH41" s="21"/>
      <c r="BUI41" s="21"/>
      <c r="BUJ41" s="21"/>
      <c r="BUK41" s="21"/>
      <c r="BUL41" s="21"/>
      <c r="BUM41" s="21"/>
      <c r="BUN41" s="21"/>
      <c r="BUO41" s="21"/>
      <c r="BUP41" s="21"/>
      <c r="BUQ41" s="21"/>
      <c r="BUR41" s="21"/>
      <c r="BUS41" s="21"/>
      <c r="BUT41" s="21"/>
      <c r="BUU41" s="21"/>
      <c r="BUV41" s="21"/>
      <c r="BUW41" s="21"/>
      <c r="BUX41" s="21"/>
      <c r="BUY41" s="21"/>
      <c r="BUZ41" s="21"/>
      <c r="BVA41" s="21"/>
      <c r="BVB41" s="21"/>
      <c r="BVC41" s="21"/>
      <c r="BVD41" s="21"/>
      <c r="BVE41" s="21"/>
      <c r="BVF41" s="21"/>
      <c r="BVG41" s="21"/>
      <c r="BVH41" s="21"/>
      <c r="BVI41" s="21"/>
      <c r="BVJ41" s="21"/>
      <c r="BVK41" s="21"/>
      <c r="BVL41" s="21"/>
      <c r="BVM41" s="21"/>
      <c r="BVN41" s="21"/>
      <c r="BVO41" s="21"/>
      <c r="BVP41" s="21"/>
      <c r="BVQ41" s="21"/>
      <c r="BVR41" s="21"/>
      <c r="BVS41" s="21"/>
      <c r="BVT41" s="21"/>
      <c r="BVU41" s="21"/>
      <c r="BVV41" s="21"/>
      <c r="BVW41" s="21"/>
      <c r="BVX41" s="21"/>
      <c r="BVY41" s="21"/>
      <c r="BVZ41" s="21"/>
      <c r="BWA41" s="21"/>
      <c r="BWB41" s="21"/>
      <c r="BWC41" s="21"/>
      <c r="BWD41" s="21"/>
      <c r="BWE41" s="21"/>
      <c r="BWF41" s="21"/>
      <c r="BWG41" s="21"/>
      <c r="BWH41" s="21"/>
      <c r="BWI41" s="21"/>
      <c r="BWJ41" s="21"/>
      <c r="BWK41" s="21"/>
      <c r="BWL41" s="21"/>
      <c r="BWM41" s="21"/>
      <c r="BWN41" s="21"/>
      <c r="BWO41" s="21"/>
      <c r="BWP41" s="21"/>
      <c r="BWQ41" s="21"/>
      <c r="BWR41" s="21"/>
      <c r="BWS41" s="21"/>
      <c r="BWT41" s="21"/>
      <c r="BWU41" s="21"/>
      <c r="BWV41" s="21"/>
      <c r="BWW41" s="21"/>
      <c r="BWX41" s="21"/>
      <c r="BWY41" s="21"/>
      <c r="BWZ41" s="21"/>
      <c r="BXA41" s="21"/>
      <c r="BXB41" s="21"/>
      <c r="BXC41" s="21"/>
      <c r="BXD41" s="21"/>
      <c r="BXE41" s="21"/>
      <c r="BXF41" s="21"/>
      <c r="BXG41" s="21"/>
      <c r="BXH41" s="21"/>
      <c r="BXI41" s="21"/>
      <c r="BXJ41" s="21"/>
      <c r="BXK41" s="21"/>
      <c r="BXL41" s="21"/>
      <c r="BXM41" s="21"/>
      <c r="BXN41" s="21"/>
      <c r="BXO41" s="21"/>
      <c r="BXP41" s="21"/>
      <c r="BXQ41" s="21"/>
      <c r="BXR41" s="21"/>
      <c r="BXS41" s="21"/>
      <c r="BXT41" s="21"/>
      <c r="BXU41" s="21"/>
      <c r="BXV41" s="21"/>
      <c r="BXW41" s="21"/>
      <c r="BXX41" s="21"/>
      <c r="BXY41" s="21"/>
      <c r="BXZ41" s="21"/>
      <c r="BYA41" s="21"/>
      <c r="BYB41" s="21"/>
      <c r="BYC41" s="21"/>
      <c r="BYD41" s="21"/>
      <c r="BYE41" s="21"/>
      <c r="BYF41" s="21"/>
      <c r="BYG41" s="21"/>
      <c r="BYH41" s="21"/>
      <c r="BYI41" s="21"/>
      <c r="BYJ41" s="21"/>
      <c r="BYK41" s="21"/>
      <c r="BYL41" s="21"/>
      <c r="BYM41" s="21"/>
      <c r="BYN41" s="21"/>
      <c r="BYO41" s="21"/>
      <c r="BYP41" s="21"/>
      <c r="BYQ41" s="21"/>
      <c r="BYR41" s="21"/>
      <c r="BYS41" s="21"/>
      <c r="BYT41" s="21"/>
      <c r="BYU41" s="21"/>
      <c r="BYV41" s="21"/>
      <c r="BYW41" s="21"/>
      <c r="BYX41" s="21"/>
      <c r="BYY41" s="21"/>
      <c r="BYZ41" s="21"/>
      <c r="BZA41" s="21"/>
      <c r="BZB41" s="21"/>
      <c r="BZC41" s="21"/>
      <c r="BZD41" s="21"/>
      <c r="BZE41" s="21"/>
      <c r="BZF41" s="21"/>
      <c r="BZG41" s="21"/>
      <c r="BZH41" s="21"/>
      <c r="BZI41" s="21"/>
      <c r="BZJ41" s="21"/>
      <c r="BZK41" s="21"/>
      <c r="BZL41" s="21"/>
      <c r="BZM41" s="21"/>
      <c r="BZN41" s="21"/>
      <c r="BZO41" s="21"/>
      <c r="BZP41" s="21"/>
      <c r="BZQ41" s="21"/>
      <c r="BZR41" s="21"/>
      <c r="BZS41" s="21"/>
      <c r="BZT41" s="21"/>
      <c r="BZU41" s="21"/>
      <c r="BZV41" s="21"/>
      <c r="BZW41" s="21"/>
      <c r="BZX41" s="21"/>
      <c r="BZY41" s="21"/>
      <c r="BZZ41" s="21"/>
      <c r="CAA41" s="21"/>
      <c r="CAB41" s="21"/>
      <c r="CAC41" s="21"/>
      <c r="CAD41" s="21"/>
      <c r="CAE41" s="21"/>
      <c r="CAF41" s="21"/>
      <c r="CAG41" s="21"/>
      <c r="CAH41" s="21"/>
      <c r="CAI41" s="21"/>
      <c r="CAJ41" s="21"/>
      <c r="CAK41" s="21"/>
      <c r="CAL41" s="21"/>
      <c r="CAM41" s="21"/>
      <c r="CAN41" s="21"/>
      <c r="CAO41" s="21"/>
      <c r="CAP41" s="21"/>
      <c r="CAQ41" s="21"/>
      <c r="CAR41" s="21"/>
      <c r="CAS41" s="21"/>
      <c r="CAT41" s="21"/>
      <c r="CAU41" s="21"/>
      <c r="CAV41" s="21"/>
      <c r="CAW41" s="21"/>
      <c r="CAX41" s="21"/>
      <c r="CAY41" s="21"/>
      <c r="CAZ41" s="21"/>
      <c r="CBA41" s="21"/>
      <c r="CBB41" s="21"/>
      <c r="CBC41" s="21"/>
      <c r="CBD41" s="21"/>
      <c r="CBE41" s="21"/>
      <c r="CBF41" s="21"/>
      <c r="CBG41" s="21"/>
      <c r="CBH41" s="21"/>
      <c r="CBI41" s="21"/>
      <c r="CBJ41" s="21"/>
      <c r="CBK41" s="21"/>
      <c r="CBL41" s="21"/>
      <c r="CBM41" s="21"/>
      <c r="CBN41" s="21"/>
      <c r="CBO41" s="21"/>
      <c r="CBP41" s="21"/>
      <c r="CBQ41" s="21"/>
      <c r="CBR41" s="21"/>
      <c r="CBS41" s="21"/>
      <c r="CBT41" s="21"/>
      <c r="CBU41" s="21"/>
      <c r="CBV41" s="21"/>
      <c r="CBW41" s="21"/>
      <c r="CBX41" s="21"/>
      <c r="CBY41" s="21"/>
      <c r="CBZ41" s="21"/>
      <c r="CCA41" s="21"/>
      <c r="CCB41" s="21"/>
      <c r="CCC41" s="21"/>
      <c r="CCD41" s="21"/>
      <c r="CCE41" s="21"/>
      <c r="CCF41" s="21"/>
      <c r="CCG41" s="21"/>
      <c r="CCH41" s="21"/>
      <c r="CCI41" s="21"/>
      <c r="CCJ41" s="21"/>
      <c r="CCK41" s="21"/>
      <c r="CCL41" s="21"/>
      <c r="CCM41" s="21"/>
      <c r="CCN41" s="21"/>
      <c r="CCO41" s="21"/>
      <c r="CCP41" s="21"/>
      <c r="CCQ41" s="21"/>
      <c r="CCR41" s="21"/>
      <c r="CCS41" s="21"/>
      <c r="CCT41" s="21"/>
      <c r="CCU41" s="21"/>
      <c r="CCV41" s="21"/>
      <c r="CCW41" s="21"/>
      <c r="CCX41" s="21"/>
      <c r="CCY41" s="21"/>
      <c r="CCZ41" s="21"/>
      <c r="CDA41" s="21"/>
      <c r="CDB41" s="21"/>
      <c r="CDC41" s="21"/>
      <c r="CDD41" s="21"/>
      <c r="CDE41" s="21"/>
      <c r="CDF41" s="21"/>
      <c r="CDG41" s="21"/>
      <c r="CDH41" s="21"/>
      <c r="CDI41" s="21"/>
      <c r="CDJ41" s="21"/>
      <c r="CDK41" s="21"/>
      <c r="CDL41" s="21"/>
      <c r="CDM41" s="21"/>
      <c r="CDN41" s="21"/>
      <c r="CDO41" s="21"/>
      <c r="CDP41" s="21"/>
      <c r="CDQ41" s="21"/>
      <c r="CDR41" s="21"/>
      <c r="CDS41" s="21"/>
      <c r="CDT41" s="21"/>
      <c r="CDU41" s="21"/>
      <c r="CDV41" s="21"/>
      <c r="CDW41" s="21"/>
      <c r="CDX41" s="21"/>
      <c r="CDY41" s="21"/>
      <c r="CDZ41" s="21"/>
      <c r="CEA41" s="21"/>
      <c r="CEB41" s="21"/>
      <c r="CEC41" s="21"/>
      <c r="CED41" s="21"/>
      <c r="CEE41" s="21"/>
      <c r="CEF41" s="21"/>
      <c r="CEG41" s="21"/>
      <c r="CEH41" s="21"/>
      <c r="CEI41" s="21"/>
      <c r="CEJ41" s="21"/>
      <c r="CEK41" s="21"/>
      <c r="CEL41" s="21"/>
      <c r="CEM41" s="21"/>
      <c r="CEN41" s="21"/>
      <c r="CEO41" s="21"/>
      <c r="CEP41" s="21"/>
      <c r="CEQ41" s="21"/>
      <c r="CER41" s="21"/>
      <c r="CES41" s="21"/>
      <c r="CET41" s="21"/>
      <c r="CEU41" s="21"/>
      <c r="CEV41" s="21"/>
      <c r="CEW41" s="21"/>
      <c r="CEX41" s="21"/>
      <c r="CEY41" s="21"/>
      <c r="CEZ41" s="21"/>
      <c r="CFA41" s="21"/>
      <c r="CFB41" s="21"/>
      <c r="CFC41" s="21"/>
      <c r="CFD41" s="21"/>
      <c r="CFE41" s="21"/>
      <c r="CFF41" s="21"/>
      <c r="CFG41" s="21"/>
      <c r="CFH41" s="21"/>
      <c r="CFI41" s="21"/>
      <c r="CFJ41" s="21"/>
      <c r="CFK41" s="21"/>
      <c r="CFL41" s="21"/>
      <c r="CFM41" s="21"/>
      <c r="CFN41" s="21"/>
      <c r="CFO41" s="21"/>
      <c r="CFP41" s="21"/>
      <c r="CFQ41" s="21"/>
      <c r="CFR41" s="21"/>
      <c r="CFS41" s="21"/>
      <c r="CFT41" s="21"/>
      <c r="CFU41" s="21"/>
      <c r="CFV41" s="21"/>
      <c r="CFW41" s="21"/>
      <c r="CFX41" s="21"/>
      <c r="CFY41" s="21"/>
      <c r="CFZ41" s="21"/>
      <c r="CGA41" s="21"/>
      <c r="CGB41" s="21"/>
      <c r="CGC41" s="21"/>
      <c r="CGD41" s="21"/>
      <c r="CGE41" s="21"/>
      <c r="CGF41" s="21"/>
      <c r="CGG41" s="21"/>
      <c r="CGH41" s="21"/>
      <c r="CGI41" s="21"/>
      <c r="CGJ41" s="21"/>
      <c r="CGK41" s="21"/>
      <c r="CGL41" s="21"/>
      <c r="CGM41" s="21"/>
      <c r="CGN41" s="21"/>
      <c r="CGO41" s="21"/>
      <c r="CGP41" s="21"/>
      <c r="CGQ41" s="21"/>
      <c r="CGR41" s="21"/>
      <c r="CGS41" s="21"/>
      <c r="CGT41" s="21"/>
      <c r="CGU41" s="21"/>
      <c r="CGV41" s="21"/>
      <c r="CGW41" s="21"/>
      <c r="CGX41" s="21"/>
      <c r="CGY41" s="21"/>
      <c r="CGZ41" s="21"/>
      <c r="CHA41" s="21"/>
      <c r="CHB41" s="21"/>
      <c r="CHC41" s="21"/>
      <c r="CHD41" s="21"/>
      <c r="CHE41" s="21"/>
      <c r="CHF41" s="21"/>
      <c r="CHG41" s="21"/>
      <c r="CHH41" s="21"/>
      <c r="CHI41" s="21"/>
      <c r="CHJ41" s="21"/>
      <c r="CHK41" s="21"/>
      <c r="CHL41" s="21"/>
      <c r="CHM41" s="21"/>
      <c r="CHN41" s="21"/>
      <c r="CHO41" s="21"/>
      <c r="CHP41" s="21"/>
      <c r="CHQ41" s="21"/>
      <c r="CHR41" s="21"/>
      <c r="CHS41" s="21"/>
      <c r="CHT41" s="21"/>
      <c r="CHU41" s="21"/>
      <c r="CHV41" s="21"/>
      <c r="CHW41" s="21"/>
      <c r="CHX41" s="21"/>
      <c r="CHY41" s="21"/>
      <c r="CHZ41" s="21"/>
      <c r="CIA41" s="21"/>
      <c r="CIB41" s="21"/>
      <c r="CIC41" s="21"/>
      <c r="CID41" s="21"/>
      <c r="CIE41" s="21"/>
      <c r="CIF41" s="21"/>
      <c r="CIG41" s="21"/>
      <c r="CIH41" s="21"/>
      <c r="CII41" s="21"/>
      <c r="CIJ41" s="21"/>
      <c r="CIK41" s="21"/>
      <c r="CIL41" s="21"/>
      <c r="CIM41" s="21"/>
      <c r="CIN41" s="21"/>
      <c r="CIO41" s="21"/>
      <c r="CIP41" s="21"/>
      <c r="CIQ41" s="21"/>
      <c r="CIR41" s="21"/>
      <c r="CIS41" s="21"/>
      <c r="CIT41" s="21"/>
      <c r="CIU41" s="21"/>
      <c r="CIV41" s="21"/>
      <c r="CIW41" s="21"/>
      <c r="CIX41" s="21"/>
      <c r="CIY41" s="21"/>
      <c r="CIZ41" s="21"/>
      <c r="CJA41" s="21"/>
      <c r="CJB41" s="21"/>
      <c r="CJC41" s="21"/>
      <c r="CJD41" s="21"/>
      <c r="CJE41" s="21"/>
      <c r="CJF41" s="21"/>
      <c r="CJG41" s="21"/>
      <c r="CJH41" s="21"/>
      <c r="CJI41" s="21"/>
      <c r="CJJ41" s="21"/>
      <c r="CJK41" s="21"/>
      <c r="CJL41" s="21"/>
      <c r="CJM41" s="21"/>
      <c r="CJN41" s="21"/>
      <c r="CJO41" s="21"/>
      <c r="CJP41" s="21"/>
      <c r="CJQ41" s="21"/>
      <c r="CJR41" s="21"/>
      <c r="CJS41" s="21"/>
      <c r="CJT41" s="21"/>
      <c r="CJU41" s="21"/>
      <c r="CJV41" s="21"/>
      <c r="CJW41" s="21"/>
      <c r="CJX41" s="21"/>
      <c r="CJY41" s="21"/>
      <c r="CJZ41" s="21"/>
      <c r="CKA41" s="21"/>
      <c r="CKB41" s="21"/>
      <c r="CKC41" s="21"/>
      <c r="CKD41" s="21"/>
      <c r="CKE41" s="21"/>
      <c r="CKF41" s="21"/>
      <c r="CKG41" s="21"/>
      <c r="CKH41" s="21"/>
      <c r="CKI41" s="21"/>
      <c r="CKJ41" s="21"/>
      <c r="CKK41" s="21"/>
      <c r="CKL41" s="21"/>
      <c r="CKM41" s="21"/>
      <c r="CKN41" s="21"/>
      <c r="CKO41" s="21"/>
      <c r="CKP41" s="21"/>
      <c r="CKQ41" s="21"/>
      <c r="CKR41" s="21"/>
      <c r="CKS41" s="21"/>
      <c r="CKT41" s="21"/>
      <c r="CKU41" s="21"/>
      <c r="CKV41" s="21"/>
      <c r="CKW41" s="21"/>
      <c r="CKX41" s="21"/>
      <c r="CKY41" s="21"/>
      <c r="CKZ41" s="21"/>
      <c r="CLA41" s="21"/>
      <c r="CLB41" s="21"/>
      <c r="CLC41" s="21"/>
      <c r="CLD41" s="21"/>
      <c r="CLE41" s="21"/>
      <c r="CLF41" s="21"/>
      <c r="CLG41" s="21"/>
      <c r="CLH41" s="21"/>
      <c r="CLI41" s="21"/>
      <c r="CLJ41" s="21"/>
      <c r="CLK41" s="21"/>
      <c r="CLL41" s="21"/>
      <c r="CLM41" s="21"/>
      <c r="CLN41" s="21"/>
      <c r="CLO41" s="21"/>
      <c r="CLP41" s="21"/>
      <c r="CLQ41" s="21"/>
      <c r="CLR41" s="21"/>
      <c r="CLS41" s="21"/>
      <c r="CLT41" s="21"/>
      <c r="CLU41" s="21"/>
      <c r="CLV41" s="21"/>
      <c r="CLW41" s="21"/>
      <c r="CLX41" s="21"/>
      <c r="CLY41" s="21"/>
      <c r="CLZ41" s="21"/>
      <c r="CMA41" s="21"/>
      <c r="CMB41" s="21"/>
      <c r="CMC41" s="21"/>
      <c r="CMD41" s="21"/>
      <c r="CME41" s="21"/>
      <c r="CMF41" s="21"/>
      <c r="CMG41" s="21"/>
      <c r="CMH41" s="21"/>
      <c r="CMI41" s="21"/>
      <c r="CMJ41" s="21"/>
      <c r="CMK41" s="21"/>
      <c r="CML41" s="21"/>
      <c r="CMM41" s="21"/>
      <c r="CMN41" s="21"/>
      <c r="CMO41" s="21"/>
      <c r="CMP41" s="21"/>
      <c r="CMQ41" s="21"/>
      <c r="CMR41" s="21"/>
      <c r="CMS41" s="21"/>
      <c r="CMT41" s="21"/>
      <c r="CMU41" s="21"/>
      <c r="CMV41" s="21"/>
      <c r="CMW41" s="21"/>
      <c r="CMX41" s="21"/>
      <c r="CMY41" s="21"/>
      <c r="CMZ41" s="21"/>
      <c r="CNA41" s="21"/>
      <c r="CNB41" s="21"/>
      <c r="CNC41" s="21"/>
      <c r="CND41" s="21"/>
      <c r="CNE41" s="21"/>
      <c r="CNF41" s="21"/>
      <c r="CNG41" s="21"/>
      <c r="CNH41" s="21"/>
      <c r="CNI41" s="21"/>
      <c r="CNJ41" s="21"/>
      <c r="CNK41" s="21"/>
      <c r="CNL41" s="21"/>
      <c r="CNM41" s="21"/>
      <c r="CNN41" s="21"/>
      <c r="CNO41" s="21"/>
      <c r="CNP41" s="21"/>
      <c r="CNQ41" s="21"/>
      <c r="CNR41" s="21"/>
      <c r="CNS41" s="21"/>
      <c r="CNT41" s="21"/>
      <c r="CNU41" s="21"/>
      <c r="CNV41" s="21"/>
      <c r="CNW41" s="21"/>
      <c r="CNX41" s="21"/>
      <c r="CNY41" s="21"/>
      <c r="CNZ41" s="21"/>
      <c r="COA41" s="21"/>
      <c r="COB41" s="21"/>
      <c r="COC41" s="21"/>
      <c r="COD41" s="21"/>
      <c r="COE41" s="21"/>
      <c r="COF41" s="21"/>
      <c r="COG41" s="21"/>
      <c r="COH41" s="21"/>
      <c r="COI41" s="21"/>
      <c r="COJ41" s="21"/>
      <c r="COK41" s="21"/>
      <c r="COL41" s="21"/>
      <c r="COM41" s="21"/>
      <c r="CON41" s="21"/>
      <c r="COO41" s="21"/>
      <c r="COP41" s="21"/>
      <c r="COQ41" s="21"/>
      <c r="COR41" s="21"/>
      <c r="COS41" s="21"/>
      <c r="COT41" s="21"/>
      <c r="COU41" s="21"/>
      <c r="COV41" s="21"/>
      <c r="COW41" s="21"/>
      <c r="COX41" s="21"/>
      <c r="COY41" s="21"/>
      <c r="COZ41" s="21"/>
      <c r="CPA41" s="21"/>
      <c r="CPB41" s="21"/>
      <c r="CPC41" s="21"/>
      <c r="CPD41" s="21"/>
      <c r="CPE41" s="21"/>
      <c r="CPF41" s="21"/>
      <c r="CPG41" s="21"/>
      <c r="CPH41" s="21"/>
      <c r="CPI41" s="21"/>
      <c r="CPJ41" s="21"/>
      <c r="CPK41" s="21"/>
      <c r="CPL41" s="21"/>
      <c r="CPM41" s="21"/>
      <c r="CPN41" s="21"/>
      <c r="CPO41" s="21"/>
      <c r="CPP41" s="21"/>
      <c r="CPQ41" s="21"/>
      <c r="CPR41" s="21"/>
      <c r="CPS41" s="21"/>
      <c r="CPT41" s="21"/>
      <c r="CPU41" s="21"/>
      <c r="CPV41" s="21"/>
      <c r="CPW41" s="21"/>
      <c r="CPX41" s="21"/>
      <c r="CPY41" s="21"/>
      <c r="CPZ41" s="21"/>
      <c r="CQA41" s="21"/>
      <c r="CQB41" s="21"/>
      <c r="CQC41" s="21"/>
      <c r="CQD41" s="21"/>
      <c r="CQE41" s="21"/>
      <c r="CQF41" s="21"/>
      <c r="CQG41" s="21"/>
      <c r="CQH41" s="21"/>
      <c r="CQI41" s="21"/>
      <c r="CQJ41" s="21"/>
      <c r="CQK41" s="21"/>
      <c r="CQL41" s="21"/>
      <c r="CQM41" s="21"/>
      <c r="CQN41" s="21"/>
      <c r="CQO41" s="21"/>
      <c r="CQP41" s="21"/>
      <c r="CQQ41" s="21"/>
      <c r="CQR41" s="21"/>
      <c r="CQS41" s="21"/>
      <c r="CQT41" s="21"/>
      <c r="CQU41" s="21"/>
      <c r="CQV41" s="21"/>
      <c r="CQW41" s="21"/>
      <c r="CQX41" s="21"/>
      <c r="CQY41" s="21"/>
      <c r="CQZ41" s="21"/>
      <c r="CRA41" s="21"/>
      <c r="CRB41" s="21"/>
      <c r="CRC41" s="21"/>
      <c r="CRD41" s="21"/>
      <c r="CRE41" s="21"/>
      <c r="CRF41" s="21"/>
      <c r="CRG41" s="21"/>
      <c r="CRH41" s="21"/>
      <c r="CRI41" s="21"/>
      <c r="CRJ41" s="21"/>
      <c r="CRK41" s="21"/>
      <c r="CRL41" s="21"/>
      <c r="CRM41" s="21"/>
      <c r="CRN41" s="21"/>
      <c r="CRO41" s="21"/>
      <c r="CRP41" s="21"/>
      <c r="CRQ41" s="21"/>
      <c r="CRR41" s="21"/>
      <c r="CRS41" s="21"/>
      <c r="CRT41" s="21"/>
      <c r="CRU41" s="21"/>
      <c r="CRV41" s="21"/>
      <c r="CRW41" s="21"/>
      <c r="CRX41" s="21"/>
      <c r="CRY41" s="21"/>
      <c r="CRZ41" s="21"/>
      <c r="CSA41" s="21"/>
      <c r="CSB41" s="21"/>
      <c r="CSC41" s="21"/>
      <c r="CSD41" s="21"/>
      <c r="CSE41" s="21"/>
      <c r="CSF41" s="21"/>
      <c r="CSG41" s="21"/>
      <c r="CSH41" s="21"/>
      <c r="CSI41" s="21"/>
      <c r="CSJ41" s="21"/>
      <c r="CSK41" s="21"/>
      <c r="CSL41" s="21"/>
      <c r="CSM41" s="21"/>
      <c r="CSN41" s="21"/>
      <c r="CSO41" s="21"/>
      <c r="CSP41" s="21"/>
      <c r="CSQ41" s="21"/>
      <c r="CSR41" s="21"/>
      <c r="CSS41" s="21"/>
      <c r="CST41" s="21"/>
      <c r="CSU41" s="21"/>
      <c r="CSV41" s="21"/>
      <c r="CSW41" s="21"/>
      <c r="CSX41" s="21"/>
      <c r="CSY41" s="21"/>
      <c r="CSZ41" s="21"/>
      <c r="CTA41" s="21"/>
      <c r="CTB41" s="21"/>
      <c r="CTC41" s="21"/>
      <c r="CTD41" s="21"/>
      <c r="CTE41" s="21"/>
      <c r="CTF41" s="21"/>
      <c r="CTG41" s="21"/>
      <c r="CTH41" s="21"/>
      <c r="CTI41" s="21"/>
      <c r="CTJ41" s="21"/>
      <c r="CTK41" s="21"/>
      <c r="CTL41" s="21"/>
      <c r="CTM41" s="21"/>
      <c r="CTN41" s="21"/>
      <c r="CTO41" s="21"/>
      <c r="CTP41" s="21"/>
      <c r="CTQ41" s="21"/>
      <c r="CTR41" s="21"/>
      <c r="CTS41" s="21"/>
      <c r="CTT41" s="21"/>
      <c r="CTU41" s="21"/>
      <c r="CTV41" s="21"/>
      <c r="CTW41" s="21"/>
      <c r="CTX41" s="21"/>
      <c r="CTY41" s="21"/>
      <c r="CTZ41" s="21"/>
      <c r="CUA41" s="21"/>
      <c r="CUB41" s="21"/>
      <c r="CUC41" s="21"/>
      <c r="CUD41" s="21"/>
      <c r="CUE41" s="21"/>
      <c r="CUF41" s="21"/>
      <c r="CUG41" s="21"/>
      <c r="CUH41" s="21"/>
      <c r="CUI41" s="21"/>
      <c r="CUJ41" s="21"/>
      <c r="CUK41" s="21"/>
      <c r="CUL41" s="21"/>
      <c r="CUM41" s="21"/>
      <c r="CUN41" s="21"/>
      <c r="CUO41" s="21"/>
      <c r="CUP41" s="21"/>
      <c r="CUQ41" s="21"/>
      <c r="CUR41" s="21"/>
      <c r="CUS41" s="21"/>
      <c r="CUT41" s="21"/>
      <c r="CUU41" s="21"/>
      <c r="CUV41" s="21"/>
      <c r="CUW41" s="21"/>
      <c r="CUX41" s="21"/>
      <c r="CUY41" s="21"/>
      <c r="CUZ41" s="21"/>
      <c r="CVA41" s="21"/>
      <c r="CVB41" s="21"/>
      <c r="CVC41" s="21"/>
      <c r="CVD41" s="21"/>
      <c r="CVE41" s="21"/>
      <c r="CVF41" s="21"/>
      <c r="CVG41" s="21"/>
      <c r="CVH41" s="21"/>
      <c r="CVI41" s="21"/>
      <c r="CVJ41" s="21"/>
      <c r="CVK41" s="21"/>
      <c r="CVL41" s="21"/>
      <c r="CVM41" s="21"/>
      <c r="CVN41" s="21"/>
      <c r="CVO41" s="21"/>
      <c r="CVP41" s="21"/>
      <c r="CVQ41" s="21"/>
      <c r="CVR41" s="21"/>
      <c r="CVS41" s="21"/>
      <c r="CVT41" s="21"/>
      <c r="CVU41" s="21"/>
      <c r="CVV41" s="21"/>
      <c r="CVW41" s="21"/>
      <c r="CVX41" s="21"/>
      <c r="CVY41" s="21"/>
      <c r="CVZ41" s="21"/>
      <c r="CWA41" s="21"/>
      <c r="CWB41" s="21"/>
      <c r="CWC41" s="21"/>
      <c r="CWD41" s="21"/>
      <c r="CWE41" s="21"/>
      <c r="CWF41" s="21"/>
      <c r="CWG41" s="21"/>
      <c r="CWH41" s="21"/>
      <c r="CWI41" s="21"/>
      <c r="CWJ41" s="21"/>
      <c r="CWK41" s="21"/>
      <c r="CWL41" s="21"/>
      <c r="CWM41" s="21"/>
      <c r="CWN41" s="21"/>
      <c r="CWO41" s="21"/>
      <c r="CWP41" s="21"/>
      <c r="CWQ41" s="21"/>
      <c r="CWR41" s="21"/>
      <c r="CWS41" s="21"/>
      <c r="CWT41" s="21"/>
      <c r="CWU41" s="21"/>
      <c r="CWV41" s="21"/>
      <c r="CWW41" s="21"/>
      <c r="CWX41" s="21"/>
      <c r="CWY41" s="21"/>
      <c r="CWZ41" s="21"/>
      <c r="CXA41" s="21"/>
      <c r="CXB41" s="21"/>
      <c r="CXC41" s="21"/>
      <c r="CXD41" s="21"/>
      <c r="CXE41" s="21"/>
      <c r="CXF41" s="21"/>
      <c r="CXG41" s="21"/>
      <c r="CXH41" s="21"/>
      <c r="CXI41" s="21"/>
      <c r="CXJ41" s="21"/>
      <c r="CXK41" s="21"/>
      <c r="CXL41" s="21"/>
      <c r="CXM41" s="21"/>
      <c r="CXN41" s="21"/>
      <c r="CXO41" s="21"/>
      <c r="CXP41" s="21"/>
      <c r="CXQ41" s="21"/>
      <c r="CXR41" s="21"/>
      <c r="CXS41" s="21"/>
      <c r="CXT41" s="21"/>
      <c r="CXU41" s="21"/>
      <c r="CXV41" s="21"/>
      <c r="CXW41" s="21"/>
      <c r="CXX41" s="21"/>
      <c r="CXY41" s="21"/>
      <c r="CXZ41" s="21"/>
      <c r="CYA41" s="21"/>
      <c r="CYB41" s="21"/>
      <c r="CYC41" s="21"/>
      <c r="CYD41" s="21"/>
      <c r="CYE41" s="21"/>
      <c r="CYF41" s="21"/>
      <c r="CYG41" s="21"/>
      <c r="CYH41" s="21"/>
      <c r="CYI41" s="21"/>
      <c r="CYJ41" s="21"/>
      <c r="CYK41" s="21"/>
      <c r="CYL41" s="21"/>
      <c r="CYM41" s="21"/>
      <c r="CYN41" s="21"/>
      <c r="CYO41" s="21"/>
      <c r="CYP41" s="21"/>
      <c r="CYQ41" s="21"/>
      <c r="CYR41" s="21"/>
      <c r="CYS41" s="21"/>
      <c r="CYT41" s="21"/>
      <c r="CYU41" s="21"/>
      <c r="CYV41" s="21"/>
      <c r="CYW41" s="21"/>
      <c r="CYX41" s="21"/>
      <c r="CYY41" s="21"/>
      <c r="CYZ41" s="21"/>
      <c r="CZA41" s="21"/>
      <c r="CZB41" s="21"/>
      <c r="CZC41" s="21"/>
      <c r="CZD41" s="21"/>
      <c r="CZE41" s="21"/>
      <c r="CZF41" s="21"/>
      <c r="CZG41" s="21"/>
      <c r="CZH41" s="21"/>
      <c r="CZI41" s="21"/>
      <c r="CZJ41" s="21"/>
      <c r="CZK41" s="21"/>
      <c r="CZL41" s="21"/>
      <c r="CZM41" s="21"/>
      <c r="CZN41" s="21"/>
      <c r="CZO41" s="21"/>
      <c r="CZP41" s="21"/>
      <c r="CZQ41" s="21"/>
      <c r="CZR41" s="21"/>
      <c r="CZS41" s="21"/>
      <c r="CZT41" s="21"/>
      <c r="CZU41" s="21"/>
      <c r="CZV41" s="21"/>
      <c r="CZW41" s="21"/>
      <c r="CZX41" s="21"/>
      <c r="CZY41" s="21"/>
      <c r="CZZ41" s="21"/>
      <c r="DAA41" s="21"/>
      <c r="DAB41" s="21"/>
      <c r="DAC41" s="21"/>
      <c r="DAD41" s="21"/>
      <c r="DAE41" s="21"/>
      <c r="DAF41" s="21"/>
      <c r="DAG41" s="21"/>
      <c r="DAH41" s="21"/>
      <c r="DAI41" s="21"/>
      <c r="DAJ41" s="21"/>
      <c r="DAK41" s="21"/>
      <c r="DAL41" s="21"/>
      <c r="DAM41" s="21"/>
      <c r="DAN41" s="21"/>
      <c r="DAO41" s="21"/>
      <c r="DAP41" s="21"/>
      <c r="DAQ41" s="21"/>
      <c r="DAR41" s="21"/>
      <c r="DAS41" s="21"/>
      <c r="DAT41" s="21"/>
      <c r="DAU41" s="21"/>
      <c r="DAV41" s="21"/>
      <c r="DAW41" s="21"/>
      <c r="DAX41" s="21"/>
      <c r="DAY41" s="21"/>
      <c r="DAZ41" s="21"/>
      <c r="DBA41" s="21"/>
      <c r="DBB41" s="21"/>
      <c r="DBC41" s="21"/>
      <c r="DBD41" s="21"/>
      <c r="DBE41" s="21"/>
      <c r="DBF41" s="21"/>
      <c r="DBG41" s="21"/>
      <c r="DBH41" s="21"/>
      <c r="DBI41" s="21"/>
      <c r="DBJ41" s="21"/>
      <c r="DBK41" s="21"/>
      <c r="DBL41" s="21"/>
      <c r="DBM41" s="21"/>
      <c r="DBN41" s="21"/>
      <c r="DBO41" s="21"/>
      <c r="DBP41" s="21"/>
      <c r="DBQ41" s="21"/>
      <c r="DBR41" s="21"/>
      <c r="DBS41" s="21"/>
      <c r="DBT41" s="21"/>
      <c r="DBU41" s="21"/>
      <c r="DBV41" s="21"/>
      <c r="DBW41" s="21"/>
      <c r="DBX41" s="21"/>
      <c r="DBY41" s="21"/>
      <c r="DBZ41" s="21"/>
      <c r="DCA41" s="21"/>
      <c r="DCB41" s="21"/>
      <c r="DCC41" s="21"/>
      <c r="DCD41" s="21"/>
      <c r="DCE41" s="21"/>
      <c r="DCF41" s="21"/>
      <c r="DCG41" s="21"/>
      <c r="DCH41" s="21"/>
      <c r="DCI41" s="21"/>
      <c r="DCJ41" s="21"/>
      <c r="DCK41" s="21"/>
      <c r="DCL41" s="21"/>
      <c r="DCM41" s="21"/>
      <c r="DCN41" s="21"/>
      <c r="DCO41" s="21"/>
      <c r="DCP41" s="21"/>
      <c r="DCQ41" s="21"/>
      <c r="DCR41" s="21"/>
      <c r="DCS41" s="21"/>
      <c r="DCT41" s="21"/>
      <c r="DCU41" s="21"/>
      <c r="DCV41" s="21"/>
      <c r="DCW41" s="21"/>
      <c r="DCX41" s="21"/>
      <c r="DCY41" s="21"/>
      <c r="DCZ41" s="21"/>
      <c r="DDA41" s="21"/>
      <c r="DDB41" s="21"/>
      <c r="DDC41" s="21"/>
      <c r="DDD41" s="21"/>
      <c r="DDE41" s="21"/>
      <c r="DDF41" s="21"/>
      <c r="DDG41" s="21"/>
      <c r="DDH41" s="21"/>
      <c r="DDI41" s="21"/>
      <c r="DDJ41" s="21"/>
      <c r="DDK41" s="21"/>
      <c r="DDL41" s="21"/>
      <c r="DDM41" s="21"/>
      <c r="DDN41" s="21"/>
      <c r="DDO41" s="21"/>
      <c r="DDP41" s="21"/>
      <c r="DDQ41" s="21"/>
      <c r="DDR41" s="21"/>
      <c r="DDS41" s="21"/>
      <c r="DDT41" s="21"/>
      <c r="DDU41" s="21"/>
      <c r="DDV41" s="21"/>
      <c r="DDW41" s="21"/>
      <c r="DDX41" s="21"/>
      <c r="DDY41" s="21"/>
      <c r="DDZ41" s="21"/>
      <c r="DEA41" s="21"/>
      <c r="DEB41" s="21"/>
      <c r="DEC41" s="21"/>
      <c r="DED41" s="21"/>
      <c r="DEE41" s="21"/>
      <c r="DEF41" s="21"/>
      <c r="DEG41" s="21"/>
      <c r="DEH41" s="21"/>
      <c r="DEI41" s="21"/>
      <c r="DEJ41" s="21"/>
      <c r="DEK41" s="21"/>
      <c r="DEL41" s="21"/>
      <c r="DEM41" s="21"/>
      <c r="DEN41" s="21"/>
      <c r="DEO41" s="21"/>
      <c r="DEP41" s="21"/>
      <c r="DEQ41" s="21"/>
      <c r="DER41" s="21"/>
      <c r="DES41" s="21"/>
      <c r="DET41" s="21"/>
      <c r="DEU41" s="21"/>
      <c r="DEV41" s="21"/>
      <c r="DEW41" s="21"/>
      <c r="DEX41" s="21"/>
      <c r="DEY41" s="21"/>
      <c r="DEZ41" s="21"/>
      <c r="DFA41" s="21"/>
      <c r="DFB41" s="21"/>
      <c r="DFC41" s="21"/>
      <c r="DFD41" s="21"/>
      <c r="DFE41" s="21"/>
      <c r="DFF41" s="21"/>
      <c r="DFG41" s="21"/>
      <c r="DFH41" s="21"/>
      <c r="DFI41" s="21"/>
      <c r="DFJ41" s="21"/>
      <c r="DFK41" s="21"/>
      <c r="DFL41" s="21"/>
      <c r="DFM41" s="21"/>
      <c r="DFN41" s="21"/>
      <c r="DFO41" s="21"/>
      <c r="DFP41" s="21"/>
      <c r="DFQ41" s="21"/>
      <c r="DFR41" s="21"/>
      <c r="DFS41" s="21"/>
      <c r="DFT41" s="21"/>
      <c r="DFU41" s="21"/>
      <c r="DFV41" s="21"/>
      <c r="DFW41" s="21"/>
      <c r="DFX41" s="21"/>
      <c r="DFY41" s="21"/>
      <c r="DFZ41" s="21"/>
      <c r="DGA41" s="21"/>
      <c r="DGB41" s="21"/>
      <c r="DGC41" s="21"/>
      <c r="DGD41" s="21"/>
      <c r="DGE41" s="21"/>
      <c r="DGF41" s="21"/>
      <c r="DGG41" s="21"/>
      <c r="DGH41" s="21"/>
      <c r="DGI41" s="21"/>
      <c r="DGJ41" s="21"/>
      <c r="DGK41" s="21"/>
      <c r="DGL41" s="21"/>
      <c r="DGM41" s="21"/>
      <c r="DGN41" s="21"/>
      <c r="DGO41" s="21"/>
      <c r="DGP41" s="21"/>
      <c r="DGQ41" s="21"/>
      <c r="DGR41" s="21"/>
      <c r="DGS41" s="21"/>
      <c r="DGT41" s="21"/>
      <c r="DGU41" s="21"/>
      <c r="DGV41" s="21"/>
      <c r="DGW41" s="21"/>
      <c r="DGX41" s="21"/>
      <c r="DGY41" s="21"/>
      <c r="DGZ41" s="21"/>
      <c r="DHA41" s="21"/>
      <c r="DHB41" s="21"/>
      <c r="DHC41" s="21"/>
      <c r="DHD41" s="21"/>
      <c r="DHE41" s="21"/>
      <c r="DHF41" s="21"/>
      <c r="DHG41" s="21"/>
      <c r="DHH41" s="21"/>
      <c r="DHI41" s="21"/>
      <c r="DHJ41" s="21"/>
      <c r="DHK41" s="21"/>
      <c r="DHL41" s="21"/>
      <c r="DHM41" s="21"/>
      <c r="DHN41" s="21"/>
      <c r="DHO41" s="21"/>
      <c r="DHP41" s="21"/>
      <c r="DHQ41" s="21"/>
      <c r="DHR41" s="21"/>
      <c r="DHS41" s="21"/>
      <c r="DHT41" s="21"/>
      <c r="DHU41" s="21"/>
      <c r="DHV41" s="21"/>
      <c r="DHW41" s="21"/>
      <c r="DHX41" s="21"/>
      <c r="DHY41" s="21"/>
      <c r="DHZ41" s="21"/>
      <c r="DIA41" s="21"/>
      <c r="DIB41" s="21"/>
      <c r="DIC41" s="21"/>
      <c r="DID41" s="21"/>
      <c r="DIE41" s="21"/>
      <c r="DIF41" s="21"/>
      <c r="DIG41" s="21"/>
      <c r="DIH41" s="21"/>
      <c r="DII41" s="21"/>
      <c r="DIJ41" s="21"/>
      <c r="DIK41" s="21"/>
      <c r="DIL41" s="21"/>
      <c r="DIM41" s="21"/>
      <c r="DIN41" s="21"/>
      <c r="DIO41" s="21"/>
      <c r="DIP41" s="21"/>
      <c r="DIQ41" s="21"/>
      <c r="DIR41" s="21"/>
      <c r="DIS41" s="21"/>
      <c r="DIT41" s="21"/>
      <c r="DIU41" s="21"/>
      <c r="DIV41" s="21"/>
      <c r="DIW41" s="21"/>
      <c r="DIX41" s="21"/>
      <c r="DIY41" s="21"/>
      <c r="DIZ41" s="21"/>
      <c r="DJA41" s="21"/>
      <c r="DJB41" s="21"/>
      <c r="DJC41" s="21"/>
      <c r="DJD41" s="21"/>
      <c r="DJE41" s="21"/>
      <c r="DJF41" s="21"/>
      <c r="DJG41" s="21"/>
      <c r="DJH41" s="21"/>
      <c r="DJI41" s="21"/>
      <c r="DJJ41" s="21"/>
      <c r="DJK41" s="21"/>
      <c r="DJL41" s="21"/>
      <c r="DJM41" s="21"/>
      <c r="DJN41" s="21"/>
      <c r="DJO41" s="21"/>
      <c r="DJP41" s="21"/>
      <c r="DJQ41" s="21"/>
      <c r="DJR41" s="21"/>
      <c r="DJS41" s="21"/>
      <c r="DJT41" s="21"/>
      <c r="DJU41" s="21"/>
      <c r="DJV41" s="21"/>
      <c r="DJW41" s="21"/>
      <c r="DJX41" s="21"/>
      <c r="DJY41" s="21"/>
      <c r="DJZ41" s="21"/>
      <c r="DKA41" s="21"/>
      <c r="DKB41" s="21"/>
      <c r="DKC41" s="21"/>
      <c r="DKD41" s="21"/>
      <c r="DKE41" s="21"/>
      <c r="DKF41" s="21"/>
      <c r="DKG41" s="21"/>
      <c r="DKH41" s="21"/>
      <c r="DKI41" s="21"/>
      <c r="DKJ41" s="21"/>
      <c r="DKK41" s="21"/>
      <c r="DKL41" s="21"/>
      <c r="DKM41" s="21"/>
      <c r="DKN41" s="21"/>
      <c r="DKO41" s="21"/>
      <c r="DKP41" s="21"/>
      <c r="DKQ41" s="21"/>
      <c r="DKR41" s="21"/>
      <c r="DKS41" s="21"/>
      <c r="DKT41" s="21"/>
      <c r="DKU41" s="21"/>
      <c r="DKV41" s="21"/>
      <c r="DKW41" s="21"/>
      <c r="DKX41" s="21"/>
      <c r="DKY41" s="21"/>
      <c r="DKZ41" s="21"/>
      <c r="DLA41" s="21"/>
      <c r="DLB41" s="21"/>
      <c r="DLC41" s="21"/>
      <c r="DLD41" s="21"/>
      <c r="DLE41" s="21"/>
      <c r="DLF41" s="21"/>
      <c r="DLG41" s="21"/>
      <c r="DLH41" s="21"/>
      <c r="DLI41" s="21"/>
      <c r="DLJ41" s="21"/>
      <c r="DLK41" s="21"/>
      <c r="DLL41" s="21"/>
      <c r="DLM41" s="21"/>
      <c r="DLN41" s="21"/>
      <c r="DLO41" s="21"/>
      <c r="DLP41" s="21"/>
      <c r="DLQ41" s="21"/>
      <c r="DLR41" s="21"/>
      <c r="DLS41" s="21"/>
      <c r="DLT41" s="21"/>
      <c r="DLU41" s="21"/>
      <c r="DLV41" s="21"/>
      <c r="DLW41" s="21"/>
      <c r="DLX41" s="21"/>
      <c r="DLY41" s="21"/>
      <c r="DLZ41" s="21"/>
      <c r="DMA41" s="21"/>
      <c r="DMB41" s="21"/>
      <c r="DMC41" s="21"/>
      <c r="DMD41" s="21"/>
      <c r="DME41" s="21"/>
      <c r="DMF41" s="21"/>
      <c r="DMG41" s="21"/>
      <c r="DMH41" s="21"/>
      <c r="DMI41" s="21"/>
      <c r="DMJ41" s="21"/>
      <c r="DMK41" s="21"/>
      <c r="DML41" s="21"/>
      <c r="DMM41" s="21"/>
      <c r="DMN41" s="21"/>
      <c r="DMO41" s="21"/>
      <c r="DMP41" s="21"/>
      <c r="DMQ41" s="21"/>
      <c r="DMR41" s="21"/>
      <c r="DMS41" s="21"/>
      <c r="DMT41" s="21"/>
      <c r="DMU41" s="21"/>
      <c r="DMV41" s="21"/>
      <c r="DMW41" s="21"/>
      <c r="DMX41" s="21"/>
      <c r="DMY41" s="21"/>
      <c r="DMZ41" s="21"/>
      <c r="DNA41" s="21"/>
      <c r="DNB41" s="21"/>
      <c r="DNC41" s="21"/>
      <c r="DND41" s="21"/>
      <c r="DNE41" s="21"/>
      <c r="DNF41" s="21"/>
      <c r="DNG41" s="21"/>
      <c r="DNH41" s="21"/>
      <c r="DNI41" s="21"/>
      <c r="DNJ41" s="21"/>
      <c r="DNK41" s="21"/>
      <c r="DNL41" s="21"/>
      <c r="DNM41" s="21"/>
      <c r="DNN41" s="21"/>
      <c r="DNO41" s="21"/>
      <c r="DNP41" s="21"/>
      <c r="DNQ41" s="21"/>
      <c r="DNR41" s="21"/>
      <c r="DNS41" s="21"/>
      <c r="DNT41" s="21"/>
      <c r="DNU41" s="21"/>
      <c r="DNV41" s="21"/>
      <c r="DNW41" s="21"/>
      <c r="DNX41" s="21"/>
      <c r="DNY41" s="21"/>
      <c r="DNZ41" s="21"/>
      <c r="DOA41" s="21"/>
      <c r="DOB41" s="21"/>
      <c r="DOC41" s="21"/>
      <c r="DOD41" s="21"/>
      <c r="DOE41" s="21"/>
      <c r="DOF41" s="21"/>
      <c r="DOG41" s="21"/>
      <c r="DOH41" s="21"/>
      <c r="DOI41" s="21"/>
      <c r="DOJ41" s="21"/>
      <c r="DOK41" s="21"/>
      <c r="DOL41" s="21"/>
      <c r="DOM41" s="21"/>
      <c r="DON41" s="21"/>
      <c r="DOO41" s="21"/>
      <c r="DOP41" s="21"/>
      <c r="DOQ41" s="21"/>
      <c r="DOR41" s="21"/>
      <c r="DOS41" s="21"/>
      <c r="DOT41" s="21"/>
      <c r="DOU41" s="21"/>
      <c r="DOV41" s="21"/>
      <c r="DOW41" s="21"/>
      <c r="DOX41" s="21"/>
      <c r="DOY41" s="21"/>
      <c r="DOZ41" s="21"/>
      <c r="DPA41" s="21"/>
      <c r="DPB41" s="21"/>
      <c r="DPC41" s="21"/>
      <c r="DPD41" s="21"/>
      <c r="DPE41" s="21"/>
      <c r="DPF41" s="21"/>
      <c r="DPG41" s="21"/>
      <c r="DPH41" s="21"/>
      <c r="DPI41" s="21"/>
      <c r="DPJ41" s="21"/>
      <c r="DPK41" s="21"/>
      <c r="DPL41" s="21"/>
      <c r="DPM41" s="21"/>
      <c r="DPN41" s="21"/>
      <c r="DPO41" s="21"/>
      <c r="DPP41" s="21"/>
      <c r="DPQ41" s="21"/>
      <c r="DPR41" s="21"/>
      <c r="DPS41" s="21"/>
      <c r="DPT41" s="21"/>
      <c r="DPU41" s="21"/>
      <c r="DPV41" s="21"/>
      <c r="DPW41" s="21"/>
      <c r="DPX41" s="21"/>
      <c r="DPY41" s="21"/>
      <c r="DPZ41" s="21"/>
      <c r="DQA41" s="21"/>
      <c r="DQB41" s="21"/>
      <c r="DQC41" s="21"/>
      <c r="DQD41" s="21"/>
      <c r="DQE41" s="21"/>
      <c r="DQF41" s="21"/>
      <c r="DQG41" s="21"/>
      <c r="DQH41" s="21"/>
      <c r="DQI41" s="21"/>
      <c r="DQJ41" s="21"/>
      <c r="DQK41" s="21"/>
      <c r="DQL41" s="21"/>
      <c r="DQM41" s="21"/>
      <c r="DQN41" s="21"/>
      <c r="DQO41" s="21"/>
      <c r="DQP41" s="21"/>
      <c r="DQQ41" s="21"/>
      <c r="DQR41" s="21"/>
      <c r="DQS41" s="21"/>
      <c r="DQT41" s="21"/>
      <c r="DQU41" s="21"/>
      <c r="DQV41" s="21"/>
      <c r="DQW41" s="21"/>
      <c r="DQX41" s="21"/>
      <c r="DQY41" s="21"/>
      <c r="DQZ41" s="21"/>
      <c r="DRA41" s="21"/>
      <c r="DRB41" s="21"/>
      <c r="DRC41" s="21"/>
      <c r="DRD41" s="21"/>
      <c r="DRE41" s="21"/>
      <c r="DRF41" s="21"/>
      <c r="DRG41" s="21"/>
      <c r="DRH41" s="21"/>
      <c r="DRI41" s="21"/>
      <c r="DRJ41" s="21"/>
      <c r="DRK41" s="21"/>
      <c r="DRL41" s="21"/>
      <c r="DRM41" s="21"/>
      <c r="DRN41" s="21"/>
      <c r="DRO41" s="21"/>
      <c r="DRP41" s="21"/>
      <c r="DRQ41" s="21"/>
      <c r="DRR41" s="21"/>
      <c r="DRS41" s="21"/>
      <c r="DRT41" s="21"/>
      <c r="DRU41" s="21"/>
      <c r="DRV41" s="21"/>
      <c r="DRW41" s="21"/>
      <c r="DRX41" s="21"/>
      <c r="DRY41" s="21"/>
      <c r="DRZ41" s="21"/>
      <c r="DSA41" s="21"/>
      <c r="DSB41" s="21"/>
      <c r="DSC41" s="21"/>
      <c r="DSD41" s="21"/>
      <c r="DSE41" s="21"/>
      <c r="DSF41" s="21"/>
      <c r="DSG41" s="21"/>
      <c r="DSH41" s="21"/>
      <c r="DSI41" s="21"/>
      <c r="DSJ41" s="21"/>
      <c r="DSK41" s="21"/>
      <c r="DSL41" s="21"/>
      <c r="DSM41" s="21"/>
      <c r="DSN41" s="21"/>
      <c r="DSO41" s="21"/>
      <c r="DSP41" s="21"/>
      <c r="DSQ41" s="21"/>
      <c r="DSR41" s="21"/>
      <c r="DSS41" s="21"/>
      <c r="DST41" s="21"/>
      <c r="DSU41" s="21"/>
      <c r="DSV41" s="21"/>
      <c r="DSW41" s="21"/>
      <c r="DSX41" s="21"/>
      <c r="DSY41" s="21"/>
      <c r="DSZ41" s="21"/>
      <c r="DTA41" s="21"/>
      <c r="DTB41" s="21"/>
      <c r="DTC41" s="21"/>
      <c r="DTD41" s="21"/>
      <c r="DTE41" s="21"/>
      <c r="DTF41" s="21"/>
      <c r="DTG41" s="21"/>
      <c r="DTH41" s="21"/>
      <c r="DTI41" s="21"/>
      <c r="DTJ41" s="21"/>
      <c r="DTK41" s="21"/>
      <c r="DTL41" s="21"/>
      <c r="DTM41" s="21"/>
      <c r="DTN41" s="21"/>
      <c r="DTO41" s="21"/>
      <c r="DTP41" s="21"/>
      <c r="DTQ41" s="21"/>
      <c r="DTR41" s="21"/>
      <c r="DTS41" s="21"/>
      <c r="DTT41" s="21"/>
      <c r="DTU41" s="21"/>
      <c r="DTV41" s="21"/>
      <c r="DTW41" s="21"/>
      <c r="DTX41" s="21"/>
      <c r="DTY41" s="21"/>
      <c r="DTZ41" s="21"/>
      <c r="DUA41" s="21"/>
      <c r="DUB41" s="21"/>
      <c r="DUC41" s="21"/>
      <c r="DUD41" s="21"/>
      <c r="DUE41" s="21"/>
      <c r="DUF41" s="21"/>
      <c r="DUG41" s="21"/>
      <c r="DUH41" s="21"/>
      <c r="DUI41" s="21"/>
      <c r="DUJ41" s="21"/>
      <c r="DUK41" s="21"/>
      <c r="DUL41" s="21"/>
      <c r="DUM41" s="21"/>
      <c r="DUN41" s="21"/>
      <c r="DUO41" s="21"/>
      <c r="DUP41" s="21"/>
      <c r="DUQ41" s="21"/>
      <c r="DUR41" s="21"/>
      <c r="DUS41" s="21"/>
      <c r="DUT41" s="21"/>
      <c r="DUU41" s="21"/>
      <c r="DUV41" s="21"/>
      <c r="DUW41" s="21"/>
      <c r="DUX41" s="21"/>
      <c r="DUY41" s="21"/>
      <c r="DUZ41" s="21"/>
      <c r="DVA41" s="21"/>
      <c r="DVB41" s="21"/>
      <c r="DVC41" s="21"/>
      <c r="DVD41" s="21"/>
      <c r="DVE41" s="21"/>
      <c r="DVF41" s="21"/>
      <c r="DVG41" s="21"/>
      <c r="DVH41" s="21"/>
      <c r="DVI41" s="21"/>
      <c r="DVJ41" s="21"/>
      <c r="DVK41" s="21"/>
      <c r="DVL41" s="21"/>
      <c r="DVM41" s="21"/>
      <c r="DVN41" s="21"/>
      <c r="DVO41" s="21"/>
      <c r="DVP41" s="21"/>
      <c r="DVQ41" s="21"/>
      <c r="DVR41" s="21"/>
      <c r="DVS41" s="21"/>
      <c r="DVT41" s="21"/>
      <c r="DVU41" s="21"/>
      <c r="DVV41" s="21"/>
      <c r="DVW41" s="21"/>
      <c r="DVX41" s="21"/>
      <c r="DVY41" s="21"/>
      <c r="DVZ41" s="21"/>
      <c r="DWA41" s="21"/>
      <c r="DWB41" s="21"/>
      <c r="DWC41" s="21"/>
      <c r="DWD41" s="21"/>
      <c r="DWE41" s="21"/>
      <c r="DWF41" s="21"/>
      <c r="DWG41" s="21"/>
      <c r="DWH41" s="21"/>
      <c r="DWI41" s="21"/>
      <c r="DWJ41" s="21"/>
      <c r="DWK41" s="21"/>
      <c r="DWL41" s="21"/>
      <c r="DWM41" s="21"/>
      <c r="DWN41" s="21"/>
      <c r="DWO41" s="21"/>
      <c r="DWP41" s="21"/>
      <c r="DWQ41" s="21"/>
      <c r="DWR41" s="21"/>
      <c r="DWS41" s="21"/>
      <c r="DWT41" s="21"/>
      <c r="DWU41" s="21"/>
      <c r="DWV41" s="21"/>
      <c r="DWW41" s="21"/>
      <c r="DWX41" s="21"/>
      <c r="DWY41" s="21"/>
      <c r="DWZ41" s="21"/>
      <c r="DXA41" s="21"/>
      <c r="DXB41" s="21"/>
      <c r="DXC41" s="21"/>
      <c r="DXD41" s="21"/>
      <c r="DXE41" s="21"/>
      <c r="DXF41" s="21"/>
      <c r="DXG41" s="21"/>
      <c r="DXH41" s="21"/>
      <c r="DXI41" s="21"/>
      <c r="DXJ41" s="21"/>
      <c r="DXK41" s="21"/>
      <c r="DXL41" s="21"/>
      <c r="DXM41" s="21"/>
      <c r="DXN41" s="21"/>
      <c r="DXO41" s="21"/>
      <c r="DXP41" s="21"/>
      <c r="DXQ41" s="21"/>
      <c r="DXR41" s="21"/>
      <c r="DXS41" s="21"/>
      <c r="DXT41" s="21"/>
      <c r="DXU41" s="21"/>
      <c r="DXV41" s="21"/>
      <c r="DXW41" s="21"/>
      <c r="DXX41" s="21"/>
      <c r="DXY41" s="21"/>
      <c r="DXZ41" s="21"/>
      <c r="DYA41" s="21"/>
      <c r="DYB41" s="21"/>
      <c r="DYC41" s="21"/>
      <c r="DYD41" s="21"/>
      <c r="DYE41" s="21"/>
      <c r="DYF41" s="21"/>
      <c r="DYG41" s="21"/>
      <c r="DYH41" s="21"/>
      <c r="DYI41" s="21"/>
      <c r="DYJ41" s="21"/>
      <c r="DYK41" s="21"/>
      <c r="DYL41" s="21"/>
      <c r="DYM41" s="21"/>
      <c r="DYN41" s="21"/>
      <c r="DYO41" s="21"/>
      <c r="DYP41" s="21"/>
      <c r="DYQ41" s="21"/>
      <c r="DYR41" s="21"/>
      <c r="DYS41" s="21"/>
      <c r="DYT41" s="21"/>
      <c r="DYU41" s="21"/>
      <c r="DYV41" s="21"/>
      <c r="DYW41" s="21"/>
      <c r="DYX41" s="21"/>
      <c r="DYY41" s="21"/>
      <c r="DYZ41" s="21"/>
      <c r="DZA41" s="21"/>
      <c r="DZB41" s="21"/>
      <c r="DZC41" s="21"/>
      <c r="DZD41" s="21"/>
      <c r="DZE41" s="21"/>
      <c r="DZF41" s="21"/>
      <c r="DZG41" s="21"/>
      <c r="DZH41" s="21"/>
      <c r="DZI41" s="21"/>
      <c r="DZJ41" s="21"/>
      <c r="DZK41" s="21"/>
      <c r="DZL41" s="21"/>
      <c r="DZM41" s="21"/>
      <c r="DZN41" s="21"/>
      <c r="DZO41" s="21"/>
      <c r="DZP41" s="21"/>
      <c r="DZQ41" s="21"/>
      <c r="DZR41" s="21"/>
      <c r="DZS41" s="21"/>
      <c r="DZT41" s="21"/>
      <c r="DZU41" s="21"/>
      <c r="DZV41" s="21"/>
      <c r="DZW41" s="21"/>
      <c r="DZX41" s="21"/>
      <c r="DZY41" s="21"/>
      <c r="DZZ41" s="21"/>
      <c r="EAA41" s="21"/>
      <c r="EAB41" s="21"/>
      <c r="EAC41" s="21"/>
      <c r="EAD41" s="21"/>
      <c r="EAE41" s="21"/>
      <c r="EAF41" s="21"/>
      <c r="EAG41" s="21"/>
      <c r="EAH41" s="21"/>
      <c r="EAI41" s="21"/>
      <c r="EAJ41" s="21"/>
      <c r="EAK41" s="21"/>
      <c r="EAL41" s="21"/>
      <c r="EAM41" s="21"/>
      <c r="EAN41" s="21"/>
      <c r="EAO41" s="21"/>
      <c r="EAP41" s="21"/>
      <c r="EAQ41" s="21"/>
      <c r="EAR41" s="21"/>
      <c r="EAS41" s="21"/>
      <c r="EAT41" s="21"/>
      <c r="EAU41" s="21"/>
      <c r="EAV41" s="21"/>
      <c r="EAW41" s="21"/>
      <c r="EAX41" s="21"/>
      <c r="EAY41" s="21"/>
      <c r="EAZ41" s="21"/>
      <c r="EBA41" s="21"/>
      <c r="EBB41" s="21"/>
      <c r="EBC41" s="21"/>
      <c r="EBD41" s="21"/>
      <c r="EBE41" s="21"/>
      <c r="EBF41" s="21"/>
      <c r="EBG41" s="21"/>
      <c r="EBH41" s="21"/>
      <c r="EBI41" s="21"/>
      <c r="EBJ41" s="21"/>
      <c r="EBK41" s="21"/>
      <c r="EBL41" s="21"/>
      <c r="EBM41" s="21"/>
      <c r="EBN41" s="21"/>
      <c r="EBO41" s="21"/>
      <c r="EBP41" s="21"/>
      <c r="EBQ41" s="21"/>
      <c r="EBR41" s="21"/>
      <c r="EBS41" s="21"/>
      <c r="EBT41" s="21"/>
      <c r="EBU41" s="21"/>
      <c r="EBV41" s="21"/>
      <c r="EBW41" s="21"/>
      <c r="EBX41" s="21"/>
      <c r="EBY41" s="21"/>
      <c r="EBZ41" s="21"/>
      <c r="ECA41" s="21"/>
      <c r="ECB41" s="21"/>
      <c r="ECC41" s="21"/>
      <c r="ECD41" s="21"/>
      <c r="ECE41" s="21"/>
      <c r="ECF41" s="21"/>
      <c r="ECG41" s="21"/>
      <c r="ECH41" s="21"/>
      <c r="ECI41" s="21"/>
      <c r="ECJ41" s="21"/>
      <c r="ECK41" s="21"/>
      <c r="ECL41" s="21"/>
      <c r="ECM41" s="21"/>
      <c r="ECN41" s="21"/>
      <c r="ECO41" s="21"/>
      <c r="ECP41" s="21"/>
      <c r="ECQ41" s="21"/>
      <c r="ECR41" s="21"/>
      <c r="ECS41" s="21"/>
      <c r="ECT41" s="21"/>
      <c r="ECU41" s="21"/>
      <c r="ECV41" s="21"/>
      <c r="ECW41" s="21"/>
      <c r="ECX41" s="21"/>
      <c r="ECY41" s="21"/>
      <c r="ECZ41" s="21"/>
      <c r="EDA41" s="21"/>
      <c r="EDB41" s="21"/>
      <c r="EDC41" s="21"/>
      <c r="EDD41" s="21"/>
      <c r="EDE41" s="21"/>
      <c r="EDF41" s="21"/>
      <c r="EDG41" s="21"/>
      <c r="EDH41" s="21"/>
      <c r="EDI41" s="21"/>
      <c r="EDJ41" s="21"/>
      <c r="EDK41" s="21"/>
      <c r="EDL41" s="21"/>
      <c r="EDM41" s="21"/>
      <c r="EDN41" s="21"/>
      <c r="EDO41" s="21"/>
      <c r="EDP41" s="21"/>
      <c r="EDQ41" s="21"/>
      <c r="EDR41" s="21"/>
      <c r="EDS41" s="21"/>
      <c r="EDT41" s="21"/>
      <c r="EDU41" s="21"/>
      <c r="EDV41" s="21"/>
      <c r="EDW41" s="21"/>
      <c r="EDX41" s="21"/>
      <c r="EDY41" s="21"/>
      <c r="EDZ41" s="21"/>
      <c r="EEA41" s="21"/>
      <c r="EEB41" s="21"/>
      <c r="EEC41" s="21"/>
      <c r="EED41" s="21"/>
      <c r="EEE41" s="21"/>
      <c r="EEF41" s="21"/>
      <c r="EEG41" s="21"/>
      <c r="EEH41" s="21"/>
      <c r="EEI41" s="21"/>
      <c r="EEJ41" s="21"/>
      <c r="EEK41" s="21"/>
      <c r="EEL41" s="21"/>
      <c r="EEM41" s="21"/>
      <c r="EEN41" s="21"/>
      <c r="EEO41" s="21"/>
      <c r="EEP41" s="21"/>
      <c r="EEQ41" s="21"/>
      <c r="EER41" s="21"/>
      <c r="EES41" s="21"/>
      <c r="EET41" s="21"/>
      <c r="EEU41" s="21"/>
      <c r="EEV41" s="21"/>
      <c r="EEW41" s="21"/>
      <c r="EEX41" s="21"/>
      <c r="EEY41" s="21"/>
      <c r="EEZ41" s="21"/>
      <c r="EFA41" s="21"/>
      <c r="EFB41" s="21"/>
      <c r="EFC41" s="21"/>
      <c r="EFD41" s="21"/>
      <c r="EFE41" s="21"/>
      <c r="EFF41" s="21"/>
      <c r="EFG41" s="21"/>
      <c r="EFH41" s="21"/>
      <c r="EFI41" s="21"/>
      <c r="EFJ41" s="21"/>
      <c r="EFK41" s="21"/>
      <c r="EFL41" s="21"/>
      <c r="EFM41" s="21"/>
      <c r="EFN41" s="21"/>
      <c r="EFO41" s="21"/>
      <c r="EFP41" s="21"/>
      <c r="EFQ41" s="21"/>
      <c r="EFR41" s="21"/>
      <c r="EFS41" s="21"/>
      <c r="EFT41" s="21"/>
      <c r="EFU41" s="21"/>
      <c r="EFV41" s="21"/>
      <c r="EFW41" s="21"/>
      <c r="EFX41" s="21"/>
      <c r="EFY41" s="21"/>
      <c r="EFZ41" s="21"/>
      <c r="EGA41" s="21"/>
      <c r="EGB41" s="21"/>
      <c r="EGC41" s="21"/>
      <c r="EGD41" s="21"/>
      <c r="EGE41" s="21"/>
      <c r="EGF41" s="21"/>
      <c r="EGG41" s="21"/>
      <c r="EGH41" s="21"/>
      <c r="EGI41" s="21"/>
      <c r="EGJ41" s="21"/>
      <c r="EGK41" s="21"/>
      <c r="EGL41" s="21"/>
      <c r="EGM41" s="21"/>
      <c r="EGN41" s="21"/>
      <c r="EGO41" s="21"/>
      <c r="EGP41" s="21"/>
      <c r="EGQ41" s="21"/>
      <c r="EGR41" s="21"/>
      <c r="EGS41" s="21"/>
      <c r="EGT41" s="21"/>
      <c r="EGU41" s="21"/>
      <c r="EGV41" s="21"/>
      <c r="EGW41" s="21"/>
      <c r="EGX41" s="21"/>
      <c r="EGY41" s="21"/>
      <c r="EGZ41" s="21"/>
      <c r="EHA41" s="21"/>
      <c r="EHB41" s="21"/>
      <c r="EHC41" s="21"/>
      <c r="EHD41" s="21"/>
      <c r="EHE41" s="21"/>
      <c r="EHF41" s="21"/>
      <c r="EHG41" s="21"/>
      <c r="EHH41" s="21"/>
      <c r="EHI41" s="21"/>
      <c r="EHJ41" s="21"/>
      <c r="EHK41" s="21"/>
      <c r="EHL41" s="21"/>
      <c r="EHM41" s="21"/>
      <c r="EHN41" s="21"/>
      <c r="EHO41" s="21"/>
      <c r="EHP41" s="21"/>
      <c r="EHQ41" s="21"/>
      <c r="EHR41" s="21"/>
      <c r="EHS41" s="21"/>
      <c r="EHT41" s="21"/>
      <c r="EHU41" s="21"/>
      <c r="EHV41" s="21"/>
      <c r="EHW41" s="21"/>
      <c r="EHX41" s="21"/>
      <c r="EHY41" s="21"/>
      <c r="EHZ41" s="21"/>
      <c r="EIA41" s="21"/>
      <c r="EIB41" s="21"/>
      <c r="EIC41" s="21"/>
      <c r="EID41" s="21"/>
      <c r="EIE41" s="21"/>
      <c r="EIF41" s="21"/>
      <c r="EIG41" s="21"/>
      <c r="EIH41" s="21"/>
      <c r="EII41" s="21"/>
      <c r="EIJ41" s="21"/>
      <c r="EIK41" s="21"/>
      <c r="EIL41" s="21"/>
      <c r="EIM41" s="21"/>
      <c r="EIN41" s="21"/>
      <c r="EIO41" s="21"/>
      <c r="EIP41" s="21"/>
      <c r="EIQ41" s="21"/>
      <c r="EIR41" s="21"/>
      <c r="EIS41" s="21"/>
      <c r="EIT41" s="21"/>
      <c r="EIU41" s="21"/>
      <c r="EIV41" s="21"/>
      <c r="EIW41" s="21"/>
      <c r="EIX41" s="21"/>
      <c r="EIY41" s="21"/>
      <c r="EIZ41" s="21"/>
      <c r="EJA41" s="21"/>
      <c r="EJB41" s="21"/>
      <c r="EJC41" s="21"/>
      <c r="EJD41" s="21"/>
      <c r="EJE41" s="21"/>
      <c r="EJF41" s="21"/>
      <c r="EJG41" s="21"/>
      <c r="EJH41" s="21"/>
      <c r="EJI41" s="21"/>
      <c r="EJJ41" s="21"/>
      <c r="EJK41" s="21"/>
      <c r="EJL41" s="21"/>
      <c r="EJM41" s="21"/>
      <c r="EJN41" s="21"/>
      <c r="EJO41" s="21"/>
      <c r="EJP41" s="21"/>
      <c r="EJQ41" s="21"/>
      <c r="EJR41" s="21"/>
      <c r="EJS41" s="21"/>
      <c r="EJT41" s="21"/>
      <c r="EJU41" s="21"/>
      <c r="EJV41" s="21"/>
      <c r="EJW41" s="21"/>
      <c r="EJX41" s="21"/>
      <c r="EJY41" s="21"/>
      <c r="EJZ41" s="21"/>
      <c r="EKA41" s="21"/>
      <c r="EKB41" s="21"/>
      <c r="EKC41" s="21"/>
      <c r="EKD41" s="21"/>
      <c r="EKE41" s="21"/>
      <c r="EKF41" s="21"/>
      <c r="EKG41" s="21"/>
      <c r="EKH41" s="21"/>
      <c r="EKI41" s="21"/>
      <c r="EKJ41" s="21"/>
      <c r="EKK41" s="21"/>
      <c r="EKL41" s="21"/>
      <c r="EKM41" s="21"/>
      <c r="EKN41" s="21"/>
      <c r="EKO41" s="21"/>
      <c r="EKP41" s="21"/>
      <c r="EKQ41" s="21"/>
      <c r="EKR41" s="21"/>
      <c r="EKS41" s="21"/>
      <c r="EKT41" s="21"/>
      <c r="EKU41" s="21"/>
      <c r="EKV41" s="21"/>
      <c r="EKW41" s="21"/>
      <c r="EKX41" s="21"/>
      <c r="EKY41" s="21"/>
      <c r="EKZ41" s="21"/>
      <c r="ELA41" s="21"/>
      <c r="ELB41" s="21"/>
      <c r="ELC41" s="21"/>
      <c r="ELD41" s="21"/>
      <c r="ELE41" s="21"/>
      <c r="ELF41" s="21"/>
      <c r="ELG41" s="21"/>
      <c r="ELH41" s="21"/>
      <c r="ELI41" s="21"/>
      <c r="ELJ41" s="21"/>
      <c r="ELK41" s="21"/>
      <c r="ELL41" s="21"/>
      <c r="ELM41" s="21"/>
      <c r="ELN41" s="21"/>
      <c r="ELO41" s="21"/>
      <c r="ELP41" s="21"/>
      <c r="ELQ41" s="21"/>
      <c r="ELR41" s="21"/>
      <c r="ELS41" s="21"/>
      <c r="ELT41" s="21"/>
      <c r="ELU41" s="21"/>
      <c r="ELV41" s="21"/>
      <c r="ELW41" s="21"/>
      <c r="ELX41" s="21"/>
      <c r="ELY41" s="21"/>
      <c r="ELZ41" s="21"/>
      <c r="EMA41" s="21"/>
      <c r="EMB41" s="21"/>
      <c r="EMC41" s="21"/>
      <c r="EMD41" s="21"/>
      <c r="EME41" s="21"/>
      <c r="EMF41" s="21"/>
      <c r="EMG41" s="21"/>
      <c r="EMH41" s="21"/>
      <c r="EMI41" s="21"/>
      <c r="EMJ41" s="21"/>
      <c r="EMK41" s="21"/>
      <c r="EML41" s="21"/>
      <c r="EMM41" s="21"/>
      <c r="EMN41" s="21"/>
      <c r="EMO41" s="21"/>
      <c r="EMP41" s="21"/>
      <c r="EMQ41" s="21"/>
      <c r="EMR41" s="21"/>
      <c r="EMS41" s="21"/>
      <c r="EMT41" s="21"/>
      <c r="EMU41" s="21"/>
      <c r="EMV41" s="21"/>
      <c r="EMW41" s="21"/>
      <c r="EMX41" s="21"/>
      <c r="EMY41" s="21"/>
      <c r="EMZ41" s="21"/>
      <c r="ENA41" s="21"/>
      <c r="ENB41" s="21"/>
      <c r="ENC41" s="21"/>
      <c r="END41" s="21"/>
      <c r="ENE41" s="21"/>
      <c r="ENF41" s="21"/>
      <c r="ENG41" s="21"/>
      <c r="ENH41" s="21"/>
      <c r="ENI41" s="21"/>
      <c r="ENJ41" s="21"/>
      <c r="ENK41" s="21"/>
      <c r="ENL41" s="21"/>
      <c r="ENM41" s="21"/>
      <c r="ENN41" s="21"/>
      <c r="ENO41" s="21"/>
      <c r="ENP41" s="21"/>
      <c r="ENQ41" s="21"/>
      <c r="ENR41" s="21"/>
      <c r="ENS41" s="21"/>
      <c r="ENT41" s="21"/>
      <c r="ENU41" s="21"/>
      <c r="ENV41" s="21"/>
      <c r="ENW41" s="21"/>
      <c r="ENX41" s="21"/>
      <c r="ENY41" s="21"/>
      <c r="ENZ41" s="21"/>
      <c r="EOA41" s="21"/>
      <c r="EOB41" s="21"/>
      <c r="EOC41" s="21"/>
      <c r="EOD41" s="21"/>
      <c r="EOE41" s="21"/>
      <c r="EOF41" s="21"/>
      <c r="EOG41" s="21"/>
      <c r="EOH41" s="21"/>
      <c r="EOI41" s="21"/>
      <c r="EOJ41" s="21"/>
      <c r="EOK41" s="21"/>
      <c r="EOL41" s="21"/>
      <c r="EOM41" s="21"/>
      <c r="EON41" s="21"/>
      <c r="EOO41" s="21"/>
      <c r="EOP41" s="21"/>
      <c r="EOQ41" s="21"/>
      <c r="EOR41" s="21"/>
      <c r="EOS41" s="21"/>
      <c r="EOT41" s="21"/>
      <c r="EOU41" s="21"/>
      <c r="EOV41" s="21"/>
      <c r="EOW41" s="21"/>
      <c r="EOX41" s="21"/>
      <c r="EOY41" s="21"/>
      <c r="EOZ41" s="21"/>
      <c r="EPA41" s="21"/>
      <c r="EPB41" s="21"/>
      <c r="EPC41" s="21"/>
      <c r="EPD41" s="21"/>
      <c r="EPE41" s="21"/>
      <c r="EPF41" s="21"/>
      <c r="EPG41" s="21"/>
      <c r="EPH41" s="21"/>
      <c r="EPI41" s="21"/>
      <c r="EPJ41" s="21"/>
      <c r="EPK41" s="21"/>
      <c r="EPL41" s="21"/>
      <c r="EPM41" s="21"/>
      <c r="EPN41" s="21"/>
      <c r="EPO41" s="21"/>
      <c r="EPP41" s="21"/>
      <c r="EPQ41" s="21"/>
      <c r="EPR41" s="21"/>
      <c r="EPS41" s="21"/>
      <c r="EPT41" s="21"/>
      <c r="EPU41" s="21"/>
      <c r="EPV41" s="21"/>
      <c r="EPW41" s="21"/>
      <c r="EPX41" s="21"/>
      <c r="EPY41" s="21"/>
      <c r="EPZ41" s="21"/>
      <c r="EQA41" s="21"/>
      <c r="EQB41" s="21"/>
      <c r="EQC41" s="21"/>
      <c r="EQD41" s="21"/>
      <c r="EQE41" s="21"/>
      <c r="EQF41" s="21"/>
      <c r="EQG41" s="21"/>
      <c r="EQH41" s="21"/>
      <c r="EQI41" s="21"/>
      <c r="EQJ41" s="21"/>
      <c r="EQK41" s="21"/>
      <c r="EQL41" s="21"/>
      <c r="EQM41" s="21"/>
      <c r="EQN41" s="21"/>
      <c r="EQO41" s="21"/>
      <c r="EQP41" s="21"/>
      <c r="EQQ41" s="21"/>
      <c r="EQR41" s="21"/>
      <c r="EQS41" s="21"/>
      <c r="EQT41" s="21"/>
      <c r="EQU41" s="21"/>
      <c r="EQV41" s="21"/>
      <c r="EQW41" s="21"/>
      <c r="EQX41" s="21"/>
      <c r="EQY41" s="21"/>
      <c r="EQZ41" s="21"/>
      <c r="ERA41" s="21"/>
      <c r="ERB41" s="21"/>
      <c r="ERC41" s="21"/>
      <c r="ERD41" s="21"/>
      <c r="ERE41" s="21"/>
      <c r="ERF41" s="21"/>
      <c r="ERG41" s="21"/>
      <c r="ERH41" s="21"/>
      <c r="ERI41" s="21"/>
      <c r="ERJ41" s="21"/>
      <c r="ERK41" s="21"/>
      <c r="ERL41" s="21"/>
      <c r="ERM41" s="21"/>
      <c r="ERN41" s="21"/>
      <c r="ERO41" s="21"/>
      <c r="ERP41" s="21"/>
      <c r="ERQ41" s="21"/>
      <c r="ERR41" s="21"/>
      <c r="ERS41" s="21"/>
      <c r="ERT41" s="21"/>
      <c r="ERU41" s="21"/>
      <c r="ERV41" s="21"/>
      <c r="ERW41" s="21"/>
      <c r="ERX41" s="21"/>
      <c r="ERY41" s="21"/>
      <c r="ERZ41" s="21"/>
      <c r="ESA41" s="21"/>
      <c r="ESB41" s="21"/>
      <c r="ESC41" s="21"/>
      <c r="ESD41" s="21"/>
      <c r="ESE41" s="21"/>
      <c r="ESF41" s="21"/>
      <c r="ESG41" s="21"/>
      <c r="ESH41" s="21"/>
      <c r="ESI41" s="21"/>
      <c r="ESJ41" s="21"/>
      <c r="ESK41" s="21"/>
      <c r="ESL41" s="21"/>
      <c r="ESM41" s="21"/>
      <c r="ESN41" s="21"/>
      <c r="ESO41" s="21"/>
      <c r="ESP41" s="21"/>
      <c r="ESQ41" s="21"/>
      <c r="ESR41" s="21"/>
      <c r="ESS41" s="21"/>
      <c r="EST41" s="21"/>
      <c r="ESU41" s="21"/>
      <c r="ESV41" s="21"/>
      <c r="ESW41" s="21"/>
      <c r="ESX41" s="21"/>
      <c r="ESY41" s="21"/>
      <c r="ESZ41" s="21"/>
      <c r="ETA41" s="21"/>
      <c r="ETB41" s="21"/>
      <c r="ETC41" s="21"/>
      <c r="ETD41" s="21"/>
      <c r="ETE41" s="21"/>
      <c r="ETF41" s="21"/>
      <c r="ETG41" s="21"/>
      <c r="ETH41" s="21"/>
      <c r="ETI41" s="21"/>
      <c r="ETJ41" s="21"/>
      <c r="ETK41" s="21"/>
      <c r="ETL41" s="21"/>
      <c r="ETM41" s="21"/>
      <c r="ETN41" s="21"/>
      <c r="ETO41" s="21"/>
      <c r="ETP41" s="21"/>
      <c r="ETQ41" s="21"/>
      <c r="ETR41" s="21"/>
      <c r="ETS41" s="21"/>
      <c r="ETT41" s="21"/>
      <c r="ETU41" s="21"/>
      <c r="ETV41" s="21"/>
      <c r="ETW41" s="21"/>
      <c r="ETX41" s="21"/>
      <c r="ETY41" s="21"/>
      <c r="ETZ41" s="21"/>
      <c r="EUA41" s="21"/>
      <c r="EUB41" s="21"/>
      <c r="EUC41" s="21"/>
      <c r="EUD41" s="21"/>
      <c r="EUE41" s="21"/>
      <c r="EUF41" s="21"/>
      <c r="EUG41" s="21"/>
      <c r="EUH41" s="21"/>
      <c r="EUI41" s="21"/>
      <c r="EUJ41" s="21"/>
      <c r="EUK41" s="21"/>
      <c r="EUL41" s="21"/>
      <c r="EUM41" s="21"/>
      <c r="EUN41" s="21"/>
      <c r="EUO41" s="21"/>
      <c r="EUP41" s="21"/>
      <c r="EUQ41" s="21"/>
      <c r="EUR41" s="21"/>
      <c r="EUS41" s="21"/>
      <c r="EUT41" s="21"/>
      <c r="EUU41" s="21"/>
      <c r="EUV41" s="21"/>
      <c r="EUW41" s="21"/>
      <c r="EUX41" s="21"/>
      <c r="EUY41" s="21"/>
      <c r="EUZ41" s="21"/>
      <c r="EVA41" s="21"/>
      <c r="EVB41" s="21"/>
      <c r="EVC41" s="21"/>
      <c r="EVD41" s="21"/>
      <c r="EVE41" s="21"/>
      <c r="EVF41" s="21"/>
      <c r="EVG41" s="21"/>
      <c r="EVH41" s="21"/>
      <c r="EVI41" s="21"/>
      <c r="EVJ41" s="21"/>
      <c r="EVK41" s="21"/>
      <c r="EVL41" s="21"/>
      <c r="EVM41" s="21"/>
      <c r="EVN41" s="21"/>
      <c r="EVO41" s="21"/>
      <c r="EVP41" s="21"/>
      <c r="EVQ41" s="21"/>
      <c r="EVR41" s="21"/>
      <c r="EVS41" s="21"/>
      <c r="EVT41" s="21"/>
      <c r="EVU41" s="21"/>
      <c r="EVV41" s="21"/>
      <c r="EVW41" s="21"/>
      <c r="EVX41" s="21"/>
      <c r="EVY41" s="21"/>
      <c r="EVZ41" s="21"/>
      <c r="EWA41" s="21"/>
      <c r="EWB41" s="21"/>
      <c r="EWC41" s="21"/>
      <c r="EWD41" s="21"/>
      <c r="EWE41" s="21"/>
      <c r="EWF41" s="21"/>
      <c r="EWG41" s="21"/>
      <c r="EWH41" s="21"/>
      <c r="EWI41" s="21"/>
      <c r="EWJ41" s="21"/>
      <c r="EWK41" s="21"/>
      <c r="EWL41" s="21"/>
      <c r="EWM41" s="21"/>
      <c r="EWN41" s="21"/>
      <c r="EWO41" s="21"/>
      <c r="EWP41" s="21"/>
      <c r="EWQ41" s="21"/>
      <c r="EWR41" s="21"/>
      <c r="EWS41" s="21"/>
      <c r="EWT41" s="21"/>
      <c r="EWU41" s="21"/>
      <c r="EWV41" s="21"/>
      <c r="EWW41" s="21"/>
      <c r="EWX41" s="21"/>
      <c r="EWY41" s="21"/>
      <c r="EWZ41" s="21"/>
      <c r="EXA41" s="21"/>
      <c r="EXB41" s="21"/>
      <c r="EXC41" s="21"/>
      <c r="EXD41" s="21"/>
      <c r="EXE41" s="21"/>
      <c r="EXF41" s="21"/>
      <c r="EXG41" s="21"/>
      <c r="EXH41" s="21"/>
      <c r="EXI41" s="21"/>
      <c r="EXJ41" s="21"/>
      <c r="EXK41" s="21"/>
      <c r="EXL41" s="21"/>
      <c r="EXM41" s="21"/>
      <c r="EXN41" s="21"/>
      <c r="EXO41" s="21"/>
      <c r="EXP41" s="21"/>
      <c r="EXQ41" s="21"/>
      <c r="EXR41" s="21"/>
      <c r="EXS41" s="21"/>
      <c r="EXT41" s="21"/>
      <c r="EXU41" s="21"/>
      <c r="EXV41" s="21"/>
      <c r="EXW41" s="21"/>
      <c r="EXX41" s="21"/>
      <c r="EXY41" s="21"/>
      <c r="EXZ41" s="21"/>
      <c r="EYA41" s="21"/>
      <c r="EYB41" s="21"/>
      <c r="EYC41" s="21"/>
      <c r="EYD41" s="21"/>
      <c r="EYE41" s="21"/>
      <c r="EYF41" s="21"/>
      <c r="EYG41" s="21"/>
      <c r="EYH41" s="21"/>
      <c r="EYI41" s="21"/>
      <c r="EYJ41" s="21"/>
      <c r="EYK41" s="21"/>
      <c r="EYL41" s="21"/>
      <c r="EYM41" s="21"/>
      <c r="EYN41" s="21"/>
      <c r="EYO41" s="21"/>
      <c r="EYP41" s="21"/>
      <c r="EYQ41" s="21"/>
      <c r="EYR41" s="21"/>
      <c r="EYS41" s="21"/>
      <c r="EYT41" s="21"/>
      <c r="EYU41" s="21"/>
      <c r="EYV41" s="21"/>
      <c r="EYW41" s="21"/>
      <c r="EYX41" s="21"/>
      <c r="EYY41" s="21"/>
      <c r="EYZ41" s="21"/>
      <c r="EZA41" s="21"/>
      <c r="EZB41" s="21"/>
      <c r="EZC41" s="21"/>
      <c r="EZD41" s="21"/>
      <c r="EZE41" s="21"/>
      <c r="EZF41" s="21"/>
      <c r="EZG41" s="21"/>
      <c r="EZH41" s="21"/>
      <c r="EZI41" s="21"/>
      <c r="EZJ41" s="21"/>
      <c r="EZK41" s="21"/>
      <c r="EZL41" s="21"/>
      <c r="EZM41" s="21"/>
      <c r="EZN41" s="21"/>
      <c r="EZO41" s="21"/>
      <c r="EZP41" s="21"/>
      <c r="EZQ41" s="21"/>
      <c r="EZR41" s="21"/>
      <c r="EZS41" s="21"/>
      <c r="EZT41" s="21"/>
      <c r="EZU41" s="21"/>
      <c r="EZV41" s="21"/>
      <c r="EZW41" s="21"/>
      <c r="EZX41" s="21"/>
      <c r="EZY41" s="21"/>
      <c r="EZZ41" s="21"/>
      <c r="FAA41" s="21"/>
      <c r="FAB41" s="21"/>
      <c r="FAC41" s="21"/>
      <c r="FAD41" s="21"/>
      <c r="FAE41" s="21"/>
      <c r="FAF41" s="21"/>
      <c r="FAG41" s="21"/>
      <c r="FAH41" s="21"/>
      <c r="FAI41" s="21"/>
      <c r="FAJ41" s="21"/>
      <c r="FAK41" s="21"/>
      <c r="FAL41" s="21"/>
      <c r="FAM41" s="21"/>
      <c r="FAN41" s="21"/>
      <c r="FAO41" s="21"/>
      <c r="FAP41" s="21"/>
      <c r="FAQ41" s="21"/>
      <c r="FAR41" s="21"/>
      <c r="FAS41" s="21"/>
      <c r="FAT41" s="21"/>
      <c r="FAU41" s="21"/>
      <c r="FAV41" s="21"/>
      <c r="FAW41" s="21"/>
      <c r="FAX41" s="21"/>
      <c r="FAY41" s="21"/>
      <c r="FAZ41" s="21"/>
      <c r="FBA41" s="21"/>
      <c r="FBB41" s="21"/>
      <c r="FBC41" s="21"/>
      <c r="FBD41" s="21"/>
      <c r="FBE41" s="21"/>
      <c r="FBF41" s="21"/>
      <c r="FBG41" s="21"/>
      <c r="FBH41" s="21"/>
      <c r="FBI41" s="21"/>
      <c r="FBJ41" s="21"/>
      <c r="FBK41" s="21"/>
      <c r="FBL41" s="21"/>
      <c r="FBM41" s="21"/>
      <c r="FBN41" s="21"/>
      <c r="FBO41" s="21"/>
      <c r="FBP41" s="21"/>
      <c r="FBQ41" s="21"/>
      <c r="FBR41" s="21"/>
      <c r="FBS41" s="21"/>
      <c r="FBT41" s="21"/>
      <c r="FBU41" s="21"/>
      <c r="FBV41" s="21"/>
      <c r="FBW41" s="21"/>
      <c r="FBX41" s="21"/>
      <c r="FBY41" s="21"/>
      <c r="FBZ41" s="21"/>
      <c r="FCA41" s="21"/>
      <c r="FCB41" s="21"/>
      <c r="FCC41" s="21"/>
      <c r="FCD41" s="21"/>
      <c r="FCE41" s="21"/>
      <c r="FCF41" s="21"/>
      <c r="FCG41" s="21"/>
      <c r="FCH41" s="21"/>
      <c r="FCI41" s="21"/>
      <c r="FCJ41" s="21"/>
      <c r="FCK41" s="21"/>
      <c r="FCL41" s="21"/>
      <c r="FCM41" s="21"/>
      <c r="FCN41" s="21"/>
      <c r="FCO41" s="21"/>
      <c r="FCP41" s="21"/>
      <c r="FCQ41" s="21"/>
      <c r="FCR41" s="21"/>
      <c r="FCS41" s="21"/>
      <c r="FCT41" s="21"/>
      <c r="FCU41" s="21"/>
      <c r="FCV41" s="21"/>
      <c r="FCW41" s="21"/>
      <c r="FCX41" s="21"/>
      <c r="FCY41" s="21"/>
      <c r="FCZ41" s="21"/>
      <c r="FDA41" s="21"/>
      <c r="FDB41" s="21"/>
      <c r="FDC41" s="21"/>
      <c r="FDD41" s="21"/>
      <c r="FDE41" s="21"/>
      <c r="FDF41" s="21"/>
      <c r="FDG41" s="21"/>
      <c r="FDH41" s="21"/>
      <c r="FDI41" s="21"/>
      <c r="FDJ41" s="21"/>
      <c r="FDK41" s="21"/>
      <c r="FDL41" s="21"/>
      <c r="FDM41" s="21"/>
      <c r="FDN41" s="21"/>
      <c r="FDO41" s="21"/>
      <c r="FDP41" s="21"/>
      <c r="FDQ41" s="21"/>
      <c r="FDR41" s="21"/>
      <c r="FDS41" s="21"/>
      <c r="FDT41" s="21"/>
      <c r="FDU41" s="21"/>
      <c r="FDV41" s="21"/>
      <c r="FDW41" s="21"/>
      <c r="FDX41" s="21"/>
      <c r="FDY41" s="21"/>
      <c r="FDZ41" s="21"/>
      <c r="FEA41" s="21"/>
      <c r="FEB41" s="21"/>
      <c r="FEC41" s="21"/>
      <c r="FED41" s="21"/>
      <c r="FEE41" s="21"/>
      <c r="FEF41" s="21"/>
      <c r="FEG41" s="21"/>
      <c r="FEH41" s="21"/>
      <c r="FEI41" s="21"/>
      <c r="FEJ41" s="21"/>
      <c r="FEK41" s="21"/>
      <c r="FEL41" s="21"/>
      <c r="FEM41" s="21"/>
      <c r="FEN41" s="21"/>
      <c r="FEO41" s="21"/>
      <c r="FEP41" s="21"/>
      <c r="FEQ41" s="21"/>
      <c r="FER41" s="21"/>
      <c r="FES41" s="21"/>
      <c r="FET41" s="21"/>
      <c r="FEU41" s="21"/>
      <c r="FEV41" s="21"/>
      <c r="FEW41" s="21"/>
      <c r="FEX41" s="21"/>
      <c r="FEY41" s="21"/>
      <c r="FEZ41" s="21"/>
      <c r="FFA41" s="21"/>
      <c r="FFB41" s="21"/>
      <c r="FFC41" s="21"/>
      <c r="FFD41" s="21"/>
      <c r="FFE41" s="21"/>
      <c r="FFF41" s="21"/>
      <c r="FFG41" s="21"/>
      <c r="FFH41" s="21"/>
      <c r="FFI41" s="21"/>
      <c r="FFJ41" s="21"/>
      <c r="FFK41" s="21"/>
      <c r="FFL41" s="21"/>
      <c r="FFM41" s="21"/>
      <c r="FFN41" s="21"/>
      <c r="FFO41" s="21"/>
      <c r="FFP41" s="21"/>
      <c r="FFQ41" s="21"/>
      <c r="FFR41" s="21"/>
      <c r="FFS41" s="21"/>
      <c r="FFT41" s="21"/>
      <c r="FFU41" s="21"/>
      <c r="FFV41" s="21"/>
      <c r="FFW41" s="21"/>
      <c r="FFX41" s="21"/>
      <c r="FFY41" s="21"/>
      <c r="FFZ41" s="21"/>
      <c r="FGA41" s="21"/>
      <c r="FGB41" s="21"/>
      <c r="FGC41" s="21"/>
      <c r="FGD41" s="21"/>
      <c r="FGE41" s="21"/>
      <c r="FGF41" s="21"/>
      <c r="FGG41" s="21"/>
      <c r="FGH41" s="21"/>
      <c r="FGI41" s="21"/>
      <c r="FGJ41" s="21"/>
      <c r="FGK41" s="21"/>
      <c r="FGL41" s="21"/>
      <c r="FGM41" s="21"/>
      <c r="FGN41" s="21"/>
      <c r="FGO41" s="21"/>
      <c r="FGP41" s="21"/>
      <c r="FGQ41" s="21"/>
      <c r="FGR41" s="21"/>
      <c r="FGS41" s="21"/>
      <c r="FGT41" s="21"/>
      <c r="FGU41" s="21"/>
      <c r="FGV41" s="21"/>
      <c r="FGW41" s="21"/>
      <c r="FGX41" s="21"/>
      <c r="FGY41" s="21"/>
      <c r="FGZ41" s="21"/>
      <c r="FHA41" s="21"/>
      <c r="FHB41" s="21"/>
      <c r="FHC41" s="21"/>
      <c r="FHD41" s="21"/>
      <c r="FHE41" s="21"/>
      <c r="FHF41" s="21"/>
      <c r="FHG41" s="21"/>
      <c r="FHH41" s="21"/>
      <c r="FHI41" s="21"/>
      <c r="FHJ41" s="21"/>
      <c r="FHK41" s="21"/>
      <c r="FHL41" s="21"/>
      <c r="FHM41" s="21"/>
      <c r="FHN41" s="21"/>
      <c r="FHO41" s="21"/>
      <c r="FHP41" s="21"/>
      <c r="FHQ41" s="21"/>
      <c r="FHR41" s="21"/>
      <c r="FHS41" s="21"/>
      <c r="FHT41" s="21"/>
      <c r="FHU41" s="21"/>
      <c r="FHV41" s="21"/>
      <c r="FHW41" s="21"/>
      <c r="FHX41" s="21"/>
      <c r="FHY41" s="21"/>
      <c r="FHZ41" s="21"/>
      <c r="FIA41" s="21"/>
      <c r="FIB41" s="21"/>
      <c r="FIC41" s="21"/>
      <c r="FID41" s="21"/>
      <c r="FIE41" s="21"/>
      <c r="FIF41" s="21"/>
      <c r="FIG41" s="21"/>
      <c r="FIH41" s="21"/>
      <c r="FII41" s="21"/>
      <c r="FIJ41" s="21"/>
      <c r="FIK41" s="21"/>
      <c r="FIL41" s="21"/>
      <c r="FIM41" s="21"/>
      <c r="FIN41" s="21"/>
      <c r="FIO41" s="21"/>
      <c r="FIP41" s="21"/>
      <c r="FIQ41" s="21"/>
      <c r="FIR41" s="21"/>
      <c r="FIS41" s="21"/>
      <c r="FIT41" s="21"/>
      <c r="FIU41" s="21"/>
      <c r="FIV41" s="21"/>
      <c r="FIW41" s="21"/>
      <c r="FIX41" s="21"/>
      <c r="FIY41" s="21"/>
      <c r="FIZ41" s="21"/>
      <c r="FJA41" s="21"/>
      <c r="FJB41" s="21"/>
      <c r="FJC41" s="21"/>
      <c r="FJD41" s="21"/>
      <c r="FJE41" s="21"/>
      <c r="FJF41" s="21"/>
      <c r="FJG41" s="21"/>
      <c r="FJH41" s="21"/>
      <c r="FJI41" s="21"/>
      <c r="FJJ41" s="21"/>
      <c r="FJK41" s="21"/>
      <c r="FJL41" s="21"/>
      <c r="FJM41" s="21"/>
      <c r="FJN41" s="21"/>
      <c r="FJO41" s="21"/>
      <c r="FJP41" s="21"/>
      <c r="FJQ41" s="21"/>
      <c r="FJR41" s="21"/>
      <c r="FJS41" s="21"/>
      <c r="FJT41" s="21"/>
      <c r="FJU41" s="21"/>
      <c r="FJV41" s="21"/>
      <c r="FJW41" s="21"/>
      <c r="FJX41" s="21"/>
      <c r="FJY41" s="21"/>
      <c r="FJZ41" s="21"/>
      <c r="FKA41" s="21"/>
      <c r="FKB41" s="21"/>
      <c r="FKC41" s="21"/>
      <c r="FKD41" s="21"/>
      <c r="FKE41" s="21"/>
      <c r="FKF41" s="21"/>
      <c r="FKG41" s="21"/>
      <c r="FKH41" s="21"/>
      <c r="FKI41" s="21"/>
      <c r="FKJ41" s="21"/>
      <c r="FKK41" s="21"/>
      <c r="FKL41" s="21"/>
      <c r="FKM41" s="21"/>
      <c r="FKN41" s="21"/>
      <c r="FKO41" s="21"/>
      <c r="FKP41" s="21"/>
      <c r="FKQ41" s="21"/>
      <c r="FKR41" s="21"/>
      <c r="FKS41" s="21"/>
      <c r="FKT41" s="21"/>
      <c r="FKU41" s="21"/>
      <c r="FKV41" s="21"/>
      <c r="FKW41" s="21"/>
      <c r="FKX41" s="21"/>
      <c r="FKY41" s="21"/>
      <c r="FKZ41" s="21"/>
      <c r="FLA41" s="21"/>
      <c r="FLB41" s="21"/>
      <c r="FLC41" s="21"/>
      <c r="FLD41" s="21"/>
      <c r="FLE41" s="21"/>
      <c r="FLF41" s="21"/>
      <c r="FLG41" s="21"/>
      <c r="FLH41" s="21"/>
      <c r="FLI41" s="21"/>
      <c r="FLJ41" s="21"/>
      <c r="FLK41" s="21"/>
      <c r="FLL41" s="21"/>
      <c r="FLM41" s="21"/>
      <c r="FLN41" s="21"/>
      <c r="FLO41" s="21"/>
      <c r="FLP41" s="21"/>
      <c r="FLQ41" s="21"/>
      <c r="FLR41" s="21"/>
      <c r="FLS41" s="21"/>
      <c r="FLT41" s="21"/>
      <c r="FLU41" s="21"/>
      <c r="FLV41" s="21"/>
      <c r="FLW41" s="21"/>
      <c r="FLX41" s="21"/>
      <c r="FLY41" s="21"/>
      <c r="FLZ41" s="21"/>
      <c r="FMA41" s="21"/>
      <c r="FMB41" s="21"/>
      <c r="FMC41" s="21"/>
      <c r="FMD41" s="21"/>
      <c r="FME41" s="21"/>
      <c r="FMF41" s="21"/>
      <c r="FMG41" s="21"/>
      <c r="FMH41" s="21"/>
      <c r="FMI41" s="21"/>
      <c r="FMJ41" s="21"/>
      <c r="FMK41" s="21"/>
      <c r="FML41" s="21"/>
      <c r="FMM41" s="21"/>
      <c r="FMN41" s="21"/>
      <c r="FMO41" s="21"/>
      <c r="FMP41" s="21"/>
      <c r="FMQ41" s="21"/>
      <c r="FMR41" s="21"/>
      <c r="FMS41" s="21"/>
      <c r="FMT41" s="21"/>
      <c r="FMU41" s="21"/>
      <c r="FMV41" s="21"/>
      <c r="FMW41" s="21"/>
      <c r="FMX41" s="21"/>
      <c r="FMY41" s="21"/>
      <c r="FMZ41" s="21"/>
      <c r="FNA41" s="21"/>
      <c r="FNB41" s="21"/>
      <c r="FNC41" s="21"/>
      <c r="FND41" s="21"/>
      <c r="FNE41" s="21"/>
      <c r="FNF41" s="21"/>
      <c r="FNG41" s="21"/>
      <c r="FNH41" s="21"/>
      <c r="FNI41" s="21"/>
      <c r="FNJ41" s="21"/>
      <c r="FNK41" s="21"/>
      <c r="FNL41" s="21"/>
      <c r="FNM41" s="21"/>
      <c r="FNN41" s="21"/>
      <c r="FNO41" s="21"/>
      <c r="FNP41" s="21"/>
      <c r="FNQ41" s="21"/>
      <c r="FNR41" s="21"/>
      <c r="FNS41" s="21"/>
      <c r="FNT41" s="21"/>
      <c r="FNU41" s="21"/>
      <c r="FNV41" s="21"/>
      <c r="FNW41" s="21"/>
      <c r="FNX41" s="21"/>
      <c r="FNY41" s="21"/>
      <c r="FNZ41" s="21"/>
      <c r="FOA41" s="21"/>
      <c r="FOB41" s="21"/>
      <c r="FOC41" s="21"/>
      <c r="FOD41" s="21"/>
      <c r="FOE41" s="21"/>
      <c r="FOF41" s="21"/>
      <c r="FOG41" s="21"/>
      <c r="FOH41" s="21"/>
      <c r="FOI41" s="21"/>
      <c r="FOJ41" s="21"/>
      <c r="FOK41" s="21"/>
      <c r="FOL41" s="21"/>
      <c r="FOM41" s="21"/>
      <c r="FON41" s="21"/>
      <c r="FOO41" s="21"/>
      <c r="FOP41" s="21"/>
      <c r="FOQ41" s="21"/>
      <c r="FOR41" s="21"/>
      <c r="FOS41" s="21"/>
      <c r="FOT41" s="21"/>
      <c r="FOU41" s="21"/>
      <c r="FOV41" s="21"/>
      <c r="FOW41" s="21"/>
      <c r="FOX41" s="21"/>
      <c r="FOY41" s="21"/>
      <c r="FOZ41" s="21"/>
      <c r="FPA41" s="21"/>
      <c r="FPB41" s="21"/>
      <c r="FPC41" s="21"/>
      <c r="FPD41" s="21"/>
      <c r="FPE41" s="21"/>
      <c r="FPF41" s="21"/>
      <c r="FPG41" s="21"/>
      <c r="FPH41" s="21"/>
      <c r="FPI41" s="21"/>
      <c r="FPJ41" s="21"/>
      <c r="FPK41" s="21"/>
      <c r="FPL41" s="21"/>
      <c r="FPM41" s="21"/>
      <c r="FPN41" s="21"/>
      <c r="FPO41" s="21"/>
      <c r="FPP41" s="21"/>
      <c r="FPQ41" s="21"/>
      <c r="FPR41" s="21"/>
      <c r="FPS41" s="21"/>
      <c r="FPT41" s="21"/>
      <c r="FPU41" s="21"/>
      <c r="FPV41" s="21"/>
      <c r="FPW41" s="21"/>
      <c r="FPX41" s="21"/>
      <c r="FPY41" s="21"/>
      <c r="FPZ41" s="21"/>
      <c r="FQA41" s="21"/>
      <c r="FQB41" s="21"/>
      <c r="FQC41" s="21"/>
      <c r="FQD41" s="21"/>
      <c r="FQE41" s="21"/>
      <c r="FQF41" s="21"/>
      <c r="FQG41" s="21"/>
      <c r="FQH41" s="21"/>
      <c r="FQI41" s="21"/>
      <c r="FQJ41" s="21"/>
      <c r="FQK41" s="21"/>
      <c r="FQL41" s="21"/>
      <c r="FQM41" s="21"/>
      <c r="FQN41" s="21"/>
      <c r="FQO41" s="21"/>
      <c r="FQP41" s="21"/>
      <c r="FQQ41" s="21"/>
      <c r="FQR41" s="21"/>
      <c r="FQS41" s="21"/>
      <c r="FQT41" s="21"/>
      <c r="FQU41" s="21"/>
      <c r="FQV41" s="21"/>
      <c r="FQW41" s="21"/>
      <c r="FQX41" s="21"/>
      <c r="FQY41" s="21"/>
      <c r="FQZ41" s="21"/>
      <c r="FRA41" s="21"/>
      <c r="FRB41" s="21"/>
      <c r="FRC41" s="21"/>
      <c r="FRD41" s="21"/>
      <c r="FRE41" s="21"/>
      <c r="FRF41" s="21"/>
      <c r="FRG41" s="21"/>
      <c r="FRH41" s="21"/>
      <c r="FRI41" s="21"/>
      <c r="FRJ41" s="21"/>
      <c r="FRK41" s="21"/>
      <c r="FRL41" s="21"/>
      <c r="FRM41" s="21"/>
      <c r="FRN41" s="21"/>
      <c r="FRO41" s="21"/>
      <c r="FRP41" s="21"/>
      <c r="FRQ41" s="21"/>
      <c r="FRR41" s="21"/>
      <c r="FRS41" s="21"/>
      <c r="FRT41" s="21"/>
      <c r="FRU41" s="21"/>
      <c r="FRV41" s="21"/>
      <c r="FRW41" s="21"/>
      <c r="FRX41" s="21"/>
      <c r="FRY41" s="21"/>
      <c r="FRZ41" s="21"/>
      <c r="FSA41" s="21"/>
      <c r="FSB41" s="21"/>
      <c r="FSC41" s="21"/>
      <c r="FSD41" s="21"/>
      <c r="FSE41" s="21"/>
      <c r="FSF41" s="21"/>
      <c r="FSG41" s="21"/>
      <c r="FSH41" s="21"/>
      <c r="FSI41" s="21"/>
      <c r="FSJ41" s="21"/>
      <c r="FSK41" s="21"/>
      <c r="FSL41" s="21"/>
      <c r="FSM41" s="21"/>
      <c r="FSN41" s="21"/>
      <c r="FSO41" s="21"/>
      <c r="FSP41" s="21"/>
      <c r="FSQ41" s="21"/>
      <c r="FSR41" s="21"/>
      <c r="FSS41" s="21"/>
      <c r="FST41" s="21"/>
      <c r="FSU41" s="21"/>
      <c r="FSV41" s="21"/>
      <c r="FSW41" s="21"/>
      <c r="FSX41" s="21"/>
      <c r="FSY41" s="21"/>
      <c r="FSZ41" s="21"/>
      <c r="FTA41" s="21"/>
      <c r="FTB41" s="21"/>
      <c r="FTC41" s="21"/>
      <c r="FTD41" s="21"/>
      <c r="FTE41" s="21"/>
      <c r="FTF41" s="21"/>
      <c r="FTG41" s="21"/>
      <c r="FTH41" s="21"/>
      <c r="FTI41" s="21"/>
      <c r="FTJ41" s="21"/>
      <c r="FTK41" s="21"/>
      <c r="FTL41" s="21"/>
      <c r="FTM41" s="21"/>
      <c r="FTN41" s="21"/>
      <c r="FTO41" s="21"/>
      <c r="FTP41" s="21"/>
      <c r="FTQ41" s="21"/>
      <c r="FTR41" s="21"/>
      <c r="FTS41" s="21"/>
      <c r="FTT41" s="21"/>
      <c r="FTU41" s="21"/>
      <c r="FTV41" s="21"/>
      <c r="FTW41" s="21"/>
      <c r="FTX41" s="21"/>
      <c r="FTY41" s="21"/>
      <c r="FTZ41" s="21"/>
      <c r="FUA41" s="21"/>
      <c r="FUB41" s="21"/>
      <c r="FUC41" s="21"/>
      <c r="FUD41" s="21"/>
      <c r="FUE41" s="21"/>
      <c r="FUF41" s="21"/>
      <c r="FUG41" s="21"/>
      <c r="FUH41" s="21"/>
      <c r="FUI41" s="21"/>
      <c r="FUJ41" s="21"/>
      <c r="FUK41" s="21"/>
      <c r="FUL41" s="21"/>
      <c r="FUM41" s="21"/>
      <c r="FUN41" s="21"/>
      <c r="FUO41" s="21"/>
      <c r="FUP41" s="21"/>
      <c r="FUQ41" s="21"/>
      <c r="FUR41" s="21"/>
      <c r="FUS41" s="21"/>
      <c r="FUT41" s="21"/>
      <c r="FUU41" s="21"/>
      <c r="FUV41" s="21"/>
      <c r="FUW41" s="21"/>
      <c r="FUX41" s="21"/>
      <c r="FUY41" s="21"/>
      <c r="FUZ41" s="21"/>
      <c r="FVA41" s="21"/>
      <c r="FVB41" s="21"/>
      <c r="FVC41" s="21"/>
      <c r="FVD41" s="21"/>
      <c r="FVE41" s="21"/>
      <c r="FVF41" s="21"/>
      <c r="FVG41" s="21"/>
      <c r="FVH41" s="21"/>
      <c r="FVI41" s="21"/>
      <c r="FVJ41" s="21"/>
      <c r="FVK41" s="21"/>
      <c r="FVL41" s="21"/>
      <c r="FVM41" s="21"/>
      <c r="FVN41" s="21"/>
      <c r="FVO41" s="21"/>
      <c r="FVP41" s="21"/>
      <c r="FVQ41" s="21"/>
      <c r="FVR41" s="21"/>
      <c r="FVS41" s="21"/>
      <c r="FVT41" s="21"/>
      <c r="FVU41" s="21"/>
      <c r="FVV41" s="21"/>
      <c r="FVW41" s="21"/>
      <c r="FVX41" s="21"/>
      <c r="FVY41" s="21"/>
      <c r="FVZ41" s="21"/>
      <c r="FWA41" s="21"/>
      <c r="FWB41" s="21"/>
      <c r="FWC41" s="21"/>
      <c r="FWD41" s="21"/>
      <c r="FWE41" s="21"/>
      <c r="FWF41" s="21"/>
      <c r="FWG41" s="21"/>
      <c r="FWH41" s="21"/>
      <c r="FWI41" s="21"/>
      <c r="FWJ41" s="21"/>
      <c r="FWK41" s="21"/>
      <c r="FWL41" s="21"/>
      <c r="FWM41" s="21"/>
      <c r="FWN41" s="21"/>
      <c r="FWO41" s="21"/>
      <c r="FWP41" s="21"/>
      <c r="FWQ41" s="21"/>
      <c r="FWR41" s="21"/>
      <c r="FWS41" s="21"/>
      <c r="FWT41" s="21"/>
      <c r="FWU41" s="21"/>
      <c r="FWV41" s="21"/>
      <c r="FWW41" s="21"/>
      <c r="FWX41" s="21"/>
      <c r="FWY41" s="21"/>
      <c r="FWZ41" s="21"/>
      <c r="FXA41" s="21"/>
      <c r="FXB41" s="21"/>
      <c r="FXC41" s="21"/>
      <c r="FXD41" s="21"/>
      <c r="FXE41" s="21"/>
      <c r="FXF41" s="21"/>
      <c r="FXG41" s="21"/>
      <c r="FXH41" s="21"/>
      <c r="FXI41" s="21"/>
      <c r="FXJ41" s="21"/>
      <c r="FXK41" s="21"/>
      <c r="FXL41" s="21"/>
      <c r="FXM41" s="21"/>
      <c r="FXN41" s="21"/>
      <c r="FXO41" s="21"/>
      <c r="FXP41" s="21"/>
      <c r="FXQ41" s="21"/>
      <c r="FXR41" s="21"/>
      <c r="FXS41" s="21"/>
      <c r="FXT41" s="21"/>
      <c r="FXU41" s="21"/>
      <c r="FXV41" s="21"/>
      <c r="FXW41" s="21"/>
      <c r="FXX41" s="21"/>
      <c r="FXY41" s="21"/>
      <c r="FXZ41" s="21"/>
      <c r="FYA41" s="21"/>
      <c r="FYB41" s="21"/>
      <c r="FYC41" s="21"/>
      <c r="FYD41" s="21"/>
      <c r="FYE41" s="21"/>
      <c r="FYF41" s="21"/>
      <c r="FYG41" s="21"/>
      <c r="FYH41" s="21"/>
      <c r="FYI41" s="21"/>
      <c r="FYJ41" s="21"/>
      <c r="FYK41" s="21"/>
      <c r="FYL41" s="21"/>
      <c r="FYM41" s="21"/>
      <c r="FYN41" s="21"/>
      <c r="FYO41" s="21"/>
      <c r="FYP41" s="21"/>
      <c r="FYQ41" s="21"/>
      <c r="FYR41" s="21"/>
      <c r="FYS41" s="21"/>
      <c r="FYT41" s="21"/>
      <c r="FYU41" s="21"/>
      <c r="FYV41" s="21"/>
      <c r="FYW41" s="21"/>
      <c r="FYX41" s="21"/>
      <c r="FYY41" s="21"/>
      <c r="FYZ41" s="21"/>
      <c r="FZA41" s="21"/>
      <c r="FZB41" s="21"/>
      <c r="FZC41" s="21"/>
      <c r="FZD41" s="21"/>
      <c r="FZE41" s="21"/>
      <c r="FZF41" s="21"/>
      <c r="FZG41" s="21"/>
      <c r="FZH41" s="21"/>
      <c r="FZI41" s="21"/>
      <c r="FZJ41" s="21"/>
      <c r="FZK41" s="21"/>
      <c r="FZL41" s="21"/>
      <c r="FZM41" s="21"/>
      <c r="FZN41" s="21"/>
      <c r="FZO41" s="21"/>
      <c r="FZP41" s="21"/>
      <c r="FZQ41" s="21"/>
      <c r="FZR41" s="21"/>
      <c r="FZS41" s="21"/>
      <c r="FZT41" s="21"/>
      <c r="FZU41" s="21"/>
      <c r="FZV41" s="21"/>
      <c r="FZW41" s="21"/>
      <c r="FZX41" s="21"/>
      <c r="FZY41" s="21"/>
      <c r="FZZ41" s="21"/>
      <c r="GAA41" s="21"/>
      <c r="GAB41" s="21"/>
      <c r="GAC41" s="21"/>
      <c r="GAD41" s="21"/>
      <c r="GAE41" s="21"/>
      <c r="GAF41" s="21"/>
      <c r="GAG41" s="21"/>
      <c r="GAH41" s="21"/>
      <c r="GAI41" s="21"/>
      <c r="GAJ41" s="21"/>
      <c r="GAK41" s="21"/>
      <c r="GAL41" s="21"/>
      <c r="GAM41" s="21"/>
      <c r="GAN41" s="21"/>
      <c r="GAO41" s="21"/>
      <c r="GAP41" s="21"/>
      <c r="GAQ41" s="21"/>
      <c r="GAR41" s="21"/>
      <c r="GAS41" s="21"/>
      <c r="GAT41" s="21"/>
      <c r="GAU41" s="21"/>
      <c r="GAV41" s="21"/>
      <c r="GAW41" s="21"/>
      <c r="GAX41" s="21"/>
      <c r="GAY41" s="21"/>
      <c r="GAZ41" s="21"/>
      <c r="GBA41" s="21"/>
      <c r="GBB41" s="21"/>
      <c r="GBC41" s="21"/>
      <c r="GBD41" s="21"/>
      <c r="GBE41" s="21"/>
      <c r="GBF41" s="21"/>
      <c r="GBG41" s="21"/>
      <c r="GBH41" s="21"/>
      <c r="GBI41" s="21"/>
      <c r="GBJ41" s="21"/>
      <c r="GBK41" s="21"/>
      <c r="GBL41" s="21"/>
      <c r="GBM41" s="21"/>
      <c r="GBN41" s="21"/>
      <c r="GBO41" s="21"/>
      <c r="GBP41" s="21"/>
      <c r="GBQ41" s="21"/>
      <c r="GBR41" s="21"/>
      <c r="GBS41" s="21"/>
      <c r="GBT41" s="21"/>
      <c r="GBU41" s="21"/>
      <c r="GBV41" s="21"/>
      <c r="GBW41" s="21"/>
      <c r="GBX41" s="21"/>
      <c r="GBY41" s="21"/>
      <c r="GBZ41" s="21"/>
      <c r="GCA41" s="21"/>
      <c r="GCB41" s="21"/>
      <c r="GCC41" s="21"/>
      <c r="GCD41" s="21"/>
      <c r="GCE41" s="21"/>
      <c r="GCF41" s="21"/>
      <c r="GCG41" s="21"/>
      <c r="GCH41" s="21"/>
      <c r="GCI41" s="21"/>
      <c r="GCJ41" s="21"/>
      <c r="GCK41" s="21"/>
      <c r="GCL41" s="21"/>
      <c r="GCM41" s="21"/>
      <c r="GCN41" s="21"/>
      <c r="GCO41" s="21"/>
      <c r="GCP41" s="21"/>
      <c r="GCQ41" s="21"/>
      <c r="GCR41" s="21"/>
      <c r="GCS41" s="21"/>
      <c r="GCT41" s="21"/>
      <c r="GCU41" s="21"/>
      <c r="GCV41" s="21"/>
      <c r="GCW41" s="21"/>
      <c r="GCX41" s="21"/>
      <c r="GCY41" s="21"/>
      <c r="GCZ41" s="21"/>
      <c r="GDA41" s="21"/>
      <c r="GDB41" s="21"/>
      <c r="GDC41" s="21"/>
      <c r="GDD41" s="21"/>
      <c r="GDE41" s="21"/>
      <c r="GDF41" s="21"/>
      <c r="GDG41" s="21"/>
      <c r="GDH41" s="21"/>
      <c r="GDI41" s="21"/>
      <c r="GDJ41" s="21"/>
      <c r="GDK41" s="21"/>
      <c r="GDL41" s="21"/>
      <c r="GDM41" s="21"/>
      <c r="GDN41" s="21"/>
      <c r="GDO41" s="21"/>
      <c r="GDP41" s="21"/>
      <c r="GDQ41" s="21"/>
      <c r="GDR41" s="21"/>
      <c r="GDS41" s="21"/>
      <c r="GDT41" s="21"/>
      <c r="GDU41" s="21"/>
      <c r="GDV41" s="21"/>
      <c r="GDW41" s="21"/>
      <c r="GDX41" s="21"/>
      <c r="GDY41" s="21"/>
      <c r="GDZ41" s="21"/>
      <c r="GEA41" s="21"/>
      <c r="GEB41" s="21"/>
      <c r="GEC41" s="21"/>
      <c r="GED41" s="21"/>
      <c r="GEE41" s="21"/>
      <c r="GEF41" s="21"/>
      <c r="GEG41" s="21"/>
      <c r="GEH41" s="21"/>
      <c r="GEI41" s="21"/>
      <c r="GEJ41" s="21"/>
      <c r="GEK41" s="21"/>
      <c r="GEL41" s="21"/>
      <c r="GEM41" s="21"/>
      <c r="GEN41" s="21"/>
      <c r="GEO41" s="21"/>
      <c r="GEP41" s="21"/>
      <c r="GEQ41" s="21"/>
      <c r="GER41" s="21"/>
      <c r="GES41" s="21"/>
      <c r="GET41" s="21"/>
      <c r="GEU41" s="21"/>
      <c r="GEV41" s="21"/>
      <c r="GEW41" s="21"/>
      <c r="GEX41" s="21"/>
      <c r="GEY41" s="21"/>
      <c r="GEZ41" s="21"/>
      <c r="GFA41" s="21"/>
      <c r="GFB41" s="21"/>
      <c r="GFC41" s="21"/>
      <c r="GFD41" s="21"/>
      <c r="GFE41" s="21"/>
      <c r="GFF41" s="21"/>
      <c r="GFG41" s="21"/>
      <c r="GFH41" s="21"/>
      <c r="GFI41" s="21"/>
      <c r="GFJ41" s="21"/>
      <c r="GFK41" s="21"/>
      <c r="GFL41" s="21"/>
      <c r="GFM41" s="21"/>
      <c r="GFN41" s="21"/>
      <c r="GFO41" s="21"/>
      <c r="GFP41" s="21"/>
      <c r="GFQ41" s="21"/>
      <c r="GFR41" s="21"/>
      <c r="GFS41" s="21"/>
      <c r="GFT41" s="21"/>
      <c r="GFU41" s="21"/>
      <c r="GFV41" s="21"/>
      <c r="GFW41" s="21"/>
      <c r="GFX41" s="21"/>
      <c r="GFY41" s="21"/>
      <c r="GFZ41" s="21"/>
      <c r="GGA41" s="21"/>
      <c r="GGB41" s="21"/>
      <c r="GGC41" s="21"/>
      <c r="GGD41" s="21"/>
      <c r="GGE41" s="21"/>
      <c r="GGF41" s="21"/>
      <c r="GGG41" s="21"/>
      <c r="GGH41" s="21"/>
      <c r="GGI41" s="21"/>
      <c r="GGJ41" s="21"/>
      <c r="GGK41" s="21"/>
      <c r="GGL41" s="21"/>
      <c r="GGM41" s="21"/>
      <c r="GGN41" s="21"/>
      <c r="GGO41" s="21"/>
      <c r="GGP41" s="21"/>
      <c r="GGQ41" s="21"/>
      <c r="GGR41" s="21"/>
      <c r="GGS41" s="21"/>
      <c r="GGT41" s="21"/>
      <c r="GGU41" s="21"/>
      <c r="GGV41" s="21"/>
      <c r="GGW41" s="21"/>
      <c r="GGX41" s="21"/>
      <c r="GGY41" s="21"/>
      <c r="GGZ41" s="21"/>
      <c r="GHA41" s="21"/>
      <c r="GHB41" s="21"/>
      <c r="GHC41" s="21"/>
      <c r="GHD41" s="21"/>
      <c r="GHE41" s="21"/>
      <c r="GHF41" s="21"/>
      <c r="GHG41" s="21"/>
      <c r="GHH41" s="21"/>
      <c r="GHI41" s="21"/>
      <c r="GHJ41" s="21"/>
      <c r="GHK41" s="21"/>
      <c r="GHL41" s="21"/>
      <c r="GHM41" s="21"/>
      <c r="GHN41" s="21"/>
      <c r="GHO41" s="21"/>
      <c r="GHP41" s="21"/>
      <c r="GHQ41" s="21"/>
      <c r="GHR41" s="21"/>
      <c r="GHS41" s="21"/>
      <c r="GHT41" s="21"/>
      <c r="GHU41" s="21"/>
      <c r="GHV41" s="21"/>
      <c r="GHW41" s="21"/>
      <c r="GHX41" s="21"/>
      <c r="GHY41" s="21"/>
      <c r="GHZ41" s="21"/>
      <c r="GIA41" s="21"/>
      <c r="GIB41" s="21"/>
      <c r="GIC41" s="21"/>
      <c r="GID41" s="21"/>
      <c r="GIE41" s="21"/>
      <c r="GIF41" s="21"/>
      <c r="GIG41" s="21"/>
      <c r="GIH41" s="21"/>
      <c r="GII41" s="21"/>
      <c r="GIJ41" s="21"/>
      <c r="GIK41" s="21"/>
      <c r="GIL41" s="21"/>
      <c r="GIM41" s="21"/>
      <c r="GIN41" s="21"/>
      <c r="GIO41" s="21"/>
      <c r="GIP41" s="21"/>
      <c r="GIQ41" s="21"/>
      <c r="GIR41" s="21"/>
      <c r="GIS41" s="21"/>
      <c r="GIT41" s="21"/>
      <c r="GIU41" s="21"/>
      <c r="GIV41" s="21"/>
      <c r="GIW41" s="21"/>
      <c r="GIX41" s="21"/>
      <c r="GIY41" s="21"/>
      <c r="GIZ41" s="21"/>
      <c r="GJA41" s="21"/>
      <c r="GJB41" s="21"/>
      <c r="GJC41" s="21"/>
      <c r="GJD41" s="21"/>
      <c r="GJE41" s="21"/>
      <c r="GJF41" s="21"/>
      <c r="GJG41" s="21"/>
      <c r="GJH41" s="21"/>
      <c r="GJI41" s="21"/>
      <c r="GJJ41" s="21"/>
      <c r="GJK41" s="21"/>
      <c r="GJL41" s="21"/>
      <c r="GJM41" s="21"/>
      <c r="GJN41" s="21"/>
      <c r="GJO41" s="21"/>
      <c r="GJP41" s="21"/>
      <c r="GJQ41" s="21"/>
      <c r="GJR41" s="21"/>
      <c r="GJS41" s="21"/>
      <c r="GJT41" s="21"/>
      <c r="GJU41" s="21"/>
      <c r="GJV41" s="21"/>
      <c r="GJW41" s="21"/>
      <c r="GJX41" s="21"/>
      <c r="GJY41" s="21"/>
      <c r="GJZ41" s="21"/>
      <c r="GKA41" s="21"/>
      <c r="GKB41" s="21"/>
      <c r="GKC41" s="21"/>
      <c r="GKD41" s="21"/>
      <c r="GKE41" s="21"/>
      <c r="GKF41" s="21"/>
      <c r="GKG41" s="21"/>
      <c r="GKH41" s="21"/>
      <c r="GKI41" s="21"/>
      <c r="GKJ41" s="21"/>
      <c r="GKK41" s="21"/>
      <c r="GKL41" s="21"/>
      <c r="GKM41" s="21"/>
      <c r="GKN41" s="21"/>
      <c r="GKO41" s="21"/>
      <c r="GKP41" s="21"/>
      <c r="GKQ41" s="21"/>
      <c r="GKR41" s="21"/>
      <c r="GKS41" s="21"/>
      <c r="GKT41" s="21"/>
      <c r="GKU41" s="21"/>
      <c r="GKV41" s="21"/>
      <c r="GKW41" s="21"/>
      <c r="GKX41" s="21"/>
      <c r="GKY41" s="21"/>
      <c r="GKZ41" s="21"/>
      <c r="GLA41" s="21"/>
      <c r="GLB41" s="21"/>
      <c r="GLC41" s="21"/>
      <c r="GLD41" s="21"/>
      <c r="GLE41" s="21"/>
      <c r="GLF41" s="21"/>
      <c r="GLG41" s="21"/>
      <c r="GLH41" s="21"/>
      <c r="GLI41" s="21"/>
      <c r="GLJ41" s="21"/>
      <c r="GLK41" s="21"/>
      <c r="GLL41" s="21"/>
      <c r="GLM41" s="21"/>
      <c r="GLN41" s="21"/>
      <c r="GLO41" s="21"/>
      <c r="GLP41" s="21"/>
      <c r="GLQ41" s="21"/>
      <c r="GLR41" s="21"/>
      <c r="GLS41" s="21"/>
      <c r="GLT41" s="21"/>
      <c r="GLU41" s="21"/>
      <c r="GLV41" s="21"/>
      <c r="GLW41" s="21"/>
      <c r="GLX41" s="21"/>
      <c r="GLY41" s="21"/>
      <c r="GLZ41" s="21"/>
      <c r="GMA41" s="21"/>
      <c r="GMB41" s="21"/>
      <c r="GMC41" s="21"/>
      <c r="GMD41" s="21"/>
      <c r="GME41" s="21"/>
      <c r="GMF41" s="21"/>
      <c r="GMG41" s="21"/>
      <c r="GMH41" s="21"/>
      <c r="GMI41" s="21"/>
      <c r="GMJ41" s="21"/>
      <c r="GMK41" s="21"/>
      <c r="GML41" s="21"/>
      <c r="GMM41" s="21"/>
      <c r="GMN41" s="21"/>
      <c r="GMO41" s="21"/>
      <c r="GMP41" s="21"/>
      <c r="GMQ41" s="21"/>
      <c r="GMR41" s="21"/>
      <c r="GMS41" s="21"/>
      <c r="GMT41" s="21"/>
      <c r="GMU41" s="21"/>
      <c r="GMV41" s="21"/>
      <c r="GMW41" s="21"/>
      <c r="GMX41" s="21"/>
      <c r="GMY41" s="21"/>
      <c r="GMZ41" s="21"/>
      <c r="GNA41" s="21"/>
      <c r="GNB41" s="21"/>
      <c r="GNC41" s="21"/>
      <c r="GND41" s="21"/>
      <c r="GNE41" s="21"/>
      <c r="GNF41" s="21"/>
      <c r="GNG41" s="21"/>
      <c r="GNH41" s="21"/>
      <c r="GNI41" s="21"/>
      <c r="GNJ41" s="21"/>
      <c r="GNK41" s="21"/>
      <c r="GNL41" s="21"/>
      <c r="GNM41" s="21"/>
      <c r="GNN41" s="21"/>
      <c r="GNO41" s="21"/>
      <c r="GNP41" s="21"/>
      <c r="GNQ41" s="21"/>
      <c r="GNR41" s="21"/>
      <c r="GNS41" s="21"/>
      <c r="GNT41" s="21"/>
      <c r="GNU41" s="21"/>
      <c r="GNV41" s="21"/>
      <c r="GNW41" s="21"/>
      <c r="GNX41" s="21"/>
      <c r="GNY41" s="21"/>
      <c r="GNZ41" s="21"/>
      <c r="GOA41" s="21"/>
      <c r="GOB41" s="21"/>
      <c r="GOC41" s="21"/>
      <c r="GOD41" s="21"/>
      <c r="GOE41" s="21"/>
      <c r="GOF41" s="21"/>
      <c r="GOG41" s="21"/>
      <c r="GOH41" s="21"/>
      <c r="GOI41" s="21"/>
      <c r="GOJ41" s="21"/>
      <c r="GOK41" s="21"/>
      <c r="GOL41" s="21"/>
      <c r="GOM41" s="21"/>
      <c r="GON41" s="21"/>
      <c r="GOO41" s="21"/>
      <c r="GOP41" s="21"/>
      <c r="GOQ41" s="21"/>
      <c r="GOR41" s="21"/>
      <c r="GOS41" s="21"/>
      <c r="GOT41" s="21"/>
      <c r="GOU41" s="21"/>
      <c r="GOV41" s="21"/>
      <c r="GOW41" s="21"/>
      <c r="GOX41" s="21"/>
      <c r="GOY41" s="21"/>
      <c r="GOZ41" s="21"/>
      <c r="GPA41" s="21"/>
      <c r="GPB41" s="21"/>
      <c r="GPC41" s="21"/>
      <c r="GPD41" s="21"/>
      <c r="GPE41" s="21"/>
      <c r="GPF41" s="21"/>
      <c r="GPG41" s="21"/>
      <c r="GPH41" s="21"/>
      <c r="GPI41" s="21"/>
      <c r="GPJ41" s="21"/>
      <c r="GPK41" s="21"/>
      <c r="GPL41" s="21"/>
      <c r="GPM41" s="21"/>
      <c r="GPN41" s="21"/>
      <c r="GPO41" s="21"/>
      <c r="GPP41" s="21"/>
      <c r="GPQ41" s="21"/>
      <c r="GPR41" s="21"/>
      <c r="GPS41" s="21"/>
      <c r="GPT41" s="21"/>
      <c r="GPU41" s="21"/>
      <c r="GPV41" s="21"/>
      <c r="GPW41" s="21"/>
      <c r="GPX41" s="21"/>
      <c r="GPY41" s="21"/>
      <c r="GPZ41" s="21"/>
      <c r="GQA41" s="21"/>
      <c r="GQB41" s="21"/>
      <c r="GQC41" s="21"/>
      <c r="GQD41" s="21"/>
      <c r="GQE41" s="21"/>
      <c r="GQF41" s="21"/>
      <c r="GQG41" s="21"/>
      <c r="GQH41" s="21"/>
      <c r="GQI41" s="21"/>
      <c r="GQJ41" s="21"/>
      <c r="GQK41" s="21"/>
      <c r="GQL41" s="21"/>
      <c r="GQM41" s="21"/>
      <c r="GQN41" s="21"/>
      <c r="GQO41" s="21"/>
      <c r="GQP41" s="21"/>
      <c r="GQQ41" s="21"/>
      <c r="GQR41" s="21"/>
      <c r="GQS41" s="21"/>
      <c r="GQT41" s="21"/>
      <c r="GQU41" s="21"/>
      <c r="GQV41" s="21"/>
      <c r="GQW41" s="21"/>
      <c r="GQX41" s="21"/>
      <c r="GQY41" s="21"/>
      <c r="GQZ41" s="21"/>
      <c r="GRA41" s="21"/>
      <c r="GRB41" s="21"/>
      <c r="GRC41" s="21"/>
      <c r="GRD41" s="21"/>
      <c r="GRE41" s="21"/>
      <c r="GRF41" s="21"/>
      <c r="GRG41" s="21"/>
      <c r="GRH41" s="21"/>
      <c r="GRI41" s="21"/>
      <c r="GRJ41" s="21"/>
      <c r="GRK41" s="21"/>
      <c r="GRL41" s="21"/>
      <c r="GRM41" s="21"/>
      <c r="GRN41" s="21"/>
      <c r="GRO41" s="21"/>
      <c r="GRP41" s="21"/>
      <c r="GRQ41" s="21"/>
      <c r="GRR41" s="21"/>
      <c r="GRS41" s="21"/>
      <c r="GRT41" s="21"/>
      <c r="GRU41" s="21"/>
      <c r="GRV41" s="21"/>
      <c r="GRW41" s="21"/>
      <c r="GRX41" s="21"/>
      <c r="GRY41" s="21"/>
      <c r="GRZ41" s="21"/>
      <c r="GSA41" s="21"/>
      <c r="GSB41" s="21"/>
      <c r="GSC41" s="21"/>
      <c r="GSD41" s="21"/>
      <c r="GSE41" s="21"/>
      <c r="GSF41" s="21"/>
      <c r="GSG41" s="21"/>
      <c r="GSH41" s="21"/>
      <c r="GSI41" s="21"/>
      <c r="GSJ41" s="21"/>
      <c r="GSK41" s="21"/>
      <c r="GSL41" s="21"/>
      <c r="GSM41" s="21"/>
      <c r="GSN41" s="21"/>
      <c r="GSO41" s="21"/>
      <c r="GSP41" s="21"/>
      <c r="GSQ41" s="21"/>
      <c r="GSR41" s="21"/>
      <c r="GSS41" s="21"/>
      <c r="GST41" s="21"/>
      <c r="GSU41" s="21"/>
      <c r="GSV41" s="21"/>
      <c r="GSW41" s="21"/>
      <c r="GSX41" s="21"/>
      <c r="GSY41" s="21"/>
      <c r="GSZ41" s="21"/>
      <c r="GTA41" s="21"/>
      <c r="GTB41" s="21"/>
      <c r="GTC41" s="21"/>
      <c r="GTD41" s="21"/>
      <c r="GTE41" s="21"/>
      <c r="GTF41" s="21"/>
      <c r="GTG41" s="21"/>
      <c r="GTH41" s="21"/>
      <c r="GTI41" s="21"/>
      <c r="GTJ41" s="21"/>
      <c r="GTK41" s="21"/>
      <c r="GTL41" s="21"/>
      <c r="GTM41" s="21"/>
      <c r="GTN41" s="21"/>
      <c r="GTO41" s="21"/>
      <c r="GTP41" s="21"/>
      <c r="GTQ41" s="21"/>
      <c r="GTR41" s="21"/>
      <c r="GTS41" s="21"/>
      <c r="GTT41" s="21"/>
      <c r="GTU41" s="21"/>
      <c r="GTV41" s="21"/>
      <c r="GTW41" s="21"/>
      <c r="GTX41" s="21"/>
      <c r="GTY41" s="21"/>
      <c r="GTZ41" s="21"/>
      <c r="GUA41" s="21"/>
      <c r="GUB41" s="21"/>
      <c r="GUC41" s="21"/>
      <c r="GUD41" s="21"/>
      <c r="GUE41" s="21"/>
      <c r="GUF41" s="21"/>
      <c r="GUG41" s="21"/>
      <c r="GUH41" s="21"/>
      <c r="GUI41" s="21"/>
      <c r="GUJ41" s="21"/>
      <c r="GUK41" s="21"/>
      <c r="GUL41" s="21"/>
      <c r="GUM41" s="21"/>
      <c r="GUN41" s="21"/>
      <c r="GUO41" s="21"/>
      <c r="GUP41" s="21"/>
      <c r="GUQ41" s="21"/>
      <c r="GUR41" s="21"/>
      <c r="GUS41" s="21"/>
      <c r="GUT41" s="21"/>
      <c r="GUU41" s="21"/>
      <c r="GUV41" s="21"/>
      <c r="GUW41" s="21"/>
      <c r="GUX41" s="21"/>
      <c r="GUY41" s="21"/>
      <c r="GUZ41" s="21"/>
      <c r="GVA41" s="21"/>
      <c r="GVB41" s="21"/>
      <c r="GVC41" s="21"/>
      <c r="GVD41" s="21"/>
      <c r="GVE41" s="21"/>
      <c r="GVF41" s="21"/>
      <c r="GVG41" s="21"/>
      <c r="GVH41" s="21"/>
      <c r="GVI41" s="21"/>
      <c r="GVJ41" s="21"/>
      <c r="GVK41" s="21"/>
      <c r="GVL41" s="21"/>
      <c r="GVM41" s="21"/>
      <c r="GVN41" s="21"/>
      <c r="GVO41" s="21"/>
      <c r="GVP41" s="21"/>
      <c r="GVQ41" s="21"/>
      <c r="GVR41" s="21"/>
      <c r="GVS41" s="21"/>
      <c r="GVT41" s="21"/>
      <c r="GVU41" s="21"/>
      <c r="GVV41" s="21"/>
      <c r="GVW41" s="21"/>
      <c r="GVX41" s="21"/>
      <c r="GVY41" s="21"/>
      <c r="GVZ41" s="21"/>
      <c r="GWA41" s="21"/>
      <c r="GWB41" s="21"/>
      <c r="GWC41" s="21"/>
      <c r="GWD41" s="21"/>
      <c r="GWE41" s="21"/>
      <c r="GWF41" s="21"/>
      <c r="GWG41" s="21"/>
      <c r="GWH41" s="21"/>
      <c r="GWI41" s="21"/>
      <c r="GWJ41" s="21"/>
      <c r="GWK41" s="21"/>
      <c r="GWL41" s="21"/>
      <c r="GWM41" s="21"/>
      <c r="GWN41" s="21"/>
      <c r="GWO41" s="21"/>
      <c r="GWP41" s="21"/>
      <c r="GWQ41" s="21"/>
      <c r="GWR41" s="21"/>
      <c r="GWS41" s="21"/>
      <c r="GWT41" s="21"/>
      <c r="GWU41" s="21"/>
      <c r="GWV41" s="21"/>
      <c r="GWW41" s="21"/>
      <c r="GWX41" s="21"/>
      <c r="GWY41" s="21"/>
      <c r="GWZ41" s="21"/>
      <c r="GXA41" s="21"/>
      <c r="GXB41" s="21"/>
      <c r="GXC41" s="21"/>
      <c r="GXD41" s="21"/>
      <c r="GXE41" s="21"/>
      <c r="GXF41" s="21"/>
      <c r="GXG41" s="21"/>
      <c r="GXH41" s="21"/>
      <c r="GXI41" s="21"/>
      <c r="GXJ41" s="21"/>
      <c r="GXK41" s="21"/>
      <c r="GXL41" s="21"/>
      <c r="GXM41" s="21"/>
      <c r="GXN41" s="21"/>
      <c r="GXO41" s="21"/>
      <c r="GXP41" s="21"/>
      <c r="GXQ41" s="21"/>
      <c r="GXR41" s="21"/>
      <c r="GXS41" s="21"/>
      <c r="GXT41" s="21"/>
      <c r="GXU41" s="21"/>
      <c r="GXV41" s="21"/>
      <c r="GXW41" s="21"/>
      <c r="GXX41" s="21"/>
      <c r="GXY41" s="21"/>
      <c r="GXZ41" s="21"/>
      <c r="GYA41" s="21"/>
      <c r="GYB41" s="21"/>
      <c r="GYC41" s="21"/>
      <c r="GYD41" s="21"/>
      <c r="GYE41" s="21"/>
      <c r="GYF41" s="21"/>
      <c r="GYG41" s="21"/>
      <c r="GYH41" s="21"/>
      <c r="GYI41" s="21"/>
      <c r="GYJ41" s="21"/>
      <c r="GYK41" s="21"/>
      <c r="GYL41" s="21"/>
      <c r="GYM41" s="21"/>
      <c r="GYN41" s="21"/>
      <c r="GYO41" s="21"/>
      <c r="GYP41" s="21"/>
      <c r="GYQ41" s="21"/>
      <c r="GYR41" s="21"/>
      <c r="GYS41" s="21"/>
      <c r="GYT41" s="21"/>
      <c r="GYU41" s="21"/>
      <c r="GYV41" s="21"/>
      <c r="GYW41" s="21"/>
      <c r="GYX41" s="21"/>
      <c r="GYY41" s="21"/>
      <c r="GYZ41" s="21"/>
      <c r="GZA41" s="21"/>
      <c r="GZB41" s="21"/>
      <c r="GZC41" s="21"/>
      <c r="GZD41" s="21"/>
      <c r="GZE41" s="21"/>
      <c r="GZF41" s="21"/>
      <c r="GZG41" s="21"/>
      <c r="GZH41" s="21"/>
      <c r="GZI41" s="21"/>
      <c r="GZJ41" s="21"/>
      <c r="GZK41" s="21"/>
      <c r="GZL41" s="21"/>
      <c r="GZM41" s="21"/>
      <c r="GZN41" s="21"/>
      <c r="GZO41" s="21"/>
      <c r="GZP41" s="21"/>
      <c r="GZQ41" s="21"/>
      <c r="GZR41" s="21"/>
      <c r="GZS41" s="21"/>
      <c r="GZT41" s="21"/>
      <c r="GZU41" s="21"/>
      <c r="GZV41" s="21"/>
      <c r="GZW41" s="21"/>
      <c r="GZX41" s="21"/>
      <c r="GZY41" s="21"/>
      <c r="GZZ41" s="21"/>
      <c r="HAA41" s="21"/>
      <c r="HAB41" s="21"/>
      <c r="HAC41" s="21"/>
      <c r="HAD41" s="21"/>
      <c r="HAE41" s="21"/>
      <c r="HAF41" s="21"/>
      <c r="HAG41" s="21"/>
      <c r="HAH41" s="21"/>
      <c r="HAI41" s="21"/>
      <c r="HAJ41" s="21"/>
      <c r="HAK41" s="21"/>
      <c r="HAL41" s="21"/>
      <c r="HAM41" s="21"/>
      <c r="HAN41" s="21"/>
      <c r="HAO41" s="21"/>
      <c r="HAP41" s="21"/>
      <c r="HAQ41" s="21"/>
      <c r="HAR41" s="21"/>
      <c r="HAS41" s="21"/>
      <c r="HAT41" s="21"/>
      <c r="HAU41" s="21"/>
      <c r="HAV41" s="21"/>
      <c r="HAW41" s="21"/>
      <c r="HAX41" s="21"/>
      <c r="HAY41" s="21"/>
      <c r="HAZ41" s="21"/>
      <c r="HBA41" s="21"/>
      <c r="HBB41" s="21"/>
      <c r="HBC41" s="21"/>
      <c r="HBD41" s="21"/>
      <c r="HBE41" s="21"/>
      <c r="HBF41" s="21"/>
      <c r="HBG41" s="21"/>
      <c r="HBH41" s="21"/>
      <c r="HBI41" s="21"/>
      <c r="HBJ41" s="21"/>
      <c r="HBK41" s="21"/>
      <c r="HBL41" s="21"/>
      <c r="HBM41" s="21"/>
      <c r="HBN41" s="21"/>
      <c r="HBO41" s="21"/>
      <c r="HBP41" s="21"/>
      <c r="HBQ41" s="21"/>
      <c r="HBR41" s="21"/>
      <c r="HBS41" s="21"/>
      <c r="HBT41" s="21"/>
      <c r="HBU41" s="21"/>
      <c r="HBV41" s="21"/>
      <c r="HBW41" s="21"/>
      <c r="HBX41" s="21"/>
      <c r="HBY41" s="21"/>
      <c r="HBZ41" s="21"/>
      <c r="HCA41" s="21"/>
      <c r="HCB41" s="21"/>
      <c r="HCC41" s="21"/>
      <c r="HCD41" s="21"/>
      <c r="HCE41" s="21"/>
      <c r="HCF41" s="21"/>
      <c r="HCG41" s="21"/>
      <c r="HCH41" s="21"/>
      <c r="HCI41" s="21"/>
      <c r="HCJ41" s="21"/>
      <c r="HCK41" s="21"/>
      <c r="HCL41" s="21"/>
      <c r="HCM41" s="21"/>
      <c r="HCN41" s="21"/>
      <c r="HCO41" s="21"/>
      <c r="HCP41" s="21"/>
      <c r="HCQ41" s="21"/>
      <c r="HCR41" s="21"/>
      <c r="HCS41" s="21"/>
      <c r="HCT41" s="21"/>
      <c r="HCU41" s="21"/>
      <c r="HCV41" s="21"/>
      <c r="HCW41" s="21"/>
      <c r="HCX41" s="21"/>
      <c r="HCY41" s="21"/>
      <c r="HCZ41" s="21"/>
      <c r="HDA41" s="21"/>
      <c r="HDB41" s="21"/>
      <c r="HDC41" s="21"/>
      <c r="HDD41" s="21"/>
      <c r="HDE41" s="21"/>
      <c r="HDF41" s="21"/>
      <c r="HDG41" s="21"/>
      <c r="HDH41" s="21"/>
      <c r="HDI41" s="21"/>
      <c r="HDJ41" s="21"/>
      <c r="HDK41" s="21"/>
      <c r="HDL41" s="21"/>
      <c r="HDM41" s="21"/>
      <c r="HDN41" s="21"/>
      <c r="HDO41" s="21"/>
      <c r="HDP41" s="21"/>
      <c r="HDQ41" s="21"/>
      <c r="HDR41" s="21"/>
      <c r="HDS41" s="21"/>
      <c r="HDT41" s="21"/>
      <c r="HDU41" s="21"/>
      <c r="HDV41" s="21"/>
      <c r="HDW41" s="21"/>
      <c r="HDX41" s="21"/>
      <c r="HDY41" s="21"/>
      <c r="HDZ41" s="21"/>
      <c r="HEA41" s="21"/>
      <c r="HEB41" s="21"/>
      <c r="HEC41" s="21"/>
      <c r="HED41" s="21"/>
      <c r="HEE41" s="21"/>
      <c r="HEF41" s="21"/>
      <c r="HEG41" s="21"/>
      <c r="HEH41" s="21"/>
      <c r="HEI41" s="21"/>
      <c r="HEJ41" s="21"/>
      <c r="HEK41" s="21"/>
      <c r="HEL41" s="21"/>
      <c r="HEM41" s="21"/>
      <c r="HEN41" s="21"/>
      <c r="HEO41" s="21"/>
      <c r="HEP41" s="21"/>
      <c r="HEQ41" s="21"/>
      <c r="HER41" s="21"/>
      <c r="HES41" s="21"/>
      <c r="HET41" s="21"/>
      <c r="HEU41" s="21"/>
      <c r="HEV41" s="21"/>
      <c r="HEW41" s="21"/>
      <c r="HEX41" s="21"/>
      <c r="HEY41" s="21"/>
      <c r="HEZ41" s="21"/>
      <c r="HFA41" s="21"/>
      <c r="HFB41" s="21"/>
      <c r="HFC41" s="21"/>
      <c r="HFD41" s="21"/>
      <c r="HFE41" s="21"/>
      <c r="HFF41" s="21"/>
      <c r="HFG41" s="21"/>
      <c r="HFH41" s="21"/>
      <c r="HFI41" s="21"/>
      <c r="HFJ41" s="21"/>
      <c r="HFK41" s="21"/>
      <c r="HFL41" s="21"/>
      <c r="HFM41" s="21"/>
      <c r="HFN41" s="21"/>
      <c r="HFO41" s="21"/>
      <c r="HFP41" s="21"/>
      <c r="HFQ41" s="21"/>
      <c r="HFR41" s="21"/>
      <c r="HFS41" s="21"/>
      <c r="HFT41" s="21"/>
      <c r="HFU41" s="21"/>
      <c r="HFV41" s="21"/>
      <c r="HFW41" s="21"/>
      <c r="HFX41" s="21"/>
      <c r="HFY41" s="21"/>
      <c r="HFZ41" s="21"/>
      <c r="HGA41" s="21"/>
      <c r="HGB41" s="21"/>
      <c r="HGC41" s="21"/>
      <c r="HGD41" s="21"/>
      <c r="HGE41" s="21"/>
      <c r="HGF41" s="21"/>
      <c r="HGG41" s="21"/>
      <c r="HGH41" s="21"/>
      <c r="HGI41" s="21"/>
      <c r="HGJ41" s="21"/>
      <c r="HGK41" s="21"/>
      <c r="HGL41" s="21"/>
      <c r="HGM41" s="21"/>
      <c r="HGN41" s="21"/>
      <c r="HGO41" s="21"/>
      <c r="HGP41" s="21"/>
      <c r="HGQ41" s="21"/>
      <c r="HGR41" s="21"/>
      <c r="HGS41" s="21"/>
      <c r="HGT41" s="21"/>
      <c r="HGU41" s="21"/>
      <c r="HGV41" s="21"/>
      <c r="HGW41" s="21"/>
      <c r="HGX41" s="21"/>
      <c r="HGY41" s="21"/>
      <c r="HGZ41" s="21"/>
      <c r="HHA41" s="21"/>
      <c r="HHB41" s="21"/>
      <c r="HHC41" s="21"/>
      <c r="HHD41" s="21"/>
      <c r="HHE41" s="21"/>
      <c r="HHF41" s="21"/>
      <c r="HHG41" s="21"/>
      <c r="HHH41" s="21"/>
      <c r="HHI41" s="21"/>
      <c r="HHJ41" s="21"/>
      <c r="HHK41" s="21"/>
      <c r="HHL41" s="21"/>
      <c r="HHM41" s="21"/>
      <c r="HHN41" s="21"/>
      <c r="HHO41" s="21"/>
      <c r="HHP41" s="21"/>
      <c r="HHQ41" s="21"/>
      <c r="HHR41" s="21"/>
      <c r="HHS41" s="21"/>
      <c r="HHT41" s="21"/>
      <c r="HHU41" s="21"/>
      <c r="HHV41" s="21"/>
      <c r="HHW41" s="21"/>
      <c r="HHX41" s="21"/>
      <c r="HHY41" s="21"/>
      <c r="HHZ41" s="21"/>
      <c r="HIA41" s="21"/>
      <c r="HIB41" s="21"/>
      <c r="HIC41" s="21"/>
      <c r="HID41" s="21"/>
      <c r="HIE41" s="21"/>
      <c r="HIF41" s="21"/>
      <c r="HIG41" s="21"/>
      <c r="HIH41" s="21"/>
      <c r="HII41" s="21"/>
      <c r="HIJ41" s="21"/>
      <c r="HIK41" s="21"/>
      <c r="HIL41" s="21"/>
      <c r="HIM41" s="21"/>
      <c r="HIN41" s="21"/>
      <c r="HIO41" s="21"/>
      <c r="HIP41" s="21"/>
      <c r="HIQ41" s="21"/>
      <c r="HIR41" s="21"/>
      <c r="HIS41" s="21"/>
      <c r="HIT41" s="21"/>
      <c r="HIU41" s="21"/>
      <c r="HIV41" s="21"/>
      <c r="HIW41" s="21"/>
      <c r="HIX41" s="21"/>
      <c r="HIY41" s="21"/>
      <c r="HIZ41" s="21"/>
      <c r="HJA41" s="21"/>
      <c r="HJB41" s="21"/>
      <c r="HJC41" s="21"/>
      <c r="HJD41" s="21"/>
      <c r="HJE41" s="21"/>
      <c r="HJF41" s="21"/>
      <c r="HJG41" s="21"/>
      <c r="HJH41" s="21"/>
      <c r="HJI41" s="21"/>
      <c r="HJJ41" s="21"/>
      <c r="HJK41" s="21"/>
      <c r="HJL41" s="21"/>
      <c r="HJM41" s="21"/>
      <c r="HJN41" s="21"/>
      <c r="HJO41" s="21"/>
      <c r="HJP41" s="21"/>
      <c r="HJQ41" s="21"/>
      <c r="HJR41" s="21"/>
      <c r="HJS41" s="21"/>
      <c r="HJT41" s="21"/>
      <c r="HJU41" s="21"/>
      <c r="HJV41" s="21"/>
      <c r="HJW41" s="21"/>
      <c r="HJX41" s="21"/>
      <c r="HJY41" s="21"/>
      <c r="HJZ41" s="21"/>
      <c r="HKA41" s="21"/>
      <c r="HKB41" s="21"/>
      <c r="HKC41" s="21"/>
      <c r="HKD41" s="21"/>
      <c r="HKE41" s="21"/>
      <c r="HKF41" s="21"/>
      <c r="HKG41" s="21"/>
      <c r="HKH41" s="21"/>
      <c r="HKI41" s="21"/>
      <c r="HKJ41" s="21"/>
      <c r="HKK41" s="21"/>
      <c r="HKL41" s="21"/>
      <c r="HKM41" s="21"/>
      <c r="HKN41" s="21"/>
      <c r="HKO41" s="21"/>
      <c r="HKP41" s="21"/>
      <c r="HKQ41" s="21"/>
      <c r="HKR41" s="21"/>
      <c r="HKS41" s="21"/>
      <c r="HKT41" s="21"/>
      <c r="HKU41" s="21"/>
      <c r="HKV41" s="21"/>
      <c r="HKW41" s="21"/>
      <c r="HKX41" s="21"/>
      <c r="HKY41" s="21"/>
      <c r="HKZ41" s="21"/>
      <c r="HLA41" s="21"/>
      <c r="HLB41" s="21"/>
      <c r="HLC41" s="21"/>
      <c r="HLD41" s="21"/>
      <c r="HLE41" s="21"/>
      <c r="HLF41" s="21"/>
      <c r="HLG41" s="21"/>
      <c r="HLH41" s="21"/>
      <c r="HLI41" s="21"/>
      <c r="HLJ41" s="21"/>
      <c r="HLK41" s="21"/>
      <c r="HLL41" s="21"/>
      <c r="HLM41" s="21"/>
      <c r="HLN41" s="21"/>
      <c r="HLO41" s="21"/>
      <c r="HLP41" s="21"/>
      <c r="HLQ41" s="21"/>
      <c r="HLR41" s="21"/>
      <c r="HLS41" s="21"/>
      <c r="HLT41" s="21"/>
      <c r="HLU41" s="21"/>
      <c r="HLV41" s="21"/>
      <c r="HLW41" s="21"/>
      <c r="HLX41" s="21"/>
      <c r="HLY41" s="21"/>
      <c r="HLZ41" s="21"/>
      <c r="HMA41" s="21"/>
      <c r="HMB41" s="21"/>
      <c r="HMC41" s="21"/>
      <c r="HMD41" s="21"/>
      <c r="HME41" s="21"/>
      <c r="HMF41" s="21"/>
      <c r="HMG41" s="21"/>
      <c r="HMH41" s="21"/>
      <c r="HMI41" s="21"/>
      <c r="HMJ41" s="21"/>
      <c r="HMK41" s="21"/>
      <c r="HML41" s="21"/>
      <c r="HMM41" s="21"/>
      <c r="HMN41" s="21"/>
      <c r="HMO41" s="21"/>
      <c r="HMP41" s="21"/>
      <c r="HMQ41" s="21"/>
      <c r="HMR41" s="21"/>
      <c r="HMS41" s="21"/>
      <c r="HMT41" s="21"/>
      <c r="HMU41" s="21"/>
      <c r="HMV41" s="21"/>
      <c r="HMW41" s="21"/>
      <c r="HMX41" s="21"/>
      <c r="HMY41" s="21"/>
      <c r="HMZ41" s="21"/>
      <c r="HNA41" s="21"/>
      <c r="HNB41" s="21"/>
      <c r="HNC41" s="21"/>
      <c r="HND41" s="21"/>
      <c r="HNE41" s="21"/>
      <c r="HNF41" s="21"/>
      <c r="HNG41" s="21"/>
      <c r="HNH41" s="21"/>
      <c r="HNI41" s="21"/>
      <c r="HNJ41" s="21"/>
      <c r="HNK41" s="21"/>
      <c r="HNL41" s="21"/>
      <c r="HNM41" s="21"/>
      <c r="HNN41" s="21"/>
      <c r="HNO41" s="21"/>
      <c r="HNP41" s="21"/>
      <c r="HNQ41" s="21"/>
      <c r="HNR41" s="21"/>
      <c r="HNS41" s="21"/>
      <c r="HNT41" s="21"/>
      <c r="HNU41" s="21"/>
      <c r="HNV41" s="21"/>
      <c r="HNW41" s="21"/>
      <c r="HNX41" s="21"/>
      <c r="HNY41" s="21"/>
      <c r="HNZ41" s="21"/>
      <c r="HOA41" s="21"/>
      <c r="HOB41" s="21"/>
      <c r="HOC41" s="21"/>
      <c r="HOD41" s="21"/>
      <c r="HOE41" s="21"/>
      <c r="HOF41" s="21"/>
      <c r="HOG41" s="21"/>
      <c r="HOH41" s="21"/>
      <c r="HOI41" s="21"/>
      <c r="HOJ41" s="21"/>
      <c r="HOK41" s="21"/>
      <c r="HOL41" s="21"/>
      <c r="HOM41" s="21"/>
      <c r="HON41" s="21"/>
      <c r="HOO41" s="21"/>
      <c r="HOP41" s="21"/>
      <c r="HOQ41" s="21"/>
      <c r="HOR41" s="21"/>
      <c r="HOS41" s="21"/>
      <c r="HOT41" s="21"/>
      <c r="HOU41" s="21"/>
      <c r="HOV41" s="21"/>
      <c r="HOW41" s="21"/>
      <c r="HOX41" s="21"/>
      <c r="HOY41" s="21"/>
      <c r="HOZ41" s="21"/>
      <c r="HPA41" s="21"/>
      <c r="HPB41" s="21"/>
      <c r="HPC41" s="21"/>
      <c r="HPD41" s="21"/>
      <c r="HPE41" s="21"/>
      <c r="HPF41" s="21"/>
      <c r="HPG41" s="21"/>
      <c r="HPH41" s="21"/>
      <c r="HPI41" s="21"/>
      <c r="HPJ41" s="21"/>
      <c r="HPK41" s="21"/>
      <c r="HPL41" s="21"/>
      <c r="HPM41" s="21"/>
      <c r="HPN41" s="21"/>
      <c r="HPO41" s="21"/>
      <c r="HPP41" s="21"/>
      <c r="HPQ41" s="21"/>
      <c r="HPR41" s="21"/>
      <c r="HPS41" s="21"/>
      <c r="HPT41" s="21"/>
      <c r="HPU41" s="21"/>
      <c r="HPV41" s="21"/>
      <c r="HPW41" s="21"/>
      <c r="HPX41" s="21"/>
      <c r="HPY41" s="21"/>
      <c r="HPZ41" s="21"/>
      <c r="HQA41" s="21"/>
      <c r="HQB41" s="21"/>
      <c r="HQC41" s="21"/>
      <c r="HQD41" s="21"/>
      <c r="HQE41" s="21"/>
      <c r="HQF41" s="21"/>
      <c r="HQG41" s="21"/>
      <c r="HQH41" s="21"/>
      <c r="HQI41" s="21"/>
      <c r="HQJ41" s="21"/>
      <c r="HQK41" s="21"/>
      <c r="HQL41" s="21"/>
      <c r="HQM41" s="21"/>
      <c r="HQN41" s="21"/>
      <c r="HQO41" s="21"/>
      <c r="HQP41" s="21"/>
      <c r="HQQ41" s="21"/>
      <c r="HQR41" s="21"/>
      <c r="HQS41" s="21"/>
      <c r="HQT41" s="21"/>
      <c r="HQU41" s="21"/>
      <c r="HQV41" s="21"/>
      <c r="HQW41" s="21"/>
      <c r="HQX41" s="21"/>
      <c r="HQY41" s="21"/>
      <c r="HQZ41" s="21"/>
      <c r="HRA41" s="21"/>
      <c r="HRB41" s="21"/>
      <c r="HRC41" s="21"/>
      <c r="HRD41" s="21"/>
      <c r="HRE41" s="21"/>
      <c r="HRF41" s="21"/>
      <c r="HRG41" s="21"/>
      <c r="HRH41" s="21"/>
      <c r="HRI41" s="21"/>
      <c r="HRJ41" s="21"/>
      <c r="HRK41" s="21"/>
      <c r="HRL41" s="21"/>
      <c r="HRM41" s="21"/>
      <c r="HRN41" s="21"/>
      <c r="HRO41" s="21"/>
      <c r="HRP41" s="21"/>
      <c r="HRQ41" s="21"/>
      <c r="HRR41" s="21"/>
      <c r="HRS41" s="21"/>
      <c r="HRT41" s="21"/>
      <c r="HRU41" s="21"/>
      <c r="HRV41" s="21"/>
      <c r="HRW41" s="21"/>
      <c r="HRX41" s="21"/>
      <c r="HRY41" s="21"/>
      <c r="HRZ41" s="21"/>
      <c r="HSA41" s="21"/>
      <c r="HSB41" s="21"/>
      <c r="HSC41" s="21"/>
      <c r="HSD41" s="21"/>
      <c r="HSE41" s="21"/>
      <c r="HSF41" s="21"/>
      <c r="HSG41" s="21"/>
      <c r="HSH41" s="21"/>
      <c r="HSI41" s="21"/>
      <c r="HSJ41" s="21"/>
      <c r="HSK41" s="21"/>
      <c r="HSL41" s="21"/>
      <c r="HSM41" s="21"/>
      <c r="HSN41" s="21"/>
      <c r="HSO41" s="21"/>
      <c r="HSP41" s="21"/>
      <c r="HSQ41" s="21"/>
      <c r="HSR41" s="21"/>
      <c r="HSS41" s="21"/>
      <c r="HST41" s="21"/>
      <c r="HSU41" s="21"/>
      <c r="HSV41" s="21"/>
      <c r="HSW41" s="21"/>
      <c r="HSX41" s="21"/>
      <c r="HSY41" s="21"/>
      <c r="HSZ41" s="21"/>
      <c r="HTA41" s="21"/>
      <c r="HTB41" s="21"/>
      <c r="HTC41" s="21"/>
      <c r="HTD41" s="21"/>
      <c r="HTE41" s="21"/>
      <c r="HTF41" s="21"/>
      <c r="HTG41" s="21"/>
      <c r="HTH41" s="21"/>
      <c r="HTI41" s="21"/>
      <c r="HTJ41" s="21"/>
      <c r="HTK41" s="21"/>
      <c r="HTL41" s="21"/>
      <c r="HTM41" s="21"/>
      <c r="HTN41" s="21"/>
      <c r="HTO41" s="21"/>
      <c r="HTP41" s="21"/>
      <c r="HTQ41" s="21"/>
      <c r="HTR41" s="21"/>
      <c r="HTS41" s="21"/>
      <c r="HTT41" s="21"/>
      <c r="HTU41" s="21"/>
      <c r="HTV41" s="21"/>
      <c r="HTW41" s="21"/>
      <c r="HTX41" s="21"/>
      <c r="HTY41" s="21"/>
      <c r="HTZ41" s="21"/>
      <c r="HUA41" s="21"/>
      <c r="HUB41" s="21"/>
      <c r="HUC41" s="21"/>
      <c r="HUD41" s="21"/>
      <c r="HUE41" s="21"/>
      <c r="HUF41" s="21"/>
      <c r="HUG41" s="21"/>
      <c r="HUH41" s="21"/>
      <c r="HUI41" s="21"/>
      <c r="HUJ41" s="21"/>
      <c r="HUK41" s="21"/>
      <c r="HUL41" s="21"/>
      <c r="HUM41" s="21"/>
      <c r="HUN41" s="21"/>
      <c r="HUO41" s="21"/>
      <c r="HUP41" s="21"/>
      <c r="HUQ41" s="21"/>
      <c r="HUR41" s="21"/>
      <c r="HUS41" s="21"/>
      <c r="HUT41" s="21"/>
      <c r="HUU41" s="21"/>
      <c r="HUV41" s="21"/>
      <c r="HUW41" s="21"/>
      <c r="HUX41" s="21"/>
      <c r="HUY41" s="21"/>
      <c r="HUZ41" s="21"/>
      <c r="HVA41" s="21"/>
      <c r="HVB41" s="21"/>
      <c r="HVC41" s="21"/>
      <c r="HVD41" s="21"/>
      <c r="HVE41" s="21"/>
      <c r="HVF41" s="21"/>
      <c r="HVG41" s="21"/>
      <c r="HVH41" s="21"/>
      <c r="HVI41" s="21"/>
      <c r="HVJ41" s="21"/>
      <c r="HVK41" s="21"/>
      <c r="HVL41" s="21"/>
      <c r="HVM41" s="21"/>
      <c r="HVN41" s="21"/>
      <c r="HVO41" s="21"/>
      <c r="HVP41" s="21"/>
      <c r="HVQ41" s="21"/>
      <c r="HVR41" s="21"/>
      <c r="HVS41" s="21"/>
      <c r="HVT41" s="21"/>
      <c r="HVU41" s="21"/>
      <c r="HVV41" s="21"/>
      <c r="HVW41" s="21"/>
      <c r="HVX41" s="21"/>
      <c r="HVY41" s="21"/>
      <c r="HVZ41" s="21"/>
      <c r="HWA41" s="21"/>
      <c r="HWB41" s="21"/>
      <c r="HWC41" s="21"/>
      <c r="HWD41" s="21"/>
      <c r="HWE41" s="21"/>
      <c r="HWF41" s="21"/>
      <c r="HWG41" s="21"/>
      <c r="HWH41" s="21"/>
      <c r="HWI41" s="21"/>
      <c r="HWJ41" s="21"/>
      <c r="HWK41" s="21"/>
      <c r="HWL41" s="21"/>
      <c r="HWM41" s="21"/>
      <c r="HWN41" s="21"/>
      <c r="HWO41" s="21"/>
      <c r="HWP41" s="21"/>
      <c r="HWQ41" s="21"/>
      <c r="HWR41" s="21"/>
      <c r="HWS41" s="21"/>
      <c r="HWT41" s="21"/>
      <c r="HWU41" s="21"/>
      <c r="HWV41" s="21"/>
      <c r="HWW41" s="21"/>
      <c r="HWX41" s="21"/>
      <c r="HWY41" s="21"/>
      <c r="HWZ41" s="21"/>
      <c r="HXA41" s="21"/>
      <c r="HXB41" s="21"/>
      <c r="HXC41" s="21"/>
      <c r="HXD41" s="21"/>
      <c r="HXE41" s="21"/>
      <c r="HXF41" s="21"/>
      <c r="HXG41" s="21"/>
      <c r="HXH41" s="21"/>
      <c r="HXI41" s="21"/>
      <c r="HXJ41" s="21"/>
      <c r="HXK41" s="21"/>
      <c r="HXL41" s="21"/>
      <c r="HXM41" s="21"/>
      <c r="HXN41" s="21"/>
      <c r="HXO41" s="21"/>
      <c r="HXP41" s="21"/>
      <c r="HXQ41" s="21"/>
      <c r="HXR41" s="21"/>
      <c r="HXS41" s="21"/>
      <c r="HXT41" s="21"/>
      <c r="HXU41" s="21"/>
      <c r="HXV41" s="21"/>
      <c r="HXW41" s="21"/>
      <c r="HXX41" s="21"/>
      <c r="HXY41" s="21"/>
      <c r="HXZ41" s="21"/>
      <c r="HYA41" s="21"/>
      <c r="HYB41" s="21"/>
      <c r="HYC41" s="21"/>
      <c r="HYD41" s="21"/>
      <c r="HYE41" s="21"/>
      <c r="HYF41" s="21"/>
      <c r="HYG41" s="21"/>
      <c r="HYH41" s="21"/>
      <c r="HYI41" s="21"/>
      <c r="HYJ41" s="21"/>
      <c r="HYK41" s="21"/>
      <c r="HYL41" s="21"/>
      <c r="HYM41" s="21"/>
      <c r="HYN41" s="21"/>
      <c r="HYO41" s="21"/>
      <c r="HYP41" s="21"/>
      <c r="HYQ41" s="21"/>
      <c r="HYR41" s="21"/>
      <c r="HYS41" s="21"/>
      <c r="HYT41" s="21"/>
      <c r="HYU41" s="21"/>
      <c r="HYV41" s="21"/>
      <c r="HYW41" s="21"/>
      <c r="HYX41" s="21"/>
      <c r="HYY41" s="21"/>
      <c r="HYZ41" s="21"/>
      <c r="HZA41" s="21"/>
      <c r="HZB41" s="21"/>
      <c r="HZC41" s="21"/>
      <c r="HZD41" s="21"/>
      <c r="HZE41" s="21"/>
      <c r="HZF41" s="21"/>
      <c r="HZG41" s="21"/>
      <c r="HZH41" s="21"/>
      <c r="HZI41" s="21"/>
      <c r="HZJ41" s="21"/>
      <c r="HZK41" s="21"/>
      <c r="HZL41" s="21"/>
      <c r="HZM41" s="21"/>
      <c r="HZN41" s="21"/>
      <c r="HZO41" s="21"/>
      <c r="HZP41" s="21"/>
      <c r="HZQ41" s="21"/>
      <c r="HZR41" s="21"/>
      <c r="HZS41" s="21"/>
      <c r="HZT41" s="21"/>
      <c r="HZU41" s="21"/>
      <c r="HZV41" s="21"/>
      <c r="HZW41" s="21"/>
      <c r="HZX41" s="21"/>
      <c r="HZY41" s="21"/>
      <c r="HZZ41" s="21"/>
      <c r="IAA41" s="21"/>
      <c r="IAB41" s="21"/>
      <c r="IAC41" s="21"/>
      <c r="IAD41" s="21"/>
      <c r="IAE41" s="21"/>
      <c r="IAF41" s="21"/>
      <c r="IAG41" s="21"/>
      <c r="IAH41" s="21"/>
      <c r="IAI41" s="21"/>
      <c r="IAJ41" s="21"/>
      <c r="IAK41" s="21"/>
      <c r="IAL41" s="21"/>
      <c r="IAM41" s="21"/>
      <c r="IAN41" s="21"/>
      <c r="IAO41" s="21"/>
      <c r="IAP41" s="21"/>
      <c r="IAQ41" s="21"/>
      <c r="IAR41" s="21"/>
      <c r="IAS41" s="21"/>
      <c r="IAT41" s="21"/>
      <c r="IAU41" s="21"/>
      <c r="IAV41" s="21"/>
      <c r="IAW41" s="21"/>
      <c r="IAX41" s="21"/>
      <c r="IAY41" s="21"/>
      <c r="IAZ41" s="21"/>
      <c r="IBA41" s="21"/>
      <c r="IBB41" s="21"/>
      <c r="IBC41" s="21"/>
      <c r="IBD41" s="21"/>
      <c r="IBE41" s="21"/>
      <c r="IBF41" s="21"/>
      <c r="IBG41" s="21"/>
      <c r="IBH41" s="21"/>
      <c r="IBI41" s="21"/>
      <c r="IBJ41" s="21"/>
      <c r="IBK41" s="21"/>
      <c r="IBL41" s="21"/>
      <c r="IBM41" s="21"/>
      <c r="IBN41" s="21"/>
      <c r="IBO41" s="21"/>
      <c r="IBP41" s="21"/>
      <c r="IBQ41" s="21"/>
      <c r="IBR41" s="21"/>
      <c r="IBS41" s="21"/>
      <c r="IBT41" s="21"/>
      <c r="IBU41" s="21"/>
      <c r="IBV41" s="21"/>
      <c r="IBW41" s="21"/>
      <c r="IBX41" s="21"/>
      <c r="IBY41" s="21"/>
      <c r="IBZ41" s="21"/>
      <c r="ICA41" s="21"/>
      <c r="ICB41" s="21"/>
      <c r="ICC41" s="21"/>
      <c r="ICD41" s="21"/>
      <c r="ICE41" s="21"/>
      <c r="ICF41" s="21"/>
      <c r="ICG41" s="21"/>
      <c r="ICH41" s="21"/>
      <c r="ICI41" s="21"/>
      <c r="ICJ41" s="21"/>
      <c r="ICK41" s="21"/>
      <c r="ICL41" s="21"/>
      <c r="ICM41" s="21"/>
      <c r="ICN41" s="21"/>
      <c r="ICO41" s="21"/>
      <c r="ICP41" s="21"/>
      <c r="ICQ41" s="21"/>
      <c r="ICR41" s="21"/>
      <c r="ICS41" s="21"/>
      <c r="ICT41" s="21"/>
      <c r="ICU41" s="21"/>
      <c r="ICV41" s="21"/>
      <c r="ICW41" s="21"/>
      <c r="ICX41" s="21"/>
      <c r="ICY41" s="21"/>
      <c r="ICZ41" s="21"/>
      <c r="IDA41" s="21"/>
      <c r="IDB41" s="21"/>
      <c r="IDC41" s="21"/>
      <c r="IDD41" s="21"/>
      <c r="IDE41" s="21"/>
      <c r="IDF41" s="21"/>
      <c r="IDG41" s="21"/>
      <c r="IDH41" s="21"/>
      <c r="IDI41" s="21"/>
      <c r="IDJ41" s="21"/>
      <c r="IDK41" s="21"/>
      <c r="IDL41" s="21"/>
      <c r="IDM41" s="21"/>
      <c r="IDN41" s="21"/>
      <c r="IDO41" s="21"/>
      <c r="IDP41" s="21"/>
      <c r="IDQ41" s="21"/>
      <c r="IDR41" s="21"/>
      <c r="IDS41" s="21"/>
      <c r="IDT41" s="21"/>
      <c r="IDU41" s="21"/>
      <c r="IDV41" s="21"/>
      <c r="IDW41" s="21"/>
      <c r="IDX41" s="21"/>
      <c r="IDY41" s="21"/>
      <c r="IDZ41" s="21"/>
      <c r="IEA41" s="21"/>
      <c r="IEB41" s="21"/>
      <c r="IEC41" s="21"/>
      <c r="IED41" s="21"/>
      <c r="IEE41" s="21"/>
      <c r="IEF41" s="21"/>
      <c r="IEG41" s="21"/>
      <c r="IEH41" s="21"/>
      <c r="IEI41" s="21"/>
      <c r="IEJ41" s="21"/>
      <c r="IEK41" s="21"/>
      <c r="IEL41" s="21"/>
      <c r="IEM41" s="21"/>
      <c r="IEN41" s="21"/>
      <c r="IEO41" s="21"/>
      <c r="IEP41" s="21"/>
      <c r="IEQ41" s="21"/>
      <c r="IER41" s="21"/>
      <c r="IES41" s="21"/>
      <c r="IET41" s="21"/>
      <c r="IEU41" s="21"/>
      <c r="IEV41" s="21"/>
      <c r="IEW41" s="21"/>
      <c r="IEX41" s="21"/>
      <c r="IEY41" s="21"/>
      <c r="IEZ41" s="21"/>
      <c r="IFA41" s="21"/>
      <c r="IFB41" s="21"/>
      <c r="IFC41" s="21"/>
      <c r="IFD41" s="21"/>
      <c r="IFE41" s="21"/>
      <c r="IFF41" s="21"/>
      <c r="IFG41" s="21"/>
      <c r="IFH41" s="21"/>
      <c r="IFI41" s="21"/>
      <c r="IFJ41" s="21"/>
      <c r="IFK41" s="21"/>
      <c r="IFL41" s="21"/>
      <c r="IFM41" s="21"/>
      <c r="IFN41" s="21"/>
      <c r="IFO41" s="21"/>
      <c r="IFP41" s="21"/>
      <c r="IFQ41" s="21"/>
      <c r="IFR41" s="21"/>
      <c r="IFS41" s="21"/>
      <c r="IFT41" s="21"/>
      <c r="IFU41" s="21"/>
      <c r="IFV41" s="21"/>
      <c r="IFW41" s="21"/>
      <c r="IFX41" s="21"/>
      <c r="IFY41" s="21"/>
      <c r="IFZ41" s="21"/>
      <c r="IGA41" s="21"/>
      <c r="IGB41" s="21"/>
      <c r="IGC41" s="21"/>
      <c r="IGD41" s="21"/>
      <c r="IGE41" s="21"/>
      <c r="IGF41" s="21"/>
      <c r="IGG41" s="21"/>
      <c r="IGH41" s="21"/>
      <c r="IGI41" s="21"/>
      <c r="IGJ41" s="21"/>
      <c r="IGK41" s="21"/>
      <c r="IGL41" s="21"/>
      <c r="IGM41" s="21"/>
      <c r="IGN41" s="21"/>
      <c r="IGO41" s="21"/>
      <c r="IGP41" s="21"/>
      <c r="IGQ41" s="21"/>
      <c r="IGR41" s="21"/>
      <c r="IGS41" s="21"/>
      <c r="IGT41" s="21"/>
      <c r="IGU41" s="21"/>
      <c r="IGV41" s="21"/>
      <c r="IGW41" s="21"/>
      <c r="IGX41" s="21"/>
      <c r="IGY41" s="21"/>
      <c r="IGZ41" s="21"/>
      <c r="IHA41" s="21"/>
      <c r="IHB41" s="21"/>
      <c r="IHC41" s="21"/>
      <c r="IHD41" s="21"/>
      <c r="IHE41" s="21"/>
      <c r="IHF41" s="21"/>
      <c r="IHG41" s="21"/>
      <c r="IHH41" s="21"/>
      <c r="IHI41" s="21"/>
      <c r="IHJ41" s="21"/>
      <c r="IHK41" s="21"/>
      <c r="IHL41" s="21"/>
      <c r="IHM41" s="21"/>
      <c r="IHN41" s="21"/>
      <c r="IHO41" s="21"/>
      <c r="IHP41" s="21"/>
      <c r="IHQ41" s="21"/>
      <c r="IHR41" s="21"/>
      <c r="IHS41" s="21"/>
      <c r="IHT41" s="21"/>
      <c r="IHU41" s="21"/>
      <c r="IHV41" s="21"/>
      <c r="IHW41" s="21"/>
      <c r="IHX41" s="21"/>
      <c r="IHY41" s="21"/>
      <c r="IHZ41" s="21"/>
      <c r="IIA41" s="21"/>
      <c r="IIB41" s="21"/>
      <c r="IIC41" s="21"/>
      <c r="IID41" s="21"/>
      <c r="IIE41" s="21"/>
      <c r="IIF41" s="21"/>
      <c r="IIG41" s="21"/>
      <c r="IIH41" s="21"/>
      <c r="III41" s="21"/>
      <c r="IIJ41" s="21"/>
      <c r="IIK41" s="21"/>
      <c r="IIL41" s="21"/>
      <c r="IIM41" s="21"/>
      <c r="IIN41" s="21"/>
      <c r="IIO41" s="21"/>
      <c r="IIP41" s="21"/>
      <c r="IIQ41" s="21"/>
      <c r="IIR41" s="21"/>
      <c r="IIS41" s="21"/>
      <c r="IIT41" s="21"/>
      <c r="IIU41" s="21"/>
      <c r="IIV41" s="21"/>
      <c r="IIW41" s="21"/>
      <c r="IIX41" s="21"/>
      <c r="IIY41" s="21"/>
      <c r="IIZ41" s="21"/>
      <c r="IJA41" s="21"/>
      <c r="IJB41" s="21"/>
      <c r="IJC41" s="21"/>
      <c r="IJD41" s="21"/>
      <c r="IJE41" s="21"/>
      <c r="IJF41" s="21"/>
      <c r="IJG41" s="21"/>
      <c r="IJH41" s="21"/>
      <c r="IJI41" s="21"/>
      <c r="IJJ41" s="21"/>
      <c r="IJK41" s="21"/>
      <c r="IJL41" s="21"/>
      <c r="IJM41" s="21"/>
      <c r="IJN41" s="21"/>
      <c r="IJO41" s="21"/>
      <c r="IJP41" s="21"/>
      <c r="IJQ41" s="21"/>
      <c r="IJR41" s="21"/>
      <c r="IJS41" s="21"/>
      <c r="IJT41" s="21"/>
      <c r="IJU41" s="21"/>
      <c r="IJV41" s="21"/>
      <c r="IJW41" s="21"/>
      <c r="IJX41" s="21"/>
      <c r="IJY41" s="21"/>
      <c r="IJZ41" s="21"/>
      <c r="IKA41" s="21"/>
      <c r="IKB41" s="21"/>
      <c r="IKC41" s="21"/>
      <c r="IKD41" s="21"/>
      <c r="IKE41" s="21"/>
      <c r="IKF41" s="21"/>
      <c r="IKG41" s="21"/>
      <c r="IKH41" s="21"/>
      <c r="IKI41" s="21"/>
      <c r="IKJ41" s="21"/>
      <c r="IKK41" s="21"/>
      <c r="IKL41" s="21"/>
      <c r="IKM41" s="21"/>
      <c r="IKN41" s="21"/>
      <c r="IKO41" s="21"/>
      <c r="IKP41" s="21"/>
      <c r="IKQ41" s="21"/>
      <c r="IKR41" s="21"/>
      <c r="IKS41" s="21"/>
      <c r="IKT41" s="21"/>
      <c r="IKU41" s="21"/>
      <c r="IKV41" s="21"/>
      <c r="IKW41" s="21"/>
      <c r="IKX41" s="21"/>
      <c r="IKY41" s="21"/>
      <c r="IKZ41" s="21"/>
      <c r="ILA41" s="21"/>
      <c r="ILB41" s="21"/>
      <c r="ILC41" s="21"/>
      <c r="ILD41" s="21"/>
      <c r="ILE41" s="21"/>
      <c r="ILF41" s="21"/>
      <c r="ILG41" s="21"/>
      <c r="ILH41" s="21"/>
      <c r="ILI41" s="21"/>
      <c r="ILJ41" s="21"/>
      <c r="ILK41" s="21"/>
      <c r="ILL41" s="21"/>
      <c r="ILM41" s="21"/>
      <c r="ILN41" s="21"/>
      <c r="ILO41" s="21"/>
      <c r="ILP41" s="21"/>
      <c r="ILQ41" s="21"/>
      <c r="ILR41" s="21"/>
      <c r="ILS41" s="21"/>
      <c r="ILT41" s="21"/>
      <c r="ILU41" s="21"/>
      <c r="ILV41" s="21"/>
      <c r="ILW41" s="21"/>
      <c r="ILX41" s="21"/>
      <c r="ILY41" s="21"/>
      <c r="ILZ41" s="21"/>
      <c r="IMA41" s="21"/>
      <c r="IMB41" s="21"/>
      <c r="IMC41" s="21"/>
      <c r="IMD41" s="21"/>
      <c r="IME41" s="21"/>
      <c r="IMF41" s="21"/>
      <c r="IMG41" s="21"/>
      <c r="IMH41" s="21"/>
      <c r="IMI41" s="21"/>
      <c r="IMJ41" s="21"/>
      <c r="IMK41" s="21"/>
      <c r="IML41" s="21"/>
      <c r="IMM41" s="21"/>
      <c r="IMN41" s="21"/>
      <c r="IMO41" s="21"/>
      <c r="IMP41" s="21"/>
      <c r="IMQ41" s="21"/>
      <c r="IMR41" s="21"/>
      <c r="IMS41" s="21"/>
      <c r="IMT41" s="21"/>
      <c r="IMU41" s="21"/>
      <c r="IMV41" s="21"/>
      <c r="IMW41" s="21"/>
      <c r="IMX41" s="21"/>
      <c r="IMY41" s="21"/>
      <c r="IMZ41" s="21"/>
      <c r="INA41" s="21"/>
      <c r="INB41" s="21"/>
      <c r="INC41" s="21"/>
      <c r="IND41" s="21"/>
      <c r="INE41" s="21"/>
      <c r="INF41" s="21"/>
      <c r="ING41" s="21"/>
      <c r="INH41" s="21"/>
      <c r="INI41" s="21"/>
      <c r="INJ41" s="21"/>
      <c r="INK41" s="21"/>
      <c r="INL41" s="21"/>
      <c r="INM41" s="21"/>
      <c r="INN41" s="21"/>
      <c r="INO41" s="21"/>
      <c r="INP41" s="21"/>
      <c r="INQ41" s="21"/>
      <c r="INR41" s="21"/>
      <c r="INS41" s="21"/>
      <c r="INT41" s="21"/>
      <c r="INU41" s="21"/>
      <c r="INV41" s="21"/>
      <c r="INW41" s="21"/>
      <c r="INX41" s="21"/>
      <c r="INY41" s="21"/>
      <c r="INZ41" s="21"/>
      <c r="IOA41" s="21"/>
      <c r="IOB41" s="21"/>
      <c r="IOC41" s="21"/>
      <c r="IOD41" s="21"/>
      <c r="IOE41" s="21"/>
      <c r="IOF41" s="21"/>
      <c r="IOG41" s="21"/>
      <c r="IOH41" s="21"/>
      <c r="IOI41" s="21"/>
      <c r="IOJ41" s="21"/>
      <c r="IOK41" s="21"/>
      <c r="IOL41" s="21"/>
      <c r="IOM41" s="21"/>
      <c r="ION41" s="21"/>
      <c r="IOO41" s="21"/>
      <c r="IOP41" s="21"/>
      <c r="IOQ41" s="21"/>
      <c r="IOR41" s="21"/>
      <c r="IOS41" s="21"/>
      <c r="IOT41" s="21"/>
      <c r="IOU41" s="21"/>
      <c r="IOV41" s="21"/>
      <c r="IOW41" s="21"/>
      <c r="IOX41" s="21"/>
      <c r="IOY41" s="21"/>
      <c r="IOZ41" s="21"/>
      <c r="IPA41" s="21"/>
      <c r="IPB41" s="21"/>
      <c r="IPC41" s="21"/>
      <c r="IPD41" s="21"/>
      <c r="IPE41" s="21"/>
      <c r="IPF41" s="21"/>
      <c r="IPG41" s="21"/>
      <c r="IPH41" s="21"/>
      <c r="IPI41" s="21"/>
      <c r="IPJ41" s="21"/>
      <c r="IPK41" s="21"/>
      <c r="IPL41" s="21"/>
      <c r="IPM41" s="21"/>
      <c r="IPN41" s="21"/>
      <c r="IPO41" s="21"/>
      <c r="IPP41" s="21"/>
      <c r="IPQ41" s="21"/>
      <c r="IPR41" s="21"/>
      <c r="IPS41" s="21"/>
      <c r="IPT41" s="21"/>
      <c r="IPU41" s="21"/>
      <c r="IPV41" s="21"/>
      <c r="IPW41" s="21"/>
      <c r="IPX41" s="21"/>
      <c r="IPY41" s="21"/>
      <c r="IPZ41" s="21"/>
      <c r="IQA41" s="21"/>
      <c r="IQB41" s="21"/>
      <c r="IQC41" s="21"/>
      <c r="IQD41" s="21"/>
      <c r="IQE41" s="21"/>
      <c r="IQF41" s="21"/>
      <c r="IQG41" s="21"/>
      <c r="IQH41" s="21"/>
      <c r="IQI41" s="21"/>
      <c r="IQJ41" s="21"/>
      <c r="IQK41" s="21"/>
      <c r="IQL41" s="21"/>
      <c r="IQM41" s="21"/>
      <c r="IQN41" s="21"/>
      <c r="IQO41" s="21"/>
      <c r="IQP41" s="21"/>
      <c r="IQQ41" s="21"/>
      <c r="IQR41" s="21"/>
      <c r="IQS41" s="21"/>
      <c r="IQT41" s="21"/>
      <c r="IQU41" s="21"/>
      <c r="IQV41" s="21"/>
      <c r="IQW41" s="21"/>
      <c r="IQX41" s="21"/>
      <c r="IQY41" s="21"/>
      <c r="IQZ41" s="21"/>
      <c r="IRA41" s="21"/>
      <c r="IRB41" s="21"/>
      <c r="IRC41" s="21"/>
      <c r="IRD41" s="21"/>
      <c r="IRE41" s="21"/>
      <c r="IRF41" s="21"/>
      <c r="IRG41" s="21"/>
      <c r="IRH41" s="21"/>
      <c r="IRI41" s="21"/>
      <c r="IRJ41" s="21"/>
      <c r="IRK41" s="21"/>
      <c r="IRL41" s="21"/>
      <c r="IRM41" s="21"/>
      <c r="IRN41" s="21"/>
      <c r="IRO41" s="21"/>
      <c r="IRP41" s="21"/>
      <c r="IRQ41" s="21"/>
      <c r="IRR41" s="21"/>
      <c r="IRS41" s="21"/>
      <c r="IRT41" s="21"/>
      <c r="IRU41" s="21"/>
      <c r="IRV41" s="21"/>
      <c r="IRW41" s="21"/>
      <c r="IRX41" s="21"/>
      <c r="IRY41" s="21"/>
      <c r="IRZ41" s="21"/>
      <c r="ISA41" s="21"/>
      <c r="ISB41" s="21"/>
      <c r="ISC41" s="21"/>
      <c r="ISD41" s="21"/>
      <c r="ISE41" s="21"/>
      <c r="ISF41" s="21"/>
      <c r="ISG41" s="21"/>
      <c r="ISH41" s="21"/>
      <c r="ISI41" s="21"/>
      <c r="ISJ41" s="21"/>
      <c r="ISK41" s="21"/>
      <c r="ISL41" s="21"/>
      <c r="ISM41" s="21"/>
      <c r="ISN41" s="21"/>
      <c r="ISO41" s="21"/>
      <c r="ISP41" s="21"/>
      <c r="ISQ41" s="21"/>
      <c r="ISR41" s="21"/>
      <c r="ISS41" s="21"/>
      <c r="IST41" s="21"/>
      <c r="ISU41" s="21"/>
      <c r="ISV41" s="21"/>
      <c r="ISW41" s="21"/>
      <c r="ISX41" s="21"/>
      <c r="ISY41" s="21"/>
      <c r="ISZ41" s="21"/>
      <c r="ITA41" s="21"/>
      <c r="ITB41" s="21"/>
      <c r="ITC41" s="21"/>
      <c r="ITD41" s="21"/>
      <c r="ITE41" s="21"/>
      <c r="ITF41" s="21"/>
      <c r="ITG41" s="21"/>
      <c r="ITH41" s="21"/>
      <c r="ITI41" s="21"/>
      <c r="ITJ41" s="21"/>
      <c r="ITK41" s="21"/>
      <c r="ITL41" s="21"/>
      <c r="ITM41" s="21"/>
      <c r="ITN41" s="21"/>
      <c r="ITO41" s="21"/>
      <c r="ITP41" s="21"/>
      <c r="ITQ41" s="21"/>
      <c r="ITR41" s="21"/>
      <c r="ITS41" s="21"/>
      <c r="ITT41" s="21"/>
      <c r="ITU41" s="21"/>
      <c r="ITV41" s="21"/>
      <c r="ITW41" s="21"/>
      <c r="ITX41" s="21"/>
      <c r="ITY41" s="21"/>
      <c r="ITZ41" s="21"/>
      <c r="IUA41" s="21"/>
      <c r="IUB41" s="21"/>
      <c r="IUC41" s="21"/>
      <c r="IUD41" s="21"/>
      <c r="IUE41" s="21"/>
      <c r="IUF41" s="21"/>
      <c r="IUG41" s="21"/>
      <c r="IUH41" s="21"/>
      <c r="IUI41" s="21"/>
      <c r="IUJ41" s="21"/>
      <c r="IUK41" s="21"/>
      <c r="IUL41" s="21"/>
      <c r="IUM41" s="21"/>
      <c r="IUN41" s="21"/>
      <c r="IUO41" s="21"/>
      <c r="IUP41" s="21"/>
      <c r="IUQ41" s="21"/>
      <c r="IUR41" s="21"/>
      <c r="IUS41" s="21"/>
      <c r="IUT41" s="21"/>
      <c r="IUU41" s="21"/>
      <c r="IUV41" s="21"/>
      <c r="IUW41" s="21"/>
      <c r="IUX41" s="21"/>
      <c r="IUY41" s="21"/>
      <c r="IUZ41" s="21"/>
      <c r="IVA41" s="21"/>
      <c r="IVB41" s="21"/>
      <c r="IVC41" s="21"/>
      <c r="IVD41" s="21"/>
      <c r="IVE41" s="21"/>
      <c r="IVF41" s="21"/>
      <c r="IVG41" s="21"/>
      <c r="IVH41" s="21"/>
      <c r="IVI41" s="21"/>
      <c r="IVJ41" s="21"/>
      <c r="IVK41" s="21"/>
      <c r="IVL41" s="21"/>
      <c r="IVM41" s="21"/>
      <c r="IVN41" s="21"/>
      <c r="IVO41" s="21"/>
      <c r="IVP41" s="21"/>
      <c r="IVQ41" s="21"/>
      <c r="IVR41" s="21"/>
      <c r="IVS41" s="21"/>
      <c r="IVT41" s="21"/>
      <c r="IVU41" s="21"/>
      <c r="IVV41" s="21"/>
      <c r="IVW41" s="21"/>
      <c r="IVX41" s="21"/>
      <c r="IVY41" s="21"/>
      <c r="IVZ41" s="21"/>
      <c r="IWA41" s="21"/>
      <c r="IWB41" s="21"/>
      <c r="IWC41" s="21"/>
      <c r="IWD41" s="21"/>
      <c r="IWE41" s="21"/>
      <c r="IWF41" s="21"/>
      <c r="IWG41" s="21"/>
      <c r="IWH41" s="21"/>
      <c r="IWI41" s="21"/>
      <c r="IWJ41" s="21"/>
      <c r="IWK41" s="21"/>
      <c r="IWL41" s="21"/>
      <c r="IWM41" s="21"/>
      <c r="IWN41" s="21"/>
      <c r="IWO41" s="21"/>
      <c r="IWP41" s="21"/>
      <c r="IWQ41" s="21"/>
      <c r="IWR41" s="21"/>
      <c r="IWS41" s="21"/>
      <c r="IWT41" s="21"/>
      <c r="IWU41" s="21"/>
      <c r="IWV41" s="21"/>
      <c r="IWW41" s="21"/>
      <c r="IWX41" s="21"/>
      <c r="IWY41" s="21"/>
      <c r="IWZ41" s="21"/>
      <c r="IXA41" s="21"/>
      <c r="IXB41" s="21"/>
      <c r="IXC41" s="21"/>
      <c r="IXD41" s="21"/>
      <c r="IXE41" s="21"/>
      <c r="IXF41" s="21"/>
      <c r="IXG41" s="21"/>
      <c r="IXH41" s="21"/>
      <c r="IXI41" s="21"/>
      <c r="IXJ41" s="21"/>
      <c r="IXK41" s="21"/>
      <c r="IXL41" s="21"/>
      <c r="IXM41" s="21"/>
      <c r="IXN41" s="21"/>
      <c r="IXO41" s="21"/>
      <c r="IXP41" s="21"/>
      <c r="IXQ41" s="21"/>
      <c r="IXR41" s="21"/>
      <c r="IXS41" s="21"/>
      <c r="IXT41" s="21"/>
      <c r="IXU41" s="21"/>
      <c r="IXV41" s="21"/>
      <c r="IXW41" s="21"/>
      <c r="IXX41" s="21"/>
      <c r="IXY41" s="21"/>
      <c r="IXZ41" s="21"/>
      <c r="IYA41" s="21"/>
      <c r="IYB41" s="21"/>
      <c r="IYC41" s="21"/>
      <c r="IYD41" s="21"/>
      <c r="IYE41" s="21"/>
      <c r="IYF41" s="21"/>
      <c r="IYG41" s="21"/>
      <c r="IYH41" s="21"/>
      <c r="IYI41" s="21"/>
      <c r="IYJ41" s="21"/>
      <c r="IYK41" s="21"/>
      <c r="IYL41" s="21"/>
      <c r="IYM41" s="21"/>
      <c r="IYN41" s="21"/>
      <c r="IYO41" s="21"/>
      <c r="IYP41" s="21"/>
      <c r="IYQ41" s="21"/>
      <c r="IYR41" s="21"/>
      <c r="IYS41" s="21"/>
      <c r="IYT41" s="21"/>
      <c r="IYU41" s="21"/>
      <c r="IYV41" s="21"/>
      <c r="IYW41" s="21"/>
      <c r="IYX41" s="21"/>
      <c r="IYY41" s="21"/>
      <c r="IYZ41" s="21"/>
      <c r="IZA41" s="21"/>
      <c r="IZB41" s="21"/>
      <c r="IZC41" s="21"/>
      <c r="IZD41" s="21"/>
      <c r="IZE41" s="21"/>
      <c r="IZF41" s="21"/>
      <c r="IZG41" s="21"/>
      <c r="IZH41" s="21"/>
      <c r="IZI41" s="21"/>
      <c r="IZJ41" s="21"/>
      <c r="IZK41" s="21"/>
      <c r="IZL41" s="21"/>
      <c r="IZM41" s="21"/>
      <c r="IZN41" s="21"/>
      <c r="IZO41" s="21"/>
      <c r="IZP41" s="21"/>
      <c r="IZQ41" s="21"/>
      <c r="IZR41" s="21"/>
      <c r="IZS41" s="21"/>
      <c r="IZT41" s="21"/>
      <c r="IZU41" s="21"/>
      <c r="IZV41" s="21"/>
      <c r="IZW41" s="21"/>
      <c r="IZX41" s="21"/>
      <c r="IZY41" s="21"/>
      <c r="IZZ41" s="21"/>
      <c r="JAA41" s="21"/>
      <c r="JAB41" s="21"/>
      <c r="JAC41" s="21"/>
      <c r="JAD41" s="21"/>
      <c r="JAE41" s="21"/>
      <c r="JAF41" s="21"/>
      <c r="JAG41" s="21"/>
      <c r="JAH41" s="21"/>
      <c r="JAI41" s="21"/>
      <c r="JAJ41" s="21"/>
      <c r="JAK41" s="21"/>
      <c r="JAL41" s="21"/>
      <c r="JAM41" s="21"/>
      <c r="JAN41" s="21"/>
      <c r="JAO41" s="21"/>
      <c r="JAP41" s="21"/>
      <c r="JAQ41" s="21"/>
      <c r="JAR41" s="21"/>
      <c r="JAS41" s="21"/>
      <c r="JAT41" s="21"/>
      <c r="JAU41" s="21"/>
      <c r="JAV41" s="21"/>
      <c r="JAW41" s="21"/>
      <c r="JAX41" s="21"/>
      <c r="JAY41" s="21"/>
      <c r="JAZ41" s="21"/>
      <c r="JBA41" s="21"/>
      <c r="JBB41" s="21"/>
      <c r="JBC41" s="21"/>
      <c r="JBD41" s="21"/>
      <c r="JBE41" s="21"/>
      <c r="JBF41" s="21"/>
      <c r="JBG41" s="21"/>
      <c r="JBH41" s="21"/>
      <c r="JBI41" s="21"/>
      <c r="JBJ41" s="21"/>
      <c r="JBK41" s="21"/>
      <c r="JBL41" s="21"/>
      <c r="JBM41" s="21"/>
      <c r="JBN41" s="21"/>
      <c r="JBO41" s="21"/>
      <c r="JBP41" s="21"/>
      <c r="JBQ41" s="21"/>
      <c r="JBR41" s="21"/>
      <c r="JBS41" s="21"/>
      <c r="JBT41" s="21"/>
      <c r="JBU41" s="21"/>
      <c r="JBV41" s="21"/>
      <c r="JBW41" s="21"/>
      <c r="JBX41" s="21"/>
      <c r="JBY41" s="21"/>
      <c r="JBZ41" s="21"/>
      <c r="JCA41" s="21"/>
      <c r="JCB41" s="21"/>
      <c r="JCC41" s="21"/>
      <c r="JCD41" s="21"/>
      <c r="JCE41" s="21"/>
      <c r="JCF41" s="21"/>
      <c r="JCG41" s="21"/>
      <c r="JCH41" s="21"/>
      <c r="JCI41" s="21"/>
      <c r="JCJ41" s="21"/>
      <c r="JCK41" s="21"/>
      <c r="JCL41" s="21"/>
      <c r="JCM41" s="21"/>
      <c r="JCN41" s="21"/>
      <c r="JCO41" s="21"/>
      <c r="JCP41" s="21"/>
      <c r="JCQ41" s="21"/>
      <c r="JCR41" s="21"/>
      <c r="JCS41" s="21"/>
      <c r="JCT41" s="21"/>
      <c r="JCU41" s="21"/>
      <c r="JCV41" s="21"/>
      <c r="JCW41" s="21"/>
      <c r="JCX41" s="21"/>
      <c r="JCY41" s="21"/>
      <c r="JCZ41" s="21"/>
      <c r="JDA41" s="21"/>
      <c r="JDB41" s="21"/>
      <c r="JDC41" s="21"/>
      <c r="JDD41" s="21"/>
      <c r="JDE41" s="21"/>
      <c r="JDF41" s="21"/>
      <c r="JDG41" s="21"/>
      <c r="JDH41" s="21"/>
      <c r="JDI41" s="21"/>
      <c r="JDJ41" s="21"/>
      <c r="JDK41" s="21"/>
      <c r="JDL41" s="21"/>
      <c r="JDM41" s="21"/>
      <c r="JDN41" s="21"/>
      <c r="JDO41" s="21"/>
      <c r="JDP41" s="21"/>
      <c r="JDQ41" s="21"/>
      <c r="JDR41" s="21"/>
      <c r="JDS41" s="21"/>
      <c r="JDT41" s="21"/>
      <c r="JDU41" s="21"/>
      <c r="JDV41" s="21"/>
      <c r="JDW41" s="21"/>
      <c r="JDX41" s="21"/>
      <c r="JDY41" s="21"/>
      <c r="JDZ41" s="21"/>
      <c r="JEA41" s="21"/>
      <c r="JEB41" s="21"/>
      <c r="JEC41" s="21"/>
      <c r="JED41" s="21"/>
      <c r="JEE41" s="21"/>
      <c r="JEF41" s="21"/>
      <c r="JEG41" s="21"/>
      <c r="JEH41" s="21"/>
      <c r="JEI41" s="21"/>
      <c r="JEJ41" s="21"/>
      <c r="JEK41" s="21"/>
      <c r="JEL41" s="21"/>
      <c r="JEM41" s="21"/>
      <c r="JEN41" s="21"/>
      <c r="JEO41" s="21"/>
      <c r="JEP41" s="21"/>
      <c r="JEQ41" s="21"/>
      <c r="JER41" s="21"/>
      <c r="JES41" s="21"/>
      <c r="JET41" s="21"/>
      <c r="JEU41" s="21"/>
      <c r="JEV41" s="21"/>
      <c r="JEW41" s="21"/>
      <c r="JEX41" s="21"/>
      <c r="JEY41" s="21"/>
      <c r="JEZ41" s="21"/>
      <c r="JFA41" s="21"/>
      <c r="JFB41" s="21"/>
      <c r="JFC41" s="21"/>
      <c r="JFD41" s="21"/>
      <c r="JFE41" s="21"/>
      <c r="JFF41" s="21"/>
      <c r="JFG41" s="21"/>
      <c r="JFH41" s="21"/>
      <c r="JFI41" s="21"/>
      <c r="JFJ41" s="21"/>
      <c r="JFK41" s="21"/>
      <c r="JFL41" s="21"/>
      <c r="JFM41" s="21"/>
      <c r="JFN41" s="21"/>
      <c r="JFO41" s="21"/>
      <c r="JFP41" s="21"/>
      <c r="JFQ41" s="21"/>
      <c r="JFR41" s="21"/>
      <c r="JFS41" s="21"/>
      <c r="JFT41" s="21"/>
      <c r="JFU41" s="21"/>
      <c r="JFV41" s="21"/>
      <c r="JFW41" s="21"/>
      <c r="JFX41" s="21"/>
      <c r="JFY41" s="21"/>
      <c r="JFZ41" s="21"/>
      <c r="JGA41" s="21"/>
      <c r="JGB41" s="21"/>
      <c r="JGC41" s="21"/>
      <c r="JGD41" s="21"/>
      <c r="JGE41" s="21"/>
      <c r="JGF41" s="21"/>
      <c r="JGG41" s="21"/>
      <c r="JGH41" s="21"/>
      <c r="JGI41" s="21"/>
      <c r="JGJ41" s="21"/>
      <c r="JGK41" s="21"/>
      <c r="JGL41" s="21"/>
      <c r="JGM41" s="21"/>
      <c r="JGN41" s="21"/>
      <c r="JGO41" s="21"/>
      <c r="JGP41" s="21"/>
      <c r="JGQ41" s="21"/>
      <c r="JGR41" s="21"/>
      <c r="JGS41" s="21"/>
      <c r="JGT41" s="21"/>
      <c r="JGU41" s="21"/>
      <c r="JGV41" s="21"/>
      <c r="JGW41" s="21"/>
      <c r="JGX41" s="21"/>
      <c r="JGY41" s="21"/>
      <c r="JGZ41" s="21"/>
      <c r="JHA41" s="21"/>
      <c r="JHB41" s="21"/>
      <c r="JHC41" s="21"/>
      <c r="JHD41" s="21"/>
      <c r="JHE41" s="21"/>
      <c r="JHF41" s="21"/>
      <c r="JHG41" s="21"/>
      <c r="JHH41" s="21"/>
      <c r="JHI41" s="21"/>
      <c r="JHJ41" s="21"/>
      <c r="JHK41" s="21"/>
      <c r="JHL41" s="21"/>
      <c r="JHM41" s="21"/>
      <c r="JHN41" s="21"/>
      <c r="JHO41" s="21"/>
      <c r="JHP41" s="21"/>
      <c r="JHQ41" s="21"/>
      <c r="JHR41" s="21"/>
      <c r="JHS41" s="21"/>
      <c r="JHT41" s="21"/>
      <c r="JHU41" s="21"/>
      <c r="JHV41" s="21"/>
      <c r="JHW41" s="21"/>
      <c r="JHX41" s="21"/>
      <c r="JHY41" s="21"/>
      <c r="JHZ41" s="21"/>
      <c r="JIA41" s="21"/>
      <c r="JIB41" s="21"/>
      <c r="JIC41" s="21"/>
      <c r="JID41" s="21"/>
      <c r="JIE41" s="21"/>
      <c r="JIF41" s="21"/>
      <c r="JIG41" s="21"/>
      <c r="JIH41" s="21"/>
      <c r="JII41" s="21"/>
      <c r="JIJ41" s="21"/>
      <c r="JIK41" s="21"/>
      <c r="JIL41" s="21"/>
      <c r="JIM41" s="21"/>
      <c r="JIN41" s="21"/>
      <c r="JIO41" s="21"/>
      <c r="JIP41" s="21"/>
      <c r="JIQ41" s="21"/>
      <c r="JIR41" s="21"/>
      <c r="JIS41" s="21"/>
      <c r="JIT41" s="21"/>
      <c r="JIU41" s="21"/>
      <c r="JIV41" s="21"/>
      <c r="JIW41" s="21"/>
      <c r="JIX41" s="21"/>
      <c r="JIY41" s="21"/>
      <c r="JIZ41" s="21"/>
      <c r="JJA41" s="21"/>
      <c r="JJB41" s="21"/>
      <c r="JJC41" s="21"/>
      <c r="JJD41" s="21"/>
      <c r="JJE41" s="21"/>
      <c r="JJF41" s="21"/>
      <c r="JJG41" s="21"/>
      <c r="JJH41" s="21"/>
      <c r="JJI41" s="21"/>
      <c r="JJJ41" s="21"/>
      <c r="JJK41" s="21"/>
      <c r="JJL41" s="21"/>
      <c r="JJM41" s="21"/>
      <c r="JJN41" s="21"/>
      <c r="JJO41" s="21"/>
      <c r="JJP41" s="21"/>
      <c r="JJQ41" s="21"/>
      <c r="JJR41" s="21"/>
      <c r="JJS41" s="21"/>
      <c r="JJT41" s="21"/>
      <c r="JJU41" s="21"/>
      <c r="JJV41" s="21"/>
      <c r="JJW41" s="21"/>
      <c r="JJX41" s="21"/>
      <c r="JJY41" s="21"/>
      <c r="JJZ41" s="21"/>
      <c r="JKA41" s="21"/>
      <c r="JKB41" s="21"/>
      <c r="JKC41" s="21"/>
      <c r="JKD41" s="21"/>
      <c r="JKE41" s="21"/>
      <c r="JKF41" s="21"/>
      <c r="JKG41" s="21"/>
      <c r="JKH41" s="21"/>
      <c r="JKI41" s="21"/>
      <c r="JKJ41" s="21"/>
      <c r="JKK41" s="21"/>
      <c r="JKL41" s="21"/>
      <c r="JKM41" s="21"/>
      <c r="JKN41" s="21"/>
      <c r="JKO41" s="21"/>
      <c r="JKP41" s="21"/>
      <c r="JKQ41" s="21"/>
      <c r="JKR41" s="21"/>
      <c r="JKS41" s="21"/>
      <c r="JKT41" s="21"/>
      <c r="JKU41" s="21"/>
      <c r="JKV41" s="21"/>
      <c r="JKW41" s="21"/>
      <c r="JKX41" s="21"/>
      <c r="JKY41" s="21"/>
      <c r="JKZ41" s="21"/>
      <c r="JLA41" s="21"/>
      <c r="JLB41" s="21"/>
      <c r="JLC41" s="21"/>
      <c r="JLD41" s="21"/>
      <c r="JLE41" s="21"/>
      <c r="JLF41" s="21"/>
      <c r="JLG41" s="21"/>
      <c r="JLH41" s="21"/>
      <c r="JLI41" s="21"/>
      <c r="JLJ41" s="21"/>
      <c r="JLK41" s="21"/>
      <c r="JLL41" s="21"/>
      <c r="JLM41" s="21"/>
      <c r="JLN41" s="21"/>
      <c r="JLO41" s="21"/>
      <c r="JLP41" s="21"/>
      <c r="JLQ41" s="21"/>
      <c r="JLR41" s="21"/>
      <c r="JLS41" s="21"/>
      <c r="JLT41" s="21"/>
      <c r="JLU41" s="21"/>
      <c r="JLV41" s="21"/>
      <c r="JLW41" s="21"/>
      <c r="JLX41" s="21"/>
      <c r="JLY41" s="21"/>
      <c r="JLZ41" s="21"/>
      <c r="JMA41" s="21"/>
      <c r="JMB41" s="21"/>
      <c r="JMC41" s="21"/>
      <c r="JMD41" s="21"/>
      <c r="JME41" s="21"/>
      <c r="JMF41" s="21"/>
      <c r="JMG41" s="21"/>
      <c r="JMH41" s="21"/>
      <c r="JMI41" s="21"/>
      <c r="JMJ41" s="21"/>
      <c r="JMK41" s="21"/>
      <c r="JML41" s="21"/>
      <c r="JMM41" s="21"/>
      <c r="JMN41" s="21"/>
      <c r="JMO41" s="21"/>
      <c r="JMP41" s="21"/>
      <c r="JMQ41" s="21"/>
      <c r="JMR41" s="21"/>
      <c r="JMS41" s="21"/>
      <c r="JMT41" s="21"/>
      <c r="JMU41" s="21"/>
      <c r="JMV41" s="21"/>
      <c r="JMW41" s="21"/>
      <c r="JMX41" s="21"/>
      <c r="JMY41" s="21"/>
      <c r="JMZ41" s="21"/>
      <c r="JNA41" s="21"/>
      <c r="JNB41" s="21"/>
      <c r="JNC41" s="21"/>
      <c r="JND41" s="21"/>
      <c r="JNE41" s="21"/>
      <c r="JNF41" s="21"/>
      <c r="JNG41" s="21"/>
      <c r="JNH41" s="21"/>
      <c r="JNI41" s="21"/>
      <c r="JNJ41" s="21"/>
      <c r="JNK41" s="21"/>
      <c r="JNL41" s="21"/>
      <c r="JNM41" s="21"/>
      <c r="JNN41" s="21"/>
      <c r="JNO41" s="21"/>
      <c r="JNP41" s="21"/>
      <c r="JNQ41" s="21"/>
      <c r="JNR41" s="21"/>
      <c r="JNS41" s="21"/>
      <c r="JNT41" s="21"/>
      <c r="JNU41" s="21"/>
      <c r="JNV41" s="21"/>
      <c r="JNW41" s="21"/>
      <c r="JNX41" s="21"/>
      <c r="JNY41" s="21"/>
      <c r="JNZ41" s="21"/>
      <c r="JOA41" s="21"/>
      <c r="JOB41" s="21"/>
      <c r="JOC41" s="21"/>
      <c r="JOD41" s="21"/>
      <c r="JOE41" s="21"/>
      <c r="JOF41" s="21"/>
      <c r="JOG41" s="21"/>
      <c r="JOH41" s="21"/>
      <c r="JOI41" s="21"/>
      <c r="JOJ41" s="21"/>
      <c r="JOK41" s="21"/>
      <c r="JOL41" s="21"/>
      <c r="JOM41" s="21"/>
      <c r="JON41" s="21"/>
      <c r="JOO41" s="21"/>
      <c r="JOP41" s="21"/>
      <c r="JOQ41" s="21"/>
      <c r="JOR41" s="21"/>
      <c r="JOS41" s="21"/>
      <c r="JOT41" s="21"/>
      <c r="JOU41" s="21"/>
      <c r="JOV41" s="21"/>
      <c r="JOW41" s="21"/>
      <c r="JOX41" s="21"/>
      <c r="JOY41" s="21"/>
      <c r="JOZ41" s="21"/>
      <c r="JPA41" s="21"/>
      <c r="JPB41" s="21"/>
      <c r="JPC41" s="21"/>
      <c r="JPD41" s="21"/>
      <c r="JPE41" s="21"/>
      <c r="JPF41" s="21"/>
      <c r="JPG41" s="21"/>
      <c r="JPH41" s="21"/>
      <c r="JPI41" s="21"/>
      <c r="JPJ41" s="21"/>
      <c r="JPK41" s="21"/>
      <c r="JPL41" s="21"/>
      <c r="JPM41" s="21"/>
      <c r="JPN41" s="21"/>
      <c r="JPO41" s="21"/>
      <c r="JPP41" s="21"/>
      <c r="JPQ41" s="21"/>
      <c r="JPR41" s="21"/>
      <c r="JPS41" s="21"/>
      <c r="JPT41" s="21"/>
      <c r="JPU41" s="21"/>
      <c r="JPV41" s="21"/>
      <c r="JPW41" s="21"/>
      <c r="JPX41" s="21"/>
      <c r="JPY41" s="21"/>
      <c r="JPZ41" s="21"/>
      <c r="JQA41" s="21"/>
      <c r="JQB41" s="21"/>
      <c r="JQC41" s="21"/>
      <c r="JQD41" s="21"/>
      <c r="JQE41" s="21"/>
      <c r="JQF41" s="21"/>
      <c r="JQG41" s="21"/>
      <c r="JQH41" s="21"/>
      <c r="JQI41" s="21"/>
      <c r="JQJ41" s="21"/>
      <c r="JQK41" s="21"/>
      <c r="JQL41" s="21"/>
      <c r="JQM41" s="21"/>
      <c r="JQN41" s="21"/>
      <c r="JQO41" s="21"/>
      <c r="JQP41" s="21"/>
      <c r="JQQ41" s="21"/>
      <c r="JQR41" s="21"/>
      <c r="JQS41" s="21"/>
      <c r="JQT41" s="21"/>
      <c r="JQU41" s="21"/>
      <c r="JQV41" s="21"/>
      <c r="JQW41" s="21"/>
      <c r="JQX41" s="21"/>
      <c r="JQY41" s="21"/>
      <c r="JQZ41" s="21"/>
      <c r="JRA41" s="21"/>
      <c r="JRB41" s="21"/>
      <c r="JRC41" s="21"/>
      <c r="JRD41" s="21"/>
      <c r="JRE41" s="21"/>
      <c r="JRF41" s="21"/>
      <c r="JRG41" s="21"/>
      <c r="JRH41" s="21"/>
      <c r="JRI41" s="21"/>
      <c r="JRJ41" s="21"/>
      <c r="JRK41" s="21"/>
      <c r="JRL41" s="21"/>
      <c r="JRM41" s="21"/>
      <c r="JRN41" s="21"/>
      <c r="JRO41" s="21"/>
      <c r="JRP41" s="21"/>
      <c r="JRQ41" s="21"/>
      <c r="JRR41" s="21"/>
      <c r="JRS41" s="21"/>
      <c r="JRT41" s="21"/>
      <c r="JRU41" s="21"/>
      <c r="JRV41" s="21"/>
      <c r="JRW41" s="21"/>
      <c r="JRX41" s="21"/>
      <c r="JRY41" s="21"/>
      <c r="JRZ41" s="21"/>
      <c r="JSA41" s="21"/>
      <c r="JSB41" s="21"/>
      <c r="JSC41" s="21"/>
      <c r="JSD41" s="21"/>
      <c r="JSE41" s="21"/>
      <c r="JSF41" s="21"/>
      <c r="JSG41" s="21"/>
      <c r="JSH41" s="21"/>
      <c r="JSI41" s="21"/>
      <c r="JSJ41" s="21"/>
      <c r="JSK41" s="21"/>
      <c r="JSL41" s="21"/>
      <c r="JSM41" s="21"/>
      <c r="JSN41" s="21"/>
      <c r="JSO41" s="21"/>
      <c r="JSP41" s="21"/>
      <c r="JSQ41" s="21"/>
      <c r="JSR41" s="21"/>
      <c r="JSS41" s="21"/>
      <c r="JST41" s="21"/>
      <c r="JSU41" s="21"/>
      <c r="JSV41" s="21"/>
      <c r="JSW41" s="21"/>
      <c r="JSX41" s="21"/>
      <c r="JSY41" s="21"/>
      <c r="JSZ41" s="21"/>
      <c r="JTA41" s="21"/>
      <c r="JTB41" s="21"/>
      <c r="JTC41" s="21"/>
      <c r="JTD41" s="21"/>
      <c r="JTE41" s="21"/>
      <c r="JTF41" s="21"/>
      <c r="JTG41" s="21"/>
      <c r="JTH41" s="21"/>
      <c r="JTI41" s="21"/>
      <c r="JTJ41" s="21"/>
      <c r="JTK41" s="21"/>
      <c r="JTL41" s="21"/>
      <c r="JTM41" s="21"/>
      <c r="JTN41" s="21"/>
      <c r="JTO41" s="21"/>
      <c r="JTP41" s="21"/>
      <c r="JTQ41" s="21"/>
      <c r="JTR41" s="21"/>
      <c r="JTS41" s="21"/>
      <c r="JTT41" s="21"/>
      <c r="JTU41" s="21"/>
      <c r="JTV41" s="21"/>
      <c r="JTW41" s="21"/>
      <c r="JTX41" s="21"/>
      <c r="JTY41" s="21"/>
      <c r="JTZ41" s="21"/>
      <c r="JUA41" s="21"/>
      <c r="JUB41" s="21"/>
      <c r="JUC41" s="21"/>
      <c r="JUD41" s="21"/>
      <c r="JUE41" s="21"/>
      <c r="JUF41" s="21"/>
      <c r="JUG41" s="21"/>
      <c r="JUH41" s="21"/>
      <c r="JUI41" s="21"/>
      <c r="JUJ41" s="21"/>
      <c r="JUK41" s="21"/>
      <c r="JUL41" s="21"/>
      <c r="JUM41" s="21"/>
      <c r="JUN41" s="21"/>
      <c r="JUO41" s="21"/>
      <c r="JUP41" s="21"/>
      <c r="JUQ41" s="21"/>
      <c r="JUR41" s="21"/>
      <c r="JUS41" s="21"/>
      <c r="JUT41" s="21"/>
      <c r="JUU41" s="21"/>
      <c r="JUV41" s="21"/>
      <c r="JUW41" s="21"/>
      <c r="JUX41" s="21"/>
      <c r="JUY41" s="21"/>
      <c r="JUZ41" s="21"/>
      <c r="JVA41" s="21"/>
      <c r="JVB41" s="21"/>
      <c r="JVC41" s="21"/>
      <c r="JVD41" s="21"/>
      <c r="JVE41" s="21"/>
      <c r="JVF41" s="21"/>
      <c r="JVG41" s="21"/>
      <c r="JVH41" s="21"/>
      <c r="JVI41" s="21"/>
      <c r="JVJ41" s="21"/>
      <c r="JVK41" s="21"/>
      <c r="JVL41" s="21"/>
      <c r="JVM41" s="21"/>
      <c r="JVN41" s="21"/>
      <c r="JVO41" s="21"/>
      <c r="JVP41" s="21"/>
      <c r="JVQ41" s="21"/>
      <c r="JVR41" s="21"/>
      <c r="JVS41" s="21"/>
      <c r="JVT41" s="21"/>
      <c r="JVU41" s="21"/>
      <c r="JVV41" s="21"/>
      <c r="JVW41" s="21"/>
      <c r="JVX41" s="21"/>
      <c r="JVY41" s="21"/>
      <c r="JVZ41" s="21"/>
      <c r="JWA41" s="21"/>
      <c r="JWB41" s="21"/>
      <c r="JWC41" s="21"/>
      <c r="JWD41" s="21"/>
      <c r="JWE41" s="21"/>
      <c r="JWF41" s="21"/>
      <c r="JWG41" s="21"/>
      <c r="JWH41" s="21"/>
      <c r="JWI41" s="21"/>
      <c r="JWJ41" s="21"/>
      <c r="JWK41" s="21"/>
      <c r="JWL41" s="21"/>
      <c r="JWM41" s="21"/>
      <c r="JWN41" s="21"/>
      <c r="JWO41" s="21"/>
      <c r="JWP41" s="21"/>
      <c r="JWQ41" s="21"/>
      <c r="JWR41" s="21"/>
      <c r="JWS41" s="21"/>
      <c r="JWT41" s="21"/>
      <c r="JWU41" s="21"/>
      <c r="JWV41" s="21"/>
      <c r="JWW41" s="21"/>
      <c r="JWX41" s="21"/>
      <c r="JWY41" s="21"/>
      <c r="JWZ41" s="21"/>
      <c r="JXA41" s="21"/>
      <c r="JXB41" s="21"/>
      <c r="JXC41" s="21"/>
      <c r="JXD41" s="21"/>
      <c r="JXE41" s="21"/>
      <c r="JXF41" s="21"/>
      <c r="JXG41" s="21"/>
      <c r="JXH41" s="21"/>
      <c r="JXI41" s="21"/>
      <c r="JXJ41" s="21"/>
      <c r="JXK41" s="21"/>
      <c r="JXL41" s="21"/>
      <c r="JXM41" s="21"/>
      <c r="JXN41" s="21"/>
      <c r="JXO41" s="21"/>
      <c r="JXP41" s="21"/>
      <c r="JXQ41" s="21"/>
      <c r="JXR41" s="21"/>
      <c r="JXS41" s="21"/>
      <c r="JXT41" s="21"/>
      <c r="JXU41" s="21"/>
      <c r="JXV41" s="21"/>
      <c r="JXW41" s="21"/>
      <c r="JXX41" s="21"/>
      <c r="JXY41" s="21"/>
      <c r="JXZ41" s="21"/>
      <c r="JYA41" s="21"/>
      <c r="JYB41" s="21"/>
      <c r="JYC41" s="21"/>
      <c r="JYD41" s="21"/>
      <c r="JYE41" s="21"/>
      <c r="JYF41" s="21"/>
      <c r="JYG41" s="21"/>
      <c r="JYH41" s="21"/>
      <c r="JYI41" s="21"/>
      <c r="JYJ41" s="21"/>
      <c r="JYK41" s="21"/>
      <c r="JYL41" s="21"/>
      <c r="JYM41" s="21"/>
      <c r="JYN41" s="21"/>
      <c r="JYO41" s="21"/>
      <c r="JYP41" s="21"/>
      <c r="JYQ41" s="21"/>
      <c r="JYR41" s="21"/>
      <c r="JYS41" s="21"/>
      <c r="JYT41" s="21"/>
      <c r="JYU41" s="21"/>
      <c r="JYV41" s="21"/>
      <c r="JYW41" s="21"/>
      <c r="JYX41" s="21"/>
      <c r="JYY41" s="21"/>
      <c r="JYZ41" s="21"/>
      <c r="JZA41" s="21"/>
      <c r="JZB41" s="21"/>
      <c r="JZC41" s="21"/>
      <c r="JZD41" s="21"/>
      <c r="JZE41" s="21"/>
      <c r="JZF41" s="21"/>
      <c r="JZG41" s="21"/>
      <c r="JZH41" s="21"/>
      <c r="JZI41" s="21"/>
      <c r="JZJ41" s="21"/>
      <c r="JZK41" s="21"/>
      <c r="JZL41" s="21"/>
      <c r="JZM41" s="21"/>
      <c r="JZN41" s="21"/>
      <c r="JZO41" s="21"/>
      <c r="JZP41" s="21"/>
      <c r="JZQ41" s="21"/>
      <c r="JZR41" s="21"/>
      <c r="JZS41" s="21"/>
      <c r="JZT41" s="21"/>
      <c r="JZU41" s="21"/>
      <c r="JZV41" s="21"/>
      <c r="JZW41" s="21"/>
      <c r="JZX41" s="21"/>
      <c r="JZY41" s="21"/>
      <c r="JZZ41" s="21"/>
      <c r="KAA41" s="21"/>
      <c r="KAB41" s="21"/>
      <c r="KAC41" s="21"/>
      <c r="KAD41" s="21"/>
      <c r="KAE41" s="21"/>
      <c r="KAF41" s="21"/>
      <c r="KAG41" s="21"/>
      <c r="KAH41" s="21"/>
      <c r="KAI41" s="21"/>
      <c r="KAJ41" s="21"/>
      <c r="KAK41" s="21"/>
      <c r="KAL41" s="21"/>
      <c r="KAM41" s="21"/>
      <c r="KAN41" s="21"/>
      <c r="KAO41" s="21"/>
      <c r="KAP41" s="21"/>
      <c r="KAQ41" s="21"/>
      <c r="KAR41" s="21"/>
      <c r="KAS41" s="21"/>
      <c r="KAT41" s="21"/>
      <c r="KAU41" s="21"/>
      <c r="KAV41" s="21"/>
      <c r="KAW41" s="21"/>
      <c r="KAX41" s="21"/>
      <c r="KAY41" s="21"/>
      <c r="KAZ41" s="21"/>
      <c r="KBA41" s="21"/>
      <c r="KBB41" s="21"/>
      <c r="KBC41" s="21"/>
      <c r="KBD41" s="21"/>
      <c r="KBE41" s="21"/>
      <c r="KBF41" s="21"/>
      <c r="KBG41" s="21"/>
      <c r="KBH41" s="21"/>
      <c r="KBI41" s="21"/>
      <c r="KBJ41" s="21"/>
      <c r="KBK41" s="21"/>
      <c r="KBL41" s="21"/>
      <c r="KBM41" s="21"/>
      <c r="KBN41" s="21"/>
      <c r="KBO41" s="21"/>
      <c r="KBP41" s="21"/>
      <c r="KBQ41" s="21"/>
      <c r="KBR41" s="21"/>
      <c r="KBS41" s="21"/>
      <c r="KBT41" s="21"/>
      <c r="KBU41" s="21"/>
      <c r="KBV41" s="21"/>
      <c r="KBW41" s="21"/>
      <c r="KBX41" s="21"/>
      <c r="KBY41" s="21"/>
      <c r="KBZ41" s="21"/>
      <c r="KCA41" s="21"/>
      <c r="KCB41" s="21"/>
      <c r="KCC41" s="21"/>
      <c r="KCD41" s="21"/>
      <c r="KCE41" s="21"/>
      <c r="KCF41" s="21"/>
      <c r="KCG41" s="21"/>
      <c r="KCH41" s="21"/>
      <c r="KCI41" s="21"/>
      <c r="KCJ41" s="21"/>
      <c r="KCK41" s="21"/>
      <c r="KCL41" s="21"/>
      <c r="KCM41" s="21"/>
      <c r="KCN41" s="21"/>
      <c r="KCO41" s="21"/>
      <c r="KCP41" s="21"/>
      <c r="KCQ41" s="21"/>
      <c r="KCR41" s="21"/>
      <c r="KCS41" s="21"/>
      <c r="KCT41" s="21"/>
      <c r="KCU41" s="21"/>
      <c r="KCV41" s="21"/>
      <c r="KCW41" s="21"/>
      <c r="KCX41" s="21"/>
      <c r="KCY41" s="21"/>
      <c r="KCZ41" s="21"/>
      <c r="KDA41" s="21"/>
      <c r="KDB41" s="21"/>
      <c r="KDC41" s="21"/>
      <c r="KDD41" s="21"/>
      <c r="KDE41" s="21"/>
      <c r="KDF41" s="21"/>
      <c r="KDG41" s="21"/>
      <c r="KDH41" s="21"/>
      <c r="KDI41" s="21"/>
      <c r="KDJ41" s="21"/>
      <c r="KDK41" s="21"/>
      <c r="KDL41" s="21"/>
      <c r="KDM41" s="21"/>
      <c r="KDN41" s="21"/>
      <c r="KDO41" s="21"/>
      <c r="KDP41" s="21"/>
      <c r="KDQ41" s="21"/>
      <c r="KDR41" s="21"/>
      <c r="KDS41" s="21"/>
      <c r="KDT41" s="21"/>
      <c r="KDU41" s="21"/>
      <c r="KDV41" s="21"/>
      <c r="KDW41" s="21"/>
      <c r="KDX41" s="21"/>
      <c r="KDY41" s="21"/>
      <c r="KDZ41" s="21"/>
      <c r="KEA41" s="21"/>
      <c r="KEB41" s="21"/>
      <c r="KEC41" s="21"/>
      <c r="KED41" s="21"/>
      <c r="KEE41" s="21"/>
      <c r="KEF41" s="21"/>
      <c r="KEG41" s="21"/>
      <c r="KEH41" s="21"/>
      <c r="KEI41" s="21"/>
      <c r="KEJ41" s="21"/>
      <c r="KEK41" s="21"/>
      <c r="KEL41" s="21"/>
      <c r="KEM41" s="21"/>
      <c r="KEN41" s="21"/>
      <c r="KEO41" s="21"/>
      <c r="KEP41" s="21"/>
      <c r="KEQ41" s="21"/>
      <c r="KER41" s="21"/>
      <c r="KES41" s="21"/>
      <c r="KET41" s="21"/>
      <c r="KEU41" s="21"/>
      <c r="KEV41" s="21"/>
      <c r="KEW41" s="21"/>
      <c r="KEX41" s="21"/>
      <c r="KEY41" s="21"/>
      <c r="KEZ41" s="21"/>
      <c r="KFA41" s="21"/>
      <c r="KFB41" s="21"/>
      <c r="KFC41" s="21"/>
      <c r="KFD41" s="21"/>
      <c r="KFE41" s="21"/>
      <c r="KFF41" s="21"/>
      <c r="KFG41" s="21"/>
      <c r="KFH41" s="21"/>
      <c r="KFI41" s="21"/>
      <c r="KFJ41" s="21"/>
      <c r="KFK41" s="21"/>
      <c r="KFL41" s="21"/>
      <c r="KFM41" s="21"/>
      <c r="KFN41" s="21"/>
      <c r="KFO41" s="21"/>
      <c r="KFP41" s="21"/>
      <c r="KFQ41" s="21"/>
      <c r="KFR41" s="21"/>
      <c r="KFS41" s="21"/>
      <c r="KFT41" s="21"/>
      <c r="KFU41" s="21"/>
      <c r="KFV41" s="21"/>
      <c r="KFW41" s="21"/>
      <c r="KFX41" s="21"/>
      <c r="KFY41" s="21"/>
      <c r="KFZ41" s="21"/>
      <c r="KGA41" s="21"/>
      <c r="KGB41" s="21"/>
      <c r="KGC41" s="21"/>
      <c r="KGD41" s="21"/>
      <c r="KGE41" s="21"/>
      <c r="KGF41" s="21"/>
      <c r="KGG41" s="21"/>
      <c r="KGH41" s="21"/>
      <c r="KGI41" s="21"/>
      <c r="KGJ41" s="21"/>
      <c r="KGK41" s="21"/>
      <c r="KGL41" s="21"/>
      <c r="KGM41" s="21"/>
      <c r="KGN41" s="21"/>
      <c r="KGO41" s="21"/>
      <c r="KGP41" s="21"/>
      <c r="KGQ41" s="21"/>
      <c r="KGR41" s="21"/>
      <c r="KGS41" s="21"/>
      <c r="KGT41" s="21"/>
      <c r="KGU41" s="21"/>
      <c r="KGV41" s="21"/>
      <c r="KGW41" s="21"/>
      <c r="KGX41" s="21"/>
      <c r="KGY41" s="21"/>
      <c r="KGZ41" s="21"/>
      <c r="KHA41" s="21"/>
      <c r="KHB41" s="21"/>
      <c r="KHC41" s="21"/>
      <c r="KHD41" s="21"/>
      <c r="KHE41" s="21"/>
      <c r="KHF41" s="21"/>
      <c r="KHG41" s="21"/>
      <c r="KHH41" s="21"/>
      <c r="KHI41" s="21"/>
      <c r="KHJ41" s="21"/>
      <c r="KHK41" s="21"/>
      <c r="KHL41" s="21"/>
      <c r="KHM41" s="21"/>
      <c r="KHN41" s="21"/>
      <c r="KHO41" s="21"/>
      <c r="KHP41" s="21"/>
      <c r="KHQ41" s="21"/>
      <c r="KHR41" s="21"/>
      <c r="KHS41" s="21"/>
      <c r="KHT41" s="21"/>
      <c r="KHU41" s="21"/>
      <c r="KHV41" s="21"/>
      <c r="KHW41" s="21"/>
      <c r="KHX41" s="21"/>
      <c r="KHY41" s="21"/>
      <c r="KHZ41" s="21"/>
      <c r="KIA41" s="21"/>
      <c r="KIB41" s="21"/>
      <c r="KIC41" s="21"/>
      <c r="KID41" s="21"/>
      <c r="KIE41" s="21"/>
      <c r="KIF41" s="21"/>
      <c r="KIG41" s="21"/>
      <c r="KIH41" s="21"/>
      <c r="KII41" s="21"/>
      <c r="KIJ41" s="21"/>
      <c r="KIK41" s="21"/>
      <c r="KIL41" s="21"/>
      <c r="KIM41" s="21"/>
      <c r="KIN41" s="21"/>
      <c r="KIO41" s="21"/>
      <c r="KIP41" s="21"/>
      <c r="KIQ41" s="21"/>
      <c r="KIR41" s="21"/>
      <c r="KIS41" s="21"/>
      <c r="KIT41" s="21"/>
      <c r="KIU41" s="21"/>
      <c r="KIV41" s="21"/>
      <c r="KIW41" s="21"/>
      <c r="KIX41" s="21"/>
      <c r="KIY41" s="21"/>
      <c r="KIZ41" s="21"/>
      <c r="KJA41" s="21"/>
      <c r="KJB41" s="21"/>
      <c r="KJC41" s="21"/>
      <c r="KJD41" s="21"/>
      <c r="KJE41" s="21"/>
      <c r="KJF41" s="21"/>
      <c r="KJG41" s="21"/>
      <c r="KJH41" s="21"/>
      <c r="KJI41" s="21"/>
      <c r="KJJ41" s="21"/>
      <c r="KJK41" s="21"/>
      <c r="KJL41" s="21"/>
      <c r="KJM41" s="21"/>
      <c r="KJN41" s="21"/>
      <c r="KJO41" s="21"/>
      <c r="KJP41" s="21"/>
      <c r="KJQ41" s="21"/>
      <c r="KJR41" s="21"/>
      <c r="KJS41" s="21"/>
      <c r="KJT41" s="21"/>
      <c r="KJU41" s="21"/>
      <c r="KJV41" s="21"/>
      <c r="KJW41" s="21"/>
      <c r="KJX41" s="21"/>
      <c r="KJY41" s="21"/>
      <c r="KJZ41" s="21"/>
      <c r="KKA41" s="21"/>
      <c r="KKB41" s="21"/>
      <c r="KKC41" s="21"/>
      <c r="KKD41" s="21"/>
      <c r="KKE41" s="21"/>
      <c r="KKF41" s="21"/>
      <c r="KKG41" s="21"/>
      <c r="KKH41" s="21"/>
      <c r="KKI41" s="21"/>
      <c r="KKJ41" s="21"/>
      <c r="KKK41" s="21"/>
      <c r="KKL41" s="21"/>
      <c r="KKM41" s="21"/>
      <c r="KKN41" s="21"/>
      <c r="KKO41" s="21"/>
      <c r="KKP41" s="21"/>
      <c r="KKQ41" s="21"/>
      <c r="KKR41" s="21"/>
      <c r="KKS41" s="21"/>
      <c r="KKT41" s="21"/>
      <c r="KKU41" s="21"/>
      <c r="KKV41" s="21"/>
      <c r="KKW41" s="21"/>
      <c r="KKX41" s="21"/>
      <c r="KKY41" s="21"/>
      <c r="KKZ41" s="21"/>
      <c r="KLA41" s="21"/>
      <c r="KLB41" s="21"/>
      <c r="KLC41" s="21"/>
      <c r="KLD41" s="21"/>
      <c r="KLE41" s="21"/>
      <c r="KLF41" s="21"/>
      <c r="KLG41" s="21"/>
      <c r="KLH41" s="21"/>
      <c r="KLI41" s="21"/>
      <c r="KLJ41" s="21"/>
      <c r="KLK41" s="21"/>
      <c r="KLL41" s="21"/>
      <c r="KLM41" s="21"/>
      <c r="KLN41" s="21"/>
      <c r="KLO41" s="21"/>
      <c r="KLP41" s="21"/>
      <c r="KLQ41" s="21"/>
      <c r="KLR41" s="21"/>
      <c r="KLS41" s="21"/>
      <c r="KLT41" s="21"/>
      <c r="KLU41" s="21"/>
      <c r="KLV41" s="21"/>
      <c r="KLW41" s="21"/>
      <c r="KLX41" s="21"/>
      <c r="KLY41" s="21"/>
      <c r="KLZ41" s="21"/>
      <c r="KMA41" s="21"/>
      <c r="KMB41" s="21"/>
      <c r="KMC41" s="21"/>
      <c r="KMD41" s="21"/>
      <c r="KME41" s="21"/>
      <c r="KMF41" s="21"/>
      <c r="KMG41" s="21"/>
      <c r="KMH41" s="21"/>
      <c r="KMI41" s="21"/>
      <c r="KMJ41" s="21"/>
      <c r="KMK41" s="21"/>
      <c r="KML41" s="21"/>
      <c r="KMM41" s="21"/>
      <c r="KMN41" s="21"/>
      <c r="KMO41" s="21"/>
      <c r="KMP41" s="21"/>
      <c r="KMQ41" s="21"/>
      <c r="KMR41" s="21"/>
      <c r="KMS41" s="21"/>
      <c r="KMT41" s="21"/>
      <c r="KMU41" s="21"/>
      <c r="KMV41" s="21"/>
      <c r="KMW41" s="21"/>
      <c r="KMX41" s="21"/>
      <c r="KMY41" s="21"/>
      <c r="KMZ41" s="21"/>
      <c r="KNA41" s="21"/>
      <c r="KNB41" s="21"/>
      <c r="KNC41" s="21"/>
      <c r="KND41" s="21"/>
      <c r="KNE41" s="21"/>
      <c r="KNF41" s="21"/>
      <c r="KNG41" s="21"/>
      <c r="KNH41" s="21"/>
      <c r="KNI41" s="21"/>
      <c r="KNJ41" s="21"/>
      <c r="KNK41" s="21"/>
      <c r="KNL41" s="21"/>
      <c r="KNM41" s="21"/>
      <c r="KNN41" s="21"/>
      <c r="KNO41" s="21"/>
      <c r="KNP41" s="21"/>
      <c r="KNQ41" s="21"/>
      <c r="KNR41" s="21"/>
      <c r="KNS41" s="21"/>
      <c r="KNT41" s="21"/>
      <c r="KNU41" s="21"/>
      <c r="KNV41" s="21"/>
      <c r="KNW41" s="21"/>
      <c r="KNX41" s="21"/>
      <c r="KNY41" s="21"/>
      <c r="KNZ41" s="21"/>
      <c r="KOA41" s="21"/>
      <c r="KOB41" s="21"/>
      <c r="KOC41" s="21"/>
      <c r="KOD41" s="21"/>
      <c r="KOE41" s="21"/>
      <c r="KOF41" s="21"/>
      <c r="KOG41" s="21"/>
      <c r="KOH41" s="21"/>
      <c r="KOI41" s="21"/>
      <c r="KOJ41" s="21"/>
      <c r="KOK41" s="21"/>
      <c r="KOL41" s="21"/>
      <c r="KOM41" s="21"/>
      <c r="KON41" s="21"/>
      <c r="KOO41" s="21"/>
      <c r="KOP41" s="21"/>
      <c r="KOQ41" s="21"/>
      <c r="KOR41" s="21"/>
      <c r="KOS41" s="21"/>
      <c r="KOT41" s="21"/>
      <c r="KOU41" s="21"/>
      <c r="KOV41" s="21"/>
      <c r="KOW41" s="21"/>
      <c r="KOX41" s="21"/>
      <c r="KOY41" s="21"/>
      <c r="KOZ41" s="21"/>
      <c r="KPA41" s="21"/>
      <c r="KPB41" s="21"/>
      <c r="KPC41" s="21"/>
      <c r="KPD41" s="21"/>
      <c r="KPE41" s="21"/>
      <c r="KPF41" s="21"/>
      <c r="KPG41" s="21"/>
      <c r="KPH41" s="21"/>
      <c r="KPI41" s="21"/>
      <c r="KPJ41" s="21"/>
      <c r="KPK41" s="21"/>
      <c r="KPL41" s="21"/>
      <c r="KPM41" s="21"/>
      <c r="KPN41" s="21"/>
      <c r="KPO41" s="21"/>
      <c r="KPP41" s="21"/>
      <c r="KPQ41" s="21"/>
      <c r="KPR41" s="21"/>
      <c r="KPS41" s="21"/>
      <c r="KPT41" s="21"/>
      <c r="KPU41" s="21"/>
      <c r="KPV41" s="21"/>
      <c r="KPW41" s="21"/>
      <c r="KPX41" s="21"/>
      <c r="KPY41" s="21"/>
      <c r="KPZ41" s="21"/>
      <c r="KQA41" s="21"/>
      <c r="KQB41" s="21"/>
      <c r="KQC41" s="21"/>
      <c r="KQD41" s="21"/>
      <c r="KQE41" s="21"/>
      <c r="KQF41" s="21"/>
      <c r="KQG41" s="21"/>
      <c r="KQH41" s="21"/>
      <c r="KQI41" s="21"/>
      <c r="KQJ41" s="21"/>
      <c r="KQK41" s="21"/>
      <c r="KQL41" s="21"/>
      <c r="KQM41" s="21"/>
      <c r="KQN41" s="21"/>
      <c r="KQO41" s="21"/>
      <c r="KQP41" s="21"/>
      <c r="KQQ41" s="21"/>
      <c r="KQR41" s="21"/>
      <c r="KQS41" s="21"/>
      <c r="KQT41" s="21"/>
      <c r="KQU41" s="21"/>
      <c r="KQV41" s="21"/>
      <c r="KQW41" s="21"/>
      <c r="KQX41" s="21"/>
      <c r="KQY41" s="21"/>
      <c r="KQZ41" s="21"/>
      <c r="KRA41" s="21"/>
      <c r="KRB41" s="21"/>
      <c r="KRC41" s="21"/>
      <c r="KRD41" s="21"/>
      <c r="KRE41" s="21"/>
      <c r="KRF41" s="21"/>
      <c r="KRG41" s="21"/>
      <c r="KRH41" s="21"/>
      <c r="KRI41" s="21"/>
      <c r="KRJ41" s="21"/>
      <c r="KRK41" s="21"/>
      <c r="KRL41" s="21"/>
      <c r="KRM41" s="21"/>
      <c r="KRN41" s="21"/>
      <c r="KRO41" s="21"/>
      <c r="KRP41" s="21"/>
      <c r="KRQ41" s="21"/>
      <c r="KRR41" s="21"/>
      <c r="KRS41" s="21"/>
      <c r="KRT41" s="21"/>
      <c r="KRU41" s="21"/>
      <c r="KRV41" s="21"/>
      <c r="KRW41" s="21"/>
      <c r="KRX41" s="21"/>
      <c r="KRY41" s="21"/>
      <c r="KRZ41" s="21"/>
      <c r="KSA41" s="21"/>
      <c r="KSB41" s="21"/>
      <c r="KSC41" s="21"/>
      <c r="KSD41" s="21"/>
      <c r="KSE41" s="21"/>
      <c r="KSF41" s="21"/>
      <c r="KSG41" s="21"/>
      <c r="KSH41" s="21"/>
      <c r="KSI41" s="21"/>
      <c r="KSJ41" s="21"/>
      <c r="KSK41" s="21"/>
      <c r="KSL41" s="21"/>
      <c r="KSM41" s="21"/>
      <c r="KSN41" s="21"/>
      <c r="KSO41" s="21"/>
      <c r="KSP41" s="21"/>
      <c r="KSQ41" s="21"/>
      <c r="KSR41" s="21"/>
      <c r="KSS41" s="21"/>
      <c r="KST41" s="21"/>
      <c r="KSU41" s="21"/>
      <c r="KSV41" s="21"/>
      <c r="KSW41" s="21"/>
      <c r="KSX41" s="21"/>
      <c r="KSY41" s="21"/>
      <c r="KSZ41" s="21"/>
      <c r="KTA41" s="21"/>
      <c r="KTB41" s="21"/>
      <c r="KTC41" s="21"/>
      <c r="KTD41" s="21"/>
      <c r="KTE41" s="21"/>
      <c r="KTF41" s="21"/>
      <c r="KTG41" s="21"/>
      <c r="KTH41" s="21"/>
      <c r="KTI41" s="21"/>
      <c r="KTJ41" s="21"/>
      <c r="KTK41" s="21"/>
      <c r="KTL41" s="21"/>
      <c r="KTM41" s="21"/>
      <c r="KTN41" s="21"/>
      <c r="KTO41" s="21"/>
      <c r="KTP41" s="21"/>
      <c r="KTQ41" s="21"/>
      <c r="KTR41" s="21"/>
      <c r="KTS41" s="21"/>
      <c r="KTT41" s="21"/>
      <c r="KTU41" s="21"/>
      <c r="KTV41" s="21"/>
      <c r="KTW41" s="21"/>
      <c r="KTX41" s="21"/>
      <c r="KTY41" s="21"/>
      <c r="KTZ41" s="21"/>
      <c r="KUA41" s="21"/>
      <c r="KUB41" s="21"/>
      <c r="KUC41" s="21"/>
      <c r="KUD41" s="21"/>
      <c r="KUE41" s="21"/>
      <c r="KUF41" s="21"/>
      <c r="KUG41" s="21"/>
      <c r="KUH41" s="21"/>
      <c r="KUI41" s="21"/>
      <c r="KUJ41" s="21"/>
      <c r="KUK41" s="21"/>
      <c r="KUL41" s="21"/>
      <c r="KUM41" s="21"/>
      <c r="KUN41" s="21"/>
      <c r="KUO41" s="21"/>
      <c r="KUP41" s="21"/>
      <c r="KUQ41" s="21"/>
      <c r="KUR41" s="21"/>
      <c r="KUS41" s="21"/>
      <c r="KUT41" s="21"/>
      <c r="KUU41" s="21"/>
      <c r="KUV41" s="21"/>
      <c r="KUW41" s="21"/>
      <c r="KUX41" s="21"/>
      <c r="KUY41" s="21"/>
      <c r="KUZ41" s="21"/>
      <c r="KVA41" s="21"/>
      <c r="KVB41" s="21"/>
      <c r="KVC41" s="21"/>
      <c r="KVD41" s="21"/>
      <c r="KVE41" s="21"/>
      <c r="KVF41" s="21"/>
      <c r="KVG41" s="21"/>
      <c r="KVH41" s="21"/>
      <c r="KVI41" s="21"/>
      <c r="KVJ41" s="21"/>
      <c r="KVK41" s="21"/>
      <c r="KVL41" s="21"/>
      <c r="KVM41" s="21"/>
      <c r="KVN41" s="21"/>
      <c r="KVO41" s="21"/>
      <c r="KVP41" s="21"/>
      <c r="KVQ41" s="21"/>
      <c r="KVR41" s="21"/>
      <c r="KVS41" s="21"/>
      <c r="KVT41" s="21"/>
      <c r="KVU41" s="21"/>
      <c r="KVV41" s="21"/>
      <c r="KVW41" s="21"/>
      <c r="KVX41" s="21"/>
      <c r="KVY41" s="21"/>
      <c r="KVZ41" s="21"/>
      <c r="KWA41" s="21"/>
      <c r="KWB41" s="21"/>
      <c r="KWC41" s="21"/>
      <c r="KWD41" s="21"/>
      <c r="KWE41" s="21"/>
      <c r="KWF41" s="21"/>
      <c r="KWG41" s="21"/>
      <c r="KWH41" s="21"/>
      <c r="KWI41" s="21"/>
      <c r="KWJ41" s="21"/>
      <c r="KWK41" s="21"/>
      <c r="KWL41" s="21"/>
      <c r="KWM41" s="21"/>
      <c r="KWN41" s="21"/>
      <c r="KWO41" s="21"/>
      <c r="KWP41" s="21"/>
      <c r="KWQ41" s="21"/>
      <c r="KWR41" s="21"/>
      <c r="KWS41" s="21"/>
      <c r="KWT41" s="21"/>
      <c r="KWU41" s="21"/>
      <c r="KWV41" s="21"/>
      <c r="KWW41" s="21"/>
      <c r="KWX41" s="21"/>
      <c r="KWY41" s="21"/>
      <c r="KWZ41" s="21"/>
      <c r="KXA41" s="21"/>
      <c r="KXB41" s="21"/>
      <c r="KXC41" s="21"/>
      <c r="KXD41" s="21"/>
      <c r="KXE41" s="21"/>
      <c r="KXF41" s="21"/>
      <c r="KXG41" s="21"/>
      <c r="KXH41" s="21"/>
      <c r="KXI41" s="21"/>
      <c r="KXJ41" s="21"/>
      <c r="KXK41" s="21"/>
      <c r="KXL41" s="21"/>
      <c r="KXM41" s="21"/>
      <c r="KXN41" s="21"/>
      <c r="KXO41" s="21"/>
      <c r="KXP41" s="21"/>
      <c r="KXQ41" s="21"/>
      <c r="KXR41" s="21"/>
      <c r="KXS41" s="21"/>
      <c r="KXT41" s="21"/>
      <c r="KXU41" s="21"/>
      <c r="KXV41" s="21"/>
      <c r="KXW41" s="21"/>
      <c r="KXX41" s="21"/>
      <c r="KXY41" s="21"/>
      <c r="KXZ41" s="21"/>
      <c r="KYA41" s="21"/>
      <c r="KYB41" s="21"/>
      <c r="KYC41" s="21"/>
      <c r="KYD41" s="21"/>
      <c r="KYE41" s="21"/>
      <c r="KYF41" s="21"/>
      <c r="KYG41" s="21"/>
      <c r="KYH41" s="21"/>
      <c r="KYI41" s="21"/>
      <c r="KYJ41" s="21"/>
      <c r="KYK41" s="21"/>
      <c r="KYL41" s="21"/>
      <c r="KYM41" s="21"/>
      <c r="KYN41" s="21"/>
      <c r="KYO41" s="21"/>
      <c r="KYP41" s="21"/>
      <c r="KYQ41" s="21"/>
      <c r="KYR41" s="21"/>
      <c r="KYS41" s="21"/>
      <c r="KYT41" s="21"/>
      <c r="KYU41" s="21"/>
      <c r="KYV41" s="21"/>
      <c r="KYW41" s="21"/>
      <c r="KYX41" s="21"/>
      <c r="KYY41" s="21"/>
      <c r="KYZ41" s="21"/>
      <c r="KZA41" s="21"/>
      <c r="KZB41" s="21"/>
      <c r="KZC41" s="21"/>
      <c r="KZD41" s="21"/>
      <c r="KZE41" s="21"/>
      <c r="KZF41" s="21"/>
      <c r="KZG41" s="21"/>
      <c r="KZH41" s="21"/>
      <c r="KZI41" s="21"/>
      <c r="KZJ41" s="21"/>
      <c r="KZK41" s="21"/>
      <c r="KZL41" s="21"/>
      <c r="KZM41" s="21"/>
      <c r="KZN41" s="21"/>
      <c r="KZO41" s="21"/>
      <c r="KZP41" s="21"/>
      <c r="KZQ41" s="21"/>
      <c r="KZR41" s="21"/>
      <c r="KZS41" s="21"/>
      <c r="KZT41" s="21"/>
      <c r="KZU41" s="21"/>
      <c r="KZV41" s="21"/>
      <c r="KZW41" s="21"/>
      <c r="KZX41" s="21"/>
      <c r="KZY41" s="21"/>
      <c r="KZZ41" s="21"/>
      <c r="LAA41" s="21"/>
      <c r="LAB41" s="21"/>
      <c r="LAC41" s="21"/>
      <c r="LAD41" s="21"/>
      <c r="LAE41" s="21"/>
      <c r="LAF41" s="21"/>
      <c r="LAG41" s="21"/>
      <c r="LAH41" s="21"/>
      <c r="LAI41" s="21"/>
      <c r="LAJ41" s="21"/>
      <c r="LAK41" s="21"/>
      <c r="LAL41" s="21"/>
      <c r="LAM41" s="21"/>
      <c r="LAN41" s="21"/>
      <c r="LAO41" s="21"/>
      <c r="LAP41" s="21"/>
      <c r="LAQ41" s="21"/>
      <c r="LAR41" s="21"/>
      <c r="LAS41" s="21"/>
      <c r="LAT41" s="21"/>
      <c r="LAU41" s="21"/>
      <c r="LAV41" s="21"/>
      <c r="LAW41" s="21"/>
      <c r="LAX41" s="21"/>
      <c r="LAY41" s="21"/>
      <c r="LAZ41" s="21"/>
      <c r="LBA41" s="21"/>
      <c r="LBB41" s="21"/>
      <c r="LBC41" s="21"/>
      <c r="LBD41" s="21"/>
      <c r="LBE41" s="21"/>
      <c r="LBF41" s="21"/>
      <c r="LBG41" s="21"/>
      <c r="LBH41" s="21"/>
      <c r="LBI41" s="21"/>
      <c r="LBJ41" s="21"/>
      <c r="LBK41" s="21"/>
      <c r="LBL41" s="21"/>
      <c r="LBM41" s="21"/>
      <c r="LBN41" s="21"/>
      <c r="LBO41" s="21"/>
      <c r="LBP41" s="21"/>
      <c r="LBQ41" s="21"/>
      <c r="LBR41" s="21"/>
      <c r="LBS41" s="21"/>
      <c r="LBT41" s="21"/>
      <c r="LBU41" s="21"/>
      <c r="LBV41" s="21"/>
      <c r="LBW41" s="21"/>
      <c r="LBX41" s="21"/>
      <c r="LBY41" s="21"/>
      <c r="LBZ41" s="21"/>
      <c r="LCA41" s="21"/>
      <c r="LCB41" s="21"/>
      <c r="LCC41" s="21"/>
      <c r="LCD41" s="21"/>
      <c r="LCE41" s="21"/>
      <c r="LCF41" s="21"/>
      <c r="LCG41" s="21"/>
      <c r="LCH41" s="21"/>
      <c r="LCI41" s="21"/>
      <c r="LCJ41" s="21"/>
      <c r="LCK41" s="21"/>
      <c r="LCL41" s="21"/>
      <c r="LCM41" s="21"/>
      <c r="LCN41" s="21"/>
      <c r="LCO41" s="21"/>
      <c r="LCP41" s="21"/>
      <c r="LCQ41" s="21"/>
      <c r="LCR41" s="21"/>
      <c r="LCS41" s="21"/>
      <c r="LCT41" s="21"/>
      <c r="LCU41" s="21"/>
      <c r="LCV41" s="21"/>
      <c r="LCW41" s="21"/>
      <c r="LCX41" s="21"/>
      <c r="LCY41" s="21"/>
      <c r="LCZ41" s="21"/>
      <c r="LDA41" s="21"/>
      <c r="LDB41" s="21"/>
      <c r="LDC41" s="21"/>
      <c r="LDD41" s="21"/>
      <c r="LDE41" s="21"/>
      <c r="LDF41" s="21"/>
      <c r="LDG41" s="21"/>
      <c r="LDH41" s="21"/>
      <c r="LDI41" s="21"/>
      <c r="LDJ41" s="21"/>
      <c r="LDK41" s="21"/>
      <c r="LDL41" s="21"/>
      <c r="LDM41" s="21"/>
      <c r="LDN41" s="21"/>
      <c r="LDO41" s="21"/>
      <c r="LDP41" s="21"/>
      <c r="LDQ41" s="21"/>
      <c r="LDR41" s="21"/>
      <c r="LDS41" s="21"/>
      <c r="LDT41" s="21"/>
      <c r="LDU41" s="21"/>
      <c r="LDV41" s="21"/>
      <c r="LDW41" s="21"/>
      <c r="LDX41" s="21"/>
      <c r="LDY41" s="21"/>
      <c r="LDZ41" s="21"/>
      <c r="LEA41" s="21"/>
      <c r="LEB41" s="21"/>
      <c r="LEC41" s="21"/>
      <c r="LED41" s="21"/>
      <c r="LEE41" s="21"/>
      <c r="LEF41" s="21"/>
      <c r="LEG41" s="21"/>
      <c r="LEH41" s="21"/>
      <c r="LEI41" s="21"/>
      <c r="LEJ41" s="21"/>
      <c r="LEK41" s="21"/>
      <c r="LEL41" s="21"/>
      <c r="LEM41" s="21"/>
      <c r="LEN41" s="21"/>
      <c r="LEO41" s="21"/>
      <c r="LEP41" s="21"/>
      <c r="LEQ41" s="21"/>
      <c r="LER41" s="21"/>
      <c r="LES41" s="21"/>
      <c r="LET41" s="21"/>
      <c r="LEU41" s="21"/>
      <c r="LEV41" s="21"/>
      <c r="LEW41" s="21"/>
      <c r="LEX41" s="21"/>
      <c r="LEY41" s="21"/>
      <c r="LEZ41" s="21"/>
      <c r="LFA41" s="21"/>
      <c r="LFB41" s="21"/>
      <c r="LFC41" s="21"/>
      <c r="LFD41" s="21"/>
      <c r="LFE41" s="21"/>
      <c r="LFF41" s="21"/>
      <c r="LFG41" s="21"/>
      <c r="LFH41" s="21"/>
      <c r="LFI41" s="21"/>
      <c r="LFJ41" s="21"/>
      <c r="LFK41" s="21"/>
      <c r="LFL41" s="21"/>
      <c r="LFM41" s="21"/>
      <c r="LFN41" s="21"/>
      <c r="LFO41" s="21"/>
      <c r="LFP41" s="21"/>
      <c r="LFQ41" s="21"/>
      <c r="LFR41" s="21"/>
      <c r="LFS41" s="21"/>
      <c r="LFT41" s="21"/>
      <c r="LFU41" s="21"/>
      <c r="LFV41" s="21"/>
      <c r="LFW41" s="21"/>
      <c r="LFX41" s="21"/>
      <c r="LFY41" s="21"/>
      <c r="LFZ41" s="21"/>
      <c r="LGA41" s="21"/>
      <c r="LGB41" s="21"/>
      <c r="LGC41" s="21"/>
      <c r="LGD41" s="21"/>
      <c r="LGE41" s="21"/>
      <c r="LGF41" s="21"/>
      <c r="LGG41" s="21"/>
      <c r="LGH41" s="21"/>
      <c r="LGI41" s="21"/>
      <c r="LGJ41" s="21"/>
      <c r="LGK41" s="21"/>
      <c r="LGL41" s="21"/>
      <c r="LGM41" s="21"/>
      <c r="LGN41" s="21"/>
      <c r="LGO41" s="21"/>
      <c r="LGP41" s="21"/>
      <c r="LGQ41" s="21"/>
      <c r="LGR41" s="21"/>
      <c r="LGS41" s="21"/>
      <c r="LGT41" s="21"/>
      <c r="LGU41" s="21"/>
      <c r="LGV41" s="21"/>
      <c r="LGW41" s="21"/>
      <c r="LGX41" s="21"/>
      <c r="LGY41" s="21"/>
      <c r="LGZ41" s="21"/>
      <c r="LHA41" s="21"/>
      <c r="LHB41" s="21"/>
      <c r="LHC41" s="21"/>
      <c r="LHD41" s="21"/>
      <c r="LHE41" s="21"/>
      <c r="LHF41" s="21"/>
      <c r="LHG41" s="21"/>
      <c r="LHH41" s="21"/>
      <c r="LHI41" s="21"/>
      <c r="LHJ41" s="21"/>
      <c r="LHK41" s="21"/>
      <c r="LHL41" s="21"/>
      <c r="LHM41" s="21"/>
      <c r="LHN41" s="21"/>
      <c r="LHO41" s="21"/>
      <c r="LHP41" s="21"/>
      <c r="LHQ41" s="21"/>
      <c r="LHR41" s="21"/>
      <c r="LHS41" s="21"/>
      <c r="LHT41" s="21"/>
      <c r="LHU41" s="21"/>
      <c r="LHV41" s="21"/>
      <c r="LHW41" s="21"/>
      <c r="LHX41" s="21"/>
      <c r="LHY41" s="21"/>
      <c r="LHZ41" s="21"/>
      <c r="LIA41" s="21"/>
      <c r="LIB41" s="21"/>
      <c r="LIC41" s="21"/>
      <c r="LID41" s="21"/>
      <c r="LIE41" s="21"/>
      <c r="LIF41" s="21"/>
      <c r="LIG41" s="21"/>
      <c r="LIH41" s="21"/>
      <c r="LII41" s="21"/>
      <c r="LIJ41" s="21"/>
      <c r="LIK41" s="21"/>
      <c r="LIL41" s="21"/>
      <c r="LIM41" s="21"/>
      <c r="LIN41" s="21"/>
      <c r="LIO41" s="21"/>
      <c r="LIP41" s="21"/>
      <c r="LIQ41" s="21"/>
      <c r="LIR41" s="21"/>
      <c r="LIS41" s="21"/>
      <c r="LIT41" s="21"/>
      <c r="LIU41" s="21"/>
      <c r="LIV41" s="21"/>
      <c r="LIW41" s="21"/>
      <c r="LIX41" s="21"/>
      <c r="LIY41" s="21"/>
      <c r="LIZ41" s="21"/>
      <c r="LJA41" s="21"/>
      <c r="LJB41" s="21"/>
      <c r="LJC41" s="21"/>
      <c r="LJD41" s="21"/>
      <c r="LJE41" s="21"/>
      <c r="LJF41" s="21"/>
      <c r="LJG41" s="21"/>
      <c r="LJH41" s="21"/>
      <c r="LJI41" s="21"/>
      <c r="LJJ41" s="21"/>
      <c r="LJK41" s="21"/>
      <c r="LJL41" s="21"/>
      <c r="LJM41" s="21"/>
      <c r="LJN41" s="21"/>
      <c r="LJO41" s="21"/>
      <c r="LJP41" s="21"/>
      <c r="LJQ41" s="21"/>
      <c r="LJR41" s="21"/>
      <c r="LJS41" s="21"/>
      <c r="LJT41" s="21"/>
      <c r="LJU41" s="21"/>
      <c r="LJV41" s="21"/>
      <c r="LJW41" s="21"/>
      <c r="LJX41" s="21"/>
      <c r="LJY41" s="21"/>
      <c r="LJZ41" s="21"/>
      <c r="LKA41" s="21"/>
      <c r="LKB41" s="21"/>
      <c r="LKC41" s="21"/>
      <c r="LKD41" s="21"/>
      <c r="LKE41" s="21"/>
      <c r="LKF41" s="21"/>
      <c r="LKG41" s="21"/>
      <c r="LKH41" s="21"/>
      <c r="LKI41" s="21"/>
      <c r="LKJ41" s="21"/>
      <c r="LKK41" s="21"/>
      <c r="LKL41" s="21"/>
      <c r="LKM41" s="21"/>
      <c r="LKN41" s="21"/>
      <c r="LKO41" s="21"/>
      <c r="LKP41" s="21"/>
      <c r="LKQ41" s="21"/>
      <c r="LKR41" s="21"/>
      <c r="LKS41" s="21"/>
      <c r="LKT41" s="21"/>
      <c r="LKU41" s="21"/>
      <c r="LKV41" s="21"/>
      <c r="LKW41" s="21"/>
      <c r="LKX41" s="21"/>
      <c r="LKY41" s="21"/>
      <c r="LKZ41" s="21"/>
      <c r="LLA41" s="21"/>
      <c r="LLB41" s="21"/>
      <c r="LLC41" s="21"/>
      <c r="LLD41" s="21"/>
      <c r="LLE41" s="21"/>
      <c r="LLF41" s="21"/>
      <c r="LLG41" s="21"/>
      <c r="LLH41" s="21"/>
      <c r="LLI41" s="21"/>
      <c r="LLJ41" s="21"/>
      <c r="LLK41" s="21"/>
      <c r="LLL41" s="21"/>
      <c r="LLM41" s="21"/>
      <c r="LLN41" s="21"/>
      <c r="LLO41" s="21"/>
      <c r="LLP41" s="21"/>
      <c r="LLQ41" s="21"/>
      <c r="LLR41" s="21"/>
      <c r="LLS41" s="21"/>
      <c r="LLT41" s="21"/>
      <c r="LLU41" s="21"/>
      <c r="LLV41" s="21"/>
      <c r="LLW41" s="21"/>
      <c r="LLX41" s="21"/>
      <c r="LLY41" s="21"/>
      <c r="LLZ41" s="21"/>
      <c r="LMA41" s="21"/>
      <c r="LMB41" s="21"/>
      <c r="LMC41" s="21"/>
      <c r="LMD41" s="21"/>
      <c r="LME41" s="21"/>
      <c r="LMF41" s="21"/>
      <c r="LMG41" s="21"/>
      <c r="LMH41" s="21"/>
      <c r="LMI41" s="21"/>
      <c r="LMJ41" s="21"/>
      <c r="LMK41" s="21"/>
      <c r="LML41" s="21"/>
      <c r="LMM41" s="21"/>
      <c r="LMN41" s="21"/>
      <c r="LMO41" s="21"/>
      <c r="LMP41" s="21"/>
      <c r="LMQ41" s="21"/>
      <c r="LMR41" s="21"/>
      <c r="LMS41" s="21"/>
      <c r="LMT41" s="21"/>
      <c r="LMU41" s="21"/>
      <c r="LMV41" s="21"/>
      <c r="LMW41" s="21"/>
      <c r="LMX41" s="21"/>
      <c r="LMY41" s="21"/>
      <c r="LMZ41" s="21"/>
      <c r="LNA41" s="21"/>
      <c r="LNB41" s="21"/>
      <c r="LNC41" s="21"/>
      <c r="LND41" s="21"/>
      <c r="LNE41" s="21"/>
      <c r="LNF41" s="21"/>
      <c r="LNG41" s="21"/>
      <c r="LNH41" s="21"/>
      <c r="LNI41" s="21"/>
      <c r="LNJ41" s="21"/>
      <c r="LNK41" s="21"/>
      <c r="LNL41" s="21"/>
      <c r="LNM41" s="21"/>
      <c r="LNN41" s="21"/>
      <c r="LNO41" s="21"/>
      <c r="LNP41" s="21"/>
      <c r="LNQ41" s="21"/>
      <c r="LNR41" s="21"/>
      <c r="LNS41" s="21"/>
      <c r="LNT41" s="21"/>
      <c r="LNU41" s="21"/>
      <c r="LNV41" s="21"/>
      <c r="LNW41" s="21"/>
      <c r="LNX41" s="21"/>
      <c r="LNY41" s="21"/>
      <c r="LNZ41" s="21"/>
      <c r="LOA41" s="21"/>
      <c r="LOB41" s="21"/>
      <c r="LOC41" s="21"/>
      <c r="LOD41" s="21"/>
      <c r="LOE41" s="21"/>
      <c r="LOF41" s="21"/>
      <c r="LOG41" s="21"/>
      <c r="LOH41" s="21"/>
      <c r="LOI41" s="21"/>
      <c r="LOJ41" s="21"/>
      <c r="LOK41" s="21"/>
      <c r="LOL41" s="21"/>
      <c r="LOM41" s="21"/>
      <c r="LON41" s="21"/>
      <c r="LOO41" s="21"/>
      <c r="LOP41" s="21"/>
      <c r="LOQ41" s="21"/>
      <c r="LOR41" s="21"/>
      <c r="LOS41" s="21"/>
      <c r="LOT41" s="21"/>
      <c r="LOU41" s="21"/>
      <c r="LOV41" s="21"/>
      <c r="LOW41" s="21"/>
      <c r="LOX41" s="21"/>
      <c r="LOY41" s="21"/>
      <c r="LOZ41" s="21"/>
      <c r="LPA41" s="21"/>
      <c r="LPB41" s="21"/>
      <c r="LPC41" s="21"/>
      <c r="LPD41" s="21"/>
      <c r="LPE41" s="21"/>
      <c r="LPF41" s="21"/>
      <c r="LPG41" s="21"/>
      <c r="LPH41" s="21"/>
      <c r="LPI41" s="21"/>
      <c r="LPJ41" s="21"/>
      <c r="LPK41" s="21"/>
      <c r="LPL41" s="21"/>
      <c r="LPM41" s="21"/>
      <c r="LPN41" s="21"/>
      <c r="LPO41" s="21"/>
      <c r="LPP41" s="21"/>
      <c r="LPQ41" s="21"/>
      <c r="LPR41" s="21"/>
      <c r="LPS41" s="21"/>
      <c r="LPT41" s="21"/>
      <c r="LPU41" s="21"/>
      <c r="LPV41" s="21"/>
      <c r="LPW41" s="21"/>
      <c r="LPX41" s="21"/>
      <c r="LPY41" s="21"/>
      <c r="LPZ41" s="21"/>
      <c r="LQA41" s="21"/>
      <c r="LQB41" s="21"/>
      <c r="LQC41" s="21"/>
      <c r="LQD41" s="21"/>
      <c r="LQE41" s="21"/>
      <c r="LQF41" s="21"/>
      <c r="LQG41" s="21"/>
      <c r="LQH41" s="21"/>
      <c r="LQI41" s="21"/>
      <c r="LQJ41" s="21"/>
      <c r="LQK41" s="21"/>
      <c r="LQL41" s="21"/>
      <c r="LQM41" s="21"/>
      <c r="LQN41" s="21"/>
      <c r="LQO41" s="21"/>
      <c r="LQP41" s="21"/>
      <c r="LQQ41" s="21"/>
      <c r="LQR41" s="21"/>
      <c r="LQS41" s="21"/>
      <c r="LQT41" s="21"/>
      <c r="LQU41" s="21"/>
      <c r="LQV41" s="21"/>
      <c r="LQW41" s="21"/>
      <c r="LQX41" s="21"/>
      <c r="LQY41" s="21"/>
      <c r="LQZ41" s="21"/>
      <c r="LRA41" s="21"/>
      <c r="LRB41" s="21"/>
      <c r="LRC41" s="21"/>
      <c r="LRD41" s="21"/>
      <c r="LRE41" s="21"/>
      <c r="LRF41" s="21"/>
      <c r="LRG41" s="21"/>
      <c r="LRH41" s="21"/>
      <c r="LRI41" s="21"/>
      <c r="LRJ41" s="21"/>
      <c r="LRK41" s="21"/>
      <c r="LRL41" s="21"/>
      <c r="LRM41" s="21"/>
      <c r="LRN41" s="21"/>
      <c r="LRO41" s="21"/>
      <c r="LRP41" s="21"/>
      <c r="LRQ41" s="21"/>
      <c r="LRR41" s="21"/>
      <c r="LRS41" s="21"/>
      <c r="LRT41" s="21"/>
      <c r="LRU41" s="21"/>
      <c r="LRV41" s="21"/>
      <c r="LRW41" s="21"/>
      <c r="LRX41" s="21"/>
      <c r="LRY41" s="21"/>
      <c r="LRZ41" s="21"/>
      <c r="LSA41" s="21"/>
      <c r="LSB41" s="21"/>
      <c r="LSC41" s="21"/>
      <c r="LSD41" s="21"/>
      <c r="LSE41" s="21"/>
      <c r="LSF41" s="21"/>
      <c r="LSG41" s="21"/>
      <c r="LSH41" s="21"/>
      <c r="LSI41" s="21"/>
      <c r="LSJ41" s="21"/>
      <c r="LSK41" s="21"/>
      <c r="LSL41" s="21"/>
      <c r="LSM41" s="21"/>
      <c r="LSN41" s="21"/>
      <c r="LSO41" s="21"/>
      <c r="LSP41" s="21"/>
      <c r="LSQ41" s="21"/>
      <c r="LSR41" s="21"/>
      <c r="LSS41" s="21"/>
      <c r="LST41" s="21"/>
      <c r="LSU41" s="21"/>
      <c r="LSV41" s="21"/>
      <c r="LSW41" s="21"/>
      <c r="LSX41" s="21"/>
      <c r="LSY41" s="21"/>
      <c r="LSZ41" s="21"/>
      <c r="LTA41" s="21"/>
      <c r="LTB41" s="21"/>
      <c r="LTC41" s="21"/>
      <c r="LTD41" s="21"/>
      <c r="LTE41" s="21"/>
      <c r="LTF41" s="21"/>
      <c r="LTG41" s="21"/>
      <c r="LTH41" s="21"/>
      <c r="LTI41" s="21"/>
      <c r="LTJ41" s="21"/>
      <c r="LTK41" s="21"/>
      <c r="LTL41" s="21"/>
      <c r="LTM41" s="21"/>
      <c r="LTN41" s="21"/>
      <c r="LTO41" s="21"/>
      <c r="LTP41" s="21"/>
      <c r="LTQ41" s="21"/>
      <c r="LTR41" s="21"/>
      <c r="LTS41" s="21"/>
      <c r="LTT41" s="21"/>
      <c r="LTU41" s="21"/>
      <c r="LTV41" s="21"/>
      <c r="LTW41" s="21"/>
      <c r="LTX41" s="21"/>
      <c r="LTY41" s="21"/>
      <c r="LTZ41" s="21"/>
      <c r="LUA41" s="21"/>
      <c r="LUB41" s="21"/>
      <c r="LUC41" s="21"/>
      <c r="LUD41" s="21"/>
      <c r="LUE41" s="21"/>
      <c r="LUF41" s="21"/>
      <c r="LUG41" s="21"/>
      <c r="LUH41" s="21"/>
      <c r="LUI41" s="21"/>
      <c r="LUJ41" s="21"/>
      <c r="LUK41" s="21"/>
      <c r="LUL41" s="21"/>
      <c r="LUM41" s="21"/>
      <c r="LUN41" s="21"/>
      <c r="LUO41" s="21"/>
      <c r="LUP41" s="21"/>
      <c r="LUQ41" s="21"/>
      <c r="LUR41" s="21"/>
      <c r="LUS41" s="21"/>
      <c r="LUT41" s="21"/>
      <c r="LUU41" s="21"/>
      <c r="LUV41" s="21"/>
      <c r="LUW41" s="21"/>
      <c r="LUX41" s="21"/>
      <c r="LUY41" s="21"/>
      <c r="LUZ41" s="21"/>
      <c r="LVA41" s="21"/>
      <c r="LVB41" s="21"/>
      <c r="LVC41" s="21"/>
      <c r="LVD41" s="21"/>
      <c r="LVE41" s="21"/>
      <c r="LVF41" s="21"/>
      <c r="LVG41" s="21"/>
      <c r="LVH41" s="21"/>
      <c r="LVI41" s="21"/>
      <c r="LVJ41" s="21"/>
      <c r="LVK41" s="21"/>
      <c r="LVL41" s="21"/>
      <c r="LVM41" s="21"/>
      <c r="LVN41" s="21"/>
      <c r="LVO41" s="21"/>
      <c r="LVP41" s="21"/>
      <c r="LVQ41" s="21"/>
      <c r="LVR41" s="21"/>
      <c r="LVS41" s="21"/>
      <c r="LVT41" s="21"/>
      <c r="LVU41" s="21"/>
      <c r="LVV41" s="21"/>
      <c r="LVW41" s="21"/>
      <c r="LVX41" s="21"/>
      <c r="LVY41" s="21"/>
      <c r="LVZ41" s="21"/>
      <c r="LWA41" s="21"/>
      <c r="LWB41" s="21"/>
      <c r="LWC41" s="21"/>
      <c r="LWD41" s="21"/>
      <c r="LWE41" s="21"/>
      <c r="LWF41" s="21"/>
      <c r="LWG41" s="21"/>
      <c r="LWH41" s="21"/>
      <c r="LWI41" s="21"/>
      <c r="LWJ41" s="21"/>
      <c r="LWK41" s="21"/>
      <c r="LWL41" s="21"/>
      <c r="LWM41" s="21"/>
      <c r="LWN41" s="21"/>
      <c r="LWO41" s="21"/>
      <c r="LWP41" s="21"/>
      <c r="LWQ41" s="21"/>
      <c r="LWR41" s="21"/>
      <c r="LWS41" s="21"/>
      <c r="LWT41" s="21"/>
      <c r="LWU41" s="21"/>
      <c r="LWV41" s="21"/>
      <c r="LWW41" s="21"/>
      <c r="LWX41" s="21"/>
      <c r="LWY41" s="21"/>
      <c r="LWZ41" s="21"/>
      <c r="LXA41" s="21"/>
      <c r="LXB41" s="21"/>
      <c r="LXC41" s="21"/>
      <c r="LXD41" s="21"/>
      <c r="LXE41" s="21"/>
      <c r="LXF41" s="21"/>
      <c r="LXG41" s="21"/>
      <c r="LXH41" s="21"/>
      <c r="LXI41" s="21"/>
      <c r="LXJ41" s="21"/>
      <c r="LXK41" s="21"/>
      <c r="LXL41" s="21"/>
      <c r="LXM41" s="21"/>
      <c r="LXN41" s="21"/>
      <c r="LXO41" s="21"/>
      <c r="LXP41" s="21"/>
      <c r="LXQ41" s="21"/>
      <c r="LXR41" s="21"/>
      <c r="LXS41" s="21"/>
      <c r="LXT41" s="21"/>
      <c r="LXU41" s="21"/>
      <c r="LXV41" s="21"/>
      <c r="LXW41" s="21"/>
      <c r="LXX41" s="21"/>
      <c r="LXY41" s="21"/>
      <c r="LXZ41" s="21"/>
      <c r="LYA41" s="21"/>
      <c r="LYB41" s="21"/>
      <c r="LYC41" s="21"/>
      <c r="LYD41" s="21"/>
      <c r="LYE41" s="21"/>
      <c r="LYF41" s="21"/>
      <c r="LYG41" s="21"/>
      <c r="LYH41" s="21"/>
      <c r="LYI41" s="21"/>
      <c r="LYJ41" s="21"/>
      <c r="LYK41" s="21"/>
      <c r="LYL41" s="21"/>
      <c r="LYM41" s="21"/>
      <c r="LYN41" s="21"/>
      <c r="LYO41" s="21"/>
      <c r="LYP41" s="21"/>
      <c r="LYQ41" s="21"/>
      <c r="LYR41" s="21"/>
      <c r="LYS41" s="21"/>
      <c r="LYT41" s="21"/>
      <c r="LYU41" s="21"/>
      <c r="LYV41" s="21"/>
      <c r="LYW41" s="21"/>
      <c r="LYX41" s="21"/>
      <c r="LYY41" s="21"/>
      <c r="LYZ41" s="21"/>
      <c r="LZA41" s="21"/>
      <c r="LZB41" s="21"/>
      <c r="LZC41" s="21"/>
      <c r="LZD41" s="21"/>
      <c r="LZE41" s="21"/>
      <c r="LZF41" s="21"/>
      <c r="LZG41" s="21"/>
      <c r="LZH41" s="21"/>
      <c r="LZI41" s="21"/>
      <c r="LZJ41" s="21"/>
      <c r="LZK41" s="21"/>
      <c r="LZL41" s="21"/>
      <c r="LZM41" s="21"/>
      <c r="LZN41" s="21"/>
      <c r="LZO41" s="21"/>
      <c r="LZP41" s="21"/>
      <c r="LZQ41" s="21"/>
      <c r="LZR41" s="21"/>
      <c r="LZS41" s="21"/>
      <c r="LZT41" s="21"/>
      <c r="LZU41" s="21"/>
      <c r="LZV41" s="21"/>
      <c r="LZW41" s="21"/>
      <c r="LZX41" s="21"/>
      <c r="LZY41" s="21"/>
      <c r="LZZ41" s="21"/>
      <c r="MAA41" s="21"/>
      <c r="MAB41" s="21"/>
      <c r="MAC41" s="21"/>
      <c r="MAD41" s="21"/>
      <c r="MAE41" s="21"/>
      <c r="MAF41" s="21"/>
      <c r="MAG41" s="21"/>
      <c r="MAH41" s="21"/>
      <c r="MAI41" s="21"/>
      <c r="MAJ41" s="21"/>
      <c r="MAK41" s="21"/>
      <c r="MAL41" s="21"/>
      <c r="MAM41" s="21"/>
      <c r="MAN41" s="21"/>
      <c r="MAO41" s="21"/>
      <c r="MAP41" s="21"/>
      <c r="MAQ41" s="21"/>
      <c r="MAR41" s="21"/>
      <c r="MAS41" s="21"/>
      <c r="MAT41" s="21"/>
      <c r="MAU41" s="21"/>
      <c r="MAV41" s="21"/>
      <c r="MAW41" s="21"/>
      <c r="MAX41" s="21"/>
      <c r="MAY41" s="21"/>
      <c r="MAZ41" s="21"/>
      <c r="MBA41" s="21"/>
      <c r="MBB41" s="21"/>
      <c r="MBC41" s="21"/>
      <c r="MBD41" s="21"/>
      <c r="MBE41" s="21"/>
      <c r="MBF41" s="21"/>
      <c r="MBG41" s="21"/>
      <c r="MBH41" s="21"/>
      <c r="MBI41" s="21"/>
      <c r="MBJ41" s="21"/>
      <c r="MBK41" s="21"/>
      <c r="MBL41" s="21"/>
      <c r="MBM41" s="21"/>
      <c r="MBN41" s="21"/>
      <c r="MBO41" s="21"/>
      <c r="MBP41" s="21"/>
      <c r="MBQ41" s="21"/>
      <c r="MBR41" s="21"/>
      <c r="MBS41" s="21"/>
      <c r="MBT41" s="21"/>
      <c r="MBU41" s="21"/>
      <c r="MBV41" s="21"/>
      <c r="MBW41" s="21"/>
      <c r="MBX41" s="21"/>
      <c r="MBY41" s="21"/>
      <c r="MBZ41" s="21"/>
      <c r="MCA41" s="21"/>
      <c r="MCB41" s="21"/>
      <c r="MCC41" s="21"/>
      <c r="MCD41" s="21"/>
      <c r="MCE41" s="21"/>
      <c r="MCF41" s="21"/>
      <c r="MCG41" s="21"/>
      <c r="MCH41" s="21"/>
      <c r="MCI41" s="21"/>
      <c r="MCJ41" s="21"/>
      <c r="MCK41" s="21"/>
      <c r="MCL41" s="21"/>
      <c r="MCM41" s="21"/>
      <c r="MCN41" s="21"/>
      <c r="MCO41" s="21"/>
      <c r="MCP41" s="21"/>
      <c r="MCQ41" s="21"/>
      <c r="MCR41" s="21"/>
      <c r="MCS41" s="21"/>
      <c r="MCT41" s="21"/>
      <c r="MCU41" s="21"/>
      <c r="MCV41" s="21"/>
      <c r="MCW41" s="21"/>
      <c r="MCX41" s="21"/>
      <c r="MCY41" s="21"/>
      <c r="MCZ41" s="21"/>
      <c r="MDA41" s="21"/>
      <c r="MDB41" s="21"/>
      <c r="MDC41" s="21"/>
      <c r="MDD41" s="21"/>
      <c r="MDE41" s="21"/>
      <c r="MDF41" s="21"/>
      <c r="MDG41" s="21"/>
      <c r="MDH41" s="21"/>
      <c r="MDI41" s="21"/>
      <c r="MDJ41" s="21"/>
      <c r="MDK41" s="21"/>
      <c r="MDL41" s="21"/>
      <c r="MDM41" s="21"/>
      <c r="MDN41" s="21"/>
      <c r="MDO41" s="21"/>
      <c r="MDP41" s="21"/>
      <c r="MDQ41" s="21"/>
      <c r="MDR41" s="21"/>
      <c r="MDS41" s="21"/>
      <c r="MDT41" s="21"/>
      <c r="MDU41" s="21"/>
      <c r="MDV41" s="21"/>
      <c r="MDW41" s="21"/>
      <c r="MDX41" s="21"/>
      <c r="MDY41" s="21"/>
      <c r="MDZ41" s="21"/>
      <c r="MEA41" s="21"/>
      <c r="MEB41" s="21"/>
      <c r="MEC41" s="21"/>
      <c r="MED41" s="21"/>
      <c r="MEE41" s="21"/>
      <c r="MEF41" s="21"/>
      <c r="MEG41" s="21"/>
      <c r="MEH41" s="21"/>
      <c r="MEI41" s="21"/>
      <c r="MEJ41" s="21"/>
      <c r="MEK41" s="21"/>
      <c r="MEL41" s="21"/>
      <c r="MEM41" s="21"/>
      <c r="MEN41" s="21"/>
      <c r="MEO41" s="21"/>
      <c r="MEP41" s="21"/>
      <c r="MEQ41" s="21"/>
      <c r="MER41" s="21"/>
      <c r="MES41" s="21"/>
      <c r="MET41" s="21"/>
      <c r="MEU41" s="21"/>
      <c r="MEV41" s="21"/>
      <c r="MEW41" s="21"/>
      <c r="MEX41" s="21"/>
      <c r="MEY41" s="21"/>
      <c r="MEZ41" s="21"/>
      <c r="MFA41" s="21"/>
      <c r="MFB41" s="21"/>
      <c r="MFC41" s="21"/>
      <c r="MFD41" s="21"/>
      <c r="MFE41" s="21"/>
      <c r="MFF41" s="21"/>
      <c r="MFG41" s="21"/>
      <c r="MFH41" s="21"/>
      <c r="MFI41" s="21"/>
      <c r="MFJ41" s="21"/>
      <c r="MFK41" s="21"/>
      <c r="MFL41" s="21"/>
      <c r="MFM41" s="21"/>
      <c r="MFN41" s="21"/>
      <c r="MFO41" s="21"/>
      <c r="MFP41" s="21"/>
      <c r="MFQ41" s="21"/>
      <c r="MFR41" s="21"/>
      <c r="MFS41" s="21"/>
      <c r="MFT41" s="21"/>
      <c r="MFU41" s="21"/>
      <c r="MFV41" s="21"/>
      <c r="MFW41" s="21"/>
      <c r="MFX41" s="21"/>
      <c r="MFY41" s="21"/>
      <c r="MFZ41" s="21"/>
      <c r="MGA41" s="21"/>
      <c r="MGB41" s="21"/>
      <c r="MGC41" s="21"/>
      <c r="MGD41" s="21"/>
      <c r="MGE41" s="21"/>
      <c r="MGF41" s="21"/>
      <c r="MGG41" s="21"/>
      <c r="MGH41" s="21"/>
      <c r="MGI41" s="21"/>
      <c r="MGJ41" s="21"/>
      <c r="MGK41" s="21"/>
      <c r="MGL41" s="21"/>
      <c r="MGM41" s="21"/>
      <c r="MGN41" s="21"/>
      <c r="MGO41" s="21"/>
      <c r="MGP41" s="21"/>
      <c r="MGQ41" s="21"/>
      <c r="MGR41" s="21"/>
      <c r="MGS41" s="21"/>
      <c r="MGT41" s="21"/>
      <c r="MGU41" s="21"/>
      <c r="MGV41" s="21"/>
      <c r="MGW41" s="21"/>
      <c r="MGX41" s="21"/>
      <c r="MGY41" s="21"/>
      <c r="MGZ41" s="21"/>
      <c r="MHA41" s="21"/>
      <c r="MHB41" s="21"/>
      <c r="MHC41" s="21"/>
      <c r="MHD41" s="21"/>
      <c r="MHE41" s="21"/>
      <c r="MHF41" s="21"/>
      <c r="MHG41" s="21"/>
      <c r="MHH41" s="21"/>
      <c r="MHI41" s="21"/>
      <c r="MHJ41" s="21"/>
      <c r="MHK41" s="21"/>
      <c r="MHL41" s="21"/>
      <c r="MHM41" s="21"/>
      <c r="MHN41" s="21"/>
      <c r="MHO41" s="21"/>
      <c r="MHP41" s="21"/>
      <c r="MHQ41" s="21"/>
      <c r="MHR41" s="21"/>
      <c r="MHS41" s="21"/>
      <c r="MHT41" s="21"/>
      <c r="MHU41" s="21"/>
      <c r="MHV41" s="21"/>
      <c r="MHW41" s="21"/>
      <c r="MHX41" s="21"/>
      <c r="MHY41" s="21"/>
      <c r="MHZ41" s="21"/>
      <c r="MIA41" s="21"/>
      <c r="MIB41" s="21"/>
      <c r="MIC41" s="21"/>
      <c r="MID41" s="21"/>
      <c r="MIE41" s="21"/>
      <c r="MIF41" s="21"/>
      <c r="MIG41" s="21"/>
      <c r="MIH41" s="21"/>
      <c r="MII41" s="21"/>
      <c r="MIJ41" s="21"/>
      <c r="MIK41" s="21"/>
      <c r="MIL41" s="21"/>
      <c r="MIM41" s="21"/>
      <c r="MIN41" s="21"/>
      <c r="MIO41" s="21"/>
      <c r="MIP41" s="21"/>
      <c r="MIQ41" s="21"/>
      <c r="MIR41" s="21"/>
      <c r="MIS41" s="21"/>
      <c r="MIT41" s="21"/>
      <c r="MIU41" s="21"/>
      <c r="MIV41" s="21"/>
      <c r="MIW41" s="21"/>
      <c r="MIX41" s="21"/>
      <c r="MIY41" s="21"/>
      <c r="MIZ41" s="21"/>
      <c r="MJA41" s="21"/>
      <c r="MJB41" s="21"/>
      <c r="MJC41" s="21"/>
      <c r="MJD41" s="21"/>
      <c r="MJE41" s="21"/>
      <c r="MJF41" s="21"/>
      <c r="MJG41" s="21"/>
      <c r="MJH41" s="21"/>
      <c r="MJI41" s="21"/>
      <c r="MJJ41" s="21"/>
      <c r="MJK41" s="21"/>
      <c r="MJL41" s="21"/>
      <c r="MJM41" s="21"/>
      <c r="MJN41" s="21"/>
      <c r="MJO41" s="21"/>
      <c r="MJP41" s="21"/>
      <c r="MJQ41" s="21"/>
      <c r="MJR41" s="21"/>
      <c r="MJS41" s="21"/>
      <c r="MJT41" s="21"/>
      <c r="MJU41" s="21"/>
      <c r="MJV41" s="21"/>
      <c r="MJW41" s="21"/>
      <c r="MJX41" s="21"/>
      <c r="MJY41" s="21"/>
      <c r="MJZ41" s="21"/>
      <c r="MKA41" s="21"/>
      <c r="MKB41" s="21"/>
      <c r="MKC41" s="21"/>
      <c r="MKD41" s="21"/>
      <c r="MKE41" s="21"/>
      <c r="MKF41" s="21"/>
      <c r="MKG41" s="21"/>
      <c r="MKH41" s="21"/>
      <c r="MKI41" s="21"/>
      <c r="MKJ41" s="21"/>
      <c r="MKK41" s="21"/>
      <c r="MKL41" s="21"/>
      <c r="MKM41" s="21"/>
      <c r="MKN41" s="21"/>
      <c r="MKO41" s="21"/>
      <c r="MKP41" s="21"/>
      <c r="MKQ41" s="21"/>
      <c r="MKR41" s="21"/>
      <c r="MKS41" s="21"/>
      <c r="MKT41" s="21"/>
      <c r="MKU41" s="21"/>
      <c r="MKV41" s="21"/>
      <c r="MKW41" s="21"/>
      <c r="MKX41" s="21"/>
      <c r="MKY41" s="21"/>
      <c r="MKZ41" s="21"/>
      <c r="MLA41" s="21"/>
      <c r="MLB41" s="21"/>
      <c r="MLC41" s="21"/>
      <c r="MLD41" s="21"/>
      <c r="MLE41" s="21"/>
      <c r="MLF41" s="21"/>
      <c r="MLG41" s="21"/>
      <c r="MLH41" s="21"/>
      <c r="MLI41" s="21"/>
      <c r="MLJ41" s="21"/>
      <c r="MLK41" s="21"/>
      <c r="MLL41" s="21"/>
      <c r="MLM41" s="21"/>
      <c r="MLN41" s="21"/>
      <c r="MLO41" s="21"/>
      <c r="MLP41" s="21"/>
      <c r="MLQ41" s="21"/>
      <c r="MLR41" s="21"/>
      <c r="MLS41" s="21"/>
      <c r="MLT41" s="21"/>
      <c r="MLU41" s="21"/>
      <c r="MLV41" s="21"/>
      <c r="MLW41" s="21"/>
      <c r="MLX41" s="21"/>
      <c r="MLY41" s="21"/>
      <c r="MLZ41" s="21"/>
      <c r="MMA41" s="21"/>
      <c r="MMB41" s="21"/>
      <c r="MMC41" s="21"/>
      <c r="MMD41" s="21"/>
      <c r="MME41" s="21"/>
      <c r="MMF41" s="21"/>
      <c r="MMG41" s="21"/>
      <c r="MMH41" s="21"/>
      <c r="MMI41" s="21"/>
      <c r="MMJ41" s="21"/>
      <c r="MMK41" s="21"/>
      <c r="MML41" s="21"/>
      <c r="MMM41" s="21"/>
      <c r="MMN41" s="21"/>
      <c r="MMO41" s="21"/>
      <c r="MMP41" s="21"/>
      <c r="MMQ41" s="21"/>
      <c r="MMR41" s="21"/>
      <c r="MMS41" s="21"/>
      <c r="MMT41" s="21"/>
      <c r="MMU41" s="21"/>
      <c r="MMV41" s="21"/>
      <c r="MMW41" s="21"/>
      <c r="MMX41" s="21"/>
      <c r="MMY41" s="21"/>
      <c r="MMZ41" s="21"/>
      <c r="MNA41" s="21"/>
      <c r="MNB41" s="21"/>
      <c r="MNC41" s="21"/>
      <c r="MND41" s="21"/>
      <c r="MNE41" s="21"/>
      <c r="MNF41" s="21"/>
      <c r="MNG41" s="21"/>
      <c r="MNH41" s="21"/>
      <c r="MNI41" s="21"/>
      <c r="MNJ41" s="21"/>
      <c r="MNK41" s="21"/>
      <c r="MNL41" s="21"/>
      <c r="MNM41" s="21"/>
      <c r="MNN41" s="21"/>
      <c r="MNO41" s="21"/>
      <c r="MNP41" s="21"/>
      <c r="MNQ41" s="21"/>
      <c r="MNR41" s="21"/>
      <c r="MNS41" s="21"/>
      <c r="MNT41" s="21"/>
      <c r="MNU41" s="21"/>
      <c r="MNV41" s="21"/>
      <c r="MNW41" s="21"/>
      <c r="MNX41" s="21"/>
      <c r="MNY41" s="21"/>
      <c r="MNZ41" s="21"/>
      <c r="MOA41" s="21"/>
      <c r="MOB41" s="21"/>
      <c r="MOC41" s="21"/>
      <c r="MOD41" s="21"/>
      <c r="MOE41" s="21"/>
      <c r="MOF41" s="21"/>
      <c r="MOG41" s="21"/>
      <c r="MOH41" s="21"/>
      <c r="MOI41" s="21"/>
      <c r="MOJ41" s="21"/>
      <c r="MOK41" s="21"/>
      <c r="MOL41" s="21"/>
      <c r="MOM41" s="21"/>
      <c r="MON41" s="21"/>
      <c r="MOO41" s="21"/>
      <c r="MOP41" s="21"/>
      <c r="MOQ41" s="21"/>
      <c r="MOR41" s="21"/>
      <c r="MOS41" s="21"/>
      <c r="MOT41" s="21"/>
      <c r="MOU41" s="21"/>
      <c r="MOV41" s="21"/>
      <c r="MOW41" s="21"/>
      <c r="MOX41" s="21"/>
      <c r="MOY41" s="21"/>
      <c r="MOZ41" s="21"/>
      <c r="MPA41" s="21"/>
      <c r="MPB41" s="21"/>
      <c r="MPC41" s="21"/>
      <c r="MPD41" s="21"/>
      <c r="MPE41" s="21"/>
      <c r="MPF41" s="21"/>
      <c r="MPG41" s="21"/>
      <c r="MPH41" s="21"/>
      <c r="MPI41" s="21"/>
      <c r="MPJ41" s="21"/>
      <c r="MPK41" s="21"/>
      <c r="MPL41" s="21"/>
      <c r="MPM41" s="21"/>
      <c r="MPN41" s="21"/>
      <c r="MPO41" s="21"/>
      <c r="MPP41" s="21"/>
      <c r="MPQ41" s="21"/>
      <c r="MPR41" s="21"/>
      <c r="MPS41" s="21"/>
      <c r="MPT41" s="21"/>
      <c r="MPU41" s="21"/>
      <c r="MPV41" s="21"/>
      <c r="MPW41" s="21"/>
      <c r="MPX41" s="21"/>
      <c r="MPY41" s="21"/>
      <c r="MPZ41" s="21"/>
      <c r="MQA41" s="21"/>
      <c r="MQB41" s="21"/>
      <c r="MQC41" s="21"/>
      <c r="MQD41" s="21"/>
      <c r="MQE41" s="21"/>
      <c r="MQF41" s="21"/>
      <c r="MQG41" s="21"/>
      <c r="MQH41" s="21"/>
      <c r="MQI41" s="21"/>
      <c r="MQJ41" s="21"/>
      <c r="MQK41" s="21"/>
      <c r="MQL41" s="21"/>
      <c r="MQM41" s="21"/>
      <c r="MQN41" s="21"/>
      <c r="MQO41" s="21"/>
      <c r="MQP41" s="21"/>
      <c r="MQQ41" s="21"/>
      <c r="MQR41" s="21"/>
      <c r="MQS41" s="21"/>
      <c r="MQT41" s="21"/>
      <c r="MQU41" s="21"/>
      <c r="MQV41" s="21"/>
      <c r="MQW41" s="21"/>
      <c r="MQX41" s="21"/>
      <c r="MQY41" s="21"/>
      <c r="MQZ41" s="21"/>
      <c r="MRA41" s="21"/>
      <c r="MRB41" s="21"/>
      <c r="MRC41" s="21"/>
      <c r="MRD41" s="21"/>
      <c r="MRE41" s="21"/>
      <c r="MRF41" s="21"/>
      <c r="MRG41" s="21"/>
      <c r="MRH41" s="21"/>
      <c r="MRI41" s="21"/>
      <c r="MRJ41" s="21"/>
      <c r="MRK41" s="21"/>
      <c r="MRL41" s="21"/>
      <c r="MRM41" s="21"/>
      <c r="MRN41" s="21"/>
      <c r="MRO41" s="21"/>
      <c r="MRP41" s="21"/>
      <c r="MRQ41" s="21"/>
      <c r="MRR41" s="21"/>
      <c r="MRS41" s="21"/>
      <c r="MRT41" s="21"/>
      <c r="MRU41" s="21"/>
      <c r="MRV41" s="21"/>
      <c r="MRW41" s="21"/>
      <c r="MRX41" s="21"/>
      <c r="MRY41" s="21"/>
      <c r="MRZ41" s="21"/>
      <c r="MSA41" s="21"/>
      <c r="MSB41" s="21"/>
      <c r="MSC41" s="21"/>
      <c r="MSD41" s="21"/>
      <c r="MSE41" s="21"/>
      <c r="MSF41" s="21"/>
      <c r="MSG41" s="21"/>
      <c r="MSH41" s="21"/>
      <c r="MSI41" s="21"/>
      <c r="MSJ41" s="21"/>
      <c r="MSK41" s="21"/>
      <c r="MSL41" s="21"/>
      <c r="MSM41" s="21"/>
      <c r="MSN41" s="21"/>
      <c r="MSO41" s="21"/>
      <c r="MSP41" s="21"/>
      <c r="MSQ41" s="21"/>
      <c r="MSR41" s="21"/>
      <c r="MSS41" s="21"/>
      <c r="MST41" s="21"/>
      <c r="MSU41" s="21"/>
      <c r="MSV41" s="21"/>
      <c r="MSW41" s="21"/>
      <c r="MSX41" s="21"/>
      <c r="MSY41" s="21"/>
      <c r="MSZ41" s="21"/>
      <c r="MTA41" s="21"/>
      <c r="MTB41" s="21"/>
      <c r="MTC41" s="21"/>
      <c r="MTD41" s="21"/>
      <c r="MTE41" s="21"/>
      <c r="MTF41" s="21"/>
      <c r="MTG41" s="21"/>
      <c r="MTH41" s="21"/>
      <c r="MTI41" s="21"/>
      <c r="MTJ41" s="21"/>
      <c r="MTK41" s="21"/>
      <c r="MTL41" s="21"/>
      <c r="MTM41" s="21"/>
      <c r="MTN41" s="21"/>
      <c r="MTO41" s="21"/>
      <c r="MTP41" s="21"/>
      <c r="MTQ41" s="21"/>
      <c r="MTR41" s="21"/>
      <c r="MTS41" s="21"/>
      <c r="MTT41" s="21"/>
      <c r="MTU41" s="21"/>
      <c r="MTV41" s="21"/>
      <c r="MTW41" s="21"/>
      <c r="MTX41" s="21"/>
      <c r="MTY41" s="21"/>
      <c r="MTZ41" s="21"/>
      <c r="MUA41" s="21"/>
      <c r="MUB41" s="21"/>
      <c r="MUC41" s="21"/>
      <c r="MUD41" s="21"/>
      <c r="MUE41" s="21"/>
      <c r="MUF41" s="21"/>
      <c r="MUG41" s="21"/>
      <c r="MUH41" s="21"/>
      <c r="MUI41" s="21"/>
      <c r="MUJ41" s="21"/>
      <c r="MUK41" s="21"/>
      <c r="MUL41" s="21"/>
      <c r="MUM41" s="21"/>
      <c r="MUN41" s="21"/>
      <c r="MUO41" s="21"/>
      <c r="MUP41" s="21"/>
      <c r="MUQ41" s="21"/>
      <c r="MUR41" s="21"/>
      <c r="MUS41" s="21"/>
      <c r="MUT41" s="21"/>
      <c r="MUU41" s="21"/>
      <c r="MUV41" s="21"/>
      <c r="MUW41" s="21"/>
      <c r="MUX41" s="21"/>
      <c r="MUY41" s="21"/>
      <c r="MUZ41" s="21"/>
      <c r="MVA41" s="21"/>
      <c r="MVB41" s="21"/>
      <c r="MVC41" s="21"/>
      <c r="MVD41" s="21"/>
      <c r="MVE41" s="21"/>
      <c r="MVF41" s="21"/>
      <c r="MVG41" s="21"/>
      <c r="MVH41" s="21"/>
      <c r="MVI41" s="21"/>
      <c r="MVJ41" s="21"/>
      <c r="MVK41" s="21"/>
      <c r="MVL41" s="21"/>
      <c r="MVM41" s="21"/>
      <c r="MVN41" s="21"/>
      <c r="MVO41" s="21"/>
      <c r="MVP41" s="21"/>
      <c r="MVQ41" s="21"/>
      <c r="MVR41" s="21"/>
      <c r="MVS41" s="21"/>
      <c r="MVT41" s="21"/>
      <c r="MVU41" s="21"/>
      <c r="MVV41" s="21"/>
      <c r="MVW41" s="21"/>
      <c r="MVX41" s="21"/>
      <c r="MVY41" s="21"/>
      <c r="MVZ41" s="21"/>
      <c r="MWA41" s="21"/>
      <c r="MWB41" s="21"/>
      <c r="MWC41" s="21"/>
      <c r="MWD41" s="21"/>
      <c r="MWE41" s="21"/>
      <c r="MWF41" s="21"/>
      <c r="MWG41" s="21"/>
      <c r="MWH41" s="21"/>
      <c r="MWI41" s="21"/>
      <c r="MWJ41" s="21"/>
      <c r="MWK41" s="21"/>
      <c r="MWL41" s="21"/>
      <c r="MWM41" s="21"/>
      <c r="MWN41" s="21"/>
      <c r="MWO41" s="21"/>
      <c r="MWP41" s="21"/>
      <c r="MWQ41" s="21"/>
      <c r="MWR41" s="21"/>
      <c r="MWS41" s="21"/>
      <c r="MWT41" s="21"/>
      <c r="MWU41" s="21"/>
      <c r="MWV41" s="21"/>
      <c r="MWW41" s="21"/>
      <c r="MWX41" s="21"/>
      <c r="MWY41" s="21"/>
      <c r="MWZ41" s="21"/>
      <c r="MXA41" s="21"/>
      <c r="MXB41" s="21"/>
      <c r="MXC41" s="21"/>
      <c r="MXD41" s="21"/>
      <c r="MXE41" s="21"/>
      <c r="MXF41" s="21"/>
      <c r="MXG41" s="21"/>
      <c r="MXH41" s="21"/>
      <c r="MXI41" s="21"/>
      <c r="MXJ41" s="21"/>
      <c r="MXK41" s="21"/>
      <c r="MXL41" s="21"/>
      <c r="MXM41" s="21"/>
      <c r="MXN41" s="21"/>
      <c r="MXO41" s="21"/>
      <c r="MXP41" s="21"/>
      <c r="MXQ41" s="21"/>
      <c r="MXR41" s="21"/>
      <c r="MXS41" s="21"/>
      <c r="MXT41" s="21"/>
      <c r="MXU41" s="21"/>
      <c r="MXV41" s="21"/>
      <c r="MXW41" s="21"/>
      <c r="MXX41" s="21"/>
      <c r="MXY41" s="21"/>
      <c r="MXZ41" s="21"/>
      <c r="MYA41" s="21"/>
      <c r="MYB41" s="21"/>
      <c r="MYC41" s="21"/>
      <c r="MYD41" s="21"/>
      <c r="MYE41" s="21"/>
      <c r="MYF41" s="21"/>
      <c r="MYG41" s="21"/>
      <c r="MYH41" s="21"/>
      <c r="MYI41" s="21"/>
      <c r="MYJ41" s="21"/>
      <c r="MYK41" s="21"/>
      <c r="MYL41" s="21"/>
      <c r="MYM41" s="21"/>
      <c r="MYN41" s="21"/>
      <c r="MYO41" s="21"/>
      <c r="MYP41" s="21"/>
      <c r="MYQ41" s="21"/>
      <c r="MYR41" s="21"/>
      <c r="MYS41" s="21"/>
      <c r="MYT41" s="21"/>
      <c r="MYU41" s="21"/>
      <c r="MYV41" s="21"/>
      <c r="MYW41" s="21"/>
      <c r="MYX41" s="21"/>
      <c r="MYY41" s="21"/>
      <c r="MYZ41" s="21"/>
      <c r="MZA41" s="21"/>
      <c r="MZB41" s="21"/>
      <c r="MZC41" s="21"/>
      <c r="MZD41" s="21"/>
      <c r="MZE41" s="21"/>
      <c r="MZF41" s="21"/>
      <c r="MZG41" s="21"/>
      <c r="MZH41" s="21"/>
      <c r="MZI41" s="21"/>
      <c r="MZJ41" s="21"/>
      <c r="MZK41" s="21"/>
      <c r="MZL41" s="21"/>
      <c r="MZM41" s="21"/>
      <c r="MZN41" s="21"/>
      <c r="MZO41" s="21"/>
      <c r="MZP41" s="21"/>
      <c r="MZQ41" s="21"/>
      <c r="MZR41" s="21"/>
      <c r="MZS41" s="21"/>
      <c r="MZT41" s="21"/>
      <c r="MZU41" s="21"/>
      <c r="MZV41" s="21"/>
      <c r="MZW41" s="21"/>
      <c r="MZX41" s="21"/>
      <c r="MZY41" s="21"/>
      <c r="MZZ41" s="21"/>
      <c r="NAA41" s="21"/>
      <c r="NAB41" s="21"/>
      <c r="NAC41" s="21"/>
      <c r="NAD41" s="21"/>
      <c r="NAE41" s="21"/>
      <c r="NAF41" s="21"/>
      <c r="NAG41" s="21"/>
      <c r="NAH41" s="21"/>
      <c r="NAI41" s="21"/>
      <c r="NAJ41" s="21"/>
      <c r="NAK41" s="21"/>
      <c r="NAL41" s="21"/>
      <c r="NAM41" s="21"/>
      <c r="NAN41" s="21"/>
      <c r="NAO41" s="21"/>
      <c r="NAP41" s="21"/>
      <c r="NAQ41" s="21"/>
      <c r="NAR41" s="21"/>
      <c r="NAS41" s="21"/>
      <c r="NAT41" s="21"/>
      <c r="NAU41" s="21"/>
      <c r="NAV41" s="21"/>
      <c r="NAW41" s="21"/>
      <c r="NAX41" s="21"/>
      <c r="NAY41" s="21"/>
      <c r="NAZ41" s="21"/>
      <c r="NBA41" s="21"/>
      <c r="NBB41" s="21"/>
      <c r="NBC41" s="21"/>
      <c r="NBD41" s="21"/>
      <c r="NBE41" s="21"/>
      <c r="NBF41" s="21"/>
      <c r="NBG41" s="21"/>
      <c r="NBH41" s="21"/>
      <c r="NBI41" s="21"/>
      <c r="NBJ41" s="21"/>
      <c r="NBK41" s="21"/>
      <c r="NBL41" s="21"/>
      <c r="NBM41" s="21"/>
      <c r="NBN41" s="21"/>
      <c r="NBO41" s="21"/>
      <c r="NBP41" s="21"/>
      <c r="NBQ41" s="21"/>
      <c r="NBR41" s="21"/>
      <c r="NBS41" s="21"/>
      <c r="NBT41" s="21"/>
      <c r="NBU41" s="21"/>
      <c r="NBV41" s="21"/>
      <c r="NBW41" s="21"/>
      <c r="NBX41" s="21"/>
      <c r="NBY41" s="21"/>
      <c r="NBZ41" s="21"/>
      <c r="NCA41" s="21"/>
      <c r="NCB41" s="21"/>
      <c r="NCC41" s="21"/>
      <c r="NCD41" s="21"/>
      <c r="NCE41" s="21"/>
      <c r="NCF41" s="21"/>
      <c r="NCG41" s="21"/>
      <c r="NCH41" s="21"/>
      <c r="NCI41" s="21"/>
      <c r="NCJ41" s="21"/>
      <c r="NCK41" s="21"/>
      <c r="NCL41" s="21"/>
      <c r="NCM41" s="21"/>
      <c r="NCN41" s="21"/>
      <c r="NCO41" s="21"/>
      <c r="NCP41" s="21"/>
      <c r="NCQ41" s="21"/>
      <c r="NCR41" s="21"/>
      <c r="NCS41" s="21"/>
      <c r="NCT41" s="21"/>
      <c r="NCU41" s="21"/>
      <c r="NCV41" s="21"/>
      <c r="NCW41" s="21"/>
      <c r="NCX41" s="21"/>
      <c r="NCY41" s="21"/>
      <c r="NCZ41" s="21"/>
      <c r="NDA41" s="21"/>
      <c r="NDB41" s="21"/>
      <c r="NDC41" s="21"/>
      <c r="NDD41" s="21"/>
      <c r="NDE41" s="21"/>
      <c r="NDF41" s="21"/>
      <c r="NDG41" s="21"/>
      <c r="NDH41" s="21"/>
      <c r="NDI41" s="21"/>
      <c r="NDJ41" s="21"/>
      <c r="NDK41" s="21"/>
      <c r="NDL41" s="21"/>
      <c r="NDM41" s="21"/>
      <c r="NDN41" s="21"/>
      <c r="NDO41" s="21"/>
      <c r="NDP41" s="21"/>
      <c r="NDQ41" s="21"/>
      <c r="NDR41" s="21"/>
      <c r="NDS41" s="21"/>
      <c r="NDT41" s="21"/>
      <c r="NDU41" s="21"/>
      <c r="NDV41" s="21"/>
      <c r="NDW41" s="21"/>
      <c r="NDX41" s="21"/>
      <c r="NDY41" s="21"/>
      <c r="NDZ41" s="21"/>
      <c r="NEA41" s="21"/>
      <c r="NEB41" s="21"/>
      <c r="NEC41" s="21"/>
      <c r="NED41" s="21"/>
      <c r="NEE41" s="21"/>
      <c r="NEF41" s="21"/>
      <c r="NEG41" s="21"/>
      <c r="NEH41" s="21"/>
      <c r="NEI41" s="21"/>
      <c r="NEJ41" s="21"/>
      <c r="NEK41" s="21"/>
      <c r="NEL41" s="21"/>
      <c r="NEM41" s="21"/>
      <c r="NEN41" s="21"/>
      <c r="NEO41" s="21"/>
      <c r="NEP41" s="21"/>
      <c r="NEQ41" s="21"/>
      <c r="NER41" s="21"/>
      <c r="NES41" s="21"/>
      <c r="NET41" s="21"/>
      <c r="NEU41" s="21"/>
      <c r="NEV41" s="21"/>
      <c r="NEW41" s="21"/>
      <c r="NEX41" s="21"/>
      <c r="NEY41" s="21"/>
      <c r="NEZ41" s="21"/>
      <c r="NFA41" s="21"/>
      <c r="NFB41" s="21"/>
      <c r="NFC41" s="21"/>
      <c r="NFD41" s="21"/>
      <c r="NFE41" s="21"/>
      <c r="NFF41" s="21"/>
      <c r="NFG41" s="21"/>
      <c r="NFH41" s="21"/>
      <c r="NFI41" s="21"/>
      <c r="NFJ41" s="21"/>
      <c r="NFK41" s="21"/>
      <c r="NFL41" s="21"/>
      <c r="NFM41" s="21"/>
      <c r="NFN41" s="21"/>
      <c r="NFO41" s="21"/>
      <c r="NFP41" s="21"/>
      <c r="NFQ41" s="21"/>
      <c r="NFR41" s="21"/>
      <c r="NFS41" s="21"/>
      <c r="NFT41" s="21"/>
      <c r="NFU41" s="21"/>
      <c r="NFV41" s="21"/>
      <c r="NFW41" s="21"/>
      <c r="NFX41" s="21"/>
      <c r="NFY41" s="21"/>
      <c r="NFZ41" s="21"/>
      <c r="NGA41" s="21"/>
      <c r="NGB41" s="21"/>
      <c r="NGC41" s="21"/>
      <c r="NGD41" s="21"/>
      <c r="NGE41" s="21"/>
      <c r="NGF41" s="21"/>
      <c r="NGG41" s="21"/>
      <c r="NGH41" s="21"/>
      <c r="NGI41" s="21"/>
      <c r="NGJ41" s="21"/>
      <c r="NGK41" s="21"/>
      <c r="NGL41" s="21"/>
      <c r="NGM41" s="21"/>
      <c r="NGN41" s="21"/>
      <c r="NGO41" s="21"/>
      <c r="NGP41" s="21"/>
      <c r="NGQ41" s="21"/>
      <c r="NGR41" s="21"/>
      <c r="NGS41" s="21"/>
      <c r="NGT41" s="21"/>
      <c r="NGU41" s="21"/>
      <c r="NGV41" s="21"/>
      <c r="NGW41" s="21"/>
      <c r="NGX41" s="21"/>
      <c r="NGY41" s="21"/>
      <c r="NGZ41" s="21"/>
      <c r="NHA41" s="21"/>
      <c r="NHB41" s="21"/>
      <c r="NHC41" s="21"/>
      <c r="NHD41" s="21"/>
      <c r="NHE41" s="21"/>
      <c r="NHF41" s="21"/>
      <c r="NHG41" s="21"/>
      <c r="NHH41" s="21"/>
      <c r="NHI41" s="21"/>
      <c r="NHJ41" s="21"/>
      <c r="NHK41" s="21"/>
      <c r="NHL41" s="21"/>
      <c r="NHM41" s="21"/>
      <c r="NHN41" s="21"/>
      <c r="NHO41" s="21"/>
      <c r="NHP41" s="21"/>
      <c r="NHQ41" s="21"/>
      <c r="NHR41" s="21"/>
      <c r="NHS41" s="21"/>
      <c r="NHT41" s="21"/>
      <c r="NHU41" s="21"/>
      <c r="NHV41" s="21"/>
      <c r="NHW41" s="21"/>
      <c r="NHX41" s="21"/>
      <c r="NHY41" s="21"/>
      <c r="NHZ41" s="21"/>
      <c r="NIA41" s="21"/>
      <c r="NIB41" s="21"/>
      <c r="NIC41" s="21"/>
      <c r="NID41" s="21"/>
      <c r="NIE41" s="21"/>
      <c r="NIF41" s="21"/>
      <c r="NIG41" s="21"/>
      <c r="NIH41" s="21"/>
      <c r="NII41" s="21"/>
      <c r="NIJ41" s="21"/>
      <c r="NIK41" s="21"/>
      <c r="NIL41" s="21"/>
      <c r="NIM41" s="21"/>
      <c r="NIN41" s="21"/>
      <c r="NIO41" s="21"/>
      <c r="NIP41" s="21"/>
      <c r="NIQ41" s="21"/>
      <c r="NIR41" s="21"/>
      <c r="NIS41" s="21"/>
      <c r="NIT41" s="21"/>
      <c r="NIU41" s="21"/>
      <c r="NIV41" s="21"/>
      <c r="NIW41" s="21"/>
      <c r="NIX41" s="21"/>
      <c r="NIY41" s="21"/>
      <c r="NIZ41" s="21"/>
      <c r="NJA41" s="21"/>
      <c r="NJB41" s="21"/>
      <c r="NJC41" s="21"/>
      <c r="NJD41" s="21"/>
      <c r="NJE41" s="21"/>
      <c r="NJF41" s="21"/>
      <c r="NJG41" s="21"/>
      <c r="NJH41" s="21"/>
      <c r="NJI41" s="21"/>
      <c r="NJJ41" s="21"/>
      <c r="NJK41" s="21"/>
      <c r="NJL41" s="21"/>
      <c r="NJM41" s="21"/>
      <c r="NJN41" s="21"/>
      <c r="NJO41" s="21"/>
      <c r="NJP41" s="21"/>
      <c r="NJQ41" s="21"/>
      <c r="NJR41" s="21"/>
      <c r="NJS41" s="21"/>
      <c r="NJT41" s="21"/>
      <c r="NJU41" s="21"/>
      <c r="NJV41" s="21"/>
      <c r="NJW41" s="21"/>
      <c r="NJX41" s="21"/>
      <c r="NJY41" s="21"/>
      <c r="NJZ41" s="21"/>
      <c r="NKA41" s="21"/>
      <c r="NKB41" s="21"/>
      <c r="NKC41" s="21"/>
      <c r="NKD41" s="21"/>
      <c r="NKE41" s="21"/>
      <c r="NKF41" s="21"/>
      <c r="NKG41" s="21"/>
      <c r="NKH41" s="21"/>
      <c r="NKI41" s="21"/>
      <c r="NKJ41" s="21"/>
      <c r="NKK41" s="21"/>
      <c r="NKL41" s="21"/>
      <c r="NKM41" s="21"/>
      <c r="NKN41" s="21"/>
      <c r="NKO41" s="21"/>
      <c r="NKP41" s="21"/>
      <c r="NKQ41" s="21"/>
      <c r="NKR41" s="21"/>
      <c r="NKS41" s="21"/>
      <c r="NKT41" s="21"/>
      <c r="NKU41" s="21"/>
      <c r="NKV41" s="21"/>
      <c r="NKW41" s="21"/>
      <c r="NKX41" s="21"/>
      <c r="NKY41" s="21"/>
      <c r="NKZ41" s="21"/>
      <c r="NLA41" s="21"/>
      <c r="NLB41" s="21"/>
      <c r="NLC41" s="21"/>
      <c r="NLD41" s="21"/>
      <c r="NLE41" s="21"/>
      <c r="NLF41" s="21"/>
      <c r="NLG41" s="21"/>
      <c r="NLH41" s="21"/>
      <c r="NLI41" s="21"/>
      <c r="NLJ41" s="21"/>
      <c r="NLK41" s="21"/>
      <c r="NLL41" s="21"/>
      <c r="NLM41" s="21"/>
      <c r="NLN41" s="21"/>
      <c r="NLO41" s="21"/>
      <c r="NLP41" s="21"/>
      <c r="NLQ41" s="21"/>
      <c r="NLR41" s="21"/>
      <c r="NLS41" s="21"/>
      <c r="NLT41" s="21"/>
      <c r="NLU41" s="21"/>
      <c r="NLV41" s="21"/>
      <c r="NLW41" s="21"/>
      <c r="NLX41" s="21"/>
      <c r="NLY41" s="21"/>
      <c r="NLZ41" s="21"/>
      <c r="NMA41" s="21"/>
      <c r="NMB41" s="21"/>
      <c r="NMC41" s="21"/>
      <c r="NMD41" s="21"/>
      <c r="NME41" s="21"/>
      <c r="NMF41" s="21"/>
      <c r="NMG41" s="21"/>
      <c r="NMH41" s="21"/>
      <c r="NMI41" s="21"/>
      <c r="NMJ41" s="21"/>
      <c r="NMK41" s="21"/>
      <c r="NML41" s="21"/>
      <c r="NMM41" s="21"/>
      <c r="NMN41" s="21"/>
      <c r="NMO41" s="21"/>
      <c r="NMP41" s="21"/>
      <c r="NMQ41" s="21"/>
      <c r="NMR41" s="21"/>
      <c r="NMS41" s="21"/>
      <c r="NMT41" s="21"/>
      <c r="NMU41" s="21"/>
      <c r="NMV41" s="21"/>
      <c r="NMW41" s="21"/>
      <c r="NMX41" s="21"/>
      <c r="NMY41" s="21"/>
      <c r="NMZ41" s="21"/>
      <c r="NNA41" s="21"/>
      <c r="NNB41" s="21"/>
      <c r="NNC41" s="21"/>
      <c r="NND41" s="21"/>
      <c r="NNE41" s="21"/>
      <c r="NNF41" s="21"/>
      <c r="NNG41" s="21"/>
      <c r="NNH41" s="21"/>
      <c r="NNI41" s="21"/>
      <c r="NNJ41" s="21"/>
      <c r="NNK41" s="21"/>
      <c r="NNL41" s="21"/>
      <c r="NNM41" s="21"/>
      <c r="NNN41" s="21"/>
      <c r="NNO41" s="21"/>
      <c r="NNP41" s="21"/>
      <c r="NNQ41" s="21"/>
      <c r="NNR41" s="21"/>
      <c r="NNS41" s="21"/>
      <c r="NNT41" s="21"/>
      <c r="NNU41" s="21"/>
      <c r="NNV41" s="21"/>
      <c r="NNW41" s="21"/>
      <c r="NNX41" s="21"/>
      <c r="NNY41" s="21"/>
      <c r="NNZ41" s="21"/>
      <c r="NOA41" s="21"/>
      <c r="NOB41" s="21"/>
      <c r="NOC41" s="21"/>
      <c r="NOD41" s="21"/>
      <c r="NOE41" s="21"/>
      <c r="NOF41" s="21"/>
      <c r="NOG41" s="21"/>
      <c r="NOH41" s="21"/>
      <c r="NOI41" s="21"/>
      <c r="NOJ41" s="21"/>
      <c r="NOK41" s="21"/>
      <c r="NOL41" s="21"/>
      <c r="NOM41" s="21"/>
      <c r="NON41" s="21"/>
      <c r="NOO41" s="21"/>
      <c r="NOP41" s="21"/>
      <c r="NOQ41" s="21"/>
      <c r="NOR41" s="21"/>
      <c r="NOS41" s="21"/>
      <c r="NOT41" s="21"/>
      <c r="NOU41" s="21"/>
      <c r="NOV41" s="21"/>
      <c r="NOW41" s="21"/>
      <c r="NOX41" s="21"/>
      <c r="NOY41" s="21"/>
      <c r="NOZ41" s="21"/>
      <c r="NPA41" s="21"/>
      <c r="NPB41" s="21"/>
      <c r="NPC41" s="21"/>
      <c r="NPD41" s="21"/>
      <c r="NPE41" s="21"/>
      <c r="NPF41" s="21"/>
      <c r="NPG41" s="21"/>
      <c r="NPH41" s="21"/>
      <c r="NPI41" s="21"/>
      <c r="NPJ41" s="21"/>
      <c r="NPK41" s="21"/>
      <c r="NPL41" s="21"/>
      <c r="NPM41" s="21"/>
      <c r="NPN41" s="21"/>
      <c r="NPO41" s="21"/>
      <c r="NPP41" s="21"/>
      <c r="NPQ41" s="21"/>
      <c r="NPR41" s="21"/>
      <c r="NPS41" s="21"/>
      <c r="NPT41" s="21"/>
      <c r="NPU41" s="21"/>
      <c r="NPV41" s="21"/>
      <c r="NPW41" s="21"/>
      <c r="NPX41" s="21"/>
      <c r="NPY41" s="21"/>
      <c r="NPZ41" s="21"/>
      <c r="NQA41" s="21"/>
      <c r="NQB41" s="21"/>
      <c r="NQC41" s="21"/>
      <c r="NQD41" s="21"/>
      <c r="NQE41" s="21"/>
      <c r="NQF41" s="21"/>
      <c r="NQG41" s="21"/>
      <c r="NQH41" s="21"/>
      <c r="NQI41" s="21"/>
      <c r="NQJ41" s="21"/>
      <c r="NQK41" s="21"/>
      <c r="NQL41" s="21"/>
      <c r="NQM41" s="21"/>
      <c r="NQN41" s="21"/>
      <c r="NQO41" s="21"/>
      <c r="NQP41" s="21"/>
      <c r="NQQ41" s="21"/>
      <c r="NQR41" s="21"/>
      <c r="NQS41" s="21"/>
      <c r="NQT41" s="21"/>
      <c r="NQU41" s="21"/>
      <c r="NQV41" s="21"/>
      <c r="NQW41" s="21"/>
      <c r="NQX41" s="21"/>
      <c r="NQY41" s="21"/>
      <c r="NQZ41" s="21"/>
      <c r="NRA41" s="21"/>
      <c r="NRB41" s="21"/>
      <c r="NRC41" s="21"/>
      <c r="NRD41" s="21"/>
      <c r="NRE41" s="21"/>
      <c r="NRF41" s="21"/>
      <c r="NRG41" s="21"/>
      <c r="NRH41" s="21"/>
      <c r="NRI41" s="21"/>
      <c r="NRJ41" s="21"/>
      <c r="NRK41" s="21"/>
      <c r="NRL41" s="21"/>
      <c r="NRM41" s="21"/>
      <c r="NRN41" s="21"/>
      <c r="NRO41" s="21"/>
      <c r="NRP41" s="21"/>
      <c r="NRQ41" s="21"/>
      <c r="NRR41" s="21"/>
      <c r="NRS41" s="21"/>
      <c r="NRT41" s="21"/>
      <c r="NRU41" s="21"/>
      <c r="NRV41" s="21"/>
      <c r="NRW41" s="21"/>
      <c r="NRX41" s="21"/>
      <c r="NRY41" s="21"/>
      <c r="NRZ41" s="21"/>
      <c r="NSA41" s="21"/>
      <c r="NSB41" s="21"/>
      <c r="NSC41" s="21"/>
      <c r="NSD41" s="21"/>
      <c r="NSE41" s="21"/>
      <c r="NSF41" s="21"/>
      <c r="NSG41" s="21"/>
      <c r="NSH41" s="21"/>
      <c r="NSI41" s="21"/>
      <c r="NSJ41" s="21"/>
      <c r="NSK41" s="21"/>
      <c r="NSL41" s="21"/>
      <c r="NSM41" s="21"/>
      <c r="NSN41" s="21"/>
      <c r="NSO41" s="21"/>
      <c r="NSP41" s="21"/>
      <c r="NSQ41" s="21"/>
      <c r="NSR41" s="21"/>
      <c r="NSS41" s="21"/>
      <c r="NST41" s="21"/>
      <c r="NSU41" s="21"/>
      <c r="NSV41" s="21"/>
      <c r="NSW41" s="21"/>
      <c r="NSX41" s="21"/>
      <c r="NSY41" s="21"/>
      <c r="NSZ41" s="21"/>
      <c r="NTA41" s="21"/>
      <c r="NTB41" s="21"/>
      <c r="NTC41" s="21"/>
      <c r="NTD41" s="21"/>
      <c r="NTE41" s="21"/>
      <c r="NTF41" s="21"/>
      <c r="NTG41" s="21"/>
      <c r="NTH41" s="21"/>
      <c r="NTI41" s="21"/>
      <c r="NTJ41" s="21"/>
      <c r="NTK41" s="21"/>
      <c r="NTL41" s="21"/>
      <c r="NTM41" s="21"/>
      <c r="NTN41" s="21"/>
      <c r="NTO41" s="21"/>
      <c r="NTP41" s="21"/>
      <c r="NTQ41" s="21"/>
      <c r="NTR41" s="21"/>
      <c r="NTS41" s="21"/>
      <c r="NTT41" s="21"/>
      <c r="NTU41" s="21"/>
      <c r="NTV41" s="21"/>
      <c r="NTW41" s="21"/>
      <c r="NTX41" s="21"/>
      <c r="NTY41" s="21"/>
      <c r="NTZ41" s="21"/>
      <c r="NUA41" s="21"/>
      <c r="NUB41" s="21"/>
      <c r="NUC41" s="21"/>
      <c r="NUD41" s="21"/>
      <c r="NUE41" s="21"/>
      <c r="NUF41" s="21"/>
      <c r="NUG41" s="21"/>
      <c r="NUH41" s="21"/>
      <c r="NUI41" s="21"/>
      <c r="NUJ41" s="21"/>
      <c r="NUK41" s="21"/>
      <c r="NUL41" s="21"/>
      <c r="NUM41" s="21"/>
      <c r="NUN41" s="21"/>
      <c r="NUO41" s="21"/>
      <c r="NUP41" s="21"/>
      <c r="NUQ41" s="21"/>
      <c r="NUR41" s="21"/>
      <c r="NUS41" s="21"/>
      <c r="NUT41" s="21"/>
      <c r="NUU41" s="21"/>
      <c r="NUV41" s="21"/>
      <c r="NUW41" s="21"/>
      <c r="NUX41" s="21"/>
      <c r="NUY41" s="21"/>
      <c r="NUZ41" s="21"/>
      <c r="NVA41" s="21"/>
      <c r="NVB41" s="21"/>
      <c r="NVC41" s="21"/>
      <c r="NVD41" s="21"/>
      <c r="NVE41" s="21"/>
      <c r="NVF41" s="21"/>
      <c r="NVG41" s="21"/>
      <c r="NVH41" s="21"/>
      <c r="NVI41" s="21"/>
      <c r="NVJ41" s="21"/>
      <c r="NVK41" s="21"/>
      <c r="NVL41" s="21"/>
      <c r="NVM41" s="21"/>
      <c r="NVN41" s="21"/>
      <c r="NVO41" s="21"/>
      <c r="NVP41" s="21"/>
      <c r="NVQ41" s="21"/>
      <c r="NVR41" s="21"/>
      <c r="NVS41" s="21"/>
      <c r="NVT41" s="21"/>
      <c r="NVU41" s="21"/>
      <c r="NVV41" s="21"/>
      <c r="NVW41" s="21"/>
      <c r="NVX41" s="21"/>
      <c r="NVY41" s="21"/>
      <c r="NVZ41" s="21"/>
      <c r="NWA41" s="21"/>
      <c r="NWB41" s="21"/>
      <c r="NWC41" s="21"/>
      <c r="NWD41" s="21"/>
      <c r="NWE41" s="21"/>
      <c r="NWF41" s="21"/>
      <c r="NWG41" s="21"/>
      <c r="NWH41" s="21"/>
      <c r="NWI41" s="21"/>
      <c r="NWJ41" s="21"/>
      <c r="NWK41" s="21"/>
      <c r="NWL41" s="21"/>
      <c r="NWM41" s="21"/>
      <c r="NWN41" s="21"/>
      <c r="NWO41" s="21"/>
      <c r="NWP41" s="21"/>
      <c r="NWQ41" s="21"/>
      <c r="NWR41" s="21"/>
      <c r="NWS41" s="21"/>
      <c r="NWT41" s="21"/>
      <c r="NWU41" s="21"/>
      <c r="NWV41" s="21"/>
      <c r="NWW41" s="21"/>
      <c r="NWX41" s="21"/>
      <c r="NWY41" s="21"/>
      <c r="NWZ41" s="21"/>
      <c r="NXA41" s="21"/>
      <c r="NXB41" s="21"/>
      <c r="NXC41" s="21"/>
      <c r="NXD41" s="21"/>
      <c r="NXE41" s="21"/>
      <c r="NXF41" s="21"/>
      <c r="NXG41" s="21"/>
      <c r="NXH41" s="21"/>
      <c r="NXI41" s="21"/>
      <c r="NXJ41" s="21"/>
      <c r="NXK41" s="21"/>
      <c r="NXL41" s="21"/>
      <c r="NXM41" s="21"/>
      <c r="NXN41" s="21"/>
      <c r="NXO41" s="21"/>
      <c r="NXP41" s="21"/>
      <c r="NXQ41" s="21"/>
      <c r="NXR41" s="21"/>
      <c r="NXS41" s="21"/>
      <c r="NXT41" s="21"/>
      <c r="NXU41" s="21"/>
      <c r="NXV41" s="21"/>
      <c r="NXW41" s="21"/>
      <c r="NXX41" s="21"/>
      <c r="NXY41" s="21"/>
      <c r="NXZ41" s="21"/>
      <c r="NYA41" s="21"/>
      <c r="NYB41" s="21"/>
      <c r="NYC41" s="21"/>
      <c r="NYD41" s="21"/>
      <c r="NYE41" s="21"/>
      <c r="NYF41" s="21"/>
      <c r="NYG41" s="21"/>
      <c r="NYH41" s="21"/>
      <c r="NYI41" s="21"/>
      <c r="NYJ41" s="21"/>
      <c r="NYK41" s="21"/>
      <c r="NYL41" s="21"/>
      <c r="NYM41" s="21"/>
      <c r="NYN41" s="21"/>
      <c r="NYO41" s="21"/>
      <c r="NYP41" s="21"/>
      <c r="NYQ41" s="21"/>
      <c r="NYR41" s="21"/>
      <c r="NYS41" s="21"/>
      <c r="NYT41" s="21"/>
      <c r="NYU41" s="21"/>
      <c r="NYV41" s="21"/>
      <c r="NYW41" s="21"/>
      <c r="NYX41" s="21"/>
      <c r="NYY41" s="21"/>
      <c r="NYZ41" s="21"/>
      <c r="NZA41" s="21"/>
      <c r="NZB41" s="21"/>
      <c r="NZC41" s="21"/>
      <c r="NZD41" s="21"/>
      <c r="NZE41" s="21"/>
      <c r="NZF41" s="21"/>
      <c r="NZG41" s="21"/>
      <c r="NZH41" s="21"/>
      <c r="NZI41" s="21"/>
      <c r="NZJ41" s="21"/>
      <c r="NZK41" s="21"/>
      <c r="NZL41" s="21"/>
      <c r="NZM41" s="21"/>
      <c r="NZN41" s="21"/>
      <c r="NZO41" s="21"/>
      <c r="NZP41" s="21"/>
      <c r="NZQ41" s="21"/>
      <c r="NZR41" s="21"/>
      <c r="NZS41" s="21"/>
      <c r="NZT41" s="21"/>
      <c r="NZU41" s="21"/>
      <c r="NZV41" s="21"/>
      <c r="NZW41" s="21"/>
      <c r="NZX41" s="21"/>
      <c r="NZY41" s="21"/>
      <c r="NZZ41" s="21"/>
      <c r="OAA41" s="21"/>
      <c r="OAB41" s="21"/>
      <c r="OAC41" s="21"/>
      <c r="OAD41" s="21"/>
      <c r="OAE41" s="21"/>
      <c r="OAF41" s="21"/>
      <c r="OAG41" s="21"/>
      <c r="OAH41" s="21"/>
      <c r="OAI41" s="21"/>
      <c r="OAJ41" s="21"/>
      <c r="OAK41" s="21"/>
      <c r="OAL41" s="21"/>
      <c r="OAM41" s="21"/>
      <c r="OAN41" s="21"/>
      <c r="OAO41" s="21"/>
      <c r="OAP41" s="21"/>
      <c r="OAQ41" s="21"/>
      <c r="OAR41" s="21"/>
      <c r="OAS41" s="21"/>
      <c r="OAT41" s="21"/>
      <c r="OAU41" s="21"/>
      <c r="OAV41" s="21"/>
      <c r="OAW41" s="21"/>
      <c r="OAX41" s="21"/>
      <c r="OAY41" s="21"/>
      <c r="OAZ41" s="21"/>
      <c r="OBA41" s="21"/>
      <c r="OBB41" s="21"/>
      <c r="OBC41" s="21"/>
      <c r="OBD41" s="21"/>
      <c r="OBE41" s="21"/>
      <c r="OBF41" s="21"/>
      <c r="OBG41" s="21"/>
      <c r="OBH41" s="21"/>
      <c r="OBI41" s="21"/>
      <c r="OBJ41" s="21"/>
      <c r="OBK41" s="21"/>
      <c r="OBL41" s="21"/>
      <c r="OBM41" s="21"/>
      <c r="OBN41" s="21"/>
      <c r="OBO41" s="21"/>
      <c r="OBP41" s="21"/>
      <c r="OBQ41" s="21"/>
      <c r="OBR41" s="21"/>
      <c r="OBS41" s="21"/>
      <c r="OBT41" s="21"/>
      <c r="OBU41" s="21"/>
      <c r="OBV41" s="21"/>
      <c r="OBW41" s="21"/>
      <c r="OBX41" s="21"/>
      <c r="OBY41" s="21"/>
      <c r="OBZ41" s="21"/>
      <c r="OCA41" s="21"/>
      <c r="OCB41" s="21"/>
      <c r="OCC41" s="21"/>
      <c r="OCD41" s="21"/>
      <c r="OCE41" s="21"/>
      <c r="OCF41" s="21"/>
      <c r="OCG41" s="21"/>
      <c r="OCH41" s="21"/>
      <c r="OCI41" s="21"/>
      <c r="OCJ41" s="21"/>
      <c r="OCK41" s="21"/>
      <c r="OCL41" s="21"/>
      <c r="OCM41" s="21"/>
      <c r="OCN41" s="21"/>
      <c r="OCO41" s="21"/>
      <c r="OCP41" s="21"/>
      <c r="OCQ41" s="21"/>
      <c r="OCR41" s="21"/>
      <c r="OCS41" s="21"/>
      <c r="OCT41" s="21"/>
      <c r="OCU41" s="21"/>
      <c r="OCV41" s="21"/>
      <c r="OCW41" s="21"/>
      <c r="OCX41" s="21"/>
      <c r="OCY41" s="21"/>
      <c r="OCZ41" s="21"/>
      <c r="ODA41" s="21"/>
      <c r="ODB41" s="21"/>
      <c r="ODC41" s="21"/>
      <c r="ODD41" s="21"/>
      <c r="ODE41" s="21"/>
      <c r="ODF41" s="21"/>
      <c r="ODG41" s="21"/>
      <c r="ODH41" s="21"/>
      <c r="ODI41" s="21"/>
      <c r="ODJ41" s="21"/>
      <c r="ODK41" s="21"/>
      <c r="ODL41" s="21"/>
      <c r="ODM41" s="21"/>
      <c r="ODN41" s="21"/>
      <c r="ODO41" s="21"/>
      <c r="ODP41" s="21"/>
      <c r="ODQ41" s="21"/>
      <c r="ODR41" s="21"/>
      <c r="ODS41" s="21"/>
      <c r="ODT41" s="21"/>
      <c r="ODU41" s="21"/>
      <c r="ODV41" s="21"/>
      <c r="ODW41" s="21"/>
      <c r="ODX41" s="21"/>
      <c r="ODY41" s="21"/>
      <c r="ODZ41" s="21"/>
      <c r="OEA41" s="21"/>
      <c r="OEB41" s="21"/>
      <c r="OEC41" s="21"/>
      <c r="OED41" s="21"/>
      <c r="OEE41" s="21"/>
      <c r="OEF41" s="21"/>
      <c r="OEG41" s="21"/>
      <c r="OEH41" s="21"/>
      <c r="OEI41" s="21"/>
      <c r="OEJ41" s="21"/>
      <c r="OEK41" s="21"/>
      <c r="OEL41" s="21"/>
      <c r="OEM41" s="21"/>
      <c r="OEN41" s="21"/>
      <c r="OEO41" s="21"/>
      <c r="OEP41" s="21"/>
      <c r="OEQ41" s="21"/>
      <c r="OER41" s="21"/>
      <c r="OES41" s="21"/>
      <c r="OET41" s="21"/>
      <c r="OEU41" s="21"/>
      <c r="OEV41" s="21"/>
      <c r="OEW41" s="21"/>
      <c r="OEX41" s="21"/>
      <c r="OEY41" s="21"/>
      <c r="OEZ41" s="21"/>
      <c r="OFA41" s="21"/>
      <c r="OFB41" s="21"/>
      <c r="OFC41" s="21"/>
      <c r="OFD41" s="21"/>
      <c r="OFE41" s="21"/>
      <c r="OFF41" s="21"/>
      <c r="OFG41" s="21"/>
      <c r="OFH41" s="21"/>
      <c r="OFI41" s="21"/>
      <c r="OFJ41" s="21"/>
      <c r="OFK41" s="21"/>
      <c r="OFL41" s="21"/>
      <c r="OFM41" s="21"/>
      <c r="OFN41" s="21"/>
      <c r="OFO41" s="21"/>
      <c r="OFP41" s="21"/>
      <c r="OFQ41" s="21"/>
      <c r="OFR41" s="21"/>
      <c r="OFS41" s="21"/>
      <c r="OFT41" s="21"/>
      <c r="OFU41" s="21"/>
      <c r="OFV41" s="21"/>
      <c r="OFW41" s="21"/>
      <c r="OFX41" s="21"/>
      <c r="OFY41" s="21"/>
      <c r="OFZ41" s="21"/>
      <c r="OGA41" s="21"/>
      <c r="OGB41" s="21"/>
      <c r="OGC41" s="21"/>
      <c r="OGD41" s="21"/>
      <c r="OGE41" s="21"/>
      <c r="OGF41" s="21"/>
      <c r="OGG41" s="21"/>
      <c r="OGH41" s="21"/>
      <c r="OGI41" s="21"/>
      <c r="OGJ41" s="21"/>
      <c r="OGK41" s="21"/>
      <c r="OGL41" s="21"/>
      <c r="OGM41" s="21"/>
      <c r="OGN41" s="21"/>
      <c r="OGO41" s="21"/>
      <c r="OGP41" s="21"/>
      <c r="OGQ41" s="21"/>
      <c r="OGR41" s="21"/>
      <c r="OGS41" s="21"/>
      <c r="OGT41" s="21"/>
      <c r="OGU41" s="21"/>
      <c r="OGV41" s="21"/>
      <c r="OGW41" s="21"/>
      <c r="OGX41" s="21"/>
      <c r="OGY41" s="21"/>
      <c r="OGZ41" s="21"/>
      <c r="OHA41" s="21"/>
      <c r="OHB41" s="21"/>
      <c r="OHC41" s="21"/>
      <c r="OHD41" s="21"/>
      <c r="OHE41" s="21"/>
      <c r="OHF41" s="21"/>
      <c r="OHG41" s="21"/>
      <c r="OHH41" s="21"/>
      <c r="OHI41" s="21"/>
      <c r="OHJ41" s="21"/>
      <c r="OHK41" s="21"/>
      <c r="OHL41" s="21"/>
      <c r="OHM41" s="21"/>
      <c r="OHN41" s="21"/>
      <c r="OHO41" s="21"/>
      <c r="OHP41" s="21"/>
      <c r="OHQ41" s="21"/>
      <c r="OHR41" s="21"/>
      <c r="OHS41" s="21"/>
      <c r="OHT41" s="21"/>
      <c r="OHU41" s="21"/>
      <c r="OHV41" s="21"/>
      <c r="OHW41" s="21"/>
      <c r="OHX41" s="21"/>
      <c r="OHY41" s="21"/>
      <c r="OHZ41" s="21"/>
      <c r="OIA41" s="21"/>
      <c r="OIB41" s="21"/>
      <c r="OIC41" s="21"/>
      <c r="OID41" s="21"/>
      <c r="OIE41" s="21"/>
      <c r="OIF41" s="21"/>
      <c r="OIG41" s="21"/>
      <c r="OIH41" s="21"/>
      <c r="OII41" s="21"/>
      <c r="OIJ41" s="21"/>
      <c r="OIK41" s="21"/>
      <c r="OIL41" s="21"/>
      <c r="OIM41" s="21"/>
      <c r="OIN41" s="21"/>
      <c r="OIO41" s="21"/>
      <c r="OIP41" s="21"/>
      <c r="OIQ41" s="21"/>
      <c r="OIR41" s="21"/>
      <c r="OIS41" s="21"/>
      <c r="OIT41" s="21"/>
      <c r="OIU41" s="21"/>
      <c r="OIV41" s="21"/>
      <c r="OIW41" s="21"/>
      <c r="OIX41" s="21"/>
      <c r="OIY41" s="21"/>
      <c r="OIZ41" s="21"/>
      <c r="OJA41" s="21"/>
      <c r="OJB41" s="21"/>
      <c r="OJC41" s="21"/>
      <c r="OJD41" s="21"/>
      <c r="OJE41" s="21"/>
      <c r="OJF41" s="21"/>
      <c r="OJG41" s="21"/>
      <c r="OJH41" s="21"/>
      <c r="OJI41" s="21"/>
      <c r="OJJ41" s="21"/>
      <c r="OJK41" s="21"/>
      <c r="OJL41" s="21"/>
      <c r="OJM41" s="21"/>
      <c r="OJN41" s="21"/>
      <c r="OJO41" s="21"/>
      <c r="OJP41" s="21"/>
      <c r="OJQ41" s="21"/>
      <c r="OJR41" s="21"/>
      <c r="OJS41" s="21"/>
      <c r="OJT41" s="21"/>
      <c r="OJU41" s="21"/>
      <c r="OJV41" s="21"/>
      <c r="OJW41" s="21"/>
      <c r="OJX41" s="21"/>
      <c r="OJY41" s="21"/>
      <c r="OJZ41" s="21"/>
      <c r="OKA41" s="21"/>
      <c r="OKB41" s="21"/>
      <c r="OKC41" s="21"/>
      <c r="OKD41" s="21"/>
      <c r="OKE41" s="21"/>
      <c r="OKF41" s="21"/>
      <c r="OKG41" s="21"/>
      <c r="OKH41" s="21"/>
      <c r="OKI41" s="21"/>
      <c r="OKJ41" s="21"/>
      <c r="OKK41" s="21"/>
      <c r="OKL41" s="21"/>
      <c r="OKM41" s="21"/>
      <c r="OKN41" s="21"/>
      <c r="OKO41" s="21"/>
      <c r="OKP41" s="21"/>
      <c r="OKQ41" s="21"/>
      <c r="OKR41" s="21"/>
      <c r="OKS41" s="21"/>
      <c r="OKT41" s="21"/>
      <c r="OKU41" s="21"/>
      <c r="OKV41" s="21"/>
      <c r="OKW41" s="21"/>
      <c r="OKX41" s="21"/>
      <c r="OKY41" s="21"/>
      <c r="OKZ41" s="21"/>
      <c r="OLA41" s="21"/>
      <c r="OLB41" s="21"/>
      <c r="OLC41" s="21"/>
      <c r="OLD41" s="21"/>
      <c r="OLE41" s="21"/>
      <c r="OLF41" s="21"/>
      <c r="OLG41" s="21"/>
      <c r="OLH41" s="21"/>
      <c r="OLI41" s="21"/>
      <c r="OLJ41" s="21"/>
      <c r="OLK41" s="21"/>
      <c r="OLL41" s="21"/>
      <c r="OLM41" s="21"/>
      <c r="OLN41" s="21"/>
      <c r="OLO41" s="21"/>
      <c r="OLP41" s="21"/>
      <c r="OLQ41" s="21"/>
      <c r="OLR41" s="21"/>
      <c r="OLS41" s="21"/>
      <c r="OLT41" s="21"/>
      <c r="OLU41" s="21"/>
      <c r="OLV41" s="21"/>
      <c r="OLW41" s="21"/>
      <c r="OLX41" s="21"/>
      <c r="OLY41" s="21"/>
      <c r="OLZ41" s="21"/>
      <c r="OMA41" s="21"/>
      <c r="OMB41" s="21"/>
      <c r="OMC41" s="21"/>
      <c r="OMD41" s="21"/>
      <c r="OME41" s="21"/>
      <c r="OMF41" s="21"/>
      <c r="OMG41" s="21"/>
      <c r="OMH41" s="21"/>
      <c r="OMI41" s="21"/>
      <c r="OMJ41" s="21"/>
      <c r="OMK41" s="21"/>
      <c r="OML41" s="21"/>
      <c r="OMM41" s="21"/>
      <c r="OMN41" s="21"/>
      <c r="OMO41" s="21"/>
      <c r="OMP41" s="21"/>
      <c r="OMQ41" s="21"/>
      <c r="OMR41" s="21"/>
      <c r="OMS41" s="21"/>
      <c r="OMT41" s="21"/>
      <c r="OMU41" s="21"/>
      <c r="OMV41" s="21"/>
      <c r="OMW41" s="21"/>
      <c r="OMX41" s="21"/>
      <c r="OMY41" s="21"/>
      <c r="OMZ41" s="21"/>
      <c r="ONA41" s="21"/>
      <c r="ONB41" s="21"/>
      <c r="ONC41" s="21"/>
      <c r="OND41" s="21"/>
      <c r="ONE41" s="21"/>
      <c r="ONF41" s="21"/>
      <c r="ONG41" s="21"/>
      <c r="ONH41" s="21"/>
      <c r="ONI41" s="21"/>
      <c r="ONJ41" s="21"/>
      <c r="ONK41" s="21"/>
      <c r="ONL41" s="21"/>
      <c r="ONM41" s="21"/>
      <c r="ONN41" s="21"/>
      <c r="ONO41" s="21"/>
      <c r="ONP41" s="21"/>
      <c r="ONQ41" s="21"/>
      <c r="ONR41" s="21"/>
      <c r="ONS41" s="21"/>
      <c r="ONT41" s="21"/>
      <c r="ONU41" s="21"/>
      <c r="ONV41" s="21"/>
      <c r="ONW41" s="21"/>
      <c r="ONX41" s="21"/>
      <c r="ONY41" s="21"/>
      <c r="ONZ41" s="21"/>
      <c r="OOA41" s="21"/>
      <c r="OOB41" s="21"/>
      <c r="OOC41" s="21"/>
      <c r="OOD41" s="21"/>
      <c r="OOE41" s="21"/>
      <c r="OOF41" s="21"/>
      <c r="OOG41" s="21"/>
      <c r="OOH41" s="21"/>
      <c r="OOI41" s="21"/>
      <c r="OOJ41" s="21"/>
      <c r="OOK41" s="21"/>
      <c r="OOL41" s="21"/>
      <c r="OOM41" s="21"/>
      <c r="OON41" s="21"/>
      <c r="OOO41" s="21"/>
      <c r="OOP41" s="21"/>
      <c r="OOQ41" s="21"/>
      <c r="OOR41" s="21"/>
      <c r="OOS41" s="21"/>
      <c r="OOT41" s="21"/>
      <c r="OOU41" s="21"/>
      <c r="OOV41" s="21"/>
      <c r="OOW41" s="21"/>
      <c r="OOX41" s="21"/>
      <c r="OOY41" s="21"/>
      <c r="OOZ41" s="21"/>
      <c r="OPA41" s="21"/>
      <c r="OPB41" s="21"/>
      <c r="OPC41" s="21"/>
      <c r="OPD41" s="21"/>
      <c r="OPE41" s="21"/>
      <c r="OPF41" s="21"/>
      <c r="OPG41" s="21"/>
      <c r="OPH41" s="21"/>
      <c r="OPI41" s="21"/>
      <c r="OPJ41" s="21"/>
      <c r="OPK41" s="21"/>
      <c r="OPL41" s="21"/>
      <c r="OPM41" s="21"/>
      <c r="OPN41" s="21"/>
      <c r="OPO41" s="21"/>
      <c r="OPP41" s="21"/>
      <c r="OPQ41" s="21"/>
      <c r="OPR41" s="21"/>
      <c r="OPS41" s="21"/>
      <c r="OPT41" s="21"/>
      <c r="OPU41" s="21"/>
      <c r="OPV41" s="21"/>
      <c r="OPW41" s="21"/>
      <c r="OPX41" s="21"/>
      <c r="OPY41" s="21"/>
      <c r="OPZ41" s="21"/>
      <c r="OQA41" s="21"/>
      <c r="OQB41" s="21"/>
      <c r="OQC41" s="21"/>
      <c r="OQD41" s="21"/>
      <c r="OQE41" s="21"/>
      <c r="OQF41" s="21"/>
      <c r="OQG41" s="21"/>
      <c r="OQH41" s="21"/>
      <c r="OQI41" s="21"/>
      <c r="OQJ41" s="21"/>
      <c r="OQK41" s="21"/>
      <c r="OQL41" s="21"/>
      <c r="OQM41" s="21"/>
      <c r="OQN41" s="21"/>
      <c r="OQO41" s="21"/>
      <c r="OQP41" s="21"/>
      <c r="OQQ41" s="21"/>
      <c r="OQR41" s="21"/>
      <c r="OQS41" s="21"/>
      <c r="OQT41" s="21"/>
      <c r="OQU41" s="21"/>
      <c r="OQV41" s="21"/>
      <c r="OQW41" s="21"/>
      <c r="OQX41" s="21"/>
      <c r="OQY41" s="21"/>
      <c r="OQZ41" s="21"/>
      <c r="ORA41" s="21"/>
      <c r="ORB41" s="21"/>
      <c r="ORC41" s="21"/>
      <c r="ORD41" s="21"/>
      <c r="ORE41" s="21"/>
      <c r="ORF41" s="21"/>
      <c r="ORG41" s="21"/>
      <c r="ORH41" s="21"/>
      <c r="ORI41" s="21"/>
      <c r="ORJ41" s="21"/>
      <c r="ORK41" s="21"/>
      <c r="ORL41" s="21"/>
      <c r="ORM41" s="21"/>
      <c r="ORN41" s="21"/>
      <c r="ORO41" s="21"/>
      <c r="ORP41" s="21"/>
      <c r="ORQ41" s="21"/>
      <c r="ORR41" s="21"/>
      <c r="ORS41" s="21"/>
      <c r="ORT41" s="21"/>
      <c r="ORU41" s="21"/>
      <c r="ORV41" s="21"/>
      <c r="ORW41" s="21"/>
      <c r="ORX41" s="21"/>
      <c r="ORY41" s="21"/>
      <c r="ORZ41" s="21"/>
      <c r="OSA41" s="21"/>
      <c r="OSB41" s="21"/>
      <c r="OSC41" s="21"/>
      <c r="OSD41" s="21"/>
      <c r="OSE41" s="21"/>
      <c r="OSF41" s="21"/>
      <c r="OSG41" s="21"/>
      <c r="OSH41" s="21"/>
      <c r="OSI41" s="21"/>
      <c r="OSJ41" s="21"/>
      <c r="OSK41" s="21"/>
      <c r="OSL41" s="21"/>
      <c r="OSM41" s="21"/>
      <c r="OSN41" s="21"/>
      <c r="OSO41" s="21"/>
      <c r="OSP41" s="21"/>
      <c r="OSQ41" s="21"/>
      <c r="OSR41" s="21"/>
      <c r="OSS41" s="21"/>
      <c r="OST41" s="21"/>
      <c r="OSU41" s="21"/>
      <c r="OSV41" s="21"/>
      <c r="OSW41" s="21"/>
      <c r="OSX41" s="21"/>
      <c r="OSY41" s="21"/>
      <c r="OSZ41" s="21"/>
      <c r="OTA41" s="21"/>
      <c r="OTB41" s="21"/>
      <c r="OTC41" s="21"/>
      <c r="OTD41" s="21"/>
      <c r="OTE41" s="21"/>
      <c r="OTF41" s="21"/>
      <c r="OTG41" s="21"/>
      <c r="OTH41" s="21"/>
      <c r="OTI41" s="21"/>
      <c r="OTJ41" s="21"/>
      <c r="OTK41" s="21"/>
      <c r="OTL41" s="21"/>
      <c r="OTM41" s="21"/>
      <c r="OTN41" s="21"/>
      <c r="OTO41" s="21"/>
      <c r="OTP41" s="21"/>
      <c r="OTQ41" s="21"/>
      <c r="OTR41" s="21"/>
      <c r="OTS41" s="21"/>
      <c r="OTT41" s="21"/>
      <c r="OTU41" s="21"/>
      <c r="OTV41" s="21"/>
      <c r="OTW41" s="21"/>
      <c r="OTX41" s="21"/>
      <c r="OTY41" s="21"/>
      <c r="OTZ41" s="21"/>
      <c r="OUA41" s="21"/>
      <c r="OUB41" s="21"/>
      <c r="OUC41" s="21"/>
      <c r="OUD41" s="21"/>
      <c r="OUE41" s="21"/>
      <c r="OUF41" s="21"/>
      <c r="OUG41" s="21"/>
      <c r="OUH41" s="21"/>
      <c r="OUI41" s="21"/>
      <c r="OUJ41" s="21"/>
      <c r="OUK41" s="21"/>
      <c r="OUL41" s="21"/>
      <c r="OUM41" s="21"/>
      <c r="OUN41" s="21"/>
      <c r="OUO41" s="21"/>
      <c r="OUP41" s="21"/>
      <c r="OUQ41" s="21"/>
      <c r="OUR41" s="21"/>
      <c r="OUS41" s="21"/>
      <c r="OUT41" s="21"/>
      <c r="OUU41" s="21"/>
      <c r="OUV41" s="21"/>
      <c r="OUW41" s="21"/>
      <c r="OUX41" s="21"/>
      <c r="OUY41" s="21"/>
      <c r="OUZ41" s="21"/>
      <c r="OVA41" s="21"/>
      <c r="OVB41" s="21"/>
      <c r="OVC41" s="21"/>
      <c r="OVD41" s="21"/>
      <c r="OVE41" s="21"/>
      <c r="OVF41" s="21"/>
      <c r="OVG41" s="21"/>
      <c r="OVH41" s="21"/>
      <c r="OVI41" s="21"/>
      <c r="OVJ41" s="21"/>
      <c r="OVK41" s="21"/>
      <c r="OVL41" s="21"/>
      <c r="OVM41" s="21"/>
      <c r="OVN41" s="21"/>
      <c r="OVO41" s="21"/>
      <c r="OVP41" s="21"/>
      <c r="OVQ41" s="21"/>
      <c r="OVR41" s="21"/>
      <c r="OVS41" s="21"/>
      <c r="OVT41" s="21"/>
      <c r="OVU41" s="21"/>
      <c r="OVV41" s="21"/>
      <c r="OVW41" s="21"/>
      <c r="OVX41" s="21"/>
      <c r="OVY41" s="21"/>
      <c r="OVZ41" s="21"/>
      <c r="OWA41" s="21"/>
      <c r="OWB41" s="21"/>
      <c r="OWC41" s="21"/>
      <c r="OWD41" s="21"/>
      <c r="OWE41" s="21"/>
      <c r="OWF41" s="21"/>
      <c r="OWG41" s="21"/>
      <c r="OWH41" s="21"/>
      <c r="OWI41" s="21"/>
      <c r="OWJ41" s="21"/>
      <c r="OWK41" s="21"/>
      <c r="OWL41" s="21"/>
      <c r="OWM41" s="21"/>
      <c r="OWN41" s="21"/>
      <c r="OWO41" s="21"/>
      <c r="OWP41" s="21"/>
      <c r="OWQ41" s="21"/>
      <c r="OWR41" s="21"/>
      <c r="OWS41" s="21"/>
      <c r="OWT41" s="21"/>
      <c r="OWU41" s="21"/>
      <c r="OWV41" s="21"/>
      <c r="OWW41" s="21"/>
      <c r="OWX41" s="21"/>
      <c r="OWY41" s="21"/>
      <c r="OWZ41" s="21"/>
      <c r="OXA41" s="21"/>
      <c r="OXB41" s="21"/>
      <c r="OXC41" s="21"/>
      <c r="OXD41" s="21"/>
      <c r="OXE41" s="21"/>
      <c r="OXF41" s="21"/>
      <c r="OXG41" s="21"/>
      <c r="OXH41" s="21"/>
      <c r="OXI41" s="21"/>
      <c r="OXJ41" s="21"/>
      <c r="OXK41" s="21"/>
      <c r="OXL41" s="21"/>
      <c r="OXM41" s="21"/>
      <c r="OXN41" s="21"/>
      <c r="OXO41" s="21"/>
      <c r="OXP41" s="21"/>
      <c r="OXQ41" s="21"/>
      <c r="OXR41" s="21"/>
      <c r="OXS41" s="21"/>
      <c r="OXT41" s="21"/>
      <c r="OXU41" s="21"/>
      <c r="OXV41" s="21"/>
      <c r="OXW41" s="21"/>
      <c r="OXX41" s="21"/>
      <c r="OXY41" s="21"/>
      <c r="OXZ41" s="21"/>
      <c r="OYA41" s="21"/>
      <c r="OYB41" s="21"/>
      <c r="OYC41" s="21"/>
      <c r="OYD41" s="21"/>
      <c r="OYE41" s="21"/>
      <c r="OYF41" s="21"/>
      <c r="OYG41" s="21"/>
      <c r="OYH41" s="21"/>
      <c r="OYI41" s="21"/>
      <c r="OYJ41" s="21"/>
      <c r="OYK41" s="21"/>
      <c r="OYL41" s="21"/>
      <c r="OYM41" s="21"/>
      <c r="OYN41" s="21"/>
      <c r="OYO41" s="21"/>
      <c r="OYP41" s="21"/>
      <c r="OYQ41" s="21"/>
      <c r="OYR41" s="21"/>
      <c r="OYS41" s="21"/>
      <c r="OYT41" s="21"/>
      <c r="OYU41" s="21"/>
      <c r="OYV41" s="21"/>
      <c r="OYW41" s="21"/>
      <c r="OYX41" s="21"/>
      <c r="OYY41" s="21"/>
      <c r="OYZ41" s="21"/>
      <c r="OZA41" s="21"/>
      <c r="OZB41" s="21"/>
      <c r="OZC41" s="21"/>
      <c r="OZD41" s="21"/>
      <c r="OZE41" s="21"/>
      <c r="OZF41" s="21"/>
      <c r="OZG41" s="21"/>
      <c r="OZH41" s="21"/>
      <c r="OZI41" s="21"/>
      <c r="OZJ41" s="21"/>
      <c r="OZK41" s="21"/>
      <c r="OZL41" s="21"/>
      <c r="OZM41" s="21"/>
      <c r="OZN41" s="21"/>
      <c r="OZO41" s="21"/>
      <c r="OZP41" s="21"/>
      <c r="OZQ41" s="21"/>
      <c r="OZR41" s="21"/>
      <c r="OZS41" s="21"/>
      <c r="OZT41" s="21"/>
      <c r="OZU41" s="21"/>
      <c r="OZV41" s="21"/>
      <c r="OZW41" s="21"/>
      <c r="OZX41" s="21"/>
      <c r="OZY41" s="21"/>
      <c r="OZZ41" s="21"/>
      <c r="PAA41" s="21"/>
      <c r="PAB41" s="21"/>
      <c r="PAC41" s="21"/>
      <c r="PAD41" s="21"/>
      <c r="PAE41" s="21"/>
      <c r="PAF41" s="21"/>
      <c r="PAG41" s="21"/>
      <c r="PAH41" s="21"/>
      <c r="PAI41" s="21"/>
      <c r="PAJ41" s="21"/>
      <c r="PAK41" s="21"/>
      <c r="PAL41" s="21"/>
      <c r="PAM41" s="21"/>
      <c r="PAN41" s="21"/>
      <c r="PAO41" s="21"/>
      <c r="PAP41" s="21"/>
      <c r="PAQ41" s="21"/>
      <c r="PAR41" s="21"/>
      <c r="PAS41" s="21"/>
      <c r="PAT41" s="21"/>
      <c r="PAU41" s="21"/>
      <c r="PAV41" s="21"/>
      <c r="PAW41" s="21"/>
      <c r="PAX41" s="21"/>
      <c r="PAY41" s="21"/>
      <c r="PAZ41" s="21"/>
      <c r="PBA41" s="21"/>
      <c r="PBB41" s="21"/>
      <c r="PBC41" s="21"/>
      <c r="PBD41" s="21"/>
      <c r="PBE41" s="21"/>
      <c r="PBF41" s="21"/>
      <c r="PBG41" s="21"/>
      <c r="PBH41" s="21"/>
      <c r="PBI41" s="21"/>
      <c r="PBJ41" s="21"/>
      <c r="PBK41" s="21"/>
      <c r="PBL41" s="21"/>
      <c r="PBM41" s="21"/>
      <c r="PBN41" s="21"/>
      <c r="PBO41" s="21"/>
      <c r="PBP41" s="21"/>
      <c r="PBQ41" s="21"/>
      <c r="PBR41" s="21"/>
      <c r="PBS41" s="21"/>
      <c r="PBT41" s="21"/>
      <c r="PBU41" s="21"/>
      <c r="PBV41" s="21"/>
      <c r="PBW41" s="21"/>
      <c r="PBX41" s="21"/>
      <c r="PBY41" s="21"/>
      <c r="PBZ41" s="21"/>
      <c r="PCA41" s="21"/>
      <c r="PCB41" s="21"/>
      <c r="PCC41" s="21"/>
      <c r="PCD41" s="21"/>
      <c r="PCE41" s="21"/>
      <c r="PCF41" s="21"/>
      <c r="PCG41" s="21"/>
      <c r="PCH41" s="21"/>
      <c r="PCI41" s="21"/>
      <c r="PCJ41" s="21"/>
      <c r="PCK41" s="21"/>
      <c r="PCL41" s="21"/>
      <c r="PCM41" s="21"/>
      <c r="PCN41" s="21"/>
      <c r="PCO41" s="21"/>
      <c r="PCP41" s="21"/>
      <c r="PCQ41" s="21"/>
      <c r="PCR41" s="21"/>
      <c r="PCS41" s="21"/>
      <c r="PCT41" s="21"/>
      <c r="PCU41" s="21"/>
      <c r="PCV41" s="21"/>
      <c r="PCW41" s="21"/>
      <c r="PCX41" s="21"/>
      <c r="PCY41" s="21"/>
      <c r="PCZ41" s="21"/>
      <c r="PDA41" s="21"/>
      <c r="PDB41" s="21"/>
      <c r="PDC41" s="21"/>
      <c r="PDD41" s="21"/>
      <c r="PDE41" s="21"/>
      <c r="PDF41" s="21"/>
      <c r="PDG41" s="21"/>
      <c r="PDH41" s="21"/>
      <c r="PDI41" s="21"/>
      <c r="PDJ41" s="21"/>
      <c r="PDK41" s="21"/>
      <c r="PDL41" s="21"/>
      <c r="PDM41" s="21"/>
      <c r="PDN41" s="21"/>
      <c r="PDO41" s="21"/>
      <c r="PDP41" s="21"/>
      <c r="PDQ41" s="21"/>
      <c r="PDR41" s="21"/>
      <c r="PDS41" s="21"/>
      <c r="PDT41" s="21"/>
      <c r="PDU41" s="21"/>
      <c r="PDV41" s="21"/>
      <c r="PDW41" s="21"/>
      <c r="PDX41" s="21"/>
      <c r="PDY41" s="21"/>
      <c r="PDZ41" s="21"/>
      <c r="PEA41" s="21"/>
      <c r="PEB41" s="21"/>
      <c r="PEC41" s="21"/>
      <c r="PED41" s="21"/>
      <c r="PEE41" s="21"/>
      <c r="PEF41" s="21"/>
      <c r="PEG41" s="21"/>
      <c r="PEH41" s="21"/>
      <c r="PEI41" s="21"/>
      <c r="PEJ41" s="21"/>
      <c r="PEK41" s="21"/>
      <c r="PEL41" s="21"/>
      <c r="PEM41" s="21"/>
      <c r="PEN41" s="21"/>
      <c r="PEO41" s="21"/>
      <c r="PEP41" s="21"/>
      <c r="PEQ41" s="21"/>
      <c r="PER41" s="21"/>
      <c r="PES41" s="21"/>
      <c r="PET41" s="21"/>
      <c r="PEU41" s="21"/>
      <c r="PEV41" s="21"/>
      <c r="PEW41" s="21"/>
      <c r="PEX41" s="21"/>
      <c r="PEY41" s="21"/>
      <c r="PEZ41" s="21"/>
      <c r="PFA41" s="21"/>
      <c r="PFB41" s="21"/>
      <c r="PFC41" s="21"/>
      <c r="PFD41" s="21"/>
      <c r="PFE41" s="21"/>
      <c r="PFF41" s="21"/>
      <c r="PFG41" s="21"/>
      <c r="PFH41" s="21"/>
      <c r="PFI41" s="21"/>
      <c r="PFJ41" s="21"/>
      <c r="PFK41" s="21"/>
      <c r="PFL41" s="21"/>
      <c r="PFM41" s="21"/>
      <c r="PFN41" s="21"/>
      <c r="PFO41" s="21"/>
      <c r="PFP41" s="21"/>
      <c r="PFQ41" s="21"/>
      <c r="PFR41" s="21"/>
      <c r="PFS41" s="21"/>
      <c r="PFT41" s="21"/>
      <c r="PFU41" s="21"/>
      <c r="PFV41" s="21"/>
      <c r="PFW41" s="21"/>
      <c r="PFX41" s="21"/>
      <c r="PFY41" s="21"/>
      <c r="PFZ41" s="21"/>
      <c r="PGA41" s="21"/>
      <c r="PGB41" s="21"/>
      <c r="PGC41" s="21"/>
      <c r="PGD41" s="21"/>
      <c r="PGE41" s="21"/>
      <c r="PGF41" s="21"/>
      <c r="PGG41" s="21"/>
      <c r="PGH41" s="21"/>
      <c r="PGI41" s="21"/>
      <c r="PGJ41" s="21"/>
      <c r="PGK41" s="21"/>
      <c r="PGL41" s="21"/>
      <c r="PGM41" s="21"/>
      <c r="PGN41" s="21"/>
      <c r="PGO41" s="21"/>
      <c r="PGP41" s="21"/>
      <c r="PGQ41" s="21"/>
      <c r="PGR41" s="21"/>
      <c r="PGS41" s="21"/>
      <c r="PGT41" s="21"/>
      <c r="PGU41" s="21"/>
      <c r="PGV41" s="21"/>
      <c r="PGW41" s="21"/>
      <c r="PGX41" s="21"/>
      <c r="PGY41" s="21"/>
      <c r="PGZ41" s="21"/>
      <c r="PHA41" s="21"/>
      <c r="PHB41" s="21"/>
      <c r="PHC41" s="21"/>
      <c r="PHD41" s="21"/>
      <c r="PHE41" s="21"/>
      <c r="PHF41" s="21"/>
      <c r="PHG41" s="21"/>
      <c r="PHH41" s="21"/>
      <c r="PHI41" s="21"/>
      <c r="PHJ41" s="21"/>
      <c r="PHK41" s="21"/>
      <c r="PHL41" s="21"/>
      <c r="PHM41" s="21"/>
      <c r="PHN41" s="21"/>
      <c r="PHO41" s="21"/>
      <c r="PHP41" s="21"/>
      <c r="PHQ41" s="21"/>
      <c r="PHR41" s="21"/>
      <c r="PHS41" s="21"/>
      <c r="PHT41" s="21"/>
      <c r="PHU41" s="21"/>
      <c r="PHV41" s="21"/>
      <c r="PHW41" s="21"/>
      <c r="PHX41" s="21"/>
      <c r="PHY41" s="21"/>
      <c r="PHZ41" s="21"/>
      <c r="PIA41" s="21"/>
      <c r="PIB41" s="21"/>
      <c r="PIC41" s="21"/>
      <c r="PID41" s="21"/>
      <c r="PIE41" s="21"/>
      <c r="PIF41" s="21"/>
      <c r="PIG41" s="21"/>
      <c r="PIH41" s="21"/>
      <c r="PII41" s="21"/>
      <c r="PIJ41" s="21"/>
      <c r="PIK41" s="21"/>
      <c r="PIL41" s="21"/>
      <c r="PIM41" s="21"/>
      <c r="PIN41" s="21"/>
      <c r="PIO41" s="21"/>
      <c r="PIP41" s="21"/>
      <c r="PIQ41" s="21"/>
      <c r="PIR41" s="21"/>
      <c r="PIS41" s="21"/>
      <c r="PIT41" s="21"/>
      <c r="PIU41" s="21"/>
      <c r="PIV41" s="21"/>
      <c r="PIW41" s="21"/>
      <c r="PIX41" s="21"/>
      <c r="PIY41" s="21"/>
      <c r="PIZ41" s="21"/>
      <c r="PJA41" s="21"/>
      <c r="PJB41" s="21"/>
      <c r="PJC41" s="21"/>
      <c r="PJD41" s="21"/>
      <c r="PJE41" s="21"/>
      <c r="PJF41" s="21"/>
      <c r="PJG41" s="21"/>
      <c r="PJH41" s="21"/>
      <c r="PJI41" s="21"/>
      <c r="PJJ41" s="21"/>
      <c r="PJK41" s="21"/>
      <c r="PJL41" s="21"/>
      <c r="PJM41" s="21"/>
      <c r="PJN41" s="21"/>
      <c r="PJO41" s="21"/>
      <c r="PJP41" s="21"/>
      <c r="PJQ41" s="21"/>
      <c r="PJR41" s="21"/>
      <c r="PJS41" s="21"/>
      <c r="PJT41" s="21"/>
      <c r="PJU41" s="21"/>
      <c r="PJV41" s="21"/>
      <c r="PJW41" s="21"/>
      <c r="PJX41" s="21"/>
      <c r="PJY41" s="21"/>
      <c r="PJZ41" s="21"/>
      <c r="PKA41" s="21"/>
      <c r="PKB41" s="21"/>
      <c r="PKC41" s="21"/>
      <c r="PKD41" s="21"/>
      <c r="PKE41" s="21"/>
      <c r="PKF41" s="21"/>
      <c r="PKG41" s="21"/>
      <c r="PKH41" s="21"/>
      <c r="PKI41" s="21"/>
      <c r="PKJ41" s="21"/>
      <c r="PKK41" s="21"/>
      <c r="PKL41" s="21"/>
      <c r="PKM41" s="21"/>
      <c r="PKN41" s="21"/>
      <c r="PKO41" s="21"/>
      <c r="PKP41" s="21"/>
      <c r="PKQ41" s="21"/>
      <c r="PKR41" s="21"/>
      <c r="PKS41" s="21"/>
      <c r="PKT41" s="21"/>
      <c r="PKU41" s="21"/>
      <c r="PKV41" s="21"/>
      <c r="PKW41" s="21"/>
      <c r="PKX41" s="21"/>
      <c r="PKY41" s="21"/>
      <c r="PKZ41" s="21"/>
      <c r="PLA41" s="21"/>
      <c r="PLB41" s="21"/>
      <c r="PLC41" s="21"/>
      <c r="PLD41" s="21"/>
      <c r="PLE41" s="21"/>
      <c r="PLF41" s="21"/>
      <c r="PLG41" s="21"/>
      <c r="PLH41" s="21"/>
      <c r="PLI41" s="21"/>
      <c r="PLJ41" s="21"/>
      <c r="PLK41" s="21"/>
      <c r="PLL41" s="21"/>
      <c r="PLM41" s="21"/>
      <c r="PLN41" s="21"/>
      <c r="PLO41" s="21"/>
      <c r="PLP41" s="21"/>
      <c r="PLQ41" s="21"/>
      <c r="PLR41" s="21"/>
      <c r="PLS41" s="21"/>
      <c r="PLT41" s="21"/>
      <c r="PLU41" s="21"/>
      <c r="PLV41" s="21"/>
      <c r="PLW41" s="21"/>
      <c r="PLX41" s="21"/>
      <c r="PLY41" s="21"/>
      <c r="PLZ41" s="21"/>
      <c r="PMA41" s="21"/>
      <c r="PMB41" s="21"/>
      <c r="PMC41" s="21"/>
      <c r="PMD41" s="21"/>
      <c r="PME41" s="21"/>
      <c r="PMF41" s="21"/>
      <c r="PMG41" s="21"/>
      <c r="PMH41" s="21"/>
      <c r="PMI41" s="21"/>
      <c r="PMJ41" s="21"/>
      <c r="PMK41" s="21"/>
      <c r="PML41" s="21"/>
      <c r="PMM41" s="21"/>
      <c r="PMN41" s="21"/>
      <c r="PMO41" s="21"/>
      <c r="PMP41" s="21"/>
      <c r="PMQ41" s="21"/>
      <c r="PMR41" s="21"/>
      <c r="PMS41" s="21"/>
      <c r="PMT41" s="21"/>
      <c r="PMU41" s="21"/>
      <c r="PMV41" s="21"/>
      <c r="PMW41" s="21"/>
      <c r="PMX41" s="21"/>
      <c r="PMY41" s="21"/>
      <c r="PMZ41" s="21"/>
      <c r="PNA41" s="21"/>
      <c r="PNB41" s="21"/>
      <c r="PNC41" s="21"/>
      <c r="PND41" s="21"/>
      <c r="PNE41" s="21"/>
      <c r="PNF41" s="21"/>
      <c r="PNG41" s="21"/>
      <c r="PNH41" s="21"/>
      <c r="PNI41" s="21"/>
      <c r="PNJ41" s="21"/>
      <c r="PNK41" s="21"/>
      <c r="PNL41" s="21"/>
      <c r="PNM41" s="21"/>
      <c r="PNN41" s="21"/>
      <c r="PNO41" s="21"/>
      <c r="PNP41" s="21"/>
      <c r="PNQ41" s="21"/>
      <c r="PNR41" s="21"/>
      <c r="PNS41" s="21"/>
      <c r="PNT41" s="21"/>
      <c r="PNU41" s="21"/>
      <c r="PNV41" s="21"/>
      <c r="PNW41" s="21"/>
      <c r="PNX41" s="21"/>
      <c r="PNY41" s="21"/>
      <c r="PNZ41" s="21"/>
      <c r="POA41" s="21"/>
      <c r="POB41" s="21"/>
      <c r="POC41" s="21"/>
      <c r="POD41" s="21"/>
      <c r="POE41" s="21"/>
      <c r="POF41" s="21"/>
      <c r="POG41" s="21"/>
      <c r="POH41" s="21"/>
      <c r="POI41" s="21"/>
      <c r="POJ41" s="21"/>
      <c r="POK41" s="21"/>
      <c r="POL41" s="21"/>
      <c r="POM41" s="21"/>
      <c r="PON41" s="21"/>
      <c r="POO41" s="21"/>
      <c r="POP41" s="21"/>
      <c r="POQ41" s="21"/>
      <c r="POR41" s="21"/>
      <c r="POS41" s="21"/>
      <c r="POT41" s="21"/>
      <c r="POU41" s="21"/>
      <c r="POV41" s="21"/>
      <c r="POW41" s="21"/>
      <c r="POX41" s="21"/>
      <c r="POY41" s="21"/>
      <c r="POZ41" s="21"/>
      <c r="PPA41" s="21"/>
      <c r="PPB41" s="21"/>
      <c r="PPC41" s="21"/>
      <c r="PPD41" s="21"/>
      <c r="PPE41" s="21"/>
      <c r="PPF41" s="21"/>
      <c r="PPG41" s="21"/>
      <c r="PPH41" s="21"/>
      <c r="PPI41" s="21"/>
      <c r="PPJ41" s="21"/>
      <c r="PPK41" s="21"/>
      <c r="PPL41" s="21"/>
      <c r="PPM41" s="21"/>
      <c r="PPN41" s="21"/>
      <c r="PPO41" s="21"/>
      <c r="PPP41" s="21"/>
      <c r="PPQ41" s="21"/>
      <c r="PPR41" s="21"/>
      <c r="PPS41" s="21"/>
      <c r="PPT41" s="21"/>
      <c r="PPU41" s="21"/>
      <c r="PPV41" s="21"/>
      <c r="PPW41" s="21"/>
      <c r="PPX41" s="21"/>
      <c r="PPY41" s="21"/>
      <c r="PPZ41" s="21"/>
      <c r="PQA41" s="21"/>
      <c r="PQB41" s="21"/>
      <c r="PQC41" s="21"/>
      <c r="PQD41" s="21"/>
      <c r="PQE41" s="21"/>
      <c r="PQF41" s="21"/>
      <c r="PQG41" s="21"/>
      <c r="PQH41" s="21"/>
      <c r="PQI41" s="21"/>
      <c r="PQJ41" s="21"/>
      <c r="PQK41" s="21"/>
      <c r="PQL41" s="21"/>
      <c r="PQM41" s="21"/>
      <c r="PQN41" s="21"/>
      <c r="PQO41" s="21"/>
      <c r="PQP41" s="21"/>
      <c r="PQQ41" s="21"/>
      <c r="PQR41" s="21"/>
      <c r="PQS41" s="21"/>
      <c r="PQT41" s="21"/>
      <c r="PQU41" s="21"/>
      <c r="PQV41" s="21"/>
      <c r="PQW41" s="21"/>
      <c r="PQX41" s="21"/>
      <c r="PQY41" s="21"/>
      <c r="PQZ41" s="21"/>
      <c r="PRA41" s="21"/>
      <c r="PRB41" s="21"/>
      <c r="PRC41" s="21"/>
      <c r="PRD41" s="21"/>
      <c r="PRE41" s="21"/>
      <c r="PRF41" s="21"/>
      <c r="PRG41" s="21"/>
      <c r="PRH41" s="21"/>
      <c r="PRI41" s="21"/>
      <c r="PRJ41" s="21"/>
      <c r="PRK41" s="21"/>
      <c r="PRL41" s="21"/>
      <c r="PRM41" s="21"/>
      <c r="PRN41" s="21"/>
      <c r="PRO41" s="21"/>
      <c r="PRP41" s="21"/>
      <c r="PRQ41" s="21"/>
      <c r="PRR41" s="21"/>
      <c r="PRS41" s="21"/>
      <c r="PRT41" s="21"/>
      <c r="PRU41" s="21"/>
      <c r="PRV41" s="21"/>
      <c r="PRW41" s="21"/>
      <c r="PRX41" s="21"/>
      <c r="PRY41" s="21"/>
      <c r="PRZ41" s="21"/>
      <c r="PSA41" s="21"/>
      <c r="PSB41" s="21"/>
      <c r="PSC41" s="21"/>
      <c r="PSD41" s="21"/>
      <c r="PSE41" s="21"/>
      <c r="PSF41" s="21"/>
      <c r="PSG41" s="21"/>
      <c r="PSH41" s="21"/>
      <c r="PSI41" s="21"/>
      <c r="PSJ41" s="21"/>
      <c r="PSK41" s="21"/>
      <c r="PSL41" s="21"/>
      <c r="PSM41" s="21"/>
      <c r="PSN41" s="21"/>
      <c r="PSO41" s="21"/>
      <c r="PSP41" s="21"/>
      <c r="PSQ41" s="21"/>
      <c r="PSR41" s="21"/>
      <c r="PSS41" s="21"/>
      <c r="PST41" s="21"/>
      <c r="PSU41" s="21"/>
      <c r="PSV41" s="21"/>
      <c r="PSW41" s="21"/>
      <c r="PSX41" s="21"/>
      <c r="PSY41" s="21"/>
      <c r="PSZ41" s="21"/>
      <c r="PTA41" s="21"/>
      <c r="PTB41" s="21"/>
      <c r="PTC41" s="21"/>
      <c r="PTD41" s="21"/>
      <c r="PTE41" s="21"/>
      <c r="PTF41" s="21"/>
      <c r="PTG41" s="21"/>
      <c r="PTH41" s="21"/>
      <c r="PTI41" s="21"/>
      <c r="PTJ41" s="21"/>
      <c r="PTK41" s="21"/>
      <c r="PTL41" s="21"/>
      <c r="PTM41" s="21"/>
      <c r="PTN41" s="21"/>
      <c r="PTO41" s="21"/>
      <c r="PTP41" s="21"/>
      <c r="PTQ41" s="21"/>
      <c r="PTR41" s="21"/>
      <c r="PTS41" s="21"/>
      <c r="PTT41" s="21"/>
      <c r="PTU41" s="21"/>
      <c r="PTV41" s="21"/>
      <c r="PTW41" s="21"/>
      <c r="PTX41" s="21"/>
      <c r="PTY41" s="21"/>
      <c r="PTZ41" s="21"/>
      <c r="PUA41" s="21"/>
      <c r="PUB41" s="21"/>
      <c r="PUC41" s="21"/>
      <c r="PUD41" s="21"/>
      <c r="PUE41" s="21"/>
      <c r="PUF41" s="21"/>
      <c r="PUG41" s="21"/>
      <c r="PUH41" s="21"/>
      <c r="PUI41" s="21"/>
      <c r="PUJ41" s="21"/>
      <c r="PUK41" s="21"/>
      <c r="PUL41" s="21"/>
      <c r="PUM41" s="21"/>
      <c r="PUN41" s="21"/>
      <c r="PUO41" s="21"/>
      <c r="PUP41" s="21"/>
      <c r="PUQ41" s="21"/>
      <c r="PUR41" s="21"/>
      <c r="PUS41" s="21"/>
      <c r="PUT41" s="21"/>
      <c r="PUU41" s="21"/>
      <c r="PUV41" s="21"/>
      <c r="PUW41" s="21"/>
      <c r="PUX41" s="21"/>
      <c r="PUY41" s="21"/>
      <c r="PUZ41" s="21"/>
      <c r="PVA41" s="21"/>
      <c r="PVB41" s="21"/>
      <c r="PVC41" s="21"/>
      <c r="PVD41" s="21"/>
      <c r="PVE41" s="21"/>
      <c r="PVF41" s="21"/>
      <c r="PVG41" s="21"/>
      <c r="PVH41" s="21"/>
      <c r="PVI41" s="21"/>
      <c r="PVJ41" s="21"/>
      <c r="PVK41" s="21"/>
      <c r="PVL41" s="21"/>
      <c r="PVM41" s="21"/>
      <c r="PVN41" s="21"/>
      <c r="PVO41" s="21"/>
      <c r="PVP41" s="21"/>
      <c r="PVQ41" s="21"/>
      <c r="PVR41" s="21"/>
      <c r="PVS41" s="21"/>
      <c r="PVT41" s="21"/>
      <c r="PVU41" s="21"/>
      <c r="PVV41" s="21"/>
      <c r="PVW41" s="21"/>
      <c r="PVX41" s="21"/>
      <c r="PVY41" s="21"/>
      <c r="PVZ41" s="21"/>
      <c r="PWA41" s="21"/>
      <c r="PWB41" s="21"/>
      <c r="PWC41" s="21"/>
      <c r="PWD41" s="21"/>
      <c r="PWE41" s="21"/>
      <c r="PWF41" s="21"/>
      <c r="PWG41" s="21"/>
      <c r="PWH41" s="21"/>
      <c r="PWI41" s="21"/>
      <c r="PWJ41" s="21"/>
      <c r="PWK41" s="21"/>
      <c r="PWL41" s="21"/>
      <c r="PWM41" s="21"/>
      <c r="PWN41" s="21"/>
      <c r="PWO41" s="21"/>
      <c r="PWP41" s="21"/>
      <c r="PWQ41" s="21"/>
      <c r="PWR41" s="21"/>
      <c r="PWS41" s="21"/>
      <c r="PWT41" s="21"/>
      <c r="PWU41" s="21"/>
      <c r="PWV41" s="21"/>
      <c r="PWW41" s="21"/>
      <c r="PWX41" s="21"/>
      <c r="PWY41" s="21"/>
      <c r="PWZ41" s="21"/>
      <c r="PXA41" s="21"/>
      <c r="PXB41" s="21"/>
      <c r="PXC41" s="21"/>
      <c r="PXD41" s="21"/>
      <c r="PXE41" s="21"/>
      <c r="PXF41" s="21"/>
      <c r="PXG41" s="21"/>
      <c r="PXH41" s="21"/>
      <c r="PXI41" s="21"/>
      <c r="PXJ41" s="21"/>
      <c r="PXK41" s="21"/>
      <c r="PXL41" s="21"/>
      <c r="PXM41" s="21"/>
      <c r="PXN41" s="21"/>
      <c r="PXO41" s="21"/>
      <c r="PXP41" s="21"/>
      <c r="PXQ41" s="21"/>
      <c r="PXR41" s="21"/>
      <c r="PXS41" s="21"/>
      <c r="PXT41" s="21"/>
      <c r="PXU41" s="21"/>
      <c r="PXV41" s="21"/>
      <c r="PXW41" s="21"/>
      <c r="PXX41" s="21"/>
      <c r="PXY41" s="21"/>
      <c r="PXZ41" s="21"/>
      <c r="PYA41" s="21"/>
      <c r="PYB41" s="21"/>
      <c r="PYC41" s="21"/>
      <c r="PYD41" s="21"/>
      <c r="PYE41" s="21"/>
      <c r="PYF41" s="21"/>
      <c r="PYG41" s="21"/>
      <c r="PYH41" s="21"/>
      <c r="PYI41" s="21"/>
      <c r="PYJ41" s="21"/>
      <c r="PYK41" s="21"/>
      <c r="PYL41" s="21"/>
      <c r="PYM41" s="21"/>
      <c r="PYN41" s="21"/>
      <c r="PYO41" s="21"/>
      <c r="PYP41" s="21"/>
      <c r="PYQ41" s="21"/>
      <c r="PYR41" s="21"/>
      <c r="PYS41" s="21"/>
      <c r="PYT41" s="21"/>
      <c r="PYU41" s="21"/>
      <c r="PYV41" s="21"/>
      <c r="PYW41" s="21"/>
      <c r="PYX41" s="21"/>
      <c r="PYY41" s="21"/>
      <c r="PYZ41" s="21"/>
      <c r="PZA41" s="21"/>
      <c r="PZB41" s="21"/>
      <c r="PZC41" s="21"/>
      <c r="PZD41" s="21"/>
      <c r="PZE41" s="21"/>
      <c r="PZF41" s="21"/>
      <c r="PZG41" s="21"/>
      <c r="PZH41" s="21"/>
      <c r="PZI41" s="21"/>
      <c r="PZJ41" s="21"/>
      <c r="PZK41" s="21"/>
      <c r="PZL41" s="21"/>
      <c r="PZM41" s="21"/>
      <c r="PZN41" s="21"/>
      <c r="PZO41" s="21"/>
      <c r="PZP41" s="21"/>
      <c r="PZQ41" s="21"/>
      <c r="PZR41" s="21"/>
      <c r="PZS41" s="21"/>
      <c r="PZT41" s="21"/>
      <c r="PZU41" s="21"/>
      <c r="PZV41" s="21"/>
      <c r="PZW41" s="21"/>
      <c r="PZX41" s="21"/>
      <c r="PZY41" s="21"/>
      <c r="PZZ41" s="21"/>
      <c r="QAA41" s="21"/>
      <c r="QAB41" s="21"/>
      <c r="QAC41" s="21"/>
      <c r="QAD41" s="21"/>
      <c r="QAE41" s="21"/>
      <c r="QAF41" s="21"/>
      <c r="QAG41" s="21"/>
      <c r="QAH41" s="21"/>
      <c r="QAI41" s="21"/>
      <c r="QAJ41" s="21"/>
      <c r="QAK41" s="21"/>
      <c r="QAL41" s="21"/>
      <c r="QAM41" s="21"/>
      <c r="QAN41" s="21"/>
      <c r="QAO41" s="21"/>
      <c r="QAP41" s="21"/>
      <c r="QAQ41" s="21"/>
      <c r="QAR41" s="21"/>
      <c r="QAS41" s="21"/>
      <c r="QAT41" s="21"/>
      <c r="QAU41" s="21"/>
      <c r="QAV41" s="21"/>
      <c r="QAW41" s="21"/>
      <c r="QAX41" s="21"/>
      <c r="QAY41" s="21"/>
      <c r="QAZ41" s="21"/>
      <c r="QBA41" s="21"/>
      <c r="QBB41" s="21"/>
      <c r="QBC41" s="21"/>
      <c r="QBD41" s="21"/>
      <c r="QBE41" s="21"/>
      <c r="QBF41" s="21"/>
      <c r="QBG41" s="21"/>
      <c r="QBH41" s="21"/>
      <c r="QBI41" s="21"/>
      <c r="QBJ41" s="21"/>
      <c r="QBK41" s="21"/>
      <c r="QBL41" s="21"/>
      <c r="QBM41" s="21"/>
      <c r="QBN41" s="21"/>
      <c r="QBO41" s="21"/>
      <c r="QBP41" s="21"/>
      <c r="QBQ41" s="21"/>
      <c r="QBR41" s="21"/>
      <c r="QBS41" s="21"/>
      <c r="QBT41" s="21"/>
      <c r="QBU41" s="21"/>
      <c r="QBV41" s="21"/>
      <c r="QBW41" s="21"/>
      <c r="QBX41" s="21"/>
      <c r="QBY41" s="21"/>
      <c r="QBZ41" s="21"/>
      <c r="QCA41" s="21"/>
      <c r="QCB41" s="21"/>
      <c r="QCC41" s="21"/>
      <c r="QCD41" s="21"/>
      <c r="QCE41" s="21"/>
      <c r="QCF41" s="21"/>
      <c r="QCG41" s="21"/>
      <c r="QCH41" s="21"/>
      <c r="QCI41" s="21"/>
      <c r="QCJ41" s="21"/>
      <c r="QCK41" s="21"/>
      <c r="QCL41" s="21"/>
      <c r="QCM41" s="21"/>
      <c r="QCN41" s="21"/>
      <c r="QCO41" s="21"/>
      <c r="QCP41" s="21"/>
      <c r="QCQ41" s="21"/>
      <c r="QCR41" s="21"/>
      <c r="QCS41" s="21"/>
      <c r="QCT41" s="21"/>
      <c r="QCU41" s="21"/>
      <c r="QCV41" s="21"/>
      <c r="QCW41" s="21"/>
      <c r="QCX41" s="21"/>
      <c r="QCY41" s="21"/>
      <c r="QCZ41" s="21"/>
      <c r="QDA41" s="21"/>
      <c r="QDB41" s="21"/>
      <c r="QDC41" s="21"/>
      <c r="QDD41" s="21"/>
      <c r="QDE41" s="21"/>
      <c r="QDF41" s="21"/>
      <c r="QDG41" s="21"/>
      <c r="QDH41" s="21"/>
      <c r="QDI41" s="21"/>
      <c r="QDJ41" s="21"/>
      <c r="QDK41" s="21"/>
      <c r="QDL41" s="21"/>
      <c r="QDM41" s="21"/>
      <c r="QDN41" s="21"/>
      <c r="QDO41" s="21"/>
      <c r="QDP41" s="21"/>
      <c r="QDQ41" s="21"/>
      <c r="QDR41" s="21"/>
      <c r="QDS41" s="21"/>
      <c r="QDT41" s="21"/>
      <c r="QDU41" s="21"/>
      <c r="QDV41" s="21"/>
      <c r="QDW41" s="21"/>
      <c r="QDX41" s="21"/>
      <c r="QDY41" s="21"/>
      <c r="QDZ41" s="21"/>
      <c r="QEA41" s="21"/>
      <c r="QEB41" s="21"/>
      <c r="QEC41" s="21"/>
      <c r="QED41" s="21"/>
      <c r="QEE41" s="21"/>
      <c r="QEF41" s="21"/>
      <c r="QEG41" s="21"/>
      <c r="QEH41" s="21"/>
      <c r="QEI41" s="21"/>
      <c r="QEJ41" s="21"/>
      <c r="QEK41" s="21"/>
      <c r="QEL41" s="21"/>
      <c r="QEM41" s="21"/>
      <c r="QEN41" s="21"/>
      <c r="QEO41" s="21"/>
      <c r="QEP41" s="21"/>
      <c r="QEQ41" s="21"/>
      <c r="QER41" s="21"/>
      <c r="QES41" s="21"/>
      <c r="QET41" s="21"/>
      <c r="QEU41" s="21"/>
      <c r="QEV41" s="21"/>
      <c r="QEW41" s="21"/>
      <c r="QEX41" s="21"/>
      <c r="QEY41" s="21"/>
      <c r="QEZ41" s="21"/>
      <c r="QFA41" s="21"/>
      <c r="QFB41" s="21"/>
      <c r="QFC41" s="21"/>
      <c r="QFD41" s="21"/>
      <c r="QFE41" s="21"/>
      <c r="QFF41" s="21"/>
      <c r="QFG41" s="21"/>
      <c r="QFH41" s="21"/>
      <c r="QFI41" s="21"/>
      <c r="QFJ41" s="21"/>
      <c r="QFK41" s="21"/>
      <c r="QFL41" s="21"/>
      <c r="QFM41" s="21"/>
      <c r="QFN41" s="21"/>
      <c r="QFO41" s="21"/>
      <c r="QFP41" s="21"/>
      <c r="QFQ41" s="21"/>
      <c r="QFR41" s="21"/>
      <c r="QFS41" s="21"/>
      <c r="QFT41" s="21"/>
      <c r="QFU41" s="21"/>
      <c r="QFV41" s="21"/>
      <c r="QFW41" s="21"/>
      <c r="QFX41" s="21"/>
      <c r="QFY41" s="21"/>
      <c r="QFZ41" s="21"/>
      <c r="QGA41" s="21"/>
      <c r="QGB41" s="21"/>
      <c r="QGC41" s="21"/>
      <c r="QGD41" s="21"/>
      <c r="QGE41" s="21"/>
      <c r="QGF41" s="21"/>
      <c r="QGG41" s="21"/>
      <c r="QGH41" s="21"/>
      <c r="QGI41" s="21"/>
      <c r="QGJ41" s="21"/>
      <c r="QGK41" s="21"/>
      <c r="QGL41" s="21"/>
      <c r="QGM41" s="21"/>
      <c r="QGN41" s="21"/>
      <c r="QGO41" s="21"/>
      <c r="QGP41" s="21"/>
      <c r="QGQ41" s="21"/>
      <c r="QGR41" s="21"/>
      <c r="QGS41" s="21"/>
      <c r="QGT41" s="21"/>
      <c r="QGU41" s="21"/>
      <c r="QGV41" s="21"/>
      <c r="QGW41" s="21"/>
      <c r="QGX41" s="21"/>
      <c r="QGY41" s="21"/>
      <c r="QGZ41" s="21"/>
      <c r="QHA41" s="21"/>
      <c r="QHB41" s="21"/>
      <c r="QHC41" s="21"/>
      <c r="QHD41" s="21"/>
      <c r="QHE41" s="21"/>
      <c r="QHF41" s="21"/>
      <c r="QHG41" s="21"/>
      <c r="QHH41" s="21"/>
      <c r="QHI41" s="21"/>
      <c r="QHJ41" s="21"/>
      <c r="QHK41" s="21"/>
      <c r="QHL41" s="21"/>
      <c r="QHM41" s="21"/>
      <c r="QHN41" s="21"/>
      <c r="QHO41" s="21"/>
      <c r="QHP41" s="21"/>
      <c r="QHQ41" s="21"/>
      <c r="QHR41" s="21"/>
      <c r="QHS41" s="21"/>
      <c r="QHT41" s="21"/>
      <c r="QHU41" s="21"/>
      <c r="QHV41" s="21"/>
      <c r="QHW41" s="21"/>
      <c r="QHX41" s="21"/>
      <c r="QHY41" s="21"/>
      <c r="QHZ41" s="21"/>
      <c r="QIA41" s="21"/>
      <c r="QIB41" s="21"/>
      <c r="QIC41" s="21"/>
      <c r="QID41" s="21"/>
      <c r="QIE41" s="21"/>
      <c r="QIF41" s="21"/>
      <c r="QIG41" s="21"/>
      <c r="QIH41" s="21"/>
      <c r="QII41" s="21"/>
      <c r="QIJ41" s="21"/>
      <c r="QIK41" s="21"/>
      <c r="QIL41" s="21"/>
      <c r="QIM41" s="21"/>
      <c r="QIN41" s="21"/>
      <c r="QIO41" s="21"/>
      <c r="QIP41" s="21"/>
      <c r="QIQ41" s="21"/>
      <c r="QIR41" s="21"/>
      <c r="QIS41" s="21"/>
      <c r="QIT41" s="21"/>
      <c r="QIU41" s="21"/>
      <c r="QIV41" s="21"/>
      <c r="QIW41" s="21"/>
      <c r="QIX41" s="21"/>
      <c r="QIY41" s="21"/>
      <c r="QIZ41" s="21"/>
      <c r="QJA41" s="21"/>
      <c r="QJB41" s="21"/>
      <c r="QJC41" s="21"/>
      <c r="QJD41" s="21"/>
      <c r="QJE41" s="21"/>
      <c r="QJF41" s="21"/>
      <c r="QJG41" s="21"/>
      <c r="QJH41" s="21"/>
      <c r="QJI41" s="21"/>
      <c r="QJJ41" s="21"/>
      <c r="QJK41" s="21"/>
      <c r="QJL41" s="21"/>
      <c r="QJM41" s="21"/>
      <c r="QJN41" s="21"/>
      <c r="QJO41" s="21"/>
      <c r="QJP41" s="21"/>
      <c r="QJQ41" s="21"/>
      <c r="QJR41" s="21"/>
      <c r="QJS41" s="21"/>
      <c r="QJT41" s="21"/>
      <c r="QJU41" s="21"/>
      <c r="QJV41" s="21"/>
      <c r="QJW41" s="21"/>
      <c r="QJX41" s="21"/>
      <c r="QJY41" s="21"/>
      <c r="QJZ41" s="21"/>
      <c r="QKA41" s="21"/>
      <c r="QKB41" s="21"/>
      <c r="QKC41" s="21"/>
      <c r="QKD41" s="21"/>
      <c r="QKE41" s="21"/>
      <c r="QKF41" s="21"/>
      <c r="QKG41" s="21"/>
      <c r="QKH41" s="21"/>
      <c r="QKI41" s="21"/>
      <c r="QKJ41" s="21"/>
      <c r="QKK41" s="21"/>
      <c r="QKL41" s="21"/>
      <c r="QKM41" s="21"/>
      <c r="QKN41" s="21"/>
      <c r="QKO41" s="21"/>
      <c r="QKP41" s="21"/>
      <c r="QKQ41" s="21"/>
      <c r="QKR41" s="21"/>
      <c r="QKS41" s="21"/>
      <c r="QKT41" s="21"/>
      <c r="QKU41" s="21"/>
      <c r="QKV41" s="21"/>
      <c r="QKW41" s="21"/>
      <c r="QKX41" s="21"/>
      <c r="QKY41" s="21"/>
      <c r="QKZ41" s="21"/>
      <c r="QLA41" s="21"/>
      <c r="QLB41" s="21"/>
      <c r="QLC41" s="21"/>
      <c r="QLD41" s="21"/>
      <c r="QLE41" s="21"/>
      <c r="QLF41" s="21"/>
      <c r="QLG41" s="21"/>
      <c r="QLH41" s="21"/>
      <c r="QLI41" s="21"/>
      <c r="QLJ41" s="21"/>
      <c r="QLK41" s="21"/>
      <c r="QLL41" s="21"/>
      <c r="QLM41" s="21"/>
      <c r="QLN41" s="21"/>
      <c r="QLO41" s="21"/>
      <c r="QLP41" s="21"/>
      <c r="QLQ41" s="21"/>
      <c r="QLR41" s="21"/>
      <c r="QLS41" s="21"/>
      <c r="QLT41" s="21"/>
      <c r="QLU41" s="21"/>
      <c r="QLV41" s="21"/>
      <c r="QLW41" s="21"/>
      <c r="QLX41" s="21"/>
      <c r="QLY41" s="21"/>
      <c r="QLZ41" s="21"/>
      <c r="QMA41" s="21"/>
      <c r="QMB41" s="21"/>
      <c r="QMC41" s="21"/>
      <c r="QMD41" s="21"/>
      <c r="QME41" s="21"/>
      <c r="QMF41" s="21"/>
      <c r="QMG41" s="21"/>
      <c r="QMH41" s="21"/>
      <c r="QMI41" s="21"/>
      <c r="QMJ41" s="21"/>
      <c r="QMK41" s="21"/>
      <c r="QML41" s="21"/>
      <c r="QMM41" s="21"/>
      <c r="QMN41" s="21"/>
      <c r="QMO41" s="21"/>
      <c r="QMP41" s="21"/>
      <c r="QMQ41" s="21"/>
      <c r="QMR41" s="21"/>
      <c r="QMS41" s="21"/>
      <c r="QMT41" s="21"/>
      <c r="QMU41" s="21"/>
      <c r="QMV41" s="21"/>
      <c r="QMW41" s="21"/>
      <c r="QMX41" s="21"/>
      <c r="QMY41" s="21"/>
      <c r="QMZ41" s="21"/>
      <c r="QNA41" s="21"/>
      <c r="QNB41" s="21"/>
      <c r="QNC41" s="21"/>
      <c r="QND41" s="21"/>
      <c r="QNE41" s="21"/>
      <c r="QNF41" s="21"/>
      <c r="QNG41" s="21"/>
      <c r="QNH41" s="21"/>
      <c r="QNI41" s="21"/>
      <c r="QNJ41" s="21"/>
      <c r="QNK41" s="21"/>
      <c r="QNL41" s="21"/>
      <c r="QNM41" s="21"/>
      <c r="QNN41" s="21"/>
      <c r="QNO41" s="21"/>
      <c r="QNP41" s="21"/>
      <c r="QNQ41" s="21"/>
      <c r="QNR41" s="21"/>
      <c r="QNS41" s="21"/>
      <c r="QNT41" s="21"/>
      <c r="QNU41" s="21"/>
      <c r="QNV41" s="21"/>
      <c r="QNW41" s="21"/>
      <c r="QNX41" s="21"/>
      <c r="QNY41" s="21"/>
      <c r="QNZ41" s="21"/>
      <c r="QOA41" s="21"/>
      <c r="QOB41" s="21"/>
      <c r="QOC41" s="21"/>
      <c r="QOD41" s="21"/>
      <c r="QOE41" s="21"/>
      <c r="QOF41" s="21"/>
      <c r="QOG41" s="21"/>
      <c r="QOH41" s="21"/>
      <c r="QOI41" s="21"/>
      <c r="QOJ41" s="21"/>
      <c r="QOK41" s="21"/>
      <c r="QOL41" s="21"/>
      <c r="QOM41" s="21"/>
      <c r="QON41" s="21"/>
      <c r="QOO41" s="21"/>
      <c r="QOP41" s="21"/>
      <c r="QOQ41" s="21"/>
      <c r="QOR41" s="21"/>
      <c r="QOS41" s="21"/>
      <c r="QOT41" s="21"/>
      <c r="QOU41" s="21"/>
      <c r="QOV41" s="21"/>
      <c r="QOW41" s="21"/>
      <c r="QOX41" s="21"/>
      <c r="QOY41" s="21"/>
      <c r="QOZ41" s="21"/>
      <c r="QPA41" s="21"/>
      <c r="QPB41" s="21"/>
      <c r="QPC41" s="21"/>
      <c r="QPD41" s="21"/>
      <c r="QPE41" s="21"/>
      <c r="QPF41" s="21"/>
      <c r="QPG41" s="21"/>
      <c r="QPH41" s="21"/>
      <c r="QPI41" s="21"/>
      <c r="QPJ41" s="21"/>
      <c r="QPK41" s="21"/>
      <c r="QPL41" s="21"/>
      <c r="QPM41" s="21"/>
      <c r="QPN41" s="21"/>
      <c r="QPO41" s="21"/>
      <c r="QPP41" s="21"/>
      <c r="QPQ41" s="21"/>
      <c r="QPR41" s="21"/>
      <c r="QPS41" s="21"/>
      <c r="QPT41" s="21"/>
      <c r="QPU41" s="21"/>
      <c r="QPV41" s="21"/>
      <c r="QPW41" s="21"/>
      <c r="QPX41" s="21"/>
      <c r="QPY41" s="21"/>
      <c r="QPZ41" s="21"/>
      <c r="QQA41" s="21"/>
      <c r="QQB41" s="21"/>
      <c r="QQC41" s="21"/>
      <c r="QQD41" s="21"/>
      <c r="QQE41" s="21"/>
      <c r="QQF41" s="21"/>
      <c r="QQG41" s="21"/>
      <c r="QQH41" s="21"/>
      <c r="QQI41" s="21"/>
      <c r="QQJ41" s="21"/>
      <c r="QQK41" s="21"/>
      <c r="QQL41" s="21"/>
      <c r="QQM41" s="21"/>
      <c r="QQN41" s="21"/>
      <c r="QQO41" s="21"/>
      <c r="QQP41" s="21"/>
      <c r="QQQ41" s="21"/>
      <c r="QQR41" s="21"/>
      <c r="QQS41" s="21"/>
      <c r="QQT41" s="21"/>
      <c r="QQU41" s="21"/>
      <c r="QQV41" s="21"/>
      <c r="QQW41" s="21"/>
      <c r="QQX41" s="21"/>
      <c r="QQY41" s="21"/>
      <c r="QQZ41" s="21"/>
      <c r="QRA41" s="21"/>
      <c r="QRB41" s="21"/>
      <c r="QRC41" s="21"/>
      <c r="QRD41" s="21"/>
      <c r="QRE41" s="21"/>
      <c r="QRF41" s="21"/>
      <c r="QRG41" s="21"/>
      <c r="QRH41" s="21"/>
      <c r="QRI41" s="21"/>
      <c r="QRJ41" s="21"/>
      <c r="QRK41" s="21"/>
      <c r="QRL41" s="21"/>
      <c r="QRM41" s="21"/>
      <c r="QRN41" s="21"/>
      <c r="QRO41" s="21"/>
      <c r="QRP41" s="21"/>
      <c r="QRQ41" s="21"/>
      <c r="QRR41" s="21"/>
      <c r="QRS41" s="21"/>
      <c r="QRT41" s="21"/>
      <c r="QRU41" s="21"/>
      <c r="QRV41" s="21"/>
      <c r="QRW41" s="21"/>
      <c r="QRX41" s="21"/>
      <c r="QRY41" s="21"/>
      <c r="QRZ41" s="21"/>
      <c r="QSA41" s="21"/>
      <c r="QSB41" s="21"/>
      <c r="QSC41" s="21"/>
      <c r="QSD41" s="21"/>
      <c r="QSE41" s="21"/>
      <c r="QSF41" s="21"/>
      <c r="QSG41" s="21"/>
      <c r="QSH41" s="21"/>
      <c r="QSI41" s="21"/>
      <c r="QSJ41" s="21"/>
      <c r="QSK41" s="21"/>
      <c r="QSL41" s="21"/>
      <c r="QSM41" s="21"/>
      <c r="QSN41" s="21"/>
      <c r="QSO41" s="21"/>
      <c r="QSP41" s="21"/>
      <c r="QSQ41" s="21"/>
      <c r="QSR41" s="21"/>
      <c r="QSS41" s="21"/>
      <c r="QST41" s="21"/>
      <c r="QSU41" s="21"/>
      <c r="QSV41" s="21"/>
      <c r="QSW41" s="21"/>
      <c r="QSX41" s="21"/>
      <c r="QSY41" s="21"/>
      <c r="QSZ41" s="21"/>
      <c r="QTA41" s="21"/>
      <c r="QTB41" s="21"/>
      <c r="QTC41" s="21"/>
      <c r="QTD41" s="21"/>
      <c r="QTE41" s="21"/>
      <c r="QTF41" s="21"/>
      <c r="QTG41" s="21"/>
      <c r="QTH41" s="21"/>
      <c r="QTI41" s="21"/>
      <c r="QTJ41" s="21"/>
      <c r="QTK41" s="21"/>
      <c r="QTL41" s="21"/>
      <c r="QTM41" s="21"/>
      <c r="QTN41" s="21"/>
      <c r="QTO41" s="21"/>
      <c r="QTP41" s="21"/>
      <c r="QTQ41" s="21"/>
      <c r="QTR41" s="21"/>
      <c r="QTS41" s="21"/>
      <c r="QTT41" s="21"/>
      <c r="QTU41" s="21"/>
      <c r="QTV41" s="21"/>
      <c r="QTW41" s="21"/>
      <c r="QTX41" s="21"/>
      <c r="QTY41" s="21"/>
      <c r="QTZ41" s="21"/>
      <c r="QUA41" s="21"/>
      <c r="QUB41" s="21"/>
      <c r="QUC41" s="21"/>
      <c r="QUD41" s="21"/>
      <c r="QUE41" s="21"/>
      <c r="QUF41" s="21"/>
      <c r="QUG41" s="21"/>
      <c r="QUH41" s="21"/>
      <c r="QUI41" s="21"/>
      <c r="QUJ41" s="21"/>
      <c r="QUK41" s="21"/>
      <c r="QUL41" s="21"/>
      <c r="QUM41" s="21"/>
      <c r="QUN41" s="21"/>
      <c r="QUO41" s="21"/>
      <c r="QUP41" s="21"/>
      <c r="QUQ41" s="21"/>
      <c r="QUR41" s="21"/>
      <c r="QUS41" s="21"/>
      <c r="QUT41" s="21"/>
      <c r="QUU41" s="21"/>
      <c r="QUV41" s="21"/>
      <c r="QUW41" s="21"/>
      <c r="QUX41" s="21"/>
      <c r="QUY41" s="21"/>
      <c r="QUZ41" s="21"/>
      <c r="QVA41" s="21"/>
      <c r="QVB41" s="21"/>
      <c r="QVC41" s="21"/>
      <c r="QVD41" s="21"/>
      <c r="QVE41" s="21"/>
      <c r="QVF41" s="21"/>
      <c r="QVG41" s="21"/>
      <c r="QVH41" s="21"/>
      <c r="QVI41" s="21"/>
      <c r="QVJ41" s="21"/>
      <c r="QVK41" s="21"/>
      <c r="QVL41" s="21"/>
      <c r="QVM41" s="21"/>
      <c r="QVN41" s="21"/>
      <c r="QVO41" s="21"/>
      <c r="QVP41" s="21"/>
      <c r="QVQ41" s="21"/>
      <c r="QVR41" s="21"/>
      <c r="QVS41" s="21"/>
      <c r="QVT41" s="21"/>
      <c r="QVU41" s="21"/>
      <c r="QVV41" s="21"/>
      <c r="QVW41" s="21"/>
      <c r="QVX41" s="21"/>
      <c r="QVY41" s="21"/>
      <c r="QVZ41" s="21"/>
      <c r="QWA41" s="21"/>
      <c r="QWB41" s="21"/>
      <c r="QWC41" s="21"/>
      <c r="QWD41" s="21"/>
      <c r="QWE41" s="21"/>
      <c r="QWF41" s="21"/>
      <c r="QWG41" s="21"/>
      <c r="QWH41" s="21"/>
      <c r="QWI41" s="21"/>
      <c r="QWJ41" s="21"/>
      <c r="QWK41" s="21"/>
      <c r="QWL41" s="21"/>
      <c r="QWM41" s="21"/>
      <c r="QWN41" s="21"/>
      <c r="QWO41" s="21"/>
      <c r="QWP41" s="21"/>
      <c r="QWQ41" s="21"/>
      <c r="QWR41" s="21"/>
      <c r="QWS41" s="21"/>
      <c r="QWT41" s="21"/>
      <c r="QWU41" s="21"/>
      <c r="QWV41" s="21"/>
      <c r="QWW41" s="21"/>
      <c r="QWX41" s="21"/>
      <c r="QWY41" s="21"/>
      <c r="QWZ41" s="21"/>
      <c r="QXA41" s="21"/>
      <c r="QXB41" s="21"/>
      <c r="QXC41" s="21"/>
      <c r="QXD41" s="21"/>
      <c r="QXE41" s="21"/>
      <c r="QXF41" s="21"/>
      <c r="QXG41" s="21"/>
      <c r="QXH41" s="21"/>
      <c r="QXI41" s="21"/>
      <c r="QXJ41" s="21"/>
      <c r="QXK41" s="21"/>
      <c r="QXL41" s="21"/>
      <c r="QXM41" s="21"/>
      <c r="QXN41" s="21"/>
      <c r="QXO41" s="21"/>
      <c r="QXP41" s="21"/>
      <c r="QXQ41" s="21"/>
      <c r="QXR41" s="21"/>
      <c r="QXS41" s="21"/>
      <c r="QXT41" s="21"/>
      <c r="QXU41" s="21"/>
      <c r="QXV41" s="21"/>
      <c r="QXW41" s="21"/>
      <c r="QXX41" s="21"/>
      <c r="QXY41" s="21"/>
      <c r="QXZ41" s="21"/>
      <c r="QYA41" s="21"/>
      <c r="QYB41" s="21"/>
      <c r="QYC41" s="21"/>
      <c r="QYD41" s="21"/>
      <c r="QYE41" s="21"/>
      <c r="QYF41" s="21"/>
      <c r="QYG41" s="21"/>
      <c r="QYH41" s="21"/>
      <c r="QYI41" s="21"/>
      <c r="QYJ41" s="21"/>
      <c r="QYK41" s="21"/>
      <c r="QYL41" s="21"/>
      <c r="QYM41" s="21"/>
      <c r="QYN41" s="21"/>
      <c r="QYO41" s="21"/>
      <c r="QYP41" s="21"/>
      <c r="QYQ41" s="21"/>
      <c r="QYR41" s="21"/>
      <c r="QYS41" s="21"/>
      <c r="QYT41" s="21"/>
      <c r="QYU41" s="21"/>
      <c r="QYV41" s="21"/>
      <c r="QYW41" s="21"/>
      <c r="QYX41" s="21"/>
      <c r="QYY41" s="21"/>
      <c r="QYZ41" s="21"/>
      <c r="QZA41" s="21"/>
      <c r="QZB41" s="21"/>
      <c r="QZC41" s="21"/>
      <c r="QZD41" s="21"/>
      <c r="QZE41" s="21"/>
      <c r="QZF41" s="21"/>
      <c r="QZG41" s="21"/>
      <c r="QZH41" s="21"/>
      <c r="QZI41" s="21"/>
      <c r="QZJ41" s="21"/>
      <c r="QZK41" s="21"/>
      <c r="QZL41" s="21"/>
      <c r="QZM41" s="21"/>
      <c r="QZN41" s="21"/>
      <c r="QZO41" s="21"/>
      <c r="QZP41" s="21"/>
      <c r="QZQ41" s="21"/>
      <c r="QZR41" s="21"/>
      <c r="QZS41" s="21"/>
      <c r="QZT41" s="21"/>
      <c r="QZU41" s="21"/>
      <c r="QZV41" s="21"/>
      <c r="QZW41" s="21"/>
      <c r="QZX41" s="21"/>
      <c r="QZY41" s="21"/>
      <c r="QZZ41" s="21"/>
      <c r="RAA41" s="21"/>
      <c r="RAB41" s="21"/>
      <c r="RAC41" s="21"/>
      <c r="RAD41" s="21"/>
      <c r="RAE41" s="21"/>
      <c r="RAF41" s="21"/>
      <c r="RAG41" s="21"/>
      <c r="RAH41" s="21"/>
      <c r="RAI41" s="21"/>
      <c r="RAJ41" s="21"/>
      <c r="RAK41" s="21"/>
      <c r="RAL41" s="21"/>
      <c r="RAM41" s="21"/>
      <c r="RAN41" s="21"/>
      <c r="RAO41" s="21"/>
      <c r="RAP41" s="21"/>
      <c r="RAQ41" s="21"/>
      <c r="RAR41" s="21"/>
      <c r="RAS41" s="21"/>
      <c r="RAT41" s="21"/>
      <c r="RAU41" s="21"/>
      <c r="RAV41" s="21"/>
      <c r="RAW41" s="21"/>
      <c r="RAX41" s="21"/>
      <c r="RAY41" s="21"/>
      <c r="RAZ41" s="21"/>
      <c r="RBA41" s="21"/>
      <c r="RBB41" s="21"/>
      <c r="RBC41" s="21"/>
      <c r="RBD41" s="21"/>
      <c r="RBE41" s="21"/>
      <c r="RBF41" s="21"/>
      <c r="RBG41" s="21"/>
      <c r="RBH41" s="21"/>
      <c r="RBI41" s="21"/>
      <c r="RBJ41" s="21"/>
      <c r="RBK41" s="21"/>
      <c r="RBL41" s="21"/>
      <c r="RBM41" s="21"/>
      <c r="RBN41" s="21"/>
      <c r="RBO41" s="21"/>
      <c r="RBP41" s="21"/>
      <c r="RBQ41" s="21"/>
      <c r="RBR41" s="21"/>
      <c r="RBS41" s="21"/>
      <c r="RBT41" s="21"/>
      <c r="RBU41" s="21"/>
      <c r="RBV41" s="21"/>
      <c r="RBW41" s="21"/>
      <c r="RBX41" s="21"/>
      <c r="RBY41" s="21"/>
      <c r="RBZ41" s="21"/>
      <c r="RCA41" s="21"/>
      <c r="RCB41" s="21"/>
      <c r="RCC41" s="21"/>
      <c r="RCD41" s="21"/>
      <c r="RCE41" s="21"/>
      <c r="RCF41" s="21"/>
      <c r="RCG41" s="21"/>
      <c r="RCH41" s="21"/>
      <c r="RCI41" s="21"/>
      <c r="RCJ41" s="21"/>
      <c r="RCK41" s="21"/>
      <c r="RCL41" s="21"/>
      <c r="RCM41" s="21"/>
      <c r="RCN41" s="21"/>
      <c r="RCO41" s="21"/>
      <c r="RCP41" s="21"/>
      <c r="RCQ41" s="21"/>
      <c r="RCR41" s="21"/>
      <c r="RCS41" s="21"/>
      <c r="RCT41" s="21"/>
      <c r="RCU41" s="21"/>
      <c r="RCV41" s="21"/>
      <c r="RCW41" s="21"/>
      <c r="RCX41" s="21"/>
      <c r="RCY41" s="21"/>
      <c r="RCZ41" s="21"/>
      <c r="RDA41" s="21"/>
      <c r="RDB41" s="21"/>
      <c r="RDC41" s="21"/>
      <c r="RDD41" s="21"/>
      <c r="RDE41" s="21"/>
      <c r="RDF41" s="21"/>
      <c r="RDG41" s="21"/>
      <c r="RDH41" s="21"/>
      <c r="RDI41" s="21"/>
      <c r="RDJ41" s="21"/>
      <c r="RDK41" s="21"/>
      <c r="RDL41" s="21"/>
      <c r="RDM41" s="21"/>
      <c r="RDN41" s="21"/>
      <c r="RDO41" s="21"/>
      <c r="RDP41" s="21"/>
      <c r="RDQ41" s="21"/>
      <c r="RDR41" s="21"/>
      <c r="RDS41" s="21"/>
      <c r="RDT41" s="21"/>
      <c r="RDU41" s="21"/>
      <c r="RDV41" s="21"/>
      <c r="RDW41" s="21"/>
      <c r="RDX41" s="21"/>
      <c r="RDY41" s="21"/>
      <c r="RDZ41" s="21"/>
      <c r="REA41" s="21"/>
      <c r="REB41" s="21"/>
      <c r="REC41" s="21"/>
      <c r="RED41" s="21"/>
      <c r="REE41" s="21"/>
      <c r="REF41" s="21"/>
      <c r="REG41" s="21"/>
      <c r="REH41" s="21"/>
      <c r="REI41" s="21"/>
      <c r="REJ41" s="21"/>
      <c r="REK41" s="21"/>
      <c r="REL41" s="21"/>
      <c r="REM41" s="21"/>
      <c r="REN41" s="21"/>
      <c r="REO41" s="21"/>
      <c r="REP41" s="21"/>
      <c r="REQ41" s="21"/>
      <c r="RER41" s="21"/>
      <c r="RES41" s="21"/>
      <c r="RET41" s="21"/>
      <c r="REU41" s="21"/>
      <c r="REV41" s="21"/>
      <c r="REW41" s="21"/>
      <c r="REX41" s="21"/>
      <c r="REY41" s="21"/>
      <c r="REZ41" s="21"/>
      <c r="RFA41" s="21"/>
      <c r="RFB41" s="21"/>
      <c r="RFC41" s="21"/>
      <c r="RFD41" s="21"/>
      <c r="RFE41" s="21"/>
      <c r="RFF41" s="21"/>
      <c r="RFG41" s="21"/>
      <c r="RFH41" s="21"/>
      <c r="RFI41" s="21"/>
      <c r="RFJ41" s="21"/>
      <c r="RFK41" s="21"/>
      <c r="RFL41" s="21"/>
      <c r="RFM41" s="21"/>
      <c r="RFN41" s="21"/>
      <c r="RFO41" s="21"/>
      <c r="RFP41" s="21"/>
      <c r="RFQ41" s="21"/>
      <c r="RFR41" s="21"/>
      <c r="RFS41" s="21"/>
      <c r="RFT41" s="21"/>
      <c r="RFU41" s="21"/>
      <c r="RFV41" s="21"/>
      <c r="RFW41" s="21"/>
      <c r="RFX41" s="21"/>
      <c r="RFY41" s="21"/>
      <c r="RFZ41" s="21"/>
      <c r="RGA41" s="21"/>
      <c r="RGB41" s="21"/>
      <c r="RGC41" s="21"/>
      <c r="RGD41" s="21"/>
      <c r="RGE41" s="21"/>
      <c r="RGF41" s="21"/>
      <c r="RGG41" s="21"/>
      <c r="RGH41" s="21"/>
      <c r="RGI41" s="21"/>
      <c r="RGJ41" s="21"/>
      <c r="RGK41" s="21"/>
      <c r="RGL41" s="21"/>
      <c r="RGM41" s="21"/>
      <c r="RGN41" s="21"/>
      <c r="RGO41" s="21"/>
      <c r="RGP41" s="21"/>
      <c r="RGQ41" s="21"/>
      <c r="RGR41" s="21"/>
      <c r="RGS41" s="21"/>
      <c r="RGT41" s="21"/>
      <c r="RGU41" s="21"/>
      <c r="RGV41" s="21"/>
      <c r="RGW41" s="21"/>
      <c r="RGX41" s="21"/>
      <c r="RGY41" s="21"/>
      <c r="RGZ41" s="21"/>
      <c r="RHA41" s="21"/>
      <c r="RHB41" s="21"/>
      <c r="RHC41" s="21"/>
      <c r="RHD41" s="21"/>
      <c r="RHE41" s="21"/>
      <c r="RHF41" s="21"/>
      <c r="RHG41" s="21"/>
      <c r="RHH41" s="21"/>
      <c r="RHI41" s="21"/>
      <c r="RHJ41" s="21"/>
      <c r="RHK41" s="21"/>
      <c r="RHL41" s="21"/>
      <c r="RHM41" s="21"/>
      <c r="RHN41" s="21"/>
      <c r="RHO41" s="21"/>
      <c r="RHP41" s="21"/>
      <c r="RHQ41" s="21"/>
      <c r="RHR41" s="21"/>
      <c r="RHS41" s="21"/>
      <c r="RHT41" s="21"/>
      <c r="RHU41" s="21"/>
      <c r="RHV41" s="21"/>
      <c r="RHW41" s="21"/>
      <c r="RHX41" s="21"/>
      <c r="RHY41" s="21"/>
      <c r="RHZ41" s="21"/>
      <c r="RIA41" s="21"/>
      <c r="RIB41" s="21"/>
      <c r="RIC41" s="21"/>
      <c r="RID41" s="21"/>
      <c r="RIE41" s="21"/>
      <c r="RIF41" s="21"/>
      <c r="RIG41" s="21"/>
      <c r="RIH41" s="21"/>
      <c r="RII41" s="21"/>
      <c r="RIJ41" s="21"/>
      <c r="RIK41" s="21"/>
      <c r="RIL41" s="21"/>
      <c r="RIM41" s="21"/>
      <c r="RIN41" s="21"/>
      <c r="RIO41" s="21"/>
      <c r="RIP41" s="21"/>
      <c r="RIQ41" s="21"/>
      <c r="RIR41" s="21"/>
      <c r="RIS41" s="21"/>
      <c r="RIT41" s="21"/>
      <c r="RIU41" s="21"/>
      <c r="RIV41" s="21"/>
      <c r="RIW41" s="21"/>
      <c r="RIX41" s="21"/>
      <c r="RIY41" s="21"/>
      <c r="RIZ41" s="21"/>
      <c r="RJA41" s="21"/>
      <c r="RJB41" s="21"/>
      <c r="RJC41" s="21"/>
      <c r="RJD41" s="21"/>
      <c r="RJE41" s="21"/>
      <c r="RJF41" s="21"/>
      <c r="RJG41" s="21"/>
      <c r="RJH41" s="21"/>
      <c r="RJI41" s="21"/>
      <c r="RJJ41" s="21"/>
      <c r="RJK41" s="21"/>
      <c r="RJL41" s="21"/>
      <c r="RJM41" s="21"/>
      <c r="RJN41" s="21"/>
      <c r="RJO41" s="21"/>
      <c r="RJP41" s="21"/>
      <c r="RJQ41" s="21"/>
      <c r="RJR41" s="21"/>
      <c r="RJS41" s="21"/>
      <c r="RJT41" s="21"/>
      <c r="RJU41" s="21"/>
      <c r="RJV41" s="21"/>
      <c r="RJW41" s="21"/>
      <c r="RJX41" s="21"/>
      <c r="RJY41" s="21"/>
      <c r="RJZ41" s="21"/>
      <c r="RKA41" s="21"/>
      <c r="RKB41" s="21"/>
      <c r="RKC41" s="21"/>
      <c r="RKD41" s="21"/>
      <c r="RKE41" s="21"/>
      <c r="RKF41" s="21"/>
      <c r="RKG41" s="21"/>
      <c r="RKH41" s="21"/>
      <c r="RKI41" s="21"/>
      <c r="RKJ41" s="21"/>
      <c r="RKK41" s="21"/>
      <c r="RKL41" s="21"/>
      <c r="RKM41" s="21"/>
      <c r="RKN41" s="21"/>
      <c r="RKO41" s="21"/>
      <c r="RKP41" s="21"/>
      <c r="RKQ41" s="21"/>
      <c r="RKR41" s="21"/>
      <c r="RKS41" s="21"/>
      <c r="RKT41" s="21"/>
      <c r="RKU41" s="21"/>
      <c r="RKV41" s="21"/>
      <c r="RKW41" s="21"/>
      <c r="RKX41" s="21"/>
      <c r="RKY41" s="21"/>
      <c r="RKZ41" s="21"/>
      <c r="RLA41" s="21"/>
      <c r="RLB41" s="21"/>
      <c r="RLC41" s="21"/>
      <c r="RLD41" s="21"/>
      <c r="RLE41" s="21"/>
      <c r="RLF41" s="21"/>
      <c r="RLG41" s="21"/>
      <c r="RLH41" s="21"/>
      <c r="RLI41" s="21"/>
      <c r="RLJ41" s="21"/>
      <c r="RLK41" s="21"/>
      <c r="RLL41" s="21"/>
      <c r="RLM41" s="21"/>
      <c r="RLN41" s="21"/>
      <c r="RLO41" s="21"/>
      <c r="RLP41" s="21"/>
      <c r="RLQ41" s="21"/>
      <c r="RLR41" s="21"/>
      <c r="RLS41" s="21"/>
      <c r="RLT41" s="21"/>
      <c r="RLU41" s="21"/>
      <c r="RLV41" s="21"/>
      <c r="RLW41" s="21"/>
      <c r="RLX41" s="21"/>
      <c r="RLY41" s="21"/>
      <c r="RLZ41" s="21"/>
      <c r="RMA41" s="21"/>
      <c r="RMB41" s="21"/>
      <c r="RMC41" s="21"/>
      <c r="RMD41" s="21"/>
      <c r="RME41" s="21"/>
      <c r="RMF41" s="21"/>
      <c r="RMG41" s="21"/>
      <c r="RMH41" s="21"/>
      <c r="RMI41" s="21"/>
      <c r="RMJ41" s="21"/>
      <c r="RMK41" s="21"/>
      <c r="RML41" s="21"/>
      <c r="RMM41" s="21"/>
      <c r="RMN41" s="21"/>
      <c r="RMO41" s="21"/>
      <c r="RMP41" s="21"/>
      <c r="RMQ41" s="21"/>
      <c r="RMR41" s="21"/>
      <c r="RMS41" s="21"/>
      <c r="RMT41" s="21"/>
      <c r="RMU41" s="21"/>
      <c r="RMV41" s="21"/>
      <c r="RMW41" s="21"/>
      <c r="RMX41" s="21"/>
      <c r="RMY41" s="21"/>
      <c r="RMZ41" s="21"/>
      <c r="RNA41" s="21"/>
      <c r="RNB41" s="21"/>
      <c r="RNC41" s="21"/>
      <c r="RND41" s="21"/>
      <c r="RNE41" s="21"/>
      <c r="RNF41" s="21"/>
      <c r="RNG41" s="21"/>
      <c r="RNH41" s="21"/>
      <c r="RNI41" s="21"/>
      <c r="RNJ41" s="21"/>
      <c r="RNK41" s="21"/>
      <c r="RNL41" s="21"/>
      <c r="RNM41" s="21"/>
      <c r="RNN41" s="21"/>
      <c r="RNO41" s="21"/>
      <c r="RNP41" s="21"/>
      <c r="RNQ41" s="21"/>
      <c r="RNR41" s="21"/>
      <c r="RNS41" s="21"/>
      <c r="RNT41" s="21"/>
      <c r="RNU41" s="21"/>
      <c r="RNV41" s="21"/>
      <c r="RNW41" s="21"/>
      <c r="RNX41" s="21"/>
      <c r="RNY41" s="21"/>
      <c r="RNZ41" s="21"/>
      <c r="ROA41" s="21"/>
      <c r="ROB41" s="21"/>
      <c r="ROC41" s="21"/>
      <c r="ROD41" s="21"/>
      <c r="ROE41" s="21"/>
      <c r="ROF41" s="21"/>
      <c r="ROG41" s="21"/>
      <c r="ROH41" s="21"/>
      <c r="ROI41" s="21"/>
      <c r="ROJ41" s="21"/>
      <c r="ROK41" s="21"/>
      <c r="ROL41" s="21"/>
      <c r="ROM41" s="21"/>
      <c r="RON41" s="21"/>
      <c r="ROO41" s="21"/>
      <c r="ROP41" s="21"/>
      <c r="ROQ41" s="21"/>
      <c r="ROR41" s="21"/>
      <c r="ROS41" s="21"/>
      <c r="ROT41" s="21"/>
      <c r="ROU41" s="21"/>
      <c r="ROV41" s="21"/>
      <c r="ROW41" s="21"/>
      <c r="ROX41" s="21"/>
      <c r="ROY41" s="21"/>
      <c r="ROZ41" s="21"/>
      <c r="RPA41" s="21"/>
      <c r="RPB41" s="21"/>
      <c r="RPC41" s="21"/>
      <c r="RPD41" s="21"/>
      <c r="RPE41" s="21"/>
      <c r="RPF41" s="21"/>
      <c r="RPG41" s="21"/>
      <c r="RPH41" s="21"/>
      <c r="RPI41" s="21"/>
      <c r="RPJ41" s="21"/>
      <c r="RPK41" s="21"/>
      <c r="RPL41" s="21"/>
      <c r="RPM41" s="21"/>
      <c r="RPN41" s="21"/>
      <c r="RPO41" s="21"/>
      <c r="RPP41" s="21"/>
      <c r="RPQ41" s="21"/>
      <c r="RPR41" s="21"/>
      <c r="RPS41" s="21"/>
      <c r="RPT41" s="21"/>
      <c r="RPU41" s="21"/>
      <c r="RPV41" s="21"/>
      <c r="RPW41" s="21"/>
      <c r="RPX41" s="21"/>
      <c r="RPY41" s="21"/>
      <c r="RPZ41" s="21"/>
      <c r="RQA41" s="21"/>
      <c r="RQB41" s="21"/>
      <c r="RQC41" s="21"/>
      <c r="RQD41" s="21"/>
      <c r="RQE41" s="21"/>
      <c r="RQF41" s="21"/>
      <c r="RQG41" s="21"/>
      <c r="RQH41" s="21"/>
      <c r="RQI41" s="21"/>
      <c r="RQJ41" s="21"/>
      <c r="RQK41" s="21"/>
      <c r="RQL41" s="21"/>
      <c r="RQM41" s="21"/>
      <c r="RQN41" s="21"/>
      <c r="RQO41" s="21"/>
      <c r="RQP41" s="21"/>
      <c r="RQQ41" s="21"/>
      <c r="RQR41" s="21"/>
      <c r="RQS41" s="21"/>
      <c r="RQT41" s="21"/>
      <c r="RQU41" s="21"/>
      <c r="RQV41" s="21"/>
      <c r="RQW41" s="21"/>
      <c r="RQX41" s="21"/>
      <c r="RQY41" s="21"/>
      <c r="RQZ41" s="21"/>
      <c r="RRA41" s="21"/>
      <c r="RRB41" s="21"/>
      <c r="RRC41" s="21"/>
      <c r="RRD41" s="21"/>
      <c r="RRE41" s="21"/>
      <c r="RRF41" s="21"/>
      <c r="RRG41" s="21"/>
      <c r="RRH41" s="21"/>
      <c r="RRI41" s="21"/>
      <c r="RRJ41" s="21"/>
      <c r="RRK41" s="21"/>
      <c r="RRL41" s="21"/>
      <c r="RRM41" s="21"/>
      <c r="RRN41" s="21"/>
      <c r="RRO41" s="21"/>
      <c r="RRP41" s="21"/>
      <c r="RRQ41" s="21"/>
      <c r="RRR41" s="21"/>
      <c r="RRS41" s="21"/>
      <c r="RRT41" s="21"/>
      <c r="RRU41" s="21"/>
      <c r="RRV41" s="21"/>
      <c r="RRW41" s="21"/>
      <c r="RRX41" s="21"/>
      <c r="RRY41" s="21"/>
      <c r="RRZ41" s="21"/>
      <c r="RSA41" s="21"/>
      <c r="RSB41" s="21"/>
      <c r="RSC41" s="21"/>
      <c r="RSD41" s="21"/>
      <c r="RSE41" s="21"/>
      <c r="RSF41" s="21"/>
      <c r="RSG41" s="21"/>
      <c r="RSH41" s="21"/>
      <c r="RSI41" s="21"/>
      <c r="RSJ41" s="21"/>
      <c r="RSK41" s="21"/>
      <c r="RSL41" s="21"/>
      <c r="RSM41" s="21"/>
      <c r="RSN41" s="21"/>
      <c r="RSO41" s="21"/>
      <c r="RSP41" s="21"/>
      <c r="RSQ41" s="21"/>
      <c r="RSR41" s="21"/>
      <c r="RSS41" s="21"/>
      <c r="RST41" s="21"/>
      <c r="RSU41" s="21"/>
      <c r="RSV41" s="21"/>
      <c r="RSW41" s="21"/>
      <c r="RSX41" s="21"/>
      <c r="RSY41" s="21"/>
      <c r="RSZ41" s="21"/>
      <c r="RTA41" s="21"/>
      <c r="RTB41" s="21"/>
      <c r="RTC41" s="21"/>
      <c r="RTD41" s="21"/>
      <c r="RTE41" s="21"/>
      <c r="RTF41" s="21"/>
      <c r="RTG41" s="21"/>
      <c r="RTH41" s="21"/>
      <c r="RTI41" s="21"/>
      <c r="RTJ41" s="21"/>
      <c r="RTK41" s="21"/>
      <c r="RTL41" s="21"/>
      <c r="RTM41" s="21"/>
      <c r="RTN41" s="21"/>
      <c r="RTO41" s="21"/>
      <c r="RTP41" s="21"/>
      <c r="RTQ41" s="21"/>
      <c r="RTR41" s="21"/>
      <c r="RTS41" s="21"/>
      <c r="RTT41" s="21"/>
      <c r="RTU41" s="21"/>
      <c r="RTV41" s="21"/>
      <c r="RTW41" s="21"/>
      <c r="RTX41" s="21"/>
      <c r="RTY41" s="21"/>
      <c r="RTZ41" s="21"/>
      <c r="RUA41" s="21"/>
      <c r="RUB41" s="21"/>
      <c r="RUC41" s="21"/>
      <c r="RUD41" s="21"/>
      <c r="RUE41" s="21"/>
      <c r="RUF41" s="21"/>
      <c r="RUG41" s="21"/>
      <c r="RUH41" s="21"/>
      <c r="RUI41" s="21"/>
      <c r="RUJ41" s="21"/>
      <c r="RUK41" s="21"/>
      <c r="RUL41" s="21"/>
      <c r="RUM41" s="21"/>
      <c r="RUN41" s="21"/>
      <c r="RUO41" s="21"/>
      <c r="RUP41" s="21"/>
      <c r="RUQ41" s="21"/>
      <c r="RUR41" s="21"/>
      <c r="RUS41" s="21"/>
      <c r="RUT41" s="21"/>
      <c r="RUU41" s="21"/>
      <c r="RUV41" s="21"/>
      <c r="RUW41" s="21"/>
      <c r="RUX41" s="21"/>
      <c r="RUY41" s="21"/>
      <c r="RUZ41" s="21"/>
      <c r="RVA41" s="21"/>
      <c r="RVB41" s="21"/>
      <c r="RVC41" s="21"/>
      <c r="RVD41" s="21"/>
      <c r="RVE41" s="21"/>
      <c r="RVF41" s="21"/>
      <c r="RVG41" s="21"/>
      <c r="RVH41" s="21"/>
      <c r="RVI41" s="21"/>
      <c r="RVJ41" s="21"/>
      <c r="RVK41" s="21"/>
      <c r="RVL41" s="21"/>
      <c r="RVM41" s="21"/>
      <c r="RVN41" s="21"/>
      <c r="RVO41" s="21"/>
      <c r="RVP41" s="21"/>
      <c r="RVQ41" s="21"/>
      <c r="RVR41" s="21"/>
      <c r="RVS41" s="21"/>
      <c r="RVT41" s="21"/>
      <c r="RVU41" s="21"/>
      <c r="RVV41" s="21"/>
      <c r="RVW41" s="21"/>
      <c r="RVX41" s="21"/>
      <c r="RVY41" s="21"/>
      <c r="RVZ41" s="21"/>
      <c r="RWA41" s="21"/>
      <c r="RWB41" s="21"/>
      <c r="RWC41" s="21"/>
      <c r="RWD41" s="21"/>
      <c r="RWE41" s="21"/>
      <c r="RWF41" s="21"/>
      <c r="RWG41" s="21"/>
      <c r="RWH41" s="21"/>
      <c r="RWI41" s="21"/>
      <c r="RWJ41" s="21"/>
      <c r="RWK41" s="21"/>
      <c r="RWL41" s="21"/>
      <c r="RWM41" s="21"/>
      <c r="RWN41" s="21"/>
      <c r="RWO41" s="21"/>
      <c r="RWP41" s="21"/>
      <c r="RWQ41" s="21"/>
      <c r="RWR41" s="21"/>
      <c r="RWS41" s="21"/>
      <c r="RWT41" s="21"/>
      <c r="RWU41" s="21"/>
      <c r="RWV41" s="21"/>
      <c r="RWW41" s="21"/>
      <c r="RWX41" s="21"/>
      <c r="RWY41" s="21"/>
      <c r="RWZ41" s="21"/>
      <c r="RXA41" s="21"/>
      <c r="RXB41" s="21"/>
      <c r="RXC41" s="21"/>
      <c r="RXD41" s="21"/>
      <c r="RXE41" s="21"/>
      <c r="RXF41" s="21"/>
      <c r="RXG41" s="21"/>
      <c r="RXH41" s="21"/>
      <c r="RXI41" s="21"/>
      <c r="RXJ41" s="21"/>
      <c r="RXK41" s="21"/>
      <c r="RXL41" s="21"/>
      <c r="RXM41" s="21"/>
      <c r="RXN41" s="21"/>
      <c r="RXO41" s="21"/>
      <c r="RXP41" s="21"/>
      <c r="RXQ41" s="21"/>
      <c r="RXR41" s="21"/>
      <c r="RXS41" s="21"/>
      <c r="RXT41" s="21"/>
      <c r="RXU41" s="21"/>
      <c r="RXV41" s="21"/>
      <c r="RXW41" s="21"/>
      <c r="RXX41" s="21"/>
      <c r="RXY41" s="21"/>
      <c r="RXZ41" s="21"/>
      <c r="RYA41" s="21"/>
      <c r="RYB41" s="21"/>
      <c r="RYC41" s="21"/>
      <c r="RYD41" s="21"/>
      <c r="RYE41" s="21"/>
      <c r="RYF41" s="21"/>
      <c r="RYG41" s="21"/>
      <c r="RYH41" s="21"/>
      <c r="RYI41" s="21"/>
      <c r="RYJ41" s="21"/>
      <c r="RYK41" s="21"/>
      <c r="RYL41" s="21"/>
      <c r="RYM41" s="21"/>
      <c r="RYN41" s="21"/>
      <c r="RYO41" s="21"/>
      <c r="RYP41" s="21"/>
      <c r="RYQ41" s="21"/>
      <c r="RYR41" s="21"/>
      <c r="RYS41" s="21"/>
      <c r="RYT41" s="21"/>
      <c r="RYU41" s="21"/>
      <c r="RYV41" s="21"/>
      <c r="RYW41" s="21"/>
      <c r="RYX41" s="21"/>
      <c r="RYY41" s="21"/>
      <c r="RYZ41" s="21"/>
      <c r="RZA41" s="21"/>
      <c r="RZB41" s="21"/>
      <c r="RZC41" s="21"/>
      <c r="RZD41" s="21"/>
      <c r="RZE41" s="21"/>
      <c r="RZF41" s="21"/>
      <c r="RZG41" s="21"/>
      <c r="RZH41" s="21"/>
      <c r="RZI41" s="21"/>
      <c r="RZJ41" s="21"/>
      <c r="RZK41" s="21"/>
      <c r="RZL41" s="21"/>
      <c r="RZM41" s="21"/>
      <c r="RZN41" s="21"/>
      <c r="RZO41" s="21"/>
      <c r="RZP41" s="21"/>
      <c r="RZQ41" s="21"/>
      <c r="RZR41" s="21"/>
      <c r="RZS41" s="21"/>
      <c r="RZT41" s="21"/>
      <c r="RZU41" s="21"/>
      <c r="RZV41" s="21"/>
      <c r="RZW41" s="21"/>
      <c r="RZX41" s="21"/>
      <c r="RZY41" s="21"/>
      <c r="RZZ41" s="21"/>
      <c r="SAA41" s="21"/>
      <c r="SAB41" s="21"/>
      <c r="SAC41" s="21"/>
      <c r="SAD41" s="21"/>
      <c r="SAE41" s="21"/>
      <c r="SAF41" s="21"/>
      <c r="SAG41" s="21"/>
      <c r="SAH41" s="21"/>
      <c r="SAI41" s="21"/>
      <c r="SAJ41" s="21"/>
      <c r="SAK41" s="21"/>
      <c r="SAL41" s="21"/>
      <c r="SAM41" s="21"/>
      <c r="SAN41" s="21"/>
      <c r="SAO41" s="21"/>
      <c r="SAP41" s="21"/>
      <c r="SAQ41" s="21"/>
      <c r="SAR41" s="21"/>
      <c r="SAS41" s="21"/>
      <c r="SAT41" s="21"/>
      <c r="SAU41" s="21"/>
      <c r="SAV41" s="21"/>
      <c r="SAW41" s="21"/>
      <c r="SAX41" s="21"/>
      <c r="SAY41" s="21"/>
      <c r="SAZ41" s="21"/>
      <c r="SBA41" s="21"/>
      <c r="SBB41" s="21"/>
      <c r="SBC41" s="21"/>
      <c r="SBD41" s="21"/>
      <c r="SBE41" s="21"/>
      <c r="SBF41" s="21"/>
      <c r="SBG41" s="21"/>
      <c r="SBH41" s="21"/>
      <c r="SBI41" s="21"/>
      <c r="SBJ41" s="21"/>
      <c r="SBK41" s="21"/>
      <c r="SBL41" s="21"/>
      <c r="SBM41" s="21"/>
      <c r="SBN41" s="21"/>
      <c r="SBO41" s="21"/>
      <c r="SBP41" s="21"/>
      <c r="SBQ41" s="21"/>
      <c r="SBR41" s="21"/>
      <c r="SBS41" s="21"/>
      <c r="SBT41" s="21"/>
      <c r="SBU41" s="21"/>
      <c r="SBV41" s="21"/>
      <c r="SBW41" s="21"/>
      <c r="SBX41" s="21"/>
      <c r="SBY41" s="21"/>
      <c r="SBZ41" s="21"/>
      <c r="SCA41" s="21"/>
      <c r="SCB41" s="21"/>
      <c r="SCC41" s="21"/>
      <c r="SCD41" s="21"/>
      <c r="SCE41" s="21"/>
      <c r="SCF41" s="21"/>
      <c r="SCG41" s="21"/>
      <c r="SCH41" s="21"/>
      <c r="SCI41" s="21"/>
      <c r="SCJ41" s="21"/>
      <c r="SCK41" s="21"/>
      <c r="SCL41" s="21"/>
      <c r="SCM41" s="21"/>
      <c r="SCN41" s="21"/>
      <c r="SCO41" s="21"/>
      <c r="SCP41" s="21"/>
      <c r="SCQ41" s="21"/>
      <c r="SCR41" s="21"/>
      <c r="SCS41" s="21"/>
      <c r="SCT41" s="21"/>
      <c r="SCU41" s="21"/>
      <c r="SCV41" s="21"/>
      <c r="SCW41" s="21"/>
      <c r="SCX41" s="21"/>
      <c r="SCY41" s="21"/>
      <c r="SCZ41" s="21"/>
      <c r="SDA41" s="21"/>
      <c r="SDB41" s="21"/>
      <c r="SDC41" s="21"/>
      <c r="SDD41" s="21"/>
      <c r="SDE41" s="21"/>
      <c r="SDF41" s="21"/>
      <c r="SDG41" s="21"/>
      <c r="SDH41" s="21"/>
      <c r="SDI41" s="21"/>
      <c r="SDJ41" s="21"/>
      <c r="SDK41" s="21"/>
      <c r="SDL41" s="21"/>
      <c r="SDM41" s="21"/>
      <c r="SDN41" s="21"/>
      <c r="SDO41" s="21"/>
      <c r="SDP41" s="21"/>
      <c r="SDQ41" s="21"/>
      <c r="SDR41" s="21"/>
      <c r="SDS41" s="21"/>
      <c r="SDT41" s="21"/>
      <c r="SDU41" s="21"/>
      <c r="SDV41" s="21"/>
      <c r="SDW41" s="21"/>
      <c r="SDX41" s="21"/>
      <c r="SDY41" s="21"/>
      <c r="SDZ41" s="21"/>
      <c r="SEA41" s="21"/>
      <c r="SEB41" s="21"/>
      <c r="SEC41" s="21"/>
      <c r="SED41" s="21"/>
      <c r="SEE41" s="21"/>
      <c r="SEF41" s="21"/>
      <c r="SEG41" s="21"/>
      <c r="SEH41" s="21"/>
      <c r="SEI41" s="21"/>
      <c r="SEJ41" s="21"/>
      <c r="SEK41" s="21"/>
      <c r="SEL41" s="21"/>
      <c r="SEM41" s="21"/>
      <c r="SEN41" s="21"/>
      <c r="SEO41" s="21"/>
      <c r="SEP41" s="21"/>
      <c r="SEQ41" s="21"/>
      <c r="SER41" s="21"/>
      <c r="SES41" s="21"/>
      <c r="SET41" s="21"/>
      <c r="SEU41" s="21"/>
      <c r="SEV41" s="21"/>
      <c r="SEW41" s="21"/>
      <c r="SEX41" s="21"/>
      <c r="SEY41" s="21"/>
      <c r="SEZ41" s="21"/>
      <c r="SFA41" s="21"/>
      <c r="SFB41" s="21"/>
      <c r="SFC41" s="21"/>
      <c r="SFD41" s="21"/>
      <c r="SFE41" s="21"/>
      <c r="SFF41" s="21"/>
      <c r="SFG41" s="21"/>
      <c r="SFH41" s="21"/>
      <c r="SFI41" s="21"/>
      <c r="SFJ41" s="21"/>
      <c r="SFK41" s="21"/>
      <c r="SFL41" s="21"/>
      <c r="SFM41" s="21"/>
      <c r="SFN41" s="21"/>
      <c r="SFO41" s="21"/>
      <c r="SFP41" s="21"/>
      <c r="SFQ41" s="21"/>
      <c r="SFR41" s="21"/>
      <c r="SFS41" s="21"/>
      <c r="SFT41" s="21"/>
      <c r="SFU41" s="21"/>
      <c r="SFV41" s="21"/>
      <c r="SFW41" s="21"/>
      <c r="SFX41" s="21"/>
      <c r="SFY41" s="21"/>
      <c r="SFZ41" s="21"/>
      <c r="SGA41" s="21"/>
      <c r="SGB41" s="21"/>
      <c r="SGC41" s="21"/>
      <c r="SGD41" s="21"/>
      <c r="SGE41" s="21"/>
      <c r="SGF41" s="21"/>
      <c r="SGG41" s="21"/>
      <c r="SGH41" s="21"/>
      <c r="SGI41" s="21"/>
      <c r="SGJ41" s="21"/>
      <c r="SGK41" s="21"/>
      <c r="SGL41" s="21"/>
      <c r="SGM41" s="21"/>
      <c r="SGN41" s="21"/>
      <c r="SGO41" s="21"/>
      <c r="SGP41" s="21"/>
      <c r="SGQ41" s="21"/>
      <c r="SGR41" s="21"/>
      <c r="SGS41" s="21"/>
      <c r="SGT41" s="21"/>
      <c r="SGU41" s="21"/>
      <c r="SGV41" s="21"/>
      <c r="SGW41" s="21"/>
      <c r="SGX41" s="21"/>
      <c r="SGY41" s="21"/>
      <c r="SGZ41" s="21"/>
      <c r="SHA41" s="21"/>
      <c r="SHB41" s="21"/>
      <c r="SHC41" s="21"/>
      <c r="SHD41" s="21"/>
      <c r="SHE41" s="21"/>
      <c r="SHF41" s="21"/>
      <c r="SHG41" s="21"/>
      <c r="SHH41" s="21"/>
      <c r="SHI41" s="21"/>
      <c r="SHJ41" s="21"/>
      <c r="SHK41" s="21"/>
      <c r="SHL41" s="21"/>
      <c r="SHM41" s="21"/>
      <c r="SHN41" s="21"/>
      <c r="SHO41" s="21"/>
      <c r="SHP41" s="21"/>
      <c r="SHQ41" s="21"/>
      <c r="SHR41" s="21"/>
      <c r="SHS41" s="21"/>
      <c r="SHT41" s="21"/>
      <c r="SHU41" s="21"/>
      <c r="SHV41" s="21"/>
      <c r="SHW41" s="21"/>
      <c r="SHX41" s="21"/>
      <c r="SHY41" s="21"/>
      <c r="SHZ41" s="21"/>
      <c r="SIA41" s="21"/>
      <c r="SIB41" s="21"/>
      <c r="SIC41" s="21"/>
      <c r="SID41" s="21"/>
      <c r="SIE41" s="21"/>
      <c r="SIF41" s="21"/>
      <c r="SIG41" s="21"/>
      <c r="SIH41" s="21"/>
      <c r="SII41" s="21"/>
      <c r="SIJ41" s="21"/>
      <c r="SIK41" s="21"/>
      <c r="SIL41" s="21"/>
      <c r="SIM41" s="21"/>
      <c r="SIN41" s="21"/>
      <c r="SIO41" s="21"/>
      <c r="SIP41" s="21"/>
      <c r="SIQ41" s="21"/>
      <c r="SIR41" s="21"/>
      <c r="SIS41" s="21"/>
      <c r="SIT41" s="21"/>
      <c r="SIU41" s="21"/>
      <c r="SIV41" s="21"/>
      <c r="SIW41" s="21"/>
      <c r="SIX41" s="21"/>
      <c r="SIY41" s="21"/>
      <c r="SIZ41" s="21"/>
      <c r="SJA41" s="21"/>
      <c r="SJB41" s="21"/>
      <c r="SJC41" s="21"/>
      <c r="SJD41" s="21"/>
      <c r="SJE41" s="21"/>
      <c r="SJF41" s="21"/>
      <c r="SJG41" s="21"/>
      <c r="SJH41" s="21"/>
      <c r="SJI41" s="21"/>
      <c r="SJJ41" s="21"/>
      <c r="SJK41" s="21"/>
      <c r="SJL41" s="21"/>
      <c r="SJM41" s="21"/>
      <c r="SJN41" s="21"/>
      <c r="SJO41" s="21"/>
      <c r="SJP41" s="21"/>
      <c r="SJQ41" s="21"/>
      <c r="SJR41" s="21"/>
      <c r="SJS41" s="21"/>
      <c r="SJT41" s="21"/>
      <c r="SJU41" s="21"/>
      <c r="SJV41" s="21"/>
      <c r="SJW41" s="21"/>
      <c r="SJX41" s="21"/>
      <c r="SJY41" s="21"/>
      <c r="SJZ41" s="21"/>
      <c r="SKA41" s="21"/>
      <c r="SKB41" s="21"/>
      <c r="SKC41" s="21"/>
      <c r="SKD41" s="21"/>
      <c r="SKE41" s="21"/>
      <c r="SKF41" s="21"/>
      <c r="SKG41" s="21"/>
      <c r="SKH41" s="21"/>
      <c r="SKI41" s="21"/>
      <c r="SKJ41" s="21"/>
      <c r="SKK41" s="21"/>
      <c r="SKL41" s="21"/>
      <c r="SKM41" s="21"/>
      <c r="SKN41" s="21"/>
      <c r="SKO41" s="21"/>
      <c r="SKP41" s="21"/>
      <c r="SKQ41" s="21"/>
      <c r="SKR41" s="21"/>
      <c r="SKS41" s="21"/>
      <c r="SKT41" s="21"/>
      <c r="SKU41" s="21"/>
      <c r="SKV41" s="21"/>
      <c r="SKW41" s="21"/>
      <c r="SKX41" s="21"/>
      <c r="SKY41" s="21"/>
      <c r="SKZ41" s="21"/>
      <c r="SLA41" s="21"/>
      <c r="SLB41" s="21"/>
      <c r="SLC41" s="21"/>
      <c r="SLD41" s="21"/>
      <c r="SLE41" s="21"/>
      <c r="SLF41" s="21"/>
      <c r="SLG41" s="21"/>
      <c r="SLH41" s="21"/>
      <c r="SLI41" s="21"/>
      <c r="SLJ41" s="21"/>
      <c r="SLK41" s="21"/>
      <c r="SLL41" s="21"/>
      <c r="SLM41" s="21"/>
      <c r="SLN41" s="21"/>
      <c r="SLO41" s="21"/>
      <c r="SLP41" s="21"/>
      <c r="SLQ41" s="21"/>
      <c r="SLR41" s="21"/>
      <c r="SLS41" s="21"/>
      <c r="SLT41" s="21"/>
      <c r="SLU41" s="21"/>
      <c r="SLV41" s="21"/>
      <c r="SLW41" s="21"/>
      <c r="SLX41" s="21"/>
      <c r="SLY41" s="21"/>
      <c r="SLZ41" s="21"/>
      <c r="SMA41" s="21"/>
      <c r="SMB41" s="21"/>
      <c r="SMC41" s="21"/>
      <c r="SMD41" s="21"/>
      <c r="SME41" s="21"/>
      <c r="SMF41" s="21"/>
      <c r="SMG41" s="21"/>
      <c r="SMH41" s="21"/>
      <c r="SMI41" s="21"/>
      <c r="SMJ41" s="21"/>
      <c r="SMK41" s="21"/>
      <c r="SML41" s="21"/>
      <c r="SMM41" s="21"/>
      <c r="SMN41" s="21"/>
      <c r="SMO41" s="21"/>
      <c r="SMP41" s="21"/>
      <c r="SMQ41" s="21"/>
      <c r="SMR41" s="21"/>
      <c r="SMS41" s="21"/>
      <c r="SMT41" s="21"/>
      <c r="SMU41" s="21"/>
      <c r="SMV41" s="21"/>
      <c r="SMW41" s="21"/>
      <c r="SMX41" s="21"/>
      <c r="SMY41" s="21"/>
      <c r="SMZ41" s="21"/>
      <c r="SNA41" s="21"/>
      <c r="SNB41" s="21"/>
      <c r="SNC41" s="21"/>
      <c r="SND41" s="21"/>
      <c r="SNE41" s="21"/>
      <c r="SNF41" s="21"/>
      <c r="SNG41" s="21"/>
      <c r="SNH41" s="21"/>
      <c r="SNI41" s="21"/>
      <c r="SNJ41" s="21"/>
      <c r="SNK41" s="21"/>
      <c r="SNL41" s="21"/>
      <c r="SNM41" s="21"/>
      <c r="SNN41" s="21"/>
      <c r="SNO41" s="21"/>
      <c r="SNP41" s="21"/>
      <c r="SNQ41" s="21"/>
      <c r="SNR41" s="21"/>
      <c r="SNS41" s="21"/>
      <c r="SNT41" s="21"/>
      <c r="SNU41" s="21"/>
      <c r="SNV41" s="21"/>
      <c r="SNW41" s="21"/>
      <c r="SNX41" s="21"/>
      <c r="SNY41" s="21"/>
      <c r="SNZ41" s="21"/>
      <c r="SOA41" s="21"/>
      <c r="SOB41" s="21"/>
      <c r="SOC41" s="21"/>
      <c r="SOD41" s="21"/>
      <c r="SOE41" s="21"/>
      <c r="SOF41" s="21"/>
      <c r="SOG41" s="21"/>
      <c r="SOH41" s="21"/>
      <c r="SOI41" s="21"/>
      <c r="SOJ41" s="21"/>
      <c r="SOK41" s="21"/>
      <c r="SOL41" s="21"/>
      <c r="SOM41" s="21"/>
      <c r="SON41" s="21"/>
      <c r="SOO41" s="21"/>
      <c r="SOP41" s="21"/>
      <c r="SOQ41" s="21"/>
      <c r="SOR41" s="21"/>
      <c r="SOS41" s="21"/>
      <c r="SOT41" s="21"/>
      <c r="SOU41" s="21"/>
      <c r="SOV41" s="21"/>
      <c r="SOW41" s="21"/>
      <c r="SOX41" s="21"/>
      <c r="SOY41" s="21"/>
      <c r="SOZ41" s="21"/>
      <c r="SPA41" s="21"/>
      <c r="SPB41" s="21"/>
      <c r="SPC41" s="21"/>
      <c r="SPD41" s="21"/>
      <c r="SPE41" s="21"/>
      <c r="SPF41" s="21"/>
      <c r="SPG41" s="21"/>
      <c r="SPH41" s="21"/>
      <c r="SPI41" s="21"/>
      <c r="SPJ41" s="21"/>
      <c r="SPK41" s="21"/>
      <c r="SPL41" s="21"/>
      <c r="SPM41" s="21"/>
      <c r="SPN41" s="21"/>
      <c r="SPO41" s="21"/>
      <c r="SPP41" s="21"/>
      <c r="SPQ41" s="21"/>
      <c r="SPR41" s="21"/>
      <c r="SPS41" s="21"/>
      <c r="SPT41" s="21"/>
      <c r="SPU41" s="21"/>
      <c r="SPV41" s="21"/>
      <c r="SPW41" s="21"/>
      <c r="SPX41" s="21"/>
      <c r="SPY41" s="21"/>
      <c r="SPZ41" s="21"/>
      <c r="SQA41" s="21"/>
      <c r="SQB41" s="21"/>
      <c r="SQC41" s="21"/>
      <c r="SQD41" s="21"/>
      <c r="SQE41" s="21"/>
      <c r="SQF41" s="21"/>
      <c r="SQG41" s="21"/>
      <c r="SQH41" s="21"/>
      <c r="SQI41" s="21"/>
      <c r="SQJ41" s="21"/>
      <c r="SQK41" s="21"/>
      <c r="SQL41" s="21"/>
      <c r="SQM41" s="21"/>
      <c r="SQN41" s="21"/>
      <c r="SQO41" s="21"/>
      <c r="SQP41" s="21"/>
      <c r="SQQ41" s="21"/>
      <c r="SQR41" s="21"/>
      <c r="SQS41" s="21"/>
      <c r="SQT41" s="21"/>
      <c r="SQU41" s="21"/>
      <c r="SQV41" s="21"/>
      <c r="SQW41" s="21"/>
      <c r="SQX41" s="21"/>
      <c r="SQY41" s="21"/>
      <c r="SQZ41" s="21"/>
      <c r="SRA41" s="21"/>
      <c r="SRB41" s="21"/>
      <c r="SRC41" s="21"/>
      <c r="SRD41" s="21"/>
      <c r="SRE41" s="21"/>
      <c r="SRF41" s="21"/>
      <c r="SRG41" s="21"/>
      <c r="SRH41" s="21"/>
      <c r="SRI41" s="21"/>
      <c r="SRJ41" s="21"/>
      <c r="SRK41" s="21"/>
      <c r="SRL41" s="21"/>
      <c r="SRM41" s="21"/>
      <c r="SRN41" s="21"/>
      <c r="SRO41" s="21"/>
      <c r="SRP41" s="21"/>
      <c r="SRQ41" s="21"/>
      <c r="SRR41" s="21"/>
      <c r="SRS41" s="21"/>
      <c r="SRT41" s="21"/>
      <c r="SRU41" s="21"/>
      <c r="SRV41" s="21"/>
      <c r="SRW41" s="21"/>
      <c r="SRX41" s="21"/>
      <c r="SRY41" s="21"/>
      <c r="SRZ41" s="21"/>
      <c r="SSA41" s="21"/>
      <c r="SSB41" s="21"/>
      <c r="SSC41" s="21"/>
      <c r="SSD41" s="21"/>
      <c r="SSE41" s="21"/>
      <c r="SSF41" s="21"/>
      <c r="SSG41" s="21"/>
      <c r="SSH41" s="21"/>
      <c r="SSI41" s="21"/>
      <c r="SSJ41" s="21"/>
      <c r="SSK41" s="21"/>
      <c r="SSL41" s="21"/>
      <c r="SSM41" s="21"/>
      <c r="SSN41" s="21"/>
      <c r="SSO41" s="21"/>
      <c r="SSP41" s="21"/>
      <c r="SSQ41" s="21"/>
      <c r="SSR41" s="21"/>
      <c r="SSS41" s="21"/>
      <c r="SST41" s="21"/>
      <c r="SSU41" s="21"/>
      <c r="SSV41" s="21"/>
      <c r="SSW41" s="21"/>
      <c r="SSX41" s="21"/>
      <c r="SSY41" s="21"/>
      <c r="SSZ41" s="21"/>
      <c r="STA41" s="21"/>
      <c r="STB41" s="21"/>
      <c r="STC41" s="21"/>
      <c r="STD41" s="21"/>
      <c r="STE41" s="21"/>
      <c r="STF41" s="21"/>
      <c r="STG41" s="21"/>
      <c r="STH41" s="21"/>
      <c r="STI41" s="21"/>
      <c r="STJ41" s="21"/>
      <c r="STK41" s="21"/>
      <c r="STL41" s="21"/>
      <c r="STM41" s="21"/>
      <c r="STN41" s="21"/>
      <c r="STO41" s="21"/>
      <c r="STP41" s="21"/>
      <c r="STQ41" s="21"/>
      <c r="STR41" s="21"/>
      <c r="STS41" s="21"/>
      <c r="STT41" s="21"/>
      <c r="STU41" s="21"/>
      <c r="STV41" s="21"/>
      <c r="STW41" s="21"/>
      <c r="STX41" s="21"/>
      <c r="STY41" s="21"/>
      <c r="STZ41" s="21"/>
      <c r="SUA41" s="21"/>
      <c r="SUB41" s="21"/>
      <c r="SUC41" s="21"/>
      <c r="SUD41" s="21"/>
      <c r="SUE41" s="21"/>
      <c r="SUF41" s="21"/>
      <c r="SUG41" s="21"/>
      <c r="SUH41" s="21"/>
      <c r="SUI41" s="21"/>
      <c r="SUJ41" s="21"/>
      <c r="SUK41" s="21"/>
      <c r="SUL41" s="21"/>
      <c r="SUM41" s="21"/>
      <c r="SUN41" s="21"/>
      <c r="SUO41" s="21"/>
      <c r="SUP41" s="21"/>
      <c r="SUQ41" s="21"/>
      <c r="SUR41" s="21"/>
      <c r="SUS41" s="21"/>
      <c r="SUT41" s="21"/>
      <c r="SUU41" s="21"/>
      <c r="SUV41" s="21"/>
      <c r="SUW41" s="21"/>
      <c r="SUX41" s="21"/>
      <c r="SUY41" s="21"/>
      <c r="SUZ41" s="21"/>
      <c r="SVA41" s="21"/>
      <c r="SVB41" s="21"/>
      <c r="SVC41" s="21"/>
      <c r="SVD41" s="21"/>
      <c r="SVE41" s="21"/>
      <c r="SVF41" s="21"/>
      <c r="SVG41" s="21"/>
      <c r="SVH41" s="21"/>
      <c r="SVI41" s="21"/>
      <c r="SVJ41" s="21"/>
      <c r="SVK41" s="21"/>
      <c r="SVL41" s="21"/>
      <c r="SVM41" s="21"/>
      <c r="SVN41" s="21"/>
      <c r="SVO41" s="21"/>
      <c r="SVP41" s="21"/>
      <c r="SVQ41" s="21"/>
      <c r="SVR41" s="21"/>
      <c r="SVS41" s="21"/>
      <c r="SVT41" s="21"/>
      <c r="SVU41" s="21"/>
      <c r="SVV41" s="21"/>
      <c r="SVW41" s="21"/>
      <c r="SVX41" s="21"/>
      <c r="SVY41" s="21"/>
      <c r="SVZ41" s="21"/>
      <c r="SWA41" s="21"/>
      <c r="SWB41" s="21"/>
      <c r="SWC41" s="21"/>
      <c r="SWD41" s="21"/>
      <c r="SWE41" s="21"/>
      <c r="SWF41" s="21"/>
      <c r="SWG41" s="21"/>
      <c r="SWH41" s="21"/>
      <c r="SWI41" s="21"/>
      <c r="SWJ41" s="21"/>
      <c r="SWK41" s="21"/>
      <c r="SWL41" s="21"/>
      <c r="SWM41" s="21"/>
      <c r="SWN41" s="21"/>
      <c r="SWO41" s="21"/>
      <c r="SWP41" s="21"/>
      <c r="SWQ41" s="21"/>
      <c r="SWR41" s="21"/>
      <c r="SWS41" s="21"/>
      <c r="SWT41" s="21"/>
      <c r="SWU41" s="21"/>
      <c r="SWV41" s="21"/>
      <c r="SWW41" s="21"/>
      <c r="SWX41" s="21"/>
      <c r="SWY41" s="21"/>
      <c r="SWZ41" s="21"/>
      <c r="SXA41" s="21"/>
      <c r="SXB41" s="21"/>
      <c r="SXC41" s="21"/>
      <c r="SXD41" s="21"/>
      <c r="SXE41" s="21"/>
      <c r="SXF41" s="21"/>
      <c r="SXG41" s="21"/>
      <c r="SXH41" s="21"/>
      <c r="SXI41" s="21"/>
      <c r="SXJ41" s="21"/>
      <c r="SXK41" s="21"/>
      <c r="SXL41" s="21"/>
      <c r="SXM41" s="21"/>
      <c r="SXN41" s="21"/>
      <c r="SXO41" s="21"/>
      <c r="SXP41" s="21"/>
      <c r="SXQ41" s="21"/>
      <c r="SXR41" s="21"/>
      <c r="SXS41" s="21"/>
      <c r="SXT41" s="21"/>
      <c r="SXU41" s="21"/>
      <c r="SXV41" s="21"/>
      <c r="SXW41" s="21"/>
      <c r="SXX41" s="21"/>
      <c r="SXY41" s="21"/>
      <c r="SXZ41" s="21"/>
      <c r="SYA41" s="21"/>
      <c r="SYB41" s="21"/>
      <c r="SYC41" s="21"/>
      <c r="SYD41" s="21"/>
      <c r="SYE41" s="21"/>
      <c r="SYF41" s="21"/>
      <c r="SYG41" s="21"/>
      <c r="SYH41" s="21"/>
      <c r="SYI41" s="21"/>
      <c r="SYJ41" s="21"/>
      <c r="SYK41" s="21"/>
      <c r="SYL41" s="21"/>
      <c r="SYM41" s="21"/>
      <c r="SYN41" s="21"/>
      <c r="SYO41" s="21"/>
      <c r="SYP41" s="21"/>
      <c r="SYQ41" s="21"/>
      <c r="SYR41" s="21"/>
      <c r="SYS41" s="21"/>
      <c r="SYT41" s="21"/>
      <c r="SYU41" s="21"/>
      <c r="SYV41" s="21"/>
      <c r="SYW41" s="21"/>
      <c r="SYX41" s="21"/>
      <c r="SYY41" s="21"/>
      <c r="SYZ41" s="21"/>
      <c r="SZA41" s="21"/>
      <c r="SZB41" s="21"/>
      <c r="SZC41" s="21"/>
      <c r="SZD41" s="21"/>
      <c r="SZE41" s="21"/>
      <c r="SZF41" s="21"/>
      <c r="SZG41" s="21"/>
      <c r="SZH41" s="21"/>
      <c r="SZI41" s="21"/>
      <c r="SZJ41" s="21"/>
      <c r="SZK41" s="21"/>
      <c r="SZL41" s="21"/>
      <c r="SZM41" s="21"/>
      <c r="SZN41" s="21"/>
      <c r="SZO41" s="21"/>
      <c r="SZP41" s="21"/>
      <c r="SZQ41" s="21"/>
      <c r="SZR41" s="21"/>
      <c r="SZS41" s="21"/>
      <c r="SZT41" s="21"/>
      <c r="SZU41" s="21"/>
      <c r="SZV41" s="21"/>
      <c r="SZW41" s="21"/>
      <c r="SZX41" s="21"/>
      <c r="SZY41" s="21"/>
      <c r="SZZ41" s="21"/>
      <c r="TAA41" s="21"/>
      <c r="TAB41" s="21"/>
      <c r="TAC41" s="21"/>
      <c r="TAD41" s="21"/>
      <c r="TAE41" s="21"/>
      <c r="TAF41" s="21"/>
      <c r="TAG41" s="21"/>
      <c r="TAH41" s="21"/>
      <c r="TAI41" s="21"/>
      <c r="TAJ41" s="21"/>
      <c r="TAK41" s="21"/>
      <c r="TAL41" s="21"/>
      <c r="TAM41" s="21"/>
      <c r="TAN41" s="21"/>
      <c r="TAO41" s="21"/>
      <c r="TAP41" s="21"/>
      <c r="TAQ41" s="21"/>
      <c r="TAR41" s="21"/>
      <c r="TAS41" s="21"/>
      <c r="TAT41" s="21"/>
      <c r="TAU41" s="21"/>
      <c r="TAV41" s="21"/>
      <c r="TAW41" s="21"/>
      <c r="TAX41" s="21"/>
      <c r="TAY41" s="21"/>
      <c r="TAZ41" s="21"/>
      <c r="TBA41" s="21"/>
      <c r="TBB41" s="21"/>
      <c r="TBC41" s="21"/>
      <c r="TBD41" s="21"/>
      <c r="TBE41" s="21"/>
      <c r="TBF41" s="21"/>
      <c r="TBG41" s="21"/>
      <c r="TBH41" s="21"/>
      <c r="TBI41" s="21"/>
      <c r="TBJ41" s="21"/>
      <c r="TBK41" s="21"/>
      <c r="TBL41" s="21"/>
      <c r="TBM41" s="21"/>
      <c r="TBN41" s="21"/>
      <c r="TBO41" s="21"/>
      <c r="TBP41" s="21"/>
      <c r="TBQ41" s="21"/>
      <c r="TBR41" s="21"/>
      <c r="TBS41" s="21"/>
      <c r="TBT41" s="21"/>
      <c r="TBU41" s="21"/>
      <c r="TBV41" s="21"/>
      <c r="TBW41" s="21"/>
      <c r="TBX41" s="21"/>
      <c r="TBY41" s="21"/>
      <c r="TBZ41" s="21"/>
      <c r="TCA41" s="21"/>
      <c r="TCB41" s="21"/>
      <c r="TCC41" s="21"/>
      <c r="TCD41" s="21"/>
      <c r="TCE41" s="21"/>
      <c r="TCF41" s="21"/>
      <c r="TCG41" s="21"/>
      <c r="TCH41" s="21"/>
      <c r="TCI41" s="21"/>
      <c r="TCJ41" s="21"/>
      <c r="TCK41" s="21"/>
      <c r="TCL41" s="21"/>
      <c r="TCM41" s="21"/>
      <c r="TCN41" s="21"/>
      <c r="TCO41" s="21"/>
      <c r="TCP41" s="21"/>
      <c r="TCQ41" s="21"/>
      <c r="TCR41" s="21"/>
      <c r="TCS41" s="21"/>
      <c r="TCT41" s="21"/>
      <c r="TCU41" s="21"/>
      <c r="TCV41" s="21"/>
      <c r="TCW41" s="21"/>
      <c r="TCX41" s="21"/>
      <c r="TCY41" s="21"/>
      <c r="TCZ41" s="21"/>
      <c r="TDA41" s="21"/>
      <c r="TDB41" s="21"/>
      <c r="TDC41" s="21"/>
      <c r="TDD41" s="21"/>
      <c r="TDE41" s="21"/>
      <c r="TDF41" s="21"/>
      <c r="TDG41" s="21"/>
      <c r="TDH41" s="21"/>
      <c r="TDI41" s="21"/>
      <c r="TDJ41" s="21"/>
      <c r="TDK41" s="21"/>
      <c r="TDL41" s="21"/>
      <c r="TDM41" s="21"/>
      <c r="TDN41" s="21"/>
      <c r="TDO41" s="21"/>
      <c r="TDP41" s="21"/>
      <c r="TDQ41" s="21"/>
      <c r="TDR41" s="21"/>
      <c r="TDS41" s="21"/>
      <c r="TDT41" s="21"/>
      <c r="TDU41" s="21"/>
      <c r="TDV41" s="21"/>
      <c r="TDW41" s="21"/>
      <c r="TDX41" s="21"/>
      <c r="TDY41" s="21"/>
      <c r="TDZ41" s="21"/>
      <c r="TEA41" s="21"/>
      <c r="TEB41" s="21"/>
      <c r="TEC41" s="21"/>
      <c r="TED41" s="21"/>
      <c r="TEE41" s="21"/>
      <c r="TEF41" s="21"/>
      <c r="TEG41" s="21"/>
      <c r="TEH41" s="21"/>
      <c r="TEI41" s="21"/>
      <c r="TEJ41" s="21"/>
      <c r="TEK41" s="21"/>
      <c r="TEL41" s="21"/>
      <c r="TEM41" s="21"/>
      <c r="TEN41" s="21"/>
      <c r="TEO41" s="21"/>
      <c r="TEP41" s="21"/>
      <c r="TEQ41" s="21"/>
      <c r="TER41" s="21"/>
      <c r="TES41" s="21"/>
      <c r="TET41" s="21"/>
      <c r="TEU41" s="21"/>
      <c r="TEV41" s="21"/>
      <c r="TEW41" s="21"/>
      <c r="TEX41" s="21"/>
      <c r="TEY41" s="21"/>
      <c r="TEZ41" s="21"/>
      <c r="TFA41" s="21"/>
      <c r="TFB41" s="21"/>
      <c r="TFC41" s="21"/>
      <c r="TFD41" s="21"/>
      <c r="TFE41" s="21"/>
      <c r="TFF41" s="21"/>
      <c r="TFG41" s="21"/>
      <c r="TFH41" s="21"/>
      <c r="TFI41" s="21"/>
      <c r="TFJ41" s="21"/>
      <c r="TFK41" s="21"/>
      <c r="TFL41" s="21"/>
      <c r="TFM41" s="21"/>
      <c r="TFN41" s="21"/>
      <c r="TFO41" s="21"/>
      <c r="TFP41" s="21"/>
      <c r="TFQ41" s="21"/>
      <c r="TFR41" s="21"/>
      <c r="TFS41" s="21"/>
      <c r="TFT41" s="21"/>
      <c r="TFU41" s="21"/>
      <c r="TFV41" s="21"/>
      <c r="TFW41" s="21"/>
      <c r="TFX41" s="21"/>
      <c r="TFY41" s="21"/>
      <c r="TFZ41" s="21"/>
      <c r="TGA41" s="21"/>
      <c r="TGB41" s="21"/>
      <c r="TGC41" s="21"/>
      <c r="TGD41" s="21"/>
      <c r="TGE41" s="21"/>
      <c r="TGF41" s="21"/>
      <c r="TGG41" s="21"/>
      <c r="TGH41" s="21"/>
      <c r="TGI41" s="21"/>
      <c r="TGJ41" s="21"/>
      <c r="TGK41" s="21"/>
      <c r="TGL41" s="21"/>
      <c r="TGM41" s="21"/>
      <c r="TGN41" s="21"/>
      <c r="TGO41" s="21"/>
      <c r="TGP41" s="21"/>
      <c r="TGQ41" s="21"/>
      <c r="TGR41" s="21"/>
      <c r="TGS41" s="21"/>
      <c r="TGT41" s="21"/>
      <c r="TGU41" s="21"/>
      <c r="TGV41" s="21"/>
      <c r="TGW41" s="21"/>
      <c r="TGX41" s="21"/>
      <c r="TGY41" s="21"/>
      <c r="TGZ41" s="21"/>
      <c r="THA41" s="21"/>
      <c r="THB41" s="21"/>
      <c r="THC41" s="21"/>
      <c r="THD41" s="21"/>
      <c r="THE41" s="21"/>
      <c r="THF41" s="21"/>
      <c r="THG41" s="21"/>
      <c r="THH41" s="21"/>
      <c r="THI41" s="21"/>
      <c r="THJ41" s="21"/>
      <c r="THK41" s="21"/>
      <c r="THL41" s="21"/>
      <c r="THM41" s="21"/>
      <c r="THN41" s="21"/>
      <c r="THO41" s="21"/>
      <c r="THP41" s="21"/>
      <c r="THQ41" s="21"/>
      <c r="THR41" s="21"/>
      <c r="THS41" s="21"/>
      <c r="THT41" s="21"/>
      <c r="THU41" s="21"/>
      <c r="THV41" s="21"/>
      <c r="THW41" s="21"/>
      <c r="THX41" s="21"/>
      <c r="THY41" s="21"/>
      <c r="THZ41" s="21"/>
      <c r="TIA41" s="21"/>
      <c r="TIB41" s="21"/>
      <c r="TIC41" s="21"/>
      <c r="TID41" s="21"/>
      <c r="TIE41" s="21"/>
      <c r="TIF41" s="21"/>
      <c r="TIG41" s="21"/>
      <c r="TIH41" s="21"/>
      <c r="TII41" s="21"/>
      <c r="TIJ41" s="21"/>
      <c r="TIK41" s="21"/>
      <c r="TIL41" s="21"/>
      <c r="TIM41" s="21"/>
      <c r="TIN41" s="21"/>
      <c r="TIO41" s="21"/>
      <c r="TIP41" s="21"/>
      <c r="TIQ41" s="21"/>
      <c r="TIR41" s="21"/>
      <c r="TIS41" s="21"/>
      <c r="TIT41" s="21"/>
      <c r="TIU41" s="21"/>
      <c r="TIV41" s="21"/>
      <c r="TIW41" s="21"/>
      <c r="TIX41" s="21"/>
      <c r="TIY41" s="21"/>
      <c r="TIZ41" s="21"/>
      <c r="TJA41" s="21"/>
      <c r="TJB41" s="21"/>
      <c r="TJC41" s="21"/>
      <c r="TJD41" s="21"/>
      <c r="TJE41" s="21"/>
      <c r="TJF41" s="21"/>
      <c r="TJG41" s="21"/>
      <c r="TJH41" s="21"/>
      <c r="TJI41" s="21"/>
      <c r="TJJ41" s="21"/>
      <c r="TJK41" s="21"/>
      <c r="TJL41" s="21"/>
      <c r="TJM41" s="21"/>
      <c r="TJN41" s="21"/>
      <c r="TJO41" s="21"/>
      <c r="TJP41" s="21"/>
      <c r="TJQ41" s="21"/>
      <c r="TJR41" s="21"/>
      <c r="TJS41" s="21"/>
      <c r="TJT41" s="21"/>
      <c r="TJU41" s="21"/>
      <c r="TJV41" s="21"/>
      <c r="TJW41" s="21"/>
      <c r="TJX41" s="21"/>
      <c r="TJY41" s="21"/>
      <c r="TJZ41" s="21"/>
      <c r="TKA41" s="21"/>
      <c r="TKB41" s="21"/>
      <c r="TKC41" s="21"/>
      <c r="TKD41" s="21"/>
      <c r="TKE41" s="21"/>
      <c r="TKF41" s="21"/>
      <c r="TKG41" s="21"/>
      <c r="TKH41" s="21"/>
      <c r="TKI41" s="21"/>
      <c r="TKJ41" s="21"/>
      <c r="TKK41" s="21"/>
      <c r="TKL41" s="21"/>
      <c r="TKM41" s="21"/>
      <c r="TKN41" s="21"/>
      <c r="TKO41" s="21"/>
      <c r="TKP41" s="21"/>
      <c r="TKQ41" s="21"/>
      <c r="TKR41" s="21"/>
      <c r="TKS41" s="21"/>
      <c r="TKT41" s="21"/>
      <c r="TKU41" s="21"/>
      <c r="TKV41" s="21"/>
      <c r="TKW41" s="21"/>
      <c r="TKX41" s="21"/>
      <c r="TKY41" s="21"/>
      <c r="TKZ41" s="21"/>
      <c r="TLA41" s="21"/>
      <c r="TLB41" s="21"/>
      <c r="TLC41" s="21"/>
      <c r="TLD41" s="21"/>
      <c r="TLE41" s="21"/>
      <c r="TLF41" s="21"/>
      <c r="TLG41" s="21"/>
      <c r="TLH41" s="21"/>
      <c r="TLI41" s="21"/>
      <c r="TLJ41" s="21"/>
      <c r="TLK41" s="21"/>
      <c r="TLL41" s="21"/>
      <c r="TLM41" s="21"/>
      <c r="TLN41" s="21"/>
      <c r="TLO41" s="21"/>
      <c r="TLP41" s="21"/>
      <c r="TLQ41" s="21"/>
      <c r="TLR41" s="21"/>
      <c r="TLS41" s="21"/>
      <c r="TLT41" s="21"/>
      <c r="TLU41" s="21"/>
      <c r="TLV41" s="21"/>
      <c r="TLW41" s="21"/>
      <c r="TLX41" s="21"/>
      <c r="TLY41" s="21"/>
      <c r="TLZ41" s="21"/>
      <c r="TMA41" s="21"/>
      <c r="TMB41" s="21"/>
      <c r="TMC41" s="21"/>
      <c r="TMD41" s="21"/>
      <c r="TME41" s="21"/>
      <c r="TMF41" s="21"/>
      <c r="TMG41" s="21"/>
      <c r="TMH41" s="21"/>
      <c r="TMI41" s="21"/>
      <c r="TMJ41" s="21"/>
      <c r="TMK41" s="21"/>
      <c r="TML41" s="21"/>
      <c r="TMM41" s="21"/>
      <c r="TMN41" s="21"/>
      <c r="TMO41" s="21"/>
      <c r="TMP41" s="21"/>
      <c r="TMQ41" s="21"/>
      <c r="TMR41" s="21"/>
      <c r="TMS41" s="21"/>
      <c r="TMT41" s="21"/>
      <c r="TMU41" s="21"/>
      <c r="TMV41" s="21"/>
      <c r="TMW41" s="21"/>
      <c r="TMX41" s="21"/>
      <c r="TMY41" s="21"/>
      <c r="TMZ41" s="21"/>
      <c r="TNA41" s="21"/>
      <c r="TNB41" s="21"/>
      <c r="TNC41" s="21"/>
      <c r="TND41" s="21"/>
      <c r="TNE41" s="21"/>
      <c r="TNF41" s="21"/>
      <c r="TNG41" s="21"/>
      <c r="TNH41" s="21"/>
      <c r="TNI41" s="21"/>
      <c r="TNJ41" s="21"/>
      <c r="TNK41" s="21"/>
      <c r="TNL41" s="21"/>
      <c r="TNM41" s="21"/>
      <c r="TNN41" s="21"/>
      <c r="TNO41" s="21"/>
      <c r="TNP41" s="21"/>
      <c r="TNQ41" s="21"/>
      <c r="TNR41" s="21"/>
      <c r="TNS41" s="21"/>
      <c r="TNT41" s="21"/>
      <c r="TNU41" s="21"/>
      <c r="TNV41" s="21"/>
      <c r="TNW41" s="21"/>
      <c r="TNX41" s="21"/>
      <c r="TNY41" s="21"/>
      <c r="TNZ41" s="21"/>
      <c r="TOA41" s="21"/>
      <c r="TOB41" s="21"/>
      <c r="TOC41" s="21"/>
      <c r="TOD41" s="21"/>
      <c r="TOE41" s="21"/>
      <c r="TOF41" s="21"/>
      <c r="TOG41" s="21"/>
      <c r="TOH41" s="21"/>
      <c r="TOI41" s="21"/>
      <c r="TOJ41" s="21"/>
      <c r="TOK41" s="21"/>
      <c r="TOL41" s="21"/>
      <c r="TOM41" s="21"/>
      <c r="TON41" s="21"/>
      <c r="TOO41" s="21"/>
      <c r="TOP41" s="21"/>
      <c r="TOQ41" s="21"/>
      <c r="TOR41" s="21"/>
      <c r="TOS41" s="21"/>
      <c r="TOT41" s="21"/>
      <c r="TOU41" s="21"/>
      <c r="TOV41" s="21"/>
      <c r="TOW41" s="21"/>
      <c r="TOX41" s="21"/>
      <c r="TOY41" s="21"/>
      <c r="TOZ41" s="21"/>
      <c r="TPA41" s="21"/>
      <c r="TPB41" s="21"/>
      <c r="TPC41" s="21"/>
      <c r="TPD41" s="21"/>
      <c r="TPE41" s="21"/>
      <c r="TPF41" s="21"/>
      <c r="TPG41" s="21"/>
      <c r="TPH41" s="21"/>
      <c r="TPI41" s="21"/>
      <c r="TPJ41" s="21"/>
      <c r="TPK41" s="21"/>
      <c r="TPL41" s="21"/>
      <c r="TPM41" s="21"/>
      <c r="TPN41" s="21"/>
      <c r="TPO41" s="21"/>
      <c r="TPP41" s="21"/>
      <c r="TPQ41" s="21"/>
      <c r="TPR41" s="21"/>
      <c r="TPS41" s="21"/>
      <c r="TPT41" s="21"/>
      <c r="TPU41" s="21"/>
      <c r="TPV41" s="21"/>
      <c r="TPW41" s="21"/>
      <c r="TPX41" s="21"/>
      <c r="TPY41" s="21"/>
      <c r="TPZ41" s="21"/>
      <c r="TQA41" s="21"/>
      <c r="TQB41" s="21"/>
      <c r="TQC41" s="21"/>
      <c r="TQD41" s="21"/>
      <c r="TQE41" s="21"/>
      <c r="TQF41" s="21"/>
      <c r="TQG41" s="21"/>
      <c r="TQH41" s="21"/>
      <c r="TQI41" s="21"/>
      <c r="TQJ41" s="21"/>
      <c r="TQK41" s="21"/>
      <c r="TQL41" s="21"/>
      <c r="TQM41" s="21"/>
      <c r="TQN41" s="21"/>
      <c r="TQO41" s="21"/>
      <c r="TQP41" s="21"/>
      <c r="TQQ41" s="21"/>
      <c r="TQR41" s="21"/>
      <c r="TQS41" s="21"/>
      <c r="TQT41" s="21"/>
      <c r="TQU41" s="21"/>
      <c r="TQV41" s="21"/>
      <c r="TQW41" s="21"/>
      <c r="TQX41" s="21"/>
      <c r="TQY41" s="21"/>
      <c r="TQZ41" s="21"/>
      <c r="TRA41" s="21"/>
      <c r="TRB41" s="21"/>
      <c r="TRC41" s="21"/>
      <c r="TRD41" s="21"/>
      <c r="TRE41" s="21"/>
      <c r="TRF41" s="21"/>
      <c r="TRG41" s="21"/>
      <c r="TRH41" s="21"/>
      <c r="TRI41" s="21"/>
      <c r="TRJ41" s="21"/>
      <c r="TRK41" s="21"/>
      <c r="TRL41" s="21"/>
      <c r="TRM41" s="21"/>
      <c r="TRN41" s="21"/>
      <c r="TRO41" s="21"/>
      <c r="TRP41" s="21"/>
      <c r="TRQ41" s="21"/>
      <c r="TRR41" s="21"/>
      <c r="TRS41" s="21"/>
      <c r="TRT41" s="21"/>
      <c r="TRU41" s="21"/>
      <c r="TRV41" s="21"/>
      <c r="TRW41" s="21"/>
      <c r="TRX41" s="21"/>
      <c r="TRY41" s="21"/>
      <c r="TRZ41" s="21"/>
      <c r="TSA41" s="21"/>
      <c r="TSB41" s="21"/>
      <c r="TSC41" s="21"/>
      <c r="TSD41" s="21"/>
      <c r="TSE41" s="21"/>
      <c r="TSF41" s="21"/>
      <c r="TSG41" s="21"/>
      <c r="TSH41" s="21"/>
      <c r="TSI41" s="21"/>
      <c r="TSJ41" s="21"/>
      <c r="TSK41" s="21"/>
      <c r="TSL41" s="21"/>
      <c r="TSM41" s="21"/>
      <c r="TSN41" s="21"/>
      <c r="TSO41" s="21"/>
      <c r="TSP41" s="21"/>
      <c r="TSQ41" s="21"/>
      <c r="TSR41" s="21"/>
      <c r="TSS41" s="21"/>
      <c r="TST41" s="21"/>
      <c r="TSU41" s="21"/>
      <c r="TSV41" s="21"/>
      <c r="TSW41" s="21"/>
      <c r="TSX41" s="21"/>
      <c r="TSY41" s="21"/>
      <c r="TSZ41" s="21"/>
      <c r="TTA41" s="21"/>
      <c r="TTB41" s="21"/>
      <c r="TTC41" s="21"/>
      <c r="TTD41" s="21"/>
      <c r="TTE41" s="21"/>
      <c r="TTF41" s="21"/>
      <c r="TTG41" s="21"/>
      <c r="TTH41" s="21"/>
      <c r="TTI41" s="21"/>
      <c r="TTJ41" s="21"/>
      <c r="TTK41" s="21"/>
      <c r="TTL41" s="21"/>
      <c r="TTM41" s="21"/>
      <c r="TTN41" s="21"/>
      <c r="TTO41" s="21"/>
      <c r="TTP41" s="21"/>
      <c r="TTQ41" s="21"/>
      <c r="TTR41" s="21"/>
      <c r="TTS41" s="21"/>
      <c r="TTT41" s="21"/>
      <c r="TTU41" s="21"/>
      <c r="TTV41" s="21"/>
      <c r="TTW41" s="21"/>
      <c r="TTX41" s="21"/>
      <c r="TTY41" s="21"/>
      <c r="TTZ41" s="21"/>
      <c r="TUA41" s="21"/>
      <c r="TUB41" s="21"/>
      <c r="TUC41" s="21"/>
      <c r="TUD41" s="21"/>
      <c r="TUE41" s="21"/>
      <c r="TUF41" s="21"/>
      <c r="TUG41" s="21"/>
      <c r="TUH41" s="21"/>
      <c r="TUI41" s="21"/>
      <c r="TUJ41" s="21"/>
      <c r="TUK41" s="21"/>
      <c r="TUL41" s="21"/>
      <c r="TUM41" s="21"/>
      <c r="TUN41" s="21"/>
      <c r="TUO41" s="21"/>
      <c r="TUP41" s="21"/>
      <c r="TUQ41" s="21"/>
      <c r="TUR41" s="21"/>
      <c r="TUS41" s="21"/>
      <c r="TUT41" s="21"/>
      <c r="TUU41" s="21"/>
      <c r="TUV41" s="21"/>
      <c r="TUW41" s="21"/>
      <c r="TUX41" s="21"/>
      <c r="TUY41" s="21"/>
      <c r="TUZ41" s="21"/>
      <c r="TVA41" s="21"/>
      <c r="TVB41" s="21"/>
      <c r="TVC41" s="21"/>
      <c r="TVD41" s="21"/>
      <c r="TVE41" s="21"/>
      <c r="TVF41" s="21"/>
      <c r="TVG41" s="21"/>
      <c r="TVH41" s="21"/>
      <c r="TVI41" s="21"/>
      <c r="TVJ41" s="21"/>
      <c r="TVK41" s="21"/>
      <c r="TVL41" s="21"/>
      <c r="TVM41" s="21"/>
      <c r="TVN41" s="21"/>
      <c r="TVO41" s="21"/>
      <c r="TVP41" s="21"/>
      <c r="TVQ41" s="21"/>
      <c r="TVR41" s="21"/>
      <c r="TVS41" s="21"/>
      <c r="TVT41" s="21"/>
      <c r="TVU41" s="21"/>
      <c r="TVV41" s="21"/>
      <c r="TVW41" s="21"/>
      <c r="TVX41" s="21"/>
      <c r="TVY41" s="21"/>
      <c r="TVZ41" s="21"/>
      <c r="TWA41" s="21"/>
      <c r="TWB41" s="21"/>
      <c r="TWC41" s="21"/>
      <c r="TWD41" s="21"/>
      <c r="TWE41" s="21"/>
      <c r="TWF41" s="21"/>
      <c r="TWG41" s="21"/>
      <c r="TWH41" s="21"/>
      <c r="TWI41" s="21"/>
      <c r="TWJ41" s="21"/>
      <c r="TWK41" s="21"/>
      <c r="TWL41" s="21"/>
      <c r="TWM41" s="21"/>
      <c r="TWN41" s="21"/>
      <c r="TWO41" s="21"/>
      <c r="TWP41" s="21"/>
      <c r="TWQ41" s="21"/>
      <c r="TWR41" s="21"/>
      <c r="TWS41" s="21"/>
      <c r="TWT41" s="21"/>
      <c r="TWU41" s="21"/>
      <c r="TWV41" s="21"/>
      <c r="TWW41" s="21"/>
      <c r="TWX41" s="21"/>
      <c r="TWY41" s="21"/>
      <c r="TWZ41" s="21"/>
      <c r="TXA41" s="21"/>
      <c r="TXB41" s="21"/>
      <c r="TXC41" s="21"/>
      <c r="TXD41" s="21"/>
      <c r="TXE41" s="21"/>
      <c r="TXF41" s="21"/>
      <c r="TXG41" s="21"/>
      <c r="TXH41" s="21"/>
      <c r="TXI41" s="21"/>
      <c r="TXJ41" s="21"/>
      <c r="TXK41" s="21"/>
      <c r="TXL41" s="21"/>
      <c r="TXM41" s="21"/>
      <c r="TXN41" s="21"/>
      <c r="TXO41" s="21"/>
      <c r="TXP41" s="21"/>
      <c r="TXQ41" s="21"/>
      <c r="TXR41" s="21"/>
      <c r="TXS41" s="21"/>
      <c r="TXT41" s="21"/>
      <c r="TXU41" s="21"/>
      <c r="TXV41" s="21"/>
      <c r="TXW41" s="21"/>
      <c r="TXX41" s="21"/>
      <c r="TXY41" s="21"/>
      <c r="TXZ41" s="21"/>
      <c r="TYA41" s="21"/>
      <c r="TYB41" s="21"/>
      <c r="TYC41" s="21"/>
      <c r="TYD41" s="21"/>
      <c r="TYE41" s="21"/>
      <c r="TYF41" s="21"/>
      <c r="TYG41" s="21"/>
      <c r="TYH41" s="21"/>
      <c r="TYI41" s="21"/>
      <c r="TYJ41" s="21"/>
      <c r="TYK41" s="21"/>
      <c r="TYL41" s="21"/>
      <c r="TYM41" s="21"/>
      <c r="TYN41" s="21"/>
      <c r="TYO41" s="21"/>
      <c r="TYP41" s="21"/>
      <c r="TYQ41" s="21"/>
      <c r="TYR41" s="21"/>
      <c r="TYS41" s="21"/>
      <c r="TYT41" s="21"/>
      <c r="TYU41" s="21"/>
      <c r="TYV41" s="21"/>
      <c r="TYW41" s="21"/>
      <c r="TYX41" s="21"/>
      <c r="TYY41" s="21"/>
      <c r="TYZ41" s="21"/>
      <c r="TZA41" s="21"/>
      <c r="TZB41" s="21"/>
      <c r="TZC41" s="21"/>
      <c r="TZD41" s="21"/>
      <c r="TZE41" s="21"/>
      <c r="TZF41" s="21"/>
      <c r="TZG41" s="21"/>
      <c r="TZH41" s="21"/>
      <c r="TZI41" s="21"/>
      <c r="TZJ41" s="21"/>
      <c r="TZK41" s="21"/>
      <c r="TZL41" s="21"/>
      <c r="TZM41" s="21"/>
      <c r="TZN41" s="21"/>
      <c r="TZO41" s="21"/>
      <c r="TZP41" s="21"/>
      <c r="TZQ41" s="21"/>
      <c r="TZR41" s="21"/>
      <c r="TZS41" s="21"/>
      <c r="TZT41" s="21"/>
      <c r="TZU41" s="21"/>
      <c r="TZV41" s="21"/>
      <c r="TZW41" s="21"/>
      <c r="TZX41" s="21"/>
      <c r="TZY41" s="21"/>
      <c r="TZZ41" s="21"/>
      <c r="UAA41" s="21"/>
      <c r="UAB41" s="21"/>
      <c r="UAC41" s="21"/>
      <c r="UAD41" s="21"/>
      <c r="UAE41" s="21"/>
      <c r="UAF41" s="21"/>
      <c r="UAG41" s="21"/>
      <c r="UAH41" s="21"/>
      <c r="UAI41" s="21"/>
      <c r="UAJ41" s="21"/>
      <c r="UAK41" s="21"/>
      <c r="UAL41" s="21"/>
      <c r="UAM41" s="21"/>
      <c r="UAN41" s="21"/>
      <c r="UAO41" s="21"/>
      <c r="UAP41" s="21"/>
      <c r="UAQ41" s="21"/>
      <c r="UAR41" s="21"/>
      <c r="UAS41" s="21"/>
      <c r="UAT41" s="21"/>
      <c r="UAU41" s="21"/>
      <c r="UAV41" s="21"/>
      <c r="UAW41" s="21"/>
      <c r="UAX41" s="21"/>
      <c r="UAY41" s="21"/>
      <c r="UAZ41" s="21"/>
      <c r="UBA41" s="21"/>
      <c r="UBB41" s="21"/>
      <c r="UBC41" s="21"/>
      <c r="UBD41" s="21"/>
      <c r="UBE41" s="21"/>
      <c r="UBF41" s="21"/>
      <c r="UBG41" s="21"/>
      <c r="UBH41" s="21"/>
      <c r="UBI41" s="21"/>
      <c r="UBJ41" s="21"/>
      <c r="UBK41" s="21"/>
      <c r="UBL41" s="21"/>
      <c r="UBM41" s="21"/>
      <c r="UBN41" s="21"/>
      <c r="UBO41" s="21"/>
      <c r="UBP41" s="21"/>
      <c r="UBQ41" s="21"/>
      <c r="UBR41" s="21"/>
      <c r="UBS41" s="21"/>
      <c r="UBT41" s="21"/>
      <c r="UBU41" s="21"/>
      <c r="UBV41" s="21"/>
      <c r="UBW41" s="21"/>
      <c r="UBX41" s="21"/>
      <c r="UBY41" s="21"/>
      <c r="UBZ41" s="21"/>
      <c r="UCA41" s="21"/>
      <c r="UCB41" s="21"/>
      <c r="UCC41" s="21"/>
      <c r="UCD41" s="21"/>
      <c r="UCE41" s="21"/>
      <c r="UCF41" s="21"/>
      <c r="UCG41" s="21"/>
      <c r="UCH41" s="21"/>
      <c r="UCI41" s="21"/>
      <c r="UCJ41" s="21"/>
      <c r="UCK41" s="21"/>
      <c r="UCL41" s="21"/>
      <c r="UCM41" s="21"/>
      <c r="UCN41" s="21"/>
      <c r="UCO41" s="21"/>
      <c r="UCP41" s="21"/>
      <c r="UCQ41" s="21"/>
      <c r="UCR41" s="21"/>
      <c r="UCS41" s="21"/>
      <c r="UCT41" s="21"/>
      <c r="UCU41" s="21"/>
      <c r="UCV41" s="21"/>
      <c r="UCW41" s="21"/>
      <c r="UCX41" s="21"/>
      <c r="UCY41" s="21"/>
      <c r="UCZ41" s="21"/>
      <c r="UDA41" s="21"/>
      <c r="UDB41" s="21"/>
      <c r="UDC41" s="21"/>
      <c r="UDD41" s="21"/>
      <c r="UDE41" s="21"/>
      <c r="UDF41" s="21"/>
      <c r="UDG41" s="21"/>
      <c r="UDH41" s="21"/>
      <c r="UDI41" s="21"/>
      <c r="UDJ41" s="21"/>
      <c r="UDK41" s="21"/>
      <c r="UDL41" s="21"/>
      <c r="UDM41" s="21"/>
      <c r="UDN41" s="21"/>
      <c r="UDO41" s="21"/>
      <c r="UDP41" s="21"/>
      <c r="UDQ41" s="21"/>
      <c r="UDR41" s="21"/>
      <c r="UDS41" s="21"/>
      <c r="UDT41" s="21"/>
      <c r="UDU41" s="21"/>
      <c r="UDV41" s="21"/>
      <c r="UDW41" s="21"/>
      <c r="UDX41" s="21"/>
      <c r="UDY41" s="21"/>
      <c r="UDZ41" s="21"/>
      <c r="UEA41" s="21"/>
      <c r="UEB41" s="21"/>
      <c r="UEC41" s="21"/>
      <c r="UED41" s="21"/>
      <c r="UEE41" s="21"/>
      <c r="UEF41" s="21"/>
      <c r="UEG41" s="21"/>
      <c r="UEH41" s="21"/>
      <c r="UEI41" s="21"/>
      <c r="UEJ41" s="21"/>
      <c r="UEK41" s="21"/>
      <c r="UEL41" s="21"/>
      <c r="UEM41" s="21"/>
      <c r="UEN41" s="21"/>
      <c r="UEO41" s="21"/>
      <c r="UEP41" s="21"/>
      <c r="UEQ41" s="21"/>
      <c r="UER41" s="21"/>
      <c r="UES41" s="21"/>
      <c r="UET41" s="21"/>
      <c r="UEU41" s="21"/>
      <c r="UEV41" s="21"/>
      <c r="UEW41" s="21"/>
      <c r="UEX41" s="21"/>
      <c r="UEY41" s="21"/>
      <c r="UEZ41" s="21"/>
      <c r="UFA41" s="21"/>
      <c r="UFB41" s="21"/>
      <c r="UFC41" s="21"/>
      <c r="UFD41" s="21"/>
      <c r="UFE41" s="21"/>
      <c r="UFF41" s="21"/>
      <c r="UFG41" s="21"/>
      <c r="UFH41" s="21"/>
      <c r="UFI41" s="21"/>
      <c r="UFJ41" s="21"/>
      <c r="UFK41" s="21"/>
      <c r="UFL41" s="21"/>
      <c r="UFM41" s="21"/>
      <c r="UFN41" s="21"/>
      <c r="UFO41" s="21"/>
      <c r="UFP41" s="21"/>
      <c r="UFQ41" s="21"/>
      <c r="UFR41" s="21"/>
      <c r="UFS41" s="21"/>
      <c r="UFT41" s="21"/>
      <c r="UFU41" s="21"/>
      <c r="UFV41" s="21"/>
      <c r="UFW41" s="21"/>
      <c r="UFX41" s="21"/>
      <c r="UFY41" s="21"/>
      <c r="UFZ41" s="21"/>
      <c r="UGA41" s="21"/>
      <c r="UGB41" s="21"/>
      <c r="UGC41" s="21"/>
      <c r="UGD41" s="21"/>
      <c r="UGE41" s="21"/>
      <c r="UGF41" s="21"/>
      <c r="UGG41" s="21"/>
      <c r="UGH41" s="21"/>
      <c r="UGI41" s="21"/>
      <c r="UGJ41" s="21"/>
      <c r="UGK41" s="21"/>
      <c r="UGL41" s="21"/>
      <c r="UGM41" s="21"/>
      <c r="UGN41" s="21"/>
      <c r="UGO41" s="21"/>
      <c r="UGP41" s="21"/>
      <c r="UGQ41" s="21"/>
      <c r="UGR41" s="21"/>
      <c r="UGS41" s="21"/>
      <c r="UGT41" s="21"/>
      <c r="UGU41" s="21"/>
      <c r="UGV41" s="21"/>
      <c r="UGW41" s="21"/>
      <c r="UGX41" s="21"/>
      <c r="UGY41" s="21"/>
      <c r="UGZ41" s="21"/>
      <c r="UHA41" s="21"/>
      <c r="UHB41" s="21"/>
      <c r="UHC41" s="21"/>
      <c r="UHD41" s="21"/>
      <c r="UHE41" s="21"/>
      <c r="UHF41" s="21"/>
      <c r="UHG41" s="21"/>
      <c r="UHH41" s="21"/>
      <c r="UHI41" s="21"/>
      <c r="UHJ41" s="21"/>
      <c r="UHK41" s="21"/>
      <c r="UHL41" s="21"/>
      <c r="UHM41" s="21"/>
      <c r="UHN41" s="21"/>
      <c r="UHO41" s="21"/>
      <c r="UHP41" s="21"/>
      <c r="UHQ41" s="21"/>
      <c r="UHR41" s="21"/>
      <c r="UHS41" s="21"/>
      <c r="UHT41" s="21"/>
      <c r="UHU41" s="21"/>
      <c r="UHV41" s="21"/>
      <c r="UHW41" s="21"/>
      <c r="UHX41" s="21"/>
      <c r="UHY41" s="21"/>
      <c r="UHZ41" s="21"/>
      <c r="UIA41" s="21"/>
      <c r="UIB41" s="21"/>
      <c r="UIC41" s="21"/>
      <c r="UID41" s="21"/>
      <c r="UIE41" s="21"/>
      <c r="UIF41" s="21"/>
      <c r="UIG41" s="21"/>
      <c r="UIH41" s="21"/>
      <c r="UII41" s="21"/>
      <c r="UIJ41" s="21"/>
      <c r="UIK41" s="21"/>
      <c r="UIL41" s="21"/>
      <c r="UIM41" s="21"/>
      <c r="UIN41" s="21"/>
      <c r="UIO41" s="21"/>
      <c r="UIP41" s="21"/>
      <c r="UIQ41" s="21"/>
      <c r="UIR41" s="21"/>
      <c r="UIS41" s="21"/>
      <c r="UIT41" s="21"/>
      <c r="UIU41" s="21"/>
      <c r="UIV41" s="21"/>
      <c r="UIW41" s="21"/>
      <c r="UIX41" s="21"/>
      <c r="UIY41" s="21"/>
      <c r="UIZ41" s="21"/>
      <c r="UJA41" s="21"/>
      <c r="UJB41" s="21"/>
      <c r="UJC41" s="21"/>
      <c r="UJD41" s="21"/>
      <c r="UJE41" s="21"/>
      <c r="UJF41" s="21"/>
      <c r="UJG41" s="21"/>
      <c r="UJH41" s="21"/>
      <c r="UJI41" s="21"/>
      <c r="UJJ41" s="21"/>
      <c r="UJK41" s="21"/>
      <c r="UJL41" s="21"/>
      <c r="UJM41" s="21"/>
      <c r="UJN41" s="21"/>
      <c r="UJO41" s="21"/>
      <c r="UJP41" s="21"/>
      <c r="UJQ41" s="21"/>
      <c r="UJR41" s="21"/>
      <c r="UJS41" s="21"/>
      <c r="UJT41" s="21"/>
      <c r="UJU41" s="21"/>
      <c r="UJV41" s="21"/>
      <c r="UJW41" s="21"/>
      <c r="UJX41" s="21"/>
      <c r="UJY41" s="21"/>
      <c r="UJZ41" s="21"/>
      <c r="UKA41" s="21"/>
      <c r="UKB41" s="21"/>
      <c r="UKC41" s="21"/>
      <c r="UKD41" s="21"/>
      <c r="UKE41" s="21"/>
      <c r="UKF41" s="21"/>
      <c r="UKG41" s="21"/>
      <c r="UKH41" s="21"/>
      <c r="UKI41" s="21"/>
      <c r="UKJ41" s="21"/>
      <c r="UKK41" s="21"/>
      <c r="UKL41" s="21"/>
      <c r="UKM41" s="21"/>
      <c r="UKN41" s="21"/>
      <c r="UKO41" s="21"/>
      <c r="UKP41" s="21"/>
      <c r="UKQ41" s="21"/>
      <c r="UKR41" s="21"/>
      <c r="UKS41" s="21"/>
      <c r="UKT41" s="21"/>
      <c r="UKU41" s="21"/>
      <c r="UKV41" s="21"/>
      <c r="UKW41" s="21"/>
      <c r="UKX41" s="21"/>
      <c r="UKY41" s="21"/>
      <c r="UKZ41" s="21"/>
      <c r="ULA41" s="21"/>
      <c r="ULB41" s="21"/>
      <c r="ULC41" s="21"/>
      <c r="ULD41" s="21"/>
      <c r="ULE41" s="21"/>
      <c r="ULF41" s="21"/>
      <c r="ULG41" s="21"/>
      <c r="ULH41" s="21"/>
      <c r="ULI41" s="21"/>
      <c r="ULJ41" s="21"/>
      <c r="ULK41" s="21"/>
      <c r="ULL41" s="21"/>
      <c r="ULM41" s="21"/>
      <c r="ULN41" s="21"/>
      <c r="ULO41" s="21"/>
      <c r="ULP41" s="21"/>
      <c r="ULQ41" s="21"/>
      <c r="ULR41" s="21"/>
      <c r="ULS41" s="21"/>
      <c r="ULT41" s="21"/>
      <c r="ULU41" s="21"/>
      <c r="ULV41" s="21"/>
      <c r="ULW41" s="21"/>
      <c r="ULX41" s="21"/>
      <c r="ULY41" s="21"/>
      <c r="ULZ41" s="21"/>
      <c r="UMA41" s="21"/>
      <c r="UMB41" s="21"/>
      <c r="UMC41" s="21"/>
      <c r="UMD41" s="21"/>
      <c r="UME41" s="21"/>
      <c r="UMF41" s="21"/>
      <c r="UMG41" s="21"/>
      <c r="UMH41" s="21"/>
      <c r="UMI41" s="21"/>
      <c r="UMJ41" s="21"/>
      <c r="UMK41" s="21"/>
      <c r="UML41" s="21"/>
      <c r="UMM41" s="21"/>
      <c r="UMN41" s="21"/>
      <c r="UMO41" s="21"/>
      <c r="UMP41" s="21"/>
      <c r="UMQ41" s="21"/>
      <c r="UMR41" s="21"/>
      <c r="UMS41" s="21"/>
      <c r="UMT41" s="21"/>
      <c r="UMU41" s="21"/>
      <c r="UMV41" s="21"/>
      <c r="UMW41" s="21"/>
      <c r="UMX41" s="21"/>
      <c r="UMY41" s="21"/>
      <c r="UMZ41" s="21"/>
      <c r="UNA41" s="21"/>
      <c r="UNB41" s="21"/>
      <c r="UNC41" s="21"/>
      <c r="UND41" s="21"/>
      <c r="UNE41" s="21"/>
      <c r="UNF41" s="21"/>
      <c r="UNG41" s="21"/>
      <c r="UNH41" s="21"/>
      <c r="UNI41" s="21"/>
      <c r="UNJ41" s="21"/>
      <c r="UNK41" s="21"/>
      <c r="UNL41" s="21"/>
      <c r="UNM41" s="21"/>
      <c r="UNN41" s="21"/>
      <c r="UNO41" s="21"/>
      <c r="UNP41" s="21"/>
      <c r="UNQ41" s="21"/>
      <c r="UNR41" s="21"/>
      <c r="UNS41" s="21"/>
      <c r="UNT41" s="21"/>
      <c r="UNU41" s="21"/>
      <c r="UNV41" s="21"/>
      <c r="UNW41" s="21"/>
      <c r="UNX41" s="21"/>
      <c r="UNY41" s="21"/>
      <c r="UNZ41" s="21"/>
      <c r="UOA41" s="21"/>
      <c r="UOB41" s="21"/>
      <c r="UOC41" s="21"/>
      <c r="UOD41" s="21"/>
      <c r="UOE41" s="21"/>
      <c r="UOF41" s="21"/>
      <c r="UOG41" s="21"/>
      <c r="UOH41" s="21"/>
      <c r="UOI41" s="21"/>
      <c r="UOJ41" s="21"/>
      <c r="UOK41" s="21"/>
      <c r="UOL41" s="21"/>
      <c r="UOM41" s="21"/>
      <c r="UON41" s="21"/>
      <c r="UOO41" s="21"/>
      <c r="UOP41" s="21"/>
      <c r="UOQ41" s="21"/>
      <c r="UOR41" s="21"/>
      <c r="UOS41" s="21"/>
      <c r="UOT41" s="21"/>
      <c r="UOU41" s="21"/>
      <c r="UOV41" s="21"/>
      <c r="UOW41" s="21"/>
      <c r="UOX41" s="21"/>
      <c r="UOY41" s="21"/>
      <c r="UOZ41" s="21"/>
      <c r="UPA41" s="21"/>
      <c r="UPB41" s="21"/>
      <c r="UPC41" s="21"/>
      <c r="UPD41" s="21"/>
      <c r="UPE41" s="21"/>
      <c r="UPF41" s="21"/>
      <c r="UPG41" s="21"/>
      <c r="UPH41" s="21"/>
      <c r="UPI41" s="21"/>
      <c r="UPJ41" s="21"/>
      <c r="UPK41" s="21"/>
      <c r="UPL41" s="21"/>
      <c r="UPM41" s="21"/>
      <c r="UPN41" s="21"/>
      <c r="UPO41" s="21"/>
      <c r="UPP41" s="21"/>
      <c r="UPQ41" s="21"/>
      <c r="UPR41" s="21"/>
      <c r="UPS41" s="21"/>
      <c r="UPT41" s="21"/>
      <c r="UPU41" s="21"/>
      <c r="UPV41" s="21"/>
      <c r="UPW41" s="21"/>
      <c r="UPX41" s="21"/>
      <c r="UPY41" s="21"/>
      <c r="UPZ41" s="21"/>
      <c r="UQA41" s="21"/>
      <c r="UQB41" s="21"/>
      <c r="UQC41" s="21"/>
      <c r="UQD41" s="21"/>
      <c r="UQE41" s="21"/>
      <c r="UQF41" s="21"/>
      <c r="UQG41" s="21"/>
      <c r="UQH41" s="21"/>
      <c r="UQI41" s="21"/>
      <c r="UQJ41" s="21"/>
      <c r="UQK41" s="21"/>
      <c r="UQL41" s="21"/>
      <c r="UQM41" s="21"/>
      <c r="UQN41" s="21"/>
      <c r="UQO41" s="21"/>
      <c r="UQP41" s="21"/>
      <c r="UQQ41" s="21"/>
      <c r="UQR41" s="21"/>
      <c r="UQS41" s="21"/>
      <c r="UQT41" s="21"/>
      <c r="UQU41" s="21"/>
      <c r="UQV41" s="21"/>
      <c r="UQW41" s="21"/>
      <c r="UQX41" s="21"/>
      <c r="UQY41" s="21"/>
      <c r="UQZ41" s="21"/>
      <c r="URA41" s="21"/>
      <c r="URB41" s="21"/>
      <c r="URC41" s="21"/>
      <c r="URD41" s="21"/>
      <c r="URE41" s="21"/>
      <c r="URF41" s="21"/>
      <c r="URG41" s="21"/>
      <c r="URH41" s="21"/>
      <c r="URI41" s="21"/>
      <c r="URJ41" s="21"/>
      <c r="URK41" s="21"/>
      <c r="URL41" s="21"/>
      <c r="URM41" s="21"/>
      <c r="URN41" s="21"/>
      <c r="URO41" s="21"/>
      <c r="URP41" s="21"/>
      <c r="URQ41" s="21"/>
      <c r="URR41" s="21"/>
      <c r="URS41" s="21"/>
      <c r="URT41" s="21"/>
      <c r="URU41" s="21"/>
      <c r="URV41" s="21"/>
      <c r="URW41" s="21"/>
      <c r="URX41" s="21"/>
      <c r="URY41" s="21"/>
      <c r="URZ41" s="21"/>
      <c r="USA41" s="21"/>
      <c r="USB41" s="21"/>
      <c r="USC41" s="21"/>
      <c r="USD41" s="21"/>
      <c r="USE41" s="21"/>
      <c r="USF41" s="21"/>
      <c r="USG41" s="21"/>
      <c r="USH41" s="21"/>
      <c r="USI41" s="21"/>
      <c r="USJ41" s="21"/>
      <c r="USK41" s="21"/>
      <c r="USL41" s="21"/>
      <c r="USM41" s="21"/>
      <c r="USN41" s="21"/>
      <c r="USO41" s="21"/>
      <c r="USP41" s="21"/>
      <c r="USQ41" s="21"/>
      <c r="USR41" s="21"/>
      <c r="USS41" s="21"/>
      <c r="UST41" s="21"/>
      <c r="USU41" s="21"/>
      <c r="USV41" s="21"/>
      <c r="USW41" s="21"/>
      <c r="USX41" s="21"/>
      <c r="USY41" s="21"/>
      <c r="USZ41" s="21"/>
      <c r="UTA41" s="21"/>
      <c r="UTB41" s="21"/>
      <c r="UTC41" s="21"/>
      <c r="UTD41" s="21"/>
      <c r="UTE41" s="21"/>
      <c r="UTF41" s="21"/>
      <c r="UTG41" s="21"/>
      <c r="UTH41" s="21"/>
      <c r="UTI41" s="21"/>
      <c r="UTJ41" s="21"/>
      <c r="UTK41" s="21"/>
      <c r="UTL41" s="21"/>
      <c r="UTM41" s="21"/>
      <c r="UTN41" s="21"/>
      <c r="UTO41" s="21"/>
      <c r="UTP41" s="21"/>
      <c r="UTQ41" s="21"/>
      <c r="UTR41" s="21"/>
      <c r="UTS41" s="21"/>
      <c r="UTT41" s="21"/>
      <c r="UTU41" s="21"/>
      <c r="UTV41" s="21"/>
      <c r="UTW41" s="21"/>
      <c r="UTX41" s="21"/>
      <c r="UTY41" s="21"/>
      <c r="UTZ41" s="21"/>
      <c r="UUA41" s="21"/>
      <c r="UUB41" s="21"/>
      <c r="UUC41" s="21"/>
      <c r="UUD41" s="21"/>
      <c r="UUE41" s="21"/>
      <c r="UUF41" s="21"/>
      <c r="UUG41" s="21"/>
      <c r="UUH41" s="21"/>
      <c r="UUI41" s="21"/>
      <c r="UUJ41" s="21"/>
      <c r="UUK41" s="21"/>
      <c r="UUL41" s="21"/>
      <c r="UUM41" s="21"/>
      <c r="UUN41" s="21"/>
      <c r="UUO41" s="21"/>
      <c r="UUP41" s="21"/>
      <c r="UUQ41" s="21"/>
      <c r="UUR41" s="21"/>
      <c r="UUS41" s="21"/>
      <c r="UUT41" s="21"/>
      <c r="UUU41" s="21"/>
      <c r="UUV41" s="21"/>
      <c r="UUW41" s="21"/>
      <c r="UUX41" s="21"/>
      <c r="UUY41" s="21"/>
      <c r="UUZ41" s="21"/>
      <c r="UVA41" s="21"/>
      <c r="UVB41" s="21"/>
      <c r="UVC41" s="21"/>
      <c r="UVD41" s="21"/>
      <c r="UVE41" s="21"/>
      <c r="UVF41" s="21"/>
      <c r="UVG41" s="21"/>
      <c r="UVH41" s="21"/>
      <c r="UVI41" s="21"/>
      <c r="UVJ41" s="21"/>
      <c r="UVK41" s="21"/>
      <c r="UVL41" s="21"/>
      <c r="UVM41" s="21"/>
      <c r="UVN41" s="21"/>
      <c r="UVO41" s="21"/>
      <c r="UVP41" s="21"/>
      <c r="UVQ41" s="21"/>
      <c r="UVR41" s="21"/>
      <c r="UVS41" s="21"/>
      <c r="UVT41" s="21"/>
      <c r="UVU41" s="21"/>
      <c r="UVV41" s="21"/>
      <c r="UVW41" s="21"/>
      <c r="UVX41" s="21"/>
      <c r="UVY41" s="21"/>
      <c r="UVZ41" s="21"/>
      <c r="UWA41" s="21"/>
      <c r="UWB41" s="21"/>
      <c r="UWC41" s="21"/>
      <c r="UWD41" s="21"/>
      <c r="UWE41" s="21"/>
      <c r="UWF41" s="21"/>
      <c r="UWG41" s="21"/>
      <c r="UWH41" s="21"/>
      <c r="UWI41" s="21"/>
      <c r="UWJ41" s="21"/>
      <c r="UWK41" s="21"/>
      <c r="UWL41" s="21"/>
      <c r="UWM41" s="21"/>
      <c r="UWN41" s="21"/>
      <c r="UWO41" s="21"/>
      <c r="UWP41" s="21"/>
      <c r="UWQ41" s="21"/>
      <c r="UWR41" s="21"/>
      <c r="UWS41" s="21"/>
      <c r="UWT41" s="21"/>
      <c r="UWU41" s="21"/>
      <c r="UWV41" s="21"/>
      <c r="UWW41" s="21"/>
      <c r="UWX41" s="21"/>
      <c r="UWY41" s="21"/>
      <c r="UWZ41" s="21"/>
      <c r="UXA41" s="21"/>
      <c r="UXB41" s="21"/>
      <c r="UXC41" s="21"/>
      <c r="UXD41" s="21"/>
      <c r="UXE41" s="21"/>
      <c r="UXF41" s="21"/>
      <c r="UXG41" s="21"/>
      <c r="UXH41" s="21"/>
      <c r="UXI41" s="21"/>
      <c r="UXJ41" s="21"/>
      <c r="UXK41" s="21"/>
      <c r="UXL41" s="21"/>
      <c r="UXM41" s="21"/>
      <c r="UXN41" s="21"/>
      <c r="UXO41" s="21"/>
      <c r="UXP41" s="21"/>
      <c r="UXQ41" s="21"/>
      <c r="UXR41" s="21"/>
      <c r="UXS41" s="21"/>
      <c r="UXT41" s="21"/>
      <c r="UXU41" s="21"/>
      <c r="UXV41" s="21"/>
      <c r="UXW41" s="21"/>
      <c r="UXX41" s="21"/>
      <c r="UXY41" s="21"/>
      <c r="UXZ41" s="21"/>
      <c r="UYA41" s="21"/>
      <c r="UYB41" s="21"/>
      <c r="UYC41" s="21"/>
      <c r="UYD41" s="21"/>
      <c r="UYE41" s="21"/>
      <c r="UYF41" s="21"/>
      <c r="UYG41" s="21"/>
      <c r="UYH41" s="21"/>
      <c r="UYI41" s="21"/>
      <c r="UYJ41" s="21"/>
      <c r="UYK41" s="21"/>
      <c r="UYL41" s="21"/>
      <c r="UYM41" s="21"/>
      <c r="UYN41" s="21"/>
      <c r="UYO41" s="21"/>
      <c r="UYP41" s="21"/>
      <c r="UYQ41" s="21"/>
      <c r="UYR41" s="21"/>
      <c r="UYS41" s="21"/>
      <c r="UYT41" s="21"/>
      <c r="UYU41" s="21"/>
      <c r="UYV41" s="21"/>
      <c r="UYW41" s="21"/>
      <c r="UYX41" s="21"/>
      <c r="UYY41" s="21"/>
      <c r="UYZ41" s="21"/>
      <c r="UZA41" s="21"/>
      <c r="UZB41" s="21"/>
      <c r="UZC41" s="21"/>
      <c r="UZD41" s="21"/>
      <c r="UZE41" s="21"/>
      <c r="UZF41" s="21"/>
      <c r="UZG41" s="21"/>
      <c r="UZH41" s="21"/>
      <c r="UZI41" s="21"/>
      <c r="UZJ41" s="21"/>
      <c r="UZK41" s="21"/>
      <c r="UZL41" s="21"/>
      <c r="UZM41" s="21"/>
      <c r="UZN41" s="21"/>
      <c r="UZO41" s="21"/>
      <c r="UZP41" s="21"/>
      <c r="UZQ41" s="21"/>
      <c r="UZR41" s="21"/>
      <c r="UZS41" s="21"/>
      <c r="UZT41" s="21"/>
      <c r="UZU41" s="21"/>
      <c r="UZV41" s="21"/>
      <c r="UZW41" s="21"/>
      <c r="UZX41" s="21"/>
      <c r="UZY41" s="21"/>
      <c r="UZZ41" s="21"/>
      <c r="VAA41" s="21"/>
      <c r="VAB41" s="21"/>
      <c r="VAC41" s="21"/>
      <c r="VAD41" s="21"/>
      <c r="VAE41" s="21"/>
      <c r="VAF41" s="21"/>
      <c r="VAG41" s="21"/>
      <c r="VAH41" s="21"/>
      <c r="VAI41" s="21"/>
      <c r="VAJ41" s="21"/>
      <c r="VAK41" s="21"/>
      <c r="VAL41" s="21"/>
      <c r="VAM41" s="21"/>
      <c r="VAN41" s="21"/>
      <c r="VAO41" s="21"/>
      <c r="VAP41" s="21"/>
      <c r="VAQ41" s="21"/>
      <c r="VAR41" s="21"/>
      <c r="VAS41" s="21"/>
      <c r="VAT41" s="21"/>
      <c r="VAU41" s="21"/>
      <c r="VAV41" s="21"/>
      <c r="VAW41" s="21"/>
      <c r="VAX41" s="21"/>
      <c r="VAY41" s="21"/>
      <c r="VAZ41" s="21"/>
      <c r="VBA41" s="21"/>
      <c r="VBB41" s="21"/>
      <c r="VBC41" s="21"/>
      <c r="VBD41" s="21"/>
      <c r="VBE41" s="21"/>
      <c r="VBF41" s="21"/>
      <c r="VBG41" s="21"/>
      <c r="VBH41" s="21"/>
      <c r="VBI41" s="21"/>
      <c r="VBJ41" s="21"/>
      <c r="VBK41" s="21"/>
      <c r="VBL41" s="21"/>
      <c r="VBM41" s="21"/>
      <c r="VBN41" s="21"/>
      <c r="VBO41" s="21"/>
      <c r="VBP41" s="21"/>
      <c r="VBQ41" s="21"/>
      <c r="VBR41" s="21"/>
      <c r="VBS41" s="21"/>
      <c r="VBT41" s="21"/>
      <c r="VBU41" s="21"/>
      <c r="VBV41" s="21"/>
      <c r="VBW41" s="21"/>
      <c r="VBX41" s="21"/>
      <c r="VBY41" s="21"/>
      <c r="VBZ41" s="21"/>
      <c r="VCA41" s="21"/>
      <c r="VCB41" s="21"/>
      <c r="VCC41" s="21"/>
      <c r="VCD41" s="21"/>
      <c r="VCE41" s="21"/>
      <c r="VCF41" s="21"/>
      <c r="VCG41" s="21"/>
      <c r="VCH41" s="21"/>
      <c r="VCI41" s="21"/>
      <c r="VCJ41" s="21"/>
      <c r="VCK41" s="21"/>
      <c r="VCL41" s="21"/>
      <c r="VCM41" s="21"/>
      <c r="VCN41" s="21"/>
      <c r="VCO41" s="21"/>
      <c r="VCP41" s="21"/>
      <c r="VCQ41" s="21"/>
      <c r="VCR41" s="21"/>
      <c r="VCS41" s="21"/>
      <c r="VCT41" s="21"/>
      <c r="VCU41" s="21"/>
      <c r="VCV41" s="21"/>
      <c r="VCW41" s="21"/>
      <c r="VCX41" s="21"/>
      <c r="VCY41" s="21"/>
      <c r="VCZ41" s="21"/>
      <c r="VDA41" s="21"/>
      <c r="VDB41" s="21"/>
      <c r="VDC41" s="21"/>
      <c r="VDD41" s="21"/>
      <c r="VDE41" s="21"/>
      <c r="VDF41" s="21"/>
      <c r="VDG41" s="21"/>
      <c r="VDH41" s="21"/>
      <c r="VDI41" s="21"/>
      <c r="VDJ41" s="21"/>
      <c r="VDK41" s="21"/>
      <c r="VDL41" s="21"/>
      <c r="VDM41" s="21"/>
      <c r="VDN41" s="21"/>
      <c r="VDO41" s="21"/>
      <c r="VDP41" s="21"/>
      <c r="VDQ41" s="21"/>
      <c r="VDR41" s="21"/>
      <c r="VDS41" s="21"/>
      <c r="VDT41" s="21"/>
      <c r="VDU41" s="21"/>
      <c r="VDV41" s="21"/>
      <c r="VDW41" s="21"/>
      <c r="VDX41" s="21"/>
      <c r="VDY41" s="21"/>
      <c r="VDZ41" s="21"/>
      <c r="VEA41" s="21"/>
      <c r="VEB41" s="21"/>
      <c r="VEC41" s="21"/>
      <c r="VED41" s="21"/>
      <c r="VEE41" s="21"/>
      <c r="VEF41" s="21"/>
      <c r="VEG41" s="21"/>
      <c r="VEH41" s="21"/>
      <c r="VEI41" s="21"/>
      <c r="VEJ41" s="21"/>
      <c r="VEK41" s="21"/>
      <c r="VEL41" s="21"/>
      <c r="VEM41" s="21"/>
      <c r="VEN41" s="21"/>
      <c r="VEO41" s="21"/>
      <c r="VEP41" s="21"/>
      <c r="VEQ41" s="21"/>
      <c r="VER41" s="21"/>
      <c r="VES41" s="21"/>
      <c r="VET41" s="21"/>
      <c r="VEU41" s="21"/>
      <c r="VEV41" s="21"/>
      <c r="VEW41" s="21"/>
      <c r="VEX41" s="21"/>
      <c r="VEY41" s="21"/>
      <c r="VEZ41" s="21"/>
      <c r="VFA41" s="21"/>
      <c r="VFB41" s="21"/>
      <c r="VFC41" s="21"/>
      <c r="VFD41" s="21"/>
      <c r="VFE41" s="21"/>
      <c r="VFF41" s="21"/>
      <c r="VFG41" s="21"/>
      <c r="VFH41" s="21"/>
      <c r="VFI41" s="21"/>
      <c r="VFJ41" s="21"/>
      <c r="VFK41" s="21"/>
      <c r="VFL41" s="21"/>
      <c r="VFM41" s="21"/>
      <c r="VFN41" s="21"/>
      <c r="VFO41" s="21"/>
      <c r="VFP41" s="21"/>
      <c r="VFQ41" s="21"/>
      <c r="VFR41" s="21"/>
      <c r="VFS41" s="21"/>
      <c r="VFT41" s="21"/>
      <c r="VFU41" s="21"/>
      <c r="VFV41" s="21"/>
      <c r="VFW41" s="21"/>
      <c r="VFX41" s="21"/>
      <c r="VFY41" s="21"/>
      <c r="VFZ41" s="21"/>
      <c r="VGA41" s="21"/>
      <c r="VGB41" s="21"/>
      <c r="VGC41" s="21"/>
      <c r="VGD41" s="21"/>
      <c r="VGE41" s="21"/>
      <c r="VGF41" s="21"/>
      <c r="VGG41" s="21"/>
      <c r="VGH41" s="21"/>
      <c r="VGI41" s="21"/>
      <c r="VGJ41" s="21"/>
      <c r="VGK41" s="21"/>
      <c r="VGL41" s="21"/>
      <c r="VGM41" s="21"/>
      <c r="VGN41" s="21"/>
      <c r="VGO41" s="21"/>
      <c r="VGP41" s="21"/>
      <c r="VGQ41" s="21"/>
      <c r="VGR41" s="21"/>
      <c r="VGS41" s="21"/>
      <c r="VGT41" s="21"/>
      <c r="VGU41" s="21"/>
      <c r="VGV41" s="21"/>
      <c r="VGW41" s="21"/>
      <c r="VGX41" s="21"/>
      <c r="VGY41" s="21"/>
      <c r="VGZ41" s="21"/>
      <c r="VHA41" s="21"/>
      <c r="VHB41" s="21"/>
      <c r="VHC41" s="21"/>
      <c r="VHD41" s="21"/>
      <c r="VHE41" s="21"/>
      <c r="VHF41" s="21"/>
      <c r="VHG41" s="21"/>
      <c r="VHH41" s="21"/>
      <c r="VHI41" s="21"/>
      <c r="VHJ41" s="21"/>
      <c r="VHK41" s="21"/>
      <c r="VHL41" s="21"/>
      <c r="VHM41" s="21"/>
      <c r="VHN41" s="21"/>
      <c r="VHO41" s="21"/>
      <c r="VHP41" s="21"/>
      <c r="VHQ41" s="21"/>
      <c r="VHR41" s="21"/>
      <c r="VHS41" s="21"/>
      <c r="VHT41" s="21"/>
      <c r="VHU41" s="21"/>
      <c r="VHV41" s="21"/>
      <c r="VHW41" s="21"/>
      <c r="VHX41" s="21"/>
      <c r="VHY41" s="21"/>
      <c r="VHZ41" s="21"/>
      <c r="VIA41" s="21"/>
      <c r="VIB41" s="21"/>
      <c r="VIC41" s="21"/>
      <c r="VID41" s="21"/>
      <c r="VIE41" s="21"/>
      <c r="VIF41" s="21"/>
      <c r="VIG41" s="21"/>
      <c r="VIH41" s="21"/>
      <c r="VII41" s="21"/>
      <c r="VIJ41" s="21"/>
      <c r="VIK41" s="21"/>
      <c r="VIL41" s="21"/>
      <c r="VIM41" s="21"/>
      <c r="VIN41" s="21"/>
      <c r="VIO41" s="21"/>
      <c r="VIP41" s="21"/>
      <c r="VIQ41" s="21"/>
      <c r="VIR41" s="21"/>
      <c r="VIS41" s="21"/>
      <c r="VIT41" s="21"/>
      <c r="VIU41" s="21"/>
      <c r="VIV41" s="21"/>
      <c r="VIW41" s="21"/>
      <c r="VIX41" s="21"/>
      <c r="VIY41" s="21"/>
      <c r="VIZ41" s="21"/>
      <c r="VJA41" s="21"/>
      <c r="VJB41" s="21"/>
      <c r="VJC41" s="21"/>
      <c r="VJD41" s="21"/>
      <c r="VJE41" s="21"/>
      <c r="VJF41" s="21"/>
      <c r="VJG41" s="21"/>
      <c r="VJH41" s="21"/>
      <c r="VJI41" s="21"/>
      <c r="VJJ41" s="21"/>
      <c r="VJK41" s="21"/>
      <c r="VJL41" s="21"/>
      <c r="VJM41" s="21"/>
      <c r="VJN41" s="21"/>
      <c r="VJO41" s="21"/>
      <c r="VJP41" s="21"/>
      <c r="VJQ41" s="21"/>
      <c r="VJR41" s="21"/>
      <c r="VJS41" s="21"/>
      <c r="VJT41" s="21"/>
      <c r="VJU41" s="21"/>
      <c r="VJV41" s="21"/>
      <c r="VJW41" s="21"/>
      <c r="VJX41" s="21"/>
      <c r="VJY41" s="21"/>
      <c r="VJZ41" s="21"/>
      <c r="VKA41" s="21"/>
      <c r="VKB41" s="21"/>
      <c r="VKC41" s="21"/>
      <c r="VKD41" s="21"/>
      <c r="VKE41" s="21"/>
      <c r="VKF41" s="21"/>
      <c r="VKG41" s="21"/>
      <c r="VKH41" s="21"/>
      <c r="VKI41" s="21"/>
      <c r="VKJ41" s="21"/>
      <c r="VKK41" s="21"/>
      <c r="VKL41" s="21"/>
      <c r="VKM41" s="21"/>
      <c r="VKN41" s="21"/>
      <c r="VKO41" s="21"/>
      <c r="VKP41" s="21"/>
      <c r="VKQ41" s="21"/>
      <c r="VKR41" s="21"/>
      <c r="VKS41" s="21"/>
      <c r="VKT41" s="21"/>
      <c r="VKU41" s="21"/>
      <c r="VKV41" s="21"/>
      <c r="VKW41" s="21"/>
      <c r="VKX41" s="21"/>
      <c r="VKY41" s="21"/>
      <c r="VKZ41" s="21"/>
      <c r="VLA41" s="21"/>
      <c r="VLB41" s="21"/>
      <c r="VLC41" s="21"/>
      <c r="VLD41" s="21"/>
      <c r="VLE41" s="21"/>
      <c r="VLF41" s="21"/>
      <c r="VLG41" s="21"/>
      <c r="VLH41" s="21"/>
      <c r="VLI41" s="21"/>
      <c r="VLJ41" s="21"/>
      <c r="VLK41" s="21"/>
      <c r="VLL41" s="21"/>
      <c r="VLM41" s="21"/>
      <c r="VLN41" s="21"/>
      <c r="VLO41" s="21"/>
      <c r="VLP41" s="21"/>
      <c r="VLQ41" s="21"/>
      <c r="VLR41" s="21"/>
      <c r="VLS41" s="21"/>
      <c r="VLT41" s="21"/>
      <c r="VLU41" s="21"/>
      <c r="VLV41" s="21"/>
      <c r="VLW41" s="21"/>
      <c r="VLX41" s="21"/>
      <c r="VLY41" s="21"/>
      <c r="VLZ41" s="21"/>
      <c r="VMA41" s="21"/>
      <c r="VMB41" s="21"/>
      <c r="VMC41" s="21"/>
      <c r="VMD41" s="21"/>
      <c r="VME41" s="21"/>
      <c r="VMF41" s="21"/>
      <c r="VMG41" s="21"/>
      <c r="VMH41" s="21"/>
      <c r="VMI41" s="21"/>
      <c r="VMJ41" s="21"/>
      <c r="VMK41" s="21"/>
      <c r="VML41" s="21"/>
      <c r="VMM41" s="21"/>
      <c r="VMN41" s="21"/>
      <c r="VMO41" s="21"/>
      <c r="VMP41" s="21"/>
      <c r="VMQ41" s="21"/>
      <c r="VMR41" s="21"/>
      <c r="VMS41" s="21"/>
      <c r="VMT41" s="21"/>
      <c r="VMU41" s="21"/>
      <c r="VMV41" s="21"/>
      <c r="VMW41" s="21"/>
      <c r="VMX41" s="21"/>
      <c r="VMY41" s="21"/>
      <c r="VMZ41" s="21"/>
      <c r="VNA41" s="21"/>
      <c r="VNB41" s="21"/>
      <c r="VNC41" s="21"/>
      <c r="VND41" s="21"/>
      <c r="VNE41" s="21"/>
      <c r="VNF41" s="21"/>
      <c r="VNG41" s="21"/>
      <c r="VNH41" s="21"/>
      <c r="VNI41" s="21"/>
      <c r="VNJ41" s="21"/>
      <c r="VNK41" s="21"/>
      <c r="VNL41" s="21"/>
      <c r="VNM41" s="21"/>
      <c r="VNN41" s="21"/>
      <c r="VNO41" s="21"/>
      <c r="VNP41" s="21"/>
      <c r="VNQ41" s="21"/>
      <c r="VNR41" s="21"/>
      <c r="VNS41" s="21"/>
      <c r="VNT41" s="21"/>
      <c r="VNU41" s="21"/>
      <c r="VNV41" s="21"/>
      <c r="VNW41" s="21"/>
      <c r="VNX41" s="21"/>
      <c r="VNY41" s="21"/>
      <c r="VNZ41" s="21"/>
      <c r="VOA41" s="21"/>
      <c r="VOB41" s="21"/>
      <c r="VOC41" s="21"/>
      <c r="VOD41" s="21"/>
      <c r="VOE41" s="21"/>
      <c r="VOF41" s="21"/>
      <c r="VOG41" s="21"/>
      <c r="VOH41" s="21"/>
      <c r="VOI41" s="21"/>
      <c r="VOJ41" s="21"/>
      <c r="VOK41" s="21"/>
      <c r="VOL41" s="21"/>
      <c r="VOM41" s="21"/>
      <c r="VON41" s="21"/>
      <c r="VOO41" s="21"/>
      <c r="VOP41" s="21"/>
      <c r="VOQ41" s="21"/>
      <c r="VOR41" s="21"/>
      <c r="VOS41" s="21"/>
      <c r="VOT41" s="21"/>
      <c r="VOU41" s="21"/>
      <c r="VOV41" s="21"/>
      <c r="VOW41" s="21"/>
      <c r="VOX41" s="21"/>
      <c r="VOY41" s="21"/>
      <c r="VOZ41" s="21"/>
      <c r="VPA41" s="21"/>
      <c r="VPB41" s="21"/>
      <c r="VPC41" s="21"/>
      <c r="VPD41" s="21"/>
      <c r="VPE41" s="21"/>
      <c r="VPF41" s="21"/>
      <c r="VPG41" s="21"/>
      <c r="VPH41" s="21"/>
      <c r="VPI41" s="21"/>
      <c r="VPJ41" s="21"/>
      <c r="VPK41" s="21"/>
      <c r="VPL41" s="21"/>
      <c r="VPM41" s="21"/>
      <c r="VPN41" s="21"/>
      <c r="VPO41" s="21"/>
      <c r="VPP41" s="21"/>
      <c r="VPQ41" s="21"/>
      <c r="VPR41" s="21"/>
      <c r="VPS41" s="21"/>
      <c r="VPT41" s="21"/>
      <c r="VPU41" s="21"/>
      <c r="VPV41" s="21"/>
      <c r="VPW41" s="21"/>
      <c r="VPX41" s="21"/>
      <c r="VPY41" s="21"/>
      <c r="VPZ41" s="21"/>
      <c r="VQA41" s="21"/>
      <c r="VQB41" s="21"/>
      <c r="VQC41" s="21"/>
      <c r="VQD41" s="21"/>
      <c r="VQE41" s="21"/>
      <c r="VQF41" s="21"/>
      <c r="VQG41" s="21"/>
      <c r="VQH41" s="21"/>
      <c r="VQI41" s="21"/>
      <c r="VQJ41" s="21"/>
      <c r="VQK41" s="21"/>
      <c r="VQL41" s="21"/>
      <c r="VQM41" s="21"/>
      <c r="VQN41" s="21"/>
      <c r="VQO41" s="21"/>
      <c r="VQP41" s="21"/>
      <c r="VQQ41" s="21"/>
      <c r="VQR41" s="21"/>
      <c r="VQS41" s="21"/>
      <c r="VQT41" s="21"/>
      <c r="VQU41" s="21"/>
      <c r="VQV41" s="21"/>
      <c r="VQW41" s="21"/>
      <c r="VQX41" s="21"/>
      <c r="VQY41" s="21"/>
      <c r="VQZ41" s="21"/>
      <c r="VRA41" s="21"/>
      <c r="VRB41" s="21"/>
      <c r="VRC41" s="21"/>
      <c r="VRD41" s="21"/>
      <c r="VRE41" s="21"/>
      <c r="VRF41" s="21"/>
      <c r="VRG41" s="21"/>
      <c r="VRH41" s="21"/>
      <c r="VRI41" s="21"/>
      <c r="VRJ41" s="21"/>
      <c r="VRK41" s="21"/>
      <c r="VRL41" s="21"/>
      <c r="VRM41" s="21"/>
      <c r="VRN41" s="21"/>
      <c r="VRO41" s="21"/>
      <c r="VRP41" s="21"/>
      <c r="VRQ41" s="21"/>
      <c r="VRR41" s="21"/>
      <c r="VRS41" s="21"/>
      <c r="VRT41" s="21"/>
      <c r="VRU41" s="21"/>
      <c r="VRV41" s="21"/>
      <c r="VRW41" s="21"/>
      <c r="VRX41" s="21"/>
      <c r="VRY41" s="21"/>
      <c r="VRZ41" s="21"/>
      <c r="VSA41" s="21"/>
      <c r="VSB41" s="21"/>
      <c r="VSC41" s="21"/>
      <c r="VSD41" s="21"/>
      <c r="VSE41" s="21"/>
      <c r="VSF41" s="21"/>
      <c r="VSG41" s="21"/>
      <c r="VSH41" s="21"/>
      <c r="VSI41" s="21"/>
      <c r="VSJ41" s="21"/>
      <c r="VSK41" s="21"/>
      <c r="VSL41" s="21"/>
      <c r="VSM41" s="21"/>
      <c r="VSN41" s="21"/>
      <c r="VSO41" s="21"/>
      <c r="VSP41" s="21"/>
      <c r="VSQ41" s="21"/>
      <c r="VSR41" s="21"/>
      <c r="VSS41" s="21"/>
      <c r="VST41" s="21"/>
      <c r="VSU41" s="21"/>
      <c r="VSV41" s="21"/>
      <c r="VSW41" s="21"/>
      <c r="VSX41" s="21"/>
      <c r="VSY41" s="21"/>
      <c r="VSZ41" s="21"/>
      <c r="VTA41" s="21"/>
      <c r="VTB41" s="21"/>
      <c r="VTC41" s="21"/>
      <c r="VTD41" s="21"/>
      <c r="VTE41" s="21"/>
      <c r="VTF41" s="21"/>
      <c r="VTG41" s="21"/>
      <c r="VTH41" s="21"/>
      <c r="VTI41" s="21"/>
      <c r="VTJ41" s="21"/>
      <c r="VTK41" s="21"/>
      <c r="VTL41" s="21"/>
      <c r="VTM41" s="21"/>
      <c r="VTN41" s="21"/>
      <c r="VTO41" s="21"/>
      <c r="VTP41" s="21"/>
      <c r="VTQ41" s="21"/>
      <c r="VTR41" s="21"/>
      <c r="VTS41" s="21"/>
      <c r="VTT41" s="21"/>
      <c r="VTU41" s="21"/>
      <c r="VTV41" s="21"/>
      <c r="VTW41" s="21"/>
      <c r="VTX41" s="21"/>
      <c r="VTY41" s="21"/>
      <c r="VTZ41" s="21"/>
      <c r="VUA41" s="21"/>
      <c r="VUB41" s="21"/>
      <c r="VUC41" s="21"/>
      <c r="VUD41" s="21"/>
      <c r="VUE41" s="21"/>
      <c r="VUF41" s="21"/>
      <c r="VUG41" s="21"/>
      <c r="VUH41" s="21"/>
      <c r="VUI41" s="21"/>
      <c r="VUJ41" s="21"/>
      <c r="VUK41" s="21"/>
      <c r="VUL41" s="21"/>
      <c r="VUM41" s="21"/>
      <c r="VUN41" s="21"/>
      <c r="VUO41" s="21"/>
      <c r="VUP41" s="21"/>
      <c r="VUQ41" s="21"/>
      <c r="VUR41" s="21"/>
      <c r="VUS41" s="21"/>
      <c r="VUT41" s="21"/>
      <c r="VUU41" s="21"/>
      <c r="VUV41" s="21"/>
      <c r="VUW41" s="21"/>
      <c r="VUX41" s="21"/>
      <c r="VUY41" s="21"/>
      <c r="VUZ41" s="21"/>
      <c r="VVA41" s="21"/>
      <c r="VVB41" s="21"/>
      <c r="VVC41" s="21"/>
      <c r="VVD41" s="21"/>
      <c r="VVE41" s="21"/>
      <c r="VVF41" s="21"/>
      <c r="VVG41" s="21"/>
      <c r="VVH41" s="21"/>
      <c r="VVI41" s="21"/>
      <c r="VVJ41" s="21"/>
      <c r="VVK41" s="21"/>
      <c r="VVL41" s="21"/>
      <c r="VVM41" s="21"/>
      <c r="VVN41" s="21"/>
      <c r="VVO41" s="21"/>
      <c r="VVP41" s="21"/>
      <c r="VVQ41" s="21"/>
      <c r="VVR41" s="21"/>
      <c r="VVS41" s="21"/>
      <c r="VVT41" s="21"/>
      <c r="VVU41" s="21"/>
      <c r="VVV41" s="21"/>
      <c r="VVW41" s="21"/>
      <c r="VVX41" s="21"/>
      <c r="VVY41" s="21"/>
      <c r="VVZ41" s="21"/>
      <c r="VWA41" s="21"/>
      <c r="VWB41" s="21"/>
      <c r="VWC41" s="21"/>
      <c r="VWD41" s="21"/>
      <c r="VWE41" s="21"/>
      <c r="VWF41" s="21"/>
      <c r="VWG41" s="21"/>
      <c r="VWH41" s="21"/>
      <c r="VWI41" s="21"/>
      <c r="VWJ41" s="21"/>
      <c r="VWK41" s="21"/>
      <c r="VWL41" s="21"/>
      <c r="VWM41" s="21"/>
      <c r="VWN41" s="21"/>
      <c r="VWO41" s="21"/>
      <c r="VWP41" s="21"/>
      <c r="VWQ41" s="21"/>
      <c r="VWR41" s="21"/>
      <c r="VWS41" s="21"/>
      <c r="VWT41" s="21"/>
      <c r="VWU41" s="21"/>
      <c r="VWV41" s="21"/>
      <c r="VWW41" s="21"/>
      <c r="VWX41" s="21"/>
      <c r="VWY41" s="21"/>
      <c r="VWZ41" s="21"/>
      <c r="VXA41" s="21"/>
      <c r="VXB41" s="21"/>
      <c r="VXC41" s="21"/>
      <c r="VXD41" s="21"/>
      <c r="VXE41" s="21"/>
      <c r="VXF41" s="21"/>
      <c r="VXG41" s="21"/>
      <c r="VXH41" s="21"/>
      <c r="VXI41" s="21"/>
      <c r="VXJ41" s="21"/>
      <c r="VXK41" s="21"/>
      <c r="VXL41" s="21"/>
      <c r="VXM41" s="21"/>
      <c r="VXN41" s="21"/>
      <c r="VXO41" s="21"/>
      <c r="VXP41" s="21"/>
      <c r="VXQ41" s="21"/>
      <c r="VXR41" s="21"/>
      <c r="VXS41" s="21"/>
      <c r="VXT41" s="21"/>
      <c r="VXU41" s="21"/>
      <c r="VXV41" s="21"/>
      <c r="VXW41" s="21"/>
      <c r="VXX41" s="21"/>
      <c r="VXY41" s="21"/>
      <c r="VXZ41" s="21"/>
      <c r="VYA41" s="21"/>
      <c r="VYB41" s="21"/>
      <c r="VYC41" s="21"/>
      <c r="VYD41" s="21"/>
      <c r="VYE41" s="21"/>
      <c r="VYF41" s="21"/>
      <c r="VYG41" s="21"/>
      <c r="VYH41" s="21"/>
      <c r="VYI41" s="21"/>
      <c r="VYJ41" s="21"/>
      <c r="VYK41" s="21"/>
      <c r="VYL41" s="21"/>
      <c r="VYM41" s="21"/>
      <c r="VYN41" s="21"/>
      <c r="VYO41" s="21"/>
      <c r="VYP41" s="21"/>
      <c r="VYQ41" s="21"/>
      <c r="VYR41" s="21"/>
      <c r="VYS41" s="21"/>
      <c r="VYT41" s="21"/>
      <c r="VYU41" s="21"/>
      <c r="VYV41" s="21"/>
      <c r="VYW41" s="21"/>
      <c r="VYX41" s="21"/>
      <c r="VYY41" s="21"/>
      <c r="VYZ41" s="21"/>
      <c r="VZA41" s="21"/>
      <c r="VZB41" s="21"/>
      <c r="VZC41" s="21"/>
      <c r="VZD41" s="21"/>
      <c r="VZE41" s="21"/>
      <c r="VZF41" s="21"/>
      <c r="VZG41" s="21"/>
      <c r="VZH41" s="21"/>
      <c r="VZI41" s="21"/>
      <c r="VZJ41" s="21"/>
      <c r="VZK41" s="21"/>
      <c r="VZL41" s="21"/>
      <c r="VZM41" s="21"/>
      <c r="VZN41" s="21"/>
      <c r="VZO41" s="21"/>
      <c r="VZP41" s="21"/>
      <c r="VZQ41" s="21"/>
      <c r="VZR41" s="21"/>
      <c r="VZS41" s="21"/>
      <c r="VZT41" s="21"/>
      <c r="VZU41" s="21"/>
      <c r="VZV41" s="21"/>
      <c r="VZW41" s="21"/>
      <c r="VZX41" s="21"/>
      <c r="VZY41" s="21"/>
      <c r="VZZ41" s="21"/>
      <c r="WAA41" s="21"/>
      <c r="WAB41" s="21"/>
      <c r="WAC41" s="21"/>
      <c r="WAD41" s="21"/>
      <c r="WAE41" s="21"/>
      <c r="WAF41" s="21"/>
      <c r="WAG41" s="21"/>
      <c r="WAH41" s="21"/>
      <c r="WAI41" s="21"/>
      <c r="WAJ41" s="21"/>
      <c r="WAK41" s="21"/>
      <c r="WAL41" s="21"/>
      <c r="WAM41" s="21"/>
      <c r="WAN41" s="21"/>
      <c r="WAO41" s="21"/>
      <c r="WAP41" s="21"/>
      <c r="WAQ41" s="21"/>
      <c r="WAR41" s="21"/>
      <c r="WAS41" s="21"/>
      <c r="WAT41" s="21"/>
      <c r="WAU41" s="21"/>
      <c r="WAV41" s="21"/>
      <c r="WAW41" s="21"/>
      <c r="WAX41" s="21"/>
      <c r="WAY41" s="21"/>
      <c r="WAZ41" s="21"/>
      <c r="WBA41" s="21"/>
      <c r="WBB41" s="21"/>
      <c r="WBC41" s="21"/>
      <c r="WBD41" s="21"/>
      <c r="WBE41" s="21"/>
      <c r="WBF41" s="21"/>
      <c r="WBG41" s="21"/>
      <c r="WBH41" s="21"/>
      <c r="WBI41" s="21"/>
      <c r="WBJ41" s="21"/>
      <c r="WBK41" s="21"/>
      <c r="WBL41" s="21"/>
      <c r="WBM41" s="21"/>
      <c r="WBN41" s="21"/>
      <c r="WBO41" s="21"/>
      <c r="WBP41" s="21"/>
      <c r="WBQ41" s="21"/>
      <c r="WBR41" s="21"/>
      <c r="WBS41" s="21"/>
      <c r="WBT41" s="21"/>
      <c r="WBU41" s="21"/>
      <c r="WBV41" s="21"/>
      <c r="WBW41" s="21"/>
      <c r="WBX41" s="21"/>
      <c r="WBY41" s="21"/>
      <c r="WBZ41" s="21"/>
      <c r="WCA41" s="21"/>
      <c r="WCB41" s="21"/>
      <c r="WCC41" s="21"/>
      <c r="WCD41" s="21"/>
      <c r="WCE41" s="21"/>
      <c r="WCF41" s="21"/>
      <c r="WCG41" s="21"/>
      <c r="WCH41" s="21"/>
      <c r="WCI41" s="21"/>
      <c r="WCJ41" s="21"/>
      <c r="WCK41" s="21"/>
      <c r="WCL41" s="21"/>
      <c r="WCM41" s="21"/>
      <c r="WCN41" s="21"/>
      <c r="WCO41" s="21"/>
      <c r="WCP41" s="21"/>
      <c r="WCQ41" s="21"/>
      <c r="WCR41" s="21"/>
      <c r="WCS41" s="21"/>
      <c r="WCT41" s="21"/>
      <c r="WCU41" s="21"/>
      <c r="WCV41" s="21"/>
      <c r="WCW41" s="21"/>
      <c r="WCX41" s="21"/>
      <c r="WCY41" s="21"/>
      <c r="WCZ41" s="21"/>
      <c r="WDA41" s="21"/>
      <c r="WDB41" s="21"/>
      <c r="WDC41" s="21"/>
      <c r="WDD41" s="21"/>
      <c r="WDE41" s="21"/>
      <c r="WDF41" s="21"/>
      <c r="WDG41" s="21"/>
      <c r="WDH41" s="21"/>
      <c r="WDI41" s="21"/>
      <c r="WDJ41" s="21"/>
      <c r="WDK41" s="21"/>
      <c r="WDL41" s="21"/>
      <c r="WDM41" s="21"/>
      <c r="WDN41" s="21"/>
      <c r="WDO41" s="21"/>
      <c r="WDP41" s="21"/>
      <c r="WDQ41" s="21"/>
      <c r="WDR41" s="21"/>
      <c r="WDS41" s="21"/>
      <c r="WDT41" s="21"/>
      <c r="WDU41" s="21"/>
      <c r="WDV41" s="21"/>
      <c r="WDW41" s="21"/>
      <c r="WDX41" s="21"/>
      <c r="WDY41" s="21"/>
      <c r="WDZ41" s="21"/>
      <c r="WEA41" s="21"/>
      <c r="WEB41" s="21"/>
      <c r="WEC41" s="21"/>
      <c r="WED41" s="21"/>
      <c r="WEE41" s="21"/>
      <c r="WEF41" s="21"/>
      <c r="WEG41" s="21"/>
      <c r="WEH41" s="21"/>
      <c r="WEI41" s="21"/>
      <c r="WEJ41" s="21"/>
      <c r="WEK41" s="21"/>
      <c r="WEL41" s="21"/>
      <c r="WEM41" s="21"/>
      <c r="WEN41" s="21"/>
      <c r="WEO41" s="21"/>
      <c r="WEP41" s="21"/>
      <c r="WEQ41" s="21"/>
      <c r="WER41" s="21"/>
      <c r="WES41" s="21"/>
      <c r="WET41" s="21"/>
      <c r="WEU41" s="21"/>
      <c r="WEV41" s="21"/>
      <c r="WEW41" s="21"/>
      <c r="WEX41" s="21"/>
      <c r="WEY41" s="21"/>
      <c r="WEZ41" s="21"/>
      <c r="WFA41" s="21"/>
      <c r="WFB41" s="21"/>
      <c r="WFC41" s="21"/>
      <c r="WFD41" s="21"/>
      <c r="WFE41" s="21"/>
      <c r="WFF41" s="21"/>
      <c r="WFG41" s="21"/>
      <c r="WFH41" s="21"/>
      <c r="WFI41" s="21"/>
      <c r="WFJ41" s="21"/>
      <c r="WFK41" s="21"/>
      <c r="WFL41" s="21"/>
      <c r="WFM41" s="21"/>
      <c r="WFN41" s="21"/>
      <c r="WFO41" s="21"/>
      <c r="WFP41" s="21"/>
      <c r="WFQ41" s="21"/>
      <c r="WFR41" s="21"/>
      <c r="WFS41" s="21"/>
      <c r="WFT41" s="21"/>
      <c r="WFU41" s="21"/>
      <c r="WFV41" s="21"/>
      <c r="WFW41" s="21"/>
      <c r="WFX41" s="21"/>
      <c r="WFY41" s="21"/>
      <c r="WFZ41" s="21"/>
      <c r="WGA41" s="21"/>
      <c r="WGB41" s="21"/>
      <c r="WGC41" s="21"/>
      <c r="WGD41" s="21"/>
      <c r="WGE41" s="21"/>
      <c r="WGF41" s="21"/>
      <c r="WGG41" s="21"/>
      <c r="WGH41" s="21"/>
      <c r="WGI41" s="21"/>
      <c r="WGJ41" s="21"/>
      <c r="WGK41" s="21"/>
      <c r="WGL41" s="21"/>
      <c r="WGM41" s="21"/>
      <c r="WGN41" s="21"/>
      <c r="WGO41" s="21"/>
      <c r="WGP41" s="21"/>
      <c r="WGQ41" s="21"/>
      <c r="WGR41" s="21"/>
      <c r="WGS41" s="21"/>
      <c r="WGT41" s="21"/>
      <c r="WGU41" s="21"/>
      <c r="WGV41" s="21"/>
      <c r="WGW41" s="21"/>
      <c r="WGX41" s="21"/>
      <c r="WGY41" s="21"/>
      <c r="WGZ41" s="21"/>
      <c r="WHA41" s="21"/>
      <c r="WHB41" s="21"/>
      <c r="WHC41" s="21"/>
      <c r="WHD41" s="21"/>
      <c r="WHE41" s="21"/>
      <c r="WHF41" s="21"/>
      <c r="WHG41" s="21"/>
      <c r="WHH41" s="21"/>
      <c r="WHI41" s="21"/>
      <c r="WHJ41" s="21"/>
      <c r="WHK41" s="21"/>
      <c r="WHL41" s="21"/>
      <c r="WHM41" s="21"/>
      <c r="WHN41" s="21"/>
      <c r="WHO41" s="21"/>
      <c r="WHP41" s="21"/>
      <c r="WHQ41" s="21"/>
      <c r="WHR41" s="21"/>
      <c r="WHS41" s="21"/>
      <c r="WHT41" s="21"/>
      <c r="WHU41" s="21"/>
      <c r="WHV41" s="21"/>
      <c r="WHW41" s="21"/>
      <c r="WHX41" s="21"/>
      <c r="WHY41" s="21"/>
      <c r="WHZ41" s="21"/>
      <c r="WIA41" s="21"/>
      <c r="WIB41" s="21"/>
      <c r="WIC41" s="21"/>
      <c r="WID41" s="21"/>
      <c r="WIE41" s="21"/>
      <c r="WIF41" s="21"/>
      <c r="WIG41" s="21"/>
      <c r="WIH41" s="21"/>
      <c r="WII41" s="21"/>
      <c r="WIJ41" s="21"/>
      <c r="WIK41" s="21"/>
      <c r="WIL41" s="21"/>
      <c r="WIM41" s="21"/>
      <c r="WIN41" s="21"/>
      <c r="WIO41" s="21"/>
      <c r="WIP41" s="21"/>
      <c r="WIQ41" s="21"/>
      <c r="WIR41" s="21"/>
      <c r="WIS41" s="21"/>
      <c r="WIT41" s="21"/>
      <c r="WIU41" s="21"/>
      <c r="WIV41" s="21"/>
      <c r="WIW41" s="21"/>
      <c r="WIX41" s="21"/>
      <c r="WIY41" s="21"/>
      <c r="WIZ41" s="21"/>
      <c r="WJA41" s="21"/>
      <c r="WJB41" s="21"/>
      <c r="WJC41" s="21"/>
      <c r="WJD41" s="21"/>
      <c r="WJE41" s="21"/>
      <c r="WJF41" s="21"/>
      <c r="WJG41" s="21"/>
      <c r="WJH41" s="21"/>
      <c r="WJI41" s="21"/>
      <c r="WJJ41" s="21"/>
      <c r="WJK41" s="21"/>
      <c r="WJL41" s="21"/>
      <c r="WJM41" s="21"/>
      <c r="WJN41" s="21"/>
      <c r="WJO41" s="21"/>
      <c r="WJP41" s="21"/>
      <c r="WJQ41" s="21"/>
      <c r="WJR41" s="21"/>
      <c r="WJS41" s="21"/>
      <c r="WJT41" s="21"/>
      <c r="WJU41" s="21"/>
      <c r="WJV41" s="21"/>
      <c r="WJW41" s="21"/>
      <c r="WJX41" s="21"/>
      <c r="WJY41" s="21"/>
      <c r="WJZ41" s="21"/>
      <c r="WKA41" s="21"/>
      <c r="WKB41" s="21"/>
      <c r="WKC41" s="21"/>
      <c r="WKD41" s="21"/>
      <c r="WKE41" s="21"/>
      <c r="WKF41" s="21"/>
      <c r="WKG41" s="21"/>
      <c r="WKH41" s="21"/>
      <c r="WKI41" s="21"/>
      <c r="WKJ41" s="21"/>
      <c r="WKK41" s="21"/>
      <c r="WKL41" s="21"/>
      <c r="WKM41" s="21"/>
      <c r="WKN41" s="21"/>
      <c r="WKO41" s="21"/>
      <c r="WKP41" s="21"/>
      <c r="WKQ41" s="21"/>
      <c r="WKR41" s="21"/>
      <c r="WKS41" s="21"/>
      <c r="WKT41" s="21"/>
      <c r="WKU41" s="21"/>
      <c r="WKV41" s="21"/>
      <c r="WKW41" s="21"/>
      <c r="WKX41" s="21"/>
      <c r="WKY41" s="21"/>
      <c r="WKZ41" s="21"/>
      <c r="WLA41" s="21"/>
      <c r="WLB41" s="21"/>
      <c r="WLC41" s="21"/>
      <c r="WLD41" s="21"/>
      <c r="WLE41" s="21"/>
      <c r="WLF41" s="21"/>
      <c r="WLG41" s="21"/>
      <c r="WLH41" s="21"/>
      <c r="WLI41" s="21"/>
      <c r="WLJ41" s="21"/>
      <c r="WLK41" s="21"/>
      <c r="WLL41" s="21"/>
      <c r="WLM41" s="21"/>
      <c r="WLN41" s="21"/>
      <c r="WLO41" s="21"/>
      <c r="WLP41" s="21"/>
      <c r="WLQ41" s="21"/>
      <c r="WLR41" s="21"/>
      <c r="WLS41" s="21"/>
      <c r="WLT41" s="21"/>
      <c r="WLU41" s="21"/>
      <c r="WLV41" s="21"/>
      <c r="WLW41" s="21"/>
      <c r="WLX41" s="21"/>
      <c r="WLY41" s="21"/>
      <c r="WLZ41" s="21"/>
      <c r="WMA41" s="21"/>
      <c r="WMB41" s="21"/>
      <c r="WMC41" s="21"/>
      <c r="WMD41" s="21"/>
      <c r="WME41" s="21"/>
      <c r="WMF41" s="21"/>
      <c r="WMG41" s="21"/>
      <c r="WMH41" s="21"/>
      <c r="WMI41" s="21"/>
      <c r="WMJ41" s="21"/>
      <c r="WMK41" s="21"/>
      <c r="WML41" s="21"/>
      <c r="WMM41" s="21"/>
      <c r="WMN41" s="21"/>
      <c r="WMO41" s="21"/>
      <c r="WMP41" s="21"/>
      <c r="WMQ41" s="21"/>
      <c r="WMR41" s="21"/>
      <c r="WMS41" s="21"/>
      <c r="WMT41" s="21"/>
      <c r="WMU41" s="21"/>
      <c r="WMV41" s="21"/>
      <c r="WMW41" s="21"/>
      <c r="WMX41" s="21"/>
      <c r="WMY41" s="21"/>
      <c r="WMZ41" s="21"/>
      <c r="WNA41" s="21"/>
      <c r="WNB41" s="21"/>
      <c r="WNC41" s="21"/>
      <c r="WND41" s="21"/>
      <c r="WNE41" s="21"/>
      <c r="WNF41" s="21"/>
      <c r="WNG41" s="21"/>
      <c r="WNH41" s="21"/>
      <c r="WNI41" s="21"/>
      <c r="WNJ41" s="21"/>
      <c r="WNK41" s="21"/>
      <c r="WNL41" s="21"/>
      <c r="WNM41" s="21"/>
      <c r="WNN41" s="21"/>
      <c r="WNO41" s="21"/>
      <c r="WNP41" s="21"/>
      <c r="WNQ41" s="21"/>
      <c r="WNR41" s="21"/>
      <c r="WNS41" s="21"/>
      <c r="WNT41" s="21"/>
      <c r="WNU41" s="21"/>
      <c r="WNV41" s="21"/>
      <c r="WNW41" s="21"/>
      <c r="WNX41" s="21"/>
      <c r="WNY41" s="21"/>
      <c r="WNZ41" s="21"/>
      <c r="WOA41" s="21"/>
      <c r="WOB41" s="21"/>
      <c r="WOC41" s="21"/>
      <c r="WOD41" s="21"/>
      <c r="WOE41" s="21"/>
      <c r="WOF41" s="21"/>
      <c r="WOG41" s="21"/>
      <c r="WOH41" s="21"/>
      <c r="WOI41" s="21"/>
      <c r="WOJ41" s="21"/>
      <c r="WOK41" s="21"/>
      <c r="WOL41" s="21"/>
      <c r="WOM41" s="21"/>
      <c r="WON41" s="21"/>
      <c r="WOO41" s="21"/>
      <c r="WOP41" s="21"/>
      <c r="WOQ41" s="21"/>
      <c r="WOR41" s="21"/>
      <c r="WOS41" s="21"/>
      <c r="WOT41" s="21"/>
      <c r="WOU41" s="21"/>
      <c r="WOV41" s="21"/>
      <c r="WOW41" s="21"/>
      <c r="WOX41" s="21"/>
      <c r="WOY41" s="21"/>
      <c r="WOZ41" s="21"/>
      <c r="WPA41" s="21"/>
      <c r="WPB41" s="21"/>
      <c r="WPC41" s="21"/>
      <c r="WPD41" s="21"/>
      <c r="WPE41" s="21"/>
      <c r="WPF41" s="21"/>
      <c r="WPG41" s="21"/>
      <c r="WPH41" s="21"/>
      <c r="WPI41" s="21"/>
      <c r="WPJ41" s="21"/>
      <c r="WPK41" s="21"/>
      <c r="WPL41" s="21"/>
      <c r="WPM41" s="21"/>
      <c r="WPN41" s="21"/>
      <c r="WPO41" s="21"/>
      <c r="WPP41" s="21"/>
      <c r="WPQ41" s="21"/>
      <c r="WPR41" s="21"/>
      <c r="WPS41" s="21"/>
      <c r="WPT41" s="21"/>
      <c r="WPU41" s="21"/>
      <c r="WPV41" s="21"/>
      <c r="WPW41" s="21"/>
      <c r="WPX41" s="21"/>
      <c r="WPY41" s="21"/>
      <c r="WPZ41" s="21"/>
      <c r="WQA41" s="21"/>
      <c r="WQB41" s="21"/>
      <c r="WQC41" s="21"/>
      <c r="WQD41" s="21"/>
      <c r="WQE41" s="21"/>
      <c r="WQF41" s="21"/>
      <c r="WQG41" s="21"/>
      <c r="WQH41" s="21"/>
      <c r="WQI41" s="21"/>
      <c r="WQJ41" s="21"/>
      <c r="WQK41" s="21"/>
      <c r="WQL41" s="21"/>
      <c r="WQM41" s="21"/>
      <c r="WQN41" s="21"/>
      <c r="WQO41" s="21"/>
      <c r="WQP41" s="21"/>
      <c r="WQQ41" s="21"/>
      <c r="WQR41" s="21"/>
      <c r="WQS41" s="21"/>
      <c r="WQT41" s="21"/>
      <c r="WQU41" s="21"/>
      <c r="WQV41" s="21"/>
      <c r="WQW41" s="21"/>
      <c r="WQX41" s="21"/>
      <c r="WQY41" s="21"/>
      <c r="WQZ41" s="21"/>
      <c r="WRA41" s="21"/>
      <c r="WRB41" s="21"/>
      <c r="WRC41" s="21"/>
      <c r="WRD41" s="21"/>
      <c r="WRE41" s="21"/>
      <c r="WRF41" s="21"/>
      <c r="WRG41" s="21"/>
      <c r="WRH41" s="21"/>
      <c r="WRI41" s="21"/>
      <c r="WRJ41" s="21"/>
      <c r="WRK41" s="21"/>
      <c r="WRL41" s="21"/>
      <c r="WRM41" s="21"/>
      <c r="WRN41" s="21"/>
      <c r="WRO41" s="21"/>
      <c r="WRP41" s="21"/>
      <c r="WRQ41" s="21"/>
      <c r="WRR41" s="21"/>
      <c r="WRS41" s="21"/>
      <c r="WRT41" s="21"/>
      <c r="WRU41" s="21"/>
      <c r="WRV41" s="21"/>
      <c r="WRW41" s="21"/>
      <c r="WRX41" s="21"/>
      <c r="WRY41" s="21"/>
      <c r="WRZ41" s="21"/>
      <c r="WSA41" s="21"/>
      <c r="WSB41" s="21"/>
      <c r="WSC41" s="21"/>
      <c r="WSD41" s="21"/>
      <c r="WSE41" s="21"/>
      <c r="WSF41" s="21"/>
      <c r="WSG41" s="21"/>
      <c r="WSH41" s="21"/>
      <c r="WSI41" s="21"/>
      <c r="WSJ41" s="21"/>
      <c r="WSK41" s="21"/>
      <c r="WSL41" s="21"/>
      <c r="WSM41" s="21"/>
      <c r="WSN41" s="21"/>
      <c r="WSO41" s="21"/>
      <c r="WSP41" s="21"/>
      <c r="WSQ41" s="21"/>
      <c r="WSR41" s="21"/>
      <c r="WSS41" s="21"/>
      <c r="WST41" s="21"/>
      <c r="WSU41" s="21"/>
      <c r="WSV41" s="21"/>
      <c r="WSW41" s="21"/>
      <c r="WSX41" s="21"/>
      <c r="WSY41" s="21"/>
      <c r="WSZ41" s="21"/>
      <c r="WTA41" s="21"/>
      <c r="WTB41" s="21"/>
      <c r="WTC41" s="21"/>
      <c r="WTD41" s="21"/>
      <c r="WTE41" s="21"/>
      <c r="WTF41" s="21"/>
      <c r="WTG41" s="21"/>
      <c r="WTH41" s="21"/>
      <c r="WTI41" s="21"/>
      <c r="WTJ41" s="21"/>
      <c r="WTK41" s="21"/>
      <c r="WTL41" s="21"/>
      <c r="WTM41" s="21"/>
      <c r="WTN41" s="21"/>
      <c r="WTO41" s="21"/>
      <c r="WTP41" s="21"/>
      <c r="WTQ41" s="21"/>
      <c r="WTR41" s="21"/>
      <c r="WTS41" s="21"/>
      <c r="WTT41" s="21"/>
      <c r="WTU41" s="21"/>
      <c r="WTV41" s="21"/>
      <c r="WTW41" s="21"/>
      <c r="WTX41" s="21"/>
      <c r="WTY41" s="21"/>
      <c r="WTZ41" s="21"/>
      <c r="WUA41" s="21"/>
      <c r="WUB41" s="21"/>
      <c r="WUC41" s="21"/>
      <c r="WUD41" s="21"/>
      <c r="WUE41" s="21"/>
      <c r="WUF41" s="21"/>
      <c r="WUG41" s="21"/>
      <c r="WUH41" s="21"/>
      <c r="WUI41" s="21"/>
      <c r="WUJ41" s="21"/>
      <c r="WUK41" s="21"/>
      <c r="WUL41" s="21"/>
      <c r="WUM41" s="21"/>
      <c r="WUN41" s="21"/>
      <c r="WUO41" s="21"/>
      <c r="WUP41" s="21"/>
      <c r="WUQ41" s="21"/>
      <c r="WUR41" s="21"/>
      <c r="WUS41" s="21"/>
      <c r="WUT41" s="21"/>
      <c r="WUU41" s="21"/>
      <c r="WUV41" s="21"/>
      <c r="WUW41" s="21"/>
      <c r="WUX41" s="21"/>
      <c r="WUY41" s="21"/>
      <c r="WUZ41" s="21"/>
      <c r="WVA41" s="21"/>
      <c r="WVB41" s="21"/>
      <c r="WVC41" s="21"/>
      <c r="WVD41" s="21"/>
      <c r="WVE41" s="21"/>
      <c r="WVF41" s="21"/>
      <c r="WVG41" s="21"/>
      <c r="WVH41" s="21"/>
      <c r="WVI41" s="21"/>
      <c r="WVJ41" s="21"/>
      <c r="WVK41" s="21"/>
      <c r="WVL41" s="21"/>
      <c r="WVM41" s="21"/>
      <c r="WVN41" s="21"/>
      <c r="WVO41" s="21"/>
      <c r="WVP41" s="21"/>
      <c r="WVQ41" s="21"/>
      <c r="WVR41" s="21"/>
      <c r="WVS41" s="21"/>
      <c r="WVT41" s="21"/>
      <c r="WVU41" s="21"/>
      <c r="WVV41" s="21"/>
      <c r="WVW41" s="21"/>
      <c r="WVX41" s="21"/>
      <c r="WVY41" s="21"/>
      <c r="WVZ41" s="21"/>
      <c r="WWA41" s="21"/>
      <c r="WWB41" s="21"/>
      <c r="WWC41" s="21"/>
      <c r="WWD41" s="21"/>
      <c r="WWE41" s="21"/>
      <c r="WWF41" s="21"/>
      <c r="WWG41" s="21"/>
      <c r="WWH41" s="21"/>
      <c r="WWI41" s="21"/>
      <c r="WWJ41" s="21"/>
      <c r="WWK41" s="21"/>
      <c r="WWL41" s="21"/>
      <c r="WWM41" s="21"/>
      <c r="WWN41" s="21"/>
      <c r="WWO41" s="21"/>
      <c r="WWP41" s="21"/>
      <c r="WWQ41" s="21"/>
      <c r="WWR41" s="21"/>
      <c r="WWS41" s="21"/>
      <c r="WWT41" s="21"/>
      <c r="WWU41" s="21"/>
      <c r="WWV41" s="21"/>
      <c r="WWW41" s="21"/>
      <c r="WWX41" s="21"/>
      <c r="WWY41" s="21"/>
      <c r="WWZ41" s="21"/>
      <c r="WXA41" s="21"/>
      <c r="WXB41" s="21"/>
      <c r="WXC41" s="21"/>
      <c r="WXD41" s="21"/>
      <c r="WXE41" s="21"/>
      <c r="WXF41" s="21"/>
      <c r="WXG41" s="21"/>
      <c r="WXH41" s="21"/>
      <c r="WXI41" s="21"/>
      <c r="WXJ41" s="21"/>
      <c r="WXK41" s="21"/>
      <c r="WXL41" s="21"/>
      <c r="WXM41" s="21"/>
      <c r="WXN41" s="21"/>
      <c r="WXO41" s="21"/>
      <c r="WXP41" s="21"/>
      <c r="WXQ41" s="21"/>
      <c r="WXR41" s="21"/>
      <c r="WXS41" s="21"/>
      <c r="WXT41" s="21"/>
      <c r="WXU41" s="21"/>
      <c r="WXV41" s="21"/>
      <c r="WXW41" s="21"/>
      <c r="WXX41" s="21"/>
      <c r="WXY41" s="21"/>
      <c r="WXZ41" s="21"/>
      <c r="WYA41" s="21"/>
      <c r="WYB41" s="21"/>
      <c r="WYC41" s="21"/>
      <c r="WYD41" s="21"/>
      <c r="WYE41" s="21"/>
      <c r="WYF41" s="21"/>
      <c r="WYG41" s="21"/>
      <c r="WYH41" s="21"/>
      <c r="WYI41" s="21"/>
      <c r="WYJ41" s="21"/>
      <c r="WYK41" s="21"/>
      <c r="WYL41" s="21"/>
      <c r="WYM41" s="21"/>
      <c r="WYN41" s="21"/>
      <c r="WYO41" s="21"/>
      <c r="WYP41" s="21"/>
      <c r="WYQ41" s="21"/>
      <c r="WYR41" s="21"/>
      <c r="WYS41" s="21"/>
      <c r="WYT41" s="21"/>
      <c r="WYU41" s="21"/>
      <c r="WYV41" s="21"/>
      <c r="WYW41" s="21"/>
      <c r="WYX41" s="21"/>
      <c r="WYY41" s="21"/>
      <c r="WYZ41" s="21"/>
      <c r="WZA41" s="21"/>
      <c r="WZB41" s="21"/>
      <c r="WZC41" s="21"/>
      <c r="WZD41" s="21"/>
      <c r="WZE41" s="21"/>
      <c r="WZF41" s="21"/>
      <c r="WZG41" s="21"/>
      <c r="WZH41" s="21"/>
      <c r="WZI41" s="21"/>
      <c r="WZJ41" s="21"/>
      <c r="WZK41" s="21"/>
      <c r="WZL41" s="21"/>
      <c r="WZM41" s="21"/>
      <c r="WZN41" s="21"/>
      <c r="WZO41" s="21"/>
      <c r="WZP41" s="21"/>
      <c r="WZQ41" s="21"/>
      <c r="WZR41" s="21"/>
      <c r="WZS41" s="21"/>
      <c r="WZT41" s="21"/>
      <c r="WZU41" s="21"/>
      <c r="WZV41" s="21"/>
      <c r="WZW41" s="21"/>
      <c r="WZX41" s="21"/>
      <c r="WZY41" s="21"/>
      <c r="WZZ41" s="21"/>
      <c r="XAA41" s="21"/>
      <c r="XAB41" s="21"/>
      <c r="XAC41" s="21"/>
      <c r="XAD41" s="21"/>
      <c r="XAE41" s="21"/>
      <c r="XAF41" s="21"/>
      <c r="XAG41" s="21"/>
      <c r="XAH41" s="21"/>
      <c r="XAI41" s="21"/>
      <c r="XAJ41" s="21"/>
      <c r="XAK41" s="21"/>
      <c r="XAL41" s="21"/>
      <c r="XAM41" s="21"/>
      <c r="XAN41" s="21"/>
      <c r="XAO41" s="21"/>
      <c r="XAP41" s="21"/>
      <c r="XAQ41" s="21"/>
      <c r="XAR41" s="21"/>
      <c r="XAS41" s="21"/>
      <c r="XAT41" s="21"/>
      <c r="XAU41" s="21"/>
      <c r="XAV41" s="21"/>
      <c r="XAW41" s="21"/>
      <c r="XAX41" s="21"/>
      <c r="XAY41" s="21"/>
      <c r="XAZ41" s="21"/>
      <c r="XBA41" s="21"/>
      <c r="XBB41" s="21"/>
      <c r="XBC41" s="21"/>
      <c r="XBD41" s="21"/>
      <c r="XBE41" s="21"/>
      <c r="XBF41" s="21"/>
      <c r="XBG41" s="21"/>
      <c r="XBH41" s="21"/>
      <c r="XBI41" s="21"/>
      <c r="XBJ41" s="21"/>
      <c r="XBK41" s="21"/>
      <c r="XBL41" s="21"/>
      <c r="XBM41" s="21"/>
      <c r="XBN41" s="21"/>
      <c r="XBO41" s="21"/>
      <c r="XBP41" s="21"/>
      <c r="XBQ41" s="21"/>
      <c r="XBR41" s="21"/>
      <c r="XBS41" s="21"/>
      <c r="XBT41" s="21"/>
      <c r="XBU41" s="21"/>
      <c r="XBV41" s="21"/>
      <c r="XBW41" s="21"/>
      <c r="XBX41" s="21"/>
      <c r="XBY41" s="21"/>
      <c r="XBZ41" s="21"/>
      <c r="XCA41" s="21"/>
      <c r="XCB41" s="21"/>
      <c r="XCC41" s="21"/>
      <c r="XCD41" s="21"/>
      <c r="XCE41" s="21"/>
      <c r="XCF41" s="21"/>
      <c r="XCG41" s="21"/>
      <c r="XCH41" s="21"/>
      <c r="XCI41" s="21"/>
      <c r="XCJ41" s="21"/>
      <c r="XCK41" s="21"/>
      <c r="XCL41" s="21"/>
      <c r="XCM41" s="21"/>
      <c r="XCN41" s="21"/>
      <c r="XCO41" s="21"/>
      <c r="XCP41" s="21"/>
      <c r="XCQ41" s="21"/>
      <c r="XCR41" s="21"/>
      <c r="XCS41" s="21"/>
      <c r="XCT41" s="21"/>
      <c r="XCU41" s="21"/>
      <c r="XCV41" s="21"/>
      <c r="XCW41" s="21"/>
      <c r="XCX41" s="21"/>
      <c r="XCY41" s="21"/>
      <c r="XCZ41" s="21"/>
      <c r="XDA41" s="21"/>
      <c r="XDB41" s="21"/>
      <c r="XDC41" s="21"/>
      <c r="XDD41" s="21"/>
      <c r="XDE41" s="21"/>
      <c r="XDF41" s="21"/>
      <c r="XDG41" s="21"/>
      <c r="XDH41" s="21"/>
      <c r="XDI41" s="21"/>
      <c r="XDJ41" s="21"/>
      <c r="XDK41" s="21"/>
      <c r="XDL41" s="21"/>
      <c r="XDM41" s="21"/>
      <c r="XDN41" s="21"/>
      <c r="XDO41" s="21"/>
      <c r="XDP41" s="21"/>
      <c r="XDQ41" s="21"/>
      <c r="XDR41" s="21"/>
      <c r="XDS41" s="21"/>
      <c r="XDT41" s="21"/>
      <c r="XDU41" s="21"/>
      <c r="XDV41" s="21"/>
      <c r="XDW41" s="21"/>
      <c r="XDX41" s="21"/>
      <c r="XDY41" s="21"/>
      <c r="XDZ41" s="21"/>
      <c r="XEA41" s="21"/>
      <c r="XEB41" s="21"/>
      <c r="XEC41" s="21"/>
      <c r="XED41" s="21"/>
      <c r="XEE41" s="21"/>
      <c r="XEF41" s="21"/>
      <c r="XEG41" s="21"/>
      <c r="XEH41" s="21"/>
      <c r="XEI41" s="21"/>
      <c r="XEJ41" s="21"/>
      <c r="XEK41" s="21"/>
      <c r="XEL41" s="21"/>
      <c r="XEM41" s="21"/>
      <c r="XEN41" s="21"/>
      <c r="XEO41" s="21"/>
      <c r="XEP41" s="21"/>
      <c r="XEQ41" s="21"/>
      <c r="XER41" s="21"/>
      <c r="XES41" s="21"/>
      <c r="XET41" s="21"/>
      <c r="XEU41" s="21"/>
      <c r="XEV41" s="21"/>
      <c r="XEW41" s="21"/>
      <c r="XEX41" s="21"/>
      <c r="XEY41" s="21"/>
      <c r="XEZ41" s="21"/>
      <c r="XFA41" s="21"/>
      <c r="XFB41" s="21"/>
    </row>
    <row r="42" spans="1:16382" s="47" customFormat="1" ht="36" customHeight="1" thickTop="1" thickBot="1">
      <c r="A42" s="8" t="s">
        <v>89</v>
      </c>
      <c r="B42" s="8" t="s">
        <v>90</v>
      </c>
      <c r="C42" s="8" t="s">
        <v>91</v>
      </c>
      <c r="D42" s="8" t="s">
        <v>92</v>
      </c>
      <c r="E42" s="199" t="s">
        <v>104</v>
      </c>
      <c r="F42" s="199" t="s">
        <v>93</v>
      </c>
      <c r="G42" s="17"/>
    </row>
    <row r="43" spans="1:16382" ht="78" customHeight="1" thickTop="1" thickBot="1">
      <c r="A43" s="27" t="s">
        <v>1098</v>
      </c>
      <c r="B43" s="121" t="str">
        <f>Questions!$C$282</f>
        <v xml:space="preserve">
No answer required
Participating employer insolvency
</v>
      </c>
      <c r="C43" s="187"/>
      <c r="D43" s="372" t="str">
        <f ca="1">'Reconciliation report'!$D729</f>
        <v/>
      </c>
      <c r="E43" s="122" t="str">
        <f>Guidance!$B$228</f>
        <v xml:space="preserve">
If insolvency of a participating employer is a circumstance in which the trustees may seek to enforce the security provided under the terms of the agreement.
</v>
      </c>
      <c r="F43" s="227"/>
    </row>
    <row r="44" spans="1:16382" ht="78" customHeight="1" thickBot="1">
      <c r="A44" s="27" t="s">
        <v>1100</v>
      </c>
      <c r="B44" s="121" t="str">
        <f>Questions!$C$283</f>
        <v xml:space="preserve">
No answer required
Insolvency of associated company
</v>
      </c>
      <c r="C44" s="343"/>
      <c r="D44" s="372" t="str">
        <f ca="1">'Reconciliation report'!$D730</f>
        <v/>
      </c>
      <c r="E44" s="122" t="str">
        <f>Guidance!$B$229</f>
        <v xml:space="preserve">
If insolvency of an associated company is a circumstance in which the trustees may seek to enforce the security provided under the terms of the agreement.
</v>
      </c>
      <c r="F44" s="227"/>
    </row>
    <row r="45" spans="1:16382" ht="78" customHeight="1" thickBot="1">
      <c r="A45" s="27" t="s">
        <v>1102</v>
      </c>
      <c r="B45" s="121" t="str">
        <f>Questions!$C$284</f>
        <v xml:space="preserve">
No answer required
Non payment of contributions
</v>
      </c>
      <c r="C45" s="343"/>
      <c r="D45" s="372" t="str">
        <f ca="1">'Reconciliation report'!$D731</f>
        <v/>
      </c>
      <c r="E45" s="122" t="str">
        <f>Guidance!$B$230</f>
        <v xml:space="preserve">
If non-payment of contributions is a circumstance in which the trustees may seek to enforce the security provided under the terms of the agreement.
</v>
      </c>
      <c r="F45" s="227"/>
    </row>
    <row r="46" spans="1:16382" ht="78" customHeight="1" thickBot="1">
      <c r="A46" s="27" t="s">
        <v>1104</v>
      </c>
      <c r="B46" s="121" t="str">
        <f>Questions!$C$285</f>
        <v xml:space="preserve">
No answer required
Crystallisation of investment risk
</v>
      </c>
      <c r="C46" s="343"/>
      <c r="D46" s="372" t="str">
        <f ca="1">'Reconciliation report'!$D732</f>
        <v/>
      </c>
      <c r="E46" s="122" t="str">
        <f>Guidance!$B$231</f>
        <v xml:space="preserve">
If crystallisation of investment risk is a circumstance in which the trustees may seek to enforce the security provided under the terms of the agreement.
</v>
      </c>
      <c r="F46" s="227"/>
    </row>
    <row r="47" spans="1:16382" ht="78" customHeight="1" thickBot="1">
      <c r="A47" s="27" t="s">
        <v>1106</v>
      </c>
      <c r="B47" s="121" t="str">
        <f>Questions!$C$286</f>
        <v xml:space="preserve">
No answer required
Other
</v>
      </c>
      <c r="C47" s="343"/>
      <c r="D47" s="372" t="str">
        <f ca="1">'Reconciliation report'!$D733</f>
        <v/>
      </c>
      <c r="E47" s="122" t="str">
        <f>Guidance!$B$232</f>
        <v xml:space="preserve">
If there are other circumstances in which the trustees may seek to enforce the security provided under the terms of the agreement.
</v>
      </c>
      <c r="F47" s="227"/>
    </row>
    <row r="48" spans="1:16382" ht="93" customHeight="1">
      <c r="A48" s="27" t="s">
        <v>1108</v>
      </c>
      <c r="B48" s="118" t="str">
        <f>Questions!$C$287</f>
        <v xml:space="preserve">
No answer required
Describe the other triggers for access to value
</v>
      </c>
      <c r="C48" s="519"/>
      <c r="D48" s="361" t="str">
        <f ca="1">'Reconciliation report'!$D734</f>
        <v/>
      </c>
      <c r="E48" s="122" t="str">
        <f>Guidance!$B$233</f>
        <v xml:space="preserve">
Specific description of the 'other' circumstances in which the trustees may seek to enforce the security provided under the terms of the agreement.
</v>
      </c>
      <c r="F48" s="128"/>
    </row>
    <row r="49" spans="1:16382" ht="150" customHeight="1" thickBot="1">
      <c r="A49" s="246" t="s">
        <v>1110</v>
      </c>
      <c r="B49" s="172" t="str">
        <f>Questions!$C$288</f>
        <v xml:space="preserve">
No answer required
Triggers for termination
</v>
      </c>
      <c r="C49" s="520"/>
      <c r="D49" s="362" t="str">
        <f ca="1">'Reconciliation report'!$D735</f>
        <v/>
      </c>
      <c r="E49" s="132" t="str">
        <f>Guidance!$B$234</f>
        <v xml:space="preserve">
The circumstances specified in the security agreement under which the agreement will be terminated or will cease to have effect.
</v>
      </c>
      <c r="F49" s="224"/>
    </row>
    <row r="50" spans="1:16382" s="143" customFormat="1" ht="20.149999999999999" customHeight="1" thickBot="1">
      <c r="A50" s="69"/>
      <c r="B50" s="69"/>
      <c r="C50" s="69" t="s">
        <v>23</v>
      </c>
      <c r="D50" s="68"/>
      <c r="E50" s="68"/>
      <c r="F50" s="68"/>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2"/>
      <c r="CQ50" s="32"/>
      <c r="CR50" s="32"/>
      <c r="CS50" s="32"/>
      <c r="CT50" s="32"/>
      <c r="CU50" s="32"/>
      <c r="CV50" s="32"/>
      <c r="CW50" s="32"/>
      <c r="CX50" s="32"/>
      <c r="CY50" s="32"/>
      <c r="CZ50" s="32"/>
      <c r="DA50" s="32"/>
      <c r="DB50" s="32"/>
      <c r="DC50" s="32"/>
      <c r="DD50" s="32"/>
      <c r="DE50" s="32"/>
      <c r="DF50" s="32"/>
      <c r="DG50" s="32"/>
      <c r="DH50" s="32"/>
      <c r="DI50" s="32"/>
      <c r="DJ50" s="32"/>
      <c r="DK50" s="32"/>
      <c r="DL50" s="32"/>
      <c r="DM50" s="32"/>
      <c r="DN50" s="32"/>
      <c r="DO50" s="32"/>
      <c r="DP50" s="32"/>
      <c r="DQ50" s="32"/>
      <c r="DR50" s="32"/>
      <c r="DS50" s="32"/>
      <c r="DT50" s="32"/>
      <c r="DU50" s="32"/>
      <c r="DV50" s="32"/>
      <c r="DW50" s="32"/>
      <c r="DX50" s="32"/>
      <c r="DY50" s="32"/>
      <c r="DZ50" s="32"/>
      <c r="EA50" s="32"/>
      <c r="EB50" s="32"/>
      <c r="EC50" s="32"/>
      <c r="ED50" s="32"/>
      <c r="EE50" s="32"/>
      <c r="EF50" s="32"/>
      <c r="EG50" s="32"/>
      <c r="EH50" s="32"/>
      <c r="EI50" s="32"/>
      <c r="EJ50" s="32"/>
      <c r="EK50" s="32"/>
      <c r="EL50" s="32"/>
      <c r="EM50" s="32"/>
      <c r="EN50" s="32"/>
      <c r="EO50" s="32"/>
      <c r="EP50" s="32"/>
      <c r="EQ50" s="32"/>
      <c r="ER50" s="32"/>
      <c r="ES50" s="32"/>
      <c r="ET50" s="32"/>
      <c r="EU50" s="32"/>
      <c r="EV50" s="32"/>
      <c r="EW50" s="32"/>
      <c r="EX50" s="32"/>
      <c r="EY50" s="32"/>
      <c r="EZ50" s="32"/>
      <c r="FA50" s="32"/>
      <c r="FB50" s="32"/>
      <c r="FC50" s="32"/>
      <c r="FD50" s="32"/>
      <c r="FE50" s="32"/>
      <c r="FF50" s="32"/>
      <c r="FG50" s="32"/>
      <c r="FH50" s="32"/>
      <c r="FI50" s="32"/>
      <c r="FJ50" s="32"/>
      <c r="FK50" s="32"/>
      <c r="FL50" s="32"/>
      <c r="FM50" s="32"/>
      <c r="FN50" s="32"/>
      <c r="FO50" s="32"/>
      <c r="FP50" s="32"/>
      <c r="FQ50" s="32"/>
      <c r="FR50" s="32"/>
      <c r="FS50" s="32"/>
      <c r="FT50" s="32"/>
      <c r="FU50" s="32"/>
      <c r="FV50" s="32"/>
      <c r="FW50" s="32"/>
      <c r="FX50" s="32"/>
      <c r="FY50" s="32"/>
      <c r="FZ50" s="32"/>
      <c r="GA50" s="32"/>
      <c r="GB50" s="32"/>
      <c r="GC50" s="32"/>
      <c r="GD50" s="32"/>
      <c r="GE50" s="32"/>
      <c r="GF50" s="32"/>
      <c r="GG50" s="32"/>
      <c r="GH50" s="32"/>
      <c r="GI50" s="32"/>
      <c r="GJ50" s="32"/>
      <c r="GK50" s="32"/>
      <c r="GL50" s="32"/>
      <c r="GM50" s="32"/>
      <c r="GN50" s="32"/>
      <c r="GO50" s="32"/>
      <c r="GP50" s="32"/>
      <c r="GQ50" s="32"/>
      <c r="GR50" s="32"/>
      <c r="GS50" s="32"/>
      <c r="GT50" s="32"/>
      <c r="GU50" s="32"/>
      <c r="GV50" s="32"/>
      <c r="GW50" s="32"/>
      <c r="GX50" s="32"/>
      <c r="GY50" s="32"/>
      <c r="GZ50" s="32"/>
      <c r="HA50" s="32"/>
      <c r="HB50" s="32"/>
      <c r="HC50" s="32"/>
      <c r="HD50" s="32"/>
      <c r="HE50" s="32"/>
      <c r="HF50" s="32"/>
      <c r="HG50" s="32"/>
      <c r="HH50" s="32"/>
      <c r="HI50" s="32"/>
      <c r="HJ50" s="32"/>
      <c r="HK50" s="32"/>
      <c r="HL50" s="32"/>
      <c r="HM50" s="32"/>
      <c r="HN50" s="32"/>
      <c r="HO50" s="32"/>
      <c r="HP50" s="32"/>
      <c r="HQ50" s="32"/>
      <c r="HR50" s="32"/>
      <c r="HS50" s="32"/>
      <c r="HT50" s="32"/>
      <c r="HU50" s="32"/>
      <c r="HV50" s="32"/>
      <c r="HW50" s="32"/>
      <c r="HX50" s="32"/>
      <c r="HY50" s="32"/>
      <c r="HZ50" s="32"/>
      <c r="IA50" s="32"/>
      <c r="IB50" s="32"/>
      <c r="IC50" s="32"/>
      <c r="ID50" s="32"/>
      <c r="IE50" s="32"/>
      <c r="IF50" s="32"/>
      <c r="IG50" s="32"/>
      <c r="IH50" s="32"/>
      <c r="II50" s="32"/>
      <c r="IJ50" s="32"/>
      <c r="IK50" s="32"/>
      <c r="IL50" s="32"/>
      <c r="IM50" s="32"/>
      <c r="IN50" s="32"/>
      <c r="IO50" s="32"/>
      <c r="IP50" s="32"/>
      <c r="IQ50" s="32"/>
      <c r="IR50" s="32"/>
      <c r="IS50" s="32"/>
      <c r="IT50" s="32"/>
      <c r="IU50" s="32"/>
      <c r="IV50" s="32"/>
      <c r="IW50" s="32"/>
      <c r="IX50" s="32"/>
      <c r="IY50" s="32"/>
      <c r="IZ50" s="32"/>
      <c r="JA50" s="32"/>
      <c r="JB50" s="32"/>
      <c r="JC50" s="32"/>
      <c r="JD50" s="32"/>
      <c r="JE50" s="32"/>
      <c r="JF50" s="32"/>
      <c r="JG50" s="32"/>
      <c r="JH50" s="32"/>
      <c r="JI50" s="32"/>
      <c r="JJ50" s="32"/>
      <c r="JK50" s="32"/>
      <c r="JL50" s="32"/>
      <c r="JM50" s="32"/>
      <c r="JN50" s="32"/>
      <c r="JO50" s="32"/>
      <c r="JP50" s="32"/>
      <c r="JQ50" s="32"/>
      <c r="JR50" s="32"/>
      <c r="JS50" s="32"/>
      <c r="JT50" s="32"/>
      <c r="JU50" s="32"/>
      <c r="JV50" s="32"/>
      <c r="JW50" s="32"/>
      <c r="JX50" s="32"/>
      <c r="JY50" s="32"/>
      <c r="JZ50" s="32"/>
      <c r="KA50" s="32"/>
      <c r="KB50" s="32"/>
      <c r="KC50" s="32"/>
      <c r="KD50" s="32"/>
      <c r="KE50" s="32"/>
      <c r="KF50" s="32"/>
      <c r="KG50" s="32"/>
      <c r="KH50" s="32"/>
      <c r="KI50" s="32"/>
      <c r="KJ50" s="32"/>
      <c r="KK50" s="32"/>
      <c r="KL50" s="32"/>
      <c r="KM50" s="32"/>
      <c r="KN50" s="32"/>
      <c r="KO50" s="32"/>
      <c r="KP50" s="32"/>
      <c r="KQ50" s="32"/>
      <c r="KR50" s="32"/>
      <c r="KS50" s="32"/>
      <c r="KT50" s="32"/>
      <c r="KU50" s="32"/>
      <c r="KV50" s="32"/>
      <c r="KW50" s="32"/>
      <c r="KX50" s="32"/>
      <c r="KY50" s="32"/>
      <c r="KZ50" s="32"/>
      <c r="LA50" s="32"/>
      <c r="LB50" s="32"/>
      <c r="LC50" s="32"/>
      <c r="LD50" s="32"/>
      <c r="LE50" s="32"/>
      <c r="LF50" s="32"/>
      <c r="LG50" s="32"/>
      <c r="LH50" s="32"/>
      <c r="LI50" s="32"/>
      <c r="LJ50" s="32"/>
      <c r="LK50" s="32"/>
      <c r="LL50" s="32"/>
      <c r="LM50" s="32"/>
      <c r="LN50" s="32"/>
      <c r="LO50" s="32"/>
      <c r="LP50" s="32"/>
      <c r="LQ50" s="32"/>
      <c r="LR50" s="32"/>
      <c r="LS50" s="32"/>
      <c r="LT50" s="32"/>
      <c r="LU50" s="32"/>
      <c r="LV50" s="32"/>
      <c r="LW50" s="32"/>
      <c r="LX50" s="32"/>
      <c r="LY50" s="32"/>
      <c r="LZ50" s="32"/>
      <c r="MA50" s="32"/>
      <c r="MB50" s="32"/>
      <c r="MC50" s="32"/>
      <c r="MD50" s="32"/>
      <c r="ME50" s="32"/>
      <c r="MF50" s="32"/>
      <c r="MG50" s="32"/>
      <c r="MH50" s="32"/>
      <c r="MI50" s="32"/>
      <c r="MJ50" s="32"/>
      <c r="MK50" s="32"/>
      <c r="ML50" s="32"/>
      <c r="MM50" s="32"/>
      <c r="MN50" s="32"/>
      <c r="MO50" s="32"/>
      <c r="MP50" s="32"/>
      <c r="MQ50" s="32"/>
      <c r="MR50" s="32"/>
      <c r="MS50" s="32"/>
      <c r="MT50" s="32"/>
      <c r="MU50" s="32"/>
      <c r="MV50" s="32"/>
      <c r="MW50" s="32"/>
      <c r="MX50" s="32"/>
      <c r="MY50" s="32"/>
      <c r="MZ50" s="32"/>
      <c r="NA50" s="32"/>
      <c r="NB50" s="32"/>
      <c r="NC50" s="32"/>
      <c r="ND50" s="32"/>
      <c r="NE50" s="32"/>
      <c r="NF50" s="32"/>
      <c r="NG50" s="32"/>
      <c r="NH50" s="32"/>
      <c r="NI50" s="32"/>
      <c r="NJ50" s="32"/>
      <c r="NK50" s="32"/>
      <c r="NL50" s="32"/>
      <c r="NM50" s="32"/>
      <c r="NN50" s="32"/>
      <c r="NO50" s="32"/>
      <c r="NP50" s="32"/>
      <c r="NQ50" s="32"/>
      <c r="NR50" s="32"/>
      <c r="NS50" s="32"/>
      <c r="NT50" s="32"/>
      <c r="NU50" s="32"/>
      <c r="NV50" s="32"/>
      <c r="NW50" s="32"/>
      <c r="NX50" s="32"/>
      <c r="NY50" s="32"/>
      <c r="NZ50" s="32"/>
      <c r="OA50" s="32"/>
      <c r="OB50" s="32"/>
      <c r="OC50" s="32"/>
      <c r="OD50" s="32"/>
      <c r="OE50" s="32"/>
      <c r="OF50" s="32"/>
      <c r="OG50" s="32"/>
      <c r="OH50" s="32"/>
      <c r="OI50" s="32"/>
      <c r="OJ50" s="32"/>
      <c r="OK50" s="32"/>
      <c r="OL50" s="32"/>
      <c r="OM50" s="32"/>
      <c r="ON50" s="32"/>
      <c r="OO50" s="32"/>
      <c r="OP50" s="32"/>
      <c r="OQ50" s="32"/>
      <c r="OR50" s="32"/>
      <c r="OS50" s="32"/>
      <c r="OT50" s="32"/>
      <c r="OU50" s="32"/>
      <c r="OV50" s="32"/>
      <c r="OW50" s="32"/>
      <c r="OX50" s="32"/>
      <c r="OY50" s="32"/>
      <c r="OZ50" s="32"/>
      <c r="PA50" s="32"/>
      <c r="PB50" s="32"/>
      <c r="PC50" s="32"/>
      <c r="PD50" s="32"/>
      <c r="PE50" s="32"/>
      <c r="PF50" s="32"/>
      <c r="PG50" s="32"/>
      <c r="PH50" s="32"/>
      <c r="PI50" s="32"/>
      <c r="PJ50" s="32"/>
      <c r="PK50" s="32"/>
      <c r="PL50" s="32"/>
      <c r="PM50" s="32"/>
      <c r="PN50" s="32"/>
      <c r="PO50" s="32"/>
      <c r="PP50" s="32"/>
      <c r="PQ50" s="32"/>
      <c r="PR50" s="32"/>
      <c r="PS50" s="32"/>
      <c r="PT50" s="32"/>
      <c r="PU50" s="32"/>
      <c r="PV50" s="32"/>
      <c r="PW50" s="32"/>
      <c r="PX50" s="32"/>
      <c r="PY50" s="32"/>
      <c r="PZ50" s="32"/>
      <c r="QA50" s="32"/>
      <c r="QB50" s="32"/>
      <c r="QC50" s="32"/>
      <c r="QD50" s="32"/>
      <c r="QE50" s="32"/>
      <c r="QF50" s="32"/>
      <c r="QG50" s="32"/>
      <c r="QH50" s="32"/>
      <c r="QI50" s="32"/>
      <c r="QJ50" s="32"/>
      <c r="QK50" s="32"/>
      <c r="QL50" s="32"/>
      <c r="QM50" s="32"/>
      <c r="QN50" s="32"/>
      <c r="QO50" s="32"/>
      <c r="QP50" s="32"/>
      <c r="QQ50" s="32"/>
      <c r="QR50" s="32"/>
      <c r="QS50" s="32"/>
      <c r="QT50" s="32"/>
      <c r="QU50" s="32"/>
      <c r="QV50" s="32"/>
      <c r="QW50" s="32"/>
      <c r="QX50" s="32"/>
      <c r="QY50" s="32"/>
      <c r="QZ50" s="32"/>
      <c r="RA50" s="32"/>
      <c r="RB50" s="32"/>
      <c r="RC50" s="32"/>
      <c r="RD50" s="32"/>
      <c r="RE50" s="32"/>
      <c r="RF50" s="32"/>
      <c r="RG50" s="32"/>
      <c r="RH50" s="32"/>
      <c r="RI50" s="32"/>
      <c r="RJ50" s="32"/>
      <c r="RK50" s="32"/>
      <c r="RL50" s="32"/>
      <c r="RM50" s="32"/>
      <c r="RN50" s="32"/>
      <c r="RO50" s="32"/>
      <c r="RP50" s="32"/>
      <c r="RQ50" s="32"/>
      <c r="RR50" s="32"/>
      <c r="RS50" s="32"/>
      <c r="RT50" s="32"/>
      <c r="RU50" s="32"/>
      <c r="RV50" s="32"/>
      <c r="RW50" s="32"/>
      <c r="RX50" s="32"/>
      <c r="RY50" s="32"/>
      <c r="RZ50" s="32"/>
      <c r="SA50" s="32"/>
      <c r="SB50" s="32"/>
      <c r="SC50" s="32"/>
      <c r="SD50" s="32"/>
      <c r="SE50" s="32"/>
      <c r="SF50" s="32"/>
      <c r="SG50" s="32"/>
      <c r="SH50" s="32"/>
      <c r="SI50" s="32"/>
      <c r="SJ50" s="32"/>
      <c r="SK50" s="32"/>
      <c r="SL50" s="32"/>
      <c r="SM50" s="32"/>
      <c r="SN50" s="32"/>
      <c r="SO50" s="32"/>
      <c r="SP50" s="32"/>
      <c r="SQ50" s="32"/>
      <c r="SR50" s="32"/>
      <c r="SS50" s="32"/>
      <c r="ST50" s="32"/>
      <c r="SU50" s="32"/>
      <c r="SV50" s="32"/>
      <c r="SW50" s="32"/>
      <c r="SX50" s="32"/>
      <c r="SY50" s="32"/>
      <c r="SZ50" s="32"/>
      <c r="TA50" s="32"/>
      <c r="TB50" s="32"/>
      <c r="TC50" s="32"/>
      <c r="TD50" s="32"/>
      <c r="TE50" s="32"/>
      <c r="TF50" s="32"/>
      <c r="TG50" s="32"/>
      <c r="TH50" s="32"/>
      <c r="TI50" s="32"/>
      <c r="TJ50" s="32"/>
      <c r="TK50" s="32"/>
      <c r="TL50" s="32"/>
      <c r="TM50" s="32"/>
      <c r="TN50" s="32"/>
      <c r="TO50" s="32"/>
      <c r="TP50" s="32"/>
      <c r="TQ50" s="32"/>
      <c r="TR50" s="32"/>
      <c r="TS50" s="32"/>
      <c r="TT50" s="32"/>
      <c r="TU50" s="32"/>
      <c r="TV50" s="32"/>
      <c r="TW50" s="32"/>
      <c r="TX50" s="32"/>
      <c r="TY50" s="32"/>
      <c r="TZ50" s="32"/>
      <c r="UA50" s="32"/>
      <c r="UB50" s="32"/>
      <c r="UC50" s="32"/>
      <c r="UD50" s="32"/>
      <c r="UE50" s="32"/>
      <c r="UF50" s="32"/>
      <c r="UG50" s="32"/>
      <c r="UH50" s="32"/>
      <c r="UI50" s="32"/>
      <c r="UJ50" s="32"/>
      <c r="UK50" s="32"/>
      <c r="UL50" s="32"/>
      <c r="UM50" s="32"/>
      <c r="UN50" s="32"/>
      <c r="UO50" s="32"/>
      <c r="UP50" s="32"/>
      <c r="UQ50" s="32"/>
      <c r="UR50" s="32"/>
      <c r="US50" s="32"/>
      <c r="UT50" s="32"/>
      <c r="UU50" s="32"/>
      <c r="UV50" s="32"/>
      <c r="UW50" s="32"/>
      <c r="UX50" s="32"/>
      <c r="UY50" s="32"/>
      <c r="UZ50" s="32"/>
      <c r="VA50" s="32"/>
      <c r="VB50" s="32"/>
      <c r="VC50" s="32"/>
      <c r="VD50" s="32"/>
      <c r="VE50" s="32"/>
      <c r="VF50" s="32"/>
      <c r="VG50" s="32"/>
      <c r="VH50" s="32"/>
      <c r="VI50" s="32"/>
      <c r="VJ50" s="32"/>
      <c r="VK50" s="32"/>
      <c r="VL50" s="32"/>
      <c r="VM50" s="32"/>
      <c r="VN50" s="32"/>
      <c r="VO50" s="32"/>
      <c r="VP50" s="32"/>
      <c r="VQ50" s="32"/>
      <c r="VR50" s="32"/>
      <c r="VS50" s="32"/>
      <c r="VT50" s="32"/>
      <c r="VU50" s="32"/>
      <c r="VV50" s="32"/>
      <c r="VW50" s="32"/>
      <c r="VX50" s="32"/>
      <c r="VY50" s="32"/>
      <c r="VZ50" s="32"/>
      <c r="WA50" s="32"/>
      <c r="WB50" s="32"/>
      <c r="WC50" s="32"/>
      <c r="WD50" s="32"/>
      <c r="WE50" s="32"/>
      <c r="WF50" s="32"/>
      <c r="WG50" s="32"/>
      <c r="WH50" s="32"/>
      <c r="WI50" s="32"/>
      <c r="WJ50" s="32"/>
      <c r="WK50" s="32"/>
      <c r="WL50" s="32"/>
      <c r="WM50" s="32"/>
      <c r="WN50" s="32"/>
      <c r="WO50" s="32"/>
      <c r="WP50" s="32"/>
      <c r="WQ50" s="32"/>
      <c r="WR50" s="32"/>
      <c r="WS50" s="32"/>
      <c r="WT50" s="32"/>
      <c r="WU50" s="32"/>
      <c r="WV50" s="32"/>
      <c r="WW50" s="32"/>
      <c r="WX50" s="32"/>
      <c r="WY50" s="32"/>
      <c r="WZ50" s="32"/>
      <c r="XA50" s="32"/>
      <c r="XB50" s="32"/>
      <c r="XC50" s="32"/>
      <c r="XD50" s="32"/>
      <c r="XE50" s="32"/>
      <c r="XF50" s="32"/>
      <c r="XG50" s="32"/>
      <c r="XH50" s="32"/>
      <c r="XI50" s="32"/>
      <c r="XJ50" s="32"/>
      <c r="XK50" s="32"/>
      <c r="XL50" s="32"/>
      <c r="XM50" s="32"/>
      <c r="XN50" s="32"/>
      <c r="XO50" s="32"/>
      <c r="XP50" s="32"/>
      <c r="XQ50" s="32"/>
      <c r="XR50" s="32"/>
      <c r="XS50" s="32"/>
      <c r="XT50" s="32"/>
      <c r="XU50" s="32"/>
      <c r="XV50" s="32"/>
      <c r="XW50" s="32"/>
      <c r="XX50" s="32"/>
      <c r="XY50" s="32"/>
      <c r="XZ50" s="32"/>
      <c r="YA50" s="32"/>
      <c r="YB50" s="32"/>
      <c r="YC50" s="32"/>
      <c r="YD50" s="32"/>
      <c r="YE50" s="32"/>
      <c r="YF50" s="32"/>
      <c r="YG50" s="32"/>
      <c r="YH50" s="32"/>
      <c r="YI50" s="32"/>
      <c r="YJ50" s="32"/>
      <c r="YK50" s="32"/>
      <c r="YL50" s="32"/>
      <c r="YM50" s="32"/>
      <c r="YN50" s="32"/>
      <c r="YO50" s="32"/>
      <c r="YP50" s="32"/>
      <c r="YQ50" s="32"/>
      <c r="YR50" s="32"/>
      <c r="YS50" s="32"/>
      <c r="YT50" s="32"/>
      <c r="YU50" s="32"/>
      <c r="YV50" s="32"/>
      <c r="YW50" s="32"/>
      <c r="YX50" s="32"/>
      <c r="YY50" s="32"/>
      <c r="YZ50" s="32"/>
      <c r="ZA50" s="32"/>
      <c r="ZB50" s="32"/>
      <c r="ZC50" s="32"/>
      <c r="ZD50" s="32"/>
      <c r="ZE50" s="32"/>
      <c r="ZF50" s="32"/>
      <c r="ZG50" s="32"/>
      <c r="ZH50" s="32"/>
      <c r="ZI50" s="32"/>
      <c r="ZJ50" s="32"/>
      <c r="ZK50" s="32"/>
      <c r="ZL50" s="32"/>
      <c r="ZM50" s="32"/>
      <c r="ZN50" s="32"/>
      <c r="ZO50" s="32"/>
      <c r="ZP50" s="32"/>
      <c r="ZQ50" s="32"/>
      <c r="ZR50" s="32"/>
      <c r="ZS50" s="32"/>
      <c r="ZT50" s="32"/>
      <c r="ZU50" s="32"/>
      <c r="ZV50" s="32"/>
      <c r="ZW50" s="32"/>
      <c r="ZX50" s="32"/>
      <c r="ZY50" s="32"/>
      <c r="ZZ50" s="32"/>
      <c r="AAA50" s="32"/>
      <c r="AAB50" s="32"/>
      <c r="AAC50" s="32"/>
      <c r="AAD50" s="32"/>
      <c r="AAE50" s="32"/>
      <c r="AAF50" s="32"/>
      <c r="AAG50" s="32"/>
      <c r="AAH50" s="32"/>
      <c r="AAI50" s="32"/>
      <c r="AAJ50" s="32"/>
      <c r="AAK50" s="32"/>
      <c r="AAL50" s="32"/>
      <c r="AAM50" s="32"/>
      <c r="AAN50" s="32"/>
      <c r="AAO50" s="32"/>
      <c r="AAP50" s="32"/>
      <c r="AAQ50" s="32"/>
      <c r="AAR50" s="32"/>
      <c r="AAS50" s="32"/>
      <c r="AAT50" s="32"/>
      <c r="AAU50" s="32"/>
      <c r="AAV50" s="32"/>
      <c r="AAW50" s="32"/>
      <c r="AAX50" s="32"/>
      <c r="AAY50" s="32"/>
      <c r="AAZ50" s="32"/>
      <c r="ABA50" s="32"/>
      <c r="ABB50" s="32"/>
      <c r="ABC50" s="32"/>
      <c r="ABD50" s="32"/>
      <c r="ABE50" s="32"/>
      <c r="ABF50" s="32"/>
      <c r="ABG50" s="32"/>
      <c r="ABH50" s="32"/>
      <c r="ABI50" s="32"/>
      <c r="ABJ50" s="32"/>
      <c r="ABK50" s="32"/>
      <c r="ABL50" s="32"/>
      <c r="ABM50" s="32"/>
      <c r="ABN50" s="32"/>
      <c r="ABO50" s="32"/>
      <c r="ABP50" s="32"/>
      <c r="ABQ50" s="32"/>
      <c r="ABR50" s="32"/>
      <c r="ABS50" s="32"/>
      <c r="ABT50" s="32"/>
      <c r="ABU50" s="32"/>
      <c r="ABV50" s="32"/>
      <c r="ABW50" s="32"/>
      <c r="ABX50" s="32"/>
      <c r="ABY50" s="32"/>
      <c r="ABZ50" s="32"/>
      <c r="ACA50" s="32"/>
      <c r="ACB50" s="32"/>
      <c r="ACC50" s="32"/>
      <c r="ACD50" s="32"/>
      <c r="ACE50" s="32"/>
      <c r="ACF50" s="32"/>
      <c r="ACG50" s="32"/>
      <c r="ACH50" s="32"/>
      <c r="ACI50" s="32"/>
      <c r="ACJ50" s="32"/>
      <c r="ACK50" s="32"/>
      <c r="ACL50" s="32"/>
      <c r="ACM50" s="32"/>
      <c r="ACN50" s="32"/>
      <c r="ACO50" s="32"/>
      <c r="ACP50" s="32"/>
      <c r="ACQ50" s="32"/>
      <c r="ACR50" s="32"/>
      <c r="ACS50" s="32"/>
      <c r="ACT50" s="32"/>
      <c r="ACU50" s="32"/>
      <c r="ACV50" s="32"/>
      <c r="ACW50" s="32"/>
      <c r="ACX50" s="32"/>
      <c r="ACY50" s="32"/>
      <c r="ACZ50" s="32"/>
      <c r="ADA50" s="32"/>
      <c r="ADB50" s="32"/>
      <c r="ADC50" s="32"/>
      <c r="ADD50" s="32"/>
      <c r="ADE50" s="32"/>
      <c r="ADF50" s="32"/>
      <c r="ADG50" s="32"/>
      <c r="ADH50" s="32"/>
      <c r="ADI50" s="32"/>
      <c r="ADJ50" s="32"/>
      <c r="ADK50" s="32"/>
      <c r="ADL50" s="32"/>
      <c r="ADM50" s="32"/>
      <c r="ADN50" s="32"/>
      <c r="ADO50" s="32"/>
      <c r="ADP50" s="32"/>
      <c r="ADQ50" s="32"/>
      <c r="ADR50" s="32"/>
      <c r="ADS50" s="32"/>
      <c r="ADT50" s="32"/>
      <c r="ADU50" s="32"/>
      <c r="ADV50" s="32"/>
      <c r="ADW50" s="32"/>
      <c r="ADX50" s="32"/>
      <c r="ADY50" s="32"/>
      <c r="ADZ50" s="32"/>
      <c r="AEA50" s="32"/>
      <c r="AEB50" s="32"/>
      <c r="AEC50" s="32"/>
      <c r="AED50" s="32"/>
      <c r="AEE50" s="32"/>
      <c r="AEF50" s="32"/>
      <c r="AEG50" s="32"/>
      <c r="AEH50" s="32"/>
      <c r="AEI50" s="32"/>
      <c r="AEJ50" s="32"/>
      <c r="AEK50" s="32"/>
      <c r="AEL50" s="32"/>
      <c r="AEM50" s="32"/>
      <c r="AEN50" s="32"/>
      <c r="AEO50" s="32"/>
      <c r="AEP50" s="32"/>
      <c r="AEQ50" s="32"/>
      <c r="AER50" s="32"/>
      <c r="AES50" s="32"/>
      <c r="AET50" s="32"/>
      <c r="AEU50" s="32"/>
      <c r="AEV50" s="32"/>
      <c r="AEW50" s="32"/>
      <c r="AEX50" s="32"/>
      <c r="AEY50" s="32"/>
      <c r="AEZ50" s="32"/>
      <c r="AFA50" s="32"/>
      <c r="AFB50" s="32"/>
      <c r="AFC50" s="32"/>
      <c r="AFD50" s="32"/>
      <c r="AFE50" s="32"/>
      <c r="AFF50" s="32"/>
      <c r="AFG50" s="32"/>
      <c r="AFH50" s="32"/>
      <c r="AFI50" s="32"/>
      <c r="AFJ50" s="32"/>
      <c r="AFK50" s="32"/>
      <c r="AFL50" s="32"/>
      <c r="AFM50" s="32"/>
      <c r="AFN50" s="32"/>
      <c r="AFO50" s="32"/>
      <c r="AFP50" s="32"/>
      <c r="AFQ50" s="32"/>
      <c r="AFR50" s="32"/>
      <c r="AFS50" s="32"/>
      <c r="AFT50" s="32"/>
      <c r="AFU50" s="32"/>
      <c r="AFV50" s="32"/>
      <c r="AFW50" s="32"/>
      <c r="AFX50" s="32"/>
      <c r="AFY50" s="32"/>
      <c r="AFZ50" s="32"/>
      <c r="AGA50" s="32"/>
      <c r="AGB50" s="32"/>
      <c r="AGC50" s="32"/>
      <c r="AGD50" s="32"/>
      <c r="AGE50" s="32"/>
      <c r="AGF50" s="32"/>
      <c r="AGG50" s="32"/>
      <c r="AGH50" s="32"/>
      <c r="AGI50" s="32"/>
      <c r="AGJ50" s="32"/>
      <c r="AGK50" s="32"/>
      <c r="AGL50" s="32"/>
      <c r="AGM50" s="32"/>
      <c r="AGN50" s="32"/>
      <c r="AGO50" s="32"/>
      <c r="AGP50" s="32"/>
      <c r="AGQ50" s="32"/>
      <c r="AGR50" s="32"/>
      <c r="AGS50" s="32"/>
      <c r="AGT50" s="32"/>
      <c r="AGU50" s="32"/>
      <c r="AGV50" s="32"/>
      <c r="AGW50" s="32"/>
      <c r="AGX50" s="32"/>
      <c r="AGY50" s="32"/>
      <c r="AGZ50" s="32"/>
      <c r="AHA50" s="32"/>
      <c r="AHB50" s="32"/>
      <c r="AHC50" s="32"/>
      <c r="AHD50" s="32"/>
      <c r="AHE50" s="32"/>
      <c r="AHF50" s="32"/>
      <c r="AHG50" s="32"/>
      <c r="AHH50" s="32"/>
      <c r="AHI50" s="32"/>
      <c r="AHJ50" s="32"/>
      <c r="AHK50" s="32"/>
      <c r="AHL50" s="32"/>
      <c r="AHM50" s="32"/>
      <c r="AHN50" s="32"/>
      <c r="AHO50" s="32"/>
      <c r="AHP50" s="32"/>
      <c r="AHQ50" s="32"/>
      <c r="AHR50" s="32"/>
      <c r="AHS50" s="32"/>
      <c r="AHT50" s="32"/>
      <c r="AHU50" s="32"/>
      <c r="AHV50" s="32"/>
      <c r="AHW50" s="32"/>
      <c r="AHX50" s="32"/>
      <c r="AHY50" s="32"/>
      <c r="AHZ50" s="32"/>
      <c r="AIA50" s="32"/>
      <c r="AIB50" s="32"/>
      <c r="AIC50" s="32"/>
      <c r="AID50" s="32"/>
      <c r="AIE50" s="32"/>
      <c r="AIF50" s="32"/>
      <c r="AIG50" s="32"/>
      <c r="AIH50" s="32"/>
      <c r="AII50" s="32"/>
      <c r="AIJ50" s="32"/>
      <c r="AIK50" s="32"/>
      <c r="AIL50" s="32"/>
      <c r="AIM50" s="32"/>
      <c r="AIN50" s="32"/>
      <c r="AIO50" s="32"/>
      <c r="AIP50" s="32"/>
      <c r="AIQ50" s="32"/>
      <c r="AIR50" s="32"/>
      <c r="AIS50" s="32"/>
      <c r="AIT50" s="32"/>
      <c r="AIU50" s="32"/>
      <c r="AIV50" s="32"/>
      <c r="AIW50" s="32"/>
      <c r="AIX50" s="32"/>
      <c r="AIY50" s="32"/>
      <c r="AIZ50" s="32"/>
      <c r="AJA50" s="32"/>
      <c r="AJB50" s="32"/>
      <c r="AJC50" s="32"/>
      <c r="AJD50" s="32"/>
      <c r="AJE50" s="32"/>
      <c r="AJF50" s="32"/>
      <c r="AJG50" s="32"/>
      <c r="AJH50" s="32"/>
      <c r="AJI50" s="32"/>
      <c r="AJJ50" s="32"/>
      <c r="AJK50" s="32"/>
      <c r="AJL50" s="32"/>
      <c r="AJM50" s="32"/>
      <c r="AJN50" s="32"/>
      <c r="AJO50" s="32"/>
      <c r="AJP50" s="32"/>
      <c r="AJQ50" s="32"/>
      <c r="AJR50" s="32"/>
      <c r="AJS50" s="32"/>
      <c r="AJT50" s="32"/>
      <c r="AJU50" s="32"/>
      <c r="AJV50" s="32"/>
      <c r="AJW50" s="32"/>
      <c r="AJX50" s="32"/>
      <c r="AJY50" s="32"/>
      <c r="AJZ50" s="32"/>
      <c r="AKA50" s="32"/>
      <c r="AKB50" s="32"/>
      <c r="AKC50" s="32"/>
      <c r="AKD50" s="32"/>
      <c r="AKE50" s="32"/>
      <c r="AKF50" s="32"/>
      <c r="AKG50" s="32"/>
      <c r="AKH50" s="32"/>
      <c r="AKI50" s="32"/>
      <c r="AKJ50" s="32"/>
      <c r="AKK50" s="32"/>
      <c r="AKL50" s="32"/>
      <c r="AKM50" s="32"/>
      <c r="AKN50" s="32"/>
      <c r="AKO50" s="32"/>
      <c r="AKP50" s="32"/>
      <c r="AKQ50" s="32"/>
      <c r="AKR50" s="32"/>
      <c r="AKS50" s="32"/>
      <c r="AKT50" s="32"/>
      <c r="AKU50" s="32"/>
      <c r="AKV50" s="32"/>
      <c r="AKW50" s="32"/>
      <c r="AKX50" s="32"/>
      <c r="AKY50" s="32"/>
      <c r="AKZ50" s="32"/>
      <c r="ALA50" s="32"/>
      <c r="ALB50" s="32"/>
      <c r="ALC50" s="32"/>
      <c r="ALD50" s="32"/>
      <c r="ALE50" s="32"/>
      <c r="ALF50" s="32"/>
      <c r="ALG50" s="32"/>
      <c r="ALH50" s="32"/>
      <c r="ALI50" s="32"/>
      <c r="ALJ50" s="32"/>
      <c r="ALK50" s="32"/>
      <c r="ALL50" s="32"/>
      <c r="ALM50" s="32"/>
      <c r="ALN50" s="32"/>
      <c r="ALO50" s="32"/>
      <c r="ALP50" s="32"/>
      <c r="ALQ50" s="32"/>
      <c r="ALR50" s="32"/>
      <c r="ALS50" s="32"/>
      <c r="ALT50" s="32"/>
      <c r="ALU50" s="32"/>
      <c r="ALV50" s="32"/>
      <c r="ALW50" s="32"/>
      <c r="ALX50" s="32"/>
      <c r="ALY50" s="32"/>
      <c r="ALZ50" s="32"/>
      <c r="AMA50" s="32"/>
      <c r="AMB50" s="32"/>
      <c r="AMC50" s="32"/>
      <c r="AMD50" s="32"/>
      <c r="AME50" s="32"/>
      <c r="AMF50" s="32"/>
      <c r="AMG50" s="32"/>
      <c r="AMH50" s="32"/>
      <c r="AMI50" s="32"/>
      <c r="AMJ50" s="32"/>
      <c r="AMK50" s="32"/>
      <c r="AML50" s="32"/>
      <c r="AMM50" s="32"/>
      <c r="AMN50" s="32"/>
      <c r="AMO50" s="32"/>
      <c r="AMP50" s="32"/>
      <c r="AMQ50" s="32"/>
      <c r="AMR50" s="32"/>
      <c r="AMS50" s="32"/>
      <c r="AMT50" s="32"/>
      <c r="AMU50" s="32"/>
      <c r="AMV50" s="32"/>
      <c r="AMW50" s="32"/>
      <c r="AMX50" s="32"/>
      <c r="AMY50" s="32"/>
      <c r="AMZ50" s="32"/>
      <c r="ANA50" s="32"/>
      <c r="ANB50" s="32"/>
      <c r="ANC50" s="32"/>
      <c r="AND50" s="32"/>
      <c r="ANE50" s="32"/>
      <c r="ANF50" s="32"/>
      <c r="ANG50" s="32"/>
      <c r="ANH50" s="32"/>
      <c r="ANI50" s="32"/>
      <c r="ANJ50" s="32"/>
      <c r="ANK50" s="32"/>
      <c r="ANL50" s="32"/>
      <c r="ANM50" s="32"/>
      <c r="ANN50" s="32"/>
      <c r="ANO50" s="32"/>
      <c r="ANP50" s="32"/>
      <c r="ANQ50" s="32"/>
      <c r="ANR50" s="32"/>
      <c r="ANS50" s="32"/>
      <c r="ANT50" s="32"/>
      <c r="ANU50" s="32"/>
      <c r="ANV50" s="32"/>
      <c r="ANW50" s="32"/>
      <c r="ANX50" s="32"/>
      <c r="ANY50" s="32"/>
      <c r="ANZ50" s="32"/>
      <c r="AOA50" s="32"/>
      <c r="AOB50" s="32"/>
      <c r="AOC50" s="32"/>
      <c r="AOD50" s="32"/>
      <c r="AOE50" s="32"/>
      <c r="AOF50" s="32"/>
      <c r="AOG50" s="32"/>
      <c r="AOH50" s="32"/>
      <c r="AOI50" s="32"/>
      <c r="AOJ50" s="32"/>
      <c r="AOK50" s="32"/>
      <c r="AOL50" s="32"/>
      <c r="AOM50" s="32"/>
      <c r="AON50" s="32"/>
      <c r="AOO50" s="32"/>
      <c r="AOP50" s="32"/>
      <c r="AOQ50" s="32"/>
      <c r="AOR50" s="32"/>
      <c r="AOS50" s="32"/>
      <c r="AOT50" s="32"/>
      <c r="AOU50" s="32"/>
      <c r="AOV50" s="32"/>
      <c r="AOW50" s="32"/>
      <c r="AOX50" s="32"/>
      <c r="AOY50" s="32"/>
      <c r="AOZ50" s="32"/>
      <c r="APA50" s="32"/>
      <c r="APB50" s="32"/>
      <c r="APC50" s="32"/>
      <c r="APD50" s="32"/>
      <c r="APE50" s="32"/>
      <c r="APF50" s="32"/>
      <c r="APG50" s="32"/>
      <c r="APH50" s="32"/>
      <c r="API50" s="32"/>
      <c r="APJ50" s="32"/>
      <c r="APK50" s="32"/>
      <c r="APL50" s="32"/>
      <c r="APM50" s="32"/>
      <c r="APN50" s="32"/>
      <c r="APO50" s="32"/>
      <c r="APP50" s="32"/>
      <c r="APQ50" s="32"/>
      <c r="APR50" s="32"/>
      <c r="APS50" s="32"/>
      <c r="APT50" s="32"/>
      <c r="APU50" s="32"/>
      <c r="APV50" s="32"/>
      <c r="APW50" s="32"/>
      <c r="APX50" s="32"/>
      <c r="APY50" s="32"/>
      <c r="APZ50" s="32"/>
      <c r="AQA50" s="32"/>
      <c r="AQB50" s="32"/>
      <c r="AQC50" s="32"/>
      <c r="AQD50" s="32"/>
      <c r="AQE50" s="32"/>
      <c r="AQF50" s="32"/>
      <c r="AQG50" s="32"/>
      <c r="AQH50" s="32"/>
      <c r="AQI50" s="32"/>
      <c r="AQJ50" s="32"/>
      <c r="AQK50" s="32"/>
      <c r="AQL50" s="32"/>
      <c r="AQM50" s="32"/>
      <c r="AQN50" s="32"/>
      <c r="AQO50" s="32"/>
      <c r="AQP50" s="32"/>
      <c r="AQQ50" s="32"/>
      <c r="AQR50" s="32"/>
      <c r="AQS50" s="32"/>
      <c r="AQT50" s="32"/>
      <c r="AQU50" s="32"/>
      <c r="AQV50" s="32"/>
      <c r="AQW50" s="32"/>
      <c r="AQX50" s="32"/>
      <c r="AQY50" s="32"/>
      <c r="AQZ50" s="32"/>
      <c r="ARA50" s="32"/>
      <c r="ARB50" s="32"/>
      <c r="ARC50" s="32"/>
      <c r="ARD50" s="32"/>
      <c r="ARE50" s="32"/>
      <c r="ARF50" s="32"/>
      <c r="ARG50" s="32"/>
      <c r="ARH50" s="32"/>
      <c r="ARI50" s="32"/>
      <c r="ARJ50" s="32"/>
      <c r="ARK50" s="32"/>
      <c r="ARL50" s="32"/>
      <c r="ARM50" s="32"/>
      <c r="ARN50" s="32"/>
      <c r="ARO50" s="32"/>
      <c r="ARP50" s="32"/>
      <c r="ARQ50" s="32"/>
      <c r="ARR50" s="32"/>
      <c r="ARS50" s="32"/>
      <c r="ART50" s="32"/>
      <c r="ARU50" s="32"/>
      <c r="ARV50" s="32"/>
      <c r="ARW50" s="32"/>
      <c r="ARX50" s="32"/>
      <c r="ARY50" s="32"/>
      <c r="ARZ50" s="32"/>
      <c r="ASA50" s="32"/>
      <c r="ASB50" s="32"/>
      <c r="ASC50" s="32"/>
      <c r="ASD50" s="32"/>
      <c r="ASE50" s="32"/>
      <c r="ASF50" s="32"/>
      <c r="ASG50" s="32"/>
      <c r="ASH50" s="32"/>
      <c r="ASI50" s="32"/>
      <c r="ASJ50" s="32"/>
      <c r="ASK50" s="32"/>
      <c r="ASL50" s="32"/>
      <c r="ASM50" s="32"/>
      <c r="ASN50" s="32"/>
      <c r="ASO50" s="32"/>
      <c r="ASP50" s="32"/>
      <c r="ASQ50" s="32"/>
      <c r="ASR50" s="32"/>
      <c r="ASS50" s="32"/>
      <c r="AST50" s="32"/>
      <c r="ASU50" s="32"/>
      <c r="ASV50" s="32"/>
      <c r="ASW50" s="32"/>
      <c r="ASX50" s="32"/>
      <c r="ASY50" s="32"/>
      <c r="ASZ50" s="32"/>
      <c r="ATA50" s="32"/>
      <c r="ATB50" s="32"/>
      <c r="ATC50" s="32"/>
      <c r="ATD50" s="32"/>
      <c r="ATE50" s="32"/>
      <c r="ATF50" s="32"/>
      <c r="ATG50" s="32"/>
      <c r="ATH50" s="32"/>
      <c r="ATI50" s="32"/>
      <c r="ATJ50" s="32"/>
      <c r="ATK50" s="32"/>
      <c r="ATL50" s="32"/>
      <c r="ATM50" s="32"/>
      <c r="ATN50" s="32"/>
      <c r="ATO50" s="32"/>
      <c r="ATP50" s="32"/>
      <c r="ATQ50" s="32"/>
      <c r="ATR50" s="32"/>
      <c r="ATS50" s="32"/>
      <c r="ATT50" s="32"/>
      <c r="ATU50" s="32"/>
      <c r="ATV50" s="32"/>
      <c r="ATW50" s="32"/>
      <c r="ATX50" s="32"/>
      <c r="ATY50" s="32"/>
      <c r="ATZ50" s="32"/>
      <c r="AUA50" s="32"/>
      <c r="AUB50" s="32"/>
      <c r="AUC50" s="32"/>
      <c r="AUD50" s="32"/>
      <c r="AUE50" s="32"/>
      <c r="AUF50" s="32"/>
      <c r="AUG50" s="32"/>
      <c r="AUH50" s="32"/>
      <c r="AUI50" s="32"/>
      <c r="AUJ50" s="32"/>
      <c r="AUK50" s="32"/>
      <c r="AUL50" s="32"/>
      <c r="AUM50" s="32"/>
      <c r="AUN50" s="32"/>
      <c r="AUO50" s="32"/>
      <c r="AUP50" s="32"/>
      <c r="AUQ50" s="32"/>
      <c r="AUR50" s="32"/>
      <c r="AUS50" s="32"/>
      <c r="AUT50" s="32"/>
      <c r="AUU50" s="32"/>
      <c r="AUV50" s="32"/>
      <c r="AUW50" s="32"/>
      <c r="AUX50" s="32"/>
      <c r="AUY50" s="32"/>
      <c r="AUZ50" s="32"/>
      <c r="AVA50" s="32"/>
      <c r="AVB50" s="32"/>
      <c r="AVC50" s="32"/>
      <c r="AVD50" s="32"/>
      <c r="AVE50" s="32"/>
      <c r="AVF50" s="32"/>
      <c r="AVG50" s="32"/>
      <c r="AVH50" s="32"/>
      <c r="AVI50" s="32"/>
      <c r="AVJ50" s="32"/>
      <c r="AVK50" s="32"/>
      <c r="AVL50" s="32"/>
      <c r="AVM50" s="32"/>
      <c r="AVN50" s="32"/>
      <c r="AVO50" s="32"/>
      <c r="AVP50" s="32"/>
      <c r="AVQ50" s="32"/>
      <c r="AVR50" s="32"/>
      <c r="AVS50" s="32"/>
      <c r="AVT50" s="32"/>
      <c r="AVU50" s="32"/>
      <c r="AVV50" s="32"/>
      <c r="AVW50" s="32"/>
      <c r="AVX50" s="32"/>
      <c r="AVY50" s="32"/>
      <c r="AVZ50" s="32"/>
      <c r="AWA50" s="32"/>
      <c r="AWB50" s="32"/>
      <c r="AWC50" s="32"/>
      <c r="AWD50" s="32"/>
      <c r="AWE50" s="32"/>
      <c r="AWF50" s="32"/>
      <c r="AWG50" s="32"/>
      <c r="AWH50" s="32"/>
      <c r="AWI50" s="32"/>
      <c r="AWJ50" s="32"/>
      <c r="AWK50" s="32"/>
      <c r="AWL50" s="32"/>
      <c r="AWM50" s="32"/>
      <c r="AWN50" s="32"/>
      <c r="AWO50" s="32"/>
      <c r="AWP50" s="32"/>
      <c r="AWQ50" s="32"/>
      <c r="AWR50" s="32"/>
      <c r="AWS50" s="32"/>
      <c r="AWT50" s="32"/>
      <c r="AWU50" s="32"/>
      <c r="AWV50" s="32"/>
      <c r="AWW50" s="32"/>
      <c r="AWX50" s="32"/>
      <c r="AWY50" s="32"/>
      <c r="AWZ50" s="32"/>
      <c r="AXA50" s="32"/>
      <c r="AXB50" s="32"/>
      <c r="AXC50" s="32"/>
      <c r="AXD50" s="32"/>
      <c r="AXE50" s="32"/>
      <c r="AXF50" s="32"/>
      <c r="AXG50" s="32"/>
      <c r="AXH50" s="32"/>
      <c r="AXI50" s="32"/>
      <c r="AXJ50" s="32"/>
      <c r="AXK50" s="32"/>
      <c r="AXL50" s="32"/>
      <c r="AXM50" s="32"/>
      <c r="AXN50" s="32"/>
      <c r="AXO50" s="32"/>
      <c r="AXP50" s="32"/>
      <c r="AXQ50" s="32"/>
      <c r="AXR50" s="32"/>
      <c r="AXS50" s="32"/>
      <c r="AXT50" s="32"/>
      <c r="AXU50" s="32"/>
      <c r="AXV50" s="32"/>
      <c r="AXW50" s="32"/>
      <c r="AXX50" s="32"/>
      <c r="AXY50" s="32"/>
      <c r="AXZ50" s="32"/>
      <c r="AYA50" s="32"/>
      <c r="AYB50" s="32"/>
      <c r="AYC50" s="32"/>
      <c r="AYD50" s="32"/>
      <c r="AYE50" s="32"/>
      <c r="AYF50" s="32"/>
      <c r="AYG50" s="32"/>
      <c r="AYH50" s="32"/>
      <c r="AYI50" s="32"/>
      <c r="AYJ50" s="32"/>
      <c r="AYK50" s="32"/>
      <c r="AYL50" s="32"/>
      <c r="AYM50" s="32"/>
      <c r="AYN50" s="32"/>
      <c r="AYO50" s="32"/>
      <c r="AYP50" s="32"/>
      <c r="AYQ50" s="32"/>
      <c r="AYR50" s="32"/>
      <c r="AYS50" s="32"/>
      <c r="AYT50" s="32"/>
      <c r="AYU50" s="32"/>
      <c r="AYV50" s="32"/>
      <c r="AYW50" s="32"/>
      <c r="AYX50" s="32"/>
      <c r="AYY50" s="32"/>
      <c r="AYZ50" s="32"/>
      <c r="AZA50" s="32"/>
      <c r="AZB50" s="32"/>
      <c r="AZC50" s="32"/>
      <c r="AZD50" s="32"/>
      <c r="AZE50" s="32"/>
      <c r="AZF50" s="32"/>
      <c r="AZG50" s="32"/>
      <c r="AZH50" s="32"/>
      <c r="AZI50" s="32"/>
      <c r="AZJ50" s="32"/>
      <c r="AZK50" s="32"/>
      <c r="AZL50" s="32"/>
      <c r="AZM50" s="32"/>
      <c r="AZN50" s="32"/>
      <c r="AZO50" s="32"/>
      <c r="AZP50" s="32"/>
      <c r="AZQ50" s="32"/>
      <c r="AZR50" s="32"/>
      <c r="AZS50" s="32"/>
      <c r="AZT50" s="32"/>
      <c r="AZU50" s="32"/>
      <c r="AZV50" s="32"/>
      <c r="AZW50" s="32"/>
      <c r="AZX50" s="32"/>
      <c r="AZY50" s="32"/>
      <c r="AZZ50" s="32"/>
      <c r="BAA50" s="32"/>
      <c r="BAB50" s="32"/>
      <c r="BAC50" s="32"/>
      <c r="BAD50" s="32"/>
      <c r="BAE50" s="32"/>
      <c r="BAF50" s="32"/>
      <c r="BAG50" s="32"/>
      <c r="BAH50" s="32"/>
      <c r="BAI50" s="32"/>
      <c r="BAJ50" s="32"/>
      <c r="BAK50" s="32"/>
      <c r="BAL50" s="32"/>
      <c r="BAM50" s="32"/>
      <c r="BAN50" s="32"/>
      <c r="BAO50" s="32"/>
      <c r="BAP50" s="32"/>
      <c r="BAQ50" s="32"/>
      <c r="BAR50" s="32"/>
      <c r="BAS50" s="32"/>
      <c r="BAT50" s="32"/>
      <c r="BAU50" s="32"/>
      <c r="BAV50" s="32"/>
      <c r="BAW50" s="32"/>
      <c r="BAX50" s="32"/>
      <c r="BAY50" s="32"/>
      <c r="BAZ50" s="32"/>
      <c r="BBA50" s="32"/>
      <c r="BBB50" s="32"/>
      <c r="BBC50" s="32"/>
      <c r="BBD50" s="32"/>
      <c r="BBE50" s="32"/>
      <c r="BBF50" s="32"/>
      <c r="BBG50" s="32"/>
      <c r="BBH50" s="32"/>
      <c r="BBI50" s="32"/>
      <c r="BBJ50" s="32"/>
      <c r="BBK50" s="32"/>
      <c r="BBL50" s="32"/>
      <c r="BBM50" s="32"/>
      <c r="BBN50" s="32"/>
      <c r="BBO50" s="32"/>
      <c r="BBP50" s="32"/>
      <c r="BBQ50" s="32"/>
      <c r="BBR50" s="32"/>
      <c r="BBS50" s="32"/>
      <c r="BBT50" s="32"/>
      <c r="BBU50" s="32"/>
      <c r="BBV50" s="32"/>
      <c r="BBW50" s="32"/>
      <c r="BBX50" s="32"/>
      <c r="BBY50" s="32"/>
      <c r="BBZ50" s="32"/>
      <c r="BCA50" s="32"/>
      <c r="BCB50" s="32"/>
      <c r="BCC50" s="32"/>
      <c r="BCD50" s="32"/>
      <c r="BCE50" s="32"/>
      <c r="BCF50" s="32"/>
      <c r="BCG50" s="32"/>
      <c r="BCH50" s="32"/>
      <c r="BCI50" s="32"/>
      <c r="BCJ50" s="32"/>
      <c r="BCK50" s="32"/>
      <c r="BCL50" s="32"/>
      <c r="BCM50" s="32"/>
      <c r="BCN50" s="32"/>
      <c r="BCO50" s="32"/>
      <c r="BCP50" s="32"/>
      <c r="BCQ50" s="32"/>
      <c r="BCR50" s="32"/>
      <c r="BCS50" s="32"/>
      <c r="BCT50" s="32"/>
      <c r="BCU50" s="32"/>
      <c r="BCV50" s="32"/>
      <c r="BCW50" s="32"/>
      <c r="BCX50" s="32"/>
      <c r="BCY50" s="32"/>
      <c r="BCZ50" s="32"/>
      <c r="BDA50" s="32"/>
      <c r="BDB50" s="32"/>
      <c r="BDC50" s="32"/>
      <c r="BDD50" s="32"/>
      <c r="BDE50" s="32"/>
      <c r="BDF50" s="32"/>
      <c r="BDG50" s="32"/>
      <c r="BDH50" s="32"/>
      <c r="BDI50" s="32"/>
      <c r="BDJ50" s="32"/>
      <c r="BDK50" s="32"/>
      <c r="BDL50" s="32"/>
      <c r="BDM50" s="32"/>
      <c r="BDN50" s="32"/>
      <c r="BDO50" s="32"/>
      <c r="BDP50" s="32"/>
      <c r="BDQ50" s="32"/>
      <c r="BDR50" s="32"/>
      <c r="BDS50" s="32"/>
      <c r="BDT50" s="32"/>
      <c r="BDU50" s="32"/>
      <c r="BDV50" s="32"/>
      <c r="BDW50" s="32"/>
      <c r="BDX50" s="32"/>
      <c r="BDY50" s="32"/>
      <c r="BDZ50" s="32"/>
      <c r="BEA50" s="32"/>
      <c r="BEB50" s="32"/>
      <c r="BEC50" s="32"/>
      <c r="BED50" s="32"/>
      <c r="BEE50" s="32"/>
      <c r="BEF50" s="32"/>
      <c r="BEG50" s="32"/>
      <c r="BEH50" s="32"/>
      <c r="BEI50" s="32"/>
      <c r="BEJ50" s="32"/>
      <c r="BEK50" s="32"/>
      <c r="BEL50" s="32"/>
      <c r="BEM50" s="32"/>
      <c r="BEN50" s="32"/>
      <c r="BEO50" s="32"/>
      <c r="BEP50" s="32"/>
      <c r="BEQ50" s="32"/>
      <c r="BER50" s="32"/>
      <c r="BES50" s="32"/>
      <c r="BET50" s="32"/>
      <c r="BEU50" s="32"/>
      <c r="BEV50" s="32"/>
      <c r="BEW50" s="32"/>
      <c r="BEX50" s="32"/>
      <c r="BEY50" s="32"/>
      <c r="BEZ50" s="32"/>
      <c r="BFA50" s="32"/>
      <c r="BFB50" s="32"/>
      <c r="BFC50" s="32"/>
      <c r="BFD50" s="32"/>
      <c r="BFE50" s="32"/>
      <c r="BFF50" s="32"/>
      <c r="BFG50" s="32"/>
      <c r="BFH50" s="32"/>
      <c r="BFI50" s="32"/>
      <c r="BFJ50" s="32"/>
      <c r="BFK50" s="32"/>
      <c r="BFL50" s="32"/>
      <c r="BFM50" s="32"/>
      <c r="BFN50" s="32"/>
      <c r="BFO50" s="32"/>
      <c r="BFP50" s="32"/>
      <c r="BFQ50" s="32"/>
      <c r="BFR50" s="32"/>
      <c r="BFS50" s="32"/>
      <c r="BFT50" s="32"/>
      <c r="BFU50" s="32"/>
      <c r="BFV50" s="32"/>
      <c r="BFW50" s="32"/>
      <c r="BFX50" s="32"/>
      <c r="BFY50" s="32"/>
      <c r="BFZ50" s="32"/>
      <c r="BGA50" s="32"/>
      <c r="BGB50" s="32"/>
      <c r="BGC50" s="32"/>
      <c r="BGD50" s="32"/>
      <c r="BGE50" s="32"/>
      <c r="BGF50" s="32"/>
      <c r="BGG50" s="32"/>
      <c r="BGH50" s="32"/>
      <c r="BGI50" s="32"/>
      <c r="BGJ50" s="32"/>
      <c r="BGK50" s="32"/>
      <c r="BGL50" s="32"/>
      <c r="BGM50" s="32"/>
      <c r="BGN50" s="32"/>
      <c r="BGO50" s="32"/>
      <c r="BGP50" s="32"/>
      <c r="BGQ50" s="32"/>
      <c r="BGR50" s="32"/>
      <c r="BGS50" s="32"/>
      <c r="BGT50" s="32"/>
      <c r="BGU50" s="32"/>
      <c r="BGV50" s="32"/>
      <c r="BGW50" s="32"/>
      <c r="BGX50" s="32"/>
      <c r="BGY50" s="32"/>
      <c r="BGZ50" s="32"/>
      <c r="BHA50" s="32"/>
      <c r="BHB50" s="32"/>
      <c r="BHC50" s="32"/>
      <c r="BHD50" s="32"/>
      <c r="BHE50" s="32"/>
      <c r="BHF50" s="32"/>
      <c r="BHG50" s="32"/>
      <c r="BHH50" s="32"/>
      <c r="BHI50" s="32"/>
      <c r="BHJ50" s="32"/>
      <c r="BHK50" s="32"/>
      <c r="BHL50" s="32"/>
      <c r="BHM50" s="32"/>
      <c r="BHN50" s="32"/>
      <c r="BHO50" s="32"/>
      <c r="BHP50" s="32"/>
      <c r="BHQ50" s="32"/>
      <c r="BHR50" s="32"/>
      <c r="BHS50" s="32"/>
      <c r="BHT50" s="32"/>
      <c r="BHU50" s="32"/>
      <c r="BHV50" s="32"/>
      <c r="BHW50" s="32"/>
      <c r="BHX50" s="32"/>
      <c r="BHY50" s="32"/>
      <c r="BHZ50" s="32"/>
      <c r="BIA50" s="32"/>
      <c r="BIB50" s="32"/>
      <c r="BIC50" s="32"/>
      <c r="BID50" s="32"/>
      <c r="BIE50" s="32"/>
      <c r="BIF50" s="32"/>
      <c r="BIG50" s="32"/>
      <c r="BIH50" s="32"/>
      <c r="BII50" s="32"/>
      <c r="BIJ50" s="32"/>
      <c r="BIK50" s="32"/>
      <c r="BIL50" s="32"/>
      <c r="BIM50" s="32"/>
      <c r="BIN50" s="32"/>
      <c r="BIO50" s="32"/>
      <c r="BIP50" s="32"/>
      <c r="BIQ50" s="32"/>
      <c r="BIR50" s="32"/>
      <c r="BIS50" s="32"/>
      <c r="BIT50" s="32"/>
      <c r="BIU50" s="32"/>
      <c r="BIV50" s="32"/>
      <c r="BIW50" s="32"/>
      <c r="BIX50" s="32"/>
      <c r="BIY50" s="32"/>
      <c r="BIZ50" s="32"/>
      <c r="BJA50" s="32"/>
      <c r="BJB50" s="32"/>
      <c r="BJC50" s="32"/>
      <c r="BJD50" s="32"/>
      <c r="BJE50" s="32"/>
      <c r="BJF50" s="32"/>
      <c r="BJG50" s="32"/>
      <c r="BJH50" s="32"/>
      <c r="BJI50" s="32"/>
      <c r="BJJ50" s="32"/>
      <c r="BJK50" s="32"/>
      <c r="BJL50" s="32"/>
      <c r="BJM50" s="32"/>
      <c r="BJN50" s="32"/>
      <c r="BJO50" s="32"/>
      <c r="BJP50" s="32"/>
      <c r="BJQ50" s="32"/>
      <c r="BJR50" s="32"/>
      <c r="BJS50" s="32"/>
      <c r="BJT50" s="32"/>
      <c r="BJU50" s="32"/>
      <c r="BJV50" s="32"/>
      <c r="BJW50" s="32"/>
      <c r="BJX50" s="32"/>
      <c r="BJY50" s="32"/>
      <c r="BJZ50" s="32"/>
      <c r="BKA50" s="32"/>
      <c r="BKB50" s="32"/>
      <c r="BKC50" s="32"/>
      <c r="BKD50" s="32"/>
      <c r="BKE50" s="32"/>
      <c r="BKF50" s="32"/>
      <c r="BKG50" s="32"/>
      <c r="BKH50" s="32"/>
      <c r="BKI50" s="32"/>
      <c r="BKJ50" s="32"/>
      <c r="BKK50" s="32"/>
      <c r="BKL50" s="32"/>
      <c r="BKM50" s="32"/>
      <c r="BKN50" s="32"/>
      <c r="BKO50" s="32"/>
      <c r="BKP50" s="32"/>
      <c r="BKQ50" s="32"/>
      <c r="BKR50" s="32"/>
      <c r="BKS50" s="32"/>
      <c r="BKT50" s="32"/>
      <c r="BKU50" s="32"/>
      <c r="BKV50" s="32"/>
      <c r="BKW50" s="32"/>
      <c r="BKX50" s="32"/>
      <c r="BKY50" s="32"/>
      <c r="BKZ50" s="32"/>
      <c r="BLA50" s="32"/>
      <c r="BLB50" s="32"/>
      <c r="BLC50" s="32"/>
      <c r="BLD50" s="32"/>
      <c r="BLE50" s="32"/>
      <c r="BLF50" s="32"/>
      <c r="BLG50" s="32"/>
      <c r="BLH50" s="32"/>
      <c r="BLI50" s="32"/>
      <c r="BLJ50" s="32"/>
      <c r="BLK50" s="32"/>
      <c r="BLL50" s="32"/>
      <c r="BLM50" s="32"/>
      <c r="BLN50" s="32"/>
      <c r="BLO50" s="32"/>
      <c r="BLP50" s="32"/>
      <c r="BLQ50" s="32"/>
      <c r="BLR50" s="32"/>
      <c r="BLS50" s="32"/>
      <c r="BLT50" s="32"/>
      <c r="BLU50" s="32"/>
      <c r="BLV50" s="32"/>
      <c r="BLW50" s="32"/>
      <c r="BLX50" s="32"/>
      <c r="BLY50" s="32"/>
      <c r="BLZ50" s="32"/>
      <c r="BMA50" s="32"/>
      <c r="BMB50" s="32"/>
      <c r="BMC50" s="32"/>
      <c r="BMD50" s="32"/>
      <c r="BME50" s="32"/>
      <c r="BMF50" s="32"/>
      <c r="BMG50" s="32"/>
      <c r="BMH50" s="32"/>
      <c r="BMI50" s="32"/>
      <c r="BMJ50" s="32"/>
      <c r="BMK50" s="32"/>
      <c r="BML50" s="32"/>
      <c r="BMM50" s="32"/>
      <c r="BMN50" s="32"/>
      <c r="BMO50" s="32"/>
      <c r="BMP50" s="32"/>
      <c r="BMQ50" s="32"/>
      <c r="BMR50" s="32"/>
      <c r="BMS50" s="32"/>
      <c r="BMT50" s="32"/>
      <c r="BMU50" s="32"/>
      <c r="BMV50" s="32"/>
      <c r="BMW50" s="32"/>
      <c r="BMX50" s="32"/>
      <c r="BMY50" s="32"/>
      <c r="BMZ50" s="32"/>
      <c r="BNA50" s="32"/>
      <c r="BNB50" s="32"/>
      <c r="BNC50" s="32"/>
      <c r="BND50" s="32"/>
      <c r="BNE50" s="32"/>
      <c r="BNF50" s="32"/>
      <c r="BNG50" s="32"/>
      <c r="BNH50" s="32"/>
      <c r="BNI50" s="32"/>
      <c r="BNJ50" s="32"/>
      <c r="BNK50" s="32"/>
      <c r="BNL50" s="32"/>
      <c r="BNM50" s="32"/>
      <c r="BNN50" s="32"/>
      <c r="BNO50" s="32"/>
      <c r="BNP50" s="32"/>
      <c r="BNQ50" s="32"/>
      <c r="BNR50" s="32"/>
      <c r="BNS50" s="32"/>
      <c r="BNT50" s="32"/>
      <c r="BNU50" s="32"/>
      <c r="BNV50" s="32"/>
      <c r="BNW50" s="32"/>
      <c r="BNX50" s="32"/>
      <c r="BNY50" s="32"/>
      <c r="BNZ50" s="32"/>
      <c r="BOA50" s="32"/>
      <c r="BOB50" s="32"/>
      <c r="BOC50" s="32"/>
      <c r="BOD50" s="32"/>
      <c r="BOE50" s="32"/>
      <c r="BOF50" s="32"/>
      <c r="BOG50" s="32"/>
      <c r="BOH50" s="32"/>
      <c r="BOI50" s="32"/>
      <c r="BOJ50" s="32"/>
      <c r="BOK50" s="32"/>
      <c r="BOL50" s="32"/>
      <c r="BOM50" s="32"/>
      <c r="BON50" s="32"/>
      <c r="BOO50" s="32"/>
      <c r="BOP50" s="32"/>
      <c r="BOQ50" s="32"/>
      <c r="BOR50" s="32"/>
      <c r="BOS50" s="32"/>
      <c r="BOT50" s="32"/>
      <c r="BOU50" s="32"/>
      <c r="BOV50" s="32"/>
      <c r="BOW50" s="32"/>
      <c r="BOX50" s="32"/>
      <c r="BOY50" s="32"/>
      <c r="BOZ50" s="32"/>
      <c r="BPA50" s="32"/>
      <c r="BPB50" s="32"/>
      <c r="BPC50" s="32"/>
      <c r="BPD50" s="32"/>
      <c r="BPE50" s="32"/>
      <c r="BPF50" s="32"/>
      <c r="BPG50" s="32"/>
      <c r="BPH50" s="32"/>
      <c r="BPI50" s="32"/>
      <c r="BPJ50" s="32"/>
      <c r="BPK50" s="32"/>
      <c r="BPL50" s="32"/>
      <c r="BPM50" s="32"/>
      <c r="BPN50" s="32"/>
      <c r="BPO50" s="32"/>
      <c r="BPP50" s="32"/>
      <c r="BPQ50" s="32"/>
      <c r="BPR50" s="32"/>
      <c r="BPS50" s="32"/>
      <c r="BPT50" s="32"/>
      <c r="BPU50" s="32"/>
      <c r="BPV50" s="32"/>
      <c r="BPW50" s="32"/>
      <c r="BPX50" s="32"/>
      <c r="BPY50" s="32"/>
      <c r="BPZ50" s="32"/>
      <c r="BQA50" s="32"/>
      <c r="BQB50" s="32"/>
      <c r="BQC50" s="32"/>
      <c r="BQD50" s="32"/>
      <c r="BQE50" s="32"/>
      <c r="BQF50" s="32"/>
      <c r="BQG50" s="32"/>
      <c r="BQH50" s="32"/>
      <c r="BQI50" s="32"/>
      <c r="BQJ50" s="32"/>
      <c r="BQK50" s="32"/>
      <c r="BQL50" s="32"/>
      <c r="BQM50" s="32"/>
      <c r="BQN50" s="32"/>
      <c r="BQO50" s="32"/>
      <c r="BQP50" s="32"/>
      <c r="BQQ50" s="32"/>
      <c r="BQR50" s="32"/>
      <c r="BQS50" s="32"/>
      <c r="BQT50" s="32"/>
      <c r="BQU50" s="32"/>
      <c r="BQV50" s="32"/>
      <c r="BQW50" s="32"/>
      <c r="BQX50" s="32"/>
      <c r="BQY50" s="32"/>
      <c r="BQZ50" s="32"/>
      <c r="BRA50" s="32"/>
      <c r="BRB50" s="32"/>
      <c r="BRC50" s="32"/>
      <c r="BRD50" s="32"/>
      <c r="BRE50" s="32"/>
      <c r="BRF50" s="32"/>
      <c r="BRG50" s="32"/>
      <c r="BRH50" s="32"/>
      <c r="BRI50" s="32"/>
      <c r="BRJ50" s="32"/>
      <c r="BRK50" s="32"/>
      <c r="BRL50" s="32"/>
      <c r="BRM50" s="32"/>
      <c r="BRN50" s="32"/>
      <c r="BRO50" s="32"/>
      <c r="BRP50" s="32"/>
      <c r="BRQ50" s="32"/>
      <c r="BRR50" s="32"/>
      <c r="BRS50" s="32"/>
      <c r="BRT50" s="32"/>
      <c r="BRU50" s="32"/>
      <c r="BRV50" s="32"/>
      <c r="BRW50" s="32"/>
      <c r="BRX50" s="32"/>
      <c r="BRY50" s="32"/>
      <c r="BRZ50" s="32"/>
      <c r="BSA50" s="32"/>
      <c r="BSB50" s="32"/>
      <c r="BSC50" s="32"/>
      <c r="BSD50" s="32"/>
      <c r="BSE50" s="32"/>
      <c r="BSF50" s="32"/>
      <c r="BSG50" s="32"/>
      <c r="BSH50" s="32"/>
      <c r="BSI50" s="32"/>
      <c r="BSJ50" s="32"/>
      <c r="BSK50" s="32"/>
      <c r="BSL50" s="32"/>
      <c r="BSM50" s="32"/>
      <c r="BSN50" s="32"/>
      <c r="BSO50" s="32"/>
      <c r="BSP50" s="32"/>
      <c r="BSQ50" s="32"/>
      <c r="BSR50" s="32"/>
      <c r="BSS50" s="32"/>
      <c r="BST50" s="32"/>
      <c r="BSU50" s="32"/>
      <c r="BSV50" s="32"/>
      <c r="BSW50" s="32"/>
      <c r="BSX50" s="32"/>
      <c r="BSY50" s="32"/>
      <c r="BSZ50" s="32"/>
      <c r="BTA50" s="32"/>
      <c r="BTB50" s="32"/>
      <c r="BTC50" s="32"/>
      <c r="BTD50" s="32"/>
      <c r="BTE50" s="32"/>
      <c r="BTF50" s="32"/>
      <c r="BTG50" s="32"/>
      <c r="BTH50" s="32"/>
      <c r="BTI50" s="32"/>
      <c r="BTJ50" s="32"/>
      <c r="BTK50" s="32"/>
      <c r="BTL50" s="32"/>
      <c r="BTM50" s="32"/>
      <c r="BTN50" s="32"/>
      <c r="BTO50" s="32"/>
      <c r="BTP50" s="32"/>
      <c r="BTQ50" s="32"/>
      <c r="BTR50" s="32"/>
      <c r="BTS50" s="32"/>
      <c r="BTT50" s="32"/>
      <c r="BTU50" s="32"/>
      <c r="BTV50" s="32"/>
      <c r="BTW50" s="32"/>
      <c r="BTX50" s="32"/>
      <c r="BTY50" s="32"/>
      <c r="BTZ50" s="32"/>
      <c r="BUA50" s="32"/>
      <c r="BUB50" s="32"/>
      <c r="BUC50" s="32"/>
      <c r="BUD50" s="32"/>
      <c r="BUE50" s="32"/>
      <c r="BUF50" s="32"/>
      <c r="BUG50" s="32"/>
      <c r="BUH50" s="32"/>
      <c r="BUI50" s="32"/>
      <c r="BUJ50" s="32"/>
      <c r="BUK50" s="32"/>
      <c r="BUL50" s="32"/>
      <c r="BUM50" s="32"/>
      <c r="BUN50" s="32"/>
      <c r="BUO50" s="32"/>
      <c r="BUP50" s="32"/>
      <c r="BUQ50" s="32"/>
      <c r="BUR50" s="32"/>
      <c r="BUS50" s="32"/>
      <c r="BUT50" s="32"/>
      <c r="BUU50" s="32"/>
      <c r="BUV50" s="32"/>
      <c r="BUW50" s="32"/>
      <c r="BUX50" s="32"/>
      <c r="BUY50" s="32"/>
      <c r="BUZ50" s="32"/>
      <c r="BVA50" s="32"/>
      <c r="BVB50" s="32"/>
      <c r="BVC50" s="32"/>
      <c r="BVD50" s="32"/>
      <c r="BVE50" s="32"/>
      <c r="BVF50" s="32"/>
      <c r="BVG50" s="32"/>
      <c r="BVH50" s="32"/>
      <c r="BVI50" s="32"/>
      <c r="BVJ50" s="32"/>
      <c r="BVK50" s="32"/>
      <c r="BVL50" s="32"/>
      <c r="BVM50" s="32"/>
      <c r="BVN50" s="32"/>
      <c r="BVO50" s="32"/>
      <c r="BVP50" s="32"/>
      <c r="BVQ50" s="32"/>
      <c r="BVR50" s="32"/>
      <c r="BVS50" s="32"/>
      <c r="BVT50" s="32"/>
      <c r="BVU50" s="32"/>
      <c r="BVV50" s="32"/>
      <c r="BVW50" s="32"/>
      <c r="BVX50" s="32"/>
      <c r="BVY50" s="32"/>
      <c r="BVZ50" s="32"/>
      <c r="BWA50" s="32"/>
      <c r="BWB50" s="32"/>
      <c r="BWC50" s="32"/>
      <c r="BWD50" s="32"/>
      <c r="BWE50" s="32"/>
      <c r="BWF50" s="32"/>
      <c r="BWG50" s="32"/>
      <c r="BWH50" s="32"/>
      <c r="BWI50" s="32"/>
      <c r="BWJ50" s="32"/>
      <c r="BWK50" s="32"/>
      <c r="BWL50" s="32"/>
      <c r="BWM50" s="32"/>
      <c r="BWN50" s="32"/>
      <c r="BWO50" s="32"/>
      <c r="BWP50" s="32"/>
      <c r="BWQ50" s="32"/>
      <c r="BWR50" s="32"/>
      <c r="BWS50" s="32"/>
      <c r="BWT50" s="32"/>
      <c r="BWU50" s="32"/>
      <c r="BWV50" s="32"/>
      <c r="BWW50" s="32"/>
      <c r="BWX50" s="32"/>
      <c r="BWY50" s="32"/>
      <c r="BWZ50" s="32"/>
      <c r="BXA50" s="32"/>
      <c r="BXB50" s="32"/>
      <c r="BXC50" s="32"/>
      <c r="BXD50" s="32"/>
      <c r="BXE50" s="32"/>
      <c r="BXF50" s="32"/>
      <c r="BXG50" s="32"/>
      <c r="BXH50" s="32"/>
      <c r="BXI50" s="32"/>
      <c r="BXJ50" s="32"/>
      <c r="BXK50" s="32"/>
      <c r="BXL50" s="32"/>
      <c r="BXM50" s="32"/>
      <c r="BXN50" s="32"/>
      <c r="BXO50" s="32"/>
      <c r="BXP50" s="32"/>
      <c r="BXQ50" s="32"/>
      <c r="BXR50" s="32"/>
      <c r="BXS50" s="32"/>
      <c r="BXT50" s="32"/>
      <c r="BXU50" s="32"/>
      <c r="BXV50" s="32"/>
      <c r="BXW50" s="32"/>
      <c r="BXX50" s="32"/>
      <c r="BXY50" s="32"/>
      <c r="BXZ50" s="32"/>
      <c r="BYA50" s="32"/>
      <c r="BYB50" s="32"/>
      <c r="BYC50" s="32"/>
      <c r="BYD50" s="32"/>
      <c r="BYE50" s="32"/>
      <c r="BYF50" s="32"/>
      <c r="BYG50" s="32"/>
      <c r="BYH50" s="32"/>
      <c r="BYI50" s="32"/>
      <c r="BYJ50" s="32"/>
      <c r="BYK50" s="32"/>
      <c r="BYL50" s="32"/>
      <c r="BYM50" s="32"/>
      <c r="BYN50" s="32"/>
      <c r="BYO50" s="32"/>
      <c r="BYP50" s="32"/>
      <c r="BYQ50" s="32"/>
      <c r="BYR50" s="32"/>
      <c r="BYS50" s="32"/>
      <c r="BYT50" s="32"/>
      <c r="BYU50" s="32"/>
      <c r="BYV50" s="32"/>
      <c r="BYW50" s="32"/>
      <c r="BYX50" s="32"/>
      <c r="BYY50" s="32"/>
      <c r="BYZ50" s="32"/>
      <c r="BZA50" s="32"/>
      <c r="BZB50" s="32"/>
      <c r="BZC50" s="32"/>
      <c r="BZD50" s="32"/>
      <c r="BZE50" s="32"/>
      <c r="BZF50" s="32"/>
      <c r="BZG50" s="32"/>
      <c r="BZH50" s="32"/>
      <c r="BZI50" s="32"/>
      <c r="BZJ50" s="32"/>
      <c r="BZK50" s="32"/>
      <c r="BZL50" s="32"/>
      <c r="BZM50" s="32"/>
      <c r="BZN50" s="32"/>
      <c r="BZO50" s="32"/>
      <c r="BZP50" s="32"/>
      <c r="BZQ50" s="32"/>
      <c r="BZR50" s="32"/>
      <c r="BZS50" s="32"/>
      <c r="BZT50" s="32"/>
      <c r="BZU50" s="32"/>
      <c r="BZV50" s="32"/>
      <c r="BZW50" s="32"/>
      <c r="BZX50" s="32"/>
      <c r="BZY50" s="32"/>
      <c r="BZZ50" s="32"/>
      <c r="CAA50" s="32"/>
      <c r="CAB50" s="32"/>
      <c r="CAC50" s="32"/>
      <c r="CAD50" s="32"/>
      <c r="CAE50" s="32"/>
      <c r="CAF50" s="32"/>
      <c r="CAG50" s="32"/>
      <c r="CAH50" s="32"/>
      <c r="CAI50" s="32"/>
      <c r="CAJ50" s="32"/>
      <c r="CAK50" s="32"/>
      <c r="CAL50" s="32"/>
      <c r="CAM50" s="32"/>
      <c r="CAN50" s="32"/>
      <c r="CAO50" s="32"/>
      <c r="CAP50" s="32"/>
      <c r="CAQ50" s="32"/>
      <c r="CAR50" s="32"/>
      <c r="CAS50" s="32"/>
      <c r="CAT50" s="32"/>
      <c r="CAU50" s="32"/>
      <c r="CAV50" s="32"/>
      <c r="CAW50" s="32"/>
      <c r="CAX50" s="32"/>
      <c r="CAY50" s="32"/>
      <c r="CAZ50" s="32"/>
      <c r="CBA50" s="32"/>
      <c r="CBB50" s="32"/>
      <c r="CBC50" s="32"/>
      <c r="CBD50" s="32"/>
      <c r="CBE50" s="32"/>
      <c r="CBF50" s="32"/>
      <c r="CBG50" s="32"/>
      <c r="CBH50" s="32"/>
      <c r="CBI50" s="32"/>
      <c r="CBJ50" s="32"/>
      <c r="CBK50" s="32"/>
      <c r="CBL50" s="32"/>
      <c r="CBM50" s="32"/>
      <c r="CBN50" s="32"/>
      <c r="CBO50" s="32"/>
      <c r="CBP50" s="32"/>
      <c r="CBQ50" s="32"/>
      <c r="CBR50" s="32"/>
      <c r="CBS50" s="32"/>
      <c r="CBT50" s="32"/>
      <c r="CBU50" s="32"/>
      <c r="CBV50" s="32"/>
      <c r="CBW50" s="32"/>
      <c r="CBX50" s="32"/>
      <c r="CBY50" s="32"/>
      <c r="CBZ50" s="32"/>
      <c r="CCA50" s="32"/>
      <c r="CCB50" s="32"/>
      <c r="CCC50" s="32"/>
      <c r="CCD50" s="32"/>
      <c r="CCE50" s="32"/>
      <c r="CCF50" s="32"/>
      <c r="CCG50" s="32"/>
      <c r="CCH50" s="32"/>
      <c r="CCI50" s="32"/>
      <c r="CCJ50" s="32"/>
      <c r="CCK50" s="32"/>
      <c r="CCL50" s="32"/>
      <c r="CCM50" s="32"/>
      <c r="CCN50" s="32"/>
      <c r="CCO50" s="32"/>
      <c r="CCP50" s="32"/>
      <c r="CCQ50" s="32"/>
      <c r="CCR50" s="32"/>
      <c r="CCS50" s="32"/>
      <c r="CCT50" s="32"/>
      <c r="CCU50" s="32"/>
      <c r="CCV50" s="32"/>
      <c r="CCW50" s="32"/>
      <c r="CCX50" s="32"/>
      <c r="CCY50" s="32"/>
      <c r="CCZ50" s="32"/>
      <c r="CDA50" s="32"/>
      <c r="CDB50" s="32"/>
      <c r="CDC50" s="32"/>
      <c r="CDD50" s="32"/>
      <c r="CDE50" s="32"/>
      <c r="CDF50" s="32"/>
      <c r="CDG50" s="32"/>
      <c r="CDH50" s="32"/>
      <c r="CDI50" s="32"/>
      <c r="CDJ50" s="32"/>
      <c r="CDK50" s="32"/>
      <c r="CDL50" s="32"/>
      <c r="CDM50" s="32"/>
      <c r="CDN50" s="32"/>
      <c r="CDO50" s="32"/>
      <c r="CDP50" s="32"/>
      <c r="CDQ50" s="32"/>
      <c r="CDR50" s="32"/>
      <c r="CDS50" s="32"/>
      <c r="CDT50" s="32"/>
      <c r="CDU50" s="32"/>
      <c r="CDV50" s="32"/>
      <c r="CDW50" s="32"/>
      <c r="CDX50" s="32"/>
      <c r="CDY50" s="32"/>
      <c r="CDZ50" s="32"/>
      <c r="CEA50" s="32"/>
      <c r="CEB50" s="32"/>
      <c r="CEC50" s="32"/>
      <c r="CED50" s="32"/>
      <c r="CEE50" s="32"/>
      <c r="CEF50" s="32"/>
      <c r="CEG50" s="32"/>
      <c r="CEH50" s="32"/>
      <c r="CEI50" s="32"/>
      <c r="CEJ50" s="32"/>
      <c r="CEK50" s="32"/>
      <c r="CEL50" s="32"/>
      <c r="CEM50" s="32"/>
      <c r="CEN50" s="32"/>
      <c r="CEO50" s="32"/>
      <c r="CEP50" s="32"/>
      <c r="CEQ50" s="32"/>
      <c r="CER50" s="32"/>
      <c r="CES50" s="32"/>
      <c r="CET50" s="32"/>
      <c r="CEU50" s="32"/>
      <c r="CEV50" s="32"/>
      <c r="CEW50" s="32"/>
      <c r="CEX50" s="32"/>
      <c r="CEY50" s="32"/>
      <c r="CEZ50" s="32"/>
      <c r="CFA50" s="32"/>
      <c r="CFB50" s="32"/>
      <c r="CFC50" s="32"/>
      <c r="CFD50" s="32"/>
      <c r="CFE50" s="32"/>
      <c r="CFF50" s="32"/>
      <c r="CFG50" s="32"/>
      <c r="CFH50" s="32"/>
      <c r="CFI50" s="32"/>
      <c r="CFJ50" s="32"/>
      <c r="CFK50" s="32"/>
      <c r="CFL50" s="32"/>
      <c r="CFM50" s="32"/>
      <c r="CFN50" s="32"/>
      <c r="CFO50" s="32"/>
      <c r="CFP50" s="32"/>
      <c r="CFQ50" s="32"/>
      <c r="CFR50" s="32"/>
      <c r="CFS50" s="32"/>
      <c r="CFT50" s="32"/>
      <c r="CFU50" s="32"/>
      <c r="CFV50" s="32"/>
      <c r="CFW50" s="32"/>
      <c r="CFX50" s="32"/>
      <c r="CFY50" s="32"/>
      <c r="CFZ50" s="32"/>
      <c r="CGA50" s="32"/>
      <c r="CGB50" s="32"/>
      <c r="CGC50" s="32"/>
      <c r="CGD50" s="32"/>
      <c r="CGE50" s="32"/>
      <c r="CGF50" s="32"/>
      <c r="CGG50" s="32"/>
      <c r="CGH50" s="32"/>
      <c r="CGI50" s="32"/>
      <c r="CGJ50" s="32"/>
      <c r="CGK50" s="32"/>
      <c r="CGL50" s="32"/>
      <c r="CGM50" s="32"/>
      <c r="CGN50" s="32"/>
      <c r="CGO50" s="32"/>
      <c r="CGP50" s="32"/>
      <c r="CGQ50" s="32"/>
      <c r="CGR50" s="32"/>
      <c r="CGS50" s="32"/>
      <c r="CGT50" s="32"/>
      <c r="CGU50" s="32"/>
      <c r="CGV50" s="32"/>
      <c r="CGW50" s="32"/>
      <c r="CGX50" s="32"/>
      <c r="CGY50" s="32"/>
      <c r="CGZ50" s="32"/>
      <c r="CHA50" s="32"/>
      <c r="CHB50" s="32"/>
      <c r="CHC50" s="32"/>
      <c r="CHD50" s="32"/>
      <c r="CHE50" s="32"/>
      <c r="CHF50" s="32"/>
      <c r="CHG50" s="32"/>
      <c r="CHH50" s="32"/>
      <c r="CHI50" s="32"/>
      <c r="CHJ50" s="32"/>
      <c r="CHK50" s="32"/>
      <c r="CHL50" s="32"/>
      <c r="CHM50" s="32"/>
      <c r="CHN50" s="32"/>
      <c r="CHO50" s="32"/>
      <c r="CHP50" s="32"/>
      <c r="CHQ50" s="32"/>
      <c r="CHR50" s="32"/>
      <c r="CHS50" s="32"/>
      <c r="CHT50" s="32"/>
      <c r="CHU50" s="32"/>
      <c r="CHV50" s="32"/>
      <c r="CHW50" s="32"/>
      <c r="CHX50" s="32"/>
      <c r="CHY50" s="32"/>
      <c r="CHZ50" s="32"/>
      <c r="CIA50" s="32"/>
      <c r="CIB50" s="32"/>
      <c r="CIC50" s="32"/>
      <c r="CID50" s="32"/>
      <c r="CIE50" s="32"/>
      <c r="CIF50" s="32"/>
      <c r="CIG50" s="32"/>
      <c r="CIH50" s="32"/>
      <c r="CII50" s="32"/>
      <c r="CIJ50" s="32"/>
      <c r="CIK50" s="32"/>
      <c r="CIL50" s="32"/>
      <c r="CIM50" s="32"/>
      <c r="CIN50" s="32"/>
      <c r="CIO50" s="32"/>
      <c r="CIP50" s="32"/>
      <c r="CIQ50" s="32"/>
      <c r="CIR50" s="32"/>
      <c r="CIS50" s="32"/>
      <c r="CIT50" s="32"/>
      <c r="CIU50" s="32"/>
      <c r="CIV50" s="32"/>
      <c r="CIW50" s="32"/>
      <c r="CIX50" s="32"/>
      <c r="CIY50" s="32"/>
      <c r="CIZ50" s="32"/>
      <c r="CJA50" s="32"/>
      <c r="CJB50" s="32"/>
      <c r="CJC50" s="32"/>
      <c r="CJD50" s="32"/>
      <c r="CJE50" s="32"/>
      <c r="CJF50" s="32"/>
      <c r="CJG50" s="32"/>
      <c r="CJH50" s="32"/>
      <c r="CJI50" s="32"/>
      <c r="CJJ50" s="32"/>
      <c r="CJK50" s="32"/>
      <c r="CJL50" s="32"/>
      <c r="CJM50" s="32"/>
      <c r="CJN50" s="32"/>
      <c r="CJO50" s="32"/>
      <c r="CJP50" s="32"/>
      <c r="CJQ50" s="32"/>
      <c r="CJR50" s="32"/>
      <c r="CJS50" s="32"/>
      <c r="CJT50" s="32"/>
      <c r="CJU50" s="32"/>
      <c r="CJV50" s="32"/>
      <c r="CJW50" s="32"/>
      <c r="CJX50" s="32"/>
      <c r="CJY50" s="32"/>
      <c r="CJZ50" s="32"/>
      <c r="CKA50" s="32"/>
      <c r="CKB50" s="32"/>
      <c r="CKC50" s="32"/>
      <c r="CKD50" s="32"/>
      <c r="CKE50" s="32"/>
      <c r="CKF50" s="32"/>
      <c r="CKG50" s="32"/>
      <c r="CKH50" s="32"/>
      <c r="CKI50" s="32"/>
      <c r="CKJ50" s="32"/>
      <c r="CKK50" s="32"/>
      <c r="CKL50" s="32"/>
      <c r="CKM50" s="32"/>
      <c r="CKN50" s="32"/>
      <c r="CKO50" s="32"/>
      <c r="CKP50" s="32"/>
      <c r="CKQ50" s="32"/>
      <c r="CKR50" s="32"/>
      <c r="CKS50" s="32"/>
      <c r="CKT50" s="32"/>
      <c r="CKU50" s="32"/>
      <c r="CKV50" s="32"/>
      <c r="CKW50" s="32"/>
      <c r="CKX50" s="32"/>
      <c r="CKY50" s="32"/>
      <c r="CKZ50" s="32"/>
      <c r="CLA50" s="32"/>
      <c r="CLB50" s="32"/>
      <c r="CLC50" s="32"/>
      <c r="CLD50" s="32"/>
      <c r="CLE50" s="32"/>
      <c r="CLF50" s="32"/>
      <c r="CLG50" s="32"/>
      <c r="CLH50" s="32"/>
      <c r="CLI50" s="32"/>
      <c r="CLJ50" s="32"/>
      <c r="CLK50" s="32"/>
      <c r="CLL50" s="32"/>
      <c r="CLM50" s="32"/>
      <c r="CLN50" s="32"/>
      <c r="CLO50" s="32"/>
      <c r="CLP50" s="32"/>
      <c r="CLQ50" s="32"/>
      <c r="CLR50" s="32"/>
      <c r="CLS50" s="32"/>
      <c r="CLT50" s="32"/>
      <c r="CLU50" s="32"/>
      <c r="CLV50" s="32"/>
      <c r="CLW50" s="32"/>
      <c r="CLX50" s="32"/>
      <c r="CLY50" s="32"/>
      <c r="CLZ50" s="32"/>
      <c r="CMA50" s="32"/>
      <c r="CMB50" s="32"/>
      <c r="CMC50" s="32"/>
      <c r="CMD50" s="32"/>
      <c r="CME50" s="32"/>
      <c r="CMF50" s="32"/>
      <c r="CMG50" s="32"/>
      <c r="CMH50" s="32"/>
      <c r="CMI50" s="32"/>
      <c r="CMJ50" s="32"/>
      <c r="CMK50" s="32"/>
      <c r="CML50" s="32"/>
      <c r="CMM50" s="32"/>
      <c r="CMN50" s="32"/>
      <c r="CMO50" s="32"/>
      <c r="CMP50" s="32"/>
      <c r="CMQ50" s="32"/>
      <c r="CMR50" s="32"/>
      <c r="CMS50" s="32"/>
      <c r="CMT50" s="32"/>
      <c r="CMU50" s="32"/>
      <c r="CMV50" s="32"/>
      <c r="CMW50" s="32"/>
      <c r="CMX50" s="32"/>
      <c r="CMY50" s="32"/>
      <c r="CMZ50" s="32"/>
      <c r="CNA50" s="32"/>
      <c r="CNB50" s="32"/>
      <c r="CNC50" s="32"/>
      <c r="CND50" s="32"/>
      <c r="CNE50" s="32"/>
      <c r="CNF50" s="32"/>
      <c r="CNG50" s="32"/>
      <c r="CNH50" s="32"/>
      <c r="CNI50" s="32"/>
      <c r="CNJ50" s="32"/>
      <c r="CNK50" s="32"/>
      <c r="CNL50" s="32"/>
      <c r="CNM50" s="32"/>
      <c r="CNN50" s="32"/>
      <c r="CNO50" s="32"/>
      <c r="CNP50" s="32"/>
      <c r="CNQ50" s="32"/>
      <c r="CNR50" s="32"/>
      <c r="CNS50" s="32"/>
      <c r="CNT50" s="32"/>
      <c r="CNU50" s="32"/>
      <c r="CNV50" s="32"/>
      <c r="CNW50" s="32"/>
      <c r="CNX50" s="32"/>
      <c r="CNY50" s="32"/>
      <c r="CNZ50" s="32"/>
      <c r="COA50" s="32"/>
      <c r="COB50" s="32"/>
      <c r="COC50" s="32"/>
      <c r="COD50" s="32"/>
      <c r="COE50" s="32"/>
      <c r="COF50" s="32"/>
      <c r="COG50" s="32"/>
      <c r="COH50" s="32"/>
      <c r="COI50" s="32"/>
      <c r="COJ50" s="32"/>
      <c r="COK50" s="32"/>
      <c r="COL50" s="32"/>
      <c r="COM50" s="32"/>
      <c r="CON50" s="32"/>
      <c r="COO50" s="32"/>
      <c r="COP50" s="32"/>
      <c r="COQ50" s="32"/>
      <c r="COR50" s="32"/>
      <c r="COS50" s="32"/>
      <c r="COT50" s="32"/>
      <c r="COU50" s="32"/>
      <c r="COV50" s="32"/>
      <c r="COW50" s="32"/>
      <c r="COX50" s="32"/>
      <c r="COY50" s="32"/>
      <c r="COZ50" s="32"/>
      <c r="CPA50" s="32"/>
      <c r="CPB50" s="32"/>
      <c r="CPC50" s="32"/>
      <c r="CPD50" s="32"/>
      <c r="CPE50" s="32"/>
      <c r="CPF50" s="32"/>
      <c r="CPG50" s="32"/>
      <c r="CPH50" s="32"/>
      <c r="CPI50" s="32"/>
      <c r="CPJ50" s="32"/>
      <c r="CPK50" s="32"/>
      <c r="CPL50" s="32"/>
      <c r="CPM50" s="32"/>
      <c r="CPN50" s="32"/>
      <c r="CPO50" s="32"/>
      <c r="CPP50" s="32"/>
      <c r="CPQ50" s="32"/>
      <c r="CPR50" s="32"/>
      <c r="CPS50" s="32"/>
      <c r="CPT50" s="32"/>
      <c r="CPU50" s="32"/>
      <c r="CPV50" s="32"/>
      <c r="CPW50" s="32"/>
      <c r="CPX50" s="32"/>
      <c r="CPY50" s="32"/>
      <c r="CPZ50" s="32"/>
      <c r="CQA50" s="32"/>
      <c r="CQB50" s="32"/>
      <c r="CQC50" s="32"/>
      <c r="CQD50" s="32"/>
      <c r="CQE50" s="32"/>
      <c r="CQF50" s="32"/>
      <c r="CQG50" s="32"/>
      <c r="CQH50" s="32"/>
      <c r="CQI50" s="32"/>
      <c r="CQJ50" s="32"/>
      <c r="CQK50" s="32"/>
      <c r="CQL50" s="32"/>
      <c r="CQM50" s="32"/>
      <c r="CQN50" s="32"/>
      <c r="CQO50" s="32"/>
      <c r="CQP50" s="32"/>
      <c r="CQQ50" s="32"/>
      <c r="CQR50" s="32"/>
      <c r="CQS50" s="32"/>
      <c r="CQT50" s="32"/>
      <c r="CQU50" s="32"/>
      <c r="CQV50" s="32"/>
      <c r="CQW50" s="32"/>
      <c r="CQX50" s="32"/>
      <c r="CQY50" s="32"/>
      <c r="CQZ50" s="32"/>
      <c r="CRA50" s="32"/>
      <c r="CRB50" s="32"/>
      <c r="CRC50" s="32"/>
      <c r="CRD50" s="32"/>
      <c r="CRE50" s="32"/>
      <c r="CRF50" s="32"/>
      <c r="CRG50" s="32"/>
      <c r="CRH50" s="32"/>
      <c r="CRI50" s="32"/>
      <c r="CRJ50" s="32"/>
      <c r="CRK50" s="32"/>
      <c r="CRL50" s="32"/>
      <c r="CRM50" s="32"/>
      <c r="CRN50" s="32"/>
      <c r="CRO50" s="32"/>
      <c r="CRP50" s="32"/>
      <c r="CRQ50" s="32"/>
      <c r="CRR50" s="32"/>
      <c r="CRS50" s="32"/>
      <c r="CRT50" s="32"/>
      <c r="CRU50" s="32"/>
      <c r="CRV50" s="32"/>
      <c r="CRW50" s="32"/>
      <c r="CRX50" s="32"/>
      <c r="CRY50" s="32"/>
      <c r="CRZ50" s="32"/>
      <c r="CSA50" s="32"/>
      <c r="CSB50" s="32"/>
      <c r="CSC50" s="32"/>
      <c r="CSD50" s="32"/>
      <c r="CSE50" s="32"/>
      <c r="CSF50" s="32"/>
      <c r="CSG50" s="32"/>
      <c r="CSH50" s="32"/>
      <c r="CSI50" s="32"/>
      <c r="CSJ50" s="32"/>
      <c r="CSK50" s="32"/>
      <c r="CSL50" s="32"/>
      <c r="CSM50" s="32"/>
      <c r="CSN50" s="32"/>
      <c r="CSO50" s="32"/>
      <c r="CSP50" s="32"/>
      <c r="CSQ50" s="32"/>
      <c r="CSR50" s="32"/>
      <c r="CSS50" s="32"/>
      <c r="CST50" s="32"/>
      <c r="CSU50" s="32"/>
      <c r="CSV50" s="32"/>
      <c r="CSW50" s="32"/>
      <c r="CSX50" s="32"/>
      <c r="CSY50" s="32"/>
      <c r="CSZ50" s="32"/>
      <c r="CTA50" s="32"/>
      <c r="CTB50" s="32"/>
      <c r="CTC50" s="32"/>
      <c r="CTD50" s="32"/>
      <c r="CTE50" s="32"/>
      <c r="CTF50" s="32"/>
      <c r="CTG50" s="32"/>
      <c r="CTH50" s="32"/>
      <c r="CTI50" s="32"/>
      <c r="CTJ50" s="32"/>
      <c r="CTK50" s="32"/>
      <c r="CTL50" s="32"/>
      <c r="CTM50" s="32"/>
      <c r="CTN50" s="32"/>
      <c r="CTO50" s="32"/>
      <c r="CTP50" s="32"/>
      <c r="CTQ50" s="32"/>
      <c r="CTR50" s="32"/>
      <c r="CTS50" s="32"/>
      <c r="CTT50" s="32"/>
      <c r="CTU50" s="32"/>
      <c r="CTV50" s="32"/>
      <c r="CTW50" s="32"/>
      <c r="CTX50" s="32"/>
      <c r="CTY50" s="32"/>
      <c r="CTZ50" s="32"/>
      <c r="CUA50" s="32"/>
      <c r="CUB50" s="32"/>
      <c r="CUC50" s="32"/>
      <c r="CUD50" s="32"/>
      <c r="CUE50" s="32"/>
      <c r="CUF50" s="32"/>
      <c r="CUG50" s="32"/>
      <c r="CUH50" s="32"/>
      <c r="CUI50" s="32"/>
      <c r="CUJ50" s="32"/>
      <c r="CUK50" s="32"/>
      <c r="CUL50" s="32"/>
      <c r="CUM50" s="32"/>
      <c r="CUN50" s="32"/>
      <c r="CUO50" s="32"/>
      <c r="CUP50" s="32"/>
      <c r="CUQ50" s="32"/>
      <c r="CUR50" s="32"/>
      <c r="CUS50" s="32"/>
      <c r="CUT50" s="32"/>
      <c r="CUU50" s="32"/>
      <c r="CUV50" s="32"/>
      <c r="CUW50" s="32"/>
      <c r="CUX50" s="32"/>
      <c r="CUY50" s="32"/>
      <c r="CUZ50" s="32"/>
      <c r="CVA50" s="32"/>
      <c r="CVB50" s="32"/>
      <c r="CVC50" s="32"/>
      <c r="CVD50" s="32"/>
      <c r="CVE50" s="32"/>
      <c r="CVF50" s="32"/>
      <c r="CVG50" s="32"/>
      <c r="CVH50" s="32"/>
      <c r="CVI50" s="32"/>
      <c r="CVJ50" s="32"/>
      <c r="CVK50" s="32"/>
      <c r="CVL50" s="32"/>
      <c r="CVM50" s="32"/>
      <c r="CVN50" s="32"/>
      <c r="CVO50" s="32"/>
      <c r="CVP50" s="32"/>
      <c r="CVQ50" s="32"/>
      <c r="CVR50" s="32"/>
      <c r="CVS50" s="32"/>
      <c r="CVT50" s="32"/>
      <c r="CVU50" s="32"/>
      <c r="CVV50" s="32"/>
      <c r="CVW50" s="32"/>
      <c r="CVX50" s="32"/>
      <c r="CVY50" s="32"/>
      <c r="CVZ50" s="32"/>
      <c r="CWA50" s="32"/>
      <c r="CWB50" s="32"/>
      <c r="CWC50" s="32"/>
      <c r="CWD50" s="32"/>
      <c r="CWE50" s="32"/>
      <c r="CWF50" s="32"/>
      <c r="CWG50" s="32"/>
      <c r="CWH50" s="32"/>
      <c r="CWI50" s="32"/>
      <c r="CWJ50" s="32"/>
      <c r="CWK50" s="32"/>
      <c r="CWL50" s="32"/>
      <c r="CWM50" s="32"/>
      <c r="CWN50" s="32"/>
      <c r="CWO50" s="32"/>
      <c r="CWP50" s="32"/>
      <c r="CWQ50" s="32"/>
      <c r="CWR50" s="32"/>
      <c r="CWS50" s="32"/>
      <c r="CWT50" s="32"/>
      <c r="CWU50" s="32"/>
      <c r="CWV50" s="32"/>
      <c r="CWW50" s="32"/>
      <c r="CWX50" s="32"/>
      <c r="CWY50" s="32"/>
      <c r="CWZ50" s="32"/>
      <c r="CXA50" s="32"/>
      <c r="CXB50" s="32"/>
      <c r="CXC50" s="32"/>
      <c r="CXD50" s="32"/>
      <c r="CXE50" s="32"/>
      <c r="CXF50" s="32"/>
      <c r="CXG50" s="32"/>
      <c r="CXH50" s="32"/>
      <c r="CXI50" s="32"/>
      <c r="CXJ50" s="32"/>
      <c r="CXK50" s="32"/>
      <c r="CXL50" s="32"/>
      <c r="CXM50" s="32"/>
      <c r="CXN50" s="32"/>
      <c r="CXO50" s="32"/>
      <c r="CXP50" s="32"/>
      <c r="CXQ50" s="32"/>
      <c r="CXR50" s="32"/>
      <c r="CXS50" s="32"/>
      <c r="CXT50" s="32"/>
      <c r="CXU50" s="32"/>
      <c r="CXV50" s="32"/>
      <c r="CXW50" s="32"/>
      <c r="CXX50" s="32"/>
      <c r="CXY50" s="32"/>
      <c r="CXZ50" s="32"/>
      <c r="CYA50" s="32"/>
      <c r="CYB50" s="32"/>
      <c r="CYC50" s="32"/>
      <c r="CYD50" s="32"/>
      <c r="CYE50" s="32"/>
      <c r="CYF50" s="32"/>
      <c r="CYG50" s="32"/>
      <c r="CYH50" s="32"/>
      <c r="CYI50" s="32"/>
      <c r="CYJ50" s="32"/>
      <c r="CYK50" s="32"/>
      <c r="CYL50" s="32"/>
      <c r="CYM50" s="32"/>
      <c r="CYN50" s="32"/>
      <c r="CYO50" s="32"/>
      <c r="CYP50" s="32"/>
      <c r="CYQ50" s="32"/>
      <c r="CYR50" s="32"/>
      <c r="CYS50" s="32"/>
      <c r="CYT50" s="32"/>
      <c r="CYU50" s="32"/>
      <c r="CYV50" s="32"/>
      <c r="CYW50" s="32"/>
      <c r="CYX50" s="32"/>
      <c r="CYY50" s="32"/>
      <c r="CYZ50" s="32"/>
      <c r="CZA50" s="32"/>
      <c r="CZB50" s="32"/>
      <c r="CZC50" s="32"/>
      <c r="CZD50" s="32"/>
      <c r="CZE50" s="32"/>
      <c r="CZF50" s="32"/>
      <c r="CZG50" s="32"/>
      <c r="CZH50" s="32"/>
      <c r="CZI50" s="32"/>
      <c r="CZJ50" s="32"/>
      <c r="CZK50" s="32"/>
      <c r="CZL50" s="32"/>
      <c r="CZM50" s="32"/>
      <c r="CZN50" s="32"/>
      <c r="CZO50" s="32"/>
      <c r="CZP50" s="32"/>
      <c r="CZQ50" s="32"/>
      <c r="CZR50" s="32"/>
      <c r="CZS50" s="32"/>
      <c r="CZT50" s="32"/>
      <c r="CZU50" s="32"/>
      <c r="CZV50" s="32"/>
      <c r="CZW50" s="32"/>
      <c r="CZX50" s="32"/>
      <c r="CZY50" s="32"/>
      <c r="CZZ50" s="32"/>
      <c r="DAA50" s="32"/>
      <c r="DAB50" s="32"/>
      <c r="DAC50" s="32"/>
      <c r="DAD50" s="32"/>
      <c r="DAE50" s="32"/>
      <c r="DAF50" s="32"/>
      <c r="DAG50" s="32"/>
      <c r="DAH50" s="32"/>
      <c r="DAI50" s="32"/>
      <c r="DAJ50" s="32"/>
      <c r="DAK50" s="32"/>
      <c r="DAL50" s="32"/>
      <c r="DAM50" s="32"/>
      <c r="DAN50" s="32"/>
      <c r="DAO50" s="32"/>
      <c r="DAP50" s="32"/>
      <c r="DAQ50" s="32"/>
      <c r="DAR50" s="32"/>
      <c r="DAS50" s="32"/>
      <c r="DAT50" s="32"/>
      <c r="DAU50" s="32"/>
      <c r="DAV50" s="32"/>
      <c r="DAW50" s="32"/>
      <c r="DAX50" s="32"/>
      <c r="DAY50" s="32"/>
      <c r="DAZ50" s="32"/>
      <c r="DBA50" s="32"/>
      <c r="DBB50" s="32"/>
      <c r="DBC50" s="32"/>
      <c r="DBD50" s="32"/>
      <c r="DBE50" s="32"/>
      <c r="DBF50" s="32"/>
      <c r="DBG50" s="32"/>
      <c r="DBH50" s="32"/>
      <c r="DBI50" s="32"/>
      <c r="DBJ50" s="32"/>
      <c r="DBK50" s="32"/>
      <c r="DBL50" s="32"/>
      <c r="DBM50" s="32"/>
      <c r="DBN50" s="32"/>
      <c r="DBO50" s="32"/>
      <c r="DBP50" s="32"/>
      <c r="DBQ50" s="32"/>
      <c r="DBR50" s="32"/>
      <c r="DBS50" s="32"/>
      <c r="DBT50" s="32"/>
      <c r="DBU50" s="32"/>
      <c r="DBV50" s="32"/>
      <c r="DBW50" s="32"/>
      <c r="DBX50" s="32"/>
      <c r="DBY50" s="32"/>
      <c r="DBZ50" s="32"/>
      <c r="DCA50" s="32"/>
      <c r="DCB50" s="32"/>
      <c r="DCC50" s="32"/>
      <c r="DCD50" s="32"/>
      <c r="DCE50" s="32"/>
      <c r="DCF50" s="32"/>
      <c r="DCG50" s="32"/>
      <c r="DCH50" s="32"/>
      <c r="DCI50" s="32"/>
      <c r="DCJ50" s="32"/>
      <c r="DCK50" s="32"/>
      <c r="DCL50" s="32"/>
      <c r="DCM50" s="32"/>
      <c r="DCN50" s="32"/>
      <c r="DCO50" s="32"/>
      <c r="DCP50" s="32"/>
      <c r="DCQ50" s="32"/>
      <c r="DCR50" s="32"/>
      <c r="DCS50" s="32"/>
      <c r="DCT50" s="32"/>
      <c r="DCU50" s="32"/>
      <c r="DCV50" s="32"/>
      <c r="DCW50" s="32"/>
      <c r="DCX50" s="32"/>
      <c r="DCY50" s="32"/>
      <c r="DCZ50" s="32"/>
      <c r="DDA50" s="32"/>
      <c r="DDB50" s="32"/>
      <c r="DDC50" s="32"/>
      <c r="DDD50" s="32"/>
      <c r="DDE50" s="32"/>
      <c r="DDF50" s="32"/>
      <c r="DDG50" s="32"/>
      <c r="DDH50" s="32"/>
      <c r="DDI50" s="32"/>
      <c r="DDJ50" s="32"/>
      <c r="DDK50" s="32"/>
      <c r="DDL50" s="32"/>
      <c r="DDM50" s="32"/>
      <c r="DDN50" s="32"/>
      <c r="DDO50" s="32"/>
      <c r="DDP50" s="32"/>
      <c r="DDQ50" s="32"/>
      <c r="DDR50" s="32"/>
      <c r="DDS50" s="32"/>
      <c r="DDT50" s="32"/>
      <c r="DDU50" s="32"/>
      <c r="DDV50" s="32"/>
      <c r="DDW50" s="32"/>
      <c r="DDX50" s="32"/>
      <c r="DDY50" s="32"/>
      <c r="DDZ50" s="32"/>
      <c r="DEA50" s="32"/>
      <c r="DEB50" s="32"/>
      <c r="DEC50" s="32"/>
      <c r="DED50" s="32"/>
      <c r="DEE50" s="32"/>
      <c r="DEF50" s="32"/>
      <c r="DEG50" s="32"/>
      <c r="DEH50" s="32"/>
      <c r="DEI50" s="32"/>
      <c r="DEJ50" s="32"/>
      <c r="DEK50" s="32"/>
      <c r="DEL50" s="32"/>
      <c r="DEM50" s="32"/>
      <c r="DEN50" s="32"/>
      <c r="DEO50" s="32"/>
      <c r="DEP50" s="32"/>
      <c r="DEQ50" s="32"/>
      <c r="DER50" s="32"/>
      <c r="DES50" s="32"/>
      <c r="DET50" s="32"/>
      <c r="DEU50" s="32"/>
      <c r="DEV50" s="32"/>
      <c r="DEW50" s="32"/>
      <c r="DEX50" s="32"/>
      <c r="DEY50" s="32"/>
      <c r="DEZ50" s="32"/>
      <c r="DFA50" s="32"/>
      <c r="DFB50" s="32"/>
      <c r="DFC50" s="32"/>
      <c r="DFD50" s="32"/>
      <c r="DFE50" s="32"/>
      <c r="DFF50" s="32"/>
      <c r="DFG50" s="32"/>
      <c r="DFH50" s="32"/>
      <c r="DFI50" s="32"/>
      <c r="DFJ50" s="32"/>
      <c r="DFK50" s="32"/>
      <c r="DFL50" s="32"/>
      <c r="DFM50" s="32"/>
      <c r="DFN50" s="32"/>
      <c r="DFO50" s="32"/>
      <c r="DFP50" s="32"/>
      <c r="DFQ50" s="32"/>
      <c r="DFR50" s="32"/>
      <c r="DFS50" s="32"/>
      <c r="DFT50" s="32"/>
      <c r="DFU50" s="32"/>
      <c r="DFV50" s="32"/>
      <c r="DFW50" s="32"/>
      <c r="DFX50" s="32"/>
      <c r="DFY50" s="32"/>
      <c r="DFZ50" s="32"/>
      <c r="DGA50" s="32"/>
      <c r="DGB50" s="32"/>
      <c r="DGC50" s="32"/>
      <c r="DGD50" s="32"/>
      <c r="DGE50" s="32"/>
      <c r="DGF50" s="32"/>
      <c r="DGG50" s="32"/>
      <c r="DGH50" s="32"/>
      <c r="DGI50" s="32"/>
      <c r="DGJ50" s="32"/>
      <c r="DGK50" s="32"/>
      <c r="DGL50" s="32"/>
      <c r="DGM50" s="32"/>
      <c r="DGN50" s="32"/>
      <c r="DGO50" s="32"/>
      <c r="DGP50" s="32"/>
      <c r="DGQ50" s="32"/>
      <c r="DGR50" s="32"/>
      <c r="DGS50" s="32"/>
      <c r="DGT50" s="32"/>
      <c r="DGU50" s="32"/>
      <c r="DGV50" s="32"/>
      <c r="DGW50" s="32"/>
      <c r="DGX50" s="32"/>
      <c r="DGY50" s="32"/>
      <c r="DGZ50" s="32"/>
      <c r="DHA50" s="32"/>
      <c r="DHB50" s="32"/>
      <c r="DHC50" s="32"/>
      <c r="DHD50" s="32"/>
      <c r="DHE50" s="32"/>
      <c r="DHF50" s="32"/>
      <c r="DHG50" s="32"/>
      <c r="DHH50" s="32"/>
      <c r="DHI50" s="32"/>
      <c r="DHJ50" s="32"/>
      <c r="DHK50" s="32"/>
      <c r="DHL50" s="32"/>
      <c r="DHM50" s="32"/>
      <c r="DHN50" s="32"/>
      <c r="DHO50" s="32"/>
      <c r="DHP50" s="32"/>
      <c r="DHQ50" s="32"/>
      <c r="DHR50" s="32"/>
      <c r="DHS50" s="32"/>
      <c r="DHT50" s="32"/>
      <c r="DHU50" s="32"/>
      <c r="DHV50" s="32"/>
      <c r="DHW50" s="32"/>
      <c r="DHX50" s="32"/>
      <c r="DHY50" s="32"/>
      <c r="DHZ50" s="32"/>
      <c r="DIA50" s="32"/>
      <c r="DIB50" s="32"/>
      <c r="DIC50" s="32"/>
      <c r="DID50" s="32"/>
      <c r="DIE50" s="32"/>
      <c r="DIF50" s="32"/>
      <c r="DIG50" s="32"/>
      <c r="DIH50" s="32"/>
      <c r="DII50" s="32"/>
      <c r="DIJ50" s="32"/>
      <c r="DIK50" s="32"/>
      <c r="DIL50" s="32"/>
      <c r="DIM50" s="32"/>
      <c r="DIN50" s="32"/>
      <c r="DIO50" s="32"/>
      <c r="DIP50" s="32"/>
      <c r="DIQ50" s="32"/>
      <c r="DIR50" s="32"/>
      <c r="DIS50" s="32"/>
      <c r="DIT50" s="32"/>
      <c r="DIU50" s="32"/>
      <c r="DIV50" s="32"/>
      <c r="DIW50" s="32"/>
      <c r="DIX50" s="32"/>
      <c r="DIY50" s="32"/>
      <c r="DIZ50" s="32"/>
      <c r="DJA50" s="32"/>
      <c r="DJB50" s="32"/>
      <c r="DJC50" s="32"/>
      <c r="DJD50" s="32"/>
      <c r="DJE50" s="32"/>
      <c r="DJF50" s="32"/>
      <c r="DJG50" s="32"/>
      <c r="DJH50" s="32"/>
      <c r="DJI50" s="32"/>
      <c r="DJJ50" s="32"/>
      <c r="DJK50" s="32"/>
      <c r="DJL50" s="32"/>
      <c r="DJM50" s="32"/>
      <c r="DJN50" s="32"/>
      <c r="DJO50" s="32"/>
      <c r="DJP50" s="32"/>
      <c r="DJQ50" s="32"/>
      <c r="DJR50" s="32"/>
      <c r="DJS50" s="32"/>
      <c r="DJT50" s="32"/>
      <c r="DJU50" s="32"/>
      <c r="DJV50" s="32"/>
      <c r="DJW50" s="32"/>
      <c r="DJX50" s="32"/>
      <c r="DJY50" s="32"/>
      <c r="DJZ50" s="32"/>
      <c r="DKA50" s="32"/>
      <c r="DKB50" s="32"/>
      <c r="DKC50" s="32"/>
      <c r="DKD50" s="32"/>
      <c r="DKE50" s="32"/>
      <c r="DKF50" s="32"/>
      <c r="DKG50" s="32"/>
      <c r="DKH50" s="32"/>
      <c r="DKI50" s="32"/>
      <c r="DKJ50" s="32"/>
      <c r="DKK50" s="32"/>
      <c r="DKL50" s="32"/>
      <c r="DKM50" s="32"/>
      <c r="DKN50" s="32"/>
      <c r="DKO50" s="32"/>
      <c r="DKP50" s="32"/>
      <c r="DKQ50" s="32"/>
      <c r="DKR50" s="32"/>
      <c r="DKS50" s="32"/>
      <c r="DKT50" s="32"/>
      <c r="DKU50" s="32"/>
      <c r="DKV50" s="32"/>
      <c r="DKW50" s="32"/>
      <c r="DKX50" s="32"/>
      <c r="DKY50" s="32"/>
      <c r="DKZ50" s="32"/>
      <c r="DLA50" s="32"/>
      <c r="DLB50" s="32"/>
      <c r="DLC50" s="32"/>
      <c r="DLD50" s="32"/>
      <c r="DLE50" s="32"/>
      <c r="DLF50" s="32"/>
      <c r="DLG50" s="32"/>
      <c r="DLH50" s="32"/>
      <c r="DLI50" s="32"/>
      <c r="DLJ50" s="32"/>
      <c r="DLK50" s="32"/>
      <c r="DLL50" s="32"/>
      <c r="DLM50" s="32"/>
      <c r="DLN50" s="32"/>
      <c r="DLO50" s="32"/>
      <c r="DLP50" s="32"/>
      <c r="DLQ50" s="32"/>
      <c r="DLR50" s="32"/>
      <c r="DLS50" s="32"/>
      <c r="DLT50" s="32"/>
      <c r="DLU50" s="32"/>
      <c r="DLV50" s="32"/>
      <c r="DLW50" s="32"/>
      <c r="DLX50" s="32"/>
      <c r="DLY50" s="32"/>
      <c r="DLZ50" s="32"/>
      <c r="DMA50" s="32"/>
      <c r="DMB50" s="32"/>
      <c r="DMC50" s="32"/>
      <c r="DMD50" s="32"/>
      <c r="DME50" s="32"/>
      <c r="DMF50" s="32"/>
      <c r="DMG50" s="32"/>
      <c r="DMH50" s="32"/>
      <c r="DMI50" s="32"/>
      <c r="DMJ50" s="32"/>
      <c r="DMK50" s="32"/>
      <c r="DML50" s="32"/>
      <c r="DMM50" s="32"/>
      <c r="DMN50" s="32"/>
      <c r="DMO50" s="32"/>
      <c r="DMP50" s="32"/>
      <c r="DMQ50" s="32"/>
      <c r="DMR50" s="32"/>
      <c r="DMS50" s="32"/>
      <c r="DMT50" s="32"/>
      <c r="DMU50" s="32"/>
      <c r="DMV50" s="32"/>
      <c r="DMW50" s="32"/>
      <c r="DMX50" s="32"/>
      <c r="DMY50" s="32"/>
      <c r="DMZ50" s="32"/>
      <c r="DNA50" s="32"/>
      <c r="DNB50" s="32"/>
      <c r="DNC50" s="32"/>
      <c r="DND50" s="32"/>
      <c r="DNE50" s="32"/>
      <c r="DNF50" s="32"/>
      <c r="DNG50" s="32"/>
      <c r="DNH50" s="32"/>
      <c r="DNI50" s="32"/>
      <c r="DNJ50" s="32"/>
      <c r="DNK50" s="32"/>
      <c r="DNL50" s="32"/>
      <c r="DNM50" s="32"/>
      <c r="DNN50" s="32"/>
      <c r="DNO50" s="32"/>
      <c r="DNP50" s="32"/>
      <c r="DNQ50" s="32"/>
      <c r="DNR50" s="32"/>
      <c r="DNS50" s="32"/>
      <c r="DNT50" s="32"/>
      <c r="DNU50" s="32"/>
      <c r="DNV50" s="32"/>
      <c r="DNW50" s="32"/>
      <c r="DNX50" s="32"/>
      <c r="DNY50" s="32"/>
      <c r="DNZ50" s="32"/>
      <c r="DOA50" s="32"/>
      <c r="DOB50" s="32"/>
      <c r="DOC50" s="32"/>
      <c r="DOD50" s="32"/>
      <c r="DOE50" s="32"/>
      <c r="DOF50" s="32"/>
      <c r="DOG50" s="32"/>
      <c r="DOH50" s="32"/>
      <c r="DOI50" s="32"/>
      <c r="DOJ50" s="32"/>
      <c r="DOK50" s="32"/>
      <c r="DOL50" s="32"/>
      <c r="DOM50" s="32"/>
      <c r="DON50" s="32"/>
      <c r="DOO50" s="32"/>
      <c r="DOP50" s="32"/>
      <c r="DOQ50" s="32"/>
      <c r="DOR50" s="32"/>
      <c r="DOS50" s="32"/>
      <c r="DOT50" s="32"/>
      <c r="DOU50" s="32"/>
      <c r="DOV50" s="32"/>
      <c r="DOW50" s="32"/>
      <c r="DOX50" s="32"/>
      <c r="DOY50" s="32"/>
      <c r="DOZ50" s="32"/>
      <c r="DPA50" s="32"/>
      <c r="DPB50" s="32"/>
      <c r="DPC50" s="32"/>
      <c r="DPD50" s="32"/>
      <c r="DPE50" s="32"/>
      <c r="DPF50" s="32"/>
      <c r="DPG50" s="32"/>
      <c r="DPH50" s="32"/>
      <c r="DPI50" s="32"/>
      <c r="DPJ50" s="32"/>
      <c r="DPK50" s="32"/>
      <c r="DPL50" s="32"/>
      <c r="DPM50" s="32"/>
      <c r="DPN50" s="32"/>
      <c r="DPO50" s="32"/>
      <c r="DPP50" s="32"/>
      <c r="DPQ50" s="32"/>
      <c r="DPR50" s="32"/>
      <c r="DPS50" s="32"/>
      <c r="DPT50" s="32"/>
      <c r="DPU50" s="32"/>
      <c r="DPV50" s="32"/>
      <c r="DPW50" s="32"/>
      <c r="DPX50" s="32"/>
      <c r="DPY50" s="32"/>
      <c r="DPZ50" s="32"/>
      <c r="DQA50" s="32"/>
      <c r="DQB50" s="32"/>
      <c r="DQC50" s="32"/>
      <c r="DQD50" s="32"/>
      <c r="DQE50" s="32"/>
      <c r="DQF50" s="32"/>
      <c r="DQG50" s="32"/>
      <c r="DQH50" s="32"/>
      <c r="DQI50" s="32"/>
      <c r="DQJ50" s="32"/>
      <c r="DQK50" s="32"/>
      <c r="DQL50" s="32"/>
      <c r="DQM50" s="32"/>
      <c r="DQN50" s="32"/>
      <c r="DQO50" s="32"/>
      <c r="DQP50" s="32"/>
      <c r="DQQ50" s="32"/>
      <c r="DQR50" s="32"/>
      <c r="DQS50" s="32"/>
      <c r="DQT50" s="32"/>
      <c r="DQU50" s="32"/>
      <c r="DQV50" s="32"/>
      <c r="DQW50" s="32"/>
      <c r="DQX50" s="32"/>
      <c r="DQY50" s="32"/>
      <c r="DQZ50" s="32"/>
      <c r="DRA50" s="32"/>
      <c r="DRB50" s="32"/>
      <c r="DRC50" s="32"/>
      <c r="DRD50" s="32"/>
      <c r="DRE50" s="32"/>
      <c r="DRF50" s="32"/>
      <c r="DRG50" s="32"/>
      <c r="DRH50" s="32"/>
      <c r="DRI50" s="32"/>
      <c r="DRJ50" s="32"/>
      <c r="DRK50" s="32"/>
      <c r="DRL50" s="32"/>
      <c r="DRM50" s="32"/>
      <c r="DRN50" s="32"/>
      <c r="DRO50" s="32"/>
      <c r="DRP50" s="32"/>
      <c r="DRQ50" s="32"/>
      <c r="DRR50" s="32"/>
      <c r="DRS50" s="32"/>
      <c r="DRT50" s="32"/>
      <c r="DRU50" s="32"/>
      <c r="DRV50" s="32"/>
      <c r="DRW50" s="32"/>
      <c r="DRX50" s="32"/>
      <c r="DRY50" s="32"/>
      <c r="DRZ50" s="32"/>
      <c r="DSA50" s="32"/>
      <c r="DSB50" s="32"/>
      <c r="DSC50" s="32"/>
      <c r="DSD50" s="32"/>
      <c r="DSE50" s="32"/>
      <c r="DSF50" s="32"/>
      <c r="DSG50" s="32"/>
      <c r="DSH50" s="32"/>
      <c r="DSI50" s="32"/>
      <c r="DSJ50" s="32"/>
      <c r="DSK50" s="32"/>
      <c r="DSL50" s="32"/>
      <c r="DSM50" s="32"/>
      <c r="DSN50" s="32"/>
      <c r="DSO50" s="32"/>
      <c r="DSP50" s="32"/>
      <c r="DSQ50" s="32"/>
      <c r="DSR50" s="32"/>
      <c r="DSS50" s="32"/>
      <c r="DST50" s="32"/>
      <c r="DSU50" s="32"/>
      <c r="DSV50" s="32"/>
      <c r="DSW50" s="32"/>
      <c r="DSX50" s="32"/>
      <c r="DSY50" s="32"/>
      <c r="DSZ50" s="32"/>
      <c r="DTA50" s="32"/>
      <c r="DTB50" s="32"/>
      <c r="DTC50" s="32"/>
      <c r="DTD50" s="32"/>
      <c r="DTE50" s="32"/>
      <c r="DTF50" s="32"/>
      <c r="DTG50" s="32"/>
      <c r="DTH50" s="32"/>
      <c r="DTI50" s="32"/>
      <c r="DTJ50" s="32"/>
      <c r="DTK50" s="32"/>
      <c r="DTL50" s="32"/>
      <c r="DTM50" s="32"/>
      <c r="DTN50" s="32"/>
      <c r="DTO50" s="32"/>
      <c r="DTP50" s="32"/>
      <c r="DTQ50" s="32"/>
      <c r="DTR50" s="32"/>
      <c r="DTS50" s="32"/>
      <c r="DTT50" s="32"/>
      <c r="DTU50" s="32"/>
      <c r="DTV50" s="32"/>
      <c r="DTW50" s="32"/>
      <c r="DTX50" s="32"/>
      <c r="DTY50" s="32"/>
      <c r="DTZ50" s="32"/>
      <c r="DUA50" s="32"/>
      <c r="DUB50" s="32"/>
      <c r="DUC50" s="32"/>
      <c r="DUD50" s="32"/>
      <c r="DUE50" s="32"/>
      <c r="DUF50" s="32"/>
      <c r="DUG50" s="32"/>
      <c r="DUH50" s="32"/>
      <c r="DUI50" s="32"/>
      <c r="DUJ50" s="32"/>
      <c r="DUK50" s="32"/>
      <c r="DUL50" s="32"/>
      <c r="DUM50" s="32"/>
      <c r="DUN50" s="32"/>
      <c r="DUO50" s="32"/>
      <c r="DUP50" s="32"/>
      <c r="DUQ50" s="32"/>
      <c r="DUR50" s="32"/>
      <c r="DUS50" s="32"/>
      <c r="DUT50" s="32"/>
      <c r="DUU50" s="32"/>
      <c r="DUV50" s="32"/>
      <c r="DUW50" s="32"/>
      <c r="DUX50" s="32"/>
      <c r="DUY50" s="32"/>
      <c r="DUZ50" s="32"/>
      <c r="DVA50" s="32"/>
      <c r="DVB50" s="32"/>
      <c r="DVC50" s="32"/>
      <c r="DVD50" s="32"/>
      <c r="DVE50" s="32"/>
      <c r="DVF50" s="32"/>
      <c r="DVG50" s="32"/>
      <c r="DVH50" s="32"/>
      <c r="DVI50" s="32"/>
      <c r="DVJ50" s="32"/>
      <c r="DVK50" s="32"/>
      <c r="DVL50" s="32"/>
      <c r="DVM50" s="32"/>
      <c r="DVN50" s="32"/>
      <c r="DVO50" s="32"/>
      <c r="DVP50" s="32"/>
      <c r="DVQ50" s="32"/>
      <c r="DVR50" s="32"/>
      <c r="DVS50" s="32"/>
      <c r="DVT50" s="32"/>
      <c r="DVU50" s="32"/>
      <c r="DVV50" s="32"/>
      <c r="DVW50" s="32"/>
      <c r="DVX50" s="32"/>
      <c r="DVY50" s="32"/>
      <c r="DVZ50" s="32"/>
      <c r="DWA50" s="32"/>
      <c r="DWB50" s="32"/>
      <c r="DWC50" s="32"/>
      <c r="DWD50" s="32"/>
      <c r="DWE50" s="32"/>
      <c r="DWF50" s="32"/>
      <c r="DWG50" s="32"/>
      <c r="DWH50" s="32"/>
      <c r="DWI50" s="32"/>
      <c r="DWJ50" s="32"/>
      <c r="DWK50" s="32"/>
      <c r="DWL50" s="32"/>
      <c r="DWM50" s="32"/>
      <c r="DWN50" s="32"/>
      <c r="DWO50" s="32"/>
      <c r="DWP50" s="32"/>
      <c r="DWQ50" s="32"/>
      <c r="DWR50" s="32"/>
      <c r="DWS50" s="32"/>
      <c r="DWT50" s="32"/>
      <c r="DWU50" s="32"/>
      <c r="DWV50" s="32"/>
      <c r="DWW50" s="32"/>
      <c r="DWX50" s="32"/>
      <c r="DWY50" s="32"/>
      <c r="DWZ50" s="32"/>
      <c r="DXA50" s="32"/>
      <c r="DXB50" s="32"/>
      <c r="DXC50" s="32"/>
      <c r="DXD50" s="32"/>
      <c r="DXE50" s="32"/>
      <c r="DXF50" s="32"/>
      <c r="DXG50" s="32"/>
      <c r="DXH50" s="32"/>
      <c r="DXI50" s="32"/>
      <c r="DXJ50" s="32"/>
      <c r="DXK50" s="32"/>
      <c r="DXL50" s="32"/>
      <c r="DXM50" s="32"/>
      <c r="DXN50" s="32"/>
      <c r="DXO50" s="32"/>
      <c r="DXP50" s="32"/>
      <c r="DXQ50" s="32"/>
      <c r="DXR50" s="32"/>
      <c r="DXS50" s="32"/>
      <c r="DXT50" s="32"/>
      <c r="DXU50" s="32"/>
      <c r="DXV50" s="32"/>
      <c r="DXW50" s="32"/>
      <c r="DXX50" s="32"/>
      <c r="DXY50" s="32"/>
      <c r="DXZ50" s="32"/>
      <c r="DYA50" s="32"/>
      <c r="DYB50" s="32"/>
      <c r="DYC50" s="32"/>
      <c r="DYD50" s="32"/>
      <c r="DYE50" s="32"/>
      <c r="DYF50" s="32"/>
      <c r="DYG50" s="32"/>
      <c r="DYH50" s="32"/>
      <c r="DYI50" s="32"/>
      <c r="DYJ50" s="32"/>
      <c r="DYK50" s="32"/>
      <c r="DYL50" s="32"/>
      <c r="DYM50" s="32"/>
      <c r="DYN50" s="32"/>
      <c r="DYO50" s="32"/>
      <c r="DYP50" s="32"/>
      <c r="DYQ50" s="32"/>
      <c r="DYR50" s="32"/>
      <c r="DYS50" s="32"/>
      <c r="DYT50" s="32"/>
      <c r="DYU50" s="32"/>
      <c r="DYV50" s="32"/>
      <c r="DYW50" s="32"/>
      <c r="DYX50" s="32"/>
      <c r="DYY50" s="32"/>
      <c r="DYZ50" s="32"/>
      <c r="DZA50" s="32"/>
      <c r="DZB50" s="32"/>
      <c r="DZC50" s="32"/>
      <c r="DZD50" s="32"/>
      <c r="DZE50" s="32"/>
      <c r="DZF50" s="32"/>
      <c r="DZG50" s="32"/>
      <c r="DZH50" s="32"/>
      <c r="DZI50" s="32"/>
      <c r="DZJ50" s="32"/>
      <c r="DZK50" s="32"/>
      <c r="DZL50" s="32"/>
      <c r="DZM50" s="32"/>
      <c r="DZN50" s="32"/>
      <c r="DZO50" s="32"/>
      <c r="DZP50" s="32"/>
      <c r="DZQ50" s="32"/>
      <c r="DZR50" s="32"/>
      <c r="DZS50" s="32"/>
      <c r="DZT50" s="32"/>
      <c r="DZU50" s="32"/>
      <c r="DZV50" s="32"/>
      <c r="DZW50" s="32"/>
      <c r="DZX50" s="32"/>
      <c r="DZY50" s="32"/>
      <c r="DZZ50" s="32"/>
      <c r="EAA50" s="32"/>
      <c r="EAB50" s="32"/>
      <c r="EAC50" s="32"/>
      <c r="EAD50" s="32"/>
      <c r="EAE50" s="32"/>
      <c r="EAF50" s="32"/>
      <c r="EAG50" s="32"/>
      <c r="EAH50" s="32"/>
      <c r="EAI50" s="32"/>
      <c r="EAJ50" s="32"/>
      <c r="EAK50" s="32"/>
      <c r="EAL50" s="32"/>
      <c r="EAM50" s="32"/>
      <c r="EAN50" s="32"/>
      <c r="EAO50" s="32"/>
      <c r="EAP50" s="32"/>
      <c r="EAQ50" s="32"/>
      <c r="EAR50" s="32"/>
      <c r="EAS50" s="32"/>
      <c r="EAT50" s="32"/>
      <c r="EAU50" s="32"/>
      <c r="EAV50" s="32"/>
      <c r="EAW50" s="32"/>
      <c r="EAX50" s="32"/>
      <c r="EAY50" s="32"/>
      <c r="EAZ50" s="32"/>
      <c r="EBA50" s="32"/>
      <c r="EBB50" s="32"/>
      <c r="EBC50" s="32"/>
      <c r="EBD50" s="32"/>
      <c r="EBE50" s="32"/>
      <c r="EBF50" s="32"/>
      <c r="EBG50" s="32"/>
      <c r="EBH50" s="32"/>
      <c r="EBI50" s="32"/>
      <c r="EBJ50" s="32"/>
      <c r="EBK50" s="32"/>
      <c r="EBL50" s="32"/>
      <c r="EBM50" s="32"/>
      <c r="EBN50" s="32"/>
      <c r="EBO50" s="32"/>
      <c r="EBP50" s="32"/>
      <c r="EBQ50" s="32"/>
      <c r="EBR50" s="32"/>
      <c r="EBS50" s="32"/>
      <c r="EBT50" s="32"/>
      <c r="EBU50" s="32"/>
      <c r="EBV50" s="32"/>
      <c r="EBW50" s="32"/>
      <c r="EBX50" s="32"/>
      <c r="EBY50" s="32"/>
      <c r="EBZ50" s="32"/>
      <c r="ECA50" s="32"/>
      <c r="ECB50" s="32"/>
      <c r="ECC50" s="32"/>
      <c r="ECD50" s="32"/>
      <c r="ECE50" s="32"/>
      <c r="ECF50" s="32"/>
      <c r="ECG50" s="32"/>
      <c r="ECH50" s="32"/>
      <c r="ECI50" s="32"/>
      <c r="ECJ50" s="32"/>
      <c r="ECK50" s="32"/>
      <c r="ECL50" s="32"/>
      <c r="ECM50" s="32"/>
      <c r="ECN50" s="32"/>
      <c r="ECO50" s="32"/>
      <c r="ECP50" s="32"/>
      <c r="ECQ50" s="32"/>
      <c r="ECR50" s="32"/>
      <c r="ECS50" s="32"/>
      <c r="ECT50" s="32"/>
      <c r="ECU50" s="32"/>
      <c r="ECV50" s="32"/>
      <c r="ECW50" s="32"/>
      <c r="ECX50" s="32"/>
      <c r="ECY50" s="32"/>
      <c r="ECZ50" s="32"/>
      <c r="EDA50" s="32"/>
      <c r="EDB50" s="32"/>
      <c r="EDC50" s="32"/>
      <c r="EDD50" s="32"/>
      <c r="EDE50" s="32"/>
      <c r="EDF50" s="32"/>
      <c r="EDG50" s="32"/>
      <c r="EDH50" s="32"/>
      <c r="EDI50" s="32"/>
      <c r="EDJ50" s="32"/>
      <c r="EDK50" s="32"/>
      <c r="EDL50" s="32"/>
      <c r="EDM50" s="32"/>
      <c r="EDN50" s="32"/>
      <c r="EDO50" s="32"/>
      <c r="EDP50" s="32"/>
      <c r="EDQ50" s="32"/>
      <c r="EDR50" s="32"/>
      <c r="EDS50" s="32"/>
      <c r="EDT50" s="32"/>
      <c r="EDU50" s="32"/>
      <c r="EDV50" s="32"/>
      <c r="EDW50" s="32"/>
      <c r="EDX50" s="32"/>
      <c r="EDY50" s="32"/>
      <c r="EDZ50" s="32"/>
      <c r="EEA50" s="32"/>
      <c r="EEB50" s="32"/>
      <c r="EEC50" s="32"/>
      <c r="EED50" s="32"/>
      <c r="EEE50" s="32"/>
      <c r="EEF50" s="32"/>
      <c r="EEG50" s="32"/>
      <c r="EEH50" s="32"/>
      <c r="EEI50" s="32"/>
      <c r="EEJ50" s="32"/>
      <c r="EEK50" s="32"/>
      <c r="EEL50" s="32"/>
      <c r="EEM50" s="32"/>
      <c r="EEN50" s="32"/>
      <c r="EEO50" s="32"/>
      <c r="EEP50" s="32"/>
      <c r="EEQ50" s="32"/>
      <c r="EER50" s="32"/>
      <c r="EES50" s="32"/>
      <c r="EET50" s="32"/>
      <c r="EEU50" s="32"/>
      <c r="EEV50" s="32"/>
      <c r="EEW50" s="32"/>
      <c r="EEX50" s="32"/>
      <c r="EEY50" s="32"/>
      <c r="EEZ50" s="32"/>
      <c r="EFA50" s="32"/>
      <c r="EFB50" s="32"/>
      <c r="EFC50" s="32"/>
      <c r="EFD50" s="32"/>
      <c r="EFE50" s="32"/>
      <c r="EFF50" s="32"/>
      <c r="EFG50" s="32"/>
      <c r="EFH50" s="32"/>
      <c r="EFI50" s="32"/>
      <c r="EFJ50" s="32"/>
      <c r="EFK50" s="32"/>
      <c r="EFL50" s="32"/>
      <c r="EFM50" s="32"/>
      <c r="EFN50" s="32"/>
      <c r="EFO50" s="32"/>
      <c r="EFP50" s="32"/>
      <c r="EFQ50" s="32"/>
      <c r="EFR50" s="32"/>
      <c r="EFS50" s="32"/>
      <c r="EFT50" s="32"/>
      <c r="EFU50" s="32"/>
      <c r="EFV50" s="32"/>
      <c r="EFW50" s="32"/>
      <c r="EFX50" s="32"/>
      <c r="EFY50" s="32"/>
      <c r="EFZ50" s="32"/>
      <c r="EGA50" s="32"/>
      <c r="EGB50" s="32"/>
      <c r="EGC50" s="32"/>
      <c r="EGD50" s="32"/>
      <c r="EGE50" s="32"/>
      <c r="EGF50" s="32"/>
      <c r="EGG50" s="32"/>
      <c r="EGH50" s="32"/>
      <c r="EGI50" s="32"/>
      <c r="EGJ50" s="32"/>
      <c r="EGK50" s="32"/>
      <c r="EGL50" s="32"/>
      <c r="EGM50" s="32"/>
      <c r="EGN50" s="32"/>
      <c r="EGO50" s="32"/>
      <c r="EGP50" s="32"/>
      <c r="EGQ50" s="32"/>
      <c r="EGR50" s="32"/>
      <c r="EGS50" s="32"/>
      <c r="EGT50" s="32"/>
      <c r="EGU50" s="32"/>
      <c r="EGV50" s="32"/>
      <c r="EGW50" s="32"/>
      <c r="EGX50" s="32"/>
      <c r="EGY50" s="32"/>
      <c r="EGZ50" s="32"/>
      <c r="EHA50" s="32"/>
      <c r="EHB50" s="32"/>
      <c r="EHC50" s="32"/>
      <c r="EHD50" s="32"/>
      <c r="EHE50" s="32"/>
      <c r="EHF50" s="32"/>
      <c r="EHG50" s="32"/>
      <c r="EHH50" s="32"/>
      <c r="EHI50" s="32"/>
      <c r="EHJ50" s="32"/>
      <c r="EHK50" s="32"/>
      <c r="EHL50" s="32"/>
      <c r="EHM50" s="32"/>
      <c r="EHN50" s="32"/>
      <c r="EHO50" s="32"/>
      <c r="EHP50" s="32"/>
      <c r="EHQ50" s="32"/>
      <c r="EHR50" s="32"/>
      <c r="EHS50" s="32"/>
      <c r="EHT50" s="32"/>
      <c r="EHU50" s="32"/>
      <c r="EHV50" s="32"/>
      <c r="EHW50" s="32"/>
      <c r="EHX50" s="32"/>
      <c r="EHY50" s="32"/>
      <c r="EHZ50" s="32"/>
      <c r="EIA50" s="32"/>
      <c r="EIB50" s="32"/>
      <c r="EIC50" s="32"/>
      <c r="EID50" s="32"/>
      <c r="EIE50" s="32"/>
      <c r="EIF50" s="32"/>
      <c r="EIG50" s="32"/>
      <c r="EIH50" s="32"/>
      <c r="EII50" s="32"/>
      <c r="EIJ50" s="32"/>
      <c r="EIK50" s="32"/>
      <c r="EIL50" s="32"/>
      <c r="EIM50" s="32"/>
      <c r="EIN50" s="32"/>
      <c r="EIO50" s="32"/>
      <c r="EIP50" s="32"/>
      <c r="EIQ50" s="32"/>
      <c r="EIR50" s="32"/>
      <c r="EIS50" s="32"/>
      <c r="EIT50" s="32"/>
      <c r="EIU50" s="32"/>
      <c r="EIV50" s="32"/>
      <c r="EIW50" s="32"/>
      <c r="EIX50" s="32"/>
      <c r="EIY50" s="32"/>
      <c r="EIZ50" s="32"/>
      <c r="EJA50" s="32"/>
      <c r="EJB50" s="32"/>
      <c r="EJC50" s="32"/>
      <c r="EJD50" s="32"/>
      <c r="EJE50" s="32"/>
      <c r="EJF50" s="32"/>
      <c r="EJG50" s="32"/>
      <c r="EJH50" s="32"/>
      <c r="EJI50" s="32"/>
      <c r="EJJ50" s="32"/>
      <c r="EJK50" s="32"/>
      <c r="EJL50" s="32"/>
      <c r="EJM50" s="32"/>
      <c r="EJN50" s="32"/>
      <c r="EJO50" s="32"/>
      <c r="EJP50" s="32"/>
      <c r="EJQ50" s="32"/>
      <c r="EJR50" s="32"/>
      <c r="EJS50" s="32"/>
      <c r="EJT50" s="32"/>
      <c r="EJU50" s="32"/>
      <c r="EJV50" s="32"/>
      <c r="EJW50" s="32"/>
      <c r="EJX50" s="32"/>
      <c r="EJY50" s="32"/>
      <c r="EJZ50" s="32"/>
      <c r="EKA50" s="32"/>
      <c r="EKB50" s="32"/>
      <c r="EKC50" s="32"/>
      <c r="EKD50" s="32"/>
      <c r="EKE50" s="32"/>
      <c r="EKF50" s="32"/>
      <c r="EKG50" s="32"/>
      <c r="EKH50" s="32"/>
      <c r="EKI50" s="32"/>
      <c r="EKJ50" s="32"/>
      <c r="EKK50" s="32"/>
      <c r="EKL50" s="32"/>
      <c r="EKM50" s="32"/>
      <c r="EKN50" s="32"/>
      <c r="EKO50" s="32"/>
      <c r="EKP50" s="32"/>
      <c r="EKQ50" s="32"/>
      <c r="EKR50" s="32"/>
      <c r="EKS50" s="32"/>
      <c r="EKT50" s="32"/>
      <c r="EKU50" s="32"/>
      <c r="EKV50" s="32"/>
      <c r="EKW50" s="32"/>
      <c r="EKX50" s="32"/>
      <c r="EKY50" s="32"/>
      <c r="EKZ50" s="32"/>
      <c r="ELA50" s="32"/>
      <c r="ELB50" s="32"/>
      <c r="ELC50" s="32"/>
      <c r="ELD50" s="32"/>
      <c r="ELE50" s="32"/>
      <c r="ELF50" s="32"/>
      <c r="ELG50" s="32"/>
      <c r="ELH50" s="32"/>
      <c r="ELI50" s="32"/>
      <c r="ELJ50" s="32"/>
      <c r="ELK50" s="32"/>
      <c r="ELL50" s="32"/>
      <c r="ELM50" s="32"/>
      <c r="ELN50" s="32"/>
      <c r="ELO50" s="32"/>
      <c r="ELP50" s="32"/>
      <c r="ELQ50" s="32"/>
      <c r="ELR50" s="32"/>
      <c r="ELS50" s="32"/>
      <c r="ELT50" s="32"/>
      <c r="ELU50" s="32"/>
      <c r="ELV50" s="32"/>
      <c r="ELW50" s="32"/>
      <c r="ELX50" s="32"/>
      <c r="ELY50" s="32"/>
      <c r="ELZ50" s="32"/>
      <c r="EMA50" s="32"/>
      <c r="EMB50" s="32"/>
      <c r="EMC50" s="32"/>
      <c r="EMD50" s="32"/>
      <c r="EME50" s="32"/>
      <c r="EMF50" s="32"/>
      <c r="EMG50" s="32"/>
      <c r="EMH50" s="32"/>
      <c r="EMI50" s="32"/>
      <c r="EMJ50" s="32"/>
      <c r="EMK50" s="32"/>
      <c r="EML50" s="32"/>
      <c r="EMM50" s="32"/>
      <c r="EMN50" s="32"/>
      <c r="EMO50" s="32"/>
      <c r="EMP50" s="32"/>
      <c r="EMQ50" s="32"/>
      <c r="EMR50" s="32"/>
      <c r="EMS50" s="32"/>
      <c r="EMT50" s="32"/>
      <c r="EMU50" s="32"/>
      <c r="EMV50" s="32"/>
      <c r="EMW50" s="32"/>
      <c r="EMX50" s="32"/>
      <c r="EMY50" s="32"/>
      <c r="EMZ50" s="32"/>
      <c r="ENA50" s="32"/>
      <c r="ENB50" s="32"/>
      <c r="ENC50" s="32"/>
      <c r="END50" s="32"/>
      <c r="ENE50" s="32"/>
      <c r="ENF50" s="32"/>
      <c r="ENG50" s="32"/>
      <c r="ENH50" s="32"/>
      <c r="ENI50" s="32"/>
      <c r="ENJ50" s="32"/>
      <c r="ENK50" s="32"/>
      <c r="ENL50" s="32"/>
      <c r="ENM50" s="32"/>
      <c r="ENN50" s="32"/>
      <c r="ENO50" s="32"/>
      <c r="ENP50" s="32"/>
      <c r="ENQ50" s="32"/>
      <c r="ENR50" s="32"/>
      <c r="ENS50" s="32"/>
      <c r="ENT50" s="32"/>
      <c r="ENU50" s="32"/>
      <c r="ENV50" s="32"/>
      <c r="ENW50" s="32"/>
      <c r="ENX50" s="32"/>
      <c r="ENY50" s="32"/>
      <c r="ENZ50" s="32"/>
      <c r="EOA50" s="32"/>
      <c r="EOB50" s="32"/>
      <c r="EOC50" s="32"/>
      <c r="EOD50" s="32"/>
      <c r="EOE50" s="32"/>
      <c r="EOF50" s="32"/>
      <c r="EOG50" s="32"/>
      <c r="EOH50" s="32"/>
      <c r="EOI50" s="32"/>
      <c r="EOJ50" s="32"/>
      <c r="EOK50" s="32"/>
      <c r="EOL50" s="32"/>
      <c r="EOM50" s="32"/>
      <c r="EON50" s="32"/>
      <c r="EOO50" s="32"/>
      <c r="EOP50" s="32"/>
      <c r="EOQ50" s="32"/>
      <c r="EOR50" s="32"/>
      <c r="EOS50" s="32"/>
      <c r="EOT50" s="32"/>
      <c r="EOU50" s="32"/>
      <c r="EOV50" s="32"/>
      <c r="EOW50" s="32"/>
      <c r="EOX50" s="32"/>
      <c r="EOY50" s="32"/>
      <c r="EOZ50" s="32"/>
      <c r="EPA50" s="32"/>
      <c r="EPB50" s="32"/>
      <c r="EPC50" s="32"/>
      <c r="EPD50" s="32"/>
      <c r="EPE50" s="32"/>
      <c r="EPF50" s="32"/>
      <c r="EPG50" s="32"/>
      <c r="EPH50" s="32"/>
      <c r="EPI50" s="32"/>
      <c r="EPJ50" s="32"/>
      <c r="EPK50" s="32"/>
      <c r="EPL50" s="32"/>
      <c r="EPM50" s="32"/>
      <c r="EPN50" s="32"/>
      <c r="EPO50" s="32"/>
      <c r="EPP50" s="32"/>
      <c r="EPQ50" s="32"/>
      <c r="EPR50" s="32"/>
      <c r="EPS50" s="32"/>
      <c r="EPT50" s="32"/>
      <c r="EPU50" s="32"/>
      <c r="EPV50" s="32"/>
      <c r="EPW50" s="32"/>
      <c r="EPX50" s="32"/>
      <c r="EPY50" s="32"/>
      <c r="EPZ50" s="32"/>
      <c r="EQA50" s="32"/>
      <c r="EQB50" s="32"/>
      <c r="EQC50" s="32"/>
      <c r="EQD50" s="32"/>
      <c r="EQE50" s="32"/>
      <c r="EQF50" s="32"/>
      <c r="EQG50" s="32"/>
      <c r="EQH50" s="32"/>
      <c r="EQI50" s="32"/>
      <c r="EQJ50" s="32"/>
      <c r="EQK50" s="32"/>
      <c r="EQL50" s="32"/>
      <c r="EQM50" s="32"/>
      <c r="EQN50" s="32"/>
      <c r="EQO50" s="32"/>
      <c r="EQP50" s="32"/>
      <c r="EQQ50" s="32"/>
      <c r="EQR50" s="32"/>
      <c r="EQS50" s="32"/>
      <c r="EQT50" s="32"/>
      <c r="EQU50" s="32"/>
      <c r="EQV50" s="32"/>
      <c r="EQW50" s="32"/>
      <c r="EQX50" s="32"/>
      <c r="EQY50" s="32"/>
      <c r="EQZ50" s="32"/>
      <c r="ERA50" s="32"/>
      <c r="ERB50" s="32"/>
      <c r="ERC50" s="32"/>
      <c r="ERD50" s="32"/>
      <c r="ERE50" s="32"/>
      <c r="ERF50" s="32"/>
      <c r="ERG50" s="32"/>
      <c r="ERH50" s="32"/>
      <c r="ERI50" s="32"/>
      <c r="ERJ50" s="32"/>
      <c r="ERK50" s="32"/>
      <c r="ERL50" s="32"/>
      <c r="ERM50" s="32"/>
      <c r="ERN50" s="32"/>
      <c r="ERO50" s="32"/>
      <c r="ERP50" s="32"/>
      <c r="ERQ50" s="32"/>
      <c r="ERR50" s="32"/>
      <c r="ERS50" s="32"/>
      <c r="ERT50" s="32"/>
      <c r="ERU50" s="32"/>
      <c r="ERV50" s="32"/>
      <c r="ERW50" s="32"/>
      <c r="ERX50" s="32"/>
      <c r="ERY50" s="32"/>
      <c r="ERZ50" s="32"/>
      <c r="ESA50" s="32"/>
      <c r="ESB50" s="32"/>
      <c r="ESC50" s="32"/>
      <c r="ESD50" s="32"/>
      <c r="ESE50" s="32"/>
      <c r="ESF50" s="32"/>
      <c r="ESG50" s="32"/>
      <c r="ESH50" s="32"/>
      <c r="ESI50" s="32"/>
      <c r="ESJ50" s="32"/>
      <c r="ESK50" s="32"/>
      <c r="ESL50" s="32"/>
      <c r="ESM50" s="32"/>
      <c r="ESN50" s="32"/>
      <c r="ESO50" s="32"/>
      <c r="ESP50" s="32"/>
      <c r="ESQ50" s="32"/>
      <c r="ESR50" s="32"/>
      <c r="ESS50" s="32"/>
      <c r="EST50" s="32"/>
      <c r="ESU50" s="32"/>
      <c r="ESV50" s="32"/>
      <c r="ESW50" s="32"/>
      <c r="ESX50" s="32"/>
      <c r="ESY50" s="32"/>
      <c r="ESZ50" s="32"/>
      <c r="ETA50" s="32"/>
      <c r="ETB50" s="32"/>
      <c r="ETC50" s="32"/>
      <c r="ETD50" s="32"/>
      <c r="ETE50" s="32"/>
      <c r="ETF50" s="32"/>
      <c r="ETG50" s="32"/>
      <c r="ETH50" s="32"/>
      <c r="ETI50" s="32"/>
      <c r="ETJ50" s="32"/>
      <c r="ETK50" s="32"/>
      <c r="ETL50" s="32"/>
      <c r="ETM50" s="32"/>
      <c r="ETN50" s="32"/>
      <c r="ETO50" s="32"/>
      <c r="ETP50" s="32"/>
      <c r="ETQ50" s="32"/>
      <c r="ETR50" s="32"/>
      <c r="ETS50" s="32"/>
      <c r="ETT50" s="32"/>
      <c r="ETU50" s="32"/>
      <c r="ETV50" s="32"/>
      <c r="ETW50" s="32"/>
      <c r="ETX50" s="32"/>
      <c r="ETY50" s="32"/>
      <c r="ETZ50" s="32"/>
      <c r="EUA50" s="32"/>
      <c r="EUB50" s="32"/>
      <c r="EUC50" s="32"/>
      <c r="EUD50" s="32"/>
      <c r="EUE50" s="32"/>
      <c r="EUF50" s="32"/>
      <c r="EUG50" s="32"/>
      <c r="EUH50" s="32"/>
      <c r="EUI50" s="32"/>
      <c r="EUJ50" s="32"/>
      <c r="EUK50" s="32"/>
      <c r="EUL50" s="32"/>
      <c r="EUM50" s="32"/>
      <c r="EUN50" s="32"/>
      <c r="EUO50" s="32"/>
      <c r="EUP50" s="32"/>
      <c r="EUQ50" s="32"/>
      <c r="EUR50" s="32"/>
      <c r="EUS50" s="32"/>
      <c r="EUT50" s="32"/>
      <c r="EUU50" s="32"/>
      <c r="EUV50" s="32"/>
      <c r="EUW50" s="32"/>
      <c r="EUX50" s="32"/>
      <c r="EUY50" s="32"/>
      <c r="EUZ50" s="32"/>
      <c r="EVA50" s="32"/>
      <c r="EVB50" s="32"/>
      <c r="EVC50" s="32"/>
      <c r="EVD50" s="32"/>
      <c r="EVE50" s="32"/>
      <c r="EVF50" s="32"/>
      <c r="EVG50" s="32"/>
      <c r="EVH50" s="32"/>
      <c r="EVI50" s="32"/>
      <c r="EVJ50" s="32"/>
      <c r="EVK50" s="32"/>
      <c r="EVL50" s="32"/>
      <c r="EVM50" s="32"/>
      <c r="EVN50" s="32"/>
      <c r="EVO50" s="32"/>
      <c r="EVP50" s="32"/>
      <c r="EVQ50" s="32"/>
      <c r="EVR50" s="32"/>
      <c r="EVS50" s="32"/>
      <c r="EVT50" s="32"/>
      <c r="EVU50" s="32"/>
      <c r="EVV50" s="32"/>
      <c r="EVW50" s="32"/>
      <c r="EVX50" s="32"/>
      <c r="EVY50" s="32"/>
      <c r="EVZ50" s="32"/>
      <c r="EWA50" s="32"/>
      <c r="EWB50" s="32"/>
      <c r="EWC50" s="32"/>
      <c r="EWD50" s="32"/>
      <c r="EWE50" s="32"/>
      <c r="EWF50" s="32"/>
      <c r="EWG50" s="32"/>
      <c r="EWH50" s="32"/>
      <c r="EWI50" s="32"/>
      <c r="EWJ50" s="32"/>
      <c r="EWK50" s="32"/>
      <c r="EWL50" s="32"/>
      <c r="EWM50" s="32"/>
      <c r="EWN50" s="32"/>
      <c r="EWO50" s="32"/>
      <c r="EWP50" s="32"/>
      <c r="EWQ50" s="32"/>
      <c r="EWR50" s="32"/>
      <c r="EWS50" s="32"/>
      <c r="EWT50" s="32"/>
      <c r="EWU50" s="32"/>
      <c r="EWV50" s="32"/>
      <c r="EWW50" s="32"/>
      <c r="EWX50" s="32"/>
      <c r="EWY50" s="32"/>
      <c r="EWZ50" s="32"/>
      <c r="EXA50" s="32"/>
      <c r="EXB50" s="32"/>
      <c r="EXC50" s="32"/>
      <c r="EXD50" s="32"/>
      <c r="EXE50" s="32"/>
      <c r="EXF50" s="32"/>
      <c r="EXG50" s="32"/>
      <c r="EXH50" s="32"/>
      <c r="EXI50" s="32"/>
      <c r="EXJ50" s="32"/>
      <c r="EXK50" s="32"/>
      <c r="EXL50" s="32"/>
      <c r="EXM50" s="32"/>
      <c r="EXN50" s="32"/>
      <c r="EXO50" s="32"/>
      <c r="EXP50" s="32"/>
      <c r="EXQ50" s="32"/>
      <c r="EXR50" s="32"/>
      <c r="EXS50" s="32"/>
      <c r="EXT50" s="32"/>
      <c r="EXU50" s="32"/>
      <c r="EXV50" s="32"/>
      <c r="EXW50" s="32"/>
      <c r="EXX50" s="32"/>
      <c r="EXY50" s="32"/>
      <c r="EXZ50" s="32"/>
      <c r="EYA50" s="32"/>
      <c r="EYB50" s="32"/>
      <c r="EYC50" s="32"/>
      <c r="EYD50" s="32"/>
      <c r="EYE50" s="32"/>
      <c r="EYF50" s="32"/>
      <c r="EYG50" s="32"/>
      <c r="EYH50" s="32"/>
      <c r="EYI50" s="32"/>
      <c r="EYJ50" s="32"/>
      <c r="EYK50" s="32"/>
      <c r="EYL50" s="32"/>
      <c r="EYM50" s="32"/>
      <c r="EYN50" s="32"/>
      <c r="EYO50" s="32"/>
      <c r="EYP50" s="32"/>
      <c r="EYQ50" s="32"/>
      <c r="EYR50" s="32"/>
      <c r="EYS50" s="32"/>
      <c r="EYT50" s="32"/>
      <c r="EYU50" s="32"/>
      <c r="EYV50" s="32"/>
      <c r="EYW50" s="32"/>
      <c r="EYX50" s="32"/>
      <c r="EYY50" s="32"/>
      <c r="EYZ50" s="32"/>
      <c r="EZA50" s="32"/>
      <c r="EZB50" s="32"/>
      <c r="EZC50" s="32"/>
      <c r="EZD50" s="32"/>
      <c r="EZE50" s="32"/>
      <c r="EZF50" s="32"/>
      <c r="EZG50" s="32"/>
      <c r="EZH50" s="32"/>
      <c r="EZI50" s="32"/>
      <c r="EZJ50" s="32"/>
      <c r="EZK50" s="32"/>
      <c r="EZL50" s="32"/>
      <c r="EZM50" s="32"/>
      <c r="EZN50" s="32"/>
      <c r="EZO50" s="32"/>
      <c r="EZP50" s="32"/>
      <c r="EZQ50" s="32"/>
      <c r="EZR50" s="32"/>
      <c r="EZS50" s="32"/>
      <c r="EZT50" s="32"/>
      <c r="EZU50" s="32"/>
      <c r="EZV50" s="32"/>
      <c r="EZW50" s="32"/>
      <c r="EZX50" s="32"/>
      <c r="EZY50" s="32"/>
      <c r="EZZ50" s="32"/>
      <c r="FAA50" s="32"/>
      <c r="FAB50" s="32"/>
      <c r="FAC50" s="32"/>
      <c r="FAD50" s="32"/>
      <c r="FAE50" s="32"/>
      <c r="FAF50" s="32"/>
      <c r="FAG50" s="32"/>
      <c r="FAH50" s="32"/>
      <c r="FAI50" s="32"/>
      <c r="FAJ50" s="32"/>
      <c r="FAK50" s="32"/>
      <c r="FAL50" s="32"/>
      <c r="FAM50" s="32"/>
      <c r="FAN50" s="32"/>
      <c r="FAO50" s="32"/>
      <c r="FAP50" s="32"/>
      <c r="FAQ50" s="32"/>
      <c r="FAR50" s="32"/>
      <c r="FAS50" s="32"/>
      <c r="FAT50" s="32"/>
      <c r="FAU50" s="32"/>
      <c r="FAV50" s="32"/>
      <c r="FAW50" s="32"/>
      <c r="FAX50" s="32"/>
      <c r="FAY50" s="32"/>
      <c r="FAZ50" s="32"/>
      <c r="FBA50" s="32"/>
      <c r="FBB50" s="32"/>
      <c r="FBC50" s="32"/>
      <c r="FBD50" s="32"/>
      <c r="FBE50" s="32"/>
      <c r="FBF50" s="32"/>
      <c r="FBG50" s="32"/>
      <c r="FBH50" s="32"/>
      <c r="FBI50" s="32"/>
      <c r="FBJ50" s="32"/>
      <c r="FBK50" s="32"/>
      <c r="FBL50" s="32"/>
      <c r="FBM50" s="32"/>
      <c r="FBN50" s="32"/>
      <c r="FBO50" s="32"/>
      <c r="FBP50" s="32"/>
      <c r="FBQ50" s="32"/>
      <c r="FBR50" s="32"/>
      <c r="FBS50" s="32"/>
      <c r="FBT50" s="32"/>
      <c r="FBU50" s="32"/>
      <c r="FBV50" s="32"/>
      <c r="FBW50" s="32"/>
      <c r="FBX50" s="32"/>
      <c r="FBY50" s="32"/>
      <c r="FBZ50" s="32"/>
      <c r="FCA50" s="32"/>
      <c r="FCB50" s="32"/>
      <c r="FCC50" s="32"/>
      <c r="FCD50" s="32"/>
      <c r="FCE50" s="32"/>
      <c r="FCF50" s="32"/>
      <c r="FCG50" s="32"/>
      <c r="FCH50" s="32"/>
      <c r="FCI50" s="32"/>
      <c r="FCJ50" s="32"/>
      <c r="FCK50" s="32"/>
      <c r="FCL50" s="32"/>
      <c r="FCM50" s="32"/>
      <c r="FCN50" s="32"/>
      <c r="FCO50" s="32"/>
      <c r="FCP50" s="32"/>
      <c r="FCQ50" s="32"/>
      <c r="FCR50" s="32"/>
      <c r="FCS50" s="32"/>
      <c r="FCT50" s="32"/>
      <c r="FCU50" s="32"/>
      <c r="FCV50" s="32"/>
      <c r="FCW50" s="32"/>
      <c r="FCX50" s="32"/>
      <c r="FCY50" s="32"/>
      <c r="FCZ50" s="32"/>
      <c r="FDA50" s="32"/>
      <c r="FDB50" s="32"/>
      <c r="FDC50" s="32"/>
      <c r="FDD50" s="32"/>
      <c r="FDE50" s="32"/>
      <c r="FDF50" s="32"/>
      <c r="FDG50" s="32"/>
      <c r="FDH50" s="32"/>
      <c r="FDI50" s="32"/>
      <c r="FDJ50" s="32"/>
      <c r="FDK50" s="32"/>
      <c r="FDL50" s="32"/>
      <c r="FDM50" s="32"/>
      <c r="FDN50" s="32"/>
      <c r="FDO50" s="32"/>
      <c r="FDP50" s="32"/>
      <c r="FDQ50" s="32"/>
      <c r="FDR50" s="32"/>
      <c r="FDS50" s="32"/>
      <c r="FDT50" s="32"/>
      <c r="FDU50" s="32"/>
      <c r="FDV50" s="32"/>
      <c r="FDW50" s="32"/>
      <c r="FDX50" s="32"/>
      <c r="FDY50" s="32"/>
      <c r="FDZ50" s="32"/>
      <c r="FEA50" s="32"/>
      <c r="FEB50" s="32"/>
      <c r="FEC50" s="32"/>
      <c r="FED50" s="32"/>
      <c r="FEE50" s="32"/>
      <c r="FEF50" s="32"/>
      <c r="FEG50" s="32"/>
      <c r="FEH50" s="32"/>
      <c r="FEI50" s="32"/>
      <c r="FEJ50" s="32"/>
      <c r="FEK50" s="32"/>
      <c r="FEL50" s="32"/>
      <c r="FEM50" s="32"/>
      <c r="FEN50" s="32"/>
      <c r="FEO50" s="32"/>
      <c r="FEP50" s="32"/>
      <c r="FEQ50" s="32"/>
      <c r="FER50" s="32"/>
      <c r="FES50" s="32"/>
      <c r="FET50" s="32"/>
      <c r="FEU50" s="32"/>
      <c r="FEV50" s="32"/>
      <c r="FEW50" s="32"/>
      <c r="FEX50" s="32"/>
      <c r="FEY50" s="32"/>
      <c r="FEZ50" s="32"/>
      <c r="FFA50" s="32"/>
      <c r="FFB50" s="32"/>
      <c r="FFC50" s="32"/>
      <c r="FFD50" s="32"/>
      <c r="FFE50" s="32"/>
      <c r="FFF50" s="32"/>
      <c r="FFG50" s="32"/>
      <c r="FFH50" s="32"/>
      <c r="FFI50" s="32"/>
      <c r="FFJ50" s="32"/>
      <c r="FFK50" s="32"/>
      <c r="FFL50" s="32"/>
      <c r="FFM50" s="32"/>
      <c r="FFN50" s="32"/>
      <c r="FFO50" s="32"/>
      <c r="FFP50" s="32"/>
      <c r="FFQ50" s="32"/>
      <c r="FFR50" s="32"/>
      <c r="FFS50" s="32"/>
      <c r="FFT50" s="32"/>
      <c r="FFU50" s="32"/>
      <c r="FFV50" s="32"/>
      <c r="FFW50" s="32"/>
      <c r="FFX50" s="32"/>
      <c r="FFY50" s="32"/>
      <c r="FFZ50" s="32"/>
      <c r="FGA50" s="32"/>
      <c r="FGB50" s="32"/>
      <c r="FGC50" s="32"/>
      <c r="FGD50" s="32"/>
      <c r="FGE50" s="32"/>
      <c r="FGF50" s="32"/>
      <c r="FGG50" s="32"/>
      <c r="FGH50" s="32"/>
      <c r="FGI50" s="32"/>
      <c r="FGJ50" s="32"/>
      <c r="FGK50" s="32"/>
      <c r="FGL50" s="32"/>
      <c r="FGM50" s="32"/>
      <c r="FGN50" s="32"/>
      <c r="FGO50" s="32"/>
      <c r="FGP50" s="32"/>
      <c r="FGQ50" s="32"/>
      <c r="FGR50" s="32"/>
      <c r="FGS50" s="32"/>
      <c r="FGT50" s="32"/>
      <c r="FGU50" s="32"/>
      <c r="FGV50" s="32"/>
      <c r="FGW50" s="32"/>
      <c r="FGX50" s="32"/>
      <c r="FGY50" s="32"/>
      <c r="FGZ50" s="32"/>
      <c r="FHA50" s="32"/>
      <c r="FHB50" s="32"/>
      <c r="FHC50" s="32"/>
      <c r="FHD50" s="32"/>
      <c r="FHE50" s="32"/>
      <c r="FHF50" s="32"/>
      <c r="FHG50" s="32"/>
      <c r="FHH50" s="32"/>
      <c r="FHI50" s="32"/>
      <c r="FHJ50" s="32"/>
      <c r="FHK50" s="32"/>
      <c r="FHL50" s="32"/>
      <c r="FHM50" s="32"/>
      <c r="FHN50" s="32"/>
      <c r="FHO50" s="32"/>
      <c r="FHP50" s="32"/>
      <c r="FHQ50" s="32"/>
      <c r="FHR50" s="32"/>
      <c r="FHS50" s="32"/>
      <c r="FHT50" s="32"/>
      <c r="FHU50" s="32"/>
      <c r="FHV50" s="32"/>
      <c r="FHW50" s="32"/>
      <c r="FHX50" s="32"/>
      <c r="FHY50" s="32"/>
      <c r="FHZ50" s="32"/>
      <c r="FIA50" s="32"/>
      <c r="FIB50" s="32"/>
      <c r="FIC50" s="32"/>
      <c r="FID50" s="32"/>
      <c r="FIE50" s="32"/>
      <c r="FIF50" s="32"/>
      <c r="FIG50" s="32"/>
      <c r="FIH50" s="32"/>
      <c r="FII50" s="32"/>
      <c r="FIJ50" s="32"/>
      <c r="FIK50" s="32"/>
      <c r="FIL50" s="32"/>
      <c r="FIM50" s="32"/>
      <c r="FIN50" s="32"/>
      <c r="FIO50" s="32"/>
      <c r="FIP50" s="32"/>
      <c r="FIQ50" s="32"/>
      <c r="FIR50" s="32"/>
      <c r="FIS50" s="32"/>
      <c r="FIT50" s="32"/>
      <c r="FIU50" s="32"/>
      <c r="FIV50" s="32"/>
      <c r="FIW50" s="32"/>
      <c r="FIX50" s="32"/>
      <c r="FIY50" s="32"/>
      <c r="FIZ50" s="32"/>
      <c r="FJA50" s="32"/>
      <c r="FJB50" s="32"/>
      <c r="FJC50" s="32"/>
      <c r="FJD50" s="32"/>
      <c r="FJE50" s="32"/>
      <c r="FJF50" s="32"/>
      <c r="FJG50" s="32"/>
      <c r="FJH50" s="32"/>
      <c r="FJI50" s="32"/>
      <c r="FJJ50" s="32"/>
      <c r="FJK50" s="32"/>
      <c r="FJL50" s="32"/>
      <c r="FJM50" s="32"/>
      <c r="FJN50" s="32"/>
      <c r="FJO50" s="32"/>
      <c r="FJP50" s="32"/>
      <c r="FJQ50" s="32"/>
      <c r="FJR50" s="32"/>
      <c r="FJS50" s="32"/>
      <c r="FJT50" s="32"/>
      <c r="FJU50" s="32"/>
      <c r="FJV50" s="32"/>
      <c r="FJW50" s="32"/>
      <c r="FJX50" s="32"/>
      <c r="FJY50" s="32"/>
      <c r="FJZ50" s="32"/>
      <c r="FKA50" s="32"/>
      <c r="FKB50" s="32"/>
      <c r="FKC50" s="32"/>
      <c r="FKD50" s="32"/>
      <c r="FKE50" s="32"/>
      <c r="FKF50" s="32"/>
      <c r="FKG50" s="32"/>
      <c r="FKH50" s="32"/>
      <c r="FKI50" s="32"/>
      <c r="FKJ50" s="32"/>
      <c r="FKK50" s="32"/>
      <c r="FKL50" s="32"/>
      <c r="FKM50" s="32"/>
      <c r="FKN50" s="32"/>
      <c r="FKO50" s="32"/>
      <c r="FKP50" s="32"/>
      <c r="FKQ50" s="32"/>
      <c r="FKR50" s="32"/>
      <c r="FKS50" s="32"/>
      <c r="FKT50" s="32"/>
      <c r="FKU50" s="32"/>
      <c r="FKV50" s="32"/>
      <c r="FKW50" s="32"/>
      <c r="FKX50" s="32"/>
      <c r="FKY50" s="32"/>
      <c r="FKZ50" s="32"/>
      <c r="FLA50" s="32"/>
      <c r="FLB50" s="32"/>
      <c r="FLC50" s="32"/>
      <c r="FLD50" s="32"/>
      <c r="FLE50" s="32"/>
      <c r="FLF50" s="32"/>
      <c r="FLG50" s="32"/>
      <c r="FLH50" s="32"/>
      <c r="FLI50" s="32"/>
      <c r="FLJ50" s="32"/>
      <c r="FLK50" s="32"/>
      <c r="FLL50" s="32"/>
      <c r="FLM50" s="32"/>
      <c r="FLN50" s="32"/>
      <c r="FLO50" s="32"/>
      <c r="FLP50" s="32"/>
      <c r="FLQ50" s="32"/>
      <c r="FLR50" s="32"/>
      <c r="FLS50" s="32"/>
      <c r="FLT50" s="32"/>
      <c r="FLU50" s="32"/>
      <c r="FLV50" s="32"/>
      <c r="FLW50" s="32"/>
      <c r="FLX50" s="32"/>
      <c r="FLY50" s="32"/>
      <c r="FLZ50" s="32"/>
      <c r="FMA50" s="32"/>
      <c r="FMB50" s="32"/>
      <c r="FMC50" s="32"/>
      <c r="FMD50" s="32"/>
      <c r="FME50" s="32"/>
      <c r="FMF50" s="32"/>
      <c r="FMG50" s="32"/>
      <c r="FMH50" s="32"/>
      <c r="FMI50" s="32"/>
      <c r="FMJ50" s="32"/>
      <c r="FMK50" s="32"/>
      <c r="FML50" s="32"/>
      <c r="FMM50" s="32"/>
      <c r="FMN50" s="32"/>
      <c r="FMO50" s="32"/>
      <c r="FMP50" s="32"/>
      <c r="FMQ50" s="32"/>
      <c r="FMR50" s="32"/>
      <c r="FMS50" s="32"/>
      <c r="FMT50" s="32"/>
      <c r="FMU50" s="32"/>
      <c r="FMV50" s="32"/>
      <c r="FMW50" s="32"/>
      <c r="FMX50" s="32"/>
      <c r="FMY50" s="32"/>
      <c r="FMZ50" s="32"/>
      <c r="FNA50" s="32"/>
      <c r="FNB50" s="32"/>
      <c r="FNC50" s="32"/>
      <c r="FND50" s="32"/>
      <c r="FNE50" s="32"/>
      <c r="FNF50" s="32"/>
      <c r="FNG50" s="32"/>
      <c r="FNH50" s="32"/>
      <c r="FNI50" s="32"/>
      <c r="FNJ50" s="32"/>
      <c r="FNK50" s="32"/>
      <c r="FNL50" s="32"/>
      <c r="FNM50" s="32"/>
      <c r="FNN50" s="32"/>
      <c r="FNO50" s="32"/>
      <c r="FNP50" s="32"/>
      <c r="FNQ50" s="32"/>
      <c r="FNR50" s="32"/>
      <c r="FNS50" s="32"/>
      <c r="FNT50" s="32"/>
      <c r="FNU50" s="32"/>
      <c r="FNV50" s="32"/>
      <c r="FNW50" s="32"/>
      <c r="FNX50" s="32"/>
      <c r="FNY50" s="32"/>
      <c r="FNZ50" s="32"/>
      <c r="FOA50" s="32"/>
      <c r="FOB50" s="32"/>
      <c r="FOC50" s="32"/>
      <c r="FOD50" s="32"/>
      <c r="FOE50" s="32"/>
      <c r="FOF50" s="32"/>
      <c r="FOG50" s="32"/>
      <c r="FOH50" s="32"/>
      <c r="FOI50" s="32"/>
      <c r="FOJ50" s="32"/>
      <c r="FOK50" s="32"/>
      <c r="FOL50" s="32"/>
      <c r="FOM50" s="32"/>
      <c r="FON50" s="32"/>
      <c r="FOO50" s="32"/>
      <c r="FOP50" s="32"/>
      <c r="FOQ50" s="32"/>
      <c r="FOR50" s="32"/>
      <c r="FOS50" s="32"/>
      <c r="FOT50" s="32"/>
      <c r="FOU50" s="32"/>
      <c r="FOV50" s="32"/>
      <c r="FOW50" s="32"/>
      <c r="FOX50" s="32"/>
      <c r="FOY50" s="32"/>
      <c r="FOZ50" s="32"/>
      <c r="FPA50" s="32"/>
      <c r="FPB50" s="32"/>
      <c r="FPC50" s="32"/>
      <c r="FPD50" s="32"/>
      <c r="FPE50" s="32"/>
      <c r="FPF50" s="32"/>
      <c r="FPG50" s="32"/>
      <c r="FPH50" s="32"/>
      <c r="FPI50" s="32"/>
      <c r="FPJ50" s="32"/>
      <c r="FPK50" s="32"/>
      <c r="FPL50" s="32"/>
      <c r="FPM50" s="32"/>
      <c r="FPN50" s="32"/>
      <c r="FPO50" s="32"/>
      <c r="FPP50" s="32"/>
      <c r="FPQ50" s="32"/>
      <c r="FPR50" s="32"/>
      <c r="FPS50" s="32"/>
      <c r="FPT50" s="32"/>
      <c r="FPU50" s="32"/>
      <c r="FPV50" s="32"/>
      <c r="FPW50" s="32"/>
      <c r="FPX50" s="32"/>
      <c r="FPY50" s="32"/>
      <c r="FPZ50" s="32"/>
      <c r="FQA50" s="32"/>
      <c r="FQB50" s="32"/>
      <c r="FQC50" s="32"/>
      <c r="FQD50" s="32"/>
      <c r="FQE50" s="32"/>
      <c r="FQF50" s="32"/>
      <c r="FQG50" s="32"/>
      <c r="FQH50" s="32"/>
      <c r="FQI50" s="32"/>
      <c r="FQJ50" s="32"/>
      <c r="FQK50" s="32"/>
      <c r="FQL50" s="32"/>
      <c r="FQM50" s="32"/>
      <c r="FQN50" s="32"/>
      <c r="FQO50" s="32"/>
      <c r="FQP50" s="32"/>
      <c r="FQQ50" s="32"/>
      <c r="FQR50" s="32"/>
      <c r="FQS50" s="32"/>
      <c r="FQT50" s="32"/>
      <c r="FQU50" s="32"/>
      <c r="FQV50" s="32"/>
      <c r="FQW50" s="32"/>
      <c r="FQX50" s="32"/>
      <c r="FQY50" s="32"/>
      <c r="FQZ50" s="32"/>
      <c r="FRA50" s="32"/>
      <c r="FRB50" s="32"/>
      <c r="FRC50" s="32"/>
      <c r="FRD50" s="32"/>
      <c r="FRE50" s="32"/>
      <c r="FRF50" s="32"/>
      <c r="FRG50" s="32"/>
      <c r="FRH50" s="32"/>
      <c r="FRI50" s="32"/>
      <c r="FRJ50" s="32"/>
      <c r="FRK50" s="32"/>
      <c r="FRL50" s="32"/>
      <c r="FRM50" s="32"/>
      <c r="FRN50" s="32"/>
      <c r="FRO50" s="32"/>
      <c r="FRP50" s="32"/>
      <c r="FRQ50" s="32"/>
      <c r="FRR50" s="32"/>
      <c r="FRS50" s="32"/>
      <c r="FRT50" s="32"/>
      <c r="FRU50" s="32"/>
      <c r="FRV50" s="32"/>
      <c r="FRW50" s="32"/>
      <c r="FRX50" s="32"/>
      <c r="FRY50" s="32"/>
      <c r="FRZ50" s="32"/>
      <c r="FSA50" s="32"/>
      <c r="FSB50" s="32"/>
      <c r="FSC50" s="32"/>
      <c r="FSD50" s="32"/>
      <c r="FSE50" s="32"/>
      <c r="FSF50" s="32"/>
      <c r="FSG50" s="32"/>
      <c r="FSH50" s="32"/>
      <c r="FSI50" s="32"/>
      <c r="FSJ50" s="32"/>
      <c r="FSK50" s="32"/>
      <c r="FSL50" s="32"/>
      <c r="FSM50" s="32"/>
      <c r="FSN50" s="32"/>
      <c r="FSO50" s="32"/>
      <c r="FSP50" s="32"/>
      <c r="FSQ50" s="32"/>
      <c r="FSR50" s="32"/>
      <c r="FSS50" s="32"/>
      <c r="FST50" s="32"/>
      <c r="FSU50" s="32"/>
      <c r="FSV50" s="32"/>
      <c r="FSW50" s="32"/>
      <c r="FSX50" s="32"/>
      <c r="FSY50" s="32"/>
      <c r="FSZ50" s="32"/>
      <c r="FTA50" s="32"/>
      <c r="FTB50" s="32"/>
      <c r="FTC50" s="32"/>
      <c r="FTD50" s="32"/>
      <c r="FTE50" s="32"/>
      <c r="FTF50" s="32"/>
      <c r="FTG50" s="32"/>
      <c r="FTH50" s="32"/>
      <c r="FTI50" s="32"/>
      <c r="FTJ50" s="32"/>
      <c r="FTK50" s="32"/>
      <c r="FTL50" s="32"/>
      <c r="FTM50" s="32"/>
      <c r="FTN50" s="32"/>
      <c r="FTO50" s="32"/>
      <c r="FTP50" s="32"/>
      <c r="FTQ50" s="32"/>
      <c r="FTR50" s="32"/>
      <c r="FTS50" s="32"/>
      <c r="FTT50" s="32"/>
      <c r="FTU50" s="32"/>
      <c r="FTV50" s="32"/>
      <c r="FTW50" s="32"/>
      <c r="FTX50" s="32"/>
      <c r="FTY50" s="32"/>
      <c r="FTZ50" s="32"/>
      <c r="FUA50" s="32"/>
      <c r="FUB50" s="32"/>
      <c r="FUC50" s="32"/>
      <c r="FUD50" s="32"/>
      <c r="FUE50" s="32"/>
      <c r="FUF50" s="32"/>
      <c r="FUG50" s="32"/>
      <c r="FUH50" s="32"/>
      <c r="FUI50" s="32"/>
      <c r="FUJ50" s="32"/>
      <c r="FUK50" s="32"/>
      <c r="FUL50" s="32"/>
      <c r="FUM50" s="32"/>
      <c r="FUN50" s="32"/>
      <c r="FUO50" s="32"/>
      <c r="FUP50" s="32"/>
      <c r="FUQ50" s="32"/>
      <c r="FUR50" s="32"/>
      <c r="FUS50" s="32"/>
      <c r="FUT50" s="32"/>
      <c r="FUU50" s="32"/>
      <c r="FUV50" s="32"/>
      <c r="FUW50" s="32"/>
      <c r="FUX50" s="32"/>
      <c r="FUY50" s="32"/>
      <c r="FUZ50" s="32"/>
      <c r="FVA50" s="32"/>
      <c r="FVB50" s="32"/>
      <c r="FVC50" s="32"/>
      <c r="FVD50" s="32"/>
      <c r="FVE50" s="32"/>
      <c r="FVF50" s="32"/>
      <c r="FVG50" s="32"/>
      <c r="FVH50" s="32"/>
      <c r="FVI50" s="32"/>
      <c r="FVJ50" s="32"/>
      <c r="FVK50" s="32"/>
      <c r="FVL50" s="32"/>
      <c r="FVM50" s="32"/>
      <c r="FVN50" s="32"/>
      <c r="FVO50" s="32"/>
      <c r="FVP50" s="32"/>
      <c r="FVQ50" s="32"/>
      <c r="FVR50" s="32"/>
      <c r="FVS50" s="32"/>
      <c r="FVT50" s="32"/>
      <c r="FVU50" s="32"/>
      <c r="FVV50" s="32"/>
      <c r="FVW50" s="32"/>
      <c r="FVX50" s="32"/>
      <c r="FVY50" s="32"/>
      <c r="FVZ50" s="32"/>
      <c r="FWA50" s="32"/>
      <c r="FWB50" s="32"/>
      <c r="FWC50" s="32"/>
      <c r="FWD50" s="32"/>
      <c r="FWE50" s="32"/>
      <c r="FWF50" s="32"/>
      <c r="FWG50" s="32"/>
      <c r="FWH50" s="32"/>
      <c r="FWI50" s="32"/>
      <c r="FWJ50" s="32"/>
      <c r="FWK50" s="32"/>
      <c r="FWL50" s="32"/>
      <c r="FWM50" s="32"/>
      <c r="FWN50" s="32"/>
      <c r="FWO50" s="32"/>
      <c r="FWP50" s="32"/>
      <c r="FWQ50" s="32"/>
      <c r="FWR50" s="32"/>
      <c r="FWS50" s="32"/>
      <c r="FWT50" s="32"/>
      <c r="FWU50" s="32"/>
      <c r="FWV50" s="32"/>
      <c r="FWW50" s="32"/>
      <c r="FWX50" s="32"/>
      <c r="FWY50" s="32"/>
      <c r="FWZ50" s="32"/>
      <c r="FXA50" s="32"/>
      <c r="FXB50" s="32"/>
      <c r="FXC50" s="32"/>
      <c r="FXD50" s="32"/>
      <c r="FXE50" s="32"/>
      <c r="FXF50" s="32"/>
      <c r="FXG50" s="32"/>
      <c r="FXH50" s="32"/>
      <c r="FXI50" s="32"/>
      <c r="FXJ50" s="32"/>
      <c r="FXK50" s="32"/>
      <c r="FXL50" s="32"/>
      <c r="FXM50" s="32"/>
      <c r="FXN50" s="32"/>
      <c r="FXO50" s="32"/>
      <c r="FXP50" s="32"/>
      <c r="FXQ50" s="32"/>
      <c r="FXR50" s="32"/>
      <c r="FXS50" s="32"/>
      <c r="FXT50" s="32"/>
      <c r="FXU50" s="32"/>
      <c r="FXV50" s="32"/>
      <c r="FXW50" s="32"/>
      <c r="FXX50" s="32"/>
      <c r="FXY50" s="32"/>
      <c r="FXZ50" s="32"/>
      <c r="FYA50" s="32"/>
      <c r="FYB50" s="32"/>
      <c r="FYC50" s="32"/>
      <c r="FYD50" s="32"/>
      <c r="FYE50" s="32"/>
      <c r="FYF50" s="32"/>
      <c r="FYG50" s="32"/>
      <c r="FYH50" s="32"/>
      <c r="FYI50" s="32"/>
      <c r="FYJ50" s="32"/>
      <c r="FYK50" s="32"/>
      <c r="FYL50" s="32"/>
      <c r="FYM50" s="32"/>
      <c r="FYN50" s="32"/>
      <c r="FYO50" s="32"/>
      <c r="FYP50" s="32"/>
      <c r="FYQ50" s="32"/>
      <c r="FYR50" s="32"/>
      <c r="FYS50" s="32"/>
      <c r="FYT50" s="32"/>
      <c r="FYU50" s="32"/>
      <c r="FYV50" s="32"/>
      <c r="FYW50" s="32"/>
      <c r="FYX50" s="32"/>
      <c r="FYY50" s="32"/>
      <c r="FYZ50" s="32"/>
      <c r="FZA50" s="32"/>
      <c r="FZB50" s="32"/>
      <c r="FZC50" s="32"/>
      <c r="FZD50" s="32"/>
      <c r="FZE50" s="32"/>
      <c r="FZF50" s="32"/>
      <c r="FZG50" s="32"/>
      <c r="FZH50" s="32"/>
      <c r="FZI50" s="32"/>
      <c r="FZJ50" s="32"/>
      <c r="FZK50" s="32"/>
      <c r="FZL50" s="32"/>
      <c r="FZM50" s="32"/>
      <c r="FZN50" s="32"/>
      <c r="FZO50" s="32"/>
      <c r="FZP50" s="32"/>
      <c r="FZQ50" s="32"/>
      <c r="FZR50" s="32"/>
      <c r="FZS50" s="32"/>
      <c r="FZT50" s="32"/>
      <c r="FZU50" s="32"/>
      <c r="FZV50" s="32"/>
      <c r="FZW50" s="32"/>
      <c r="FZX50" s="32"/>
      <c r="FZY50" s="32"/>
      <c r="FZZ50" s="32"/>
      <c r="GAA50" s="32"/>
      <c r="GAB50" s="32"/>
      <c r="GAC50" s="32"/>
      <c r="GAD50" s="32"/>
      <c r="GAE50" s="32"/>
      <c r="GAF50" s="32"/>
      <c r="GAG50" s="32"/>
      <c r="GAH50" s="32"/>
      <c r="GAI50" s="32"/>
      <c r="GAJ50" s="32"/>
      <c r="GAK50" s="32"/>
      <c r="GAL50" s="32"/>
      <c r="GAM50" s="32"/>
      <c r="GAN50" s="32"/>
      <c r="GAO50" s="32"/>
      <c r="GAP50" s="32"/>
      <c r="GAQ50" s="32"/>
      <c r="GAR50" s="32"/>
      <c r="GAS50" s="32"/>
      <c r="GAT50" s="32"/>
      <c r="GAU50" s="32"/>
      <c r="GAV50" s="32"/>
      <c r="GAW50" s="32"/>
      <c r="GAX50" s="32"/>
      <c r="GAY50" s="32"/>
      <c r="GAZ50" s="32"/>
      <c r="GBA50" s="32"/>
      <c r="GBB50" s="32"/>
      <c r="GBC50" s="32"/>
      <c r="GBD50" s="32"/>
      <c r="GBE50" s="32"/>
      <c r="GBF50" s="32"/>
      <c r="GBG50" s="32"/>
      <c r="GBH50" s="32"/>
      <c r="GBI50" s="32"/>
      <c r="GBJ50" s="32"/>
      <c r="GBK50" s="32"/>
      <c r="GBL50" s="32"/>
      <c r="GBM50" s="32"/>
      <c r="GBN50" s="32"/>
      <c r="GBO50" s="32"/>
      <c r="GBP50" s="32"/>
      <c r="GBQ50" s="32"/>
      <c r="GBR50" s="32"/>
      <c r="GBS50" s="32"/>
      <c r="GBT50" s="32"/>
      <c r="GBU50" s="32"/>
      <c r="GBV50" s="32"/>
      <c r="GBW50" s="32"/>
      <c r="GBX50" s="32"/>
      <c r="GBY50" s="32"/>
      <c r="GBZ50" s="32"/>
      <c r="GCA50" s="32"/>
      <c r="GCB50" s="32"/>
      <c r="GCC50" s="32"/>
      <c r="GCD50" s="32"/>
      <c r="GCE50" s="32"/>
      <c r="GCF50" s="32"/>
      <c r="GCG50" s="32"/>
      <c r="GCH50" s="32"/>
      <c r="GCI50" s="32"/>
      <c r="GCJ50" s="32"/>
      <c r="GCK50" s="32"/>
      <c r="GCL50" s="32"/>
      <c r="GCM50" s="32"/>
      <c r="GCN50" s="32"/>
      <c r="GCO50" s="32"/>
      <c r="GCP50" s="32"/>
      <c r="GCQ50" s="32"/>
      <c r="GCR50" s="32"/>
      <c r="GCS50" s="32"/>
      <c r="GCT50" s="32"/>
      <c r="GCU50" s="32"/>
      <c r="GCV50" s="32"/>
      <c r="GCW50" s="32"/>
      <c r="GCX50" s="32"/>
      <c r="GCY50" s="32"/>
      <c r="GCZ50" s="32"/>
      <c r="GDA50" s="32"/>
      <c r="GDB50" s="32"/>
      <c r="GDC50" s="32"/>
      <c r="GDD50" s="32"/>
      <c r="GDE50" s="32"/>
      <c r="GDF50" s="32"/>
      <c r="GDG50" s="32"/>
      <c r="GDH50" s="32"/>
      <c r="GDI50" s="32"/>
      <c r="GDJ50" s="32"/>
      <c r="GDK50" s="32"/>
      <c r="GDL50" s="32"/>
      <c r="GDM50" s="32"/>
      <c r="GDN50" s="32"/>
      <c r="GDO50" s="32"/>
      <c r="GDP50" s="32"/>
      <c r="GDQ50" s="32"/>
      <c r="GDR50" s="32"/>
      <c r="GDS50" s="32"/>
      <c r="GDT50" s="32"/>
      <c r="GDU50" s="32"/>
      <c r="GDV50" s="32"/>
      <c r="GDW50" s="32"/>
      <c r="GDX50" s="32"/>
      <c r="GDY50" s="32"/>
      <c r="GDZ50" s="32"/>
      <c r="GEA50" s="32"/>
      <c r="GEB50" s="32"/>
      <c r="GEC50" s="32"/>
      <c r="GED50" s="32"/>
      <c r="GEE50" s="32"/>
      <c r="GEF50" s="32"/>
      <c r="GEG50" s="32"/>
      <c r="GEH50" s="32"/>
      <c r="GEI50" s="32"/>
      <c r="GEJ50" s="32"/>
      <c r="GEK50" s="32"/>
      <c r="GEL50" s="32"/>
      <c r="GEM50" s="32"/>
      <c r="GEN50" s="32"/>
      <c r="GEO50" s="32"/>
      <c r="GEP50" s="32"/>
      <c r="GEQ50" s="32"/>
      <c r="GER50" s="32"/>
      <c r="GES50" s="32"/>
      <c r="GET50" s="32"/>
      <c r="GEU50" s="32"/>
      <c r="GEV50" s="32"/>
      <c r="GEW50" s="32"/>
      <c r="GEX50" s="32"/>
      <c r="GEY50" s="32"/>
      <c r="GEZ50" s="32"/>
      <c r="GFA50" s="32"/>
      <c r="GFB50" s="32"/>
      <c r="GFC50" s="32"/>
      <c r="GFD50" s="32"/>
      <c r="GFE50" s="32"/>
      <c r="GFF50" s="32"/>
      <c r="GFG50" s="32"/>
      <c r="GFH50" s="32"/>
      <c r="GFI50" s="32"/>
      <c r="GFJ50" s="32"/>
      <c r="GFK50" s="32"/>
      <c r="GFL50" s="32"/>
      <c r="GFM50" s="32"/>
      <c r="GFN50" s="32"/>
      <c r="GFO50" s="32"/>
      <c r="GFP50" s="32"/>
      <c r="GFQ50" s="32"/>
      <c r="GFR50" s="32"/>
      <c r="GFS50" s="32"/>
      <c r="GFT50" s="32"/>
      <c r="GFU50" s="32"/>
      <c r="GFV50" s="32"/>
      <c r="GFW50" s="32"/>
      <c r="GFX50" s="32"/>
      <c r="GFY50" s="32"/>
      <c r="GFZ50" s="32"/>
      <c r="GGA50" s="32"/>
      <c r="GGB50" s="32"/>
      <c r="GGC50" s="32"/>
      <c r="GGD50" s="32"/>
      <c r="GGE50" s="32"/>
      <c r="GGF50" s="32"/>
      <c r="GGG50" s="32"/>
      <c r="GGH50" s="32"/>
      <c r="GGI50" s="32"/>
      <c r="GGJ50" s="32"/>
      <c r="GGK50" s="32"/>
      <c r="GGL50" s="32"/>
      <c r="GGM50" s="32"/>
      <c r="GGN50" s="32"/>
      <c r="GGO50" s="32"/>
      <c r="GGP50" s="32"/>
      <c r="GGQ50" s="32"/>
      <c r="GGR50" s="32"/>
      <c r="GGS50" s="32"/>
      <c r="GGT50" s="32"/>
      <c r="GGU50" s="32"/>
      <c r="GGV50" s="32"/>
      <c r="GGW50" s="32"/>
      <c r="GGX50" s="32"/>
      <c r="GGY50" s="32"/>
      <c r="GGZ50" s="32"/>
      <c r="GHA50" s="32"/>
      <c r="GHB50" s="32"/>
      <c r="GHC50" s="32"/>
      <c r="GHD50" s="32"/>
      <c r="GHE50" s="32"/>
      <c r="GHF50" s="32"/>
      <c r="GHG50" s="32"/>
      <c r="GHH50" s="32"/>
      <c r="GHI50" s="32"/>
      <c r="GHJ50" s="32"/>
      <c r="GHK50" s="32"/>
      <c r="GHL50" s="32"/>
      <c r="GHM50" s="32"/>
      <c r="GHN50" s="32"/>
      <c r="GHO50" s="32"/>
      <c r="GHP50" s="32"/>
      <c r="GHQ50" s="32"/>
      <c r="GHR50" s="32"/>
      <c r="GHS50" s="32"/>
      <c r="GHT50" s="32"/>
      <c r="GHU50" s="32"/>
      <c r="GHV50" s="32"/>
      <c r="GHW50" s="32"/>
      <c r="GHX50" s="32"/>
      <c r="GHY50" s="32"/>
      <c r="GHZ50" s="32"/>
      <c r="GIA50" s="32"/>
      <c r="GIB50" s="32"/>
      <c r="GIC50" s="32"/>
      <c r="GID50" s="32"/>
      <c r="GIE50" s="32"/>
      <c r="GIF50" s="32"/>
      <c r="GIG50" s="32"/>
      <c r="GIH50" s="32"/>
      <c r="GII50" s="32"/>
      <c r="GIJ50" s="32"/>
      <c r="GIK50" s="32"/>
      <c r="GIL50" s="32"/>
      <c r="GIM50" s="32"/>
      <c r="GIN50" s="32"/>
      <c r="GIO50" s="32"/>
      <c r="GIP50" s="32"/>
      <c r="GIQ50" s="32"/>
      <c r="GIR50" s="32"/>
      <c r="GIS50" s="32"/>
      <c r="GIT50" s="32"/>
      <c r="GIU50" s="32"/>
      <c r="GIV50" s="32"/>
      <c r="GIW50" s="32"/>
      <c r="GIX50" s="32"/>
      <c r="GIY50" s="32"/>
      <c r="GIZ50" s="32"/>
      <c r="GJA50" s="32"/>
      <c r="GJB50" s="32"/>
      <c r="GJC50" s="32"/>
      <c r="GJD50" s="32"/>
      <c r="GJE50" s="32"/>
      <c r="GJF50" s="32"/>
      <c r="GJG50" s="32"/>
      <c r="GJH50" s="32"/>
      <c r="GJI50" s="32"/>
      <c r="GJJ50" s="32"/>
      <c r="GJK50" s="32"/>
      <c r="GJL50" s="32"/>
      <c r="GJM50" s="32"/>
      <c r="GJN50" s="32"/>
      <c r="GJO50" s="32"/>
      <c r="GJP50" s="32"/>
      <c r="GJQ50" s="32"/>
      <c r="GJR50" s="32"/>
      <c r="GJS50" s="32"/>
      <c r="GJT50" s="32"/>
      <c r="GJU50" s="32"/>
      <c r="GJV50" s="32"/>
      <c r="GJW50" s="32"/>
      <c r="GJX50" s="32"/>
      <c r="GJY50" s="32"/>
      <c r="GJZ50" s="32"/>
      <c r="GKA50" s="32"/>
      <c r="GKB50" s="32"/>
      <c r="GKC50" s="32"/>
      <c r="GKD50" s="32"/>
      <c r="GKE50" s="32"/>
      <c r="GKF50" s="32"/>
      <c r="GKG50" s="32"/>
      <c r="GKH50" s="32"/>
      <c r="GKI50" s="32"/>
      <c r="GKJ50" s="32"/>
      <c r="GKK50" s="32"/>
      <c r="GKL50" s="32"/>
      <c r="GKM50" s="32"/>
      <c r="GKN50" s="32"/>
      <c r="GKO50" s="32"/>
      <c r="GKP50" s="32"/>
      <c r="GKQ50" s="32"/>
      <c r="GKR50" s="32"/>
      <c r="GKS50" s="32"/>
      <c r="GKT50" s="32"/>
      <c r="GKU50" s="32"/>
      <c r="GKV50" s="32"/>
      <c r="GKW50" s="32"/>
      <c r="GKX50" s="32"/>
      <c r="GKY50" s="32"/>
      <c r="GKZ50" s="32"/>
      <c r="GLA50" s="32"/>
      <c r="GLB50" s="32"/>
      <c r="GLC50" s="32"/>
      <c r="GLD50" s="32"/>
      <c r="GLE50" s="32"/>
      <c r="GLF50" s="32"/>
      <c r="GLG50" s="32"/>
      <c r="GLH50" s="32"/>
      <c r="GLI50" s="32"/>
      <c r="GLJ50" s="32"/>
      <c r="GLK50" s="32"/>
      <c r="GLL50" s="32"/>
      <c r="GLM50" s="32"/>
      <c r="GLN50" s="32"/>
      <c r="GLO50" s="32"/>
      <c r="GLP50" s="32"/>
      <c r="GLQ50" s="32"/>
      <c r="GLR50" s="32"/>
      <c r="GLS50" s="32"/>
      <c r="GLT50" s="32"/>
      <c r="GLU50" s="32"/>
      <c r="GLV50" s="32"/>
      <c r="GLW50" s="32"/>
      <c r="GLX50" s="32"/>
      <c r="GLY50" s="32"/>
      <c r="GLZ50" s="32"/>
      <c r="GMA50" s="32"/>
      <c r="GMB50" s="32"/>
      <c r="GMC50" s="32"/>
      <c r="GMD50" s="32"/>
      <c r="GME50" s="32"/>
      <c r="GMF50" s="32"/>
      <c r="GMG50" s="32"/>
      <c r="GMH50" s="32"/>
      <c r="GMI50" s="32"/>
      <c r="GMJ50" s="32"/>
      <c r="GMK50" s="32"/>
      <c r="GML50" s="32"/>
      <c r="GMM50" s="32"/>
      <c r="GMN50" s="32"/>
      <c r="GMO50" s="32"/>
      <c r="GMP50" s="32"/>
      <c r="GMQ50" s="32"/>
      <c r="GMR50" s="32"/>
      <c r="GMS50" s="32"/>
      <c r="GMT50" s="32"/>
      <c r="GMU50" s="32"/>
      <c r="GMV50" s="32"/>
      <c r="GMW50" s="32"/>
      <c r="GMX50" s="32"/>
      <c r="GMY50" s="32"/>
      <c r="GMZ50" s="32"/>
      <c r="GNA50" s="32"/>
      <c r="GNB50" s="32"/>
      <c r="GNC50" s="32"/>
      <c r="GND50" s="32"/>
      <c r="GNE50" s="32"/>
      <c r="GNF50" s="32"/>
      <c r="GNG50" s="32"/>
      <c r="GNH50" s="32"/>
      <c r="GNI50" s="32"/>
      <c r="GNJ50" s="32"/>
      <c r="GNK50" s="32"/>
      <c r="GNL50" s="32"/>
      <c r="GNM50" s="32"/>
      <c r="GNN50" s="32"/>
      <c r="GNO50" s="32"/>
      <c r="GNP50" s="32"/>
      <c r="GNQ50" s="32"/>
      <c r="GNR50" s="32"/>
      <c r="GNS50" s="32"/>
      <c r="GNT50" s="32"/>
      <c r="GNU50" s="32"/>
      <c r="GNV50" s="32"/>
      <c r="GNW50" s="32"/>
      <c r="GNX50" s="32"/>
      <c r="GNY50" s="32"/>
      <c r="GNZ50" s="32"/>
      <c r="GOA50" s="32"/>
      <c r="GOB50" s="32"/>
      <c r="GOC50" s="32"/>
      <c r="GOD50" s="32"/>
      <c r="GOE50" s="32"/>
      <c r="GOF50" s="32"/>
      <c r="GOG50" s="32"/>
      <c r="GOH50" s="32"/>
      <c r="GOI50" s="32"/>
      <c r="GOJ50" s="32"/>
      <c r="GOK50" s="32"/>
      <c r="GOL50" s="32"/>
      <c r="GOM50" s="32"/>
      <c r="GON50" s="32"/>
      <c r="GOO50" s="32"/>
      <c r="GOP50" s="32"/>
      <c r="GOQ50" s="32"/>
      <c r="GOR50" s="32"/>
      <c r="GOS50" s="32"/>
      <c r="GOT50" s="32"/>
      <c r="GOU50" s="32"/>
      <c r="GOV50" s="32"/>
      <c r="GOW50" s="32"/>
      <c r="GOX50" s="32"/>
      <c r="GOY50" s="32"/>
      <c r="GOZ50" s="32"/>
      <c r="GPA50" s="32"/>
      <c r="GPB50" s="32"/>
      <c r="GPC50" s="32"/>
      <c r="GPD50" s="32"/>
      <c r="GPE50" s="32"/>
      <c r="GPF50" s="32"/>
      <c r="GPG50" s="32"/>
      <c r="GPH50" s="32"/>
      <c r="GPI50" s="32"/>
      <c r="GPJ50" s="32"/>
      <c r="GPK50" s="32"/>
      <c r="GPL50" s="32"/>
      <c r="GPM50" s="32"/>
      <c r="GPN50" s="32"/>
      <c r="GPO50" s="32"/>
      <c r="GPP50" s="32"/>
      <c r="GPQ50" s="32"/>
      <c r="GPR50" s="32"/>
      <c r="GPS50" s="32"/>
      <c r="GPT50" s="32"/>
      <c r="GPU50" s="32"/>
      <c r="GPV50" s="32"/>
      <c r="GPW50" s="32"/>
      <c r="GPX50" s="32"/>
      <c r="GPY50" s="32"/>
      <c r="GPZ50" s="32"/>
      <c r="GQA50" s="32"/>
      <c r="GQB50" s="32"/>
      <c r="GQC50" s="32"/>
      <c r="GQD50" s="32"/>
      <c r="GQE50" s="32"/>
      <c r="GQF50" s="32"/>
      <c r="GQG50" s="32"/>
      <c r="GQH50" s="32"/>
      <c r="GQI50" s="32"/>
      <c r="GQJ50" s="32"/>
      <c r="GQK50" s="32"/>
      <c r="GQL50" s="32"/>
      <c r="GQM50" s="32"/>
      <c r="GQN50" s="32"/>
      <c r="GQO50" s="32"/>
      <c r="GQP50" s="32"/>
      <c r="GQQ50" s="32"/>
      <c r="GQR50" s="32"/>
      <c r="GQS50" s="32"/>
      <c r="GQT50" s="32"/>
      <c r="GQU50" s="32"/>
      <c r="GQV50" s="32"/>
      <c r="GQW50" s="32"/>
      <c r="GQX50" s="32"/>
      <c r="GQY50" s="32"/>
      <c r="GQZ50" s="32"/>
      <c r="GRA50" s="32"/>
      <c r="GRB50" s="32"/>
      <c r="GRC50" s="32"/>
      <c r="GRD50" s="32"/>
      <c r="GRE50" s="32"/>
      <c r="GRF50" s="32"/>
      <c r="GRG50" s="32"/>
      <c r="GRH50" s="32"/>
      <c r="GRI50" s="32"/>
      <c r="GRJ50" s="32"/>
      <c r="GRK50" s="32"/>
      <c r="GRL50" s="32"/>
      <c r="GRM50" s="32"/>
      <c r="GRN50" s="32"/>
      <c r="GRO50" s="32"/>
      <c r="GRP50" s="32"/>
      <c r="GRQ50" s="32"/>
      <c r="GRR50" s="32"/>
      <c r="GRS50" s="32"/>
      <c r="GRT50" s="32"/>
      <c r="GRU50" s="32"/>
      <c r="GRV50" s="32"/>
      <c r="GRW50" s="32"/>
      <c r="GRX50" s="32"/>
      <c r="GRY50" s="32"/>
      <c r="GRZ50" s="32"/>
      <c r="GSA50" s="32"/>
      <c r="GSB50" s="32"/>
      <c r="GSC50" s="32"/>
      <c r="GSD50" s="32"/>
      <c r="GSE50" s="32"/>
      <c r="GSF50" s="32"/>
      <c r="GSG50" s="32"/>
      <c r="GSH50" s="32"/>
      <c r="GSI50" s="32"/>
      <c r="GSJ50" s="32"/>
      <c r="GSK50" s="32"/>
      <c r="GSL50" s="32"/>
      <c r="GSM50" s="32"/>
      <c r="GSN50" s="32"/>
      <c r="GSO50" s="32"/>
      <c r="GSP50" s="32"/>
      <c r="GSQ50" s="32"/>
      <c r="GSR50" s="32"/>
      <c r="GSS50" s="32"/>
      <c r="GST50" s="32"/>
      <c r="GSU50" s="32"/>
      <c r="GSV50" s="32"/>
      <c r="GSW50" s="32"/>
      <c r="GSX50" s="32"/>
      <c r="GSY50" s="32"/>
      <c r="GSZ50" s="32"/>
      <c r="GTA50" s="32"/>
      <c r="GTB50" s="32"/>
      <c r="GTC50" s="32"/>
      <c r="GTD50" s="32"/>
      <c r="GTE50" s="32"/>
      <c r="GTF50" s="32"/>
      <c r="GTG50" s="32"/>
      <c r="GTH50" s="32"/>
      <c r="GTI50" s="32"/>
      <c r="GTJ50" s="32"/>
      <c r="GTK50" s="32"/>
      <c r="GTL50" s="32"/>
      <c r="GTM50" s="32"/>
      <c r="GTN50" s="32"/>
      <c r="GTO50" s="32"/>
      <c r="GTP50" s="32"/>
      <c r="GTQ50" s="32"/>
      <c r="GTR50" s="32"/>
      <c r="GTS50" s="32"/>
      <c r="GTT50" s="32"/>
      <c r="GTU50" s="32"/>
      <c r="GTV50" s="32"/>
      <c r="GTW50" s="32"/>
      <c r="GTX50" s="32"/>
      <c r="GTY50" s="32"/>
      <c r="GTZ50" s="32"/>
      <c r="GUA50" s="32"/>
      <c r="GUB50" s="32"/>
      <c r="GUC50" s="32"/>
      <c r="GUD50" s="32"/>
      <c r="GUE50" s="32"/>
      <c r="GUF50" s="32"/>
      <c r="GUG50" s="32"/>
      <c r="GUH50" s="32"/>
      <c r="GUI50" s="32"/>
      <c r="GUJ50" s="32"/>
      <c r="GUK50" s="32"/>
      <c r="GUL50" s="32"/>
      <c r="GUM50" s="32"/>
      <c r="GUN50" s="32"/>
      <c r="GUO50" s="32"/>
      <c r="GUP50" s="32"/>
      <c r="GUQ50" s="32"/>
      <c r="GUR50" s="32"/>
      <c r="GUS50" s="32"/>
      <c r="GUT50" s="32"/>
      <c r="GUU50" s="32"/>
      <c r="GUV50" s="32"/>
      <c r="GUW50" s="32"/>
      <c r="GUX50" s="32"/>
      <c r="GUY50" s="32"/>
      <c r="GUZ50" s="32"/>
      <c r="GVA50" s="32"/>
      <c r="GVB50" s="32"/>
      <c r="GVC50" s="32"/>
      <c r="GVD50" s="32"/>
      <c r="GVE50" s="32"/>
      <c r="GVF50" s="32"/>
      <c r="GVG50" s="32"/>
      <c r="GVH50" s="32"/>
      <c r="GVI50" s="32"/>
      <c r="GVJ50" s="32"/>
      <c r="GVK50" s="32"/>
      <c r="GVL50" s="32"/>
      <c r="GVM50" s="32"/>
      <c r="GVN50" s="32"/>
      <c r="GVO50" s="32"/>
      <c r="GVP50" s="32"/>
      <c r="GVQ50" s="32"/>
      <c r="GVR50" s="32"/>
      <c r="GVS50" s="32"/>
      <c r="GVT50" s="32"/>
      <c r="GVU50" s="32"/>
      <c r="GVV50" s="32"/>
      <c r="GVW50" s="32"/>
      <c r="GVX50" s="32"/>
      <c r="GVY50" s="32"/>
      <c r="GVZ50" s="32"/>
      <c r="GWA50" s="32"/>
      <c r="GWB50" s="32"/>
      <c r="GWC50" s="32"/>
      <c r="GWD50" s="32"/>
      <c r="GWE50" s="32"/>
      <c r="GWF50" s="32"/>
      <c r="GWG50" s="32"/>
      <c r="GWH50" s="32"/>
      <c r="GWI50" s="32"/>
      <c r="GWJ50" s="32"/>
      <c r="GWK50" s="32"/>
      <c r="GWL50" s="32"/>
      <c r="GWM50" s="32"/>
      <c r="GWN50" s="32"/>
      <c r="GWO50" s="32"/>
      <c r="GWP50" s="32"/>
      <c r="GWQ50" s="32"/>
      <c r="GWR50" s="32"/>
      <c r="GWS50" s="32"/>
      <c r="GWT50" s="32"/>
      <c r="GWU50" s="32"/>
      <c r="GWV50" s="32"/>
      <c r="GWW50" s="32"/>
      <c r="GWX50" s="32"/>
      <c r="GWY50" s="32"/>
      <c r="GWZ50" s="32"/>
      <c r="GXA50" s="32"/>
      <c r="GXB50" s="32"/>
      <c r="GXC50" s="32"/>
      <c r="GXD50" s="32"/>
      <c r="GXE50" s="32"/>
      <c r="GXF50" s="32"/>
      <c r="GXG50" s="32"/>
      <c r="GXH50" s="32"/>
      <c r="GXI50" s="32"/>
      <c r="GXJ50" s="32"/>
      <c r="GXK50" s="32"/>
      <c r="GXL50" s="32"/>
      <c r="GXM50" s="32"/>
      <c r="GXN50" s="32"/>
      <c r="GXO50" s="32"/>
      <c r="GXP50" s="32"/>
      <c r="GXQ50" s="32"/>
      <c r="GXR50" s="32"/>
      <c r="GXS50" s="32"/>
      <c r="GXT50" s="32"/>
      <c r="GXU50" s="32"/>
      <c r="GXV50" s="32"/>
      <c r="GXW50" s="32"/>
      <c r="GXX50" s="32"/>
      <c r="GXY50" s="32"/>
      <c r="GXZ50" s="32"/>
      <c r="GYA50" s="32"/>
      <c r="GYB50" s="32"/>
      <c r="GYC50" s="32"/>
      <c r="GYD50" s="32"/>
      <c r="GYE50" s="32"/>
      <c r="GYF50" s="32"/>
      <c r="GYG50" s="32"/>
      <c r="GYH50" s="32"/>
      <c r="GYI50" s="32"/>
      <c r="GYJ50" s="32"/>
      <c r="GYK50" s="32"/>
      <c r="GYL50" s="32"/>
      <c r="GYM50" s="32"/>
      <c r="GYN50" s="32"/>
      <c r="GYO50" s="32"/>
      <c r="GYP50" s="32"/>
      <c r="GYQ50" s="32"/>
      <c r="GYR50" s="32"/>
      <c r="GYS50" s="32"/>
      <c r="GYT50" s="32"/>
      <c r="GYU50" s="32"/>
      <c r="GYV50" s="32"/>
      <c r="GYW50" s="32"/>
      <c r="GYX50" s="32"/>
      <c r="GYY50" s="32"/>
      <c r="GYZ50" s="32"/>
      <c r="GZA50" s="32"/>
      <c r="GZB50" s="32"/>
      <c r="GZC50" s="32"/>
      <c r="GZD50" s="32"/>
      <c r="GZE50" s="32"/>
      <c r="GZF50" s="32"/>
      <c r="GZG50" s="32"/>
      <c r="GZH50" s="32"/>
      <c r="GZI50" s="32"/>
      <c r="GZJ50" s="32"/>
      <c r="GZK50" s="32"/>
      <c r="GZL50" s="32"/>
      <c r="GZM50" s="32"/>
      <c r="GZN50" s="32"/>
      <c r="GZO50" s="32"/>
      <c r="GZP50" s="32"/>
      <c r="GZQ50" s="32"/>
      <c r="GZR50" s="32"/>
      <c r="GZS50" s="32"/>
      <c r="GZT50" s="32"/>
      <c r="GZU50" s="32"/>
      <c r="GZV50" s="32"/>
      <c r="GZW50" s="32"/>
      <c r="GZX50" s="32"/>
      <c r="GZY50" s="32"/>
      <c r="GZZ50" s="32"/>
      <c r="HAA50" s="32"/>
      <c r="HAB50" s="32"/>
      <c r="HAC50" s="32"/>
      <c r="HAD50" s="32"/>
      <c r="HAE50" s="32"/>
      <c r="HAF50" s="32"/>
      <c r="HAG50" s="32"/>
      <c r="HAH50" s="32"/>
      <c r="HAI50" s="32"/>
      <c r="HAJ50" s="32"/>
      <c r="HAK50" s="32"/>
      <c r="HAL50" s="32"/>
      <c r="HAM50" s="32"/>
      <c r="HAN50" s="32"/>
      <c r="HAO50" s="32"/>
      <c r="HAP50" s="32"/>
      <c r="HAQ50" s="32"/>
      <c r="HAR50" s="32"/>
      <c r="HAS50" s="32"/>
      <c r="HAT50" s="32"/>
      <c r="HAU50" s="32"/>
      <c r="HAV50" s="32"/>
      <c r="HAW50" s="32"/>
      <c r="HAX50" s="32"/>
      <c r="HAY50" s="32"/>
      <c r="HAZ50" s="32"/>
      <c r="HBA50" s="32"/>
      <c r="HBB50" s="32"/>
      <c r="HBC50" s="32"/>
      <c r="HBD50" s="32"/>
      <c r="HBE50" s="32"/>
      <c r="HBF50" s="32"/>
      <c r="HBG50" s="32"/>
      <c r="HBH50" s="32"/>
      <c r="HBI50" s="32"/>
      <c r="HBJ50" s="32"/>
      <c r="HBK50" s="32"/>
      <c r="HBL50" s="32"/>
      <c r="HBM50" s="32"/>
      <c r="HBN50" s="32"/>
      <c r="HBO50" s="32"/>
      <c r="HBP50" s="32"/>
      <c r="HBQ50" s="32"/>
      <c r="HBR50" s="32"/>
      <c r="HBS50" s="32"/>
      <c r="HBT50" s="32"/>
      <c r="HBU50" s="32"/>
      <c r="HBV50" s="32"/>
      <c r="HBW50" s="32"/>
      <c r="HBX50" s="32"/>
      <c r="HBY50" s="32"/>
      <c r="HBZ50" s="32"/>
      <c r="HCA50" s="32"/>
      <c r="HCB50" s="32"/>
      <c r="HCC50" s="32"/>
      <c r="HCD50" s="32"/>
      <c r="HCE50" s="32"/>
      <c r="HCF50" s="32"/>
      <c r="HCG50" s="32"/>
      <c r="HCH50" s="32"/>
      <c r="HCI50" s="32"/>
      <c r="HCJ50" s="32"/>
      <c r="HCK50" s="32"/>
      <c r="HCL50" s="32"/>
      <c r="HCM50" s="32"/>
      <c r="HCN50" s="32"/>
      <c r="HCO50" s="32"/>
      <c r="HCP50" s="32"/>
      <c r="HCQ50" s="32"/>
      <c r="HCR50" s="32"/>
      <c r="HCS50" s="32"/>
      <c r="HCT50" s="32"/>
      <c r="HCU50" s="32"/>
      <c r="HCV50" s="32"/>
      <c r="HCW50" s="32"/>
      <c r="HCX50" s="32"/>
      <c r="HCY50" s="32"/>
      <c r="HCZ50" s="32"/>
      <c r="HDA50" s="32"/>
      <c r="HDB50" s="32"/>
      <c r="HDC50" s="32"/>
      <c r="HDD50" s="32"/>
      <c r="HDE50" s="32"/>
      <c r="HDF50" s="32"/>
      <c r="HDG50" s="32"/>
      <c r="HDH50" s="32"/>
      <c r="HDI50" s="32"/>
      <c r="HDJ50" s="32"/>
      <c r="HDK50" s="32"/>
      <c r="HDL50" s="32"/>
      <c r="HDM50" s="32"/>
      <c r="HDN50" s="32"/>
      <c r="HDO50" s="32"/>
      <c r="HDP50" s="32"/>
      <c r="HDQ50" s="32"/>
      <c r="HDR50" s="32"/>
      <c r="HDS50" s="32"/>
      <c r="HDT50" s="32"/>
      <c r="HDU50" s="32"/>
      <c r="HDV50" s="32"/>
      <c r="HDW50" s="32"/>
      <c r="HDX50" s="32"/>
      <c r="HDY50" s="32"/>
      <c r="HDZ50" s="32"/>
      <c r="HEA50" s="32"/>
      <c r="HEB50" s="32"/>
      <c r="HEC50" s="32"/>
      <c r="HED50" s="32"/>
      <c r="HEE50" s="32"/>
      <c r="HEF50" s="32"/>
      <c r="HEG50" s="32"/>
      <c r="HEH50" s="32"/>
      <c r="HEI50" s="32"/>
      <c r="HEJ50" s="32"/>
      <c r="HEK50" s="32"/>
      <c r="HEL50" s="32"/>
      <c r="HEM50" s="32"/>
      <c r="HEN50" s="32"/>
      <c r="HEO50" s="32"/>
      <c r="HEP50" s="32"/>
      <c r="HEQ50" s="32"/>
      <c r="HER50" s="32"/>
      <c r="HES50" s="32"/>
      <c r="HET50" s="32"/>
      <c r="HEU50" s="32"/>
      <c r="HEV50" s="32"/>
      <c r="HEW50" s="32"/>
      <c r="HEX50" s="32"/>
      <c r="HEY50" s="32"/>
      <c r="HEZ50" s="32"/>
      <c r="HFA50" s="32"/>
      <c r="HFB50" s="32"/>
      <c r="HFC50" s="32"/>
      <c r="HFD50" s="32"/>
      <c r="HFE50" s="32"/>
      <c r="HFF50" s="32"/>
      <c r="HFG50" s="32"/>
      <c r="HFH50" s="32"/>
      <c r="HFI50" s="32"/>
      <c r="HFJ50" s="32"/>
      <c r="HFK50" s="32"/>
      <c r="HFL50" s="32"/>
      <c r="HFM50" s="32"/>
      <c r="HFN50" s="32"/>
      <c r="HFO50" s="32"/>
      <c r="HFP50" s="32"/>
      <c r="HFQ50" s="32"/>
      <c r="HFR50" s="32"/>
      <c r="HFS50" s="32"/>
      <c r="HFT50" s="32"/>
      <c r="HFU50" s="32"/>
      <c r="HFV50" s="32"/>
      <c r="HFW50" s="32"/>
      <c r="HFX50" s="32"/>
      <c r="HFY50" s="32"/>
      <c r="HFZ50" s="32"/>
      <c r="HGA50" s="32"/>
      <c r="HGB50" s="32"/>
      <c r="HGC50" s="32"/>
      <c r="HGD50" s="32"/>
      <c r="HGE50" s="32"/>
      <c r="HGF50" s="32"/>
      <c r="HGG50" s="32"/>
      <c r="HGH50" s="32"/>
      <c r="HGI50" s="32"/>
      <c r="HGJ50" s="32"/>
      <c r="HGK50" s="32"/>
      <c r="HGL50" s="32"/>
      <c r="HGM50" s="32"/>
      <c r="HGN50" s="32"/>
      <c r="HGO50" s="32"/>
      <c r="HGP50" s="32"/>
      <c r="HGQ50" s="32"/>
      <c r="HGR50" s="32"/>
      <c r="HGS50" s="32"/>
      <c r="HGT50" s="32"/>
      <c r="HGU50" s="32"/>
      <c r="HGV50" s="32"/>
      <c r="HGW50" s="32"/>
      <c r="HGX50" s="32"/>
      <c r="HGY50" s="32"/>
      <c r="HGZ50" s="32"/>
      <c r="HHA50" s="32"/>
      <c r="HHB50" s="32"/>
      <c r="HHC50" s="32"/>
      <c r="HHD50" s="32"/>
      <c r="HHE50" s="32"/>
      <c r="HHF50" s="32"/>
      <c r="HHG50" s="32"/>
      <c r="HHH50" s="32"/>
      <c r="HHI50" s="32"/>
      <c r="HHJ50" s="32"/>
      <c r="HHK50" s="32"/>
      <c r="HHL50" s="32"/>
      <c r="HHM50" s="32"/>
      <c r="HHN50" s="32"/>
      <c r="HHO50" s="32"/>
      <c r="HHP50" s="32"/>
      <c r="HHQ50" s="32"/>
      <c r="HHR50" s="32"/>
      <c r="HHS50" s="32"/>
      <c r="HHT50" s="32"/>
      <c r="HHU50" s="32"/>
      <c r="HHV50" s="32"/>
      <c r="HHW50" s="32"/>
      <c r="HHX50" s="32"/>
      <c r="HHY50" s="32"/>
      <c r="HHZ50" s="32"/>
      <c r="HIA50" s="32"/>
      <c r="HIB50" s="32"/>
      <c r="HIC50" s="32"/>
      <c r="HID50" s="32"/>
      <c r="HIE50" s="32"/>
      <c r="HIF50" s="32"/>
      <c r="HIG50" s="32"/>
      <c r="HIH50" s="32"/>
      <c r="HII50" s="32"/>
      <c r="HIJ50" s="32"/>
      <c r="HIK50" s="32"/>
      <c r="HIL50" s="32"/>
      <c r="HIM50" s="32"/>
      <c r="HIN50" s="32"/>
      <c r="HIO50" s="32"/>
      <c r="HIP50" s="32"/>
      <c r="HIQ50" s="32"/>
      <c r="HIR50" s="32"/>
      <c r="HIS50" s="32"/>
      <c r="HIT50" s="32"/>
      <c r="HIU50" s="32"/>
      <c r="HIV50" s="32"/>
      <c r="HIW50" s="32"/>
      <c r="HIX50" s="32"/>
      <c r="HIY50" s="32"/>
      <c r="HIZ50" s="32"/>
      <c r="HJA50" s="32"/>
      <c r="HJB50" s="32"/>
      <c r="HJC50" s="32"/>
      <c r="HJD50" s="32"/>
      <c r="HJE50" s="32"/>
      <c r="HJF50" s="32"/>
      <c r="HJG50" s="32"/>
      <c r="HJH50" s="32"/>
      <c r="HJI50" s="32"/>
      <c r="HJJ50" s="32"/>
      <c r="HJK50" s="32"/>
      <c r="HJL50" s="32"/>
      <c r="HJM50" s="32"/>
      <c r="HJN50" s="32"/>
      <c r="HJO50" s="32"/>
      <c r="HJP50" s="32"/>
      <c r="HJQ50" s="32"/>
      <c r="HJR50" s="32"/>
      <c r="HJS50" s="32"/>
      <c r="HJT50" s="32"/>
      <c r="HJU50" s="32"/>
      <c r="HJV50" s="32"/>
      <c r="HJW50" s="32"/>
      <c r="HJX50" s="32"/>
      <c r="HJY50" s="32"/>
      <c r="HJZ50" s="32"/>
      <c r="HKA50" s="32"/>
      <c r="HKB50" s="32"/>
      <c r="HKC50" s="32"/>
      <c r="HKD50" s="32"/>
      <c r="HKE50" s="32"/>
      <c r="HKF50" s="32"/>
      <c r="HKG50" s="32"/>
      <c r="HKH50" s="32"/>
      <c r="HKI50" s="32"/>
      <c r="HKJ50" s="32"/>
      <c r="HKK50" s="32"/>
      <c r="HKL50" s="32"/>
      <c r="HKM50" s="32"/>
      <c r="HKN50" s="32"/>
      <c r="HKO50" s="32"/>
      <c r="HKP50" s="32"/>
      <c r="HKQ50" s="32"/>
      <c r="HKR50" s="32"/>
      <c r="HKS50" s="32"/>
      <c r="HKT50" s="32"/>
      <c r="HKU50" s="32"/>
      <c r="HKV50" s="32"/>
      <c r="HKW50" s="32"/>
      <c r="HKX50" s="32"/>
      <c r="HKY50" s="32"/>
      <c r="HKZ50" s="32"/>
      <c r="HLA50" s="32"/>
      <c r="HLB50" s="32"/>
      <c r="HLC50" s="32"/>
      <c r="HLD50" s="32"/>
      <c r="HLE50" s="32"/>
      <c r="HLF50" s="32"/>
      <c r="HLG50" s="32"/>
      <c r="HLH50" s="32"/>
      <c r="HLI50" s="32"/>
      <c r="HLJ50" s="32"/>
      <c r="HLK50" s="32"/>
      <c r="HLL50" s="32"/>
      <c r="HLM50" s="32"/>
      <c r="HLN50" s="32"/>
      <c r="HLO50" s="32"/>
      <c r="HLP50" s="32"/>
      <c r="HLQ50" s="32"/>
      <c r="HLR50" s="32"/>
      <c r="HLS50" s="32"/>
      <c r="HLT50" s="32"/>
      <c r="HLU50" s="32"/>
      <c r="HLV50" s="32"/>
      <c r="HLW50" s="32"/>
      <c r="HLX50" s="32"/>
      <c r="HLY50" s="32"/>
      <c r="HLZ50" s="32"/>
      <c r="HMA50" s="32"/>
      <c r="HMB50" s="32"/>
      <c r="HMC50" s="32"/>
      <c r="HMD50" s="32"/>
      <c r="HME50" s="32"/>
      <c r="HMF50" s="32"/>
      <c r="HMG50" s="32"/>
      <c r="HMH50" s="32"/>
      <c r="HMI50" s="32"/>
      <c r="HMJ50" s="32"/>
      <c r="HMK50" s="32"/>
      <c r="HML50" s="32"/>
      <c r="HMM50" s="32"/>
      <c r="HMN50" s="32"/>
      <c r="HMO50" s="32"/>
      <c r="HMP50" s="32"/>
      <c r="HMQ50" s="32"/>
      <c r="HMR50" s="32"/>
      <c r="HMS50" s="32"/>
      <c r="HMT50" s="32"/>
      <c r="HMU50" s="32"/>
      <c r="HMV50" s="32"/>
      <c r="HMW50" s="32"/>
      <c r="HMX50" s="32"/>
      <c r="HMY50" s="32"/>
      <c r="HMZ50" s="32"/>
      <c r="HNA50" s="32"/>
      <c r="HNB50" s="32"/>
      <c r="HNC50" s="32"/>
      <c r="HND50" s="32"/>
      <c r="HNE50" s="32"/>
      <c r="HNF50" s="32"/>
      <c r="HNG50" s="32"/>
      <c r="HNH50" s="32"/>
      <c r="HNI50" s="32"/>
      <c r="HNJ50" s="32"/>
      <c r="HNK50" s="32"/>
      <c r="HNL50" s="32"/>
      <c r="HNM50" s="32"/>
      <c r="HNN50" s="32"/>
      <c r="HNO50" s="32"/>
      <c r="HNP50" s="32"/>
      <c r="HNQ50" s="32"/>
      <c r="HNR50" s="32"/>
      <c r="HNS50" s="32"/>
      <c r="HNT50" s="32"/>
      <c r="HNU50" s="32"/>
      <c r="HNV50" s="32"/>
      <c r="HNW50" s="32"/>
      <c r="HNX50" s="32"/>
      <c r="HNY50" s="32"/>
      <c r="HNZ50" s="32"/>
      <c r="HOA50" s="32"/>
      <c r="HOB50" s="32"/>
      <c r="HOC50" s="32"/>
      <c r="HOD50" s="32"/>
      <c r="HOE50" s="32"/>
      <c r="HOF50" s="32"/>
      <c r="HOG50" s="32"/>
      <c r="HOH50" s="32"/>
      <c r="HOI50" s="32"/>
      <c r="HOJ50" s="32"/>
      <c r="HOK50" s="32"/>
      <c r="HOL50" s="32"/>
      <c r="HOM50" s="32"/>
      <c r="HON50" s="32"/>
      <c r="HOO50" s="32"/>
      <c r="HOP50" s="32"/>
      <c r="HOQ50" s="32"/>
      <c r="HOR50" s="32"/>
      <c r="HOS50" s="32"/>
      <c r="HOT50" s="32"/>
      <c r="HOU50" s="32"/>
      <c r="HOV50" s="32"/>
      <c r="HOW50" s="32"/>
      <c r="HOX50" s="32"/>
      <c r="HOY50" s="32"/>
      <c r="HOZ50" s="32"/>
      <c r="HPA50" s="32"/>
      <c r="HPB50" s="32"/>
      <c r="HPC50" s="32"/>
      <c r="HPD50" s="32"/>
      <c r="HPE50" s="32"/>
      <c r="HPF50" s="32"/>
      <c r="HPG50" s="32"/>
      <c r="HPH50" s="32"/>
      <c r="HPI50" s="32"/>
      <c r="HPJ50" s="32"/>
      <c r="HPK50" s="32"/>
      <c r="HPL50" s="32"/>
      <c r="HPM50" s="32"/>
      <c r="HPN50" s="32"/>
      <c r="HPO50" s="32"/>
      <c r="HPP50" s="32"/>
      <c r="HPQ50" s="32"/>
      <c r="HPR50" s="32"/>
      <c r="HPS50" s="32"/>
      <c r="HPT50" s="32"/>
      <c r="HPU50" s="32"/>
      <c r="HPV50" s="32"/>
      <c r="HPW50" s="32"/>
      <c r="HPX50" s="32"/>
      <c r="HPY50" s="32"/>
      <c r="HPZ50" s="32"/>
      <c r="HQA50" s="32"/>
      <c r="HQB50" s="32"/>
      <c r="HQC50" s="32"/>
      <c r="HQD50" s="32"/>
      <c r="HQE50" s="32"/>
      <c r="HQF50" s="32"/>
      <c r="HQG50" s="32"/>
      <c r="HQH50" s="32"/>
      <c r="HQI50" s="32"/>
      <c r="HQJ50" s="32"/>
      <c r="HQK50" s="32"/>
      <c r="HQL50" s="32"/>
      <c r="HQM50" s="32"/>
      <c r="HQN50" s="32"/>
      <c r="HQO50" s="32"/>
      <c r="HQP50" s="32"/>
      <c r="HQQ50" s="32"/>
      <c r="HQR50" s="32"/>
      <c r="HQS50" s="32"/>
      <c r="HQT50" s="32"/>
      <c r="HQU50" s="32"/>
      <c r="HQV50" s="32"/>
      <c r="HQW50" s="32"/>
      <c r="HQX50" s="32"/>
      <c r="HQY50" s="32"/>
      <c r="HQZ50" s="32"/>
      <c r="HRA50" s="32"/>
      <c r="HRB50" s="32"/>
      <c r="HRC50" s="32"/>
      <c r="HRD50" s="32"/>
      <c r="HRE50" s="32"/>
      <c r="HRF50" s="32"/>
      <c r="HRG50" s="32"/>
      <c r="HRH50" s="32"/>
      <c r="HRI50" s="32"/>
      <c r="HRJ50" s="32"/>
      <c r="HRK50" s="32"/>
      <c r="HRL50" s="32"/>
      <c r="HRM50" s="32"/>
      <c r="HRN50" s="32"/>
      <c r="HRO50" s="32"/>
      <c r="HRP50" s="32"/>
      <c r="HRQ50" s="32"/>
      <c r="HRR50" s="32"/>
      <c r="HRS50" s="32"/>
      <c r="HRT50" s="32"/>
      <c r="HRU50" s="32"/>
      <c r="HRV50" s="32"/>
      <c r="HRW50" s="32"/>
      <c r="HRX50" s="32"/>
      <c r="HRY50" s="32"/>
      <c r="HRZ50" s="32"/>
      <c r="HSA50" s="32"/>
      <c r="HSB50" s="32"/>
      <c r="HSC50" s="32"/>
      <c r="HSD50" s="32"/>
      <c r="HSE50" s="32"/>
      <c r="HSF50" s="32"/>
      <c r="HSG50" s="32"/>
      <c r="HSH50" s="32"/>
      <c r="HSI50" s="32"/>
      <c r="HSJ50" s="32"/>
      <c r="HSK50" s="32"/>
      <c r="HSL50" s="32"/>
      <c r="HSM50" s="32"/>
      <c r="HSN50" s="32"/>
      <c r="HSO50" s="32"/>
      <c r="HSP50" s="32"/>
      <c r="HSQ50" s="32"/>
      <c r="HSR50" s="32"/>
      <c r="HSS50" s="32"/>
      <c r="HST50" s="32"/>
      <c r="HSU50" s="32"/>
      <c r="HSV50" s="32"/>
      <c r="HSW50" s="32"/>
      <c r="HSX50" s="32"/>
      <c r="HSY50" s="32"/>
      <c r="HSZ50" s="32"/>
      <c r="HTA50" s="32"/>
      <c r="HTB50" s="32"/>
      <c r="HTC50" s="32"/>
      <c r="HTD50" s="32"/>
      <c r="HTE50" s="32"/>
      <c r="HTF50" s="32"/>
      <c r="HTG50" s="32"/>
      <c r="HTH50" s="32"/>
      <c r="HTI50" s="32"/>
      <c r="HTJ50" s="32"/>
      <c r="HTK50" s="32"/>
      <c r="HTL50" s="32"/>
      <c r="HTM50" s="32"/>
      <c r="HTN50" s="32"/>
      <c r="HTO50" s="32"/>
      <c r="HTP50" s="32"/>
      <c r="HTQ50" s="32"/>
      <c r="HTR50" s="32"/>
      <c r="HTS50" s="32"/>
      <c r="HTT50" s="32"/>
      <c r="HTU50" s="32"/>
      <c r="HTV50" s="32"/>
      <c r="HTW50" s="32"/>
      <c r="HTX50" s="32"/>
      <c r="HTY50" s="32"/>
      <c r="HTZ50" s="32"/>
      <c r="HUA50" s="32"/>
      <c r="HUB50" s="32"/>
      <c r="HUC50" s="32"/>
      <c r="HUD50" s="32"/>
      <c r="HUE50" s="32"/>
      <c r="HUF50" s="32"/>
      <c r="HUG50" s="32"/>
      <c r="HUH50" s="32"/>
      <c r="HUI50" s="32"/>
      <c r="HUJ50" s="32"/>
      <c r="HUK50" s="32"/>
      <c r="HUL50" s="32"/>
      <c r="HUM50" s="32"/>
      <c r="HUN50" s="32"/>
      <c r="HUO50" s="32"/>
      <c r="HUP50" s="32"/>
      <c r="HUQ50" s="32"/>
      <c r="HUR50" s="32"/>
      <c r="HUS50" s="32"/>
      <c r="HUT50" s="32"/>
      <c r="HUU50" s="32"/>
      <c r="HUV50" s="32"/>
      <c r="HUW50" s="32"/>
      <c r="HUX50" s="32"/>
      <c r="HUY50" s="32"/>
      <c r="HUZ50" s="32"/>
      <c r="HVA50" s="32"/>
      <c r="HVB50" s="32"/>
      <c r="HVC50" s="32"/>
      <c r="HVD50" s="32"/>
      <c r="HVE50" s="32"/>
      <c r="HVF50" s="32"/>
      <c r="HVG50" s="32"/>
      <c r="HVH50" s="32"/>
      <c r="HVI50" s="32"/>
      <c r="HVJ50" s="32"/>
      <c r="HVK50" s="32"/>
      <c r="HVL50" s="32"/>
      <c r="HVM50" s="32"/>
      <c r="HVN50" s="32"/>
      <c r="HVO50" s="32"/>
      <c r="HVP50" s="32"/>
      <c r="HVQ50" s="32"/>
      <c r="HVR50" s="32"/>
      <c r="HVS50" s="32"/>
      <c r="HVT50" s="32"/>
      <c r="HVU50" s="32"/>
      <c r="HVV50" s="32"/>
      <c r="HVW50" s="32"/>
      <c r="HVX50" s="32"/>
      <c r="HVY50" s="32"/>
      <c r="HVZ50" s="32"/>
      <c r="HWA50" s="32"/>
      <c r="HWB50" s="32"/>
      <c r="HWC50" s="32"/>
      <c r="HWD50" s="32"/>
      <c r="HWE50" s="32"/>
      <c r="HWF50" s="32"/>
      <c r="HWG50" s="32"/>
      <c r="HWH50" s="32"/>
      <c r="HWI50" s="32"/>
      <c r="HWJ50" s="32"/>
      <c r="HWK50" s="32"/>
      <c r="HWL50" s="32"/>
      <c r="HWM50" s="32"/>
      <c r="HWN50" s="32"/>
      <c r="HWO50" s="32"/>
      <c r="HWP50" s="32"/>
      <c r="HWQ50" s="32"/>
      <c r="HWR50" s="32"/>
      <c r="HWS50" s="32"/>
      <c r="HWT50" s="32"/>
      <c r="HWU50" s="32"/>
      <c r="HWV50" s="32"/>
      <c r="HWW50" s="32"/>
      <c r="HWX50" s="32"/>
      <c r="HWY50" s="32"/>
      <c r="HWZ50" s="32"/>
      <c r="HXA50" s="32"/>
      <c r="HXB50" s="32"/>
      <c r="HXC50" s="32"/>
      <c r="HXD50" s="32"/>
      <c r="HXE50" s="32"/>
      <c r="HXF50" s="32"/>
      <c r="HXG50" s="32"/>
      <c r="HXH50" s="32"/>
      <c r="HXI50" s="32"/>
      <c r="HXJ50" s="32"/>
      <c r="HXK50" s="32"/>
      <c r="HXL50" s="32"/>
      <c r="HXM50" s="32"/>
      <c r="HXN50" s="32"/>
      <c r="HXO50" s="32"/>
      <c r="HXP50" s="32"/>
      <c r="HXQ50" s="32"/>
      <c r="HXR50" s="32"/>
      <c r="HXS50" s="32"/>
      <c r="HXT50" s="32"/>
      <c r="HXU50" s="32"/>
      <c r="HXV50" s="32"/>
      <c r="HXW50" s="32"/>
      <c r="HXX50" s="32"/>
      <c r="HXY50" s="32"/>
      <c r="HXZ50" s="32"/>
      <c r="HYA50" s="32"/>
      <c r="HYB50" s="32"/>
      <c r="HYC50" s="32"/>
      <c r="HYD50" s="32"/>
      <c r="HYE50" s="32"/>
      <c r="HYF50" s="32"/>
      <c r="HYG50" s="32"/>
      <c r="HYH50" s="32"/>
      <c r="HYI50" s="32"/>
      <c r="HYJ50" s="32"/>
      <c r="HYK50" s="32"/>
      <c r="HYL50" s="32"/>
      <c r="HYM50" s="32"/>
      <c r="HYN50" s="32"/>
      <c r="HYO50" s="32"/>
      <c r="HYP50" s="32"/>
      <c r="HYQ50" s="32"/>
      <c r="HYR50" s="32"/>
      <c r="HYS50" s="32"/>
      <c r="HYT50" s="32"/>
      <c r="HYU50" s="32"/>
      <c r="HYV50" s="32"/>
      <c r="HYW50" s="32"/>
      <c r="HYX50" s="32"/>
      <c r="HYY50" s="32"/>
      <c r="HYZ50" s="32"/>
      <c r="HZA50" s="32"/>
      <c r="HZB50" s="32"/>
      <c r="HZC50" s="32"/>
      <c r="HZD50" s="32"/>
      <c r="HZE50" s="32"/>
      <c r="HZF50" s="32"/>
      <c r="HZG50" s="32"/>
      <c r="HZH50" s="32"/>
      <c r="HZI50" s="32"/>
      <c r="HZJ50" s="32"/>
      <c r="HZK50" s="32"/>
      <c r="HZL50" s="32"/>
      <c r="HZM50" s="32"/>
      <c r="HZN50" s="32"/>
      <c r="HZO50" s="32"/>
      <c r="HZP50" s="32"/>
      <c r="HZQ50" s="32"/>
      <c r="HZR50" s="32"/>
      <c r="HZS50" s="32"/>
      <c r="HZT50" s="32"/>
      <c r="HZU50" s="32"/>
      <c r="HZV50" s="32"/>
      <c r="HZW50" s="32"/>
      <c r="HZX50" s="32"/>
      <c r="HZY50" s="32"/>
      <c r="HZZ50" s="32"/>
      <c r="IAA50" s="32"/>
      <c r="IAB50" s="32"/>
      <c r="IAC50" s="32"/>
      <c r="IAD50" s="32"/>
      <c r="IAE50" s="32"/>
      <c r="IAF50" s="32"/>
      <c r="IAG50" s="32"/>
      <c r="IAH50" s="32"/>
      <c r="IAI50" s="32"/>
      <c r="IAJ50" s="32"/>
      <c r="IAK50" s="32"/>
      <c r="IAL50" s="32"/>
      <c r="IAM50" s="32"/>
      <c r="IAN50" s="32"/>
      <c r="IAO50" s="32"/>
      <c r="IAP50" s="32"/>
      <c r="IAQ50" s="32"/>
      <c r="IAR50" s="32"/>
      <c r="IAS50" s="32"/>
      <c r="IAT50" s="32"/>
      <c r="IAU50" s="32"/>
      <c r="IAV50" s="32"/>
      <c r="IAW50" s="32"/>
      <c r="IAX50" s="32"/>
      <c r="IAY50" s="32"/>
      <c r="IAZ50" s="32"/>
      <c r="IBA50" s="32"/>
      <c r="IBB50" s="32"/>
      <c r="IBC50" s="32"/>
      <c r="IBD50" s="32"/>
      <c r="IBE50" s="32"/>
      <c r="IBF50" s="32"/>
      <c r="IBG50" s="32"/>
      <c r="IBH50" s="32"/>
      <c r="IBI50" s="32"/>
      <c r="IBJ50" s="32"/>
      <c r="IBK50" s="32"/>
      <c r="IBL50" s="32"/>
      <c r="IBM50" s="32"/>
      <c r="IBN50" s="32"/>
      <c r="IBO50" s="32"/>
      <c r="IBP50" s="32"/>
      <c r="IBQ50" s="32"/>
      <c r="IBR50" s="32"/>
      <c r="IBS50" s="32"/>
      <c r="IBT50" s="32"/>
      <c r="IBU50" s="32"/>
      <c r="IBV50" s="32"/>
      <c r="IBW50" s="32"/>
      <c r="IBX50" s="32"/>
      <c r="IBY50" s="32"/>
      <c r="IBZ50" s="32"/>
      <c r="ICA50" s="32"/>
      <c r="ICB50" s="32"/>
      <c r="ICC50" s="32"/>
      <c r="ICD50" s="32"/>
      <c r="ICE50" s="32"/>
      <c r="ICF50" s="32"/>
      <c r="ICG50" s="32"/>
      <c r="ICH50" s="32"/>
      <c r="ICI50" s="32"/>
      <c r="ICJ50" s="32"/>
      <c r="ICK50" s="32"/>
      <c r="ICL50" s="32"/>
      <c r="ICM50" s="32"/>
      <c r="ICN50" s="32"/>
      <c r="ICO50" s="32"/>
      <c r="ICP50" s="32"/>
      <c r="ICQ50" s="32"/>
      <c r="ICR50" s="32"/>
      <c r="ICS50" s="32"/>
      <c r="ICT50" s="32"/>
      <c r="ICU50" s="32"/>
      <c r="ICV50" s="32"/>
      <c r="ICW50" s="32"/>
      <c r="ICX50" s="32"/>
      <c r="ICY50" s="32"/>
      <c r="ICZ50" s="32"/>
      <c r="IDA50" s="32"/>
      <c r="IDB50" s="32"/>
      <c r="IDC50" s="32"/>
      <c r="IDD50" s="32"/>
      <c r="IDE50" s="32"/>
      <c r="IDF50" s="32"/>
      <c r="IDG50" s="32"/>
      <c r="IDH50" s="32"/>
      <c r="IDI50" s="32"/>
      <c r="IDJ50" s="32"/>
      <c r="IDK50" s="32"/>
      <c r="IDL50" s="32"/>
      <c r="IDM50" s="32"/>
      <c r="IDN50" s="32"/>
      <c r="IDO50" s="32"/>
      <c r="IDP50" s="32"/>
      <c r="IDQ50" s="32"/>
      <c r="IDR50" s="32"/>
      <c r="IDS50" s="32"/>
      <c r="IDT50" s="32"/>
      <c r="IDU50" s="32"/>
      <c r="IDV50" s="32"/>
      <c r="IDW50" s="32"/>
      <c r="IDX50" s="32"/>
      <c r="IDY50" s="32"/>
      <c r="IDZ50" s="32"/>
      <c r="IEA50" s="32"/>
      <c r="IEB50" s="32"/>
      <c r="IEC50" s="32"/>
      <c r="IED50" s="32"/>
      <c r="IEE50" s="32"/>
      <c r="IEF50" s="32"/>
      <c r="IEG50" s="32"/>
      <c r="IEH50" s="32"/>
      <c r="IEI50" s="32"/>
      <c r="IEJ50" s="32"/>
      <c r="IEK50" s="32"/>
      <c r="IEL50" s="32"/>
      <c r="IEM50" s="32"/>
      <c r="IEN50" s="32"/>
      <c r="IEO50" s="32"/>
      <c r="IEP50" s="32"/>
      <c r="IEQ50" s="32"/>
      <c r="IER50" s="32"/>
      <c r="IES50" s="32"/>
      <c r="IET50" s="32"/>
      <c r="IEU50" s="32"/>
      <c r="IEV50" s="32"/>
      <c r="IEW50" s="32"/>
      <c r="IEX50" s="32"/>
      <c r="IEY50" s="32"/>
      <c r="IEZ50" s="32"/>
      <c r="IFA50" s="32"/>
      <c r="IFB50" s="32"/>
      <c r="IFC50" s="32"/>
      <c r="IFD50" s="32"/>
      <c r="IFE50" s="32"/>
      <c r="IFF50" s="32"/>
      <c r="IFG50" s="32"/>
      <c r="IFH50" s="32"/>
      <c r="IFI50" s="32"/>
      <c r="IFJ50" s="32"/>
      <c r="IFK50" s="32"/>
      <c r="IFL50" s="32"/>
      <c r="IFM50" s="32"/>
      <c r="IFN50" s="32"/>
      <c r="IFO50" s="32"/>
      <c r="IFP50" s="32"/>
      <c r="IFQ50" s="32"/>
      <c r="IFR50" s="32"/>
      <c r="IFS50" s="32"/>
      <c r="IFT50" s="32"/>
      <c r="IFU50" s="32"/>
      <c r="IFV50" s="32"/>
      <c r="IFW50" s="32"/>
      <c r="IFX50" s="32"/>
      <c r="IFY50" s="32"/>
      <c r="IFZ50" s="32"/>
      <c r="IGA50" s="32"/>
      <c r="IGB50" s="32"/>
      <c r="IGC50" s="32"/>
      <c r="IGD50" s="32"/>
      <c r="IGE50" s="32"/>
      <c r="IGF50" s="32"/>
      <c r="IGG50" s="32"/>
      <c r="IGH50" s="32"/>
      <c r="IGI50" s="32"/>
      <c r="IGJ50" s="32"/>
      <c r="IGK50" s="32"/>
      <c r="IGL50" s="32"/>
      <c r="IGM50" s="32"/>
      <c r="IGN50" s="32"/>
      <c r="IGO50" s="32"/>
      <c r="IGP50" s="32"/>
      <c r="IGQ50" s="32"/>
      <c r="IGR50" s="32"/>
      <c r="IGS50" s="32"/>
      <c r="IGT50" s="32"/>
      <c r="IGU50" s="32"/>
      <c r="IGV50" s="32"/>
      <c r="IGW50" s="32"/>
      <c r="IGX50" s="32"/>
      <c r="IGY50" s="32"/>
      <c r="IGZ50" s="32"/>
      <c r="IHA50" s="32"/>
      <c r="IHB50" s="32"/>
      <c r="IHC50" s="32"/>
      <c r="IHD50" s="32"/>
      <c r="IHE50" s="32"/>
      <c r="IHF50" s="32"/>
      <c r="IHG50" s="32"/>
      <c r="IHH50" s="32"/>
      <c r="IHI50" s="32"/>
      <c r="IHJ50" s="32"/>
      <c r="IHK50" s="32"/>
      <c r="IHL50" s="32"/>
      <c r="IHM50" s="32"/>
      <c r="IHN50" s="32"/>
      <c r="IHO50" s="32"/>
      <c r="IHP50" s="32"/>
      <c r="IHQ50" s="32"/>
      <c r="IHR50" s="32"/>
      <c r="IHS50" s="32"/>
      <c r="IHT50" s="32"/>
      <c r="IHU50" s="32"/>
      <c r="IHV50" s="32"/>
      <c r="IHW50" s="32"/>
      <c r="IHX50" s="32"/>
      <c r="IHY50" s="32"/>
      <c r="IHZ50" s="32"/>
      <c r="IIA50" s="32"/>
      <c r="IIB50" s="32"/>
      <c r="IIC50" s="32"/>
      <c r="IID50" s="32"/>
      <c r="IIE50" s="32"/>
      <c r="IIF50" s="32"/>
      <c r="IIG50" s="32"/>
      <c r="IIH50" s="32"/>
      <c r="III50" s="32"/>
      <c r="IIJ50" s="32"/>
      <c r="IIK50" s="32"/>
      <c r="IIL50" s="32"/>
      <c r="IIM50" s="32"/>
      <c r="IIN50" s="32"/>
      <c r="IIO50" s="32"/>
      <c r="IIP50" s="32"/>
      <c r="IIQ50" s="32"/>
      <c r="IIR50" s="32"/>
      <c r="IIS50" s="32"/>
      <c r="IIT50" s="32"/>
      <c r="IIU50" s="32"/>
      <c r="IIV50" s="32"/>
      <c r="IIW50" s="32"/>
      <c r="IIX50" s="32"/>
      <c r="IIY50" s="32"/>
      <c r="IIZ50" s="32"/>
      <c r="IJA50" s="32"/>
      <c r="IJB50" s="32"/>
      <c r="IJC50" s="32"/>
      <c r="IJD50" s="32"/>
      <c r="IJE50" s="32"/>
      <c r="IJF50" s="32"/>
      <c r="IJG50" s="32"/>
      <c r="IJH50" s="32"/>
      <c r="IJI50" s="32"/>
      <c r="IJJ50" s="32"/>
      <c r="IJK50" s="32"/>
      <c r="IJL50" s="32"/>
      <c r="IJM50" s="32"/>
      <c r="IJN50" s="32"/>
      <c r="IJO50" s="32"/>
      <c r="IJP50" s="32"/>
      <c r="IJQ50" s="32"/>
      <c r="IJR50" s="32"/>
      <c r="IJS50" s="32"/>
      <c r="IJT50" s="32"/>
      <c r="IJU50" s="32"/>
      <c r="IJV50" s="32"/>
      <c r="IJW50" s="32"/>
      <c r="IJX50" s="32"/>
      <c r="IJY50" s="32"/>
      <c r="IJZ50" s="32"/>
      <c r="IKA50" s="32"/>
      <c r="IKB50" s="32"/>
      <c r="IKC50" s="32"/>
      <c r="IKD50" s="32"/>
      <c r="IKE50" s="32"/>
      <c r="IKF50" s="32"/>
      <c r="IKG50" s="32"/>
      <c r="IKH50" s="32"/>
      <c r="IKI50" s="32"/>
      <c r="IKJ50" s="32"/>
      <c r="IKK50" s="32"/>
      <c r="IKL50" s="32"/>
      <c r="IKM50" s="32"/>
      <c r="IKN50" s="32"/>
      <c r="IKO50" s="32"/>
      <c r="IKP50" s="32"/>
      <c r="IKQ50" s="32"/>
      <c r="IKR50" s="32"/>
      <c r="IKS50" s="32"/>
      <c r="IKT50" s="32"/>
      <c r="IKU50" s="32"/>
      <c r="IKV50" s="32"/>
      <c r="IKW50" s="32"/>
      <c r="IKX50" s="32"/>
      <c r="IKY50" s="32"/>
      <c r="IKZ50" s="32"/>
      <c r="ILA50" s="32"/>
      <c r="ILB50" s="32"/>
      <c r="ILC50" s="32"/>
      <c r="ILD50" s="32"/>
      <c r="ILE50" s="32"/>
      <c r="ILF50" s="32"/>
      <c r="ILG50" s="32"/>
      <c r="ILH50" s="32"/>
      <c r="ILI50" s="32"/>
      <c r="ILJ50" s="32"/>
      <c r="ILK50" s="32"/>
      <c r="ILL50" s="32"/>
      <c r="ILM50" s="32"/>
      <c r="ILN50" s="32"/>
      <c r="ILO50" s="32"/>
      <c r="ILP50" s="32"/>
      <c r="ILQ50" s="32"/>
      <c r="ILR50" s="32"/>
      <c r="ILS50" s="32"/>
      <c r="ILT50" s="32"/>
      <c r="ILU50" s="32"/>
      <c r="ILV50" s="32"/>
      <c r="ILW50" s="32"/>
      <c r="ILX50" s="32"/>
      <c r="ILY50" s="32"/>
      <c r="ILZ50" s="32"/>
      <c r="IMA50" s="32"/>
      <c r="IMB50" s="32"/>
      <c r="IMC50" s="32"/>
      <c r="IMD50" s="32"/>
      <c r="IME50" s="32"/>
      <c r="IMF50" s="32"/>
      <c r="IMG50" s="32"/>
      <c r="IMH50" s="32"/>
      <c r="IMI50" s="32"/>
      <c r="IMJ50" s="32"/>
      <c r="IMK50" s="32"/>
      <c r="IML50" s="32"/>
      <c r="IMM50" s="32"/>
      <c r="IMN50" s="32"/>
      <c r="IMO50" s="32"/>
      <c r="IMP50" s="32"/>
      <c r="IMQ50" s="32"/>
      <c r="IMR50" s="32"/>
      <c r="IMS50" s="32"/>
      <c r="IMT50" s="32"/>
      <c r="IMU50" s="32"/>
      <c r="IMV50" s="32"/>
      <c r="IMW50" s="32"/>
      <c r="IMX50" s="32"/>
      <c r="IMY50" s="32"/>
      <c r="IMZ50" s="32"/>
      <c r="INA50" s="32"/>
      <c r="INB50" s="32"/>
      <c r="INC50" s="32"/>
      <c r="IND50" s="32"/>
      <c r="INE50" s="32"/>
      <c r="INF50" s="32"/>
      <c r="ING50" s="32"/>
      <c r="INH50" s="32"/>
      <c r="INI50" s="32"/>
      <c r="INJ50" s="32"/>
      <c r="INK50" s="32"/>
      <c r="INL50" s="32"/>
      <c r="INM50" s="32"/>
      <c r="INN50" s="32"/>
      <c r="INO50" s="32"/>
      <c r="INP50" s="32"/>
      <c r="INQ50" s="32"/>
      <c r="INR50" s="32"/>
      <c r="INS50" s="32"/>
      <c r="INT50" s="32"/>
      <c r="INU50" s="32"/>
      <c r="INV50" s="32"/>
      <c r="INW50" s="32"/>
      <c r="INX50" s="32"/>
      <c r="INY50" s="32"/>
      <c r="INZ50" s="32"/>
      <c r="IOA50" s="32"/>
      <c r="IOB50" s="32"/>
      <c r="IOC50" s="32"/>
      <c r="IOD50" s="32"/>
      <c r="IOE50" s="32"/>
      <c r="IOF50" s="32"/>
      <c r="IOG50" s="32"/>
      <c r="IOH50" s="32"/>
      <c r="IOI50" s="32"/>
      <c r="IOJ50" s="32"/>
      <c r="IOK50" s="32"/>
      <c r="IOL50" s="32"/>
      <c r="IOM50" s="32"/>
      <c r="ION50" s="32"/>
      <c r="IOO50" s="32"/>
      <c r="IOP50" s="32"/>
      <c r="IOQ50" s="32"/>
      <c r="IOR50" s="32"/>
      <c r="IOS50" s="32"/>
      <c r="IOT50" s="32"/>
      <c r="IOU50" s="32"/>
      <c r="IOV50" s="32"/>
      <c r="IOW50" s="32"/>
      <c r="IOX50" s="32"/>
      <c r="IOY50" s="32"/>
      <c r="IOZ50" s="32"/>
      <c r="IPA50" s="32"/>
      <c r="IPB50" s="32"/>
      <c r="IPC50" s="32"/>
      <c r="IPD50" s="32"/>
      <c r="IPE50" s="32"/>
      <c r="IPF50" s="32"/>
      <c r="IPG50" s="32"/>
      <c r="IPH50" s="32"/>
      <c r="IPI50" s="32"/>
      <c r="IPJ50" s="32"/>
      <c r="IPK50" s="32"/>
      <c r="IPL50" s="32"/>
      <c r="IPM50" s="32"/>
      <c r="IPN50" s="32"/>
      <c r="IPO50" s="32"/>
      <c r="IPP50" s="32"/>
      <c r="IPQ50" s="32"/>
      <c r="IPR50" s="32"/>
      <c r="IPS50" s="32"/>
      <c r="IPT50" s="32"/>
      <c r="IPU50" s="32"/>
      <c r="IPV50" s="32"/>
      <c r="IPW50" s="32"/>
      <c r="IPX50" s="32"/>
      <c r="IPY50" s="32"/>
      <c r="IPZ50" s="32"/>
      <c r="IQA50" s="32"/>
      <c r="IQB50" s="32"/>
      <c r="IQC50" s="32"/>
      <c r="IQD50" s="32"/>
      <c r="IQE50" s="32"/>
      <c r="IQF50" s="32"/>
      <c r="IQG50" s="32"/>
      <c r="IQH50" s="32"/>
      <c r="IQI50" s="32"/>
      <c r="IQJ50" s="32"/>
      <c r="IQK50" s="32"/>
      <c r="IQL50" s="32"/>
      <c r="IQM50" s="32"/>
      <c r="IQN50" s="32"/>
      <c r="IQO50" s="32"/>
      <c r="IQP50" s="32"/>
      <c r="IQQ50" s="32"/>
      <c r="IQR50" s="32"/>
      <c r="IQS50" s="32"/>
      <c r="IQT50" s="32"/>
      <c r="IQU50" s="32"/>
      <c r="IQV50" s="32"/>
      <c r="IQW50" s="32"/>
      <c r="IQX50" s="32"/>
      <c r="IQY50" s="32"/>
      <c r="IQZ50" s="32"/>
      <c r="IRA50" s="32"/>
      <c r="IRB50" s="32"/>
      <c r="IRC50" s="32"/>
      <c r="IRD50" s="32"/>
      <c r="IRE50" s="32"/>
      <c r="IRF50" s="32"/>
      <c r="IRG50" s="32"/>
      <c r="IRH50" s="32"/>
      <c r="IRI50" s="32"/>
      <c r="IRJ50" s="32"/>
      <c r="IRK50" s="32"/>
      <c r="IRL50" s="32"/>
      <c r="IRM50" s="32"/>
      <c r="IRN50" s="32"/>
      <c r="IRO50" s="32"/>
      <c r="IRP50" s="32"/>
      <c r="IRQ50" s="32"/>
      <c r="IRR50" s="32"/>
      <c r="IRS50" s="32"/>
      <c r="IRT50" s="32"/>
      <c r="IRU50" s="32"/>
      <c r="IRV50" s="32"/>
      <c r="IRW50" s="32"/>
      <c r="IRX50" s="32"/>
      <c r="IRY50" s="32"/>
      <c r="IRZ50" s="32"/>
      <c r="ISA50" s="32"/>
      <c r="ISB50" s="32"/>
      <c r="ISC50" s="32"/>
      <c r="ISD50" s="32"/>
      <c r="ISE50" s="32"/>
      <c r="ISF50" s="32"/>
      <c r="ISG50" s="32"/>
      <c r="ISH50" s="32"/>
      <c r="ISI50" s="32"/>
      <c r="ISJ50" s="32"/>
      <c r="ISK50" s="32"/>
      <c r="ISL50" s="32"/>
      <c r="ISM50" s="32"/>
      <c r="ISN50" s="32"/>
      <c r="ISO50" s="32"/>
      <c r="ISP50" s="32"/>
      <c r="ISQ50" s="32"/>
      <c r="ISR50" s="32"/>
      <c r="ISS50" s="32"/>
      <c r="IST50" s="32"/>
      <c r="ISU50" s="32"/>
      <c r="ISV50" s="32"/>
      <c r="ISW50" s="32"/>
      <c r="ISX50" s="32"/>
      <c r="ISY50" s="32"/>
      <c r="ISZ50" s="32"/>
      <c r="ITA50" s="32"/>
      <c r="ITB50" s="32"/>
      <c r="ITC50" s="32"/>
      <c r="ITD50" s="32"/>
      <c r="ITE50" s="32"/>
      <c r="ITF50" s="32"/>
      <c r="ITG50" s="32"/>
      <c r="ITH50" s="32"/>
      <c r="ITI50" s="32"/>
      <c r="ITJ50" s="32"/>
      <c r="ITK50" s="32"/>
      <c r="ITL50" s="32"/>
      <c r="ITM50" s="32"/>
      <c r="ITN50" s="32"/>
      <c r="ITO50" s="32"/>
      <c r="ITP50" s="32"/>
      <c r="ITQ50" s="32"/>
      <c r="ITR50" s="32"/>
      <c r="ITS50" s="32"/>
      <c r="ITT50" s="32"/>
      <c r="ITU50" s="32"/>
      <c r="ITV50" s="32"/>
      <c r="ITW50" s="32"/>
      <c r="ITX50" s="32"/>
      <c r="ITY50" s="32"/>
      <c r="ITZ50" s="32"/>
      <c r="IUA50" s="32"/>
      <c r="IUB50" s="32"/>
      <c r="IUC50" s="32"/>
      <c r="IUD50" s="32"/>
      <c r="IUE50" s="32"/>
      <c r="IUF50" s="32"/>
      <c r="IUG50" s="32"/>
      <c r="IUH50" s="32"/>
      <c r="IUI50" s="32"/>
      <c r="IUJ50" s="32"/>
      <c r="IUK50" s="32"/>
      <c r="IUL50" s="32"/>
      <c r="IUM50" s="32"/>
      <c r="IUN50" s="32"/>
      <c r="IUO50" s="32"/>
      <c r="IUP50" s="32"/>
      <c r="IUQ50" s="32"/>
      <c r="IUR50" s="32"/>
      <c r="IUS50" s="32"/>
      <c r="IUT50" s="32"/>
      <c r="IUU50" s="32"/>
      <c r="IUV50" s="32"/>
      <c r="IUW50" s="32"/>
      <c r="IUX50" s="32"/>
      <c r="IUY50" s="32"/>
      <c r="IUZ50" s="32"/>
      <c r="IVA50" s="32"/>
      <c r="IVB50" s="32"/>
      <c r="IVC50" s="32"/>
      <c r="IVD50" s="32"/>
      <c r="IVE50" s="32"/>
      <c r="IVF50" s="32"/>
      <c r="IVG50" s="32"/>
      <c r="IVH50" s="32"/>
      <c r="IVI50" s="32"/>
      <c r="IVJ50" s="32"/>
      <c r="IVK50" s="32"/>
      <c r="IVL50" s="32"/>
      <c r="IVM50" s="32"/>
      <c r="IVN50" s="32"/>
      <c r="IVO50" s="32"/>
      <c r="IVP50" s="32"/>
      <c r="IVQ50" s="32"/>
      <c r="IVR50" s="32"/>
      <c r="IVS50" s="32"/>
      <c r="IVT50" s="32"/>
      <c r="IVU50" s="32"/>
      <c r="IVV50" s="32"/>
      <c r="IVW50" s="32"/>
      <c r="IVX50" s="32"/>
      <c r="IVY50" s="32"/>
      <c r="IVZ50" s="32"/>
      <c r="IWA50" s="32"/>
      <c r="IWB50" s="32"/>
      <c r="IWC50" s="32"/>
      <c r="IWD50" s="32"/>
      <c r="IWE50" s="32"/>
      <c r="IWF50" s="32"/>
      <c r="IWG50" s="32"/>
      <c r="IWH50" s="32"/>
      <c r="IWI50" s="32"/>
      <c r="IWJ50" s="32"/>
      <c r="IWK50" s="32"/>
      <c r="IWL50" s="32"/>
      <c r="IWM50" s="32"/>
      <c r="IWN50" s="32"/>
      <c r="IWO50" s="32"/>
      <c r="IWP50" s="32"/>
      <c r="IWQ50" s="32"/>
      <c r="IWR50" s="32"/>
      <c r="IWS50" s="32"/>
      <c r="IWT50" s="32"/>
      <c r="IWU50" s="32"/>
      <c r="IWV50" s="32"/>
      <c r="IWW50" s="32"/>
      <c r="IWX50" s="32"/>
      <c r="IWY50" s="32"/>
      <c r="IWZ50" s="32"/>
      <c r="IXA50" s="32"/>
      <c r="IXB50" s="32"/>
      <c r="IXC50" s="32"/>
      <c r="IXD50" s="32"/>
      <c r="IXE50" s="32"/>
      <c r="IXF50" s="32"/>
      <c r="IXG50" s="32"/>
      <c r="IXH50" s="32"/>
      <c r="IXI50" s="32"/>
      <c r="IXJ50" s="32"/>
      <c r="IXK50" s="32"/>
      <c r="IXL50" s="32"/>
      <c r="IXM50" s="32"/>
      <c r="IXN50" s="32"/>
      <c r="IXO50" s="32"/>
      <c r="IXP50" s="32"/>
      <c r="IXQ50" s="32"/>
      <c r="IXR50" s="32"/>
      <c r="IXS50" s="32"/>
      <c r="IXT50" s="32"/>
      <c r="IXU50" s="32"/>
      <c r="IXV50" s="32"/>
      <c r="IXW50" s="32"/>
      <c r="IXX50" s="32"/>
      <c r="IXY50" s="32"/>
      <c r="IXZ50" s="32"/>
      <c r="IYA50" s="32"/>
      <c r="IYB50" s="32"/>
      <c r="IYC50" s="32"/>
      <c r="IYD50" s="32"/>
      <c r="IYE50" s="32"/>
      <c r="IYF50" s="32"/>
      <c r="IYG50" s="32"/>
      <c r="IYH50" s="32"/>
      <c r="IYI50" s="32"/>
      <c r="IYJ50" s="32"/>
      <c r="IYK50" s="32"/>
      <c r="IYL50" s="32"/>
      <c r="IYM50" s="32"/>
      <c r="IYN50" s="32"/>
      <c r="IYO50" s="32"/>
      <c r="IYP50" s="32"/>
      <c r="IYQ50" s="32"/>
      <c r="IYR50" s="32"/>
      <c r="IYS50" s="32"/>
      <c r="IYT50" s="32"/>
      <c r="IYU50" s="32"/>
      <c r="IYV50" s="32"/>
      <c r="IYW50" s="32"/>
      <c r="IYX50" s="32"/>
      <c r="IYY50" s="32"/>
      <c r="IYZ50" s="32"/>
      <c r="IZA50" s="32"/>
      <c r="IZB50" s="32"/>
      <c r="IZC50" s="32"/>
      <c r="IZD50" s="32"/>
      <c r="IZE50" s="32"/>
      <c r="IZF50" s="32"/>
      <c r="IZG50" s="32"/>
      <c r="IZH50" s="32"/>
      <c r="IZI50" s="32"/>
      <c r="IZJ50" s="32"/>
      <c r="IZK50" s="32"/>
      <c r="IZL50" s="32"/>
      <c r="IZM50" s="32"/>
      <c r="IZN50" s="32"/>
      <c r="IZO50" s="32"/>
      <c r="IZP50" s="32"/>
      <c r="IZQ50" s="32"/>
      <c r="IZR50" s="32"/>
      <c r="IZS50" s="32"/>
      <c r="IZT50" s="32"/>
      <c r="IZU50" s="32"/>
      <c r="IZV50" s="32"/>
      <c r="IZW50" s="32"/>
      <c r="IZX50" s="32"/>
      <c r="IZY50" s="32"/>
      <c r="IZZ50" s="32"/>
      <c r="JAA50" s="32"/>
      <c r="JAB50" s="32"/>
      <c r="JAC50" s="32"/>
      <c r="JAD50" s="32"/>
      <c r="JAE50" s="32"/>
      <c r="JAF50" s="32"/>
      <c r="JAG50" s="32"/>
      <c r="JAH50" s="32"/>
      <c r="JAI50" s="32"/>
      <c r="JAJ50" s="32"/>
      <c r="JAK50" s="32"/>
      <c r="JAL50" s="32"/>
      <c r="JAM50" s="32"/>
      <c r="JAN50" s="32"/>
      <c r="JAO50" s="32"/>
      <c r="JAP50" s="32"/>
      <c r="JAQ50" s="32"/>
      <c r="JAR50" s="32"/>
      <c r="JAS50" s="32"/>
      <c r="JAT50" s="32"/>
      <c r="JAU50" s="32"/>
      <c r="JAV50" s="32"/>
      <c r="JAW50" s="32"/>
      <c r="JAX50" s="32"/>
      <c r="JAY50" s="32"/>
      <c r="JAZ50" s="32"/>
      <c r="JBA50" s="32"/>
      <c r="JBB50" s="32"/>
      <c r="JBC50" s="32"/>
      <c r="JBD50" s="32"/>
      <c r="JBE50" s="32"/>
      <c r="JBF50" s="32"/>
      <c r="JBG50" s="32"/>
      <c r="JBH50" s="32"/>
      <c r="JBI50" s="32"/>
      <c r="JBJ50" s="32"/>
      <c r="JBK50" s="32"/>
      <c r="JBL50" s="32"/>
      <c r="JBM50" s="32"/>
      <c r="JBN50" s="32"/>
      <c r="JBO50" s="32"/>
      <c r="JBP50" s="32"/>
      <c r="JBQ50" s="32"/>
      <c r="JBR50" s="32"/>
      <c r="JBS50" s="32"/>
      <c r="JBT50" s="32"/>
      <c r="JBU50" s="32"/>
      <c r="JBV50" s="32"/>
      <c r="JBW50" s="32"/>
      <c r="JBX50" s="32"/>
      <c r="JBY50" s="32"/>
      <c r="JBZ50" s="32"/>
      <c r="JCA50" s="32"/>
      <c r="JCB50" s="32"/>
      <c r="JCC50" s="32"/>
      <c r="JCD50" s="32"/>
      <c r="JCE50" s="32"/>
      <c r="JCF50" s="32"/>
      <c r="JCG50" s="32"/>
      <c r="JCH50" s="32"/>
      <c r="JCI50" s="32"/>
      <c r="JCJ50" s="32"/>
      <c r="JCK50" s="32"/>
      <c r="JCL50" s="32"/>
      <c r="JCM50" s="32"/>
      <c r="JCN50" s="32"/>
      <c r="JCO50" s="32"/>
      <c r="JCP50" s="32"/>
      <c r="JCQ50" s="32"/>
      <c r="JCR50" s="32"/>
      <c r="JCS50" s="32"/>
      <c r="JCT50" s="32"/>
      <c r="JCU50" s="32"/>
      <c r="JCV50" s="32"/>
      <c r="JCW50" s="32"/>
      <c r="JCX50" s="32"/>
      <c r="JCY50" s="32"/>
      <c r="JCZ50" s="32"/>
      <c r="JDA50" s="32"/>
      <c r="JDB50" s="32"/>
      <c r="JDC50" s="32"/>
      <c r="JDD50" s="32"/>
      <c r="JDE50" s="32"/>
      <c r="JDF50" s="32"/>
      <c r="JDG50" s="32"/>
      <c r="JDH50" s="32"/>
      <c r="JDI50" s="32"/>
      <c r="JDJ50" s="32"/>
      <c r="JDK50" s="32"/>
      <c r="JDL50" s="32"/>
      <c r="JDM50" s="32"/>
      <c r="JDN50" s="32"/>
      <c r="JDO50" s="32"/>
      <c r="JDP50" s="32"/>
      <c r="JDQ50" s="32"/>
      <c r="JDR50" s="32"/>
      <c r="JDS50" s="32"/>
      <c r="JDT50" s="32"/>
      <c r="JDU50" s="32"/>
      <c r="JDV50" s="32"/>
      <c r="JDW50" s="32"/>
      <c r="JDX50" s="32"/>
      <c r="JDY50" s="32"/>
      <c r="JDZ50" s="32"/>
      <c r="JEA50" s="32"/>
      <c r="JEB50" s="32"/>
      <c r="JEC50" s="32"/>
      <c r="JED50" s="32"/>
      <c r="JEE50" s="32"/>
      <c r="JEF50" s="32"/>
      <c r="JEG50" s="32"/>
      <c r="JEH50" s="32"/>
      <c r="JEI50" s="32"/>
      <c r="JEJ50" s="32"/>
      <c r="JEK50" s="32"/>
      <c r="JEL50" s="32"/>
      <c r="JEM50" s="32"/>
      <c r="JEN50" s="32"/>
      <c r="JEO50" s="32"/>
      <c r="JEP50" s="32"/>
      <c r="JEQ50" s="32"/>
      <c r="JER50" s="32"/>
      <c r="JES50" s="32"/>
      <c r="JET50" s="32"/>
      <c r="JEU50" s="32"/>
      <c r="JEV50" s="32"/>
      <c r="JEW50" s="32"/>
      <c r="JEX50" s="32"/>
      <c r="JEY50" s="32"/>
      <c r="JEZ50" s="32"/>
      <c r="JFA50" s="32"/>
      <c r="JFB50" s="32"/>
      <c r="JFC50" s="32"/>
      <c r="JFD50" s="32"/>
      <c r="JFE50" s="32"/>
      <c r="JFF50" s="32"/>
      <c r="JFG50" s="32"/>
      <c r="JFH50" s="32"/>
      <c r="JFI50" s="32"/>
      <c r="JFJ50" s="32"/>
      <c r="JFK50" s="32"/>
      <c r="JFL50" s="32"/>
      <c r="JFM50" s="32"/>
      <c r="JFN50" s="32"/>
      <c r="JFO50" s="32"/>
      <c r="JFP50" s="32"/>
      <c r="JFQ50" s="32"/>
      <c r="JFR50" s="32"/>
      <c r="JFS50" s="32"/>
      <c r="JFT50" s="32"/>
      <c r="JFU50" s="32"/>
      <c r="JFV50" s="32"/>
      <c r="JFW50" s="32"/>
      <c r="JFX50" s="32"/>
      <c r="JFY50" s="32"/>
      <c r="JFZ50" s="32"/>
      <c r="JGA50" s="32"/>
      <c r="JGB50" s="32"/>
      <c r="JGC50" s="32"/>
      <c r="JGD50" s="32"/>
      <c r="JGE50" s="32"/>
      <c r="JGF50" s="32"/>
      <c r="JGG50" s="32"/>
      <c r="JGH50" s="32"/>
      <c r="JGI50" s="32"/>
      <c r="JGJ50" s="32"/>
      <c r="JGK50" s="32"/>
      <c r="JGL50" s="32"/>
      <c r="JGM50" s="32"/>
      <c r="JGN50" s="32"/>
      <c r="JGO50" s="32"/>
      <c r="JGP50" s="32"/>
      <c r="JGQ50" s="32"/>
      <c r="JGR50" s="32"/>
      <c r="JGS50" s="32"/>
      <c r="JGT50" s="32"/>
      <c r="JGU50" s="32"/>
      <c r="JGV50" s="32"/>
      <c r="JGW50" s="32"/>
      <c r="JGX50" s="32"/>
      <c r="JGY50" s="32"/>
      <c r="JGZ50" s="32"/>
      <c r="JHA50" s="32"/>
      <c r="JHB50" s="32"/>
      <c r="JHC50" s="32"/>
      <c r="JHD50" s="32"/>
      <c r="JHE50" s="32"/>
      <c r="JHF50" s="32"/>
      <c r="JHG50" s="32"/>
      <c r="JHH50" s="32"/>
      <c r="JHI50" s="32"/>
      <c r="JHJ50" s="32"/>
      <c r="JHK50" s="32"/>
      <c r="JHL50" s="32"/>
      <c r="JHM50" s="32"/>
      <c r="JHN50" s="32"/>
      <c r="JHO50" s="32"/>
      <c r="JHP50" s="32"/>
      <c r="JHQ50" s="32"/>
      <c r="JHR50" s="32"/>
      <c r="JHS50" s="32"/>
      <c r="JHT50" s="32"/>
      <c r="JHU50" s="32"/>
      <c r="JHV50" s="32"/>
      <c r="JHW50" s="32"/>
      <c r="JHX50" s="32"/>
      <c r="JHY50" s="32"/>
      <c r="JHZ50" s="32"/>
      <c r="JIA50" s="32"/>
      <c r="JIB50" s="32"/>
      <c r="JIC50" s="32"/>
      <c r="JID50" s="32"/>
      <c r="JIE50" s="32"/>
      <c r="JIF50" s="32"/>
      <c r="JIG50" s="32"/>
      <c r="JIH50" s="32"/>
      <c r="JII50" s="32"/>
      <c r="JIJ50" s="32"/>
      <c r="JIK50" s="32"/>
      <c r="JIL50" s="32"/>
      <c r="JIM50" s="32"/>
      <c r="JIN50" s="32"/>
      <c r="JIO50" s="32"/>
      <c r="JIP50" s="32"/>
      <c r="JIQ50" s="32"/>
      <c r="JIR50" s="32"/>
      <c r="JIS50" s="32"/>
      <c r="JIT50" s="32"/>
      <c r="JIU50" s="32"/>
      <c r="JIV50" s="32"/>
      <c r="JIW50" s="32"/>
      <c r="JIX50" s="32"/>
      <c r="JIY50" s="32"/>
      <c r="JIZ50" s="32"/>
      <c r="JJA50" s="32"/>
      <c r="JJB50" s="32"/>
      <c r="JJC50" s="32"/>
      <c r="JJD50" s="32"/>
      <c r="JJE50" s="32"/>
      <c r="JJF50" s="32"/>
      <c r="JJG50" s="32"/>
      <c r="JJH50" s="32"/>
      <c r="JJI50" s="32"/>
      <c r="JJJ50" s="32"/>
      <c r="JJK50" s="32"/>
      <c r="JJL50" s="32"/>
      <c r="JJM50" s="32"/>
      <c r="JJN50" s="32"/>
      <c r="JJO50" s="32"/>
      <c r="JJP50" s="32"/>
      <c r="JJQ50" s="32"/>
      <c r="JJR50" s="32"/>
      <c r="JJS50" s="32"/>
      <c r="JJT50" s="32"/>
      <c r="JJU50" s="32"/>
      <c r="JJV50" s="32"/>
      <c r="JJW50" s="32"/>
      <c r="JJX50" s="32"/>
      <c r="JJY50" s="32"/>
      <c r="JJZ50" s="32"/>
      <c r="JKA50" s="32"/>
      <c r="JKB50" s="32"/>
      <c r="JKC50" s="32"/>
      <c r="JKD50" s="32"/>
      <c r="JKE50" s="32"/>
      <c r="JKF50" s="32"/>
      <c r="JKG50" s="32"/>
      <c r="JKH50" s="32"/>
      <c r="JKI50" s="32"/>
      <c r="JKJ50" s="32"/>
      <c r="JKK50" s="32"/>
      <c r="JKL50" s="32"/>
      <c r="JKM50" s="32"/>
      <c r="JKN50" s="32"/>
      <c r="JKO50" s="32"/>
      <c r="JKP50" s="32"/>
      <c r="JKQ50" s="32"/>
      <c r="JKR50" s="32"/>
      <c r="JKS50" s="32"/>
      <c r="JKT50" s="32"/>
      <c r="JKU50" s="32"/>
      <c r="JKV50" s="32"/>
      <c r="JKW50" s="32"/>
      <c r="JKX50" s="32"/>
      <c r="JKY50" s="32"/>
      <c r="JKZ50" s="32"/>
      <c r="JLA50" s="32"/>
      <c r="JLB50" s="32"/>
      <c r="JLC50" s="32"/>
      <c r="JLD50" s="32"/>
      <c r="JLE50" s="32"/>
      <c r="JLF50" s="32"/>
      <c r="JLG50" s="32"/>
      <c r="JLH50" s="32"/>
      <c r="JLI50" s="32"/>
      <c r="JLJ50" s="32"/>
      <c r="JLK50" s="32"/>
      <c r="JLL50" s="32"/>
      <c r="JLM50" s="32"/>
      <c r="JLN50" s="32"/>
      <c r="JLO50" s="32"/>
      <c r="JLP50" s="32"/>
      <c r="JLQ50" s="32"/>
      <c r="JLR50" s="32"/>
      <c r="JLS50" s="32"/>
      <c r="JLT50" s="32"/>
      <c r="JLU50" s="32"/>
      <c r="JLV50" s="32"/>
      <c r="JLW50" s="32"/>
      <c r="JLX50" s="32"/>
      <c r="JLY50" s="32"/>
      <c r="JLZ50" s="32"/>
      <c r="JMA50" s="32"/>
      <c r="JMB50" s="32"/>
      <c r="JMC50" s="32"/>
      <c r="JMD50" s="32"/>
      <c r="JME50" s="32"/>
      <c r="JMF50" s="32"/>
      <c r="JMG50" s="32"/>
      <c r="JMH50" s="32"/>
      <c r="JMI50" s="32"/>
      <c r="JMJ50" s="32"/>
      <c r="JMK50" s="32"/>
      <c r="JML50" s="32"/>
      <c r="JMM50" s="32"/>
      <c r="JMN50" s="32"/>
      <c r="JMO50" s="32"/>
      <c r="JMP50" s="32"/>
      <c r="JMQ50" s="32"/>
      <c r="JMR50" s="32"/>
      <c r="JMS50" s="32"/>
      <c r="JMT50" s="32"/>
      <c r="JMU50" s="32"/>
      <c r="JMV50" s="32"/>
      <c r="JMW50" s="32"/>
      <c r="JMX50" s="32"/>
      <c r="JMY50" s="32"/>
      <c r="JMZ50" s="32"/>
      <c r="JNA50" s="32"/>
      <c r="JNB50" s="32"/>
      <c r="JNC50" s="32"/>
      <c r="JND50" s="32"/>
      <c r="JNE50" s="32"/>
      <c r="JNF50" s="32"/>
      <c r="JNG50" s="32"/>
      <c r="JNH50" s="32"/>
      <c r="JNI50" s="32"/>
      <c r="JNJ50" s="32"/>
      <c r="JNK50" s="32"/>
      <c r="JNL50" s="32"/>
      <c r="JNM50" s="32"/>
      <c r="JNN50" s="32"/>
      <c r="JNO50" s="32"/>
      <c r="JNP50" s="32"/>
      <c r="JNQ50" s="32"/>
      <c r="JNR50" s="32"/>
      <c r="JNS50" s="32"/>
      <c r="JNT50" s="32"/>
      <c r="JNU50" s="32"/>
      <c r="JNV50" s="32"/>
      <c r="JNW50" s="32"/>
      <c r="JNX50" s="32"/>
      <c r="JNY50" s="32"/>
      <c r="JNZ50" s="32"/>
      <c r="JOA50" s="32"/>
      <c r="JOB50" s="32"/>
      <c r="JOC50" s="32"/>
      <c r="JOD50" s="32"/>
      <c r="JOE50" s="32"/>
      <c r="JOF50" s="32"/>
      <c r="JOG50" s="32"/>
      <c r="JOH50" s="32"/>
      <c r="JOI50" s="32"/>
      <c r="JOJ50" s="32"/>
      <c r="JOK50" s="32"/>
      <c r="JOL50" s="32"/>
      <c r="JOM50" s="32"/>
      <c r="JON50" s="32"/>
      <c r="JOO50" s="32"/>
      <c r="JOP50" s="32"/>
      <c r="JOQ50" s="32"/>
      <c r="JOR50" s="32"/>
      <c r="JOS50" s="32"/>
      <c r="JOT50" s="32"/>
      <c r="JOU50" s="32"/>
      <c r="JOV50" s="32"/>
      <c r="JOW50" s="32"/>
      <c r="JOX50" s="32"/>
      <c r="JOY50" s="32"/>
      <c r="JOZ50" s="32"/>
      <c r="JPA50" s="32"/>
      <c r="JPB50" s="32"/>
      <c r="JPC50" s="32"/>
      <c r="JPD50" s="32"/>
      <c r="JPE50" s="32"/>
      <c r="JPF50" s="32"/>
      <c r="JPG50" s="32"/>
      <c r="JPH50" s="32"/>
      <c r="JPI50" s="32"/>
      <c r="JPJ50" s="32"/>
      <c r="JPK50" s="32"/>
      <c r="JPL50" s="32"/>
      <c r="JPM50" s="32"/>
      <c r="JPN50" s="32"/>
      <c r="JPO50" s="32"/>
      <c r="JPP50" s="32"/>
      <c r="JPQ50" s="32"/>
      <c r="JPR50" s="32"/>
      <c r="JPS50" s="32"/>
      <c r="JPT50" s="32"/>
      <c r="JPU50" s="32"/>
      <c r="JPV50" s="32"/>
      <c r="JPW50" s="32"/>
      <c r="JPX50" s="32"/>
      <c r="JPY50" s="32"/>
      <c r="JPZ50" s="32"/>
      <c r="JQA50" s="32"/>
      <c r="JQB50" s="32"/>
      <c r="JQC50" s="32"/>
      <c r="JQD50" s="32"/>
      <c r="JQE50" s="32"/>
      <c r="JQF50" s="32"/>
      <c r="JQG50" s="32"/>
      <c r="JQH50" s="32"/>
      <c r="JQI50" s="32"/>
      <c r="JQJ50" s="32"/>
      <c r="JQK50" s="32"/>
      <c r="JQL50" s="32"/>
      <c r="JQM50" s="32"/>
      <c r="JQN50" s="32"/>
      <c r="JQO50" s="32"/>
      <c r="JQP50" s="32"/>
      <c r="JQQ50" s="32"/>
      <c r="JQR50" s="32"/>
      <c r="JQS50" s="32"/>
      <c r="JQT50" s="32"/>
      <c r="JQU50" s="32"/>
      <c r="JQV50" s="32"/>
      <c r="JQW50" s="32"/>
      <c r="JQX50" s="32"/>
      <c r="JQY50" s="32"/>
      <c r="JQZ50" s="32"/>
      <c r="JRA50" s="32"/>
      <c r="JRB50" s="32"/>
      <c r="JRC50" s="32"/>
      <c r="JRD50" s="32"/>
      <c r="JRE50" s="32"/>
      <c r="JRF50" s="32"/>
      <c r="JRG50" s="32"/>
      <c r="JRH50" s="32"/>
      <c r="JRI50" s="32"/>
      <c r="JRJ50" s="32"/>
      <c r="JRK50" s="32"/>
      <c r="JRL50" s="32"/>
      <c r="JRM50" s="32"/>
      <c r="JRN50" s="32"/>
      <c r="JRO50" s="32"/>
      <c r="JRP50" s="32"/>
      <c r="JRQ50" s="32"/>
      <c r="JRR50" s="32"/>
      <c r="JRS50" s="32"/>
      <c r="JRT50" s="32"/>
      <c r="JRU50" s="32"/>
      <c r="JRV50" s="32"/>
      <c r="JRW50" s="32"/>
      <c r="JRX50" s="32"/>
      <c r="JRY50" s="32"/>
      <c r="JRZ50" s="32"/>
      <c r="JSA50" s="32"/>
      <c r="JSB50" s="32"/>
      <c r="JSC50" s="32"/>
      <c r="JSD50" s="32"/>
      <c r="JSE50" s="32"/>
      <c r="JSF50" s="32"/>
      <c r="JSG50" s="32"/>
      <c r="JSH50" s="32"/>
      <c r="JSI50" s="32"/>
      <c r="JSJ50" s="32"/>
      <c r="JSK50" s="32"/>
      <c r="JSL50" s="32"/>
      <c r="JSM50" s="32"/>
      <c r="JSN50" s="32"/>
      <c r="JSO50" s="32"/>
      <c r="JSP50" s="32"/>
      <c r="JSQ50" s="32"/>
      <c r="JSR50" s="32"/>
      <c r="JSS50" s="32"/>
      <c r="JST50" s="32"/>
      <c r="JSU50" s="32"/>
      <c r="JSV50" s="32"/>
      <c r="JSW50" s="32"/>
      <c r="JSX50" s="32"/>
      <c r="JSY50" s="32"/>
      <c r="JSZ50" s="32"/>
      <c r="JTA50" s="32"/>
      <c r="JTB50" s="32"/>
      <c r="JTC50" s="32"/>
      <c r="JTD50" s="32"/>
      <c r="JTE50" s="32"/>
      <c r="JTF50" s="32"/>
      <c r="JTG50" s="32"/>
      <c r="JTH50" s="32"/>
      <c r="JTI50" s="32"/>
      <c r="JTJ50" s="32"/>
      <c r="JTK50" s="32"/>
      <c r="JTL50" s="32"/>
      <c r="JTM50" s="32"/>
      <c r="JTN50" s="32"/>
      <c r="JTO50" s="32"/>
      <c r="JTP50" s="32"/>
      <c r="JTQ50" s="32"/>
      <c r="JTR50" s="32"/>
      <c r="JTS50" s="32"/>
      <c r="JTT50" s="32"/>
      <c r="JTU50" s="32"/>
      <c r="JTV50" s="32"/>
      <c r="JTW50" s="32"/>
      <c r="JTX50" s="32"/>
      <c r="JTY50" s="32"/>
      <c r="JTZ50" s="32"/>
      <c r="JUA50" s="32"/>
      <c r="JUB50" s="32"/>
      <c r="JUC50" s="32"/>
      <c r="JUD50" s="32"/>
      <c r="JUE50" s="32"/>
      <c r="JUF50" s="32"/>
      <c r="JUG50" s="32"/>
      <c r="JUH50" s="32"/>
      <c r="JUI50" s="32"/>
      <c r="JUJ50" s="32"/>
      <c r="JUK50" s="32"/>
      <c r="JUL50" s="32"/>
      <c r="JUM50" s="32"/>
      <c r="JUN50" s="32"/>
      <c r="JUO50" s="32"/>
      <c r="JUP50" s="32"/>
      <c r="JUQ50" s="32"/>
      <c r="JUR50" s="32"/>
      <c r="JUS50" s="32"/>
      <c r="JUT50" s="32"/>
      <c r="JUU50" s="32"/>
      <c r="JUV50" s="32"/>
      <c r="JUW50" s="32"/>
      <c r="JUX50" s="32"/>
      <c r="JUY50" s="32"/>
      <c r="JUZ50" s="32"/>
      <c r="JVA50" s="32"/>
      <c r="JVB50" s="32"/>
      <c r="JVC50" s="32"/>
      <c r="JVD50" s="32"/>
      <c r="JVE50" s="32"/>
      <c r="JVF50" s="32"/>
      <c r="JVG50" s="32"/>
      <c r="JVH50" s="32"/>
      <c r="JVI50" s="32"/>
      <c r="JVJ50" s="32"/>
      <c r="JVK50" s="32"/>
      <c r="JVL50" s="32"/>
      <c r="JVM50" s="32"/>
      <c r="JVN50" s="32"/>
      <c r="JVO50" s="32"/>
      <c r="JVP50" s="32"/>
      <c r="JVQ50" s="32"/>
      <c r="JVR50" s="32"/>
      <c r="JVS50" s="32"/>
      <c r="JVT50" s="32"/>
      <c r="JVU50" s="32"/>
      <c r="JVV50" s="32"/>
      <c r="JVW50" s="32"/>
      <c r="JVX50" s="32"/>
      <c r="JVY50" s="32"/>
      <c r="JVZ50" s="32"/>
      <c r="JWA50" s="32"/>
      <c r="JWB50" s="32"/>
      <c r="JWC50" s="32"/>
      <c r="JWD50" s="32"/>
      <c r="JWE50" s="32"/>
      <c r="JWF50" s="32"/>
      <c r="JWG50" s="32"/>
      <c r="JWH50" s="32"/>
      <c r="JWI50" s="32"/>
      <c r="JWJ50" s="32"/>
      <c r="JWK50" s="32"/>
      <c r="JWL50" s="32"/>
      <c r="JWM50" s="32"/>
      <c r="JWN50" s="32"/>
      <c r="JWO50" s="32"/>
      <c r="JWP50" s="32"/>
      <c r="JWQ50" s="32"/>
      <c r="JWR50" s="32"/>
      <c r="JWS50" s="32"/>
      <c r="JWT50" s="32"/>
      <c r="JWU50" s="32"/>
      <c r="JWV50" s="32"/>
      <c r="JWW50" s="32"/>
      <c r="JWX50" s="32"/>
      <c r="JWY50" s="32"/>
      <c r="JWZ50" s="32"/>
      <c r="JXA50" s="32"/>
      <c r="JXB50" s="32"/>
      <c r="JXC50" s="32"/>
      <c r="JXD50" s="32"/>
      <c r="JXE50" s="32"/>
      <c r="JXF50" s="32"/>
      <c r="JXG50" s="32"/>
      <c r="JXH50" s="32"/>
      <c r="JXI50" s="32"/>
      <c r="JXJ50" s="32"/>
      <c r="JXK50" s="32"/>
      <c r="JXL50" s="32"/>
      <c r="JXM50" s="32"/>
      <c r="JXN50" s="32"/>
      <c r="JXO50" s="32"/>
      <c r="JXP50" s="32"/>
      <c r="JXQ50" s="32"/>
      <c r="JXR50" s="32"/>
      <c r="JXS50" s="32"/>
      <c r="JXT50" s="32"/>
      <c r="JXU50" s="32"/>
      <c r="JXV50" s="32"/>
      <c r="JXW50" s="32"/>
      <c r="JXX50" s="32"/>
      <c r="JXY50" s="32"/>
      <c r="JXZ50" s="32"/>
      <c r="JYA50" s="32"/>
      <c r="JYB50" s="32"/>
      <c r="JYC50" s="32"/>
      <c r="JYD50" s="32"/>
      <c r="JYE50" s="32"/>
      <c r="JYF50" s="32"/>
      <c r="JYG50" s="32"/>
      <c r="JYH50" s="32"/>
      <c r="JYI50" s="32"/>
      <c r="JYJ50" s="32"/>
      <c r="JYK50" s="32"/>
      <c r="JYL50" s="32"/>
      <c r="JYM50" s="32"/>
      <c r="JYN50" s="32"/>
      <c r="JYO50" s="32"/>
      <c r="JYP50" s="32"/>
      <c r="JYQ50" s="32"/>
      <c r="JYR50" s="32"/>
      <c r="JYS50" s="32"/>
      <c r="JYT50" s="32"/>
      <c r="JYU50" s="32"/>
      <c r="JYV50" s="32"/>
      <c r="JYW50" s="32"/>
      <c r="JYX50" s="32"/>
      <c r="JYY50" s="32"/>
      <c r="JYZ50" s="32"/>
      <c r="JZA50" s="32"/>
      <c r="JZB50" s="32"/>
      <c r="JZC50" s="32"/>
      <c r="JZD50" s="32"/>
      <c r="JZE50" s="32"/>
      <c r="JZF50" s="32"/>
      <c r="JZG50" s="32"/>
      <c r="JZH50" s="32"/>
      <c r="JZI50" s="32"/>
      <c r="JZJ50" s="32"/>
      <c r="JZK50" s="32"/>
      <c r="JZL50" s="32"/>
      <c r="JZM50" s="32"/>
      <c r="JZN50" s="32"/>
      <c r="JZO50" s="32"/>
      <c r="JZP50" s="32"/>
      <c r="JZQ50" s="32"/>
      <c r="JZR50" s="32"/>
      <c r="JZS50" s="32"/>
      <c r="JZT50" s="32"/>
      <c r="JZU50" s="32"/>
      <c r="JZV50" s="32"/>
      <c r="JZW50" s="32"/>
      <c r="JZX50" s="32"/>
      <c r="JZY50" s="32"/>
      <c r="JZZ50" s="32"/>
      <c r="KAA50" s="32"/>
      <c r="KAB50" s="32"/>
      <c r="KAC50" s="32"/>
      <c r="KAD50" s="32"/>
      <c r="KAE50" s="32"/>
      <c r="KAF50" s="32"/>
      <c r="KAG50" s="32"/>
      <c r="KAH50" s="32"/>
      <c r="KAI50" s="32"/>
      <c r="KAJ50" s="32"/>
      <c r="KAK50" s="32"/>
      <c r="KAL50" s="32"/>
      <c r="KAM50" s="32"/>
      <c r="KAN50" s="32"/>
      <c r="KAO50" s="32"/>
      <c r="KAP50" s="32"/>
      <c r="KAQ50" s="32"/>
      <c r="KAR50" s="32"/>
      <c r="KAS50" s="32"/>
      <c r="KAT50" s="32"/>
      <c r="KAU50" s="32"/>
      <c r="KAV50" s="32"/>
      <c r="KAW50" s="32"/>
      <c r="KAX50" s="32"/>
      <c r="KAY50" s="32"/>
      <c r="KAZ50" s="32"/>
      <c r="KBA50" s="32"/>
      <c r="KBB50" s="32"/>
      <c r="KBC50" s="32"/>
      <c r="KBD50" s="32"/>
      <c r="KBE50" s="32"/>
      <c r="KBF50" s="32"/>
      <c r="KBG50" s="32"/>
      <c r="KBH50" s="32"/>
      <c r="KBI50" s="32"/>
      <c r="KBJ50" s="32"/>
      <c r="KBK50" s="32"/>
      <c r="KBL50" s="32"/>
      <c r="KBM50" s="32"/>
      <c r="KBN50" s="32"/>
      <c r="KBO50" s="32"/>
      <c r="KBP50" s="32"/>
      <c r="KBQ50" s="32"/>
      <c r="KBR50" s="32"/>
      <c r="KBS50" s="32"/>
      <c r="KBT50" s="32"/>
      <c r="KBU50" s="32"/>
      <c r="KBV50" s="32"/>
      <c r="KBW50" s="32"/>
      <c r="KBX50" s="32"/>
      <c r="KBY50" s="32"/>
      <c r="KBZ50" s="32"/>
      <c r="KCA50" s="32"/>
      <c r="KCB50" s="32"/>
      <c r="KCC50" s="32"/>
      <c r="KCD50" s="32"/>
      <c r="KCE50" s="32"/>
      <c r="KCF50" s="32"/>
      <c r="KCG50" s="32"/>
      <c r="KCH50" s="32"/>
      <c r="KCI50" s="32"/>
      <c r="KCJ50" s="32"/>
      <c r="KCK50" s="32"/>
      <c r="KCL50" s="32"/>
      <c r="KCM50" s="32"/>
      <c r="KCN50" s="32"/>
      <c r="KCO50" s="32"/>
      <c r="KCP50" s="32"/>
      <c r="KCQ50" s="32"/>
      <c r="KCR50" s="32"/>
      <c r="KCS50" s="32"/>
      <c r="KCT50" s="32"/>
      <c r="KCU50" s="32"/>
      <c r="KCV50" s="32"/>
      <c r="KCW50" s="32"/>
      <c r="KCX50" s="32"/>
      <c r="KCY50" s="32"/>
      <c r="KCZ50" s="32"/>
      <c r="KDA50" s="32"/>
      <c r="KDB50" s="32"/>
      <c r="KDC50" s="32"/>
      <c r="KDD50" s="32"/>
      <c r="KDE50" s="32"/>
      <c r="KDF50" s="32"/>
      <c r="KDG50" s="32"/>
      <c r="KDH50" s="32"/>
      <c r="KDI50" s="32"/>
      <c r="KDJ50" s="32"/>
      <c r="KDK50" s="32"/>
      <c r="KDL50" s="32"/>
      <c r="KDM50" s="32"/>
      <c r="KDN50" s="32"/>
      <c r="KDO50" s="32"/>
      <c r="KDP50" s="32"/>
      <c r="KDQ50" s="32"/>
      <c r="KDR50" s="32"/>
      <c r="KDS50" s="32"/>
      <c r="KDT50" s="32"/>
      <c r="KDU50" s="32"/>
      <c r="KDV50" s="32"/>
      <c r="KDW50" s="32"/>
      <c r="KDX50" s="32"/>
      <c r="KDY50" s="32"/>
      <c r="KDZ50" s="32"/>
      <c r="KEA50" s="32"/>
      <c r="KEB50" s="32"/>
      <c r="KEC50" s="32"/>
      <c r="KED50" s="32"/>
      <c r="KEE50" s="32"/>
      <c r="KEF50" s="32"/>
      <c r="KEG50" s="32"/>
      <c r="KEH50" s="32"/>
      <c r="KEI50" s="32"/>
      <c r="KEJ50" s="32"/>
      <c r="KEK50" s="32"/>
      <c r="KEL50" s="32"/>
      <c r="KEM50" s="32"/>
      <c r="KEN50" s="32"/>
      <c r="KEO50" s="32"/>
      <c r="KEP50" s="32"/>
      <c r="KEQ50" s="32"/>
      <c r="KER50" s="32"/>
      <c r="KES50" s="32"/>
      <c r="KET50" s="32"/>
      <c r="KEU50" s="32"/>
      <c r="KEV50" s="32"/>
      <c r="KEW50" s="32"/>
      <c r="KEX50" s="32"/>
      <c r="KEY50" s="32"/>
      <c r="KEZ50" s="32"/>
      <c r="KFA50" s="32"/>
      <c r="KFB50" s="32"/>
      <c r="KFC50" s="32"/>
      <c r="KFD50" s="32"/>
      <c r="KFE50" s="32"/>
      <c r="KFF50" s="32"/>
      <c r="KFG50" s="32"/>
      <c r="KFH50" s="32"/>
      <c r="KFI50" s="32"/>
      <c r="KFJ50" s="32"/>
      <c r="KFK50" s="32"/>
      <c r="KFL50" s="32"/>
      <c r="KFM50" s="32"/>
      <c r="KFN50" s="32"/>
      <c r="KFO50" s="32"/>
      <c r="KFP50" s="32"/>
      <c r="KFQ50" s="32"/>
      <c r="KFR50" s="32"/>
      <c r="KFS50" s="32"/>
      <c r="KFT50" s="32"/>
      <c r="KFU50" s="32"/>
      <c r="KFV50" s="32"/>
      <c r="KFW50" s="32"/>
      <c r="KFX50" s="32"/>
      <c r="KFY50" s="32"/>
      <c r="KFZ50" s="32"/>
      <c r="KGA50" s="32"/>
      <c r="KGB50" s="32"/>
      <c r="KGC50" s="32"/>
      <c r="KGD50" s="32"/>
      <c r="KGE50" s="32"/>
      <c r="KGF50" s="32"/>
      <c r="KGG50" s="32"/>
      <c r="KGH50" s="32"/>
      <c r="KGI50" s="32"/>
      <c r="KGJ50" s="32"/>
      <c r="KGK50" s="32"/>
      <c r="KGL50" s="32"/>
      <c r="KGM50" s="32"/>
      <c r="KGN50" s="32"/>
      <c r="KGO50" s="32"/>
      <c r="KGP50" s="32"/>
      <c r="KGQ50" s="32"/>
      <c r="KGR50" s="32"/>
      <c r="KGS50" s="32"/>
      <c r="KGT50" s="32"/>
      <c r="KGU50" s="32"/>
      <c r="KGV50" s="32"/>
      <c r="KGW50" s="32"/>
      <c r="KGX50" s="32"/>
      <c r="KGY50" s="32"/>
      <c r="KGZ50" s="32"/>
      <c r="KHA50" s="32"/>
      <c r="KHB50" s="32"/>
      <c r="KHC50" s="32"/>
      <c r="KHD50" s="32"/>
      <c r="KHE50" s="32"/>
      <c r="KHF50" s="32"/>
      <c r="KHG50" s="32"/>
      <c r="KHH50" s="32"/>
      <c r="KHI50" s="32"/>
      <c r="KHJ50" s="32"/>
      <c r="KHK50" s="32"/>
      <c r="KHL50" s="32"/>
      <c r="KHM50" s="32"/>
      <c r="KHN50" s="32"/>
      <c r="KHO50" s="32"/>
      <c r="KHP50" s="32"/>
      <c r="KHQ50" s="32"/>
      <c r="KHR50" s="32"/>
      <c r="KHS50" s="32"/>
      <c r="KHT50" s="32"/>
      <c r="KHU50" s="32"/>
      <c r="KHV50" s="32"/>
      <c r="KHW50" s="32"/>
      <c r="KHX50" s="32"/>
      <c r="KHY50" s="32"/>
      <c r="KHZ50" s="32"/>
      <c r="KIA50" s="32"/>
      <c r="KIB50" s="32"/>
      <c r="KIC50" s="32"/>
      <c r="KID50" s="32"/>
      <c r="KIE50" s="32"/>
      <c r="KIF50" s="32"/>
      <c r="KIG50" s="32"/>
      <c r="KIH50" s="32"/>
      <c r="KII50" s="32"/>
      <c r="KIJ50" s="32"/>
      <c r="KIK50" s="32"/>
      <c r="KIL50" s="32"/>
      <c r="KIM50" s="32"/>
      <c r="KIN50" s="32"/>
      <c r="KIO50" s="32"/>
      <c r="KIP50" s="32"/>
      <c r="KIQ50" s="32"/>
      <c r="KIR50" s="32"/>
      <c r="KIS50" s="32"/>
      <c r="KIT50" s="32"/>
      <c r="KIU50" s="32"/>
      <c r="KIV50" s="32"/>
      <c r="KIW50" s="32"/>
      <c r="KIX50" s="32"/>
      <c r="KIY50" s="32"/>
      <c r="KIZ50" s="32"/>
      <c r="KJA50" s="32"/>
      <c r="KJB50" s="32"/>
      <c r="KJC50" s="32"/>
      <c r="KJD50" s="32"/>
      <c r="KJE50" s="32"/>
      <c r="KJF50" s="32"/>
      <c r="KJG50" s="32"/>
      <c r="KJH50" s="32"/>
      <c r="KJI50" s="32"/>
      <c r="KJJ50" s="32"/>
      <c r="KJK50" s="32"/>
      <c r="KJL50" s="32"/>
      <c r="KJM50" s="32"/>
      <c r="KJN50" s="32"/>
      <c r="KJO50" s="32"/>
      <c r="KJP50" s="32"/>
      <c r="KJQ50" s="32"/>
      <c r="KJR50" s="32"/>
      <c r="KJS50" s="32"/>
      <c r="KJT50" s="32"/>
      <c r="KJU50" s="32"/>
      <c r="KJV50" s="32"/>
      <c r="KJW50" s="32"/>
      <c r="KJX50" s="32"/>
      <c r="KJY50" s="32"/>
      <c r="KJZ50" s="32"/>
      <c r="KKA50" s="32"/>
      <c r="KKB50" s="32"/>
      <c r="KKC50" s="32"/>
      <c r="KKD50" s="32"/>
      <c r="KKE50" s="32"/>
      <c r="KKF50" s="32"/>
      <c r="KKG50" s="32"/>
      <c r="KKH50" s="32"/>
      <c r="KKI50" s="32"/>
      <c r="KKJ50" s="32"/>
      <c r="KKK50" s="32"/>
      <c r="KKL50" s="32"/>
      <c r="KKM50" s="32"/>
      <c r="KKN50" s="32"/>
      <c r="KKO50" s="32"/>
      <c r="KKP50" s="32"/>
      <c r="KKQ50" s="32"/>
      <c r="KKR50" s="32"/>
      <c r="KKS50" s="32"/>
      <c r="KKT50" s="32"/>
      <c r="KKU50" s="32"/>
      <c r="KKV50" s="32"/>
      <c r="KKW50" s="32"/>
      <c r="KKX50" s="32"/>
      <c r="KKY50" s="32"/>
      <c r="KKZ50" s="32"/>
      <c r="KLA50" s="32"/>
      <c r="KLB50" s="32"/>
      <c r="KLC50" s="32"/>
      <c r="KLD50" s="32"/>
      <c r="KLE50" s="32"/>
      <c r="KLF50" s="32"/>
      <c r="KLG50" s="32"/>
      <c r="KLH50" s="32"/>
      <c r="KLI50" s="32"/>
      <c r="KLJ50" s="32"/>
      <c r="KLK50" s="32"/>
      <c r="KLL50" s="32"/>
      <c r="KLM50" s="32"/>
      <c r="KLN50" s="32"/>
      <c r="KLO50" s="32"/>
      <c r="KLP50" s="32"/>
      <c r="KLQ50" s="32"/>
      <c r="KLR50" s="32"/>
      <c r="KLS50" s="32"/>
      <c r="KLT50" s="32"/>
      <c r="KLU50" s="32"/>
      <c r="KLV50" s="32"/>
      <c r="KLW50" s="32"/>
      <c r="KLX50" s="32"/>
      <c r="KLY50" s="32"/>
      <c r="KLZ50" s="32"/>
      <c r="KMA50" s="32"/>
      <c r="KMB50" s="32"/>
      <c r="KMC50" s="32"/>
      <c r="KMD50" s="32"/>
      <c r="KME50" s="32"/>
      <c r="KMF50" s="32"/>
      <c r="KMG50" s="32"/>
      <c r="KMH50" s="32"/>
      <c r="KMI50" s="32"/>
      <c r="KMJ50" s="32"/>
      <c r="KMK50" s="32"/>
      <c r="KML50" s="32"/>
      <c r="KMM50" s="32"/>
      <c r="KMN50" s="32"/>
      <c r="KMO50" s="32"/>
      <c r="KMP50" s="32"/>
      <c r="KMQ50" s="32"/>
      <c r="KMR50" s="32"/>
      <c r="KMS50" s="32"/>
      <c r="KMT50" s="32"/>
      <c r="KMU50" s="32"/>
      <c r="KMV50" s="32"/>
      <c r="KMW50" s="32"/>
      <c r="KMX50" s="32"/>
      <c r="KMY50" s="32"/>
      <c r="KMZ50" s="32"/>
      <c r="KNA50" s="32"/>
      <c r="KNB50" s="32"/>
      <c r="KNC50" s="32"/>
      <c r="KND50" s="32"/>
      <c r="KNE50" s="32"/>
      <c r="KNF50" s="32"/>
      <c r="KNG50" s="32"/>
      <c r="KNH50" s="32"/>
      <c r="KNI50" s="32"/>
      <c r="KNJ50" s="32"/>
      <c r="KNK50" s="32"/>
      <c r="KNL50" s="32"/>
      <c r="KNM50" s="32"/>
      <c r="KNN50" s="32"/>
      <c r="KNO50" s="32"/>
      <c r="KNP50" s="32"/>
      <c r="KNQ50" s="32"/>
      <c r="KNR50" s="32"/>
      <c r="KNS50" s="32"/>
      <c r="KNT50" s="32"/>
      <c r="KNU50" s="32"/>
      <c r="KNV50" s="32"/>
      <c r="KNW50" s="32"/>
      <c r="KNX50" s="32"/>
      <c r="KNY50" s="32"/>
      <c r="KNZ50" s="32"/>
      <c r="KOA50" s="32"/>
      <c r="KOB50" s="32"/>
      <c r="KOC50" s="32"/>
      <c r="KOD50" s="32"/>
      <c r="KOE50" s="32"/>
      <c r="KOF50" s="32"/>
      <c r="KOG50" s="32"/>
      <c r="KOH50" s="32"/>
      <c r="KOI50" s="32"/>
      <c r="KOJ50" s="32"/>
      <c r="KOK50" s="32"/>
      <c r="KOL50" s="32"/>
      <c r="KOM50" s="32"/>
      <c r="KON50" s="32"/>
      <c r="KOO50" s="32"/>
      <c r="KOP50" s="32"/>
      <c r="KOQ50" s="32"/>
      <c r="KOR50" s="32"/>
      <c r="KOS50" s="32"/>
      <c r="KOT50" s="32"/>
      <c r="KOU50" s="32"/>
      <c r="KOV50" s="32"/>
      <c r="KOW50" s="32"/>
      <c r="KOX50" s="32"/>
      <c r="KOY50" s="32"/>
      <c r="KOZ50" s="32"/>
      <c r="KPA50" s="32"/>
      <c r="KPB50" s="32"/>
      <c r="KPC50" s="32"/>
      <c r="KPD50" s="32"/>
      <c r="KPE50" s="32"/>
      <c r="KPF50" s="32"/>
      <c r="KPG50" s="32"/>
      <c r="KPH50" s="32"/>
      <c r="KPI50" s="32"/>
      <c r="KPJ50" s="32"/>
      <c r="KPK50" s="32"/>
      <c r="KPL50" s="32"/>
      <c r="KPM50" s="32"/>
      <c r="KPN50" s="32"/>
      <c r="KPO50" s="32"/>
      <c r="KPP50" s="32"/>
      <c r="KPQ50" s="32"/>
      <c r="KPR50" s="32"/>
      <c r="KPS50" s="32"/>
      <c r="KPT50" s="32"/>
      <c r="KPU50" s="32"/>
      <c r="KPV50" s="32"/>
      <c r="KPW50" s="32"/>
      <c r="KPX50" s="32"/>
      <c r="KPY50" s="32"/>
      <c r="KPZ50" s="32"/>
      <c r="KQA50" s="32"/>
      <c r="KQB50" s="32"/>
      <c r="KQC50" s="32"/>
      <c r="KQD50" s="32"/>
      <c r="KQE50" s="32"/>
      <c r="KQF50" s="32"/>
      <c r="KQG50" s="32"/>
      <c r="KQH50" s="32"/>
      <c r="KQI50" s="32"/>
      <c r="KQJ50" s="32"/>
      <c r="KQK50" s="32"/>
      <c r="KQL50" s="32"/>
      <c r="KQM50" s="32"/>
      <c r="KQN50" s="32"/>
      <c r="KQO50" s="32"/>
      <c r="KQP50" s="32"/>
      <c r="KQQ50" s="32"/>
      <c r="KQR50" s="32"/>
      <c r="KQS50" s="32"/>
      <c r="KQT50" s="32"/>
      <c r="KQU50" s="32"/>
      <c r="KQV50" s="32"/>
      <c r="KQW50" s="32"/>
      <c r="KQX50" s="32"/>
      <c r="KQY50" s="32"/>
      <c r="KQZ50" s="32"/>
      <c r="KRA50" s="32"/>
      <c r="KRB50" s="32"/>
      <c r="KRC50" s="32"/>
      <c r="KRD50" s="32"/>
      <c r="KRE50" s="32"/>
      <c r="KRF50" s="32"/>
      <c r="KRG50" s="32"/>
      <c r="KRH50" s="32"/>
      <c r="KRI50" s="32"/>
      <c r="KRJ50" s="32"/>
      <c r="KRK50" s="32"/>
      <c r="KRL50" s="32"/>
      <c r="KRM50" s="32"/>
      <c r="KRN50" s="32"/>
      <c r="KRO50" s="32"/>
      <c r="KRP50" s="32"/>
      <c r="KRQ50" s="32"/>
      <c r="KRR50" s="32"/>
      <c r="KRS50" s="32"/>
      <c r="KRT50" s="32"/>
      <c r="KRU50" s="32"/>
      <c r="KRV50" s="32"/>
      <c r="KRW50" s="32"/>
      <c r="KRX50" s="32"/>
      <c r="KRY50" s="32"/>
      <c r="KRZ50" s="32"/>
      <c r="KSA50" s="32"/>
      <c r="KSB50" s="32"/>
      <c r="KSC50" s="32"/>
      <c r="KSD50" s="32"/>
      <c r="KSE50" s="32"/>
      <c r="KSF50" s="32"/>
      <c r="KSG50" s="32"/>
      <c r="KSH50" s="32"/>
      <c r="KSI50" s="32"/>
      <c r="KSJ50" s="32"/>
      <c r="KSK50" s="32"/>
      <c r="KSL50" s="32"/>
      <c r="KSM50" s="32"/>
      <c r="KSN50" s="32"/>
      <c r="KSO50" s="32"/>
      <c r="KSP50" s="32"/>
      <c r="KSQ50" s="32"/>
      <c r="KSR50" s="32"/>
      <c r="KSS50" s="32"/>
      <c r="KST50" s="32"/>
      <c r="KSU50" s="32"/>
      <c r="KSV50" s="32"/>
      <c r="KSW50" s="32"/>
      <c r="KSX50" s="32"/>
      <c r="KSY50" s="32"/>
      <c r="KSZ50" s="32"/>
      <c r="KTA50" s="32"/>
      <c r="KTB50" s="32"/>
      <c r="KTC50" s="32"/>
      <c r="KTD50" s="32"/>
      <c r="KTE50" s="32"/>
      <c r="KTF50" s="32"/>
      <c r="KTG50" s="32"/>
      <c r="KTH50" s="32"/>
      <c r="KTI50" s="32"/>
      <c r="KTJ50" s="32"/>
      <c r="KTK50" s="32"/>
      <c r="KTL50" s="32"/>
      <c r="KTM50" s="32"/>
      <c r="KTN50" s="32"/>
      <c r="KTO50" s="32"/>
      <c r="KTP50" s="32"/>
      <c r="KTQ50" s="32"/>
      <c r="KTR50" s="32"/>
      <c r="KTS50" s="32"/>
      <c r="KTT50" s="32"/>
      <c r="KTU50" s="32"/>
      <c r="KTV50" s="32"/>
      <c r="KTW50" s="32"/>
      <c r="KTX50" s="32"/>
      <c r="KTY50" s="32"/>
      <c r="KTZ50" s="32"/>
      <c r="KUA50" s="32"/>
      <c r="KUB50" s="32"/>
      <c r="KUC50" s="32"/>
      <c r="KUD50" s="32"/>
      <c r="KUE50" s="32"/>
      <c r="KUF50" s="32"/>
      <c r="KUG50" s="32"/>
      <c r="KUH50" s="32"/>
      <c r="KUI50" s="32"/>
      <c r="KUJ50" s="32"/>
      <c r="KUK50" s="32"/>
      <c r="KUL50" s="32"/>
      <c r="KUM50" s="32"/>
      <c r="KUN50" s="32"/>
      <c r="KUO50" s="32"/>
      <c r="KUP50" s="32"/>
      <c r="KUQ50" s="32"/>
      <c r="KUR50" s="32"/>
      <c r="KUS50" s="32"/>
      <c r="KUT50" s="32"/>
      <c r="KUU50" s="32"/>
      <c r="KUV50" s="32"/>
      <c r="KUW50" s="32"/>
      <c r="KUX50" s="32"/>
      <c r="KUY50" s="32"/>
      <c r="KUZ50" s="32"/>
      <c r="KVA50" s="32"/>
      <c r="KVB50" s="32"/>
      <c r="KVC50" s="32"/>
      <c r="KVD50" s="32"/>
      <c r="KVE50" s="32"/>
      <c r="KVF50" s="32"/>
      <c r="KVG50" s="32"/>
      <c r="KVH50" s="32"/>
      <c r="KVI50" s="32"/>
      <c r="KVJ50" s="32"/>
      <c r="KVK50" s="32"/>
      <c r="KVL50" s="32"/>
      <c r="KVM50" s="32"/>
      <c r="KVN50" s="32"/>
      <c r="KVO50" s="32"/>
      <c r="KVP50" s="32"/>
      <c r="KVQ50" s="32"/>
      <c r="KVR50" s="32"/>
      <c r="KVS50" s="32"/>
      <c r="KVT50" s="32"/>
      <c r="KVU50" s="32"/>
      <c r="KVV50" s="32"/>
      <c r="KVW50" s="32"/>
      <c r="KVX50" s="32"/>
      <c r="KVY50" s="32"/>
      <c r="KVZ50" s="32"/>
      <c r="KWA50" s="32"/>
      <c r="KWB50" s="32"/>
      <c r="KWC50" s="32"/>
      <c r="KWD50" s="32"/>
      <c r="KWE50" s="32"/>
      <c r="KWF50" s="32"/>
      <c r="KWG50" s="32"/>
      <c r="KWH50" s="32"/>
      <c r="KWI50" s="32"/>
      <c r="KWJ50" s="32"/>
      <c r="KWK50" s="32"/>
      <c r="KWL50" s="32"/>
      <c r="KWM50" s="32"/>
      <c r="KWN50" s="32"/>
      <c r="KWO50" s="32"/>
      <c r="KWP50" s="32"/>
      <c r="KWQ50" s="32"/>
      <c r="KWR50" s="32"/>
      <c r="KWS50" s="32"/>
      <c r="KWT50" s="32"/>
      <c r="KWU50" s="32"/>
      <c r="KWV50" s="32"/>
      <c r="KWW50" s="32"/>
      <c r="KWX50" s="32"/>
      <c r="KWY50" s="32"/>
      <c r="KWZ50" s="32"/>
      <c r="KXA50" s="32"/>
      <c r="KXB50" s="32"/>
      <c r="KXC50" s="32"/>
      <c r="KXD50" s="32"/>
      <c r="KXE50" s="32"/>
      <c r="KXF50" s="32"/>
      <c r="KXG50" s="32"/>
      <c r="KXH50" s="32"/>
      <c r="KXI50" s="32"/>
      <c r="KXJ50" s="32"/>
      <c r="KXK50" s="32"/>
      <c r="KXL50" s="32"/>
      <c r="KXM50" s="32"/>
      <c r="KXN50" s="32"/>
      <c r="KXO50" s="32"/>
      <c r="KXP50" s="32"/>
      <c r="KXQ50" s="32"/>
      <c r="KXR50" s="32"/>
      <c r="KXS50" s="32"/>
      <c r="KXT50" s="32"/>
      <c r="KXU50" s="32"/>
      <c r="KXV50" s="32"/>
      <c r="KXW50" s="32"/>
      <c r="KXX50" s="32"/>
      <c r="KXY50" s="32"/>
      <c r="KXZ50" s="32"/>
      <c r="KYA50" s="32"/>
      <c r="KYB50" s="32"/>
      <c r="KYC50" s="32"/>
      <c r="KYD50" s="32"/>
      <c r="KYE50" s="32"/>
      <c r="KYF50" s="32"/>
      <c r="KYG50" s="32"/>
      <c r="KYH50" s="32"/>
      <c r="KYI50" s="32"/>
      <c r="KYJ50" s="32"/>
      <c r="KYK50" s="32"/>
      <c r="KYL50" s="32"/>
      <c r="KYM50" s="32"/>
      <c r="KYN50" s="32"/>
      <c r="KYO50" s="32"/>
      <c r="KYP50" s="32"/>
      <c r="KYQ50" s="32"/>
      <c r="KYR50" s="32"/>
      <c r="KYS50" s="32"/>
      <c r="KYT50" s="32"/>
      <c r="KYU50" s="32"/>
      <c r="KYV50" s="32"/>
      <c r="KYW50" s="32"/>
      <c r="KYX50" s="32"/>
      <c r="KYY50" s="32"/>
      <c r="KYZ50" s="32"/>
      <c r="KZA50" s="32"/>
      <c r="KZB50" s="32"/>
      <c r="KZC50" s="32"/>
      <c r="KZD50" s="32"/>
      <c r="KZE50" s="32"/>
      <c r="KZF50" s="32"/>
      <c r="KZG50" s="32"/>
      <c r="KZH50" s="32"/>
      <c r="KZI50" s="32"/>
      <c r="KZJ50" s="32"/>
      <c r="KZK50" s="32"/>
      <c r="KZL50" s="32"/>
      <c r="KZM50" s="32"/>
      <c r="KZN50" s="32"/>
      <c r="KZO50" s="32"/>
      <c r="KZP50" s="32"/>
      <c r="KZQ50" s="32"/>
      <c r="KZR50" s="32"/>
      <c r="KZS50" s="32"/>
      <c r="KZT50" s="32"/>
      <c r="KZU50" s="32"/>
      <c r="KZV50" s="32"/>
      <c r="KZW50" s="32"/>
      <c r="KZX50" s="32"/>
      <c r="KZY50" s="32"/>
      <c r="KZZ50" s="32"/>
      <c r="LAA50" s="32"/>
      <c r="LAB50" s="32"/>
      <c r="LAC50" s="32"/>
      <c r="LAD50" s="32"/>
      <c r="LAE50" s="32"/>
      <c r="LAF50" s="32"/>
      <c r="LAG50" s="32"/>
      <c r="LAH50" s="32"/>
      <c r="LAI50" s="32"/>
      <c r="LAJ50" s="32"/>
      <c r="LAK50" s="32"/>
      <c r="LAL50" s="32"/>
      <c r="LAM50" s="32"/>
      <c r="LAN50" s="32"/>
      <c r="LAO50" s="32"/>
      <c r="LAP50" s="32"/>
      <c r="LAQ50" s="32"/>
      <c r="LAR50" s="32"/>
      <c r="LAS50" s="32"/>
      <c r="LAT50" s="32"/>
      <c r="LAU50" s="32"/>
      <c r="LAV50" s="32"/>
      <c r="LAW50" s="32"/>
      <c r="LAX50" s="32"/>
      <c r="LAY50" s="32"/>
      <c r="LAZ50" s="32"/>
      <c r="LBA50" s="32"/>
      <c r="LBB50" s="32"/>
      <c r="LBC50" s="32"/>
      <c r="LBD50" s="32"/>
      <c r="LBE50" s="32"/>
      <c r="LBF50" s="32"/>
      <c r="LBG50" s="32"/>
      <c r="LBH50" s="32"/>
      <c r="LBI50" s="32"/>
      <c r="LBJ50" s="32"/>
      <c r="LBK50" s="32"/>
      <c r="LBL50" s="32"/>
      <c r="LBM50" s="32"/>
      <c r="LBN50" s="32"/>
      <c r="LBO50" s="32"/>
      <c r="LBP50" s="32"/>
      <c r="LBQ50" s="32"/>
      <c r="LBR50" s="32"/>
      <c r="LBS50" s="32"/>
      <c r="LBT50" s="32"/>
      <c r="LBU50" s="32"/>
      <c r="LBV50" s="32"/>
      <c r="LBW50" s="32"/>
      <c r="LBX50" s="32"/>
      <c r="LBY50" s="32"/>
      <c r="LBZ50" s="32"/>
      <c r="LCA50" s="32"/>
      <c r="LCB50" s="32"/>
      <c r="LCC50" s="32"/>
      <c r="LCD50" s="32"/>
      <c r="LCE50" s="32"/>
      <c r="LCF50" s="32"/>
      <c r="LCG50" s="32"/>
      <c r="LCH50" s="32"/>
      <c r="LCI50" s="32"/>
      <c r="LCJ50" s="32"/>
      <c r="LCK50" s="32"/>
      <c r="LCL50" s="32"/>
      <c r="LCM50" s="32"/>
      <c r="LCN50" s="32"/>
      <c r="LCO50" s="32"/>
      <c r="LCP50" s="32"/>
      <c r="LCQ50" s="32"/>
      <c r="LCR50" s="32"/>
      <c r="LCS50" s="32"/>
      <c r="LCT50" s="32"/>
      <c r="LCU50" s="32"/>
      <c r="LCV50" s="32"/>
      <c r="LCW50" s="32"/>
      <c r="LCX50" s="32"/>
      <c r="LCY50" s="32"/>
      <c r="LCZ50" s="32"/>
      <c r="LDA50" s="32"/>
      <c r="LDB50" s="32"/>
      <c r="LDC50" s="32"/>
      <c r="LDD50" s="32"/>
      <c r="LDE50" s="32"/>
      <c r="LDF50" s="32"/>
      <c r="LDG50" s="32"/>
      <c r="LDH50" s="32"/>
      <c r="LDI50" s="32"/>
      <c r="LDJ50" s="32"/>
      <c r="LDK50" s="32"/>
      <c r="LDL50" s="32"/>
      <c r="LDM50" s="32"/>
      <c r="LDN50" s="32"/>
      <c r="LDO50" s="32"/>
      <c r="LDP50" s="32"/>
      <c r="LDQ50" s="32"/>
      <c r="LDR50" s="32"/>
      <c r="LDS50" s="32"/>
      <c r="LDT50" s="32"/>
      <c r="LDU50" s="32"/>
      <c r="LDV50" s="32"/>
      <c r="LDW50" s="32"/>
      <c r="LDX50" s="32"/>
      <c r="LDY50" s="32"/>
      <c r="LDZ50" s="32"/>
      <c r="LEA50" s="32"/>
      <c r="LEB50" s="32"/>
      <c r="LEC50" s="32"/>
      <c r="LED50" s="32"/>
      <c r="LEE50" s="32"/>
      <c r="LEF50" s="32"/>
      <c r="LEG50" s="32"/>
      <c r="LEH50" s="32"/>
      <c r="LEI50" s="32"/>
      <c r="LEJ50" s="32"/>
      <c r="LEK50" s="32"/>
      <c r="LEL50" s="32"/>
      <c r="LEM50" s="32"/>
      <c r="LEN50" s="32"/>
      <c r="LEO50" s="32"/>
      <c r="LEP50" s="32"/>
      <c r="LEQ50" s="32"/>
      <c r="LER50" s="32"/>
      <c r="LES50" s="32"/>
      <c r="LET50" s="32"/>
      <c r="LEU50" s="32"/>
      <c r="LEV50" s="32"/>
      <c r="LEW50" s="32"/>
      <c r="LEX50" s="32"/>
      <c r="LEY50" s="32"/>
      <c r="LEZ50" s="32"/>
      <c r="LFA50" s="32"/>
      <c r="LFB50" s="32"/>
      <c r="LFC50" s="32"/>
      <c r="LFD50" s="32"/>
      <c r="LFE50" s="32"/>
      <c r="LFF50" s="32"/>
      <c r="LFG50" s="32"/>
      <c r="LFH50" s="32"/>
      <c r="LFI50" s="32"/>
      <c r="LFJ50" s="32"/>
      <c r="LFK50" s="32"/>
      <c r="LFL50" s="32"/>
      <c r="LFM50" s="32"/>
      <c r="LFN50" s="32"/>
      <c r="LFO50" s="32"/>
      <c r="LFP50" s="32"/>
      <c r="LFQ50" s="32"/>
      <c r="LFR50" s="32"/>
      <c r="LFS50" s="32"/>
      <c r="LFT50" s="32"/>
      <c r="LFU50" s="32"/>
      <c r="LFV50" s="32"/>
      <c r="LFW50" s="32"/>
      <c r="LFX50" s="32"/>
      <c r="LFY50" s="32"/>
      <c r="LFZ50" s="32"/>
      <c r="LGA50" s="32"/>
      <c r="LGB50" s="32"/>
      <c r="LGC50" s="32"/>
      <c r="LGD50" s="32"/>
      <c r="LGE50" s="32"/>
      <c r="LGF50" s="32"/>
      <c r="LGG50" s="32"/>
      <c r="LGH50" s="32"/>
      <c r="LGI50" s="32"/>
      <c r="LGJ50" s="32"/>
      <c r="LGK50" s="32"/>
      <c r="LGL50" s="32"/>
      <c r="LGM50" s="32"/>
      <c r="LGN50" s="32"/>
      <c r="LGO50" s="32"/>
      <c r="LGP50" s="32"/>
      <c r="LGQ50" s="32"/>
      <c r="LGR50" s="32"/>
      <c r="LGS50" s="32"/>
      <c r="LGT50" s="32"/>
      <c r="LGU50" s="32"/>
      <c r="LGV50" s="32"/>
      <c r="LGW50" s="32"/>
      <c r="LGX50" s="32"/>
      <c r="LGY50" s="32"/>
      <c r="LGZ50" s="32"/>
      <c r="LHA50" s="32"/>
      <c r="LHB50" s="32"/>
      <c r="LHC50" s="32"/>
      <c r="LHD50" s="32"/>
      <c r="LHE50" s="32"/>
      <c r="LHF50" s="32"/>
      <c r="LHG50" s="32"/>
      <c r="LHH50" s="32"/>
      <c r="LHI50" s="32"/>
      <c r="LHJ50" s="32"/>
      <c r="LHK50" s="32"/>
      <c r="LHL50" s="32"/>
      <c r="LHM50" s="32"/>
      <c r="LHN50" s="32"/>
      <c r="LHO50" s="32"/>
      <c r="LHP50" s="32"/>
      <c r="LHQ50" s="32"/>
      <c r="LHR50" s="32"/>
      <c r="LHS50" s="32"/>
      <c r="LHT50" s="32"/>
      <c r="LHU50" s="32"/>
      <c r="LHV50" s="32"/>
      <c r="LHW50" s="32"/>
      <c r="LHX50" s="32"/>
      <c r="LHY50" s="32"/>
      <c r="LHZ50" s="32"/>
      <c r="LIA50" s="32"/>
      <c r="LIB50" s="32"/>
      <c r="LIC50" s="32"/>
      <c r="LID50" s="32"/>
      <c r="LIE50" s="32"/>
      <c r="LIF50" s="32"/>
      <c r="LIG50" s="32"/>
      <c r="LIH50" s="32"/>
      <c r="LII50" s="32"/>
      <c r="LIJ50" s="32"/>
      <c r="LIK50" s="32"/>
      <c r="LIL50" s="32"/>
      <c r="LIM50" s="32"/>
      <c r="LIN50" s="32"/>
      <c r="LIO50" s="32"/>
      <c r="LIP50" s="32"/>
      <c r="LIQ50" s="32"/>
      <c r="LIR50" s="32"/>
      <c r="LIS50" s="32"/>
      <c r="LIT50" s="32"/>
      <c r="LIU50" s="32"/>
      <c r="LIV50" s="32"/>
      <c r="LIW50" s="32"/>
      <c r="LIX50" s="32"/>
      <c r="LIY50" s="32"/>
      <c r="LIZ50" s="32"/>
      <c r="LJA50" s="32"/>
      <c r="LJB50" s="32"/>
      <c r="LJC50" s="32"/>
      <c r="LJD50" s="32"/>
      <c r="LJE50" s="32"/>
      <c r="LJF50" s="32"/>
      <c r="LJG50" s="32"/>
      <c r="LJH50" s="32"/>
      <c r="LJI50" s="32"/>
      <c r="LJJ50" s="32"/>
      <c r="LJK50" s="32"/>
      <c r="LJL50" s="32"/>
      <c r="LJM50" s="32"/>
      <c r="LJN50" s="32"/>
      <c r="LJO50" s="32"/>
      <c r="LJP50" s="32"/>
      <c r="LJQ50" s="32"/>
      <c r="LJR50" s="32"/>
      <c r="LJS50" s="32"/>
      <c r="LJT50" s="32"/>
      <c r="LJU50" s="32"/>
      <c r="LJV50" s="32"/>
      <c r="LJW50" s="32"/>
      <c r="LJX50" s="32"/>
      <c r="LJY50" s="32"/>
      <c r="LJZ50" s="32"/>
      <c r="LKA50" s="32"/>
      <c r="LKB50" s="32"/>
      <c r="LKC50" s="32"/>
      <c r="LKD50" s="32"/>
      <c r="LKE50" s="32"/>
      <c r="LKF50" s="32"/>
      <c r="LKG50" s="32"/>
      <c r="LKH50" s="32"/>
      <c r="LKI50" s="32"/>
      <c r="LKJ50" s="32"/>
      <c r="LKK50" s="32"/>
      <c r="LKL50" s="32"/>
      <c r="LKM50" s="32"/>
      <c r="LKN50" s="32"/>
      <c r="LKO50" s="32"/>
      <c r="LKP50" s="32"/>
      <c r="LKQ50" s="32"/>
      <c r="LKR50" s="32"/>
      <c r="LKS50" s="32"/>
      <c r="LKT50" s="32"/>
      <c r="LKU50" s="32"/>
      <c r="LKV50" s="32"/>
      <c r="LKW50" s="32"/>
      <c r="LKX50" s="32"/>
      <c r="LKY50" s="32"/>
      <c r="LKZ50" s="32"/>
      <c r="LLA50" s="32"/>
      <c r="LLB50" s="32"/>
      <c r="LLC50" s="32"/>
      <c r="LLD50" s="32"/>
      <c r="LLE50" s="32"/>
      <c r="LLF50" s="32"/>
      <c r="LLG50" s="32"/>
      <c r="LLH50" s="32"/>
      <c r="LLI50" s="32"/>
      <c r="LLJ50" s="32"/>
      <c r="LLK50" s="32"/>
      <c r="LLL50" s="32"/>
      <c r="LLM50" s="32"/>
      <c r="LLN50" s="32"/>
      <c r="LLO50" s="32"/>
      <c r="LLP50" s="32"/>
      <c r="LLQ50" s="32"/>
      <c r="LLR50" s="32"/>
      <c r="LLS50" s="32"/>
      <c r="LLT50" s="32"/>
      <c r="LLU50" s="32"/>
      <c r="LLV50" s="32"/>
      <c r="LLW50" s="32"/>
      <c r="LLX50" s="32"/>
      <c r="LLY50" s="32"/>
      <c r="LLZ50" s="32"/>
      <c r="LMA50" s="32"/>
      <c r="LMB50" s="32"/>
      <c r="LMC50" s="32"/>
      <c r="LMD50" s="32"/>
      <c r="LME50" s="32"/>
      <c r="LMF50" s="32"/>
      <c r="LMG50" s="32"/>
      <c r="LMH50" s="32"/>
      <c r="LMI50" s="32"/>
      <c r="LMJ50" s="32"/>
      <c r="LMK50" s="32"/>
      <c r="LML50" s="32"/>
      <c r="LMM50" s="32"/>
      <c r="LMN50" s="32"/>
      <c r="LMO50" s="32"/>
      <c r="LMP50" s="32"/>
      <c r="LMQ50" s="32"/>
      <c r="LMR50" s="32"/>
      <c r="LMS50" s="32"/>
      <c r="LMT50" s="32"/>
      <c r="LMU50" s="32"/>
      <c r="LMV50" s="32"/>
      <c r="LMW50" s="32"/>
      <c r="LMX50" s="32"/>
      <c r="LMY50" s="32"/>
      <c r="LMZ50" s="32"/>
      <c r="LNA50" s="32"/>
      <c r="LNB50" s="32"/>
      <c r="LNC50" s="32"/>
      <c r="LND50" s="32"/>
      <c r="LNE50" s="32"/>
      <c r="LNF50" s="32"/>
      <c r="LNG50" s="32"/>
      <c r="LNH50" s="32"/>
      <c r="LNI50" s="32"/>
      <c r="LNJ50" s="32"/>
      <c r="LNK50" s="32"/>
      <c r="LNL50" s="32"/>
      <c r="LNM50" s="32"/>
      <c r="LNN50" s="32"/>
      <c r="LNO50" s="32"/>
      <c r="LNP50" s="32"/>
      <c r="LNQ50" s="32"/>
      <c r="LNR50" s="32"/>
      <c r="LNS50" s="32"/>
      <c r="LNT50" s="32"/>
      <c r="LNU50" s="32"/>
      <c r="LNV50" s="32"/>
      <c r="LNW50" s="32"/>
      <c r="LNX50" s="32"/>
      <c r="LNY50" s="32"/>
      <c r="LNZ50" s="32"/>
      <c r="LOA50" s="32"/>
      <c r="LOB50" s="32"/>
      <c r="LOC50" s="32"/>
      <c r="LOD50" s="32"/>
      <c r="LOE50" s="32"/>
      <c r="LOF50" s="32"/>
      <c r="LOG50" s="32"/>
      <c r="LOH50" s="32"/>
      <c r="LOI50" s="32"/>
      <c r="LOJ50" s="32"/>
      <c r="LOK50" s="32"/>
      <c r="LOL50" s="32"/>
      <c r="LOM50" s="32"/>
      <c r="LON50" s="32"/>
      <c r="LOO50" s="32"/>
      <c r="LOP50" s="32"/>
      <c r="LOQ50" s="32"/>
      <c r="LOR50" s="32"/>
      <c r="LOS50" s="32"/>
      <c r="LOT50" s="32"/>
      <c r="LOU50" s="32"/>
      <c r="LOV50" s="32"/>
      <c r="LOW50" s="32"/>
      <c r="LOX50" s="32"/>
      <c r="LOY50" s="32"/>
      <c r="LOZ50" s="32"/>
      <c r="LPA50" s="32"/>
      <c r="LPB50" s="32"/>
      <c r="LPC50" s="32"/>
      <c r="LPD50" s="32"/>
      <c r="LPE50" s="32"/>
      <c r="LPF50" s="32"/>
      <c r="LPG50" s="32"/>
      <c r="LPH50" s="32"/>
      <c r="LPI50" s="32"/>
      <c r="LPJ50" s="32"/>
      <c r="LPK50" s="32"/>
      <c r="LPL50" s="32"/>
      <c r="LPM50" s="32"/>
      <c r="LPN50" s="32"/>
      <c r="LPO50" s="32"/>
      <c r="LPP50" s="32"/>
      <c r="LPQ50" s="32"/>
      <c r="LPR50" s="32"/>
      <c r="LPS50" s="32"/>
      <c r="LPT50" s="32"/>
      <c r="LPU50" s="32"/>
      <c r="LPV50" s="32"/>
      <c r="LPW50" s="32"/>
      <c r="LPX50" s="32"/>
      <c r="LPY50" s="32"/>
      <c r="LPZ50" s="32"/>
      <c r="LQA50" s="32"/>
      <c r="LQB50" s="32"/>
      <c r="LQC50" s="32"/>
      <c r="LQD50" s="32"/>
      <c r="LQE50" s="32"/>
      <c r="LQF50" s="32"/>
      <c r="LQG50" s="32"/>
      <c r="LQH50" s="32"/>
      <c r="LQI50" s="32"/>
      <c r="LQJ50" s="32"/>
      <c r="LQK50" s="32"/>
      <c r="LQL50" s="32"/>
      <c r="LQM50" s="32"/>
      <c r="LQN50" s="32"/>
      <c r="LQO50" s="32"/>
      <c r="LQP50" s="32"/>
      <c r="LQQ50" s="32"/>
      <c r="LQR50" s="32"/>
      <c r="LQS50" s="32"/>
      <c r="LQT50" s="32"/>
      <c r="LQU50" s="32"/>
      <c r="LQV50" s="32"/>
      <c r="LQW50" s="32"/>
      <c r="LQX50" s="32"/>
      <c r="LQY50" s="32"/>
      <c r="LQZ50" s="32"/>
      <c r="LRA50" s="32"/>
      <c r="LRB50" s="32"/>
      <c r="LRC50" s="32"/>
      <c r="LRD50" s="32"/>
      <c r="LRE50" s="32"/>
      <c r="LRF50" s="32"/>
      <c r="LRG50" s="32"/>
      <c r="LRH50" s="32"/>
      <c r="LRI50" s="32"/>
      <c r="LRJ50" s="32"/>
      <c r="LRK50" s="32"/>
      <c r="LRL50" s="32"/>
      <c r="LRM50" s="32"/>
      <c r="LRN50" s="32"/>
      <c r="LRO50" s="32"/>
      <c r="LRP50" s="32"/>
      <c r="LRQ50" s="32"/>
      <c r="LRR50" s="32"/>
      <c r="LRS50" s="32"/>
      <c r="LRT50" s="32"/>
      <c r="LRU50" s="32"/>
      <c r="LRV50" s="32"/>
      <c r="LRW50" s="32"/>
      <c r="LRX50" s="32"/>
      <c r="LRY50" s="32"/>
      <c r="LRZ50" s="32"/>
      <c r="LSA50" s="32"/>
      <c r="LSB50" s="32"/>
      <c r="LSC50" s="32"/>
      <c r="LSD50" s="32"/>
      <c r="LSE50" s="32"/>
      <c r="LSF50" s="32"/>
      <c r="LSG50" s="32"/>
      <c r="LSH50" s="32"/>
      <c r="LSI50" s="32"/>
      <c r="LSJ50" s="32"/>
      <c r="LSK50" s="32"/>
      <c r="LSL50" s="32"/>
      <c r="LSM50" s="32"/>
      <c r="LSN50" s="32"/>
      <c r="LSO50" s="32"/>
      <c r="LSP50" s="32"/>
      <c r="LSQ50" s="32"/>
      <c r="LSR50" s="32"/>
      <c r="LSS50" s="32"/>
      <c r="LST50" s="32"/>
      <c r="LSU50" s="32"/>
      <c r="LSV50" s="32"/>
      <c r="LSW50" s="32"/>
      <c r="LSX50" s="32"/>
      <c r="LSY50" s="32"/>
      <c r="LSZ50" s="32"/>
      <c r="LTA50" s="32"/>
      <c r="LTB50" s="32"/>
      <c r="LTC50" s="32"/>
      <c r="LTD50" s="32"/>
      <c r="LTE50" s="32"/>
      <c r="LTF50" s="32"/>
      <c r="LTG50" s="32"/>
      <c r="LTH50" s="32"/>
      <c r="LTI50" s="32"/>
      <c r="LTJ50" s="32"/>
      <c r="LTK50" s="32"/>
      <c r="LTL50" s="32"/>
      <c r="LTM50" s="32"/>
      <c r="LTN50" s="32"/>
      <c r="LTO50" s="32"/>
      <c r="LTP50" s="32"/>
      <c r="LTQ50" s="32"/>
      <c r="LTR50" s="32"/>
      <c r="LTS50" s="32"/>
      <c r="LTT50" s="32"/>
      <c r="LTU50" s="32"/>
      <c r="LTV50" s="32"/>
      <c r="LTW50" s="32"/>
      <c r="LTX50" s="32"/>
      <c r="LTY50" s="32"/>
      <c r="LTZ50" s="32"/>
      <c r="LUA50" s="32"/>
      <c r="LUB50" s="32"/>
      <c r="LUC50" s="32"/>
      <c r="LUD50" s="32"/>
      <c r="LUE50" s="32"/>
      <c r="LUF50" s="32"/>
      <c r="LUG50" s="32"/>
      <c r="LUH50" s="32"/>
      <c r="LUI50" s="32"/>
      <c r="LUJ50" s="32"/>
      <c r="LUK50" s="32"/>
      <c r="LUL50" s="32"/>
      <c r="LUM50" s="32"/>
      <c r="LUN50" s="32"/>
      <c r="LUO50" s="32"/>
      <c r="LUP50" s="32"/>
      <c r="LUQ50" s="32"/>
      <c r="LUR50" s="32"/>
      <c r="LUS50" s="32"/>
      <c r="LUT50" s="32"/>
      <c r="LUU50" s="32"/>
      <c r="LUV50" s="32"/>
      <c r="LUW50" s="32"/>
      <c r="LUX50" s="32"/>
      <c r="LUY50" s="32"/>
      <c r="LUZ50" s="32"/>
      <c r="LVA50" s="32"/>
      <c r="LVB50" s="32"/>
      <c r="LVC50" s="32"/>
      <c r="LVD50" s="32"/>
      <c r="LVE50" s="32"/>
      <c r="LVF50" s="32"/>
      <c r="LVG50" s="32"/>
      <c r="LVH50" s="32"/>
      <c r="LVI50" s="32"/>
      <c r="LVJ50" s="32"/>
      <c r="LVK50" s="32"/>
      <c r="LVL50" s="32"/>
      <c r="LVM50" s="32"/>
      <c r="LVN50" s="32"/>
      <c r="LVO50" s="32"/>
      <c r="LVP50" s="32"/>
      <c r="LVQ50" s="32"/>
      <c r="LVR50" s="32"/>
      <c r="LVS50" s="32"/>
      <c r="LVT50" s="32"/>
      <c r="LVU50" s="32"/>
      <c r="LVV50" s="32"/>
      <c r="LVW50" s="32"/>
      <c r="LVX50" s="32"/>
      <c r="LVY50" s="32"/>
      <c r="LVZ50" s="32"/>
      <c r="LWA50" s="32"/>
      <c r="LWB50" s="32"/>
      <c r="LWC50" s="32"/>
      <c r="LWD50" s="32"/>
      <c r="LWE50" s="32"/>
      <c r="LWF50" s="32"/>
      <c r="LWG50" s="32"/>
      <c r="LWH50" s="32"/>
      <c r="LWI50" s="32"/>
      <c r="LWJ50" s="32"/>
      <c r="LWK50" s="32"/>
      <c r="LWL50" s="32"/>
      <c r="LWM50" s="32"/>
      <c r="LWN50" s="32"/>
      <c r="LWO50" s="32"/>
      <c r="LWP50" s="32"/>
      <c r="LWQ50" s="32"/>
      <c r="LWR50" s="32"/>
      <c r="LWS50" s="32"/>
      <c r="LWT50" s="32"/>
      <c r="LWU50" s="32"/>
      <c r="LWV50" s="32"/>
      <c r="LWW50" s="32"/>
      <c r="LWX50" s="32"/>
      <c r="LWY50" s="32"/>
      <c r="LWZ50" s="32"/>
      <c r="LXA50" s="32"/>
      <c r="LXB50" s="32"/>
      <c r="LXC50" s="32"/>
      <c r="LXD50" s="32"/>
      <c r="LXE50" s="32"/>
      <c r="LXF50" s="32"/>
      <c r="LXG50" s="32"/>
      <c r="LXH50" s="32"/>
      <c r="LXI50" s="32"/>
      <c r="LXJ50" s="32"/>
      <c r="LXK50" s="32"/>
      <c r="LXL50" s="32"/>
      <c r="LXM50" s="32"/>
      <c r="LXN50" s="32"/>
      <c r="LXO50" s="32"/>
      <c r="LXP50" s="32"/>
      <c r="LXQ50" s="32"/>
      <c r="LXR50" s="32"/>
      <c r="LXS50" s="32"/>
      <c r="LXT50" s="32"/>
      <c r="LXU50" s="32"/>
      <c r="LXV50" s="32"/>
      <c r="LXW50" s="32"/>
      <c r="LXX50" s="32"/>
      <c r="LXY50" s="32"/>
      <c r="LXZ50" s="32"/>
      <c r="LYA50" s="32"/>
      <c r="LYB50" s="32"/>
      <c r="LYC50" s="32"/>
      <c r="LYD50" s="32"/>
      <c r="LYE50" s="32"/>
      <c r="LYF50" s="32"/>
      <c r="LYG50" s="32"/>
      <c r="LYH50" s="32"/>
      <c r="LYI50" s="32"/>
      <c r="LYJ50" s="32"/>
      <c r="LYK50" s="32"/>
      <c r="LYL50" s="32"/>
      <c r="LYM50" s="32"/>
      <c r="LYN50" s="32"/>
      <c r="LYO50" s="32"/>
      <c r="LYP50" s="32"/>
      <c r="LYQ50" s="32"/>
      <c r="LYR50" s="32"/>
      <c r="LYS50" s="32"/>
      <c r="LYT50" s="32"/>
      <c r="LYU50" s="32"/>
      <c r="LYV50" s="32"/>
      <c r="LYW50" s="32"/>
      <c r="LYX50" s="32"/>
      <c r="LYY50" s="32"/>
      <c r="LYZ50" s="32"/>
      <c r="LZA50" s="32"/>
      <c r="LZB50" s="32"/>
      <c r="LZC50" s="32"/>
      <c r="LZD50" s="32"/>
      <c r="LZE50" s="32"/>
      <c r="LZF50" s="32"/>
      <c r="LZG50" s="32"/>
      <c r="LZH50" s="32"/>
      <c r="LZI50" s="32"/>
      <c r="LZJ50" s="32"/>
      <c r="LZK50" s="32"/>
      <c r="LZL50" s="32"/>
      <c r="LZM50" s="32"/>
      <c r="LZN50" s="32"/>
      <c r="LZO50" s="32"/>
      <c r="LZP50" s="32"/>
      <c r="LZQ50" s="32"/>
      <c r="LZR50" s="32"/>
      <c r="LZS50" s="32"/>
      <c r="LZT50" s="32"/>
      <c r="LZU50" s="32"/>
      <c r="LZV50" s="32"/>
      <c r="LZW50" s="32"/>
      <c r="LZX50" s="32"/>
      <c r="LZY50" s="32"/>
      <c r="LZZ50" s="32"/>
      <c r="MAA50" s="32"/>
      <c r="MAB50" s="32"/>
      <c r="MAC50" s="32"/>
      <c r="MAD50" s="32"/>
      <c r="MAE50" s="32"/>
      <c r="MAF50" s="32"/>
      <c r="MAG50" s="32"/>
      <c r="MAH50" s="32"/>
      <c r="MAI50" s="32"/>
      <c r="MAJ50" s="32"/>
      <c r="MAK50" s="32"/>
      <c r="MAL50" s="32"/>
      <c r="MAM50" s="32"/>
      <c r="MAN50" s="32"/>
      <c r="MAO50" s="32"/>
      <c r="MAP50" s="32"/>
      <c r="MAQ50" s="32"/>
      <c r="MAR50" s="32"/>
      <c r="MAS50" s="32"/>
      <c r="MAT50" s="32"/>
      <c r="MAU50" s="32"/>
      <c r="MAV50" s="32"/>
      <c r="MAW50" s="32"/>
      <c r="MAX50" s="32"/>
      <c r="MAY50" s="32"/>
      <c r="MAZ50" s="32"/>
      <c r="MBA50" s="32"/>
      <c r="MBB50" s="32"/>
      <c r="MBC50" s="32"/>
      <c r="MBD50" s="32"/>
      <c r="MBE50" s="32"/>
      <c r="MBF50" s="32"/>
      <c r="MBG50" s="32"/>
      <c r="MBH50" s="32"/>
      <c r="MBI50" s="32"/>
      <c r="MBJ50" s="32"/>
      <c r="MBK50" s="32"/>
      <c r="MBL50" s="32"/>
      <c r="MBM50" s="32"/>
      <c r="MBN50" s="32"/>
      <c r="MBO50" s="32"/>
      <c r="MBP50" s="32"/>
      <c r="MBQ50" s="32"/>
      <c r="MBR50" s="32"/>
      <c r="MBS50" s="32"/>
      <c r="MBT50" s="32"/>
      <c r="MBU50" s="32"/>
      <c r="MBV50" s="32"/>
      <c r="MBW50" s="32"/>
      <c r="MBX50" s="32"/>
      <c r="MBY50" s="32"/>
      <c r="MBZ50" s="32"/>
      <c r="MCA50" s="32"/>
      <c r="MCB50" s="32"/>
      <c r="MCC50" s="32"/>
      <c r="MCD50" s="32"/>
      <c r="MCE50" s="32"/>
      <c r="MCF50" s="32"/>
      <c r="MCG50" s="32"/>
      <c r="MCH50" s="32"/>
      <c r="MCI50" s="32"/>
      <c r="MCJ50" s="32"/>
      <c r="MCK50" s="32"/>
      <c r="MCL50" s="32"/>
      <c r="MCM50" s="32"/>
      <c r="MCN50" s="32"/>
      <c r="MCO50" s="32"/>
      <c r="MCP50" s="32"/>
      <c r="MCQ50" s="32"/>
      <c r="MCR50" s="32"/>
      <c r="MCS50" s="32"/>
      <c r="MCT50" s="32"/>
      <c r="MCU50" s="32"/>
      <c r="MCV50" s="32"/>
      <c r="MCW50" s="32"/>
      <c r="MCX50" s="32"/>
      <c r="MCY50" s="32"/>
      <c r="MCZ50" s="32"/>
      <c r="MDA50" s="32"/>
      <c r="MDB50" s="32"/>
      <c r="MDC50" s="32"/>
      <c r="MDD50" s="32"/>
      <c r="MDE50" s="32"/>
      <c r="MDF50" s="32"/>
      <c r="MDG50" s="32"/>
      <c r="MDH50" s="32"/>
      <c r="MDI50" s="32"/>
      <c r="MDJ50" s="32"/>
      <c r="MDK50" s="32"/>
      <c r="MDL50" s="32"/>
      <c r="MDM50" s="32"/>
      <c r="MDN50" s="32"/>
      <c r="MDO50" s="32"/>
      <c r="MDP50" s="32"/>
      <c r="MDQ50" s="32"/>
      <c r="MDR50" s="32"/>
      <c r="MDS50" s="32"/>
      <c r="MDT50" s="32"/>
      <c r="MDU50" s="32"/>
      <c r="MDV50" s="32"/>
      <c r="MDW50" s="32"/>
      <c r="MDX50" s="32"/>
      <c r="MDY50" s="32"/>
      <c r="MDZ50" s="32"/>
      <c r="MEA50" s="32"/>
      <c r="MEB50" s="32"/>
      <c r="MEC50" s="32"/>
      <c r="MED50" s="32"/>
      <c r="MEE50" s="32"/>
      <c r="MEF50" s="32"/>
      <c r="MEG50" s="32"/>
      <c r="MEH50" s="32"/>
      <c r="MEI50" s="32"/>
      <c r="MEJ50" s="32"/>
      <c r="MEK50" s="32"/>
      <c r="MEL50" s="32"/>
      <c r="MEM50" s="32"/>
      <c r="MEN50" s="32"/>
      <c r="MEO50" s="32"/>
      <c r="MEP50" s="32"/>
      <c r="MEQ50" s="32"/>
      <c r="MER50" s="32"/>
      <c r="MES50" s="32"/>
      <c r="MET50" s="32"/>
      <c r="MEU50" s="32"/>
      <c r="MEV50" s="32"/>
      <c r="MEW50" s="32"/>
      <c r="MEX50" s="32"/>
      <c r="MEY50" s="32"/>
      <c r="MEZ50" s="32"/>
      <c r="MFA50" s="32"/>
      <c r="MFB50" s="32"/>
      <c r="MFC50" s="32"/>
      <c r="MFD50" s="32"/>
      <c r="MFE50" s="32"/>
      <c r="MFF50" s="32"/>
      <c r="MFG50" s="32"/>
      <c r="MFH50" s="32"/>
      <c r="MFI50" s="32"/>
      <c r="MFJ50" s="32"/>
      <c r="MFK50" s="32"/>
      <c r="MFL50" s="32"/>
      <c r="MFM50" s="32"/>
      <c r="MFN50" s="32"/>
      <c r="MFO50" s="32"/>
      <c r="MFP50" s="32"/>
      <c r="MFQ50" s="32"/>
      <c r="MFR50" s="32"/>
      <c r="MFS50" s="32"/>
      <c r="MFT50" s="32"/>
      <c r="MFU50" s="32"/>
      <c r="MFV50" s="32"/>
      <c r="MFW50" s="32"/>
      <c r="MFX50" s="32"/>
      <c r="MFY50" s="32"/>
      <c r="MFZ50" s="32"/>
      <c r="MGA50" s="32"/>
      <c r="MGB50" s="32"/>
      <c r="MGC50" s="32"/>
      <c r="MGD50" s="32"/>
      <c r="MGE50" s="32"/>
      <c r="MGF50" s="32"/>
      <c r="MGG50" s="32"/>
      <c r="MGH50" s="32"/>
      <c r="MGI50" s="32"/>
      <c r="MGJ50" s="32"/>
      <c r="MGK50" s="32"/>
      <c r="MGL50" s="32"/>
      <c r="MGM50" s="32"/>
      <c r="MGN50" s="32"/>
      <c r="MGO50" s="32"/>
      <c r="MGP50" s="32"/>
      <c r="MGQ50" s="32"/>
      <c r="MGR50" s="32"/>
      <c r="MGS50" s="32"/>
      <c r="MGT50" s="32"/>
      <c r="MGU50" s="32"/>
      <c r="MGV50" s="32"/>
      <c r="MGW50" s="32"/>
      <c r="MGX50" s="32"/>
      <c r="MGY50" s="32"/>
      <c r="MGZ50" s="32"/>
      <c r="MHA50" s="32"/>
      <c r="MHB50" s="32"/>
      <c r="MHC50" s="32"/>
      <c r="MHD50" s="32"/>
      <c r="MHE50" s="32"/>
      <c r="MHF50" s="32"/>
      <c r="MHG50" s="32"/>
      <c r="MHH50" s="32"/>
      <c r="MHI50" s="32"/>
      <c r="MHJ50" s="32"/>
      <c r="MHK50" s="32"/>
      <c r="MHL50" s="32"/>
      <c r="MHM50" s="32"/>
      <c r="MHN50" s="32"/>
      <c r="MHO50" s="32"/>
      <c r="MHP50" s="32"/>
      <c r="MHQ50" s="32"/>
      <c r="MHR50" s="32"/>
      <c r="MHS50" s="32"/>
      <c r="MHT50" s="32"/>
      <c r="MHU50" s="32"/>
      <c r="MHV50" s="32"/>
      <c r="MHW50" s="32"/>
      <c r="MHX50" s="32"/>
      <c r="MHY50" s="32"/>
      <c r="MHZ50" s="32"/>
      <c r="MIA50" s="32"/>
      <c r="MIB50" s="32"/>
      <c r="MIC50" s="32"/>
      <c r="MID50" s="32"/>
      <c r="MIE50" s="32"/>
      <c r="MIF50" s="32"/>
      <c r="MIG50" s="32"/>
      <c r="MIH50" s="32"/>
      <c r="MII50" s="32"/>
      <c r="MIJ50" s="32"/>
      <c r="MIK50" s="32"/>
      <c r="MIL50" s="32"/>
      <c r="MIM50" s="32"/>
      <c r="MIN50" s="32"/>
      <c r="MIO50" s="32"/>
      <c r="MIP50" s="32"/>
      <c r="MIQ50" s="32"/>
      <c r="MIR50" s="32"/>
      <c r="MIS50" s="32"/>
      <c r="MIT50" s="32"/>
      <c r="MIU50" s="32"/>
      <c r="MIV50" s="32"/>
      <c r="MIW50" s="32"/>
      <c r="MIX50" s="32"/>
      <c r="MIY50" s="32"/>
      <c r="MIZ50" s="32"/>
      <c r="MJA50" s="32"/>
      <c r="MJB50" s="32"/>
      <c r="MJC50" s="32"/>
      <c r="MJD50" s="32"/>
      <c r="MJE50" s="32"/>
      <c r="MJF50" s="32"/>
      <c r="MJG50" s="32"/>
      <c r="MJH50" s="32"/>
      <c r="MJI50" s="32"/>
      <c r="MJJ50" s="32"/>
      <c r="MJK50" s="32"/>
      <c r="MJL50" s="32"/>
      <c r="MJM50" s="32"/>
      <c r="MJN50" s="32"/>
      <c r="MJO50" s="32"/>
      <c r="MJP50" s="32"/>
      <c r="MJQ50" s="32"/>
      <c r="MJR50" s="32"/>
      <c r="MJS50" s="32"/>
      <c r="MJT50" s="32"/>
      <c r="MJU50" s="32"/>
      <c r="MJV50" s="32"/>
      <c r="MJW50" s="32"/>
      <c r="MJX50" s="32"/>
      <c r="MJY50" s="32"/>
      <c r="MJZ50" s="32"/>
      <c r="MKA50" s="32"/>
      <c r="MKB50" s="32"/>
      <c r="MKC50" s="32"/>
      <c r="MKD50" s="32"/>
      <c r="MKE50" s="32"/>
      <c r="MKF50" s="32"/>
      <c r="MKG50" s="32"/>
      <c r="MKH50" s="32"/>
      <c r="MKI50" s="32"/>
      <c r="MKJ50" s="32"/>
      <c r="MKK50" s="32"/>
      <c r="MKL50" s="32"/>
      <c r="MKM50" s="32"/>
      <c r="MKN50" s="32"/>
      <c r="MKO50" s="32"/>
      <c r="MKP50" s="32"/>
      <c r="MKQ50" s="32"/>
      <c r="MKR50" s="32"/>
      <c r="MKS50" s="32"/>
      <c r="MKT50" s="32"/>
      <c r="MKU50" s="32"/>
      <c r="MKV50" s="32"/>
      <c r="MKW50" s="32"/>
      <c r="MKX50" s="32"/>
      <c r="MKY50" s="32"/>
      <c r="MKZ50" s="32"/>
      <c r="MLA50" s="32"/>
      <c r="MLB50" s="32"/>
      <c r="MLC50" s="32"/>
      <c r="MLD50" s="32"/>
      <c r="MLE50" s="32"/>
      <c r="MLF50" s="32"/>
      <c r="MLG50" s="32"/>
      <c r="MLH50" s="32"/>
      <c r="MLI50" s="32"/>
      <c r="MLJ50" s="32"/>
      <c r="MLK50" s="32"/>
      <c r="MLL50" s="32"/>
      <c r="MLM50" s="32"/>
      <c r="MLN50" s="32"/>
      <c r="MLO50" s="32"/>
      <c r="MLP50" s="32"/>
      <c r="MLQ50" s="32"/>
      <c r="MLR50" s="32"/>
      <c r="MLS50" s="32"/>
      <c r="MLT50" s="32"/>
      <c r="MLU50" s="32"/>
      <c r="MLV50" s="32"/>
      <c r="MLW50" s="32"/>
      <c r="MLX50" s="32"/>
      <c r="MLY50" s="32"/>
      <c r="MLZ50" s="32"/>
      <c r="MMA50" s="32"/>
      <c r="MMB50" s="32"/>
      <c r="MMC50" s="32"/>
      <c r="MMD50" s="32"/>
      <c r="MME50" s="32"/>
      <c r="MMF50" s="32"/>
      <c r="MMG50" s="32"/>
      <c r="MMH50" s="32"/>
      <c r="MMI50" s="32"/>
      <c r="MMJ50" s="32"/>
      <c r="MMK50" s="32"/>
      <c r="MML50" s="32"/>
      <c r="MMM50" s="32"/>
      <c r="MMN50" s="32"/>
      <c r="MMO50" s="32"/>
      <c r="MMP50" s="32"/>
      <c r="MMQ50" s="32"/>
      <c r="MMR50" s="32"/>
      <c r="MMS50" s="32"/>
      <c r="MMT50" s="32"/>
      <c r="MMU50" s="32"/>
      <c r="MMV50" s="32"/>
      <c r="MMW50" s="32"/>
      <c r="MMX50" s="32"/>
      <c r="MMY50" s="32"/>
      <c r="MMZ50" s="32"/>
      <c r="MNA50" s="32"/>
      <c r="MNB50" s="32"/>
      <c r="MNC50" s="32"/>
      <c r="MND50" s="32"/>
      <c r="MNE50" s="32"/>
      <c r="MNF50" s="32"/>
      <c r="MNG50" s="32"/>
      <c r="MNH50" s="32"/>
      <c r="MNI50" s="32"/>
      <c r="MNJ50" s="32"/>
      <c r="MNK50" s="32"/>
      <c r="MNL50" s="32"/>
      <c r="MNM50" s="32"/>
      <c r="MNN50" s="32"/>
      <c r="MNO50" s="32"/>
      <c r="MNP50" s="32"/>
      <c r="MNQ50" s="32"/>
      <c r="MNR50" s="32"/>
      <c r="MNS50" s="32"/>
      <c r="MNT50" s="32"/>
      <c r="MNU50" s="32"/>
      <c r="MNV50" s="32"/>
      <c r="MNW50" s="32"/>
      <c r="MNX50" s="32"/>
      <c r="MNY50" s="32"/>
      <c r="MNZ50" s="32"/>
      <c r="MOA50" s="32"/>
      <c r="MOB50" s="32"/>
      <c r="MOC50" s="32"/>
      <c r="MOD50" s="32"/>
      <c r="MOE50" s="32"/>
      <c r="MOF50" s="32"/>
      <c r="MOG50" s="32"/>
      <c r="MOH50" s="32"/>
      <c r="MOI50" s="32"/>
      <c r="MOJ50" s="32"/>
      <c r="MOK50" s="32"/>
      <c r="MOL50" s="32"/>
      <c r="MOM50" s="32"/>
      <c r="MON50" s="32"/>
      <c r="MOO50" s="32"/>
      <c r="MOP50" s="32"/>
      <c r="MOQ50" s="32"/>
      <c r="MOR50" s="32"/>
      <c r="MOS50" s="32"/>
      <c r="MOT50" s="32"/>
      <c r="MOU50" s="32"/>
      <c r="MOV50" s="32"/>
      <c r="MOW50" s="32"/>
      <c r="MOX50" s="32"/>
      <c r="MOY50" s="32"/>
      <c r="MOZ50" s="32"/>
      <c r="MPA50" s="32"/>
      <c r="MPB50" s="32"/>
      <c r="MPC50" s="32"/>
      <c r="MPD50" s="32"/>
      <c r="MPE50" s="32"/>
      <c r="MPF50" s="32"/>
      <c r="MPG50" s="32"/>
      <c r="MPH50" s="32"/>
      <c r="MPI50" s="32"/>
      <c r="MPJ50" s="32"/>
      <c r="MPK50" s="32"/>
      <c r="MPL50" s="32"/>
      <c r="MPM50" s="32"/>
      <c r="MPN50" s="32"/>
      <c r="MPO50" s="32"/>
      <c r="MPP50" s="32"/>
      <c r="MPQ50" s="32"/>
      <c r="MPR50" s="32"/>
      <c r="MPS50" s="32"/>
      <c r="MPT50" s="32"/>
      <c r="MPU50" s="32"/>
      <c r="MPV50" s="32"/>
      <c r="MPW50" s="32"/>
      <c r="MPX50" s="32"/>
      <c r="MPY50" s="32"/>
      <c r="MPZ50" s="32"/>
      <c r="MQA50" s="32"/>
      <c r="MQB50" s="32"/>
      <c r="MQC50" s="32"/>
      <c r="MQD50" s="32"/>
      <c r="MQE50" s="32"/>
      <c r="MQF50" s="32"/>
      <c r="MQG50" s="32"/>
      <c r="MQH50" s="32"/>
      <c r="MQI50" s="32"/>
      <c r="MQJ50" s="32"/>
      <c r="MQK50" s="32"/>
      <c r="MQL50" s="32"/>
      <c r="MQM50" s="32"/>
      <c r="MQN50" s="32"/>
      <c r="MQO50" s="32"/>
      <c r="MQP50" s="32"/>
      <c r="MQQ50" s="32"/>
      <c r="MQR50" s="32"/>
      <c r="MQS50" s="32"/>
      <c r="MQT50" s="32"/>
      <c r="MQU50" s="32"/>
      <c r="MQV50" s="32"/>
      <c r="MQW50" s="32"/>
      <c r="MQX50" s="32"/>
      <c r="MQY50" s="32"/>
      <c r="MQZ50" s="32"/>
      <c r="MRA50" s="32"/>
      <c r="MRB50" s="32"/>
      <c r="MRC50" s="32"/>
      <c r="MRD50" s="32"/>
      <c r="MRE50" s="32"/>
      <c r="MRF50" s="32"/>
      <c r="MRG50" s="32"/>
      <c r="MRH50" s="32"/>
      <c r="MRI50" s="32"/>
      <c r="MRJ50" s="32"/>
      <c r="MRK50" s="32"/>
      <c r="MRL50" s="32"/>
      <c r="MRM50" s="32"/>
      <c r="MRN50" s="32"/>
      <c r="MRO50" s="32"/>
      <c r="MRP50" s="32"/>
      <c r="MRQ50" s="32"/>
      <c r="MRR50" s="32"/>
      <c r="MRS50" s="32"/>
      <c r="MRT50" s="32"/>
      <c r="MRU50" s="32"/>
      <c r="MRV50" s="32"/>
      <c r="MRW50" s="32"/>
      <c r="MRX50" s="32"/>
      <c r="MRY50" s="32"/>
      <c r="MRZ50" s="32"/>
      <c r="MSA50" s="32"/>
      <c r="MSB50" s="32"/>
      <c r="MSC50" s="32"/>
      <c r="MSD50" s="32"/>
      <c r="MSE50" s="32"/>
      <c r="MSF50" s="32"/>
      <c r="MSG50" s="32"/>
      <c r="MSH50" s="32"/>
      <c r="MSI50" s="32"/>
      <c r="MSJ50" s="32"/>
      <c r="MSK50" s="32"/>
      <c r="MSL50" s="32"/>
      <c r="MSM50" s="32"/>
      <c r="MSN50" s="32"/>
      <c r="MSO50" s="32"/>
      <c r="MSP50" s="32"/>
      <c r="MSQ50" s="32"/>
      <c r="MSR50" s="32"/>
      <c r="MSS50" s="32"/>
      <c r="MST50" s="32"/>
      <c r="MSU50" s="32"/>
      <c r="MSV50" s="32"/>
      <c r="MSW50" s="32"/>
      <c r="MSX50" s="32"/>
      <c r="MSY50" s="32"/>
      <c r="MSZ50" s="32"/>
      <c r="MTA50" s="32"/>
      <c r="MTB50" s="32"/>
      <c r="MTC50" s="32"/>
      <c r="MTD50" s="32"/>
      <c r="MTE50" s="32"/>
      <c r="MTF50" s="32"/>
      <c r="MTG50" s="32"/>
      <c r="MTH50" s="32"/>
      <c r="MTI50" s="32"/>
      <c r="MTJ50" s="32"/>
      <c r="MTK50" s="32"/>
      <c r="MTL50" s="32"/>
      <c r="MTM50" s="32"/>
      <c r="MTN50" s="32"/>
      <c r="MTO50" s="32"/>
      <c r="MTP50" s="32"/>
      <c r="MTQ50" s="32"/>
      <c r="MTR50" s="32"/>
      <c r="MTS50" s="32"/>
      <c r="MTT50" s="32"/>
      <c r="MTU50" s="32"/>
      <c r="MTV50" s="32"/>
      <c r="MTW50" s="32"/>
      <c r="MTX50" s="32"/>
      <c r="MTY50" s="32"/>
      <c r="MTZ50" s="32"/>
      <c r="MUA50" s="32"/>
      <c r="MUB50" s="32"/>
      <c r="MUC50" s="32"/>
      <c r="MUD50" s="32"/>
      <c r="MUE50" s="32"/>
      <c r="MUF50" s="32"/>
      <c r="MUG50" s="32"/>
      <c r="MUH50" s="32"/>
      <c r="MUI50" s="32"/>
      <c r="MUJ50" s="32"/>
      <c r="MUK50" s="32"/>
      <c r="MUL50" s="32"/>
      <c r="MUM50" s="32"/>
      <c r="MUN50" s="32"/>
      <c r="MUO50" s="32"/>
      <c r="MUP50" s="32"/>
      <c r="MUQ50" s="32"/>
      <c r="MUR50" s="32"/>
      <c r="MUS50" s="32"/>
      <c r="MUT50" s="32"/>
      <c r="MUU50" s="32"/>
      <c r="MUV50" s="32"/>
      <c r="MUW50" s="32"/>
      <c r="MUX50" s="32"/>
      <c r="MUY50" s="32"/>
      <c r="MUZ50" s="32"/>
      <c r="MVA50" s="32"/>
      <c r="MVB50" s="32"/>
      <c r="MVC50" s="32"/>
      <c r="MVD50" s="32"/>
      <c r="MVE50" s="32"/>
      <c r="MVF50" s="32"/>
      <c r="MVG50" s="32"/>
      <c r="MVH50" s="32"/>
      <c r="MVI50" s="32"/>
      <c r="MVJ50" s="32"/>
      <c r="MVK50" s="32"/>
      <c r="MVL50" s="32"/>
      <c r="MVM50" s="32"/>
      <c r="MVN50" s="32"/>
      <c r="MVO50" s="32"/>
      <c r="MVP50" s="32"/>
      <c r="MVQ50" s="32"/>
      <c r="MVR50" s="32"/>
      <c r="MVS50" s="32"/>
      <c r="MVT50" s="32"/>
      <c r="MVU50" s="32"/>
      <c r="MVV50" s="32"/>
      <c r="MVW50" s="32"/>
      <c r="MVX50" s="32"/>
      <c r="MVY50" s="32"/>
      <c r="MVZ50" s="32"/>
      <c r="MWA50" s="32"/>
      <c r="MWB50" s="32"/>
      <c r="MWC50" s="32"/>
      <c r="MWD50" s="32"/>
      <c r="MWE50" s="32"/>
      <c r="MWF50" s="32"/>
      <c r="MWG50" s="32"/>
      <c r="MWH50" s="32"/>
      <c r="MWI50" s="32"/>
      <c r="MWJ50" s="32"/>
      <c r="MWK50" s="32"/>
      <c r="MWL50" s="32"/>
      <c r="MWM50" s="32"/>
      <c r="MWN50" s="32"/>
      <c r="MWO50" s="32"/>
      <c r="MWP50" s="32"/>
      <c r="MWQ50" s="32"/>
      <c r="MWR50" s="32"/>
      <c r="MWS50" s="32"/>
      <c r="MWT50" s="32"/>
      <c r="MWU50" s="32"/>
      <c r="MWV50" s="32"/>
      <c r="MWW50" s="32"/>
      <c r="MWX50" s="32"/>
      <c r="MWY50" s="32"/>
      <c r="MWZ50" s="32"/>
      <c r="MXA50" s="32"/>
      <c r="MXB50" s="32"/>
      <c r="MXC50" s="32"/>
      <c r="MXD50" s="32"/>
      <c r="MXE50" s="32"/>
      <c r="MXF50" s="32"/>
      <c r="MXG50" s="32"/>
      <c r="MXH50" s="32"/>
      <c r="MXI50" s="32"/>
      <c r="MXJ50" s="32"/>
      <c r="MXK50" s="32"/>
      <c r="MXL50" s="32"/>
      <c r="MXM50" s="32"/>
      <c r="MXN50" s="32"/>
      <c r="MXO50" s="32"/>
      <c r="MXP50" s="32"/>
      <c r="MXQ50" s="32"/>
      <c r="MXR50" s="32"/>
      <c r="MXS50" s="32"/>
      <c r="MXT50" s="32"/>
      <c r="MXU50" s="32"/>
      <c r="MXV50" s="32"/>
      <c r="MXW50" s="32"/>
      <c r="MXX50" s="32"/>
      <c r="MXY50" s="32"/>
      <c r="MXZ50" s="32"/>
      <c r="MYA50" s="32"/>
      <c r="MYB50" s="32"/>
      <c r="MYC50" s="32"/>
      <c r="MYD50" s="32"/>
      <c r="MYE50" s="32"/>
      <c r="MYF50" s="32"/>
      <c r="MYG50" s="32"/>
      <c r="MYH50" s="32"/>
      <c r="MYI50" s="32"/>
      <c r="MYJ50" s="32"/>
      <c r="MYK50" s="32"/>
      <c r="MYL50" s="32"/>
      <c r="MYM50" s="32"/>
      <c r="MYN50" s="32"/>
      <c r="MYO50" s="32"/>
      <c r="MYP50" s="32"/>
      <c r="MYQ50" s="32"/>
      <c r="MYR50" s="32"/>
      <c r="MYS50" s="32"/>
      <c r="MYT50" s="32"/>
      <c r="MYU50" s="32"/>
      <c r="MYV50" s="32"/>
      <c r="MYW50" s="32"/>
      <c r="MYX50" s="32"/>
      <c r="MYY50" s="32"/>
      <c r="MYZ50" s="32"/>
      <c r="MZA50" s="32"/>
      <c r="MZB50" s="32"/>
      <c r="MZC50" s="32"/>
      <c r="MZD50" s="32"/>
      <c r="MZE50" s="32"/>
      <c r="MZF50" s="32"/>
      <c r="MZG50" s="32"/>
      <c r="MZH50" s="32"/>
      <c r="MZI50" s="32"/>
      <c r="MZJ50" s="32"/>
      <c r="MZK50" s="32"/>
      <c r="MZL50" s="32"/>
      <c r="MZM50" s="32"/>
      <c r="MZN50" s="32"/>
      <c r="MZO50" s="32"/>
      <c r="MZP50" s="32"/>
      <c r="MZQ50" s="32"/>
      <c r="MZR50" s="32"/>
      <c r="MZS50" s="32"/>
      <c r="MZT50" s="32"/>
      <c r="MZU50" s="32"/>
      <c r="MZV50" s="32"/>
      <c r="MZW50" s="32"/>
      <c r="MZX50" s="32"/>
      <c r="MZY50" s="32"/>
      <c r="MZZ50" s="32"/>
      <c r="NAA50" s="32"/>
      <c r="NAB50" s="32"/>
      <c r="NAC50" s="32"/>
      <c r="NAD50" s="32"/>
      <c r="NAE50" s="32"/>
      <c r="NAF50" s="32"/>
      <c r="NAG50" s="32"/>
      <c r="NAH50" s="32"/>
      <c r="NAI50" s="32"/>
      <c r="NAJ50" s="32"/>
      <c r="NAK50" s="32"/>
      <c r="NAL50" s="32"/>
      <c r="NAM50" s="32"/>
      <c r="NAN50" s="32"/>
      <c r="NAO50" s="32"/>
      <c r="NAP50" s="32"/>
      <c r="NAQ50" s="32"/>
      <c r="NAR50" s="32"/>
      <c r="NAS50" s="32"/>
      <c r="NAT50" s="32"/>
      <c r="NAU50" s="32"/>
      <c r="NAV50" s="32"/>
      <c r="NAW50" s="32"/>
      <c r="NAX50" s="32"/>
      <c r="NAY50" s="32"/>
      <c r="NAZ50" s="32"/>
      <c r="NBA50" s="32"/>
      <c r="NBB50" s="32"/>
      <c r="NBC50" s="32"/>
      <c r="NBD50" s="32"/>
      <c r="NBE50" s="32"/>
      <c r="NBF50" s="32"/>
      <c r="NBG50" s="32"/>
      <c r="NBH50" s="32"/>
      <c r="NBI50" s="32"/>
      <c r="NBJ50" s="32"/>
      <c r="NBK50" s="32"/>
      <c r="NBL50" s="32"/>
      <c r="NBM50" s="32"/>
      <c r="NBN50" s="32"/>
      <c r="NBO50" s="32"/>
      <c r="NBP50" s="32"/>
      <c r="NBQ50" s="32"/>
      <c r="NBR50" s="32"/>
      <c r="NBS50" s="32"/>
      <c r="NBT50" s="32"/>
      <c r="NBU50" s="32"/>
      <c r="NBV50" s="32"/>
      <c r="NBW50" s="32"/>
      <c r="NBX50" s="32"/>
      <c r="NBY50" s="32"/>
      <c r="NBZ50" s="32"/>
      <c r="NCA50" s="32"/>
      <c r="NCB50" s="32"/>
      <c r="NCC50" s="32"/>
      <c r="NCD50" s="32"/>
      <c r="NCE50" s="32"/>
      <c r="NCF50" s="32"/>
      <c r="NCG50" s="32"/>
      <c r="NCH50" s="32"/>
      <c r="NCI50" s="32"/>
      <c r="NCJ50" s="32"/>
      <c r="NCK50" s="32"/>
      <c r="NCL50" s="32"/>
      <c r="NCM50" s="32"/>
      <c r="NCN50" s="32"/>
      <c r="NCO50" s="32"/>
      <c r="NCP50" s="32"/>
      <c r="NCQ50" s="32"/>
      <c r="NCR50" s="32"/>
      <c r="NCS50" s="32"/>
      <c r="NCT50" s="32"/>
      <c r="NCU50" s="32"/>
      <c r="NCV50" s="32"/>
      <c r="NCW50" s="32"/>
      <c r="NCX50" s="32"/>
      <c r="NCY50" s="32"/>
      <c r="NCZ50" s="32"/>
      <c r="NDA50" s="32"/>
      <c r="NDB50" s="32"/>
      <c r="NDC50" s="32"/>
      <c r="NDD50" s="32"/>
      <c r="NDE50" s="32"/>
      <c r="NDF50" s="32"/>
      <c r="NDG50" s="32"/>
      <c r="NDH50" s="32"/>
      <c r="NDI50" s="32"/>
      <c r="NDJ50" s="32"/>
      <c r="NDK50" s="32"/>
      <c r="NDL50" s="32"/>
      <c r="NDM50" s="32"/>
      <c r="NDN50" s="32"/>
      <c r="NDO50" s="32"/>
      <c r="NDP50" s="32"/>
      <c r="NDQ50" s="32"/>
      <c r="NDR50" s="32"/>
      <c r="NDS50" s="32"/>
      <c r="NDT50" s="32"/>
      <c r="NDU50" s="32"/>
      <c r="NDV50" s="32"/>
      <c r="NDW50" s="32"/>
      <c r="NDX50" s="32"/>
      <c r="NDY50" s="32"/>
      <c r="NDZ50" s="32"/>
      <c r="NEA50" s="32"/>
      <c r="NEB50" s="32"/>
      <c r="NEC50" s="32"/>
      <c r="NED50" s="32"/>
      <c r="NEE50" s="32"/>
      <c r="NEF50" s="32"/>
      <c r="NEG50" s="32"/>
      <c r="NEH50" s="32"/>
      <c r="NEI50" s="32"/>
      <c r="NEJ50" s="32"/>
      <c r="NEK50" s="32"/>
      <c r="NEL50" s="32"/>
      <c r="NEM50" s="32"/>
      <c r="NEN50" s="32"/>
      <c r="NEO50" s="32"/>
      <c r="NEP50" s="32"/>
      <c r="NEQ50" s="32"/>
      <c r="NER50" s="32"/>
      <c r="NES50" s="32"/>
      <c r="NET50" s="32"/>
      <c r="NEU50" s="32"/>
      <c r="NEV50" s="32"/>
      <c r="NEW50" s="32"/>
      <c r="NEX50" s="32"/>
      <c r="NEY50" s="32"/>
      <c r="NEZ50" s="32"/>
      <c r="NFA50" s="32"/>
      <c r="NFB50" s="32"/>
      <c r="NFC50" s="32"/>
      <c r="NFD50" s="32"/>
      <c r="NFE50" s="32"/>
      <c r="NFF50" s="32"/>
      <c r="NFG50" s="32"/>
      <c r="NFH50" s="32"/>
      <c r="NFI50" s="32"/>
      <c r="NFJ50" s="32"/>
      <c r="NFK50" s="32"/>
      <c r="NFL50" s="32"/>
      <c r="NFM50" s="32"/>
      <c r="NFN50" s="32"/>
      <c r="NFO50" s="32"/>
      <c r="NFP50" s="32"/>
      <c r="NFQ50" s="32"/>
      <c r="NFR50" s="32"/>
      <c r="NFS50" s="32"/>
      <c r="NFT50" s="32"/>
      <c r="NFU50" s="32"/>
      <c r="NFV50" s="32"/>
      <c r="NFW50" s="32"/>
      <c r="NFX50" s="32"/>
      <c r="NFY50" s="32"/>
      <c r="NFZ50" s="32"/>
      <c r="NGA50" s="32"/>
      <c r="NGB50" s="32"/>
      <c r="NGC50" s="32"/>
      <c r="NGD50" s="32"/>
      <c r="NGE50" s="32"/>
      <c r="NGF50" s="32"/>
      <c r="NGG50" s="32"/>
      <c r="NGH50" s="32"/>
      <c r="NGI50" s="32"/>
      <c r="NGJ50" s="32"/>
      <c r="NGK50" s="32"/>
      <c r="NGL50" s="32"/>
      <c r="NGM50" s="32"/>
      <c r="NGN50" s="32"/>
      <c r="NGO50" s="32"/>
      <c r="NGP50" s="32"/>
      <c r="NGQ50" s="32"/>
      <c r="NGR50" s="32"/>
      <c r="NGS50" s="32"/>
      <c r="NGT50" s="32"/>
      <c r="NGU50" s="32"/>
      <c r="NGV50" s="32"/>
      <c r="NGW50" s="32"/>
      <c r="NGX50" s="32"/>
      <c r="NGY50" s="32"/>
      <c r="NGZ50" s="32"/>
      <c r="NHA50" s="32"/>
      <c r="NHB50" s="32"/>
      <c r="NHC50" s="32"/>
      <c r="NHD50" s="32"/>
      <c r="NHE50" s="32"/>
      <c r="NHF50" s="32"/>
      <c r="NHG50" s="32"/>
      <c r="NHH50" s="32"/>
      <c r="NHI50" s="32"/>
      <c r="NHJ50" s="32"/>
      <c r="NHK50" s="32"/>
      <c r="NHL50" s="32"/>
      <c r="NHM50" s="32"/>
      <c r="NHN50" s="32"/>
      <c r="NHO50" s="32"/>
      <c r="NHP50" s="32"/>
      <c r="NHQ50" s="32"/>
      <c r="NHR50" s="32"/>
      <c r="NHS50" s="32"/>
      <c r="NHT50" s="32"/>
      <c r="NHU50" s="32"/>
      <c r="NHV50" s="32"/>
      <c r="NHW50" s="32"/>
      <c r="NHX50" s="32"/>
      <c r="NHY50" s="32"/>
      <c r="NHZ50" s="32"/>
      <c r="NIA50" s="32"/>
      <c r="NIB50" s="32"/>
      <c r="NIC50" s="32"/>
      <c r="NID50" s="32"/>
      <c r="NIE50" s="32"/>
      <c r="NIF50" s="32"/>
      <c r="NIG50" s="32"/>
      <c r="NIH50" s="32"/>
      <c r="NII50" s="32"/>
      <c r="NIJ50" s="32"/>
      <c r="NIK50" s="32"/>
      <c r="NIL50" s="32"/>
      <c r="NIM50" s="32"/>
      <c r="NIN50" s="32"/>
      <c r="NIO50" s="32"/>
      <c r="NIP50" s="32"/>
      <c r="NIQ50" s="32"/>
      <c r="NIR50" s="32"/>
      <c r="NIS50" s="32"/>
      <c r="NIT50" s="32"/>
      <c r="NIU50" s="32"/>
      <c r="NIV50" s="32"/>
      <c r="NIW50" s="32"/>
      <c r="NIX50" s="32"/>
      <c r="NIY50" s="32"/>
      <c r="NIZ50" s="32"/>
      <c r="NJA50" s="32"/>
      <c r="NJB50" s="32"/>
      <c r="NJC50" s="32"/>
      <c r="NJD50" s="32"/>
      <c r="NJE50" s="32"/>
      <c r="NJF50" s="32"/>
      <c r="NJG50" s="32"/>
      <c r="NJH50" s="32"/>
      <c r="NJI50" s="32"/>
      <c r="NJJ50" s="32"/>
      <c r="NJK50" s="32"/>
      <c r="NJL50" s="32"/>
      <c r="NJM50" s="32"/>
      <c r="NJN50" s="32"/>
      <c r="NJO50" s="32"/>
      <c r="NJP50" s="32"/>
      <c r="NJQ50" s="32"/>
      <c r="NJR50" s="32"/>
      <c r="NJS50" s="32"/>
      <c r="NJT50" s="32"/>
      <c r="NJU50" s="32"/>
      <c r="NJV50" s="32"/>
      <c r="NJW50" s="32"/>
      <c r="NJX50" s="32"/>
      <c r="NJY50" s="32"/>
      <c r="NJZ50" s="32"/>
      <c r="NKA50" s="32"/>
      <c r="NKB50" s="32"/>
      <c r="NKC50" s="32"/>
      <c r="NKD50" s="32"/>
      <c r="NKE50" s="32"/>
      <c r="NKF50" s="32"/>
      <c r="NKG50" s="32"/>
      <c r="NKH50" s="32"/>
      <c r="NKI50" s="32"/>
      <c r="NKJ50" s="32"/>
      <c r="NKK50" s="32"/>
      <c r="NKL50" s="32"/>
      <c r="NKM50" s="32"/>
      <c r="NKN50" s="32"/>
      <c r="NKO50" s="32"/>
      <c r="NKP50" s="32"/>
      <c r="NKQ50" s="32"/>
      <c r="NKR50" s="32"/>
      <c r="NKS50" s="32"/>
      <c r="NKT50" s="32"/>
      <c r="NKU50" s="32"/>
      <c r="NKV50" s="32"/>
      <c r="NKW50" s="32"/>
      <c r="NKX50" s="32"/>
      <c r="NKY50" s="32"/>
      <c r="NKZ50" s="32"/>
      <c r="NLA50" s="32"/>
      <c r="NLB50" s="32"/>
      <c r="NLC50" s="32"/>
      <c r="NLD50" s="32"/>
      <c r="NLE50" s="32"/>
      <c r="NLF50" s="32"/>
      <c r="NLG50" s="32"/>
      <c r="NLH50" s="32"/>
      <c r="NLI50" s="32"/>
      <c r="NLJ50" s="32"/>
      <c r="NLK50" s="32"/>
      <c r="NLL50" s="32"/>
      <c r="NLM50" s="32"/>
      <c r="NLN50" s="32"/>
      <c r="NLO50" s="32"/>
      <c r="NLP50" s="32"/>
      <c r="NLQ50" s="32"/>
      <c r="NLR50" s="32"/>
      <c r="NLS50" s="32"/>
      <c r="NLT50" s="32"/>
      <c r="NLU50" s="32"/>
      <c r="NLV50" s="32"/>
      <c r="NLW50" s="32"/>
      <c r="NLX50" s="32"/>
      <c r="NLY50" s="32"/>
      <c r="NLZ50" s="32"/>
      <c r="NMA50" s="32"/>
      <c r="NMB50" s="32"/>
      <c r="NMC50" s="32"/>
      <c r="NMD50" s="32"/>
      <c r="NME50" s="32"/>
      <c r="NMF50" s="32"/>
      <c r="NMG50" s="32"/>
      <c r="NMH50" s="32"/>
      <c r="NMI50" s="32"/>
      <c r="NMJ50" s="32"/>
      <c r="NMK50" s="32"/>
      <c r="NML50" s="32"/>
      <c r="NMM50" s="32"/>
      <c r="NMN50" s="32"/>
      <c r="NMO50" s="32"/>
      <c r="NMP50" s="32"/>
      <c r="NMQ50" s="32"/>
      <c r="NMR50" s="32"/>
      <c r="NMS50" s="32"/>
      <c r="NMT50" s="32"/>
      <c r="NMU50" s="32"/>
      <c r="NMV50" s="32"/>
      <c r="NMW50" s="32"/>
      <c r="NMX50" s="32"/>
      <c r="NMY50" s="32"/>
      <c r="NMZ50" s="32"/>
      <c r="NNA50" s="32"/>
      <c r="NNB50" s="32"/>
      <c r="NNC50" s="32"/>
      <c r="NND50" s="32"/>
      <c r="NNE50" s="32"/>
      <c r="NNF50" s="32"/>
      <c r="NNG50" s="32"/>
      <c r="NNH50" s="32"/>
      <c r="NNI50" s="32"/>
      <c r="NNJ50" s="32"/>
      <c r="NNK50" s="32"/>
      <c r="NNL50" s="32"/>
      <c r="NNM50" s="32"/>
      <c r="NNN50" s="32"/>
      <c r="NNO50" s="32"/>
      <c r="NNP50" s="32"/>
      <c r="NNQ50" s="32"/>
      <c r="NNR50" s="32"/>
      <c r="NNS50" s="32"/>
      <c r="NNT50" s="32"/>
      <c r="NNU50" s="32"/>
      <c r="NNV50" s="32"/>
      <c r="NNW50" s="32"/>
      <c r="NNX50" s="32"/>
      <c r="NNY50" s="32"/>
      <c r="NNZ50" s="32"/>
      <c r="NOA50" s="32"/>
      <c r="NOB50" s="32"/>
      <c r="NOC50" s="32"/>
      <c r="NOD50" s="32"/>
      <c r="NOE50" s="32"/>
      <c r="NOF50" s="32"/>
      <c r="NOG50" s="32"/>
      <c r="NOH50" s="32"/>
      <c r="NOI50" s="32"/>
      <c r="NOJ50" s="32"/>
      <c r="NOK50" s="32"/>
      <c r="NOL50" s="32"/>
      <c r="NOM50" s="32"/>
      <c r="NON50" s="32"/>
      <c r="NOO50" s="32"/>
      <c r="NOP50" s="32"/>
      <c r="NOQ50" s="32"/>
      <c r="NOR50" s="32"/>
      <c r="NOS50" s="32"/>
      <c r="NOT50" s="32"/>
      <c r="NOU50" s="32"/>
      <c r="NOV50" s="32"/>
      <c r="NOW50" s="32"/>
      <c r="NOX50" s="32"/>
      <c r="NOY50" s="32"/>
      <c r="NOZ50" s="32"/>
      <c r="NPA50" s="32"/>
      <c r="NPB50" s="32"/>
      <c r="NPC50" s="32"/>
      <c r="NPD50" s="32"/>
      <c r="NPE50" s="32"/>
      <c r="NPF50" s="32"/>
      <c r="NPG50" s="32"/>
      <c r="NPH50" s="32"/>
      <c r="NPI50" s="32"/>
      <c r="NPJ50" s="32"/>
      <c r="NPK50" s="32"/>
      <c r="NPL50" s="32"/>
      <c r="NPM50" s="32"/>
      <c r="NPN50" s="32"/>
      <c r="NPO50" s="32"/>
      <c r="NPP50" s="32"/>
      <c r="NPQ50" s="32"/>
      <c r="NPR50" s="32"/>
      <c r="NPS50" s="32"/>
      <c r="NPT50" s="32"/>
      <c r="NPU50" s="32"/>
      <c r="NPV50" s="32"/>
      <c r="NPW50" s="32"/>
      <c r="NPX50" s="32"/>
      <c r="NPY50" s="32"/>
      <c r="NPZ50" s="32"/>
      <c r="NQA50" s="32"/>
      <c r="NQB50" s="32"/>
      <c r="NQC50" s="32"/>
      <c r="NQD50" s="32"/>
      <c r="NQE50" s="32"/>
      <c r="NQF50" s="32"/>
      <c r="NQG50" s="32"/>
      <c r="NQH50" s="32"/>
      <c r="NQI50" s="32"/>
      <c r="NQJ50" s="32"/>
      <c r="NQK50" s="32"/>
      <c r="NQL50" s="32"/>
      <c r="NQM50" s="32"/>
      <c r="NQN50" s="32"/>
      <c r="NQO50" s="32"/>
      <c r="NQP50" s="32"/>
      <c r="NQQ50" s="32"/>
      <c r="NQR50" s="32"/>
      <c r="NQS50" s="32"/>
      <c r="NQT50" s="32"/>
      <c r="NQU50" s="32"/>
      <c r="NQV50" s="32"/>
      <c r="NQW50" s="32"/>
      <c r="NQX50" s="32"/>
      <c r="NQY50" s="32"/>
      <c r="NQZ50" s="32"/>
      <c r="NRA50" s="32"/>
      <c r="NRB50" s="32"/>
      <c r="NRC50" s="32"/>
      <c r="NRD50" s="32"/>
      <c r="NRE50" s="32"/>
      <c r="NRF50" s="32"/>
      <c r="NRG50" s="32"/>
      <c r="NRH50" s="32"/>
      <c r="NRI50" s="32"/>
      <c r="NRJ50" s="32"/>
      <c r="NRK50" s="32"/>
      <c r="NRL50" s="32"/>
      <c r="NRM50" s="32"/>
      <c r="NRN50" s="32"/>
      <c r="NRO50" s="32"/>
      <c r="NRP50" s="32"/>
      <c r="NRQ50" s="32"/>
      <c r="NRR50" s="32"/>
      <c r="NRS50" s="32"/>
      <c r="NRT50" s="32"/>
      <c r="NRU50" s="32"/>
      <c r="NRV50" s="32"/>
      <c r="NRW50" s="32"/>
      <c r="NRX50" s="32"/>
      <c r="NRY50" s="32"/>
      <c r="NRZ50" s="32"/>
      <c r="NSA50" s="32"/>
      <c r="NSB50" s="32"/>
      <c r="NSC50" s="32"/>
      <c r="NSD50" s="32"/>
      <c r="NSE50" s="32"/>
      <c r="NSF50" s="32"/>
      <c r="NSG50" s="32"/>
      <c r="NSH50" s="32"/>
      <c r="NSI50" s="32"/>
      <c r="NSJ50" s="32"/>
      <c r="NSK50" s="32"/>
      <c r="NSL50" s="32"/>
      <c r="NSM50" s="32"/>
      <c r="NSN50" s="32"/>
      <c r="NSO50" s="32"/>
      <c r="NSP50" s="32"/>
      <c r="NSQ50" s="32"/>
      <c r="NSR50" s="32"/>
      <c r="NSS50" s="32"/>
      <c r="NST50" s="32"/>
      <c r="NSU50" s="32"/>
      <c r="NSV50" s="32"/>
      <c r="NSW50" s="32"/>
      <c r="NSX50" s="32"/>
      <c r="NSY50" s="32"/>
      <c r="NSZ50" s="32"/>
      <c r="NTA50" s="32"/>
      <c r="NTB50" s="32"/>
      <c r="NTC50" s="32"/>
      <c r="NTD50" s="32"/>
      <c r="NTE50" s="32"/>
      <c r="NTF50" s="32"/>
      <c r="NTG50" s="32"/>
      <c r="NTH50" s="32"/>
      <c r="NTI50" s="32"/>
      <c r="NTJ50" s="32"/>
      <c r="NTK50" s="32"/>
      <c r="NTL50" s="32"/>
      <c r="NTM50" s="32"/>
      <c r="NTN50" s="32"/>
      <c r="NTO50" s="32"/>
      <c r="NTP50" s="32"/>
      <c r="NTQ50" s="32"/>
      <c r="NTR50" s="32"/>
      <c r="NTS50" s="32"/>
      <c r="NTT50" s="32"/>
      <c r="NTU50" s="32"/>
      <c r="NTV50" s="32"/>
      <c r="NTW50" s="32"/>
      <c r="NTX50" s="32"/>
      <c r="NTY50" s="32"/>
      <c r="NTZ50" s="32"/>
      <c r="NUA50" s="32"/>
      <c r="NUB50" s="32"/>
      <c r="NUC50" s="32"/>
      <c r="NUD50" s="32"/>
      <c r="NUE50" s="32"/>
      <c r="NUF50" s="32"/>
      <c r="NUG50" s="32"/>
      <c r="NUH50" s="32"/>
      <c r="NUI50" s="32"/>
      <c r="NUJ50" s="32"/>
      <c r="NUK50" s="32"/>
      <c r="NUL50" s="32"/>
      <c r="NUM50" s="32"/>
      <c r="NUN50" s="32"/>
      <c r="NUO50" s="32"/>
      <c r="NUP50" s="32"/>
      <c r="NUQ50" s="32"/>
      <c r="NUR50" s="32"/>
      <c r="NUS50" s="32"/>
      <c r="NUT50" s="32"/>
      <c r="NUU50" s="32"/>
      <c r="NUV50" s="32"/>
      <c r="NUW50" s="32"/>
      <c r="NUX50" s="32"/>
      <c r="NUY50" s="32"/>
      <c r="NUZ50" s="32"/>
      <c r="NVA50" s="32"/>
      <c r="NVB50" s="32"/>
      <c r="NVC50" s="32"/>
      <c r="NVD50" s="32"/>
      <c r="NVE50" s="32"/>
      <c r="NVF50" s="32"/>
      <c r="NVG50" s="32"/>
      <c r="NVH50" s="32"/>
      <c r="NVI50" s="32"/>
      <c r="NVJ50" s="32"/>
      <c r="NVK50" s="32"/>
      <c r="NVL50" s="32"/>
      <c r="NVM50" s="32"/>
      <c r="NVN50" s="32"/>
      <c r="NVO50" s="32"/>
      <c r="NVP50" s="32"/>
      <c r="NVQ50" s="32"/>
      <c r="NVR50" s="32"/>
      <c r="NVS50" s="32"/>
      <c r="NVT50" s="32"/>
      <c r="NVU50" s="32"/>
      <c r="NVV50" s="32"/>
      <c r="NVW50" s="32"/>
      <c r="NVX50" s="32"/>
      <c r="NVY50" s="32"/>
      <c r="NVZ50" s="32"/>
      <c r="NWA50" s="32"/>
      <c r="NWB50" s="32"/>
      <c r="NWC50" s="32"/>
      <c r="NWD50" s="32"/>
      <c r="NWE50" s="32"/>
      <c r="NWF50" s="32"/>
      <c r="NWG50" s="32"/>
      <c r="NWH50" s="32"/>
      <c r="NWI50" s="32"/>
      <c r="NWJ50" s="32"/>
      <c r="NWK50" s="32"/>
      <c r="NWL50" s="32"/>
      <c r="NWM50" s="32"/>
      <c r="NWN50" s="32"/>
      <c r="NWO50" s="32"/>
      <c r="NWP50" s="32"/>
      <c r="NWQ50" s="32"/>
      <c r="NWR50" s="32"/>
      <c r="NWS50" s="32"/>
      <c r="NWT50" s="32"/>
      <c r="NWU50" s="32"/>
      <c r="NWV50" s="32"/>
      <c r="NWW50" s="32"/>
      <c r="NWX50" s="32"/>
      <c r="NWY50" s="32"/>
      <c r="NWZ50" s="32"/>
      <c r="NXA50" s="32"/>
      <c r="NXB50" s="32"/>
      <c r="NXC50" s="32"/>
      <c r="NXD50" s="32"/>
      <c r="NXE50" s="32"/>
      <c r="NXF50" s="32"/>
      <c r="NXG50" s="32"/>
      <c r="NXH50" s="32"/>
      <c r="NXI50" s="32"/>
      <c r="NXJ50" s="32"/>
      <c r="NXK50" s="32"/>
      <c r="NXL50" s="32"/>
      <c r="NXM50" s="32"/>
      <c r="NXN50" s="32"/>
      <c r="NXO50" s="32"/>
      <c r="NXP50" s="32"/>
      <c r="NXQ50" s="32"/>
      <c r="NXR50" s="32"/>
      <c r="NXS50" s="32"/>
      <c r="NXT50" s="32"/>
      <c r="NXU50" s="32"/>
      <c r="NXV50" s="32"/>
      <c r="NXW50" s="32"/>
      <c r="NXX50" s="32"/>
      <c r="NXY50" s="32"/>
      <c r="NXZ50" s="32"/>
      <c r="NYA50" s="32"/>
      <c r="NYB50" s="32"/>
      <c r="NYC50" s="32"/>
      <c r="NYD50" s="32"/>
      <c r="NYE50" s="32"/>
      <c r="NYF50" s="32"/>
      <c r="NYG50" s="32"/>
      <c r="NYH50" s="32"/>
      <c r="NYI50" s="32"/>
      <c r="NYJ50" s="32"/>
      <c r="NYK50" s="32"/>
      <c r="NYL50" s="32"/>
      <c r="NYM50" s="32"/>
      <c r="NYN50" s="32"/>
      <c r="NYO50" s="32"/>
      <c r="NYP50" s="32"/>
      <c r="NYQ50" s="32"/>
      <c r="NYR50" s="32"/>
      <c r="NYS50" s="32"/>
      <c r="NYT50" s="32"/>
      <c r="NYU50" s="32"/>
      <c r="NYV50" s="32"/>
      <c r="NYW50" s="32"/>
      <c r="NYX50" s="32"/>
      <c r="NYY50" s="32"/>
      <c r="NYZ50" s="32"/>
      <c r="NZA50" s="32"/>
      <c r="NZB50" s="32"/>
      <c r="NZC50" s="32"/>
      <c r="NZD50" s="32"/>
      <c r="NZE50" s="32"/>
      <c r="NZF50" s="32"/>
      <c r="NZG50" s="32"/>
      <c r="NZH50" s="32"/>
      <c r="NZI50" s="32"/>
      <c r="NZJ50" s="32"/>
      <c r="NZK50" s="32"/>
      <c r="NZL50" s="32"/>
      <c r="NZM50" s="32"/>
      <c r="NZN50" s="32"/>
      <c r="NZO50" s="32"/>
      <c r="NZP50" s="32"/>
      <c r="NZQ50" s="32"/>
      <c r="NZR50" s="32"/>
      <c r="NZS50" s="32"/>
      <c r="NZT50" s="32"/>
      <c r="NZU50" s="32"/>
      <c r="NZV50" s="32"/>
      <c r="NZW50" s="32"/>
      <c r="NZX50" s="32"/>
      <c r="NZY50" s="32"/>
      <c r="NZZ50" s="32"/>
      <c r="OAA50" s="32"/>
      <c r="OAB50" s="32"/>
      <c r="OAC50" s="32"/>
      <c r="OAD50" s="32"/>
      <c r="OAE50" s="32"/>
      <c r="OAF50" s="32"/>
      <c r="OAG50" s="32"/>
      <c r="OAH50" s="32"/>
      <c r="OAI50" s="32"/>
      <c r="OAJ50" s="32"/>
      <c r="OAK50" s="32"/>
      <c r="OAL50" s="32"/>
      <c r="OAM50" s="32"/>
      <c r="OAN50" s="32"/>
      <c r="OAO50" s="32"/>
      <c r="OAP50" s="32"/>
      <c r="OAQ50" s="32"/>
      <c r="OAR50" s="32"/>
      <c r="OAS50" s="32"/>
      <c r="OAT50" s="32"/>
      <c r="OAU50" s="32"/>
      <c r="OAV50" s="32"/>
      <c r="OAW50" s="32"/>
      <c r="OAX50" s="32"/>
      <c r="OAY50" s="32"/>
      <c r="OAZ50" s="32"/>
      <c r="OBA50" s="32"/>
      <c r="OBB50" s="32"/>
      <c r="OBC50" s="32"/>
      <c r="OBD50" s="32"/>
      <c r="OBE50" s="32"/>
      <c r="OBF50" s="32"/>
      <c r="OBG50" s="32"/>
      <c r="OBH50" s="32"/>
      <c r="OBI50" s="32"/>
      <c r="OBJ50" s="32"/>
      <c r="OBK50" s="32"/>
      <c r="OBL50" s="32"/>
      <c r="OBM50" s="32"/>
      <c r="OBN50" s="32"/>
      <c r="OBO50" s="32"/>
      <c r="OBP50" s="32"/>
      <c r="OBQ50" s="32"/>
      <c r="OBR50" s="32"/>
      <c r="OBS50" s="32"/>
      <c r="OBT50" s="32"/>
      <c r="OBU50" s="32"/>
      <c r="OBV50" s="32"/>
      <c r="OBW50" s="32"/>
      <c r="OBX50" s="32"/>
      <c r="OBY50" s="32"/>
      <c r="OBZ50" s="32"/>
      <c r="OCA50" s="32"/>
      <c r="OCB50" s="32"/>
      <c r="OCC50" s="32"/>
      <c r="OCD50" s="32"/>
      <c r="OCE50" s="32"/>
      <c r="OCF50" s="32"/>
      <c r="OCG50" s="32"/>
      <c r="OCH50" s="32"/>
      <c r="OCI50" s="32"/>
      <c r="OCJ50" s="32"/>
      <c r="OCK50" s="32"/>
      <c r="OCL50" s="32"/>
      <c r="OCM50" s="32"/>
      <c r="OCN50" s="32"/>
      <c r="OCO50" s="32"/>
      <c r="OCP50" s="32"/>
      <c r="OCQ50" s="32"/>
      <c r="OCR50" s="32"/>
      <c r="OCS50" s="32"/>
      <c r="OCT50" s="32"/>
      <c r="OCU50" s="32"/>
      <c r="OCV50" s="32"/>
      <c r="OCW50" s="32"/>
      <c r="OCX50" s="32"/>
      <c r="OCY50" s="32"/>
      <c r="OCZ50" s="32"/>
      <c r="ODA50" s="32"/>
      <c r="ODB50" s="32"/>
      <c r="ODC50" s="32"/>
      <c r="ODD50" s="32"/>
      <c r="ODE50" s="32"/>
      <c r="ODF50" s="32"/>
      <c r="ODG50" s="32"/>
      <c r="ODH50" s="32"/>
      <c r="ODI50" s="32"/>
      <c r="ODJ50" s="32"/>
      <c r="ODK50" s="32"/>
      <c r="ODL50" s="32"/>
      <c r="ODM50" s="32"/>
      <c r="ODN50" s="32"/>
      <c r="ODO50" s="32"/>
      <c r="ODP50" s="32"/>
      <c r="ODQ50" s="32"/>
      <c r="ODR50" s="32"/>
      <c r="ODS50" s="32"/>
      <c r="ODT50" s="32"/>
      <c r="ODU50" s="32"/>
      <c r="ODV50" s="32"/>
      <c r="ODW50" s="32"/>
      <c r="ODX50" s="32"/>
      <c r="ODY50" s="32"/>
      <c r="ODZ50" s="32"/>
      <c r="OEA50" s="32"/>
      <c r="OEB50" s="32"/>
      <c r="OEC50" s="32"/>
      <c r="OED50" s="32"/>
      <c r="OEE50" s="32"/>
      <c r="OEF50" s="32"/>
      <c r="OEG50" s="32"/>
      <c r="OEH50" s="32"/>
      <c r="OEI50" s="32"/>
      <c r="OEJ50" s="32"/>
      <c r="OEK50" s="32"/>
      <c r="OEL50" s="32"/>
      <c r="OEM50" s="32"/>
      <c r="OEN50" s="32"/>
      <c r="OEO50" s="32"/>
      <c r="OEP50" s="32"/>
      <c r="OEQ50" s="32"/>
      <c r="OER50" s="32"/>
      <c r="OES50" s="32"/>
      <c r="OET50" s="32"/>
      <c r="OEU50" s="32"/>
      <c r="OEV50" s="32"/>
      <c r="OEW50" s="32"/>
      <c r="OEX50" s="32"/>
      <c r="OEY50" s="32"/>
      <c r="OEZ50" s="32"/>
      <c r="OFA50" s="32"/>
      <c r="OFB50" s="32"/>
      <c r="OFC50" s="32"/>
      <c r="OFD50" s="32"/>
      <c r="OFE50" s="32"/>
      <c r="OFF50" s="32"/>
      <c r="OFG50" s="32"/>
      <c r="OFH50" s="32"/>
      <c r="OFI50" s="32"/>
      <c r="OFJ50" s="32"/>
      <c r="OFK50" s="32"/>
      <c r="OFL50" s="32"/>
      <c r="OFM50" s="32"/>
      <c r="OFN50" s="32"/>
      <c r="OFO50" s="32"/>
      <c r="OFP50" s="32"/>
      <c r="OFQ50" s="32"/>
      <c r="OFR50" s="32"/>
      <c r="OFS50" s="32"/>
      <c r="OFT50" s="32"/>
      <c r="OFU50" s="32"/>
      <c r="OFV50" s="32"/>
      <c r="OFW50" s="32"/>
      <c r="OFX50" s="32"/>
      <c r="OFY50" s="32"/>
      <c r="OFZ50" s="32"/>
      <c r="OGA50" s="32"/>
      <c r="OGB50" s="32"/>
      <c r="OGC50" s="32"/>
      <c r="OGD50" s="32"/>
      <c r="OGE50" s="32"/>
      <c r="OGF50" s="32"/>
      <c r="OGG50" s="32"/>
      <c r="OGH50" s="32"/>
      <c r="OGI50" s="32"/>
      <c r="OGJ50" s="32"/>
      <c r="OGK50" s="32"/>
      <c r="OGL50" s="32"/>
      <c r="OGM50" s="32"/>
      <c r="OGN50" s="32"/>
      <c r="OGO50" s="32"/>
      <c r="OGP50" s="32"/>
      <c r="OGQ50" s="32"/>
      <c r="OGR50" s="32"/>
      <c r="OGS50" s="32"/>
      <c r="OGT50" s="32"/>
      <c r="OGU50" s="32"/>
      <c r="OGV50" s="32"/>
      <c r="OGW50" s="32"/>
      <c r="OGX50" s="32"/>
      <c r="OGY50" s="32"/>
      <c r="OGZ50" s="32"/>
      <c r="OHA50" s="32"/>
      <c r="OHB50" s="32"/>
      <c r="OHC50" s="32"/>
      <c r="OHD50" s="32"/>
      <c r="OHE50" s="32"/>
      <c r="OHF50" s="32"/>
      <c r="OHG50" s="32"/>
      <c r="OHH50" s="32"/>
      <c r="OHI50" s="32"/>
      <c r="OHJ50" s="32"/>
      <c r="OHK50" s="32"/>
      <c r="OHL50" s="32"/>
      <c r="OHM50" s="32"/>
      <c r="OHN50" s="32"/>
      <c r="OHO50" s="32"/>
      <c r="OHP50" s="32"/>
      <c r="OHQ50" s="32"/>
      <c r="OHR50" s="32"/>
      <c r="OHS50" s="32"/>
      <c r="OHT50" s="32"/>
      <c r="OHU50" s="32"/>
      <c r="OHV50" s="32"/>
      <c r="OHW50" s="32"/>
      <c r="OHX50" s="32"/>
      <c r="OHY50" s="32"/>
      <c r="OHZ50" s="32"/>
      <c r="OIA50" s="32"/>
      <c r="OIB50" s="32"/>
      <c r="OIC50" s="32"/>
      <c r="OID50" s="32"/>
      <c r="OIE50" s="32"/>
      <c r="OIF50" s="32"/>
      <c r="OIG50" s="32"/>
      <c r="OIH50" s="32"/>
      <c r="OII50" s="32"/>
      <c r="OIJ50" s="32"/>
      <c r="OIK50" s="32"/>
      <c r="OIL50" s="32"/>
      <c r="OIM50" s="32"/>
      <c r="OIN50" s="32"/>
      <c r="OIO50" s="32"/>
      <c r="OIP50" s="32"/>
      <c r="OIQ50" s="32"/>
      <c r="OIR50" s="32"/>
      <c r="OIS50" s="32"/>
      <c r="OIT50" s="32"/>
      <c r="OIU50" s="32"/>
      <c r="OIV50" s="32"/>
      <c r="OIW50" s="32"/>
      <c r="OIX50" s="32"/>
      <c r="OIY50" s="32"/>
      <c r="OIZ50" s="32"/>
      <c r="OJA50" s="32"/>
      <c r="OJB50" s="32"/>
      <c r="OJC50" s="32"/>
      <c r="OJD50" s="32"/>
      <c r="OJE50" s="32"/>
      <c r="OJF50" s="32"/>
      <c r="OJG50" s="32"/>
      <c r="OJH50" s="32"/>
      <c r="OJI50" s="32"/>
      <c r="OJJ50" s="32"/>
      <c r="OJK50" s="32"/>
      <c r="OJL50" s="32"/>
      <c r="OJM50" s="32"/>
      <c r="OJN50" s="32"/>
      <c r="OJO50" s="32"/>
      <c r="OJP50" s="32"/>
      <c r="OJQ50" s="32"/>
      <c r="OJR50" s="32"/>
      <c r="OJS50" s="32"/>
      <c r="OJT50" s="32"/>
      <c r="OJU50" s="32"/>
      <c r="OJV50" s="32"/>
      <c r="OJW50" s="32"/>
      <c r="OJX50" s="32"/>
      <c r="OJY50" s="32"/>
      <c r="OJZ50" s="32"/>
      <c r="OKA50" s="32"/>
      <c r="OKB50" s="32"/>
      <c r="OKC50" s="32"/>
      <c r="OKD50" s="32"/>
      <c r="OKE50" s="32"/>
      <c r="OKF50" s="32"/>
      <c r="OKG50" s="32"/>
      <c r="OKH50" s="32"/>
      <c r="OKI50" s="32"/>
      <c r="OKJ50" s="32"/>
      <c r="OKK50" s="32"/>
      <c r="OKL50" s="32"/>
      <c r="OKM50" s="32"/>
      <c r="OKN50" s="32"/>
      <c r="OKO50" s="32"/>
      <c r="OKP50" s="32"/>
      <c r="OKQ50" s="32"/>
      <c r="OKR50" s="32"/>
      <c r="OKS50" s="32"/>
      <c r="OKT50" s="32"/>
      <c r="OKU50" s="32"/>
      <c r="OKV50" s="32"/>
      <c r="OKW50" s="32"/>
      <c r="OKX50" s="32"/>
      <c r="OKY50" s="32"/>
      <c r="OKZ50" s="32"/>
      <c r="OLA50" s="32"/>
      <c r="OLB50" s="32"/>
      <c r="OLC50" s="32"/>
      <c r="OLD50" s="32"/>
      <c r="OLE50" s="32"/>
      <c r="OLF50" s="32"/>
      <c r="OLG50" s="32"/>
      <c r="OLH50" s="32"/>
      <c r="OLI50" s="32"/>
      <c r="OLJ50" s="32"/>
      <c r="OLK50" s="32"/>
      <c r="OLL50" s="32"/>
      <c r="OLM50" s="32"/>
      <c r="OLN50" s="32"/>
      <c r="OLO50" s="32"/>
      <c r="OLP50" s="32"/>
      <c r="OLQ50" s="32"/>
      <c r="OLR50" s="32"/>
      <c r="OLS50" s="32"/>
      <c r="OLT50" s="32"/>
      <c r="OLU50" s="32"/>
      <c r="OLV50" s="32"/>
      <c r="OLW50" s="32"/>
      <c r="OLX50" s="32"/>
      <c r="OLY50" s="32"/>
      <c r="OLZ50" s="32"/>
      <c r="OMA50" s="32"/>
      <c r="OMB50" s="32"/>
      <c r="OMC50" s="32"/>
      <c r="OMD50" s="32"/>
      <c r="OME50" s="32"/>
      <c r="OMF50" s="32"/>
      <c r="OMG50" s="32"/>
      <c r="OMH50" s="32"/>
      <c r="OMI50" s="32"/>
      <c r="OMJ50" s="32"/>
      <c r="OMK50" s="32"/>
      <c r="OML50" s="32"/>
      <c r="OMM50" s="32"/>
      <c r="OMN50" s="32"/>
      <c r="OMO50" s="32"/>
      <c r="OMP50" s="32"/>
      <c r="OMQ50" s="32"/>
      <c r="OMR50" s="32"/>
      <c r="OMS50" s="32"/>
      <c r="OMT50" s="32"/>
      <c r="OMU50" s="32"/>
      <c r="OMV50" s="32"/>
      <c r="OMW50" s="32"/>
      <c r="OMX50" s="32"/>
      <c r="OMY50" s="32"/>
      <c r="OMZ50" s="32"/>
      <c r="ONA50" s="32"/>
      <c r="ONB50" s="32"/>
      <c r="ONC50" s="32"/>
      <c r="OND50" s="32"/>
      <c r="ONE50" s="32"/>
      <c r="ONF50" s="32"/>
      <c r="ONG50" s="32"/>
      <c r="ONH50" s="32"/>
      <c r="ONI50" s="32"/>
      <c r="ONJ50" s="32"/>
      <c r="ONK50" s="32"/>
      <c r="ONL50" s="32"/>
      <c r="ONM50" s="32"/>
      <c r="ONN50" s="32"/>
      <c r="ONO50" s="32"/>
      <c r="ONP50" s="32"/>
      <c r="ONQ50" s="32"/>
      <c r="ONR50" s="32"/>
      <c r="ONS50" s="32"/>
      <c r="ONT50" s="32"/>
      <c r="ONU50" s="32"/>
      <c r="ONV50" s="32"/>
      <c r="ONW50" s="32"/>
      <c r="ONX50" s="32"/>
      <c r="ONY50" s="32"/>
      <c r="ONZ50" s="32"/>
      <c r="OOA50" s="32"/>
      <c r="OOB50" s="32"/>
      <c r="OOC50" s="32"/>
      <c r="OOD50" s="32"/>
      <c r="OOE50" s="32"/>
      <c r="OOF50" s="32"/>
      <c r="OOG50" s="32"/>
      <c r="OOH50" s="32"/>
      <c r="OOI50" s="32"/>
      <c r="OOJ50" s="32"/>
      <c r="OOK50" s="32"/>
      <c r="OOL50" s="32"/>
      <c r="OOM50" s="32"/>
      <c r="OON50" s="32"/>
      <c r="OOO50" s="32"/>
      <c r="OOP50" s="32"/>
      <c r="OOQ50" s="32"/>
      <c r="OOR50" s="32"/>
      <c r="OOS50" s="32"/>
      <c r="OOT50" s="32"/>
      <c r="OOU50" s="32"/>
      <c r="OOV50" s="32"/>
      <c r="OOW50" s="32"/>
      <c r="OOX50" s="32"/>
      <c r="OOY50" s="32"/>
      <c r="OOZ50" s="32"/>
      <c r="OPA50" s="32"/>
      <c r="OPB50" s="32"/>
      <c r="OPC50" s="32"/>
      <c r="OPD50" s="32"/>
      <c r="OPE50" s="32"/>
      <c r="OPF50" s="32"/>
      <c r="OPG50" s="32"/>
      <c r="OPH50" s="32"/>
      <c r="OPI50" s="32"/>
      <c r="OPJ50" s="32"/>
      <c r="OPK50" s="32"/>
      <c r="OPL50" s="32"/>
      <c r="OPM50" s="32"/>
      <c r="OPN50" s="32"/>
      <c r="OPO50" s="32"/>
      <c r="OPP50" s="32"/>
      <c r="OPQ50" s="32"/>
      <c r="OPR50" s="32"/>
      <c r="OPS50" s="32"/>
      <c r="OPT50" s="32"/>
      <c r="OPU50" s="32"/>
      <c r="OPV50" s="32"/>
      <c r="OPW50" s="32"/>
      <c r="OPX50" s="32"/>
      <c r="OPY50" s="32"/>
      <c r="OPZ50" s="32"/>
      <c r="OQA50" s="32"/>
      <c r="OQB50" s="32"/>
      <c r="OQC50" s="32"/>
      <c r="OQD50" s="32"/>
      <c r="OQE50" s="32"/>
      <c r="OQF50" s="32"/>
      <c r="OQG50" s="32"/>
      <c r="OQH50" s="32"/>
      <c r="OQI50" s="32"/>
      <c r="OQJ50" s="32"/>
      <c r="OQK50" s="32"/>
      <c r="OQL50" s="32"/>
      <c r="OQM50" s="32"/>
      <c r="OQN50" s="32"/>
      <c r="OQO50" s="32"/>
      <c r="OQP50" s="32"/>
      <c r="OQQ50" s="32"/>
      <c r="OQR50" s="32"/>
      <c r="OQS50" s="32"/>
      <c r="OQT50" s="32"/>
      <c r="OQU50" s="32"/>
      <c r="OQV50" s="32"/>
      <c r="OQW50" s="32"/>
      <c r="OQX50" s="32"/>
      <c r="OQY50" s="32"/>
      <c r="OQZ50" s="32"/>
      <c r="ORA50" s="32"/>
      <c r="ORB50" s="32"/>
      <c r="ORC50" s="32"/>
      <c r="ORD50" s="32"/>
      <c r="ORE50" s="32"/>
      <c r="ORF50" s="32"/>
      <c r="ORG50" s="32"/>
      <c r="ORH50" s="32"/>
      <c r="ORI50" s="32"/>
      <c r="ORJ50" s="32"/>
      <c r="ORK50" s="32"/>
      <c r="ORL50" s="32"/>
      <c r="ORM50" s="32"/>
      <c r="ORN50" s="32"/>
      <c r="ORO50" s="32"/>
      <c r="ORP50" s="32"/>
      <c r="ORQ50" s="32"/>
      <c r="ORR50" s="32"/>
      <c r="ORS50" s="32"/>
      <c r="ORT50" s="32"/>
      <c r="ORU50" s="32"/>
      <c r="ORV50" s="32"/>
      <c r="ORW50" s="32"/>
      <c r="ORX50" s="32"/>
      <c r="ORY50" s="32"/>
      <c r="ORZ50" s="32"/>
      <c r="OSA50" s="32"/>
      <c r="OSB50" s="32"/>
      <c r="OSC50" s="32"/>
      <c r="OSD50" s="32"/>
      <c r="OSE50" s="32"/>
      <c r="OSF50" s="32"/>
      <c r="OSG50" s="32"/>
      <c r="OSH50" s="32"/>
      <c r="OSI50" s="32"/>
      <c r="OSJ50" s="32"/>
      <c r="OSK50" s="32"/>
      <c r="OSL50" s="32"/>
      <c r="OSM50" s="32"/>
      <c r="OSN50" s="32"/>
      <c r="OSO50" s="32"/>
      <c r="OSP50" s="32"/>
      <c r="OSQ50" s="32"/>
      <c r="OSR50" s="32"/>
      <c r="OSS50" s="32"/>
      <c r="OST50" s="32"/>
      <c r="OSU50" s="32"/>
      <c r="OSV50" s="32"/>
      <c r="OSW50" s="32"/>
      <c r="OSX50" s="32"/>
      <c r="OSY50" s="32"/>
      <c r="OSZ50" s="32"/>
      <c r="OTA50" s="32"/>
      <c r="OTB50" s="32"/>
      <c r="OTC50" s="32"/>
      <c r="OTD50" s="32"/>
      <c r="OTE50" s="32"/>
      <c r="OTF50" s="32"/>
      <c r="OTG50" s="32"/>
      <c r="OTH50" s="32"/>
      <c r="OTI50" s="32"/>
      <c r="OTJ50" s="32"/>
      <c r="OTK50" s="32"/>
      <c r="OTL50" s="32"/>
      <c r="OTM50" s="32"/>
      <c r="OTN50" s="32"/>
      <c r="OTO50" s="32"/>
      <c r="OTP50" s="32"/>
      <c r="OTQ50" s="32"/>
      <c r="OTR50" s="32"/>
      <c r="OTS50" s="32"/>
      <c r="OTT50" s="32"/>
      <c r="OTU50" s="32"/>
      <c r="OTV50" s="32"/>
      <c r="OTW50" s="32"/>
      <c r="OTX50" s="32"/>
      <c r="OTY50" s="32"/>
      <c r="OTZ50" s="32"/>
      <c r="OUA50" s="32"/>
      <c r="OUB50" s="32"/>
      <c r="OUC50" s="32"/>
      <c r="OUD50" s="32"/>
      <c r="OUE50" s="32"/>
      <c r="OUF50" s="32"/>
      <c r="OUG50" s="32"/>
      <c r="OUH50" s="32"/>
      <c r="OUI50" s="32"/>
      <c r="OUJ50" s="32"/>
      <c r="OUK50" s="32"/>
      <c r="OUL50" s="32"/>
      <c r="OUM50" s="32"/>
      <c r="OUN50" s="32"/>
      <c r="OUO50" s="32"/>
      <c r="OUP50" s="32"/>
      <c r="OUQ50" s="32"/>
      <c r="OUR50" s="32"/>
      <c r="OUS50" s="32"/>
      <c r="OUT50" s="32"/>
      <c r="OUU50" s="32"/>
      <c r="OUV50" s="32"/>
      <c r="OUW50" s="32"/>
      <c r="OUX50" s="32"/>
      <c r="OUY50" s="32"/>
      <c r="OUZ50" s="32"/>
      <c r="OVA50" s="32"/>
      <c r="OVB50" s="32"/>
      <c r="OVC50" s="32"/>
      <c r="OVD50" s="32"/>
      <c r="OVE50" s="32"/>
      <c r="OVF50" s="32"/>
      <c r="OVG50" s="32"/>
      <c r="OVH50" s="32"/>
      <c r="OVI50" s="32"/>
      <c r="OVJ50" s="32"/>
      <c r="OVK50" s="32"/>
      <c r="OVL50" s="32"/>
      <c r="OVM50" s="32"/>
      <c r="OVN50" s="32"/>
      <c r="OVO50" s="32"/>
      <c r="OVP50" s="32"/>
      <c r="OVQ50" s="32"/>
      <c r="OVR50" s="32"/>
      <c r="OVS50" s="32"/>
      <c r="OVT50" s="32"/>
      <c r="OVU50" s="32"/>
      <c r="OVV50" s="32"/>
      <c r="OVW50" s="32"/>
      <c r="OVX50" s="32"/>
      <c r="OVY50" s="32"/>
      <c r="OVZ50" s="32"/>
      <c r="OWA50" s="32"/>
      <c r="OWB50" s="32"/>
      <c r="OWC50" s="32"/>
      <c r="OWD50" s="32"/>
      <c r="OWE50" s="32"/>
      <c r="OWF50" s="32"/>
      <c r="OWG50" s="32"/>
      <c r="OWH50" s="32"/>
      <c r="OWI50" s="32"/>
      <c r="OWJ50" s="32"/>
      <c r="OWK50" s="32"/>
      <c r="OWL50" s="32"/>
      <c r="OWM50" s="32"/>
      <c r="OWN50" s="32"/>
      <c r="OWO50" s="32"/>
      <c r="OWP50" s="32"/>
      <c r="OWQ50" s="32"/>
      <c r="OWR50" s="32"/>
      <c r="OWS50" s="32"/>
      <c r="OWT50" s="32"/>
      <c r="OWU50" s="32"/>
      <c r="OWV50" s="32"/>
      <c r="OWW50" s="32"/>
      <c r="OWX50" s="32"/>
      <c r="OWY50" s="32"/>
      <c r="OWZ50" s="32"/>
      <c r="OXA50" s="32"/>
      <c r="OXB50" s="32"/>
      <c r="OXC50" s="32"/>
      <c r="OXD50" s="32"/>
      <c r="OXE50" s="32"/>
      <c r="OXF50" s="32"/>
      <c r="OXG50" s="32"/>
      <c r="OXH50" s="32"/>
      <c r="OXI50" s="32"/>
      <c r="OXJ50" s="32"/>
      <c r="OXK50" s="32"/>
      <c r="OXL50" s="32"/>
      <c r="OXM50" s="32"/>
      <c r="OXN50" s="32"/>
      <c r="OXO50" s="32"/>
      <c r="OXP50" s="32"/>
      <c r="OXQ50" s="32"/>
      <c r="OXR50" s="32"/>
      <c r="OXS50" s="32"/>
      <c r="OXT50" s="32"/>
      <c r="OXU50" s="32"/>
      <c r="OXV50" s="32"/>
      <c r="OXW50" s="32"/>
      <c r="OXX50" s="32"/>
      <c r="OXY50" s="32"/>
      <c r="OXZ50" s="32"/>
      <c r="OYA50" s="32"/>
      <c r="OYB50" s="32"/>
      <c r="OYC50" s="32"/>
      <c r="OYD50" s="32"/>
      <c r="OYE50" s="32"/>
      <c r="OYF50" s="32"/>
      <c r="OYG50" s="32"/>
      <c r="OYH50" s="32"/>
      <c r="OYI50" s="32"/>
      <c r="OYJ50" s="32"/>
      <c r="OYK50" s="32"/>
      <c r="OYL50" s="32"/>
      <c r="OYM50" s="32"/>
      <c r="OYN50" s="32"/>
      <c r="OYO50" s="32"/>
      <c r="OYP50" s="32"/>
      <c r="OYQ50" s="32"/>
      <c r="OYR50" s="32"/>
      <c r="OYS50" s="32"/>
      <c r="OYT50" s="32"/>
      <c r="OYU50" s="32"/>
      <c r="OYV50" s="32"/>
      <c r="OYW50" s="32"/>
      <c r="OYX50" s="32"/>
      <c r="OYY50" s="32"/>
      <c r="OYZ50" s="32"/>
      <c r="OZA50" s="32"/>
      <c r="OZB50" s="32"/>
      <c r="OZC50" s="32"/>
      <c r="OZD50" s="32"/>
      <c r="OZE50" s="32"/>
      <c r="OZF50" s="32"/>
      <c r="OZG50" s="32"/>
      <c r="OZH50" s="32"/>
      <c r="OZI50" s="32"/>
      <c r="OZJ50" s="32"/>
      <c r="OZK50" s="32"/>
      <c r="OZL50" s="32"/>
      <c r="OZM50" s="32"/>
      <c r="OZN50" s="32"/>
      <c r="OZO50" s="32"/>
      <c r="OZP50" s="32"/>
      <c r="OZQ50" s="32"/>
      <c r="OZR50" s="32"/>
      <c r="OZS50" s="32"/>
      <c r="OZT50" s="32"/>
      <c r="OZU50" s="32"/>
      <c r="OZV50" s="32"/>
      <c r="OZW50" s="32"/>
      <c r="OZX50" s="32"/>
      <c r="OZY50" s="32"/>
      <c r="OZZ50" s="32"/>
      <c r="PAA50" s="32"/>
      <c r="PAB50" s="32"/>
      <c r="PAC50" s="32"/>
      <c r="PAD50" s="32"/>
      <c r="PAE50" s="32"/>
      <c r="PAF50" s="32"/>
      <c r="PAG50" s="32"/>
      <c r="PAH50" s="32"/>
      <c r="PAI50" s="32"/>
      <c r="PAJ50" s="32"/>
      <c r="PAK50" s="32"/>
      <c r="PAL50" s="32"/>
      <c r="PAM50" s="32"/>
      <c r="PAN50" s="32"/>
      <c r="PAO50" s="32"/>
      <c r="PAP50" s="32"/>
      <c r="PAQ50" s="32"/>
      <c r="PAR50" s="32"/>
      <c r="PAS50" s="32"/>
      <c r="PAT50" s="32"/>
      <c r="PAU50" s="32"/>
      <c r="PAV50" s="32"/>
      <c r="PAW50" s="32"/>
      <c r="PAX50" s="32"/>
      <c r="PAY50" s="32"/>
      <c r="PAZ50" s="32"/>
      <c r="PBA50" s="32"/>
      <c r="PBB50" s="32"/>
      <c r="PBC50" s="32"/>
      <c r="PBD50" s="32"/>
      <c r="PBE50" s="32"/>
      <c r="PBF50" s="32"/>
      <c r="PBG50" s="32"/>
      <c r="PBH50" s="32"/>
      <c r="PBI50" s="32"/>
      <c r="PBJ50" s="32"/>
      <c r="PBK50" s="32"/>
      <c r="PBL50" s="32"/>
      <c r="PBM50" s="32"/>
      <c r="PBN50" s="32"/>
      <c r="PBO50" s="32"/>
      <c r="PBP50" s="32"/>
      <c r="PBQ50" s="32"/>
      <c r="PBR50" s="32"/>
      <c r="PBS50" s="32"/>
      <c r="PBT50" s="32"/>
      <c r="PBU50" s="32"/>
      <c r="PBV50" s="32"/>
      <c r="PBW50" s="32"/>
      <c r="PBX50" s="32"/>
      <c r="PBY50" s="32"/>
      <c r="PBZ50" s="32"/>
      <c r="PCA50" s="32"/>
      <c r="PCB50" s="32"/>
      <c r="PCC50" s="32"/>
      <c r="PCD50" s="32"/>
      <c r="PCE50" s="32"/>
      <c r="PCF50" s="32"/>
      <c r="PCG50" s="32"/>
      <c r="PCH50" s="32"/>
      <c r="PCI50" s="32"/>
      <c r="PCJ50" s="32"/>
      <c r="PCK50" s="32"/>
      <c r="PCL50" s="32"/>
      <c r="PCM50" s="32"/>
      <c r="PCN50" s="32"/>
      <c r="PCO50" s="32"/>
      <c r="PCP50" s="32"/>
      <c r="PCQ50" s="32"/>
      <c r="PCR50" s="32"/>
      <c r="PCS50" s="32"/>
      <c r="PCT50" s="32"/>
      <c r="PCU50" s="32"/>
      <c r="PCV50" s="32"/>
      <c r="PCW50" s="32"/>
      <c r="PCX50" s="32"/>
      <c r="PCY50" s="32"/>
      <c r="PCZ50" s="32"/>
      <c r="PDA50" s="32"/>
      <c r="PDB50" s="32"/>
      <c r="PDC50" s="32"/>
      <c r="PDD50" s="32"/>
      <c r="PDE50" s="32"/>
      <c r="PDF50" s="32"/>
      <c r="PDG50" s="32"/>
      <c r="PDH50" s="32"/>
      <c r="PDI50" s="32"/>
      <c r="PDJ50" s="32"/>
      <c r="PDK50" s="32"/>
      <c r="PDL50" s="32"/>
      <c r="PDM50" s="32"/>
      <c r="PDN50" s="32"/>
      <c r="PDO50" s="32"/>
      <c r="PDP50" s="32"/>
      <c r="PDQ50" s="32"/>
      <c r="PDR50" s="32"/>
      <c r="PDS50" s="32"/>
      <c r="PDT50" s="32"/>
      <c r="PDU50" s="32"/>
      <c r="PDV50" s="32"/>
      <c r="PDW50" s="32"/>
      <c r="PDX50" s="32"/>
      <c r="PDY50" s="32"/>
      <c r="PDZ50" s="32"/>
      <c r="PEA50" s="32"/>
      <c r="PEB50" s="32"/>
      <c r="PEC50" s="32"/>
      <c r="PED50" s="32"/>
      <c r="PEE50" s="32"/>
      <c r="PEF50" s="32"/>
      <c r="PEG50" s="32"/>
      <c r="PEH50" s="32"/>
      <c r="PEI50" s="32"/>
      <c r="PEJ50" s="32"/>
      <c r="PEK50" s="32"/>
      <c r="PEL50" s="32"/>
      <c r="PEM50" s="32"/>
      <c r="PEN50" s="32"/>
      <c r="PEO50" s="32"/>
      <c r="PEP50" s="32"/>
      <c r="PEQ50" s="32"/>
      <c r="PER50" s="32"/>
      <c r="PES50" s="32"/>
      <c r="PET50" s="32"/>
      <c r="PEU50" s="32"/>
      <c r="PEV50" s="32"/>
      <c r="PEW50" s="32"/>
      <c r="PEX50" s="32"/>
      <c r="PEY50" s="32"/>
      <c r="PEZ50" s="32"/>
      <c r="PFA50" s="32"/>
      <c r="PFB50" s="32"/>
      <c r="PFC50" s="32"/>
      <c r="PFD50" s="32"/>
      <c r="PFE50" s="32"/>
      <c r="PFF50" s="32"/>
      <c r="PFG50" s="32"/>
      <c r="PFH50" s="32"/>
      <c r="PFI50" s="32"/>
      <c r="PFJ50" s="32"/>
      <c r="PFK50" s="32"/>
      <c r="PFL50" s="32"/>
      <c r="PFM50" s="32"/>
      <c r="PFN50" s="32"/>
      <c r="PFO50" s="32"/>
      <c r="PFP50" s="32"/>
      <c r="PFQ50" s="32"/>
      <c r="PFR50" s="32"/>
      <c r="PFS50" s="32"/>
      <c r="PFT50" s="32"/>
      <c r="PFU50" s="32"/>
      <c r="PFV50" s="32"/>
      <c r="PFW50" s="32"/>
      <c r="PFX50" s="32"/>
      <c r="PFY50" s="32"/>
      <c r="PFZ50" s="32"/>
      <c r="PGA50" s="32"/>
      <c r="PGB50" s="32"/>
      <c r="PGC50" s="32"/>
      <c r="PGD50" s="32"/>
      <c r="PGE50" s="32"/>
      <c r="PGF50" s="32"/>
      <c r="PGG50" s="32"/>
      <c r="PGH50" s="32"/>
      <c r="PGI50" s="32"/>
      <c r="PGJ50" s="32"/>
      <c r="PGK50" s="32"/>
      <c r="PGL50" s="32"/>
      <c r="PGM50" s="32"/>
      <c r="PGN50" s="32"/>
      <c r="PGO50" s="32"/>
      <c r="PGP50" s="32"/>
      <c r="PGQ50" s="32"/>
      <c r="PGR50" s="32"/>
      <c r="PGS50" s="32"/>
      <c r="PGT50" s="32"/>
      <c r="PGU50" s="32"/>
      <c r="PGV50" s="32"/>
      <c r="PGW50" s="32"/>
      <c r="PGX50" s="32"/>
      <c r="PGY50" s="32"/>
      <c r="PGZ50" s="32"/>
      <c r="PHA50" s="32"/>
      <c r="PHB50" s="32"/>
      <c r="PHC50" s="32"/>
      <c r="PHD50" s="32"/>
      <c r="PHE50" s="32"/>
      <c r="PHF50" s="32"/>
      <c r="PHG50" s="32"/>
      <c r="PHH50" s="32"/>
      <c r="PHI50" s="32"/>
      <c r="PHJ50" s="32"/>
      <c r="PHK50" s="32"/>
      <c r="PHL50" s="32"/>
      <c r="PHM50" s="32"/>
      <c r="PHN50" s="32"/>
      <c r="PHO50" s="32"/>
      <c r="PHP50" s="32"/>
      <c r="PHQ50" s="32"/>
      <c r="PHR50" s="32"/>
      <c r="PHS50" s="32"/>
      <c r="PHT50" s="32"/>
      <c r="PHU50" s="32"/>
      <c r="PHV50" s="32"/>
      <c r="PHW50" s="32"/>
      <c r="PHX50" s="32"/>
      <c r="PHY50" s="32"/>
      <c r="PHZ50" s="32"/>
      <c r="PIA50" s="32"/>
      <c r="PIB50" s="32"/>
      <c r="PIC50" s="32"/>
      <c r="PID50" s="32"/>
      <c r="PIE50" s="32"/>
      <c r="PIF50" s="32"/>
      <c r="PIG50" s="32"/>
      <c r="PIH50" s="32"/>
      <c r="PII50" s="32"/>
      <c r="PIJ50" s="32"/>
      <c r="PIK50" s="32"/>
      <c r="PIL50" s="32"/>
      <c r="PIM50" s="32"/>
      <c r="PIN50" s="32"/>
      <c r="PIO50" s="32"/>
      <c r="PIP50" s="32"/>
      <c r="PIQ50" s="32"/>
      <c r="PIR50" s="32"/>
      <c r="PIS50" s="32"/>
      <c r="PIT50" s="32"/>
      <c r="PIU50" s="32"/>
      <c r="PIV50" s="32"/>
      <c r="PIW50" s="32"/>
      <c r="PIX50" s="32"/>
      <c r="PIY50" s="32"/>
      <c r="PIZ50" s="32"/>
      <c r="PJA50" s="32"/>
      <c r="PJB50" s="32"/>
      <c r="PJC50" s="32"/>
      <c r="PJD50" s="32"/>
      <c r="PJE50" s="32"/>
      <c r="PJF50" s="32"/>
      <c r="PJG50" s="32"/>
      <c r="PJH50" s="32"/>
      <c r="PJI50" s="32"/>
      <c r="PJJ50" s="32"/>
      <c r="PJK50" s="32"/>
      <c r="PJL50" s="32"/>
      <c r="PJM50" s="32"/>
      <c r="PJN50" s="32"/>
      <c r="PJO50" s="32"/>
      <c r="PJP50" s="32"/>
      <c r="PJQ50" s="32"/>
      <c r="PJR50" s="32"/>
      <c r="PJS50" s="32"/>
      <c r="PJT50" s="32"/>
      <c r="PJU50" s="32"/>
      <c r="PJV50" s="32"/>
      <c r="PJW50" s="32"/>
      <c r="PJX50" s="32"/>
      <c r="PJY50" s="32"/>
      <c r="PJZ50" s="32"/>
      <c r="PKA50" s="32"/>
      <c r="PKB50" s="32"/>
      <c r="PKC50" s="32"/>
      <c r="PKD50" s="32"/>
      <c r="PKE50" s="32"/>
      <c r="PKF50" s="32"/>
      <c r="PKG50" s="32"/>
      <c r="PKH50" s="32"/>
      <c r="PKI50" s="32"/>
      <c r="PKJ50" s="32"/>
      <c r="PKK50" s="32"/>
      <c r="PKL50" s="32"/>
      <c r="PKM50" s="32"/>
      <c r="PKN50" s="32"/>
      <c r="PKO50" s="32"/>
      <c r="PKP50" s="32"/>
      <c r="PKQ50" s="32"/>
      <c r="PKR50" s="32"/>
      <c r="PKS50" s="32"/>
      <c r="PKT50" s="32"/>
      <c r="PKU50" s="32"/>
      <c r="PKV50" s="32"/>
      <c r="PKW50" s="32"/>
      <c r="PKX50" s="32"/>
      <c r="PKY50" s="32"/>
      <c r="PKZ50" s="32"/>
      <c r="PLA50" s="32"/>
      <c r="PLB50" s="32"/>
      <c r="PLC50" s="32"/>
      <c r="PLD50" s="32"/>
      <c r="PLE50" s="32"/>
      <c r="PLF50" s="32"/>
      <c r="PLG50" s="32"/>
      <c r="PLH50" s="32"/>
      <c r="PLI50" s="32"/>
      <c r="PLJ50" s="32"/>
      <c r="PLK50" s="32"/>
      <c r="PLL50" s="32"/>
      <c r="PLM50" s="32"/>
      <c r="PLN50" s="32"/>
      <c r="PLO50" s="32"/>
      <c r="PLP50" s="32"/>
      <c r="PLQ50" s="32"/>
      <c r="PLR50" s="32"/>
      <c r="PLS50" s="32"/>
      <c r="PLT50" s="32"/>
      <c r="PLU50" s="32"/>
      <c r="PLV50" s="32"/>
      <c r="PLW50" s="32"/>
      <c r="PLX50" s="32"/>
      <c r="PLY50" s="32"/>
      <c r="PLZ50" s="32"/>
      <c r="PMA50" s="32"/>
      <c r="PMB50" s="32"/>
      <c r="PMC50" s="32"/>
      <c r="PMD50" s="32"/>
      <c r="PME50" s="32"/>
      <c r="PMF50" s="32"/>
      <c r="PMG50" s="32"/>
      <c r="PMH50" s="32"/>
      <c r="PMI50" s="32"/>
      <c r="PMJ50" s="32"/>
      <c r="PMK50" s="32"/>
      <c r="PML50" s="32"/>
      <c r="PMM50" s="32"/>
      <c r="PMN50" s="32"/>
      <c r="PMO50" s="32"/>
      <c r="PMP50" s="32"/>
      <c r="PMQ50" s="32"/>
      <c r="PMR50" s="32"/>
      <c r="PMS50" s="32"/>
      <c r="PMT50" s="32"/>
      <c r="PMU50" s="32"/>
      <c r="PMV50" s="32"/>
      <c r="PMW50" s="32"/>
      <c r="PMX50" s="32"/>
      <c r="PMY50" s="32"/>
      <c r="PMZ50" s="32"/>
      <c r="PNA50" s="32"/>
      <c r="PNB50" s="32"/>
      <c r="PNC50" s="32"/>
      <c r="PND50" s="32"/>
      <c r="PNE50" s="32"/>
      <c r="PNF50" s="32"/>
      <c r="PNG50" s="32"/>
      <c r="PNH50" s="32"/>
      <c r="PNI50" s="32"/>
      <c r="PNJ50" s="32"/>
      <c r="PNK50" s="32"/>
      <c r="PNL50" s="32"/>
      <c r="PNM50" s="32"/>
      <c r="PNN50" s="32"/>
      <c r="PNO50" s="32"/>
      <c r="PNP50" s="32"/>
      <c r="PNQ50" s="32"/>
      <c r="PNR50" s="32"/>
      <c r="PNS50" s="32"/>
      <c r="PNT50" s="32"/>
      <c r="PNU50" s="32"/>
      <c r="PNV50" s="32"/>
      <c r="PNW50" s="32"/>
      <c r="PNX50" s="32"/>
      <c r="PNY50" s="32"/>
      <c r="PNZ50" s="32"/>
      <c r="POA50" s="32"/>
      <c r="POB50" s="32"/>
      <c r="POC50" s="32"/>
      <c r="POD50" s="32"/>
      <c r="POE50" s="32"/>
      <c r="POF50" s="32"/>
      <c r="POG50" s="32"/>
      <c r="POH50" s="32"/>
      <c r="POI50" s="32"/>
      <c r="POJ50" s="32"/>
      <c r="POK50" s="32"/>
      <c r="POL50" s="32"/>
      <c r="POM50" s="32"/>
      <c r="PON50" s="32"/>
      <c r="POO50" s="32"/>
      <c r="POP50" s="32"/>
      <c r="POQ50" s="32"/>
      <c r="POR50" s="32"/>
      <c r="POS50" s="32"/>
      <c r="POT50" s="32"/>
      <c r="POU50" s="32"/>
      <c r="POV50" s="32"/>
      <c r="POW50" s="32"/>
      <c r="POX50" s="32"/>
      <c r="POY50" s="32"/>
      <c r="POZ50" s="32"/>
      <c r="PPA50" s="32"/>
      <c r="PPB50" s="32"/>
      <c r="PPC50" s="32"/>
      <c r="PPD50" s="32"/>
      <c r="PPE50" s="32"/>
      <c r="PPF50" s="32"/>
      <c r="PPG50" s="32"/>
      <c r="PPH50" s="32"/>
      <c r="PPI50" s="32"/>
      <c r="PPJ50" s="32"/>
      <c r="PPK50" s="32"/>
      <c r="PPL50" s="32"/>
      <c r="PPM50" s="32"/>
      <c r="PPN50" s="32"/>
      <c r="PPO50" s="32"/>
      <c r="PPP50" s="32"/>
      <c r="PPQ50" s="32"/>
      <c r="PPR50" s="32"/>
      <c r="PPS50" s="32"/>
      <c r="PPT50" s="32"/>
      <c r="PPU50" s="32"/>
      <c r="PPV50" s="32"/>
      <c r="PPW50" s="32"/>
      <c r="PPX50" s="32"/>
      <c r="PPY50" s="32"/>
      <c r="PPZ50" s="32"/>
      <c r="PQA50" s="32"/>
      <c r="PQB50" s="32"/>
      <c r="PQC50" s="32"/>
      <c r="PQD50" s="32"/>
      <c r="PQE50" s="32"/>
      <c r="PQF50" s="32"/>
      <c r="PQG50" s="32"/>
      <c r="PQH50" s="32"/>
      <c r="PQI50" s="32"/>
      <c r="PQJ50" s="32"/>
      <c r="PQK50" s="32"/>
      <c r="PQL50" s="32"/>
      <c r="PQM50" s="32"/>
      <c r="PQN50" s="32"/>
      <c r="PQO50" s="32"/>
      <c r="PQP50" s="32"/>
      <c r="PQQ50" s="32"/>
      <c r="PQR50" s="32"/>
      <c r="PQS50" s="32"/>
      <c r="PQT50" s="32"/>
      <c r="PQU50" s="32"/>
      <c r="PQV50" s="32"/>
      <c r="PQW50" s="32"/>
      <c r="PQX50" s="32"/>
      <c r="PQY50" s="32"/>
      <c r="PQZ50" s="32"/>
      <c r="PRA50" s="32"/>
      <c r="PRB50" s="32"/>
      <c r="PRC50" s="32"/>
      <c r="PRD50" s="32"/>
      <c r="PRE50" s="32"/>
      <c r="PRF50" s="32"/>
      <c r="PRG50" s="32"/>
      <c r="PRH50" s="32"/>
      <c r="PRI50" s="32"/>
      <c r="PRJ50" s="32"/>
      <c r="PRK50" s="32"/>
      <c r="PRL50" s="32"/>
      <c r="PRM50" s="32"/>
      <c r="PRN50" s="32"/>
      <c r="PRO50" s="32"/>
      <c r="PRP50" s="32"/>
      <c r="PRQ50" s="32"/>
      <c r="PRR50" s="32"/>
      <c r="PRS50" s="32"/>
      <c r="PRT50" s="32"/>
      <c r="PRU50" s="32"/>
      <c r="PRV50" s="32"/>
      <c r="PRW50" s="32"/>
      <c r="PRX50" s="32"/>
      <c r="PRY50" s="32"/>
      <c r="PRZ50" s="32"/>
      <c r="PSA50" s="32"/>
      <c r="PSB50" s="32"/>
      <c r="PSC50" s="32"/>
      <c r="PSD50" s="32"/>
      <c r="PSE50" s="32"/>
      <c r="PSF50" s="32"/>
      <c r="PSG50" s="32"/>
      <c r="PSH50" s="32"/>
      <c r="PSI50" s="32"/>
      <c r="PSJ50" s="32"/>
      <c r="PSK50" s="32"/>
      <c r="PSL50" s="32"/>
      <c r="PSM50" s="32"/>
      <c r="PSN50" s="32"/>
      <c r="PSO50" s="32"/>
      <c r="PSP50" s="32"/>
      <c r="PSQ50" s="32"/>
      <c r="PSR50" s="32"/>
      <c r="PSS50" s="32"/>
      <c r="PST50" s="32"/>
      <c r="PSU50" s="32"/>
      <c r="PSV50" s="32"/>
      <c r="PSW50" s="32"/>
      <c r="PSX50" s="32"/>
      <c r="PSY50" s="32"/>
      <c r="PSZ50" s="32"/>
      <c r="PTA50" s="32"/>
      <c r="PTB50" s="32"/>
      <c r="PTC50" s="32"/>
      <c r="PTD50" s="32"/>
      <c r="PTE50" s="32"/>
      <c r="PTF50" s="32"/>
      <c r="PTG50" s="32"/>
      <c r="PTH50" s="32"/>
      <c r="PTI50" s="32"/>
      <c r="PTJ50" s="32"/>
      <c r="PTK50" s="32"/>
      <c r="PTL50" s="32"/>
      <c r="PTM50" s="32"/>
      <c r="PTN50" s="32"/>
      <c r="PTO50" s="32"/>
      <c r="PTP50" s="32"/>
      <c r="PTQ50" s="32"/>
      <c r="PTR50" s="32"/>
      <c r="PTS50" s="32"/>
      <c r="PTT50" s="32"/>
      <c r="PTU50" s="32"/>
      <c r="PTV50" s="32"/>
      <c r="PTW50" s="32"/>
      <c r="PTX50" s="32"/>
      <c r="PTY50" s="32"/>
      <c r="PTZ50" s="32"/>
      <c r="PUA50" s="32"/>
      <c r="PUB50" s="32"/>
      <c r="PUC50" s="32"/>
      <c r="PUD50" s="32"/>
      <c r="PUE50" s="32"/>
      <c r="PUF50" s="32"/>
      <c r="PUG50" s="32"/>
      <c r="PUH50" s="32"/>
      <c r="PUI50" s="32"/>
      <c r="PUJ50" s="32"/>
      <c r="PUK50" s="32"/>
      <c r="PUL50" s="32"/>
      <c r="PUM50" s="32"/>
      <c r="PUN50" s="32"/>
      <c r="PUO50" s="32"/>
      <c r="PUP50" s="32"/>
      <c r="PUQ50" s="32"/>
      <c r="PUR50" s="32"/>
      <c r="PUS50" s="32"/>
      <c r="PUT50" s="32"/>
      <c r="PUU50" s="32"/>
      <c r="PUV50" s="32"/>
      <c r="PUW50" s="32"/>
      <c r="PUX50" s="32"/>
      <c r="PUY50" s="32"/>
      <c r="PUZ50" s="32"/>
      <c r="PVA50" s="32"/>
      <c r="PVB50" s="32"/>
      <c r="PVC50" s="32"/>
      <c r="PVD50" s="32"/>
      <c r="PVE50" s="32"/>
      <c r="PVF50" s="32"/>
      <c r="PVG50" s="32"/>
      <c r="PVH50" s="32"/>
      <c r="PVI50" s="32"/>
      <c r="PVJ50" s="32"/>
      <c r="PVK50" s="32"/>
      <c r="PVL50" s="32"/>
      <c r="PVM50" s="32"/>
      <c r="PVN50" s="32"/>
      <c r="PVO50" s="32"/>
      <c r="PVP50" s="32"/>
      <c r="PVQ50" s="32"/>
      <c r="PVR50" s="32"/>
      <c r="PVS50" s="32"/>
      <c r="PVT50" s="32"/>
      <c r="PVU50" s="32"/>
      <c r="PVV50" s="32"/>
      <c r="PVW50" s="32"/>
      <c r="PVX50" s="32"/>
      <c r="PVY50" s="32"/>
      <c r="PVZ50" s="32"/>
      <c r="PWA50" s="32"/>
      <c r="PWB50" s="32"/>
      <c r="PWC50" s="32"/>
      <c r="PWD50" s="32"/>
      <c r="PWE50" s="32"/>
      <c r="PWF50" s="32"/>
      <c r="PWG50" s="32"/>
      <c r="PWH50" s="32"/>
      <c r="PWI50" s="32"/>
      <c r="PWJ50" s="32"/>
      <c r="PWK50" s="32"/>
      <c r="PWL50" s="32"/>
      <c r="PWM50" s="32"/>
      <c r="PWN50" s="32"/>
      <c r="PWO50" s="32"/>
      <c r="PWP50" s="32"/>
      <c r="PWQ50" s="32"/>
      <c r="PWR50" s="32"/>
      <c r="PWS50" s="32"/>
      <c r="PWT50" s="32"/>
      <c r="PWU50" s="32"/>
      <c r="PWV50" s="32"/>
      <c r="PWW50" s="32"/>
      <c r="PWX50" s="32"/>
      <c r="PWY50" s="32"/>
      <c r="PWZ50" s="32"/>
      <c r="PXA50" s="32"/>
      <c r="PXB50" s="32"/>
      <c r="PXC50" s="32"/>
      <c r="PXD50" s="32"/>
      <c r="PXE50" s="32"/>
      <c r="PXF50" s="32"/>
      <c r="PXG50" s="32"/>
      <c r="PXH50" s="32"/>
      <c r="PXI50" s="32"/>
      <c r="PXJ50" s="32"/>
      <c r="PXK50" s="32"/>
      <c r="PXL50" s="32"/>
      <c r="PXM50" s="32"/>
      <c r="PXN50" s="32"/>
      <c r="PXO50" s="32"/>
      <c r="PXP50" s="32"/>
      <c r="PXQ50" s="32"/>
      <c r="PXR50" s="32"/>
      <c r="PXS50" s="32"/>
      <c r="PXT50" s="32"/>
      <c r="PXU50" s="32"/>
      <c r="PXV50" s="32"/>
      <c r="PXW50" s="32"/>
      <c r="PXX50" s="32"/>
      <c r="PXY50" s="32"/>
      <c r="PXZ50" s="32"/>
      <c r="PYA50" s="32"/>
      <c r="PYB50" s="32"/>
      <c r="PYC50" s="32"/>
      <c r="PYD50" s="32"/>
      <c r="PYE50" s="32"/>
      <c r="PYF50" s="32"/>
      <c r="PYG50" s="32"/>
      <c r="PYH50" s="32"/>
      <c r="PYI50" s="32"/>
      <c r="PYJ50" s="32"/>
      <c r="PYK50" s="32"/>
      <c r="PYL50" s="32"/>
      <c r="PYM50" s="32"/>
      <c r="PYN50" s="32"/>
      <c r="PYO50" s="32"/>
      <c r="PYP50" s="32"/>
      <c r="PYQ50" s="32"/>
      <c r="PYR50" s="32"/>
      <c r="PYS50" s="32"/>
      <c r="PYT50" s="32"/>
      <c r="PYU50" s="32"/>
      <c r="PYV50" s="32"/>
      <c r="PYW50" s="32"/>
      <c r="PYX50" s="32"/>
      <c r="PYY50" s="32"/>
      <c r="PYZ50" s="32"/>
      <c r="PZA50" s="32"/>
      <c r="PZB50" s="32"/>
      <c r="PZC50" s="32"/>
      <c r="PZD50" s="32"/>
      <c r="PZE50" s="32"/>
      <c r="PZF50" s="32"/>
      <c r="PZG50" s="32"/>
      <c r="PZH50" s="32"/>
      <c r="PZI50" s="32"/>
      <c r="PZJ50" s="32"/>
      <c r="PZK50" s="32"/>
      <c r="PZL50" s="32"/>
      <c r="PZM50" s="32"/>
      <c r="PZN50" s="32"/>
      <c r="PZO50" s="32"/>
      <c r="PZP50" s="32"/>
      <c r="PZQ50" s="32"/>
      <c r="PZR50" s="32"/>
      <c r="PZS50" s="32"/>
      <c r="PZT50" s="32"/>
      <c r="PZU50" s="32"/>
      <c r="PZV50" s="32"/>
      <c r="PZW50" s="32"/>
      <c r="PZX50" s="32"/>
      <c r="PZY50" s="32"/>
      <c r="PZZ50" s="32"/>
      <c r="QAA50" s="32"/>
      <c r="QAB50" s="32"/>
      <c r="QAC50" s="32"/>
      <c r="QAD50" s="32"/>
      <c r="QAE50" s="32"/>
      <c r="QAF50" s="32"/>
      <c r="QAG50" s="32"/>
      <c r="QAH50" s="32"/>
      <c r="QAI50" s="32"/>
      <c r="QAJ50" s="32"/>
      <c r="QAK50" s="32"/>
      <c r="QAL50" s="32"/>
      <c r="QAM50" s="32"/>
      <c r="QAN50" s="32"/>
      <c r="QAO50" s="32"/>
      <c r="QAP50" s="32"/>
      <c r="QAQ50" s="32"/>
      <c r="QAR50" s="32"/>
      <c r="QAS50" s="32"/>
      <c r="QAT50" s="32"/>
      <c r="QAU50" s="32"/>
      <c r="QAV50" s="32"/>
      <c r="QAW50" s="32"/>
      <c r="QAX50" s="32"/>
      <c r="QAY50" s="32"/>
      <c r="QAZ50" s="32"/>
      <c r="QBA50" s="32"/>
      <c r="QBB50" s="32"/>
      <c r="QBC50" s="32"/>
      <c r="QBD50" s="32"/>
      <c r="QBE50" s="32"/>
      <c r="QBF50" s="32"/>
      <c r="QBG50" s="32"/>
      <c r="QBH50" s="32"/>
      <c r="QBI50" s="32"/>
      <c r="QBJ50" s="32"/>
      <c r="QBK50" s="32"/>
      <c r="QBL50" s="32"/>
      <c r="QBM50" s="32"/>
      <c r="QBN50" s="32"/>
      <c r="QBO50" s="32"/>
      <c r="QBP50" s="32"/>
      <c r="QBQ50" s="32"/>
      <c r="QBR50" s="32"/>
      <c r="QBS50" s="32"/>
      <c r="QBT50" s="32"/>
      <c r="QBU50" s="32"/>
      <c r="QBV50" s="32"/>
      <c r="QBW50" s="32"/>
      <c r="QBX50" s="32"/>
      <c r="QBY50" s="32"/>
      <c r="QBZ50" s="32"/>
      <c r="QCA50" s="32"/>
      <c r="QCB50" s="32"/>
      <c r="QCC50" s="32"/>
      <c r="QCD50" s="32"/>
      <c r="QCE50" s="32"/>
      <c r="QCF50" s="32"/>
      <c r="QCG50" s="32"/>
      <c r="QCH50" s="32"/>
      <c r="QCI50" s="32"/>
      <c r="QCJ50" s="32"/>
      <c r="QCK50" s="32"/>
      <c r="QCL50" s="32"/>
      <c r="QCM50" s="32"/>
      <c r="QCN50" s="32"/>
      <c r="QCO50" s="32"/>
      <c r="QCP50" s="32"/>
      <c r="QCQ50" s="32"/>
      <c r="QCR50" s="32"/>
      <c r="QCS50" s="32"/>
      <c r="QCT50" s="32"/>
      <c r="QCU50" s="32"/>
      <c r="QCV50" s="32"/>
      <c r="QCW50" s="32"/>
      <c r="QCX50" s="32"/>
      <c r="QCY50" s="32"/>
      <c r="QCZ50" s="32"/>
      <c r="QDA50" s="32"/>
      <c r="QDB50" s="32"/>
      <c r="QDC50" s="32"/>
      <c r="QDD50" s="32"/>
      <c r="QDE50" s="32"/>
      <c r="QDF50" s="32"/>
      <c r="QDG50" s="32"/>
      <c r="QDH50" s="32"/>
      <c r="QDI50" s="32"/>
      <c r="QDJ50" s="32"/>
      <c r="QDK50" s="32"/>
      <c r="QDL50" s="32"/>
      <c r="QDM50" s="32"/>
      <c r="QDN50" s="32"/>
      <c r="QDO50" s="32"/>
      <c r="QDP50" s="32"/>
      <c r="QDQ50" s="32"/>
      <c r="QDR50" s="32"/>
      <c r="QDS50" s="32"/>
      <c r="QDT50" s="32"/>
      <c r="QDU50" s="32"/>
      <c r="QDV50" s="32"/>
      <c r="QDW50" s="32"/>
      <c r="QDX50" s="32"/>
      <c r="QDY50" s="32"/>
      <c r="QDZ50" s="32"/>
      <c r="QEA50" s="32"/>
      <c r="QEB50" s="32"/>
      <c r="QEC50" s="32"/>
      <c r="QED50" s="32"/>
      <c r="QEE50" s="32"/>
      <c r="QEF50" s="32"/>
      <c r="QEG50" s="32"/>
      <c r="QEH50" s="32"/>
      <c r="QEI50" s="32"/>
      <c r="QEJ50" s="32"/>
      <c r="QEK50" s="32"/>
      <c r="QEL50" s="32"/>
      <c r="QEM50" s="32"/>
      <c r="QEN50" s="32"/>
      <c r="QEO50" s="32"/>
      <c r="QEP50" s="32"/>
      <c r="QEQ50" s="32"/>
      <c r="QER50" s="32"/>
      <c r="QES50" s="32"/>
      <c r="QET50" s="32"/>
      <c r="QEU50" s="32"/>
      <c r="QEV50" s="32"/>
      <c r="QEW50" s="32"/>
      <c r="QEX50" s="32"/>
      <c r="QEY50" s="32"/>
      <c r="QEZ50" s="32"/>
      <c r="QFA50" s="32"/>
      <c r="QFB50" s="32"/>
      <c r="QFC50" s="32"/>
      <c r="QFD50" s="32"/>
      <c r="QFE50" s="32"/>
      <c r="QFF50" s="32"/>
      <c r="QFG50" s="32"/>
      <c r="QFH50" s="32"/>
      <c r="QFI50" s="32"/>
      <c r="QFJ50" s="32"/>
      <c r="QFK50" s="32"/>
      <c r="QFL50" s="32"/>
      <c r="QFM50" s="32"/>
      <c r="QFN50" s="32"/>
      <c r="QFO50" s="32"/>
      <c r="QFP50" s="32"/>
      <c r="QFQ50" s="32"/>
      <c r="QFR50" s="32"/>
      <c r="QFS50" s="32"/>
      <c r="QFT50" s="32"/>
      <c r="QFU50" s="32"/>
      <c r="QFV50" s="32"/>
      <c r="QFW50" s="32"/>
      <c r="QFX50" s="32"/>
      <c r="QFY50" s="32"/>
      <c r="QFZ50" s="32"/>
      <c r="QGA50" s="32"/>
      <c r="QGB50" s="32"/>
      <c r="QGC50" s="32"/>
      <c r="QGD50" s="32"/>
      <c r="QGE50" s="32"/>
      <c r="QGF50" s="32"/>
      <c r="QGG50" s="32"/>
      <c r="QGH50" s="32"/>
      <c r="QGI50" s="32"/>
      <c r="QGJ50" s="32"/>
      <c r="QGK50" s="32"/>
      <c r="QGL50" s="32"/>
      <c r="QGM50" s="32"/>
      <c r="QGN50" s="32"/>
      <c r="QGO50" s="32"/>
      <c r="QGP50" s="32"/>
      <c r="QGQ50" s="32"/>
      <c r="QGR50" s="32"/>
      <c r="QGS50" s="32"/>
      <c r="QGT50" s="32"/>
      <c r="QGU50" s="32"/>
      <c r="QGV50" s="32"/>
      <c r="QGW50" s="32"/>
      <c r="QGX50" s="32"/>
      <c r="QGY50" s="32"/>
      <c r="QGZ50" s="32"/>
      <c r="QHA50" s="32"/>
      <c r="QHB50" s="32"/>
      <c r="QHC50" s="32"/>
      <c r="QHD50" s="32"/>
      <c r="QHE50" s="32"/>
      <c r="QHF50" s="32"/>
      <c r="QHG50" s="32"/>
      <c r="QHH50" s="32"/>
      <c r="QHI50" s="32"/>
      <c r="QHJ50" s="32"/>
      <c r="QHK50" s="32"/>
      <c r="QHL50" s="32"/>
      <c r="QHM50" s="32"/>
      <c r="QHN50" s="32"/>
      <c r="QHO50" s="32"/>
      <c r="QHP50" s="32"/>
      <c r="QHQ50" s="32"/>
      <c r="QHR50" s="32"/>
      <c r="QHS50" s="32"/>
      <c r="QHT50" s="32"/>
      <c r="QHU50" s="32"/>
      <c r="QHV50" s="32"/>
      <c r="QHW50" s="32"/>
      <c r="QHX50" s="32"/>
      <c r="QHY50" s="32"/>
      <c r="QHZ50" s="32"/>
      <c r="QIA50" s="32"/>
      <c r="QIB50" s="32"/>
      <c r="QIC50" s="32"/>
      <c r="QID50" s="32"/>
      <c r="QIE50" s="32"/>
      <c r="QIF50" s="32"/>
      <c r="QIG50" s="32"/>
      <c r="QIH50" s="32"/>
      <c r="QII50" s="32"/>
      <c r="QIJ50" s="32"/>
      <c r="QIK50" s="32"/>
      <c r="QIL50" s="32"/>
      <c r="QIM50" s="32"/>
      <c r="QIN50" s="32"/>
      <c r="QIO50" s="32"/>
      <c r="QIP50" s="32"/>
      <c r="QIQ50" s="32"/>
      <c r="QIR50" s="32"/>
      <c r="QIS50" s="32"/>
      <c r="QIT50" s="32"/>
      <c r="QIU50" s="32"/>
      <c r="QIV50" s="32"/>
      <c r="QIW50" s="32"/>
      <c r="QIX50" s="32"/>
      <c r="QIY50" s="32"/>
      <c r="QIZ50" s="32"/>
      <c r="QJA50" s="32"/>
      <c r="QJB50" s="32"/>
      <c r="QJC50" s="32"/>
      <c r="QJD50" s="32"/>
      <c r="QJE50" s="32"/>
      <c r="QJF50" s="32"/>
      <c r="QJG50" s="32"/>
      <c r="QJH50" s="32"/>
      <c r="QJI50" s="32"/>
      <c r="QJJ50" s="32"/>
      <c r="QJK50" s="32"/>
      <c r="QJL50" s="32"/>
      <c r="QJM50" s="32"/>
      <c r="QJN50" s="32"/>
      <c r="QJO50" s="32"/>
      <c r="QJP50" s="32"/>
      <c r="QJQ50" s="32"/>
      <c r="QJR50" s="32"/>
      <c r="QJS50" s="32"/>
      <c r="QJT50" s="32"/>
      <c r="QJU50" s="32"/>
      <c r="QJV50" s="32"/>
      <c r="QJW50" s="32"/>
      <c r="QJX50" s="32"/>
      <c r="QJY50" s="32"/>
      <c r="QJZ50" s="32"/>
      <c r="QKA50" s="32"/>
      <c r="QKB50" s="32"/>
      <c r="QKC50" s="32"/>
      <c r="QKD50" s="32"/>
      <c r="QKE50" s="32"/>
      <c r="QKF50" s="32"/>
      <c r="QKG50" s="32"/>
      <c r="QKH50" s="32"/>
      <c r="QKI50" s="32"/>
      <c r="QKJ50" s="32"/>
      <c r="QKK50" s="32"/>
      <c r="QKL50" s="32"/>
      <c r="QKM50" s="32"/>
      <c r="QKN50" s="32"/>
      <c r="QKO50" s="32"/>
      <c r="QKP50" s="32"/>
      <c r="QKQ50" s="32"/>
      <c r="QKR50" s="32"/>
      <c r="QKS50" s="32"/>
      <c r="QKT50" s="32"/>
      <c r="QKU50" s="32"/>
      <c r="QKV50" s="32"/>
      <c r="QKW50" s="32"/>
      <c r="QKX50" s="32"/>
      <c r="QKY50" s="32"/>
      <c r="QKZ50" s="32"/>
      <c r="QLA50" s="32"/>
      <c r="QLB50" s="32"/>
      <c r="QLC50" s="32"/>
      <c r="QLD50" s="32"/>
      <c r="QLE50" s="32"/>
      <c r="QLF50" s="32"/>
      <c r="QLG50" s="32"/>
      <c r="QLH50" s="32"/>
      <c r="QLI50" s="32"/>
      <c r="QLJ50" s="32"/>
      <c r="QLK50" s="32"/>
      <c r="QLL50" s="32"/>
      <c r="QLM50" s="32"/>
      <c r="QLN50" s="32"/>
      <c r="QLO50" s="32"/>
      <c r="QLP50" s="32"/>
      <c r="QLQ50" s="32"/>
      <c r="QLR50" s="32"/>
      <c r="QLS50" s="32"/>
      <c r="QLT50" s="32"/>
      <c r="QLU50" s="32"/>
      <c r="QLV50" s="32"/>
      <c r="QLW50" s="32"/>
      <c r="QLX50" s="32"/>
      <c r="QLY50" s="32"/>
      <c r="QLZ50" s="32"/>
      <c r="QMA50" s="32"/>
      <c r="QMB50" s="32"/>
      <c r="QMC50" s="32"/>
      <c r="QMD50" s="32"/>
      <c r="QME50" s="32"/>
      <c r="QMF50" s="32"/>
      <c r="QMG50" s="32"/>
      <c r="QMH50" s="32"/>
      <c r="QMI50" s="32"/>
      <c r="QMJ50" s="32"/>
      <c r="QMK50" s="32"/>
      <c r="QML50" s="32"/>
      <c r="QMM50" s="32"/>
      <c r="QMN50" s="32"/>
      <c r="QMO50" s="32"/>
      <c r="QMP50" s="32"/>
      <c r="QMQ50" s="32"/>
      <c r="QMR50" s="32"/>
      <c r="QMS50" s="32"/>
      <c r="QMT50" s="32"/>
      <c r="QMU50" s="32"/>
      <c r="QMV50" s="32"/>
      <c r="QMW50" s="32"/>
      <c r="QMX50" s="32"/>
      <c r="QMY50" s="32"/>
      <c r="QMZ50" s="32"/>
      <c r="QNA50" s="32"/>
      <c r="QNB50" s="32"/>
      <c r="QNC50" s="32"/>
      <c r="QND50" s="32"/>
      <c r="QNE50" s="32"/>
      <c r="QNF50" s="32"/>
      <c r="QNG50" s="32"/>
      <c r="QNH50" s="32"/>
      <c r="QNI50" s="32"/>
      <c r="QNJ50" s="32"/>
      <c r="QNK50" s="32"/>
      <c r="QNL50" s="32"/>
      <c r="QNM50" s="32"/>
      <c r="QNN50" s="32"/>
      <c r="QNO50" s="32"/>
      <c r="QNP50" s="32"/>
      <c r="QNQ50" s="32"/>
      <c r="QNR50" s="32"/>
      <c r="QNS50" s="32"/>
      <c r="QNT50" s="32"/>
      <c r="QNU50" s="32"/>
      <c r="QNV50" s="32"/>
      <c r="QNW50" s="32"/>
      <c r="QNX50" s="32"/>
      <c r="QNY50" s="32"/>
      <c r="QNZ50" s="32"/>
      <c r="QOA50" s="32"/>
      <c r="QOB50" s="32"/>
      <c r="QOC50" s="32"/>
      <c r="QOD50" s="32"/>
      <c r="QOE50" s="32"/>
      <c r="QOF50" s="32"/>
      <c r="QOG50" s="32"/>
      <c r="QOH50" s="32"/>
      <c r="QOI50" s="32"/>
      <c r="QOJ50" s="32"/>
      <c r="QOK50" s="32"/>
      <c r="QOL50" s="32"/>
      <c r="QOM50" s="32"/>
      <c r="QON50" s="32"/>
      <c r="QOO50" s="32"/>
      <c r="QOP50" s="32"/>
      <c r="QOQ50" s="32"/>
      <c r="QOR50" s="32"/>
      <c r="QOS50" s="32"/>
      <c r="QOT50" s="32"/>
      <c r="QOU50" s="32"/>
      <c r="QOV50" s="32"/>
      <c r="QOW50" s="32"/>
      <c r="QOX50" s="32"/>
      <c r="QOY50" s="32"/>
      <c r="QOZ50" s="32"/>
      <c r="QPA50" s="32"/>
      <c r="QPB50" s="32"/>
      <c r="QPC50" s="32"/>
      <c r="QPD50" s="32"/>
      <c r="QPE50" s="32"/>
      <c r="QPF50" s="32"/>
      <c r="QPG50" s="32"/>
      <c r="QPH50" s="32"/>
      <c r="QPI50" s="32"/>
      <c r="QPJ50" s="32"/>
      <c r="QPK50" s="32"/>
      <c r="QPL50" s="32"/>
      <c r="QPM50" s="32"/>
      <c r="QPN50" s="32"/>
      <c r="QPO50" s="32"/>
      <c r="QPP50" s="32"/>
      <c r="QPQ50" s="32"/>
      <c r="QPR50" s="32"/>
      <c r="QPS50" s="32"/>
      <c r="QPT50" s="32"/>
      <c r="QPU50" s="32"/>
      <c r="QPV50" s="32"/>
      <c r="QPW50" s="32"/>
      <c r="QPX50" s="32"/>
      <c r="QPY50" s="32"/>
      <c r="QPZ50" s="32"/>
      <c r="QQA50" s="32"/>
      <c r="QQB50" s="32"/>
      <c r="QQC50" s="32"/>
      <c r="QQD50" s="32"/>
      <c r="QQE50" s="32"/>
      <c r="QQF50" s="32"/>
      <c r="QQG50" s="32"/>
      <c r="QQH50" s="32"/>
      <c r="QQI50" s="32"/>
      <c r="QQJ50" s="32"/>
      <c r="QQK50" s="32"/>
      <c r="QQL50" s="32"/>
      <c r="QQM50" s="32"/>
      <c r="QQN50" s="32"/>
      <c r="QQO50" s="32"/>
      <c r="QQP50" s="32"/>
      <c r="QQQ50" s="32"/>
      <c r="QQR50" s="32"/>
      <c r="QQS50" s="32"/>
      <c r="QQT50" s="32"/>
      <c r="QQU50" s="32"/>
      <c r="QQV50" s="32"/>
      <c r="QQW50" s="32"/>
      <c r="QQX50" s="32"/>
      <c r="QQY50" s="32"/>
      <c r="QQZ50" s="32"/>
      <c r="QRA50" s="32"/>
      <c r="QRB50" s="32"/>
      <c r="QRC50" s="32"/>
      <c r="QRD50" s="32"/>
      <c r="QRE50" s="32"/>
      <c r="QRF50" s="32"/>
      <c r="QRG50" s="32"/>
      <c r="QRH50" s="32"/>
      <c r="QRI50" s="32"/>
      <c r="QRJ50" s="32"/>
      <c r="QRK50" s="32"/>
      <c r="QRL50" s="32"/>
      <c r="QRM50" s="32"/>
      <c r="QRN50" s="32"/>
      <c r="QRO50" s="32"/>
      <c r="QRP50" s="32"/>
      <c r="QRQ50" s="32"/>
      <c r="QRR50" s="32"/>
      <c r="QRS50" s="32"/>
      <c r="QRT50" s="32"/>
      <c r="QRU50" s="32"/>
      <c r="QRV50" s="32"/>
      <c r="QRW50" s="32"/>
      <c r="QRX50" s="32"/>
      <c r="QRY50" s="32"/>
      <c r="QRZ50" s="32"/>
      <c r="QSA50" s="32"/>
      <c r="QSB50" s="32"/>
      <c r="QSC50" s="32"/>
      <c r="QSD50" s="32"/>
      <c r="QSE50" s="32"/>
      <c r="QSF50" s="32"/>
      <c r="QSG50" s="32"/>
      <c r="QSH50" s="32"/>
      <c r="QSI50" s="32"/>
      <c r="QSJ50" s="32"/>
      <c r="QSK50" s="32"/>
      <c r="QSL50" s="32"/>
      <c r="QSM50" s="32"/>
      <c r="QSN50" s="32"/>
      <c r="QSO50" s="32"/>
      <c r="QSP50" s="32"/>
      <c r="QSQ50" s="32"/>
      <c r="QSR50" s="32"/>
      <c r="QSS50" s="32"/>
      <c r="QST50" s="32"/>
      <c r="QSU50" s="32"/>
      <c r="QSV50" s="32"/>
      <c r="QSW50" s="32"/>
      <c r="QSX50" s="32"/>
      <c r="QSY50" s="32"/>
      <c r="QSZ50" s="32"/>
      <c r="QTA50" s="32"/>
      <c r="QTB50" s="32"/>
      <c r="QTC50" s="32"/>
      <c r="QTD50" s="32"/>
      <c r="QTE50" s="32"/>
      <c r="QTF50" s="32"/>
      <c r="QTG50" s="32"/>
      <c r="QTH50" s="32"/>
      <c r="QTI50" s="32"/>
      <c r="QTJ50" s="32"/>
      <c r="QTK50" s="32"/>
      <c r="QTL50" s="32"/>
      <c r="QTM50" s="32"/>
      <c r="QTN50" s="32"/>
      <c r="QTO50" s="32"/>
      <c r="QTP50" s="32"/>
      <c r="QTQ50" s="32"/>
      <c r="QTR50" s="32"/>
      <c r="QTS50" s="32"/>
      <c r="QTT50" s="32"/>
      <c r="QTU50" s="32"/>
      <c r="QTV50" s="32"/>
      <c r="QTW50" s="32"/>
      <c r="QTX50" s="32"/>
      <c r="QTY50" s="32"/>
      <c r="QTZ50" s="32"/>
      <c r="QUA50" s="32"/>
      <c r="QUB50" s="32"/>
      <c r="QUC50" s="32"/>
      <c r="QUD50" s="32"/>
      <c r="QUE50" s="32"/>
      <c r="QUF50" s="32"/>
      <c r="QUG50" s="32"/>
      <c r="QUH50" s="32"/>
      <c r="QUI50" s="32"/>
      <c r="QUJ50" s="32"/>
      <c r="QUK50" s="32"/>
      <c r="QUL50" s="32"/>
      <c r="QUM50" s="32"/>
      <c r="QUN50" s="32"/>
      <c r="QUO50" s="32"/>
      <c r="QUP50" s="32"/>
      <c r="QUQ50" s="32"/>
      <c r="QUR50" s="32"/>
      <c r="QUS50" s="32"/>
      <c r="QUT50" s="32"/>
      <c r="QUU50" s="32"/>
      <c r="QUV50" s="32"/>
      <c r="QUW50" s="32"/>
      <c r="QUX50" s="32"/>
      <c r="QUY50" s="32"/>
      <c r="QUZ50" s="32"/>
      <c r="QVA50" s="32"/>
      <c r="QVB50" s="32"/>
      <c r="QVC50" s="32"/>
      <c r="QVD50" s="32"/>
      <c r="QVE50" s="32"/>
      <c r="QVF50" s="32"/>
      <c r="QVG50" s="32"/>
      <c r="QVH50" s="32"/>
      <c r="QVI50" s="32"/>
      <c r="QVJ50" s="32"/>
      <c r="QVK50" s="32"/>
      <c r="QVL50" s="32"/>
      <c r="QVM50" s="32"/>
      <c r="QVN50" s="32"/>
      <c r="QVO50" s="32"/>
      <c r="QVP50" s="32"/>
      <c r="QVQ50" s="32"/>
      <c r="QVR50" s="32"/>
      <c r="QVS50" s="32"/>
      <c r="QVT50" s="32"/>
      <c r="QVU50" s="32"/>
      <c r="QVV50" s="32"/>
      <c r="QVW50" s="32"/>
      <c r="QVX50" s="32"/>
      <c r="QVY50" s="32"/>
      <c r="QVZ50" s="32"/>
      <c r="QWA50" s="32"/>
      <c r="QWB50" s="32"/>
      <c r="QWC50" s="32"/>
      <c r="QWD50" s="32"/>
      <c r="QWE50" s="32"/>
      <c r="QWF50" s="32"/>
      <c r="QWG50" s="32"/>
      <c r="QWH50" s="32"/>
      <c r="QWI50" s="32"/>
      <c r="QWJ50" s="32"/>
      <c r="QWK50" s="32"/>
      <c r="QWL50" s="32"/>
      <c r="QWM50" s="32"/>
      <c r="QWN50" s="32"/>
      <c r="QWO50" s="32"/>
      <c r="QWP50" s="32"/>
      <c r="QWQ50" s="32"/>
      <c r="QWR50" s="32"/>
      <c r="QWS50" s="32"/>
      <c r="QWT50" s="32"/>
      <c r="QWU50" s="32"/>
      <c r="QWV50" s="32"/>
      <c r="QWW50" s="32"/>
      <c r="QWX50" s="32"/>
      <c r="QWY50" s="32"/>
      <c r="QWZ50" s="32"/>
      <c r="QXA50" s="32"/>
      <c r="QXB50" s="32"/>
      <c r="QXC50" s="32"/>
      <c r="QXD50" s="32"/>
      <c r="QXE50" s="32"/>
      <c r="QXF50" s="32"/>
      <c r="QXG50" s="32"/>
      <c r="QXH50" s="32"/>
      <c r="QXI50" s="32"/>
      <c r="QXJ50" s="32"/>
      <c r="QXK50" s="32"/>
      <c r="QXL50" s="32"/>
      <c r="QXM50" s="32"/>
      <c r="QXN50" s="32"/>
      <c r="QXO50" s="32"/>
      <c r="QXP50" s="32"/>
      <c r="QXQ50" s="32"/>
      <c r="QXR50" s="32"/>
      <c r="QXS50" s="32"/>
      <c r="QXT50" s="32"/>
      <c r="QXU50" s="32"/>
      <c r="QXV50" s="32"/>
      <c r="QXW50" s="32"/>
      <c r="QXX50" s="32"/>
      <c r="QXY50" s="32"/>
      <c r="QXZ50" s="32"/>
      <c r="QYA50" s="32"/>
      <c r="QYB50" s="32"/>
      <c r="QYC50" s="32"/>
      <c r="QYD50" s="32"/>
      <c r="QYE50" s="32"/>
      <c r="QYF50" s="32"/>
      <c r="QYG50" s="32"/>
      <c r="QYH50" s="32"/>
      <c r="QYI50" s="32"/>
      <c r="QYJ50" s="32"/>
      <c r="QYK50" s="32"/>
      <c r="QYL50" s="32"/>
      <c r="QYM50" s="32"/>
      <c r="QYN50" s="32"/>
      <c r="QYO50" s="32"/>
      <c r="QYP50" s="32"/>
      <c r="QYQ50" s="32"/>
      <c r="QYR50" s="32"/>
      <c r="QYS50" s="32"/>
      <c r="QYT50" s="32"/>
      <c r="QYU50" s="32"/>
      <c r="QYV50" s="32"/>
      <c r="QYW50" s="32"/>
      <c r="QYX50" s="32"/>
      <c r="QYY50" s="32"/>
      <c r="QYZ50" s="32"/>
      <c r="QZA50" s="32"/>
      <c r="QZB50" s="32"/>
      <c r="QZC50" s="32"/>
      <c r="QZD50" s="32"/>
      <c r="QZE50" s="32"/>
      <c r="QZF50" s="32"/>
      <c r="QZG50" s="32"/>
      <c r="QZH50" s="32"/>
      <c r="QZI50" s="32"/>
      <c r="QZJ50" s="32"/>
      <c r="QZK50" s="32"/>
      <c r="QZL50" s="32"/>
      <c r="QZM50" s="32"/>
      <c r="QZN50" s="32"/>
      <c r="QZO50" s="32"/>
      <c r="QZP50" s="32"/>
      <c r="QZQ50" s="32"/>
      <c r="QZR50" s="32"/>
      <c r="QZS50" s="32"/>
      <c r="QZT50" s="32"/>
      <c r="QZU50" s="32"/>
      <c r="QZV50" s="32"/>
      <c r="QZW50" s="32"/>
      <c r="QZX50" s="32"/>
      <c r="QZY50" s="32"/>
      <c r="QZZ50" s="32"/>
      <c r="RAA50" s="32"/>
      <c r="RAB50" s="32"/>
      <c r="RAC50" s="32"/>
      <c r="RAD50" s="32"/>
      <c r="RAE50" s="32"/>
      <c r="RAF50" s="32"/>
      <c r="RAG50" s="32"/>
      <c r="RAH50" s="32"/>
      <c r="RAI50" s="32"/>
      <c r="RAJ50" s="32"/>
      <c r="RAK50" s="32"/>
      <c r="RAL50" s="32"/>
      <c r="RAM50" s="32"/>
      <c r="RAN50" s="32"/>
      <c r="RAO50" s="32"/>
      <c r="RAP50" s="32"/>
      <c r="RAQ50" s="32"/>
      <c r="RAR50" s="32"/>
      <c r="RAS50" s="32"/>
      <c r="RAT50" s="32"/>
      <c r="RAU50" s="32"/>
      <c r="RAV50" s="32"/>
      <c r="RAW50" s="32"/>
      <c r="RAX50" s="32"/>
      <c r="RAY50" s="32"/>
      <c r="RAZ50" s="32"/>
      <c r="RBA50" s="32"/>
      <c r="RBB50" s="32"/>
      <c r="RBC50" s="32"/>
      <c r="RBD50" s="32"/>
      <c r="RBE50" s="32"/>
      <c r="RBF50" s="32"/>
      <c r="RBG50" s="32"/>
      <c r="RBH50" s="32"/>
      <c r="RBI50" s="32"/>
      <c r="RBJ50" s="32"/>
      <c r="RBK50" s="32"/>
      <c r="RBL50" s="32"/>
      <c r="RBM50" s="32"/>
      <c r="RBN50" s="32"/>
      <c r="RBO50" s="32"/>
      <c r="RBP50" s="32"/>
      <c r="RBQ50" s="32"/>
      <c r="RBR50" s="32"/>
      <c r="RBS50" s="32"/>
      <c r="RBT50" s="32"/>
      <c r="RBU50" s="32"/>
      <c r="RBV50" s="32"/>
      <c r="RBW50" s="32"/>
      <c r="RBX50" s="32"/>
      <c r="RBY50" s="32"/>
      <c r="RBZ50" s="32"/>
      <c r="RCA50" s="32"/>
      <c r="RCB50" s="32"/>
      <c r="RCC50" s="32"/>
      <c r="RCD50" s="32"/>
      <c r="RCE50" s="32"/>
      <c r="RCF50" s="32"/>
      <c r="RCG50" s="32"/>
      <c r="RCH50" s="32"/>
      <c r="RCI50" s="32"/>
      <c r="RCJ50" s="32"/>
      <c r="RCK50" s="32"/>
      <c r="RCL50" s="32"/>
      <c r="RCM50" s="32"/>
      <c r="RCN50" s="32"/>
      <c r="RCO50" s="32"/>
      <c r="RCP50" s="32"/>
      <c r="RCQ50" s="32"/>
      <c r="RCR50" s="32"/>
      <c r="RCS50" s="32"/>
      <c r="RCT50" s="32"/>
      <c r="RCU50" s="32"/>
      <c r="RCV50" s="32"/>
      <c r="RCW50" s="32"/>
      <c r="RCX50" s="32"/>
      <c r="RCY50" s="32"/>
      <c r="RCZ50" s="32"/>
      <c r="RDA50" s="32"/>
      <c r="RDB50" s="32"/>
      <c r="RDC50" s="32"/>
      <c r="RDD50" s="32"/>
      <c r="RDE50" s="32"/>
      <c r="RDF50" s="32"/>
      <c r="RDG50" s="32"/>
      <c r="RDH50" s="32"/>
      <c r="RDI50" s="32"/>
      <c r="RDJ50" s="32"/>
      <c r="RDK50" s="32"/>
      <c r="RDL50" s="32"/>
      <c r="RDM50" s="32"/>
      <c r="RDN50" s="32"/>
      <c r="RDO50" s="32"/>
      <c r="RDP50" s="32"/>
      <c r="RDQ50" s="32"/>
      <c r="RDR50" s="32"/>
      <c r="RDS50" s="32"/>
      <c r="RDT50" s="32"/>
      <c r="RDU50" s="32"/>
      <c r="RDV50" s="32"/>
      <c r="RDW50" s="32"/>
      <c r="RDX50" s="32"/>
      <c r="RDY50" s="32"/>
      <c r="RDZ50" s="32"/>
      <c r="REA50" s="32"/>
      <c r="REB50" s="32"/>
      <c r="REC50" s="32"/>
      <c r="RED50" s="32"/>
      <c r="REE50" s="32"/>
      <c r="REF50" s="32"/>
      <c r="REG50" s="32"/>
      <c r="REH50" s="32"/>
      <c r="REI50" s="32"/>
      <c r="REJ50" s="32"/>
      <c r="REK50" s="32"/>
      <c r="REL50" s="32"/>
      <c r="REM50" s="32"/>
      <c r="REN50" s="32"/>
      <c r="REO50" s="32"/>
      <c r="REP50" s="32"/>
      <c r="REQ50" s="32"/>
      <c r="RER50" s="32"/>
      <c r="RES50" s="32"/>
      <c r="RET50" s="32"/>
      <c r="REU50" s="32"/>
      <c r="REV50" s="32"/>
      <c r="REW50" s="32"/>
      <c r="REX50" s="32"/>
      <c r="REY50" s="32"/>
      <c r="REZ50" s="32"/>
      <c r="RFA50" s="32"/>
      <c r="RFB50" s="32"/>
      <c r="RFC50" s="32"/>
      <c r="RFD50" s="32"/>
      <c r="RFE50" s="32"/>
      <c r="RFF50" s="32"/>
      <c r="RFG50" s="32"/>
      <c r="RFH50" s="32"/>
      <c r="RFI50" s="32"/>
      <c r="RFJ50" s="32"/>
      <c r="RFK50" s="32"/>
      <c r="RFL50" s="32"/>
      <c r="RFM50" s="32"/>
      <c r="RFN50" s="32"/>
      <c r="RFO50" s="32"/>
      <c r="RFP50" s="32"/>
      <c r="RFQ50" s="32"/>
      <c r="RFR50" s="32"/>
      <c r="RFS50" s="32"/>
      <c r="RFT50" s="32"/>
      <c r="RFU50" s="32"/>
      <c r="RFV50" s="32"/>
      <c r="RFW50" s="32"/>
      <c r="RFX50" s="32"/>
      <c r="RFY50" s="32"/>
      <c r="RFZ50" s="32"/>
      <c r="RGA50" s="32"/>
      <c r="RGB50" s="32"/>
      <c r="RGC50" s="32"/>
      <c r="RGD50" s="32"/>
      <c r="RGE50" s="32"/>
      <c r="RGF50" s="32"/>
      <c r="RGG50" s="32"/>
      <c r="RGH50" s="32"/>
      <c r="RGI50" s="32"/>
      <c r="RGJ50" s="32"/>
      <c r="RGK50" s="32"/>
      <c r="RGL50" s="32"/>
      <c r="RGM50" s="32"/>
      <c r="RGN50" s="32"/>
      <c r="RGO50" s="32"/>
      <c r="RGP50" s="32"/>
      <c r="RGQ50" s="32"/>
      <c r="RGR50" s="32"/>
      <c r="RGS50" s="32"/>
      <c r="RGT50" s="32"/>
      <c r="RGU50" s="32"/>
      <c r="RGV50" s="32"/>
      <c r="RGW50" s="32"/>
      <c r="RGX50" s="32"/>
      <c r="RGY50" s="32"/>
      <c r="RGZ50" s="32"/>
      <c r="RHA50" s="32"/>
      <c r="RHB50" s="32"/>
      <c r="RHC50" s="32"/>
      <c r="RHD50" s="32"/>
      <c r="RHE50" s="32"/>
      <c r="RHF50" s="32"/>
      <c r="RHG50" s="32"/>
      <c r="RHH50" s="32"/>
      <c r="RHI50" s="32"/>
      <c r="RHJ50" s="32"/>
      <c r="RHK50" s="32"/>
      <c r="RHL50" s="32"/>
      <c r="RHM50" s="32"/>
      <c r="RHN50" s="32"/>
      <c r="RHO50" s="32"/>
      <c r="RHP50" s="32"/>
      <c r="RHQ50" s="32"/>
      <c r="RHR50" s="32"/>
      <c r="RHS50" s="32"/>
      <c r="RHT50" s="32"/>
      <c r="RHU50" s="32"/>
      <c r="RHV50" s="32"/>
      <c r="RHW50" s="32"/>
      <c r="RHX50" s="32"/>
      <c r="RHY50" s="32"/>
      <c r="RHZ50" s="32"/>
      <c r="RIA50" s="32"/>
      <c r="RIB50" s="32"/>
      <c r="RIC50" s="32"/>
      <c r="RID50" s="32"/>
      <c r="RIE50" s="32"/>
      <c r="RIF50" s="32"/>
      <c r="RIG50" s="32"/>
      <c r="RIH50" s="32"/>
      <c r="RII50" s="32"/>
      <c r="RIJ50" s="32"/>
      <c r="RIK50" s="32"/>
      <c r="RIL50" s="32"/>
      <c r="RIM50" s="32"/>
      <c r="RIN50" s="32"/>
      <c r="RIO50" s="32"/>
      <c r="RIP50" s="32"/>
      <c r="RIQ50" s="32"/>
      <c r="RIR50" s="32"/>
      <c r="RIS50" s="32"/>
      <c r="RIT50" s="32"/>
      <c r="RIU50" s="32"/>
      <c r="RIV50" s="32"/>
      <c r="RIW50" s="32"/>
      <c r="RIX50" s="32"/>
      <c r="RIY50" s="32"/>
      <c r="RIZ50" s="32"/>
      <c r="RJA50" s="32"/>
      <c r="RJB50" s="32"/>
      <c r="RJC50" s="32"/>
      <c r="RJD50" s="32"/>
      <c r="RJE50" s="32"/>
      <c r="RJF50" s="32"/>
      <c r="RJG50" s="32"/>
      <c r="RJH50" s="32"/>
      <c r="RJI50" s="32"/>
      <c r="RJJ50" s="32"/>
      <c r="RJK50" s="32"/>
      <c r="RJL50" s="32"/>
      <c r="RJM50" s="32"/>
      <c r="RJN50" s="32"/>
      <c r="RJO50" s="32"/>
      <c r="RJP50" s="32"/>
      <c r="RJQ50" s="32"/>
      <c r="RJR50" s="32"/>
      <c r="RJS50" s="32"/>
      <c r="RJT50" s="32"/>
      <c r="RJU50" s="32"/>
      <c r="RJV50" s="32"/>
      <c r="RJW50" s="32"/>
      <c r="RJX50" s="32"/>
      <c r="RJY50" s="32"/>
      <c r="RJZ50" s="32"/>
      <c r="RKA50" s="32"/>
      <c r="RKB50" s="32"/>
      <c r="RKC50" s="32"/>
      <c r="RKD50" s="32"/>
      <c r="RKE50" s="32"/>
      <c r="RKF50" s="32"/>
      <c r="RKG50" s="32"/>
      <c r="RKH50" s="32"/>
      <c r="RKI50" s="32"/>
      <c r="RKJ50" s="32"/>
      <c r="RKK50" s="32"/>
      <c r="RKL50" s="32"/>
      <c r="RKM50" s="32"/>
      <c r="RKN50" s="32"/>
      <c r="RKO50" s="32"/>
      <c r="RKP50" s="32"/>
      <c r="RKQ50" s="32"/>
      <c r="RKR50" s="32"/>
      <c r="RKS50" s="32"/>
      <c r="RKT50" s="32"/>
      <c r="RKU50" s="32"/>
      <c r="RKV50" s="32"/>
      <c r="RKW50" s="32"/>
      <c r="RKX50" s="32"/>
      <c r="RKY50" s="32"/>
      <c r="RKZ50" s="32"/>
      <c r="RLA50" s="32"/>
      <c r="RLB50" s="32"/>
      <c r="RLC50" s="32"/>
      <c r="RLD50" s="32"/>
      <c r="RLE50" s="32"/>
      <c r="RLF50" s="32"/>
      <c r="RLG50" s="32"/>
      <c r="RLH50" s="32"/>
      <c r="RLI50" s="32"/>
      <c r="RLJ50" s="32"/>
      <c r="RLK50" s="32"/>
      <c r="RLL50" s="32"/>
      <c r="RLM50" s="32"/>
      <c r="RLN50" s="32"/>
      <c r="RLO50" s="32"/>
      <c r="RLP50" s="32"/>
      <c r="RLQ50" s="32"/>
      <c r="RLR50" s="32"/>
      <c r="RLS50" s="32"/>
      <c r="RLT50" s="32"/>
      <c r="RLU50" s="32"/>
      <c r="RLV50" s="32"/>
      <c r="RLW50" s="32"/>
      <c r="RLX50" s="32"/>
      <c r="RLY50" s="32"/>
      <c r="RLZ50" s="32"/>
      <c r="RMA50" s="32"/>
      <c r="RMB50" s="32"/>
      <c r="RMC50" s="32"/>
      <c r="RMD50" s="32"/>
      <c r="RME50" s="32"/>
      <c r="RMF50" s="32"/>
      <c r="RMG50" s="32"/>
      <c r="RMH50" s="32"/>
      <c r="RMI50" s="32"/>
      <c r="RMJ50" s="32"/>
      <c r="RMK50" s="32"/>
      <c r="RML50" s="32"/>
      <c r="RMM50" s="32"/>
      <c r="RMN50" s="32"/>
      <c r="RMO50" s="32"/>
      <c r="RMP50" s="32"/>
      <c r="RMQ50" s="32"/>
      <c r="RMR50" s="32"/>
      <c r="RMS50" s="32"/>
      <c r="RMT50" s="32"/>
      <c r="RMU50" s="32"/>
      <c r="RMV50" s="32"/>
      <c r="RMW50" s="32"/>
      <c r="RMX50" s="32"/>
      <c r="RMY50" s="32"/>
      <c r="RMZ50" s="32"/>
      <c r="RNA50" s="32"/>
      <c r="RNB50" s="32"/>
      <c r="RNC50" s="32"/>
      <c r="RND50" s="32"/>
      <c r="RNE50" s="32"/>
      <c r="RNF50" s="32"/>
      <c r="RNG50" s="32"/>
      <c r="RNH50" s="32"/>
      <c r="RNI50" s="32"/>
      <c r="RNJ50" s="32"/>
      <c r="RNK50" s="32"/>
      <c r="RNL50" s="32"/>
      <c r="RNM50" s="32"/>
      <c r="RNN50" s="32"/>
      <c r="RNO50" s="32"/>
      <c r="RNP50" s="32"/>
      <c r="RNQ50" s="32"/>
      <c r="RNR50" s="32"/>
      <c r="RNS50" s="32"/>
      <c r="RNT50" s="32"/>
      <c r="RNU50" s="32"/>
      <c r="RNV50" s="32"/>
      <c r="RNW50" s="32"/>
      <c r="RNX50" s="32"/>
      <c r="RNY50" s="32"/>
      <c r="RNZ50" s="32"/>
      <c r="ROA50" s="32"/>
      <c r="ROB50" s="32"/>
      <c r="ROC50" s="32"/>
      <c r="ROD50" s="32"/>
      <c r="ROE50" s="32"/>
      <c r="ROF50" s="32"/>
      <c r="ROG50" s="32"/>
      <c r="ROH50" s="32"/>
      <c r="ROI50" s="32"/>
      <c r="ROJ50" s="32"/>
      <c r="ROK50" s="32"/>
      <c r="ROL50" s="32"/>
      <c r="ROM50" s="32"/>
      <c r="RON50" s="32"/>
      <c r="ROO50" s="32"/>
      <c r="ROP50" s="32"/>
      <c r="ROQ50" s="32"/>
      <c r="ROR50" s="32"/>
      <c r="ROS50" s="32"/>
      <c r="ROT50" s="32"/>
      <c r="ROU50" s="32"/>
      <c r="ROV50" s="32"/>
      <c r="ROW50" s="32"/>
      <c r="ROX50" s="32"/>
      <c r="ROY50" s="32"/>
      <c r="ROZ50" s="32"/>
      <c r="RPA50" s="32"/>
      <c r="RPB50" s="32"/>
      <c r="RPC50" s="32"/>
      <c r="RPD50" s="32"/>
      <c r="RPE50" s="32"/>
      <c r="RPF50" s="32"/>
      <c r="RPG50" s="32"/>
      <c r="RPH50" s="32"/>
      <c r="RPI50" s="32"/>
      <c r="RPJ50" s="32"/>
      <c r="RPK50" s="32"/>
      <c r="RPL50" s="32"/>
      <c r="RPM50" s="32"/>
      <c r="RPN50" s="32"/>
      <c r="RPO50" s="32"/>
      <c r="RPP50" s="32"/>
      <c r="RPQ50" s="32"/>
      <c r="RPR50" s="32"/>
      <c r="RPS50" s="32"/>
      <c r="RPT50" s="32"/>
      <c r="RPU50" s="32"/>
      <c r="RPV50" s="32"/>
      <c r="RPW50" s="32"/>
      <c r="RPX50" s="32"/>
      <c r="RPY50" s="32"/>
      <c r="RPZ50" s="32"/>
      <c r="RQA50" s="32"/>
      <c r="RQB50" s="32"/>
      <c r="RQC50" s="32"/>
      <c r="RQD50" s="32"/>
      <c r="RQE50" s="32"/>
      <c r="RQF50" s="32"/>
      <c r="RQG50" s="32"/>
      <c r="RQH50" s="32"/>
      <c r="RQI50" s="32"/>
      <c r="RQJ50" s="32"/>
      <c r="RQK50" s="32"/>
      <c r="RQL50" s="32"/>
      <c r="RQM50" s="32"/>
      <c r="RQN50" s="32"/>
      <c r="RQO50" s="32"/>
      <c r="RQP50" s="32"/>
      <c r="RQQ50" s="32"/>
      <c r="RQR50" s="32"/>
      <c r="RQS50" s="32"/>
      <c r="RQT50" s="32"/>
      <c r="RQU50" s="32"/>
      <c r="RQV50" s="32"/>
      <c r="RQW50" s="32"/>
      <c r="RQX50" s="32"/>
      <c r="RQY50" s="32"/>
      <c r="RQZ50" s="32"/>
      <c r="RRA50" s="32"/>
      <c r="RRB50" s="32"/>
      <c r="RRC50" s="32"/>
      <c r="RRD50" s="32"/>
      <c r="RRE50" s="32"/>
      <c r="RRF50" s="32"/>
      <c r="RRG50" s="32"/>
      <c r="RRH50" s="32"/>
      <c r="RRI50" s="32"/>
      <c r="RRJ50" s="32"/>
      <c r="RRK50" s="32"/>
      <c r="RRL50" s="32"/>
      <c r="RRM50" s="32"/>
      <c r="RRN50" s="32"/>
      <c r="RRO50" s="32"/>
      <c r="RRP50" s="32"/>
      <c r="RRQ50" s="32"/>
      <c r="RRR50" s="32"/>
      <c r="RRS50" s="32"/>
      <c r="RRT50" s="32"/>
      <c r="RRU50" s="32"/>
      <c r="RRV50" s="32"/>
      <c r="RRW50" s="32"/>
      <c r="RRX50" s="32"/>
      <c r="RRY50" s="32"/>
      <c r="RRZ50" s="32"/>
      <c r="RSA50" s="32"/>
      <c r="RSB50" s="32"/>
      <c r="RSC50" s="32"/>
      <c r="RSD50" s="32"/>
      <c r="RSE50" s="32"/>
      <c r="RSF50" s="32"/>
      <c r="RSG50" s="32"/>
      <c r="RSH50" s="32"/>
      <c r="RSI50" s="32"/>
      <c r="RSJ50" s="32"/>
      <c r="RSK50" s="32"/>
      <c r="RSL50" s="32"/>
      <c r="RSM50" s="32"/>
      <c r="RSN50" s="32"/>
      <c r="RSO50" s="32"/>
      <c r="RSP50" s="32"/>
      <c r="RSQ50" s="32"/>
      <c r="RSR50" s="32"/>
      <c r="RSS50" s="32"/>
      <c r="RST50" s="32"/>
      <c r="RSU50" s="32"/>
      <c r="RSV50" s="32"/>
      <c r="RSW50" s="32"/>
      <c r="RSX50" s="32"/>
      <c r="RSY50" s="32"/>
      <c r="RSZ50" s="32"/>
      <c r="RTA50" s="32"/>
      <c r="RTB50" s="32"/>
      <c r="RTC50" s="32"/>
      <c r="RTD50" s="32"/>
      <c r="RTE50" s="32"/>
      <c r="RTF50" s="32"/>
      <c r="RTG50" s="32"/>
      <c r="RTH50" s="32"/>
      <c r="RTI50" s="32"/>
      <c r="RTJ50" s="32"/>
      <c r="RTK50" s="32"/>
      <c r="RTL50" s="32"/>
      <c r="RTM50" s="32"/>
      <c r="RTN50" s="32"/>
      <c r="RTO50" s="32"/>
      <c r="RTP50" s="32"/>
      <c r="RTQ50" s="32"/>
      <c r="RTR50" s="32"/>
      <c r="RTS50" s="32"/>
      <c r="RTT50" s="32"/>
      <c r="RTU50" s="32"/>
      <c r="RTV50" s="32"/>
      <c r="RTW50" s="32"/>
      <c r="RTX50" s="32"/>
      <c r="RTY50" s="32"/>
      <c r="RTZ50" s="32"/>
      <c r="RUA50" s="32"/>
      <c r="RUB50" s="32"/>
      <c r="RUC50" s="32"/>
      <c r="RUD50" s="32"/>
      <c r="RUE50" s="32"/>
      <c r="RUF50" s="32"/>
      <c r="RUG50" s="32"/>
      <c r="RUH50" s="32"/>
      <c r="RUI50" s="32"/>
      <c r="RUJ50" s="32"/>
      <c r="RUK50" s="32"/>
      <c r="RUL50" s="32"/>
      <c r="RUM50" s="32"/>
      <c r="RUN50" s="32"/>
      <c r="RUO50" s="32"/>
      <c r="RUP50" s="32"/>
      <c r="RUQ50" s="32"/>
      <c r="RUR50" s="32"/>
      <c r="RUS50" s="32"/>
      <c r="RUT50" s="32"/>
      <c r="RUU50" s="32"/>
      <c r="RUV50" s="32"/>
      <c r="RUW50" s="32"/>
      <c r="RUX50" s="32"/>
      <c r="RUY50" s="32"/>
      <c r="RUZ50" s="32"/>
      <c r="RVA50" s="32"/>
      <c r="RVB50" s="32"/>
      <c r="RVC50" s="32"/>
      <c r="RVD50" s="32"/>
      <c r="RVE50" s="32"/>
      <c r="RVF50" s="32"/>
      <c r="RVG50" s="32"/>
      <c r="RVH50" s="32"/>
      <c r="RVI50" s="32"/>
      <c r="RVJ50" s="32"/>
      <c r="RVK50" s="32"/>
      <c r="RVL50" s="32"/>
      <c r="RVM50" s="32"/>
      <c r="RVN50" s="32"/>
      <c r="RVO50" s="32"/>
      <c r="RVP50" s="32"/>
      <c r="RVQ50" s="32"/>
      <c r="RVR50" s="32"/>
      <c r="RVS50" s="32"/>
      <c r="RVT50" s="32"/>
      <c r="RVU50" s="32"/>
      <c r="RVV50" s="32"/>
      <c r="RVW50" s="32"/>
      <c r="RVX50" s="32"/>
      <c r="RVY50" s="32"/>
      <c r="RVZ50" s="32"/>
      <c r="RWA50" s="32"/>
      <c r="RWB50" s="32"/>
      <c r="RWC50" s="32"/>
      <c r="RWD50" s="32"/>
      <c r="RWE50" s="32"/>
      <c r="RWF50" s="32"/>
      <c r="RWG50" s="32"/>
      <c r="RWH50" s="32"/>
      <c r="RWI50" s="32"/>
      <c r="RWJ50" s="32"/>
      <c r="RWK50" s="32"/>
      <c r="RWL50" s="32"/>
      <c r="RWM50" s="32"/>
      <c r="RWN50" s="32"/>
      <c r="RWO50" s="32"/>
      <c r="RWP50" s="32"/>
      <c r="RWQ50" s="32"/>
      <c r="RWR50" s="32"/>
      <c r="RWS50" s="32"/>
      <c r="RWT50" s="32"/>
      <c r="RWU50" s="32"/>
      <c r="RWV50" s="32"/>
      <c r="RWW50" s="32"/>
      <c r="RWX50" s="32"/>
      <c r="RWY50" s="32"/>
      <c r="RWZ50" s="32"/>
      <c r="RXA50" s="32"/>
      <c r="RXB50" s="32"/>
      <c r="RXC50" s="32"/>
      <c r="RXD50" s="32"/>
      <c r="RXE50" s="32"/>
      <c r="RXF50" s="32"/>
      <c r="RXG50" s="32"/>
      <c r="RXH50" s="32"/>
      <c r="RXI50" s="32"/>
      <c r="RXJ50" s="32"/>
      <c r="RXK50" s="32"/>
      <c r="RXL50" s="32"/>
      <c r="RXM50" s="32"/>
      <c r="RXN50" s="32"/>
      <c r="RXO50" s="32"/>
      <c r="RXP50" s="32"/>
      <c r="RXQ50" s="32"/>
      <c r="RXR50" s="32"/>
      <c r="RXS50" s="32"/>
      <c r="RXT50" s="32"/>
      <c r="RXU50" s="32"/>
      <c r="RXV50" s="32"/>
      <c r="RXW50" s="32"/>
      <c r="RXX50" s="32"/>
      <c r="RXY50" s="32"/>
      <c r="RXZ50" s="32"/>
      <c r="RYA50" s="32"/>
      <c r="RYB50" s="32"/>
      <c r="RYC50" s="32"/>
      <c r="RYD50" s="32"/>
      <c r="RYE50" s="32"/>
      <c r="RYF50" s="32"/>
      <c r="RYG50" s="32"/>
      <c r="RYH50" s="32"/>
      <c r="RYI50" s="32"/>
      <c r="RYJ50" s="32"/>
      <c r="RYK50" s="32"/>
      <c r="RYL50" s="32"/>
      <c r="RYM50" s="32"/>
      <c r="RYN50" s="32"/>
      <c r="RYO50" s="32"/>
      <c r="RYP50" s="32"/>
      <c r="RYQ50" s="32"/>
      <c r="RYR50" s="32"/>
      <c r="RYS50" s="32"/>
      <c r="RYT50" s="32"/>
      <c r="RYU50" s="32"/>
      <c r="RYV50" s="32"/>
      <c r="RYW50" s="32"/>
      <c r="RYX50" s="32"/>
      <c r="RYY50" s="32"/>
      <c r="RYZ50" s="32"/>
      <c r="RZA50" s="32"/>
      <c r="RZB50" s="32"/>
      <c r="RZC50" s="32"/>
      <c r="RZD50" s="32"/>
      <c r="RZE50" s="32"/>
      <c r="RZF50" s="32"/>
      <c r="RZG50" s="32"/>
      <c r="RZH50" s="32"/>
      <c r="RZI50" s="32"/>
      <c r="RZJ50" s="32"/>
      <c r="RZK50" s="32"/>
      <c r="RZL50" s="32"/>
      <c r="RZM50" s="32"/>
      <c r="RZN50" s="32"/>
      <c r="RZO50" s="32"/>
      <c r="RZP50" s="32"/>
      <c r="RZQ50" s="32"/>
      <c r="RZR50" s="32"/>
      <c r="RZS50" s="32"/>
      <c r="RZT50" s="32"/>
      <c r="RZU50" s="32"/>
      <c r="RZV50" s="32"/>
      <c r="RZW50" s="32"/>
      <c r="RZX50" s="32"/>
      <c r="RZY50" s="32"/>
      <c r="RZZ50" s="32"/>
      <c r="SAA50" s="32"/>
      <c r="SAB50" s="32"/>
      <c r="SAC50" s="32"/>
      <c r="SAD50" s="32"/>
      <c r="SAE50" s="32"/>
      <c r="SAF50" s="32"/>
      <c r="SAG50" s="32"/>
      <c r="SAH50" s="32"/>
      <c r="SAI50" s="32"/>
      <c r="SAJ50" s="32"/>
      <c r="SAK50" s="32"/>
      <c r="SAL50" s="32"/>
      <c r="SAM50" s="32"/>
      <c r="SAN50" s="32"/>
      <c r="SAO50" s="32"/>
      <c r="SAP50" s="32"/>
      <c r="SAQ50" s="32"/>
      <c r="SAR50" s="32"/>
      <c r="SAS50" s="32"/>
      <c r="SAT50" s="32"/>
      <c r="SAU50" s="32"/>
      <c r="SAV50" s="32"/>
      <c r="SAW50" s="32"/>
      <c r="SAX50" s="32"/>
      <c r="SAY50" s="32"/>
      <c r="SAZ50" s="32"/>
      <c r="SBA50" s="32"/>
      <c r="SBB50" s="32"/>
      <c r="SBC50" s="32"/>
      <c r="SBD50" s="32"/>
      <c r="SBE50" s="32"/>
      <c r="SBF50" s="32"/>
      <c r="SBG50" s="32"/>
      <c r="SBH50" s="32"/>
      <c r="SBI50" s="32"/>
      <c r="SBJ50" s="32"/>
      <c r="SBK50" s="32"/>
      <c r="SBL50" s="32"/>
      <c r="SBM50" s="32"/>
      <c r="SBN50" s="32"/>
      <c r="SBO50" s="32"/>
      <c r="SBP50" s="32"/>
      <c r="SBQ50" s="32"/>
      <c r="SBR50" s="32"/>
      <c r="SBS50" s="32"/>
      <c r="SBT50" s="32"/>
      <c r="SBU50" s="32"/>
      <c r="SBV50" s="32"/>
      <c r="SBW50" s="32"/>
      <c r="SBX50" s="32"/>
      <c r="SBY50" s="32"/>
      <c r="SBZ50" s="32"/>
      <c r="SCA50" s="32"/>
      <c r="SCB50" s="32"/>
      <c r="SCC50" s="32"/>
      <c r="SCD50" s="32"/>
      <c r="SCE50" s="32"/>
      <c r="SCF50" s="32"/>
      <c r="SCG50" s="32"/>
      <c r="SCH50" s="32"/>
      <c r="SCI50" s="32"/>
      <c r="SCJ50" s="32"/>
      <c r="SCK50" s="32"/>
      <c r="SCL50" s="32"/>
      <c r="SCM50" s="32"/>
      <c r="SCN50" s="32"/>
      <c r="SCO50" s="32"/>
      <c r="SCP50" s="32"/>
      <c r="SCQ50" s="32"/>
      <c r="SCR50" s="32"/>
      <c r="SCS50" s="32"/>
      <c r="SCT50" s="32"/>
      <c r="SCU50" s="32"/>
      <c r="SCV50" s="32"/>
      <c r="SCW50" s="32"/>
      <c r="SCX50" s="32"/>
      <c r="SCY50" s="32"/>
      <c r="SCZ50" s="32"/>
      <c r="SDA50" s="32"/>
      <c r="SDB50" s="32"/>
      <c r="SDC50" s="32"/>
      <c r="SDD50" s="32"/>
      <c r="SDE50" s="32"/>
      <c r="SDF50" s="32"/>
      <c r="SDG50" s="32"/>
      <c r="SDH50" s="32"/>
      <c r="SDI50" s="32"/>
      <c r="SDJ50" s="32"/>
      <c r="SDK50" s="32"/>
      <c r="SDL50" s="32"/>
      <c r="SDM50" s="32"/>
      <c r="SDN50" s="32"/>
      <c r="SDO50" s="32"/>
      <c r="SDP50" s="32"/>
      <c r="SDQ50" s="32"/>
      <c r="SDR50" s="32"/>
      <c r="SDS50" s="32"/>
      <c r="SDT50" s="32"/>
      <c r="SDU50" s="32"/>
      <c r="SDV50" s="32"/>
      <c r="SDW50" s="32"/>
      <c r="SDX50" s="32"/>
      <c r="SDY50" s="32"/>
      <c r="SDZ50" s="32"/>
      <c r="SEA50" s="32"/>
      <c r="SEB50" s="32"/>
      <c r="SEC50" s="32"/>
      <c r="SED50" s="32"/>
      <c r="SEE50" s="32"/>
      <c r="SEF50" s="32"/>
      <c r="SEG50" s="32"/>
      <c r="SEH50" s="32"/>
      <c r="SEI50" s="32"/>
      <c r="SEJ50" s="32"/>
      <c r="SEK50" s="32"/>
      <c r="SEL50" s="32"/>
      <c r="SEM50" s="32"/>
      <c r="SEN50" s="32"/>
      <c r="SEO50" s="32"/>
      <c r="SEP50" s="32"/>
      <c r="SEQ50" s="32"/>
      <c r="SER50" s="32"/>
      <c r="SES50" s="32"/>
      <c r="SET50" s="32"/>
      <c r="SEU50" s="32"/>
      <c r="SEV50" s="32"/>
      <c r="SEW50" s="32"/>
      <c r="SEX50" s="32"/>
      <c r="SEY50" s="32"/>
      <c r="SEZ50" s="32"/>
      <c r="SFA50" s="32"/>
      <c r="SFB50" s="32"/>
      <c r="SFC50" s="32"/>
      <c r="SFD50" s="32"/>
      <c r="SFE50" s="32"/>
      <c r="SFF50" s="32"/>
      <c r="SFG50" s="32"/>
      <c r="SFH50" s="32"/>
      <c r="SFI50" s="32"/>
      <c r="SFJ50" s="32"/>
      <c r="SFK50" s="32"/>
      <c r="SFL50" s="32"/>
      <c r="SFM50" s="32"/>
      <c r="SFN50" s="32"/>
      <c r="SFO50" s="32"/>
      <c r="SFP50" s="32"/>
      <c r="SFQ50" s="32"/>
      <c r="SFR50" s="32"/>
      <c r="SFS50" s="32"/>
      <c r="SFT50" s="32"/>
      <c r="SFU50" s="32"/>
      <c r="SFV50" s="32"/>
      <c r="SFW50" s="32"/>
      <c r="SFX50" s="32"/>
      <c r="SFY50" s="32"/>
      <c r="SFZ50" s="32"/>
      <c r="SGA50" s="32"/>
      <c r="SGB50" s="32"/>
      <c r="SGC50" s="32"/>
      <c r="SGD50" s="32"/>
      <c r="SGE50" s="32"/>
      <c r="SGF50" s="32"/>
      <c r="SGG50" s="32"/>
      <c r="SGH50" s="32"/>
      <c r="SGI50" s="32"/>
      <c r="SGJ50" s="32"/>
      <c r="SGK50" s="32"/>
      <c r="SGL50" s="32"/>
      <c r="SGM50" s="32"/>
      <c r="SGN50" s="32"/>
      <c r="SGO50" s="32"/>
      <c r="SGP50" s="32"/>
      <c r="SGQ50" s="32"/>
      <c r="SGR50" s="32"/>
      <c r="SGS50" s="32"/>
      <c r="SGT50" s="32"/>
      <c r="SGU50" s="32"/>
      <c r="SGV50" s="32"/>
      <c r="SGW50" s="32"/>
      <c r="SGX50" s="32"/>
      <c r="SGY50" s="32"/>
      <c r="SGZ50" s="32"/>
      <c r="SHA50" s="32"/>
      <c r="SHB50" s="32"/>
      <c r="SHC50" s="32"/>
      <c r="SHD50" s="32"/>
      <c r="SHE50" s="32"/>
      <c r="SHF50" s="32"/>
      <c r="SHG50" s="32"/>
      <c r="SHH50" s="32"/>
      <c r="SHI50" s="32"/>
      <c r="SHJ50" s="32"/>
      <c r="SHK50" s="32"/>
      <c r="SHL50" s="32"/>
      <c r="SHM50" s="32"/>
      <c r="SHN50" s="32"/>
      <c r="SHO50" s="32"/>
      <c r="SHP50" s="32"/>
      <c r="SHQ50" s="32"/>
      <c r="SHR50" s="32"/>
      <c r="SHS50" s="32"/>
      <c r="SHT50" s="32"/>
      <c r="SHU50" s="32"/>
      <c r="SHV50" s="32"/>
      <c r="SHW50" s="32"/>
      <c r="SHX50" s="32"/>
      <c r="SHY50" s="32"/>
      <c r="SHZ50" s="32"/>
      <c r="SIA50" s="32"/>
      <c r="SIB50" s="32"/>
      <c r="SIC50" s="32"/>
      <c r="SID50" s="32"/>
      <c r="SIE50" s="32"/>
      <c r="SIF50" s="32"/>
      <c r="SIG50" s="32"/>
      <c r="SIH50" s="32"/>
      <c r="SII50" s="32"/>
      <c r="SIJ50" s="32"/>
      <c r="SIK50" s="32"/>
      <c r="SIL50" s="32"/>
      <c r="SIM50" s="32"/>
      <c r="SIN50" s="32"/>
      <c r="SIO50" s="32"/>
      <c r="SIP50" s="32"/>
      <c r="SIQ50" s="32"/>
      <c r="SIR50" s="32"/>
      <c r="SIS50" s="32"/>
      <c r="SIT50" s="32"/>
      <c r="SIU50" s="32"/>
      <c r="SIV50" s="32"/>
      <c r="SIW50" s="32"/>
      <c r="SIX50" s="32"/>
      <c r="SIY50" s="32"/>
      <c r="SIZ50" s="32"/>
      <c r="SJA50" s="32"/>
      <c r="SJB50" s="32"/>
      <c r="SJC50" s="32"/>
      <c r="SJD50" s="32"/>
      <c r="SJE50" s="32"/>
      <c r="SJF50" s="32"/>
      <c r="SJG50" s="32"/>
      <c r="SJH50" s="32"/>
      <c r="SJI50" s="32"/>
      <c r="SJJ50" s="32"/>
      <c r="SJK50" s="32"/>
      <c r="SJL50" s="32"/>
      <c r="SJM50" s="32"/>
      <c r="SJN50" s="32"/>
      <c r="SJO50" s="32"/>
      <c r="SJP50" s="32"/>
      <c r="SJQ50" s="32"/>
      <c r="SJR50" s="32"/>
      <c r="SJS50" s="32"/>
      <c r="SJT50" s="32"/>
      <c r="SJU50" s="32"/>
      <c r="SJV50" s="32"/>
      <c r="SJW50" s="32"/>
      <c r="SJX50" s="32"/>
      <c r="SJY50" s="32"/>
      <c r="SJZ50" s="32"/>
      <c r="SKA50" s="32"/>
      <c r="SKB50" s="32"/>
      <c r="SKC50" s="32"/>
      <c r="SKD50" s="32"/>
      <c r="SKE50" s="32"/>
      <c r="SKF50" s="32"/>
      <c r="SKG50" s="32"/>
      <c r="SKH50" s="32"/>
      <c r="SKI50" s="32"/>
      <c r="SKJ50" s="32"/>
      <c r="SKK50" s="32"/>
      <c r="SKL50" s="32"/>
      <c r="SKM50" s="32"/>
      <c r="SKN50" s="32"/>
      <c r="SKO50" s="32"/>
      <c r="SKP50" s="32"/>
      <c r="SKQ50" s="32"/>
      <c r="SKR50" s="32"/>
      <c r="SKS50" s="32"/>
      <c r="SKT50" s="32"/>
      <c r="SKU50" s="32"/>
      <c r="SKV50" s="32"/>
      <c r="SKW50" s="32"/>
      <c r="SKX50" s="32"/>
      <c r="SKY50" s="32"/>
      <c r="SKZ50" s="32"/>
      <c r="SLA50" s="32"/>
      <c r="SLB50" s="32"/>
      <c r="SLC50" s="32"/>
      <c r="SLD50" s="32"/>
      <c r="SLE50" s="32"/>
      <c r="SLF50" s="32"/>
      <c r="SLG50" s="32"/>
      <c r="SLH50" s="32"/>
      <c r="SLI50" s="32"/>
      <c r="SLJ50" s="32"/>
      <c r="SLK50" s="32"/>
      <c r="SLL50" s="32"/>
      <c r="SLM50" s="32"/>
      <c r="SLN50" s="32"/>
      <c r="SLO50" s="32"/>
      <c r="SLP50" s="32"/>
      <c r="SLQ50" s="32"/>
      <c r="SLR50" s="32"/>
      <c r="SLS50" s="32"/>
      <c r="SLT50" s="32"/>
      <c r="SLU50" s="32"/>
      <c r="SLV50" s="32"/>
      <c r="SLW50" s="32"/>
      <c r="SLX50" s="32"/>
      <c r="SLY50" s="32"/>
      <c r="SLZ50" s="32"/>
      <c r="SMA50" s="32"/>
      <c r="SMB50" s="32"/>
      <c r="SMC50" s="32"/>
      <c r="SMD50" s="32"/>
      <c r="SME50" s="32"/>
      <c r="SMF50" s="32"/>
      <c r="SMG50" s="32"/>
      <c r="SMH50" s="32"/>
      <c r="SMI50" s="32"/>
      <c r="SMJ50" s="32"/>
      <c r="SMK50" s="32"/>
      <c r="SML50" s="32"/>
      <c r="SMM50" s="32"/>
      <c r="SMN50" s="32"/>
      <c r="SMO50" s="32"/>
      <c r="SMP50" s="32"/>
      <c r="SMQ50" s="32"/>
      <c r="SMR50" s="32"/>
      <c r="SMS50" s="32"/>
      <c r="SMT50" s="32"/>
      <c r="SMU50" s="32"/>
      <c r="SMV50" s="32"/>
      <c r="SMW50" s="32"/>
      <c r="SMX50" s="32"/>
      <c r="SMY50" s="32"/>
      <c r="SMZ50" s="32"/>
      <c r="SNA50" s="32"/>
      <c r="SNB50" s="32"/>
      <c r="SNC50" s="32"/>
      <c r="SND50" s="32"/>
      <c r="SNE50" s="32"/>
      <c r="SNF50" s="32"/>
      <c r="SNG50" s="32"/>
      <c r="SNH50" s="32"/>
      <c r="SNI50" s="32"/>
      <c r="SNJ50" s="32"/>
      <c r="SNK50" s="32"/>
      <c r="SNL50" s="32"/>
      <c r="SNM50" s="32"/>
      <c r="SNN50" s="32"/>
      <c r="SNO50" s="32"/>
      <c r="SNP50" s="32"/>
      <c r="SNQ50" s="32"/>
      <c r="SNR50" s="32"/>
      <c r="SNS50" s="32"/>
      <c r="SNT50" s="32"/>
      <c r="SNU50" s="32"/>
      <c r="SNV50" s="32"/>
      <c r="SNW50" s="32"/>
      <c r="SNX50" s="32"/>
      <c r="SNY50" s="32"/>
      <c r="SNZ50" s="32"/>
      <c r="SOA50" s="32"/>
      <c r="SOB50" s="32"/>
      <c r="SOC50" s="32"/>
      <c r="SOD50" s="32"/>
      <c r="SOE50" s="32"/>
      <c r="SOF50" s="32"/>
      <c r="SOG50" s="32"/>
      <c r="SOH50" s="32"/>
      <c r="SOI50" s="32"/>
      <c r="SOJ50" s="32"/>
      <c r="SOK50" s="32"/>
      <c r="SOL50" s="32"/>
      <c r="SOM50" s="32"/>
      <c r="SON50" s="32"/>
      <c r="SOO50" s="32"/>
      <c r="SOP50" s="32"/>
      <c r="SOQ50" s="32"/>
      <c r="SOR50" s="32"/>
      <c r="SOS50" s="32"/>
      <c r="SOT50" s="32"/>
      <c r="SOU50" s="32"/>
      <c r="SOV50" s="32"/>
      <c r="SOW50" s="32"/>
      <c r="SOX50" s="32"/>
      <c r="SOY50" s="32"/>
      <c r="SOZ50" s="32"/>
      <c r="SPA50" s="32"/>
      <c r="SPB50" s="32"/>
      <c r="SPC50" s="32"/>
      <c r="SPD50" s="32"/>
      <c r="SPE50" s="32"/>
      <c r="SPF50" s="32"/>
      <c r="SPG50" s="32"/>
      <c r="SPH50" s="32"/>
      <c r="SPI50" s="32"/>
      <c r="SPJ50" s="32"/>
      <c r="SPK50" s="32"/>
      <c r="SPL50" s="32"/>
      <c r="SPM50" s="32"/>
      <c r="SPN50" s="32"/>
      <c r="SPO50" s="32"/>
      <c r="SPP50" s="32"/>
      <c r="SPQ50" s="32"/>
      <c r="SPR50" s="32"/>
      <c r="SPS50" s="32"/>
      <c r="SPT50" s="32"/>
      <c r="SPU50" s="32"/>
      <c r="SPV50" s="32"/>
      <c r="SPW50" s="32"/>
      <c r="SPX50" s="32"/>
      <c r="SPY50" s="32"/>
      <c r="SPZ50" s="32"/>
      <c r="SQA50" s="32"/>
      <c r="SQB50" s="32"/>
      <c r="SQC50" s="32"/>
      <c r="SQD50" s="32"/>
      <c r="SQE50" s="32"/>
      <c r="SQF50" s="32"/>
      <c r="SQG50" s="32"/>
      <c r="SQH50" s="32"/>
      <c r="SQI50" s="32"/>
      <c r="SQJ50" s="32"/>
      <c r="SQK50" s="32"/>
      <c r="SQL50" s="32"/>
      <c r="SQM50" s="32"/>
      <c r="SQN50" s="32"/>
      <c r="SQO50" s="32"/>
      <c r="SQP50" s="32"/>
      <c r="SQQ50" s="32"/>
      <c r="SQR50" s="32"/>
      <c r="SQS50" s="32"/>
      <c r="SQT50" s="32"/>
      <c r="SQU50" s="32"/>
      <c r="SQV50" s="32"/>
      <c r="SQW50" s="32"/>
      <c r="SQX50" s="32"/>
      <c r="SQY50" s="32"/>
      <c r="SQZ50" s="32"/>
      <c r="SRA50" s="32"/>
      <c r="SRB50" s="32"/>
      <c r="SRC50" s="32"/>
      <c r="SRD50" s="32"/>
      <c r="SRE50" s="32"/>
      <c r="SRF50" s="32"/>
      <c r="SRG50" s="32"/>
      <c r="SRH50" s="32"/>
      <c r="SRI50" s="32"/>
      <c r="SRJ50" s="32"/>
      <c r="SRK50" s="32"/>
      <c r="SRL50" s="32"/>
      <c r="SRM50" s="32"/>
      <c r="SRN50" s="32"/>
      <c r="SRO50" s="32"/>
      <c r="SRP50" s="32"/>
      <c r="SRQ50" s="32"/>
      <c r="SRR50" s="32"/>
      <c r="SRS50" s="32"/>
      <c r="SRT50" s="32"/>
      <c r="SRU50" s="32"/>
      <c r="SRV50" s="32"/>
      <c r="SRW50" s="32"/>
      <c r="SRX50" s="32"/>
      <c r="SRY50" s="32"/>
      <c r="SRZ50" s="32"/>
      <c r="SSA50" s="32"/>
      <c r="SSB50" s="32"/>
      <c r="SSC50" s="32"/>
      <c r="SSD50" s="32"/>
      <c r="SSE50" s="32"/>
      <c r="SSF50" s="32"/>
      <c r="SSG50" s="32"/>
      <c r="SSH50" s="32"/>
      <c r="SSI50" s="32"/>
      <c r="SSJ50" s="32"/>
      <c r="SSK50" s="32"/>
      <c r="SSL50" s="32"/>
      <c r="SSM50" s="32"/>
      <c r="SSN50" s="32"/>
      <c r="SSO50" s="32"/>
      <c r="SSP50" s="32"/>
      <c r="SSQ50" s="32"/>
      <c r="SSR50" s="32"/>
      <c r="SSS50" s="32"/>
      <c r="SST50" s="32"/>
      <c r="SSU50" s="32"/>
      <c r="SSV50" s="32"/>
      <c r="SSW50" s="32"/>
      <c r="SSX50" s="32"/>
      <c r="SSY50" s="32"/>
      <c r="SSZ50" s="32"/>
      <c r="STA50" s="32"/>
      <c r="STB50" s="32"/>
      <c r="STC50" s="32"/>
      <c r="STD50" s="32"/>
      <c r="STE50" s="32"/>
      <c r="STF50" s="32"/>
      <c r="STG50" s="32"/>
      <c r="STH50" s="32"/>
      <c r="STI50" s="32"/>
      <c r="STJ50" s="32"/>
      <c r="STK50" s="32"/>
      <c r="STL50" s="32"/>
      <c r="STM50" s="32"/>
      <c r="STN50" s="32"/>
      <c r="STO50" s="32"/>
      <c r="STP50" s="32"/>
      <c r="STQ50" s="32"/>
      <c r="STR50" s="32"/>
      <c r="STS50" s="32"/>
      <c r="STT50" s="32"/>
      <c r="STU50" s="32"/>
      <c r="STV50" s="32"/>
      <c r="STW50" s="32"/>
      <c r="STX50" s="32"/>
      <c r="STY50" s="32"/>
      <c r="STZ50" s="32"/>
      <c r="SUA50" s="32"/>
      <c r="SUB50" s="32"/>
      <c r="SUC50" s="32"/>
      <c r="SUD50" s="32"/>
      <c r="SUE50" s="32"/>
      <c r="SUF50" s="32"/>
      <c r="SUG50" s="32"/>
      <c r="SUH50" s="32"/>
      <c r="SUI50" s="32"/>
      <c r="SUJ50" s="32"/>
      <c r="SUK50" s="32"/>
      <c r="SUL50" s="32"/>
      <c r="SUM50" s="32"/>
      <c r="SUN50" s="32"/>
      <c r="SUO50" s="32"/>
      <c r="SUP50" s="32"/>
      <c r="SUQ50" s="32"/>
      <c r="SUR50" s="32"/>
      <c r="SUS50" s="32"/>
      <c r="SUT50" s="32"/>
      <c r="SUU50" s="32"/>
      <c r="SUV50" s="32"/>
      <c r="SUW50" s="32"/>
      <c r="SUX50" s="32"/>
      <c r="SUY50" s="32"/>
      <c r="SUZ50" s="32"/>
      <c r="SVA50" s="32"/>
      <c r="SVB50" s="32"/>
      <c r="SVC50" s="32"/>
      <c r="SVD50" s="32"/>
      <c r="SVE50" s="32"/>
      <c r="SVF50" s="32"/>
      <c r="SVG50" s="32"/>
      <c r="SVH50" s="32"/>
      <c r="SVI50" s="32"/>
      <c r="SVJ50" s="32"/>
      <c r="SVK50" s="32"/>
      <c r="SVL50" s="32"/>
      <c r="SVM50" s="32"/>
      <c r="SVN50" s="32"/>
      <c r="SVO50" s="32"/>
      <c r="SVP50" s="32"/>
      <c r="SVQ50" s="32"/>
      <c r="SVR50" s="32"/>
      <c r="SVS50" s="32"/>
      <c r="SVT50" s="32"/>
      <c r="SVU50" s="32"/>
      <c r="SVV50" s="32"/>
      <c r="SVW50" s="32"/>
      <c r="SVX50" s="32"/>
      <c r="SVY50" s="32"/>
      <c r="SVZ50" s="32"/>
      <c r="SWA50" s="32"/>
      <c r="SWB50" s="32"/>
      <c r="SWC50" s="32"/>
      <c r="SWD50" s="32"/>
      <c r="SWE50" s="32"/>
      <c r="SWF50" s="32"/>
      <c r="SWG50" s="32"/>
      <c r="SWH50" s="32"/>
      <c r="SWI50" s="32"/>
      <c r="SWJ50" s="32"/>
      <c r="SWK50" s="32"/>
      <c r="SWL50" s="32"/>
      <c r="SWM50" s="32"/>
      <c r="SWN50" s="32"/>
      <c r="SWO50" s="32"/>
      <c r="SWP50" s="32"/>
      <c r="SWQ50" s="32"/>
      <c r="SWR50" s="32"/>
      <c r="SWS50" s="32"/>
      <c r="SWT50" s="32"/>
      <c r="SWU50" s="32"/>
      <c r="SWV50" s="32"/>
      <c r="SWW50" s="32"/>
      <c r="SWX50" s="32"/>
      <c r="SWY50" s="32"/>
      <c r="SWZ50" s="32"/>
      <c r="SXA50" s="32"/>
      <c r="SXB50" s="32"/>
      <c r="SXC50" s="32"/>
      <c r="SXD50" s="32"/>
      <c r="SXE50" s="32"/>
      <c r="SXF50" s="32"/>
      <c r="SXG50" s="32"/>
      <c r="SXH50" s="32"/>
      <c r="SXI50" s="32"/>
      <c r="SXJ50" s="32"/>
      <c r="SXK50" s="32"/>
      <c r="SXL50" s="32"/>
      <c r="SXM50" s="32"/>
      <c r="SXN50" s="32"/>
      <c r="SXO50" s="32"/>
      <c r="SXP50" s="32"/>
      <c r="SXQ50" s="32"/>
      <c r="SXR50" s="32"/>
      <c r="SXS50" s="32"/>
      <c r="SXT50" s="32"/>
      <c r="SXU50" s="32"/>
      <c r="SXV50" s="32"/>
      <c r="SXW50" s="32"/>
      <c r="SXX50" s="32"/>
      <c r="SXY50" s="32"/>
      <c r="SXZ50" s="32"/>
      <c r="SYA50" s="32"/>
      <c r="SYB50" s="32"/>
      <c r="SYC50" s="32"/>
      <c r="SYD50" s="32"/>
      <c r="SYE50" s="32"/>
      <c r="SYF50" s="32"/>
      <c r="SYG50" s="32"/>
      <c r="SYH50" s="32"/>
      <c r="SYI50" s="32"/>
      <c r="SYJ50" s="32"/>
      <c r="SYK50" s="32"/>
      <c r="SYL50" s="32"/>
      <c r="SYM50" s="32"/>
      <c r="SYN50" s="32"/>
      <c r="SYO50" s="32"/>
      <c r="SYP50" s="32"/>
      <c r="SYQ50" s="32"/>
      <c r="SYR50" s="32"/>
      <c r="SYS50" s="32"/>
      <c r="SYT50" s="32"/>
      <c r="SYU50" s="32"/>
      <c r="SYV50" s="32"/>
      <c r="SYW50" s="32"/>
      <c r="SYX50" s="32"/>
      <c r="SYY50" s="32"/>
      <c r="SYZ50" s="32"/>
      <c r="SZA50" s="32"/>
      <c r="SZB50" s="32"/>
      <c r="SZC50" s="32"/>
      <c r="SZD50" s="32"/>
      <c r="SZE50" s="32"/>
      <c r="SZF50" s="32"/>
      <c r="SZG50" s="32"/>
      <c r="SZH50" s="32"/>
      <c r="SZI50" s="32"/>
      <c r="SZJ50" s="32"/>
      <c r="SZK50" s="32"/>
      <c r="SZL50" s="32"/>
      <c r="SZM50" s="32"/>
      <c r="SZN50" s="32"/>
      <c r="SZO50" s="32"/>
      <c r="SZP50" s="32"/>
      <c r="SZQ50" s="32"/>
      <c r="SZR50" s="32"/>
      <c r="SZS50" s="32"/>
      <c r="SZT50" s="32"/>
      <c r="SZU50" s="32"/>
      <c r="SZV50" s="32"/>
      <c r="SZW50" s="32"/>
      <c r="SZX50" s="32"/>
      <c r="SZY50" s="32"/>
      <c r="SZZ50" s="32"/>
      <c r="TAA50" s="32"/>
      <c r="TAB50" s="32"/>
      <c r="TAC50" s="32"/>
      <c r="TAD50" s="32"/>
      <c r="TAE50" s="32"/>
      <c r="TAF50" s="32"/>
      <c r="TAG50" s="32"/>
      <c r="TAH50" s="32"/>
      <c r="TAI50" s="32"/>
      <c r="TAJ50" s="32"/>
      <c r="TAK50" s="32"/>
      <c r="TAL50" s="32"/>
      <c r="TAM50" s="32"/>
      <c r="TAN50" s="32"/>
      <c r="TAO50" s="32"/>
      <c r="TAP50" s="32"/>
      <c r="TAQ50" s="32"/>
      <c r="TAR50" s="32"/>
      <c r="TAS50" s="32"/>
      <c r="TAT50" s="32"/>
      <c r="TAU50" s="32"/>
      <c r="TAV50" s="32"/>
      <c r="TAW50" s="32"/>
      <c r="TAX50" s="32"/>
      <c r="TAY50" s="32"/>
      <c r="TAZ50" s="32"/>
      <c r="TBA50" s="32"/>
      <c r="TBB50" s="32"/>
      <c r="TBC50" s="32"/>
      <c r="TBD50" s="32"/>
      <c r="TBE50" s="32"/>
      <c r="TBF50" s="32"/>
      <c r="TBG50" s="32"/>
      <c r="TBH50" s="32"/>
      <c r="TBI50" s="32"/>
      <c r="TBJ50" s="32"/>
      <c r="TBK50" s="32"/>
      <c r="TBL50" s="32"/>
      <c r="TBM50" s="32"/>
      <c r="TBN50" s="32"/>
      <c r="TBO50" s="32"/>
      <c r="TBP50" s="32"/>
      <c r="TBQ50" s="32"/>
      <c r="TBR50" s="32"/>
      <c r="TBS50" s="32"/>
      <c r="TBT50" s="32"/>
      <c r="TBU50" s="32"/>
      <c r="TBV50" s="32"/>
      <c r="TBW50" s="32"/>
      <c r="TBX50" s="32"/>
      <c r="TBY50" s="32"/>
      <c r="TBZ50" s="32"/>
      <c r="TCA50" s="32"/>
      <c r="TCB50" s="32"/>
      <c r="TCC50" s="32"/>
      <c r="TCD50" s="32"/>
      <c r="TCE50" s="32"/>
      <c r="TCF50" s="32"/>
      <c r="TCG50" s="32"/>
      <c r="TCH50" s="32"/>
      <c r="TCI50" s="32"/>
      <c r="TCJ50" s="32"/>
      <c r="TCK50" s="32"/>
      <c r="TCL50" s="32"/>
      <c r="TCM50" s="32"/>
      <c r="TCN50" s="32"/>
      <c r="TCO50" s="32"/>
      <c r="TCP50" s="32"/>
      <c r="TCQ50" s="32"/>
      <c r="TCR50" s="32"/>
      <c r="TCS50" s="32"/>
      <c r="TCT50" s="32"/>
      <c r="TCU50" s="32"/>
      <c r="TCV50" s="32"/>
      <c r="TCW50" s="32"/>
      <c r="TCX50" s="32"/>
      <c r="TCY50" s="32"/>
      <c r="TCZ50" s="32"/>
      <c r="TDA50" s="32"/>
      <c r="TDB50" s="32"/>
      <c r="TDC50" s="32"/>
      <c r="TDD50" s="32"/>
      <c r="TDE50" s="32"/>
      <c r="TDF50" s="32"/>
      <c r="TDG50" s="32"/>
      <c r="TDH50" s="32"/>
      <c r="TDI50" s="32"/>
      <c r="TDJ50" s="32"/>
      <c r="TDK50" s="32"/>
      <c r="TDL50" s="32"/>
      <c r="TDM50" s="32"/>
      <c r="TDN50" s="32"/>
      <c r="TDO50" s="32"/>
      <c r="TDP50" s="32"/>
      <c r="TDQ50" s="32"/>
      <c r="TDR50" s="32"/>
      <c r="TDS50" s="32"/>
      <c r="TDT50" s="32"/>
      <c r="TDU50" s="32"/>
      <c r="TDV50" s="32"/>
      <c r="TDW50" s="32"/>
      <c r="TDX50" s="32"/>
      <c r="TDY50" s="32"/>
      <c r="TDZ50" s="32"/>
      <c r="TEA50" s="32"/>
      <c r="TEB50" s="32"/>
      <c r="TEC50" s="32"/>
      <c r="TED50" s="32"/>
      <c r="TEE50" s="32"/>
      <c r="TEF50" s="32"/>
      <c r="TEG50" s="32"/>
      <c r="TEH50" s="32"/>
      <c r="TEI50" s="32"/>
      <c r="TEJ50" s="32"/>
      <c r="TEK50" s="32"/>
      <c r="TEL50" s="32"/>
      <c r="TEM50" s="32"/>
      <c r="TEN50" s="32"/>
      <c r="TEO50" s="32"/>
      <c r="TEP50" s="32"/>
      <c r="TEQ50" s="32"/>
      <c r="TER50" s="32"/>
      <c r="TES50" s="32"/>
      <c r="TET50" s="32"/>
      <c r="TEU50" s="32"/>
      <c r="TEV50" s="32"/>
      <c r="TEW50" s="32"/>
      <c r="TEX50" s="32"/>
      <c r="TEY50" s="32"/>
      <c r="TEZ50" s="32"/>
      <c r="TFA50" s="32"/>
      <c r="TFB50" s="32"/>
      <c r="TFC50" s="32"/>
      <c r="TFD50" s="32"/>
      <c r="TFE50" s="32"/>
      <c r="TFF50" s="32"/>
      <c r="TFG50" s="32"/>
      <c r="TFH50" s="32"/>
      <c r="TFI50" s="32"/>
      <c r="TFJ50" s="32"/>
      <c r="TFK50" s="32"/>
      <c r="TFL50" s="32"/>
      <c r="TFM50" s="32"/>
      <c r="TFN50" s="32"/>
      <c r="TFO50" s="32"/>
      <c r="TFP50" s="32"/>
      <c r="TFQ50" s="32"/>
      <c r="TFR50" s="32"/>
      <c r="TFS50" s="32"/>
      <c r="TFT50" s="32"/>
      <c r="TFU50" s="32"/>
      <c r="TFV50" s="32"/>
      <c r="TFW50" s="32"/>
      <c r="TFX50" s="32"/>
      <c r="TFY50" s="32"/>
      <c r="TFZ50" s="32"/>
      <c r="TGA50" s="32"/>
      <c r="TGB50" s="32"/>
      <c r="TGC50" s="32"/>
      <c r="TGD50" s="32"/>
      <c r="TGE50" s="32"/>
      <c r="TGF50" s="32"/>
      <c r="TGG50" s="32"/>
      <c r="TGH50" s="32"/>
      <c r="TGI50" s="32"/>
      <c r="TGJ50" s="32"/>
      <c r="TGK50" s="32"/>
      <c r="TGL50" s="32"/>
      <c r="TGM50" s="32"/>
      <c r="TGN50" s="32"/>
      <c r="TGO50" s="32"/>
      <c r="TGP50" s="32"/>
      <c r="TGQ50" s="32"/>
      <c r="TGR50" s="32"/>
      <c r="TGS50" s="32"/>
      <c r="TGT50" s="32"/>
      <c r="TGU50" s="32"/>
      <c r="TGV50" s="32"/>
      <c r="TGW50" s="32"/>
      <c r="TGX50" s="32"/>
      <c r="TGY50" s="32"/>
      <c r="TGZ50" s="32"/>
      <c r="THA50" s="32"/>
      <c r="THB50" s="32"/>
      <c r="THC50" s="32"/>
      <c r="THD50" s="32"/>
      <c r="THE50" s="32"/>
      <c r="THF50" s="32"/>
      <c r="THG50" s="32"/>
      <c r="THH50" s="32"/>
      <c r="THI50" s="32"/>
      <c r="THJ50" s="32"/>
      <c r="THK50" s="32"/>
      <c r="THL50" s="32"/>
      <c r="THM50" s="32"/>
      <c r="THN50" s="32"/>
      <c r="THO50" s="32"/>
      <c r="THP50" s="32"/>
      <c r="THQ50" s="32"/>
      <c r="THR50" s="32"/>
      <c r="THS50" s="32"/>
      <c r="THT50" s="32"/>
      <c r="THU50" s="32"/>
      <c r="THV50" s="32"/>
      <c r="THW50" s="32"/>
      <c r="THX50" s="32"/>
      <c r="THY50" s="32"/>
      <c r="THZ50" s="32"/>
      <c r="TIA50" s="32"/>
      <c r="TIB50" s="32"/>
      <c r="TIC50" s="32"/>
      <c r="TID50" s="32"/>
      <c r="TIE50" s="32"/>
      <c r="TIF50" s="32"/>
      <c r="TIG50" s="32"/>
      <c r="TIH50" s="32"/>
      <c r="TII50" s="32"/>
      <c r="TIJ50" s="32"/>
      <c r="TIK50" s="32"/>
      <c r="TIL50" s="32"/>
      <c r="TIM50" s="32"/>
      <c r="TIN50" s="32"/>
      <c r="TIO50" s="32"/>
      <c r="TIP50" s="32"/>
      <c r="TIQ50" s="32"/>
      <c r="TIR50" s="32"/>
      <c r="TIS50" s="32"/>
      <c r="TIT50" s="32"/>
      <c r="TIU50" s="32"/>
      <c r="TIV50" s="32"/>
      <c r="TIW50" s="32"/>
      <c r="TIX50" s="32"/>
      <c r="TIY50" s="32"/>
      <c r="TIZ50" s="32"/>
      <c r="TJA50" s="32"/>
      <c r="TJB50" s="32"/>
      <c r="TJC50" s="32"/>
      <c r="TJD50" s="32"/>
      <c r="TJE50" s="32"/>
      <c r="TJF50" s="32"/>
      <c r="TJG50" s="32"/>
      <c r="TJH50" s="32"/>
      <c r="TJI50" s="32"/>
      <c r="TJJ50" s="32"/>
      <c r="TJK50" s="32"/>
      <c r="TJL50" s="32"/>
      <c r="TJM50" s="32"/>
      <c r="TJN50" s="32"/>
      <c r="TJO50" s="32"/>
      <c r="TJP50" s="32"/>
      <c r="TJQ50" s="32"/>
      <c r="TJR50" s="32"/>
      <c r="TJS50" s="32"/>
      <c r="TJT50" s="32"/>
      <c r="TJU50" s="32"/>
      <c r="TJV50" s="32"/>
      <c r="TJW50" s="32"/>
      <c r="TJX50" s="32"/>
      <c r="TJY50" s="32"/>
      <c r="TJZ50" s="32"/>
      <c r="TKA50" s="32"/>
      <c r="TKB50" s="32"/>
      <c r="TKC50" s="32"/>
      <c r="TKD50" s="32"/>
      <c r="TKE50" s="32"/>
      <c r="TKF50" s="32"/>
      <c r="TKG50" s="32"/>
      <c r="TKH50" s="32"/>
      <c r="TKI50" s="32"/>
      <c r="TKJ50" s="32"/>
      <c r="TKK50" s="32"/>
      <c r="TKL50" s="32"/>
      <c r="TKM50" s="32"/>
      <c r="TKN50" s="32"/>
      <c r="TKO50" s="32"/>
      <c r="TKP50" s="32"/>
      <c r="TKQ50" s="32"/>
      <c r="TKR50" s="32"/>
      <c r="TKS50" s="32"/>
      <c r="TKT50" s="32"/>
      <c r="TKU50" s="32"/>
      <c r="TKV50" s="32"/>
      <c r="TKW50" s="32"/>
      <c r="TKX50" s="32"/>
      <c r="TKY50" s="32"/>
      <c r="TKZ50" s="32"/>
      <c r="TLA50" s="32"/>
      <c r="TLB50" s="32"/>
      <c r="TLC50" s="32"/>
      <c r="TLD50" s="32"/>
      <c r="TLE50" s="32"/>
      <c r="TLF50" s="32"/>
      <c r="TLG50" s="32"/>
      <c r="TLH50" s="32"/>
      <c r="TLI50" s="32"/>
      <c r="TLJ50" s="32"/>
      <c r="TLK50" s="32"/>
      <c r="TLL50" s="32"/>
      <c r="TLM50" s="32"/>
      <c r="TLN50" s="32"/>
      <c r="TLO50" s="32"/>
      <c r="TLP50" s="32"/>
      <c r="TLQ50" s="32"/>
      <c r="TLR50" s="32"/>
      <c r="TLS50" s="32"/>
      <c r="TLT50" s="32"/>
      <c r="TLU50" s="32"/>
      <c r="TLV50" s="32"/>
      <c r="TLW50" s="32"/>
      <c r="TLX50" s="32"/>
      <c r="TLY50" s="32"/>
      <c r="TLZ50" s="32"/>
      <c r="TMA50" s="32"/>
      <c r="TMB50" s="32"/>
      <c r="TMC50" s="32"/>
      <c r="TMD50" s="32"/>
      <c r="TME50" s="32"/>
      <c r="TMF50" s="32"/>
      <c r="TMG50" s="32"/>
      <c r="TMH50" s="32"/>
      <c r="TMI50" s="32"/>
      <c r="TMJ50" s="32"/>
      <c r="TMK50" s="32"/>
      <c r="TML50" s="32"/>
      <c r="TMM50" s="32"/>
      <c r="TMN50" s="32"/>
      <c r="TMO50" s="32"/>
      <c r="TMP50" s="32"/>
      <c r="TMQ50" s="32"/>
      <c r="TMR50" s="32"/>
      <c r="TMS50" s="32"/>
      <c r="TMT50" s="32"/>
      <c r="TMU50" s="32"/>
      <c r="TMV50" s="32"/>
      <c r="TMW50" s="32"/>
      <c r="TMX50" s="32"/>
      <c r="TMY50" s="32"/>
      <c r="TMZ50" s="32"/>
      <c r="TNA50" s="32"/>
      <c r="TNB50" s="32"/>
      <c r="TNC50" s="32"/>
      <c r="TND50" s="32"/>
      <c r="TNE50" s="32"/>
      <c r="TNF50" s="32"/>
      <c r="TNG50" s="32"/>
      <c r="TNH50" s="32"/>
      <c r="TNI50" s="32"/>
      <c r="TNJ50" s="32"/>
      <c r="TNK50" s="32"/>
      <c r="TNL50" s="32"/>
      <c r="TNM50" s="32"/>
      <c r="TNN50" s="32"/>
      <c r="TNO50" s="32"/>
      <c r="TNP50" s="32"/>
      <c r="TNQ50" s="32"/>
      <c r="TNR50" s="32"/>
      <c r="TNS50" s="32"/>
      <c r="TNT50" s="32"/>
      <c r="TNU50" s="32"/>
      <c r="TNV50" s="32"/>
      <c r="TNW50" s="32"/>
      <c r="TNX50" s="32"/>
      <c r="TNY50" s="32"/>
      <c r="TNZ50" s="32"/>
      <c r="TOA50" s="32"/>
      <c r="TOB50" s="32"/>
      <c r="TOC50" s="32"/>
      <c r="TOD50" s="32"/>
      <c r="TOE50" s="32"/>
      <c r="TOF50" s="32"/>
      <c r="TOG50" s="32"/>
      <c r="TOH50" s="32"/>
      <c r="TOI50" s="32"/>
      <c r="TOJ50" s="32"/>
      <c r="TOK50" s="32"/>
      <c r="TOL50" s="32"/>
      <c r="TOM50" s="32"/>
      <c r="TON50" s="32"/>
      <c r="TOO50" s="32"/>
      <c r="TOP50" s="32"/>
      <c r="TOQ50" s="32"/>
      <c r="TOR50" s="32"/>
      <c r="TOS50" s="32"/>
      <c r="TOT50" s="32"/>
      <c r="TOU50" s="32"/>
      <c r="TOV50" s="32"/>
      <c r="TOW50" s="32"/>
      <c r="TOX50" s="32"/>
      <c r="TOY50" s="32"/>
      <c r="TOZ50" s="32"/>
      <c r="TPA50" s="32"/>
      <c r="TPB50" s="32"/>
      <c r="TPC50" s="32"/>
      <c r="TPD50" s="32"/>
      <c r="TPE50" s="32"/>
      <c r="TPF50" s="32"/>
      <c r="TPG50" s="32"/>
      <c r="TPH50" s="32"/>
      <c r="TPI50" s="32"/>
      <c r="TPJ50" s="32"/>
      <c r="TPK50" s="32"/>
      <c r="TPL50" s="32"/>
      <c r="TPM50" s="32"/>
      <c r="TPN50" s="32"/>
      <c r="TPO50" s="32"/>
      <c r="TPP50" s="32"/>
      <c r="TPQ50" s="32"/>
      <c r="TPR50" s="32"/>
      <c r="TPS50" s="32"/>
      <c r="TPT50" s="32"/>
      <c r="TPU50" s="32"/>
      <c r="TPV50" s="32"/>
      <c r="TPW50" s="32"/>
      <c r="TPX50" s="32"/>
      <c r="TPY50" s="32"/>
      <c r="TPZ50" s="32"/>
      <c r="TQA50" s="32"/>
      <c r="TQB50" s="32"/>
      <c r="TQC50" s="32"/>
      <c r="TQD50" s="32"/>
      <c r="TQE50" s="32"/>
      <c r="TQF50" s="32"/>
      <c r="TQG50" s="32"/>
      <c r="TQH50" s="32"/>
      <c r="TQI50" s="32"/>
      <c r="TQJ50" s="32"/>
      <c r="TQK50" s="32"/>
      <c r="TQL50" s="32"/>
      <c r="TQM50" s="32"/>
      <c r="TQN50" s="32"/>
      <c r="TQO50" s="32"/>
      <c r="TQP50" s="32"/>
      <c r="TQQ50" s="32"/>
      <c r="TQR50" s="32"/>
      <c r="TQS50" s="32"/>
      <c r="TQT50" s="32"/>
      <c r="TQU50" s="32"/>
      <c r="TQV50" s="32"/>
      <c r="TQW50" s="32"/>
      <c r="TQX50" s="32"/>
      <c r="TQY50" s="32"/>
      <c r="TQZ50" s="32"/>
      <c r="TRA50" s="32"/>
      <c r="TRB50" s="32"/>
      <c r="TRC50" s="32"/>
      <c r="TRD50" s="32"/>
      <c r="TRE50" s="32"/>
      <c r="TRF50" s="32"/>
      <c r="TRG50" s="32"/>
      <c r="TRH50" s="32"/>
      <c r="TRI50" s="32"/>
      <c r="TRJ50" s="32"/>
      <c r="TRK50" s="32"/>
      <c r="TRL50" s="32"/>
      <c r="TRM50" s="32"/>
      <c r="TRN50" s="32"/>
      <c r="TRO50" s="32"/>
      <c r="TRP50" s="32"/>
      <c r="TRQ50" s="32"/>
      <c r="TRR50" s="32"/>
      <c r="TRS50" s="32"/>
      <c r="TRT50" s="32"/>
      <c r="TRU50" s="32"/>
      <c r="TRV50" s="32"/>
      <c r="TRW50" s="32"/>
      <c r="TRX50" s="32"/>
      <c r="TRY50" s="32"/>
      <c r="TRZ50" s="32"/>
      <c r="TSA50" s="32"/>
      <c r="TSB50" s="32"/>
      <c r="TSC50" s="32"/>
      <c r="TSD50" s="32"/>
      <c r="TSE50" s="32"/>
      <c r="TSF50" s="32"/>
      <c r="TSG50" s="32"/>
      <c r="TSH50" s="32"/>
      <c r="TSI50" s="32"/>
      <c r="TSJ50" s="32"/>
      <c r="TSK50" s="32"/>
      <c r="TSL50" s="32"/>
      <c r="TSM50" s="32"/>
      <c r="TSN50" s="32"/>
      <c r="TSO50" s="32"/>
      <c r="TSP50" s="32"/>
      <c r="TSQ50" s="32"/>
      <c r="TSR50" s="32"/>
      <c r="TSS50" s="32"/>
      <c r="TST50" s="32"/>
      <c r="TSU50" s="32"/>
      <c r="TSV50" s="32"/>
      <c r="TSW50" s="32"/>
      <c r="TSX50" s="32"/>
      <c r="TSY50" s="32"/>
      <c r="TSZ50" s="32"/>
      <c r="TTA50" s="32"/>
      <c r="TTB50" s="32"/>
      <c r="TTC50" s="32"/>
      <c r="TTD50" s="32"/>
      <c r="TTE50" s="32"/>
      <c r="TTF50" s="32"/>
      <c r="TTG50" s="32"/>
      <c r="TTH50" s="32"/>
      <c r="TTI50" s="32"/>
      <c r="TTJ50" s="32"/>
      <c r="TTK50" s="32"/>
      <c r="TTL50" s="32"/>
      <c r="TTM50" s="32"/>
      <c r="TTN50" s="32"/>
      <c r="TTO50" s="32"/>
      <c r="TTP50" s="32"/>
      <c r="TTQ50" s="32"/>
      <c r="TTR50" s="32"/>
      <c r="TTS50" s="32"/>
      <c r="TTT50" s="32"/>
      <c r="TTU50" s="32"/>
      <c r="TTV50" s="32"/>
      <c r="TTW50" s="32"/>
      <c r="TTX50" s="32"/>
      <c r="TTY50" s="32"/>
      <c r="TTZ50" s="32"/>
      <c r="TUA50" s="32"/>
      <c r="TUB50" s="32"/>
      <c r="TUC50" s="32"/>
      <c r="TUD50" s="32"/>
      <c r="TUE50" s="32"/>
      <c r="TUF50" s="32"/>
      <c r="TUG50" s="32"/>
      <c r="TUH50" s="32"/>
      <c r="TUI50" s="32"/>
      <c r="TUJ50" s="32"/>
      <c r="TUK50" s="32"/>
      <c r="TUL50" s="32"/>
      <c r="TUM50" s="32"/>
      <c r="TUN50" s="32"/>
      <c r="TUO50" s="32"/>
      <c r="TUP50" s="32"/>
      <c r="TUQ50" s="32"/>
      <c r="TUR50" s="32"/>
      <c r="TUS50" s="32"/>
      <c r="TUT50" s="32"/>
      <c r="TUU50" s="32"/>
      <c r="TUV50" s="32"/>
      <c r="TUW50" s="32"/>
      <c r="TUX50" s="32"/>
      <c r="TUY50" s="32"/>
      <c r="TUZ50" s="32"/>
      <c r="TVA50" s="32"/>
      <c r="TVB50" s="32"/>
      <c r="TVC50" s="32"/>
      <c r="TVD50" s="32"/>
      <c r="TVE50" s="32"/>
      <c r="TVF50" s="32"/>
      <c r="TVG50" s="32"/>
      <c r="TVH50" s="32"/>
      <c r="TVI50" s="32"/>
      <c r="TVJ50" s="32"/>
      <c r="TVK50" s="32"/>
      <c r="TVL50" s="32"/>
      <c r="TVM50" s="32"/>
      <c r="TVN50" s="32"/>
      <c r="TVO50" s="32"/>
      <c r="TVP50" s="32"/>
      <c r="TVQ50" s="32"/>
      <c r="TVR50" s="32"/>
      <c r="TVS50" s="32"/>
      <c r="TVT50" s="32"/>
      <c r="TVU50" s="32"/>
      <c r="TVV50" s="32"/>
      <c r="TVW50" s="32"/>
      <c r="TVX50" s="32"/>
      <c r="TVY50" s="32"/>
      <c r="TVZ50" s="32"/>
      <c r="TWA50" s="32"/>
      <c r="TWB50" s="32"/>
      <c r="TWC50" s="32"/>
      <c r="TWD50" s="32"/>
      <c r="TWE50" s="32"/>
      <c r="TWF50" s="32"/>
      <c r="TWG50" s="32"/>
      <c r="TWH50" s="32"/>
      <c r="TWI50" s="32"/>
      <c r="TWJ50" s="32"/>
      <c r="TWK50" s="32"/>
      <c r="TWL50" s="32"/>
      <c r="TWM50" s="32"/>
      <c r="TWN50" s="32"/>
      <c r="TWO50" s="32"/>
      <c r="TWP50" s="32"/>
      <c r="TWQ50" s="32"/>
      <c r="TWR50" s="32"/>
      <c r="TWS50" s="32"/>
      <c r="TWT50" s="32"/>
      <c r="TWU50" s="32"/>
      <c r="TWV50" s="32"/>
      <c r="TWW50" s="32"/>
      <c r="TWX50" s="32"/>
      <c r="TWY50" s="32"/>
      <c r="TWZ50" s="32"/>
      <c r="TXA50" s="32"/>
      <c r="TXB50" s="32"/>
      <c r="TXC50" s="32"/>
      <c r="TXD50" s="32"/>
      <c r="TXE50" s="32"/>
      <c r="TXF50" s="32"/>
      <c r="TXG50" s="32"/>
      <c r="TXH50" s="32"/>
      <c r="TXI50" s="32"/>
      <c r="TXJ50" s="32"/>
      <c r="TXK50" s="32"/>
      <c r="TXL50" s="32"/>
      <c r="TXM50" s="32"/>
      <c r="TXN50" s="32"/>
      <c r="TXO50" s="32"/>
      <c r="TXP50" s="32"/>
      <c r="TXQ50" s="32"/>
      <c r="TXR50" s="32"/>
      <c r="TXS50" s="32"/>
      <c r="TXT50" s="32"/>
      <c r="TXU50" s="32"/>
      <c r="TXV50" s="32"/>
      <c r="TXW50" s="32"/>
      <c r="TXX50" s="32"/>
      <c r="TXY50" s="32"/>
      <c r="TXZ50" s="32"/>
      <c r="TYA50" s="32"/>
      <c r="TYB50" s="32"/>
      <c r="TYC50" s="32"/>
      <c r="TYD50" s="32"/>
      <c r="TYE50" s="32"/>
      <c r="TYF50" s="32"/>
      <c r="TYG50" s="32"/>
      <c r="TYH50" s="32"/>
      <c r="TYI50" s="32"/>
      <c r="TYJ50" s="32"/>
      <c r="TYK50" s="32"/>
      <c r="TYL50" s="32"/>
      <c r="TYM50" s="32"/>
      <c r="TYN50" s="32"/>
      <c r="TYO50" s="32"/>
      <c r="TYP50" s="32"/>
      <c r="TYQ50" s="32"/>
      <c r="TYR50" s="32"/>
      <c r="TYS50" s="32"/>
      <c r="TYT50" s="32"/>
      <c r="TYU50" s="32"/>
      <c r="TYV50" s="32"/>
      <c r="TYW50" s="32"/>
      <c r="TYX50" s="32"/>
      <c r="TYY50" s="32"/>
      <c r="TYZ50" s="32"/>
      <c r="TZA50" s="32"/>
      <c r="TZB50" s="32"/>
      <c r="TZC50" s="32"/>
      <c r="TZD50" s="32"/>
      <c r="TZE50" s="32"/>
      <c r="TZF50" s="32"/>
      <c r="TZG50" s="32"/>
      <c r="TZH50" s="32"/>
      <c r="TZI50" s="32"/>
      <c r="TZJ50" s="32"/>
      <c r="TZK50" s="32"/>
      <c r="TZL50" s="32"/>
      <c r="TZM50" s="32"/>
      <c r="TZN50" s="32"/>
      <c r="TZO50" s="32"/>
      <c r="TZP50" s="32"/>
      <c r="TZQ50" s="32"/>
      <c r="TZR50" s="32"/>
      <c r="TZS50" s="32"/>
      <c r="TZT50" s="32"/>
      <c r="TZU50" s="32"/>
      <c r="TZV50" s="32"/>
      <c r="TZW50" s="32"/>
      <c r="TZX50" s="32"/>
      <c r="TZY50" s="32"/>
      <c r="TZZ50" s="32"/>
      <c r="UAA50" s="32"/>
      <c r="UAB50" s="32"/>
      <c r="UAC50" s="32"/>
      <c r="UAD50" s="32"/>
      <c r="UAE50" s="32"/>
      <c r="UAF50" s="32"/>
      <c r="UAG50" s="32"/>
      <c r="UAH50" s="32"/>
      <c r="UAI50" s="32"/>
      <c r="UAJ50" s="32"/>
      <c r="UAK50" s="32"/>
      <c r="UAL50" s="32"/>
      <c r="UAM50" s="32"/>
      <c r="UAN50" s="32"/>
      <c r="UAO50" s="32"/>
      <c r="UAP50" s="32"/>
      <c r="UAQ50" s="32"/>
      <c r="UAR50" s="32"/>
      <c r="UAS50" s="32"/>
      <c r="UAT50" s="32"/>
      <c r="UAU50" s="32"/>
      <c r="UAV50" s="32"/>
      <c r="UAW50" s="32"/>
      <c r="UAX50" s="32"/>
      <c r="UAY50" s="32"/>
      <c r="UAZ50" s="32"/>
      <c r="UBA50" s="32"/>
      <c r="UBB50" s="32"/>
      <c r="UBC50" s="32"/>
      <c r="UBD50" s="32"/>
      <c r="UBE50" s="32"/>
      <c r="UBF50" s="32"/>
      <c r="UBG50" s="32"/>
      <c r="UBH50" s="32"/>
      <c r="UBI50" s="32"/>
      <c r="UBJ50" s="32"/>
      <c r="UBK50" s="32"/>
      <c r="UBL50" s="32"/>
      <c r="UBM50" s="32"/>
      <c r="UBN50" s="32"/>
      <c r="UBO50" s="32"/>
      <c r="UBP50" s="32"/>
      <c r="UBQ50" s="32"/>
      <c r="UBR50" s="32"/>
      <c r="UBS50" s="32"/>
      <c r="UBT50" s="32"/>
      <c r="UBU50" s="32"/>
      <c r="UBV50" s="32"/>
      <c r="UBW50" s="32"/>
      <c r="UBX50" s="32"/>
      <c r="UBY50" s="32"/>
      <c r="UBZ50" s="32"/>
      <c r="UCA50" s="32"/>
      <c r="UCB50" s="32"/>
      <c r="UCC50" s="32"/>
      <c r="UCD50" s="32"/>
      <c r="UCE50" s="32"/>
      <c r="UCF50" s="32"/>
      <c r="UCG50" s="32"/>
      <c r="UCH50" s="32"/>
      <c r="UCI50" s="32"/>
      <c r="UCJ50" s="32"/>
      <c r="UCK50" s="32"/>
      <c r="UCL50" s="32"/>
      <c r="UCM50" s="32"/>
      <c r="UCN50" s="32"/>
      <c r="UCO50" s="32"/>
      <c r="UCP50" s="32"/>
      <c r="UCQ50" s="32"/>
      <c r="UCR50" s="32"/>
      <c r="UCS50" s="32"/>
      <c r="UCT50" s="32"/>
      <c r="UCU50" s="32"/>
      <c r="UCV50" s="32"/>
      <c r="UCW50" s="32"/>
      <c r="UCX50" s="32"/>
      <c r="UCY50" s="32"/>
      <c r="UCZ50" s="32"/>
      <c r="UDA50" s="32"/>
      <c r="UDB50" s="32"/>
      <c r="UDC50" s="32"/>
      <c r="UDD50" s="32"/>
      <c r="UDE50" s="32"/>
      <c r="UDF50" s="32"/>
      <c r="UDG50" s="32"/>
      <c r="UDH50" s="32"/>
      <c r="UDI50" s="32"/>
      <c r="UDJ50" s="32"/>
      <c r="UDK50" s="32"/>
      <c r="UDL50" s="32"/>
      <c r="UDM50" s="32"/>
      <c r="UDN50" s="32"/>
      <c r="UDO50" s="32"/>
      <c r="UDP50" s="32"/>
      <c r="UDQ50" s="32"/>
      <c r="UDR50" s="32"/>
      <c r="UDS50" s="32"/>
      <c r="UDT50" s="32"/>
      <c r="UDU50" s="32"/>
      <c r="UDV50" s="32"/>
      <c r="UDW50" s="32"/>
      <c r="UDX50" s="32"/>
      <c r="UDY50" s="32"/>
      <c r="UDZ50" s="32"/>
      <c r="UEA50" s="32"/>
      <c r="UEB50" s="32"/>
      <c r="UEC50" s="32"/>
      <c r="UED50" s="32"/>
      <c r="UEE50" s="32"/>
      <c r="UEF50" s="32"/>
      <c r="UEG50" s="32"/>
      <c r="UEH50" s="32"/>
      <c r="UEI50" s="32"/>
      <c r="UEJ50" s="32"/>
      <c r="UEK50" s="32"/>
      <c r="UEL50" s="32"/>
      <c r="UEM50" s="32"/>
      <c r="UEN50" s="32"/>
      <c r="UEO50" s="32"/>
      <c r="UEP50" s="32"/>
      <c r="UEQ50" s="32"/>
      <c r="UER50" s="32"/>
      <c r="UES50" s="32"/>
      <c r="UET50" s="32"/>
      <c r="UEU50" s="32"/>
      <c r="UEV50" s="32"/>
      <c r="UEW50" s="32"/>
      <c r="UEX50" s="32"/>
      <c r="UEY50" s="32"/>
      <c r="UEZ50" s="32"/>
      <c r="UFA50" s="32"/>
      <c r="UFB50" s="32"/>
      <c r="UFC50" s="32"/>
      <c r="UFD50" s="32"/>
      <c r="UFE50" s="32"/>
      <c r="UFF50" s="32"/>
      <c r="UFG50" s="32"/>
      <c r="UFH50" s="32"/>
      <c r="UFI50" s="32"/>
      <c r="UFJ50" s="32"/>
      <c r="UFK50" s="32"/>
      <c r="UFL50" s="32"/>
      <c r="UFM50" s="32"/>
      <c r="UFN50" s="32"/>
      <c r="UFO50" s="32"/>
      <c r="UFP50" s="32"/>
      <c r="UFQ50" s="32"/>
      <c r="UFR50" s="32"/>
      <c r="UFS50" s="32"/>
      <c r="UFT50" s="32"/>
      <c r="UFU50" s="32"/>
      <c r="UFV50" s="32"/>
      <c r="UFW50" s="32"/>
      <c r="UFX50" s="32"/>
      <c r="UFY50" s="32"/>
      <c r="UFZ50" s="32"/>
      <c r="UGA50" s="32"/>
      <c r="UGB50" s="32"/>
      <c r="UGC50" s="32"/>
      <c r="UGD50" s="32"/>
      <c r="UGE50" s="32"/>
      <c r="UGF50" s="32"/>
      <c r="UGG50" s="32"/>
      <c r="UGH50" s="32"/>
      <c r="UGI50" s="32"/>
      <c r="UGJ50" s="32"/>
      <c r="UGK50" s="32"/>
      <c r="UGL50" s="32"/>
      <c r="UGM50" s="32"/>
      <c r="UGN50" s="32"/>
      <c r="UGO50" s="32"/>
      <c r="UGP50" s="32"/>
      <c r="UGQ50" s="32"/>
      <c r="UGR50" s="32"/>
      <c r="UGS50" s="32"/>
      <c r="UGT50" s="32"/>
      <c r="UGU50" s="32"/>
      <c r="UGV50" s="32"/>
      <c r="UGW50" s="32"/>
      <c r="UGX50" s="32"/>
      <c r="UGY50" s="32"/>
      <c r="UGZ50" s="32"/>
      <c r="UHA50" s="32"/>
      <c r="UHB50" s="32"/>
      <c r="UHC50" s="32"/>
      <c r="UHD50" s="32"/>
      <c r="UHE50" s="32"/>
      <c r="UHF50" s="32"/>
      <c r="UHG50" s="32"/>
      <c r="UHH50" s="32"/>
      <c r="UHI50" s="32"/>
      <c r="UHJ50" s="32"/>
      <c r="UHK50" s="32"/>
      <c r="UHL50" s="32"/>
      <c r="UHM50" s="32"/>
      <c r="UHN50" s="32"/>
      <c r="UHO50" s="32"/>
      <c r="UHP50" s="32"/>
      <c r="UHQ50" s="32"/>
      <c r="UHR50" s="32"/>
      <c r="UHS50" s="32"/>
      <c r="UHT50" s="32"/>
      <c r="UHU50" s="32"/>
      <c r="UHV50" s="32"/>
      <c r="UHW50" s="32"/>
      <c r="UHX50" s="32"/>
      <c r="UHY50" s="32"/>
      <c r="UHZ50" s="32"/>
      <c r="UIA50" s="32"/>
      <c r="UIB50" s="32"/>
      <c r="UIC50" s="32"/>
      <c r="UID50" s="32"/>
      <c r="UIE50" s="32"/>
      <c r="UIF50" s="32"/>
      <c r="UIG50" s="32"/>
      <c r="UIH50" s="32"/>
      <c r="UII50" s="32"/>
      <c r="UIJ50" s="32"/>
      <c r="UIK50" s="32"/>
      <c r="UIL50" s="32"/>
      <c r="UIM50" s="32"/>
      <c r="UIN50" s="32"/>
      <c r="UIO50" s="32"/>
      <c r="UIP50" s="32"/>
      <c r="UIQ50" s="32"/>
      <c r="UIR50" s="32"/>
      <c r="UIS50" s="32"/>
      <c r="UIT50" s="32"/>
      <c r="UIU50" s="32"/>
      <c r="UIV50" s="32"/>
      <c r="UIW50" s="32"/>
      <c r="UIX50" s="32"/>
      <c r="UIY50" s="32"/>
      <c r="UIZ50" s="32"/>
      <c r="UJA50" s="32"/>
      <c r="UJB50" s="32"/>
      <c r="UJC50" s="32"/>
      <c r="UJD50" s="32"/>
      <c r="UJE50" s="32"/>
      <c r="UJF50" s="32"/>
      <c r="UJG50" s="32"/>
      <c r="UJH50" s="32"/>
      <c r="UJI50" s="32"/>
      <c r="UJJ50" s="32"/>
      <c r="UJK50" s="32"/>
      <c r="UJL50" s="32"/>
      <c r="UJM50" s="32"/>
      <c r="UJN50" s="32"/>
      <c r="UJO50" s="32"/>
      <c r="UJP50" s="32"/>
      <c r="UJQ50" s="32"/>
      <c r="UJR50" s="32"/>
      <c r="UJS50" s="32"/>
      <c r="UJT50" s="32"/>
      <c r="UJU50" s="32"/>
      <c r="UJV50" s="32"/>
      <c r="UJW50" s="32"/>
      <c r="UJX50" s="32"/>
      <c r="UJY50" s="32"/>
      <c r="UJZ50" s="32"/>
      <c r="UKA50" s="32"/>
      <c r="UKB50" s="32"/>
      <c r="UKC50" s="32"/>
      <c r="UKD50" s="32"/>
      <c r="UKE50" s="32"/>
      <c r="UKF50" s="32"/>
      <c r="UKG50" s="32"/>
      <c r="UKH50" s="32"/>
      <c r="UKI50" s="32"/>
      <c r="UKJ50" s="32"/>
      <c r="UKK50" s="32"/>
      <c r="UKL50" s="32"/>
      <c r="UKM50" s="32"/>
      <c r="UKN50" s="32"/>
      <c r="UKO50" s="32"/>
      <c r="UKP50" s="32"/>
      <c r="UKQ50" s="32"/>
      <c r="UKR50" s="32"/>
      <c r="UKS50" s="32"/>
      <c r="UKT50" s="32"/>
      <c r="UKU50" s="32"/>
      <c r="UKV50" s="32"/>
      <c r="UKW50" s="32"/>
      <c r="UKX50" s="32"/>
      <c r="UKY50" s="32"/>
      <c r="UKZ50" s="32"/>
      <c r="ULA50" s="32"/>
      <c r="ULB50" s="32"/>
      <c r="ULC50" s="32"/>
      <c r="ULD50" s="32"/>
      <c r="ULE50" s="32"/>
      <c r="ULF50" s="32"/>
      <c r="ULG50" s="32"/>
      <c r="ULH50" s="32"/>
      <c r="ULI50" s="32"/>
      <c r="ULJ50" s="32"/>
      <c r="ULK50" s="32"/>
      <c r="ULL50" s="32"/>
      <c r="ULM50" s="32"/>
      <c r="ULN50" s="32"/>
      <c r="ULO50" s="32"/>
      <c r="ULP50" s="32"/>
      <c r="ULQ50" s="32"/>
      <c r="ULR50" s="32"/>
      <c r="ULS50" s="32"/>
      <c r="ULT50" s="32"/>
      <c r="ULU50" s="32"/>
      <c r="ULV50" s="32"/>
      <c r="ULW50" s="32"/>
      <c r="ULX50" s="32"/>
      <c r="ULY50" s="32"/>
      <c r="ULZ50" s="32"/>
      <c r="UMA50" s="32"/>
      <c r="UMB50" s="32"/>
      <c r="UMC50" s="32"/>
      <c r="UMD50" s="32"/>
      <c r="UME50" s="32"/>
      <c r="UMF50" s="32"/>
      <c r="UMG50" s="32"/>
      <c r="UMH50" s="32"/>
      <c r="UMI50" s="32"/>
      <c r="UMJ50" s="32"/>
      <c r="UMK50" s="32"/>
      <c r="UML50" s="32"/>
      <c r="UMM50" s="32"/>
      <c r="UMN50" s="32"/>
      <c r="UMO50" s="32"/>
      <c r="UMP50" s="32"/>
      <c r="UMQ50" s="32"/>
      <c r="UMR50" s="32"/>
      <c r="UMS50" s="32"/>
      <c r="UMT50" s="32"/>
      <c r="UMU50" s="32"/>
      <c r="UMV50" s="32"/>
      <c r="UMW50" s="32"/>
      <c r="UMX50" s="32"/>
      <c r="UMY50" s="32"/>
      <c r="UMZ50" s="32"/>
      <c r="UNA50" s="32"/>
      <c r="UNB50" s="32"/>
      <c r="UNC50" s="32"/>
      <c r="UND50" s="32"/>
      <c r="UNE50" s="32"/>
      <c r="UNF50" s="32"/>
      <c r="UNG50" s="32"/>
      <c r="UNH50" s="32"/>
      <c r="UNI50" s="32"/>
      <c r="UNJ50" s="32"/>
      <c r="UNK50" s="32"/>
      <c r="UNL50" s="32"/>
      <c r="UNM50" s="32"/>
      <c r="UNN50" s="32"/>
      <c r="UNO50" s="32"/>
      <c r="UNP50" s="32"/>
      <c r="UNQ50" s="32"/>
      <c r="UNR50" s="32"/>
      <c r="UNS50" s="32"/>
      <c r="UNT50" s="32"/>
      <c r="UNU50" s="32"/>
      <c r="UNV50" s="32"/>
      <c r="UNW50" s="32"/>
      <c r="UNX50" s="32"/>
      <c r="UNY50" s="32"/>
      <c r="UNZ50" s="32"/>
      <c r="UOA50" s="32"/>
      <c r="UOB50" s="32"/>
      <c r="UOC50" s="32"/>
      <c r="UOD50" s="32"/>
      <c r="UOE50" s="32"/>
      <c r="UOF50" s="32"/>
      <c r="UOG50" s="32"/>
      <c r="UOH50" s="32"/>
      <c r="UOI50" s="32"/>
      <c r="UOJ50" s="32"/>
      <c r="UOK50" s="32"/>
      <c r="UOL50" s="32"/>
      <c r="UOM50" s="32"/>
      <c r="UON50" s="32"/>
      <c r="UOO50" s="32"/>
      <c r="UOP50" s="32"/>
      <c r="UOQ50" s="32"/>
      <c r="UOR50" s="32"/>
      <c r="UOS50" s="32"/>
      <c r="UOT50" s="32"/>
      <c r="UOU50" s="32"/>
      <c r="UOV50" s="32"/>
      <c r="UOW50" s="32"/>
      <c r="UOX50" s="32"/>
      <c r="UOY50" s="32"/>
      <c r="UOZ50" s="32"/>
      <c r="UPA50" s="32"/>
      <c r="UPB50" s="32"/>
      <c r="UPC50" s="32"/>
      <c r="UPD50" s="32"/>
      <c r="UPE50" s="32"/>
      <c r="UPF50" s="32"/>
      <c r="UPG50" s="32"/>
      <c r="UPH50" s="32"/>
      <c r="UPI50" s="32"/>
      <c r="UPJ50" s="32"/>
      <c r="UPK50" s="32"/>
      <c r="UPL50" s="32"/>
      <c r="UPM50" s="32"/>
      <c r="UPN50" s="32"/>
      <c r="UPO50" s="32"/>
      <c r="UPP50" s="32"/>
      <c r="UPQ50" s="32"/>
      <c r="UPR50" s="32"/>
      <c r="UPS50" s="32"/>
      <c r="UPT50" s="32"/>
      <c r="UPU50" s="32"/>
      <c r="UPV50" s="32"/>
      <c r="UPW50" s="32"/>
      <c r="UPX50" s="32"/>
      <c r="UPY50" s="32"/>
      <c r="UPZ50" s="32"/>
      <c r="UQA50" s="32"/>
      <c r="UQB50" s="32"/>
      <c r="UQC50" s="32"/>
      <c r="UQD50" s="32"/>
      <c r="UQE50" s="32"/>
      <c r="UQF50" s="32"/>
      <c r="UQG50" s="32"/>
      <c r="UQH50" s="32"/>
      <c r="UQI50" s="32"/>
      <c r="UQJ50" s="32"/>
      <c r="UQK50" s="32"/>
      <c r="UQL50" s="32"/>
      <c r="UQM50" s="32"/>
      <c r="UQN50" s="32"/>
      <c r="UQO50" s="32"/>
      <c r="UQP50" s="32"/>
      <c r="UQQ50" s="32"/>
      <c r="UQR50" s="32"/>
      <c r="UQS50" s="32"/>
      <c r="UQT50" s="32"/>
      <c r="UQU50" s="32"/>
      <c r="UQV50" s="32"/>
      <c r="UQW50" s="32"/>
      <c r="UQX50" s="32"/>
      <c r="UQY50" s="32"/>
      <c r="UQZ50" s="32"/>
      <c r="URA50" s="32"/>
      <c r="URB50" s="32"/>
      <c r="URC50" s="32"/>
      <c r="URD50" s="32"/>
      <c r="URE50" s="32"/>
      <c r="URF50" s="32"/>
      <c r="URG50" s="32"/>
      <c r="URH50" s="32"/>
      <c r="URI50" s="32"/>
      <c r="URJ50" s="32"/>
      <c r="URK50" s="32"/>
      <c r="URL50" s="32"/>
      <c r="URM50" s="32"/>
      <c r="URN50" s="32"/>
      <c r="URO50" s="32"/>
      <c r="URP50" s="32"/>
      <c r="URQ50" s="32"/>
      <c r="URR50" s="32"/>
      <c r="URS50" s="32"/>
      <c r="URT50" s="32"/>
      <c r="URU50" s="32"/>
      <c r="URV50" s="32"/>
      <c r="URW50" s="32"/>
      <c r="URX50" s="32"/>
      <c r="URY50" s="32"/>
      <c r="URZ50" s="32"/>
      <c r="USA50" s="32"/>
      <c r="USB50" s="32"/>
      <c r="USC50" s="32"/>
      <c r="USD50" s="32"/>
      <c r="USE50" s="32"/>
      <c r="USF50" s="32"/>
      <c r="USG50" s="32"/>
      <c r="USH50" s="32"/>
      <c r="USI50" s="32"/>
      <c r="USJ50" s="32"/>
      <c r="USK50" s="32"/>
      <c r="USL50" s="32"/>
      <c r="USM50" s="32"/>
      <c r="USN50" s="32"/>
      <c r="USO50" s="32"/>
      <c r="USP50" s="32"/>
      <c r="USQ50" s="32"/>
      <c r="USR50" s="32"/>
      <c r="USS50" s="32"/>
      <c r="UST50" s="32"/>
      <c r="USU50" s="32"/>
      <c r="USV50" s="32"/>
      <c r="USW50" s="32"/>
      <c r="USX50" s="32"/>
      <c r="USY50" s="32"/>
      <c r="USZ50" s="32"/>
      <c r="UTA50" s="32"/>
      <c r="UTB50" s="32"/>
      <c r="UTC50" s="32"/>
      <c r="UTD50" s="32"/>
      <c r="UTE50" s="32"/>
      <c r="UTF50" s="32"/>
      <c r="UTG50" s="32"/>
      <c r="UTH50" s="32"/>
      <c r="UTI50" s="32"/>
      <c r="UTJ50" s="32"/>
      <c r="UTK50" s="32"/>
      <c r="UTL50" s="32"/>
      <c r="UTM50" s="32"/>
      <c r="UTN50" s="32"/>
      <c r="UTO50" s="32"/>
      <c r="UTP50" s="32"/>
      <c r="UTQ50" s="32"/>
      <c r="UTR50" s="32"/>
      <c r="UTS50" s="32"/>
      <c r="UTT50" s="32"/>
      <c r="UTU50" s="32"/>
      <c r="UTV50" s="32"/>
      <c r="UTW50" s="32"/>
      <c r="UTX50" s="32"/>
      <c r="UTY50" s="32"/>
      <c r="UTZ50" s="32"/>
      <c r="UUA50" s="32"/>
      <c r="UUB50" s="32"/>
      <c r="UUC50" s="32"/>
      <c r="UUD50" s="32"/>
      <c r="UUE50" s="32"/>
      <c r="UUF50" s="32"/>
      <c r="UUG50" s="32"/>
      <c r="UUH50" s="32"/>
      <c r="UUI50" s="32"/>
      <c r="UUJ50" s="32"/>
      <c r="UUK50" s="32"/>
      <c r="UUL50" s="32"/>
      <c r="UUM50" s="32"/>
      <c r="UUN50" s="32"/>
      <c r="UUO50" s="32"/>
      <c r="UUP50" s="32"/>
      <c r="UUQ50" s="32"/>
      <c r="UUR50" s="32"/>
      <c r="UUS50" s="32"/>
      <c r="UUT50" s="32"/>
      <c r="UUU50" s="32"/>
      <c r="UUV50" s="32"/>
      <c r="UUW50" s="32"/>
      <c r="UUX50" s="32"/>
      <c r="UUY50" s="32"/>
      <c r="UUZ50" s="32"/>
      <c r="UVA50" s="32"/>
      <c r="UVB50" s="32"/>
      <c r="UVC50" s="32"/>
      <c r="UVD50" s="32"/>
      <c r="UVE50" s="32"/>
      <c r="UVF50" s="32"/>
      <c r="UVG50" s="32"/>
      <c r="UVH50" s="32"/>
      <c r="UVI50" s="32"/>
      <c r="UVJ50" s="32"/>
      <c r="UVK50" s="32"/>
      <c r="UVL50" s="32"/>
      <c r="UVM50" s="32"/>
      <c r="UVN50" s="32"/>
      <c r="UVO50" s="32"/>
      <c r="UVP50" s="32"/>
      <c r="UVQ50" s="32"/>
      <c r="UVR50" s="32"/>
      <c r="UVS50" s="32"/>
      <c r="UVT50" s="32"/>
      <c r="UVU50" s="32"/>
      <c r="UVV50" s="32"/>
      <c r="UVW50" s="32"/>
      <c r="UVX50" s="32"/>
      <c r="UVY50" s="32"/>
      <c r="UVZ50" s="32"/>
      <c r="UWA50" s="32"/>
      <c r="UWB50" s="32"/>
      <c r="UWC50" s="32"/>
      <c r="UWD50" s="32"/>
      <c r="UWE50" s="32"/>
      <c r="UWF50" s="32"/>
      <c r="UWG50" s="32"/>
      <c r="UWH50" s="32"/>
      <c r="UWI50" s="32"/>
      <c r="UWJ50" s="32"/>
      <c r="UWK50" s="32"/>
      <c r="UWL50" s="32"/>
      <c r="UWM50" s="32"/>
      <c r="UWN50" s="32"/>
      <c r="UWO50" s="32"/>
      <c r="UWP50" s="32"/>
      <c r="UWQ50" s="32"/>
      <c r="UWR50" s="32"/>
      <c r="UWS50" s="32"/>
      <c r="UWT50" s="32"/>
      <c r="UWU50" s="32"/>
      <c r="UWV50" s="32"/>
      <c r="UWW50" s="32"/>
      <c r="UWX50" s="32"/>
      <c r="UWY50" s="32"/>
      <c r="UWZ50" s="32"/>
      <c r="UXA50" s="32"/>
      <c r="UXB50" s="32"/>
      <c r="UXC50" s="32"/>
      <c r="UXD50" s="32"/>
      <c r="UXE50" s="32"/>
      <c r="UXF50" s="32"/>
      <c r="UXG50" s="32"/>
      <c r="UXH50" s="32"/>
      <c r="UXI50" s="32"/>
      <c r="UXJ50" s="32"/>
      <c r="UXK50" s="32"/>
      <c r="UXL50" s="32"/>
      <c r="UXM50" s="32"/>
      <c r="UXN50" s="32"/>
      <c r="UXO50" s="32"/>
      <c r="UXP50" s="32"/>
      <c r="UXQ50" s="32"/>
      <c r="UXR50" s="32"/>
      <c r="UXS50" s="32"/>
      <c r="UXT50" s="32"/>
      <c r="UXU50" s="32"/>
      <c r="UXV50" s="32"/>
      <c r="UXW50" s="32"/>
      <c r="UXX50" s="32"/>
      <c r="UXY50" s="32"/>
      <c r="UXZ50" s="32"/>
      <c r="UYA50" s="32"/>
      <c r="UYB50" s="32"/>
      <c r="UYC50" s="32"/>
      <c r="UYD50" s="32"/>
      <c r="UYE50" s="32"/>
      <c r="UYF50" s="32"/>
      <c r="UYG50" s="32"/>
      <c r="UYH50" s="32"/>
      <c r="UYI50" s="32"/>
      <c r="UYJ50" s="32"/>
      <c r="UYK50" s="32"/>
      <c r="UYL50" s="32"/>
      <c r="UYM50" s="32"/>
      <c r="UYN50" s="32"/>
      <c r="UYO50" s="32"/>
      <c r="UYP50" s="32"/>
      <c r="UYQ50" s="32"/>
      <c r="UYR50" s="32"/>
      <c r="UYS50" s="32"/>
      <c r="UYT50" s="32"/>
      <c r="UYU50" s="32"/>
      <c r="UYV50" s="32"/>
      <c r="UYW50" s="32"/>
      <c r="UYX50" s="32"/>
      <c r="UYY50" s="32"/>
      <c r="UYZ50" s="32"/>
      <c r="UZA50" s="32"/>
      <c r="UZB50" s="32"/>
      <c r="UZC50" s="32"/>
      <c r="UZD50" s="32"/>
      <c r="UZE50" s="32"/>
      <c r="UZF50" s="32"/>
      <c r="UZG50" s="32"/>
      <c r="UZH50" s="32"/>
      <c r="UZI50" s="32"/>
      <c r="UZJ50" s="32"/>
      <c r="UZK50" s="32"/>
      <c r="UZL50" s="32"/>
      <c r="UZM50" s="32"/>
      <c r="UZN50" s="32"/>
      <c r="UZO50" s="32"/>
      <c r="UZP50" s="32"/>
      <c r="UZQ50" s="32"/>
      <c r="UZR50" s="32"/>
      <c r="UZS50" s="32"/>
      <c r="UZT50" s="32"/>
      <c r="UZU50" s="32"/>
      <c r="UZV50" s="32"/>
      <c r="UZW50" s="32"/>
      <c r="UZX50" s="32"/>
      <c r="UZY50" s="32"/>
      <c r="UZZ50" s="32"/>
      <c r="VAA50" s="32"/>
      <c r="VAB50" s="32"/>
      <c r="VAC50" s="32"/>
      <c r="VAD50" s="32"/>
      <c r="VAE50" s="32"/>
      <c r="VAF50" s="32"/>
      <c r="VAG50" s="32"/>
      <c r="VAH50" s="32"/>
      <c r="VAI50" s="32"/>
      <c r="VAJ50" s="32"/>
      <c r="VAK50" s="32"/>
      <c r="VAL50" s="32"/>
      <c r="VAM50" s="32"/>
      <c r="VAN50" s="32"/>
      <c r="VAO50" s="32"/>
      <c r="VAP50" s="32"/>
      <c r="VAQ50" s="32"/>
      <c r="VAR50" s="32"/>
      <c r="VAS50" s="32"/>
      <c r="VAT50" s="32"/>
      <c r="VAU50" s="32"/>
      <c r="VAV50" s="32"/>
      <c r="VAW50" s="32"/>
      <c r="VAX50" s="32"/>
      <c r="VAY50" s="32"/>
      <c r="VAZ50" s="32"/>
      <c r="VBA50" s="32"/>
      <c r="VBB50" s="32"/>
      <c r="VBC50" s="32"/>
      <c r="VBD50" s="32"/>
      <c r="VBE50" s="32"/>
      <c r="VBF50" s="32"/>
      <c r="VBG50" s="32"/>
      <c r="VBH50" s="32"/>
      <c r="VBI50" s="32"/>
      <c r="VBJ50" s="32"/>
      <c r="VBK50" s="32"/>
      <c r="VBL50" s="32"/>
      <c r="VBM50" s="32"/>
      <c r="VBN50" s="32"/>
      <c r="VBO50" s="32"/>
      <c r="VBP50" s="32"/>
      <c r="VBQ50" s="32"/>
      <c r="VBR50" s="32"/>
      <c r="VBS50" s="32"/>
      <c r="VBT50" s="32"/>
      <c r="VBU50" s="32"/>
      <c r="VBV50" s="32"/>
      <c r="VBW50" s="32"/>
      <c r="VBX50" s="32"/>
      <c r="VBY50" s="32"/>
      <c r="VBZ50" s="32"/>
      <c r="VCA50" s="32"/>
      <c r="VCB50" s="32"/>
      <c r="VCC50" s="32"/>
      <c r="VCD50" s="32"/>
      <c r="VCE50" s="32"/>
      <c r="VCF50" s="32"/>
      <c r="VCG50" s="32"/>
      <c r="VCH50" s="32"/>
      <c r="VCI50" s="32"/>
      <c r="VCJ50" s="32"/>
      <c r="VCK50" s="32"/>
      <c r="VCL50" s="32"/>
      <c r="VCM50" s="32"/>
      <c r="VCN50" s="32"/>
      <c r="VCO50" s="32"/>
      <c r="VCP50" s="32"/>
      <c r="VCQ50" s="32"/>
      <c r="VCR50" s="32"/>
      <c r="VCS50" s="32"/>
      <c r="VCT50" s="32"/>
      <c r="VCU50" s="32"/>
      <c r="VCV50" s="32"/>
      <c r="VCW50" s="32"/>
      <c r="VCX50" s="32"/>
      <c r="VCY50" s="32"/>
      <c r="VCZ50" s="32"/>
      <c r="VDA50" s="32"/>
      <c r="VDB50" s="32"/>
      <c r="VDC50" s="32"/>
      <c r="VDD50" s="32"/>
      <c r="VDE50" s="32"/>
      <c r="VDF50" s="32"/>
      <c r="VDG50" s="32"/>
      <c r="VDH50" s="32"/>
      <c r="VDI50" s="32"/>
      <c r="VDJ50" s="32"/>
      <c r="VDK50" s="32"/>
      <c r="VDL50" s="32"/>
      <c r="VDM50" s="32"/>
      <c r="VDN50" s="32"/>
      <c r="VDO50" s="32"/>
      <c r="VDP50" s="32"/>
      <c r="VDQ50" s="32"/>
      <c r="VDR50" s="32"/>
      <c r="VDS50" s="32"/>
      <c r="VDT50" s="32"/>
      <c r="VDU50" s="32"/>
      <c r="VDV50" s="32"/>
      <c r="VDW50" s="32"/>
      <c r="VDX50" s="32"/>
      <c r="VDY50" s="32"/>
      <c r="VDZ50" s="32"/>
      <c r="VEA50" s="32"/>
      <c r="VEB50" s="32"/>
      <c r="VEC50" s="32"/>
      <c r="VED50" s="32"/>
      <c r="VEE50" s="32"/>
      <c r="VEF50" s="32"/>
      <c r="VEG50" s="32"/>
      <c r="VEH50" s="32"/>
      <c r="VEI50" s="32"/>
      <c r="VEJ50" s="32"/>
      <c r="VEK50" s="32"/>
      <c r="VEL50" s="32"/>
      <c r="VEM50" s="32"/>
      <c r="VEN50" s="32"/>
      <c r="VEO50" s="32"/>
      <c r="VEP50" s="32"/>
      <c r="VEQ50" s="32"/>
      <c r="VER50" s="32"/>
      <c r="VES50" s="32"/>
      <c r="VET50" s="32"/>
      <c r="VEU50" s="32"/>
      <c r="VEV50" s="32"/>
      <c r="VEW50" s="32"/>
      <c r="VEX50" s="32"/>
      <c r="VEY50" s="32"/>
      <c r="VEZ50" s="32"/>
      <c r="VFA50" s="32"/>
      <c r="VFB50" s="32"/>
      <c r="VFC50" s="32"/>
      <c r="VFD50" s="32"/>
      <c r="VFE50" s="32"/>
      <c r="VFF50" s="32"/>
      <c r="VFG50" s="32"/>
      <c r="VFH50" s="32"/>
      <c r="VFI50" s="32"/>
      <c r="VFJ50" s="32"/>
      <c r="VFK50" s="32"/>
      <c r="VFL50" s="32"/>
      <c r="VFM50" s="32"/>
      <c r="VFN50" s="32"/>
      <c r="VFO50" s="32"/>
      <c r="VFP50" s="32"/>
      <c r="VFQ50" s="32"/>
      <c r="VFR50" s="32"/>
      <c r="VFS50" s="32"/>
      <c r="VFT50" s="32"/>
      <c r="VFU50" s="32"/>
      <c r="VFV50" s="32"/>
      <c r="VFW50" s="32"/>
      <c r="VFX50" s="32"/>
      <c r="VFY50" s="32"/>
      <c r="VFZ50" s="32"/>
      <c r="VGA50" s="32"/>
      <c r="VGB50" s="32"/>
      <c r="VGC50" s="32"/>
      <c r="VGD50" s="32"/>
      <c r="VGE50" s="32"/>
      <c r="VGF50" s="32"/>
      <c r="VGG50" s="32"/>
      <c r="VGH50" s="32"/>
      <c r="VGI50" s="32"/>
      <c r="VGJ50" s="32"/>
      <c r="VGK50" s="32"/>
      <c r="VGL50" s="32"/>
      <c r="VGM50" s="32"/>
      <c r="VGN50" s="32"/>
      <c r="VGO50" s="32"/>
      <c r="VGP50" s="32"/>
      <c r="VGQ50" s="32"/>
      <c r="VGR50" s="32"/>
      <c r="VGS50" s="32"/>
      <c r="VGT50" s="32"/>
      <c r="VGU50" s="32"/>
      <c r="VGV50" s="32"/>
      <c r="VGW50" s="32"/>
      <c r="VGX50" s="32"/>
      <c r="VGY50" s="32"/>
      <c r="VGZ50" s="32"/>
      <c r="VHA50" s="32"/>
      <c r="VHB50" s="32"/>
      <c r="VHC50" s="32"/>
      <c r="VHD50" s="32"/>
      <c r="VHE50" s="32"/>
      <c r="VHF50" s="32"/>
      <c r="VHG50" s="32"/>
      <c r="VHH50" s="32"/>
      <c r="VHI50" s="32"/>
      <c r="VHJ50" s="32"/>
      <c r="VHK50" s="32"/>
      <c r="VHL50" s="32"/>
      <c r="VHM50" s="32"/>
      <c r="VHN50" s="32"/>
      <c r="VHO50" s="32"/>
      <c r="VHP50" s="32"/>
      <c r="VHQ50" s="32"/>
      <c r="VHR50" s="32"/>
      <c r="VHS50" s="32"/>
      <c r="VHT50" s="32"/>
      <c r="VHU50" s="32"/>
      <c r="VHV50" s="32"/>
      <c r="VHW50" s="32"/>
      <c r="VHX50" s="32"/>
      <c r="VHY50" s="32"/>
      <c r="VHZ50" s="32"/>
      <c r="VIA50" s="32"/>
      <c r="VIB50" s="32"/>
      <c r="VIC50" s="32"/>
      <c r="VID50" s="32"/>
      <c r="VIE50" s="32"/>
      <c r="VIF50" s="32"/>
      <c r="VIG50" s="32"/>
      <c r="VIH50" s="32"/>
      <c r="VII50" s="32"/>
      <c r="VIJ50" s="32"/>
      <c r="VIK50" s="32"/>
      <c r="VIL50" s="32"/>
      <c r="VIM50" s="32"/>
      <c r="VIN50" s="32"/>
      <c r="VIO50" s="32"/>
      <c r="VIP50" s="32"/>
      <c r="VIQ50" s="32"/>
      <c r="VIR50" s="32"/>
      <c r="VIS50" s="32"/>
      <c r="VIT50" s="32"/>
      <c r="VIU50" s="32"/>
      <c r="VIV50" s="32"/>
      <c r="VIW50" s="32"/>
      <c r="VIX50" s="32"/>
      <c r="VIY50" s="32"/>
      <c r="VIZ50" s="32"/>
      <c r="VJA50" s="32"/>
      <c r="VJB50" s="32"/>
      <c r="VJC50" s="32"/>
      <c r="VJD50" s="32"/>
      <c r="VJE50" s="32"/>
      <c r="VJF50" s="32"/>
      <c r="VJG50" s="32"/>
      <c r="VJH50" s="32"/>
      <c r="VJI50" s="32"/>
      <c r="VJJ50" s="32"/>
      <c r="VJK50" s="32"/>
      <c r="VJL50" s="32"/>
      <c r="VJM50" s="32"/>
      <c r="VJN50" s="32"/>
      <c r="VJO50" s="32"/>
      <c r="VJP50" s="32"/>
      <c r="VJQ50" s="32"/>
      <c r="VJR50" s="32"/>
      <c r="VJS50" s="32"/>
      <c r="VJT50" s="32"/>
      <c r="VJU50" s="32"/>
      <c r="VJV50" s="32"/>
      <c r="VJW50" s="32"/>
      <c r="VJX50" s="32"/>
      <c r="VJY50" s="32"/>
      <c r="VJZ50" s="32"/>
      <c r="VKA50" s="32"/>
      <c r="VKB50" s="32"/>
      <c r="VKC50" s="32"/>
      <c r="VKD50" s="32"/>
      <c r="VKE50" s="32"/>
      <c r="VKF50" s="32"/>
      <c r="VKG50" s="32"/>
      <c r="VKH50" s="32"/>
      <c r="VKI50" s="32"/>
      <c r="VKJ50" s="32"/>
      <c r="VKK50" s="32"/>
      <c r="VKL50" s="32"/>
      <c r="VKM50" s="32"/>
      <c r="VKN50" s="32"/>
      <c r="VKO50" s="32"/>
      <c r="VKP50" s="32"/>
      <c r="VKQ50" s="32"/>
      <c r="VKR50" s="32"/>
      <c r="VKS50" s="32"/>
      <c r="VKT50" s="32"/>
      <c r="VKU50" s="32"/>
      <c r="VKV50" s="32"/>
      <c r="VKW50" s="32"/>
      <c r="VKX50" s="32"/>
      <c r="VKY50" s="32"/>
      <c r="VKZ50" s="32"/>
      <c r="VLA50" s="32"/>
      <c r="VLB50" s="32"/>
      <c r="VLC50" s="32"/>
      <c r="VLD50" s="32"/>
      <c r="VLE50" s="32"/>
      <c r="VLF50" s="32"/>
      <c r="VLG50" s="32"/>
      <c r="VLH50" s="32"/>
      <c r="VLI50" s="32"/>
      <c r="VLJ50" s="32"/>
      <c r="VLK50" s="32"/>
      <c r="VLL50" s="32"/>
      <c r="VLM50" s="32"/>
      <c r="VLN50" s="32"/>
      <c r="VLO50" s="32"/>
      <c r="VLP50" s="32"/>
      <c r="VLQ50" s="32"/>
      <c r="VLR50" s="32"/>
      <c r="VLS50" s="32"/>
      <c r="VLT50" s="32"/>
      <c r="VLU50" s="32"/>
      <c r="VLV50" s="32"/>
      <c r="VLW50" s="32"/>
      <c r="VLX50" s="32"/>
      <c r="VLY50" s="32"/>
      <c r="VLZ50" s="32"/>
      <c r="VMA50" s="32"/>
      <c r="VMB50" s="32"/>
      <c r="VMC50" s="32"/>
      <c r="VMD50" s="32"/>
      <c r="VME50" s="32"/>
      <c r="VMF50" s="32"/>
      <c r="VMG50" s="32"/>
      <c r="VMH50" s="32"/>
      <c r="VMI50" s="32"/>
      <c r="VMJ50" s="32"/>
      <c r="VMK50" s="32"/>
      <c r="VML50" s="32"/>
      <c r="VMM50" s="32"/>
      <c r="VMN50" s="32"/>
      <c r="VMO50" s="32"/>
      <c r="VMP50" s="32"/>
      <c r="VMQ50" s="32"/>
      <c r="VMR50" s="32"/>
      <c r="VMS50" s="32"/>
      <c r="VMT50" s="32"/>
      <c r="VMU50" s="32"/>
      <c r="VMV50" s="32"/>
      <c r="VMW50" s="32"/>
      <c r="VMX50" s="32"/>
      <c r="VMY50" s="32"/>
      <c r="VMZ50" s="32"/>
      <c r="VNA50" s="32"/>
      <c r="VNB50" s="32"/>
      <c r="VNC50" s="32"/>
      <c r="VND50" s="32"/>
      <c r="VNE50" s="32"/>
      <c r="VNF50" s="32"/>
      <c r="VNG50" s="32"/>
      <c r="VNH50" s="32"/>
      <c r="VNI50" s="32"/>
      <c r="VNJ50" s="32"/>
      <c r="VNK50" s="32"/>
      <c r="VNL50" s="32"/>
      <c r="VNM50" s="32"/>
      <c r="VNN50" s="32"/>
      <c r="VNO50" s="32"/>
      <c r="VNP50" s="32"/>
      <c r="VNQ50" s="32"/>
      <c r="VNR50" s="32"/>
      <c r="VNS50" s="32"/>
      <c r="VNT50" s="32"/>
      <c r="VNU50" s="32"/>
      <c r="VNV50" s="32"/>
      <c r="VNW50" s="32"/>
      <c r="VNX50" s="32"/>
      <c r="VNY50" s="32"/>
      <c r="VNZ50" s="32"/>
      <c r="VOA50" s="32"/>
      <c r="VOB50" s="32"/>
      <c r="VOC50" s="32"/>
      <c r="VOD50" s="32"/>
      <c r="VOE50" s="32"/>
      <c r="VOF50" s="32"/>
      <c r="VOG50" s="32"/>
      <c r="VOH50" s="32"/>
      <c r="VOI50" s="32"/>
      <c r="VOJ50" s="32"/>
      <c r="VOK50" s="32"/>
      <c r="VOL50" s="32"/>
      <c r="VOM50" s="32"/>
      <c r="VON50" s="32"/>
      <c r="VOO50" s="32"/>
      <c r="VOP50" s="32"/>
      <c r="VOQ50" s="32"/>
      <c r="VOR50" s="32"/>
      <c r="VOS50" s="32"/>
      <c r="VOT50" s="32"/>
      <c r="VOU50" s="32"/>
      <c r="VOV50" s="32"/>
      <c r="VOW50" s="32"/>
      <c r="VOX50" s="32"/>
      <c r="VOY50" s="32"/>
      <c r="VOZ50" s="32"/>
      <c r="VPA50" s="32"/>
      <c r="VPB50" s="32"/>
      <c r="VPC50" s="32"/>
      <c r="VPD50" s="32"/>
      <c r="VPE50" s="32"/>
      <c r="VPF50" s="32"/>
      <c r="VPG50" s="32"/>
      <c r="VPH50" s="32"/>
      <c r="VPI50" s="32"/>
      <c r="VPJ50" s="32"/>
      <c r="VPK50" s="32"/>
      <c r="VPL50" s="32"/>
      <c r="VPM50" s="32"/>
      <c r="VPN50" s="32"/>
      <c r="VPO50" s="32"/>
      <c r="VPP50" s="32"/>
      <c r="VPQ50" s="32"/>
      <c r="VPR50" s="32"/>
      <c r="VPS50" s="32"/>
      <c r="VPT50" s="32"/>
      <c r="VPU50" s="32"/>
      <c r="VPV50" s="32"/>
      <c r="VPW50" s="32"/>
      <c r="VPX50" s="32"/>
      <c r="VPY50" s="32"/>
      <c r="VPZ50" s="32"/>
      <c r="VQA50" s="32"/>
      <c r="VQB50" s="32"/>
      <c r="VQC50" s="32"/>
      <c r="VQD50" s="32"/>
      <c r="VQE50" s="32"/>
      <c r="VQF50" s="32"/>
      <c r="VQG50" s="32"/>
      <c r="VQH50" s="32"/>
      <c r="VQI50" s="32"/>
      <c r="VQJ50" s="32"/>
      <c r="VQK50" s="32"/>
      <c r="VQL50" s="32"/>
      <c r="VQM50" s="32"/>
      <c r="VQN50" s="32"/>
      <c r="VQO50" s="32"/>
      <c r="VQP50" s="32"/>
      <c r="VQQ50" s="32"/>
      <c r="VQR50" s="32"/>
      <c r="VQS50" s="32"/>
      <c r="VQT50" s="32"/>
      <c r="VQU50" s="32"/>
      <c r="VQV50" s="32"/>
      <c r="VQW50" s="32"/>
      <c r="VQX50" s="32"/>
      <c r="VQY50" s="32"/>
      <c r="VQZ50" s="32"/>
      <c r="VRA50" s="32"/>
      <c r="VRB50" s="32"/>
      <c r="VRC50" s="32"/>
      <c r="VRD50" s="32"/>
      <c r="VRE50" s="32"/>
      <c r="VRF50" s="32"/>
      <c r="VRG50" s="32"/>
      <c r="VRH50" s="32"/>
      <c r="VRI50" s="32"/>
      <c r="VRJ50" s="32"/>
      <c r="VRK50" s="32"/>
      <c r="VRL50" s="32"/>
      <c r="VRM50" s="32"/>
      <c r="VRN50" s="32"/>
      <c r="VRO50" s="32"/>
      <c r="VRP50" s="32"/>
      <c r="VRQ50" s="32"/>
      <c r="VRR50" s="32"/>
      <c r="VRS50" s="32"/>
      <c r="VRT50" s="32"/>
      <c r="VRU50" s="32"/>
      <c r="VRV50" s="32"/>
      <c r="VRW50" s="32"/>
      <c r="VRX50" s="32"/>
      <c r="VRY50" s="32"/>
      <c r="VRZ50" s="32"/>
      <c r="VSA50" s="32"/>
      <c r="VSB50" s="32"/>
      <c r="VSC50" s="32"/>
      <c r="VSD50" s="32"/>
      <c r="VSE50" s="32"/>
      <c r="VSF50" s="32"/>
      <c r="VSG50" s="32"/>
      <c r="VSH50" s="32"/>
      <c r="VSI50" s="32"/>
      <c r="VSJ50" s="32"/>
      <c r="VSK50" s="32"/>
      <c r="VSL50" s="32"/>
      <c r="VSM50" s="32"/>
      <c r="VSN50" s="32"/>
      <c r="VSO50" s="32"/>
      <c r="VSP50" s="32"/>
      <c r="VSQ50" s="32"/>
      <c r="VSR50" s="32"/>
      <c r="VSS50" s="32"/>
      <c r="VST50" s="32"/>
      <c r="VSU50" s="32"/>
      <c r="VSV50" s="32"/>
      <c r="VSW50" s="32"/>
      <c r="VSX50" s="32"/>
      <c r="VSY50" s="32"/>
      <c r="VSZ50" s="32"/>
      <c r="VTA50" s="32"/>
      <c r="VTB50" s="32"/>
      <c r="VTC50" s="32"/>
      <c r="VTD50" s="32"/>
      <c r="VTE50" s="32"/>
      <c r="VTF50" s="32"/>
      <c r="VTG50" s="32"/>
      <c r="VTH50" s="32"/>
      <c r="VTI50" s="32"/>
      <c r="VTJ50" s="32"/>
      <c r="VTK50" s="32"/>
      <c r="VTL50" s="32"/>
      <c r="VTM50" s="32"/>
      <c r="VTN50" s="32"/>
      <c r="VTO50" s="32"/>
      <c r="VTP50" s="32"/>
      <c r="VTQ50" s="32"/>
      <c r="VTR50" s="32"/>
      <c r="VTS50" s="32"/>
      <c r="VTT50" s="32"/>
      <c r="VTU50" s="32"/>
      <c r="VTV50" s="32"/>
      <c r="VTW50" s="32"/>
      <c r="VTX50" s="32"/>
      <c r="VTY50" s="32"/>
      <c r="VTZ50" s="32"/>
      <c r="VUA50" s="32"/>
      <c r="VUB50" s="32"/>
      <c r="VUC50" s="32"/>
      <c r="VUD50" s="32"/>
      <c r="VUE50" s="32"/>
      <c r="VUF50" s="32"/>
      <c r="VUG50" s="32"/>
      <c r="VUH50" s="32"/>
      <c r="VUI50" s="32"/>
      <c r="VUJ50" s="32"/>
      <c r="VUK50" s="32"/>
      <c r="VUL50" s="32"/>
      <c r="VUM50" s="32"/>
      <c r="VUN50" s="32"/>
      <c r="VUO50" s="32"/>
      <c r="VUP50" s="32"/>
      <c r="VUQ50" s="32"/>
      <c r="VUR50" s="32"/>
      <c r="VUS50" s="32"/>
      <c r="VUT50" s="32"/>
      <c r="VUU50" s="32"/>
      <c r="VUV50" s="32"/>
      <c r="VUW50" s="32"/>
      <c r="VUX50" s="32"/>
      <c r="VUY50" s="32"/>
      <c r="VUZ50" s="32"/>
      <c r="VVA50" s="32"/>
      <c r="VVB50" s="32"/>
      <c r="VVC50" s="32"/>
      <c r="VVD50" s="32"/>
      <c r="VVE50" s="32"/>
      <c r="VVF50" s="32"/>
      <c r="VVG50" s="32"/>
      <c r="VVH50" s="32"/>
      <c r="VVI50" s="32"/>
      <c r="VVJ50" s="32"/>
      <c r="VVK50" s="32"/>
      <c r="VVL50" s="32"/>
      <c r="VVM50" s="32"/>
      <c r="VVN50" s="32"/>
      <c r="VVO50" s="32"/>
      <c r="VVP50" s="32"/>
      <c r="VVQ50" s="32"/>
      <c r="VVR50" s="32"/>
      <c r="VVS50" s="32"/>
      <c r="VVT50" s="32"/>
      <c r="VVU50" s="32"/>
      <c r="VVV50" s="32"/>
      <c r="VVW50" s="32"/>
      <c r="VVX50" s="32"/>
      <c r="VVY50" s="32"/>
      <c r="VVZ50" s="32"/>
      <c r="VWA50" s="32"/>
      <c r="VWB50" s="32"/>
      <c r="VWC50" s="32"/>
      <c r="VWD50" s="32"/>
      <c r="VWE50" s="32"/>
      <c r="VWF50" s="32"/>
      <c r="VWG50" s="32"/>
      <c r="VWH50" s="32"/>
      <c r="VWI50" s="32"/>
      <c r="VWJ50" s="32"/>
      <c r="VWK50" s="32"/>
      <c r="VWL50" s="32"/>
      <c r="VWM50" s="32"/>
      <c r="VWN50" s="32"/>
      <c r="VWO50" s="32"/>
      <c r="VWP50" s="32"/>
      <c r="VWQ50" s="32"/>
      <c r="VWR50" s="32"/>
      <c r="VWS50" s="32"/>
      <c r="VWT50" s="32"/>
      <c r="VWU50" s="32"/>
      <c r="VWV50" s="32"/>
      <c r="VWW50" s="32"/>
      <c r="VWX50" s="32"/>
      <c r="VWY50" s="32"/>
      <c r="VWZ50" s="32"/>
      <c r="VXA50" s="32"/>
      <c r="VXB50" s="32"/>
      <c r="VXC50" s="32"/>
      <c r="VXD50" s="32"/>
      <c r="VXE50" s="32"/>
      <c r="VXF50" s="32"/>
      <c r="VXG50" s="32"/>
      <c r="VXH50" s="32"/>
      <c r="VXI50" s="32"/>
      <c r="VXJ50" s="32"/>
      <c r="VXK50" s="32"/>
      <c r="VXL50" s="32"/>
      <c r="VXM50" s="32"/>
      <c r="VXN50" s="32"/>
      <c r="VXO50" s="32"/>
      <c r="VXP50" s="32"/>
      <c r="VXQ50" s="32"/>
      <c r="VXR50" s="32"/>
      <c r="VXS50" s="32"/>
      <c r="VXT50" s="32"/>
      <c r="VXU50" s="32"/>
      <c r="VXV50" s="32"/>
      <c r="VXW50" s="32"/>
      <c r="VXX50" s="32"/>
      <c r="VXY50" s="32"/>
      <c r="VXZ50" s="32"/>
      <c r="VYA50" s="32"/>
      <c r="VYB50" s="32"/>
      <c r="VYC50" s="32"/>
      <c r="VYD50" s="32"/>
      <c r="VYE50" s="32"/>
      <c r="VYF50" s="32"/>
      <c r="VYG50" s="32"/>
      <c r="VYH50" s="32"/>
      <c r="VYI50" s="32"/>
      <c r="VYJ50" s="32"/>
      <c r="VYK50" s="32"/>
      <c r="VYL50" s="32"/>
      <c r="VYM50" s="32"/>
      <c r="VYN50" s="32"/>
      <c r="VYO50" s="32"/>
      <c r="VYP50" s="32"/>
      <c r="VYQ50" s="32"/>
      <c r="VYR50" s="32"/>
      <c r="VYS50" s="32"/>
      <c r="VYT50" s="32"/>
      <c r="VYU50" s="32"/>
      <c r="VYV50" s="32"/>
      <c r="VYW50" s="32"/>
      <c r="VYX50" s="32"/>
      <c r="VYY50" s="32"/>
      <c r="VYZ50" s="32"/>
      <c r="VZA50" s="32"/>
      <c r="VZB50" s="32"/>
      <c r="VZC50" s="32"/>
      <c r="VZD50" s="32"/>
      <c r="VZE50" s="32"/>
      <c r="VZF50" s="32"/>
      <c r="VZG50" s="32"/>
      <c r="VZH50" s="32"/>
      <c r="VZI50" s="32"/>
      <c r="VZJ50" s="32"/>
      <c r="VZK50" s="32"/>
      <c r="VZL50" s="32"/>
      <c r="VZM50" s="32"/>
      <c r="VZN50" s="32"/>
      <c r="VZO50" s="32"/>
      <c r="VZP50" s="32"/>
      <c r="VZQ50" s="32"/>
      <c r="VZR50" s="32"/>
      <c r="VZS50" s="32"/>
      <c r="VZT50" s="32"/>
      <c r="VZU50" s="32"/>
      <c r="VZV50" s="32"/>
      <c r="VZW50" s="32"/>
      <c r="VZX50" s="32"/>
      <c r="VZY50" s="32"/>
      <c r="VZZ50" s="32"/>
      <c r="WAA50" s="32"/>
      <c r="WAB50" s="32"/>
      <c r="WAC50" s="32"/>
      <c r="WAD50" s="32"/>
      <c r="WAE50" s="32"/>
      <c r="WAF50" s="32"/>
      <c r="WAG50" s="32"/>
      <c r="WAH50" s="32"/>
      <c r="WAI50" s="32"/>
      <c r="WAJ50" s="32"/>
      <c r="WAK50" s="32"/>
      <c r="WAL50" s="32"/>
      <c r="WAM50" s="32"/>
      <c r="WAN50" s="32"/>
      <c r="WAO50" s="32"/>
      <c r="WAP50" s="32"/>
      <c r="WAQ50" s="32"/>
      <c r="WAR50" s="32"/>
      <c r="WAS50" s="32"/>
      <c r="WAT50" s="32"/>
      <c r="WAU50" s="32"/>
      <c r="WAV50" s="32"/>
      <c r="WAW50" s="32"/>
      <c r="WAX50" s="32"/>
      <c r="WAY50" s="32"/>
      <c r="WAZ50" s="32"/>
      <c r="WBA50" s="32"/>
      <c r="WBB50" s="32"/>
      <c r="WBC50" s="32"/>
      <c r="WBD50" s="32"/>
      <c r="WBE50" s="32"/>
      <c r="WBF50" s="32"/>
      <c r="WBG50" s="32"/>
      <c r="WBH50" s="32"/>
      <c r="WBI50" s="32"/>
      <c r="WBJ50" s="32"/>
      <c r="WBK50" s="32"/>
      <c r="WBL50" s="32"/>
      <c r="WBM50" s="32"/>
      <c r="WBN50" s="32"/>
      <c r="WBO50" s="32"/>
      <c r="WBP50" s="32"/>
      <c r="WBQ50" s="32"/>
      <c r="WBR50" s="32"/>
      <c r="WBS50" s="32"/>
      <c r="WBT50" s="32"/>
      <c r="WBU50" s="32"/>
      <c r="WBV50" s="32"/>
      <c r="WBW50" s="32"/>
      <c r="WBX50" s="32"/>
      <c r="WBY50" s="32"/>
      <c r="WBZ50" s="32"/>
      <c r="WCA50" s="32"/>
      <c r="WCB50" s="32"/>
      <c r="WCC50" s="32"/>
      <c r="WCD50" s="32"/>
      <c r="WCE50" s="32"/>
      <c r="WCF50" s="32"/>
      <c r="WCG50" s="32"/>
      <c r="WCH50" s="32"/>
      <c r="WCI50" s="32"/>
      <c r="WCJ50" s="32"/>
      <c r="WCK50" s="32"/>
      <c r="WCL50" s="32"/>
      <c r="WCM50" s="32"/>
      <c r="WCN50" s="32"/>
      <c r="WCO50" s="32"/>
      <c r="WCP50" s="32"/>
      <c r="WCQ50" s="32"/>
      <c r="WCR50" s="32"/>
      <c r="WCS50" s="32"/>
      <c r="WCT50" s="32"/>
      <c r="WCU50" s="32"/>
      <c r="WCV50" s="32"/>
      <c r="WCW50" s="32"/>
      <c r="WCX50" s="32"/>
      <c r="WCY50" s="32"/>
      <c r="WCZ50" s="32"/>
      <c r="WDA50" s="32"/>
      <c r="WDB50" s="32"/>
      <c r="WDC50" s="32"/>
      <c r="WDD50" s="32"/>
      <c r="WDE50" s="32"/>
      <c r="WDF50" s="32"/>
      <c r="WDG50" s="32"/>
      <c r="WDH50" s="32"/>
      <c r="WDI50" s="32"/>
      <c r="WDJ50" s="32"/>
      <c r="WDK50" s="32"/>
      <c r="WDL50" s="32"/>
      <c r="WDM50" s="32"/>
      <c r="WDN50" s="32"/>
      <c r="WDO50" s="32"/>
      <c r="WDP50" s="32"/>
      <c r="WDQ50" s="32"/>
      <c r="WDR50" s="32"/>
      <c r="WDS50" s="32"/>
      <c r="WDT50" s="32"/>
      <c r="WDU50" s="32"/>
      <c r="WDV50" s="32"/>
      <c r="WDW50" s="32"/>
      <c r="WDX50" s="32"/>
      <c r="WDY50" s="32"/>
      <c r="WDZ50" s="32"/>
      <c r="WEA50" s="32"/>
      <c r="WEB50" s="32"/>
      <c r="WEC50" s="32"/>
      <c r="WED50" s="32"/>
      <c r="WEE50" s="32"/>
      <c r="WEF50" s="32"/>
      <c r="WEG50" s="32"/>
      <c r="WEH50" s="32"/>
      <c r="WEI50" s="32"/>
      <c r="WEJ50" s="32"/>
      <c r="WEK50" s="32"/>
      <c r="WEL50" s="32"/>
      <c r="WEM50" s="32"/>
      <c r="WEN50" s="32"/>
      <c r="WEO50" s="32"/>
      <c r="WEP50" s="32"/>
      <c r="WEQ50" s="32"/>
      <c r="WER50" s="32"/>
      <c r="WES50" s="32"/>
      <c r="WET50" s="32"/>
      <c r="WEU50" s="32"/>
      <c r="WEV50" s="32"/>
      <c r="WEW50" s="32"/>
      <c r="WEX50" s="32"/>
      <c r="WEY50" s="32"/>
      <c r="WEZ50" s="32"/>
      <c r="WFA50" s="32"/>
      <c r="WFB50" s="32"/>
      <c r="WFC50" s="32"/>
      <c r="WFD50" s="32"/>
      <c r="WFE50" s="32"/>
      <c r="WFF50" s="32"/>
      <c r="WFG50" s="32"/>
      <c r="WFH50" s="32"/>
      <c r="WFI50" s="32"/>
      <c r="WFJ50" s="32"/>
      <c r="WFK50" s="32"/>
      <c r="WFL50" s="32"/>
      <c r="WFM50" s="32"/>
      <c r="WFN50" s="32"/>
      <c r="WFO50" s="32"/>
      <c r="WFP50" s="32"/>
      <c r="WFQ50" s="32"/>
      <c r="WFR50" s="32"/>
      <c r="WFS50" s="32"/>
      <c r="WFT50" s="32"/>
      <c r="WFU50" s="32"/>
      <c r="WFV50" s="32"/>
      <c r="WFW50" s="32"/>
      <c r="WFX50" s="32"/>
      <c r="WFY50" s="32"/>
      <c r="WFZ50" s="32"/>
      <c r="WGA50" s="32"/>
      <c r="WGB50" s="32"/>
      <c r="WGC50" s="32"/>
      <c r="WGD50" s="32"/>
      <c r="WGE50" s="32"/>
      <c r="WGF50" s="32"/>
      <c r="WGG50" s="32"/>
      <c r="WGH50" s="32"/>
      <c r="WGI50" s="32"/>
      <c r="WGJ50" s="32"/>
      <c r="WGK50" s="32"/>
      <c r="WGL50" s="32"/>
      <c r="WGM50" s="32"/>
      <c r="WGN50" s="32"/>
      <c r="WGO50" s="32"/>
      <c r="WGP50" s="32"/>
      <c r="WGQ50" s="32"/>
      <c r="WGR50" s="32"/>
      <c r="WGS50" s="32"/>
      <c r="WGT50" s="32"/>
      <c r="WGU50" s="32"/>
      <c r="WGV50" s="32"/>
      <c r="WGW50" s="32"/>
      <c r="WGX50" s="32"/>
      <c r="WGY50" s="32"/>
      <c r="WGZ50" s="32"/>
      <c r="WHA50" s="32"/>
      <c r="WHB50" s="32"/>
      <c r="WHC50" s="32"/>
      <c r="WHD50" s="32"/>
      <c r="WHE50" s="32"/>
      <c r="WHF50" s="32"/>
      <c r="WHG50" s="32"/>
      <c r="WHH50" s="32"/>
      <c r="WHI50" s="32"/>
      <c r="WHJ50" s="32"/>
      <c r="WHK50" s="32"/>
      <c r="WHL50" s="32"/>
      <c r="WHM50" s="32"/>
      <c r="WHN50" s="32"/>
      <c r="WHO50" s="32"/>
      <c r="WHP50" s="32"/>
      <c r="WHQ50" s="32"/>
      <c r="WHR50" s="32"/>
      <c r="WHS50" s="32"/>
      <c r="WHT50" s="32"/>
      <c r="WHU50" s="32"/>
      <c r="WHV50" s="32"/>
      <c r="WHW50" s="32"/>
      <c r="WHX50" s="32"/>
      <c r="WHY50" s="32"/>
      <c r="WHZ50" s="32"/>
      <c r="WIA50" s="32"/>
      <c r="WIB50" s="32"/>
      <c r="WIC50" s="32"/>
      <c r="WID50" s="32"/>
      <c r="WIE50" s="32"/>
      <c r="WIF50" s="32"/>
      <c r="WIG50" s="32"/>
      <c r="WIH50" s="32"/>
      <c r="WII50" s="32"/>
      <c r="WIJ50" s="32"/>
      <c r="WIK50" s="32"/>
      <c r="WIL50" s="32"/>
      <c r="WIM50" s="32"/>
      <c r="WIN50" s="32"/>
      <c r="WIO50" s="32"/>
      <c r="WIP50" s="32"/>
      <c r="WIQ50" s="32"/>
      <c r="WIR50" s="32"/>
      <c r="WIS50" s="32"/>
      <c r="WIT50" s="32"/>
      <c r="WIU50" s="32"/>
      <c r="WIV50" s="32"/>
      <c r="WIW50" s="32"/>
      <c r="WIX50" s="32"/>
      <c r="WIY50" s="32"/>
      <c r="WIZ50" s="32"/>
      <c r="WJA50" s="32"/>
      <c r="WJB50" s="32"/>
      <c r="WJC50" s="32"/>
      <c r="WJD50" s="32"/>
      <c r="WJE50" s="32"/>
      <c r="WJF50" s="32"/>
      <c r="WJG50" s="32"/>
      <c r="WJH50" s="32"/>
      <c r="WJI50" s="32"/>
      <c r="WJJ50" s="32"/>
      <c r="WJK50" s="32"/>
      <c r="WJL50" s="32"/>
      <c r="WJM50" s="32"/>
      <c r="WJN50" s="32"/>
      <c r="WJO50" s="32"/>
      <c r="WJP50" s="32"/>
      <c r="WJQ50" s="32"/>
      <c r="WJR50" s="32"/>
      <c r="WJS50" s="32"/>
      <c r="WJT50" s="32"/>
      <c r="WJU50" s="32"/>
      <c r="WJV50" s="32"/>
      <c r="WJW50" s="32"/>
      <c r="WJX50" s="32"/>
      <c r="WJY50" s="32"/>
      <c r="WJZ50" s="32"/>
      <c r="WKA50" s="32"/>
      <c r="WKB50" s="32"/>
      <c r="WKC50" s="32"/>
      <c r="WKD50" s="32"/>
      <c r="WKE50" s="32"/>
      <c r="WKF50" s="32"/>
      <c r="WKG50" s="32"/>
      <c r="WKH50" s="32"/>
      <c r="WKI50" s="32"/>
      <c r="WKJ50" s="32"/>
      <c r="WKK50" s="32"/>
      <c r="WKL50" s="32"/>
      <c r="WKM50" s="32"/>
      <c r="WKN50" s="32"/>
      <c r="WKO50" s="32"/>
      <c r="WKP50" s="32"/>
      <c r="WKQ50" s="32"/>
      <c r="WKR50" s="32"/>
      <c r="WKS50" s="32"/>
      <c r="WKT50" s="32"/>
      <c r="WKU50" s="32"/>
      <c r="WKV50" s="32"/>
      <c r="WKW50" s="32"/>
      <c r="WKX50" s="32"/>
      <c r="WKY50" s="32"/>
      <c r="WKZ50" s="32"/>
      <c r="WLA50" s="32"/>
      <c r="WLB50" s="32"/>
      <c r="WLC50" s="32"/>
      <c r="WLD50" s="32"/>
      <c r="WLE50" s="32"/>
      <c r="WLF50" s="32"/>
      <c r="WLG50" s="32"/>
      <c r="WLH50" s="32"/>
      <c r="WLI50" s="32"/>
      <c r="WLJ50" s="32"/>
      <c r="WLK50" s="32"/>
      <c r="WLL50" s="32"/>
      <c r="WLM50" s="32"/>
      <c r="WLN50" s="32"/>
      <c r="WLO50" s="32"/>
      <c r="WLP50" s="32"/>
      <c r="WLQ50" s="32"/>
      <c r="WLR50" s="32"/>
      <c r="WLS50" s="32"/>
      <c r="WLT50" s="32"/>
      <c r="WLU50" s="32"/>
      <c r="WLV50" s="32"/>
      <c r="WLW50" s="32"/>
      <c r="WLX50" s="32"/>
      <c r="WLY50" s="32"/>
      <c r="WLZ50" s="32"/>
      <c r="WMA50" s="32"/>
      <c r="WMB50" s="32"/>
      <c r="WMC50" s="32"/>
      <c r="WMD50" s="32"/>
      <c r="WME50" s="32"/>
      <c r="WMF50" s="32"/>
      <c r="WMG50" s="32"/>
      <c r="WMH50" s="32"/>
      <c r="WMI50" s="32"/>
      <c r="WMJ50" s="32"/>
      <c r="WMK50" s="32"/>
      <c r="WML50" s="32"/>
      <c r="WMM50" s="32"/>
      <c r="WMN50" s="32"/>
      <c r="WMO50" s="32"/>
      <c r="WMP50" s="32"/>
      <c r="WMQ50" s="32"/>
      <c r="WMR50" s="32"/>
      <c r="WMS50" s="32"/>
      <c r="WMT50" s="32"/>
      <c r="WMU50" s="32"/>
      <c r="WMV50" s="32"/>
      <c r="WMW50" s="32"/>
      <c r="WMX50" s="32"/>
      <c r="WMY50" s="32"/>
      <c r="WMZ50" s="32"/>
      <c r="WNA50" s="32"/>
      <c r="WNB50" s="32"/>
      <c r="WNC50" s="32"/>
      <c r="WND50" s="32"/>
      <c r="WNE50" s="32"/>
      <c r="WNF50" s="32"/>
      <c r="WNG50" s="32"/>
      <c r="WNH50" s="32"/>
      <c r="WNI50" s="32"/>
      <c r="WNJ50" s="32"/>
      <c r="WNK50" s="32"/>
      <c r="WNL50" s="32"/>
      <c r="WNM50" s="32"/>
      <c r="WNN50" s="32"/>
      <c r="WNO50" s="32"/>
      <c r="WNP50" s="32"/>
      <c r="WNQ50" s="32"/>
      <c r="WNR50" s="32"/>
      <c r="WNS50" s="32"/>
      <c r="WNT50" s="32"/>
      <c r="WNU50" s="32"/>
      <c r="WNV50" s="32"/>
      <c r="WNW50" s="32"/>
      <c r="WNX50" s="32"/>
      <c r="WNY50" s="32"/>
      <c r="WNZ50" s="32"/>
      <c r="WOA50" s="32"/>
      <c r="WOB50" s="32"/>
      <c r="WOC50" s="32"/>
      <c r="WOD50" s="32"/>
      <c r="WOE50" s="32"/>
      <c r="WOF50" s="32"/>
      <c r="WOG50" s="32"/>
      <c r="WOH50" s="32"/>
      <c r="WOI50" s="32"/>
      <c r="WOJ50" s="32"/>
      <c r="WOK50" s="32"/>
      <c r="WOL50" s="32"/>
      <c r="WOM50" s="32"/>
      <c r="WON50" s="32"/>
      <c r="WOO50" s="32"/>
      <c r="WOP50" s="32"/>
      <c r="WOQ50" s="32"/>
      <c r="WOR50" s="32"/>
      <c r="WOS50" s="32"/>
      <c r="WOT50" s="32"/>
      <c r="WOU50" s="32"/>
      <c r="WOV50" s="32"/>
      <c r="WOW50" s="32"/>
      <c r="WOX50" s="32"/>
      <c r="WOY50" s="32"/>
      <c r="WOZ50" s="32"/>
      <c r="WPA50" s="32"/>
      <c r="WPB50" s="32"/>
      <c r="WPC50" s="32"/>
      <c r="WPD50" s="32"/>
      <c r="WPE50" s="32"/>
      <c r="WPF50" s="32"/>
      <c r="WPG50" s="32"/>
      <c r="WPH50" s="32"/>
      <c r="WPI50" s="32"/>
      <c r="WPJ50" s="32"/>
      <c r="WPK50" s="32"/>
      <c r="WPL50" s="32"/>
      <c r="WPM50" s="32"/>
      <c r="WPN50" s="32"/>
      <c r="WPO50" s="32"/>
      <c r="WPP50" s="32"/>
      <c r="WPQ50" s="32"/>
      <c r="WPR50" s="32"/>
      <c r="WPS50" s="32"/>
      <c r="WPT50" s="32"/>
      <c r="WPU50" s="32"/>
      <c r="WPV50" s="32"/>
      <c r="WPW50" s="32"/>
      <c r="WPX50" s="32"/>
      <c r="WPY50" s="32"/>
      <c r="WPZ50" s="32"/>
      <c r="WQA50" s="32"/>
      <c r="WQB50" s="32"/>
      <c r="WQC50" s="32"/>
      <c r="WQD50" s="32"/>
      <c r="WQE50" s="32"/>
      <c r="WQF50" s="32"/>
      <c r="WQG50" s="32"/>
      <c r="WQH50" s="32"/>
      <c r="WQI50" s="32"/>
      <c r="WQJ50" s="32"/>
      <c r="WQK50" s="32"/>
      <c r="WQL50" s="32"/>
      <c r="WQM50" s="32"/>
      <c r="WQN50" s="32"/>
      <c r="WQO50" s="32"/>
      <c r="WQP50" s="32"/>
      <c r="WQQ50" s="32"/>
      <c r="WQR50" s="32"/>
      <c r="WQS50" s="32"/>
      <c r="WQT50" s="32"/>
      <c r="WQU50" s="32"/>
      <c r="WQV50" s="32"/>
      <c r="WQW50" s="32"/>
      <c r="WQX50" s="32"/>
      <c r="WQY50" s="32"/>
      <c r="WQZ50" s="32"/>
      <c r="WRA50" s="32"/>
      <c r="WRB50" s="32"/>
      <c r="WRC50" s="32"/>
      <c r="WRD50" s="32"/>
      <c r="WRE50" s="32"/>
      <c r="WRF50" s="32"/>
      <c r="WRG50" s="32"/>
      <c r="WRH50" s="32"/>
      <c r="WRI50" s="32"/>
      <c r="WRJ50" s="32"/>
      <c r="WRK50" s="32"/>
      <c r="WRL50" s="32"/>
      <c r="WRM50" s="32"/>
      <c r="WRN50" s="32"/>
      <c r="WRO50" s="32"/>
      <c r="WRP50" s="32"/>
      <c r="WRQ50" s="32"/>
      <c r="WRR50" s="32"/>
      <c r="WRS50" s="32"/>
      <c r="WRT50" s="32"/>
      <c r="WRU50" s="32"/>
      <c r="WRV50" s="32"/>
      <c r="WRW50" s="32"/>
      <c r="WRX50" s="32"/>
      <c r="WRY50" s="32"/>
      <c r="WRZ50" s="32"/>
      <c r="WSA50" s="32"/>
      <c r="WSB50" s="32"/>
      <c r="WSC50" s="32"/>
      <c r="WSD50" s="32"/>
      <c r="WSE50" s="32"/>
      <c r="WSF50" s="32"/>
      <c r="WSG50" s="32"/>
      <c r="WSH50" s="32"/>
      <c r="WSI50" s="32"/>
      <c r="WSJ50" s="32"/>
      <c r="WSK50" s="32"/>
      <c r="WSL50" s="32"/>
      <c r="WSM50" s="32"/>
      <c r="WSN50" s="32"/>
      <c r="WSO50" s="32"/>
      <c r="WSP50" s="32"/>
      <c r="WSQ50" s="32"/>
      <c r="WSR50" s="32"/>
      <c r="WSS50" s="32"/>
      <c r="WST50" s="32"/>
      <c r="WSU50" s="32"/>
      <c r="WSV50" s="32"/>
      <c r="WSW50" s="32"/>
      <c r="WSX50" s="32"/>
      <c r="WSY50" s="32"/>
      <c r="WSZ50" s="32"/>
      <c r="WTA50" s="32"/>
      <c r="WTB50" s="32"/>
      <c r="WTC50" s="32"/>
      <c r="WTD50" s="32"/>
      <c r="WTE50" s="32"/>
      <c r="WTF50" s="32"/>
      <c r="WTG50" s="32"/>
      <c r="WTH50" s="32"/>
      <c r="WTI50" s="32"/>
      <c r="WTJ50" s="32"/>
      <c r="WTK50" s="32"/>
      <c r="WTL50" s="32"/>
      <c r="WTM50" s="32"/>
      <c r="WTN50" s="32"/>
      <c r="WTO50" s="32"/>
      <c r="WTP50" s="32"/>
      <c r="WTQ50" s="32"/>
      <c r="WTR50" s="32"/>
      <c r="WTS50" s="32"/>
      <c r="WTT50" s="32"/>
      <c r="WTU50" s="32"/>
      <c r="WTV50" s="32"/>
      <c r="WTW50" s="32"/>
      <c r="WTX50" s="32"/>
      <c r="WTY50" s="32"/>
      <c r="WTZ50" s="32"/>
      <c r="WUA50" s="32"/>
      <c r="WUB50" s="32"/>
      <c r="WUC50" s="32"/>
      <c r="WUD50" s="32"/>
      <c r="WUE50" s="32"/>
      <c r="WUF50" s="32"/>
      <c r="WUG50" s="32"/>
      <c r="WUH50" s="32"/>
      <c r="WUI50" s="32"/>
      <c r="WUJ50" s="32"/>
      <c r="WUK50" s="32"/>
      <c r="WUL50" s="32"/>
      <c r="WUM50" s="32"/>
      <c r="WUN50" s="32"/>
      <c r="WUO50" s="32"/>
      <c r="WUP50" s="32"/>
      <c r="WUQ50" s="32"/>
      <c r="WUR50" s="32"/>
      <c r="WUS50" s="32"/>
      <c r="WUT50" s="32"/>
      <c r="WUU50" s="32"/>
      <c r="WUV50" s="32"/>
      <c r="WUW50" s="32"/>
      <c r="WUX50" s="32"/>
      <c r="WUY50" s="32"/>
      <c r="WUZ50" s="32"/>
      <c r="WVA50" s="32"/>
      <c r="WVB50" s="32"/>
      <c r="WVC50" s="32"/>
      <c r="WVD50" s="32"/>
      <c r="WVE50" s="32"/>
      <c r="WVF50" s="32"/>
      <c r="WVG50" s="32"/>
      <c r="WVH50" s="32"/>
      <c r="WVI50" s="32"/>
      <c r="WVJ50" s="32"/>
      <c r="WVK50" s="32"/>
      <c r="WVL50" s="32"/>
      <c r="WVM50" s="32"/>
      <c r="WVN50" s="32"/>
      <c r="WVO50" s="32"/>
      <c r="WVP50" s="32"/>
      <c r="WVQ50" s="32"/>
      <c r="WVR50" s="32"/>
      <c r="WVS50" s="32"/>
      <c r="WVT50" s="32"/>
      <c r="WVU50" s="32"/>
      <c r="WVV50" s="32"/>
      <c r="WVW50" s="32"/>
      <c r="WVX50" s="32"/>
      <c r="WVY50" s="32"/>
      <c r="WVZ50" s="32"/>
      <c r="WWA50" s="32"/>
      <c r="WWB50" s="32"/>
      <c r="WWC50" s="32"/>
      <c r="WWD50" s="32"/>
      <c r="WWE50" s="32"/>
      <c r="WWF50" s="32"/>
      <c r="WWG50" s="32"/>
      <c r="WWH50" s="32"/>
      <c r="WWI50" s="32"/>
      <c r="WWJ50" s="32"/>
      <c r="WWK50" s="32"/>
      <c r="WWL50" s="32"/>
      <c r="WWM50" s="32"/>
      <c r="WWN50" s="32"/>
      <c r="WWO50" s="32"/>
      <c r="WWP50" s="32"/>
      <c r="WWQ50" s="32"/>
      <c r="WWR50" s="32"/>
      <c r="WWS50" s="32"/>
      <c r="WWT50" s="32"/>
      <c r="WWU50" s="32"/>
      <c r="WWV50" s="32"/>
      <c r="WWW50" s="32"/>
      <c r="WWX50" s="32"/>
      <c r="WWY50" s="32"/>
      <c r="WWZ50" s="32"/>
      <c r="WXA50" s="32"/>
      <c r="WXB50" s="32"/>
      <c r="WXC50" s="32"/>
      <c r="WXD50" s="32"/>
      <c r="WXE50" s="32"/>
      <c r="WXF50" s="32"/>
      <c r="WXG50" s="32"/>
      <c r="WXH50" s="32"/>
      <c r="WXI50" s="32"/>
      <c r="WXJ50" s="32"/>
      <c r="WXK50" s="32"/>
      <c r="WXL50" s="32"/>
      <c r="WXM50" s="32"/>
      <c r="WXN50" s="32"/>
      <c r="WXO50" s="32"/>
      <c r="WXP50" s="32"/>
      <c r="WXQ50" s="32"/>
      <c r="WXR50" s="32"/>
      <c r="WXS50" s="32"/>
      <c r="WXT50" s="32"/>
      <c r="WXU50" s="32"/>
      <c r="WXV50" s="32"/>
      <c r="WXW50" s="32"/>
      <c r="WXX50" s="32"/>
      <c r="WXY50" s="32"/>
      <c r="WXZ50" s="32"/>
      <c r="WYA50" s="32"/>
      <c r="WYB50" s="32"/>
      <c r="WYC50" s="32"/>
      <c r="WYD50" s="32"/>
      <c r="WYE50" s="32"/>
      <c r="WYF50" s="32"/>
      <c r="WYG50" s="32"/>
      <c r="WYH50" s="32"/>
      <c r="WYI50" s="32"/>
      <c r="WYJ50" s="32"/>
      <c r="WYK50" s="32"/>
      <c r="WYL50" s="32"/>
      <c r="WYM50" s="32"/>
      <c r="WYN50" s="32"/>
      <c r="WYO50" s="32"/>
      <c r="WYP50" s="32"/>
      <c r="WYQ50" s="32"/>
      <c r="WYR50" s="32"/>
      <c r="WYS50" s="32"/>
      <c r="WYT50" s="32"/>
      <c r="WYU50" s="32"/>
      <c r="WYV50" s="32"/>
      <c r="WYW50" s="32"/>
      <c r="WYX50" s="32"/>
      <c r="WYY50" s="32"/>
      <c r="WYZ50" s="32"/>
      <c r="WZA50" s="32"/>
      <c r="WZB50" s="32"/>
      <c r="WZC50" s="32"/>
      <c r="WZD50" s="32"/>
      <c r="WZE50" s="32"/>
      <c r="WZF50" s="32"/>
      <c r="WZG50" s="32"/>
      <c r="WZH50" s="32"/>
      <c r="WZI50" s="32"/>
      <c r="WZJ50" s="32"/>
      <c r="WZK50" s="32"/>
      <c r="WZL50" s="32"/>
      <c r="WZM50" s="32"/>
      <c r="WZN50" s="32"/>
      <c r="WZO50" s="32"/>
      <c r="WZP50" s="32"/>
      <c r="WZQ50" s="32"/>
      <c r="WZR50" s="32"/>
      <c r="WZS50" s="32"/>
      <c r="WZT50" s="32"/>
      <c r="WZU50" s="32"/>
      <c r="WZV50" s="32"/>
      <c r="WZW50" s="32"/>
      <c r="WZX50" s="32"/>
      <c r="WZY50" s="32"/>
      <c r="WZZ50" s="32"/>
      <c r="XAA50" s="32"/>
      <c r="XAB50" s="32"/>
      <c r="XAC50" s="32"/>
      <c r="XAD50" s="32"/>
      <c r="XAE50" s="32"/>
      <c r="XAF50" s="32"/>
      <c r="XAG50" s="32"/>
      <c r="XAH50" s="32"/>
      <c r="XAI50" s="32"/>
      <c r="XAJ50" s="32"/>
      <c r="XAK50" s="32"/>
      <c r="XAL50" s="32"/>
      <c r="XAM50" s="32"/>
      <c r="XAN50" s="32"/>
      <c r="XAO50" s="32"/>
      <c r="XAP50" s="32"/>
      <c r="XAQ50" s="32"/>
      <c r="XAR50" s="32"/>
      <c r="XAS50" s="32"/>
      <c r="XAT50" s="32"/>
      <c r="XAU50" s="32"/>
      <c r="XAV50" s="32"/>
      <c r="XAW50" s="32"/>
      <c r="XAX50" s="32"/>
      <c r="XAY50" s="32"/>
      <c r="XAZ50" s="32"/>
      <c r="XBA50" s="32"/>
      <c r="XBB50" s="32"/>
      <c r="XBC50" s="32"/>
      <c r="XBD50" s="32"/>
      <c r="XBE50" s="32"/>
      <c r="XBF50" s="32"/>
      <c r="XBG50" s="32"/>
      <c r="XBH50" s="32"/>
      <c r="XBI50" s="32"/>
      <c r="XBJ50" s="32"/>
      <c r="XBK50" s="32"/>
      <c r="XBL50" s="32"/>
      <c r="XBM50" s="32"/>
      <c r="XBN50" s="32"/>
      <c r="XBO50" s="32"/>
      <c r="XBP50" s="32"/>
      <c r="XBQ50" s="32"/>
      <c r="XBR50" s="32"/>
      <c r="XBS50" s="32"/>
      <c r="XBT50" s="32"/>
      <c r="XBU50" s="32"/>
      <c r="XBV50" s="32"/>
      <c r="XBW50" s="32"/>
      <c r="XBX50" s="32"/>
      <c r="XBY50" s="32"/>
      <c r="XBZ50" s="32"/>
      <c r="XCA50" s="32"/>
      <c r="XCB50" s="32"/>
      <c r="XCC50" s="32"/>
      <c r="XCD50" s="32"/>
      <c r="XCE50" s="32"/>
      <c r="XCF50" s="32"/>
      <c r="XCG50" s="32"/>
      <c r="XCH50" s="32"/>
      <c r="XCI50" s="32"/>
      <c r="XCJ50" s="32"/>
      <c r="XCK50" s="32"/>
      <c r="XCL50" s="32"/>
      <c r="XCM50" s="32"/>
      <c r="XCN50" s="32"/>
      <c r="XCO50" s="32"/>
      <c r="XCP50" s="32"/>
      <c r="XCQ50" s="32"/>
      <c r="XCR50" s="32"/>
      <c r="XCS50" s="32"/>
      <c r="XCT50" s="32"/>
      <c r="XCU50" s="32"/>
      <c r="XCV50" s="32"/>
      <c r="XCW50" s="32"/>
      <c r="XCX50" s="32"/>
      <c r="XCY50" s="32"/>
      <c r="XCZ50" s="32"/>
      <c r="XDA50" s="32"/>
      <c r="XDB50" s="32"/>
      <c r="XDC50" s="32"/>
      <c r="XDD50" s="32"/>
      <c r="XDE50" s="32"/>
      <c r="XDF50" s="32"/>
      <c r="XDG50" s="32"/>
      <c r="XDH50" s="32"/>
      <c r="XDI50" s="32"/>
      <c r="XDJ50" s="32"/>
      <c r="XDK50" s="32"/>
      <c r="XDL50" s="32"/>
      <c r="XDM50" s="32"/>
      <c r="XDN50" s="32"/>
      <c r="XDO50" s="32"/>
      <c r="XDP50" s="32"/>
      <c r="XDQ50" s="32"/>
      <c r="XDR50" s="32"/>
      <c r="XDS50" s="32"/>
      <c r="XDT50" s="32"/>
      <c r="XDU50" s="32"/>
      <c r="XDV50" s="32"/>
      <c r="XDW50" s="32"/>
      <c r="XDX50" s="32"/>
      <c r="XDY50" s="32"/>
      <c r="XDZ50" s="32"/>
      <c r="XEA50" s="32"/>
      <c r="XEB50" s="32"/>
      <c r="XEC50" s="32"/>
      <c r="XED50" s="32"/>
      <c r="XEE50" s="32"/>
      <c r="XEF50" s="32"/>
      <c r="XEG50" s="32"/>
      <c r="XEH50" s="32"/>
      <c r="XEI50" s="32"/>
      <c r="XEJ50" s="32"/>
      <c r="XEK50" s="32"/>
      <c r="XEL50" s="32"/>
      <c r="XEM50" s="32"/>
      <c r="XEN50" s="32"/>
      <c r="XEO50" s="32"/>
      <c r="XEP50" s="32"/>
      <c r="XEQ50" s="32"/>
      <c r="XER50" s="32"/>
      <c r="XES50" s="32"/>
      <c r="XET50" s="32"/>
      <c r="XEU50" s="32"/>
      <c r="XEV50" s="32"/>
      <c r="XEW50" s="32"/>
      <c r="XEX50" s="32"/>
      <c r="XEY50" s="32"/>
      <c r="XEZ50" s="32"/>
      <c r="XFA50" s="32"/>
      <c r="XFB50" s="32"/>
    </row>
    <row r="51" spans="1:16382" s="127" customFormat="1" ht="50.15" customHeight="1" thickBot="1">
      <c r="A51" s="750" t="s">
        <v>1111</v>
      </c>
      <c r="B51" s="750"/>
      <c r="C51" s="57"/>
      <c r="D51" s="57"/>
      <c r="E51" s="57"/>
      <c r="F51" s="57"/>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1"/>
      <c r="IH51" s="21"/>
      <c r="II51" s="21"/>
      <c r="IJ51" s="21"/>
      <c r="IK51" s="21"/>
      <c r="IL51" s="21"/>
      <c r="IM51" s="21"/>
      <c r="IN51" s="21"/>
      <c r="IO51" s="21"/>
      <c r="IP51" s="21"/>
      <c r="IQ51" s="21"/>
      <c r="IR51" s="21"/>
      <c r="IS51" s="21"/>
      <c r="IT51" s="21"/>
      <c r="IU51" s="21"/>
      <c r="IV51" s="21"/>
      <c r="IW51" s="21"/>
      <c r="IX51" s="21"/>
      <c r="IY51" s="21"/>
      <c r="IZ51" s="21"/>
      <c r="JA51" s="21"/>
      <c r="JB51" s="21"/>
      <c r="JC51" s="21"/>
      <c r="JD51" s="21"/>
      <c r="JE51" s="21"/>
      <c r="JF51" s="21"/>
      <c r="JG51" s="21"/>
      <c r="JH51" s="21"/>
      <c r="JI51" s="21"/>
      <c r="JJ51" s="21"/>
      <c r="JK51" s="21"/>
      <c r="JL51" s="21"/>
      <c r="JM51" s="21"/>
      <c r="JN51" s="21"/>
      <c r="JO51" s="21"/>
      <c r="JP51" s="21"/>
      <c r="JQ51" s="21"/>
      <c r="JR51" s="21"/>
      <c r="JS51" s="21"/>
      <c r="JT51" s="21"/>
      <c r="JU51" s="21"/>
      <c r="JV51" s="21"/>
      <c r="JW51" s="21"/>
      <c r="JX51" s="21"/>
      <c r="JY51" s="21"/>
      <c r="JZ51" s="21"/>
      <c r="KA51" s="21"/>
      <c r="KB51" s="21"/>
      <c r="KC51" s="21"/>
      <c r="KD51" s="21"/>
      <c r="KE51" s="21"/>
      <c r="KF51" s="21"/>
      <c r="KG51" s="21"/>
      <c r="KH51" s="21"/>
      <c r="KI51" s="21"/>
      <c r="KJ51" s="21"/>
      <c r="KK51" s="21"/>
      <c r="KL51" s="21"/>
      <c r="KM51" s="21"/>
      <c r="KN51" s="21"/>
      <c r="KO51" s="21"/>
      <c r="KP51" s="21"/>
      <c r="KQ51" s="21"/>
      <c r="KR51" s="21"/>
      <c r="KS51" s="21"/>
      <c r="KT51" s="21"/>
      <c r="KU51" s="21"/>
      <c r="KV51" s="21"/>
      <c r="KW51" s="21"/>
      <c r="KX51" s="21"/>
      <c r="KY51" s="21"/>
      <c r="KZ51" s="21"/>
      <c r="LA51" s="21"/>
      <c r="LB51" s="21"/>
      <c r="LC51" s="21"/>
      <c r="LD51" s="21"/>
      <c r="LE51" s="21"/>
      <c r="LF51" s="21"/>
      <c r="LG51" s="21"/>
      <c r="LH51" s="21"/>
      <c r="LI51" s="21"/>
      <c r="LJ51" s="21"/>
      <c r="LK51" s="21"/>
      <c r="LL51" s="21"/>
      <c r="LM51" s="21"/>
      <c r="LN51" s="21"/>
      <c r="LO51" s="21"/>
      <c r="LP51" s="21"/>
      <c r="LQ51" s="21"/>
      <c r="LR51" s="21"/>
      <c r="LS51" s="21"/>
      <c r="LT51" s="21"/>
      <c r="LU51" s="21"/>
      <c r="LV51" s="21"/>
      <c r="LW51" s="21"/>
      <c r="LX51" s="21"/>
      <c r="LY51" s="21"/>
      <c r="LZ51" s="21"/>
      <c r="MA51" s="21"/>
      <c r="MB51" s="21"/>
      <c r="MC51" s="21"/>
      <c r="MD51" s="21"/>
      <c r="ME51" s="21"/>
      <c r="MF51" s="21"/>
      <c r="MG51" s="21"/>
      <c r="MH51" s="21"/>
      <c r="MI51" s="21"/>
      <c r="MJ51" s="21"/>
      <c r="MK51" s="21"/>
      <c r="ML51" s="21"/>
      <c r="MM51" s="21"/>
      <c r="MN51" s="21"/>
      <c r="MO51" s="21"/>
      <c r="MP51" s="21"/>
      <c r="MQ51" s="21"/>
      <c r="MR51" s="21"/>
      <c r="MS51" s="21"/>
      <c r="MT51" s="21"/>
      <c r="MU51" s="21"/>
      <c r="MV51" s="21"/>
      <c r="MW51" s="21"/>
      <c r="MX51" s="21"/>
      <c r="MY51" s="21"/>
      <c r="MZ51" s="21"/>
      <c r="NA51" s="21"/>
      <c r="NB51" s="21"/>
      <c r="NC51" s="21"/>
      <c r="ND51" s="21"/>
      <c r="NE51" s="21"/>
      <c r="NF51" s="21"/>
      <c r="NG51" s="21"/>
      <c r="NH51" s="21"/>
      <c r="NI51" s="21"/>
      <c r="NJ51" s="21"/>
      <c r="NK51" s="21"/>
      <c r="NL51" s="21"/>
      <c r="NM51" s="21"/>
      <c r="NN51" s="21"/>
      <c r="NO51" s="21"/>
      <c r="NP51" s="21"/>
      <c r="NQ51" s="21"/>
      <c r="NR51" s="21"/>
      <c r="NS51" s="21"/>
      <c r="NT51" s="21"/>
      <c r="NU51" s="21"/>
      <c r="NV51" s="21"/>
      <c r="NW51" s="21"/>
      <c r="NX51" s="21"/>
      <c r="NY51" s="21"/>
      <c r="NZ51" s="21"/>
      <c r="OA51" s="21"/>
      <c r="OB51" s="21"/>
      <c r="OC51" s="21"/>
      <c r="OD51" s="21"/>
      <c r="OE51" s="21"/>
      <c r="OF51" s="21"/>
      <c r="OG51" s="21"/>
      <c r="OH51" s="21"/>
      <c r="OI51" s="21"/>
      <c r="OJ51" s="21"/>
      <c r="OK51" s="21"/>
      <c r="OL51" s="21"/>
      <c r="OM51" s="21"/>
      <c r="ON51" s="21"/>
      <c r="OO51" s="21"/>
      <c r="OP51" s="21"/>
      <c r="OQ51" s="21"/>
      <c r="OR51" s="21"/>
      <c r="OS51" s="21"/>
      <c r="OT51" s="21"/>
      <c r="OU51" s="21"/>
      <c r="OV51" s="21"/>
      <c r="OW51" s="21"/>
      <c r="OX51" s="21"/>
      <c r="OY51" s="21"/>
      <c r="OZ51" s="21"/>
      <c r="PA51" s="21"/>
      <c r="PB51" s="21"/>
      <c r="PC51" s="21"/>
      <c r="PD51" s="21"/>
      <c r="PE51" s="21"/>
      <c r="PF51" s="21"/>
      <c r="PG51" s="21"/>
      <c r="PH51" s="21"/>
      <c r="PI51" s="21"/>
      <c r="PJ51" s="21"/>
      <c r="PK51" s="21"/>
      <c r="PL51" s="21"/>
      <c r="PM51" s="21"/>
      <c r="PN51" s="21"/>
      <c r="PO51" s="21"/>
      <c r="PP51" s="21"/>
      <c r="PQ51" s="21"/>
      <c r="PR51" s="21"/>
      <c r="PS51" s="21"/>
      <c r="PT51" s="21"/>
      <c r="PU51" s="21"/>
      <c r="PV51" s="21"/>
      <c r="PW51" s="21"/>
      <c r="PX51" s="21"/>
      <c r="PY51" s="21"/>
      <c r="PZ51" s="21"/>
      <c r="QA51" s="21"/>
      <c r="QB51" s="21"/>
      <c r="QC51" s="21"/>
      <c r="QD51" s="21"/>
      <c r="QE51" s="21"/>
      <c r="QF51" s="21"/>
      <c r="QG51" s="21"/>
      <c r="QH51" s="21"/>
      <c r="QI51" s="21"/>
      <c r="QJ51" s="21"/>
      <c r="QK51" s="21"/>
      <c r="QL51" s="21"/>
      <c r="QM51" s="21"/>
      <c r="QN51" s="21"/>
      <c r="QO51" s="21"/>
      <c r="QP51" s="21"/>
      <c r="QQ51" s="21"/>
      <c r="QR51" s="21"/>
      <c r="QS51" s="21"/>
      <c r="QT51" s="21"/>
      <c r="QU51" s="21"/>
      <c r="QV51" s="21"/>
      <c r="QW51" s="21"/>
      <c r="QX51" s="21"/>
      <c r="QY51" s="21"/>
      <c r="QZ51" s="21"/>
      <c r="RA51" s="21"/>
      <c r="RB51" s="21"/>
      <c r="RC51" s="21"/>
      <c r="RD51" s="21"/>
      <c r="RE51" s="21"/>
      <c r="RF51" s="21"/>
      <c r="RG51" s="21"/>
      <c r="RH51" s="21"/>
      <c r="RI51" s="21"/>
      <c r="RJ51" s="21"/>
      <c r="RK51" s="21"/>
      <c r="RL51" s="21"/>
      <c r="RM51" s="21"/>
      <c r="RN51" s="21"/>
      <c r="RO51" s="21"/>
      <c r="RP51" s="21"/>
      <c r="RQ51" s="21"/>
      <c r="RR51" s="21"/>
      <c r="RS51" s="21"/>
      <c r="RT51" s="21"/>
      <c r="RU51" s="21"/>
      <c r="RV51" s="21"/>
      <c r="RW51" s="21"/>
      <c r="RX51" s="21"/>
      <c r="RY51" s="21"/>
      <c r="RZ51" s="21"/>
      <c r="SA51" s="21"/>
      <c r="SB51" s="21"/>
      <c r="SC51" s="21"/>
      <c r="SD51" s="21"/>
      <c r="SE51" s="21"/>
      <c r="SF51" s="21"/>
      <c r="SG51" s="21"/>
      <c r="SH51" s="21"/>
      <c r="SI51" s="21"/>
      <c r="SJ51" s="21"/>
      <c r="SK51" s="21"/>
      <c r="SL51" s="21"/>
      <c r="SM51" s="21"/>
      <c r="SN51" s="21"/>
      <c r="SO51" s="21"/>
      <c r="SP51" s="21"/>
      <c r="SQ51" s="21"/>
      <c r="SR51" s="21"/>
      <c r="SS51" s="21"/>
      <c r="ST51" s="21"/>
      <c r="SU51" s="21"/>
      <c r="SV51" s="21"/>
      <c r="SW51" s="21"/>
      <c r="SX51" s="21"/>
      <c r="SY51" s="21"/>
      <c r="SZ51" s="21"/>
      <c r="TA51" s="21"/>
      <c r="TB51" s="21"/>
      <c r="TC51" s="21"/>
      <c r="TD51" s="21"/>
      <c r="TE51" s="21"/>
      <c r="TF51" s="21"/>
      <c r="TG51" s="21"/>
      <c r="TH51" s="21"/>
      <c r="TI51" s="21"/>
      <c r="TJ51" s="21"/>
      <c r="TK51" s="21"/>
      <c r="TL51" s="21"/>
      <c r="TM51" s="21"/>
      <c r="TN51" s="21"/>
      <c r="TO51" s="21"/>
      <c r="TP51" s="21"/>
      <c r="TQ51" s="21"/>
      <c r="TR51" s="21"/>
      <c r="TS51" s="21"/>
      <c r="TT51" s="21"/>
      <c r="TU51" s="21"/>
      <c r="TV51" s="21"/>
      <c r="TW51" s="21"/>
      <c r="TX51" s="21"/>
      <c r="TY51" s="21"/>
      <c r="TZ51" s="21"/>
      <c r="UA51" s="21"/>
      <c r="UB51" s="21"/>
      <c r="UC51" s="21"/>
      <c r="UD51" s="21"/>
      <c r="UE51" s="21"/>
      <c r="UF51" s="21"/>
      <c r="UG51" s="21"/>
      <c r="UH51" s="21"/>
      <c r="UI51" s="21"/>
      <c r="UJ51" s="21"/>
      <c r="UK51" s="21"/>
      <c r="UL51" s="21"/>
      <c r="UM51" s="21"/>
      <c r="UN51" s="21"/>
      <c r="UO51" s="21"/>
      <c r="UP51" s="21"/>
      <c r="UQ51" s="21"/>
      <c r="UR51" s="21"/>
      <c r="US51" s="21"/>
      <c r="UT51" s="21"/>
      <c r="UU51" s="21"/>
      <c r="UV51" s="21"/>
      <c r="UW51" s="21"/>
      <c r="UX51" s="21"/>
      <c r="UY51" s="21"/>
      <c r="UZ51" s="21"/>
      <c r="VA51" s="21"/>
      <c r="VB51" s="21"/>
      <c r="VC51" s="21"/>
      <c r="VD51" s="21"/>
      <c r="VE51" s="21"/>
      <c r="VF51" s="21"/>
      <c r="VG51" s="21"/>
      <c r="VH51" s="21"/>
      <c r="VI51" s="21"/>
      <c r="VJ51" s="21"/>
      <c r="VK51" s="21"/>
      <c r="VL51" s="21"/>
      <c r="VM51" s="21"/>
      <c r="VN51" s="21"/>
      <c r="VO51" s="21"/>
      <c r="VP51" s="21"/>
      <c r="VQ51" s="21"/>
      <c r="VR51" s="21"/>
      <c r="VS51" s="21"/>
      <c r="VT51" s="21"/>
      <c r="VU51" s="21"/>
      <c r="VV51" s="21"/>
      <c r="VW51" s="21"/>
      <c r="VX51" s="21"/>
      <c r="VY51" s="21"/>
      <c r="VZ51" s="21"/>
      <c r="WA51" s="21"/>
      <c r="WB51" s="21"/>
      <c r="WC51" s="21"/>
      <c r="WD51" s="21"/>
      <c r="WE51" s="21"/>
      <c r="WF51" s="21"/>
      <c r="WG51" s="21"/>
      <c r="WH51" s="21"/>
      <c r="WI51" s="21"/>
      <c r="WJ51" s="21"/>
      <c r="WK51" s="21"/>
      <c r="WL51" s="21"/>
      <c r="WM51" s="21"/>
      <c r="WN51" s="21"/>
      <c r="WO51" s="21"/>
      <c r="WP51" s="21"/>
      <c r="WQ51" s="21"/>
      <c r="WR51" s="21"/>
      <c r="WS51" s="21"/>
      <c r="WT51" s="21"/>
      <c r="WU51" s="21"/>
      <c r="WV51" s="21"/>
      <c r="WW51" s="21"/>
      <c r="WX51" s="21"/>
      <c r="WY51" s="21"/>
      <c r="WZ51" s="21"/>
      <c r="XA51" s="21"/>
      <c r="XB51" s="21"/>
      <c r="XC51" s="21"/>
      <c r="XD51" s="21"/>
      <c r="XE51" s="21"/>
      <c r="XF51" s="21"/>
      <c r="XG51" s="21"/>
      <c r="XH51" s="21"/>
      <c r="XI51" s="21"/>
      <c r="XJ51" s="21"/>
      <c r="XK51" s="21"/>
      <c r="XL51" s="21"/>
      <c r="XM51" s="21"/>
      <c r="XN51" s="21"/>
      <c r="XO51" s="21"/>
      <c r="XP51" s="21"/>
      <c r="XQ51" s="21"/>
      <c r="XR51" s="21"/>
      <c r="XS51" s="21"/>
      <c r="XT51" s="21"/>
      <c r="XU51" s="21"/>
      <c r="XV51" s="21"/>
      <c r="XW51" s="21"/>
      <c r="XX51" s="21"/>
      <c r="XY51" s="21"/>
      <c r="XZ51" s="21"/>
      <c r="YA51" s="21"/>
      <c r="YB51" s="21"/>
      <c r="YC51" s="21"/>
      <c r="YD51" s="21"/>
      <c r="YE51" s="21"/>
      <c r="YF51" s="21"/>
      <c r="YG51" s="21"/>
      <c r="YH51" s="21"/>
      <c r="YI51" s="21"/>
      <c r="YJ51" s="21"/>
      <c r="YK51" s="21"/>
      <c r="YL51" s="21"/>
      <c r="YM51" s="21"/>
      <c r="YN51" s="21"/>
      <c r="YO51" s="21"/>
      <c r="YP51" s="21"/>
      <c r="YQ51" s="21"/>
      <c r="YR51" s="21"/>
      <c r="YS51" s="21"/>
      <c r="YT51" s="21"/>
      <c r="YU51" s="21"/>
      <c r="YV51" s="21"/>
      <c r="YW51" s="21"/>
      <c r="YX51" s="21"/>
      <c r="YY51" s="21"/>
      <c r="YZ51" s="21"/>
      <c r="ZA51" s="21"/>
      <c r="ZB51" s="21"/>
      <c r="ZC51" s="21"/>
      <c r="ZD51" s="21"/>
      <c r="ZE51" s="21"/>
      <c r="ZF51" s="21"/>
      <c r="ZG51" s="21"/>
      <c r="ZH51" s="21"/>
      <c r="ZI51" s="21"/>
      <c r="ZJ51" s="21"/>
      <c r="ZK51" s="21"/>
      <c r="ZL51" s="21"/>
      <c r="ZM51" s="21"/>
      <c r="ZN51" s="21"/>
      <c r="ZO51" s="21"/>
      <c r="ZP51" s="21"/>
      <c r="ZQ51" s="21"/>
      <c r="ZR51" s="21"/>
      <c r="ZS51" s="21"/>
      <c r="ZT51" s="21"/>
      <c r="ZU51" s="21"/>
      <c r="ZV51" s="21"/>
      <c r="ZW51" s="21"/>
      <c r="ZX51" s="21"/>
      <c r="ZY51" s="21"/>
      <c r="ZZ51" s="21"/>
      <c r="AAA51" s="21"/>
      <c r="AAB51" s="21"/>
      <c r="AAC51" s="21"/>
      <c r="AAD51" s="21"/>
      <c r="AAE51" s="21"/>
      <c r="AAF51" s="21"/>
      <c r="AAG51" s="21"/>
      <c r="AAH51" s="21"/>
      <c r="AAI51" s="21"/>
      <c r="AAJ51" s="21"/>
      <c r="AAK51" s="21"/>
      <c r="AAL51" s="21"/>
      <c r="AAM51" s="21"/>
      <c r="AAN51" s="21"/>
      <c r="AAO51" s="21"/>
      <c r="AAP51" s="21"/>
      <c r="AAQ51" s="21"/>
      <c r="AAR51" s="21"/>
      <c r="AAS51" s="21"/>
      <c r="AAT51" s="21"/>
      <c r="AAU51" s="21"/>
      <c r="AAV51" s="21"/>
      <c r="AAW51" s="21"/>
      <c r="AAX51" s="21"/>
      <c r="AAY51" s="21"/>
      <c r="AAZ51" s="21"/>
      <c r="ABA51" s="21"/>
      <c r="ABB51" s="21"/>
      <c r="ABC51" s="21"/>
      <c r="ABD51" s="21"/>
      <c r="ABE51" s="21"/>
      <c r="ABF51" s="21"/>
      <c r="ABG51" s="21"/>
      <c r="ABH51" s="21"/>
      <c r="ABI51" s="21"/>
      <c r="ABJ51" s="21"/>
      <c r="ABK51" s="21"/>
      <c r="ABL51" s="21"/>
      <c r="ABM51" s="21"/>
      <c r="ABN51" s="21"/>
      <c r="ABO51" s="21"/>
      <c r="ABP51" s="21"/>
      <c r="ABQ51" s="21"/>
      <c r="ABR51" s="21"/>
      <c r="ABS51" s="21"/>
      <c r="ABT51" s="21"/>
      <c r="ABU51" s="21"/>
      <c r="ABV51" s="21"/>
      <c r="ABW51" s="21"/>
      <c r="ABX51" s="21"/>
      <c r="ABY51" s="21"/>
      <c r="ABZ51" s="21"/>
      <c r="ACA51" s="21"/>
      <c r="ACB51" s="21"/>
      <c r="ACC51" s="21"/>
      <c r="ACD51" s="21"/>
      <c r="ACE51" s="21"/>
      <c r="ACF51" s="21"/>
      <c r="ACG51" s="21"/>
      <c r="ACH51" s="21"/>
      <c r="ACI51" s="21"/>
      <c r="ACJ51" s="21"/>
      <c r="ACK51" s="21"/>
      <c r="ACL51" s="21"/>
      <c r="ACM51" s="21"/>
      <c r="ACN51" s="21"/>
      <c r="ACO51" s="21"/>
      <c r="ACP51" s="21"/>
      <c r="ACQ51" s="21"/>
      <c r="ACR51" s="21"/>
      <c r="ACS51" s="21"/>
      <c r="ACT51" s="21"/>
      <c r="ACU51" s="21"/>
      <c r="ACV51" s="21"/>
      <c r="ACW51" s="21"/>
      <c r="ACX51" s="21"/>
      <c r="ACY51" s="21"/>
      <c r="ACZ51" s="21"/>
      <c r="ADA51" s="21"/>
      <c r="ADB51" s="21"/>
      <c r="ADC51" s="21"/>
      <c r="ADD51" s="21"/>
      <c r="ADE51" s="21"/>
      <c r="ADF51" s="21"/>
      <c r="ADG51" s="21"/>
      <c r="ADH51" s="21"/>
      <c r="ADI51" s="21"/>
      <c r="ADJ51" s="21"/>
      <c r="ADK51" s="21"/>
      <c r="ADL51" s="21"/>
      <c r="ADM51" s="21"/>
      <c r="ADN51" s="21"/>
      <c r="ADO51" s="21"/>
      <c r="ADP51" s="21"/>
      <c r="ADQ51" s="21"/>
      <c r="ADR51" s="21"/>
      <c r="ADS51" s="21"/>
      <c r="ADT51" s="21"/>
      <c r="ADU51" s="21"/>
      <c r="ADV51" s="21"/>
      <c r="ADW51" s="21"/>
      <c r="ADX51" s="21"/>
      <c r="ADY51" s="21"/>
      <c r="ADZ51" s="21"/>
      <c r="AEA51" s="21"/>
      <c r="AEB51" s="21"/>
      <c r="AEC51" s="21"/>
      <c r="AED51" s="21"/>
      <c r="AEE51" s="21"/>
      <c r="AEF51" s="21"/>
      <c r="AEG51" s="21"/>
      <c r="AEH51" s="21"/>
      <c r="AEI51" s="21"/>
      <c r="AEJ51" s="21"/>
      <c r="AEK51" s="21"/>
      <c r="AEL51" s="21"/>
      <c r="AEM51" s="21"/>
      <c r="AEN51" s="21"/>
      <c r="AEO51" s="21"/>
      <c r="AEP51" s="21"/>
      <c r="AEQ51" s="21"/>
      <c r="AER51" s="21"/>
      <c r="AES51" s="21"/>
      <c r="AET51" s="21"/>
      <c r="AEU51" s="21"/>
      <c r="AEV51" s="21"/>
      <c r="AEW51" s="21"/>
      <c r="AEX51" s="21"/>
      <c r="AEY51" s="21"/>
      <c r="AEZ51" s="21"/>
      <c r="AFA51" s="21"/>
      <c r="AFB51" s="21"/>
      <c r="AFC51" s="21"/>
      <c r="AFD51" s="21"/>
      <c r="AFE51" s="21"/>
      <c r="AFF51" s="21"/>
      <c r="AFG51" s="21"/>
      <c r="AFH51" s="21"/>
      <c r="AFI51" s="21"/>
      <c r="AFJ51" s="21"/>
      <c r="AFK51" s="21"/>
      <c r="AFL51" s="21"/>
      <c r="AFM51" s="21"/>
      <c r="AFN51" s="21"/>
      <c r="AFO51" s="21"/>
      <c r="AFP51" s="21"/>
      <c r="AFQ51" s="21"/>
      <c r="AFR51" s="21"/>
      <c r="AFS51" s="21"/>
      <c r="AFT51" s="21"/>
      <c r="AFU51" s="21"/>
      <c r="AFV51" s="21"/>
      <c r="AFW51" s="21"/>
      <c r="AFX51" s="21"/>
      <c r="AFY51" s="21"/>
      <c r="AFZ51" s="21"/>
      <c r="AGA51" s="21"/>
      <c r="AGB51" s="21"/>
      <c r="AGC51" s="21"/>
      <c r="AGD51" s="21"/>
      <c r="AGE51" s="21"/>
      <c r="AGF51" s="21"/>
      <c r="AGG51" s="21"/>
      <c r="AGH51" s="21"/>
      <c r="AGI51" s="21"/>
      <c r="AGJ51" s="21"/>
      <c r="AGK51" s="21"/>
      <c r="AGL51" s="21"/>
      <c r="AGM51" s="21"/>
      <c r="AGN51" s="21"/>
      <c r="AGO51" s="21"/>
      <c r="AGP51" s="21"/>
      <c r="AGQ51" s="21"/>
      <c r="AGR51" s="21"/>
      <c r="AGS51" s="21"/>
      <c r="AGT51" s="21"/>
      <c r="AGU51" s="21"/>
      <c r="AGV51" s="21"/>
      <c r="AGW51" s="21"/>
      <c r="AGX51" s="21"/>
      <c r="AGY51" s="21"/>
      <c r="AGZ51" s="21"/>
      <c r="AHA51" s="21"/>
      <c r="AHB51" s="21"/>
      <c r="AHC51" s="21"/>
      <c r="AHD51" s="21"/>
      <c r="AHE51" s="21"/>
      <c r="AHF51" s="21"/>
      <c r="AHG51" s="21"/>
      <c r="AHH51" s="21"/>
      <c r="AHI51" s="21"/>
      <c r="AHJ51" s="21"/>
      <c r="AHK51" s="21"/>
      <c r="AHL51" s="21"/>
      <c r="AHM51" s="21"/>
      <c r="AHN51" s="21"/>
      <c r="AHO51" s="21"/>
      <c r="AHP51" s="21"/>
      <c r="AHQ51" s="21"/>
      <c r="AHR51" s="21"/>
      <c r="AHS51" s="21"/>
      <c r="AHT51" s="21"/>
      <c r="AHU51" s="21"/>
      <c r="AHV51" s="21"/>
      <c r="AHW51" s="21"/>
      <c r="AHX51" s="21"/>
      <c r="AHY51" s="21"/>
      <c r="AHZ51" s="21"/>
      <c r="AIA51" s="21"/>
      <c r="AIB51" s="21"/>
      <c r="AIC51" s="21"/>
      <c r="AID51" s="21"/>
      <c r="AIE51" s="21"/>
      <c r="AIF51" s="21"/>
      <c r="AIG51" s="21"/>
      <c r="AIH51" s="21"/>
      <c r="AII51" s="21"/>
      <c r="AIJ51" s="21"/>
      <c r="AIK51" s="21"/>
      <c r="AIL51" s="21"/>
      <c r="AIM51" s="21"/>
      <c r="AIN51" s="21"/>
      <c r="AIO51" s="21"/>
      <c r="AIP51" s="21"/>
      <c r="AIQ51" s="21"/>
      <c r="AIR51" s="21"/>
      <c r="AIS51" s="21"/>
      <c r="AIT51" s="21"/>
      <c r="AIU51" s="21"/>
      <c r="AIV51" s="21"/>
      <c r="AIW51" s="21"/>
      <c r="AIX51" s="21"/>
      <c r="AIY51" s="21"/>
      <c r="AIZ51" s="21"/>
      <c r="AJA51" s="21"/>
      <c r="AJB51" s="21"/>
      <c r="AJC51" s="21"/>
      <c r="AJD51" s="21"/>
      <c r="AJE51" s="21"/>
      <c r="AJF51" s="21"/>
      <c r="AJG51" s="21"/>
      <c r="AJH51" s="21"/>
      <c r="AJI51" s="21"/>
      <c r="AJJ51" s="21"/>
      <c r="AJK51" s="21"/>
      <c r="AJL51" s="21"/>
      <c r="AJM51" s="21"/>
      <c r="AJN51" s="21"/>
      <c r="AJO51" s="21"/>
      <c r="AJP51" s="21"/>
      <c r="AJQ51" s="21"/>
      <c r="AJR51" s="21"/>
      <c r="AJS51" s="21"/>
      <c r="AJT51" s="21"/>
      <c r="AJU51" s="21"/>
      <c r="AJV51" s="21"/>
      <c r="AJW51" s="21"/>
      <c r="AJX51" s="21"/>
      <c r="AJY51" s="21"/>
      <c r="AJZ51" s="21"/>
      <c r="AKA51" s="21"/>
      <c r="AKB51" s="21"/>
      <c r="AKC51" s="21"/>
      <c r="AKD51" s="21"/>
      <c r="AKE51" s="21"/>
      <c r="AKF51" s="21"/>
      <c r="AKG51" s="21"/>
      <c r="AKH51" s="21"/>
      <c r="AKI51" s="21"/>
      <c r="AKJ51" s="21"/>
      <c r="AKK51" s="21"/>
      <c r="AKL51" s="21"/>
      <c r="AKM51" s="21"/>
      <c r="AKN51" s="21"/>
      <c r="AKO51" s="21"/>
      <c r="AKP51" s="21"/>
      <c r="AKQ51" s="21"/>
      <c r="AKR51" s="21"/>
      <c r="AKS51" s="21"/>
      <c r="AKT51" s="21"/>
      <c r="AKU51" s="21"/>
      <c r="AKV51" s="21"/>
      <c r="AKW51" s="21"/>
      <c r="AKX51" s="21"/>
      <c r="AKY51" s="21"/>
      <c r="AKZ51" s="21"/>
      <c r="ALA51" s="21"/>
      <c r="ALB51" s="21"/>
      <c r="ALC51" s="21"/>
      <c r="ALD51" s="21"/>
      <c r="ALE51" s="21"/>
      <c r="ALF51" s="21"/>
      <c r="ALG51" s="21"/>
      <c r="ALH51" s="21"/>
      <c r="ALI51" s="21"/>
      <c r="ALJ51" s="21"/>
      <c r="ALK51" s="21"/>
      <c r="ALL51" s="21"/>
      <c r="ALM51" s="21"/>
      <c r="ALN51" s="21"/>
      <c r="ALO51" s="21"/>
      <c r="ALP51" s="21"/>
      <c r="ALQ51" s="21"/>
      <c r="ALR51" s="21"/>
      <c r="ALS51" s="21"/>
      <c r="ALT51" s="21"/>
      <c r="ALU51" s="21"/>
      <c r="ALV51" s="21"/>
      <c r="ALW51" s="21"/>
      <c r="ALX51" s="21"/>
      <c r="ALY51" s="21"/>
      <c r="ALZ51" s="21"/>
      <c r="AMA51" s="21"/>
      <c r="AMB51" s="21"/>
      <c r="AMC51" s="21"/>
      <c r="AMD51" s="21"/>
      <c r="AME51" s="21"/>
      <c r="AMF51" s="21"/>
      <c r="AMG51" s="21"/>
      <c r="AMH51" s="21"/>
      <c r="AMI51" s="21"/>
      <c r="AMJ51" s="21"/>
      <c r="AMK51" s="21"/>
      <c r="AML51" s="21"/>
      <c r="AMM51" s="21"/>
      <c r="AMN51" s="21"/>
      <c r="AMO51" s="21"/>
      <c r="AMP51" s="21"/>
      <c r="AMQ51" s="21"/>
      <c r="AMR51" s="21"/>
      <c r="AMS51" s="21"/>
      <c r="AMT51" s="21"/>
      <c r="AMU51" s="21"/>
      <c r="AMV51" s="21"/>
      <c r="AMW51" s="21"/>
      <c r="AMX51" s="21"/>
      <c r="AMY51" s="21"/>
      <c r="AMZ51" s="21"/>
      <c r="ANA51" s="21"/>
      <c r="ANB51" s="21"/>
      <c r="ANC51" s="21"/>
      <c r="AND51" s="21"/>
      <c r="ANE51" s="21"/>
      <c r="ANF51" s="21"/>
      <c r="ANG51" s="21"/>
      <c r="ANH51" s="21"/>
      <c r="ANI51" s="21"/>
      <c r="ANJ51" s="21"/>
      <c r="ANK51" s="21"/>
      <c r="ANL51" s="21"/>
      <c r="ANM51" s="21"/>
      <c r="ANN51" s="21"/>
      <c r="ANO51" s="21"/>
      <c r="ANP51" s="21"/>
      <c r="ANQ51" s="21"/>
      <c r="ANR51" s="21"/>
      <c r="ANS51" s="21"/>
      <c r="ANT51" s="21"/>
      <c r="ANU51" s="21"/>
      <c r="ANV51" s="21"/>
      <c r="ANW51" s="21"/>
      <c r="ANX51" s="21"/>
      <c r="ANY51" s="21"/>
      <c r="ANZ51" s="21"/>
      <c r="AOA51" s="21"/>
      <c r="AOB51" s="21"/>
      <c r="AOC51" s="21"/>
      <c r="AOD51" s="21"/>
      <c r="AOE51" s="21"/>
      <c r="AOF51" s="21"/>
      <c r="AOG51" s="21"/>
      <c r="AOH51" s="21"/>
      <c r="AOI51" s="21"/>
      <c r="AOJ51" s="21"/>
      <c r="AOK51" s="21"/>
      <c r="AOL51" s="21"/>
      <c r="AOM51" s="21"/>
      <c r="AON51" s="21"/>
      <c r="AOO51" s="21"/>
      <c r="AOP51" s="21"/>
      <c r="AOQ51" s="21"/>
      <c r="AOR51" s="21"/>
      <c r="AOS51" s="21"/>
      <c r="AOT51" s="21"/>
      <c r="AOU51" s="21"/>
      <c r="AOV51" s="21"/>
      <c r="AOW51" s="21"/>
      <c r="AOX51" s="21"/>
      <c r="AOY51" s="21"/>
      <c r="AOZ51" s="21"/>
      <c r="APA51" s="21"/>
      <c r="APB51" s="21"/>
      <c r="APC51" s="21"/>
      <c r="APD51" s="21"/>
      <c r="APE51" s="21"/>
      <c r="APF51" s="21"/>
      <c r="APG51" s="21"/>
      <c r="APH51" s="21"/>
      <c r="API51" s="21"/>
      <c r="APJ51" s="21"/>
      <c r="APK51" s="21"/>
      <c r="APL51" s="21"/>
      <c r="APM51" s="21"/>
      <c r="APN51" s="21"/>
      <c r="APO51" s="21"/>
      <c r="APP51" s="21"/>
      <c r="APQ51" s="21"/>
      <c r="APR51" s="21"/>
      <c r="APS51" s="21"/>
      <c r="APT51" s="21"/>
      <c r="APU51" s="21"/>
      <c r="APV51" s="21"/>
      <c r="APW51" s="21"/>
      <c r="APX51" s="21"/>
      <c r="APY51" s="21"/>
      <c r="APZ51" s="21"/>
      <c r="AQA51" s="21"/>
      <c r="AQB51" s="21"/>
      <c r="AQC51" s="21"/>
      <c r="AQD51" s="21"/>
      <c r="AQE51" s="21"/>
      <c r="AQF51" s="21"/>
      <c r="AQG51" s="21"/>
      <c r="AQH51" s="21"/>
      <c r="AQI51" s="21"/>
      <c r="AQJ51" s="21"/>
      <c r="AQK51" s="21"/>
      <c r="AQL51" s="21"/>
      <c r="AQM51" s="21"/>
      <c r="AQN51" s="21"/>
      <c r="AQO51" s="21"/>
      <c r="AQP51" s="21"/>
      <c r="AQQ51" s="21"/>
      <c r="AQR51" s="21"/>
      <c r="AQS51" s="21"/>
      <c r="AQT51" s="21"/>
      <c r="AQU51" s="21"/>
      <c r="AQV51" s="21"/>
      <c r="AQW51" s="21"/>
      <c r="AQX51" s="21"/>
      <c r="AQY51" s="21"/>
      <c r="AQZ51" s="21"/>
      <c r="ARA51" s="21"/>
      <c r="ARB51" s="21"/>
      <c r="ARC51" s="21"/>
      <c r="ARD51" s="21"/>
      <c r="ARE51" s="21"/>
      <c r="ARF51" s="21"/>
      <c r="ARG51" s="21"/>
      <c r="ARH51" s="21"/>
      <c r="ARI51" s="21"/>
      <c r="ARJ51" s="21"/>
      <c r="ARK51" s="21"/>
      <c r="ARL51" s="21"/>
      <c r="ARM51" s="21"/>
      <c r="ARN51" s="21"/>
      <c r="ARO51" s="21"/>
      <c r="ARP51" s="21"/>
      <c r="ARQ51" s="21"/>
      <c r="ARR51" s="21"/>
      <c r="ARS51" s="21"/>
      <c r="ART51" s="21"/>
      <c r="ARU51" s="21"/>
      <c r="ARV51" s="21"/>
      <c r="ARW51" s="21"/>
      <c r="ARX51" s="21"/>
      <c r="ARY51" s="21"/>
      <c r="ARZ51" s="21"/>
      <c r="ASA51" s="21"/>
      <c r="ASB51" s="21"/>
      <c r="ASC51" s="21"/>
      <c r="ASD51" s="21"/>
      <c r="ASE51" s="21"/>
      <c r="ASF51" s="21"/>
      <c r="ASG51" s="21"/>
      <c r="ASH51" s="21"/>
      <c r="ASI51" s="21"/>
      <c r="ASJ51" s="21"/>
      <c r="ASK51" s="21"/>
      <c r="ASL51" s="21"/>
      <c r="ASM51" s="21"/>
      <c r="ASN51" s="21"/>
      <c r="ASO51" s="21"/>
      <c r="ASP51" s="21"/>
      <c r="ASQ51" s="21"/>
      <c r="ASR51" s="21"/>
      <c r="ASS51" s="21"/>
      <c r="AST51" s="21"/>
      <c r="ASU51" s="21"/>
      <c r="ASV51" s="21"/>
      <c r="ASW51" s="21"/>
      <c r="ASX51" s="21"/>
      <c r="ASY51" s="21"/>
      <c r="ASZ51" s="21"/>
      <c r="ATA51" s="21"/>
      <c r="ATB51" s="21"/>
      <c r="ATC51" s="21"/>
      <c r="ATD51" s="21"/>
      <c r="ATE51" s="21"/>
      <c r="ATF51" s="21"/>
      <c r="ATG51" s="21"/>
      <c r="ATH51" s="21"/>
      <c r="ATI51" s="21"/>
      <c r="ATJ51" s="21"/>
      <c r="ATK51" s="21"/>
      <c r="ATL51" s="21"/>
      <c r="ATM51" s="21"/>
      <c r="ATN51" s="21"/>
      <c r="ATO51" s="21"/>
      <c r="ATP51" s="21"/>
      <c r="ATQ51" s="21"/>
      <c r="ATR51" s="21"/>
      <c r="ATS51" s="21"/>
      <c r="ATT51" s="21"/>
      <c r="ATU51" s="21"/>
      <c r="ATV51" s="21"/>
      <c r="ATW51" s="21"/>
      <c r="ATX51" s="21"/>
      <c r="ATY51" s="21"/>
      <c r="ATZ51" s="21"/>
      <c r="AUA51" s="21"/>
      <c r="AUB51" s="21"/>
      <c r="AUC51" s="21"/>
      <c r="AUD51" s="21"/>
      <c r="AUE51" s="21"/>
      <c r="AUF51" s="21"/>
      <c r="AUG51" s="21"/>
      <c r="AUH51" s="21"/>
      <c r="AUI51" s="21"/>
      <c r="AUJ51" s="21"/>
      <c r="AUK51" s="21"/>
      <c r="AUL51" s="21"/>
      <c r="AUM51" s="21"/>
      <c r="AUN51" s="21"/>
      <c r="AUO51" s="21"/>
      <c r="AUP51" s="21"/>
      <c r="AUQ51" s="21"/>
      <c r="AUR51" s="21"/>
      <c r="AUS51" s="21"/>
      <c r="AUT51" s="21"/>
      <c r="AUU51" s="21"/>
      <c r="AUV51" s="21"/>
      <c r="AUW51" s="21"/>
      <c r="AUX51" s="21"/>
      <c r="AUY51" s="21"/>
      <c r="AUZ51" s="21"/>
      <c r="AVA51" s="21"/>
      <c r="AVB51" s="21"/>
      <c r="AVC51" s="21"/>
      <c r="AVD51" s="21"/>
      <c r="AVE51" s="21"/>
      <c r="AVF51" s="21"/>
      <c r="AVG51" s="21"/>
      <c r="AVH51" s="21"/>
      <c r="AVI51" s="21"/>
      <c r="AVJ51" s="21"/>
      <c r="AVK51" s="21"/>
      <c r="AVL51" s="21"/>
      <c r="AVM51" s="21"/>
      <c r="AVN51" s="21"/>
      <c r="AVO51" s="21"/>
      <c r="AVP51" s="21"/>
      <c r="AVQ51" s="21"/>
      <c r="AVR51" s="21"/>
      <c r="AVS51" s="21"/>
      <c r="AVT51" s="21"/>
      <c r="AVU51" s="21"/>
      <c r="AVV51" s="21"/>
      <c r="AVW51" s="21"/>
      <c r="AVX51" s="21"/>
      <c r="AVY51" s="21"/>
      <c r="AVZ51" s="21"/>
      <c r="AWA51" s="21"/>
      <c r="AWB51" s="21"/>
      <c r="AWC51" s="21"/>
      <c r="AWD51" s="21"/>
      <c r="AWE51" s="21"/>
      <c r="AWF51" s="21"/>
      <c r="AWG51" s="21"/>
      <c r="AWH51" s="21"/>
      <c r="AWI51" s="21"/>
      <c r="AWJ51" s="21"/>
      <c r="AWK51" s="21"/>
      <c r="AWL51" s="21"/>
      <c r="AWM51" s="21"/>
      <c r="AWN51" s="21"/>
      <c r="AWO51" s="21"/>
      <c r="AWP51" s="21"/>
      <c r="AWQ51" s="21"/>
      <c r="AWR51" s="21"/>
      <c r="AWS51" s="21"/>
      <c r="AWT51" s="21"/>
      <c r="AWU51" s="21"/>
      <c r="AWV51" s="21"/>
      <c r="AWW51" s="21"/>
      <c r="AWX51" s="21"/>
      <c r="AWY51" s="21"/>
      <c r="AWZ51" s="21"/>
      <c r="AXA51" s="21"/>
      <c r="AXB51" s="21"/>
      <c r="AXC51" s="21"/>
      <c r="AXD51" s="21"/>
      <c r="AXE51" s="21"/>
      <c r="AXF51" s="21"/>
      <c r="AXG51" s="21"/>
      <c r="AXH51" s="21"/>
      <c r="AXI51" s="21"/>
      <c r="AXJ51" s="21"/>
      <c r="AXK51" s="21"/>
      <c r="AXL51" s="21"/>
      <c r="AXM51" s="21"/>
      <c r="AXN51" s="21"/>
      <c r="AXO51" s="21"/>
      <c r="AXP51" s="21"/>
      <c r="AXQ51" s="21"/>
      <c r="AXR51" s="21"/>
      <c r="AXS51" s="21"/>
      <c r="AXT51" s="21"/>
      <c r="AXU51" s="21"/>
      <c r="AXV51" s="21"/>
      <c r="AXW51" s="21"/>
      <c r="AXX51" s="21"/>
      <c r="AXY51" s="21"/>
      <c r="AXZ51" s="21"/>
      <c r="AYA51" s="21"/>
      <c r="AYB51" s="21"/>
      <c r="AYC51" s="21"/>
      <c r="AYD51" s="21"/>
      <c r="AYE51" s="21"/>
      <c r="AYF51" s="21"/>
      <c r="AYG51" s="21"/>
      <c r="AYH51" s="21"/>
      <c r="AYI51" s="21"/>
      <c r="AYJ51" s="21"/>
      <c r="AYK51" s="21"/>
      <c r="AYL51" s="21"/>
      <c r="AYM51" s="21"/>
      <c r="AYN51" s="21"/>
      <c r="AYO51" s="21"/>
      <c r="AYP51" s="21"/>
      <c r="AYQ51" s="21"/>
      <c r="AYR51" s="21"/>
      <c r="AYS51" s="21"/>
      <c r="AYT51" s="21"/>
      <c r="AYU51" s="21"/>
      <c r="AYV51" s="21"/>
      <c r="AYW51" s="21"/>
      <c r="AYX51" s="21"/>
      <c r="AYY51" s="21"/>
      <c r="AYZ51" s="21"/>
      <c r="AZA51" s="21"/>
      <c r="AZB51" s="21"/>
      <c r="AZC51" s="21"/>
      <c r="AZD51" s="21"/>
      <c r="AZE51" s="21"/>
      <c r="AZF51" s="21"/>
      <c r="AZG51" s="21"/>
      <c r="AZH51" s="21"/>
      <c r="AZI51" s="21"/>
      <c r="AZJ51" s="21"/>
      <c r="AZK51" s="21"/>
      <c r="AZL51" s="21"/>
      <c r="AZM51" s="21"/>
      <c r="AZN51" s="21"/>
      <c r="AZO51" s="21"/>
      <c r="AZP51" s="21"/>
      <c r="AZQ51" s="21"/>
      <c r="AZR51" s="21"/>
      <c r="AZS51" s="21"/>
      <c r="AZT51" s="21"/>
      <c r="AZU51" s="21"/>
      <c r="AZV51" s="21"/>
      <c r="AZW51" s="21"/>
      <c r="AZX51" s="21"/>
      <c r="AZY51" s="21"/>
      <c r="AZZ51" s="21"/>
      <c r="BAA51" s="21"/>
      <c r="BAB51" s="21"/>
      <c r="BAC51" s="21"/>
      <c r="BAD51" s="21"/>
      <c r="BAE51" s="21"/>
      <c r="BAF51" s="21"/>
      <c r="BAG51" s="21"/>
      <c r="BAH51" s="21"/>
      <c r="BAI51" s="21"/>
      <c r="BAJ51" s="21"/>
      <c r="BAK51" s="21"/>
      <c r="BAL51" s="21"/>
      <c r="BAM51" s="21"/>
      <c r="BAN51" s="21"/>
      <c r="BAO51" s="21"/>
      <c r="BAP51" s="21"/>
      <c r="BAQ51" s="21"/>
      <c r="BAR51" s="21"/>
      <c r="BAS51" s="21"/>
      <c r="BAT51" s="21"/>
      <c r="BAU51" s="21"/>
      <c r="BAV51" s="21"/>
      <c r="BAW51" s="21"/>
      <c r="BAX51" s="21"/>
      <c r="BAY51" s="21"/>
      <c r="BAZ51" s="21"/>
      <c r="BBA51" s="21"/>
      <c r="BBB51" s="21"/>
      <c r="BBC51" s="21"/>
      <c r="BBD51" s="21"/>
      <c r="BBE51" s="21"/>
      <c r="BBF51" s="21"/>
      <c r="BBG51" s="21"/>
      <c r="BBH51" s="21"/>
      <c r="BBI51" s="21"/>
      <c r="BBJ51" s="21"/>
      <c r="BBK51" s="21"/>
      <c r="BBL51" s="21"/>
      <c r="BBM51" s="21"/>
      <c r="BBN51" s="21"/>
      <c r="BBO51" s="21"/>
      <c r="BBP51" s="21"/>
      <c r="BBQ51" s="21"/>
      <c r="BBR51" s="21"/>
      <c r="BBS51" s="21"/>
      <c r="BBT51" s="21"/>
      <c r="BBU51" s="21"/>
      <c r="BBV51" s="21"/>
      <c r="BBW51" s="21"/>
      <c r="BBX51" s="21"/>
      <c r="BBY51" s="21"/>
      <c r="BBZ51" s="21"/>
      <c r="BCA51" s="21"/>
      <c r="BCB51" s="21"/>
      <c r="BCC51" s="21"/>
      <c r="BCD51" s="21"/>
      <c r="BCE51" s="21"/>
      <c r="BCF51" s="21"/>
      <c r="BCG51" s="21"/>
      <c r="BCH51" s="21"/>
      <c r="BCI51" s="21"/>
      <c r="BCJ51" s="21"/>
      <c r="BCK51" s="21"/>
      <c r="BCL51" s="21"/>
      <c r="BCM51" s="21"/>
      <c r="BCN51" s="21"/>
      <c r="BCO51" s="21"/>
      <c r="BCP51" s="21"/>
      <c r="BCQ51" s="21"/>
      <c r="BCR51" s="21"/>
      <c r="BCS51" s="21"/>
      <c r="BCT51" s="21"/>
      <c r="BCU51" s="21"/>
      <c r="BCV51" s="21"/>
      <c r="BCW51" s="21"/>
      <c r="BCX51" s="21"/>
      <c r="BCY51" s="21"/>
      <c r="BCZ51" s="21"/>
      <c r="BDA51" s="21"/>
      <c r="BDB51" s="21"/>
      <c r="BDC51" s="21"/>
      <c r="BDD51" s="21"/>
      <c r="BDE51" s="21"/>
      <c r="BDF51" s="21"/>
      <c r="BDG51" s="21"/>
      <c r="BDH51" s="21"/>
      <c r="BDI51" s="21"/>
      <c r="BDJ51" s="21"/>
      <c r="BDK51" s="21"/>
      <c r="BDL51" s="21"/>
      <c r="BDM51" s="21"/>
      <c r="BDN51" s="21"/>
      <c r="BDO51" s="21"/>
      <c r="BDP51" s="21"/>
      <c r="BDQ51" s="21"/>
      <c r="BDR51" s="21"/>
      <c r="BDS51" s="21"/>
      <c r="BDT51" s="21"/>
      <c r="BDU51" s="21"/>
      <c r="BDV51" s="21"/>
      <c r="BDW51" s="21"/>
      <c r="BDX51" s="21"/>
      <c r="BDY51" s="21"/>
      <c r="BDZ51" s="21"/>
      <c r="BEA51" s="21"/>
      <c r="BEB51" s="21"/>
      <c r="BEC51" s="21"/>
      <c r="BED51" s="21"/>
      <c r="BEE51" s="21"/>
      <c r="BEF51" s="21"/>
      <c r="BEG51" s="21"/>
      <c r="BEH51" s="21"/>
      <c r="BEI51" s="21"/>
      <c r="BEJ51" s="21"/>
      <c r="BEK51" s="21"/>
      <c r="BEL51" s="21"/>
      <c r="BEM51" s="21"/>
      <c r="BEN51" s="21"/>
      <c r="BEO51" s="21"/>
      <c r="BEP51" s="21"/>
      <c r="BEQ51" s="21"/>
      <c r="BER51" s="21"/>
      <c r="BES51" s="21"/>
      <c r="BET51" s="21"/>
      <c r="BEU51" s="21"/>
      <c r="BEV51" s="21"/>
      <c r="BEW51" s="21"/>
      <c r="BEX51" s="21"/>
      <c r="BEY51" s="21"/>
      <c r="BEZ51" s="21"/>
      <c r="BFA51" s="21"/>
      <c r="BFB51" s="21"/>
      <c r="BFC51" s="21"/>
      <c r="BFD51" s="21"/>
      <c r="BFE51" s="21"/>
      <c r="BFF51" s="21"/>
      <c r="BFG51" s="21"/>
      <c r="BFH51" s="21"/>
      <c r="BFI51" s="21"/>
      <c r="BFJ51" s="21"/>
      <c r="BFK51" s="21"/>
      <c r="BFL51" s="21"/>
      <c r="BFM51" s="21"/>
      <c r="BFN51" s="21"/>
      <c r="BFO51" s="21"/>
      <c r="BFP51" s="21"/>
      <c r="BFQ51" s="21"/>
      <c r="BFR51" s="21"/>
      <c r="BFS51" s="21"/>
      <c r="BFT51" s="21"/>
      <c r="BFU51" s="21"/>
      <c r="BFV51" s="21"/>
      <c r="BFW51" s="21"/>
      <c r="BFX51" s="21"/>
      <c r="BFY51" s="21"/>
      <c r="BFZ51" s="21"/>
      <c r="BGA51" s="21"/>
      <c r="BGB51" s="21"/>
      <c r="BGC51" s="21"/>
      <c r="BGD51" s="21"/>
      <c r="BGE51" s="21"/>
      <c r="BGF51" s="21"/>
      <c r="BGG51" s="21"/>
      <c r="BGH51" s="21"/>
      <c r="BGI51" s="21"/>
      <c r="BGJ51" s="21"/>
      <c r="BGK51" s="21"/>
      <c r="BGL51" s="21"/>
      <c r="BGM51" s="21"/>
      <c r="BGN51" s="21"/>
      <c r="BGO51" s="21"/>
      <c r="BGP51" s="21"/>
      <c r="BGQ51" s="21"/>
      <c r="BGR51" s="21"/>
      <c r="BGS51" s="21"/>
      <c r="BGT51" s="21"/>
      <c r="BGU51" s="21"/>
      <c r="BGV51" s="21"/>
      <c r="BGW51" s="21"/>
      <c r="BGX51" s="21"/>
      <c r="BGY51" s="21"/>
      <c r="BGZ51" s="21"/>
      <c r="BHA51" s="21"/>
      <c r="BHB51" s="21"/>
      <c r="BHC51" s="21"/>
      <c r="BHD51" s="21"/>
      <c r="BHE51" s="21"/>
      <c r="BHF51" s="21"/>
      <c r="BHG51" s="21"/>
      <c r="BHH51" s="21"/>
      <c r="BHI51" s="21"/>
      <c r="BHJ51" s="21"/>
      <c r="BHK51" s="21"/>
      <c r="BHL51" s="21"/>
      <c r="BHM51" s="21"/>
      <c r="BHN51" s="21"/>
      <c r="BHO51" s="21"/>
      <c r="BHP51" s="21"/>
      <c r="BHQ51" s="21"/>
      <c r="BHR51" s="21"/>
      <c r="BHS51" s="21"/>
      <c r="BHT51" s="21"/>
      <c r="BHU51" s="21"/>
      <c r="BHV51" s="21"/>
      <c r="BHW51" s="21"/>
      <c r="BHX51" s="21"/>
      <c r="BHY51" s="21"/>
      <c r="BHZ51" s="21"/>
      <c r="BIA51" s="21"/>
      <c r="BIB51" s="21"/>
      <c r="BIC51" s="21"/>
      <c r="BID51" s="21"/>
      <c r="BIE51" s="21"/>
      <c r="BIF51" s="21"/>
      <c r="BIG51" s="21"/>
      <c r="BIH51" s="21"/>
      <c r="BII51" s="21"/>
      <c r="BIJ51" s="21"/>
      <c r="BIK51" s="21"/>
      <c r="BIL51" s="21"/>
      <c r="BIM51" s="21"/>
      <c r="BIN51" s="21"/>
      <c r="BIO51" s="21"/>
      <c r="BIP51" s="21"/>
      <c r="BIQ51" s="21"/>
      <c r="BIR51" s="21"/>
      <c r="BIS51" s="21"/>
      <c r="BIT51" s="21"/>
      <c r="BIU51" s="21"/>
      <c r="BIV51" s="21"/>
      <c r="BIW51" s="21"/>
      <c r="BIX51" s="21"/>
      <c r="BIY51" s="21"/>
      <c r="BIZ51" s="21"/>
      <c r="BJA51" s="21"/>
      <c r="BJB51" s="21"/>
      <c r="BJC51" s="21"/>
      <c r="BJD51" s="21"/>
      <c r="BJE51" s="21"/>
      <c r="BJF51" s="21"/>
      <c r="BJG51" s="21"/>
      <c r="BJH51" s="21"/>
      <c r="BJI51" s="21"/>
      <c r="BJJ51" s="21"/>
      <c r="BJK51" s="21"/>
      <c r="BJL51" s="21"/>
      <c r="BJM51" s="21"/>
      <c r="BJN51" s="21"/>
      <c r="BJO51" s="21"/>
      <c r="BJP51" s="21"/>
      <c r="BJQ51" s="21"/>
      <c r="BJR51" s="21"/>
      <c r="BJS51" s="21"/>
      <c r="BJT51" s="21"/>
      <c r="BJU51" s="21"/>
      <c r="BJV51" s="21"/>
      <c r="BJW51" s="21"/>
      <c r="BJX51" s="21"/>
      <c r="BJY51" s="21"/>
      <c r="BJZ51" s="21"/>
      <c r="BKA51" s="21"/>
      <c r="BKB51" s="21"/>
      <c r="BKC51" s="21"/>
      <c r="BKD51" s="21"/>
      <c r="BKE51" s="21"/>
      <c r="BKF51" s="21"/>
      <c r="BKG51" s="21"/>
      <c r="BKH51" s="21"/>
      <c r="BKI51" s="21"/>
      <c r="BKJ51" s="21"/>
      <c r="BKK51" s="21"/>
      <c r="BKL51" s="21"/>
      <c r="BKM51" s="21"/>
      <c r="BKN51" s="21"/>
      <c r="BKO51" s="21"/>
      <c r="BKP51" s="21"/>
      <c r="BKQ51" s="21"/>
      <c r="BKR51" s="21"/>
      <c r="BKS51" s="21"/>
      <c r="BKT51" s="21"/>
      <c r="BKU51" s="21"/>
      <c r="BKV51" s="21"/>
      <c r="BKW51" s="21"/>
      <c r="BKX51" s="21"/>
      <c r="BKY51" s="21"/>
      <c r="BKZ51" s="21"/>
      <c r="BLA51" s="21"/>
      <c r="BLB51" s="21"/>
      <c r="BLC51" s="21"/>
      <c r="BLD51" s="21"/>
      <c r="BLE51" s="21"/>
      <c r="BLF51" s="21"/>
      <c r="BLG51" s="21"/>
      <c r="BLH51" s="21"/>
      <c r="BLI51" s="21"/>
      <c r="BLJ51" s="21"/>
      <c r="BLK51" s="21"/>
      <c r="BLL51" s="21"/>
      <c r="BLM51" s="21"/>
      <c r="BLN51" s="21"/>
      <c r="BLO51" s="21"/>
      <c r="BLP51" s="21"/>
      <c r="BLQ51" s="21"/>
      <c r="BLR51" s="21"/>
      <c r="BLS51" s="21"/>
      <c r="BLT51" s="21"/>
      <c r="BLU51" s="21"/>
      <c r="BLV51" s="21"/>
      <c r="BLW51" s="21"/>
      <c r="BLX51" s="21"/>
      <c r="BLY51" s="21"/>
      <c r="BLZ51" s="21"/>
      <c r="BMA51" s="21"/>
      <c r="BMB51" s="21"/>
      <c r="BMC51" s="21"/>
      <c r="BMD51" s="21"/>
      <c r="BME51" s="21"/>
      <c r="BMF51" s="21"/>
      <c r="BMG51" s="21"/>
      <c r="BMH51" s="21"/>
      <c r="BMI51" s="21"/>
      <c r="BMJ51" s="21"/>
      <c r="BMK51" s="21"/>
      <c r="BML51" s="21"/>
      <c r="BMM51" s="21"/>
      <c r="BMN51" s="21"/>
      <c r="BMO51" s="21"/>
      <c r="BMP51" s="21"/>
      <c r="BMQ51" s="21"/>
      <c r="BMR51" s="21"/>
      <c r="BMS51" s="21"/>
      <c r="BMT51" s="21"/>
      <c r="BMU51" s="21"/>
      <c r="BMV51" s="21"/>
      <c r="BMW51" s="21"/>
      <c r="BMX51" s="21"/>
      <c r="BMY51" s="21"/>
      <c r="BMZ51" s="21"/>
      <c r="BNA51" s="21"/>
      <c r="BNB51" s="21"/>
      <c r="BNC51" s="21"/>
      <c r="BND51" s="21"/>
      <c r="BNE51" s="21"/>
      <c r="BNF51" s="21"/>
      <c r="BNG51" s="21"/>
      <c r="BNH51" s="21"/>
      <c r="BNI51" s="21"/>
      <c r="BNJ51" s="21"/>
      <c r="BNK51" s="21"/>
      <c r="BNL51" s="21"/>
      <c r="BNM51" s="21"/>
      <c r="BNN51" s="21"/>
      <c r="BNO51" s="21"/>
      <c r="BNP51" s="21"/>
      <c r="BNQ51" s="21"/>
      <c r="BNR51" s="21"/>
      <c r="BNS51" s="21"/>
      <c r="BNT51" s="21"/>
      <c r="BNU51" s="21"/>
      <c r="BNV51" s="21"/>
      <c r="BNW51" s="21"/>
      <c r="BNX51" s="21"/>
      <c r="BNY51" s="21"/>
      <c r="BNZ51" s="21"/>
      <c r="BOA51" s="21"/>
      <c r="BOB51" s="21"/>
      <c r="BOC51" s="21"/>
      <c r="BOD51" s="21"/>
      <c r="BOE51" s="21"/>
      <c r="BOF51" s="21"/>
      <c r="BOG51" s="21"/>
      <c r="BOH51" s="21"/>
      <c r="BOI51" s="21"/>
      <c r="BOJ51" s="21"/>
      <c r="BOK51" s="21"/>
      <c r="BOL51" s="21"/>
      <c r="BOM51" s="21"/>
      <c r="BON51" s="21"/>
      <c r="BOO51" s="21"/>
      <c r="BOP51" s="21"/>
      <c r="BOQ51" s="21"/>
      <c r="BOR51" s="21"/>
      <c r="BOS51" s="21"/>
      <c r="BOT51" s="21"/>
      <c r="BOU51" s="21"/>
      <c r="BOV51" s="21"/>
      <c r="BOW51" s="21"/>
      <c r="BOX51" s="21"/>
      <c r="BOY51" s="21"/>
      <c r="BOZ51" s="21"/>
      <c r="BPA51" s="21"/>
      <c r="BPB51" s="21"/>
      <c r="BPC51" s="21"/>
      <c r="BPD51" s="21"/>
      <c r="BPE51" s="21"/>
      <c r="BPF51" s="21"/>
      <c r="BPG51" s="21"/>
      <c r="BPH51" s="21"/>
      <c r="BPI51" s="21"/>
      <c r="BPJ51" s="21"/>
      <c r="BPK51" s="21"/>
      <c r="BPL51" s="21"/>
      <c r="BPM51" s="21"/>
      <c r="BPN51" s="21"/>
      <c r="BPO51" s="21"/>
      <c r="BPP51" s="21"/>
      <c r="BPQ51" s="21"/>
      <c r="BPR51" s="21"/>
      <c r="BPS51" s="21"/>
      <c r="BPT51" s="21"/>
      <c r="BPU51" s="21"/>
      <c r="BPV51" s="21"/>
      <c r="BPW51" s="21"/>
      <c r="BPX51" s="21"/>
      <c r="BPY51" s="21"/>
      <c r="BPZ51" s="21"/>
      <c r="BQA51" s="21"/>
      <c r="BQB51" s="21"/>
      <c r="BQC51" s="21"/>
      <c r="BQD51" s="21"/>
      <c r="BQE51" s="21"/>
      <c r="BQF51" s="21"/>
      <c r="BQG51" s="21"/>
      <c r="BQH51" s="21"/>
      <c r="BQI51" s="21"/>
      <c r="BQJ51" s="21"/>
      <c r="BQK51" s="21"/>
      <c r="BQL51" s="21"/>
      <c r="BQM51" s="21"/>
      <c r="BQN51" s="21"/>
      <c r="BQO51" s="21"/>
      <c r="BQP51" s="21"/>
      <c r="BQQ51" s="21"/>
      <c r="BQR51" s="21"/>
      <c r="BQS51" s="21"/>
      <c r="BQT51" s="21"/>
      <c r="BQU51" s="21"/>
      <c r="BQV51" s="21"/>
      <c r="BQW51" s="21"/>
      <c r="BQX51" s="21"/>
      <c r="BQY51" s="21"/>
      <c r="BQZ51" s="21"/>
      <c r="BRA51" s="21"/>
      <c r="BRB51" s="21"/>
      <c r="BRC51" s="21"/>
      <c r="BRD51" s="21"/>
      <c r="BRE51" s="21"/>
      <c r="BRF51" s="21"/>
      <c r="BRG51" s="21"/>
      <c r="BRH51" s="21"/>
      <c r="BRI51" s="21"/>
      <c r="BRJ51" s="21"/>
      <c r="BRK51" s="21"/>
      <c r="BRL51" s="21"/>
      <c r="BRM51" s="21"/>
      <c r="BRN51" s="21"/>
      <c r="BRO51" s="21"/>
      <c r="BRP51" s="21"/>
      <c r="BRQ51" s="21"/>
      <c r="BRR51" s="21"/>
      <c r="BRS51" s="21"/>
      <c r="BRT51" s="21"/>
      <c r="BRU51" s="21"/>
      <c r="BRV51" s="21"/>
      <c r="BRW51" s="21"/>
      <c r="BRX51" s="21"/>
      <c r="BRY51" s="21"/>
      <c r="BRZ51" s="21"/>
      <c r="BSA51" s="21"/>
      <c r="BSB51" s="21"/>
      <c r="BSC51" s="21"/>
      <c r="BSD51" s="21"/>
      <c r="BSE51" s="21"/>
      <c r="BSF51" s="21"/>
      <c r="BSG51" s="21"/>
      <c r="BSH51" s="21"/>
      <c r="BSI51" s="21"/>
      <c r="BSJ51" s="21"/>
      <c r="BSK51" s="21"/>
      <c r="BSL51" s="21"/>
      <c r="BSM51" s="21"/>
      <c r="BSN51" s="21"/>
      <c r="BSO51" s="21"/>
      <c r="BSP51" s="21"/>
      <c r="BSQ51" s="21"/>
      <c r="BSR51" s="21"/>
      <c r="BSS51" s="21"/>
      <c r="BST51" s="21"/>
      <c r="BSU51" s="21"/>
      <c r="BSV51" s="21"/>
      <c r="BSW51" s="21"/>
      <c r="BSX51" s="21"/>
      <c r="BSY51" s="21"/>
      <c r="BSZ51" s="21"/>
      <c r="BTA51" s="21"/>
      <c r="BTB51" s="21"/>
      <c r="BTC51" s="21"/>
      <c r="BTD51" s="21"/>
      <c r="BTE51" s="21"/>
      <c r="BTF51" s="21"/>
      <c r="BTG51" s="21"/>
      <c r="BTH51" s="21"/>
      <c r="BTI51" s="21"/>
      <c r="BTJ51" s="21"/>
      <c r="BTK51" s="21"/>
      <c r="BTL51" s="21"/>
      <c r="BTM51" s="21"/>
      <c r="BTN51" s="21"/>
      <c r="BTO51" s="21"/>
      <c r="BTP51" s="21"/>
      <c r="BTQ51" s="21"/>
      <c r="BTR51" s="21"/>
      <c r="BTS51" s="21"/>
      <c r="BTT51" s="21"/>
      <c r="BTU51" s="21"/>
      <c r="BTV51" s="21"/>
      <c r="BTW51" s="21"/>
      <c r="BTX51" s="21"/>
      <c r="BTY51" s="21"/>
      <c r="BTZ51" s="21"/>
      <c r="BUA51" s="21"/>
      <c r="BUB51" s="21"/>
      <c r="BUC51" s="21"/>
      <c r="BUD51" s="21"/>
      <c r="BUE51" s="21"/>
      <c r="BUF51" s="21"/>
      <c r="BUG51" s="21"/>
      <c r="BUH51" s="21"/>
      <c r="BUI51" s="21"/>
      <c r="BUJ51" s="21"/>
      <c r="BUK51" s="21"/>
      <c r="BUL51" s="21"/>
      <c r="BUM51" s="21"/>
      <c r="BUN51" s="21"/>
      <c r="BUO51" s="21"/>
      <c r="BUP51" s="21"/>
      <c r="BUQ51" s="21"/>
      <c r="BUR51" s="21"/>
      <c r="BUS51" s="21"/>
      <c r="BUT51" s="21"/>
      <c r="BUU51" s="21"/>
      <c r="BUV51" s="21"/>
      <c r="BUW51" s="21"/>
      <c r="BUX51" s="21"/>
      <c r="BUY51" s="21"/>
      <c r="BUZ51" s="21"/>
      <c r="BVA51" s="21"/>
      <c r="BVB51" s="21"/>
      <c r="BVC51" s="21"/>
      <c r="BVD51" s="21"/>
      <c r="BVE51" s="21"/>
      <c r="BVF51" s="21"/>
      <c r="BVG51" s="21"/>
      <c r="BVH51" s="21"/>
      <c r="BVI51" s="21"/>
      <c r="BVJ51" s="21"/>
      <c r="BVK51" s="21"/>
      <c r="BVL51" s="21"/>
      <c r="BVM51" s="21"/>
      <c r="BVN51" s="21"/>
      <c r="BVO51" s="21"/>
      <c r="BVP51" s="21"/>
      <c r="BVQ51" s="21"/>
      <c r="BVR51" s="21"/>
      <c r="BVS51" s="21"/>
      <c r="BVT51" s="21"/>
      <c r="BVU51" s="21"/>
      <c r="BVV51" s="21"/>
      <c r="BVW51" s="21"/>
      <c r="BVX51" s="21"/>
      <c r="BVY51" s="21"/>
      <c r="BVZ51" s="21"/>
      <c r="BWA51" s="21"/>
      <c r="BWB51" s="21"/>
      <c r="BWC51" s="21"/>
      <c r="BWD51" s="21"/>
      <c r="BWE51" s="21"/>
      <c r="BWF51" s="21"/>
      <c r="BWG51" s="21"/>
      <c r="BWH51" s="21"/>
      <c r="BWI51" s="21"/>
      <c r="BWJ51" s="21"/>
      <c r="BWK51" s="21"/>
      <c r="BWL51" s="21"/>
      <c r="BWM51" s="21"/>
      <c r="BWN51" s="21"/>
      <c r="BWO51" s="21"/>
      <c r="BWP51" s="21"/>
      <c r="BWQ51" s="21"/>
      <c r="BWR51" s="21"/>
      <c r="BWS51" s="21"/>
      <c r="BWT51" s="21"/>
      <c r="BWU51" s="21"/>
      <c r="BWV51" s="21"/>
      <c r="BWW51" s="21"/>
      <c r="BWX51" s="21"/>
      <c r="BWY51" s="21"/>
      <c r="BWZ51" s="21"/>
      <c r="BXA51" s="21"/>
      <c r="BXB51" s="21"/>
      <c r="BXC51" s="21"/>
      <c r="BXD51" s="21"/>
      <c r="BXE51" s="21"/>
      <c r="BXF51" s="21"/>
      <c r="BXG51" s="21"/>
      <c r="BXH51" s="21"/>
      <c r="BXI51" s="21"/>
      <c r="BXJ51" s="21"/>
      <c r="BXK51" s="21"/>
      <c r="BXL51" s="21"/>
      <c r="BXM51" s="21"/>
      <c r="BXN51" s="21"/>
      <c r="BXO51" s="21"/>
      <c r="BXP51" s="21"/>
      <c r="BXQ51" s="21"/>
      <c r="BXR51" s="21"/>
      <c r="BXS51" s="21"/>
      <c r="BXT51" s="21"/>
      <c r="BXU51" s="21"/>
      <c r="BXV51" s="21"/>
      <c r="BXW51" s="21"/>
      <c r="BXX51" s="21"/>
      <c r="BXY51" s="21"/>
      <c r="BXZ51" s="21"/>
      <c r="BYA51" s="21"/>
      <c r="BYB51" s="21"/>
      <c r="BYC51" s="21"/>
      <c r="BYD51" s="21"/>
      <c r="BYE51" s="21"/>
      <c r="BYF51" s="21"/>
      <c r="BYG51" s="21"/>
      <c r="BYH51" s="21"/>
      <c r="BYI51" s="21"/>
      <c r="BYJ51" s="21"/>
      <c r="BYK51" s="21"/>
      <c r="BYL51" s="21"/>
      <c r="BYM51" s="21"/>
      <c r="BYN51" s="21"/>
      <c r="BYO51" s="21"/>
      <c r="BYP51" s="21"/>
      <c r="BYQ51" s="21"/>
      <c r="BYR51" s="21"/>
      <c r="BYS51" s="21"/>
      <c r="BYT51" s="21"/>
      <c r="BYU51" s="21"/>
      <c r="BYV51" s="21"/>
      <c r="BYW51" s="21"/>
      <c r="BYX51" s="21"/>
      <c r="BYY51" s="21"/>
      <c r="BYZ51" s="21"/>
      <c r="BZA51" s="21"/>
      <c r="BZB51" s="21"/>
      <c r="BZC51" s="21"/>
      <c r="BZD51" s="21"/>
      <c r="BZE51" s="21"/>
      <c r="BZF51" s="21"/>
      <c r="BZG51" s="21"/>
      <c r="BZH51" s="21"/>
      <c r="BZI51" s="21"/>
      <c r="BZJ51" s="21"/>
      <c r="BZK51" s="21"/>
      <c r="BZL51" s="21"/>
      <c r="BZM51" s="21"/>
      <c r="BZN51" s="21"/>
      <c r="BZO51" s="21"/>
      <c r="BZP51" s="21"/>
      <c r="BZQ51" s="21"/>
      <c r="BZR51" s="21"/>
      <c r="BZS51" s="21"/>
      <c r="BZT51" s="21"/>
      <c r="BZU51" s="21"/>
      <c r="BZV51" s="21"/>
      <c r="BZW51" s="21"/>
      <c r="BZX51" s="21"/>
      <c r="BZY51" s="21"/>
      <c r="BZZ51" s="21"/>
      <c r="CAA51" s="21"/>
      <c r="CAB51" s="21"/>
      <c r="CAC51" s="21"/>
      <c r="CAD51" s="21"/>
      <c r="CAE51" s="21"/>
      <c r="CAF51" s="21"/>
      <c r="CAG51" s="21"/>
      <c r="CAH51" s="21"/>
      <c r="CAI51" s="21"/>
      <c r="CAJ51" s="21"/>
      <c r="CAK51" s="21"/>
      <c r="CAL51" s="21"/>
      <c r="CAM51" s="21"/>
      <c r="CAN51" s="21"/>
      <c r="CAO51" s="21"/>
      <c r="CAP51" s="21"/>
      <c r="CAQ51" s="21"/>
      <c r="CAR51" s="21"/>
      <c r="CAS51" s="21"/>
      <c r="CAT51" s="21"/>
      <c r="CAU51" s="21"/>
      <c r="CAV51" s="21"/>
      <c r="CAW51" s="21"/>
      <c r="CAX51" s="21"/>
      <c r="CAY51" s="21"/>
      <c r="CAZ51" s="21"/>
      <c r="CBA51" s="21"/>
      <c r="CBB51" s="21"/>
      <c r="CBC51" s="21"/>
      <c r="CBD51" s="21"/>
      <c r="CBE51" s="21"/>
      <c r="CBF51" s="21"/>
      <c r="CBG51" s="21"/>
      <c r="CBH51" s="21"/>
      <c r="CBI51" s="21"/>
      <c r="CBJ51" s="21"/>
      <c r="CBK51" s="21"/>
      <c r="CBL51" s="21"/>
      <c r="CBM51" s="21"/>
      <c r="CBN51" s="21"/>
      <c r="CBO51" s="21"/>
      <c r="CBP51" s="21"/>
      <c r="CBQ51" s="21"/>
      <c r="CBR51" s="21"/>
      <c r="CBS51" s="21"/>
      <c r="CBT51" s="21"/>
      <c r="CBU51" s="21"/>
      <c r="CBV51" s="21"/>
      <c r="CBW51" s="21"/>
      <c r="CBX51" s="21"/>
      <c r="CBY51" s="21"/>
      <c r="CBZ51" s="21"/>
      <c r="CCA51" s="21"/>
      <c r="CCB51" s="21"/>
      <c r="CCC51" s="21"/>
      <c r="CCD51" s="21"/>
      <c r="CCE51" s="21"/>
      <c r="CCF51" s="21"/>
      <c r="CCG51" s="21"/>
      <c r="CCH51" s="21"/>
      <c r="CCI51" s="21"/>
      <c r="CCJ51" s="21"/>
      <c r="CCK51" s="21"/>
      <c r="CCL51" s="21"/>
      <c r="CCM51" s="21"/>
      <c r="CCN51" s="21"/>
      <c r="CCO51" s="21"/>
      <c r="CCP51" s="21"/>
      <c r="CCQ51" s="21"/>
      <c r="CCR51" s="21"/>
      <c r="CCS51" s="21"/>
      <c r="CCT51" s="21"/>
      <c r="CCU51" s="21"/>
      <c r="CCV51" s="21"/>
      <c r="CCW51" s="21"/>
      <c r="CCX51" s="21"/>
      <c r="CCY51" s="21"/>
      <c r="CCZ51" s="21"/>
      <c r="CDA51" s="21"/>
      <c r="CDB51" s="21"/>
      <c r="CDC51" s="21"/>
      <c r="CDD51" s="21"/>
      <c r="CDE51" s="21"/>
      <c r="CDF51" s="21"/>
      <c r="CDG51" s="21"/>
      <c r="CDH51" s="21"/>
      <c r="CDI51" s="21"/>
      <c r="CDJ51" s="21"/>
      <c r="CDK51" s="21"/>
      <c r="CDL51" s="21"/>
      <c r="CDM51" s="21"/>
      <c r="CDN51" s="21"/>
      <c r="CDO51" s="21"/>
      <c r="CDP51" s="21"/>
      <c r="CDQ51" s="21"/>
      <c r="CDR51" s="21"/>
      <c r="CDS51" s="21"/>
      <c r="CDT51" s="21"/>
      <c r="CDU51" s="21"/>
      <c r="CDV51" s="21"/>
      <c r="CDW51" s="21"/>
      <c r="CDX51" s="21"/>
      <c r="CDY51" s="21"/>
      <c r="CDZ51" s="21"/>
      <c r="CEA51" s="21"/>
      <c r="CEB51" s="21"/>
      <c r="CEC51" s="21"/>
      <c r="CED51" s="21"/>
      <c r="CEE51" s="21"/>
      <c r="CEF51" s="21"/>
      <c r="CEG51" s="21"/>
      <c r="CEH51" s="21"/>
      <c r="CEI51" s="21"/>
      <c r="CEJ51" s="21"/>
      <c r="CEK51" s="21"/>
      <c r="CEL51" s="21"/>
      <c r="CEM51" s="21"/>
      <c r="CEN51" s="21"/>
      <c r="CEO51" s="21"/>
      <c r="CEP51" s="21"/>
      <c r="CEQ51" s="21"/>
      <c r="CER51" s="21"/>
      <c r="CES51" s="21"/>
      <c r="CET51" s="21"/>
      <c r="CEU51" s="21"/>
      <c r="CEV51" s="21"/>
      <c r="CEW51" s="21"/>
      <c r="CEX51" s="21"/>
      <c r="CEY51" s="21"/>
      <c r="CEZ51" s="21"/>
      <c r="CFA51" s="21"/>
      <c r="CFB51" s="21"/>
      <c r="CFC51" s="21"/>
      <c r="CFD51" s="21"/>
      <c r="CFE51" s="21"/>
      <c r="CFF51" s="21"/>
      <c r="CFG51" s="21"/>
      <c r="CFH51" s="21"/>
      <c r="CFI51" s="21"/>
      <c r="CFJ51" s="21"/>
      <c r="CFK51" s="21"/>
      <c r="CFL51" s="21"/>
      <c r="CFM51" s="21"/>
      <c r="CFN51" s="21"/>
      <c r="CFO51" s="21"/>
      <c r="CFP51" s="21"/>
      <c r="CFQ51" s="21"/>
      <c r="CFR51" s="21"/>
      <c r="CFS51" s="21"/>
      <c r="CFT51" s="21"/>
      <c r="CFU51" s="21"/>
      <c r="CFV51" s="21"/>
      <c r="CFW51" s="21"/>
      <c r="CFX51" s="21"/>
      <c r="CFY51" s="21"/>
      <c r="CFZ51" s="21"/>
      <c r="CGA51" s="21"/>
      <c r="CGB51" s="21"/>
      <c r="CGC51" s="21"/>
      <c r="CGD51" s="21"/>
      <c r="CGE51" s="21"/>
      <c r="CGF51" s="21"/>
      <c r="CGG51" s="21"/>
      <c r="CGH51" s="21"/>
      <c r="CGI51" s="21"/>
      <c r="CGJ51" s="21"/>
      <c r="CGK51" s="21"/>
      <c r="CGL51" s="21"/>
      <c r="CGM51" s="21"/>
      <c r="CGN51" s="21"/>
      <c r="CGO51" s="21"/>
      <c r="CGP51" s="21"/>
      <c r="CGQ51" s="21"/>
      <c r="CGR51" s="21"/>
      <c r="CGS51" s="21"/>
      <c r="CGT51" s="21"/>
      <c r="CGU51" s="21"/>
      <c r="CGV51" s="21"/>
      <c r="CGW51" s="21"/>
      <c r="CGX51" s="21"/>
      <c r="CGY51" s="21"/>
      <c r="CGZ51" s="21"/>
      <c r="CHA51" s="21"/>
      <c r="CHB51" s="21"/>
      <c r="CHC51" s="21"/>
      <c r="CHD51" s="21"/>
      <c r="CHE51" s="21"/>
      <c r="CHF51" s="21"/>
      <c r="CHG51" s="21"/>
      <c r="CHH51" s="21"/>
      <c r="CHI51" s="21"/>
      <c r="CHJ51" s="21"/>
      <c r="CHK51" s="21"/>
      <c r="CHL51" s="21"/>
      <c r="CHM51" s="21"/>
      <c r="CHN51" s="21"/>
      <c r="CHO51" s="21"/>
      <c r="CHP51" s="21"/>
      <c r="CHQ51" s="21"/>
      <c r="CHR51" s="21"/>
      <c r="CHS51" s="21"/>
      <c r="CHT51" s="21"/>
      <c r="CHU51" s="21"/>
      <c r="CHV51" s="21"/>
      <c r="CHW51" s="21"/>
      <c r="CHX51" s="21"/>
      <c r="CHY51" s="21"/>
      <c r="CHZ51" s="21"/>
      <c r="CIA51" s="21"/>
      <c r="CIB51" s="21"/>
      <c r="CIC51" s="21"/>
      <c r="CID51" s="21"/>
      <c r="CIE51" s="21"/>
      <c r="CIF51" s="21"/>
      <c r="CIG51" s="21"/>
      <c r="CIH51" s="21"/>
      <c r="CII51" s="21"/>
      <c r="CIJ51" s="21"/>
      <c r="CIK51" s="21"/>
      <c r="CIL51" s="21"/>
      <c r="CIM51" s="21"/>
      <c r="CIN51" s="21"/>
      <c r="CIO51" s="21"/>
      <c r="CIP51" s="21"/>
      <c r="CIQ51" s="21"/>
      <c r="CIR51" s="21"/>
      <c r="CIS51" s="21"/>
      <c r="CIT51" s="21"/>
      <c r="CIU51" s="21"/>
      <c r="CIV51" s="21"/>
      <c r="CIW51" s="21"/>
      <c r="CIX51" s="21"/>
      <c r="CIY51" s="21"/>
      <c r="CIZ51" s="21"/>
      <c r="CJA51" s="21"/>
      <c r="CJB51" s="21"/>
      <c r="CJC51" s="21"/>
      <c r="CJD51" s="21"/>
      <c r="CJE51" s="21"/>
      <c r="CJF51" s="21"/>
      <c r="CJG51" s="21"/>
      <c r="CJH51" s="21"/>
      <c r="CJI51" s="21"/>
      <c r="CJJ51" s="21"/>
      <c r="CJK51" s="21"/>
      <c r="CJL51" s="21"/>
      <c r="CJM51" s="21"/>
      <c r="CJN51" s="21"/>
      <c r="CJO51" s="21"/>
      <c r="CJP51" s="21"/>
      <c r="CJQ51" s="21"/>
      <c r="CJR51" s="21"/>
      <c r="CJS51" s="21"/>
      <c r="CJT51" s="21"/>
      <c r="CJU51" s="21"/>
      <c r="CJV51" s="21"/>
      <c r="CJW51" s="21"/>
      <c r="CJX51" s="21"/>
      <c r="CJY51" s="21"/>
      <c r="CJZ51" s="21"/>
      <c r="CKA51" s="21"/>
      <c r="CKB51" s="21"/>
      <c r="CKC51" s="21"/>
      <c r="CKD51" s="21"/>
      <c r="CKE51" s="21"/>
      <c r="CKF51" s="21"/>
      <c r="CKG51" s="21"/>
      <c r="CKH51" s="21"/>
      <c r="CKI51" s="21"/>
      <c r="CKJ51" s="21"/>
      <c r="CKK51" s="21"/>
      <c r="CKL51" s="21"/>
      <c r="CKM51" s="21"/>
      <c r="CKN51" s="21"/>
      <c r="CKO51" s="21"/>
      <c r="CKP51" s="21"/>
      <c r="CKQ51" s="21"/>
      <c r="CKR51" s="21"/>
      <c r="CKS51" s="21"/>
      <c r="CKT51" s="21"/>
      <c r="CKU51" s="21"/>
      <c r="CKV51" s="21"/>
      <c r="CKW51" s="21"/>
      <c r="CKX51" s="21"/>
      <c r="CKY51" s="21"/>
      <c r="CKZ51" s="21"/>
      <c r="CLA51" s="21"/>
      <c r="CLB51" s="21"/>
      <c r="CLC51" s="21"/>
      <c r="CLD51" s="21"/>
      <c r="CLE51" s="21"/>
      <c r="CLF51" s="21"/>
      <c r="CLG51" s="21"/>
      <c r="CLH51" s="21"/>
      <c r="CLI51" s="21"/>
      <c r="CLJ51" s="21"/>
      <c r="CLK51" s="21"/>
      <c r="CLL51" s="21"/>
      <c r="CLM51" s="21"/>
      <c r="CLN51" s="21"/>
      <c r="CLO51" s="21"/>
      <c r="CLP51" s="21"/>
      <c r="CLQ51" s="21"/>
      <c r="CLR51" s="21"/>
      <c r="CLS51" s="21"/>
      <c r="CLT51" s="21"/>
      <c r="CLU51" s="21"/>
      <c r="CLV51" s="21"/>
      <c r="CLW51" s="21"/>
      <c r="CLX51" s="21"/>
      <c r="CLY51" s="21"/>
      <c r="CLZ51" s="21"/>
      <c r="CMA51" s="21"/>
      <c r="CMB51" s="21"/>
      <c r="CMC51" s="21"/>
      <c r="CMD51" s="21"/>
      <c r="CME51" s="21"/>
      <c r="CMF51" s="21"/>
      <c r="CMG51" s="21"/>
      <c r="CMH51" s="21"/>
      <c r="CMI51" s="21"/>
      <c r="CMJ51" s="21"/>
      <c r="CMK51" s="21"/>
      <c r="CML51" s="21"/>
      <c r="CMM51" s="21"/>
      <c r="CMN51" s="21"/>
      <c r="CMO51" s="21"/>
      <c r="CMP51" s="21"/>
      <c r="CMQ51" s="21"/>
      <c r="CMR51" s="21"/>
      <c r="CMS51" s="21"/>
      <c r="CMT51" s="21"/>
      <c r="CMU51" s="21"/>
      <c r="CMV51" s="21"/>
      <c r="CMW51" s="21"/>
      <c r="CMX51" s="21"/>
      <c r="CMY51" s="21"/>
      <c r="CMZ51" s="21"/>
      <c r="CNA51" s="21"/>
      <c r="CNB51" s="21"/>
      <c r="CNC51" s="21"/>
      <c r="CND51" s="21"/>
      <c r="CNE51" s="21"/>
      <c r="CNF51" s="21"/>
      <c r="CNG51" s="21"/>
      <c r="CNH51" s="21"/>
      <c r="CNI51" s="21"/>
      <c r="CNJ51" s="21"/>
      <c r="CNK51" s="21"/>
      <c r="CNL51" s="21"/>
      <c r="CNM51" s="21"/>
      <c r="CNN51" s="21"/>
      <c r="CNO51" s="21"/>
      <c r="CNP51" s="21"/>
      <c r="CNQ51" s="21"/>
      <c r="CNR51" s="21"/>
      <c r="CNS51" s="21"/>
      <c r="CNT51" s="21"/>
      <c r="CNU51" s="21"/>
      <c r="CNV51" s="21"/>
      <c r="CNW51" s="21"/>
      <c r="CNX51" s="21"/>
      <c r="CNY51" s="21"/>
      <c r="CNZ51" s="21"/>
      <c r="COA51" s="21"/>
      <c r="COB51" s="21"/>
      <c r="COC51" s="21"/>
      <c r="COD51" s="21"/>
      <c r="COE51" s="21"/>
      <c r="COF51" s="21"/>
      <c r="COG51" s="21"/>
      <c r="COH51" s="21"/>
      <c r="COI51" s="21"/>
      <c r="COJ51" s="21"/>
      <c r="COK51" s="21"/>
      <c r="COL51" s="21"/>
      <c r="COM51" s="21"/>
      <c r="CON51" s="21"/>
      <c r="COO51" s="21"/>
      <c r="COP51" s="21"/>
      <c r="COQ51" s="21"/>
      <c r="COR51" s="21"/>
      <c r="COS51" s="21"/>
      <c r="COT51" s="21"/>
      <c r="COU51" s="21"/>
      <c r="COV51" s="21"/>
      <c r="COW51" s="21"/>
      <c r="COX51" s="21"/>
      <c r="COY51" s="21"/>
      <c r="COZ51" s="21"/>
      <c r="CPA51" s="21"/>
      <c r="CPB51" s="21"/>
      <c r="CPC51" s="21"/>
      <c r="CPD51" s="21"/>
      <c r="CPE51" s="21"/>
      <c r="CPF51" s="21"/>
      <c r="CPG51" s="21"/>
      <c r="CPH51" s="21"/>
      <c r="CPI51" s="21"/>
      <c r="CPJ51" s="21"/>
      <c r="CPK51" s="21"/>
      <c r="CPL51" s="21"/>
      <c r="CPM51" s="21"/>
      <c r="CPN51" s="21"/>
      <c r="CPO51" s="21"/>
      <c r="CPP51" s="21"/>
      <c r="CPQ51" s="21"/>
      <c r="CPR51" s="21"/>
      <c r="CPS51" s="21"/>
      <c r="CPT51" s="21"/>
      <c r="CPU51" s="21"/>
      <c r="CPV51" s="21"/>
      <c r="CPW51" s="21"/>
      <c r="CPX51" s="21"/>
      <c r="CPY51" s="21"/>
      <c r="CPZ51" s="21"/>
      <c r="CQA51" s="21"/>
      <c r="CQB51" s="21"/>
      <c r="CQC51" s="21"/>
      <c r="CQD51" s="21"/>
      <c r="CQE51" s="21"/>
      <c r="CQF51" s="21"/>
      <c r="CQG51" s="21"/>
      <c r="CQH51" s="21"/>
      <c r="CQI51" s="21"/>
      <c r="CQJ51" s="21"/>
      <c r="CQK51" s="21"/>
      <c r="CQL51" s="21"/>
      <c r="CQM51" s="21"/>
      <c r="CQN51" s="21"/>
      <c r="CQO51" s="21"/>
      <c r="CQP51" s="21"/>
      <c r="CQQ51" s="21"/>
      <c r="CQR51" s="21"/>
      <c r="CQS51" s="21"/>
      <c r="CQT51" s="21"/>
      <c r="CQU51" s="21"/>
      <c r="CQV51" s="21"/>
      <c r="CQW51" s="21"/>
      <c r="CQX51" s="21"/>
      <c r="CQY51" s="21"/>
      <c r="CQZ51" s="21"/>
      <c r="CRA51" s="21"/>
      <c r="CRB51" s="21"/>
      <c r="CRC51" s="21"/>
      <c r="CRD51" s="21"/>
      <c r="CRE51" s="21"/>
      <c r="CRF51" s="21"/>
      <c r="CRG51" s="21"/>
      <c r="CRH51" s="21"/>
      <c r="CRI51" s="21"/>
      <c r="CRJ51" s="21"/>
      <c r="CRK51" s="21"/>
      <c r="CRL51" s="21"/>
      <c r="CRM51" s="21"/>
      <c r="CRN51" s="21"/>
      <c r="CRO51" s="21"/>
      <c r="CRP51" s="21"/>
      <c r="CRQ51" s="21"/>
      <c r="CRR51" s="21"/>
      <c r="CRS51" s="21"/>
      <c r="CRT51" s="21"/>
      <c r="CRU51" s="21"/>
      <c r="CRV51" s="21"/>
      <c r="CRW51" s="21"/>
      <c r="CRX51" s="21"/>
      <c r="CRY51" s="21"/>
      <c r="CRZ51" s="21"/>
      <c r="CSA51" s="21"/>
      <c r="CSB51" s="21"/>
      <c r="CSC51" s="21"/>
      <c r="CSD51" s="21"/>
      <c r="CSE51" s="21"/>
      <c r="CSF51" s="21"/>
      <c r="CSG51" s="21"/>
      <c r="CSH51" s="21"/>
      <c r="CSI51" s="21"/>
      <c r="CSJ51" s="21"/>
      <c r="CSK51" s="21"/>
      <c r="CSL51" s="21"/>
      <c r="CSM51" s="21"/>
      <c r="CSN51" s="21"/>
      <c r="CSO51" s="21"/>
      <c r="CSP51" s="21"/>
      <c r="CSQ51" s="21"/>
      <c r="CSR51" s="21"/>
      <c r="CSS51" s="21"/>
      <c r="CST51" s="21"/>
      <c r="CSU51" s="21"/>
      <c r="CSV51" s="21"/>
      <c r="CSW51" s="21"/>
      <c r="CSX51" s="21"/>
      <c r="CSY51" s="21"/>
      <c r="CSZ51" s="21"/>
      <c r="CTA51" s="21"/>
      <c r="CTB51" s="21"/>
      <c r="CTC51" s="21"/>
      <c r="CTD51" s="21"/>
      <c r="CTE51" s="21"/>
      <c r="CTF51" s="21"/>
      <c r="CTG51" s="21"/>
      <c r="CTH51" s="21"/>
      <c r="CTI51" s="21"/>
      <c r="CTJ51" s="21"/>
      <c r="CTK51" s="21"/>
      <c r="CTL51" s="21"/>
      <c r="CTM51" s="21"/>
      <c r="CTN51" s="21"/>
      <c r="CTO51" s="21"/>
      <c r="CTP51" s="21"/>
      <c r="CTQ51" s="21"/>
      <c r="CTR51" s="21"/>
      <c r="CTS51" s="21"/>
      <c r="CTT51" s="21"/>
      <c r="CTU51" s="21"/>
      <c r="CTV51" s="21"/>
      <c r="CTW51" s="21"/>
      <c r="CTX51" s="21"/>
      <c r="CTY51" s="21"/>
      <c r="CTZ51" s="21"/>
      <c r="CUA51" s="21"/>
      <c r="CUB51" s="21"/>
      <c r="CUC51" s="21"/>
      <c r="CUD51" s="21"/>
      <c r="CUE51" s="21"/>
      <c r="CUF51" s="21"/>
      <c r="CUG51" s="21"/>
      <c r="CUH51" s="21"/>
      <c r="CUI51" s="21"/>
      <c r="CUJ51" s="21"/>
      <c r="CUK51" s="21"/>
      <c r="CUL51" s="21"/>
      <c r="CUM51" s="21"/>
      <c r="CUN51" s="21"/>
      <c r="CUO51" s="21"/>
      <c r="CUP51" s="21"/>
      <c r="CUQ51" s="21"/>
      <c r="CUR51" s="21"/>
      <c r="CUS51" s="21"/>
      <c r="CUT51" s="21"/>
      <c r="CUU51" s="21"/>
      <c r="CUV51" s="21"/>
      <c r="CUW51" s="21"/>
      <c r="CUX51" s="21"/>
      <c r="CUY51" s="21"/>
      <c r="CUZ51" s="21"/>
      <c r="CVA51" s="21"/>
      <c r="CVB51" s="21"/>
      <c r="CVC51" s="21"/>
      <c r="CVD51" s="21"/>
      <c r="CVE51" s="21"/>
      <c r="CVF51" s="21"/>
      <c r="CVG51" s="21"/>
      <c r="CVH51" s="21"/>
      <c r="CVI51" s="21"/>
      <c r="CVJ51" s="21"/>
      <c r="CVK51" s="21"/>
      <c r="CVL51" s="21"/>
      <c r="CVM51" s="21"/>
      <c r="CVN51" s="21"/>
      <c r="CVO51" s="21"/>
      <c r="CVP51" s="21"/>
      <c r="CVQ51" s="21"/>
      <c r="CVR51" s="21"/>
      <c r="CVS51" s="21"/>
      <c r="CVT51" s="21"/>
      <c r="CVU51" s="21"/>
      <c r="CVV51" s="21"/>
      <c r="CVW51" s="21"/>
      <c r="CVX51" s="21"/>
      <c r="CVY51" s="21"/>
      <c r="CVZ51" s="21"/>
      <c r="CWA51" s="21"/>
      <c r="CWB51" s="21"/>
      <c r="CWC51" s="21"/>
      <c r="CWD51" s="21"/>
      <c r="CWE51" s="21"/>
      <c r="CWF51" s="21"/>
      <c r="CWG51" s="21"/>
      <c r="CWH51" s="21"/>
      <c r="CWI51" s="21"/>
      <c r="CWJ51" s="21"/>
      <c r="CWK51" s="21"/>
      <c r="CWL51" s="21"/>
      <c r="CWM51" s="21"/>
      <c r="CWN51" s="21"/>
      <c r="CWO51" s="21"/>
      <c r="CWP51" s="21"/>
      <c r="CWQ51" s="21"/>
      <c r="CWR51" s="21"/>
      <c r="CWS51" s="21"/>
      <c r="CWT51" s="21"/>
      <c r="CWU51" s="21"/>
      <c r="CWV51" s="21"/>
      <c r="CWW51" s="21"/>
      <c r="CWX51" s="21"/>
      <c r="CWY51" s="21"/>
      <c r="CWZ51" s="21"/>
      <c r="CXA51" s="21"/>
      <c r="CXB51" s="21"/>
      <c r="CXC51" s="21"/>
      <c r="CXD51" s="21"/>
      <c r="CXE51" s="21"/>
      <c r="CXF51" s="21"/>
      <c r="CXG51" s="21"/>
      <c r="CXH51" s="21"/>
      <c r="CXI51" s="21"/>
      <c r="CXJ51" s="21"/>
      <c r="CXK51" s="21"/>
      <c r="CXL51" s="21"/>
      <c r="CXM51" s="21"/>
      <c r="CXN51" s="21"/>
      <c r="CXO51" s="21"/>
      <c r="CXP51" s="21"/>
      <c r="CXQ51" s="21"/>
      <c r="CXR51" s="21"/>
      <c r="CXS51" s="21"/>
      <c r="CXT51" s="21"/>
      <c r="CXU51" s="21"/>
      <c r="CXV51" s="21"/>
      <c r="CXW51" s="21"/>
      <c r="CXX51" s="21"/>
      <c r="CXY51" s="21"/>
      <c r="CXZ51" s="21"/>
      <c r="CYA51" s="21"/>
      <c r="CYB51" s="21"/>
      <c r="CYC51" s="21"/>
      <c r="CYD51" s="21"/>
      <c r="CYE51" s="21"/>
      <c r="CYF51" s="21"/>
      <c r="CYG51" s="21"/>
      <c r="CYH51" s="21"/>
      <c r="CYI51" s="21"/>
      <c r="CYJ51" s="21"/>
      <c r="CYK51" s="21"/>
      <c r="CYL51" s="21"/>
      <c r="CYM51" s="21"/>
      <c r="CYN51" s="21"/>
      <c r="CYO51" s="21"/>
      <c r="CYP51" s="21"/>
      <c r="CYQ51" s="21"/>
      <c r="CYR51" s="21"/>
      <c r="CYS51" s="21"/>
      <c r="CYT51" s="21"/>
      <c r="CYU51" s="21"/>
      <c r="CYV51" s="21"/>
      <c r="CYW51" s="21"/>
      <c r="CYX51" s="21"/>
      <c r="CYY51" s="21"/>
      <c r="CYZ51" s="21"/>
      <c r="CZA51" s="21"/>
      <c r="CZB51" s="21"/>
      <c r="CZC51" s="21"/>
      <c r="CZD51" s="21"/>
      <c r="CZE51" s="21"/>
      <c r="CZF51" s="21"/>
      <c r="CZG51" s="21"/>
      <c r="CZH51" s="21"/>
      <c r="CZI51" s="21"/>
      <c r="CZJ51" s="21"/>
      <c r="CZK51" s="21"/>
      <c r="CZL51" s="21"/>
      <c r="CZM51" s="21"/>
      <c r="CZN51" s="21"/>
      <c r="CZO51" s="21"/>
      <c r="CZP51" s="21"/>
      <c r="CZQ51" s="21"/>
      <c r="CZR51" s="21"/>
      <c r="CZS51" s="21"/>
      <c r="CZT51" s="21"/>
      <c r="CZU51" s="21"/>
      <c r="CZV51" s="21"/>
      <c r="CZW51" s="21"/>
      <c r="CZX51" s="21"/>
      <c r="CZY51" s="21"/>
      <c r="CZZ51" s="21"/>
      <c r="DAA51" s="21"/>
      <c r="DAB51" s="21"/>
      <c r="DAC51" s="21"/>
      <c r="DAD51" s="21"/>
      <c r="DAE51" s="21"/>
      <c r="DAF51" s="21"/>
      <c r="DAG51" s="21"/>
      <c r="DAH51" s="21"/>
      <c r="DAI51" s="21"/>
      <c r="DAJ51" s="21"/>
      <c r="DAK51" s="21"/>
      <c r="DAL51" s="21"/>
      <c r="DAM51" s="21"/>
      <c r="DAN51" s="21"/>
      <c r="DAO51" s="21"/>
      <c r="DAP51" s="21"/>
      <c r="DAQ51" s="21"/>
      <c r="DAR51" s="21"/>
      <c r="DAS51" s="21"/>
      <c r="DAT51" s="21"/>
      <c r="DAU51" s="21"/>
      <c r="DAV51" s="21"/>
      <c r="DAW51" s="21"/>
      <c r="DAX51" s="21"/>
      <c r="DAY51" s="21"/>
      <c r="DAZ51" s="21"/>
      <c r="DBA51" s="21"/>
      <c r="DBB51" s="21"/>
      <c r="DBC51" s="21"/>
      <c r="DBD51" s="21"/>
      <c r="DBE51" s="21"/>
      <c r="DBF51" s="21"/>
      <c r="DBG51" s="21"/>
      <c r="DBH51" s="21"/>
      <c r="DBI51" s="21"/>
      <c r="DBJ51" s="21"/>
      <c r="DBK51" s="21"/>
      <c r="DBL51" s="21"/>
      <c r="DBM51" s="21"/>
      <c r="DBN51" s="21"/>
      <c r="DBO51" s="21"/>
      <c r="DBP51" s="21"/>
      <c r="DBQ51" s="21"/>
      <c r="DBR51" s="21"/>
      <c r="DBS51" s="21"/>
      <c r="DBT51" s="21"/>
      <c r="DBU51" s="21"/>
      <c r="DBV51" s="21"/>
      <c r="DBW51" s="21"/>
      <c r="DBX51" s="21"/>
      <c r="DBY51" s="21"/>
      <c r="DBZ51" s="21"/>
      <c r="DCA51" s="21"/>
      <c r="DCB51" s="21"/>
      <c r="DCC51" s="21"/>
      <c r="DCD51" s="21"/>
      <c r="DCE51" s="21"/>
      <c r="DCF51" s="21"/>
      <c r="DCG51" s="21"/>
      <c r="DCH51" s="21"/>
      <c r="DCI51" s="21"/>
      <c r="DCJ51" s="21"/>
      <c r="DCK51" s="21"/>
      <c r="DCL51" s="21"/>
      <c r="DCM51" s="21"/>
      <c r="DCN51" s="21"/>
      <c r="DCO51" s="21"/>
      <c r="DCP51" s="21"/>
      <c r="DCQ51" s="21"/>
      <c r="DCR51" s="21"/>
      <c r="DCS51" s="21"/>
      <c r="DCT51" s="21"/>
      <c r="DCU51" s="21"/>
      <c r="DCV51" s="21"/>
      <c r="DCW51" s="21"/>
      <c r="DCX51" s="21"/>
      <c r="DCY51" s="21"/>
      <c r="DCZ51" s="21"/>
      <c r="DDA51" s="21"/>
      <c r="DDB51" s="21"/>
      <c r="DDC51" s="21"/>
      <c r="DDD51" s="21"/>
      <c r="DDE51" s="21"/>
      <c r="DDF51" s="21"/>
      <c r="DDG51" s="21"/>
      <c r="DDH51" s="21"/>
      <c r="DDI51" s="21"/>
      <c r="DDJ51" s="21"/>
      <c r="DDK51" s="21"/>
      <c r="DDL51" s="21"/>
      <c r="DDM51" s="21"/>
      <c r="DDN51" s="21"/>
      <c r="DDO51" s="21"/>
      <c r="DDP51" s="21"/>
      <c r="DDQ51" s="21"/>
      <c r="DDR51" s="21"/>
      <c r="DDS51" s="21"/>
      <c r="DDT51" s="21"/>
      <c r="DDU51" s="21"/>
      <c r="DDV51" s="21"/>
      <c r="DDW51" s="21"/>
      <c r="DDX51" s="21"/>
      <c r="DDY51" s="21"/>
      <c r="DDZ51" s="21"/>
      <c r="DEA51" s="21"/>
      <c r="DEB51" s="21"/>
      <c r="DEC51" s="21"/>
      <c r="DED51" s="21"/>
      <c r="DEE51" s="21"/>
      <c r="DEF51" s="21"/>
      <c r="DEG51" s="21"/>
      <c r="DEH51" s="21"/>
      <c r="DEI51" s="21"/>
      <c r="DEJ51" s="21"/>
      <c r="DEK51" s="21"/>
      <c r="DEL51" s="21"/>
      <c r="DEM51" s="21"/>
      <c r="DEN51" s="21"/>
      <c r="DEO51" s="21"/>
      <c r="DEP51" s="21"/>
      <c r="DEQ51" s="21"/>
      <c r="DER51" s="21"/>
      <c r="DES51" s="21"/>
      <c r="DET51" s="21"/>
      <c r="DEU51" s="21"/>
      <c r="DEV51" s="21"/>
      <c r="DEW51" s="21"/>
      <c r="DEX51" s="21"/>
      <c r="DEY51" s="21"/>
      <c r="DEZ51" s="21"/>
      <c r="DFA51" s="21"/>
      <c r="DFB51" s="21"/>
      <c r="DFC51" s="21"/>
      <c r="DFD51" s="21"/>
      <c r="DFE51" s="21"/>
      <c r="DFF51" s="21"/>
      <c r="DFG51" s="21"/>
      <c r="DFH51" s="21"/>
      <c r="DFI51" s="21"/>
      <c r="DFJ51" s="21"/>
      <c r="DFK51" s="21"/>
      <c r="DFL51" s="21"/>
      <c r="DFM51" s="21"/>
      <c r="DFN51" s="21"/>
      <c r="DFO51" s="21"/>
      <c r="DFP51" s="21"/>
      <c r="DFQ51" s="21"/>
      <c r="DFR51" s="21"/>
      <c r="DFS51" s="21"/>
      <c r="DFT51" s="21"/>
      <c r="DFU51" s="21"/>
      <c r="DFV51" s="21"/>
      <c r="DFW51" s="21"/>
      <c r="DFX51" s="21"/>
      <c r="DFY51" s="21"/>
      <c r="DFZ51" s="21"/>
      <c r="DGA51" s="21"/>
      <c r="DGB51" s="21"/>
      <c r="DGC51" s="21"/>
      <c r="DGD51" s="21"/>
      <c r="DGE51" s="21"/>
      <c r="DGF51" s="21"/>
      <c r="DGG51" s="21"/>
      <c r="DGH51" s="21"/>
      <c r="DGI51" s="21"/>
      <c r="DGJ51" s="21"/>
      <c r="DGK51" s="21"/>
      <c r="DGL51" s="21"/>
      <c r="DGM51" s="21"/>
      <c r="DGN51" s="21"/>
      <c r="DGO51" s="21"/>
      <c r="DGP51" s="21"/>
      <c r="DGQ51" s="21"/>
      <c r="DGR51" s="21"/>
      <c r="DGS51" s="21"/>
      <c r="DGT51" s="21"/>
      <c r="DGU51" s="21"/>
      <c r="DGV51" s="21"/>
      <c r="DGW51" s="21"/>
      <c r="DGX51" s="21"/>
      <c r="DGY51" s="21"/>
      <c r="DGZ51" s="21"/>
      <c r="DHA51" s="21"/>
      <c r="DHB51" s="21"/>
      <c r="DHC51" s="21"/>
      <c r="DHD51" s="21"/>
      <c r="DHE51" s="21"/>
      <c r="DHF51" s="21"/>
      <c r="DHG51" s="21"/>
      <c r="DHH51" s="21"/>
      <c r="DHI51" s="21"/>
      <c r="DHJ51" s="21"/>
      <c r="DHK51" s="21"/>
      <c r="DHL51" s="21"/>
      <c r="DHM51" s="21"/>
      <c r="DHN51" s="21"/>
      <c r="DHO51" s="21"/>
      <c r="DHP51" s="21"/>
      <c r="DHQ51" s="21"/>
      <c r="DHR51" s="21"/>
      <c r="DHS51" s="21"/>
      <c r="DHT51" s="21"/>
      <c r="DHU51" s="21"/>
      <c r="DHV51" s="21"/>
      <c r="DHW51" s="21"/>
      <c r="DHX51" s="21"/>
      <c r="DHY51" s="21"/>
      <c r="DHZ51" s="21"/>
      <c r="DIA51" s="21"/>
      <c r="DIB51" s="21"/>
      <c r="DIC51" s="21"/>
      <c r="DID51" s="21"/>
      <c r="DIE51" s="21"/>
      <c r="DIF51" s="21"/>
      <c r="DIG51" s="21"/>
      <c r="DIH51" s="21"/>
      <c r="DII51" s="21"/>
      <c r="DIJ51" s="21"/>
      <c r="DIK51" s="21"/>
      <c r="DIL51" s="21"/>
      <c r="DIM51" s="21"/>
      <c r="DIN51" s="21"/>
      <c r="DIO51" s="21"/>
      <c r="DIP51" s="21"/>
      <c r="DIQ51" s="21"/>
      <c r="DIR51" s="21"/>
      <c r="DIS51" s="21"/>
      <c r="DIT51" s="21"/>
      <c r="DIU51" s="21"/>
      <c r="DIV51" s="21"/>
      <c r="DIW51" s="21"/>
      <c r="DIX51" s="21"/>
      <c r="DIY51" s="21"/>
      <c r="DIZ51" s="21"/>
      <c r="DJA51" s="21"/>
      <c r="DJB51" s="21"/>
      <c r="DJC51" s="21"/>
      <c r="DJD51" s="21"/>
      <c r="DJE51" s="21"/>
      <c r="DJF51" s="21"/>
      <c r="DJG51" s="21"/>
      <c r="DJH51" s="21"/>
      <c r="DJI51" s="21"/>
      <c r="DJJ51" s="21"/>
      <c r="DJK51" s="21"/>
      <c r="DJL51" s="21"/>
      <c r="DJM51" s="21"/>
      <c r="DJN51" s="21"/>
      <c r="DJO51" s="21"/>
      <c r="DJP51" s="21"/>
      <c r="DJQ51" s="21"/>
      <c r="DJR51" s="21"/>
      <c r="DJS51" s="21"/>
      <c r="DJT51" s="21"/>
      <c r="DJU51" s="21"/>
      <c r="DJV51" s="21"/>
      <c r="DJW51" s="21"/>
      <c r="DJX51" s="21"/>
      <c r="DJY51" s="21"/>
      <c r="DJZ51" s="21"/>
      <c r="DKA51" s="21"/>
      <c r="DKB51" s="21"/>
      <c r="DKC51" s="21"/>
      <c r="DKD51" s="21"/>
      <c r="DKE51" s="21"/>
      <c r="DKF51" s="21"/>
      <c r="DKG51" s="21"/>
      <c r="DKH51" s="21"/>
      <c r="DKI51" s="21"/>
      <c r="DKJ51" s="21"/>
      <c r="DKK51" s="21"/>
      <c r="DKL51" s="21"/>
      <c r="DKM51" s="21"/>
      <c r="DKN51" s="21"/>
      <c r="DKO51" s="21"/>
      <c r="DKP51" s="21"/>
      <c r="DKQ51" s="21"/>
      <c r="DKR51" s="21"/>
      <c r="DKS51" s="21"/>
      <c r="DKT51" s="21"/>
      <c r="DKU51" s="21"/>
      <c r="DKV51" s="21"/>
      <c r="DKW51" s="21"/>
      <c r="DKX51" s="21"/>
      <c r="DKY51" s="21"/>
      <c r="DKZ51" s="21"/>
      <c r="DLA51" s="21"/>
      <c r="DLB51" s="21"/>
      <c r="DLC51" s="21"/>
      <c r="DLD51" s="21"/>
      <c r="DLE51" s="21"/>
      <c r="DLF51" s="21"/>
      <c r="DLG51" s="21"/>
      <c r="DLH51" s="21"/>
      <c r="DLI51" s="21"/>
      <c r="DLJ51" s="21"/>
      <c r="DLK51" s="21"/>
      <c r="DLL51" s="21"/>
      <c r="DLM51" s="21"/>
      <c r="DLN51" s="21"/>
      <c r="DLO51" s="21"/>
      <c r="DLP51" s="21"/>
      <c r="DLQ51" s="21"/>
      <c r="DLR51" s="21"/>
      <c r="DLS51" s="21"/>
      <c r="DLT51" s="21"/>
      <c r="DLU51" s="21"/>
      <c r="DLV51" s="21"/>
      <c r="DLW51" s="21"/>
      <c r="DLX51" s="21"/>
      <c r="DLY51" s="21"/>
      <c r="DLZ51" s="21"/>
      <c r="DMA51" s="21"/>
      <c r="DMB51" s="21"/>
      <c r="DMC51" s="21"/>
      <c r="DMD51" s="21"/>
      <c r="DME51" s="21"/>
      <c r="DMF51" s="21"/>
      <c r="DMG51" s="21"/>
      <c r="DMH51" s="21"/>
      <c r="DMI51" s="21"/>
      <c r="DMJ51" s="21"/>
      <c r="DMK51" s="21"/>
      <c r="DML51" s="21"/>
      <c r="DMM51" s="21"/>
      <c r="DMN51" s="21"/>
      <c r="DMO51" s="21"/>
      <c r="DMP51" s="21"/>
      <c r="DMQ51" s="21"/>
      <c r="DMR51" s="21"/>
      <c r="DMS51" s="21"/>
      <c r="DMT51" s="21"/>
      <c r="DMU51" s="21"/>
      <c r="DMV51" s="21"/>
      <c r="DMW51" s="21"/>
      <c r="DMX51" s="21"/>
      <c r="DMY51" s="21"/>
      <c r="DMZ51" s="21"/>
      <c r="DNA51" s="21"/>
      <c r="DNB51" s="21"/>
      <c r="DNC51" s="21"/>
      <c r="DND51" s="21"/>
      <c r="DNE51" s="21"/>
      <c r="DNF51" s="21"/>
      <c r="DNG51" s="21"/>
      <c r="DNH51" s="21"/>
      <c r="DNI51" s="21"/>
      <c r="DNJ51" s="21"/>
      <c r="DNK51" s="21"/>
      <c r="DNL51" s="21"/>
      <c r="DNM51" s="21"/>
      <c r="DNN51" s="21"/>
      <c r="DNO51" s="21"/>
      <c r="DNP51" s="21"/>
      <c r="DNQ51" s="21"/>
      <c r="DNR51" s="21"/>
      <c r="DNS51" s="21"/>
      <c r="DNT51" s="21"/>
      <c r="DNU51" s="21"/>
      <c r="DNV51" s="21"/>
      <c r="DNW51" s="21"/>
      <c r="DNX51" s="21"/>
      <c r="DNY51" s="21"/>
      <c r="DNZ51" s="21"/>
      <c r="DOA51" s="21"/>
      <c r="DOB51" s="21"/>
      <c r="DOC51" s="21"/>
      <c r="DOD51" s="21"/>
      <c r="DOE51" s="21"/>
      <c r="DOF51" s="21"/>
      <c r="DOG51" s="21"/>
      <c r="DOH51" s="21"/>
      <c r="DOI51" s="21"/>
      <c r="DOJ51" s="21"/>
      <c r="DOK51" s="21"/>
      <c r="DOL51" s="21"/>
      <c r="DOM51" s="21"/>
      <c r="DON51" s="21"/>
      <c r="DOO51" s="21"/>
      <c r="DOP51" s="21"/>
      <c r="DOQ51" s="21"/>
      <c r="DOR51" s="21"/>
      <c r="DOS51" s="21"/>
      <c r="DOT51" s="21"/>
      <c r="DOU51" s="21"/>
      <c r="DOV51" s="21"/>
      <c r="DOW51" s="21"/>
      <c r="DOX51" s="21"/>
      <c r="DOY51" s="21"/>
      <c r="DOZ51" s="21"/>
      <c r="DPA51" s="21"/>
      <c r="DPB51" s="21"/>
      <c r="DPC51" s="21"/>
      <c r="DPD51" s="21"/>
      <c r="DPE51" s="21"/>
      <c r="DPF51" s="21"/>
      <c r="DPG51" s="21"/>
      <c r="DPH51" s="21"/>
      <c r="DPI51" s="21"/>
      <c r="DPJ51" s="21"/>
      <c r="DPK51" s="21"/>
      <c r="DPL51" s="21"/>
      <c r="DPM51" s="21"/>
      <c r="DPN51" s="21"/>
      <c r="DPO51" s="21"/>
      <c r="DPP51" s="21"/>
      <c r="DPQ51" s="21"/>
      <c r="DPR51" s="21"/>
      <c r="DPS51" s="21"/>
      <c r="DPT51" s="21"/>
      <c r="DPU51" s="21"/>
      <c r="DPV51" s="21"/>
      <c r="DPW51" s="21"/>
      <c r="DPX51" s="21"/>
      <c r="DPY51" s="21"/>
      <c r="DPZ51" s="21"/>
      <c r="DQA51" s="21"/>
      <c r="DQB51" s="21"/>
      <c r="DQC51" s="21"/>
      <c r="DQD51" s="21"/>
      <c r="DQE51" s="21"/>
      <c r="DQF51" s="21"/>
      <c r="DQG51" s="21"/>
      <c r="DQH51" s="21"/>
      <c r="DQI51" s="21"/>
      <c r="DQJ51" s="21"/>
      <c r="DQK51" s="21"/>
      <c r="DQL51" s="21"/>
      <c r="DQM51" s="21"/>
      <c r="DQN51" s="21"/>
      <c r="DQO51" s="21"/>
      <c r="DQP51" s="21"/>
      <c r="DQQ51" s="21"/>
      <c r="DQR51" s="21"/>
      <c r="DQS51" s="21"/>
      <c r="DQT51" s="21"/>
      <c r="DQU51" s="21"/>
      <c r="DQV51" s="21"/>
      <c r="DQW51" s="21"/>
      <c r="DQX51" s="21"/>
      <c r="DQY51" s="21"/>
      <c r="DQZ51" s="21"/>
      <c r="DRA51" s="21"/>
      <c r="DRB51" s="21"/>
      <c r="DRC51" s="21"/>
      <c r="DRD51" s="21"/>
      <c r="DRE51" s="21"/>
      <c r="DRF51" s="21"/>
      <c r="DRG51" s="21"/>
      <c r="DRH51" s="21"/>
      <c r="DRI51" s="21"/>
      <c r="DRJ51" s="21"/>
      <c r="DRK51" s="21"/>
      <c r="DRL51" s="21"/>
      <c r="DRM51" s="21"/>
      <c r="DRN51" s="21"/>
      <c r="DRO51" s="21"/>
      <c r="DRP51" s="21"/>
      <c r="DRQ51" s="21"/>
      <c r="DRR51" s="21"/>
      <c r="DRS51" s="21"/>
      <c r="DRT51" s="21"/>
      <c r="DRU51" s="21"/>
      <c r="DRV51" s="21"/>
      <c r="DRW51" s="21"/>
      <c r="DRX51" s="21"/>
      <c r="DRY51" s="21"/>
      <c r="DRZ51" s="21"/>
      <c r="DSA51" s="21"/>
      <c r="DSB51" s="21"/>
      <c r="DSC51" s="21"/>
      <c r="DSD51" s="21"/>
      <c r="DSE51" s="21"/>
      <c r="DSF51" s="21"/>
      <c r="DSG51" s="21"/>
      <c r="DSH51" s="21"/>
      <c r="DSI51" s="21"/>
      <c r="DSJ51" s="21"/>
      <c r="DSK51" s="21"/>
      <c r="DSL51" s="21"/>
      <c r="DSM51" s="21"/>
      <c r="DSN51" s="21"/>
      <c r="DSO51" s="21"/>
      <c r="DSP51" s="21"/>
      <c r="DSQ51" s="21"/>
      <c r="DSR51" s="21"/>
      <c r="DSS51" s="21"/>
      <c r="DST51" s="21"/>
      <c r="DSU51" s="21"/>
      <c r="DSV51" s="21"/>
      <c r="DSW51" s="21"/>
      <c r="DSX51" s="21"/>
      <c r="DSY51" s="21"/>
      <c r="DSZ51" s="21"/>
      <c r="DTA51" s="21"/>
      <c r="DTB51" s="21"/>
      <c r="DTC51" s="21"/>
      <c r="DTD51" s="21"/>
      <c r="DTE51" s="21"/>
      <c r="DTF51" s="21"/>
      <c r="DTG51" s="21"/>
      <c r="DTH51" s="21"/>
      <c r="DTI51" s="21"/>
      <c r="DTJ51" s="21"/>
      <c r="DTK51" s="21"/>
      <c r="DTL51" s="21"/>
      <c r="DTM51" s="21"/>
      <c r="DTN51" s="21"/>
      <c r="DTO51" s="21"/>
      <c r="DTP51" s="21"/>
      <c r="DTQ51" s="21"/>
      <c r="DTR51" s="21"/>
      <c r="DTS51" s="21"/>
      <c r="DTT51" s="21"/>
      <c r="DTU51" s="21"/>
      <c r="DTV51" s="21"/>
      <c r="DTW51" s="21"/>
      <c r="DTX51" s="21"/>
      <c r="DTY51" s="21"/>
      <c r="DTZ51" s="21"/>
      <c r="DUA51" s="21"/>
      <c r="DUB51" s="21"/>
      <c r="DUC51" s="21"/>
      <c r="DUD51" s="21"/>
      <c r="DUE51" s="21"/>
      <c r="DUF51" s="21"/>
      <c r="DUG51" s="21"/>
      <c r="DUH51" s="21"/>
      <c r="DUI51" s="21"/>
      <c r="DUJ51" s="21"/>
      <c r="DUK51" s="21"/>
      <c r="DUL51" s="21"/>
      <c r="DUM51" s="21"/>
      <c r="DUN51" s="21"/>
      <c r="DUO51" s="21"/>
      <c r="DUP51" s="21"/>
      <c r="DUQ51" s="21"/>
      <c r="DUR51" s="21"/>
      <c r="DUS51" s="21"/>
      <c r="DUT51" s="21"/>
      <c r="DUU51" s="21"/>
      <c r="DUV51" s="21"/>
      <c r="DUW51" s="21"/>
      <c r="DUX51" s="21"/>
      <c r="DUY51" s="21"/>
      <c r="DUZ51" s="21"/>
      <c r="DVA51" s="21"/>
      <c r="DVB51" s="21"/>
      <c r="DVC51" s="21"/>
      <c r="DVD51" s="21"/>
      <c r="DVE51" s="21"/>
      <c r="DVF51" s="21"/>
      <c r="DVG51" s="21"/>
      <c r="DVH51" s="21"/>
      <c r="DVI51" s="21"/>
      <c r="DVJ51" s="21"/>
      <c r="DVK51" s="21"/>
      <c r="DVL51" s="21"/>
      <c r="DVM51" s="21"/>
      <c r="DVN51" s="21"/>
      <c r="DVO51" s="21"/>
      <c r="DVP51" s="21"/>
      <c r="DVQ51" s="21"/>
      <c r="DVR51" s="21"/>
      <c r="DVS51" s="21"/>
      <c r="DVT51" s="21"/>
      <c r="DVU51" s="21"/>
      <c r="DVV51" s="21"/>
      <c r="DVW51" s="21"/>
      <c r="DVX51" s="21"/>
      <c r="DVY51" s="21"/>
      <c r="DVZ51" s="21"/>
      <c r="DWA51" s="21"/>
      <c r="DWB51" s="21"/>
      <c r="DWC51" s="21"/>
      <c r="DWD51" s="21"/>
      <c r="DWE51" s="21"/>
      <c r="DWF51" s="21"/>
      <c r="DWG51" s="21"/>
      <c r="DWH51" s="21"/>
      <c r="DWI51" s="21"/>
      <c r="DWJ51" s="21"/>
      <c r="DWK51" s="21"/>
      <c r="DWL51" s="21"/>
      <c r="DWM51" s="21"/>
      <c r="DWN51" s="21"/>
      <c r="DWO51" s="21"/>
      <c r="DWP51" s="21"/>
      <c r="DWQ51" s="21"/>
      <c r="DWR51" s="21"/>
      <c r="DWS51" s="21"/>
      <c r="DWT51" s="21"/>
      <c r="DWU51" s="21"/>
      <c r="DWV51" s="21"/>
      <c r="DWW51" s="21"/>
      <c r="DWX51" s="21"/>
      <c r="DWY51" s="21"/>
      <c r="DWZ51" s="21"/>
      <c r="DXA51" s="21"/>
      <c r="DXB51" s="21"/>
      <c r="DXC51" s="21"/>
      <c r="DXD51" s="21"/>
      <c r="DXE51" s="21"/>
      <c r="DXF51" s="21"/>
      <c r="DXG51" s="21"/>
      <c r="DXH51" s="21"/>
      <c r="DXI51" s="21"/>
      <c r="DXJ51" s="21"/>
      <c r="DXK51" s="21"/>
      <c r="DXL51" s="21"/>
      <c r="DXM51" s="21"/>
      <c r="DXN51" s="21"/>
      <c r="DXO51" s="21"/>
      <c r="DXP51" s="21"/>
      <c r="DXQ51" s="21"/>
      <c r="DXR51" s="21"/>
      <c r="DXS51" s="21"/>
      <c r="DXT51" s="21"/>
      <c r="DXU51" s="21"/>
      <c r="DXV51" s="21"/>
      <c r="DXW51" s="21"/>
      <c r="DXX51" s="21"/>
      <c r="DXY51" s="21"/>
      <c r="DXZ51" s="21"/>
      <c r="DYA51" s="21"/>
      <c r="DYB51" s="21"/>
      <c r="DYC51" s="21"/>
      <c r="DYD51" s="21"/>
      <c r="DYE51" s="21"/>
      <c r="DYF51" s="21"/>
      <c r="DYG51" s="21"/>
      <c r="DYH51" s="21"/>
      <c r="DYI51" s="21"/>
      <c r="DYJ51" s="21"/>
      <c r="DYK51" s="21"/>
      <c r="DYL51" s="21"/>
      <c r="DYM51" s="21"/>
      <c r="DYN51" s="21"/>
      <c r="DYO51" s="21"/>
      <c r="DYP51" s="21"/>
      <c r="DYQ51" s="21"/>
      <c r="DYR51" s="21"/>
      <c r="DYS51" s="21"/>
      <c r="DYT51" s="21"/>
      <c r="DYU51" s="21"/>
      <c r="DYV51" s="21"/>
      <c r="DYW51" s="21"/>
      <c r="DYX51" s="21"/>
      <c r="DYY51" s="21"/>
      <c r="DYZ51" s="21"/>
      <c r="DZA51" s="21"/>
      <c r="DZB51" s="21"/>
      <c r="DZC51" s="21"/>
      <c r="DZD51" s="21"/>
      <c r="DZE51" s="21"/>
      <c r="DZF51" s="21"/>
      <c r="DZG51" s="21"/>
      <c r="DZH51" s="21"/>
      <c r="DZI51" s="21"/>
      <c r="DZJ51" s="21"/>
      <c r="DZK51" s="21"/>
      <c r="DZL51" s="21"/>
      <c r="DZM51" s="21"/>
      <c r="DZN51" s="21"/>
      <c r="DZO51" s="21"/>
      <c r="DZP51" s="21"/>
      <c r="DZQ51" s="21"/>
      <c r="DZR51" s="21"/>
      <c r="DZS51" s="21"/>
      <c r="DZT51" s="21"/>
      <c r="DZU51" s="21"/>
      <c r="DZV51" s="21"/>
      <c r="DZW51" s="21"/>
      <c r="DZX51" s="21"/>
      <c r="DZY51" s="21"/>
      <c r="DZZ51" s="21"/>
      <c r="EAA51" s="21"/>
      <c r="EAB51" s="21"/>
      <c r="EAC51" s="21"/>
      <c r="EAD51" s="21"/>
      <c r="EAE51" s="21"/>
      <c r="EAF51" s="21"/>
      <c r="EAG51" s="21"/>
      <c r="EAH51" s="21"/>
      <c r="EAI51" s="21"/>
      <c r="EAJ51" s="21"/>
      <c r="EAK51" s="21"/>
      <c r="EAL51" s="21"/>
      <c r="EAM51" s="21"/>
      <c r="EAN51" s="21"/>
      <c r="EAO51" s="21"/>
      <c r="EAP51" s="21"/>
      <c r="EAQ51" s="21"/>
      <c r="EAR51" s="21"/>
      <c r="EAS51" s="21"/>
      <c r="EAT51" s="21"/>
      <c r="EAU51" s="21"/>
      <c r="EAV51" s="21"/>
      <c r="EAW51" s="21"/>
      <c r="EAX51" s="21"/>
      <c r="EAY51" s="21"/>
      <c r="EAZ51" s="21"/>
      <c r="EBA51" s="21"/>
      <c r="EBB51" s="21"/>
      <c r="EBC51" s="21"/>
      <c r="EBD51" s="21"/>
      <c r="EBE51" s="21"/>
      <c r="EBF51" s="21"/>
      <c r="EBG51" s="21"/>
      <c r="EBH51" s="21"/>
      <c r="EBI51" s="21"/>
      <c r="EBJ51" s="21"/>
      <c r="EBK51" s="21"/>
      <c r="EBL51" s="21"/>
      <c r="EBM51" s="21"/>
      <c r="EBN51" s="21"/>
      <c r="EBO51" s="21"/>
      <c r="EBP51" s="21"/>
      <c r="EBQ51" s="21"/>
      <c r="EBR51" s="21"/>
      <c r="EBS51" s="21"/>
      <c r="EBT51" s="21"/>
      <c r="EBU51" s="21"/>
      <c r="EBV51" s="21"/>
      <c r="EBW51" s="21"/>
      <c r="EBX51" s="21"/>
      <c r="EBY51" s="21"/>
      <c r="EBZ51" s="21"/>
      <c r="ECA51" s="21"/>
      <c r="ECB51" s="21"/>
      <c r="ECC51" s="21"/>
      <c r="ECD51" s="21"/>
      <c r="ECE51" s="21"/>
      <c r="ECF51" s="21"/>
      <c r="ECG51" s="21"/>
      <c r="ECH51" s="21"/>
      <c r="ECI51" s="21"/>
      <c r="ECJ51" s="21"/>
      <c r="ECK51" s="21"/>
      <c r="ECL51" s="21"/>
      <c r="ECM51" s="21"/>
      <c r="ECN51" s="21"/>
      <c r="ECO51" s="21"/>
      <c r="ECP51" s="21"/>
      <c r="ECQ51" s="21"/>
      <c r="ECR51" s="21"/>
      <c r="ECS51" s="21"/>
      <c r="ECT51" s="21"/>
      <c r="ECU51" s="21"/>
      <c r="ECV51" s="21"/>
      <c r="ECW51" s="21"/>
      <c r="ECX51" s="21"/>
      <c r="ECY51" s="21"/>
      <c r="ECZ51" s="21"/>
      <c r="EDA51" s="21"/>
      <c r="EDB51" s="21"/>
      <c r="EDC51" s="21"/>
      <c r="EDD51" s="21"/>
      <c r="EDE51" s="21"/>
      <c r="EDF51" s="21"/>
      <c r="EDG51" s="21"/>
      <c r="EDH51" s="21"/>
      <c r="EDI51" s="21"/>
      <c r="EDJ51" s="21"/>
      <c r="EDK51" s="21"/>
      <c r="EDL51" s="21"/>
      <c r="EDM51" s="21"/>
      <c r="EDN51" s="21"/>
      <c r="EDO51" s="21"/>
      <c r="EDP51" s="21"/>
      <c r="EDQ51" s="21"/>
      <c r="EDR51" s="21"/>
      <c r="EDS51" s="21"/>
      <c r="EDT51" s="21"/>
      <c r="EDU51" s="21"/>
      <c r="EDV51" s="21"/>
      <c r="EDW51" s="21"/>
      <c r="EDX51" s="21"/>
      <c r="EDY51" s="21"/>
      <c r="EDZ51" s="21"/>
      <c r="EEA51" s="21"/>
      <c r="EEB51" s="21"/>
      <c r="EEC51" s="21"/>
      <c r="EED51" s="21"/>
      <c r="EEE51" s="21"/>
      <c r="EEF51" s="21"/>
      <c r="EEG51" s="21"/>
      <c r="EEH51" s="21"/>
      <c r="EEI51" s="21"/>
      <c r="EEJ51" s="21"/>
      <c r="EEK51" s="21"/>
      <c r="EEL51" s="21"/>
      <c r="EEM51" s="21"/>
      <c r="EEN51" s="21"/>
      <c r="EEO51" s="21"/>
      <c r="EEP51" s="21"/>
      <c r="EEQ51" s="21"/>
      <c r="EER51" s="21"/>
      <c r="EES51" s="21"/>
      <c r="EET51" s="21"/>
      <c r="EEU51" s="21"/>
      <c r="EEV51" s="21"/>
      <c r="EEW51" s="21"/>
      <c r="EEX51" s="21"/>
      <c r="EEY51" s="21"/>
      <c r="EEZ51" s="21"/>
      <c r="EFA51" s="21"/>
      <c r="EFB51" s="21"/>
      <c r="EFC51" s="21"/>
      <c r="EFD51" s="21"/>
      <c r="EFE51" s="21"/>
      <c r="EFF51" s="21"/>
      <c r="EFG51" s="21"/>
      <c r="EFH51" s="21"/>
      <c r="EFI51" s="21"/>
      <c r="EFJ51" s="21"/>
      <c r="EFK51" s="21"/>
      <c r="EFL51" s="21"/>
      <c r="EFM51" s="21"/>
      <c r="EFN51" s="21"/>
      <c r="EFO51" s="21"/>
      <c r="EFP51" s="21"/>
      <c r="EFQ51" s="21"/>
      <c r="EFR51" s="21"/>
      <c r="EFS51" s="21"/>
      <c r="EFT51" s="21"/>
      <c r="EFU51" s="21"/>
      <c r="EFV51" s="21"/>
      <c r="EFW51" s="21"/>
      <c r="EFX51" s="21"/>
      <c r="EFY51" s="21"/>
      <c r="EFZ51" s="21"/>
      <c r="EGA51" s="21"/>
      <c r="EGB51" s="21"/>
      <c r="EGC51" s="21"/>
      <c r="EGD51" s="21"/>
      <c r="EGE51" s="21"/>
      <c r="EGF51" s="21"/>
      <c r="EGG51" s="21"/>
      <c r="EGH51" s="21"/>
      <c r="EGI51" s="21"/>
      <c r="EGJ51" s="21"/>
      <c r="EGK51" s="21"/>
      <c r="EGL51" s="21"/>
      <c r="EGM51" s="21"/>
      <c r="EGN51" s="21"/>
      <c r="EGO51" s="21"/>
      <c r="EGP51" s="21"/>
      <c r="EGQ51" s="21"/>
      <c r="EGR51" s="21"/>
      <c r="EGS51" s="21"/>
      <c r="EGT51" s="21"/>
      <c r="EGU51" s="21"/>
      <c r="EGV51" s="21"/>
      <c r="EGW51" s="21"/>
      <c r="EGX51" s="21"/>
      <c r="EGY51" s="21"/>
      <c r="EGZ51" s="21"/>
      <c r="EHA51" s="21"/>
      <c r="EHB51" s="21"/>
      <c r="EHC51" s="21"/>
      <c r="EHD51" s="21"/>
      <c r="EHE51" s="21"/>
      <c r="EHF51" s="21"/>
      <c r="EHG51" s="21"/>
      <c r="EHH51" s="21"/>
      <c r="EHI51" s="21"/>
      <c r="EHJ51" s="21"/>
      <c r="EHK51" s="21"/>
      <c r="EHL51" s="21"/>
      <c r="EHM51" s="21"/>
      <c r="EHN51" s="21"/>
      <c r="EHO51" s="21"/>
      <c r="EHP51" s="21"/>
      <c r="EHQ51" s="21"/>
      <c r="EHR51" s="21"/>
      <c r="EHS51" s="21"/>
      <c r="EHT51" s="21"/>
      <c r="EHU51" s="21"/>
      <c r="EHV51" s="21"/>
      <c r="EHW51" s="21"/>
      <c r="EHX51" s="21"/>
      <c r="EHY51" s="21"/>
      <c r="EHZ51" s="21"/>
      <c r="EIA51" s="21"/>
      <c r="EIB51" s="21"/>
      <c r="EIC51" s="21"/>
      <c r="EID51" s="21"/>
      <c r="EIE51" s="21"/>
      <c r="EIF51" s="21"/>
      <c r="EIG51" s="21"/>
      <c r="EIH51" s="21"/>
      <c r="EII51" s="21"/>
      <c r="EIJ51" s="21"/>
      <c r="EIK51" s="21"/>
      <c r="EIL51" s="21"/>
      <c r="EIM51" s="21"/>
      <c r="EIN51" s="21"/>
      <c r="EIO51" s="21"/>
      <c r="EIP51" s="21"/>
      <c r="EIQ51" s="21"/>
      <c r="EIR51" s="21"/>
      <c r="EIS51" s="21"/>
      <c r="EIT51" s="21"/>
      <c r="EIU51" s="21"/>
      <c r="EIV51" s="21"/>
      <c r="EIW51" s="21"/>
      <c r="EIX51" s="21"/>
      <c r="EIY51" s="21"/>
      <c r="EIZ51" s="21"/>
      <c r="EJA51" s="21"/>
      <c r="EJB51" s="21"/>
      <c r="EJC51" s="21"/>
      <c r="EJD51" s="21"/>
      <c r="EJE51" s="21"/>
      <c r="EJF51" s="21"/>
      <c r="EJG51" s="21"/>
      <c r="EJH51" s="21"/>
      <c r="EJI51" s="21"/>
      <c r="EJJ51" s="21"/>
      <c r="EJK51" s="21"/>
      <c r="EJL51" s="21"/>
      <c r="EJM51" s="21"/>
      <c r="EJN51" s="21"/>
      <c r="EJO51" s="21"/>
      <c r="EJP51" s="21"/>
      <c r="EJQ51" s="21"/>
      <c r="EJR51" s="21"/>
      <c r="EJS51" s="21"/>
      <c r="EJT51" s="21"/>
      <c r="EJU51" s="21"/>
      <c r="EJV51" s="21"/>
      <c r="EJW51" s="21"/>
      <c r="EJX51" s="21"/>
      <c r="EJY51" s="21"/>
      <c r="EJZ51" s="21"/>
      <c r="EKA51" s="21"/>
      <c r="EKB51" s="21"/>
      <c r="EKC51" s="21"/>
      <c r="EKD51" s="21"/>
      <c r="EKE51" s="21"/>
      <c r="EKF51" s="21"/>
      <c r="EKG51" s="21"/>
      <c r="EKH51" s="21"/>
      <c r="EKI51" s="21"/>
      <c r="EKJ51" s="21"/>
      <c r="EKK51" s="21"/>
      <c r="EKL51" s="21"/>
      <c r="EKM51" s="21"/>
      <c r="EKN51" s="21"/>
      <c r="EKO51" s="21"/>
      <c r="EKP51" s="21"/>
      <c r="EKQ51" s="21"/>
      <c r="EKR51" s="21"/>
      <c r="EKS51" s="21"/>
      <c r="EKT51" s="21"/>
      <c r="EKU51" s="21"/>
      <c r="EKV51" s="21"/>
      <c r="EKW51" s="21"/>
      <c r="EKX51" s="21"/>
      <c r="EKY51" s="21"/>
      <c r="EKZ51" s="21"/>
      <c r="ELA51" s="21"/>
      <c r="ELB51" s="21"/>
      <c r="ELC51" s="21"/>
      <c r="ELD51" s="21"/>
      <c r="ELE51" s="21"/>
      <c r="ELF51" s="21"/>
      <c r="ELG51" s="21"/>
      <c r="ELH51" s="21"/>
      <c r="ELI51" s="21"/>
      <c r="ELJ51" s="21"/>
      <c r="ELK51" s="21"/>
      <c r="ELL51" s="21"/>
      <c r="ELM51" s="21"/>
      <c r="ELN51" s="21"/>
      <c r="ELO51" s="21"/>
      <c r="ELP51" s="21"/>
      <c r="ELQ51" s="21"/>
      <c r="ELR51" s="21"/>
      <c r="ELS51" s="21"/>
      <c r="ELT51" s="21"/>
      <c r="ELU51" s="21"/>
      <c r="ELV51" s="21"/>
      <c r="ELW51" s="21"/>
      <c r="ELX51" s="21"/>
      <c r="ELY51" s="21"/>
      <c r="ELZ51" s="21"/>
      <c r="EMA51" s="21"/>
      <c r="EMB51" s="21"/>
      <c r="EMC51" s="21"/>
      <c r="EMD51" s="21"/>
      <c r="EME51" s="21"/>
      <c r="EMF51" s="21"/>
      <c r="EMG51" s="21"/>
      <c r="EMH51" s="21"/>
      <c r="EMI51" s="21"/>
      <c r="EMJ51" s="21"/>
      <c r="EMK51" s="21"/>
      <c r="EML51" s="21"/>
      <c r="EMM51" s="21"/>
      <c r="EMN51" s="21"/>
      <c r="EMO51" s="21"/>
      <c r="EMP51" s="21"/>
      <c r="EMQ51" s="21"/>
      <c r="EMR51" s="21"/>
      <c r="EMS51" s="21"/>
      <c r="EMT51" s="21"/>
      <c r="EMU51" s="21"/>
      <c r="EMV51" s="21"/>
      <c r="EMW51" s="21"/>
      <c r="EMX51" s="21"/>
      <c r="EMY51" s="21"/>
      <c r="EMZ51" s="21"/>
      <c r="ENA51" s="21"/>
      <c r="ENB51" s="21"/>
      <c r="ENC51" s="21"/>
      <c r="END51" s="21"/>
      <c r="ENE51" s="21"/>
      <c r="ENF51" s="21"/>
      <c r="ENG51" s="21"/>
      <c r="ENH51" s="21"/>
      <c r="ENI51" s="21"/>
      <c r="ENJ51" s="21"/>
      <c r="ENK51" s="21"/>
      <c r="ENL51" s="21"/>
      <c r="ENM51" s="21"/>
      <c r="ENN51" s="21"/>
      <c r="ENO51" s="21"/>
      <c r="ENP51" s="21"/>
      <c r="ENQ51" s="21"/>
      <c r="ENR51" s="21"/>
      <c r="ENS51" s="21"/>
      <c r="ENT51" s="21"/>
      <c r="ENU51" s="21"/>
      <c r="ENV51" s="21"/>
      <c r="ENW51" s="21"/>
      <c r="ENX51" s="21"/>
      <c r="ENY51" s="21"/>
      <c r="ENZ51" s="21"/>
      <c r="EOA51" s="21"/>
      <c r="EOB51" s="21"/>
      <c r="EOC51" s="21"/>
      <c r="EOD51" s="21"/>
      <c r="EOE51" s="21"/>
      <c r="EOF51" s="21"/>
      <c r="EOG51" s="21"/>
      <c r="EOH51" s="21"/>
      <c r="EOI51" s="21"/>
      <c r="EOJ51" s="21"/>
      <c r="EOK51" s="21"/>
      <c r="EOL51" s="21"/>
      <c r="EOM51" s="21"/>
      <c r="EON51" s="21"/>
      <c r="EOO51" s="21"/>
      <c r="EOP51" s="21"/>
      <c r="EOQ51" s="21"/>
      <c r="EOR51" s="21"/>
      <c r="EOS51" s="21"/>
      <c r="EOT51" s="21"/>
      <c r="EOU51" s="21"/>
      <c r="EOV51" s="21"/>
      <c r="EOW51" s="21"/>
      <c r="EOX51" s="21"/>
      <c r="EOY51" s="21"/>
      <c r="EOZ51" s="21"/>
      <c r="EPA51" s="21"/>
      <c r="EPB51" s="21"/>
      <c r="EPC51" s="21"/>
      <c r="EPD51" s="21"/>
      <c r="EPE51" s="21"/>
      <c r="EPF51" s="21"/>
      <c r="EPG51" s="21"/>
      <c r="EPH51" s="21"/>
      <c r="EPI51" s="21"/>
      <c r="EPJ51" s="21"/>
      <c r="EPK51" s="21"/>
      <c r="EPL51" s="21"/>
      <c r="EPM51" s="21"/>
      <c r="EPN51" s="21"/>
      <c r="EPO51" s="21"/>
      <c r="EPP51" s="21"/>
      <c r="EPQ51" s="21"/>
      <c r="EPR51" s="21"/>
      <c r="EPS51" s="21"/>
      <c r="EPT51" s="21"/>
      <c r="EPU51" s="21"/>
      <c r="EPV51" s="21"/>
      <c r="EPW51" s="21"/>
      <c r="EPX51" s="21"/>
      <c r="EPY51" s="21"/>
      <c r="EPZ51" s="21"/>
      <c r="EQA51" s="21"/>
      <c r="EQB51" s="21"/>
      <c r="EQC51" s="21"/>
      <c r="EQD51" s="21"/>
      <c r="EQE51" s="21"/>
      <c r="EQF51" s="21"/>
      <c r="EQG51" s="21"/>
      <c r="EQH51" s="21"/>
      <c r="EQI51" s="21"/>
      <c r="EQJ51" s="21"/>
      <c r="EQK51" s="21"/>
      <c r="EQL51" s="21"/>
      <c r="EQM51" s="21"/>
      <c r="EQN51" s="21"/>
      <c r="EQO51" s="21"/>
      <c r="EQP51" s="21"/>
      <c r="EQQ51" s="21"/>
      <c r="EQR51" s="21"/>
      <c r="EQS51" s="21"/>
      <c r="EQT51" s="21"/>
      <c r="EQU51" s="21"/>
      <c r="EQV51" s="21"/>
      <c r="EQW51" s="21"/>
      <c r="EQX51" s="21"/>
      <c r="EQY51" s="21"/>
      <c r="EQZ51" s="21"/>
      <c r="ERA51" s="21"/>
      <c r="ERB51" s="21"/>
      <c r="ERC51" s="21"/>
      <c r="ERD51" s="21"/>
      <c r="ERE51" s="21"/>
      <c r="ERF51" s="21"/>
      <c r="ERG51" s="21"/>
      <c r="ERH51" s="21"/>
      <c r="ERI51" s="21"/>
      <c r="ERJ51" s="21"/>
      <c r="ERK51" s="21"/>
      <c r="ERL51" s="21"/>
      <c r="ERM51" s="21"/>
      <c r="ERN51" s="21"/>
      <c r="ERO51" s="21"/>
      <c r="ERP51" s="21"/>
      <c r="ERQ51" s="21"/>
      <c r="ERR51" s="21"/>
      <c r="ERS51" s="21"/>
      <c r="ERT51" s="21"/>
      <c r="ERU51" s="21"/>
      <c r="ERV51" s="21"/>
      <c r="ERW51" s="21"/>
      <c r="ERX51" s="21"/>
      <c r="ERY51" s="21"/>
      <c r="ERZ51" s="21"/>
      <c r="ESA51" s="21"/>
      <c r="ESB51" s="21"/>
      <c r="ESC51" s="21"/>
      <c r="ESD51" s="21"/>
      <c r="ESE51" s="21"/>
      <c r="ESF51" s="21"/>
      <c r="ESG51" s="21"/>
      <c r="ESH51" s="21"/>
      <c r="ESI51" s="21"/>
      <c r="ESJ51" s="21"/>
      <c r="ESK51" s="21"/>
      <c r="ESL51" s="21"/>
      <c r="ESM51" s="21"/>
      <c r="ESN51" s="21"/>
      <c r="ESO51" s="21"/>
      <c r="ESP51" s="21"/>
      <c r="ESQ51" s="21"/>
      <c r="ESR51" s="21"/>
      <c r="ESS51" s="21"/>
      <c r="EST51" s="21"/>
      <c r="ESU51" s="21"/>
      <c r="ESV51" s="21"/>
      <c r="ESW51" s="21"/>
      <c r="ESX51" s="21"/>
      <c r="ESY51" s="21"/>
      <c r="ESZ51" s="21"/>
      <c r="ETA51" s="21"/>
      <c r="ETB51" s="21"/>
      <c r="ETC51" s="21"/>
      <c r="ETD51" s="21"/>
      <c r="ETE51" s="21"/>
      <c r="ETF51" s="21"/>
      <c r="ETG51" s="21"/>
      <c r="ETH51" s="21"/>
      <c r="ETI51" s="21"/>
      <c r="ETJ51" s="21"/>
      <c r="ETK51" s="21"/>
      <c r="ETL51" s="21"/>
      <c r="ETM51" s="21"/>
      <c r="ETN51" s="21"/>
      <c r="ETO51" s="21"/>
      <c r="ETP51" s="21"/>
      <c r="ETQ51" s="21"/>
      <c r="ETR51" s="21"/>
      <c r="ETS51" s="21"/>
      <c r="ETT51" s="21"/>
      <c r="ETU51" s="21"/>
      <c r="ETV51" s="21"/>
      <c r="ETW51" s="21"/>
      <c r="ETX51" s="21"/>
      <c r="ETY51" s="21"/>
      <c r="ETZ51" s="21"/>
      <c r="EUA51" s="21"/>
      <c r="EUB51" s="21"/>
      <c r="EUC51" s="21"/>
      <c r="EUD51" s="21"/>
      <c r="EUE51" s="21"/>
      <c r="EUF51" s="21"/>
      <c r="EUG51" s="21"/>
      <c r="EUH51" s="21"/>
      <c r="EUI51" s="21"/>
      <c r="EUJ51" s="21"/>
      <c r="EUK51" s="21"/>
      <c r="EUL51" s="21"/>
      <c r="EUM51" s="21"/>
      <c r="EUN51" s="21"/>
      <c r="EUO51" s="21"/>
      <c r="EUP51" s="21"/>
      <c r="EUQ51" s="21"/>
      <c r="EUR51" s="21"/>
      <c r="EUS51" s="21"/>
      <c r="EUT51" s="21"/>
      <c r="EUU51" s="21"/>
      <c r="EUV51" s="21"/>
      <c r="EUW51" s="21"/>
      <c r="EUX51" s="21"/>
      <c r="EUY51" s="21"/>
      <c r="EUZ51" s="21"/>
      <c r="EVA51" s="21"/>
      <c r="EVB51" s="21"/>
      <c r="EVC51" s="21"/>
      <c r="EVD51" s="21"/>
      <c r="EVE51" s="21"/>
      <c r="EVF51" s="21"/>
      <c r="EVG51" s="21"/>
      <c r="EVH51" s="21"/>
      <c r="EVI51" s="21"/>
      <c r="EVJ51" s="21"/>
      <c r="EVK51" s="21"/>
      <c r="EVL51" s="21"/>
      <c r="EVM51" s="21"/>
      <c r="EVN51" s="21"/>
      <c r="EVO51" s="21"/>
      <c r="EVP51" s="21"/>
      <c r="EVQ51" s="21"/>
      <c r="EVR51" s="21"/>
      <c r="EVS51" s="21"/>
      <c r="EVT51" s="21"/>
      <c r="EVU51" s="21"/>
      <c r="EVV51" s="21"/>
      <c r="EVW51" s="21"/>
      <c r="EVX51" s="21"/>
      <c r="EVY51" s="21"/>
      <c r="EVZ51" s="21"/>
      <c r="EWA51" s="21"/>
      <c r="EWB51" s="21"/>
      <c r="EWC51" s="21"/>
      <c r="EWD51" s="21"/>
      <c r="EWE51" s="21"/>
      <c r="EWF51" s="21"/>
      <c r="EWG51" s="21"/>
      <c r="EWH51" s="21"/>
      <c r="EWI51" s="21"/>
      <c r="EWJ51" s="21"/>
      <c r="EWK51" s="21"/>
      <c r="EWL51" s="21"/>
      <c r="EWM51" s="21"/>
      <c r="EWN51" s="21"/>
      <c r="EWO51" s="21"/>
      <c r="EWP51" s="21"/>
      <c r="EWQ51" s="21"/>
      <c r="EWR51" s="21"/>
      <c r="EWS51" s="21"/>
      <c r="EWT51" s="21"/>
      <c r="EWU51" s="21"/>
      <c r="EWV51" s="21"/>
      <c r="EWW51" s="21"/>
      <c r="EWX51" s="21"/>
      <c r="EWY51" s="21"/>
      <c r="EWZ51" s="21"/>
      <c r="EXA51" s="21"/>
      <c r="EXB51" s="21"/>
      <c r="EXC51" s="21"/>
      <c r="EXD51" s="21"/>
      <c r="EXE51" s="21"/>
      <c r="EXF51" s="21"/>
      <c r="EXG51" s="21"/>
      <c r="EXH51" s="21"/>
      <c r="EXI51" s="21"/>
      <c r="EXJ51" s="21"/>
      <c r="EXK51" s="21"/>
      <c r="EXL51" s="21"/>
      <c r="EXM51" s="21"/>
      <c r="EXN51" s="21"/>
      <c r="EXO51" s="21"/>
      <c r="EXP51" s="21"/>
      <c r="EXQ51" s="21"/>
      <c r="EXR51" s="21"/>
      <c r="EXS51" s="21"/>
      <c r="EXT51" s="21"/>
      <c r="EXU51" s="21"/>
      <c r="EXV51" s="21"/>
      <c r="EXW51" s="21"/>
      <c r="EXX51" s="21"/>
      <c r="EXY51" s="21"/>
      <c r="EXZ51" s="21"/>
      <c r="EYA51" s="21"/>
      <c r="EYB51" s="21"/>
      <c r="EYC51" s="21"/>
      <c r="EYD51" s="21"/>
      <c r="EYE51" s="21"/>
      <c r="EYF51" s="21"/>
      <c r="EYG51" s="21"/>
      <c r="EYH51" s="21"/>
      <c r="EYI51" s="21"/>
      <c r="EYJ51" s="21"/>
      <c r="EYK51" s="21"/>
      <c r="EYL51" s="21"/>
      <c r="EYM51" s="21"/>
      <c r="EYN51" s="21"/>
      <c r="EYO51" s="21"/>
      <c r="EYP51" s="21"/>
      <c r="EYQ51" s="21"/>
      <c r="EYR51" s="21"/>
      <c r="EYS51" s="21"/>
      <c r="EYT51" s="21"/>
      <c r="EYU51" s="21"/>
      <c r="EYV51" s="21"/>
      <c r="EYW51" s="21"/>
      <c r="EYX51" s="21"/>
      <c r="EYY51" s="21"/>
      <c r="EYZ51" s="21"/>
      <c r="EZA51" s="21"/>
      <c r="EZB51" s="21"/>
      <c r="EZC51" s="21"/>
      <c r="EZD51" s="21"/>
      <c r="EZE51" s="21"/>
      <c r="EZF51" s="21"/>
      <c r="EZG51" s="21"/>
      <c r="EZH51" s="21"/>
      <c r="EZI51" s="21"/>
      <c r="EZJ51" s="21"/>
      <c r="EZK51" s="21"/>
      <c r="EZL51" s="21"/>
      <c r="EZM51" s="21"/>
      <c r="EZN51" s="21"/>
      <c r="EZO51" s="21"/>
      <c r="EZP51" s="21"/>
      <c r="EZQ51" s="21"/>
      <c r="EZR51" s="21"/>
      <c r="EZS51" s="21"/>
      <c r="EZT51" s="21"/>
      <c r="EZU51" s="21"/>
      <c r="EZV51" s="21"/>
      <c r="EZW51" s="21"/>
      <c r="EZX51" s="21"/>
      <c r="EZY51" s="21"/>
      <c r="EZZ51" s="21"/>
      <c r="FAA51" s="21"/>
      <c r="FAB51" s="21"/>
      <c r="FAC51" s="21"/>
      <c r="FAD51" s="21"/>
      <c r="FAE51" s="21"/>
      <c r="FAF51" s="21"/>
      <c r="FAG51" s="21"/>
      <c r="FAH51" s="21"/>
      <c r="FAI51" s="21"/>
      <c r="FAJ51" s="21"/>
      <c r="FAK51" s="21"/>
      <c r="FAL51" s="21"/>
      <c r="FAM51" s="21"/>
      <c r="FAN51" s="21"/>
      <c r="FAO51" s="21"/>
      <c r="FAP51" s="21"/>
      <c r="FAQ51" s="21"/>
      <c r="FAR51" s="21"/>
      <c r="FAS51" s="21"/>
      <c r="FAT51" s="21"/>
      <c r="FAU51" s="21"/>
      <c r="FAV51" s="21"/>
      <c r="FAW51" s="21"/>
      <c r="FAX51" s="21"/>
      <c r="FAY51" s="21"/>
      <c r="FAZ51" s="21"/>
      <c r="FBA51" s="21"/>
      <c r="FBB51" s="21"/>
      <c r="FBC51" s="21"/>
      <c r="FBD51" s="21"/>
      <c r="FBE51" s="21"/>
      <c r="FBF51" s="21"/>
      <c r="FBG51" s="21"/>
      <c r="FBH51" s="21"/>
      <c r="FBI51" s="21"/>
      <c r="FBJ51" s="21"/>
      <c r="FBK51" s="21"/>
      <c r="FBL51" s="21"/>
      <c r="FBM51" s="21"/>
      <c r="FBN51" s="21"/>
      <c r="FBO51" s="21"/>
      <c r="FBP51" s="21"/>
      <c r="FBQ51" s="21"/>
      <c r="FBR51" s="21"/>
      <c r="FBS51" s="21"/>
      <c r="FBT51" s="21"/>
      <c r="FBU51" s="21"/>
      <c r="FBV51" s="21"/>
      <c r="FBW51" s="21"/>
      <c r="FBX51" s="21"/>
      <c r="FBY51" s="21"/>
      <c r="FBZ51" s="21"/>
      <c r="FCA51" s="21"/>
      <c r="FCB51" s="21"/>
      <c r="FCC51" s="21"/>
      <c r="FCD51" s="21"/>
      <c r="FCE51" s="21"/>
      <c r="FCF51" s="21"/>
      <c r="FCG51" s="21"/>
      <c r="FCH51" s="21"/>
      <c r="FCI51" s="21"/>
      <c r="FCJ51" s="21"/>
      <c r="FCK51" s="21"/>
      <c r="FCL51" s="21"/>
      <c r="FCM51" s="21"/>
      <c r="FCN51" s="21"/>
      <c r="FCO51" s="21"/>
      <c r="FCP51" s="21"/>
      <c r="FCQ51" s="21"/>
      <c r="FCR51" s="21"/>
      <c r="FCS51" s="21"/>
      <c r="FCT51" s="21"/>
      <c r="FCU51" s="21"/>
      <c r="FCV51" s="21"/>
      <c r="FCW51" s="21"/>
      <c r="FCX51" s="21"/>
      <c r="FCY51" s="21"/>
      <c r="FCZ51" s="21"/>
      <c r="FDA51" s="21"/>
      <c r="FDB51" s="21"/>
      <c r="FDC51" s="21"/>
      <c r="FDD51" s="21"/>
      <c r="FDE51" s="21"/>
      <c r="FDF51" s="21"/>
      <c r="FDG51" s="21"/>
      <c r="FDH51" s="21"/>
      <c r="FDI51" s="21"/>
      <c r="FDJ51" s="21"/>
      <c r="FDK51" s="21"/>
      <c r="FDL51" s="21"/>
      <c r="FDM51" s="21"/>
      <c r="FDN51" s="21"/>
      <c r="FDO51" s="21"/>
      <c r="FDP51" s="21"/>
      <c r="FDQ51" s="21"/>
      <c r="FDR51" s="21"/>
      <c r="FDS51" s="21"/>
      <c r="FDT51" s="21"/>
      <c r="FDU51" s="21"/>
      <c r="FDV51" s="21"/>
      <c r="FDW51" s="21"/>
      <c r="FDX51" s="21"/>
      <c r="FDY51" s="21"/>
      <c r="FDZ51" s="21"/>
      <c r="FEA51" s="21"/>
      <c r="FEB51" s="21"/>
      <c r="FEC51" s="21"/>
      <c r="FED51" s="21"/>
      <c r="FEE51" s="21"/>
      <c r="FEF51" s="21"/>
      <c r="FEG51" s="21"/>
      <c r="FEH51" s="21"/>
      <c r="FEI51" s="21"/>
      <c r="FEJ51" s="21"/>
      <c r="FEK51" s="21"/>
      <c r="FEL51" s="21"/>
      <c r="FEM51" s="21"/>
      <c r="FEN51" s="21"/>
      <c r="FEO51" s="21"/>
      <c r="FEP51" s="21"/>
      <c r="FEQ51" s="21"/>
      <c r="FER51" s="21"/>
      <c r="FES51" s="21"/>
      <c r="FET51" s="21"/>
      <c r="FEU51" s="21"/>
      <c r="FEV51" s="21"/>
      <c r="FEW51" s="21"/>
      <c r="FEX51" s="21"/>
      <c r="FEY51" s="21"/>
      <c r="FEZ51" s="21"/>
      <c r="FFA51" s="21"/>
      <c r="FFB51" s="21"/>
      <c r="FFC51" s="21"/>
      <c r="FFD51" s="21"/>
      <c r="FFE51" s="21"/>
      <c r="FFF51" s="21"/>
      <c r="FFG51" s="21"/>
      <c r="FFH51" s="21"/>
      <c r="FFI51" s="21"/>
      <c r="FFJ51" s="21"/>
      <c r="FFK51" s="21"/>
      <c r="FFL51" s="21"/>
      <c r="FFM51" s="21"/>
      <c r="FFN51" s="21"/>
      <c r="FFO51" s="21"/>
      <c r="FFP51" s="21"/>
      <c r="FFQ51" s="21"/>
      <c r="FFR51" s="21"/>
      <c r="FFS51" s="21"/>
      <c r="FFT51" s="21"/>
      <c r="FFU51" s="21"/>
      <c r="FFV51" s="21"/>
      <c r="FFW51" s="21"/>
      <c r="FFX51" s="21"/>
      <c r="FFY51" s="21"/>
      <c r="FFZ51" s="21"/>
      <c r="FGA51" s="21"/>
      <c r="FGB51" s="21"/>
      <c r="FGC51" s="21"/>
      <c r="FGD51" s="21"/>
      <c r="FGE51" s="21"/>
      <c r="FGF51" s="21"/>
      <c r="FGG51" s="21"/>
      <c r="FGH51" s="21"/>
      <c r="FGI51" s="21"/>
      <c r="FGJ51" s="21"/>
      <c r="FGK51" s="21"/>
      <c r="FGL51" s="21"/>
      <c r="FGM51" s="21"/>
      <c r="FGN51" s="21"/>
      <c r="FGO51" s="21"/>
      <c r="FGP51" s="21"/>
      <c r="FGQ51" s="21"/>
      <c r="FGR51" s="21"/>
      <c r="FGS51" s="21"/>
      <c r="FGT51" s="21"/>
      <c r="FGU51" s="21"/>
      <c r="FGV51" s="21"/>
      <c r="FGW51" s="21"/>
      <c r="FGX51" s="21"/>
      <c r="FGY51" s="21"/>
      <c r="FGZ51" s="21"/>
      <c r="FHA51" s="21"/>
      <c r="FHB51" s="21"/>
      <c r="FHC51" s="21"/>
      <c r="FHD51" s="21"/>
      <c r="FHE51" s="21"/>
      <c r="FHF51" s="21"/>
      <c r="FHG51" s="21"/>
      <c r="FHH51" s="21"/>
      <c r="FHI51" s="21"/>
      <c r="FHJ51" s="21"/>
      <c r="FHK51" s="21"/>
      <c r="FHL51" s="21"/>
      <c r="FHM51" s="21"/>
      <c r="FHN51" s="21"/>
      <c r="FHO51" s="21"/>
      <c r="FHP51" s="21"/>
      <c r="FHQ51" s="21"/>
      <c r="FHR51" s="21"/>
      <c r="FHS51" s="21"/>
      <c r="FHT51" s="21"/>
      <c r="FHU51" s="21"/>
      <c r="FHV51" s="21"/>
      <c r="FHW51" s="21"/>
      <c r="FHX51" s="21"/>
      <c r="FHY51" s="21"/>
      <c r="FHZ51" s="21"/>
      <c r="FIA51" s="21"/>
      <c r="FIB51" s="21"/>
      <c r="FIC51" s="21"/>
      <c r="FID51" s="21"/>
      <c r="FIE51" s="21"/>
      <c r="FIF51" s="21"/>
      <c r="FIG51" s="21"/>
      <c r="FIH51" s="21"/>
      <c r="FII51" s="21"/>
      <c r="FIJ51" s="21"/>
      <c r="FIK51" s="21"/>
      <c r="FIL51" s="21"/>
      <c r="FIM51" s="21"/>
      <c r="FIN51" s="21"/>
      <c r="FIO51" s="21"/>
      <c r="FIP51" s="21"/>
      <c r="FIQ51" s="21"/>
      <c r="FIR51" s="21"/>
      <c r="FIS51" s="21"/>
      <c r="FIT51" s="21"/>
      <c r="FIU51" s="21"/>
      <c r="FIV51" s="21"/>
      <c r="FIW51" s="21"/>
      <c r="FIX51" s="21"/>
      <c r="FIY51" s="21"/>
      <c r="FIZ51" s="21"/>
      <c r="FJA51" s="21"/>
      <c r="FJB51" s="21"/>
      <c r="FJC51" s="21"/>
      <c r="FJD51" s="21"/>
      <c r="FJE51" s="21"/>
      <c r="FJF51" s="21"/>
      <c r="FJG51" s="21"/>
      <c r="FJH51" s="21"/>
      <c r="FJI51" s="21"/>
      <c r="FJJ51" s="21"/>
      <c r="FJK51" s="21"/>
      <c r="FJL51" s="21"/>
      <c r="FJM51" s="21"/>
      <c r="FJN51" s="21"/>
      <c r="FJO51" s="21"/>
      <c r="FJP51" s="21"/>
      <c r="FJQ51" s="21"/>
      <c r="FJR51" s="21"/>
      <c r="FJS51" s="21"/>
      <c r="FJT51" s="21"/>
      <c r="FJU51" s="21"/>
      <c r="FJV51" s="21"/>
      <c r="FJW51" s="21"/>
      <c r="FJX51" s="21"/>
      <c r="FJY51" s="21"/>
      <c r="FJZ51" s="21"/>
      <c r="FKA51" s="21"/>
      <c r="FKB51" s="21"/>
      <c r="FKC51" s="21"/>
      <c r="FKD51" s="21"/>
      <c r="FKE51" s="21"/>
      <c r="FKF51" s="21"/>
      <c r="FKG51" s="21"/>
      <c r="FKH51" s="21"/>
      <c r="FKI51" s="21"/>
      <c r="FKJ51" s="21"/>
      <c r="FKK51" s="21"/>
      <c r="FKL51" s="21"/>
      <c r="FKM51" s="21"/>
      <c r="FKN51" s="21"/>
      <c r="FKO51" s="21"/>
      <c r="FKP51" s="21"/>
      <c r="FKQ51" s="21"/>
      <c r="FKR51" s="21"/>
      <c r="FKS51" s="21"/>
      <c r="FKT51" s="21"/>
      <c r="FKU51" s="21"/>
      <c r="FKV51" s="21"/>
      <c r="FKW51" s="21"/>
      <c r="FKX51" s="21"/>
      <c r="FKY51" s="21"/>
      <c r="FKZ51" s="21"/>
      <c r="FLA51" s="21"/>
      <c r="FLB51" s="21"/>
      <c r="FLC51" s="21"/>
      <c r="FLD51" s="21"/>
      <c r="FLE51" s="21"/>
      <c r="FLF51" s="21"/>
      <c r="FLG51" s="21"/>
      <c r="FLH51" s="21"/>
      <c r="FLI51" s="21"/>
      <c r="FLJ51" s="21"/>
      <c r="FLK51" s="21"/>
      <c r="FLL51" s="21"/>
      <c r="FLM51" s="21"/>
      <c r="FLN51" s="21"/>
      <c r="FLO51" s="21"/>
      <c r="FLP51" s="21"/>
      <c r="FLQ51" s="21"/>
      <c r="FLR51" s="21"/>
      <c r="FLS51" s="21"/>
      <c r="FLT51" s="21"/>
      <c r="FLU51" s="21"/>
      <c r="FLV51" s="21"/>
      <c r="FLW51" s="21"/>
      <c r="FLX51" s="21"/>
      <c r="FLY51" s="21"/>
      <c r="FLZ51" s="21"/>
      <c r="FMA51" s="21"/>
      <c r="FMB51" s="21"/>
      <c r="FMC51" s="21"/>
      <c r="FMD51" s="21"/>
      <c r="FME51" s="21"/>
      <c r="FMF51" s="21"/>
      <c r="FMG51" s="21"/>
      <c r="FMH51" s="21"/>
      <c r="FMI51" s="21"/>
      <c r="FMJ51" s="21"/>
      <c r="FMK51" s="21"/>
      <c r="FML51" s="21"/>
      <c r="FMM51" s="21"/>
      <c r="FMN51" s="21"/>
      <c r="FMO51" s="21"/>
      <c r="FMP51" s="21"/>
      <c r="FMQ51" s="21"/>
      <c r="FMR51" s="21"/>
      <c r="FMS51" s="21"/>
      <c r="FMT51" s="21"/>
      <c r="FMU51" s="21"/>
      <c r="FMV51" s="21"/>
      <c r="FMW51" s="21"/>
      <c r="FMX51" s="21"/>
      <c r="FMY51" s="21"/>
      <c r="FMZ51" s="21"/>
      <c r="FNA51" s="21"/>
      <c r="FNB51" s="21"/>
      <c r="FNC51" s="21"/>
      <c r="FND51" s="21"/>
      <c r="FNE51" s="21"/>
      <c r="FNF51" s="21"/>
      <c r="FNG51" s="21"/>
      <c r="FNH51" s="21"/>
      <c r="FNI51" s="21"/>
      <c r="FNJ51" s="21"/>
      <c r="FNK51" s="21"/>
      <c r="FNL51" s="21"/>
      <c r="FNM51" s="21"/>
      <c r="FNN51" s="21"/>
      <c r="FNO51" s="21"/>
      <c r="FNP51" s="21"/>
      <c r="FNQ51" s="21"/>
      <c r="FNR51" s="21"/>
      <c r="FNS51" s="21"/>
      <c r="FNT51" s="21"/>
      <c r="FNU51" s="21"/>
      <c r="FNV51" s="21"/>
      <c r="FNW51" s="21"/>
      <c r="FNX51" s="21"/>
      <c r="FNY51" s="21"/>
      <c r="FNZ51" s="21"/>
      <c r="FOA51" s="21"/>
      <c r="FOB51" s="21"/>
      <c r="FOC51" s="21"/>
      <c r="FOD51" s="21"/>
      <c r="FOE51" s="21"/>
      <c r="FOF51" s="21"/>
      <c r="FOG51" s="21"/>
      <c r="FOH51" s="21"/>
      <c r="FOI51" s="21"/>
      <c r="FOJ51" s="21"/>
      <c r="FOK51" s="21"/>
      <c r="FOL51" s="21"/>
      <c r="FOM51" s="21"/>
      <c r="FON51" s="21"/>
      <c r="FOO51" s="21"/>
      <c r="FOP51" s="21"/>
      <c r="FOQ51" s="21"/>
      <c r="FOR51" s="21"/>
      <c r="FOS51" s="21"/>
      <c r="FOT51" s="21"/>
      <c r="FOU51" s="21"/>
      <c r="FOV51" s="21"/>
      <c r="FOW51" s="21"/>
      <c r="FOX51" s="21"/>
      <c r="FOY51" s="21"/>
      <c r="FOZ51" s="21"/>
      <c r="FPA51" s="21"/>
      <c r="FPB51" s="21"/>
      <c r="FPC51" s="21"/>
      <c r="FPD51" s="21"/>
      <c r="FPE51" s="21"/>
      <c r="FPF51" s="21"/>
      <c r="FPG51" s="21"/>
      <c r="FPH51" s="21"/>
      <c r="FPI51" s="21"/>
      <c r="FPJ51" s="21"/>
      <c r="FPK51" s="21"/>
      <c r="FPL51" s="21"/>
      <c r="FPM51" s="21"/>
      <c r="FPN51" s="21"/>
      <c r="FPO51" s="21"/>
      <c r="FPP51" s="21"/>
      <c r="FPQ51" s="21"/>
      <c r="FPR51" s="21"/>
      <c r="FPS51" s="21"/>
      <c r="FPT51" s="21"/>
      <c r="FPU51" s="21"/>
      <c r="FPV51" s="21"/>
      <c r="FPW51" s="21"/>
      <c r="FPX51" s="21"/>
      <c r="FPY51" s="21"/>
      <c r="FPZ51" s="21"/>
      <c r="FQA51" s="21"/>
      <c r="FQB51" s="21"/>
      <c r="FQC51" s="21"/>
      <c r="FQD51" s="21"/>
      <c r="FQE51" s="21"/>
      <c r="FQF51" s="21"/>
      <c r="FQG51" s="21"/>
      <c r="FQH51" s="21"/>
      <c r="FQI51" s="21"/>
      <c r="FQJ51" s="21"/>
      <c r="FQK51" s="21"/>
      <c r="FQL51" s="21"/>
      <c r="FQM51" s="21"/>
      <c r="FQN51" s="21"/>
      <c r="FQO51" s="21"/>
      <c r="FQP51" s="21"/>
      <c r="FQQ51" s="21"/>
      <c r="FQR51" s="21"/>
      <c r="FQS51" s="21"/>
      <c r="FQT51" s="21"/>
      <c r="FQU51" s="21"/>
      <c r="FQV51" s="21"/>
      <c r="FQW51" s="21"/>
      <c r="FQX51" s="21"/>
      <c r="FQY51" s="21"/>
      <c r="FQZ51" s="21"/>
      <c r="FRA51" s="21"/>
      <c r="FRB51" s="21"/>
      <c r="FRC51" s="21"/>
      <c r="FRD51" s="21"/>
      <c r="FRE51" s="21"/>
      <c r="FRF51" s="21"/>
      <c r="FRG51" s="21"/>
      <c r="FRH51" s="21"/>
      <c r="FRI51" s="21"/>
      <c r="FRJ51" s="21"/>
      <c r="FRK51" s="21"/>
      <c r="FRL51" s="21"/>
      <c r="FRM51" s="21"/>
      <c r="FRN51" s="21"/>
      <c r="FRO51" s="21"/>
      <c r="FRP51" s="21"/>
      <c r="FRQ51" s="21"/>
      <c r="FRR51" s="21"/>
      <c r="FRS51" s="21"/>
      <c r="FRT51" s="21"/>
      <c r="FRU51" s="21"/>
      <c r="FRV51" s="21"/>
      <c r="FRW51" s="21"/>
      <c r="FRX51" s="21"/>
      <c r="FRY51" s="21"/>
      <c r="FRZ51" s="21"/>
      <c r="FSA51" s="21"/>
      <c r="FSB51" s="21"/>
      <c r="FSC51" s="21"/>
      <c r="FSD51" s="21"/>
      <c r="FSE51" s="21"/>
      <c r="FSF51" s="21"/>
      <c r="FSG51" s="21"/>
      <c r="FSH51" s="21"/>
      <c r="FSI51" s="21"/>
      <c r="FSJ51" s="21"/>
      <c r="FSK51" s="21"/>
      <c r="FSL51" s="21"/>
      <c r="FSM51" s="21"/>
      <c r="FSN51" s="21"/>
      <c r="FSO51" s="21"/>
      <c r="FSP51" s="21"/>
      <c r="FSQ51" s="21"/>
      <c r="FSR51" s="21"/>
      <c r="FSS51" s="21"/>
      <c r="FST51" s="21"/>
      <c r="FSU51" s="21"/>
      <c r="FSV51" s="21"/>
      <c r="FSW51" s="21"/>
      <c r="FSX51" s="21"/>
      <c r="FSY51" s="21"/>
      <c r="FSZ51" s="21"/>
      <c r="FTA51" s="21"/>
      <c r="FTB51" s="21"/>
      <c r="FTC51" s="21"/>
      <c r="FTD51" s="21"/>
      <c r="FTE51" s="21"/>
      <c r="FTF51" s="21"/>
      <c r="FTG51" s="21"/>
      <c r="FTH51" s="21"/>
      <c r="FTI51" s="21"/>
      <c r="FTJ51" s="21"/>
      <c r="FTK51" s="21"/>
      <c r="FTL51" s="21"/>
      <c r="FTM51" s="21"/>
      <c r="FTN51" s="21"/>
      <c r="FTO51" s="21"/>
      <c r="FTP51" s="21"/>
      <c r="FTQ51" s="21"/>
      <c r="FTR51" s="21"/>
      <c r="FTS51" s="21"/>
      <c r="FTT51" s="21"/>
      <c r="FTU51" s="21"/>
      <c r="FTV51" s="21"/>
      <c r="FTW51" s="21"/>
      <c r="FTX51" s="21"/>
      <c r="FTY51" s="21"/>
      <c r="FTZ51" s="21"/>
      <c r="FUA51" s="21"/>
      <c r="FUB51" s="21"/>
      <c r="FUC51" s="21"/>
      <c r="FUD51" s="21"/>
      <c r="FUE51" s="21"/>
      <c r="FUF51" s="21"/>
      <c r="FUG51" s="21"/>
      <c r="FUH51" s="21"/>
      <c r="FUI51" s="21"/>
      <c r="FUJ51" s="21"/>
      <c r="FUK51" s="21"/>
      <c r="FUL51" s="21"/>
      <c r="FUM51" s="21"/>
      <c r="FUN51" s="21"/>
      <c r="FUO51" s="21"/>
      <c r="FUP51" s="21"/>
      <c r="FUQ51" s="21"/>
      <c r="FUR51" s="21"/>
      <c r="FUS51" s="21"/>
      <c r="FUT51" s="21"/>
      <c r="FUU51" s="21"/>
      <c r="FUV51" s="21"/>
      <c r="FUW51" s="21"/>
      <c r="FUX51" s="21"/>
      <c r="FUY51" s="21"/>
      <c r="FUZ51" s="21"/>
      <c r="FVA51" s="21"/>
      <c r="FVB51" s="21"/>
      <c r="FVC51" s="21"/>
      <c r="FVD51" s="21"/>
      <c r="FVE51" s="21"/>
      <c r="FVF51" s="21"/>
      <c r="FVG51" s="21"/>
      <c r="FVH51" s="21"/>
      <c r="FVI51" s="21"/>
      <c r="FVJ51" s="21"/>
      <c r="FVK51" s="21"/>
      <c r="FVL51" s="21"/>
      <c r="FVM51" s="21"/>
      <c r="FVN51" s="21"/>
      <c r="FVO51" s="21"/>
      <c r="FVP51" s="21"/>
      <c r="FVQ51" s="21"/>
      <c r="FVR51" s="21"/>
      <c r="FVS51" s="21"/>
      <c r="FVT51" s="21"/>
      <c r="FVU51" s="21"/>
      <c r="FVV51" s="21"/>
      <c r="FVW51" s="21"/>
      <c r="FVX51" s="21"/>
      <c r="FVY51" s="21"/>
      <c r="FVZ51" s="21"/>
      <c r="FWA51" s="21"/>
      <c r="FWB51" s="21"/>
      <c r="FWC51" s="21"/>
      <c r="FWD51" s="21"/>
      <c r="FWE51" s="21"/>
      <c r="FWF51" s="21"/>
      <c r="FWG51" s="21"/>
      <c r="FWH51" s="21"/>
      <c r="FWI51" s="21"/>
      <c r="FWJ51" s="21"/>
      <c r="FWK51" s="21"/>
      <c r="FWL51" s="21"/>
      <c r="FWM51" s="21"/>
      <c r="FWN51" s="21"/>
      <c r="FWO51" s="21"/>
      <c r="FWP51" s="21"/>
      <c r="FWQ51" s="21"/>
      <c r="FWR51" s="21"/>
      <c r="FWS51" s="21"/>
      <c r="FWT51" s="21"/>
      <c r="FWU51" s="21"/>
      <c r="FWV51" s="21"/>
      <c r="FWW51" s="21"/>
      <c r="FWX51" s="21"/>
      <c r="FWY51" s="21"/>
      <c r="FWZ51" s="21"/>
      <c r="FXA51" s="21"/>
      <c r="FXB51" s="21"/>
      <c r="FXC51" s="21"/>
      <c r="FXD51" s="21"/>
      <c r="FXE51" s="21"/>
      <c r="FXF51" s="21"/>
      <c r="FXG51" s="21"/>
      <c r="FXH51" s="21"/>
      <c r="FXI51" s="21"/>
      <c r="FXJ51" s="21"/>
      <c r="FXK51" s="21"/>
      <c r="FXL51" s="21"/>
      <c r="FXM51" s="21"/>
      <c r="FXN51" s="21"/>
      <c r="FXO51" s="21"/>
      <c r="FXP51" s="21"/>
      <c r="FXQ51" s="21"/>
      <c r="FXR51" s="21"/>
      <c r="FXS51" s="21"/>
      <c r="FXT51" s="21"/>
      <c r="FXU51" s="21"/>
      <c r="FXV51" s="21"/>
      <c r="FXW51" s="21"/>
      <c r="FXX51" s="21"/>
      <c r="FXY51" s="21"/>
      <c r="FXZ51" s="21"/>
      <c r="FYA51" s="21"/>
      <c r="FYB51" s="21"/>
      <c r="FYC51" s="21"/>
      <c r="FYD51" s="21"/>
      <c r="FYE51" s="21"/>
      <c r="FYF51" s="21"/>
      <c r="FYG51" s="21"/>
      <c r="FYH51" s="21"/>
      <c r="FYI51" s="21"/>
      <c r="FYJ51" s="21"/>
      <c r="FYK51" s="21"/>
      <c r="FYL51" s="21"/>
      <c r="FYM51" s="21"/>
      <c r="FYN51" s="21"/>
      <c r="FYO51" s="21"/>
      <c r="FYP51" s="21"/>
      <c r="FYQ51" s="21"/>
      <c r="FYR51" s="21"/>
      <c r="FYS51" s="21"/>
      <c r="FYT51" s="21"/>
      <c r="FYU51" s="21"/>
      <c r="FYV51" s="21"/>
      <c r="FYW51" s="21"/>
      <c r="FYX51" s="21"/>
      <c r="FYY51" s="21"/>
      <c r="FYZ51" s="21"/>
      <c r="FZA51" s="21"/>
      <c r="FZB51" s="21"/>
      <c r="FZC51" s="21"/>
      <c r="FZD51" s="21"/>
      <c r="FZE51" s="21"/>
      <c r="FZF51" s="21"/>
      <c r="FZG51" s="21"/>
      <c r="FZH51" s="21"/>
      <c r="FZI51" s="21"/>
      <c r="FZJ51" s="21"/>
      <c r="FZK51" s="21"/>
      <c r="FZL51" s="21"/>
      <c r="FZM51" s="21"/>
      <c r="FZN51" s="21"/>
      <c r="FZO51" s="21"/>
      <c r="FZP51" s="21"/>
      <c r="FZQ51" s="21"/>
      <c r="FZR51" s="21"/>
      <c r="FZS51" s="21"/>
      <c r="FZT51" s="21"/>
      <c r="FZU51" s="21"/>
      <c r="FZV51" s="21"/>
      <c r="FZW51" s="21"/>
      <c r="FZX51" s="21"/>
      <c r="FZY51" s="21"/>
      <c r="FZZ51" s="21"/>
      <c r="GAA51" s="21"/>
      <c r="GAB51" s="21"/>
      <c r="GAC51" s="21"/>
      <c r="GAD51" s="21"/>
      <c r="GAE51" s="21"/>
      <c r="GAF51" s="21"/>
      <c r="GAG51" s="21"/>
      <c r="GAH51" s="21"/>
      <c r="GAI51" s="21"/>
      <c r="GAJ51" s="21"/>
      <c r="GAK51" s="21"/>
      <c r="GAL51" s="21"/>
      <c r="GAM51" s="21"/>
      <c r="GAN51" s="21"/>
      <c r="GAO51" s="21"/>
      <c r="GAP51" s="21"/>
      <c r="GAQ51" s="21"/>
      <c r="GAR51" s="21"/>
      <c r="GAS51" s="21"/>
      <c r="GAT51" s="21"/>
      <c r="GAU51" s="21"/>
      <c r="GAV51" s="21"/>
      <c r="GAW51" s="21"/>
      <c r="GAX51" s="21"/>
      <c r="GAY51" s="21"/>
      <c r="GAZ51" s="21"/>
      <c r="GBA51" s="21"/>
      <c r="GBB51" s="21"/>
      <c r="GBC51" s="21"/>
      <c r="GBD51" s="21"/>
      <c r="GBE51" s="21"/>
      <c r="GBF51" s="21"/>
      <c r="GBG51" s="21"/>
      <c r="GBH51" s="21"/>
      <c r="GBI51" s="21"/>
      <c r="GBJ51" s="21"/>
      <c r="GBK51" s="21"/>
      <c r="GBL51" s="21"/>
      <c r="GBM51" s="21"/>
      <c r="GBN51" s="21"/>
      <c r="GBO51" s="21"/>
      <c r="GBP51" s="21"/>
      <c r="GBQ51" s="21"/>
      <c r="GBR51" s="21"/>
      <c r="GBS51" s="21"/>
      <c r="GBT51" s="21"/>
      <c r="GBU51" s="21"/>
      <c r="GBV51" s="21"/>
      <c r="GBW51" s="21"/>
      <c r="GBX51" s="21"/>
      <c r="GBY51" s="21"/>
      <c r="GBZ51" s="21"/>
      <c r="GCA51" s="21"/>
      <c r="GCB51" s="21"/>
      <c r="GCC51" s="21"/>
      <c r="GCD51" s="21"/>
      <c r="GCE51" s="21"/>
      <c r="GCF51" s="21"/>
      <c r="GCG51" s="21"/>
      <c r="GCH51" s="21"/>
      <c r="GCI51" s="21"/>
      <c r="GCJ51" s="21"/>
      <c r="GCK51" s="21"/>
      <c r="GCL51" s="21"/>
      <c r="GCM51" s="21"/>
      <c r="GCN51" s="21"/>
      <c r="GCO51" s="21"/>
      <c r="GCP51" s="21"/>
      <c r="GCQ51" s="21"/>
      <c r="GCR51" s="21"/>
      <c r="GCS51" s="21"/>
      <c r="GCT51" s="21"/>
      <c r="GCU51" s="21"/>
      <c r="GCV51" s="21"/>
      <c r="GCW51" s="21"/>
      <c r="GCX51" s="21"/>
      <c r="GCY51" s="21"/>
      <c r="GCZ51" s="21"/>
      <c r="GDA51" s="21"/>
      <c r="GDB51" s="21"/>
      <c r="GDC51" s="21"/>
      <c r="GDD51" s="21"/>
      <c r="GDE51" s="21"/>
      <c r="GDF51" s="21"/>
      <c r="GDG51" s="21"/>
      <c r="GDH51" s="21"/>
      <c r="GDI51" s="21"/>
      <c r="GDJ51" s="21"/>
      <c r="GDK51" s="21"/>
      <c r="GDL51" s="21"/>
      <c r="GDM51" s="21"/>
      <c r="GDN51" s="21"/>
      <c r="GDO51" s="21"/>
      <c r="GDP51" s="21"/>
      <c r="GDQ51" s="21"/>
      <c r="GDR51" s="21"/>
      <c r="GDS51" s="21"/>
      <c r="GDT51" s="21"/>
      <c r="GDU51" s="21"/>
      <c r="GDV51" s="21"/>
      <c r="GDW51" s="21"/>
      <c r="GDX51" s="21"/>
      <c r="GDY51" s="21"/>
      <c r="GDZ51" s="21"/>
      <c r="GEA51" s="21"/>
      <c r="GEB51" s="21"/>
      <c r="GEC51" s="21"/>
      <c r="GED51" s="21"/>
      <c r="GEE51" s="21"/>
      <c r="GEF51" s="21"/>
      <c r="GEG51" s="21"/>
      <c r="GEH51" s="21"/>
      <c r="GEI51" s="21"/>
      <c r="GEJ51" s="21"/>
      <c r="GEK51" s="21"/>
      <c r="GEL51" s="21"/>
      <c r="GEM51" s="21"/>
      <c r="GEN51" s="21"/>
      <c r="GEO51" s="21"/>
      <c r="GEP51" s="21"/>
      <c r="GEQ51" s="21"/>
      <c r="GER51" s="21"/>
      <c r="GES51" s="21"/>
      <c r="GET51" s="21"/>
      <c r="GEU51" s="21"/>
      <c r="GEV51" s="21"/>
      <c r="GEW51" s="21"/>
      <c r="GEX51" s="21"/>
      <c r="GEY51" s="21"/>
      <c r="GEZ51" s="21"/>
      <c r="GFA51" s="21"/>
      <c r="GFB51" s="21"/>
      <c r="GFC51" s="21"/>
      <c r="GFD51" s="21"/>
      <c r="GFE51" s="21"/>
      <c r="GFF51" s="21"/>
      <c r="GFG51" s="21"/>
      <c r="GFH51" s="21"/>
      <c r="GFI51" s="21"/>
      <c r="GFJ51" s="21"/>
      <c r="GFK51" s="21"/>
      <c r="GFL51" s="21"/>
      <c r="GFM51" s="21"/>
      <c r="GFN51" s="21"/>
      <c r="GFO51" s="21"/>
      <c r="GFP51" s="21"/>
      <c r="GFQ51" s="21"/>
      <c r="GFR51" s="21"/>
      <c r="GFS51" s="21"/>
      <c r="GFT51" s="21"/>
      <c r="GFU51" s="21"/>
      <c r="GFV51" s="21"/>
      <c r="GFW51" s="21"/>
      <c r="GFX51" s="21"/>
      <c r="GFY51" s="21"/>
      <c r="GFZ51" s="21"/>
      <c r="GGA51" s="21"/>
      <c r="GGB51" s="21"/>
      <c r="GGC51" s="21"/>
      <c r="GGD51" s="21"/>
      <c r="GGE51" s="21"/>
      <c r="GGF51" s="21"/>
      <c r="GGG51" s="21"/>
      <c r="GGH51" s="21"/>
      <c r="GGI51" s="21"/>
      <c r="GGJ51" s="21"/>
      <c r="GGK51" s="21"/>
      <c r="GGL51" s="21"/>
      <c r="GGM51" s="21"/>
      <c r="GGN51" s="21"/>
      <c r="GGO51" s="21"/>
      <c r="GGP51" s="21"/>
      <c r="GGQ51" s="21"/>
      <c r="GGR51" s="21"/>
      <c r="GGS51" s="21"/>
      <c r="GGT51" s="21"/>
      <c r="GGU51" s="21"/>
      <c r="GGV51" s="21"/>
      <c r="GGW51" s="21"/>
      <c r="GGX51" s="21"/>
      <c r="GGY51" s="21"/>
      <c r="GGZ51" s="21"/>
      <c r="GHA51" s="21"/>
      <c r="GHB51" s="21"/>
      <c r="GHC51" s="21"/>
      <c r="GHD51" s="21"/>
      <c r="GHE51" s="21"/>
      <c r="GHF51" s="21"/>
      <c r="GHG51" s="21"/>
      <c r="GHH51" s="21"/>
      <c r="GHI51" s="21"/>
      <c r="GHJ51" s="21"/>
      <c r="GHK51" s="21"/>
      <c r="GHL51" s="21"/>
      <c r="GHM51" s="21"/>
      <c r="GHN51" s="21"/>
      <c r="GHO51" s="21"/>
      <c r="GHP51" s="21"/>
      <c r="GHQ51" s="21"/>
      <c r="GHR51" s="21"/>
      <c r="GHS51" s="21"/>
      <c r="GHT51" s="21"/>
      <c r="GHU51" s="21"/>
      <c r="GHV51" s="21"/>
      <c r="GHW51" s="21"/>
      <c r="GHX51" s="21"/>
      <c r="GHY51" s="21"/>
      <c r="GHZ51" s="21"/>
      <c r="GIA51" s="21"/>
      <c r="GIB51" s="21"/>
      <c r="GIC51" s="21"/>
      <c r="GID51" s="21"/>
      <c r="GIE51" s="21"/>
      <c r="GIF51" s="21"/>
      <c r="GIG51" s="21"/>
      <c r="GIH51" s="21"/>
      <c r="GII51" s="21"/>
      <c r="GIJ51" s="21"/>
      <c r="GIK51" s="21"/>
      <c r="GIL51" s="21"/>
      <c r="GIM51" s="21"/>
      <c r="GIN51" s="21"/>
      <c r="GIO51" s="21"/>
      <c r="GIP51" s="21"/>
      <c r="GIQ51" s="21"/>
      <c r="GIR51" s="21"/>
      <c r="GIS51" s="21"/>
      <c r="GIT51" s="21"/>
      <c r="GIU51" s="21"/>
      <c r="GIV51" s="21"/>
      <c r="GIW51" s="21"/>
      <c r="GIX51" s="21"/>
      <c r="GIY51" s="21"/>
      <c r="GIZ51" s="21"/>
      <c r="GJA51" s="21"/>
      <c r="GJB51" s="21"/>
      <c r="GJC51" s="21"/>
      <c r="GJD51" s="21"/>
      <c r="GJE51" s="21"/>
      <c r="GJF51" s="21"/>
      <c r="GJG51" s="21"/>
      <c r="GJH51" s="21"/>
      <c r="GJI51" s="21"/>
      <c r="GJJ51" s="21"/>
      <c r="GJK51" s="21"/>
      <c r="GJL51" s="21"/>
      <c r="GJM51" s="21"/>
      <c r="GJN51" s="21"/>
      <c r="GJO51" s="21"/>
      <c r="GJP51" s="21"/>
      <c r="GJQ51" s="21"/>
      <c r="GJR51" s="21"/>
      <c r="GJS51" s="21"/>
      <c r="GJT51" s="21"/>
      <c r="GJU51" s="21"/>
      <c r="GJV51" s="21"/>
      <c r="GJW51" s="21"/>
      <c r="GJX51" s="21"/>
      <c r="GJY51" s="21"/>
      <c r="GJZ51" s="21"/>
      <c r="GKA51" s="21"/>
      <c r="GKB51" s="21"/>
      <c r="GKC51" s="21"/>
      <c r="GKD51" s="21"/>
      <c r="GKE51" s="21"/>
      <c r="GKF51" s="21"/>
      <c r="GKG51" s="21"/>
      <c r="GKH51" s="21"/>
      <c r="GKI51" s="21"/>
      <c r="GKJ51" s="21"/>
      <c r="GKK51" s="21"/>
      <c r="GKL51" s="21"/>
      <c r="GKM51" s="21"/>
      <c r="GKN51" s="21"/>
      <c r="GKO51" s="21"/>
      <c r="GKP51" s="21"/>
      <c r="GKQ51" s="21"/>
      <c r="GKR51" s="21"/>
      <c r="GKS51" s="21"/>
      <c r="GKT51" s="21"/>
      <c r="GKU51" s="21"/>
      <c r="GKV51" s="21"/>
      <c r="GKW51" s="21"/>
      <c r="GKX51" s="21"/>
      <c r="GKY51" s="21"/>
      <c r="GKZ51" s="21"/>
      <c r="GLA51" s="21"/>
      <c r="GLB51" s="21"/>
      <c r="GLC51" s="21"/>
      <c r="GLD51" s="21"/>
      <c r="GLE51" s="21"/>
      <c r="GLF51" s="21"/>
      <c r="GLG51" s="21"/>
      <c r="GLH51" s="21"/>
      <c r="GLI51" s="21"/>
      <c r="GLJ51" s="21"/>
      <c r="GLK51" s="21"/>
      <c r="GLL51" s="21"/>
      <c r="GLM51" s="21"/>
      <c r="GLN51" s="21"/>
      <c r="GLO51" s="21"/>
      <c r="GLP51" s="21"/>
      <c r="GLQ51" s="21"/>
      <c r="GLR51" s="21"/>
      <c r="GLS51" s="21"/>
      <c r="GLT51" s="21"/>
      <c r="GLU51" s="21"/>
      <c r="GLV51" s="21"/>
      <c r="GLW51" s="21"/>
      <c r="GLX51" s="21"/>
      <c r="GLY51" s="21"/>
      <c r="GLZ51" s="21"/>
      <c r="GMA51" s="21"/>
      <c r="GMB51" s="21"/>
      <c r="GMC51" s="21"/>
      <c r="GMD51" s="21"/>
      <c r="GME51" s="21"/>
      <c r="GMF51" s="21"/>
      <c r="GMG51" s="21"/>
      <c r="GMH51" s="21"/>
      <c r="GMI51" s="21"/>
      <c r="GMJ51" s="21"/>
      <c r="GMK51" s="21"/>
      <c r="GML51" s="21"/>
      <c r="GMM51" s="21"/>
      <c r="GMN51" s="21"/>
      <c r="GMO51" s="21"/>
      <c r="GMP51" s="21"/>
      <c r="GMQ51" s="21"/>
      <c r="GMR51" s="21"/>
      <c r="GMS51" s="21"/>
      <c r="GMT51" s="21"/>
      <c r="GMU51" s="21"/>
      <c r="GMV51" s="21"/>
      <c r="GMW51" s="21"/>
      <c r="GMX51" s="21"/>
      <c r="GMY51" s="21"/>
      <c r="GMZ51" s="21"/>
      <c r="GNA51" s="21"/>
      <c r="GNB51" s="21"/>
      <c r="GNC51" s="21"/>
      <c r="GND51" s="21"/>
      <c r="GNE51" s="21"/>
      <c r="GNF51" s="21"/>
      <c r="GNG51" s="21"/>
      <c r="GNH51" s="21"/>
      <c r="GNI51" s="21"/>
      <c r="GNJ51" s="21"/>
      <c r="GNK51" s="21"/>
      <c r="GNL51" s="21"/>
      <c r="GNM51" s="21"/>
      <c r="GNN51" s="21"/>
      <c r="GNO51" s="21"/>
      <c r="GNP51" s="21"/>
      <c r="GNQ51" s="21"/>
      <c r="GNR51" s="21"/>
      <c r="GNS51" s="21"/>
      <c r="GNT51" s="21"/>
      <c r="GNU51" s="21"/>
      <c r="GNV51" s="21"/>
      <c r="GNW51" s="21"/>
      <c r="GNX51" s="21"/>
      <c r="GNY51" s="21"/>
      <c r="GNZ51" s="21"/>
      <c r="GOA51" s="21"/>
      <c r="GOB51" s="21"/>
      <c r="GOC51" s="21"/>
      <c r="GOD51" s="21"/>
      <c r="GOE51" s="21"/>
      <c r="GOF51" s="21"/>
      <c r="GOG51" s="21"/>
      <c r="GOH51" s="21"/>
      <c r="GOI51" s="21"/>
      <c r="GOJ51" s="21"/>
      <c r="GOK51" s="21"/>
      <c r="GOL51" s="21"/>
      <c r="GOM51" s="21"/>
      <c r="GON51" s="21"/>
      <c r="GOO51" s="21"/>
      <c r="GOP51" s="21"/>
      <c r="GOQ51" s="21"/>
      <c r="GOR51" s="21"/>
      <c r="GOS51" s="21"/>
      <c r="GOT51" s="21"/>
      <c r="GOU51" s="21"/>
      <c r="GOV51" s="21"/>
      <c r="GOW51" s="21"/>
      <c r="GOX51" s="21"/>
      <c r="GOY51" s="21"/>
      <c r="GOZ51" s="21"/>
      <c r="GPA51" s="21"/>
      <c r="GPB51" s="21"/>
      <c r="GPC51" s="21"/>
      <c r="GPD51" s="21"/>
      <c r="GPE51" s="21"/>
      <c r="GPF51" s="21"/>
      <c r="GPG51" s="21"/>
      <c r="GPH51" s="21"/>
      <c r="GPI51" s="21"/>
      <c r="GPJ51" s="21"/>
      <c r="GPK51" s="21"/>
      <c r="GPL51" s="21"/>
      <c r="GPM51" s="21"/>
      <c r="GPN51" s="21"/>
      <c r="GPO51" s="21"/>
      <c r="GPP51" s="21"/>
      <c r="GPQ51" s="21"/>
      <c r="GPR51" s="21"/>
      <c r="GPS51" s="21"/>
      <c r="GPT51" s="21"/>
      <c r="GPU51" s="21"/>
      <c r="GPV51" s="21"/>
      <c r="GPW51" s="21"/>
      <c r="GPX51" s="21"/>
      <c r="GPY51" s="21"/>
      <c r="GPZ51" s="21"/>
      <c r="GQA51" s="21"/>
      <c r="GQB51" s="21"/>
      <c r="GQC51" s="21"/>
      <c r="GQD51" s="21"/>
      <c r="GQE51" s="21"/>
      <c r="GQF51" s="21"/>
      <c r="GQG51" s="21"/>
      <c r="GQH51" s="21"/>
      <c r="GQI51" s="21"/>
      <c r="GQJ51" s="21"/>
      <c r="GQK51" s="21"/>
      <c r="GQL51" s="21"/>
      <c r="GQM51" s="21"/>
      <c r="GQN51" s="21"/>
      <c r="GQO51" s="21"/>
      <c r="GQP51" s="21"/>
      <c r="GQQ51" s="21"/>
      <c r="GQR51" s="21"/>
      <c r="GQS51" s="21"/>
      <c r="GQT51" s="21"/>
      <c r="GQU51" s="21"/>
      <c r="GQV51" s="21"/>
      <c r="GQW51" s="21"/>
      <c r="GQX51" s="21"/>
      <c r="GQY51" s="21"/>
      <c r="GQZ51" s="21"/>
      <c r="GRA51" s="21"/>
      <c r="GRB51" s="21"/>
      <c r="GRC51" s="21"/>
      <c r="GRD51" s="21"/>
      <c r="GRE51" s="21"/>
      <c r="GRF51" s="21"/>
      <c r="GRG51" s="21"/>
      <c r="GRH51" s="21"/>
      <c r="GRI51" s="21"/>
      <c r="GRJ51" s="21"/>
      <c r="GRK51" s="21"/>
      <c r="GRL51" s="21"/>
      <c r="GRM51" s="21"/>
      <c r="GRN51" s="21"/>
      <c r="GRO51" s="21"/>
      <c r="GRP51" s="21"/>
      <c r="GRQ51" s="21"/>
      <c r="GRR51" s="21"/>
      <c r="GRS51" s="21"/>
      <c r="GRT51" s="21"/>
      <c r="GRU51" s="21"/>
      <c r="GRV51" s="21"/>
      <c r="GRW51" s="21"/>
      <c r="GRX51" s="21"/>
      <c r="GRY51" s="21"/>
      <c r="GRZ51" s="21"/>
      <c r="GSA51" s="21"/>
      <c r="GSB51" s="21"/>
      <c r="GSC51" s="21"/>
      <c r="GSD51" s="21"/>
      <c r="GSE51" s="21"/>
      <c r="GSF51" s="21"/>
      <c r="GSG51" s="21"/>
      <c r="GSH51" s="21"/>
      <c r="GSI51" s="21"/>
      <c r="GSJ51" s="21"/>
      <c r="GSK51" s="21"/>
      <c r="GSL51" s="21"/>
      <c r="GSM51" s="21"/>
      <c r="GSN51" s="21"/>
      <c r="GSO51" s="21"/>
      <c r="GSP51" s="21"/>
      <c r="GSQ51" s="21"/>
      <c r="GSR51" s="21"/>
      <c r="GSS51" s="21"/>
      <c r="GST51" s="21"/>
      <c r="GSU51" s="21"/>
      <c r="GSV51" s="21"/>
      <c r="GSW51" s="21"/>
      <c r="GSX51" s="21"/>
      <c r="GSY51" s="21"/>
      <c r="GSZ51" s="21"/>
      <c r="GTA51" s="21"/>
      <c r="GTB51" s="21"/>
      <c r="GTC51" s="21"/>
      <c r="GTD51" s="21"/>
      <c r="GTE51" s="21"/>
      <c r="GTF51" s="21"/>
      <c r="GTG51" s="21"/>
      <c r="GTH51" s="21"/>
      <c r="GTI51" s="21"/>
      <c r="GTJ51" s="21"/>
      <c r="GTK51" s="21"/>
      <c r="GTL51" s="21"/>
      <c r="GTM51" s="21"/>
      <c r="GTN51" s="21"/>
      <c r="GTO51" s="21"/>
      <c r="GTP51" s="21"/>
      <c r="GTQ51" s="21"/>
      <c r="GTR51" s="21"/>
      <c r="GTS51" s="21"/>
      <c r="GTT51" s="21"/>
      <c r="GTU51" s="21"/>
      <c r="GTV51" s="21"/>
      <c r="GTW51" s="21"/>
      <c r="GTX51" s="21"/>
      <c r="GTY51" s="21"/>
      <c r="GTZ51" s="21"/>
      <c r="GUA51" s="21"/>
      <c r="GUB51" s="21"/>
      <c r="GUC51" s="21"/>
      <c r="GUD51" s="21"/>
      <c r="GUE51" s="21"/>
      <c r="GUF51" s="21"/>
      <c r="GUG51" s="21"/>
      <c r="GUH51" s="21"/>
      <c r="GUI51" s="21"/>
      <c r="GUJ51" s="21"/>
      <c r="GUK51" s="21"/>
      <c r="GUL51" s="21"/>
      <c r="GUM51" s="21"/>
      <c r="GUN51" s="21"/>
      <c r="GUO51" s="21"/>
      <c r="GUP51" s="21"/>
      <c r="GUQ51" s="21"/>
      <c r="GUR51" s="21"/>
      <c r="GUS51" s="21"/>
      <c r="GUT51" s="21"/>
      <c r="GUU51" s="21"/>
      <c r="GUV51" s="21"/>
      <c r="GUW51" s="21"/>
      <c r="GUX51" s="21"/>
      <c r="GUY51" s="21"/>
      <c r="GUZ51" s="21"/>
      <c r="GVA51" s="21"/>
      <c r="GVB51" s="21"/>
      <c r="GVC51" s="21"/>
      <c r="GVD51" s="21"/>
      <c r="GVE51" s="21"/>
      <c r="GVF51" s="21"/>
      <c r="GVG51" s="21"/>
      <c r="GVH51" s="21"/>
      <c r="GVI51" s="21"/>
      <c r="GVJ51" s="21"/>
      <c r="GVK51" s="21"/>
      <c r="GVL51" s="21"/>
      <c r="GVM51" s="21"/>
      <c r="GVN51" s="21"/>
      <c r="GVO51" s="21"/>
      <c r="GVP51" s="21"/>
      <c r="GVQ51" s="21"/>
      <c r="GVR51" s="21"/>
      <c r="GVS51" s="21"/>
      <c r="GVT51" s="21"/>
      <c r="GVU51" s="21"/>
      <c r="GVV51" s="21"/>
      <c r="GVW51" s="21"/>
      <c r="GVX51" s="21"/>
      <c r="GVY51" s="21"/>
      <c r="GVZ51" s="21"/>
      <c r="GWA51" s="21"/>
      <c r="GWB51" s="21"/>
      <c r="GWC51" s="21"/>
      <c r="GWD51" s="21"/>
      <c r="GWE51" s="21"/>
      <c r="GWF51" s="21"/>
      <c r="GWG51" s="21"/>
      <c r="GWH51" s="21"/>
      <c r="GWI51" s="21"/>
      <c r="GWJ51" s="21"/>
      <c r="GWK51" s="21"/>
      <c r="GWL51" s="21"/>
      <c r="GWM51" s="21"/>
      <c r="GWN51" s="21"/>
      <c r="GWO51" s="21"/>
      <c r="GWP51" s="21"/>
      <c r="GWQ51" s="21"/>
      <c r="GWR51" s="21"/>
      <c r="GWS51" s="21"/>
      <c r="GWT51" s="21"/>
      <c r="GWU51" s="21"/>
      <c r="GWV51" s="21"/>
      <c r="GWW51" s="21"/>
      <c r="GWX51" s="21"/>
      <c r="GWY51" s="21"/>
      <c r="GWZ51" s="21"/>
      <c r="GXA51" s="21"/>
      <c r="GXB51" s="21"/>
      <c r="GXC51" s="21"/>
      <c r="GXD51" s="21"/>
      <c r="GXE51" s="21"/>
      <c r="GXF51" s="21"/>
      <c r="GXG51" s="21"/>
      <c r="GXH51" s="21"/>
      <c r="GXI51" s="21"/>
      <c r="GXJ51" s="21"/>
      <c r="GXK51" s="21"/>
      <c r="GXL51" s="21"/>
      <c r="GXM51" s="21"/>
      <c r="GXN51" s="21"/>
      <c r="GXO51" s="21"/>
      <c r="GXP51" s="21"/>
      <c r="GXQ51" s="21"/>
      <c r="GXR51" s="21"/>
      <c r="GXS51" s="21"/>
      <c r="GXT51" s="21"/>
      <c r="GXU51" s="21"/>
      <c r="GXV51" s="21"/>
      <c r="GXW51" s="21"/>
      <c r="GXX51" s="21"/>
      <c r="GXY51" s="21"/>
      <c r="GXZ51" s="21"/>
      <c r="GYA51" s="21"/>
      <c r="GYB51" s="21"/>
      <c r="GYC51" s="21"/>
      <c r="GYD51" s="21"/>
      <c r="GYE51" s="21"/>
      <c r="GYF51" s="21"/>
      <c r="GYG51" s="21"/>
      <c r="GYH51" s="21"/>
      <c r="GYI51" s="21"/>
      <c r="GYJ51" s="21"/>
      <c r="GYK51" s="21"/>
      <c r="GYL51" s="21"/>
      <c r="GYM51" s="21"/>
      <c r="GYN51" s="21"/>
      <c r="GYO51" s="21"/>
      <c r="GYP51" s="21"/>
      <c r="GYQ51" s="21"/>
      <c r="GYR51" s="21"/>
      <c r="GYS51" s="21"/>
      <c r="GYT51" s="21"/>
      <c r="GYU51" s="21"/>
      <c r="GYV51" s="21"/>
      <c r="GYW51" s="21"/>
      <c r="GYX51" s="21"/>
      <c r="GYY51" s="21"/>
      <c r="GYZ51" s="21"/>
      <c r="GZA51" s="21"/>
      <c r="GZB51" s="21"/>
      <c r="GZC51" s="21"/>
      <c r="GZD51" s="21"/>
      <c r="GZE51" s="21"/>
      <c r="GZF51" s="21"/>
      <c r="GZG51" s="21"/>
      <c r="GZH51" s="21"/>
      <c r="GZI51" s="21"/>
      <c r="GZJ51" s="21"/>
      <c r="GZK51" s="21"/>
      <c r="GZL51" s="21"/>
      <c r="GZM51" s="21"/>
      <c r="GZN51" s="21"/>
      <c r="GZO51" s="21"/>
      <c r="GZP51" s="21"/>
      <c r="GZQ51" s="21"/>
      <c r="GZR51" s="21"/>
      <c r="GZS51" s="21"/>
      <c r="GZT51" s="21"/>
      <c r="GZU51" s="21"/>
      <c r="GZV51" s="21"/>
      <c r="GZW51" s="21"/>
      <c r="GZX51" s="21"/>
      <c r="GZY51" s="21"/>
      <c r="GZZ51" s="21"/>
      <c r="HAA51" s="21"/>
      <c r="HAB51" s="21"/>
      <c r="HAC51" s="21"/>
      <c r="HAD51" s="21"/>
      <c r="HAE51" s="21"/>
      <c r="HAF51" s="21"/>
      <c r="HAG51" s="21"/>
      <c r="HAH51" s="21"/>
      <c r="HAI51" s="21"/>
      <c r="HAJ51" s="21"/>
      <c r="HAK51" s="21"/>
      <c r="HAL51" s="21"/>
      <c r="HAM51" s="21"/>
      <c r="HAN51" s="21"/>
      <c r="HAO51" s="21"/>
      <c r="HAP51" s="21"/>
      <c r="HAQ51" s="21"/>
      <c r="HAR51" s="21"/>
      <c r="HAS51" s="21"/>
      <c r="HAT51" s="21"/>
      <c r="HAU51" s="21"/>
      <c r="HAV51" s="21"/>
      <c r="HAW51" s="21"/>
      <c r="HAX51" s="21"/>
      <c r="HAY51" s="21"/>
      <c r="HAZ51" s="21"/>
      <c r="HBA51" s="21"/>
      <c r="HBB51" s="21"/>
      <c r="HBC51" s="21"/>
      <c r="HBD51" s="21"/>
      <c r="HBE51" s="21"/>
      <c r="HBF51" s="21"/>
      <c r="HBG51" s="21"/>
      <c r="HBH51" s="21"/>
      <c r="HBI51" s="21"/>
      <c r="HBJ51" s="21"/>
      <c r="HBK51" s="21"/>
      <c r="HBL51" s="21"/>
      <c r="HBM51" s="21"/>
      <c r="HBN51" s="21"/>
      <c r="HBO51" s="21"/>
      <c r="HBP51" s="21"/>
      <c r="HBQ51" s="21"/>
      <c r="HBR51" s="21"/>
      <c r="HBS51" s="21"/>
      <c r="HBT51" s="21"/>
      <c r="HBU51" s="21"/>
      <c r="HBV51" s="21"/>
      <c r="HBW51" s="21"/>
      <c r="HBX51" s="21"/>
      <c r="HBY51" s="21"/>
      <c r="HBZ51" s="21"/>
      <c r="HCA51" s="21"/>
      <c r="HCB51" s="21"/>
      <c r="HCC51" s="21"/>
      <c r="HCD51" s="21"/>
      <c r="HCE51" s="21"/>
      <c r="HCF51" s="21"/>
      <c r="HCG51" s="21"/>
      <c r="HCH51" s="21"/>
      <c r="HCI51" s="21"/>
      <c r="HCJ51" s="21"/>
      <c r="HCK51" s="21"/>
      <c r="HCL51" s="21"/>
      <c r="HCM51" s="21"/>
      <c r="HCN51" s="21"/>
      <c r="HCO51" s="21"/>
      <c r="HCP51" s="21"/>
      <c r="HCQ51" s="21"/>
      <c r="HCR51" s="21"/>
      <c r="HCS51" s="21"/>
      <c r="HCT51" s="21"/>
      <c r="HCU51" s="21"/>
      <c r="HCV51" s="21"/>
      <c r="HCW51" s="21"/>
      <c r="HCX51" s="21"/>
      <c r="HCY51" s="21"/>
      <c r="HCZ51" s="21"/>
      <c r="HDA51" s="21"/>
      <c r="HDB51" s="21"/>
      <c r="HDC51" s="21"/>
      <c r="HDD51" s="21"/>
      <c r="HDE51" s="21"/>
      <c r="HDF51" s="21"/>
      <c r="HDG51" s="21"/>
      <c r="HDH51" s="21"/>
      <c r="HDI51" s="21"/>
      <c r="HDJ51" s="21"/>
      <c r="HDK51" s="21"/>
      <c r="HDL51" s="21"/>
      <c r="HDM51" s="21"/>
      <c r="HDN51" s="21"/>
      <c r="HDO51" s="21"/>
      <c r="HDP51" s="21"/>
      <c r="HDQ51" s="21"/>
      <c r="HDR51" s="21"/>
      <c r="HDS51" s="21"/>
      <c r="HDT51" s="21"/>
      <c r="HDU51" s="21"/>
      <c r="HDV51" s="21"/>
      <c r="HDW51" s="21"/>
      <c r="HDX51" s="21"/>
      <c r="HDY51" s="21"/>
      <c r="HDZ51" s="21"/>
      <c r="HEA51" s="21"/>
      <c r="HEB51" s="21"/>
      <c r="HEC51" s="21"/>
      <c r="HED51" s="21"/>
      <c r="HEE51" s="21"/>
      <c r="HEF51" s="21"/>
      <c r="HEG51" s="21"/>
      <c r="HEH51" s="21"/>
      <c r="HEI51" s="21"/>
      <c r="HEJ51" s="21"/>
      <c r="HEK51" s="21"/>
      <c r="HEL51" s="21"/>
      <c r="HEM51" s="21"/>
      <c r="HEN51" s="21"/>
      <c r="HEO51" s="21"/>
      <c r="HEP51" s="21"/>
      <c r="HEQ51" s="21"/>
      <c r="HER51" s="21"/>
      <c r="HES51" s="21"/>
      <c r="HET51" s="21"/>
      <c r="HEU51" s="21"/>
      <c r="HEV51" s="21"/>
      <c r="HEW51" s="21"/>
      <c r="HEX51" s="21"/>
      <c r="HEY51" s="21"/>
      <c r="HEZ51" s="21"/>
      <c r="HFA51" s="21"/>
      <c r="HFB51" s="21"/>
      <c r="HFC51" s="21"/>
      <c r="HFD51" s="21"/>
      <c r="HFE51" s="21"/>
      <c r="HFF51" s="21"/>
      <c r="HFG51" s="21"/>
      <c r="HFH51" s="21"/>
      <c r="HFI51" s="21"/>
      <c r="HFJ51" s="21"/>
      <c r="HFK51" s="21"/>
      <c r="HFL51" s="21"/>
      <c r="HFM51" s="21"/>
      <c r="HFN51" s="21"/>
      <c r="HFO51" s="21"/>
      <c r="HFP51" s="21"/>
      <c r="HFQ51" s="21"/>
      <c r="HFR51" s="21"/>
      <c r="HFS51" s="21"/>
      <c r="HFT51" s="21"/>
      <c r="HFU51" s="21"/>
      <c r="HFV51" s="21"/>
      <c r="HFW51" s="21"/>
      <c r="HFX51" s="21"/>
      <c r="HFY51" s="21"/>
      <c r="HFZ51" s="21"/>
      <c r="HGA51" s="21"/>
      <c r="HGB51" s="21"/>
      <c r="HGC51" s="21"/>
      <c r="HGD51" s="21"/>
      <c r="HGE51" s="21"/>
      <c r="HGF51" s="21"/>
      <c r="HGG51" s="21"/>
      <c r="HGH51" s="21"/>
      <c r="HGI51" s="21"/>
      <c r="HGJ51" s="21"/>
      <c r="HGK51" s="21"/>
      <c r="HGL51" s="21"/>
      <c r="HGM51" s="21"/>
      <c r="HGN51" s="21"/>
      <c r="HGO51" s="21"/>
      <c r="HGP51" s="21"/>
      <c r="HGQ51" s="21"/>
      <c r="HGR51" s="21"/>
      <c r="HGS51" s="21"/>
      <c r="HGT51" s="21"/>
      <c r="HGU51" s="21"/>
      <c r="HGV51" s="21"/>
      <c r="HGW51" s="21"/>
      <c r="HGX51" s="21"/>
      <c r="HGY51" s="21"/>
      <c r="HGZ51" s="21"/>
      <c r="HHA51" s="21"/>
      <c r="HHB51" s="21"/>
      <c r="HHC51" s="21"/>
      <c r="HHD51" s="21"/>
      <c r="HHE51" s="21"/>
      <c r="HHF51" s="21"/>
      <c r="HHG51" s="21"/>
      <c r="HHH51" s="21"/>
      <c r="HHI51" s="21"/>
      <c r="HHJ51" s="21"/>
      <c r="HHK51" s="21"/>
      <c r="HHL51" s="21"/>
      <c r="HHM51" s="21"/>
      <c r="HHN51" s="21"/>
      <c r="HHO51" s="21"/>
      <c r="HHP51" s="21"/>
      <c r="HHQ51" s="21"/>
      <c r="HHR51" s="21"/>
      <c r="HHS51" s="21"/>
      <c r="HHT51" s="21"/>
      <c r="HHU51" s="21"/>
      <c r="HHV51" s="21"/>
      <c r="HHW51" s="21"/>
      <c r="HHX51" s="21"/>
      <c r="HHY51" s="21"/>
      <c r="HHZ51" s="21"/>
      <c r="HIA51" s="21"/>
      <c r="HIB51" s="21"/>
      <c r="HIC51" s="21"/>
      <c r="HID51" s="21"/>
      <c r="HIE51" s="21"/>
      <c r="HIF51" s="21"/>
      <c r="HIG51" s="21"/>
      <c r="HIH51" s="21"/>
      <c r="HII51" s="21"/>
      <c r="HIJ51" s="21"/>
      <c r="HIK51" s="21"/>
      <c r="HIL51" s="21"/>
      <c r="HIM51" s="21"/>
      <c r="HIN51" s="21"/>
      <c r="HIO51" s="21"/>
      <c r="HIP51" s="21"/>
      <c r="HIQ51" s="21"/>
      <c r="HIR51" s="21"/>
      <c r="HIS51" s="21"/>
      <c r="HIT51" s="21"/>
      <c r="HIU51" s="21"/>
      <c r="HIV51" s="21"/>
      <c r="HIW51" s="21"/>
      <c r="HIX51" s="21"/>
      <c r="HIY51" s="21"/>
      <c r="HIZ51" s="21"/>
      <c r="HJA51" s="21"/>
      <c r="HJB51" s="21"/>
      <c r="HJC51" s="21"/>
      <c r="HJD51" s="21"/>
      <c r="HJE51" s="21"/>
      <c r="HJF51" s="21"/>
      <c r="HJG51" s="21"/>
      <c r="HJH51" s="21"/>
      <c r="HJI51" s="21"/>
      <c r="HJJ51" s="21"/>
      <c r="HJK51" s="21"/>
      <c r="HJL51" s="21"/>
      <c r="HJM51" s="21"/>
      <c r="HJN51" s="21"/>
      <c r="HJO51" s="21"/>
      <c r="HJP51" s="21"/>
      <c r="HJQ51" s="21"/>
      <c r="HJR51" s="21"/>
      <c r="HJS51" s="21"/>
      <c r="HJT51" s="21"/>
      <c r="HJU51" s="21"/>
      <c r="HJV51" s="21"/>
      <c r="HJW51" s="21"/>
      <c r="HJX51" s="21"/>
      <c r="HJY51" s="21"/>
      <c r="HJZ51" s="21"/>
      <c r="HKA51" s="21"/>
      <c r="HKB51" s="21"/>
      <c r="HKC51" s="21"/>
      <c r="HKD51" s="21"/>
      <c r="HKE51" s="21"/>
      <c r="HKF51" s="21"/>
      <c r="HKG51" s="21"/>
      <c r="HKH51" s="21"/>
      <c r="HKI51" s="21"/>
      <c r="HKJ51" s="21"/>
      <c r="HKK51" s="21"/>
      <c r="HKL51" s="21"/>
      <c r="HKM51" s="21"/>
      <c r="HKN51" s="21"/>
      <c r="HKO51" s="21"/>
      <c r="HKP51" s="21"/>
      <c r="HKQ51" s="21"/>
      <c r="HKR51" s="21"/>
      <c r="HKS51" s="21"/>
      <c r="HKT51" s="21"/>
      <c r="HKU51" s="21"/>
      <c r="HKV51" s="21"/>
      <c r="HKW51" s="21"/>
      <c r="HKX51" s="21"/>
      <c r="HKY51" s="21"/>
      <c r="HKZ51" s="21"/>
      <c r="HLA51" s="21"/>
      <c r="HLB51" s="21"/>
      <c r="HLC51" s="21"/>
      <c r="HLD51" s="21"/>
      <c r="HLE51" s="21"/>
      <c r="HLF51" s="21"/>
      <c r="HLG51" s="21"/>
      <c r="HLH51" s="21"/>
      <c r="HLI51" s="21"/>
      <c r="HLJ51" s="21"/>
      <c r="HLK51" s="21"/>
      <c r="HLL51" s="21"/>
      <c r="HLM51" s="21"/>
      <c r="HLN51" s="21"/>
      <c r="HLO51" s="21"/>
      <c r="HLP51" s="21"/>
      <c r="HLQ51" s="21"/>
      <c r="HLR51" s="21"/>
      <c r="HLS51" s="21"/>
      <c r="HLT51" s="21"/>
      <c r="HLU51" s="21"/>
      <c r="HLV51" s="21"/>
      <c r="HLW51" s="21"/>
      <c r="HLX51" s="21"/>
      <c r="HLY51" s="21"/>
      <c r="HLZ51" s="21"/>
      <c r="HMA51" s="21"/>
      <c r="HMB51" s="21"/>
      <c r="HMC51" s="21"/>
      <c r="HMD51" s="21"/>
      <c r="HME51" s="21"/>
      <c r="HMF51" s="21"/>
      <c r="HMG51" s="21"/>
      <c r="HMH51" s="21"/>
      <c r="HMI51" s="21"/>
      <c r="HMJ51" s="21"/>
      <c r="HMK51" s="21"/>
      <c r="HML51" s="21"/>
      <c r="HMM51" s="21"/>
      <c r="HMN51" s="21"/>
      <c r="HMO51" s="21"/>
      <c r="HMP51" s="21"/>
      <c r="HMQ51" s="21"/>
      <c r="HMR51" s="21"/>
      <c r="HMS51" s="21"/>
      <c r="HMT51" s="21"/>
      <c r="HMU51" s="21"/>
      <c r="HMV51" s="21"/>
      <c r="HMW51" s="21"/>
      <c r="HMX51" s="21"/>
      <c r="HMY51" s="21"/>
      <c r="HMZ51" s="21"/>
      <c r="HNA51" s="21"/>
      <c r="HNB51" s="21"/>
      <c r="HNC51" s="21"/>
      <c r="HND51" s="21"/>
      <c r="HNE51" s="21"/>
      <c r="HNF51" s="21"/>
      <c r="HNG51" s="21"/>
      <c r="HNH51" s="21"/>
      <c r="HNI51" s="21"/>
      <c r="HNJ51" s="21"/>
      <c r="HNK51" s="21"/>
      <c r="HNL51" s="21"/>
      <c r="HNM51" s="21"/>
      <c r="HNN51" s="21"/>
      <c r="HNO51" s="21"/>
      <c r="HNP51" s="21"/>
      <c r="HNQ51" s="21"/>
      <c r="HNR51" s="21"/>
      <c r="HNS51" s="21"/>
      <c r="HNT51" s="21"/>
      <c r="HNU51" s="21"/>
      <c r="HNV51" s="21"/>
      <c r="HNW51" s="21"/>
      <c r="HNX51" s="21"/>
      <c r="HNY51" s="21"/>
      <c r="HNZ51" s="21"/>
      <c r="HOA51" s="21"/>
      <c r="HOB51" s="21"/>
      <c r="HOC51" s="21"/>
      <c r="HOD51" s="21"/>
      <c r="HOE51" s="21"/>
      <c r="HOF51" s="21"/>
      <c r="HOG51" s="21"/>
      <c r="HOH51" s="21"/>
      <c r="HOI51" s="21"/>
      <c r="HOJ51" s="21"/>
      <c r="HOK51" s="21"/>
      <c r="HOL51" s="21"/>
      <c r="HOM51" s="21"/>
      <c r="HON51" s="21"/>
      <c r="HOO51" s="21"/>
      <c r="HOP51" s="21"/>
      <c r="HOQ51" s="21"/>
      <c r="HOR51" s="21"/>
      <c r="HOS51" s="21"/>
      <c r="HOT51" s="21"/>
      <c r="HOU51" s="21"/>
      <c r="HOV51" s="21"/>
      <c r="HOW51" s="21"/>
      <c r="HOX51" s="21"/>
      <c r="HOY51" s="21"/>
      <c r="HOZ51" s="21"/>
      <c r="HPA51" s="21"/>
      <c r="HPB51" s="21"/>
      <c r="HPC51" s="21"/>
      <c r="HPD51" s="21"/>
      <c r="HPE51" s="21"/>
      <c r="HPF51" s="21"/>
      <c r="HPG51" s="21"/>
      <c r="HPH51" s="21"/>
      <c r="HPI51" s="21"/>
      <c r="HPJ51" s="21"/>
      <c r="HPK51" s="21"/>
      <c r="HPL51" s="21"/>
      <c r="HPM51" s="21"/>
      <c r="HPN51" s="21"/>
      <c r="HPO51" s="21"/>
      <c r="HPP51" s="21"/>
      <c r="HPQ51" s="21"/>
      <c r="HPR51" s="21"/>
      <c r="HPS51" s="21"/>
      <c r="HPT51" s="21"/>
      <c r="HPU51" s="21"/>
      <c r="HPV51" s="21"/>
      <c r="HPW51" s="21"/>
      <c r="HPX51" s="21"/>
      <c r="HPY51" s="21"/>
      <c r="HPZ51" s="21"/>
      <c r="HQA51" s="21"/>
      <c r="HQB51" s="21"/>
      <c r="HQC51" s="21"/>
      <c r="HQD51" s="21"/>
      <c r="HQE51" s="21"/>
      <c r="HQF51" s="21"/>
      <c r="HQG51" s="21"/>
      <c r="HQH51" s="21"/>
      <c r="HQI51" s="21"/>
      <c r="HQJ51" s="21"/>
      <c r="HQK51" s="21"/>
      <c r="HQL51" s="21"/>
      <c r="HQM51" s="21"/>
      <c r="HQN51" s="21"/>
      <c r="HQO51" s="21"/>
      <c r="HQP51" s="21"/>
      <c r="HQQ51" s="21"/>
      <c r="HQR51" s="21"/>
      <c r="HQS51" s="21"/>
      <c r="HQT51" s="21"/>
      <c r="HQU51" s="21"/>
      <c r="HQV51" s="21"/>
      <c r="HQW51" s="21"/>
      <c r="HQX51" s="21"/>
      <c r="HQY51" s="21"/>
      <c r="HQZ51" s="21"/>
      <c r="HRA51" s="21"/>
      <c r="HRB51" s="21"/>
      <c r="HRC51" s="21"/>
      <c r="HRD51" s="21"/>
      <c r="HRE51" s="21"/>
      <c r="HRF51" s="21"/>
      <c r="HRG51" s="21"/>
      <c r="HRH51" s="21"/>
      <c r="HRI51" s="21"/>
      <c r="HRJ51" s="21"/>
      <c r="HRK51" s="21"/>
      <c r="HRL51" s="21"/>
      <c r="HRM51" s="21"/>
      <c r="HRN51" s="21"/>
      <c r="HRO51" s="21"/>
      <c r="HRP51" s="21"/>
      <c r="HRQ51" s="21"/>
      <c r="HRR51" s="21"/>
      <c r="HRS51" s="21"/>
      <c r="HRT51" s="21"/>
      <c r="HRU51" s="21"/>
      <c r="HRV51" s="21"/>
      <c r="HRW51" s="21"/>
      <c r="HRX51" s="21"/>
      <c r="HRY51" s="21"/>
      <c r="HRZ51" s="21"/>
      <c r="HSA51" s="21"/>
      <c r="HSB51" s="21"/>
      <c r="HSC51" s="21"/>
      <c r="HSD51" s="21"/>
      <c r="HSE51" s="21"/>
      <c r="HSF51" s="21"/>
      <c r="HSG51" s="21"/>
      <c r="HSH51" s="21"/>
      <c r="HSI51" s="21"/>
      <c r="HSJ51" s="21"/>
      <c r="HSK51" s="21"/>
      <c r="HSL51" s="21"/>
      <c r="HSM51" s="21"/>
      <c r="HSN51" s="21"/>
      <c r="HSO51" s="21"/>
      <c r="HSP51" s="21"/>
      <c r="HSQ51" s="21"/>
      <c r="HSR51" s="21"/>
      <c r="HSS51" s="21"/>
      <c r="HST51" s="21"/>
      <c r="HSU51" s="21"/>
      <c r="HSV51" s="21"/>
      <c r="HSW51" s="21"/>
      <c r="HSX51" s="21"/>
      <c r="HSY51" s="21"/>
      <c r="HSZ51" s="21"/>
      <c r="HTA51" s="21"/>
      <c r="HTB51" s="21"/>
      <c r="HTC51" s="21"/>
      <c r="HTD51" s="21"/>
      <c r="HTE51" s="21"/>
      <c r="HTF51" s="21"/>
      <c r="HTG51" s="21"/>
      <c r="HTH51" s="21"/>
      <c r="HTI51" s="21"/>
      <c r="HTJ51" s="21"/>
      <c r="HTK51" s="21"/>
      <c r="HTL51" s="21"/>
      <c r="HTM51" s="21"/>
      <c r="HTN51" s="21"/>
      <c r="HTO51" s="21"/>
      <c r="HTP51" s="21"/>
      <c r="HTQ51" s="21"/>
      <c r="HTR51" s="21"/>
      <c r="HTS51" s="21"/>
      <c r="HTT51" s="21"/>
      <c r="HTU51" s="21"/>
      <c r="HTV51" s="21"/>
      <c r="HTW51" s="21"/>
      <c r="HTX51" s="21"/>
      <c r="HTY51" s="21"/>
      <c r="HTZ51" s="21"/>
      <c r="HUA51" s="21"/>
      <c r="HUB51" s="21"/>
      <c r="HUC51" s="21"/>
      <c r="HUD51" s="21"/>
      <c r="HUE51" s="21"/>
      <c r="HUF51" s="21"/>
      <c r="HUG51" s="21"/>
      <c r="HUH51" s="21"/>
      <c r="HUI51" s="21"/>
      <c r="HUJ51" s="21"/>
      <c r="HUK51" s="21"/>
      <c r="HUL51" s="21"/>
      <c r="HUM51" s="21"/>
      <c r="HUN51" s="21"/>
      <c r="HUO51" s="21"/>
      <c r="HUP51" s="21"/>
      <c r="HUQ51" s="21"/>
      <c r="HUR51" s="21"/>
      <c r="HUS51" s="21"/>
      <c r="HUT51" s="21"/>
      <c r="HUU51" s="21"/>
      <c r="HUV51" s="21"/>
      <c r="HUW51" s="21"/>
      <c r="HUX51" s="21"/>
      <c r="HUY51" s="21"/>
      <c r="HUZ51" s="21"/>
      <c r="HVA51" s="21"/>
      <c r="HVB51" s="21"/>
      <c r="HVC51" s="21"/>
      <c r="HVD51" s="21"/>
      <c r="HVE51" s="21"/>
      <c r="HVF51" s="21"/>
      <c r="HVG51" s="21"/>
      <c r="HVH51" s="21"/>
      <c r="HVI51" s="21"/>
      <c r="HVJ51" s="21"/>
      <c r="HVK51" s="21"/>
      <c r="HVL51" s="21"/>
      <c r="HVM51" s="21"/>
      <c r="HVN51" s="21"/>
      <c r="HVO51" s="21"/>
      <c r="HVP51" s="21"/>
      <c r="HVQ51" s="21"/>
      <c r="HVR51" s="21"/>
      <c r="HVS51" s="21"/>
      <c r="HVT51" s="21"/>
      <c r="HVU51" s="21"/>
      <c r="HVV51" s="21"/>
      <c r="HVW51" s="21"/>
      <c r="HVX51" s="21"/>
      <c r="HVY51" s="21"/>
      <c r="HVZ51" s="21"/>
      <c r="HWA51" s="21"/>
      <c r="HWB51" s="21"/>
      <c r="HWC51" s="21"/>
      <c r="HWD51" s="21"/>
      <c r="HWE51" s="21"/>
      <c r="HWF51" s="21"/>
      <c r="HWG51" s="21"/>
      <c r="HWH51" s="21"/>
      <c r="HWI51" s="21"/>
      <c r="HWJ51" s="21"/>
      <c r="HWK51" s="21"/>
      <c r="HWL51" s="21"/>
      <c r="HWM51" s="21"/>
      <c r="HWN51" s="21"/>
      <c r="HWO51" s="21"/>
      <c r="HWP51" s="21"/>
      <c r="HWQ51" s="21"/>
      <c r="HWR51" s="21"/>
      <c r="HWS51" s="21"/>
      <c r="HWT51" s="21"/>
      <c r="HWU51" s="21"/>
      <c r="HWV51" s="21"/>
      <c r="HWW51" s="21"/>
      <c r="HWX51" s="21"/>
      <c r="HWY51" s="21"/>
      <c r="HWZ51" s="21"/>
      <c r="HXA51" s="21"/>
      <c r="HXB51" s="21"/>
      <c r="HXC51" s="21"/>
      <c r="HXD51" s="21"/>
      <c r="HXE51" s="21"/>
      <c r="HXF51" s="21"/>
      <c r="HXG51" s="21"/>
      <c r="HXH51" s="21"/>
      <c r="HXI51" s="21"/>
      <c r="HXJ51" s="21"/>
      <c r="HXK51" s="21"/>
      <c r="HXL51" s="21"/>
      <c r="HXM51" s="21"/>
      <c r="HXN51" s="21"/>
      <c r="HXO51" s="21"/>
      <c r="HXP51" s="21"/>
      <c r="HXQ51" s="21"/>
      <c r="HXR51" s="21"/>
      <c r="HXS51" s="21"/>
      <c r="HXT51" s="21"/>
      <c r="HXU51" s="21"/>
      <c r="HXV51" s="21"/>
      <c r="HXW51" s="21"/>
      <c r="HXX51" s="21"/>
      <c r="HXY51" s="21"/>
      <c r="HXZ51" s="21"/>
      <c r="HYA51" s="21"/>
      <c r="HYB51" s="21"/>
      <c r="HYC51" s="21"/>
      <c r="HYD51" s="21"/>
      <c r="HYE51" s="21"/>
      <c r="HYF51" s="21"/>
      <c r="HYG51" s="21"/>
      <c r="HYH51" s="21"/>
      <c r="HYI51" s="21"/>
      <c r="HYJ51" s="21"/>
      <c r="HYK51" s="21"/>
      <c r="HYL51" s="21"/>
      <c r="HYM51" s="21"/>
      <c r="HYN51" s="21"/>
      <c r="HYO51" s="21"/>
      <c r="HYP51" s="21"/>
      <c r="HYQ51" s="21"/>
      <c r="HYR51" s="21"/>
      <c r="HYS51" s="21"/>
      <c r="HYT51" s="21"/>
      <c r="HYU51" s="21"/>
      <c r="HYV51" s="21"/>
      <c r="HYW51" s="21"/>
      <c r="HYX51" s="21"/>
      <c r="HYY51" s="21"/>
      <c r="HYZ51" s="21"/>
      <c r="HZA51" s="21"/>
      <c r="HZB51" s="21"/>
      <c r="HZC51" s="21"/>
      <c r="HZD51" s="21"/>
      <c r="HZE51" s="21"/>
      <c r="HZF51" s="21"/>
      <c r="HZG51" s="21"/>
      <c r="HZH51" s="21"/>
      <c r="HZI51" s="21"/>
      <c r="HZJ51" s="21"/>
      <c r="HZK51" s="21"/>
      <c r="HZL51" s="21"/>
      <c r="HZM51" s="21"/>
      <c r="HZN51" s="21"/>
      <c r="HZO51" s="21"/>
      <c r="HZP51" s="21"/>
      <c r="HZQ51" s="21"/>
      <c r="HZR51" s="21"/>
      <c r="HZS51" s="21"/>
      <c r="HZT51" s="21"/>
      <c r="HZU51" s="21"/>
      <c r="HZV51" s="21"/>
      <c r="HZW51" s="21"/>
      <c r="HZX51" s="21"/>
      <c r="HZY51" s="21"/>
      <c r="HZZ51" s="21"/>
      <c r="IAA51" s="21"/>
      <c r="IAB51" s="21"/>
      <c r="IAC51" s="21"/>
      <c r="IAD51" s="21"/>
      <c r="IAE51" s="21"/>
      <c r="IAF51" s="21"/>
      <c r="IAG51" s="21"/>
      <c r="IAH51" s="21"/>
      <c r="IAI51" s="21"/>
      <c r="IAJ51" s="21"/>
      <c r="IAK51" s="21"/>
      <c r="IAL51" s="21"/>
      <c r="IAM51" s="21"/>
      <c r="IAN51" s="21"/>
      <c r="IAO51" s="21"/>
      <c r="IAP51" s="21"/>
      <c r="IAQ51" s="21"/>
      <c r="IAR51" s="21"/>
      <c r="IAS51" s="21"/>
      <c r="IAT51" s="21"/>
      <c r="IAU51" s="21"/>
      <c r="IAV51" s="21"/>
      <c r="IAW51" s="21"/>
      <c r="IAX51" s="21"/>
      <c r="IAY51" s="21"/>
      <c r="IAZ51" s="21"/>
      <c r="IBA51" s="21"/>
      <c r="IBB51" s="21"/>
      <c r="IBC51" s="21"/>
      <c r="IBD51" s="21"/>
      <c r="IBE51" s="21"/>
      <c r="IBF51" s="21"/>
      <c r="IBG51" s="21"/>
      <c r="IBH51" s="21"/>
      <c r="IBI51" s="21"/>
      <c r="IBJ51" s="21"/>
      <c r="IBK51" s="21"/>
      <c r="IBL51" s="21"/>
      <c r="IBM51" s="21"/>
      <c r="IBN51" s="21"/>
      <c r="IBO51" s="21"/>
      <c r="IBP51" s="21"/>
      <c r="IBQ51" s="21"/>
      <c r="IBR51" s="21"/>
      <c r="IBS51" s="21"/>
      <c r="IBT51" s="21"/>
      <c r="IBU51" s="21"/>
      <c r="IBV51" s="21"/>
      <c r="IBW51" s="21"/>
      <c r="IBX51" s="21"/>
      <c r="IBY51" s="21"/>
      <c r="IBZ51" s="21"/>
      <c r="ICA51" s="21"/>
      <c r="ICB51" s="21"/>
      <c r="ICC51" s="21"/>
      <c r="ICD51" s="21"/>
      <c r="ICE51" s="21"/>
      <c r="ICF51" s="21"/>
      <c r="ICG51" s="21"/>
      <c r="ICH51" s="21"/>
      <c r="ICI51" s="21"/>
      <c r="ICJ51" s="21"/>
      <c r="ICK51" s="21"/>
      <c r="ICL51" s="21"/>
      <c r="ICM51" s="21"/>
      <c r="ICN51" s="21"/>
      <c r="ICO51" s="21"/>
      <c r="ICP51" s="21"/>
      <c r="ICQ51" s="21"/>
      <c r="ICR51" s="21"/>
      <c r="ICS51" s="21"/>
      <c r="ICT51" s="21"/>
      <c r="ICU51" s="21"/>
      <c r="ICV51" s="21"/>
      <c r="ICW51" s="21"/>
      <c r="ICX51" s="21"/>
      <c r="ICY51" s="21"/>
      <c r="ICZ51" s="21"/>
      <c r="IDA51" s="21"/>
      <c r="IDB51" s="21"/>
      <c r="IDC51" s="21"/>
      <c r="IDD51" s="21"/>
      <c r="IDE51" s="21"/>
      <c r="IDF51" s="21"/>
      <c r="IDG51" s="21"/>
      <c r="IDH51" s="21"/>
      <c r="IDI51" s="21"/>
      <c r="IDJ51" s="21"/>
      <c r="IDK51" s="21"/>
      <c r="IDL51" s="21"/>
      <c r="IDM51" s="21"/>
      <c r="IDN51" s="21"/>
      <c r="IDO51" s="21"/>
      <c r="IDP51" s="21"/>
      <c r="IDQ51" s="21"/>
      <c r="IDR51" s="21"/>
      <c r="IDS51" s="21"/>
      <c r="IDT51" s="21"/>
      <c r="IDU51" s="21"/>
      <c r="IDV51" s="21"/>
      <c r="IDW51" s="21"/>
      <c r="IDX51" s="21"/>
      <c r="IDY51" s="21"/>
      <c r="IDZ51" s="21"/>
      <c r="IEA51" s="21"/>
      <c r="IEB51" s="21"/>
      <c r="IEC51" s="21"/>
      <c r="IED51" s="21"/>
      <c r="IEE51" s="21"/>
      <c r="IEF51" s="21"/>
      <c r="IEG51" s="21"/>
      <c r="IEH51" s="21"/>
      <c r="IEI51" s="21"/>
      <c r="IEJ51" s="21"/>
      <c r="IEK51" s="21"/>
      <c r="IEL51" s="21"/>
      <c r="IEM51" s="21"/>
      <c r="IEN51" s="21"/>
      <c r="IEO51" s="21"/>
      <c r="IEP51" s="21"/>
      <c r="IEQ51" s="21"/>
      <c r="IER51" s="21"/>
      <c r="IES51" s="21"/>
      <c r="IET51" s="21"/>
      <c r="IEU51" s="21"/>
      <c r="IEV51" s="21"/>
      <c r="IEW51" s="21"/>
      <c r="IEX51" s="21"/>
      <c r="IEY51" s="21"/>
      <c r="IEZ51" s="21"/>
      <c r="IFA51" s="21"/>
      <c r="IFB51" s="21"/>
      <c r="IFC51" s="21"/>
      <c r="IFD51" s="21"/>
      <c r="IFE51" s="21"/>
      <c r="IFF51" s="21"/>
      <c r="IFG51" s="21"/>
      <c r="IFH51" s="21"/>
      <c r="IFI51" s="21"/>
      <c r="IFJ51" s="21"/>
      <c r="IFK51" s="21"/>
      <c r="IFL51" s="21"/>
      <c r="IFM51" s="21"/>
      <c r="IFN51" s="21"/>
      <c r="IFO51" s="21"/>
      <c r="IFP51" s="21"/>
      <c r="IFQ51" s="21"/>
      <c r="IFR51" s="21"/>
      <c r="IFS51" s="21"/>
      <c r="IFT51" s="21"/>
      <c r="IFU51" s="21"/>
      <c r="IFV51" s="21"/>
      <c r="IFW51" s="21"/>
      <c r="IFX51" s="21"/>
      <c r="IFY51" s="21"/>
      <c r="IFZ51" s="21"/>
      <c r="IGA51" s="21"/>
      <c r="IGB51" s="21"/>
      <c r="IGC51" s="21"/>
      <c r="IGD51" s="21"/>
      <c r="IGE51" s="21"/>
      <c r="IGF51" s="21"/>
      <c r="IGG51" s="21"/>
      <c r="IGH51" s="21"/>
      <c r="IGI51" s="21"/>
      <c r="IGJ51" s="21"/>
      <c r="IGK51" s="21"/>
      <c r="IGL51" s="21"/>
      <c r="IGM51" s="21"/>
      <c r="IGN51" s="21"/>
      <c r="IGO51" s="21"/>
      <c r="IGP51" s="21"/>
      <c r="IGQ51" s="21"/>
      <c r="IGR51" s="21"/>
      <c r="IGS51" s="21"/>
      <c r="IGT51" s="21"/>
      <c r="IGU51" s="21"/>
      <c r="IGV51" s="21"/>
      <c r="IGW51" s="21"/>
      <c r="IGX51" s="21"/>
      <c r="IGY51" s="21"/>
      <c r="IGZ51" s="21"/>
      <c r="IHA51" s="21"/>
      <c r="IHB51" s="21"/>
      <c r="IHC51" s="21"/>
      <c r="IHD51" s="21"/>
      <c r="IHE51" s="21"/>
      <c r="IHF51" s="21"/>
      <c r="IHG51" s="21"/>
      <c r="IHH51" s="21"/>
      <c r="IHI51" s="21"/>
      <c r="IHJ51" s="21"/>
      <c r="IHK51" s="21"/>
      <c r="IHL51" s="21"/>
      <c r="IHM51" s="21"/>
      <c r="IHN51" s="21"/>
      <c r="IHO51" s="21"/>
      <c r="IHP51" s="21"/>
      <c r="IHQ51" s="21"/>
      <c r="IHR51" s="21"/>
      <c r="IHS51" s="21"/>
      <c r="IHT51" s="21"/>
      <c r="IHU51" s="21"/>
      <c r="IHV51" s="21"/>
      <c r="IHW51" s="21"/>
      <c r="IHX51" s="21"/>
      <c r="IHY51" s="21"/>
      <c r="IHZ51" s="21"/>
      <c r="IIA51" s="21"/>
      <c r="IIB51" s="21"/>
      <c r="IIC51" s="21"/>
      <c r="IID51" s="21"/>
      <c r="IIE51" s="21"/>
      <c r="IIF51" s="21"/>
      <c r="IIG51" s="21"/>
      <c r="IIH51" s="21"/>
      <c r="III51" s="21"/>
      <c r="IIJ51" s="21"/>
      <c r="IIK51" s="21"/>
      <c r="IIL51" s="21"/>
      <c r="IIM51" s="21"/>
      <c r="IIN51" s="21"/>
      <c r="IIO51" s="21"/>
      <c r="IIP51" s="21"/>
      <c r="IIQ51" s="21"/>
      <c r="IIR51" s="21"/>
      <c r="IIS51" s="21"/>
      <c r="IIT51" s="21"/>
      <c r="IIU51" s="21"/>
      <c r="IIV51" s="21"/>
      <c r="IIW51" s="21"/>
      <c r="IIX51" s="21"/>
      <c r="IIY51" s="21"/>
      <c r="IIZ51" s="21"/>
      <c r="IJA51" s="21"/>
      <c r="IJB51" s="21"/>
      <c r="IJC51" s="21"/>
      <c r="IJD51" s="21"/>
      <c r="IJE51" s="21"/>
      <c r="IJF51" s="21"/>
      <c r="IJG51" s="21"/>
      <c r="IJH51" s="21"/>
      <c r="IJI51" s="21"/>
      <c r="IJJ51" s="21"/>
      <c r="IJK51" s="21"/>
      <c r="IJL51" s="21"/>
      <c r="IJM51" s="21"/>
      <c r="IJN51" s="21"/>
      <c r="IJO51" s="21"/>
      <c r="IJP51" s="21"/>
      <c r="IJQ51" s="21"/>
      <c r="IJR51" s="21"/>
      <c r="IJS51" s="21"/>
      <c r="IJT51" s="21"/>
      <c r="IJU51" s="21"/>
      <c r="IJV51" s="21"/>
      <c r="IJW51" s="21"/>
      <c r="IJX51" s="21"/>
      <c r="IJY51" s="21"/>
      <c r="IJZ51" s="21"/>
      <c r="IKA51" s="21"/>
      <c r="IKB51" s="21"/>
      <c r="IKC51" s="21"/>
      <c r="IKD51" s="21"/>
      <c r="IKE51" s="21"/>
      <c r="IKF51" s="21"/>
      <c r="IKG51" s="21"/>
      <c r="IKH51" s="21"/>
      <c r="IKI51" s="21"/>
      <c r="IKJ51" s="21"/>
      <c r="IKK51" s="21"/>
      <c r="IKL51" s="21"/>
      <c r="IKM51" s="21"/>
      <c r="IKN51" s="21"/>
      <c r="IKO51" s="21"/>
      <c r="IKP51" s="21"/>
      <c r="IKQ51" s="21"/>
      <c r="IKR51" s="21"/>
      <c r="IKS51" s="21"/>
      <c r="IKT51" s="21"/>
      <c r="IKU51" s="21"/>
      <c r="IKV51" s="21"/>
      <c r="IKW51" s="21"/>
      <c r="IKX51" s="21"/>
      <c r="IKY51" s="21"/>
      <c r="IKZ51" s="21"/>
      <c r="ILA51" s="21"/>
      <c r="ILB51" s="21"/>
      <c r="ILC51" s="21"/>
      <c r="ILD51" s="21"/>
      <c r="ILE51" s="21"/>
      <c r="ILF51" s="21"/>
      <c r="ILG51" s="21"/>
      <c r="ILH51" s="21"/>
      <c r="ILI51" s="21"/>
      <c r="ILJ51" s="21"/>
      <c r="ILK51" s="21"/>
      <c r="ILL51" s="21"/>
      <c r="ILM51" s="21"/>
      <c r="ILN51" s="21"/>
      <c r="ILO51" s="21"/>
      <c r="ILP51" s="21"/>
      <c r="ILQ51" s="21"/>
      <c r="ILR51" s="21"/>
      <c r="ILS51" s="21"/>
      <c r="ILT51" s="21"/>
      <c r="ILU51" s="21"/>
      <c r="ILV51" s="21"/>
      <c r="ILW51" s="21"/>
      <c r="ILX51" s="21"/>
      <c r="ILY51" s="21"/>
      <c r="ILZ51" s="21"/>
      <c r="IMA51" s="21"/>
      <c r="IMB51" s="21"/>
      <c r="IMC51" s="21"/>
      <c r="IMD51" s="21"/>
      <c r="IME51" s="21"/>
      <c r="IMF51" s="21"/>
      <c r="IMG51" s="21"/>
      <c r="IMH51" s="21"/>
      <c r="IMI51" s="21"/>
      <c r="IMJ51" s="21"/>
      <c r="IMK51" s="21"/>
      <c r="IML51" s="21"/>
      <c r="IMM51" s="21"/>
      <c r="IMN51" s="21"/>
      <c r="IMO51" s="21"/>
      <c r="IMP51" s="21"/>
      <c r="IMQ51" s="21"/>
      <c r="IMR51" s="21"/>
      <c r="IMS51" s="21"/>
      <c r="IMT51" s="21"/>
      <c r="IMU51" s="21"/>
      <c r="IMV51" s="21"/>
      <c r="IMW51" s="21"/>
      <c r="IMX51" s="21"/>
      <c r="IMY51" s="21"/>
      <c r="IMZ51" s="21"/>
      <c r="INA51" s="21"/>
      <c r="INB51" s="21"/>
      <c r="INC51" s="21"/>
      <c r="IND51" s="21"/>
      <c r="INE51" s="21"/>
      <c r="INF51" s="21"/>
      <c r="ING51" s="21"/>
      <c r="INH51" s="21"/>
      <c r="INI51" s="21"/>
      <c r="INJ51" s="21"/>
      <c r="INK51" s="21"/>
      <c r="INL51" s="21"/>
      <c r="INM51" s="21"/>
      <c r="INN51" s="21"/>
      <c r="INO51" s="21"/>
      <c r="INP51" s="21"/>
      <c r="INQ51" s="21"/>
      <c r="INR51" s="21"/>
      <c r="INS51" s="21"/>
      <c r="INT51" s="21"/>
      <c r="INU51" s="21"/>
      <c r="INV51" s="21"/>
      <c r="INW51" s="21"/>
      <c r="INX51" s="21"/>
      <c r="INY51" s="21"/>
      <c r="INZ51" s="21"/>
      <c r="IOA51" s="21"/>
      <c r="IOB51" s="21"/>
      <c r="IOC51" s="21"/>
      <c r="IOD51" s="21"/>
      <c r="IOE51" s="21"/>
      <c r="IOF51" s="21"/>
      <c r="IOG51" s="21"/>
      <c r="IOH51" s="21"/>
      <c r="IOI51" s="21"/>
      <c r="IOJ51" s="21"/>
      <c r="IOK51" s="21"/>
      <c r="IOL51" s="21"/>
      <c r="IOM51" s="21"/>
      <c r="ION51" s="21"/>
      <c r="IOO51" s="21"/>
      <c r="IOP51" s="21"/>
      <c r="IOQ51" s="21"/>
      <c r="IOR51" s="21"/>
      <c r="IOS51" s="21"/>
      <c r="IOT51" s="21"/>
      <c r="IOU51" s="21"/>
      <c r="IOV51" s="21"/>
      <c r="IOW51" s="21"/>
      <c r="IOX51" s="21"/>
      <c r="IOY51" s="21"/>
      <c r="IOZ51" s="21"/>
      <c r="IPA51" s="21"/>
      <c r="IPB51" s="21"/>
      <c r="IPC51" s="21"/>
      <c r="IPD51" s="21"/>
      <c r="IPE51" s="21"/>
      <c r="IPF51" s="21"/>
      <c r="IPG51" s="21"/>
      <c r="IPH51" s="21"/>
      <c r="IPI51" s="21"/>
      <c r="IPJ51" s="21"/>
      <c r="IPK51" s="21"/>
      <c r="IPL51" s="21"/>
      <c r="IPM51" s="21"/>
      <c r="IPN51" s="21"/>
      <c r="IPO51" s="21"/>
      <c r="IPP51" s="21"/>
      <c r="IPQ51" s="21"/>
      <c r="IPR51" s="21"/>
      <c r="IPS51" s="21"/>
      <c r="IPT51" s="21"/>
      <c r="IPU51" s="21"/>
      <c r="IPV51" s="21"/>
      <c r="IPW51" s="21"/>
      <c r="IPX51" s="21"/>
      <c r="IPY51" s="21"/>
      <c r="IPZ51" s="21"/>
      <c r="IQA51" s="21"/>
      <c r="IQB51" s="21"/>
      <c r="IQC51" s="21"/>
      <c r="IQD51" s="21"/>
      <c r="IQE51" s="21"/>
      <c r="IQF51" s="21"/>
      <c r="IQG51" s="21"/>
      <c r="IQH51" s="21"/>
      <c r="IQI51" s="21"/>
      <c r="IQJ51" s="21"/>
      <c r="IQK51" s="21"/>
      <c r="IQL51" s="21"/>
      <c r="IQM51" s="21"/>
      <c r="IQN51" s="21"/>
      <c r="IQO51" s="21"/>
      <c r="IQP51" s="21"/>
      <c r="IQQ51" s="21"/>
      <c r="IQR51" s="21"/>
      <c r="IQS51" s="21"/>
      <c r="IQT51" s="21"/>
      <c r="IQU51" s="21"/>
      <c r="IQV51" s="21"/>
      <c r="IQW51" s="21"/>
      <c r="IQX51" s="21"/>
      <c r="IQY51" s="21"/>
      <c r="IQZ51" s="21"/>
      <c r="IRA51" s="21"/>
      <c r="IRB51" s="21"/>
      <c r="IRC51" s="21"/>
      <c r="IRD51" s="21"/>
      <c r="IRE51" s="21"/>
      <c r="IRF51" s="21"/>
      <c r="IRG51" s="21"/>
      <c r="IRH51" s="21"/>
      <c r="IRI51" s="21"/>
      <c r="IRJ51" s="21"/>
      <c r="IRK51" s="21"/>
      <c r="IRL51" s="21"/>
      <c r="IRM51" s="21"/>
      <c r="IRN51" s="21"/>
      <c r="IRO51" s="21"/>
      <c r="IRP51" s="21"/>
      <c r="IRQ51" s="21"/>
      <c r="IRR51" s="21"/>
      <c r="IRS51" s="21"/>
      <c r="IRT51" s="21"/>
      <c r="IRU51" s="21"/>
      <c r="IRV51" s="21"/>
      <c r="IRW51" s="21"/>
      <c r="IRX51" s="21"/>
      <c r="IRY51" s="21"/>
      <c r="IRZ51" s="21"/>
      <c r="ISA51" s="21"/>
      <c r="ISB51" s="21"/>
      <c r="ISC51" s="21"/>
      <c r="ISD51" s="21"/>
      <c r="ISE51" s="21"/>
      <c r="ISF51" s="21"/>
      <c r="ISG51" s="21"/>
      <c r="ISH51" s="21"/>
      <c r="ISI51" s="21"/>
      <c r="ISJ51" s="21"/>
      <c r="ISK51" s="21"/>
      <c r="ISL51" s="21"/>
      <c r="ISM51" s="21"/>
      <c r="ISN51" s="21"/>
      <c r="ISO51" s="21"/>
      <c r="ISP51" s="21"/>
      <c r="ISQ51" s="21"/>
      <c r="ISR51" s="21"/>
      <c r="ISS51" s="21"/>
      <c r="IST51" s="21"/>
      <c r="ISU51" s="21"/>
      <c r="ISV51" s="21"/>
      <c r="ISW51" s="21"/>
      <c r="ISX51" s="21"/>
      <c r="ISY51" s="21"/>
      <c r="ISZ51" s="21"/>
      <c r="ITA51" s="21"/>
      <c r="ITB51" s="21"/>
      <c r="ITC51" s="21"/>
      <c r="ITD51" s="21"/>
      <c r="ITE51" s="21"/>
      <c r="ITF51" s="21"/>
      <c r="ITG51" s="21"/>
      <c r="ITH51" s="21"/>
      <c r="ITI51" s="21"/>
      <c r="ITJ51" s="21"/>
      <c r="ITK51" s="21"/>
      <c r="ITL51" s="21"/>
      <c r="ITM51" s="21"/>
      <c r="ITN51" s="21"/>
      <c r="ITO51" s="21"/>
      <c r="ITP51" s="21"/>
      <c r="ITQ51" s="21"/>
      <c r="ITR51" s="21"/>
      <c r="ITS51" s="21"/>
      <c r="ITT51" s="21"/>
      <c r="ITU51" s="21"/>
      <c r="ITV51" s="21"/>
      <c r="ITW51" s="21"/>
      <c r="ITX51" s="21"/>
      <c r="ITY51" s="21"/>
      <c r="ITZ51" s="21"/>
      <c r="IUA51" s="21"/>
      <c r="IUB51" s="21"/>
      <c r="IUC51" s="21"/>
      <c r="IUD51" s="21"/>
      <c r="IUE51" s="21"/>
      <c r="IUF51" s="21"/>
      <c r="IUG51" s="21"/>
      <c r="IUH51" s="21"/>
      <c r="IUI51" s="21"/>
      <c r="IUJ51" s="21"/>
      <c r="IUK51" s="21"/>
      <c r="IUL51" s="21"/>
      <c r="IUM51" s="21"/>
      <c r="IUN51" s="21"/>
      <c r="IUO51" s="21"/>
      <c r="IUP51" s="21"/>
      <c r="IUQ51" s="21"/>
      <c r="IUR51" s="21"/>
      <c r="IUS51" s="21"/>
      <c r="IUT51" s="21"/>
      <c r="IUU51" s="21"/>
      <c r="IUV51" s="21"/>
      <c r="IUW51" s="21"/>
      <c r="IUX51" s="21"/>
      <c r="IUY51" s="21"/>
      <c r="IUZ51" s="21"/>
      <c r="IVA51" s="21"/>
      <c r="IVB51" s="21"/>
      <c r="IVC51" s="21"/>
      <c r="IVD51" s="21"/>
      <c r="IVE51" s="21"/>
      <c r="IVF51" s="21"/>
      <c r="IVG51" s="21"/>
      <c r="IVH51" s="21"/>
      <c r="IVI51" s="21"/>
      <c r="IVJ51" s="21"/>
      <c r="IVK51" s="21"/>
      <c r="IVL51" s="21"/>
      <c r="IVM51" s="21"/>
      <c r="IVN51" s="21"/>
      <c r="IVO51" s="21"/>
      <c r="IVP51" s="21"/>
      <c r="IVQ51" s="21"/>
      <c r="IVR51" s="21"/>
      <c r="IVS51" s="21"/>
      <c r="IVT51" s="21"/>
      <c r="IVU51" s="21"/>
      <c r="IVV51" s="21"/>
      <c r="IVW51" s="21"/>
      <c r="IVX51" s="21"/>
      <c r="IVY51" s="21"/>
      <c r="IVZ51" s="21"/>
      <c r="IWA51" s="21"/>
      <c r="IWB51" s="21"/>
      <c r="IWC51" s="21"/>
      <c r="IWD51" s="21"/>
      <c r="IWE51" s="21"/>
      <c r="IWF51" s="21"/>
      <c r="IWG51" s="21"/>
      <c r="IWH51" s="21"/>
      <c r="IWI51" s="21"/>
      <c r="IWJ51" s="21"/>
      <c r="IWK51" s="21"/>
      <c r="IWL51" s="21"/>
      <c r="IWM51" s="21"/>
      <c r="IWN51" s="21"/>
      <c r="IWO51" s="21"/>
      <c r="IWP51" s="21"/>
      <c r="IWQ51" s="21"/>
      <c r="IWR51" s="21"/>
      <c r="IWS51" s="21"/>
      <c r="IWT51" s="21"/>
      <c r="IWU51" s="21"/>
      <c r="IWV51" s="21"/>
      <c r="IWW51" s="21"/>
      <c r="IWX51" s="21"/>
      <c r="IWY51" s="21"/>
      <c r="IWZ51" s="21"/>
      <c r="IXA51" s="21"/>
      <c r="IXB51" s="21"/>
      <c r="IXC51" s="21"/>
      <c r="IXD51" s="21"/>
      <c r="IXE51" s="21"/>
      <c r="IXF51" s="21"/>
      <c r="IXG51" s="21"/>
      <c r="IXH51" s="21"/>
      <c r="IXI51" s="21"/>
      <c r="IXJ51" s="21"/>
      <c r="IXK51" s="21"/>
      <c r="IXL51" s="21"/>
      <c r="IXM51" s="21"/>
      <c r="IXN51" s="21"/>
      <c r="IXO51" s="21"/>
      <c r="IXP51" s="21"/>
      <c r="IXQ51" s="21"/>
      <c r="IXR51" s="21"/>
      <c r="IXS51" s="21"/>
      <c r="IXT51" s="21"/>
      <c r="IXU51" s="21"/>
      <c r="IXV51" s="21"/>
      <c r="IXW51" s="21"/>
      <c r="IXX51" s="21"/>
      <c r="IXY51" s="21"/>
      <c r="IXZ51" s="21"/>
      <c r="IYA51" s="21"/>
      <c r="IYB51" s="21"/>
      <c r="IYC51" s="21"/>
      <c r="IYD51" s="21"/>
      <c r="IYE51" s="21"/>
      <c r="IYF51" s="21"/>
      <c r="IYG51" s="21"/>
      <c r="IYH51" s="21"/>
      <c r="IYI51" s="21"/>
      <c r="IYJ51" s="21"/>
      <c r="IYK51" s="21"/>
      <c r="IYL51" s="21"/>
      <c r="IYM51" s="21"/>
      <c r="IYN51" s="21"/>
      <c r="IYO51" s="21"/>
      <c r="IYP51" s="21"/>
      <c r="IYQ51" s="21"/>
      <c r="IYR51" s="21"/>
      <c r="IYS51" s="21"/>
      <c r="IYT51" s="21"/>
      <c r="IYU51" s="21"/>
      <c r="IYV51" s="21"/>
      <c r="IYW51" s="21"/>
      <c r="IYX51" s="21"/>
      <c r="IYY51" s="21"/>
      <c r="IYZ51" s="21"/>
      <c r="IZA51" s="21"/>
      <c r="IZB51" s="21"/>
      <c r="IZC51" s="21"/>
      <c r="IZD51" s="21"/>
      <c r="IZE51" s="21"/>
      <c r="IZF51" s="21"/>
      <c r="IZG51" s="21"/>
      <c r="IZH51" s="21"/>
      <c r="IZI51" s="21"/>
      <c r="IZJ51" s="21"/>
      <c r="IZK51" s="21"/>
      <c r="IZL51" s="21"/>
      <c r="IZM51" s="21"/>
      <c r="IZN51" s="21"/>
      <c r="IZO51" s="21"/>
      <c r="IZP51" s="21"/>
      <c r="IZQ51" s="21"/>
      <c r="IZR51" s="21"/>
      <c r="IZS51" s="21"/>
      <c r="IZT51" s="21"/>
      <c r="IZU51" s="21"/>
      <c r="IZV51" s="21"/>
      <c r="IZW51" s="21"/>
      <c r="IZX51" s="21"/>
      <c r="IZY51" s="21"/>
      <c r="IZZ51" s="21"/>
      <c r="JAA51" s="21"/>
      <c r="JAB51" s="21"/>
      <c r="JAC51" s="21"/>
      <c r="JAD51" s="21"/>
      <c r="JAE51" s="21"/>
      <c r="JAF51" s="21"/>
      <c r="JAG51" s="21"/>
      <c r="JAH51" s="21"/>
      <c r="JAI51" s="21"/>
      <c r="JAJ51" s="21"/>
      <c r="JAK51" s="21"/>
      <c r="JAL51" s="21"/>
      <c r="JAM51" s="21"/>
      <c r="JAN51" s="21"/>
      <c r="JAO51" s="21"/>
      <c r="JAP51" s="21"/>
      <c r="JAQ51" s="21"/>
      <c r="JAR51" s="21"/>
      <c r="JAS51" s="21"/>
      <c r="JAT51" s="21"/>
      <c r="JAU51" s="21"/>
      <c r="JAV51" s="21"/>
      <c r="JAW51" s="21"/>
      <c r="JAX51" s="21"/>
      <c r="JAY51" s="21"/>
      <c r="JAZ51" s="21"/>
      <c r="JBA51" s="21"/>
      <c r="JBB51" s="21"/>
      <c r="JBC51" s="21"/>
      <c r="JBD51" s="21"/>
      <c r="JBE51" s="21"/>
      <c r="JBF51" s="21"/>
      <c r="JBG51" s="21"/>
      <c r="JBH51" s="21"/>
      <c r="JBI51" s="21"/>
      <c r="JBJ51" s="21"/>
      <c r="JBK51" s="21"/>
      <c r="JBL51" s="21"/>
      <c r="JBM51" s="21"/>
      <c r="JBN51" s="21"/>
      <c r="JBO51" s="21"/>
      <c r="JBP51" s="21"/>
      <c r="JBQ51" s="21"/>
      <c r="JBR51" s="21"/>
      <c r="JBS51" s="21"/>
      <c r="JBT51" s="21"/>
      <c r="JBU51" s="21"/>
      <c r="JBV51" s="21"/>
      <c r="JBW51" s="21"/>
      <c r="JBX51" s="21"/>
      <c r="JBY51" s="21"/>
      <c r="JBZ51" s="21"/>
      <c r="JCA51" s="21"/>
      <c r="JCB51" s="21"/>
      <c r="JCC51" s="21"/>
      <c r="JCD51" s="21"/>
      <c r="JCE51" s="21"/>
      <c r="JCF51" s="21"/>
      <c r="JCG51" s="21"/>
      <c r="JCH51" s="21"/>
      <c r="JCI51" s="21"/>
      <c r="JCJ51" s="21"/>
      <c r="JCK51" s="21"/>
      <c r="JCL51" s="21"/>
      <c r="JCM51" s="21"/>
      <c r="JCN51" s="21"/>
      <c r="JCO51" s="21"/>
      <c r="JCP51" s="21"/>
      <c r="JCQ51" s="21"/>
      <c r="JCR51" s="21"/>
      <c r="JCS51" s="21"/>
      <c r="JCT51" s="21"/>
      <c r="JCU51" s="21"/>
      <c r="JCV51" s="21"/>
      <c r="JCW51" s="21"/>
      <c r="JCX51" s="21"/>
      <c r="JCY51" s="21"/>
      <c r="JCZ51" s="21"/>
      <c r="JDA51" s="21"/>
      <c r="JDB51" s="21"/>
      <c r="JDC51" s="21"/>
      <c r="JDD51" s="21"/>
      <c r="JDE51" s="21"/>
      <c r="JDF51" s="21"/>
      <c r="JDG51" s="21"/>
      <c r="JDH51" s="21"/>
      <c r="JDI51" s="21"/>
      <c r="JDJ51" s="21"/>
      <c r="JDK51" s="21"/>
      <c r="JDL51" s="21"/>
      <c r="JDM51" s="21"/>
      <c r="JDN51" s="21"/>
      <c r="JDO51" s="21"/>
      <c r="JDP51" s="21"/>
      <c r="JDQ51" s="21"/>
      <c r="JDR51" s="21"/>
      <c r="JDS51" s="21"/>
      <c r="JDT51" s="21"/>
      <c r="JDU51" s="21"/>
      <c r="JDV51" s="21"/>
      <c r="JDW51" s="21"/>
      <c r="JDX51" s="21"/>
      <c r="JDY51" s="21"/>
      <c r="JDZ51" s="21"/>
      <c r="JEA51" s="21"/>
      <c r="JEB51" s="21"/>
      <c r="JEC51" s="21"/>
      <c r="JED51" s="21"/>
      <c r="JEE51" s="21"/>
      <c r="JEF51" s="21"/>
      <c r="JEG51" s="21"/>
      <c r="JEH51" s="21"/>
      <c r="JEI51" s="21"/>
      <c r="JEJ51" s="21"/>
      <c r="JEK51" s="21"/>
      <c r="JEL51" s="21"/>
      <c r="JEM51" s="21"/>
      <c r="JEN51" s="21"/>
      <c r="JEO51" s="21"/>
      <c r="JEP51" s="21"/>
      <c r="JEQ51" s="21"/>
      <c r="JER51" s="21"/>
      <c r="JES51" s="21"/>
      <c r="JET51" s="21"/>
      <c r="JEU51" s="21"/>
      <c r="JEV51" s="21"/>
      <c r="JEW51" s="21"/>
      <c r="JEX51" s="21"/>
      <c r="JEY51" s="21"/>
      <c r="JEZ51" s="21"/>
      <c r="JFA51" s="21"/>
      <c r="JFB51" s="21"/>
      <c r="JFC51" s="21"/>
      <c r="JFD51" s="21"/>
      <c r="JFE51" s="21"/>
      <c r="JFF51" s="21"/>
      <c r="JFG51" s="21"/>
      <c r="JFH51" s="21"/>
      <c r="JFI51" s="21"/>
      <c r="JFJ51" s="21"/>
      <c r="JFK51" s="21"/>
      <c r="JFL51" s="21"/>
      <c r="JFM51" s="21"/>
      <c r="JFN51" s="21"/>
      <c r="JFO51" s="21"/>
      <c r="JFP51" s="21"/>
      <c r="JFQ51" s="21"/>
      <c r="JFR51" s="21"/>
      <c r="JFS51" s="21"/>
      <c r="JFT51" s="21"/>
      <c r="JFU51" s="21"/>
      <c r="JFV51" s="21"/>
      <c r="JFW51" s="21"/>
      <c r="JFX51" s="21"/>
      <c r="JFY51" s="21"/>
      <c r="JFZ51" s="21"/>
      <c r="JGA51" s="21"/>
      <c r="JGB51" s="21"/>
      <c r="JGC51" s="21"/>
      <c r="JGD51" s="21"/>
      <c r="JGE51" s="21"/>
      <c r="JGF51" s="21"/>
      <c r="JGG51" s="21"/>
      <c r="JGH51" s="21"/>
      <c r="JGI51" s="21"/>
      <c r="JGJ51" s="21"/>
      <c r="JGK51" s="21"/>
      <c r="JGL51" s="21"/>
      <c r="JGM51" s="21"/>
      <c r="JGN51" s="21"/>
      <c r="JGO51" s="21"/>
      <c r="JGP51" s="21"/>
      <c r="JGQ51" s="21"/>
      <c r="JGR51" s="21"/>
      <c r="JGS51" s="21"/>
      <c r="JGT51" s="21"/>
      <c r="JGU51" s="21"/>
      <c r="JGV51" s="21"/>
      <c r="JGW51" s="21"/>
      <c r="JGX51" s="21"/>
      <c r="JGY51" s="21"/>
      <c r="JGZ51" s="21"/>
      <c r="JHA51" s="21"/>
      <c r="JHB51" s="21"/>
      <c r="JHC51" s="21"/>
      <c r="JHD51" s="21"/>
      <c r="JHE51" s="21"/>
      <c r="JHF51" s="21"/>
      <c r="JHG51" s="21"/>
      <c r="JHH51" s="21"/>
      <c r="JHI51" s="21"/>
      <c r="JHJ51" s="21"/>
      <c r="JHK51" s="21"/>
      <c r="JHL51" s="21"/>
      <c r="JHM51" s="21"/>
      <c r="JHN51" s="21"/>
      <c r="JHO51" s="21"/>
      <c r="JHP51" s="21"/>
      <c r="JHQ51" s="21"/>
      <c r="JHR51" s="21"/>
      <c r="JHS51" s="21"/>
      <c r="JHT51" s="21"/>
      <c r="JHU51" s="21"/>
      <c r="JHV51" s="21"/>
      <c r="JHW51" s="21"/>
      <c r="JHX51" s="21"/>
      <c r="JHY51" s="21"/>
      <c r="JHZ51" s="21"/>
      <c r="JIA51" s="21"/>
      <c r="JIB51" s="21"/>
      <c r="JIC51" s="21"/>
      <c r="JID51" s="21"/>
      <c r="JIE51" s="21"/>
      <c r="JIF51" s="21"/>
      <c r="JIG51" s="21"/>
      <c r="JIH51" s="21"/>
      <c r="JII51" s="21"/>
      <c r="JIJ51" s="21"/>
      <c r="JIK51" s="21"/>
      <c r="JIL51" s="21"/>
      <c r="JIM51" s="21"/>
      <c r="JIN51" s="21"/>
      <c r="JIO51" s="21"/>
      <c r="JIP51" s="21"/>
      <c r="JIQ51" s="21"/>
      <c r="JIR51" s="21"/>
      <c r="JIS51" s="21"/>
      <c r="JIT51" s="21"/>
      <c r="JIU51" s="21"/>
      <c r="JIV51" s="21"/>
      <c r="JIW51" s="21"/>
      <c r="JIX51" s="21"/>
      <c r="JIY51" s="21"/>
      <c r="JIZ51" s="21"/>
      <c r="JJA51" s="21"/>
      <c r="JJB51" s="21"/>
      <c r="JJC51" s="21"/>
      <c r="JJD51" s="21"/>
      <c r="JJE51" s="21"/>
      <c r="JJF51" s="21"/>
      <c r="JJG51" s="21"/>
      <c r="JJH51" s="21"/>
      <c r="JJI51" s="21"/>
      <c r="JJJ51" s="21"/>
      <c r="JJK51" s="21"/>
      <c r="JJL51" s="21"/>
      <c r="JJM51" s="21"/>
      <c r="JJN51" s="21"/>
      <c r="JJO51" s="21"/>
      <c r="JJP51" s="21"/>
      <c r="JJQ51" s="21"/>
      <c r="JJR51" s="21"/>
      <c r="JJS51" s="21"/>
      <c r="JJT51" s="21"/>
      <c r="JJU51" s="21"/>
      <c r="JJV51" s="21"/>
      <c r="JJW51" s="21"/>
      <c r="JJX51" s="21"/>
      <c r="JJY51" s="21"/>
      <c r="JJZ51" s="21"/>
      <c r="JKA51" s="21"/>
      <c r="JKB51" s="21"/>
      <c r="JKC51" s="21"/>
      <c r="JKD51" s="21"/>
      <c r="JKE51" s="21"/>
      <c r="JKF51" s="21"/>
      <c r="JKG51" s="21"/>
      <c r="JKH51" s="21"/>
      <c r="JKI51" s="21"/>
      <c r="JKJ51" s="21"/>
      <c r="JKK51" s="21"/>
      <c r="JKL51" s="21"/>
      <c r="JKM51" s="21"/>
      <c r="JKN51" s="21"/>
      <c r="JKO51" s="21"/>
      <c r="JKP51" s="21"/>
      <c r="JKQ51" s="21"/>
      <c r="JKR51" s="21"/>
      <c r="JKS51" s="21"/>
      <c r="JKT51" s="21"/>
      <c r="JKU51" s="21"/>
      <c r="JKV51" s="21"/>
      <c r="JKW51" s="21"/>
      <c r="JKX51" s="21"/>
      <c r="JKY51" s="21"/>
      <c r="JKZ51" s="21"/>
      <c r="JLA51" s="21"/>
      <c r="JLB51" s="21"/>
      <c r="JLC51" s="21"/>
      <c r="JLD51" s="21"/>
      <c r="JLE51" s="21"/>
      <c r="JLF51" s="21"/>
      <c r="JLG51" s="21"/>
      <c r="JLH51" s="21"/>
      <c r="JLI51" s="21"/>
      <c r="JLJ51" s="21"/>
      <c r="JLK51" s="21"/>
      <c r="JLL51" s="21"/>
      <c r="JLM51" s="21"/>
      <c r="JLN51" s="21"/>
      <c r="JLO51" s="21"/>
      <c r="JLP51" s="21"/>
      <c r="JLQ51" s="21"/>
      <c r="JLR51" s="21"/>
      <c r="JLS51" s="21"/>
      <c r="JLT51" s="21"/>
      <c r="JLU51" s="21"/>
      <c r="JLV51" s="21"/>
      <c r="JLW51" s="21"/>
      <c r="JLX51" s="21"/>
      <c r="JLY51" s="21"/>
      <c r="JLZ51" s="21"/>
      <c r="JMA51" s="21"/>
      <c r="JMB51" s="21"/>
      <c r="JMC51" s="21"/>
      <c r="JMD51" s="21"/>
      <c r="JME51" s="21"/>
      <c r="JMF51" s="21"/>
      <c r="JMG51" s="21"/>
      <c r="JMH51" s="21"/>
      <c r="JMI51" s="21"/>
      <c r="JMJ51" s="21"/>
      <c r="JMK51" s="21"/>
      <c r="JML51" s="21"/>
      <c r="JMM51" s="21"/>
      <c r="JMN51" s="21"/>
      <c r="JMO51" s="21"/>
      <c r="JMP51" s="21"/>
      <c r="JMQ51" s="21"/>
      <c r="JMR51" s="21"/>
      <c r="JMS51" s="21"/>
      <c r="JMT51" s="21"/>
      <c r="JMU51" s="21"/>
      <c r="JMV51" s="21"/>
      <c r="JMW51" s="21"/>
      <c r="JMX51" s="21"/>
      <c r="JMY51" s="21"/>
      <c r="JMZ51" s="21"/>
      <c r="JNA51" s="21"/>
      <c r="JNB51" s="21"/>
      <c r="JNC51" s="21"/>
      <c r="JND51" s="21"/>
      <c r="JNE51" s="21"/>
      <c r="JNF51" s="21"/>
      <c r="JNG51" s="21"/>
      <c r="JNH51" s="21"/>
      <c r="JNI51" s="21"/>
      <c r="JNJ51" s="21"/>
      <c r="JNK51" s="21"/>
      <c r="JNL51" s="21"/>
      <c r="JNM51" s="21"/>
      <c r="JNN51" s="21"/>
      <c r="JNO51" s="21"/>
      <c r="JNP51" s="21"/>
      <c r="JNQ51" s="21"/>
      <c r="JNR51" s="21"/>
      <c r="JNS51" s="21"/>
      <c r="JNT51" s="21"/>
      <c r="JNU51" s="21"/>
      <c r="JNV51" s="21"/>
      <c r="JNW51" s="21"/>
      <c r="JNX51" s="21"/>
      <c r="JNY51" s="21"/>
      <c r="JNZ51" s="21"/>
      <c r="JOA51" s="21"/>
      <c r="JOB51" s="21"/>
      <c r="JOC51" s="21"/>
      <c r="JOD51" s="21"/>
      <c r="JOE51" s="21"/>
      <c r="JOF51" s="21"/>
      <c r="JOG51" s="21"/>
      <c r="JOH51" s="21"/>
      <c r="JOI51" s="21"/>
      <c r="JOJ51" s="21"/>
      <c r="JOK51" s="21"/>
      <c r="JOL51" s="21"/>
      <c r="JOM51" s="21"/>
      <c r="JON51" s="21"/>
      <c r="JOO51" s="21"/>
      <c r="JOP51" s="21"/>
      <c r="JOQ51" s="21"/>
      <c r="JOR51" s="21"/>
      <c r="JOS51" s="21"/>
      <c r="JOT51" s="21"/>
      <c r="JOU51" s="21"/>
      <c r="JOV51" s="21"/>
      <c r="JOW51" s="21"/>
      <c r="JOX51" s="21"/>
      <c r="JOY51" s="21"/>
      <c r="JOZ51" s="21"/>
      <c r="JPA51" s="21"/>
      <c r="JPB51" s="21"/>
      <c r="JPC51" s="21"/>
      <c r="JPD51" s="21"/>
      <c r="JPE51" s="21"/>
      <c r="JPF51" s="21"/>
      <c r="JPG51" s="21"/>
      <c r="JPH51" s="21"/>
      <c r="JPI51" s="21"/>
      <c r="JPJ51" s="21"/>
      <c r="JPK51" s="21"/>
      <c r="JPL51" s="21"/>
      <c r="JPM51" s="21"/>
      <c r="JPN51" s="21"/>
      <c r="JPO51" s="21"/>
      <c r="JPP51" s="21"/>
      <c r="JPQ51" s="21"/>
      <c r="JPR51" s="21"/>
      <c r="JPS51" s="21"/>
      <c r="JPT51" s="21"/>
      <c r="JPU51" s="21"/>
      <c r="JPV51" s="21"/>
      <c r="JPW51" s="21"/>
      <c r="JPX51" s="21"/>
      <c r="JPY51" s="21"/>
      <c r="JPZ51" s="21"/>
      <c r="JQA51" s="21"/>
      <c r="JQB51" s="21"/>
      <c r="JQC51" s="21"/>
      <c r="JQD51" s="21"/>
      <c r="JQE51" s="21"/>
      <c r="JQF51" s="21"/>
      <c r="JQG51" s="21"/>
      <c r="JQH51" s="21"/>
      <c r="JQI51" s="21"/>
      <c r="JQJ51" s="21"/>
      <c r="JQK51" s="21"/>
      <c r="JQL51" s="21"/>
      <c r="JQM51" s="21"/>
      <c r="JQN51" s="21"/>
      <c r="JQO51" s="21"/>
      <c r="JQP51" s="21"/>
      <c r="JQQ51" s="21"/>
      <c r="JQR51" s="21"/>
      <c r="JQS51" s="21"/>
      <c r="JQT51" s="21"/>
      <c r="JQU51" s="21"/>
      <c r="JQV51" s="21"/>
      <c r="JQW51" s="21"/>
      <c r="JQX51" s="21"/>
      <c r="JQY51" s="21"/>
      <c r="JQZ51" s="21"/>
      <c r="JRA51" s="21"/>
      <c r="JRB51" s="21"/>
      <c r="JRC51" s="21"/>
      <c r="JRD51" s="21"/>
      <c r="JRE51" s="21"/>
      <c r="JRF51" s="21"/>
      <c r="JRG51" s="21"/>
      <c r="JRH51" s="21"/>
      <c r="JRI51" s="21"/>
      <c r="JRJ51" s="21"/>
      <c r="JRK51" s="21"/>
      <c r="JRL51" s="21"/>
      <c r="JRM51" s="21"/>
      <c r="JRN51" s="21"/>
      <c r="JRO51" s="21"/>
      <c r="JRP51" s="21"/>
      <c r="JRQ51" s="21"/>
      <c r="JRR51" s="21"/>
      <c r="JRS51" s="21"/>
      <c r="JRT51" s="21"/>
      <c r="JRU51" s="21"/>
      <c r="JRV51" s="21"/>
      <c r="JRW51" s="21"/>
      <c r="JRX51" s="21"/>
      <c r="JRY51" s="21"/>
      <c r="JRZ51" s="21"/>
      <c r="JSA51" s="21"/>
      <c r="JSB51" s="21"/>
      <c r="JSC51" s="21"/>
      <c r="JSD51" s="21"/>
      <c r="JSE51" s="21"/>
      <c r="JSF51" s="21"/>
      <c r="JSG51" s="21"/>
      <c r="JSH51" s="21"/>
      <c r="JSI51" s="21"/>
      <c r="JSJ51" s="21"/>
      <c r="JSK51" s="21"/>
      <c r="JSL51" s="21"/>
      <c r="JSM51" s="21"/>
      <c r="JSN51" s="21"/>
      <c r="JSO51" s="21"/>
      <c r="JSP51" s="21"/>
      <c r="JSQ51" s="21"/>
      <c r="JSR51" s="21"/>
      <c r="JSS51" s="21"/>
      <c r="JST51" s="21"/>
      <c r="JSU51" s="21"/>
      <c r="JSV51" s="21"/>
      <c r="JSW51" s="21"/>
      <c r="JSX51" s="21"/>
      <c r="JSY51" s="21"/>
      <c r="JSZ51" s="21"/>
      <c r="JTA51" s="21"/>
      <c r="JTB51" s="21"/>
      <c r="JTC51" s="21"/>
      <c r="JTD51" s="21"/>
      <c r="JTE51" s="21"/>
      <c r="JTF51" s="21"/>
      <c r="JTG51" s="21"/>
      <c r="JTH51" s="21"/>
      <c r="JTI51" s="21"/>
      <c r="JTJ51" s="21"/>
      <c r="JTK51" s="21"/>
      <c r="JTL51" s="21"/>
      <c r="JTM51" s="21"/>
      <c r="JTN51" s="21"/>
      <c r="JTO51" s="21"/>
      <c r="JTP51" s="21"/>
      <c r="JTQ51" s="21"/>
      <c r="JTR51" s="21"/>
      <c r="JTS51" s="21"/>
      <c r="JTT51" s="21"/>
      <c r="JTU51" s="21"/>
      <c r="JTV51" s="21"/>
      <c r="JTW51" s="21"/>
      <c r="JTX51" s="21"/>
      <c r="JTY51" s="21"/>
      <c r="JTZ51" s="21"/>
      <c r="JUA51" s="21"/>
      <c r="JUB51" s="21"/>
      <c r="JUC51" s="21"/>
      <c r="JUD51" s="21"/>
      <c r="JUE51" s="21"/>
      <c r="JUF51" s="21"/>
      <c r="JUG51" s="21"/>
      <c r="JUH51" s="21"/>
      <c r="JUI51" s="21"/>
      <c r="JUJ51" s="21"/>
      <c r="JUK51" s="21"/>
      <c r="JUL51" s="21"/>
      <c r="JUM51" s="21"/>
      <c r="JUN51" s="21"/>
      <c r="JUO51" s="21"/>
      <c r="JUP51" s="21"/>
      <c r="JUQ51" s="21"/>
      <c r="JUR51" s="21"/>
      <c r="JUS51" s="21"/>
      <c r="JUT51" s="21"/>
      <c r="JUU51" s="21"/>
      <c r="JUV51" s="21"/>
      <c r="JUW51" s="21"/>
      <c r="JUX51" s="21"/>
      <c r="JUY51" s="21"/>
      <c r="JUZ51" s="21"/>
      <c r="JVA51" s="21"/>
      <c r="JVB51" s="21"/>
      <c r="JVC51" s="21"/>
      <c r="JVD51" s="21"/>
      <c r="JVE51" s="21"/>
      <c r="JVF51" s="21"/>
      <c r="JVG51" s="21"/>
      <c r="JVH51" s="21"/>
      <c r="JVI51" s="21"/>
      <c r="JVJ51" s="21"/>
      <c r="JVK51" s="21"/>
      <c r="JVL51" s="21"/>
      <c r="JVM51" s="21"/>
      <c r="JVN51" s="21"/>
      <c r="JVO51" s="21"/>
      <c r="JVP51" s="21"/>
      <c r="JVQ51" s="21"/>
      <c r="JVR51" s="21"/>
      <c r="JVS51" s="21"/>
      <c r="JVT51" s="21"/>
      <c r="JVU51" s="21"/>
      <c r="JVV51" s="21"/>
      <c r="JVW51" s="21"/>
      <c r="JVX51" s="21"/>
      <c r="JVY51" s="21"/>
      <c r="JVZ51" s="21"/>
      <c r="JWA51" s="21"/>
      <c r="JWB51" s="21"/>
      <c r="JWC51" s="21"/>
      <c r="JWD51" s="21"/>
      <c r="JWE51" s="21"/>
      <c r="JWF51" s="21"/>
      <c r="JWG51" s="21"/>
      <c r="JWH51" s="21"/>
      <c r="JWI51" s="21"/>
      <c r="JWJ51" s="21"/>
      <c r="JWK51" s="21"/>
      <c r="JWL51" s="21"/>
      <c r="JWM51" s="21"/>
      <c r="JWN51" s="21"/>
      <c r="JWO51" s="21"/>
      <c r="JWP51" s="21"/>
      <c r="JWQ51" s="21"/>
      <c r="JWR51" s="21"/>
      <c r="JWS51" s="21"/>
      <c r="JWT51" s="21"/>
      <c r="JWU51" s="21"/>
      <c r="JWV51" s="21"/>
      <c r="JWW51" s="21"/>
      <c r="JWX51" s="21"/>
      <c r="JWY51" s="21"/>
      <c r="JWZ51" s="21"/>
      <c r="JXA51" s="21"/>
      <c r="JXB51" s="21"/>
      <c r="JXC51" s="21"/>
      <c r="JXD51" s="21"/>
      <c r="JXE51" s="21"/>
      <c r="JXF51" s="21"/>
      <c r="JXG51" s="21"/>
      <c r="JXH51" s="21"/>
      <c r="JXI51" s="21"/>
      <c r="JXJ51" s="21"/>
      <c r="JXK51" s="21"/>
      <c r="JXL51" s="21"/>
      <c r="JXM51" s="21"/>
      <c r="JXN51" s="21"/>
      <c r="JXO51" s="21"/>
      <c r="JXP51" s="21"/>
      <c r="JXQ51" s="21"/>
      <c r="JXR51" s="21"/>
      <c r="JXS51" s="21"/>
      <c r="JXT51" s="21"/>
      <c r="JXU51" s="21"/>
      <c r="JXV51" s="21"/>
      <c r="JXW51" s="21"/>
      <c r="JXX51" s="21"/>
      <c r="JXY51" s="21"/>
      <c r="JXZ51" s="21"/>
      <c r="JYA51" s="21"/>
      <c r="JYB51" s="21"/>
      <c r="JYC51" s="21"/>
      <c r="JYD51" s="21"/>
      <c r="JYE51" s="21"/>
      <c r="JYF51" s="21"/>
      <c r="JYG51" s="21"/>
      <c r="JYH51" s="21"/>
      <c r="JYI51" s="21"/>
      <c r="JYJ51" s="21"/>
      <c r="JYK51" s="21"/>
      <c r="JYL51" s="21"/>
      <c r="JYM51" s="21"/>
      <c r="JYN51" s="21"/>
      <c r="JYO51" s="21"/>
      <c r="JYP51" s="21"/>
      <c r="JYQ51" s="21"/>
      <c r="JYR51" s="21"/>
      <c r="JYS51" s="21"/>
      <c r="JYT51" s="21"/>
      <c r="JYU51" s="21"/>
      <c r="JYV51" s="21"/>
      <c r="JYW51" s="21"/>
      <c r="JYX51" s="21"/>
      <c r="JYY51" s="21"/>
      <c r="JYZ51" s="21"/>
      <c r="JZA51" s="21"/>
      <c r="JZB51" s="21"/>
      <c r="JZC51" s="21"/>
      <c r="JZD51" s="21"/>
      <c r="JZE51" s="21"/>
      <c r="JZF51" s="21"/>
      <c r="JZG51" s="21"/>
      <c r="JZH51" s="21"/>
      <c r="JZI51" s="21"/>
      <c r="JZJ51" s="21"/>
      <c r="JZK51" s="21"/>
      <c r="JZL51" s="21"/>
      <c r="JZM51" s="21"/>
      <c r="JZN51" s="21"/>
      <c r="JZO51" s="21"/>
      <c r="JZP51" s="21"/>
      <c r="JZQ51" s="21"/>
      <c r="JZR51" s="21"/>
      <c r="JZS51" s="21"/>
      <c r="JZT51" s="21"/>
      <c r="JZU51" s="21"/>
      <c r="JZV51" s="21"/>
      <c r="JZW51" s="21"/>
      <c r="JZX51" s="21"/>
      <c r="JZY51" s="21"/>
      <c r="JZZ51" s="21"/>
      <c r="KAA51" s="21"/>
      <c r="KAB51" s="21"/>
      <c r="KAC51" s="21"/>
      <c r="KAD51" s="21"/>
      <c r="KAE51" s="21"/>
      <c r="KAF51" s="21"/>
      <c r="KAG51" s="21"/>
      <c r="KAH51" s="21"/>
      <c r="KAI51" s="21"/>
      <c r="KAJ51" s="21"/>
      <c r="KAK51" s="21"/>
      <c r="KAL51" s="21"/>
      <c r="KAM51" s="21"/>
      <c r="KAN51" s="21"/>
      <c r="KAO51" s="21"/>
      <c r="KAP51" s="21"/>
      <c r="KAQ51" s="21"/>
      <c r="KAR51" s="21"/>
      <c r="KAS51" s="21"/>
      <c r="KAT51" s="21"/>
      <c r="KAU51" s="21"/>
      <c r="KAV51" s="21"/>
      <c r="KAW51" s="21"/>
      <c r="KAX51" s="21"/>
      <c r="KAY51" s="21"/>
      <c r="KAZ51" s="21"/>
      <c r="KBA51" s="21"/>
      <c r="KBB51" s="21"/>
      <c r="KBC51" s="21"/>
      <c r="KBD51" s="21"/>
      <c r="KBE51" s="21"/>
      <c r="KBF51" s="21"/>
      <c r="KBG51" s="21"/>
      <c r="KBH51" s="21"/>
      <c r="KBI51" s="21"/>
      <c r="KBJ51" s="21"/>
      <c r="KBK51" s="21"/>
      <c r="KBL51" s="21"/>
      <c r="KBM51" s="21"/>
      <c r="KBN51" s="21"/>
      <c r="KBO51" s="21"/>
      <c r="KBP51" s="21"/>
      <c r="KBQ51" s="21"/>
      <c r="KBR51" s="21"/>
      <c r="KBS51" s="21"/>
      <c r="KBT51" s="21"/>
      <c r="KBU51" s="21"/>
      <c r="KBV51" s="21"/>
      <c r="KBW51" s="21"/>
      <c r="KBX51" s="21"/>
      <c r="KBY51" s="21"/>
      <c r="KBZ51" s="21"/>
      <c r="KCA51" s="21"/>
      <c r="KCB51" s="21"/>
      <c r="KCC51" s="21"/>
      <c r="KCD51" s="21"/>
      <c r="KCE51" s="21"/>
      <c r="KCF51" s="21"/>
      <c r="KCG51" s="21"/>
      <c r="KCH51" s="21"/>
      <c r="KCI51" s="21"/>
      <c r="KCJ51" s="21"/>
      <c r="KCK51" s="21"/>
      <c r="KCL51" s="21"/>
      <c r="KCM51" s="21"/>
      <c r="KCN51" s="21"/>
      <c r="KCO51" s="21"/>
      <c r="KCP51" s="21"/>
      <c r="KCQ51" s="21"/>
      <c r="KCR51" s="21"/>
      <c r="KCS51" s="21"/>
      <c r="KCT51" s="21"/>
      <c r="KCU51" s="21"/>
      <c r="KCV51" s="21"/>
      <c r="KCW51" s="21"/>
      <c r="KCX51" s="21"/>
      <c r="KCY51" s="21"/>
      <c r="KCZ51" s="21"/>
      <c r="KDA51" s="21"/>
      <c r="KDB51" s="21"/>
      <c r="KDC51" s="21"/>
      <c r="KDD51" s="21"/>
      <c r="KDE51" s="21"/>
      <c r="KDF51" s="21"/>
      <c r="KDG51" s="21"/>
      <c r="KDH51" s="21"/>
      <c r="KDI51" s="21"/>
      <c r="KDJ51" s="21"/>
      <c r="KDK51" s="21"/>
      <c r="KDL51" s="21"/>
      <c r="KDM51" s="21"/>
      <c r="KDN51" s="21"/>
      <c r="KDO51" s="21"/>
      <c r="KDP51" s="21"/>
      <c r="KDQ51" s="21"/>
      <c r="KDR51" s="21"/>
      <c r="KDS51" s="21"/>
      <c r="KDT51" s="21"/>
      <c r="KDU51" s="21"/>
      <c r="KDV51" s="21"/>
      <c r="KDW51" s="21"/>
      <c r="KDX51" s="21"/>
      <c r="KDY51" s="21"/>
      <c r="KDZ51" s="21"/>
      <c r="KEA51" s="21"/>
      <c r="KEB51" s="21"/>
      <c r="KEC51" s="21"/>
      <c r="KED51" s="21"/>
      <c r="KEE51" s="21"/>
      <c r="KEF51" s="21"/>
      <c r="KEG51" s="21"/>
      <c r="KEH51" s="21"/>
      <c r="KEI51" s="21"/>
      <c r="KEJ51" s="21"/>
      <c r="KEK51" s="21"/>
      <c r="KEL51" s="21"/>
      <c r="KEM51" s="21"/>
      <c r="KEN51" s="21"/>
      <c r="KEO51" s="21"/>
      <c r="KEP51" s="21"/>
      <c r="KEQ51" s="21"/>
      <c r="KER51" s="21"/>
      <c r="KES51" s="21"/>
      <c r="KET51" s="21"/>
      <c r="KEU51" s="21"/>
      <c r="KEV51" s="21"/>
      <c r="KEW51" s="21"/>
      <c r="KEX51" s="21"/>
      <c r="KEY51" s="21"/>
      <c r="KEZ51" s="21"/>
      <c r="KFA51" s="21"/>
      <c r="KFB51" s="21"/>
      <c r="KFC51" s="21"/>
      <c r="KFD51" s="21"/>
      <c r="KFE51" s="21"/>
      <c r="KFF51" s="21"/>
      <c r="KFG51" s="21"/>
      <c r="KFH51" s="21"/>
      <c r="KFI51" s="21"/>
      <c r="KFJ51" s="21"/>
      <c r="KFK51" s="21"/>
      <c r="KFL51" s="21"/>
      <c r="KFM51" s="21"/>
      <c r="KFN51" s="21"/>
      <c r="KFO51" s="21"/>
      <c r="KFP51" s="21"/>
      <c r="KFQ51" s="21"/>
      <c r="KFR51" s="21"/>
      <c r="KFS51" s="21"/>
      <c r="KFT51" s="21"/>
      <c r="KFU51" s="21"/>
      <c r="KFV51" s="21"/>
      <c r="KFW51" s="21"/>
      <c r="KFX51" s="21"/>
      <c r="KFY51" s="21"/>
      <c r="KFZ51" s="21"/>
      <c r="KGA51" s="21"/>
      <c r="KGB51" s="21"/>
      <c r="KGC51" s="21"/>
      <c r="KGD51" s="21"/>
      <c r="KGE51" s="21"/>
      <c r="KGF51" s="21"/>
      <c r="KGG51" s="21"/>
      <c r="KGH51" s="21"/>
      <c r="KGI51" s="21"/>
      <c r="KGJ51" s="21"/>
      <c r="KGK51" s="21"/>
      <c r="KGL51" s="21"/>
      <c r="KGM51" s="21"/>
      <c r="KGN51" s="21"/>
      <c r="KGO51" s="21"/>
      <c r="KGP51" s="21"/>
      <c r="KGQ51" s="21"/>
      <c r="KGR51" s="21"/>
      <c r="KGS51" s="21"/>
      <c r="KGT51" s="21"/>
      <c r="KGU51" s="21"/>
      <c r="KGV51" s="21"/>
      <c r="KGW51" s="21"/>
      <c r="KGX51" s="21"/>
      <c r="KGY51" s="21"/>
      <c r="KGZ51" s="21"/>
      <c r="KHA51" s="21"/>
      <c r="KHB51" s="21"/>
      <c r="KHC51" s="21"/>
      <c r="KHD51" s="21"/>
      <c r="KHE51" s="21"/>
      <c r="KHF51" s="21"/>
      <c r="KHG51" s="21"/>
      <c r="KHH51" s="21"/>
      <c r="KHI51" s="21"/>
      <c r="KHJ51" s="21"/>
      <c r="KHK51" s="21"/>
      <c r="KHL51" s="21"/>
      <c r="KHM51" s="21"/>
      <c r="KHN51" s="21"/>
      <c r="KHO51" s="21"/>
      <c r="KHP51" s="21"/>
      <c r="KHQ51" s="21"/>
      <c r="KHR51" s="21"/>
      <c r="KHS51" s="21"/>
      <c r="KHT51" s="21"/>
      <c r="KHU51" s="21"/>
      <c r="KHV51" s="21"/>
      <c r="KHW51" s="21"/>
      <c r="KHX51" s="21"/>
      <c r="KHY51" s="21"/>
      <c r="KHZ51" s="21"/>
      <c r="KIA51" s="21"/>
      <c r="KIB51" s="21"/>
      <c r="KIC51" s="21"/>
      <c r="KID51" s="21"/>
      <c r="KIE51" s="21"/>
      <c r="KIF51" s="21"/>
      <c r="KIG51" s="21"/>
      <c r="KIH51" s="21"/>
      <c r="KII51" s="21"/>
      <c r="KIJ51" s="21"/>
      <c r="KIK51" s="21"/>
      <c r="KIL51" s="21"/>
      <c r="KIM51" s="21"/>
      <c r="KIN51" s="21"/>
      <c r="KIO51" s="21"/>
      <c r="KIP51" s="21"/>
      <c r="KIQ51" s="21"/>
      <c r="KIR51" s="21"/>
      <c r="KIS51" s="21"/>
      <c r="KIT51" s="21"/>
      <c r="KIU51" s="21"/>
      <c r="KIV51" s="21"/>
      <c r="KIW51" s="21"/>
      <c r="KIX51" s="21"/>
      <c r="KIY51" s="21"/>
      <c r="KIZ51" s="21"/>
      <c r="KJA51" s="21"/>
      <c r="KJB51" s="21"/>
      <c r="KJC51" s="21"/>
      <c r="KJD51" s="21"/>
      <c r="KJE51" s="21"/>
      <c r="KJF51" s="21"/>
      <c r="KJG51" s="21"/>
      <c r="KJH51" s="21"/>
      <c r="KJI51" s="21"/>
      <c r="KJJ51" s="21"/>
      <c r="KJK51" s="21"/>
      <c r="KJL51" s="21"/>
      <c r="KJM51" s="21"/>
      <c r="KJN51" s="21"/>
      <c r="KJO51" s="21"/>
      <c r="KJP51" s="21"/>
      <c r="KJQ51" s="21"/>
      <c r="KJR51" s="21"/>
      <c r="KJS51" s="21"/>
      <c r="KJT51" s="21"/>
      <c r="KJU51" s="21"/>
      <c r="KJV51" s="21"/>
      <c r="KJW51" s="21"/>
      <c r="KJX51" s="21"/>
      <c r="KJY51" s="21"/>
      <c r="KJZ51" s="21"/>
      <c r="KKA51" s="21"/>
      <c r="KKB51" s="21"/>
      <c r="KKC51" s="21"/>
      <c r="KKD51" s="21"/>
      <c r="KKE51" s="21"/>
      <c r="KKF51" s="21"/>
      <c r="KKG51" s="21"/>
      <c r="KKH51" s="21"/>
      <c r="KKI51" s="21"/>
      <c r="KKJ51" s="21"/>
      <c r="KKK51" s="21"/>
      <c r="KKL51" s="21"/>
      <c r="KKM51" s="21"/>
      <c r="KKN51" s="21"/>
      <c r="KKO51" s="21"/>
      <c r="KKP51" s="21"/>
      <c r="KKQ51" s="21"/>
      <c r="KKR51" s="21"/>
      <c r="KKS51" s="21"/>
      <c r="KKT51" s="21"/>
      <c r="KKU51" s="21"/>
      <c r="KKV51" s="21"/>
      <c r="KKW51" s="21"/>
      <c r="KKX51" s="21"/>
      <c r="KKY51" s="21"/>
      <c r="KKZ51" s="21"/>
      <c r="KLA51" s="21"/>
      <c r="KLB51" s="21"/>
      <c r="KLC51" s="21"/>
      <c r="KLD51" s="21"/>
      <c r="KLE51" s="21"/>
      <c r="KLF51" s="21"/>
      <c r="KLG51" s="21"/>
      <c r="KLH51" s="21"/>
      <c r="KLI51" s="21"/>
      <c r="KLJ51" s="21"/>
      <c r="KLK51" s="21"/>
      <c r="KLL51" s="21"/>
      <c r="KLM51" s="21"/>
      <c r="KLN51" s="21"/>
      <c r="KLO51" s="21"/>
      <c r="KLP51" s="21"/>
      <c r="KLQ51" s="21"/>
      <c r="KLR51" s="21"/>
      <c r="KLS51" s="21"/>
      <c r="KLT51" s="21"/>
      <c r="KLU51" s="21"/>
      <c r="KLV51" s="21"/>
      <c r="KLW51" s="21"/>
      <c r="KLX51" s="21"/>
      <c r="KLY51" s="21"/>
      <c r="KLZ51" s="21"/>
      <c r="KMA51" s="21"/>
      <c r="KMB51" s="21"/>
      <c r="KMC51" s="21"/>
      <c r="KMD51" s="21"/>
      <c r="KME51" s="21"/>
      <c r="KMF51" s="21"/>
      <c r="KMG51" s="21"/>
      <c r="KMH51" s="21"/>
      <c r="KMI51" s="21"/>
      <c r="KMJ51" s="21"/>
      <c r="KMK51" s="21"/>
      <c r="KML51" s="21"/>
      <c r="KMM51" s="21"/>
      <c r="KMN51" s="21"/>
      <c r="KMO51" s="21"/>
      <c r="KMP51" s="21"/>
      <c r="KMQ51" s="21"/>
      <c r="KMR51" s="21"/>
      <c r="KMS51" s="21"/>
      <c r="KMT51" s="21"/>
      <c r="KMU51" s="21"/>
      <c r="KMV51" s="21"/>
      <c r="KMW51" s="21"/>
      <c r="KMX51" s="21"/>
      <c r="KMY51" s="21"/>
      <c r="KMZ51" s="21"/>
      <c r="KNA51" s="21"/>
      <c r="KNB51" s="21"/>
      <c r="KNC51" s="21"/>
      <c r="KND51" s="21"/>
      <c r="KNE51" s="21"/>
      <c r="KNF51" s="21"/>
      <c r="KNG51" s="21"/>
      <c r="KNH51" s="21"/>
      <c r="KNI51" s="21"/>
      <c r="KNJ51" s="21"/>
      <c r="KNK51" s="21"/>
      <c r="KNL51" s="21"/>
      <c r="KNM51" s="21"/>
      <c r="KNN51" s="21"/>
      <c r="KNO51" s="21"/>
      <c r="KNP51" s="21"/>
      <c r="KNQ51" s="21"/>
      <c r="KNR51" s="21"/>
      <c r="KNS51" s="21"/>
      <c r="KNT51" s="21"/>
      <c r="KNU51" s="21"/>
      <c r="KNV51" s="21"/>
      <c r="KNW51" s="21"/>
      <c r="KNX51" s="21"/>
      <c r="KNY51" s="21"/>
      <c r="KNZ51" s="21"/>
      <c r="KOA51" s="21"/>
      <c r="KOB51" s="21"/>
      <c r="KOC51" s="21"/>
      <c r="KOD51" s="21"/>
      <c r="KOE51" s="21"/>
      <c r="KOF51" s="21"/>
      <c r="KOG51" s="21"/>
      <c r="KOH51" s="21"/>
      <c r="KOI51" s="21"/>
      <c r="KOJ51" s="21"/>
      <c r="KOK51" s="21"/>
      <c r="KOL51" s="21"/>
      <c r="KOM51" s="21"/>
      <c r="KON51" s="21"/>
      <c r="KOO51" s="21"/>
      <c r="KOP51" s="21"/>
      <c r="KOQ51" s="21"/>
      <c r="KOR51" s="21"/>
      <c r="KOS51" s="21"/>
      <c r="KOT51" s="21"/>
      <c r="KOU51" s="21"/>
      <c r="KOV51" s="21"/>
      <c r="KOW51" s="21"/>
      <c r="KOX51" s="21"/>
      <c r="KOY51" s="21"/>
      <c r="KOZ51" s="21"/>
      <c r="KPA51" s="21"/>
      <c r="KPB51" s="21"/>
      <c r="KPC51" s="21"/>
      <c r="KPD51" s="21"/>
      <c r="KPE51" s="21"/>
      <c r="KPF51" s="21"/>
      <c r="KPG51" s="21"/>
      <c r="KPH51" s="21"/>
      <c r="KPI51" s="21"/>
      <c r="KPJ51" s="21"/>
      <c r="KPK51" s="21"/>
      <c r="KPL51" s="21"/>
      <c r="KPM51" s="21"/>
      <c r="KPN51" s="21"/>
      <c r="KPO51" s="21"/>
      <c r="KPP51" s="21"/>
      <c r="KPQ51" s="21"/>
      <c r="KPR51" s="21"/>
      <c r="KPS51" s="21"/>
      <c r="KPT51" s="21"/>
      <c r="KPU51" s="21"/>
      <c r="KPV51" s="21"/>
      <c r="KPW51" s="21"/>
      <c r="KPX51" s="21"/>
      <c r="KPY51" s="21"/>
      <c r="KPZ51" s="21"/>
      <c r="KQA51" s="21"/>
      <c r="KQB51" s="21"/>
      <c r="KQC51" s="21"/>
      <c r="KQD51" s="21"/>
      <c r="KQE51" s="21"/>
      <c r="KQF51" s="21"/>
      <c r="KQG51" s="21"/>
      <c r="KQH51" s="21"/>
      <c r="KQI51" s="21"/>
      <c r="KQJ51" s="21"/>
      <c r="KQK51" s="21"/>
      <c r="KQL51" s="21"/>
      <c r="KQM51" s="21"/>
      <c r="KQN51" s="21"/>
      <c r="KQO51" s="21"/>
      <c r="KQP51" s="21"/>
      <c r="KQQ51" s="21"/>
      <c r="KQR51" s="21"/>
      <c r="KQS51" s="21"/>
      <c r="KQT51" s="21"/>
      <c r="KQU51" s="21"/>
      <c r="KQV51" s="21"/>
      <c r="KQW51" s="21"/>
      <c r="KQX51" s="21"/>
      <c r="KQY51" s="21"/>
      <c r="KQZ51" s="21"/>
      <c r="KRA51" s="21"/>
      <c r="KRB51" s="21"/>
      <c r="KRC51" s="21"/>
      <c r="KRD51" s="21"/>
      <c r="KRE51" s="21"/>
      <c r="KRF51" s="21"/>
      <c r="KRG51" s="21"/>
      <c r="KRH51" s="21"/>
      <c r="KRI51" s="21"/>
      <c r="KRJ51" s="21"/>
      <c r="KRK51" s="21"/>
      <c r="KRL51" s="21"/>
      <c r="KRM51" s="21"/>
      <c r="KRN51" s="21"/>
      <c r="KRO51" s="21"/>
      <c r="KRP51" s="21"/>
      <c r="KRQ51" s="21"/>
      <c r="KRR51" s="21"/>
      <c r="KRS51" s="21"/>
      <c r="KRT51" s="21"/>
      <c r="KRU51" s="21"/>
      <c r="KRV51" s="21"/>
      <c r="KRW51" s="21"/>
      <c r="KRX51" s="21"/>
      <c r="KRY51" s="21"/>
      <c r="KRZ51" s="21"/>
      <c r="KSA51" s="21"/>
      <c r="KSB51" s="21"/>
      <c r="KSC51" s="21"/>
      <c r="KSD51" s="21"/>
      <c r="KSE51" s="21"/>
      <c r="KSF51" s="21"/>
      <c r="KSG51" s="21"/>
      <c r="KSH51" s="21"/>
      <c r="KSI51" s="21"/>
      <c r="KSJ51" s="21"/>
      <c r="KSK51" s="21"/>
      <c r="KSL51" s="21"/>
      <c r="KSM51" s="21"/>
      <c r="KSN51" s="21"/>
      <c r="KSO51" s="21"/>
      <c r="KSP51" s="21"/>
      <c r="KSQ51" s="21"/>
      <c r="KSR51" s="21"/>
      <c r="KSS51" s="21"/>
      <c r="KST51" s="21"/>
      <c r="KSU51" s="21"/>
      <c r="KSV51" s="21"/>
      <c r="KSW51" s="21"/>
      <c r="KSX51" s="21"/>
      <c r="KSY51" s="21"/>
      <c r="KSZ51" s="21"/>
      <c r="KTA51" s="21"/>
      <c r="KTB51" s="21"/>
      <c r="KTC51" s="21"/>
      <c r="KTD51" s="21"/>
      <c r="KTE51" s="21"/>
      <c r="KTF51" s="21"/>
      <c r="KTG51" s="21"/>
      <c r="KTH51" s="21"/>
      <c r="KTI51" s="21"/>
      <c r="KTJ51" s="21"/>
      <c r="KTK51" s="21"/>
      <c r="KTL51" s="21"/>
      <c r="KTM51" s="21"/>
      <c r="KTN51" s="21"/>
      <c r="KTO51" s="21"/>
      <c r="KTP51" s="21"/>
      <c r="KTQ51" s="21"/>
      <c r="KTR51" s="21"/>
      <c r="KTS51" s="21"/>
      <c r="KTT51" s="21"/>
      <c r="KTU51" s="21"/>
      <c r="KTV51" s="21"/>
      <c r="KTW51" s="21"/>
      <c r="KTX51" s="21"/>
      <c r="KTY51" s="21"/>
      <c r="KTZ51" s="21"/>
      <c r="KUA51" s="21"/>
      <c r="KUB51" s="21"/>
      <c r="KUC51" s="21"/>
      <c r="KUD51" s="21"/>
      <c r="KUE51" s="21"/>
      <c r="KUF51" s="21"/>
      <c r="KUG51" s="21"/>
      <c r="KUH51" s="21"/>
      <c r="KUI51" s="21"/>
      <c r="KUJ51" s="21"/>
      <c r="KUK51" s="21"/>
      <c r="KUL51" s="21"/>
      <c r="KUM51" s="21"/>
      <c r="KUN51" s="21"/>
      <c r="KUO51" s="21"/>
      <c r="KUP51" s="21"/>
      <c r="KUQ51" s="21"/>
      <c r="KUR51" s="21"/>
      <c r="KUS51" s="21"/>
      <c r="KUT51" s="21"/>
      <c r="KUU51" s="21"/>
      <c r="KUV51" s="21"/>
      <c r="KUW51" s="21"/>
      <c r="KUX51" s="21"/>
      <c r="KUY51" s="21"/>
      <c r="KUZ51" s="21"/>
      <c r="KVA51" s="21"/>
      <c r="KVB51" s="21"/>
      <c r="KVC51" s="21"/>
      <c r="KVD51" s="21"/>
      <c r="KVE51" s="21"/>
      <c r="KVF51" s="21"/>
      <c r="KVG51" s="21"/>
      <c r="KVH51" s="21"/>
      <c r="KVI51" s="21"/>
      <c r="KVJ51" s="21"/>
      <c r="KVK51" s="21"/>
      <c r="KVL51" s="21"/>
      <c r="KVM51" s="21"/>
      <c r="KVN51" s="21"/>
      <c r="KVO51" s="21"/>
      <c r="KVP51" s="21"/>
      <c r="KVQ51" s="21"/>
      <c r="KVR51" s="21"/>
      <c r="KVS51" s="21"/>
      <c r="KVT51" s="21"/>
      <c r="KVU51" s="21"/>
      <c r="KVV51" s="21"/>
      <c r="KVW51" s="21"/>
      <c r="KVX51" s="21"/>
      <c r="KVY51" s="21"/>
      <c r="KVZ51" s="21"/>
      <c r="KWA51" s="21"/>
      <c r="KWB51" s="21"/>
      <c r="KWC51" s="21"/>
      <c r="KWD51" s="21"/>
      <c r="KWE51" s="21"/>
      <c r="KWF51" s="21"/>
      <c r="KWG51" s="21"/>
      <c r="KWH51" s="21"/>
      <c r="KWI51" s="21"/>
      <c r="KWJ51" s="21"/>
      <c r="KWK51" s="21"/>
      <c r="KWL51" s="21"/>
      <c r="KWM51" s="21"/>
      <c r="KWN51" s="21"/>
      <c r="KWO51" s="21"/>
      <c r="KWP51" s="21"/>
      <c r="KWQ51" s="21"/>
      <c r="KWR51" s="21"/>
      <c r="KWS51" s="21"/>
      <c r="KWT51" s="21"/>
      <c r="KWU51" s="21"/>
      <c r="KWV51" s="21"/>
      <c r="KWW51" s="21"/>
      <c r="KWX51" s="21"/>
      <c r="KWY51" s="21"/>
      <c r="KWZ51" s="21"/>
      <c r="KXA51" s="21"/>
      <c r="KXB51" s="21"/>
      <c r="KXC51" s="21"/>
      <c r="KXD51" s="21"/>
      <c r="KXE51" s="21"/>
      <c r="KXF51" s="21"/>
      <c r="KXG51" s="21"/>
      <c r="KXH51" s="21"/>
      <c r="KXI51" s="21"/>
      <c r="KXJ51" s="21"/>
      <c r="KXK51" s="21"/>
      <c r="KXL51" s="21"/>
      <c r="KXM51" s="21"/>
      <c r="KXN51" s="21"/>
      <c r="KXO51" s="21"/>
      <c r="KXP51" s="21"/>
      <c r="KXQ51" s="21"/>
      <c r="KXR51" s="21"/>
      <c r="KXS51" s="21"/>
      <c r="KXT51" s="21"/>
      <c r="KXU51" s="21"/>
      <c r="KXV51" s="21"/>
      <c r="KXW51" s="21"/>
      <c r="KXX51" s="21"/>
      <c r="KXY51" s="21"/>
      <c r="KXZ51" s="21"/>
      <c r="KYA51" s="21"/>
      <c r="KYB51" s="21"/>
      <c r="KYC51" s="21"/>
      <c r="KYD51" s="21"/>
      <c r="KYE51" s="21"/>
      <c r="KYF51" s="21"/>
      <c r="KYG51" s="21"/>
      <c r="KYH51" s="21"/>
      <c r="KYI51" s="21"/>
      <c r="KYJ51" s="21"/>
      <c r="KYK51" s="21"/>
      <c r="KYL51" s="21"/>
      <c r="KYM51" s="21"/>
      <c r="KYN51" s="21"/>
      <c r="KYO51" s="21"/>
      <c r="KYP51" s="21"/>
      <c r="KYQ51" s="21"/>
      <c r="KYR51" s="21"/>
      <c r="KYS51" s="21"/>
      <c r="KYT51" s="21"/>
      <c r="KYU51" s="21"/>
      <c r="KYV51" s="21"/>
      <c r="KYW51" s="21"/>
      <c r="KYX51" s="21"/>
      <c r="KYY51" s="21"/>
      <c r="KYZ51" s="21"/>
      <c r="KZA51" s="21"/>
      <c r="KZB51" s="21"/>
      <c r="KZC51" s="21"/>
      <c r="KZD51" s="21"/>
      <c r="KZE51" s="21"/>
      <c r="KZF51" s="21"/>
      <c r="KZG51" s="21"/>
      <c r="KZH51" s="21"/>
      <c r="KZI51" s="21"/>
      <c r="KZJ51" s="21"/>
      <c r="KZK51" s="21"/>
      <c r="KZL51" s="21"/>
      <c r="KZM51" s="21"/>
      <c r="KZN51" s="21"/>
      <c r="KZO51" s="21"/>
      <c r="KZP51" s="21"/>
      <c r="KZQ51" s="21"/>
      <c r="KZR51" s="21"/>
      <c r="KZS51" s="21"/>
      <c r="KZT51" s="21"/>
      <c r="KZU51" s="21"/>
      <c r="KZV51" s="21"/>
      <c r="KZW51" s="21"/>
      <c r="KZX51" s="21"/>
      <c r="KZY51" s="21"/>
      <c r="KZZ51" s="21"/>
      <c r="LAA51" s="21"/>
      <c r="LAB51" s="21"/>
      <c r="LAC51" s="21"/>
      <c r="LAD51" s="21"/>
      <c r="LAE51" s="21"/>
      <c r="LAF51" s="21"/>
      <c r="LAG51" s="21"/>
      <c r="LAH51" s="21"/>
      <c r="LAI51" s="21"/>
      <c r="LAJ51" s="21"/>
      <c r="LAK51" s="21"/>
      <c r="LAL51" s="21"/>
      <c r="LAM51" s="21"/>
      <c r="LAN51" s="21"/>
      <c r="LAO51" s="21"/>
      <c r="LAP51" s="21"/>
      <c r="LAQ51" s="21"/>
      <c r="LAR51" s="21"/>
      <c r="LAS51" s="21"/>
      <c r="LAT51" s="21"/>
      <c r="LAU51" s="21"/>
      <c r="LAV51" s="21"/>
      <c r="LAW51" s="21"/>
      <c r="LAX51" s="21"/>
      <c r="LAY51" s="21"/>
      <c r="LAZ51" s="21"/>
      <c r="LBA51" s="21"/>
      <c r="LBB51" s="21"/>
      <c r="LBC51" s="21"/>
      <c r="LBD51" s="21"/>
      <c r="LBE51" s="21"/>
      <c r="LBF51" s="21"/>
      <c r="LBG51" s="21"/>
      <c r="LBH51" s="21"/>
      <c r="LBI51" s="21"/>
      <c r="LBJ51" s="21"/>
      <c r="LBK51" s="21"/>
      <c r="LBL51" s="21"/>
      <c r="LBM51" s="21"/>
      <c r="LBN51" s="21"/>
      <c r="LBO51" s="21"/>
      <c r="LBP51" s="21"/>
      <c r="LBQ51" s="21"/>
      <c r="LBR51" s="21"/>
      <c r="LBS51" s="21"/>
      <c r="LBT51" s="21"/>
      <c r="LBU51" s="21"/>
      <c r="LBV51" s="21"/>
      <c r="LBW51" s="21"/>
      <c r="LBX51" s="21"/>
      <c r="LBY51" s="21"/>
      <c r="LBZ51" s="21"/>
      <c r="LCA51" s="21"/>
      <c r="LCB51" s="21"/>
      <c r="LCC51" s="21"/>
      <c r="LCD51" s="21"/>
      <c r="LCE51" s="21"/>
      <c r="LCF51" s="21"/>
      <c r="LCG51" s="21"/>
      <c r="LCH51" s="21"/>
      <c r="LCI51" s="21"/>
      <c r="LCJ51" s="21"/>
      <c r="LCK51" s="21"/>
      <c r="LCL51" s="21"/>
      <c r="LCM51" s="21"/>
      <c r="LCN51" s="21"/>
      <c r="LCO51" s="21"/>
      <c r="LCP51" s="21"/>
      <c r="LCQ51" s="21"/>
      <c r="LCR51" s="21"/>
      <c r="LCS51" s="21"/>
      <c r="LCT51" s="21"/>
      <c r="LCU51" s="21"/>
      <c r="LCV51" s="21"/>
      <c r="LCW51" s="21"/>
      <c r="LCX51" s="21"/>
      <c r="LCY51" s="21"/>
      <c r="LCZ51" s="21"/>
      <c r="LDA51" s="21"/>
      <c r="LDB51" s="21"/>
      <c r="LDC51" s="21"/>
      <c r="LDD51" s="21"/>
      <c r="LDE51" s="21"/>
      <c r="LDF51" s="21"/>
      <c r="LDG51" s="21"/>
      <c r="LDH51" s="21"/>
      <c r="LDI51" s="21"/>
      <c r="LDJ51" s="21"/>
      <c r="LDK51" s="21"/>
      <c r="LDL51" s="21"/>
      <c r="LDM51" s="21"/>
      <c r="LDN51" s="21"/>
      <c r="LDO51" s="21"/>
      <c r="LDP51" s="21"/>
      <c r="LDQ51" s="21"/>
      <c r="LDR51" s="21"/>
      <c r="LDS51" s="21"/>
      <c r="LDT51" s="21"/>
      <c r="LDU51" s="21"/>
      <c r="LDV51" s="21"/>
      <c r="LDW51" s="21"/>
      <c r="LDX51" s="21"/>
      <c r="LDY51" s="21"/>
      <c r="LDZ51" s="21"/>
      <c r="LEA51" s="21"/>
      <c r="LEB51" s="21"/>
      <c r="LEC51" s="21"/>
      <c r="LED51" s="21"/>
      <c r="LEE51" s="21"/>
      <c r="LEF51" s="21"/>
      <c r="LEG51" s="21"/>
      <c r="LEH51" s="21"/>
      <c r="LEI51" s="21"/>
      <c r="LEJ51" s="21"/>
      <c r="LEK51" s="21"/>
      <c r="LEL51" s="21"/>
      <c r="LEM51" s="21"/>
      <c r="LEN51" s="21"/>
      <c r="LEO51" s="21"/>
      <c r="LEP51" s="21"/>
      <c r="LEQ51" s="21"/>
      <c r="LER51" s="21"/>
      <c r="LES51" s="21"/>
      <c r="LET51" s="21"/>
      <c r="LEU51" s="21"/>
      <c r="LEV51" s="21"/>
      <c r="LEW51" s="21"/>
      <c r="LEX51" s="21"/>
      <c r="LEY51" s="21"/>
      <c r="LEZ51" s="21"/>
      <c r="LFA51" s="21"/>
      <c r="LFB51" s="21"/>
      <c r="LFC51" s="21"/>
      <c r="LFD51" s="21"/>
      <c r="LFE51" s="21"/>
      <c r="LFF51" s="21"/>
      <c r="LFG51" s="21"/>
      <c r="LFH51" s="21"/>
      <c r="LFI51" s="21"/>
      <c r="LFJ51" s="21"/>
      <c r="LFK51" s="21"/>
      <c r="LFL51" s="21"/>
      <c r="LFM51" s="21"/>
      <c r="LFN51" s="21"/>
      <c r="LFO51" s="21"/>
      <c r="LFP51" s="21"/>
      <c r="LFQ51" s="21"/>
      <c r="LFR51" s="21"/>
      <c r="LFS51" s="21"/>
      <c r="LFT51" s="21"/>
      <c r="LFU51" s="21"/>
      <c r="LFV51" s="21"/>
      <c r="LFW51" s="21"/>
      <c r="LFX51" s="21"/>
      <c r="LFY51" s="21"/>
      <c r="LFZ51" s="21"/>
      <c r="LGA51" s="21"/>
      <c r="LGB51" s="21"/>
      <c r="LGC51" s="21"/>
      <c r="LGD51" s="21"/>
      <c r="LGE51" s="21"/>
      <c r="LGF51" s="21"/>
      <c r="LGG51" s="21"/>
      <c r="LGH51" s="21"/>
      <c r="LGI51" s="21"/>
      <c r="LGJ51" s="21"/>
      <c r="LGK51" s="21"/>
      <c r="LGL51" s="21"/>
      <c r="LGM51" s="21"/>
      <c r="LGN51" s="21"/>
      <c r="LGO51" s="21"/>
      <c r="LGP51" s="21"/>
      <c r="LGQ51" s="21"/>
      <c r="LGR51" s="21"/>
      <c r="LGS51" s="21"/>
      <c r="LGT51" s="21"/>
      <c r="LGU51" s="21"/>
      <c r="LGV51" s="21"/>
      <c r="LGW51" s="21"/>
      <c r="LGX51" s="21"/>
      <c r="LGY51" s="21"/>
      <c r="LGZ51" s="21"/>
      <c r="LHA51" s="21"/>
      <c r="LHB51" s="21"/>
      <c r="LHC51" s="21"/>
      <c r="LHD51" s="21"/>
      <c r="LHE51" s="21"/>
      <c r="LHF51" s="21"/>
      <c r="LHG51" s="21"/>
      <c r="LHH51" s="21"/>
      <c r="LHI51" s="21"/>
      <c r="LHJ51" s="21"/>
      <c r="LHK51" s="21"/>
      <c r="LHL51" s="21"/>
      <c r="LHM51" s="21"/>
      <c r="LHN51" s="21"/>
      <c r="LHO51" s="21"/>
      <c r="LHP51" s="21"/>
      <c r="LHQ51" s="21"/>
      <c r="LHR51" s="21"/>
      <c r="LHS51" s="21"/>
      <c r="LHT51" s="21"/>
      <c r="LHU51" s="21"/>
      <c r="LHV51" s="21"/>
      <c r="LHW51" s="21"/>
      <c r="LHX51" s="21"/>
      <c r="LHY51" s="21"/>
      <c r="LHZ51" s="21"/>
      <c r="LIA51" s="21"/>
      <c r="LIB51" s="21"/>
      <c r="LIC51" s="21"/>
      <c r="LID51" s="21"/>
      <c r="LIE51" s="21"/>
      <c r="LIF51" s="21"/>
      <c r="LIG51" s="21"/>
      <c r="LIH51" s="21"/>
      <c r="LII51" s="21"/>
      <c r="LIJ51" s="21"/>
      <c r="LIK51" s="21"/>
      <c r="LIL51" s="21"/>
      <c r="LIM51" s="21"/>
      <c r="LIN51" s="21"/>
      <c r="LIO51" s="21"/>
      <c r="LIP51" s="21"/>
      <c r="LIQ51" s="21"/>
      <c r="LIR51" s="21"/>
      <c r="LIS51" s="21"/>
      <c r="LIT51" s="21"/>
      <c r="LIU51" s="21"/>
      <c r="LIV51" s="21"/>
      <c r="LIW51" s="21"/>
      <c r="LIX51" s="21"/>
      <c r="LIY51" s="21"/>
      <c r="LIZ51" s="21"/>
      <c r="LJA51" s="21"/>
      <c r="LJB51" s="21"/>
      <c r="LJC51" s="21"/>
      <c r="LJD51" s="21"/>
      <c r="LJE51" s="21"/>
      <c r="LJF51" s="21"/>
      <c r="LJG51" s="21"/>
      <c r="LJH51" s="21"/>
      <c r="LJI51" s="21"/>
      <c r="LJJ51" s="21"/>
      <c r="LJK51" s="21"/>
      <c r="LJL51" s="21"/>
      <c r="LJM51" s="21"/>
      <c r="LJN51" s="21"/>
      <c r="LJO51" s="21"/>
      <c r="LJP51" s="21"/>
      <c r="LJQ51" s="21"/>
      <c r="LJR51" s="21"/>
      <c r="LJS51" s="21"/>
      <c r="LJT51" s="21"/>
      <c r="LJU51" s="21"/>
      <c r="LJV51" s="21"/>
      <c r="LJW51" s="21"/>
      <c r="LJX51" s="21"/>
      <c r="LJY51" s="21"/>
      <c r="LJZ51" s="21"/>
      <c r="LKA51" s="21"/>
      <c r="LKB51" s="21"/>
      <c r="LKC51" s="21"/>
      <c r="LKD51" s="21"/>
      <c r="LKE51" s="21"/>
      <c r="LKF51" s="21"/>
      <c r="LKG51" s="21"/>
      <c r="LKH51" s="21"/>
      <c r="LKI51" s="21"/>
      <c r="LKJ51" s="21"/>
      <c r="LKK51" s="21"/>
      <c r="LKL51" s="21"/>
      <c r="LKM51" s="21"/>
      <c r="LKN51" s="21"/>
      <c r="LKO51" s="21"/>
      <c r="LKP51" s="21"/>
      <c r="LKQ51" s="21"/>
      <c r="LKR51" s="21"/>
      <c r="LKS51" s="21"/>
      <c r="LKT51" s="21"/>
      <c r="LKU51" s="21"/>
      <c r="LKV51" s="21"/>
      <c r="LKW51" s="21"/>
      <c r="LKX51" s="21"/>
      <c r="LKY51" s="21"/>
      <c r="LKZ51" s="21"/>
      <c r="LLA51" s="21"/>
      <c r="LLB51" s="21"/>
      <c r="LLC51" s="21"/>
      <c r="LLD51" s="21"/>
      <c r="LLE51" s="21"/>
      <c r="LLF51" s="21"/>
      <c r="LLG51" s="21"/>
      <c r="LLH51" s="21"/>
      <c r="LLI51" s="21"/>
      <c r="LLJ51" s="21"/>
      <c r="LLK51" s="21"/>
      <c r="LLL51" s="21"/>
      <c r="LLM51" s="21"/>
      <c r="LLN51" s="21"/>
      <c r="LLO51" s="21"/>
      <c r="LLP51" s="21"/>
      <c r="LLQ51" s="21"/>
      <c r="LLR51" s="21"/>
      <c r="LLS51" s="21"/>
      <c r="LLT51" s="21"/>
      <c r="LLU51" s="21"/>
      <c r="LLV51" s="21"/>
      <c r="LLW51" s="21"/>
      <c r="LLX51" s="21"/>
      <c r="LLY51" s="21"/>
      <c r="LLZ51" s="21"/>
      <c r="LMA51" s="21"/>
      <c r="LMB51" s="21"/>
      <c r="LMC51" s="21"/>
      <c r="LMD51" s="21"/>
      <c r="LME51" s="21"/>
      <c r="LMF51" s="21"/>
      <c r="LMG51" s="21"/>
      <c r="LMH51" s="21"/>
      <c r="LMI51" s="21"/>
      <c r="LMJ51" s="21"/>
      <c r="LMK51" s="21"/>
      <c r="LML51" s="21"/>
      <c r="LMM51" s="21"/>
      <c r="LMN51" s="21"/>
      <c r="LMO51" s="21"/>
      <c r="LMP51" s="21"/>
      <c r="LMQ51" s="21"/>
      <c r="LMR51" s="21"/>
      <c r="LMS51" s="21"/>
      <c r="LMT51" s="21"/>
      <c r="LMU51" s="21"/>
      <c r="LMV51" s="21"/>
      <c r="LMW51" s="21"/>
      <c r="LMX51" s="21"/>
      <c r="LMY51" s="21"/>
      <c r="LMZ51" s="21"/>
      <c r="LNA51" s="21"/>
      <c r="LNB51" s="21"/>
      <c r="LNC51" s="21"/>
      <c r="LND51" s="21"/>
      <c r="LNE51" s="21"/>
      <c r="LNF51" s="21"/>
      <c r="LNG51" s="21"/>
      <c r="LNH51" s="21"/>
      <c r="LNI51" s="21"/>
      <c r="LNJ51" s="21"/>
      <c r="LNK51" s="21"/>
      <c r="LNL51" s="21"/>
      <c r="LNM51" s="21"/>
      <c r="LNN51" s="21"/>
      <c r="LNO51" s="21"/>
      <c r="LNP51" s="21"/>
      <c r="LNQ51" s="21"/>
      <c r="LNR51" s="21"/>
      <c r="LNS51" s="21"/>
      <c r="LNT51" s="21"/>
      <c r="LNU51" s="21"/>
      <c r="LNV51" s="21"/>
      <c r="LNW51" s="21"/>
      <c r="LNX51" s="21"/>
      <c r="LNY51" s="21"/>
      <c r="LNZ51" s="21"/>
      <c r="LOA51" s="21"/>
      <c r="LOB51" s="21"/>
      <c r="LOC51" s="21"/>
      <c r="LOD51" s="21"/>
      <c r="LOE51" s="21"/>
      <c r="LOF51" s="21"/>
      <c r="LOG51" s="21"/>
      <c r="LOH51" s="21"/>
      <c r="LOI51" s="21"/>
      <c r="LOJ51" s="21"/>
      <c r="LOK51" s="21"/>
      <c r="LOL51" s="21"/>
      <c r="LOM51" s="21"/>
      <c r="LON51" s="21"/>
      <c r="LOO51" s="21"/>
      <c r="LOP51" s="21"/>
      <c r="LOQ51" s="21"/>
      <c r="LOR51" s="21"/>
      <c r="LOS51" s="21"/>
      <c r="LOT51" s="21"/>
      <c r="LOU51" s="21"/>
      <c r="LOV51" s="21"/>
      <c r="LOW51" s="21"/>
      <c r="LOX51" s="21"/>
      <c r="LOY51" s="21"/>
      <c r="LOZ51" s="21"/>
      <c r="LPA51" s="21"/>
      <c r="LPB51" s="21"/>
      <c r="LPC51" s="21"/>
      <c r="LPD51" s="21"/>
      <c r="LPE51" s="21"/>
      <c r="LPF51" s="21"/>
      <c r="LPG51" s="21"/>
      <c r="LPH51" s="21"/>
      <c r="LPI51" s="21"/>
      <c r="LPJ51" s="21"/>
      <c r="LPK51" s="21"/>
      <c r="LPL51" s="21"/>
      <c r="LPM51" s="21"/>
      <c r="LPN51" s="21"/>
      <c r="LPO51" s="21"/>
      <c r="LPP51" s="21"/>
      <c r="LPQ51" s="21"/>
      <c r="LPR51" s="21"/>
      <c r="LPS51" s="21"/>
      <c r="LPT51" s="21"/>
      <c r="LPU51" s="21"/>
      <c r="LPV51" s="21"/>
      <c r="LPW51" s="21"/>
      <c r="LPX51" s="21"/>
      <c r="LPY51" s="21"/>
      <c r="LPZ51" s="21"/>
      <c r="LQA51" s="21"/>
      <c r="LQB51" s="21"/>
      <c r="LQC51" s="21"/>
      <c r="LQD51" s="21"/>
      <c r="LQE51" s="21"/>
      <c r="LQF51" s="21"/>
      <c r="LQG51" s="21"/>
      <c r="LQH51" s="21"/>
      <c r="LQI51" s="21"/>
      <c r="LQJ51" s="21"/>
      <c r="LQK51" s="21"/>
      <c r="LQL51" s="21"/>
      <c r="LQM51" s="21"/>
      <c r="LQN51" s="21"/>
      <c r="LQO51" s="21"/>
      <c r="LQP51" s="21"/>
      <c r="LQQ51" s="21"/>
      <c r="LQR51" s="21"/>
      <c r="LQS51" s="21"/>
      <c r="LQT51" s="21"/>
      <c r="LQU51" s="21"/>
      <c r="LQV51" s="21"/>
      <c r="LQW51" s="21"/>
      <c r="LQX51" s="21"/>
      <c r="LQY51" s="21"/>
      <c r="LQZ51" s="21"/>
      <c r="LRA51" s="21"/>
      <c r="LRB51" s="21"/>
      <c r="LRC51" s="21"/>
      <c r="LRD51" s="21"/>
      <c r="LRE51" s="21"/>
      <c r="LRF51" s="21"/>
      <c r="LRG51" s="21"/>
      <c r="LRH51" s="21"/>
      <c r="LRI51" s="21"/>
      <c r="LRJ51" s="21"/>
      <c r="LRK51" s="21"/>
      <c r="LRL51" s="21"/>
      <c r="LRM51" s="21"/>
      <c r="LRN51" s="21"/>
      <c r="LRO51" s="21"/>
      <c r="LRP51" s="21"/>
      <c r="LRQ51" s="21"/>
      <c r="LRR51" s="21"/>
      <c r="LRS51" s="21"/>
      <c r="LRT51" s="21"/>
      <c r="LRU51" s="21"/>
      <c r="LRV51" s="21"/>
      <c r="LRW51" s="21"/>
      <c r="LRX51" s="21"/>
      <c r="LRY51" s="21"/>
      <c r="LRZ51" s="21"/>
      <c r="LSA51" s="21"/>
      <c r="LSB51" s="21"/>
      <c r="LSC51" s="21"/>
      <c r="LSD51" s="21"/>
      <c r="LSE51" s="21"/>
      <c r="LSF51" s="21"/>
      <c r="LSG51" s="21"/>
      <c r="LSH51" s="21"/>
      <c r="LSI51" s="21"/>
      <c r="LSJ51" s="21"/>
      <c r="LSK51" s="21"/>
      <c r="LSL51" s="21"/>
      <c r="LSM51" s="21"/>
      <c r="LSN51" s="21"/>
      <c r="LSO51" s="21"/>
      <c r="LSP51" s="21"/>
      <c r="LSQ51" s="21"/>
      <c r="LSR51" s="21"/>
      <c r="LSS51" s="21"/>
      <c r="LST51" s="21"/>
      <c r="LSU51" s="21"/>
      <c r="LSV51" s="21"/>
      <c r="LSW51" s="21"/>
      <c r="LSX51" s="21"/>
      <c r="LSY51" s="21"/>
      <c r="LSZ51" s="21"/>
      <c r="LTA51" s="21"/>
      <c r="LTB51" s="21"/>
      <c r="LTC51" s="21"/>
      <c r="LTD51" s="21"/>
      <c r="LTE51" s="21"/>
      <c r="LTF51" s="21"/>
      <c r="LTG51" s="21"/>
      <c r="LTH51" s="21"/>
      <c r="LTI51" s="21"/>
      <c r="LTJ51" s="21"/>
      <c r="LTK51" s="21"/>
      <c r="LTL51" s="21"/>
      <c r="LTM51" s="21"/>
      <c r="LTN51" s="21"/>
      <c r="LTO51" s="21"/>
      <c r="LTP51" s="21"/>
      <c r="LTQ51" s="21"/>
      <c r="LTR51" s="21"/>
      <c r="LTS51" s="21"/>
      <c r="LTT51" s="21"/>
      <c r="LTU51" s="21"/>
      <c r="LTV51" s="21"/>
      <c r="LTW51" s="21"/>
      <c r="LTX51" s="21"/>
      <c r="LTY51" s="21"/>
      <c r="LTZ51" s="21"/>
      <c r="LUA51" s="21"/>
      <c r="LUB51" s="21"/>
      <c r="LUC51" s="21"/>
      <c r="LUD51" s="21"/>
      <c r="LUE51" s="21"/>
      <c r="LUF51" s="21"/>
      <c r="LUG51" s="21"/>
      <c r="LUH51" s="21"/>
      <c r="LUI51" s="21"/>
      <c r="LUJ51" s="21"/>
      <c r="LUK51" s="21"/>
      <c r="LUL51" s="21"/>
      <c r="LUM51" s="21"/>
      <c r="LUN51" s="21"/>
      <c r="LUO51" s="21"/>
      <c r="LUP51" s="21"/>
      <c r="LUQ51" s="21"/>
      <c r="LUR51" s="21"/>
      <c r="LUS51" s="21"/>
      <c r="LUT51" s="21"/>
      <c r="LUU51" s="21"/>
      <c r="LUV51" s="21"/>
      <c r="LUW51" s="21"/>
      <c r="LUX51" s="21"/>
      <c r="LUY51" s="21"/>
      <c r="LUZ51" s="21"/>
      <c r="LVA51" s="21"/>
      <c r="LVB51" s="21"/>
      <c r="LVC51" s="21"/>
      <c r="LVD51" s="21"/>
      <c r="LVE51" s="21"/>
      <c r="LVF51" s="21"/>
      <c r="LVG51" s="21"/>
      <c r="LVH51" s="21"/>
      <c r="LVI51" s="21"/>
      <c r="LVJ51" s="21"/>
      <c r="LVK51" s="21"/>
      <c r="LVL51" s="21"/>
      <c r="LVM51" s="21"/>
      <c r="LVN51" s="21"/>
      <c r="LVO51" s="21"/>
      <c r="LVP51" s="21"/>
      <c r="LVQ51" s="21"/>
      <c r="LVR51" s="21"/>
      <c r="LVS51" s="21"/>
      <c r="LVT51" s="21"/>
      <c r="LVU51" s="21"/>
      <c r="LVV51" s="21"/>
      <c r="LVW51" s="21"/>
      <c r="LVX51" s="21"/>
      <c r="LVY51" s="21"/>
      <c r="LVZ51" s="21"/>
      <c r="LWA51" s="21"/>
      <c r="LWB51" s="21"/>
      <c r="LWC51" s="21"/>
      <c r="LWD51" s="21"/>
      <c r="LWE51" s="21"/>
      <c r="LWF51" s="21"/>
      <c r="LWG51" s="21"/>
      <c r="LWH51" s="21"/>
      <c r="LWI51" s="21"/>
      <c r="LWJ51" s="21"/>
      <c r="LWK51" s="21"/>
      <c r="LWL51" s="21"/>
      <c r="LWM51" s="21"/>
      <c r="LWN51" s="21"/>
      <c r="LWO51" s="21"/>
      <c r="LWP51" s="21"/>
      <c r="LWQ51" s="21"/>
      <c r="LWR51" s="21"/>
      <c r="LWS51" s="21"/>
      <c r="LWT51" s="21"/>
      <c r="LWU51" s="21"/>
      <c r="LWV51" s="21"/>
      <c r="LWW51" s="21"/>
      <c r="LWX51" s="21"/>
      <c r="LWY51" s="21"/>
      <c r="LWZ51" s="21"/>
      <c r="LXA51" s="21"/>
      <c r="LXB51" s="21"/>
      <c r="LXC51" s="21"/>
      <c r="LXD51" s="21"/>
      <c r="LXE51" s="21"/>
      <c r="LXF51" s="21"/>
      <c r="LXG51" s="21"/>
      <c r="LXH51" s="21"/>
      <c r="LXI51" s="21"/>
      <c r="LXJ51" s="21"/>
      <c r="LXK51" s="21"/>
      <c r="LXL51" s="21"/>
      <c r="LXM51" s="21"/>
      <c r="LXN51" s="21"/>
      <c r="LXO51" s="21"/>
      <c r="LXP51" s="21"/>
      <c r="LXQ51" s="21"/>
      <c r="LXR51" s="21"/>
      <c r="LXS51" s="21"/>
      <c r="LXT51" s="21"/>
      <c r="LXU51" s="21"/>
      <c r="LXV51" s="21"/>
      <c r="LXW51" s="21"/>
      <c r="LXX51" s="21"/>
      <c r="LXY51" s="21"/>
      <c r="LXZ51" s="21"/>
      <c r="LYA51" s="21"/>
      <c r="LYB51" s="21"/>
      <c r="LYC51" s="21"/>
      <c r="LYD51" s="21"/>
      <c r="LYE51" s="21"/>
      <c r="LYF51" s="21"/>
      <c r="LYG51" s="21"/>
      <c r="LYH51" s="21"/>
      <c r="LYI51" s="21"/>
      <c r="LYJ51" s="21"/>
      <c r="LYK51" s="21"/>
      <c r="LYL51" s="21"/>
      <c r="LYM51" s="21"/>
      <c r="LYN51" s="21"/>
      <c r="LYO51" s="21"/>
      <c r="LYP51" s="21"/>
      <c r="LYQ51" s="21"/>
      <c r="LYR51" s="21"/>
      <c r="LYS51" s="21"/>
      <c r="LYT51" s="21"/>
      <c r="LYU51" s="21"/>
      <c r="LYV51" s="21"/>
      <c r="LYW51" s="21"/>
      <c r="LYX51" s="21"/>
      <c r="LYY51" s="21"/>
      <c r="LYZ51" s="21"/>
      <c r="LZA51" s="21"/>
      <c r="LZB51" s="21"/>
      <c r="LZC51" s="21"/>
      <c r="LZD51" s="21"/>
      <c r="LZE51" s="21"/>
      <c r="LZF51" s="21"/>
      <c r="LZG51" s="21"/>
      <c r="LZH51" s="21"/>
      <c r="LZI51" s="21"/>
      <c r="LZJ51" s="21"/>
      <c r="LZK51" s="21"/>
      <c r="LZL51" s="21"/>
      <c r="LZM51" s="21"/>
      <c r="LZN51" s="21"/>
      <c r="LZO51" s="21"/>
      <c r="LZP51" s="21"/>
      <c r="LZQ51" s="21"/>
      <c r="LZR51" s="21"/>
      <c r="LZS51" s="21"/>
      <c r="LZT51" s="21"/>
      <c r="LZU51" s="21"/>
      <c r="LZV51" s="21"/>
      <c r="LZW51" s="21"/>
      <c r="LZX51" s="21"/>
      <c r="LZY51" s="21"/>
      <c r="LZZ51" s="21"/>
      <c r="MAA51" s="21"/>
      <c r="MAB51" s="21"/>
      <c r="MAC51" s="21"/>
      <c r="MAD51" s="21"/>
      <c r="MAE51" s="21"/>
      <c r="MAF51" s="21"/>
      <c r="MAG51" s="21"/>
      <c r="MAH51" s="21"/>
      <c r="MAI51" s="21"/>
      <c r="MAJ51" s="21"/>
      <c r="MAK51" s="21"/>
      <c r="MAL51" s="21"/>
      <c r="MAM51" s="21"/>
      <c r="MAN51" s="21"/>
      <c r="MAO51" s="21"/>
      <c r="MAP51" s="21"/>
      <c r="MAQ51" s="21"/>
      <c r="MAR51" s="21"/>
      <c r="MAS51" s="21"/>
      <c r="MAT51" s="21"/>
      <c r="MAU51" s="21"/>
      <c r="MAV51" s="21"/>
      <c r="MAW51" s="21"/>
      <c r="MAX51" s="21"/>
      <c r="MAY51" s="21"/>
      <c r="MAZ51" s="21"/>
      <c r="MBA51" s="21"/>
      <c r="MBB51" s="21"/>
      <c r="MBC51" s="21"/>
      <c r="MBD51" s="21"/>
      <c r="MBE51" s="21"/>
      <c r="MBF51" s="21"/>
      <c r="MBG51" s="21"/>
      <c r="MBH51" s="21"/>
      <c r="MBI51" s="21"/>
      <c r="MBJ51" s="21"/>
      <c r="MBK51" s="21"/>
      <c r="MBL51" s="21"/>
      <c r="MBM51" s="21"/>
      <c r="MBN51" s="21"/>
      <c r="MBO51" s="21"/>
      <c r="MBP51" s="21"/>
      <c r="MBQ51" s="21"/>
      <c r="MBR51" s="21"/>
      <c r="MBS51" s="21"/>
      <c r="MBT51" s="21"/>
      <c r="MBU51" s="21"/>
      <c r="MBV51" s="21"/>
      <c r="MBW51" s="21"/>
      <c r="MBX51" s="21"/>
      <c r="MBY51" s="21"/>
      <c r="MBZ51" s="21"/>
      <c r="MCA51" s="21"/>
      <c r="MCB51" s="21"/>
      <c r="MCC51" s="21"/>
      <c r="MCD51" s="21"/>
      <c r="MCE51" s="21"/>
      <c r="MCF51" s="21"/>
      <c r="MCG51" s="21"/>
      <c r="MCH51" s="21"/>
      <c r="MCI51" s="21"/>
      <c r="MCJ51" s="21"/>
      <c r="MCK51" s="21"/>
      <c r="MCL51" s="21"/>
      <c r="MCM51" s="21"/>
      <c r="MCN51" s="21"/>
      <c r="MCO51" s="21"/>
      <c r="MCP51" s="21"/>
      <c r="MCQ51" s="21"/>
      <c r="MCR51" s="21"/>
      <c r="MCS51" s="21"/>
      <c r="MCT51" s="21"/>
      <c r="MCU51" s="21"/>
      <c r="MCV51" s="21"/>
      <c r="MCW51" s="21"/>
      <c r="MCX51" s="21"/>
      <c r="MCY51" s="21"/>
      <c r="MCZ51" s="21"/>
      <c r="MDA51" s="21"/>
      <c r="MDB51" s="21"/>
      <c r="MDC51" s="21"/>
      <c r="MDD51" s="21"/>
      <c r="MDE51" s="21"/>
      <c r="MDF51" s="21"/>
      <c r="MDG51" s="21"/>
      <c r="MDH51" s="21"/>
      <c r="MDI51" s="21"/>
      <c r="MDJ51" s="21"/>
      <c r="MDK51" s="21"/>
      <c r="MDL51" s="21"/>
      <c r="MDM51" s="21"/>
      <c r="MDN51" s="21"/>
      <c r="MDO51" s="21"/>
      <c r="MDP51" s="21"/>
      <c r="MDQ51" s="21"/>
      <c r="MDR51" s="21"/>
      <c r="MDS51" s="21"/>
      <c r="MDT51" s="21"/>
      <c r="MDU51" s="21"/>
      <c r="MDV51" s="21"/>
      <c r="MDW51" s="21"/>
      <c r="MDX51" s="21"/>
      <c r="MDY51" s="21"/>
      <c r="MDZ51" s="21"/>
      <c r="MEA51" s="21"/>
      <c r="MEB51" s="21"/>
      <c r="MEC51" s="21"/>
      <c r="MED51" s="21"/>
      <c r="MEE51" s="21"/>
      <c r="MEF51" s="21"/>
      <c r="MEG51" s="21"/>
      <c r="MEH51" s="21"/>
      <c r="MEI51" s="21"/>
      <c r="MEJ51" s="21"/>
      <c r="MEK51" s="21"/>
      <c r="MEL51" s="21"/>
      <c r="MEM51" s="21"/>
      <c r="MEN51" s="21"/>
      <c r="MEO51" s="21"/>
      <c r="MEP51" s="21"/>
      <c r="MEQ51" s="21"/>
      <c r="MER51" s="21"/>
      <c r="MES51" s="21"/>
      <c r="MET51" s="21"/>
      <c r="MEU51" s="21"/>
      <c r="MEV51" s="21"/>
      <c r="MEW51" s="21"/>
      <c r="MEX51" s="21"/>
      <c r="MEY51" s="21"/>
      <c r="MEZ51" s="21"/>
      <c r="MFA51" s="21"/>
      <c r="MFB51" s="21"/>
      <c r="MFC51" s="21"/>
      <c r="MFD51" s="21"/>
      <c r="MFE51" s="21"/>
      <c r="MFF51" s="21"/>
      <c r="MFG51" s="21"/>
      <c r="MFH51" s="21"/>
      <c r="MFI51" s="21"/>
      <c r="MFJ51" s="21"/>
      <c r="MFK51" s="21"/>
      <c r="MFL51" s="21"/>
      <c r="MFM51" s="21"/>
      <c r="MFN51" s="21"/>
      <c r="MFO51" s="21"/>
      <c r="MFP51" s="21"/>
      <c r="MFQ51" s="21"/>
      <c r="MFR51" s="21"/>
      <c r="MFS51" s="21"/>
      <c r="MFT51" s="21"/>
      <c r="MFU51" s="21"/>
      <c r="MFV51" s="21"/>
      <c r="MFW51" s="21"/>
      <c r="MFX51" s="21"/>
      <c r="MFY51" s="21"/>
      <c r="MFZ51" s="21"/>
      <c r="MGA51" s="21"/>
      <c r="MGB51" s="21"/>
      <c r="MGC51" s="21"/>
      <c r="MGD51" s="21"/>
      <c r="MGE51" s="21"/>
      <c r="MGF51" s="21"/>
      <c r="MGG51" s="21"/>
      <c r="MGH51" s="21"/>
      <c r="MGI51" s="21"/>
      <c r="MGJ51" s="21"/>
      <c r="MGK51" s="21"/>
      <c r="MGL51" s="21"/>
      <c r="MGM51" s="21"/>
      <c r="MGN51" s="21"/>
      <c r="MGO51" s="21"/>
      <c r="MGP51" s="21"/>
      <c r="MGQ51" s="21"/>
      <c r="MGR51" s="21"/>
      <c r="MGS51" s="21"/>
      <c r="MGT51" s="21"/>
      <c r="MGU51" s="21"/>
      <c r="MGV51" s="21"/>
      <c r="MGW51" s="21"/>
      <c r="MGX51" s="21"/>
      <c r="MGY51" s="21"/>
      <c r="MGZ51" s="21"/>
      <c r="MHA51" s="21"/>
      <c r="MHB51" s="21"/>
      <c r="MHC51" s="21"/>
      <c r="MHD51" s="21"/>
      <c r="MHE51" s="21"/>
      <c r="MHF51" s="21"/>
      <c r="MHG51" s="21"/>
      <c r="MHH51" s="21"/>
      <c r="MHI51" s="21"/>
      <c r="MHJ51" s="21"/>
      <c r="MHK51" s="21"/>
      <c r="MHL51" s="21"/>
      <c r="MHM51" s="21"/>
      <c r="MHN51" s="21"/>
      <c r="MHO51" s="21"/>
      <c r="MHP51" s="21"/>
      <c r="MHQ51" s="21"/>
      <c r="MHR51" s="21"/>
      <c r="MHS51" s="21"/>
      <c r="MHT51" s="21"/>
      <c r="MHU51" s="21"/>
      <c r="MHV51" s="21"/>
      <c r="MHW51" s="21"/>
      <c r="MHX51" s="21"/>
      <c r="MHY51" s="21"/>
      <c r="MHZ51" s="21"/>
      <c r="MIA51" s="21"/>
      <c r="MIB51" s="21"/>
      <c r="MIC51" s="21"/>
      <c r="MID51" s="21"/>
      <c r="MIE51" s="21"/>
      <c r="MIF51" s="21"/>
      <c r="MIG51" s="21"/>
      <c r="MIH51" s="21"/>
      <c r="MII51" s="21"/>
      <c r="MIJ51" s="21"/>
      <c r="MIK51" s="21"/>
      <c r="MIL51" s="21"/>
      <c r="MIM51" s="21"/>
      <c r="MIN51" s="21"/>
      <c r="MIO51" s="21"/>
      <c r="MIP51" s="21"/>
      <c r="MIQ51" s="21"/>
      <c r="MIR51" s="21"/>
      <c r="MIS51" s="21"/>
      <c r="MIT51" s="21"/>
      <c r="MIU51" s="21"/>
      <c r="MIV51" s="21"/>
      <c r="MIW51" s="21"/>
      <c r="MIX51" s="21"/>
      <c r="MIY51" s="21"/>
      <c r="MIZ51" s="21"/>
      <c r="MJA51" s="21"/>
      <c r="MJB51" s="21"/>
      <c r="MJC51" s="21"/>
      <c r="MJD51" s="21"/>
      <c r="MJE51" s="21"/>
      <c r="MJF51" s="21"/>
      <c r="MJG51" s="21"/>
      <c r="MJH51" s="21"/>
      <c r="MJI51" s="21"/>
      <c r="MJJ51" s="21"/>
      <c r="MJK51" s="21"/>
      <c r="MJL51" s="21"/>
      <c r="MJM51" s="21"/>
      <c r="MJN51" s="21"/>
      <c r="MJO51" s="21"/>
      <c r="MJP51" s="21"/>
      <c r="MJQ51" s="21"/>
      <c r="MJR51" s="21"/>
      <c r="MJS51" s="21"/>
      <c r="MJT51" s="21"/>
      <c r="MJU51" s="21"/>
      <c r="MJV51" s="21"/>
      <c r="MJW51" s="21"/>
      <c r="MJX51" s="21"/>
      <c r="MJY51" s="21"/>
      <c r="MJZ51" s="21"/>
      <c r="MKA51" s="21"/>
      <c r="MKB51" s="21"/>
      <c r="MKC51" s="21"/>
      <c r="MKD51" s="21"/>
      <c r="MKE51" s="21"/>
      <c r="MKF51" s="21"/>
      <c r="MKG51" s="21"/>
      <c r="MKH51" s="21"/>
      <c r="MKI51" s="21"/>
      <c r="MKJ51" s="21"/>
      <c r="MKK51" s="21"/>
      <c r="MKL51" s="21"/>
      <c r="MKM51" s="21"/>
      <c r="MKN51" s="21"/>
      <c r="MKO51" s="21"/>
      <c r="MKP51" s="21"/>
      <c r="MKQ51" s="21"/>
      <c r="MKR51" s="21"/>
      <c r="MKS51" s="21"/>
      <c r="MKT51" s="21"/>
      <c r="MKU51" s="21"/>
      <c r="MKV51" s="21"/>
      <c r="MKW51" s="21"/>
      <c r="MKX51" s="21"/>
      <c r="MKY51" s="21"/>
      <c r="MKZ51" s="21"/>
      <c r="MLA51" s="21"/>
      <c r="MLB51" s="21"/>
      <c r="MLC51" s="21"/>
      <c r="MLD51" s="21"/>
      <c r="MLE51" s="21"/>
      <c r="MLF51" s="21"/>
      <c r="MLG51" s="21"/>
      <c r="MLH51" s="21"/>
      <c r="MLI51" s="21"/>
      <c r="MLJ51" s="21"/>
      <c r="MLK51" s="21"/>
      <c r="MLL51" s="21"/>
      <c r="MLM51" s="21"/>
      <c r="MLN51" s="21"/>
      <c r="MLO51" s="21"/>
      <c r="MLP51" s="21"/>
      <c r="MLQ51" s="21"/>
      <c r="MLR51" s="21"/>
      <c r="MLS51" s="21"/>
      <c r="MLT51" s="21"/>
      <c r="MLU51" s="21"/>
      <c r="MLV51" s="21"/>
      <c r="MLW51" s="21"/>
      <c r="MLX51" s="21"/>
      <c r="MLY51" s="21"/>
      <c r="MLZ51" s="21"/>
      <c r="MMA51" s="21"/>
      <c r="MMB51" s="21"/>
      <c r="MMC51" s="21"/>
      <c r="MMD51" s="21"/>
      <c r="MME51" s="21"/>
      <c r="MMF51" s="21"/>
      <c r="MMG51" s="21"/>
      <c r="MMH51" s="21"/>
      <c r="MMI51" s="21"/>
      <c r="MMJ51" s="21"/>
      <c r="MMK51" s="21"/>
      <c r="MML51" s="21"/>
      <c r="MMM51" s="21"/>
      <c r="MMN51" s="21"/>
      <c r="MMO51" s="21"/>
      <c r="MMP51" s="21"/>
      <c r="MMQ51" s="21"/>
      <c r="MMR51" s="21"/>
      <c r="MMS51" s="21"/>
      <c r="MMT51" s="21"/>
      <c r="MMU51" s="21"/>
      <c r="MMV51" s="21"/>
      <c r="MMW51" s="21"/>
      <c r="MMX51" s="21"/>
      <c r="MMY51" s="21"/>
      <c r="MMZ51" s="21"/>
      <c r="MNA51" s="21"/>
      <c r="MNB51" s="21"/>
      <c r="MNC51" s="21"/>
      <c r="MND51" s="21"/>
      <c r="MNE51" s="21"/>
      <c r="MNF51" s="21"/>
      <c r="MNG51" s="21"/>
      <c r="MNH51" s="21"/>
      <c r="MNI51" s="21"/>
      <c r="MNJ51" s="21"/>
      <c r="MNK51" s="21"/>
      <c r="MNL51" s="21"/>
      <c r="MNM51" s="21"/>
      <c r="MNN51" s="21"/>
      <c r="MNO51" s="21"/>
      <c r="MNP51" s="21"/>
      <c r="MNQ51" s="21"/>
      <c r="MNR51" s="21"/>
      <c r="MNS51" s="21"/>
      <c r="MNT51" s="21"/>
      <c r="MNU51" s="21"/>
      <c r="MNV51" s="21"/>
      <c r="MNW51" s="21"/>
      <c r="MNX51" s="21"/>
      <c r="MNY51" s="21"/>
      <c r="MNZ51" s="21"/>
      <c r="MOA51" s="21"/>
      <c r="MOB51" s="21"/>
      <c r="MOC51" s="21"/>
      <c r="MOD51" s="21"/>
      <c r="MOE51" s="21"/>
      <c r="MOF51" s="21"/>
      <c r="MOG51" s="21"/>
      <c r="MOH51" s="21"/>
      <c r="MOI51" s="21"/>
      <c r="MOJ51" s="21"/>
      <c r="MOK51" s="21"/>
      <c r="MOL51" s="21"/>
      <c r="MOM51" s="21"/>
      <c r="MON51" s="21"/>
      <c r="MOO51" s="21"/>
      <c r="MOP51" s="21"/>
      <c r="MOQ51" s="21"/>
      <c r="MOR51" s="21"/>
      <c r="MOS51" s="21"/>
      <c r="MOT51" s="21"/>
      <c r="MOU51" s="21"/>
      <c r="MOV51" s="21"/>
      <c r="MOW51" s="21"/>
      <c r="MOX51" s="21"/>
      <c r="MOY51" s="21"/>
      <c r="MOZ51" s="21"/>
      <c r="MPA51" s="21"/>
      <c r="MPB51" s="21"/>
      <c r="MPC51" s="21"/>
      <c r="MPD51" s="21"/>
      <c r="MPE51" s="21"/>
      <c r="MPF51" s="21"/>
      <c r="MPG51" s="21"/>
      <c r="MPH51" s="21"/>
      <c r="MPI51" s="21"/>
      <c r="MPJ51" s="21"/>
      <c r="MPK51" s="21"/>
      <c r="MPL51" s="21"/>
      <c r="MPM51" s="21"/>
      <c r="MPN51" s="21"/>
      <c r="MPO51" s="21"/>
      <c r="MPP51" s="21"/>
      <c r="MPQ51" s="21"/>
      <c r="MPR51" s="21"/>
      <c r="MPS51" s="21"/>
      <c r="MPT51" s="21"/>
      <c r="MPU51" s="21"/>
      <c r="MPV51" s="21"/>
      <c r="MPW51" s="21"/>
      <c r="MPX51" s="21"/>
      <c r="MPY51" s="21"/>
      <c r="MPZ51" s="21"/>
      <c r="MQA51" s="21"/>
      <c r="MQB51" s="21"/>
      <c r="MQC51" s="21"/>
      <c r="MQD51" s="21"/>
      <c r="MQE51" s="21"/>
      <c r="MQF51" s="21"/>
      <c r="MQG51" s="21"/>
      <c r="MQH51" s="21"/>
      <c r="MQI51" s="21"/>
      <c r="MQJ51" s="21"/>
      <c r="MQK51" s="21"/>
      <c r="MQL51" s="21"/>
      <c r="MQM51" s="21"/>
      <c r="MQN51" s="21"/>
      <c r="MQO51" s="21"/>
      <c r="MQP51" s="21"/>
      <c r="MQQ51" s="21"/>
      <c r="MQR51" s="21"/>
      <c r="MQS51" s="21"/>
      <c r="MQT51" s="21"/>
      <c r="MQU51" s="21"/>
      <c r="MQV51" s="21"/>
      <c r="MQW51" s="21"/>
      <c r="MQX51" s="21"/>
      <c r="MQY51" s="21"/>
      <c r="MQZ51" s="21"/>
      <c r="MRA51" s="21"/>
      <c r="MRB51" s="21"/>
      <c r="MRC51" s="21"/>
      <c r="MRD51" s="21"/>
      <c r="MRE51" s="21"/>
      <c r="MRF51" s="21"/>
      <c r="MRG51" s="21"/>
      <c r="MRH51" s="21"/>
      <c r="MRI51" s="21"/>
      <c r="MRJ51" s="21"/>
      <c r="MRK51" s="21"/>
      <c r="MRL51" s="21"/>
      <c r="MRM51" s="21"/>
      <c r="MRN51" s="21"/>
      <c r="MRO51" s="21"/>
      <c r="MRP51" s="21"/>
      <c r="MRQ51" s="21"/>
      <c r="MRR51" s="21"/>
      <c r="MRS51" s="21"/>
      <c r="MRT51" s="21"/>
      <c r="MRU51" s="21"/>
      <c r="MRV51" s="21"/>
      <c r="MRW51" s="21"/>
      <c r="MRX51" s="21"/>
      <c r="MRY51" s="21"/>
      <c r="MRZ51" s="21"/>
      <c r="MSA51" s="21"/>
      <c r="MSB51" s="21"/>
      <c r="MSC51" s="21"/>
      <c r="MSD51" s="21"/>
      <c r="MSE51" s="21"/>
      <c r="MSF51" s="21"/>
      <c r="MSG51" s="21"/>
      <c r="MSH51" s="21"/>
      <c r="MSI51" s="21"/>
      <c r="MSJ51" s="21"/>
      <c r="MSK51" s="21"/>
      <c r="MSL51" s="21"/>
      <c r="MSM51" s="21"/>
      <c r="MSN51" s="21"/>
      <c r="MSO51" s="21"/>
      <c r="MSP51" s="21"/>
      <c r="MSQ51" s="21"/>
      <c r="MSR51" s="21"/>
      <c r="MSS51" s="21"/>
      <c r="MST51" s="21"/>
      <c r="MSU51" s="21"/>
      <c r="MSV51" s="21"/>
      <c r="MSW51" s="21"/>
      <c r="MSX51" s="21"/>
      <c r="MSY51" s="21"/>
      <c r="MSZ51" s="21"/>
      <c r="MTA51" s="21"/>
      <c r="MTB51" s="21"/>
      <c r="MTC51" s="21"/>
      <c r="MTD51" s="21"/>
      <c r="MTE51" s="21"/>
      <c r="MTF51" s="21"/>
      <c r="MTG51" s="21"/>
      <c r="MTH51" s="21"/>
      <c r="MTI51" s="21"/>
      <c r="MTJ51" s="21"/>
      <c r="MTK51" s="21"/>
      <c r="MTL51" s="21"/>
      <c r="MTM51" s="21"/>
      <c r="MTN51" s="21"/>
      <c r="MTO51" s="21"/>
      <c r="MTP51" s="21"/>
      <c r="MTQ51" s="21"/>
      <c r="MTR51" s="21"/>
      <c r="MTS51" s="21"/>
      <c r="MTT51" s="21"/>
      <c r="MTU51" s="21"/>
      <c r="MTV51" s="21"/>
      <c r="MTW51" s="21"/>
      <c r="MTX51" s="21"/>
      <c r="MTY51" s="21"/>
      <c r="MTZ51" s="21"/>
      <c r="MUA51" s="21"/>
      <c r="MUB51" s="21"/>
      <c r="MUC51" s="21"/>
      <c r="MUD51" s="21"/>
      <c r="MUE51" s="21"/>
      <c r="MUF51" s="21"/>
      <c r="MUG51" s="21"/>
      <c r="MUH51" s="21"/>
      <c r="MUI51" s="21"/>
      <c r="MUJ51" s="21"/>
      <c r="MUK51" s="21"/>
      <c r="MUL51" s="21"/>
      <c r="MUM51" s="21"/>
      <c r="MUN51" s="21"/>
      <c r="MUO51" s="21"/>
      <c r="MUP51" s="21"/>
      <c r="MUQ51" s="21"/>
      <c r="MUR51" s="21"/>
      <c r="MUS51" s="21"/>
      <c r="MUT51" s="21"/>
      <c r="MUU51" s="21"/>
      <c r="MUV51" s="21"/>
      <c r="MUW51" s="21"/>
      <c r="MUX51" s="21"/>
      <c r="MUY51" s="21"/>
      <c r="MUZ51" s="21"/>
      <c r="MVA51" s="21"/>
      <c r="MVB51" s="21"/>
      <c r="MVC51" s="21"/>
      <c r="MVD51" s="21"/>
      <c r="MVE51" s="21"/>
      <c r="MVF51" s="21"/>
      <c r="MVG51" s="21"/>
      <c r="MVH51" s="21"/>
      <c r="MVI51" s="21"/>
      <c r="MVJ51" s="21"/>
      <c r="MVK51" s="21"/>
      <c r="MVL51" s="21"/>
      <c r="MVM51" s="21"/>
      <c r="MVN51" s="21"/>
      <c r="MVO51" s="21"/>
      <c r="MVP51" s="21"/>
      <c r="MVQ51" s="21"/>
      <c r="MVR51" s="21"/>
      <c r="MVS51" s="21"/>
      <c r="MVT51" s="21"/>
      <c r="MVU51" s="21"/>
      <c r="MVV51" s="21"/>
      <c r="MVW51" s="21"/>
      <c r="MVX51" s="21"/>
      <c r="MVY51" s="21"/>
      <c r="MVZ51" s="21"/>
      <c r="MWA51" s="21"/>
      <c r="MWB51" s="21"/>
      <c r="MWC51" s="21"/>
      <c r="MWD51" s="21"/>
      <c r="MWE51" s="21"/>
      <c r="MWF51" s="21"/>
      <c r="MWG51" s="21"/>
      <c r="MWH51" s="21"/>
      <c r="MWI51" s="21"/>
      <c r="MWJ51" s="21"/>
      <c r="MWK51" s="21"/>
      <c r="MWL51" s="21"/>
      <c r="MWM51" s="21"/>
      <c r="MWN51" s="21"/>
      <c r="MWO51" s="21"/>
      <c r="MWP51" s="21"/>
      <c r="MWQ51" s="21"/>
      <c r="MWR51" s="21"/>
      <c r="MWS51" s="21"/>
      <c r="MWT51" s="21"/>
      <c r="MWU51" s="21"/>
      <c r="MWV51" s="21"/>
      <c r="MWW51" s="21"/>
      <c r="MWX51" s="21"/>
      <c r="MWY51" s="21"/>
      <c r="MWZ51" s="21"/>
      <c r="MXA51" s="21"/>
      <c r="MXB51" s="21"/>
      <c r="MXC51" s="21"/>
      <c r="MXD51" s="21"/>
      <c r="MXE51" s="21"/>
      <c r="MXF51" s="21"/>
      <c r="MXG51" s="21"/>
      <c r="MXH51" s="21"/>
      <c r="MXI51" s="21"/>
      <c r="MXJ51" s="21"/>
      <c r="MXK51" s="21"/>
      <c r="MXL51" s="21"/>
      <c r="MXM51" s="21"/>
      <c r="MXN51" s="21"/>
      <c r="MXO51" s="21"/>
      <c r="MXP51" s="21"/>
      <c r="MXQ51" s="21"/>
      <c r="MXR51" s="21"/>
      <c r="MXS51" s="21"/>
      <c r="MXT51" s="21"/>
      <c r="MXU51" s="21"/>
      <c r="MXV51" s="21"/>
      <c r="MXW51" s="21"/>
      <c r="MXX51" s="21"/>
      <c r="MXY51" s="21"/>
      <c r="MXZ51" s="21"/>
      <c r="MYA51" s="21"/>
      <c r="MYB51" s="21"/>
      <c r="MYC51" s="21"/>
      <c r="MYD51" s="21"/>
      <c r="MYE51" s="21"/>
      <c r="MYF51" s="21"/>
      <c r="MYG51" s="21"/>
      <c r="MYH51" s="21"/>
      <c r="MYI51" s="21"/>
      <c r="MYJ51" s="21"/>
      <c r="MYK51" s="21"/>
      <c r="MYL51" s="21"/>
      <c r="MYM51" s="21"/>
      <c r="MYN51" s="21"/>
      <c r="MYO51" s="21"/>
      <c r="MYP51" s="21"/>
      <c r="MYQ51" s="21"/>
      <c r="MYR51" s="21"/>
      <c r="MYS51" s="21"/>
      <c r="MYT51" s="21"/>
      <c r="MYU51" s="21"/>
      <c r="MYV51" s="21"/>
      <c r="MYW51" s="21"/>
      <c r="MYX51" s="21"/>
      <c r="MYY51" s="21"/>
      <c r="MYZ51" s="21"/>
      <c r="MZA51" s="21"/>
      <c r="MZB51" s="21"/>
      <c r="MZC51" s="21"/>
      <c r="MZD51" s="21"/>
      <c r="MZE51" s="21"/>
      <c r="MZF51" s="21"/>
      <c r="MZG51" s="21"/>
      <c r="MZH51" s="21"/>
      <c r="MZI51" s="21"/>
      <c r="MZJ51" s="21"/>
      <c r="MZK51" s="21"/>
      <c r="MZL51" s="21"/>
      <c r="MZM51" s="21"/>
      <c r="MZN51" s="21"/>
      <c r="MZO51" s="21"/>
      <c r="MZP51" s="21"/>
      <c r="MZQ51" s="21"/>
      <c r="MZR51" s="21"/>
      <c r="MZS51" s="21"/>
      <c r="MZT51" s="21"/>
      <c r="MZU51" s="21"/>
      <c r="MZV51" s="21"/>
      <c r="MZW51" s="21"/>
      <c r="MZX51" s="21"/>
      <c r="MZY51" s="21"/>
      <c r="MZZ51" s="21"/>
      <c r="NAA51" s="21"/>
      <c r="NAB51" s="21"/>
      <c r="NAC51" s="21"/>
      <c r="NAD51" s="21"/>
      <c r="NAE51" s="21"/>
      <c r="NAF51" s="21"/>
      <c r="NAG51" s="21"/>
      <c r="NAH51" s="21"/>
      <c r="NAI51" s="21"/>
      <c r="NAJ51" s="21"/>
      <c r="NAK51" s="21"/>
      <c r="NAL51" s="21"/>
      <c r="NAM51" s="21"/>
      <c r="NAN51" s="21"/>
      <c r="NAO51" s="21"/>
      <c r="NAP51" s="21"/>
      <c r="NAQ51" s="21"/>
      <c r="NAR51" s="21"/>
      <c r="NAS51" s="21"/>
      <c r="NAT51" s="21"/>
      <c r="NAU51" s="21"/>
      <c r="NAV51" s="21"/>
      <c r="NAW51" s="21"/>
      <c r="NAX51" s="21"/>
      <c r="NAY51" s="21"/>
      <c r="NAZ51" s="21"/>
      <c r="NBA51" s="21"/>
      <c r="NBB51" s="21"/>
      <c r="NBC51" s="21"/>
      <c r="NBD51" s="21"/>
      <c r="NBE51" s="21"/>
      <c r="NBF51" s="21"/>
      <c r="NBG51" s="21"/>
      <c r="NBH51" s="21"/>
      <c r="NBI51" s="21"/>
      <c r="NBJ51" s="21"/>
      <c r="NBK51" s="21"/>
      <c r="NBL51" s="21"/>
      <c r="NBM51" s="21"/>
      <c r="NBN51" s="21"/>
      <c r="NBO51" s="21"/>
      <c r="NBP51" s="21"/>
      <c r="NBQ51" s="21"/>
      <c r="NBR51" s="21"/>
      <c r="NBS51" s="21"/>
      <c r="NBT51" s="21"/>
      <c r="NBU51" s="21"/>
      <c r="NBV51" s="21"/>
      <c r="NBW51" s="21"/>
      <c r="NBX51" s="21"/>
      <c r="NBY51" s="21"/>
      <c r="NBZ51" s="21"/>
      <c r="NCA51" s="21"/>
      <c r="NCB51" s="21"/>
      <c r="NCC51" s="21"/>
      <c r="NCD51" s="21"/>
      <c r="NCE51" s="21"/>
      <c r="NCF51" s="21"/>
      <c r="NCG51" s="21"/>
      <c r="NCH51" s="21"/>
      <c r="NCI51" s="21"/>
      <c r="NCJ51" s="21"/>
      <c r="NCK51" s="21"/>
      <c r="NCL51" s="21"/>
      <c r="NCM51" s="21"/>
      <c r="NCN51" s="21"/>
      <c r="NCO51" s="21"/>
      <c r="NCP51" s="21"/>
      <c r="NCQ51" s="21"/>
      <c r="NCR51" s="21"/>
      <c r="NCS51" s="21"/>
      <c r="NCT51" s="21"/>
      <c r="NCU51" s="21"/>
      <c r="NCV51" s="21"/>
      <c r="NCW51" s="21"/>
      <c r="NCX51" s="21"/>
      <c r="NCY51" s="21"/>
      <c r="NCZ51" s="21"/>
      <c r="NDA51" s="21"/>
      <c r="NDB51" s="21"/>
      <c r="NDC51" s="21"/>
      <c r="NDD51" s="21"/>
      <c r="NDE51" s="21"/>
      <c r="NDF51" s="21"/>
      <c r="NDG51" s="21"/>
      <c r="NDH51" s="21"/>
      <c r="NDI51" s="21"/>
      <c r="NDJ51" s="21"/>
      <c r="NDK51" s="21"/>
      <c r="NDL51" s="21"/>
      <c r="NDM51" s="21"/>
      <c r="NDN51" s="21"/>
      <c r="NDO51" s="21"/>
      <c r="NDP51" s="21"/>
      <c r="NDQ51" s="21"/>
      <c r="NDR51" s="21"/>
      <c r="NDS51" s="21"/>
      <c r="NDT51" s="21"/>
      <c r="NDU51" s="21"/>
      <c r="NDV51" s="21"/>
      <c r="NDW51" s="21"/>
      <c r="NDX51" s="21"/>
      <c r="NDY51" s="21"/>
      <c r="NDZ51" s="21"/>
      <c r="NEA51" s="21"/>
      <c r="NEB51" s="21"/>
      <c r="NEC51" s="21"/>
      <c r="NED51" s="21"/>
      <c r="NEE51" s="21"/>
      <c r="NEF51" s="21"/>
      <c r="NEG51" s="21"/>
      <c r="NEH51" s="21"/>
      <c r="NEI51" s="21"/>
      <c r="NEJ51" s="21"/>
      <c r="NEK51" s="21"/>
      <c r="NEL51" s="21"/>
      <c r="NEM51" s="21"/>
      <c r="NEN51" s="21"/>
      <c r="NEO51" s="21"/>
      <c r="NEP51" s="21"/>
      <c r="NEQ51" s="21"/>
      <c r="NER51" s="21"/>
      <c r="NES51" s="21"/>
      <c r="NET51" s="21"/>
      <c r="NEU51" s="21"/>
      <c r="NEV51" s="21"/>
      <c r="NEW51" s="21"/>
      <c r="NEX51" s="21"/>
      <c r="NEY51" s="21"/>
      <c r="NEZ51" s="21"/>
      <c r="NFA51" s="21"/>
      <c r="NFB51" s="21"/>
      <c r="NFC51" s="21"/>
      <c r="NFD51" s="21"/>
      <c r="NFE51" s="21"/>
      <c r="NFF51" s="21"/>
      <c r="NFG51" s="21"/>
      <c r="NFH51" s="21"/>
      <c r="NFI51" s="21"/>
      <c r="NFJ51" s="21"/>
      <c r="NFK51" s="21"/>
      <c r="NFL51" s="21"/>
      <c r="NFM51" s="21"/>
      <c r="NFN51" s="21"/>
      <c r="NFO51" s="21"/>
      <c r="NFP51" s="21"/>
      <c r="NFQ51" s="21"/>
      <c r="NFR51" s="21"/>
      <c r="NFS51" s="21"/>
      <c r="NFT51" s="21"/>
      <c r="NFU51" s="21"/>
      <c r="NFV51" s="21"/>
      <c r="NFW51" s="21"/>
      <c r="NFX51" s="21"/>
      <c r="NFY51" s="21"/>
      <c r="NFZ51" s="21"/>
      <c r="NGA51" s="21"/>
      <c r="NGB51" s="21"/>
      <c r="NGC51" s="21"/>
      <c r="NGD51" s="21"/>
      <c r="NGE51" s="21"/>
      <c r="NGF51" s="21"/>
      <c r="NGG51" s="21"/>
      <c r="NGH51" s="21"/>
      <c r="NGI51" s="21"/>
      <c r="NGJ51" s="21"/>
      <c r="NGK51" s="21"/>
      <c r="NGL51" s="21"/>
      <c r="NGM51" s="21"/>
      <c r="NGN51" s="21"/>
      <c r="NGO51" s="21"/>
      <c r="NGP51" s="21"/>
      <c r="NGQ51" s="21"/>
      <c r="NGR51" s="21"/>
      <c r="NGS51" s="21"/>
      <c r="NGT51" s="21"/>
      <c r="NGU51" s="21"/>
      <c r="NGV51" s="21"/>
      <c r="NGW51" s="21"/>
      <c r="NGX51" s="21"/>
      <c r="NGY51" s="21"/>
      <c r="NGZ51" s="21"/>
      <c r="NHA51" s="21"/>
      <c r="NHB51" s="21"/>
      <c r="NHC51" s="21"/>
      <c r="NHD51" s="21"/>
      <c r="NHE51" s="21"/>
      <c r="NHF51" s="21"/>
      <c r="NHG51" s="21"/>
      <c r="NHH51" s="21"/>
      <c r="NHI51" s="21"/>
      <c r="NHJ51" s="21"/>
      <c r="NHK51" s="21"/>
      <c r="NHL51" s="21"/>
      <c r="NHM51" s="21"/>
      <c r="NHN51" s="21"/>
      <c r="NHO51" s="21"/>
      <c r="NHP51" s="21"/>
      <c r="NHQ51" s="21"/>
      <c r="NHR51" s="21"/>
      <c r="NHS51" s="21"/>
      <c r="NHT51" s="21"/>
      <c r="NHU51" s="21"/>
      <c r="NHV51" s="21"/>
      <c r="NHW51" s="21"/>
      <c r="NHX51" s="21"/>
      <c r="NHY51" s="21"/>
      <c r="NHZ51" s="21"/>
      <c r="NIA51" s="21"/>
      <c r="NIB51" s="21"/>
      <c r="NIC51" s="21"/>
      <c r="NID51" s="21"/>
      <c r="NIE51" s="21"/>
      <c r="NIF51" s="21"/>
      <c r="NIG51" s="21"/>
      <c r="NIH51" s="21"/>
      <c r="NII51" s="21"/>
      <c r="NIJ51" s="21"/>
      <c r="NIK51" s="21"/>
      <c r="NIL51" s="21"/>
      <c r="NIM51" s="21"/>
      <c r="NIN51" s="21"/>
      <c r="NIO51" s="21"/>
      <c r="NIP51" s="21"/>
      <c r="NIQ51" s="21"/>
      <c r="NIR51" s="21"/>
      <c r="NIS51" s="21"/>
      <c r="NIT51" s="21"/>
      <c r="NIU51" s="21"/>
      <c r="NIV51" s="21"/>
      <c r="NIW51" s="21"/>
      <c r="NIX51" s="21"/>
      <c r="NIY51" s="21"/>
      <c r="NIZ51" s="21"/>
      <c r="NJA51" s="21"/>
      <c r="NJB51" s="21"/>
      <c r="NJC51" s="21"/>
      <c r="NJD51" s="21"/>
      <c r="NJE51" s="21"/>
      <c r="NJF51" s="21"/>
      <c r="NJG51" s="21"/>
      <c r="NJH51" s="21"/>
      <c r="NJI51" s="21"/>
      <c r="NJJ51" s="21"/>
      <c r="NJK51" s="21"/>
      <c r="NJL51" s="21"/>
      <c r="NJM51" s="21"/>
      <c r="NJN51" s="21"/>
      <c r="NJO51" s="21"/>
      <c r="NJP51" s="21"/>
      <c r="NJQ51" s="21"/>
      <c r="NJR51" s="21"/>
      <c r="NJS51" s="21"/>
      <c r="NJT51" s="21"/>
      <c r="NJU51" s="21"/>
      <c r="NJV51" s="21"/>
      <c r="NJW51" s="21"/>
      <c r="NJX51" s="21"/>
      <c r="NJY51" s="21"/>
      <c r="NJZ51" s="21"/>
      <c r="NKA51" s="21"/>
      <c r="NKB51" s="21"/>
      <c r="NKC51" s="21"/>
      <c r="NKD51" s="21"/>
      <c r="NKE51" s="21"/>
      <c r="NKF51" s="21"/>
      <c r="NKG51" s="21"/>
      <c r="NKH51" s="21"/>
      <c r="NKI51" s="21"/>
      <c r="NKJ51" s="21"/>
      <c r="NKK51" s="21"/>
      <c r="NKL51" s="21"/>
      <c r="NKM51" s="21"/>
      <c r="NKN51" s="21"/>
      <c r="NKO51" s="21"/>
      <c r="NKP51" s="21"/>
      <c r="NKQ51" s="21"/>
      <c r="NKR51" s="21"/>
      <c r="NKS51" s="21"/>
      <c r="NKT51" s="21"/>
      <c r="NKU51" s="21"/>
      <c r="NKV51" s="21"/>
      <c r="NKW51" s="21"/>
      <c r="NKX51" s="21"/>
      <c r="NKY51" s="21"/>
      <c r="NKZ51" s="21"/>
      <c r="NLA51" s="21"/>
      <c r="NLB51" s="21"/>
      <c r="NLC51" s="21"/>
      <c r="NLD51" s="21"/>
      <c r="NLE51" s="21"/>
      <c r="NLF51" s="21"/>
      <c r="NLG51" s="21"/>
      <c r="NLH51" s="21"/>
      <c r="NLI51" s="21"/>
      <c r="NLJ51" s="21"/>
      <c r="NLK51" s="21"/>
      <c r="NLL51" s="21"/>
      <c r="NLM51" s="21"/>
      <c r="NLN51" s="21"/>
      <c r="NLO51" s="21"/>
      <c r="NLP51" s="21"/>
      <c r="NLQ51" s="21"/>
      <c r="NLR51" s="21"/>
      <c r="NLS51" s="21"/>
      <c r="NLT51" s="21"/>
      <c r="NLU51" s="21"/>
      <c r="NLV51" s="21"/>
      <c r="NLW51" s="21"/>
      <c r="NLX51" s="21"/>
      <c r="NLY51" s="21"/>
      <c r="NLZ51" s="21"/>
      <c r="NMA51" s="21"/>
      <c r="NMB51" s="21"/>
      <c r="NMC51" s="21"/>
      <c r="NMD51" s="21"/>
      <c r="NME51" s="21"/>
      <c r="NMF51" s="21"/>
      <c r="NMG51" s="21"/>
      <c r="NMH51" s="21"/>
      <c r="NMI51" s="21"/>
      <c r="NMJ51" s="21"/>
      <c r="NMK51" s="21"/>
      <c r="NML51" s="21"/>
      <c r="NMM51" s="21"/>
      <c r="NMN51" s="21"/>
      <c r="NMO51" s="21"/>
      <c r="NMP51" s="21"/>
      <c r="NMQ51" s="21"/>
      <c r="NMR51" s="21"/>
      <c r="NMS51" s="21"/>
      <c r="NMT51" s="21"/>
      <c r="NMU51" s="21"/>
      <c r="NMV51" s="21"/>
      <c r="NMW51" s="21"/>
      <c r="NMX51" s="21"/>
      <c r="NMY51" s="21"/>
      <c r="NMZ51" s="21"/>
      <c r="NNA51" s="21"/>
      <c r="NNB51" s="21"/>
      <c r="NNC51" s="21"/>
      <c r="NND51" s="21"/>
      <c r="NNE51" s="21"/>
      <c r="NNF51" s="21"/>
      <c r="NNG51" s="21"/>
      <c r="NNH51" s="21"/>
      <c r="NNI51" s="21"/>
      <c r="NNJ51" s="21"/>
      <c r="NNK51" s="21"/>
      <c r="NNL51" s="21"/>
      <c r="NNM51" s="21"/>
      <c r="NNN51" s="21"/>
      <c r="NNO51" s="21"/>
      <c r="NNP51" s="21"/>
      <c r="NNQ51" s="21"/>
      <c r="NNR51" s="21"/>
      <c r="NNS51" s="21"/>
      <c r="NNT51" s="21"/>
      <c r="NNU51" s="21"/>
      <c r="NNV51" s="21"/>
      <c r="NNW51" s="21"/>
      <c r="NNX51" s="21"/>
      <c r="NNY51" s="21"/>
      <c r="NNZ51" s="21"/>
      <c r="NOA51" s="21"/>
      <c r="NOB51" s="21"/>
      <c r="NOC51" s="21"/>
      <c r="NOD51" s="21"/>
      <c r="NOE51" s="21"/>
      <c r="NOF51" s="21"/>
      <c r="NOG51" s="21"/>
      <c r="NOH51" s="21"/>
      <c r="NOI51" s="21"/>
      <c r="NOJ51" s="21"/>
      <c r="NOK51" s="21"/>
      <c r="NOL51" s="21"/>
      <c r="NOM51" s="21"/>
      <c r="NON51" s="21"/>
      <c r="NOO51" s="21"/>
      <c r="NOP51" s="21"/>
      <c r="NOQ51" s="21"/>
      <c r="NOR51" s="21"/>
      <c r="NOS51" s="21"/>
      <c r="NOT51" s="21"/>
      <c r="NOU51" s="21"/>
      <c r="NOV51" s="21"/>
      <c r="NOW51" s="21"/>
      <c r="NOX51" s="21"/>
      <c r="NOY51" s="21"/>
      <c r="NOZ51" s="21"/>
      <c r="NPA51" s="21"/>
      <c r="NPB51" s="21"/>
      <c r="NPC51" s="21"/>
      <c r="NPD51" s="21"/>
      <c r="NPE51" s="21"/>
      <c r="NPF51" s="21"/>
      <c r="NPG51" s="21"/>
      <c r="NPH51" s="21"/>
      <c r="NPI51" s="21"/>
      <c r="NPJ51" s="21"/>
      <c r="NPK51" s="21"/>
      <c r="NPL51" s="21"/>
      <c r="NPM51" s="21"/>
      <c r="NPN51" s="21"/>
      <c r="NPO51" s="21"/>
      <c r="NPP51" s="21"/>
      <c r="NPQ51" s="21"/>
      <c r="NPR51" s="21"/>
      <c r="NPS51" s="21"/>
      <c r="NPT51" s="21"/>
      <c r="NPU51" s="21"/>
      <c r="NPV51" s="21"/>
      <c r="NPW51" s="21"/>
      <c r="NPX51" s="21"/>
      <c r="NPY51" s="21"/>
      <c r="NPZ51" s="21"/>
      <c r="NQA51" s="21"/>
      <c r="NQB51" s="21"/>
      <c r="NQC51" s="21"/>
      <c r="NQD51" s="21"/>
      <c r="NQE51" s="21"/>
      <c r="NQF51" s="21"/>
      <c r="NQG51" s="21"/>
      <c r="NQH51" s="21"/>
      <c r="NQI51" s="21"/>
      <c r="NQJ51" s="21"/>
      <c r="NQK51" s="21"/>
      <c r="NQL51" s="21"/>
      <c r="NQM51" s="21"/>
      <c r="NQN51" s="21"/>
      <c r="NQO51" s="21"/>
      <c r="NQP51" s="21"/>
      <c r="NQQ51" s="21"/>
      <c r="NQR51" s="21"/>
      <c r="NQS51" s="21"/>
      <c r="NQT51" s="21"/>
      <c r="NQU51" s="21"/>
      <c r="NQV51" s="21"/>
      <c r="NQW51" s="21"/>
      <c r="NQX51" s="21"/>
      <c r="NQY51" s="21"/>
      <c r="NQZ51" s="21"/>
      <c r="NRA51" s="21"/>
      <c r="NRB51" s="21"/>
      <c r="NRC51" s="21"/>
      <c r="NRD51" s="21"/>
      <c r="NRE51" s="21"/>
      <c r="NRF51" s="21"/>
      <c r="NRG51" s="21"/>
      <c r="NRH51" s="21"/>
      <c r="NRI51" s="21"/>
      <c r="NRJ51" s="21"/>
      <c r="NRK51" s="21"/>
      <c r="NRL51" s="21"/>
      <c r="NRM51" s="21"/>
      <c r="NRN51" s="21"/>
      <c r="NRO51" s="21"/>
      <c r="NRP51" s="21"/>
      <c r="NRQ51" s="21"/>
      <c r="NRR51" s="21"/>
      <c r="NRS51" s="21"/>
      <c r="NRT51" s="21"/>
      <c r="NRU51" s="21"/>
      <c r="NRV51" s="21"/>
      <c r="NRW51" s="21"/>
      <c r="NRX51" s="21"/>
      <c r="NRY51" s="21"/>
      <c r="NRZ51" s="21"/>
      <c r="NSA51" s="21"/>
      <c r="NSB51" s="21"/>
      <c r="NSC51" s="21"/>
      <c r="NSD51" s="21"/>
      <c r="NSE51" s="21"/>
      <c r="NSF51" s="21"/>
      <c r="NSG51" s="21"/>
      <c r="NSH51" s="21"/>
      <c r="NSI51" s="21"/>
      <c r="NSJ51" s="21"/>
      <c r="NSK51" s="21"/>
      <c r="NSL51" s="21"/>
      <c r="NSM51" s="21"/>
      <c r="NSN51" s="21"/>
      <c r="NSO51" s="21"/>
      <c r="NSP51" s="21"/>
      <c r="NSQ51" s="21"/>
      <c r="NSR51" s="21"/>
      <c r="NSS51" s="21"/>
      <c r="NST51" s="21"/>
      <c r="NSU51" s="21"/>
      <c r="NSV51" s="21"/>
      <c r="NSW51" s="21"/>
      <c r="NSX51" s="21"/>
      <c r="NSY51" s="21"/>
      <c r="NSZ51" s="21"/>
      <c r="NTA51" s="21"/>
      <c r="NTB51" s="21"/>
      <c r="NTC51" s="21"/>
      <c r="NTD51" s="21"/>
      <c r="NTE51" s="21"/>
      <c r="NTF51" s="21"/>
      <c r="NTG51" s="21"/>
      <c r="NTH51" s="21"/>
      <c r="NTI51" s="21"/>
      <c r="NTJ51" s="21"/>
      <c r="NTK51" s="21"/>
      <c r="NTL51" s="21"/>
      <c r="NTM51" s="21"/>
      <c r="NTN51" s="21"/>
      <c r="NTO51" s="21"/>
      <c r="NTP51" s="21"/>
      <c r="NTQ51" s="21"/>
      <c r="NTR51" s="21"/>
      <c r="NTS51" s="21"/>
      <c r="NTT51" s="21"/>
      <c r="NTU51" s="21"/>
      <c r="NTV51" s="21"/>
      <c r="NTW51" s="21"/>
      <c r="NTX51" s="21"/>
      <c r="NTY51" s="21"/>
      <c r="NTZ51" s="21"/>
      <c r="NUA51" s="21"/>
      <c r="NUB51" s="21"/>
      <c r="NUC51" s="21"/>
      <c r="NUD51" s="21"/>
      <c r="NUE51" s="21"/>
      <c r="NUF51" s="21"/>
      <c r="NUG51" s="21"/>
      <c r="NUH51" s="21"/>
      <c r="NUI51" s="21"/>
      <c r="NUJ51" s="21"/>
      <c r="NUK51" s="21"/>
      <c r="NUL51" s="21"/>
      <c r="NUM51" s="21"/>
      <c r="NUN51" s="21"/>
      <c r="NUO51" s="21"/>
      <c r="NUP51" s="21"/>
      <c r="NUQ51" s="21"/>
      <c r="NUR51" s="21"/>
      <c r="NUS51" s="21"/>
      <c r="NUT51" s="21"/>
      <c r="NUU51" s="21"/>
      <c r="NUV51" s="21"/>
      <c r="NUW51" s="21"/>
      <c r="NUX51" s="21"/>
      <c r="NUY51" s="21"/>
      <c r="NUZ51" s="21"/>
      <c r="NVA51" s="21"/>
      <c r="NVB51" s="21"/>
      <c r="NVC51" s="21"/>
      <c r="NVD51" s="21"/>
      <c r="NVE51" s="21"/>
      <c r="NVF51" s="21"/>
      <c r="NVG51" s="21"/>
      <c r="NVH51" s="21"/>
      <c r="NVI51" s="21"/>
      <c r="NVJ51" s="21"/>
      <c r="NVK51" s="21"/>
      <c r="NVL51" s="21"/>
      <c r="NVM51" s="21"/>
      <c r="NVN51" s="21"/>
      <c r="NVO51" s="21"/>
      <c r="NVP51" s="21"/>
      <c r="NVQ51" s="21"/>
      <c r="NVR51" s="21"/>
      <c r="NVS51" s="21"/>
      <c r="NVT51" s="21"/>
      <c r="NVU51" s="21"/>
      <c r="NVV51" s="21"/>
      <c r="NVW51" s="21"/>
      <c r="NVX51" s="21"/>
      <c r="NVY51" s="21"/>
      <c r="NVZ51" s="21"/>
      <c r="NWA51" s="21"/>
      <c r="NWB51" s="21"/>
      <c r="NWC51" s="21"/>
      <c r="NWD51" s="21"/>
      <c r="NWE51" s="21"/>
      <c r="NWF51" s="21"/>
      <c r="NWG51" s="21"/>
      <c r="NWH51" s="21"/>
      <c r="NWI51" s="21"/>
      <c r="NWJ51" s="21"/>
      <c r="NWK51" s="21"/>
      <c r="NWL51" s="21"/>
      <c r="NWM51" s="21"/>
      <c r="NWN51" s="21"/>
      <c r="NWO51" s="21"/>
      <c r="NWP51" s="21"/>
      <c r="NWQ51" s="21"/>
      <c r="NWR51" s="21"/>
      <c r="NWS51" s="21"/>
      <c r="NWT51" s="21"/>
      <c r="NWU51" s="21"/>
      <c r="NWV51" s="21"/>
      <c r="NWW51" s="21"/>
      <c r="NWX51" s="21"/>
      <c r="NWY51" s="21"/>
      <c r="NWZ51" s="21"/>
      <c r="NXA51" s="21"/>
      <c r="NXB51" s="21"/>
      <c r="NXC51" s="21"/>
      <c r="NXD51" s="21"/>
      <c r="NXE51" s="21"/>
      <c r="NXF51" s="21"/>
      <c r="NXG51" s="21"/>
      <c r="NXH51" s="21"/>
      <c r="NXI51" s="21"/>
      <c r="NXJ51" s="21"/>
      <c r="NXK51" s="21"/>
      <c r="NXL51" s="21"/>
      <c r="NXM51" s="21"/>
      <c r="NXN51" s="21"/>
      <c r="NXO51" s="21"/>
      <c r="NXP51" s="21"/>
      <c r="NXQ51" s="21"/>
      <c r="NXR51" s="21"/>
      <c r="NXS51" s="21"/>
      <c r="NXT51" s="21"/>
      <c r="NXU51" s="21"/>
      <c r="NXV51" s="21"/>
      <c r="NXW51" s="21"/>
      <c r="NXX51" s="21"/>
      <c r="NXY51" s="21"/>
      <c r="NXZ51" s="21"/>
      <c r="NYA51" s="21"/>
      <c r="NYB51" s="21"/>
      <c r="NYC51" s="21"/>
      <c r="NYD51" s="21"/>
      <c r="NYE51" s="21"/>
      <c r="NYF51" s="21"/>
      <c r="NYG51" s="21"/>
      <c r="NYH51" s="21"/>
      <c r="NYI51" s="21"/>
      <c r="NYJ51" s="21"/>
      <c r="NYK51" s="21"/>
      <c r="NYL51" s="21"/>
      <c r="NYM51" s="21"/>
      <c r="NYN51" s="21"/>
      <c r="NYO51" s="21"/>
      <c r="NYP51" s="21"/>
      <c r="NYQ51" s="21"/>
      <c r="NYR51" s="21"/>
      <c r="NYS51" s="21"/>
      <c r="NYT51" s="21"/>
      <c r="NYU51" s="21"/>
      <c r="NYV51" s="21"/>
      <c r="NYW51" s="21"/>
      <c r="NYX51" s="21"/>
      <c r="NYY51" s="21"/>
      <c r="NYZ51" s="21"/>
      <c r="NZA51" s="21"/>
      <c r="NZB51" s="21"/>
      <c r="NZC51" s="21"/>
      <c r="NZD51" s="21"/>
      <c r="NZE51" s="21"/>
      <c r="NZF51" s="21"/>
      <c r="NZG51" s="21"/>
      <c r="NZH51" s="21"/>
      <c r="NZI51" s="21"/>
      <c r="NZJ51" s="21"/>
      <c r="NZK51" s="21"/>
      <c r="NZL51" s="21"/>
      <c r="NZM51" s="21"/>
      <c r="NZN51" s="21"/>
      <c r="NZO51" s="21"/>
      <c r="NZP51" s="21"/>
      <c r="NZQ51" s="21"/>
      <c r="NZR51" s="21"/>
      <c r="NZS51" s="21"/>
      <c r="NZT51" s="21"/>
      <c r="NZU51" s="21"/>
      <c r="NZV51" s="21"/>
      <c r="NZW51" s="21"/>
      <c r="NZX51" s="21"/>
      <c r="NZY51" s="21"/>
      <c r="NZZ51" s="21"/>
      <c r="OAA51" s="21"/>
      <c r="OAB51" s="21"/>
      <c r="OAC51" s="21"/>
      <c r="OAD51" s="21"/>
      <c r="OAE51" s="21"/>
      <c r="OAF51" s="21"/>
      <c r="OAG51" s="21"/>
      <c r="OAH51" s="21"/>
      <c r="OAI51" s="21"/>
      <c r="OAJ51" s="21"/>
      <c r="OAK51" s="21"/>
      <c r="OAL51" s="21"/>
      <c r="OAM51" s="21"/>
      <c r="OAN51" s="21"/>
      <c r="OAO51" s="21"/>
      <c r="OAP51" s="21"/>
      <c r="OAQ51" s="21"/>
      <c r="OAR51" s="21"/>
      <c r="OAS51" s="21"/>
      <c r="OAT51" s="21"/>
      <c r="OAU51" s="21"/>
      <c r="OAV51" s="21"/>
      <c r="OAW51" s="21"/>
      <c r="OAX51" s="21"/>
      <c r="OAY51" s="21"/>
      <c r="OAZ51" s="21"/>
      <c r="OBA51" s="21"/>
      <c r="OBB51" s="21"/>
      <c r="OBC51" s="21"/>
      <c r="OBD51" s="21"/>
      <c r="OBE51" s="21"/>
      <c r="OBF51" s="21"/>
      <c r="OBG51" s="21"/>
      <c r="OBH51" s="21"/>
      <c r="OBI51" s="21"/>
      <c r="OBJ51" s="21"/>
      <c r="OBK51" s="21"/>
      <c r="OBL51" s="21"/>
      <c r="OBM51" s="21"/>
      <c r="OBN51" s="21"/>
      <c r="OBO51" s="21"/>
      <c r="OBP51" s="21"/>
      <c r="OBQ51" s="21"/>
      <c r="OBR51" s="21"/>
      <c r="OBS51" s="21"/>
      <c r="OBT51" s="21"/>
      <c r="OBU51" s="21"/>
      <c r="OBV51" s="21"/>
      <c r="OBW51" s="21"/>
      <c r="OBX51" s="21"/>
      <c r="OBY51" s="21"/>
      <c r="OBZ51" s="21"/>
      <c r="OCA51" s="21"/>
      <c r="OCB51" s="21"/>
      <c r="OCC51" s="21"/>
      <c r="OCD51" s="21"/>
      <c r="OCE51" s="21"/>
      <c r="OCF51" s="21"/>
      <c r="OCG51" s="21"/>
      <c r="OCH51" s="21"/>
      <c r="OCI51" s="21"/>
      <c r="OCJ51" s="21"/>
      <c r="OCK51" s="21"/>
      <c r="OCL51" s="21"/>
      <c r="OCM51" s="21"/>
      <c r="OCN51" s="21"/>
      <c r="OCO51" s="21"/>
      <c r="OCP51" s="21"/>
      <c r="OCQ51" s="21"/>
      <c r="OCR51" s="21"/>
      <c r="OCS51" s="21"/>
      <c r="OCT51" s="21"/>
      <c r="OCU51" s="21"/>
      <c r="OCV51" s="21"/>
      <c r="OCW51" s="21"/>
      <c r="OCX51" s="21"/>
      <c r="OCY51" s="21"/>
      <c r="OCZ51" s="21"/>
      <c r="ODA51" s="21"/>
      <c r="ODB51" s="21"/>
      <c r="ODC51" s="21"/>
      <c r="ODD51" s="21"/>
      <c r="ODE51" s="21"/>
      <c r="ODF51" s="21"/>
      <c r="ODG51" s="21"/>
      <c r="ODH51" s="21"/>
      <c r="ODI51" s="21"/>
      <c r="ODJ51" s="21"/>
      <c r="ODK51" s="21"/>
      <c r="ODL51" s="21"/>
      <c r="ODM51" s="21"/>
      <c r="ODN51" s="21"/>
      <c r="ODO51" s="21"/>
      <c r="ODP51" s="21"/>
      <c r="ODQ51" s="21"/>
      <c r="ODR51" s="21"/>
      <c r="ODS51" s="21"/>
      <c r="ODT51" s="21"/>
      <c r="ODU51" s="21"/>
      <c r="ODV51" s="21"/>
      <c r="ODW51" s="21"/>
      <c r="ODX51" s="21"/>
      <c r="ODY51" s="21"/>
      <c r="ODZ51" s="21"/>
      <c r="OEA51" s="21"/>
      <c r="OEB51" s="21"/>
      <c r="OEC51" s="21"/>
      <c r="OED51" s="21"/>
      <c r="OEE51" s="21"/>
      <c r="OEF51" s="21"/>
      <c r="OEG51" s="21"/>
      <c r="OEH51" s="21"/>
      <c r="OEI51" s="21"/>
      <c r="OEJ51" s="21"/>
      <c r="OEK51" s="21"/>
      <c r="OEL51" s="21"/>
      <c r="OEM51" s="21"/>
      <c r="OEN51" s="21"/>
      <c r="OEO51" s="21"/>
      <c r="OEP51" s="21"/>
      <c r="OEQ51" s="21"/>
      <c r="OER51" s="21"/>
      <c r="OES51" s="21"/>
      <c r="OET51" s="21"/>
      <c r="OEU51" s="21"/>
      <c r="OEV51" s="21"/>
      <c r="OEW51" s="21"/>
      <c r="OEX51" s="21"/>
      <c r="OEY51" s="21"/>
      <c r="OEZ51" s="21"/>
      <c r="OFA51" s="21"/>
      <c r="OFB51" s="21"/>
      <c r="OFC51" s="21"/>
      <c r="OFD51" s="21"/>
      <c r="OFE51" s="21"/>
      <c r="OFF51" s="21"/>
      <c r="OFG51" s="21"/>
      <c r="OFH51" s="21"/>
      <c r="OFI51" s="21"/>
      <c r="OFJ51" s="21"/>
      <c r="OFK51" s="21"/>
      <c r="OFL51" s="21"/>
      <c r="OFM51" s="21"/>
      <c r="OFN51" s="21"/>
      <c r="OFO51" s="21"/>
      <c r="OFP51" s="21"/>
      <c r="OFQ51" s="21"/>
      <c r="OFR51" s="21"/>
      <c r="OFS51" s="21"/>
      <c r="OFT51" s="21"/>
      <c r="OFU51" s="21"/>
      <c r="OFV51" s="21"/>
      <c r="OFW51" s="21"/>
      <c r="OFX51" s="21"/>
      <c r="OFY51" s="21"/>
      <c r="OFZ51" s="21"/>
      <c r="OGA51" s="21"/>
      <c r="OGB51" s="21"/>
      <c r="OGC51" s="21"/>
      <c r="OGD51" s="21"/>
      <c r="OGE51" s="21"/>
      <c r="OGF51" s="21"/>
      <c r="OGG51" s="21"/>
      <c r="OGH51" s="21"/>
      <c r="OGI51" s="21"/>
      <c r="OGJ51" s="21"/>
      <c r="OGK51" s="21"/>
      <c r="OGL51" s="21"/>
      <c r="OGM51" s="21"/>
      <c r="OGN51" s="21"/>
      <c r="OGO51" s="21"/>
      <c r="OGP51" s="21"/>
      <c r="OGQ51" s="21"/>
      <c r="OGR51" s="21"/>
      <c r="OGS51" s="21"/>
      <c r="OGT51" s="21"/>
      <c r="OGU51" s="21"/>
      <c r="OGV51" s="21"/>
      <c r="OGW51" s="21"/>
      <c r="OGX51" s="21"/>
      <c r="OGY51" s="21"/>
      <c r="OGZ51" s="21"/>
      <c r="OHA51" s="21"/>
      <c r="OHB51" s="21"/>
      <c r="OHC51" s="21"/>
      <c r="OHD51" s="21"/>
      <c r="OHE51" s="21"/>
      <c r="OHF51" s="21"/>
      <c r="OHG51" s="21"/>
      <c r="OHH51" s="21"/>
      <c r="OHI51" s="21"/>
      <c r="OHJ51" s="21"/>
      <c r="OHK51" s="21"/>
      <c r="OHL51" s="21"/>
      <c r="OHM51" s="21"/>
      <c r="OHN51" s="21"/>
      <c r="OHO51" s="21"/>
      <c r="OHP51" s="21"/>
      <c r="OHQ51" s="21"/>
      <c r="OHR51" s="21"/>
      <c r="OHS51" s="21"/>
      <c r="OHT51" s="21"/>
      <c r="OHU51" s="21"/>
      <c r="OHV51" s="21"/>
      <c r="OHW51" s="21"/>
      <c r="OHX51" s="21"/>
      <c r="OHY51" s="21"/>
      <c r="OHZ51" s="21"/>
      <c r="OIA51" s="21"/>
      <c r="OIB51" s="21"/>
      <c r="OIC51" s="21"/>
      <c r="OID51" s="21"/>
      <c r="OIE51" s="21"/>
      <c r="OIF51" s="21"/>
      <c r="OIG51" s="21"/>
      <c r="OIH51" s="21"/>
      <c r="OII51" s="21"/>
      <c r="OIJ51" s="21"/>
      <c r="OIK51" s="21"/>
      <c r="OIL51" s="21"/>
      <c r="OIM51" s="21"/>
      <c r="OIN51" s="21"/>
      <c r="OIO51" s="21"/>
      <c r="OIP51" s="21"/>
      <c r="OIQ51" s="21"/>
      <c r="OIR51" s="21"/>
      <c r="OIS51" s="21"/>
      <c r="OIT51" s="21"/>
      <c r="OIU51" s="21"/>
      <c r="OIV51" s="21"/>
      <c r="OIW51" s="21"/>
      <c r="OIX51" s="21"/>
      <c r="OIY51" s="21"/>
      <c r="OIZ51" s="21"/>
      <c r="OJA51" s="21"/>
      <c r="OJB51" s="21"/>
      <c r="OJC51" s="21"/>
      <c r="OJD51" s="21"/>
      <c r="OJE51" s="21"/>
      <c r="OJF51" s="21"/>
      <c r="OJG51" s="21"/>
      <c r="OJH51" s="21"/>
      <c r="OJI51" s="21"/>
      <c r="OJJ51" s="21"/>
      <c r="OJK51" s="21"/>
      <c r="OJL51" s="21"/>
      <c r="OJM51" s="21"/>
      <c r="OJN51" s="21"/>
      <c r="OJO51" s="21"/>
      <c r="OJP51" s="21"/>
      <c r="OJQ51" s="21"/>
      <c r="OJR51" s="21"/>
      <c r="OJS51" s="21"/>
      <c r="OJT51" s="21"/>
      <c r="OJU51" s="21"/>
      <c r="OJV51" s="21"/>
      <c r="OJW51" s="21"/>
      <c r="OJX51" s="21"/>
      <c r="OJY51" s="21"/>
      <c r="OJZ51" s="21"/>
      <c r="OKA51" s="21"/>
      <c r="OKB51" s="21"/>
      <c r="OKC51" s="21"/>
      <c r="OKD51" s="21"/>
      <c r="OKE51" s="21"/>
      <c r="OKF51" s="21"/>
      <c r="OKG51" s="21"/>
      <c r="OKH51" s="21"/>
      <c r="OKI51" s="21"/>
      <c r="OKJ51" s="21"/>
      <c r="OKK51" s="21"/>
      <c r="OKL51" s="21"/>
      <c r="OKM51" s="21"/>
      <c r="OKN51" s="21"/>
      <c r="OKO51" s="21"/>
      <c r="OKP51" s="21"/>
      <c r="OKQ51" s="21"/>
      <c r="OKR51" s="21"/>
      <c r="OKS51" s="21"/>
      <c r="OKT51" s="21"/>
      <c r="OKU51" s="21"/>
      <c r="OKV51" s="21"/>
      <c r="OKW51" s="21"/>
      <c r="OKX51" s="21"/>
      <c r="OKY51" s="21"/>
      <c r="OKZ51" s="21"/>
      <c r="OLA51" s="21"/>
      <c r="OLB51" s="21"/>
      <c r="OLC51" s="21"/>
      <c r="OLD51" s="21"/>
      <c r="OLE51" s="21"/>
      <c r="OLF51" s="21"/>
      <c r="OLG51" s="21"/>
      <c r="OLH51" s="21"/>
      <c r="OLI51" s="21"/>
      <c r="OLJ51" s="21"/>
      <c r="OLK51" s="21"/>
      <c r="OLL51" s="21"/>
      <c r="OLM51" s="21"/>
      <c r="OLN51" s="21"/>
      <c r="OLO51" s="21"/>
      <c r="OLP51" s="21"/>
      <c r="OLQ51" s="21"/>
      <c r="OLR51" s="21"/>
      <c r="OLS51" s="21"/>
      <c r="OLT51" s="21"/>
      <c r="OLU51" s="21"/>
      <c r="OLV51" s="21"/>
      <c r="OLW51" s="21"/>
      <c r="OLX51" s="21"/>
      <c r="OLY51" s="21"/>
      <c r="OLZ51" s="21"/>
      <c r="OMA51" s="21"/>
      <c r="OMB51" s="21"/>
      <c r="OMC51" s="21"/>
      <c r="OMD51" s="21"/>
      <c r="OME51" s="21"/>
      <c r="OMF51" s="21"/>
      <c r="OMG51" s="21"/>
      <c r="OMH51" s="21"/>
      <c r="OMI51" s="21"/>
      <c r="OMJ51" s="21"/>
      <c r="OMK51" s="21"/>
      <c r="OML51" s="21"/>
      <c r="OMM51" s="21"/>
      <c r="OMN51" s="21"/>
      <c r="OMO51" s="21"/>
      <c r="OMP51" s="21"/>
      <c r="OMQ51" s="21"/>
      <c r="OMR51" s="21"/>
      <c r="OMS51" s="21"/>
      <c r="OMT51" s="21"/>
      <c r="OMU51" s="21"/>
      <c r="OMV51" s="21"/>
      <c r="OMW51" s="21"/>
      <c r="OMX51" s="21"/>
      <c r="OMY51" s="21"/>
      <c r="OMZ51" s="21"/>
      <c r="ONA51" s="21"/>
      <c r="ONB51" s="21"/>
      <c r="ONC51" s="21"/>
      <c r="OND51" s="21"/>
      <c r="ONE51" s="21"/>
      <c r="ONF51" s="21"/>
      <c r="ONG51" s="21"/>
      <c r="ONH51" s="21"/>
      <c r="ONI51" s="21"/>
      <c r="ONJ51" s="21"/>
      <c r="ONK51" s="21"/>
      <c r="ONL51" s="21"/>
      <c r="ONM51" s="21"/>
      <c r="ONN51" s="21"/>
      <c r="ONO51" s="21"/>
      <c r="ONP51" s="21"/>
      <c r="ONQ51" s="21"/>
      <c r="ONR51" s="21"/>
      <c r="ONS51" s="21"/>
      <c r="ONT51" s="21"/>
      <c r="ONU51" s="21"/>
      <c r="ONV51" s="21"/>
      <c r="ONW51" s="21"/>
      <c r="ONX51" s="21"/>
      <c r="ONY51" s="21"/>
      <c r="ONZ51" s="21"/>
      <c r="OOA51" s="21"/>
      <c r="OOB51" s="21"/>
      <c r="OOC51" s="21"/>
      <c r="OOD51" s="21"/>
      <c r="OOE51" s="21"/>
      <c r="OOF51" s="21"/>
      <c r="OOG51" s="21"/>
      <c r="OOH51" s="21"/>
      <c r="OOI51" s="21"/>
      <c r="OOJ51" s="21"/>
      <c r="OOK51" s="21"/>
      <c r="OOL51" s="21"/>
      <c r="OOM51" s="21"/>
      <c r="OON51" s="21"/>
      <c r="OOO51" s="21"/>
      <c r="OOP51" s="21"/>
      <c r="OOQ51" s="21"/>
      <c r="OOR51" s="21"/>
      <c r="OOS51" s="21"/>
      <c r="OOT51" s="21"/>
      <c r="OOU51" s="21"/>
      <c r="OOV51" s="21"/>
      <c r="OOW51" s="21"/>
      <c r="OOX51" s="21"/>
      <c r="OOY51" s="21"/>
      <c r="OOZ51" s="21"/>
      <c r="OPA51" s="21"/>
      <c r="OPB51" s="21"/>
      <c r="OPC51" s="21"/>
      <c r="OPD51" s="21"/>
      <c r="OPE51" s="21"/>
      <c r="OPF51" s="21"/>
      <c r="OPG51" s="21"/>
      <c r="OPH51" s="21"/>
      <c r="OPI51" s="21"/>
      <c r="OPJ51" s="21"/>
      <c r="OPK51" s="21"/>
      <c r="OPL51" s="21"/>
      <c r="OPM51" s="21"/>
      <c r="OPN51" s="21"/>
      <c r="OPO51" s="21"/>
      <c r="OPP51" s="21"/>
      <c r="OPQ51" s="21"/>
      <c r="OPR51" s="21"/>
      <c r="OPS51" s="21"/>
      <c r="OPT51" s="21"/>
      <c r="OPU51" s="21"/>
      <c r="OPV51" s="21"/>
      <c r="OPW51" s="21"/>
      <c r="OPX51" s="21"/>
      <c r="OPY51" s="21"/>
      <c r="OPZ51" s="21"/>
      <c r="OQA51" s="21"/>
      <c r="OQB51" s="21"/>
      <c r="OQC51" s="21"/>
      <c r="OQD51" s="21"/>
      <c r="OQE51" s="21"/>
      <c r="OQF51" s="21"/>
      <c r="OQG51" s="21"/>
      <c r="OQH51" s="21"/>
      <c r="OQI51" s="21"/>
      <c r="OQJ51" s="21"/>
      <c r="OQK51" s="21"/>
      <c r="OQL51" s="21"/>
      <c r="OQM51" s="21"/>
      <c r="OQN51" s="21"/>
      <c r="OQO51" s="21"/>
      <c r="OQP51" s="21"/>
      <c r="OQQ51" s="21"/>
      <c r="OQR51" s="21"/>
      <c r="OQS51" s="21"/>
      <c r="OQT51" s="21"/>
      <c r="OQU51" s="21"/>
      <c r="OQV51" s="21"/>
      <c r="OQW51" s="21"/>
      <c r="OQX51" s="21"/>
      <c r="OQY51" s="21"/>
      <c r="OQZ51" s="21"/>
      <c r="ORA51" s="21"/>
      <c r="ORB51" s="21"/>
      <c r="ORC51" s="21"/>
      <c r="ORD51" s="21"/>
      <c r="ORE51" s="21"/>
      <c r="ORF51" s="21"/>
      <c r="ORG51" s="21"/>
      <c r="ORH51" s="21"/>
      <c r="ORI51" s="21"/>
      <c r="ORJ51" s="21"/>
      <c r="ORK51" s="21"/>
      <c r="ORL51" s="21"/>
      <c r="ORM51" s="21"/>
      <c r="ORN51" s="21"/>
      <c r="ORO51" s="21"/>
      <c r="ORP51" s="21"/>
      <c r="ORQ51" s="21"/>
      <c r="ORR51" s="21"/>
      <c r="ORS51" s="21"/>
      <c r="ORT51" s="21"/>
      <c r="ORU51" s="21"/>
      <c r="ORV51" s="21"/>
      <c r="ORW51" s="21"/>
      <c r="ORX51" s="21"/>
      <c r="ORY51" s="21"/>
      <c r="ORZ51" s="21"/>
      <c r="OSA51" s="21"/>
      <c r="OSB51" s="21"/>
      <c r="OSC51" s="21"/>
      <c r="OSD51" s="21"/>
      <c r="OSE51" s="21"/>
      <c r="OSF51" s="21"/>
      <c r="OSG51" s="21"/>
      <c r="OSH51" s="21"/>
      <c r="OSI51" s="21"/>
      <c r="OSJ51" s="21"/>
      <c r="OSK51" s="21"/>
      <c r="OSL51" s="21"/>
      <c r="OSM51" s="21"/>
      <c r="OSN51" s="21"/>
      <c r="OSO51" s="21"/>
      <c r="OSP51" s="21"/>
      <c r="OSQ51" s="21"/>
      <c r="OSR51" s="21"/>
      <c r="OSS51" s="21"/>
      <c r="OST51" s="21"/>
      <c r="OSU51" s="21"/>
      <c r="OSV51" s="21"/>
      <c r="OSW51" s="21"/>
      <c r="OSX51" s="21"/>
      <c r="OSY51" s="21"/>
      <c r="OSZ51" s="21"/>
      <c r="OTA51" s="21"/>
      <c r="OTB51" s="21"/>
      <c r="OTC51" s="21"/>
      <c r="OTD51" s="21"/>
      <c r="OTE51" s="21"/>
      <c r="OTF51" s="21"/>
      <c r="OTG51" s="21"/>
      <c r="OTH51" s="21"/>
      <c r="OTI51" s="21"/>
      <c r="OTJ51" s="21"/>
      <c r="OTK51" s="21"/>
      <c r="OTL51" s="21"/>
      <c r="OTM51" s="21"/>
      <c r="OTN51" s="21"/>
      <c r="OTO51" s="21"/>
      <c r="OTP51" s="21"/>
      <c r="OTQ51" s="21"/>
      <c r="OTR51" s="21"/>
      <c r="OTS51" s="21"/>
      <c r="OTT51" s="21"/>
      <c r="OTU51" s="21"/>
      <c r="OTV51" s="21"/>
      <c r="OTW51" s="21"/>
      <c r="OTX51" s="21"/>
      <c r="OTY51" s="21"/>
      <c r="OTZ51" s="21"/>
      <c r="OUA51" s="21"/>
      <c r="OUB51" s="21"/>
      <c r="OUC51" s="21"/>
      <c r="OUD51" s="21"/>
      <c r="OUE51" s="21"/>
      <c r="OUF51" s="21"/>
      <c r="OUG51" s="21"/>
      <c r="OUH51" s="21"/>
      <c r="OUI51" s="21"/>
      <c r="OUJ51" s="21"/>
      <c r="OUK51" s="21"/>
      <c r="OUL51" s="21"/>
      <c r="OUM51" s="21"/>
      <c r="OUN51" s="21"/>
      <c r="OUO51" s="21"/>
      <c r="OUP51" s="21"/>
      <c r="OUQ51" s="21"/>
      <c r="OUR51" s="21"/>
      <c r="OUS51" s="21"/>
      <c r="OUT51" s="21"/>
      <c r="OUU51" s="21"/>
      <c r="OUV51" s="21"/>
      <c r="OUW51" s="21"/>
      <c r="OUX51" s="21"/>
      <c r="OUY51" s="21"/>
      <c r="OUZ51" s="21"/>
      <c r="OVA51" s="21"/>
      <c r="OVB51" s="21"/>
      <c r="OVC51" s="21"/>
      <c r="OVD51" s="21"/>
      <c r="OVE51" s="21"/>
      <c r="OVF51" s="21"/>
      <c r="OVG51" s="21"/>
      <c r="OVH51" s="21"/>
      <c r="OVI51" s="21"/>
      <c r="OVJ51" s="21"/>
      <c r="OVK51" s="21"/>
      <c r="OVL51" s="21"/>
      <c r="OVM51" s="21"/>
      <c r="OVN51" s="21"/>
      <c r="OVO51" s="21"/>
      <c r="OVP51" s="21"/>
      <c r="OVQ51" s="21"/>
      <c r="OVR51" s="21"/>
      <c r="OVS51" s="21"/>
      <c r="OVT51" s="21"/>
      <c r="OVU51" s="21"/>
      <c r="OVV51" s="21"/>
      <c r="OVW51" s="21"/>
      <c r="OVX51" s="21"/>
      <c r="OVY51" s="21"/>
      <c r="OVZ51" s="21"/>
      <c r="OWA51" s="21"/>
      <c r="OWB51" s="21"/>
      <c r="OWC51" s="21"/>
      <c r="OWD51" s="21"/>
      <c r="OWE51" s="21"/>
      <c r="OWF51" s="21"/>
      <c r="OWG51" s="21"/>
      <c r="OWH51" s="21"/>
      <c r="OWI51" s="21"/>
      <c r="OWJ51" s="21"/>
      <c r="OWK51" s="21"/>
      <c r="OWL51" s="21"/>
      <c r="OWM51" s="21"/>
      <c r="OWN51" s="21"/>
      <c r="OWO51" s="21"/>
      <c r="OWP51" s="21"/>
      <c r="OWQ51" s="21"/>
      <c r="OWR51" s="21"/>
      <c r="OWS51" s="21"/>
      <c r="OWT51" s="21"/>
      <c r="OWU51" s="21"/>
      <c r="OWV51" s="21"/>
      <c r="OWW51" s="21"/>
      <c r="OWX51" s="21"/>
      <c r="OWY51" s="21"/>
      <c r="OWZ51" s="21"/>
      <c r="OXA51" s="21"/>
      <c r="OXB51" s="21"/>
      <c r="OXC51" s="21"/>
      <c r="OXD51" s="21"/>
      <c r="OXE51" s="21"/>
      <c r="OXF51" s="21"/>
      <c r="OXG51" s="21"/>
      <c r="OXH51" s="21"/>
      <c r="OXI51" s="21"/>
      <c r="OXJ51" s="21"/>
      <c r="OXK51" s="21"/>
      <c r="OXL51" s="21"/>
      <c r="OXM51" s="21"/>
      <c r="OXN51" s="21"/>
      <c r="OXO51" s="21"/>
      <c r="OXP51" s="21"/>
      <c r="OXQ51" s="21"/>
      <c r="OXR51" s="21"/>
      <c r="OXS51" s="21"/>
      <c r="OXT51" s="21"/>
      <c r="OXU51" s="21"/>
      <c r="OXV51" s="21"/>
      <c r="OXW51" s="21"/>
      <c r="OXX51" s="21"/>
      <c r="OXY51" s="21"/>
      <c r="OXZ51" s="21"/>
      <c r="OYA51" s="21"/>
      <c r="OYB51" s="21"/>
      <c r="OYC51" s="21"/>
      <c r="OYD51" s="21"/>
      <c r="OYE51" s="21"/>
      <c r="OYF51" s="21"/>
      <c r="OYG51" s="21"/>
      <c r="OYH51" s="21"/>
      <c r="OYI51" s="21"/>
      <c r="OYJ51" s="21"/>
      <c r="OYK51" s="21"/>
      <c r="OYL51" s="21"/>
      <c r="OYM51" s="21"/>
      <c r="OYN51" s="21"/>
      <c r="OYO51" s="21"/>
      <c r="OYP51" s="21"/>
      <c r="OYQ51" s="21"/>
      <c r="OYR51" s="21"/>
      <c r="OYS51" s="21"/>
      <c r="OYT51" s="21"/>
      <c r="OYU51" s="21"/>
      <c r="OYV51" s="21"/>
      <c r="OYW51" s="21"/>
      <c r="OYX51" s="21"/>
      <c r="OYY51" s="21"/>
      <c r="OYZ51" s="21"/>
      <c r="OZA51" s="21"/>
      <c r="OZB51" s="21"/>
      <c r="OZC51" s="21"/>
      <c r="OZD51" s="21"/>
      <c r="OZE51" s="21"/>
      <c r="OZF51" s="21"/>
      <c r="OZG51" s="21"/>
      <c r="OZH51" s="21"/>
      <c r="OZI51" s="21"/>
      <c r="OZJ51" s="21"/>
      <c r="OZK51" s="21"/>
      <c r="OZL51" s="21"/>
      <c r="OZM51" s="21"/>
      <c r="OZN51" s="21"/>
      <c r="OZO51" s="21"/>
      <c r="OZP51" s="21"/>
      <c r="OZQ51" s="21"/>
      <c r="OZR51" s="21"/>
      <c r="OZS51" s="21"/>
      <c r="OZT51" s="21"/>
      <c r="OZU51" s="21"/>
      <c r="OZV51" s="21"/>
      <c r="OZW51" s="21"/>
      <c r="OZX51" s="21"/>
      <c r="OZY51" s="21"/>
      <c r="OZZ51" s="21"/>
      <c r="PAA51" s="21"/>
      <c r="PAB51" s="21"/>
      <c r="PAC51" s="21"/>
      <c r="PAD51" s="21"/>
      <c r="PAE51" s="21"/>
      <c r="PAF51" s="21"/>
      <c r="PAG51" s="21"/>
      <c r="PAH51" s="21"/>
      <c r="PAI51" s="21"/>
      <c r="PAJ51" s="21"/>
      <c r="PAK51" s="21"/>
      <c r="PAL51" s="21"/>
      <c r="PAM51" s="21"/>
      <c r="PAN51" s="21"/>
      <c r="PAO51" s="21"/>
      <c r="PAP51" s="21"/>
      <c r="PAQ51" s="21"/>
      <c r="PAR51" s="21"/>
      <c r="PAS51" s="21"/>
      <c r="PAT51" s="21"/>
      <c r="PAU51" s="21"/>
      <c r="PAV51" s="21"/>
      <c r="PAW51" s="21"/>
      <c r="PAX51" s="21"/>
      <c r="PAY51" s="21"/>
      <c r="PAZ51" s="21"/>
      <c r="PBA51" s="21"/>
      <c r="PBB51" s="21"/>
      <c r="PBC51" s="21"/>
      <c r="PBD51" s="21"/>
      <c r="PBE51" s="21"/>
      <c r="PBF51" s="21"/>
      <c r="PBG51" s="21"/>
      <c r="PBH51" s="21"/>
      <c r="PBI51" s="21"/>
      <c r="PBJ51" s="21"/>
      <c r="PBK51" s="21"/>
      <c r="PBL51" s="21"/>
      <c r="PBM51" s="21"/>
      <c r="PBN51" s="21"/>
      <c r="PBO51" s="21"/>
      <c r="PBP51" s="21"/>
      <c r="PBQ51" s="21"/>
      <c r="PBR51" s="21"/>
      <c r="PBS51" s="21"/>
      <c r="PBT51" s="21"/>
      <c r="PBU51" s="21"/>
      <c r="PBV51" s="21"/>
      <c r="PBW51" s="21"/>
      <c r="PBX51" s="21"/>
      <c r="PBY51" s="21"/>
      <c r="PBZ51" s="21"/>
      <c r="PCA51" s="21"/>
      <c r="PCB51" s="21"/>
      <c r="PCC51" s="21"/>
      <c r="PCD51" s="21"/>
      <c r="PCE51" s="21"/>
      <c r="PCF51" s="21"/>
      <c r="PCG51" s="21"/>
      <c r="PCH51" s="21"/>
      <c r="PCI51" s="21"/>
      <c r="PCJ51" s="21"/>
      <c r="PCK51" s="21"/>
      <c r="PCL51" s="21"/>
      <c r="PCM51" s="21"/>
      <c r="PCN51" s="21"/>
      <c r="PCO51" s="21"/>
      <c r="PCP51" s="21"/>
      <c r="PCQ51" s="21"/>
      <c r="PCR51" s="21"/>
      <c r="PCS51" s="21"/>
      <c r="PCT51" s="21"/>
      <c r="PCU51" s="21"/>
      <c r="PCV51" s="21"/>
      <c r="PCW51" s="21"/>
      <c r="PCX51" s="21"/>
      <c r="PCY51" s="21"/>
      <c r="PCZ51" s="21"/>
      <c r="PDA51" s="21"/>
      <c r="PDB51" s="21"/>
      <c r="PDC51" s="21"/>
      <c r="PDD51" s="21"/>
      <c r="PDE51" s="21"/>
      <c r="PDF51" s="21"/>
      <c r="PDG51" s="21"/>
      <c r="PDH51" s="21"/>
      <c r="PDI51" s="21"/>
      <c r="PDJ51" s="21"/>
      <c r="PDK51" s="21"/>
      <c r="PDL51" s="21"/>
      <c r="PDM51" s="21"/>
      <c r="PDN51" s="21"/>
      <c r="PDO51" s="21"/>
      <c r="PDP51" s="21"/>
      <c r="PDQ51" s="21"/>
      <c r="PDR51" s="21"/>
      <c r="PDS51" s="21"/>
      <c r="PDT51" s="21"/>
      <c r="PDU51" s="21"/>
      <c r="PDV51" s="21"/>
      <c r="PDW51" s="21"/>
      <c r="PDX51" s="21"/>
      <c r="PDY51" s="21"/>
      <c r="PDZ51" s="21"/>
      <c r="PEA51" s="21"/>
      <c r="PEB51" s="21"/>
      <c r="PEC51" s="21"/>
      <c r="PED51" s="21"/>
      <c r="PEE51" s="21"/>
      <c r="PEF51" s="21"/>
      <c r="PEG51" s="21"/>
      <c r="PEH51" s="21"/>
      <c r="PEI51" s="21"/>
      <c r="PEJ51" s="21"/>
      <c r="PEK51" s="21"/>
      <c r="PEL51" s="21"/>
      <c r="PEM51" s="21"/>
      <c r="PEN51" s="21"/>
      <c r="PEO51" s="21"/>
      <c r="PEP51" s="21"/>
      <c r="PEQ51" s="21"/>
      <c r="PER51" s="21"/>
      <c r="PES51" s="21"/>
      <c r="PET51" s="21"/>
      <c r="PEU51" s="21"/>
      <c r="PEV51" s="21"/>
      <c r="PEW51" s="21"/>
      <c r="PEX51" s="21"/>
      <c r="PEY51" s="21"/>
      <c r="PEZ51" s="21"/>
      <c r="PFA51" s="21"/>
      <c r="PFB51" s="21"/>
      <c r="PFC51" s="21"/>
      <c r="PFD51" s="21"/>
      <c r="PFE51" s="21"/>
      <c r="PFF51" s="21"/>
      <c r="PFG51" s="21"/>
      <c r="PFH51" s="21"/>
      <c r="PFI51" s="21"/>
      <c r="PFJ51" s="21"/>
      <c r="PFK51" s="21"/>
      <c r="PFL51" s="21"/>
      <c r="PFM51" s="21"/>
      <c r="PFN51" s="21"/>
      <c r="PFO51" s="21"/>
      <c r="PFP51" s="21"/>
      <c r="PFQ51" s="21"/>
      <c r="PFR51" s="21"/>
      <c r="PFS51" s="21"/>
      <c r="PFT51" s="21"/>
      <c r="PFU51" s="21"/>
      <c r="PFV51" s="21"/>
      <c r="PFW51" s="21"/>
      <c r="PFX51" s="21"/>
      <c r="PFY51" s="21"/>
      <c r="PFZ51" s="21"/>
      <c r="PGA51" s="21"/>
      <c r="PGB51" s="21"/>
      <c r="PGC51" s="21"/>
      <c r="PGD51" s="21"/>
      <c r="PGE51" s="21"/>
      <c r="PGF51" s="21"/>
      <c r="PGG51" s="21"/>
      <c r="PGH51" s="21"/>
      <c r="PGI51" s="21"/>
      <c r="PGJ51" s="21"/>
      <c r="PGK51" s="21"/>
      <c r="PGL51" s="21"/>
      <c r="PGM51" s="21"/>
      <c r="PGN51" s="21"/>
      <c r="PGO51" s="21"/>
      <c r="PGP51" s="21"/>
      <c r="PGQ51" s="21"/>
      <c r="PGR51" s="21"/>
      <c r="PGS51" s="21"/>
      <c r="PGT51" s="21"/>
      <c r="PGU51" s="21"/>
      <c r="PGV51" s="21"/>
      <c r="PGW51" s="21"/>
      <c r="PGX51" s="21"/>
      <c r="PGY51" s="21"/>
      <c r="PGZ51" s="21"/>
      <c r="PHA51" s="21"/>
      <c r="PHB51" s="21"/>
      <c r="PHC51" s="21"/>
      <c r="PHD51" s="21"/>
      <c r="PHE51" s="21"/>
      <c r="PHF51" s="21"/>
      <c r="PHG51" s="21"/>
      <c r="PHH51" s="21"/>
      <c r="PHI51" s="21"/>
      <c r="PHJ51" s="21"/>
      <c r="PHK51" s="21"/>
      <c r="PHL51" s="21"/>
      <c r="PHM51" s="21"/>
      <c r="PHN51" s="21"/>
      <c r="PHO51" s="21"/>
      <c r="PHP51" s="21"/>
      <c r="PHQ51" s="21"/>
      <c r="PHR51" s="21"/>
      <c r="PHS51" s="21"/>
      <c r="PHT51" s="21"/>
      <c r="PHU51" s="21"/>
      <c r="PHV51" s="21"/>
      <c r="PHW51" s="21"/>
      <c r="PHX51" s="21"/>
      <c r="PHY51" s="21"/>
      <c r="PHZ51" s="21"/>
      <c r="PIA51" s="21"/>
      <c r="PIB51" s="21"/>
      <c r="PIC51" s="21"/>
      <c r="PID51" s="21"/>
      <c r="PIE51" s="21"/>
      <c r="PIF51" s="21"/>
      <c r="PIG51" s="21"/>
      <c r="PIH51" s="21"/>
      <c r="PII51" s="21"/>
      <c r="PIJ51" s="21"/>
      <c r="PIK51" s="21"/>
      <c r="PIL51" s="21"/>
      <c r="PIM51" s="21"/>
      <c r="PIN51" s="21"/>
      <c r="PIO51" s="21"/>
      <c r="PIP51" s="21"/>
      <c r="PIQ51" s="21"/>
      <c r="PIR51" s="21"/>
      <c r="PIS51" s="21"/>
      <c r="PIT51" s="21"/>
      <c r="PIU51" s="21"/>
      <c r="PIV51" s="21"/>
      <c r="PIW51" s="21"/>
      <c r="PIX51" s="21"/>
      <c r="PIY51" s="21"/>
      <c r="PIZ51" s="21"/>
      <c r="PJA51" s="21"/>
      <c r="PJB51" s="21"/>
      <c r="PJC51" s="21"/>
      <c r="PJD51" s="21"/>
      <c r="PJE51" s="21"/>
      <c r="PJF51" s="21"/>
      <c r="PJG51" s="21"/>
      <c r="PJH51" s="21"/>
      <c r="PJI51" s="21"/>
      <c r="PJJ51" s="21"/>
      <c r="PJK51" s="21"/>
      <c r="PJL51" s="21"/>
      <c r="PJM51" s="21"/>
      <c r="PJN51" s="21"/>
      <c r="PJO51" s="21"/>
      <c r="PJP51" s="21"/>
      <c r="PJQ51" s="21"/>
      <c r="PJR51" s="21"/>
      <c r="PJS51" s="21"/>
      <c r="PJT51" s="21"/>
      <c r="PJU51" s="21"/>
      <c r="PJV51" s="21"/>
      <c r="PJW51" s="21"/>
      <c r="PJX51" s="21"/>
      <c r="PJY51" s="21"/>
      <c r="PJZ51" s="21"/>
      <c r="PKA51" s="21"/>
      <c r="PKB51" s="21"/>
      <c r="PKC51" s="21"/>
      <c r="PKD51" s="21"/>
      <c r="PKE51" s="21"/>
      <c r="PKF51" s="21"/>
      <c r="PKG51" s="21"/>
      <c r="PKH51" s="21"/>
      <c r="PKI51" s="21"/>
      <c r="PKJ51" s="21"/>
      <c r="PKK51" s="21"/>
      <c r="PKL51" s="21"/>
      <c r="PKM51" s="21"/>
      <c r="PKN51" s="21"/>
      <c r="PKO51" s="21"/>
      <c r="PKP51" s="21"/>
      <c r="PKQ51" s="21"/>
      <c r="PKR51" s="21"/>
      <c r="PKS51" s="21"/>
      <c r="PKT51" s="21"/>
      <c r="PKU51" s="21"/>
      <c r="PKV51" s="21"/>
      <c r="PKW51" s="21"/>
      <c r="PKX51" s="21"/>
      <c r="PKY51" s="21"/>
      <c r="PKZ51" s="21"/>
      <c r="PLA51" s="21"/>
      <c r="PLB51" s="21"/>
      <c r="PLC51" s="21"/>
      <c r="PLD51" s="21"/>
      <c r="PLE51" s="21"/>
      <c r="PLF51" s="21"/>
      <c r="PLG51" s="21"/>
      <c r="PLH51" s="21"/>
      <c r="PLI51" s="21"/>
      <c r="PLJ51" s="21"/>
      <c r="PLK51" s="21"/>
      <c r="PLL51" s="21"/>
      <c r="PLM51" s="21"/>
      <c r="PLN51" s="21"/>
      <c r="PLO51" s="21"/>
      <c r="PLP51" s="21"/>
      <c r="PLQ51" s="21"/>
      <c r="PLR51" s="21"/>
      <c r="PLS51" s="21"/>
      <c r="PLT51" s="21"/>
      <c r="PLU51" s="21"/>
      <c r="PLV51" s="21"/>
      <c r="PLW51" s="21"/>
      <c r="PLX51" s="21"/>
      <c r="PLY51" s="21"/>
      <c r="PLZ51" s="21"/>
      <c r="PMA51" s="21"/>
      <c r="PMB51" s="21"/>
      <c r="PMC51" s="21"/>
      <c r="PMD51" s="21"/>
      <c r="PME51" s="21"/>
      <c r="PMF51" s="21"/>
      <c r="PMG51" s="21"/>
      <c r="PMH51" s="21"/>
      <c r="PMI51" s="21"/>
      <c r="PMJ51" s="21"/>
      <c r="PMK51" s="21"/>
      <c r="PML51" s="21"/>
      <c r="PMM51" s="21"/>
      <c r="PMN51" s="21"/>
      <c r="PMO51" s="21"/>
      <c r="PMP51" s="21"/>
      <c r="PMQ51" s="21"/>
      <c r="PMR51" s="21"/>
      <c r="PMS51" s="21"/>
      <c r="PMT51" s="21"/>
      <c r="PMU51" s="21"/>
      <c r="PMV51" s="21"/>
      <c r="PMW51" s="21"/>
      <c r="PMX51" s="21"/>
      <c r="PMY51" s="21"/>
      <c r="PMZ51" s="21"/>
      <c r="PNA51" s="21"/>
      <c r="PNB51" s="21"/>
      <c r="PNC51" s="21"/>
      <c r="PND51" s="21"/>
      <c r="PNE51" s="21"/>
      <c r="PNF51" s="21"/>
      <c r="PNG51" s="21"/>
      <c r="PNH51" s="21"/>
      <c r="PNI51" s="21"/>
      <c r="PNJ51" s="21"/>
      <c r="PNK51" s="21"/>
      <c r="PNL51" s="21"/>
      <c r="PNM51" s="21"/>
      <c r="PNN51" s="21"/>
      <c r="PNO51" s="21"/>
      <c r="PNP51" s="21"/>
      <c r="PNQ51" s="21"/>
      <c r="PNR51" s="21"/>
      <c r="PNS51" s="21"/>
      <c r="PNT51" s="21"/>
      <c r="PNU51" s="21"/>
      <c r="PNV51" s="21"/>
      <c r="PNW51" s="21"/>
      <c r="PNX51" s="21"/>
      <c r="PNY51" s="21"/>
      <c r="PNZ51" s="21"/>
      <c r="POA51" s="21"/>
      <c r="POB51" s="21"/>
      <c r="POC51" s="21"/>
      <c r="POD51" s="21"/>
      <c r="POE51" s="21"/>
      <c r="POF51" s="21"/>
      <c r="POG51" s="21"/>
      <c r="POH51" s="21"/>
      <c r="POI51" s="21"/>
      <c r="POJ51" s="21"/>
      <c r="POK51" s="21"/>
      <c r="POL51" s="21"/>
      <c r="POM51" s="21"/>
      <c r="PON51" s="21"/>
      <c r="POO51" s="21"/>
      <c r="POP51" s="21"/>
      <c r="POQ51" s="21"/>
      <c r="POR51" s="21"/>
      <c r="POS51" s="21"/>
      <c r="POT51" s="21"/>
      <c r="POU51" s="21"/>
      <c r="POV51" s="21"/>
      <c r="POW51" s="21"/>
      <c r="POX51" s="21"/>
      <c r="POY51" s="21"/>
      <c r="POZ51" s="21"/>
      <c r="PPA51" s="21"/>
      <c r="PPB51" s="21"/>
      <c r="PPC51" s="21"/>
      <c r="PPD51" s="21"/>
      <c r="PPE51" s="21"/>
      <c r="PPF51" s="21"/>
      <c r="PPG51" s="21"/>
      <c r="PPH51" s="21"/>
      <c r="PPI51" s="21"/>
      <c r="PPJ51" s="21"/>
      <c r="PPK51" s="21"/>
      <c r="PPL51" s="21"/>
      <c r="PPM51" s="21"/>
      <c r="PPN51" s="21"/>
      <c r="PPO51" s="21"/>
      <c r="PPP51" s="21"/>
      <c r="PPQ51" s="21"/>
      <c r="PPR51" s="21"/>
      <c r="PPS51" s="21"/>
      <c r="PPT51" s="21"/>
      <c r="PPU51" s="21"/>
      <c r="PPV51" s="21"/>
      <c r="PPW51" s="21"/>
      <c r="PPX51" s="21"/>
      <c r="PPY51" s="21"/>
      <c r="PPZ51" s="21"/>
      <c r="PQA51" s="21"/>
      <c r="PQB51" s="21"/>
      <c r="PQC51" s="21"/>
      <c r="PQD51" s="21"/>
      <c r="PQE51" s="21"/>
      <c r="PQF51" s="21"/>
      <c r="PQG51" s="21"/>
      <c r="PQH51" s="21"/>
      <c r="PQI51" s="21"/>
      <c r="PQJ51" s="21"/>
      <c r="PQK51" s="21"/>
      <c r="PQL51" s="21"/>
      <c r="PQM51" s="21"/>
      <c r="PQN51" s="21"/>
      <c r="PQO51" s="21"/>
      <c r="PQP51" s="21"/>
      <c r="PQQ51" s="21"/>
      <c r="PQR51" s="21"/>
      <c r="PQS51" s="21"/>
      <c r="PQT51" s="21"/>
      <c r="PQU51" s="21"/>
      <c r="PQV51" s="21"/>
      <c r="PQW51" s="21"/>
      <c r="PQX51" s="21"/>
      <c r="PQY51" s="21"/>
      <c r="PQZ51" s="21"/>
      <c r="PRA51" s="21"/>
      <c r="PRB51" s="21"/>
      <c r="PRC51" s="21"/>
      <c r="PRD51" s="21"/>
      <c r="PRE51" s="21"/>
      <c r="PRF51" s="21"/>
      <c r="PRG51" s="21"/>
      <c r="PRH51" s="21"/>
      <c r="PRI51" s="21"/>
      <c r="PRJ51" s="21"/>
      <c r="PRK51" s="21"/>
      <c r="PRL51" s="21"/>
      <c r="PRM51" s="21"/>
      <c r="PRN51" s="21"/>
      <c r="PRO51" s="21"/>
      <c r="PRP51" s="21"/>
      <c r="PRQ51" s="21"/>
      <c r="PRR51" s="21"/>
      <c r="PRS51" s="21"/>
      <c r="PRT51" s="21"/>
      <c r="PRU51" s="21"/>
      <c r="PRV51" s="21"/>
      <c r="PRW51" s="21"/>
      <c r="PRX51" s="21"/>
      <c r="PRY51" s="21"/>
      <c r="PRZ51" s="21"/>
      <c r="PSA51" s="21"/>
      <c r="PSB51" s="21"/>
      <c r="PSC51" s="21"/>
      <c r="PSD51" s="21"/>
      <c r="PSE51" s="21"/>
      <c r="PSF51" s="21"/>
      <c r="PSG51" s="21"/>
      <c r="PSH51" s="21"/>
      <c r="PSI51" s="21"/>
      <c r="PSJ51" s="21"/>
      <c r="PSK51" s="21"/>
      <c r="PSL51" s="21"/>
      <c r="PSM51" s="21"/>
      <c r="PSN51" s="21"/>
      <c r="PSO51" s="21"/>
      <c r="PSP51" s="21"/>
      <c r="PSQ51" s="21"/>
      <c r="PSR51" s="21"/>
      <c r="PSS51" s="21"/>
      <c r="PST51" s="21"/>
      <c r="PSU51" s="21"/>
      <c r="PSV51" s="21"/>
      <c r="PSW51" s="21"/>
      <c r="PSX51" s="21"/>
      <c r="PSY51" s="21"/>
      <c r="PSZ51" s="21"/>
      <c r="PTA51" s="21"/>
      <c r="PTB51" s="21"/>
      <c r="PTC51" s="21"/>
      <c r="PTD51" s="21"/>
      <c r="PTE51" s="21"/>
      <c r="PTF51" s="21"/>
      <c r="PTG51" s="21"/>
      <c r="PTH51" s="21"/>
      <c r="PTI51" s="21"/>
      <c r="PTJ51" s="21"/>
      <c r="PTK51" s="21"/>
      <c r="PTL51" s="21"/>
      <c r="PTM51" s="21"/>
      <c r="PTN51" s="21"/>
      <c r="PTO51" s="21"/>
      <c r="PTP51" s="21"/>
      <c r="PTQ51" s="21"/>
      <c r="PTR51" s="21"/>
      <c r="PTS51" s="21"/>
      <c r="PTT51" s="21"/>
      <c r="PTU51" s="21"/>
      <c r="PTV51" s="21"/>
      <c r="PTW51" s="21"/>
      <c r="PTX51" s="21"/>
      <c r="PTY51" s="21"/>
      <c r="PTZ51" s="21"/>
      <c r="PUA51" s="21"/>
      <c r="PUB51" s="21"/>
      <c r="PUC51" s="21"/>
      <c r="PUD51" s="21"/>
      <c r="PUE51" s="21"/>
      <c r="PUF51" s="21"/>
      <c r="PUG51" s="21"/>
      <c r="PUH51" s="21"/>
      <c r="PUI51" s="21"/>
      <c r="PUJ51" s="21"/>
      <c r="PUK51" s="21"/>
      <c r="PUL51" s="21"/>
      <c r="PUM51" s="21"/>
      <c r="PUN51" s="21"/>
      <c r="PUO51" s="21"/>
      <c r="PUP51" s="21"/>
      <c r="PUQ51" s="21"/>
      <c r="PUR51" s="21"/>
      <c r="PUS51" s="21"/>
      <c r="PUT51" s="21"/>
      <c r="PUU51" s="21"/>
      <c r="PUV51" s="21"/>
      <c r="PUW51" s="21"/>
      <c r="PUX51" s="21"/>
      <c r="PUY51" s="21"/>
      <c r="PUZ51" s="21"/>
      <c r="PVA51" s="21"/>
      <c r="PVB51" s="21"/>
      <c r="PVC51" s="21"/>
      <c r="PVD51" s="21"/>
      <c r="PVE51" s="21"/>
      <c r="PVF51" s="21"/>
      <c r="PVG51" s="21"/>
      <c r="PVH51" s="21"/>
      <c r="PVI51" s="21"/>
      <c r="PVJ51" s="21"/>
      <c r="PVK51" s="21"/>
      <c r="PVL51" s="21"/>
      <c r="PVM51" s="21"/>
      <c r="PVN51" s="21"/>
      <c r="PVO51" s="21"/>
      <c r="PVP51" s="21"/>
      <c r="PVQ51" s="21"/>
      <c r="PVR51" s="21"/>
      <c r="PVS51" s="21"/>
      <c r="PVT51" s="21"/>
      <c r="PVU51" s="21"/>
      <c r="PVV51" s="21"/>
      <c r="PVW51" s="21"/>
      <c r="PVX51" s="21"/>
      <c r="PVY51" s="21"/>
      <c r="PVZ51" s="21"/>
      <c r="PWA51" s="21"/>
      <c r="PWB51" s="21"/>
      <c r="PWC51" s="21"/>
      <c r="PWD51" s="21"/>
      <c r="PWE51" s="21"/>
      <c r="PWF51" s="21"/>
      <c r="PWG51" s="21"/>
      <c r="PWH51" s="21"/>
      <c r="PWI51" s="21"/>
      <c r="PWJ51" s="21"/>
      <c r="PWK51" s="21"/>
      <c r="PWL51" s="21"/>
      <c r="PWM51" s="21"/>
      <c r="PWN51" s="21"/>
      <c r="PWO51" s="21"/>
      <c r="PWP51" s="21"/>
      <c r="PWQ51" s="21"/>
      <c r="PWR51" s="21"/>
      <c r="PWS51" s="21"/>
      <c r="PWT51" s="21"/>
      <c r="PWU51" s="21"/>
      <c r="PWV51" s="21"/>
      <c r="PWW51" s="21"/>
      <c r="PWX51" s="21"/>
      <c r="PWY51" s="21"/>
      <c r="PWZ51" s="21"/>
      <c r="PXA51" s="21"/>
      <c r="PXB51" s="21"/>
      <c r="PXC51" s="21"/>
      <c r="PXD51" s="21"/>
      <c r="PXE51" s="21"/>
      <c r="PXF51" s="21"/>
      <c r="PXG51" s="21"/>
      <c r="PXH51" s="21"/>
      <c r="PXI51" s="21"/>
      <c r="PXJ51" s="21"/>
      <c r="PXK51" s="21"/>
      <c r="PXL51" s="21"/>
      <c r="PXM51" s="21"/>
      <c r="PXN51" s="21"/>
      <c r="PXO51" s="21"/>
      <c r="PXP51" s="21"/>
      <c r="PXQ51" s="21"/>
      <c r="PXR51" s="21"/>
      <c r="PXS51" s="21"/>
      <c r="PXT51" s="21"/>
      <c r="PXU51" s="21"/>
      <c r="PXV51" s="21"/>
      <c r="PXW51" s="21"/>
      <c r="PXX51" s="21"/>
      <c r="PXY51" s="21"/>
      <c r="PXZ51" s="21"/>
      <c r="PYA51" s="21"/>
      <c r="PYB51" s="21"/>
      <c r="PYC51" s="21"/>
      <c r="PYD51" s="21"/>
      <c r="PYE51" s="21"/>
      <c r="PYF51" s="21"/>
      <c r="PYG51" s="21"/>
      <c r="PYH51" s="21"/>
      <c r="PYI51" s="21"/>
      <c r="PYJ51" s="21"/>
      <c r="PYK51" s="21"/>
      <c r="PYL51" s="21"/>
      <c r="PYM51" s="21"/>
      <c r="PYN51" s="21"/>
      <c r="PYO51" s="21"/>
      <c r="PYP51" s="21"/>
      <c r="PYQ51" s="21"/>
      <c r="PYR51" s="21"/>
      <c r="PYS51" s="21"/>
      <c r="PYT51" s="21"/>
      <c r="PYU51" s="21"/>
      <c r="PYV51" s="21"/>
      <c r="PYW51" s="21"/>
      <c r="PYX51" s="21"/>
      <c r="PYY51" s="21"/>
      <c r="PYZ51" s="21"/>
      <c r="PZA51" s="21"/>
      <c r="PZB51" s="21"/>
      <c r="PZC51" s="21"/>
      <c r="PZD51" s="21"/>
      <c r="PZE51" s="21"/>
      <c r="PZF51" s="21"/>
      <c r="PZG51" s="21"/>
      <c r="PZH51" s="21"/>
      <c r="PZI51" s="21"/>
      <c r="PZJ51" s="21"/>
      <c r="PZK51" s="21"/>
      <c r="PZL51" s="21"/>
      <c r="PZM51" s="21"/>
      <c r="PZN51" s="21"/>
      <c r="PZO51" s="21"/>
      <c r="PZP51" s="21"/>
      <c r="PZQ51" s="21"/>
      <c r="PZR51" s="21"/>
      <c r="PZS51" s="21"/>
      <c r="PZT51" s="21"/>
      <c r="PZU51" s="21"/>
      <c r="PZV51" s="21"/>
      <c r="PZW51" s="21"/>
      <c r="PZX51" s="21"/>
      <c r="PZY51" s="21"/>
      <c r="PZZ51" s="21"/>
      <c r="QAA51" s="21"/>
      <c r="QAB51" s="21"/>
      <c r="QAC51" s="21"/>
      <c r="QAD51" s="21"/>
      <c r="QAE51" s="21"/>
      <c r="QAF51" s="21"/>
      <c r="QAG51" s="21"/>
      <c r="QAH51" s="21"/>
      <c r="QAI51" s="21"/>
      <c r="QAJ51" s="21"/>
      <c r="QAK51" s="21"/>
      <c r="QAL51" s="21"/>
      <c r="QAM51" s="21"/>
      <c r="QAN51" s="21"/>
      <c r="QAO51" s="21"/>
      <c r="QAP51" s="21"/>
      <c r="QAQ51" s="21"/>
      <c r="QAR51" s="21"/>
      <c r="QAS51" s="21"/>
      <c r="QAT51" s="21"/>
      <c r="QAU51" s="21"/>
      <c r="QAV51" s="21"/>
      <c r="QAW51" s="21"/>
      <c r="QAX51" s="21"/>
      <c r="QAY51" s="21"/>
      <c r="QAZ51" s="21"/>
      <c r="QBA51" s="21"/>
      <c r="QBB51" s="21"/>
      <c r="QBC51" s="21"/>
      <c r="QBD51" s="21"/>
      <c r="QBE51" s="21"/>
      <c r="QBF51" s="21"/>
      <c r="QBG51" s="21"/>
      <c r="QBH51" s="21"/>
      <c r="QBI51" s="21"/>
      <c r="QBJ51" s="21"/>
      <c r="QBK51" s="21"/>
      <c r="QBL51" s="21"/>
      <c r="QBM51" s="21"/>
      <c r="QBN51" s="21"/>
      <c r="QBO51" s="21"/>
      <c r="QBP51" s="21"/>
      <c r="QBQ51" s="21"/>
      <c r="QBR51" s="21"/>
      <c r="QBS51" s="21"/>
      <c r="QBT51" s="21"/>
      <c r="QBU51" s="21"/>
      <c r="QBV51" s="21"/>
      <c r="QBW51" s="21"/>
      <c r="QBX51" s="21"/>
      <c r="QBY51" s="21"/>
      <c r="QBZ51" s="21"/>
      <c r="QCA51" s="21"/>
      <c r="QCB51" s="21"/>
      <c r="QCC51" s="21"/>
      <c r="QCD51" s="21"/>
      <c r="QCE51" s="21"/>
      <c r="QCF51" s="21"/>
      <c r="QCG51" s="21"/>
      <c r="QCH51" s="21"/>
      <c r="QCI51" s="21"/>
      <c r="QCJ51" s="21"/>
      <c r="QCK51" s="21"/>
      <c r="QCL51" s="21"/>
      <c r="QCM51" s="21"/>
      <c r="QCN51" s="21"/>
      <c r="QCO51" s="21"/>
      <c r="QCP51" s="21"/>
      <c r="QCQ51" s="21"/>
      <c r="QCR51" s="21"/>
      <c r="QCS51" s="21"/>
      <c r="QCT51" s="21"/>
      <c r="QCU51" s="21"/>
      <c r="QCV51" s="21"/>
      <c r="QCW51" s="21"/>
      <c r="QCX51" s="21"/>
      <c r="QCY51" s="21"/>
      <c r="QCZ51" s="21"/>
      <c r="QDA51" s="21"/>
      <c r="QDB51" s="21"/>
      <c r="QDC51" s="21"/>
      <c r="QDD51" s="21"/>
      <c r="QDE51" s="21"/>
      <c r="QDF51" s="21"/>
      <c r="QDG51" s="21"/>
      <c r="QDH51" s="21"/>
      <c r="QDI51" s="21"/>
      <c r="QDJ51" s="21"/>
      <c r="QDK51" s="21"/>
      <c r="QDL51" s="21"/>
      <c r="QDM51" s="21"/>
      <c r="QDN51" s="21"/>
      <c r="QDO51" s="21"/>
      <c r="QDP51" s="21"/>
      <c r="QDQ51" s="21"/>
      <c r="QDR51" s="21"/>
      <c r="QDS51" s="21"/>
      <c r="QDT51" s="21"/>
      <c r="QDU51" s="21"/>
      <c r="QDV51" s="21"/>
      <c r="QDW51" s="21"/>
      <c r="QDX51" s="21"/>
      <c r="QDY51" s="21"/>
      <c r="QDZ51" s="21"/>
      <c r="QEA51" s="21"/>
      <c r="QEB51" s="21"/>
      <c r="QEC51" s="21"/>
      <c r="QED51" s="21"/>
      <c r="QEE51" s="21"/>
      <c r="QEF51" s="21"/>
      <c r="QEG51" s="21"/>
      <c r="QEH51" s="21"/>
      <c r="QEI51" s="21"/>
      <c r="QEJ51" s="21"/>
      <c r="QEK51" s="21"/>
      <c r="QEL51" s="21"/>
      <c r="QEM51" s="21"/>
      <c r="QEN51" s="21"/>
      <c r="QEO51" s="21"/>
      <c r="QEP51" s="21"/>
      <c r="QEQ51" s="21"/>
      <c r="QER51" s="21"/>
      <c r="QES51" s="21"/>
      <c r="QET51" s="21"/>
      <c r="QEU51" s="21"/>
      <c r="QEV51" s="21"/>
      <c r="QEW51" s="21"/>
      <c r="QEX51" s="21"/>
      <c r="QEY51" s="21"/>
      <c r="QEZ51" s="21"/>
      <c r="QFA51" s="21"/>
      <c r="QFB51" s="21"/>
      <c r="QFC51" s="21"/>
      <c r="QFD51" s="21"/>
      <c r="QFE51" s="21"/>
      <c r="QFF51" s="21"/>
      <c r="QFG51" s="21"/>
      <c r="QFH51" s="21"/>
      <c r="QFI51" s="21"/>
      <c r="QFJ51" s="21"/>
      <c r="QFK51" s="21"/>
      <c r="QFL51" s="21"/>
      <c r="QFM51" s="21"/>
      <c r="QFN51" s="21"/>
      <c r="QFO51" s="21"/>
      <c r="QFP51" s="21"/>
      <c r="QFQ51" s="21"/>
      <c r="QFR51" s="21"/>
      <c r="QFS51" s="21"/>
      <c r="QFT51" s="21"/>
      <c r="QFU51" s="21"/>
      <c r="QFV51" s="21"/>
      <c r="QFW51" s="21"/>
      <c r="QFX51" s="21"/>
      <c r="QFY51" s="21"/>
      <c r="QFZ51" s="21"/>
      <c r="QGA51" s="21"/>
      <c r="QGB51" s="21"/>
      <c r="QGC51" s="21"/>
      <c r="QGD51" s="21"/>
      <c r="QGE51" s="21"/>
      <c r="QGF51" s="21"/>
      <c r="QGG51" s="21"/>
      <c r="QGH51" s="21"/>
      <c r="QGI51" s="21"/>
      <c r="QGJ51" s="21"/>
      <c r="QGK51" s="21"/>
      <c r="QGL51" s="21"/>
      <c r="QGM51" s="21"/>
      <c r="QGN51" s="21"/>
      <c r="QGO51" s="21"/>
      <c r="QGP51" s="21"/>
      <c r="QGQ51" s="21"/>
      <c r="QGR51" s="21"/>
      <c r="QGS51" s="21"/>
      <c r="QGT51" s="21"/>
      <c r="QGU51" s="21"/>
      <c r="QGV51" s="21"/>
      <c r="QGW51" s="21"/>
      <c r="QGX51" s="21"/>
      <c r="QGY51" s="21"/>
      <c r="QGZ51" s="21"/>
      <c r="QHA51" s="21"/>
      <c r="QHB51" s="21"/>
      <c r="QHC51" s="21"/>
      <c r="QHD51" s="21"/>
      <c r="QHE51" s="21"/>
      <c r="QHF51" s="21"/>
      <c r="QHG51" s="21"/>
      <c r="QHH51" s="21"/>
      <c r="QHI51" s="21"/>
      <c r="QHJ51" s="21"/>
      <c r="QHK51" s="21"/>
      <c r="QHL51" s="21"/>
      <c r="QHM51" s="21"/>
      <c r="QHN51" s="21"/>
      <c r="QHO51" s="21"/>
      <c r="QHP51" s="21"/>
      <c r="QHQ51" s="21"/>
      <c r="QHR51" s="21"/>
      <c r="QHS51" s="21"/>
      <c r="QHT51" s="21"/>
      <c r="QHU51" s="21"/>
      <c r="QHV51" s="21"/>
      <c r="QHW51" s="21"/>
      <c r="QHX51" s="21"/>
      <c r="QHY51" s="21"/>
      <c r="QHZ51" s="21"/>
      <c r="QIA51" s="21"/>
      <c r="QIB51" s="21"/>
      <c r="QIC51" s="21"/>
      <c r="QID51" s="21"/>
      <c r="QIE51" s="21"/>
      <c r="QIF51" s="21"/>
      <c r="QIG51" s="21"/>
      <c r="QIH51" s="21"/>
      <c r="QII51" s="21"/>
      <c r="QIJ51" s="21"/>
      <c r="QIK51" s="21"/>
      <c r="QIL51" s="21"/>
      <c r="QIM51" s="21"/>
      <c r="QIN51" s="21"/>
      <c r="QIO51" s="21"/>
      <c r="QIP51" s="21"/>
      <c r="QIQ51" s="21"/>
      <c r="QIR51" s="21"/>
      <c r="QIS51" s="21"/>
      <c r="QIT51" s="21"/>
      <c r="QIU51" s="21"/>
      <c r="QIV51" s="21"/>
      <c r="QIW51" s="21"/>
      <c r="QIX51" s="21"/>
      <c r="QIY51" s="21"/>
      <c r="QIZ51" s="21"/>
      <c r="QJA51" s="21"/>
      <c r="QJB51" s="21"/>
      <c r="QJC51" s="21"/>
      <c r="QJD51" s="21"/>
      <c r="QJE51" s="21"/>
      <c r="QJF51" s="21"/>
      <c r="QJG51" s="21"/>
      <c r="QJH51" s="21"/>
      <c r="QJI51" s="21"/>
      <c r="QJJ51" s="21"/>
      <c r="QJK51" s="21"/>
      <c r="QJL51" s="21"/>
      <c r="QJM51" s="21"/>
      <c r="QJN51" s="21"/>
      <c r="QJO51" s="21"/>
      <c r="QJP51" s="21"/>
      <c r="QJQ51" s="21"/>
      <c r="QJR51" s="21"/>
      <c r="QJS51" s="21"/>
      <c r="QJT51" s="21"/>
      <c r="QJU51" s="21"/>
      <c r="QJV51" s="21"/>
      <c r="QJW51" s="21"/>
      <c r="QJX51" s="21"/>
      <c r="QJY51" s="21"/>
      <c r="QJZ51" s="21"/>
      <c r="QKA51" s="21"/>
      <c r="QKB51" s="21"/>
      <c r="QKC51" s="21"/>
      <c r="QKD51" s="21"/>
      <c r="QKE51" s="21"/>
      <c r="QKF51" s="21"/>
      <c r="QKG51" s="21"/>
      <c r="QKH51" s="21"/>
      <c r="QKI51" s="21"/>
      <c r="QKJ51" s="21"/>
      <c r="QKK51" s="21"/>
      <c r="QKL51" s="21"/>
      <c r="QKM51" s="21"/>
      <c r="QKN51" s="21"/>
      <c r="QKO51" s="21"/>
      <c r="QKP51" s="21"/>
      <c r="QKQ51" s="21"/>
      <c r="QKR51" s="21"/>
      <c r="QKS51" s="21"/>
      <c r="QKT51" s="21"/>
      <c r="QKU51" s="21"/>
      <c r="QKV51" s="21"/>
      <c r="QKW51" s="21"/>
      <c r="QKX51" s="21"/>
      <c r="QKY51" s="21"/>
      <c r="QKZ51" s="21"/>
      <c r="QLA51" s="21"/>
      <c r="QLB51" s="21"/>
      <c r="QLC51" s="21"/>
      <c r="QLD51" s="21"/>
      <c r="QLE51" s="21"/>
      <c r="QLF51" s="21"/>
      <c r="QLG51" s="21"/>
      <c r="QLH51" s="21"/>
      <c r="QLI51" s="21"/>
      <c r="QLJ51" s="21"/>
      <c r="QLK51" s="21"/>
      <c r="QLL51" s="21"/>
      <c r="QLM51" s="21"/>
      <c r="QLN51" s="21"/>
      <c r="QLO51" s="21"/>
      <c r="QLP51" s="21"/>
      <c r="QLQ51" s="21"/>
      <c r="QLR51" s="21"/>
      <c r="QLS51" s="21"/>
      <c r="QLT51" s="21"/>
      <c r="QLU51" s="21"/>
      <c r="QLV51" s="21"/>
      <c r="QLW51" s="21"/>
      <c r="QLX51" s="21"/>
      <c r="QLY51" s="21"/>
      <c r="QLZ51" s="21"/>
      <c r="QMA51" s="21"/>
      <c r="QMB51" s="21"/>
      <c r="QMC51" s="21"/>
      <c r="QMD51" s="21"/>
      <c r="QME51" s="21"/>
      <c r="QMF51" s="21"/>
      <c r="QMG51" s="21"/>
      <c r="QMH51" s="21"/>
      <c r="QMI51" s="21"/>
      <c r="QMJ51" s="21"/>
      <c r="QMK51" s="21"/>
      <c r="QML51" s="21"/>
      <c r="QMM51" s="21"/>
      <c r="QMN51" s="21"/>
      <c r="QMO51" s="21"/>
      <c r="QMP51" s="21"/>
      <c r="QMQ51" s="21"/>
      <c r="QMR51" s="21"/>
      <c r="QMS51" s="21"/>
      <c r="QMT51" s="21"/>
      <c r="QMU51" s="21"/>
      <c r="QMV51" s="21"/>
      <c r="QMW51" s="21"/>
      <c r="QMX51" s="21"/>
      <c r="QMY51" s="21"/>
      <c r="QMZ51" s="21"/>
      <c r="QNA51" s="21"/>
      <c r="QNB51" s="21"/>
      <c r="QNC51" s="21"/>
      <c r="QND51" s="21"/>
      <c r="QNE51" s="21"/>
      <c r="QNF51" s="21"/>
      <c r="QNG51" s="21"/>
      <c r="QNH51" s="21"/>
      <c r="QNI51" s="21"/>
      <c r="QNJ51" s="21"/>
      <c r="QNK51" s="21"/>
      <c r="QNL51" s="21"/>
      <c r="QNM51" s="21"/>
      <c r="QNN51" s="21"/>
      <c r="QNO51" s="21"/>
      <c r="QNP51" s="21"/>
      <c r="QNQ51" s="21"/>
      <c r="QNR51" s="21"/>
      <c r="QNS51" s="21"/>
      <c r="QNT51" s="21"/>
      <c r="QNU51" s="21"/>
      <c r="QNV51" s="21"/>
      <c r="QNW51" s="21"/>
      <c r="QNX51" s="21"/>
      <c r="QNY51" s="21"/>
      <c r="QNZ51" s="21"/>
      <c r="QOA51" s="21"/>
      <c r="QOB51" s="21"/>
      <c r="QOC51" s="21"/>
      <c r="QOD51" s="21"/>
      <c r="QOE51" s="21"/>
      <c r="QOF51" s="21"/>
      <c r="QOG51" s="21"/>
      <c r="QOH51" s="21"/>
      <c r="QOI51" s="21"/>
      <c r="QOJ51" s="21"/>
      <c r="QOK51" s="21"/>
      <c r="QOL51" s="21"/>
      <c r="QOM51" s="21"/>
      <c r="QON51" s="21"/>
      <c r="QOO51" s="21"/>
      <c r="QOP51" s="21"/>
      <c r="QOQ51" s="21"/>
      <c r="QOR51" s="21"/>
      <c r="QOS51" s="21"/>
      <c r="QOT51" s="21"/>
      <c r="QOU51" s="21"/>
      <c r="QOV51" s="21"/>
      <c r="QOW51" s="21"/>
      <c r="QOX51" s="21"/>
      <c r="QOY51" s="21"/>
      <c r="QOZ51" s="21"/>
      <c r="QPA51" s="21"/>
      <c r="QPB51" s="21"/>
      <c r="QPC51" s="21"/>
      <c r="QPD51" s="21"/>
      <c r="QPE51" s="21"/>
      <c r="QPF51" s="21"/>
      <c r="QPG51" s="21"/>
      <c r="QPH51" s="21"/>
      <c r="QPI51" s="21"/>
      <c r="QPJ51" s="21"/>
      <c r="QPK51" s="21"/>
      <c r="QPL51" s="21"/>
      <c r="QPM51" s="21"/>
      <c r="QPN51" s="21"/>
      <c r="QPO51" s="21"/>
      <c r="QPP51" s="21"/>
      <c r="QPQ51" s="21"/>
      <c r="QPR51" s="21"/>
      <c r="QPS51" s="21"/>
      <c r="QPT51" s="21"/>
      <c r="QPU51" s="21"/>
      <c r="QPV51" s="21"/>
      <c r="QPW51" s="21"/>
      <c r="QPX51" s="21"/>
      <c r="QPY51" s="21"/>
      <c r="QPZ51" s="21"/>
      <c r="QQA51" s="21"/>
      <c r="QQB51" s="21"/>
      <c r="QQC51" s="21"/>
      <c r="QQD51" s="21"/>
      <c r="QQE51" s="21"/>
      <c r="QQF51" s="21"/>
      <c r="QQG51" s="21"/>
      <c r="QQH51" s="21"/>
      <c r="QQI51" s="21"/>
      <c r="QQJ51" s="21"/>
      <c r="QQK51" s="21"/>
      <c r="QQL51" s="21"/>
      <c r="QQM51" s="21"/>
      <c r="QQN51" s="21"/>
      <c r="QQO51" s="21"/>
      <c r="QQP51" s="21"/>
      <c r="QQQ51" s="21"/>
      <c r="QQR51" s="21"/>
      <c r="QQS51" s="21"/>
      <c r="QQT51" s="21"/>
      <c r="QQU51" s="21"/>
      <c r="QQV51" s="21"/>
      <c r="QQW51" s="21"/>
      <c r="QQX51" s="21"/>
      <c r="QQY51" s="21"/>
      <c r="QQZ51" s="21"/>
      <c r="QRA51" s="21"/>
      <c r="QRB51" s="21"/>
      <c r="QRC51" s="21"/>
      <c r="QRD51" s="21"/>
      <c r="QRE51" s="21"/>
      <c r="QRF51" s="21"/>
      <c r="QRG51" s="21"/>
      <c r="QRH51" s="21"/>
      <c r="QRI51" s="21"/>
      <c r="QRJ51" s="21"/>
      <c r="QRK51" s="21"/>
      <c r="QRL51" s="21"/>
      <c r="QRM51" s="21"/>
      <c r="QRN51" s="21"/>
      <c r="QRO51" s="21"/>
      <c r="QRP51" s="21"/>
      <c r="QRQ51" s="21"/>
      <c r="QRR51" s="21"/>
      <c r="QRS51" s="21"/>
      <c r="QRT51" s="21"/>
      <c r="QRU51" s="21"/>
      <c r="QRV51" s="21"/>
      <c r="QRW51" s="21"/>
      <c r="QRX51" s="21"/>
      <c r="QRY51" s="21"/>
      <c r="QRZ51" s="21"/>
      <c r="QSA51" s="21"/>
      <c r="QSB51" s="21"/>
      <c r="QSC51" s="21"/>
      <c r="QSD51" s="21"/>
      <c r="QSE51" s="21"/>
      <c r="QSF51" s="21"/>
      <c r="QSG51" s="21"/>
      <c r="QSH51" s="21"/>
      <c r="QSI51" s="21"/>
      <c r="QSJ51" s="21"/>
      <c r="QSK51" s="21"/>
      <c r="QSL51" s="21"/>
      <c r="QSM51" s="21"/>
      <c r="QSN51" s="21"/>
      <c r="QSO51" s="21"/>
      <c r="QSP51" s="21"/>
      <c r="QSQ51" s="21"/>
      <c r="QSR51" s="21"/>
      <c r="QSS51" s="21"/>
      <c r="QST51" s="21"/>
      <c r="QSU51" s="21"/>
      <c r="QSV51" s="21"/>
      <c r="QSW51" s="21"/>
      <c r="QSX51" s="21"/>
      <c r="QSY51" s="21"/>
      <c r="QSZ51" s="21"/>
      <c r="QTA51" s="21"/>
      <c r="QTB51" s="21"/>
      <c r="QTC51" s="21"/>
      <c r="QTD51" s="21"/>
      <c r="QTE51" s="21"/>
      <c r="QTF51" s="21"/>
      <c r="QTG51" s="21"/>
      <c r="QTH51" s="21"/>
      <c r="QTI51" s="21"/>
      <c r="QTJ51" s="21"/>
      <c r="QTK51" s="21"/>
      <c r="QTL51" s="21"/>
      <c r="QTM51" s="21"/>
      <c r="QTN51" s="21"/>
      <c r="QTO51" s="21"/>
      <c r="QTP51" s="21"/>
      <c r="QTQ51" s="21"/>
      <c r="QTR51" s="21"/>
      <c r="QTS51" s="21"/>
      <c r="QTT51" s="21"/>
      <c r="QTU51" s="21"/>
      <c r="QTV51" s="21"/>
      <c r="QTW51" s="21"/>
      <c r="QTX51" s="21"/>
      <c r="QTY51" s="21"/>
      <c r="QTZ51" s="21"/>
      <c r="QUA51" s="21"/>
      <c r="QUB51" s="21"/>
      <c r="QUC51" s="21"/>
      <c r="QUD51" s="21"/>
      <c r="QUE51" s="21"/>
      <c r="QUF51" s="21"/>
      <c r="QUG51" s="21"/>
      <c r="QUH51" s="21"/>
      <c r="QUI51" s="21"/>
      <c r="QUJ51" s="21"/>
      <c r="QUK51" s="21"/>
      <c r="QUL51" s="21"/>
      <c r="QUM51" s="21"/>
      <c r="QUN51" s="21"/>
      <c r="QUO51" s="21"/>
      <c r="QUP51" s="21"/>
      <c r="QUQ51" s="21"/>
      <c r="QUR51" s="21"/>
      <c r="QUS51" s="21"/>
      <c r="QUT51" s="21"/>
      <c r="QUU51" s="21"/>
      <c r="QUV51" s="21"/>
      <c r="QUW51" s="21"/>
      <c r="QUX51" s="21"/>
      <c r="QUY51" s="21"/>
      <c r="QUZ51" s="21"/>
      <c r="QVA51" s="21"/>
      <c r="QVB51" s="21"/>
      <c r="QVC51" s="21"/>
      <c r="QVD51" s="21"/>
      <c r="QVE51" s="21"/>
      <c r="QVF51" s="21"/>
      <c r="QVG51" s="21"/>
      <c r="QVH51" s="21"/>
      <c r="QVI51" s="21"/>
      <c r="QVJ51" s="21"/>
      <c r="QVK51" s="21"/>
      <c r="QVL51" s="21"/>
      <c r="QVM51" s="21"/>
      <c r="QVN51" s="21"/>
      <c r="QVO51" s="21"/>
      <c r="QVP51" s="21"/>
      <c r="QVQ51" s="21"/>
      <c r="QVR51" s="21"/>
      <c r="QVS51" s="21"/>
      <c r="QVT51" s="21"/>
      <c r="QVU51" s="21"/>
      <c r="QVV51" s="21"/>
      <c r="QVW51" s="21"/>
      <c r="QVX51" s="21"/>
      <c r="QVY51" s="21"/>
      <c r="QVZ51" s="21"/>
      <c r="QWA51" s="21"/>
      <c r="QWB51" s="21"/>
      <c r="QWC51" s="21"/>
      <c r="QWD51" s="21"/>
      <c r="QWE51" s="21"/>
      <c r="QWF51" s="21"/>
      <c r="QWG51" s="21"/>
      <c r="QWH51" s="21"/>
      <c r="QWI51" s="21"/>
      <c r="QWJ51" s="21"/>
      <c r="QWK51" s="21"/>
      <c r="QWL51" s="21"/>
      <c r="QWM51" s="21"/>
      <c r="QWN51" s="21"/>
      <c r="QWO51" s="21"/>
      <c r="QWP51" s="21"/>
      <c r="QWQ51" s="21"/>
      <c r="QWR51" s="21"/>
      <c r="QWS51" s="21"/>
      <c r="QWT51" s="21"/>
      <c r="QWU51" s="21"/>
      <c r="QWV51" s="21"/>
      <c r="QWW51" s="21"/>
      <c r="QWX51" s="21"/>
      <c r="QWY51" s="21"/>
      <c r="QWZ51" s="21"/>
      <c r="QXA51" s="21"/>
      <c r="QXB51" s="21"/>
      <c r="QXC51" s="21"/>
      <c r="QXD51" s="21"/>
      <c r="QXE51" s="21"/>
      <c r="QXF51" s="21"/>
      <c r="QXG51" s="21"/>
      <c r="QXH51" s="21"/>
      <c r="QXI51" s="21"/>
      <c r="QXJ51" s="21"/>
      <c r="QXK51" s="21"/>
      <c r="QXL51" s="21"/>
      <c r="QXM51" s="21"/>
      <c r="QXN51" s="21"/>
      <c r="QXO51" s="21"/>
      <c r="QXP51" s="21"/>
      <c r="QXQ51" s="21"/>
      <c r="QXR51" s="21"/>
      <c r="QXS51" s="21"/>
      <c r="QXT51" s="21"/>
      <c r="QXU51" s="21"/>
      <c r="QXV51" s="21"/>
      <c r="QXW51" s="21"/>
      <c r="QXX51" s="21"/>
      <c r="QXY51" s="21"/>
      <c r="QXZ51" s="21"/>
      <c r="QYA51" s="21"/>
      <c r="QYB51" s="21"/>
      <c r="QYC51" s="21"/>
      <c r="QYD51" s="21"/>
      <c r="QYE51" s="21"/>
      <c r="QYF51" s="21"/>
      <c r="QYG51" s="21"/>
      <c r="QYH51" s="21"/>
      <c r="QYI51" s="21"/>
      <c r="QYJ51" s="21"/>
      <c r="QYK51" s="21"/>
      <c r="QYL51" s="21"/>
      <c r="QYM51" s="21"/>
      <c r="QYN51" s="21"/>
      <c r="QYO51" s="21"/>
      <c r="QYP51" s="21"/>
      <c r="QYQ51" s="21"/>
      <c r="QYR51" s="21"/>
      <c r="QYS51" s="21"/>
      <c r="QYT51" s="21"/>
      <c r="QYU51" s="21"/>
      <c r="QYV51" s="21"/>
      <c r="QYW51" s="21"/>
      <c r="QYX51" s="21"/>
      <c r="QYY51" s="21"/>
      <c r="QYZ51" s="21"/>
      <c r="QZA51" s="21"/>
      <c r="QZB51" s="21"/>
      <c r="QZC51" s="21"/>
      <c r="QZD51" s="21"/>
      <c r="QZE51" s="21"/>
      <c r="QZF51" s="21"/>
      <c r="QZG51" s="21"/>
      <c r="QZH51" s="21"/>
      <c r="QZI51" s="21"/>
      <c r="QZJ51" s="21"/>
      <c r="QZK51" s="21"/>
      <c r="QZL51" s="21"/>
      <c r="QZM51" s="21"/>
      <c r="QZN51" s="21"/>
      <c r="QZO51" s="21"/>
      <c r="QZP51" s="21"/>
      <c r="QZQ51" s="21"/>
      <c r="QZR51" s="21"/>
      <c r="QZS51" s="21"/>
      <c r="QZT51" s="21"/>
      <c r="QZU51" s="21"/>
      <c r="QZV51" s="21"/>
      <c r="QZW51" s="21"/>
      <c r="QZX51" s="21"/>
      <c r="QZY51" s="21"/>
      <c r="QZZ51" s="21"/>
      <c r="RAA51" s="21"/>
      <c r="RAB51" s="21"/>
      <c r="RAC51" s="21"/>
      <c r="RAD51" s="21"/>
      <c r="RAE51" s="21"/>
      <c r="RAF51" s="21"/>
      <c r="RAG51" s="21"/>
      <c r="RAH51" s="21"/>
      <c r="RAI51" s="21"/>
      <c r="RAJ51" s="21"/>
      <c r="RAK51" s="21"/>
      <c r="RAL51" s="21"/>
      <c r="RAM51" s="21"/>
      <c r="RAN51" s="21"/>
      <c r="RAO51" s="21"/>
      <c r="RAP51" s="21"/>
      <c r="RAQ51" s="21"/>
      <c r="RAR51" s="21"/>
      <c r="RAS51" s="21"/>
      <c r="RAT51" s="21"/>
      <c r="RAU51" s="21"/>
      <c r="RAV51" s="21"/>
      <c r="RAW51" s="21"/>
      <c r="RAX51" s="21"/>
      <c r="RAY51" s="21"/>
      <c r="RAZ51" s="21"/>
      <c r="RBA51" s="21"/>
      <c r="RBB51" s="21"/>
      <c r="RBC51" s="21"/>
      <c r="RBD51" s="21"/>
      <c r="RBE51" s="21"/>
      <c r="RBF51" s="21"/>
      <c r="RBG51" s="21"/>
      <c r="RBH51" s="21"/>
      <c r="RBI51" s="21"/>
      <c r="RBJ51" s="21"/>
      <c r="RBK51" s="21"/>
      <c r="RBL51" s="21"/>
      <c r="RBM51" s="21"/>
      <c r="RBN51" s="21"/>
      <c r="RBO51" s="21"/>
      <c r="RBP51" s="21"/>
      <c r="RBQ51" s="21"/>
      <c r="RBR51" s="21"/>
      <c r="RBS51" s="21"/>
      <c r="RBT51" s="21"/>
      <c r="RBU51" s="21"/>
      <c r="RBV51" s="21"/>
      <c r="RBW51" s="21"/>
      <c r="RBX51" s="21"/>
      <c r="RBY51" s="21"/>
      <c r="RBZ51" s="21"/>
      <c r="RCA51" s="21"/>
      <c r="RCB51" s="21"/>
      <c r="RCC51" s="21"/>
      <c r="RCD51" s="21"/>
      <c r="RCE51" s="21"/>
      <c r="RCF51" s="21"/>
      <c r="RCG51" s="21"/>
      <c r="RCH51" s="21"/>
      <c r="RCI51" s="21"/>
      <c r="RCJ51" s="21"/>
      <c r="RCK51" s="21"/>
      <c r="RCL51" s="21"/>
      <c r="RCM51" s="21"/>
      <c r="RCN51" s="21"/>
      <c r="RCO51" s="21"/>
      <c r="RCP51" s="21"/>
      <c r="RCQ51" s="21"/>
      <c r="RCR51" s="21"/>
      <c r="RCS51" s="21"/>
      <c r="RCT51" s="21"/>
      <c r="RCU51" s="21"/>
      <c r="RCV51" s="21"/>
      <c r="RCW51" s="21"/>
      <c r="RCX51" s="21"/>
      <c r="RCY51" s="21"/>
      <c r="RCZ51" s="21"/>
      <c r="RDA51" s="21"/>
      <c r="RDB51" s="21"/>
      <c r="RDC51" s="21"/>
      <c r="RDD51" s="21"/>
      <c r="RDE51" s="21"/>
      <c r="RDF51" s="21"/>
      <c r="RDG51" s="21"/>
      <c r="RDH51" s="21"/>
      <c r="RDI51" s="21"/>
      <c r="RDJ51" s="21"/>
      <c r="RDK51" s="21"/>
      <c r="RDL51" s="21"/>
      <c r="RDM51" s="21"/>
      <c r="RDN51" s="21"/>
      <c r="RDO51" s="21"/>
      <c r="RDP51" s="21"/>
      <c r="RDQ51" s="21"/>
      <c r="RDR51" s="21"/>
      <c r="RDS51" s="21"/>
      <c r="RDT51" s="21"/>
      <c r="RDU51" s="21"/>
      <c r="RDV51" s="21"/>
      <c r="RDW51" s="21"/>
      <c r="RDX51" s="21"/>
      <c r="RDY51" s="21"/>
      <c r="RDZ51" s="21"/>
      <c r="REA51" s="21"/>
      <c r="REB51" s="21"/>
      <c r="REC51" s="21"/>
      <c r="RED51" s="21"/>
      <c r="REE51" s="21"/>
      <c r="REF51" s="21"/>
      <c r="REG51" s="21"/>
      <c r="REH51" s="21"/>
      <c r="REI51" s="21"/>
      <c r="REJ51" s="21"/>
      <c r="REK51" s="21"/>
      <c r="REL51" s="21"/>
      <c r="REM51" s="21"/>
      <c r="REN51" s="21"/>
      <c r="REO51" s="21"/>
      <c r="REP51" s="21"/>
      <c r="REQ51" s="21"/>
      <c r="RER51" s="21"/>
      <c r="RES51" s="21"/>
      <c r="RET51" s="21"/>
      <c r="REU51" s="21"/>
      <c r="REV51" s="21"/>
      <c r="REW51" s="21"/>
      <c r="REX51" s="21"/>
      <c r="REY51" s="21"/>
      <c r="REZ51" s="21"/>
      <c r="RFA51" s="21"/>
      <c r="RFB51" s="21"/>
      <c r="RFC51" s="21"/>
      <c r="RFD51" s="21"/>
      <c r="RFE51" s="21"/>
      <c r="RFF51" s="21"/>
      <c r="RFG51" s="21"/>
      <c r="RFH51" s="21"/>
      <c r="RFI51" s="21"/>
      <c r="RFJ51" s="21"/>
      <c r="RFK51" s="21"/>
      <c r="RFL51" s="21"/>
      <c r="RFM51" s="21"/>
      <c r="RFN51" s="21"/>
      <c r="RFO51" s="21"/>
      <c r="RFP51" s="21"/>
      <c r="RFQ51" s="21"/>
      <c r="RFR51" s="21"/>
      <c r="RFS51" s="21"/>
      <c r="RFT51" s="21"/>
      <c r="RFU51" s="21"/>
      <c r="RFV51" s="21"/>
      <c r="RFW51" s="21"/>
      <c r="RFX51" s="21"/>
      <c r="RFY51" s="21"/>
      <c r="RFZ51" s="21"/>
      <c r="RGA51" s="21"/>
      <c r="RGB51" s="21"/>
      <c r="RGC51" s="21"/>
      <c r="RGD51" s="21"/>
      <c r="RGE51" s="21"/>
      <c r="RGF51" s="21"/>
      <c r="RGG51" s="21"/>
      <c r="RGH51" s="21"/>
      <c r="RGI51" s="21"/>
      <c r="RGJ51" s="21"/>
      <c r="RGK51" s="21"/>
      <c r="RGL51" s="21"/>
      <c r="RGM51" s="21"/>
      <c r="RGN51" s="21"/>
      <c r="RGO51" s="21"/>
      <c r="RGP51" s="21"/>
      <c r="RGQ51" s="21"/>
      <c r="RGR51" s="21"/>
      <c r="RGS51" s="21"/>
      <c r="RGT51" s="21"/>
      <c r="RGU51" s="21"/>
      <c r="RGV51" s="21"/>
      <c r="RGW51" s="21"/>
      <c r="RGX51" s="21"/>
      <c r="RGY51" s="21"/>
      <c r="RGZ51" s="21"/>
      <c r="RHA51" s="21"/>
      <c r="RHB51" s="21"/>
      <c r="RHC51" s="21"/>
      <c r="RHD51" s="21"/>
      <c r="RHE51" s="21"/>
      <c r="RHF51" s="21"/>
      <c r="RHG51" s="21"/>
      <c r="RHH51" s="21"/>
      <c r="RHI51" s="21"/>
      <c r="RHJ51" s="21"/>
      <c r="RHK51" s="21"/>
      <c r="RHL51" s="21"/>
      <c r="RHM51" s="21"/>
      <c r="RHN51" s="21"/>
      <c r="RHO51" s="21"/>
      <c r="RHP51" s="21"/>
      <c r="RHQ51" s="21"/>
      <c r="RHR51" s="21"/>
      <c r="RHS51" s="21"/>
      <c r="RHT51" s="21"/>
      <c r="RHU51" s="21"/>
      <c r="RHV51" s="21"/>
      <c r="RHW51" s="21"/>
      <c r="RHX51" s="21"/>
      <c r="RHY51" s="21"/>
      <c r="RHZ51" s="21"/>
      <c r="RIA51" s="21"/>
      <c r="RIB51" s="21"/>
      <c r="RIC51" s="21"/>
      <c r="RID51" s="21"/>
      <c r="RIE51" s="21"/>
      <c r="RIF51" s="21"/>
      <c r="RIG51" s="21"/>
      <c r="RIH51" s="21"/>
      <c r="RII51" s="21"/>
      <c r="RIJ51" s="21"/>
      <c r="RIK51" s="21"/>
      <c r="RIL51" s="21"/>
      <c r="RIM51" s="21"/>
      <c r="RIN51" s="21"/>
      <c r="RIO51" s="21"/>
      <c r="RIP51" s="21"/>
      <c r="RIQ51" s="21"/>
      <c r="RIR51" s="21"/>
      <c r="RIS51" s="21"/>
      <c r="RIT51" s="21"/>
      <c r="RIU51" s="21"/>
      <c r="RIV51" s="21"/>
      <c r="RIW51" s="21"/>
      <c r="RIX51" s="21"/>
      <c r="RIY51" s="21"/>
      <c r="RIZ51" s="21"/>
      <c r="RJA51" s="21"/>
      <c r="RJB51" s="21"/>
      <c r="RJC51" s="21"/>
      <c r="RJD51" s="21"/>
      <c r="RJE51" s="21"/>
      <c r="RJF51" s="21"/>
      <c r="RJG51" s="21"/>
      <c r="RJH51" s="21"/>
      <c r="RJI51" s="21"/>
      <c r="RJJ51" s="21"/>
      <c r="RJK51" s="21"/>
      <c r="RJL51" s="21"/>
      <c r="RJM51" s="21"/>
      <c r="RJN51" s="21"/>
      <c r="RJO51" s="21"/>
      <c r="RJP51" s="21"/>
      <c r="RJQ51" s="21"/>
      <c r="RJR51" s="21"/>
      <c r="RJS51" s="21"/>
      <c r="RJT51" s="21"/>
      <c r="RJU51" s="21"/>
      <c r="RJV51" s="21"/>
      <c r="RJW51" s="21"/>
      <c r="RJX51" s="21"/>
      <c r="RJY51" s="21"/>
      <c r="RJZ51" s="21"/>
      <c r="RKA51" s="21"/>
      <c r="RKB51" s="21"/>
      <c r="RKC51" s="21"/>
      <c r="RKD51" s="21"/>
      <c r="RKE51" s="21"/>
      <c r="RKF51" s="21"/>
      <c r="RKG51" s="21"/>
      <c r="RKH51" s="21"/>
      <c r="RKI51" s="21"/>
      <c r="RKJ51" s="21"/>
      <c r="RKK51" s="21"/>
      <c r="RKL51" s="21"/>
      <c r="RKM51" s="21"/>
      <c r="RKN51" s="21"/>
      <c r="RKO51" s="21"/>
      <c r="RKP51" s="21"/>
      <c r="RKQ51" s="21"/>
      <c r="RKR51" s="21"/>
      <c r="RKS51" s="21"/>
      <c r="RKT51" s="21"/>
      <c r="RKU51" s="21"/>
      <c r="RKV51" s="21"/>
      <c r="RKW51" s="21"/>
      <c r="RKX51" s="21"/>
      <c r="RKY51" s="21"/>
      <c r="RKZ51" s="21"/>
      <c r="RLA51" s="21"/>
      <c r="RLB51" s="21"/>
      <c r="RLC51" s="21"/>
      <c r="RLD51" s="21"/>
      <c r="RLE51" s="21"/>
      <c r="RLF51" s="21"/>
      <c r="RLG51" s="21"/>
      <c r="RLH51" s="21"/>
      <c r="RLI51" s="21"/>
      <c r="RLJ51" s="21"/>
      <c r="RLK51" s="21"/>
      <c r="RLL51" s="21"/>
      <c r="RLM51" s="21"/>
      <c r="RLN51" s="21"/>
      <c r="RLO51" s="21"/>
      <c r="RLP51" s="21"/>
      <c r="RLQ51" s="21"/>
      <c r="RLR51" s="21"/>
      <c r="RLS51" s="21"/>
      <c r="RLT51" s="21"/>
      <c r="RLU51" s="21"/>
      <c r="RLV51" s="21"/>
      <c r="RLW51" s="21"/>
      <c r="RLX51" s="21"/>
      <c r="RLY51" s="21"/>
      <c r="RLZ51" s="21"/>
      <c r="RMA51" s="21"/>
      <c r="RMB51" s="21"/>
      <c r="RMC51" s="21"/>
      <c r="RMD51" s="21"/>
      <c r="RME51" s="21"/>
      <c r="RMF51" s="21"/>
      <c r="RMG51" s="21"/>
      <c r="RMH51" s="21"/>
      <c r="RMI51" s="21"/>
      <c r="RMJ51" s="21"/>
      <c r="RMK51" s="21"/>
      <c r="RML51" s="21"/>
      <c r="RMM51" s="21"/>
      <c r="RMN51" s="21"/>
      <c r="RMO51" s="21"/>
      <c r="RMP51" s="21"/>
      <c r="RMQ51" s="21"/>
      <c r="RMR51" s="21"/>
      <c r="RMS51" s="21"/>
      <c r="RMT51" s="21"/>
      <c r="RMU51" s="21"/>
      <c r="RMV51" s="21"/>
      <c r="RMW51" s="21"/>
      <c r="RMX51" s="21"/>
      <c r="RMY51" s="21"/>
      <c r="RMZ51" s="21"/>
      <c r="RNA51" s="21"/>
      <c r="RNB51" s="21"/>
      <c r="RNC51" s="21"/>
      <c r="RND51" s="21"/>
      <c r="RNE51" s="21"/>
      <c r="RNF51" s="21"/>
      <c r="RNG51" s="21"/>
      <c r="RNH51" s="21"/>
      <c r="RNI51" s="21"/>
      <c r="RNJ51" s="21"/>
      <c r="RNK51" s="21"/>
      <c r="RNL51" s="21"/>
      <c r="RNM51" s="21"/>
      <c r="RNN51" s="21"/>
      <c r="RNO51" s="21"/>
      <c r="RNP51" s="21"/>
      <c r="RNQ51" s="21"/>
      <c r="RNR51" s="21"/>
      <c r="RNS51" s="21"/>
      <c r="RNT51" s="21"/>
      <c r="RNU51" s="21"/>
      <c r="RNV51" s="21"/>
      <c r="RNW51" s="21"/>
      <c r="RNX51" s="21"/>
      <c r="RNY51" s="21"/>
      <c r="RNZ51" s="21"/>
      <c r="ROA51" s="21"/>
      <c r="ROB51" s="21"/>
      <c r="ROC51" s="21"/>
      <c r="ROD51" s="21"/>
      <c r="ROE51" s="21"/>
      <c r="ROF51" s="21"/>
      <c r="ROG51" s="21"/>
      <c r="ROH51" s="21"/>
      <c r="ROI51" s="21"/>
      <c r="ROJ51" s="21"/>
      <c r="ROK51" s="21"/>
      <c r="ROL51" s="21"/>
      <c r="ROM51" s="21"/>
      <c r="RON51" s="21"/>
      <c r="ROO51" s="21"/>
      <c r="ROP51" s="21"/>
      <c r="ROQ51" s="21"/>
      <c r="ROR51" s="21"/>
      <c r="ROS51" s="21"/>
      <c r="ROT51" s="21"/>
      <c r="ROU51" s="21"/>
      <c r="ROV51" s="21"/>
      <c r="ROW51" s="21"/>
      <c r="ROX51" s="21"/>
      <c r="ROY51" s="21"/>
      <c r="ROZ51" s="21"/>
      <c r="RPA51" s="21"/>
      <c r="RPB51" s="21"/>
      <c r="RPC51" s="21"/>
      <c r="RPD51" s="21"/>
      <c r="RPE51" s="21"/>
      <c r="RPF51" s="21"/>
      <c r="RPG51" s="21"/>
      <c r="RPH51" s="21"/>
      <c r="RPI51" s="21"/>
      <c r="RPJ51" s="21"/>
      <c r="RPK51" s="21"/>
      <c r="RPL51" s="21"/>
      <c r="RPM51" s="21"/>
      <c r="RPN51" s="21"/>
      <c r="RPO51" s="21"/>
      <c r="RPP51" s="21"/>
      <c r="RPQ51" s="21"/>
      <c r="RPR51" s="21"/>
      <c r="RPS51" s="21"/>
      <c r="RPT51" s="21"/>
      <c r="RPU51" s="21"/>
      <c r="RPV51" s="21"/>
      <c r="RPW51" s="21"/>
      <c r="RPX51" s="21"/>
      <c r="RPY51" s="21"/>
      <c r="RPZ51" s="21"/>
      <c r="RQA51" s="21"/>
      <c r="RQB51" s="21"/>
      <c r="RQC51" s="21"/>
      <c r="RQD51" s="21"/>
      <c r="RQE51" s="21"/>
      <c r="RQF51" s="21"/>
      <c r="RQG51" s="21"/>
      <c r="RQH51" s="21"/>
      <c r="RQI51" s="21"/>
      <c r="RQJ51" s="21"/>
      <c r="RQK51" s="21"/>
      <c r="RQL51" s="21"/>
      <c r="RQM51" s="21"/>
      <c r="RQN51" s="21"/>
      <c r="RQO51" s="21"/>
      <c r="RQP51" s="21"/>
      <c r="RQQ51" s="21"/>
      <c r="RQR51" s="21"/>
      <c r="RQS51" s="21"/>
      <c r="RQT51" s="21"/>
      <c r="RQU51" s="21"/>
      <c r="RQV51" s="21"/>
      <c r="RQW51" s="21"/>
      <c r="RQX51" s="21"/>
      <c r="RQY51" s="21"/>
      <c r="RQZ51" s="21"/>
      <c r="RRA51" s="21"/>
      <c r="RRB51" s="21"/>
      <c r="RRC51" s="21"/>
      <c r="RRD51" s="21"/>
      <c r="RRE51" s="21"/>
      <c r="RRF51" s="21"/>
      <c r="RRG51" s="21"/>
      <c r="RRH51" s="21"/>
      <c r="RRI51" s="21"/>
      <c r="RRJ51" s="21"/>
      <c r="RRK51" s="21"/>
      <c r="RRL51" s="21"/>
      <c r="RRM51" s="21"/>
      <c r="RRN51" s="21"/>
      <c r="RRO51" s="21"/>
      <c r="RRP51" s="21"/>
      <c r="RRQ51" s="21"/>
      <c r="RRR51" s="21"/>
      <c r="RRS51" s="21"/>
      <c r="RRT51" s="21"/>
      <c r="RRU51" s="21"/>
      <c r="RRV51" s="21"/>
      <c r="RRW51" s="21"/>
      <c r="RRX51" s="21"/>
      <c r="RRY51" s="21"/>
      <c r="RRZ51" s="21"/>
      <c r="RSA51" s="21"/>
      <c r="RSB51" s="21"/>
      <c r="RSC51" s="21"/>
      <c r="RSD51" s="21"/>
      <c r="RSE51" s="21"/>
      <c r="RSF51" s="21"/>
      <c r="RSG51" s="21"/>
      <c r="RSH51" s="21"/>
      <c r="RSI51" s="21"/>
      <c r="RSJ51" s="21"/>
      <c r="RSK51" s="21"/>
      <c r="RSL51" s="21"/>
      <c r="RSM51" s="21"/>
      <c r="RSN51" s="21"/>
      <c r="RSO51" s="21"/>
      <c r="RSP51" s="21"/>
      <c r="RSQ51" s="21"/>
      <c r="RSR51" s="21"/>
      <c r="RSS51" s="21"/>
      <c r="RST51" s="21"/>
      <c r="RSU51" s="21"/>
      <c r="RSV51" s="21"/>
      <c r="RSW51" s="21"/>
      <c r="RSX51" s="21"/>
      <c r="RSY51" s="21"/>
      <c r="RSZ51" s="21"/>
      <c r="RTA51" s="21"/>
      <c r="RTB51" s="21"/>
      <c r="RTC51" s="21"/>
      <c r="RTD51" s="21"/>
      <c r="RTE51" s="21"/>
      <c r="RTF51" s="21"/>
      <c r="RTG51" s="21"/>
      <c r="RTH51" s="21"/>
      <c r="RTI51" s="21"/>
      <c r="RTJ51" s="21"/>
      <c r="RTK51" s="21"/>
      <c r="RTL51" s="21"/>
      <c r="RTM51" s="21"/>
      <c r="RTN51" s="21"/>
      <c r="RTO51" s="21"/>
      <c r="RTP51" s="21"/>
      <c r="RTQ51" s="21"/>
      <c r="RTR51" s="21"/>
      <c r="RTS51" s="21"/>
      <c r="RTT51" s="21"/>
      <c r="RTU51" s="21"/>
      <c r="RTV51" s="21"/>
      <c r="RTW51" s="21"/>
      <c r="RTX51" s="21"/>
      <c r="RTY51" s="21"/>
      <c r="RTZ51" s="21"/>
      <c r="RUA51" s="21"/>
      <c r="RUB51" s="21"/>
      <c r="RUC51" s="21"/>
      <c r="RUD51" s="21"/>
      <c r="RUE51" s="21"/>
      <c r="RUF51" s="21"/>
      <c r="RUG51" s="21"/>
      <c r="RUH51" s="21"/>
      <c r="RUI51" s="21"/>
      <c r="RUJ51" s="21"/>
      <c r="RUK51" s="21"/>
      <c r="RUL51" s="21"/>
      <c r="RUM51" s="21"/>
      <c r="RUN51" s="21"/>
      <c r="RUO51" s="21"/>
      <c r="RUP51" s="21"/>
      <c r="RUQ51" s="21"/>
      <c r="RUR51" s="21"/>
      <c r="RUS51" s="21"/>
      <c r="RUT51" s="21"/>
      <c r="RUU51" s="21"/>
      <c r="RUV51" s="21"/>
      <c r="RUW51" s="21"/>
      <c r="RUX51" s="21"/>
      <c r="RUY51" s="21"/>
      <c r="RUZ51" s="21"/>
      <c r="RVA51" s="21"/>
      <c r="RVB51" s="21"/>
      <c r="RVC51" s="21"/>
      <c r="RVD51" s="21"/>
      <c r="RVE51" s="21"/>
      <c r="RVF51" s="21"/>
      <c r="RVG51" s="21"/>
      <c r="RVH51" s="21"/>
      <c r="RVI51" s="21"/>
      <c r="RVJ51" s="21"/>
      <c r="RVK51" s="21"/>
      <c r="RVL51" s="21"/>
      <c r="RVM51" s="21"/>
      <c r="RVN51" s="21"/>
      <c r="RVO51" s="21"/>
      <c r="RVP51" s="21"/>
      <c r="RVQ51" s="21"/>
      <c r="RVR51" s="21"/>
      <c r="RVS51" s="21"/>
      <c r="RVT51" s="21"/>
      <c r="RVU51" s="21"/>
      <c r="RVV51" s="21"/>
      <c r="RVW51" s="21"/>
      <c r="RVX51" s="21"/>
      <c r="RVY51" s="21"/>
      <c r="RVZ51" s="21"/>
      <c r="RWA51" s="21"/>
      <c r="RWB51" s="21"/>
      <c r="RWC51" s="21"/>
      <c r="RWD51" s="21"/>
      <c r="RWE51" s="21"/>
      <c r="RWF51" s="21"/>
      <c r="RWG51" s="21"/>
      <c r="RWH51" s="21"/>
      <c r="RWI51" s="21"/>
      <c r="RWJ51" s="21"/>
      <c r="RWK51" s="21"/>
      <c r="RWL51" s="21"/>
      <c r="RWM51" s="21"/>
      <c r="RWN51" s="21"/>
      <c r="RWO51" s="21"/>
      <c r="RWP51" s="21"/>
      <c r="RWQ51" s="21"/>
      <c r="RWR51" s="21"/>
      <c r="RWS51" s="21"/>
      <c r="RWT51" s="21"/>
      <c r="RWU51" s="21"/>
      <c r="RWV51" s="21"/>
      <c r="RWW51" s="21"/>
      <c r="RWX51" s="21"/>
      <c r="RWY51" s="21"/>
      <c r="RWZ51" s="21"/>
      <c r="RXA51" s="21"/>
      <c r="RXB51" s="21"/>
      <c r="RXC51" s="21"/>
      <c r="RXD51" s="21"/>
      <c r="RXE51" s="21"/>
      <c r="RXF51" s="21"/>
      <c r="RXG51" s="21"/>
      <c r="RXH51" s="21"/>
      <c r="RXI51" s="21"/>
      <c r="RXJ51" s="21"/>
      <c r="RXK51" s="21"/>
      <c r="RXL51" s="21"/>
      <c r="RXM51" s="21"/>
      <c r="RXN51" s="21"/>
      <c r="RXO51" s="21"/>
      <c r="RXP51" s="21"/>
      <c r="RXQ51" s="21"/>
      <c r="RXR51" s="21"/>
      <c r="RXS51" s="21"/>
      <c r="RXT51" s="21"/>
      <c r="RXU51" s="21"/>
      <c r="RXV51" s="21"/>
      <c r="RXW51" s="21"/>
      <c r="RXX51" s="21"/>
      <c r="RXY51" s="21"/>
      <c r="RXZ51" s="21"/>
      <c r="RYA51" s="21"/>
      <c r="RYB51" s="21"/>
      <c r="RYC51" s="21"/>
      <c r="RYD51" s="21"/>
      <c r="RYE51" s="21"/>
      <c r="RYF51" s="21"/>
      <c r="RYG51" s="21"/>
      <c r="RYH51" s="21"/>
      <c r="RYI51" s="21"/>
      <c r="RYJ51" s="21"/>
      <c r="RYK51" s="21"/>
      <c r="RYL51" s="21"/>
      <c r="RYM51" s="21"/>
      <c r="RYN51" s="21"/>
      <c r="RYO51" s="21"/>
      <c r="RYP51" s="21"/>
      <c r="RYQ51" s="21"/>
      <c r="RYR51" s="21"/>
      <c r="RYS51" s="21"/>
      <c r="RYT51" s="21"/>
      <c r="RYU51" s="21"/>
      <c r="RYV51" s="21"/>
      <c r="RYW51" s="21"/>
      <c r="RYX51" s="21"/>
      <c r="RYY51" s="21"/>
      <c r="RYZ51" s="21"/>
      <c r="RZA51" s="21"/>
      <c r="RZB51" s="21"/>
      <c r="RZC51" s="21"/>
      <c r="RZD51" s="21"/>
      <c r="RZE51" s="21"/>
      <c r="RZF51" s="21"/>
      <c r="RZG51" s="21"/>
      <c r="RZH51" s="21"/>
      <c r="RZI51" s="21"/>
      <c r="RZJ51" s="21"/>
      <c r="RZK51" s="21"/>
      <c r="RZL51" s="21"/>
      <c r="RZM51" s="21"/>
      <c r="RZN51" s="21"/>
      <c r="RZO51" s="21"/>
      <c r="RZP51" s="21"/>
      <c r="RZQ51" s="21"/>
      <c r="RZR51" s="21"/>
      <c r="RZS51" s="21"/>
      <c r="RZT51" s="21"/>
      <c r="RZU51" s="21"/>
      <c r="RZV51" s="21"/>
      <c r="RZW51" s="21"/>
      <c r="RZX51" s="21"/>
      <c r="RZY51" s="21"/>
      <c r="RZZ51" s="21"/>
      <c r="SAA51" s="21"/>
      <c r="SAB51" s="21"/>
      <c r="SAC51" s="21"/>
      <c r="SAD51" s="21"/>
      <c r="SAE51" s="21"/>
      <c r="SAF51" s="21"/>
      <c r="SAG51" s="21"/>
      <c r="SAH51" s="21"/>
      <c r="SAI51" s="21"/>
      <c r="SAJ51" s="21"/>
      <c r="SAK51" s="21"/>
      <c r="SAL51" s="21"/>
      <c r="SAM51" s="21"/>
      <c r="SAN51" s="21"/>
      <c r="SAO51" s="21"/>
      <c r="SAP51" s="21"/>
      <c r="SAQ51" s="21"/>
      <c r="SAR51" s="21"/>
      <c r="SAS51" s="21"/>
      <c r="SAT51" s="21"/>
      <c r="SAU51" s="21"/>
      <c r="SAV51" s="21"/>
      <c r="SAW51" s="21"/>
      <c r="SAX51" s="21"/>
      <c r="SAY51" s="21"/>
      <c r="SAZ51" s="21"/>
      <c r="SBA51" s="21"/>
      <c r="SBB51" s="21"/>
      <c r="SBC51" s="21"/>
      <c r="SBD51" s="21"/>
      <c r="SBE51" s="21"/>
      <c r="SBF51" s="21"/>
      <c r="SBG51" s="21"/>
      <c r="SBH51" s="21"/>
      <c r="SBI51" s="21"/>
      <c r="SBJ51" s="21"/>
      <c r="SBK51" s="21"/>
      <c r="SBL51" s="21"/>
      <c r="SBM51" s="21"/>
      <c r="SBN51" s="21"/>
      <c r="SBO51" s="21"/>
      <c r="SBP51" s="21"/>
      <c r="SBQ51" s="21"/>
      <c r="SBR51" s="21"/>
      <c r="SBS51" s="21"/>
      <c r="SBT51" s="21"/>
      <c r="SBU51" s="21"/>
      <c r="SBV51" s="21"/>
      <c r="SBW51" s="21"/>
      <c r="SBX51" s="21"/>
      <c r="SBY51" s="21"/>
      <c r="SBZ51" s="21"/>
      <c r="SCA51" s="21"/>
      <c r="SCB51" s="21"/>
      <c r="SCC51" s="21"/>
      <c r="SCD51" s="21"/>
      <c r="SCE51" s="21"/>
      <c r="SCF51" s="21"/>
      <c r="SCG51" s="21"/>
      <c r="SCH51" s="21"/>
      <c r="SCI51" s="21"/>
      <c r="SCJ51" s="21"/>
      <c r="SCK51" s="21"/>
      <c r="SCL51" s="21"/>
      <c r="SCM51" s="21"/>
      <c r="SCN51" s="21"/>
      <c r="SCO51" s="21"/>
      <c r="SCP51" s="21"/>
      <c r="SCQ51" s="21"/>
      <c r="SCR51" s="21"/>
      <c r="SCS51" s="21"/>
      <c r="SCT51" s="21"/>
      <c r="SCU51" s="21"/>
      <c r="SCV51" s="21"/>
      <c r="SCW51" s="21"/>
      <c r="SCX51" s="21"/>
      <c r="SCY51" s="21"/>
      <c r="SCZ51" s="21"/>
      <c r="SDA51" s="21"/>
      <c r="SDB51" s="21"/>
      <c r="SDC51" s="21"/>
      <c r="SDD51" s="21"/>
      <c r="SDE51" s="21"/>
      <c r="SDF51" s="21"/>
      <c r="SDG51" s="21"/>
      <c r="SDH51" s="21"/>
      <c r="SDI51" s="21"/>
      <c r="SDJ51" s="21"/>
      <c r="SDK51" s="21"/>
      <c r="SDL51" s="21"/>
      <c r="SDM51" s="21"/>
      <c r="SDN51" s="21"/>
      <c r="SDO51" s="21"/>
      <c r="SDP51" s="21"/>
      <c r="SDQ51" s="21"/>
      <c r="SDR51" s="21"/>
      <c r="SDS51" s="21"/>
      <c r="SDT51" s="21"/>
      <c r="SDU51" s="21"/>
      <c r="SDV51" s="21"/>
      <c r="SDW51" s="21"/>
      <c r="SDX51" s="21"/>
      <c r="SDY51" s="21"/>
      <c r="SDZ51" s="21"/>
      <c r="SEA51" s="21"/>
      <c r="SEB51" s="21"/>
      <c r="SEC51" s="21"/>
      <c r="SED51" s="21"/>
      <c r="SEE51" s="21"/>
      <c r="SEF51" s="21"/>
      <c r="SEG51" s="21"/>
      <c r="SEH51" s="21"/>
      <c r="SEI51" s="21"/>
      <c r="SEJ51" s="21"/>
      <c r="SEK51" s="21"/>
      <c r="SEL51" s="21"/>
      <c r="SEM51" s="21"/>
      <c r="SEN51" s="21"/>
      <c r="SEO51" s="21"/>
      <c r="SEP51" s="21"/>
      <c r="SEQ51" s="21"/>
      <c r="SER51" s="21"/>
      <c r="SES51" s="21"/>
      <c r="SET51" s="21"/>
      <c r="SEU51" s="21"/>
      <c r="SEV51" s="21"/>
      <c r="SEW51" s="21"/>
      <c r="SEX51" s="21"/>
      <c r="SEY51" s="21"/>
      <c r="SEZ51" s="21"/>
      <c r="SFA51" s="21"/>
      <c r="SFB51" s="21"/>
      <c r="SFC51" s="21"/>
      <c r="SFD51" s="21"/>
      <c r="SFE51" s="21"/>
      <c r="SFF51" s="21"/>
      <c r="SFG51" s="21"/>
      <c r="SFH51" s="21"/>
      <c r="SFI51" s="21"/>
      <c r="SFJ51" s="21"/>
      <c r="SFK51" s="21"/>
      <c r="SFL51" s="21"/>
      <c r="SFM51" s="21"/>
      <c r="SFN51" s="21"/>
      <c r="SFO51" s="21"/>
      <c r="SFP51" s="21"/>
      <c r="SFQ51" s="21"/>
      <c r="SFR51" s="21"/>
      <c r="SFS51" s="21"/>
      <c r="SFT51" s="21"/>
      <c r="SFU51" s="21"/>
      <c r="SFV51" s="21"/>
      <c r="SFW51" s="21"/>
      <c r="SFX51" s="21"/>
      <c r="SFY51" s="21"/>
      <c r="SFZ51" s="21"/>
      <c r="SGA51" s="21"/>
      <c r="SGB51" s="21"/>
      <c r="SGC51" s="21"/>
      <c r="SGD51" s="21"/>
      <c r="SGE51" s="21"/>
      <c r="SGF51" s="21"/>
      <c r="SGG51" s="21"/>
      <c r="SGH51" s="21"/>
      <c r="SGI51" s="21"/>
      <c r="SGJ51" s="21"/>
      <c r="SGK51" s="21"/>
      <c r="SGL51" s="21"/>
      <c r="SGM51" s="21"/>
      <c r="SGN51" s="21"/>
      <c r="SGO51" s="21"/>
      <c r="SGP51" s="21"/>
      <c r="SGQ51" s="21"/>
      <c r="SGR51" s="21"/>
      <c r="SGS51" s="21"/>
      <c r="SGT51" s="21"/>
      <c r="SGU51" s="21"/>
      <c r="SGV51" s="21"/>
      <c r="SGW51" s="21"/>
      <c r="SGX51" s="21"/>
      <c r="SGY51" s="21"/>
      <c r="SGZ51" s="21"/>
      <c r="SHA51" s="21"/>
      <c r="SHB51" s="21"/>
      <c r="SHC51" s="21"/>
      <c r="SHD51" s="21"/>
      <c r="SHE51" s="21"/>
      <c r="SHF51" s="21"/>
      <c r="SHG51" s="21"/>
      <c r="SHH51" s="21"/>
      <c r="SHI51" s="21"/>
      <c r="SHJ51" s="21"/>
      <c r="SHK51" s="21"/>
      <c r="SHL51" s="21"/>
      <c r="SHM51" s="21"/>
      <c r="SHN51" s="21"/>
      <c r="SHO51" s="21"/>
      <c r="SHP51" s="21"/>
      <c r="SHQ51" s="21"/>
      <c r="SHR51" s="21"/>
      <c r="SHS51" s="21"/>
      <c r="SHT51" s="21"/>
      <c r="SHU51" s="21"/>
      <c r="SHV51" s="21"/>
      <c r="SHW51" s="21"/>
      <c r="SHX51" s="21"/>
      <c r="SHY51" s="21"/>
      <c r="SHZ51" s="21"/>
      <c r="SIA51" s="21"/>
      <c r="SIB51" s="21"/>
      <c r="SIC51" s="21"/>
      <c r="SID51" s="21"/>
      <c r="SIE51" s="21"/>
      <c r="SIF51" s="21"/>
      <c r="SIG51" s="21"/>
      <c r="SIH51" s="21"/>
      <c r="SII51" s="21"/>
      <c r="SIJ51" s="21"/>
      <c r="SIK51" s="21"/>
      <c r="SIL51" s="21"/>
      <c r="SIM51" s="21"/>
      <c r="SIN51" s="21"/>
      <c r="SIO51" s="21"/>
      <c r="SIP51" s="21"/>
      <c r="SIQ51" s="21"/>
      <c r="SIR51" s="21"/>
      <c r="SIS51" s="21"/>
      <c r="SIT51" s="21"/>
      <c r="SIU51" s="21"/>
      <c r="SIV51" s="21"/>
      <c r="SIW51" s="21"/>
      <c r="SIX51" s="21"/>
      <c r="SIY51" s="21"/>
      <c r="SIZ51" s="21"/>
      <c r="SJA51" s="21"/>
      <c r="SJB51" s="21"/>
      <c r="SJC51" s="21"/>
      <c r="SJD51" s="21"/>
      <c r="SJE51" s="21"/>
      <c r="SJF51" s="21"/>
      <c r="SJG51" s="21"/>
      <c r="SJH51" s="21"/>
      <c r="SJI51" s="21"/>
      <c r="SJJ51" s="21"/>
      <c r="SJK51" s="21"/>
      <c r="SJL51" s="21"/>
      <c r="SJM51" s="21"/>
      <c r="SJN51" s="21"/>
      <c r="SJO51" s="21"/>
      <c r="SJP51" s="21"/>
      <c r="SJQ51" s="21"/>
      <c r="SJR51" s="21"/>
      <c r="SJS51" s="21"/>
      <c r="SJT51" s="21"/>
      <c r="SJU51" s="21"/>
      <c r="SJV51" s="21"/>
      <c r="SJW51" s="21"/>
      <c r="SJX51" s="21"/>
      <c r="SJY51" s="21"/>
      <c r="SJZ51" s="21"/>
      <c r="SKA51" s="21"/>
      <c r="SKB51" s="21"/>
      <c r="SKC51" s="21"/>
      <c r="SKD51" s="21"/>
      <c r="SKE51" s="21"/>
      <c r="SKF51" s="21"/>
      <c r="SKG51" s="21"/>
      <c r="SKH51" s="21"/>
      <c r="SKI51" s="21"/>
      <c r="SKJ51" s="21"/>
      <c r="SKK51" s="21"/>
      <c r="SKL51" s="21"/>
      <c r="SKM51" s="21"/>
      <c r="SKN51" s="21"/>
      <c r="SKO51" s="21"/>
      <c r="SKP51" s="21"/>
      <c r="SKQ51" s="21"/>
      <c r="SKR51" s="21"/>
      <c r="SKS51" s="21"/>
      <c r="SKT51" s="21"/>
      <c r="SKU51" s="21"/>
      <c r="SKV51" s="21"/>
      <c r="SKW51" s="21"/>
      <c r="SKX51" s="21"/>
      <c r="SKY51" s="21"/>
      <c r="SKZ51" s="21"/>
      <c r="SLA51" s="21"/>
      <c r="SLB51" s="21"/>
      <c r="SLC51" s="21"/>
      <c r="SLD51" s="21"/>
      <c r="SLE51" s="21"/>
      <c r="SLF51" s="21"/>
      <c r="SLG51" s="21"/>
      <c r="SLH51" s="21"/>
      <c r="SLI51" s="21"/>
      <c r="SLJ51" s="21"/>
      <c r="SLK51" s="21"/>
      <c r="SLL51" s="21"/>
      <c r="SLM51" s="21"/>
      <c r="SLN51" s="21"/>
      <c r="SLO51" s="21"/>
      <c r="SLP51" s="21"/>
      <c r="SLQ51" s="21"/>
      <c r="SLR51" s="21"/>
      <c r="SLS51" s="21"/>
      <c r="SLT51" s="21"/>
      <c r="SLU51" s="21"/>
      <c r="SLV51" s="21"/>
      <c r="SLW51" s="21"/>
      <c r="SLX51" s="21"/>
      <c r="SLY51" s="21"/>
      <c r="SLZ51" s="21"/>
      <c r="SMA51" s="21"/>
      <c r="SMB51" s="21"/>
      <c r="SMC51" s="21"/>
      <c r="SMD51" s="21"/>
      <c r="SME51" s="21"/>
      <c r="SMF51" s="21"/>
      <c r="SMG51" s="21"/>
      <c r="SMH51" s="21"/>
      <c r="SMI51" s="21"/>
      <c r="SMJ51" s="21"/>
      <c r="SMK51" s="21"/>
      <c r="SML51" s="21"/>
      <c r="SMM51" s="21"/>
      <c r="SMN51" s="21"/>
      <c r="SMO51" s="21"/>
      <c r="SMP51" s="21"/>
      <c r="SMQ51" s="21"/>
      <c r="SMR51" s="21"/>
      <c r="SMS51" s="21"/>
      <c r="SMT51" s="21"/>
      <c r="SMU51" s="21"/>
      <c r="SMV51" s="21"/>
      <c r="SMW51" s="21"/>
      <c r="SMX51" s="21"/>
      <c r="SMY51" s="21"/>
      <c r="SMZ51" s="21"/>
      <c r="SNA51" s="21"/>
      <c r="SNB51" s="21"/>
      <c r="SNC51" s="21"/>
      <c r="SND51" s="21"/>
      <c r="SNE51" s="21"/>
      <c r="SNF51" s="21"/>
      <c r="SNG51" s="21"/>
      <c r="SNH51" s="21"/>
      <c r="SNI51" s="21"/>
      <c r="SNJ51" s="21"/>
      <c r="SNK51" s="21"/>
      <c r="SNL51" s="21"/>
      <c r="SNM51" s="21"/>
      <c r="SNN51" s="21"/>
      <c r="SNO51" s="21"/>
      <c r="SNP51" s="21"/>
      <c r="SNQ51" s="21"/>
      <c r="SNR51" s="21"/>
      <c r="SNS51" s="21"/>
      <c r="SNT51" s="21"/>
      <c r="SNU51" s="21"/>
      <c r="SNV51" s="21"/>
      <c r="SNW51" s="21"/>
      <c r="SNX51" s="21"/>
      <c r="SNY51" s="21"/>
      <c r="SNZ51" s="21"/>
      <c r="SOA51" s="21"/>
      <c r="SOB51" s="21"/>
      <c r="SOC51" s="21"/>
      <c r="SOD51" s="21"/>
      <c r="SOE51" s="21"/>
      <c r="SOF51" s="21"/>
      <c r="SOG51" s="21"/>
      <c r="SOH51" s="21"/>
      <c r="SOI51" s="21"/>
      <c r="SOJ51" s="21"/>
      <c r="SOK51" s="21"/>
      <c r="SOL51" s="21"/>
      <c r="SOM51" s="21"/>
      <c r="SON51" s="21"/>
      <c r="SOO51" s="21"/>
      <c r="SOP51" s="21"/>
      <c r="SOQ51" s="21"/>
      <c r="SOR51" s="21"/>
      <c r="SOS51" s="21"/>
      <c r="SOT51" s="21"/>
      <c r="SOU51" s="21"/>
      <c r="SOV51" s="21"/>
      <c r="SOW51" s="21"/>
      <c r="SOX51" s="21"/>
      <c r="SOY51" s="21"/>
      <c r="SOZ51" s="21"/>
      <c r="SPA51" s="21"/>
      <c r="SPB51" s="21"/>
      <c r="SPC51" s="21"/>
      <c r="SPD51" s="21"/>
      <c r="SPE51" s="21"/>
      <c r="SPF51" s="21"/>
      <c r="SPG51" s="21"/>
      <c r="SPH51" s="21"/>
      <c r="SPI51" s="21"/>
      <c r="SPJ51" s="21"/>
      <c r="SPK51" s="21"/>
      <c r="SPL51" s="21"/>
      <c r="SPM51" s="21"/>
      <c r="SPN51" s="21"/>
      <c r="SPO51" s="21"/>
      <c r="SPP51" s="21"/>
      <c r="SPQ51" s="21"/>
      <c r="SPR51" s="21"/>
      <c r="SPS51" s="21"/>
      <c r="SPT51" s="21"/>
      <c r="SPU51" s="21"/>
      <c r="SPV51" s="21"/>
      <c r="SPW51" s="21"/>
      <c r="SPX51" s="21"/>
      <c r="SPY51" s="21"/>
      <c r="SPZ51" s="21"/>
      <c r="SQA51" s="21"/>
      <c r="SQB51" s="21"/>
      <c r="SQC51" s="21"/>
      <c r="SQD51" s="21"/>
      <c r="SQE51" s="21"/>
      <c r="SQF51" s="21"/>
      <c r="SQG51" s="21"/>
      <c r="SQH51" s="21"/>
      <c r="SQI51" s="21"/>
      <c r="SQJ51" s="21"/>
      <c r="SQK51" s="21"/>
      <c r="SQL51" s="21"/>
      <c r="SQM51" s="21"/>
      <c r="SQN51" s="21"/>
      <c r="SQO51" s="21"/>
      <c r="SQP51" s="21"/>
      <c r="SQQ51" s="21"/>
      <c r="SQR51" s="21"/>
      <c r="SQS51" s="21"/>
      <c r="SQT51" s="21"/>
      <c r="SQU51" s="21"/>
      <c r="SQV51" s="21"/>
      <c r="SQW51" s="21"/>
      <c r="SQX51" s="21"/>
      <c r="SQY51" s="21"/>
      <c r="SQZ51" s="21"/>
      <c r="SRA51" s="21"/>
      <c r="SRB51" s="21"/>
      <c r="SRC51" s="21"/>
      <c r="SRD51" s="21"/>
      <c r="SRE51" s="21"/>
      <c r="SRF51" s="21"/>
      <c r="SRG51" s="21"/>
      <c r="SRH51" s="21"/>
      <c r="SRI51" s="21"/>
      <c r="SRJ51" s="21"/>
      <c r="SRK51" s="21"/>
      <c r="SRL51" s="21"/>
      <c r="SRM51" s="21"/>
      <c r="SRN51" s="21"/>
      <c r="SRO51" s="21"/>
      <c r="SRP51" s="21"/>
      <c r="SRQ51" s="21"/>
      <c r="SRR51" s="21"/>
      <c r="SRS51" s="21"/>
      <c r="SRT51" s="21"/>
      <c r="SRU51" s="21"/>
      <c r="SRV51" s="21"/>
      <c r="SRW51" s="21"/>
      <c r="SRX51" s="21"/>
      <c r="SRY51" s="21"/>
      <c r="SRZ51" s="21"/>
      <c r="SSA51" s="21"/>
      <c r="SSB51" s="21"/>
      <c r="SSC51" s="21"/>
      <c r="SSD51" s="21"/>
      <c r="SSE51" s="21"/>
      <c r="SSF51" s="21"/>
      <c r="SSG51" s="21"/>
      <c r="SSH51" s="21"/>
      <c r="SSI51" s="21"/>
      <c r="SSJ51" s="21"/>
      <c r="SSK51" s="21"/>
      <c r="SSL51" s="21"/>
      <c r="SSM51" s="21"/>
      <c r="SSN51" s="21"/>
      <c r="SSO51" s="21"/>
      <c r="SSP51" s="21"/>
      <c r="SSQ51" s="21"/>
      <c r="SSR51" s="21"/>
      <c r="SSS51" s="21"/>
      <c r="SST51" s="21"/>
      <c r="SSU51" s="21"/>
      <c r="SSV51" s="21"/>
      <c r="SSW51" s="21"/>
      <c r="SSX51" s="21"/>
      <c r="SSY51" s="21"/>
      <c r="SSZ51" s="21"/>
      <c r="STA51" s="21"/>
      <c r="STB51" s="21"/>
      <c r="STC51" s="21"/>
      <c r="STD51" s="21"/>
      <c r="STE51" s="21"/>
      <c r="STF51" s="21"/>
      <c r="STG51" s="21"/>
      <c r="STH51" s="21"/>
      <c r="STI51" s="21"/>
      <c r="STJ51" s="21"/>
      <c r="STK51" s="21"/>
      <c r="STL51" s="21"/>
      <c r="STM51" s="21"/>
      <c r="STN51" s="21"/>
      <c r="STO51" s="21"/>
      <c r="STP51" s="21"/>
      <c r="STQ51" s="21"/>
      <c r="STR51" s="21"/>
      <c r="STS51" s="21"/>
      <c r="STT51" s="21"/>
      <c r="STU51" s="21"/>
      <c r="STV51" s="21"/>
      <c r="STW51" s="21"/>
      <c r="STX51" s="21"/>
      <c r="STY51" s="21"/>
      <c r="STZ51" s="21"/>
      <c r="SUA51" s="21"/>
      <c r="SUB51" s="21"/>
      <c r="SUC51" s="21"/>
      <c r="SUD51" s="21"/>
      <c r="SUE51" s="21"/>
      <c r="SUF51" s="21"/>
      <c r="SUG51" s="21"/>
      <c r="SUH51" s="21"/>
      <c r="SUI51" s="21"/>
      <c r="SUJ51" s="21"/>
      <c r="SUK51" s="21"/>
      <c r="SUL51" s="21"/>
      <c r="SUM51" s="21"/>
      <c r="SUN51" s="21"/>
      <c r="SUO51" s="21"/>
      <c r="SUP51" s="21"/>
      <c r="SUQ51" s="21"/>
      <c r="SUR51" s="21"/>
      <c r="SUS51" s="21"/>
      <c r="SUT51" s="21"/>
      <c r="SUU51" s="21"/>
      <c r="SUV51" s="21"/>
      <c r="SUW51" s="21"/>
      <c r="SUX51" s="21"/>
      <c r="SUY51" s="21"/>
      <c r="SUZ51" s="21"/>
      <c r="SVA51" s="21"/>
      <c r="SVB51" s="21"/>
      <c r="SVC51" s="21"/>
      <c r="SVD51" s="21"/>
      <c r="SVE51" s="21"/>
      <c r="SVF51" s="21"/>
      <c r="SVG51" s="21"/>
      <c r="SVH51" s="21"/>
      <c r="SVI51" s="21"/>
      <c r="SVJ51" s="21"/>
      <c r="SVK51" s="21"/>
      <c r="SVL51" s="21"/>
      <c r="SVM51" s="21"/>
      <c r="SVN51" s="21"/>
      <c r="SVO51" s="21"/>
      <c r="SVP51" s="21"/>
      <c r="SVQ51" s="21"/>
      <c r="SVR51" s="21"/>
      <c r="SVS51" s="21"/>
      <c r="SVT51" s="21"/>
      <c r="SVU51" s="21"/>
      <c r="SVV51" s="21"/>
      <c r="SVW51" s="21"/>
      <c r="SVX51" s="21"/>
      <c r="SVY51" s="21"/>
      <c r="SVZ51" s="21"/>
      <c r="SWA51" s="21"/>
      <c r="SWB51" s="21"/>
      <c r="SWC51" s="21"/>
      <c r="SWD51" s="21"/>
      <c r="SWE51" s="21"/>
      <c r="SWF51" s="21"/>
      <c r="SWG51" s="21"/>
      <c r="SWH51" s="21"/>
      <c r="SWI51" s="21"/>
      <c r="SWJ51" s="21"/>
      <c r="SWK51" s="21"/>
      <c r="SWL51" s="21"/>
      <c r="SWM51" s="21"/>
      <c r="SWN51" s="21"/>
      <c r="SWO51" s="21"/>
      <c r="SWP51" s="21"/>
      <c r="SWQ51" s="21"/>
      <c r="SWR51" s="21"/>
      <c r="SWS51" s="21"/>
      <c r="SWT51" s="21"/>
      <c r="SWU51" s="21"/>
      <c r="SWV51" s="21"/>
      <c r="SWW51" s="21"/>
      <c r="SWX51" s="21"/>
      <c r="SWY51" s="21"/>
      <c r="SWZ51" s="21"/>
      <c r="SXA51" s="21"/>
      <c r="SXB51" s="21"/>
      <c r="SXC51" s="21"/>
      <c r="SXD51" s="21"/>
      <c r="SXE51" s="21"/>
      <c r="SXF51" s="21"/>
      <c r="SXG51" s="21"/>
      <c r="SXH51" s="21"/>
      <c r="SXI51" s="21"/>
      <c r="SXJ51" s="21"/>
      <c r="SXK51" s="21"/>
      <c r="SXL51" s="21"/>
      <c r="SXM51" s="21"/>
      <c r="SXN51" s="21"/>
      <c r="SXO51" s="21"/>
      <c r="SXP51" s="21"/>
      <c r="SXQ51" s="21"/>
      <c r="SXR51" s="21"/>
      <c r="SXS51" s="21"/>
      <c r="SXT51" s="21"/>
      <c r="SXU51" s="21"/>
      <c r="SXV51" s="21"/>
      <c r="SXW51" s="21"/>
      <c r="SXX51" s="21"/>
      <c r="SXY51" s="21"/>
      <c r="SXZ51" s="21"/>
      <c r="SYA51" s="21"/>
      <c r="SYB51" s="21"/>
      <c r="SYC51" s="21"/>
      <c r="SYD51" s="21"/>
      <c r="SYE51" s="21"/>
      <c r="SYF51" s="21"/>
      <c r="SYG51" s="21"/>
      <c r="SYH51" s="21"/>
      <c r="SYI51" s="21"/>
      <c r="SYJ51" s="21"/>
      <c r="SYK51" s="21"/>
      <c r="SYL51" s="21"/>
      <c r="SYM51" s="21"/>
      <c r="SYN51" s="21"/>
      <c r="SYO51" s="21"/>
      <c r="SYP51" s="21"/>
      <c r="SYQ51" s="21"/>
      <c r="SYR51" s="21"/>
      <c r="SYS51" s="21"/>
      <c r="SYT51" s="21"/>
      <c r="SYU51" s="21"/>
      <c r="SYV51" s="21"/>
      <c r="SYW51" s="21"/>
      <c r="SYX51" s="21"/>
      <c r="SYY51" s="21"/>
      <c r="SYZ51" s="21"/>
      <c r="SZA51" s="21"/>
      <c r="SZB51" s="21"/>
      <c r="SZC51" s="21"/>
      <c r="SZD51" s="21"/>
      <c r="SZE51" s="21"/>
      <c r="SZF51" s="21"/>
      <c r="SZG51" s="21"/>
      <c r="SZH51" s="21"/>
      <c r="SZI51" s="21"/>
      <c r="SZJ51" s="21"/>
      <c r="SZK51" s="21"/>
      <c r="SZL51" s="21"/>
      <c r="SZM51" s="21"/>
      <c r="SZN51" s="21"/>
      <c r="SZO51" s="21"/>
      <c r="SZP51" s="21"/>
      <c r="SZQ51" s="21"/>
      <c r="SZR51" s="21"/>
      <c r="SZS51" s="21"/>
      <c r="SZT51" s="21"/>
      <c r="SZU51" s="21"/>
      <c r="SZV51" s="21"/>
      <c r="SZW51" s="21"/>
      <c r="SZX51" s="21"/>
      <c r="SZY51" s="21"/>
      <c r="SZZ51" s="21"/>
      <c r="TAA51" s="21"/>
      <c r="TAB51" s="21"/>
      <c r="TAC51" s="21"/>
      <c r="TAD51" s="21"/>
      <c r="TAE51" s="21"/>
      <c r="TAF51" s="21"/>
      <c r="TAG51" s="21"/>
      <c r="TAH51" s="21"/>
      <c r="TAI51" s="21"/>
      <c r="TAJ51" s="21"/>
      <c r="TAK51" s="21"/>
      <c r="TAL51" s="21"/>
      <c r="TAM51" s="21"/>
      <c r="TAN51" s="21"/>
      <c r="TAO51" s="21"/>
      <c r="TAP51" s="21"/>
      <c r="TAQ51" s="21"/>
      <c r="TAR51" s="21"/>
      <c r="TAS51" s="21"/>
      <c r="TAT51" s="21"/>
      <c r="TAU51" s="21"/>
      <c r="TAV51" s="21"/>
      <c r="TAW51" s="21"/>
      <c r="TAX51" s="21"/>
      <c r="TAY51" s="21"/>
      <c r="TAZ51" s="21"/>
      <c r="TBA51" s="21"/>
      <c r="TBB51" s="21"/>
      <c r="TBC51" s="21"/>
      <c r="TBD51" s="21"/>
      <c r="TBE51" s="21"/>
      <c r="TBF51" s="21"/>
      <c r="TBG51" s="21"/>
      <c r="TBH51" s="21"/>
      <c r="TBI51" s="21"/>
      <c r="TBJ51" s="21"/>
      <c r="TBK51" s="21"/>
      <c r="TBL51" s="21"/>
      <c r="TBM51" s="21"/>
      <c r="TBN51" s="21"/>
      <c r="TBO51" s="21"/>
      <c r="TBP51" s="21"/>
      <c r="TBQ51" s="21"/>
      <c r="TBR51" s="21"/>
      <c r="TBS51" s="21"/>
      <c r="TBT51" s="21"/>
      <c r="TBU51" s="21"/>
      <c r="TBV51" s="21"/>
      <c r="TBW51" s="21"/>
      <c r="TBX51" s="21"/>
      <c r="TBY51" s="21"/>
      <c r="TBZ51" s="21"/>
      <c r="TCA51" s="21"/>
      <c r="TCB51" s="21"/>
      <c r="TCC51" s="21"/>
      <c r="TCD51" s="21"/>
      <c r="TCE51" s="21"/>
      <c r="TCF51" s="21"/>
      <c r="TCG51" s="21"/>
      <c r="TCH51" s="21"/>
      <c r="TCI51" s="21"/>
      <c r="TCJ51" s="21"/>
      <c r="TCK51" s="21"/>
      <c r="TCL51" s="21"/>
      <c r="TCM51" s="21"/>
      <c r="TCN51" s="21"/>
      <c r="TCO51" s="21"/>
      <c r="TCP51" s="21"/>
      <c r="TCQ51" s="21"/>
      <c r="TCR51" s="21"/>
      <c r="TCS51" s="21"/>
      <c r="TCT51" s="21"/>
      <c r="TCU51" s="21"/>
      <c r="TCV51" s="21"/>
      <c r="TCW51" s="21"/>
      <c r="TCX51" s="21"/>
      <c r="TCY51" s="21"/>
      <c r="TCZ51" s="21"/>
      <c r="TDA51" s="21"/>
      <c r="TDB51" s="21"/>
      <c r="TDC51" s="21"/>
      <c r="TDD51" s="21"/>
      <c r="TDE51" s="21"/>
      <c r="TDF51" s="21"/>
      <c r="TDG51" s="21"/>
      <c r="TDH51" s="21"/>
      <c r="TDI51" s="21"/>
      <c r="TDJ51" s="21"/>
      <c r="TDK51" s="21"/>
      <c r="TDL51" s="21"/>
      <c r="TDM51" s="21"/>
      <c r="TDN51" s="21"/>
      <c r="TDO51" s="21"/>
      <c r="TDP51" s="21"/>
      <c r="TDQ51" s="21"/>
      <c r="TDR51" s="21"/>
      <c r="TDS51" s="21"/>
      <c r="TDT51" s="21"/>
      <c r="TDU51" s="21"/>
      <c r="TDV51" s="21"/>
      <c r="TDW51" s="21"/>
      <c r="TDX51" s="21"/>
      <c r="TDY51" s="21"/>
      <c r="TDZ51" s="21"/>
      <c r="TEA51" s="21"/>
      <c r="TEB51" s="21"/>
      <c r="TEC51" s="21"/>
      <c r="TED51" s="21"/>
      <c r="TEE51" s="21"/>
      <c r="TEF51" s="21"/>
      <c r="TEG51" s="21"/>
      <c r="TEH51" s="21"/>
      <c r="TEI51" s="21"/>
      <c r="TEJ51" s="21"/>
      <c r="TEK51" s="21"/>
      <c r="TEL51" s="21"/>
      <c r="TEM51" s="21"/>
      <c r="TEN51" s="21"/>
      <c r="TEO51" s="21"/>
      <c r="TEP51" s="21"/>
      <c r="TEQ51" s="21"/>
      <c r="TER51" s="21"/>
      <c r="TES51" s="21"/>
      <c r="TET51" s="21"/>
      <c r="TEU51" s="21"/>
      <c r="TEV51" s="21"/>
      <c r="TEW51" s="21"/>
      <c r="TEX51" s="21"/>
      <c r="TEY51" s="21"/>
      <c r="TEZ51" s="21"/>
      <c r="TFA51" s="21"/>
      <c r="TFB51" s="21"/>
      <c r="TFC51" s="21"/>
      <c r="TFD51" s="21"/>
      <c r="TFE51" s="21"/>
      <c r="TFF51" s="21"/>
      <c r="TFG51" s="21"/>
      <c r="TFH51" s="21"/>
      <c r="TFI51" s="21"/>
      <c r="TFJ51" s="21"/>
      <c r="TFK51" s="21"/>
      <c r="TFL51" s="21"/>
      <c r="TFM51" s="21"/>
      <c r="TFN51" s="21"/>
      <c r="TFO51" s="21"/>
      <c r="TFP51" s="21"/>
      <c r="TFQ51" s="21"/>
      <c r="TFR51" s="21"/>
      <c r="TFS51" s="21"/>
      <c r="TFT51" s="21"/>
      <c r="TFU51" s="21"/>
      <c r="TFV51" s="21"/>
      <c r="TFW51" s="21"/>
      <c r="TFX51" s="21"/>
      <c r="TFY51" s="21"/>
      <c r="TFZ51" s="21"/>
      <c r="TGA51" s="21"/>
      <c r="TGB51" s="21"/>
      <c r="TGC51" s="21"/>
      <c r="TGD51" s="21"/>
      <c r="TGE51" s="21"/>
      <c r="TGF51" s="21"/>
      <c r="TGG51" s="21"/>
      <c r="TGH51" s="21"/>
      <c r="TGI51" s="21"/>
      <c r="TGJ51" s="21"/>
      <c r="TGK51" s="21"/>
      <c r="TGL51" s="21"/>
      <c r="TGM51" s="21"/>
      <c r="TGN51" s="21"/>
      <c r="TGO51" s="21"/>
      <c r="TGP51" s="21"/>
      <c r="TGQ51" s="21"/>
      <c r="TGR51" s="21"/>
      <c r="TGS51" s="21"/>
      <c r="TGT51" s="21"/>
      <c r="TGU51" s="21"/>
      <c r="TGV51" s="21"/>
      <c r="TGW51" s="21"/>
      <c r="TGX51" s="21"/>
      <c r="TGY51" s="21"/>
      <c r="TGZ51" s="21"/>
      <c r="THA51" s="21"/>
      <c r="THB51" s="21"/>
      <c r="THC51" s="21"/>
      <c r="THD51" s="21"/>
      <c r="THE51" s="21"/>
      <c r="THF51" s="21"/>
      <c r="THG51" s="21"/>
      <c r="THH51" s="21"/>
      <c r="THI51" s="21"/>
      <c r="THJ51" s="21"/>
      <c r="THK51" s="21"/>
      <c r="THL51" s="21"/>
      <c r="THM51" s="21"/>
      <c r="THN51" s="21"/>
      <c r="THO51" s="21"/>
      <c r="THP51" s="21"/>
      <c r="THQ51" s="21"/>
      <c r="THR51" s="21"/>
      <c r="THS51" s="21"/>
      <c r="THT51" s="21"/>
      <c r="THU51" s="21"/>
      <c r="THV51" s="21"/>
      <c r="THW51" s="21"/>
      <c r="THX51" s="21"/>
      <c r="THY51" s="21"/>
      <c r="THZ51" s="21"/>
      <c r="TIA51" s="21"/>
      <c r="TIB51" s="21"/>
      <c r="TIC51" s="21"/>
      <c r="TID51" s="21"/>
      <c r="TIE51" s="21"/>
      <c r="TIF51" s="21"/>
      <c r="TIG51" s="21"/>
      <c r="TIH51" s="21"/>
      <c r="TII51" s="21"/>
      <c r="TIJ51" s="21"/>
      <c r="TIK51" s="21"/>
      <c r="TIL51" s="21"/>
      <c r="TIM51" s="21"/>
      <c r="TIN51" s="21"/>
      <c r="TIO51" s="21"/>
      <c r="TIP51" s="21"/>
      <c r="TIQ51" s="21"/>
      <c r="TIR51" s="21"/>
      <c r="TIS51" s="21"/>
      <c r="TIT51" s="21"/>
      <c r="TIU51" s="21"/>
      <c r="TIV51" s="21"/>
      <c r="TIW51" s="21"/>
      <c r="TIX51" s="21"/>
      <c r="TIY51" s="21"/>
      <c r="TIZ51" s="21"/>
      <c r="TJA51" s="21"/>
      <c r="TJB51" s="21"/>
      <c r="TJC51" s="21"/>
      <c r="TJD51" s="21"/>
      <c r="TJE51" s="21"/>
      <c r="TJF51" s="21"/>
      <c r="TJG51" s="21"/>
      <c r="TJH51" s="21"/>
      <c r="TJI51" s="21"/>
      <c r="TJJ51" s="21"/>
      <c r="TJK51" s="21"/>
      <c r="TJL51" s="21"/>
      <c r="TJM51" s="21"/>
      <c r="TJN51" s="21"/>
      <c r="TJO51" s="21"/>
      <c r="TJP51" s="21"/>
      <c r="TJQ51" s="21"/>
      <c r="TJR51" s="21"/>
      <c r="TJS51" s="21"/>
      <c r="TJT51" s="21"/>
      <c r="TJU51" s="21"/>
      <c r="TJV51" s="21"/>
      <c r="TJW51" s="21"/>
      <c r="TJX51" s="21"/>
      <c r="TJY51" s="21"/>
      <c r="TJZ51" s="21"/>
      <c r="TKA51" s="21"/>
      <c r="TKB51" s="21"/>
      <c r="TKC51" s="21"/>
      <c r="TKD51" s="21"/>
      <c r="TKE51" s="21"/>
      <c r="TKF51" s="21"/>
      <c r="TKG51" s="21"/>
      <c r="TKH51" s="21"/>
      <c r="TKI51" s="21"/>
      <c r="TKJ51" s="21"/>
      <c r="TKK51" s="21"/>
      <c r="TKL51" s="21"/>
      <c r="TKM51" s="21"/>
      <c r="TKN51" s="21"/>
      <c r="TKO51" s="21"/>
      <c r="TKP51" s="21"/>
      <c r="TKQ51" s="21"/>
      <c r="TKR51" s="21"/>
      <c r="TKS51" s="21"/>
      <c r="TKT51" s="21"/>
      <c r="TKU51" s="21"/>
      <c r="TKV51" s="21"/>
      <c r="TKW51" s="21"/>
      <c r="TKX51" s="21"/>
      <c r="TKY51" s="21"/>
      <c r="TKZ51" s="21"/>
      <c r="TLA51" s="21"/>
      <c r="TLB51" s="21"/>
      <c r="TLC51" s="21"/>
      <c r="TLD51" s="21"/>
      <c r="TLE51" s="21"/>
      <c r="TLF51" s="21"/>
      <c r="TLG51" s="21"/>
      <c r="TLH51" s="21"/>
      <c r="TLI51" s="21"/>
      <c r="TLJ51" s="21"/>
      <c r="TLK51" s="21"/>
      <c r="TLL51" s="21"/>
      <c r="TLM51" s="21"/>
      <c r="TLN51" s="21"/>
      <c r="TLO51" s="21"/>
      <c r="TLP51" s="21"/>
      <c r="TLQ51" s="21"/>
      <c r="TLR51" s="21"/>
      <c r="TLS51" s="21"/>
      <c r="TLT51" s="21"/>
      <c r="TLU51" s="21"/>
      <c r="TLV51" s="21"/>
      <c r="TLW51" s="21"/>
      <c r="TLX51" s="21"/>
      <c r="TLY51" s="21"/>
      <c r="TLZ51" s="21"/>
      <c r="TMA51" s="21"/>
      <c r="TMB51" s="21"/>
      <c r="TMC51" s="21"/>
      <c r="TMD51" s="21"/>
      <c r="TME51" s="21"/>
      <c r="TMF51" s="21"/>
      <c r="TMG51" s="21"/>
      <c r="TMH51" s="21"/>
      <c r="TMI51" s="21"/>
      <c r="TMJ51" s="21"/>
      <c r="TMK51" s="21"/>
      <c r="TML51" s="21"/>
      <c r="TMM51" s="21"/>
      <c r="TMN51" s="21"/>
      <c r="TMO51" s="21"/>
      <c r="TMP51" s="21"/>
      <c r="TMQ51" s="21"/>
      <c r="TMR51" s="21"/>
      <c r="TMS51" s="21"/>
      <c r="TMT51" s="21"/>
      <c r="TMU51" s="21"/>
      <c r="TMV51" s="21"/>
      <c r="TMW51" s="21"/>
      <c r="TMX51" s="21"/>
      <c r="TMY51" s="21"/>
      <c r="TMZ51" s="21"/>
      <c r="TNA51" s="21"/>
      <c r="TNB51" s="21"/>
      <c r="TNC51" s="21"/>
      <c r="TND51" s="21"/>
      <c r="TNE51" s="21"/>
      <c r="TNF51" s="21"/>
      <c r="TNG51" s="21"/>
      <c r="TNH51" s="21"/>
      <c r="TNI51" s="21"/>
      <c r="TNJ51" s="21"/>
      <c r="TNK51" s="21"/>
      <c r="TNL51" s="21"/>
      <c r="TNM51" s="21"/>
      <c r="TNN51" s="21"/>
      <c r="TNO51" s="21"/>
      <c r="TNP51" s="21"/>
      <c r="TNQ51" s="21"/>
      <c r="TNR51" s="21"/>
      <c r="TNS51" s="21"/>
      <c r="TNT51" s="21"/>
      <c r="TNU51" s="21"/>
      <c r="TNV51" s="21"/>
      <c r="TNW51" s="21"/>
      <c r="TNX51" s="21"/>
      <c r="TNY51" s="21"/>
      <c r="TNZ51" s="21"/>
      <c r="TOA51" s="21"/>
      <c r="TOB51" s="21"/>
      <c r="TOC51" s="21"/>
      <c r="TOD51" s="21"/>
      <c r="TOE51" s="21"/>
      <c r="TOF51" s="21"/>
      <c r="TOG51" s="21"/>
      <c r="TOH51" s="21"/>
      <c r="TOI51" s="21"/>
      <c r="TOJ51" s="21"/>
      <c r="TOK51" s="21"/>
      <c r="TOL51" s="21"/>
      <c r="TOM51" s="21"/>
      <c r="TON51" s="21"/>
      <c r="TOO51" s="21"/>
      <c r="TOP51" s="21"/>
      <c r="TOQ51" s="21"/>
      <c r="TOR51" s="21"/>
      <c r="TOS51" s="21"/>
      <c r="TOT51" s="21"/>
      <c r="TOU51" s="21"/>
      <c r="TOV51" s="21"/>
      <c r="TOW51" s="21"/>
      <c r="TOX51" s="21"/>
      <c r="TOY51" s="21"/>
      <c r="TOZ51" s="21"/>
      <c r="TPA51" s="21"/>
      <c r="TPB51" s="21"/>
      <c r="TPC51" s="21"/>
      <c r="TPD51" s="21"/>
      <c r="TPE51" s="21"/>
      <c r="TPF51" s="21"/>
      <c r="TPG51" s="21"/>
      <c r="TPH51" s="21"/>
      <c r="TPI51" s="21"/>
      <c r="TPJ51" s="21"/>
      <c r="TPK51" s="21"/>
      <c r="TPL51" s="21"/>
      <c r="TPM51" s="21"/>
      <c r="TPN51" s="21"/>
      <c r="TPO51" s="21"/>
      <c r="TPP51" s="21"/>
      <c r="TPQ51" s="21"/>
      <c r="TPR51" s="21"/>
      <c r="TPS51" s="21"/>
      <c r="TPT51" s="21"/>
      <c r="TPU51" s="21"/>
      <c r="TPV51" s="21"/>
      <c r="TPW51" s="21"/>
      <c r="TPX51" s="21"/>
      <c r="TPY51" s="21"/>
      <c r="TPZ51" s="21"/>
      <c r="TQA51" s="21"/>
      <c r="TQB51" s="21"/>
      <c r="TQC51" s="21"/>
      <c r="TQD51" s="21"/>
      <c r="TQE51" s="21"/>
      <c r="TQF51" s="21"/>
      <c r="TQG51" s="21"/>
      <c r="TQH51" s="21"/>
      <c r="TQI51" s="21"/>
      <c r="TQJ51" s="21"/>
      <c r="TQK51" s="21"/>
      <c r="TQL51" s="21"/>
      <c r="TQM51" s="21"/>
      <c r="TQN51" s="21"/>
      <c r="TQO51" s="21"/>
      <c r="TQP51" s="21"/>
      <c r="TQQ51" s="21"/>
      <c r="TQR51" s="21"/>
      <c r="TQS51" s="21"/>
      <c r="TQT51" s="21"/>
      <c r="TQU51" s="21"/>
      <c r="TQV51" s="21"/>
      <c r="TQW51" s="21"/>
      <c r="TQX51" s="21"/>
      <c r="TQY51" s="21"/>
      <c r="TQZ51" s="21"/>
      <c r="TRA51" s="21"/>
      <c r="TRB51" s="21"/>
      <c r="TRC51" s="21"/>
      <c r="TRD51" s="21"/>
      <c r="TRE51" s="21"/>
      <c r="TRF51" s="21"/>
      <c r="TRG51" s="21"/>
      <c r="TRH51" s="21"/>
      <c r="TRI51" s="21"/>
      <c r="TRJ51" s="21"/>
      <c r="TRK51" s="21"/>
      <c r="TRL51" s="21"/>
      <c r="TRM51" s="21"/>
      <c r="TRN51" s="21"/>
      <c r="TRO51" s="21"/>
      <c r="TRP51" s="21"/>
      <c r="TRQ51" s="21"/>
      <c r="TRR51" s="21"/>
      <c r="TRS51" s="21"/>
      <c r="TRT51" s="21"/>
      <c r="TRU51" s="21"/>
      <c r="TRV51" s="21"/>
      <c r="TRW51" s="21"/>
      <c r="TRX51" s="21"/>
      <c r="TRY51" s="21"/>
      <c r="TRZ51" s="21"/>
      <c r="TSA51" s="21"/>
      <c r="TSB51" s="21"/>
      <c r="TSC51" s="21"/>
      <c r="TSD51" s="21"/>
      <c r="TSE51" s="21"/>
      <c r="TSF51" s="21"/>
      <c r="TSG51" s="21"/>
      <c r="TSH51" s="21"/>
      <c r="TSI51" s="21"/>
      <c r="TSJ51" s="21"/>
      <c r="TSK51" s="21"/>
      <c r="TSL51" s="21"/>
      <c r="TSM51" s="21"/>
      <c r="TSN51" s="21"/>
      <c r="TSO51" s="21"/>
      <c r="TSP51" s="21"/>
      <c r="TSQ51" s="21"/>
      <c r="TSR51" s="21"/>
      <c r="TSS51" s="21"/>
      <c r="TST51" s="21"/>
      <c r="TSU51" s="21"/>
      <c r="TSV51" s="21"/>
      <c r="TSW51" s="21"/>
      <c r="TSX51" s="21"/>
      <c r="TSY51" s="21"/>
      <c r="TSZ51" s="21"/>
      <c r="TTA51" s="21"/>
      <c r="TTB51" s="21"/>
      <c r="TTC51" s="21"/>
      <c r="TTD51" s="21"/>
      <c r="TTE51" s="21"/>
      <c r="TTF51" s="21"/>
      <c r="TTG51" s="21"/>
      <c r="TTH51" s="21"/>
      <c r="TTI51" s="21"/>
      <c r="TTJ51" s="21"/>
      <c r="TTK51" s="21"/>
      <c r="TTL51" s="21"/>
      <c r="TTM51" s="21"/>
      <c r="TTN51" s="21"/>
      <c r="TTO51" s="21"/>
      <c r="TTP51" s="21"/>
      <c r="TTQ51" s="21"/>
      <c r="TTR51" s="21"/>
      <c r="TTS51" s="21"/>
      <c r="TTT51" s="21"/>
      <c r="TTU51" s="21"/>
      <c r="TTV51" s="21"/>
      <c r="TTW51" s="21"/>
      <c r="TTX51" s="21"/>
      <c r="TTY51" s="21"/>
      <c r="TTZ51" s="21"/>
      <c r="TUA51" s="21"/>
      <c r="TUB51" s="21"/>
      <c r="TUC51" s="21"/>
      <c r="TUD51" s="21"/>
      <c r="TUE51" s="21"/>
      <c r="TUF51" s="21"/>
      <c r="TUG51" s="21"/>
      <c r="TUH51" s="21"/>
      <c r="TUI51" s="21"/>
      <c r="TUJ51" s="21"/>
      <c r="TUK51" s="21"/>
      <c r="TUL51" s="21"/>
      <c r="TUM51" s="21"/>
      <c r="TUN51" s="21"/>
      <c r="TUO51" s="21"/>
      <c r="TUP51" s="21"/>
      <c r="TUQ51" s="21"/>
      <c r="TUR51" s="21"/>
      <c r="TUS51" s="21"/>
      <c r="TUT51" s="21"/>
      <c r="TUU51" s="21"/>
      <c r="TUV51" s="21"/>
      <c r="TUW51" s="21"/>
      <c r="TUX51" s="21"/>
      <c r="TUY51" s="21"/>
      <c r="TUZ51" s="21"/>
      <c r="TVA51" s="21"/>
      <c r="TVB51" s="21"/>
      <c r="TVC51" s="21"/>
      <c r="TVD51" s="21"/>
      <c r="TVE51" s="21"/>
      <c r="TVF51" s="21"/>
      <c r="TVG51" s="21"/>
      <c r="TVH51" s="21"/>
      <c r="TVI51" s="21"/>
      <c r="TVJ51" s="21"/>
      <c r="TVK51" s="21"/>
      <c r="TVL51" s="21"/>
      <c r="TVM51" s="21"/>
      <c r="TVN51" s="21"/>
      <c r="TVO51" s="21"/>
      <c r="TVP51" s="21"/>
      <c r="TVQ51" s="21"/>
      <c r="TVR51" s="21"/>
      <c r="TVS51" s="21"/>
      <c r="TVT51" s="21"/>
      <c r="TVU51" s="21"/>
      <c r="TVV51" s="21"/>
      <c r="TVW51" s="21"/>
      <c r="TVX51" s="21"/>
      <c r="TVY51" s="21"/>
      <c r="TVZ51" s="21"/>
      <c r="TWA51" s="21"/>
      <c r="TWB51" s="21"/>
      <c r="TWC51" s="21"/>
      <c r="TWD51" s="21"/>
      <c r="TWE51" s="21"/>
      <c r="TWF51" s="21"/>
      <c r="TWG51" s="21"/>
      <c r="TWH51" s="21"/>
      <c r="TWI51" s="21"/>
      <c r="TWJ51" s="21"/>
      <c r="TWK51" s="21"/>
      <c r="TWL51" s="21"/>
      <c r="TWM51" s="21"/>
      <c r="TWN51" s="21"/>
      <c r="TWO51" s="21"/>
      <c r="TWP51" s="21"/>
      <c r="TWQ51" s="21"/>
      <c r="TWR51" s="21"/>
      <c r="TWS51" s="21"/>
      <c r="TWT51" s="21"/>
      <c r="TWU51" s="21"/>
      <c r="TWV51" s="21"/>
      <c r="TWW51" s="21"/>
      <c r="TWX51" s="21"/>
      <c r="TWY51" s="21"/>
      <c r="TWZ51" s="21"/>
      <c r="TXA51" s="21"/>
      <c r="TXB51" s="21"/>
      <c r="TXC51" s="21"/>
      <c r="TXD51" s="21"/>
      <c r="TXE51" s="21"/>
      <c r="TXF51" s="21"/>
      <c r="TXG51" s="21"/>
      <c r="TXH51" s="21"/>
      <c r="TXI51" s="21"/>
      <c r="TXJ51" s="21"/>
      <c r="TXK51" s="21"/>
      <c r="TXL51" s="21"/>
      <c r="TXM51" s="21"/>
      <c r="TXN51" s="21"/>
      <c r="TXO51" s="21"/>
      <c r="TXP51" s="21"/>
      <c r="TXQ51" s="21"/>
      <c r="TXR51" s="21"/>
      <c r="TXS51" s="21"/>
      <c r="TXT51" s="21"/>
      <c r="TXU51" s="21"/>
      <c r="TXV51" s="21"/>
      <c r="TXW51" s="21"/>
      <c r="TXX51" s="21"/>
      <c r="TXY51" s="21"/>
      <c r="TXZ51" s="21"/>
      <c r="TYA51" s="21"/>
      <c r="TYB51" s="21"/>
      <c r="TYC51" s="21"/>
      <c r="TYD51" s="21"/>
      <c r="TYE51" s="21"/>
      <c r="TYF51" s="21"/>
      <c r="TYG51" s="21"/>
      <c r="TYH51" s="21"/>
      <c r="TYI51" s="21"/>
      <c r="TYJ51" s="21"/>
      <c r="TYK51" s="21"/>
      <c r="TYL51" s="21"/>
      <c r="TYM51" s="21"/>
      <c r="TYN51" s="21"/>
      <c r="TYO51" s="21"/>
      <c r="TYP51" s="21"/>
      <c r="TYQ51" s="21"/>
      <c r="TYR51" s="21"/>
      <c r="TYS51" s="21"/>
      <c r="TYT51" s="21"/>
      <c r="TYU51" s="21"/>
      <c r="TYV51" s="21"/>
      <c r="TYW51" s="21"/>
      <c r="TYX51" s="21"/>
      <c r="TYY51" s="21"/>
      <c r="TYZ51" s="21"/>
      <c r="TZA51" s="21"/>
      <c r="TZB51" s="21"/>
      <c r="TZC51" s="21"/>
      <c r="TZD51" s="21"/>
      <c r="TZE51" s="21"/>
      <c r="TZF51" s="21"/>
      <c r="TZG51" s="21"/>
      <c r="TZH51" s="21"/>
      <c r="TZI51" s="21"/>
      <c r="TZJ51" s="21"/>
      <c r="TZK51" s="21"/>
      <c r="TZL51" s="21"/>
      <c r="TZM51" s="21"/>
      <c r="TZN51" s="21"/>
      <c r="TZO51" s="21"/>
      <c r="TZP51" s="21"/>
      <c r="TZQ51" s="21"/>
      <c r="TZR51" s="21"/>
      <c r="TZS51" s="21"/>
      <c r="TZT51" s="21"/>
      <c r="TZU51" s="21"/>
      <c r="TZV51" s="21"/>
      <c r="TZW51" s="21"/>
      <c r="TZX51" s="21"/>
      <c r="TZY51" s="21"/>
      <c r="TZZ51" s="21"/>
      <c r="UAA51" s="21"/>
      <c r="UAB51" s="21"/>
      <c r="UAC51" s="21"/>
      <c r="UAD51" s="21"/>
      <c r="UAE51" s="21"/>
      <c r="UAF51" s="21"/>
      <c r="UAG51" s="21"/>
      <c r="UAH51" s="21"/>
      <c r="UAI51" s="21"/>
      <c r="UAJ51" s="21"/>
      <c r="UAK51" s="21"/>
      <c r="UAL51" s="21"/>
      <c r="UAM51" s="21"/>
      <c r="UAN51" s="21"/>
      <c r="UAO51" s="21"/>
      <c r="UAP51" s="21"/>
      <c r="UAQ51" s="21"/>
      <c r="UAR51" s="21"/>
      <c r="UAS51" s="21"/>
      <c r="UAT51" s="21"/>
      <c r="UAU51" s="21"/>
      <c r="UAV51" s="21"/>
      <c r="UAW51" s="21"/>
      <c r="UAX51" s="21"/>
      <c r="UAY51" s="21"/>
      <c r="UAZ51" s="21"/>
      <c r="UBA51" s="21"/>
      <c r="UBB51" s="21"/>
      <c r="UBC51" s="21"/>
      <c r="UBD51" s="21"/>
      <c r="UBE51" s="21"/>
      <c r="UBF51" s="21"/>
      <c r="UBG51" s="21"/>
      <c r="UBH51" s="21"/>
      <c r="UBI51" s="21"/>
      <c r="UBJ51" s="21"/>
      <c r="UBK51" s="21"/>
      <c r="UBL51" s="21"/>
      <c r="UBM51" s="21"/>
      <c r="UBN51" s="21"/>
      <c r="UBO51" s="21"/>
      <c r="UBP51" s="21"/>
      <c r="UBQ51" s="21"/>
      <c r="UBR51" s="21"/>
      <c r="UBS51" s="21"/>
      <c r="UBT51" s="21"/>
      <c r="UBU51" s="21"/>
      <c r="UBV51" s="21"/>
      <c r="UBW51" s="21"/>
      <c r="UBX51" s="21"/>
      <c r="UBY51" s="21"/>
      <c r="UBZ51" s="21"/>
      <c r="UCA51" s="21"/>
      <c r="UCB51" s="21"/>
      <c r="UCC51" s="21"/>
      <c r="UCD51" s="21"/>
      <c r="UCE51" s="21"/>
      <c r="UCF51" s="21"/>
      <c r="UCG51" s="21"/>
      <c r="UCH51" s="21"/>
      <c r="UCI51" s="21"/>
      <c r="UCJ51" s="21"/>
      <c r="UCK51" s="21"/>
      <c r="UCL51" s="21"/>
      <c r="UCM51" s="21"/>
      <c r="UCN51" s="21"/>
      <c r="UCO51" s="21"/>
      <c r="UCP51" s="21"/>
      <c r="UCQ51" s="21"/>
      <c r="UCR51" s="21"/>
      <c r="UCS51" s="21"/>
      <c r="UCT51" s="21"/>
      <c r="UCU51" s="21"/>
      <c r="UCV51" s="21"/>
      <c r="UCW51" s="21"/>
      <c r="UCX51" s="21"/>
      <c r="UCY51" s="21"/>
      <c r="UCZ51" s="21"/>
      <c r="UDA51" s="21"/>
      <c r="UDB51" s="21"/>
      <c r="UDC51" s="21"/>
      <c r="UDD51" s="21"/>
      <c r="UDE51" s="21"/>
      <c r="UDF51" s="21"/>
      <c r="UDG51" s="21"/>
      <c r="UDH51" s="21"/>
      <c r="UDI51" s="21"/>
      <c r="UDJ51" s="21"/>
      <c r="UDK51" s="21"/>
      <c r="UDL51" s="21"/>
      <c r="UDM51" s="21"/>
      <c r="UDN51" s="21"/>
      <c r="UDO51" s="21"/>
      <c r="UDP51" s="21"/>
      <c r="UDQ51" s="21"/>
      <c r="UDR51" s="21"/>
      <c r="UDS51" s="21"/>
      <c r="UDT51" s="21"/>
      <c r="UDU51" s="21"/>
      <c r="UDV51" s="21"/>
      <c r="UDW51" s="21"/>
      <c r="UDX51" s="21"/>
      <c r="UDY51" s="21"/>
      <c r="UDZ51" s="21"/>
      <c r="UEA51" s="21"/>
      <c r="UEB51" s="21"/>
      <c r="UEC51" s="21"/>
      <c r="UED51" s="21"/>
      <c r="UEE51" s="21"/>
      <c r="UEF51" s="21"/>
      <c r="UEG51" s="21"/>
      <c r="UEH51" s="21"/>
      <c r="UEI51" s="21"/>
      <c r="UEJ51" s="21"/>
      <c r="UEK51" s="21"/>
      <c r="UEL51" s="21"/>
      <c r="UEM51" s="21"/>
      <c r="UEN51" s="21"/>
      <c r="UEO51" s="21"/>
      <c r="UEP51" s="21"/>
      <c r="UEQ51" s="21"/>
      <c r="UER51" s="21"/>
      <c r="UES51" s="21"/>
      <c r="UET51" s="21"/>
      <c r="UEU51" s="21"/>
      <c r="UEV51" s="21"/>
      <c r="UEW51" s="21"/>
      <c r="UEX51" s="21"/>
      <c r="UEY51" s="21"/>
      <c r="UEZ51" s="21"/>
      <c r="UFA51" s="21"/>
      <c r="UFB51" s="21"/>
      <c r="UFC51" s="21"/>
      <c r="UFD51" s="21"/>
      <c r="UFE51" s="21"/>
      <c r="UFF51" s="21"/>
      <c r="UFG51" s="21"/>
      <c r="UFH51" s="21"/>
      <c r="UFI51" s="21"/>
      <c r="UFJ51" s="21"/>
      <c r="UFK51" s="21"/>
      <c r="UFL51" s="21"/>
      <c r="UFM51" s="21"/>
      <c r="UFN51" s="21"/>
      <c r="UFO51" s="21"/>
      <c r="UFP51" s="21"/>
      <c r="UFQ51" s="21"/>
      <c r="UFR51" s="21"/>
      <c r="UFS51" s="21"/>
      <c r="UFT51" s="21"/>
      <c r="UFU51" s="21"/>
      <c r="UFV51" s="21"/>
      <c r="UFW51" s="21"/>
      <c r="UFX51" s="21"/>
      <c r="UFY51" s="21"/>
      <c r="UFZ51" s="21"/>
      <c r="UGA51" s="21"/>
      <c r="UGB51" s="21"/>
      <c r="UGC51" s="21"/>
      <c r="UGD51" s="21"/>
      <c r="UGE51" s="21"/>
      <c r="UGF51" s="21"/>
      <c r="UGG51" s="21"/>
      <c r="UGH51" s="21"/>
      <c r="UGI51" s="21"/>
      <c r="UGJ51" s="21"/>
      <c r="UGK51" s="21"/>
      <c r="UGL51" s="21"/>
      <c r="UGM51" s="21"/>
      <c r="UGN51" s="21"/>
      <c r="UGO51" s="21"/>
      <c r="UGP51" s="21"/>
      <c r="UGQ51" s="21"/>
      <c r="UGR51" s="21"/>
      <c r="UGS51" s="21"/>
      <c r="UGT51" s="21"/>
      <c r="UGU51" s="21"/>
      <c r="UGV51" s="21"/>
      <c r="UGW51" s="21"/>
      <c r="UGX51" s="21"/>
      <c r="UGY51" s="21"/>
      <c r="UGZ51" s="21"/>
      <c r="UHA51" s="21"/>
      <c r="UHB51" s="21"/>
      <c r="UHC51" s="21"/>
      <c r="UHD51" s="21"/>
      <c r="UHE51" s="21"/>
      <c r="UHF51" s="21"/>
      <c r="UHG51" s="21"/>
      <c r="UHH51" s="21"/>
      <c r="UHI51" s="21"/>
      <c r="UHJ51" s="21"/>
      <c r="UHK51" s="21"/>
      <c r="UHL51" s="21"/>
      <c r="UHM51" s="21"/>
      <c r="UHN51" s="21"/>
      <c r="UHO51" s="21"/>
      <c r="UHP51" s="21"/>
      <c r="UHQ51" s="21"/>
      <c r="UHR51" s="21"/>
      <c r="UHS51" s="21"/>
      <c r="UHT51" s="21"/>
      <c r="UHU51" s="21"/>
      <c r="UHV51" s="21"/>
      <c r="UHW51" s="21"/>
      <c r="UHX51" s="21"/>
      <c r="UHY51" s="21"/>
      <c r="UHZ51" s="21"/>
      <c r="UIA51" s="21"/>
      <c r="UIB51" s="21"/>
      <c r="UIC51" s="21"/>
      <c r="UID51" s="21"/>
      <c r="UIE51" s="21"/>
      <c r="UIF51" s="21"/>
      <c r="UIG51" s="21"/>
      <c r="UIH51" s="21"/>
      <c r="UII51" s="21"/>
      <c r="UIJ51" s="21"/>
      <c r="UIK51" s="21"/>
      <c r="UIL51" s="21"/>
      <c r="UIM51" s="21"/>
      <c r="UIN51" s="21"/>
      <c r="UIO51" s="21"/>
      <c r="UIP51" s="21"/>
      <c r="UIQ51" s="21"/>
      <c r="UIR51" s="21"/>
      <c r="UIS51" s="21"/>
      <c r="UIT51" s="21"/>
      <c r="UIU51" s="21"/>
      <c r="UIV51" s="21"/>
      <c r="UIW51" s="21"/>
      <c r="UIX51" s="21"/>
      <c r="UIY51" s="21"/>
      <c r="UIZ51" s="21"/>
      <c r="UJA51" s="21"/>
      <c r="UJB51" s="21"/>
      <c r="UJC51" s="21"/>
      <c r="UJD51" s="21"/>
      <c r="UJE51" s="21"/>
      <c r="UJF51" s="21"/>
      <c r="UJG51" s="21"/>
      <c r="UJH51" s="21"/>
      <c r="UJI51" s="21"/>
      <c r="UJJ51" s="21"/>
      <c r="UJK51" s="21"/>
      <c r="UJL51" s="21"/>
      <c r="UJM51" s="21"/>
      <c r="UJN51" s="21"/>
      <c r="UJO51" s="21"/>
      <c r="UJP51" s="21"/>
      <c r="UJQ51" s="21"/>
      <c r="UJR51" s="21"/>
      <c r="UJS51" s="21"/>
      <c r="UJT51" s="21"/>
      <c r="UJU51" s="21"/>
      <c r="UJV51" s="21"/>
      <c r="UJW51" s="21"/>
      <c r="UJX51" s="21"/>
      <c r="UJY51" s="21"/>
      <c r="UJZ51" s="21"/>
      <c r="UKA51" s="21"/>
      <c r="UKB51" s="21"/>
      <c r="UKC51" s="21"/>
      <c r="UKD51" s="21"/>
      <c r="UKE51" s="21"/>
      <c r="UKF51" s="21"/>
      <c r="UKG51" s="21"/>
      <c r="UKH51" s="21"/>
      <c r="UKI51" s="21"/>
      <c r="UKJ51" s="21"/>
      <c r="UKK51" s="21"/>
      <c r="UKL51" s="21"/>
      <c r="UKM51" s="21"/>
      <c r="UKN51" s="21"/>
      <c r="UKO51" s="21"/>
      <c r="UKP51" s="21"/>
      <c r="UKQ51" s="21"/>
      <c r="UKR51" s="21"/>
      <c r="UKS51" s="21"/>
      <c r="UKT51" s="21"/>
      <c r="UKU51" s="21"/>
      <c r="UKV51" s="21"/>
      <c r="UKW51" s="21"/>
      <c r="UKX51" s="21"/>
      <c r="UKY51" s="21"/>
      <c r="UKZ51" s="21"/>
      <c r="ULA51" s="21"/>
      <c r="ULB51" s="21"/>
      <c r="ULC51" s="21"/>
      <c r="ULD51" s="21"/>
      <c r="ULE51" s="21"/>
      <c r="ULF51" s="21"/>
      <c r="ULG51" s="21"/>
      <c r="ULH51" s="21"/>
      <c r="ULI51" s="21"/>
      <c r="ULJ51" s="21"/>
      <c r="ULK51" s="21"/>
      <c r="ULL51" s="21"/>
      <c r="ULM51" s="21"/>
      <c r="ULN51" s="21"/>
      <c r="ULO51" s="21"/>
      <c r="ULP51" s="21"/>
      <c r="ULQ51" s="21"/>
      <c r="ULR51" s="21"/>
      <c r="ULS51" s="21"/>
      <c r="ULT51" s="21"/>
      <c r="ULU51" s="21"/>
      <c r="ULV51" s="21"/>
      <c r="ULW51" s="21"/>
      <c r="ULX51" s="21"/>
      <c r="ULY51" s="21"/>
      <c r="ULZ51" s="21"/>
      <c r="UMA51" s="21"/>
      <c r="UMB51" s="21"/>
      <c r="UMC51" s="21"/>
      <c r="UMD51" s="21"/>
      <c r="UME51" s="21"/>
      <c r="UMF51" s="21"/>
      <c r="UMG51" s="21"/>
      <c r="UMH51" s="21"/>
      <c r="UMI51" s="21"/>
      <c r="UMJ51" s="21"/>
      <c r="UMK51" s="21"/>
      <c r="UML51" s="21"/>
      <c r="UMM51" s="21"/>
      <c r="UMN51" s="21"/>
      <c r="UMO51" s="21"/>
      <c r="UMP51" s="21"/>
      <c r="UMQ51" s="21"/>
      <c r="UMR51" s="21"/>
      <c r="UMS51" s="21"/>
      <c r="UMT51" s="21"/>
      <c r="UMU51" s="21"/>
      <c r="UMV51" s="21"/>
      <c r="UMW51" s="21"/>
      <c r="UMX51" s="21"/>
      <c r="UMY51" s="21"/>
      <c r="UMZ51" s="21"/>
      <c r="UNA51" s="21"/>
      <c r="UNB51" s="21"/>
      <c r="UNC51" s="21"/>
      <c r="UND51" s="21"/>
      <c r="UNE51" s="21"/>
      <c r="UNF51" s="21"/>
      <c r="UNG51" s="21"/>
      <c r="UNH51" s="21"/>
      <c r="UNI51" s="21"/>
      <c r="UNJ51" s="21"/>
      <c r="UNK51" s="21"/>
      <c r="UNL51" s="21"/>
      <c r="UNM51" s="21"/>
      <c r="UNN51" s="21"/>
      <c r="UNO51" s="21"/>
      <c r="UNP51" s="21"/>
      <c r="UNQ51" s="21"/>
      <c r="UNR51" s="21"/>
      <c r="UNS51" s="21"/>
      <c r="UNT51" s="21"/>
      <c r="UNU51" s="21"/>
      <c r="UNV51" s="21"/>
      <c r="UNW51" s="21"/>
      <c r="UNX51" s="21"/>
      <c r="UNY51" s="21"/>
      <c r="UNZ51" s="21"/>
      <c r="UOA51" s="21"/>
      <c r="UOB51" s="21"/>
      <c r="UOC51" s="21"/>
      <c r="UOD51" s="21"/>
      <c r="UOE51" s="21"/>
      <c r="UOF51" s="21"/>
      <c r="UOG51" s="21"/>
      <c r="UOH51" s="21"/>
      <c r="UOI51" s="21"/>
      <c r="UOJ51" s="21"/>
      <c r="UOK51" s="21"/>
      <c r="UOL51" s="21"/>
      <c r="UOM51" s="21"/>
      <c r="UON51" s="21"/>
      <c r="UOO51" s="21"/>
      <c r="UOP51" s="21"/>
      <c r="UOQ51" s="21"/>
      <c r="UOR51" s="21"/>
      <c r="UOS51" s="21"/>
      <c r="UOT51" s="21"/>
      <c r="UOU51" s="21"/>
      <c r="UOV51" s="21"/>
      <c r="UOW51" s="21"/>
      <c r="UOX51" s="21"/>
      <c r="UOY51" s="21"/>
      <c r="UOZ51" s="21"/>
      <c r="UPA51" s="21"/>
      <c r="UPB51" s="21"/>
      <c r="UPC51" s="21"/>
      <c r="UPD51" s="21"/>
      <c r="UPE51" s="21"/>
      <c r="UPF51" s="21"/>
      <c r="UPG51" s="21"/>
      <c r="UPH51" s="21"/>
      <c r="UPI51" s="21"/>
      <c r="UPJ51" s="21"/>
      <c r="UPK51" s="21"/>
      <c r="UPL51" s="21"/>
      <c r="UPM51" s="21"/>
      <c r="UPN51" s="21"/>
      <c r="UPO51" s="21"/>
      <c r="UPP51" s="21"/>
      <c r="UPQ51" s="21"/>
      <c r="UPR51" s="21"/>
      <c r="UPS51" s="21"/>
      <c r="UPT51" s="21"/>
      <c r="UPU51" s="21"/>
      <c r="UPV51" s="21"/>
      <c r="UPW51" s="21"/>
      <c r="UPX51" s="21"/>
      <c r="UPY51" s="21"/>
      <c r="UPZ51" s="21"/>
      <c r="UQA51" s="21"/>
      <c r="UQB51" s="21"/>
      <c r="UQC51" s="21"/>
      <c r="UQD51" s="21"/>
      <c r="UQE51" s="21"/>
      <c r="UQF51" s="21"/>
      <c r="UQG51" s="21"/>
      <c r="UQH51" s="21"/>
      <c r="UQI51" s="21"/>
      <c r="UQJ51" s="21"/>
      <c r="UQK51" s="21"/>
      <c r="UQL51" s="21"/>
      <c r="UQM51" s="21"/>
      <c r="UQN51" s="21"/>
      <c r="UQO51" s="21"/>
      <c r="UQP51" s="21"/>
      <c r="UQQ51" s="21"/>
      <c r="UQR51" s="21"/>
      <c r="UQS51" s="21"/>
      <c r="UQT51" s="21"/>
      <c r="UQU51" s="21"/>
      <c r="UQV51" s="21"/>
      <c r="UQW51" s="21"/>
      <c r="UQX51" s="21"/>
      <c r="UQY51" s="21"/>
      <c r="UQZ51" s="21"/>
      <c r="URA51" s="21"/>
      <c r="URB51" s="21"/>
      <c r="URC51" s="21"/>
      <c r="URD51" s="21"/>
      <c r="URE51" s="21"/>
      <c r="URF51" s="21"/>
      <c r="URG51" s="21"/>
      <c r="URH51" s="21"/>
      <c r="URI51" s="21"/>
      <c r="URJ51" s="21"/>
      <c r="URK51" s="21"/>
      <c r="URL51" s="21"/>
      <c r="URM51" s="21"/>
      <c r="URN51" s="21"/>
      <c r="URO51" s="21"/>
      <c r="URP51" s="21"/>
      <c r="URQ51" s="21"/>
      <c r="URR51" s="21"/>
      <c r="URS51" s="21"/>
      <c r="URT51" s="21"/>
      <c r="URU51" s="21"/>
      <c r="URV51" s="21"/>
      <c r="URW51" s="21"/>
      <c r="URX51" s="21"/>
      <c r="URY51" s="21"/>
      <c r="URZ51" s="21"/>
      <c r="USA51" s="21"/>
      <c r="USB51" s="21"/>
      <c r="USC51" s="21"/>
      <c r="USD51" s="21"/>
      <c r="USE51" s="21"/>
      <c r="USF51" s="21"/>
      <c r="USG51" s="21"/>
      <c r="USH51" s="21"/>
      <c r="USI51" s="21"/>
      <c r="USJ51" s="21"/>
      <c r="USK51" s="21"/>
      <c r="USL51" s="21"/>
      <c r="USM51" s="21"/>
      <c r="USN51" s="21"/>
      <c r="USO51" s="21"/>
      <c r="USP51" s="21"/>
      <c r="USQ51" s="21"/>
      <c r="USR51" s="21"/>
      <c r="USS51" s="21"/>
      <c r="UST51" s="21"/>
      <c r="USU51" s="21"/>
      <c r="USV51" s="21"/>
      <c r="USW51" s="21"/>
      <c r="USX51" s="21"/>
      <c r="USY51" s="21"/>
      <c r="USZ51" s="21"/>
      <c r="UTA51" s="21"/>
      <c r="UTB51" s="21"/>
      <c r="UTC51" s="21"/>
      <c r="UTD51" s="21"/>
      <c r="UTE51" s="21"/>
      <c r="UTF51" s="21"/>
      <c r="UTG51" s="21"/>
      <c r="UTH51" s="21"/>
      <c r="UTI51" s="21"/>
      <c r="UTJ51" s="21"/>
      <c r="UTK51" s="21"/>
      <c r="UTL51" s="21"/>
      <c r="UTM51" s="21"/>
      <c r="UTN51" s="21"/>
      <c r="UTO51" s="21"/>
      <c r="UTP51" s="21"/>
      <c r="UTQ51" s="21"/>
      <c r="UTR51" s="21"/>
      <c r="UTS51" s="21"/>
      <c r="UTT51" s="21"/>
      <c r="UTU51" s="21"/>
      <c r="UTV51" s="21"/>
      <c r="UTW51" s="21"/>
      <c r="UTX51" s="21"/>
      <c r="UTY51" s="21"/>
      <c r="UTZ51" s="21"/>
      <c r="UUA51" s="21"/>
      <c r="UUB51" s="21"/>
      <c r="UUC51" s="21"/>
      <c r="UUD51" s="21"/>
      <c r="UUE51" s="21"/>
      <c r="UUF51" s="21"/>
      <c r="UUG51" s="21"/>
      <c r="UUH51" s="21"/>
      <c r="UUI51" s="21"/>
      <c r="UUJ51" s="21"/>
      <c r="UUK51" s="21"/>
      <c r="UUL51" s="21"/>
      <c r="UUM51" s="21"/>
      <c r="UUN51" s="21"/>
      <c r="UUO51" s="21"/>
      <c r="UUP51" s="21"/>
      <c r="UUQ51" s="21"/>
      <c r="UUR51" s="21"/>
      <c r="UUS51" s="21"/>
      <c r="UUT51" s="21"/>
      <c r="UUU51" s="21"/>
      <c r="UUV51" s="21"/>
      <c r="UUW51" s="21"/>
      <c r="UUX51" s="21"/>
      <c r="UUY51" s="21"/>
      <c r="UUZ51" s="21"/>
      <c r="UVA51" s="21"/>
      <c r="UVB51" s="21"/>
      <c r="UVC51" s="21"/>
      <c r="UVD51" s="21"/>
      <c r="UVE51" s="21"/>
      <c r="UVF51" s="21"/>
      <c r="UVG51" s="21"/>
      <c r="UVH51" s="21"/>
      <c r="UVI51" s="21"/>
      <c r="UVJ51" s="21"/>
      <c r="UVK51" s="21"/>
      <c r="UVL51" s="21"/>
      <c r="UVM51" s="21"/>
      <c r="UVN51" s="21"/>
      <c r="UVO51" s="21"/>
      <c r="UVP51" s="21"/>
      <c r="UVQ51" s="21"/>
      <c r="UVR51" s="21"/>
      <c r="UVS51" s="21"/>
      <c r="UVT51" s="21"/>
      <c r="UVU51" s="21"/>
      <c r="UVV51" s="21"/>
      <c r="UVW51" s="21"/>
      <c r="UVX51" s="21"/>
      <c r="UVY51" s="21"/>
      <c r="UVZ51" s="21"/>
      <c r="UWA51" s="21"/>
      <c r="UWB51" s="21"/>
      <c r="UWC51" s="21"/>
      <c r="UWD51" s="21"/>
      <c r="UWE51" s="21"/>
      <c r="UWF51" s="21"/>
      <c r="UWG51" s="21"/>
      <c r="UWH51" s="21"/>
      <c r="UWI51" s="21"/>
      <c r="UWJ51" s="21"/>
      <c r="UWK51" s="21"/>
      <c r="UWL51" s="21"/>
      <c r="UWM51" s="21"/>
      <c r="UWN51" s="21"/>
      <c r="UWO51" s="21"/>
      <c r="UWP51" s="21"/>
      <c r="UWQ51" s="21"/>
      <c r="UWR51" s="21"/>
      <c r="UWS51" s="21"/>
      <c r="UWT51" s="21"/>
      <c r="UWU51" s="21"/>
      <c r="UWV51" s="21"/>
      <c r="UWW51" s="21"/>
      <c r="UWX51" s="21"/>
      <c r="UWY51" s="21"/>
      <c r="UWZ51" s="21"/>
      <c r="UXA51" s="21"/>
      <c r="UXB51" s="21"/>
      <c r="UXC51" s="21"/>
      <c r="UXD51" s="21"/>
      <c r="UXE51" s="21"/>
      <c r="UXF51" s="21"/>
      <c r="UXG51" s="21"/>
      <c r="UXH51" s="21"/>
      <c r="UXI51" s="21"/>
      <c r="UXJ51" s="21"/>
      <c r="UXK51" s="21"/>
      <c r="UXL51" s="21"/>
      <c r="UXM51" s="21"/>
      <c r="UXN51" s="21"/>
      <c r="UXO51" s="21"/>
      <c r="UXP51" s="21"/>
      <c r="UXQ51" s="21"/>
      <c r="UXR51" s="21"/>
      <c r="UXS51" s="21"/>
      <c r="UXT51" s="21"/>
      <c r="UXU51" s="21"/>
      <c r="UXV51" s="21"/>
      <c r="UXW51" s="21"/>
      <c r="UXX51" s="21"/>
      <c r="UXY51" s="21"/>
      <c r="UXZ51" s="21"/>
      <c r="UYA51" s="21"/>
      <c r="UYB51" s="21"/>
      <c r="UYC51" s="21"/>
      <c r="UYD51" s="21"/>
      <c r="UYE51" s="21"/>
      <c r="UYF51" s="21"/>
      <c r="UYG51" s="21"/>
      <c r="UYH51" s="21"/>
      <c r="UYI51" s="21"/>
      <c r="UYJ51" s="21"/>
      <c r="UYK51" s="21"/>
      <c r="UYL51" s="21"/>
      <c r="UYM51" s="21"/>
      <c r="UYN51" s="21"/>
      <c r="UYO51" s="21"/>
      <c r="UYP51" s="21"/>
      <c r="UYQ51" s="21"/>
      <c r="UYR51" s="21"/>
      <c r="UYS51" s="21"/>
      <c r="UYT51" s="21"/>
      <c r="UYU51" s="21"/>
      <c r="UYV51" s="21"/>
      <c r="UYW51" s="21"/>
      <c r="UYX51" s="21"/>
      <c r="UYY51" s="21"/>
      <c r="UYZ51" s="21"/>
      <c r="UZA51" s="21"/>
      <c r="UZB51" s="21"/>
      <c r="UZC51" s="21"/>
      <c r="UZD51" s="21"/>
      <c r="UZE51" s="21"/>
      <c r="UZF51" s="21"/>
      <c r="UZG51" s="21"/>
      <c r="UZH51" s="21"/>
      <c r="UZI51" s="21"/>
      <c r="UZJ51" s="21"/>
      <c r="UZK51" s="21"/>
      <c r="UZL51" s="21"/>
      <c r="UZM51" s="21"/>
      <c r="UZN51" s="21"/>
      <c r="UZO51" s="21"/>
      <c r="UZP51" s="21"/>
      <c r="UZQ51" s="21"/>
      <c r="UZR51" s="21"/>
      <c r="UZS51" s="21"/>
      <c r="UZT51" s="21"/>
      <c r="UZU51" s="21"/>
      <c r="UZV51" s="21"/>
      <c r="UZW51" s="21"/>
      <c r="UZX51" s="21"/>
      <c r="UZY51" s="21"/>
      <c r="UZZ51" s="21"/>
      <c r="VAA51" s="21"/>
      <c r="VAB51" s="21"/>
      <c r="VAC51" s="21"/>
      <c r="VAD51" s="21"/>
      <c r="VAE51" s="21"/>
      <c r="VAF51" s="21"/>
      <c r="VAG51" s="21"/>
      <c r="VAH51" s="21"/>
      <c r="VAI51" s="21"/>
      <c r="VAJ51" s="21"/>
      <c r="VAK51" s="21"/>
      <c r="VAL51" s="21"/>
      <c r="VAM51" s="21"/>
      <c r="VAN51" s="21"/>
      <c r="VAO51" s="21"/>
      <c r="VAP51" s="21"/>
      <c r="VAQ51" s="21"/>
      <c r="VAR51" s="21"/>
      <c r="VAS51" s="21"/>
      <c r="VAT51" s="21"/>
      <c r="VAU51" s="21"/>
      <c r="VAV51" s="21"/>
      <c r="VAW51" s="21"/>
      <c r="VAX51" s="21"/>
      <c r="VAY51" s="21"/>
      <c r="VAZ51" s="21"/>
      <c r="VBA51" s="21"/>
      <c r="VBB51" s="21"/>
      <c r="VBC51" s="21"/>
      <c r="VBD51" s="21"/>
      <c r="VBE51" s="21"/>
      <c r="VBF51" s="21"/>
      <c r="VBG51" s="21"/>
      <c r="VBH51" s="21"/>
      <c r="VBI51" s="21"/>
      <c r="VBJ51" s="21"/>
      <c r="VBK51" s="21"/>
      <c r="VBL51" s="21"/>
      <c r="VBM51" s="21"/>
      <c r="VBN51" s="21"/>
      <c r="VBO51" s="21"/>
      <c r="VBP51" s="21"/>
      <c r="VBQ51" s="21"/>
      <c r="VBR51" s="21"/>
      <c r="VBS51" s="21"/>
      <c r="VBT51" s="21"/>
      <c r="VBU51" s="21"/>
      <c r="VBV51" s="21"/>
      <c r="VBW51" s="21"/>
      <c r="VBX51" s="21"/>
      <c r="VBY51" s="21"/>
      <c r="VBZ51" s="21"/>
      <c r="VCA51" s="21"/>
      <c r="VCB51" s="21"/>
      <c r="VCC51" s="21"/>
      <c r="VCD51" s="21"/>
      <c r="VCE51" s="21"/>
      <c r="VCF51" s="21"/>
      <c r="VCG51" s="21"/>
      <c r="VCH51" s="21"/>
      <c r="VCI51" s="21"/>
      <c r="VCJ51" s="21"/>
      <c r="VCK51" s="21"/>
      <c r="VCL51" s="21"/>
      <c r="VCM51" s="21"/>
      <c r="VCN51" s="21"/>
      <c r="VCO51" s="21"/>
      <c r="VCP51" s="21"/>
      <c r="VCQ51" s="21"/>
      <c r="VCR51" s="21"/>
      <c r="VCS51" s="21"/>
      <c r="VCT51" s="21"/>
      <c r="VCU51" s="21"/>
      <c r="VCV51" s="21"/>
      <c r="VCW51" s="21"/>
      <c r="VCX51" s="21"/>
      <c r="VCY51" s="21"/>
      <c r="VCZ51" s="21"/>
      <c r="VDA51" s="21"/>
      <c r="VDB51" s="21"/>
      <c r="VDC51" s="21"/>
      <c r="VDD51" s="21"/>
      <c r="VDE51" s="21"/>
      <c r="VDF51" s="21"/>
      <c r="VDG51" s="21"/>
      <c r="VDH51" s="21"/>
      <c r="VDI51" s="21"/>
      <c r="VDJ51" s="21"/>
      <c r="VDK51" s="21"/>
      <c r="VDL51" s="21"/>
      <c r="VDM51" s="21"/>
      <c r="VDN51" s="21"/>
      <c r="VDO51" s="21"/>
      <c r="VDP51" s="21"/>
      <c r="VDQ51" s="21"/>
      <c r="VDR51" s="21"/>
      <c r="VDS51" s="21"/>
      <c r="VDT51" s="21"/>
      <c r="VDU51" s="21"/>
      <c r="VDV51" s="21"/>
      <c r="VDW51" s="21"/>
      <c r="VDX51" s="21"/>
      <c r="VDY51" s="21"/>
      <c r="VDZ51" s="21"/>
      <c r="VEA51" s="21"/>
      <c r="VEB51" s="21"/>
      <c r="VEC51" s="21"/>
      <c r="VED51" s="21"/>
      <c r="VEE51" s="21"/>
      <c r="VEF51" s="21"/>
      <c r="VEG51" s="21"/>
      <c r="VEH51" s="21"/>
      <c r="VEI51" s="21"/>
      <c r="VEJ51" s="21"/>
      <c r="VEK51" s="21"/>
      <c r="VEL51" s="21"/>
      <c r="VEM51" s="21"/>
      <c r="VEN51" s="21"/>
      <c r="VEO51" s="21"/>
      <c r="VEP51" s="21"/>
      <c r="VEQ51" s="21"/>
      <c r="VER51" s="21"/>
      <c r="VES51" s="21"/>
      <c r="VET51" s="21"/>
      <c r="VEU51" s="21"/>
      <c r="VEV51" s="21"/>
      <c r="VEW51" s="21"/>
      <c r="VEX51" s="21"/>
      <c r="VEY51" s="21"/>
      <c r="VEZ51" s="21"/>
      <c r="VFA51" s="21"/>
      <c r="VFB51" s="21"/>
      <c r="VFC51" s="21"/>
      <c r="VFD51" s="21"/>
      <c r="VFE51" s="21"/>
      <c r="VFF51" s="21"/>
      <c r="VFG51" s="21"/>
      <c r="VFH51" s="21"/>
      <c r="VFI51" s="21"/>
      <c r="VFJ51" s="21"/>
      <c r="VFK51" s="21"/>
      <c r="VFL51" s="21"/>
      <c r="VFM51" s="21"/>
      <c r="VFN51" s="21"/>
      <c r="VFO51" s="21"/>
      <c r="VFP51" s="21"/>
      <c r="VFQ51" s="21"/>
      <c r="VFR51" s="21"/>
      <c r="VFS51" s="21"/>
      <c r="VFT51" s="21"/>
      <c r="VFU51" s="21"/>
      <c r="VFV51" s="21"/>
      <c r="VFW51" s="21"/>
      <c r="VFX51" s="21"/>
      <c r="VFY51" s="21"/>
      <c r="VFZ51" s="21"/>
      <c r="VGA51" s="21"/>
      <c r="VGB51" s="21"/>
      <c r="VGC51" s="21"/>
      <c r="VGD51" s="21"/>
      <c r="VGE51" s="21"/>
      <c r="VGF51" s="21"/>
      <c r="VGG51" s="21"/>
      <c r="VGH51" s="21"/>
      <c r="VGI51" s="21"/>
      <c r="VGJ51" s="21"/>
      <c r="VGK51" s="21"/>
      <c r="VGL51" s="21"/>
      <c r="VGM51" s="21"/>
      <c r="VGN51" s="21"/>
      <c r="VGO51" s="21"/>
      <c r="VGP51" s="21"/>
      <c r="VGQ51" s="21"/>
      <c r="VGR51" s="21"/>
      <c r="VGS51" s="21"/>
      <c r="VGT51" s="21"/>
      <c r="VGU51" s="21"/>
      <c r="VGV51" s="21"/>
      <c r="VGW51" s="21"/>
      <c r="VGX51" s="21"/>
      <c r="VGY51" s="21"/>
      <c r="VGZ51" s="21"/>
      <c r="VHA51" s="21"/>
      <c r="VHB51" s="21"/>
      <c r="VHC51" s="21"/>
      <c r="VHD51" s="21"/>
      <c r="VHE51" s="21"/>
      <c r="VHF51" s="21"/>
      <c r="VHG51" s="21"/>
      <c r="VHH51" s="21"/>
      <c r="VHI51" s="21"/>
      <c r="VHJ51" s="21"/>
      <c r="VHK51" s="21"/>
      <c r="VHL51" s="21"/>
      <c r="VHM51" s="21"/>
      <c r="VHN51" s="21"/>
      <c r="VHO51" s="21"/>
      <c r="VHP51" s="21"/>
      <c r="VHQ51" s="21"/>
      <c r="VHR51" s="21"/>
      <c r="VHS51" s="21"/>
      <c r="VHT51" s="21"/>
      <c r="VHU51" s="21"/>
      <c r="VHV51" s="21"/>
      <c r="VHW51" s="21"/>
      <c r="VHX51" s="21"/>
      <c r="VHY51" s="21"/>
      <c r="VHZ51" s="21"/>
      <c r="VIA51" s="21"/>
      <c r="VIB51" s="21"/>
      <c r="VIC51" s="21"/>
      <c r="VID51" s="21"/>
      <c r="VIE51" s="21"/>
      <c r="VIF51" s="21"/>
      <c r="VIG51" s="21"/>
      <c r="VIH51" s="21"/>
      <c r="VII51" s="21"/>
      <c r="VIJ51" s="21"/>
      <c r="VIK51" s="21"/>
      <c r="VIL51" s="21"/>
      <c r="VIM51" s="21"/>
      <c r="VIN51" s="21"/>
      <c r="VIO51" s="21"/>
      <c r="VIP51" s="21"/>
      <c r="VIQ51" s="21"/>
      <c r="VIR51" s="21"/>
      <c r="VIS51" s="21"/>
      <c r="VIT51" s="21"/>
      <c r="VIU51" s="21"/>
      <c r="VIV51" s="21"/>
      <c r="VIW51" s="21"/>
      <c r="VIX51" s="21"/>
      <c r="VIY51" s="21"/>
      <c r="VIZ51" s="21"/>
      <c r="VJA51" s="21"/>
      <c r="VJB51" s="21"/>
      <c r="VJC51" s="21"/>
      <c r="VJD51" s="21"/>
      <c r="VJE51" s="21"/>
      <c r="VJF51" s="21"/>
      <c r="VJG51" s="21"/>
      <c r="VJH51" s="21"/>
      <c r="VJI51" s="21"/>
      <c r="VJJ51" s="21"/>
      <c r="VJK51" s="21"/>
      <c r="VJL51" s="21"/>
      <c r="VJM51" s="21"/>
      <c r="VJN51" s="21"/>
      <c r="VJO51" s="21"/>
      <c r="VJP51" s="21"/>
      <c r="VJQ51" s="21"/>
      <c r="VJR51" s="21"/>
      <c r="VJS51" s="21"/>
      <c r="VJT51" s="21"/>
      <c r="VJU51" s="21"/>
      <c r="VJV51" s="21"/>
      <c r="VJW51" s="21"/>
      <c r="VJX51" s="21"/>
      <c r="VJY51" s="21"/>
      <c r="VJZ51" s="21"/>
      <c r="VKA51" s="21"/>
      <c r="VKB51" s="21"/>
      <c r="VKC51" s="21"/>
      <c r="VKD51" s="21"/>
      <c r="VKE51" s="21"/>
      <c r="VKF51" s="21"/>
      <c r="VKG51" s="21"/>
      <c r="VKH51" s="21"/>
      <c r="VKI51" s="21"/>
      <c r="VKJ51" s="21"/>
      <c r="VKK51" s="21"/>
      <c r="VKL51" s="21"/>
      <c r="VKM51" s="21"/>
      <c r="VKN51" s="21"/>
      <c r="VKO51" s="21"/>
      <c r="VKP51" s="21"/>
      <c r="VKQ51" s="21"/>
      <c r="VKR51" s="21"/>
      <c r="VKS51" s="21"/>
      <c r="VKT51" s="21"/>
      <c r="VKU51" s="21"/>
      <c r="VKV51" s="21"/>
      <c r="VKW51" s="21"/>
      <c r="VKX51" s="21"/>
      <c r="VKY51" s="21"/>
      <c r="VKZ51" s="21"/>
      <c r="VLA51" s="21"/>
      <c r="VLB51" s="21"/>
      <c r="VLC51" s="21"/>
      <c r="VLD51" s="21"/>
      <c r="VLE51" s="21"/>
      <c r="VLF51" s="21"/>
      <c r="VLG51" s="21"/>
      <c r="VLH51" s="21"/>
      <c r="VLI51" s="21"/>
      <c r="VLJ51" s="21"/>
      <c r="VLK51" s="21"/>
      <c r="VLL51" s="21"/>
      <c r="VLM51" s="21"/>
      <c r="VLN51" s="21"/>
      <c r="VLO51" s="21"/>
      <c r="VLP51" s="21"/>
      <c r="VLQ51" s="21"/>
      <c r="VLR51" s="21"/>
      <c r="VLS51" s="21"/>
      <c r="VLT51" s="21"/>
      <c r="VLU51" s="21"/>
      <c r="VLV51" s="21"/>
      <c r="VLW51" s="21"/>
      <c r="VLX51" s="21"/>
      <c r="VLY51" s="21"/>
      <c r="VLZ51" s="21"/>
      <c r="VMA51" s="21"/>
      <c r="VMB51" s="21"/>
      <c r="VMC51" s="21"/>
      <c r="VMD51" s="21"/>
      <c r="VME51" s="21"/>
      <c r="VMF51" s="21"/>
      <c r="VMG51" s="21"/>
      <c r="VMH51" s="21"/>
      <c r="VMI51" s="21"/>
      <c r="VMJ51" s="21"/>
      <c r="VMK51" s="21"/>
      <c r="VML51" s="21"/>
      <c r="VMM51" s="21"/>
      <c r="VMN51" s="21"/>
      <c r="VMO51" s="21"/>
      <c r="VMP51" s="21"/>
      <c r="VMQ51" s="21"/>
      <c r="VMR51" s="21"/>
      <c r="VMS51" s="21"/>
      <c r="VMT51" s="21"/>
      <c r="VMU51" s="21"/>
      <c r="VMV51" s="21"/>
      <c r="VMW51" s="21"/>
      <c r="VMX51" s="21"/>
      <c r="VMY51" s="21"/>
      <c r="VMZ51" s="21"/>
      <c r="VNA51" s="21"/>
      <c r="VNB51" s="21"/>
      <c r="VNC51" s="21"/>
      <c r="VND51" s="21"/>
      <c r="VNE51" s="21"/>
      <c r="VNF51" s="21"/>
      <c r="VNG51" s="21"/>
      <c r="VNH51" s="21"/>
      <c r="VNI51" s="21"/>
      <c r="VNJ51" s="21"/>
      <c r="VNK51" s="21"/>
      <c r="VNL51" s="21"/>
      <c r="VNM51" s="21"/>
      <c r="VNN51" s="21"/>
      <c r="VNO51" s="21"/>
      <c r="VNP51" s="21"/>
      <c r="VNQ51" s="21"/>
      <c r="VNR51" s="21"/>
      <c r="VNS51" s="21"/>
      <c r="VNT51" s="21"/>
      <c r="VNU51" s="21"/>
      <c r="VNV51" s="21"/>
      <c r="VNW51" s="21"/>
      <c r="VNX51" s="21"/>
      <c r="VNY51" s="21"/>
      <c r="VNZ51" s="21"/>
      <c r="VOA51" s="21"/>
      <c r="VOB51" s="21"/>
      <c r="VOC51" s="21"/>
      <c r="VOD51" s="21"/>
      <c r="VOE51" s="21"/>
      <c r="VOF51" s="21"/>
      <c r="VOG51" s="21"/>
      <c r="VOH51" s="21"/>
      <c r="VOI51" s="21"/>
      <c r="VOJ51" s="21"/>
      <c r="VOK51" s="21"/>
      <c r="VOL51" s="21"/>
      <c r="VOM51" s="21"/>
      <c r="VON51" s="21"/>
      <c r="VOO51" s="21"/>
      <c r="VOP51" s="21"/>
      <c r="VOQ51" s="21"/>
      <c r="VOR51" s="21"/>
      <c r="VOS51" s="21"/>
      <c r="VOT51" s="21"/>
      <c r="VOU51" s="21"/>
      <c r="VOV51" s="21"/>
      <c r="VOW51" s="21"/>
      <c r="VOX51" s="21"/>
      <c r="VOY51" s="21"/>
      <c r="VOZ51" s="21"/>
      <c r="VPA51" s="21"/>
      <c r="VPB51" s="21"/>
      <c r="VPC51" s="21"/>
      <c r="VPD51" s="21"/>
      <c r="VPE51" s="21"/>
      <c r="VPF51" s="21"/>
      <c r="VPG51" s="21"/>
      <c r="VPH51" s="21"/>
      <c r="VPI51" s="21"/>
      <c r="VPJ51" s="21"/>
      <c r="VPK51" s="21"/>
      <c r="VPL51" s="21"/>
      <c r="VPM51" s="21"/>
      <c r="VPN51" s="21"/>
      <c r="VPO51" s="21"/>
      <c r="VPP51" s="21"/>
      <c r="VPQ51" s="21"/>
      <c r="VPR51" s="21"/>
      <c r="VPS51" s="21"/>
      <c r="VPT51" s="21"/>
      <c r="VPU51" s="21"/>
      <c r="VPV51" s="21"/>
      <c r="VPW51" s="21"/>
      <c r="VPX51" s="21"/>
      <c r="VPY51" s="21"/>
      <c r="VPZ51" s="21"/>
      <c r="VQA51" s="21"/>
      <c r="VQB51" s="21"/>
      <c r="VQC51" s="21"/>
      <c r="VQD51" s="21"/>
      <c r="VQE51" s="21"/>
      <c r="VQF51" s="21"/>
      <c r="VQG51" s="21"/>
      <c r="VQH51" s="21"/>
      <c r="VQI51" s="21"/>
      <c r="VQJ51" s="21"/>
      <c r="VQK51" s="21"/>
      <c r="VQL51" s="21"/>
      <c r="VQM51" s="21"/>
      <c r="VQN51" s="21"/>
      <c r="VQO51" s="21"/>
      <c r="VQP51" s="21"/>
      <c r="VQQ51" s="21"/>
      <c r="VQR51" s="21"/>
      <c r="VQS51" s="21"/>
      <c r="VQT51" s="21"/>
      <c r="VQU51" s="21"/>
      <c r="VQV51" s="21"/>
      <c r="VQW51" s="21"/>
      <c r="VQX51" s="21"/>
      <c r="VQY51" s="21"/>
      <c r="VQZ51" s="21"/>
      <c r="VRA51" s="21"/>
      <c r="VRB51" s="21"/>
      <c r="VRC51" s="21"/>
      <c r="VRD51" s="21"/>
      <c r="VRE51" s="21"/>
      <c r="VRF51" s="21"/>
      <c r="VRG51" s="21"/>
      <c r="VRH51" s="21"/>
      <c r="VRI51" s="21"/>
      <c r="VRJ51" s="21"/>
      <c r="VRK51" s="21"/>
      <c r="VRL51" s="21"/>
      <c r="VRM51" s="21"/>
      <c r="VRN51" s="21"/>
      <c r="VRO51" s="21"/>
      <c r="VRP51" s="21"/>
      <c r="VRQ51" s="21"/>
      <c r="VRR51" s="21"/>
      <c r="VRS51" s="21"/>
      <c r="VRT51" s="21"/>
      <c r="VRU51" s="21"/>
      <c r="VRV51" s="21"/>
      <c r="VRW51" s="21"/>
      <c r="VRX51" s="21"/>
      <c r="VRY51" s="21"/>
      <c r="VRZ51" s="21"/>
      <c r="VSA51" s="21"/>
      <c r="VSB51" s="21"/>
      <c r="VSC51" s="21"/>
      <c r="VSD51" s="21"/>
      <c r="VSE51" s="21"/>
      <c r="VSF51" s="21"/>
      <c r="VSG51" s="21"/>
      <c r="VSH51" s="21"/>
      <c r="VSI51" s="21"/>
      <c r="VSJ51" s="21"/>
      <c r="VSK51" s="21"/>
      <c r="VSL51" s="21"/>
      <c r="VSM51" s="21"/>
      <c r="VSN51" s="21"/>
      <c r="VSO51" s="21"/>
      <c r="VSP51" s="21"/>
      <c r="VSQ51" s="21"/>
      <c r="VSR51" s="21"/>
      <c r="VSS51" s="21"/>
      <c r="VST51" s="21"/>
      <c r="VSU51" s="21"/>
      <c r="VSV51" s="21"/>
      <c r="VSW51" s="21"/>
      <c r="VSX51" s="21"/>
      <c r="VSY51" s="21"/>
      <c r="VSZ51" s="21"/>
      <c r="VTA51" s="21"/>
      <c r="VTB51" s="21"/>
      <c r="VTC51" s="21"/>
      <c r="VTD51" s="21"/>
      <c r="VTE51" s="21"/>
      <c r="VTF51" s="21"/>
      <c r="VTG51" s="21"/>
      <c r="VTH51" s="21"/>
      <c r="VTI51" s="21"/>
      <c r="VTJ51" s="21"/>
      <c r="VTK51" s="21"/>
      <c r="VTL51" s="21"/>
      <c r="VTM51" s="21"/>
      <c r="VTN51" s="21"/>
      <c r="VTO51" s="21"/>
      <c r="VTP51" s="21"/>
      <c r="VTQ51" s="21"/>
      <c r="VTR51" s="21"/>
      <c r="VTS51" s="21"/>
      <c r="VTT51" s="21"/>
      <c r="VTU51" s="21"/>
      <c r="VTV51" s="21"/>
      <c r="VTW51" s="21"/>
      <c r="VTX51" s="21"/>
      <c r="VTY51" s="21"/>
      <c r="VTZ51" s="21"/>
      <c r="VUA51" s="21"/>
      <c r="VUB51" s="21"/>
      <c r="VUC51" s="21"/>
      <c r="VUD51" s="21"/>
      <c r="VUE51" s="21"/>
      <c r="VUF51" s="21"/>
      <c r="VUG51" s="21"/>
      <c r="VUH51" s="21"/>
      <c r="VUI51" s="21"/>
      <c r="VUJ51" s="21"/>
      <c r="VUK51" s="21"/>
      <c r="VUL51" s="21"/>
      <c r="VUM51" s="21"/>
      <c r="VUN51" s="21"/>
      <c r="VUO51" s="21"/>
      <c r="VUP51" s="21"/>
      <c r="VUQ51" s="21"/>
      <c r="VUR51" s="21"/>
      <c r="VUS51" s="21"/>
      <c r="VUT51" s="21"/>
      <c r="VUU51" s="21"/>
      <c r="VUV51" s="21"/>
      <c r="VUW51" s="21"/>
      <c r="VUX51" s="21"/>
      <c r="VUY51" s="21"/>
      <c r="VUZ51" s="21"/>
      <c r="VVA51" s="21"/>
      <c r="VVB51" s="21"/>
      <c r="VVC51" s="21"/>
      <c r="VVD51" s="21"/>
      <c r="VVE51" s="21"/>
      <c r="VVF51" s="21"/>
      <c r="VVG51" s="21"/>
      <c r="VVH51" s="21"/>
      <c r="VVI51" s="21"/>
      <c r="VVJ51" s="21"/>
      <c r="VVK51" s="21"/>
      <c r="VVL51" s="21"/>
      <c r="VVM51" s="21"/>
      <c r="VVN51" s="21"/>
      <c r="VVO51" s="21"/>
      <c r="VVP51" s="21"/>
      <c r="VVQ51" s="21"/>
      <c r="VVR51" s="21"/>
      <c r="VVS51" s="21"/>
      <c r="VVT51" s="21"/>
      <c r="VVU51" s="21"/>
      <c r="VVV51" s="21"/>
      <c r="VVW51" s="21"/>
      <c r="VVX51" s="21"/>
      <c r="VVY51" s="21"/>
      <c r="VVZ51" s="21"/>
      <c r="VWA51" s="21"/>
      <c r="VWB51" s="21"/>
      <c r="VWC51" s="21"/>
      <c r="VWD51" s="21"/>
      <c r="VWE51" s="21"/>
      <c r="VWF51" s="21"/>
      <c r="VWG51" s="21"/>
      <c r="VWH51" s="21"/>
      <c r="VWI51" s="21"/>
      <c r="VWJ51" s="21"/>
      <c r="VWK51" s="21"/>
      <c r="VWL51" s="21"/>
      <c r="VWM51" s="21"/>
      <c r="VWN51" s="21"/>
      <c r="VWO51" s="21"/>
      <c r="VWP51" s="21"/>
      <c r="VWQ51" s="21"/>
      <c r="VWR51" s="21"/>
      <c r="VWS51" s="21"/>
      <c r="VWT51" s="21"/>
      <c r="VWU51" s="21"/>
      <c r="VWV51" s="21"/>
      <c r="VWW51" s="21"/>
      <c r="VWX51" s="21"/>
      <c r="VWY51" s="21"/>
      <c r="VWZ51" s="21"/>
      <c r="VXA51" s="21"/>
      <c r="VXB51" s="21"/>
      <c r="VXC51" s="21"/>
      <c r="VXD51" s="21"/>
      <c r="VXE51" s="21"/>
      <c r="VXF51" s="21"/>
      <c r="VXG51" s="21"/>
      <c r="VXH51" s="21"/>
      <c r="VXI51" s="21"/>
      <c r="VXJ51" s="21"/>
      <c r="VXK51" s="21"/>
      <c r="VXL51" s="21"/>
      <c r="VXM51" s="21"/>
      <c r="VXN51" s="21"/>
      <c r="VXO51" s="21"/>
      <c r="VXP51" s="21"/>
      <c r="VXQ51" s="21"/>
      <c r="VXR51" s="21"/>
      <c r="VXS51" s="21"/>
      <c r="VXT51" s="21"/>
      <c r="VXU51" s="21"/>
      <c r="VXV51" s="21"/>
      <c r="VXW51" s="21"/>
      <c r="VXX51" s="21"/>
      <c r="VXY51" s="21"/>
      <c r="VXZ51" s="21"/>
      <c r="VYA51" s="21"/>
      <c r="VYB51" s="21"/>
      <c r="VYC51" s="21"/>
      <c r="VYD51" s="21"/>
      <c r="VYE51" s="21"/>
      <c r="VYF51" s="21"/>
      <c r="VYG51" s="21"/>
      <c r="VYH51" s="21"/>
      <c r="VYI51" s="21"/>
      <c r="VYJ51" s="21"/>
      <c r="VYK51" s="21"/>
      <c r="VYL51" s="21"/>
      <c r="VYM51" s="21"/>
      <c r="VYN51" s="21"/>
      <c r="VYO51" s="21"/>
      <c r="VYP51" s="21"/>
      <c r="VYQ51" s="21"/>
      <c r="VYR51" s="21"/>
      <c r="VYS51" s="21"/>
      <c r="VYT51" s="21"/>
      <c r="VYU51" s="21"/>
      <c r="VYV51" s="21"/>
      <c r="VYW51" s="21"/>
      <c r="VYX51" s="21"/>
      <c r="VYY51" s="21"/>
      <c r="VYZ51" s="21"/>
      <c r="VZA51" s="21"/>
      <c r="VZB51" s="21"/>
      <c r="VZC51" s="21"/>
      <c r="VZD51" s="21"/>
      <c r="VZE51" s="21"/>
      <c r="VZF51" s="21"/>
      <c r="VZG51" s="21"/>
      <c r="VZH51" s="21"/>
      <c r="VZI51" s="21"/>
      <c r="VZJ51" s="21"/>
      <c r="VZK51" s="21"/>
      <c r="VZL51" s="21"/>
      <c r="VZM51" s="21"/>
      <c r="VZN51" s="21"/>
      <c r="VZO51" s="21"/>
      <c r="VZP51" s="21"/>
      <c r="VZQ51" s="21"/>
      <c r="VZR51" s="21"/>
      <c r="VZS51" s="21"/>
      <c r="VZT51" s="21"/>
      <c r="VZU51" s="21"/>
      <c r="VZV51" s="21"/>
      <c r="VZW51" s="21"/>
      <c r="VZX51" s="21"/>
      <c r="VZY51" s="21"/>
      <c r="VZZ51" s="21"/>
      <c r="WAA51" s="21"/>
      <c r="WAB51" s="21"/>
      <c r="WAC51" s="21"/>
      <c r="WAD51" s="21"/>
      <c r="WAE51" s="21"/>
      <c r="WAF51" s="21"/>
      <c r="WAG51" s="21"/>
      <c r="WAH51" s="21"/>
      <c r="WAI51" s="21"/>
      <c r="WAJ51" s="21"/>
      <c r="WAK51" s="21"/>
      <c r="WAL51" s="21"/>
      <c r="WAM51" s="21"/>
      <c r="WAN51" s="21"/>
      <c r="WAO51" s="21"/>
      <c r="WAP51" s="21"/>
      <c r="WAQ51" s="21"/>
      <c r="WAR51" s="21"/>
      <c r="WAS51" s="21"/>
      <c r="WAT51" s="21"/>
      <c r="WAU51" s="21"/>
      <c r="WAV51" s="21"/>
      <c r="WAW51" s="21"/>
      <c r="WAX51" s="21"/>
      <c r="WAY51" s="21"/>
      <c r="WAZ51" s="21"/>
      <c r="WBA51" s="21"/>
      <c r="WBB51" s="21"/>
      <c r="WBC51" s="21"/>
      <c r="WBD51" s="21"/>
      <c r="WBE51" s="21"/>
      <c r="WBF51" s="21"/>
      <c r="WBG51" s="21"/>
      <c r="WBH51" s="21"/>
      <c r="WBI51" s="21"/>
      <c r="WBJ51" s="21"/>
      <c r="WBK51" s="21"/>
      <c r="WBL51" s="21"/>
      <c r="WBM51" s="21"/>
      <c r="WBN51" s="21"/>
      <c r="WBO51" s="21"/>
      <c r="WBP51" s="21"/>
      <c r="WBQ51" s="21"/>
      <c r="WBR51" s="21"/>
      <c r="WBS51" s="21"/>
      <c r="WBT51" s="21"/>
      <c r="WBU51" s="21"/>
      <c r="WBV51" s="21"/>
      <c r="WBW51" s="21"/>
      <c r="WBX51" s="21"/>
      <c r="WBY51" s="21"/>
      <c r="WBZ51" s="21"/>
      <c r="WCA51" s="21"/>
      <c r="WCB51" s="21"/>
      <c r="WCC51" s="21"/>
      <c r="WCD51" s="21"/>
      <c r="WCE51" s="21"/>
      <c r="WCF51" s="21"/>
      <c r="WCG51" s="21"/>
      <c r="WCH51" s="21"/>
      <c r="WCI51" s="21"/>
      <c r="WCJ51" s="21"/>
      <c r="WCK51" s="21"/>
      <c r="WCL51" s="21"/>
      <c r="WCM51" s="21"/>
      <c r="WCN51" s="21"/>
      <c r="WCO51" s="21"/>
      <c r="WCP51" s="21"/>
      <c r="WCQ51" s="21"/>
      <c r="WCR51" s="21"/>
      <c r="WCS51" s="21"/>
      <c r="WCT51" s="21"/>
      <c r="WCU51" s="21"/>
      <c r="WCV51" s="21"/>
      <c r="WCW51" s="21"/>
      <c r="WCX51" s="21"/>
      <c r="WCY51" s="21"/>
      <c r="WCZ51" s="21"/>
      <c r="WDA51" s="21"/>
      <c r="WDB51" s="21"/>
      <c r="WDC51" s="21"/>
      <c r="WDD51" s="21"/>
      <c r="WDE51" s="21"/>
      <c r="WDF51" s="21"/>
      <c r="WDG51" s="21"/>
      <c r="WDH51" s="21"/>
      <c r="WDI51" s="21"/>
      <c r="WDJ51" s="21"/>
      <c r="WDK51" s="21"/>
      <c r="WDL51" s="21"/>
      <c r="WDM51" s="21"/>
      <c r="WDN51" s="21"/>
      <c r="WDO51" s="21"/>
      <c r="WDP51" s="21"/>
      <c r="WDQ51" s="21"/>
      <c r="WDR51" s="21"/>
      <c r="WDS51" s="21"/>
      <c r="WDT51" s="21"/>
      <c r="WDU51" s="21"/>
      <c r="WDV51" s="21"/>
      <c r="WDW51" s="21"/>
      <c r="WDX51" s="21"/>
      <c r="WDY51" s="21"/>
      <c r="WDZ51" s="21"/>
      <c r="WEA51" s="21"/>
      <c r="WEB51" s="21"/>
      <c r="WEC51" s="21"/>
      <c r="WED51" s="21"/>
      <c r="WEE51" s="21"/>
      <c r="WEF51" s="21"/>
      <c r="WEG51" s="21"/>
      <c r="WEH51" s="21"/>
      <c r="WEI51" s="21"/>
      <c r="WEJ51" s="21"/>
      <c r="WEK51" s="21"/>
      <c r="WEL51" s="21"/>
      <c r="WEM51" s="21"/>
      <c r="WEN51" s="21"/>
      <c r="WEO51" s="21"/>
      <c r="WEP51" s="21"/>
      <c r="WEQ51" s="21"/>
      <c r="WER51" s="21"/>
      <c r="WES51" s="21"/>
      <c r="WET51" s="21"/>
      <c r="WEU51" s="21"/>
      <c r="WEV51" s="21"/>
      <c r="WEW51" s="21"/>
      <c r="WEX51" s="21"/>
      <c r="WEY51" s="21"/>
      <c r="WEZ51" s="21"/>
      <c r="WFA51" s="21"/>
      <c r="WFB51" s="21"/>
      <c r="WFC51" s="21"/>
      <c r="WFD51" s="21"/>
      <c r="WFE51" s="21"/>
      <c r="WFF51" s="21"/>
      <c r="WFG51" s="21"/>
      <c r="WFH51" s="21"/>
      <c r="WFI51" s="21"/>
      <c r="WFJ51" s="21"/>
      <c r="WFK51" s="21"/>
      <c r="WFL51" s="21"/>
      <c r="WFM51" s="21"/>
      <c r="WFN51" s="21"/>
      <c r="WFO51" s="21"/>
      <c r="WFP51" s="21"/>
      <c r="WFQ51" s="21"/>
      <c r="WFR51" s="21"/>
      <c r="WFS51" s="21"/>
      <c r="WFT51" s="21"/>
      <c r="WFU51" s="21"/>
      <c r="WFV51" s="21"/>
      <c r="WFW51" s="21"/>
      <c r="WFX51" s="21"/>
      <c r="WFY51" s="21"/>
      <c r="WFZ51" s="21"/>
      <c r="WGA51" s="21"/>
      <c r="WGB51" s="21"/>
      <c r="WGC51" s="21"/>
      <c r="WGD51" s="21"/>
      <c r="WGE51" s="21"/>
      <c r="WGF51" s="21"/>
      <c r="WGG51" s="21"/>
      <c r="WGH51" s="21"/>
      <c r="WGI51" s="21"/>
      <c r="WGJ51" s="21"/>
      <c r="WGK51" s="21"/>
      <c r="WGL51" s="21"/>
      <c r="WGM51" s="21"/>
      <c r="WGN51" s="21"/>
      <c r="WGO51" s="21"/>
      <c r="WGP51" s="21"/>
      <c r="WGQ51" s="21"/>
      <c r="WGR51" s="21"/>
      <c r="WGS51" s="21"/>
      <c r="WGT51" s="21"/>
      <c r="WGU51" s="21"/>
      <c r="WGV51" s="21"/>
      <c r="WGW51" s="21"/>
      <c r="WGX51" s="21"/>
      <c r="WGY51" s="21"/>
      <c r="WGZ51" s="21"/>
      <c r="WHA51" s="21"/>
      <c r="WHB51" s="21"/>
      <c r="WHC51" s="21"/>
      <c r="WHD51" s="21"/>
      <c r="WHE51" s="21"/>
      <c r="WHF51" s="21"/>
      <c r="WHG51" s="21"/>
      <c r="WHH51" s="21"/>
      <c r="WHI51" s="21"/>
      <c r="WHJ51" s="21"/>
      <c r="WHK51" s="21"/>
      <c r="WHL51" s="21"/>
      <c r="WHM51" s="21"/>
      <c r="WHN51" s="21"/>
      <c r="WHO51" s="21"/>
      <c r="WHP51" s="21"/>
      <c r="WHQ51" s="21"/>
      <c r="WHR51" s="21"/>
      <c r="WHS51" s="21"/>
      <c r="WHT51" s="21"/>
      <c r="WHU51" s="21"/>
      <c r="WHV51" s="21"/>
      <c r="WHW51" s="21"/>
      <c r="WHX51" s="21"/>
      <c r="WHY51" s="21"/>
      <c r="WHZ51" s="21"/>
      <c r="WIA51" s="21"/>
      <c r="WIB51" s="21"/>
      <c r="WIC51" s="21"/>
      <c r="WID51" s="21"/>
      <c r="WIE51" s="21"/>
      <c r="WIF51" s="21"/>
      <c r="WIG51" s="21"/>
      <c r="WIH51" s="21"/>
      <c r="WII51" s="21"/>
      <c r="WIJ51" s="21"/>
      <c r="WIK51" s="21"/>
      <c r="WIL51" s="21"/>
      <c r="WIM51" s="21"/>
      <c r="WIN51" s="21"/>
      <c r="WIO51" s="21"/>
      <c r="WIP51" s="21"/>
      <c r="WIQ51" s="21"/>
      <c r="WIR51" s="21"/>
      <c r="WIS51" s="21"/>
      <c r="WIT51" s="21"/>
      <c r="WIU51" s="21"/>
      <c r="WIV51" s="21"/>
      <c r="WIW51" s="21"/>
      <c r="WIX51" s="21"/>
      <c r="WIY51" s="21"/>
      <c r="WIZ51" s="21"/>
      <c r="WJA51" s="21"/>
      <c r="WJB51" s="21"/>
      <c r="WJC51" s="21"/>
      <c r="WJD51" s="21"/>
      <c r="WJE51" s="21"/>
      <c r="WJF51" s="21"/>
      <c r="WJG51" s="21"/>
      <c r="WJH51" s="21"/>
      <c r="WJI51" s="21"/>
      <c r="WJJ51" s="21"/>
      <c r="WJK51" s="21"/>
      <c r="WJL51" s="21"/>
      <c r="WJM51" s="21"/>
      <c r="WJN51" s="21"/>
      <c r="WJO51" s="21"/>
      <c r="WJP51" s="21"/>
      <c r="WJQ51" s="21"/>
      <c r="WJR51" s="21"/>
      <c r="WJS51" s="21"/>
      <c r="WJT51" s="21"/>
      <c r="WJU51" s="21"/>
      <c r="WJV51" s="21"/>
      <c r="WJW51" s="21"/>
      <c r="WJX51" s="21"/>
      <c r="WJY51" s="21"/>
      <c r="WJZ51" s="21"/>
      <c r="WKA51" s="21"/>
      <c r="WKB51" s="21"/>
      <c r="WKC51" s="21"/>
      <c r="WKD51" s="21"/>
      <c r="WKE51" s="21"/>
      <c r="WKF51" s="21"/>
      <c r="WKG51" s="21"/>
      <c r="WKH51" s="21"/>
      <c r="WKI51" s="21"/>
      <c r="WKJ51" s="21"/>
      <c r="WKK51" s="21"/>
      <c r="WKL51" s="21"/>
      <c r="WKM51" s="21"/>
      <c r="WKN51" s="21"/>
      <c r="WKO51" s="21"/>
      <c r="WKP51" s="21"/>
      <c r="WKQ51" s="21"/>
      <c r="WKR51" s="21"/>
      <c r="WKS51" s="21"/>
      <c r="WKT51" s="21"/>
      <c r="WKU51" s="21"/>
      <c r="WKV51" s="21"/>
      <c r="WKW51" s="21"/>
      <c r="WKX51" s="21"/>
      <c r="WKY51" s="21"/>
      <c r="WKZ51" s="21"/>
      <c r="WLA51" s="21"/>
      <c r="WLB51" s="21"/>
      <c r="WLC51" s="21"/>
      <c r="WLD51" s="21"/>
      <c r="WLE51" s="21"/>
      <c r="WLF51" s="21"/>
      <c r="WLG51" s="21"/>
      <c r="WLH51" s="21"/>
      <c r="WLI51" s="21"/>
      <c r="WLJ51" s="21"/>
      <c r="WLK51" s="21"/>
      <c r="WLL51" s="21"/>
      <c r="WLM51" s="21"/>
      <c r="WLN51" s="21"/>
      <c r="WLO51" s="21"/>
      <c r="WLP51" s="21"/>
      <c r="WLQ51" s="21"/>
      <c r="WLR51" s="21"/>
      <c r="WLS51" s="21"/>
      <c r="WLT51" s="21"/>
      <c r="WLU51" s="21"/>
      <c r="WLV51" s="21"/>
      <c r="WLW51" s="21"/>
      <c r="WLX51" s="21"/>
      <c r="WLY51" s="21"/>
      <c r="WLZ51" s="21"/>
      <c r="WMA51" s="21"/>
      <c r="WMB51" s="21"/>
      <c r="WMC51" s="21"/>
      <c r="WMD51" s="21"/>
      <c r="WME51" s="21"/>
      <c r="WMF51" s="21"/>
      <c r="WMG51" s="21"/>
      <c r="WMH51" s="21"/>
      <c r="WMI51" s="21"/>
      <c r="WMJ51" s="21"/>
      <c r="WMK51" s="21"/>
      <c r="WML51" s="21"/>
      <c r="WMM51" s="21"/>
      <c r="WMN51" s="21"/>
      <c r="WMO51" s="21"/>
      <c r="WMP51" s="21"/>
      <c r="WMQ51" s="21"/>
      <c r="WMR51" s="21"/>
      <c r="WMS51" s="21"/>
      <c r="WMT51" s="21"/>
      <c r="WMU51" s="21"/>
      <c r="WMV51" s="21"/>
      <c r="WMW51" s="21"/>
      <c r="WMX51" s="21"/>
      <c r="WMY51" s="21"/>
      <c r="WMZ51" s="21"/>
      <c r="WNA51" s="21"/>
      <c r="WNB51" s="21"/>
      <c r="WNC51" s="21"/>
      <c r="WND51" s="21"/>
      <c r="WNE51" s="21"/>
      <c r="WNF51" s="21"/>
      <c r="WNG51" s="21"/>
      <c r="WNH51" s="21"/>
      <c r="WNI51" s="21"/>
      <c r="WNJ51" s="21"/>
      <c r="WNK51" s="21"/>
      <c r="WNL51" s="21"/>
      <c r="WNM51" s="21"/>
      <c r="WNN51" s="21"/>
      <c r="WNO51" s="21"/>
      <c r="WNP51" s="21"/>
      <c r="WNQ51" s="21"/>
      <c r="WNR51" s="21"/>
      <c r="WNS51" s="21"/>
      <c r="WNT51" s="21"/>
      <c r="WNU51" s="21"/>
      <c r="WNV51" s="21"/>
      <c r="WNW51" s="21"/>
      <c r="WNX51" s="21"/>
      <c r="WNY51" s="21"/>
      <c r="WNZ51" s="21"/>
      <c r="WOA51" s="21"/>
      <c r="WOB51" s="21"/>
      <c r="WOC51" s="21"/>
      <c r="WOD51" s="21"/>
      <c r="WOE51" s="21"/>
      <c r="WOF51" s="21"/>
      <c r="WOG51" s="21"/>
      <c r="WOH51" s="21"/>
      <c r="WOI51" s="21"/>
      <c r="WOJ51" s="21"/>
      <c r="WOK51" s="21"/>
      <c r="WOL51" s="21"/>
      <c r="WOM51" s="21"/>
      <c r="WON51" s="21"/>
      <c r="WOO51" s="21"/>
      <c r="WOP51" s="21"/>
      <c r="WOQ51" s="21"/>
      <c r="WOR51" s="21"/>
      <c r="WOS51" s="21"/>
      <c r="WOT51" s="21"/>
      <c r="WOU51" s="21"/>
      <c r="WOV51" s="21"/>
      <c r="WOW51" s="21"/>
      <c r="WOX51" s="21"/>
      <c r="WOY51" s="21"/>
      <c r="WOZ51" s="21"/>
      <c r="WPA51" s="21"/>
      <c r="WPB51" s="21"/>
      <c r="WPC51" s="21"/>
      <c r="WPD51" s="21"/>
      <c r="WPE51" s="21"/>
      <c r="WPF51" s="21"/>
      <c r="WPG51" s="21"/>
      <c r="WPH51" s="21"/>
      <c r="WPI51" s="21"/>
      <c r="WPJ51" s="21"/>
      <c r="WPK51" s="21"/>
      <c r="WPL51" s="21"/>
      <c r="WPM51" s="21"/>
      <c r="WPN51" s="21"/>
      <c r="WPO51" s="21"/>
      <c r="WPP51" s="21"/>
      <c r="WPQ51" s="21"/>
      <c r="WPR51" s="21"/>
      <c r="WPS51" s="21"/>
      <c r="WPT51" s="21"/>
      <c r="WPU51" s="21"/>
      <c r="WPV51" s="21"/>
      <c r="WPW51" s="21"/>
      <c r="WPX51" s="21"/>
      <c r="WPY51" s="21"/>
      <c r="WPZ51" s="21"/>
      <c r="WQA51" s="21"/>
      <c r="WQB51" s="21"/>
      <c r="WQC51" s="21"/>
      <c r="WQD51" s="21"/>
      <c r="WQE51" s="21"/>
      <c r="WQF51" s="21"/>
      <c r="WQG51" s="21"/>
      <c r="WQH51" s="21"/>
      <c r="WQI51" s="21"/>
      <c r="WQJ51" s="21"/>
      <c r="WQK51" s="21"/>
      <c r="WQL51" s="21"/>
      <c r="WQM51" s="21"/>
      <c r="WQN51" s="21"/>
      <c r="WQO51" s="21"/>
      <c r="WQP51" s="21"/>
      <c r="WQQ51" s="21"/>
      <c r="WQR51" s="21"/>
      <c r="WQS51" s="21"/>
      <c r="WQT51" s="21"/>
      <c r="WQU51" s="21"/>
      <c r="WQV51" s="21"/>
      <c r="WQW51" s="21"/>
      <c r="WQX51" s="21"/>
      <c r="WQY51" s="21"/>
      <c r="WQZ51" s="21"/>
      <c r="WRA51" s="21"/>
      <c r="WRB51" s="21"/>
      <c r="WRC51" s="21"/>
      <c r="WRD51" s="21"/>
      <c r="WRE51" s="21"/>
      <c r="WRF51" s="21"/>
      <c r="WRG51" s="21"/>
      <c r="WRH51" s="21"/>
      <c r="WRI51" s="21"/>
      <c r="WRJ51" s="21"/>
      <c r="WRK51" s="21"/>
      <c r="WRL51" s="21"/>
      <c r="WRM51" s="21"/>
      <c r="WRN51" s="21"/>
      <c r="WRO51" s="21"/>
      <c r="WRP51" s="21"/>
      <c r="WRQ51" s="21"/>
      <c r="WRR51" s="21"/>
      <c r="WRS51" s="21"/>
      <c r="WRT51" s="21"/>
      <c r="WRU51" s="21"/>
      <c r="WRV51" s="21"/>
      <c r="WRW51" s="21"/>
      <c r="WRX51" s="21"/>
      <c r="WRY51" s="21"/>
      <c r="WRZ51" s="21"/>
      <c r="WSA51" s="21"/>
      <c r="WSB51" s="21"/>
      <c r="WSC51" s="21"/>
      <c r="WSD51" s="21"/>
      <c r="WSE51" s="21"/>
      <c r="WSF51" s="21"/>
      <c r="WSG51" s="21"/>
      <c r="WSH51" s="21"/>
      <c r="WSI51" s="21"/>
      <c r="WSJ51" s="21"/>
      <c r="WSK51" s="21"/>
      <c r="WSL51" s="21"/>
      <c r="WSM51" s="21"/>
      <c r="WSN51" s="21"/>
      <c r="WSO51" s="21"/>
      <c r="WSP51" s="21"/>
      <c r="WSQ51" s="21"/>
      <c r="WSR51" s="21"/>
      <c r="WSS51" s="21"/>
      <c r="WST51" s="21"/>
      <c r="WSU51" s="21"/>
      <c r="WSV51" s="21"/>
      <c r="WSW51" s="21"/>
      <c r="WSX51" s="21"/>
      <c r="WSY51" s="21"/>
      <c r="WSZ51" s="21"/>
      <c r="WTA51" s="21"/>
      <c r="WTB51" s="21"/>
      <c r="WTC51" s="21"/>
      <c r="WTD51" s="21"/>
      <c r="WTE51" s="21"/>
      <c r="WTF51" s="21"/>
      <c r="WTG51" s="21"/>
      <c r="WTH51" s="21"/>
      <c r="WTI51" s="21"/>
      <c r="WTJ51" s="21"/>
      <c r="WTK51" s="21"/>
      <c r="WTL51" s="21"/>
      <c r="WTM51" s="21"/>
      <c r="WTN51" s="21"/>
      <c r="WTO51" s="21"/>
      <c r="WTP51" s="21"/>
      <c r="WTQ51" s="21"/>
      <c r="WTR51" s="21"/>
      <c r="WTS51" s="21"/>
      <c r="WTT51" s="21"/>
      <c r="WTU51" s="21"/>
      <c r="WTV51" s="21"/>
      <c r="WTW51" s="21"/>
      <c r="WTX51" s="21"/>
      <c r="WTY51" s="21"/>
      <c r="WTZ51" s="21"/>
      <c r="WUA51" s="21"/>
      <c r="WUB51" s="21"/>
      <c r="WUC51" s="21"/>
      <c r="WUD51" s="21"/>
      <c r="WUE51" s="21"/>
      <c r="WUF51" s="21"/>
      <c r="WUG51" s="21"/>
      <c r="WUH51" s="21"/>
      <c r="WUI51" s="21"/>
      <c r="WUJ51" s="21"/>
      <c r="WUK51" s="21"/>
      <c r="WUL51" s="21"/>
      <c r="WUM51" s="21"/>
      <c r="WUN51" s="21"/>
      <c r="WUO51" s="21"/>
      <c r="WUP51" s="21"/>
      <c r="WUQ51" s="21"/>
      <c r="WUR51" s="21"/>
      <c r="WUS51" s="21"/>
      <c r="WUT51" s="21"/>
      <c r="WUU51" s="21"/>
      <c r="WUV51" s="21"/>
      <c r="WUW51" s="21"/>
      <c r="WUX51" s="21"/>
      <c r="WUY51" s="21"/>
      <c r="WUZ51" s="21"/>
      <c r="WVA51" s="21"/>
      <c r="WVB51" s="21"/>
      <c r="WVC51" s="21"/>
      <c r="WVD51" s="21"/>
      <c r="WVE51" s="21"/>
      <c r="WVF51" s="21"/>
      <c r="WVG51" s="21"/>
      <c r="WVH51" s="21"/>
      <c r="WVI51" s="21"/>
      <c r="WVJ51" s="21"/>
      <c r="WVK51" s="21"/>
      <c r="WVL51" s="21"/>
      <c r="WVM51" s="21"/>
      <c r="WVN51" s="21"/>
      <c r="WVO51" s="21"/>
      <c r="WVP51" s="21"/>
      <c r="WVQ51" s="21"/>
      <c r="WVR51" s="21"/>
      <c r="WVS51" s="21"/>
      <c r="WVT51" s="21"/>
      <c r="WVU51" s="21"/>
      <c r="WVV51" s="21"/>
      <c r="WVW51" s="21"/>
      <c r="WVX51" s="21"/>
      <c r="WVY51" s="21"/>
      <c r="WVZ51" s="21"/>
      <c r="WWA51" s="21"/>
      <c r="WWB51" s="21"/>
      <c r="WWC51" s="21"/>
      <c r="WWD51" s="21"/>
      <c r="WWE51" s="21"/>
      <c r="WWF51" s="21"/>
      <c r="WWG51" s="21"/>
      <c r="WWH51" s="21"/>
      <c r="WWI51" s="21"/>
      <c r="WWJ51" s="21"/>
      <c r="WWK51" s="21"/>
      <c r="WWL51" s="21"/>
      <c r="WWM51" s="21"/>
      <c r="WWN51" s="21"/>
      <c r="WWO51" s="21"/>
      <c r="WWP51" s="21"/>
      <c r="WWQ51" s="21"/>
      <c r="WWR51" s="21"/>
      <c r="WWS51" s="21"/>
      <c r="WWT51" s="21"/>
      <c r="WWU51" s="21"/>
      <c r="WWV51" s="21"/>
      <c r="WWW51" s="21"/>
      <c r="WWX51" s="21"/>
      <c r="WWY51" s="21"/>
      <c r="WWZ51" s="21"/>
      <c r="WXA51" s="21"/>
      <c r="WXB51" s="21"/>
      <c r="WXC51" s="21"/>
      <c r="WXD51" s="21"/>
      <c r="WXE51" s="21"/>
      <c r="WXF51" s="21"/>
      <c r="WXG51" s="21"/>
      <c r="WXH51" s="21"/>
      <c r="WXI51" s="21"/>
      <c r="WXJ51" s="21"/>
      <c r="WXK51" s="21"/>
      <c r="WXL51" s="21"/>
      <c r="WXM51" s="21"/>
      <c r="WXN51" s="21"/>
      <c r="WXO51" s="21"/>
      <c r="WXP51" s="21"/>
      <c r="WXQ51" s="21"/>
      <c r="WXR51" s="21"/>
      <c r="WXS51" s="21"/>
      <c r="WXT51" s="21"/>
      <c r="WXU51" s="21"/>
      <c r="WXV51" s="21"/>
      <c r="WXW51" s="21"/>
      <c r="WXX51" s="21"/>
      <c r="WXY51" s="21"/>
      <c r="WXZ51" s="21"/>
      <c r="WYA51" s="21"/>
      <c r="WYB51" s="21"/>
      <c r="WYC51" s="21"/>
      <c r="WYD51" s="21"/>
      <c r="WYE51" s="21"/>
      <c r="WYF51" s="21"/>
      <c r="WYG51" s="21"/>
      <c r="WYH51" s="21"/>
      <c r="WYI51" s="21"/>
      <c r="WYJ51" s="21"/>
      <c r="WYK51" s="21"/>
      <c r="WYL51" s="21"/>
      <c r="WYM51" s="21"/>
      <c r="WYN51" s="21"/>
      <c r="WYO51" s="21"/>
      <c r="WYP51" s="21"/>
      <c r="WYQ51" s="21"/>
      <c r="WYR51" s="21"/>
      <c r="WYS51" s="21"/>
      <c r="WYT51" s="21"/>
      <c r="WYU51" s="21"/>
      <c r="WYV51" s="21"/>
      <c r="WYW51" s="21"/>
      <c r="WYX51" s="21"/>
      <c r="WYY51" s="21"/>
      <c r="WYZ51" s="21"/>
      <c r="WZA51" s="21"/>
      <c r="WZB51" s="21"/>
      <c r="WZC51" s="21"/>
      <c r="WZD51" s="21"/>
      <c r="WZE51" s="21"/>
      <c r="WZF51" s="21"/>
      <c r="WZG51" s="21"/>
      <c r="WZH51" s="21"/>
      <c r="WZI51" s="21"/>
      <c r="WZJ51" s="21"/>
      <c r="WZK51" s="21"/>
      <c r="WZL51" s="21"/>
      <c r="WZM51" s="21"/>
      <c r="WZN51" s="21"/>
      <c r="WZO51" s="21"/>
      <c r="WZP51" s="21"/>
      <c r="WZQ51" s="21"/>
      <c r="WZR51" s="21"/>
      <c r="WZS51" s="21"/>
      <c r="WZT51" s="21"/>
      <c r="WZU51" s="21"/>
      <c r="WZV51" s="21"/>
      <c r="WZW51" s="21"/>
      <c r="WZX51" s="21"/>
      <c r="WZY51" s="21"/>
      <c r="WZZ51" s="21"/>
      <c r="XAA51" s="21"/>
      <c r="XAB51" s="21"/>
      <c r="XAC51" s="21"/>
      <c r="XAD51" s="21"/>
      <c r="XAE51" s="21"/>
      <c r="XAF51" s="21"/>
      <c r="XAG51" s="21"/>
      <c r="XAH51" s="21"/>
      <c r="XAI51" s="21"/>
      <c r="XAJ51" s="21"/>
      <c r="XAK51" s="21"/>
      <c r="XAL51" s="21"/>
      <c r="XAM51" s="21"/>
      <c r="XAN51" s="21"/>
      <c r="XAO51" s="21"/>
      <c r="XAP51" s="21"/>
      <c r="XAQ51" s="21"/>
      <c r="XAR51" s="21"/>
      <c r="XAS51" s="21"/>
      <c r="XAT51" s="21"/>
      <c r="XAU51" s="21"/>
      <c r="XAV51" s="21"/>
      <c r="XAW51" s="21"/>
      <c r="XAX51" s="21"/>
      <c r="XAY51" s="21"/>
      <c r="XAZ51" s="21"/>
      <c r="XBA51" s="21"/>
      <c r="XBB51" s="21"/>
      <c r="XBC51" s="21"/>
      <c r="XBD51" s="21"/>
      <c r="XBE51" s="21"/>
      <c r="XBF51" s="21"/>
      <c r="XBG51" s="21"/>
      <c r="XBH51" s="21"/>
      <c r="XBI51" s="21"/>
      <c r="XBJ51" s="21"/>
      <c r="XBK51" s="21"/>
      <c r="XBL51" s="21"/>
      <c r="XBM51" s="21"/>
      <c r="XBN51" s="21"/>
      <c r="XBO51" s="21"/>
      <c r="XBP51" s="21"/>
      <c r="XBQ51" s="21"/>
      <c r="XBR51" s="21"/>
      <c r="XBS51" s="21"/>
      <c r="XBT51" s="21"/>
      <c r="XBU51" s="21"/>
      <c r="XBV51" s="21"/>
      <c r="XBW51" s="21"/>
      <c r="XBX51" s="21"/>
      <c r="XBY51" s="21"/>
      <c r="XBZ51" s="21"/>
      <c r="XCA51" s="21"/>
      <c r="XCB51" s="21"/>
      <c r="XCC51" s="21"/>
      <c r="XCD51" s="21"/>
      <c r="XCE51" s="21"/>
      <c r="XCF51" s="21"/>
      <c r="XCG51" s="21"/>
      <c r="XCH51" s="21"/>
      <c r="XCI51" s="21"/>
      <c r="XCJ51" s="21"/>
      <c r="XCK51" s="21"/>
      <c r="XCL51" s="21"/>
      <c r="XCM51" s="21"/>
      <c r="XCN51" s="21"/>
      <c r="XCO51" s="21"/>
      <c r="XCP51" s="21"/>
      <c r="XCQ51" s="21"/>
      <c r="XCR51" s="21"/>
      <c r="XCS51" s="21"/>
      <c r="XCT51" s="21"/>
      <c r="XCU51" s="21"/>
      <c r="XCV51" s="21"/>
      <c r="XCW51" s="21"/>
      <c r="XCX51" s="21"/>
      <c r="XCY51" s="21"/>
      <c r="XCZ51" s="21"/>
      <c r="XDA51" s="21"/>
      <c r="XDB51" s="21"/>
      <c r="XDC51" s="21"/>
      <c r="XDD51" s="21"/>
      <c r="XDE51" s="21"/>
      <c r="XDF51" s="21"/>
      <c r="XDG51" s="21"/>
      <c r="XDH51" s="21"/>
      <c r="XDI51" s="21"/>
      <c r="XDJ51" s="21"/>
      <c r="XDK51" s="21"/>
      <c r="XDL51" s="21"/>
      <c r="XDM51" s="21"/>
      <c r="XDN51" s="21"/>
      <c r="XDO51" s="21"/>
      <c r="XDP51" s="21"/>
      <c r="XDQ51" s="21"/>
      <c r="XDR51" s="21"/>
      <c r="XDS51" s="21"/>
      <c r="XDT51" s="21"/>
      <c r="XDU51" s="21"/>
      <c r="XDV51" s="21"/>
      <c r="XDW51" s="21"/>
      <c r="XDX51" s="21"/>
      <c r="XDY51" s="21"/>
      <c r="XDZ51" s="21"/>
      <c r="XEA51" s="21"/>
      <c r="XEB51" s="21"/>
      <c r="XEC51" s="21"/>
      <c r="XED51" s="21"/>
      <c r="XEE51" s="21"/>
      <c r="XEF51" s="21"/>
      <c r="XEG51" s="21"/>
      <c r="XEH51" s="21"/>
      <c r="XEI51" s="21"/>
      <c r="XEJ51" s="21"/>
      <c r="XEK51" s="21"/>
      <c r="XEL51" s="21"/>
      <c r="XEM51" s="21"/>
      <c r="XEN51" s="21"/>
      <c r="XEO51" s="21"/>
      <c r="XEP51" s="21"/>
      <c r="XEQ51" s="21"/>
      <c r="XER51" s="21"/>
      <c r="XES51" s="21"/>
      <c r="XET51" s="21"/>
      <c r="XEU51" s="21"/>
      <c r="XEV51" s="21"/>
      <c r="XEW51" s="21"/>
      <c r="XEX51" s="21"/>
      <c r="XEY51" s="21"/>
      <c r="XEZ51" s="21"/>
      <c r="XFA51" s="21"/>
      <c r="XFB51" s="21"/>
    </row>
    <row r="52" spans="1:16382" s="47" customFormat="1" ht="36" customHeight="1" thickTop="1" thickBot="1">
      <c r="A52" s="8" t="s">
        <v>89</v>
      </c>
      <c r="B52" s="8" t="s">
        <v>90</v>
      </c>
      <c r="C52" s="8" t="s">
        <v>91</v>
      </c>
      <c r="D52" s="8" t="s">
        <v>92</v>
      </c>
      <c r="E52" s="199" t="s">
        <v>104</v>
      </c>
      <c r="F52" s="199" t="s">
        <v>93</v>
      </c>
    </row>
    <row r="53" spans="1:16382" ht="151.25" customHeight="1" thickTop="1" thickBot="1">
      <c r="A53" s="27" t="s">
        <v>1113</v>
      </c>
      <c r="B53" s="121" t="str">
        <f>Questions!$C$289</f>
        <v xml:space="preserve">
No answer required
What is the type of underlying asset that the scheme has security over?
</v>
      </c>
      <c r="C53" s="187"/>
      <c r="D53" s="372" t="str">
        <f ca="1">'Reconciliation report'!$D736</f>
        <v/>
      </c>
      <c r="E53" s="122" t="str">
        <f>Guidance!$B$219</f>
        <v xml:space="preserve">
Please note that letters of credit, bank guarantees, surety bonds and contingent funding mechanisms are covered in the 'Other assets' section.
</v>
      </c>
      <c r="F53" s="227"/>
    </row>
    <row r="54" spans="1:16382" ht="78" customHeight="1" thickBot="1">
      <c r="A54" s="27" t="s">
        <v>1116</v>
      </c>
      <c r="B54" s="118" t="str">
        <f>Questions!$C$290</f>
        <v xml:space="preserve">
No answer required
Provide specific details of the underlying asset
</v>
      </c>
      <c r="C54" s="519"/>
      <c r="D54" s="361" t="str">
        <f ca="1">'Reconciliation report'!$D737</f>
        <v/>
      </c>
      <c r="E54" s="122" t="str">
        <f>Guidance!$B$220</f>
        <v xml:space="preserve">
Specific details of the underlying asset over which the security has been provided.
</v>
      </c>
      <c r="F54" s="128"/>
    </row>
    <row r="55" spans="1:16382" ht="109.25" customHeight="1" thickBot="1">
      <c r="A55" s="27" t="s">
        <v>1118</v>
      </c>
      <c r="B55" s="121" t="str">
        <f>Questions!$C$291</f>
        <v xml:space="preserve">
No answer required
Type of maturity
</v>
      </c>
      <c r="C55" s="343"/>
      <c r="D55" s="372" t="str">
        <f ca="1">'Reconciliation report'!$D738</f>
        <v/>
      </c>
      <c r="E55" s="122" t="str">
        <f>Guidance!$B$221</f>
        <v xml:space="preserve">
Multiple choice answer setting out details regarding the maturity date of the security. Select 'evergreen' when there is no fixed expiry date. Otherwise, provide the date of maturity, which is when the scheme's legal access to the security or the term of the security arrangement is due to end. If neither of these options apply, select 'other'.
</v>
      </c>
      <c r="F55" s="227"/>
    </row>
    <row r="56" spans="1:16382" ht="108.65" customHeight="1">
      <c r="A56" s="27" t="s">
        <v>1120</v>
      </c>
      <c r="B56" s="118" t="str">
        <f>Questions!$C$292</f>
        <v xml:space="preserve">
No answer required
Date of maturity
</v>
      </c>
      <c r="C56" s="527"/>
      <c r="D56" s="361" t="str">
        <f ca="1">'Reconciliation report'!$D739</f>
        <v/>
      </c>
      <c r="E56" s="122" t="str">
        <f>Guidance!B287</f>
        <v>Guidance is not required for this question.</v>
      </c>
      <c r="F56" s="128"/>
    </row>
    <row r="57" spans="1:16382" ht="93" customHeight="1">
      <c r="A57" s="27" t="s">
        <v>1122</v>
      </c>
      <c r="B57" s="118" t="str">
        <f>Questions!$C$293</f>
        <v xml:space="preserve">
No answer required
Maturity date narrative
</v>
      </c>
      <c r="C57" s="519"/>
      <c r="D57" s="361" t="str">
        <f ca="1">'Reconciliation report'!$D740</f>
        <v/>
      </c>
      <c r="E57" s="122" t="str">
        <f>Guidance!$B$223</f>
        <v xml:space="preserve">
If the answer to the maturity date query above is 'Other', include some narrative related to the maturity date or likely maturity date of the contingent asset.
</v>
      </c>
      <c r="F57" s="128"/>
    </row>
    <row r="58" spans="1:16382" ht="93" customHeight="1">
      <c r="A58" s="27" t="s">
        <v>1124</v>
      </c>
      <c r="B58" s="121" t="str">
        <f>Questions!$C$294</f>
        <v xml:space="preserve">
No answer required
Value ascribed (£)
</v>
      </c>
      <c r="C58" s="412"/>
      <c r="D58" s="361" t="str">
        <f ca="1">'Reconciliation report'!$D741</f>
        <v/>
      </c>
      <c r="E58" s="122" t="str">
        <f>Guidance!$B$224</f>
        <v xml:space="preserve">
The amount expected to be realisable under the security arrangement. This can be in terms of 'equal to or at least'.
This should take into account the scenarios the security is intended to address. For example, if the security is triggered on an employer's insolvency, this is the amount expected to be recovered in that scenario.     
</v>
      </c>
      <c r="F58" s="128"/>
    </row>
    <row r="59" spans="1:16382" ht="78" customHeight="1" thickBot="1">
      <c r="A59" s="27" t="s">
        <v>1126</v>
      </c>
      <c r="B59" s="118" t="str">
        <f>Questions!$C$295</f>
        <v xml:space="preserve">
No answer required
Date of valuation
</v>
      </c>
      <c r="C59" s="527"/>
      <c r="D59" s="361" t="str">
        <f ca="1">'Reconciliation report'!$D742</f>
        <v/>
      </c>
      <c r="E59" s="122" t="str">
        <f>Guidance!$B$225</f>
        <v xml:space="preserve">
The date as at which the value of the security has been assessed.
</v>
      </c>
      <c r="F59" s="128"/>
    </row>
    <row r="60" spans="1:16382" ht="140.15" customHeight="1" thickBot="1">
      <c r="A60" s="27" t="s">
        <v>1128</v>
      </c>
      <c r="B60" s="121" t="str">
        <f>Questions!$C$296</f>
        <v xml:space="preserve">
No answer required
Value cap
</v>
      </c>
      <c r="C60" s="343"/>
      <c r="D60" s="372" t="str">
        <f ca="1">'Reconciliation report'!$D743</f>
        <v/>
      </c>
      <c r="E60" s="122" t="str">
        <f>Guidance!$B$226</f>
        <v xml:space="preserve">
This is the maximum amount payable to the scheme pursuant to the terms of the security agreement when called upon.
</v>
      </c>
      <c r="F60" s="227"/>
    </row>
    <row r="61" spans="1:16382" ht="77.5">
      <c r="A61" s="27" t="s">
        <v>1130</v>
      </c>
      <c r="B61" s="118" t="str">
        <f>Questions!$C$297</f>
        <v xml:space="preserve">
No answer required
Narrative regarding value cap
</v>
      </c>
      <c r="C61" s="519"/>
      <c r="D61" s="361" t="str">
        <f ca="1">'Reconciliation report'!$D744</f>
        <v/>
      </c>
      <c r="E61" s="122" t="str">
        <f>Guidance!$B$227</f>
        <v xml:space="preserve">
If the answer to the value cap question above is 'Other', describe the value cap.
</v>
      </c>
      <c r="F61" s="128"/>
    </row>
    <row r="62" spans="1:16382" ht="67.25" customHeight="1" thickBot="1">
      <c r="A62" s="27" t="s">
        <v>1132</v>
      </c>
      <c r="B62" s="118" t="str">
        <f>Questions!$C$298</f>
        <v xml:space="preserve">
No answer required
Fixed cap amount (£)
</v>
      </c>
      <c r="C62" s="416"/>
      <c r="D62" s="362" t="str">
        <f ca="1">'Reconciliation report'!$D745</f>
        <v/>
      </c>
      <c r="E62" s="122" t="str">
        <f>Guidance!$B$287</f>
        <v>Guidance is not required for this question.</v>
      </c>
      <c r="F62" s="128"/>
    </row>
    <row r="63" spans="1:16382" s="143" customFormat="1" ht="20.149999999999999" customHeight="1" thickBot="1">
      <c r="A63" s="75"/>
      <c r="B63" s="75"/>
      <c r="C63" s="75" t="s">
        <v>23</v>
      </c>
      <c r="D63" s="68"/>
      <c r="E63" s="99"/>
      <c r="F63" s="99"/>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2"/>
      <c r="CQ63" s="32"/>
      <c r="CR63" s="32"/>
      <c r="CS63" s="32"/>
      <c r="CT63" s="32"/>
      <c r="CU63" s="32"/>
      <c r="CV63" s="32"/>
      <c r="CW63" s="32"/>
      <c r="CX63" s="32"/>
      <c r="CY63" s="32"/>
      <c r="CZ63" s="32"/>
      <c r="DA63" s="32"/>
      <c r="DB63" s="32"/>
      <c r="DC63" s="32"/>
      <c r="DD63" s="32"/>
      <c r="DE63" s="32"/>
      <c r="DF63" s="32"/>
      <c r="DG63" s="32"/>
      <c r="DH63" s="32"/>
      <c r="DI63" s="32"/>
      <c r="DJ63" s="32"/>
      <c r="DK63" s="32"/>
      <c r="DL63" s="32"/>
      <c r="DM63" s="32"/>
      <c r="DN63" s="32"/>
      <c r="DO63" s="32"/>
      <c r="DP63" s="32"/>
      <c r="DQ63" s="32"/>
      <c r="DR63" s="32"/>
      <c r="DS63" s="32"/>
      <c r="DT63" s="32"/>
      <c r="DU63" s="32"/>
      <c r="DV63" s="32"/>
      <c r="DW63" s="32"/>
      <c r="DX63" s="32"/>
      <c r="DY63" s="32"/>
      <c r="DZ63" s="32"/>
      <c r="EA63" s="32"/>
      <c r="EB63" s="32"/>
      <c r="EC63" s="32"/>
      <c r="ED63" s="32"/>
      <c r="EE63" s="32"/>
      <c r="EF63" s="32"/>
      <c r="EG63" s="32"/>
      <c r="EH63" s="32"/>
      <c r="EI63" s="32"/>
      <c r="EJ63" s="32"/>
      <c r="EK63" s="32"/>
      <c r="EL63" s="32"/>
      <c r="EM63" s="32"/>
      <c r="EN63" s="32"/>
      <c r="EO63" s="32"/>
      <c r="EP63" s="32"/>
      <c r="EQ63" s="32"/>
      <c r="ER63" s="32"/>
      <c r="ES63" s="32"/>
      <c r="ET63" s="32"/>
      <c r="EU63" s="32"/>
      <c r="EV63" s="32"/>
      <c r="EW63" s="32"/>
      <c r="EX63" s="32"/>
      <c r="EY63" s="32"/>
      <c r="EZ63" s="32"/>
      <c r="FA63" s="32"/>
      <c r="FB63" s="32"/>
      <c r="FC63" s="32"/>
      <c r="FD63" s="32"/>
      <c r="FE63" s="32"/>
      <c r="FF63" s="32"/>
      <c r="FG63" s="32"/>
      <c r="FH63" s="32"/>
      <c r="FI63" s="32"/>
      <c r="FJ63" s="32"/>
      <c r="FK63" s="32"/>
      <c r="FL63" s="32"/>
      <c r="FM63" s="32"/>
      <c r="FN63" s="32"/>
      <c r="FO63" s="32"/>
      <c r="FP63" s="32"/>
      <c r="FQ63" s="32"/>
      <c r="FR63" s="32"/>
      <c r="FS63" s="32"/>
      <c r="FT63" s="32"/>
      <c r="FU63" s="32"/>
      <c r="FV63" s="32"/>
      <c r="FW63" s="32"/>
      <c r="FX63" s="32"/>
      <c r="FY63" s="32"/>
      <c r="FZ63" s="32"/>
      <c r="GA63" s="32"/>
      <c r="GB63" s="32"/>
      <c r="GC63" s="32"/>
      <c r="GD63" s="32"/>
      <c r="GE63" s="32"/>
      <c r="GF63" s="32"/>
      <c r="GG63" s="32"/>
      <c r="GH63" s="32"/>
      <c r="GI63" s="32"/>
      <c r="GJ63" s="32"/>
      <c r="GK63" s="32"/>
      <c r="GL63" s="32"/>
      <c r="GM63" s="32"/>
      <c r="GN63" s="32"/>
      <c r="GO63" s="32"/>
      <c r="GP63" s="32"/>
      <c r="GQ63" s="32"/>
      <c r="GR63" s="32"/>
      <c r="GS63" s="32"/>
      <c r="GT63" s="32"/>
      <c r="GU63" s="32"/>
      <c r="GV63" s="32"/>
      <c r="GW63" s="32"/>
      <c r="GX63" s="32"/>
      <c r="GY63" s="32"/>
      <c r="GZ63" s="32"/>
      <c r="HA63" s="32"/>
      <c r="HB63" s="32"/>
      <c r="HC63" s="32"/>
      <c r="HD63" s="32"/>
      <c r="HE63" s="32"/>
      <c r="HF63" s="32"/>
      <c r="HG63" s="32"/>
      <c r="HH63" s="32"/>
      <c r="HI63" s="32"/>
      <c r="HJ63" s="32"/>
      <c r="HK63" s="32"/>
      <c r="HL63" s="32"/>
      <c r="HM63" s="32"/>
      <c r="HN63" s="32"/>
      <c r="HO63" s="32"/>
      <c r="HP63" s="32"/>
      <c r="HQ63" s="32"/>
      <c r="HR63" s="32"/>
      <c r="HS63" s="32"/>
      <c r="HT63" s="32"/>
      <c r="HU63" s="32"/>
      <c r="HV63" s="32"/>
      <c r="HW63" s="32"/>
      <c r="HX63" s="32"/>
      <c r="HY63" s="32"/>
      <c r="HZ63" s="32"/>
      <c r="IA63" s="32"/>
      <c r="IB63" s="32"/>
      <c r="IC63" s="32"/>
      <c r="ID63" s="32"/>
      <c r="IE63" s="32"/>
      <c r="IF63" s="32"/>
      <c r="IG63" s="32"/>
      <c r="IH63" s="32"/>
      <c r="II63" s="32"/>
      <c r="IJ63" s="32"/>
      <c r="IK63" s="32"/>
      <c r="IL63" s="32"/>
      <c r="IM63" s="32"/>
      <c r="IN63" s="32"/>
      <c r="IO63" s="32"/>
      <c r="IP63" s="32"/>
      <c r="IQ63" s="32"/>
      <c r="IR63" s="32"/>
      <c r="IS63" s="32"/>
      <c r="IT63" s="32"/>
      <c r="IU63" s="32"/>
      <c r="IV63" s="32"/>
      <c r="IW63" s="32"/>
      <c r="IX63" s="32"/>
      <c r="IY63" s="32"/>
      <c r="IZ63" s="32"/>
      <c r="JA63" s="32"/>
      <c r="JB63" s="32"/>
      <c r="JC63" s="32"/>
      <c r="JD63" s="32"/>
      <c r="JE63" s="32"/>
      <c r="JF63" s="32"/>
      <c r="JG63" s="32"/>
      <c r="JH63" s="32"/>
      <c r="JI63" s="32"/>
      <c r="JJ63" s="32"/>
      <c r="JK63" s="32"/>
      <c r="JL63" s="32"/>
      <c r="JM63" s="32"/>
      <c r="JN63" s="32"/>
      <c r="JO63" s="32"/>
      <c r="JP63" s="32"/>
      <c r="JQ63" s="32"/>
      <c r="JR63" s="32"/>
      <c r="JS63" s="32"/>
      <c r="JT63" s="32"/>
      <c r="JU63" s="32"/>
      <c r="JV63" s="32"/>
      <c r="JW63" s="32"/>
      <c r="JX63" s="32"/>
      <c r="JY63" s="32"/>
      <c r="JZ63" s="32"/>
      <c r="KA63" s="32"/>
      <c r="KB63" s="32"/>
      <c r="KC63" s="32"/>
      <c r="KD63" s="32"/>
      <c r="KE63" s="32"/>
      <c r="KF63" s="32"/>
      <c r="KG63" s="32"/>
      <c r="KH63" s="32"/>
      <c r="KI63" s="32"/>
      <c r="KJ63" s="32"/>
      <c r="KK63" s="32"/>
      <c r="KL63" s="32"/>
      <c r="KM63" s="32"/>
      <c r="KN63" s="32"/>
      <c r="KO63" s="32"/>
      <c r="KP63" s="32"/>
      <c r="KQ63" s="32"/>
      <c r="KR63" s="32"/>
      <c r="KS63" s="32"/>
      <c r="KT63" s="32"/>
      <c r="KU63" s="32"/>
      <c r="KV63" s="32"/>
      <c r="KW63" s="32"/>
      <c r="KX63" s="32"/>
      <c r="KY63" s="32"/>
      <c r="KZ63" s="32"/>
      <c r="LA63" s="32"/>
      <c r="LB63" s="32"/>
      <c r="LC63" s="32"/>
      <c r="LD63" s="32"/>
      <c r="LE63" s="32"/>
      <c r="LF63" s="32"/>
      <c r="LG63" s="32"/>
      <c r="LH63" s="32"/>
      <c r="LI63" s="32"/>
      <c r="LJ63" s="32"/>
      <c r="LK63" s="32"/>
      <c r="LL63" s="32"/>
      <c r="LM63" s="32"/>
      <c r="LN63" s="32"/>
      <c r="LO63" s="32"/>
      <c r="LP63" s="32"/>
      <c r="LQ63" s="32"/>
      <c r="LR63" s="32"/>
      <c r="LS63" s="32"/>
      <c r="LT63" s="32"/>
      <c r="LU63" s="32"/>
      <c r="LV63" s="32"/>
      <c r="LW63" s="32"/>
      <c r="LX63" s="32"/>
      <c r="LY63" s="32"/>
      <c r="LZ63" s="32"/>
      <c r="MA63" s="32"/>
      <c r="MB63" s="32"/>
      <c r="MC63" s="32"/>
      <c r="MD63" s="32"/>
      <c r="ME63" s="32"/>
      <c r="MF63" s="32"/>
      <c r="MG63" s="32"/>
      <c r="MH63" s="32"/>
      <c r="MI63" s="32"/>
      <c r="MJ63" s="32"/>
      <c r="MK63" s="32"/>
      <c r="ML63" s="32"/>
      <c r="MM63" s="32"/>
      <c r="MN63" s="32"/>
      <c r="MO63" s="32"/>
      <c r="MP63" s="32"/>
      <c r="MQ63" s="32"/>
      <c r="MR63" s="32"/>
      <c r="MS63" s="32"/>
      <c r="MT63" s="32"/>
      <c r="MU63" s="32"/>
      <c r="MV63" s="32"/>
      <c r="MW63" s="32"/>
      <c r="MX63" s="32"/>
      <c r="MY63" s="32"/>
      <c r="MZ63" s="32"/>
      <c r="NA63" s="32"/>
      <c r="NB63" s="32"/>
      <c r="NC63" s="32"/>
      <c r="ND63" s="32"/>
      <c r="NE63" s="32"/>
      <c r="NF63" s="32"/>
      <c r="NG63" s="32"/>
      <c r="NH63" s="32"/>
      <c r="NI63" s="32"/>
      <c r="NJ63" s="32"/>
      <c r="NK63" s="32"/>
      <c r="NL63" s="32"/>
      <c r="NM63" s="32"/>
      <c r="NN63" s="32"/>
      <c r="NO63" s="32"/>
      <c r="NP63" s="32"/>
      <c r="NQ63" s="32"/>
      <c r="NR63" s="32"/>
      <c r="NS63" s="32"/>
      <c r="NT63" s="32"/>
      <c r="NU63" s="32"/>
      <c r="NV63" s="32"/>
      <c r="NW63" s="32"/>
      <c r="NX63" s="32"/>
      <c r="NY63" s="32"/>
      <c r="NZ63" s="32"/>
      <c r="OA63" s="32"/>
      <c r="OB63" s="32"/>
      <c r="OC63" s="32"/>
      <c r="OD63" s="32"/>
      <c r="OE63" s="32"/>
      <c r="OF63" s="32"/>
      <c r="OG63" s="32"/>
      <c r="OH63" s="32"/>
      <c r="OI63" s="32"/>
      <c r="OJ63" s="32"/>
      <c r="OK63" s="32"/>
      <c r="OL63" s="32"/>
      <c r="OM63" s="32"/>
      <c r="ON63" s="32"/>
      <c r="OO63" s="32"/>
      <c r="OP63" s="32"/>
      <c r="OQ63" s="32"/>
      <c r="OR63" s="32"/>
      <c r="OS63" s="32"/>
      <c r="OT63" s="32"/>
      <c r="OU63" s="32"/>
      <c r="OV63" s="32"/>
      <c r="OW63" s="32"/>
      <c r="OX63" s="32"/>
      <c r="OY63" s="32"/>
      <c r="OZ63" s="32"/>
      <c r="PA63" s="32"/>
      <c r="PB63" s="32"/>
      <c r="PC63" s="32"/>
      <c r="PD63" s="32"/>
      <c r="PE63" s="32"/>
      <c r="PF63" s="32"/>
      <c r="PG63" s="32"/>
      <c r="PH63" s="32"/>
      <c r="PI63" s="32"/>
      <c r="PJ63" s="32"/>
      <c r="PK63" s="32"/>
      <c r="PL63" s="32"/>
      <c r="PM63" s="32"/>
      <c r="PN63" s="32"/>
      <c r="PO63" s="32"/>
      <c r="PP63" s="32"/>
      <c r="PQ63" s="32"/>
      <c r="PR63" s="32"/>
      <c r="PS63" s="32"/>
      <c r="PT63" s="32"/>
      <c r="PU63" s="32"/>
      <c r="PV63" s="32"/>
      <c r="PW63" s="32"/>
      <c r="PX63" s="32"/>
      <c r="PY63" s="32"/>
      <c r="PZ63" s="32"/>
      <c r="QA63" s="32"/>
      <c r="QB63" s="32"/>
      <c r="QC63" s="32"/>
      <c r="QD63" s="32"/>
      <c r="QE63" s="32"/>
      <c r="QF63" s="32"/>
      <c r="QG63" s="32"/>
      <c r="QH63" s="32"/>
      <c r="QI63" s="32"/>
      <c r="QJ63" s="32"/>
      <c r="QK63" s="32"/>
      <c r="QL63" s="32"/>
      <c r="QM63" s="32"/>
      <c r="QN63" s="32"/>
      <c r="QO63" s="32"/>
      <c r="QP63" s="32"/>
      <c r="QQ63" s="32"/>
      <c r="QR63" s="32"/>
      <c r="QS63" s="32"/>
      <c r="QT63" s="32"/>
      <c r="QU63" s="32"/>
      <c r="QV63" s="32"/>
      <c r="QW63" s="32"/>
      <c r="QX63" s="32"/>
      <c r="QY63" s="32"/>
      <c r="QZ63" s="32"/>
      <c r="RA63" s="32"/>
      <c r="RB63" s="32"/>
      <c r="RC63" s="32"/>
      <c r="RD63" s="32"/>
      <c r="RE63" s="32"/>
      <c r="RF63" s="32"/>
      <c r="RG63" s="32"/>
      <c r="RH63" s="32"/>
      <c r="RI63" s="32"/>
      <c r="RJ63" s="32"/>
      <c r="RK63" s="32"/>
      <c r="RL63" s="32"/>
      <c r="RM63" s="32"/>
      <c r="RN63" s="32"/>
      <c r="RO63" s="32"/>
      <c r="RP63" s="32"/>
      <c r="RQ63" s="32"/>
      <c r="RR63" s="32"/>
      <c r="RS63" s="32"/>
      <c r="RT63" s="32"/>
      <c r="RU63" s="32"/>
      <c r="RV63" s="32"/>
      <c r="RW63" s="32"/>
      <c r="RX63" s="32"/>
      <c r="RY63" s="32"/>
      <c r="RZ63" s="32"/>
      <c r="SA63" s="32"/>
      <c r="SB63" s="32"/>
      <c r="SC63" s="32"/>
      <c r="SD63" s="32"/>
      <c r="SE63" s="32"/>
      <c r="SF63" s="32"/>
      <c r="SG63" s="32"/>
      <c r="SH63" s="32"/>
      <c r="SI63" s="32"/>
      <c r="SJ63" s="32"/>
      <c r="SK63" s="32"/>
      <c r="SL63" s="32"/>
      <c r="SM63" s="32"/>
      <c r="SN63" s="32"/>
      <c r="SO63" s="32"/>
      <c r="SP63" s="32"/>
      <c r="SQ63" s="32"/>
      <c r="SR63" s="32"/>
      <c r="SS63" s="32"/>
      <c r="ST63" s="32"/>
      <c r="SU63" s="32"/>
      <c r="SV63" s="32"/>
      <c r="SW63" s="32"/>
      <c r="SX63" s="32"/>
      <c r="SY63" s="32"/>
      <c r="SZ63" s="32"/>
      <c r="TA63" s="32"/>
      <c r="TB63" s="32"/>
      <c r="TC63" s="32"/>
      <c r="TD63" s="32"/>
      <c r="TE63" s="32"/>
      <c r="TF63" s="32"/>
      <c r="TG63" s="32"/>
      <c r="TH63" s="32"/>
      <c r="TI63" s="32"/>
      <c r="TJ63" s="32"/>
      <c r="TK63" s="32"/>
      <c r="TL63" s="32"/>
      <c r="TM63" s="32"/>
      <c r="TN63" s="32"/>
      <c r="TO63" s="32"/>
      <c r="TP63" s="32"/>
      <c r="TQ63" s="32"/>
      <c r="TR63" s="32"/>
      <c r="TS63" s="32"/>
      <c r="TT63" s="32"/>
      <c r="TU63" s="32"/>
      <c r="TV63" s="32"/>
      <c r="TW63" s="32"/>
      <c r="TX63" s="32"/>
      <c r="TY63" s="32"/>
      <c r="TZ63" s="32"/>
      <c r="UA63" s="32"/>
      <c r="UB63" s="32"/>
      <c r="UC63" s="32"/>
      <c r="UD63" s="32"/>
      <c r="UE63" s="32"/>
      <c r="UF63" s="32"/>
      <c r="UG63" s="32"/>
      <c r="UH63" s="32"/>
      <c r="UI63" s="32"/>
      <c r="UJ63" s="32"/>
      <c r="UK63" s="32"/>
      <c r="UL63" s="32"/>
      <c r="UM63" s="32"/>
      <c r="UN63" s="32"/>
      <c r="UO63" s="32"/>
      <c r="UP63" s="32"/>
      <c r="UQ63" s="32"/>
      <c r="UR63" s="32"/>
      <c r="US63" s="32"/>
      <c r="UT63" s="32"/>
      <c r="UU63" s="32"/>
      <c r="UV63" s="32"/>
      <c r="UW63" s="32"/>
      <c r="UX63" s="32"/>
      <c r="UY63" s="32"/>
      <c r="UZ63" s="32"/>
      <c r="VA63" s="32"/>
      <c r="VB63" s="32"/>
      <c r="VC63" s="32"/>
      <c r="VD63" s="32"/>
      <c r="VE63" s="32"/>
      <c r="VF63" s="32"/>
      <c r="VG63" s="32"/>
      <c r="VH63" s="32"/>
      <c r="VI63" s="32"/>
      <c r="VJ63" s="32"/>
      <c r="VK63" s="32"/>
      <c r="VL63" s="32"/>
      <c r="VM63" s="32"/>
      <c r="VN63" s="32"/>
      <c r="VO63" s="32"/>
      <c r="VP63" s="32"/>
      <c r="VQ63" s="32"/>
      <c r="VR63" s="32"/>
      <c r="VS63" s="32"/>
      <c r="VT63" s="32"/>
      <c r="VU63" s="32"/>
      <c r="VV63" s="32"/>
      <c r="VW63" s="32"/>
      <c r="VX63" s="32"/>
      <c r="VY63" s="32"/>
      <c r="VZ63" s="32"/>
      <c r="WA63" s="32"/>
      <c r="WB63" s="32"/>
      <c r="WC63" s="32"/>
      <c r="WD63" s="32"/>
      <c r="WE63" s="32"/>
      <c r="WF63" s="32"/>
      <c r="WG63" s="32"/>
      <c r="WH63" s="32"/>
      <c r="WI63" s="32"/>
      <c r="WJ63" s="32"/>
      <c r="WK63" s="32"/>
      <c r="WL63" s="32"/>
      <c r="WM63" s="32"/>
      <c r="WN63" s="32"/>
      <c r="WO63" s="32"/>
      <c r="WP63" s="32"/>
      <c r="WQ63" s="32"/>
      <c r="WR63" s="32"/>
      <c r="WS63" s="32"/>
      <c r="WT63" s="32"/>
      <c r="WU63" s="32"/>
      <c r="WV63" s="32"/>
      <c r="WW63" s="32"/>
      <c r="WX63" s="32"/>
      <c r="WY63" s="32"/>
      <c r="WZ63" s="32"/>
      <c r="XA63" s="32"/>
      <c r="XB63" s="32"/>
      <c r="XC63" s="32"/>
      <c r="XD63" s="32"/>
      <c r="XE63" s="32"/>
      <c r="XF63" s="32"/>
      <c r="XG63" s="32"/>
      <c r="XH63" s="32"/>
      <c r="XI63" s="32"/>
      <c r="XJ63" s="32"/>
      <c r="XK63" s="32"/>
      <c r="XL63" s="32"/>
      <c r="XM63" s="32"/>
      <c r="XN63" s="32"/>
      <c r="XO63" s="32"/>
      <c r="XP63" s="32"/>
      <c r="XQ63" s="32"/>
      <c r="XR63" s="32"/>
      <c r="XS63" s="32"/>
      <c r="XT63" s="32"/>
      <c r="XU63" s="32"/>
      <c r="XV63" s="32"/>
      <c r="XW63" s="32"/>
      <c r="XX63" s="32"/>
      <c r="XY63" s="32"/>
      <c r="XZ63" s="32"/>
      <c r="YA63" s="32"/>
      <c r="YB63" s="32"/>
      <c r="YC63" s="32"/>
      <c r="YD63" s="32"/>
      <c r="YE63" s="32"/>
      <c r="YF63" s="32"/>
      <c r="YG63" s="32"/>
      <c r="YH63" s="32"/>
      <c r="YI63" s="32"/>
      <c r="YJ63" s="32"/>
      <c r="YK63" s="32"/>
      <c r="YL63" s="32"/>
      <c r="YM63" s="32"/>
      <c r="YN63" s="32"/>
      <c r="YO63" s="32"/>
      <c r="YP63" s="32"/>
      <c r="YQ63" s="32"/>
      <c r="YR63" s="32"/>
      <c r="YS63" s="32"/>
      <c r="YT63" s="32"/>
      <c r="YU63" s="32"/>
      <c r="YV63" s="32"/>
      <c r="YW63" s="32"/>
      <c r="YX63" s="32"/>
      <c r="YY63" s="32"/>
      <c r="YZ63" s="32"/>
      <c r="ZA63" s="32"/>
      <c r="ZB63" s="32"/>
      <c r="ZC63" s="32"/>
      <c r="ZD63" s="32"/>
      <c r="ZE63" s="32"/>
      <c r="ZF63" s="32"/>
      <c r="ZG63" s="32"/>
      <c r="ZH63" s="32"/>
      <c r="ZI63" s="32"/>
      <c r="ZJ63" s="32"/>
      <c r="ZK63" s="32"/>
      <c r="ZL63" s="32"/>
      <c r="ZM63" s="32"/>
      <c r="ZN63" s="32"/>
      <c r="ZO63" s="32"/>
      <c r="ZP63" s="32"/>
      <c r="ZQ63" s="32"/>
      <c r="ZR63" s="32"/>
      <c r="ZS63" s="32"/>
      <c r="ZT63" s="32"/>
      <c r="ZU63" s="32"/>
      <c r="ZV63" s="32"/>
      <c r="ZW63" s="32"/>
      <c r="ZX63" s="32"/>
      <c r="ZY63" s="32"/>
      <c r="ZZ63" s="32"/>
      <c r="AAA63" s="32"/>
      <c r="AAB63" s="32"/>
      <c r="AAC63" s="32"/>
      <c r="AAD63" s="32"/>
      <c r="AAE63" s="32"/>
      <c r="AAF63" s="32"/>
      <c r="AAG63" s="32"/>
      <c r="AAH63" s="32"/>
      <c r="AAI63" s="32"/>
      <c r="AAJ63" s="32"/>
      <c r="AAK63" s="32"/>
      <c r="AAL63" s="32"/>
      <c r="AAM63" s="32"/>
      <c r="AAN63" s="32"/>
      <c r="AAO63" s="32"/>
      <c r="AAP63" s="32"/>
      <c r="AAQ63" s="32"/>
      <c r="AAR63" s="32"/>
      <c r="AAS63" s="32"/>
      <c r="AAT63" s="32"/>
      <c r="AAU63" s="32"/>
      <c r="AAV63" s="32"/>
      <c r="AAW63" s="32"/>
      <c r="AAX63" s="32"/>
      <c r="AAY63" s="32"/>
      <c r="AAZ63" s="32"/>
      <c r="ABA63" s="32"/>
      <c r="ABB63" s="32"/>
      <c r="ABC63" s="32"/>
      <c r="ABD63" s="32"/>
      <c r="ABE63" s="32"/>
      <c r="ABF63" s="32"/>
      <c r="ABG63" s="32"/>
      <c r="ABH63" s="32"/>
      <c r="ABI63" s="32"/>
      <c r="ABJ63" s="32"/>
      <c r="ABK63" s="32"/>
      <c r="ABL63" s="32"/>
      <c r="ABM63" s="32"/>
      <c r="ABN63" s="32"/>
      <c r="ABO63" s="32"/>
      <c r="ABP63" s="32"/>
      <c r="ABQ63" s="32"/>
      <c r="ABR63" s="32"/>
      <c r="ABS63" s="32"/>
      <c r="ABT63" s="32"/>
      <c r="ABU63" s="32"/>
      <c r="ABV63" s="32"/>
      <c r="ABW63" s="32"/>
      <c r="ABX63" s="32"/>
      <c r="ABY63" s="32"/>
      <c r="ABZ63" s="32"/>
      <c r="ACA63" s="32"/>
      <c r="ACB63" s="32"/>
      <c r="ACC63" s="32"/>
      <c r="ACD63" s="32"/>
      <c r="ACE63" s="32"/>
      <c r="ACF63" s="32"/>
      <c r="ACG63" s="32"/>
      <c r="ACH63" s="32"/>
      <c r="ACI63" s="32"/>
      <c r="ACJ63" s="32"/>
      <c r="ACK63" s="32"/>
      <c r="ACL63" s="32"/>
      <c r="ACM63" s="32"/>
      <c r="ACN63" s="32"/>
      <c r="ACO63" s="32"/>
      <c r="ACP63" s="32"/>
      <c r="ACQ63" s="32"/>
      <c r="ACR63" s="32"/>
      <c r="ACS63" s="32"/>
      <c r="ACT63" s="32"/>
      <c r="ACU63" s="32"/>
      <c r="ACV63" s="32"/>
      <c r="ACW63" s="32"/>
      <c r="ACX63" s="32"/>
      <c r="ACY63" s="32"/>
      <c r="ACZ63" s="32"/>
      <c r="ADA63" s="32"/>
      <c r="ADB63" s="32"/>
      <c r="ADC63" s="32"/>
      <c r="ADD63" s="32"/>
      <c r="ADE63" s="32"/>
      <c r="ADF63" s="32"/>
      <c r="ADG63" s="32"/>
      <c r="ADH63" s="32"/>
      <c r="ADI63" s="32"/>
      <c r="ADJ63" s="32"/>
      <c r="ADK63" s="32"/>
      <c r="ADL63" s="32"/>
      <c r="ADM63" s="32"/>
      <c r="ADN63" s="32"/>
      <c r="ADO63" s="32"/>
      <c r="ADP63" s="32"/>
      <c r="ADQ63" s="32"/>
      <c r="ADR63" s="32"/>
      <c r="ADS63" s="32"/>
      <c r="ADT63" s="32"/>
      <c r="ADU63" s="32"/>
      <c r="ADV63" s="32"/>
      <c r="ADW63" s="32"/>
      <c r="ADX63" s="32"/>
      <c r="ADY63" s="32"/>
      <c r="ADZ63" s="32"/>
      <c r="AEA63" s="32"/>
      <c r="AEB63" s="32"/>
      <c r="AEC63" s="32"/>
      <c r="AED63" s="32"/>
      <c r="AEE63" s="32"/>
      <c r="AEF63" s="32"/>
      <c r="AEG63" s="32"/>
      <c r="AEH63" s="32"/>
      <c r="AEI63" s="32"/>
      <c r="AEJ63" s="32"/>
      <c r="AEK63" s="32"/>
      <c r="AEL63" s="32"/>
      <c r="AEM63" s="32"/>
      <c r="AEN63" s="32"/>
      <c r="AEO63" s="32"/>
      <c r="AEP63" s="32"/>
      <c r="AEQ63" s="32"/>
      <c r="AER63" s="32"/>
      <c r="AES63" s="32"/>
      <c r="AET63" s="32"/>
      <c r="AEU63" s="32"/>
      <c r="AEV63" s="32"/>
      <c r="AEW63" s="32"/>
      <c r="AEX63" s="32"/>
      <c r="AEY63" s="32"/>
      <c r="AEZ63" s="32"/>
      <c r="AFA63" s="32"/>
      <c r="AFB63" s="32"/>
      <c r="AFC63" s="32"/>
      <c r="AFD63" s="32"/>
      <c r="AFE63" s="32"/>
      <c r="AFF63" s="32"/>
      <c r="AFG63" s="32"/>
      <c r="AFH63" s="32"/>
      <c r="AFI63" s="32"/>
      <c r="AFJ63" s="32"/>
      <c r="AFK63" s="32"/>
      <c r="AFL63" s="32"/>
      <c r="AFM63" s="32"/>
      <c r="AFN63" s="32"/>
      <c r="AFO63" s="32"/>
      <c r="AFP63" s="32"/>
      <c r="AFQ63" s="32"/>
      <c r="AFR63" s="32"/>
      <c r="AFS63" s="32"/>
      <c r="AFT63" s="32"/>
      <c r="AFU63" s="32"/>
      <c r="AFV63" s="32"/>
      <c r="AFW63" s="32"/>
      <c r="AFX63" s="32"/>
      <c r="AFY63" s="32"/>
      <c r="AFZ63" s="32"/>
      <c r="AGA63" s="32"/>
      <c r="AGB63" s="32"/>
      <c r="AGC63" s="32"/>
      <c r="AGD63" s="32"/>
      <c r="AGE63" s="32"/>
      <c r="AGF63" s="32"/>
      <c r="AGG63" s="32"/>
      <c r="AGH63" s="32"/>
      <c r="AGI63" s="32"/>
      <c r="AGJ63" s="32"/>
      <c r="AGK63" s="32"/>
      <c r="AGL63" s="32"/>
      <c r="AGM63" s="32"/>
      <c r="AGN63" s="32"/>
      <c r="AGO63" s="32"/>
      <c r="AGP63" s="32"/>
      <c r="AGQ63" s="32"/>
      <c r="AGR63" s="32"/>
      <c r="AGS63" s="32"/>
      <c r="AGT63" s="32"/>
      <c r="AGU63" s="32"/>
      <c r="AGV63" s="32"/>
      <c r="AGW63" s="32"/>
      <c r="AGX63" s="32"/>
      <c r="AGY63" s="32"/>
      <c r="AGZ63" s="32"/>
      <c r="AHA63" s="32"/>
      <c r="AHB63" s="32"/>
      <c r="AHC63" s="32"/>
      <c r="AHD63" s="32"/>
      <c r="AHE63" s="32"/>
      <c r="AHF63" s="32"/>
      <c r="AHG63" s="32"/>
      <c r="AHH63" s="32"/>
      <c r="AHI63" s="32"/>
      <c r="AHJ63" s="32"/>
      <c r="AHK63" s="32"/>
      <c r="AHL63" s="32"/>
      <c r="AHM63" s="32"/>
      <c r="AHN63" s="32"/>
      <c r="AHO63" s="32"/>
      <c r="AHP63" s="32"/>
      <c r="AHQ63" s="32"/>
      <c r="AHR63" s="32"/>
      <c r="AHS63" s="32"/>
      <c r="AHT63" s="32"/>
      <c r="AHU63" s="32"/>
      <c r="AHV63" s="32"/>
      <c r="AHW63" s="32"/>
      <c r="AHX63" s="32"/>
      <c r="AHY63" s="32"/>
      <c r="AHZ63" s="32"/>
      <c r="AIA63" s="32"/>
      <c r="AIB63" s="32"/>
      <c r="AIC63" s="32"/>
      <c r="AID63" s="32"/>
      <c r="AIE63" s="32"/>
      <c r="AIF63" s="32"/>
      <c r="AIG63" s="32"/>
      <c r="AIH63" s="32"/>
      <c r="AII63" s="32"/>
      <c r="AIJ63" s="32"/>
      <c r="AIK63" s="32"/>
      <c r="AIL63" s="32"/>
      <c r="AIM63" s="32"/>
      <c r="AIN63" s="32"/>
      <c r="AIO63" s="32"/>
      <c r="AIP63" s="32"/>
      <c r="AIQ63" s="32"/>
      <c r="AIR63" s="32"/>
      <c r="AIS63" s="32"/>
      <c r="AIT63" s="32"/>
      <c r="AIU63" s="32"/>
      <c r="AIV63" s="32"/>
      <c r="AIW63" s="32"/>
      <c r="AIX63" s="32"/>
      <c r="AIY63" s="32"/>
      <c r="AIZ63" s="32"/>
      <c r="AJA63" s="32"/>
      <c r="AJB63" s="32"/>
      <c r="AJC63" s="32"/>
      <c r="AJD63" s="32"/>
      <c r="AJE63" s="32"/>
      <c r="AJF63" s="32"/>
      <c r="AJG63" s="32"/>
      <c r="AJH63" s="32"/>
      <c r="AJI63" s="32"/>
      <c r="AJJ63" s="32"/>
      <c r="AJK63" s="32"/>
      <c r="AJL63" s="32"/>
      <c r="AJM63" s="32"/>
      <c r="AJN63" s="32"/>
      <c r="AJO63" s="32"/>
      <c r="AJP63" s="32"/>
      <c r="AJQ63" s="32"/>
      <c r="AJR63" s="32"/>
      <c r="AJS63" s="32"/>
      <c r="AJT63" s="32"/>
      <c r="AJU63" s="32"/>
      <c r="AJV63" s="32"/>
      <c r="AJW63" s="32"/>
      <c r="AJX63" s="32"/>
      <c r="AJY63" s="32"/>
      <c r="AJZ63" s="32"/>
      <c r="AKA63" s="32"/>
      <c r="AKB63" s="32"/>
      <c r="AKC63" s="32"/>
      <c r="AKD63" s="32"/>
      <c r="AKE63" s="32"/>
      <c r="AKF63" s="32"/>
      <c r="AKG63" s="32"/>
      <c r="AKH63" s="32"/>
      <c r="AKI63" s="32"/>
      <c r="AKJ63" s="32"/>
      <c r="AKK63" s="32"/>
      <c r="AKL63" s="32"/>
      <c r="AKM63" s="32"/>
      <c r="AKN63" s="32"/>
      <c r="AKO63" s="32"/>
      <c r="AKP63" s="32"/>
      <c r="AKQ63" s="32"/>
      <c r="AKR63" s="32"/>
      <c r="AKS63" s="32"/>
      <c r="AKT63" s="32"/>
      <c r="AKU63" s="32"/>
      <c r="AKV63" s="32"/>
      <c r="AKW63" s="32"/>
      <c r="AKX63" s="32"/>
      <c r="AKY63" s="32"/>
      <c r="AKZ63" s="32"/>
      <c r="ALA63" s="32"/>
      <c r="ALB63" s="32"/>
      <c r="ALC63" s="32"/>
      <c r="ALD63" s="32"/>
      <c r="ALE63" s="32"/>
      <c r="ALF63" s="32"/>
      <c r="ALG63" s="32"/>
      <c r="ALH63" s="32"/>
      <c r="ALI63" s="32"/>
      <c r="ALJ63" s="32"/>
      <c r="ALK63" s="32"/>
      <c r="ALL63" s="32"/>
      <c r="ALM63" s="32"/>
      <c r="ALN63" s="32"/>
      <c r="ALO63" s="32"/>
      <c r="ALP63" s="32"/>
      <c r="ALQ63" s="32"/>
      <c r="ALR63" s="32"/>
      <c r="ALS63" s="32"/>
      <c r="ALT63" s="32"/>
      <c r="ALU63" s="32"/>
      <c r="ALV63" s="32"/>
      <c r="ALW63" s="32"/>
      <c r="ALX63" s="32"/>
      <c r="ALY63" s="32"/>
      <c r="ALZ63" s="32"/>
      <c r="AMA63" s="32"/>
      <c r="AMB63" s="32"/>
      <c r="AMC63" s="32"/>
      <c r="AMD63" s="32"/>
      <c r="AME63" s="32"/>
      <c r="AMF63" s="32"/>
      <c r="AMG63" s="32"/>
      <c r="AMH63" s="32"/>
      <c r="AMI63" s="32"/>
      <c r="AMJ63" s="32"/>
      <c r="AMK63" s="32"/>
      <c r="AML63" s="32"/>
      <c r="AMM63" s="32"/>
      <c r="AMN63" s="32"/>
      <c r="AMO63" s="32"/>
      <c r="AMP63" s="32"/>
      <c r="AMQ63" s="32"/>
      <c r="AMR63" s="32"/>
      <c r="AMS63" s="32"/>
      <c r="AMT63" s="32"/>
      <c r="AMU63" s="32"/>
      <c r="AMV63" s="32"/>
      <c r="AMW63" s="32"/>
      <c r="AMX63" s="32"/>
      <c r="AMY63" s="32"/>
      <c r="AMZ63" s="32"/>
      <c r="ANA63" s="32"/>
      <c r="ANB63" s="32"/>
      <c r="ANC63" s="32"/>
      <c r="AND63" s="32"/>
      <c r="ANE63" s="32"/>
      <c r="ANF63" s="32"/>
      <c r="ANG63" s="32"/>
      <c r="ANH63" s="32"/>
      <c r="ANI63" s="32"/>
      <c r="ANJ63" s="32"/>
      <c r="ANK63" s="32"/>
      <c r="ANL63" s="32"/>
      <c r="ANM63" s="32"/>
      <c r="ANN63" s="32"/>
      <c r="ANO63" s="32"/>
      <c r="ANP63" s="32"/>
      <c r="ANQ63" s="32"/>
      <c r="ANR63" s="32"/>
      <c r="ANS63" s="32"/>
      <c r="ANT63" s="32"/>
      <c r="ANU63" s="32"/>
      <c r="ANV63" s="32"/>
      <c r="ANW63" s="32"/>
      <c r="ANX63" s="32"/>
      <c r="ANY63" s="32"/>
      <c r="ANZ63" s="32"/>
      <c r="AOA63" s="32"/>
      <c r="AOB63" s="32"/>
      <c r="AOC63" s="32"/>
      <c r="AOD63" s="32"/>
      <c r="AOE63" s="32"/>
      <c r="AOF63" s="32"/>
      <c r="AOG63" s="32"/>
      <c r="AOH63" s="32"/>
      <c r="AOI63" s="32"/>
      <c r="AOJ63" s="32"/>
      <c r="AOK63" s="32"/>
      <c r="AOL63" s="32"/>
      <c r="AOM63" s="32"/>
      <c r="AON63" s="32"/>
      <c r="AOO63" s="32"/>
      <c r="AOP63" s="32"/>
      <c r="AOQ63" s="32"/>
      <c r="AOR63" s="32"/>
      <c r="AOS63" s="32"/>
      <c r="AOT63" s="32"/>
      <c r="AOU63" s="32"/>
      <c r="AOV63" s="32"/>
      <c r="AOW63" s="32"/>
      <c r="AOX63" s="32"/>
      <c r="AOY63" s="32"/>
      <c r="AOZ63" s="32"/>
      <c r="APA63" s="32"/>
      <c r="APB63" s="32"/>
      <c r="APC63" s="32"/>
      <c r="APD63" s="32"/>
      <c r="APE63" s="32"/>
      <c r="APF63" s="32"/>
      <c r="APG63" s="32"/>
      <c r="APH63" s="32"/>
      <c r="API63" s="32"/>
      <c r="APJ63" s="32"/>
      <c r="APK63" s="32"/>
      <c r="APL63" s="32"/>
      <c r="APM63" s="32"/>
      <c r="APN63" s="32"/>
      <c r="APO63" s="32"/>
      <c r="APP63" s="32"/>
      <c r="APQ63" s="32"/>
      <c r="APR63" s="32"/>
      <c r="APS63" s="32"/>
      <c r="APT63" s="32"/>
      <c r="APU63" s="32"/>
      <c r="APV63" s="32"/>
      <c r="APW63" s="32"/>
      <c r="APX63" s="32"/>
      <c r="APY63" s="32"/>
      <c r="APZ63" s="32"/>
      <c r="AQA63" s="32"/>
      <c r="AQB63" s="32"/>
      <c r="AQC63" s="32"/>
      <c r="AQD63" s="32"/>
      <c r="AQE63" s="32"/>
      <c r="AQF63" s="32"/>
      <c r="AQG63" s="32"/>
      <c r="AQH63" s="32"/>
      <c r="AQI63" s="32"/>
      <c r="AQJ63" s="32"/>
      <c r="AQK63" s="32"/>
      <c r="AQL63" s="32"/>
      <c r="AQM63" s="32"/>
      <c r="AQN63" s="32"/>
      <c r="AQO63" s="32"/>
      <c r="AQP63" s="32"/>
      <c r="AQQ63" s="32"/>
      <c r="AQR63" s="32"/>
      <c r="AQS63" s="32"/>
      <c r="AQT63" s="32"/>
      <c r="AQU63" s="32"/>
      <c r="AQV63" s="32"/>
      <c r="AQW63" s="32"/>
      <c r="AQX63" s="32"/>
      <c r="AQY63" s="32"/>
      <c r="AQZ63" s="32"/>
      <c r="ARA63" s="32"/>
      <c r="ARB63" s="32"/>
      <c r="ARC63" s="32"/>
      <c r="ARD63" s="32"/>
      <c r="ARE63" s="32"/>
      <c r="ARF63" s="32"/>
      <c r="ARG63" s="32"/>
      <c r="ARH63" s="32"/>
      <c r="ARI63" s="32"/>
      <c r="ARJ63" s="32"/>
      <c r="ARK63" s="32"/>
      <c r="ARL63" s="32"/>
      <c r="ARM63" s="32"/>
      <c r="ARN63" s="32"/>
      <c r="ARO63" s="32"/>
      <c r="ARP63" s="32"/>
      <c r="ARQ63" s="32"/>
      <c r="ARR63" s="32"/>
      <c r="ARS63" s="32"/>
      <c r="ART63" s="32"/>
      <c r="ARU63" s="32"/>
      <c r="ARV63" s="32"/>
      <c r="ARW63" s="32"/>
      <c r="ARX63" s="32"/>
      <c r="ARY63" s="32"/>
      <c r="ARZ63" s="32"/>
      <c r="ASA63" s="32"/>
      <c r="ASB63" s="32"/>
      <c r="ASC63" s="32"/>
      <c r="ASD63" s="32"/>
      <c r="ASE63" s="32"/>
      <c r="ASF63" s="32"/>
      <c r="ASG63" s="32"/>
      <c r="ASH63" s="32"/>
      <c r="ASI63" s="32"/>
      <c r="ASJ63" s="32"/>
      <c r="ASK63" s="32"/>
      <c r="ASL63" s="32"/>
      <c r="ASM63" s="32"/>
      <c r="ASN63" s="32"/>
      <c r="ASO63" s="32"/>
      <c r="ASP63" s="32"/>
      <c r="ASQ63" s="32"/>
      <c r="ASR63" s="32"/>
      <c r="ASS63" s="32"/>
      <c r="AST63" s="32"/>
      <c r="ASU63" s="32"/>
      <c r="ASV63" s="32"/>
      <c r="ASW63" s="32"/>
      <c r="ASX63" s="32"/>
      <c r="ASY63" s="32"/>
      <c r="ASZ63" s="32"/>
      <c r="ATA63" s="32"/>
      <c r="ATB63" s="32"/>
      <c r="ATC63" s="32"/>
      <c r="ATD63" s="32"/>
      <c r="ATE63" s="32"/>
      <c r="ATF63" s="32"/>
      <c r="ATG63" s="32"/>
      <c r="ATH63" s="32"/>
      <c r="ATI63" s="32"/>
      <c r="ATJ63" s="32"/>
      <c r="ATK63" s="32"/>
      <c r="ATL63" s="32"/>
      <c r="ATM63" s="32"/>
      <c r="ATN63" s="32"/>
      <c r="ATO63" s="32"/>
      <c r="ATP63" s="32"/>
      <c r="ATQ63" s="32"/>
      <c r="ATR63" s="32"/>
      <c r="ATS63" s="32"/>
      <c r="ATT63" s="32"/>
      <c r="ATU63" s="32"/>
      <c r="ATV63" s="32"/>
      <c r="ATW63" s="32"/>
      <c r="ATX63" s="32"/>
      <c r="ATY63" s="32"/>
      <c r="ATZ63" s="32"/>
      <c r="AUA63" s="32"/>
      <c r="AUB63" s="32"/>
      <c r="AUC63" s="32"/>
      <c r="AUD63" s="32"/>
      <c r="AUE63" s="32"/>
      <c r="AUF63" s="32"/>
      <c r="AUG63" s="32"/>
      <c r="AUH63" s="32"/>
      <c r="AUI63" s="32"/>
      <c r="AUJ63" s="32"/>
      <c r="AUK63" s="32"/>
      <c r="AUL63" s="32"/>
      <c r="AUM63" s="32"/>
      <c r="AUN63" s="32"/>
      <c r="AUO63" s="32"/>
      <c r="AUP63" s="32"/>
      <c r="AUQ63" s="32"/>
      <c r="AUR63" s="32"/>
      <c r="AUS63" s="32"/>
      <c r="AUT63" s="32"/>
      <c r="AUU63" s="32"/>
      <c r="AUV63" s="32"/>
      <c r="AUW63" s="32"/>
      <c r="AUX63" s="32"/>
      <c r="AUY63" s="32"/>
      <c r="AUZ63" s="32"/>
      <c r="AVA63" s="32"/>
      <c r="AVB63" s="32"/>
      <c r="AVC63" s="32"/>
      <c r="AVD63" s="32"/>
      <c r="AVE63" s="32"/>
      <c r="AVF63" s="32"/>
      <c r="AVG63" s="32"/>
      <c r="AVH63" s="32"/>
      <c r="AVI63" s="32"/>
      <c r="AVJ63" s="32"/>
      <c r="AVK63" s="32"/>
      <c r="AVL63" s="32"/>
      <c r="AVM63" s="32"/>
      <c r="AVN63" s="32"/>
      <c r="AVO63" s="32"/>
      <c r="AVP63" s="32"/>
      <c r="AVQ63" s="32"/>
      <c r="AVR63" s="32"/>
      <c r="AVS63" s="32"/>
      <c r="AVT63" s="32"/>
      <c r="AVU63" s="32"/>
      <c r="AVV63" s="32"/>
      <c r="AVW63" s="32"/>
      <c r="AVX63" s="32"/>
      <c r="AVY63" s="32"/>
      <c r="AVZ63" s="32"/>
      <c r="AWA63" s="32"/>
      <c r="AWB63" s="32"/>
      <c r="AWC63" s="32"/>
      <c r="AWD63" s="32"/>
      <c r="AWE63" s="32"/>
      <c r="AWF63" s="32"/>
      <c r="AWG63" s="32"/>
      <c r="AWH63" s="32"/>
      <c r="AWI63" s="32"/>
      <c r="AWJ63" s="32"/>
      <c r="AWK63" s="32"/>
      <c r="AWL63" s="32"/>
      <c r="AWM63" s="32"/>
      <c r="AWN63" s="32"/>
      <c r="AWO63" s="32"/>
      <c r="AWP63" s="32"/>
      <c r="AWQ63" s="32"/>
      <c r="AWR63" s="32"/>
      <c r="AWS63" s="32"/>
      <c r="AWT63" s="32"/>
      <c r="AWU63" s="32"/>
      <c r="AWV63" s="32"/>
      <c r="AWW63" s="32"/>
      <c r="AWX63" s="32"/>
      <c r="AWY63" s="32"/>
      <c r="AWZ63" s="32"/>
      <c r="AXA63" s="32"/>
      <c r="AXB63" s="32"/>
      <c r="AXC63" s="32"/>
      <c r="AXD63" s="32"/>
      <c r="AXE63" s="32"/>
      <c r="AXF63" s="32"/>
      <c r="AXG63" s="32"/>
      <c r="AXH63" s="32"/>
      <c r="AXI63" s="32"/>
      <c r="AXJ63" s="32"/>
      <c r="AXK63" s="32"/>
      <c r="AXL63" s="32"/>
      <c r="AXM63" s="32"/>
      <c r="AXN63" s="32"/>
      <c r="AXO63" s="32"/>
      <c r="AXP63" s="32"/>
      <c r="AXQ63" s="32"/>
      <c r="AXR63" s="32"/>
      <c r="AXS63" s="32"/>
      <c r="AXT63" s="32"/>
      <c r="AXU63" s="32"/>
      <c r="AXV63" s="32"/>
      <c r="AXW63" s="32"/>
      <c r="AXX63" s="32"/>
      <c r="AXY63" s="32"/>
      <c r="AXZ63" s="32"/>
      <c r="AYA63" s="32"/>
      <c r="AYB63" s="32"/>
      <c r="AYC63" s="32"/>
      <c r="AYD63" s="32"/>
      <c r="AYE63" s="32"/>
      <c r="AYF63" s="32"/>
      <c r="AYG63" s="32"/>
      <c r="AYH63" s="32"/>
      <c r="AYI63" s="32"/>
      <c r="AYJ63" s="32"/>
      <c r="AYK63" s="32"/>
      <c r="AYL63" s="32"/>
      <c r="AYM63" s="32"/>
      <c r="AYN63" s="32"/>
      <c r="AYO63" s="32"/>
      <c r="AYP63" s="32"/>
      <c r="AYQ63" s="32"/>
      <c r="AYR63" s="32"/>
      <c r="AYS63" s="32"/>
      <c r="AYT63" s="32"/>
      <c r="AYU63" s="32"/>
      <c r="AYV63" s="32"/>
      <c r="AYW63" s="32"/>
      <c r="AYX63" s="32"/>
      <c r="AYY63" s="32"/>
      <c r="AYZ63" s="32"/>
      <c r="AZA63" s="32"/>
      <c r="AZB63" s="32"/>
      <c r="AZC63" s="32"/>
      <c r="AZD63" s="32"/>
      <c r="AZE63" s="32"/>
      <c r="AZF63" s="32"/>
      <c r="AZG63" s="32"/>
      <c r="AZH63" s="32"/>
      <c r="AZI63" s="32"/>
      <c r="AZJ63" s="32"/>
      <c r="AZK63" s="32"/>
      <c r="AZL63" s="32"/>
      <c r="AZM63" s="32"/>
      <c r="AZN63" s="32"/>
      <c r="AZO63" s="32"/>
      <c r="AZP63" s="32"/>
      <c r="AZQ63" s="32"/>
      <c r="AZR63" s="32"/>
      <c r="AZS63" s="32"/>
      <c r="AZT63" s="32"/>
      <c r="AZU63" s="32"/>
      <c r="AZV63" s="32"/>
      <c r="AZW63" s="32"/>
      <c r="AZX63" s="32"/>
      <c r="AZY63" s="32"/>
      <c r="AZZ63" s="32"/>
      <c r="BAA63" s="32"/>
      <c r="BAB63" s="32"/>
      <c r="BAC63" s="32"/>
      <c r="BAD63" s="32"/>
      <c r="BAE63" s="32"/>
      <c r="BAF63" s="32"/>
      <c r="BAG63" s="32"/>
      <c r="BAH63" s="32"/>
      <c r="BAI63" s="32"/>
      <c r="BAJ63" s="32"/>
      <c r="BAK63" s="32"/>
      <c r="BAL63" s="32"/>
      <c r="BAM63" s="32"/>
      <c r="BAN63" s="32"/>
      <c r="BAO63" s="32"/>
      <c r="BAP63" s="32"/>
      <c r="BAQ63" s="32"/>
      <c r="BAR63" s="32"/>
      <c r="BAS63" s="32"/>
      <c r="BAT63" s="32"/>
      <c r="BAU63" s="32"/>
      <c r="BAV63" s="32"/>
      <c r="BAW63" s="32"/>
      <c r="BAX63" s="32"/>
      <c r="BAY63" s="32"/>
      <c r="BAZ63" s="32"/>
      <c r="BBA63" s="32"/>
      <c r="BBB63" s="32"/>
      <c r="BBC63" s="32"/>
      <c r="BBD63" s="32"/>
      <c r="BBE63" s="32"/>
      <c r="BBF63" s="32"/>
      <c r="BBG63" s="32"/>
      <c r="BBH63" s="32"/>
      <c r="BBI63" s="32"/>
      <c r="BBJ63" s="32"/>
      <c r="BBK63" s="32"/>
      <c r="BBL63" s="32"/>
      <c r="BBM63" s="32"/>
      <c r="BBN63" s="32"/>
      <c r="BBO63" s="32"/>
      <c r="BBP63" s="32"/>
      <c r="BBQ63" s="32"/>
      <c r="BBR63" s="32"/>
      <c r="BBS63" s="32"/>
      <c r="BBT63" s="32"/>
      <c r="BBU63" s="32"/>
      <c r="BBV63" s="32"/>
      <c r="BBW63" s="32"/>
      <c r="BBX63" s="32"/>
      <c r="BBY63" s="32"/>
      <c r="BBZ63" s="32"/>
      <c r="BCA63" s="32"/>
      <c r="BCB63" s="32"/>
      <c r="BCC63" s="32"/>
      <c r="BCD63" s="32"/>
      <c r="BCE63" s="32"/>
      <c r="BCF63" s="32"/>
      <c r="BCG63" s="32"/>
      <c r="BCH63" s="32"/>
      <c r="BCI63" s="32"/>
      <c r="BCJ63" s="32"/>
      <c r="BCK63" s="32"/>
      <c r="BCL63" s="32"/>
      <c r="BCM63" s="32"/>
      <c r="BCN63" s="32"/>
      <c r="BCO63" s="32"/>
      <c r="BCP63" s="32"/>
      <c r="BCQ63" s="32"/>
      <c r="BCR63" s="32"/>
      <c r="BCS63" s="32"/>
      <c r="BCT63" s="32"/>
      <c r="BCU63" s="32"/>
      <c r="BCV63" s="32"/>
      <c r="BCW63" s="32"/>
      <c r="BCX63" s="32"/>
      <c r="BCY63" s="32"/>
      <c r="BCZ63" s="32"/>
      <c r="BDA63" s="32"/>
      <c r="BDB63" s="32"/>
      <c r="BDC63" s="32"/>
      <c r="BDD63" s="32"/>
      <c r="BDE63" s="32"/>
      <c r="BDF63" s="32"/>
      <c r="BDG63" s="32"/>
      <c r="BDH63" s="32"/>
      <c r="BDI63" s="32"/>
      <c r="BDJ63" s="32"/>
      <c r="BDK63" s="32"/>
      <c r="BDL63" s="32"/>
      <c r="BDM63" s="32"/>
      <c r="BDN63" s="32"/>
      <c r="BDO63" s="32"/>
      <c r="BDP63" s="32"/>
      <c r="BDQ63" s="32"/>
      <c r="BDR63" s="32"/>
      <c r="BDS63" s="32"/>
      <c r="BDT63" s="32"/>
      <c r="BDU63" s="32"/>
      <c r="BDV63" s="32"/>
      <c r="BDW63" s="32"/>
      <c r="BDX63" s="32"/>
      <c r="BDY63" s="32"/>
      <c r="BDZ63" s="32"/>
      <c r="BEA63" s="32"/>
      <c r="BEB63" s="32"/>
      <c r="BEC63" s="32"/>
      <c r="BED63" s="32"/>
      <c r="BEE63" s="32"/>
      <c r="BEF63" s="32"/>
      <c r="BEG63" s="32"/>
      <c r="BEH63" s="32"/>
      <c r="BEI63" s="32"/>
      <c r="BEJ63" s="32"/>
      <c r="BEK63" s="32"/>
      <c r="BEL63" s="32"/>
      <c r="BEM63" s="32"/>
      <c r="BEN63" s="32"/>
      <c r="BEO63" s="32"/>
      <c r="BEP63" s="32"/>
      <c r="BEQ63" s="32"/>
      <c r="BER63" s="32"/>
      <c r="BES63" s="32"/>
      <c r="BET63" s="32"/>
      <c r="BEU63" s="32"/>
      <c r="BEV63" s="32"/>
      <c r="BEW63" s="32"/>
      <c r="BEX63" s="32"/>
      <c r="BEY63" s="32"/>
      <c r="BEZ63" s="32"/>
      <c r="BFA63" s="32"/>
      <c r="BFB63" s="32"/>
      <c r="BFC63" s="32"/>
      <c r="BFD63" s="32"/>
      <c r="BFE63" s="32"/>
      <c r="BFF63" s="32"/>
      <c r="BFG63" s="32"/>
      <c r="BFH63" s="32"/>
      <c r="BFI63" s="32"/>
      <c r="BFJ63" s="32"/>
      <c r="BFK63" s="32"/>
      <c r="BFL63" s="32"/>
      <c r="BFM63" s="32"/>
      <c r="BFN63" s="32"/>
      <c r="BFO63" s="32"/>
      <c r="BFP63" s="32"/>
      <c r="BFQ63" s="32"/>
      <c r="BFR63" s="32"/>
      <c r="BFS63" s="32"/>
      <c r="BFT63" s="32"/>
      <c r="BFU63" s="32"/>
      <c r="BFV63" s="32"/>
      <c r="BFW63" s="32"/>
      <c r="BFX63" s="32"/>
      <c r="BFY63" s="32"/>
      <c r="BFZ63" s="32"/>
      <c r="BGA63" s="32"/>
      <c r="BGB63" s="32"/>
      <c r="BGC63" s="32"/>
      <c r="BGD63" s="32"/>
      <c r="BGE63" s="32"/>
      <c r="BGF63" s="32"/>
      <c r="BGG63" s="32"/>
      <c r="BGH63" s="32"/>
      <c r="BGI63" s="32"/>
      <c r="BGJ63" s="32"/>
      <c r="BGK63" s="32"/>
      <c r="BGL63" s="32"/>
      <c r="BGM63" s="32"/>
      <c r="BGN63" s="32"/>
      <c r="BGO63" s="32"/>
      <c r="BGP63" s="32"/>
      <c r="BGQ63" s="32"/>
      <c r="BGR63" s="32"/>
      <c r="BGS63" s="32"/>
      <c r="BGT63" s="32"/>
      <c r="BGU63" s="32"/>
      <c r="BGV63" s="32"/>
      <c r="BGW63" s="32"/>
      <c r="BGX63" s="32"/>
      <c r="BGY63" s="32"/>
      <c r="BGZ63" s="32"/>
      <c r="BHA63" s="32"/>
      <c r="BHB63" s="32"/>
      <c r="BHC63" s="32"/>
      <c r="BHD63" s="32"/>
      <c r="BHE63" s="32"/>
      <c r="BHF63" s="32"/>
      <c r="BHG63" s="32"/>
      <c r="BHH63" s="32"/>
      <c r="BHI63" s="32"/>
      <c r="BHJ63" s="32"/>
      <c r="BHK63" s="32"/>
      <c r="BHL63" s="32"/>
      <c r="BHM63" s="32"/>
      <c r="BHN63" s="32"/>
      <c r="BHO63" s="32"/>
      <c r="BHP63" s="32"/>
      <c r="BHQ63" s="32"/>
      <c r="BHR63" s="32"/>
      <c r="BHS63" s="32"/>
      <c r="BHT63" s="32"/>
      <c r="BHU63" s="32"/>
      <c r="BHV63" s="32"/>
      <c r="BHW63" s="32"/>
      <c r="BHX63" s="32"/>
      <c r="BHY63" s="32"/>
      <c r="BHZ63" s="32"/>
      <c r="BIA63" s="32"/>
      <c r="BIB63" s="32"/>
      <c r="BIC63" s="32"/>
      <c r="BID63" s="32"/>
      <c r="BIE63" s="32"/>
      <c r="BIF63" s="32"/>
      <c r="BIG63" s="32"/>
      <c r="BIH63" s="32"/>
      <c r="BII63" s="32"/>
      <c r="BIJ63" s="32"/>
      <c r="BIK63" s="32"/>
      <c r="BIL63" s="32"/>
      <c r="BIM63" s="32"/>
      <c r="BIN63" s="32"/>
      <c r="BIO63" s="32"/>
      <c r="BIP63" s="32"/>
      <c r="BIQ63" s="32"/>
      <c r="BIR63" s="32"/>
      <c r="BIS63" s="32"/>
      <c r="BIT63" s="32"/>
      <c r="BIU63" s="32"/>
      <c r="BIV63" s="32"/>
      <c r="BIW63" s="32"/>
      <c r="BIX63" s="32"/>
      <c r="BIY63" s="32"/>
      <c r="BIZ63" s="32"/>
      <c r="BJA63" s="32"/>
      <c r="BJB63" s="32"/>
      <c r="BJC63" s="32"/>
      <c r="BJD63" s="32"/>
      <c r="BJE63" s="32"/>
      <c r="BJF63" s="32"/>
      <c r="BJG63" s="32"/>
      <c r="BJH63" s="32"/>
      <c r="BJI63" s="32"/>
      <c r="BJJ63" s="32"/>
      <c r="BJK63" s="32"/>
      <c r="BJL63" s="32"/>
      <c r="BJM63" s="32"/>
      <c r="BJN63" s="32"/>
      <c r="BJO63" s="32"/>
      <c r="BJP63" s="32"/>
      <c r="BJQ63" s="32"/>
      <c r="BJR63" s="32"/>
      <c r="BJS63" s="32"/>
      <c r="BJT63" s="32"/>
      <c r="BJU63" s="32"/>
      <c r="BJV63" s="32"/>
      <c r="BJW63" s="32"/>
      <c r="BJX63" s="32"/>
      <c r="BJY63" s="32"/>
      <c r="BJZ63" s="32"/>
      <c r="BKA63" s="32"/>
      <c r="BKB63" s="32"/>
      <c r="BKC63" s="32"/>
      <c r="BKD63" s="32"/>
      <c r="BKE63" s="32"/>
      <c r="BKF63" s="32"/>
      <c r="BKG63" s="32"/>
      <c r="BKH63" s="32"/>
      <c r="BKI63" s="32"/>
      <c r="BKJ63" s="32"/>
      <c r="BKK63" s="32"/>
      <c r="BKL63" s="32"/>
      <c r="BKM63" s="32"/>
      <c r="BKN63" s="32"/>
      <c r="BKO63" s="32"/>
      <c r="BKP63" s="32"/>
      <c r="BKQ63" s="32"/>
      <c r="BKR63" s="32"/>
      <c r="BKS63" s="32"/>
      <c r="BKT63" s="32"/>
      <c r="BKU63" s="32"/>
      <c r="BKV63" s="32"/>
      <c r="BKW63" s="32"/>
      <c r="BKX63" s="32"/>
      <c r="BKY63" s="32"/>
      <c r="BKZ63" s="32"/>
      <c r="BLA63" s="32"/>
      <c r="BLB63" s="32"/>
      <c r="BLC63" s="32"/>
      <c r="BLD63" s="32"/>
      <c r="BLE63" s="32"/>
      <c r="BLF63" s="32"/>
      <c r="BLG63" s="32"/>
      <c r="BLH63" s="32"/>
      <c r="BLI63" s="32"/>
      <c r="BLJ63" s="32"/>
      <c r="BLK63" s="32"/>
      <c r="BLL63" s="32"/>
      <c r="BLM63" s="32"/>
      <c r="BLN63" s="32"/>
      <c r="BLO63" s="32"/>
      <c r="BLP63" s="32"/>
      <c r="BLQ63" s="32"/>
      <c r="BLR63" s="32"/>
      <c r="BLS63" s="32"/>
      <c r="BLT63" s="32"/>
      <c r="BLU63" s="32"/>
      <c r="BLV63" s="32"/>
      <c r="BLW63" s="32"/>
      <c r="BLX63" s="32"/>
      <c r="BLY63" s="32"/>
      <c r="BLZ63" s="32"/>
      <c r="BMA63" s="32"/>
      <c r="BMB63" s="32"/>
      <c r="BMC63" s="32"/>
      <c r="BMD63" s="32"/>
      <c r="BME63" s="32"/>
      <c r="BMF63" s="32"/>
      <c r="BMG63" s="32"/>
      <c r="BMH63" s="32"/>
      <c r="BMI63" s="32"/>
      <c r="BMJ63" s="32"/>
      <c r="BMK63" s="32"/>
      <c r="BML63" s="32"/>
      <c r="BMM63" s="32"/>
      <c r="BMN63" s="32"/>
      <c r="BMO63" s="32"/>
      <c r="BMP63" s="32"/>
      <c r="BMQ63" s="32"/>
      <c r="BMR63" s="32"/>
      <c r="BMS63" s="32"/>
      <c r="BMT63" s="32"/>
      <c r="BMU63" s="32"/>
      <c r="BMV63" s="32"/>
      <c r="BMW63" s="32"/>
      <c r="BMX63" s="32"/>
      <c r="BMY63" s="32"/>
      <c r="BMZ63" s="32"/>
      <c r="BNA63" s="32"/>
      <c r="BNB63" s="32"/>
      <c r="BNC63" s="32"/>
      <c r="BND63" s="32"/>
      <c r="BNE63" s="32"/>
      <c r="BNF63" s="32"/>
      <c r="BNG63" s="32"/>
      <c r="BNH63" s="32"/>
      <c r="BNI63" s="32"/>
      <c r="BNJ63" s="32"/>
      <c r="BNK63" s="32"/>
      <c r="BNL63" s="32"/>
      <c r="BNM63" s="32"/>
      <c r="BNN63" s="32"/>
      <c r="BNO63" s="32"/>
      <c r="BNP63" s="32"/>
      <c r="BNQ63" s="32"/>
      <c r="BNR63" s="32"/>
      <c r="BNS63" s="32"/>
      <c r="BNT63" s="32"/>
      <c r="BNU63" s="32"/>
      <c r="BNV63" s="32"/>
      <c r="BNW63" s="32"/>
      <c r="BNX63" s="32"/>
      <c r="BNY63" s="32"/>
      <c r="BNZ63" s="32"/>
      <c r="BOA63" s="32"/>
      <c r="BOB63" s="32"/>
      <c r="BOC63" s="32"/>
      <c r="BOD63" s="32"/>
      <c r="BOE63" s="32"/>
      <c r="BOF63" s="32"/>
      <c r="BOG63" s="32"/>
      <c r="BOH63" s="32"/>
      <c r="BOI63" s="32"/>
      <c r="BOJ63" s="32"/>
      <c r="BOK63" s="32"/>
      <c r="BOL63" s="32"/>
      <c r="BOM63" s="32"/>
      <c r="BON63" s="32"/>
      <c r="BOO63" s="32"/>
      <c r="BOP63" s="32"/>
      <c r="BOQ63" s="32"/>
      <c r="BOR63" s="32"/>
      <c r="BOS63" s="32"/>
      <c r="BOT63" s="32"/>
      <c r="BOU63" s="32"/>
      <c r="BOV63" s="32"/>
      <c r="BOW63" s="32"/>
      <c r="BOX63" s="32"/>
      <c r="BOY63" s="32"/>
      <c r="BOZ63" s="32"/>
      <c r="BPA63" s="32"/>
      <c r="BPB63" s="32"/>
      <c r="BPC63" s="32"/>
      <c r="BPD63" s="32"/>
      <c r="BPE63" s="32"/>
      <c r="BPF63" s="32"/>
      <c r="BPG63" s="32"/>
      <c r="BPH63" s="32"/>
      <c r="BPI63" s="32"/>
      <c r="BPJ63" s="32"/>
      <c r="BPK63" s="32"/>
      <c r="BPL63" s="32"/>
      <c r="BPM63" s="32"/>
      <c r="BPN63" s="32"/>
      <c r="BPO63" s="32"/>
      <c r="BPP63" s="32"/>
      <c r="BPQ63" s="32"/>
      <c r="BPR63" s="32"/>
      <c r="BPS63" s="32"/>
      <c r="BPT63" s="32"/>
      <c r="BPU63" s="32"/>
      <c r="BPV63" s="32"/>
      <c r="BPW63" s="32"/>
      <c r="BPX63" s="32"/>
      <c r="BPY63" s="32"/>
      <c r="BPZ63" s="32"/>
      <c r="BQA63" s="32"/>
      <c r="BQB63" s="32"/>
      <c r="BQC63" s="32"/>
      <c r="BQD63" s="32"/>
      <c r="BQE63" s="32"/>
      <c r="BQF63" s="32"/>
      <c r="BQG63" s="32"/>
      <c r="BQH63" s="32"/>
      <c r="BQI63" s="32"/>
      <c r="BQJ63" s="32"/>
      <c r="BQK63" s="32"/>
      <c r="BQL63" s="32"/>
      <c r="BQM63" s="32"/>
      <c r="BQN63" s="32"/>
      <c r="BQO63" s="32"/>
      <c r="BQP63" s="32"/>
      <c r="BQQ63" s="32"/>
      <c r="BQR63" s="32"/>
      <c r="BQS63" s="32"/>
      <c r="BQT63" s="32"/>
      <c r="BQU63" s="32"/>
      <c r="BQV63" s="32"/>
      <c r="BQW63" s="32"/>
      <c r="BQX63" s="32"/>
      <c r="BQY63" s="32"/>
      <c r="BQZ63" s="32"/>
      <c r="BRA63" s="32"/>
      <c r="BRB63" s="32"/>
      <c r="BRC63" s="32"/>
      <c r="BRD63" s="32"/>
      <c r="BRE63" s="32"/>
      <c r="BRF63" s="32"/>
      <c r="BRG63" s="32"/>
      <c r="BRH63" s="32"/>
      <c r="BRI63" s="32"/>
      <c r="BRJ63" s="32"/>
      <c r="BRK63" s="32"/>
      <c r="BRL63" s="32"/>
      <c r="BRM63" s="32"/>
      <c r="BRN63" s="32"/>
      <c r="BRO63" s="32"/>
      <c r="BRP63" s="32"/>
      <c r="BRQ63" s="32"/>
      <c r="BRR63" s="32"/>
      <c r="BRS63" s="32"/>
      <c r="BRT63" s="32"/>
      <c r="BRU63" s="32"/>
      <c r="BRV63" s="32"/>
      <c r="BRW63" s="32"/>
      <c r="BRX63" s="32"/>
      <c r="BRY63" s="32"/>
      <c r="BRZ63" s="32"/>
      <c r="BSA63" s="32"/>
      <c r="BSB63" s="32"/>
      <c r="BSC63" s="32"/>
      <c r="BSD63" s="32"/>
      <c r="BSE63" s="32"/>
      <c r="BSF63" s="32"/>
      <c r="BSG63" s="32"/>
      <c r="BSH63" s="32"/>
      <c r="BSI63" s="32"/>
      <c r="BSJ63" s="32"/>
      <c r="BSK63" s="32"/>
      <c r="BSL63" s="32"/>
      <c r="BSM63" s="32"/>
      <c r="BSN63" s="32"/>
      <c r="BSO63" s="32"/>
      <c r="BSP63" s="32"/>
      <c r="BSQ63" s="32"/>
      <c r="BSR63" s="32"/>
      <c r="BSS63" s="32"/>
      <c r="BST63" s="32"/>
      <c r="BSU63" s="32"/>
      <c r="BSV63" s="32"/>
      <c r="BSW63" s="32"/>
      <c r="BSX63" s="32"/>
      <c r="BSY63" s="32"/>
      <c r="BSZ63" s="32"/>
      <c r="BTA63" s="32"/>
      <c r="BTB63" s="32"/>
      <c r="BTC63" s="32"/>
      <c r="BTD63" s="32"/>
      <c r="BTE63" s="32"/>
      <c r="BTF63" s="32"/>
      <c r="BTG63" s="32"/>
      <c r="BTH63" s="32"/>
      <c r="BTI63" s="32"/>
      <c r="BTJ63" s="32"/>
      <c r="BTK63" s="32"/>
      <c r="BTL63" s="32"/>
      <c r="BTM63" s="32"/>
      <c r="BTN63" s="32"/>
      <c r="BTO63" s="32"/>
      <c r="BTP63" s="32"/>
      <c r="BTQ63" s="32"/>
      <c r="BTR63" s="32"/>
      <c r="BTS63" s="32"/>
      <c r="BTT63" s="32"/>
      <c r="BTU63" s="32"/>
      <c r="BTV63" s="32"/>
      <c r="BTW63" s="32"/>
      <c r="BTX63" s="32"/>
      <c r="BTY63" s="32"/>
      <c r="BTZ63" s="32"/>
      <c r="BUA63" s="32"/>
      <c r="BUB63" s="32"/>
      <c r="BUC63" s="32"/>
      <c r="BUD63" s="32"/>
      <c r="BUE63" s="32"/>
      <c r="BUF63" s="32"/>
      <c r="BUG63" s="32"/>
      <c r="BUH63" s="32"/>
      <c r="BUI63" s="32"/>
      <c r="BUJ63" s="32"/>
      <c r="BUK63" s="32"/>
      <c r="BUL63" s="32"/>
      <c r="BUM63" s="32"/>
      <c r="BUN63" s="32"/>
      <c r="BUO63" s="32"/>
      <c r="BUP63" s="32"/>
      <c r="BUQ63" s="32"/>
      <c r="BUR63" s="32"/>
      <c r="BUS63" s="32"/>
      <c r="BUT63" s="32"/>
      <c r="BUU63" s="32"/>
      <c r="BUV63" s="32"/>
      <c r="BUW63" s="32"/>
      <c r="BUX63" s="32"/>
      <c r="BUY63" s="32"/>
      <c r="BUZ63" s="32"/>
      <c r="BVA63" s="32"/>
      <c r="BVB63" s="32"/>
      <c r="BVC63" s="32"/>
      <c r="BVD63" s="32"/>
      <c r="BVE63" s="32"/>
      <c r="BVF63" s="32"/>
      <c r="BVG63" s="32"/>
      <c r="BVH63" s="32"/>
      <c r="BVI63" s="32"/>
      <c r="BVJ63" s="32"/>
      <c r="BVK63" s="32"/>
      <c r="BVL63" s="32"/>
      <c r="BVM63" s="32"/>
      <c r="BVN63" s="32"/>
      <c r="BVO63" s="32"/>
      <c r="BVP63" s="32"/>
      <c r="BVQ63" s="32"/>
      <c r="BVR63" s="32"/>
      <c r="BVS63" s="32"/>
      <c r="BVT63" s="32"/>
      <c r="BVU63" s="32"/>
      <c r="BVV63" s="32"/>
      <c r="BVW63" s="32"/>
      <c r="BVX63" s="32"/>
      <c r="BVY63" s="32"/>
      <c r="BVZ63" s="32"/>
      <c r="BWA63" s="32"/>
      <c r="BWB63" s="32"/>
      <c r="BWC63" s="32"/>
      <c r="BWD63" s="32"/>
      <c r="BWE63" s="32"/>
      <c r="BWF63" s="32"/>
      <c r="BWG63" s="32"/>
      <c r="BWH63" s="32"/>
      <c r="BWI63" s="32"/>
      <c r="BWJ63" s="32"/>
      <c r="BWK63" s="32"/>
      <c r="BWL63" s="32"/>
      <c r="BWM63" s="32"/>
      <c r="BWN63" s="32"/>
      <c r="BWO63" s="32"/>
      <c r="BWP63" s="32"/>
      <c r="BWQ63" s="32"/>
      <c r="BWR63" s="32"/>
      <c r="BWS63" s="32"/>
      <c r="BWT63" s="32"/>
      <c r="BWU63" s="32"/>
      <c r="BWV63" s="32"/>
      <c r="BWW63" s="32"/>
      <c r="BWX63" s="32"/>
      <c r="BWY63" s="32"/>
      <c r="BWZ63" s="32"/>
      <c r="BXA63" s="32"/>
      <c r="BXB63" s="32"/>
      <c r="BXC63" s="32"/>
      <c r="BXD63" s="32"/>
      <c r="BXE63" s="32"/>
      <c r="BXF63" s="32"/>
      <c r="BXG63" s="32"/>
      <c r="BXH63" s="32"/>
      <c r="BXI63" s="32"/>
      <c r="BXJ63" s="32"/>
      <c r="BXK63" s="32"/>
      <c r="BXL63" s="32"/>
      <c r="BXM63" s="32"/>
      <c r="BXN63" s="32"/>
      <c r="BXO63" s="32"/>
      <c r="BXP63" s="32"/>
      <c r="BXQ63" s="32"/>
      <c r="BXR63" s="32"/>
      <c r="BXS63" s="32"/>
      <c r="BXT63" s="32"/>
      <c r="BXU63" s="32"/>
      <c r="BXV63" s="32"/>
      <c r="BXW63" s="32"/>
      <c r="BXX63" s="32"/>
      <c r="BXY63" s="32"/>
      <c r="BXZ63" s="32"/>
      <c r="BYA63" s="32"/>
      <c r="BYB63" s="32"/>
      <c r="BYC63" s="32"/>
      <c r="BYD63" s="32"/>
      <c r="BYE63" s="32"/>
      <c r="BYF63" s="32"/>
      <c r="BYG63" s="32"/>
      <c r="BYH63" s="32"/>
      <c r="BYI63" s="32"/>
      <c r="BYJ63" s="32"/>
      <c r="BYK63" s="32"/>
      <c r="BYL63" s="32"/>
      <c r="BYM63" s="32"/>
      <c r="BYN63" s="32"/>
      <c r="BYO63" s="32"/>
      <c r="BYP63" s="32"/>
      <c r="BYQ63" s="32"/>
      <c r="BYR63" s="32"/>
      <c r="BYS63" s="32"/>
      <c r="BYT63" s="32"/>
      <c r="BYU63" s="32"/>
      <c r="BYV63" s="32"/>
      <c r="BYW63" s="32"/>
      <c r="BYX63" s="32"/>
      <c r="BYY63" s="32"/>
      <c r="BYZ63" s="32"/>
      <c r="BZA63" s="32"/>
      <c r="BZB63" s="32"/>
      <c r="BZC63" s="32"/>
      <c r="BZD63" s="32"/>
      <c r="BZE63" s="32"/>
      <c r="BZF63" s="32"/>
      <c r="BZG63" s="32"/>
      <c r="BZH63" s="32"/>
      <c r="BZI63" s="32"/>
      <c r="BZJ63" s="32"/>
      <c r="BZK63" s="32"/>
      <c r="BZL63" s="32"/>
      <c r="BZM63" s="32"/>
      <c r="BZN63" s="32"/>
      <c r="BZO63" s="32"/>
      <c r="BZP63" s="32"/>
      <c r="BZQ63" s="32"/>
      <c r="BZR63" s="32"/>
      <c r="BZS63" s="32"/>
      <c r="BZT63" s="32"/>
      <c r="BZU63" s="32"/>
      <c r="BZV63" s="32"/>
      <c r="BZW63" s="32"/>
      <c r="BZX63" s="32"/>
      <c r="BZY63" s="32"/>
      <c r="BZZ63" s="32"/>
      <c r="CAA63" s="32"/>
      <c r="CAB63" s="32"/>
      <c r="CAC63" s="32"/>
      <c r="CAD63" s="32"/>
      <c r="CAE63" s="32"/>
      <c r="CAF63" s="32"/>
      <c r="CAG63" s="32"/>
      <c r="CAH63" s="32"/>
      <c r="CAI63" s="32"/>
      <c r="CAJ63" s="32"/>
      <c r="CAK63" s="32"/>
      <c r="CAL63" s="32"/>
      <c r="CAM63" s="32"/>
      <c r="CAN63" s="32"/>
      <c r="CAO63" s="32"/>
      <c r="CAP63" s="32"/>
      <c r="CAQ63" s="32"/>
      <c r="CAR63" s="32"/>
      <c r="CAS63" s="32"/>
      <c r="CAT63" s="32"/>
      <c r="CAU63" s="32"/>
      <c r="CAV63" s="32"/>
      <c r="CAW63" s="32"/>
      <c r="CAX63" s="32"/>
      <c r="CAY63" s="32"/>
      <c r="CAZ63" s="32"/>
      <c r="CBA63" s="32"/>
      <c r="CBB63" s="32"/>
      <c r="CBC63" s="32"/>
      <c r="CBD63" s="32"/>
      <c r="CBE63" s="32"/>
      <c r="CBF63" s="32"/>
      <c r="CBG63" s="32"/>
      <c r="CBH63" s="32"/>
      <c r="CBI63" s="32"/>
      <c r="CBJ63" s="32"/>
      <c r="CBK63" s="32"/>
      <c r="CBL63" s="32"/>
      <c r="CBM63" s="32"/>
      <c r="CBN63" s="32"/>
      <c r="CBO63" s="32"/>
      <c r="CBP63" s="32"/>
      <c r="CBQ63" s="32"/>
      <c r="CBR63" s="32"/>
      <c r="CBS63" s="32"/>
      <c r="CBT63" s="32"/>
      <c r="CBU63" s="32"/>
      <c r="CBV63" s="32"/>
      <c r="CBW63" s="32"/>
      <c r="CBX63" s="32"/>
      <c r="CBY63" s="32"/>
      <c r="CBZ63" s="32"/>
      <c r="CCA63" s="32"/>
      <c r="CCB63" s="32"/>
      <c r="CCC63" s="32"/>
      <c r="CCD63" s="32"/>
      <c r="CCE63" s="32"/>
      <c r="CCF63" s="32"/>
      <c r="CCG63" s="32"/>
      <c r="CCH63" s="32"/>
      <c r="CCI63" s="32"/>
      <c r="CCJ63" s="32"/>
      <c r="CCK63" s="32"/>
      <c r="CCL63" s="32"/>
      <c r="CCM63" s="32"/>
      <c r="CCN63" s="32"/>
      <c r="CCO63" s="32"/>
      <c r="CCP63" s="32"/>
      <c r="CCQ63" s="32"/>
      <c r="CCR63" s="32"/>
      <c r="CCS63" s="32"/>
      <c r="CCT63" s="32"/>
      <c r="CCU63" s="32"/>
      <c r="CCV63" s="32"/>
      <c r="CCW63" s="32"/>
      <c r="CCX63" s="32"/>
      <c r="CCY63" s="32"/>
      <c r="CCZ63" s="32"/>
      <c r="CDA63" s="32"/>
      <c r="CDB63" s="32"/>
      <c r="CDC63" s="32"/>
      <c r="CDD63" s="32"/>
      <c r="CDE63" s="32"/>
      <c r="CDF63" s="32"/>
      <c r="CDG63" s="32"/>
      <c r="CDH63" s="32"/>
      <c r="CDI63" s="32"/>
      <c r="CDJ63" s="32"/>
      <c r="CDK63" s="32"/>
      <c r="CDL63" s="32"/>
      <c r="CDM63" s="32"/>
      <c r="CDN63" s="32"/>
      <c r="CDO63" s="32"/>
      <c r="CDP63" s="32"/>
      <c r="CDQ63" s="32"/>
      <c r="CDR63" s="32"/>
      <c r="CDS63" s="32"/>
      <c r="CDT63" s="32"/>
      <c r="CDU63" s="32"/>
      <c r="CDV63" s="32"/>
      <c r="CDW63" s="32"/>
      <c r="CDX63" s="32"/>
      <c r="CDY63" s="32"/>
      <c r="CDZ63" s="32"/>
      <c r="CEA63" s="32"/>
      <c r="CEB63" s="32"/>
      <c r="CEC63" s="32"/>
      <c r="CED63" s="32"/>
      <c r="CEE63" s="32"/>
      <c r="CEF63" s="32"/>
      <c r="CEG63" s="32"/>
      <c r="CEH63" s="32"/>
      <c r="CEI63" s="32"/>
      <c r="CEJ63" s="32"/>
      <c r="CEK63" s="32"/>
      <c r="CEL63" s="32"/>
      <c r="CEM63" s="32"/>
      <c r="CEN63" s="32"/>
      <c r="CEO63" s="32"/>
      <c r="CEP63" s="32"/>
      <c r="CEQ63" s="32"/>
      <c r="CER63" s="32"/>
      <c r="CES63" s="32"/>
      <c r="CET63" s="32"/>
      <c r="CEU63" s="32"/>
      <c r="CEV63" s="32"/>
      <c r="CEW63" s="32"/>
      <c r="CEX63" s="32"/>
      <c r="CEY63" s="32"/>
      <c r="CEZ63" s="32"/>
      <c r="CFA63" s="32"/>
      <c r="CFB63" s="32"/>
      <c r="CFC63" s="32"/>
      <c r="CFD63" s="32"/>
      <c r="CFE63" s="32"/>
      <c r="CFF63" s="32"/>
      <c r="CFG63" s="32"/>
      <c r="CFH63" s="32"/>
      <c r="CFI63" s="32"/>
      <c r="CFJ63" s="32"/>
      <c r="CFK63" s="32"/>
      <c r="CFL63" s="32"/>
      <c r="CFM63" s="32"/>
      <c r="CFN63" s="32"/>
      <c r="CFO63" s="32"/>
      <c r="CFP63" s="32"/>
      <c r="CFQ63" s="32"/>
      <c r="CFR63" s="32"/>
      <c r="CFS63" s="32"/>
      <c r="CFT63" s="32"/>
      <c r="CFU63" s="32"/>
      <c r="CFV63" s="32"/>
      <c r="CFW63" s="32"/>
      <c r="CFX63" s="32"/>
      <c r="CFY63" s="32"/>
      <c r="CFZ63" s="32"/>
      <c r="CGA63" s="32"/>
      <c r="CGB63" s="32"/>
      <c r="CGC63" s="32"/>
      <c r="CGD63" s="32"/>
      <c r="CGE63" s="32"/>
      <c r="CGF63" s="32"/>
      <c r="CGG63" s="32"/>
      <c r="CGH63" s="32"/>
      <c r="CGI63" s="32"/>
      <c r="CGJ63" s="32"/>
      <c r="CGK63" s="32"/>
      <c r="CGL63" s="32"/>
      <c r="CGM63" s="32"/>
      <c r="CGN63" s="32"/>
      <c r="CGO63" s="32"/>
      <c r="CGP63" s="32"/>
      <c r="CGQ63" s="32"/>
      <c r="CGR63" s="32"/>
      <c r="CGS63" s="32"/>
      <c r="CGT63" s="32"/>
      <c r="CGU63" s="32"/>
      <c r="CGV63" s="32"/>
      <c r="CGW63" s="32"/>
      <c r="CGX63" s="32"/>
      <c r="CGY63" s="32"/>
      <c r="CGZ63" s="32"/>
      <c r="CHA63" s="32"/>
      <c r="CHB63" s="32"/>
      <c r="CHC63" s="32"/>
      <c r="CHD63" s="32"/>
      <c r="CHE63" s="32"/>
      <c r="CHF63" s="32"/>
      <c r="CHG63" s="32"/>
      <c r="CHH63" s="32"/>
      <c r="CHI63" s="32"/>
      <c r="CHJ63" s="32"/>
      <c r="CHK63" s="32"/>
      <c r="CHL63" s="32"/>
      <c r="CHM63" s="32"/>
      <c r="CHN63" s="32"/>
      <c r="CHO63" s="32"/>
      <c r="CHP63" s="32"/>
      <c r="CHQ63" s="32"/>
      <c r="CHR63" s="32"/>
      <c r="CHS63" s="32"/>
      <c r="CHT63" s="32"/>
      <c r="CHU63" s="32"/>
      <c r="CHV63" s="32"/>
      <c r="CHW63" s="32"/>
      <c r="CHX63" s="32"/>
      <c r="CHY63" s="32"/>
      <c r="CHZ63" s="32"/>
      <c r="CIA63" s="32"/>
      <c r="CIB63" s="32"/>
      <c r="CIC63" s="32"/>
      <c r="CID63" s="32"/>
      <c r="CIE63" s="32"/>
      <c r="CIF63" s="32"/>
      <c r="CIG63" s="32"/>
      <c r="CIH63" s="32"/>
      <c r="CII63" s="32"/>
      <c r="CIJ63" s="32"/>
      <c r="CIK63" s="32"/>
      <c r="CIL63" s="32"/>
      <c r="CIM63" s="32"/>
      <c r="CIN63" s="32"/>
      <c r="CIO63" s="32"/>
      <c r="CIP63" s="32"/>
      <c r="CIQ63" s="32"/>
      <c r="CIR63" s="32"/>
      <c r="CIS63" s="32"/>
      <c r="CIT63" s="32"/>
      <c r="CIU63" s="32"/>
      <c r="CIV63" s="32"/>
      <c r="CIW63" s="32"/>
      <c r="CIX63" s="32"/>
      <c r="CIY63" s="32"/>
      <c r="CIZ63" s="32"/>
      <c r="CJA63" s="32"/>
      <c r="CJB63" s="32"/>
      <c r="CJC63" s="32"/>
      <c r="CJD63" s="32"/>
      <c r="CJE63" s="32"/>
      <c r="CJF63" s="32"/>
      <c r="CJG63" s="32"/>
      <c r="CJH63" s="32"/>
      <c r="CJI63" s="32"/>
      <c r="CJJ63" s="32"/>
      <c r="CJK63" s="32"/>
      <c r="CJL63" s="32"/>
      <c r="CJM63" s="32"/>
      <c r="CJN63" s="32"/>
      <c r="CJO63" s="32"/>
      <c r="CJP63" s="32"/>
      <c r="CJQ63" s="32"/>
      <c r="CJR63" s="32"/>
      <c r="CJS63" s="32"/>
      <c r="CJT63" s="32"/>
      <c r="CJU63" s="32"/>
      <c r="CJV63" s="32"/>
      <c r="CJW63" s="32"/>
      <c r="CJX63" s="32"/>
      <c r="CJY63" s="32"/>
      <c r="CJZ63" s="32"/>
      <c r="CKA63" s="32"/>
      <c r="CKB63" s="32"/>
      <c r="CKC63" s="32"/>
      <c r="CKD63" s="32"/>
      <c r="CKE63" s="32"/>
      <c r="CKF63" s="32"/>
      <c r="CKG63" s="32"/>
      <c r="CKH63" s="32"/>
      <c r="CKI63" s="32"/>
      <c r="CKJ63" s="32"/>
      <c r="CKK63" s="32"/>
      <c r="CKL63" s="32"/>
      <c r="CKM63" s="32"/>
      <c r="CKN63" s="32"/>
      <c r="CKO63" s="32"/>
      <c r="CKP63" s="32"/>
      <c r="CKQ63" s="32"/>
      <c r="CKR63" s="32"/>
      <c r="CKS63" s="32"/>
      <c r="CKT63" s="32"/>
      <c r="CKU63" s="32"/>
      <c r="CKV63" s="32"/>
      <c r="CKW63" s="32"/>
      <c r="CKX63" s="32"/>
      <c r="CKY63" s="32"/>
      <c r="CKZ63" s="32"/>
      <c r="CLA63" s="32"/>
      <c r="CLB63" s="32"/>
      <c r="CLC63" s="32"/>
      <c r="CLD63" s="32"/>
      <c r="CLE63" s="32"/>
      <c r="CLF63" s="32"/>
      <c r="CLG63" s="32"/>
      <c r="CLH63" s="32"/>
      <c r="CLI63" s="32"/>
      <c r="CLJ63" s="32"/>
      <c r="CLK63" s="32"/>
      <c r="CLL63" s="32"/>
      <c r="CLM63" s="32"/>
      <c r="CLN63" s="32"/>
      <c r="CLO63" s="32"/>
      <c r="CLP63" s="32"/>
      <c r="CLQ63" s="32"/>
      <c r="CLR63" s="32"/>
      <c r="CLS63" s="32"/>
      <c r="CLT63" s="32"/>
      <c r="CLU63" s="32"/>
      <c r="CLV63" s="32"/>
      <c r="CLW63" s="32"/>
      <c r="CLX63" s="32"/>
      <c r="CLY63" s="32"/>
      <c r="CLZ63" s="32"/>
      <c r="CMA63" s="32"/>
      <c r="CMB63" s="32"/>
      <c r="CMC63" s="32"/>
      <c r="CMD63" s="32"/>
      <c r="CME63" s="32"/>
      <c r="CMF63" s="32"/>
      <c r="CMG63" s="32"/>
      <c r="CMH63" s="32"/>
      <c r="CMI63" s="32"/>
      <c r="CMJ63" s="32"/>
      <c r="CMK63" s="32"/>
      <c r="CML63" s="32"/>
      <c r="CMM63" s="32"/>
      <c r="CMN63" s="32"/>
      <c r="CMO63" s="32"/>
      <c r="CMP63" s="32"/>
      <c r="CMQ63" s="32"/>
      <c r="CMR63" s="32"/>
      <c r="CMS63" s="32"/>
      <c r="CMT63" s="32"/>
      <c r="CMU63" s="32"/>
      <c r="CMV63" s="32"/>
      <c r="CMW63" s="32"/>
      <c r="CMX63" s="32"/>
      <c r="CMY63" s="32"/>
      <c r="CMZ63" s="32"/>
      <c r="CNA63" s="32"/>
      <c r="CNB63" s="32"/>
      <c r="CNC63" s="32"/>
      <c r="CND63" s="32"/>
      <c r="CNE63" s="32"/>
      <c r="CNF63" s="32"/>
      <c r="CNG63" s="32"/>
      <c r="CNH63" s="32"/>
      <c r="CNI63" s="32"/>
      <c r="CNJ63" s="32"/>
      <c r="CNK63" s="32"/>
      <c r="CNL63" s="32"/>
      <c r="CNM63" s="32"/>
      <c r="CNN63" s="32"/>
      <c r="CNO63" s="32"/>
      <c r="CNP63" s="32"/>
      <c r="CNQ63" s="32"/>
      <c r="CNR63" s="32"/>
      <c r="CNS63" s="32"/>
      <c r="CNT63" s="32"/>
      <c r="CNU63" s="32"/>
      <c r="CNV63" s="32"/>
      <c r="CNW63" s="32"/>
      <c r="CNX63" s="32"/>
      <c r="CNY63" s="32"/>
      <c r="CNZ63" s="32"/>
      <c r="COA63" s="32"/>
      <c r="COB63" s="32"/>
      <c r="COC63" s="32"/>
      <c r="COD63" s="32"/>
      <c r="COE63" s="32"/>
      <c r="COF63" s="32"/>
      <c r="COG63" s="32"/>
      <c r="COH63" s="32"/>
      <c r="COI63" s="32"/>
      <c r="COJ63" s="32"/>
      <c r="COK63" s="32"/>
      <c r="COL63" s="32"/>
      <c r="COM63" s="32"/>
      <c r="CON63" s="32"/>
      <c r="COO63" s="32"/>
      <c r="COP63" s="32"/>
      <c r="COQ63" s="32"/>
      <c r="COR63" s="32"/>
      <c r="COS63" s="32"/>
      <c r="COT63" s="32"/>
      <c r="COU63" s="32"/>
      <c r="COV63" s="32"/>
      <c r="COW63" s="32"/>
      <c r="COX63" s="32"/>
      <c r="COY63" s="32"/>
      <c r="COZ63" s="32"/>
      <c r="CPA63" s="32"/>
      <c r="CPB63" s="32"/>
      <c r="CPC63" s="32"/>
      <c r="CPD63" s="32"/>
      <c r="CPE63" s="32"/>
      <c r="CPF63" s="32"/>
      <c r="CPG63" s="32"/>
      <c r="CPH63" s="32"/>
      <c r="CPI63" s="32"/>
      <c r="CPJ63" s="32"/>
      <c r="CPK63" s="32"/>
      <c r="CPL63" s="32"/>
      <c r="CPM63" s="32"/>
      <c r="CPN63" s="32"/>
      <c r="CPO63" s="32"/>
      <c r="CPP63" s="32"/>
      <c r="CPQ63" s="32"/>
      <c r="CPR63" s="32"/>
      <c r="CPS63" s="32"/>
      <c r="CPT63" s="32"/>
      <c r="CPU63" s="32"/>
      <c r="CPV63" s="32"/>
      <c r="CPW63" s="32"/>
      <c r="CPX63" s="32"/>
      <c r="CPY63" s="32"/>
      <c r="CPZ63" s="32"/>
      <c r="CQA63" s="32"/>
      <c r="CQB63" s="32"/>
      <c r="CQC63" s="32"/>
      <c r="CQD63" s="32"/>
      <c r="CQE63" s="32"/>
      <c r="CQF63" s="32"/>
      <c r="CQG63" s="32"/>
      <c r="CQH63" s="32"/>
      <c r="CQI63" s="32"/>
      <c r="CQJ63" s="32"/>
      <c r="CQK63" s="32"/>
      <c r="CQL63" s="32"/>
      <c r="CQM63" s="32"/>
      <c r="CQN63" s="32"/>
      <c r="CQO63" s="32"/>
      <c r="CQP63" s="32"/>
      <c r="CQQ63" s="32"/>
      <c r="CQR63" s="32"/>
      <c r="CQS63" s="32"/>
      <c r="CQT63" s="32"/>
      <c r="CQU63" s="32"/>
      <c r="CQV63" s="32"/>
      <c r="CQW63" s="32"/>
      <c r="CQX63" s="32"/>
      <c r="CQY63" s="32"/>
      <c r="CQZ63" s="32"/>
      <c r="CRA63" s="32"/>
      <c r="CRB63" s="32"/>
      <c r="CRC63" s="32"/>
      <c r="CRD63" s="32"/>
      <c r="CRE63" s="32"/>
      <c r="CRF63" s="32"/>
      <c r="CRG63" s="32"/>
      <c r="CRH63" s="32"/>
      <c r="CRI63" s="32"/>
      <c r="CRJ63" s="32"/>
      <c r="CRK63" s="32"/>
      <c r="CRL63" s="32"/>
      <c r="CRM63" s="32"/>
      <c r="CRN63" s="32"/>
      <c r="CRO63" s="32"/>
      <c r="CRP63" s="32"/>
      <c r="CRQ63" s="32"/>
      <c r="CRR63" s="32"/>
      <c r="CRS63" s="32"/>
      <c r="CRT63" s="32"/>
      <c r="CRU63" s="32"/>
      <c r="CRV63" s="32"/>
      <c r="CRW63" s="32"/>
      <c r="CRX63" s="32"/>
      <c r="CRY63" s="32"/>
      <c r="CRZ63" s="32"/>
      <c r="CSA63" s="32"/>
      <c r="CSB63" s="32"/>
      <c r="CSC63" s="32"/>
      <c r="CSD63" s="32"/>
      <c r="CSE63" s="32"/>
      <c r="CSF63" s="32"/>
      <c r="CSG63" s="32"/>
      <c r="CSH63" s="32"/>
      <c r="CSI63" s="32"/>
      <c r="CSJ63" s="32"/>
      <c r="CSK63" s="32"/>
      <c r="CSL63" s="32"/>
      <c r="CSM63" s="32"/>
      <c r="CSN63" s="32"/>
      <c r="CSO63" s="32"/>
      <c r="CSP63" s="32"/>
      <c r="CSQ63" s="32"/>
      <c r="CSR63" s="32"/>
      <c r="CSS63" s="32"/>
      <c r="CST63" s="32"/>
      <c r="CSU63" s="32"/>
      <c r="CSV63" s="32"/>
      <c r="CSW63" s="32"/>
      <c r="CSX63" s="32"/>
      <c r="CSY63" s="32"/>
      <c r="CSZ63" s="32"/>
      <c r="CTA63" s="32"/>
      <c r="CTB63" s="32"/>
      <c r="CTC63" s="32"/>
      <c r="CTD63" s="32"/>
      <c r="CTE63" s="32"/>
      <c r="CTF63" s="32"/>
      <c r="CTG63" s="32"/>
      <c r="CTH63" s="32"/>
      <c r="CTI63" s="32"/>
      <c r="CTJ63" s="32"/>
      <c r="CTK63" s="32"/>
      <c r="CTL63" s="32"/>
      <c r="CTM63" s="32"/>
      <c r="CTN63" s="32"/>
      <c r="CTO63" s="32"/>
      <c r="CTP63" s="32"/>
      <c r="CTQ63" s="32"/>
      <c r="CTR63" s="32"/>
      <c r="CTS63" s="32"/>
      <c r="CTT63" s="32"/>
      <c r="CTU63" s="32"/>
      <c r="CTV63" s="32"/>
      <c r="CTW63" s="32"/>
      <c r="CTX63" s="32"/>
      <c r="CTY63" s="32"/>
      <c r="CTZ63" s="32"/>
      <c r="CUA63" s="32"/>
      <c r="CUB63" s="32"/>
      <c r="CUC63" s="32"/>
      <c r="CUD63" s="32"/>
      <c r="CUE63" s="32"/>
      <c r="CUF63" s="32"/>
      <c r="CUG63" s="32"/>
      <c r="CUH63" s="32"/>
      <c r="CUI63" s="32"/>
      <c r="CUJ63" s="32"/>
      <c r="CUK63" s="32"/>
      <c r="CUL63" s="32"/>
      <c r="CUM63" s="32"/>
      <c r="CUN63" s="32"/>
      <c r="CUO63" s="32"/>
      <c r="CUP63" s="32"/>
      <c r="CUQ63" s="32"/>
      <c r="CUR63" s="32"/>
      <c r="CUS63" s="32"/>
      <c r="CUT63" s="32"/>
      <c r="CUU63" s="32"/>
      <c r="CUV63" s="32"/>
      <c r="CUW63" s="32"/>
      <c r="CUX63" s="32"/>
      <c r="CUY63" s="32"/>
      <c r="CUZ63" s="32"/>
      <c r="CVA63" s="32"/>
      <c r="CVB63" s="32"/>
      <c r="CVC63" s="32"/>
      <c r="CVD63" s="32"/>
      <c r="CVE63" s="32"/>
      <c r="CVF63" s="32"/>
      <c r="CVG63" s="32"/>
      <c r="CVH63" s="32"/>
      <c r="CVI63" s="32"/>
      <c r="CVJ63" s="32"/>
      <c r="CVK63" s="32"/>
      <c r="CVL63" s="32"/>
      <c r="CVM63" s="32"/>
      <c r="CVN63" s="32"/>
      <c r="CVO63" s="32"/>
      <c r="CVP63" s="32"/>
      <c r="CVQ63" s="32"/>
      <c r="CVR63" s="32"/>
      <c r="CVS63" s="32"/>
      <c r="CVT63" s="32"/>
      <c r="CVU63" s="32"/>
      <c r="CVV63" s="32"/>
      <c r="CVW63" s="32"/>
      <c r="CVX63" s="32"/>
      <c r="CVY63" s="32"/>
      <c r="CVZ63" s="32"/>
      <c r="CWA63" s="32"/>
      <c r="CWB63" s="32"/>
      <c r="CWC63" s="32"/>
      <c r="CWD63" s="32"/>
      <c r="CWE63" s="32"/>
      <c r="CWF63" s="32"/>
      <c r="CWG63" s="32"/>
      <c r="CWH63" s="32"/>
      <c r="CWI63" s="32"/>
      <c r="CWJ63" s="32"/>
      <c r="CWK63" s="32"/>
      <c r="CWL63" s="32"/>
      <c r="CWM63" s="32"/>
      <c r="CWN63" s="32"/>
      <c r="CWO63" s="32"/>
      <c r="CWP63" s="32"/>
      <c r="CWQ63" s="32"/>
      <c r="CWR63" s="32"/>
      <c r="CWS63" s="32"/>
      <c r="CWT63" s="32"/>
      <c r="CWU63" s="32"/>
      <c r="CWV63" s="32"/>
      <c r="CWW63" s="32"/>
      <c r="CWX63" s="32"/>
      <c r="CWY63" s="32"/>
      <c r="CWZ63" s="32"/>
      <c r="CXA63" s="32"/>
      <c r="CXB63" s="32"/>
      <c r="CXC63" s="32"/>
      <c r="CXD63" s="32"/>
      <c r="CXE63" s="32"/>
      <c r="CXF63" s="32"/>
      <c r="CXG63" s="32"/>
      <c r="CXH63" s="32"/>
      <c r="CXI63" s="32"/>
      <c r="CXJ63" s="32"/>
      <c r="CXK63" s="32"/>
      <c r="CXL63" s="32"/>
      <c r="CXM63" s="32"/>
      <c r="CXN63" s="32"/>
      <c r="CXO63" s="32"/>
      <c r="CXP63" s="32"/>
      <c r="CXQ63" s="32"/>
      <c r="CXR63" s="32"/>
      <c r="CXS63" s="32"/>
      <c r="CXT63" s="32"/>
      <c r="CXU63" s="32"/>
      <c r="CXV63" s="32"/>
      <c r="CXW63" s="32"/>
      <c r="CXX63" s="32"/>
      <c r="CXY63" s="32"/>
      <c r="CXZ63" s="32"/>
      <c r="CYA63" s="32"/>
      <c r="CYB63" s="32"/>
      <c r="CYC63" s="32"/>
      <c r="CYD63" s="32"/>
      <c r="CYE63" s="32"/>
      <c r="CYF63" s="32"/>
      <c r="CYG63" s="32"/>
      <c r="CYH63" s="32"/>
      <c r="CYI63" s="32"/>
      <c r="CYJ63" s="32"/>
      <c r="CYK63" s="32"/>
      <c r="CYL63" s="32"/>
      <c r="CYM63" s="32"/>
      <c r="CYN63" s="32"/>
      <c r="CYO63" s="32"/>
      <c r="CYP63" s="32"/>
      <c r="CYQ63" s="32"/>
      <c r="CYR63" s="32"/>
      <c r="CYS63" s="32"/>
      <c r="CYT63" s="32"/>
      <c r="CYU63" s="32"/>
      <c r="CYV63" s="32"/>
      <c r="CYW63" s="32"/>
      <c r="CYX63" s="32"/>
      <c r="CYY63" s="32"/>
      <c r="CYZ63" s="32"/>
      <c r="CZA63" s="32"/>
      <c r="CZB63" s="32"/>
      <c r="CZC63" s="32"/>
      <c r="CZD63" s="32"/>
      <c r="CZE63" s="32"/>
      <c r="CZF63" s="32"/>
      <c r="CZG63" s="32"/>
      <c r="CZH63" s="32"/>
      <c r="CZI63" s="32"/>
      <c r="CZJ63" s="32"/>
      <c r="CZK63" s="32"/>
      <c r="CZL63" s="32"/>
      <c r="CZM63" s="32"/>
      <c r="CZN63" s="32"/>
      <c r="CZO63" s="32"/>
      <c r="CZP63" s="32"/>
      <c r="CZQ63" s="32"/>
      <c r="CZR63" s="32"/>
      <c r="CZS63" s="32"/>
      <c r="CZT63" s="32"/>
      <c r="CZU63" s="32"/>
      <c r="CZV63" s="32"/>
      <c r="CZW63" s="32"/>
      <c r="CZX63" s="32"/>
      <c r="CZY63" s="32"/>
      <c r="CZZ63" s="32"/>
      <c r="DAA63" s="32"/>
      <c r="DAB63" s="32"/>
      <c r="DAC63" s="32"/>
      <c r="DAD63" s="32"/>
      <c r="DAE63" s="32"/>
      <c r="DAF63" s="32"/>
      <c r="DAG63" s="32"/>
      <c r="DAH63" s="32"/>
      <c r="DAI63" s="32"/>
      <c r="DAJ63" s="32"/>
      <c r="DAK63" s="32"/>
      <c r="DAL63" s="32"/>
      <c r="DAM63" s="32"/>
      <c r="DAN63" s="32"/>
      <c r="DAO63" s="32"/>
      <c r="DAP63" s="32"/>
      <c r="DAQ63" s="32"/>
      <c r="DAR63" s="32"/>
      <c r="DAS63" s="32"/>
      <c r="DAT63" s="32"/>
      <c r="DAU63" s="32"/>
      <c r="DAV63" s="32"/>
      <c r="DAW63" s="32"/>
      <c r="DAX63" s="32"/>
      <c r="DAY63" s="32"/>
      <c r="DAZ63" s="32"/>
      <c r="DBA63" s="32"/>
      <c r="DBB63" s="32"/>
      <c r="DBC63" s="32"/>
      <c r="DBD63" s="32"/>
      <c r="DBE63" s="32"/>
      <c r="DBF63" s="32"/>
      <c r="DBG63" s="32"/>
      <c r="DBH63" s="32"/>
      <c r="DBI63" s="32"/>
      <c r="DBJ63" s="32"/>
      <c r="DBK63" s="32"/>
      <c r="DBL63" s="32"/>
      <c r="DBM63" s="32"/>
      <c r="DBN63" s="32"/>
      <c r="DBO63" s="32"/>
      <c r="DBP63" s="32"/>
      <c r="DBQ63" s="32"/>
      <c r="DBR63" s="32"/>
      <c r="DBS63" s="32"/>
      <c r="DBT63" s="32"/>
      <c r="DBU63" s="32"/>
      <c r="DBV63" s="32"/>
      <c r="DBW63" s="32"/>
      <c r="DBX63" s="32"/>
      <c r="DBY63" s="32"/>
      <c r="DBZ63" s="32"/>
      <c r="DCA63" s="32"/>
      <c r="DCB63" s="32"/>
      <c r="DCC63" s="32"/>
      <c r="DCD63" s="32"/>
      <c r="DCE63" s="32"/>
      <c r="DCF63" s="32"/>
      <c r="DCG63" s="32"/>
      <c r="DCH63" s="32"/>
      <c r="DCI63" s="32"/>
      <c r="DCJ63" s="32"/>
      <c r="DCK63" s="32"/>
      <c r="DCL63" s="32"/>
      <c r="DCM63" s="32"/>
      <c r="DCN63" s="32"/>
      <c r="DCO63" s="32"/>
      <c r="DCP63" s="32"/>
      <c r="DCQ63" s="32"/>
      <c r="DCR63" s="32"/>
      <c r="DCS63" s="32"/>
      <c r="DCT63" s="32"/>
      <c r="DCU63" s="32"/>
      <c r="DCV63" s="32"/>
      <c r="DCW63" s="32"/>
      <c r="DCX63" s="32"/>
      <c r="DCY63" s="32"/>
      <c r="DCZ63" s="32"/>
      <c r="DDA63" s="32"/>
      <c r="DDB63" s="32"/>
      <c r="DDC63" s="32"/>
      <c r="DDD63" s="32"/>
      <c r="DDE63" s="32"/>
      <c r="DDF63" s="32"/>
      <c r="DDG63" s="32"/>
      <c r="DDH63" s="32"/>
      <c r="DDI63" s="32"/>
      <c r="DDJ63" s="32"/>
      <c r="DDK63" s="32"/>
      <c r="DDL63" s="32"/>
      <c r="DDM63" s="32"/>
      <c r="DDN63" s="32"/>
      <c r="DDO63" s="32"/>
      <c r="DDP63" s="32"/>
      <c r="DDQ63" s="32"/>
      <c r="DDR63" s="32"/>
      <c r="DDS63" s="32"/>
      <c r="DDT63" s="32"/>
      <c r="DDU63" s="32"/>
      <c r="DDV63" s="32"/>
      <c r="DDW63" s="32"/>
      <c r="DDX63" s="32"/>
      <c r="DDY63" s="32"/>
      <c r="DDZ63" s="32"/>
      <c r="DEA63" s="32"/>
      <c r="DEB63" s="32"/>
      <c r="DEC63" s="32"/>
      <c r="DED63" s="32"/>
      <c r="DEE63" s="32"/>
      <c r="DEF63" s="32"/>
      <c r="DEG63" s="32"/>
      <c r="DEH63" s="32"/>
      <c r="DEI63" s="32"/>
      <c r="DEJ63" s="32"/>
      <c r="DEK63" s="32"/>
      <c r="DEL63" s="32"/>
      <c r="DEM63" s="32"/>
      <c r="DEN63" s="32"/>
      <c r="DEO63" s="32"/>
      <c r="DEP63" s="32"/>
      <c r="DEQ63" s="32"/>
      <c r="DER63" s="32"/>
      <c r="DES63" s="32"/>
      <c r="DET63" s="32"/>
      <c r="DEU63" s="32"/>
      <c r="DEV63" s="32"/>
      <c r="DEW63" s="32"/>
      <c r="DEX63" s="32"/>
      <c r="DEY63" s="32"/>
      <c r="DEZ63" s="32"/>
      <c r="DFA63" s="32"/>
      <c r="DFB63" s="32"/>
      <c r="DFC63" s="32"/>
      <c r="DFD63" s="32"/>
      <c r="DFE63" s="32"/>
      <c r="DFF63" s="32"/>
      <c r="DFG63" s="32"/>
      <c r="DFH63" s="32"/>
      <c r="DFI63" s="32"/>
      <c r="DFJ63" s="32"/>
      <c r="DFK63" s="32"/>
      <c r="DFL63" s="32"/>
      <c r="DFM63" s="32"/>
      <c r="DFN63" s="32"/>
      <c r="DFO63" s="32"/>
      <c r="DFP63" s="32"/>
      <c r="DFQ63" s="32"/>
      <c r="DFR63" s="32"/>
      <c r="DFS63" s="32"/>
      <c r="DFT63" s="32"/>
      <c r="DFU63" s="32"/>
      <c r="DFV63" s="32"/>
      <c r="DFW63" s="32"/>
      <c r="DFX63" s="32"/>
      <c r="DFY63" s="32"/>
      <c r="DFZ63" s="32"/>
      <c r="DGA63" s="32"/>
      <c r="DGB63" s="32"/>
      <c r="DGC63" s="32"/>
      <c r="DGD63" s="32"/>
      <c r="DGE63" s="32"/>
      <c r="DGF63" s="32"/>
      <c r="DGG63" s="32"/>
      <c r="DGH63" s="32"/>
      <c r="DGI63" s="32"/>
      <c r="DGJ63" s="32"/>
      <c r="DGK63" s="32"/>
      <c r="DGL63" s="32"/>
      <c r="DGM63" s="32"/>
      <c r="DGN63" s="32"/>
      <c r="DGO63" s="32"/>
      <c r="DGP63" s="32"/>
      <c r="DGQ63" s="32"/>
      <c r="DGR63" s="32"/>
      <c r="DGS63" s="32"/>
      <c r="DGT63" s="32"/>
      <c r="DGU63" s="32"/>
      <c r="DGV63" s="32"/>
      <c r="DGW63" s="32"/>
      <c r="DGX63" s="32"/>
      <c r="DGY63" s="32"/>
      <c r="DGZ63" s="32"/>
      <c r="DHA63" s="32"/>
      <c r="DHB63" s="32"/>
      <c r="DHC63" s="32"/>
      <c r="DHD63" s="32"/>
      <c r="DHE63" s="32"/>
      <c r="DHF63" s="32"/>
      <c r="DHG63" s="32"/>
      <c r="DHH63" s="32"/>
      <c r="DHI63" s="32"/>
      <c r="DHJ63" s="32"/>
      <c r="DHK63" s="32"/>
      <c r="DHL63" s="32"/>
      <c r="DHM63" s="32"/>
      <c r="DHN63" s="32"/>
      <c r="DHO63" s="32"/>
      <c r="DHP63" s="32"/>
      <c r="DHQ63" s="32"/>
      <c r="DHR63" s="32"/>
      <c r="DHS63" s="32"/>
      <c r="DHT63" s="32"/>
      <c r="DHU63" s="32"/>
      <c r="DHV63" s="32"/>
      <c r="DHW63" s="32"/>
      <c r="DHX63" s="32"/>
      <c r="DHY63" s="32"/>
      <c r="DHZ63" s="32"/>
      <c r="DIA63" s="32"/>
      <c r="DIB63" s="32"/>
      <c r="DIC63" s="32"/>
      <c r="DID63" s="32"/>
      <c r="DIE63" s="32"/>
      <c r="DIF63" s="32"/>
      <c r="DIG63" s="32"/>
      <c r="DIH63" s="32"/>
      <c r="DII63" s="32"/>
      <c r="DIJ63" s="32"/>
      <c r="DIK63" s="32"/>
      <c r="DIL63" s="32"/>
      <c r="DIM63" s="32"/>
      <c r="DIN63" s="32"/>
      <c r="DIO63" s="32"/>
      <c r="DIP63" s="32"/>
      <c r="DIQ63" s="32"/>
      <c r="DIR63" s="32"/>
      <c r="DIS63" s="32"/>
      <c r="DIT63" s="32"/>
      <c r="DIU63" s="32"/>
      <c r="DIV63" s="32"/>
      <c r="DIW63" s="32"/>
      <c r="DIX63" s="32"/>
      <c r="DIY63" s="32"/>
      <c r="DIZ63" s="32"/>
      <c r="DJA63" s="32"/>
      <c r="DJB63" s="32"/>
      <c r="DJC63" s="32"/>
      <c r="DJD63" s="32"/>
      <c r="DJE63" s="32"/>
      <c r="DJF63" s="32"/>
      <c r="DJG63" s="32"/>
      <c r="DJH63" s="32"/>
      <c r="DJI63" s="32"/>
      <c r="DJJ63" s="32"/>
      <c r="DJK63" s="32"/>
      <c r="DJL63" s="32"/>
      <c r="DJM63" s="32"/>
      <c r="DJN63" s="32"/>
      <c r="DJO63" s="32"/>
      <c r="DJP63" s="32"/>
      <c r="DJQ63" s="32"/>
      <c r="DJR63" s="32"/>
      <c r="DJS63" s="32"/>
      <c r="DJT63" s="32"/>
      <c r="DJU63" s="32"/>
      <c r="DJV63" s="32"/>
      <c r="DJW63" s="32"/>
      <c r="DJX63" s="32"/>
      <c r="DJY63" s="32"/>
      <c r="DJZ63" s="32"/>
      <c r="DKA63" s="32"/>
      <c r="DKB63" s="32"/>
      <c r="DKC63" s="32"/>
      <c r="DKD63" s="32"/>
      <c r="DKE63" s="32"/>
      <c r="DKF63" s="32"/>
      <c r="DKG63" s="32"/>
      <c r="DKH63" s="32"/>
      <c r="DKI63" s="32"/>
      <c r="DKJ63" s="32"/>
      <c r="DKK63" s="32"/>
      <c r="DKL63" s="32"/>
      <c r="DKM63" s="32"/>
      <c r="DKN63" s="32"/>
      <c r="DKO63" s="32"/>
      <c r="DKP63" s="32"/>
      <c r="DKQ63" s="32"/>
      <c r="DKR63" s="32"/>
      <c r="DKS63" s="32"/>
      <c r="DKT63" s="32"/>
      <c r="DKU63" s="32"/>
      <c r="DKV63" s="32"/>
      <c r="DKW63" s="32"/>
      <c r="DKX63" s="32"/>
      <c r="DKY63" s="32"/>
      <c r="DKZ63" s="32"/>
      <c r="DLA63" s="32"/>
      <c r="DLB63" s="32"/>
      <c r="DLC63" s="32"/>
      <c r="DLD63" s="32"/>
      <c r="DLE63" s="32"/>
      <c r="DLF63" s="32"/>
      <c r="DLG63" s="32"/>
      <c r="DLH63" s="32"/>
      <c r="DLI63" s="32"/>
      <c r="DLJ63" s="32"/>
      <c r="DLK63" s="32"/>
      <c r="DLL63" s="32"/>
      <c r="DLM63" s="32"/>
      <c r="DLN63" s="32"/>
      <c r="DLO63" s="32"/>
      <c r="DLP63" s="32"/>
      <c r="DLQ63" s="32"/>
      <c r="DLR63" s="32"/>
      <c r="DLS63" s="32"/>
      <c r="DLT63" s="32"/>
      <c r="DLU63" s="32"/>
      <c r="DLV63" s="32"/>
      <c r="DLW63" s="32"/>
      <c r="DLX63" s="32"/>
      <c r="DLY63" s="32"/>
      <c r="DLZ63" s="32"/>
      <c r="DMA63" s="32"/>
      <c r="DMB63" s="32"/>
      <c r="DMC63" s="32"/>
      <c r="DMD63" s="32"/>
      <c r="DME63" s="32"/>
      <c r="DMF63" s="32"/>
      <c r="DMG63" s="32"/>
      <c r="DMH63" s="32"/>
      <c r="DMI63" s="32"/>
      <c r="DMJ63" s="32"/>
      <c r="DMK63" s="32"/>
      <c r="DML63" s="32"/>
      <c r="DMM63" s="32"/>
      <c r="DMN63" s="32"/>
      <c r="DMO63" s="32"/>
      <c r="DMP63" s="32"/>
      <c r="DMQ63" s="32"/>
      <c r="DMR63" s="32"/>
      <c r="DMS63" s="32"/>
      <c r="DMT63" s="32"/>
      <c r="DMU63" s="32"/>
      <c r="DMV63" s="32"/>
      <c r="DMW63" s="32"/>
      <c r="DMX63" s="32"/>
      <c r="DMY63" s="32"/>
      <c r="DMZ63" s="32"/>
      <c r="DNA63" s="32"/>
      <c r="DNB63" s="32"/>
      <c r="DNC63" s="32"/>
      <c r="DND63" s="32"/>
      <c r="DNE63" s="32"/>
      <c r="DNF63" s="32"/>
      <c r="DNG63" s="32"/>
      <c r="DNH63" s="32"/>
      <c r="DNI63" s="32"/>
      <c r="DNJ63" s="32"/>
      <c r="DNK63" s="32"/>
      <c r="DNL63" s="32"/>
      <c r="DNM63" s="32"/>
      <c r="DNN63" s="32"/>
      <c r="DNO63" s="32"/>
      <c r="DNP63" s="32"/>
      <c r="DNQ63" s="32"/>
      <c r="DNR63" s="32"/>
      <c r="DNS63" s="32"/>
      <c r="DNT63" s="32"/>
      <c r="DNU63" s="32"/>
      <c r="DNV63" s="32"/>
      <c r="DNW63" s="32"/>
      <c r="DNX63" s="32"/>
      <c r="DNY63" s="32"/>
      <c r="DNZ63" s="32"/>
      <c r="DOA63" s="32"/>
      <c r="DOB63" s="32"/>
      <c r="DOC63" s="32"/>
      <c r="DOD63" s="32"/>
      <c r="DOE63" s="32"/>
      <c r="DOF63" s="32"/>
      <c r="DOG63" s="32"/>
      <c r="DOH63" s="32"/>
      <c r="DOI63" s="32"/>
      <c r="DOJ63" s="32"/>
      <c r="DOK63" s="32"/>
      <c r="DOL63" s="32"/>
      <c r="DOM63" s="32"/>
      <c r="DON63" s="32"/>
      <c r="DOO63" s="32"/>
      <c r="DOP63" s="32"/>
      <c r="DOQ63" s="32"/>
      <c r="DOR63" s="32"/>
      <c r="DOS63" s="32"/>
      <c r="DOT63" s="32"/>
      <c r="DOU63" s="32"/>
      <c r="DOV63" s="32"/>
      <c r="DOW63" s="32"/>
      <c r="DOX63" s="32"/>
      <c r="DOY63" s="32"/>
      <c r="DOZ63" s="32"/>
      <c r="DPA63" s="32"/>
      <c r="DPB63" s="32"/>
      <c r="DPC63" s="32"/>
      <c r="DPD63" s="32"/>
      <c r="DPE63" s="32"/>
      <c r="DPF63" s="32"/>
      <c r="DPG63" s="32"/>
      <c r="DPH63" s="32"/>
      <c r="DPI63" s="32"/>
      <c r="DPJ63" s="32"/>
      <c r="DPK63" s="32"/>
      <c r="DPL63" s="32"/>
      <c r="DPM63" s="32"/>
      <c r="DPN63" s="32"/>
      <c r="DPO63" s="32"/>
      <c r="DPP63" s="32"/>
      <c r="DPQ63" s="32"/>
      <c r="DPR63" s="32"/>
      <c r="DPS63" s="32"/>
      <c r="DPT63" s="32"/>
      <c r="DPU63" s="32"/>
      <c r="DPV63" s="32"/>
      <c r="DPW63" s="32"/>
      <c r="DPX63" s="32"/>
      <c r="DPY63" s="32"/>
      <c r="DPZ63" s="32"/>
      <c r="DQA63" s="32"/>
      <c r="DQB63" s="32"/>
      <c r="DQC63" s="32"/>
      <c r="DQD63" s="32"/>
      <c r="DQE63" s="32"/>
      <c r="DQF63" s="32"/>
      <c r="DQG63" s="32"/>
      <c r="DQH63" s="32"/>
      <c r="DQI63" s="32"/>
      <c r="DQJ63" s="32"/>
      <c r="DQK63" s="32"/>
      <c r="DQL63" s="32"/>
      <c r="DQM63" s="32"/>
      <c r="DQN63" s="32"/>
      <c r="DQO63" s="32"/>
      <c r="DQP63" s="32"/>
      <c r="DQQ63" s="32"/>
      <c r="DQR63" s="32"/>
      <c r="DQS63" s="32"/>
      <c r="DQT63" s="32"/>
      <c r="DQU63" s="32"/>
      <c r="DQV63" s="32"/>
      <c r="DQW63" s="32"/>
      <c r="DQX63" s="32"/>
      <c r="DQY63" s="32"/>
      <c r="DQZ63" s="32"/>
      <c r="DRA63" s="32"/>
      <c r="DRB63" s="32"/>
      <c r="DRC63" s="32"/>
      <c r="DRD63" s="32"/>
      <c r="DRE63" s="32"/>
      <c r="DRF63" s="32"/>
      <c r="DRG63" s="32"/>
      <c r="DRH63" s="32"/>
      <c r="DRI63" s="32"/>
      <c r="DRJ63" s="32"/>
      <c r="DRK63" s="32"/>
      <c r="DRL63" s="32"/>
      <c r="DRM63" s="32"/>
      <c r="DRN63" s="32"/>
      <c r="DRO63" s="32"/>
      <c r="DRP63" s="32"/>
      <c r="DRQ63" s="32"/>
      <c r="DRR63" s="32"/>
      <c r="DRS63" s="32"/>
      <c r="DRT63" s="32"/>
      <c r="DRU63" s="32"/>
      <c r="DRV63" s="32"/>
      <c r="DRW63" s="32"/>
      <c r="DRX63" s="32"/>
      <c r="DRY63" s="32"/>
      <c r="DRZ63" s="32"/>
      <c r="DSA63" s="32"/>
      <c r="DSB63" s="32"/>
      <c r="DSC63" s="32"/>
      <c r="DSD63" s="32"/>
      <c r="DSE63" s="32"/>
      <c r="DSF63" s="32"/>
      <c r="DSG63" s="32"/>
      <c r="DSH63" s="32"/>
      <c r="DSI63" s="32"/>
      <c r="DSJ63" s="32"/>
      <c r="DSK63" s="32"/>
      <c r="DSL63" s="32"/>
      <c r="DSM63" s="32"/>
      <c r="DSN63" s="32"/>
      <c r="DSO63" s="32"/>
      <c r="DSP63" s="32"/>
      <c r="DSQ63" s="32"/>
      <c r="DSR63" s="32"/>
      <c r="DSS63" s="32"/>
      <c r="DST63" s="32"/>
      <c r="DSU63" s="32"/>
      <c r="DSV63" s="32"/>
      <c r="DSW63" s="32"/>
      <c r="DSX63" s="32"/>
      <c r="DSY63" s="32"/>
      <c r="DSZ63" s="32"/>
      <c r="DTA63" s="32"/>
      <c r="DTB63" s="32"/>
      <c r="DTC63" s="32"/>
      <c r="DTD63" s="32"/>
      <c r="DTE63" s="32"/>
      <c r="DTF63" s="32"/>
      <c r="DTG63" s="32"/>
      <c r="DTH63" s="32"/>
      <c r="DTI63" s="32"/>
      <c r="DTJ63" s="32"/>
      <c r="DTK63" s="32"/>
      <c r="DTL63" s="32"/>
      <c r="DTM63" s="32"/>
      <c r="DTN63" s="32"/>
      <c r="DTO63" s="32"/>
      <c r="DTP63" s="32"/>
      <c r="DTQ63" s="32"/>
      <c r="DTR63" s="32"/>
      <c r="DTS63" s="32"/>
      <c r="DTT63" s="32"/>
      <c r="DTU63" s="32"/>
      <c r="DTV63" s="32"/>
      <c r="DTW63" s="32"/>
      <c r="DTX63" s="32"/>
      <c r="DTY63" s="32"/>
      <c r="DTZ63" s="32"/>
      <c r="DUA63" s="32"/>
      <c r="DUB63" s="32"/>
      <c r="DUC63" s="32"/>
      <c r="DUD63" s="32"/>
      <c r="DUE63" s="32"/>
      <c r="DUF63" s="32"/>
      <c r="DUG63" s="32"/>
      <c r="DUH63" s="32"/>
      <c r="DUI63" s="32"/>
      <c r="DUJ63" s="32"/>
      <c r="DUK63" s="32"/>
      <c r="DUL63" s="32"/>
      <c r="DUM63" s="32"/>
      <c r="DUN63" s="32"/>
      <c r="DUO63" s="32"/>
      <c r="DUP63" s="32"/>
      <c r="DUQ63" s="32"/>
      <c r="DUR63" s="32"/>
      <c r="DUS63" s="32"/>
      <c r="DUT63" s="32"/>
      <c r="DUU63" s="32"/>
      <c r="DUV63" s="32"/>
      <c r="DUW63" s="32"/>
      <c r="DUX63" s="32"/>
      <c r="DUY63" s="32"/>
      <c r="DUZ63" s="32"/>
      <c r="DVA63" s="32"/>
      <c r="DVB63" s="32"/>
      <c r="DVC63" s="32"/>
      <c r="DVD63" s="32"/>
      <c r="DVE63" s="32"/>
      <c r="DVF63" s="32"/>
      <c r="DVG63" s="32"/>
      <c r="DVH63" s="32"/>
      <c r="DVI63" s="32"/>
      <c r="DVJ63" s="32"/>
      <c r="DVK63" s="32"/>
      <c r="DVL63" s="32"/>
      <c r="DVM63" s="32"/>
      <c r="DVN63" s="32"/>
      <c r="DVO63" s="32"/>
      <c r="DVP63" s="32"/>
      <c r="DVQ63" s="32"/>
      <c r="DVR63" s="32"/>
      <c r="DVS63" s="32"/>
      <c r="DVT63" s="32"/>
      <c r="DVU63" s="32"/>
      <c r="DVV63" s="32"/>
      <c r="DVW63" s="32"/>
      <c r="DVX63" s="32"/>
      <c r="DVY63" s="32"/>
      <c r="DVZ63" s="32"/>
      <c r="DWA63" s="32"/>
      <c r="DWB63" s="32"/>
      <c r="DWC63" s="32"/>
      <c r="DWD63" s="32"/>
      <c r="DWE63" s="32"/>
      <c r="DWF63" s="32"/>
      <c r="DWG63" s="32"/>
      <c r="DWH63" s="32"/>
      <c r="DWI63" s="32"/>
      <c r="DWJ63" s="32"/>
      <c r="DWK63" s="32"/>
      <c r="DWL63" s="32"/>
      <c r="DWM63" s="32"/>
      <c r="DWN63" s="32"/>
      <c r="DWO63" s="32"/>
      <c r="DWP63" s="32"/>
      <c r="DWQ63" s="32"/>
      <c r="DWR63" s="32"/>
      <c r="DWS63" s="32"/>
      <c r="DWT63" s="32"/>
      <c r="DWU63" s="32"/>
      <c r="DWV63" s="32"/>
      <c r="DWW63" s="32"/>
      <c r="DWX63" s="32"/>
      <c r="DWY63" s="32"/>
      <c r="DWZ63" s="32"/>
      <c r="DXA63" s="32"/>
      <c r="DXB63" s="32"/>
      <c r="DXC63" s="32"/>
      <c r="DXD63" s="32"/>
      <c r="DXE63" s="32"/>
      <c r="DXF63" s="32"/>
      <c r="DXG63" s="32"/>
      <c r="DXH63" s="32"/>
      <c r="DXI63" s="32"/>
      <c r="DXJ63" s="32"/>
      <c r="DXK63" s="32"/>
      <c r="DXL63" s="32"/>
      <c r="DXM63" s="32"/>
      <c r="DXN63" s="32"/>
      <c r="DXO63" s="32"/>
      <c r="DXP63" s="32"/>
      <c r="DXQ63" s="32"/>
      <c r="DXR63" s="32"/>
      <c r="DXS63" s="32"/>
      <c r="DXT63" s="32"/>
      <c r="DXU63" s="32"/>
      <c r="DXV63" s="32"/>
      <c r="DXW63" s="32"/>
      <c r="DXX63" s="32"/>
      <c r="DXY63" s="32"/>
      <c r="DXZ63" s="32"/>
      <c r="DYA63" s="32"/>
      <c r="DYB63" s="32"/>
      <c r="DYC63" s="32"/>
      <c r="DYD63" s="32"/>
      <c r="DYE63" s="32"/>
      <c r="DYF63" s="32"/>
      <c r="DYG63" s="32"/>
      <c r="DYH63" s="32"/>
      <c r="DYI63" s="32"/>
      <c r="DYJ63" s="32"/>
      <c r="DYK63" s="32"/>
      <c r="DYL63" s="32"/>
      <c r="DYM63" s="32"/>
      <c r="DYN63" s="32"/>
      <c r="DYO63" s="32"/>
      <c r="DYP63" s="32"/>
      <c r="DYQ63" s="32"/>
      <c r="DYR63" s="32"/>
      <c r="DYS63" s="32"/>
      <c r="DYT63" s="32"/>
      <c r="DYU63" s="32"/>
      <c r="DYV63" s="32"/>
      <c r="DYW63" s="32"/>
      <c r="DYX63" s="32"/>
      <c r="DYY63" s="32"/>
      <c r="DYZ63" s="32"/>
      <c r="DZA63" s="32"/>
      <c r="DZB63" s="32"/>
      <c r="DZC63" s="32"/>
      <c r="DZD63" s="32"/>
      <c r="DZE63" s="32"/>
      <c r="DZF63" s="32"/>
      <c r="DZG63" s="32"/>
      <c r="DZH63" s="32"/>
      <c r="DZI63" s="32"/>
      <c r="DZJ63" s="32"/>
      <c r="DZK63" s="32"/>
      <c r="DZL63" s="32"/>
      <c r="DZM63" s="32"/>
      <c r="DZN63" s="32"/>
      <c r="DZO63" s="32"/>
      <c r="DZP63" s="32"/>
      <c r="DZQ63" s="32"/>
      <c r="DZR63" s="32"/>
      <c r="DZS63" s="32"/>
      <c r="DZT63" s="32"/>
      <c r="DZU63" s="32"/>
      <c r="DZV63" s="32"/>
      <c r="DZW63" s="32"/>
      <c r="DZX63" s="32"/>
      <c r="DZY63" s="32"/>
      <c r="DZZ63" s="32"/>
      <c r="EAA63" s="32"/>
      <c r="EAB63" s="32"/>
      <c r="EAC63" s="32"/>
      <c r="EAD63" s="32"/>
      <c r="EAE63" s="32"/>
      <c r="EAF63" s="32"/>
      <c r="EAG63" s="32"/>
      <c r="EAH63" s="32"/>
      <c r="EAI63" s="32"/>
      <c r="EAJ63" s="32"/>
      <c r="EAK63" s="32"/>
      <c r="EAL63" s="32"/>
      <c r="EAM63" s="32"/>
      <c r="EAN63" s="32"/>
      <c r="EAO63" s="32"/>
      <c r="EAP63" s="32"/>
      <c r="EAQ63" s="32"/>
      <c r="EAR63" s="32"/>
      <c r="EAS63" s="32"/>
      <c r="EAT63" s="32"/>
      <c r="EAU63" s="32"/>
      <c r="EAV63" s="32"/>
      <c r="EAW63" s="32"/>
      <c r="EAX63" s="32"/>
      <c r="EAY63" s="32"/>
      <c r="EAZ63" s="32"/>
      <c r="EBA63" s="32"/>
      <c r="EBB63" s="32"/>
      <c r="EBC63" s="32"/>
      <c r="EBD63" s="32"/>
      <c r="EBE63" s="32"/>
      <c r="EBF63" s="32"/>
      <c r="EBG63" s="32"/>
      <c r="EBH63" s="32"/>
      <c r="EBI63" s="32"/>
      <c r="EBJ63" s="32"/>
      <c r="EBK63" s="32"/>
      <c r="EBL63" s="32"/>
      <c r="EBM63" s="32"/>
      <c r="EBN63" s="32"/>
      <c r="EBO63" s="32"/>
      <c r="EBP63" s="32"/>
      <c r="EBQ63" s="32"/>
      <c r="EBR63" s="32"/>
      <c r="EBS63" s="32"/>
      <c r="EBT63" s="32"/>
      <c r="EBU63" s="32"/>
      <c r="EBV63" s="32"/>
      <c r="EBW63" s="32"/>
      <c r="EBX63" s="32"/>
      <c r="EBY63" s="32"/>
      <c r="EBZ63" s="32"/>
      <c r="ECA63" s="32"/>
      <c r="ECB63" s="32"/>
      <c r="ECC63" s="32"/>
      <c r="ECD63" s="32"/>
      <c r="ECE63" s="32"/>
      <c r="ECF63" s="32"/>
      <c r="ECG63" s="32"/>
      <c r="ECH63" s="32"/>
      <c r="ECI63" s="32"/>
      <c r="ECJ63" s="32"/>
      <c r="ECK63" s="32"/>
      <c r="ECL63" s="32"/>
      <c r="ECM63" s="32"/>
      <c r="ECN63" s="32"/>
      <c r="ECO63" s="32"/>
      <c r="ECP63" s="32"/>
      <c r="ECQ63" s="32"/>
      <c r="ECR63" s="32"/>
      <c r="ECS63" s="32"/>
      <c r="ECT63" s="32"/>
      <c r="ECU63" s="32"/>
      <c r="ECV63" s="32"/>
      <c r="ECW63" s="32"/>
      <c r="ECX63" s="32"/>
      <c r="ECY63" s="32"/>
      <c r="ECZ63" s="32"/>
      <c r="EDA63" s="32"/>
      <c r="EDB63" s="32"/>
      <c r="EDC63" s="32"/>
      <c r="EDD63" s="32"/>
      <c r="EDE63" s="32"/>
      <c r="EDF63" s="32"/>
      <c r="EDG63" s="32"/>
      <c r="EDH63" s="32"/>
      <c r="EDI63" s="32"/>
      <c r="EDJ63" s="32"/>
      <c r="EDK63" s="32"/>
      <c r="EDL63" s="32"/>
      <c r="EDM63" s="32"/>
      <c r="EDN63" s="32"/>
      <c r="EDO63" s="32"/>
      <c r="EDP63" s="32"/>
      <c r="EDQ63" s="32"/>
      <c r="EDR63" s="32"/>
      <c r="EDS63" s="32"/>
      <c r="EDT63" s="32"/>
      <c r="EDU63" s="32"/>
      <c r="EDV63" s="32"/>
      <c r="EDW63" s="32"/>
      <c r="EDX63" s="32"/>
      <c r="EDY63" s="32"/>
      <c r="EDZ63" s="32"/>
      <c r="EEA63" s="32"/>
      <c r="EEB63" s="32"/>
      <c r="EEC63" s="32"/>
      <c r="EED63" s="32"/>
      <c r="EEE63" s="32"/>
      <c r="EEF63" s="32"/>
      <c r="EEG63" s="32"/>
      <c r="EEH63" s="32"/>
      <c r="EEI63" s="32"/>
      <c r="EEJ63" s="32"/>
      <c r="EEK63" s="32"/>
      <c r="EEL63" s="32"/>
      <c r="EEM63" s="32"/>
      <c r="EEN63" s="32"/>
      <c r="EEO63" s="32"/>
      <c r="EEP63" s="32"/>
      <c r="EEQ63" s="32"/>
      <c r="EER63" s="32"/>
      <c r="EES63" s="32"/>
      <c r="EET63" s="32"/>
      <c r="EEU63" s="32"/>
      <c r="EEV63" s="32"/>
      <c r="EEW63" s="32"/>
      <c r="EEX63" s="32"/>
      <c r="EEY63" s="32"/>
      <c r="EEZ63" s="32"/>
      <c r="EFA63" s="32"/>
      <c r="EFB63" s="32"/>
      <c r="EFC63" s="32"/>
      <c r="EFD63" s="32"/>
      <c r="EFE63" s="32"/>
      <c r="EFF63" s="32"/>
      <c r="EFG63" s="32"/>
      <c r="EFH63" s="32"/>
      <c r="EFI63" s="32"/>
      <c r="EFJ63" s="32"/>
      <c r="EFK63" s="32"/>
      <c r="EFL63" s="32"/>
      <c r="EFM63" s="32"/>
      <c r="EFN63" s="32"/>
      <c r="EFO63" s="32"/>
      <c r="EFP63" s="32"/>
      <c r="EFQ63" s="32"/>
      <c r="EFR63" s="32"/>
      <c r="EFS63" s="32"/>
      <c r="EFT63" s="32"/>
      <c r="EFU63" s="32"/>
      <c r="EFV63" s="32"/>
      <c r="EFW63" s="32"/>
      <c r="EFX63" s="32"/>
      <c r="EFY63" s="32"/>
      <c r="EFZ63" s="32"/>
      <c r="EGA63" s="32"/>
      <c r="EGB63" s="32"/>
      <c r="EGC63" s="32"/>
      <c r="EGD63" s="32"/>
      <c r="EGE63" s="32"/>
      <c r="EGF63" s="32"/>
      <c r="EGG63" s="32"/>
      <c r="EGH63" s="32"/>
      <c r="EGI63" s="32"/>
      <c r="EGJ63" s="32"/>
      <c r="EGK63" s="32"/>
      <c r="EGL63" s="32"/>
      <c r="EGM63" s="32"/>
      <c r="EGN63" s="32"/>
      <c r="EGO63" s="32"/>
      <c r="EGP63" s="32"/>
      <c r="EGQ63" s="32"/>
      <c r="EGR63" s="32"/>
      <c r="EGS63" s="32"/>
      <c r="EGT63" s="32"/>
      <c r="EGU63" s="32"/>
      <c r="EGV63" s="32"/>
      <c r="EGW63" s="32"/>
      <c r="EGX63" s="32"/>
      <c r="EGY63" s="32"/>
      <c r="EGZ63" s="32"/>
      <c r="EHA63" s="32"/>
      <c r="EHB63" s="32"/>
      <c r="EHC63" s="32"/>
      <c r="EHD63" s="32"/>
      <c r="EHE63" s="32"/>
      <c r="EHF63" s="32"/>
      <c r="EHG63" s="32"/>
      <c r="EHH63" s="32"/>
      <c r="EHI63" s="32"/>
      <c r="EHJ63" s="32"/>
      <c r="EHK63" s="32"/>
      <c r="EHL63" s="32"/>
      <c r="EHM63" s="32"/>
      <c r="EHN63" s="32"/>
      <c r="EHO63" s="32"/>
      <c r="EHP63" s="32"/>
      <c r="EHQ63" s="32"/>
      <c r="EHR63" s="32"/>
      <c r="EHS63" s="32"/>
      <c r="EHT63" s="32"/>
      <c r="EHU63" s="32"/>
      <c r="EHV63" s="32"/>
      <c r="EHW63" s="32"/>
      <c r="EHX63" s="32"/>
      <c r="EHY63" s="32"/>
      <c r="EHZ63" s="32"/>
      <c r="EIA63" s="32"/>
      <c r="EIB63" s="32"/>
      <c r="EIC63" s="32"/>
      <c r="EID63" s="32"/>
      <c r="EIE63" s="32"/>
      <c r="EIF63" s="32"/>
      <c r="EIG63" s="32"/>
      <c r="EIH63" s="32"/>
      <c r="EII63" s="32"/>
      <c r="EIJ63" s="32"/>
      <c r="EIK63" s="32"/>
      <c r="EIL63" s="32"/>
      <c r="EIM63" s="32"/>
      <c r="EIN63" s="32"/>
      <c r="EIO63" s="32"/>
      <c r="EIP63" s="32"/>
      <c r="EIQ63" s="32"/>
      <c r="EIR63" s="32"/>
      <c r="EIS63" s="32"/>
      <c r="EIT63" s="32"/>
      <c r="EIU63" s="32"/>
      <c r="EIV63" s="32"/>
      <c r="EIW63" s="32"/>
      <c r="EIX63" s="32"/>
      <c r="EIY63" s="32"/>
      <c r="EIZ63" s="32"/>
      <c r="EJA63" s="32"/>
      <c r="EJB63" s="32"/>
      <c r="EJC63" s="32"/>
      <c r="EJD63" s="32"/>
      <c r="EJE63" s="32"/>
      <c r="EJF63" s="32"/>
      <c r="EJG63" s="32"/>
      <c r="EJH63" s="32"/>
      <c r="EJI63" s="32"/>
      <c r="EJJ63" s="32"/>
      <c r="EJK63" s="32"/>
      <c r="EJL63" s="32"/>
      <c r="EJM63" s="32"/>
      <c r="EJN63" s="32"/>
      <c r="EJO63" s="32"/>
      <c r="EJP63" s="32"/>
      <c r="EJQ63" s="32"/>
      <c r="EJR63" s="32"/>
      <c r="EJS63" s="32"/>
      <c r="EJT63" s="32"/>
      <c r="EJU63" s="32"/>
      <c r="EJV63" s="32"/>
      <c r="EJW63" s="32"/>
      <c r="EJX63" s="32"/>
      <c r="EJY63" s="32"/>
      <c r="EJZ63" s="32"/>
      <c r="EKA63" s="32"/>
      <c r="EKB63" s="32"/>
      <c r="EKC63" s="32"/>
      <c r="EKD63" s="32"/>
      <c r="EKE63" s="32"/>
      <c r="EKF63" s="32"/>
      <c r="EKG63" s="32"/>
      <c r="EKH63" s="32"/>
      <c r="EKI63" s="32"/>
      <c r="EKJ63" s="32"/>
      <c r="EKK63" s="32"/>
      <c r="EKL63" s="32"/>
      <c r="EKM63" s="32"/>
      <c r="EKN63" s="32"/>
      <c r="EKO63" s="32"/>
      <c r="EKP63" s="32"/>
      <c r="EKQ63" s="32"/>
      <c r="EKR63" s="32"/>
      <c r="EKS63" s="32"/>
      <c r="EKT63" s="32"/>
      <c r="EKU63" s="32"/>
      <c r="EKV63" s="32"/>
      <c r="EKW63" s="32"/>
      <c r="EKX63" s="32"/>
      <c r="EKY63" s="32"/>
      <c r="EKZ63" s="32"/>
      <c r="ELA63" s="32"/>
      <c r="ELB63" s="32"/>
      <c r="ELC63" s="32"/>
      <c r="ELD63" s="32"/>
      <c r="ELE63" s="32"/>
      <c r="ELF63" s="32"/>
      <c r="ELG63" s="32"/>
      <c r="ELH63" s="32"/>
      <c r="ELI63" s="32"/>
      <c r="ELJ63" s="32"/>
      <c r="ELK63" s="32"/>
      <c r="ELL63" s="32"/>
      <c r="ELM63" s="32"/>
      <c r="ELN63" s="32"/>
      <c r="ELO63" s="32"/>
      <c r="ELP63" s="32"/>
      <c r="ELQ63" s="32"/>
      <c r="ELR63" s="32"/>
      <c r="ELS63" s="32"/>
      <c r="ELT63" s="32"/>
      <c r="ELU63" s="32"/>
      <c r="ELV63" s="32"/>
      <c r="ELW63" s="32"/>
      <c r="ELX63" s="32"/>
      <c r="ELY63" s="32"/>
      <c r="ELZ63" s="32"/>
      <c r="EMA63" s="32"/>
      <c r="EMB63" s="32"/>
      <c r="EMC63" s="32"/>
      <c r="EMD63" s="32"/>
      <c r="EME63" s="32"/>
      <c r="EMF63" s="32"/>
      <c r="EMG63" s="32"/>
      <c r="EMH63" s="32"/>
      <c r="EMI63" s="32"/>
      <c r="EMJ63" s="32"/>
      <c r="EMK63" s="32"/>
      <c r="EML63" s="32"/>
      <c r="EMM63" s="32"/>
      <c r="EMN63" s="32"/>
      <c r="EMO63" s="32"/>
      <c r="EMP63" s="32"/>
      <c r="EMQ63" s="32"/>
      <c r="EMR63" s="32"/>
      <c r="EMS63" s="32"/>
      <c r="EMT63" s="32"/>
      <c r="EMU63" s="32"/>
      <c r="EMV63" s="32"/>
      <c r="EMW63" s="32"/>
      <c r="EMX63" s="32"/>
      <c r="EMY63" s="32"/>
      <c r="EMZ63" s="32"/>
      <c r="ENA63" s="32"/>
      <c r="ENB63" s="32"/>
      <c r="ENC63" s="32"/>
      <c r="END63" s="32"/>
      <c r="ENE63" s="32"/>
      <c r="ENF63" s="32"/>
      <c r="ENG63" s="32"/>
      <c r="ENH63" s="32"/>
      <c r="ENI63" s="32"/>
      <c r="ENJ63" s="32"/>
      <c r="ENK63" s="32"/>
      <c r="ENL63" s="32"/>
      <c r="ENM63" s="32"/>
      <c r="ENN63" s="32"/>
      <c r="ENO63" s="32"/>
      <c r="ENP63" s="32"/>
      <c r="ENQ63" s="32"/>
      <c r="ENR63" s="32"/>
      <c r="ENS63" s="32"/>
      <c r="ENT63" s="32"/>
      <c r="ENU63" s="32"/>
      <c r="ENV63" s="32"/>
      <c r="ENW63" s="32"/>
      <c r="ENX63" s="32"/>
      <c r="ENY63" s="32"/>
      <c r="ENZ63" s="32"/>
      <c r="EOA63" s="32"/>
      <c r="EOB63" s="32"/>
      <c r="EOC63" s="32"/>
      <c r="EOD63" s="32"/>
      <c r="EOE63" s="32"/>
      <c r="EOF63" s="32"/>
      <c r="EOG63" s="32"/>
      <c r="EOH63" s="32"/>
      <c r="EOI63" s="32"/>
      <c r="EOJ63" s="32"/>
      <c r="EOK63" s="32"/>
      <c r="EOL63" s="32"/>
      <c r="EOM63" s="32"/>
      <c r="EON63" s="32"/>
      <c r="EOO63" s="32"/>
      <c r="EOP63" s="32"/>
      <c r="EOQ63" s="32"/>
      <c r="EOR63" s="32"/>
      <c r="EOS63" s="32"/>
      <c r="EOT63" s="32"/>
      <c r="EOU63" s="32"/>
      <c r="EOV63" s="32"/>
      <c r="EOW63" s="32"/>
      <c r="EOX63" s="32"/>
      <c r="EOY63" s="32"/>
      <c r="EOZ63" s="32"/>
      <c r="EPA63" s="32"/>
      <c r="EPB63" s="32"/>
      <c r="EPC63" s="32"/>
      <c r="EPD63" s="32"/>
      <c r="EPE63" s="32"/>
      <c r="EPF63" s="32"/>
      <c r="EPG63" s="32"/>
      <c r="EPH63" s="32"/>
      <c r="EPI63" s="32"/>
      <c r="EPJ63" s="32"/>
      <c r="EPK63" s="32"/>
      <c r="EPL63" s="32"/>
      <c r="EPM63" s="32"/>
      <c r="EPN63" s="32"/>
      <c r="EPO63" s="32"/>
      <c r="EPP63" s="32"/>
      <c r="EPQ63" s="32"/>
      <c r="EPR63" s="32"/>
      <c r="EPS63" s="32"/>
      <c r="EPT63" s="32"/>
      <c r="EPU63" s="32"/>
      <c r="EPV63" s="32"/>
      <c r="EPW63" s="32"/>
      <c r="EPX63" s="32"/>
      <c r="EPY63" s="32"/>
      <c r="EPZ63" s="32"/>
      <c r="EQA63" s="32"/>
      <c r="EQB63" s="32"/>
      <c r="EQC63" s="32"/>
      <c r="EQD63" s="32"/>
      <c r="EQE63" s="32"/>
      <c r="EQF63" s="32"/>
      <c r="EQG63" s="32"/>
      <c r="EQH63" s="32"/>
      <c r="EQI63" s="32"/>
      <c r="EQJ63" s="32"/>
      <c r="EQK63" s="32"/>
      <c r="EQL63" s="32"/>
      <c r="EQM63" s="32"/>
      <c r="EQN63" s="32"/>
      <c r="EQO63" s="32"/>
      <c r="EQP63" s="32"/>
      <c r="EQQ63" s="32"/>
      <c r="EQR63" s="32"/>
      <c r="EQS63" s="32"/>
      <c r="EQT63" s="32"/>
      <c r="EQU63" s="32"/>
      <c r="EQV63" s="32"/>
      <c r="EQW63" s="32"/>
      <c r="EQX63" s="32"/>
      <c r="EQY63" s="32"/>
      <c r="EQZ63" s="32"/>
      <c r="ERA63" s="32"/>
      <c r="ERB63" s="32"/>
      <c r="ERC63" s="32"/>
      <c r="ERD63" s="32"/>
      <c r="ERE63" s="32"/>
      <c r="ERF63" s="32"/>
      <c r="ERG63" s="32"/>
      <c r="ERH63" s="32"/>
      <c r="ERI63" s="32"/>
      <c r="ERJ63" s="32"/>
      <c r="ERK63" s="32"/>
      <c r="ERL63" s="32"/>
      <c r="ERM63" s="32"/>
      <c r="ERN63" s="32"/>
      <c r="ERO63" s="32"/>
      <c r="ERP63" s="32"/>
      <c r="ERQ63" s="32"/>
      <c r="ERR63" s="32"/>
      <c r="ERS63" s="32"/>
      <c r="ERT63" s="32"/>
      <c r="ERU63" s="32"/>
      <c r="ERV63" s="32"/>
      <c r="ERW63" s="32"/>
      <c r="ERX63" s="32"/>
      <c r="ERY63" s="32"/>
      <c r="ERZ63" s="32"/>
      <c r="ESA63" s="32"/>
      <c r="ESB63" s="32"/>
      <c r="ESC63" s="32"/>
      <c r="ESD63" s="32"/>
      <c r="ESE63" s="32"/>
      <c r="ESF63" s="32"/>
      <c r="ESG63" s="32"/>
      <c r="ESH63" s="32"/>
      <c r="ESI63" s="32"/>
      <c r="ESJ63" s="32"/>
      <c r="ESK63" s="32"/>
      <c r="ESL63" s="32"/>
      <c r="ESM63" s="32"/>
      <c r="ESN63" s="32"/>
      <c r="ESO63" s="32"/>
      <c r="ESP63" s="32"/>
      <c r="ESQ63" s="32"/>
      <c r="ESR63" s="32"/>
      <c r="ESS63" s="32"/>
      <c r="EST63" s="32"/>
      <c r="ESU63" s="32"/>
      <c r="ESV63" s="32"/>
      <c r="ESW63" s="32"/>
      <c r="ESX63" s="32"/>
      <c r="ESY63" s="32"/>
      <c r="ESZ63" s="32"/>
      <c r="ETA63" s="32"/>
      <c r="ETB63" s="32"/>
      <c r="ETC63" s="32"/>
      <c r="ETD63" s="32"/>
      <c r="ETE63" s="32"/>
      <c r="ETF63" s="32"/>
      <c r="ETG63" s="32"/>
      <c r="ETH63" s="32"/>
      <c r="ETI63" s="32"/>
      <c r="ETJ63" s="32"/>
      <c r="ETK63" s="32"/>
      <c r="ETL63" s="32"/>
      <c r="ETM63" s="32"/>
      <c r="ETN63" s="32"/>
      <c r="ETO63" s="32"/>
      <c r="ETP63" s="32"/>
      <c r="ETQ63" s="32"/>
      <c r="ETR63" s="32"/>
      <c r="ETS63" s="32"/>
      <c r="ETT63" s="32"/>
      <c r="ETU63" s="32"/>
      <c r="ETV63" s="32"/>
      <c r="ETW63" s="32"/>
      <c r="ETX63" s="32"/>
      <c r="ETY63" s="32"/>
      <c r="ETZ63" s="32"/>
      <c r="EUA63" s="32"/>
      <c r="EUB63" s="32"/>
      <c r="EUC63" s="32"/>
      <c r="EUD63" s="32"/>
      <c r="EUE63" s="32"/>
      <c r="EUF63" s="32"/>
      <c r="EUG63" s="32"/>
      <c r="EUH63" s="32"/>
      <c r="EUI63" s="32"/>
      <c r="EUJ63" s="32"/>
      <c r="EUK63" s="32"/>
      <c r="EUL63" s="32"/>
      <c r="EUM63" s="32"/>
      <c r="EUN63" s="32"/>
      <c r="EUO63" s="32"/>
      <c r="EUP63" s="32"/>
      <c r="EUQ63" s="32"/>
      <c r="EUR63" s="32"/>
      <c r="EUS63" s="32"/>
      <c r="EUT63" s="32"/>
      <c r="EUU63" s="32"/>
      <c r="EUV63" s="32"/>
      <c r="EUW63" s="32"/>
      <c r="EUX63" s="32"/>
      <c r="EUY63" s="32"/>
      <c r="EUZ63" s="32"/>
      <c r="EVA63" s="32"/>
      <c r="EVB63" s="32"/>
      <c r="EVC63" s="32"/>
      <c r="EVD63" s="32"/>
      <c r="EVE63" s="32"/>
      <c r="EVF63" s="32"/>
      <c r="EVG63" s="32"/>
      <c r="EVH63" s="32"/>
      <c r="EVI63" s="32"/>
      <c r="EVJ63" s="32"/>
      <c r="EVK63" s="32"/>
      <c r="EVL63" s="32"/>
      <c r="EVM63" s="32"/>
      <c r="EVN63" s="32"/>
      <c r="EVO63" s="32"/>
      <c r="EVP63" s="32"/>
      <c r="EVQ63" s="32"/>
      <c r="EVR63" s="32"/>
      <c r="EVS63" s="32"/>
      <c r="EVT63" s="32"/>
      <c r="EVU63" s="32"/>
      <c r="EVV63" s="32"/>
      <c r="EVW63" s="32"/>
      <c r="EVX63" s="32"/>
      <c r="EVY63" s="32"/>
      <c r="EVZ63" s="32"/>
      <c r="EWA63" s="32"/>
      <c r="EWB63" s="32"/>
      <c r="EWC63" s="32"/>
      <c r="EWD63" s="32"/>
      <c r="EWE63" s="32"/>
      <c r="EWF63" s="32"/>
      <c r="EWG63" s="32"/>
      <c r="EWH63" s="32"/>
      <c r="EWI63" s="32"/>
      <c r="EWJ63" s="32"/>
      <c r="EWK63" s="32"/>
      <c r="EWL63" s="32"/>
      <c r="EWM63" s="32"/>
      <c r="EWN63" s="32"/>
      <c r="EWO63" s="32"/>
      <c r="EWP63" s="32"/>
      <c r="EWQ63" s="32"/>
      <c r="EWR63" s="32"/>
      <c r="EWS63" s="32"/>
      <c r="EWT63" s="32"/>
      <c r="EWU63" s="32"/>
      <c r="EWV63" s="32"/>
      <c r="EWW63" s="32"/>
      <c r="EWX63" s="32"/>
      <c r="EWY63" s="32"/>
      <c r="EWZ63" s="32"/>
      <c r="EXA63" s="32"/>
      <c r="EXB63" s="32"/>
      <c r="EXC63" s="32"/>
      <c r="EXD63" s="32"/>
      <c r="EXE63" s="32"/>
      <c r="EXF63" s="32"/>
      <c r="EXG63" s="32"/>
      <c r="EXH63" s="32"/>
      <c r="EXI63" s="32"/>
      <c r="EXJ63" s="32"/>
      <c r="EXK63" s="32"/>
      <c r="EXL63" s="32"/>
      <c r="EXM63" s="32"/>
      <c r="EXN63" s="32"/>
      <c r="EXO63" s="32"/>
      <c r="EXP63" s="32"/>
      <c r="EXQ63" s="32"/>
      <c r="EXR63" s="32"/>
      <c r="EXS63" s="32"/>
      <c r="EXT63" s="32"/>
      <c r="EXU63" s="32"/>
      <c r="EXV63" s="32"/>
      <c r="EXW63" s="32"/>
      <c r="EXX63" s="32"/>
      <c r="EXY63" s="32"/>
      <c r="EXZ63" s="32"/>
      <c r="EYA63" s="32"/>
      <c r="EYB63" s="32"/>
      <c r="EYC63" s="32"/>
      <c r="EYD63" s="32"/>
      <c r="EYE63" s="32"/>
      <c r="EYF63" s="32"/>
      <c r="EYG63" s="32"/>
      <c r="EYH63" s="32"/>
      <c r="EYI63" s="32"/>
      <c r="EYJ63" s="32"/>
      <c r="EYK63" s="32"/>
      <c r="EYL63" s="32"/>
      <c r="EYM63" s="32"/>
      <c r="EYN63" s="32"/>
      <c r="EYO63" s="32"/>
      <c r="EYP63" s="32"/>
      <c r="EYQ63" s="32"/>
      <c r="EYR63" s="32"/>
      <c r="EYS63" s="32"/>
      <c r="EYT63" s="32"/>
      <c r="EYU63" s="32"/>
      <c r="EYV63" s="32"/>
      <c r="EYW63" s="32"/>
      <c r="EYX63" s="32"/>
      <c r="EYY63" s="32"/>
      <c r="EYZ63" s="32"/>
      <c r="EZA63" s="32"/>
      <c r="EZB63" s="32"/>
      <c r="EZC63" s="32"/>
      <c r="EZD63" s="32"/>
      <c r="EZE63" s="32"/>
      <c r="EZF63" s="32"/>
      <c r="EZG63" s="32"/>
      <c r="EZH63" s="32"/>
      <c r="EZI63" s="32"/>
      <c r="EZJ63" s="32"/>
      <c r="EZK63" s="32"/>
      <c r="EZL63" s="32"/>
      <c r="EZM63" s="32"/>
      <c r="EZN63" s="32"/>
      <c r="EZO63" s="32"/>
      <c r="EZP63" s="32"/>
      <c r="EZQ63" s="32"/>
      <c r="EZR63" s="32"/>
      <c r="EZS63" s="32"/>
      <c r="EZT63" s="32"/>
      <c r="EZU63" s="32"/>
      <c r="EZV63" s="32"/>
      <c r="EZW63" s="32"/>
      <c r="EZX63" s="32"/>
      <c r="EZY63" s="32"/>
      <c r="EZZ63" s="32"/>
      <c r="FAA63" s="32"/>
      <c r="FAB63" s="32"/>
      <c r="FAC63" s="32"/>
      <c r="FAD63" s="32"/>
      <c r="FAE63" s="32"/>
      <c r="FAF63" s="32"/>
      <c r="FAG63" s="32"/>
      <c r="FAH63" s="32"/>
      <c r="FAI63" s="32"/>
      <c r="FAJ63" s="32"/>
      <c r="FAK63" s="32"/>
      <c r="FAL63" s="32"/>
      <c r="FAM63" s="32"/>
      <c r="FAN63" s="32"/>
      <c r="FAO63" s="32"/>
      <c r="FAP63" s="32"/>
      <c r="FAQ63" s="32"/>
      <c r="FAR63" s="32"/>
      <c r="FAS63" s="32"/>
      <c r="FAT63" s="32"/>
      <c r="FAU63" s="32"/>
      <c r="FAV63" s="32"/>
      <c r="FAW63" s="32"/>
      <c r="FAX63" s="32"/>
      <c r="FAY63" s="32"/>
      <c r="FAZ63" s="32"/>
      <c r="FBA63" s="32"/>
      <c r="FBB63" s="32"/>
      <c r="FBC63" s="32"/>
      <c r="FBD63" s="32"/>
      <c r="FBE63" s="32"/>
      <c r="FBF63" s="32"/>
      <c r="FBG63" s="32"/>
      <c r="FBH63" s="32"/>
      <c r="FBI63" s="32"/>
      <c r="FBJ63" s="32"/>
      <c r="FBK63" s="32"/>
      <c r="FBL63" s="32"/>
      <c r="FBM63" s="32"/>
      <c r="FBN63" s="32"/>
      <c r="FBO63" s="32"/>
      <c r="FBP63" s="32"/>
      <c r="FBQ63" s="32"/>
      <c r="FBR63" s="32"/>
      <c r="FBS63" s="32"/>
      <c r="FBT63" s="32"/>
      <c r="FBU63" s="32"/>
      <c r="FBV63" s="32"/>
      <c r="FBW63" s="32"/>
      <c r="FBX63" s="32"/>
      <c r="FBY63" s="32"/>
      <c r="FBZ63" s="32"/>
      <c r="FCA63" s="32"/>
      <c r="FCB63" s="32"/>
      <c r="FCC63" s="32"/>
      <c r="FCD63" s="32"/>
      <c r="FCE63" s="32"/>
      <c r="FCF63" s="32"/>
      <c r="FCG63" s="32"/>
      <c r="FCH63" s="32"/>
      <c r="FCI63" s="32"/>
      <c r="FCJ63" s="32"/>
      <c r="FCK63" s="32"/>
      <c r="FCL63" s="32"/>
      <c r="FCM63" s="32"/>
      <c r="FCN63" s="32"/>
      <c r="FCO63" s="32"/>
      <c r="FCP63" s="32"/>
      <c r="FCQ63" s="32"/>
      <c r="FCR63" s="32"/>
      <c r="FCS63" s="32"/>
      <c r="FCT63" s="32"/>
      <c r="FCU63" s="32"/>
      <c r="FCV63" s="32"/>
      <c r="FCW63" s="32"/>
      <c r="FCX63" s="32"/>
      <c r="FCY63" s="32"/>
      <c r="FCZ63" s="32"/>
      <c r="FDA63" s="32"/>
      <c r="FDB63" s="32"/>
      <c r="FDC63" s="32"/>
      <c r="FDD63" s="32"/>
      <c r="FDE63" s="32"/>
      <c r="FDF63" s="32"/>
      <c r="FDG63" s="32"/>
      <c r="FDH63" s="32"/>
      <c r="FDI63" s="32"/>
      <c r="FDJ63" s="32"/>
      <c r="FDK63" s="32"/>
      <c r="FDL63" s="32"/>
      <c r="FDM63" s="32"/>
      <c r="FDN63" s="32"/>
      <c r="FDO63" s="32"/>
      <c r="FDP63" s="32"/>
      <c r="FDQ63" s="32"/>
      <c r="FDR63" s="32"/>
      <c r="FDS63" s="32"/>
      <c r="FDT63" s="32"/>
      <c r="FDU63" s="32"/>
      <c r="FDV63" s="32"/>
      <c r="FDW63" s="32"/>
      <c r="FDX63" s="32"/>
      <c r="FDY63" s="32"/>
      <c r="FDZ63" s="32"/>
      <c r="FEA63" s="32"/>
      <c r="FEB63" s="32"/>
      <c r="FEC63" s="32"/>
      <c r="FED63" s="32"/>
      <c r="FEE63" s="32"/>
      <c r="FEF63" s="32"/>
      <c r="FEG63" s="32"/>
      <c r="FEH63" s="32"/>
      <c r="FEI63" s="32"/>
      <c r="FEJ63" s="32"/>
      <c r="FEK63" s="32"/>
      <c r="FEL63" s="32"/>
      <c r="FEM63" s="32"/>
      <c r="FEN63" s="32"/>
      <c r="FEO63" s="32"/>
      <c r="FEP63" s="32"/>
      <c r="FEQ63" s="32"/>
      <c r="FER63" s="32"/>
      <c r="FES63" s="32"/>
      <c r="FET63" s="32"/>
      <c r="FEU63" s="32"/>
      <c r="FEV63" s="32"/>
      <c r="FEW63" s="32"/>
      <c r="FEX63" s="32"/>
      <c r="FEY63" s="32"/>
      <c r="FEZ63" s="32"/>
      <c r="FFA63" s="32"/>
      <c r="FFB63" s="32"/>
      <c r="FFC63" s="32"/>
      <c r="FFD63" s="32"/>
      <c r="FFE63" s="32"/>
      <c r="FFF63" s="32"/>
      <c r="FFG63" s="32"/>
      <c r="FFH63" s="32"/>
      <c r="FFI63" s="32"/>
      <c r="FFJ63" s="32"/>
      <c r="FFK63" s="32"/>
      <c r="FFL63" s="32"/>
      <c r="FFM63" s="32"/>
      <c r="FFN63" s="32"/>
      <c r="FFO63" s="32"/>
      <c r="FFP63" s="32"/>
      <c r="FFQ63" s="32"/>
      <c r="FFR63" s="32"/>
      <c r="FFS63" s="32"/>
      <c r="FFT63" s="32"/>
      <c r="FFU63" s="32"/>
      <c r="FFV63" s="32"/>
      <c r="FFW63" s="32"/>
      <c r="FFX63" s="32"/>
      <c r="FFY63" s="32"/>
      <c r="FFZ63" s="32"/>
      <c r="FGA63" s="32"/>
      <c r="FGB63" s="32"/>
      <c r="FGC63" s="32"/>
      <c r="FGD63" s="32"/>
      <c r="FGE63" s="32"/>
      <c r="FGF63" s="32"/>
      <c r="FGG63" s="32"/>
      <c r="FGH63" s="32"/>
      <c r="FGI63" s="32"/>
      <c r="FGJ63" s="32"/>
      <c r="FGK63" s="32"/>
      <c r="FGL63" s="32"/>
      <c r="FGM63" s="32"/>
      <c r="FGN63" s="32"/>
      <c r="FGO63" s="32"/>
      <c r="FGP63" s="32"/>
      <c r="FGQ63" s="32"/>
      <c r="FGR63" s="32"/>
      <c r="FGS63" s="32"/>
      <c r="FGT63" s="32"/>
      <c r="FGU63" s="32"/>
      <c r="FGV63" s="32"/>
      <c r="FGW63" s="32"/>
      <c r="FGX63" s="32"/>
      <c r="FGY63" s="32"/>
      <c r="FGZ63" s="32"/>
      <c r="FHA63" s="32"/>
      <c r="FHB63" s="32"/>
      <c r="FHC63" s="32"/>
      <c r="FHD63" s="32"/>
      <c r="FHE63" s="32"/>
      <c r="FHF63" s="32"/>
      <c r="FHG63" s="32"/>
      <c r="FHH63" s="32"/>
      <c r="FHI63" s="32"/>
      <c r="FHJ63" s="32"/>
      <c r="FHK63" s="32"/>
      <c r="FHL63" s="32"/>
      <c r="FHM63" s="32"/>
      <c r="FHN63" s="32"/>
      <c r="FHO63" s="32"/>
      <c r="FHP63" s="32"/>
      <c r="FHQ63" s="32"/>
      <c r="FHR63" s="32"/>
      <c r="FHS63" s="32"/>
      <c r="FHT63" s="32"/>
      <c r="FHU63" s="32"/>
      <c r="FHV63" s="32"/>
      <c r="FHW63" s="32"/>
      <c r="FHX63" s="32"/>
      <c r="FHY63" s="32"/>
      <c r="FHZ63" s="32"/>
      <c r="FIA63" s="32"/>
      <c r="FIB63" s="32"/>
      <c r="FIC63" s="32"/>
      <c r="FID63" s="32"/>
      <c r="FIE63" s="32"/>
      <c r="FIF63" s="32"/>
      <c r="FIG63" s="32"/>
      <c r="FIH63" s="32"/>
      <c r="FII63" s="32"/>
      <c r="FIJ63" s="32"/>
      <c r="FIK63" s="32"/>
      <c r="FIL63" s="32"/>
      <c r="FIM63" s="32"/>
      <c r="FIN63" s="32"/>
      <c r="FIO63" s="32"/>
      <c r="FIP63" s="32"/>
      <c r="FIQ63" s="32"/>
      <c r="FIR63" s="32"/>
      <c r="FIS63" s="32"/>
      <c r="FIT63" s="32"/>
      <c r="FIU63" s="32"/>
      <c r="FIV63" s="32"/>
      <c r="FIW63" s="32"/>
      <c r="FIX63" s="32"/>
      <c r="FIY63" s="32"/>
      <c r="FIZ63" s="32"/>
      <c r="FJA63" s="32"/>
      <c r="FJB63" s="32"/>
      <c r="FJC63" s="32"/>
      <c r="FJD63" s="32"/>
      <c r="FJE63" s="32"/>
      <c r="FJF63" s="32"/>
      <c r="FJG63" s="32"/>
      <c r="FJH63" s="32"/>
      <c r="FJI63" s="32"/>
      <c r="FJJ63" s="32"/>
      <c r="FJK63" s="32"/>
      <c r="FJL63" s="32"/>
      <c r="FJM63" s="32"/>
      <c r="FJN63" s="32"/>
      <c r="FJO63" s="32"/>
      <c r="FJP63" s="32"/>
      <c r="FJQ63" s="32"/>
      <c r="FJR63" s="32"/>
      <c r="FJS63" s="32"/>
      <c r="FJT63" s="32"/>
      <c r="FJU63" s="32"/>
      <c r="FJV63" s="32"/>
      <c r="FJW63" s="32"/>
      <c r="FJX63" s="32"/>
      <c r="FJY63" s="32"/>
      <c r="FJZ63" s="32"/>
      <c r="FKA63" s="32"/>
      <c r="FKB63" s="32"/>
      <c r="FKC63" s="32"/>
      <c r="FKD63" s="32"/>
      <c r="FKE63" s="32"/>
      <c r="FKF63" s="32"/>
      <c r="FKG63" s="32"/>
      <c r="FKH63" s="32"/>
      <c r="FKI63" s="32"/>
      <c r="FKJ63" s="32"/>
      <c r="FKK63" s="32"/>
      <c r="FKL63" s="32"/>
      <c r="FKM63" s="32"/>
      <c r="FKN63" s="32"/>
      <c r="FKO63" s="32"/>
      <c r="FKP63" s="32"/>
      <c r="FKQ63" s="32"/>
      <c r="FKR63" s="32"/>
      <c r="FKS63" s="32"/>
      <c r="FKT63" s="32"/>
      <c r="FKU63" s="32"/>
      <c r="FKV63" s="32"/>
      <c r="FKW63" s="32"/>
      <c r="FKX63" s="32"/>
      <c r="FKY63" s="32"/>
      <c r="FKZ63" s="32"/>
      <c r="FLA63" s="32"/>
      <c r="FLB63" s="32"/>
      <c r="FLC63" s="32"/>
      <c r="FLD63" s="32"/>
      <c r="FLE63" s="32"/>
      <c r="FLF63" s="32"/>
      <c r="FLG63" s="32"/>
      <c r="FLH63" s="32"/>
      <c r="FLI63" s="32"/>
      <c r="FLJ63" s="32"/>
      <c r="FLK63" s="32"/>
      <c r="FLL63" s="32"/>
      <c r="FLM63" s="32"/>
      <c r="FLN63" s="32"/>
      <c r="FLO63" s="32"/>
      <c r="FLP63" s="32"/>
      <c r="FLQ63" s="32"/>
      <c r="FLR63" s="32"/>
      <c r="FLS63" s="32"/>
      <c r="FLT63" s="32"/>
      <c r="FLU63" s="32"/>
      <c r="FLV63" s="32"/>
      <c r="FLW63" s="32"/>
      <c r="FLX63" s="32"/>
      <c r="FLY63" s="32"/>
      <c r="FLZ63" s="32"/>
      <c r="FMA63" s="32"/>
      <c r="FMB63" s="32"/>
      <c r="FMC63" s="32"/>
      <c r="FMD63" s="32"/>
      <c r="FME63" s="32"/>
      <c r="FMF63" s="32"/>
      <c r="FMG63" s="32"/>
      <c r="FMH63" s="32"/>
      <c r="FMI63" s="32"/>
      <c r="FMJ63" s="32"/>
      <c r="FMK63" s="32"/>
      <c r="FML63" s="32"/>
      <c r="FMM63" s="32"/>
      <c r="FMN63" s="32"/>
      <c r="FMO63" s="32"/>
      <c r="FMP63" s="32"/>
      <c r="FMQ63" s="32"/>
      <c r="FMR63" s="32"/>
      <c r="FMS63" s="32"/>
      <c r="FMT63" s="32"/>
      <c r="FMU63" s="32"/>
      <c r="FMV63" s="32"/>
      <c r="FMW63" s="32"/>
      <c r="FMX63" s="32"/>
      <c r="FMY63" s="32"/>
      <c r="FMZ63" s="32"/>
      <c r="FNA63" s="32"/>
      <c r="FNB63" s="32"/>
      <c r="FNC63" s="32"/>
      <c r="FND63" s="32"/>
      <c r="FNE63" s="32"/>
      <c r="FNF63" s="32"/>
      <c r="FNG63" s="32"/>
      <c r="FNH63" s="32"/>
      <c r="FNI63" s="32"/>
      <c r="FNJ63" s="32"/>
      <c r="FNK63" s="32"/>
      <c r="FNL63" s="32"/>
      <c r="FNM63" s="32"/>
      <c r="FNN63" s="32"/>
      <c r="FNO63" s="32"/>
      <c r="FNP63" s="32"/>
      <c r="FNQ63" s="32"/>
      <c r="FNR63" s="32"/>
      <c r="FNS63" s="32"/>
      <c r="FNT63" s="32"/>
      <c r="FNU63" s="32"/>
      <c r="FNV63" s="32"/>
      <c r="FNW63" s="32"/>
      <c r="FNX63" s="32"/>
      <c r="FNY63" s="32"/>
      <c r="FNZ63" s="32"/>
      <c r="FOA63" s="32"/>
      <c r="FOB63" s="32"/>
      <c r="FOC63" s="32"/>
      <c r="FOD63" s="32"/>
      <c r="FOE63" s="32"/>
      <c r="FOF63" s="32"/>
      <c r="FOG63" s="32"/>
      <c r="FOH63" s="32"/>
      <c r="FOI63" s="32"/>
      <c r="FOJ63" s="32"/>
      <c r="FOK63" s="32"/>
      <c r="FOL63" s="32"/>
      <c r="FOM63" s="32"/>
      <c r="FON63" s="32"/>
      <c r="FOO63" s="32"/>
      <c r="FOP63" s="32"/>
      <c r="FOQ63" s="32"/>
      <c r="FOR63" s="32"/>
      <c r="FOS63" s="32"/>
      <c r="FOT63" s="32"/>
      <c r="FOU63" s="32"/>
      <c r="FOV63" s="32"/>
      <c r="FOW63" s="32"/>
      <c r="FOX63" s="32"/>
      <c r="FOY63" s="32"/>
      <c r="FOZ63" s="32"/>
      <c r="FPA63" s="32"/>
      <c r="FPB63" s="32"/>
      <c r="FPC63" s="32"/>
      <c r="FPD63" s="32"/>
      <c r="FPE63" s="32"/>
      <c r="FPF63" s="32"/>
      <c r="FPG63" s="32"/>
      <c r="FPH63" s="32"/>
      <c r="FPI63" s="32"/>
      <c r="FPJ63" s="32"/>
      <c r="FPK63" s="32"/>
      <c r="FPL63" s="32"/>
      <c r="FPM63" s="32"/>
      <c r="FPN63" s="32"/>
      <c r="FPO63" s="32"/>
      <c r="FPP63" s="32"/>
      <c r="FPQ63" s="32"/>
      <c r="FPR63" s="32"/>
      <c r="FPS63" s="32"/>
      <c r="FPT63" s="32"/>
      <c r="FPU63" s="32"/>
      <c r="FPV63" s="32"/>
      <c r="FPW63" s="32"/>
      <c r="FPX63" s="32"/>
      <c r="FPY63" s="32"/>
      <c r="FPZ63" s="32"/>
      <c r="FQA63" s="32"/>
      <c r="FQB63" s="32"/>
      <c r="FQC63" s="32"/>
      <c r="FQD63" s="32"/>
      <c r="FQE63" s="32"/>
      <c r="FQF63" s="32"/>
      <c r="FQG63" s="32"/>
      <c r="FQH63" s="32"/>
      <c r="FQI63" s="32"/>
      <c r="FQJ63" s="32"/>
      <c r="FQK63" s="32"/>
      <c r="FQL63" s="32"/>
      <c r="FQM63" s="32"/>
      <c r="FQN63" s="32"/>
      <c r="FQO63" s="32"/>
      <c r="FQP63" s="32"/>
      <c r="FQQ63" s="32"/>
      <c r="FQR63" s="32"/>
      <c r="FQS63" s="32"/>
      <c r="FQT63" s="32"/>
      <c r="FQU63" s="32"/>
      <c r="FQV63" s="32"/>
      <c r="FQW63" s="32"/>
      <c r="FQX63" s="32"/>
      <c r="FQY63" s="32"/>
      <c r="FQZ63" s="32"/>
      <c r="FRA63" s="32"/>
      <c r="FRB63" s="32"/>
      <c r="FRC63" s="32"/>
      <c r="FRD63" s="32"/>
      <c r="FRE63" s="32"/>
      <c r="FRF63" s="32"/>
      <c r="FRG63" s="32"/>
      <c r="FRH63" s="32"/>
      <c r="FRI63" s="32"/>
      <c r="FRJ63" s="32"/>
      <c r="FRK63" s="32"/>
      <c r="FRL63" s="32"/>
      <c r="FRM63" s="32"/>
      <c r="FRN63" s="32"/>
      <c r="FRO63" s="32"/>
      <c r="FRP63" s="32"/>
      <c r="FRQ63" s="32"/>
      <c r="FRR63" s="32"/>
      <c r="FRS63" s="32"/>
      <c r="FRT63" s="32"/>
      <c r="FRU63" s="32"/>
      <c r="FRV63" s="32"/>
      <c r="FRW63" s="32"/>
      <c r="FRX63" s="32"/>
      <c r="FRY63" s="32"/>
      <c r="FRZ63" s="32"/>
      <c r="FSA63" s="32"/>
      <c r="FSB63" s="32"/>
      <c r="FSC63" s="32"/>
      <c r="FSD63" s="32"/>
      <c r="FSE63" s="32"/>
      <c r="FSF63" s="32"/>
      <c r="FSG63" s="32"/>
      <c r="FSH63" s="32"/>
      <c r="FSI63" s="32"/>
      <c r="FSJ63" s="32"/>
      <c r="FSK63" s="32"/>
      <c r="FSL63" s="32"/>
      <c r="FSM63" s="32"/>
      <c r="FSN63" s="32"/>
      <c r="FSO63" s="32"/>
      <c r="FSP63" s="32"/>
      <c r="FSQ63" s="32"/>
      <c r="FSR63" s="32"/>
      <c r="FSS63" s="32"/>
      <c r="FST63" s="32"/>
      <c r="FSU63" s="32"/>
      <c r="FSV63" s="32"/>
      <c r="FSW63" s="32"/>
      <c r="FSX63" s="32"/>
      <c r="FSY63" s="32"/>
      <c r="FSZ63" s="32"/>
      <c r="FTA63" s="32"/>
      <c r="FTB63" s="32"/>
      <c r="FTC63" s="32"/>
      <c r="FTD63" s="32"/>
      <c r="FTE63" s="32"/>
      <c r="FTF63" s="32"/>
      <c r="FTG63" s="32"/>
      <c r="FTH63" s="32"/>
      <c r="FTI63" s="32"/>
      <c r="FTJ63" s="32"/>
      <c r="FTK63" s="32"/>
      <c r="FTL63" s="32"/>
      <c r="FTM63" s="32"/>
      <c r="FTN63" s="32"/>
      <c r="FTO63" s="32"/>
      <c r="FTP63" s="32"/>
      <c r="FTQ63" s="32"/>
      <c r="FTR63" s="32"/>
      <c r="FTS63" s="32"/>
      <c r="FTT63" s="32"/>
      <c r="FTU63" s="32"/>
      <c r="FTV63" s="32"/>
      <c r="FTW63" s="32"/>
      <c r="FTX63" s="32"/>
      <c r="FTY63" s="32"/>
      <c r="FTZ63" s="32"/>
      <c r="FUA63" s="32"/>
      <c r="FUB63" s="32"/>
      <c r="FUC63" s="32"/>
      <c r="FUD63" s="32"/>
      <c r="FUE63" s="32"/>
      <c r="FUF63" s="32"/>
      <c r="FUG63" s="32"/>
      <c r="FUH63" s="32"/>
      <c r="FUI63" s="32"/>
      <c r="FUJ63" s="32"/>
      <c r="FUK63" s="32"/>
      <c r="FUL63" s="32"/>
      <c r="FUM63" s="32"/>
      <c r="FUN63" s="32"/>
      <c r="FUO63" s="32"/>
      <c r="FUP63" s="32"/>
      <c r="FUQ63" s="32"/>
      <c r="FUR63" s="32"/>
      <c r="FUS63" s="32"/>
      <c r="FUT63" s="32"/>
      <c r="FUU63" s="32"/>
      <c r="FUV63" s="32"/>
      <c r="FUW63" s="32"/>
      <c r="FUX63" s="32"/>
      <c r="FUY63" s="32"/>
      <c r="FUZ63" s="32"/>
      <c r="FVA63" s="32"/>
      <c r="FVB63" s="32"/>
      <c r="FVC63" s="32"/>
      <c r="FVD63" s="32"/>
      <c r="FVE63" s="32"/>
      <c r="FVF63" s="32"/>
      <c r="FVG63" s="32"/>
      <c r="FVH63" s="32"/>
      <c r="FVI63" s="32"/>
      <c r="FVJ63" s="32"/>
      <c r="FVK63" s="32"/>
      <c r="FVL63" s="32"/>
      <c r="FVM63" s="32"/>
      <c r="FVN63" s="32"/>
      <c r="FVO63" s="32"/>
      <c r="FVP63" s="32"/>
      <c r="FVQ63" s="32"/>
      <c r="FVR63" s="32"/>
      <c r="FVS63" s="32"/>
      <c r="FVT63" s="32"/>
      <c r="FVU63" s="32"/>
      <c r="FVV63" s="32"/>
      <c r="FVW63" s="32"/>
      <c r="FVX63" s="32"/>
      <c r="FVY63" s="32"/>
      <c r="FVZ63" s="32"/>
      <c r="FWA63" s="32"/>
      <c r="FWB63" s="32"/>
      <c r="FWC63" s="32"/>
      <c r="FWD63" s="32"/>
      <c r="FWE63" s="32"/>
      <c r="FWF63" s="32"/>
      <c r="FWG63" s="32"/>
      <c r="FWH63" s="32"/>
      <c r="FWI63" s="32"/>
      <c r="FWJ63" s="32"/>
      <c r="FWK63" s="32"/>
      <c r="FWL63" s="32"/>
      <c r="FWM63" s="32"/>
      <c r="FWN63" s="32"/>
      <c r="FWO63" s="32"/>
      <c r="FWP63" s="32"/>
      <c r="FWQ63" s="32"/>
      <c r="FWR63" s="32"/>
      <c r="FWS63" s="32"/>
      <c r="FWT63" s="32"/>
      <c r="FWU63" s="32"/>
      <c r="FWV63" s="32"/>
      <c r="FWW63" s="32"/>
      <c r="FWX63" s="32"/>
      <c r="FWY63" s="32"/>
      <c r="FWZ63" s="32"/>
      <c r="FXA63" s="32"/>
      <c r="FXB63" s="32"/>
      <c r="FXC63" s="32"/>
      <c r="FXD63" s="32"/>
      <c r="FXE63" s="32"/>
      <c r="FXF63" s="32"/>
      <c r="FXG63" s="32"/>
      <c r="FXH63" s="32"/>
      <c r="FXI63" s="32"/>
      <c r="FXJ63" s="32"/>
      <c r="FXK63" s="32"/>
      <c r="FXL63" s="32"/>
      <c r="FXM63" s="32"/>
      <c r="FXN63" s="32"/>
      <c r="FXO63" s="32"/>
      <c r="FXP63" s="32"/>
      <c r="FXQ63" s="32"/>
      <c r="FXR63" s="32"/>
      <c r="FXS63" s="32"/>
      <c r="FXT63" s="32"/>
      <c r="FXU63" s="32"/>
      <c r="FXV63" s="32"/>
      <c r="FXW63" s="32"/>
      <c r="FXX63" s="32"/>
      <c r="FXY63" s="32"/>
      <c r="FXZ63" s="32"/>
      <c r="FYA63" s="32"/>
      <c r="FYB63" s="32"/>
      <c r="FYC63" s="32"/>
      <c r="FYD63" s="32"/>
      <c r="FYE63" s="32"/>
      <c r="FYF63" s="32"/>
      <c r="FYG63" s="32"/>
      <c r="FYH63" s="32"/>
      <c r="FYI63" s="32"/>
      <c r="FYJ63" s="32"/>
      <c r="FYK63" s="32"/>
      <c r="FYL63" s="32"/>
      <c r="FYM63" s="32"/>
      <c r="FYN63" s="32"/>
      <c r="FYO63" s="32"/>
      <c r="FYP63" s="32"/>
      <c r="FYQ63" s="32"/>
      <c r="FYR63" s="32"/>
      <c r="FYS63" s="32"/>
      <c r="FYT63" s="32"/>
      <c r="FYU63" s="32"/>
      <c r="FYV63" s="32"/>
      <c r="FYW63" s="32"/>
      <c r="FYX63" s="32"/>
      <c r="FYY63" s="32"/>
      <c r="FYZ63" s="32"/>
      <c r="FZA63" s="32"/>
      <c r="FZB63" s="32"/>
      <c r="FZC63" s="32"/>
      <c r="FZD63" s="32"/>
      <c r="FZE63" s="32"/>
      <c r="FZF63" s="32"/>
      <c r="FZG63" s="32"/>
      <c r="FZH63" s="32"/>
      <c r="FZI63" s="32"/>
      <c r="FZJ63" s="32"/>
      <c r="FZK63" s="32"/>
      <c r="FZL63" s="32"/>
      <c r="FZM63" s="32"/>
      <c r="FZN63" s="32"/>
      <c r="FZO63" s="32"/>
      <c r="FZP63" s="32"/>
      <c r="FZQ63" s="32"/>
      <c r="FZR63" s="32"/>
      <c r="FZS63" s="32"/>
      <c r="FZT63" s="32"/>
      <c r="FZU63" s="32"/>
      <c r="FZV63" s="32"/>
      <c r="FZW63" s="32"/>
      <c r="FZX63" s="32"/>
      <c r="FZY63" s="32"/>
      <c r="FZZ63" s="32"/>
      <c r="GAA63" s="32"/>
      <c r="GAB63" s="32"/>
      <c r="GAC63" s="32"/>
      <c r="GAD63" s="32"/>
      <c r="GAE63" s="32"/>
      <c r="GAF63" s="32"/>
      <c r="GAG63" s="32"/>
      <c r="GAH63" s="32"/>
      <c r="GAI63" s="32"/>
      <c r="GAJ63" s="32"/>
      <c r="GAK63" s="32"/>
      <c r="GAL63" s="32"/>
      <c r="GAM63" s="32"/>
      <c r="GAN63" s="32"/>
      <c r="GAO63" s="32"/>
      <c r="GAP63" s="32"/>
      <c r="GAQ63" s="32"/>
      <c r="GAR63" s="32"/>
      <c r="GAS63" s="32"/>
      <c r="GAT63" s="32"/>
      <c r="GAU63" s="32"/>
      <c r="GAV63" s="32"/>
      <c r="GAW63" s="32"/>
      <c r="GAX63" s="32"/>
      <c r="GAY63" s="32"/>
      <c r="GAZ63" s="32"/>
      <c r="GBA63" s="32"/>
      <c r="GBB63" s="32"/>
      <c r="GBC63" s="32"/>
      <c r="GBD63" s="32"/>
      <c r="GBE63" s="32"/>
      <c r="GBF63" s="32"/>
      <c r="GBG63" s="32"/>
      <c r="GBH63" s="32"/>
      <c r="GBI63" s="32"/>
      <c r="GBJ63" s="32"/>
      <c r="GBK63" s="32"/>
      <c r="GBL63" s="32"/>
      <c r="GBM63" s="32"/>
      <c r="GBN63" s="32"/>
      <c r="GBO63" s="32"/>
      <c r="GBP63" s="32"/>
      <c r="GBQ63" s="32"/>
      <c r="GBR63" s="32"/>
      <c r="GBS63" s="32"/>
      <c r="GBT63" s="32"/>
      <c r="GBU63" s="32"/>
      <c r="GBV63" s="32"/>
      <c r="GBW63" s="32"/>
      <c r="GBX63" s="32"/>
      <c r="GBY63" s="32"/>
      <c r="GBZ63" s="32"/>
      <c r="GCA63" s="32"/>
      <c r="GCB63" s="32"/>
      <c r="GCC63" s="32"/>
      <c r="GCD63" s="32"/>
      <c r="GCE63" s="32"/>
      <c r="GCF63" s="32"/>
      <c r="GCG63" s="32"/>
      <c r="GCH63" s="32"/>
      <c r="GCI63" s="32"/>
      <c r="GCJ63" s="32"/>
      <c r="GCK63" s="32"/>
      <c r="GCL63" s="32"/>
      <c r="GCM63" s="32"/>
      <c r="GCN63" s="32"/>
      <c r="GCO63" s="32"/>
      <c r="GCP63" s="32"/>
      <c r="GCQ63" s="32"/>
      <c r="GCR63" s="32"/>
      <c r="GCS63" s="32"/>
      <c r="GCT63" s="32"/>
      <c r="GCU63" s="32"/>
      <c r="GCV63" s="32"/>
      <c r="GCW63" s="32"/>
      <c r="GCX63" s="32"/>
      <c r="GCY63" s="32"/>
      <c r="GCZ63" s="32"/>
      <c r="GDA63" s="32"/>
      <c r="GDB63" s="32"/>
      <c r="GDC63" s="32"/>
      <c r="GDD63" s="32"/>
      <c r="GDE63" s="32"/>
      <c r="GDF63" s="32"/>
      <c r="GDG63" s="32"/>
      <c r="GDH63" s="32"/>
      <c r="GDI63" s="32"/>
      <c r="GDJ63" s="32"/>
      <c r="GDK63" s="32"/>
      <c r="GDL63" s="32"/>
      <c r="GDM63" s="32"/>
      <c r="GDN63" s="32"/>
      <c r="GDO63" s="32"/>
      <c r="GDP63" s="32"/>
      <c r="GDQ63" s="32"/>
      <c r="GDR63" s="32"/>
      <c r="GDS63" s="32"/>
      <c r="GDT63" s="32"/>
      <c r="GDU63" s="32"/>
      <c r="GDV63" s="32"/>
      <c r="GDW63" s="32"/>
      <c r="GDX63" s="32"/>
      <c r="GDY63" s="32"/>
      <c r="GDZ63" s="32"/>
      <c r="GEA63" s="32"/>
      <c r="GEB63" s="32"/>
      <c r="GEC63" s="32"/>
      <c r="GED63" s="32"/>
      <c r="GEE63" s="32"/>
      <c r="GEF63" s="32"/>
      <c r="GEG63" s="32"/>
      <c r="GEH63" s="32"/>
      <c r="GEI63" s="32"/>
      <c r="GEJ63" s="32"/>
      <c r="GEK63" s="32"/>
      <c r="GEL63" s="32"/>
      <c r="GEM63" s="32"/>
      <c r="GEN63" s="32"/>
      <c r="GEO63" s="32"/>
      <c r="GEP63" s="32"/>
      <c r="GEQ63" s="32"/>
      <c r="GER63" s="32"/>
      <c r="GES63" s="32"/>
      <c r="GET63" s="32"/>
      <c r="GEU63" s="32"/>
      <c r="GEV63" s="32"/>
      <c r="GEW63" s="32"/>
      <c r="GEX63" s="32"/>
      <c r="GEY63" s="32"/>
      <c r="GEZ63" s="32"/>
      <c r="GFA63" s="32"/>
      <c r="GFB63" s="32"/>
      <c r="GFC63" s="32"/>
      <c r="GFD63" s="32"/>
      <c r="GFE63" s="32"/>
      <c r="GFF63" s="32"/>
      <c r="GFG63" s="32"/>
      <c r="GFH63" s="32"/>
      <c r="GFI63" s="32"/>
      <c r="GFJ63" s="32"/>
      <c r="GFK63" s="32"/>
      <c r="GFL63" s="32"/>
      <c r="GFM63" s="32"/>
      <c r="GFN63" s="32"/>
      <c r="GFO63" s="32"/>
      <c r="GFP63" s="32"/>
      <c r="GFQ63" s="32"/>
      <c r="GFR63" s="32"/>
      <c r="GFS63" s="32"/>
      <c r="GFT63" s="32"/>
      <c r="GFU63" s="32"/>
      <c r="GFV63" s="32"/>
      <c r="GFW63" s="32"/>
      <c r="GFX63" s="32"/>
      <c r="GFY63" s="32"/>
      <c r="GFZ63" s="32"/>
      <c r="GGA63" s="32"/>
      <c r="GGB63" s="32"/>
      <c r="GGC63" s="32"/>
      <c r="GGD63" s="32"/>
      <c r="GGE63" s="32"/>
      <c r="GGF63" s="32"/>
      <c r="GGG63" s="32"/>
      <c r="GGH63" s="32"/>
      <c r="GGI63" s="32"/>
      <c r="GGJ63" s="32"/>
      <c r="GGK63" s="32"/>
      <c r="GGL63" s="32"/>
      <c r="GGM63" s="32"/>
      <c r="GGN63" s="32"/>
      <c r="GGO63" s="32"/>
      <c r="GGP63" s="32"/>
      <c r="GGQ63" s="32"/>
      <c r="GGR63" s="32"/>
      <c r="GGS63" s="32"/>
      <c r="GGT63" s="32"/>
      <c r="GGU63" s="32"/>
      <c r="GGV63" s="32"/>
      <c r="GGW63" s="32"/>
      <c r="GGX63" s="32"/>
      <c r="GGY63" s="32"/>
      <c r="GGZ63" s="32"/>
      <c r="GHA63" s="32"/>
      <c r="GHB63" s="32"/>
      <c r="GHC63" s="32"/>
      <c r="GHD63" s="32"/>
      <c r="GHE63" s="32"/>
      <c r="GHF63" s="32"/>
      <c r="GHG63" s="32"/>
      <c r="GHH63" s="32"/>
      <c r="GHI63" s="32"/>
      <c r="GHJ63" s="32"/>
      <c r="GHK63" s="32"/>
      <c r="GHL63" s="32"/>
      <c r="GHM63" s="32"/>
      <c r="GHN63" s="32"/>
      <c r="GHO63" s="32"/>
      <c r="GHP63" s="32"/>
      <c r="GHQ63" s="32"/>
      <c r="GHR63" s="32"/>
      <c r="GHS63" s="32"/>
      <c r="GHT63" s="32"/>
      <c r="GHU63" s="32"/>
      <c r="GHV63" s="32"/>
      <c r="GHW63" s="32"/>
      <c r="GHX63" s="32"/>
      <c r="GHY63" s="32"/>
      <c r="GHZ63" s="32"/>
      <c r="GIA63" s="32"/>
      <c r="GIB63" s="32"/>
      <c r="GIC63" s="32"/>
      <c r="GID63" s="32"/>
      <c r="GIE63" s="32"/>
      <c r="GIF63" s="32"/>
      <c r="GIG63" s="32"/>
      <c r="GIH63" s="32"/>
      <c r="GII63" s="32"/>
      <c r="GIJ63" s="32"/>
      <c r="GIK63" s="32"/>
      <c r="GIL63" s="32"/>
      <c r="GIM63" s="32"/>
      <c r="GIN63" s="32"/>
      <c r="GIO63" s="32"/>
      <c r="GIP63" s="32"/>
      <c r="GIQ63" s="32"/>
      <c r="GIR63" s="32"/>
      <c r="GIS63" s="32"/>
      <c r="GIT63" s="32"/>
      <c r="GIU63" s="32"/>
      <c r="GIV63" s="32"/>
      <c r="GIW63" s="32"/>
      <c r="GIX63" s="32"/>
      <c r="GIY63" s="32"/>
      <c r="GIZ63" s="32"/>
      <c r="GJA63" s="32"/>
      <c r="GJB63" s="32"/>
      <c r="GJC63" s="32"/>
      <c r="GJD63" s="32"/>
      <c r="GJE63" s="32"/>
      <c r="GJF63" s="32"/>
      <c r="GJG63" s="32"/>
      <c r="GJH63" s="32"/>
      <c r="GJI63" s="32"/>
      <c r="GJJ63" s="32"/>
      <c r="GJK63" s="32"/>
      <c r="GJL63" s="32"/>
      <c r="GJM63" s="32"/>
      <c r="GJN63" s="32"/>
      <c r="GJO63" s="32"/>
      <c r="GJP63" s="32"/>
      <c r="GJQ63" s="32"/>
      <c r="GJR63" s="32"/>
      <c r="GJS63" s="32"/>
      <c r="GJT63" s="32"/>
      <c r="GJU63" s="32"/>
      <c r="GJV63" s="32"/>
      <c r="GJW63" s="32"/>
      <c r="GJX63" s="32"/>
      <c r="GJY63" s="32"/>
      <c r="GJZ63" s="32"/>
      <c r="GKA63" s="32"/>
      <c r="GKB63" s="32"/>
      <c r="GKC63" s="32"/>
      <c r="GKD63" s="32"/>
      <c r="GKE63" s="32"/>
      <c r="GKF63" s="32"/>
      <c r="GKG63" s="32"/>
      <c r="GKH63" s="32"/>
      <c r="GKI63" s="32"/>
      <c r="GKJ63" s="32"/>
      <c r="GKK63" s="32"/>
      <c r="GKL63" s="32"/>
      <c r="GKM63" s="32"/>
      <c r="GKN63" s="32"/>
      <c r="GKO63" s="32"/>
      <c r="GKP63" s="32"/>
      <c r="GKQ63" s="32"/>
      <c r="GKR63" s="32"/>
      <c r="GKS63" s="32"/>
      <c r="GKT63" s="32"/>
      <c r="GKU63" s="32"/>
      <c r="GKV63" s="32"/>
      <c r="GKW63" s="32"/>
      <c r="GKX63" s="32"/>
      <c r="GKY63" s="32"/>
      <c r="GKZ63" s="32"/>
      <c r="GLA63" s="32"/>
      <c r="GLB63" s="32"/>
      <c r="GLC63" s="32"/>
      <c r="GLD63" s="32"/>
      <c r="GLE63" s="32"/>
      <c r="GLF63" s="32"/>
      <c r="GLG63" s="32"/>
      <c r="GLH63" s="32"/>
      <c r="GLI63" s="32"/>
      <c r="GLJ63" s="32"/>
      <c r="GLK63" s="32"/>
      <c r="GLL63" s="32"/>
      <c r="GLM63" s="32"/>
      <c r="GLN63" s="32"/>
      <c r="GLO63" s="32"/>
      <c r="GLP63" s="32"/>
      <c r="GLQ63" s="32"/>
      <c r="GLR63" s="32"/>
      <c r="GLS63" s="32"/>
      <c r="GLT63" s="32"/>
      <c r="GLU63" s="32"/>
      <c r="GLV63" s="32"/>
      <c r="GLW63" s="32"/>
      <c r="GLX63" s="32"/>
      <c r="GLY63" s="32"/>
      <c r="GLZ63" s="32"/>
      <c r="GMA63" s="32"/>
      <c r="GMB63" s="32"/>
      <c r="GMC63" s="32"/>
      <c r="GMD63" s="32"/>
      <c r="GME63" s="32"/>
      <c r="GMF63" s="32"/>
      <c r="GMG63" s="32"/>
      <c r="GMH63" s="32"/>
      <c r="GMI63" s="32"/>
      <c r="GMJ63" s="32"/>
      <c r="GMK63" s="32"/>
      <c r="GML63" s="32"/>
      <c r="GMM63" s="32"/>
      <c r="GMN63" s="32"/>
      <c r="GMO63" s="32"/>
      <c r="GMP63" s="32"/>
      <c r="GMQ63" s="32"/>
      <c r="GMR63" s="32"/>
      <c r="GMS63" s="32"/>
      <c r="GMT63" s="32"/>
      <c r="GMU63" s="32"/>
      <c r="GMV63" s="32"/>
      <c r="GMW63" s="32"/>
      <c r="GMX63" s="32"/>
      <c r="GMY63" s="32"/>
      <c r="GMZ63" s="32"/>
      <c r="GNA63" s="32"/>
      <c r="GNB63" s="32"/>
      <c r="GNC63" s="32"/>
      <c r="GND63" s="32"/>
      <c r="GNE63" s="32"/>
      <c r="GNF63" s="32"/>
      <c r="GNG63" s="32"/>
      <c r="GNH63" s="32"/>
      <c r="GNI63" s="32"/>
      <c r="GNJ63" s="32"/>
      <c r="GNK63" s="32"/>
      <c r="GNL63" s="32"/>
      <c r="GNM63" s="32"/>
      <c r="GNN63" s="32"/>
      <c r="GNO63" s="32"/>
      <c r="GNP63" s="32"/>
      <c r="GNQ63" s="32"/>
      <c r="GNR63" s="32"/>
      <c r="GNS63" s="32"/>
      <c r="GNT63" s="32"/>
      <c r="GNU63" s="32"/>
      <c r="GNV63" s="32"/>
      <c r="GNW63" s="32"/>
      <c r="GNX63" s="32"/>
      <c r="GNY63" s="32"/>
      <c r="GNZ63" s="32"/>
      <c r="GOA63" s="32"/>
      <c r="GOB63" s="32"/>
      <c r="GOC63" s="32"/>
      <c r="GOD63" s="32"/>
      <c r="GOE63" s="32"/>
      <c r="GOF63" s="32"/>
      <c r="GOG63" s="32"/>
      <c r="GOH63" s="32"/>
      <c r="GOI63" s="32"/>
      <c r="GOJ63" s="32"/>
      <c r="GOK63" s="32"/>
      <c r="GOL63" s="32"/>
      <c r="GOM63" s="32"/>
      <c r="GON63" s="32"/>
      <c r="GOO63" s="32"/>
      <c r="GOP63" s="32"/>
      <c r="GOQ63" s="32"/>
      <c r="GOR63" s="32"/>
      <c r="GOS63" s="32"/>
      <c r="GOT63" s="32"/>
      <c r="GOU63" s="32"/>
      <c r="GOV63" s="32"/>
      <c r="GOW63" s="32"/>
      <c r="GOX63" s="32"/>
      <c r="GOY63" s="32"/>
      <c r="GOZ63" s="32"/>
      <c r="GPA63" s="32"/>
      <c r="GPB63" s="32"/>
      <c r="GPC63" s="32"/>
      <c r="GPD63" s="32"/>
      <c r="GPE63" s="32"/>
      <c r="GPF63" s="32"/>
      <c r="GPG63" s="32"/>
      <c r="GPH63" s="32"/>
      <c r="GPI63" s="32"/>
      <c r="GPJ63" s="32"/>
      <c r="GPK63" s="32"/>
      <c r="GPL63" s="32"/>
      <c r="GPM63" s="32"/>
      <c r="GPN63" s="32"/>
      <c r="GPO63" s="32"/>
      <c r="GPP63" s="32"/>
      <c r="GPQ63" s="32"/>
      <c r="GPR63" s="32"/>
      <c r="GPS63" s="32"/>
      <c r="GPT63" s="32"/>
      <c r="GPU63" s="32"/>
      <c r="GPV63" s="32"/>
      <c r="GPW63" s="32"/>
      <c r="GPX63" s="32"/>
      <c r="GPY63" s="32"/>
      <c r="GPZ63" s="32"/>
      <c r="GQA63" s="32"/>
      <c r="GQB63" s="32"/>
      <c r="GQC63" s="32"/>
      <c r="GQD63" s="32"/>
      <c r="GQE63" s="32"/>
      <c r="GQF63" s="32"/>
      <c r="GQG63" s="32"/>
      <c r="GQH63" s="32"/>
      <c r="GQI63" s="32"/>
      <c r="GQJ63" s="32"/>
      <c r="GQK63" s="32"/>
      <c r="GQL63" s="32"/>
      <c r="GQM63" s="32"/>
      <c r="GQN63" s="32"/>
      <c r="GQO63" s="32"/>
      <c r="GQP63" s="32"/>
      <c r="GQQ63" s="32"/>
      <c r="GQR63" s="32"/>
      <c r="GQS63" s="32"/>
      <c r="GQT63" s="32"/>
      <c r="GQU63" s="32"/>
      <c r="GQV63" s="32"/>
      <c r="GQW63" s="32"/>
      <c r="GQX63" s="32"/>
      <c r="GQY63" s="32"/>
      <c r="GQZ63" s="32"/>
      <c r="GRA63" s="32"/>
      <c r="GRB63" s="32"/>
      <c r="GRC63" s="32"/>
      <c r="GRD63" s="32"/>
      <c r="GRE63" s="32"/>
      <c r="GRF63" s="32"/>
      <c r="GRG63" s="32"/>
      <c r="GRH63" s="32"/>
      <c r="GRI63" s="32"/>
      <c r="GRJ63" s="32"/>
      <c r="GRK63" s="32"/>
      <c r="GRL63" s="32"/>
      <c r="GRM63" s="32"/>
      <c r="GRN63" s="32"/>
      <c r="GRO63" s="32"/>
      <c r="GRP63" s="32"/>
      <c r="GRQ63" s="32"/>
      <c r="GRR63" s="32"/>
      <c r="GRS63" s="32"/>
      <c r="GRT63" s="32"/>
      <c r="GRU63" s="32"/>
      <c r="GRV63" s="32"/>
      <c r="GRW63" s="32"/>
      <c r="GRX63" s="32"/>
      <c r="GRY63" s="32"/>
      <c r="GRZ63" s="32"/>
      <c r="GSA63" s="32"/>
      <c r="GSB63" s="32"/>
      <c r="GSC63" s="32"/>
      <c r="GSD63" s="32"/>
      <c r="GSE63" s="32"/>
      <c r="GSF63" s="32"/>
      <c r="GSG63" s="32"/>
      <c r="GSH63" s="32"/>
      <c r="GSI63" s="32"/>
      <c r="GSJ63" s="32"/>
      <c r="GSK63" s="32"/>
      <c r="GSL63" s="32"/>
      <c r="GSM63" s="32"/>
      <c r="GSN63" s="32"/>
      <c r="GSO63" s="32"/>
      <c r="GSP63" s="32"/>
      <c r="GSQ63" s="32"/>
      <c r="GSR63" s="32"/>
      <c r="GSS63" s="32"/>
      <c r="GST63" s="32"/>
      <c r="GSU63" s="32"/>
      <c r="GSV63" s="32"/>
      <c r="GSW63" s="32"/>
      <c r="GSX63" s="32"/>
      <c r="GSY63" s="32"/>
      <c r="GSZ63" s="32"/>
      <c r="GTA63" s="32"/>
      <c r="GTB63" s="32"/>
      <c r="GTC63" s="32"/>
      <c r="GTD63" s="32"/>
      <c r="GTE63" s="32"/>
      <c r="GTF63" s="32"/>
      <c r="GTG63" s="32"/>
      <c r="GTH63" s="32"/>
      <c r="GTI63" s="32"/>
      <c r="GTJ63" s="32"/>
      <c r="GTK63" s="32"/>
      <c r="GTL63" s="32"/>
      <c r="GTM63" s="32"/>
      <c r="GTN63" s="32"/>
      <c r="GTO63" s="32"/>
      <c r="GTP63" s="32"/>
      <c r="GTQ63" s="32"/>
      <c r="GTR63" s="32"/>
      <c r="GTS63" s="32"/>
      <c r="GTT63" s="32"/>
      <c r="GTU63" s="32"/>
      <c r="GTV63" s="32"/>
      <c r="GTW63" s="32"/>
      <c r="GTX63" s="32"/>
      <c r="GTY63" s="32"/>
      <c r="GTZ63" s="32"/>
      <c r="GUA63" s="32"/>
      <c r="GUB63" s="32"/>
      <c r="GUC63" s="32"/>
      <c r="GUD63" s="32"/>
      <c r="GUE63" s="32"/>
      <c r="GUF63" s="32"/>
      <c r="GUG63" s="32"/>
      <c r="GUH63" s="32"/>
      <c r="GUI63" s="32"/>
      <c r="GUJ63" s="32"/>
      <c r="GUK63" s="32"/>
      <c r="GUL63" s="32"/>
      <c r="GUM63" s="32"/>
      <c r="GUN63" s="32"/>
      <c r="GUO63" s="32"/>
      <c r="GUP63" s="32"/>
      <c r="GUQ63" s="32"/>
      <c r="GUR63" s="32"/>
      <c r="GUS63" s="32"/>
      <c r="GUT63" s="32"/>
      <c r="GUU63" s="32"/>
      <c r="GUV63" s="32"/>
      <c r="GUW63" s="32"/>
      <c r="GUX63" s="32"/>
      <c r="GUY63" s="32"/>
      <c r="GUZ63" s="32"/>
      <c r="GVA63" s="32"/>
      <c r="GVB63" s="32"/>
      <c r="GVC63" s="32"/>
      <c r="GVD63" s="32"/>
      <c r="GVE63" s="32"/>
      <c r="GVF63" s="32"/>
      <c r="GVG63" s="32"/>
      <c r="GVH63" s="32"/>
      <c r="GVI63" s="32"/>
      <c r="GVJ63" s="32"/>
      <c r="GVK63" s="32"/>
      <c r="GVL63" s="32"/>
      <c r="GVM63" s="32"/>
      <c r="GVN63" s="32"/>
      <c r="GVO63" s="32"/>
      <c r="GVP63" s="32"/>
      <c r="GVQ63" s="32"/>
      <c r="GVR63" s="32"/>
      <c r="GVS63" s="32"/>
      <c r="GVT63" s="32"/>
      <c r="GVU63" s="32"/>
      <c r="GVV63" s="32"/>
      <c r="GVW63" s="32"/>
      <c r="GVX63" s="32"/>
      <c r="GVY63" s="32"/>
      <c r="GVZ63" s="32"/>
      <c r="GWA63" s="32"/>
      <c r="GWB63" s="32"/>
      <c r="GWC63" s="32"/>
      <c r="GWD63" s="32"/>
      <c r="GWE63" s="32"/>
      <c r="GWF63" s="32"/>
      <c r="GWG63" s="32"/>
      <c r="GWH63" s="32"/>
      <c r="GWI63" s="32"/>
      <c r="GWJ63" s="32"/>
      <c r="GWK63" s="32"/>
      <c r="GWL63" s="32"/>
      <c r="GWM63" s="32"/>
      <c r="GWN63" s="32"/>
      <c r="GWO63" s="32"/>
      <c r="GWP63" s="32"/>
      <c r="GWQ63" s="32"/>
      <c r="GWR63" s="32"/>
      <c r="GWS63" s="32"/>
      <c r="GWT63" s="32"/>
      <c r="GWU63" s="32"/>
      <c r="GWV63" s="32"/>
      <c r="GWW63" s="32"/>
      <c r="GWX63" s="32"/>
      <c r="GWY63" s="32"/>
      <c r="GWZ63" s="32"/>
      <c r="GXA63" s="32"/>
      <c r="GXB63" s="32"/>
      <c r="GXC63" s="32"/>
      <c r="GXD63" s="32"/>
      <c r="GXE63" s="32"/>
      <c r="GXF63" s="32"/>
      <c r="GXG63" s="32"/>
      <c r="GXH63" s="32"/>
      <c r="GXI63" s="32"/>
      <c r="GXJ63" s="32"/>
      <c r="GXK63" s="32"/>
      <c r="GXL63" s="32"/>
      <c r="GXM63" s="32"/>
      <c r="GXN63" s="32"/>
      <c r="GXO63" s="32"/>
      <c r="GXP63" s="32"/>
      <c r="GXQ63" s="32"/>
      <c r="GXR63" s="32"/>
      <c r="GXS63" s="32"/>
      <c r="GXT63" s="32"/>
      <c r="GXU63" s="32"/>
      <c r="GXV63" s="32"/>
      <c r="GXW63" s="32"/>
      <c r="GXX63" s="32"/>
      <c r="GXY63" s="32"/>
      <c r="GXZ63" s="32"/>
      <c r="GYA63" s="32"/>
      <c r="GYB63" s="32"/>
      <c r="GYC63" s="32"/>
      <c r="GYD63" s="32"/>
      <c r="GYE63" s="32"/>
      <c r="GYF63" s="32"/>
      <c r="GYG63" s="32"/>
      <c r="GYH63" s="32"/>
      <c r="GYI63" s="32"/>
      <c r="GYJ63" s="32"/>
      <c r="GYK63" s="32"/>
      <c r="GYL63" s="32"/>
      <c r="GYM63" s="32"/>
      <c r="GYN63" s="32"/>
      <c r="GYO63" s="32"/>
      <c r="GYP63" s="32"/>
      <c r="GYQ63" s="32"/>
      <c r="GYR63" s="32"/>
      <c r="GYS63" s="32"/>
      <c r="GYT63" s="32"/>
      <c r="GYU63" s="32"/>
      <c r="GYV63" s="32"/>
      <c r="GYW63" s="32"/>
      <c r="GYX63" s="32"/>
      <c r="GYY63" s="32"/>
      <c r="GYZ63" s="32"/>
      <c r="GZA63" s="32"/>
      <c r="GZB63" s="32"/>
      <c r="GZC63" s="32"/>
      <c r="GZD63" s="32"/>
      <c r="GZE63" s="32"/>
      <c r="GZF63" s="32"/>
      <c r="GZG63" s="32"/>
      <c r="GZH63" s="32"/>
      <c r="GZI63" s="32"/>
      <c r="GZJ63" s="32"/>
      <c r="GZK63" s="32"/>
      <c r="GZL63" s="32"/>
      <c r="GZM63" s="32"/>
      <c r="GZN63" s="32"/>
      <c r="GZO63" s="32"/>
      <c r="GZP63" s="32"/>
      <c r="GZQ63" s="32"/>
      <c r="GZR63" s="32"/>
      <c r="GZS63" s="32"/>
      <c r="GZT63" s="32"/>
      <c r="GZU63" s="32"/>
      <c r="GZV63" s="32"/>
      <c r="GZW63" s="32"/>
      <c r="GZX63" s="32"/>
      <c r="GZY63" s="32"/>
      <c r="GZZ63" s="32"/>
      <c r="HAA63" s="32"/>
      <c r="HAB63" s="32"/>
      <c r="HAC63" s="32"/>
      <c r="HAD63" s="32"/>
      <c r="HAE63" s="32"/>
      <c r="HAF63" s="32"/>
      <c r="HAG63" s="32"/>
      <c r="HAH63" s="32"/>
      <c r="HAI63" s="32"/>
      <c r="HAJ63" s="32"/>
      <c r="HAK63" s="32"/>
      <c r="HAL63" s="32"/>
      <c r="HAM63" s="32"/>
      <c r="HAN63" s="32"/>
      <c r="HAO63" s="32"/>
      <c r="HAP63" s="32"/>
      <c r="HAQ63" s="32"/>
      <c r="HAR63" s="32"/>
      <c r="HAS63" s="32"/>
      <c r="HAT63" s="32"/>
      <c r="HAU63" s="32"/>
      <c r="HAV63" s="32"/>
      <c r="HAW63" s="32"/>
      <c r="HAX63" s="32"/>
      <c r="HAY63" s="32"/>
      <c r="HAZ63" s="32"/>
      <c r="HBA63" s="32"/>
      <c r="HBB63" s="32"/>
      <c r="HBC63" s="32"/>
      <c r="HBD63" s="32"/>
      <c r="HBE63" s="32"/>
      <c r="HBF63" s="32"/>
      <c r="HBG63" s="32"/>
      <c r="HBH63" s="32"/>
      <c r="HBI63" s="32"/>
      <c r="HBJ63" s="32"/>
      <c r="HBK63" s="32"/>
      <c r="HBL63" s="32"/>
      <c r="HBM63" s="32"/>
      <c r="HBN63" s="32"/>
      <c r="HBO63" s="32"/>
      <c r="HBP63" s="32"/>
      <c r="HBQ63" s="32"/>
      <c r="HBR63" s="32"/>
      <c r="HBS63" s="32"/>
      <c r="HBT63" s="32"/>
      <c r="HBU63" s="32"/>
      <c r="HBV63" s="32"/>
      <c r="HBW63" s="32"/>
      <c r="HBX63" s="32"/>
      <c r="HBY63" s="32"/>
      <c r="HBZ63" s="32"/>
      <c r="HCA63" s="32"/>
      <c r="HCB63" s="32"/>
      <c r="HCC63" s="32"/>
      <c r="HCD63" s="32"/>
      <c r="HCE63" s="32"/>
      <c r="HCF63" s="32"/>
      <c r="HCG63" s="32"/>
      <c r="HCH63" s="32"/>
      <c r="HCI63" s="32"/>
      <c r="HCJ63" s="32"/>
      <c r="HCK63" s="32"/>
      <c r="HCL63" s="32"/>
      <c r="HCM63" s="32"/>
      <c r="HCN63" s="32"/>
      <c r="HCO63" s="32"/>
      <c r="HCP63" s="32"/>
      <c r="HCQ63" s="32"/>
      <c r="HCR63" s="32"/>
      <c r="HCS63" s="32"/>
      <c r="HCT63" s="32"/>
      <c r="HCU63" s="32"/>
      <c r="HCV63" s="32"/>
      <c r="HCW63" s="32"/>
      <c r="HCX63" s="32"/>
      <c r="HCY63" s="32"/>
      <c r="HCZ63" s="32"/>
      <c r="HDA63" s="32"/>
      <c r="HDB63" s="32"/>
      <c r="HDC63" s="32"/>
      <c r="HDD63" s="32"/>
      <c r="HDE63" s="32"/>
      <c r="HDF63" s="32"/>
      <c r="HDG63" s="32"/>
      <c r="HDH63" s="32"/>
      <c r="HDI63" s="32"/>
      <c r="HDJ63" s="32"/>
      <c r="HDK63" s="32"/>
      <c r="HDL63" s="32"/>
      <c r="HDM63" s="32"/>
      <c r="HDN63" s="32"/>
      <c r="HDO63" s="32"/>
      <c r="HDP63" s="32"/>
      <c r="HDQ63" s="32"/>
      <c r="HDR63" s="32"/>
      <c r="HDS63" s="32"/>
      <c r="HDT63" s="32"/>
      <c r="HDU63" s="32"/>
      <c r="HDV63" s="32"/>
      <c r="HDW63" s="32"/>
      <c r="HDX63" s="32"/>
      <c r="HDY63" s="32"/>
      <c r="HDZ63" s="32"/>
      <c r="HEA63" s="32"/>
      <c r="HEB63" s="32"/>
      <c r="HEC63" s="32"/>
      <c r="HED63" s="32"/>
      <c r="HEE63" s="32"/>
      <c r="HEF63" s="32"/>
      <c r="HEG63" s="32"/>
      <c r="HEH63" s="32"/>
      <c r="HEI63" s="32"/>
      <c r="HEJ63" s="32"/>
      <c r="HEK63" s="32"/>
      <c r="HEL63" s="32"/>
      <c r="HEM63" s="32"/>
      <c r="HEN63" s="32"/>
      <c r="HEO63" s="32"/>
      <c r="HEP63" s="32"/>
      <c r="HEQ63" s="32"/>
      <c r="HER63" s="32"/>
      <c r="HES63" s="32"/>
      <c r="HET63" s="32"/>
      <c r="HEU63" s="32"/>
      <c r="HEV63" s="32"/>
      <c r="HEW63" s="32"/>
      <c r="HEX63" s="32"/>
      <c r="HEY63" s="32"/>
      <c r="HEZ63" s="32"/>
      <c r="HFA63" s="32"/>
      <c r="HFB63" s="32"/>
      <c r="HFC63" s="32"/>
      <c r="HFD63" s="32"/>
      <c r="HFE63" s="32"/>
      <c r="HFF63" s="32"/>
      <c r="HFG63" s="32"/>
      <c r="HFH63" s="32"/>
      <c r="HFI63" s="32"/>
      <c r="HFJ63" s="32"/>
      <c r="HFK63" s="32"/>
      <c r="HFL63" s="32"/>
      <c r="HFM63" s="32"/>
      <c r="HFN63" s="32"/>
      <c r="HFO63" s="32"/>
      <c r="HFP63" s="32"/>
      <c r="HFQ63" s="32"/>
      <c r="HFR63" s="32"/>
      <c r="HFS63" s="32"/>
      <c r="HFT63" s="32"/>
      <c r="HFU63" s="32"/>
      <c r="HFV63" s="32"/>
      <c r="HFW63" s="32"/>
      <c r="HFX63" s="32"/>
      <c r="HFY63" s="32"/>
      <c r="HFZ63" s="32"/>
      <c r="HGA63" s="32"/>
      <c r="HGB63" s="32"/>
      <c r="HGC63" s="32"/>
      <c r="HGD63" s="32"/>
      <c r="HGE63" s="32"/>
      <c r="HGF63" s="32"/>
      <c r="HGG63" s="32"/>
      <c r="HGH63" s="32"/>
      <c r="HGI63" s="32"/>
      <c r="HGJ63" s="32"/>
      <c r="HGK63" s="32"/>
      <c r="HGL63" s="32"/>
      <c r="HGM63" s="32"/>
      <c r="HGN63" s="32"/>
      <c r="HGO63" s="32"/>
      <c r="HGP63" s="32"/>
      <c r="HGQ63" s="32"/>
      <c r="HGR63" s="32"/>
      <c r="HGS63" s="32"/>
      <c r="HGT63" s="32"/>
      <c r="HGU63" s="32"/>
      <c r="HGV63" s="32"/>
      <c r="HGW63" s="32"/>
      <c r="HGX63" s="32"/>
      <c r="HGY63" s="32"/>
      <c r="HGZ63" s="32"/>
      <c r="HHA63" s="32"/>
      <c r="HHB63" s="32"/>
      <c r="HHC63" s="32"/>
      <c r="HHD63" s="32"/>
      <c r="HHE63" s="32"/>
      <c r="HHF63" s="32"/>
      <c r="HHG63" s="32"/>
      <c r="HHH63" s="32"/>
      <c r="HHI63" s="32"/>
      <c r="HHJ63" s="32"/>
      <c r="HHK63" s="32"/>
      <c r="HHL63" s="32"/>
      <c r="HHM63" s="32"/>
      <c r="HHN63" s="32"/>
      <c r="HHO63" s="32"/>
      <c r="HHP63" s="32"/>
      <c r="HHQ63" s="32"/>
      <c r="HHR63" s="32"/>
      <c r="HHS63" s="32"/>
      <c r="HHT63" s="32"/>
      <c r="HHU63" s="32"/>
      <c r="HHV63" s="32"/>
      <c r="HHW63" s="32"/>
      <c r="HHX63" s="32"/>
      <c r="HHY63" s="32"/>
      <c r="HHZ63" s="32"/>
      <c r="HIA63" s="32"/>
      <c r="HIB63" s="32"/>
      <c r="HIC63" s="32"/>
      <c r="HID63" s="32"/>
      <c r="HIE63" s="32"/>
      <c r="HIF63" s="32"/>
      <c r="HIG63" s="32"/>
      <c r="HIH63" s="32"/>
      <c r="HII63" s="32"/>
      <c r="HIJ63" s="32"/>
      <c r="HIK63" s="32"/>
      <c r="HIL63" s="32"/>
      <c r="HIM63" s="32"/>
      <c r="HIN63" s="32"/>
      <c r="HIO63" s="32"/>
      <c r="HIP63" s="32"/>
      <c r="HIQ63" s="32"/>
      <c r="HIR63" s="32"/>
      <c r="HIS63" s="32"/>
      <c r="HIT63" s="32"/>
      <c r="HIU63" s="32"/>
      <c r="HIV63" s="32"/>
      <c r="HIW63" s="32"/>
      <c r="HIX63" s="32"/>
      <c r="HIY63" s="32"/>
      <c r="HIZ63" s="32"/>
      <c r="HJA63" s="32"/>
      <c r="HJB63" s="32"/>
      <c r="HJC63" s="32"/>
      <c r="HJD63" s="32"/>
      <c r="HJE63" s="32"/>
      <c r="HJF63" s="32"/>
      <c r="HJG63" s="32"/>
      <c r="HJH63" s="32"/>
      <c r="HJI63" s="32"/>
      <c r="HJJ63" s="32"/>
      <c r="HJK63" s="32"/>
      <c r="HJL63" s="32"/>
      <c r="HJM63" s="32"/>
      <c r="HJN63" s="32"/>
      <c r="HJO63" s="32"/>
      <c r="HJP63" s="32"/>
      <c r="HJQ63" s="32"/>
      <c r="HJR63" s="32"/>
      <c r="HJS63" s="32"/>
      <c r="HJT63" s="32"/>
      <c r="HJU63" s="32"/>
      <c r="HJV63" s="32"/>
      <c r="HJW63" s="32"/>
      <c r="HJX63" s="32"/>
      <c r="HJY63" s="32"/>
      <c r="HJZ63" s="32"/>
      <c r="HKA63" s="32"/>
      <c r="HKB63" s="32"/>
      <c r="HKC63" s="32"/>
      <c r="HKD63" s="32"/>
      <c r="HKE63" s="32"/>
      <c r="HKF63" s="32"/>
      <c r="HKG63" s="32"/>
      <c r="HKH63" s="32"/>
      <c r="HKI63" s="32"/>
      <c r="HKJ63" s="32"/>
      <c r="HKK63" s="32"/>
      <c r="HKL63" s="32"/>
      <c r="HKM63" s="32"/>
      <c r="HKN63" s="32"/>
      <c r="HKO63" s="32"/>
      <c r="HKP63" s="32"/>
      <c r="HKQ63" s="32"/>
      <c r="HKR63" s="32"/>
      <c r="HKS63" s="32"/>
      <c r="HKT63" s="32"/>
      <c r="HKU63" s="32"/>
      <c r="HKV63" s="32"/>
      <c r="HKW63" s="32"/>
      <c r="HKX63" s="32"/>
      <c r="HKY63" s="32"/>
      <c r="HKZ63" s="32"/>
      <c r="HLA63" s="32"/>
      <c r="HLB63" s="32"/>
      <c r="HLC63" s="32"/>
      <c r="HLD63" s="32"/>
      <c r="HLE63" s="32"/>
      <c r="HLF63" s="32"/>
      <c r="HLG63" s="32"/>
      <c r="HLH63" s="32"/>
      <c r="HLI63" s="32"/>
      <c r="HLJ63" s="32"/>
      <c r="HLK63" s="32"/>
      <c r="HLL63" s="32"/>
      <c r="HLM63" s="32"/>
      <c r="HLN63" s="32"/>
      <c r="HLO63" s="32"/>
      <c r="HLP63" s="32"/>
      <c r="HLQ63" s="32"/>
      <c r="HLR63" s="32"/>
      <c r="HLS63" s="32"/>
      <c r="HLT63" s="32"/>
      <c r="HLU63" s="32"/>
      <c r="HLV63" s="32"/>
      <c r="HLW63" s="32"/>
      <c r="HLX63" s="32"/>
      <c r="HLY63" s="32"/>
      <c r="HLZ63" s="32"/>
      <c r="HMA63" s="32"/>
      <c r="HMB63" s="32"/>
      <c r="HMC63" s="32"/>
      <c r="HMD63" s="32"/>
      <c r="HME63" s="32"/>
      <c r="HMF63" s="32"/>
      <c r="HMG63" s="32"/>
      <c r="HMH63" s="32"/>
      <c r="HMI63" s="32"/>
      <c r="HMJ63" s="32"/>
      <c r="HMK63" s="32"/>
      <c r="HML63" s="32"/>
      <c r="HMM63" s="32"/>
      <c r="HMN63" s="32"/>
      <c r="HMO63" s="32"/>
      <c r="HMP63" s="32"/>
      <c r="HMQ63" s="32"/>
      <c r="HMR63" s="32"/>
      <c r="HMS63" s="32"/>
      <c r="HMT63" s="32"/>
      <c r="HMU63" s="32"/>
      <c r="HMV63" s="32"/>
      <c r="HMW63" s="32"/>
      <c r="HMX63" s="32"/>
      <c r="HMY63" s="32"/>
      <c r="HMZ63" s="32"/>
      <c r="HNA63" s="32"/>
      <c r="HNB63" s="32"/>
      <c r="HNC63" s="32"/>
      <c r="HND63" s="32"/>
      <c r="HNE63" s="32"/>
      <c r="HNF63" s="32"/>
      <c r="HNG63" s="32"/>
      <c r="HNH63" s="32"/>
      <c r="HNI63" s="32"/>
      <c r="HNJ63" s="32"/>
      <c r="HNK63" s="32"/>
      <c r="HNL63" s="32"/>
      <c r="HNM63" s="32"/>
      <c r="HNN63" s="32"/>
      <c r="HNO63" s="32"/>
      <c r="HNP63" s="32"/>
      <c r="HNQ63" s="32"/>
      <c r="HNR63" s="32"/>
      <c r="HNS63" s="32"/>
      <c r="HNT63" s="32"/>
      <c r="HNU63" s="32"/>
      <c r="HNV63" s="32"/>
      <c r="HNW63" s="32"/>
      <c r="HNX63" s="32"/>
      <c r="HNY63" s="32"/>
      <c r="HNZ63" s="32"/>
      <c r="HOA63" s="32"/>
      <c r="HOB63" s="32"/>
      <c r="HOC63" s="32"/>
      <c r="HOD63" s="32"/>
      <c r="HOE63" s="32"/>
      <c r="HOF63" s="32"/>
      <c r="HOG63" s="32"/>
      <c r="HOH63" s="32"/>
      <c r="HOI63" s="32"/>
      <c r="HOJ63" s="32"/>
      <c r="HOK63" s="32"/>
      <c r="HOL63" s="32"/>
      <c r="HOM63" s="32"/>
      <c r="HON63" s="32"/>
      <c r="HOO63" s="32"/>
      <c r="HOP63" s="32"/>
      <c r="HOQ63" s="32"/>
      <c r="HOR63" s="32"/>
      <c r="HOS63" s="32"/>
      <c r="HOT63" s="32"/>
      <c r="HOU63" s="32"/>
      <c r="HOV63" s="32"/>
      <c r="HOW63" s="32"/>
      <c r="HOX63" s="32"/>
      <c r="HOY63" s="32"/>
      <c r="HOZ63" s="32"/>
      <c r="HPA63" s="32"/>
      <c r="HPB63" s="32"/>
      <c r="HPC63" s="32"/>
      <c r="HPD63" s="32"/>
      <c r="HPE63" s="32"/>
      <c r="HPF63" s="32"/>
      <c r="HPG63" s="32"/>
      <c r="HPH63" s="32"/>
      <c r="HPI63" s="32"/>
      <c r="HPJ63" s="32"/>
      <c r="HPK63" s="32"/>
      <c r="HPL63" s="32"/>
      <c r="HPM63" s="32"/>
      <c r="HPN63" s="32"/>
      <c r="HPO63" s="32"/>
      <c r="HPP63" s="32"/>
      <c r="HPQ63" s="32"/>
      <c r="HPR63" s="32"/>
      <c r="HPS63" s="32"/>
      <c r="HPT63" s="32"/>
      <c r="HPU63" s="32"/>
      <c r="HPV63" s="32"/>
      <c r="HPW63" s="32"/>
      <c r="HPX63" s="32"/>
      <c r="HPY63" s="32"/>
      <c r="HPZ63" s="32"/>
      <c r="HQA63" s="32"/>
      <c r="HQB63" s="32"/>
      <c r="HQC63" s="32"/>
      <c r="HQD63" s="32"/>
      <c r="HQE63" s="32"/>
      <c r="HQF63" s="32"/>
      <c r="HQG63" s="32"/>
      <c r="HQH63" s="32"/>
      <c r="HQI63" s="32"/>
      <c r="HQJ63" s="32"/>
      <c r="HQK63" s="32"/>
      <c r="HQL63" s="32"/>
      <c r="HQM63" s="32"/>
      <c r="HQN63" s="32"/>
      <c r="HQO63" s="32"/>
      <c r="HQP63" s="32"/>
      <c r="HQQ63" s="32"/>
      <c r="HQR63" s="32"/>
      <c r="HQS63" s="32"/>
      <c r="HQT63" s="32"/>
      <c r="HQU63" s="32"/>
      <c r="HQV63" s="32"/>
      <c r="HQW63" s="32"/>
      <c r="HQX63" s="32"/>
      <c r="HQY63" s="32"/>
      <c r="HQZ63" s="32"/>
      <c r="HRA63" s="32"/>
      <c r="HRB63" s="32"/>
      <c r="HRC63" s="32"/>
      <c r="HRD63" s="32"/>
      <c r="HRE63" s="32"/>
      <c r="HRF63" s="32"/>
      <c r="HRG63" s="32"/>
      <c r="HRH63" s="32"/>
      <c r="HRI63" s="32"/>
      <c r="HRJ63" s="32"/>
      <c r="HRK63" s="32"/>
      <c r="HRL63" s="32"/>
      <c r="HRM63" s="32"/>
      <c r="HRN63" s="32"/>
      <c r="HRO63" s="32"/>
      <c r="HRP63" s="32"/>
      <c r="HRQ63" s="32"/>
      <c r="HRR63" s="32"/>
      <c r="HRS63" s="32"/>
      <c r="HRT63" s="32"/>
      <c r="HRU63" s="32"/>
      <c r="HRV63" s="32"/>
      <c r="HRW63" s="32"/>
      <c r="HRX63" s="32"/>
      <c r="HRY63" s="32"/>
      <c r="HRZ63" s="32"/>
      <c r="HSA63" s="32"/>
      <c r="HSB63" s="32"/>
      <c r="HSC63" s="32"/>
      <c r="HSD63" s="32"/>
      <c r="HSE63" s="32"/>
      <c r="HSF63" s="32"/>
      <c r="HSG63" s="32"/>
      <c r="HSH63" s="32"/>
      <c r="HSI63" s="32"/>
      <c r="HSJ63" s="32"/>
      <c r="HSK63" s="32"/>
      <c r="HSL63" s="32"/>
      <c r="HSM63" s="32"/>
      <c r="HSN63" s="32"/>
      <c r="HSO63" s="32"/>
      <c r="HSP63" s="32"/>
      <c r="HSQ63" s="32"/>
      <c r="HSR63" s="32"/>
      <c r="HSS63" s="32"/>
      <c r="HST63" s="32"/>
      <c r="HSU63" s="32"/>
      <c r="HSV63" s="32"/>
      <c r="HSW63" s="32"/>
      <c r="HSX63" s="32"/>
      <c r="HSY63" s="32"/>
      <c r="HSZ63" s="32"/>
      <c r="HTA63" s="32"/>
      <c r="HTB63" s="32"/>
      <c r="HTC63" s="32"/>
      <c r="HTD63" s="32"/>
      <c r="HTE63" s="32"/>
      <c r="HTF63" s="32"/>
      <c r="HTG63" s="32"/>
      <c r="HTH63" s="32"/>
      <c r="HTI63" s="32"/>
      <c r="HTJ63" s="32"/>
      <c r="HTK63" s="32"/>
      <c r="HTL63" s="32"/>
      <c r="HTM63" s="32"/>
      <c r="HTN63" s="32"/>
      <c r="HTO63" s="32"/>
      <c r="HTP63" s="32"/>
      <c r="HTQ63" s="32"/>
      <c r="HTR63" s="32"/>
      <c r="HTS63" s="32"/>
      <c r="HTT63" s="32"/>
      <c r="HTU63" s="32"/>
      <c r="HTV63" s="32"/>
      <c r="HTW63" s="32"/>
      <c r="HTX63" s="32"/>
      <c r="HTY63" s="32"/>
      <c r="HTZ63" s="32"/>
      <c r="HUA63" s="32"/>
      <c r="HUB63" s="32"/>
      <c r="HUC63" s="32"/>
      <c r="HUD63" s="32"/>
      <c r="HUE63" s="32"/>
      <c r="HUF63" s="32"/>
      <c r="HUG63" s="32"/>
      <c r="HUH63" s="32"/>
      <c r="HUI63" s="32"/>
      <c r="HUJ63" s="32"/>
      <c r="HUK63" s="32"/>
      <c r="HUL63" s="32"/>
      <c r="HUM63" s="32"/>
      <c r="HUN63" s="32"/>
      <c r="HUO63" s="32"/>
      <c r="HUP63" s="32"/>
      <c r="HUQ63" s="32"/>
      <c r="HUR63" s="32"/>
      <c r="HUS63" s="32"/>
      <c r="HUT63" s="32"/>
      <c r="HUU63" s="32"/>
      <c r="HUV63" s="32"/>
      <c r="HUW63" s="32"/>
      <c r="HUX63" s="32"/>
      <c r="HUY63" s="32"/>
      <c r="HUZ63" s="32"/>
      <c r="HVA63" s="32"/>
      <c r="HVB63" s="32"/>
      <c r="HVC63" s="32"/>
      <c r="HVD63" s="32"/>
      <c r="HVE63" s="32"/>
      <c r="HVF63" s="32"/>
      <c r="HVG63" s="32"/>
      <c r="HVH63" s="32"/>
      <c r="HVI63" s="32"/>
      <c r="HVJ63" s="32"/>
      <c r="HVK63" s="32"/>
      <c r="HVL63" s="32"/>
      <c r="HVM63" s="32"/>
      <c r="HVN63" s="32"/>
      <c r="HVO63" s="32"/>
      <c r="HVP63" s="32"/>
      <c r="HVQ63" s="32"/>
      <c r="HVR63" s="32"/>
      <c r="HVS63" s="32"/>
      <c r="HVT63" s="32"/>
      <c r="HVU63" s="32"/>
      <c r="HVV63" s="32"/>
      <c r="HVW63" s="32"/>
      <c r="HVX63" s="32"/>
      <c r="HVY63" s="32"/>
      <c r="HVZ63" s="32"/>
      <c r="HWA63" s="32"/>
      <c r="HWB63" s="32"/>
      <c r="HWC63" s="32"/>
      <c r="HWD63" s="32"/>
      <c r="HWE63" s="32"/>
      <c r="HWF63" s="32"/>
      <c r="HWG63" s="32"/>
      <c r="HWH63" s="32"/>
      <c r="HWI63" s="32"/>
      <c r="HWJ63" s="32"/>
      <c r="HWK63" s="32"/>
      <c r="HWL63" s="32"/>
      <c r="HWM63" s="32"/>
      <c r="HWN63" s="32"/>
      <c r="HWO63" s="32"/>
      <c r="HWP63" s="32"/>
      <c r="HWQ63" s="32"/>
      <c r="HWR63" s="32"/>
      <c r="HWS63" s="32"/>
      <c r="HWT63" s="32"/>
      <c r="HWU63" s="32"/>
      <c r="HWV63" s="32"/>
      <c r="HWW63" s="32"/>
      <c r="HWX63" s="32"/>
      <c r="HWY63" s="32"/>
      <c r="HWZ63" s="32"/>
      <c r="HXA63" s="32"/>
      <c r="HXB63" s="32"/>
      <c r="HXC63" s="32"/>
      <c r="HXD63" s="32"/>
      <c r="HXE63" s="32"/>
      <c r="HXF63" s="32"/>
      <c r="HXG63" s="32"/>
      <c r="HXH63" s="32"/>
      <c r="HXI63" s="32"/>
      <c r="HXJ63" s="32"/>
      <c r="HXK63" s="32"/>
      <c r="HXL63" s="32"/>
      <c r="HXM63" s="32"/>
      <c r="HXN63" s="32"/>
      <c r="HXO63" s="32"/>
      <c r="HXP63" s="32"/>
      <c r="HXQ63" s="32"/>
      <c r="HXR63" s="32"/>
      <c r="HXS63" s="32"/>
      <c r="HXT63" s="32"/>
      <c r="HXU63" s="32"/>
      <c r="HXV63" s="32"/>
      <c r="HXW63" s="32"/>
      <c r="HXX63" s="32"/>
      <c r="HXY63" s="32"/>
      <c r="HXZ63" s="32"/>
      <c r="HYA63" s="32"/>
      <c r="HYB63" s="32"/>
      <c r="HYC63" s="32"/>
      <c r="HYD63" s="32"/>
      <c r="HYE63" s="32"/>
      <c r="HYF63" s="32"/>
      <c r="HYG63" s="32"/>
      <c r="HYH63" s="32"/>
      <c r="HYI63" s="32"/>
      <c r="HYJ63" s="32"/>
      <c r="HYK63" s="32"/>
      <c r="HYL63" s="32"/>
      <c r="HYM63" s="32"/>
      <c r="HYN63" s="32"/>
      <c r="HYO63" s="32"/>
      <c r="HYP63" s="32"/>
      <c r="HYQ63" s="32"/>
      <c r="HYR63" s="32"/>
      <c r="HYS63" s="32"/>
      <c r="HYT63" s="32"/>
      <c r="HYU63" s="32"/>
      <c r="HYV63" s="32"/>
      <c r="HYW63" s="32"/>
      <c r="HYX63" s="32"/>
      <c r="HYY63" s="32"/>
      <c r="HYZ63" s="32"/>
      <c r="HZA63" s="32"/>
      <c r="HZB63" s="32"/>
      <c r="HZC63" s="32"/>
      <c r="HZD63" s="32"/>
      <c r="HZE63" s="32"/>
      <c r="HZF63" s="32"/>
      <c r="HZG63" s="32"/>
      <c r="HZH63" s="32"/>
      <c r="HZI63" s="32"/>
      <c r="HZJ63" s="32"/>
      <c r="HZK63" s="32"/>
      <c r="HZL63" s="32"/>
      <c r="HZM63" s="32"/>
      <c r="HZN63" s="32"/>
      <c r="HZO63" s="32"/>
      <c r="HZP63" s="32"/>
      <c r="HZQ63" s="32"/>
      <c r="HZR63" s="32"/>
      <c r="HZS63" s="32"/>
      <c r="HZT63" s="32"/>
      <c r="HZU63" s="32"/>
      <c r="HZV63" s="32"/>
      <c r="HZW63" s="32"/>
      <c r="HZX63" s="32"/>
      <c r="HZY63" s="32"/>
      <c r="HZZ63" s="32"/>
      <c r="IAA63" s="32"/>
      <c r="IAB63" s="32"/>
      <c r="IAC63" s="32"/>
      <c r="IAD63" s="32"/>
      <c r="IAE63" s="32"/>
      <c r="IAF63" s="32"/>
      <c r="IAG63" s="32"/>
      <c r="IAH63" s="32"/>
      <c r="IAI63" s="32"/>
      <c r="IAJ63" s="32"/>
      <c r="IAK63" s="32"/>
      <c r="IAL63" s="32"/>
      <c r="IAM63" s="32"/>
      <c r="IAN63" s="32"/>
      <c r="IAO63" s="32"/>
      <c r="IAP63" s="32"/>
      <c r="IAQ63" s="32"/>
      <c r="IAR63" s="32"/>
      <c r="IAS63" s="32"/>
      <c r="IAT63" s="32"/>
      <c r="IAU63" s="32"/>
      <c r="IAV63" s="32"/>
      <c r="IAW63" s="32"/>
      <c r="IAX63" s="32"/>
      <c r="IAY63" s="32"/>
      <c r="IAZ63" s="32"/>
      <c r="IBA63" s="32"/>
      <c r="IBB63" s="32"/>
      <c r="IBC63" s="32"/>
      <c r="IBD63" s="32"/>
      <c r="IBE63" s="32"/>
      <c r="IBF63" s="32"/>
      <c r="IBG63" s="32"/>
      <c r="IBH63" s="32"/>
      <c r="IBI63" s="32"/>
      <c r="IBJ63" s="32"/>
      <c r="IBK63" s="32"/>
      <c r="IBL63" s="32"/>
      <c r="IBM63" s="32"/>
      <c r="IBN63" s="32"/>
      <c r="IBO63" s="32"/>
      <c r="IBP63" s="32"/>
      <c r="IBQ63" s="32"/>
      <c r="IBR63" s="32"/>
      <c r="IBS63" s="32"/>
      <c r="IBT63" s="32"/>
      <c r="IBU63" s="32"/>
      <c r="IBV63" s="32"/>
      <c r="IBW63" s="32"/>
      <c r="IBX63" s="32"/>
      <c r="IBY63" s="32"/>
      <c r="IBZ63" s="32"/>
      <c r="ICA63" s="32"/>
      <c r="ICB63" s="32"/>
      <c r="ICC63" s="32"/>
      <c r="ICD63" s="32"/>
      <c r="ICE63" s="32"/>
      <c r="ICF63" s="32"/>
      <c r="ICG63" s="32"/>
      <c r="ICH63" s="32"/>
      <c r="ICI63" s="32"/>
      <c r="ICJ63" s="32"/>
      <c r="ICK63" s="32"/>
      <c r="ICL63" s="32"/>
      <c r="ICM63" s="32"/>
      <c r="ICN63" s="32"/>
      <c r="ICO63" s="32"/>
      <c r="ICP63" s="32"/>
      <c r="ICQ63" s="32"/>
      <c r="ICR63" s="32"/>
      <c r="ICS63" s="32"/>
      <c r="ICT63" s="32"/>
      <c r="ICU63" s="32"/>
      <c r="ICV63" s="32"/>
      <c r="ICW63" s="32"/>
      <c r="ICX63" s="32"/>
      <c r="ICY63" s="32"/>
      <c r="ICZ63" s="32"/>
      <c r="IDA63" s="32"/>
      <c r="IDB63" s="32"/>
      <c r="IDC63" s="32"/>
      <c r="IDD63" s="32"/>
      <c r="IDE63" s="32"/>
      <c r="IDF63" s="32"/>
      <c r="IDG63" s="32"/>
      <c r="IDH63" s="32"/>
      <c r="IDI63" s="32"/>
      <c r="IDJ63" s="32"/>
      <c r="IDK63" s="32"/>
      <c r="IDL63" s="32"/>
      <c r="IDM63" s="32"/>
      <c r="IDN63" s="32"/>
      <c r="IDO63" s="32"/>
      <c r="IDP63" s="32"/>
      <c r="IDQ63" s="32"/>
      <c r="IDR63" s="32"/>
      <c r="IDS63" s="32"/>
      <c r="IDT63" s="32"/>
      <c r="IDU63" s="32"/>
      <c r="IDV63" s="32"/>
      <c r="IDW63" s="32"/>
      <c r="IDX63" s="32"/>
      <c r="IDY63" s="32"/>
      <c r="IDZ63" s="32"/>
      <c r="IEA63" s="32"/>
      <c r="IEB63" s="32"/>
      <c r="IEC63" s="32"/>
      <c r="IED63" s="32"/>
      <c r="IEE63" s="32"/>
      <c r="IEF63" s="32"/>
      <c r="IEG63" s="32"/>
      <c r="IEH63" s="32"/>
      <c r="IEI63" s="32"/>
      <c r="IEJ63" s="32"/>
      <c r="IEK63" s="32"/>
      <c r="IEL63" s="32"/>
      <c r="IEM63" s="32"/>
      <c r="IEN63" s="32"/>
      <c r="IEO63" s="32"/>
      <c r="IEP63" s="32"/>
      <c r="IEQ63" s="32"/>
      <c r="IER63" s="32"/>
      <c r="IES63" s="32"/>
      <c r="IET63" s="32"/>
      <c r="IEU63" s="32"/>
      <c r="IEV63" s="32"/>
      <c r="IEW63" s="32"/>
      <c r="IEX63" s="32"/>
      <c r="IEY63" s="32"/>
      <c r="IEZ63" s="32"/>
      <c r="IFA63" s="32"/>
      <c r="IFB63" s="32"/>
      <c r="IFC63" s="32"/>
      <c r="IFD63" s="32"/>
      <c r="IFE63" s="32"/>
      <c r="IFF63" s="32"/>
      <c r="IFG63" s="32"/>
      <c r="IFH63" s="32"/>
      <c r="IFI63" s="32"/>
      <c r="IFJ63" s="32"/>
      <c r="IFK63" s="32"/>
      <c r="IFL63" s="32"/>
      <c r="IFM63" s="32"/>
      <c r="IFN63" s="32"/>
      <c r="IFO63" s="32"/>
      <c r="IFP63" s="32"/>
      <c r="IFQ63" s="32"/>
      <c r="IFR63" s="32"/>
      <c r="IFS63" s="32"/>
      <c r="IFT63" s="32"/>
      <c r="IFU63" s="32"/>
      <c r="IFV63" s="32"/>
      <c r="IFW63" s="32"/>
      <c r="IFX63" s="32"/>
      <c r="IFY63" s="32"/>
      <c r="IFZ63" s="32"/>
      <c r="IGA63" s="32"/>
      <c r="IGB63" s="32"/>
      <c r="IGC63" s="32"/>
      <c r="IGD63" s="32"/>
      <c r="IGE63" s="32"/>
      <c r="IGF63" s="32"/>
      <c r="IGG63" s="32"/>
      <c r="IGH63" s="32"/>
      <c r="IGI63" s="32"/>
      <c r="IGJ63" s="32"/>
      <c r="IGK63" s="32"/>
      <c r="IGL63" s="32"/>
      <c r="IGM63" s="32"/>
      <c r="IGN63" s="32"/>
      <c r="IGO63" s="32"/>
      <c r="IGP63" s="32"/>
      <c r="IGQ63" s="32"/>
      <c r="IGR63" s="32"/>
      <c r="IGS63" s="32"/>
      <c r="IGT63" s="32"/>
      <c r="IGU63" s="32"/>
      <c r="IGV63" s="32"/>
      <c r="IGW63" s="32"/>
      <c r="IGX63" s="32"/>
      <c r="IGY63" s="32"/>
      <c r="IGZ63" s="32"/>
      <c r="IHA63" s="32"/>
      <c r="IHB63" s="32"/>
      <c r="IHC63" s="32"/>
      <c r="IHD63" s="32"/>
      <c r="IHE63" s="32"/>
      <c r="IHF63" s="32"/>
      <c r="IHG63" s="32"/>
      <c r="IHH63" s="32"/>
      <c r="IHI63" s="32"/>
      <c r="IHJ63" s="32"/>
      <c r="IHK63" s="32"/>
      <c r="IHL63" s="32"/>
      <c r="IHM63" s="32"/>
      <c r="IHN63" s="32"/>
      <c r="IHO63" s="32"/>
      <c r="IHP63" s="32"/>
      <c r="IHQ63" s="32"/>
      <c r="IHR63" s="32"/>
      <c r="IHS63" s="32"/>
      <c r="IHT63" s="32"/>
      <c r="IHU63" s="32"/>
      <c r="IHV63" s="32"/>
      <c r="IHW63" s="32"/>
      <c r="IHX63" s="32"/>
      <c r="IHY63" s="32"/>
      <c r="IHZ63" s="32"/>
      <c r="IIA63" s="32"/>
      <c r="IIB63" s="32"/>
      <c r="IIC63" s="32"/>
      <c r="IID63" s="32"/>
      <c r="IIE63" s="32"/>
      <c r="IIF63" s="32"/>
      <c r="IIG63" s="32"/>
      <c r="IIH63" s="32"/>
      <c r="III63" s="32"/>
      <c r="IIJ63" s="32"/>
      <c r="IIK63" s="32"/>
      <c r="IIL63" s="32"/>
      <c r="IIM63" s="32"/>
      <c r="IIN63" s="32"/>
      <c r="IIO63" s="32"/>
      <c r="IIP63" s="32"/>
      <c r="IIQ63" s="32"/>
      <c r="IIR63" s="32"/>
      <c r="IIS63" s="32"/>
      <c r="IIT63" s="32"/>
      <c r="IIU63" s="32"/>
      <c r="IIV63" s="32"/>
      <c r="IIW63" s="32"/>
      <c r="IIX63" s="32"/>
      <c r="IIY63" s="32"/>
      <c r="IIZ63" s="32"/>
      <c r="IJA63" s="32"/>
      <c r="IJB63" s="32"/>
      <c r="IJC63" s="32"/>
      <c r="IJD63" s="32"/>
      <c r="IJE63" s="32"/>
      <c r="IJF63" s="32"/>
      <c r="IJG63" s="32"/>
      <c r="IJH63" s="32"/>
      <c r="IJI63" s="32"/>
      <c r="IJJ63" s="32"/>
      <c r="IJK63" s="32"/>
      <c r="IJL63" s="32"/>
      <c r="IJM63" s="32"/>
      <c r="IJN63" s="32"/>
      <c r="IJO63" s="32"/>
      <c r="IJP63" s="32"/>
      <c r="IJQ63" s="32"/>
      <c r="IJR63" s="32"/>
      <c r="IJS63" s="32"/>
      <c r="IJT63" s="32"/>
      <c r="IJU63" s="32"/>
      <c r="IJV63" s="32"/>
      <c r="IJW63" s="32"/>
      <c r="IJX63" s="32"/>
      <c r="IJY63" s="32"/>
      <c r="IJZ63" s="32"/>
      <c r="IKA63" s="32"/>
      <c r="IKB63" s="32"/>
      <c r="IKC63" s="32"/>
      <c r="IKD63" s="32"/>
      <c r="IKE63" s="32"/>
      <c r="IKF63" s="32"/>
      <c r="IKG63" s="32"/>
      <c r="IKH63" s="32"/>
      <c r="IKI63" s="32"/>
      <c r="IKJ63" s="32"/>
      <c r="IKK63" s="32"/>
      <c r="IKL63" s="32"/>
      <c r="IKM63" s="32"/>
      <c r="IKN63" s="32"/>
      <c r="IKO63" s="32"/>
      <c r="IKP63" s="32"/>
      <c r="IKQ63" s="32"/>
      <c r="IKR63" s="32"/>
      <c r="IKS63" s="32"/>
      <c r="IKT63" s="32"/>
      <c r="IKU63" s="32"/>
      <c r="IKV63" s="32"/>
      <c r="IKW63" s="32"/>
      <c r="IKX63" s="32"/>
      <c r="IKY63" s="32"/>
      <c r="IKZ63" s="32"/>
      <c r="ILA63" s="32"/>
      <c r="ILB63" s="32"/>
      <c r="ILC63" s="32"/>
      <c r="ILD63" s="32"/>
      <c r="ILE63" s="32"/>
      <c r="ILF63" s="32"/>
      <c r="ILG63" s="32"/>
      <c r="ILH63" s="32"/>
      <c r="ILI63" s="32"/>
      <c r="ILJ63" s="32"/>
      <c r="ILK63" s="32"/>
      <c r="ILL63" s="32"/>
      <c r="ILM63" s="32"/>
      <c r="ILN63" s="32"/>
      <c r="ILO63" s="32"/>
      <c r="ILP63" s="32"/>
      <c r="ILQ63" s="32"/>
      <c r="ILR63" s="32"/>
      <c r="ILS63" s="32"/>
      <c r="ILT63" s="32"/>
      <c r="ILU63" s="32"/>
      <c r="ILV63" s="32"/>
      <c r="ILW63" s="32"/>
      <c r="ILX63" s="32"/>
      <c r="ILY63" s="32"/>
      <c r="ILZ63" s="32"/>
      <c r="IMA63" s="32"/>
      <c r="IMB63" s="32"/>
      <c r="IMC63" s="32"/>
      <c r="IMD63" s="32"/>
      <c r="IME63" s="32"/>
      <c r="IMF63" s="32"/>
      <c r="IMG63" s="32"/>
      <c r="IMH63" s="32"/>
      <c r="IMI63" s="32"/>
      <c r="IMJ63" s="32"/>
      <c r="IMK63" s="32"/>
      <c r="IML63" s="32"/>
      <c r="IMM63" s="32"/>
      <c r="IMN63" s="32"/>
      <c r="IMO63" s="32"/>
      <c r="IMP63" s="32"/>
      <c r="IMQ63" s="32"/>
      <c r="IMR63" s="32"/>
      <c r="IMS63" s="32"/>
      <c r="IMT63" s="32"/>
      <c r="IMU63" s="32"/>
      <c r="IMV63" s="32"/>
      <c r="IMW63" s="32"/>
      <c r="IMX63" s="32"/>
      <c r="IMY63" s="32"/>
      <c r="IMZ63" s="32"/>
      <c r="INA63" s="32"/>
      <c r="INB63" s="32"/>
      <c r="INC63" s="32"/>
      <c r="IND63" s="32"/>
      <c r="INE63" s="32"/>
      <c r="INF63" s="32"/>
      <c r="ING63" s="32"/>
      <c r="INH63" s="32"/>
      <c r="INI63" s="32"/>
      <c r="INJ63" s="32"/>
      <c r="INK63" s="32"/>
      <c r="INL63" s="32"/>
      <c r="INM63" s="32"/>
      <c r="INN63" s="32"/>
      <c r="INO63" s="32"/>
      <c r="INP63" s="32"/>
      <c r="INQ63" s="32"/>
      <c r="INR63" s="32"/>
      <c r="INS63" s="32"/>
      <c r="INT63" s="32"/>
      <c r="INU63" s="32"/>
      <c r="INV63" s="32"/>
      <c r="INW63" s="32"/>
      <c r="INX63" s="32"/>
      <c r="INY63" s="32"/>
      <c r="INZ63" s="32"/>
      <c r="IOA63" s="32"/>
      <c r="IOB63" s="32"/>
      <c r="IOC63" s="32"/>
      <c r="IOD63" s="32"/>
      <c r="IOE63" s="32"/>
      <c r="IOF63" s="32"/>
      <c r="IOG63" s="32"/>
      <c r="IOH63" s="32"/>
      <c r="IOI63" s="32"/>
      <c r="IOJ63" s="32"/>
      <c r="IOK63" s="32"/>
      <c r="IOL63" s="32"/>
      <c r="IOM63" s="32"/>
      <c r="ION63" s="32"/>
      <c r="IOO63" s="32"/>
      <c r="IOP63" s="32"/>
      <c r="IOQ63" s="32"/>
      <c r="IOR63" s="32"/>
      <c r="IOS63" s="32"/>
      <c r="IOT63" s="32"/>
      <c r="IOU63" s="32"/>
      <c r="IOV63" s="32"/>
      <c r="IOW63" s="32"/>
      <c r="IOX63" s="32"/>
      <c r="IOY63" s="32"/>
      <c r="IOZ63" s="32"/>
      <c r="IPA63" s="32"/>
      <c r="IPB63" s="32"/>
      <c r="IPC63" s="32"/>
      <c r="IPD63" s="32"/>
      <c r="IPE63" s="32"/>
      <c r="IPF63" s="32"/>
      <c r="IPG63" s="32"/>
      <c r="IPH63" s="32"/>
      <c r="IPI63" s="32"/>
      <c r="IPJ63" s="32"/>
      <c r="IPK63" s="32"/>
      <c r="IPL63" s="32"/>
      <c r="IPM63" s="32"/>
      <c r="IPN63" s="32"/>
      <c r="IPO63" s="32"/>
      <c r="IPP63" s="32"/>
      <c r="IPQ63" s="32"/>
      <c r="IPR63" s="32"/>
      <c r="IPS63" s="32"/>
      <c r="IPT63" s="32"/>
      <c r="IPU63" s="32"/>
      <c r="IPV63" s="32"/>
      <c r="IPW63" s="32"/>
      <c r="IPX63" s="32"/>
      <c r="IPY63" s="32"/>
      <c r="IPZ63" s="32"/>
      <c r="IQA63" s="32"/>
      <c r="IQB63" s="32"/>
      <c r="IQC63" s="32"/>
      <c r="IQD63" s="32"/>
      <c r="IQE63" s="32"/>
      <c r="IQF63" s="32"/>
      <c r="IQG63" s="32"/>
      <c r="IQH63" s="32"/>
      <c r="IQI63" s="32"/>
      <c r="IQJ63" s="32"/>
      <c r="IQK63" s="32"/>
      <c r="IQL63" s="32"/>
      <c r="IQM63" s="32"/>
      <c r="IQN63" s="32"/>
      <c r="IQO63" s="32"/>
      <c r="IQP63" s="32"/>
      <c r="IQQ63" s="32"/>
      <c r="IQR63" s="32"/>
      <c r="IQS63" s="32"/>
      <c r="IQT63" s="32"/>
      <c r="IQU63" s="32"/>
      <c r="IQV63" s="32"/>
      <c r="IQW63" s="32"/>
      <c r="IQX63" s="32"/>
      <c r="IQY63" s="32"/>
      <c r="IQZ63" s="32"/>
      <c r="IRA63" s="32"/>
      <c r="IRB63" s="32"/>
      <c r="IRC63" s="32"/>
      <c r="IRD63" s="32"/>
      <c r="IRE63" s="32"/>
      <c r="IRF63" s="32"/>
      <c r="IRG63" s="32"/>
      <c r="IRH63" s="32"/>
      <c r="IRI63" s="32"/>
      <c r="IRJ63" s="32"/>
      <c r="IRK63" s="32"/>
      <c r="IRL63" s="32"/>
      <c r="IRM63" s="32"/>
      <c r="IRN63" s="32"/>
      <c r="IRO63" s="32"/>
      <c r="IRP63" s="32"/>
      <c r="IRQ63" s="32"/>
      <c r="IRR63" s="32"/>
      <c r="IRS63" s="32"/>
      <c r="IRT63" s="32"/>
      <c r="IRU63" s="32"/>
      <c r="IRV63" s="32"/>
      <c r="IRW63" s="32"/>
      <c r="IRX63" s="32"/>
      <c r="IRY63" s="32"/>
      <c r="IRZ63" s="32"/>
      <c r="ISA63" s="32"/>
      <c r="ISB63" s="32"/>
      <c r="ISC63" s="32"/>
      <c r="ISD63" s="32"/>
      <c r="ISE63" s="32"/>
      <c r="ISF63" s="32"/>
      <c r="ISG63" s="32"/>
      <c r="ISH63" s="32"/>
      <c r="ISI63" s="32"/>
      <c r="ISJ63" s="32"/>
      <c r="ISK63" s="32"/>
      <c r="ISL63" s="32"/>
      <c r="ISM63" s="32"/>
      <c r="ISN63" s="32"/>
      <c r="ISO63" s="32"/>
      <c r="ISP63" s="32"/>
      <c r="ISQ63" s="32"/>
      <c r="ISR63" s="32"/>
      <c r="ISS63" s="32"/>
      <c r="IST63" s="32"/>
      <c r="ISU63" s="32"/>
      <c r="ISV63" s="32"/>
      <c r="ISW63" s="32"/>
      <c r="ISX63" s="32"/>
      <c r="ISY63" s="32"/>
      <c r="ISZ63" s="32"/>
      <c r="ITA63" s="32"/>
      <c r="ITB63" s="32"/>
      <c r="ITC63" s="32"/>
      <c r="ITD63" s="32"/>
      <c r="ITE63" s="32"/>
      <c r="ITF63" s="32"/>
      <c r="ITG63" s="32"/>
      <c r="ITH63" s="32"/>
      <c r="ITI63" s="32"/>
      <c r="ITJ63" s="32"/>
      <c r="ITK63" s="32"/>
      <c r="ITL63" s="32"/>
      <c r="ITM63" s="32"/>
      <c r="ITN63" s="32"/>
      <c r="ITO63" s="32"/>
      <c r="ITP63" s="32"/>
      <c r="ITQ63" s="32"/>
      <c r="ITR63" s="32"/>
      <c r="ITS63" s="32"/>
      <c r="ITT63" s="32"/>
      <c r="ITU63" s="32"/>
      <c r="ITV63" s="32"/>
      <c r="ITW63" s="32"/>
      <c r="ITX63" s="32"/>
      <c r="ITY63" s="32"/>
      <c r="ITZ63" s="32"/>
      <c r="IUA63" s="32"/>
      <c r="IUB63" s="32"/>
      <c r="IUC63" s="32"/>
      <c r="IUD63" s="32"/>
      <c r="IUE63" s="32"/>
      <c r="IUF63" s="32"/>
      <c r="IUG63" s="32"/>
      <c r="IUH63" s="32"/>
      <c r="IUI63" s="32"/>
      <c r="IUJ63" s="32"/>
      <c r="IUK63" s="32"/>
      <c r="IUL63" s="32"/>
      <c r="IUM63" s="32"/>
      <c r="IUN63" s="32"/>
      <c r="IUO63" s="32"/>
      <c r="IUP63" s="32"/>
      <c r="IUQ63" s="32"/>
      <c r="IUR63" s="32"/>
      <c r="IUS63" s="32"/>
      <c r="IUT63" s="32"/>
      <c r="IUU63" s="32"/>
      <c r="IUV63" s="32"/>
      <c r="IUW63" s="32"/>
      <c r="IUX63" s="32"/>
      <c r="IUY63" s="32"/>
      <c r="IUZ63" s="32"/>
      <c r="IVA63" s="32"/>
      <c r="IVB63" s="32"/>
      <c r="IVC63" s="32"/>
      <c r="IVD63" s="32"/>
      <c r="IVE63" s="32"/>
      <c r="IVF63" s="32"/>
      <c r="IVG63" s="32"/>
      <c r="IVH63" s="32"/>
      <c r="IVI63" s="32"/>
      <c r="IVJ63" s="32"/>
      <c r="IVK63" s="32"/>
      <c r="IVL63" s="32"/>
      <c r="IVM63" s="32"/>
      <c r="IVN63" s="32"/>
      <c r="IVO63" s="32"/>
      <c r="IVP63" s="32"/>
      <c r="IVQ63" s="32"/>
      <c r="IVR63" s="32"/>
      <c r="IVS63" s="32"/>
      <c r="IVT63" s="32"/>
      <c r="IVU63" s="32"/>
      <c r="IVV63" s="32"/>
      <c r="IVW63" s="32"/>
      <c r="IVX63" s="32"/>
      <c r="IVY63" s="32"/>
      <c r="IVZ63" s="32"/>
      <c r="IWA63" s="32"/>
      <c r="IWB63" s="32"/>
      <c r="IWC63" s="32"/>
      <c r="IWD63" s="32"/>
      <c r="IWE63" s="32"/>
      <c r="IWF63" s="32"/>
      <c r="IWG63" s="32"/>
      <c r="IWH63" s="32"/>
      <c r="IWI63" s="32"/>
      <c r="IWJ63" s="32"/>
      <c r="IWK63" s="32"/>
      <c r="IWL63" s="32"/>
      <c r="IWM63" s="32"/>
      <c r="IWN63" s="32"/>
      <c r="IWO63" s="32"/>
      <c r="IWP63" s="32"/>
      <c r="IWQ63" s="32"/>
      <c r="IWR63" s="32"/>
      <c r="IWS63" s="32"/>
      <c r="IWT63" s="32"/>
      <c r="IWU63" s="32"/>
      <c r="IWV63" s="32"/>
      <c r="IWW63" s="32"/>
      <c r="IWX63" s="32"/>
      <c r="IWY63" s="32"/>
      <c r="IWZ63" s="32"/>
      <c r="IXA63" s="32"/>
      <c r="IXB63" s="32"/>
      <c r="IXC63" s="32"/>
      <c r="IXD63" s="32"/>
      <c r="IXE63" s="32"/>
      <c r="IXF63" s="32"/>
      <c r="IXG63" s="32"/>
      <c r="IXH63" s="32"/>
      <c r="IXI63" s="32"/>
      <c r="IXJ63" s="32"/>
      <c r="IXK63" s="32"/>
      <c r="IXL63" s="32"/>
      <c r="IXM63" s="32"/>
      <c r="IXN63" s="32"/>
      <c r="IXO63" s="32"/>
      <c r="IXP63" s="32"/>
      <c r="IXQ63" s="32"/>
      <c r="IXR63" s="32"/>
      <c r="IXS63" s="32"/>
      <c r="IXT63" s="32"/>
      <c r="IXU63" s="32"/>
      <c r="IXV63" s="32"/>
      <c r="IXW63" s="32"/>
      <c r="IXX63" s="32"/>
      <c r="IXY63" s="32"/>
      <c r="IXZ63" s="32"/>
      <c r="IYA63" s="32"/>
      <c r="IYB63" s="32"/>
      <c r="IYC63" s="32"/>
      <c r="IYD63" s="32"/>
      <c r="IYE63" s="32"/>
      <c r="IYF63" s="32"/>
      <c r="IYG63" s="32"/>
      <c r="IYH63" s="32"/>
      <c r="IYI63" s="32"/>
      <c r="IYJ63" s="32"/>
      <c r="IYK63" s="32"/>
      <c r="IYL63" s="32"/>
      <c r="IYM63" s="32"/>
      <c r="IYN63" s="32"/>
      <c r="IYO63" s="32"/>
      <c r="IYP63" s="32"/>
      <c r="IYQ63" s="32"/>
      <c r="IYR63" s="32"/>
      <c r="IYS63" s="32"/>
      <c r="IYT63" s="32"/>
      <c r="IYU63" s="32"/>
      <c r="IYV63" s="32"/>
      <c r="IYW63" s="32"/>
      <c r="IYX63" s="32"/>
      <c r="IYY63" s="32"/>
      <c r="IYZ63" s="32"/>
      <c r="IZA63" s="32"/>
      <c r="IZB63" s="32"/>
      <c r="IZC63" s="32"/>
      <c r="IZD63" s="32"/>
      <c r="IZE63" s="32"/>
      <c r="IZF63" s="32"/>
      <c r="IZG63" s="32"/>
      <c r="IZH63" s="32"/>
      <c r="IZI63" s="32"/>
      <c r="IZJ63" s="32"/>
      <c r="IZK63" s="32"/>
      <c r="IZL63" s="32"/>
      <c r="IZM63" s="32"/>
      <c r="IZN63" s="32"/>
      <c r="IZO63" s="32"/>
      <c r="IZP63" s="32"/>
      <c r="IZQ63" s="32"/>
      <c r="IZR63" s="32"/>
      <c r="IZS63" s="32"/>
      <c r="IZT63" s="32"/>
      <c r="IZU63" s="32"/>
      <c r="IZV63" s="32"/>
      <c r="IZW63" s="32"/>
      <c r="IZX63" s="32"/>
      <c r="IZY63" s="32"/>
      <c r="IZZ63" s="32"/>
      <c r="JAA63" s="32"/>
      <c r="JAB63" s="32"/>
      <c r="JAC63" s="32"/>
      <c r="JAD63" s="32"/>
      <c r="JAE63" s="32"/>
      <c r="JAF63" s="32"/>
      <c r="JAG63" s="32"/>
      <c r="JAH63" s="32"/>
      <c r="JAI63" s="32"/>
      <c r="JAJ63" s="32"/>
      <c r="JAK63" s="32"/>
      <c r="JAL63" s="32"/>
      <c r="JAM63" s="32"/>
      <c r="JAN63" s="32"/>
      <c r="JAO63" s="32"/>
      <c r="JAP63" s="32"/>
      <c r="JAQ63" s="32"/>
      <c r="JAR63" s="32"/>
      <c r="JAS63" s="32"/>
      <c r="JAT63" s="32"/>
      <c r="JAU63" s="32"/>
      <c r="JAV63" s="32"/>
      <c r="JAW63" s="32"/>
      <c r="JAX63" s="32"/>
      <c r="JAY63" s="32"/>
      <c r="JAZ63" s="32"/>
      <c r="JBA63" s="32"/>
      <c r="JBB63" s="32"/>
      <c r="JBC63" s="32"/>
      <c r="JBD63" s="32"/>
      <c r="JBE63" s="32"/>
      <c r="JBF63" s="32"/>
      <c r="JBG63" s="32"/>
      <c r="JBH63" s="32"/>
      <c r="JBI63" s="32"/>
      <c r="JBJ63" s="32"/>
      <c r="JBK63" s="32"/>
      <c r="JBL63" s="32"/>
      <c r="JBM63" s="32"/>
      <c r="JBN63" s="32"/>
      <c r="JBO63" s="32"/>
      <c r="JBP63" s="32"/>
      <c r="JBQ63" s="32"/>
      <c r="JBR63" s="32"/>
      <c r="JBS63" s="32"/>
      <c r="JBT63" s="32"/>
      <c r="JBU63" s="32"/>
      <c r="JBV63" s="32"/>
      <c r="JBW63" s="32"/>
      <c r="JBX63" s="32"/>
      <c r="JBY63" s="32"/>
      <c r="JBZ63" s="32"/>
      <c r="JCA63" s="32"/>
      <c r="JCB63" s="32"/>
      <c r="JCC63" s="32"/>
      <c r="JCD63" s="32"/>
      <c r="JCE63" s="32"/>
      <c r="JCF63" s="32"/>
      <c r="JCG63" s="32"/>
      <c r="JCH63" s="32"/>
      <c r="JCI63" s="32"/>
      <c r="JCJ63" s="32"/>
      <c r="JCK63" s="32"/>
      <c r="JCL63" s="32"/>
      <c r="JCM63" s="32"/>
      <c r="JCN63" s="32"/>
      <c r="JCO63" s="32"/>
      <c r="JCP63" s="32"/>
      <c r="JCQ63" s="32"/>
      <c r="JCR63" s="32"/>
      <c r="JCS63" s="32"/>
      <c r="JCT63" s="32"/>
      <c r="JCU63" s="32"/>
      <c r="JCV63" s="32"/>
      <c r="JCW63" s="32"/>
      <c r="JCX63" s="32"/>
      <c r="JCY63" s="32"/>
      <c r="JCZ63" s="32"/>
      <c r="JDA63" s="32"/>
      <c r="JDB63" s="32"/>
      <c r="JDC63" s="32"/>
      <c r="JDD63" s="32"/>
      <c r="JDE63" s="32"/>
      <c r="JDF63" s="32"/>
      <c r="JDG63" s="32"/>
      <c r="JDH63" s="32"/>
      <c r="JDI63" s="32"/>
      <c r="JDJ63" s="32"/>
      <c r="JDK63" s="32"/>
      <c r="JDL63" s="32"/>
      <c r="JDM63" s="32"/>
      <c r="JDN63" s="32"/>
      <c r="JDO63" s="32"/>
      <c r="JDP63" s="32"/>
      <c r="JDQ63" s="32"/>
      <c r="JDR63" s="32"/>
      <c r="JDS63" s="32"/>
      <c r="JDT63" s="32"/>
      <c r="JDU63" s="32"/>
      <c r="JDV63" s="32"/>
      <c r="JDW63" s="32"/>
      <c r="JDX63" s="32"/>
      <c r="JDY63" s="32"/>
      <c r="JDZ63" s="32"/>
      <c r="JEA63" s="32"/>
      <c r="JEB63" s="32"/>
      <c r="JEC63" s="32"/>
      <c r="JED63" s="32"/>
      <c r="JEE63" s="32"/>
      <c r="JEF63" s="32"/>
      <c r="JEG63" s="32"/>
      <c r="JEH63" s="32"/>
      <c r="JEI63" s="32"/>
      <c r="JEJ63" s="32"/>
      <c r="JEK63" s="32"/>
      <c r="JEL63" s="32"/>
      <c r="JEM63" s="32"/>
      <c r="JEN63" s="32"/>
      <c r="JEO63" s="32"/>
      <c r="JEP63" s="32"/>
      <c r="JEQ63" s="32"/>
      <c r="JER63" s="32"/>
      <c r="JES63" s="32"/>
      <c r="JET63" s="32"/>
      <c r="JEU63" s="32"/>
      <c r="JEV63" s="32"/>
      <c r="JEW63" s="32"/>
      <c r="JEX63" s="32"/>
      <c r="JEY63" s="32"/>
      <c r="JEZ63" s="32"/>
      <c r="JFA63" s="32"/>
      <c r="JFB63" s="32"/>
      <c r="JFC63" s="32"/>
      <c r="JFD63" s="32"/>
      <c r="JFE63" s="32"/>
      <c r="JFF63" s="32"/>
      <c r="JFG63" s="32"/>
      <c r="JFH63" s="32"/>
      <c r="JFI63" s="32"/>
      <c r="JFJ63" s="32"/>
      <c r="JFK63" s="32"/>
      <c r="JFL63" s="32"/>
      <c r="JFM63" s="32"/>
      <c r="JFN63" s="32"/>
      <c r="JFO63" s="32"/>
      <c r="JFP63" s="32"/>
      <c r="JFQ63" s="32"/>
      <c r="JFR63" s="32"/>
      <c r="JFS63" s="32"/>
      <c r="JFT63" s="32"/>
      <c r="JFU63" s="32"/>
      <c r="JFV63" s="32"/>
      <c r="JFW63" s="32"/>
      <c r="JFX63" s="32"/>
      <c r="JFY63" s="32"/>
      <c r="JFZ63" s="32"/>
      <c r="JGA63" s="32"/>
      <c r="JGB63" s="32"/>
      <c r="JGC63" s="32"/>
      <c r="JGD63" s="32"/>
      <c r="JGE63" s="32"/>
      <c r="JGF63" s="32"/>
      <c r="JGG63" s="32"/>
      <c r="JGH63" s="32"/>
      <c r="JGI63" s="32"/>
      <c r="JGJ63" s="32"/>
      <c r="JGK63" s="32"/>
      <c r="JGL63" s="32"/>
      <c r="JGM63" s="32"/>
      <c r="JGN63" s="32"/>
      <c r="JGO63" s="32"/>
      <c r="JGP63" s="32"/>
      <c r="JGQ63" s="32"/>
      <c r="JGR63" s="32"/>
      <c r="JGS63" s="32"/>
      <c r="JGT63" s="32"/>
      <c r="JGU63" s="32"/>
      <c r="JGV63" s="32"/>
      <c r="JGW63" s="32"/>
      <c r="JGX63" s="32"/>
      <c r="JGY63" s="32"/>
      <c r="JGZ63" s="32"/>
      <c r="JHA63" s="32"/>
      <c r="JHB63" s="32"/>
      <c r="JHC63" s="32"/>
      <c r="JHD63" s="32"/>
      <c r="JHE63" s="32"/>
      <c r="JHF63" s="32"/>
      <c r="JHG63" s="32"/>
      <c r="JHH63" s="32"/>
      <c r="JHI63" s="32"/>
      <c r="JHJ63" s="32"/>
      <c r="JHK63" s="32"/>
      <c r="JHL63" s="32"/>
      <c r="JHM63" s="32"/>
      <c r="JHN63" s="32"/>
      <c r="JHO63" s="32"/>
      <c r="JHP63" s="32"/>
      <c r="JHQ63" s="32"/>
      <c r="JHR63" s="32"/>
      <c r="JHS63" s="32"/>
      <c r="JHT63" s="32"/>
      <c r="JHU63" s="32"/>
      <c r="JHV63" s="32"/>
      <c r="JHW63" s="32"/>
      <c r="JHX63" s="32"/>
      <c r="JHY63" s="32"/>
      <c r="JHZ63" s="32"/>
      <c r="JIA63" s="32"/>
      <c r="JIB63" s="32"/>
      <c r="JIC63" s="32"/>
      <c r="JID63" s="32"/>
      <c r="JIE63" s="32"/>
      <c r="JIF63" s="32"/>
      <c r="JIG63" s="32"/>
      <c r="JIH63" s="32"/>
      <c r="JII63" s="32"/>
      <c r="JIJ63" s="32"/>
      <c r="JIK63" s="32"/>
      <c r="JIL63" s="32"/>
      <c r="JIM63" s="32"/>
      <c r="JIN63" s="32"/>
      <c r="JIO63" s="32"/>
      <c r="JIP63" s="32"/>
      <c r="JIQ63" s="32"/>
      <c r="JIR63" s="32"/>
      <c r="JIS63" s="32"/>
      <c r="JIT63" s="32"/>
      <c r="JIU63" s="32"/>
      <c r="JIV63" s="32"/>
      <c r="JIW63" s="32"/>
      <c r="JIX63" s="32"/>
      <c r="JIY63" s="32"/>
      <c r="JIZ63" s="32"/>
      <c r="JJA63" s="32"/>
      <c r="JJB63" s="32"/>
      <c r="JJC63" s="32"/>
      <c r="JJD63" s="32"/>
      <c r="JJE63" s="32"/>
      <c r="JJF63" s="32"/>
      <c r="JJG63" s="32"/>
      <c r="JJH63" s="32"/>
      <c r="JJI63" s="32"/>
      <c r="JJJ63" s="32"/>
      <c r="JJK63" s="32"/>
      <c r="JJL63" s="32"/>
      <c r="JJM63" s="32"/>
      <c r="JJN63" s="32"/>
      <c r="JJO63" s="32"/>
      <c r="JJP63" s="32"/>
      <c r="JJQ63" s="32"/>
      <c r="JJR63" s="32"/>
      <c r="JJS63" s="32"/>
      <c r="JJT63" s="32"/>
      <c r="JJU63" s="32"/>
      <c r="JJV63" s="32"/>
      <c r="JJW63" s="32"/>
      <c r="JJX63" s="32"/>
      <c r="JJY63" s="32"/>
      <c r="JJZ63" s="32"/>
      <c r="JKA63" s="32"/>
      <c r="JKB63" s="32"/>
      <c r="JKC63" s="32"/>
      <c r="JKD63" s="32"/>
      <c r="JKE63" s="32"/>
      <c r="JKF63" s="32"/>
      <c r="JKG63" s="32"/>
      <c r="JKH63" s="32"/>
      <c r="JKI63" s="32"/>
      <c r="JKJ63" s="32"/>
      <c r="JKK63" s="32"/>
      <c r="JKL63" s="32"/>
      <c r="JKM63" s="32"/>
      <c r="JKN63" s="32"/>
      <c r="JKO63" s="32"/>
      <c r="JKP63" s="32"/>
      <c r="JKQ63" s="32"/>
      <c r="JKR63" s="32"/>
      <c r="JKS63" s="32"/>
      <c r="JKT63" s="32"/>
      <c r="JKU63" s="32"/>
      <c r="JKV63" s="32"/>
      <c r="JKW63" s="32"/>
      <c r="JKX63" s="32"/>
      <c r="JKY63" s="32"/>
      <c r="JKZ63" s="32"/>
      <c r="JLA63" s="32"/>
      <c r="JLB63" s="32"/>
      <c r="JLC63" s="32"/>
      <c r="JLD63" s="32"/>
      <c r="JLE63" s="32"/>
      <c r="JLF63" s="32"/>
      <c r="JLG63" s="32"/>
      <c r="JLH63" s="32"/>
      <c r="JLI63" s="32"/>
      <c r="JLJ63" s="32"/>
      <c r="JLK63" s="32"/>
      <c r="JLL63" s="32"/>
      <c r="JLM63" s="32"/>
      <c r="JLN63" s="32"/>
      <c r="JLO63" s="32"/>
      <c r="JLP63" s="32"/>
      <c r="JLQ63" s="32"/>
      <c r="JLR63" s="32"/>
      <c r="JLS63" s="32"/>
      <c r="JLT63" s="32"/>
      <c r="JLU63" s="32"/>
      <c r="JLV63" s="32"/>
      <c r="JLW63" s="32"/>
      <c r="JLX63" s="32"/>
      <c r="JLY63" s="32"/>
      <c r="JLZ63" s="32"/>
      <c r="JMA63" s="32"/>
      <c r="JMB63" s="32"/>
      <c r="JMC63" s="32"/>
      <c r="JMD63" s="32"/>
      <c r="JME63" s="32"/>
      <c r="JMF63" s="32"/>
      <c r="JMG63" s="32"/>
      <c r="JMH63" s="32"/>
      <c r="JMI63" s="32"/>
      <c r="JMJ63" s="32"/>
      <c r="JMK63" s="32"/>
      <c r="JML63" s="32"/>
      <c r="JMM63" s="32"/>
      <c r="JMN63" s="32"/>
      <c r="JMO63" s="32"/>
      <c r="JMP63" s="32"/>
      <c r="JMQ63" s="32"/>
      <c r="JMR63" s="32"/>
      <c r="JMS63" s="32"/>
      <c r="JMT63" s="32"/>
      <c r="JMU63" s="32"/>
      <c r="JMV63" s="32"/>
      <c r="JMW63" s="32"/>
      <c r="JMX63" s="32"/>
      <c r="JMY63" s="32"/>
      <c r="JMZ63" s="32"/>
      <c r="JNA63" s="32"/>
      <c r="JNB63" s="32"/>
      <c r="JNC63" s="32"/>
      <c r="JND63" s="32"/>
      <c r="JNE63" s="32"/>
      <c r="JNF63" s="32"/>
      <c r="JNG63" s="32"/>
      <c r="JNH63" s="32"/>
      <c r="JNI63" s="32"/>
      <c r="JNJ63" s="32"/>
      <c r="JNK63" s="32"/>
      <c r="JNL63" s="32"/>
      <c r="JNM63" s="32"/>
      <c r="JNN63" s="32"/>
      <c r="JNO63" s="32"/>
      <c r="JNP63" s="32"/>
      <c r="JNQ63" s="32"/>
      <c r="JNR63" s="32"/>
      <c r="JNS63" s="32"/>
      <c r="JNT63" s="32"/>
      <c r="JNU63" s="32"/>
      <c r="JNV63" s="32"/>
      <c r="JNW63" s="32"/>
      <c r="JNX63" s="32"/>
      <c r="JNY63" s="32"/>
      <c r="JNZ63" s="32"/>
      <c r="JOA63" s="32"/>
      <c r="JOB63" s="32"/>
      <c r="JOC63" s="32"/>
      <c r="JOD63" s="32"/>
      <c r="JOE63" s="32"/>
      <c r="JOF63" s="32"/>
      <c r="JOG63" s="32"/>
      <c r="JOH63" s="32"/>
      <c r="JOI63" s="32"/>
      <c r="JOJ63" s="32"/>
      <c r="JOK63" s="32"/>
      <c r="JOL63" s="32"/>
      <c r="JOM63" s="32"/>
      <c r="JON63" s="32"/>
      <c r="JOO63" s="32"/>
      <c r="JOP63" s="32"/>
      <c r="JOQ63" s="32"/>
      <c r="JOR63" s="32"/>
      <c r="JOS63" s="32"/>
      <c r="JOT63" s="32"/>
      <c r="JOU63" s="32"/>
      <c r="JOV63" s="32"/>
      <c r="JOW63" s="32"/>
      <c r="JOX63" s="32"/>
      <c r="JOY63" s="32"/>
      <c r="JOZ63" s="32"/>
      <c r="JPA63" s="32"/>
      <c r="JPB63" s="32"/>
      <c r="JPC63" s="32"/>
      <c r="JPD63" s="32"/>
      <c r="JPE63" s="32"/>
      <c r="JPF63" s="32"/>
      <c r="JPG63" s="32"/>
      <c r="JPH63" s="32"/>
      <c r="JPI63" s="32"/>
      <c r="JPJ63" s="32"/>
      <c r="JPK63" s="32"/>
      <c r="JPL63" s="32"/>
      <c r="JPM63" s="32"/>
      <c r="JPN63" s="32"/>
      <c r="JPO63" s="32"/>
      <c r="JPP63" s="32"/>
      <c r="JPQ63" s="32"/>
      <c r="JPR63" s="32"/>
      <c r="JPS63" s="32"/>
      <c r="JPT63" s="32"/>
      <c r="JPU63" s="32"/>
      <c r="JPV63" s="32"/>
      <c r="JPW63" s="32"/>
      <c r="JPX63" s="32"/>
      <c r="JPY63" s="32"/>
      <c r="JPZ63" s="32"/>
      <c r="JQA63" s="32"/>
      <c r="JQB63" s="32"/>
      <c r="JQC63" s="32"/>
      <c r="JQD63" s="32"/>
      <c r="JQE63" s="32"/>
      <c r="JQF63" s="32"/>
      <c r="JQG63" s="32"/>
      <c r="JQH63" s="32"/>
      <c r="JQI63" s="32"/>
      <c r="JQJ63" s="32"/>
      <c r="JQK63" s="32"/>
      <c r="JQL63" s="32"/>
      <c r="JQM63" s="32"/>
      <c r="JQN63" s="32"/>
      <c r="JQO63" s="32"/>
      <c r="JQP63" s="32"/>
      <c r="JQQ63" s="32"/>
      <c r="JQR63" s="32"/>
      <c r="JQS63" s="32"/>
      <c r="JQT63" s="32"/>
      <c r="JQU63" s="32"/>
      <c r="JQV63" s="32"/>
      <c r="JQW63" s="32"/>
      <c r="JQX63" s="32"/>
      <c r="JQY63" s="32"/>
      <c r="JQZ63" s="32"/>
      <c r="JRA63" s="32"/>
      <c r="JRB63" s="32"/>
      <c r="JRC63" s="32"/>
      <c r="JRD63" s="32"/>
      <c r="JRE63" s="32"/>
      <c r="JRF63" s="32"/>
      <c r="JRG63" s="32"/>
      <c r="JRH63" s="32"/>
      <c r="JRI63" s="32"/>
      <c r="JRJ63" s="32"/>
      <c r="JRK63" s="32"/>
      <c r="JRL63" s="32"/>
      <c r="JRM63" s="32"/>
      <c r="JRN63" s="32"/>
      <c r="JRO63" s="32"/>
      <c r="JRP63" s="32"/>
      <c r="JRQ63" s="32"/>
      <c r="JRR63" s="32"/>
      <c r="JRS63" s="32"/>
      <c r="JRT63" s="32"/>
      <c r="JRU63" s="32"/>
      <c r="JRV63" s="32"/>
      <c r="JRW63" s="32"/>
      <c r="JRX63" s="32"/>
      <c r="JRY63" s="32"/>
      <c r="JRZ63" s="32"/>
      <c r="JSA63" s="32"/>
      <c r="JSB63" s="32"/>
      <c r="JSC63" s="32"/>
      <c r="JSD63" s="32"/>
      <c r="JSE63" s="32"/>
      <c r="JSF63" s="32"/>
      <c r="JSG63" s="32"/>
      <c r="JSH63" s="32"/>
      <c r="JSI63" s="32"/>
      <c r="JSJ63" s="32"/>
      <c r="JSK63" s="32"/>
      <c r="JSL63" s="32"/>
      <c r="JSM63" s="32"/>
      <c r="JSN63" s="32"/>
      <c r="JSO63" s="32"/>
      <c r="JSP63" s="32"/>
      <c r="JSQ63" s="32"/>
      <c r="JSR63" s="32"/>
      <c r="JSS63" s="32"/>
      <c r="JST63" s="32"/>
      <c r="JSU63" s="32"/>
      <c r="JSV63" s="32"/>
      <c r="JSW63" s="32"/>
      <c r="JSX63" s="32"/>
      <c r="JSY63" s="32"/>
      <c r="JSZ63" s="32"/>
      <c r="JTA63" s="32"/>
      <c r="JTB63" s="32"/>
      <c r="JTC63" s="32"/>
      <c r="JTD63" s="32"/>
      <c r="JTE63" s="32"/>
      <c r="JTF63" s="32"/>
      <c r="JTG63" s="32"/>
      <c r="JTH63" s="32"/>
      <c r="JTI63" s="32"/>
      <c r="JTJ63" s="32"/>
      <c r="JTK63" s="32"/>
      <c r="JTL63" s="32"/>
      <c r="JTM63" s="32"/>
      <c r="JTN63" s="32"/>
      <c r="JTO63" s="32"/>
      <c r="JTP63" s="32"/>
      <c r="JTQ63" s="32"/>
      <c r="JTR63" s="32"/>
      <c r="JTS63" s="32"/>
      <c r="JTT63" s="32"/>
      <c r="JTU63" s="32"/>
      <c r="JTV63" s="32"/>
      <c r="JTW63" s="32"/>
      <c r="JTX63" s="32"/>
      <c r="JTY63" s="32"/>
      <c r="JTZ63" s="32"/>
      <c r="JUA63" s="32"/>
      <c r="JUB63" s="32"/>
      <c r="JUC63" s="32"/>
      <c r="JUD63" s="32"/>
      <c r="JUE63" s="32"/>
      <c r="JUF63" s="32"/>
      <c r="JUG63" s="32"/>
      <c r="JUH63" s="32"/>
      <c r="JUI63" s="32"/>
      <c r="JUJ63" s="32"/>
      <c r="JUK63" s="32"/>
      <c r="JUL63" s="32"/>
      <c r="JUM63" s="32"/>
      <c r="JUN63" s="32"/>
      <c r="JUO63" s="32"/>
      <c r="JUP63" s="32"/>
      <c r="JUQ63" s="32"/>
      <c r="JUR63" s="32"/>
      <c r="JUS63" s="32"/>
      <c r="JUT63" s="32"/>
      <c r="JUU63" s="32"/>
      <c r="JUV63" s="32"/>
      <c r="JUW63" s="32"/>
      <c r="JUX63" s="32"/>
      <c r="JUY63" s="32"/>
      <c r="JUZ63" s="32"/>
      <c r="JVA63" s="32"/>
      <c r="JVB63" s="32"/>
      <c r="JVC63" s="32"/>
      <c r="JVD63" s="32"/>
      <c r="JVE63" s="32"/>
      <c r="JVF63" s="32"/>
      <c r="JVG63" s="32"/>
      <c r="JVH63" s="32"/>
      <c r="JVI63" s="32"/>
      <c r="JVJ63" s="32"/>
      <c r="JVK63" s="32"/>
      <c r="JVL63" s="32"/>
      <c r="JVM63" s="32"/>
      <c r="JVN63" s="32"/>
      <c r="JVO63" s="32"/>
      <c r="JVP63" s="32"/>
      <c r="JVQ63" s="32"/>
      <c r="JVR63" s="32"/>
      <c r="JVS63" s="32"/>
      <c r="JVT63" s="32"/>
      <c r="JVU63" s="32"/>
      <c r="JVV63" s="32"/>
      <c r="JVW63" s="32"/>
      <c r="JVX63" s="32"/>
      <c r="JVY63" s="32"/>
      <c r="JVZ63" s="32"/>
      <c r="JWA63" s="32"/>
      <c r="JWB63" s="32"/>
      <c r="JWC63" s="32"/>
      <c r="JWD63" s="32"/>
      <c r="JWE63" s="32"/>
      <c r="JWF63" s="32"/>
      <c r="JWG63" s="32"/>
      <c r="JWH63" s="32"/>
      <c r="JWI63" s="32"/>
      <c r="JWJ63" s="32"/>
      <c r="JWK63" s="32"/>
      <c r="JWL63" s="32"/>
      <c r="JWM63" s="32"/>
      <c r="JWN63" s="32"/>
      <c r="JWO63" s="32"/>
      <c r="JWP63" s="32"/>
      <c r="JWQ63" s="32"/>
      <c r="JWR63" s="32"/>
      <c r="JWS63" s="32"/>
      <c r="JWT63" s="32"/>
      <c r="JWU63" s="32"/>
      <c r="JWV63" s="32"/>
      <c r="JWW63" s="32"/>
      <c r="JWX63" s="32"/>
      <c r="JWY63" s="32"/>
      <c r="JWZ63" s="32"/>
      <c r="JXA63" s="32"/>
      <c r="JXB63" s="32"/>
      <c r="JXC63" s="32"/>
      <c r="JXD63" s="32"/>
      <c r="JXE63" s="32"/>
      <c r="JXF63" s="32"/>
      <c r="JXG63" s="32"/>
      <c r="JXH63" s="32"/>
      <c r="JXI63" s="32"/>
      <c r="JXJ63" s="32"/>
      <c r="JXK63" s="32"/>
      <c r="JXL63" s="32"/>
      <c r="JXM63" s="32"/>
      <c r="JXN63" s="32"/>
      <c r="JXO63" s="32"/>
      <c r="JXP63" s="32"/>
      <c r="JXQ63" s="32"/>
      <c r="JXR63" s="32"/>
      <c r="JXS63" s="32"/>
      <c r="JXT63" s="32"/>
      <c r="JXU63" s="32"/>
      <c r="JXV63" s="32"/>
      <c r="JXW63" s="32"/>
      <c r="JXX63" s="32"/>
      <c r="JXY63" s="32"/>
      <c r="JXZ63" s="32"/>
      <c r="JYA63" s="32"/>
      <c r="JYB63" s="32"/>
      <c r="JYC63" s="32"/>
      <c r="JYD63" s="32"/>
      <c r="JYE63" s="32"/>
      <c r="JYF63" s="32"/>
      <c r="JYG63" s="32"/>
      <c r="JYH63" s="32"/>
      <c r="JYI63" s="32"/>
      <c r="JYJ63" s="32"/>
      <c r="JYK63" s="32"/>
      <c r="JYL63" s="32"/>
      <c r="JYM63" s="32"/>
      <c r="JYN63" s="32"/>
      <c r="JYO63" s="32"/>
      <c r="JYP63" s="32"/>
      <c r="JYQ63" s="32"/>
      <c r="JYR63" s="32"/>
      <c r="JYS63" s="32"/>
      <c r="JYT63" s="32"/>
      <c r="JYU63" s="32"/>
      <c r="JYV63" s="32"/>
      <c r="JYW63" s="32"/>
      <c r="JYX63" s="32"/>
      <c r="JYY63" s="32"/>
      <c r="JYZ63" s="32"/>
      <c r="JZA63" s="32"/>
      <c r="JZB63" s="32"/>
      <c r="JZC63" s="32"/>
      <c r="JZD63" s="32"/>
      <c r="JZE63" s="32"/>
      <c r="JZF63" s="32"/>
      <c r="JZG63" s="32"/>
      <c r="JZH63" s="32"/>
      <c r="JZI63" s="32"/>
      <c r="JZJ63" s="32"/>
      <c r="JZK63" s="32"/>
      <c r="JZL63" s="32"/>
      <c r="JZM63" s="32"/>
      <c r="JZN63" s="32"/>
      <c r="JZO63" s="32"/>
      <c r="JZP63" s="32"/>
      <c r="JZQ63" s="32"/>
      <c r="JZR63" s="32"/>
      <c r="JZS63" s="32"/>
      <c r="JZT63" s="32"/>
      <c r="JZU63" s="32"/>
      <c r="JZV63" s="32"/>
      <c r="JZW63" s="32"/>
      <c r="JZX63" s="32"/>
      <c r="JZY63" s="32"/>
      <c r="JZZ63" s="32"/>
      <c r="KAA63" s="32"/>
      <c r="KAB63" s="32"/>
      <c r="KAC63" s="32"/>
      <c r="KAD63" s="32"/>
      <c r="KAE63" s="32"/>
      <c r="KAF63" s="32"/>
      <c r="KAG63" s="32"/>
      <c r="KAH63" s="32"/>
      <c r="KAI63" s="32"/>
      <c r="KAJ63" s="32"/>
      <c r="KAK63" s="32"/>
      <c r="KAL63" s="32"/>
      <c r="KAM63" s="32"/>
      <c r="KAN63" s="32"/>
      <c r="KAO63" s="32"/>
      <c r="KAP63" s="32"/>
      <c r="KAQ63" s="32"/>
      <c r="KAR63" s="32"/>
      <c r="KAS63" s="32"/>
      <c r="KAT63" s="32"/>
      <c r="KAU63" s="32"/>
      <c r="KAV63" s="32"/>
      <c r="KAW63" s="32"/>
      <c r="KAX63" s="32"/>
      <c r="KAY63" s="32"/>
      <c r="KAZ63" s="32"/>
      <c r="KBA63" s="32"/>
      <c r="KBB63" s="32"/>
      <c r="KBC63" s="32"/>
      <c r="KBD63" s="32"/>
      <c r="KBE63" s="32"/>
      <c r="KBF63" s="32"/>
      <c r="KBG63" s="32"/>
      <c r="KBH63" s="32"/>
      <c r="KBI63" s="32"/>
      <c r="KBJ63" s="32"/>
      <c r="KBK63" s="32"/>
      <c r="KBL63" s="32"/>
      <c r="KBM63" s="32"/>
      <c r="KBN63" s="32"/>
      <c r="KBO63" s="32"/>
      <c r="KBP63" s="32"/>
      <c r="KBQ63" s="32"/>
      <c r="KBR63" s="32"/>
      <c r="KBS63" s="32"/>
      <c r="KBT63" s="32"/>
      <c r="KBU63" s="32"/>
      <c r="KBV63" s="32"/>
      <c r="KBW63" s="32"/>
      <c r="KBX63" s="32"/>
      <c r="KBY63" s="32"/>
      <c r="KBZ63" s="32"/>
      <c r="KCA63" s="32"/>
      <c r="KCB63" s="32"/>
      <c r="KCC63" s="32"/>
      <c r="KCD63" s="32"/>
      <c r="KCE63" s="32"/>
      <c r="KCF63" s="32"/>
      <c r="KCG63" s="32"/>
      <c r="KCH63" s="32"/>
      <c r="KCI63" s="32"/>
      <c r="KCJ63" s="32"/>
      <c r="KCK63" s="32"/>
      <c r="KCL63" s="32"/>
      <c r="KCM63" s="32"/>
      <c r="KCN63" s="32"/>
      <c r="KCO63" s="32"/>
      <c r="KCP63" s="32"/>
      <c r="KCQ63" s="32"/>
      <c r="KCR63" s="32"/>
      <c r="KCS63" s="32"/>
      <c r="KCT63" s="32"/>
      <c r="KCU63" s="32"/>
      <c r="KCV63" s="32"/>
      <c r="KCW63" s="32"/>
      <c r="KCX63" s="32"/>
      <c r="KCY63" s="32"/>
      <c r="KCZ63" s="32"/>
      <c r="KDA63" s="32"/>
      <c r="KDB63" s="32"/>
      <c r="KDC63" s="32"/>
      <c r="KDD63" s="32"/>
      <c r="KDE63" s="32"/>
      <c r="KDF63" s="32"/>
      <c r="KDG63" s="32"/>
      <c r="KDH63" s="32"/>
      <c r="KDI63" s="32"/>
      <c r="KDJ63" s="32"/>
      <c r="KDK63" s="32"/>
      <c r="KDL63" s="32"/>
      <c r="KDM63" s="32"/>
      <c r="KDN63" s="32"/>
      <c r="KDO63" s="32"/>
      <c r="KDP63" s="32"/>
      <c r="KDQ63" s="32"/>
      <c r="KDR63" s="32"/>
      <c r="KDS63" s="32"/>
      <c r="KDT63" s="32"/>
      <c r="KDU63" s="32"/>
      <c r="KDV63" s="32"/>
      <c r="KDW63" s="32"/>
      <c r="KDX63" s="32"/>
      <c r="KDY63" s="32"/>
      <c r="KDZ63" s="32"/>
      <c r="KEA63" s="32"/>
      <c r="KEB63" s="32"/>
      <c r="KEC63" s="32"/>
      <c r="KED63" s="32"/>
      <c r="KEE63" s="32"/>
      <c r="KEF63" s="32"/>
      <c r="KEG63" s="32"/>
      <c r="KEH63" s="32"/>
      <c r="KEI63" s="32"/>
      <c r="KEJ63" s="32"/>
      <c r="KEK63" s="32"/>
      <c r="KEL63" s="32"/>
      <c r="KEM63" s="32"/>
      <c r="KEN63" s="32"/>
      <c r="KEO63" s="32"/>
      <c r="KEP63" s="32"/>
      <c r="KEQ63" s="32"/>
      <c r="KER63" s="32"/>
      <c r="KES63" s="32"/>
      <c r="KET63" s="32"/>
      <c r="KEU63" s="32"/>
      <c r="KEV63" s="32"/>
      <c r="KEW63" s="32"/>
      <c r="KEX63" s="32"/>
      <c r="KEY63" s="32"/>
      <c r="KEZ63" s="32"/>
      <c r="KFA63" s="32"/>
      <c r="KFB63" s="32"/>
      <c r="KFC63" s="32"/>
      <c r="KFD63" s="32"/>
      <c r="KFE63" s="32"/>
      <c r="KFF63" s="32"/>
      <c r="KFG63" s="32"/>
      <c r="KFH63" s="32"/>
      <c r="KFI63" s="32"/>
      <c r="KFJ63" s="32"/>
      <c r="KFK63" s="32"/>
      <c r="KFL63" s="32"/>
      <c r="KFM63" s="32"/>
      <c r="KFN63" s="32"/>
      <c r="KFO63" s="32"/>
      <c r="KFP63" s="32"/>
      <c r="KFQ63" s="32"/>
      <c r="KFR63" s="32"/>
      <c r="KFS63" s="32"/>
      <c r="KFT63" s="32"/>
      <c r="KFU63" s="32"/>
      <c r="KFV63" s="32"/>
      <c r="KFW63" s="32"/>
      <c r="KFX63" s="32"/>
      <c r="KFY63" s="32"/>
      <c r="KFZ63" s="32"/>
      <c r="KGA63" s="32"/>
      <c r="KGB63" s="32"/>
      <c r="KGC63" s="32"/>
      <c r="KGD63" s="32"/>
      <c r="KGE63" s="32"/>
      <c r="KGF63" s="32"/>
      <c r="KGG63" s="32"/>
      <c r="KGH63" s="32"/>
      <c r="KGI63" s="32"/>
      <c r="KGJ63" s="32"/>
      <c r="KGK63" s="32"/>
      <c r="KGL63" s="32"/>
      <c r="KGM63" s="32"/>
      <c r="KGN63" s="32"/>
      <c r="KGO63" s="32"/>
      <c r="KGP63" s="32"/>
      <c r="KGQ63" s="32"/>
      <c r="KGR63" s="32"/>
      <c r="KGS63" s="32"/>
      <c r="KGT63" s="32"/>
      <c r="KGU63" s="32"/>
      <c r="KGV63" s="32"/>
      <c r="KGW63" s="32"/>
      <c r="KGX63" s="32"/>
      <c r="KGY63" s="32"/>
      <c r="KGZ63" s="32"/>
      <c r="KHA63" s="32"/>
      <c r="KHB63" s="32"/>
      <c r="KHC63" s="32"/>
      <c r="KHD63" s="32"/>
      <c r="KHE63" s="32"/>
      <c r="KHF63" s="32"/>
      <c r="KHG63" s="32"/>
      <c r="KHH63" s="32"/>
      <c r="KHI63" s="32"/>
      <c r="KHJ63" s="32"/>
      <c r="KHK63" s="32"/>
      <c r="KHL63" s="32"/>
      <c r="KHM63" s="32"/>
      <c r="KHN63" s="32"/>
      <c r="KHO63" s="32"/>
      <c r="KHP63" s="32"/>
      <c r="KHQ63" s="32"/>
      <c r="KHR63" s="32"/>
      <c r="KHS63" s="32"/>
      <c r="KHT63" s="32"/>
      <c r="KHU63" s="32"/>
      <c r="KHV63" s="32"/>
      <c r="KHW63" s="32"/>
      <c r="KHX63" s="32"/>
      <c r="KHY63" s="32"/>
      <c r="KHZ63" s="32"/>
      <c r="KIA63" s="32"/>
      <c r="KIB63" s="32"/>
      <c r="KIC63" s="32"/>
      <c r="KID63" s="32"/>
      <c r="KIE63" s="32"/>
      <c r="KIF63" s="32"/>
      <c r="KIG63" s="32"/>
      <c r="KIH63" s="32"/>
      <c r="KII63" s="32"/>
      <c r="KIJ63" s="32"/>
      <c r="KIK63" s="32"/>
      <c r="KIL63" s="32"/>
      <c r="KIM63" s="32"/>
      <c r="KIN63" s="32"/>
      <c r="KIO63" s="32"/>
      <c r="KIP63" s="32"/>
      <c r="KIQ63" s="32"/>
      <c r="KIR63" s="32"/>
      <c r="KIS63" s="32"/>
      <c r="KIT63" s="32"/>
      <c r="KIU63" s="32"/>
      <c r="KIV63" s="32"/>
      <c r="KIW63" s="32"/>
      <c r="KIX63" s="32"/>
      <c r="KIY63" s="32"/>
      <c r="KIZ63" s="32"/>
      <c r="KJA63" s="32"/>
      <c r="KJB63" s="32"/>
      <c r="KJC63" s="32"/>
      <c r="KJD63" s="32"/>
      <c r="KJE63" s="32"/>
      <c r="KJF63" s="32"/>
      <c r="KJG63" s="32"/>
      <c r="KJH63" s="32"/>
      <c r="KJI63" s="32"/>
      <c r="KJJ63" s="32"/>
      <c r="KJK63" s="32"/>
      <c r="KJL63" s="32"/>
      <c r="KJM63" s="32"/>
      <c r="KJN63" s="32"/>
      <c r="KJO63" s="32"/>
      <c r="KJP63" s="32"/>
      <c r="KJQ63" s="32"/>
      <c r="KJR63" s="32"/>
      <c r="KJS63" s="32"/>
      <c r="KJT63" s="32"/>
      <c r="KJU63" s="32"/>
      <c r="KJV63" s="32"/>
      <c r="KJW63" s="32"/>
      <c r="KJX63" s="32"/>
      <c r="KJY63" s="32"/>
      <c r="KJZ63" s="32"/>
      <c r="KKA63" s="32"/>
      <c r="KKB63" s="32"/>
      <c r="KKC63" s="32"/>
      <c r="KKD63" s="32"/>
      <c r="KKE63" s="32"/>
      <c r="KKF63" s="32"/>
      <c r="KKG63" s="32"/>
      <c r="KKH63" s="32"/>
      <c r="KKI63" s="32"/>
      <c r="KKJ63" s="32"/>
      <c r="KKK63" s="32"/>
      <c r="KKL63" s="32"/>
      <c r="KKM63" s="32"/>
      <c r="KKN63" s="32"/>
      <c r="KKO63" s="32"/>
      <c r="KKP63" s="32"/>
      <c r="KKQ63" s="32"/>
      <c r="KKR63" s="32"/>
      <c r="KKS63" s="32"/>
      <c r="KKT63" s="32"/>
      <c r="KKU63" s="32"/>
      <c r="KKV63" s="32"/>
      <c r="KKW63" s="32"/>
      <c r="KKX63" s="32"/>
      <c r="KKY63" s="32"/>
      <c r="KKZ63" s="32"/>
      <c r="KLA63" s="32"/>
      <c r="KLB63" s="32"/>
      <c r="KLC63" s="32"/>
      <c r="KLD63" s="32"/>
      <c r="KLE63" s="32"/>
      <c r="KLF63" s="32"/>
      <c r="KLG63" s="32"/>
      <c r="KLH63" s="32"/>
      <c r="KLI63" s="32"/>
      <c r="KLJ63" s="32"/>
      <c r="KLK63" s="32"/>
      <c r="KLL63" s="32"/>
      <c r="KLM63" s="32"/>
      <c r="KLN63" s="32"/>
      <c r="KLO63" s="32"/>
      <c r="KLP63" s="32"/>
      <c r="KLQ63" s="32"/>
      <c r="KLR63" s="32"/>
      <c r="KLS63" s="32"/>
      <c r="KLT63" s="32"/>
      <c r="KLU63" s="32"/>
      <c r="KLV63" s="32"/>
      <c r="KLW63" s="32"/>
      <c r="KLX63" s="32"/>
      <c r="KLY63" s="32"/>
      <c r="KLZ63" s="32"/>
      <c r="KMA63" s="32"/>
      <c r="KMB63" s="32"/>
      <c r="KMC63" s="32"/>
      <c r="KMD63" s="32"/>
      <c r="KME63" s="32"/>
      <c r="KMF63" s="32"/>
      <c r="KMG63" s="32"/>
      <c r="KMH63" s="32"/>
      <c r="KMI63" s="32"/>
      <c r="KMJ63" s="32"/>
      <c r="KMK63" s="32"/>
      <c r="KML63" s="32"/>
      <c r="KMM63" s="32"/>
      <c r="KMN63" s="32"/>
      <c r="KMO63" s="32"/>
      <c r="KMP63" s="32"/>
      <c r="KMQ63" s="32"/>
      <c r="KMR63" s="32"/>
      <c r="KMS63" s="32"/>
      <c r="KMT63" s="32"/>
      <c r="KMU63" s="32"/>
      <c r="KMV63" s="32"/>
      <c r="KMW63" s="32"/>
      <c r="KMX63" s="32"/>
      <c r="KMY63" s="32"/>
      <c r="KMZ63" s="32"/>
      <c r="KNA63" s="32"/>
      <c r="KNB63" s="32"/>
      <c r="KNC63" s="32"/>
      <c r="KND63" s="32"/>
      <c r="KNE63" s="32"/>
      <c r="KNF63" s="32"/>
      <c r="KNG63" s="32"/>
      <c r="KNH63" s="32"/>
      <c r="KNI63" s="32"/>
      <c r="KNJ63" s="32"/>
      <c r="KNK63" s="32"/>
      <c r="KNL63" s="32"/>
      <c r="KNM63" s="32"/>
      <c r="KNN63" s="32"/>
      <c r="KNO63" s="32"/>
      <c r="KNP63" s="32"/>
      <c r="KNQ63" s="32"/>
      <c r="KNR63" s="32"/>
      <c r="KNS63" s="32"/>
      <c r="KNT63" s="32"/>
      <c r="KNU63" s="32"/>
      <c r="KNV63" s="32"/>
      <c r="KNW63" s="32"/>
      <c r="KNX63" s="32"/>
      <c r="KNY63" s="32"/>
      <c r="KNZ63" s="32"/>
      <c r="KOA63" s="32"/>
      <c r="KOB63" s="32"/>
      <c r="KOC63" s="32"/>
      <c r="KOD63" s="32"/>
      <c r="KOE63" s="32"/>
      <c r="KOF63" s="32"/>
      <c r="KOG63" s="32"/>
      <c r="KOH63" s="32"/>
      <c r="KOI63" s="32"/>
      <c r="KOJ63" s="32"/>
      <c r="KOK63" s="32"/>
      <c r="KOL63" s="32"/>
      <c r="KOM63" s="32"/>
      <c r="KON63" s="32"/>
      <c r="KOO63" s="32"/>
      <c r="KOP63" s="32"/>
      <c r="KOQ63" s="32"/>
      <c r="KOR63" s="32"/>
      <c r="KOS63" s="32"/>
      <c r="KOT63" s="32"/>
      <c r="KOU63" s="32"/>
      <c r="KOV63" s="32"/>
      <c r="KOW63" s="32"/>
      <c r="KOX63" s="32"/>
      <c r="KOY63" s="32"/>
      <c r="KOZ63" s="32"/>
      <c r="KPA63" s="32"/>
      <c r="KPB63" s="32"/>
      <c r="KPC63" s="32"/>
      <c r="KPD63" s="32"/>
      <c r="KPE63" s="32"/>
      <c r="KPF63" s="32"/>
      <c r="KPG63" s="32"/>
      <c r="KPH63" s="32"/>
      <c r="KPI63" s="32"/>
      <c r="KPJ63" s="32"/>
      <c r="KPK63" s="32"/>
      <c r="KPL63" s="32"/>
      <c r="KPM63" s="32"/>
      <c r="KPN63" s="32"/>
      <c r="KPO63" s="32"/>
      <c r="KPP63" s="32"/>
      <c r="KPQ63" s="32"/>
      <c r="KPR63" s="32"/>
      <c r="KPS63" s="32"/>
      <c r="KPT63" s="32"/>
      <c r="KPU63" s="32"/>
      <c r="KPV63" s="32"/>
      <c r="KPW63" s="32"/>
      <c r="KPX63" s="32"/>
      <c r="KPY63" s="32"/>
      <c r="KPZ63" s="32"/>
      <c r="KQA63" s="32"/>
      <c r="KQB63" s="32"/>
      <c r="KQC63" s="32"/>
      <c r="KQD63" s="32"/>
      <c r="KQE63" s="32"/>
      <c r="KQF63" s="32"/>
      <c r="KQG63" s="32"/>
      <c r="KQH63" s="32"/>
      <c r="KQI63" s="32"/>
      <c r="KQJ63" s="32"/>
      <c r="KQK63" s="32"/>
      <c r="KQL63" s="32"/>
      <c r="KQM63" s="32"/>
      <c r="KQN63" s="32"/>
      <c r="KQO63" s="32"/>
      <c r="KQP63" s="32"/>
      <c r="KQQ63" s="32"/>
      <c r="KQR63" s="32"/>
      <c r="KQS63" s="32"/>
      <c r="KQT63" s="32"/>
      <c r="KQU63" s="32"/>
      <c r="KQV63" s="32"/>
      <c r="KQW63" s="32"/>
      <c r="KQX63" s="32"/>
      <c r="KQY63" s="32"/>
      <c r="KQZ63" s="32"/>
      <c r="KRA63" s="32"/>
      <c r="KRB63" s="32"/>
      <c r="KRC63" s="32"/>
      <c r="KRD63" s="32"/>
      <c r="KRE63" s="32"/>
      <c r="KRF63" s="32"/>
      <c r="KRG63" s="32"/>
      <c r="KRH63" s="32"/>
      <c r="KRI63" s="32"/>
      <c r="KRJ63" s="32"/>
      <c r="KRK63" s="32"/>
      <c r="KRL63" s="32"/>
      <c r="KRM63" s="32"/>
      <c r="KRN63" s="32"/>
      <c r="KRO63" s="32"/>
      <c r="KRP63" s="32"/>
      <c r="KRQ63" s="32"/>
      <c r="KRR63" s="32"/>
      <c r="KRS63" s="32"/>
      <c r="KRT63" s="32"/>
      <c r="KRU63" s="32"/>
      <c r="KRV63" s="32"/>
      <c r="KRW63" s="32"/>
      <c r="KRX63" s="32"/>
      <c r="KRY63" s="32"/>
      <c r="KRZ63" s="32"/>
      <c r="KSA63" s="32"/>
      <c r="KSB63" s="32"/>
      <c r="KSC63" s="32"/>
      <c r="KSD63" s="32"/>
      <c r="KSE63" s="32"/>
      <c r="KSF63" s="32"/>
      <c r="KSG63" s="32"/>
      <c r="KSH63" s="32"/>
      <c r="KSI63" s="32"/>
      <c r="KSJ63" s="32"/>
      <c r="KSK63" s="32"/>
      <c r="KSL63" s="32"/>
      <c r="KSM63" s="32"/>
      <c r="KSN63" s="32"/>
      <c r="KSO63" s="32"/>
      <c r="KSP63" s="32"/>
      <c r="KSQ63" s="32"/>
      <c r="KSR63" s="32"/>
      <c r="KSS63" s="32"/>
      <c r="KST63" s="32"/>
      <c r="KSU63" s="32"/>
      <c r="KSV63" s="32"/>
      <c r="KSW63" s="32"/>
      <c r="KSX63" s="32"/>
      <c r="KSY63" s="32"/>
      <c r="KSZ63" s="32"/>
      <c r="KTA63" s="32"/>
      <c r="KTB63" s="32"/>
      <c r="KTC63" s="32"/>
      <c r="KTD63" s="32"/>
      <c r="KTE63" s="32"/>
      <c r="KTF63" s="32"/>
      <c r="KTG63" s="32"/>
      <c r="KTH63" s="32"/>
      <c r="KTI63" s="32"/>
      <c r="KTJ63" s="32"/>
      <c r="KTK63" s="32"/>
      <c r="KTL63" s="32"/>
      <c r="KTM63" s="32"/>
      <c r="KTN63" s="32"/>
      <c r="KTO63" s="32"/>
      <c r="KTP63" s="32"/>
      <c r="KTQ63" s="32"/>
      <c r="KTR63" s="32"/>
      <c r="KTS63" s="32"/>
      <c r="KTT63" s="32"/>
      <c r="KTU63" s="32"/>
      <c r="KTV63" s="32"/>
      <c r="KTW63" s="32"/>
      <c r="KTX63" s="32"/>
      <c r="KTY63" s="32"/>
      <c r="KTZ63" s="32"/>
      <c r="KUA63" s="32"/>
      <c r="KUB63" s="32"/>
      <c r="KUC63" s="32"/>
      <c r="KUD63" s="32"/>
      <c r="KUE63" s="32"/>
      <c r="KUF63" s="32"/>
      <c r="KUG63" s="32"/>
      <c r="KUH63" s="32"/>
      <c r="KUI63" s="32"/>
      <c r="KUJ63" s="32"/>
      <c r="KUK63" s="32"/>
      <c r="KUL63" s="32"/>
      <c r="KUM63" s="32"/>
      <c r="KUN63" s="32"/>
      <c r="KUO63" s="32"/>
      <c r="KUP63" s="32"/>
      <c r="KUQ63" s="32"/>
      <c r="KUR63" s="32"/>
      <c r="KUS63" s="32"/>
      <c r="KUT63" s="32"/>
      <c r="KUU63" s="32"/>
      <c r="KUV63" s="32"/>
      <c r="KUW63" s="32"/>
      <c r="KUX63" s="32"/>
      <c r="KUY63" s="32"/>
      <c r="KUZ63" s="32"/>
      <c r="KVA63" s="32"/>
      <c r="KVB63" s="32"/>
      <c r="KVC63" s="32"/>
      <c r="KVD63" s="32"/>
      <c r="KVE63" s="32"/>
      <c r="KVF63" s="32"/>
      <c r="KVG63" s="32"/>
      <c r="KVH63" s="32"/>
      <c r="KVI63" s="32"/>
      <c r="KVJ63" s="32"/>
      <c r="KVK63" s="32"/>
      <c r="KVL63" s="32"/>
      <c r="KVM63" s="32"/>
      <c r="KVN63" s="32"/>
      <c r="KVO63" s="32"/>
      <c r="KVP63" s="32"/>
      <c r="KVQ63" s="32"/>
      <c r="KVR63" s="32"/>
      <c r="KVS63" s="32"/>
      <c r="KVT63" s="32"/>
      <c r="KVU63" s="32"/>
      <c r="KVV63" s="32"/>
      <c r="KVW63" s="32"/>
      <c r="KVX63" s="32"/>
      <c r="KVY63" s="32"/>
      <c r="KVZ63" s="32"/>
      <c r="KWA63" s="32"/>
      <c r="KWB63" s="32"/>
      <c r="KWC63" s="32"/>
      <c r="KWD63" s="32"/>
      <c r="KWE63" s="32"/>
      <c r="KWF63" s="32"/>
      <c r="KWG63" s="32"/>
      <c r="KWH63" s="32"/>
      <c r="KWI63" s="32"/>
      <c r="KWJ63" s="32"/>
      <c r="KWK63" s="32"/>
      <c r="KWL63" s="32"/>
      <c r="KWM63" s="32"/>
      <c r="KWN63" s="32"/>
      <c r="KWO63" s="32"/>
      <c r="KWP63" s="32"/>
      <c r="KWQ63" s="32"/>
      <c r="KWR63" s="32"/>
      <c r="KWS63" s="32"/>
      <c r="KWT63" s="32"/>
      <c r="KWU63" s="32"/>
      <c r="KWV63" s="32"/>
      <c r="KWW63" s="32"/>
      <c r="KWX63" s="32"/>
      <c r="KWY63" s="32"/>
      <c r="KWZ63" s="32"/>
      <c r="KXA63" s="32"/>
      <c r="KXB63" s="32"/>
      <c r="KXC63" s="32"/>
      <c r="KXD63" s="32"/>
      <c r="KXE63" s="32"/>
      <c r="KXF63" s="32"/>
      <c r="KXG63" s="32"/>
      <c r="KXH63" s="32"/>
      <c r="KXI63" s="32"/>
      <c r="KXJ63" s="32"/>
      <c r="KXK63" s="32"/>
      <c r="KXL63" s="32"/>
      <c r="KXM63" s="32"/>
      <c r="KXN63" s="32"/>
      <c r="KXO63" s="32"/>
      <c r="KXP63" s="32"/>
      <c r="KXQ63" s="32"/>
      <c r="KXR63" s="32"/>
      <c r="KXS63" s="32"/>
      <c r="KXT63" s="32"/>
      <c r="KXU63" s="32"/>
      <c r="KXV63" s="32"/>
      <c r="KXW63" s="32"/>
      <c r="KXX63" s="32"/>
      <c r="KXY63" s="32"/>
      <c r="KXZ63" s="32"/>
      <c r="KYA63" s="32"/>
      <c r="KYB63" s="32"/>
      <c r="KYC63" s="32"/>
      <c r="KYD63" s="32"/>
      <c r="KYE63" s="32"/>
      <c r="KYF63" s="32"/>
      <c r="KYG63" s="32"/>
      <c r="KYH63" s="32"/>
      <c r="KYI63" s="32"/>
      <c r="KYJ63" s="32"/>
      <c r="KYK63" s="32"/>
      <c r="KYL63" s="32"/>
      <c r="KYM63" s="32"/>
      <c r="KYN63" s="32"/>
      <c r="KYO63" s="32"/>
      <c r="KYP63" s="32"/>
      <c r="KYQ63" s="32"/>
      <c r="KYR63" s="32"/>
      <c r="KYS63" s="32"/>
      <c r="KYT63" s="32"/>
      <c r="KYU63" s="32"/>
      <c r="KYV63" s="32"/>
      <c r="KYW63" s="32"/>
      <c r="KYX63" s="32"/>
      <c r="KYY63" s="32"/>
      <c r="KYZ63" s="32"/>
      <c r="KZA63" s="32"/>
      <c r="KZB63" s="32"/>
      <c r="KZC63" s="32"/>
      <c r="KZD63" s="32"/>
      <c r="KZE63" s="32"/>
      <c r="KZF63" s="32"/>
      <c r="KZG63" s="32"/>
      <c r="KZH63" s="32"/>
      <c r="KZI63" s="32"/>
      <c r="KZJ63" s="32"/>
      <c r="KZK63" s="32"/>
      <c r="KZL63" s="32"/>
      <c r="KZM63" s="32"/>
      <c r="KZN63" s="32"/>
      <c r="KZO63" s="32"/>
      <c r="KZP63" s="32"/>
      <c r="KZQ63" s="32"/>
      <c r="KZR63" s="32"/>
      <c r="KZS63" s="32"/>
      <c r="KZT63" s="32"/>
      <c r="KZU63" s="32"/>
      <c r="KZV63" s="32"/>
      <c r="KZW63" s="32"/>
      <c r="KZX63" s="32"/>
      <c r="KZY63" s="32"/>
      <c r="KZZ63" s="32"/>
      <c r="LAA63" s="32"/>
      <c r="LAB63" s="32"/>
      <c r="LAC63" s="32"/>
      <c r="LAD63" s="32"/>
      <c r="LAE63" s="32"/>
      <c r="LAF63" s="32"/>
      <c r="LAG63" s="32"/>
      <c r="LAH63" s="32"/>
      <c r="LAI63" s="32"/>
      <c r="LAJ63" s="32"/>
      <c r="LAK63" s="32"/>
      <c r="LAL63" s="32"/>
      <c r="LAM63" s="32"/>
      <c r="LAN63" s="32"/>
      <c r="LAO63" s="32"/>
      <c r="LAP63" s="32"/>
      <c r="LAQ63" s="32"/>
      <c r="LAR63" s="32"/>
      <c r="LAS63" s="32"/>
      <c r="LAT63" s="32"/>
      <c r="LAU63" s="32"/>
      <c r="LAV63" s="32"/>
      <c r="LAW63" s="32"/>
      <c r="LAX63" s="32"/>
      <c r="LAY63" s="32"/>
      <c r="LAZ63" s="32"/>
      <c r="LBA63" s="32"/>
      <c r="LBB63" s="32"/>
      <c r="LBC63" s="32"/>
      <c r="LBD63" s="32"/>
      <c r="LBE63" s="32"/>
      <c r="LBF63" s="32"/>
      <c r="LBG63" s="32"/>
      <c r="LBH63" s="32"/>
      <c r="LBI63" s="32"/>
      <c r="LBJ63" s="32"/>
      <c r="LBK63" s="32"/>
      <c r="LBL63" s="32"/>
      <c r="LBM63" s="32"/>
      <c r="LBN63" s="32"/>
      <c r="LBO63" s="32"/>
      <c r="LBP63" s="32"/>
      <c r="LBQ63" s="32"/>
      <c r="LBR63" s="32"/>
      <c r="LBS63" s="32"/>
      <c r="LBT63" s="32"/>
      <c r="LBU63" s="32"/>
      <c r="LBV63" s="32"/>
      <c r="LBW63" s="32"/>
      <c r="LBX63" s="32"/>
      <c r="LBY63" s="32"/>
      <c r="LBZ63" s="32"/>
      <c r="LCA63" s="32"/>
      <c r="LCB63" s="32"/>
      <c r="LCC63" s="32"/>
      <c r="LCD63" s="32"/>
      <c r="LCE63" s="32"/>
      <c r="LCF63" s="32"/>
      <c r="LCG63" s="32"/>
      <c r="LCH63" s="32"/>
      <c r="LCI63" s="32"/>
      <c r="LCJ63" s="32"/>
      <c r="LCK63" s="32"/>
      <c r="LCL63" s="32"/>
      <c r="LCM63" s="32"/>
      <c r="LCN63" s="32"/>
      <c r="LCO63" s="32"/>
      <c r="LCP63" s="32"/>
      <c r="LCQ63" s="32"/>
      <c r="LCR63" s="32"/>
      <c r="LCS63" s="32"/>
      <c r="LCT63" s="32"/>
      <c r="LCU63" s="32"/>
      <c r="LCV63" s="32"/>
      <c r="LCW63" s="32"/>
      <c r="LCX63" s="32"/>
      <c r="LCY63" s="32"/>
      <c r="LCZ63" s="32"/>
      <c r="LDA63" s="32"/>
      <c r="LDB63" s="32"/>
      <c r="LDC63" s="32"/>
      <c r="LDD63" s="32"/>
      <c r="LDE63" s="32"/>
      <c r="LDF63" s="32"/>
      <c r="LDG63" s="32"/>
      <c r="LDH63" s="32"/>
      <c r="LDI63" s="32"/>
      <c r="LDJ63" s="32"/>
      <c r="LDK63" s="32"/>
      <c r="LDL63" s="32"/>
      <c r="LDM63" s="32"/>
      <c r="LDN63" s="32"/>
      <c r="LDO63" s="32"/>
      <c r="LDP63" s="32"/>
      <c r="LDQ63" s="32"/>
      <c r="LDR63" s="32"/>
      <c r="LDS63" s="32"/>
      <c r="LDT63" s="32"/>
      <c r="LDU63" s="32"/>
      <c r="LDV63" s="32"/>
      <c r="LDW63" s="32"/>
      <c r="LDX63" s="32"/>
      <c r="LDY63" s="32"/>
      <c r="LDZ63" s="32"/>
      <c r="LEA63" s="32"/>
      <c r="LEB63" s="32"/>
      <c r="LEC63" s="32"/>
      <c r="LED63" s="32"/>
      <c r="LEE63" s="32"/>
      <c r="LEF63" s="32"/>
      <c r="LEG63" s="32"/>
      <c r="LEH63" s="32"/>
      <c r="LEI63" s="32"/>
      <c r="LEJ63" s="32"/>
      <c r="LEK63" s="32"/>
      <c r="LEL63" s="32"/>
      <c r="LEM63" s="32"/>
      <c r="LEN63" s="32"/>
      <c r="LEO63" s="32"/>
      <c r="LEP63" s="32"/>
      <c r="LEQ63" s="32"/>
      <c r="LER63" s="32"/>
      <c r="LES63" s="32"/>
      <c r="LET63" s="32"/>
      <c r="LEU63" s="32"/>
      <c r="LEV63" s="32"/>
      <c r="LEW63" s="32"/>
      <c r="LEX63" s="32"/>
      <c r="LEY63" s="32"/>
      <c r="LEZ63" s="32"/>
      <c r="LFA63" s="32"/>
      <c r="LFB63" s="32"/>
      <c r="LFC63" s="32"/>
      <c r="LFD63" s="32"/>
      <c r="LFE63" s="32"/>
      <c r="LFF63" s="32"/>
      <c r="LFG63" s="32"/>
      <c r="LFH63" s="32"/>
      <c r="LFI63" s="32"/>
      <c r="LFJ63" s="32"/>
      <c r="LFK63" s="32"/>
      <c r="LFL63" s="32"/>
      <c r="LFM63" s="32"/>
      <c r="LFN63" s="32"/>
      <c r="LFO63" s="32"/>
      <c r="LFP63" s="32"/>
      <c r="LFQ63" s="32"/>
      <c r="LFR63" s="32"/>
      <c r="LFS63" s="32"/>
      <c r="LFT63" s="32"/>
      <c r="LFU63" s="32"/>
      <c r="LFV63" s="32"/>
      <c r="LFW63" s="32"/>
      <c r="LFX63" s="32"/>
      <c r="LFY63" s="32"/>
      <c r="LFZ63" s="32"/>
      <c r="LGA63" s="32"/>
      <c r="LGB63" s="32"/>
      <c r="LGC63" s="32"/>
      <c r="LGD63" s="32"/>
      <c r="LGE63" s="32"/>
      <c r="LGF63" s="32"/>
      <c r="LGG63" s="32"/>
      <c r="LGH63" s="32"/>
      <c r="LGI63" s="32"/>
      <c r="LGJ63" s="32"/>
      <c r="LGK63" s="32"/>
      <c r="LGL63" s="32"/>
      <c r="LGM63" s="32"/>
      <c r="LGN63" s="32"/>
      <c r="LGO63" s="32"/>
      <c r="LGP63" s="32"/>
      <c r="LGQ63" s="32"/>
      <c r="LGR63" s="32"/>
      <c r="LGS63" s="32"/>
      <c r="LGT63" s="32"/>
      <c r="LGU63" s="32"/>
      <c r="LGV63" s="32"/>
      <c r="LGW63" s="32"/>
      <c r="LGX63" s="32"/>
      <c r="LGY63" s="32"/>
      <c r="LGZ63" s="32"/>
      <c r="LHA63" s="32"/>
      <c r="LHB63" s="32"/>
      <c r="LHC63" s="32"/>
      <c r="LHD63" s="32"/>
      <c r="LHE63" s="32"/>
      <c r="LHF63" s="32"/>
      <c r="LHG63" s="32"/>
      <c r="LHH63" s="32"/>
      <c r="LHI63" s="32"/>
      <c r="LHJ63" s="32"/>
      <c r="LHK63" s="32"/>
      <c r="LHL63" s="32"/>
      <c r="LHM63" s="32"/>
      <c r="LHN63" s="32"/>
      <c r="LHO63" s="32"/>
      <c r="LHP63" s="32"/>
      <c r="LHQ63" s="32"/>
      <c r="LHR63" s="32"/>
      <c r="LHS63" s="32"/>
      <c r="LHT63" s="32"/>
      <c r="LHU63" s="32"/>
      <c r="LHV63" s="32"/>
      <c r="LHW63" s="32"/>
      <c r="LHX63" s="32"/>
      <c r="LHY63" s="32"/>
      <c r="LHZ63" s="32"/>
      <c r="LIA63" s="32"/>
      <c r="LIB63" s="32"/>
      <c r="LIC63" s="32"/>
      <c r="LID63" s="32"/>
      <c r="LIE63" s="32"/>
      <c r="LIF63" s="32"/>
      <c r="LIG63" s="32"/>
      <c r="LIH63" s="32"/>
      <c r="LII63" s="32"/>
      <c r="LIJ63" s="32"/>
      <c r="LIK63" s="32"/>
      <c r="LIL63" s="32"/>
      <c r="LIM63" s="32"/>
      <c r="LIN63" s="32"/>
      <c r="LIO63" s="32"/>
      <c r="LIP63" s="32"/>
      <c r="LIQ63" s="32"/>
      <c r="LIR63" s="32"/>
      <c r="LIS63" s="32"/>
      <c r="LIT63" s="32"/>
      <c r="LIU63" s="32"/>
      <c r="LIV63" s="32"/>
      <c r="LIW63" s="32"/>
      <c r="LIX63" s="32"/>
      <c r="LIY63" s="32"/>
      <c r="LIZ63" s="32"/>
      <c r="LJA63" s="32"/>
      <c r="LJB63" s="32"/>
      <c r="LJC63" s="32"/>
      <c r="LJD63" s="32"/>
      <c r="LJE63" s="32"/>
      <c r="LJF63" s="32"/>
      <c r="LJG63" s="32"/>
      <c r="LJH63" s="32"/>
      <c r="LJI63" s="32"/>
      <c r="LJJ63" s="32"/>
      <c r="LJK63" s="32"/>
      <c r="LJL63" s="32"/>
      <c r="LJM63" s="32"/>
      <c r="LJN63" s="32"/>
      <c r="LJO63" s="32"/>
      <c r="LJP63" s="32"/>
      <c r="LJQ63" s="32"/>
      <c r="LJR63" s="32"/>
      <c r="LJS63" s="32"/>
      <c r="LJT63" s="32"/>
      <c r="LJU63" s="32"/>
      <c r="LJV63" s="32"/>
      <c r="LJW63" s="32"/>
      <c r="LJX63" s="32"/>
      <c r="LJY63" s="32"/>
      <c r="LJZ63" s="32"/>
      <c r="LKA63" s="32"/>
      <c r="LKB63" s="32"/>
      <c r="LKC63" s="32"/>
      <c r="LKD63" s="32"/>
      <c r="LKE63" s="32"/>
      <c r="LKF63" s="32"/>
      <c r="LKG63" s="32"/>
      <c r="LKH63" s="32"/>
      <c r="LKI63" s="32"/>
      <c r="LKJ63" s="32"/>
      <c r="LKK63" s="32"/>
      <c r="LKL63" s="32"/>
      <c r="LKM63" s="32"/>
      <c r="LKN63" s="32"/>
      <c r="LKO63" s="32"/>
      <c r="LKP63" s="32"/>
      <c r="LKQ63" s="32"/>
      <c r="LKR63" s="32"/>
      <c r="LKS63" s="32"/>
      <c r="LKT63" s="32"/>
      <c r="LKU63" s="32"/>
      <c r="LKV63" s="32"/>
      <c r="LKW63" s="32"/>
      <c r="LKX63" s="32"/>
      <c r="LKY63" s="32"/>
      <c r="LKZ63" s="32"/>
      <c r="LLA63" s="32"/>
      <c r="LLB63" s="32"/>
      <c r="LLC63" s="32"/>
      <c r="LLD63" s="32"/>
      <c r="LLE63" s="32"/>
      <c r="LLF63" s="32"/>
      <c r="LLG63" s="32"/>
      <c r="LLH63" s="32"/>
      <c r="LLI63" s="32"/>
      <c r="LLJ63" s="32"/>
      <c r="LLK63" s="32"/>
      <c r="LLL63" s="32"/>
      <c r="LLM63" s="32"/>
      <c r="LLN63" s="32"/>
      <c r="LLO63" s="32"/>
      <c r="LLP63" s="32"/>
      <c r="LLQ63" s="32"/>
      <c r="LLR63" s="32"/>
      <c r="LLS63" s="32"/>
      <c r="LLT63" s="32"/>
      <c r="LLU63" s="32"/>
      <c r="LLV63" s="32"/>
      <c r="LLW63" s="32"/>
      <c r="LLX63" s="32"/>
      <c r="LLY63" s="32"/>
      <c r="LLZ63" s="32"/>
      <c r="LMA63" s="32"/>
      <c r="LMB63" s="32"/>
      <c r="LMC63" s="32"/>
      <c r="LMD63" s="32"/>
      <c r="LME63" s="32"/>
      <c r="LMF63" s="32"/>
      <c r="LMG63" s="32"/>
      <c r="LMH63" s="32"/>
      <c r="LMI63" s="32"/>
      <c r="LMJ63" s="32"/>
      <c r="LMK63" s="32"/>
      <c r="LML63" s="32"/>
      <c r="LMM63" s="32"/>
      <c r="LMN63" s="32"/>
      <c r="LMO63" s="32"/>
      <c r="LMP63" s="32"/>
      <c r="LMQ63" s="32"/>
      <c r="LMR63" s="32"/>
      <c r="LMS63" s="32"/>
      <c r="LMT63" s="32"/>
      <c r="LMU63" s="32"/>
      <c r="LMV63" s="32"/>
      <c r="LMW63" s="32"/>
      <c r="LMX63" s="32"/>
      <c r="LMY63" s="32"/>
      <c r="LMZ63" s="32"/>
      <c r="LNA63" s="32"/>
      <c r="LNB63" s="32"/>
      <c r="LNC63" s="32"/>
      <c r="LND63" s="32"/>
      <c r="LNE63" s="32"/>
      <c r="LNF63" s="32"/>
      <c r="LNG63" s="32"/>
      <c r="LNH63" s="32"/>
      <c r="LNI63" s="32"/>
      <c r="LNJ63" s="32"/>
      <c r="LNK63" s="32"/>
      <c r="LNL63" s="32"/>
      <c r="LNM63" s="32"/>
      <c r="LNN63" s="32"/>
      <c r="LNO63" s="32"/>
      <c r="LNP63" s="32"/>
      <c r="LNQ63" s="32"/>
      <c r="LNR63" s="32"/>
      <c r="LNS63" s="32"/>
      <c r="LNT63" s="32"/>
      <c r="LNU63" s="32"/>
      <c r="LNV63" s="32"/>
      <c r="LNW63" s="32"/>
      <c r="LNX63" s="32"/>
      <c r="LNY63" s="32"/>
      <c r="LNZ63" s="32"/>
      <c r="LOA63" s="32"/>
      <c r="LOB63" s="32"/>
      <c r="LOC63" s="32"/>
      <c r="LOD63" s="32"/>
      <c r="LOE63" s="32"/>
      <c r="LOF63" s="32"/>
      <c r="LOG63" s="32"/>
      <c r="LOH63" s="32"/>
      <c r="LOI63" s="32"/>
      <c r="LOJ63" s="32"/>
      <c r="LOK63" s="32"/>
      <c r="LOL63" s="32"/>
      <c r="LOM63" s="32"/>
      <c r="LON63" s="32"/>
      <c r="LOO63" s="32"/>
      <c r="LOP63" s="32"/>
      <c r="LOQ63" s="32"/>
      <c r="LOR63" s="32"/>
      <c r="LOS63" s="32"/>
      <c r="LOT63" s="32"/>
      <c r="LOU63" s="32"/>
      <c r="LOV63" s="32"/>
      <c r="LOW63" s="32"/>
      <c r="LOX63" s="32"/>
      <c r="LOY63" s="32"/>
      <c r="LOZ63" s="32"/>
      <c r="LPA63" s="32"/>
      <c r="LPB63" s="32"/>
      <c r="LPC63" s="32"/>
      <c r="LPD63" s="32"/>
      <c r="LPE63" s="32"/>
      <c r="LPF63" s="32"/>
      <c r="LPG63" s="32"/>
      <c r="LPH63" s="32"/>
      <c r="LPI63" s="32"/>
      <c r="LPJ63" s="32"/>
      <c r="LPK63" s="32"/>
      <c r="LPL63" s="32"/>
      <c r="LPM63" s="32"/>
      <c r="LPN63" s="32"/>
      <c r="LPO63" s="32"/>
      <c r="LPP63" s="32"/>
      <c r="LPQ63" s="32"/>
      <c r="LPR63" s="32"/>
      <c r="LPS63" s="32"/>
      <c r="LPT63" s="32"/>
      <c r="LPU63" s="32"/>
      <c r="LPV63" s="32"/>
      <c r="LPW63" s="32"/>
      <c r="LPX63" s="32"/>
      <c r="LPY63" s="32"/>
      <c r="LPZ63" s="32"/>
      <c r="LQA63" s="32"/>
      <c r="LQB63" s="32"/>
      <c r="LQC63" s="32"/>
      <c r="LQD63" s="32"/>
      <c r="LQE63" s="32"/>
      <c r="LQF63" s="32"/>
      <c r="LQG63" s="32"/>
      <c r="LQH63" s="32"/>
      <c r="LQI63" s="32"/>
      <c r="LQJ63" s="32"/>
      <c r="LQK63" s="32"/>
      <c r="LQL63" s="32"/>
      <c r="LQM63" s="32"/>
      <c r="LQN63" s="32"/>
      <c r="LQO63" s="32"/>
      <c r="LQP63" s="32"/>
      <c r="LQQ63" s="32"/>
      <c r="LQR63" s="32"/>
      <c r="LQS63" s="32"/>
      <c r="LQT63" s="32"/>
      <c r="LQU63" s="32"/>
      <c r="LQV63" s="32"/>
      <c r="LQW63" s="32"/>
      <c r="LQX63" s="32"/>
      <c r="LQY63" s="32"/>
      <c r="LQZ63" s="32"/>
      <c r="LRA63" s="32"/>
      <c r="LRB63" s="32"/>
      <c r="LRC63" s="32"/>
      <c r="LRD63" s="32"/>
      <c r="LRE63" s="32"/>
      <c r="LRF63" s="32"/>
      <c r="LRG63" s="32"/>
      <c r="LRH63" s="32"/>
      <c r="LRI63" s="32"/>
      <c r="LRJ63" s="32"/>
      <c r="LRK63" s="32"/>
      <c r="LRL63" s="32"/>
      <c r="LRM63" s="32"/>
      <c r="LRN63" s="32"/>
      <c r="LRO63" s="32"/>
      <c r="LRP63" s="32"/>
      <c r="LRQ63" s="32"/>
      <c r="LRR63" s="32"/>
      <c r="LRS63" s="32"/>
      <c r="LRT63" s="32"/>
      <c r="LRU63" s="32"/>
      <c r="LRV63" s="32"/>
      <c r="LRW63" s="32"/>
      <c r="LRX63" s="32"/>
      <c r="LRY63" s="32"/>
      <c r="LRZ63" s="32"/>
      <c r="LSA63" s="32"/>
      <c r="LSB63" s="32"/>
      <c r="LSC63" s="32"/>
      <c r="LSD63" s="32"/>
      <c r="LSE63" s="32"/>
      <c r="LSF63" s="32"/>
      <c r="LSG63" s="32"/>
      <c r="LSH63" s="32"/>
      <c r="LSI63" s="32"/>
      <c r="LSJ63" s="32"/>
      <c r="LSK63" s="32"/>
      <c r="LSL63" s="32"/>
      <c r="LSM63" s="32"/>
      <c r="LSN63" s="32"/>
      <c r="LSO63" s="32"/>
      <c r="LSP63" s="32"/>
      <c r="LSQ63" s="32"/>
      <c r="LSR63" s="32"/>
      <c r="LSS63" s="32"/>
      <c r="LST63" s="32"/>
      <c r="LSU63" s="32"/>
      <c r="LSV63" s="32"/>
      <c r="LSW63" s="32"/>
      <c r="LSX63" s="32"/>
      <c r="LSY63" s="32"/>
      <c r="LSZ63" s="32"/>
      <c r="LTA63" s="32"/>
      <c r="LTB63" s="32"/>
      <c r="LTC63" s="32"/>
      <c r="LTD63" s="32"/>
      <c r="LTE63" s="32"/>
      <c r="LTF63" s="32"/>
      <c r="LTG63" s="32"/>
      <c r="LTH63" s="32"/>
      <c r="LTI63" s="32"/>
      <c r="LTJ63" s="32"/>
      <c r="LTK63" s="32"/>
      <c r="LTL63" s="32"/>
      <c r="LTM63" s="32"/>
      <c r="LTN63" s="32"/>
      <c r="LTO63" s="32"/>
      <c r="LTP63" s="32"/>
      <c r="LTQ63" s="32"/>
      <c r="LTR63" s="32"/>
      <c r="LTS63" s="32"/>
      <c r="LTT63" s="32"/>
      <c r="LTU63" s="32"/>
      <c r="LTV63" s="32"/>
      <c r="LTW63" s="32"/>
      <c r="LTX63" s="32"/>
      <c r="LTY63" s="32"/>
      <c r="LTZ63" s="32"/>
      <c r="LUA63" s="32"/>
      <c r="LUB63" s="32"/>
      <c r="LUC63" s="32"/>
      <c r="LUD63" s="32"/>
      <c r="LUE63" s="32"/>
      <c r="LUF63" s="32"/>
      <c r="LUG63" s="32"/>
      <c r="LUH63" s="32"/>
      <c r="LUI63" s="32"/>
      <c r="LUJ63" s="32"/>
      <c r="LUK63" s="32"/>
      <c r="LUL63" s="32"/>
      <c r="LUM63" s="32"/>
      <c r="LUN63" s="32"/>
      <c r="LUO63" s="32"/>
      <c r="LUP63" s="32"/>
      <c r="LUQ63" s="32"/>
      <c r="LUR63" s="32"/>
      <c r="LUS63" s="32"/>
      <c r="LUT63" s="32"/>
      <c r="LUU63" s="32"/>
      <c r="LUV63" s="32"/>
      <c r="LUW63" s="32"/>
      <c r="LUX63" s="32"/>
      <c r="LUY63" s="32"/>
      <c r="LUZ63" s="32"/>
      <c r="LVA63" s="32"/>
      <c r="LVB63" s="32"/>
      <c r="LVC63" s="32"/>
      <c r="LVD63" s="32"/>
      <c r="LVE63" s="32"/>
      <c r="LVF63" s="32"/>
      <c r="LVG63" s="32"/>
      <c r="LVH63" s="32"/>
      <c r="LVI63" s="32"/>
      <c r="LVJ63" s="32"/>
      <c r="LVK63" s="32"/>
      <c r="LVL63" s="32"/>
      <c r="LVM63" s="32"/>
      <c r="LVN63" s="32"/>
      <c r="LVO63" s="32"/>
      <c r="LVP63" s="32"/>
      <c r="LVQ63" s="32"/>
      <c r="LVR63" s="32"/>
      <c r="LVS63" s="32"/>
      <c r="LVT63" s="32"/>
      <c r="LVU63" s="32"/>
      <c r="LVV63" s="32"/>
      <c r="LVW63" s="32"/>
      <c r="LVX63" s="32"/>
      <c r="LVY63" s="32"/>
      <c r="LVZ63" s="32"/>
      <c r="LWA63" s="32"/>
      <c r="LWB63" s="32"/>
      <c r="LWC63" s="32"/>
      <c r="LWD63" s="32"/>
      <c r="LWE63" s="32"/>
      <c r="LWF63" s="32"/>
      <c r="LWG63" s="32"/>
      <c r="LWH63" s="32"/>
      <c r="LWI63" s="32"/>
      <c r="LWJ63" s="32"/>
      <c r="LWK63" s="32"/>
      <c r="LWL63" s="32"/>
      <c r="LWM63" s="32"/>
      <c r="LWN63" s="32"/>
      <c r="LWO63" s="32"/>
      <c r="LWP63" s="32"/>
      <c r="LWQ63" s="32"/>
      <c r="LWR63" s="32"/>
      <c r="LWS63" s="32"/>
      <c r="LWT63" s="32"/>
      <c r="LWU63" s="32"/>
      <c r="LWV63" s="32"/>
      <c r="LWW63" s="32"/>
      <c r="LWX63" s="32"/>
      <c r="LWY63" s="32"/>
      <c r="LWZ63" s="32"/>
      <c r="LXA63" s="32"/>
      <c r="LXB63" s="32"/>
      <c r="LXC63" s="32"/>
      <c r="LXD63" s="32"/>
      <c r="LXE63" s="32"/>
      <c r="LXF63" s="32"/>
      <c r="LXG63" s="32"/>
      <c r="LXH63" s="32"/>
      <c r="LXI63" s="32"/>
      <c r="LXJ63" s="32"/>
      <c r="LXK63" s="32"/>
      <c r="LXL63" s="32"/>
      <c r="LXM63" s="32"/>
      <c r="LXN63" s="32"/>
      <c r="LXO63" s="32"/>
      <c r="LXP63" s="32"/>
      <c r="LXQ63" s="32"/>
      <c r="LXR63" s="32"/>
      <c r="LXS63" s="32"/>
      <c r="LXT63" s="32"/>
      <c r="LXU63" s="32"/>
      <c r="LXV63" s="32"/>
      <c r="LXW63" s="32"/>
      <c r="LXX63" s="32"/>
      <c r="LXY63" s="32"/>
      <c r="LXZ63" s="32"/>
      <c r="LYA63" s="32"/>
      <c r="LYB63" s="32"/>
      <c r="LYC63" s="32"/>
      <c r="LYD63" s="32"/>
      <c r="LYE63" s="32"/>
      <c r="LYF63" s="32"/>
      <c r="LYG63" s="32"/>
      <c r="LYH63" s="32"/>
      <c r="LYI63" s="32"/>
      <c r="LYJ63" s="32"/>
      <c r="LYK63" s="32"/>
      <c r="LYL63" s="32"/>
      <c r="LYM63" s="32"/>
      <c r="LYN63" s="32"/>
      <c r="LYO63" s="32"/>
      <c r="LYP63" s="32"/>
      <c r="LYQ63" s="32"/>
      <c r="LYR63" s="32"/>
      <c r="LYS63" s="32"/>
      <c r="LYT63" s="32"/>
      <c r="LYU63" s="32"/>
      <c r="LYV63" s="32"/>
      <c r="LYW63" s="32"/>
      <c r="LYX63" s="32"/>
      <c r="LYY63" s="32"/>
      <c r="LYZ63" s="32"/>
      <c r="LZA63" s="32"/>
      <c r="LZB63" s="32"/>
      <c r="LZC63" s="32"/>
      <c r="LZD63" s="32"/>
      <c r="LZE63" s="32"/>
      <c r="LZF63" s="32"/>
      <c r="LZG63" s="32"/>
      <c r="LZH63" s="32"/>
      <c r="LZI63" s="32"/>
      <c r="LZJ63" s="32"/>
      <c r="LZK63" s="32"/>
      <c r="LZL63" s="32"/>
      <c r="LZM63" s="32"/>
      <c r="LZN63" s="32"/>
      <c r="LZO63" s="32"/>
      <c r="LZP63" s="32"/>
      <c r="LZQ63" s="32"/>
      <c r="LZR63" s="32"/>
      <c r="LZS63" s="32"/>
      <c r="LZT63" s="32"/>
      <c r="LZU63" s="32"/>
      <c r="LZV63" s="32"/>
      <c r="LZW63" s="32"/>
      <c r="LZX63" s="32"/>
      <c r="LZY63" s="32"/>
      <c r="LZZ63" s="32"/>
      <c r="MAA63" s="32"/>
      <c r="MAB63" s="32"/>
      <c r="MAC63" s="32"/>
      <c r="MAD63" s="32"/>
      <c r="MAE63" s="32"/>
      <c r="MAF63" s="32"/>
      <c r="MAG63" s="32"/>
      <c r="MAH63" s="32"/>
      <c r="MAI63" s="32"/>
      <c r="MAJ63" s="32"/>
      <c r="MAK63" s="32"/>
      <c r="MAL63" s="32"/>
      <c r="MAM63" s="32"/>
      <c r="MAN63" s="32"/>
      <c r="MAO63" s="32"/>
      <c r="MAP63" s="32"/>
      <c r="MAQ63" s="32"/>
      <c r="MAR63" s="32"/>
      <c r="MAS63" s="32"/>
      <c r="MAT63" s="32"/>
      <c r="MAU63" s="32"/>
      <c r="MAV63" s="32"/>
      <c r="MAW63" s="32"/>
      <c r="MAX63" s="32"/>
      <c r="MAY63" s="32"/>
      <c r="MAZ63" s="32"/>
      <c r="MBA63" s="32"/>
      <c r="MBB63" s="32"/>
      <c r="MBC63" s="32"/>
      <c r="MBD63" s="32"/>
      <c r="MBE63" s="32"/>
      <c r="MBF63" s="32"/>
      <c r="MBG63" s="32"/>
      <c r="MBH63" s="32"/>
      <c r="MBI63" s="32"/>
      <c r="MBJ63" s="32"/>
      <c r="MBK63" s="32"/>
      <c r="MBL63" s="32"/>
      <c r="MBM63" s="32"/>
      <c r="MBN63" s="32"/>
      <c r="MBO63" s="32"/>
      <c r="MBP63" s="32"/>
      <c r="MBQ63" s="32"/>
      <c r="MBR63" s="32"/>
      <c r="MBS63" s="32"/>
      <c r="MBT63" s="32"/>
      <c r="MBU63" s="32"/>
      <c r="MBV63" s="32"/>
      <c r="MBW63" s="32"/>
      <c r="MBX63" s="32"/>
      <c r="MBY63" s="32"/>
      <c r="MBZ63" s="32"/>
      <c r="MCA63" s="32"/>
      <c r="MCB63" s="32"/>
      <c r="MCC63" s="32"/>
      <c r="MCD63" s="32"/>
      <c r="MCE63" s="32"/>
      <c r="MCF63" s="32"/>
      <c r="MCG63" s="32"/>
      <c r="MCH63" s="32"/>
      <c r="MCI63" s="32"/>
      <c r="MCJ63" s="32"/>
      <c r="MCK63" s="32"/>
      <c r="MCL63" s="32"/>
      <c r="MCM63" s="32"/>
      <c r="MCN63" s="32"/>
      <c r="MCO63" s="32"/>
      <c r="MCP63" s="32"/>
      <c r="MCQ63" s="32"/>
      <c r="MCR63" s="32"/>
      <c r="MCS63" s="32"/>
      <c r="MCT63" s="32"/>
      <c r="MCU63" s="32"/>
      <c r="MCV63" s="32"/>
      <c r="MCW63" s="32"/>
      <c r="MCX63" s="32"/>
      <c r="MCY63" s="32"/>
      <c r="MCZ63" s="32"/>
      <c r="MDA63" s="32"/>
      <c r="MDB63" s="32"/>
      <c r="MDC63" s="32"/>
      <c r="MDD63" s="32"/>
      <c r="MDE63" s="32"/>
      <c r="MDF63" s="32"/>
      <c r="MDG63" s="32"/>
      <c r="MDH63" s="32"/>
      <c r="MDI63" s="32"/>
      <c r="MDJ63" s="32"/>
      <c r="MDK63" s="32"/>
      <c r="MDL63" s="32"/>
      <c r="MDM63" s="32"/>
      <c r="MDN63" s="32"/>
      <c r="MDO63" s="32"/>
      <c r="MDP63" s="32"/>
      <c r="MDQ63" s="32"/>
      <c r="MDR63" s="32"/>
      <c r="MDS63" s="32"/>
      <c r="MDT63" s="32"/>
      <c r="MDU63" s="32"/>
      <c r="MDV63" s="32"/>
      <c r="MDW63" s="32"/>
      <c r="MDX63" s="32"/>
      <c r="MDY63" s="32"/>
      <c r="MDZ63" s="32"/>
      <c r="MEA63" s="32"/>
      <c r="MEB63" s="32"/>
      <c r="MEC63" s="32"/>
      <c r="MED63" s="32"/>
      <c r="MEE63" s="32"/>
      <c r="MEF63" s="32"/>
      <c r="MEG63" s="32"/>
      <c r="MEH63" s="32"/>
      <c r="MEI63" s="32"/>
      <c r="MEJ63" s="32"/>
      <c r="MEK63" s="32"/>
      <c r="MEL63" s="32"/>
      <c r="MEM63" s="32"/>
      <c r="MEN63" s="32"/>
      <c r="MEO63" s="32"/>
      <c r="MEP63" s="32"/>
      <c r="MEQ63" s="32"/>
      <c r="MER63" s="32"/>
      <c r="MES63" s="32"/>
      <c r="MET63" s="32"/>
      <c r="MEU63" s="32"/>
      <c r="MEV63" s="32"/>
      <c r="MEW63" s="32"/>
      <c r="MEX63" s="32"/>
      <c r="MEY63" s="32"/>
      <c r="MEZ63" s="32"/>
      <c r="MFA63" s="32"/>
      <c r="MFB63" s="32"/>
      <c r="MFC63" s="32"/>
      <c r="MFD63" s="32"/>
      <c r="MFE63" s="32"/>
      <c r="MFF63" s="32"/>
      <c r="MFG63" s="32"/>
      <c r="MFH63" s="32"/>
      <c r="MFI63" s="32"/>
      <c r="MFJ63" s="32"/>
      <c r="MFK63" s="32"/>
      <c r="MFL63" s="32"/>
      <c r="MFM63" s="32"/>
      <c r="MFN63" s="32"/>
      <c r="MFO63" s="32"/>
      <c r="MFP63" s="32"/>
      <c r="MFQ63" s="32"/>
      <c r="MFR63" s="32"/>
      <c r="MFS63" s="32"/>
      <c r="MFT63" s="32"/>
      <c r="MFU63" s="32"/>
      <c r="MFV63" s="32"/>
      <c r="MFW63" s="32"/>
      <c r="MFX63" s="32"/>
      <c r="MFY63" s="32"/>
      <c r="MFZ63" s="32"/>
      <c r="MGA63" s="32"/>
      <c r="MGB63" s="32"/>
      <c r="MGC63" s="32"/>
      <c r="MGD63" s="32"/>
      <c r="MGE63" s="32"/>
      <c r="MGF63" s="32"/>
      <c r="MGG63" s="32"/>
      <c r="MGH63" s="32"/>
      <c r="MGI63" s="32"/>
      <c r="MGJ63" s="32"/>
      <c r="MGK63" s="32"/>
      <c r="MGL63" s="32"/>
      <c r="MGM63" s="32"/>
      <c r="MGN63" s="32"/>
      <c r="MGO63" s="32"/>
      <c r="MGP63" s="32"/>
      <c r="MGQ63" s="32"/>
      <c r="MGR63" s="32"/>
      <c r="MGS63" s="32"/>
      <c r="MGT63" s="32"/>
      <c r="MGU63" s="32"/>
      <c r="MGV63" s="32"/>
      <c r="MGW63" s="32"/>
      <c r="MGX63" s="32"/>
      <c r="MGY63" s="32"/>
      <c r="MGZ63" s="32"/>
      <c r="MHA63" s="32"/>
      <c r="MHB63" s="32"/>
      <c r="MHC63" s="32"/>
      <c r="MHD63" s="32"/>
      <c r="MHE63" s="32"/>
      <c r="MHF63" s="32"/>
      <c r="MHG63" s="32"/>
      <c r="MHH63" s="32"/>
      <c r="MHI63" s="32"/>
      <c r="MHJ63" s="32"/>
      <c r="MHK63" s="32"/>
      <c r="MHL63" s="32"/>
      <c r="MHM63" s="32"/>
      <c r="MHN63" s="32"/>
      <c r="MHO63" s="32"/>
      <c r="MHP63" s="32"/>
      <c r="MHQ63" s="32"/>
      <c r="MHR63" s="32"/>
      <c r="MHS63" s="32"/>
      <c r="MHT63" s="32"/>
      <c r="MHU63" s="32"/>
      <c r="MHV63" s="32"/>
      <c r="MHW63" s="32"/>
      <c r="MHX63" s="32"/>
      <c r="MHY63" s="32"/>
      <c r="MHZ63" s="32"/>
      <c r="MIA63" s="32"/>
      <c r="MIB63" s="32"/>
      <c r="MIC63" s="32"/>
      <c r="MID63" s="32"/>
      <c r="MIE63" s="32"/>
      <c r="MIF63" s="32"/>
      <c r="MIG63" s="32"/>
      <c r="MIH63" s="32"/>
      <c r="MII63" s="32"/>
      <c r="MIJ63" s="32"/>
      <c r="MIK63" s="32"/>
      <c r="MIL63" s="32"/>
      <c r="MIM63" s="32"/>
      <c r="MIN63" s="32"/>
      <c r="MIO63" s="32"/>
      <c r="MIP63" s="32"/>
      <c r="MIQ63" s="32"/>
      <c r="MIR63" s="32"/>
      <c r="MIS63" s="32"/>
      <c r="MIT63" s="32"/>
      <c r="MIU63" s="32"/>
      <c r="MIV63" s="32"/>
      <c r="MIW63" s="32"/>
      <c r="MIX63" s="32"/>
      <c r="MIY63" s="32"/>
      <c r="MIZ63" s="32"/>
      <c r="MJA63" s="32"/>
      <c r="MJB63" s="32"/>
      <c r="MJC63" s="32"/>
      <c r="MJD63" s="32"/>
      <c r="MJE63" s="32"/>
      <c r="MJF63" s="32"/>
      <c r="MJG63" s="32"/>
      <c r="MJH63" s="32"/>
      <c r="MJI63" s="32"/>
      <c r="MJJ63" s="32"/>
      <c r="MJK63" s="32"/>
      <c r="MJL63" s="32"/>
      <c r="MJM63" s="32"/>
      <c r="MJN63" s="32"/>
      <c r="MJO63" s="32"/>
      <c r="MJP63" s="32"/>
      <c r="MJQ63" s="32"/>
      <c r="MJR63" s="32"/>
      <c r="MJS63" s="32"/>
      <c r="MJT63" s="32"/>
      <c r="MJU63" s="32"/>
      <c r="MJV63" s="32"/>
      <c r="MJW63" s="32"/>
      <c r="MJX63" s="32"/>
      <c r="MJY63" s="32"/>
      <c r="MJZ63" s="32"/>
      <c r="MKA63" s="32"/>
      <c r="MKB63" s="32"/>
      <c r="MKC63" s="32"/>
      <c r="MKD63" s="32"/>
      <c r="MKE63" s="32"/>
      <c r="MKF63" s="32"/>
      <c r="MKG63" s="32"/>
      <c r="MKH63" s="32"/>
      <c r="MKI63" s="32"/>
      <c r="MKJ63" s="32"/>
      <c r="MKK63" s="32"/>
      <c r="MKL63" s="32"/>
      <c r="MKM63" s="32"/>
      <c r="MKN63" s="32"/>
      <c r="MKO63" s="32"/>
      <c r="MKP63" s="32"/>
      <c r="MKQ63" s="32"/>
      <c r="MKR63" s="32"/>
      <c r="MKS63" s="32"/>
      <c r="MKT63" s="32"/>
      <c r="MKU63" s="32"/>
      <c r="MKV63" s="32"/>
      <c r="MKW63" s="32"/>
      <c r="MKX63" s="32"/>
      <c r="MKY63" s="32"/>
      <c r="MKZ63" s="32"/>
      <c r="MLA63" s="32"/>
      <c r="MLB63" s="32"/>
      <c r="MLC63" s="32"/>
      <c r="MLD63" s="32"/>
      <c r="MLE63" s="32"/>
      <c r="MLF63" s="32"/>
      <c r="MLG63" s="32"/>
      <c r="MLH63" s="32"/>
      <c r="MLI63" s="32"/>
      <c r="MLJ63" s="32"/>
      <c r="MLK63" s="32"/>
      <c r="MLL63" s="32"/>
      <c r="MLM63" s="32"/>
      <c r="MLN63" s="32"/>
      <c r="MLO63" s="32"/>
      <c r="MLP63" s="32"/>
      <c r="MLQ63" s="32"/>
      <c r="MLR63" s="32"/>
      <c r="MLS63" s="32"/>
      <c r="MLT63" s="32"/>
      <c r="MLU63" s="32"/>
      <c r="MLV63" s="32"/>
      <c r="MLW63" s="32"/>
      <c r="MLX63" s="32"/>
      <c r="MLY63" s="32"/>
      <c r="MLZ63" s="32"/>
      <c r="MMA63" s="32"/>
      <c r="MMB63" s="32"/>
      <c r="MMC63" s="32"/>
      <c r="MMD63" s="32"/>
      <c r="MME63" s="32"/>
      <c r="MMF63" s="32"/>
      <c r="MMG63" s="32"/>
      <c r="MMH63" s="32"/>
      <c r="MMI63" s="32"/>
      <c r="MMJ63" s="32"/>
      <c r="MMK63" s="32"/>
      <c r="MML63" s="32"/>
      <c r="MMM63" s="32"/>
      <c r="MMN63" s="32"/>
      <c r="MMO63" s="32"/>
      <c r="MMP63" s="32"/>
      <c r="MMQ63" s="32"/>
      <c r="MMR63" s="32"/>
      <c r="MMS63" s="32"/>
      <c r="MMT63" s="32"/>
      <c r="MMU63" s="32"/>
      <c r="MMV63" s="32"/>
      <c r="MMW63" s="32"/>
      <c r="MMX63" s="32"/>
      <c r="MMY63" s="32"/>
      <c r="MMZ63" s="32"/>
      <c r="MNA63" s="32"/>
      <c r="MNB63" s="32"/>
      <c r="MNC63" s="32"/>
      <c r="MND63" s="32"/>
      <c r="MNE63" s="32"/>
      <c r="MNF63" s="32"/>
      <c r="MNG63" s="32"/>
      <c r="MNH63" s="32"/>
      <c r="MNI63" s="32"/>
      <c r="MNJ63" s="32"/>
      <c r="MNK63" s="32"/>
      <c r="MNL63" s="32"/>
      <c r="MNM63" s="32"/>
      <c r="MNN63" s="32"/>
      <c r="MNO63" s="32"/>
      <c r="MNP63" s="32"/>
      <c r="MNQ63" s="32"/>
      <c r="MNR63" s="32"/>
      <c r="MNS63" s="32"/>
      <c r="MNT63" s="32"/>
      <c r="MNU63" s="32"/>
      <c r="MNV63" s="32"/>
      <c r="MNW63" s="32"/>
      <c r="MNX63" s="32"/>
      <c r="MNY63" s="32"/>
      <c r="MNZ63" s="32"/>
      <c r="MOA63" s="32"/>
      <c r="MOB63" s="32"/>
      <c r="MOC63" s="32"/>
      <c r="MOD63" s="32"/>
      <c r="MOE63" s="32"/>
      <c r="MOF63" s="32"/>
      <c r="MOG63" s="32"/>
      <c r="MOH63" s="32"/>
      <c r="MOI63" s="32"/>
      <c r="MOJ63" s="32"/>
      <c r="MOK63" s="32"/>
      <c r="MOL63" s="32"/>
      <c r="MOM63" s="32"/>
      <c r="MON63" s="32"/>
      <c r="MOO63" s="32"/>
      <c r="MOP63" s="32"/>
      <c r="MOQ63" s="32"/>
      <c r="MOR63" s="32"/>
      <c r="MOS63" s="32"/>
      <c r="MOT63" s="32"/>
      <c r="MOU63" s="32"/>
      <c r="MOV63" s="32"/>
      <c r="MOW63" s="32"/>
      <c r="MOX63" s="32"/>
      <c r="MOY63" s="32"/>
      <c r="MOZ63" s="32"/>
      <c r="MPA63" s="32"/>
      <c r="MPB63" s="32"/>
      <c r="MPC63" s="32"/>
      <c r="MPD63" s="32"/>
      <c r="MPE63" s="32"/>
      <c r="MPF63" s="32"/>
      <c r="MPG63" s="32"/>
      <c r="MPH63" s="32"/>
      <c r="MPI63" s="32"/>
      <c r="MPJ63" s="32"/>
      <c r="MPK63" s="32"/>
      <c r="MPL63" s="32"/>
      <c r="MPM63" s="32"/>
      <c r="MPN63" s="32"/>
      <c r="MPO63" s="32"/>
      <c r="MPP63" s="32"/>
      <c r="MPQ63" s="32"/>
      <c r="MPR63" s="32"/>
      <c r="MPS63" s="32"/>
      <c r="MPT63" s="32"/>
      <c r="MPU63" s="32"/>
      <c r="MPV63" s="32"/>
      <c r="MPW63" s="32"/>
      <c r="MPX63" s="32"/>
      <c r="MPY63" s="32"/>
      <c r="MPZ63" s="32"/>
      <c r="MQA63" s="32"/>
      <c r="MQB63" s="32"/>
      <c r="MQC63" s="32"/>
      <c r="MQD63" s="32"/>
      <c r="MQE63" s="32"/>
      <c r="MQF63" s="32"/>
      <c r="MQG63" s="32"/>
      <c r="MQH63" s="32"/>
      <c r="MQI63" s="32"/>
      <c r="MQJ63" s="32"/>
      <c r="MQK63" s="32"/>
      <c r="MQL63" s="32"/>
      <c r="MQM63" s="32"/>
      <c r="MQN63" s="32"/>
      <c r="MQO63" s="32"/>
      <c r="MQP63" s="32"/>
      <c r="MQQ63" s="32"/>
      <c r="MQR63" s="32"/>
      <c r="MQS63" s="32"/>
      <c r="MQT63" s="32"/>
      <c r="MQU63" s="32"/>
      <c r="MQV63" s="32"/>
      <c r="MQW63" s="32"/>
      <c r="MQX63" s="32"/>
      <c r="MQY63" s="32"/>
      <c r="MQZ63" s="32"/>
      <c r="MRA63" s="32"/>
      <c r="MRB63" s="32"/>
      <c r="MRC63" s="32"/>
      <c r="MRD63" s="32"/>
      <c r="MRE63" s="32"/>
      <c r="MRF63" s="32"/>
      <c r="MRG63" s="32"/>
      <c r="MRH63" s="32"/>
      <c r="MRI63" s="32"/>
      <c r="MRJ63" s="32"/>
      <c r="MRK63" s="32"/>
      <c r="MRL63" s="32"/>
      <c r="MRM63" s="32"/>
      <c r="MRN63" s="32"/>
      <c r="MRO63" s="32"/>
      <c r="MRP63" s="32"/>
      <c r="MRQ63" s="32"/>
      <c r="MRR63" s="32"/>
      <c r="MRS63" s="32"/>
      <c r="MRT63" s="32"/>
      <c r="MRU63" s="32"/>
      <c r="MRV63" s="32"/>
      <c r="MRW63" s="32"/>
      <c r="MRX63" s="32"/>
      <c r="MRY63" s="32"/>
      <c r="MRZ63" s="32"/>
      <c r="MSA63" s="32"/>
      <c r="MSB63" s="32"/>
      <c r="MSC63" s="32"/>
      <c r="MSD63" s="32"/>
      <c r="MSE63" s="32"/>
      <c r="MSF63" s="32"/>
      <c r="MSG63" s="32"/>
      <c r="MSH63" s="32"/>
      <c r="MSI63" s="32"/>
      <c r="MSJ63" s="32"/>
      <c r="MSK63" s="32"/>
      <c r="MSL63" s="32"/>
      <c r="MSM63" s="32"/>
      <c r="MSN63" s="32"/>
      <c r="MSO63" s="32"/>
      <c r="MSP63" s="32"/>
      <c r="MSQ63" s="32"/>
      <c r="MSR63" s="32"/>
      <c r="MSS63" s="32"/>
      <c r="MST63" s="32"/>
      <c r="MSU63" s="32"/>
      <c r="MSV63" s="32"/>
      <c r="MSW63" s="32"/>
      <c r="MSX63" s="32"/>
      <c r="MSY63" s="32"/>
      <c r="MSZ63" s="32"/>
      <c r="MTA63" s="32"/>
      <c r="MTB63" s="32"/>
      <c r="MTC63" s="32"/>
      <c r="MTD63" s="32"/>
      <c r="MTE63" s="32"/>
      <c r="MTF63" s="32"/>
      <c r="MTG63" s="32"/>
      <c r="MTH63" s="32"/>
      <c r="MTI63" s="32"/>
      <c r="MTJ63" s="32"/>
      <c r="MTK63" s="32"/>
      <c r="MTL63" s="32"/>
      <c r="MTM63" s="32"/>
      <c r="MTN63" s="32"/>
      <c r="MTO63" s="32"/>
      <c r="MTP63" s="32"/>
      <c r="MTQ63" s="32"/>
      <c r="MTR63" s="32"/>
      <c r="MTS63" s="32"/>
      <c r="MTT63" s="32"/>
      <c r="MTU63" s="32"/>
      <c r="MTV63" s="32"/>
      <c r="MTW63" s="32"/>
      <c r="MTX63" s="32"/>
      <c r="MTY63" s="32"/>
      <c r="MTZ63" s="32"/>
      <c r="MUA63" s="32"/>
      <c r="MUB63" s="32"/>
      <c r="MUC63" s="32"/>
      <c r="MUD63" s="32"/>
      <c r="MUE63" s="32"/>
      <c r="MUF63" s="32"/>
      <c r="MUG63" s="32"/>
      <c r="MUH63" s="32"/>
      <c r="MUI63" s="32"/>
      <c r="MUJ63" s="32"/>
      <c r="MUK63" s="32"/>
      <c r="MUL63" s="32"/>
      <c r="MUM63" s="32"/>
      <c r="MUN63" s="32"/>
      <c r="MUO63" s="32"/>
      <c r="MUP63" s="32"/>
      <c r="MUQ63" s="32"/>
      <c r="MUR63" s="32"/>
      <c r="MUS63" s="32"/>
      <c r="MUT63" s="32"/>
      <c r="MUU63" s="32"/>
      <c r="MUV63" s="32"/>
      <c r="MUW63" s="32"/>
      <c r="MUX63" s="32"/>
      <c r="MUY63" s="32"/>
      <c r="MUZ63" s="32"/>
      <c r="MVA63" s="32"/>
      <c r="MVB63" s="32"/>
      <c r="MVC63" s="32"/>
      <c r="MVD63" s="32"/>
      <c r="MVE63" s="32"/>
      <c r="MVF63" s="32"/>
      <c r="MVG63" s="32"/>
      <c r="MVH63" s="32"/>
      <c r="MVI63" s="32"/>
      <c r="MVJ63" s="32"/>
      <c r="MVK63" s="32"/>
      <c r="MVL63" s="32"/>
      <c r="MVM63" s="32"/>
      <c r="MVN63" s="32"/>
      <c r="MVO63" s="32"/>
      <c r="MVP63" s="32"/>
      <c r="MVQ63" s="32"/>
      <c r="MVR63" s="32"/>
      <c r="MVS63" s="32"/>
      <c r="MVT63" s="32"/>
      <c r="MVU63" s="32"/>
      <c r="MVV63" s="32"/>
      <c r="MVW63" s="32"/>
      <c r="MVX63" s="32"/>
      <c r="MVY63" s="32"/>
      <c r="MVZ63" s="32"/>
      <c r="MWA63" s="32"/>
      <c r="MWB63" s="32"/>
      <c r="MWC63" s="32"/>
      <c r="MWD63" s="32"/>
      <c r="MWE63" s="32"/>
      <c r="MWF63" s="32"/>
      <c r="MWG63" s="32"/>
      <c r="MWH63" s="32"/>
      <c r="MWI63" s="32"/>
      <c r="MWJ63" s="32"/>
      <c r="MWK63" s="32"/>
      <c r="MWL63" s="32"/>
      <c r="MWM63" s="32"/>
      <c r="MWN63" s="32"/>
      <c r="MWO63" s="32"/>
      <c r="MWP63" s="32"/>
      <c r="MWQ63" s="32"/>
      <c r="MWR63" s="32"/>
      <c r="MWS63" s="32"/>
      <c r="MWT63" s="32"/>
      <c r="MWU63" s="32"/>
      <c r="MWV63" s="32"/>
      <c r="MWW63" s="32"/>
      <c r="MWX63" s="32"/>
      <c r="MWY63" s="32"/>
      <c r="MWZ63" s="32"/>
      <c r="MXA63" s="32"/>
      <c r="MXB63" s="32"/>
      <c r="MXC63" s="32"/>
      <c r="MXD63" s="32"/>
      <c r="MXE63" s="32"/>
      <c r="MXF63" s="32"/>
      <c r="MXG63" s="32"/>
      <c r="MXH63" s="32"/>
      <c r="MXI63" s="32"/>
      <c r="MXJ63" s="32"/>
      <c r="MXK63" s="32"/>
      <c r="MXL63" s="32"/>
      <c r="MXM63" s="32"/>
      <c r="MXN63" s="32"/>
      <c r="MXO63" s="32"/>
      <c r="MXP63" s="32"/>
      <c r="MXQ63" s="32"/>
      <c r="MXR63" s="32"/>
      <c r="MXS63" s="32"/>
      <c r="MXT63" s="32"/>
      <c r="MXU63" s="32"/>
      <c r="MXV63" s="32"/>
      <c r="MXW63" s="32"/>
      <c r="MXX63" s="32"/>
      <c r="MXY63" s="32"/>
      <c r="MXZ63" s="32"/>
      <c r="MYA63" s="32"/>
      <c r="MYB63" s="32"/>
      <c r="MYC63" s="32"/>
      <c r="MYD63" s="32"/>
      <c r="MYE63" s="32"/>
      <c r="MYF63" s="32"/>
      <c r="MYG63" s="32"/>
      <c r="MYH63" s="32"/>
      <c r="MYI63" s="32"/>
      <c r="MYJ63" s="32"/>
      <c r="MYK63" s="32"/>
      <c r="MYL63" s="32"/>
      <c r="MYM63" s="32"/>
      <c r="MYN63" s="32"/>
      <c r="MYO63" s="32"/>
      <c r="MYP63" s="32"/>
      <c r="MYQ63" s="32"/>
      <c r="MYR63" s="32"/>
      <c r="MYS63" s="32"/>
      <c r="MYT63" s="32"/>
      <c r="MYU63" s="32"/>
      <c r="MYV63" s="32"/>
      <c r="MYW63" s="32"/>
      <c r="MYX63" s="32"/>
      <c r="MYY63" s="32"/>
      <c r="MYZ63" s="32"/>
      <c r="MZA63" s="32"/>
      <c r="MZB63" s="32"/>
      <c r="MZC63" s="32"/>
      <c r="MZD63" s="32"/>
      <c r="MZE63" s="32"/>
      <c r="MZF63" s="32"/>
      <c r="MZG63" s="32"/>
      <c r="MZH63" s="32"/>
      <c r="MZI63" s="32"/>
      <c r="MZJ63" s="32"/>
      <c r="MZK63" s="32"/>
      <c r="MZL63" s="32"/>
      <c r="MZM63" s="32"/>
      <c r="MZN63" s="32"/>
      <c r="MZO63" s="32"/>
      <c r="MZP63" s="32"/>
      <c r="MZQ63" s="32"/>
      <c r="MZR63" s="32"/>
      <c r="MZS63" s="32"/>
      <c r="MZT63" s="32"/>
      <c r="MZU63" s="32"/>
      <c r="MZV63" s="32"/>
      <c r="MZW63" s="32"/>
      <c r="MZX63" s="32"/>
      <c r="MZY63" s="32"/>
      <c r="MZZ63" s="32"/>
      <c r="NAA63" s="32"/>
      <c r="NAB63" s="32"/>
      <c r="NAC63" s="32"/>
      <c r="NAD63" s="32"/>
      <c r="NAE63" s="32"/>
      <c r="NAF63" s="32"/>
      <c r="NAG63" s="32"/>
      <c r="NAH63" s="32"/>
      <c r="NAI63" s="32"/>
      <c r="NAJ63" s="32"/>
      <c r="NAK63" s="32"/>
      <c r="NAL63" s="32"/>
      <c r="NAM63" s="32"/>
      <c r="NAN63" s="32"/>
      <c r="NAO63" s="32"/>
      <c r="NAP63" s="32"/>
      <c r="NAQ63" s="32"/>
      <c r="NAR63" s="32"/>
      <c r="NAS63" s="32"/>
      <c r="NAT63" s="32"/>
      <c r="NAU63" s="32"/>
      <c r="NAV63" s="32"/>
      <c r="NAW63" s="32"/>
      <c r="NAX63" s="32"/>
      <c r="NAY63" s="32"/>
      <c r="NAZ63" s="32"/>
      <c r="NBA63" s="32"/>
      <c r="NBB63" s="32"/>
      <c r="NBC63" s="32"/>
      <c r="NBD63" s="32"/>
      <c r="NBE63" s="32"/>
      <c r="NBF63" s="32"/>
      <c r="NBG63" s="32"/>
      <c r="NBH63" s="32"/>
      <c r="NBI63" s="32"/>
      <c r="NBJ63" s="32"/>
      <c r="NBK63" s="32"/>
      <c r="NBL63" s="32"/>
      <c r="NBM63" s="32"/>
      <c r="NBN63" s="32"/>
      <c r="NBO63" s="32"/>
      <c r="NBP63" s="32"/>
      <c r="NBQ63" s="32"/>
      <c r="NBR63" s="32"/>
      <c r="NBS63" s="32"/>
      <c r="NBT63" s="32"/>
      <c r="NBU63" s="32"/>
      <c r="NBV63" s="32"/>
      <c r="NBW63" s="32"/>
      <c r="NBX63" s="32"/>
      <c r="NBY63" s="32"/>
      <c r="NBZ63" s="32"/>
      <c r="NCA63" s="32"/>
      <c r="NCB63" s="32"/>
      <c r="NCC63" s="32"/>
      <c r="NCD63" s="32"/>
      <c r="NCE63" s="32"/>
      <c r="NCF63" s="32"/>
      <c r="NCG63" s="32"/>
      <c r="NCH63" s="32"/>
      <c r="NCI63" s="32"/>
      <c r="NCJ63" s="32"/>
      <c r="NCK63" s="32"/>
      <c r="NCL63" s="32"/>
      <c r="NCM63" s="32"/>
      <c r="NCN63" s="32"/>
      <c r="NCO63" s="32"/>
      <c r="NCP63" s="32"/>
      <c r="NCQ63" s="32"/>
      <c r="NCR63" s="32"/>
      <c r="NCS63" s="32"/>
      <c r="NCT63" s="32"/>
      <c r="NCU63" s="32"/>
      <c r="NCV63" s="32"/>
      <c r="NCW63" s="32"/>
      <c r="NCX63" s="32"/>
      <c r="NCY63" s="32"/>
      <c r="NCZ63" s="32"/>
      <c r="NDA63" s="32"/>
      <c r="NDB63" s="32"/>
      <c r="NDC63" s="32"/>
      <c r="NDD63" s="32"/>
      <c r="NDE63" s="32"/>
      <c r="NDF63" s="32"/>
      <c r="NDG63" s="32"/>
      <c r="NDH63" s="32"/>
      <c r="NDI63" s="32"/>
      <c r="NDJ63" s="32"/>
      <c r="NDK63" s="32"/>
      <c r="NDL63" s="32"/>
      <c r="NDM63" s="32"/>
      <c r="NDN63" s="32"/>
      <c r="NDO63" s="32"/>
      <c r="NDP63" s="32"/>
      <c r="NDQ63" s="32"/>
      <c r="NDR63" s="32"/>
      <c r="NDS63" s="32"/>
      <c r="NDT63" s="32"/>
      <c r="NDU63" s="32"/>
      <c r="NDV63" s="32"/>
      <c r="NDW63" s="32"/>
      <c r="NDX63" s="32"/>
      <c r="NDY63" s="32"/>
      <c r="NDZ63" s="32"/>
      <c r="NEA63" s="32"/>
      <c r="NEB63" s="32"/>
      <c r="NEC63" s="32"/>
      <c r="NED63" s="32"/>
      <c r="NEE63" s="32"/>
      <c r="NEF63" s="32"/>
      <c r="NEG63" s="32"/>
      <c r="NEH63" s="32"/>
      <c r="NEI63" s="32"/>
      <c r="NEJ63" s="32"/>
      <c r="NEK63" s="32"/>
      <c r="NEL63" s="32"/>
      <c r="NEM63" s="32"/>
      <c r="NEN63" s="32"/>
      <c r="NEO63" s="32"/>
      <c r="NEP63" s="32"/>
      <c r="NEQ63" s="32"/>
      <c r="NER63" s="32"/>
      <c r="NES63" s="32"/>
      <c r="NET63" s="32"/>
      <c r="NEU63" s="32"/>
      <c r="NEV63" s="32"/>
      <c r="NEW63" s="32"/>
      <c r="NEX63" s="32"/>
      <c r="NEY63" s="32"/>
      <c r="NEZ63" s="32"/>
      <c r="NFA63" s="32"/>
      <c r="NFB63" s="32"/>
      <c r="NFC63" s="32"/>
      <c r="NFD63" s="32"/>
      <c r="NFE63" s="32"/>
      <c r="NFF63" s="32"/>
      <c r="NFG63" s="32"/>
      <c r="NFH63" s="32"/>
      <c r="NFI63" s="32"/>
      <c r="NFJ63" s="32"/>
      <c r="NFK63" s="32"/>
      <c r="NFL63" s="32"/>
      <c r="NFM63" s="32"/>
      <c r="NFN63" s="32"/>
      <c r="NFO63" s="32"/>
      <c r="NFP63" s="32"/>
      <c r="NFQ63" s="32"/>
      <c r="NFR63" s="32"/>
      <c r="NFS63" s="32"/>
      <c r="NFT63" s="32"/>
      <c r="NFU63" s="32"/>
      <c r="NFV63" s="32"/>
      <c r="NFW63" s="32"/>
      <c r="NFX63" s="32"/>
      <c r="NFY63" s="32"/>
      <c r="NFZ63" s="32"/>
      <c r="NGA63" s="32"/>
      <c r="NGB63" s="32"/>
      <c r="NGC63" s="32"/>
      <c r="NGD63" s="32"/>
      <c r="NGE63" s="32"/>
      <c r="NGF63" s="32"/>
      <c r="NGG63" s="32"/>
      <c r="NGH63" s="32"/>
      <c r="NGI63" s="32"/>
      <c r="NGJ63" s="32"/>
      <c r="NGK63" s="32"/>
      <c r="NGL63" s="32"/>
      <c r="NGM63" s="32"/>
      <c r="NGN63" s="32"/>
      <c r="NGO63" s="32"/>
      <c r="NGP63" s="32"/>
      <c r="NGQ63" s="32"/>
      <c r="NGR63" s="32"/>
      <c r="NGS63" s="32"/>
      <c r="NGT63" s="32"/>
      <c r="NGU63" s="32"/>
      <c r="NGV63" s="32"/>
      <c r="NGW63" s="32"/>
      <c r="NGX63" s="32"/>
      <c r="NGY63" s="32"/>
      <c r="NGZ63" s="32"/>
      <c r="NHA63" s="32"/>
      <c r="NHB63" s="32"/>
      <c r="NHC63" s="32"/>
      <c r="NHD63" s="32"/>
      <c r="NHE63" s="32"/>
      <c r="NHF63" s="32"/>
      <c r="NHG63" s="32"/>
      <c r="NHH63" s="32"/>
      <c r="NHI63" s="32"/>
      <c r="NHJ63" s="32"/>
      <c r="NHK63" s="32"/>
      <c r="NHL63" s="32"/>
      <c r="NHM63" s="32"/>
      <c r="NHN63" s="32"/>
      <c r="NHO63" s="32"/>
      <c r="NHP63" s="32"/>
      <c r="NHQ63" s="32"/>
      <c r="NHR63" s="32"/>
      <c r="NHS63" s="32"/>
      <c r="NHT63" s="32"/>
      <c r="NHU63" s="32"/>
      <c r="NHV63" s="32"/>
      <c r="NHW63" s="32"/>
      <c r="NHX63" s="32"/>
      <c r="NHY63" s="32"/>
      <c r="NHZ63" s="32"/>
      <c r="NIA63" s="32"/>
      <c r="NIB63" s="32"/>
      <c r="NIC63" s="32"/>
      <c r="NID63" s="32"/>
      <c r="NIE63" s="32"/>
      <c r="NIF63" s="32"/>
      <c r="NIG63" s="32"/>
      <c r="NIH63" s="32"/>
      <c r="NII63" s="32"/>
      <c r="NIJ63" s="32"/>
      <c r="NIK63" s="32"/>
      <c r="NIL63" s="32"/>
      <c r="NIM63" s="32"/>
      <c r="NIN63" s="32"/>
      <c r="NIO63" s="32"/>
      <c r="NIP63" s="32"/>
      <c r="NIQ63" s="32"/>
      <c r="NIR63" s="32"/>
      <c r="NIS63" s="32"/>
      <c r="NIT63" s="32"/>
      <c r="NIU63" s="32"/>
      <c r="NIV63" s="32"/>
      <c r="NIW63" s="32"/>
      <c r="NIX63" s="32"/>
      <c r="NIY63" s="32"/>
      <c r="NIZ63" s="32"/>
      <c r="NJA63" s="32"/>
      <c r="NJB63" s="32"/>
      <c r="NJC63" s="32"/>
      <c r="NJD63" s="32"/>
      <c r="NJE63" s="32"/>
      <c r="NJF63" s="32"/>
      <c r="NJG63" s="32"/>
      <c r="NJH63" s="32"/>
      <c r="NJI63" s="32"/>
      <c r="NJJ63" s="32"/>
      <c r="NJK63" s="32"/>
      <c r="NJL63" s="32"/>
      <c r="NJM63" s="32"/>
      <c r="NJN63" s="32"/>
      <c r="NJO63" s="32"/>
      <c r="NJP63" s="32"/>
      <c r="NJQ63" s="32"/>
      <c r="NJR63" s="32"/>
      <c r="NJS63" s="32"/>
      <c r="NJT63" s="32"/>
      <c r="NJU63" s="32"/>
      <c r="NJV63" s="32"/>
      <c r="NJW63" s="32"/>
      <c r="NJX63" s="32"/>
      <c r="NJY63" s="32"/>
      <c r="NJZ63" s="32"/>
      <c r="NKA63" s="32"/>
      <c r="NKB63" s="32"/>
      <c r="NKC63" s="32"/>
      <c r="NKD63" s="32"/>
      <c r="NKE63" s="32"/>
      <c r="NKF63" s="32"/>
      <c r="NKG63" s="32"/>
      <c r="NKH63" s="32"/>
      <c r="NKI63" s="32"/>
      <c r="NKJ63" s="32"/>
      <c r="NKK63" s="32"/>
      <c r="NKL63" s="32"/>
      <c r="NKM63" s="32"/>
      <c r="NKN63" s="32"/>
      <c r="NKO63" s="32"/>
      <c r="NKP63" s="32"/>
      <c r="NKQ63" s="32"/>
      <c r="NKR63" s="32"/>
      <c r="NKS63" s="32"/>
      <c r="NKT63" s="32"/>
      <c r="NKU63" s="32"/>
      <c r="NKV63" s="32"/>
      <c r="NKW63" s="32"/>
      <c r="NKX63" s="32"/>
      <c r="NKY63" s="32"/>
      <c r="NKZ63" s="32"/>
      <c r="NLA63" s="32"/>
      <c r="NLB63" s="32"/>
      <c r="NLC63" s="32"/>
      <c r="NLD63" s="32"/>
      <c r="NLE63" s="32"/>
      <c r="NLF63" s="32"/>
      <c r="NLG63" s="32"/>
      <c r="NLH63" s="32"/>
      <c r="NLI63" s="32"/>
      <c r="NLJ63" s="32"/>
      <c r="NLK63" s="32"/>
      <c r="NLL63" s="32"/>
      <c r="NLM63" s="32"/>
      <c r="NLN63" s="32"/>
      <c r="NLO63" s="32"/>
      <c r="NLP63" s="32"/>
      <c r="NLQ63" s="32"/>
      <c r="NLR63" s="32"/>
      <c r="NLS63" s="32"/>
      <c r="NLT63" s="32"/>
      <c r="NLU63" s="32"/>
      <c r="NLV63" s="32"/>
      <c r="NLW63" s="32"/>
      <c r="NLX63" s="32"/>
      <c r="NLY63" s="32"/>
      <c r="NLZ63" s="32"/>
      <c r="NMA63" s="32"/>
      <c r="NMB63" s="32"/>
      <c r="NMC63" s="32"/>
      <c r="NMD63" s="32"/>
      <c r="NME63" s="32"/>
      <c r="NMF63" s="32"/>
      <c r="NMG63" s="32"/>
      <c r="NMH63" s="32"/>
      <c r="NMI63" s="32"/>
      <c r="NMJ63" s="32"/>
      <c r="NMK63" s="32"/>
      <c r="NML63" s="32"/>
      <c r="NMM63" s="32"/>
      <c r="NMN63" s="32"/>
      <c r="NMO63" s="32"/>
      <c r="NMP63" s="32"/>
      <c r="NMQ63" s="32"/>
      <c r="NMR63" s="32"/>
      <c r="NMS63" s="32"/>
      <c r="NMT63" s="32"/>
      <c r="NMU63" s="32"/>
      <c r="NMV63" s="32"/>
      <c r="NMW63" s="32"/>
      <c r="NMX63" s="32"/>
      <c r="NMY63" s="32"/>
      <c r="NMZ63" s="32"/>
      <c r="NNA63" s="32"/>
      <c r="NNB63" s="32"/>
      <c r="NNC63" s="32"/>
      <c r="NND63" s="32"/>
      <c r="NNE63" s="32"/>
      <c r="NNF63" s="32"/>
      <c r="NNG63" s="32"/>
      <c r="NNH63" s="32"/>
      <c r="NNI63" s="32"/>
      <c r="NNJ63" s="32"/>
      <c r="NNK63" s="32"/>
      <c r="NNL63" s="32"/>
      <c r="NNM63" s="32"/>
      <c r="NNN63" s="32"/>
      <c r="NNO63" s="32"/>
      <c r="NNP63" s="32"/>
      <c r="NNQ63" s="32"/>
      <c r="NNR63" s="32"/>
      <c r="NNS63" s="32"/>
      <c r="NNT63" s="32"/>
      <c r="NNU63" s="32"/>
      <c r="NNV63" s="32"/>
      <c r="NNW63" s="32"/>
      <c r="NNX63" s="32"/>
      <c r="NNY63" s="32"/>
      <c r="NNZ63" s="32"/>
      <c r="NOA63" s="32"/>
      <c r="NOB63" s="32"/>
      <c r="NOC63" s="32"/>
      <c r="NOD63" s="32"/>
      <c r="NOE63" s="32"/>
      <c r="NOF63" s="32"/>
      <c r="NOG63" s="32"/>
      <c r="NOH63" s="32"/>
      <c r="NOI63" s="32"/>
      <c r="NOJ63" s="32"/>
      <c r="NOK63" s="32"/>
      <c r="NOL63" s="32"/>
      <c r="NOM63" s="32"/>
      <c r="NON63" s="32"/>
      <c r="NOO63" s="32"/>
      <c r="NOP63" s="32"/>
      <c r="NOQ63" s="32"/>
      <c r="NOR63" s="32"/>
      <c r="NOS63" s="32"/>
      <c r="NOT63" s="32"/>
      <c r="NOU63" s="32"/>
      <c r="NOV63" s="32"/>
      <c r="NOW63" s="32"/>
      <c r="NOX63" s="32"/>
      <c r="NOY63" s="32"/>
      <c r="NOZ63" s="32"/>
      <c r="NPA63" s="32"/>
      <c r="NPB63" s="32"/>
      <c r="NPC63" s="32"/>
      <c r="NPD63" s="32"/>
      <c r="NPE63" s="32"/>
      <c r="NPF63" s="32"/>
      <c r="NPG63" s="32"/>
      <c r="NPH63" s="32"/>
      <c r="NPI63" s="32"/>
      <c r="NPJ63" s="32"/>
      <c r="NPK63" s="32"/>
      <c r="NPL63" s="32"/>
      <c r="NPM63" s="32"/>
      <c r="NPN63" s="32"/>
      <c r="NPO63" s="32"/>
      <c r="NPP63" s="32"/>
      <c r="NPQ63" s="32"/>
      <c r="NPR63" s="32"/>
      <c r="NPS63" s="32"/>
      <c r="NPT63" s="32"/>
      <c r="NPU63" s="32"/>
      <c r="NPV63" s="32"/>
      <c r="NPW63" s="32"/>
      <c r="NPX63" s="32"/>
      <c r="NPY63" s="32"/>
      <c r="NPZ63" s="32"/>
      <c r="NQA63" s="32"/>
      <c r="NQB63" s="32"/>
      <c r="NQC63" s="32"/>
      <c r="NQD63" s="32"/>
      <c r="NQE63" s="32"/>
      <c r="NQF63" s="32"/>
      <c r="NQG63" s="32"/>
      <c r="NQH63" s="32"/>
      <c r="NQI63" s="32"/>
      <c r="NQJ63" s="32"/>
      <c r="NQK63" s="32"/>
      <c r="NQL63" s="32"/>
      <c r="NQM63" s="32"/>
      <c r="NQN63" s="32"/>
      <c r="NQO63" s="32"/>
      <c r="NQP63" s="32"/>
      <c r="NQQ63" s="32"/>
      <c r="NQR63" s="32"/>
      <c r="NQS63" s="32"/>
      <c r="NQT63" s="32"/>
      <c r="NQU63" s="32"/>
      <c r="NQV63" s="32"/>
      <c r="NQW63" s="32"/>
      <c r="NQX63" s="32"/>
      <c r="NQY63" s="32"/>
      <c r="NQZ63" s="32"/>
      <c r="NRA63" s="32"/>
      <c r="NRB63" s="32"/>
      <c r="NRC63" s="32"/>
      <c r="NRD63" s="32"/>
      <c r="NRE63" s="32"/>
      <c r="NRF63" s="32"/>
      <c r="NRG63" s="32"/>
      <c r="NRH63" s="32"/>
      <c r="NRI63" s="32"/>
      <c r="NRJ63" s="32"/>
      <c r="NRK63" s="32"/>
      <c r="NRL63" s="32"/>
      <c r="NRM63" s="32"/>
      <c r="NRN63" s="32"/>
      <c r="NRO63" s="32"/>
      <c r="NRP63" s="32"/>
      <c r="NRQ63" s="32"/>
      <c r="NRR63" s="32"/>
      <c r="NRS63" s="32"/>
      <c r="NRT63" s="32"/>
      <c r="NRU63" s="32"/>
      <c r="NRV63" s="32"/>
      <c r="NRW63" s="32"/>
      <c r="NRX63" s="32"/>
      <c r="NRY63" s="32"/>
      <c r="NRZ63" s="32"/>
      <c r="NSA63" s="32"/>
      <c r="NSB63" s="32"/>
      <c r="NSC63" s="32"/>
      <c r="NSD63" s="32"/>
      <c r="NSE63" s="32"/>
      <c r="NSF63" s="32"/>
      <c r="NSG63" s="32"/>
      <c r="NSH63" s="32"/>
      <c r="NSI63" s="32"/>
      <c r="NSJ63" s="32"/>
      <c r="NSK63" s="32"/>
      <c r="NSL63" s="32"/>
      <c r="NSM63" s="32"/>
      <c r="NSN63" s="32"/>
      <c r="NSO63" s="32"/>
      <c r="NSP63" s="32"/>
      <c r="NSQ63" s="32"/>
      <c r="NSR63" s="32"/>
      <c r="NSS63" s="32"/>
      <c r="NST63" s="32"/>
      <c r="NSU63" s="32"/>
      <c r="NSV63" s="32"/>
      <c r="NSW63" s="32"/>
      <c r="NSX63" s="32"/>
      <c r="NSY63" s="32"/>
      <c r="NSZ63" s="32"/>
      <c r="NTA63" s="32"/>
      <c r="NTB63" s="32"/>
      <c r="NTC63" s="32"/>
      <c r="NTD63" s="32"/>
      <c r="NTE63" s="32"/>
      <c r="NTF63" s="32"/>
      <c r="NTG63" s="32"/>
      <c r="NTH63" s="32"/>
      <c r="NTI63" s="32"/>
      <c r="NTJ63" s="32"/>
      <c r="NTK63" s="32"/>
      <c r="NTL63" s="32"/>
      <c r="NTM63" s="32"/>
      <c r="NTN63" s="32"/>
      <c r="NTO63" s="32"/>
      <c r="NTP63" s="32"/>
      <c r="NTQ63" s="32"/>
      <c r="NTR63" s="32"/>
      <c r="NTS63" s="32"/>
      <c r="NTT63" s="32"/>
      <c r="NTU63" s="32"/>
      <c r="NTV63" s="32"/>
      <c r="NTW63" s="32"/>
      <c r="NTX63" s="32"/>
      <c r="NTY63" s="32"/>
      <c r="NTZ63" s="32"/>
      <c r="NUA63" s="32"/>
      <c r="NUB63" s="32"/>
      <c r="NUC63" s="32"/>
      <c r="NUD63" s="32"/>
      <c r="NUE63" s="32"/>
      <c r="NUF63" s="32"/>
      <c r="NUG63" s="32"/>
      <c r="NUH63" s="32"/>
      <c r="NUI63" s="32"/>
      <c r="NUJ63" s="32"/>
      <c r="NUK63" s="32"/>
      <c r="NUL63" s="32"/>
      <c r="NUM63" s="32"/>
      <c r="NUN63" s="32"/>
      <c r="NUO63" s="32"/>
      <c r="NUP63" s="32"/>
      <c r="NUQ63" s="32"/>
      <c r="NUR63" s="32"/>
      <c r="NUS63" s="32"/>
      <c r="NUT63" s="32"/>
      <c r="NUU63" s="32"/>
      <c r="NUV63" s="32"/>
      <c r="NUW63" s="32"/>
      <c r="NUX63" s="32"/>
      <c r="NUY63" s="32"/>
      <c r="NUZ63" s="32"/>
      <c r="NVA63" s="32"/>
      <c r="NVB63" s="32"/>
      <c r="NVC63" s="32"/>
      <c r="NVD63" s="32"/>
      <c r="NVE63" s="32"/>
      <c r="NVF63" s="32"/>
      <c r="NVG63" s="32"/>
      <c r="NVH63" s="32"/>
      <c r="NVI63" s="32"/>
      <c r="NVJ63" s="32"/>
      <c r="NVK63" s="32"/>
      <c r="NVL63" s="32"/>
      <c r="NVM63" s="32"/>
      <c r="NVN63" s="32"/>
      <c r="NVO63" s="32"/>
      <c r="NVP63" s="32"/>
      <c r="NVQ63" s="32"/>
      <c r="NVR63" s="32"/>
      <c r="NVS63" s="32"/>
      <c r="NVT63" s="32"/>
      <c r="NVU63" s="32"/>
      <c r="NVV63" s="32"/>
      <c r="NVW63" s="32"/>
      <c r="NVX63" s="32"/>
      <c r="NVY63" s="32"/>
      <c r="NVZ63" s="32"/>
      <c r="NWA63" s="32"/>
      <c r="NWB63" s="32"/>
      <c r="NWC63" s="32"/>
      <c r="NWD63" s="32"/>
      <c r="NWE63" s="32"/>
      <c r="NWF63" s="32"/>
      <c r="NWG63" s="32"/>
      <c r="NWH63" s="32"/>
      <c r="NWI63" s="32"/>
      <c r="NWJ63" s="32"/>
      <c r="NWK63" s="32"/>
      <c r="NWL63" s="32"/>
      <c r="NWM63" s="32"/>
      <c r="NWN63" s="32"/>
      <c r="NWO63" s="32"/>
      <c r="NWP63" s="32"/>
      <c r="NWQ63" s="32"/>
      <c r="NWR63" s="32"/>
      <c r="NWS63" s="32"/>
      <c r="NWT63" s="32"/>
      <c r="NWU63" s="32"/>
      <c r="NWV63" s="32"/>
      <c r="NWW63" s="32"/>
      <c r="NWX63" s="32"/>
      <c r="NWY63" s="32"/>
      <c r="NWZ63" s="32"/>
      <c r="NXA63" s="32"/>
      <c r="NXB63" s="32"/>
      <c r="NXC63" s="32"/>
      <c r="NXD63" s="32"/>
      <c r="NXE63" s="32"/>
      <c r="NXF63" s="32"/>
      <c r="NXG63" s="32"/>
      <c r="NXH63" s="32"/>
      <c r="NXI63" s="32"/>
      <c r="NXJ63" s="32"/>
      <c r="NXK63" s="32"/>
      <c r="NXL63" s="32"/>
      <c r="NXM63" s="32"/>
      <c r="NXN63" s="32"/>
      <c r="NXO63" s="32"/>
      <c r="NXP63" s="32"/>
      <c r="NXQ63" s="32"/>
      <c r="NXR63" s="32"/>
      <c r="NXS63" s="32"/>
      <c r="NXT63" s="32"/>
      <c r="NXU63" s="32"/>
      <c r="NXV63" s="32"/>
      <c r="NXW63" s="32"/>
      <c r="NXX63" s="32"/>
      <c r="NXY63" s="32"/>
      <c r="NXZ63" s="32"/>
      <c r="NYA63" s="32"/>
      <c r="NYB63" s="32"/>
      <c r="NYC63" s="32"/>
      <c r="NYD63" s="32"/>
      <c r="NYE63" s="32"/>
      <c r="NYF63" s="32"/>
      <c r="NYG63" s="32"/>
      <c r="NYH63" s="32"/>
      <c r="NYI63" s="32"/>
      <c r="NYJ63" s="32"/>
      <c r="NYK63" s="32"/>
      <c r="NYL63" s="32"/>
      <c r="NYM63" s="32"/>
      <c r="NYN63" s="32"/>
      <c r="NYO63" s="32"/>
      <c r="NYP63" s="32"/>
      <c r="NYQ63" s="32"/>
      <c r="NYR63" s="32"/>
      <c r="NYS63" s="32"/>
      <c r="NYT63" s="32"/>
      <c r="NYU63" s="32"/>
      <c r="NYV63" s="32"/>
      <c r="NYW63" s="32"/>
      <c r="NYX63" s="32"/>
      <c r="NYY63" s="32"/>
      <c r="NYZ63" s="32"/>
      <c r="NZA63" s="32"/>
      <c r="NZB63" s="32"/>
      <c r="NZC63" s="32"/>
      <c r="NZD63" s="32"/>
      <c r="NZE63" s="32"/>
      <c r="NZF63" s="32"/>
      <c r="NZG63" s="32"/>
      <c r="NZH63" s="32"/>
      <c r="NZI63" s="32"/>
      <c r="NZJ63" s="32"/>
      <c r="NZK63" s="32"/>
      <c r="NZL63" s="32"/>
      <c r="NZM63" s="32"/>
      <c r="NZN63" s="32"/>
      <c r="NZO63" s="32"/>
      <c r="NZP63" s="32"/>
      <c r="NZQ63" s="32"/>
      <c r="NZR63" s="32"/>
      <c r="NZS63" s="32"/>
      <c r="NZT63" s="32"/>
      <c r="NZU63" s="32"/>
      <c r="NZV63" s="32"/>
      <c r="NZW63" s="32"/>
      <c r="NZX63" s="32"/>
      <c r="NZY63" s="32"/>
      <c r="NZZ63" s="32"/>
      <c r="OAA63" s="32"/>
      <c r="OAB63" s="32"/>
      <c r="OAC63" s="32"/>
      <c r="OAD63" s="32"/>
      <c r="OAE63" s="32"/>
      <c r="OAF63" s="32"/>
      <c r="OAG63" s="32"/>
      <c r="OAH63" s="32"/>
      <c r="OAI63" s="32"/>
      <c r="OAJ63" s="32"/>
      <c r="OAK63" s="32"/>
      <c r="OAL63" s="32"/>
      <c r="OAM63" s="32"/>
      <c r="OAN63" s="32"/>
      <c r="OAO63" s="32"/>
      <c r="OAP63" s="32"/>
      <c r="OAQ63" s="32"/>
      <c r="OAR63" s="32"/>
      <c r="OAS63" s="32"/>
      <c r="OAT63" s="32"/>
      <c r="OAU63" s="32"/>
      <c r="OAV63" s="32"/>
      <c r="OAW63" s="32"/>
      <c r="OAX63" s="32"/>
      <c r="OAY63" s="32"/>
      <c r="OAZ63" s="32"/>
      <c r="OBA63" s="32"/>
      <c r="OBB63" s="32"/>
      <c r="OBC63" s="32"/>
      <c r="OBD63" s="32"/>
      <c r="OBE63" s="32"/>
      <c r="OBF63" s="32"/>
      <c r="OBG63" s="32"/>
      <c r="OBH63" s="32"/>
      <c r="OBI63" s="32"/>
      <c r="OBJ63" s="32"/>
      <c r="OBK63" s="32"/>
      <c r="OBL63" s="32"/>
      <c r="OBM63" s="32"/>
      <c r="OBN63" s="32"/>
      <c r="OBO63" s="32"/>
      <c r="OBP63" s="32"/>
      <c r="OBQ63" s="32"/>
      <c r="OBR63" s="32"/>
      <c r="OBS63" s="32"/>
      <c r="OBT63" s="32"/>
      <c r="OBU63" s="32"/>
      <c r="OBV63" s="32"/>
      <c r="OBW63" s="32"/>
      <c r="OBX63" s="32"/>
      <c r="OBY63" s="32"/>
      <c r="OBZ63" s="32"/>
      <c r="OCA63" s="32"/>
      <c r="OCB63" s="32"/>
      <c r="OCC63" s="32"/>
      <c r="OCD63" s="32"/>
      <c r="OCE63" s="32"/>
      <c r="OCF63" s="32"/>
      <c r="OCG63" s="32"/>
      <c r="OCH63" s="32"/>
      <c r="OCI63" s="32"/>
      <c r="OCJ63" s="32"/>
      <c r="OCK63" s="32"/>
      <c r="OCL63" s="32"/>
      <c r="OCM63" s="32"/>
      <c r="OCN63" s="32"/>
      <c r="OCO63" s="32"/>
      <c r="OCP63" s="32"/>
      <c r="OCQ63" s="32"/>
      <c r="OCR63" s="32"/>
      <c r="OCS63" s="32"/>
      <c r="OCT63" s="32"/>
      <c r="OCU63" s="32"/>
      <c r="OCV63" s="32"/>
      <c r="OCW63" s="32"/>
      <c r="OCX63" s="32"/>
      <c r="OCY63" s="32"/>
      <c r="OCZ63" s="32"/>
      <c r="ODA63" s="32"/>
      <c r="ODB63" s="32"/>
      <c r="ODC63" s="32"/>
      <c r="ODD63" s="32"/>
      <c r="ODE63" s="32"/>
      <c r="ODF63" s="32"/>
      <c r="ODG63" s="32"/>
      <c r="ODH63" s="32"/>
      <c r="ODI63" s="32"/>
      <c r="ODJ63" s="32"/>
      <c r="ODK63" s="32"/>
      <c r="ODL63" s="32"/>
      <c r="ODM63" s="32"/>
      <c r="ODN63" s="32"/>
      <c r="ODO63" s="32"/>
      <c r="ODP63" s="32"/>
      <c r="ODQ63" s="32"/>
      <c r="ODR63" s="32"/>
      <c r="ODS63" s="32"/>
      <c r="ODT63" s="32"/>
      <c r="ODU63" s="32"/>
      <c r="ODV63" s="32"/>
      <c r="ODW63" s="32"/>
      <c r="ODX63" s="32"/>
      <c r="ODY63" s="32"/>
      <c r="ODZ63" s="32"/>
      <c r="OEA63" s="32"/>
      <c r="OEB63" s="32"/>
      <c r="OEC63" s="32"/>
      <c r="OED63" s="32"/>
      <c r="OEE63" s="32"/>
      <c r="OEF63" s="32"/>
      <c r="OEG63" s="32"/>
      <c r="OEH63" s="32"/>
      <c r="OEI63" s="32"/>
      <c r="OEJ63" s="32"/>
      <c r="OEK63" s="32"/>
      <c r="OEL63" s="32"/>
      <c r="OEM63" s="32"/>
      <c r="OEN63" s="32"/>
      <c r="OEO63" s="32"/>
      <c r="OEP63" s="32"/>
      <c r="OEQ63" s="32"/>
      <c r="OER63" s="32"/>
      <c r="OES63" s="32"/>
      <c r="OET63" s="32"/>
      <c r="OEU63" s="32"/>
      <c r="OEV63" s="32"/>
      <c r="OEW63" s="32"/>
      <c r="OEX63" s="32"/>
      <c r="OEY63" s="32"/>
      <c r="OEZ63" s="32"/>
      <c r="OFA63" s="32"/>
      <c r="OFB63" s="32"/>
      <c r="OFC63" s="32"/>
      <c r="OFD63" s="32"/>
      <c r="OFE63" s="32"/>
      <c r="OFF63" s="32"/>
      <c r="OFG63" s="32"/>
      <c r="OFH63" s="32"/>
      <c r="OFI63" s="32"/>
      <c r="OFJ63" s="32"/>
      <c r="OFK63" s="32"/>
      <c r="OFL63" s="32"/>
      <c r="OFM63" s="32"/>
      <c r="OFN63" s="32"/>
      <c r="OFO63" s="32"/>
      <c r="OFP63" s="32"/>
      <c r="OFQ63" s="32"/>
      <c r="OFR63" s="32"/>
      <c r="OFS63" s="32"/>
      <c r="OFT63" s="32"/>
      <c r="OFU63" s="32"/>
      <c r="OFV63" s="32"/>
      <c r="OFW63" s="32"/>
      <c r="OFX63" s="32"/>
      <c r="OFY63" s="32"/>
      <c r="OFZ63" s="32"/>
      <c r="OGA63" s="32"/>
      <c r="OGB63" s="32"/>
      <c r="OGC63" s="32"/>
      <c r="OGD63" s="32"/>
      <c r="OGE63" s="32"/>
      <c r="OGF63" s="32"/>
      <c r="OGG63" s="32"/>
      <c r="OGH63" s="32"/>
      <c r="OGI63" s="32"/>
      <c r="OGJ63" s="32"/>
      <c r="OGK63" s="32"/>
      <c r="OGL63" s="32"/>
      <c r="OGM63" s="32"/>
      <c r="OGN63" s="32"/>
      <c r="OGO63" s="32"/>
      <c r="OGP63" s="32"/>
      <c r="OGQ63" s="32"/>
      <c r="OGR63" s="32"/>
      <c r="OGS63" s="32"/>
      <c r="OGT63" s="32"/>
      <c r="OGU63" s="32"/>
      <c r="OGV63" s="32"/>
      <c r="OGW63" s="32"/>
      <c r="OGX63" s="32"/>
      <c r="OGY63" s="32"/>
      <c r="OGZ63" s="32"/>
      <c r="OHA63" s="32"/>
      <c r="OHB63" s="32"/>
      <c r="OHC63" s="32"/>
      <c r="OHD63" s="32"/>
      <c r="OHE63" s="32"/>
      <c r="OHF63" s="32"/>
      <c r="OHG63" s="32"/>
      <c r="OHH63" s="32"/>
      <c r="OHI63" s="32"/>
      <c r="OHJ63" s="32"/>
      <c r="OHK63" s="32"/>
      <c r="OHL63" s="32"/>
      <c r="OHM63" s="32"/>
      <c r="OHN63" s="32"/>
      <c r="OHO63" s="32"/>
      <c r="OHP63" s="32"/>
      <c r="OHQ63" s="32"/>
      <c r="OHR63" s="32"/>
      <c r="OHS63" s="32"/>
      <c r="OHT63" s="32"/>
      <c r="OHU63" s="32"/>
      <c r="OHV63" s="32"/>
      <c r="OHW63" s="32"/>
      <c r="OHX63" s="32"/>
      <c r="OHY63" s="32"/>
      <c r="OHZ63" s="32"/>
      <c r="OIA63" s="32"/>
      <c r="OIB63" s="32"/>
      <c r="OIC63" s="32"/>
      <c r="OID63" s="32"/>
      <c r="OIE63" s="32"/>
      <c r="OIF63" s="32"/>
      <c r="OIG63" s="32"/>
      <c r="OIH63" s="32"/>
      <c r="OII63" s="32"/>
      <c r="OIJ63" s="32"/>
      <c r="OIK63" s="32"/>
      <c r="OIL63" s="32"/>
      <c r="OIM63" s="32"/>
      <c r="OIN63" s="32"/>
      <c r="OIO63" s="32"/>
      <c r="OIP63" s="32"/>
      <c r="OIQ63" s="32"/>
      <c r="OIR63" s="32"/>
      <c r="OIS63" s="32"/>
      <c r="OIT63" s="32"/>
      <c r="OIU63" s="32"/>
      <c r="OIV63" s="32"/>
      <c r="OIW63" s="32"/>
      <c r="OIX63" s="32"/>
      <c r="OIY63" s="32"/>
      <c r="OIZ63" s="32"/>
      <c r="OJA63" s="32"/>
      <c r="OJB63" s="32"/>
      <c r="OJC63" s="32"/>
      <c r="OJD63" s="32"/>
      <c r="OJE63" s="32"/>
      <c r="OJF63" s="32"/>
      <c r="OJG63" s="32"/>
      <c r="OJH63" s="32"/>
      <c r="OJI63" s="32"/>
      <c r="OJJ63" s="32"/>
      <c r="OJK63" s="32"/>
      <c r="OJL63" s="32"/>
      <c r="OJM63" s="32"/>
      <c r="OJN63" s="32"/>
      <c r="OJO63" s="32"/>
      <c r="OJP63" s="32"/>
      <c r="OJQ63" s="32"/>
      <c r="OJR63" s="32"/>
      <c r="OJS63" s="32"/>
      <c r="OJT63" s="32"/>
      <c r="OJU63" s="32"/>
      <c r="OJV63" s="32"/>
      <c r="OJW63" s="32"/>
      <c r="OJX63" s="32"/>
      <c r="OJY63" s="32"/>
      <c r="OJZ63" s="32"/>
      <c r="OKA63" s="32"/>
      <c r="OKB63" s="32"/>
      <c r="OKC63" s="32"/>
      <c r="OKD63" s="32"/>
      <c r="OKE63" s="32"/>
      <c r="OKF63" s="32"/>
      <c r="OKG63" s="32"/>
      <c r="OKH63" s="32"/>
      <c r="OKI63" s="32"/>
      <c r="OKJ63" s="32"/>
      <c r="OKK63" s="32"/>
      <c r="OKL63" s="32"/>
      <c r="OKM63" s="32"/>
      <c r="OKN63" s="32"/>
      <c r="OKO63" s="32"/>
      <c r="OKP63" s="32"/>
      <c r="OKQ63" s="32"/>
      <c r="OKR63" s="32"/>
      <c r="OKS63" s="32"/>
      <c r="OKT63" s="32"/>
      <c r="OKU63" s="32"/>
      <c r="OKV63" s="32"/>
      <c r="OKW63" s="32"/>
      <c r="OKX63" s="32"/>
      <c r="OKY63" s="32"/>
      <c r="OKZ63" s="32"/>
      <c r="OLA63" s="32"/>
      <c r="OLB63" s="32"/>
      <c r="OLC63" s="32"/>
      <c r="OLD63" s="32"/>
      <c r="OLE63" s="32"/>
      <c r="OLF63" s="32"/>
      <c r="OLG63" s="32"/>
      <c r="OLH63" s="32"/>
      <c r="OLI63" s="32"/>
      <c r="OLJ63" s="32"/>
      <c r="OLK63" s="32"/>
      <c r="OLL63" s="32"/>
      <c r="OLM63" s="32"/>
      <c r="OLN63" s="32"/>
      <c r="OLO63" s="32"/>
      <c r="OLP63" s="32"/>
      <c r="OLQ63" s="32"/>
      <c r="OLR63" s="32"/>
      <c r="OLS63" s="32"/>
      <c r="OLT63" s="32"/>
      <c r="OLU63" s="32"/>
      <c r="OLV63" s="32"/>
      <c r="OLW63" s="32"/>
      <c r="OLX63" s="32"/>
      <c r="OLY63" s="32"/>
      <c r="OLZ63" s="32"/>
      <c r="OMA63" s="32"/>
      <c r="OMB63" s="32"/>
      <c r="OMC63" s="32"/>
      <c r="OMD63" s="32"/>
      <c r="OME63" s="32"/>
      <c r="OMF63" s="32"/>
      <c r="OMG63" s="32"/>
      <c r="OMH63" s="32"/>
      <c r="OMI63" s="32"/>
      <c r="OMJ63" s="32"/>
      <c r="OMK63" s="32"/>
      <c r="OML63" s="32"/>
      <c r="OMM63" s="32"/>
      <c r="OMN63" s="32"/>
      <c r="OMO63" s="32"/>
      <c r="OMP63" s="32"/>
      <c r="OMQ63" s="32"/>
      <c r="OMR63" s="32"/>
      <c r="OMS63" s="32"/>
      <c r="OMT63" s="32"/>
      <c r="OMU63" s="32"/>
      <c r="OMV63" s="32"/>
      <c r="OMW63" s="32"/>
      <c r="OMX63" s="32"/>
      <c r="OMY63" s="32"/>
      <c r="OMZ63" s="32"/>
      <c r="ONA63" s="32"/>
      <c r="ONB63" s="32"/>
      <c r="ONC63" s="32"/>
      <c r="OND63" s="32"/>
      <c r="ONE63" s="32"/>
      <c r="ONF63" s="32"/>
      <c r="ONG63" s="32"/>
      <c r="ONH63" s="32"/>
      <c r="ONI63" s="32"/>
      <c r="ONJ63" s="32"/>
      <c r="ONK63" s="32"/>
      <c r="ONL63" s="32"/>
      <c r="ONM63" s="32"/>
      <c r="ONN63" s="32"/>
      <c r="ONO63" s="32"/>
      <c r="ONP63" s="32"/>
      <c r="ONQ63" s="32"/>
      <c r="ONR63" s="32"/>
      <c r="ONS63" s="32"/>
      <c r="ONT63" s="32"/>
      <c r="ONU63" s="32"/>
      <c r="ONV63" s="32"/>
      <c r="ONW63" s="32"/>
      <c r="ONX63" s="32"/>
      <c r="ONY63" s="32"/>
      <c r="ONZ63" s="32"/>
      <c r="OOA63" s="32"/>
      <c r="OOB63" s="32"/>
      <c r="OOC63" s="32"/>
      <c r="OOD63" s="32"/>
      <c r="OOE63" s="32"/>
      <c r="OOF63" s="32"/>
      <c r="OOG63" s="32"/>
      <c r="OOH63" s="32"/>
      <c r="OOI63" s="32"/>
      <c r="OOJ63" s="32"/>
      <c r="OOK63" s="32"/>
      <c r="OOL63" s="32"/>
      <c r="OOM63" s="32"/>
      <c r="OON63" s="32"/>
      <c r="OOO63" s="32"/>
      <c r="OOP63" s="32"/>
      <c r="OOQ63" s="32"/>
      <c r="OOR63" s="32"/>
      <c r="OOS63" s="32"/>
      <c r="OOT63" s="32"/>
      <c r="OOU63" s="32"/>
      <c r="OOV63" s="32"/>
      <c r="OOW63" s="32"/>
      <c r="OOX63" s="32"/>
      <c r="OOY63" s="32"/>
      <c r="OOZ63" s="32"/>
      <c r="OPA63" s="32"/>
      <c r="OPB63" s="32"/>
      <c r="OPC63" s="32"/>
      <c r="OPD63" s="32"/>
      <c r="OPE63" s="32"/>
      <c r="OPF63" s="32"/>
      <c r="OPG63" s="32"/>
      <c r="OPH63" s="32"/>
      <c r="OPI63" s="32"/>
      <c r="OPJ63" s="32"/>
      <c r="OPK63" s="32"/>
      <c r="OPL63" s="32"/>
      <c r="OPM63" s="32"/>
      <c r="OPN63" s="32"/>
      <c r="OPO63" s="32"/>
      <c r="OPP63" s="32"/>
      <c r="OPQ63" s="32"/>
      <c r="OPR63" s="32"/>
      <c r="OPS63" s="32"/>
      <c r="OPT63" s="32"/>
      <c r="OPU63" s="32"/>
      <c r="OPV63" s="32"/>
      <c r="OPW63" s="32"/>
      <c r="OPX63" s="32"/>
      <c r="OPY63" s="32"/>
      <c r="OPZ63" s="32"/>
      <c r="OQA63" s="32"/>
      <c r="OQB63" s="32"/>
      <c r="OQC63" s="32"/>
      <c r="OQD63" s="32"/>
      <c r="OQE63" s="32"/>
      <c r="OQF63" s="32"/>
      <c r="OQG63" s="32"/>
      <c r="OQH63" s="32"/>
      <c r="OQI63" s="32"/>
      <c r="OQJ63" s="32"/>
      <c r="OQK63" s="32"/>
      <c r="OQL63" s="32"/>
      <c r="OQM63" s="32"/>
      <c r="OQN63" s="32"/>
      <c r="OQO63" s="32"/>
      <c r="OQP63" s="32"/>
      <c r="OQQ63" s="32"/>
      <c r="OQR63" s="32"/>
      <c r="OQS63" s="32"/>
      <c r="OQT63" s="32"/>
      <c r="OQU63" s="32"/>
      <c r="OQV63" s="32"/>
      <c r="OQW63" s="32"/>
      <c r="OQX63" s="32"/>
      <c r="OQY63" s="32"/>
      <c r="OQZ63" s="32"/>
      <c r="ORA63" s="32"/>
      <c r="ORB63" s="32"/>
      <c r="ORC63" s="32"/>
      <c r="ORD63" s="32"/>
      <c r="ORE63" s="32"/>
      <c r="ORF63" s="32"/>
      <c r="ORG63" s="32"/>
      <c r="ORH63" s="32"/>
      <c r="ORI63" s="32"/>
      <c r="ORJ63" s="32"/>
      <c r="ORK63" s="32"/>
      <c r="ORL63" s="32"/>
      <c r="ORM63" s="32"/>
      <c r="ORN63" s="32"/>
      <c r="ORO63" s="32"/>
      <c r="ORP63" s="32"/>
      <c r="ORQ63" s="32"/>
      <c r="ORR63" s="32"/>
      <c r="ORS63" s="32"/>
      <c r="ORT63" s="32"/>
      <c r="ORU63" s="32"/>
      <c r="ORV63" s="32"/>
      <c r="ORW63" s="32"/>
      <c r="ORX63" s="32"/>
      <c r="ORY63" s="32"/>
      <c r="ORZ63" s="32"/>
      <c r="OSA63" s="32"/>
      <c r="OSB63" s="32"/>
      <c r="OSC63" s="32"/>
      <c r="OSD63" s="32"/>
      <c r="OSE63" s="32"/>
      <c r="OSF63" s="32"/>
      <c r="OSG63" s="32"/>
      <c r="OSH63" s="32"/>
      <c r="OSI63" s="32"/>
      <c r="OSJ63" s="32"/>
      <c r="OSK63" s="32"/>
      <c r="OSL63" s="32"/>
      <c r="OSM63" s="32"/>
      <c r="OSN63" s="32"/>
      <c r="OSO63" s="32"/>
      <c r="OSP63" s="32"/>
      <c r="OSQ63" s="32"/>
      <c r="OSR63" s="32"/>
      <c r="OSS63" s="32"/>
      <c r="OST63" s="32"/>
      <c r="OSU63" s="32"/>
      <c r="OSV63" s="32"/>
      <c r="OSW63" s="32"/>
      <c r="OSX63" s="32"/>
      <c r="OSY63" s="32"/>
      <c r="OSZ63" s="32"/>
      <c r="OTA63" s="32"/>
      <c r="OTB63" s="32"/>
      <c r="OTC63" s="32"/>
      <c r="OTD63" s="32"/>
      <c r="OTE63" s="32"/>
      <c r="OTF63" s="32"/>
      <c r="OTG63" s="32"/>
      <c r="OTH63" s="32"/>
      <c r="OTI63" s="32"/>
      <c r="OTJ63" s="32"/>
      <c r="OTK63" s="32"/>
      <c r="OTL63" s="32"/>
      <c r="OTM63" s="32"/>
      <c r="OTN63" s="32"/>
      <c r="OTO63" s="32"/>
      <c r="OTP63" s="32"/>
      <c r="OTQ63" s="32"/>
      <c r="OTR63" s="32"/>
      <c r="OTS63" s="32"/>
      <c r="OTT63" s="32"/>
      <c r="OTU63" s="32"/>
      <c r="OTV63" s="32"/>
      <c r="OTW63" s="32"/>
      <c r="OTX63" s="32"/>
      <c r="OTY63" s="32"/>
      <c r="OTZ63" s="32"/>
      <c r="OUA63" s="32"/>
      <c r="OUB63" s="32"/>
      <c r="OUC63" s="32"/>
      <c r="OUD63" s="32"/>
      <c r="OUE63" s="32"/>
      <c r="OUF63" s="32"/>
      <c r="OUG63" s="32"/>
      <c r="OUH63" s="32"/>
      <c r="OUI63" s="32"/>
      <c r="OUJ63" s="32"/>
      <c r="OUK63" s="32"/>
      <c r="OUL63" s="32"/>
      <c r="OUM63" s="32"/>
      <c r="OUN63" s="32"/>
      <c r="OUO63" s="32"/>
      <c r="OUP63" s="32"/>
      <c r="OUQ63" s="32"/>
      <c r="OUR63" s="32"/>
      <c r="OUS63" s="32"/>
      <c r="OUT63" s="32"/>
      <c r="OUU63" s="32"/>
      <c r="OUV63" s="32"/>
      <c r="OUW63" s="32"/>
      <c r="OUX63" s="32"/>
      <c r="OUY63" s="32"/>
      <c r="OUZ63" s="32"/>
      <c r="OVA63" s="32"/>
      <c r="OVB63" s="32"/>
      <c r="OVC63" s="32"/>
      <c r="OVD63" s="32"/>
      <c r="OVE63" s="32"/>
      <c r="OVF63" s="32"/>
      <c r="OVG63" s="32"/>
      <c r="OVH63" s="32"/>
      <c r="OVI63" s="32"/>
      <c r="OVJ63" s="32"/>
      <c r="OVK63" s="32"/>
      <c r="OVL63" s="32"/>
      <c r="OVM63" s="32"/>
      <c r="OVN63" s="32"/>
      <c r="OVO63" s="32"/>
      <c r="OVP63" s="32"/>
      <c r="OVQ63" s="32"/>
      <c r="OVR63" s="32"/>
      <c r="OVS63" s="32"/>
      <c r="OVT63" s="32"/>
      <c r="OVU63" s="32"/>
      <c r="OVV63" s="32"/>
      <c r="OVW63" s="32"/>
      <c r="OVX63" s="32"/>
      <c r="OVY63" s="32"/>
      <c r="OVZ63" s="32"/>
      <c r="OWA63" s="32"/>
      <c r="OWB63" s="32"/>
      <c r="OWC63" s="32"/>
      <c r="OWD63" s="32"/>
      <c r="OWE63" s="32"/>
      <c r="OWF63" s="32"/>
      <c r="OWG63" s="32"/>
      <c r="OWH63" s="32"/>
      <c r="OWI63" s="32"/>
      <c r="OWJ63" s="32"/>
      <c r="OWK63" s="32"/>
      <c r="OWL63" s="32"/>
      <c r="OWM63" s="32"/>
      <c r="OWN63" s="32"/>
      <c r="OWO63" s="32"/>
      <c r="OWP63" s="32"/>
      <c r="OWQ63" s="32"/>
      <c r="OWR63" s="32"/>
      <c r="OWS63" s="32"/>
      <c r="OWT63" s="32"/>
      <c r="OWU63" s="32"/>
      <c r="OWV63" s="32"/>
      <c r="OWW63" s="32"/>
      <c r="OWX63" s="32"/>
      <c r="OWY63" s="32"/>
      <c r="OWZ63" s="32"/>
      <c r="OXA63" s="32"/>
      <c r="OXB63" s="32"/>
      <c r="OXC63" s="32"/>
      <c r="OXD63" s="32"/>
      <c r="OXE63" s="32"/>
      <c r="OXF63" s="32"/>
      <c r="OXG63" s="32"/>
      <c r="OXH63" s="32"/>
      <c r="OXI63" s="32"/>
      <c r="OXJ63" s="32"/>
      <c r="OXK63" s="32"/>
      <c r="OXL63" s="32"/>
      <c r="OXM63" s="32"/>
      <c r="OXN63" s="32"/>
      <c r="OXO63" s="32"/>
      <c r="OXP63" s="32"/>
      <c r="OXQ63" s="32"/>
      <c r="OXR63" s="32"/>
      <c r="OXS63" s="32"/>
      <c r="OXT63" s="32"/>
      <c r="OXU63" s="32"/>
      <c r="OXV63" s="32"/>
      <c r="OXW63" s="32"/>
      <c r="OXX63" s="32"/>
      <c r="OXY63" s="32"/>
      <c r="OXZ63" s="32"/>
      <c r="OYA63" s="32"/>
      <c r="OYB63" s="32"/>
      <c r="OYC63" s="32"/>
      <c r="OYD63" s="32"/>
      <c r="OYE63" s="32"/>
      <c r="OYF63" s="32"/>
      <c r="OYG63" s="32"/>
      <c r="OYH63" s="32"/>
      <c r="OYI63" s="32"/>
      <c r="OYJ63" s="32"/>
      <c r="OYK63" s="32"/>
      <c r="OYL63" s="32"/>
      <c r="OYM63" s="32"/>
      <c r="OYN63" s="32"/>
      <c r="OYO63" s="32"/>
      <c r="OYP63" s="32"/>
      <c r="OYQ63" s="32"/>
      <c r="OYR63" s="32"/>
      <c r="OYS63" s="32"/>
      <c r="OYT63" s="32"/>
      <c r="OYU63" s="32"/>
      <c r="OYV63" s="32"/>
      <c r="OYW63" s="32"/>
      <c r="OYX63" s="32"/>
      <c r="OYY63" s="32"/>
      <c r="OYZ63" s="32"/>
      <c r="OZA63" s="32"/>
      <c r="OZB63" s="32"/>
      <c r="OZC63" s="32"/>
      <c r="OZD63" s="32"/>
      <c r="OZE63" s="32"/>
      <c r="OZF63" s="32"/>
      <c r="OZG63" s="32"/>
      <c r="OZH63" s="32"/>
      <c r="OZI63" s="32"/>
      <c r="OZJ63" s="32"/>
      <c r="OZK63" s="32"/>
      <c r="OZL63" s="32"/>
      <c r="OZM63" s="32"/>
      <c r="OZN63" s="32"/>
      <c r="OZO63" s="32"/>
      <c r="OZP63" s="32"/>
      <c r="OZQ63" s="32"/>
      <c r="OZR63" s="32"/>
      <c r="OZS63" s="32"/>
      <c r="OZT63" s="32"/>
      <c r="OZU63" s="32"/>
      <c r="OZV63" s="32"/>
      <c r="OZW63" s="32"/>
      <c r="OZX63" s="32"/>
      <c r="OZY63" s="32"/>
      <c r="OZZ63" s="32"/>
      <c r="PAA63" s="32"/>
      <c r="PAB63" s="32"/>
      <c r="PAC63" s="32"/>
      <c r="PAD63" s="32"/>
      <c r="PAE63" s="32"/>
      <c r="PAF63" s="32"/>
      <c r="PAG63" s="32"/>
      <c r="PAH63" s="32"/>
      <c r="PAI63" s="32"/>
      <c r="PAJ63" s="32"/>
      <c r="PAK63" s="32"/>
      <c r="PAL63" s="32"/>
      <c r="PAM63" s="32"/>
      <c r="PAN63" s="32"/>
      <c r="PAO63" s="32"/>
      <c r="PAP63" s="32"/>
      <c r="PAQ63" s="32"/>
      <c r="PAR63" s="32"/>
      <c r="PAS63" s="32"/>
      <c r="PAT63" s="32"/>
      <c r="PAU63" s="32"/>
      <c r="PAV63" s="32"/>
      <c r="PAW63" s="32"/>
      <c r="PAX63" s="32"/>
      <c r="PAY63" s="32"/>
      <c r="PAZ63" s="32"/>
      <c r="PBA63" s="32"/>
      <c r="PBB63" s="32"/>
      <c r="PBC63" s="32"/>
      <c r="PBD63" s="32"/>
      <c r="PBE63" s="32"/>
      <c r="PBF63" s="32"/>
      <c r="PBG63" s="32"/>
      <c r="PBH63" s="32"/>
      <c r="PBI63" s="32"/>
      <c r="PBJ63" s="32"/>
      <c r="PBK63" s="32"/>
      <c r="PBL63" s="32"/>
      <c r="PBM63" s="32"/>
      <c r="PBN63" s="32"/>
      <c r="PBO63" s="32"/>
      <c r="PBP63" s="32"/>
      <c r="PBQ63" s="32"/>
      <c r="PBR63" s="32"/>
      <c r="PBS63" s="32"/>
      <c r="PBT63" s="32"/>
      <c r="PBU63" s="32"/>
      <c r="PBV63" s="32"/>
      <c r="PBW63" s="32"/>
      <c r="PBX63" s="32"/>
      <c r="PBY63" s="32"/>
      <c r="PBZ63" s="32"/>
      <c r="PCA63" s="32"/>
      <c r="PCB63" s="32"/>
      <c r="PCC63" s="32"/>
      <c r="PCD63" s="32"/>
      <c r="PCE63" s="32"/>
      <c r="PCF63" s="32"/>
      <c r="PCG63" s="32"/>
      <c r="PCH63" s="32"/>
      <c r="PCI63" s="32"/>
      <c r="PCJ63" s="32"/>
      <c r="PCK63" s="32"/>
      <c r="PCL63" s="32"/>
      <c r="PCM63" s="32"/>
      <c r="PCN63" s="32"/>
      <c r="PCO63" s="32"/>
      <c r="PCP63" s="32"/>
      <c r="PCQ63" s="32"/>
      <c r="PCR63" s="32"/>
      <c r="PCS63" s="32"/>
      <c r="PCT63" s="32"/>
      <c r="PCU63" s="32"/>
      <c r="PCV63" s="32"/>
      <c r="PCW63" s="32"/>
      <c r="PCX63" s="32"/>
      <c r="PCY63" s="32"/>
      <c r="PCZ63" s="32"/>
      <c r="PDA63" s="32"/>
      <c r="PDB63" s="32"/>
      <c r="PDC63" s="32"/>
      <c r="PDD63" s="32"/>
      <c r="PDE63" s="32"/>
      <c r="PDF63" s="32"/>
      <c r="PDG63" s="32"/>
      <c r="PDH63" s="32"/>
      <c r="PDI63" s="32"/>
      <c r="PDJ63" s="32"/>
      <c r="PDK63" s="32"/>
      <c r="PDL63" s="32"/>
      <c r="PDM63" s="32"/>
      <c r="PDN63" s="32"/>
      <c r="PDO63" s="32"/>
      <c r="PDP63" s="32"/>
      <c r="PDQ63" s="32"/>
      <c r="PDR63" s="32"/>
      <c r="PDS63" s="32"/>
      <c r="PDT63" s="32"/>
      <c r="PDU63" s="32"/>
      <c r="PDV63" s="32"/>
      <c r="PDW63" s="32"/>
      <c r="PDX63" s="32"/>
      <c r="PDY63" s="32"/>
      <c r="PDZ63" s="32"/>
      <c r="PEA63" s="32"/>
      <c r="PEB63" s="32"/>
      <c r="PEC63" s="32"/>
      <c r="PED63" s="32"/>
      <c r="PEE63" s="32"/>
      <c r="PEF63" s="32"/>
      <c r="PEG63" s="32"/>
      <c r="PEH63" s="32"/>
      <c r="PEI63" s="32"/>
      <c r="PEJ63" s="32"/>
      <c r="PEK63" s="32"/>
      <c r="PEL63" s="32"/>
      <c r="PEM63" s="32"/>
      <c r="PEN63" s="32"/>
      <c r="PEO63" s="32"/>
      <c r="PEP63" s="32"/>
      <c r="PEQ63" s="32"/>
      <c r="PER63" s="32"/>
      <c r="PES63" s="32"/>
      <c r="PET63" s="32"/>
      <c r="PEU63" s="32"/>
      <c r="PEV63" s="32"/>
      <c r="PEW63" s="32"/>
      <c r="PEX63" s="32"/>
      <c r="PEY63" s="32"/>
      <c r="PEZ63" s="32"/>
      <c r="PFA63" s="32"/>
      <c r="PFB63" s="32"/>
      <c r="PFC63" s="32"/>
      <c r="PFD63" s="32"/>
      <c r="PFE63" s="32"/>
      <c r="PFF63" s="32"/>
      <c r="PFG63" s="32"/>
      <c r="PFH63" s="32"/>
      <c r="PFI63" s="32"/>
      <c r="PFJ63" s="32"/>
      <c r="PFK63" s="32"/>
      <c r="PFL63" s="32"/>
      <c r="PFM63" s="32"/>
      <c r="PFN63" s="32"/>
      <c r="PFO63" s="32"/>
      <c r="PFP63" s="32"/>
      <c r="PFQ63" s="32"/>
      <c r="PFR63" s="32"/>
      <c r="PFS63" s="32"/>
      <c r="PFT63" s="32"/>
      <c r="PFU63" s="32"/>
      <c r="PFV63" s="32"/>
      <c r="PFW63" s="32"/>
      <c r="PFX63" s="32"/>
      <c r="PFY63" s="32"/>
      <c r="PFZ63" s="32"/>
      <c r="PGA63" s="32"/>
      <c r="PGB63" s="32"/>
      <c r="PGC63" s="32"/>
      <c r="PGD63" s="32"/>
      <c r="PGE63" s="32"/>
      <c r="PGF63" s="32"/>
      <c r="PGG63" s="32"/>
      <c r="PGH63" s="32"/>
      <c r="PGI63" s="32"/>
      <c r="PGJ63" s="32"/>
      <c r="PGK63" s="32"/>
      <c r="PGL63" s="32"/>
      <c r="PGM63" s="32"/>
      <c r="PGN63" s="32"/>
      <c r="PGO63" s="32"/>
      <c r="PGP63" s="32"/>
      <c r="PGQ63" s="32"/>
      <c r="PGR63" s="32"/>
      <c r="PGS63" s="32"/>
      <c r="PGT63" s="32"/>
      <c r="PGU63" s="32"/>
      <c r="PGV63" s="32"/>
      <c r="PGW63" s="32"/>
      <c r="PGX63" s="32"/>
      <c r="PGY63" s="32"/>
      <c r="PGZ63" s="32"/>
      <c r="PHA63" s="32"/>
      <c r="PHB63" s="32"/>
      <c r="PHC63" s="32"/>
      <c r="PHD63" s="32"/>
      <c r="PHE63" s="32"/>
      <c r="PHF63" s="32"/>
      <c r="PHG63" s="32"/>
      <c r="PHH63" s="32"/>
      <c r="PHI63" s="32"/>
      <c r="PHJ63" s="32"/>
      <c r="PHK63" s="32"/>
      <c r="PHL63" s="32"/>
      <c r="PHM63" s="32"/>
      <c r="PHN63" s="32"/>
      <c r="PHO63" s="32"/>
      <c r="PHP63" s="32"/>
      <c r="PHQ63" s="32"/>
      <c r="PHR63" s="32"/>
      <c r="PHS63" s="32"/>
      <c r="PHT63" s="32"/>
      <c r="PHU63" s="32"/>
      <c r="PHV63" s="32"/>
      <c r="PHW63" s="32"/>
      <c r="PHX63" s="32"/>
      <c r="PHY63" s="32"/>
      <c r="PHZ63" s="32"/>
      <c r="PIA63" s="32"/>
      <c r="PIB63" s="32"/>
      <c r="PIC63" s="32"/>
      <c r="PID63" s="32"/>
      <c r="PIE63" s="32"/>
      <c r="PIF63" s="32"/>
      <c r="PIG63" s="32"/>
      <c r="PIH63" s="32"/>
      <c r="PII63" s="32"/>
      <c r="PIJ63" s="32"/>
      <c r="PIK63" s="32"/>
      <c r="PIL63" s="32"/>
      <c r="PIM63" s="32"/>
      <c r="PIN63" s="32"/>
      <c r="PIO63" s="32"/>
      <c r="PIP63" s="32"/>
      <c r="PIQ63" s="32"/>
      <c r="PIR63" s="32"/>
      <c r="PIS63" s="32"/>
      <c r="PIT63" s="32"/>
      <c r="PIU63" s="32"/>
      <c r="PIV63" s="32"/>
      <c r="PIW63" s="32"/>
      <c r="PIX63" s="32"/>
      <c r="PIY63" s="32"/>
      <c r="PIZ63" s="32"/>
      <c r="PJA63" s="32"/>
      <c r="PJB63" s="32"/>
      <c r="PJC63" s="32"/>
      <c r="PJD63" s="32"/>
      <c r="PJE63" s="32"/>
      <c r="PJF63" s="32"/>
      <c r="PJG63" s="32"/>
      <c r="PJH63" s="32"/>
      <c r="PJI63" s="32"/>
      <c r="PJJ63" s="32"/>
      <c r="PJK63" s="32"/>
      <c r="PJL63" s="32"/>
      <c r="PJM63" s="32"/>
      <c r="PJN63" s="32"/>
      <c r="PJO63" s="32"/>
      <c r="PJP63" s="32"/>
      <c r="PJQ63" s="32"/>
      <c r="PJR63" s="32"/>
      <c r="PJS63" s="32"/>
      <c r="PJT63" s="32"/>
      <c r="PJU63" s="32"/>
      <c r="PJV63" s="32"/>
      <c r="PJW63" s="32"/>
      <c r="PJX63" s="32"/>
      <c r="PJY63" s="32"/>
      <c r="PJZ63" s="32"/>
      <c r="PKA63" s="32"/>
      <c r="PKB63" s="32"/>
      <c r="PKC63" s="32"/>
      <c r="PKD63" s="32"/>
      <c r="PKE63" s="32"/>
      <c r="PKF63" s="32"/>
      <c r="PKG63" s="32"/>
      <c r="PKH63" s="32"/>
      <c r="PKI63" s="32"/>
      <c r="PKJ63" s="32"/>
      <c r="PKK63" s="32"/>
      <c r="PKL63" s="32"/>
      <c r="PKM63" s="32"/>
      <c r="PKN63" s="32"/>
      <c r="PKO63" s="32"/>
      <c r="PKP63" s="32"/>
      <c r="PKQ63" s="32"/>
      <c r="PKR63" s="32"/>
      <c r="PKS63" s="32"/>
      <c r="PKT63" s="32"/>
      <c r="PKU63" s="32"/>
      <c r="PKV63" s="32"/>
      <c r="PKW63" s="32"/>
      <c r="PKX63" s="32"/>
      <c r="PKY63" s="32"/>
      <c r="PKZ63" s="32"/>
      <c r="PLA63" s="32"/>
      <c r="PLB63" s="32"/>
      <c r="PLC63" s="32"/>
      <c r="PLD63" s="32"/>
      <c r="PLE63" s="32"/>
      <c r="PLF63" s="32"/>
      <c r="PLG63" s="32"/>
      <c r="PLH63" s="32"/>
      <c r="PLI63" s="32"/>
      <c r="PLJ63" s="32"/>
      <c r="PLK63" s="32"/>
      <c r="PLL63" s="32"/>
      <c r="PLM63" s="32"/>
      <c r="PLN63" s="32"/>
      <c r="PLO63" s="32"/>
      <c r="PLP63" s="32"/>
      <c r="PLQ63" s="32"/>
      <c r="PLR63" s="32"/>
      <c r="PLS63" s="32"/>
      <c r="PLT63" s="32"/>
      <c r="PLU63" s="32"/>
      <c r="PLV63" s="32"/>
      <c r="PLW63" s="32"/>
      <c r="PLX63" s="32"/>
      <c r="PLY63" s="32"/>
      <c r="PLZ63" s="32"/>
      <c r="PMA63" s="32"/>
      <c r="PMB63" s="32"/>
      <c r="PMC63" s="32"/>
      <c r="PMD63" s="32"/>
      <c r="PME63" s="32"/>
      <c r="PMF63" s="32"/>
      <c r="PMG63" s="32"/>
      <c r="PMH63" s="32"/>
      <c r="PMI63" s="32"/>
      <c r="PMJ63" s="32"/>
      <c r="PMK63" s="32"/>
      <c r="PML63" s="32"/>
      <c r="PMM63" s="32"/>
      <c r="PMN63" s="32"/>
      <c r="PMO63" s="32"/>
      <c r="PMP63" s="32"/>
      <c r="PMQ63" s="32"/>
      <c r="PMR63" s="32"/>
      <c r="PMS63" s="32"/>
      <c r="PMT63" s="32"/>
      <c r="PMU63" s="32"/>
      <c r="PMV63" s="32"/>
      <c r="PMW63" s="32"/>
      <c r="PMX63" s="32"/>
      <c r="PMY63" s="32"/>
      <c r="PMZ63" s="32"/>
      <c r="PNA63" s="32"/>
      <c r="PNB63" s="32"/>
      <c r="PNC63" s="32"/>
      <c r="PND63" s="32"/>
      <c r="PNE63" s="32"/>
      <c r="PNF63" s="32"/>
      <c r="PNG63" s="32"/>
      <c r="PNH63" s="32"/>
      <c r="PNI63" s="32"/>
      <c r="PNJ63" s="32"/>
      <c r="PNK63" s="32"/>
      <c r="PNL63" s="32"/>
      <c r="PNM63" s="32"/>
      <c r="PNN63" s="32"/>
      <c r="PNO63" s="32"/>
      <c r="PNP63" s="32"/>
      <c r="PNQ63" s="32"/>
      <c r="PNR63" s="32"/>
      <c r="PNS63" s="32"/>
      <c r="PNT63" s="32"/>
      <c r="PNU63" s="32"/>
      <c r="PNV63" s="32"/>
      <c r="PNW63" s="32"/>
      <c r="PNX63" s="32"/>
      <c r="PNY63" s="32"/>
      <c r="PNZ63" s="32"/>
      <c r="POA63" s="32"/>
      <c r="POB63" s="32"/>
      <c r="POC63" s="32"/>
      <c r="POD63" s="32"/>
      <c r="POE63" s="32"/>
      <c r="POF63" s="32"/>
      <c r="POG63" s="32"/>
      <c r="POH63" s="32"/>
      <c r="POI63" s="32"/>
      <c r="POJ63" s="32"/>
      <c r="POK63" s="32"/>
      <c r="POL63" s="32"/>
      <c r="POM63" s="32"/>
      <c r="PON63" s="32"/>
      <c r="POO63" s="32"/>
      <c r="POP63" s="32"/>
      <c r="POQ63" s="32"/>
      <c r="POR63" s="32"/>
      <c r="POS63" s="32"/>
      <c r="POT63" s="32"/>
      <c r="POU63" s="32"/>
      <c r="POV63" s="32"/>
      <c r="POW63" s="32"/>
      <c r="POX63" s="32"/>
      <c r="POY63" s="32"/>
      <c r="POZ63" s="32"/>
      <c r="PPA63" s="32"/>
      <c r="PPB63" s="32"/>
      <c r="PPC63" s="32"/>
      <c r="PPD63" s="32"/>
      <c r="PPE63" s="32"/>
      <c r="PPF63" s="32"/>
      <c r="PPG63" s="32"/>
      <c r="PPH63" s="32"/>
      <c r="PPI63" s="32"/>
      <c r="PPJ63" s="32"/>
      <c r="PPK63" s="32"/>
      <c r="PPL63" s="32"/>
      <c r="PPM63" s="32"/>
      <c r="PPN63" s="32"/>
      <c r="PPO63" s="32"/>
      <c r="PPP63" s="32"/>
      <c r="PPQ63" s="32"/>
      <c r="PPR63" s="32"/>
      <c r="PPS63" s="32"/>
      <c r="PPT63" s="32"/>
      <c r="PPU63" s="32"/>
      <c r="PPV63" s="32"/>
      <c r="PPW63" s="32"/>
      <c r="PPX63" s="32"/>
      <c r="PPY63" s="32"/>
      <c r="PPZ63" s="32"/>
      <c r="PQA63" s="32"/>
      <c r="PQB63" s="32"/>
      <c r="PQC63" s="32"/>
      <c r="PQD63" s="32"/>
      <c r="PQE63" s="32"/>
      <c r="PQF63" s="32"/>
      <c r="PQG63" s="32"/>
      <c r="PQH63" s="32"/>
      <c r="PQI63" s="32"/>
      <c r="PQJ63" s="32"/>
      <c r="PQK63" s="32"/>
      <c r="PQL63" s="32"/>
      <c r="PQM63" s="32"/>
      <c r="PQN63" s="32"/>
      <c r="PQO63" s="32"/>
      <c r="PQP63" s="32"/>
      <c r="PQQ63" s="32"/>
      <c r="PQR63" s="32"/>
      <c r="PQS63" s="32"/>
      <c r="PQT63" s="32"/>
      <c r="PQU63" s="32"/>
      <c r="PQV63" s="32"/>
      <c r="PQW63" s="32"/>
      <c r="PQX63" s="32"/>
      <c r="PQY63" s="32"/>
      <c r="PQZ63" s="32"/>
      <c r="PRA63" s="32"/>
      <c r="PRB63" s="32"/>
      <c r="PRC63" s="32"/>
      <c r="PRD63" s="32"/>
      <c r="PRE63" s="32"/>
      <c r="PRF63" s="32"/>
      <c r="PRG63" s="32"/>
      <c r="PRH63" s="32"/>
      <c r="PRI63" s="32"/>
      <c r="PRJ63" s="32"/>
      <c r="PRK63" s="32"/>
      <c r="PRL63" s="32"/>
      <c r="PRM63" s="32"/>
      <c r="PRN63" s="32"/>
      <c r="PRO63" s="32"/>
      <c r="PRP63" s="32"/>
      <c r="PRQ63" s="32"/>
      <c r="PRR63" s="32"/>
      <c r="PRS63" s="32"/>
      <c r="PRT63" s="32"/>
      <c r="PRU63" s="32"/>
      <c r="PRV63" s="32"/>
      <c r="PRW63" s="32"/>
      <c r="PRX63" s="32"/>
      <c r="PRY63" s="32"/>
      <c r="PRZ63" s="32"/>
      <c r="PSA63" s="32"/>
      <c r="PSB63" s="32"/>
      <c r="PSC63" s="32"/>
      <c r="PSD63" s="32"/>
      <c r="PSE63" s="32"/>
      <c r="PSF63" s="32"/>
      <c r="PSG63" s="32"/>
      <c r="PSH63" s="32"/>
      <c r="PSI63" s="32"/>
      <c r="PSJ63" s="32"/>
      <c r="PSK63" s="32"/>
      <c r="PSL63" s="32"/>
      <c r="PSM63" s="32"/>
      <c r="PSN63" s="32"/>
      <c r="PSO63" s="32"/>
      <c r="PSP63" s="32"/>
      <c r="PSQ63" s="32"/>
      <c r="PSR63" s="32"/>
      <c r="PSS63" s="32"/>
      <c r="PST63" s="32"/>
      <c r="PSU63" s="32"/>
      <c r="PSV63" s="32"/>
      <c r="PSW63" s="32"/>
      <c r="PSX63" s="32"/>
      <c r="PSY63" s="32"/>
      <c r="PSZ63" s="32"/>
      <c r="PTA63" s="32"/>
      <c r="PTB63" s="32"/>
      <c r="PTC63" s="32"/>
      <c r="PTD63" s="32"/>
      <c r="PTE63" s="32"/>
      <c r="PTF63" s="32"/>
      <c r="PTG63" s="32"/>
      <c r="PTH63" s="32"/>
      <c r="PTI63" s="32"/>
      <c r="PTJ63" s="32"/>
      <c r="PTK63" s="32"/>
      <c r="PTL63" s="32"/>
      <c r="PTM63" s="32"/>
      <c r="PTN63" s="32"/>
      <c r="PTO63" s="32"/>
      <c r="PTP63" s="32"/>
      <c r="PTQ63" s="32"/>
      <c r="PTR63" s="32"/>
      <c r="PTS63" s="32"/>
      <c r="PTT63" s="32"/>
      <c r="PTU63" s="32"/>
      <c r="PTV63" s="32"/>
      <c r="PTW63" s="32"/>
      <c r="PTX63" s="32"/>
      <c r="PTY63" s="32"/>
      <c r="PTZ63" s="32"/>
      <c r="PUA63" s="32"/>
      <c r="PUB63" s="32"/>
      <c r="PUC63" s="32"/>
      <c r="PUD63" s="32"/>
      <c r="PUE63" s="32"/>
      <c r="PUF63" s="32"/>
      <c r="PUG63" s="32"/>
      <c r="PUH63" s="32"/>
      <c r="PUI63" s="32"/>
      <c r="PUJ63" s="32"/>
      <c r="PUK63" s="32"/>
      <c r="PUL63" s="32"/>
      <c r="PUM63" s="32"/>
      <c r="PUN63" s="32"/>
      <c r="PUO63" s="32"/>
      <c r="PUP63" s="32"/>
      <c r="PUQ63" s="32"/>
      <c r="PUR63" s="32"/>
      <c r="PUS63" s="32"/>
      <c r="PUT63" s="32"/>
      <c r="PUU63" s="32"/>
      <c r="PUV63" s="32"/>
      <c r="PUW63" s="32"/>
      <c r="PUX63" s="32"/>
      <c r="PUY63" s="32"/>
      <c r="PUZ63" s="32"/>
      <c r="PVA63" s="32"/>
      <c r="PVB63" s="32"/>
      <c r="PVC63" s="32"/>
      <c r="PVD63" s="32"/>
      <c r="PVE63" s="32"/>
      <c r="PVF63" s="32"/>
      <c r="PVG63" s="32"/>
      <c r="PVH63" s="32"/>
      <c r="PVI63" s="32"/>
      <c r="PVJ63" s="32"/>
      <c r="PVK63" s="32"/>
      <c r="PVL63" s="32"/>
      <c r="PVM63" s="32"/>
      <c r="PVN63" s="32"/>
      <c r="PVO63" s="32"/>
      <c r="PVP63" s="32"/>
      <c r="PVQ63" s="32"/>
      <c r="PVR63" s="32"/>
      <c r="PVS63" s="32"/>
      <c r="PVT63" s="32"/>
      <c r="PVU63" s="32"/>
      <c r="PVV63" s="32"/>
      <c r="PVW63" s="32"/>
      <c r="PVX63" s="32"/>
      <c r="PVY63" s="32"/>
      <c r="PVZ63" s="32"/>
      <c r="PWA63" s="32"/>
      <c r="PWB63" s="32"/>
      <c r="PWC63" s="32"/>
      <c r="PWD63" s="32"/>
      <c r="PWE63" s="32"/>
      <c r="PWF63" s="32"/>
      <c r="PWG63" s="32"/>
      <c r="PWH63" s="32"/>
      <c r="PWI63" s="32"/>
      <c r="PWJ63" s="32"/>
      <c r="PWK63" s="32"/>
      <c r="PWL63" s="32"/>
      <c r="PWM63" s="32"/>
      <c r="PWN63" s="32"/>
      <c r="PWO63" s="32"/>
      <c r="PWP63" s="32"/>
      <c r="PWQ63" s="32"/>
      <c r="PWR63" s="32"/>
      <c r="PWS63" s="32"/>
      <c r="PWT63" s="32"/>
      <c r="PWU63" s="32"/>
      <c r="PWV63" s="32"/>
      <c r="PWW63" s="32"/>
      <c r="PWX63" s="32"/>
      <c r="PWY63" s="32"/>
      <c r="PWZ63" s="32"/>
      <c r="PXA63" s="32"/>
      <c r="PXB63" s="32"/>
      <c r="PXC63" s="32"/>
      <c r="PXD63" s="32"/>
      <c r="PXE63" s="32"/>
      <c r="PXF63" s="32"/>
      <c r="PXG63" s="32"/>
      <c r="PXH63" s="32"/>
      <c r="PXI63" s="32"/>
      <c r="PXJ63" s="32"/>
      <c r="PXK63" s="32"/>
      <c r="PXL63" s="32"/>
      <c r="PXM63" s="32"/>
      <c r="PXN63" s="32"/>
      <c r="PXO63" s="32"/>
      <c r="PXP63" s="32"/>
      <c r="PXQ63" s="32"/>
      <c r="PXR63" s="32"/>
      <c r="PXS63" s="32"/>
      <c r="PXT63" s="32"/>
      <c r="PXU63" s="32"/>
      <c r="PXV63" s="32"/>
      <c r="PXW63" s="32"/>
      <c r="PXX63" s="32"/>
      <c r="PXY63" s="32"/>
      <c r="PXZ63" s="32"/>
      <c r="PYA63" s="32"/>
      <c r="PYB63" s="32"/>
      <c r="PYC63" s="32"/>
      <c r="PYD63" s="32"/>
      <c r="PYE63" s="32"/>
      <c r="PYF63" s="32"/>
      <c r="PYG63" s="32"/>
      <c r="PYH63" s="32"/>
      <c r="PYI63" s="32"/>
      <c r="PYJ63" s="32"/>
      <c r="PYK63" s="32"/>
      <c r="PYL63" s="32"/>
      <c r="PYM63" s="32"/>
      <c r="PYN63" s="32"/>
      <c r="PYO63" s="32"/>
      <c r="PYP63" s="32"/>
      <c r="PYQ63" s="32"/>
      <c r="PYR63" s="32"/>
      <c r="PYS63" s="32"/>
      <c r="PYT63" s="32"/>
      <c r="PYU63" s="32"/>
      <c r="PYV63" s="32"/>
      <c r="PYW63" s="32"/>
      <c r="PYX63" s="32"/>
      <c r="PYY63" s="32"/>
      <c r="PYZ63" s="32"/>
      <c r="PZA63" s="32"/>
      <c r="PZB63" s="32"/>
      <c r="PZC63" s="32"/>
      <c r="PZD63" s="32"/>
      <c r="PZE63" s="32"/>
      <c r="PZF63" s="32"/>
      <c r="PZG63" s="32"/>
      <c r="PZH63" s="32"/>
      <c r="PZI63" s="32"/>
      <c r="PZJ63" s="32"/>
      <c r="PZK63" s="32"/>
      <c r="PZL63" s="32"/>
      <c r="PZM63" s="32"/>
      <c r="PZN63" s="32"/>
      <c r="PZO63" s="32"/>
      <c r="PZP63" s="32"/>
      <c r="PZQ63" s="32"/>
      <c r="PZR63" s="32"/>
      <c r="PZS63" s="32"/>
      <c r="PZT63" s="32"/>
      <c r="PZU63" s="32"/>
      <c r="PZV63" s="32"/>
      <c r="PZW63" s="32"/>
      <c r="PZX63" s="32"/>
      <c r="PZY63" s="32"/>
      <c r="PZZ63" s="32"/>
      <c r="QAA63" s="32"/>
      <c r="QAB63" s="32"/>
      <c r="QAC63" s="32"/>
      <c r="QAD63" s="32"/>
      <c r="QAE63" s="32"/>
      <c r="QAF63" s="32"/>
      <c r="QAG63" s="32"/>
      <c r="QAH63" s="32"/>
      <c r="QAI63" s="32"/>
      <c r="QAJ63" s="32"/>
      <c r="QAK63" s="32"/>
      <c r="QAL63" s="32"/>
      <c r="QAM63" s="32"/>
      <c r="QAN63" s="32"/>
      <c r="QAO63" s="32"/>
      <c r="QAP63" s="32"/>
      <c r="QAQ63" s="32"/>
      <c r="QAR63" s="32"/>
      <c r="QAS63" s="32"/>
      <c r="QAT63" s="32"/>
      <c r="QAU63" s="32"/>
      <c r="QAV63" s="32"/>
      <c r="QAW63" s="32"/>
      <c r="QAX63" s="32"/>
      <c r="QAY63" s="32"/>
      <c r="QAZ63" s="32"/>
      <c r="QBA63" s="32"/>
      <c r="QBB63" s="32"/>
      <c r="QBC63" s="32"/>
      <c r="QBD63" s="32"/>
      <c r="QBE63" s="32"/>
      <c r="QBF63" s="32"/>
      <c r="QBG63" s="32"/>
      <c r="QBH63" s="32"/>
      <c r="QBI63" s="32"/>
      <c r="QBJ63" s="32"/>
      <c r="QBK63" s="32"/>
      <c r="QBL63" s="32"/>
      <c r="QBM63" s="32"/>
      <c r="QBN63" s="32"/>
      <c r="QBO63" s="32"/>
      <c r="QBP63" s="32"/>
      <c r="QBQ63" s="32"/>
      <c r="QBR63" s="32"/>
      <c r="QBS63" s="32"/>
      <c r="QBT63" s="32"/>
      <c r="QBU63" s="32"/>
      <c r="QBV63" s="32"/>
      <c r="QBW63" s="32"/>
      <c r="QBX63" s="32"/>
      <c r="QBY63" s="32"/>
      <c r="QBZ63" s="32"/>
      <c r="QCA63" s="32"/>
      <c r="QCB63" s="32"/>
      <c r="QCC63" s="32"/>
      <c r="QCD63" s="32"/>
      <c r="QCE63" s="32"/>
      <c r="QCF63" s="32"/>
      <c r="QCG63" s="32"/>
      <c r="QCH63" s="32"/>
      <c r="QCI63" s="32"/>
      <c r="QCJ63" s="32"/>
      <c r="QCK63" s="32"/>
      <c r="QCL63" s="32"/>
      <c r="QCM63" s="32"/>
      <c r="QCN63" s="32"/>
      <c r="QCO63" s="32"/>
      <c r="QCP63" s="32"/>
      <c r="QCQ63" s="32"/>
      <c r="QCR63" s="32"/>
      <c r="QCS63" s="32"/>
      <c r="QCT63" s="32"/>
      <c r="QCU63" s="32"/>
      <c r="QCV63" s="32"/>
      <c r="QCW63" s="32"/>
      <c r="QCX63" s="32"/>
      <c r="QCY63" s="32"/>
      <c r="QCZ63" s="32"/>
      <c r="QDA63" s="32"/>
      <c r="QDB63" s="32"/>
      <c r="QDC63" s="32"/>
      <c r="QDD63" s="32"/>
      <c r="QDE63" s="32"/>
      <c r="QDF63" s="32"/>
      <c r="QDG63" s="32"/>
      <c r="QDH63" s="32"/>
      <c r="QDI63" s="32"/>
      <c r="QDJ63" s="32"/>
      <c r="QDK63" s="32"/>
      <c r="QDL63" s="32"/>
      <c r="QDM63" s="32"/>
      <c r="QDN63" s="32"/>
      <c r="QDO63" s="32"/>
      <c r="QDP63" s="32"/>
      <c r="QDQ63" s="32"/>
      <c r="QDR63" s="32"/>
      <c r="QDS63" s="32"/>
      <c r="QDT63" s="32"/>
      <c r="QDU63" s="32"/>
      <c r="QDV63" s="32"/>
      <c r="QDW63" s="32"/>
      <c r="QDX63" s="32"/>
      <c r="QDY63" s="32"/>
      <c r="QDZ63" s="32"/>
      <c r="QEA63" s="32"/>
      <c r="QEB63" s="32"/>
      <c r="QEC63" s="32"/>
      <c r="QED63" s="32"/>
      <c r="QEE63" s="32"/>
      <c r="QEF63" s="32"/>
      <c r="QEG63" s="32"/>
      <c r="QEH63" s="32"/>
      <c r="QEI63" s="32"/>
      <c r="QEJ63" s="32"/>
      <c r="QEK63" s="32"/>
      <c r="QEL63" s="32"/>
      <c r="QEM63" s="32"/>
      <c r="QEN63" s="32"/>
      <c r="QEO63" s="32"/>
      <c r="QEP63" s="32"/>
      <c r="QEQ63" s="32"/>
      <c r="QER63" s="32"/>
      <c r="QES63" s="32"/>
      <c r="QET63" s="32"/>
      <c r="QEU63" s="32"/>
      <c r="QEV63" s="32"/>
      <c r="QEW63" s="32"/>
      <c r="QEX63" s="32"/>
      <c r="QEY63" s="32"/>
      <c r="QEZ63" s="32"/>
      <c r="QFA63" s="32"/>
      <c r="QFB63" s="32"/>
      <c r="QFC63" s="32"/>
      <c r="QFD63" s="32"/>
      <c r="QFE63" s="32"/>
      <c r="QFF63" s="32"/>
      <c r="QFG63" s="32"/>
      <c r="QFH63" s="32"/>
      <c r="QFI63" s="32"/>
      <c r="QFJ63" s="32"/>
      <c r="QFK63" s="32"/>
      <c r="QFL63" s="32"/>
      <c r="QFM63" s="32"/>
      <c r="QFN63" s="32"/>
      <c r="QFO63" s="32"/>
      <c r="QFP63" s="32"/>
      <c r="QFQ63" s="32"/>
      <c r="QFR63" s="32"/>
      <c r="QFS63" s="32"/>
      <c r="QFT63" s="32"/>
      <c r="QFU63" s="32"/>
      <c r="QFV63" s="32"/>
      <c r="QFW63" s="32"/>
      <c r="QFX63" s="32"/>
      <c r="QFY63" s="32"/>
      <c r="QFZ63" s="32"/>
      <c r="QGA63" s="32"/>
      <c r="QGB63" s="32"/>
      <c r="QGC63" s="32"/>
      <c r="QGD63" s="32"/>
      <c r="QGE63" s="32"/>
      <c r="QGF63" s="32"/>
      <c r="QGG63" s="32"/>
      <c r="QGH63" s="32"/>
      <c r="QGI63" s="32"/>
      <c r="QGJ63" s="32"/>
      <c r="QGK63" s="32"/>
      <c r="QGL63" s="32"/>
      <c r="QGM63" s="32"/>
      <c r="QGN63" s="32"/>
      <c r="QGO63" s="32"/>
      <c r="QGP63" s="32"/>
      <c r="QGQ63" s="32"/>
      <c r="QGR63" s="32"/>
      <c r="QGS63" s="32"/>
      <c r="QGT63" s="32"/>
      <c r="QGU63" s="32"/>
      <c r="QGV63" s="32"/>
      <c r="QGW63" s="32"/>
      <c r="QGX63" s="32"/>
      <c r="QGY63" s="32"/>
      <c r="QGZ63" s="32"/>
      <c r="QHA63" s="32"/>
      <c r="QHB63" s="32"/>
      <c r="QHC63" s="32"/>
      <c r="QHD63" s="32"/>
      <c r="QHE63" s="32"/>
      <c r="QHF63" s="32"/>
      <c r="QHG63" s="32"/>
      <c r="QHH63" s="32"/>
      <c r="QHI63" s="32"/>
      <c r="QHJ63" s="32"/>
      <c r="QHK63" s="32"/>
      <c r="QHL63" s="32"/>
      <c r="QHM63" s="32"/>
      <c r="QHN63" s="32"/>
      <c r="QHO63" s="32"/>
      <c r="QHP63" s="32"/>
      <c r="QHQ63" s="32"/>
      <c r="QHR63" s="32"/>
      <c r="QHS63" s="32"/>
      <c r="QHT63" s="32"/>
      <c r="QHU63" s="32"/>
      <c r="QHV63" s="32"/>
      <c r="QHW63" s="32"/>
      <c r="QHX63" s="32"/>
      <c r="QHY63" s="32"/>
      <c r="QHZ63" s="32"/>
      <c r="QIA63" s="32"/>
      <c r="QIB63" s="32"/>
      <c r="QIC63" s="32"/>
      <c r="QID63" s="32"/>
      <c r="QIE63" s="32"/>
      <c r="QIF63" s="32"/>
      <c r="QIG63" s="32"/>
      <c r="QIH63" s="32"/>
      <c r="QII63" s="32"/>
      <c r="QIJ63" s="32"/>
      <c r="QIK63" s="32"/>
      <c r="QIL63" s="32"/>
      <c r="QIM63" s="32"/>
      <c r="QIN63" s="32"/>
      <c r="QIO63" s="32"/>
      <c r="QIP63" s="32"/>
      <c r="QIQ63" s="32"/>
      <c r="QIR63" s="32"/>
      <c r="QIS63" s="32"/>
      <c r="QIT63" s="32"/>
      <c r="QIU63" s="32"/>
      <c r="QIV63" s="32"/>
      <c r="QIW63" s="32"/>
      <c r="QIX63" s="32"/>
      <c r="QIY63" s="32"/>
      <c r="QIZ63" s="32"/>
      <c r="QJA63" s="32"/>
      <c r="QJB63" s="32"/>
      <c r="QJC63" s="32"/>
      <c r="QJD63" s="32"/>
      <c r="QJE63" s="32"/>
      <c r="QJF63" s="32"/>
      <c r="QJG63" s="32"/>
      <c r="QJH63" s="32"/>
      <c r="QJI63" s="32"/>
      <c r="QJJ63" s="32"/>
      <c r="QJK63" s="32"/>
      <c r="QJL63" s="32"/>
      <c r="QJM63" s="32"/>
      <c r="QJN63" s="32"/>
      <c r="QJO63" s="32"/>
      <c r="QJP63" s="32"/>
      <c r="QJQ63" s="32"/>
      <c r="QJR63" s="32"/>
      <c r="QJS63" s="32"/>
      <c r="QJT63" s="32"/>
      <c r="QJU63" s="32"/>
      <c r="QJV63" s="32"/>
      <c r="QJW63" s="32"/>
      <c r="QJX63" s="32"/>
      <c r="QJY63" s="32"/>
      <c r="QJZ63" s="32"/>
      <c r="QKA63" s="32"/>
      <c r="QKB63" s="32"/>
      <c r="QKC63" s="32"/>
      <c r="QKD63" s="32"/>
      <c r="QKE63" s="32"/>
      <c r="QKF63" s="32"/>
      <c r="QKG63" s="32"/>
      <c r="QKH63" s="32"/>
      <c r="QKI63" s="32"/>
      <c r="QKJ63" s="32"/>
      <c r="QKK63" s="32"/>
      <c r="QKL63" s="32"/>
      <c r="QKM63" s="32"/>
      <c r="QKN63" s="32"/>
      <c r="QKO63" s="32"/>
      <c r="QKP63" s="32"/>
      <c r="QKQ63" s="32"/>
      <c r="QKR63" s="32"/>
      <c r="QKS63" s="32"/>
      <c r="QKT63" s="32"/>
      <c r="QKU63" s="32"/>
      <c r="QKV63" s="32"/>
      <c r="QKW63" s="32"/>
      <c r="QKX63" s="32"/>
      <c r="QKY63" s="32"/>
      <c r="QKZ63" s="32"/>
      <c r="QLA63" s="32"/>
      <c r="QLB63" s="32"/>
      <c r="QLC63" s="32"/>
      <c r="QLD63" s="32"/>
      <c r="QLE63" s="32"/>
      <c r="QLF63" s="32"/>
      <c r="QLG63" s="32"/>
      <c r="QLH63" s="32"/>
      <c r="QLI63" s="32"/>
      <c r="QLJ63" s="32"/>
      <c r="QLK63" s="32"/>
      <c r="QLL63" s="32"/>
      <c r="QLM63" s="32"/>
      <c r="QLN63" s="32"/>
      <c r="QLO63" s="32"/>
      <c r="QLP63" s="32"/>
      <c r="QLQ63" s="32"/>
      <c r="QLR63" s="32"/>
      <c r="QLS63" s="32"/>
      <c r="QLT63" s="32"/>
      <c r="QLU63" s="32"/>
      <c r="QLV63" s="32"/>
      <c r="QLW63" s="32"/>
      <c r="QLX63" s="32"/>
      <c r="QLY63" s="32"/>
      <c r="QLZ63" s="32"/>
      <c r="QMA63" s="32"/>
      <c r="QMB63" s="32"/>
      <c r="QMC63" s="32"/>
      <c r="QMD63" s="32"/>
      <c r="QME63" s="32"/>
      <c r="QMF63" s="32"/>
      <c r="QMG63" s="32"/>
      <c r="QMH63" s="32"/>
      <c r="QMI63" s="32"/>
      <c r="QMJ63" s="32"/>
      <c r="QMK63" s="32"/>
      <c r="QML63" s="32"/>
      <c r="QMM63" s="32"/>
      <c r="QMN63" s="32"/>
      <c r="QMO63" s="32"/>
      <c r="QMP63" s="32"/>
      <c r="QMQ63" s="32"/>
      <c r="QMR63" s="32"/>
      <c r="QMS63" s="32"/>
      <c r="QMT63" s="32"/>
      <c r="QMU63" s="32"/>
      <c r="QMV63" s="32"/>
      <c r="QMW63" s="32"/>
      <c r="QMX63" s="32"/>
      <c r="QMY63" s="32"/>
      <c r="QMZ63" s="32"/>
      <c r="QNA63" s="32"/>
      <c r="QNB63" s="32"/>
      <c r="QNC63" s="32"/>
      <c r="QND63" s="32"/>
      <c r="QNE63" s="32"/>
      <c r="QNF63" s="32"/>
      <c r="QNG63" s="32"/>
      <c r="QNH63" s="32"/>
      <c r="QNI63" s="32"/>
      <c r="QNJ63" s="32"/>
      <c r="QNK63" s="32"/>
      <c r="QNL63" s="32"/>
      <c r="QNM63" s="32"/>
      <c r="QNN63" s="32"/>
      <c r="QNO63" s="32"/>
      <c r="QNP63" s="32"/>
      <c r="QNQ63" s="32"/>
      <c r="QNR63" s="32"/>
      <c r="QNS63" s="32"/>
      <c r="QNT63" s="32"/>
      <c r="QNU63" s="32"/>
      <c r="QNV63" s="32"/>
      <c r="QNW63" s="32"/>
      <c r="QNX63" s="32"/>
      <c r="QNY63" s="32"/>
      <c r="QNZ63" s="32"/>
      <c r="QOA63" s="32"/>
      <c r="QOB63" s="32"/>
      <c r="QOC63" s="32"/>
      <c r="QOD63" s="32"/>
      <c r="QOE63" s="32"/>
      <c r="QOF63" s="32"/>
      <c r="QOG63" s="32"/>
      <c r="QOH63" s="32"/>
      <c r="QOI63" s="32"/>
      <c r="QOJ63" s="32"/>
      <c r="QOK63" s="32"/>
      <c r="QOL63" s="32"/>
      <c r="QOM63" s="32"/>
      <c r="QON63" s="32"/>
      <c r="QOO63" s="32"/>
      <c r="QOP63" s="32"/>
      <c r="QOQ63" s="32"/>
      <c r="QOR63" s="32"/>
      <c r="QOS63" s="32"/>
      <c r="QOT63" s="32"/>
      <c r="QOU63" s="32"/>
      <c r="QOV63" s="32"/>
      <c r="QOW63" s="32"/>
      <c r="QOX63" s="32"/>
      <c r="QOY63" s="32"/>
      <c r="QOZ63" s="32"/>
      <c r="QPA63" s="32"/>
      <c r="QPB63" s="32"/>
      <c r="QPC63" s="32"/>
      <c r="QPD63" s="32"/>
      <c r="QPE63" s="32"/>
      <c r="QPF63" s="32"/>
      <c r="QPG63" s="32"/>
      <c r="QPH63" s="32"/>
      <c r="QPI63" s="32"/>
      <c r="QPJ63" s="32"/>
      <c r="QPK63" s="32"/>
      <c r="QPL63" s="32"/>
      <c r="QPM63" s="32"/>
      <c r="QPN63" s="32"/>
      <c r="QPO63" s="32"/>
      <c r="QPP63" s="32"/>
      <c r="QPQ63" s="32"/>
      <c r="QPR63" s="32"/>
      <c r="QPS63" s="32"/>
      <c r="QPT63" s="32"/>
      <c r="QPU63" s="32"/>
      <c r="QPV63" s="32"/>
      <c r="QPW63" s="32"/>
      <c r="QPX63" s="32"/>
      <c r="QPY63" s="32"/>
      <c r="QPZ63" s="32"/>
      <c r="QQA63" s="32"/>
      <c r="QQB63" s="32"/>
      <c r="QQC63" s="32"/>
      <c r="QQD63" s="32"/>
      <c r="QQE63" s="32"/>
      <c r="QQF63" s="32"/>
      <c r="QQG63" s="32"/>
      <c r="QQH63" s="32"/>
      <c r="QQI63" s="32"/>
      <c r="QQJ63" s="32"/>
      <c r="QQK63" s="32"/>
      <c r="QQL63" s="32"/>
      <c r="QQM63" s="32"/>
      <c r="QQN63" s="32"/>
      <c r="QQO63" s="32"/>
      <c r="QQP63" s="32"/>
      <c r="QQQ63" s="32"/>
      <c r="QQR63" s="32"/>
      <c r="QQS63" s="32"/>
      <c r="QQT63" s="32"/>
      <c r="QQU63" s="32"/>
      <c r="QQV63" s="32"/>
      <c r="QQW63" s="32"/>
      <c r="QQX63" s="32"/>
      <c r="QQY63" s="32"/>
      <c r="QQZ63" s="32"/>
      <c r="QRA63" s="32"/>
      <c r="QRB63" s="32"/>
      <c r="QRC63" s="32"/>
      <c r="QRD63" s="32"/>
      <c r="QRE63" s="32"/>
      <c r="QRF63" s="32"/>
      <c r="QRG63" s="32"/>
      <c r="QRH63" s="32"/>
      <c r="QRI63" s="32"/>
      <c r="QRJ63" s="32"/>
      <c r="QRK63" s="32"/>
      <c r="QRL63" s="32"/>
      <c r="QRM63" s="32"/>
      <c r="QRN63" s="32"/>
      <c r="QRO63" s="32"/>
      <c r="QRP63" s="32"/>
      <c r="QRQ63" s="32"/>
      <c r="QRR63" s="32"/>
      <c r="QRS63" s="32"/>
      <c r="QRT63" s="32"/>
      <c r="QRU63" s="32"/>
      <c r="QRV63" s="32"/>
      <c r="QRW63" s="32"/>
      <c r="QRX63" s="32"/>
      <c r="QRY63" s="32"/>
      <c r="QRZ63" s="32"/>
      <c r="QSA63" s="32"/>
      <c r="QSB63" s="32"/>
      <c r="QSC63" s="32"/>
      <c r="QSD63" s="32"/>
      <c r="QSE63" s="32"/>
      <c r="QSF63" s="32"/>
      <c r="QSG63" s="32"/>
      <c r="QSH63" s="32"/>
      <c r="QSI63" s="32"/>
      <c r="QSJ63" s="32"/>
      <c r="QSK63" s="32"/>
      <c r="QSL63" s="32"/>
      <c r="QSM63" s="32"/>
      <c r="QSN63" s="32"/>
      <c r="QSO63" s="32"/>
      <c r="QSP63" s="32"/>
      <c r="QSQ63" s="32"/>
      <c r="QSR63" s="32"/>
      <c r="QSS63" s="32"/>
      <c r="QST63" s="32"/>
      <c r="QSU63" s="32"/>
      <c r="QSV63" s="32"/>
      <c r="QSW63" s="32"/>
      <c r="QSX63" s="32"/>
      <c r="QSY63" s="32"/>
      <c r="QSZ63" s="32"/>
      <c r="QTA63" s="32"/>
      <c r="QTB63" s="32"/>
      <c r="QTC63" s="32"/>
      <c r="QTD63" s="32"/>
      <c r="QTE63" s="32"/>
      <c r="QTF63" s="32"/>
      <c r="QTG63" s="32"/>
      <c r="QTH63" s="32"/>
      <c r="QTI63" s="32"/>
      <c r="QTJ63" s="32"/>
      <c r="QTK63" s="32"/>
      <c r="QTL63" s="32"/>
      <c r="QTM63" s="32"/>
      <c r="QTN63" s="32"/>
      <c r="QTO63" s="32"/>
      <c r="QTP63" s="32"/>
      <c r="QTQ63" s="32"/>
      <c r="QTR63" s="32"/>
      <c r="QTS63" s="32"/>
      <c r="QTT63" s="32"/>
      <c r="QTU63" s="32"/>
      <c r="QTV63" s="32"/>
      <c r="QTW63" s="32"/>
      <c r="QTX63" s="32"/>
      <c r="QTY63" s="32"/>
      <c r="QTZ63" s="32"/>
      <c r="QUA63" s="32"/>
      <c r="QUB63" s="32"/>
      <c r="QUC63" s="32"/>
      <c r="QUD63" s="32"/>
      <c r="QUE63" s="32"/>
      <c r="QUF63" s="32"/>
      <c r="QUG63" s="32"/>
      <c r="QUH63" s="32"/>
      <c r="QUI63" s="32"/>
      <c r="QUJ63" s="32"/>
      <c r="QUK63" s="32"/>
      <c r="QUL63" s="32"/>
      <c r="QUM63" s="32"/>
      <c r="QUN63" s="32"/>
      <c r="QUO63" s="32"/>
      <c r="QUP63" s="32"/>
      <c r="QUQ63" s="32"/>
      <c r="QUR63" s="32"/>
      <c r="QUS63" s="32"/>
      <c r="QUT63" s="32"/>
      <c r="QUU63" s="32"/>
      <c r="QUV63" s="32"/>
      <c r="QUW63" s="32"/>
      <c r="QUX63" s="32"/>
      <c r="QUY63" s="32"/>
      <c r="QUZ63" s="32"/>
      <c r="QVA63" s="32"/>
      <c r="QVB63" s="32"/>
      <c r="QVC63" s="32"/>
      <c r="QVD63" s="32"/>
      <c r="QVE63" s="32"/>
      <c r="QVF63" s="32"/>
      <c r="QVG63" s="32"/>
      <c r="QVH63" s="32"/>
      <c r="QVI63" s="32"/>
      <c r="QVJ63" s="32"/>
      <c r="QVK63" s="32"/>
      <c r="QVL63" s="32"/>
      <c r="QVM63" s="32"/>
      <c r="QVN63" s="32"/>
      <c r="QVO63" s="32"/>
      <c r="QVP63" s="32"/>
      <c r="QVQ63" s="32"/>
      <c r="QVR63" s="32"/>
      <c r="QVS63" s="32"/>
      <c r="QVT63" s="32"/>
      <c r="QVU63" s="32"/>
      <c r="QVV63" s="32"/>
      <c r="QVW63" s="32"/>
      <c r="QVX63" s="32"/>
      <c r="QVY63" s="32"/>
      <c r="QVZ63" s="32"/>
      <c r="QWA63" s="32"/>
      <c r="QWB63" s="32"/>
      <c r="QWC63" s="32"/>
      <c r="QWD63" s="32"/>
      <c r="QWE63" s="32"/>
      <c r="QWF63" s="32"/>
      <c r="QWG63" s="32"/>
      <c r="QWH63" s="32"/>
      <c r="QWI63" s="32"/>
      <c r="QWJ63" s="32"/>
      <c r="QWK63" s="32"/>
      <c r="QWL63" s="32"/>
      <c r="QWM63" s="32"/>
      <c r="QWN63" s="32"/>
      <c r="QWO63" s="32"/>
      <c r="QWP63" s="32"/>
      <c r="QWQ63" s="32"/>
      <c r="QWR63" s="32"/>
      <c r="QWS63" s="32"/>
      <c r="QWT63" s="32"/>
      <c r="QWU63" s="32"/>
      <c r="QWV63" s="32"/>
      <c r="QWW63" s="32"/>
      <c r="QWX63" s="32"/>
      <c r="QWY63" s="32"/>
      <c r="QWZ63" s="32"/>
      <c r="QXA63" s="32"/>
      <c r="QXB63" s="32"/>
      <c r="QXC63" s="32"/>
      <c r="QXD63" s="32"/>
      <c r="QXE63" s="32"/>
      <c r="QXF63" s="32"/>
      <c r="QXG63" s="32"/>
      <c r="QXH63" s="32"/>
      <c r="QXI63" s="32"/>
      <c r="QXJ63" s="32"/>
      <c r="QXK63" s="32"/>
      <c r="QXL63" s="32"/>
      <c r="QXM63" s="32"/>
      <c r="QXN63" s="32"/>
      <c r="QXO63" s="32"/>
      <c r="QXP63" s="32"/>
      <c r="QXQ63" s="32"/>
      <c r="QXR63" s="32"/>
      <c r="QXS63" s="32"/>
      <c r="QXT63" s="32"/>
      <c r="QXU63" s="32"/>
      <c r="QXV63" s="32"/>
      <c r="QXW63" s="32"/>
      <c r="QXX63" s="32"/>
      <c r="QXY63" s="32"/>
      <c r="QXZ63" s="32"/>
      <c r="QYA63" s="32"/>
      <c r="QYB63" s="32"/>
      <c r="QYC63" s="32"/>
      <c r="QYD63" s="32"/>
      <c r="QYE63" s="32"/>
      <c r="QYF63" s="32"/>
      <c r="QYG63" s="32"/>
      <c r="QYH63" s="32"/>
      <c r="QYI63" s="32"/>
      <c r="QYJ63" s="32"/>
      <c r="QYK63" s="32"/>
      <c r="QYL63" s="32"/>
      <c r="QYM63" s="32"/>
      <c r="QYN63" s="32"/>
      <c r="QYO63" s="32"/>
      <c r="QYP63" s="32"/>
      <c r="QYQ63" s="32"/>
      <c r="QYR63" s="32"/>
      <c r="QYS63" s="32"/>
      <c r="QYT63" s="32"/>
      <c r="QYU63" s="32"/>
      <c r="QYV63" s="32"/>
      <c r="QYW63" s="32"/>
      <c r="QYX63" s="32"/>
      <c r="QYY63" s="32"/>
      <c r="QYZ63" s="32"/>
      <c r="QZA63" s="32"/>
      <c r="QZB63" s="32"/>
      <c r="QZC63" s="32"/>
      <c r="QZD63" s="32"/>
      <c r="QZE63" s="32"/>
      <c r="QZF63" s="32"/>
      <c r="QZG63" s="32"/>
      <c r="QZH63" s="32"/>
      <c r="QZI63" s="32"/>
      <c r="QZJ63" s="32"/>
      <c r="QZK63" s="32"/>
      <c r="QZL63" s="32"/>
      <c r="QZM63" s="32"/>
      <c r="QZN63" s="32"/>
      <c r="QZO63" s="32"/>
      <c r="QZP63" s="32"/>
      <c r="QZQ63" s="32"/>
      <c r="QZR63" s="32"/>
      <c r="QZS63" s="32"/>
      <c r="QZT63" s="32"/>
      <c r="QZU63" s="32"/>
      <c r="QZV63" s="32"/>
      <c r="QZW63" s="32"/>
      <c r="QZX63" s="32"/>
      <c r="QZY63" s="32"/>
      <c r="QZZ63" s="32"/>
      <c r="RAA63" s="32"/>
      <c r="RAB63" s="32"/>
      <c r="RAC63" s="32"/>
      <c r="RAD63" s="32"/>
      <c r="RAE63" s="32"/>
      <c r="RAF63" s="32"/>
      <c r="RAG63" s="32"/>
      <c r="RAH63" s="32"/>
      <c r="RAI63" s="32"/>
      <c r="RAJ63" s="32"/>
      <c r="RAK63" s="32"/>
      <c r="RAL63" s="32"/>
      <c r="RAM63" s="32"/>
      <c r="RAN63" s="32"/>
      <c r="RAO63" s="32"/>
      <c r="RAP63" s="32"/>
      <c r="RAQ63" s="32"/>
      <c r="RAR63" s="32"/>
      <c r="RAS63" s="32"/>
      <c r="RAT63" s="32"/>
      <c r="RAU63" s="32"/>
      <c r="RAV63" s="32"/>
      <c r="RAW63" s="32"/>
      <c r="RAX63" s="32"/>
      <c r="RAY63" s="32"/>
      <c r="RAZ63" s="32"/>
      <c r="RBA63" s="32"/>
      <c r="RBB63" s="32"/>
      <c r="RBC63" s="32"/>
      <c r="RBD63" s="32"/>
      <c r="RBE63" s="32"/>
      <c r="RBF63" s="32"/>
      <c r="RBG63" s="32"/>
      <c r="RBH63" s="32"/>
      <c r="RBI63" s="32"/>
      <c r="RBJ63" s="32"/>
      <c r="RBK63" s="32"/>
      <c r="RBL63" s="32"/>
      <c r="RBM63" s="32"/>
      <c r="RBN63" s="32"/>
      <c r="RBO63" s="32"/>
      <c r="RBP63" s="32"/>
      <c r="RBQ63" s="32"/>
      <c r="RBR63" s="32"/>
      <c r="RBS63" s="32"/>
      <c r="RBT63" s="32"/>
      <c r="RBU63" s="32"/>
      <c r="RBV63" s="32"/>
      <c r="RBW63" s="32"/>
      <c r="RBX63" s="32"/>
      <c r="RBY63" s="32"/>
      <c r="RBZ63" s="32"/>
      <c r="RCA63" s="32"/>
      <c r="RCB63" s="32"/>
      <c r="RCC63" s="32"/>
      <c r="RCD63" s="32"/>
      <c r="RCE63" s="32"/>
      <c r="RCF63" s="32"/>
      <c r="RCG63" s="32"/>
      <c r="RCH63" s="32"/>
      <c r="RCI63" s="32"/>
      <c r="RCJ63" s="32"/>
      <c r="RCK63" s="32"/>
      <c r="RCL63" s="32"/>
      <c r="RCM63" s="32"/>
      <c r="RCN63" s="32"/>
      <c r="RCO63" s="32"/>
      <c r="RCP63" s="32"/>
      <c r="RCQ63" s="32"/>
      <c r="RCR63" s="32"/>
      <c r="RCS63" s="32"/>
      <c r="RCT63" s="32"/>
      <c r="RCU63" s="32"/>
      <c r="RCV63" s="32"/>
      <c r="RCW63" s="32"/>
      <c r="RCX63" s="32"/>
      <c r="RCY63" s="32"/>
      <c r="RCZ63" s="32"/>
      <c r="RDA63" s="32"/>
      <c r="RDB63" s="32"/>
      <c r="RDC63" s="32"/>
      <c r="RDD63" s="32"/>
      <c r="RDE63" s="32"/>
      <c r="RDF63" s="32"/>
      <c r="RDG63" s="32"/>
      <c r="RDH63" s="32"/>
      <c r="RDI63" s="32"/>
      <c r="RDJ63" s="32"/>
      <c r="RDK63" s="32"/>
      <c r="RDL63" s="32"/>
      <c r="RDM63" s="32"/>
      <c r="RDN63" s="32"/>
      <c r="RDO63" s="32"/>
      <c r="RDP63" s="32"/>
      <c r="RDQ63" s="32"/>
      <c r="RDR63" s="32"/>
      <c r="RDS63" s="32"/>
      <c r="RDT63" s="32"/>
      <c r="RDU63" s="32"/>
      <c r="RDV63" s="32"/>
      <c r="RDW63" s="32"/>
      <c r="RDX63" s="32"/>
      <c r="RDY63" s="32"/>
      <c r="RDZ63" s="32"/>
      <c r="REA63" s="32"/>
      <c r="REB63" s="32"/>
      <c r="REC63" s="32"/>
      <c r="RED63" s="32"/>
      <c r="REE63" s="32"/>
      <c r="REF63" s="32"/>
      <c r="REG63" s="32"/>
      <c r="REH63" s="32"/>
      <c r="REI63" s="32"/>
      <c r="REJ63" s="32"/>
      <c r="REK63" s="32"/>
      <c r="REL63" s="32"/>
      <c r="REM63" s="32"/>
      <c r="REN63" s="32"/>
      <c r="REO63" s="32"/>
      <c r="REP63" s="32"/>
      <c r="REQ63" s="32"/>
      <c r="RER63" s="32"/>
      <c r="RES63" s="32"/>
      <c r="RET63" s="32"/>
      <c r="REU63" s="32"/>
      <c r="REV63" s="32"/>
      <c r="REW63" s="32"/>
      <c r="REX63" s="32"/>
      <c r="REY63" s="32"/>
      <c r="REZ63" s="32"/>
      <c r="RFA63" s="32"/>
      <c r="RFB63" s="32"/>
      <c r="RFC63" s="32"/>
      <c r="RFD63" s="32"/>
      <c r="RFE63" s="32"/>
      <c r="RFF63" s="32"/>
      <c r="RFG63" s="32"/>
      <c r="RFH63" s="32"/>
      <c r="RFI63" s="32"/>
      <c r="RFJ63" s="32"/>
      <c r="RFK63" s="32"/>
      <c r="RFL63" s="32"/>
      <c r="RFM63" s="32"/>
      <c r="RFN63" s="32"/>
      <c r="RFO63" s="32"/>
      <c r="RFP63" s="32"/>
      <c r="RFQ63" s="32"/>
      <c r="RFR63" s="32"/>
      <c r="RFS63" s="32"/>
      <c r="RFT63" s="32"/>
      <c r="RFU63" s="32"/>
      <c r="RFV63" s="32"/>
      <c r="RFW63" s="32"/>
      <c r="RFX63" s="32"/>
      <c r="RFY63" s="32"/>
      <c r="RFZ63" s="32"/>
      <c r="RGA63" s="32"/>
      <c r="RGB63" s="32"/>
      <c r="RGC63" s="32"/>
      <c r="RGD63" s="32"/>
      <c r="RGE63" s="32"/>
      <c r="RGF63" s="32"/>
      <c r="RGG63" s="32"/>
      <c r="RGH63" s="32"/>
      <c r="RGI63" s="32"/>
      <c r="RGJ63" s="32"/>
      <c r="RGK63" s="32"/>
      <c r="RGL63" s="32"/>
      <c r="RGM63" s="32"/>
      <c r="RGN63" s="32"/>
      <c r="RGO63" s="32"/>
      <c r="RGP63" s="32"/>
      <c r="RGQ63" s="32"/>
      <c r="RGR63" s="32"/>
      <c r="RGS63" s="32"/>
      <c r="RGT63" s="32"/>
      <c r="RGU63" s="32"/>
      <c r="RGV63" s="32"/>
      <c r="RGW63" s="32"/>
      <c r="RGX63" s="32"/>
      <c r="RGY63" s="32"/>
      <c r="RGZ63" s="32"/>
      <c r="RHA63" s="32"/>
      <c r="RHB63" s="32"/>
      <c r="RHC63" s="32"/>
      <c r="RHD63" s="32"/>
      <c r="RHE63" s="32"/>
      <c r="RHF63" s="32"/>
      <c r="RHG63" s="32"/>
      <c r="RHH63" s="32"/>
      <c r="RHI63" s="32"/>
      <c r="RHJ63" s="32"/>
      <c r="RHK63" s="32"/>
      <c r="RHL63" s="32"/>
      <c r="RHM63" s="32"/>
      <c r="RHN63" s="32"/>
      <c r="RHO63" s="32"/>
      <c r="RHP63" s="32"/>
      <c r="RHQ63" s="32"/>
      <c r="RHR63" s="32"/>
      <c r="RHS63" s="32"/>
      <c r="RHT63" s="32"/>
      <c r="RHU63" s="32"/>
      <c r="RHV63" s="32"/>
      <c r="RHW63" s="32"/>
      <c r="RHX63" s="32"/>
      <c r="RHY63" s="32"/>
      <c r="RHZ63" s="32"/>
      <c r="RIA63" s="32"/>
      <c r="RIB63" s="32"/>
      <c r="RIC63" s="32"/>
      <c r="RID63" s="32"/>
      <c r="RIE63" s="32"/>
      <c r="RIF63" s="32"/>
      <c r="RIG63" s="32"/>
      <c r="RIH63" s="32"/>
      <c r="RII63" s="32"/>
      <c r="RIJ63" s="32"/>
      <c r="RIK63" s="32"/>
      <c r="RIL63" s="32"/>
      <c r="RIM63" s="32"/>
      <c r="RIN63" s="32"/>
      <c r="RIO63" s="32"/>
      <c r="RIP63" s="32"/>
      <c r="RIQ63" s="32"/>
      <c r="RIR63" s="32"/>
      <c r="RIS63" s="32"/>
      <c r="RIT63" s="32"/>
      <c r="RIU63" s="32"/>
      <c r="RIV63" s="32"/>
      <c r="RIW63" s="32"/>
      <c r="RIX63" s="32"/>
      <c r="RIY63" s="32"/>
      <c r="RIZ63" s="32"/>
      <c r="RJA63" s="32"/>
      <c r="RJB63" s="32"/>
      <c r="RJC63" s="32"/>
      <c r="RJD63" s="32"/>
      <c r="RJE63" s="32"/>
      <c r="RJF63" s="32"/>
      <c r="RJG63" s="32"/>
      <c r="RJH63" s="32"/>
      <c r="RJI63" s="32"/>
      <c r="RJJ63" s="32"/>
      <c r="RJK63" s="32"/>
      <c r="RJL63" s="32"/>
      <c r="RJM63" s="32"/>
      <c r="RJN63" s="32"/>
      <c r="RJO63" s="32"/>
      <c r="RJP63" s="32"/>
      <c r="RJQ63" s="32"/>
      <c r="RJR63" s="32"/>
      <c r="RJS63" s="32"/>
      <c r="RJT63" s="32"/>
      <c r="RJU63" s="32"/>
      <c r="RJV63" s="32"/>
      <c r="RJW63" s="32"/>
      <c r="RJX63" s="32"/>
      <c r="RJY63" s="32"/>
      <c r="RJZ63" s="32"/>
      <c r="RKA63" s="32"/>
      <c r="RKB63" s="32"/>
      <c r="RKC63" s="32"/>
      <c r="RKD63" s="32"/>
      <c r="RKE63" s="32"/>
      <c r="RKF63" s="32"/>
      <c r="RKG63" s="32"/>
      <c r="RKH63" s="32"/>
      <c r="RKI63" s="32"/>
      <c r="RKJ63" s="32"/>
      <c r="RKK63" s="32"/>
      <c r="RKL63" s="32"/>
      <c r="RKM63" s="32"/>
      <c r="RKN63" s="32"/>
      <c r="RKO63" s="32"/>
      <c r="RKP63" s="32"/>
      <c r="RKQ63" s="32"/>
      <c r="RKR63" s="32"/>
      <c r="RKS63" s="32"/>
      <c r="RKT63" s="32"/>
      <c r="RKU63" s="32"/>
      <c r="RKV63" s="32"/>
      <c r="RKW63" s="32"/>
      <c r="RKX63" s="32"/>
      <c r="RKY63" s="32"/>
      <c r="RKZ63" s="32"/>
      <c r="RLA63" s="32"/>
      <c r="RLB63" s="32"/>
      <c r="RLC63" s="32"/>
      <c r="RLD63" s="32"/>
      <c r="RLE63" s="32"/>
      <c r="RLF63" s="32"/>
      <c r="RLG63" s="32"/>
      <c r="RLH63" s="32"/>
      <c r="RLI63" s="32"/>
      <c r="RLJ63" s="32"/>
      <c r="RLK63" s="32"/>
      <c r="RLL63" s="32"/>
      <c r="RLM63" s="32"/>
      <c r="RLN63" s="32"/>
      <c r="RLO63" s="32"/>
      <c r="RLP63" s="32"/>
      <c r="RLQ63" s="32"/>
      <c r="RLR63" s="32"/>
      <c r="RLS63" s="32"/>
      <c r="RLT63" s="32"/>
      <c r="RLU63" s="32"/>
      <c r="RLV63" s="32"/>
      <c r="RLW63" s="32"/>
      <c r="RLX63" s="32"/>
      <c r="RLY63" s="32"/>
      <c r="RLZ63" s="32"/>
      <c r="RMA63" s="32"/>
      <c r="RMB63" s="32"/>
      <c r="RMC63" s="32"/>
      <c r="RMD63" s="32"/>
      <c r="RME63" s="32"/>
      <c r="RMF63" s="32"/>
      <c r="RMG63" s="32"/>
      <c r="RMH63" s="32"/>
      <c r="RMI63" s="32"/>
      <c r="RMJ63" s="32"/>
      <c r="RMK63" s="32"/>
      <c r="RML63" s="32"/>
      <c r="RMM63" s="32"/>
      <c r="RMN63" s="32"/>
      <c r="RMO63" s="32"/>
      <c r="RMP63" s="32"/>
      <c r="RMQ63" s="32"/>
      <c r="RMR63" s="32"/>
      <c r="RMS63" s="32"/>
      <c r="RMT63" s="32"/>
      <c r="RMU63" s="32"/>
      <c r="RMV63" s="32"/>
      <c r="RMW63" s="32"/>
      <c r="RMX63" s="32"/>
      <c r="RMY63" s="32"/>
      <c r="RMZ63" s="32"/>
      <c r="RNA63" s="32"/>
      <c r="RNB63" s="32"/>
      <c r="RNC63" s="32"/>
      <c r="RND63" s="32"/>
      <c r="RNE63" s="32"/>
      <c r="RNF63" s="32"/>
      <c r="RNG63" s="32"/>
      <c r="RNH63" s="32"/>
      <c r="RNI63" s="32"/>
      <c r="RNJ63" s="32"/>
      <c r="RNK63" s="32"/>
      <c r="RNL63" s="32"/>
      <c r="RNM63" s="32"/>
      <c r="RNN63" s="32"/>
      <c r="RNO63" s="32"/>
      <c r="RNP63" s="32"/>
      <c r="RNQ63" s="32"/>
      <c r="RNR63" s="32"/>
      <c r="RNS63" s="32"/>
      <c r="RNT63" s="32"/>
      <c r="RNU63" s="32"/>
      <c r="RNV63" s="32"/>
      <c r="RNW63" s="32"/>
      <c r="RNX63" s="32"/>
      <c r="RNY63" s="32"/>
      <c r="RNZ63" s="32"/>
      <c r="ROA63" s="32"/>
      <c r="ROB63" s="32"/>
      <c r="ROC63" s="32"/>
      <c r="ROD63" s="32"/>
      <c r="ROE63" s="32"/>
      <c r="ROF63" s="32"/>
      <c r="ROG63" s="32"/>
      <c r="ROH63" s="32"/>
      <c r="ROI63" s="32"/>
      <c r="ROJ63" s="32"/>
      <c r="ROK63" s="32"/>
      <c r="ROL63" s="32"/>
      <c r="ROM63" s="32"/>
      <c r="RON63" s="32"/>
      <c r="ROO63" s="32"/>
      <c r="ROP63" s="32"/>
      <c r="ROQ63" s="32"/>
      <c r="ROR63" s="32"/>
      <c r="ROS63" s="32"/>
      <c r="ROT63" s="32"/>
      <c r="ROU63" s="32"/>
      <c r="ROV63" s="32"/>
      <c r="ROW63" s="32"/>
      <c r="ROX63" s="32"/>
      <c r="ROY63" s="32"/>
      <c r="ROZ63" s="32"/>
      <c r="RPA63" s="32"/>
      <c r="RPB63" s="32"/>
      <c r="RPC63" s="32"/>
      <c r="RPD63" s="32"/>
      <c r="RPE63" s="32"/>
      <c r="RPF63" s="32"/>
      <c r="RPG63" s="32"/>
      <c r="RPH63" s="32"/>
      <c r="RPI63" s="32"/>
      <c r="RPJ63" s="32"/>
      <c r="RPK63" s="32"/>
      <c r="RPL63" s="32"/>
      <c r="RPM63" s="32"/>
      <c r="RPN63" s="32"/>
      <c r="RPO63" s="32"/>
      <c r="RPP63" s="32"/>
      <c r="RPQ63" s="32"/>
      <c r="RPR63" s="32"/>
      <c r="RPS63" s="32"/>
      <c r="RPT63" s="32"/>
      <c r="RPU63" s="32"/>
      <c r="RPV63" s="32"/>
      <c r="RPW63" s="32"/>
      <c r="RPX63" s="32"/>
      <c r="RPY63" s="32"/>
      <c r="RPZ63" s="32"/>
      <c r="RQA63" s="32"/>
      <c r="RQB63" s="32"/>
      <c r="RQC63" s="32"/>
      <c r="RQD63" s="32"/>
      <c r="RQE63" s="32"/>
      <c r="RQF63" s="32"/>
      <c r="RQG63" s="32"/>
      <c r="RQH63" s="32"/>
      <c r="RQI63" s="32"/>
      <c r="RQJ63" s="32"/>
      <c r="RQK63" s="32"/>
      <c r="RQL63" s="32"/>
      <c r="RQM63" s="32"/>
      <c r="RQN63" s="32"/>
      <c r="RQO63" s="32"/>
      <c r="RQP63" s="32"/>
      <c r="RQQ63" s="32"/>
      <c r="RQR63" s="32"/>
      <c r="RQS63" s="32"/>
      <c r="RQT63" s="32"/>
      <c r="RQU63" s="32"/>
      <c r="RQV63" s="32"/>
      <c r="RQW63" s="32"/>
      <c r="RQX63" s="32"/>
      <c r="RQY63" s="32"/>
      <c r="RQZ63" s="32"/>
      <c r="RRA63" s="32"/>
      <c r="RRB63" s="32"/>
      <c r="RRC63" s="32"/>
      <c r="RRD63" s="32"/>
      <c r="RRE63" s="32"/>
      <c r="RRF63" s="32"/>
      <c r="RRG63" s="32"/>
      <c r="RRH63" s="32"/>
      <c r="RRI63" s="32"/>
      <c r="RRJ63" s="32"/>
      <c r="RRK63" s="32"/>
      <c r="RRL63" s="32"/>
      <c r="RRM63" s="32"/>
      <c r="RRN63" s="32"/>
      <c r="RRO63" s="32"/>
      <c r="RRP63" s="32"/>
      <c r="RRQ63" s="32"/>
      <c r="RRR63" s="32"/>
      <c r="RRS63" s="32"/>
      <c r="RRT63" s="32"/>
      <c r="RRU63" s="32"/>
      <c r="RRV63" s="32"/>
      <c r="RRW63" s="32"/>
      <c r="RRX63" s="32"/>
      <c r="RRY63" s="32"/>
      <c r="RRZ63" s="32"/>
      <c r="RSA63" s="32"/>
      <c r="RSB63" s="32"/>
      <c r="RSC63" s="32"/>
      <c r="RSD63" s="32"/>
      <c r="RSE63" s="32"/>
      <c r="RSF63" s="32"/>
      <c r="RSG63" s="32"/>
      <c r="RSH63" s="32"/>
      <c r="RSI63" s="32"/>
      <c r="RSJ63" s="32"/>
      <c r="RSK63" s="32"/>
      <c r="RSL63" s="32"/>
      <c r="RSM63" s="32"/>
      <c r="RSN63" s="32"/>
      <c r="RSO63" s="32"/>
      <c r="RSP63" s="32"/>
      <c r="RSQ63" s="32"/>
      <c r="RSR63" s="32"/>
      <c r="RSS63" s="32"/>
      <c r="RST63" s="32"/>
      <c r="RSU63" s="32"/>
      <c r="RSV63" s="32"/>
      <c r="RSW63" s="32"/>
      <c r="RSX63" s="32"/>
      <c r="RSY63" s="32"/>
      <c r="RSZ63" s="32"/>
      <c r="RTA63" s="32"/>
      <c r="RTB63" s="32"/>
      <c r="RTC63" s="32"/>
      <c r="RTD63" s="32"/>
      <c r="RTE63" s="32"/>
      <c r="RTF63" s="32"/>
      <c r="RTG63" s="32"/>
      <c r="RTH63" s="32"/>
      <c r="RTI63" s="32"/>
      <c r="RTJ63" s="32"/>
      <c r="RTK63" s="32"/>
      <c r="RTL63" s="32"/>
      <c r="RTM63" s="32"/>
      <c r="RTN63" s="32"/>
      <c r="RTO63" s="32"/>
      <c r="RTP63" s="32"/>
      <c r="RTQ63" s="32"/>
      <c r="RTR63" s="32"/>
      <c r="RTS63" s="32"/>
      <c r="RTT63" s="32"/>
      <c r="RTU63" s="32"/>
      <c r="RTV63" s="32"/>
      <c r="RTW63" s="32"/>
      <c r="RTX63" s="32"/>
      <c r="RTY63" s="32"/>
      <c r="RTZ63" s="32"/>
      <c r="RUA63" s="32"/>
      <c r="RUB63" s="32"/>
      <c r="RUC63" s="32"/>
      <c r="RUD63" s="32"/>
      <c r="RUE63" s="32"/>
      <c r="RUF63" s="32"/>
      <c r="RUG63" s="32"/>
      <c r="RUH63" s="32"/>
      <c r="RUI63" s="32"/>
      <c r="RUJ63" s="32"/>
      <c r="RUK63" s="32"/>
      <c r="RUL63" s="32"/>
      <c r="RUM63" s="32"/>
      <c r="RUN63" s="32"/>
      <c r="RUO63" s="32"/>
      <c r="RUP63" s="32"/>
      <c r="RUQ63" s="32"/>
      <c r="RUR63" s="32"/>
      <c r="RUS63" s="32"/>
      <c r="RUT63" s="32"/>
      <c r="RUU63" s="32"/>
      <c r="RUV63" s="32"/>
      <c r="RUW63" s="32"/>
      <c r="RUX63" s="32"/>
      <c r="RUY63" s="32"/>
      <c r="RUZ63" s="32"/>
      <c r="RVA63" s="32"/>
      <c r="RVB63" s="32"/>
      <c r="RVC63" s="32"/>
      <c r="RVD63" s="32"/>
      <c r="RVE63" s="32"/>
      <c r="RVF63" s="32"/>
      <c r="RVG63" s="32"/>
      <c r="RVH63" s="32"/>
      <c r="RVI63" s="32"/>
      <c r="RVJ63" s="32"/>
      <c r="RVK63" s="32"/>
      <c r="RVL63" s="32"/>
      <c r="RVM63" s="32"/>
      <c r="RVN63" s="32"/>
      <c r="RVO63" s="32"/>
      <c r="RVP63" s="32"/>
      <c r="RVQ63" s="32"/>
      <c r="RVR63" s="32"/>
      <c r="RVS63" s="32"/>
      <c r="RVT63" s="32"/>
      <c r="RVU63" s="32"/>
      <c r="RVV63" s="32"/>
      <c r="RVW63" s="32"/>
      <c r="RVX63" s="32"/>
      <c r="RVY63" s="32"/>
      <c r="RVZ63" s="32"/>
      <c r="RWA63" s="32"/>
      <c r="RWB63" s="32"/>
      <c r="RWC63" s="32"/>
      <c r="RWD63" s="32"/>
      <c r="RWE63" s="32"/>
      <c r="RWF63" s="32"/>
      <c r="RWG63" s="32"/>
      <c r="RWH63" s="32"/>
      <c r="RWI63" s="32"/>
      <c r="RWJ63" s="32"/>
      <c r="RWK63" s="32"/>
      <c r="RWL63" s="32"/>
      <c r="RWM63" s="32"/>
      <c r="RWN63" s="32"/>
      <c r="RWO63" s="32"/>
      <c r="RWP63" s="32"/>
      <c r="RWQ63" s="32"/>
      <c r="RWR63" s="32"/>
      <c r="RWS63" s="32"/>
      <c r="RWT63" s="32"/>
      <c r="RWU63" s="32"/>
      <c r="RWV63" s="32"/>
      <c r="RWW63" s="32"/>
      <c r="RWX63" s="32"/>
      <c r="RWY63" s="32"/>
      <c r="RWZ63" s="32"/>
      <c r="RXA63" s="32"/>
      <c r="RXB63" s="32"/>
      <c r="RXC63" s="32"/>
      <c r="RXD63" s="32"/>
      <c r="RXE63" s="32"/>
      <c r="RXF63" s="32"/>
      <c r="RXG63" s="32"/>
      <c r="RXH63" s="32"/>
      <c r="RXI63" s="32"/>
      <c r="RXJ63" s="32"/>
      <c r="RXK63" s="32"/>
      <c r="RXL63" s="32"/>
      <c r="RXM63" s="32"/>
      <c r="RXN63" s="32"/>
      <c r="RXO63" s="32"/>
      <c r="RXP63" s="32"/>
      <c r="RXQ63" s="32"/>
      <c r="RXR63" s="32"/>
      <c r="RXS63" s="32"/>
      <c r="RXT63" s="32"/>
      <c r="RXU63" s="32"/>
      <c r="RXV63" s="32"/>
      <c r="RXW63" s="32"/>
      <c r="RXX63" s="32"/>
      <c r="RXY63" s="32"/>
      <c r="RXZ63" s="32"/>
      <c r="RYA63" s="32"/>
      <c r="RYB63" s="32"/>
      <c r="RYC63" s="32"/>
      <c r="RYD63" s="32"/>
      <c r="RYE63" s="32"/>
      <c r="RYF63" s="32"/>
      <c r="RYG63" s="32"/>
      <c r="RYH63" s="32"/>
      <c r="RYI63" s="32"/>
      <c r="RYJ63" s="32"/>
      <c r="RYK63" s="32"/>
      <c r="RYL63" s="32"/>
      <c r="RYM63" s="32"/>
      <c r="RYN63" s="32"/>
      <c r="RYO63" s="32"/>
      <c r="RYP63" s="32"/>
      <c r="RYQ63" s="32"/>
      <c r="RYR63" s="32"/>
      <c r="RYS63" s="32"/>
      <c r="RYT63" s="32"/>
      <c r="RYU63" s="32"/>
      <c r="RYV63" s="32"/>
      <c r="RYW63" s="32"/>
      <c r="RYX63" s="32"/>
      <c r="RYY63" s="32"/>
      <c r="RYZ63" s="32"/>
      <c r="RZA63" s="32"/>
      <c r="RZB63" s="32"/>
      <c r="RZC63" s="32"/>
      <c r="RZD63" s="32"/>
      <c r="RZE63" s="32"/>
      <c r="RZF63" s="32"/>
      <c r="RZG63" s="32"/>
      <c r="RZH63" s="32"/>
      <c r="RZI63" s="32"/>
      <c r="RZJ63" s="32"/>
      <c r="RZK63" s="32"/>
      <c r="RZL63" s="32"/>
      <c r="RZM63" s="32"/>
      <c r="RZN63" s="32"/>
      <c r="RZO63" s="32"/>
      <c r="RZP63" s="32"/>
      <c r="RZQ63" s="32"/>
      <c r="RZR63" s="32"/>
      <c r="RZS63" s="32"/>
      <c r="RZT63" s="32"/>
      <c r="RZU63" s="32"/>
      <c r="RZV63" s="32"/>
      <c r="RZW63" s="32"/>
      <c r="RZX63" s="32"/>
      <c r="RZY63" s="32"/>
      <c r="RZZ63" s="32"/>
      <c r="SAA63" s="32"/>
      <c r="SAB63" s="32"/>
      <c r="SAC63" s="32"/>
      <c r="SAD63" s="32"/>
      <c r="SAE63" s="32"/>
      <c r="SAF63" s="32"/>
      <c r="SAG63" s="32"/>
      <c r="SAH63" s="32"/>
      <c r="SAI63" s="32"/>
      <c r="SAJ63" s="32"/>
      <c r="SAK63" s="32"/>
      <c r="SAL63" s="32"/>
      <c r="SAM63" s="32"/>
      <c r="SAN63" s="32"/>
      <c r="SAO63" s="32"/>
      <c r="SAP63" s="32"/>
      <c r="SAQ63" s="32"/>
      <c r="SAR63" s="32"/>
      <c r="SAS63" s="32"/>
      <c r="SAT63" s="32"/>
      <c r="SAU63" s="32"/>
      <c r="SAV63" s="32"/>
      <c r="SAW63" s="32"/>
      <c r="SAX63" s="32"/>
      <c r="SAY63" s="32"/>
      <c r="SAZ63" s="32"/>
      <c r="SBA63" s="32"/>
      <c r="SBB63" s="32"/>
      <c r="SBC63" s="32"/>
      <c r="SBD63" s="32"/>
      <c r="SBE63" s="32"/>
      <c r="SBF63" s="32"/>
      <c r="SBG63" s="32"/>
      <c r="SBH63" s="32"/>
      <c r="SBI63" s="32"/>
      <c r="SBJ63" s="32"/>
      <c r="SBK63" s="32"/>
      <c r="SBL63" s="32"/>
      <c r="SBM63" s="32"/>
      <c r="SBN63" s="32"/>
      <c r="SBO63" s="32"/>
      <c r="SBP63" s="32"/>
      <c r="SBQ63" s="32"/>
      <c r="SBR63" s="32"/>
      <c r="SBS63" s="32"/>
      <c r="SBT63" s="32"/>
      <c r="SBU63" s="32"/>
      <c r="SBV63" s="32"/>
      <c r="SBW63" s="32"/>
      <c r="SBX63" s="32"/>
      <c r="SBY63" s="32"/>
      <c r="SBZ63" s="32"/>
      <c r="SCA63" s="32"/>
      <c r="SCB63" s="32"/>
      <c r="SCC63" s="32"/>
      <c r="SCD63" s="32"/>
      <c r="SCE63" s="32"/>
      <c r="SCF63" s="32"/>
      <c r="SCG63" s="32"/>
      <c r="SCH63" s="32"/>
      <c r="SCI63" s="32"/>
      <c r="SCJ63" s="32"/>
      <c r="SCK63" s="32"/>
      <c r="SCL63" s="32"/>
      <c r="SCM63" s="32"/>
      <c r="SCN63" s="32"/>
      <c r="SCO63" s="32"/>
      <c r="SCP63" s="32"/>
      <c r="SCQ63" s="32"/>
      <c r="SCR63" s="32"/>
      <c r="SCS63" s="32"/>
      <c r="SCT63" s="32"/>
      <c r="SCU63" s="32"/>
      <c r="SCV63" s="32"/>
      <c r="SCW63" s="32"/>
      <c r="SCX63" s="32"/>
      <c r="SCY63" s="32"/>
      <c r="SCZ63" s="32"/>
      <c r="SDA63" s="32"/>
      <c r="SDB63" s="32"/>
      <c r="SDC63" s="32"/>
      <c r="SDD63" s="32"/>
      <c r="SDE63" s="32"/>
      <c r="SDF63" s="32"/>
      <c r="SDG63" s="32"/>
      <c r="SDH63" s="32"/>
      <c r="SDI63" s="32"/>
      <c r="SDJ63" s="32"/>
      <c r="SDK63" s="32"/>
      <c r="SDL63" s="32"/>
      <c r="SDM63" s="32"/>
      <c r="SDN63" s="32"/>
      <c r="SDO63" s="32"/>
      <c r="SDP63" s="32"/>
      <c r="SDQ63" s="32"/>
      <c r="SDR63" s="32"/>
      <c r="SDS63" s="32"/>
      <c r="SDT63" s="32"/>
      <c r="SDU63" s="32"/>
      <c r="SDV63" s="32"/>
      <c r="SDW63" s="32"/>
      <c r="SDX63" s="32"/>
      <c r="SDY63" s="32"/>
      <c r="SDZ63" s="32"/>
      <c r="SEA63" s="32"/>
      <c r="SEB63" s="32"/>
      <c r="SEC63" s="32"/>
      <c r="SED63" s="32"/>
      <c r="SEE63" s="32"/>
      <c r="SEF63" s="32"/>
      <c r="SEG63" s="32"/>
      <c r="SEH63" s="32"/>
      <c r="SEI63" s="32"/>
      <c r="SEJ63" s="32"/>
      <c r="SEK63" s="32"/>
      <c r="SEL63" s="32"/>
      <c r="SEM63" s="32"/>
      <c r="SEN63" s="32"/>
      <c r="SEO63" s="32"/>
      <c r="SEP63" s="32"/>
      <c r="SEQ63" s="32"/>
      <c r="SER63" s="32"/>
      <c r="SES63" s="32"/>
      <c r="SET63" s="32"/>
      <c r="SEU63" s="32"/>
      <c r="SEV63" s="32"/>
      <c r="SEW63" s="32"/>
      <c r="SEX63" s="32"/>
      <c r="SEY63" s="32"/>
      <c r="SEZ63" s="32"/>
      <c r="SFA63" s="32"/>
      <c r="SFB63" s="32"/>
      <c r="SFC63" s="32"/>
      <c r="SFD63" s="32"/>
      <c r="SFE63" s="32"/>
      <c r="SFF63" s="32"/>
      <c r="SFG63" s="32"/>
      <c r="SFH63" s="32"/>
      <c r="SFI63" s="32"/>
      <c r="SFJ63" s="32"/>
      <c r="SFK63" s="32"/>
      <c r="SFL63" s="32"/>
      <c r="SFM63" s="32"/>
      <c r="SFN63" s="32"/>
      <c r="SFO63" s="32"/>
      <c r="SFP63" s="32"/>
      <c r="SFQ63" s="32"/>
      <c r="SFR63" s="32"/>
      <c r="SFS63" s="32"/>
      <c r="SFT63" s="32"/>
      <c r="SFU63" s="32"/>
      <c r="SFV63" s="32"/>
      <c r="SFW63" s="32"/>
      <c r="SFX63" s="32"/>
      <c r="SFY63" s="32"/>
      <c r="SFZ63" s="32"/>
      <c r="SGA63" s="32"/>
      <c r="SGB63" s="32"/>
      <c r="SGC63" s="32"/>
      <c r="SGD63" s="32"/>
      <c r="SGE63" s="32"/>
      <c r="SGF63" s="32"/>
      <c r="SGG63" s="32"/>
      <c r="SGH63" s="32"/>
      <c r="SGI63" s="32"/>
      <c r="SGJ63" s="32"/>
      <c r="SGK63" s="32"/>
      <c r="SGL63" s="32"/>
      <c r="SGM63" s="32"/>
      <c r="SGN63" s="32"/>
      <c r="SGO63" s="32"/>
      <c r="SGP63" s="32"/>
      <c r="SGQ63" s="32"/>
      <c r="SGR63" s="32"/>
      <c r="SGS63" s="32"/>
      <c r="SGT63" s="32"/>
      <c r="SGU63" s="32"/>
      <c r="SGV63" s="32"/>
      <c r="SGW63" s="32"/>
      <c r="SGX63" s="32"/>
      <c r="SGY63" s="32"/>
      <c r="SGZ63" s="32"/>
      <c r="SHA63" s="32"/>
      <c r="SHB63" s="32"/>
      <c r="SHC63" s="32"/>
      <c r="SHD63" s="32"/>
      <c r="SHE63" s="32"/>
      <c r="SHF63" s="32"/>
      <c r="SHG63" s="32"/>
      <c r="SHH63" s="32"/>
      <c r="SHI63" s="32"/>
      <c r="SHJ63" s="32"/>
      <c r="SHK63" s="32"/>
      <c r="SHL63" s="32"/>
      <c r="SHM63" s="32"/>
      <c r="SHN63" s="32"/>
      <c r="SHO63" s="32"/>
      <c r="SHP63" s="32"/>
      <c r="SHQ63" s="32"/>
      <c r="SHR63" s="32"/>
      <c r="SHS63" s="32"/>
      <c r="SHT63" s="32"/>
      <c r="SHU63" s="32"/>
      <c r="SHV63" s="32"/>
      <c r="SHW63" s="32"/>
      <c r="SHX63" s="32"/>
      <c r="SHY63" s="32"/>
      <c r="SHZ63" s="32"/>
      <c r="SIA63" s="32"/>
      <c r="SIB63" s="32"/>
      <c r="SIC63" s="32"/>
      <c r="SID63" s="32"/>
      <c r="SIE63" s="32"/>
      <c r="SIF63" s="32"/>
      <c r="SIG63" s="32"/>
      <c r="SIH63" s="32"/>
      <c r="SII63" s="32"/>
      <c r="SIJ63" s="32"/>
      <c r="SIK63" s="32"/>
      <c r="SIL63" s="32"/>
      <c r="SIM63" s="32"/>
      <c r="SIN63" s="32"/>
      <c r="SIO63" s="32"/>
      <c r="SIP63" s="32"/>
      <c r="SIQ63" s="32"/>
      <c r="SIR63" s="32"/>
      <c r="SIS63" s="32"/>
      <c r="SIT63" s="32"/>
      <c r="SIU63" s="32"/>
      <c r="SIV63" s="32"/>
      <c r="SIW63" s="32"/>
      <c r="SIX63" s="32"/>
      <c r="SIY63" s="32"/>
      <c r="SIZ63" s="32"/>
      <c r="SJA63" s="32"/>
      <c r="SJB63" s="32"/>
      <c r="SJC63" s="32"/>
      <c r="SJD63" s="32"/>
      <c r="SJE63" s="32"/>
      <c r="SJF63" s="32"/>
      <c r="SJG63" s="32"/>
      <c r="SJH63" s="32"/>
      <c r="SJI63" s="32"/>
      <c r="SJJ63" s="32"/>
      <c r="SJK63" s="32"/>
      <c r="SJL63" s="32"/>
      <c r="SJM63" s="32"/>
      <c r="SJN63" s="32"/>
      <c r="SJO63" s="32"/>
      <c r="SJP63" s="32"/>
      <c r="SJQ63" s="32"/>
      <c r="SJR63" s="32"/>
      <c r="SJS63" s="32"/>
      <c r="SJT63" s="32"/>
      <c r="SJU63" s="32"/>
      <c r="SJV63" s="32"/>
      <c r="SJW63" s="32"/>
      <c r="SJX63" s="32"/>
      <c r="SJY63" s="32"/>
      <c r="SJZ63" s="32"/>
      <c r="SKA63" s="32"/>
      <c r="SKB63" s="32"/>
      <c r="SKC63" s="32"/>
      <c r="SKD63" s="32"/>
      <c r="SKE63" s="32"/>
      <c r="SKF63" s="32"/>
      <c r="SKG63" s="32"/>
      <c r="SKH63" s="32"/>
      <c r="SKI63" s="32"/>
      <c r="SKJ63" s="32"/>
      <c r="SKK63" s="32"/>
      <c r="SKL63" s="32"/>
      <c r="SKM63" s="32"/>
      <c r="SKN63" s="32"/>
      <c r="SKO63" s="32"/>
      <c r="SKP63" s="32"/>
      <c r="SKQ63" s="32"/>
      <c r="SKR63" s="32"/>
      <c r="SKS63" s="32"/>
      <c r="SKT63" s="32"/>
      <c r="SKU63" s="32"/>
      <c r="SKV63" s="32"/>
      <c r="SKW63" s="32"/>
      <c r="SKX63" s="32"/>
      <c r="SKY63" s="32"/>
      <c r="SKZ63" s="32"/>
      <c r="SLA63" s="32"/>
      <c r="SLB63" s="32"/>
      <c r="SLC63" s="32"/>
      <c r="SLD63" s="32"/>
      <c r="SLE63" s="32"/>
      <c r="SLF63" s="32"/>
      <c r="SLG63" s="32"/>
      <c r="SLH63" s="32"/>
      <c r="SLI63" s="32"/>
      <c r="SLJ63" s="32"/>
      <c r="SLK63" s="32"/>
      <c r="SLL63" s="32"/>
      <c r="SLM63" s="32"/>
      <c r="SLN63" s="32"/>
      <c r="SLO63" s="32"/>
      <c r="SLP63" s="32"/>
      <c r="SLQ63" s="32"/>
      <c r="SLR63" s="32"/>
      <c r="SLS63" s="32"/>
      <c r="SLT63" s="32"/>
      <c r="SLU63" s="32"/>
      <c r="SLV63" s="32"/>
      <c r="SLW63" s="32"/>
      <c r="SLX63" s="32"/>
      <c r="SLY63" s="32"/>
      <c r="SLZ63" s="32"/>
      <c r="SMA63" s="32"/>
      <c r="SMB63" s="32"/>
      <c r="SMC63" s="32"/>
      <c r="SMD63" s="32"/>
      <c r="SME63" s="32"/>
      <c r="SMF63" s="32"/>
      <c r="SMG63" s="32"/>
      <c r="SMH63" s="32"/>
      <c r="SMI63" s="32"/>
      <c r="SMJ63" s="32"/>
      <c r="SMK63" s="32"/>
      <c r="SML63" s="32"/>
      <c r="SMM63" s="32"/>
      <c r="SMN63" s="32"/>
      <c r="SMO63" s="32"/>
      <c r="SMP63" s="32"/>
      <c r="SMQ63" s="32"/>
      <c r="SMR63" s="32"/>
      <c r="SMS63" s="32"/>
      <c r="SMT63" s="32"/>
      <c r="SMU63" s="32"/>
      <c r="SMV63" s="32"/>
      <c r="SMW63" s="32"/>
      <c r="SMX63" s="32"/>
      <c r="SMY63" s="32"/>
      <c r="SMZ63" s="32"/>
      <c r="SNA63" s="32"/>
      <c r="SNB63" s="32"/>
      <c r="SNC63" s="32"/>
      <c r="SND63" s="32"/>
      <c r="SNE63" s="32"/>
      <c r="SNF63" s="32"/>
      <c r="SNG63" s="32"/>
      <c r="SNH63" s="32"/>
      <c r="SNI63" s="32"/>
      <c r="SNJ63" s="32"/>
      <c r="SNK63" s="32"/>
      <c r="SNL63" s="32"/>
      <c r="SNM63" s="32"/>
      <c r="SNN63" s="32"/>
      <c r="SNO63" s="32"/>
      <c r="SNP63" s="32"/>
      <c r="SNQ63" s="32"/>
      <c r="SNR63" s="32"/>
      <c r="SNS63" s="32"/>
      <c r="SNT63" s="32"/>
      <c r="SNU63" s="32"/>
      <c r="SNV63" s="32"/>
      <c r="SNW63" s="32"/>
      <c r="SNX63" s="32"/>
      <c r="SNY63" s="32"/>
      <c r="SNZ63" s="32"/>
      <c r="SOA63" s="32"/>
      <c r="SOB63" s="32"/>
      <c r="SOC63" s="32"/>
      <c r="SOD63" s="32"/>
      <c r="SOE63" s="32"/>
      <c r="SOF63" s="32"/>
      <c r="SOG63" s="32"/>
      <c r="SOH63" s="32"/>
      <c r="SOI63" s="32"/>
      <c r="SOJ63" s="32"/>
      <c r="SOK63" s="32"/>
      <c r="SOL63" s="32"/>
      <c r="SOM63" s="32"/>
      <c r="SON63" s="32"/>
      <c r="SOO63" s="32"/>
      <c r="SOP63" s="32"/>
      <c r="SOQ63" s="32"/>
      <c r="SOR63" s="32"/>
      <c r="SOS63" s="32"/>
      <c r="SOT63" s="32"/>
      <c r="SOU63" s="32"/>
      <c r="SOV63" s="32"/>
      <c r="SOW63" s="32"/>
      <c r="SOX63" s="32"/>
      <c r="SOY63" s="32"/>
      <c r="SOZ63" s="32"/>
      <c r="SPA63" s="32"/>
      <c r="SPB63" s="32"/>
      <c r="SPC63" s="32"/>
      <c r="SPD63" s="32"/>
      <c r="SPE63" s="32"/>
      <c r="SPF63" s="32"/>
      <c r="SPG63" s="32"/>
      <c r="SPH63" s="32"/>
      <c r="SPI63" s="32"/>
      <c r="SPJ63" s="32"/>
      <c r="SPK63" s="32"/>
      <c r="SPL63" s="32"/>
      <c r="SPM63" s="32"/>
      <c r="SPN63" s="32"/>
      <c r="SPO63" s="32"/>
      <c r="SPP63" s="32"/>
      <c r="SPQ63" s="32"/>
      <c r="SPR63" s="32"/>
      <c r="SPS63" s="32"/>
      <c r="SPT63" s="32"/>
      <c r="SPU63" s="32"/>
      <c r="SPV63" s="32"/>
      <c r="SPW63" s="32"/>
      <c r="SPX63" s="32"/>
      <c r="SPY63" s="32"/>
      <c r="SPZ63" s="32"/>
      <c r="SQA63" s="32"/>
      <c r="SQB63" s="32"/>
      <c r="SQC63" s="32"/>
      <c r="SQD63" s="32"/>
      <c r="SQE63" s="32"/>
      <c r="SQF63" s="32"/>
      <c r="SQG63" s="32"/>
      <c r="SQH63" s="32"/>
      <c r="SQI63" s="32"/>
      <c r="SQJ63" s="32"/>
      <c r="SQK63" s="32"/>
      <c r="SQL63" s="32"/>
      <c r="SQM63" s="32"/>
      <c r="SQN63" s="32"/>
      <c r="SQO63" s="32"/>
      <c r="SQP63" s="32"/>
      <c r="SQQ63" s="32"/>
      <c r="SQR63" s="32"/>
      <c r="SQS63" s="32"/>
      <c r="SQT63" s="32"/>
      <c r="SQU63" s="32"/>
      <c r="SQV63" s="32"/>
      <c r="SQW63" s="32"/>
      <c r="SQX63" s="32"/>
      <c r="SQY63" s="32"/>
      <c r="SQZ63" s="32"/>
      <c r="SRA63" s="32"/>
      <c r="SRB63" s="32"/>
      <c r="SRC63" s="32"/>
      <c r="SRD63" s="32"/>
      <c r="SRE63" s="32"/>
      <c r="SRF63" s="32"/>
      <c r="SRG63" s="32"/>
      <c r="SRH63" s="32"/>
      <c r="SRI63" s="32"/>
      <c r="SRJ63" s="32"/>
      <c r="SRK63" s="32"/>
      <c r="SRL63" s="32"/>
      <c r="SRM63" s="32"/>
      <c r="SRN63" s="32"/>
      <c r="SRO63" s="32"/>
      <c r="SRP63" s="32"/>
      <c r="SRQ63" s="32"/>
      <c r="SRR63" s="32"/>
      <c r="SRS63" s="32"/>
      <c r="SRT63" s="32"/>
      <c r="SRU63" s="32"/>
      <c r="SRV63" s="32"/>
      <c r="SRW63" s="32"/>
      <c r="SRX63" s="32"/>
      <c r="SRY63" s="32"/>
      <c r="SRZ63" s="32"/>
      <c r="SSA63" s="32"/>
      <c r="SSB63" s="32"/>
      <c r="SSC63" s="32"/>
      <c r="SSD63" s="32"/>
      <c r="SSE63" s="32"/>
      <c r="SSF63" s="32"/>
      <c r="SSG63" s="32"/>
      <c r="SSH63" s="32"/>
      <c r="SSI63" s="32"/>
      <c r="SSJ63" s="32"/>
      <c r="SSK63" s="32"/>
      <c r="SSL63" s="32"/>
      <c r="SSM63" s="32"/>
      <c r="SSN63" s="32"/>
      <c r="SSO63" s="32"/>
      <c r="SSP63" s="32"/>
      <c r="SSQ63" s="32"/>
      <c r="SSR63" s="32"/>
      <c r="SSS63" s="32"/>
      <c r="SST63" s="32"/>
      <c r="SSU63" s="32"/>
      <c r="SSV63" s="32"/>
      <c r="SSW63" s="32"/>
      <c r="SSX63" s="32"/>
      <c r="SSY63" s="32"/>
      <c r="SSZ63" s="32"/>
      <c r="STA63" s="32"/>
      <c r="STB63" s="32"/>
      <c r="STC63" s="32"/>
      <c r="STD63" s="32"/>
      <c r="STE63" s="32"/>
      <c r="STF63" s="32"/>
      <c r="STG63" s="32"/>
      <c r="STH63" s="32"/>
      <c r="STI63" s="32"/>
      <c r="STJ63" s="32"/>
      <c r="STK63" s="32"/>
      <c r="STL63" s="32"/>
      <c r="STM63" s="32"/>
      <c r="STN63" s="32"/>
      <c r="STO63" s="32"/>
      <c r="STP63" s="32"/>
      <c r="STQ63" s="32"/>
      <c r="STR63" s="32"/>
      <c r="STS63" s="32"/>
      <c r="STT63" s="32"/>
      <c r="STU63" s="32"/>
      <c r="STV63" s="32"/>
      <c r="STW63" s="32"/>
      <c r="STX63" s="32"/>
      <c r="STY63" s="32"/>
      <c r="STZ63" s="32"/>
      <c r="SUA63" s="32"/>
      <c r="SUB63" s="32"/>
      <c r="SUC63" s="32"/>
      <c r="SUD63" s="32"/>
      <c r="SUE63" s="32"/>
      <c r="SUF63" s="32"/>
      <c r="SUG63" s="32"/>
      <c r="SUH63" s="32"/>
      <c r="SUI63" s="32"/>
      <c r="SUJ63" s="32"/>
      <c r="SUK63" s="32"/>
      <c r="SUL63" s="32"/>
      <c r="SUM63" s="32"/>
      <c r="SUN63" s="32"/>
      <c r="SUO63" s="32"/>
      <c r="SUP63" s="32"/>
      <c r="SUQ63" s="32"/>
      <c r="SUR63" s="32"/>
      <c r="SUS63" s="32"/>
      <c r="SUT63" s="32"/>
      <c r="SUU63" s="32"/>
      <c r="SUV63" s="32"/>
      <c r="SUW63" s="32"/>
      <c r="SUX63" s="32"/>
      <c r="SUY63" s="32"/>
      <c r="SUZ63" s="32"/>
      <c r="SVA63" s="32"/>
      <c r="SVB63" s="32"/>
      <c r="SVC63" s="32"/>
      <c r="SVD63" s="32"/>
      <c r="SVE63" s="32"/>
      <c r="SVF63" s="32"/>
      <c r="SVG63" s="32"/>
      <c r="SVH63" s="32"/>
      <c r="SVI63" s="32"/>
      <c r="SVJ63" s="32"/>
      <c r="SVK63" s="32"/>
      <c r="SVL63" s="32"/>
      <c r="SVM63" s="32"/>
      <c r="SVN63" s="32"/>
      <c r="SVO63" s="32"/>
      <c r="SVP63" s="32"/>
      <c r="SVQ63" s="32"/>
      <c r="SVR63" s="32"/>
      <c r="SVS63" s="32"/>
      <c r="SVT63" s="32"/>
      <c r="SVU63" s="32"/>
      <c r="SVV63" s="32"/>
      <c r="SVW63" s="32"/>
      <c r="SVX63" s="32"/>
      <c r="SVY63" s="32"/>
      <c r="SVZ63" s="32"/>
      <c r="SWA63" s="32"/>
      <c r="SWB63" s="32"/>
      <c r="SWC63" s="32"/>
      <c r="SWD63" s="32"/>
      <c r="SWE63" s="32"/>
      <c r="SWF63" s="32"/>
      <c r="SWG63" s="32"/>
      <c r="SWH63" s="32"/>
      <c r="SWI63" s="32"/>
      <c r="SWJ63" s="32"/>
      <c r="SWK63" s="32"/>
      <c r="SWL63" s="32"/>
      <c r="SWM63" s="32"/>
      <c r="SWN63" s="32"/>
      <c r="SWO63" s="32"/>
      <c r="SWP63" s="32"/>
      <c r="SWQ63" s="32"/>
      <c r="SWR63" s="32"/>
      <c r="SWS63" s="32"/>
      <c r="SWT63" s="32"/>
      <c r="SWU63" s="32"/>
      <c r="SWV63" s="32"/>
      <c r="SWW63" s="32"/>
      <c r="SWX63" s="32"/>
      <c r="SWY63" s="32"/>
      <c r="SWZ63" s="32"/>
      <c r="SXA63" s="32"/>
      <c r="SXB63" s="32"/>
      <c r="SXC63" s="32"/>
      <c r="SXD63" s="32"/>
      <c r="SXE63" s="32"/>
      <c r="SXF63" s="32"/>
      <c r="SXG63" s="32"/>
      <c r="SXH63" s="32"/>
      <c r="SXI63" s="32"/>
      <c r="SXJ63" s="32"/>
      <c r="SXK63" s="32"/>
      <c r="SXL63" s="32"/>
      <c r="SXM63" s="32"/>
      <c r="SXN63" s="32"/>
      <c r="SXO63" s="32"/>
      <c r="SXP63" s="32"/>
      <c r="SXQ63" s="32"/>
      <c r="SXR63" s="32"/>
      <c r="SXS63" s="32"/>
      <c r="SXT63" s="32"/>
      <c r="SXU63" s="32"/>
      <c r="SXV63" s="32"/>
      <c r="SXW63" s="32"/>
      <c r="SXX63" s="32"/>
      <c r="SXY63" s="32"/>
      <c r="SXZ63" s="32"/>
      <c r="SYA63" s="32"/>
      <c r="SYB63" s="32"/>
      <c r="SYC63" s="32"/>
      <c r="SYD63" s="32"/>
      <c r="SYE63" s="32"/>
      <c r="SYF63" s="32"/>
      <c r="SYG63" s="32"/>
      <c r="SYH63" s="32"/>
      <c r="SYI63" s="32"/>
      <c r="SYJ63" s="32"/>
      <c r="SYK63" s="32"/>
      <c r="SYL63" s="32"/>
      <c r="SYM63" s="32"/>
      <c r="SYN63" s="32"/>
      <c r="SYO63" s="32"/>
      <c r="SYP63" s="32"/>
      <c r="SYQ63" s="32"/>
      <c r="SYR63" s="32"/>
      <c r="SYS63" s="32"/>
      <c r="SYT63" s="32"/>
      <c r="SYU63" s="32"/>
      <c r="SYV63" s="32"/>
      <c r="SYW63" s="32"/>
      <c r="SYX63" s="32"/>
      <c r="SYY63" s="32"/>
      <c r="SYZ63" s="32"/>
      <c r="SZA63" s="32"/>
      <c r="SZB63" s="32"/>
      <c r="SZC63" s="32"/>
      <c r="SZD63" s="32"/>
      <c r="SZE63" s="32"/>
      <c r="SZF63" s="32"/>
      <c r="SZG63" s="32"/>
      <c r="SZH63" s="32"/>
      <c r="SZI63" s="32"/>
      <c r="SZJ63" s="32"/>
      <c r="SZK63" s="32"/>
      <c r="SZL63" s="32"/>
      <c r="SZM63" s="32"/>
      <c r="SZN63" s="32"/>
      <c r="SZO63" s="32"/>
      <c r="SZP63" s="32"/>
      <c r="SZQ63" s="32"/>
      <c r="SZR63" s="32"/>
      <c r="SZS63" s="32"/>
      <c r="SZT63" s="32"/>
      <c r="SZU63" s="32"/>
      <c r="SZV63" s="32"/>
      <c r="SZW63" s="32"/>
      <c r="SZX63" s="32"/>
      <c r="SZY63" s="32"/>
      <c r="SZZ63" s="32"/>
      <c r="TAA63" s="32"/>
      <c r="TAB63" s="32"/>
      <c r="TAC63" s="32"/>
      <c r="TAD63" s="32"/>
      <c r="TAE63" s="32"/>
      <c r="TAF63" s="32"/>
      <c r="TAG63" s="32"/>
      <c r="TAH63" s="32"/>
      <c r="TAI63" s="32"/>
      <c r="TAJ63" s="32"/>
      <c r="TAK63" s="32"/>
      <c r="TAL63" s="32"/>
      <c r="TAM63" s="32"/>
      <c r="TAN63" s="32"/>
      <c r="TAO63" s="32"/>
      <c r="TAP63" s="32"/>
      <c r="TAQ63" s="32"/>
      <c r="TAR63" s="32"/>
      <c r="TAS63" s="32"/>
      <c r="TAT63" s="32"/>
      <c r="TAU63" s="32"/>
      <c r="TAV63" s="32"/>
      <c r="TAW63" s="32"/>
      <c r="TAX63" s="32"/>
      <c r="TAY63" s="32"/>
      <c r="TAZ63" s="32"/>
      <c r="TBA63" s="32"/>
      <c r="TBB63" s="32"/>
      <c r="TBC63" s="32"/>
      <c r="TBD63" s="32"/>
      <c r="TBE63" s="32"/>
      <c r="TBF63" s="32"/>
      <c r="TBG63" s="32"/>
      <c r="TBH63" s="32"/>
      <c r="TBI63" s="32"/>
      <c r="TBJ63" s="32"/>
      <c r="TBK63" s="32"/>
      <c r="TBL63" s="32"/>
      <c r="TBM63" s="32"/>
      <c r="TBN63" s="32"/>
      <c r="TBO63" s="32"/>
      <c r="TBP63" s="32"/>
      <c r="TBQ63" s="32"/>
      <c r="TBR63" s="32"/>
      <c r="TBS63" s="32"/>
      <c r="TBT63" s="32"/>
      <c r="TBU63" s="32"/>
      <c r="TBV63" s="32"/>
      <c r="TBW63" s="32"/>
      <c r="TBX63" s="32"/>
      <c r="TBY63" s="32"/>
      <c r="TBZ63" s="32"/>
      <c r="TCA63" s="32"/>
      <c r="TCB63" s="32"/>
      <c r="TCC63" s="32"/>
      <c r="TCD63" s="32"/>
      <c r="TCE63" s="32"/>
      <c r="TCF63" s="32"/>
      <c r="TCG63" s="32"/>
      <c r="TCH63" s="32"/>
      <c r="TCI63" s="32"/>
      <c r="TCJ63" s="32"/>
      <c r="TCK63" s="32"/>
      <c r="TCL63" s="32"/>
      <c r="TCM63" s="32"/>
      <c r="TCN63" s="32"/>
      <c r="TCO63" s="32"/>
      <c r="TCP63" s="32"/>
      <c r="TCQ63" s="32"/>
      <c r="TCR63" s="32"/>
      <c r="TCS63" s="32"/>
      <c r="TCT63" s="32"/>
      <c r="TCU63" s="32"/>
      <c r="TCV63" s="32"/>
      <c r="TCW63" s="32"/>
      <c r="TCX63" s="32"/>
      <c r="TCY63" s="32"/>
      <c r="TCZ63" s="32"/>
      <c r="TDA63" s="32"/>
      <c r="TDB63" s="32"/>
      <c r="TDC63" s="32"/>
      <c r="TDD63" s="32"/>
      <c r="TDE63" s="32"/>
      <c r="TDF63" s="32"/>
      <c r="TDG63" s="32"/>
      <c r="TDH63" s="32"/>
      <c r="TDI63" s="32"/>
      <c r="TDJ63" s="32"/>
      <c r="TDK63" s="32"/>
      <c r="TDL63" s="32"/>
      <c r="TDM63" s="32"/>
      <c r="TDN63" s="32"/>
      <c r="TDO63" s="32"/>
      <c r="TDP63" s="32"/>
      <c r="TDQ63" s="32"/>
      <c r="TDR63" s="32"/>
      <c r="TDS63" s="32"/>
      <c r="TDT63" s="32"/>
      <c r="TDU63" s="32"/>
      <c r="TDV63" s="32"/>
      <c r="TDW63" s="32"/>
      <c r="TDX63" s="32"/>
      <c r="TDY63" s="32"/>
      <c r="TDZ63" s="32"/>
      <c r="TEA63" s="32"/>
      <c r="TEB63" s="32"/>
      <c r="TEC63" s="32"/>
      <c r="TED63" s="32"/>
      <c r="TEE63" s="32"/>
      <c r="TEF63" s="32"/>
      <c r="TEG63" s="32"/>
      <c r="TEH63" s="32"/>
      <c r="TEI63" s="32"/>
      <c r="TEJ63" s="32"/>
      <c r="TEK63" s="32"/>
      <c r="TEL63" s="32"/>
      <c r="TEM63" s="32"/>
      <c r="TEN63" s="32"/>
      <c r="TEO63" s="32"/>
      <c r="TEP63" s="32"/>
      <c r="TEQ63" s="32"/>
      <c r="TER63" s="32"/>
      <c r="TES63" s="32"/>
      <c r="TET63" s="32"/>
      <c r="TEU63" s="32"/>
      <c r="TEV63" s="32"/>
      <c r="TEW63" s="32"/>
      <c r="TEX63" s="32"/>
      <c r="TEY63" s="32"/>
      <c r="TEZ63" s="32"/>
      <c r="TFA63" s="32"/>
      <c r="TFB63" s="32"/>
      <c r="TFC63" s="32"/>
      <c r="TFD63" s="32"/>
      <c r="TFE63" s="32"/>
      <c r="TFF63" s="32"/>
      <c r="TFG63" s="32"/>
      <c r="TFH63" s="32"/>
      <c r="TFI63" s="32"/>
      <c r="TFJ63" s="32"/>
      <c r="TFK63" s="32"/>
      <c r="TFL63" s="32"/>
      <c r="TFM63" s="32"/>
      <c r="TFN63" s="32"/>
      <c r="TFO63" s="32"/>
      <c r="TFP63" s="32"/>
      <c r="TFQ63" s="32"/>
      <c r="TFR63" s="32"/>
      <c r="TFS63" s="32"/>
      <c r="TFT63" s="32"/>
      <c r="TFU63" s="32"/>
      <c r="TFV63" s="32"/>
      <c r="TFW63" s="32"/>
      <c r="TFX63" s="32"/>
      <c r="TFY63" s="32"/>
      <c r="TFZ63" s="32"/>
      <c r="TGA63" s="32"/>
      <c r="TGB63" s="32"/>
      <c r="TGC63" s="32"/>
      <c r="TGD63" s="32"/>
      <c r="TGE63" s="32"/>
      <c r="TGF63" s="32"/>
      <c r="TGG63" s="32"/>
      <c r="TGH63" s="32"/>
      <c r="TGI63" s="32"/>
      <c r="TGJ63" s="32"/>
      <c r="TGK63" s="32"/>
      <c r="TGL63" s="32"/>
      <c r="TGM63" s="32"/>
      <c r="TGN63" s="32"/>
      <c r="TGO63" s="32"/>
      <c r="TGP63" s="32"/>
      <c r="TGQ63" s="32"/>
      <c r="TGR63" s="32"/>
      <c r="TGS63" s="32"/>
      <c r="TGT63" s="32"/>
      <c r="TGU63" s="32"/>
      <c r="TGV63" s="32"/>
      <c r="TGW63" s="32"/>
      <c r="TGX63" s="32"/>
      <c r="TGY63" s="32"/>
      <c r="TGZ63" s="32"/>
      <c r="THA63" s="32"/>
      <c r="THB63" s="32"/>
      <c r="THC63" s="32"/>
      <c r="THD63" s="32"/>
      <c r="THE63" s="32"/>
      <c r="THF63" s="32"/>
      <c r="THG63" s="32"/>
      <c r="THH63" s="32"/>
      <c r="THI63" s="32"/>
      <c r="THJ63" s="32"/>
      <c r="THK63" s="32"/>
      <c r="THL63" s="32"/>
      <c r="THM63" s="32"/>
      <c r="THN63" s="32"/>
      <c r="THO63" s="32"/>
      <c r="THP63" s="32"/>
      <c r="THQ63" s="32"/>
      <c r="THR63" s="32"/>
      <c r="THS63" s="32"/>
      <c r="THT63" s="32"/>
      <c r="THU63" s="32"/>
      <c r="THV63" s="32"/>
      <c r="THW63" s="32"/>
      <c r="THX63" s="32"/>
      <c r="THY63" s="32"/>
      <c r="THZ63" s="32"/>
      <c r="TIA63" s="32"/>
      <c r="TIB63" s="32"/>
      <c r="TIC63" s="32"/>
      <c r="TID63" s="32"/>
      <c r="TIE63" s="32"/>
      <c r="TIF63" s="32"/>
      <c r="TIG63" s="32"/>
      <c r="TIH63" s="32"/>
      <c r="TII63" s="32"/>
      <c r="TIJ63" s="32"/>
      <c r="TIK63" s="32"/>
      <c r="TIL63" s="32"/>
      <c r="TIM63" s="32"/>
      <c r="TIN63" s="32"/>
      <c r="TIO63" s="32"/>
      <c r="TIP63" s="32"/>
      <c r="TIQ63" s="32"/>
      <c r="TIR63" s="32"/>
      <c r="TIS63" s="32"/>
      <c r="TIT63" s="32"/>
      <c r="TIU63" s="32"/>
      <c r="TIV63" s="32"/>
      <c r="TIW63" s="32"/>
      <c r="TIX63" s="32"/>
      <c r="TIY63" s="32"/>
      <c r="TIZ63" s="32"/>
      <c r="TJA63" s="32"/>
      <c r="TJB63" s="32"/>
      <c r="TJC63" s="32"/>
      <c r="TJD63" s="32"/>
      <c r="TJE63" s="32"/>
      <c r="TJF63" s="32"/>
      <c r="TJG63" s="32"/>
      <c r="TJH63" s="32"/>
      <c r="TJI63" s="32"/>
      <c r="TJJ63" s="32"/>
      <c r="TJK63" s="32"/>
      <c r="TJL63" s="32"/>
      <c r="TJM63" s="32"/>
      <c r="TJN63" s="32"/>
      <c r="TJO63" s="32"/>
      <c r="TJP63" s="32"/>
      <c r="TJQ63" s="32"/>
      <c r="TJR63" s="32"/>
      <c r="TJS63" s="32"/>
      <c r="TJT63" s="32"/>
      <c r="TJU63" s="32"/>
      <c r="TJV63" s="32"/>
      <c r="TJW63" s="32"/>
      <c r="TJX63" s="32"/>
      <c r="TJY63" s="32"/>
      <c r="TJZ63" s="32"/>
      <c r="TKA63" s="32"/>
      <c r="TKB63" s="32"/>
      <c r="TKC63" s="32"/>
      <c r="TKD63" s="32"/>
      <c r="TKE63" s="32"/>
      <c r="TKF63" s="32"/>
      <c r="TKG63" s="32"/>
      <c r="TKH63" s="32"/>
      <c r="TKI63" s="32"/>
      <c r="TKJ63" s="32"/>
      <c r="TKK63" s="32"/>
      <c r="TKL63" s="32"/>
      <c r="TKM63" s="32"/>
      <c r="TKN63" s="32"/>
      <c r="TKO63" s="32"/>
      <c r="TKP63" s="32"/>
      <c r="TKQ63" s="32"/>
      <c r="TKR63" s="32"/>
      <c r="TKS63" s="32"/>
      <c r="TKT63" s="32"/>
      <c r="TKU63" s="32"/>
      <c r="TKV63" s="32"/>
      <c r="TKW63" s="32"/>
      <c r="TKX63" s="32"/>
      <c r="TKY63" s="32"/>
      <c r="TKZ63" s="32"/>
      <c r="TLA63" s="32"/>
      <c r="TLB63" s="32"/>
      <c r="TLC63" s="32"/>
      <c r="TLD63" s="32"/>
      <c r="TLE63" s="32"/>
      <c r="TLF63" s="32"/>
      <c r="TLG63" s="32"/>
      <c r="TLH63" s="32"/>
      <c r="TLI63" s="32"/>
      <c r="TLJ63" s="32"/>
      <c r="TLK63" s="32"/>
      <c r="TLL63" s="32"/>
      <c r="TLM63" s="32"/>
      <c r="TLN63" s="32"/>
      <c r="TLO63" s="32"/>
      <c r="TLP63" s="32"/>
      <c r="TLQ63" s="32"/>
      <c r="TLR63" s="32"/>
      <c r="TLS63" s="32"/>
      <c r="TLT63" s="32"/>
      <c r="TLU63" s="32"/>
      <c r="TLV63" s="32"/>
      <c r="TLW63" s="32"/>
      <c r="TLX63" s="32"/>
      <c r="TLY63" s="32"/>
      <c r="TLZ63" s="32"/>
      <c r="TMA63" s="32"/>
      <c r="TMB63" s="32"/>
      <c r="TMC63" s="32"/>
      <c r="TMD63" s="32"/>
      <c r="TME63" s="32"/>
      <c r="TMF63" s="32"/>
      <c r="TMG63" s="32"/>
      <c r="TMH63" s="32"/>
      <c r="TMI63" s="32"/>
      <c r="TMJ63" s="32"/>
      <c r="TMK63" s="32"/>
      <c r="TML63" s="32"/>
      <c r="TMM63" s="32"/>
      <c r="TMN63" s="32"/>
      <c r="TMO63" s="32"/>
      <c r="TMP63" s="32"/>
      <c r="TMQ63" s="32"/>
      <c r="TMR63" s="32"/>
      <c r="TMS63" s="32"/>
      <c r="TMT63" s="32"/>
      <c r="TMU63" s="32"/>
      <c r="TMV63" s="32"/>
      <c r="TMW63" s="32"/>
      <c r="TMX63" s="32"/>
      <c r="TMY63" s="32"/>
      <c r="TMZ63" s="32"/>
      <c r="TNA63" s="32"/>
      <c r="TNB63" s="32"/>
      <c r="TNC63" s="32"/>
      <c r="TND63" s="32"/>
      <c r="TNE63" s="32"/>
      <c r="TNF63" s="32"/>
      <c r="TNG63" s="32"/>
      <c r="TNH63" s="32"/>
      <c r="TNI63" s="32"/>
      <c r="TNJ63" s="32"/>
      <c r="TNK63" s="32"/>
      <c r="TNL63" s="32"/>
      <c r="TNM63" s="32"/>
      <c r="TNN63" s="32"/>
      <c r="TNO63" s="32"/>
      <c r="TNP63" s="32"/>
      <c r="TNQ63" s="32"/>
      <c r="TNR63" s="32"/>
      <c r="TNS63" s="32"/>
      <c r="TNT63" s="32"/>
      <c r="TNU63" s="32"/>
      <c r="TNV63" s="32"/>
      <c r="TNW63" s="32"/>
      <c r="TNX63" s="32"/>
      <c r="TNY63" s="32"/>
      <c r="TNZ63" s="32"/>
      <c r="TOA63" s="32"/>
      <c r="TOB63" s="32"/>
      <c r="TOC63" s="32"/>
      <c r="TOD63" s="32"/>
      <c r="TOE63" s="32"/>
      <c r="TOF63" s="32"/>
      <c r="TOG63" s="32"/>
      <c r="TOH63" s="32"/>
      <c r="TOI63" s="32"/>
      <c r="TOJ63" s="32"/>
      <c r="TOK63" s="32"/>
      <c r="TOL63" s="32"/>
      <c r="TOM63" s="32"/>
      <c r="TON63" s="32"/>
      <c r="TOO63" s="32"/>
      <c r="TOP63" s="32"/>
      <c r="TOQ63" s="32"/>
      <c r="TOR63" s="32"/>
      <c r="TOS63" s="32"/>
      <c r="TOT63" s="32"/>
      <c r="TOU63" s="32"/>
      <c r="TOV63" s="32"/>
      <c r="TOW63" s="32"/>
      <c r="TOX63" s="32"/>
      <c r="TOY63" s="32"/>
      <c r="TOZ63" s="32"/>
      <c r="TPA63" s="32"/>
      <c r="TPB63" s="32"/>
      <c r="TPC63" s="32"/>
      <c r="TPD63" s="32"/>
      <c r="TPE63" s="32"/>
      <c r="TPF63" s="32"/>
      <c r="TPG63" s="32"/>
      <c r="TPH63" s="32"/>
      <c r="TPI63" s="32"/>
      <c r="TPJ63" s="32"/>
      <c r="TPK63" s="32"/>
      <c r="TPL63" s="32"/>
      <c r="TPM63" s="32"/>
      <c r="TPN63" s="32"/>
      <c r="TPO63" s="32"/>
      <c r="TPP63" s="32"/>
      <c r="TPQ63" s="32"/>
      <c r="TPR63" s="32"/>
      <c r="TPS63" s="32"/>
      <c r="TPT63" s="32"/>
      <c r="TPU63" s="32"/>
      <c r="TPV63" s="32"/>
      <c r="TPW63" s="32"/>
      <c r="TPX63" s="32"/>
      <c r="TPY63" s="32"/>
      <c r="TPZ63" s="32"/>
      <c r="TQA63" s="32"/>
      <c r="TQB63" s="32"/>
      <c r="TQC63" s="32"/>
      <c r="TQD63" s="32"/>
      <c r="TQE63" s="32"/>
      <c r="TQF63" s="32"/>
      <c r="TQG63" s="32"/>
      <c r="TQH63" s="32"/>
      <c r="TQI63" s="32"/>
      <c r="TQJ63" s="32"/>
      <c r="TQK63" s="32"/>
      <c r="TQL63" s="32"/>
      <c r="TQM63" s="32"/>
      <c r="TQN63" s="32"/>
      <c r="TQO63" s="32"/>
      <c r="TQP63" s="32"/>
      <c r="TQQ63" s="32"/>
      <c r="TQR63" s="32"/>
      <c r="TQS63" s="32"/>
      <c r="TQT63" s="32"/>
      <c r="TQU63" s="32"/>
      <c r="TQV63" s="32"/>
      <c r="TQW63" s="32"/>
      <c r="TQX63" s="32"/>
      <c r="TQY63" s="32"/>
      <c r="TQZ63" s="32"/>
      <c r="TRA63" s="32"/>
      <c r="TRB63" s="32"/>
      <c r="TRC63" s="32"/>
      <c r="TRD63" s="32"/>
      <c r="TRE63" s="32"/>
      <c r="TRF63" s="32"/>
      <c r="TRG63" s="32"/>
      <c r="TRH63" s="32"/>
      <c r="TRI63" s="32"/>
      <c r="TRJ63" s="32"/>
      <c r="TRK63" s="32"/>
      <c r="TRL63" s="32"/>
      <c r="TRM63" s="32"/>
      <c r="TRN63" s="32"/>
      <c r="TRO63" s="32"/>
      <c r="TRP63" s="32"/>
      <c r="TRQ63" s="32"/>
      <c r="TRR63" s="32"/>
      <c r="TRS63" s="32"/>
      <c r="TRT63" s="32"/>
      <c r="TRU63" s="32"/>
      <c r="TRV63" s="32"/>
      <c r="TRW63" s="32"/>
      <c r="TRX63" s="32"/>
      <c r="TRY63" s="32"/>
      <c r="TRZ63" s="32"/>
      <c r="TSA63" s="32"/>
      <c r="TSB63" s="32"/>
      <c r="TSC63" s="32"/>
      <c r="TSD63" s="32"/>
      <c r="TSE63" s="32"/>
      <c r="TSF63" s="32"/>
      <c r="TSG63" s="32"/>
      <c r="TSH63" s="32"/>
      <c r="TSI63" s="32"/>
      <c r="TSJ63" s="32"/>
      <c r="TSK63" s="32"/>
      <c r="TSL63" s="32"/>
      <c r="TSM63" s="32"/>
      <c r="TSN63" s="32"/>
      <c r="TSO63" s="32"/>
      <c r="TSP63" s="32"/>
      <c r="TSQ63" s="32"/>
      <c r="TSR63" s="32"/>
      <c r="TSS63" s="32"/>
      <c r="TST63" s="32"/>
      <c r="TSU63" s="32"/>
      <c r="TSV63" s="32"/>
      <c r="TSW63" s="32"/>
      <c r="TSX63" s="32"/>
      <c r="TSY63" s="32"/>
      <c r="TSZ63" s="32"/>
      <c r="TTA63" s="32"/>
      <c r="TTB63" s="32"/>
      <c r="TTC63" s="32"/>
      <c r="TTD63" s="32"/>
      <c r="TTE63" s="32"/>
      <c r="TTF63" s="32"/>
      <c r="TTG63" s="32"/>
      <c r="TTH63" s="32"/>
      <c r="TTI63" s="32"/>
      <c r="TTJ63" s="32"/>
      <c r="TTK63" s="32"/>
      <c r="TTL63" s="32"/>
      <c r="TTM63" s="32"/>
      <c r="TTN63" s="32"/>
      <c r="TTO63" s="32"/>
      <c r="TTP63" s="32"/>
      <c r="TTQ63" s="32"/>
      <c r="TTR63" s="32"/>
      <c r="TTS63" s="32"/>
      <c r="TTT63" s="32"/>
      <c r="TTU63" s="32"/>
      <c r="TTV63" s="32"/>
      <c r="TTW63" s="32"/>
      <c r="TTX63" s="32"/>
      <c r="TTY63" s="32"/>
      <c r="TTZ63" s="32"/>
      <c r="TUA63" s="32"/>
      <c r="TUB63" s="32"/>
      <c r="TUC63" s="32"/>
      <c r="TUD63" s="32"/>
      <c r="TUE63" s="32"/>
      <c r="TUF63" s="32"/>
      <c r="TUG63" s="32"/>
      <c r="TUH63" s="32"/>
      <c r="TUI63" s="32"/>
      <c r="TUJ63" s="32"/>
      <c r="TUK63" s="32"/>
      <c r="TUL63" s="32"/>
      <c r="TUM63" s="32"/>
      <c r="TUN63" s="32"/>
      <c r="TUO63" s="32"/>
      <c r="TUP63" s="32"/>
      <c r="TUQ63" s="32"/>
      <c r="TUR63" s="32"/>
      <c r="TUS63" s="32"/>
      <c r="TUT63" s="32"/>
      <c r="TUU63" s="32"/>
      <c r="TUV63" s="32"/>
      <c r="TUW63" s="32"/>
      <c r="TUX63" s="32"/>
      <c r="TUY63" s="32"/>
      <c r="TUZ63" s="32"/>
      <c r="TVA63" s="32"/>
      <c r="TVB63" s="32"/>
      <c r="TVC63" s="32"/>
      <c r="TVD63" s="32"/>
      <c r="TVE63" s="32"/>
      <c r="TVF63" s="32"/>
      <c r="TVG63" s="32"/>
      <c r="TVH63" s="32"/>
      <c r="TVI63" s="32"/>
      <c r="TVJ63" s="32"/>
      <c r="TVK63" s="32"/>
      <c r="TVL63" s="32"/>
      <c r="TVM63" s="32"/>
      <c r="TVN63" s="32"/>
      <c r="TVO63" s="32"/>
      <c r="TVP63" s="32"/>
      <c r="TVQ63" s="32"/>
      <c r="TVR63" s="32"/>
      <c r="TVS63" s="32"/>
      <c r="TVT63" s="32"/>
      <c r="TVU63" s="32"/>
      <c r="TVV63" s="32"/>
      <c r="TVW63" s="32"/>
      <c r="TVX63" s="32"/>
      <c r="TVY63" s="32"/>
      <c r="TVZ63" s="32"/>
      <c r="TWA63" s="32"/>
      <c r="TWB63" s="32"/>
      <c r="TWC63" s="32"/>
      <c r="TWD63" s="32"/>
      <c r="TWE63" s="32"/>
      <c r="TWF63" s="32"/>
      <c r="TWG63" s="32"/>
      <c r="TWH63" s="32"/>
      <c r="TWI63" s="32"/>
      <c r="TWJ63" s="32"/>
      <c r="TWK63" s="32"/>
      <c r="TWL63" s="32"/>
      <c r="TWM63" s="32"/>
      <c r="TWN63" s="32"/>
      <c r="TWO63" s="32"/>
      <c r="TWP63" s="32"/>
      <c r="TWQ63" s="32"/>
      <c r="TWR63" s="32"/>
      <c r="TWS63" s="32"/>
      <c r="TWT63" s="32"/>
      <c r="TWU63" s="32"/>
      <c r="TWV63" s="32"/>
      <c r="TWW63" s="32"/>
      <c r="TWX63" s="32"/>
      <c r="TWY63" s="32"/>
      <c r="TWZ63" s="32"/>
      <c r="TXA63" s="32"/>
      <c r="TXB63" s="32"/>
      <c r="TXC63" s="32"/>
      <c r="TXD63" s="32"/>
      <c r="TXE63" s="32"/>
      <c r="TXF63" s="32"/>
      <c r="TXG63" s="32"/>
      <c r="TXH63" s="32"/>
      <c r="TXI63" s="32"/>
      <c r="TXJ63" s="32"/>
      <c r="TXK63" s="32"/>
      <c r="TXL63" s="32"/>
      <c r="TXM63" s="32"/>
      <c r="TXN63" s="32"/>
      <c r="TXO63" s="32"/>
      <c r="TXP63" s="32"/>
      <c r="TXQ63" s="32"/>
      <c r="TXR63" s="32"/>
      <c r="TXS63" s="32"/>
      <c r="TXT63" s="32"/>
      <c r="TXU63" s="32"/>
      <c r="TXV63" s="32"/>
      <c r="TXW63" s="32"/>
      <c r="TXX63" s="32"/>
      <c r="TXY63" s="32"/>
      <c r="TXZ63" s="32"/>
      <c r="TYA63" s="32"/>
      <c r="TYB63" s="32"/>
      <c r="TYC63" s="32"/>
      <c r="TYD63" s="32"/>
      <c r="TYE63" s="32"/>
      <c r="TYF63" s="32"/>
      <c r="TYG63" s="32"/>
      <c r="TYH63" s="32"/>
      <c r="TYI63" s="32"/>
      <c r="TYJ63" s="32"/>
      <c r="TYK63" s="32"/>
      <c r="TYL63" s="32"/>
      <c r="TYM63" s="32"/>
      <c r="TYN63" s="32"/>
      <c r="TYO63" s="32"/>
      <c r="TYP63" s="32"/>
      <c r="TYQ63" s="32"/>
      <c r="TYR63" s="32"/>
      <c r="TYS63" s="32"/>
      <c r="TYT63" s="32"/>
      <c r="TYU63" s="32"/>
      <c r="TYV63" s="32"/>
      <c r="TYW63" s="32"/>
      <c r="TYX63" s="32"/>
      <c r="TYY63" s="32"/>
      <c r="TYZ63" s="32"/>
      <c r="TZA63" s="32"/>
      <c r="TZB63" s="32"/>
      <c r="TZC63" s="32"/>
      <c r="TZD63" s="32"/>
      <c r="TZE63" s="32"/>
      <c r="TZF63" s="32"/>
      <c r="TZG63" s="32"/>
      <c r="TZH63" s="32"/>
      <c r="TZI63" s="32"/>
      <c r="TZJ63" s="32"/>
      <c r="TZK63" s="32"/>
      <c r="TZL63" s="32"/>
      <c r="TZM63" s="32"/>
      <c r="TZN63" s="32"/>
      <c r="TZO63" s="32"/>
      <c r="TZP63" s="32"/>
      <c r="TZQ63" s="32"/>
      <c r="TZR63" s="32"/>
      <c r="TZS63" s="32"/>
      <c r="TZT63" s="32"/>
      <c r="TZU63" s="32"/>
      <c r="TZV63" s="32"/>
      <c r="TZW63" s="32"/>
      <c r="TZX63" s="32"/>
      <c r="TZY63" s="32"/>
      <c r="TZZ63" s="32"/>
      <c r="UAA63" s="32"/>
      <c r="UAB63" s="32"/>
      <c r="UAC63" s="32"/>
      <c r="UAD63" s="32"/>
      <c r="UAE63" s="32"/>
      <c r="UAF63" s="32"/>
      <c r="UAG63" s="32"/>
      <c r="UAH63" s="32"/>
      <c r="UAI63" s="32"/>
      <c r="UAJ63" s="32"/>
      <c r="UAK63" s="32"/>
      <c r="UAL63" s="32"/>
      <c r="UAM63" s="32"/>
      <c r="UAN63" s="32"/>
      <c r="UAO63" s="32"/>
      <c r="UAP63" s="32"/>
      <c r="UAQ63" s="32"/>
      <c r="UAR63" s="32"/>
      <c r="UAS63" s="32"/>
      <c r="UAT63" s="32"/>
      <c r="UAU63" s="32"/>
      <c r="UAV63" s="32"/>
      <c r="UAW63" s="32"/>
      <c r="UAX63" s="32"/>
      <c r="UAY63" s="32"/>
      <c r="UAZ63" s="32"/>
      <c r="UBA63" s="32"/>
      <c r="UBB63" s="32"/>
      <c r="UBC63" s="32"/>
      <c r="UBD63" s="32"/>
      <c r="UBE63" s="32"/>
      <c r="UBF63" s="32"/>
      <c r="UBG63" s="32"/>
      <c r="UBH63" s="32"/>
      <c r="UBI63" s="32"/>
      <c r="UBJ63" s="32"/>
      <c r="UBK63" s="32"/>
      <c r="UBL63" s="32"/>
      <c r="UBM63" s="32"/>
      <c r="UBN63" s="32"/>
      <c r="UBO63" s="32"/>
      <c r="UBP63" s="32"/>
      <c r="UBQ63" s="32"/>
      <c r="UBR63" s="32"/>
      <c r="UBS63" s="32"/>
      <c r="UBT63" s="32"/>
      <c r="UBU63" s="32"/>
      <c r="UBV63" s="32"/>
      <c r="UBW63" s="32"/>
      <c r="UBX63" s="32"/>
      <c r="UBY63" s="32"/>
      <c r="UBZ63" s="32"/>
      <c r="UCA63" s="32"/>
      <c r="UCB63" s="32"/>
      <c r="UCC63" s="32"/>
      <c r="UCD63" s="32"/>
      <c r="UCE63" s="32"/>
      <c r="UCF63" s="32"/>
      <c r="UCG63" s="32"/>
      <c r="UCH63" s="32"/>
      <c r="UCI63" s="32"/>
      <c r="UCJ63" s="32"/>
      <c r="UCK63" s="32"/>
      <c r="UCL63" s="32"/>
      <c r="UCM63" s="32"/>
      <c r="UCN63" s="32"/>
      <c r="UCO63" s="32"/>
      <c r="UCP63" s="32"/>
      <c r="UCQ63" s="32"/>
      <c r="UCR63" s="32"/>
      <c r="UCS63" s="32"/>
      <c r="UCT63" s="32"/>
      <c r="UCU63" s="32"/>
      <c r="UCV63" s="32"/>
      <c r="UCW63" s="32"/>
      <c r="UCX63" s="32"/>
      <c r="UCY63" s="32"/>
      <c r="UCZ63" s="32"/>
      <c r="UDA63" s="32"/>
      <c r="UDB63" s="32"/>
      <c r="UDC63" s="32"/>
      <c r="UDD63" s="32"/>
      <c r="UDE63" s="32"/>
      <c r="UDF63" s="32"/>
      <c r="UDG63" s="32"/>
      <c r="UDH63" s="32"/>
      <c r="UDI63" s="32"/>
      <c r="UDJ63" s="32"/>
      <c r="UDK63" s="32"/>
      <c r="UDL63" s="32"/>
      <c r="UDM63" s="32"/>
      <c r="UDN63" s="32"/>
      <c r="UDO63" s="32"/>
      <c r="UDP63" s="32"/>
      <c r="UDQ63" s="32"/>
      <c r="UDR63" s="32"/>
      <c r="UDS63" s="32"/>
      <c r="UDT63" s="32"/>
      <c r="UDU63" s="32"/>
      <c r="UDV63" s="32"/>
      <c r="UDW63" s="32"/>
      <c r="UDX63" s="32"/>
      <c r="UDY63" s="32"/>
      <c r="UDZ63" s="32"/>
      <c r="UEA63" s="32"/>
      <c r="UEB63" s="32"/>
      <c r="UEC63" s="32"/>
      <c r="UED63" s="32"/>
      <c r="UEE63" s="32"/>
      <c r="UEF63" s="32"/>
      <c r="UEG63" s="32"/>
      <c r="UEH63" s="32"/>
      <c r="UEI63" s="32"/>
      <c r="UEJ63" s="32"/>
      <c r="UEK63" s="32"/>
      <c r="UEL63" s="32"/>
      <c r="UEM63" s="32"/>
      <c r="UEN63" s="32"/>
      <c r="UEO63" s="32"/>
      <c r="UEP63" s="32"/>
      <c r="UEQ63" s="32"/>
      <c r="UER63" s="32"/>
      <c r="UES63" s="32"/>
      <c r="UET63" s="32"/>
      <c r="UEU63" s="32"/>
      <c r="UEV63" s="32"/>
      <c r="UEW63" s="32"/>
      <c r="UEX63" s="32"/>
      <c r="UEY63" s="32"/>
      <c r="UEZ63" s="32"/>
      <c r="UFA63" s="32"/>
      <c r="UFB63" s="32"/>
      <c r="UFC63" s="32"/>
      <c r="UFD63" s="32"/>
      <c r="UFE63" s="32"/>
      <c r="UFF63" s="32"/>
      <c r="UFG63" s="32"/>
      <c r="UFH63" s="32"/>
      <c r="UFI63" s="32"/>
      <c r="UFJ63" s="32"/>
      <c r="UFK63" s="32"/>
      <c r="UFL63" s="32"/>
      <c r="UFM63" s="32"/>
      <c r="UFN63" s="32"/>
      <c r="UFO63" s="32"/>
      <c r="UFP63" s="32"/>
      <c r="UFQ63" s="32"/>
      <c r="UFR63" s="32"/>
      <c r="UFS63" s="32"/>
      <c r="UFT63" s="32"/>
      <c r="UFU63" s="32"/>
      <c r="UFV63" s="32"/>
      <c r="UFW63" s="32"/>
      <c r="UFX63" s="32"/>
      <c r="UFY63" s="32"/>
      <c r="UFZ63" s="32"/>
      <c r="UGA63" s="32"/>
      <c r="UGB63" s="32"/>
      <c r="UGC63" s="32"/>
      <c r="UGD63" s="32"/>
      <c r="UGE63" s="32"/>
      <c r="UGF63" s="32"/>
      <c r="UGG63" s="32"/>
      <c r="UGH63" s="32"/>
      <c r="UGI63" s="32"/>
      <c r="UGJ63" s="32"/>
      <c r="UGK63" s="32"/>
      <c r="UGL63" s="32"/>
      <c r="UGM63" s="32"/>
      <c r="UGN63" s="32"/>
      <c r="UGO63" s="32"/>
      <c r="UGP63" s="32"/>
      <c r="UGQ63" s="32"/>
      <c r="UGR63" s="32"/>
      <c r="UGS63" s="32"/>
      <c r="UGT63" s="32"/>
      <c r="UGU63" s="32"/>
      <c r="UGV63" s="32"/>
      <c r="UGW63" s="32"/>
      <c r="UGX63" s="32"/>
      <c r="UGY63" s="32"/>
      <c r="UGZ63" s="32"/>
      <c r="UHA63" s="32"/>
      <c r="UHB63" s="32"/>
      <c r="UHC63" s="32"/>
      <c r="UHD63" s="32"/>
      <c r="UHE63" s="32"/>
      <c r="UHF63" s="32"/>
      <c r="UHG63" s="32"/>
      <c r="UHH63" s="32"/>
      <c r="UHI63" s="32"/>
      <c r="UHJ63" s="32"/>
      <c r="UHK63" s="32"/>
      <c r="UHL63" s="32"/>
      <c r="UHM63" s="32"/>
      <c r="UHN63" s="32"/>
      <c r="UHO63" s="32"/>
      <c r="UHP63" s="32"/>
      <c r="UHQ63" s="32"/>
      <c r="UHR63" s="32"/>
      <c r="UHS63" s="32"/>
      <c r="UHT63" s="32"/>
      <c r="UHU63" s="32"/>
      <c r="UHV63" s="32"/>
      <c r="UHW63" s="32"/>
      <c r="UHX63" s="32"/>
      <c r="UHY63" s="32"/>
      <c r="UHZ63" s="32"/>
      <c r="UIA63" s="32"/>
      <c r="UIB63" s="32"/>
      <c r="UIC63" s="32"/>
      <c r="UID63" s="32"/>
      <c r="UIE63" s="32"/>
      <c r="UIF63" s="32"/>
      <c r="UIG63" s="32"/>
      <c r="UIH63" s="32"/>
      <c r="UII63" s="32"/>
      <c r="UIJ63" s="32"/>
      <c r="UIK63" s="32"/>
      <c r="UIL63" s="32"/>
      <c r="UIM63" s="32"/>
      <c r="UIN63" s="32"/>
      <c r="UIO63" s="32"/>
      <c r="UIP63" s="32"/>
      <c r="UIQ63" s="32"/>
      <c r="UIR63" s="32"/>
      <c r="UIS63" s="32"/>
      <c r="UIT63" s="32"/>
      <c r="UIU63" s="32"/>
      <c r="UIV63" s="32"/>
      <c r="UIW63" s="32"/>
      <c r="UIX63" s="32"/>
      <c r="UIY63" s="32"/>
      <c r="UIZ63" s="32"/>
      <c r="UJA63" s="32"/>
      <c r="UJB63" s="32"/>
      <c r="UJC63" s="32"/>
      <c r="UJD63" s="32"/>
      <c r="UJE63" s="32"/>
      <c r="UJF63" s="32"/>
      <c r="UJG63" s="32"/>
      <c r="UJH63" s="32"/>
      <c r="UJI63" s="32"/>
      <c r="UJJ63" s="32"/>
      <c r="UJK63" s="32"/>
      <c r="UJL63" s="32"/>
      <c r="UJM63" s="32"/>
      <c r="UJN63" s="32"/>
      <c r="UJO63" s="32"/>
      <c r="UJP63" s="32"/>
      <c r="UJQ63" s="32"/>
      <c r="UJR63" s="32"/>
      <c r="UJS63" s="32"/>
      <c r="UJT63" s="32"/>
      <c r="UJU63" s="32"/>
      <c r="UJV63" s="32"/>
      <c r="UJW63" s="32"/>
      <c r="UJX63" s="32"/>
      <c r="UJY63" s="32"/>
      <c r="UJZ63" s="32"/>
      <c r="UKA63" s="32"/>
      <c r="UKB63" s="32"/>
      <c r="UKC63" s="32"/>
      <c r="UKD63" s="32"/>
      <c r="UKE63" s="32"/>
      <c r="UKF63" s="32"/>
      <c r="UKG63" s="32"/>
      <c r="UKH63" s="32"/>
      <c r="UKI63" s="32"/>
      <c r="UKJ63" s="32"/>
      <c r="UKK63" s="32"/>
      <c r="UKL63" s="32"/>
      <c r="UKM63" s="32"/>
      <c r="UKN63" s="32"/>
      <c r="UKO63" s="32"/>
      <c r="UKP63" s="32"/>
      <c r="UKQ63" s="32"/>
      <c r="UKR63" s="32"/>
      <c r="UKS63" s="32"/>
      <c r="UKT63" s="32"/>
      <c r="UKU63" s="32"/>
      <c r="UKV63" s="32"/>
      <c r="UKW63" s="32"/>
      <c r="UKX63" s="32"/>
      <c r="UKY63" s="32"/>
      <c r="UKZ63" s="32"/>
      <c r="ULA63" s="32"/>
      <c r="ULB63" s="32"/>
      <c r="ULC63" s="32"/>
      <c r="ULD63" s="32"/>
      <c r="ULE63" s="32"/>
      <c r="ULF63" s="32"/>
      <c r="ULG63" s="32"/>
      <c r="ULH63" s="32"/>
      <c r="ULI63" s="32"/>
      <c r="ULJ63" s="32"/>
      <c r="ULK63" s="32"/>
      <c r="ULL63" s="32"/>
      <c r="ULM63" s="32"/>
      <c r="ULN63" s="32"/>
      <c r="ULO63" s="32"/>
      <c r="ULP63" s="32"/>
      <c r="ULQ63" s="32"/>
      <c r="ULR63" s="32"/>
      <c r="ULS63" s="32"/>
      <c r="ULT63" s="32"/>
      <c r="ULU63" s="32"/>
      <c r="ULV63" s="32"/>
      <c r="ULW63" s="32"/>
      <c r="ULX63" s="32"/>
      <c r="ULY63" s="32"/>
      <c r="ULZ63" s="32"/>
      <c r="UMA63" s="32"/>
      <c r="UMB63" s="32"/>
      <c r="UMC63" s="32"/>
      <c r="UMD63" s="32"/>
      <c r="UME63" s="32"/>
      <c r="UMF63" s="32"/>
      <c r="UMG63" s="32"/>
      <c r="UMH63" s="32"/>
      <c r="UMI63" s="32"/>
      <c r="UMJ63" s="32"/>
      <c r="UMK63" s="32"/>
      <c r="UML63" s="32"/>
      <c r="UMM63" s="32"/>
      <c r="UMN63" s="32"/>
      <c r="UMO63" s="32"/>
      <c r="UMP63" s="32"/>
      <c r="UMQ63" s="32"/>
      <c r="UMR63" s="32"/>
      <c r="UMS63" s="32"/>
      <c r="UMT63" s="32"/>
      <c r="UMU63" s="32"/>
      <c r="UMV63" s="32"/>
      <c r="UMW63" s="32"/>
      <c r="UMX63" s="32"/>
      <c r="UMY63" s="32"/>
      <c r="UMZ63" s="32"/>
      <c r="UNA63" s="32"/>
      <c r="UNB63" s="32"/>
      <c r="UNC63" s="32"/>
      <c r="UND63" s="32"/>
      <c r="UNE63" s="32"/>
      <c r="UNF63" s="32"/>
      <c r="UNG63" s="32"/>
      <c r="UNH63" s="32"/>
      <c r="UNI63" s="32"/>
      <c r="UNJ63" s="32"/>
      <c r="UNK63" s="32"/>
      <c r="UNL63" s="32"/>
      <c r="UNM63" s="32"/>
      <c r="UNN63" s="32"/>
      <c r="UNO63" s="32"/>
      <c r="UNP63" s="32"/>
      <c r="UNQ63" s="32"/>
      <c r="UNR63" s="32"/>
      <c r="UNS63" s="32"/>
      <c r="UNT63" s="32"/>
      <c r="UNU63" s="32"/>
      <c r="UNV63" s="32"/>
      <c r="UNW63" s="32"/>
      <c r="UNX63" s="32"/>
      <c r="UNY63" s="32"/>
      <c r="UNZ63" s="32"/>
      <c r="UOA63" s="32"/>
      <c r="UOB63" s="32"/>
      <c r="UOC63" s="32"/>
      <c r="UOD63" s="32"/>
      <c r="UOE63" s="32"/>
      <c r="UOF63" s="32"/>
      <c r="UOG63" s="32"/>
      <c r="UOH63" s="32"/>
      <c r="UOI63" s="32"/>
      <c r="UOJ63" s="32"/>
      <c r="UOK63" s="32"/>
      <c r="UOL63" s="32"/>
      <c r="UOM63" s="32"/>
      <c r="UON63" s="32"/>
      <c r="UOO63" s="32"/>
      <c r="UOP63" s="32"/>
      <c r="UOQ63" s="32"/>
      <c r="UOR63" s="32"/>
      <c r="UOS63" s="32"/>
      <c r="UOT63" s="32"/>
      <c r="UOU63" s="32"/>
      <c r="UOV63" s="32"/>
      <c r="UOW63" s="32"/>
      <c r="UOX63" s="32"/>
      <c r="UOY63" s="32"/>
      <c r="UOZ63" s="32"/>
      <c r="UPA63" s="32"/>
      <c r="UPB63" s="32"/>
      <c r="UPC63" s="32"/>
      <c r="UPD63" s="32"/>
      <c r="UPE63" s="32"/>
      <c r="UPF63" s="32"/>
      <c r="UPG63" s="32"/>
      <c r="UPH63" s="32"/>
      <c r="UPI63" s="32"/>
      <c r="UPJ63" s="32"/>
      <c r="UPK63" s="32"/>
      <c r="UPL63" s="32"/>
      <c r="UPM63" s="32"/>
      <c r="UPN63" s="32"/>
      <c r="UPO63" s="32"/>
      <c r="UPP63" s="32"/>
      <c r="UPQ63" s="32"/>
      <c r="UPR63" s="32"/>
      <c r="UPS63" s="32"/>
      <c r="UPT63" s="32"/>
      <c r="UPU63" s="32"/>
      <c r="UPV63" s="32"/>
      <c r="UPW63" s="32"/>
      <c r="UPX63" s="32"/>
      <c r="UPY63" s="32"/>
      <c r="UPZ63" s="32"/>
      <c r="UQA63" s="32"/>
      <c r="UQB63" s="32"/>
      <c r="UQC63" s="32"/>
      <c r="UQD63" s="32"/>
      <c r="UQE63" s="32"/>
      <c r="UQF63" s="32"/>
      <c r="UQG63" s="32"/>
      <c r="UQH63" s="32"/>
      <c r="UQI63" s="32"/>
      <c r="UQJ63" s="32"/>
      <c r="UQK63" s="32"/>
      <c r="UQL63" s="32"/>
      <c r="UQM63" s="32"/>
      <c r="UQN63" s="32"/>
      <c r="UQO63" s="32"/>
      <c r="UQP63" s="32"/>
      <c r="UQQ63" s="32"/>
      <c r="UQR63" s="32"/>
      <c r="UQS63" s="32"/>
      <c r="UQT63" s="32"/>
      <c r="UQU63" s="32"/>
      <c r="UQV63" s="32"/>
      <c r="UQW63" s="32"/>
      <c r="UQX63" s="32"/>
      <c r="UQY63" s="32"/>
      <c r="UQZ63" s="32"/>
      <c r="URA63" s="32"/>
      <c r="URB63" s="32"/>
      <c r="URC63" s="32"/>
      <c r="URD63" s="32"/>
      <c r="URE63" s="32"/>
      <c r="URF63" s="32"/>
      <c r="URG63" s="32"/>
      <c r="URH63" s="32"/>
      <c r="URI63" s="32"/>
      <c r="URJ63" s="32"/>
      <c r="URK63" s="32"/>
      <c r="URL63" s="32"/>
      <c r="URM63" s="32"/>
      <c r="URN63" s="32"/>
      <c r="URO63" s="32"/>
      <c r="URP63" s="32"/>
      <c r="URQ63" s="32"/>
      <c r="URR63" s="32"/>
      <c r="URS63" s="32"/>
      <c r="URT63" s="32"/>
      <c r="URU63" s="32"/>
      <c r="URV63" s="32"/>
      <c r="URW63" s="32"/>
      <c r="URX63" s="32"/>
      <c r="URY63" s="32"/>
      <c r="URZ63" s="32"/>
      <c r="USA63" s="32"/>
      <c r="USB63" s="32"/>
      <c r="USC63" s="32"/>
      <c r="USD63" s="32"/>
      <c r="USE63" s="32"/>
      <c r="USF63" s="32"/>
      <c r="USG63" s="32"/>
      <c r="USH63" s="32"/>
      <c r="USI63" s="32"/>
      <c r="USJ63" s="32"/>
      <c r="USK63" s="32"/>
      <c r="USL63" s="32"/>
      <c r="USM63" s="32"/>
      <c r="USN63" s="32"/>
      <c r="USO63" s="32"/>
      <c r="USP63" s="32"/>
      <c r="USQ63" s="32"/>
      <c r="USR63" s="32"/>
      <c r="USS63" s="32"/>
      <c r="UST63" s="32"/>
      <c r="USU63" s="32"/>
      <c r="USV63" s="32"/>
      <c r="USW63" s="32"/>
      <c r="USX63" s="32"/>
      <c r="USY63" s="32"/>
      <c r="USZ63" s="32"/>
      <c r="UTA63" s="32"/>
      <c r="UTB63" s="32"/>
      <c r="UTC63" s="32"/>
      <c r="UTD63" s="32"/>
      <c r="UTE63" s="32"/>
      <c r="UTF63" s="32"/>
      <c r="UTG63" s="32"/>
      <c r="UTH63" s="32"/>
      <c r="UTI63" s="32"/>
      <c r="UTJ63" s="32"/>
      <c r="UTK63" s="32"/>
      <c r="UTL63" s="32"/>
      <c r="UTM63" s="32"/>
      <c r="UTN63" s="32"/>
      <c r="UTO63" s="32"/>
      <c r="UTP63" s="32"/>
      <c r="UTQ63" s="32"/>
      <c r="UTR63" s="32"/>
      <c r="UTS63" s="32"/>
      <c r="UTT63" s="32"/>
      <c r="UTU63" s="32"/>
      <c r="UTV63" s="32"/>
      <c r="UTW63" s="32"/>
      <c r="UTX63" s="32"/>
      <c r="UTY63" s="32"/>
      <c r="UTZ63" s="32"/>
      <c r="UUA63" s="32"/>
      <c r="UUB63" s="32"/>
      <c r="UUC63" s="32"/>
      <c r="UUD63" s="32"/>
      <c r="UUE63" s="32"/>
      <c r="UUF63" s="32"/>
      <c r="UUG63" s="32"/>
      <c r="UUH63" s="32"/>
      <c r="UUI63" s="32"/>
      <c r="UUJ63" s="32"/>
      <c r="UUK63" s="32"/>
      <c r="UUL63" s="32"/>
      <c r="UUM63" s="32"/>
      <c r="UUN63" s="32"/>
      <c r="UUO63" s="32"/>
      <c r="UUP63" s="32"/>
      <c r="UUQ63" s="32"/>
      <c r="UUR63" s="32"/>
      <c r="UUS63" s="32"/>
      <c r="UUT63" s="32"/>
      <c r="UUU63" s="32"/>
      <c r="UUV63" s="32"/>
      <c r="UUW63" s="32"/>
      <c r="UUX63" s="32"/>
      <c r="UUY63" s="32"/>
      <c r="UUZ63" s="32"/>
      <c r="UVA63" s="32"/>
      <c r="UVB63" s="32"/>
      <c r="UVC63" s="32"/>
      <c r="UVD63" s="32"/>
      <c r="UVE63" s="32"/>
      <c r="UVF63" s="32"/>
      <c r="UVG63" s="32"/>
      <c r="UVH63" s="32"/>
      <c r="UVI63" s="32"/>
      <c r="UVJ63" s="32"/>
      <c r="UVK63" s="32"/>
      <c r="UVL63" s="32"/>
      <c r="UVM63" s="32"/>
      <c r="UVN63" s="32"/>
      <c r="UVO63" s="32"/>
      <c r="UVP63" s="32"/>
      <c r="UVQ63" s="32"/>
      <c r="UVR63" s="32"/>
      <c r="UVS63" s="32"/>
      <c r="UVT63" s="32"/>
      <c r="UVU63" s="32"/>
      <c r="UVV63" s="32"/>
      <c r="UVW63" s="32"/>
      <c r="UVX63" s="32"/>
      <c r="UVY63" s="32"/>
      <c r="UVZ63" s="32"/>
      <c r="UWA63" s="32"/>
      <c r="UWB63" s="32"/>
      <c r="UWC63" s="32"/>
      <c r="UWD63" s="32"/>
      <c r="UWE63" s="32"/>
      <c r="UWF63" s="32"/>
      <c r="UWG63" s="32"/>
      <c r="UWH63" s="32"/>
      <c r="UWI63" s="32"/>
      <c r="UWJ63" s="32"/>
      <c r="UWK63" s="32"/>
      <c r="UWL63" s="32"/>
      <c r="UWM63" s="32"/>
      <c r="UWN63" s="32"/>
      <c r="UWO63" s="32"/>
      <c r="UWP63" s="32"/>
      <c r="UWQ63" s="32"/>
      <c r="UWR63" s="32"/>
      <c r="UWS63" s="32"/>
      <c r="UWT63" s="32"/>
      <c r="UWU63" s="32"/>
      <c r="UWV63" s="32"/>
      <c r="UWW63" s="32"/>
      <c r="UWX63" s="32"/>
      <c r="UWY63" s="32"/>
      <c r="UWZ63" s="32"/>
      <c r="UXA63" s="32"/>
      <c r="UXB63" s="32"/>
      <c r="UXC63" s="32"/>
      <c r="UXD63" s="32"/>
      <c r="UXE63" s="32"/>
      <c r="UXF63" s="32"/>
      <c r="UXG63" s="32"/>
      <c r="UXH63" s="32"/>
      <c r="UXI63" s="32"/>
      <c r="UXJ63" s="32"/>
      <c r="UXK63" s="32"/>
      <c r="UXL63" s="32"/>
      <c r="UXM63" s="32"/>
      <c r="UXN63" s="32"/>
      <c r="UXO63" s="32"/>
      <c r="UXP63" s="32"/>
      <c r="UXQ63" s="32"/>
      <c r="UXR63" s="32"/>
      <c r="UXS63" s="32"/>
      <c r="UXT63" s="32"/>
      <c r="UXU63" s="32"/>
      <c r="UXV63" s="32"/>
      <c r="UXW63" s="32"/>
      <c r="UXX63" s="32"/>
      <c r="UXY63" s="32"/>
      <c r="UXZ63" s="32"/>
      <c r="UYA63" s="32"/>
      <c r="UYB63" s="32"/>
      <c r="UYC63" s="32"/>
      <c r="UYD63" s="32"/>
      <c r="UYE63" s="32"/>
      <c r="UYF63" s="32"/>
      <c r="UYG63" s="32"/>
      <c r="UYH63" s="32"/>
      <c r="UYI63" s="32"/>
      <c r="UYJ63" s="32"/>
      <c r="UYK63" s="32"/>
      <c r="UYL63" s="32"/>
      <c r="UYM63" s="32"/>
      <c r="UYN63" s="32"/>
      <c r="UYO63" s="32"/>
      <c r="UYP63" s="32"/>
      <c r="UYQ63" s="32"/>
      <c r="UYR63" s="32"/>
      <c r="UYS63" s="32"/>
      <c r="UYT63" s="32"/>
      <c r="UYU63" s="32"/>
      <c r="UYV63" s="32"/>
      <c r="UYW63" s="32"/>
      <c r="UYX63" s="32"/>
      <c r="UYY63" s="32"/>
      <c r="UYZ63" s="32"/>
      <c r="UZA63" s="32"/>
      <c r="UZB63" s="32"/>
      <c r="UZC63" s="32"/>
      <c r="UZD63" s="32"/>
      <c r="UZE63" s="32"/>
      <c r="UZF63" s="32"/>
      <c r="UZG63" s="32"/>
      <c r="UZH63" s="32"/>
      <c r="UZI63" s="32"/>
      <c r="UZJ63" s="32"/>
      <c r="UZK63" s="32"/>
      <c r="UZL63" s="32"/>
      <c r="UZM63" s="32"/>
      <c r="UZN63" s="32"/>
      <c r="UZO63" s="32"/>
      <c r="UZP63" s="32"/>
      <c r="UZQ63" s="32"/>
      <c r="UZR63" s="32"/>
      <c r="UZS63" s="32"/>
      <c r="UZT63" s="32"/>
      <c r="UZU63" s="32"/>
      <c r="UZV63" s="32"/>
      <c r="UZW63" s="32"/>
      <c r="UZX63" s="32"/>
      <c r="UZY63" s="32"/>
      <c r="UZZ63" s="32"/>
      <c r="VAA63" s="32"/>
      <c r="VAB63" s="32"/>
      <c r="VAC63" s="32"/>
      <c r="VAD63" s="32"/>
      <c r="VAE63" s="32"/>
      <c r="VAF63" s="32"/>
      <c r="VAG63" s="32"/>
      <c r="VAH63" s="32"/>
      <c r="VAI63" s="32"/>
      <c r="VAJ63" s="32"/>
      <c r="VAK63" s="32"/>
      <c r="VAL63" s="32"/>
      <c r="VAM63" s="32"/>
      <c r="VAN63" s="32"/>
      <c r="VAO63" s="32"/>
      <c r="VAP63" s="32"/>
      <c r="VAQ63" s="32"/>
      <c r="VAR63" s="32"/>
      <c r="VAS63" s="32"/>
      <c r="VAT63" s="32"/>
      <c r="VAU63" s="32"/>
      <c r="VAV63" s="32"/>
      <c r="VAW63" s="32"/>
      <c r="VAX63" s="32"/>
      <c r="VAY63" s="32"/>
      <c r="VAZ63" s="32"/>
      <c r="VBA63" s="32"/>
      <c r="VBB63" s="32"/>
      <c r="VBC63" s="32"/>
      <c r="VBD63" s="32"/>
      <c r="VBE63" s="32"/>
      <c r="VBF63" s="32"/>
      <c r="VBG63" s="32"/>
      <c r="VBH63" s="32"/>
      <c r="VBI63" s="32"/>
      <c r="VBJ63" s="32"/>
      <c r="VBK63" s="32"/>
      <c r="VBL63" s="32"/>
      <c r="VBM63" s="32"/>
      <c r="VBN63" s="32"/>
      <c r="VBO63" s="32"/>
      <c r="VBP63" s="32"/>
      <c r="VBQ63" s="32"/>
      <c r="VBR63" s="32"/>
      <c r="VBS63" s="32"/>
      <c r="VBT63" s="32"/>
      <c r="VBU63" s="32"/>
      <c r="VBV63" s="32"/>
      <c r="VBW63" s="32"/>
      <c r="VBX63" s="32"/>
      <c r="VBY63" s="32"/>
      <c r="VBZ63" s="32"/>
      <c r="VCA63" s="32"/>
      <c r="VCB63" s="32"/>
      <c r="VCC63" s="32"/>
      <c r="VCD63" s="32"/>
      <c r="VCE63" s="32"/>
      <c r="VCF63" s="32"/>
      <c r="VCG63" s="32"/>
      <c r="VCH63" s="32"/>
      <c r="VCI63" s="32"/>
      <c r="VCJ63" s="32"/>
      <c r="VCK63" s="32"/>
      <c r="VCL63" s="32"/>
      <c r="VCM63" s="32"/>
      <c r="VCN63" s="32"/>
      <c r="VCO63" s="32"/>
      <c r="VCP63" s="32"/>
      <c r="VCQ63" s="32"/>
      <c r="VCR63" s="32"/>
      <c r="VCS63" s="32"/>
      <c r="VCT63" s="32"/>
      <c r="VCU63" s="32"/>
      <c r="VCV63" s="32"/>
      <c r="VCW63" s="32"/>
      <c r="VCX63" s="32"/>
      <c r="VCY63" s="32"/>
      <c r="VCZ63" s="32"/>
      <c r="VDA63" s="32"/>
      <c r="VDB63" s="32"/>
      <c r="VDC63" s="32"/>
      <c r="VDD63" s="32"/>
      <c r="VDE63" s="32"/>
      <c r="VDF63" s="32"/>
      <c r="VDG63" s="32"/>
      <c r="VDH63" s="32"/>
      <c r="VDI63" s="32"/>
      <c r="VDJ63" s="32"/>
      <c r="VDK63" s="32"/>
      <c r="VDL63" s="32"/>
      <c r="VDM63" s="32"/>
      <c r="VDN63" s="32"/>
      <c r="VDO63" s="32"/>
      <c r="VDP63" s="32"/>
      <c r="VDQ63" s="32"/>
      <c r="VDR63" s="32"/>
      <c r="VDS63" s="32"/>
      <c r="VDT63" s="32"/>
      <c r="VDU63" s="32"/>
      <c r="VDV63" s="32"/>
      <c r="VDW63" s="32"/>
      <c r="VDX63" s="32"/>
      <c r="VDY63" s="32"/>
      <c r="VDZ63" s="32"/>
      <c r="VEA63" s="32"/>
      <c r="VEB63" s="32"/>
      <c r="VEC63" s="32"/>
      <c r="VED63" s="32"/>
      <c r="VEE63" s="32"/>
      <c r="VEF63" s="32"/>
      <c r="VEG63" s="32"/>
      <c r="VEH63" s="32"/>
      <c r="VEI63" s="32"/>
      <c r="VEJ63" s="32"/>
      <c r="VEK63" s="32"/>
      <c r="VEL63" s="32"/>
      <c r="VEM63" s="32"/>
      <c r="VEN63" s="32"/>
      <c r="VEO63" s="32"/>
      <c r="VEP63" s="32"/>
      <c r="VEQ63" s="32"/>
      <c r="VER63" s="32"/>
      <c r="VES63" s="32"/>
      <c r="VET63" s="32"/>
      <c r="VEU63" s="32"/>
      <c r="VEV63" s="32"/>
      <c r="VEW63" s="32"/>
      <c r="VEX63" s="32"/>
      <c r="VEY63" s="32"/>
      <c r="VEZ63" s="32"/>
      <c r="VFA63" s="32"/>
      <c r="VFB63" s="32"/>
      <c r="VFC63" s="32"/>
      <c r="VFD63" s="32"/>
      <c r="VFE63" s="32"/>
      <c r="VFF63" s="32"/>
      <c r="VFG63" s="32"/>
      <c r="VFH63" s="32"/>
      <c r="VFI63" s="32"/>
      <c r="VFJ63" s="32"/>
      <c r="VFK63" s="32"/>
      <c r="VFL63" s="32"/>
      <c r="VFM63" s="32"/>
      <c r="VFN63" s="32"/>
      <c r="VFO63" s="32"/>
      <c r="VFP63" s="32"/>
      <c r="VFQ63" s="32"/>
      <c r="VFR63" s="32"/>
      <c r="VFS63" s="32"/>
      <c r="VFT63" s="32"/>
      <c r="VFU63" s="32"/>
      <c r="VFV63" s="32"/>
      <c r="VFW63" s="32"/>
      <c r="VFX63" s="32"/>
      <c r="VFY63" s="32"/>
      <c r="VFZ63" s="32"/>
      <c r="VGA63" s="32"/>
      <c r="VGB63" s="32"/>
      <c r="VGC63" s="32"/>
      <c r="VGD63" s="32"/>
      <c r="VGE63" s="32"/>
      <c r="VGF63" s="32"/>
      <c r="VGG63" s="32"/>
      <c r="VGH63" s="32"/>
      <c r="VGI63" s="32"/>
      <c r="VGJ63" s="32"/>
      <c r="VGK63" s="32"/>
      <c r="VGL63" s="32"/>
      <c r="VGM63" s="32"/>
      <c r="VGN63" s="32"/>
      <c r="VGO63" s="32"/>
      <c r="VGP63" s="32"/>
      <c r="VGQ63" s="32"/>
      <c r="VGR63" s="32"/>
      <c r="VGS63" s="32"/>
      <c r="VGT63" s="32"/>
      <c r="VGU63" s="32"/>
      <c r="VGV63" s="32"/>
      <c r="VGW63" s="32"/>
      <c r="VGX63" s="32"/>
      <c r="VGY63" s="32"/>
      <c r="VGZ63" s="32"/>
      <c r="VHA63" s="32"/>
      <c r="VHB63" s="32"/>
      <c r="VHC63" s="32"/>
      <c r="VHD63" s="32"/>
      <c r="VHE63" s="32"/>
      <c r="VHF63" s="32"/>
      <c r="VHG63" s="32"/>
      <c r="VHH63" s="32"/>
      <c r="VHI63" s="32"/>
      <c r="VHJ63" s="32"/>
      <c r="VHK63" s="32"/>
      <c r="VHL63" s="32"/>
      <c r="VHM63" s="32"/>
      <c r="VHN63" s="32"/>
      <c r="VHO63" s="32"/>
      <c r="VHP63" s="32"/>
      <c r="VHQ63" s="32"/>
      <c r="VHR63" s="32"/>
      <c r="VHS63" s="32"/>
      <c r="VHT63" s="32"/>
      <c r="VHU63" s="32"/>
      <c r="VHV63" s="32"/>
      <c r="VHW63" s="32"/>
      <c r="VHX63" s="32"/>
      <c r="VHY63" s="32"/>
      <c r="VHZ63" s="32"/>
      <c r="VIA63" s="32"/>
      <c r="VIB63" s="32"/>
      <c r="VIC63" s="32"/>
      <c r="VID63" s="32"/>
      <c r="VIE63" s="32"/>
      <c r="VIF63" s="32"/>
      <c r="VIG63" s="32"/>
      <c r="VIH63" s="32"/>
      <c r="VII63" s="32"/>
      <c r="VIJ63" s="32"/>
      <c r="VIK63" s="32"/>
      <c r="VIL63" s="32"/>
      <c r="VIM63" s="32"/>
      <c r="VIN63" s="32"/>
      <c r="VIO63" s="32"/>
      <c r="VIP63" s="32"/>
      <c r="VIQ63" s="32"/>
      <c r="VIR63" s="32"/>
      <c r="VIS63" s="32"/>
      <c r="VIT63" s="32"/>
      <c r="VIU63" s="32"/>
      <c r="VIV63" s="32"/>
      <c r="VIW63" s="32"/>
      <c r="VIX63" s="32"/>
      <c r="VIY63" s="32"/>
      <c r="VIZ63" s="32"/>
      <c r="VJA63" s="32"/>
      <c r="VJB63" s="32"/>
      <c r="VJC63" s="32"/>
      <c r="VJD63" s="32"/>
      <c r="VJE63" s="32"/>
      <c r="VJF63" s="32"/>
      <c r="VJG63" s="32"/>
      <c r="VJH63" s="32"/>
      <c r="VJI63" s="32"/>
      <c r="VJJ63" s="32"/>
      <c r="VJK63" s="32"/>
      <c r="VJL63" s="32"/>
      <c r="VJM63" s="32"/>
      <c r="VJN63" s="32"/>
      <c r="VJO63" s="32"/>
      <c r="VJP63" s="32"/>
      <c r="VJQ63" s="32"/>
      <c r="VJR63" s="32"/>
      <c r="VJS63" s="32"/>
      <c r="VJT63" s="32"/>
      <c r="VJU63" s="32"/>
      <c r="VJV63" s="32"/>
      <c r="VJW63" s="32"/>
      <c r="VJX63" s="32"/>
      <c r="VJY63" s="32"/>
      <c r="VJZ63" s="32"/>
      <c r="VKA63" s="32"/>
      <c r="VKB63" s="32"/>
      <c r="VKC63" s="32"/>
      <c r="VKD63" s="32"/>
      <c r="VKE63" s="32"/>
      <c r="VKF63" s="32"/>
      <c r="VKG63" s="32"/>
      <c r="VKH63" s="32"/>
      <c r="VKI63" s="32"/>
      <c r="VKJ63" s="32"/>
      <c r="VKK63" s="32"/>
      <c r="VKL63" s="32"/>
      <c r="VKM63" s="32"/>
      <c r="VKN63" s="32"/>
      <c r="VKO63" s="32"/>
      <c r="VKP63" s="32"/>
      <c r="VKQ63" s="32"/>
      <c r="VKR63" s="32"/>
      <c r="VKS63" s="32"/>
      <c r="VKT63" s="32"/>
      <c r="VKU63" s="32"/>
      <c r="VKV63" s="32"/>
      <c r="VKW63" s="32"/>
      <c r="VKX63" s="32"/>
      <c r="VKY63" s="32"/>
      <c r="VKZ63" s="32"/>
      <c r="VLA63" s="32"/>
      <c r="VLB63" s="32"/>
      <c r="VLC63" s="32"/>
      <c r="VLD63" s="32"/>
      <c r="VLE63" s="32"/>
      <c r="VLF63" s="32"/>
      <c r="VLG63" s="32"/>
      <c r="VLH63" s="32"/>
      <c r="VLI63" s="32"/>
      <c r="VLJ63" s="32"/>
      <c r="VLK63" s="32"/>
      <c r="VLL63" s="32"/>
      <c r="VLM63" s="32"/>
      <c r="VLN63" s="32"/>
      <c r="VLO63" s="32"/>
      <c r="VLP63" s="32"/>
      <c r="VLQ63" s="32"/>
      <c r="VLR63" s="32"/>
      <c r="VLS63" s="32"/>
      <c r="VLT63" s="32"/>
      <c r="VLU63" s="32"/>
      <c r="VLV63" s="32"/>
      <c r="VLW63" s="32"/>
      <c r="VLX63" s="32"/>
      <c r="VLY63" s="32"/>
      <c r="VLZ63" s="32"/>
      <c r="VMA63" s="32"/>
      <c r="VMB63" s="32"/>
      <c r="VMC63" s="32"/>
      <c r="VMD63" s="32"/>
      <c r="VME63" s="32"/>
      <c r="VMF63" s="32"/>
      <c r="VMG63" s="32"/>
      <c r="VMH63" s="32"/>
      <c r="VMI63" s="32"/>
      <c r="VMJ63" s="32"/>
      <c r="VMK63" s="32"/>
      <c r="VML63" s="32"/>
      <c r="VMM63" s="32"/>
      <c r="VMN63" s="32"/>
      <c r="VMO63" s="32"/>
      <c r="VMP63" s="32"/>
      <c r="VMQ63" s="32"/>
      <c r="VMR63" s="32"/>
      <c r="VMS63" s="32"/>
      <c r="VMT63" s="32"/>
      <c r="VMU63" s="32"/>
      <c r="VMV63" s="32"/>
      <c r="VMW63" s="32"/>
      <c r="VMX63" s="32"/>
      <c r="VMY63" s="32"/>
      <c r="VMZ63" s="32"/>
      <c r="VNA63" s="32"/>
      <c r="VNB63" s="32"/>
      <c r="VNC63" s="32"/>
      <c r="VND63" s="32"/>
      <c r="VNE63" s="32"/>
      <c r="VNF63" s="32"/>
      <c r="VNG63" s="32"/>
      <c r="VNH63" s="32"/>
      <c r="VNI63" s="32"/>
      <c r="VNJ63" s="32"/>
      <c r="VNK63" s="32"/>
      <c r="VNL63" s="32"/>
      <c r="VNM63" s="32"/>
      <c r="VNN63" s="32"/>
      <c r="VNO63" s="32"/>
      <c r="VNP63" s="32"/>
      <c r="VNQ63" s="32"/>
      <c r="VNR63" s="32"/>
      <c r="VNS63" s="32"/>
      <c r="VNT63" s="32"/>
      <c r="VNU63" s="32"/>
      <c r="VNV63" s="32"/>
      <c r="VNW63" s="32"/>
      <c r="VNX63" s="32"/>
      <c r="VNY63" s="32"/>
      <c r="VNZ63" s="32"/>
      <c r="VOA63" s="32"/>
      <c r="VOB63" s="32"/>
      <c r="VOC63" s="32"/>
      <c r="VOD63" s="32"/>
      <c r="VOE63" s="32"/>
      <c r="VOF63" s="32"/>
      <c r="VOG63" s="32"/>
      <c r="VOH63" s="32"/>
      <c r="VOI63" s="32"/>
      <c r="VOJ63" s="32"/>
      <c r="VOK63" s="32"/>
      <c r="VOL63" s="32"/>
      <c r="VOM63" s="32"/>
      <c r="VON63" s="32"/>
      <c r="VOO63" s="32"/>
      <c r="VOP63" s="32"/>
      <c r="VOQ63" s="32"/>
      <c r="VOR63" s="32"/>
      <c r="VOS63" s="32"/>
      <c r="VOT63" s="32"/>
      <c r="VOU63" s="32"/>
      <c r="VOV63" s="32"/>
      <c r="VOW63" s="32"/>
      <c r="VOX63" s="32"/>
      <c r="VOY63" s="32"/>
      <c r="VOZ63" s="32"/>
      <c r="VPA63" s="32"/>
      <c r="VPB63" s="32"/>
      <c r="VPC63" s="32"/>
      <c r="VPD63" s="32"/>
      <c r="VPE63" s="32"/>
      <c r="VPF63" s="32"/>
      <c r="VPG63" s="32"/>
      <c r="VPH63" s="32"/>
      <c r="VPI63" s="32"/>
      <c r="VPJ63" s="32"/>
      <c r="VPK63" s="32"/>
      <c r="VPL63" s="32"/>
      <c r="VPM63" s="32"/>
      <c r="VPN63" s="32"/>
      <c r="VPO63" s="32"/>
      <c r="VPP63" s="32"/>
      <c r="VPQ63" s="32"/>
      <c r="VPR63" s="32"/>
      <c r="VPS63" s="32"/>
      <c r="VPT63" s="32"/>
      <c r="VPU63" s="32"/>
      <c r="VPV63" s="32"/>
      <c r="VPW63" s="32"/>
      <c r="VPX63" s="32"/>
      <c r="VPY63" s="32"/>
      <c r="VPZ63" s="32"/>
      <c r="VQA63" s="32"/>
      <c r="VQB63" s="32"/>
      <c r="VQC63" s="32"/>
      <c r="VQD63" s="32"/>
      <c r="VQE63" s="32"/>
      <c r="VQF63" s="32"/>
      <c r="VQG63" s="32"/>
      <c r="VQH63" s="32"/>
      <c r="VQI63" s="32"/>
      <c r="VQJ63" s="32"/>
      <c r="VQK63" s="32"/>
      <c r="VQL63" s="32"/>
      <c r="VQM63" s="32"/>
      <c r="VQN63" s="32"/>
      <c r="VQO63" s="32"/>
      <c r="VQP63" s="32"/>
      <c r="VQQ63" s="32"/>
      <c r="VQR63" s="32"/>
      <c r="VQS63" s="32"/>
      <c r="VQT63" s="32"/>
      <c r="VQU63" s="32"/>
      <c r="VQV63" s="32"/>
      <c r="VQW63" s="32"/>
      <c r="VQX63" s="32"/>
      <c r="VQY63" s="32"/>
      <c r="VQZ63" s="32"/>
      <c r="VRA63" s="32"/>
      <c r="VRB63" s="32"/>
      <c r="VRC63" s="32"/>
      <c r="VRD63" s="32"/>
      <c r="VRE63" s="32"/>
      <c r="VRF63" s="32"/>
      <c r="VRG63" s="32"/>
      <c r="VRH63" s="32"/>
      <c r="VRI63" s="32"/>
      <c r="VRJ63" s="32"/>
      <c r="VRK63" s="32"/>
      <c r="VRL63" s="32"/>
      <c r="VRM63" s="32"/>
      <c r="VRN63" s="32"/>
      <c r="VRO63" s="32"/>
      <c r="VRP63" s="32"/>
      <c r="VRQ63" s="32"/>
      <c r="VRR63" s="32"/>
      <c r="VRS63" s="32"/>
      <c r="VRT63" s="32"/>
      <c r="VRU63" s="32"/>
      <c r="VRV63" s="32"/>
      <c r="VRW63" s="32"/>
      <c r="VRX63" s="32"/>
      <c r="VRY63" s="32"/>
      <c r="VRZ63" s="32"/>
      <c r="VSA63" s="32"/>
      <c r="VSB63" s="32"/>
      <c r="VSC63" s="32"/>
      <c r="VSD63" s="32"/>
      <c r="VSE63" s="32"/>
      <c r="VSF63" s="32"/>
      <c r="VSG63" s="32"/>
      <c r="VSH63" s="32"/>
      <c r="VSI63" s="32"/>
      <c r="VSJ63" s="32"/>
      <c r="VSK63" s="32"/>
      <c r="VSL63" s="32"/>
      <c r="VSM63" s="32"/>
      <c r="VSN63" s="32"/>
      <c r="VSO63" s="32"/>
      <c r="VSP63" s="32"/>
      <c r="VSQ63" s="32"/>
      <c r="VSR63" s="32"/>
      <c r="VSS63" s="32"/>
      <c r="VST63" s="32"/>
      <c r="VSU63" s="32"/>
      <c r="VSV63" s="32"/>
      <c r="VSW63" s="32"/>
      <c r="VSX63" s="32"/>
      <c r="VSY63" s="32"/>
      <c r="VSZ63" s="32"/>
      <c r="VTA63" s="32"/>
      <c r="VTB63" s="32"/>
      <c r="VTC63" s="32"/>
      <c r="VTD63" s="32"/>
      <c r="VTE63" s="32"/>
      <c r="VTF63" s="32"/>
      <c r="VTG63" s="32"/>
      <c r="VTH63" s="32"/>
      <c r="VTI63" s="32"/>
      <c r="VTJ63" s="32"/>
      <c r="VTK63" s="32"/>
      <c r="VTL63" s="32"/>
      <c r="VTM63" s="32"/>
      <c r="VTN63" s="32"/>
      <c r="VTO63" s="32"/>
      <c r="VTP63" s="32"/>
      <c r="VTQ63" s="32"/>
      <c r="VTR63" s="32"/>
      <c r="VTS63" s="32"/>
      <c r="VTT63" s="32"/>
      <c r="VTU63" s="32"/>
      <c r="VTV63" s="32"/>
      <c r="VTW63" s="32"/>
      <c r="VTX63" s="32"/>
      <c r="VTY63" s="32"/>
      <c r="VTZ63" s="32"/>
      <c r="VUA63" s="32"/>
      <c r="VUB63" s="32"/>
      <c r="VUC63" s="32"/>
      <c r="VUD63" s="32"/>
      <c r="VUE63" s="32"/>
      <c r="VUF63" s="32"/>
      <c r="VUG63" s="32"/>
      <c r="VUH63" s="32"/>
      <c r="VUI63" s="32"/>
      <c r="VUJ63" s="32"/>
      <c r="VUK63" s="32"/>
      <c r="VUL63" s="32"/>
      <c r="VUM63" s="32"/>
      <c r="VUN63" s="32"/>
      <c r="VUO63" s="32"/>
      <c r="VUP63" s="32"/>
      <c r="VUQ63" s="32"/>
      <c r="VUR63" s="32"/>
      <c r="VUS63" s="32"/>
      <c r="VUT63" s="32"/>
      <c r="VUU63" s="32"/>
      <c r="VUV63" s="32"/>
      <c r="VUW63" s="32"/>
      <c r="VUX63" s="32"/>
      <c r="VUY63" s="32"/>
      <c r="VUZ63" s="32"/>
      <c r="VVA63" s="32"/>
      <c r="VVB63" s="32"/>
      <c r="VVC63" s="32"/>
      <c r="VVD63" s="32"/>
      <c r="VVE63" s="32"/>
      <c r="VVF63" s="32"/>
      <c r="VVG63" s="32"/>
      <c r="VVH63" s="32"/>
      <c r="VVI63" s="32"/>
      <c r="VVJ63" s="32"/>
      <c r="VVK63" s="32"/>
      <c r="VVL63" s="32"/>
      <c r="VVM63" s="32"/>
      <c r="VVN63" s="32"/>
      <c r="VVO63" s="32"/>
      <c r="VVP63" s="32"/>
      <c r="VVQ63" s="32"/>
      <c r="VVR63" s="32"/>
      <c r="VVS63" s="32"/>
      <c r="VVT63" s="32"/>
      <c r="VVU63" s="32"/>
      <c r="VVV63" s="32"/>
      <c r="VVW63" s="32"/>
      <c r="VVX63" s="32"/>
      <c r="VVY63" s="32"/>
      <c r="VVZ63" s="32"/>
      <c r="VWA63" s="32"/>
      <c r="VWB63" s="32"/>
      <c r="VWC63" s="32"/>
      <c r="VWD63" s="32"/>
      <c r="VWE63" s="32"/>
      <c r="VWF63" s="32"/>
      <c r="VWG63" s="32"/>
      <c r="VWH63" s="32"/>
      <c r="VWI63" s="32"/>
      <c r="VWJ63" s="32"/>
      <c r="VWK63" s="32"/>
      <c r="VWL63" s="32"/>
      <c r="VWM63" s="32"/>
      <c r="VWN63" s="32"/>
      <c r="VWO63" s="32"/>
      <c r="VWP63" s="32"/>
      <c r="VWQ63" s="32"/>
      <c r="VWR63" s="32"/>
      <c r="VWS63" s="32"/>
      <c r="VWT63" s="32"/>
      <c r="VWU63" s="32"/>
      <c r="VWV63" s="32"/>
      <c r="VWW63" s="32"/>
      <c r="VWX63" s="32"/>
      <c r="VWY63" s="32"/>
      <c r="VWZ63" s="32"/>
      <c r="VXA63" s="32"/>
      <c r="VXB63" s="32"/>
      <c r="VXC63" s="32"/>
      <c r="VXD63" s="32"/>
      <c r="VXE63" s="32"/>
      <c r="VXF63" s="32"/>
      <c r="VXG63" s="32"/>
      <c r="VXH63" s="32"/>
      <c r="VXI63" s="32"/>
      <c r="VXJ63" s="32"/>
      <c r="VXK63" s="32"/>
      <c r="VXL63" s="32"/>
      <c r="VXM63" s="32"/>
      <c r="VXN63" s="32"/>
      <c r="VXO63" s="32"/>
      <c r="VXP63" s="32"/>
      <c r="VXQ63" s="32"/>
      <c r="VXR63" s="32"/>
      <c r="VXS63" s="32"/>
      <c r="VXT63" s="32"/>
      <c r="VXU63" s="32"/>
      <c r="VXV63" s="32"/>
      <c r="VXW63" s="32"/>
      <c r="VXX63" s="32"/>
      <c r="VXY63" s="32"/>
      <c r="VXZ63" s="32"/>
      <c r="VYA63" s="32"/>
      <c r="VYB63" s="32"/>
      <c r="VYC63" s="32"/>
      <c r="VYD63" s="32"/>
      <c r="VYE63" s="32"/>
      <c r="VYF63" s="32"/>
      <c r="VYG63" s="32"/>
      <c r="VYH63" s="32"/>
      <c r="VYI63" s="32"/>
      <c r="VYJ63" s="32"/>
      <c r="VYK63" s="32"/>
      <c r="VYL63" s="32"/>
      <c r="VYM63" s="32"/>
      <c r="VYN63" s="32"/>
      <c r="VYO63" s="32"/>
      <c r="VYP63" s="32"/>
      <c r="VYQ63" s="32"/>
      <c r="VYR63" s="32"/>
      <c r="VYS63" s="32"/>
      <c r="VYT63" s="32"/>
      <c r="VYU63" s="32"/>
      <c r="VYV63" s="32"/>
      <c r="VYW63" s="32"/>
      <c r="VYX63" s="32"/>
      <c r="VYY63" s="32"/>
      <c r="VYZ63" s="32"/>
      <c r="VZA63" s="32"/>
      <c r="VZB63" s="32"/>
      <c r="VZC63" s="32"/>
      <c r="VZD63" s="32"/>
      <c r="VZE63" s="32"/>
      <c r="VZF63" s="32"/>
      <c r="VZG63" s="32"/>
      <c r="VZH63" s="32"/>
      <c r="VZI63" s="32"/>
      <c r="VZJ63" s="32"/>
      <c r="VZK63" s="32"/>
      <c r="VZL63" s="32"/>
      <c r="VZM63" s="32"/>
      <c r="VZN63" s="32"/>
      <c r="VZO63" s="32"/>
      <c r="VZP63" s="32"/>
      <c r="VZQ63" s="32"/>
      <c r="VZR63" s="32"/>
      <c r="VZS63" s="32"/>
      <c r="VZT63" s="32"/>
      <c r="VZU63" s="32"/>
      <c r="VZV63" s="32"/>
      <c r="VZW63" s="32"/>
      <c r="VZX63" s="32"/>
      <c r="VZY63" s="32"/>
      <c r="VZZ63" s="32"/>
      <c r="WAA63" s="32"/>
      <c r="WAB63" s="32"/>
      <c r="WAC63" s="32"/>
      <c r="WAD63" s="32"/>
      <c r="WAE63" s="32"/>
      <c r="WAF63" s="32"/>
      <c r="WAG63" s="32"/>
      <c r="WAH63" s="32"/>
      <c r="WAI63" s="32"/>
      <c r="WAJ63" s="32"/>
      <c r="WAK63" s="32"/>
      <c r="WAL63" s="32"/>
      <c r="WAM63" s="32"/>
      <c r="WAN63" s="32"/>
      <c r="WAO63" s="32"/>
      <c r="WAP63" s="32"/>
      <c r="WAQ63" s="32"/>
      <c r="WAR63" s="32"/>
      <c r="WAS63" s="32"/>
      <c r="WAT63" s="32"/>
      <c r="WAU63" s="32"/>
      <c r="WAV63" s="32"/>
      <c r="WAW63" s="32"/>
      <c r="WAX63" s="32"/>
      <c r="WAY63" s="32"/>
      <c r="WAZ63" s="32"/>
      <c r="WBA63" s="32"/>
      <c r="WBB63" s="32"/>
      <c r="WBC63" s="32"/>
      <c r="WBD63" s="32"/>
      <c r="WBE63" s="32"/>
      <c r="WBF63" s="32"/>
      <c r="WBG63" s="32"/>
      <c r="WBH63" s="32"/>
      <c r="WBI63" s="32"/>
      <c r="WBJ63" s="32"/>
      <c r="WBK63" s="32"/>
      <c r="WBL63" s="32"/>
      <c r="WBM63" s="32"/>
      <c r="WBN63" s="32"/>
      <c r="WBO63" s="32"/>
      <c r="WBP63" s="32"/>
      <c r="WBQ63" s="32"/>
      <c r="WBR63" s="32"/>
      <c r="WBS63" s="32"/>
      <c r="WBT63" s="32"/>
      <c r="WBU63" s="32"/>
      <c r="WBV63" s="32"/>
      <c r="WBW63" s="32"/>
      <c r="WBX63" s="32"/>
      <c r="WBY63" s="32"/>
      <c r="WBZ63" s="32"/>
      <c r="WCA63" s="32"/>
      <c r="WCB63" s="32"/>
      <c r="WCC63" s="32"/>
      <c r="WCD63" s="32"/>
      <c r="WCE63" s="32"/>
      <c r="WCF63" s="32"/>
      <c r="WCG63" s="32"/>
      <c r="WCH63" s="32"/>
      <c r="WCI63" s="32"/>
      <c r="WCJ63" s="32"/>
      <c r="WCK63" s="32"/>
      <c r="WCL63" s="32"/>
      <c r="WCM63" s="32"/>
      <c r="WCN63" s="32"/>
      <c r="WCO63" s="32"/>
      <c r="WCP63" s="32"/>
      <c r="WCQ63" s="32"/>
      <c r="WCR63" s="32"/>
      <c r="WCS63" s="32"/>
      <c r="WCT63" s="32"/>
      <c r="WCU63" s="32"/>
      <c r="WCV63" s="32"/>
      <c r="WCW63" s="32"/>
      <c r="WCX63" s="32"/>
      <c r="WCY63" s="32"/>
      <c r="WCZ63" s="32"/>
      <c r="WDA63" s="32"/>
      <c r="WDB63" s="32"/>
      <c r="WDC63" s="32"/>
      <c r="WDD63" s="32"/>
      <c r="WDE63" s="32"/>
      <c r="WDF63" s="32"/>
      <c r="WDG63" s="32"/>
      <c r="WDH63" s="32"/>
      <c r="WDI63" s="32"/>
      <c r="WDJ63" s="32"/>
      <c r="WDK63" s="32"/>
      <c r="WDL63" s="32"/>
      <c r="WDM63" s="32"/>
      <c r="WDN63" s="32"/>
      <c r="WDO63" s="32"/>
      <c r="WDP63" s="32"/>
      <c r="WDQ63" s="32"/>
      <c r="WDR63" s="32"/>
      <c r="WDS63" s="32"/>
      <c r="WDT63" s="32"/>
      <c r="WDU63" s="32"/>
      <c r="WDV63" s="32"/>
      <c r="WDW63" s="32"/>
      <c r="WDX63" s="32"/>
      <c r="WDY63" s="32"/>
      <c r="WDZ63" s="32"/>
      <c r="WEA63" s="32"/>
      <c r="WEB63" s="32"/>
      <c r="WEC63" s="32"/>
      <c r="WED63" s="32"/>
      <c r="WEE63" s="32"/>
      <c r="WEF63" s="32"/>
      <c r="WEG63" s="32"/>
      <c r="WEH63" s="32"/>
      <c r="WEI63" s="32"/>
      <c r="WEJ63" s="32"/>
      <c r="WEK63" s="32"/>
      <c r="WEL63" s="32"/>
      <c r="WEM63" s="32"/>
      <c r="WEN63" s="32"/>
      <c r="WEO63" s="32"/>
      <c r="WEP63" s="32"/>
      <c r="WEQ63" s="32"/>
      <c r="WER63" s="32"/>
      <c r="WES63" s="32"/>
      <c r="WET63" s="32"/>
      <c r="WEU63" s="32"/>
      <c r="WEV63" s="32"/>
      <c r="WEW63" s="32"/>
      <c r="WEX63" s="32"/>
      <c r="WEY63" s="32"/>
      <c r="WEZ63" s="32"/>
      <c r="WFA63" s="32"/>
      <c r="WFB63" s="32"/>
      <c r="WFC63" s="32"/>
      <c r="WFD63" s="32"/>
      <c r="WFE63" s="32"/>
      <c r="WFF63" s="32"/>
      <c r="WFG63" s="32"/>
      <c r="WFH63" s="32"/>
      <c r="WFI63" s="32"/>
      <c r="WFJ63" s="32"/>
      <c r="WFK63" s="32"/>
      <c r="WFL63" s="32"/>
      <c r="WFM63" s="32"/>
      <c r="WFN63" s="32"/>
      <c r="WFO63" s="32"/>
      <c r="WFP63" s="32"/>
      <c r="WFQ63" s="32"/>
      <c r="WFR63" s="32"/>
      <c r="WFS63" s="32"/>
      <c r="WFT63" s="32"/>
      <c r="WFU63" s="32"/>
      <c r="WFV63" s="32"/>
      <c r="WFW63" s="32"/>
      <c r="WFX63" s="32"/>
      <c r="WFY63" s="32"/>
      <c r="WFZ63" s="32"/>
      <c r="WGA63" s="32"/>
      <c r="WGB63" s="32"/>
      <c r="WGC63" s="32"/>
      <c r="WGD63" s="32"/>
      <c r="WGE63" s="32"/>
      <c r="WGF63" s="32"/>
      <c r="WGG63" s="32"/>
      <c r="WGH63" s="32"/>
      <c r="WGI63" s="32"/>
      <c r="WGJ63" s="32"/>
      <c r="WGK63" s="32"/>
      <c r="WGL63" s="32"/>
      <c r="WGM63" s="32"/>
      <c r="WGN63" s="32"/>
      <c r="WGO63" s="32"/>
      <c r="WGP63" s="32"/>
      <c r="WGQ63" s="32"/>
      <c r="WGR63" s="32"/>
      <c r="WGS63" s="32"/>
      <c r="WGT63" s="32"/>
      <c r="WGU63" s="32"/>
      <c r="WGV63" s="32"/>
      <c r="WGW63" s="32"/>
      <c r="WGX63" s="32"/>
      <c r="WGY63" s="32"/>
      <c r="WGZ63" s="32"/>
      <c r="WHA63" s="32"/>
      <c r="WHB63" s="32"/>
      <c r="WHC63" s="32"/>
      <c r="WHD63" s="32"/>
      <c r="WHE63" s="32"/>
      <c r="WHF63" s="32"/>
      <c r="WHG63" s="32"/>
      <c r="WHH63" s="32"/>
      <c r="WHI63" s="32"/>
      <c r="WHJ63" s="32"/>
      <c r="WHK63" s="32"/>
      <c r="WHL63" s="32"/>
      <c r="WHM63" s="32"/>
      <c r="WHN63" s="32"/>
      <c r="WHO63" s="32"/>
      <c r="WHP63" s="32"/>
      <c r="WHQ63" s="32"/>
      <c r="WHR63" s="32"/>
      <c r="WHS63" s="32"/>
      <c r="WHT63" s="32"/>
      <c r="WHU63" s="32"/>
      <c r="WHV63" s="32"/>
      <c r="WHW63" s="32"/>
      <c r="WHX63" s="32"/>
      <c r="WHY63" s="32"/>
      <c r="WHZ63" s="32"/>
      <c r="WIA63" s="32"/>
      <c r="WIB63" s="32"/>
      <c r="WIC63" s="32"/>
      <c r="WID63" s="32"/>
      <c r="WIE63" s="32"/>
      <c r="WIF63" s="32"/>
      <c r="WIG63" s="32"/>
      <c r="WIH63" s="32"/>
      <c r="WII63" s="32"/>
      <c r="WIJ63" s="32"/>
      <c r="WIK63" s="32"/>
      <c r="WIL63" s="32"/>
      <c r="WIM63" s="32"/>
      <c r="WIN63" s="32"/>
      <c r="WIO63" s="32"/>
      <c r="WIP63" s="32"/>
      <c r="WIQ63" s="32"/>
      <c r="WIR63" s="32"/>
      <c r="WIS63" s="32"/>
      <c r="WIT63" s="32"/>
      <c r="WIU63" s="32"/>
      <c r="WIV63" s="32"/>
      <c r="WIW63" s="32"/>
      <c r="WIX63" s="32"/>
      <c r="WIY63" s="32"/>
      <c r="WIZ63" s="32"/>
      <c r="WJA63" s="32"/>
      <c r="WJB63" s="32"/>
      <c r="WJC63" s="32"/>
      <c r="WJD63" s="32"/>
      <c r="WJE63" s="32"/>
      <c r="WJF63" s="32"/>
      <c r="WJG63" s="32"/>
      <c r="WJH63" s="32"/>
      <c r="WJI63" s="32"/>
      <c r="WJJ63" s="32"/>
      <c r="WJK63" s="32"/>
      <c r="WJL63" s="32"/>
      <c r="WJM63" s="32"/>
      <c r="WJN63" s="32"/>
      <c r="WJO63" s="32"/>
      <c r="WJP63" s="32"/>
      <c r="WJQ63" s="32"/>
      <c r="WJR63" s="32"/>
      <c r="WJS63" s="32"/>
      <c r="WJT63" s="32"/>
      <c r="WJU63" s="32"/>
      <c r="WJV63" s="32"/>
      <c r="WJW63" s="32"/>
      <c r="WJX63" s="32"/>
      <c r="WJY63" s="32"/>
      <c r="WJZ63" s="32"/>
      <c r="WKA63" s="32"/>
      <c r="WKB63" s="32"/>
      <c r="WKC63" s="32"/>
      <c r="WKD63" s="32"/>
      <c r="WKE63" s="32"/>
      <c r="WKF63" s="32"/>
      <c r="WKG63" s="32"/>
      <c r="WKH63" s="32"/>
      <c r="WKI63" s="32"/>
      <c r="WKJ63" s="32"/>
      <c r="WKK63" s="32"/>
      <c r="WKL63" s="32"/>
      <c r="WKM63" s="32"/>
      <c r="WKN63" s="32"/>
      <c r="WKO63" s="32"/>
      <c r="WKP63" s="32"/>
      <c r="WKQ63" s="32"/>
      <c r="WKR63" s="32"/>
      <c r="WKS63" s="32"/>
      <c r="WKT63" s="32"/>
      <c r="WKU63" s="32"/>
      <c r="WKV63" s="32"/>
      <c r="WKW63" s="32"/>
      <c r="WKX63" s="32"/>
      <c r="WKY63" s="32"/>
      <c r="WKZ63" s="32"/>
      <c r="WLA63" s="32"/>
      <c r="WLB63" s="32"/>
      <c r="WLC63" s="32"/>
      <c r="WLD63" s="32"/>
      <c r="WLE63" s="32"/>
      <c r="WLF63" s="32"/>
      <c r="WLG63" s="32"/>
      <c r="WLH63" s="32"/>
      <c r="WLI63" s="32"/>
      <c r="WLJ63" s="32"/>
      <c r="WLK63" s="32"/>
      <c r="WLL63" s="32"/>
      <c r="WLM63" s="32"/>
      <c r="WLN63" s="32"/>
      <c r="WLO63" s="32"/>
      <c r="WLP63" s="32"/>
      <c r="WLQ63" s="32"/>
      <c r="WLR63" s="32"/>
      <c r="WLS63" s="32"/>
      <c r="WLT63" s="32"/>
      <c r="WLU63" s="32"/>
      <c r="WLV63" s="32"/>
      <c r="WLW63" s="32"/>
      <c r="WLX63" s="32"/>
      <c r="WLY63" s="32"/>
      <c r="WLZ63" s="32"/>
      <c r="WMA63" s="32"/>
      <c r="WMB63" s="32"/>
      <c r="WMC63" s="32"/>
      <c r="WMD63" s="32"/>
      <c r="WME63" s="32"/>
      <c r="WMF63" s="32"/>
      <c r="WMG63" s="32"/>
      <c r="WMH63" s="32"/>
      <c r="WMI63" s="32"/>
      <c r="WMJ63" s="32"/>
      <c r="WMK63" s="32"/>
      <c r="WML63" s="32"/>
      <c r="WMM63" s="32"/>
      <c r="WMN63" s="32"/>
      <c r="WMO63" s="32"/>
      <c r="WMP63" s="32"/>
      <c r="WMQ63" s="32"/>
      <c r="WMR63" s="32"/>
      <c r="WMS63" s="32"/>
      <c r="WMT63" s="32"/>
      <c r="WMU63" s="32"/>
      <c r="WMV63" s="32"/>
      <c r="WMW63" s="32"/>
      <c r="WMX63" s="32"/>
      <c r="WMY63" s="32"/>
      <c r="WMZ63" s="32"/>
      <c r="WNA63" s="32"/>
      <c r="WNB63" s="32"/>
      <c r="WNC63" s="32"/>
      <c r="WND63" s="32"/>
      <c r="WNE63" s="32"/>
      <c r="WNF63" s="32"/>
      <c r="WNG63" s="32"/>
      <c r="WNH63" s="32"/>
      <c r="WNI63" s="32"/>
      <c r="WNJ63" s="32"/>
      <c r="WNK63" s="32"/>
      <c r="WNL63" s="32"/>
      <c r="WNM63" s="32"/>
      <c r="WNN63" s="32"/>
      <c r="WNO63" s="32"/>
      <c r="WNP63" s="32"/>
      <c r="WNQ63" s="32"/>
      <c r="WNR63" s="32"/>
      <c r="WNS63" s="32"/>
      <c r="WNT63" s="32"/>
      <c r="WNU63" s="32"/>
      <c r="WNV63" s="32"/>
      <c r="WNW63" s="32"/>
      <c r="WNX63" s="32"/>
      <c r="WNY63" s="32"/>
      <c r="WNZ63" s="32"/>
      <c r="WOA63" s="32"/>
      <c r="WOB63" s="32"/>
      <c r="WOC63" s="32"/>
      <c r="WOD63" s="32"/>
      <c r="WOE63" s="32"/>
      <c r="WOF63" s="32"/>
      <c r="WOG63" s="32"/>
      <c r="WOH63" s="32"/>
      <c r="WOI63" s="32"/>
      <c r="WOJ63" s="32"/>
      <c r="WOK63" s="32"/>
      <c r="WOL63" s="32"/>
      <c r="WOM63" s="32"/>
      <c r="WON63" s="32"/>
      <c r="WOO63" s="32"/>
      <c r="WOP63" s="32"/>
      <c r="WOQ63" s="32"/>
      <c r="WOR63" s="32"/>
      <c r="WOS63" s="32"/>
      <c r="WOT63" s="32"/>
      <c r="WOU63" s="32"/>
      <c r="WOV63" s="32"/>
      <c r="WOW63" s="32"/>
      <c r="WOX63" s="32"/>
      <c r="WOY63" s="32"/>
      <c r="WOZ63" s="32"/>
      <c r="WPA63" s="32"/>
      <c r="WPB63" s="32"/>
      <c r="WPC63" s="32"/>
      <c r="WPD63" s="32"/>
      <c r="WPE63" s="32"/>
      <c r="WPF63" s="32"/>
      <c r="WPG63" s="32"/>
      <c r="WPH63" s="32"/>
      <c r="WPI63" s="32"/>
      <c r="WPJ63" s="32"/>
      <c r="WPK63" s="32"/>
      <c r="WPL63" s="32"/>
      <c r="WPM63" s="32"/>
      <c r="WPN63" s="32"/>
      <c r="WPO63" s="32"/>
      <c r="WPP63" s="32"/>
      <c r="WPQ63" s="32"/>
      <c r="WPR63" s="32"/>
      <c r="WPS63" s="32"/>
      <c r="WPT63" s="32"/>
      <c r="WPU63" s="32"/>
      <c r="WPV63" s="32"/>
      <c r="WPW63" s="32"/>
      <c r="WPX63" s="32"/>
      <c r="WPY63" s="32"/>
      <c r="WPZ63" s="32"/>
      <c r="WQA63" s="32"/>
      <c r="WQB63" s="32"/>
      <c r="WQC63" s="32"/>
      <c r="WQD63" s="32"/>
      <c r="WQE63" s="32"/>
      <c r="WQF63" s="32"/>
      <c r="WQG63" s="32"/>
      <c r="WQH63" s="32"/>
      <c r="WQI63" s="32"/>
      <c r="WQJ63" s="32"/>
      <c r="WQK63" s="32"/>
      <c r="WQL63" s="32"/>
      <c r="WQM63" s="32"/>
      <c r="WQN63" s="32"/>
      <c r="WQO63" s="32"/>
      <c r="WQP63" s="32"/>
      <c r="WQQ63" s="32"/>
      <c r="WQR63" s="32"/>
      <c r="WQS63" s="32"/>
      <c r="WQT63" s="32"/>
      <c r="WQU63" s="32"/>
      <c r="WQV63" s="32"/>
      <c r="WQW63" s="32"/>
      <c r="WQX63" s="32"/>
      <c r="WQY63" s="32"/>
      <c r="WQZ63" s="32"/>
      <c r="WRA63" s="32"/>
      <c r="WRB63" s="32"/>
      <c r="WRC63" s="32"/>
      <c r="WRD63" s="32"/>
      <c r="WRE63" s="32"/>
      <c r="WRF63" s="32"/>
      <c r="WRG63" s="32"/>
      <c r="WRH63" s="32"/>
      <c r="WRI63" s="32"/>
      <c r="WRJ63" s="32"/>
      <c r="WRK63" s="32"/>
      <c r="WRL63" s="32"/>
      <c r="WRM63" s="32"/>
      <c r="WRN63" s="32"/>
      <c r="WRO63" s="32"/>
      <c r="WRP63" s="32"/>
      <c r="WRQ63" s="32"/>
      <c r="WRR63" s="32"/>
      <c r="WRS63" s="32"/>
      <c r="WRT63" s="32"/>
      <c r="WRU63" s="32"/>
      <c r="WRV63" s="32"/>
      <c r="WRW63" s="32"/>
      <c r="WRX63" s="32"/>
      <c r="WRY63" s="32"/>
      <c r="WRZ63" s="32"/>
      <c r="WSA63" s="32"/>
      <c r="WSB63" s="32"/>
      <c r="WSC63" s="32"/>
      <c r="WSD63" s="32"/>
      <c r="WSE63" s="32"/>
      <c r="WSF63" s="32"/>
      <c r="WSG63" s="32"/>
      <c r="WSH63" s="32"/>
      <c r="WSI63" s="32"/>
      <c r="WSJ63" s="32"/>
      <c r="WSK63" s="32"/>
      <c r="WSL63" s="32"/>
      <c r="WSM63" s="32"/>
      <c r="WSN63" s="32"/>
      <c r="WSO63" s="32"/>
      <c r="WSP63" s="32"/>
      <c r="WSQ63" s="32"/>
      <c r="WSR63" s="32"/>
      <c r="WSS63" s="32"/>
      <c r="WST63" s="32"/>
      <c r="WSU63" s="32"/>
      <c r="WSV63" s="32"/>
      <c r="WSW63" s="32"/>
      <c r="WSX63" s="32"/>
      <c r="WSY63" s="32"/>
      <c r="WSZ63" s="32"/>
      <c r="WTA63" s="32"/>
      <c r="WTB63" s="32"/>
      <c r="WTC63" s="32"/>
      <c r="WTD63" s="32"/>
      <c r="WTE63" s="32"/>
      <c r="WTF63" s="32"/>
      <c r="WTG63" s="32"/>
      <c r="WTH63" s="32"/>
      <c r="WTI63" s="32"/>
      <c r="WTJ63" s="32"/>
      <c r="WTK63" s="32"/>
      <c r="WTL63" s="32"/>
      <c r="WTM63" s="32"/>
      <c r="WTN63" s="32"/>
      <c r="WTO63" s="32"/>
      <c r="WTP63" s="32"/>
      <c r="WTQ63" s="32"/>
      <c r="WTR63" s="32"/>
      <c r="WTS63" s="32"/>
      <c r="WTT63" s="32"/>
      <c r="WTU63" s="32"/>
      <c r="WTV63" s="32"/>
      <c r="WTW63" s="32"/>
      <c r="WTX63" s="32"/>
      <c r="WTY63" s="32"/>
      <c r="WTZ63" s="32"/>
      <c r="WUA63" s="32"/>
      <c r="WUB63" s="32"/>
      <c r="WUC63" s="32"/>
      <c r="WUD63" s="32"/>
      <c r="WUE63" s="32"/>
      <c r="WUF63" s="32"/>
      <c r="WUG63" s="32"/>
      <c r="WUH63" s="32"/>
      <c r="WUI63" s="32"/>
      <c r="WUJ63" s="32"/>
      <c r="WUK63" s="32"/>
      <c r="WUL63" s="32"/>
      <c r="WUM63" s="32"/>
      <c r="WUN63" s="32"/>
      <c r="WUO63" s="32"/>
      <c r="WUP63" s="32"/>
      <c r="WUQ63" s="32"/>
      <c r="WUR63" s="32"/>
      <c r="WUS63" s="32"/>
      <c r="WUT63" s="32"/>
      <c r="WUU63" s="32"/>
      <c r="WUV63" s="32"/>
      <c r="WUW63" s="32"/>
      <c r="WUX63" s="32"/>
      <c r="WUY63" s="32"/>
      <c r="WUZ63" s="32"/>
      <c r="WVA63" s="32"/>
      <c r="WVB63" s="32"/>
      <c r="WVC63" s="32"/>
      <c r="WVD63" s="32"/>
      <c r="WVE63" s="32"/>
      <c r="WVF63" s="32"/>
      <c r="WVG63" s="32"/>
      <c r="WVH63" s="32"/>
      <c r="WVI63" s="32"/>
      <c r="WVJ63" s="32"/>
      <c r="WVK63" s="32"/>
      <c r="WVL63" s="32"/>
      <c r="WVM63" s="32"/>
      <c r="WVN63" s="32"/>
      <c r="WVO63" s="32"/>
      <c r="WVP63" s="32"/>
      <c r="WVQ63" s="32"/>
      <c r="WVR63" s="32"/>
      <c r="WVS63" s="32"/>
      <c r="WVT63" s="32"/>
      <c r="WVU63" s="32"/>
      <c r="WVV63" s="32"/>
      <c r="WVW63" s="32"/>
      <c r="WVX63" s="32"/>
      <c r="WVY63" s="32"/>
      <c r="WVZ63" s="32"/>
      <c r="WWA63" s="32"/>
      <c r="WWB63" s="32"/>
      <c r="WWC63" s="32"/>
      <c r="WWD63" s="32"/>
      <c r="WWE63" s="32"/>
      <c r="WWF63" s="32"/>
      <c r="WWG63" s="32"/>
      <c r="WWH63" s="32"/>
      <c r="WWI63" s="32"/>
      <c r="WWJ63" s="32"/>
      <c r="WWK63" s="32"/>
      <c r="WWL63" s="32"/>
      <c r="WWM63" s="32"/>
      <c r="WWN63" s="32"/>
      <c r="WWO63" s="32"/>
      <c r="WWP63" s="32"/>
      <c r="WWQ63" s="32"/>
      <c r="WWR63" s="32"/>
      <c r="WWS63" s="32"/>
      <c r="WWT63" s="32"/>
      <c r="WWU63" s="32"/>
      <c r="WWV63" s="32"/>
      <c r="WWW63" s="32"/>
      <c r="WWX63" s="32"/>
      <c r="WWY63" s="32"/>
      <c r="WWZ63" s="32"/>
      <c r="WXA63" s="32"/>
      <c r="WXB63" s="32"/>
      <c r="WXC63" s="32"/>
      <c r="WXD63" s="32"/>
      <c r="WXE63" s="32"/>
      <c r="WXF63" s="32"/>
      <c r="WXG63" s="32"/>
      <c r="WXH63" s="32"/>
      <c r="WXI63" s="32"/>
      <c r="WXJ63" s="32"/>
      <c r="WXK63" s="32"/>
      <c r="WXL63" s="32"/>
      <c r="WXM63" s="32"/>
      <c r="WXN63" s="32"/>
      <c r="WXO63" s="32"/>
      <c r="WXP63" s="32"/>
      <c r="WXQ63" s="32"/>
      <c r="WXR63" s="32"/>
      <c r="WXS63" s="32"/>
      <c r="WXT63" s="32"/>
      <c r="WXU63" s="32"/>
      <c r="WXV63" s="32"/>
      <c r="WXW63" s="32"/>
      <c r="WXX63" s="32"/>
      <c r="WXY63" s="32"/>
      <c r="WXZ63" s="32"/>
      <c r="WYA63" s="32"/>
      <c r="WYB63" s="32"/>
      <c r="WYC63" s="32"/>
      <c r="WYD63" s="32"/>
      <c r="WYE63" s="32"/>
      <c r="WYF63" s="32"/>
      <c r="WYG63" s="32"/>
      <c r="WYH63" s="32"/>
      <c r="WYI63" s="32"/>
      <c r="WYJ63" s="32"/>
      <c r="WYK63" s="32"/>
      <c r="WYL63" s="32"/>
      <c r="WYM63" s="32"/>
      <c r="WYN63" s="32"/>
      <c r="WYO63" s="32"/>
      <c r="WYP63" s="32"/>
      <c r="WYQ63" s="32"/>
      <c r="WYR63" s="32"/>
      <c r="WYS63" s="32"/>
      <c r="WYT63" s="32"/>
      <c r="WYU63" s="32"/>
      <c r="WYV63" s="32"/>
      <c r="WYW63" s="32"/>
      <c r="WYX63" s="32"/>
      <c r="WYY63" s="32"/>
      <c r="WYZ63" s="32"/>
      <c r="WZA63" s="32"/>
      <c r="WZB63" s="32"/>
      <c r="WZC63" s="32"/>
      <c r="WZD63" s="32"/>
      <c r="WZE63" s="32"/>
      <c r="WZF63" s="32"/>
      <c r="WZG63" s="32"/>
      <c r="WZH63" s="32"/>
      <c r="WZI63" s="32"/>
      <c r="WZJ63" s="32"/>
      <c r="WZK63" s="32"/>
      <c r="WZL63" s="32"/>
      <c r="WZM63" s="32"/>
      <c r="WZN63" s="32"/>
      <c r="WZO63" s="32"/>
      <c r="WZP63" s="32"/>
      <c r="WZQ63" s="32"/>
      <c r="WZR63" s="32"/>
      <c r="WZS63" s="32"/>
      <c r="WZT63" s="32"/>
      <c r="WZU63" s="32"/>
      <c r="WZV63" s="32"/>
      <c r="WZW63" s="32"/>
      <c r="WZX63" s="32"/>
      <c r="WZY63" s="32"/>
      <c r="WZZ63" s="32"/>
      <c r="XAA63" s="32"/>
      <c r="XAB63" s="32"/>
      <c r="XAC63" s="32"/>
      <c r="XAD63" s="32"/>
      <c r="XAE63" s="32"/>
      <c r="XAF63" s="32"/>
      <c r="XAG63" s="32"/>
      <c r="XAH63" s="32"/>
      <c r="XAI63" s="32"/>
      <c r="XAJ63" s="32"/>
      <c r="XAK63" s="32"/>
      <c r="XAL63" s="32"/>
      <c r="XAM63" s="32"/>
      <c r="XAN63" s="32"/>
      <c r="XAO63" s="32"/>
      <c r="XAP63" s="32"/>
      <c r="XAQ63" s="32"/>
      <c r="XAR63" s="32"/>
      <c r="XAS63" s="32"/>
      <c r="XAT63" s="32"/>
      <c r="XAU63" s="32"/>
      <c r="XAV63" s="32"/>
      <c r="XAW63" s="32"/>
      <c r="XAX63" s="32"/>
      <c r="XAY63" s="32"/>
      <c r="XAZ63" s="32"/>
      <c r="XBA63" s="32"/>
      <c r="XBB63" s="32"/>
      <c r="XBC63" s="32"/>
      <c r="XBD63" s="32"/>
      <c r="XBE63" s="32"/>
      <c r="XBF63" s="32"/>
      <c r="XBG63" s="32"/>
      <c r="XBH63" s="32"/>
      <c r="XBI63" s="32"/>
      <c r="XBJ63" s="32"/>
      <c r="XBK63" s="32"/>
      <c r="XBL63" s="32"/>
      <c r="XBM63" s="32"/>
      <c r="XBN63" s="32"/>
      <c r="XBO63" s="32"/>
      <c r="XBP63" s="32"/>
      <c r="XBQ63" s="32"/>
      <c r="XBR63" s="32"/>
      <c r="XBS63" s="32"/>
      <c r="XBT63" s="32"/>
      <c r="XBU63" s="32"/>
      <c r="XBV63" s="32"/>
      <c r="XBW63" s="32"/>
      <c r="XBX63" s="32"/>
      <c r="XBY63" s="32"/>
      <c r="XBZ63" s="32"/>
      <c r="XCA63" s="32"/>
      <c r="XCB63" s="32"/>
      <c r="XCC63" s="32"/>
      <c r="XCD63" s="32"/>
      <c r="XCE63" s="32"/>
      <c r="XCF63" s="32"/>
      <c r="XCG63" s="32"/>
      <c r="XCH63" s="32"/>
      <c r="XCI63" s="32"/>
      <c r="XCJ63" s="32"/>
      <c r="XCK63" s="32"/>
      <c r="XCL63" s="32"/>
      <c r="XCM63" s="32"/>
      <c r="XCN63" s="32"/>
      <c r="XCO63" s="32"/>
      <c r="XCP63" s="32"/>
      <c r="XCQ63" s="32"/>
      <c r="XCR63" s="32"/>
      <c r="XCS63" s="32"/>
      <c r="XCT63" s="32"/>
      <c r="XCU63" s="32"/>
      <c r="XCV63" s="32"/>
      <c r="XCW63" s="32"/>
      <c r="XCX63" s="32"/>
      <c r="XCY63" s="32"/>
      <c r="XCZ63" s="32"/>
      <c r="XDA63" s="32"/>
      <c r="XDB63" s="32"/>
      <c r="XDC63" s="32"/>
      <c r="XDD63" s="32"/>
      <c r="XDE63" s="32"/>
      <c r="XDF63" s="32"/>
      <c r="XDG63" s="32"/>
      <c r="XDH63" s="32"/>
      <c r="XDI63" s="32"/>
      <c r="XDJ63" s="32"/>
      <c r="XDK63" s="32"/>
      <c r="XDL63" s="32"/>
      <c r="XDM63" s="32"/>
      <c r="XDN63" s="32"/>
      <c r="XDO63" s="32"/>
      <c r="XDP63" s="32"/>
      <c r="XDQ63" s="32"/>
      <c r="XDR63" s="32"/>
      <c r="XDS63" s="32"/>
      <c r="XDT63" s="32"/>
      <c r="XDU63" s="32"/>
      <c r="XDV63" s="32"/>
      <c r="XDW63" s="32"/>
      <c r="XDX63" s="32"/>
      <c r="XDY63" s="32"/>
      <c r="XDZ63" s="32"/>
      <c r="XEA63" s="32"/>
      <c r="XEB63" s="32"/>
      <c r="XEC63" s="32"/>
      <c r="XED63" s="32"/>
      <c r="XEE63" s="32"/>
      <c r="XEF63" s="32"/>
      <c r="XEG63" s="32"/>
      <c r="XEH63" s="32"/>
      <c r="XEI63" s="32"/>
      <c r="XEJ63" s="32"/>
      <c r="XEK63" s="32"/>
      <c r="XEL63" s="32"/>
      <c r="XEM63" s="32"/>
      <c r="XEN63" s="32"/>
      <c r="XEO63" s="32"/>
      <c r="XEP63" s="32"/>
      <c r="XEQ63" s="32"/>
      <c r="XER63" s="32"/>
      <c r="XES63" s="32"/>
      <c r="XET63" s="32"/>
      <c r="XEU63" s="32"/>
      <c r="XEV63" s="32"/>
      <c r="XEW63" s="32"/>
      <c r="XEX63" s="32"/>
      <c r="XEY63" s="32"/>
      <c r="XEZ63" s="32"/>
      <c r="XFA63" s="32"/>
      <c r="XFB63" s="32"/>
    </row>
    <row r="64" spans="1:16382" s="144" customFormat="1" ht="50.15" customHeight="1" thickBot="1">
      <c r="A64" s="755" t="s">
        <v>906</v>
      </c>
      <c r="B64" s="755"/>
      <c r="C64" s="57"/>
      <c r="D64" s="57"/>
      <c r="E64" s="57"/>
      <c r="F64" s="57"/>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c r="BZ64" s="21"/>
      <c r="CA64" s="21"/>
      <c r="CB64" s="21"/>
      <c r="CC64" s="21"/>
      <c r="CD64" s="21"/>
      <c r="CE64" s="21"/>
      <c r="CF64" s="21"/>
      <c r="CG64" s="21"/>
      <c r="CH64" s="21"/>
      <c r="CI64" s="21"/>
      <c r="CJ64" s="21"/>
      <c r="CK64" s="21"/>
      <c r="CL64" s="21"/>
      <c r="CM64" s="21"/>
      <c r="CN64" s="21"/>
      <c r="CO64" s="21"/>
      <c r="CP64" s="21"/>
      <c r="CQ64" s="21"/>
      <c r="CR64" s="21"/>
      <c r="CS64" s="21"/>
      <c r="CT64" s="21"/>
      <c r="CU64" s="21"/>
      <c r="CV64" s="21"/>
      <c r="CW64" s="21"/>
      <c r="CX64" s="21"/>
      <c r="CY64" s="21"/>
      <c r="CZ64" s="21"/>
      <c r="DA64" s="21"/>
      <c r="DB64" s="21"/>
      <c r="DC64" s="21"/>
      <c r="DD64" s="21"/>
      <c r="DE64" s="21"/>
      <c r="DF64" s="21"/>
      <c r="DG64" s="21"/>
      <c r="DH64" s="21"/>
      <c r="DI64" s="21"/>
      <c r="DJ64" s="21"/>
      <c r="DK64" s="21"/>
      <c r="DL64" s="21"/>
      <c r="DM64" s="21"/>
      <c r="DN64" s="21"/>
      <c r="DO64" s="21"/>
      <c r="DP64" s="21"/>
      <c r="DQ64" s="21"/>
      <c r="DR64" s="21"/>
      <c r="DS64" s="21"/>
      <c r="DT64" s="21"/>
      <c r="DU64" s="21"/>
      <c r="DV64" s="21"/>
      <c r="DW64" s="21"/>
      <c r="DX64" s="21"/>
      <c r="DY64" s="21"/>
      <c r="DZ64" s="21"/>
      <c r="EA64" s="21"/>
      <c r="EB64" s="21"/>
      <c r="EC64" s="21"/>
      <c r="ED64" s="21"/>
      <c r="EE64" s="21"/>
      <c r="EF64" s="21"/>
      <c r="EG64" s="21"/>
      <c r="EH64" s="21"/>
      <c r="EI64" s="21"/>
      <c r="EJ64" s="21"/>
      <c r="EK64" s="21"/>
      <c r="EL64" s="21"/>
      <c r="EM64" s="21"/>
      <c r="EN64" s="21"/>
      <c r="EO64" s="21"/>
      <c r="EP64" s="21"/>
      <c r="EQ64" s="21"/>
      <c r="ER64" s="21"/>
      <c r="ES64" s="21"/>
      <c r="ET64" s="21"/>
      <c r="EU64" s="21"/>
      <c r="EV64" s="21"/>
      <c r="EW64" s="21"/>
      <c r="EX64" s="21"/>
      <c r="EY64" s="21"/>
      <c r="EZ64" s="21"/>
      <c r="FA64" s="21"/>
      <c r="FB64" s="21"/>
      <c r="FC64" s="21"/>
      <c r="FD64" s="21"/>
      <c r="FE64" s="21"/>
      <c r="FF64" s="21"/>
      <c r="FG64" s="21"/>
      <c r="FH64" s="21"/>
      <c r="FI64" s="21"/>
      <c r="FJ64" s="21"/>
      <c r="FK64" s="21"/>
      <c r="FL64" s="21"/>
      <c r="FM64" s="21"/>
      <c r="FN64" s="21"/>
      <c r="FO64" s="21"/>
      <c r="FP64" s="21"/>
      <c r="FQ64" s="21"/>
      <c r="FR64" s="21"/>
      <c r="FS64" s="21"/>
      <c r="FT64" s="21"/>
      <c r="FU64" s="21"/>
      <c r="FV64" s="21"/>
      <c r="FW64" s="21"/>
      <c r="FX64" s="21"/>
      <c r="FY64" s="21"/>
      <c r="FZ64" s="21"/>
      <c r="GA64" s="21"/>
      <c r="GB64" s="21"/>
      <c r="GC64" s="21"/>
      <c r="GD64" s="21"/>
      <c r="GE64" s="21"/>
      <c r="GF64" s="21"/>
      <c r="GG64" s="21"/>
      <c r="GH64" s="21"/>
      <c r="GI64" s="21"/>
      <c r="GJ64" s="21"/>
      <c r="GK64" s="21"/>
      <c r="GL64" s="21"/>
      <c r="GM64" s="21"/>
      <c r="GN64" s="21"/>
      <c r="GO64" s="21"/>
      <c r="GP64" s="21"/>
      <c r="GQ64" s="21"/>
      <c r="GR64" s="21"/>
      <c r="GS64" s="21"/>
      <c r="GT64" s="21"/>
      <c r="GU64" s="21"/>
      <c r="GV64" s="21"/>
      <c r="GW64" s="21"/>
      <c r="GX64" s="21"/>
      <c r="GY64" s="21"/>
      <c r="GZ64" s="21"/>
      <c r="HA64" s="21"/>
      <c r="HB64" s="21"/>
      <c r="HC64" s="21"/>
      <c r="HD64" s="21"/>
      <c r="HE64" s="21"/>
      <c r="HF64" s="21"/>
      <c r="HG64" s="21"/>
      <c r="HH64" s="21"/>
      <c r="HI64" s="21"/>
      <c r="HJ64" s="21"/>
      <c r="HK64" s="21"/>
      <c r="HL64" s="21"/>
      <c r="HM64" s="21"/>
      <c r="HN64" s="21"/>
      <c r="HO64" s="21"/>
      <c r="HP64" s="21"/>
      <c r="HQ64" s="21"/>
      <c r="HR64" s="21"/>
      <c r="HS64" s="21"/>
      <c r="HT64" s="21"/>
      <c r="HU64" s="21"/>
      <c r="HV64" s="21"/>
      <c r="HW64" s="21"/>
      <c r="HX64" s="21"/>
      <c r="HY64" s="21"/>
      <c r="HZ64" s="21"/>
      <c r="IA64" s="21"/>
      <c r="IB64" s="21"/>
      <c r="IC64" s="21"/>
      <c r="ID64" s="21"/>
      <c r="IE64" s="21"/>
      <c r="IF64" s="21"/>
      <c r="IG64" s="21"/>
      <c r="IH64" s="21"/>
      <c r="II64" s="21"/>
      <c r="IJ64" s="21"/>
      <c r="IK64" s="21"/>
      <c r="IL64" s="21"/>
      <c r="IM64" s="21"/>
      <c r="IN64" s="21"/>
      <c r="IO64" s="21"/>
      <c r="IP64" s="21"/>
      <c r="IQ64" s="21"/>
      <c r="IR64" s="21"/>
      <c r="IS64" s="21"/>
      <c r="IT64" s="21"/>
      <c r="IU64" s="21"/>
      <c r="IV64" s="21"/>
      <c r="IW64" s="21"/>
      <c r="IX64" s="21"/>
      <c r="IY64" s="21"/>
      <c r="IZ64" s="21"/>
      <c r="JA64" s="21"/>
      <c r="JB64" s="21"/>
      <c r="JC64" s="21"/>
      <c r="JD64" s="21"/>
      <c r="JE64" s="21"/>
      <c r="JF64" s="21"/>
      <c r="JG64" s="21"/>
      <c r="JH64" s="21"/>
      <c r="JI64" s="21"/>
      <c r="JJ64" s="21"/>
      <c r="JK64" s="21"/>
      <c r="JL64" s="21"/>
      <c r="JM64" s="21"/>
      <c r="JN64" s="21"/>
      <c r="JO64" s="21"/>
      <c r="JP64" s="21"/>
      <c r="JQ64" s="21"/>
      <c r="JR64" s="21"/>
      <c r="JS64" s="21"/>
      <c r="JT64" s="21"/>
      <c r="JU64" s="21"/>
      <c r="JV64" s="21"/>
      <c r="JW64" s="21"/>
      <c r="JX64" s="21"/>
      <c r="JY64" s="21"/>
      <c r="JZ64" s="21"/>
      <c r="KA64" s="21"/>
      <c r="KB64" s="21"/>
      <c r="KC64" s="21"/>
      <c r="KD64" s="21"/>
      <c r="KE64" s="21"/>
      <c r="KF64" s="21"/>
      <c r="KG64" s="21"/>
      <c r="KH64" s="21"/>
      <c r="KI64" s="21"/>
      <c r="KJ64" s="21"/>
      <c r="KK64" s="21"/>
      <c r="KL64" s="21"/>
      <c r="KM64" s="21"/>
      <c r="KN64" s="21"/>
      <c r="KO64" s="21"/>
      <c r="KP64" s="21"/>
      <c r="KQ64" s="21"/>
      <c r="KR64" s="21"/>
      <c r="KS64" s="21"/>
      <c r="KT64" s="21"/>
      <c r="KU64" s="21"/>
      <c r="KV64" s="21"/>
      <c r="KW64" s="21"/>
      <c r="KX64" s="21"/>
      <c r="KY64" s="21"/>
      <c r="KZ64" s="21"/>
      <c r="LA64" s="21"/>
      <c r="LB64" s="21"/>
      <c r="LC64" s="21"/>
      <c r="LD64" s="21"/>
      <c r="LE64" s="21"/>
      <c r="LF64" s="21"/>
      <c r="LG64" s="21"/>
      <c r="LH64" s="21"/>
      <c r="LI64" s="21"/>
      <c r="LJ64" s="21"/>
      <c r="LK64" s="21"/>
      <c r="LL64" s="21"/>
      <c r="LM64" s="21"/>
      <c r="LN64" s="21"/>
      <c r="LO64" s="21"/>
      <c r="LP64" s="21"/>
      <c r="LQ64" s="21"/>
      <c r="LR64" s="21"/>
      <c r="LS64" s="21"/>
      <c r="LT64" s="21"/>
      <c r="LU64" s="21"/>
      <c r="LV64" s="21"/>
      <c r="LW64" s="21"/>
      <c r="LX64" s="21"/>
      <c r="LY64" s="21"/>
      <c r="LZ64" s="21"/>
      <c r="MA64" s="21"/>
      <c r="MB64" s="21"/>
      <c r="MC64" s="21"/>
      <c r="MD64" s="21"/>
      <c r="ME64" s="21"/>
      <c r="MF64" s="21"/>
      <c r="MG64" s="21"/>
      <c r="MH64" s="21"/>
      <c r="MI64" s="21"/>
      <c r="MJ64" s="21"/>
      <c r="MK64" s="21"/>
      <c r="ML64" s="21"/>
      <c r="MM64" s="21"/>
      <c r="MN64" s="21"/>
      <c r="MO64" s="21"/>
      <c r="MP64" s="21"/>
      <c r="MQ64" s="21"/>
      <c r="MR64" s="21"/>
      <c r="MS64" s="21"/>
      <c r="MT64" s="21"/>
      <c r="MU64" s="21"/>
      <c r="MV64" s="21"/>
      <c r="MW64" s="21"/>
      <c r="MX64" s="21"/>
      <c r="MY64" s="21"/>
      <c r="MZ64" s="21"/>
      <c r="NA64" s="21"/>
      <c r="NB64" s="21"/>
      <c r="NC64" s="21"/>
      <c r="ND64" s="21"/>
      <c r="NE64" s="21"/>
      <c r="NF64" s="21"/>
      <c r="NG64" s="21"/>
      <c r="NH64" s="21"/>
      <c r="NI64" s="21"/>
      <c r="NJ64" s="21"/>
      <c r="NK64" s="21"/>
      <c r="NL64" s="21"/>
      <c r="NM64" s="21"/>
      <c r="NN64" s="21"/>
      <c r="NO64" s="21"/>
      <c r="NP64" s="21"/>
      <c r="NQ64" s="21"/>
      <c r="NR64" s="21"/>
      <c r="NS64" s="21"/>
      <c r="NT64" s="21"/>
      <c r="NU64" s="21"/>
      <c r="NV64" s="21"/>
      <c r="NW64" s="21"/>
      <c r="NX64" s="21"/>
      <c r="NY64" s="21"/>
      <c r="NZ64" s="21"/>
      <c r="OA64" s="21"/>
      <c r="OB64" s="21"/>
      <c r="OC64" s="21"/>
      <c r="OD64" s="21"/>
      <c r="OE64" s="21"/>
      <c r="OF64" s="21"/>
      <c r="OG64" s="21"/>
      <c r="OH64" s="21"/>
      <c r="OI64" s="21"/>
      <c r="OJ64" s="21"/>
      <c r="OK64" s="21"/>
      <c r="OL64" s="21"/>
      <c r="OM64" s="21"/>
      <c r="ON64" s="21"/>
      <c r="OO64" s="21"/>
      <c r="OP64" s="21"/>
      <c r="OQ64" s="21"/>
      <c r="OR64" s="21"/>
      <c r="OS64" s="21"/>
      <c r="OT64" s="21"/>
      <c r="OU64" s="21"/>
      <c r="OV64" s="21"/>
      <c r="OW64" s="21"/>
      <c r="OX64" s="21"/>
      <c r="OY64" s="21"/>
      <c r="OZ64" s="21"/>
      <c r="PA64" s="21"/>
      <c r="PB64" s="21"/>
      <c r="PC64" s="21"/>
      <c r="PD64" s="21"/>
      <c r="PE64" s="21"/>
      <c r="PF64" s="21"/>
      <c r="PG64" s="21"/>
      <c r="PH64" s="21"/>
      <c r="PI64" s="21"/>
      <c r="PJ64" s="21"/>
      <c r="PK64" s="21"/>
      <c r="PL64" s="21"/>
      <c r="PM64" s="21"/>
      <c r="PN64" s="21"/>
      <c r="PO64" s="21"/>
      <c r="PP64" s="21"/>
      <c r="PQ64" s="21"/>
      <c r="PR64" s="21"/>
      <c r="PS64" s="21"/>
      <c r="PT64" s="21"/>
      <c r="PU64" s="21"/>
      <c r="PV64" s="21"/>
      <c r="PW64" s="21"/>
      <c r="PX64" s="21"/>
      <c r="PY64" s="21"/>
      <c r="PZ64" s="21"/>
      <c r="QA64" s="21"/>
      <c r="QB64" s="21"/>
      <c r="QC64" s="21"/>
      <c r="QD64" s="21"/>
      <c r="QE64" s="21"/>
      <c r="QF64" s="21"/>
      <c r="QG64" s="21"/>
      <c r="QH64" s="21"/>
      <c r="QI64" s="21"/>
      <c r="QJ64" s="21"/>
      <c r="QK64" s="21"/>
      <c r="QL64" s="21"/>
      <c r="QM64" s="21"/>
      <c r="QN64" s="21"/>
      <c r="QO64" s="21"/>
      <c r="QP64" s="21"/>
      <c r="QQ64" s="21"/>
      <c r="QR64" s="21"/>
      <c r="QS64" s="21"/>
      <c r="QT64" s="21"/>
      <c r="QU64" s="21"/>
      <c r="QV64" s="21"/>
      <c r="QW64" s="21"/>
      <c r="QX64" s="21"/>
      <c r="QY64" s="21"/>
      <c r="QZ64" s="21"/>
      <c r="RA64" s="21"/>
      <c r="RB64" s="21"/>
      <c r="RC64" s="21"/>
      <c r="RD64" s="21"/>
      <c r="RE64" s="21"/>
      <c r="RF64" s="21"/>
      <c r="RG64" s="21"/>
      <c r="RH64" s="21"/>
      <c r="RI64" s="21"/>
      <c r="RJ64" s="21"/>
      <c r="RK64" s="21"/>
      <c r="RL64" s="21"/>
      <c r="RM64" s="21"/>
      <c r="RN64" s="21"/>
      <c r="RO64" s="21"/>
      <c r="RP64" s="21"/>
      <c r="RQ64" s="21"/>
      <c r="RR64" s="21"/>
      <c r="RS64" s="21"/>
      <c r="RT64" s="21"/>
      <c r="RU64" s="21"/>
      <c r="RV64" s="21"/>
      <c r="RW64" s="21"/>
      <c r="RX64" s="21"/>
      <c r="RY64" s="21"/>
      <c r="RZ64" s="21"/>
      <c r="SA64" s="21"/>
      <c r="SB64" s="21"/>
      <c r="SC64" s="21"/>
      <c r="SD64" s="21"/>
      <c r="SE64" s="21"/>
      <c r="SF64" s="21"/>
      <c r="SG64" s="21"/>
      <c r="SH64" s="21"/>
      <c r="SI64" s="21"/>
      <c r="SJ64" s="21"/>
      <c r="SK64" s="21"/>
      <c r="SL64" s="21"/>
      <c r="SM64" s="21"/>
      <c r="SN64" s="21"/>
      <c r="SO64" s="21"/>
      <c r="SP64" s="21"/>
      <c r="SQ64" s="21"/>
      <c r="SR64" s="21"/>
      <c r="SS64" s="21"/>
      <c r="ST64" s="21"/>
      <c r="SU64" s="21"/>
      <c r="SV64" s="21"/>
      <c r="SW64" s="21"/>
      <c r="SX64" s="21"/>
      <c r="SY64" s="21"/>
      <c r="SZ64" s="21"/>
      <c r="TA64" s="21"/>
      <c r="TB64" s="21"/>
      <c r="TC64" s="21"/>
      <c r="TD64" s="21"/>
      <c r="TE64" s="21"/>
      <c r="TF64" s="21"/>
      <c r="TG64" s="21"/>
      <c r="TH64" s="21"/>
      <c r="TI64" s="21"/>
      <c r="TJ64" s="21"/>
      <c r="TK64" s="21"/>
      <c r="TL64" s="21"/>
      <c r="TM64" s="21"/>
      <c r="TN64" s="21"/>
      <c r="TO64" s="21"/>
      <c r="TP64" s="21"/>
      <c r="TQ64" s="21"/>
      <c r="TR64" s="21"/>
      <c r="TS64" s="21"/>
      <c r="TT64" s="21"/>
      <c r="TU64" s="21"/>
      <c r="TV64" s="21"/>
      <c r="TW64" s="21"/>
      <c r="TX64" s="21"/>
      <c r="TY64" s="21"/>
      <c r="TZ64" s="21"/>
      <c r="UA64" s="21"/>
      <c r="UB64" s="21"/>
      <c r="UC64" s="21"/>
      <c r="UD64" s="21"/>
      <c r="UE64" s="21"/>
      <c r="UF64" s="21"/>
      <c r="UG64" s="21"/>
      <c r="UH64" s="21"/>
      <c r="UI64" s="21"/>
      <c r="UJ64" s="21"/>
      <c r="UK64" s="21"/>
      <c r="UL64" s="21"/>
      <c r="UM64" s="21"/>
      <c r="UN64" s="21"/>
      <c r="UO64" s="21"/>
      <c r="UP64" s="21"/>
      <c r="UQ64" s="21"/>
      <c r="UR64" s="21"/>
      <c r="US64" s="21"/>
      <c r="UT64" s="21"/>
      <c r="UU64" s="21"/>
      <c r="UV64" s="21"/>
      <c r="UW64" s="21"/>
      <c r="UX64" s="21"/>
      <c r="UY64" s="21"/>
      <c r="UZ64" s="21"/>
      <c r="VA64" s="21"/>
      <c r="VB64" s="21"/>
      <c r="VC64" s="21"/>
      <c r="VD64" s="21"/>
      <c r="VE64" s="21"/>
      <c r="VF64" s="21"/>
      <c r="VG64" s="21"/>
      <c r="VH64" s="21"/>
      <c r="VI64" s="21"/>
      <c r="VJ64" s="21"/>
      <c r="VK64" s="21"/>
      <c r="VL64" s="21"/>
      <c r="VM64" s="21"/>
      <c r="VN64" s="21"/>
      <c r="VO64" s="21"/>
      <c r="VP64" s="21"/>
      <c r="VQ64" s="21"/>
      <c r="VR64" s="21"/>
      <c r="VS64" s="21"/>
      <c r="VT64" s="21"/>
      <c r="VU64" s="21"/>
      <c r="VV64" s="21"/>
      <c r="VW64" s="21"/>
      <c r="VX64" s="21"/>
      <c r="VY64" s="21"/>
      <c r="VZ64" s="21"/>
      <c r="WA64" s="21"/>
      <c r="WB64" s="21"/>
      <c r="WC64" s="21"/>
      <c r="WD64" s="21"/>
      <c r="WE64" s="21"/>
      <c r="WF64" s="21"/>
      <c r="WG64" s="21"/>
      <c r="WH64" s="21"/>
      <c r="WI64" s="21"/>
      <c r="WJ64" s="21"/>
      <c r="WK64" s="21"/>
      <c r="WL64" s="21"/>
      <c r="WM64" s="21"/>
      <c r="WN64" s="21"/>
      <c r="WO64" s="21"/>
      <c r="WP64" s="21"/>
      <c r="WQ64" s="21"/>
      <c r="WR64" s="21"/>
      <c r="WS64" s="21"/>
      <c r="WT64" s="21"/>
      <c r="WU64" s="21"/>
      <c r="WV64" s="21"/>
      <c r="WW64" s="21"/>
      <c r="WX64" s="21"/>
      <c r="WY64" s="21"/>
      <c r="WZ64" s="21"/>
      <c r="XA64" s="21"/>
      <c r="XB64" s="21"/>
      <c r="XC64" s="21"/>
      <c r="XD64" s="21"/>
      <c r="XE64" s="21"/>
      <c r="XF64" s="21"/>
      <c r="XG64" s="21"/>
      <c r="XH64" s="21"/>
      <c r="XI64" s="21"/>
      <c r="XJ64" s="21"/>
      <c r="XK64" s="21"/>
      <c r="XL64" s="21"/>
      <c r="XM64" s="21"/>
      <c r="XN64" s="21"/>
      <c r="XO64" s="21"/>
      <c r="XP64" s="21"/>
      <c r="XQ64" s="21"/>
      <c r="XR64" s="21"/>
      <c r="XS64" s="21"/>
      <c r="XT64" s="21"/>
      <c r="XU64" s="21"/>
      <c r="XV64" s="21"/>
      <c r="XW64" s="21"/>
      <c r="XX64" s="21"/>
      <c r="XY64" s="21"/>
      <c r="XZ64" s="21"/>
      <c r="YA64" s="21"/>
      <c r="YB64" s="21"/>
      <c r="YC64" s="21"/>
      <c r="YD64" s="21"/>
      <c r="YE64" s="21"/>
      <c r="YF64" s="21"/>
      <c r="YG64" s="21"/>
      <c r="YH64" s="21"/>
      <c r="YI64" s="21"/>
      <c r="YJ64" s="21"/>
      <c r="YK64" s="21"/>
      <c r="YL64" s="21"/>
      <c r="YM64" s="21"/>
      <c r="YN64" s="21"/>
      <c r="YO64" s="21"/>
      <c r="YP64" s="21"/>
      <c r="YQ64" s="21"/>
      <c r="YR64" s="21"/>
      <c r="YS64" s="21"/>
      <c r="YT64" s="21"/>
      <c r="YU64" s="21"/>
      <c r="YV64" s="21"/>
      <c r="YW64" s="21"/>
      <c r="YX64" s="21"/>
      <c r="YY64" s="21"/>
      <c r="YZ64" s="21"/>
      <c r="ZA64" s="21"/>
      <c r="ZB64" s="21"/>
      <c r="ZC64" s="21"/>
      <c r="ZD64" s="21"/>
      <c r="ZE64" s="21"/>
      <c r="ZF64" s="21"/>
      <c r="ZG64" s="21"/>
      <c r="ZH64" s="21"/>
      <c r="ZI64" s="21"/>
      <c r="ZJ64" s="21"/>
      <c r="ZK64" s="21"/>
      <c r="ZL64" s="21"/>
      <c r="ZM64" s="21"/>
      <c r="ZN64" s="21"/>
      <c r="ZO64" s="21"/>
      <c r="ZP64" s="21"/>
      <c r="ZQ64" s="21"/>
      <c r="ZR64" s="21"/>
      <c r="ZS64" s="21"/>
      <c r="ZT64" s="21"/>
      <c r="ZU64" s="21"/>
      <c r="ZV64" s="21"/>
      <c r="ZW64" s="21"/>
      <c r="ZX64" s="21"/>
      <c r="ZY64" s="21"/>
      <c r="ZZ64" s="21"/>
      <c r="AAA64" s="21"/>
      <c r="AAB64" s="21"/>
      <c r="AAC64" s="21"/>
      <c r="AAD64" s="21"/>
      <c r="AAE64" s="21"/>
      <c r="AAF64" s="21"/>
      <c r="AAG64" s="21"/>
      <c r="AAH64" s="21"/>
      <c r="AAI64" s="21"/>
      <c r="AAJ64" s="21"/>
      <c r="AAK64" s="21"/>
      <c r="AAL64" s="21"/>
      <c r="AAM64" s="21"/>
      <c r="AAN64" s="21"/>
      <c r="AAO64" s="21"/>
      <c r="AAP64" s="21"/>
      <c r="AAQ64" s="21"/>
      <c r="AAR64" s="21"/>
      <c r="AAS64" s="21"/>
      <c r="AAT64" s="21"/>
      <c r="AAU64" s="21"/>
      <c r="AAV64" s="21"/>
      <c r="AAW64" s="21"/>
      <c r="AAX64" s="21"/>
      <c r="AAY64" s="21"/>
      <c r="AAZ64" s="21"/>
      <c r="ABA64" s="21"/>
      <c r="ABB64" s="21"/>
      <c r="ABC64" s="21"/>
      <c r="ABD64" s="21"/>
      <c r="ABE64" s="21"/>
      <c r="ABF64" s="21"/>
      <c r="ABG64" s="21"/>
      <c r="ABH64" s="21"/>
      <c r="ABI64" s="21"/>
      <c r="ABJ64" s="21"/>
      <c r="ABK64" s="21"/>
      <c r="ABL64" s="21"/>
      <c r="ABM64" s="21"/>
      <c r="ABN64" s="21"/>
      <c r="ABO64" s="21"/>
      <c r="ABP64" s="21"/>
      <c r="ABQ64" s="21"/>
      <c r="ABR64" s="21"/>
      <c r="ABS64" s="21"/>
      <c r="ABT64" s="21"/>
      <c r="ABU64" s="21"/>
      <c r="ABV64" s="21"/>
      <c r="ABW64" s="21"/>
      <c r="ABX64" s="21"/>
      <c r="ABY64" s="21"/>
      <c r="ABZ64" s="21"/>
      <c r="ACA64" s="21"/>
      <c r="ACB64" s="21"/>
      <c r="ACC64" s="21"/>
      <c r="ACD64" s="21"/>
      <c r="ACE64" s="21"/>
      <c r="ACF64" s="21"/>
      <c r="ACG64" s="21"/>
      <c r="ACH64" s="21"/>
      <c r="ACI64" s="21"/>
      <c r="ACJ64" s="21"/>
      <c r="ACK64" s="21"/>
      <c r="ACL64" s="21"/>
      <c r="ACM64" s="21"/>
      <c r="ACN64" s="21"/>
      <c r="ACO64" s="21"/>
      <c r="ACP64" s="21"/>
      <c r="ACQ64" s="21"/>
      <c r="ACR64" s="21"/>
      <c r="ACS64" s="21"/>
      <c r="ACT64" s="21"/>
      <c r="ACU64" s="21"/>
      <c r="ACV64" s="21"/>
      <c r="ACW64" s="21"/>
      <c r="ACX64" s="21"/>
      <c r="ACY64" s="21"/>
      <c r="ACZ64" s="21"/>
      <c r="ADA64" s="21"/>
      <c r="ADB64" s="21"/>
      <c r="ADC64" s="21"/>
      <c r="ADD64" s="21"/>
      <c r="ADE64" s="21"/>
      <c r="ADF64" s="21"/>
      <c r="ADG64" s="21"/>
      <c r="ADH64" s="21"/>
      <c r="ADI64" s="21"/>
      <c r="ADJ64" s="21"/>
      <c r="ADK64" s="21"/>
      <c r="ADL64" s="21"/>
      <c r="ADM64" s="21"/>
      <c r="ADN64" s="21"/>
      <c r="ADO64" s="21"/>
      <c r="ADP64" s="21"/>
      <c r="ADQ64" s="21"/>
      <c r="ADR64" s="21"/>
      <c r="ADS64" s="21"/>
      <c r="ADT64" s="21"/>
      <c r="ADU64" s="21"/>
      <c r="ADV64" s="21"/>
      <c r="ADW64" s="21"/>
      <c r="ADX64" s="21"/>
      <c r="ADY64" s="21"/>
      <c r="ADZ64" s="21"/>
      <c r="AEA64" s="21"/>
      <c r="AEB64" s="21"/>
      <c r="AEC64" s="21"/>
      <c r="AED64" s="21"/>
      <c r="AEE64" s="21"/>
      <c r="AEF64" s="21"/>
      <c r="AEG64" s="21"/>
      <c r="AEH64" s="21"/>
      <c r="AEI64" s="21"/>
      <c r="AEJ64" s="21"/>
      <c r="AEK64" s="21"/>
      <c r="AEL64" s="21"/>
      <c r="AEM64" s="21"/>
      <c r="AEN64" s="21"/>
      <c r="AEO64" s="21"/>
      <c r="AEP64" s="21"/>
      <c r="AEQ64" s="21"/>
      <c r="AER64" s="21"/>
      <c r="AES64" s="21"/>
      <c r="AET64" s="21"/>
      <c r="AEU64" s="21"/>
      <c r="AEV64" s="21"/>
      <c r="AEW64" s="21"/>
      <c r="AEX64" s="21"/>
      <c r="AEY64" s="21"/>
      <c r="AEZ64" s="21"/>
      <c r="AFA64" s="21"/>
      <c r="AFB64" s="21"/>
      <c r="AFC64" s="21"/>
      <c r="AFD64" s="21"/>
      <c r="AFE64" s="21"/>
      <c r="AFF64" s="21"/>
      <c r="AFG64" s="21"/>
      <c r="AFH64" s="21"/>
      <c r="AFI64" s="21"/>
      <c r="AFJ64" s="21"/>
      <c r="AFK64" s="21"/>
      <c r="AFL64" s="21"/>
      <c r="AFM64" s="21"/>
      <c r="AFN64" s="21"/>
      <c r="AFO64" s="21"/>
      <c r="AFP64" s="21"/>
      <c r="AFQ64" s="21"/>
      <c r="AFR64" s="21"/>
      <c r="AFS64" s="21"/>
      <c r="AFT64" s="21"/>
      <c r="AFU64" s="21"/>
      <c r="AFV64" s="21"/>
      <c r="AFW64" s="21"/>
      <c r="AFX64" s="21"/>
      <c r="AFY64" s="21"/>
      <c r="AFZ64" s="21"/>
      <c r="AGA64" s="21"/>
      <c r="AGB64" s="21"/>
      <c r="AGC64" s="21"/>
      <c r="AGD64" s="21"/>
      <c r="AGE64" s="21"/>
      <c r="AGF64" s="21"/>
      <c r="AGG64" s="21"/>
      <c r="AGH64" s="21"/>
      <c r="AGI64" s="21"/>
      <c r="AGJ64" s="21"/>
      <c r="AGK64" s="21"/>
      <c r="AGL64" s="21"/>
      <c r="AGM64" s="21"/>
      <c r="AGN64" s="21"/>
      <c r="AGO64" s="21"/>
      <c r="AGP64" s="21"/>
      <c r="AGQ64" s="21"/>
      <c r="AGR64" s="21"/>
      <c r="AGS64" s="21"/>
      <c r="AGT64" s="21"/>
      <c r="AGU64" s="21"/>
      <c r="AGV64" s="21"/>
      <c r="AGW64" s="21"/>
      <c r="AGX64" s="21"/>
      <c r="AGY64" s="21"/>
      <c r="AGZ64" s="21"/>
      <c r="AHA64" s="21"/>
      <c r="AHB64" s="21"/>
      <c r="AHC64" s="21"/>
      <c r="AHD64" s="21"/>
      <c r="AHE64" s="21"/>
      <c r="AHF64" s="21"/>
      <c r="AHG64" s="21"/>
      <c r="AHH64" s="21"/>
      <c r="AHI64" s="21"/>
      <c r="AHJ64" s="21"/>
      <c r="AHK64" s="21"/>
      <c r="AHL64" s="21"/>
      <c r="AHM64" s="21"/>
      <c r="AHN64" s="21"/>
      <c r="AHO64" s="21"/>
      <c r="AHP64" s="21"/>
      <c r="AHQ64" s="21"/>
      <c r="AHR64" s="21"/>
      <c r="AHS64" s="21"/>
      <c r="AHT64" s="21"/>
      <c r="AHU64" s="21"/>
      <c r="AHV64" s="21"/>
      <c r="AHW64" s="21"/>
      <c r="AHX64" s="21"/>
      <c r="AHY64" s="21"/>
      <c r="AHZ64" s="21"/>
      <c r="AIA64" s="21"/>
      <c r="AIB64" s="21"/>
      <c r="AIC64" s="21"/>
      <c r="AID64" s="21"/>
      <c r="AIE64" s="21"/>
      <c r="AIF64" s="21"/>
      <c r="AIG64" s="21"/>
      <c r="AIH64" s="21"/>
      <c r="AII64" s="21"/>
      <c r="AIJ64" s="21"/>
      <c r="AIK64" s="21"/>
      <c r="AIL64" s="21"/>
      <c r="AIM64" s="21"/>
      <c r="AIN64" s="21"/>
      <c r="AIO64" s="21"/>
      <c r="AIP64" s="21"/>
      <c r="AIQ64" s="21"/>
      <c r="AIR64" s="21"/>
      <c r="AIS64" s="21"/>
      <c r="AIT64" s="21"/>
      <c r="AIU64" s="21"/>
      <c r="AIV64" s="21"/>
      <c r="AIW64" s="21"/>
      <c r="AIX64" s="21"/>
      <c r="AIY64" s="21"/>
      <c r="AIZ64" s="21"/>
      <c r="AJA64" s="21"/>
      <c r="AJB64" s="21"/>
      <c r="AJC64" s="21"/>
      <c r="AJD64" s="21"/>
      <c r="AJE64" s="21"/>
      <c r="AJF64" s="21"/>
      <c r="AJG64" s="21"/>
      <c r="AJH64" s="21"/>
      <c r="AJI64" s="21"/>
      <c r="AJJ64" s="21"/>
      <c r="AJK64" s="21"/>
      <c r="AJL64" s="21"/>
      <c r="AJM64" s="21"/>
      <c r="AJN64" s="21"/>
      <c r="AJO64" s="21"/>
      <c r="AJP64" s="21"/>
      <c r="AJQ64" s="21"/>
      <c r="AJR64" s="21"/>
      <c r="AJS64" s="21"/>
      <c r="AJT64" s="21"/>
      <c r="AJU64" s="21"/>
      <c r="AJV64" s="21"/>
      <c r="AJW64" s="21"/>
      <c r="AJX64" s="21"/>
      <c r="AJY64" s="21"/>
      <c r="AJZ64" s="21"/>
      <c r="AKA64" s="21"/>
      <c r="AKB64" s="21"/>
      <c r="AKC64" s="21"/>
      <c r="AKD64" s="21"/>
      <c r="AKE64" s="21"/>
      <c r="AKF64" s="21"/>
      <c r="AKG64" s="21"/>
      <c r="AKH64" s="21"/>
      <c r="AKI64" s="21"/>
      <c r="AKJ64" s="21"/>
      <c r="AKK64" s="21"/>
      <c r="AKL64" s="21"/>
      <c r="AKM64" s="21"/>
      <c r="AKN64" s="21"/>
      <c r="AKO64" s="21"/>
      <c r="AKP64" s="21"/>
      <c r="AKQ64" s="21"/>
      <c r="AKR64" s="21"/>
      <c r="AKS64" s="21"/>
      <c r="AKT64" s="21"/>
      <c r="AKU64" s="21"/>
      <c r="AKV64" s="21"/>
      <c r="AKW64" s="21"/>
      <c r="AKX64" s="21"/>
      <c r="AKY64" s="21"/>
      <c r="AKZ64" s="21"/>
      <c r="ALA64" s="21"/>
      <c r="ALB64" s="21"/>
      <c r="ALC64" s="21"/>
      <c r="ALD64" s="21"/>
      <c r="ALE64" s="21"/>
      <c r="ALF64" s="21"/>
      <c r="ALG64" s="21"/>
      <c r="ALH64" s="21"/>
      <c r="ALI64" s="21"/>
      <c r="ALJ64" s="21"/>
      <c r="ALK64" s="21"/>
      <c r="ALL64" s="21"/>
      <c r="ALM64" s="21"/>
      <c r="ALN64" s="21"/>
      <c r="ALO64" s="21"/>
      <c r="ALP64" s="21"/>
      <c r="ALQ64" s="21"/>
      <c r="ALR64" s="21"/>
      <c r="ALS64" s="21"/>
      <c r="ALT64" s="21"/>
      <c r="ALU64" s="21"/>
      <c r="ALV64" s="21"/>
      <c r="ALW64" s="21"/>
      <c r="ALX64" s="21"/>
      <c r="ALY64" s="21"/>
      <c r="ALZ64" s="21"/>
      <c r="AMA64" s="21"/>
      <c r="AMB64" s="21"/>
      <c r="AMC64" s="21"/>
      <c r="AMD64" s="21"/>
      <c r="AME64" s="21"/>
      <c r="AMF64" s="21"/>
      <c r="AMG64" s="21"/>
      <c r="AMH64" s="21"/>
      <c r="AMI64" s="21"/>
      <c r="AMJ64" s="21"/>
      <c r="AMK64" s="21"/>
      <c r="AML64" s="21"/>
      <c r="AMM64" s="21"/>
      <c r="AMN64" s="21"/>
      <c r="AMO64" s="21"/>
      <c r="AMP64" s="21"/>
      <c r="AMQ64" s="21"/>
      <c r="AMR64" s="21"/>
      <c r="AMS64" s="21"/>
      <c r="AMT64" s="21"/>
      <c r="AMU64" s="21"/>
      <c r="AMV64" s="21"/>
      <c r="AMW64" s="21"/>
      <c r="AMX64" s="21"/>
      <c r="AMY64" s="21"/>
      <c r="AMZ64" s="21"/>
      <c r="ANA64" s="21"/>
      <c r="ANB64" s="21"/>
      <c r="ANC64" s="21"/>
      <c r="AND64" s="21"/>
      <c r="ANE64" s="21"/>
      <c r="ANF64" s="21"/>
      <c r="ANG64" s="21"/>
      <c r="ANH64" s="21"/>
      <c r="ANI64" s="21"/>
      <c r="ANJ64" s="21"/>
      <c r="ANK64" s="21"/>
      <c r="ANL64" s="21"/>
      <c r="ANM64" s="21"/>
      <c r="ANN64" s="21"/>
      <c r="ANO64" s="21"/>
      <c r="ANP64" s="21"/>
      <c r="ANQ64" s="21"/>
      <c r="ANR64" s="21"/>
      <c r="ANS64" s="21"/>
      <c r="ANT64" s="21"/>
      <c r="ANU64" s="21"/>
      <c r="ANV64" s="21"/>
      <c r="ANW64" s="21"/>
      <c r="ANX64" s="21"/>
      <c r="ANY64" s="21"/>
      <c r="ANZ64" s="21"/>
      <c r="AOA64" s="21"/>
      <c r="AOB64" s="21"/>
      <c r="AOC64" s="21"/>
      <c r="AOD64" s="21"/>
      <c r="AOE64" s="21"/>
      <c r="AOF64" s="21"/>
      <c r="AOG64" s="21"/>
      <c r="AOH64" s="21"/>
      <c r="AOI64" s="21"/>
      <c r="AOJ64" s="21"/>
      <c r="AOK64" s="21"/>
      <c r="AOL64" s="21"/>
      <c r="AOM64" s="21"/>
      <c r="AON64" s="21"/>
      <c r="AOO64" s="21"/>
      <c r="AOP64" s="21"/>
      <c r="AOQ64" s="21"/>
      <c r="AOR64" s="21"/>
      <c r="AOS64" s="21"/>
      <c r="AOT64" s="21"/>
      <c r="AOU64" s="21"/>
      <c r="AOV64" s="21"/>
      <c r="AOW64" s="21"/>
      <c r="AOX64" s="21"/>
      <c r="AOY64" s="21"/>
      <c r="AOZ64" s="21"/>
      <c r="APA64" s="21"/>
      <c r="APB64" s="21"/>
      <c r="APC64" s="21"/>
      <c r="APD64" s="21"/>
      <c r="APE64" s="21"/>
      <c r="APF64" s="21"/>
      <c r="APG64" s="21"/>
      <c r="APH64" s="21"/>
      <c r="API64" s="21"/>
      <c r="APJ64" s="21"/>
      <c r="APK64" s="21"/>
      <c r="APL64" s="21"/>
      <c r="APM64" s="21"/>
      <c r="APN64" s="21"/>
      <c r="APO64" s="21"/>
      <c r="APP64" s="21"/>
      <c r="APQ64" s="21"/>
      <c r="APR64" s="21"/>
      <c r="APS64" s="21"/>
      <c r="APT64" s="21"/>
      <c r="APU64" s="21"/>
      <c r="APV64" s="21"/>
      <c r="APW64" s="21"/>
      <c r="APX64" s="21"/>
      <c r="APY64" s="21"/>
      <c r="APZ64" s="21"/>
      <c r="AQA64" s="21"/>
      <c r="AQB64" s="21"/>
      <c r="AQC64" s="21"/>
      <c r="AQD64" s="21"/>
      <c r="AQE64" s="21"/>
      <c r="AQF64" s="21"/>
      <c r="AQG64" s="21"/>
      <c r="AQH64" s="21"/>
      <c r="AQI64" s="21"/>
      <c r="AQJ64" s="21"/>
      <c r="AQK64" s="21"/>
      <c r="AQL64" s="21"/>
      <c r="AQM64" s="21"/>
      <c r="AQN64" s="21"/>
      <c r="AQO64" s="21"/>
      <c r="AQP64" s="21"/>
      <c r="AQQ64" s="21"/>
      <c r="AQR64" s="21"/>
      <c r="AQS64" s="21"/>
      <c r="AQT64" s="21"/>
      <c r="AQU64" s="21"/>
      <c r="AQV64" s="21"/>
      <c r="AQW64" s="21"/>
      <c r="AQX64" s="21"/>
      <c r="AQY64" s="21"/>
      <c r="AQZ64" s="21"/>
      <c r="ARA64" s="21"/>
      <c r="ARB64" s="21"/>
      <c r="ARC64" s="21"/>
      <c r="ARD64" s="21"/>
      <c r="ARE64" s="21"/>
      <c r="ARF64" s="21"/>
      <c r="ARG64" s="21"/>
      <c r="ARH64" s="21"/>
      <c r="ARI64" s="21"/>
      <c r="ARJ64" s="21"/>
      <c r="ARK64" s="21"/>
      <c r="ARL64" s="21"/>
      <c r="ARM64" s="21"/>
      <c r="ARN64" s="21"/>
      <c r="ARO64" s="21"/>
      <c r="ARP64" s="21"/>
      <c r="ARQ64" s="21"/>
      <c r="ARR64" s="21"/>
      <c r="ARS64" s="21"/>
      <c r="ART64" s="21"/>
      <c r="ARU64" s="21"/>
      <c r="ARV64" s="21"/>
      <c r="ARW64" s="21"/>
      <c r="ARX64" s="21"/>
      <c r="ARY64" s="21"/>
      <c r="ARZ64" s="21"/>
      <c r="ASA64" s="21"/>
      <c r="ASB64" s="21"/>
      <c r="ASC64" s="21"/>
      <c r="ASD64" s="21"/>
      <c r="ASE64" s="21"/>
      <c r="ASF64" s="21"/>
      <c r="ASG64" s="21"/>
      <c r="ASH64" s="21"/>
      <c r="ASI64" s="21"/>
      <c r="ASJ64" s="21"/>
      <c r="ASK64" s="21"/>
      <c r="ASL64" s="21"/>
      <c r="ASM64" s="21"/>
      <c r="ASN64" s="21"/>
      <c r="ASO64" s="21"/>
      <c r="ASP64" s="21"/>
      <c r="ASQ64" s="21"/>
      <c r="ASR64" s="21"/>
      <c r="ASS64" s="21"/>
      <c r="AST64" s="21"/>
      <c r="ASU64" s="21"/>
      <c r="ASV64" s="21"/>
      <c r="ASW64" s="21"/>
      <c r="ASX64" s="21"/>
      <c r="ASY64" s="21"/>
      <c r="ASZ64" s="21"/>
      <c r="ATA64" s="21"/>
      <c r="ATB64" s="21"/>
      <c r="ATC64" s="21"/>
      <c r="ATD64" s="21"/>
      <c r="ATE64" s="21"/>
      <c r="ATF64" s="21"/>
      <c r="ATG64" s="21"/>
      <c r="ATH64" s="21"/>
      <c r="ATI64" s="21"/>
      <c r="ATJ64" s="21"/>
      <c r="ATK64" s="21"/>
      <c r="ATL64" s="21"/>
      <c r="ATM64" s="21"/>
      <c r="ATN64" s="21"/>
      <c r="ATO64" s="21"/>
      <c r="ATP64" s="21"/>
      <c r="ATQ64" s="21"/>
      <c r="ATR64" s="21"/>
      <c r="ATS64" s="21"/>
      <c r="ATT64" s="21"/>
      <c r="ATU64" s="21"/>
      <c r="ATV64" s="21"/>
      <c r="ATW64" s="21"/>
      <c r="ATX64" s="21"/>
      <c r="ATY64" s="21"/>
      <c r="ATZ64" s="21"/>
      <c r="AUA64" s="21"/>
      <c r="AUB64" s="21"/>
      <c r="AUC64" s="21"/>
      <c r="AUD64" s="21"/>
      <c r="AUE64" s="21"/>
      <c r="AUF64" s="21"/>
      <c r="AUG64" s="21"/>
      <c r="AUH64" s="21"/>
      <c r="AUI64" s="21"/>
      <c r="AUJ64" s="21"/>
      <c r="AUK64" s="21"/>
      <c r="AUL64" s="21"/>
      <c r="AUM64" s="21"/>
      <c r="AUN64" s="21"/>
      <c r="AUO64" s="21"/>
      <c r="AUP64" s="21"/>
      <c r="AUQ64" s="21"/>
      <c r="AUR64" s="21"/>
      <c r="AUS64" s="21"/>
      <c r="AUT64" s="21"/>
      <c r="AUU64" s="21"/>
      <c r="AUV64" s="21"/>
      <c r="AUW64" s="21"/>
      <c r="AUX64" s="21"/>
      <c r="AUY64" s="21"/>
      <c r="AUZ64" s="21"/>
      <c r="AVA64" s="21"/>
      <c r="AVB64" s="21"/>
      <c r="AVC64" s="21"/>
      <c r="AVD64" s="21"/>
      <c r="AVE64" s="21"/>
      <c r="AVF64" s="21"/>
      <c r="AVG64" s="21"/>
      <c r="AVH64" s="21"/>
      <c r="AVI64" s="21"/>
      <c r="AVJ64" s="21"/>
      <c r="AVK64" s="21"/>
      <c r="AVL64" s="21"/>
      <c r="AVM64" s="21"/>
      <c r="AVN64" s="21"/>
      <c r="AVO64" s="21"/>
      <c r="AVP64" s="21"/>
      <c r="AVQ64" s="21"/>
      <c r="AVR64" s="21"/>
      <c r="AVS64" s="21"/>
      <c r="AVT64" s="21"/>
      <c r="AVU64" s="21"/>
      <c r="AVV64" s="21"/>
      <c r="AVW64" s="21"/>
      <c r="AVX64" s="21"/>
      <c r="AVY64" s="21"/>
      <c r="AVZ64" s="21"/>
      <c r="AWA64" s="21"/>
      <c r="AWB64" s="21"/>
      <c r="AWC64" s="21"/>
      <c r="AWD64" s="21"/>
      <c r="AWE64" s="21"/>
      <c r="AWF64" s="21"/>
      <c r="AWG64" s="21"/>
      <c r="AWH64" s="21"/>
      <c r="AWI64" s="21"/>
      <c r="AWJ64" s="21"/>
      <c r="AWK64" s="21"/>
      <c r="AWL64" s="21"/>
      <c r="AWM64" s="21"/>
      <c r="AWN64" s="21"/>
      <c r="AWO64" s="21"/>
      <c r="AWP64" s="21"/>
      <c r="AWQ64" s="21"/>
      <c r="AWR64" s="21"/>
      <c r="AWS64" s="21"/>
      <c r="AWT64" s="21"/>
      <c r="AWU64" s="21"/>
      <c r="AWV64" s="21"/>
      <c r="AWW64" s="21"/>
      <c r="AWX64" s="21"/>
      <c r="AWY64" s="21"/>
      <c r="AWZ64" s="21"/>
      <c r="AXA64" s="21"/>
      <c r="AXB64" s="21"/>
      <c r="AXC64" s="21"/>
      <c r="AXD64" s="21"/>
      <c r="AXE64" s="21"/>
      <c r="AXF64" s="21"/>
      <c r="AXG64" s="21"/>
      <c r="AXH64" s="21"/>
      <c r="AXI64" s="21"/>
      <c r="AXJ64" s="21"/>
      <c r="AXK64" s="21"/>
      <c r="AXL64" s="21"/>
      <c r="AXM64" s="21"/>
      <c r="AXN64" s="21"/>
      <c r="AXO64" s="21"/>
      <c r="AXP64" s="21"/>
      <c r="AXQ64" s="21"/>
      <c r="AXR64" s="21"/>
      <c r="AXS64" s="21"/>
      <c r="AXT64" s="21"/>
      <c r="AXU64" s="21"/>
      <c r="AXV64" s="21"/>
      <c r="AXW64" s="21"/>
      <c r="AXX64" s="21"/>
      <c r="AXY64" s="21"/>
      <c r="AXZ64" s="21"/>
      <c r="AYA64" s="21"/>
      <c r="AYB64" s="21"/>
      <c r="AYC64" s="21"/>
      <c r="AYD64" s="21"/>
      <c r="AYE64" s="21"/>
      <c r="AYF64" s="21"/>
      <c r="AYG64" s="21"/>
      <c r="AYH64" s="21"/>
      <c r="AYI64" s="21"/>
      <c r="AYJ64" s="21"/>
      <c r="AYK64" s="21"/>
      <c r="AYL64" s="21"/>
      <c r="AYM64" s="21"/>
      <c r="AYN64" s="21"/>
      <c r="AYO64" s="21"/>
      <c r="AYP64" s="21"/>
      <c r="AYQ64" s="21"/>
      <c r="AYR64" s="21"/>
      <c r="AYS64" s="21"/>
      <c r="AYT64" s="21"/>
      <c r="AYU64" s="21"/>
      <c r="AYV64" s="21"/>
      <c r="AYW64" s="21"/>
      <c r="AYX64" s="21"/>
      <c r="AYY64" s="21"/>
      <c r="AYZ64" s="21"/>
      <c r="AZA64" s="21"/>
      <c r="AZB64" s="21"/>
      <c r="AZC64" s="21"/>
      <c r="AZD64" s="21"/>
      <c r="AZE64" s="21"/>
      <c r="AZF64" s="21"/>
      <c r="AZG64" s="21"/>
      <c r="AZH64" s="21"/>
      <c r="AZI64" s="21"/>
      <c r="AZJ64" s="21"/>
      <c r="AZK64" s="21"/>
      <c r="AZL64" s="21"/>
      <c r="AZM64" s="21"/>
      <c r="AZN64" s="21"/>
      <c r="AZO64" s="21"/>
      <c r="AZP64" s="21"/>
      <c r="AZQ64" s="21"/>
      <c r="AZR64" s="21"/>
      <c r="AZS64" s="21"/>
      <c r="AZT64" s="21"/>
      <c r="AZU64" s="21"/>
      <c r="AZV64" s="21"/>
      <c r="AZW64" s="21"/>
      <c r="AZX64" s="21"/>
      <c r="AZY64" s="21"/>
      <c r="AZZ64" s="21"/>
      <c r="BAA64" s="21"/>
      <c r="BAB64" s="21"/>
      <c r="BAC64" s="21"/>
      <c r="BAD64" s="21"/>
      <c r="BAE64" s="21"/>
      <c r="BAF64" s="21"/>
      <c r="BAG64" s="21"/>
      <c r="BAH64" s="21"/>
      <c r="BAI64" s="21"/>
      <c r="BAJ64" s="21"/>
      <c r="BAK64" s="21"/>
      <c r="BAL64" s="21"/>
      <c r="BAM64" s="21"/>
      <c r="BAN64" s="21"/>
      <c r="BAO64" s="21"/>
      <c r="BAP64" s="21"/>
      <c r="BAQ64" s="21"/>
      <c r="BAR64" s="21"/>
      <c r="BAS64" s="21"/>
      <c r="BAT64" s="21"/>
      <c r="BAU64" s="21"/>
      <c r="BAV64" s="21"/>
      <c r="BAW64" s="21"/>
      <c r="BAX64" s="21"/>
      <c r="BAY64" s="21"/>
      <c r="BAZ64" s="21"/>
      <c r="BBA64" s="21"/>
      <c r="BBB64" s="21"/>
      <c r="BBC64" s="21"/>
      <c r="BBD64" s="21"/>
      <c r="BBE64" s="21"/>
      <c r="BBF64" s="21"/>
      <c r="BBG64" s="21"/>
      <c r="BBH64" s="21"/>
      <c r="BBI64" s="21"/>
      <c r="BBJ64" s="21"/>
      <c r="BBK64" s="21"/>
      <c r="BBL64" s="21"/>
      <c r="BBM64" s="21"/>
      <c r="BBN64" s="21"/>
      <c r="BBO64" s="21"/>
      <c r="BBP64" s="21"/>
      <c r="BBQ64" s="21"/>
      <c r="BBR64" s="21"/>
      <c r="BBS64" s="21"/>
      <c r="BBT64" s="21"/>
      <c r="BBU64" s="21"/>
      <c r="BBV64" s="21"/>
      <c r="BBW64" s="21"/>
      <c r="BBX64" s="21"/>
      <c r="BBY64" s="21"/>
      <c r="BBZ64" s="21"/>
      <c r="BCA64" s="21"/>
      <c r="BCB64" s="21"/>
      <c r="BCC64" s="21"/>
      <c r="BCD64" s="21"/>
      <c r="BCE64" s="21"/>
      <c r="BCF64" s="21"/>
      <c r="BCG64" s="21"/>
      <c r="BCH64" s="21"/>
      <c r="BCI64" s="21"/>
      <c r="BCJ64" s="21"/>
      <c r="BCK64" s="21"/>
      <c r="BCL64" s="21"/>
      <c r="BCM64" s="21"/>
      <c r="BCN64" s="21"/>
      <c r="BCO64" s="21"/>
      <c r="BCP64" s="21"/>
      <c r="BCQ64" s="21"/>
      <c r="BCR64" s="21"/>
      <c r="BCS64" s="21"/>
      <c r="BCT64" s="21"/>
      <c r="BCU64" s="21"/>
      <c r="BCV64" s="21"/>
      <c r="BCW64" s="21"/>
      <c r="BCX64" s="21"/>
      <c r="BCY64" s="21"/>
      <c r="BCZ64" s="21"/>
      <c r="BDA64" s="21"/>
      <c r="BDB64" s="21"/>
      <c r="BDC64" s="21"/>
      <c r="BDD64" s="21"/>
      <c r="BDE64" s="21"/>
      <c r="BDF64" s="21"/>
      <c r="BDG64" s="21"/>
      <c r="BDH64" s="21"/>
      <c r="BDI64" s="21"/>
      <c r="BDJ64" s="21"/>
      <c r="BDK64" s="21"/>
      <c r="BDL64" s="21"/>
      <c r="BDM64" s="21"/>
      <c r="BDN64" s="21"/>
      <c r="BDO64" s="21"/>
      <c r="BDP64" s="21"/>
      <c r="BDQ64" s="21"/>
      <c r="BDR64" s="21"/>
      <c r="BDS64" s="21"/>
      <c r="BDT64" s="21"/>
      <c r="BDU64" s="21"/>
      <c r="BDV64" s="21"/>
      <c r="BDW64" s="21"/>
      <c r="BDX64" s="21"/>
      <c r="BDY64" s="21"/>
      <c r="BDZ64" s="21"/>
      <c r="BEA64" s="21"/>
      <c r="BEB64" s="21"/>
      <c r="BEC64" s="21"/>
      <c r="BED64" s="21"/>
      <c r="BEE64" s="21"/>
      <c r="BEF64" s="21"/>
      <c r="BEG64" s="21"/>
      <c r="BEH64" s="21"/>
      <c r="BEI64" s="21"/>
      <c r="BEJ64" s="21"/>
      <c r="BEK64" s="21"/>
      <c r="BEL64" s="21"/>
      <c r="BEM64" s="21"/>
      <c r="BEN64" s="21"/>
      <c r="BEO64" s="21"/>
      <c r="BEP64" s="21"/>
      <c r="BEQ64" s="21"/>
      <c r="BER64" s="21"/>
      <c r="BES64" s="21"/>
      <c r="BET64" s="21"/>
      <c r="BEU64" s="21"/>
      <c r="BEV64" s="21"/>
      <c r="BEW64" s="21"/>
      <c r="BEX64" s="21"/>
      <c r="BEY64" s="21"/>
      <c r="BEZ64" s="21"/>
      <c r="BFA64" s="21"/>
      <c r="BFB64" s="21"/>
      <c r="BFC64" s="21"/>
      <c r="BFD64" s="21"/>
      <c r="BFE64" s="21"/>
      <c r="BFF64" s="21"/>
      <c r="BFG64" s="21"/>
      <c r="BFH64" s="21"/>
      <c r="BFI64" s="21"/>
      <c r="BFJ64" s="21"/>
      <c r="BFK64" s="21"/>
      <c r="BFL64" s="21"/>
      <c r="BFM64" s="21"/>
      <c r="BFN64" s="21"/>
      <c r="BFO64" s="21"/>
      <c r="BFP64" s="21"/>
      <c r="BFQ64" s="21"/>
      <c r="BFR64" s="21"/>
      <c r="BFS64" s="21"/>
      <c r="BFT64" s="21"/>
      <c r="BFU64" s="21"/>
      <c r="BFV64" s="21"/>
      <c r="BFW64" s="21"/>
      <c r="BFX64" s="21"/>
      <c r="BFY64" s="21"/>
      <c r="BFZ64" s="21"/>
      <c r="BGA64" s="21"/>
      <c r="BGB64" s="21"/>
      <c r="BGC64" s="21"/>
      <c r="BGD64" s="21"/>
      <c r="BGE64" s="21"/>
      <c r="BGF64" s="21"/>
      <c r="BGG64" s="21"/>
      <c r="BGH64" s="21"/>
      <c r="BGI64" s="21"/>
      <c r="BGJ64" s="21"/>
      <c r="BGK64" s="21"/>
      <c r="BGL64" s="21"/>
      <c r="BGM64" s="21"/>
      <c r="BGN64" s="21"/>
      <c r="BGO64" s="21"/>
      <c r="BGP64" s="21"/>
      <c r="BGQ64" s="21"/>
      <c r="BGR64" s="21"/>
      <c r="BGS64" s="21"/>
      <c r="BGT64" s="21"/>
      <c r="BGU64" s="21"/>
      <c r="BGV64" s="21"/>
      <c r="BGW64" s="21"/>
      <c r="BGX64" s="21"/>
      <c r="BGY64" s="21"/>
      <c r="BGZ64" s="21"/>
      <c r="BHA64" s="21"/>
      <c r="BHB64" s="21"/>
      <c r="BHC64" s="21"/>
      <c r="BHD64" s="21"/>
      <c r="BHE64" s="21"/>
      <c r="BHF64" s="21"/>
      <c r="BHG64" s="21"/>
      <c r="BHH64" s="21"/>
      <c r="BHI64" s="21"/>
      <c r="BHJ64" s="21"/>
      <c r="BHK64" s="21"/>
      <c r="BHL64" s="21"/>
      <c r="BHM64" s="21"/>
      <c r="BHN64" s="21"/>
      <c r="BHO64" s="21"/>
      <c r="BHP64" s="21"/>
      <c r="BHQ64" s="21"/>
      <c r="BHR64" s="21"/>
      <c r="BHS64" s="21"/>
      <c r="BHT64" s="21"/>
      <c r="BHU64" s="21"/>
      <c r="BHV64" s="21"/>
      <c r="BHW64" s="21"/>
      <c r="BHX64" s="21"/>
      <c r="BHY64" s="21"/>
      <c r="BHZ64" s="21"/>
      <c r="BIA64" s="21"/>
      <c r="BIB64" s="21"/>
      <c r="BIC64" s="21"/>
      <c r="BID64" s="21"/>
      <c r="BIE64" s="21"/>
      <c r="BIF64" s="21"/>
      <c r="BIG64" s="21"/>
      <c r="BIH64" s="21"/>
      <c r="BII64" s="21"/>
      <c r="BIJ64" s="21"/>
      <c r="BIK64" s="21"/>
      <c r="BIL64" s="21"/>
      <c r="BIM64" s="21"/>
      <c r="BIN64" s="21"/>
      <c r="BIO64" s="21"/>
      <c r="BIP64" s="21"/>
      <c r="BIQ64" s="21"/>
      <c r="BIR64" s="21"/>
      <c r="BIS64" s="21"/>
      <c r="BIT64" s="21"/>
      <c r="BIU64" s="21"/>
      <c r="BIV64" s="21"/>
      <c r="BIW64" s="21"/>
      <c r="BIX64" s="21"/>
      <c r="BIY64" s="21"/>
      <c r="BIZ64" s="21"/>
      <c r="BJA64" s="21"/>
      <c r="BJB64" s="21"/>
      <c r="BJC64" s="21"/>
      <c r="BJD64" s="21"/>
      <c r="BJE64" s="21"/>
      <c r="BJF64" s="21"/>
      <c r="BJG64" s="21"/>
      <c r="BJH64" s="21"/>
      <c r="BJI64" s="21"/>
      <c r="BJJ64" s="21"/>
      <c r="BJK64" s="21"/>
      <c r="BJL64" s="21"/>
      <c r="BJM64" s="21"/>
      <c r="BJN64" s="21"/>
      <c r="BJO64" s="21"/>
      <c r="BJP64" s="21"/>
      <c r="BJQ64" s="21"/>
      <c r="BJR64" s="21"/>
      <c r="BJS64" s="21"/>
      <c r="BJT64" s="21"/>
      <c r="BJU64" s="21"/>
      <c r="BJV64" s="21"/>
      <c r="BJW64" s="21"/>
      <c r="BJX64" s="21"/>
      <c r="BJY64" s="21"/>
      <c r="BJZ64" s="21"/>
      <c r="BKA64" s="21"/>
      <c r="BKB64" s="21"/>
      <c r="BKC64" s="21"/>
      <c r="BKD64" s="21"/>
      <c r="BKE64" s="21"/>
      <c r="BKF64" s="21"/>
      <c r="BKG64" s="21"/>
      <c r="BKH64" s="21"/>
      <c r="BKI64" s="21"/>
      <c r="BKJ64" s="21"/>
      <c r="BKK64" s="21"/>
      <c r="BKL64" s="21"/>
      <c r="BKM64" s="21"/>
      <c r="BKN64" s="21"/>
      <c r="BKO64" s="21"/>
      <c r="BKP64" s="21"/>
      <c r="BKQ64" s="21"/>
      <c r="BKR64" s="21"/>
      <c r="BKS64" s="21"/>
      <c r="BKT64" s="21"/>
      <c r="BKU64" s="21"/>
      <c r="BKV64" s="21"/>
      <c r="BKW64" s="21"/>
      <c r="BKX64" s="21"/>
      <c r="BKY64" s="21"/>
      <c r="BKZ64" s="21"/>
      <c r="BLA64" s="21"/>
      <c r="BLB64" s="21"/>
      <c r="BLC64" s="21"/>
      <c r="BLD64" s="21"/>
      <c r="BLE64" s="21"/>
      <c r="BLF64" s="21"/>
      <c r="BLG64" s="21"/>
      <c r="BLH64" s="21"/>
      <c r="BLI64" s="21"/>
      <c r="BLJ64" s="21"/>
      <c r="BLK64" s="21"/>
      <c r="BLL64" s="21"/>
      <c r="BLM64" s="21"/>
      <c r="BLN64" s="21"/>
      <c r="BLO64" s="21"/>
      <c r="BLP64" s="21"/>
      <c r="BLQ64" s="21"/>
      <c r="BLR64" s="21"/>
      <c r="BLS64" s="21"/>
      <c r="BLT64" s="21"/>
      <c r="BLU64" s="21"/>
      <c r="BLV64" s="21"/>
      <c r="BLW64" s="21"/>
      <c r="BLX64" s="21"/>
      <c r="BLY64" s="21"/>
      <c r="BLZ64" s="21"/>
      <c r="BMA64" s="21"/>
      <c r="BMB64" s="21"/>
      <c r="BMC64" s="21"/>
      <c r="BMD64" s="21"/>
      <c r="BME64" s="21"/>
      <c r="BMF64" s="21"/>
      <c r="BMG64" s="21"/>
      <c r="BMH64" s="21"/>
      <c r="BMI64" s="21"/>
      <c r="BMJ64" s="21"/>
      <c r="BMK64" s="21"/>
      <c r="BML64" s="21"/>
      <c r="BMM64" s="21"/>
      <c r="BMN64" s="21"/>
      <c r="BMO64" s="21"/>
      <c r="BMP64" s="21"/>
      <c r="BMQ64" s="21"/>
      <c r="BMR64" s="21"/>
      <c r="BMS64" s="21"/>
      <c r="BMT64" s="21"/>
      <c r="BMU64" s="21"/>
      <c r="BMV64" s="21"/>
      <c r="BMW64" s="21"/>
      <c r="BMX64" s="21"/>
      <c r="BMY64" s="21"/>
      <c r="BMZ64" s="21"/>
      <c r="BNA64" s="21"/>
      <c r="BNB64" s="21"/>
      <c r="BNC64" s="21"/>
      <c r="BND64" s="21"/>
      <c r="BNE64" s="21"/>
      <c r="BNF64" s="21"/>
      <c r="BNG64" s="21"/>
      <c r="BNH64" s="21"/>
      <c r="BNI64" s="21"/>
      <c r="BNJ64" s="21"/>
      <c r="BNK64" s="21"/>
      <c r="BNL64" s="21"/>
      <c r="BNM64" s="21"/>
      <c r="BNN64" s="21"/>
      <c r="BNO64" s="21"/>
      <c r="BNP64" s="21"/>
      <c r="BNQ64" s="21"/>
      <c r="BNR64" s="21"/>
      <c r="BNS64" s="21"/>
      <c r="BNT64" s="21"/>
      <c r="BNU64" s="21"/>
      <c r="BNV64" s="21"/>
      <c r="BNW64" s="21"/>
      <c r="BNX64" s="21"/>
      <c r="BNY64" s="21"/>
      <c r="BNZ64" s="21"/>
      <c r="BOA64" s="21"/>
      <c r="BOB64" s="21"/>
      <c r="BOC64" s="21"/>
      <c r="BOD64" s="21"/>
      <c r="BOE64" s="21"/>
      <c r="BOF64" s="21"/>
      <c r="BOG64" s="21"/>
      <c r="BOH64" s="21"/>
      <c r="BOI64" s="21"/>
      <c r="BOJ64" s="21"/>
      <c r="BOK64" s="21"/>
      <c r="BOL64" s="21"/>
      <c r="BOM64" s="21"/>
      <c r="BON64" s="21"/>
      <c r="BOO64" s="21"/>
      <c r="BOP64" s="21"/>
      <c r="BOQ64" s="21"/>
      <c r="BOR64" s="21"/>
      <c r="BOS64" s="21"/>
      <c r="BOT64" s="21"/>
      <c r="BOU64" s="21"/>
      <c r="BOV64" s="21"/>
      <c r="BOW64" s="21"/>
      <c r="BOX64" s="21"/>
      <c r="BOY64" s="21"/>
      <c r="BOZ64" s="21"/>
      <c r="BPA64" s="21"/>
      <c r="BPB64" s="21"/>
      <c r="BPC64" s="21"/>
      <c r="BPD64" s="21"/>
      <c r="BPE64" s="21"/>
      <c r="BPF64" s="21"/>
      <c r="BPG64" s="21"/>
      <c r="BPH64" s="21"/>
      <c r="BPI64" s="21"/>
      <c r="BPJ64" s="21"/>
      <c r="BPK64" s="21"/>
      <c r="BPL64" s="21"/>
      <c r="BPM64" s="21"/>
      <c r="BPN64" s="21"/>
      <c r="BPO64" s="21"/>
      <c r="BPP64" s="21"/>
      <c r="BPQ64" s="21"/>
      <c r="BPR64" s="21"/>
      <c r="BPS64" s="21"/>
      <c r="BPT64" s="21"/>
      <c r="BPU64" s="21"/>
      <c r="BPV64" s="21"/>
      <c r="BPW64" s="21"/>
      <c r="BPX64" s="21"/>
      <c r="BPY64" s="21"/>
      <c r="BPZ64" s="21"/>
      <c r="BQA64" s="21"/>
      <c r="BQB64" s="21"/>
      <c r="BQC64" s="21"/>
      <c r="BQD64" s="21"/>
      <c r="BQE64" s="21"/>
      <c r="BQF64" s="21"/>
      <c r="BQG64" s="21"/>
      <c r="BQH64" s="21"/>
      <c r="BQI64" s="21"/>
      <c r="BQJ64" s="21"/>
      <c r="BQK64" s="21"/>
      <c r="BQL64" s="21"/>
      <c r="BQM64" s="21"/>
      <c r="BQN64" s="21"/>
      <c r="BQO64" s="21"/>
      <c r="BQP64" s="21"/>
      <c r="BQQ64" s="21"/>
      <c r="BQR64" s="21"/>
      <c r="BQS64" s="21"/>
      <c r="BQT64" s="21"/>
      <c r="BQU64" s="21"/>
      <c r="BQV64" s="21"/>
      <c r="BQW64" s="21"/>
      <c r="BQX64" s="21"/>
      <c r="BQY64" s="21"/>
      <c r="BQZ64" s="21"/>
      <c r="BRA64" s="21"/>
      <c r="BRB64" s="21"/>
      <c r="BRC64" s="21"/>
      <c r="BRD64" s="21"/>
      <c r="BRE64" s="21"/>
      <c r="BRF64" s="21"/>
      <c r="BRG64" s="21"/>
      <c r="BRH64" s="21"/>
      <c r="BRI64" s="21"/>
      <c r="BRJ64" s="21"/>
      <c r="BRK64" s="21"/>
      <c r="BRL64" s="21"/>
      <c r="BRM64" s="21"/>
      <c r="BRN64" s="21"/>
      <c r="BRO64" s="21"/>
      <c r="BRP64" s="21"/>
      <c r="BRQ64" s="21"/>
      <c r="BRR64" s="21"/>
      <c r="BRS64" s="21"/>
      <c r="BRT64" s="21"/>
      <c r="BRU64" s="21"/>
      <c r="BRV64" s="21"/>
      <c r="BRW64" s="21"/>
      <c r="BRX64" s="21"/>
      <c r="BRY64" s="21"/>
      <c r="BRZ64" s="21"/>
      <c r="BSA64" s="21"/>
      <c r="BSB64" s="21"/>
      <c r="BSC64" s="21"/>
      <c r="BSD64" s="21"/>
      <c r="BSE64" s="21"/>
      <c r="BSF64" s="21"/>
      <c r="BSG64" s="21"/>
      <c r="BSH64" s="21"/>
      <c r="BSI64" s="21"/>
      <c r="BSJ64" s="21"/>
      <c r="BSK64" s="21"/>
      <c r="BSL64" s="21"/>
      <c r="BSM64" s="21"/>
      <c r="BSN64" s="21"/>
      <c r="BSO64" s="21"/>
      <c r="BSP64" s="21"/>
      <c r="BSQ64" s="21"/>
      <c r="BSR64" s="21"/>
      <c r="BSS64" s="21"/>
      <c r="BST64" s="21"/>
      <c r="BSU64" s="21"/>
      <c r="BSV64" s="21"/>
      <c r="BSW64" s="21"/>
      <c r="BSX64" s="21"/>
      <c r="BSY64" s="21"/>
      <c r="BSZ64" s="21"/>
      <c r="BTA64" s="21"/>
      <c r="BTB64" s="21"/>
      <c r="BTC64" s="21"/>
      <c r="BTD64" s="21"/>
      <c r="BTE64" s="21"/>
      <c r="BTF64" s="21"/>
      <c r="BTG64" s="21"/>
      <c r="BTH64" s="21"/>
      <c r="BTI64" s="21"/>
      <c r="BTJ64" s="21"/>
      <c r="BTK64" s="21"/>
      <c r="BTL64" s="21"/>
      <c r="BTM64" s="21"/>
      <c r="BTN64" s="21"/>
      <c r="BTO64" s="21"/>
      <c r="BTP64" s="21"/>
      <c r="BTQ64" s="21"/>
      <c r="BTR64" s="21"/>
      <c r="BTS64" s="21"/>
      <c r="BTT64" s="21"/>
      <c r="BTU64" s="21"/>
      <c r="BTV64" s="21"/>
      <c r="BTW64" s="21"/>
      <c r="BTX64" s="21"/>
      <c r="BTY64" s="21"/>
      <c r="BTZ64" s="21"/>
      <c r="BUA64" s="21"/>
      <c r="BUB64" s="21"/>
      <c r="BUC64" s="21"/>
      <c r="BUD64" s="21"/>
      <c r="BUE64" s="21"/>
      <c r="BUF64" s="21"/>
      <c r="BUG64" s="21"/>
      <c r="BUH64" s="21"/>
      <c r="BUI64" s="21"/>
      <c r="BUJ64" s="21"/>
      <c r="BUK64" s="21"/>
      <c r="BUL64" s="21"/>
      <c r="BUM64" s="21"/>
      <c r="BUN64" s="21"/>
      <c r="BUO64" s="21"/>
      <c r="BUP64" s="21"/>
      <c r="BUQ64" s="21"/>
      <c r="BUR64" s="21"/>
      <c r="BUS64" s="21"/>
      <c r="BUT64" s="21"/>
      <c r="BUU64" s="21"/>
      <c r="BUV64" s="21"/>
      <c r="BUW64" s="21"/>
      <c r="BUX64" s="21"/>
      <c r="BUY64" s="21"/>
      <c r="BUZ64" s="21"/>
      <c r="BVA64" s="21"/>
      <c r="BVB64" s="21"/>
      <c r="BVC64" s="21"/>
      <c r="BVD64" s="21"/>
      <c r="BVE64" s="21"/>
      <c r="BVF64" s="21"/>
      <c r="BVG64" s="21"/>
      <c r="BVH64" s="21"/>
      <c r="BVI64" s="21"/>
      <c r="BVJ64" s="21"/>
      <c r="BVK64" s="21"/>
      <c r="BVL64" s="21"/>
      <c r="BVM64" s="21"/>
      <c r="BVN64" s="21"/>
      <c r="BVO64" s="21"/>
      <c r="BVP64" s="21"/>
      <c r="BVQ64" s="21"/>
      <c r="BVR64" s="21"/>
      <c r="BVS64" s="21"/>
      <c r="BVT64" s="21"/>
      <c r="BVU64" s="21"/>
      <c r="BVV64" s="21"/>
      <c r="BVW64" s="21"/>
      <c r="BVX64" s="21"/>
      <c r="BVY64" s="21"/>
      <c r="BVZ64" s="21"/>
      <c r="BWA64" s="21"/>
      <c r="BWB64" s="21"/>
      <c r="BWC64" s="21"/>
      <c r="BWD64" s="21"/>
      <c r="BWE64" s="21"/>
      <c r="BWF64" s="21"/>
      <c r="BWG64" s="21"/>
      <c r="BWH64" s="21"/>
      <c r="BWI64" s="21"/>
      <c r="BWJ64" s="21"/>
      <c r="BWK64" s="21"/>
      <c r="BWL64" s="21"/>
      <c r="BWM64" s="21"/>
      <c r="BWN64" s="21"/>
      <c r="BWO64" s="21"/>
      <c r="BWP64" s="21"/>
      <c r="BWQ64" s="21"/>
      <c r="BWR64" s="21"/>
      <c r="BWS64" s="21"/>
      <c r="BWT64" s="21"/>
      <c r="BWU64" s="21"/>
      <c r="BWV64" s="21"/>
      <c r="BWW64" s="21"/>
      <c r="BWX64" s="21"/>
      <c r="BWY64" s="21"/>
      <c r="BWZ64" s="21"/>
      <c r="BXA64" s="21"/>
      <c r="BXB64" s="21"/>
      <c r="BXC64" s="21"/>
      <c r="BXD64" s="21"/>
      <c r="BXE64" s="21"/>
      <c r="BXF64" s="21"/>
      <c r="BXG64" s="21"/>
      <c r="BXH64" s="21"/>
      <c r="BXI64" s="21"/>
      <c r="BXJ64" s="21"/>
      <c r="BXK64" s="21"/>
      <c r="BXL64" s="21"/>
      <c r="BXM64" s="21"/>
      <c r="BXN64" s="21"/>
      <c r="BXO64" s="21"/>
      <c r="BXP64" s="21"/>
      <c r="BXQ64" s="21"/>
      <c r="BXR64" s="21"/>
      <c r="BXS64" s="21"/>
      <c r="BXT64" s="21"/>
      <c r="BXU64" s="21"/>
      <c r="BXV64" s="21"/>
      <c r="BXW64" s="21"/>
      <c r="BXX64" s="21"/>
      <c r="BXY64" s="21"/>
      <c r="BXZ64" s="21"/>
      <c r="BYA64" s="21"/>
      <c r="BYB64" s="21"/>
      <c r="BYC64" s="21"/>
      <c r="BYD64" s="21"/>
      <c r="BYE64" s="21"/>
      <c r="BYF64" s="21"/>
      <c r="BYG64" s="21"/>
      <c r="BYH64" s="21"/>
      <c r="BYI64" s="21"/>
      <c r="BYJ64" s="21"/>
      <c r="BYK64" s="21"/>
      <c r="BYL64" s="21"/>
      <c r="BYM64" s="21"/>
      <c r="BYN64" s="21"/>
      <c r="BYO64" s="21"/>
      <c r="BYP64" s="21"/>
      <c r="BYQ64" s="21"/>
      <c r="BYR64" s="21"/>
      <c r="BYS64" s="21"/>
      <c r="BYT64" s="21"/>
      <c r="BYU64" s="21"/>
      <c r="BYV64" s="21"/>
      <c r="BYW64" s="21"/>
      <c r="BYX64" s="21"/>
      <c r="BYY64" s="21"/>
      <c r="BYZ64" s="21"/>
      <c r="BZA64" s="21"/>
      <c r="BZB64" s="21"/>
      <c r="BZC64" s="21"/>
      <c r="BZD64" s="21"/>
      <c r="BZE64" s="21"/>
      <c r="BZF64" s="21"/>
      <c r="BZG64" s="21"/>
      <c r="BZH64" s="21"/>
      <c r="BZI64" s="21"/>
      <c r="BZJ64" s="21"/>
      <c r="BZK64" s="21"/>
      <c r="BZL64" s="21"/>
      <c r="BZM64" s="21"/>
      <c r="BZN64" s="21"/>
      <c r="BZO64" s="21"/>
      <c r="BZP64" s="21"/>
      <c r="BZQ64" s="21"/>
      <c r="BZR64" s="21"/>
      <c r="BZS64" s="21"/>
      <c r="BZT64" s="21"/>
      <c r="BZU64" s="21"/>
      <c r="BZV64" s="21"/>
      <c r="BZW64" s="21"/>
      <c r="BZX64" s="21"/>
      <c r="BZY64" s="21"/>
      <c r="BZZ64" s="21"/>
      <c r="CAA64" s="21"/>
      <c r="CAB64" s="21"/>
      <c r="CAC64" s="21"/>
      <c r="CAD64" s="21"/>
      <c r="CAE64" s="21"/>
      <c r="CAF64" s="21"/>
      <c r="CAG64" s="21"/>
      <c r="CAH64" s="21"/>
      <c r="CAI64" s="21"/>
      <c r="CAJ64" s="21"/>
      <c r="CAK64" s="21"/>
      <c r="CAL64" s="21"/>
      <c r="CAM64" s="21"/>
      <c r="CAN64" s="21"/>
      <c r="CAO64" s="21"/>
      <c r="CAP64" s="21"/>
      <c r="CAQ64" s="21"/>
      <c r="CAR64" s="21"/>
      <c r="CAS64" s="21"/>
      <c r="CAT64" s="21"/>
      <c r="CAU64" s="21"/>
      <c r="CAV64" s="21"/>
      <c r="CAW64" s="21"/>
      <c r="CAX64" s="21"/>
      <c r="CAY64" s="21"/>
      <c r="CAZ64" s="21"/>
      <c r="CBA64" s="21"/>
      <c r="CBB64" s="21"/>
      <c r="CBC64" s="21"/>
      <c r="CBD64" s="21"/>
      <c r="CBE64" s="21"/>
      <c r="CBF64" s="21"/>
      <c r="CBG64" s="21"/>
      <c r="CBH64" s="21"/>
      <c r="CBI64" s="21"/>
      <c r="CBJ64" s="21"/>
      <c r="CBK64" s="21"/>
      <c r="CBL64" s="21"/>
      <c r="CBM64" s="21"/>
      <c r="CBN64" s="21"/>
      <c r="CBO64" s="21"/>
      <c r="CBP64" s="21"/>
      <c r="CBQ64" s="21"/>
      <c r="CBR64" s="21"/>
      <c r="CBS64" s="21"/>
      <c r="CBT64" s="21"/>
      <c r="CBU64" s="21"/>
      <c r="CBV64" s="21"/>
      <c r="CBW64" s="21"/>
      <c r="CBX64" s="21"/>
      <c r="CBY64" s="21"/>
      <c r="CBZ64" s="21"/>
      <c r="CCA64" s="21"/>
      <c r="CCB64" s="21"/>
      <c r="CCC64" s="21"/>
      <c r="CCD64" s="21"/>
      <c r="CCE64" s="21"/>
      <c r="CCF64" s="21"/>
      <c r="CCG64" s="21"/>
      <c r="CCH64" s="21"/>
      <c r="CCI64" s="21"/>
      <c r="CCJ64" s="21"/>
      <c r="CCK64" s="21"/>
      <c r="CCL64" s="21"/>
      <c r="CCM64" s="21"/>
      <c r="CCN64" s="21"/>
      <c r="CCO64" s="21"/>
      <c r="CCP64" s="21"/>
      <c r="CCQ64" s="21"/>
      <c r="CCR64" s="21"/>
      <c r="CCS64" s="21"/>
      <c r="CCT64" s="21"/>
      <c r="CCU64" s="21"/>
      <c r="CCV64" s="21"/>
      <c r="CCW64" s="21"/>
      <c r="CCX64" s="21"/>
      <c r="CCY64" s="21"/>
      <c r="CCZ64" s="21"/>
      <c r="CDA64" s="21"/>
      <c r="CDB64" s="21"/>
      <c r="CDC64" s="21"/>
      <c r="CDD64" s="21"/>
      <c r="CDE64" s="21"/>
      <c r="CDF64" s="21"/>
      <c r="CDG64" s="21"/>
      <c r="CDH64" s="21"/>
      <c r="CDI64" s="21"/>
      <c r="CDJ64" s="21"/>
      <c r="CDK64" s="21"/>
      <c r="CDL64" s="21"/>
      <c r="CDM64" s="21"/>
      <c r="CDN64" s="21"/>
      <c r="CDO64" s="21"/>
      <c r="CDP64" s="21"/>
      <c r="CDQ64" s="21"/>
      <c r="CDR64" s="21"/>
      <c r="CDS64" s="21"/>
      <c r="CDT64" s="21"/>
      <c r="CDU64" s="21"/>
      <c r="CDV64" s="21"/>
      <c r="CDW64" s="21"/>
      <c r="CDX64" s="21"/>
      <c r="CDY64" s="21"/>
      <c r="CDZ64" s="21"/>
      <c r="CEA64" s="21"/>
      <c r="CEB64" s="21"/>
      <c r="CEC64" s="21"/>
      <c r="CED64" s="21"/>
      <c r="CEE64" s="21"/>
      <c r="CEF64" s="21"/>
      <c r="CEG64" s="21"/>
      <c r="CEH64" s="21"/>
      <c r="CEI64" s="21"/>
      <c r="CEJ64" s="21"/>
      <c r="CEK64" s="21"/>
      <c r="CEL64" s="21"/>
      <c r="CEM64" s="21"/>
      <c r="CEN64" s="21"/>
      <c r="CEO64" s="21"/>
      <c r="CEP64" s="21"/>
      <c r="CEQ64" s="21"/>
      <c r="CER64" s="21"/>
      <c r="CES64" s="21"/>
      <c r="CET64" s="21"/>
      <c r="CEU64" s="21"/>
      <c r="CEV64" s="21"/>
      <c r="CEW64" s="21"/>
      <c r="CEX64" s="21"/>
      <c r="CEY64" s="21"/>
      <c r="CEZ64" s="21"/>
      <c r="CFA64" s="21"/>
      <c r="CFB64" s="21"/>
      <c r="CFC64" s="21"/>
      <c r="CFD64" s="21"/>
      <c r="CFE64" s="21"/>
      <c r="CFF64" s="21"/>
      <c r="CFG64" s="21"/>
      <c r="CFH64" s="21"/>
      <c r="CFI64" s="21"/>
      <c r="CFJ64" s="21"/>
      <c r="CFK64" s="21"/>
      <c r="CFL64" s="21"/>
      <c r="CFM64" s="21"/>
      <c r="CFN64" s="21"/>
      <c r="CFO64" s="21"/>
      <c r="CFP64" s="21"/>
      <c r="CFQ64" s="21"/>
      <c r="CFR64" s="21"/>
      <c r="CFS64" s="21"/>
      <c r="CFT64" s="21"/>
      <c r="CFU64" s="21"/>
      <c r="CFV64" s="21"/>
      <c r="CFW64" s="21"/>
      <c r="CFX64" s="21"/>
      <c r="CFY64" s="21"/>
      <c r="CFZ64" s="21"/>
      <c r="CGA64" s="21"/>
      <c r="CGB64" s="21"/>
      <c r="CGC64" s="21"/>
      <c r="CGD64" s="21"/>
      <c r="CGE64" s="21"/>
      <c r="CGF64" s="21"/>
      <c r="CGG64" s="21"/>
      <c r="CGH64" s="21"/>
      <c r="CGI64" s="21"/>
      <c r="CGJ64" s="21"/>
      <c r="CGK64" s="21"/>
      <c r="CGL64" s="21"/>
      <c r="CGM64" s="21"/>
      <c r="CGN64" s="21"/>
      <c r="CGO64" s="21"/>
      <c r="CGP64" s="21"/>
      <c r="CGQ64" s="21"/>
      <c r="CGR64" s="21"/>
      <c r="CGS64" s="21"/>
      <c r="CGT64" s="21"/>
      <c r="CGU64" s="21"/>
      <c r="CGV64" s="21"/>
      <c r="CGW64" s="21"/>
      <c r="CGX64" s="21"/>
      <c r="CGY64" s="21"/>
      <c r="CGZ64" s="21"/>
      <c r="CHA64" s="21"/>
      <c r="CHB64" s="21"/>
      <c r="CHC64" s="21"/>
      <c r="CHD64" s="21"/>
      <c r="CHE64" s="21"/>
      <c r="CHF64" s="21"/>
      <c r="CHG64" s="21"/>
      <c r="CHH64" s="21"/>
      <c r="CHI64" s="21"/>
      <c r="CHJ64" s="21"/>
      <c r="CHK64" s="21"/>
      <c r="CHL64" s="21"/>
      <c r="CHM64" s="21"/>
      <c r="CHN64" s="21"/>
      <c r="CHO64" s="21"/>
      <c r="CHP64" s="21"/>
      <c r="CHQ64" s="21"/>
      <c r="CHR64" s="21"/>
      <c r="CHS64" s="21"/>
      <c r="CHT64" s="21"/>
      <c r="CHU64" s="21"/>
      <c r="CHV64" s="21"/>
      <c r="CHW64" s="21"/>
      <c r="CHX64" s="21"/>
      <c r="CHY64" s="21"/>
      <c r="CHZ64" s="21"/>
      <c r="CIA64" s="21"/>
      <c r="CIB64" s="21"/>
      <c r="CIC64" s="21"/>
      <c r="CID64" s="21"/>
      <c r="CIE64" s="21"/>
      <c r="CIF64" s="21"/>
      <c r="CIG64" s="21"/>
      <c r="CIH64" s="21"/>
      <c r="CII64" s="21"/>
      <c r="CIJ64" s="21"/>
      <c r="CIK64" s="21"/>
      <c r="CIL64" s="21"/>
      <c r="CIM64" s="21"/>
      <c r="CIN64" s="21"/>
      <c r="CIO64" s="21"/>
      <c r="CIP64" s="21"/>
      <c r="CIQ64" s="21"/>
      <c r="CIR64" s="21"/>
      <c r="CIS64" s="21"/>
      <c r="CIT64" s="21"/>
      <c r="CIU64" s="21"/>
      <c r="CIV64" s="21"/>
      <c r="CIW64" s="21"/>
      <c r="CIX64" s="21"/>
      <c r="CIY64" s="21"/>
      <c r="CIZ64" s="21"/>
      <c r="CJA64" s="21"/>
      <c r="CJB64" s="21"/>
      <c r="CJC64" s="21"/>
      <c r="CJD64" s="21"/>
      <c r="CJE64" s="21"/>
      <c r="CJF64" s="21"/>
      <c r="CJG64" s="21"/>
      <c r="CJH64" s="21"/>
      <c r="CJI64" s="21"/>
      <c r="CJJ64" s="21"/>
      <c r="CJK64" s="21"/>
      <c r="CJL64" s="21"/>
      <c r="CJM64" s="21"/>
      <c r="CJN64" s="21"/>
      <c r="CJO64" s="21"/>
      <c r="CJP64" s="21"/>
      <c r="CJQ64" s="21"/>
      <c r="CJR64" s="21"/>
      <c r="CJS64" s="21"/>
      <c r="CJT64" s="21"/>
      <c r="CJU64" s="21"/>
      <c r="CJV64" s="21"/>
      <c r="CJW64" s="21"/>
      <c r="CJX64" s="21"/>
      <c r="CJY64" s="21"/>
      <c r="CJZ64" s="21"/>
      <c r="CKA64" s="21"/>
      <c r="CKB64" s="21"/>
      <c r="CKC64" s="21"/>
      <c r="CKD64" s="21"/>
      <c r="CKE64" s="21"/>
      <c r="CKF64" s="21"/>
      <c r="CKG64" s="21"/>
      <c r="CKH64" s="21"/>
      <c r="CKI64" s="21"/>
      <c r="CKJ64" s="21"/>
      <c r="CKK64" s="21"/>
      <c r="CKL64" s="21"/>
      <c r="CKM64" s="21"/>
      <c r="CKN64" s="21"/>
      <c r="CKO64" s="21"/>
      <c r="CKP64" s="21"/>
      <c r="CKQ64" s="21"/>
      <c r="CKR64" s="21"/>
      <c r="CKS64" s="21"/>
      <c r="CKT64" s="21"/>
      <c r="CKU64" s="21"/>
      <c r="CKV64" s="21"/>
      <c r="CKW64" s="21"/>
      <c r="CKX64" s="21"/>
      <c r="CKY64" s="21"/>
      <c r="CKZ64" s="21"/>
      <c r="CLA64" s="21"/>
      <c r="CLB64" s="21"/>
      <c r="CLC64" s="21"/>
      <c r="CLD64" s="21"/>
      <c r="CLE64" s="21"/>
      <c r="CLF64" s="21"/>
      <c r="CLG64" s="21"/>
      <c r="CLH64" s="21"/>
      <c r="CLI64" s="21"/>
      <c r="CLJ64" s="21"/>
      <c r="CLK64" s="21"/>
      <c r="CLL64" s="21"/>
      <c r="CLM64" s="21"/>
      <c r="CLN64" s="21"/>
      <c r="CLO64" s="21"/>
      <c r="CLP64" s="21"/>
      <c r="CLQ64" s="21"/>
      <c r="CLR64" s="21"/>
      <c r="CLS64" s="21"/>
      <c r="CLT64" s="21"/>
      <c r="CLU64" s="21"/>
      <c r="CLV64" s="21"/>
      <c r="CLW64" s="21"/>
      <c r="CLX64" s="21"/>
      <c r="CLY64" s="21"/>
      <c r="CLZ64" s="21"/>
      <c r="CMA64" s="21"/>
      <c r="CMB64" s="21"/>
      <c r="CMC64" s="21"/>
      <c r="CMD64" s="21"/>
      <c r="CME64" s="21"/>
      <c r="CMF64" s="21"/>
      <c r="CMG64" s="21"/>
      <c r="CMH64" s="21"/>
      <c r="CMI64" s="21"/>
      <c r="CMJ64" s="21"/>
      <c r="CMK64" s="21"/>
      <c r="CML64" s="21"/>
      <c r="CMM64" s="21"/>
      <c r="CMN64" s="21"/>
      <c r="CMO64" s="21"/>
      <c r="CMP64" s="21"/>
      <c r="CMQ64" s="21"/>
      <c r="CMR64" s="21"/>
      <c r="CMS64" s="21"/>
      <c r="CMT64" s="21"/>
      <c r="CMU64" s="21"/>
      <c r="CMV64" s="21"/>
      <c r="CMW64" s="21"/>
      <c r="CMX64" s="21"/>
      <c r="CMY64" s="21"/>
      <c r="CMZ64" s="21"/>
      <c r="CNA64" s="21"/>
      <c r="CNB64" s="21"/>
      <c r="CNC64" s="21"/>
      <c r="CND64" s="21"/>
      <c r="CNE64" s="21"/>
      <c r="CNF64" s="21"/>
      <c r="CNG64" s="21"/>
      <c r="CNH64" s="21"/>
      <c r="CNI64" s="21"/>
      <c r="CNJ64" s="21"/>
      <c r="CNK64" s="21"/>
      <c r="CNL64" s="21"/>
      <c r="CNM64" s="21"/>
      <c r="CNN64" s="21"/>
      <c r="CNO64" s="21"/>
      <c r="CNP64" s="21"/>
      <c r="CNQ64" s="21"/>
      <c r="CNR64" s="21"/>
      <c r="CNS64" s="21"/>
      <c r="CNT64" s="21"/>
      <c r="CNU64" s="21"/>
      <c r="CNV64" s="21"/>
      <c r="CNW64" s="21"/>
      <c r="CNX64" s="21"/>
      <c r="CNY64" s="21"/>
      <c r="CNZ64" s="21"/>
      <c r="COA64" s="21"/>
      <c r="COB64" s="21"/>
      <c r="COC64" s="21"/>
      <c r="COD64" s="21"/>
      <c r="COE64" s="21"/>
      <c r="COF64" s="21"/>
      <c r="COG64" s="21"/>
      <c r="COH64" s="21"/>
      <c r="COI64" s="21"/>
      <c r="COJ64" s="21"/>
      <c r="COK64" s="21"/>
      <c r="COL64" s="21"/>
      <c r="COM64" s="21"/>
      <c r="CON64" s="21"/>
      <c r="COO64" s="21"/>
      <c r="COP64" s="21"/>
      <c r="COQ64" s="21"/>
      <c r="COR64" s="21"/>
      <c r="COS64" s="21"/>
      <c r="COT64" s="21"/>
      <c r="COU64" s="21"/>
      <c r="COV64" s="21"/>
      <c r="COW64" s="21"/>
      <c r="COX64" s="21"/>
      <c r="COY64" s="21"/>
      <c r="COZ64" s="21"/>
      <c r="CPA64" s="21"/>
      <c r="CPB64" s="21"/>
      <c r="CPC64" s="21"/>
      <c r="CPD64" s="21"/>
      <c r="CPE64" s="21"/>
      <c r="CPF64" s="21"/>
      <c r="CPG64" s="21"/>
      <c r="CPH64" s="21"/>
      <c r="CPI64" s="21"/>
      <c r="CPJ64" s="21"/>
      <c r="CPK64" s="21"/>
      <c r="CPL64" s="21"/>
      <c r="CPM64" s="21"/>
      <c r="CPN64" s="21"/>
      <c r="CPO64" s="21"/>
      <c r="CPP64" s="21"/>
      <c r="CPQ64" s="21"/>
      <c r="CPR64" s="21"/>
      <c r="CPS64" s="21"/>
      <c r="CPT64" s="21"/>
      <c r="CPU64" s="21"/>
      <c r="CPV64" s="21"/>
      <c r="CPW64" s="21"/>
      <c r="CPX64" s="21"/>
      <c r="CPY64" s="21"/>
      <c r="CPZ64" s="21"/>
      <c r="CQA64" s="21"/>
      <c r="CQB64" s="21"/>
      <c r="CQC64" s="21"/>
      <c r="CQD64" s="21"/>
      <c r="CQE64" s="21"/>
      <c r="CQF64" s="21"/>
      <c r="CQG64" s="21"/>
      <c r="CQH64" s="21"/>
      <c r="CQI64" s="21"/>
      <c r="CQJ64" s="21"/>
      <c r="CQK64" s="21"/>
      <c r="CQL64" s="21"/>
      <c r="CQM64" s="21"/>
      <c r="CQN64" s="21"/>
      <c r="CQO64" s="21"/>
      <c r="CQP64" s="21"/>
      <c r="CQQ64" s="21"/>
      <c r="CQR64" s="21"/>
      <c r="CQS64" s="21"/>
      <c r="CQT64" s="21"/>
      <c r="CQU64" s="21"/>
      <c r="CQV64" s="21"/>
      <c r="CQW64" s="21"/>
      <c r="CQX64" s="21"/>
      <c r="CQY64" s="21"/>
      <c r="CQZ64" s="21"/>
      <c r="CRA64" s="21"/>
      <c r="CRB64" s="21"/>
      <c r="CRC64" s="21"/>
      <c r="CRD64" s="21"/>
      <c r="CRE64" s="21"/>
      <c r="CRF64" s="21"/>
      <c r="CRG64" s="21"/>
      <c r="CRH64" s="21"/>
      <c r="CRI64" s="21"/>
      <c r="CRJ64" s="21"/>
      <c r="CRK64" s="21"/>
      <c r="CRL64" s="21"/>
      <c r="CRM64" s="21"/>
      <c r="CRN64" s="21"/>
      <c r="CRO64" s="21"/>
      <c r="CRP64" s="21"/>
      <c r="CRQ64" s="21"/>
      <c r="CRR64" s="21"/>
      <c r="CRS64" s="21"/>
      <c r="CRT64" s="21"/>
      <c r="CRU64" s="21"/>
      <c r="CRV64" s="21"/>
      <c r="CRW64" s="21"/>
      <c r="CRX64" s="21"/>
      <c r="CRY64" s="21"/>
      <c r="CRZ64" s="21"/>
      <c r="CSA64" s="21"/>
      <c r="CSB64" s="21"/>
      <c r="CSC64" s="21"/>
      <c r="CSD64" s="21"/>
      <c r="CSE64" s="21"/>
      <c r="CSF64" s="21"/>
      <c r="CSG64" s="21"/>
      <c r="CSH64" s="21"/>
      <c r="CSI64" s="21"/>
      <c r="CSJ64" s="21"/>
      <c r="CSK64" s="21"/>
      <c r="CSL64" s="21"/>
      <c r="CSM64" s="21"/>
      <c r="CSN64" s="21"/>
      <c r="CSO64" s="21"/>
      <c r="CSP64" s="21"/>
      <c r="CSQ64" s="21"/>
      <c r="CSR64" s="21"/>
      <c r="CSS64" s="21"/>
      <c r="CST64" s="21"/>
      <c r="CSU64" s="21"/>
      <c r="CSV64" s="21"/>
      <c r="CSW64" s="21"/>
      <c r="CSX64" s="21"/>
      <c r="CSY64" s="21"/>
      <c r="CSZ64" s="21"/>
      <c r="CTA64" s="21"/>
      <c r="CTB64" s="21"/>
      <c r="CTC64" s="21"/>
      <c r="CTD64" s="21"/>
      <c r="CTE64" s="21"/>
      <c r="CTF64" s="21"/>
      <c r="CTG64" s="21"/>
      <c r="CTH64" s="21"/>
      <c r="CTI64" s="21"/>
      <c r="CTJ64" s="21"/>
      <c r="CTK64" s="21"/>
      <c r="CTL64" s="21"/>
      <c r="CTM64" s="21"/>
      <c r="CTN64" s="21"/>
      <c r="CTO64" s="21"/>
      <c r="CTP64" s="21"/>
      <c r="CTQ64" s="21"/>
      <c r="CTR64" s="21"/>
      <c r="CTS64" s="21"/>
      <c r="CTT64" s="21"/>
      <c r="CTU64" s="21"/>
      <c r="CTV64" s="21"/>
      <c r="CTW64" s="21"/>
      <c r="CTX64" s="21"/>
      <c r="CTY64" s="21"/>
      <c r="CTZ64" s="21"/>
      <c r="CUA64" s="21"/>
      <c r="CUB64" s="21"/>
      <c r="CUC64" s="21"/>
      <c r="CUD64" s="21"/>
      <c r="CUE64" s="21"/>
      <c r="CUF64" s="21"/>
      <c r="CUG64" s="21"/>
      <c r="CUH64" s="21"/>
      <c r="CUI64" s="21"/>
      <c r="CUJ64" s="21"/>
      <c r="CUK64" s="21"/>
      <c r="CUL64" s="21"/>
      <c r="CUM64" s="21"/>
      <c r="CUN64" s="21"/>
      <c r="CUO64" s="21"/>
      <c r="CUP64" s="21"/>
      <c r="CUQ64" s="21"/>
      <c r="CUR64" s="21"/>
      <c r="CUS64" s="21"/>
      <c r="CUT64" s="21"/>
      <c r="CUU64" s="21"/>
      <c r="CUV64" s="21"/>
      <c r="CUW64" s="21"/>
      <c r="CUX64" s="21"/>
      <c r="CUY64" s="21"/>
      <c r="CUZ64" s="21"/>
      <c r="CVA64" s="21"/>
      <c r="CVB64" s="21"/>
      <c r="CVC64" s="21"/>
      <c r="CVD64" s="21"/>
      <c r="CVE64" s="21"/>
      <c r="CVF64" s="21"/>
      <c r="CVG64" s="21"/>
      <c r="CVH64" s="21"/>
      <c r="CVI64" s="21"/>
      <c r="CVJ64" s="21"/>
      <c r="CVK64" s="21"/>
      <c r="CVL64" s="21"/>
      <c r="CVM64" s="21"/>
      <c r="CVN64" s="21"/>
      <c r="CVO64" s="21"/>
      <c r="CVP64" s="21"/>
      <c r="CVQ64" s="21"/>
      <c r="CVR64" s="21"/>
      <c r="CVS64" s="21"/>
      <c r="CVT64" s="21"/>
      <c r="CVU64" s="21"/>
      <c r="CVV64" s="21"/>
      <c r="CVW64" s="21"/>
      <c r="CVX64" s="21"/>
      <c r="CVY64" s="21"/>
      <c r="CVZ64" s="21"/>
      <c r="CWA64" s="21"/>
      <c r="CWB64" s="21"/>
      <c r="CWC64" s="21"/>
      <c r="CWD64" s="21"/>
      <c r="CWE64" s="21"/>
      <c r="CWF64" s="21"/>
      <c r="CWG64" s="21"/>
      <c r="CWH64" s="21"/>
      <c r="CWI64" s="21"/>
      <c r="CWJ64" s="21"/>
      <c r="CWK64" s="21"/>
      <c r="CWL64" s="21"/>
      <c r="CWM64" s="21"/>
      <c r="CWN64" s="21"/>
      <c r="CWO64" s="21"/>
      <c r="CWP64" s="21"/>
      <c r="CWQ64" s="21"/>
      <c r="CWR64" s="21"/>
      <c r="CWS64" s="21"/>
      <c r="CWT64" s="21"/>
      <c r="CWU64" s="21"/>
      <c r="CWV64" s="21"/>
      <c r="CWW64" s="21"/>
      <c r="CWX64" s="21"/>
      <c r="CWY64" s="21"/>
      <c r="CWZ64" s="21"/>
      <c r="CXA64" s="21"/>
      <c r="CXB64" s="21"/>
      <c r="CXC64" s="21"/>
      <c r="CXD64" s="21"/>
      <c r="CXE64" s="21"/>
      <c r="CXF64" s="21"/>
      <c r="CXG64" s="21"/>
      <c r="CXH64" s="21"/>
      <c r="CXI64" s="21"/>
      <c r="CXJ64" s="21"/>
      <c r="CXK64" s="21"/>
      <c r="CXL64" s="21"/>
      <c r="CXM64" s="21"/>
      <c r="CXN64" s="21"/>
      <c r="CXO64" s="21"/>
      <c r="CXP64" s="21"/>
      <c r="CXQ64" s="21"/>
      <c r="CXR64" s="21"/>
      <c r="CXS64" s="21"/>
      <c r="CXT64" s="21"/>
      <c r="CXU64" s="21"/>
      <c r="CXV64" s="21"/>
      <c r="CXW64" s="21"/>
      <c r="CXX64" s="21"/>
      <c r="CXY64" s="21"/>
      <c r="CXZ64" s="21"/>
      <c r="CYA64" s="21"/>
      <c r="CYB64" s="21"/>
      <c r="CYC64" s="21"/>
      <c r="CYD64" s="21"/>
      <c r="CYE64" s="21"/>
      <c r="CYF64" s="21"/>
      <c r="CYG64" s="21"/>
      <c r="CYH64" s="21"/>
      <c r="CYI64" s="21"/>
      <c r="CYJ64" s="21"/>
      <c r="CYK64" s="21"/>
      <c r="CYL64" s="21"/>
      <c r="CYM64" s="21"/>
      <c r="CYN64" s="21"/>
      <c r="CYO64" s="21"/>
      <c r="CYP64" s="21"/>
      <c r="CYQ64" s="21"/>
      <c r="CYR64" s="21"/>
      <c r="CYS64" s="21"/>
      <c r="CYT64" s="21"/>
      <c r="CYU64" s="21"/>
      <c r="CYV64" s="21"/>
      <c r="CYW64" s="21"/>
      <c r="CYX64" s="21"/>
      <c r="CYY64" s="21"/>
      <c r="CYZ64" s="21"/>
      <c r="CZA64" s="21"/>
      <c r="CZB64" s="21"/>
      <c r="CZC64" s="21"/>
      <c r="CZD64" s="21"/>
      <c r="CZE64" s="21"/>
      <c r="CZF64" s="21"/>
      <c r="CZG64" s="21"/>
      <c r="CZH64" s="21"/>
      <c r="CZI64" s="21"/>
      <c r="CZJ64" s="21"/>
      <c r="CZK64" s="21"/>
      <c r="CZL64" s="21"/>
      <c r="CZM64" s="21"/>
      <c r="CZN64" s="21"/>
      <c r="CZO64" s="21"/>
      <c r="CZP64" s="21"/>
      <c r="CZQ64" s="21"/>
      <c r="CZR64" s="21"/>
      <c r="CZS64" s="21"/>
      <c r="CZT64" s="21"/>
      <c r="CZU64" s="21"/>
      <c r="CZV64" s="21"/>
      <c r="CZW64" s="21"/>
      <c r="CZX64" s="21"/>
      <c r="CZY64" s="21"/>
      <c r="CZZ64" s="21"/>
      <c r="DAA64" s="21"/>
      <c r="DAB64" s="21"/>
      <c r="DAC64" s="21"/>
      <c r="DAD64" s="21"/>
      <c r="DAE64" s="21"/>
      <c r="DAF64" s="21"/>
      <c r="DAG64" s="21"/>
      <c r="DAH64" s="21"/>
      <c r="DAI64" s="21"/>
      <c r="DAJ64" s="21"/>
      <c r="DAK64" s="21"/>
      <c r="DAL64" s="21"/>
      <c r="DAM64" s="21"/>
      <c r="DAN64" s="21"/>
      <c r="DAO64" s="21"/>
      <c r="DAP64" s="21"/>
      <c r="DAQ64" s="21"/>
      <c r="DAR64" s="21"/>
      <c r="DAS64" s="21"/>
      <c r="DAT64" s="21"/>
      <c r="DAU64" s="21"/>
      <c r="DAV64" s="21"/>
      <c r="DAW64" s="21"/>
      <c r="DAX64" s="21"/>
      <c r="DAY64" s="21"/>
      <c r="DAZ64" s="21"/>
      <c r="DBA64" s="21"/>
      <c r="DBB64" s="21"/>
      <c r="DBC64" s="21"/>
      <c r="DBD64" s="21"/>
      <c r="DBE64" s="21"/>
      <c r="DBF64" s="21"/>
      <c r="DBG64" s="21"/>
      <c r="DBH64" s="21"/>
      <c r="DBI64" s="21"/>
      <c r="DBJ64" s="21"/>
      <c r="DBK64" s="21"/>
      <c r="DBL64" s="21"/>
      <c r="DBM64" s="21"/>
      <c r="DBN64" s="21"/>
      <c r="DBO64" s="21"/>
      <c r="DBP64" s="21"/>
      <c r="DBQ64" s="21"/>
      <c r="DBR64" s="21"/>
      <c r="DBS64" s="21"/>
      <c r="DBT64" s="21"/>
      <c r="DBU64" s="21"/>
      <c r="DBV64" s="21"/>
      <c r="DBW64" s="21"/>
      <c r="DBX64" s="21"/>
      <c r="DBY64" s="21"/>
      <c r="DBZ64" s="21"/>
      <c r="DCA64" s="21"/>
      <c r="DCB64" s="21"/>
      <c r="DCC64" s="21"/>
      <c r="DCD64" s="21"/>
      <c r="DCE64" s="21"/>
      <c r="DCF64" s="21"/>
      <c r="DCG64" s="21"/>
      <c r="DCH64" s="21"/>
      <c r="DCI64" s="21"/>
      <c r="DCJ64" s="21"/>
      <c r="DCK64" s="21"/>
      <c r="DCL64" s="21"/>
      <c r="DCM64" s="21"/>
      <c r="DCN64" s="21"/>
      <c r="DCO64" s="21"/>
      <c r="DCP64" s="21"/>
      <c r="DCQ64" s="21"/>
      <c r="DCR64" s="21"/>
      <c r="DCS64" s="21"/>
      <c r="DCT64" s="21"/>
      <c r="DCU64" s="21"/>
      <c r="DCV64" s="21"/>
      <c r="DCW64" s="21"/>
      <c r="DCX64" s="21"/>
      <c r="DCY64" s="21"/>
      <c r="DCZ64" s="21"/>
      <c r="DDA64" s="21"/>
      <c r="DDB64" s="21"/>
      <c r="DDC64" s="21"/>
      <c r="DDD64" s="21"/>
      <c r="DDE64" s="21"/>
      <c r="DDF64" s="21"/>
      <c r="DDG64" s="21"/>
      <c r="DDH64" s="21"/>
      <c r="DDI64" s="21"/>
      <c r="DDJ64" s="21"/>
      <c r="DDK64" s="21"/>
      <c r="DDL64" s="21"/>
      <c r="DDM64" s="21"/>
      <c r="DDN64" s="21"/>
      <c r="DDO64" s="21"/>
      <c r="DDP64" s="21"/>
      <c r="DDQ64" s="21"/>
      <c r="DDR64" s="21"/>
      <c r="DDS64" s="21"/>
      <c r="DDT64" s="21"/>
      <c r="DDU64" s="21"/>
      <c r="DDV64" s="21"/>
      <c r="DDW64" s="21"/>
      <c r="DDX64" s="21"/>
      <c r="DDY64" s="21"/>
      <c r="DDZ64" s="21"/>
      <c r="DEA64" s="21"/>
      <c r="DEB64" s="21"/>
      <c r="DEC64" s="21"/>
      <c r="DED64" s="21"/>
      <c r="DEE64" s="21"/>
      <c r="DEF64" s="21"/>
      <c r="DEG64" s="21"/>
      <c r="DEH64" s="21"/>
      <c r="DEI64" s="21"/>
      <c r="DEJ64" s="21"/>
      <c r="DEK64" s="21"/>
      <c r="DEL64" s="21"/>
      <c r="DEM64" s="21"/>
      <c r="DEN64" s="21"/>
      <c r="DEO64" s="21"/>
      <c r="DEP64" s="21"/>
      <c r="DEQ64" s="21"/>
      <c r="DER64" s="21"/>
      <c r="DES64" s="21"/>
      <c r="DET64" s="21"/>
      <c r="DEU64" s="21"/>
      <c r="DEV64" s="21"/>
      <c r="DEW64" s="21"/>
      <c r="DEX64" s="21"/>
      <c r="DEY64" s="21"/>
      <c r="DEZ64" s="21"/>
      <c r="DFA64" s="21"/>
      <c r="DFB64" s="21"/>
      <c r="DFC64" s="21"/>
      <c r="DFD64" s="21"/>
      <c r="DFE64" s="21"/>
      <c r="DFF64" s="21"/>
      <c r="DFG64" s="21"/>
      <c r="DFH64" s="21"/>
      <c r="DFI64" s="21"/>
      <c r="DFJ64" s="21"/>
      <c r="DFK64" s="21"/>
      <c r="DFL64" s="21"/>
      <c r="DFM64" s="21"/>
      <c r="DFN64" s="21"/>
      <c r="DFO64" s="21"/>
      <c r="DFP64" s="21"/>
      <c r="DFQ64" s="21"/>
      <c r="DFR64" s="21"/>
      <c r="DFS64" s="21"/>
      <c r="DFT64" s="21"/>
      <c r="DFU64" s="21"/>
      <c r="DFV64" s="21"/>
      <c r="DFW64" s="21"/>
      <c r="DFX64" s="21"/>
      <c r="DFY64" s="21"/>
      <c r="DFZ64" s="21"/>
      <c r="DGA64" s="21"/>
      <c r="DGB64" s="21"/>
      <c r="DGC64" s="21"/>
      <c r="DGD64" s="21"/>
      <c r="DGE64" s="21"/>
      <c r="DGF64" s="21"/>
      <c r="DGG64" s="21"/>
      <c r="DGH64" s="21"/>
      <c r="DGI64" s="21"/>
      <c r="DGJ64" s="21"/>
      <c r="DGK64" s="21"/>
      <c r="DGL64" s="21"/>
      <c r="DGM64" s="21"/>
      <c r="DGN64" s="21"/>
      <c r="DGO64" s="21"/>
      <c r="DGP64" s="21"/>
      <c r="DGQ64" s="21"/>
      <c r="DGR64" s="21"/>
      <c r="DGS64" s="21"/>
      <c r="DGT64" s="21"/>
      <c r="DGU64" s="21"/>
      <c r="DGV64" s="21"/>
      <c r="DGW64" s="21"/>
      <c r="DGX64" s="21"/>
      <c r="DGY64" s="21"/>
      <c r="DGZ64" s="21"/>
      <c r="DHA64" s="21"/>
      <c r="DHB64" s="21"/>
      <c r="DHC64" s="21"/>
      <c r="DHD64" s="21"/>
      <c r="DHE64" s="21"/>
      <c r="DHF64" s="21"/>
      <c r="DHG64" s="21"/>
      <c r="DHH64" s="21"/>
      <c r="DHI64" s="21"/>
      <c r="DHJ64" s="21"/>
      <c r="DHK64" s="21"/>
      <c r="DHL64" s="21"/>
      <c r="DHM64" s="21"/>
      <c r="DHN64" s="21"/>
      <c r="DHO64" s="21"/>
      <c r="DHP64" s="21"/>
      <c r="DHQ64" s="21"/>
      <c r="DHR64" s="21"/>
      <c r="DHS64" s="21"/>
      <c r="DHT64" s="21"/>
      <c r="DHU64" s="21"/>
      <c r="DHV64" s="21"/>
      <c r="DHW64" s="21"/>
      <c r="DHX64" s="21"/>
      <c r="DHY64" s="21"/>
      <c r="DHZ64" s="21"/>
      <c r="DIA64" s="21"/>
      <c r="DIB64" s="21"/>
      <c r="DIC64" s="21"/>
      <c r="DID64" s="21"/>
      <c r="DIE64" s="21"/>
      <c r="DIF64" s="21"/>
      <c r="DIG64" s="21"/>
      <c r="DIH64" s="21"/>
      <c r="DII64" s="21"/>
      <c r="DIJ64" s="21"/>
      <c r="DIK64" s="21"/>
      <c r="DIL64" s="21"/>
      <c r="DIM64" s="21"/>
      <c r="DIN64" s="21"/>
      <c r="DIO64" s="21"/>
      <c r="DIP64" s="21"/>
      <c r="DIQ64" s="21"/>
      <c r="DIR64" s="21"/>
      <c r="DIS64" s="21"/>
      <c r="DIT64" s="21"/>
      <c r="DIU64" s="21"/>
      <c r="DIV64" s="21"/>
      <c r="DIW64" s="21"/>
      <c r="DIX64" s="21"/>
      <c r="DIY64" s="21"/>
      <c r="DIZ64" s="21"/>
      <c r="DJA64" s="21"/>
      <c r="DJB64" s="21"/>
      <c r="DJC64" s="21"/>
      <c r="DJD64" s="21"/>
      <c r="DJE64" s="21"/>
      <c r="DJF64" s="21"/>
      <c r="DJG64" s="21"/>
      <c r="DJH64" s="21"/>
      <c r="DJI64" s="21"/>
      <c r="DJJ64" s="21"/>
      <c r="DJK64" s="21"/>
      <c r="DJL64" s="21"/>
      <c r="DJM64" s="21"/>
      <c r="DJN64" s="21"/>
      <c r="DJO64" s="21"/>
      <c r="DJP64" s="21"/>
      <c r="DJQ64" s="21"/>
      <c r="DJR64" s="21"/>
      <c r="DJS64" s="21"/>
      <c r="DJT64" s="21"/>
      <c r="DJU64" s="21"/>
      <c r="DJV64" s="21"/>
      <c r="DJW64" s="21"/>
      <c r="DJX64" s="21"/>
      <c r="DJY64" s="21"/>
      <c r="DJZ64" s="21"/>
      <c r="DKA64" s="21"/>
      <c r="DKB64" s="21"/>
      <c r="DKC64" s="21"/>
      <c r="DKD64" s="21"/>
      <c r="DKE64" s="21"/>
      <c r="DKF64" s="21"/>
      <c r="DKG64" s="21"/>
      <c r="DKH64" s="21"/>
      <c r="DKI64" s="21"/>
      <c r="DKJ64" s="21"/>
      <c r="DKK64" s="21"/>
      <c r="DKL64" s="21"/>
      <c r="DKM64" s="21"/>
      <c r="DKN64" s="21"/>
      <c r="DKO64" s="21"/>
      <c r="DKP64" s="21"/>
      <c r="DKQ64" s="21"/>
      <c r="DKR64" s="21"/>
      <c r="DKS64" s="21"/>
      <c r="DKT64" s="21"/>
      <c r="DKU64" s="21"/>
      <c r="DKV64" s="21"/>
      <c r="DKW64" s="21"/>
      <c r="DKX64" s="21"/>
      <c r="DKY64" s="21"/>
      <c r="DKZ64" s="21"/>
      <c r="DLA64" s="21"/>
      <c r="DLB64" s="21"/>
      <c r="DLC64" s="21"/>
      <c r="DLD64" s="21"/>
      <c r="DLE64" s="21"/>
      <c r="DLF64" s="21"/>
      <c r="DLG64" s="21"/>
      <c r="DLH64" s="21"/>
      <c r="DLI64" s="21"/>
      <c r="DLJ64" s="21"/>
      <c r="DLK64" s="21"/>
      <c r="DLL64" s="21"/>
      <c r="DLM64" s="21"/>
      <c r="DLN64" s="21"/>
      <c r="DLO64" s="21"/>
      <c r="DLP64" s="21"/>
      <c r="DLQ64" s="21"/>
      <c r="DLR64" s="21"/>
      <c r="DLS64" s="21"/>
      <c r="DLT64" s="21"/>
      <c r="DLU64" s="21"/>
      <c r="DLV64" s="21"/>
      <c r="DLW64" s="21"/>
      <c r="DLX64" s="21"/>
      <c r="DLY64" s="21"/>
      <c r="DLZ64" s="21"/>
      <c r="DMA64" s="21"/>
      <c r="DMB64" s="21"/>
      <c r="DMC64" s="21"/>
      <c r="DMD64" s="21"/>
      <c r="DME64" s="21"/>
      <c r="DMF64" s="21"/>
      <c r="DMG64" s="21"/>
      <c r="DMH64" s="21"/>
      <c r="DMI64" s="21"/>
      <c r="DMJ64" s="21"/>
      <c r="DMK64" s="21"/>
      <c r="DML64" s="21"/>
      <c r="DMM64" s="21"/>
      <c r="DMN64" s="21"/>
      <c r="DMO64" s="21"/>
      <c r="DMP64" s="21"/>
      <c r="DMQ64" s="21"/>
      <c r="DMR64" s="21"/>
      <c r="DMS64" s="21"/>
      <c r="DMT64" s="21"/>
      <c r="DMU64" s="21"/>
      <c r="DMV64" s="21"/>
      <c r="DMW64" s="21"/>
      <c r="DMX64" s="21"/>
      <c r="DMY64" s="21"/>
      <c r="DMZ64" s="21"/>
      <c r="DNA64" s="21"/>
      <c r="DNB64" s="21"/>
      <c r="DNC64" s="21"/>
      <c r="DND64" s="21"/>
      <c r="DNE64" s="21"/>
      <c r="DNF64" s="21"/>
      <c r="DNG64" s="21"/>
      <c r="DNH64" s="21"/>
      <c r="DNI64" s="21"/>
      <c r="DNJ64" s="21"/>
      <c r="DNK64" s="21"/>
      <c r="DNL64" s="21"/>
      <c r="DNM64" s="21"/>
      <c r="DNN64" s="21"/>
      <c r="DNO64" s="21"/>
      <c r="DNP64" s="21"/>
      <c r="DNQ64" s="21"/>
      <c r="DNR64" s="21"/>
      <c r="DNS64" s="21"/>
      <c r="DNT64" s="21"/>
      <c r="DNU64" s="21"/>
      <c r="DNV64" s="21"/>
      <c r="DNW64" s="21"/>
      <c r="DNX64" s="21"/>
      <c r="DNY64" s="21"/>
      <c r="DNZ64" s="21"/>
      <c r="DOA64" s="21"/>
      <c r="DOB64" s="21"/>
      <c r="DOC64" s="21"/>
      <c r="DOD64" s="21"/>
      <c r="DOE64" s="21"/>
      <c r="DOF64" s="21"/>
      <c r="DOG64" s="21"/>
      <c r="DOH64" s="21"/>
      <c r="DOI64" s="21"/>
      <c r="DOJ64" s="21"/>
      <c r="DOK64" s="21"/>
      <c r="DOL64" s="21"/>
      <c r="DOM64" s="21"/>
      <c r="DON64" s="21"/>
      <c r="DOO64" s="21"/>
      <c r="DOP64" s="21"/>
      <c r="DOQ64" s="21"/>
      <c r="DOR64" s="21"/>
      <c r="DOS64" s="21"/>
      <c r="DOT64" s="21"/>
      <c r="DOU64" s="21"/>
      <c r="DOV64" s="21"/>
      <c r="DOW64" s="21"/>
      <c r="DOX64" s="21"/>
      <c r="DOY64" s="21"/>
      <c r="DOZ64" s="21"/>
      <c r="DPA64" s="21"/>
      <c r="DPB64" s="21"/>
      <c r="DPC64" s="21"/>
      <c r="DPD64" s="21"/>
      <c r="DPE64" s="21"/>
      <c r="DPF64" s="21"/>
      <c r="DPG64" s="21"/>
      <c r="DPH64" s="21"/>
      <c r="DPI64" s="21"/>
      <c r="DPJ64" s="21"/>
      <c r="DPK64" s="21"/>
      <c r="DPL64" s="21"/>
      <c r="DPM64" s="21"/>
      <c r="DPN64" s="21"/>
      <c r="DPO64" s="21"/>
      <c r="DPP64" s="21"/>
      <c r="DPQ64" s="21"/>
      <c r="DPR64" s="21"/>
      <c r="DPS64" s="21"/>
      <c r="DPT64" s="21"/>
      <c r="DPU64" s="21"/>
      <c r="DPV64" s="21"/>
      <c r="DPW64" s="21"/>
      <c r="DPX64" s="21"/>
      <c r="DPY64" s="21"/>
      <c r="DPZ64" s="21"/>
      <c r="DQA64" s="21"/>
      <c r="DQB64" s="21"/>
      <c r="DQC64" s="21"/>
      <c r="DQD64" s="21"/>
      <c r="DQE64" s="21"/>
      <c r="DQF64" s="21"/>
      <c r="DQG64" s="21"/>
      <c r="DQH64" s="21"/>
      <c r="DQI64" s="21"/>
      <c r="DQJ64" s="21"/>
      <c r="DQK64" s="21"/>
      <c r="DQL64" s="21"/>
      <c r="DQM64" s="21"/>
      <c r="DQN64" s="21"/>
      <c r="DQO64" s="21"/>
      <c r="DQP64" s="21"/>
      <c r="DQQ64" s="21"/>
      <c r="DQR64" s="21"/>
      <c r="DQS64" s="21"/>
      <c r="DQT64" s="21"/>
      <c r="DQU64" s="21"/>
      <c r="DQV64" s="21"/>
      <c r="DQW64" s="21"/>
      <c r="DQX64" s="21"/>
      <c r="DQY64" s="21"/>
      <c r="DQZ64" s="21"/>
      <c r="DRA64" s="21"/>
      <c r="DRB64" s="21"/>
      <c r="DRC64" s="21"/>
      <c r="DRD64" s="21"/>
      <c r="DRE64" s="21"/>
      <c r="DRF64" s="21"/>
      <c r="DRG64" s="21"/>
      <c r="DRH64" s="21"/>
      <c r="DRI64" s="21"/>
      <c r="DRJ64" s="21"/>
      <c r="DRK64" s="21"/>
      <c r="DRL64" s="21"/>
      <c r="DRM64" s="21"/>
      <c r="DRN64" s="21"/>
      <c r="DRO64" s="21"/>
      <c r="DRP64" s="21"/>
      <c r="DRQ64" s="21"/>
      <c r="DRR64" s="21"/>
      <c r="DRS64" s="21"/>
      <c r="DRT64" s="21"/>
      <c r="DRU64" s="21"/>
      <c r="DRV64" s="21"/>
      <c r="DRW64" s="21"/>
      <c r="DRX64" s="21"/>
      <c r="DRY64" s="21"/>
      <c r="DRZ64" s="21"/>
      <c r="DSA64" s="21"/>
      <c r="DSB64" s="21"/>
      <c r="DSC64" s="21"/>
      <c r="DSD64" s="21"/>
      <c r="DSE64" s="21"/>
      <c r="DSF64" s="21"/>
      <c r="DSG64" s="21"/>
      <c r="DSH64" s="21"/>
      <c r="DSI64" s="21"/>
      <c r="DSJ64" s="21"/>
      <c r="DSK64" s="21"/>
      <c r="DSL64" s="21"/>
      <c r="DSM64" s="21"/>
      <c r="DSN64" s="21"/>
      <c r="DSO64" s="21"/>
      <c r="DSP64" s="21"/>
      <c r="DSQ64" s="21"/>
      <c r="DSR64" s="21"/>
      <c r="DSS64" s="21"/>
      <c r="DST64" s="21"/>
      <c r="DSU64" s="21"/>
      <c r="DSV64" s="21"/>
      <c r="DSW64" s="21"/>
      <c r="DSX64" s="21"/>
      <c r="DSY64" s="21"/>
      <c r="DSZ64" s="21"/>
      <c r="DTA64" s="21"/>
      <c r="DTB64" s="21"/>
      <c r="DTC64" s="21"/>
      <c r="DTD64" s="21"/>
      <c r="DTE64" s="21"/>
      <c r="DTF64" s="21"/>
      <c r="DTG64" s="21"/>
      <c r="DTH64" s="21"/>
      <c r="DTI64" s="21"/>
      <c r="DTJ64" s="21"/>
      <c r="DTK64" s="21"/>
      <c r="DTL64" s="21"/>
      <c r="DTM64" s="21"/>
      <c r="DTN64" s="21"/>
      <c r="DTO64" s="21"/>
      <c r="DTP64" s="21"/>
      <c r="DTQ64" s="21"/>
      <c r="DTR64" s="21"/>
      <c r="DTS64" s="21"/>
      <c r="DTT64" s="21"/>
      <c r="DTU64" s="21"/>
      <c r="DTV64" s="21"/>
      <c r="DTW64" s="21"/>
      <c r="DTX64" s="21"/>
      <c r="DTY64" s="21"/>
      <c r="DTZ64" s="21"/>
      <c r="DUA64" s="21"/>
      <c r="DUB64" s="21"/>
      <c r="DUC64" s="21"/>
      <c r="DUD64" s="21"/>
      <c r="DUE64" s="21"/>
      <c r="DUF64" s="21"/>
      <c r="DUG64" s="21"/>
      <c r="DUH64" s="21"/>
      <c r="DUI64" s="21"/>
      <c r="DUJ64" s="21"/>
      <c r="DUK64" s="21"/>
      <c r="DUL64" s="21"/>
      <c r="DUM64" s="21"/>
      <c r="DUN64" s="21"/>
      <c r="DUO64" s="21"/>
      <c r="DUP64" s="21"/>
      <c r="DUQ64" s="21"/>
      <c r="DUR64" s="21"/>
      <c r="DUS64" s="21"/>
      <c r="DUT64" s="21"/>
      <c r="DUU64" s="21"/>
      <c r="DUV64" s="21"/>
      <c r="DUW64" s="21"/>
      <c r="DUX64" s="21"/>
      <c r="DUY64" s="21"/>
      <c r="DUZ64" s="21"/>
      <c r="DVA64" s="21"/>
      <c r="DVB64" s="21"/>
      <c r="DVC64" s="21"/>
      <c r="DVD64" s="21"/>
      <c r="DVE64" s="21"/>
      <c r="DVF64" s="21"/>
      <c r="DVG64" s="21"/>
      <c r="DVH64" s="21"/>
      <c r="DVI64" s="21"/>
      <c r="DVJ64" s="21"/>
      <c r="DVK64" s="21"/>
      <c r="DVL64" s="21"/>
      <c r="DVM64" s="21"/>
      <c r="DVN64" s="21"/>
      <c r="DVO64" s="21"/>
      <c r="DVP64" s="21"/>
      <c r="DVQ64" s="21"/>
      <c r="DVR64" s="21"/>
      <c r="DVS64" s="21"/>
      <c r="DVT64" s="21"/>
      <c r="DVU64" s="21"/>
      <c r="DVV64" s="21"/>
      <c r="DVW64" s="21"/>
      <c r="DVX64" s="21"/>
      <c r="DVY64" s="21"/>
      <c r="DVZ64" s="21"/>
      <c r="DWA64" s="21"/>
      <c r="DWB64" s="21"/>
      <c r="DWC64" s="21"/>
      <c r="DWD64" s="21"/>
      <c r="DWE64" s="21"/>
      <c r="DWF64" s="21"/>
      <c r="DWG64" s="21"/>
      <c r="DWH64" s="21"/>
      <c r="DWI64" s="21"/>
      <c r="DWJ64" s="21"/>
      <c r="DWK64" s="21"/>
      <c r="DWL64" s="21"/>
      <c r="DWM64" s="21"/>
      <c r="DWN64" s="21"/>
      <c r="DWO64" s="21"/>
      <c r="DWP64" s="21"/>
      <c r="DWQ64" s="21"/>
      <c r="DWR64" s="21"/>
      <c r="DWS64" s="21"/>
      <c r="DWT64" s="21"/>
      <c r="DWU64" s="21"/>
      <c r="DWV64" s="21"/>
      <c r="DWW64" s="21"/>
      <c r="DWX64" s="21"/>
      <c r="DWY64" s="21"/>
      <c r="DWZ64" s="21"/>
      <c r="DXA64" s="21"/>
      <c r="DXB64" s="21"/>
      <c r="DXC64" s="21"/>
      <c r="DXD64" s="21"/>
      <c r="DXE64" s="21"/>
      <c r="DXF64" s="21"/>
      <c r="DXG64" s="21"/>
      <c r="DXH64" s="21"/>
      <c r="DXI64" s="21"/>
      <c r="DXJ64" s="21"/>
      <c r="DXK64" s="21"/>
      <c r="DXL64" s="21"/>
      <c r="DXM64" s="21"/>
      <c r="DXN64" s="21"/>
      <c r="DXO64" s="21"/>
      <c r="DXP64" s="21"/>
      <c r="DXQ64" s="21"/>
      <c r="DXR64" s="21"/>
      <c r="DXS64" s="21"/>
      <c r="DXT64" s="21"/>
      <c r="DXU64" s="21"/>
      <c r="DXV64" s="21"/>
      <c r="DXW64" s="21"/>
      <c r="DXX64" s="21"/>
      <c r="DXY64" s="21"/>
      <c r="DXZ64" s="21"/>
      <c r="DYA64" s="21"/>
      <c r="DYB64" s="21"/>
      <c r="DYC64" s="21"/>
      <c r="DYD64" s="21"/>
      <c r="DYE64" s="21"/>
      <c r="DYF64" s="21"/>
      <c r="DYG64" s="21"/>
      <c r="DYH64" s="21"/>
      <c r="DYI64" s="21"/>
      <c r="DYJ64" s="21"/>
      <c r="DYK64" s="21"/>
      <c r="DYL64" s="21"/>
      <c r="DYM64" s="21"/>
      <c r="DYN64" s="21"/>
      <c r="DYO64" s="21"/>
      <c r="DYP64" s="21"/>
      <c r="DYQ64" s="21"/>
      <c r="DYR64" s="21"/>
      <c r="DYS64" s="21"/>
      <c r="DYT64" s="21"/>
      <c r="DYU64" s="21"/>
      <c r="DYV64" s="21"/>
      <c r="DYW64" s="21"/>
      <c r="DYX64" s="21"/>
      <c r="DYY64" s="21"/>
      <c r="DYZ64" s="21"/>
      <c r="DZA64" s="21"/>
      <c r="DZB64" s="21"/>
      <c r="DZC64" s="21"/>
      <c r="DZD64" s="21"/>
      <c r="DZE64" s="21"/>
      <c r="DZF64" s="21"/>
      <c r="DZG64" s="21"/>
      <c r="DZH64" s="21"/>
      <c r="DZI64" s="21"/>
      <c r="DZJ64" s="21"/>
      <c r="DZK64" s="21"/>
      <c r="DZL64" s="21"/>
      <c r="DZM64" s="21"/>
      <c r="DZN64" s="21"/>
      <c r="DZO64" s="21"/>
      <c r="DZP64" s="21"/>
      <c r="DZQ64" s="21"/>
      <c r="DZR64" s="21"/>
      <c r="DZS64" s="21"/>
      <c r="DZT64" s="21"/>
      <c r="DZU64" s="21"/>
      <c r="DZV64" s="21"/>
      <c r="DZW64" s="21"/>
      <c r="DZX64" s="21"/>
      <c r="DZY64" s="21"/>
      <c r="DZZ64" s="21"/>
      <c r="EAA64" s="21"/>
      <c r="EAB64" s="21"/>
      <c r="EAC64" s="21"/>
      <c r="EAD64" s="21"/>
      <c r="EAE64" s="21"/>
      <c r="EAF64" s="21"/>
      <c r="EAG64" s="21"/>
      <c r="EAH64" s="21"/>
      <c r="EAI64" s="21"/>
      <c r="EAJ64" s="21"/>
      <c r="EAK64" s="21"/>
      <c r="EAL64" s="21"/>
      <c r="EAM64" s="21"/>
      <c r="EAN64" s="21"/>
      <c r="EAO64" s="21"/>
      <c r="EAP64" s="21"/>
      <c r="EAQ64" s="21"/>
      <c r="EAR64" s="21"/>
      <c r="EAS64" s="21"/>
      <c r="EAT64" s="21"/>
      <c r="EAU64" s="21"/>
      <c r="EAV64" s="21"/>
      <c r="EAW64" s="21"/>
      <c r="EAX64" s="21"/>
      <c r="EAY64" s="21"/>
      <c r="EAZ64" s="21"/>
      <c r="EBA64" s="21"/>
      <c r="EBB64" s="21"/>
      <c r="EBC64" s="21"/>
      <c r="EBD64" s="21"/>
      <c r="EBE64" s="21"/>
      <c r="EBF64" s="21"/>
      <c r="EBG64" s="21"/>
      <c r="EBH64" s="21"/>
      <c r="EBI64" s="21"/>
      <c r="EBJ64" s="21"/>
      <c r="EBK64" s="21"/>
      <c r="EBL64" s="21"/>
      <c r="EBM64" s="21"/>
      <c r="EBN64" s="21"/>
      <c r="EBO64" s="21"/>
      <c r="EBP64" s="21"/>
      <c r="EBQ64" s="21"/>
      <c r="EBR64" s="21"/>
      <c r="EBS64" s="21"/>
      <c r="EBT64" s="21"/>
      <c r="EBU64" s="21"/>
      <c r="EBV64" s="21"/>
      <c r="EBW64" s="21"/>
      <c r="EBX64" s="21"/>
      <c r="EBY64" s="21"/>
      <c r="EBZ64" s="21"/>
      <c r="ECA64" s="21"/>
      <c r="ECB64" s="21"/>
      <c r="ECC64" s="21"/>
      <c r="ECD64" s="21"/>
      <c r="ECE64" s="21"/>
      <c r="ECF64" s="21"/>
      <c r="ECG64" s="21"/>
      <c r="ECH64" s="21"/>
      <c r="ECI64" s="21"/>
      <c r="ECJ64" s="21"/>
      <c r="ECK64" s="21"/>
      <c r="ECL64" s="21"/>
      <c r="ECM64" s="21"/>
      <c r="ECN64" s="21"/>
      <c r="ECO64" s="21"/>
      <c r="ECP64" s="21"/>
      <c r="ECQ64" s="21"/>
      <c r="ECR64" s="21"/>
      <c r="ECS64" s="21"/>
      <c r="ECT64" s="21"/>
      <c r="ECU64" s="21"/>
      <c r="ECV64" s="21"/>
      <c r="ECW64" s="21"/>
      <c r="ECX64" s="21"/>
      <c r="ECY64" s="21"/>
      <c r="ECZ64" s="21"/>
      <c r="EDA64" s="21"/>
      <c r="EDB64" s="21"/>
      <c r="EDC64" s="21"/>
      <c r="EDD64" s="21"/>
      <c r="EDE64" s="21"/>
      <c r="EDF64" s="21"/>
      <c r="EDG64" s="21"/>
      <c r="EDH64" s="21"/>
      <c r="EDI64" s="21"/>
      <c r="EDJ64" s="21"/>
      <c r="EDK64" s="21"/>
      <c r="EDL64" s="21"/>
      <c r="EDM64" s="21"/>
      <c r="EDN64" s="21"/>
      <c r="EDO64" s="21"/>
      <c r="EDP64" s="21"/>
      <c r="EDQ64" s="21"/>
      <c r="EDR64" s="21"/>
      <c r="EDS64" s="21"/>
      <c r="EDT64" s="21"/>
      <c r="EDU64" s="21"/>
      <c r="EDV64" s="21"/>
      <c r="EDW64" s="21"/>
      <c r="EDX64" s="21"/>
      <c r="EDY64" s="21"/>
      <c r="EDZ64" s="21"/>
      <c r="EEA64" s="21"/>
      <c r="EEB64" s="21"/>
      <c r="EEC64" s="21"/>
      <c r="EED64" s="21"/>
      <c r="EEE64" s="21"/>
      <c r="EEF64" s="21"/>
      <c r="EEG64" s="21"/>
      <c r="EEH64" s="21"/>
      <c r="EEI64" s="21"/>
      <c r="EEJ64" s="21"/>
      <c r="EEK64" s="21"/>
      <c r="EEL64" s="21"/>
      <c r="EEM64" s="21"/>
      <c r="EEN64" s="21"/>
      <c r="EEO64" s="21"/>
      <c r="EEP64" s="21"/>
      <c r="EEQ64" s="21"/>
      <c r="EER64" s="21"/>
      <c r="EES64" s="21"/>
      <c r="EET64" s="21"/>
      <c r="EEU64" s="21"/>
      <c r="EEV64" s="21"/>
      <c r="EEW64" s="21"/>
      <c r="EEX64" s="21"/>
      <c r="EEY64" s="21"/>
      <c r="EEZ64" s="21"/>
      <c r="EFA64" s="21"/>
      <c r="EFB64" s="21"/>
      <c r="EFC64" s="21"/>
      <c r="EFD64" s="21"/>
      <c r="EFE64" s="21"/>
      <c r="EFF64" s="21"/>
      <c r="EFG64" s="21"/>
      <c r="EFH64" s="21"/>
      <c r="EFI64" s="21"/>
      <c r="EFJ64" s="21"/>
      <c r="EFK64" s="21"/>
      <c r="EFL64" s="21"/>
      <c r="EFM64" s="21"/>
      <c r="EFN64" s="21"/>
      <c r="EFO64" s="21"/>
      <c r="EFP64" s="21"/>
      <c r="EFQ64" s="21"/>
      <c r="EFR64" s="21"/>
      <c r="EFS64" s="21"/>
      <c r="EFT64" s="21"/>
      <c r="EFU64" s="21"/>
      <c r="EFV64" s="21"/>
      <c r="EFW64" s="21"/>
      <c r="EFX64" s="21"/>
      <c r="EFY64" s="21"/>
      <c r="EFZ64" s="21"/>
      <c r="EGA64" s="21"/>
      <c r="EGB64" s="21"/>
      <c r="EGC64" s="21"/>
      <c r="EGD64" s="21"/>
      <c r="EGE64" s="21"/>
      <c r="EGF64" s="21"/>
      <c r="EGG64" s="21"/>
      <c r="EGH64" s="21"/>
      <c r="EGI64" s="21"/>
      <c r="EGJ64" s="21"/>
      <c r="EGK64" s="21"/>
      <c r="EGL64" s="21"/>
      <c r="EGM64" s="21"/>
      <c r="EGN64" s="21"/>
      <c r="EGO64" s="21"/>
      <c r="EGP64" s="21"/>
      <c r="EGQ64" s="21"/>
      <c r="EGR64" s="21"/>
      <c r="EGS64" s="21"/>
      <c r="EGT64" s="21"/>
      <c r="EGU64" s="21"/>
      <c r="EGV64" s="21"/>
      <c r="EGW64" s="21"/>
      <c r="EGX64" s="21"/>
      <c r="EGY64" s="21"/>
      <c r="EGZ64" s="21"/>
      <c r="EHA64" s="21"/>
      <c r="EHB64" s="21"/>
      <c r="EHC64" s="21"/>
      <c r="EHD64" s="21"/>
      <c r="EHE64" s="21"/>
      <c r="EHF64" s="21"/>
      <c r="EHG64" s="21"/>
      <c r="EHH64" s="21"/>
      <c r="EHI64" s="21"/>
      <c r="EHJ64" s="21"/>
      <c r="EHK64" s="21"/>
      <c r="EHL64" s="21"/>
      <c r="EHM64" s="21"/>
      <c r="EHN64" s="21"/>
      <c r="EHO64" s="21"/>
      <c r="EHP64" s="21"/>
      <c r="EHQ64" s="21"/>
      <c r="EHR64" s="21"/>
      <c r="EHS64" s="21"/>
      <c r="EHT64" s="21"/>
      <c r="EHU64" s="21"/>
      <c r="EHV64" s="21"/>
      <c r="EHW64" s="21"/>
      <c r="EHX64" s="21"/>
      <c r="EHY64" s="21"/>
      <c r="EHZ64" s="21"/>
      <c r="EIA64" s="21"/>
      <c r="EIB64" s="21"/>
      <c r="EIC64" s="21"/>
      <c r="EID64" s="21"/>
      <c r="EIE64" s="21"/>
      <c r="EIF64" s="21"/>
      <c r="EIG64" s="21"/>
      <c r="EIH64" s="21"/>
      <c r="EII64" s="21"/>
      <c r="EIJ64" s="21"/>
      <c r="EIK64" s="21"/>
      <c r="EIL64" s="21"/>
      <c r="EIM64" s="21"/>
      <c r="EIN64" s="21"/>
      <c r="EIO64" s="21"/>
      <c r="EIP64" s="21"/>
      <c r="EIQ64" s="21"/>
      <c r="EIR64" s="21"/>
      <c r="EIS64" s="21"/>
      <c r="EIT64" s="21"/>
      <c r="EIU64" s="21"/>
      <c r="EIV64" s="21"/>
      <c r="EIW64" s="21"/>
      <c r="EIX64" s="21"/>
      <c r="EIY64" s="21"/>
      <c r="EIZ64" s="21"/>
      <c r="EJA64" s="21"/>
      <c r="EJB64" s="21"/>
      <c r="EJC64" s="21"/>
      <c r="EJD64" s="21"/>
      <c r="EJE64" s="21"/>
      <c r="EJF64" s="21"/>
      <c r="EJG64" s="21"/>
      <c r="EJH64" s="21"/>
      <c r="EJI64" s="21"/>
      <c r="EJJ64" s="21"/>
      <c r="EJK64" s="21"/>
      <c r="EJL64" s="21"/>
      <c r="EJM64" s="21"/>
      <c r="EJN64" s="21"/>
      <c r="EJO64" s="21"/>
      <c r="EJP64" s="21"/>
      <c r="EJQ64" s="21"/>
      <c r="EJR64" s="21"/>
      <c r="EJS64" s="21"/>
      <c r="EJT64" s="21"/>
      <c r="EJU64" s="21"/>
      <c r="EJV64" s="21"/>
      <c r="EJW64" s="21"/>
      <c r="EJX64" s="21"/>
      <c r="EJY64" s="21"/>
      <c r="EJZ64" s="21"/>
      <c r="EKA64" s="21"/>
      <c r="EKB64" s="21"/>
      <c r="EKC64" s="21"/>
      <c r="EKD64" s="21"/>
      <c r="EKE64" s="21"/>
      <c r="EKF64" s="21"/>
      <c r="EKG64" s="21"/>
      <c r="EKH64" s="21"/>
      <c r="EKI64" s="21"/>
      <c r="EKJ64" s="21"/>
      <c r="EKK64" s="21"/>
      <c r="EKL64" s="21"/>
      <c r="EKM64" s="21"/>
      <c r="EKN64" s="21"/>
      <c r="EKO64" s="21"/>
      <c r="EKP64" s="21"/>
      <c r="EKQ64" s="21"/>
      <c r="EKR64" s="21"/>
      <c r="EKS64" s="21"/>
      <c r="EKT64" s="21"/>
      <c r="EKU64" s="21"/>
      <c r="EKV64" s="21"/>
      <c r="EKW64" s="21"/>
      <c r="EKX64" s="21"/>
      <c r="EKY64" s="21"/>
      <c r="EKZ64" s="21"/>
      <c r="ELA64" s="21"/>
      <c r="ELB64" s="21"/>
      <c r="ELC64" s="21"/>
      <c r="ELD64" s="21"/>
      <c r="ELE64" s="21"/>
      <c r="ELF64" s="21"/>
      <c r="ELG64" s="21"/>
      <c r="ELH64" s="21"/>
      <c r="ELI64" s="21"/>
      <c r="ELJ64" s="21"/>
      <c r="ELK64" s="21"/>
      <c r="ELL64" s="21"/>
      <c r="ELM64" s="21"/>
      <c r="ELN64" s="21"/>
      <c r="ELO64" s="21"/>
      <c r="ELP64" s="21"/>
      <c r="ELQ64" s="21"/>
      <c r="ELR64" s="21"/>
      <c r="ELS64" s="21"/>
      <c r="ELT64" s="21"/>
      <c r="ELU64" s="21"/>
      <c r="ELV64" s="21"/>
      <c r="ELW64" s="21"/>
      <c r="ELX64" s="21"/>
      <c r="ELY64" s="21"/>
      <c r="ELZ64" s="21"/>
      <c r="EMA64" s="21"/>
      <c r="EMB64" s="21"/>
      <c r="EMC64" s="21"/>
      <c r="EMD64" s="21"/>
      <c r="EME64" s="21"/>
      <c r="EMF64" s="21"/>
      <c r="EMG64" s="21"/>
      <c r="EMH64" s="21"/>
      <c r="EMI64" s="21"/>
      <c r="EMJ64" s="21"/>
      <c r="EMK64" s="21"/>
      <c r="EML64" s="21"/>
      <c r="EMM64" s="21"/>
      <c r="EMN64" s="21"/>
      <c r="EMO64" s="21"/>
      <c r="EMP64" s="21"/>
      <c r="EMQ64" s="21"/>
      <c r="EMR64" s="21"/>
      <c r="EMS64" s="21"/>
      <c r="EMT64" s="21"/>
      <c r="EMU64" s="21"/>
      <c r="EMV64" s="21"/>
      <c r="EMW64" s="21"/>
      <c r="EMX64" s="21"/>
      <c r="EMY64" s="21"/>
      <c r="EMZ64" s="21"/>
      <c r="ENA64" s="21"/>
      <c r="ENB64" s="21"/>
      <c r="ENC64" s="21"/>
      <c r="END64" s="21"/>
      <c r="ENE64" s="21"/>
      <c r="ENF64" s="21"/>
      <c r="ENG64" s="21"/>
      <c r="ENH64" s="21"/>
      <c r="ENI64" s="21"/>
      <c r="ENJ64" s="21"/>
      <c r="ENK64" s="21"/>
      <c r="ENL64" s="21"/>
      <c r="ENM64" s="21"/>
      <c r="ENN64" s="21"/>
      <c r="ENO64" s="21"/>
      <c r="ENP64" s="21"/>
      <c r="ENQ64" s="21"/>
      <c r="ENR64" s="21"/>
      <c r="ENS64" s="21"/>
      <c r="ENT64" s="21"/>
      <c r="ENU64" s="21"/>
      <c r="ENV64" s="21"/>
      <c r="ENW64" s="21"/>
      <c r="ENX64" s="21"/>
      <c r="ENY64" s="21"/>
      <c r="ENZ64" s="21"/>
      <c r="EOA64" s="21"/>
      <c r="EOB64" s="21"/>
      <c r="EOC64" s="21"/>
      <c r="EOD64" s="21"/>
      <c r="EOE64" s="21"/>
      <c r="EOF64" s="21"/>
      <c r="EOG64" s="21"/>
      <c r="EOH64" s="21"/>
      <c r="EOI64" s="21"/>
      <c r="EOJ64" s="21"/>
      <c r="EOK64" s="21"/>
      <c r="EOL64" s="21"/>
      <c r="EOM64" s="21"/>
      <c r="EON64" s="21"/>
      <c r="EOO64" s="21"/>
      <c r="EOP64" s="21"/>
      <c r="EOQ64" s="21"/>
      <c r="EOR64" s="21"/>
      <c r="EOS64" s="21"/>
      <c r="EOT64" s="21"/>
      <c r="EOU64" s="21"/>
      <c r="EOV64" s="21"/>
      <c r="EOW64" s="21"/>
      <c r="EOX64" s="21"/>
      <c r="EOY64" s="21"/>
      <c r="EOZ64" s="21"/>
      <c r="EPA64" s="21"/>
      <c r="EPB64" s="21"/>
      <c r="EPC64" s="21"/>
      <c r="EPD64" s="21"/>
      <c r="EPE64" s="21"/>
      <c r="EPF64" s="21"/>
      <c r="EPG64" s="21"/>
      <c r="EPH64" s="21"/>
      <c r="EPI64" s="21"/>
      <c r="EPJ64" s="21"/>
      <c r="EPK64" s="21"/>
      <c r="EPL64" s="21"/>
      <c r="EPM64" s="21"/>
      <c r="EPN64" s="21"/>
      <c r="EPO64" s="21"/>
      <c r="EPP64" s="21"/>
      <c r="EPQ64" s="21"/>
      <c r="EPR64" s="21"/>
      <c r="EPS64" s="21"/>
      <c r="EPT64" s="21"/>
      <c r="EPU64" s="21"/>
      <c r="EPV64" s="21"/>
      <c r="EPW64" s="21"/>
      <c r="EPX64" s="21"/>
      <c r="EPY64" s="21"/>
      <c r="EPZ64" s="21"/>
      <c r="EQA64" s="21"/>
      <c r="EQB64" s="21"/>
      <c r="EQC64" s="21"/>
      <c r="EQD64" s="21"/>
      <c r="EQE64" s="21"/>
      <c r="EQF64" s="21"/>
      <c r="EQG64" s="21"/>
      <c r="EQH64" s="21"/>
      <c r="EQI64" s="21"/>
      <c r="EQJ64" s="21"/>
      <c r="EQK64" s="21"/>
      <c r="EQL64" s="21"/>
      <c r="EQM64" s="21"/>
      <c r="EQN64" s="21"/>
      <c r="EQO64" s="21"/>
      <c r="EQP64" s="21"/>
      <c r="EQQ64" s="21"/>
      <c r="EQR64" s="21"/>
      <c r="EQS64" s="21"/>
      <c r="EQT64" s="21"/>
      <c r="EQU64" s="21"/>
      <c r="EQV64" s="21"/>
      <c r="EQW64" s="21"/>
      <c r="EQX64" s="21"/>
      <c r="EQY64" s="21"/>
      <c r="EQZ64" s="21"/>
      <c r="ERA64" s="21"/>
      <c r="ERB64" s="21"/>
      <c r="ERC64" s="21"/>
      <c r="ERD64" s="21"/>
      <c r="ERE64" s="21"/>
      <c r="ERF64" s="21"/>
      <c r="ERG64" s="21"/>
      <c r="ERH64" s="21"/>
      <c r="ERI64" s="21"/>
      <c r="ERJ64" s="21"/>
      <c r="ERK64" s="21"/>
      <c r="ERL64" s="21"/>
      <c r="ERM64" s="21"/>
      <c r="ERN64" s="21"/>
      <c r="ERO64" s="21"/>
      <c r="ERP64" s="21"/>
      <c r="ERQ64" s="21"/>
      <c r="ERR64" s="21"/>
      <c r="ERS64" s="21"/>
      <c r="ERT64" s="21"/>
      <c r="ERU64" s="21"/>
      <c r="ERV64" s="21"/>
      <c r="ERW64" s="21"/>
      <c r="ERX64" s="21"/>
      <c r="ERY64" s="21"/>
      <c r="ERZ64" s="21"/>
      <c r="ESA64" s="21"/>
      <c r="ESB64" s="21"/>
      <c r="ESC64" s="21"/>
      <c r="ESD64" s="21"/>
      <c r="ESE64" s="21"/>
      <c r="ESF64" s="21"/>
      <c r="ESG64" s="21"/>
      <c r="ESH64" s="21"/>
      <c r="ESI64" s="21"/>
      <c r="ESJ64" s="21"/>
      <c r="ESK64" s="21"/>
      <c r="ESL64" s="21"/>
      <c r="ESM64" s="21"/>
      <c r="ESN64" s="21"/>
      <c r="ESO64" s="21"/>
      <c r="ESP64" s="21"/>
      <c r="ESQ64" s="21"/>
      <c r="ESR64" s="21"/>
      <c r="ESS64" s="21"/>
      <c r="EST64" s="21"/>
      <c r="ESU64" s="21"/>
      <c r="ESV64" s="21"/>
      <c r="ESW64" s="21"/>
      <c r="ESX64" s="21"/>
      <c r="ESY64" s="21"/>
      <c r="ESZ64" s="21"/>
      <c r="ETA64" s="21"/>
      <c r="ETB64" s="21"/>
      <c r="ETC64" s="21"/>
      <c r="ETD64" s="21"/>
      <c r="ETE64" s="21"/>
      <c r="ETF64" s="21"/>
      <c r="ETG64" s="21"/>
      <c r="ETH64" s="21"/>
      <c r="ETI64" s="21"/>
      <c r="ETJ64" s="21"/>
      <c r="ETK64" s="21"/>
      <c r="ETL64" s="21"/>
      <c r="ETM64" s="21"/>
      <c r="ETN64" s="21"/>
      <c r="ETO64" s="21"/>
      <c r="ETP64" s="21"/>
      <c r="ETQ64" s="21"/>
      <c r="ETR64" s="21"/>
      <c r="ETS64" s="21"/>
      <c r="ETT64" s="21"/>
      <c r="ETU64" s="21"/>
      <c r="ETV64" s="21"/>
      <c r="ETW64" s="21"/>
      <c r="ETX64" s="21"/>
      <c r="ETY64" s="21"/>
      <c r="ETZ64" s="21"/>
      <c r="EUA64" s="21"/>
      <c r="EUB64" s="21"/>
      <c r="EUC64" s="21"/>
      <c r="EUD64" s="21"/>
      <c r="EUE64" s="21"/>
      <c r="EUF64" s="21"/>
      <c r="EUG64" s="21"/>
      <c r="EUH64" s="21"/>
      <c r="EUI64" s="21"/>
      <c r="EUJ64" s="21"/>
      <c r="EUK64" s="21"/>
      <c r="EUL64" s="21"/>
      <c r="EUM64" s="21"/>
      <c r="EUN64" s="21"/>
      <c r="EUO64" s="21"/>
      <c r="EUP64" s="21"/>
      <c r="EUQ64" s="21"/>
      <c r="EUR64" s="21"/>
      <c r="EUS64" s="21"/>
      <c r="EUT64" s="21"/>
      <c r="EUU64" s="21"/>
      <c r="EUV64" s="21"/>
      <c r="EUW64" s="21"/>
      <c r="EUX64" s="21"/>
      <c r="EUY64" s="21"/>
      <c r="EUZ64" s="21"/>
      <c r="EVA64" s="21"/>
      <c r="EVB64" s="21"/>
      <c r="EVC64" s="21"/>
      <c r="EVD64" s="21"/>
      <c r="EVE64" s="21"/>
      <c r="EVF64" s="21"/>
      <c r="EVG64" s="21"/>
      <c r="EVH64" s="21"/>
      <c r="EVI64" s="21"/>
      <c r="EVJ64" s="21"/>
      <c r="EVK64" s="21"/>
      <c r="EVL64" s="21"/>
      <c r="EVM64" s="21"/>
      <c r="EVN64" s="21"/>
      <c r="EVO64" s="21"/>
      <c r="EVP64" s="21"/>
      <c r="EVQ64" s="21"/>
      <c r="EVR64" s="21"/>
      <c r="EVS64" s="21"/>
      <c r="EVT64" s="21"/>
      <c r="EVU64" s="21"/>
      <c r="EVV64" s="21"/>
      <c r="EVW64" s="21"/>
      <c r="EVX64" s="21"/>
      <c r="EVY64" s="21"/>
      <c r="EVZ64" s="21"/>
      <c r="EWA64" s="21"/>
      <c r="EWB64" s="21"/>
      <c r="EWC64" s="21"/>
      <c r="EWD64" s="21"/>
      <c r="EWE64" s="21"/>
      <c r="EWF64" s="21"/>
      <c r="EWG64" s="21"/>
      <c r="EWH64" s="21"/>
      <c r="EWI64" s="21"/>
      <c r="EWJ64" s="21"/>
      <c r="EWK64" s="21"/>
      <c r="EWL64" s="21"/>
      <c r="EWM64" s="21"/>
      <c r="EWN64" s="21"/>
      <c r="EWO64" s="21"/>
      <c r="EWP64" s="21"/>
      <c r="EWQ64" s="21"/>
      <c r="EWR64" s="21"/>
      <c r="EWS64" s="21"/>
      <c r="EWT64" s="21"/>
      <c r="EWU64" s="21"/>
      <c r="EWV64" s="21"/>
      <c r="EWW64" s="21"/>
      <c r="EWX64" s="21"/>
      <c r="EWY64" s="21"/>
      <c r="EWZ64" s="21"/>
      <c r="EXA64" s="21"/>
      <c r="EXB64" s="21"/>
      <c r="EXC64" s="21"/>
      <c r="EXD64" s="21"/>
      <c r="EXE64" s="21"/>
      <c r="EXF64" s="21"/>
      <c r="EXG64" s="21"/>
      <c r="EXH64" s="21"/>
      <c r="EXI64" s="21"/>
      <c r="EXJ64" s="21"/>
      <c r="EXK64" s="21"/>
      <c r="EXL64" s="21"/>
      <c r="EXM64" s="21"/>
      <c r="EXN64" s="21"/>
      <c r="EXO64" s="21"/>
      <c r="EXP64" s="21"/>
      <c r="EXQ64" s="21"/>
      <c r="EXR64" s="21"/>
      <c r="EXS64" s="21"/>
      <c r="EXT64" s="21"/>
      <c r="EXU64" s="21"/>
      <c r="EXV64" s="21"/>
      <c r="EXW64" s="21"/>
      <c r="EXX64" s="21"/>
      <c r="EXY64" s="21"/>
      <c r="EXZ64" s="21"/>
      <c r="EYA64" s="21"/>
      <c r="EYB64" s="21"/>
      <c r="EYC64" s="21"/>
      <c r="EYD64" s="21"/>
      <c r="EYE64" s="21"/>
      <c r="EYF64" s="21"/>
      <c r="EYG64" s="21"/>
      <c r="EYH64" s="21"/>
      <c r="EYI64" s="21"/>
      <c r="EYJ64" s="21"/>
      <c r="EYK64" s="21"/>
      <c r="EYL64" s="21"/>
      <c r="EYM64" s="21"/>
      <c r="EYN64" s="21"/>
      <c r="EYO64" s="21"/>
      <c r="EYP64" s="21"/>
      <c r="EYQ64" s="21"/>
      <c r="EYR64" s="21"/>
      <c r="EYS64" s="21"/>
      <c r="EYT64" s="21"/>
      <c r="EYU64" s="21"/>
      <c r="EYV64" s="21"/>
      <c r="EYW64" s="21"/>
      <c r="EYX64" s="21"/>
      <c r="EYY64" s="21"/>
      <c r="EYZ64" s="21"/>
      <c r="EZA64" s="21"/>
      <c r="EZB64" s="21"/>
      <c r="EZC64" s="21"/>
      <c r="EZD64" s="21"/>
      <c r="EZE64" s="21"/>
      <c r="EZF64" s="21"/>
      <c r="EZG64" s="21"/>
      <c r="EZH64" s="21"/>
      <c r="EZI64" s="21"/>
      <c r="EZJ64" s="21"/>
      <c r="EZK64" s="21"/>
      <c r="EZL64" s="21"/>
      <c r="EZM64" s="21"/>
      <c r="EZN64" s="21"/>
      <c r="EZO64" s="21"/>
      <c r="EZP64" s="21"/>
      <c r="EZQ64" s="21"/>
      <c r="EZR64" s="21"/>
      <c r="EZS64" s="21"/>
      <c r="EZT64" s="21"/>
      <c r="EZU64" s="21"/>
      <c r="EZV64" s="21"/>
      <c r="EZW64" s="21"/>
      <c r="EZX64" s="21"/>
      <c r="EZY64" s="21"/>
      <c r="EZZ64" s="21"/>
      <c r="FAA64" s="21"/>
      <c r="FAB64" s="21"/>
      <c r="FAC64" s="21"/>
      <c r="FAD64" s="21"/>
      <c r="FAE64" s="21"/>
      <c r="FAF64" s="21"/>
      <c r="FAG64" s="21"/>
      <c r="FAH64" s="21"/>
      <c r="FAI64" s="21"/>
      <c r="FAJ64" s="21"/>
      <c r="FAK64" s="21"/>
      <c r="FAL64" s="21"/>
      <c r="FAM64" s="21"/>
      <c r="FAN64" s="21"/>
      <c r="FAO64" s="21"/>
      <c r="FAP64" s="21"/>
      <c r="FAQ64" s="21"/>
      <c r="FAR64" s="21"/>
      <c r="FAS64" s="21"/>
      <c r="FAT64" s="21"/>
      <c r="FAU64" s="21"/>
      <c r="FAV64" s="21"/>
      <c r="FAW64" s="21"/>
      <c r="FAX64" s="21"/>
      <c r="FAY64" s="21"/>
      <c r="FAZ64" s="21"/>
      <c r="FBA64" s="21"/>
      <c r="FBB64" s="21"/>
      <c r="FBC64" s="21"/>
      <c r="FBD64" s="21"/>
      <c r="FBE64" s="21"/>
      <c r="FBF64" s="21"/>
      <c r="FBG64" s="21"/>
      <c r="FBH64" s="21"/>
      <c r="FBI64" s="21"/>
      <c r="FBJ64" s="21"/>
      <c r="FBK64" s="21"/>
      <c r="FBL64" s="21"/>
      <c r="FBM64" s="21"/>
      <c r="FBN64" s="21"/>
      <c r="FBO64" s="21"/>
      <c r="FBP64" s="21"/>
      <c r="FBQ64" s="21"/>
      <c r="FBR64" s="21"/>
      <c r="FBS64" s="21"/>
      <c r="FBT64" s="21"/>
      <c r="FBU64" s="21"/>
      <c r="FBV64" s="21"/>
      <c r="FBW64" s="21"/>
      <c r="FBX64" s="21"/>
      <c r="FBY64" s="21"/>
      <c r="FBZ64" s="21"/>
      <c r="FCA64" s="21"/>
      <c r="FCB64" s="21"/>
      <c r="FCC64" s="21"/>
      <c r="FCD64" s="21"/>
      <c r="FCE64" s="21"/>
      <c r="FCF64" s="21"/>
      <c r="FCG64" s="21"/>
      <c r="FCH64" s="21"/>
      <c r="FCI64" s="21"/>
      <c r="FCJ64" s="21"/>
      <c r="FCK64" s="21"/>
      <c r="FCL64" s="21"/>
      <c r="FCM64" s="21"/>
      <c r="FCN64" s="21"/>
      <c r="FCO64" s="21"/>
      <c r="FCP64" s="21"/>
      <c r="FCQ64" s="21"/>
      <c r="FCR64" s="21"/>
      <c r="FCS64" s="21"/>
      <c r="FCT64" s="21"/>
      <c r="FCU64" s="21"/>
      <c r="FCV64" s="21"/>
      <c r="FCW64" s="21"/>
      <c r="FCX64" s="21"/>
      <c r="FCY64" s="21"/>
      <c r="FCZ64" s="21"/>
      <c r="FDA64" s="21"/>
      <c r="FDB64" s="21"/>
      <c r="FDC64" s="21"/>
      <c r="FDD64" s="21"/>
      <c r="FDE64" s="21"/>
      <c r="FDF64" s="21"/>
      <c r="FDG64" s="21"/>
      <c r="FDH64" s="21"/>
      <c r="FDI64" s="21"/>
      <c r="FDJ64" s="21"/>
      <c r="FDK64" s="21"/>
      <c r="FDL64" s="21"/>
      <c r="FDM64" s="21"/>
      <c r="FDN64" s="21"/>
      <c r="FDO64" s="21"/>
      <c r="FDP64" s="21"/>
      <c r="FDQ64" s="21"/>
      <c r="FDR64" s="21"/>
      <c r="FDS64" s="21"/>
      <c r="FDT64" s="21"/>
      <c r="FDU64" s="21"/>
      <c r="FDV64" s="21"/>
      <c r="FDW64" s="21"/>
      <c r="FDX64" s="21"/>
      <c r="FDY64" s="21"/>
      <c r="FDZ64" s="21"/>
      <c r="FEA64" s="21"/>
      <c r="FEB64" s="21"/>
      <c r="FEC64" s="21"/>
      <c r="FED64" s="21"/>
      <c r="FEE64" s="21"/>
      <c r="FEF64" s="21"/>
      <c r="FEG64" s="21"/>
      <c r="FEH64" s="21"/>
      <c r="FEI64" s="21"/>
      <c r="FEJ64" s="21"/>
      <c r="FEK64" s="21"/>
      <c r="FEL64" s="21"/>
      <c r="FEM64" s="21"/>
      <c r="FEN64" s="21"/>
      <c r="FEO64" s="21"/>
      <c r="FEP64" s="21"/>
      <c r="FEQ64" s="21"/>
      <c r="FER64" s="21"/>
      <c r="FES64" s="21"/>
      <c r="FET64" s="21"/>
      <c r="FEU64" s="21"/>
      <c r="FEV64" s="21"/>
      <c r="FEW64" s="21"/>
      <c r="FEX64" s="21"/>
      <c r="FEY64" s="21"/>
      <c r="FEZ64" s="21"/>
      <c r="FFA64" s="21"/>
      <c r="FFB64" s="21"/>
      <c r="FFC64" s="21"/>
      <c r="FFD64" s="21"/>
      <c r="FFE64" s="21"/>
      <c r="FFF64" s="21"/>
      <c r="FFG64" s="21"/>
      <c r="FFH64" s="21"/>
      <c r="FFI64" s="21"/>
      <c r="FFJ64" s="21"/>
      <c r="FFK64" s="21"/>
      <c r="FFL64" s="21"/>
      <c r="FFM64" s="21"/>
      <c r="FFN64" s="21"/>
      <c r="FFO64" s="21"/>
      <c r="FFP64" s="21"/>
      <c r="FFQ64" s="21"/>
      <c r="FFR64" s="21"/>
      <c r="FFS64" s="21"/>
      <c r="FFT64" s="21"/>
      <c r="FFU64" s="21"/>
      <c r="FFV64" s="21"/>
      <c r="FFW64" s="21"/>
      <c r="FFX64" s="21"/>
      <c r="FFY64" s="21"/>
      <c r="FFZ64" s="21"/>
      <c r="FGA64" s="21"/>
      <c r="FGB64" s="21"/>
      <c r="FGC64" s="21"/>
      <c r="FGD64" s="21"/>
      <c r="FGE64" s="21"/>
      <c r="FGF64" s="21"/>
      <c r="FGG64" s="21"/>
      <c r="FGH64" s="21"/>
      <c r="FGI64" s="21"/>
      <c r="FGJ64" s="21"/>
      <c r="FGK64" s="21"/>
      <c r="FGL64" s="21"/>
      <c r="FGM64" s="21"/>
      <c r="FGN64" s="21"/>
      <c r="FGO64" s="21"/>
      <c r="FGP64" s="21"/>
      <c r="FGQ64" s="21"/>
      <c r="FGR64" s="21"/>
      <c r="FGS64" s="21"/>
      <c r="FGT64" s="21"/>
      <c r="FGU64" s="21"/>
      <c r="FGV64" s="21"/>
      <c r="FGW64" s="21"/>
      <c r="FGX64" s="21"/>
      <c r="FGY64" s="21"/>
      <c r="FGZ64" s="21"/>
      <c r="FHA64" s="21"/>
      <c r="FHB64" s="21"/>
      <c r="FHC64" s="21"/>
      <c r="FHD64" s="21"/>
      <c r="FHE64" s="21"/>
      <c r="FHF64" s="21"/>
      <c r="FHG64" s="21"/>
      <c r="FHH64" s="21"/>
      <c r="FHI64" s="21"/>
      <c r="FHJ64" s="21"/>
      <c r="FHK64" s="21"/>
      <c r="FHL64" s="21"/>
      <c r="FHM64" s="21"/>
      <c r="FHN64" s="21"/>
      <c r="FHO64" s="21"/>
      <c r="FHP64" s="21"/>
      <c r="FHQ64" s="21"/>
      <c r="FHR64" s="21"/>
      <c r="FHS64" s="21"/>
      <c r="FHT64" s="21"/>
      <c r="FHU64" s="21"/>
      <c r="FHV64" s="21"/>
      <c r="FHW64" s="21"/>
      <c r="FHX64" s="21"/>
      <c r="FHY64" s="21"/>
      <c r="FHZ64" s="21"/>
      <c r="FIA64" s="21"/>
      <c r="FIB64" s="21"/>
      <c r="FIC64" s="21"/>
      <c r="FID64" s="21"/>
      <c r="FIE64" s="21"/>
      <c r="FIF64" s="21"/>
      <c r="FIG64" s="21"/>
      <c r="FIH64" s="21"/>
      <c r="FII64" s="21"/>
      <c r="FIJ64" s="21"/>
      <c r="FIK64" s="21"/>
      <c r="FIL64" s="21"/>
      <c r="FIM64" s="21"/>
      <c r="FIN64" s="21"/>
      <c r="FIO64" s="21"/>
      <c r="FIP64" s="21"/>
      <c r="FIQ64" s="21"/>
      <c r="FIR64" s="21"/>
      <c r="FIS64" s="21"/>
      <c r="FIT64" s="21"/>
      <c r="FIU64" s="21"/>
      <c r="FIV64" s="21"/>
      <c r="FIW64" s="21"/>
      <c r="FIX64" s="21"/>
      <c r="FIY64" s="21"/>
      <c r="FIZ64" s="21"/>
      <c r="FJA64" s="21"/>
      <c r="FJB64" s="21"/>
      <c r="FJC64" s="21"/>
      <c r="FJD64" s="21"/>
      <c r="FJE64" s="21"/>
      <c r="FJF64" s="21"/>
      <c r="FJG64" s="21"/>
      <c r="FJH64" s="21"/>
      <c r="FJI64" s="21"/>
      <c r="FJJ64" s="21"/>
      <c r="FJK64" s="21"/>
      <c r="FJL64" s="21"/>
      <c r="FJM64" s="21"/>
      <c r="FJN64" s="21"/>
      <c r="FJO64" s="21"/>
      <c r="FJP64" s="21"/>
      <c r="FJQ64" s="21"/>
      <c r="FJR64" s="21"/>
      <c r="FJS64" s="21"/>
      <c r="FJT64" s="21"/>
      <c r="FJU64" s="21"/>
      <c r="FJV64" s="21"/>
      <c r="FJW64" s="21"/>
      <c r="FJX64" s="21"/>
      <c r="FJY64" s="21"/>
      <c r="FJZ64" s="21"/>
      <c r="FKA64" s="21"/>
      <c r="FKB64" s="21"/>
      <c r="FKC64" s="21"/>
      <c r="FKD64" s="21"/>
      <c r="FKE64" s="21"/>
      <c r="FKF64" s="21"/>
      <c r="FKG64" s="21"/>
      <c r="FKH64" s="21"/>
      <c r="FKI64" s="21"/>
      <c r="FKJ64" s="21"/>
      <c r="FKK64" s="21"/>
      <c r="FKL64" s="21"/>
      <c r="FKM64" s="21"/>
      <c r="FKN64" s="21"/>
      <c r="FKO64" s="21"/>
      <c r="FKP64" s="21"/>
      <c r="FKQ64" s="21"/>
      <c r="FKR64" s="21"/>
      <c r="FKS64" s="21"/>
      <c r="FKT64" s="21"/>
      <c r="FKU64" s="21"/>
      <c r="FKV64" s="21"/>
      <c r="FKW64" s="21"/>
      <c r="FKX64" s="21"/>
      <c r="FKY64" s="21"/>
      <c r="FKZ64" s="21"/>
      <c r="FLA64" s="21"/>
      <c r="FLB64" s="21"/>
      <c r="FLC64" s="21"/>
      <c r="FLD64" s="21"/>
      <c r="FLE64" s="21"/>
      <c r="FLF64" s="21"/>
      <c r="FLG64" s="21"/>
      <c r="FLH64" s="21"/>
      <c r="FLI64" s="21"/>
      <c r="FLJ64" s="21"/>
      <c r="FLK64" s="21"/>
      <c r="FLL64" s="21"/>
      <c r="FLM64" s="21"/>
      <c r="FLN64" s="21"/>
      <c r="FLO64" s="21"/>
      <c r="FLP64" s="21"/>
      <c r="FLQ64" s="21"/>
      <c r="FLR64" s="21"/>
      <c r="FLS64" s="21"/>
      <c r="FLT64" s="21"/>
      <c r="FLU64" s="21"/>
      <c r="FLV64" s="21"/>
      <c r="FLW64" s="21"/>
      <c r="FLX64" s="21"/>
      <c r="FLY64" s="21"/>
      <c r="FLZ64" s="21"/>
      <c r="FMA64" s="21"/>
      <c r="FMB64" s="21"/>
      <c r="FMC64" s="21"/>
      <c r="FMD64" s="21"/>
      <c r="FME64" s="21"/>
      <c r="FMF64" s="21"/>
      <c r="FMG64" s="21"/>
      <c r="FMH64" s="21"/>
      <c r="FMI64" s="21"/>
      <c r="FMJ64" s="21"/>
      <c r="FMK64" s="21"/>
      <c r="FML64" s="21"/>
      <c r="FMM64" s="21"/>
      <c r="FMN64" s="21"/>
      <c r="FMO64" s="21"/>
      <c r="FMP64" s="21"/>
      <c r="FMQ64" s="21"/>
      <c r="FMR64" s="21"/>
      <c r="FMS64" s="21"/>
      <c r="FMT64" s="21"/>
      <c r="FMU64" s="21"/>
      <c r="FMV64" s="21"/>
      <c r="FMW64" s="21"/>
      <c r="FMX64" s="21"/>
      <c r="FMY64" s="21"/>
      <c r="FMZ64" s="21"/>
      <c r="FNA64" s="21"/>
      <c r="FNB64" s="21"/>
      <c r="FNC64" s="21"/>
      <c r="FND64" s="21"/>
      <c r="FNE64" s="21"/>
      <c r="FNF64" s="21"/>
      <c r="FNG64" s="21"/>
      <c r="FNH64" s="21"/>
      <c r="FNI64" s="21"/>
      <c r="FNJ64" s="21"/>
      <c r="FNK64" s="21"/>
      <c r="FNL64" s="21"/>
      <c r="FNM64" s="21"/>
      <c r="FNN64" s="21"/>
      <c r="FNO64" s="21"/>
      <c r="FNP64" s="21"/>
      <c r="FNQ64" s="21"/>
      <c r="FNR64" s="21"/>
      <c r="FNS64" s="21"/>
      <c r="FNT64" s="21"/>
      <c r="FNU64" s="21"/>
      <c r="FNV64" s="21"/>
      <c r="FNW64" s="21"/>
      <c r="FNX64" s="21"/>
      <c r="FNY64" s="21"/>
      <c r="FNZ64" s="21"/>
      <c r="FOA64" s="21"/>
      <c r="FOB64" s="21"/>
      <c r="FOC64" s="21"/>
      <c r="FOD64" s="21"/>
      <c r="FOE64" s="21"/>
      <c r="FOF64" s="21"/>
      <c r="FOG64" s="21"/>
      <c r="FOH64" s="21"/>
      <c r="FOI64" s="21"/>
      <c r="FOJ64" s="21"/>
      <c r="FOK64" s="21"/>
      <c r="FOL64" s="21"/>
      <c r="FOM64" s="21"/>
      <c r="FON64" s="21"/>
      <c r="FOO64" s="21"/>
      <c r="FOP64" s="21"/>
      <c r="FOQ64" s="21"/>
      <c r="FOR64" s="21"/>
      <c r="FOS64" s="21"/>
      <c r="FOT64" s="21"/>
      <c r="FOU64" s="21"/>
      <c r="FOV64" s="21"/>
      <c r="FOW64" s="21"/>
      <c r="FOX64" s="21"/>
      <c r="FOY64" s="21"/>
      <c r="FOZ64" s="21"/>
      <c r="FPA64" s="21"/>
      <c r="FPB64" s="21"/>
      <c r="FPC64" s="21"/>
      <c r="FPD64" s="21"/>
      <c r="FPE64" s="21"/>
      <c r="FPF64" s="21"/>
      <c r="FPG64" s="21"/>
      <c r="FPH64" s="21"/>
      <c r="FPI64" s="21"/>
      <c r="FPJ64" s="21"/>
      <c r="FPK64" s="21"/>
      <c r="FPL64" s="21"/>
      <c r="FPM64" s="21"/>
      <c r="FPN64" s="21"/>
      <c r="FPO64" s="21"/>
      <c r="FPP64" s="21"/>
      <c r="FPQ64" s="21"/>
      <c r="FPR64" s="21"/>
      <c r="FPS64" s="21"/>
      <c r="FPT64" s="21"/>
      <c r="FPU64" s="21"/>
      <c r="FPV64" s="21"/>
      <c r="FPW64" s="21"/>
      <c r="FPX64" s="21"/>
      <c r="FPY64" s="21"/>
      <c r="FPZ64" s="21"/>
      <c r="FQA64" s="21"/>
      <c r="FQB64" s="21"/>
      <c r="FQC64" s="21"/>
      <c r="FQD64" s="21"/>
      <c r="FQE64" s="21"/>
      <c r="FQF64" s="21"/>
      <c r="FQG64" s="21"/>
      <c r="FQH64" s="21"/>
      <c r="FQI64" s="21"/>
      <c r="FQJ64" s="21"/>
      <c r="FQK64" s="21"/>
      <c r="FQL64" s="21"/>
      <c r="FQM64" s="21"/>
      <c r="FQN64" s="21"/>
      <c r="FQO64" s="21"/>
      <c r="FQP64" s="21"/>
      <c r="FQQ64" s="21"/>
      <c r="FQR64" s="21"/>
      <c r="FQS64" s="21"/>
      <c r="FQT64" s="21"/>
      <c r="FQU64" s="21"/>
      <c r="FQV64" s="21"/>
      <c r="FQW64" s="21"/>
      <c r="FQX64" s="21"/>
      <c r="FQY64" s="21"/>
      <c r="FQZ64" s="21"/>
      <c r="FRA64" s="21"/>
      <c r="FRB64" s="21"/>
      <c r="FRC64" s="21"/>
      <c r="FRD64" s="21"/>
      <c r="FRE64" s="21"/>
      <c r="FRF64" s="21"/>
      <c r="FRG64" s="21"/>
      <c r="FRH64" s="21"/>
      <c r="FRI64" s="21"/>
      <c r="FRJ64" s="21"/>
      <c r="FRK64" s="21"/>
      <c r="FRL64" s="21"/>
      <c r="FRM64" s="21"/>
      <c r="FRN64" s="21"/>
      <c r="FRO64" s="21"/>
      <c r="FRP64" s="21"/>
      <c r="FRQ64" s="21"/>
      <c r="FRR64" s="21"/>
      <c r="FRS64" s="21"/>
      <c r="FRT64" s="21"/>
      <c r="FRU64" s="21"/>
      <c r="FRV64" s="21"/>
      <c r="FRW64" s="21"/>
      <c r="FRX64" s="21"/>
      <c r="FRY64" s="21"/>
      <c r="FRZ64" s="21"/>
      <c r="FSA64" s="21"/>
      <c r="FSB64" s="21"/>
      <c r="FSC64" s="21"/>
      <c r="FSD64" s="21"/>
      <c r="FSE64" s="21"/>
      <c r="FSF64" s="21"/>
      <c r="FSG64" s="21"/>
      <c r="FSH64" s="21"/>
      <c r="FSI64" s="21"/>
      <c r="FSJ64" s="21"/>
      <c r="FSK64" s="21"/>
      <c r="FSL64" s="21"/>
      <c r="FSM64" s="21"/>
      <c r="FSN64" s="21"/>
      <c r="FSO64" s="21"/>
      <c r="FSP64" s="21"/>
      <c r="FSQ64" s="21"/>
      <c r="FSR64" s="21"/>
      <c r="FSS64" s="21"/>
      <c r="FST64" s="21"/>
      <c r="FSU64" s="21"/>
      <c r="FSV64" s="21"/>
      <c r="FSW64" s="21"/>
      <c r="FSX64" s="21"/>
      <c r="FSY64" s="21"/>
      <c r="FSZ64" s="21"/>
      <c r="FTA64" s="21"/>
      <c r="FTB64" s="21"/>
      <c r="FTC64" s="21"/>
      <c r="FTD64" s="21"/>
      <c r="FTE64" s="21"/>
      <c r="FTF64" s="21"/>
      <c r="FTG64" s="21"/>
      <c r="FTH64" s="21"/>
      <c r="FTI64" s="21"/>
      <c r="FTJ64" s="21"/>
      <c r="FTK64" s="21"/>
      <c r="FTL64" s="21"/>
      <c r="FTM64" s="21"/>
      <c r="FTN64" s="21"/>
      <c r="FTO64" s="21"/>
      <c r="FTP64" s="21"/>
      <c r="FTQ64" s="21"/>
      <c r="FTR64" s="21"/>
      <c r="FTS64" s="21"/>
      <c r="FTT64" s="21"/>
      <c r="FTU64" s="21"/>
      <c r="FTV64" s="21"/>
      <c r="FTW64" s="21"/>
      <c r="FTX64" s="21"/>
      <c r="FTY64" s="21"/>
      <c r="FTZ64" s="21"/>
      <c r="FUA64" s="21"/>
      <c r="FUB64" s="21"/>
      <c r="FUC64" s="21"/>
      <c r="FUD64" s="21"/>
      <c r="FUE64" s="21"/>
      <c r="FUF64" s="21"/>
      <c r="FUG64" s="21"/>
      <c r="FUH64" s="21"/>
      <c r="FUI64" s="21"/>
      <c r="FUJ64" s="21"/>
      <c r="FUK64" s="21"/>
      <c r="FUL64" s="21"/>
      <c r="FUM64" s="21"/>
      <c r="FUN64" s="21"/>
      <c r="FUO64" s="21"/>
      <c r="FUP64" s="21"/>
      <c r="FUQ64" s="21"/>
      <c r="FUR64" s="21"/>
      <c r="FUS64" s="21"/>
      <c r="FUT64" s="21"/>
      <c r="FUU64" s="21"/>
      <c r="FUV64" s="21"/>
      <c r="FUW64" s="21"/>
      <c r="FUX64" s="21"/>
      <c r="FUY64" s="21"/>
      <c r="FUZ64" s="21"/>
      <c r="FVA64" s="21"/>
      <c r="FVB64" s="21"/>
      <c r="FVC64" s="21"/>
      <c r="FVD64" s="21"/>
      <c r="FVE64" s="21"/>
      <c r="FVF64" s="21"/>
      <c r="FVG64" s="21"/>
      <c r="FVH64" s="21"/>
      <c r="FVI64" s="21"/>
      <c r="FVJ64" s="21"/>
      <c r="FVK64" s="21"/>
      <c r="FVL64" s="21"/>
      <c r="FVM64" s="21"/>
      <c r="FVN64" s="21"/>
      <c r="FVO64" s="21"/>
      <c r="FVP64" s="21"/>
      <c r="FVQ64" s="21"/>
      <c r="FVR64" s="21"/>
      <c r="FVS64" s="21"/>
      <c r="FVT64" s="21"/>
      <c r="FVU64" s="21"/>
      <c r="FVV64" s="21"/>
      <c r="FVW64" s="21"/>
      <c r="FVX64" s="21"/>
      <c r="FVY64" s="21"/>
      <c r="FVZ64" s="21"/>
      <c r="FWA64" s="21"/>
      <c r="FWB64" s="21"/>
      <c r="FWC64" s="21"/>
      <c r="FWD64" s="21"/>
      <c r="FWE64" s="21"/>
      <c r="FWF64" s="21"/>
      <c r="FWG64" s="21"/>
      <c r="FWH64" s="21"/>
      <c r="FWI64" s="21"/>
      <c r="FWJ64" s="21"/>
      <c r="FWK64" s="21"/>
      <c r="FWL64" s="21"/>
      <c r="FWM64" s="21"/>
      <c r="FWN64" s="21"/>
      <c r="FWO64" s="21"/>
      <c r="FWP64" s="21"/>
      <c r="FWQ64" s="21"/>
      <c r="FWR64" s="21"/>
      <c r="FWS64" s="21"/>
      <c r="FWT64" s="21"/>
      <c r="FWU64" s="21"/>
      <c r="FWV64" s="21"/>
      <c r="FWW64" s="21"/>
      <c r="FWX64" s="21"/>
      <c r="FWY64" s="21"/>
      <c r="FWZ64" s="21"/>
      <c r="FXA64" s="21"/>
      <c r="FXB64" s="21"/>
      <c r="FXC64" s="21"/>
      <c r="FXD64" s="21"/>
      <c r="FXE64" s="21"/>
      <c r="FXF64" s="21"/>
      <c r="FXG64" s="21"/>
      <c r="FXH64" s="21"/>
      <c r="FXI64" s="21"/>
      <c r="FXJ64" s="21"/>
      <c r="FXK64" s="21"/>
      <c r="FXL64" s="21"/>
      <c r="FXM64" s="21"/>
      <c r="FXN64" s="21"/>
      <c r="FXO64" s="21"/>
      <c r="FXP64" s="21"/>
      <c r="FXQ64" s="21"/>
      <c r="FXR64" s="21"/>
      <c r="FXS64" s="21"/>
      <c r="FXT64" s="21"/>
      <c r="FXU64" s="21"/>
      <c r="FXV64" s="21"/>
      <c r="FXW64" s="21"/>
      <c r="FXX64" s="21"/>
      <c r="FXY64" s="21"/>
      <c r="FXZ64" s="21"/>
      <c r="FYA64" s="21"/>
      <c r="FYB64" s="21"/>
      <c r="FYC64" s="21"/>
      <c r="FYD64" s="21"/>
      <c r="FYE64" s="21"/>
      <c r="FYF64" s="21"/>
      <c r="FYG64" s="21"/>
      <c r="FYH64" s="21"/>
      <c r="FYI64" s="21"/>
      <c r="FYJ64" s="21"/>
      <c r="FYK64" s="21"/>
      <c r="FYL64" s="21"/>
      <c r="FYM64" s="21"/>
      <c r="FYN64" s="21"/>
      <c r="FYO64" s="21"/>
      <c r="FYP64" s="21"/>
      <c r="FYQ64" s="21"/>
      <c r="FYR64" s="21"/>
      <c r="FYS64" s="21"/>
      <c r="FYT64" s="21"/>
      <c r="FYU64" s="21"/>
      <c r="FYV64" s="21"/>
      <c r="FYW64" s="21"/>
      <c r="FYX64" s="21"/>
      <c r="FYY64" s="21"/>
      <c r="FYZ64" s="21"/>
      <c r="FZA64" s="21"/>
      <c r="FZB64" s="21"/>
      <c r="FZC64" s="21"/>
      <c r="FZD64" s="21"/>
      <c r="FZE64" s="21"/>
      <c r="FZF64" s="21"/>
      <c r="FZG64" s="21"/>
      <c r="FZH64" s="21"/>
      <c r="FZI64" s="21"/>
      <c r="FZJ64" s="21"/>
      <c r="FZK64" s="21"/>
      <c r="FZL64" s="21"/>
      <c r="FZM64" s="21"/>
      <c r="FZN64" s="21"/>
      <c r="FZO64" s="21"/>
      <c r="FZP64" s="21"/>
      <c r="FZQ64" s="21"/>
      <c r="FZR64" s="21"/>
      <c r="FZS64" s="21"/>
      <c r="FZT64" s="21"/>
      <c r="FZU64" s="21"/>
      <c r="FZV64" s="21"/>
      <c r="FZW64" s="21"/>
      <c r="FZX64" s="21"/>
      <c r="FZY64" s="21"/>
      <c r="FZZ64" s="21"/>
      <c r="GAA64" s="21"/>
      <c r="GAB64" s="21"/>
      <c r="GAC64" s="21"/>
      <c r="GAD64" s="21"/>
      <c r="GAE64" s="21"/>
      <c r="GAF64" s="21"/>
      <c r="GAG64" s="21"/>
      <c r="GAH64" s="21"/>
      <c r="GAI64" s="21"/>
      <c r="GAJ64" s="21"/>
      <c r="GAK64" s="21"/>
      <c r="GAL64" s="21"/>
      <c r="GAM64" s="21"/>
      <c r="GAN64" s="21"/>
      <c r="GAO64" s="21"/>
      <c r="GAP64" s="21"/>
      <c r="GAQ64" s="21"/>
      <c r="GAR64" s="21"/>
      <c r="GAS64" s="21"/>
      <c r="GAT64" s="21"/>
      <c r="GAU64" s="21"/>
      <c r="GAV64" s="21"/>
      <c r="GAW64" s="21"/>
      <c r="GAX64" s="21"/>
      <c r="GAY64" s="21"/>
      <c r="GAZ64" s="21"/>
      <c r="GBA64" s="21"/>
      <c r="GBB64" s="21"/>
      <c r="GBC64" s="21"/>
      <c r="GBD64" s="21"/>
      <c r="GBE64" s="21"/>
      <c r="GBF64" s="21"/>
      <c r="GBG64" s="21"/>
      <c r="GBH64" s="21"/>
      <c r="GBI64" s="21"/>
      <c r="GBJ64" s="21"/>
      <c r="GBK64" s="21"/>
      <c r="GBL64" s="21"/>
      <c r="GBM64" s="21"/>
      <c r="GBN64" s="21"/>
      <c r="GBO64" s="21"/>
      <c r="GBP64" s="21"/>
      <c r="GBQ64" s="21"/>
      <c r="GBR64" s="21"/>
      <c r="GBS64" s="21"/>
      <c r="GBT64" s="21"/>
      <c r="GBU64" s="21"/>
      <c r="GBV64" s="21"/>
      <c r="GBW64" s="21"/>
      <c r="GBX64" s="21"/>
      <c r="GBY64" s="21"/>
      <c r="GBZ64" s="21"/>
      <c r="GCA64" s="21"/>
      <c r="GCB64" s="21"/>
      <c r="GCC64" s="21"/>
      <c r="GCD64" s="21"/>
      <c r="GCE64" s="21"/>
      <c r="GCF64" s="21"/>
      <c r="GCG64" s="21"/>
      <c r="GCH64" s="21"/>
      <c r="GCI64" s="21"/>
      <c r="GCJ64" s="21"/>
      <c r="GCK64" s="21"/>
      <c r="GCL64" s="21"/>
      <c r="GCM64" s="21"/>
      <c r="GCN64" s="21"/>
      <c r="GCO64" s="21"/>
      <c r="GCP64" s="21"/>
      <c r="GCQ64" s="21"/>
      <c r="GCR64" s="21"/>
      <c r="GCS64" s="21"/>
      <c r="GCT64" s="21"/>
      <c r="GCU64" s="21"/>
      <c r="GCV64" s="21"/>
      <c r="GCW64" s="21"/>
      <c r="GCX64" s="21"/>
      <c r="GCY64" s="21"/>
      <c r="GCZ64" s="21"/>
      <c r="GDA64" s="21"/>
      <c r="GDB64" s="21"/>
      <c r="GDC64" s="21"/>
      <c r="GDD64" s="21"/>
      <c r="GDE64" s="21"/>
      <c r="GDF64" s="21"/>
      <c r="GDG64" s="21"/>
      <c r="GDH64" s="21"/>
      <c r="GDI64" s="21"/>
      <c r="GDJ64" s="21"/>
      <c r="GDK64" s="21"/>
      <c r="GDL64" s="21"/>
      <c r="GDM64" s="21"/>
      <c r="GDN64" s="21"/>
      <c r="GDO64" s="21"/>
      <c r="GDP64" s="21"/>
      <c r="GDQ64" s="21"/>
      <c r="GDR64" s="21"/>
      <c r="GDS64" s="21"/>
      <c r="GDT64" s="21"/>
      <c r="GDU64" s="21"/>
      <c r="GDV64" s="21"/>
      <c r="GDW64" s="21"/>
      <c r="GDX64" s="21"/>
      <c r="GDY64" s="21"/>
      <c r="GDZ64" s="21"/>
      <c r="GEA64" s="21"/>
      <c r="GEB64" s="21"/>
      <c r="GEC64" s="21"/>
      <c r="GED64" s="21"/>
      <c r="GEE64" s="21"/>
      <c r="GEF64" s="21"/>
      <c r="GEG64" s="21"/>
      <c r="GEH64" s="21"/>
      <c r="GEI64" s="21"/>
      <c r="GEJ64" s="21"/>
      <c r="GEK64" s="21"/>
      <c r="GEL64" s="21"/>
      <c r="GEM64" s="21"/>
      <c r="GEN64" s="21"/>
      <c r="GEO64" s="21"/>
      <c r="GEP64" s="21"/>
      <c r="GEQ64" s="21"/>
      <c r="GER64" s="21"/>
      <c r="GES64" s="21"/>
      <c r="GET64" s="21"/>
      <c r="GEU64" s="21"/>
      <c r="GEV64" s="21"/>
      <c r="GEW64" s="21"/>
      <c r="GEX64" s="21"/>
      <c r="GEY64" s="21"/>
      <c r="GEZ64" s="21"/>
      <c r="GFA64" s="21"/>
      <c r="GFB64" s="21"/>
      <c r="GFC64" s="21"/>
      <c r="GFD64" s="21"/>
      <c r="GFE64" s="21"/>
      <c r="GFF64" s="21"/>
      <c r="GFG64" s="21"/>
      <c r="GFH64" s="21"/>
      <c r="GFI64" s="21"/>
      <c r="GFJ64" s="21"/>
      <c r="GFK64" s="21"/>
      <c r="GFL64" s="21"/>
      <c r="GFM64" s="21"/>
      <c r="GFN64" s="21"/>
      <c r="GFO64" s="21"/>
      <c r="GFP64" s="21"/>
      <c r="GFQ64" s="21"/>
      <c r="GFR64" s="21"/>
      <c r="GFS64" s="21"/>
      <c r="GFT64" s="21"/>
      <c r="GFU64" s="21"/>
      <c r="GFV64" s="21"/>
      <c r="GFW64" s="21"/>
      <c r="GFX64" s="21"/>
      <c r="GFY64" s="21"/>
      <c r="GFZ64" s="21"/>
      <c r="GGA64" s="21"/>
      <c r="GGB64" s="21"/>
      <c r="GGC64" s="21"/>
      <c r="GGD64" s="21"/>
      <c r="GGE64" s="21"/>
      <c r="GGF64" s="21"/>
      <c r="GGG64" s="21"/>
      <c r="GGH64" s="21"/>
      <c r="GGI64" s="21"/>
      <c r="GGJ64" s="21"/>
      <c r="GGK64" s="21"/>
      <c r="GGL64" s="21"/>
      <c r="GGM64" s="21"/>
      <c r="GGN64" s="21"/>
      <c r="GGO64" s="21"/>
      <c r="GGP64" s="21"/>
      <c r="GGQ64" s="21"/>
      <c r="GGR64" s="21"/>
      <c r="GGS64" s="21"/>
      <c r="GGT64" s="21"/>
      <c r="GGU64" s="21"/>
      <c r="GGV64" s="21"/>
      <c r="GGW64" s="21"/>
      <c r="GGX64" s="21"/>
      <c r="GGY64" s="21"/>
      <c r="GGZ64" s="21"/>
      <c r="GHA64" s="21"/>
      <c r="GHB64" s="21"/>
      <c r="GHC64" s="21"/>
      <c r="GHD64" s="21"/>
      <c r="GHE64" s="21"/>
      <c r="GHF64" s="21"/>
      <c r="GHG64" s="21"/>
      <c r="GHH64" s="21"/>
      <c r="GHI64" s="21"/>
      <c r="GHJ64" s="21"/>
      <c r="GHK64" s="21"/>
      <c r="GHL64" s="21"/>
      <c r="GHM64" s="21"/>
      <c r="GHN64" s="21"/>
      <c r="GHO64" s="21"/>
      <c r="GHP64" s="21"/>
      <c r="GHQ64" s="21"/>
      <c r="GHR64" s="21"/>
      <c r="GHS64" s="21"/>
      <c r="GHT64" s="21"/>
      <c r="GHU64" s="21"/>
      <c r="GHV64" s="21"/>
      <c r="GHW64" s="21"/>
      <c r="GHX64" s="21"/>
      <c r="GHY64" s="21"/>
      <c r="GHZ64" s="21"/>
      <c r="GIA64" s="21"/>
      <c r="GIB64" s="21"/>
      <c r="GIC64" s="21"/>
      <c r="GID64" s="21"/>
      <c r="GIE64" s="21"/>
      <c r="GIF64" s="21"/>
      <c r="GIG64" s="21"/>
      <c r="GIH64" s="21"/>
      <c r="GII64" s="21"/>
      <c r="GIJ64" s="21"/>
      <c r="GIK64" s="21"/>
      <c r="GIL64" s="21"/>
      <c r="GIM64" s="21"/>
      <c r="GIN64" s="21"/>
      <c r="GIO64" s="21"/>
      <c r="GIP64" s="21"/>
      <c r="GIQ64" s="21"/>
      <c r="GIR64" s="21"/>
      <c r="GIS64" s="21"/>
      <c r="GIT64" s="21"/>
      <c r="GIU64" s="21"/>
      <c r="GIV64" s="21"/>
      <c r="GIW64" s="21"/>
      <c r="GIX64" s="21"/>
      <c r="GIY64" s="21"/>
      <c r="GIZ64" s="21"/>
      <c r="GJA64" s="21"/>
      <c r="GJB64" s="21"/>
      <c r="GJC64" s="21"/>
      <c r="GJD64" s="21"/>
      <c r="GJE64" s="21"/>
      <c r="GJF64" s="21"/>
      <c r="GJG64" s="21"/>
      <c r="GJH64" s="21"/>
      <c r="GJI64" s="21"/>
      <c r="GJJ64" s="21"/>
      <c r="GJK64" s="21"/>
      <c r="GJL64" s="21"/>
      <c r="GJM64" s="21"/>
      <c r="GJN64" s="21"/>
      <c r="GJO64" s="21"/>
      <c r="GJP64" s="21"/>
      <c r="GJQ64" s="21"/>
      <c r="GJR64" s="21"/>
      <c r="GJS64" s="21"/>
      <c r="GJT64" s="21"/>
      <c r="GJU64" s="21"/>
      <c r="GJV64" s="21"/>
      <c r="GJW64" s="21"/>
      <c r="GJX64" s="21"/>
      <c r="GJY64" s="21"/>
      <c r="GJZ64" s="21"/>
      <c r="GKA64" s="21"/>
      <c r="GKB64" s="21"/>
      <c r="GKC64" s="21"/>
      <c r="GKD64" s="21"/>
      <c r="GKE64" s="21"/>
      <c r="GKF64" s="21"/>
      <c r="GKG64" s="21"/>
      <c r="GKH64" s="21"/>
      <c r="GKI64" s="21"/>
      <c r="GKJ64" s="21"/>
      <c r="GKK64" s="21"/>
      <c r="GKL64" s="21"/>
      <c r="GKM64" s="21"/>
      <c r="GKN64" s="21"/>
      <c r="GKO64" s="21"/>
      <c r="GKP64" s="21"/>
      <c r="GKQ64" s="21"/>
      <c r="GKR64" s="21"/>
      <c r="GKS64" s="21"/>
      <c r="GKT64" s="21"/>
      <c r="GKU64" s="21"/>
      <c r="GKV64" s="21"/>
      <c r="GKW64" s="21"/>
      <c r="GKX64" s="21"/>
      <c r="GKY64" s="21"/>
      <c r="GKZ64" s="21"/>
      <c r="GLA64" s="21"/>
      <c r="GLB64" s="21"/>
      <c r="GLC64" s="21"/>
      <c r="GLD64" s="21"/>
      <c r="GLE64" s="21"/>
      <c r="GLF64" s="21"/>
      <c r="GLG64" s="21"/>
      <c r="GLH64" s="21"/>
      <c r="GLI64" s="21"/>
      <c r="GLJ64" s="21"/>
      <c r="GLK64" s="21"/>
      <c r="GLL64" s="21"/>
      <c r="GLM64" s="21"/>
      <c r="GLN64" s="21"/>
      <c r="GLO64" s="21"/>
      <c r="GLP64" s="21"/>
      <c r="GLQ64" s="21"/>
      <c r="GLR64" s="21"/>
      <c r="GLS64" s="21"/>
      <c r="GLT64" s="21"/>
      <c r="GLU64" s="21"/>
      <c r="GLV64" s="21"/>
      <c r="GLW64" s="21"/>
      <c r="GLX64" s="21"/>
      <c r="GLY64" s="21"/>
      <c r="GLZ64" s="21"/>
      <c r="GMA64" s="21"/>
      <c r="GMB64" s="21"/>
      <c r="GMC64" s="21"/>
      <c r="GMD64" s="21"/>
      <c r="GME64" s="21"/>
      <c r="GMF64" s="21"/>
      <c r="GMG64" s="21"/>
      <c r="GMH64" s="21"/>
      <c r="GMI64" s="21"/>
      <c r="GMJ64" s="21"/>
      <c r="GMK64" s="21"/>
      <c r="GML64" s="21"/>
      <c r="GMM64" s="21"/>
      <c r="GMN64" s="21"/>
      <c r="GMO64" s="21"/>
      <c r="GMP64" s="21"/>
      <c r="GMQ64" s="21"/>
      <c r="GMR64" s="21"/>
      <c r="GMS64" s="21"/>
      <c r="GMT64" s="21"/>
      <c r="GMU64" s="21"/>
      <c r="GMV64" s="21"/>
      <c r="GMW64" s="21"/>
      <c r="GMX64" s="21"/>
      <c r="GMY64" s="21"/>
      <c r="GMZ64" s="21"/>
      <c r="GNA64" s="21"/>
      <c r="GNB64" s="21"/>
      <c r="GNC64" s="21"/>
      <c r="GND64" s="21"/>
      <c r="GNE64" s="21"/>
      <c r="GNF64" s="21"/>
      <c r="GNG64" s="21"/>
      <c r="GNH64" s="21"/>
      <c r="GNI64" s="21"/>
      <c r="GNJ64" s="21"/>
      <c r="GNK64" s="21"/>
      <c r="GNL64" s="21"/>
      <c r="GNM64" s="21"/>
      <c r="GNN64" s="21"/>
      <c r="GNO64" s="21"/>
      <c r="GNP64" s="21"/>
      <c r="GNQ64" s="21"/>
      <c r="GNR64" s="21"/>
      <c r="GNS64" s="21"/>
      <c r="GNT64" s="21"/>
      <c r="GNU64" s="21"/>
      <c r="GNV64" s="21"/>
      <c r="GNW64" s="21"/>
      <c r="GNX64" s="21"/>
      <c r="GNY64" s="21"/>
      <c r="GNZ64" s="21"/>
      <c r="GOA64" s="21"/>
      <c r="GOB64" s="21"/>
      <c r="GOC64" s="21"/>
      <c r="GOD64" s="21"/>
      <c r="GOE64" s="21"/>
      <c r="GOF64" s="21"/>
      <c r="GOG64" s="21"/>
      <c r="GOH64" s="21"/>
      <c r="GOI64" s="21"/>
      <c r="GOJ64" s="21"/>
      <c r="GOK64" s="21"/>
      <c r="GOL64" s="21"/>
      <c r="GOM64" s="21"/>
      <c r="GON64" s="21"/>
      <c r="GOO64" s="21"/>
      <c r="GOP64" s="21"/>
      <c r="GOQ64" s="21"/>
      <c r="GOR64" s="21"/>
      <c r="GOS64" s="21"/>
      <c r="GOT64" s="21"/>
      <c r="GOU64" s="21"/>
      <c r="GOV64" s="21"/>
      <c r="GOW64" s="21"/>
      <c r="GOX64" s="21"/>
      <c r="GOY64" s="21"/>
      <c r="GOZ64" s="21"/>
      <c r="GPA64" s="21"/>
      <c r="GPB64" s="21"/>
      <c r="GPC64" s="21"/>
      <c r="GPD64" s="21"/>
      <c r="GPE64" s="21"/>
      <c r="GPF64" s="21"/>
      <c r="GPG64" s="21"/>
      <c r="GPH64" s="21"/>
      <c r="GPI64" s="21"/>
      <c r="GPJ64" s="21"/>
      <c r="GPK64" s="21"/>
      <c r="GPL64" s="21"/>
      <c r="GPM64" s="21"/>
      <c r="GPN64" s="21"/>
      <c r="GPO64" s="21"/>
      <c r="GPP64" s="21"/>
      <c r="GPQ64" s="21"/>
      <c r="GPR64" s="21"/>
      <c r="GPS64" s="21"/>
      <c r="GPT64" s="21"/>
      <c r="GPU64" s="21"/>
      <c r="GPV64" s="21"/>
      <c r="GPW64" s="21"/>
      <c r="GPX64" s="21"/>
      <c r="GPY64" s="21"/>
      <c r="GPZ64" s="21"/>
      <c r="GQA64" s="21"/>
      <c r="GQB64" s="21"/>
      <c r="GQC64" s="21"/>
      <c r="GQD64" s="21"/>
      <c r="GQE64" s="21"/>
      <c r="GQF64" s="21"/>
      <c r="GQG64" s="21"/>
      <c r="GQH64" s="21"/>
      <c r="GQI64" s="21"/>
      <c r="GQJ64" s="21"/>
      <c r="GQK64" s="21"/>
      <c r="GQL64" s="21"/>
      <c r="GQM64" s="21"/>
      <c r="GQN64" s="21"/>
      <c r="GQO64" s="21"/>
      <c r="GQP64" s="21"/>
      <c r="GQQ64" s="21"/>
      <c r="GQR64" s="21"/>
      <c r="GQS64" s="21"/>
      <c r="GQT64" s="21"/>
      <c r="GQU64" s="21"/>
      <c r="GQV64" s="21"/>
      <c r="GQW64" s="21"/>
      <c r="GQX64" s="21"/>
      <c r="GQY64" s="21"/>
      <c r="GQZ64" s="21"/>
      <c r="GRA64" s="21"/>
      <c r="GRB64" s="21"/>
      <c r="GRC64" s="21"/>
      <c r="GRD64" s="21"/>
      <c r="GRE64" s="21"/>
      <c r="GRF64" s="21"/>
      <c r="GRG64" s="21"/>
      <c r="GRH64" s="21"/>
      <c r="GRI64" s="21"/>
      <c r="GRJ64" s="21"/>
      <c r="GRK64" s="21"/>
      <c r="GRL64" s="21"/>
      <c r="GRM64" s="21"/>
      <c r="GRN64" s="21"/>
      <c r="GRO64" s="21"/>
      <c r="GRP64" s="21"/>
      <c r="GRQ64" s="21"/>
      <c r="GRR64" s="21"/>
      <c r="GRS64" s="21"/>
      <c r="GRT64" s="21"/>
      <c r="GRU64" s="21"/>
      <c r="GRV64" s="21"/>
      <c r="GRW64" s="21"/>
      <c r="GRX64" s="21"/>
      <c r="GRY64" s="21"/>
      <c r="GRZ64" s="21"/>
      <c r="GSA64" s="21"/>
      <c r="GSB64" s="21"/>
      <c r="GSC64" s="21"/>
      <c r="GSD64" s="21"/>
      <c r="GSE64" s="21"/>
      <c r="GSF64" s="21"/>
      <c r="GSG64" s="21"/>
      <c r="GSH64" s="21"/>
      <c r="GSI64" s="21"/>
      <c r="GSJ64" s="21"/>
      <c r="GSK64" s="21"/>
      <c r="GSL64" s="21"/>
      <c r="GSM64" s="21"/>
      <c r="GSN64" s="21"/>
      <c r="GSO64" s="21"/>
      <c r="GSP64" s="21"/>
      <c r="GSQ64" s="21"/>
      <c r="GSR64" s="21"/>
      <c r="GSS64" s="21"/>
      <c r="GST64" s="21"/>
      <c r="GSU64" s="21"/>
      <c r="GSV64" s="21"/>
      <c r="GSW64" s="21"/>
      <c r="GSX64" s="21"/>
      <c r="GSY64" s="21"/>
      <c r="GSZ64" s="21"/>
      <c r="GTA64" s="21"/>
      <c r="GTB64" s="21"/>
      <c r="GTC64" s="21"/>
      <c r="GTD64" s="21"/>
      <c r="GTE64" s="21"/>
      <c r="GTF64" s="21"/>
      <c r="GTG64" s="21"/>
      <c r="GTH64" s="21"/>
      <c r="GTI64" s="21"/>
      <c r="GTJ64" s="21"/>
      <c r="GTK64" s="21"/>
      <c r="GTL64" s="21"/>
      <c r="GTM64" s="21"/>
      <c r="GTN64" s="21"/>
      <c r="GTO64" s="21"/>
      <c r="GTP64" s="21"/>
      <c r="GTQ64" s="21"/>
      <c r="GTR64" s="21"/>
      <c r="GTS64" s="21"/>
      <c r="GTT64" s="21"/>
      <c r="GTU64" s="21"/>
      <c r="GTV64" s="21"/>
      <c r="GTW64" s="21"/>
      <c r="GTX64" s="21"/>
      <c r="GTY64" s="21"/>
      <c r="GTZ64" s="21"/>
      <c r="GUA64" s="21"/>
      <c r="GUB64" s="21"/>
      <c r="GUC64" s="21"/>
      <c r="GUD64" s="21"/>
      <c r="GUE64" s="21"/>
      <c r="GUF64" s="21"/>
      <c r="GUG64" s="21"/>
      <c r="GUH64" s="21"/>
      <c r="GUI64" s="21"/>
      <c r="GUJ64" s="21"/>
      <c r="GUK64" s="21"/>
      <c r="GUL64" s="21"/>
      <c r="GUM64" s="21"/>
      <c r="GUN64" s="21"/>
      <c r="GUO64" s="21"/>
      <c r="GUP64" s="21"/>
      <c r="GUQ64" s="21"/>
      <c r="GUR64" s="21"/>
      <c r="GUS64" s="21"/>
      <c r="GUT64" s="21"/>
      <c r="GUU64" s="21"/>
      <c r="GUV64" s="21"/>
      <c r="GUW64" s="21"/>
      <c r="GUX64" s="21"/>
      <c r="GUY64" s="21"/>
      <c r="GUZ64" s="21"/>
      <c r="GVA64" s="21"/>
      <c r="GVB64" s="21"/>
      <c r="GVC64" s="21"/>
      <c r="GVD64" s="21"/>
      <c r="GVE64" s="21"/>
      <c r="GVF64" s="21"/>
      <c r="GVG64" s="21"/>
      <c r="GVH64" s="21"/>
      <c r="GVI64" s="21"/>
      <c r="GVJ64" s="21"/>
      <c r="GVK64" s="21"/>
      <c r="GVL64" s="21"/>
      <c r="GVM64" s="21"/>
      <c r="GVN64" s="21"/>
      <c r="GVO64" s="21"/>
      <c r="GVP64" s="21"/>
      <c r="GVQ64" s="21"/>
      <c r="GVR64" s="21"/>
      <c r="GVS64" s="21"/>
      <c r="GVT64" s="21"/>
      <c r="GVU64" s="21"/>
      <c r="GVV64" s="21"/>
      <c r="GVW64" s="21"/>
      <c r="GVX64" s="21"/>
      <c r="GVY64" s="21"/>
      <c r="GVZ64" s="21"/>
      <c r="GWA64" s="21"/>
      <c r="GWB64" s="21"/>
      <c r="GWC64" s="21"/>
      <c r="GWD64" s="21"/>
      <c r="GWE64" s="21"/>
      <c r="GWF64" s="21"/>
      <c r="GWG64" s="21"/>
      <c r="GWH64" s="21"/>
      <c r="GWI64" s="21"/>
      <c r="GWJ64" s="21"/>
      <c r="GWK64" s="21"/>
      <c r="GWL64" s="21"/>
      <c r="GWM64" s="21"/>
      <c r="GWN64" s="21"/>
      <c r="GWO64" s="21"/>
      <c r="GWP64" s="21"/>
      <c r="GWQ64" s="21"/>
      <c r="GWR64" s="21"/>
      <c r="GWS64" s="21"/>
      <c r="GWT64" s="21"/>
      <c r="GWU64" s="21"/>
      <c r="GWV64" s="21"/>
      <c r="GWW64" s="21"/>
      <c r="GWX64" s="21"/>
      <c r="GWY64" s="21"/>
      <c r="GWZ64" s="21"/>
      <c r="GXA64" s="21"/>
      <c r="GXB64" s="21"/>
      <c r="GXC64" s="21"/>
      <c r="GXD64" s="21"/>
      <c r="GXE64" s="21"/>
      <c r="GXF64" s="21"/>
      <c r="GXG64" s="21"/>
      <c r="GXH64" s="21"/>
      <c r="GXI64" s="21"/>
      <c r="GXJ64" s="21"/>
      <c r="GXK64" s="21"/>
      <c r="GXL64" s="21"/>
      <c r="GXM64" s="21"/>
      <c r="GXN64" s="21"/>
      <c r="GXO64" s="21"/>
      <c r="GXP64" s="21"/>
      <c r="GXQ64" s="21"/>
      <c r="GXR64" s="21"/>
      <c r="GXS64" s="21"/>
      <c r="GXT64" s="21"/>
      <c r="GXU64" s="21"/>
      <c r="GXV64" s="21"/>
      <c r="GXW64" s="21"/>
      <c r="GXX64" s="21"/>
      <c r="GXY64" s="21"/>
      <c r="GXZ64" s="21"/>
      <c r="GYA64" s="21"/>
      <c r="GYB64" s="21"/>
      <c r="GYC64" s="21"/>
      <c r="GYD64" s="21"/>
      <c r="GYE64" s="21"/>
      <c r="GYF64" s="21"/>
      <c r="GYG64" s="21"/>
      <c r="GYH64" s="21"/>
      <c r="GYI64" s="21"/>
      <c r="GYJ64" s="21"/>
      <c r="GYK64" s="21"/>
      <c r="GYL64" s="21"/>
      <c r="GYM64" s="21"/>
      <c r="GYN64" s="21"/>
      <c r="GYO64" s="21"/>
      <c r="GYP64" s="21"/>
      <c r="GYQ64" s="21"/>
      <c r="GYR64" s="21"/>
      <c r="GYS64" s="21"/>
      <c r="GYT64" s="21"/>
      <c r="GYU64" s="21"/>
      <c r="GYV64" s="21"/>
      <c r="GYW64" s="21"/>
      <c r="GYX64" s="21"/>
      <c r="GYY64" s="21"/>
      <c r="GYZ64" s="21"/>
      <c r="GZA64" s="21"/>
      <c r="GZB64" s="21"/>
      <c r="GZC64" s="21"/>
      <c r="GZD64" s="21"/>
      <c r="GZE64" s="21"/>
      <c r="GZF64" s="21"/>
      <c r="GZG64" s="21"/>
      <c r="GZH64" s="21"/>
      <c r="GZI64" s="21"/>
      <c r="GZJ64" s="21"/>
      <c r="GZK64" s="21"/>
      <c r="GZL64" s="21"/>
      <c r="GZM64" s="21"/>
      <c r="GZN64" s="21"/>
      <c r="GZO64" s="21"/>
      <c r="GZP64" s="21"/>
      <c r="GZQ64" s="21"/>
      <c r="GZR64" s="21"/>
      <c r="GZS64" s="21"/>
      <c r="GZT64" s="21"/>
      <c r="GZU64" s="21"/>
      <c r="GZV64" s="21"/>
      <c r="GZW64" s="21"/>
      <c r="GZX64" s="21"/>
      <c r="GZY64" s="21"/>
      <c r="GZZ64" s="21"/>
      <c r="HAA64" s="21"/>
      <c r="HAB64" s="21"/>
      <c r="HAC64" s="21"/>
      <c r="HAD64" s="21"/>
      <c r="HAE64" s="21"/>
      <c r="HAF64" s="21"/>
      <c r="HAG64" s="21"/>
      <c r="HAH64" s="21"/>
      <c r="HAI64" s="21"/>
      <c r="HAJ64" s="21"/>
      <c r="HAK64" s="21"/>
      <c r="HAL64" s="21"/>
      <c r="HAM64" s="21"/>
      <c r="HAN64" s="21"/>
      <c r="HAO64" s="21"/>
      <c r="HAP64" s="21"/>
      <c r="HAQ64" s="21"/>
      <c r="HAR64" s="21"/>
      <c r="HAS64" s="21"/>
      <c r="HAT64" s="21"/>
      <c r="HAU64" s="21"/>
      <c r="HAV64" s="21"/>
      <c r="HAW64" s="21"/>
      <c r="HAX64" s="21"/>
      <c r="HAY64" s="21"/>
      <c r="HAZ64" s="21"/>
      <c r="HBA64" s="21"/>
      <c r="HBB64" s="21"/>
      <c r="HBC64" s="21"/>
      <c r="HBD64" s="21"/>
      <c r="HBE64" s="21"/>
      <c r="HBF64" s="21"/>
      <c r="HBG64" s="21"/>
      <c r="HBH64" s="21"/>
      <c r="HBI64" s="21"/>
      <c r="HBJ64" s="21"/>
      <c r="HBK64" s="21"/>
      <c r="HBL64" s="21"/>
      <c r="HBM64" s="21"/>
      <c r="HBN64" s="21"/>
      <c r="HBO64" s="21"/>
      <c r="HBP64" s="21"/>
      <c r="HBQ64" s="21"/>
      <c r="HBR64" s="21"/>
      <c r="HBS64" s="21"/>
      <c r="HBT64" s="21"/>
      <c r="HBU64" s="21"/>
      <c r="HBV64" s="21"/>
      <c r="HBW64" s="21"/>
      <c r="HBX64" s="21"/>
      <c r="HBY64" s="21"/>
      <c r="HBZ64" s="21"/>
      <c r="HCA64" s="21"/>
      <c r="HCB64" s="21"/>
      <c r="HCC64" s="21"/>
      <c r="HCD64" s="21"/>
      <c r="HCE64" s="21"/>
      <c r="HCF64" s="21"/>
      <c r="HCG64" s="21"/>
      <c r="HCH64" s="21"/>
      <c r="HCI64" s="21"/>
      <c r="HCJ64" s="21"/>
      <c r="HCK64" s="21"/>
      <c r="HCL64" s="21"/>
      <c r="HCM64" s="21"/>
      <c r="HCN64" s="21"/>
      <c r="HCO64" s="21"/>
      <c r="HCP64" s="21"/>
      <c r="HCQ64" s="21"/>
      <c r="HCR64" s="21"/>
      <c r="HCS64" s="21"/>
      <c r="HCT64" s="21"/>
      <c r="HCU64" s="21"/>
      <c r="HCV64" s="21"/>
      <c r="HCW64" s="21"/>
      <c r="HCX64" s="21"/>
      <c r="HCY64" s="21"/>
      <c r="HCZ64" s="21"/>
      <c r="HDA64" s="21"/>
      <c r="HDB64" s="21"/>
      <c r="HDC64" s="21"/>
      <c r="HDD64" s="21"/>
      <c r="HDE64" s="21"/>
      <c r="HDF64" s="21"/>
      <c r="HDG64" s="21"/>
      <c r="HDH64" s="21"/>
      <c r="HDI64" s="21"/>
      <c r="HDJ64" s="21"/>
      <c r="HDK64" s="21"/>
      <c r="HDL64" s="21"/>
      <c r="HDM64" s="21"/>
      <c r="HDN64" s="21"/>
      <c r="HDO64" s="21"/>
      <c r="HDP64" s="21"/>
      <c r="HDQ64" s="21"/>
      <c r="HDR64" s="21"/>
      <c r="HDS64" s="21"/>
      <c r="HDT64" s="21"/>
      <c r="HDU64" s="21"/>
      <c r="HDV64" s="21"/>
      <c r="HDW64" s="21"/>
      <c r="HDX64" s="21"/>
      <c r="HDY64" s="21"/>
      <c r="HDZ64" s="21"/>
      <c r="HEA64" s="21"/>
      <c r="HEB64" s="21"/>
      <c r="HEC64" s="21"/>
      <c r="HED64" s="21"/>
      <c r="HEE64" s="21"/>
      <c r="HEF64" s="21"/>
      <c r="HEG64" s="21"/>
      <c r="HEH64" s="21"/>
      <c r="HEI64" s="21"/>
      <c r="HEJ64" s="21"/>
      <c r="HEK64" s="21"/>
      <c r="HEL64" s="21"/>
      <c r="HEM64" s="21"/>
      <c r="HEN64" s="21"/>
      <c r="HEO64" s="21"/>
      <c r="HEP64" s="21"/>
      <c r="HEQ64" s="21"/>
      <c r="HER64" s="21"/>
      <c r="HES64" s="21"/>
      <c r="HET64" s="21"/>
      <c r="HEU64" s="21"/>
      <c r="HEV64" s="21"/>
      <c r="HEW64" s="21"/>
      <c r="HEX64" s="21"/>
      <c r="HEY64" s="21"/>
      <c r="HEZ64" s="21"/>
      <c r="HFA64" s="21"/>
      <c r="HFB64" s="21"/>
      <c r="HFC64" s="21"/>
      <c r="HFD64" s="21"/>
      <c r="HFE64" s="21"/>
      <c r="HFF64" s="21"/>
      <c r="HFG64" s="21"/>
      <c r="HFH64" s="21"/>
      <c r="HFI64" s="21"/>
      <c r="HFJ64" s="21"/>
      <c r="HFK64" s="21"/>
      <c r="HFL64" s="21"/>
      <c r="HFM64" s="21"/>
      <c r="HFN64" s="21"/>
      <c r="HFO64" s="21"/>
      <c r="HFP64" s="21"/>
      <c r="HFQ64" s="21"/>
      <c r="HFR64" s="21"/>
      <c r="HFS64" s="21"/>
      <c r="HFT64" s="21"/>
      <c r="HFU64" s="21"/>
      <c r="HFV64" s="21"/>
      <c r="HFW64" s="21"/>
      <c r="HFX64" s="21"/>
      <c r="HFY64" s="21"/>
      <c r="HFZ64" s="21"/>
      <c r="HGA64" s="21"/>
      <c r="HGB64" s="21"/>
      <c r="HGC64" s="21"/>
      <c r="HGD64" s="21"/>
      <c r="HGE64" s="21"/>
      <c r="HGF64" s="21"/>
      <c r="HGG64" s="21"/>
      <c r="HGH64" s="21"/>
      <c r="HGI64" s="21"/>
      <c r="HGJ64" s="21"/>
      <c r="HGK64" s="21"/>
      <c r="HGL64" s="21"/>
      <c r="HGM64" s="21"/>
      <c r="HGN64" s="21"/>
      <c r="HGO64" s="21"/>
      <c r="HGP64" s="21"/>
      <c r="HGQ64" s="21"/>
      <c r="HGR64" s="21"/>
      <c r="HGS64" s="21"/>
      <c r="HGT64" s="21"/>
      <c r="HGU64" s="21"/>
      <c r="HGV64" s="21"/>
      <c r="HGW64" s="21"/>
      <c r="HGX64" s="21"/>
      <c r="HGY64" s="21"/>
      <c r="HGZ64" s="21"/>
      <c r="HHA64" s="21"/>
      <c r="HHB64" s="21"/>
      <c r="HHC64" s="21"/>
      <c r="HHD64" s="21"/>
      <c r="HHE64" s="21"/>
      <c r="HHF64" s="21"/>
      <c r="HHG64" s="21"/>
      <c r="HHH64" s="21"/>
      <c r="HHI64" s="21"/>
      <c r="HHJ64" s="21"/>
      <c r="HHK64" s="21"/>
      <c r="HHL64" s="21"/>
      <c r="HHM64" s="21"/>
      <c r="HHN64" s="21"/>
      <c r="HHO64" s="21"/>
      <c r="HHP64" s="21"/>
      <c r="HHQ64" s="21"/>
      <c r="HHR64" s="21"/>
      <c r="HHS64" s="21"/>
      <c r="HHT64" s="21"/>
      <c r="HHU64" s="21"/>
      <c r="HHV64" s="21"/>
      <c r="HHW64" s="21"/>
      <c r="HHX64" s="21"/>
      <c r="HHY64" s="21"/>
      <c r="HHZ64" s="21"/>
      <c r="HIA64" s="21"/>
      <c r="HIB64" s="21"/>
      <c r="HIC64" s="21"/>
      <c r="HID64" s="21"/>
      <c r="HIE64" s="21"/>
      <c r="HIF64" s="21"/>
      <c r="HIG64" s="21"/>
      <c r="HIH64" s="21"/>
      <c r="HII64" s="21"/>
      <c r="HIJ64" s="21"/>
      <c r="HIK64" s="21"/>
      <c r="HIL64" s="21"/>
      <c r="HIM64" s="21"/>
      <c r="HIN64" s="21"/>
      <c r="HIO64" s="21"/>
      <c r="HIP64" s="21"/>
      <c r="HIQ64" s="21"/>
      <c r="HIR64" s="21"/>
      <c r="HIS64" s="21"/>
      <c r="HIT64" s="21"/>
      <c r="HIU64" s="21"/>
      <c r="HIV64" s="21"/>
      <c r="HIW64" s="21"/>
      <c r="HIX64" s="21"/>
      <c r="HIY64" s="21"/>
      <c r="HIZ64" s="21"/>
      <c r="HJA64" s="21"/>
      <c r="HJB64" s="21"/>
      <c r="HJC64" s="21"/>
      <c r="HJD64" s="21"/>
      <c r="HJE64" s="21"/>
      <c r="HJF64" s="21"/>
      <c r="HJG64" s="21"/>
      <c r="HJH64" s="21"/>
      <c r="HJI64" s="21"/>
      <c r="HJJ64" s="21"/>
      <c r="HJK64" s="21"/>
      <c r="HJL64" s="21"/>
      <c r="HJM64" s="21"/>
      <c r="HJN64" s="21"/>
      <c r="HJO64" s="21"/>
      <c r="HJP64" s="21"/>
      <c r="HJQ64" s="21"/>
      <c r="HJR64" s="21"/>
      <c r="HJS64" s="21"/>
      <c r="HJT64" s="21"/>
      <c r="HJU64" s="21"/>
      <c r="HJV64" s="21"/>
      <c r="HJW64" s="21"/>
      <c r="HJX64" s="21"/>
      <c r="HJY64" s="21"/>
      <c r="HJZ64" s="21"/>
      <c r="HKA64" s="21"/>
      <c r="HKB64" s="21"/>
      <c r="HKC64" s="21"/>
      <c r="HKD64" s="21"/>
      <c r="HKE64" s="21"/>
      <c r="HKF64" s="21"/>
      <c r="HKG64" s="21"/>
      <c r="HKH64" s="21"/>
      <c r="HKI64" s="21"/>
      <c r="HKJ64" s="21"/>
      <c r="HKK64" s="21"/>
      <c r="HKL64" s="21"/>
      <c r="HKM64" s="21"/>
      <c r="HKN64" s="21"/>
      <c r="HKO64" s="21"/>
      <c r="HKP64" s="21"/>
      <c r="HKQ64" s="21"/>
      <c r="HKR64" s="21"/>
      <c r="HKS64" s="21"/>
      <c r="HKT64" s="21"/>
      <c r="HKU64" s="21"/>
      <c r="HKV64" s="21"/>
      <c r="HKW64" s="21"/>
      <c r="HKX64" s="21"/>
      <c r="HKY64" s="21"/>
      <c r="HKZ64" s="21"/>
      <c r="HLA64" s="21"/>
      <c r="HLB64" s="21"/>
      <c r="HLC64" s="21"/>
      <c r="HLD64" s="21"/>
      <c r="HLE64" s="21"/>
      <c r="HLF64" s="21"/>
      <c r="HLG64" s="21"/>
      <c r="HLH64" s="21"/>
      <c r="HLI64" s="21"/>
      <c r="HLJ64" s="21"/>
      <c r="HLK64" s="21"/>
      <c r="HLL64" s="21"/>
      <c r="HLM64" s="21"/>
      <c r="HLN64" s="21"/>
      <c r="HLO64" s="21"/>
      <c r="HLP64" s="21"/>
      <c r="HLQ64" s="21"/>
      <c r="HLR64" s="21"/>
      <c r="HLS64" s="21"/>
      <c r="HLT64" s="21"/>
      <c r="HLU64" s="21"/>
      <c r="HLV64" s="21"/>
      <c r="HLW64" s="21"/>
      <c r="HLX64" s="21"/>
      <c r="HLY64" s="21"/>
      <c r="HLZ64" s="21"/>
      <c r="HMA64" s="21"/>
      <c r="HMB64" s="21"/>
      <c r="HMC64" s="21"/>
      <c r="HMD64" s="21"/>
      <c r="HME64" s="21"/>
      <c r="HMF64" s="21"/>
      <c r="HMG64" s="21"/>
      <c r="HMH64" s="21"/>
      <c r="HMI64" s="21"/>
      <c r="HMJ64" s="21"/>
      <c r="HMK64" s="21"/>
      <c r="HML64" s="21"/>
      <c r="HMM64" s="21"/>
      <c r="HMN64" s="21"/>
      <c r="HMO64" s="21"/>
      <c r="HMP64" s="21"/>
      <c r="HMQ64" s="21"/>
      <c r="HMR64" s="21"/>
      <c r="HMS64" s="21"/>
      <c r="HMT64" s="21"/>
      <c r="HMU64" s="21"/>
      <c r="HMV64" s="21"/>
      <c r="HMW64" s="21"/>
      <c r="HMX64" s="21"/>
      <c r="HMY64" s="21"/>
      <c r="HMZ64" s="21"/>
      <c r="HNA64" s="21"/>
      <c r="HNB64" s="21"/>
      <c r="HNC64" s="21"/>
      <c r="HND64" s="21"/>
      <c r="HNE64" s="21"/>
      <c r="HNF64" s="21"/>
      <c r="HNG64" s="21"/>
      <c r="HNH64" s="21"/>
      <c r="HNI64" s="21"/>
      <c r="HNJ64" s="21"/>
      <c r="HNK64" s="21"/>
      <c r="HNL64" s="21"/>
      <c r="HNM64" s="21"/>
      <c r="HNN64" s="21"/>
      <c r="HNO64" s="21"/>
      <c r="HNP64" s="21"/>
      <c r="HNQ64" s="21"/>
      <c r="HNR64" s="21"/>
      <c r="HNS64" s="21"/>
      <c r="HNT64" s="21"/>
      <c r="HNU64" s="21"/>
      <c r="HNV64" s="21"/>
      <c r="HNW64" s="21"/>
      <c r="HNX64" s="21"/>
      <c r="HNY64" s="21"/>
      <c r="HNZ64" s="21"/>
      <c r="HOA64" s="21"/>
      <c r="HOB64" s="21"/>
      <c r="HOC64" s="21"/>
      <c r="HOD64" s="21"/>
      <c r="HOE64" s="21"/>
      <c r="HOF64" s="21"/>
      <c r="HOG64" s="21"/>
      <c r="HOH64" s="21"/>
      <c r="HOI64" s="21"/>
      <c r="HOJ64" s="21"/>
      <c r="HOK64" s="21"/>
      <c r="HOL64" s="21"/>
      <c r="HOM64" s="21"/>
      <c r="HON64" s="21"/>
      <c r="HOO64" s="21"/>
      <c r="HOP64" s="21"/>
      <c r="HOQ64" s="21"/>
      <c r="HOR64" s="21"/>
      <c r="HOS64" s="21"/>
      <c r="HOT64" s="21"/>
      <c r="HOU64" s="21"/>
      <c r="HOV64" s="21"/>
      <c r="HOW64" s="21"/>
      <c r="HOX64" s="21"/>
      <c r="HOY64" s="21"/>
      <c r="HOZ64" s="21"/>
      <c r="HPA64" s="21"/>
      <c r="HPB64" s="21"/>
      <c r="HPC64" s="21"/>
      <c r="HPD64" s="21"/>
      <c r="HPE64" s="21"/>
      <c r="HPF64" s="21"/>
      <c r="HPG64" s="21"/>
      <c r="HPH64" s="21"/>
      <c r="HPI64" s="21"/>
      <c r="HPJ64" s="21"/>
      <c r="HPK64" s="21"/>
      <c r="HPL64" s="21"/>
      <c r="HPM64" s="21"/>
      <c r="HPN64" s="21"/>
      <c r="HPO64" s="21"/>
      <c r="HPP64" s="21"/>
      <c r="HPQ64" s="21"/>
      <c r="HPR64" s="21"/>
      <c r="HPS64" s="21"/>
      <c r="HPT64" s="21"/>
      <c r="HPU64" s="21"/>
      <c r="HPV64" s="21"/>
      <c r="HPW64" s="21"/>
      <c r="HPX64" s="21"/>
      <c r="HPY64" s="21"/>
      <c r="HPZ64" s="21"/>
      <c r="HQA64" s="21"/>
      <c r="HQB64" s="21"/>
      <c r="HQC64" s="21"/>
      <c r="HQD64" s="21"/>
      <c r="HQE64" s="21"/>
      <c r="HQF64" s="21"/>
      <c r="HQG64" s="21"/>
      <c r="HQH64" s="21"/>
      <c r="HQI64" s="21"/>
      <c r="HQJ64" s="21"/>
      <c r="HQK64" s="21"/>
      <c r="HQL64" s="21"/>
      <c r="HQM64" s="21"/>
      <c r="HQN64" s="21"/>
      <c r="HQO64" s="21"/>
      <c r="HQP64" s="21"/>
      <c r="HQQ64" s="21"/>
      <c r="HQR64" s="21"/>
      <c r="HQS64" s="21"/>
      <c r="HQT64" s="21"/>
      <c r="HQU64" s="21"/>
      <c r="HQV64" s="21"/>
      <c r="HQW64" s="21"/>
      <c r="HQX64" s="21"/>
      <c r="HQY64" s="21"/>
      <c r="HQZ64" s="21"/>
      <c r="HRA64" s="21"/>
      <c r="HRB64" s="21"/>
      <c r="HRC64" s="21"/>
      <c r="HRD64" s="21"/>
      <c r="HRE64" s="21"/>
      <c r="HRF64" s="21"/>
      <c r="HRG64" s="21"/>
      <c r="HRH64" s="21"/>
      <c r="HRI64" s="21"/>
      <c r="HRJ64" s="21"/>
      <c r="HRK64" s="21"/>
      <c r="HRL64" s="21"/>
      <c r="HRM64" s="21"/>
      <c r="HRN64" s="21"/>
      <c r="HRO64" s="21"/>
      <c r="HRP64" s="21"/>
      <c r="HRQ64" s="21"/>
      <c r="HRR64" s="21"/>
      <c r="HRS64" s="21"/>
      <c r="HRT64" s="21"/>
      <c r="HRU64" s="21"/>
      <c r="HRV64" s="21"/>
      <c r="HRW64" s="21"/>
      <c r="HRX64" s="21"/>
      <c r="HRY64" s="21"/>
      <c r="HRZ64" s="21"/>
      <c r="HSA64" s="21"/>
      <c r="HSB64" s="21"/>
      <c r="HSC64" s="21"/>
      <c r="HSD64" s="21"/>
      <c r="HSE64" s="21"/>
      <c r="HSF64" s="21"/>
      <c r="HSG64" s="21"/>
      <c r="HSH64" s="21"/>
      <c r="HSI64" s="21"/>
      <c r="HSJ64" s="21"/>
      <c r="HSK64" s="21"/>
      <c r="HSL64" s="21"/>
      <c r="HSM64" s="21"/>
      <c r="HSN64" s="21"/>
      <c r="HSO64" s="21"/>
      <c r="HSP64" s="21"/>
      <c r="HSQ64" s="21"/>
      <c r="HSR64" s="21"/>
      <c r="HSS64" s="21"/>
      <c r="HST64" s="21"/>
      <c r="HSU64" s="21"/>
      <c r="HSV64" s="21"/>
      <c r="HSW64" s="21"/>
      <c r="HSX64" s="21"/>
      <c r="HSY64" s="21"/>
      <c r="HSZ64" s="21"/>
      <c r="HTA64" s="21"/>
      <c r="HTB64" s="21"/>
      <c r="HTC64" s="21"/>
      <c r="HTD64" s="21"/>
      <c r="HTE64" s="21"/>
      <c r="HTF64" s="21"/>
      <c r="HTG64" s="21"/>
      <c r="HTH64" s="21"/>
      <c r="HTI64" s="21"/>
      <c r="HTJ64" s="21"/>
      <c r="HTK64" s="21"/>
      <c r="HTL64" s="21"/>
      <c r="HTM64" s="21"/>
      <c r="HTN64" s="21"/>
      <c r="HTO64" s="21"/>
      <c r="HTP64" s="21"/>
      <c r="HTQ64" s="21"/>
      <c r="HTR64" s="21"/>
      <c r="HTS64" s="21"/>
      <c r="HTT64" s="21"/>
      <c r="HTU64" s="21"/>
      <c r="HTV64" s="21"/>
      <c r="HTW64" s="21"/>
      <c r="HTX64" s="21"/>
      <c r="HTY64" s="21"/>
      <c r="HTZ64" s="21"/>
      <c r="HUA64" s="21"/>
      <c r="HUB64" s="21"/>
      <c r="HUC64" s="21"/>
      <c r="HUD64" s="21"/>
      <c r="HUE64" s="21"/>
      <c r="HUF64" s="21"/>
      <c r="HUG64" s="21"/>
      <c r="HUH64" s="21"/>
      <c r="HUI64" s="21"/>
      <c r="HUJ64" s="21"/>
      <c r="HUK64" s="21"/>
      <c r="HUL64" s="21"/>
      <c r="HUM64" s="21"/>
      <c r="HUN64" s="21"/>
      <c r="HUO64" s="21"/>
      <c r="HUP64" s="21"/>
      <c r="HUQ64" s="21"/>
      <c r="HUR64" s="21"/>
      <c r="HUS64" s="21"/>
      <c r="HUT64" s="21"/>
      <c r="HUU64" s="21"/>
      <c r="HUV64" s="21"/>
      <c r="HUW64" s="21"/>
      <c r="HUX64" s="21"/>
      <c r="HUY64" s="21"/>
      <c r="HUZ64" s="21"/>
      <c r="HVA64" s="21"/>
      <c r="HVB64" s="21"/>
      <c r="HVC64" s="21"/>
      <c r="HVD64" s="21"/>
      <c r="HVE64" s="21"/>
      <c r="HVF64" s="21"/>
      <c r="HVG64" s="21"/>
      <c r="HVH64" s="21"/>
      <c r="HVI64" s="21"/>
      <c r="HVJ64" s="21"/>
      <c r="HVK64" s="21"/>
      <c r="HVL64" s="21"/>
      <c r="HVM64" s="21"/>
      <c r="HVN64" s="21"/>
      <c r="HVO64" s="21"/>
      <c r="HVP64" s="21"/>
      <c r="HVQ64" s="21"/>
      <c r="HVR64" s="21"/>
      <c r="HVS64" s="21"/>
      <c r="HVT64" s="21"/>
      <c r="HVU64" s="21"/>
      <c r="HVV64" s="21"/>
      <c r="HVW64" s="21"/>
      <c r="HVX64" s="21"/>
      <c r="HVY64" s="21"/>
      <c r="HVZ64" s="21"/>
      <c r="HWA64" s="21"/>
      <c r="HWB64" s="21"/>
      <c r="HWC64" s="21"/>
      <c r="HWD64" s="21"/>
      <c r="HWE64" s="21"/>
      <c r="HWF64" s="21"/>
      <c r="HWG64" s="21"/>
      <c r="HWH64" s="21"/>
      <c r="HWI64" s="21"/>
      <c r="HWJ64" s="21"/>
      <c r="HWK64" s="21"/>
      <c r="HWL64" s="21"/>
      <c r="HWM64" s="21"/>
      <c r="HWN64" s="21"/>
      <c r="HWO64" s="21"/>
      <c r="HWP64" s="21"/>
      <c r="HWQ64" s="21"/>
      <c r="HWR64" s="21"/>
      <c r="HWS64" s="21"/>
      <c r="HWT64" s="21"/>
      <c r="HWU64" s="21"/>
      <c r="HWV64" s="21"/>
      <c r="HWW64" s="21"/>
      <c r="HWX64" s="21"/>
      <c r="HWY64" s="21"/>
      <c r="HWZ64" s="21"/>
      <c r="HXA64" s="21"/>
      <c r="HXB64" s="21"/>
      <c r="HXC64" s="21"/>
      <c r="HXD64" s="21"/>
      <c r="HXE64" s="21"/>
      <c r="HXF64" s="21"/>
      <c r="HXG64" s="21"/>
      <c r="HXH64" s="21"/>
      <c r="HXI64" s="21"/>
      <c r="HXJ64" s="21"/>
      <c r="HXK64" s="21"/>
      <c r="HXL64" s="21"/>
      <c r="HXM64" s="21"/>
      <c r="HXN64" s="21"/>
      <c r="HXO64" s="21"/>
      <c r="HXP64" s="21"/>
      <c r="HXQ64" s="21"/>
      <c r="HXR64" s="21"/>
      <c r="HXS64" s="21"/>
      <c r="HXT64" s="21"/>
      <c r="HXU64" s="21"/>
      <c r="HXV64" s="21"/>
      <c r="HXW64" s="21"/>
      <c r="HXX64" s="21"/>
      <c r="HXY64" s="21"/>
      <c r="HXZ64" s="21"/>
      <c r="HYA64" s="21"/>
      <c r="HYB64" s="21"/>
      <c r="HYC64" s="21"/>
      <c r="HYD64" s="21"/>
      <c r="HYE64" s="21"/>
      <c r="HYF64" s="21"/>
      <c r="HYG64" s="21"/>
      <c r="HYH64" s="21"/>
      <c r="HYI64" s="21"/>
      <c r="HYJ64" s="21"/>
      <c r="HYK64" s="21"/>
      <c r="HYL64" s="21"/>
      <c r="HYM64" s="21"/>
      <c r="HYN64" s="21"/>
      <c r="HYO64" s="21"/>
      <c r="HYP64" s="21"/>
      <c r="HYQ64" s="21"/>
      <c r="HYR64" s="21"/>
      <c r="HYS64" s="21"/>
      <c r="HYT64" s="21"/>
      <c r="HYU64" s="21"/>
      <c r="HYV64" s="21"/>
      <c r="HYW64" s="21"/>
      <c r="HYX64" s="21"/>
      <c r="HYY64" s="21"/>
      <c r="HYZ64" s="21"/>
      <c r="HZA64" s="21"/>
      <c r="HZB64" s="21"/>
      <c r="HZC64" s="21"/>
      <c r="HZD64" s="21"/>
      <c r="HZE64" s="21"/>
      <c r="HZF64" s="21"/>
      <c r="HZG64" s="21"/>
      <c r="HZH64" s="21"/>
      <c r="HZI64" s="21"/>
      <c r="HZJ64" s="21"/>
      <c r="HZK64" s="21"/>
      <c r="HZL64" s="21"/>
      <c r="HZM64" s="21"/>
      <c r="HZN64" s="21"/>
      <c r="HZO64" s="21"/>
      <c r="HZP64" s="21"/>
      <c r="HZQ64" s="21"/>
      <c r="HZR64" s="21"/>
      <c r="HZS64" s="21"/>
      <c r="HZT64" s="21"/>
      <c r="HZU64" s="21"/>
      <c r="HZV64" s="21"/>
      <c r="HZW64" s="21"/>
      <c r="HZX64" s="21"/>
      <c r="HZY64" s="21"/>
      <c r="HZZ64" s="21"/>
      <c r="IAA64" s="21"/>
      <c r="IAB64" s="21"/>
      <c r="IAC64" s="21"/>
      <c r="IAD64" s="21"/>
      <c r="IAE64" s="21"/>
      <c r="IAF64" s="21"/>
      <c r="IAG64" s="21"/>
      <c r="IAH64" s="21"/>
      <c r="IAI64" s="21"/>
      <c r="IAJ64" s="21"/>
      <c r="IAK64" s="21"/>
      <c r="IAL64" s="21"/>
      <c r="IAM64" s="21"/>
      <c r="IAN64" s="21"/>
      <c r="IAO64" s="21"/>
      <c r="IAP64" s="21"/>
      <c r="IAQ64" s="21"/>
      <c r="IAR64" s="21"/>
      <c r="IAS64" s="21"/>
      <c r="IAT64" s="21"/>
      <c r="IAU64" s="21"/>
      <c r="IAV64" s="21"/>
      <c r="IAW64" s="21"/>
      <c r="IAX64" s="21"/>
      <c r="IAY64" s="21"/>
      <c r="IAZ64" s="21"/>
      <c r="IBA64" s="21"/>
      <c r="IBB64" s="21"/>
      <c r="IBC64" s="21"/>
      <c r="IBD64" s="21"/>
      <c r="IBE64" s="21"/>
      <c r="IBF64" s="21"/>
      <c r="IBG64" s="21"/>
      <c r="IBH64" s="21"/>
      <c r="IBI64" s="21"/>
      <c r="IBJ64" s="21"/>
      <c r="IBK64" s="21"/>
      <c r="IBL64" s="21"/>
      <c r="IBM64" s="21"/>
      <c r="IBN64" s="21"/>
      <c r="IBO64" s="21"/>
      <c r="IBP64" s="21"/>
      <c r="IBQ64" s="21"/>
      <c r="IBR64" s="21"/>
      <c r="IBS64" s="21"/>
      <c r="IBT64" s="21"/>
      <c r="IBU64" s="21"/>
      <c r="IBV64" s="21"/>
      <c r="IBW64" s="21"/>
      <c r="IBX64" s="21"/>
      <c r="IBY64" s="21"/>
      <c r="IBZ64" s="21"/>
      <c r="ICA64" s="21"/>
      <c r="ICB64" s="21"/>
      <c r="ICC64" s="21"/>
      <c r="ICD64" s="21"/>
      <c r="ICE64" s="21"/>
      <c r="ICF64" s="21"/>
      <c r="ICG64" s="21"/>
      <c r="ICH64" s="21"/>
      <c r="ICI64" s="21"/>
      <c r="ICJ64" s="21"/>
      <c r="ICK64" s="21"/>
      <c r="ICL64" s="21"/>
      <c r="ICM64" s="21"/>
      <c r="ICN64" s="21"/>
      <c r="ICO64" s="21"/>
      <c r="ICP64" s="21"/>
      <c r="ICQ64" s="21"/>
      <c r="ICR64" s="21"/>
      <c r="ICS64" s="21"/>
      <c r="ICT64" s="21"/>
      <c r="ICU64" s="21"/>
      <c r="ICV64" s="21"/>
      <c r="ICW64" s="21"/>
      <c r="ICX64" s="21"/>
      <c r="ICY64" s="21"/>
      <c r="ICZ64" s="21"/>
      <c r="IDA64" s="21"/>
      <c r="IDB64" s="21"/>
      <c r="IDC64" s="21"/>
      <c r="IDD64" s="21"/>
      <c r="IDE64" s="21"/>
      <c r="IDF64" s="21"/>
      <c r="IDG64" s="21"/>
      <c r="IDH64" s="21"/>
      <c r="IDI64" s="21"/>
      <c r="IDJ64" s="21"/>
      <c r="IDK64" s="21"/>
      <c r="IDL64" s="21"/>
      <c r="IDM64" s="21"/>
      <c r="IDN64" s="21"/>
      <c r="IDO64" s="21"/>
      <c r="IDP64" s="21"/>
      <c r="IDQ64" s="21"/>
      <c r="IDR64" s="21"/>
      <c r="IDS64" s="21"/>
      <c r="IDT64" s="21"/>
      <c r="IDU64" s="21"/>
      <c r="IDV64" s="21"/>
      <c r="IDW64" s="21"/>
      <c r="IDX64" s="21"/>
      <c r="IDY64" s="21"/>
      <c r="IDZ64" s="21"/>
      <c r="IEA64" s="21"/>
      <c r="IEB64" s="21"/>
      <c r="IEC64" s="21"/>
      <c r="IED64" s="21"/>
      <c r="IEE64" s="21"/>
      <c r="IEF64" s="21"/>
      <c r="IEG64" s="21"/>
      <c r="IEH64" s="21"/>
      <c r="IEI64" s="21"/>
      <c r="IEJ64" s="21"/>
      <c r="IEK64" s="21"/>
      <c r="IEL64" s="21"/>
      <c r="IEM64" s="21"/>
      <c r="IEN64" s="21"/>
      <c r="IEO64" s="21"/>
      <c r="IEP64" s="21"/>
      <c r="IEQ64" s="21"/>
      <c r="IER64" s="21"/>
      <c r="IES64" s="21"/>
      <c r="IET64" s="21"/>
      <c r="IEU64" s="21"/>
      <c r="IEV64" s="21"/>
      <c r="IEW64" s="21"/>
      <c r="IEX64" s="21"/>
      <c r="IEY64" s="21"/>
      <c r="IEZ64" s="21"/>
      <c r="IFA64" s="21"/>
      <c r="IFB64" s="21"/>
      <c r="IFC64" s="21"/>
      <c r="IFD64" s="21"/>
      <c r="IFE64" s="21"/>
      <c r="IFF64" s="21"/>
      <c r="IFG64" s="21"/>
      <c r="IFH64" s="21"/>
      <c r="IFI64" s="21"/>
      <c r="IFJ64" s="21"/>
      <c r="IFK64" s="21"/>
      <c r="IFL64" s="21"/>
      <c r="IFM64" s="21"/>
      <c r="IFN64" s="21"/>
      <c r="IFO64" s="21"/>
      <c r="IFP64" s="21"/>
      <c r="IFQ64" s="21"/>
      <c r="IFR64" s="21"/>
      <c r="IFS64" s="21"/>
      <c r="IFT64" s="21"/>
      <c r="IFU64" s="21"/>
      <c r="IFV64" s="21"/>
      <c r="IFW64" s="21"/>
      <c r="IFX64" s="21"/>
      <c r="IFY64" s="21"/>
      <c r="IFZ64" s="21"/>
      <c r="IGA64" s="21"/>
      <c r="IGB64" s="21"/>
      <c r="IGC64" s="21"/>
      <c r="IGD64" s="21"/>
      <c r="IGE64" s="21"/>
      <c r="IGF64" s="21"/>
      <c r="IGG64" s="21"/>
      <c r="IGH64" s="21"/>
      <c r="IGI64" s="21"/>
      <c r="IGJ64" s="21"/>
      <c r="IGK64" s="21"/>
      <c r="IGL64" s="21"/>
      <c r="IGM64" s="21"/>
      <c r="IGN64" s="21"/>
      <c r="IGO64" s="21"/>
      <c r="IGP64" s="21"/>
      <c r="IGQ64" s="21"/>
      <c r="IGR64" s="21"/>
      <c r="IGS64" s="21"/>
      <c r="IGT64" s="21"/>
      <c r="IGU64" s="21"/>
      <c r="IGV64" s="21"/>
      <c r="IGW64" s="21"/>
      <c r="IGX64" s="21"/>
      <c r="IGY64" s="21"/>
      <c r="IGZ64" s="21"/>
      <c r="IHA64" s="21"/>
      <c r="IHB64" s="21"/>
      <c r="IHC64" s="21"/>
      <c r="IHD64" s="21"/>
      <c r="IHE64" s="21"/>
      <c r="IHF64" s="21"/>
      <c r="IHG64" s="21"/>
      <c r="IHH64" s="21"/>
      <c r="IHI64" s="21"/>
      <c r="IHJ64" s="21"/>
      <c r="IHK64" s="21"/>
      <c r="IHL64" s="21"/>
      <c r="IHM64" s="21"/>
      <c r="IHN64" s="21"/>
      <c r="IHO64" s="21"/>
      <c r="IHP64" s="21"/>
      <c r="IHQ64" s="21"/>
      <c r="IHR64" s="21"/>
      <c r="IHS64" s="21"/>
      <c r="IHT64" s="21"/>
      <c r="IHU64" s="21"/>
      <c r="IHV64" s="21"/>
      <c r="IHW64" s="21"/>
      <c r="IHX64" s="21"/>
      <c r="IHY64" s="21"/>
      <c r="IHZ64" s="21"/>
      <c r="IIA64" s="21"/>
      <c r="IIB64" s="21"/>
      <c r="IIC64" s="21"/>
      <c r="IID64" s="21"/>
      <c r="IIE64" s="21"/>
      <c r="IIF64" s="21"/>
      <c r="IIG64" s="21"/>
      <c r="IIH64" s="21"/>
      <c r="III64" s="21"/>
      <c r="IIJ64" s="21"/>
      <c r="IIK64" s="21"/>
      <c r="IIL64" s="21"/>
      <c r="IIM64" s="21"/>
      <c r="IIN64" s="21"/>
      <c r="IIO64" s="21"/>
      <c r="IIP64" s="21"/>
      <c r="IIQ64" s="21"/>
      <c r="IIR64" s="21"/>
      <c r="IIS64" s="21"/>
      <c r="IIT64" s="21"/>
      <c r="IIU64" s="21"/>
      <c r="IIV64" s="21"/>
      <c r="IIW64" s="21"/>
      <c r="IIX64" s="21"/>
      <c r="IIY64" s="21"/>
      <c r="IIZ64" s="21"/>
      <c r="IJA64" s="21"/>
      <c r="IJB64" s="21"/>
      <c r="IJC64" s="21"/>
      <c r="IJD64" s="21"/>
      <c r="IJE64" s="21"/>
      <c r="IJF64" s="21"/>
      <c r="IJG64" s="21"/>
      <c r="IJH64" s="21"/>
      <c r="IJI64" s="21"/>
      <c r="IJJ64" s="21"/>
      <c r="IJK64" s="21"/>
      <c r="IJL64" s="21"/>
      <c r="IJM64" s="21"/>
      <c r="IJN64" s="21"/>
      <c r="IJO64" s="21"/>
      <c r="IJP64" s="21"/>
      <c r="IJQ64" s="21"/>
      <c r="IJR64" s="21"/>
      <c r="IJS64" s="21"/>
      <c r="IJT64" s="21"/>
      <c r="IJU64" s="21"/>
      <c r="IJV64" s="21"/>
      <c r="IJW64" s="21"/>
      <c r="IJX64" s="21"/>
      <c r="IJY64" s="21"/>
      <c r="IJZ64" s="21"/>
      <c r="IKA64" s="21"/>
      <c r="IKB64" s="21"/>
      <c r="IKC64" s="21"/>
      <c r="IKD64" s="21"/>
      <c r="IKE64" s="21"/>
      <c r="IKF64" s="21"/>
      <c r="IKG64" s="21"/>
      <c r="IKH64" s="21"/>
      <c r="IKI64" s="21"/>
      <c r="IKJ64" s="21"/>
      <c r="IKK64" s="21"/>
      <c r="IKL64" s="21"/>
      <c r="IKM64" s="21"/>
      <c r="IKN64" s="21"/>
      <c r="IKO64" s="21"/>
      <c r="IKP64" s="21"/>
      <c r="IKQ64" s="21"/>
      <c r="IKR64" s="21"/>
      <c r="IKS64" s="21"/>
      <c r="IKT64" s="21"/>
      <c r="IKU64" s="21"/>
      <c r="IKV64" s="21"/>
      <c r="IKW64" s="21"/>
      <c r="IKX64" s="21"/>
      <c r="IKY64" s="21"/>
      <c r="IKZ64" s="21"/>
      <c r="ILA64" s="21"/>
      <c r="ILB64" s="21"/>
      <c r="ILC64" s="21"/>
      <c r="ILD64" s="21"/>
      <c r="ILE64" s="21"/>
      <c r="ILF64" s="21"/>
      <c r="ILG64" s="21"/>
      <c r="ILH64" s="21"/>
      <c r="ILI64" s="21"/>
      <c r="ILJ64" s="21"/>
      <c r="ILK64" s="21"/>
      <c r="ILL64" s="21"/>
      <c r="ILM64" s="21"/>
      <c r="ILN64" s="21"/>
      <c r="ILO64" s="21"/>
      <c r="ILP64" s="21"/>
      <c r="ILQ64" s="21"/>
      <c r="ILR64" s="21"/>
      <c r="ILS64" s="21"/>
      <c r="ILT64" s="21"/>
      <c r="ILU64" s="21"/>
      <c r="ILV64" s="21"/>
      <c r="ILW64" s="21"/>
      <c r="ILX64" s="21"/>
      <c r="ILY64" s="21"/>
      <c r="ILZ64" s="21"/>
      <c r="IMA64" s="21"/>
      <c r="IMB64" s="21"/>
      <c r="IMC64" s="21"/>
      <c r="IMD64" s="21"/>
      <c r="IME64" s="21"/>
      <c r="IMF64" s="21"/>
      <c r="IMG64" s="21"/>
      <c r="IMH64" s="21"/>
      <c r="IMI64" s="21"/>
      <c r="IMJ64" s="21"/>
      <c r="IMK64" s="21"/>
      <c r="IML64" s="21"/>
      <c r="IMM64" s="21"/>
      <c r="IMN64" s="21"/>
      <c r="IMO64" s="21"/>
      <c r="IMP64" s="21"/>
      <c r="IMQ64" s="21"/>
      <c r="IMR64" s="21"/>
      <c r="IMS64" s="21"/>
      <c r="IMT64" s="21"/>
      <c r="IMU64" s="21"/>
      <c r="IMV64" s="21"/>
      <c r="IMW64" s="21"/>
      <c r="IMX64" s="21"/>
      <c r="IMY64" s="21"/>
      <c r="IMZ64" s="21"/>
      <c r="INA64" s="21"/>
      <c r="INB64" s="21"/>
      <c r="INC64" s="21"/>
      <c r="IND64" s="21"/>
      <c r="INE64" s="21"/>
      <c r="INF64" s="21"/>
      <c r="ING64" s="21"/>
      <c r="INH64" s="21"/>
      <c r="INI64" s="21"/>
      <c r="INJ64" s="21"/>
      <c r="INK64" s="21"/>
      <c r="INL64" s="21"/>
      <c r="INM64" s="21"/>
      <c r="INN64" s="21"/>
      <c r="INO64" s="21"/>
      <c r="INP64" s="21"/>
      <c r="INQ64" s="21"/>
      <c r="INR64" s="21"/>
      <c r="INS64" s="21"/>
      <c r="INT64" s="21"/>
      <c r="INU64" s="21"/>
      <c r="INV64" s="21"/>
      <c r="INW64" s="21"/>
      <c r="INX64" s="21"/>
      <c r="INY64" s="21"/>
      <c r="INZ64" s="21"/>
      <c r="IOA64" s="21"/>
      <c r="IOB64" s="21"/>
      <c r="IOC64" s="21"/>
      <c r="IOD64" s="21"/>
      <c r="IOE64" s="21"/>
      <c r="IOF64" s="21"/>
      <c r="IOG64" s="21"/>
      <c r="IOH64" s="21"/>
      <c r="IOI64" s="21"/>
      <c r="IOJ64" s="21"/>
      <c r="IOK64" s="21"/>
      <c r="IOL64" s="21"/>
      <c r="IOM64" s="21"/>
      <c r="ION64" s="21"/>
      <c r="IOO64" s="21"/>
      <c r="IOP64" s="21"/>
      <c r="IOQ64" s="21"/>
      <c r="IOR64" s="21"/>
      <c r="IOS64" s="21"/>
      <c r="IOT64" s="21"/>
      <c r="IOU64" s="21"/>
      <c r="IOV64" s="21"/>
      <c r="IOW64" s="21"/>
      <c r="IOX64" s="21"/>
      <c r="IOY64" s="21"/>
      <c r="IOZ64" s="21"/>
      <c r="IPA64" s="21"/>
      <c r="IPB64" s="21"/>
      <c r="IPC64" s="21"/>
      <c r="IPD64" s="21"/>
      <c r="IPE64" s="21"/>
      <c r="IPF64" s="21"/>
      <c r="IPG64" s="21"/>
      <c r="IPH64" s="21"/>
      <c r="IPI64" s="21"/>
      <c r="IPJ64" s="21"/>
      <c r="IPK64" s="21"/>
      <c r="IPL64" s="21"/>
      <c r="IPM64" s="21"/>
      <c r="IPN64" s="21"/>
      <c r="IPO64" s="21"/>
      <c r="IPP64" s="21"/>
      <c r="IPQ64" s="21"/>
      <c r="IPR64" s="21"/>
      <c r="IPS64" s="21"/>
      <c r="IPT64" s="21"/>
      <c r="IPU64" s="21"/>
      <c r="IPV64" s="21"/>
      <c r="IPW64" s="21"/>
      <c r="IPX64" s="21"/>
      <c r="IPY64" s="21"/>
      <c r="IPZ64" s="21"/>
      <c r="IQA64" s="21"/>
      <c r="IQB64" s="21"/>
      <c r="IQC64" s="21"/>
      <c r="IQD64" s="21"/>
      <c r="IQE64" s="21"/>
      <c r="IQF64" s="21"/>
      <c r="IQG64" s="21"/>
      <c r="IQH64" s="21"/>
      <c r="IQI64" s="21"/>
      <c r="IQJ64" s="21"/>
      <c r="IQK64" s="21"/>
      <c r="IQL64" s="21"/>
      <c r="IQM64" s="21"/>
      <c r="IQN64" s="21"/>
      <c r="IQO64" s="21"/>
      <c r="IQP64" s="21"/>
      <c r="IQQ64" s="21"/>
      <c r="IQR64" s="21"/>
      <c r="IQS64" s="21"/>
      <c r="IQT64" s="21"/>
      <c r="IQU64" s="21"/>
      <c r="IQV64" s="21"/>
      <c r="IQW64" s="21"/>
      <c r="IQX64" s="21"/>
      <c r="IQY64" s="21"/>
      <c r="IQZ64" s="21"/>
      <c r="IRA64" s="21"/>
      <c r="IRB64" s="21"/>
      <c r="IRC64" s="21"/>
      <c r="IRD64" s="21"/>
      <c r="IRE64" s="21"/>
      <c r="IRF64" s="21"/>
      <c r="IRG64" s="21"/>
      <c r="IRH64" s="21"/>
      <c r="IRI64" s="21"/>
      <c r="IRJ64" s="21"/>
      <c r="IRK64" s="21"/>
      <c r="IRL64" s="21"/>
      <c r="IRM64" s="21"/>
      <c r="IRN64" s="21"/>
      <c r="IRO64" s="21"/>
      <c r="IRP64" s="21"/>
      <c r="IRQ64" s="21"/>
      <c r="IRR64" s="21"/>
      <c r="IRS64" s="21"/>
      <c r="IRT64" s="21"/>
      <c r="IRU64" s="21"/>
      <c r="IRV64" s="21"/>
      <c r="IRW64" s="21"/>
      <c r="IRX64" s="21"/>
      <c r="IRY64" s="21"/>
      <c r="IRZ64" s="21"/>
      <c r="ISA64" s="21"/>
      <c r="ISB64" s="21"/>
      <c r="ISC64" s="21"/>
      <c r="ISD64" s="21"/>
      <c r="ISE64" s="21"/>
      <c r="ISF64" s="21"/>
      <c r="ISG64" s="21"/>
      <c r="ISH64" s="21"/>
      <c r="ISI64" s="21"/>
      <c r="ISJ64" s="21"/>
      <c r="ISK64" s="21"/>
      <c r="ISL64" s="21"/>
      <c r="ISM64" s="21"/>
      <c r="ISN64" s="21"/>
      <c r="ISO64" s="21"/>
      <c r="ISP64" s="21"/>
      <c r="ISQ64" s="21"/>
      <c r="ISR64" s="21"/>
      <c r="ISS64" s="21"/>
      <c r="IST64" s="21"/>
      <c r="ISU64" s="21"/>
      <c r="ISV64" s="21"/>
      <c r="ISW64" s="21"/>
      <c r="ISX64" s="21"/>
      <c r="ISY64" s="21"/>
      <c r="ISZ64" s="21"/>
      <c r="ITA64" s="21"/>
      <c r="ITB64" s="21"/>
      <c r="ITC64" s="21"/>
      <c r="ITD64" s="21"/>
      <c r="ITE64" s="21"/>
      <c r="ITF64" s="21"/>
      <c r="ITG64" s="21"/>
      <c r="ITH64" s="21"/>
      <c r="ITI64" s="21"/>
      <c r="ITJ64" s="21"/>
      <c r="ITK64" s="21"/>
      <c r="ITL64" s="21"/>
      <c r="ITM64" s="21"/>
      <c r="ITN64" s="21"/>
      <c r="ITO64" s="21"/>
      <c r="ITP64" s="21"/>
      <c r="ITQ64" s="21"/>
      <c r="ITR64" s="21"/>
      <c r="ITS64" s="21"/>
      <c r="ITT64" s="21"/>
      <c r="ITU64" s="21"/>
      <c r="ITV64" s="21"/>
      <c r="ITW64" s="21"/>
      <c r="ITX64" s="21"/>
      <c r="ITY64" s="21"/>
      <c r="ITZ64" s="21"/>
      <c r="IUA64" s="21"/>
      <c r="IUB64" s="21"/>
      <c r="IUC64" s="21"/>
      <c r="IUD64" s="21"/>
      <c r="IUE64" s="21"/>
      <c r="IUF64" s="21"/>
      <c r="IUG64" s="21"/>
      <c r="IUH64" s="21"/>
      <c r="IUI64" s="21"/>
      <c r="IUJ64" s="21"/>
      <c r="IUK64" s="21"/>
      <c r="IUL64" s="21"/>
      <c r="IUM64" s="21"/>
      <c r="IUN64" s="21"/>
      <c r="IUO64" s="21"/>
      <c r="IUP64" s="21"/>
      <c r="IUQ64" s="21"/>
      <c r="IUR64" s="21"/>
      <c r="IUS64" s="21"/>
      <c r="IUT64" s="21"/>
      <c r="IUU64" s="21"/>
      <c r="IUV64" s="21"/>
      <c r="IUW64" s="21"/>
      <c r="IUX64" s="21"/>
      <c r="IUY64" s="21"/>
      <c r="IUZ64" s="21"/>
      <c r="IVA64" s="21"/>
      <c r="IVB64" s="21"/>
      <c r="IVC64" s="21"/>
      <c r="IVD64" s="21"/>
      <c r="IVE64" s="21"/>
      <c r="IVF64" s="21"/>
      <c r="IVG64" s="21"/>
      <c r="IVH64" s="21"/>
      <c r="IVI64" s="21"/>
      <c r="IVJ64" s="21"/>
      <c r="IVK64" s="21"/>
      <c r="IVL64" s="21"/>
      <c r="IVM64" s="21"/>
      <c r="IVN64" s="21"/>
      <c r="IVO64" s="21"/>
      <c r="IVP64" s="21"/>
      <c r="IVQ64" s="21"/>
      <c r="IVR64" s="21"/>
      <c r="IVS64" s="21"/>
      <c r="IVT64" s="21"/>
      <c r="IVU64" s="21"/>
      <c r="IVV64" s="21"/>
      <c r="IVW64" s="21"/>
      <c r="IVX64" s="21"/>
      <c r="IVY64" s="21"/>
      <c r="IVZ64" s="21"/>
      <c r="IWA64" s="21"/>
      <c r="IWB64" s="21"/>
      <c r="IWC64" s="21"/>
      <c r="IWD64" s="21"/>
      <c r="IWE64" s="21"/>
      <c r="IWF64" s="21"/>
      <c r="IWG64" s="21"/>
      <c r="IWH64" s="21"/>
      <c r="IWI64" s="21"/>
      <c r="IWJ64" s="21"/>
      <c r="IWK64" s="21"/>
      <c r="IWL64" s="21"/>
      <c r="IWM64" s="21"/>
      <c r="IWN64" s="21"/>
      <c r="IWO64" s="21"/>
      <c r="IWP64" s="21"/>
      <c r="IWQ64" s="21"/>
      <c r="IWR64" s="21"/>
      <c r="IWS64" s="21"/>
      <c r="IWT64" s="21"/>
      <c r="IWU64" s="21"/>
      <c r="IWV64" s="21"/>
      <c r="IWW64" s="21"/>
      <c r="IWX64" s="21"/>
      <c r="IWY64" s="21"/>
      <c r="IWZ64" s="21"/>
      <c r="IXA64" s="21"/>
      <c r="IXB64" s="21"/>
      <c r="IXC64" s="21"/>
      <c r="IXD64" s="21"/>
      <c r="IXE64" s="21"/>
      <c r="IXF64" s="21"/>
      <c r="IXG64" s="21"/>
      <c r="IXH64" s="21"/>
      <c r="IXI64" s="21"/>
      <c r="IXJ64" s="21"/>
      <c r="IXK64" s="21"/>
      <c r="IXL64" s="21"/>
      <c r="IXM64" s="21"/>
      <c r="IXN64" s="21"/>
      <c r="IXO64" s="21"/>
      <c r="IXP64" s="21"/>
      <c r="IXQ64" s="21"/>
      <c r="IXR64" s="21"/>
      <c r="IXS64" s="21"/>
      <c r="IXT64" s="21"/>
      <c r="IXU64" s="21"/>
      <c r="IXV64" s="21"/>
      <c r="IXW64" s="21"/>
      <c r="IXX64" s="21"/>
      <c r="IXY64" s="21"/>
      <c r="IXZ64" s="21"/>
      <c r="IYA64" s="21"/>
      <c r="IYB64" s="21"/>
      <c r="IYC64" s="21"/>
      <c r="IYD64" s="21"/>
      <c r="IYE64" s="21"/>
      <c r="IYF64" s="21"/>
      <c r="IYG64" s="21"/>
      <c r="IYH64" s="21"/>
      <c r="IYI64" s="21"/>
      <c r="IYJ64" s="21"/>
      <c r="IYK64" s="21"/>
      <c r="IYL64" s="21"/>
      <c r="IYM64" s="21"/>
      <c r="IYN64" s="21"/>
      <c r="IYO64" s="21"/>
      <c r="IYP64" s="21"/>
      <c r="IYQ64" s="21"/>
      <c r="IYR64" s="21"/>
      <c r="IYS64" s="21"/>
      <c r="IYT64" s="21"/>
      <c r="IYU64" s="21"/>
      <c r="IYV64" s="21"/>
      <c r="IYW64" s="21"/>
      <c r="IYX64" s="21"/>
      <c r="IYY64" s="21"/>
      <c r="IYZ64" s="21"/>
      <c r="IZA64" s="21"/>
      <c r="IZB64" s="21"/>
      <c r="IZC64" s="21"/>
      <c r="IZD64" s="21"/>
      <c r="IZE64" s="21"/>
      <c r="IZF64" s="21"/>
      <c r="IZG64" s="21"/>
      <c r="IZH64" s="21"/>
      <c r="IZI64" s="21"/>
      <c r="IZJ64" s="21"/>
      <c r="IZK64" s="21"/>
      <c r="IZL64" s="21"/>
      <c r="IZM64" s="21"/>
      <c r="IZN64" s="21"/>
      <c r="IZO64" s="21"/>
      <c r="IZP64" s="21"/>
      <c r="IZQ64" s="21"/>
      <c r="IZR64" s="21"/>
      <c r="IZS64" s="21"/>
      <c r="IZT64" s="21"/>
      <c r="IZU64" s="21"/>
      <c r="IZV64" s="21"/>
      <c r="IZW64" s="21"/>
      <c r="IZX64" s="21"/>
      <c r="IZY64" s="21"/>
      <c r="IZZ64" s="21"/>
      <c r="JAA64" s="21"/>
      <c r="JAB64" s="21"/>
      <c r="JAC64" s="21"/>
      <c r="JAD64" s="21"/>
      <c r="JAE64" s="21"/>
      <c r="JAF64" s="21"/>
      <c r="JAG64" s="21"/>
      <c r="JAH64" s="21"/>
      <c r="JAI64" s="21"/>
      <c r="JAJ64" s="21"/>
      <c r="JAK64" s="21"/>
      <c r="JAL64" s="21"/>
      <c r="JAM64" s="21"/>
      <c r="JAN64" s="21"/>
      <c r="JAO64" s="21"/>
      <c r="JAP64" s="21"/>
      <c r="JAQ64" s="21"/>
      <c r="JAR64" s="21"/>
      <c r="JAS64" s="21"/>
      <c r="JAT64" s="21"/>
      <c r="JAU64" s="21"/>
      <c r="JAV64" s="21"/>
      <c r="JAW64" s="21"/>
      <c r="JAX64" s="21"/>
      <c r="JAY64" s="21"/>
      <c r="JAZ64" s="21"/>
      <c r="JBA64" s="21"/>
      <c r="JBB64" s="21"/>
      <c r="JBC64" s="21"/>
      <c r="JBD64" s="21"/>
      <c r="JBE64" s="21"/>
      <c r="JBF64" s="21"/>
      <c r="JBG64" s="21"/>
      <c r="JBH64" s="21"/>
      <c r="JBI64" s="21"/>
      <c r="JBJ64" s="21"/>
      <c r="JBK64" s="21"/>
      <c r="JBL64" s="21"/>
      <c r="JBM64" s="21"/>
      <c r="JBN64" s="21"/>
      <c r="JBO64" s="21"/>
      <c r="JBP64" s="21"/>
      <c r="JBQ64" s="21"/>
      <c r="JBR64" s="21"/>
      <c r="JBS64" s="21"/>
      <c r="JBT64" s="21"/>
      <c r="JBU64" s="21"/>
      <c r="JBV64" s="21"/>
      <c r="JBW64" s="21"/>
      <c r="JBX64" s="21"/>
      <c r="JBY64" s="21"/>
      <c r="JBZ64" s="21"/>
      <c r="JCA64" s="21"/>
      <c r="JCB64" s="21"/>
      <c r="JCC64" s="21"/>
      <c r="JCD64" s="21"/>
      <c r="JCE64" s="21"/>
      <c r="JCF64" s="21"/>
      <c r="JCG64" s="21"/>
      <c r="JCH64" s="21"/>
      <c r="JCI64" s="21"/>
      <c r="JCJ64" s="21"/>
      <c r="JCK64" s="21"/>
      <c r="JCL64" s="21"/>
      <c r="JCM64" s="21"/>
      <c r="JCN64" s="21"/>
      <c r="JCO64" s="21"/>
      <c r="JCP64" s="21"/>
      <c r="JCQ64" s="21"/>
      <c r="JCR64" s="21"/>
      <c r="JCS64" s="21"/>
      <c r="JCT64" s="21"/>
      <c r="JCU64" s="21"/>
      <c r="JCV64" s="21"/>
      <c r="JCW64" s="21"/>
      <c r="JCX64" s="21"/>
      <c r="JCY64" s="21"/>
      <c r="JCZ64" s="21"/>
      <c r="JDA64" s="21"/>
      <c r="JDB64" s="21"/>
      <c r="JDC64" s="21"/>
      <c r="JDD64" s="21"/>
      <c r="JDE64" s="21"/>
      <c r="JDF64" s="21"/>
      <c r="JDG64" s="21"/>
      <c r="JDH64" s="21"/>
      <c r="JDI64" s="21"/>
      <c r="JDJ64" s="21"/>
      <c r="JDK64" s="21"/>
      <c r="JDL64" s="21"/>
      <c r="JDM64" s="21"/>
      <c r="JDN64" s="21"/>
      <c r="JDO64" s="21"/>
      <c r="JDP64" s="21"/>
      <c r="JDQ64" s="21"/>
      <c r="JDR64" s="21"/>
      <c r="JDS64" s="21"/>
      <c r="JDT64" s="21"/>
      <c r="JDU64" s="21"/>
      <c r="JDV64" s="21"/>
      <c r="JDW64" s="21"/>
      <c r="JDX64" s="21"/>
      <c r="JDY64" s="21"/>
      <c r="JDZ64" s="21"/>
      <c r="JEA64" s="21"/>
      <c r="JEB64" s="21"/>
      <c r="JEC64" s="21"/>
      <c r="JED64" s="21"/>
      <c r="JEE64" s="21"/>
      <c r="JEF64" s="21"/>
      <c r="JEG64" s="21"/>
      <c r="JEH64" s="21"/>
      <c r="JEI64" s="21"/>
      <c r="JEJ64" s="21"/>
      <c r="JEK64" s="21"/>
      <c r="JEL64" s="21"/>
      <c r="JEM64" s="21"/>
      <c r="JEN64" s="21"/>
      <c r="JEO64" s="21"/>
      <c r="JEP64" s="21"/>
      <c r="JEQ64" s="21"/>
      <c r="JER64" s="21"/>
      <c r="JES64" s="21"/>
      <c r="JET64" s="21"/>
      <c r="JEU64" s="21"/>
      <c r="JEV64" s="21"/>
      <c r="JEW64" s="21"/>
      <c r="JEX64" s="21"/>
      <c r="JEY64" s="21"/>
      <c r="JEZ64" s="21"/>
      <c r="JFA64" s="21"/>
      <c r="JFB64" s="21"/>
      <c r="JFC64" s="21"/>
      <c r="JFD64" s="21"/>
      <c r="JFE64" s="21"/>
      <c r="JFF64" s="21"/>
      <c r="JFG64" s="21"/>
      <c r="JFH64" s="21"/>
      <c r="JFI64" s="21"/>
      <c r="JFJ64" s="21"/>
      <c r="JFK64" s="21"/>
      <c r="JFL64" s="21"/>
      <c r="JFM64" s="21"/>
      <c r="JFN64" s="21"/>
      <c r="JFO64" s="21"/>
      <c r="JFP64" s="21"/>
      <c r="JFQ64" s="21"/>
      <c r="JFR64" s="21"/>
      <c r="JFS64" s="21"/>
      <c r="JFT64" s="21"/>
      <c r="JFU64" s="21"/>
      <c r="JFV64" s="21"/>
      <c r="JFW64" s="21"/>
      <c r="JFX64" s="21"/>
      <c r="JFY64" s="21"/>
      <c r="JFZ64" s="21"/>
      <c r="JGA64" s="21"/>
      <c r="JGB64" s="21"/>
      <c r="JGC64" s="21"/>
      <c r="JGD64" s="21"/>
      <c r="JGE64" s="21"/>
      <c r="JGF64" s="21"/>
      <c r="JGG64" s="21"/>
      <c r="JGH64" s="21"/>
      <c r="JGI64" s="21"/>
      <c r="JGJ64" s="21"/>
      <c r="JGK64" s="21"/>
      <c r="JGL64" s="21"/>
      <c r="JGM64" s="21"/>
      <c r="JGN64" s="21"/>
      <c r="JGO64" s="21"/>
      <c r="JGP64" s="21"/>
      <c r="JGQ64" s="21"/>
      <c r="JGR64" s="21"/>
      <c r="JGS64" s="21"/>
      <c r="JGT64" s="21"/>
      <c r="JGU64" s="21"/>
      <c r="JGV64" s="21"/>
      <c r="JGW64" s="21"/>
      <c r="JGX64" s="21"/>
      <c r="JGY64" s="21"/>
      <c r="JGZ64" s="21"/>
      <c r="JHA64" s="21"/>
      <c r="JHB64" s="21"/>
      <c r="JHC64" s="21"/>
      <c r="JHD64" s="21"/>
      <c r="JHE64" s="21"/>
      <c r="JHF64" s="21"/>
      <c r="JHG64" s="21"/>
      <c r="JHH64" s="21"/>
      <c r="JHI64" s="21"/>
      <c r="JHJ64" s="21"/>
      <c r="JHK64" s="21"/>
      <c r="JHL64" s="21"/>
      <c r="JHM64" s="21"/>
      <c r="JHN64" s="21"/>
      <c r="JHO64" s="21"/>
      <c r="JHP64" s="21"/>
      <c r="JHQ64" s="21"/>
      <c r="JHR64" s="21"/>
      <c r="JHS64" s="21"/>
      <c r="JHT64" s="21"/>
      <c r="JHU64" s="21"/>
      <c r="JHV64" s="21"/>
      <c r="JHW64" s="21"/>
      <c r="JHX64" s="21"/>
      <c r="JHY64" s="21"/>
      <c r="JHZ64" s="21"/>
      <c r="JIA64" s="21"/>
      <c r="JIB64" s="21"/>
      <c r="JIC64" s="21"/>
      <c r="JID64" s="21"/>
      <c r="JIE64" s="21"/>
      <c r="JIF64" s="21"/>
      <c r="JIG64" s="21"/>
      <c r="JIH64" s="21"/>
      <c r="JII64" s="21"/>
      <c r="JIJ64" s="21"/>
      <c r="JIK64" s="21"/>
      <c r="JIL64" s="21"/>
      <c r="JIM64" s="21"/>
      <c r="JIN64" s="21"/>
      <c r="JIO64" s="21"/>
      <c r="JIP64" s="21"/>
      <c r="JIQ64" s="21"/>
      <c r="JIR64" s="21"/>
      <c r="JIS64" s="21"/>
      <c r="JIT64" s="21"/>
      <c r="JIU64" s="21"/>
      <c r="JIV64" s="21"/>
      <c r="JIW64" s="21"/>
      <c r="JIX64" s="21"/>
      <c r="JIY64" s="21"/>
      <c r="JIZ64" s="21"/>
      <c r="JJA64" s="21"/>
      <c r="JJB64" s="21"/>
      <c r="JJC64" s="21"/>
      <c r="JJD64" s="21"/>
      <c r="JJE64" s="21"/>
      <c r="JJF64" s="21"/>
      <c r="JJG64" s="21"/>
      <c r="JJH64" s="21"/>
      <c r="JJI64" s="21"/>
      <c r="JJJ64" s="21"/>
      <c r="JJK64" s="21"/>
      <c r="JJL64" s="21"/>
      <c r="JJM64" s="21"/>
      <c r="JJN64" s="21"/>
      <c r="JJO64" s="21"/>
      <c r="JJP64" s="21"/>
      <c r="JJQ64" s="21"/>
      <c r="JJR64" s="21"/>
      <c r="JJS64" s="21"/>
      <c r="JJT64" s="21"/>
      <c r="JJU64" s="21"/>
      <c r="JJV64" s="21"/>
      <c r="JJW64" s="21"/>
      <c r="JJX64" s="21"/>
      <c r="JJY64" s="21"/>
      <c r="JJZ64" s="21"/>
      <c r="JKA64" s="21"/>
      <c r="JKB64" s="21"/>
      <c r="JKC64" s="21"/>
      <c r="JKD64" s="21"/>
      <c r="JKE64" s="21"/>
      <c r="JKF64" s="21"/>
      <c r="JKG64" s="21"/>
      <c r="JKH64" s="21"/>
      <c r="JKI64" s="21"/>
      <c r="JKJ64" s="21"/>
      <c r="JKK64" s="21"/>
      <c r="JKL64" s="21"/>
      <c r="JKM64" s="21"/>
      <c r="JKN64" s="21"/>
      <c r="JKO64" s="21"/>
      <c r="JKP64" s="21"/>
      <c r="JKQ64" s="21"/>
      <c r="JKR64" s="21"/>
      <c r="JKS64" s="21"/>
      <c r="JKT64" s="21"/>
      <c r="JKU64" s="21"/>
      <c r="JKV64" s="21"/>
      <c r="JKW64" s="21"/>
      <c r="JKX64" s="21"/>
      <c r="JKY64" s="21"/>
      <c r="JKZ64" s="21"/>
      <c r="JLA64" s="21"/>
      <c r="JLB64" s="21"/>
      <c r="JLC64" s="21"/>
      <c r="JLD64" s="21"/>
      <c r="JLE64" s="21"/>
      <c r="JLF64" s="21"/>
      <c r="JLG64" s="21"/>
      <c r="JLH64" s="21"/>
      <c r="JLI64" s="21"/>
      <c r="JLJ64" s="21"/>
      <c r="JLK64" s="21"/>
      <c r="JLL64" s="21"/>
      <c r="JLM64" s="21"/>
      <c r="JLN64" s="21"/>
      <c r="JLO64" s="21"/>
      <c r="JLP64" s="21"/>
      <c r="JLQ64" s="21"/>
      <c r="JLR64" s="21"/>
      <c r="JLS64" s="21"/>
      <c r="JLT64" s="21"/>
      <c r="JLU64" s="21"/>
      <c r="JLV64" s="21"/>
      <c r="JLW64" s="21"/>
      <c r="JLX64" s="21"/>
      <c r="JLY64" s="21"/>
      <c r="JLZ64" s="21"/>
      <c r="JMA64" s="21"/>
      <c r="JMB64" s="21"/>
      <c r="JMC64" s="21"/>
      <c r="JMD64" s="21"/>
      <c r="JME64" s="21"/>
      <c r="JMF64" s="21"/>
      <c r="JMG64" s="21"/>
      <c r="JMH64" s="21"/>
      <c r="JMI64" s="21"/>
      <c r="JMJ64" s="21"/>
      <c r="JMK64" s="21"/>
      <c r="JML64" s="21"/>
      <c r="JMM64" s="21"/>
      <c r="JMN64" s="21"/>
      <c r="JMO64" s="21"/>
      <c r="JMP64" s="21"/>
      <c r="JMQ64" s="21"/>
      <c r="JMR64" s="21"/>
      <c r="JMS64" s="21"/>
      <c r="JMT64" s="21"/>
      <c r="JMU64" s="21"/>
      <c r="JMV64" s="21"/>
      <c r="JMW64" s="21"/>
      <c r="JMX64" s="21"/>
      <c r="JMY64" s="21"/>
      <c r="JMZ64" s="21"/>
      <c r="JNA64" s="21"/>
      <c r="JNB64" s="21"/>
      <c r="JNC64" s="21"/>
      <c r="JND64" s="21"/>
      <c r="JNE64" s="21"/>
      <c r="JNF64" s="21"/>
      <c r="JNG64" s="21"/>
      <c r="JNH64" s="21"/>
      <c r="JNI64" s="21"/>
      <c r="JNJ64" s="21"/>
      <c r="JNK64" s="21"/>
      <c r="JNL64" s="21"/>
      <c r="JNM64" s="21"/>
      <c r="JNN64" s="21"/>
      <c r="JNO64" s="21"/>
      <c r="JNP64" s="21"/>
      <c r="JNQ64" s="21"/>
      <c r="JNR64" s="21"/>
      <c r="JNS64" s="21"/>
      <c r="JNT64" s="21"/>
      <c r="JNU64" s="21"/>
      <c r="JNV64" s="21"/>
      <c r="JNW64" s="21"/>
      <c r="JNX64" s="21"/>
      <c r="JNY64" s="21"/>
      <c r="JNZ64" s="21"/>
      <c r="JOA64" s="21"/>
      <c r="JOB64" s="21"/>
      <c r="JOC64" s="21"/>
      <c r="JOD64" s="21"/>
      <c r="JOE64" s="21"/>
      <c r="JOF64" s="21"/>
      <c r="JOG64" s="21"/>
      <c r="JOH64" s="21"/>
      <c r="JOI64" s="21"/>
      <c r="JOJ64" s="21"/>
      <c r="JOK64" s="21"/>
      <c r="JOL64" s="21"/>
      <c r="JOM64" s="21"/>
      <c r="JON64" s="21"/>
      <c r="JOO64" s="21"/>
      <c r="JOP64" s="21"/>
      <c r="JOQ64" s="21"/>
      <c r="JOR64" s="21"/>
      <c r="JOS64" s="21"/>
      <c r="JOT64" s="21"/>
      <c r="JOU64" s="21"/>
      <c r="JOV64" s="21"/>
      <c r="JOW64" s="21"/>
      <c r="JOX64" s="21"/>
      <c r="JOY64" s="21"/>
      <c r="JOZ64" s="21"/>
      <c r="JPA64" s="21"/>
      <c r="JPB64" s="21"/>
      <c r="JPC64" s="21"/>
      <c r="JPD64" s="21"/>
      <c r="JPE64" s="21"/>
      <c r="JPF64" s="21"/>
      <c r="JPG64" s="21"/>
      <c r="JPH64" s="21"/>
      <c r="JPI64" s="21"/>
      <c r="JPJ64" s="21"/>
      <c r="JPK64" s="21"/>
      <c r="JPL64" s="21"/>
      <c r="JPM64" s="21"/>
      <c r="JPN64" s="21"/>
      <c r="JPO64" s="21"/>
      <c r="JPP64" s="21"/>
      <c r="JPQ64" s="21"/>
      <c r="JPR64" s="21"/>
      <c r="JPS64" s="21"/>
      <c r="JPT64" s="21"/>
      <c r="JPU64" s="21"/>
      <c r="JPV64" s="21"/>
      <c r="JPW64" s="21"/>
      <c r="JPX64" s="21"/>
      <c r="JPY64" s="21"/>
      <c r="JPZ64" s="21"/>
      <c r="JQA64" s="21"/>
      <c r="JQB64" s="21"/>
      <c r="JQC64" s="21"/>
      <c r="JQD64" s="21"/>
      <c r="JQE64" s="21"/>
      <c r="JQF64" s="21"/>
      <c r="JQG64" s="21"/>
      <c r="JQH64" s="21"/>
      <c r="JQI64" s="21"/>
      <c r="JQJ64" s="21"/>
      <c r="JQK64" s="21"/>
      <c r="JQL64" s="21"/>
      <c r="JQM64" s="21"/>
      <c r="JQN64" s="21"/>
      <c r="JQO64" s="21"/>
      <c r="JQP64" s="21"/>
      <c r="JQQ64" s="21"/>
      <c r="JQR64" s="21"/>
      <c r="JQS64" s="21"/>
      <c r="JQT64" s="21"/>
      <c r="JQU64" s="21"/>
      <c r="JQV64" s="21"/>
      <c r="JQW64" s="21"/>
      <c r="JQX64" s="21"/>
      <c r="JQY64" s="21"/>
      <c r="JQZ64" s="21"/>
      <c r="JRA64" s="21"/>
      <c r="JRB64" s="21"/>
      <c r="JRC64" s="21"/>
      <c r="JRD64" s="21"/>
      <c r="JRE64" s="21"/>
      <c r="JRF64" s="21"/>
      <c r="JRG64" s="21"/>
      <c r="JRH64" s="21"/>
      <c r="JRI64" s="21"/>
      <c r="JRJ64" s="21"/>
      <c r="JRK64" s="21"/>
      <c r="JRL64" s="21"/>
      <c r="JRM64" s="21"/>
      <c r="JRN64" s="21"/>
      <c r="JRO64" s="21"/>
      <c r="JRP64" s="21"/>
      <c r="JRQ64" s="21"/>
      <c r="JRR64" s="21"/>
      <c r="JRS64" s="21"/>
      <c r="JRT64" s="21"/>
      <c r="JRU64" s="21"/>
      <c r="JRV64" s="21"/>
      <c r="JRW64" s="21"/>
      <c r="JRX64" s="21"/>
      <c r="JRY64" s="21"/>
      <c r="JRZ64" s="21"/>
      <c r="JSA64" s="21"/>
      <c r="JSB64" s="21"/>
      <c r="JSC64" s="21"/>
      <c r="JSD64" s="21"/>
      <c r="JSE64" s="21"/>
      <c r="JSF64" s="21"/>
      <c r="JSG64" s="21"/>
      <c r="JSH64" s="21"/>
      <c r="JSI64" s="21"/>
      <c r="JSJ64" s="21"/>
      <c r="JSK64" s="21"/>
      <c r="JSL64" s="21"/>
      <c r="JSM64" s="21"/>
      <c r="JSN64" s="21"/>
      <c r="JSO64" s="21"/>
      <c r="JSP64" s="21"/>
      <c r="JSQ64" s="21"/>
      <c r="JSR64" s="21"/>
      <c r="JSS64" s="21"/>
      <c r="JST64" s="21"/>
      <c r="JSU64" s="21"/>
      <c r="JSV64" s="21"/>
      <c r="JSW64" s="21"/>
      <c r="JSX64" s="21"/>
      <c r="JSY64" s="21"/>
      <c r="JSZ64" s="21"/>
      <c r="JTA64" s="21"/>
      <c r="JTB64" s="21"/>
      <c r="JTC64" s="21"/>
      <c r="JTD64" s="21"/>
      <c r="JTE64" s="21"/>
      <c r="JTF64" s="21"/>
      <c r="JTG64" s="21"/>
      <c r="JTH64" s="21"/>
      <c r="JTI64" s="21"/>
      <c r="JTJ64" s="21"/>
      <c r="JTK64" s="21"/>
      <c r="JTL64" s="21"/>
      <c r="JTM64" s="21"/>
      <c r="JTN64" s="21"/>
      <c r="JTO64" s="21"/>
      <c r="JTP64" s="21"/>
      <c r="JTQ64" s="21"/>
      <c r="JTR64" s="21"/>
      <c r="JTS64" s="21"/>
      <c r="JTT64" s="21"/>
      <c r="JTU64" s="21"/>
      <c r="JTV64" s="21"/>
      <c r="JTW64" s="21"/>
      <c r="JTX64" s="21"/>
      <c r="JTY64" s="21"/>
      <c r="JTZ64" s="21"/>
      <c r="JUA64" s="21"/>
      <c r="JUB64" s="21"/>
      <c r="JUC64" s="21"/>
      <c r="JUD64" s="21"/>
      <c r="JUE64" s="21"/>
      <c r="JUF64" s="21"/>
      <c r="JUG64" s="21"/>
      <c r="JUH64" s="21"/>
      <c r="JUI64" s="21"/>
      <c r="JUJ64" s="21"/>
      <c r="JUK64" s="21"/>
      <c r="JUL64" s="21"/>
      <c r="JUM64" s="21"/>
      <c r="JUN64" s="21"/>
      <c r="JUO64" s="21"/>
      <c r="JUP64" s="21"/>
      <c r="JUQ64" s="21"/>
      <c r="JUR64" s="21"/>
      <c r="JUS64" s="21"/>
      <c r="JUT64" s="21"/>
      <c r="JUU64" s="21"/>
      <c r="JUV64" s="21"/>
      <c r="JUW64" s="21"/>
      <c r="JUX64" s="21"/>
      <c r="JUY64" s="21"/>
      <c r="JUZ64" s="21"/>
      <c r="JVA64" s="21"/>
      <c r="JVB64" s="21"/>
      <c r="JVC64" s="21"/>
      <c r="JVD64" s="21"/>
      <c r="JVE64" s="21"/>
      <c r="JVF64" s="21"/>
      <c r="JVG64" s="21"/>
      <c r="JVH64" s="21"/>
      <c r="JVI64" s="21"/>
      <c r="JVJ64" s="21"/>
      <c r="JVK64" s="21"/>
      <c r="JVL64" s="21"/>
      <c r="JVM64" s="21"/>
      <c r="JVN64" s="21"/>
      <c r="JVO64" s="21"/>
      <c r="JVP64" s="21"/>
      <c r="JVQ64" s="21"/>
      <c r="JVR64" s="21"/>
      <c r="JVS64" s="21"/>
      <c r="JVT64" s="21"/>
      <c r="JVU64" s="21"/>
      <c r="JVV64" s="21"/>
      <c r="JVW64" s="21"/>
      <c r="JVX64" s="21"/>
      <c r="JVY64" s="21"/>
      <c r="JVZ64" s="21"/>
      <c r="JWA64" s="21"/>
      <c r="JWB64" s="21"/>
      <c r="JWC64" s="21"/>
      <c r="JWD64" s="21"/>
      <c r="JWE64" s="21"/>
      <c r="JWF64" s="21"/>
      <c r="JWG64" s="21"/>
      <c r="JWH64" s="21"/>
      <c r="JWI64" s="21"/>
      <c r="JWJ64" s="21"/>
      <c r="JWK64" s="21"/>
      <c r="JWL64" s="21"/>
      <c r="JWM64" s="21"/>
      <c r="JWN64" s="21"/>
      <c r="JWO64" s="21"/>
      <c r="JWP64" s="21"/>
      <c r="JWQ64" s="21"/>
      <c r="JWR64" s="21"/>
      <c r="JWS64" s="21"/>
      <c r="JWT64" s="21"/>
      <c r="JWU64" s="21"/>
      <c r="JWV64" s="21"/>
      <c r="JWW64" s="21"/>
      <c r="JWX64" s="21"/>
      <c r="JWY64" s="21"/>
      <c r="JWZ64" s="21"/>
      <c r="JXA64" s="21"/>
      <c r="JXB64" s="21"/>
      <c r="JXC64" s="21"/>
      <c r="JXD64" s="21"/>
      <c r="JXE64" s="21"/>
      <c r="JXF64" s="21"/>
      <c r="JXG64" s="21"/>
      <c r="JXH64" s="21"/>
      <c r="JXI64" s="21"/>
      <c r="JXJ64" s="21"/>
      <c r="JXK64" s="21"/>
      <c r="JXL64" s="21"/>
      <c r="JXM64" s="21"/>
      <c r="JXN64" s="21"/>
      <c r="JXO64" s="21"/>
      <c r="JXP64" s="21"/>
      <c r="JXQ64" s="21"/>
      <c r="JXR64" s="21"/>
      <c r="JXS64" s="21"/>
      <c r="JXT64" s="21"/>
      <c r="JXU64" s="21"/>
      <c r="JXV64" s="21"/>
      <c r="JXW64" s="21"/>
      <c r="JXX64" s="21"/>
      <c r="JXY64" s="21"/>
      <c r="JXZ64" s="21"/>
      <c r="JYA64" s="21"/>
      <c r="JYB64" s="21"/>
      <c r="JYC64" s="21"/>
      <c r="JYD64" s="21"/>
      <c r="JYE64" s="21"/>
      <c r="JYF64" s="21"/>
      <c r="JYG64" s="21"/>
      <c r="JYH64" s="21"/>
      <c r="JYI64" s="21"/>
      <c r="JYJ64" s="21"/>
      <c r="JYK64" s="21"/>
      <c r="JYL64" s="21"/>
      <c r="JYM64" s="21"/>
      <c r="JYN64" s="21"/>
      <c r="JYO64" s="21"/>
      <c r="JYP64" s="21"/>
      <c r="JYQ64" s="21"/>
      <c r="JYR64" s="21"/>
      <c r="JYS64" s="21"/>
      <c r="JYT64" s="21"/>
      <c r="JYU64" s="21"/>
      <c r="JYV64" s="21"/>
      <c r="JYW64" s="21"/>
      <c r="JYX64" s="21"/>
      <c r="JYY64" s="21"/>
      <c r="JYZ64" s="21"/>
      <c r="JZA64" s="21"/>
      <c r="JZB64" s="21"/>
      <c r="JZC64" s="21"/>
      <c r="JZD64" s="21"/>
      <c r="JZE64" s="21"/>
      <c r="JZF64" s="21"/>
      <c r="JZG64" s="21"/>
      <c r="JZH64" s="21"/>
      <c r="JZI64" s="21"/>
      <c r="JZJ64" s="21"/>
      <c r="JZK64" s="21"/>
      <c r="JZL64" s="21"/>
      <c r="JZM64" s="21"/>
      <c r="JZN64" s="21"/>
      <c r="JZO64" s="21"/>
      <c r="JZP64" s="21"/>
      <c r="JZQ64" s="21"/>
      <c r="JZR64" s="21"/>
      <c r="JZS64" s="21"/>
      <c r="JZT64" s="21"/>
      <c r="JZU64" s="21"/>
      <c r="JZV64" s="21"/>
      <c r="JZW64" s="21"/>
      <c r="JZX64" s="21"/>
      <c r="JZY64" s="21"/>
      <c r="JZZ64" s="21"/>
      <c r="KAA64" s="21"/>
      <c r="KAB64" s="21"/>
      <c r="KAC64" s="21"/>
      <c r="KAD64" s="21"/>
      <c r="KAE64" s="21"/>
      <c r="KAF64" s="21"/>
      <c r="KAG64" s="21"/>
      <c r="KAH64" s="21"/>
      <c r="KAI64" s="21"/>
      <c r="KAJ64" s="21"/>
      <c r="KAK64" s="21"/>
      <c r="KAL64" s="21"/>
      <c r="KAM64" s="21"/>
      <c r="KAN64" s="21"/>
      <c r="KAO64" s="21"/>
      <c r="KAP64" s="21"/>
      <c r="KAQ64" s="21"/>
      <c r="KAR64" s="21"/>
      <c r="KAS64" s="21"/>
      <c r="KAT64" s="21"/>
      <c r="KAU64" s="21"/>
      <c r="KAV64" s="21"/>
      <c r="KAW64" s="21"/>
      <c r="KAX64" s="21"/>
      <c r="KAY64" s="21"/>
      <c r="KAZ64" s="21"/>
      <c r="KBA64" s="21"/>
      <c r="KBB64" s="21"/>
      <c r="KBC64" s="21"/>
      <c r="KBD64" s="21"/>
      <c r="KBE64" s="21"/>
      <c r="KBF64" s="21"/>
      <c r="KBG64" s="21"/>
      <c r="KBH64" s="21"/>
      <c r="KBI64" s="21"/>
      <c r="KBJ64" s="21"/>
      <c r="KBK64" s="21"/>
      <c r="KBL64" s="21"/>
      <c r="KBM64" s="21"/>
      <c r="KBN64" s="21"/>
      <c r="KBO64" s="21"/>
      <c r="KBP64" s="21"/>
      <c r="KBQ64" s="21"/>
      <c r="KBR64" s="21"/>
      <c r="KBS64" s="21"/>
      <c r="KBT64" s="21"/>
      <c r="KBU64" s="21"/>
      <c r="KBV64" s="21"/>
      <c r="KBW64" s="21"/>
      <c r="KBX64" s="21"/>
      <c r="KBY64" s="21"/>
      <c r="KBZ64" s="21"/>
      <c r="KCA64" s="21"/>
      <c r="KCB64" s="21"/>
      <c r="KCC64" s="21"/>
      <c r="KCD64" s="21"/>
      <c r="KCE64" s="21"/>
      <c r="KCF64" s="21"/>
      <c r="KCG64" s="21"/>
      <c r="KCH64" s="21"/>
      <c r="KCI64" s="21"/>
      <c r="KCJ64" s="21"/>
      <c r="KCK64" s="21"/>
      <c r="KCL64" s="21"/>
      <c r="KCM64" s="21"/>
      <c r="KCN64" s="21"/>
      <c r="KCO64" s="21"/>
      <c r="KCP64" s="21"/>
      <c r="KCQ64" s="21"/>
      <c r="KCR64" s="21"/>
      <c r="KCS64" s="21"/>
      <c r="KCT64" s="21"/>
      <c r="KCU64" s="21"/>
      <c r="KCV64" s="21"/>
      <c r="KCW64" s="21"/>
      <c r="KCX64" s="21"/>
      <c r="KCY64" s="21"/>
      <c r="KCZ64" s="21"/>
      <c r="KDA64" s="21"/>
      <c r="KDB64" s="21"/>
      <c r="KDC64" s="21"/>
      <c r="KDD64" s="21"/>
      <c r="KDE64" s="21"/>
      <c r="KDF64" s="21"/>
      <c r="KDG64" s="21"/>
      <c r="KDH64" s="21"/>
      <c r="KDI64" s="21"/>
      <c r="KDJ64" s="21"/>
      <c r="KDK64" s="21"/>
      <c r="KDL64" s="21"/>
      <c r="KDM64" s="21"/>
      <c r="KDN64" s="21"/>
      <c r="KDO64" s="21"/>
      <c r="KDP64" s="21"/>
      <c r="KDQ64" s="21"/>
      <c r="KDR64" s="21"/>
      <c r="KDS64" s="21"/>
      <c r="KDT64" s="21"/>
      <c r="KDU64" s="21"/>
      <c r="KDV64" s="21"/>
      <c r="KDW64" s="21"/>
      <c r="KDX64" s="21"/>
      <c r="KDY64" s="21"/>
      <c r="KDZ64" s="21"/>
      <c r="KEA64" s="21"/>
      <c r="KEB64" s="21"/>
      <c r="KEC64" s="21"/>
      <c r="KED64" s="21"/>
      <c r="KEE64" s="21"/>
      <c r="KEF64" s="21"/>
      <c r="KEG64" s="21"/>
      <c r="KEH64" s="21"/>
      <c r="KEI64" s="21"/>
      <c r="KEJ64" s="21"/>
      <c r="KEK64" s="21"/>
      <c r="KEL64" s="21"/>
      <c r="KEM64" s="21"/>
      <c r="KEN64" s="21"/>
      <c r="KEO64" s="21"/>
      <c r="KEP64" s="21"/>
      <c r="KEQ64" s="21"/>
      <c r="KER64" s="21"/>
      <c r="KES64" s="21"/>
      <c r="KET64" s="21"/>
      <c r="KEU64" s="21"/>
      <c r="KEV64" s="21"/>
      <c r="KEW64" s="21"/>
      <c r="KEX64" s="21"/>
      <c r="KEY64" s="21"/>
      <c r="KEZ64" s="21"/>
      <c r="KFA64" s="21"/>
      <c r="KFB64" s="21"/>
      <c r="KFC64" s="21"/>
      <c r="KFD64" s="21"/>
      <c r="KFE64" s="21"/>
      <c r="KFF64" s="21"/>
      <c r="KFG64" s="21"/>
      <c r="KFH64" s="21"/>
      <c r="KFI64" s="21"/>
      <c r="KFJ64" s="21"/>
      <c r="KFK64" s="21"/>
      <c r="KFL64" s="21"/>
      <c r="KFM64" s="21"/>
      <c r="KFN64" s="21"/>
      <c r="KFO64" s="21"/>
      <c r="KFP64" s="21"/>
      <c r="KFQ64" s="21"/>
      <c r="KFR64" s="21"/>
      <c r="KFS64" s="21"/>
      <c r="KFT64" s="21"/>
      <c r="KFU64" s="21"/>
      <c r="KFV64" s="21"/>
      <c r="KFW64" s="21"/>
      <c r="KFX64" s="21"/>
      <c r="KFY64" s="21"/>
      <c r="KFZ64" s="21"/>
      <c r="KGA64" s="21"/>
      <c r="KGB64" s="21"/>
      <c r="KGC64" s="21"/>
      <c r="KGD64" s="21"/>
      <c r="KGE64" s="21"/>
      <c r="KGF64" s="21"/>
      <c r="KGG64" s="21"/>
      <c r="KGH64" s="21"/>
      <c r="KGI64" s="21"/>
      <c r="KGJ64" s="21"/>
      <c r="KGK64" s="21"/>
      <c r="KGL64" s="21"/>
      <c r="KGM64" s="21"/>
      <c r="KGN64" s="21"/>
      <c r="KGO64" s="21"/>
      <c r="KGP64" s="21"/>
      <c r="KGQ64" s="21"/>
      <c r="KGR64" s="21"/>
      <c r="KGS64" s="21"/>
      <c r="KGT64" s="21"/>
      <c r="KGU64" s="21"/>
      <c r="KGV64" s="21"/>
      <c r="KGW64" s="21"/>
      <c r="KGX64" s="21"/>
      <c r="KGY64" s="21"/>
      <c r="KGZ64" s="21"/>
      <c r="KHA64" s="21"/>
      <c r="KHB64" s="21"/>
      <c r="KHC64" s="21"/>
      <c r="KHD64" s="21"/>
      <c r="KHE64" s="21"/>
      <c r="KHF64" s="21"/>
      <c r="KHG64" s="21"/>
      <c r="KHH64" s="21"/>
      <c r="KHI64" s="21"/>
      <c r="KHJ64" s="21"/>
      <c r="KHK64" s="21"/>
      <c r="KHL64" s="21"/>
      <c r="KHM64" s="21"/>
      <c r="KHN64" s="21"/>
      <c r="KHO64" s="21"/>
      <c r="KHP64" s="21"/>
      <c r="KHQ64" s="21"/>
      <c r="KHR64" s="21"/>
      <c r="KHS64" s="21"/>
      <c r="KHT64" s="21"/>
      <c r="KHU64" s="21"/>
      <c r="KHV64" s="21"/>
      <c r="KHW64" s="21"/>
      <c r="KHX64" s="21"/>
      <c r="KHY64" s="21"/>
      <c r="KHZ64" s="21"/>
      <c r="KIA64" s="21"/>
      <c r="KIB64" s="21"/>
      <c r="KIC64" s="21"/>
      <c r="KID64" s="21"/>
      <c r="KIE64" s="21"/>
      <c r="KIF64" s="21"/>
      <c r="KIG64" s="21"/>
      <c r="KIH64" s="21"/>
      <c r="KII64" s="21"/>
      <c r="KIJ64" s="21"/>
      <c r="KIK64" s="21"/>
      <c r="KIL64" s="21"/>
      <c r="KIM64" s="21"/>
      <c r="KIN64" s="21"/>
      <c r="KIO64" s="21"/>
      <c r="KIP64" s="21"/>
      <c r="KIQ64" s="21"/>
      <c r="KIR64" s="21"/>
      <c r="KIS64" s="21"/>
      <c r="KIT64" s="21"/>
      <c r="KIU64" s="21"/>
      <c r="KIV64" s="21"/>
      <c r="KIW64" s="21"/>
      <c r="KIX64" s="21"/>
      <c r="KIY64" s="21"/>
      <c r="KIZ64" s="21"/>
      <c r="KJA64" s="21"/>
      <c r="KJB64" s="21"/>
      <c r="KJC64" s="21"/>
      <c r="KJD64" s="21"/>
      <c r="KJE64" s="21"/>
      <c r="KJF64" s="21"/>
      <c r="KJG64" s="21"/>
      <c r="KJH64" s="21"/>
      <c r="KJI64" s="21"/>
      <c r="KJJ64" s="21"/>
      <c r="KJK64" s="21"/>
      <c r="KJL64" s="21"/>
      <c r="KJM64" s="21"/>
      <c r="KJN64" s="21"/>
      <c r="KJO64" s="21"/>
      <c r="KJP64" s="21"/>
      <c r="KJQ64" s="21"/>
      <c r="KJR64" s="21"/>
      <c r="KJS64" s="21"/>
      <c r="KJT64" s="21"/>
      <c r="KJU64" s="21"/>
      <c r="KJV64" s="21"/>
      <c r="KJW64" s="21"/>
      <c r="KJX64" s="21"/>
      <c r="KJY64" s="21"/>
      <c r="KJZ64" s="21"/>
      <c r="KKA64" s="21"/>
      <c r="KKB64" s="21"/>
      <c r="KKC64" s="21"/>
      <c r="KKD64" s="21"/>
      <c r="KKE64" s="21"/>
      <c r="KKF64" s="21"/>
      <c r="KKG64" s="21"/>
      <c r="KKH64" s="21"/>
      <c r="KKI64" s="21"/>
      <c r="KKJ64" s="21"/>
      <c r="KKK64" s="21"/>
      <c r="KKL64" s="21"/>
      <c r="KKM64" s="21"/>
      <c r="KKN64" s="21"/>
      <c r="KKO64" s="21"/>
      <c r="KKP64" s="21"/>
      <c r="KKQ64" s="21"/>
      <c r="KKR64" s="21"/>
      <c r="KKS64" s="21"/>
      <c r="KKT64" s="21"/>
      <c r="KKU64" s="21"/>
      <c r="KKV64" s="21"/>
      <c r="KKW64" s="21"/>
      <c r="KKX64" s="21"/>
      <c r="KKY64" s="21"/>
      <c r="KKZ64" s="21"/>
      <c r="KLA64" s="21"/>
      <c r="KLB64" s="21"/>
      <c r="KLC64" s="21"/>
      <c r="KLD64" s="21"/>
      <c r="KLE64" s="21"/>
      <c r="KLF64" s="21"/>
      <c r="KLG64" s="21"/>
      <c r="KLH64" s="21"/>
      <c r="KLI64" s="21"/>
      <c r="KLJ64" s="21"/>
      <c r="KLK64" s="21"/>
      <c r="KLL64" s="21"/>
      <c r="KLM64" s="21"/>
      <c r="KLN64" s="21"/>
      <c r="KLO64" s="21"/>
      <c r="KLP64" s="21"/>
      <c r="KLQ64" s="21"/>
      <c r="KLR64" s="21"/>
      <c r="KLS64" s="21"/>
      <c r="KLT64" s="21"/>
      <c r="KLU64" s="21"/>
      <c r="KLV64" s="21"/>
      <c r="KLW64" s="21"/>
      <c r="KLX64" s="21"/>
      <c r="KLY64" s="21"/>
      <c r="KLZ64" s="21"/>
      <c r="KMA64" s="21"/>
      <c r="KMB64" s="21"/>
      <c r="KMC64" s="21"/>
      <c r="KMD64" s="21"/>
      <c r="KME64" s="21"/>
      <c r="KMF64" s="21"/>
      <c r="KMG64" s="21"/>
      <c r="KMH64" s="21"/>
      <c r="KMI64" s="21"/>
      <c r="KMJ64" s="21"/>
      <c r="KMK64" s="21"/>
      <c r="KML64" s="21"/>
      <c r="KMM64" s="21"/>
      <c r="KMN64" s="21"/>
      <c r="KMO64" s="21"/>
      <c r="KMP64" s="21"/>
      <c r="KMQ64" s="21"/>
      <c r="KMR64" s="21"/>
      <c r="KMS64" s="21"/>
      <c r="KMT64" s="21"/>
      <c r="KMU64" s="21"/>
      <c r="KMV64" s="21"/>
      <c r="KMW64" s="21"/>
      <c r="KMX64" s="21"/>
      <c r="KMY64" s="21"/>
      <c r="KMZ64" s="21"/>
      <c r="KNA64" s="21"/>
      <c r="KNB64" s="21"/>
      <c r="KNC64" s="21"/>
      <c r="KND64" s="21"/>
      <c r="KNE64" s="21"/>
      <c r="KNF64" s="21"/>
      <c r="KNG64" s="21"/>
      <c r="KNH64" s="21"/>
      <c r="KNI64" s="21"/>
      <c r="KNJ64" s="21"/>
      <c r="KNK64" s="21"/>
      <c r="KNL64" s="21"/>
      <c r="KNM64" s="21"/>
      <c r="KNN64" s="21"/>
      <c r="KNO64" s="21"/>
      <c r="KNP64" s="21"/>
      <c r="KNQ64" s="21"/>
      <c r="KNR64" s="21"/>
      <c r="KNS64" s="21"/>
      <c r="KNT64" s="21"/>
      <c r="KNU64" s="21"/>
      <c r="KNV64" s="21"/>
      <c r="KNW64" s="21"/>
      <c r="KNX64" s="21"/>
      <c r="KNY64" s="21"/>
      <c r="KNZ64" s="21"/>
      <c r="KOA64" s="21"/>
      <c r="KOB64" s="21"/>
      <c r="KOC64" s="21"/>
      <c r="KOD64" s="21"/>
      <c r="KOE64" s="21"/>
      <c r="KOF64" s="21"/>
      <c r="KOG64" s="21"/>
      <c r="KOH64" s="21"/>
      <c r="KOI64" s="21"/>
      <c r="KOJ64" s="21"/>
      <c r="KOK64" s="21"/>
      <c r="KOL64" s="21"/>
      <c r="KOM64" s="21"/>
      <c r="KON64" s="21"/>
      <c r="KOO64" s="21"/>
      <c r="KOP64" s="21"/>
      <c r="KOQ64" s="21"/>
      <c r="KOR64" s="21"/>
      <c r="KOS64" s="21"/>
      <c r="KOT64" s="21"/>
      <c r="KOU64" s="21"/>
      <c r="KOV64" s="21"/>
      <c r="KOW64" s="21"/>
      <c r="KOX64" s="21"/>
      <c r="KOY64" s="21"/>
      <c r="KOZ64" s="21"/>
      <c r="KPA64" s="21"/>
      <c r="KPB64" s="21"/>
      <c r="KPC64" s="21"/>
      <c r="KPD64" s="21"/>
      <c r="KPE64" s="21"/>
      <c r="KPF64" s="21"/>
      <c r="KPG64" s="21"/>
      <c r="KPH64" s="21"/>
      <c r="KPI64" s="21"/>
      <c r="KPJ64" s="21"/>
      <c r="KPK64" s="21"/>
      <c r="KPL64" s="21"/>
      <c r="KPM64" s="21"/>
      <c r="KPN64" s="21"/>
      <c r="KPO64" s="21"/>
      <c r="KPP64" s="21"/>
      <c r="KPQ64" s="21"/>
      <c r="KPR64" s="21"/>
      <c r="KPS64" s="21"/>
      <c r="KPT64" s="21"/>
      <c r="KPU64" s="21"/>
      <c r="KPV64" s="21"/>
      <c r="KPW64" s="21"/>
      <c r="KPX64" s="21"/>
      <c r="KPY64" s="21"/>
      <c r="KPZ64" s="21"/>
      <c r="KQA64" s="21"/>
      <c r="KQB64" s="21"/>
      <c r="KQC64" s="21"/>
      <c r="KQD64" s="21"/>
      <c r="KQE64" s="21"/>
      <c r="KQF64" s="21"/>
      <c r="KQG64" s="21"/>
      <c r="KQH64" s="21"/>
      <c r="KQI64" s="21"/>
      <c r="KQJ64" s="21"/>
      <c r="KQK64" s="21"/>
      <c r="KQL64" s="21"/>
      <c r="KQM64" s="21"/>
      <c r="KQN64" s="21"/>
      <c r="KQO64" s="21"/>
      <c r="KQP64" s="21"/>
      <c r="KQQ64" s="21"/>
      <c r="KQR64" s="21"/>
      <c r="KQS64" s="21"/>
      <c r="KQT64" s="21"/>
      <c r="KQU64" s="21"/>
      <c r="KQV64" s="21"/>
      <c r="KQW64" s="21"/>
      <c r="KQX64" s="21"/>
      <c r="KQY64" s="21"/>
      <c r="KQZ64" s="21"/>
      <c r="KRA64" s="21"/>
      <c r="KRB64" s="21"/>
      <c r="KRC64" s="21"/>
      <c r="KRD64" s="21"/>
      <c r="KRE64" s="21"/>
      <c r="KRF64" s="21"/>
      <c r="KRG64" s="21"/>
      <c r="KRH64" s="21"/>
      <c r="KRI64" s="21"/>
      <c r="KRJ64" s="21"/>
      <c r="KRK64" s="21"/>
      <c r="KRL64" s="21"/>
      <c r="KRM64" s="21"/>
      <c r="KRN64" s="21"/>
      <c r="KRO64" s="21"/>
      <c r="KRP64" s="21"/>
      <c r="KRQ64" s="21"/>
      <c r="KRR64" s="21"/>
      <c r="KRS64" s="21"/>
      <c r="KRT64" s="21"/>
      <c r="KRU64" s="21"/>
      <c r="KRV64" s="21"/>
      <c r="KRW64" s="21"/>
      <c r="KRX64" s="21"/>
      <c r="KRY64" s="21"/>
      <c r="KRZ64" s="21"/>
      <c r="KSA64" s="21"/>
      <c r="KSB64" s="21"/>
      <c r="KSC64" s="21"/>
      <c r="KSD64" s="21"/>
      <c r="KSE64" s="21"/>
      <c r="KSF64" s="21"/>
      <c r="KSG64" s="21"/>
      <c r="KSH64" s="21"/>
      <c r="KSI64" s="21"/>
      <c r="KSJ64" s="21"/>
      <c r="KSK64" s="21"/>
      <c r="KSL64" s="21"/>
      <c r="KSM64" s="21"/>
      <c r="KSN64" s="21"/>
      <c r="KSO64" s="21"/>
      <c r="KSP64" s="21"/>
      <c r="KSQ64" s="21"/>
      <c r="KSR64" s="21"/>
      <c r="KSS64" s="21"/>
      <c r="KST64" s="21"/>
      <c r="KSU64" s="21"/>
      <c r="KSV64" s="21"/>
      <c r="KSW64" s="21"/>
      <c r="KSX64" s="21"/>
      <c r="KSY64" s="21"/>
      <c r="KSZ64" s="21"/>
      <c r="KTA64" s="21"/>
      <c r="KTB64" s="21"/>
      <c r="KTC64" s="21"/>
      <c r="KTD64" s="21"/>
      <c r="KTE64" s="21"/>
      <c r="KTF64" s="21"/>
      <c r="KTG64" s="21"/>
      <c r="KTH64" s="21"/>
      <c r="KTI64" s="21"/>
      <c r="KTJ64" s="21"/>
      <c r="KTK64" s="21"/>
      <c r="KTL64" s="21"/>
      <c r="KTM64" s="21"/>
      <c r="KTN64" s="21"/>
      <c r="KTO64" s="21"/>
      <c r="KTP64" s="21"/>
      <c r="KTQ64" s="21"/>
      <c r="KTR64" s="21"/>
      <c r="KTS64" s="21"/>
      <c r="KTT64" s="21"/>
      <c r="KTU64" s="21"/>
      <c r="KTV64" s="21"/>
      <c r="KTW64" s="21"/>
      <c r="KTX64" s="21"/>
      <c r="KTY64" s="21"/>
      <c r="KTZ64" s="21"/>
      <c r="KUA64" s="21"/>
      <c r="KUB64" s="21"/>
      <c r="KUC64" s="21"/>
      <c r="KUD64" s="21"/>
      <c r="KUE64" s="21"/>
      <c r="KUF64" s="21"/>
      <c r="KUG64" s="21"/>
      <c r="KUH64" s="21"/>
      <c r="KUI64" s="21"/>
      <c r="KUJ64" s="21"/>
      <c r="KUK64" s="21"/>
      <c r="KUL64" s="21"/>
      <c r="KUM64" s="21"/>
      <c r="KUN64" s="21"/>
      <c r="KUO64" s="21"/>
      <c r="KUP64" s="21"/>
      <c r="KUQ64" s="21"/>
      <c r="KUR64" s="21"/>
      <c r="KUS64" s="21"/>
      <c r="KUT64" s="21"/>
      <c r="KUU64" s="21"/>
      <c r="KUV64" s="21"/>
      <c r="KUW64" s="21"/>
      <c r="KUX64" s="21"/>
      <c r="KUY64" s="21"/>
      <c r="KUZ64" s="21"/>
      <c r="KVA64" s="21"/>
      <c r="KVB64" s="21"/>
      <c r="KVC64" s="21"/>
      <c r="KVD64" s="21"/>
      <c r="KVE64" s="21"/>
      <c r="KVF64" s="21"/>
      <c r="KVG64" s="21"/>
      <c r="KVH64" s="21"/>
      <c r="KVI64" s="21"/>
      <c r="KVJ64" s="21"/>
      <c r="KVK64" s="21"/>
      <c r="KVL64" s="21"/>
      <c r="KVM64" s="21"/>
      <c r="KVN64" s="21"/>
      <c r="KVO64" s="21"/>
      <c r="KVP64" s="21"/>
      <c r="KVQ64" s="21"/>
      <c r="KVR64" s="21"/>
      <c r="KVS64" s="21"/>
      <c r="KVT64" s="21"/>
      <c r="KVU64" s="21"/>
      <c r="KVV64" s="21"/>
      <c r="KVW64" s="21"/>
      <c r="KVX64" s="21"/>
      <c r="KVY64" s="21"/>
      <c r="KVZ64" s="21"/>
      <c r="KWA64" s="21"/>
      <c r="KWB64" s="21"/>
      <c r="KWC64" s="21"/>
      <c r="KWD64" s="21"/>
      <c r="KWE64" s="21"/>
      <c r="KWF64" s="21"/>
      <c r="KWG64" s="21"/>
      <c r="KWH64" s="21"/>
      <c r="KWI64" s="21"/>
      <c r="KWJ64" s="21"/>
      <c r="KWK64" s="21"/>
      <c r="KWL64" s="21"/>
      <c r="KWM64" s="21"/>
      <c r="KWN64" s="21"/>
      <c r="KWO64" s="21"/>
      <c r="KWP64" s="21"/>
      <c r="KWQ64" s="21"/>
      <c r="KWR64" s="21"/>
      <c r="KWS64" s="21"/>
      <c r="KWT64" s="21"/>
      <c r="KWU64" s="21"/>
      <c r="KWV64" s="21"/>
      <c r="KWW64" s="21"/>
      <c r="KWX64" s="21"/>
      <c r="KWY64" s="21"/>
      <c r="KWZ64" s="21"/>
      <c r="KXA64" s="21"/>
      <c r="KXB64" s="21"/>
      <c r="KXC64" s="21"/>
      <c r="KXD64" s="21"/>
      <c r="KXE64" s="21"/>
      <c r="KXF64" s="21"/>
      <c r="KXG64" s="21"/>
      <c r="KXH64" s="21"/>
      <c r="KXI64" s="21"/>
      <c r="KXJ64" s="21"/>
      <c r="KXK64" s="21"/>
      <c r="KXL64" s="21"/>
      <c r="KXM64" s="21"/>
      <c r="KXN64" s="21"/>
      <c r="KXO64" s="21"/>
      <c r="KXP64" s="21"/>
      <c r="KXQ64" s="21"/>
      <c r="KXR64" s="21"/>
      <c r="KXS64" s="21"/>
      <c r="KXT64" s="21"/>
      <c r="KXU64" s="21"/>
      <c r="KXV64" s="21"/>
      <c r="KXW64" s="21"/>
      <c r="KXX64" s="21"/>
      <c r="KXY64" s="21"/>
      <c r="KXZ64" s="21"/>
      <c r="KYA64" s="21"/>
      <c r="KYB64" s="21"/>
      <c r="KYC64" s="21"/>
      <c r="KYD64" s="21"/>
      <c r="KYE64" s="21"/>
      <c r="KYF64" s="21"/>
      <c r="KYG64" s="21"/>
      <c r="KYH64" s="21"/>
      <c r="KYI64" s="21"/>
      <c r="KYJ64" s="21"/>
      <c r="KYK64" s="21"/>
      <c r="KYL64" s="21"/>
      <c r="KYM64" s="21"/>
      <c r="KYN64" s="21"/>
      <c r="KYO64" s="21"/>
      <c r="KYP64" s="21"/>
      <c r="KYQ64" s="21"/>
      <c r="KYR64" s="21"/>
      <c r="KYS64" s="21"/>
      <c r="KYT64" s="21"/>
      <c r="KYU64" s="21"/>
      <c r="KYV64" s="21"/>
      <c r="KYW64" s="21"/>
      <c r="KYX64" s="21"/>
      <c r="KYY64" s="21"/>
      <c r="KYZ64" s="21"/>
      <c r="KZA64" s="21"/>
      <c r="KZB64" s="21"/>
      <c r="KZC64" s="21"/>
      <c r="KZD64" s="21"/>
      <c r="KZE64" s="21"/>
      <c r="KZF64" s="21"/>
      <c r="KZG64" s="21"/>
      <c r="KZH64" s="21"/>
      <c r="KZI64" s="21"/>
      <c r="KZJ64" s="21"/>
      <c r="KZK64" s="21"/>
      <c r="KZL64" s="21"/>
      <c r="KZM64" s="21"/>
      <c r="KZN64" s="21"/>
      <c r="KZO64" s="21"/>
      <c r="KZP64" s="21"/>
      <c r="KZQ64" s="21"/>
      <c r="KZR64" s="21"/>
      <c r="KZS64" s="21"/>
      <c r="KZT64" s="21"/>
      <c r="KZU64" s="21"/>
      <c r="KZV64" s="21"/>
      <c r="KZW64" s="21"/>
      <c r="KZX64" s="21"/>
      <c r="KZY64" s="21"/>
      <c r="KZZ64" s="21"/>
      <c r="LAA64" s="21"/>
      <c r="LAB64" s="21"/>
      <c r="LAC64" s="21"/>
      <c r="LAD64" s="21"/>
      <c r="LAE64" s="21"/>
      <c r="LAF64" s="21"/>
      <c r="LAG64" s="21"/>
      <c r="LAH64" s="21"/>
      <c r="LAI64" s="21"/>
      <c r="LAJ64" s="21"/>
      <c r="LAK64" s="21"/>
      <c r="LAL64" s="21"/>
      <c r="LAM64" s="21"/>
      <c r="LAN64" s="21"/>
      <c r="LAO64" s="21"/>
      <c r="LAP64" s="21"/>
      <c r="LAQ64" s="21"/>
      <c r="LAR64" s="21"/>
      <c r="LAS64" s="21"/>
      <c r="LAT64" s="21"/>
      <c r="LAU64" s="21"/>
      <c r="LAV64" s="21"/>
      <c r="LAW64" s="21"/>
      <c r="LAX64" s="21"/>
      <c r="LAY64" s="21"/>
      <c r="LAZ64" s="21"/>
      <c r="LBA64" s="21"/>
      <c r="LBB64" s="21"/>
      <c r="LBC64" s="21"/>
      <c r="LBD64" s="21"/>
      <c r="LBE64" s="21"/>
      <c r="LBF64" s="21"/>
      <c r="LBG64" s="21"/>
      <c r="LBH64" s="21"/>
      <c r="LBI64" s="21"/>
      <c r="LBJ64" s="21"/>
      <c r="LBK64" s="21"/>
      <c r="LBL64" s="21"/>
      <c r="LBM64" s="21"/>
      <c r="LBN64" s="21"/>
      <c r="LBO64" s="21"/>
      <c r="LBP64" s="21"/>
      <c r="LBQ64" s="21"/>
      <c r="LBR64" s="21"/>
      <c r="LBS64" s="21"/>
      <c r="LBT64" s="21"/>
      <c r="LBU64" s="21"/>
      <c r="LBV64" s="21"/>
      <c r="LBW64" s="21"/>
      <c r="LBX64" s="21"/>
      <c r="LBY64" s="21"/>
      <c r="LBZ64" s="21"/>
      <c r="LCA64" s="21"/>
      <c r="LCB64" s="21"/>
      <c r="LCC64" s="21"/>
      <c r="LCD64" s="21"/>
      <c r="LCE64" s="21"/>
      <c r="LCF64" s="21"/>
      <c r="LCG64" s="21"/>
      <c r="LCH64" s="21"/>
      <c r="LCI64" s="21"/>
      <c r="LCJ64" s="21"/>
      <c r="LCK64" s="21"/>
      <c r="LCL64" s="21"/>
      <c r="LCM64" s="21"/>
      <c r="LCN64" s="21"/>
      <c r="LCO64" s="21"/>
      <c r="LCP64" s="21"/>
      <c r="LCQ64" s="21"/>
      <c r="LCR64" s="21"/>
      <c r="LCS64" s="21"/>
      <c r="LCT64" s="21"/>
      <c r="LCU64" s="21"/>
      <c r="LCV64" s="21"/>
      <c r="LCW64" s="21"/>
      <c r="LCX64" s="21"/>
      <c r="LCY64" s="21"/>
      <c r="LCZ64" s="21"/>
      <c r="LDA64" s="21"/>
      <c r="LDB64" s="21"/>
      <c r="LDC64" s="21"/>
      <c r="LDD64" s="21"/>
      <c r="LDE64" s="21"/>
      <c r="LDF64" s="21"/>
      <c r="LDG64" s="21"/>
      <c r="LDH64" s="21"/>
      <c r="LDI64" s="21"/>
      <c r="LDJ64" s="21"/>
      <c r="LDK64" s="21"/>
      <c r="LDL64" s="21"/>
      <c r="LDM64" s="21"/>
      <c r="LDN64" s="21"/>
      <c r="LDO64" s="21"/>
      <c r="LDP64" s="21"/>
      <c r="LDQ64" s="21"/>
      <c r="LDR64" s="21"/>
      <c r="LDS64" s="21"/>
      <c r="LDT64" s="21"/>
      <c r="LDU64" s="21"/>
      <c r="LDV64" s="21"/>
      <c r="LDW64" s="21"/>
      <c r="LDX64" s="21"/>
      <c r="LDY64" s="21"/>
      <c r="LDZ64" s="21"/>
      <c r="LEA64" s="21"/>
      <c r="LEB64" s="21"/>
      <c r="LEC64" s="21"/>
      <c r="LED64" s="21"/>
      <c r="LEE64" s="21"/>
      <c r="LEF64" s="21"/>
      <c r="LEG64" s="21"/>
      <c r="LEH64" s="21"/>
      <c r="LEI64" s="21"/>
      <c r="LEJ64" s="21"/>
      <c r="LEK64" s="21"/>
      <c r="LEL64" s="21"/>
      <c r="LEM64" s="21"/>
      <c r="LEN64" s="21"/>
      <c r="LEO64" s="21"/>
      <c r="LEP64" s="21"/>
      <c r="LEQ64" s="21"/>
      <c r="LER64" s="21"/>
      <c r="LES64" s="21"/>
      <c r="LET64" s="21"/>
      <c r="LEU64" s="21"/>
      <c r="LEV64" s="21"/>
      <c r="LEW64" s="21"/>
      <c r="LEX64" s="21"/>
      <c r="LEY64" s="21"/>
      <c r="LEZ64" s="21"/>
      <c r="LFA64" s="21"/>
      <c r="LFB64" s="21"/>
      <c r="LFC64" s="21"/>
      <c r="LFD64" s="21"/>
      <c r="LFE64" s="21"/>
      <c r="LFF64" s="21"/>
      <c r="LFG64" s="21"/>
      <c r="LFH64" s="21"/>
      <c r="LFI64" s="21"/>
      <c r="LFJ64" s="21"/>
      <c r="LFK64" s="21"/>
      <c r="LFL64" s="21"/>
      <c r="LFM64" s="21"/>
      <c r="LFN64" s="21"/>
      <c r="LFO64" s="21"/>
      <c r="LFP64" s="21"/>
      <c r="LFQ64" s="21"/>
      <c r="LFR64" s="21"/>
      <c r="LFS64" s="21"/>
      <c r="LFT64" s="21"/>
      <c r="LFU64" s="21"/>
      <c r="LFV64" s="21"/>
      <c r="LFW64" s="21"/>
      <c r="LFX64" s="21"/>
      <c r="LFY64" s="21"/>
      <c r="LFZ64" s="21"/>
      <c r="LGA64" s="21"/>
      <c r="LGB64" s="21"/>
      <c r="LGC64" s="21"/>
      <c r="LGD64" s="21"/>
      <c r="LGE64" s="21"/>
      <c r="LGF64" s="21"/>
      <c r="LGG64" s="21"/>
      <c r="LGH64" s="21"/>
      <c r="LGI64" s="21"/>
      <c r="LGJ64" s="21"/>
      <c r="LGK64" s="21"/>
      <c r="LGL64" s="21"/>
      <c r="LGM64" s="21"/>
      <c r="LGN64" s="21"/>
      <c r="LGO64" s="21"/>
      <c r="LGP64" s="21"/>
      <c r="LGQ64" s="21"/>
      <c r="LGR64" s="21"/>
      <c r="LGS64" s="21"/>
      <c r="LGT64" s="21"/>
      <c r="LGU64" s="21"/>
      <c r="LGV64" s="21"/>
      <c r="LGW64" s="21"/>
      <c r="LGX64" s="21"/>
      <c r="LGY64" s="21"/>
      <c r="LGZ64" s="21"/>
      <c r="LHA64" s="21"/>
      <c r="LHB64" s="21"/>
      <c r="LHC64" s="21"/>
      <c r="LHD64" s="21"/>
      <c r="LHE64" s="21"/>
      <c r="LHF64" s="21"/>
      <c r="LHG64" s="21"/>
      <c r="LHH64" s="21"/>
      <c r="LHI64" s="21"/>
      <c r="LHJ64" s="21"/>
      <c r="LHK64" s="21"/>
      <c r="LHL64" s="21"/>
      <c r="LHM64" s="21"/>
      <c r="LHN64" s="21"/>
      <c r="LHO64" s="21"/>
      <c r="LHP64" s="21"/>
      <c r="LHQ64" s="21"/>
      <c r="LHR64" s="21"/>
      <c r="LHS64" s="21"/>
      <c r="LHT64" s="21"/>
      <c r="LHU64" s="21"/>
      <c r="LHV64" s="21"/>
      <c r="LHW64" s="21"/>
      <c r="LHX64" s="21"/>
      <c r="LHY64" s="21"/>
      <c r="LHZ64" s="21"/>
      <c r="LIA64" s="21"/>
      <c r="LIB64" s="21"/>
      <c r="LIC64" s="21"/>
      <c r="LID64" s="21"/>
      <c r="LIE64" s="21"/>
      <c r="LIF64" s="21"/>
      <c r="LIG64" s="21"/>
      <c r="LIH64" s="21"/>
      <c r="LII64" s="21"/>
      <c r="LIJ64" s="21"/>
      <c r="LIK64" s="21"/>
      <c r="LIL64" s="21"/>
      <c r="LIM64" s="21"/>
      <c r="LIN64" s="21"/>
      <c r="LIO64" s="21"/>
      <c r="LIP64" s="21"/>
      <c r="LIQ64" s="21"/>
      <c r="LIR64" s="21"/>
      <c r="LIS64" s="21"/>
      <c r="LIT64" s="21"/>
      <c r="LIU64" s="21"/>
      <c r="LIV64" s="21"/>
      <c r="LIW64" s="21"/>
      <c r="LIX64" s="21"/>
      <c r="LIY64" s="21"/>
      <c r="LIZ64" s="21"/>
      <c r="LJA64" s="21"/>
      <c r="LJB64" s="21"/>
      <c r="LJC64" s="21"/>
      <c r="LJD64" s="21"/>
      <c r="LJE64" s="21"/>
      <c r="LJF64" s="21"/>
      <c r="LJG64" s="21"/>
      <c r="LJH64" s="21"/>
      <c r="LJI64" s="21"/>
      <c r="LJJ64" s="21"/>
      <c r="LJK64" s="21"/>
      <c r="LJL64" s="21"/>
      <c r="LJM64" s="21"/>
      <c r="LJN64" s="21"/>
      <c r="LJO64" s="21"/>
      <c r="LJP64" s="21"/>
      <c r="LJQ64" s="21"/>
      <c r="LJR64" s="21"/>
      <c r="LJS64" s="21"/>
      <c r="LJT64" s="21"/>
      <c r="LJU64" s="21"/>
      <c r="LJV64" s="21"/>
      <c r="LJW64" s="21"/>
      <c r="LJX64" s="21"/>
      <c r="LJY64" s="21"/>
      <c r="LJZ64" s="21"/>
      <c r="LKA64" s="21"/>
      <c r="LKB64" s="21"/>
      <c r="LKC64" s="21"/>
      <c r="LKD64" s="21"/>
      <c r="LKE64" s="21"/>
      <c r="LKF64" s="21"/>
      <c r="LKG64" s="21"/>
      <c r="LKH64" s="21"/>
      <c r="LKI64" s="21"/>
      <c r="LKJ64" s="21"/>
      <c r="LKK64" s="21"/>
      <c r="LKL64" s="21"/>
      <c r="LKM64" s="21"/>
      <c r="LKN64" s="21"/>
      <c r="LKO64" s="21"/>
      <c r="LKP64" s="21"/>
      <c r="LKQ64" s="21"/>
      <c r="LKR64" s="21"/>
      <c r="LKS64" s="21"/>
      <c r="LKT64" s="21"/>
      <c r="LKU64" s="21"/>
      <c r="LKV64" s="21"/>
      <c r="LKW64" s="21"/>
      <c r="LKX64" s="21"/>
      <c r="LKY64" s="21"/>
      <c r="LKZ64" s="21"/>
      <c r="LLA64" s="21"/>
      <c r="LLB64" s="21"/>
      <c r="LLC64" s="21"/>
      <c r="LLD64" s="21"/>
      <c r="LLE64" s="21"/>
      <c r="LLF64" s="21"/>
      <c r="LLG64" s="21"/>
      <c r="LLH64" s="21"/>
      <c r="LLI64" s="21"/>
      <c r="LLJ64" s="21"/>
      <c r="LLK64" s="21"/>
      <c r="LLL64" s="21"/>
      <c r="LLM64" s="21"/>
      <c r="LLN64" s="21"/>
      <c r="LLO64" s="21"/>
      <c r="LLP64" s="21"/>
      <c r="LLQ64" s="21"/>
      <c r="LLR64" s="21"/>
      <c r="LLS64" s="21"/>
      <c r="LLT64" s="21"/>
      <c r="LLU64" s="21"/>
      <c r="LLV64" s="21"/>
      <c r="LLW64" s="21"/>
      <c r="LLX64" s="21"/>
      <c r="LLY64" s="21"/>
      <c r="LLZ64" s="21"/>
      <c r="LMA64" s="21"/>
      <c r="LMB64" s="21"/>
      <c r="LMC64" s="21"/>
      <c r="LMD64" s="21"/>
      <c r="LME64" s="21"/>
      <c r="LMF64" s="21"/>
      <c r="LMG64" s="21"/>
      <c r="LMH64" s="21"/>
      <c r="LMI64" s="21"/>
      <c r="LMJ64" s="21"/>
      <c r="LMK64" s="21"/>
      <c r="LML64" s="21"/>
      <c r="LMM64" s="21"/>
      <c r="LMN64" s="21"/>
      <c r="LMO64" s="21"/>
      <c r="LMP64" s="21"/>
      <c r="LMQ64" s="21"/>
      <c r="LMR64" s="21"/>
      <c r="LMS64" s="21"/>
      <c r="LMT64" s="21"/>
      <c r="LMU64" s="21"/>
      <c r="LMV64" s="21"/>
      <c r="LMW64" s="21"/>
      <c r="LMX64" s="21"/>
      <c r="LMY64" s="21"/>
      <c r="LMZ64" s="21"/>
      <c r="LNA64" s="21"/>
      <c r="LNB64" s="21"/>
      <c r="LNC64" s="21"/>
      <c r="LND64" s="21"/>
      <c r="LNE64" s="21"/>
      <c r="LNF64" s="21"/>
      <c r="LNG64" s="21"/>
      <c r="LNH64" s="21"/>
      <c r="LNI64" s="21"/>
      <c r="LNJ64" s="21"/>
      <c r="LNK64" s="21"/>
      <c r="LNL64" s="21"/>
      <c r="LNM64" s="21"/>
      <c r="LNN64" s="21"/>
      <c r="LNO64" s="21"/>
      <c r="LNP64" s="21"/>
      <c r="LNQ64" s="21"/>
      <c r="LNR64" s="21"/>
      <c r="LNS64" s="21"/>
      <c r="LNT64" s="21"/>
      <c r="LNU64" s="21"/>
      <c r="LNV64" s="21"/>
      <c r="LNW64" s="21"/>
      <c r="LNX64" s="21"/>
      <c r="LNY64" s="21"/>
      <c r="LNZ64" s="21"/>
      <c r="LOA64" s="21"/>
      <c r="LOB64" s="21"/>
      <c r="LOC64" s="21"/>
      <c r="LOD64" s="21"/>
      <c r="LOE64" s="21"/>
      <c r="LOF64" s="21"/>
      <c r="LOG64" s="21"/>
      <c r="LOH64" s="21"/>
      <c r="LOI64" s="21"/>
      <c r="LOJ64" s="21"/>
      <c r="LOK64" s="21"/>
      <c r="LOL64" s="21"/>
      <c r="LOM64" s="21"/>
      <c r="LON64" s="21"/>
      <c r="LOO64" s="21"/>
      <c r="LOP64" s="21"/>
      <c r="LOQ64" s="21"/>
      <c r="LOR64" s="21"/>
      <c r="LOS64" s="21"/>
      <c r="LOT64" s="21"/>
      <c r="LOU64" s="21"/>
      <c r="LOV64" s="21"/>
      <c r="LOW64" s="21"/>
      <c r="LOX64" s="21"/>
      <c r="LOY64" s="21"/>
      <c r="LOZ64" s="21"/>
      <c r="LPA64" s="21"/>
      <c r="LPB64" s="21"/>
      <c r="LPC64" s="21"/>
      <c r="LPD64" s="21"/>
      <c r="LPE64" s="21"/>
      <c r="LPF64" s="21"/>
      <c r="LPG64" s="21"/>
      <c r="LPH64" s="21"/>
      <c r="LPI64" s="21"/>
      <c r="LPJ64" s="21"/>
      <c r="LPK64" s="21"/>
      <c r="LPL64" s="21"/>
      <c r="LPM64" s="21"/>
      <c r="LPN64" s="21"/>
      <c r="LPO64" s="21"/>
      <c r="LPP64" s="21"/>
      <c r="LPQ64" s="21"/>
      <c r="LPR64" s="21"/>
      <c r="LPS64" s="21"/>
      <c r="LPT64" s="21"/>
      <c r="LPU64" s="21"/>
      <c r="LPV64" s="21"/>
      <c r="LPW64" s="21"/>
      <c r="LPX64" s="21"/>
      <c r="LPY64" s="21"/>
      <c r="LPZ64" s="21"/>
      <c r="LQA64" s="21"/>
      <c r="LQB64" s="21"/>
      <c r="LQC64" s="21"/>
      <c r="LQD64" s="21"/>
      <c r="LQE64" s="21"/>
      <c r="LQF64" s="21"/>
      <c r="LQG64" s="21"/>
      <c r="LQH64" s="21"/>
      <c r="LQI64" s="21"/>
      <c r="LQJ64" s="21"/>
      <c r="LQK64" s="21"/>
      <c r="LQL64" s="21"/>
      <c r="LQM64" s="21"/>
      <c r="LQN64" s="21"/>
      <c r="LQO64" s="21"/>
      <c r="LQP64" s="21"/>
      <c r="LQQ64" s="21"/>
      <c r="LQR64" s="21"/>
      <c r="LQS64" s="21"/>
      <c r="LQT64" s="21"/>
      <c r="LQU64" s="21"/>
      <c r="LQV64" s="21"/>
      <c r="LQW64" s="21"/>
      <c r="LQX64" s="21"/>
      <c r="LQY64" s="21"/>
      <c r="LQZ64" s="21"/>
      <c r="LRA64" s="21"/>
      <c r="LRB64" s="21"/>
      <c r="LRC64" s="21"/>
      <c r="LRD64" s="21"/>
      <c r="LRE64" s="21"/>
      <c r="LRF64" s="21"/>
      <c r="LRG64" s="21"/>
      <c r="LRH64" s="21"/>
      <c r="LRI64" s="21"/>
      <c r="LRJ64" s="21"/>
      <c r="LRK64" s="21"/>
      <c r="LRL64" s="21"/>
      <c r="LRM64" s="21"/>
      <c r="LRN64" s="21"/>
      <c r="LRO64" s="21"/>
      <c r="LRP64" s="21"/>
      <c r="LRQ64" s="21"/>
      <c r="LRR64" s="21"/>
      <c r="LRS64" s="21"/>
      <c r="LRT64" s="21"/>
      <c r="LRU64" s="21"/>
      <c r="LRV64" s="21"/>
      <c r="LRW64" s="21"/>
      <c r="LRX64" s="21"/>
      <c r="LRY64" s="21"/>
      <c r="LRZ64" s="21"/>
      <c r="LSA64" s="21"/>
      <c r="LSB64" s="21"/>
      <c r="LSC64" s="21"/>
      <c r="LSD64" s="21"/>
      <c r="LSE64" s="21"/>
      <c r="LSF64" s="21"/>
      <c r="LSG64" s="21"/>
      <c r="LSH64" s="21"/>
      <c r="LSI64" s="21"/>
      <c r="LSJ64" s="21"/>
      <c r="LSK64" s="21"/>
      <c r="LSL64" s="21"/>
      <c r="LSM64" s="21"/>
      <c r="LSN64" s="21"/>
      <c r="LSO64" s="21"/>
      <c r="LSP64" s="21"/>
      <c r="LSQ64" s="21"/>
      <c r="LSR64" s="21"/>
      <c r="LSS64" s="21"/>
      <c r="LST64" s="21"/>
      <c r="LSU64" s="21"/>
      <c r="LSV64" s="21"/>
      <c r="LSW64" s="21"/>
      <c r="LSX64" s="21"/>
      <c r="LSY64" s="21"/>
      <c r="LSZ64" s="21"/>
      <c r="LTA64" s="21"/>
      <c r="LTB64" s="21"/>
      <c r="LTC64" s="21"/>
      <c r="LTD64" s="21"/>
      <c r="LTE64" s="21"/>
      <c r="LTF64" s="21"/>
      <c r="LTG64" s="21"/>
      <c r="LTH64" s="21"/>
      <c r="LTI64" s="21"/>
      <c r="LTJ64" s="21"/>
      <c r="LTK64" s="21"/>
      <c r="LTL64" s="21"/>
      <c r="LTM64" s="21"/>
      <c r="LTN64" s="21"/>
      <c r="LTO64" s="21"/>
      <c r="LTP64" s="21"/>
      <c r="LTQ64" s="21"/>
      <c r="LTR64" s="21"/>
      <c r="LTS64" s="21"/>
      <c r="LTT64" s="21"/>
      <c r="LTU64" s="21"/>
      <c r="LTV64" s="21"/>
      <c r="LTW64" s="21"/>
      <c r="LTX64" s="21"/>
      <c r="LTY64" s="21"/>
      <c r="LTZ64" s="21"/>
      <c r="LUA64" s="21"/>
      <c r="LUB64" s="21"/>
      <c r="LUC64" s="21"/>
      <c r="LUD64" s="21"/>
      <c r="LUE64" s="21"/>
      <c r="LUF64" s="21"/>
      <c r="LUG64" s="21"/>
      <c r="LUH64" s="21"/>
      <c r="LUI64" s="21"/>
      <c r="LUJ64" s="21"/>
      <c r="LUK64" s="21"/>
      <c r="LUL64" s="21"/>
      <c r="LUM64" s="21"/>
      <c r="LUN64" s="21"/>
      <c r="LUO64" s="21"/>
      <c r="LUP64" s="21"/>
      <c r="LUQ64" s="21"/>
      <c r="LUR64" s="21"/>
      <c r="LUS64" s="21"/>
      <c r="LUT64" s="21"/>
      <c r="LUU64" s="21"/>
      <c r="LUV64" s="21"/>
      <c r="LUW64" s="21"/>
      <c r="LUX64" s="21"/>
      <c r="LUY64" s="21"/>
      <c r="LUZ64" s="21"/>
      <c r="LVA64" s="21"/>
      <c r="LVB64" s="21"/>
      <c r="LVC64" s="21"/>
      <c r="LVD64" s="21"/>
      <c r="LVE64" s="21"/>
      <c r="LVF64" s="21"/>
      <c r="LVG64" s="21"/>
      <c r="LVH64" s="21"/>
      <c r="LVI64" s="21"/>
      <c r="LVJ64" s="21"/>
      <c r="LVK64" s="21"/>
      <c r="LVL64" s="21"/>
      <c r="LVM64" s="21"/>
      <c r="LVN64" s="21"/>
      <c r="LVO64" s="21"/>
      <c r="LVP64" s="21"/>
      <c r="LVQ64" s="21"/>
      <c r="LVR64" s="21"/>
      <c r="LVS64" s="21"/>
      <c r="LVT64" s="21"/>
      <c r="LVU64" s="21"/>
      <c r="LVV64" s="21"/>
      <c r="LVW64" s="21"/>
      <c r="LVX64" s="21"/>
      <c r="LVY64" s="21"/>
      <c r="LVZ64" s="21"/>
      <c r="LWA64" s="21"/>
      <c r="LWB64" s="21"/>
      <c r="LWC64" s="21"/>
      <c r="LWD64" s="21"/>
      <c r="LWE64" s="21"/>
      <c r="LWF64" s="21"/>
      <c r="LWG64" s="21"/>
      <c r="LWH64" s="21"/>
      <c r="LWI64" s="21"/>
      <c r="LWJ64" s="21"/>
      <c r="LWK64" s="21"/>
      <c r="LWL64" s="21"/>
      <c r="LWM64" s="21"/>
      <c r="LWN64" s="21"/>
      <c r="LWO64" s="21"/>
      <c r="LWP64" s="21"/>
      <c r="LWQ64" s="21"/>
      <c r="LWR64" s="21"/>
      <c r="LWS64" s="21"/>
      <c r="LWT64" s="21"/>
      <c r="LWU64" s="21"/>
      <c r="LWV64" s="21"/>
      <c r="LWW64" s="21"/>
      <c r="LWX64" s="21"/>
      <c r="LWY64" s="21"/>
      <c r="LWZ64" s="21"/>
      <c r="LXA64" s="21"/>
      <c r="LXB64" s="21"/>
      <c r="LXC64" s="21"/>
      <c r="LXD64" s="21"/>
      <c r="LXE64" s="21"/>
      <c r="LXF64" s="21"/>
      <c r="LXG64" s="21"/>
      <c r="LXH64" s="21"/>
      <c r="LXI64" s="21"/>
      <c r="LXJ64" s="21"/>
      <c r="LXK64" s="21"/>
      <c r="LXL64" s="21"/>
      <c r="LXM64" s="21"/>
      <c r="LXN64" s="21"/>
      <c r="LXO64" s="21"/>
      <c r="LXP64" s="21"/>
      <c r="LXQ64" s="21"/>
      <c r="LXR64" s="21"/>
      <c r="LXS64" s="21"/>
      <c r="LXT64" s="21"/>
      <c r="LXU64" s="21"/>
      <c r="LXV64" s="21"/>
      <c r="LXW64" s="21"/>
      <c r="LXX64" s="21"/>
      <c r="LXY64" s="21"/>
      <c r="LXZ64" s="21"/>
      <c r="LYA64" s="21"/>
      <c r="LYB64" s="21"/>
      <c r="LYC64" s="21"/>
      <c r="LYD64" s="21"/>
      <c r="LYE64" s="21"/>
      <c r="LYF64" s="21"/>
      <c r="LYG64" s="21"/>
      <c r="LYH64" s="21"/>
      <c r="LYI64" s="21"/>
      <c r="LYJ64" s="21"/>
      <c r="LYK64" s="21"/>
      <c r="LYL64" s="21"/>
      <c r="LYM64" s="21"/>
      <c r="LYN64" s="21"/>
      <c r="LYO64" s="21"/>
      <c r="LYP64" s="21"/>
      <c r="LYQ64" s="21"/>
      <c r="LYR64" s="21"/>
      <c r="LYS64" s="21"/>
      <c r="LYT64" s="21"/>
      <c r="LYU64" s="21"/>
      <c r="LYV64" s="21"/>
      <c r="LYW64" s="21"/>
      <c r="LYX64" s="21"/>
      <c r="LYY64" s="21"/>
      <c r="LYZ64" s="21"/>
      <c r="LZA64" s="21"/>
      <c r="LZB64" s="21"/>
      <c r="LZC64" s="21"/>
      <c r="LZD64" s="21"/>
      <c r="LZE64" s="21"/>
      <c r="LZF64" s="21"/>
      <c r="LZG64" s="21"/>
      <c r="LZH64" s="21"/>
      <c r="LZI64" s="21"/>
      <c r="LZJ64" s="21"/>
      <c r="LZK64" s="21"/>
      <c r="LZL64" s="21"/>
      <c r="LZM64" s="21"/>
      <c r="LZN64" s="21"/>
      <c r="LZO64" s="21"/>
      <c r="LZP64" s="21"/>
      <c r="LZQ64" s="21"/>
      <c r="LZR64" s="21"/>
      <c r="LZS64" s="21"/>
      <c r="LZT64" s="21"/>
      <c r="LZU64" s="21"/>
      <c r="LZV64" s="21"/>
      <c r="LZW64" s="21"/>
      <c r="LZX64" s="21"/>
      <c r="LZY64" s="21"/>
      <c r="LZZ64" s="21"/>
      <c r="MAA64" s="21"/>
      <c r="MAB64" s="21"/>
      <c r="MAC64" s="21"/>
      <c r="MAD64" s="21"/>
      <c r="MAE64" s="21"/>
      <c r="MAF64" s="21"/>
      <c r="MAG64" s="21"/>
      <c r="MAH64" s="21"/>
      <c r="MAI64" s="21"/>
      <c r="MAJ64" s="21"/>
      <c r="MAK64" s="21"/>
      <c r="MAL64" s="21"/>
      <c r="MAM64" s="21"/>
      <c r="MAN64" s="21"/>
      <c r="MAO64" s="21"/>
      <c r="MAP64" s="21"/>
      <c r="MAQ64" s="21"/>
      <c r="MAR64" s="21"/>
      <c r="MAS64" s="21"/>
      <c r="MAT64" s="21"/>
      <c r="MAU64" s="21"/>
      <c r="MAV64" s="21"/>
      <c r="MAW64" s="21"/>
      <c r="MAX64" s="21"/>
      <c r="MAY64" s="21"/>
      <c r="MAZ64" s="21"/>
      <c r="MBA64" s="21"/>
      <c r="MBB64" s="21"/>
      <c r="MBC64" s="21"/>
      <c r="MBD64" s="21"/>
      <c r="MBE64" s="21"/>
      <c r="MBF64" s="21"/>
      <c r="MBG64" s="21"/>
      <c r="MBH64" s="21"/>
      <c r="MBI64" s="21"/>
      <c r="MBJ64" s="21"/>
      <c r="MBK64" s="21"/>
      <c r="MBL64" s="21"/>
      <c r="MBM64" s="21"/>
      <c r="MBN64" s="21"/>
      <c r="MBO64" s="21"/>
      <c r="MBP64" s="21"/>
      <c r="MBQ64" s="21"/>
      <c r="MBR64" s="21"/>
      <c r="MBS64" s="21"/>
      <c r="MBT64" s="21"/>
      <c r="MBU64" s="21"/>
      <c r="MBV64" s="21"/>
      <c r="MBW64" s="21"/>
      <c r="MBX64" s="21"/>
      <c r="MBY64" s="21"/>
      <c r="MBZ64" s="21"/>
      <c r="MCA64" s="21"/>
      <c r="MCB64" s="21"/>
      <c r="MCC64" s="21"/>
      <c r="MCD64" s="21"/>
      <c r="MCE64" s="21"/>
      <c r="MCF64" s="21"/>
      <c r="MCG64" s="21"/>
      <c r="MCH64" s="21"/>
      <c r="MCI64" s="21"/>
      <c r="MCJ64" s="21"/>
      <c r="MCK64" s="21"/>
      <c r="MCL64" s="21"/>
      <c r="MCM64" s="21"/>
      <c r="MCN64" s="21"/>
      <c r="MCO64" s="21"/>
      <c r="MCP64" s="21"/>
      <c r="MCQ64" s="21"/>
      <c r="MCR64" s="21"/>
      <c r="MCS64" s="21"/>
      <c r="MCT64" s="21"/>
      <c r="MCU64" s="21"/>
      <c r="MCV64" s="21"/>
      <c r="MCW64" s="21"/>
      <c r="MCX64" s="21"/>
      <c r="MCY64" s="21"/>
      <c r="MCZ64" s="21"/>
      <c r="MDA64" s="21"/>
      <c r="MDB64" s="21"/>
      <c r="MDC64" s="21"/>
      <c r="MDD64" s="21"/>
      <c r="MDE64" s="21"/>
      <c r="MDF64" s="21"/>
      <c r="MDG64" s="21"/>
      <c r="MDH64" s="21"/>
      <c r="MDI64" s="21"/>
      <c r="MDJ64" s="21"/>
      <c r="MDK64" s="21"/>
      <c r="MDL64" s="21"/>
      <c r="MDM64" s="21"/>
      <c r="MDN64" s="21"/>
      <c r="MDO64" s="21"/>
      <c r="MDP64" s="21"/>
      <c r="MDQ64" s="21"/>
      <c r="MDR64" s="21"/>
      <c r="MDS64" s="21"/>
      <c r="MDT64" s="21"/>
      <c r="MDU64" s="21"/>
      <c r="MDV64" s="21"/>
      <c r="MDW64" s="21"/>
      <c r="MDX64" s="21"/>
      <c r="MDY64" s="21"/>
      <c r="MDZ64" s="21"/>
      <c r="MEA64" s="21"/>
      <c r="MEB64" s="21"/>
      <c r="MEC64" s="21"/>
      <c r="MED64" s="21"/>
      <c r="MEE64" s="21"/>
      <c r="MEF64" s="21"/>
      <c r="MEG64" s="21"/>
      <c r="MEH64" s="21"/>
      <c r="MEI64" s="21"/>
      <c r="MEJ64" s="21"/>
      <c r="MEK64" s="21"/>
      <c r="MEL64" s="21"/>
      <c r="MEM64" s="21"/>
      <c r="MEN64" s="21"/>
      <c r="MEO64" s="21"/>
      <c r="MEP64" s="21"/>
      <c r="MEQ64" s="21"/>
      <c r="MER64" s="21"/>
      <c r="MES64" s="21"/>
      <c r="MET64" s="21"/>
      <c r="MEU64" s="21"/>
      <c r="MEV64" s="21"/>
      <c r="MEW64" s="21"/>
      <c r="MEX64" s="21"/>
      <c r="MEY64" s="21"/>
      <c r="MEZ64" s="21"/>
      <c r="MFA64" s="21"/>
      <c r="MFB64" s="21"/>
      <c r="MFC64" s="21"/>
      <c r="MFD64" s="21"/>
      <c r="MFE64" s="21"/>
      <c r="MFF64" s="21"/>
      <c r="MFG64" s="21"/>
      <c r="MFH64" s="21"/>
      <c r="MFI64" s="21"/>
      <c r="MFJ64" s="21"/>
      <c r="MFK64" s="21"/>
      <c r="MFL64" s="21"/>
      <c r="MFM64" s="21"/>
      <c r="MFN64" s="21"/>
      <c r="MFO64" s="21"/>
      <c r="MFP64" s="21"/>
      <c r="MFQ64" s="21"/>
      <c r="MFR64" s="21"/>
      <c r="MFS64" s="21"/>
      <c r="MFT64" s="21"/>
      <c r="MFU64" s="21"/>
      <c r="MFV64" s="21"/>
      <c r="MFW64" s="21"/>
      <c r="MFX64" s="21"/>
      <c r="MFY64" s="21"/>
      <c r="MFZ64" s="21"/>
      <c r="MGA64" s="21"/>
      <c r="MGB64" s="21"/>
      <c r="MGC64" s="21"/>
      <c r="MGD64" s="21"/>
      <c r="MGE64" s="21"/>
      <c r="MGF64" s="21"/>
      <c r="MGG64" s="21"/>
      <c r="MGH64" s="21"/>
      <c r="MGI64" s="21"/>
      <c r="MGJ64" s="21"/>
      <c r="MGK64" s="21"/>
      <c r="MGL64" s="21"/>
      <c r="MGM64" s="21"/>
      <c r="MGN64" s="21"/>
      <c r="MGO64" s="21"/>
      <c r="MGP64" s="21"/>
      <c r="MGQ64" s="21"/>
      <c r="MGR64" s="21"/>
      <c r="MGS64" s="21"/>
      <c r="MGT64" s="21"/>
      <c r="MGU64" s="21"/>
      <c r="MGV64" s="21"/>
      <c r="MGW64" s="21"/>
      <c r="MGX64" s="21"/>
      <c r="MGY64" s="21"/>
      <c r="MGZ64" s="21"/>
      <c r="MHA64" s="21"/>
      <c r="MHB64" s="21"/>
      <c r="MHC64" s="21"/>
      <c r="MHD64" s="21"/>
      <c r="MHE64" s="21"/>
      <c r="MHF64" s="21"/>
      <c r="MHG64" s="21"/>
      <c r="MHH64" s="21"/>
      <c r="MHI64" s="21"/>
      <c r="MHJ64" s="21"/>
      <c r="MHK64" s="21"/>
      <c r="MHL64" s="21"/>
      <c r="MHM64" s="21"/>
      <c r="MHN64" s="21"/>
      <c r="MHO64" s="21"/>
      <c r="MHP64" s="21"/>
      <c r="MHQ64" s="21"/>
      <c r="MHR64" s="21"/>
      <c r="MHS64" s="21"/>
      <c r="MHT64" s="21"/>
      <c r="MHU64" s="21"/>
      <c r="MHV64" s="21"/>
      <c r="MHW64" s="21"/>
      <c r="MHX64" s="21"/>
      <c r="MHY64" s="21"/>
      <c r="MHZ64" s="21"/>
      <c r="MIA64" s="21"/>
      <c r="MIB64" s="21"/>
      <c r="MIC64" s="21"/>
      <c r="MID64" s="21"/>
      <c r="MIE64" s="21"/>
      <c r="MIF64" s="21"/>
      <c r="MIG64" s="21"/>
      <c r="MIH64" s="21"/>
      <c r="MII64" s="21"/>
      <c r="MIJ64" s="21"/>
      <c r="MIK64" s="21"/>
      <c r="MIL64" s="21"/>
      <c r="MIM64" s="21"/>
      <c r="MIN64" s="21"/>
      <c r="MIO64" s="21"/>
      <c r="MIP64" s="21"/>
      <c r="MIQ64" s="21"/>
      <c r="MIR64" s="21"/>
      <c r="MIS64" s="21"/>
      <c r="MIT64" s="21"/>
      <c r="MIU64" s="21"/>
      <c r="MIV64" s="21"/>
      <c r="MIW64" s="21"/>
      <c r="MIX64" s="21"/>
      <c r="MIY64" s="21"/>
      <c r="MIZ64" s="21"/>
      <c r="MJA64" s="21"/>
      <c r="MJB64" s="21"/>
      <c r="MJC64" s="21"/>
      <c r="MJD64" s="21"/>
      <c r="MJE64" s="21"/>
      <c r="MJF64" s="21"/>
      <c r="MJG64" s="21"/>
      <c r="MJH64" s="21"/>
      <c r="MJI64" s="21"/>
      <c r="MJJ64" s="21"/>
      <c r="MJK64" s="21"/>
      <c r="MJL64" s="21"/>
      <c r="MJM64" s="21"/>
      <c r="MJN64" s="21"/>
      <c r="MJO64" s="21"/>
      <c r="MJP64" s="21"/>
      <c r="MJQ64" s="21"/>
      <c r="MJR64" s="21"/>
      <c r="MJS64" s="21"/>
      <c r="MJT64" s="21"/>
      <c r="MJU64" s="21"/>
      <c r="MJV64" s="21"/>
      <c r="MJW64" s="21"/>
      <c r="MJX64" s="21"/>
      <c r="MJY64" s="21"/>
      <c r="MJZ64" s="21"/>
      <c r="MKA64" s="21"/>
      <c r="MKB64" s="21"/>
      <c r="MKC64" s="21"/>
      <c r="MKD64" s="21"/>
      <c r="MKE64" s="21"/>
      <c r="MKF64" s="21"/>
      <c r="MKG64" s="21"/>
      <c r="MKH64" s="21"/>
      <c r="MKI64" s="21"/>
      <c r="MKJ64" s="21"/>
      <c r="MKK64" s="21"/>
      <c r="MKL64" s="21"/>
      <c r="MKM64" s="21"/>
      <c r="MKN64" s="21"/>
      <c r="MKO64" s="21"/>
      <c r="MKP64" s="21"/>
      <c r="MKQ64" s="21"/>
      <c r="MKR64" s="21"/>
      <c r="MKS64" s="21"/>
      <c r="MKT64" s="21"/>
      <c r="MKU64" s="21"/>
      <c r="MKV64" s="21"/>
      <c r="MKW64" s="21"/>
      <c r="MKX64" s="21"/>
      <c r="MKY64" s="21"/>
      <c r="MKZ64" s="21"/>
      <c r="MLA64" s="21"/>
      <c r="MLB64" s="21"/>
      <c r="MLC64" s="21"/>
      <c r="MLD64" s="21"/>
      <c r="MLE64" s="21"/>
      <c r="MLF64" s="21"/>
      <c r="MLG64" s="21"/>
      <c r="MLH64" s="21"/>
      <c r="MLI64" s="21"/>
      <c r="MLJ64" s="21"/>
      <c r="MLK64" s="21"/>
      <c r="MLL64" s="21"/>
      <c r="MLM64" s="21"/>
      <c r="MLN64" s="21"/>
      <c r="MLO64" s="21"/>
      <c r="MLP64" s="21"/>
      <c r="MLQ64" s="21"/>
      <c r="MLR64" s="21"/>
      <c r="MLS64" s="21"/>
      <c r="MLT64" s="21"/>
      <c r="MLU64" s="21"/>
      <c r="MLV64" s="21"/>
      <c r="MLW64" s="21"/>
      <c r="MLX64" s="21"/>
      <c r="MLY64" s="21"/>
      <c r="MLZ64" s="21"/>
      <c r="MMA64" s="21"/>
      <c r="MMB64" s="21"/>
      <c r="MMC64" s="21"/>
      <c r="MMD64" s="21"/>
      <c r="MME64" s="21"/>
      <c r="MMF64" s="21"/>
      <c r="MMG64" s="21"/>
      <c r="MMH64" s="21"/>
      <c r="MMI64" s="21"/>
      <c r="MMJ64" s="21"/>
      <c r="MMK64" s="21"/>
      <c r="MML64" s="21"/>
      <c r="MMM64" s="21"/>
      <c r="MMN64" s="21"/>
      <c r="MMO64" s="21"/>
      <c r="MMP64" s="21"/>
      <c r="MMQ64" s="21"/>
      <c r="MMR64" s="21"/>
      <c r="MMS64" s="21"/>
      <c r="MMT64" s="21"/>
      <c r="MMU64" s="21"/>
      <c r="MMV64" s="21"/>
      <c r="MMW64" s="21"/>
      <c r="MMX64" s="21"/>
      <c r="MMY64" s="21"/>
      <c r="MMZ64" s="21"/>
      <c r="MNA64" s="21"/>
      <c r="MNB64" s="21"/>
      <c r="MNC64" s="21"/>
      <c r="MND64" s="21"/>
      <c r="MNE64" s="21"/>
      <c r="MNF64" s="21"/>
      <c r="MNG64" s="21"/>
      <c r="MNH64" s="21"/>
      <c r="MNI64" s="21"/>
      <c r="MNJ64" s="21"/>
      <c r="MNK64" s="21"/>
      <c r="MNL64" s="21"/>
      <c r="MNM64" s="21"/>
      <c r="MNN64" s="21"/>
      <c r="MNO64" s="21"/>
      <c r="MNP64" s="21"/>
      <c r="MNQ64" s="21"/>
      <c r="MNR64" s="21"/>
      <c r="MNS64" s="21"/>
      <c r="MNT64" s="21"/>
      <c r="MNU64" s="21"/>
      <c r="MNV64" s="21"/>
      <c r="MNW64" s="21"/>
      <c r="MNX64" s="21"/>
      <c r="MNY64" s="21"/>
      <c r="MNZ64" s="21"/>
      <c r="MOA64" s="21"/>
      <c r="MOB64" s="21"/>
      <c r="MOC64" s="21"/>
      <c r="MOD64" s="21"/>
      <c r="MOE64" s="21"/>
      <c r="MOF64" s="21"/>
      <c r="MOG64" s="21"/>
      <c r="MOH64" s="21"/>
      <c r="MOI64" s="21"/>
      <c r="MOJ64" s="21"/>
      <c r="MOK64" s="21"/>
      <c r="MOL64" s="21"/>
      <c r="MOM64" s="21"/>
      <c r="MON64" s="21"/>
      <c r="MOO64" s="21"/>
      <c r="MOP64" s="21"/>
      <c r="MOQ64" s="21"/>
      <c r="MOR64" s="21"/>
      <c r="MOS64" s="21"/>
      <c r="MOT64" s="21"/>
      <c r="MOU64" s="21"/>
      <c r="MOV64" s="21"/>
      <c r="MOW64" s="21"/>
      <c r="MOX64" s="21"/>
      <c r="MOY64" s="21"/>
      <c r="MOZ64" s="21"/>
      <c r="MPA64" s="21"/>
      <c r="MPB64" s="21"/>
      <c r="MPC64" s="21"/>
      <c r="MPD64" s="21"/>
      <c r="MPE64" s="21"/>
      <c r="MPF64" s="21"/>
      <c r="MPG64" s="21"/>
      <c r="MPH64" s="21"/>
      <c r="MPI64" s="21"/>
      <c r="MPJ64" s="21"/>
      <c r="MPK64" s="21"/>
      <c r="MPL64" s="21"/>
      <c r="MPM64" s="21"/>
      <c r="MPN64" s="21"/>
      <c r="MPO64" s="21"/>
      <c r="MPP64" s="21"/>
      <c r="MPQ64" s="21"/>
      <c r="MPR64" s="21"/>
      <c r="MPS64" s="21"/>
      <c r="MPT64" s="21"/>
      <c r="MPU64" s="21"/>
      <c r="MPV64" s="21"/>
      <c r="MPW64" s="21"/>
      <c r="MPX64" s="21"/>
      <c r="MPY64" s="21"/>
      <c r="MPZ64" s="21"/>
      <c r="MQA64" s="21"/>
      <c r="MQB64" s="21"/>
      <c r="MQC64" s="21"/>
      <c r="MQD64" s="21"/>
      <c r="MQE64" s="21"/>
      <c r="MQF64" s="21"/>
      <c r="MQG64" s="21"/>
      <c r="MQH64" s="21"/>
      <c r="MQI64" s="21"/>
      <c r="MQJ64" s="21"/>
      <c r="MQK64" s="21"/>
      <c r="MQL64" s="21"/>
      <c r="MQM64" s="21"/>
      <c r="MQN64" s="21"/>
      <c r="MQO64" s="21"/>
      <c r="MQP64" s="21"/>
      <c r="MQQ64" s="21"/>
      <c r="MQR64" s="21"/>
      <c r="MQS64" s="21"/>
      <c r="MQT64" s="21"/>
      <c r="MQU64" s="21"/>
      <c r="MQV64" s="21"/>
      <c r="MQW64" s="21"/>
      <c r="MQX64" s="21"/>
      <c r="MQY64" s="21"/>
      <c r="MQZ64" s="21"/>
      <c r="MRA64" s="21"/>
      <c r="MRB64" s="21"/>
      <c r="MRC64" s="21"/>
      <c r="MRD64" s="21"/>
      <c r="MRE64" s="21"/>
      <c r="MRF64" s="21"/>
      <c r="MRG64" s="21"/>
      <c r="MRH64" s="21"/>
      <c r="MRI64" s="21"/>
      <c r="MRJ64" s="21"/>
      <c r="MRK64" s="21"/>
      <c r="MRL64" s="21"/>
      <c r="MRM64" s="21"/>
      <c r="MRN64" s="21"/>
      <c r="MRO64" s="21"/>
      <c r="MRP64" s="21"/>
      <c r="MRQ64" s="21"/>
      <c r="MRR64" s="21"/>
      <c r="MRS64" s="21"/>
      <c r="MRT64" s="21"/>
      <c r="MRU64" s="21"/>
      <c r="MRV64" s="21"/>
      <c r="MRW64" s="21"/>
      <c r="MRX64" s="21"/>
      <c r="MRY64" s="21"/>
      <c r="MRZ64" s="21"/>
      <c r="MSA64" s="21"/>
      <c r="MSB64" s="21"/>
      <c r="MSC64" s="21"/>
      <c r="MSD64" s="21"/>
      <c r="MSE64" s="21"/>
      <c r="MSF64" s="21"/>
      <c r="MSG64" s="21"/>
      <c r="MSH64" s="21"/>
      <c r="MSI64" s="21"/>
      <c r="MSJ64" s="21"/>
      <c r="MSK64" s="21"/>
      <c r="MSL64" s="21"/>
      <c r="MSM64" s="21"/>
      <c r="MSN64" s="21"/>
      <c r="MSO64" s="21"/>
      <c r="MSP64" s="21"/>
      <c r="MSQ64" s="21"/>
      <c r="MSR64" s="21"/>
      <c r="MSS64" s="21"/>
      <c r="MST64" s="21"/>
      <c r="MSU64" s="21"/>
      <c r="MSV64" s="21"/>
      <c r="MSW64" s="21"/>
      <c r="MSX64" s="21"/>
      <c r="MSY64" s="21"/>
      <c r="MSZ64" s="21"/>
      <c r="MTA64" s="21"/>
      <c r="MTB64" s="21"/>
      <c r="MTC64" s="21"/>
      <c r="MTD64" s="21"/>
      <c r="MTE64" s="21"/>
      <c r="MTF64" s="21"/>
      <c r="MTG64" s="21"/>
      <c r="MTH64" s="21"/>
      <c r="MTI64" s="21"/>
      <c r="MTJ64" s="21"/>
      <c r="MTK64" s="21"/>
      <c r="MTL64" s="21"/>
      <c r="MTM64" s="21"/>
      <c r="MTN64" s="21"/>
      <c r="MTO64" s="21"/>
      <c r="MTP64" s="21"/>
      <c r="MTQ64" s="21"/>
      <c r="MTR64" s="21"/>
      <c r="MTS64" s="21"/>
      <c r="MTT64" s="21"/>
      <c r="MTU64" s="21"/>
      <c r="MTV64" s="21"/>
      <c r="MTW64" s="21"/>
      <c r="MTX64" s="21"/>
      <c r="MTY64" s="21"/>
      <c r="MTZ64" s="21"/>
      <c r="MUA64" s="21"/>
      <c r="MUB64" s="21"/>
      <c r="MUC64" s="21"/>
      <c r="MUD64" s="21"/>
      <c r="MUE64" s="21"/>
      <c r="MUF64" s="21"/>
      <c r="MUG64" s="21"/>
      <c r="MUH64" s="21"/>
      <c r="MUI64" s="21"/>
      <c r="MUJ64" s="21"/>
      <c r="MUK64" s="21"/>
      <c r="MUL64" s="21"/>
      <c r="MUM64" s="21"/>
      <c r="MUN64" s="21"/>
      <c r="MUO64" s="21"/>
      <c r="MUP64" s="21"/>
      <c r="MUQ64" s="21"/>
      <c r="MUR64" s="21"/>
      <c r="MUS64" s="21"/>
      <c r="MUT64" s="21"/>
      <c r="MUU64" s="21"/>
      <c r="MUV64" s="21"/>
      <c r="MUW64" s="21"/>
      <c r="MUX64" s="21"/>
      <c r="MUY64" s="21"/>
      <c r="MUZ64" s="21"/>
      <c r="MVA64" s="21"/>
      <c r="MVB64" s="21"/>
      <c r="MVC64" s="21"/>
      <c r="MVD64" s="21"/>
      <c r="MVE64" s="21"/>
      <c r="MVF64" s="21"/>
      <c r="MVG64" s="21"/>
      <c r="MVH64" s="21"/>
      <c r="MVI64" s="21"/>
      <c r="MVJ64" s="21"/>
      <c r="MVK64" s="21"/>
      <c r="MVL64" s="21"/>
      <c r="MVM64" s="21"/>
      <c r="MVN64" s="21"/>
      <c r="MVO64" s="21"/>
      <c r="MVP64" s="21"/>
      <c r="MVQ64" s="21"/>
      <c r="MVR64" s="21"/>
      <c r="MVS64" s="21"/>
      <c r="MVT64" s="21"/>
      <c r="MVU64" s="21"/>
      <c r="MVV64" s="21"/>
      <c r="MVW64" s="21"/>
      <c r="MVX64" s="21"/>
      <c r="MVY64" s="21"/>
      <c r="MVZ64" s="21"/>
      <c r="MWA64" s="21"/>
      <c r="MWB64" s="21"/>
      <c r="MWC64" s="21"/>
      <c r="MWD64" s="21"/>
      <c r="MWE64" s="21"/>
      <c r="MWF64" s="21"/>
      <c r="MWG64" s="21"/>
      <c r="MWH64" s="21"/>
      <c r="MWI64" s="21"/>
      <c r="MWJ64" s="21"/>
      <c r="MWK64" s="21"/>
      <c r="MWL64" s="21"/>
      <c r="MWM64" s="21"/>
      <c r="MWN64" s="21"/>
      <c r="MWO64" s="21"/>
      <c r="MWP64" s="21"/>
      <c r="MWQ64" s="21"/>
      <c r="MWR64" s="21"/>
      <c r="MWS64" s="21"/>
      <c r="MWT64" s="21"/>
      <c r="MWU64" s="21"/>
      <c r="MWV64" s="21"/>
      <c r="MWW64" s="21"/>
      <c r="MWX64" s="21"/>
      <c r="MWY64" s="21"/>
      <c r="MWZ64" s="21"/>
      <c r="MXA64" s="21"/>
      <c r="MXB64" s="21"/>
      <c r="MXC64" s="21"/>
      <c r="MXD64" s="21"/>
      <c r="MXE64" s="21"/>
      <c r="MXF64" s="21"/>
      <c r="MXG64" s="21"/>
      <c r="MXH64" s="21"/>
      <c r="MXI64" s="21"/>
      <c r="MXJ64" s="21"/>
      <c r="MXK64" s="21"/>
      <c r="MXL64" s="21"/>
      <c r="MXM64" s="21"/>
      <c r="MXN64" s="21"/>
      <c r="MXO64" s="21"/>
      <c r="MXP64" s="21"/>
      <c r="MXQ64" s="21"/>
      <c r="MXR64" s="21"/>
      <c r="MXS64" s="21"/>
      <c r="MXT64" s="21"/>
      <c r="MXU64" s="21"/>
      <c r="MXV64" s="21"/>
      <c r="MXW64" s="21"/>
      <c r="MXX64" s="21"/>
      <c r="MXY64" s="21"/>
      <c r="MXZ64" s="21"/>
      <c r="MYA64" s="21"/>
      <c r="MYB64" s="21"/>
      <c r="MYC64" s="21"/>
      <c r="MYD64" s="21"/>
      <c r="MYE64" s="21"/>
      <c r="MYF64" s="21"/>
      <c r="MYG64" s="21"/>
      <c r="MYH64" s="21"/>
      <c r="MYI64" s="21"/>
      <c r="MYJ64" s="21"/>
      <c r="MYK64" s="21"/>
      <c r="MYL64" s="21"/>
      <c r="MYM64" s="21"/>
      <c r="MYN64" s="21"/>
      <c r="MYO64" s="21"/>
      <c r="MYP64" s="21"/>
      <c r="MYQ64" s="21"/>
      <c r="MYR64" s="21"/>
      <c r="MYS64" s="21"/>
      <c r="MYT64" s="21"/>
      <c r="MYU64" s="21"/>
      <c r="MYV64" s="21"/>
      <c r="MYW64" s="21"/>
      <c r="MYX64" s="21"/>
      <c r="MYY64" s="21"/>
      <c r="MYZ64" s="21"/>
      <c r="MZA64" s="21"/>
      <c r="MZB64" s="21"/>
      <c r="MZC64" s="21"/>
      <c r="MZD64" s="21"/>
      <c r="MZE64" s="21"/>
      <c r="MZF64" s="21"/>
      <c r="MZG64" s="21"/>
      <c r="MZH64" s="21"/>
      <c r="MZI64" s="21"/>
      <c r="MZJ64" s="21"/>
      <c r="MZK64" s="21"/>
      <c r="MZL64" s="21"/>
      <c r="MZM64" s="21"/>
      <c r="MZN64" s="21"/>
      <c r="MZO64" s="21"/>
      <c r="MZP64" s="21"/>
      <c r="MZQ64" s="21"/>
      <c r="MZR64" s="21"/>
      <c r="MZS64" s="21"/>
      <c r="MZT64" s="21"/>
      <c r="MZU64" s="21"/>
      <c r="MZV64" s="21"/>
      <c r="MZW64" s="21"/>
      <c r="MZX64" s="21"/>
      <c r="MZY64" s="21"/>
      <c r="MZZ64" s="21"/>
      <c r="NAA64" s="21"/>
      <c r="NAB64" s="21"/>
      <c r="NAC64" s="21"/>
      <c r="NAD64" s="21"/>
      <c r="NAE64" s="21"/>
      <c r="NAF64" s="21"/>
      <c r="NAG64" s="21"/>
      <c r="NAH64" s="21"/>
      <c r="NAI64" s="21"/>
      <c r="NAJ64" s="21"/>
      <c r="NAK64" s="21"/>
      <c r="NAL64" s="21"/>
      <c r="NAM64" s="21"/>
      <c r="NAN64" s="21"/>
      <c r="NAO64" s="21"/>
      <c r="NAP64" s="21"/>
      <c r="NAQ64" s="21"/>
      <c r="NAR64" s="21"/>
      <c r="NAS64" s="21"/>
      <c r="NAT64" s="21"/>
      <c r="NAU64" s="21"/>
      <c r="NAV64" s="21"/>
      <c r="NAW64" s="21"/>
      <c r="NAX64" s="21"/>
      <c r="NAY64" s="21"/>
      <c r="NAZ64" s="21"/>
      <c r="NBA64" s="21"/>
      <c r="NBB64" s="21"/>
      <c r="NBC64" s="21"/>
      <c r="NBD64" s="21"/>
      <c r="NBE64" s="21"/>
      <c r="NBF64" s="21"/>
      <c r="NBG64" s="21"/>
      <c r="NBH64" s="21"/>
      <c r="NBI64" s="21"/>
      <c r="NBJ64" s="21"/>
      <c r="NBK64" s="21"/>
      <c r="NBL64" s="21"/>
      <c r="NBM64" s="21"/>
      <c r="NBN64" s="21"/>
      <c r="NBO64" s="21"/>
      <c r="NBP64" s="21"/>
      <c r="NBQ64" s="21"/>
      <c r="NBR64" s="21"/>
      <c r="NBS64" s="21"/>
      <c r="NBT64" s="21"/>
      <c r="NBU64" s="21"/>
      <c r="NBV64" s="21"/>
      <c r="NBW64" s="21"/>
      <c r="NBX64" s="21"/>
      <c r="NBY64" s="21"/>
      <c r="NBZ64" s="21"/>
      <c r="NCA64" s="21"/>
      <c r="NCB64" s="21"/>
      <c r="NCC64" s="21"/>
      <c r="NCD64" s="21"/>
      <c r="NCE64" s="21"/>
      <c r="NCF64" s="21"/>
      <c r="NCG64" s="21"/>
      <c r="NCH64" s="21"/>
      <c r="NCI64" s="21"/>
      <c r="NCJ64" s="21"/>
      <c r="NCK64" s="21"/>
      <c r="NCL64" s="21"/>
      <c r="NCM64" s="21"/>
      <c r="NCN64" s="21"/>
      <c r="NCO64" s="21"/>
      <c r="NCP64" s="21"/>
      <c r="NCQ64" s="21"/>
      <c r="NCR64" s="21"/>
      <c r="NCS64" s="21"/>
      <c r="NCT64" s="21"/>
      <c r="NCU64" s="21"/>
      <c r="NCV64" s="21"/>
      <c r="NCW64" s="21"/>
      <c r="NCX64" s="21"/>
      <c r="NCY64" s="21"/>
      <c r="NCZ64" s="21"/>
      <c r="NDA64" s="21"/>
      <c r="NDB64" s="21"/>
      <c r="NDC64" s="21"/>
      <c r="NDD64" s="21"/>
      <c r="NDE64" s="21"/>
      <c r="NDF64" s="21"/>
      <c r="NDG64" s="21"/>
      <c r="NDH64" s="21"/>
      <c r="NDI64" s="21"/>
      <c r="NDJ64" s="21"/>
      <c r="NDK64" s="21"/>
      <c r="NDL64" s="21"/>
      <c r="NDM64" s="21"/>
      <c r="NDN64" s="21"/>
      <c r="NDO64" s="21"/>
      <c r="NDP64" s="21"/>
      <c r="NDQ64" s="21"/>
      <c r="NDR64" s="21"/>
      <c r="NDS64" s="21"/>
      <c r="NDT64" s="21"/>
      <c r="NDU64" s="21"/>
      <c r="NDV64" s="21"/>
      <c r="NDW64" s="21"/>
      <c r="NDX64" s="21"/>
      <c r="NDY64" s="21"/>
      <c r="NDZ64" s="21"/>
      <c r="NEA64" s="21"/>
      <c r="NEB64" s="21"/>
      <c r="NEC64" s="21"/>
      <c r="NED64" s="21"/>
      <c r="NEE64" s="21"/>
      <c r="NEF64" s="21"/>
      <c r="NEG64" s="21"/>
      <c r="NEH64" s="21"/>
      <c r="NEI64" s="21"/>
      <c r="NEJ64" s="21"/>
      <c r="NEK64" s="21"/>
      <c r="NEL64" s="21"/>
      <c r="NEM64" s="21"/>
      <c r="NEN64" s="21"/>
      <c r="NEO64" s="21"/>
      <c r="NEP64" s="21"/>
      <c r="NEQ64" s="21"/>
      <c r="NER64" s="21"/>
      <c r="NES64" s="21"/>
      <c r="NET64" s="21"/>
      <c r="NEU64" s="21"/>
      <c r="NEV64" s="21"/>
      <c r="NEW64" s="21"/>
      <c r="NEX64" s="21"/>
      <c r="NEY64" s="21"/>
      <c r="NEZ64" s="21"/>
      <c r="NFA64" s="21"/>
      <c r="NFB64" s="21"/>
      <c r="NFC64" s="21"/>
      <c r="NFD64" s="21"/>
      <c r="NFE64" s="21"/>
      <c r="NFF64" s="21"/>
      <c r="NFG64" s="21"/>
      <c r="NFH64" s="21"/>
      <c r="NFI64" s="21"/>
      <c r="NFJ64" s="21"/>
      <c r="NFK64" s="21"/>
      <c r="NFL64" s="21"/>
      <c r="NFM64" s="21"/>
      <c r="NFN64" s="21"/>
      <c r="NFO64" s="21"/>
      <c r="NFP64" s="21"/>
      <c r="NFQ64" s="21"/>
      <c r="NFR64" s="21"/>
      <c r="NFS64" s="21"/>
      <c r="NFT64" s="21"/>
      <c r="NFU64" s="21"/>
      <c r="NFV64" s="21"/>
      <c r="NFW64" s="21"/>
      <c r="NFX64" s="21"/>
      <c r="NFY64" s="21"/>
      <c r="NFZ64" s="21"/>
      <c r="NGA64" s="21"/>
      <c r="NGB64" s="21"/>
      <c r="NGC64" s="21"/>
      <c r="NGD64" s="21"/>
      <c r="NGE64" s="21"/>
      <c r="NGF64" s="21"/>
      <c r="NGG64" s="21"/>
      <c r="NGH64" s="21"/>
      <c r="NGI64" s="21"/>
      <c r="NGJ64" s="21"/>
      <c r="NGK64" s="21"/>
      <c r="NGL64" s="21"/>
      <c r="NGM64" s="21"/>
      <c r="NGN64" s="21"/>
      <c r="NGO64" s="21"/>
      <c r="NGP64" s="21"/>
      <c r="NGQ64" s="21"/>
      <c r="NGR64" s="21"/>
      <c r="NGS64" s="21"/>
      <c r="NGT64" s="21"/>
      <c r="NGU64" s="21"/>
      <c r="NGV64" s="21"/>
      <c r="NGW64" s="21"/>
      <c r="NGX64" s="21"/>
      <c r="NGY64" s="21"/>
      <c r="NGZ64" s="21"/>
      <c r="NHA64" s="21"/>
      <c r="NHB64" s="21"/>
      <c r="NHC64" s="21"/>
      <c r="NHD64" s="21"/>
      <c r="NHE64" s="21"/>
      <c r="NHF64" s="21"/>
      <c r="NHG64" s="21"/>
      <c r="NHH64" s="21"/>
      <c r="NHI64" s="21"/>
      <c r="NHJ64" s="21"/>
      <c r="NHK64" s="21"/>
      <c r="NHL64" s="21"/>
      <c r="NHM64" s="21"/>
      <c r="NHN64" s="21"/>
      <c r="NHO64" s="21"/>
      <c r="NHP64" s="21"/>
      <c r="NHQ64" s="21"/>
      <c r="NHR64" s="21"/>
      <c r="NHS64" s="21"/>
      <c r="NHT64" s="21"/>
      <c r="NHU64" s="21"/>
      <c r="NHV64" s="21"/>
      <c r="NHW64" s="21"/>
      <c r="NHX64" s="21"/>
      <c r="NHY64" s="21"/>
      <c r="NHZ64" s="21"/>
      <c r="NIA64" s="21"/>
      <c r="NIB64" s="21"/>
      <c r="NIC64" s="21"/>
      <c r="NID64" s="21"/>
      <c r="NIE64" s="21"/>
      <c r="NIF64" s="21"/>
      <c r="NIG64" s="21"/>
      <c r="NIH64" s="21"/>
      <c r="NII64" s="21"/>
      <c r="NIJ64" s="21"/>
      <c r="NIK64" s="21"/>
      <c r="NIL64" s="21"/>
      <c r="NIM64" s="21"/>
      <c r="NIN64" s="21"/>
      <c r="NIO64" s="21"/>
      <c r="NIP64" s="21"/>
      <c r="NIQ64" s="21"/>
      <c r="NIR64" s="21"/>
      <c r="NIS64" s="21"/>
      <c r="NIT64" s="21"/>
      <c r="NIU64" s="21"/>
      <c r="NIV64" s="21"/>
      <c r="NIW64" s="21"/>
      <c r="NIX64" s="21"/>
      <c r="NIY64" s="21"/>
      <c r="NIZ64" s="21"/>
      <c r="NJA64" s="21"/>
      <c r="NJB64" s="21"/>
      <c r="NJC64" s="21"/>
      <c r="NJD64" s="21"/>
      <c r="NJE64" s="21"/>
      <c r="NJF64" s="21"/>
      <c r="NJG64" s="21"/>
      <c r="NJH64" s="21"/>
      <c r="NJI64" s="21"/>
      <c r="NJJ64" s="21"/>
      <c r="NJK64" s="21"/>
      <c r="NJL64" s="21"/>
      <c r="NJM64" s="21"/>
      <c r="NJN64" s="21"/>
      <c r="NJO64" s="21"/>
      <c r="NJP64" s="21"/>
      <c r="NJQ64" s="21"/>
      <c r="NJR64" s="21"/>
      <c r="NJS64" s="21"/>
      <c r="NJT64" s="21"/>
      <c r="NJU64" s="21"/>
      <c r="NJV64" s="21"/>
      <c r="NJW64" s="21"/>
      <c r="NJX64" s="21"/>
      <c r="NJY64" s="21"/>
      <c r="NJZ64" s="21"/>
      <c r="NKA64" s="21"/>
      <c r="NKB64" s="21"/>
      <c r="NKC64" s="21"/>
      <c r="NKD64" s="21"/>
      <c r="NKE64" s="21"/>
      <c r="NKF64" s="21"/>
      <c r="NKG64" s="21"/>
      <c r="NKH64" s="21"/>
      <c r="NKI64" s="21"/>
      <c r="NKJ64" s="21"/>
      <c r="NKK64" s="21"/>
      <c r="NKL64" s="21"/>
      <c r="NKM64" s="21"/>
      <c r="NKN64" s="21"/>
      <c r="NKO64" s="21"/>
      <c r="NKP64" s="21"/>
      <c r="NKQ64" s="21"/>
      <c r="NKR64" s="21"/>
      <c r="NKS64" s="21"/>
      <c r="NKT64" s="21"/>
      <c r="NKU64" s="21"/>
      <c r="NKV64" s="21"/>
      <c r="NKW64" s="21"/>
      <c r="NKX64" s="21"/>
      <c r="NKY64" s="21"/>
      <c r="NKZ64" s="21"/>
      <c r="NLA64" s="21"/>
      <c r="NLB64" s="21"/>
      <c r="NLC64" s="21"/>
      <c r="NLD64" s="21"/>
      <c r="NLE64" s="21"/>
      <c r="NLF64" s="21"/>
      <c r="NLG64" s="21"/>
      <c r="NLH64" s="21"/>
      <c r="NLI64" s="21"/>
      <c r="NLJ64" s="21"/>
      <c r="NLK64" s="21"/>
      <c r="NLL64" s="21"/>
      <c r="NLM64" s="21"/>
      <c r="NLN64" s="21"/>
      <c r="NLO64" s="21"/>
      <c r="NLP64" s="21"/>
      <c r="NLQ64" s="21"/>
      <c r="NLR64" s="21"/>
      <c r="NLS64" s="21"/>
      <c r="NLT64" s="21"/>
      <c r="NLU64" s="21"/>
      <c r="NLV64" s="21"/>
      <c r="NLW64" s="21"/>
      <c r="NLX64" s="21"/>
      <c r="NLY64" s="21"/>
      <c r="NLZ64" s="21"/>
      <c r="NMA64" s="21"/>
      <c r="NMB64" s="21"/>
      <c r="NMC64" s="21"/>
      <c r="NMD64" s="21"/>
      <c r="NME64" s="21"/>
      <c r="NMF64" s="21"/>
      <c r="NMG64" s="21"/>
      <c r="NMH64" s="21"/>
      <c r="NMI64" s="21"/>
      <c r="NMJ64" s="21"/>
      <c r="NMK64" s="21"/>
      <c r="NML64" s="21"/>
      <c r="NMM64" s="21"/>
      <c r="NMN64" s="21"/>
      <c r="NMO64" s="21"/>
      <c r="NMP64" s="21"/>
      <c r="NMQ64" s="21"/>
      <c r="NMR64" s="21"/>
      <c r="NMS64" s="21"/>
      <c r="NMT64" s="21"/>
      <c r="NMU64" s="21"/>
      <c r="NMV64" s="21"/>
      <c r="NMW64" s="21"/>
      <c r="NMX64" s="21"/>
      <c r="NMY64" s="21"/>
      <c r="NMZ64" s="21"/>
      <c r="NNA64" s="21"/>
      <c r="NNB64" s="21"/>
      <c r="NNC64" s="21"/>
      <c r="NND64" s="21"/>
      <c r="NNE64" s="21"/>
      <c r="NNF64" s="21"/>
      <c r="NNG64" s="21"/>
      <c r="NNH64" s="21"/>
      <c r="NNI64" s="21"/>
      <c r="NNJ64" s="21"/>
      <c r="NNK64" s="21"/>
      <c r="NNL64" s="21"/>
      <c r="NNM64" s="21"/>
      <c r="NNN64" s="21"/>
      <c r="NNO64" s="21"/>
      <c r="NNP64" s="21"/>
      <c r="NNQ64" s="21"/>
      <c r="NNR64" s="21"/>
      <c r="NNS64" s="21"/>
      <c r="NNT64" s="21"/>
      <c r="NNU64" s="21"/>
      <c r="NNV64" s="21"/>
      <c r="NNW64" s="21"/>
      <c r="NNX64" s="21"/>
      <c r="NNY64" s="21"/>
      <c r="NNZ64" s="21"/>
      <c r="NOA64" s="21"/>
      <c r="NOB64" s="21"/>
      <c r="NOC64" s="21"/>
      <c r="NOD64" s="21"/>
      <c r="NOE64" s="21"/>
      <c r="NOF64" s="21"/>
      <c r="NOG64" s="21"/>
      <c r="NOH64" s="21"/>
      <c r="NOI64" s="21"/>
      <c r="NOJ64" s="21"/>
      <c r="NOK64" s="21"/>
      <c r="NOL64" s="21"/>
      <c r="NOM64" s="21"/>
      <c r="NON64" s="21"/>
      <c r="NOO64" s="21"/>
      <c r="NOP64" s="21"/>
      <c r="NOQ64" s="21"/>
      <c r="NOR64" s="21"/>
      <c r="NOS64" s="21"/>
      <c r="NOT64" s="21"/>
      <c r="NOU64" s="21"/>
      <c r="NOV64" s="21"/>
      <c r="NOW64" s="21"/>
      <c r="NOX64" s="21"/>
      <c r="NOY64" s="21"/>
      <c r="NOZ64" s="21"/>
      <c r="NPA64" s="21"/>
      <c r="NPB64" s="21"/>
      <c r="NPC64" s="21"/>
      <c r="NPD64" s="21"/>
      <c r="NPE64" s="21"/>
      <c r="NPF64" s="21"/>
      <c r="NPG64" s="21"/>
      <c r="NPH64" s="21"/>
      <c r="NPI64" s="21"/>
      <c r="NPJ64" s="21"/>
      <c r="NPK64" s="21"/>
      <c r="NPL64" s="21"/>
      <c r="NPM64" s="21"/>
      <c r="NPN64" s="21"/>
      <c r="NPO64" s="21"/>
      <c r="NPP64" s="21"/>
      <c r="NPQ64" s="21"/>
      <c r="NPR64" s="21"/>
      <c r="NPS64" s="21"/>
      <c r="NPT64" s="21"/>
      <c r="NPU64" s="21"/>
      <c r="NPV64" s="21"/>
      <c r="NPW64" s="21"/>
      <c r="NPX64" s="21"/>
      <c r="NPY64" s="21"/>
      <c r="NPZ64" s="21"/>
      <c r="NQA64" s="21"/>
      <c r="NQB64" s="21"/>
      <c r="NQC64" s="21"/>
      <c r="NQD64" s="21"/>
      <c r="NQE64" s="21"/>
      <c r="NQF64" s="21"/>
      <c r="NQG64" s="21"/>
      <c r="NQH64" s="21"/>
      <c r="NQI64" s="21"/>
      <c r="NQJ64" s="21"/>
      <c r="NQK64" s="21"/>
      <c r="NQL64" s="21"/>
      <c r="NQM64" s="21"/>
      <c r="NQN64" s="21"/>
      <c r="NQO64" s="21"/>
      <c r="NQP64" s="21"/>
      <c r="NQQ64" s="21"/>
      <c r="NQR64" s="21"/>
      <c r="NQS64" s="21"/>
      <c r="NQT64" s="21"/>
      <c r="NQU64" s="21"/>
      <c r="NQV64" s="21"/>
      <c r="NQW64" s="21"/>
      <c r="NQX64" s="21"/>
      <c r="NQY64" s="21"/>
      <c r="NQZ64" s="21"/>
      <c r="NRA64" s="21"/>
      <c r="NRB64" s="21"/>
      <c r="NRC64" s="21"/>
      <c r="NRD64" s="21"/>
      <c r="NRE64" s="21"/>
      <c r="NRF64" s="21"/>
      <c r="NRG64" s="21"/>
      <c r="NRH64" s="21"/>
      <c r="NRI64" s="21"/>
      <c r="NRJ64" s="21"/>
      <c r="NRK64" s="21"/>
      <c r="NRL64" s="21"/>
      <c r="NRM64" s="21"/>
      <c r="NRN64" s="21"/>
      <c r="NRO64" s="21"/>
      <c r="NRP64" s="21"/>
      <c r="NRQ64" s="21"/>
      <c r="NRR64" s="21"/>
      <c r="NRS64" s="21"/>
      <c r="NRT64" s="21"/>
      <c r="NRU64" s="21"/>
      <c r="NRV64" s="21"/>
      <c r="NRW64" s="21"/>
      <c r="NRX64" s="21"/>
      <c r="NRY64" s="21"/>
      <c r="NRZ64" s="21"/>
      <c r="NSA64" s="21"/>
      <c r="NSB64" s="21"/>
      <c r="NSC64" s="21"/>
      <c r="NSD64" s="21"/>
      <c r="NSE64" s="21"/>
      <c r="NSF64" s="21"/>
      <c r="NSG64" s="21"/>
      <c r="NSH64" s="21"/>
      <c r="NSI64" s="21"/>
      <c r="NSJ64" s="21"/>
      <c r="NSK64" s="21"/>
      <c r="NSL64" s="21"/>
      <c r="NSM64" s="21"/>
      <c r="NSN64" s="21"/>
      <c r="NSO64" s="21"/>
      <c r="NSP64" s="21"/>
      <c r="NSQ64" s="21"/>
      <c r="NSR64" s="21"/>
      <c r="NSS64" s="21"/>
      <c r="NST64" s="21"/>
      <c r="NSU64" s="21"/>
      <c r="NSV64" s="21"/>
      <c r="NSW64" s="21"/>
      <c r="NSX64" s="21"/>
      <c r="NSY64" s="21"/>
      <c r="NSZ64" s="21"/>
      <c r="NTA64" s="21"/>
      <c r="NTB64" s="21"/>
      <c r="NTC64" s="21"/>
      <c r="NTD64" s="21"/>
      <c r="NTE64" s="21"/>
      <c r="NTF64" s="21"/>
      <c r="NTG64" s="21"/>
      <c r="NTH64" s="21"/>
      <c r="NTI64" s="21"/>
      <c r="NTJ64" s="21"/>
      <c r="NTK64" s="21"/>
      <c r="NTL64" s="21"/>
      <c r="NTM64" s="21"/>
      <c r="NTN64" s="21"/>
      <c r="NTO64" s="21"/>
      <c r="NTP64" s="21"/>
      <c r="NTQ64" s="21"/>
      <c r="NTR64" s="21"/>
      <c r="NTS64" s="21"/>
      <c r="NTT64" s="21"/>
      <c r="NTU64" s="21"/>
      <c r="NTV64" s="21"/>
      <c r="NTW64" s="21"/>
      <c r="NTX64" s="21"/>
      <c r="NTY64" s="21"/>
      <c r="NTZ64" s="21"/>
      <c r="NUA64" s="21"/>
      <c r="NUB64" s="21"/>
      <c r="NUC64" s="21"/>
      <c r="NUD64" s="21"/>
      <c r="NUE64" s="21"/>
      <c r="NUF64" s="21"/>
      <c r="NUG64" s="21"/>
      <c r="NUH64" s="21"/>
      <c r="NUI64" s="21"/>
      <c r="NUJ64" s="21"/>
      <c r="NUK64" s="21"/>
      <c r="NUL64" s="21"/>
      <c r="NUM64" s="21"/>
      <c r="NUN64" s="21"/>
      <c r="NUO64" s="21"/>
      <c r="NUP64" s="21"/>
      <c r="NUQ64" s="21"/>
      <c r="NUR64" s="21"/>
      <c r="NUS64" s="21"/>
      <c r="NUT64" s="21"/>
      <c r="NUU64" s="21"/>
      <c r="NUV64" s="21"/>
      <c r="NUW64" s="21"/>
      <c r="NUX64" s="21"/>
      <c r="NUY64" s="21"/>
      <c r="NUZ64" s="21"/>
      <c r="NVA64" s="21"/>
      <c r="NVB64" s="21"/>
      <c r="NVC64" s="21"/>
      <c r="NVD64" s="21"/>
      <c r="NVE64" s="21"/>
      <c r="NVF64" s="21"/>
      <c r="NVG64" s="21"/>
      <c r="NVH64" s="21"/>
      <c r="NVI64" s="21"/>
      <c r="NVJ64" s="21"/>
      <c r="NVK64" s="21"/>
      <c r="NVL64" s="21"/>
      <c r="NVM64" s="21"/>
      <c r="NVN64" s="21"/>
      <c r="NVO64" s="21"/>
      <c r="NVP64" s="21"/>
      <c r="NVQ64" s="21"/>
      <c r="NVR64" s="21"/>
      <c r="NVS64" s="21"/>
      <c r="NVT64" s="21"/>
      <c r="NVU64" s="21"/>
      <c r="NVV64" s="21"/>
      <c r="NVW64" s="21"/>
      <c r="NVX64" s="21"/>
      <c r="NVY64" s="21"/>
      <c r="NVZ64" s="21"/>
      <c r="NWA64" s="21"/>
      <c r="NWB64" s="21"/>
      <c r="NWC64" s="21"/>
      <c r="NWD64" s="21"/>
      <c r="NWE64" s="21"/>
      <c r="NWF64" s="21"/>
      <c r="NWG64" s="21"/>
      <c r="NWH64" s="21"/>
      <c r="NWI64" s="21"/>
      <c r="NWJ64" s="21"/>
      <c r="NWK64" s="21"/>
      <c r="NWL64" s="21"/>
      <c r="NWM64" s="21"/>
      <c r="NWN64" s="21"/>
      <c r="NWO64" s="21"/>
      <c r="NWP64" s="21"/>
      <c r="NWQ64" s="21"/>
      <c r="NWR64" s="21"/>
      <c r="NWS64" s="21"/>
      <c r="NWT64" s="21"/>
      <c r="NWU64" s="21"/>
      <c r="NWV64" s="21"/>
      <c r="NWW64" s="21"/>
      <c r="NWX64" s="21"/>
      <c r="NWY64" s="21"/>
      <c r="NWZ64" s="21"/>
      <c r="NXA64" s="21"/>
      <c r="NXB64" s="21"/>
      <c r="NXC64" s="21"/>
      <c r="NXD64" s="21"/>
      <c r="NXE64" s="21"/>
      <c r="NXF64" s="21"/>
      <c r="NXG64" s="21"/>
      <c r="NXH64" s="21"/>
      <c r="NXI64" s="21"/>
      <c r="NXJ64" s="21"/>
      <c r="NXK64" s="21"/>
      <c r="NXL64" s="21"/>
      <c r="NXM64" s="21"/>
      <c r="NXN64" s="21"/>
      <c r="NXO64" s="21"/>
      <c r="NXP64" s="21"/>
      <c r="NXQ64" s="21"/>
      <c r="NXR64" s="21"/>
      <c r="NXS64" s="21"/>
      <c r="NXT64" s="21"/>
      <c r="NXU64" s="21"/>
      <c r="NXV64" s="21"/>
      <c r="NXW64" s="21"/>
      <c r="NXX64" s="21"/>
      <c r="NXY64" s="21"/>
      <c r="NXZ64" s="21"/>
      <c r="NYA64" s="21"/>
      <c r="NYB64" s="21"/>
      <c r="NYC64" s="21"/>
      <c r="NYD64" s="21"/>
      <c r="NYE64" s="21"/>
      <c r="NYF64" s="21"/>
      <c r="NYG64" s="21"/>
      <c r="NYH64" s="21"/>
      <c r="NYI64" s="21"/>
      <c r="NYJ64" s="21"/>
      <c r="NYK64" s="21"/>
      <c r="NYL64" s="21"/>
      <c r="NYM64" s="21"/>
      <c r="NYN64" s="21"/>
      <c r="NYO64" s="21"/>
      <c r="NYP64" s="21"/>
      <c r="NYQ64" s="21"/>
      <c r="NYR64" s="21"/>
      <c r="NYS64" s="21"/>
      <c r="NYT64" s="21"/>
      <c r="NYU64" s="21"/>
      <c r="NYV64" s="21"/>
      <c r="NYW64" s="21"/>
      <c r="NYX64" s="21"/>
      <c r="NYY64" s="21"/>
      <c r="NYZ64" s="21"/>
      <c r="NZA64" s="21"/>
      <c r="NZB64" s="21"/>
      <c r="NZC64" s="21"/>
      <c r="NZD64" s="21"/>
      <c r="NZE64" s="21"/>
      <c r="NZF64" s="21"/>
      <c r="NZG64" s="21"/>
      <c r="NZH64" s="21"/>
      <c r="NZI64" s="21"/>
      <c r="NZJ64" s="21"/>
      <c r="NZK64" s="21"/>
      <c r="NZL64" s="21"/>
      <c r="NZM64" s="21"/>
      <c r="NZN64" s="21"/>
      <c r="NZO64" s="21"/>
      <c r="NZP64" s="21"/>
      <c r="NZQ64" s="21"/>
      <c r="NZR64" s="21"/>
      <c r="NZS64" s="21"/>
      <c r="NZT64" s="21"/>
      <c r="NZU64" s="21"/>
      <c r="NZV64" s="21"/>
      <c r="NZW64" s="21"/>
      <c r="NZX64" s="21"/>
      <c r="NZY64" s="21"/>
      <c r="NZZ64" s="21"/>
      <c r="OAA64" s="21"/>
      <c r="OAB64" s="21"/>
      <c r="OAC64" s="21"/>
      <c r="OAD64" s="21"/>
      <c r="OAE64" s="21"/>
      <c r="OAF64" s="21"/>
      <c r="OAG64" s="21"/>
      <c r="OAH64" s="21"/>
      <c r="OAI64" s="21"/>
      <c r="OAJ64" s="21"/>
      <c r="OAK64" s="21"/>
      <c r="OAL64" s="21"/>
      <c r="OAM64" s="21"/>
      <c r="OAN64" s="21"/>
      <c r="OAO64" s="21"/>
      <c r="OAP64" s="21"/>
      <c r="OAQ64" s="21"/>
      <c r="OAR64" s="21"/>
      <c r="OAS64" s="21"/>
      <c r="OAT64" s="21"/>
      <c r="OAU64" s="21"/>
      <c r="OAV64" s="21"/>
      <c r="OAW64" s="21"/>
      <c r="OAX64" s="21"/>
      <c r="OAY64" s="21"/>
      <c r="OAZ64" s="21"/>
      <c r="OBA64" s="21"/>
      <c r="OBB64" s="21"/>
      <c r="OBC64" s="21"/>
      <c r="OBD64" s="21"/>
      <c r="OBE64" s="21"/>
      <c r="OBF64" s="21"/>
      <c r="OBG64" s="21"/>
      <c r="OBH64" s="21"/>
      <c r="OBI64" s="21"/>
      <c r="OBJ64" s="21"/>
      <c r="OBK64" s="21"/>
      <c r="OBL64" s="21"/>
      <c r="OBM64" s="21"/>
      <c r="OBN64" s="21"/>
      <c r="OBO64" s="21"/>
      <c r="OBP64" s="21"/>
      <c r="OBQ64" s="21"/>
      <c r="OBR64" s="21"/>
      <c r="OBS64" s="21"/>
      <c r="OBT64" s="21"/>
      <c r="OBU64" s="21"/>
      <c r="OBV64" s="21"/>
      <c r="OBW64" s="21"/>
      <c r="OBX64" s="21"/>
      <c r="OBY64" s="21"/>
      <c r="OBZ64" s="21"/>
      <c r="OCA64" s="21"/>
      <c r="OCB64" s="21"/>
      <c r="OCC64" s="21"/>
      <c r="OCD64" s="21"/>
      <c r="OCE64" s="21"/>
      <c r="OCF64" s="21"/>
      <c r="OCG64" s="21"/>
      <c r="OCH64" s="21"/>
      <c r="OCI64" s="21"/>
      <c r="OCJ64" s="21"/>
      <c r="OCK64" s="21"/>
      <c r="OCL64" s="21"/>
      <c r="OCM64" s="21"/>
      <c r="OCN64" s="21"/>
      <c r="OCO64" s="21"/>
      <c r="OCP64" s="21"/>
      <c r="OCQ64" s="21"/>
      <c r="OCR64" s="21"/>
      <c r="OCS64" s="21"/>
      <c r="OCT64" s="21"/>
      <c r="OCU64" s="21"/>
      <c r="OCV64" s="21"/>
      <c r="OCW64" s="21"/>
      <c r="OCX64" s="21"/>
      <c r="OCY64" s="21"/>
      <c r="OCZ64" s="21"/>
      <c r="ODA64" s="21"/>
      <c r="ODB64" s="21"/>
      <c r="ODC64" s="21"/>
      <c r="ODD64" s="21"/>
      <c r="ODE64" s="21"/>
      <c r="ODF64" s="21"/>
      <c r="ODG64" s="21"/>
      <c r="ODH64" s="21"/>
      <c r="ODI64" s="21"/>
      <c r="ODJ64" s="21"/>
      <c r="ODK64" s="21"/>
      <c r="ODL64" s="21"/>
      <c r="ODM64" s="21"/>
      <c r="ODN64" s="21"/>
      <c r="ODO64" s="21"/>
      <c r="ODP64" s="21"/>
      <c r="ODQ64" s="21"/>
      <c r="ODR64" s="21"/>
      <c r="ODS64" s="21"/>
      <c r="ODT64" s="21"/>
      <c r="ODU64" s="21"/>
      <c r="ODV64" s="21"/>
      <c r="ODW64" s="21"/>
      <c r="ODX64" s="21"/>
      <c r="ODY64" s="21"/>
      <c r="ODZ64" s="21"/>
      <c r="OEA64" s="21"/>
      <c r="OEB64" s="21"/>
      <c r="OEC64" s="21"/>
      <c r="OED64" s="21"/>
      <c r="OEE64" s="21"/>
      <c r="OEF64" s="21"/>
      <c r="OEG64" s="21"/>
      <c r="OEH64" s="21"/>
      <c r="OEI64" s="21"/>
      <c r="OEJ64" s="21"/>
      <c r="OEK64" s="21"/>
      <c r="OEL64" s="21"/>
      <c r="OEM64" s="21"/>
      <c r="OEN64" s="21"/>
      <c r="OEO64" s="21"/>
      <c r="OEP64" s="21"/>
      <c r="OEQ64" s="21"/>
      <c r="OER64" s="21"/>
      <c r="OES64" s="21"/>
      <c r="OET64" s="21"/>
      <c r="OEU64" s="21"/>
      <c r="OEV64" s="21"/>
      <c r="OEW64" s="21"/>
      <c r="OEX64" s="21"/>
      <c r="OEY64" s="21"/>
      <c r="OEZ64" s="21"/>
      <c r="OFA64" s="21"/>
      <c r="OFB64" s="21"/>
      <c r="OFC64" s="21"/>
      <c r="OFD64" s="21"/>
      <c r="OFE64" s="21"/>
      <c r="OFF64" s="21"/>
      <c r="OFG64" s="21"/>
      <c r="OFH64" s="21"/>
      <c r="OFI64" s="21"/>
      <c r="OFJ64" s="21"/>
      <c r="OFK64" s="21"/>
      <c r="OFL64" s="21"/>
      <c r="OFM64" s="21"/>
      <c r="OFN64" s="21"/>
      <c r="OFO64" s="21"/>
      <c r="OFP64" s="21"/>
      <c r="OFQ64" s="21"/>
      <c r="OFR64" s="21"/>
      <c r="OFS64" s="21"/>
      <c r="OFT64" s="21"/>
      <c r="OFU64" s="21"/>
      <c r="OFV64" s="21"/>
      <c r="OFW64" s="21"/>
      <c r="OFX64" s="21"/>
      <c r="OFY64" s="21"/>
      <c r="OFZ64" s="21"/>
      <c r="OGA64" s="21"/>
      <c r="OGB64" s="21"/>
      <c r="OGC64" s="21"/>
      <c r="OGD64" s="21"/>
      <c r="OGE64" s="21"/>
      <c r="OGF64" s="21"/>
      <c r="OGG64" s="21"/>
      <c r="OGH64" s="21"/>
      <c r="OGI64" s="21"/>
      <c r="OGJ64" s="21"/>
      <c r="OGK64" s="21"/>
      <c r="OGL64" s="21"/>
      <c r="OGM64" s="21"/>
      <c r="OGN64" s="21"/>
      <c r="OGO64" s="21"/>
      <c r="OGP64" s="21"/>
      <c r="OGQ64" s="21"/>
      <c r="OGR64" s="21"/>
      <c r="OGS64" s="21"/>
      <c r="OGT64" s="21"/>
      <c r="OGU64" s="21"/>
      <c r="OGV64" s="21"/>
      <c r="OGW64" s="21"/>
      <c r="OGX64" s="21"/>
      <c r="OGY64" s="21"/>
      <c r="OGZ64" s="21"/>
      <c r="OHA64" s="21"/>
      <c r="OHB64" s="21"/>
      <c r="OHC64" s="21"/>
      <c r="OHD64" s="21"/>
      <c r="OHE64" s="21"/>
      <c r="OHF64" s="21"/>
      <c r="OHG64" s="21"/>
      <c r="OHH64" s="21"/>
      <c r="OHI64" s="21"/>
      <c r="OHJ64" s="21"/>
      <c r="OHK64" s="21"/>
      <c r="OHL64" s="21"/>
      <c r="OHM64" s="21"/>
      <c r="OHN64" s="21"/>
      <c r="OHO64" s="21"/>
      <c r="OHP64" s="21"/>
      <c r="OHQ64" s="21"/>
      <c r="OHR64" s="21"/>
      <c r="OHS64" s="21"/>
      <c r="OHT64" s="21"/>
      <c r="OHU64" s="21"/>
      <c r="OHV64" s="21"/>
      <c r="OHW64" s="21"/>
      <c r="OHX64" s="21"/>
      <c r="OHY64" s="21"/>
      <c r="OHZ64" s="21"/>
      <c r="OIA64" s="21"/>
      <c r="OIB64" s="21"/>
      <c r="OIC64" s="21"/>
      <c r="OID64" s="21"/>
      <c r="OIE64" s="21"/>
      <c r="OIF64" s="21"/>
      <c r="OIG64" s="21"/>
      <c r="OIH64" s="21"/>
      <c r="OII64" s="21"/>
      <c r="OIJ64" s="21"/>
      <c r="OIK64" s="21"/>
      <c r="OIL64" s="21"/>
      <c r="OIM64" s="21"/>
      <c r="OIN64" s="21"/>
      <c r="OIO64" s="21"/>
      <c r="OIP64" s="21"/>
      <c r="OIQ64" s="21"/>
      <c r="OIR64" s="21"/>
      <c r="OIS64" s="21"/>
      <c r="OIT64" s="21"/>
      <c r="OIU64" s="21"/>
      <c r="OIV64" s="21"/>
      <c r="OIW64" s="21"/>
      <c r="OIX64" s="21"/>
      <c r="OIY64" s="21"/>
      <c r="OIZ64" s="21"/>
      <c r="OJA64" s="21"/>
      <c r="OJB64" s="21"/>
      <c r="OJC64" s="21"/>
      <c r="OJD64" s="21"/>
      <c r="OJE64" s="21"/>
      <c r="OJF64" s="21"/>
      <c r="OJG64" s="21"/>
      <c r="OJH64" s="21"/>
      <c r="OJI64" s="21"/>
      <c r="OJJ64" s="21"/>
      <c r="OJK64" s="21"/>
      <c r="OJL64" s="21"/>
      <c r="OJM64" s="21"/>
      <c r="OJN64" s="21"/>
      <c r="OJO64" s="21"/>
      <c r="OJP64" s="21"/>
      <c r="OJQ64" s="21"/>
      <c r="OJR64" s="21"/>
      <c r="OJS64" s="21"/>
      <c r="OJT64" s="21"/>
      <c r="OJU64" s="21"/>
      <c r="OJV64" s="21"/>
      <c r="OJW64" s="21"/>
      <c r="OJX64" s="21"/>
      <c r="OJY64" s="21"/>
      <c r="OJZ64" s="21"/>
      <c r="OKA64" s="21"/>
      <c r="OKB64" s="21"/>
      <c r="OKC64" s="21"/>
      <c r="OKD64" s="21"/>
      <c r="OKE64" s="21"/>
      <c r="OKF64" s="21"/>
      <c r="OKG64" s="21"/>
      <c r="OKH64" s="21"/>
      <c r="OKI64" s="21"/>
      <c r="OKJ64" s="21"/>
      <c r="OKK64" s="21"/>
      <c r="OKL64" s="21"/>
      <c r="OKM64" s="21"/>
      <c r="OKN64" s="21"/>
      <c r="OKO64" s="21"/>
      <c r="OKP64" s="21"/>
      <c r="OKQ64" s="21"/>
      <c r="OKR64" s="21"/>
      <c r="OKS64" s="21"/>
      <c r="OKT64" s="21"/>
      <c r="OKU64" s="21"/>
      <c r="OKV64" s="21"/>
      <c r="OKW64" s="21"/>
      <c r="OKX64" s="21"/>
      <c r="OKY64" s="21"/>
      <c r="OKZ64" s="21"/>
      <c r="OLA64" s="21"/>
      <c r="OLB64" s="21"/>
      <c r="OLC64" s="21"/>
      <c r="OLD64" s="21"/>
      <c r="OLE64" s="21"/>
      <c r="OLF64" s="21"/>
      <c r="OLG64" s="21"/>
      <c r="OLH64" s="21"/>
      <c r="OLI64" s="21"/>
      <c r="OLJ64" s="21"/>
      <c r="OLK64" s="21"/>
      <c r="OLL64" s="21"/>
      <c r="OLM64" s="21"/>
      <c r="OLN64" s="21"/>
      <c r="OLO64" s="21"/>
      <c r="OLP64" s="21"/>
      <c r="OLQ64" s="21"/>
      <c r="OLR64" s="21"/>
      <c r="OLS64" s="21"/>
      <c r="OLT64" s="21"/>
      <c r="OLU64" s="21"/>
      <c r="OLV64" s="21"/>
      <c r="OLW64" s="21"/>
      <c r="OLX64" s="21"/>
      <c r="OLY64" s="21"/>
      <c r="OLZ64" s="21"/>
      <c r="OMA64" s="21"/>
      <c r="OMB64" s="21"/>
      <c r="OMC64" s="21"/>
      <c r="OMD64" s="21"/>
      <c r="OME64" s="21"/>
      <c r="OMF64" s="21"/>
      <c r="OMG64" s="21"/>
      <c r="OMH64" s="21"/>
      <c r="OMI64" s="21"/>
      <c r="OMJ64" s="21"/>
      <c r="OMK64" s="21"/>
      <c r="OML64" s="21"/>
      <c r="OMM64" s="21"/>
      <c r="OMN64" s="21"/>
      <c r="OMO64" s="21"/>
      <c r="OMP64" s="21"/>
      <c r="OMQ64" s="21"/>
      <c r="OMR64" s="21"/>
      <c r="OMS64" s="21"/>
      <c r="OMT64" s="21"/>
      <c r="OMU64" s="21"/>
      <c r="OMV64" s="21"/>
      <c r="OMW64" s="21"/>
      <c r="OMX64" s="21"/>
      <c r="OMY64" s="21"/>
      <c r="OMZ64" s="21"/>
      <c r="ONA64" s="21"/>
      <c r="ONB64" s="21"/>
      <c r="ONC64" s="21"/>
      <c r="OND64" s="21"/>
      <c r="ONE64" s="21"/>
      <c r="ONF64" s="21"/>
      <c r="ONG64" s="21"/>
      <c r="ONH64" s="21"/>
      <c r="ONI64" s="21"/>
      <c r="ONJ64" s="21"/>
      <c r="ONK64" s="21"/>
      <c r="ONL64" s="21"/>
      <c r="ONM64" s="21"/>
      <c r="ONN64" s="21"/>
      <c r="ONO64" s="21"/>
      <c r="ONP64" s="21"/>
      <c r="ONQ64" s="21"/>
      <c r="ONR64" s="21"/>
      <c r="ONS64" s="21"/>
      <c r="ONT64" s="21"/>
      <c r="ONU64" s="21"/>
      <c r="ONV64" s="21"/>
      <c r="ONW64" s="21"/>
      <c r="ONX64" s="21"/>
      <c r="ONY64" s="21"/>
      <c r="ONZ64" s="21"/>
      <c r="OOA64" s="21"/>
      <c r="OOB64" s="21"/>
      <c r="OOC64" s="21"/>
      <c r="OOD64" s="21"/>
      <c r="OOE64" s="21"/>
      <c r="OOF64" s="21"/>
      <c r="OOG64" s="21"/>
      <c r="OOH64" s="21"/>
      <c r="OOI64" s="21"/>
      <c r="OOJ64" s="21"/>
      <c r="OOK64" s="21"/>
      <c r="OOL64" s="21"/>
      <c r="OOM64" s="21"/>
      <c r="OON64" s="21"/>
      <c r="OOO64" s="21"/>
      <c r="OOP64" s="21"/>
      <c r="OOQ64" s="21"/>
      <c r="OOR64" s="21"/>
      <c r="OOS64" s="21"/>
      <c r="OOT64" s="21"/>
      <c r="OOU64" s="21"/>
      <c r="OOV64" s="21"/>
      <c r="OOW64" s="21"/>
      <c r="OOX64" s="21"/>
      <c r="OOY64" s="21"/>
      <c r="OOZ64" s="21"/>
      <c r="OPA64" s="21"/>
      <c r="OPB64" s="21"/>
      <c r="OPC64" s="21"/>
      <c r="OPD64" s="21"/>
      <c r="OPE64" s="21"/>
      <c r="OPF64" s="21"/>
      <c r="OPG64" s="21"/>
      <c r="OPH64" s="21"/>
      <c r="OPI64" s="21"/>
      <c r="OPJ64" s="21"/>
      <c r="OPK64" s="21"/>
      <c r="OPL64" s="21"/>
      <c r="OPM64" s="21"/>
      <c r="OPN64" s="21"/>
      <c r="OPO64" s="21"/>
      <c r="OPP64" s="21"/>
      <c r="OPQ64" s="21"/>
      <c r="OPR64" s="21"/>
      <c r="OPS64" s="21"/>
      <c r="OPT64" s="21"/>
      <c r="OPU64" s="21"/>
      <c r="OPV64" s="21"/>
      <c r="OPW64" s="21"/>
      <c r="OPX64" s="21"/>
      <c r="OPY64" s="21"/>
      <c r="OPZ64" s="21"/>
      <c r="OQA64" s="21"/>
      <c r="OQB64" s="21"/>
      <c r="OQC64" s="21"/>
      <c r="OQD64" s="21"/>
      <c r="OQE64" s="21"/>
      <c r="OQF64" s="21"/>
      <c r="OQG64" s="21"/>
      <c r="OQH64" s="21"/>
      <c r="OQI64" s="21"/>
      <c r="OQJ64" s="21"/>
      <c r="OQK64" s="21"/>
      <c r="OQL64" s="21"/>
      <c r="OQM64" s="21"/>
      <c r="OQN64" s="21"/>
      <c r="OQO64" s="21"/>
      <c r="OQP64" s="21"/>
      <c r="OQQ64" s="21"/>
      <c r="OQR64" s="21"/>
      <c r="OQS64" s="21"/>
      <c r="OQT64" s="21"/>
      <c r="OQU64" s="21"/>
      <c r="OQV64" s="21"/>
      <c r="OQW64" s="21"/>
      <c r="OQX64" s="21"/>
      <c r="OQY64" s="21"/>
      <c r="OQZ64" s="21"/>
      <c r="ORA64" s="21"/>
      <c r="ORB64" s="21"/>
      <c r="ORC64" s="21"/>
      <c r="ORD64" s="21"/>
      <c r="ORE64" s="21"/>
      <c r="ORF64" s="21"/>
      <c r="ORG64" s="21"/>
      <c r="ORH64" s="21"/>
      <c r="ORI64" s="21"/>
      <c r="ORJ64" s="21"/>
      <c r="ORK64" s="21"/>
      <c r="ORL64" s="21"/>
      <c r="ORM64" s="21"/>
      <c r="ORN64" s="21"/>
      <c r="ORO64" s="21"/>
      <c r="ORP64" s="21"/>
      <c r="ORQ64" s="21"/>
      <c r="ORR64" s="21"/>
      <c r="ORS64" s="21"/>
      <c r="ORT64" s="21"/>
      <c r="ORU64" s="21"/>
      <c r="ORV64" s="21"/>
      <c r="ORW64" s="21"/>
      <c r="ORX64" s="21"/>
      <c r="ORY64" s="21"/>
      <c r="ORZ64" s="21"/>
      <c r="OSA64" s="21"/>
      <c r="OSB64" s="21"/>
      <c r="OSC64" s="21"/>
      <c r="OSD64" s="21"/>
      <c r="OSE64" s="21"/>
      <c r="OSF64" s="21"/>
      <c r="OSG64" s="21"/>
      <c r="OSH64" s="21"/>
      <c r="OSI64" s="21"/>
      <c r="OSJ64" s="21"/>
      <c r="OSK64" s="21"/>
      <c r="OSL64" s="21"/>
      <c r="OSM64" s="21"/>
      <c r="OSN64" s="21"/>
      <c r="OSO64" s="21"/>
      <c r="OSP64" s="21"/>
      <c r="OSQ64" s="21"/>
      <c r="OSR64" s="21"/>
      <c r="OSS64" s="21"/>
      <c r="OST64" s="21"/>
      <c r="OSU64" s="21"/>
      <c r="OSV64" s="21"/>
      <c r="OSW64" s="21"/>
      <c r="OSX64" s="21"/>
      <c r="OSY64" s="21"/>
      <c r="OSZ64" s="21"/>
      <c r="OTA64" s="21"/>
      <c r="OTB64" s="21"/>
      <c r="OTC64" s="21"/>
      <c r="OTD64" s="21"/>
      <c r="OTE64" s="21"/>
      <c r="OTF64" s="21"/>
      <c r="OTG64" s="21"/>
      <c r="OTH64" s="21"/>
      <c r="OTI64" s="21"/>
      <c r="OTJ64" s="21"/>
      <c r="OTK64" s="21"/>
      <c r="OTL64" s="21"/>
      <c r="OTM64" s="21"/>
      <c r="OTN64" s="21"/>
      <c r="OTO64" s="21"/>
      <c r="OTP64" s="21"/>
      <c r="OTQ64" s="21"/>
      <c r="OTR64" s="21"/>
      <c r="OTS64" s="21"/>
      <c r="OTT64" s="21"/>
      <c r="OTU64" s="21"/>
      <c r="OTV64" s="21"/>
      <c r="OTW64" s="21"/>
      <c r="OTX64" s="21"/>
      <c r="OTY64" s="21"/>
      <c r="OTZ64" s="21"/>
      <c r="OUA64" s="21"/>
      <c r="OUB64" s="21"/>
      <c r="OUC64" s="21"/>
      <c r="OUD64" s="21"/>
      <c r="OUE64" s="21"/>
      <c r="OUF64" s="21"/>
      <c r="OUG64" s="21"/>
      <c r="OUH64" s="21"/>
      <c r="OUI64" s="21"/>
      <c r="OUJ64" s="21"/>
      <c r="OUK64" s="21"/>
      <c r="OUL64" s="21"/>
      <c r="OUM64" s="21"/>
      <c r="OUN64" s="21"/>
      <c r="OUO64" s="21"/>
      <c r="OUP64" s="21"/>
      <c r="OUQ64" s="21"/>
      <c r="OUR64" s="21"/>
      <c r="OUS64" s="21"/>
      <c r="OUT64" s="21"/>
      <c r="OUU64" s="21"/>
      <c r="OUV64" s="21"/>
      <c r="OUW64" s="21"/>
      <c r="OUX64" s="21"/>
      <c r="OUY64" s="21"/>
      <c r="OUZ64" s="21"/>
      <c r="OVA64" s="21"/>
      <c r="OVB64" s="21"/>
      <c r="OVC64" s="21"/>
      <c r="OVD64" s="21"/>
      <c r="OVE64" s="21"/>
      <c r="OVF64" s="21"/>
      <c r="OVG64" s="21"/>
      <c r="OVH64" s="21"/>
      <c r="OVI64" s="21"/>
      <c r="OVJ64" s="21"/>
      <c r="OVK64" s="21"/>
      <c r="OVL64" s="21"/>
      <c r="OVM64" s="21"/>
      <c r="OVN64" s="21"/>
      <c r="OVO64" s="21"/>
      <c r="OVP64" s="21"/>
      <c r="OVQ64" s="21"/>
      <c r="OVR64" s="21"/>
      <c r="OVS64" s="21"/>
      <c r="OVT64" s="21"/>
      <c r="OVU64" s="21"/>
      <c r="OVV64" s="21"/>
      <c r="OVW64" s="21"/>
      <c r="OVX64" s="21"/>
      <c r="OVY64" s="21"/>
      <c r="OVZ64" s="21"/>
      <c r="OWA64" s="21"/>
      <c r="OWB64" s="21"/>
      <c r="OWC64" s="21"/>
      <c r="OWD64" s="21"/>
      <c r="OWE64" s="21"/>
      <c r="OWF64" s="21"/>
      <c r="OWG64" s="21"/>
      <c r="OWH64" s="21"/>
      <c r="OWI64" s="21"/>
      <c r="OWJ64" s="21"/>
      <c r="OWK64" s="21"/>
      <c r="OWL64" s="21"/>
      <c r="OWM64" s="21"/>
      <c r="OWN64" s="21"/>
      <c r="OWO64" s="21"/>
      <c r="OWP64" s="21"/>
      <c r="OWQ64" s="21"/>
      <c r="OWR64" s="21"/>
      <c r="OWS64" s="21"/>
      <c r="OWT64" s="21"/>
      <c r="OWU64" s="21"/>
      <c r="OWV64" s="21"/>
      <c r="OWW64" s="21"/>
      <c r="OWX64" s="21"/>
      <c r="OWY64" s="21"/>
      <c r="OWZ64" s="21"/>
      <c r="OXA64" s="21"/>
      <c r="OXB64" s="21"/>
      <c r="OXC64" s="21"/>
      <c r="OXD64" s="21"/>
      <c r="OXE64" s="21"/>
      <c r="OXF64" s="21"/>
      <c r="OXG64" s="21"/>
      <c r="OXH64" s="21"/>
      <c r="OXI64" s="21"/>
      <c r="OXJ64" s="21"/>
      <c r="OXK64" s="21"/>
      <c r="OXL64" s="21"/>
      <c r="OXM64" s="21"/>
      <c r="OXN64" s="21"/>
      <c r="OXO64" s="21"/>
      <c r="OXP64" s="21"/>
      <c r="OXQ64" s="21"/>
      <c r="OXR64" s="21"/>
      <c r="OXS64" s="21"/>
      <c r="OXT64" s="21"/>
      <c r="OXU64" s="21"/>
      <c r="OXV64" s="21"/>
      <c r="OXW64" s="21"/>
      <c r="OXX64" s="21"/>
      <c r="OXY64" s="21"/>
      <c r="OXZ64" s="21"/>
      <c r="OYA64" s="21"/>
      <c r="OYB64" s="21"/>
      <c r="OYC64" s="21"/>
      <c r="OYD64" s="21"/>
      <c r="OYE64" s="21"/>
      <c r="OYF64" s="21"/>
      <c r="OYG64" s="21"/>
      <c r="OYH64" s="21"/>
      <c r="OYI64" s="21"/>
      <c r="OYJ64" s="21"/>
      <c r="OYK64" s="21"/>
      <c r="OYL64" s="21"/>
      <c r="OYM64" s="21"/>
      <c r="OYN64" s="21"/>
      <c r="OYO64" s="21"/>
      <c r="OYP64" s="21"/>
      <c r="OYQ64" s="21"/>
      <c r="OYR64" s="21"/>
      <c r="OYS64" s="21"/>
      <c r="OYT64" s="21"/>
      <c r="OYU64" s="21"/>
      <c r="OYV64" s="21"/>
      <c r="OYW64" s="21"/>
      <c r="OYX64" s="21"/>
      <c r="OYY64" s="21"/>
      <c r="OYZ64" s="21"/>
      <c r="OZA64" s="21"/>
      <c r="OZB64" s="21"/>
      <c r="OZC64" s="21"/>
      <c r="OZD64" s="21"/>
      <c r="OZE64" s="21"/>
      <c r="OZF64" s="21"/>
      <c r="OZG64" s="21"/>
      <c r="OZH64" s="21"/>
      <c r="OZI64" s="21"/>
      <c r="OZJ64" s="21"/>
      <c r="OZK64" s="21"/>
      <c r="OZL64" s="21"/>
      <c r="OZM64" s="21"/>
      <c r="OZN64" s="21"/>
      <c r="OZO64" s="21"/>
      <c r="OZP64" s="21"/>
      <c r="OZQ64" s="21"/>
      <c r="OZR64" s="21"/>
      <c r="OZS64" s="21"/>
      <c r="OZT64" s="21"/>
      <c r="OZU64" s="21"/>
      <c r="OZV64" s="21"/>
      <c r="OZW64" s="21"/>
      <c r="OZX64" s="21"/>
      <c r="OZY64" s="21"/>
      <c r="OZZ64" s="21"/>
      <c r="PAA64" s="21"/>
      <c r="PAB64" s="21"/>
      <c r="PAC64" s="21"/>
      <c r="PAD64" s="21"/>
      <c r="PAE64" s="21"/>
      <c r="PAF64" s="21"/>
      <c r="PAG64" s="21"/>
      <c r="PAH64" s="21"/>
      <c r="PAI64" s="21"/>
      <c r="PAJ64" s="21"/>
      <c r="PAK64" s="21"/>
      <c r="PAL64" s="21"/>
      <c r="PAM64" s="21"/>
      <c r="PAN64" s="21"/>
      <c r="PAO64" s="21"/>
      <c r="PAP64" s="21"/>
      <c r="PAQ64" s="21"/>
      <c r="PAR64" s="21"/>
      <c r="PAS64" s="21"/>
      <c r="PAT64" s="21"/>
      <c r="PAU64" s="21"/>
      <c r="PAV64" s="21"/>
      <c r="PAW64" s="21"/>
      <c r="PAX64" s="21"/>
      <c r="PAY64" s="21"/>
      <c r="PAZ64" s="21"/>
      <c r="PBA64" s="21"/>
      <c r="PBB64" s="21"/>
      <c r="PBC64" s="21"/>
      <c r="PBD64" s="21"/>
      <c r="PBE64" s="21"/>
      <c r="PBF64" s="21"/>
      <c r="PBG64" s="21"/>
      <c r="PBH64" s="21"/>
      <c r="PBI64" s="21"/>
      <c r="PBJ64" s="21"/>
      <c r="PBK64" s="21"/>
      <c r="PBL64" s="21"/>
      <c r="PBM64" s="21"/>
      <c r="PBN64" s="21"/>
      <c r="PBO64" s="21"/>
      <c r="PBP64" s="21"/>
      <c r="PBQ64" s="21"/>
      <c r="PBR64" s="21"/>
      <c r="PBS64" s="21"/>
      <c r="PBT64" s="21"/>
      <c r="PBU64" s="21"/>
      <c r="PBV64" s="21"/>
      <c r="PBW64" s="21"/>
      <c r="PBX64" s="21"/>
      <c r="PBY64" s="21"/>
      <c r="PBZ64" s="21"/>
      <c r="PCA64" s="21"/>
      <c r="PCB64" s="21"/>
      <c r="PCC64" s="21"/>
      <c r="PCD64" s="21"/>
      <c r="PCE64" s="21"/>
      <c r="PCF64" s="21"/>
      <c r="PCG64" s="21"/>
      <c r="PCH64" s="21"/>
      <c r="PCI64" s="21"/>
      <c r="PCJ64" s="21"/>
      <c r="PCK64" s="21"/>
      <c r="PCL64" s="21"/>
      <c r="PCM64" s="21"/>
      <c r="PCN64" s="21"/>
      <c r="PCO64" s="21"/>
      <c r="PCP64" s="21"/>
      <c r="PCQ64" s="21"/>
      <c r="PCR64" s="21"/>
      <c r="PCS64" s="21"/>
      <c r="PCT64" s="21"/>
      <c r="PCU64" s="21"/>
      <c r="PCV64" s="21"/>
      <c r="PCW64" s="21"/>
      <c r="PCX64" s="21"/>
      <c r="PCY64" s="21"/>
      <c r="PCZ64" s="21"/>
      <c r="PDA64" s="21"/>
      <c r="PDB64" s="21"/>
      <c r="PDC64" s="21"/>
      <c r="PDD64" s="21"/>
      <c r="PDE64" s="21"/>
      <c r="PDF64" s="21"/>
      <c r="PDG64" s="21"/>
      <c r="PDH64" s="21"/>
      <c r="PDI64" s="21"/>
      <c r="PDJ64" s="21"/>
      <c r="PDK64" s="21"/>
      <c r="PDL64" s="21"/>
      <c r="PDM64" s="21"/>
      <c r="PDN64" s="21"/>
      <c r="PDO64" s="21"/>
      <c r="PDP64" s="21"/>
      <c r="PDQ64" s="21"/>
      <c r="PDR64" s="21"/>
      <c r="PDS64" s="21"/>
      <c r="PDT64" s="21"/>
      <c r="PDU64" s="21"/>
      <c r="PDV64" s="21"/>
      <c r="PDW64" s="21"/>
      <c r="PDX64" s="21"/>
      <c r="PDY64" s="21"/>
      <c r="PDZ64" s="21"/>
      <c r="PEA64" s="21"/>
      <c r="PEB64" s="21"/>
      <c r="PEC64" s="21"/>
      <c r="PED64" s="21"/>
      <c r="PEE64" s="21"/>
      <c r="PEF64" s="21"/>
      <c r="PEG64" s="21"/>
      <c r="PEH64" s="21"/>
      <c r="PEI64" s="21"/>
      <c r="PEJ64" s="21"/>
      <c r="PEK64" s="21"/>
      <c r="PEL64" s="21"/>
      <c r="PEM64" s="21"/>
      <c r="PEN64" s="21"/>
      <c r="PEO64" s="21"/>
      <c r="PEP64" s="21"/>
      <c r="PEQ64" s="21"/>
      <c r="PER64" s="21"/>
      <c r="PES64" s="21"/>
      <c r="PET64" s="21"/>
      <c r="PEU64" s="21"/>
      <c r="PEV64" s="21"/>
      <c r="PEW64" s="21"/>
      <c r="PEX64" s="21"/>
      <c r="PEY64" s="21"/>
      <c r="PEZ64" s="21"/>
      <c r="PFA64" s="21"/>
      <c r="PFB64" s="21"/>
      <c r="PFC64" s="21"/>
      <c r="PFD64" s="21"/>
      <c r="PFE64" s="21"/>
      <c r="PFF64" s="21"/>
      <c r="PFG64" s="21"/>
      <c r="PFH64" s="21"/>
      <c r="PFI64" s="21"/>
      <c r="PFJ64" s="21"/>
      <c r="PFK64" s="21"/>
      <c r="PFL64" s="21"/>
      <c r="PFM64" s="21"/>
      <c r="PFN64" s="21"/>
      <c r="PFO64" s="21"/>
      <c r="PFP64" s="21"/>
      <c r="PFQ64" s="21"/>
      <c r="PFR64" s="21"/>
      <c r="PFS64" s="21"/>
      <c r="PFT64" s="21"/>
      <c r="PFU64" s="21"/>
      <c r="PFV64" s="21"/>
      <c r="PFW64" s="21"/>
      <c r="PFX64" s="21"/>
      <c r="PFY64" s="21"/>
      <c r="PFZ64" s="21"/>
      <c r="PGA64" s="21"/>
      <c r="PGB64" s="21"/>
      <c r="PGC64" s="21"/>
      <c r="PGD64" s="21"/>
      <c r="PGE64" s="21"/>
      <c r="PGF64" s="21"/>
      <c r="PGG64" s="21"/>
      <c r="PGH64" s="21"/>
      <c r="PGI64" s="21"/>
      <c r="PGJ64" s="21"/>
      <c r="PGK64" s="21"/>
      <c r="PGL64" s="21"/>
      <c r="PGM64" s="21"/>
      <c r="PGN64" s="21"/>
      <c r="PGO64" s="21"/>
      <c r="PGP64" s="21"/>
      <c r="PGQ64" s="21"/>
      <c r="PGR64" s="21"/>
      <c r="PGS64" s="21"/>
      <c r="PGT64" s="21"/>
      <c r="PGU64" s="21"/>
      <c r="PGV64" s="21"/>
      <c r="PGW64" s="21"/>
      <c r="PGX64" s="21"/>
      <c r="PGY64" s="21"/>
      <c r="PGZ64" s="21"/>
      <c r="PHA64" s="21"/>
      <c r="PHB64" s="21"/>
      <c r="PHC64" s="21"/>
      <c r="PHD64" s="21"/>
      <c r="PHE64" s="21"/>
      <c r="PHF64" s="21"/>
      <c r="PHG64" s="21"/>
      <c r="PHH64" s="21"/>
      <c r="PHI64" s="21"/>
      <c r="PHJ64" s="21"/>
      <c r="PHK64" s="21"/>
      <c r="PHL64" s="21"/>
      <c r="PHM64" s="21"/>
      <c r="PHN64" s="21"/>
      <c r="PHO64" s="21"/>
      <c r="PHP64" s="21"/>
      <c r="PHQ64" s="21"/>
      <c r="PHR64" s="21"/>
      <c r="PHS64" s="21"/>
      <c r="PHT64" s="21"/>
      <c r="PHU64" s="21"/>
      <c r="PHV64" s="21"/>
      <c r="PHW64" s="21"/>
      <c r="PHX64" s="21"/>
      <c r="PHY64" s="21"/>
      <c r="PHZ64" s="21"/>
      <c r="PIA64" s="21"/>
      <c r="PIB64" s="21"/>
      <c r="PIC64" s="21"/>
      <c r="PID64" s="21"/>
      <c r="PIE64" s="21"/>
      <c r="PIF64" s="21"/>
      <c r="PIG64" s="21"/>
      <c r="PIH64" s="21"/>
      <c r="PII64" s="21"/>
      <c r="PIJ64" s="21"/>
      <c r="PIK64" s="21"/>
      <c r="PIL64" s="21"/>
      <c r="PIM64" s="21"/>
      <c r="PIN64" s="21"/>
      <c r="PIO64" s="21"/>
      <c r="PIP64" s="21"/>
      <c r="PIQ64" s="21"/>
      <c r="PIR64" s="21"/>
      <c r="PIS64" s="21"/>
      <c r="PIT64" s="21"/>
      <c r="PIU64" s="21"/>
      <c r="PIV64" s="21"/>
      <c r="PIW64" s="21"/>
      <c r="PIX64" s="21"/>
      <c r="PIY64" s="21"/>
      <c r="PIZ64" s="21"/>
      <c r="PJA64" s="21"/>
      <c r="PJB64" s="21"/>
      <c r="PJC64" s="21"/>
      <c r="PJD64" s="21"/>
      <c r="PJE64" s="21"/>
      <c r="PJF64" s="21"/>
      <c r="PJG64" s="21"/>
      <c r="PJH64" s="21"/>
      <c r="PJI64" s="21"/>
      <c r="PJJ64" s="21"/>
      <c r="PJK64" s="21"/>
      <c r="PJL64" s="21"/>
      <c r="PJM64" s="21"/>
      <c r="PJN64" s="21"/>
      <c r="PJO64" s="21"/>
      <c r="PJP64" s="21"/>
      <c r="PJQ64" s="21"/>
      <c r="PJR64" s="21"/>
      <c r="PJS64" s="21"/>
      <c r="PJT64" s="21"/>
      <c r="PJU64" s="21"/>
      <c r="PJV64" s="21"/>
      <c r="PJW64" s="21"/>
      <c r="PJX64" s="21"/>
      <c r="PJY64" s="21"/>
      <c r="PJZ64" s="21"/>
      <c r="PKA64" s="21"/>
      <c r="PKB64" s="21"/>
      <c r="PKC64" s="21"/>
      <c r="PKD64" s="21"/>
      <c r="PKE64" s="21"/>
      <c r="PKF64" s="21"/>
      <c r="PKG64" s="21"/>
      <c r="PKH64" s="21"/>
      <c r="PKI64" s="21"/>
      <c r="PKJ64" s="21"/>
      <c r="PKK64" s="21"/>
      <c r="PKL64" s="21"/>
      <c r="PKM64" s="21"/>
      <c r="PKN64" s="21"/>
      <c r="PKO64" s="21"/>
      <c r="PKP64" s="21"/>
      <c r="PKQ64" s="21"/>
      <c r="PKR64" s="21"/>
      <c r="PKS64" s="21"/>
      <c r="PKT64" s="21"/>
      <c r="PKU64" s="21"/>
      <c r="PKV64" s="21"/>
      <c r="PKW64" s="21"/>
      <c r="PKX64" s="21"/>
      <c r="PKY64" s="21"/>
      <c r="PKZ64" s="21"/>
      <c r="PLA64" s="21"/>
      <c r="PLB64" s="21"/>
      <c r="PLC64" s="21"/>
      <c r="PLD64" s="21"/>
      <c r="PLE64" s="21"/>
      <c r="PLF64" s="21"/>
      <c r="PLG64" s="21"/>
      <c r="PLH64" s="21"/>
      <c r="PLI64" s="21"/>
      <c r="PLJ64" s="21"/>
      <c r="PLK64" s="21"/>
      <c r="PLL64" s="21"/>
      <c r="PLM64" s="21"/>
      <c r="PLN64" s="21"/>
      <c r="PLO64" s="21"/>
      <c r="PLP64" s="21"/>
      <c r="PLQ64" s="21"/>
      <c r="PLR64" s="21"/>
      <c r="PLS64" s="21"/>
      <c r="PLT64" s="21"/>
      <c r="PLU64" s="21"/>
      <c r="PLV64" s="21"/>
      <c r="PLW64" s="21"/>
      <c r="PLX64" s="21"/>
      <c r="PLY64" s="21"/>
      <c r="PLZ64" s="21"/>
      <c r="PMA64" s="21"/>
      <c r="PMB64" s="21"/>
      <c r="PMC64" s="21"/>
      <c r="PMD64" s="21"/>
      <c r="PME64" s="21"/>
      <c r="PMF64" s="21"/>
      <c r="PMG64" s="21"/>
      <c r="PMH64" s="21"/>
      <c r="PMI64" s="21"/>
      <c r="PMJ64" s="21"/>
      <c r="PMK64" s="21"/>
      <c r="PML64" s="21"/>
      <c r="PMM64" s="21"/>
      <c r="PMN64" s="21"/>
      <c r="PMO64" s="21"/>
      <c r="PMP64" s="21"/>
      <c r="PMQ64" s="21"/>
      <c r="PMR64" s="21"/>
      <c r="PMS64" s="21"/>
      <c r="PMT64" s="21"/>
      <c r="PMU64" s="21"/>
      <c r="PMV64" s="21"/>
      <c r="PMW64" s="21"/>
      <c r="PMX64" s="21"/>
      <c r="PMY64" s="21"/>
      <c r="PMZ64" s="21"/>
      <c r="PNA64" s="21"/>
      <c r="PNB64" s="21"/>
      <c r="PNC64" s="21"/>
      <c r="PND64" s="21"/>
      <c r="PNE64" s="21"/>
      <c r="PNF64" s="21"/>
      <c r="PNG64" s="21"/>
      <c r="PNH64" s="21"/>
      <c r="PNI64" s="21"/>
      <c r="PNJ64" s="21"/>
      <c r="PNK64" s="21"/>
      <c r="PNL64" s="21"/>
      <c r="PNM64" s="21"/>
      <c r="PNN64" s="21"/>
      <c r="PNO64" s="21"/>
      <c r="PNP64" s="21"/>
      <c r="PNQ64" s="21"/>
      <c r="PNR64" s="21"/>
      <c r="PNS64" s="21"/>
      <c r="PNT64" s="21"/>
      <c r="PNU64" s="21"/>
      <c r="PNV64" s="21"/>
      <c r="PNW64" s="21"/>
      <c r="PNX64" s="21"/>
      <c r="PNY64" s="21"/>
      <c r="PNZ64" s="21"/>
      <c r="POA64" s="21"/>
      <c r="POB64" s="21"/>
      <c r="POC64" s="21"/>
      <c r="POD64" s="21"/>
      <c r="POE64" s="21"/>
      <c r="POF64" s="21"/>
      <c r="POG64" s="21"/>
      <c r="POH64" s="21"/>
      <c r="POI64" s="21"/>
      <c r="POJ64" s="21"/>
      <c r="POK64" s="21"/>
      <c r="POL64" s="21"/>
      <c r="POM64" s="21"/>
      <c r="PON64" s="21"/>
      <c r="POO64" s="21"/>
      <c r="POP64" s="21"/>
      <c r="POQ64" s="21"/>
      <c r="POR64" s="21"/>
      <c r="POS64" s="21"/>
      <c r="POT64" s="21"/>
      <c r="POU64" s="21"/>
      <c r="POV64" s="21"/>
      <c r="POW64" s="21"/>
      <c r="POX64" s="21"/>
      <c r="POY64" s="21"/>
      <c r="POZ64" s="21"/>
      <c r="PPA64" s="21"/>
      <c r="PPB64" s="21"/>
      <c r="PPC64" s="21"/>
      <c r="PPD64" s="21"/>
      <c r="PPE64" s="21"/>
      <c r="PPF64" s="21"/>
      <c r="PPG64" s="21"/>
      <c r="PPH64" s="21"/>
      <c r="PPI64" s="21"/>
      <c r="PPJ64" s="21"/>
      <c r="PPK64" s="21"/>
      <c r="PPL64" s="21"/>
      <c r="PPM64" s="21"/>
      <c r="PPN64" s="21"/>
      <c r="PPO64" s="21"/>
      <c r="PPP64" s="21"/>
      <c r="PPQ64" s="21"/>
      <c r="PPR64" s="21"/>
      <c r="PPS64" s="21"/>
      <c r="PPT64" s="21"/>
      <c r="PPU64" s="21"/>
      <c r="PPV64" s="21"/>
      <c r="PPW64" s="21"/>
      <c r="PPX64" s="21"/>
      <c r="PPY64" s="21"/>
      <c r="PPZ64" s="21"/>
      <c r="PQA64" s="21"/>
      <c r="PQB64" s="21"/>
      <c r="PQC64" s="21"/>
      <c r="PQD64" s="21"/>
      <c r="PQE64" s="21"/>
      <c r="PQF64" s="21"/>
      <c r="PQG64" s="21"/>
      <c r="PQH64" s="21"/>
      <c r="PQI64" s="21"/>
      <c r="PQJ64" s="21"/>
      <c r="PQK64" s="21"/>
      <c r="PQL64" s="21"/>
      <c r="PQM64" s="21"/>
      <c r="PQN64" s="21"/>
      <c r="PQO64" s="21"/>
      <c r="PQP64" s="21"/>
      <c r="PQQ64" s="21"/>
      <c r="PQR64" s="21"/>
      <c r="PQS64" s="21"/>
      <c r="PQT64" s="21"/>
      <c r="PQU64" s="21"/>
      <c r="PQV64" s="21"/>
      <c r="PQW64" s="21"/>
      <c r="PQX64" s="21"/>
      <c r="PQY64" s="21"/>
      <c r="PQZ64" s="21"/>
      <c r="PRA64" s="21"/>
      <c r="PRB64" s="21"/>
      <c r="PRC64" s="21"/>
      <c r="PRD64" s="21"/>
      <c r="PRE64" s="21"/>
      <c r="PRF64" s="21"/>
      <c r="PRG64" s="21"/>
      <c r="PRH64" s="21"/>
      <c r="PRI64" s="21"/>
      <c r="PRJ64" s="21"/>
      <c r="PRK64" s="21"/>
      <c r="PRL64" s="21"/>
      <c r="PRM64" s="21"/>
      <c r="PRN64" s="21"/>
      <c r="PRO64" s="21"/>
      <c r="PRP64" s="21"/>
      <c r="PRQ64" s="21"/>
      <c r="PRR64" s="21"/>
      <c r="PRS64" s="21"/>
      <c r="PRT64" s="21"/>
      <c r="PRU64" s="21"/>
      <c r="PRV64" s="21"/>
      <c r="PRW64" s="21"/>
      <c r="PRX64" s="21"/>
      <c r="PRY64" s="21"/>
      <c r="PRZ64" s="21"/>
      <c r="PSA64" s="21"/>
      <c r="PSB64" s="21"/>
      <c r="PSC64" s="21"/>
      <c r="PSD64" s="21"/>
      <c r="PSE64" s="21"/>
      <c r="PSF64" s="21"/>
      <c r="PSG64" s="21"/>
      <c r="PSH64" s="21"/>
      <c r="PSI64" s="21"/>
      <c r="PSJ64" s="21"/>
      <c r="PSK64" s="21"/>
      <c r="PSL64" s="21"/>
      <c r="PSM64" s="21"/>
      <c r="PSN64" s="21"/>
      <c r="PSO64" s="21"/>
      <c r="PSP64" s="21"/>
      <c r="PSQ64" s="21"/>
      <c r="PSR64" s="21"/>
      <c r="PSS64" s="21"/>
      <c r="PST64" s="21"/>
      <c r="PSU64" s="21"/>
      <c r="PSV64" s="21"/>
      <c r="PSW64" s="21"/>
      <c r="PSX64" s="21"/>
      <c r="PSY64" s="21"/>
      <c r="PSZ64" s="21"/>
      <c r="PTA64" s="21"/>
      <c r="PTB64" s="21"/>
      <c r="PTC64" s="21"/>
      <c r="PTD64" s="21"/>
      <c r="PTE64" s="21"/>
      <c r="PTF64" s="21"/>
      <c r="PTG64" s="21"/>
      <c r="PTH64" s="21"/>
      <c r="PTI64" s="21"/>
      <c r="PTJ64" s="21"/>
      <c r="PTK64" s="21"/>
      <c r="PTL64" s="21"/>
      <c r="PTM64" s="21"/>
      <c r="PTN64" s="21"/>
      <c r="PTO64" s="21"/>
      <c r="PTP64" s="21"/>
      <c r="PTQ64" s="21"/>
      <c r="PTR64" s="21"/>
      <c r="PTS64" s="21"/>
      <c r="PTT64" s="21"/>
      <c r="PTU64" s="21"/>
      <c r="PTV64" s="21"/>
      <c r="PTW64" s="21"/>
      <c r="PTX64" s="21"/>
      <c r="PTY64" s="21"/>
      <c r="PTZ64" s="21"/>
      <c r="PUA64" s="21"/>
      <c r="PUB64" s="21"/>
      <c r="PUC64" s="21"/>
      <c r="PUD64" s="21"/>
      <c r="PUE64" s="21"/>
      <c r="PUF64" s="21"/>
      <c r="PUG64" s="21"/>
      <c r="PUH64" s="21"/>
      <c r="PUI64" s="21"/>
      <c r="PUJ64" s="21"/>
      <c r="PUK64" s="21"/>
      <c r="PUL64" s="21"/>
      <c r="PUM64" s="21"/>
      <c r="PUN64" s="21"/>
      <c r="PUO64" s="21"/>
      <c r="PUP64" s="21"/>
      <c r="PUQ64" s="21"/>
      <c r="PUR64" s="21"/>
      <c r="PUS64" s="21"/>
      <c r="PUT64" s="21"/>
      <c r="PUU64" s="21"/>
      <c r="PUV64" s="21"/>
      <c r="PUW64" s="21"/>
      <c r="PUX64" s="21"/>
      <c r="PUY64" s="21"/>
      <c r="PUZ64" s="21"/>
      <c r="PVA64" s="21"/>
      <c r="PVB64" s="21"/>
      <c r="PVC64" s="21"/>
      <c r="PVD64" s="21"/>
      <c r="PVE64" s="21"/>
      <c r="PVF64" s="21"/>
      <c r="PVG64" s="21"/>
      <c r="PVH64" s="21"/>
      <c r="PVI64" s="21"/>
      <c r="PVJ64" s="21"/>
      <c r="PVK64" s="21"/>
      <c r="PVL64" s="21"/>
      <c r="PVM64" s="21"/>
      <c r="PVN64" s="21"/>
      <c r="PVO64" s="21"/>
      <c r="PVP64" s="21"/>
      <c r="PVQ64" s="21"/>
      <c r="PVR64" s="21"/>
      <c r="PVS64" s="21"/>
      <c r="PVT64" s="21"/>
      <c r="PVU64" s="21"/>
      <c r="PVV64" s="21"/>
      <c r="PVW64" s="21"/>
      <c r="PVX64" s="21"/>
      <c r="PVY64" s="21"/>
      <c r="PVZ64" s="21"/>
      <c r="PWA64" s="21"/>
      <c r="PWB64" s="21"/>
      <c r="PWC64" s="21"/>
      <c r="PWD64" s="21"/>
      <c r="PWE64" s="21"/>
      <c r="PWF64" s="21"/>
      <c r="PWG64" s="21"/>
      <c r="PWH64" s="21"/>
      <c r="PWI64" s="21"/>
      <c r="PWJ64" s="21"/>
      <c r="PWK64" s="21"/>
      <c r="PWL64" s="21"/>
      <c r="PWM64" s="21"/>
      <c r="PWN64" s="21"/>
      <c r="PWO64" s="21"/>
      <c r="PWP64" s="21"/>
      <c r="PWQ64" s="21"/>
      <c r="PWR64" s="21"/>
      <c r="PWS64" s="21"/>
      <c r="PWT64" s="21"/>
      <c r="PWU64" s="21"/>
      <c r="PWV64" s="21"/>
      <c r="PWW64" s="21"/>
      <c r="PWX64" s="21"/>
      <c r="PWY64" s="21"/>
      <c r="PWZ64" s="21"/>
      <c r="PXA64" s="21"/>
      <c r="PXB64" s="21"/>
      <c r="PXC64" s="21"/>
      <c r="PXD64" s="21"/>
      <c r="PXE64" s="21"/>
      <c r="PXF64" s="21"/>
      <c r="PXG64" s="21"/>
      <c r="PXH64" s="21"/>
      <c r="PXI64" s="21"/>
      <c r="PXJ64" s="21"/>
      <c r="PXK64" s="21"/>
      <c r="PXL64" s="21"/>
      <c r="PXM64" s="21"/>
      <c r="PXN64" s="21"/>
      <c r="PXO64" s="21"/>
      <c r="PXP64" s="21"/>
      <c r="PXQ64" s="21"/>
      <c r="PXR64" s="21"/>
      <c r="PXS64" s="21"/>
      <c r="PXT64" s="21"/>
      <c r="PXU64" s="21"/>
      <c r="PXV64" s="21"/>
      <c r="PXW64" s="21"/>
      <c r="PXX64" s="21"/>
      <c r="PXY64" s="21"/>
      <c r="PXZ64" s="21"/>
      <c r="PYA64" s="21"/>
      <c r="PYB64" s="21"/>
      <c r="PYC64" s="21"/>
      <c r="PYD64" s="21"/>
      <c r="PYE64" s="21"/>
      <c r="PYF64" s="21"/>
      <c r="PYG64" s="21"/>
      <c r="PYH64" s="21"/>
      <c r="PYI64" s="21"/>
      <c r="PYJ64" s="21"/>
      <c r="PYK64" s="21"/>
      <c r="PYL64" s="21"/>
      <c r="PYM64" s="21"/>
      <c r="PYN64" s="21"/>
      <c r="PYO64" s="21"/>
      <c r="PYP64" s="21"/>
      <c r="PYQ64" s="21"/>
      <c r="PYR64" s="21"/>
      <c r="PYS64" s="21"/>
      <c r="PYT64" s="21"/>
      <c r="PYU64" s="21"/>
      <c r="PYV64" s="21"/>
      <c r="PYW64" s="21"/>
      <c r="PYX64" s="21"/>
      <c r="PYY64" s="21"/>
      <c r="PYZ64" s="21"/>
      <c r="PZA64" s="21"/>
      <c r="PZB64" s="21"/>
      <c r="PZC64" s="21"/>
      <c r="PZD64" s="21"/>
      <c r="PZE64" s="21"/>
      <c r="PZF64" s="21"/>
      <c r="PZG64" s="21"/>
      <c r="PZH64" s="21"/>
      <c r="PZI64" s="21"/>
      <c r="PZJ64" s="21"/>
      <c r="PZK64" s="21"/>
      <c r="PZL64" s="21"/>
      <c r="PZM64" s="21"/>
      <c r="PZN64" s="21"/>
      <c r="PZO64" s="21"/>
      <c r="PZP64" s="21"/>
      <c r="PZQ64" s="21"/>
      <c r="PZR64" s="21"/>
      <c r="PZS64" s="21"/>
      <c r="PZT64" s="21"/>
      <c r="PZU64" s="21"/>
      <c r="PZV64" s="21"/>
      <c r="PZW64" s="21"/>
      <c r="PZX64" s="21"/>
      <c r="PZY64" s="21"/>
      <c r="PZZ64" s="21"/>
      <c r="QAA64" s="21"/>
      <c r="QAB64" s="21"/>
      <c r="QAC64" s="21"/>
      <c r="QAD64" s="21"/>
      <c r="QAE64" s="21"/>
      <c r="QAF64" s="21"/>
      <c r="QAG64" s="21"/>
      <c r="QAH64" s="21"/>
      <c r="QAI64" s="21"/>
      <c r="QAJ64" s="21"/>
      <c r="QAK64" s="21"/>
      <c r="QAL64" s="21"/>
      <c r="QAM64" s="21"/>
      <c r="QAN64" s="21"/>
      <c r="QAO64" s="21"/>
      <c r="QAP64" s="21"/>
      <c r="QAQ64" s="21"/>
      <c r="QAR64" s="21"/>
      <c r="QAS64" s="21"/>
      <c r="QAT64" s="21"/>
      <c r="QAU64" s="21"/>
      <c r="QAV64" s="21"/>
      <c r="QAW64" s="21"/>
      <c r="QAX64" s="21"/>
      <c r="QAY64" s="21"/>
      <c r="QAZ64" s="21"/>
      <c r="QBA64" s="21"/>
      <c r="QBB64" s="21"/>
      <c r="QBC64" s="21"/>
      <c r="QBD64" s="21"/>
      <c r="QBE64" s="21"/>
      <c r="QBF64" s="21"/>
      <c r="QBG64" s="21"/>
      <c r="QBH64" s="21"/>
      <c r="QBI64" s="21"/>
      <c r="QBJ64" s="21"/>
      <c r="QBK64" s="21"/>
      <c r="QBL64" s="21"/>
      <c r="QBM64" s="21"/>
      <c r="QBN64" s="21"/>
      <c r="QBO64" s="21"/>
      <c r="QBP64" s="21"/>
      <c r="QBQ64" s="21"/>
      <c r="QBR64" s="21"/>
      <c r="QBS64" s="21"/>
      <c r="QBT64" s="21"/>
      <c r="QBU64" s="21"/>
      <c r="QBV64" s="21"/>
      <c r="QBW64" s="21"/>
      <c r="QBX64" s="21"/>
      <c r="QBY64" s="21"/>
      <c r="QBZ64" s="21"/>
      <c r="QCA64" s="21"/>
      <c r="QCB64" s="21"/>
      <c r="QCC64" s="21"/>
      <c r="QCD64" s="21"/>
      <c r="QCE64" s="21"/>
      <c r="QCF64" s="21"/>
      <c r="QCG64" s="21"/>
      <c r="QCH64" s="21"/>
      <c r="QCI64" s="21"/>
      <c r="QCJ64" s="21"/>
      <c r="QCK64" s="21"/>
      <c r="QCL64" s="21"/>
      <c r="QCM64" s="21"/>
      <c r="QCN64" s="21"/>
      <c r="QCO64" s="21"/>
      <c r="QCP64" s="21"/>
      <c r="QCQ64" s="21"/>
      <c r="QCR64" s="21"/>
      <c r="QCS64" s="21"/>
      <c r="QCT64" s="21"/>
      <c r="QCU64" s="21"/>
      <c r="QCV64" s="21"/>
      <c r="QCW64" s="21"/>
      <c r="QCX64" s="21"/>
      <c r="QCY64" s="21"/>
      <c r="QCZ64" s="21"/>
      <c r="QDA64" s="21"/>
      <c r="QDB64" s="21"/>
      <c r="QDC64" s="21"/>
      <c r="QDD64" s="21"/>
      <c r="QDE64" s="21"/>
      <c r="QDF64" s="21"/>
      <c r="QDG64" s="21"/>
      <c r="QDH64" s="21"/>
      <c r="QDI64" s="21"/>
      <c r="QDJ64" s="21"/>
      <c r="QDK64" s="21"/>
      <c r="QDL64" s="21"/>
      <c r="QDM64" s="21"/>
      <c r="QDN64" s="21"/>
      <c r="QDO64" s="21"/>
      <c r="QDP64" s="21"/>
      <c r="QDQ64" s="21"/>
      <c r="QDR64" s="21"/>
      <c r="QDS64" s="21"/>
      <c r="QDT64" s="21"/>
      <c r="QDU64" s="21"/>
      <c r="QDV64" s="21"/>
      <c r="QDW64" s="21"/>
      <c r="QDX64" s="21"/>
      <c r="QDY64" s="21"/>
      <c r="QDZ64" s="21"/>
      <c r="QEA64" s="21"/>
      <c r="QEB64" s="21"/>
      <c r="QEC64" s="21"/>
      <c r="QED64" s="21"/>
      <c r="QEE64" s="21"/>
      <c r="QEF64" s="21"/>
      <c r="QEG64" s="21"/>
      <c r="QEH64" s="21"/>
      <c r="QEI64" s="21"/>
      <c r="QEJ64" s="21"/>
      <c r="QEK64" s="21"/>
      <c r="QEL64" s="21"/>
      <c r="QEM64" s="21"/>
      <c r="QEN64" s="21"/>
      <c r="QEO64" s="21"/>
      <c r="QEP64" s="21"/>
      <c r="QEQ64" s="21"/>
      <c r="QER64" s="21"/>
      <c r="QES64" s="21"/>
      <c r="QET64" s="21"/>
      <c r="QEU64" s="21"/>
      <c r="QEV64" s="21"/>
      <c r="QEW64" s="21"/>
      <c r="QEX64" s="21"/>
      <c r="QEY64" s="21"/>
      <c r="QEZ64" s="21"/>
      <c r="QFA64" s="21"/>
      <c r="QFB64" s="21"/>
      <c r="QFC64" s="21"/>
      <c r="QFD64" s="21"/>
      <c r="QFE64" s="21"/>
      <c r="QFF64" s="21"/>
      <c r="QFG64" s="21"/>
      <c r="QFH64" s="21"/>
      <c r="QFI64" s="21"/>
      <c r="QFJ64" s="21"/>
      <c r="QFK64" s="21"/>
      <c r="QFL64" s="21"/>
      <c r="QFM64" s="21"/>
      <c r="QFN64" s="21"/>
      <c r="QFO64" s="21"/>
      <c r="QFP64" s="21"/>
      <c r="QFQ64" s="21"/>
      <c r="QFR64" s="21"/>
      <c r="QFS64" s="21"/>
      <c r="QFT64" s="21"/>
      <c r="QFU64" s="21"/>
      <c r="QFV64" s="21"/>
      <c r="QFW64" s="21"/>
      <c r="QFX64" s="21"/>
      <c r="QFY64" s="21"/>
      <c r="QFZ64" s="21"/>
      <c r="QGA64" s="21"/>
      <c r="QGB64" s="21"/>
      <c r="QGC64" s="21"/>
      <c r="QGD64" s="21"/>
      <c r="QGE64" s="21"/>
      <c r="QGF64" s="21"/>
      <c r="QGG64" s="21"/>
      <c r="QGH64" s="21"/>
      <c r="QGI64" s="21"/>
      <c r="QGJ64" s="21"/>
      <c r="QGK64" s="21"/>
      <c r="QGL64" s="21"/>
      <c r="QGM64" s="21"/>
      <c r="QGN64" s="21"/>
      <c r="QGO64" s="21"/>
      <c r="QGP64" s="21"/>
      <c r="QGQ64" s="21"/>
      <c r="QGR64" s="21"/>
      <c r="QGS64" s="21"/>
      <c r="QGT64" s="21"/>
      <c r="QGU64" s="21"/>
      <c r="QGV64" s="21"/>
      <c r="QGW64" s="21"/>
      <c r="QGX64" s="21"/>
      <c r="QGY64" s="21"/>
      <c r="QGZ64" s="21"/>
      <c r="QHA64" s="21"/>
      <c r="QHB64" s="21"/>
      <c r="QHC64" s="21"/>
      <c r="QHD64" s="21"/>
      <c r="QHE64" s="21"/>
      <c r="QHF64" s="21"/>
      <c r="QHG64" s="21"/>
      <c r="QHH64" s="21"/>
      <c r="QHI64" s="21"/>
      <c r="QHJ64" s="21"/>
      <c r="QHK64" s="21"/>
      <c r="QHL64" s="21"/>
      <c r="QHM64" s="21"/>
      <c r="QHN64" s="21"/>
      <c r="QHO64" s="21"/>
      <c r="QHP64" s="21"/>
      <c r="QHQ64" s="21"/>
      <c r="QHR64" s="21"/>
      <c r="QHS64" s="21"/>
      <c r="QHT64" s="21"/>
      <c r="QHU64" s="21"/>
      <c r="QHV64" s="21"/>
      <c r="QHW64" s="21"/>
      <c r="QHX64" s="21"/>
      <c r="QHY64" s="21"/>
      <c r="QHZ64" s="21"/>
      <c r="QIA64" s="21"/>
      <c r="QIB64" s="21"/>
      <c r="QIC64" s="21"/>
      <c r="QID64" s="21"/>
      <c r="QIE64" s="21"/>
      <c r="QIF64" s="21"/>
      <c r="QIG64" s="21"/>
      <c r="QIH64" s="21"/>
      <c r="QII64" s="21"/>
      <c r="QIJ64" s="21"/>
      <c r="QIK64" s="21"/>
      <c r="QIL64" s="21"/>
      <c r="QIM64" s="21"/>
      <c r="QIN64" s="21"/>
      <c r="QIO64" s="21"/>
      <c r="QIP64" s="21"/>
      <c r="QIQ64" s="21"/>
      <c r="QIR64" s="21"/>
      <c r="QIS64" s="21"/>
      <c r="QIT64" s="21"/>
      <c r="QIU64" s="21"/>
      <c r="QIV64" s="21"/>
      <c r="QIW64" s="21"/>
      <c r="QIX64" s="21"/>
      <c r="QIY64" s="21"/>
      <c r="QIZ64" s="21"/>
      <c r="QJA64" s="21"/>
      <c r="QJB64" s="21"/>
      <c r="QJC64" s="21"/>
      <c r="QJD64" s="21"/>
      <c r="QJE64" s="21"/>
      <c r="QJF64" s="21"/>
      <c r="QJG64" s="21"/>
      <c r="QJH64" s="21"/>
      <c r="QJI64" s="21"/>
      <c r="QJJ64" s="21"/>
      <c r="QJK64" s="21"/>
      <c r="QJL64" s="21"/>
      <c r="QJM64" s="21"/>
      <c r="QJN64" s="21"/>
      <c r="QJO64" s="21"/>
      <c r="QJP64" s="21"/>
      <c r="QJQ64" s="21"/>
      <c r="QJR64" s="21"/>
      <c r="QJS64" s="21"/>
      <c r="QJT64" s="21"/>
      <c r="QJU64" s="21"/>
      <c r="QJV64" s="21"/>
      <c r="QJW64" s="21"/>
      <c r="QJX64" s="21"/>
      <c r="QJY64" s="21"/>
      <c r="QJZ64" s="21"/>
      <c r="QKA64" s="21"/>
      <c r="QKB64" s="21"/>
      <c r="QKC64" s="21"/>
      <c r="QKD64" s="21"/>
      <c r="QKE64" s="21"/>
      <c r="QKF64" s="21"/>
      <c r="QKG64" s="21"/>
      <c r="QKH64" s="21"/>
      <c r="QKI64" s="21"/>
      <c r="QKJ64" s="21"/>
      <c r="QKK64" s="21"/>
      <c r="QKL64" s="21"/>
      <c r="QKM64" s="21"/>
      <c r="QKN64" s="21"/>
      <c r="QKO64" s="21"/>
      <c r="QKP64" s="21"/>
      <c r="QKQ64" s="21"/>
      <c r="QKR64" s="21"/>
      <c r="QKS64" s="21"/>
      <c r="QKT64" s="21"/>
      <c r="QKU64" s="21"/>
      <c r="QKV64" s="21"/>
      <c r="QKW64" s="21"/>
      <c r="QKX64" s="21"/>
      <c r="QKY64" s="21"/>
      <c r="QKZ64" s="21"/>
      <c r="QLA64" s="21"/>
      <c r="QLB64" s="21"/>
      <c r="QLC64" s="21"/>
      <c r="QLD64" s="21"/>
      <c r="QLE64" s="21"/>
      <c r="QLF64" s="21"/>
      <c r="QLG64" s="21"/>
      <c r="QLH64" s="21"/>
      <c r="QLI64" s="21"/>
      <c r="QLJ64" s="21"/>
      <c r="QLK64" s="21"/>
      <c r="QLL64" s="21"/>
      <c r="QLM64" s="21"/>
      <c r="QLN64" s="21"/>
      <c r="QLO64" s="21"/>
      <c r="QLP64" s="21"/>
      <c r="QLQ64" s="21"/>
      <c r="QLR64" s="21"/>
      <c r="QLS64" s="21"/>
      <c r="QLT64" s="21"/>
      <c r="QLU64" s="21"/>
      <c r="QLV64" s="21"/>
      <c r="QLW64" s="21"/>
      <c r="QLX64" s="21"/>
      <c r="QLY64" s="21"/>
      <c r="QLZ64" s="21"/>
      <c r="QMA64" s="21"/>
      <c r="QMB64" s="21"/>
      <c r="QMC64" s="21"/>
      <c r="QMD64" s="21"/>
      <c r="QME64" s="21"/>
      <c r="QMF64" s="21"/>
      <c r="QMG64" s="21"/>
      <c r="QMH64" s="21"/>
      <c r="QMI64" s="21"/>
      <c r="QMJ64" s="21"/>
      <c r="QMK64" s="21"/>
      <c r="QML64" s="21"/>
      <c r="QMM64" s="21"/>
      <c r="QMN64" s="21"/>
      <c r="QMO64" s="21"/>
      <c r="QMP64" s="21"/>
      <c r="QMQ64" s="21"/>
      <c r="QMR64" s="21"/>
      <c r="QMS64" s="21"/>
      <c r="QMT64" s="21"/>
      <c r="QMU64" s="21"/>
      <c r="QMV64" s="21"/>
      <c r="QMW64" s="21"/>
      <c r="QMX64" s="21"/>
      <c r="QMY64" s="21"/>
      <c r="QMZ64" s="21"/>
      <c r="QNA64" s="21"/>
      <c r="QNB64" s="21"/>
      <c r="QNC64" s="21"/>
      <c r="QND64" s="21"/>
      <c r="QNE64" s="21"/>
      <c r="QNF64" s="21"/>
      <c r="QNG64" s="21"/>
      <c r="QNH64" s="21"/>
      <c r="QNI64" s="21"/>
      <c r="QNJ64" s="21"/>
      <c r="QNK64" s="21"/>
      <c r="QNL64" s="21"/>
      <c r="QNM64" s="21"/>
      <c r="QNN64" s="21"/>
      <c r="QNO64" s="21"/>
      <c r="QNP64" s="21"/>
      <c r="QNQ64" s="21"/>
      <c r="QNR64" s="21"/>
      <c r="QNS64" s="21"/>
      <c r="QNT64" s="21"/>
      <c r="QNU64" s="21"/>
      <c r="QNV64" s="21"/>
      <c r="QNW64" s="21"/>
      <c r="QNX64" s="21"/>
      <c r="QNY64" s="21"/>
      <c r="QNZ64" s="21"/>
      <c r="QOA64" s="21"/>
      <c r="QOB64" s="21"/>
      <c r="QOC64" s="21"/>
      <c r="QOD64" s="21"/>
      <c r="QOE64" s="21"/>
      <c r="QOF64" s="21"/>
      <c r="QOG64" s="21"/>
      <c r="QOH64" s="21"/>
      <c r="QOI64" s="21"/>
      <c r="QOJ64" s="21"/>
      <c r="QOK64" s="21"/>
      <c r="QOL64" s="21"/>
      <c r="QOM64" s="21"/>
      <c r="QON64" s="21"/>
      <c r="QOO64" s="21"/>
      <c r="QOP64" s="21"/>
      <c r="QOQ64" s="21"/>
      <c r="QOR64" s="21"/>
      <c r="QOS64" s="21"/>
      <c r="QOT64" s="21"/>
      <c r="QOU64" s="21"/>
      <c r="QOV64" s="21"/>
      <c r="QOW64" s="21"/>
      <c r="QOX64" s="21"/>
      <c r="QOY64" s="21"/>
      <c r="QOZ64" s="21"/>
      <c r="QPA64" s="21"/>
      <c r="QPB64" s="21"/>
      <c r="QPC64" s="21"/>
      <c r="QPD64" s="21"/>
      <c r="QPE64" s="21"/>
      <c r="QPF64" s="21"/>
      <c r="QPG64" s="21"/>
      <c r="QPH64" s="21"/>
      <c r="QPI64" s="21"/>
      <c r="QPJ64" s="21"/>
      <c r="QPK64" s="21"/>
      <c r="QPL64" s="21"/>
      <c r="QPM64" s="21"/>
      <c r="QPN64" s="21"/>
      <c r="QPO64" s="21"/>
      <c r="QPP64" s="21"/>
      <c r="QPQ64" s="21"/>
      <c r="QPR64" s="21"/>
      <c r="QPS64" s="21"/>
      <c r="QPT64" s="21"/>
      <c r="QPU64" s="21"/>
      <c r="QPV64" s="21"/>
      <c r="QPW64" s="21"/>
      <c r="QPX64" s="21"/>
      <c r="QPY64" s="21"/>
      <c r="QPZ64" s="21"/>
      <c r="QQA64" s="21"/>
      <c r="QQB64" s="21"/>
      <c r="QQC64" s="21"/>
      <c r="QQD64" s="21"/>
      <c r="QQE64" s="21"/>
      <c r="QQF64" s="21"/>
      <c r="QQG64" s="21"/>
      <c r="QQH64" s="21"/>
      <c r="QQI64" s="21"/>
      <c r="QQJ64" s="21"/>
      <c r="QQK64" s="21"/>
      <c r="QQL64" s="21"/>
      <c r="QQM64" s="21"/>
      <c r="QQN64" s="21"/>
      <c r="QQO64" s="21"/>
      <c r="QQP64" s="21"/>
      <c r="QQQ64" s="21"/>
      <c r="QQR64" s="21"/>
      <c r="QQS64" s="21"/>
      <c r="QQT64" s="21"/>
      <c r="QQU64" s="21"/>
      <c r="QQV64" s="21"/>
      <c r="QQW64" s="21"/>
      <c r="QQX64" s="21"/>
      <c r="QQY64" s="21"/>
      <c r="QQZ64" s="21"/>
      <c r="QRA64" s="21"/>
      <c r="QRB64" s="21"/>
      <c r="QRC64" s="21"/>
      <c r="QRD64" s="21"/>
      <c r="QRE64" s="21"/>
      <c r="QRF64" s="21"/>
      <c r="QRG64" s="21"/>
      <c r="QRH64" s="21"/>
      <c r="QRI64" s="21"/>
      <c r="QRJ64" s="21"/>
      <c r="QRK64" s="21"/>
      <c r="QRL64" s="21"/>
      <c r="QRM64" s="21"/>
      <c r="QRN64" s="21"/>
      <c r="QRO64" s="21"/>
      <c r="QRP64" s="21"/>
      <c r="QRQ64" s="21"/>
      <c r="QRR64" s="21"/>
      <c r="QRS64" s="21"/>
      <c r="QRT64" s="21"/>
      <c r="QRU64" s="21"/>
      <c r="QRV64" s="21"/>
      <c r="QRW64" s="21"/>
      <c r="QRX64" s="21"/>
      <c r="QRY64" s="21"/>
      <c r="QRZ64" s="21"/>
      <c r="QSA64" s="21"/>
      <c r="QSB64" s="21"/>
      <c r="QSC64" s="21"/>
      <c r="QSD64" s="21"/>
      <c r="QSE64" s="21"/>
      <c r="QSF64" s="21"/>
      <c r="QSG64" s="21"/>
      <c r="QSH64" s="21"/>
      <c r="QSI64" s="21"/>
      <c r="QSJ64" s="21"/>
      <c r="QSK64" s="21"/>
      <c r="QSL64" s="21"/>
      <c r="QSM64" s="21"/>
      <c r="QSN64" s="21"/>
      <c r="QSO64" s="21"/>
      <c r="QSP64" s="21"/>
      <c r="QSQ64" s="21"/>
      <c r="QSR64" s="21"/>
      <c r="QSS64" s="21"/>
      <c r="QST64" s="21"/>
      <c r="QSU64" s="21"/>
      <c r="QSV64" s="21"/>
      <c r="QSW64" s="21"/>
      <c r="QSX64" s="21"/>
      <c r="QSY64" s="21"/>
      <c r="QSZ64" s="21"/>
      <c r="QTA64" s="21"/>
      <c r="QTB64" s="21"/>
      <c r="QTC64" s="21"/>
      <c r="QTD64" s="21"/>
      <c r="QTE64" s="21"/>
      <c r="QTF64" s="21"/>
      <c r="QTG64" s="21"/>
      <c r="QTH64" s="21"/>
      <c r="QTI64" s="21"/>
      <c r="QTJ64" s="21"/>
      <c r="QTK64" s="21"/>
      <c r="QTL64" s="21"/>
      <c r="QTM64" s="21"/>
      <c r="QTN64" s="21"/>
      <c r="QTO64" s="21"/>
      <c r="QTP64" s="21"/>
      <c r="QTQ64" s="21"/>
      <c r="QTR64" s="21"/>
      <c r="QTS64" s="21"/>
      <c r="QTT64" s="21"/>
      <c r="QTU64" s="21"/>
      <c r="QTV64" s="21"/>
      <c r="QTW64" s="21"/>
      <c r="QTX64" s="21"/>
      <c r="QTY64" s="21"/>
      <c r="QTZ64" s="21"/>
      <c r="QUA64" s="21"/>
      <c r="QUB64" s="21"/>
      <c r="QUC64" s="21"/>
      <c r="QUD64" s="21"/>
      <c r="QUE64" s="21"/>
      <c r="QUF64" s="21"/>
      <c r="QUG64" s="21"/>
      <c r="QUH64" s="21"/>
      <c r="QUI64" s="21"/>
      <c r="QUJ64" s="21"/>
      <c r="QUK64" s="21"/>
      <c r="QUL64" s="21"/>
      <c r="QUM64" s="21"/>
      <c r="QUN64" s="21"/>
      <c r="QUO64" s="21"/>
      <c r="QUP64" s="21"/>
      <c r="QUQ64" s="21"/>
      <c r="QUR64" s="21"/>
      <c r="QUS64" s="21"/>
      <c r="QUT64" s="21"/>
      <c r="QUU64" s="21"/>
      <c r="QUV64" s="21"/>
      <c r="QUW64" s="21"/>
      <c r="QUX64" s="21"/>
      <c r="QUY64" s="21"/>
      <c r="QUZ64" s="21"/>
      <c r="QVA64" s="21"/>
      <c r="QVB64" s="21"/>
      <c r="QVC64" s="21"/>
      <c r="QVD64" s="21"/>
      <c r="QVE64" s="21"/>
      <c r="QVF64" s="21"/>
      <c r="QVG64" s="21"/>
      <c r="QVH64" s="21"/>
      <c r="QVI64" s="21"/>
      <c r="QVJ64" s="21"/>
      <c r="QVK64" s="21"/>
      <c r="QVL64" s="21"/>
      <c r="QVM64" s="21"/>
      <c r="QVN64" s="21"/>
      <c r="QVO64" s="21"/>
      <c r="QVP64" s="21"/>
      <c r="QVQ64" s="21"/>
      <c r="QVR64" s="21"/>
      <c r="QVS64" s="21"/>
      <c r="QVT64" s="21"/>
      <c r="QVU64" s="21"/>
      <c r="QVV64" s="21"/>
      <c r="QVW64" s="21"/>
      <c r="QVX64" s="21"/>
      <c r="QVY64" s="21"/>
      <c r="QVZ64" s="21"/>
      <c r="QWA64" s="21"/>
      <c r="QWB64" s="21"/>
      <c r="QWC64" s="21"/>
      <c r="QWD64" s="21"/>
      <c r="QWE64" s="21"/>
      <c r="QWF64" s="21"/>
      <c r="QWG64" s="21"/>
      <c r="QWH64" s="21"/>
      <c r="QWI64" s="21"/>
      <c r="QWJ64" s="21"/>
      <c r="QWK64" s="21"/>
      <c r="QWL64" s="21"/>
      <c r="QWM64" s="21"/>
      <c r="QWN64" s="21"/>
      <c r="QWO64" s="21"/>
      <c r="QWP64" s="21"/>
      <c r="QWQ64" s="21"/>
      <c r="QWR64" s="21"/>
      <c r="QWS64" s="21"/>
      <c r="QWT64" s="21"/>
      <c r="QWU64" s="21"/>
      <c r="QWV64" s="21"/>
      <c r="QWW64" s="21"/>
      <c r="QWX64" s="21"/>
      <c r="QWY64" s="21"/>
      <c r="QWZ64" s="21"/>
      <c r="QXA64" s="21"/>
      <c r="QXB64" s="21"/>
      <c r="QXC64" s="21"/>
      <c r="QXD64" s="21"/>
      <c r="QXE64" s="21"/>
      <c r="QXF64" s="21"/>
      <c r="QXG64" s="21"/>
      <c r="QXH64" s="21"/>
      <c r="QXI64" s="21"/>
      <c r="QXJ64" s="21"/>
      <c r="QXK64" s="21"/>
      <c r="QXL64" s="21"/>
      <c r="QXM64" s="21"/>
      <c r="QXN64" s="21"/>
      <c r="QXO64" s="21"/>
      <c r="QXP64" s="21"/>
      <c r="QXQ64" s="21"/>
      <c r="QXR64" s="21"/>
      <c r="QXS64" s="21"/>
      <c r="QXT64" s="21"/>
      <c r="QXU64" s="21"/>
      <c r="QXV64" s="21"/>
      <c r="QXW64" s="21"/>
      <c r="QXX64" s="21"/>
      <c r="QXY64" s="21"/>
      <c r="QXZ64" s="21"/>
      <c r="QYA64" s="21"/>
      <c r="QYB64" s="21"/>
      <c r="QYC64" s="21"/>
      <c r="QYD64" s="21"/>
      <c r="QYE64" s="21"/>
      <c r="QYF64" s="21"/>
      <c r="QYG64" s="21"/>
      <c r="QYH64" s="21"/>
      <c r="QYI64" s="21"/>
      <c r="QYJ64" s="21"/>
      <c r="QYK64" s="21"/>
      <c r="QYL64" s="21"/>
      <c r="QYM64" s="21"/>
      <c r="QYN64" s="21"/>
      <c r="QYO64" s="21"/>
      <c r="QYP64" s="21"/>
      <c r="QYQ64" s="21"/>
      <c r="QYR64" s="21"/>
      <c r="QYS64" s="21"/>
      <c r="QYT64" s="21"/>
      <c r="QYU64" s="21"/>
      <c r="QYV64" s="21"/>
      <c r="QYW64" s="21"/>
      <c r="QYX64" s="21"/>
      <c r="QYY64" s="21"/>
      <c r="QYZ64" s="21"/>
      <c r="QZA64" s="21"/>
      <c r="QZB64" s="21"/>
      <c r="QZC64" s="21"/>
      <c r="QZD64" s="21"/>
      <c r="QZE64" s="21"/>
      <c r="QZF64" s="21"/>
      <c r="QZG64" s="21"/>
      <c r="QZH64" s="21"/>
      <c r="QZI64" s="21"/>
      <c r="QZJ64" s="21"/>
      <c r="QZK64" s="21"/>
      <c r="QZL64" s="21"/>
      <c r="QZM64" s="21"/>
      <c r="QZN64" s="21"/>
      <c r="QZO64" s="21"/>
      <c r="QZP64" s="21"/>
      <c r="QZQ64" s="21"/>
      <c r="QZR64" s="21"/>
      <c r="QZS64" s="21"/>
      <c r="QZT64" s="21"/>
      <c r="QZU64" s="21"/>
      <c r="QZV64" s="21"/>
      <c r="QZW64" s="21"/>
      <c r="QZX64" s="21"/>
      <c r="QZY64" s="21"/>
      <c r="QZZ64" s="21"/>
      <c r="RAA64" s="21"/>
      <c r="RAB64" s="21"/>
      <c r="RAC64" s="21"/>
      <c r="RAD64" s="21"/>
      <c r="RAE64" s="21"/>
      <c r="RAF64" s="21"/>
      <c r="RAG64" s="21"/>
      <c r="RAH64" s="21"/>
      <c r="RAI64" s="21"/>
      <c r="RAJ64" s="21"/>
      <c r="RAK64" s="21"/>
      <c r="RAL64" s="21"/>
      <c r="RAM64" s="21"/>
      <c r="RAN64" s="21"/>
      <c r="RAO64" s="21"/>
      <c r="RAP64" s="21"/>
      <c r="RAQ64" s="21"/>
      <c r="RAR64" s="21"/>
      <c r="RAS64" s="21"/>
      <c r="RAT64" s="21"/>
      <c r="RAU64" s="21"/>
      <c r="RAV64" s="21"/>
      <c r="RAW64" s="21"/>
      <c r="RAX64" s="21"/>
      <c r="RAY64" s="21"/>
      <c r="RAZ64" s="21"/>
      <c r="RBA64" s="21"/>
      <c r="RBB64" s="21"/>
      <c r="RBC64" s="21"/>
      <c r="RBD64" s="21"/>
      <c r="RBE64" s="21"/>
      <c r="RBF64" s="21"/>
      <c r="RBG64" s="21"/>
      <c r="RBH64" s="21"/>
      <c r="RBI64" s="21"/>
      <c r="RBJ64" s="21"/>
      <c r="RBK64" s="21"/>
      <c r="RBL64" s="21"/>
      <c r="RBM64" s="21"/>
      <c r="RBN64" s="21"/>
      <c r="RBO64" s="21"/>
      <c r="RBP64" s="21"/>
      <c r="RBQ64" s="21"/>
      <c r="RBR64" s="21"/>
      <c r="RBS64" s="21"/>
      <c r="RBT64" s="21"/>
      <c r="RBU64" s="21"/>
      <c r="RBV64" s="21"/>
      <c r="RBW64" s="21"/>
      <c r="RBX64" s="21"/>
      <c r="RBY64" s="21"/>
      <c r="RBZ64" s="21"/>
      <c r="RCA64" s="21"/>
      <c r="RCB64" s="21"/>
      <c r="RCC64" s="21"/>
      <c r="RCD64" s="21"/>
      <c r="RCE64" s="21"/>
      <c r="RCF64" s="21"/>
      <c r="RCG64" s="21"/>
      <c r="RCH64" s="21"/>
      <c r="RCI64" s="21"/>
      <c r="RCJ64" s="21"/>
      <c r="RCK64" s="21"/>
      <c r="RCL64" s="21"/>
      <c r="RCM64" s="21"/>
      <c r="RCN64" s="21"/>
      <c r="RCO64" s="21"/>
      <c r="RCP64" s="21"/>
      <c r="RCQ64" s="21"/>
      <c r="RCR64" s="21"/>
      <c r="RCS64" s="21"/>
      <c r="RCT64" s="21"/>
      <c r="RCU64" s="21"/>
      <c r="RCV64" s="21"/>
      <c r="RCW64" s="21"/>
      <c r="RCX64" s="21"/>
      <c r="RCY64" s="21"/>
      <c r="RCZ64" s="21"/>
      <c r="RDA64" s="21"/>
      <c r="RDB64" s="21"/>
      <c r="RDC64" s="21"/>
      <c r="RDD64" s="21"/>
      <c r="RDE64" s="21"/>
      <c r="RDF64" s="21"/>
      <c r="RDG64" s="21"/>
      <c r="RDH64" s="21"/>
      <c r="RDI64" s="21"/>
      <c r="RDJ64" s="21"/>
      <c r="RDK64" s="21"/>
      <c r="RDL64" s="21"/>
      <c r="RDM64" s="21"/>
      <c r="RDN64" s="21"/>
      <c r="RDO64" s="21"/>
      <c r="RDP64" s="21"/>
      <c r="RDQ64" s="21"/>
      <c r="RDR64" s="21"/>
      <c r="RDS64" s="21"/>
      <c r="RDT64" s="21"/>
      <c r="RDU64" s="21"/>
      <c r="RDV64" s="21"/>
      <c r="RDW64" s="21"/>
      <c r="RDX64" s="21"/>
      <c r="RDY64" s="21"/>
      <c r="RDZ64" s="21"/>
      <c r="REA64" s="21"/>
      <c r="REB64" s="21"/>
      <c r="REC64" s="21"/>
      <c r="RED64" s="21"/>
      <c r="REE64" s="21"/>
      <c r="REF64" s="21"/>
      <c r="REG64" s="21"/>
      <c r="REH64" s="21"/>
      <c r="REI64" s="21"/>
      <c r="REJ64" s="21"/>
      <c r="REK64" s="21"/>
      <c r="REL64" s="21"/>
      <c r="REM64" s="21"/>
      <c r="REN64" s="21"/>
      <c r="REO64" s="21"/>
      <c r="REP64" s="21"/>
      <c r="REQ64" s="21"/>
      <c r="RER64" s="21"/>
      <c r="RES64" s="21"/>
      <c r="RET64" s="21"/>
      <c r="REU64" s="21"/>
      <c r="REV64" s="21"/>
      <c r="REW64" s="21"/>
      <c r="REX64" s="21"/>
      <c r="REY64" s="21"/>
      <c r="REZ64" s="21"/>
      <c r="RFA64" s="21"/>
      <c r="RFB64" s="21"/>
      <c r="RFC64" s="21"/>
      <c r="RFD64" s="21"/>
      <c r="RFE64" s="21"/>
      <c r="RFF64" s="21"/>
      <c r="RFG64" s="21"/>
      <c r="RFH64" s="21"/>
      <c r="RFI64" s="21"/>
      <c r="RFJ64" s="21"/>
      <c r="RFK64" s="21"/>
      <c r="RFL64" s="21"/>
      <c r="RFM64" s="21"/>
      <c r="RFN64" s="21"/>
      <c r="RFO64" s="21"/>
      <c r="RFP64" s="21"/>
      <c r="RFQ64" s="21"/>
      <c r="RFR64" s="21"/>
      <c r="RFS64" s="21"/>
      <c r="RFT64" s="21"/>
      <c r="RFU64" s="21"/>
      <c r="RFV64" s="21"/>
      <c r="RFW64" s="21"/>
      <c r="RFX64" s="21"/>
      <c r="RFY64" s="21"/>
      <c r="RFZ64" s="21"/>
      <c r="RGA64" s="21"/>
      <c r="RGB64" s="21"/>
      <c r="RGC64" s="21"/>
      <c r="RGD64" s="21"/>
      <c r="RGE64" s="21"/>
      <c r="RGF64" s="21"/>
      <c r="RGG64" s="21"/>
      <c r="RGH64" s="21"/>
      <c r="RGI64" s="21"/>
      <c r="RGJ64" s="21"/>
      <c r="RGK64" s="21"/>
      <c r="RGL64" s="21"/>
      <c r="RGM64" s="21"/>
      <c r="RGN64" s="21"/>
      <c r="RGO64" s="21"/>
      <c r="RGP64" s="21"/>
      <c r="RGQ64" s="21"/>
      <c r="RGR64" s="21"/>
      <c r="RGS64" s="21"/>
      <c r="RGT64" s="21"/>
      <c r="RGU64" s="21"/>
      <c r="RGV64" s="21"/>
      <c r="RGW64" s="21"/>
      <c r="RGX64" s="21"/>
      <c r="RGY64" s="21"/>
      <c r="RGZ64" s="21"/>
      <c r="RHA64" s="21"/>
      <c r="RHB64" s="21"/>
      <c r="RHC64" s="21"/>
      <c r="RHD64" s="21"/>
      <c r="RHE64" s="21"/>
      <c r="RHF64" s="21"/>
      <c r="RHG64" s="21"/>
      <c r="RHH64" s="21"/>
      <c r="RHI64" s="21"/>
      <c r="RHJ64" s="21"/>
      <c r="RHK64" s="21"/>
      <c r="RHL64" s="21"/>
      <c r="RHM64" s="21"/>
      <c r="RHN64" s="21"/>
      <c r="RHO64" s="21"/>
      <c r="RHP64" s="21"/>
      <c r="RHQ64" s="21"/>
      <c r="RHR64" s="21"/>
      <c r="RHS64" s="21"/>
      <c r="RHT64" s="21"/>
      <c r="RHU64" s="21"/>
      <c r="RHV64" s="21"/>
      <c r="RHW64" s="21"/>
      <c r="RHX64" s="21"/>
      <c r="RHY64" s="21"/>
      <c r="RHZ64" s="21"/>
      <c r="RIA64" s="21"/>
      <c r="RIB64" s="21"/>
      <c r="RIC64" s="21"/>
      <c r="RID64" s="21"/>
      <c r="RIE64" s="21"/>
      <c r="RIF64" s="21"/>
      <c r="RIG64" s="21"/>
      <c r="RIH64" s="21"/>
      <c r="RII64" s="21"/>
      <c r="RIJ64" s="21"/>
      <c r="RIK64" s="21"/>
      <c r="RIL64" s="21"/>
      <c r="RIM64" s="21"/>
      <c r="RIN64" s="21"/>
      <c r="RIO64" s="21"/>
      <c r="RIP64" s="21"/>
      <c r="RIQ64" s="21"/>
      <c r="RIR64" s="21"/>
      <c r="RIS64" s="21"/>
      <c r="RIT64" s="21"/>
      <c r="RIU64" s="21"/>
      <c r="RIV64" s="21"/>
      <c r="RIW64" s="21"/>
      <c r="RIX64" s="21"/>
      <c r="RIY64" s="21"/>
      <c r="RIZ64" s="21"/>
      <c r="RJA64" s="21"/>
      <c r="RJB64" s="21"/>
      <c r="RJC64" s="21"/>
      <c r="RJD64" s="21"/>
      <c r="RJE64" s="21"/>
      <c r="RJF64" s="21"/>
      <c r="RJG64" s="21"/>
      <c r="RJH64" s="21"/>
      <c r="RJI64" s="21"/>
      <c r="RJJ64" s="21"/>
      <c r="RJK64" s="21"/>
      <c r="RJL64" s="21"/>
      <c r="RJM64" s="21"/>
      <c r="RJN64" s="21"/>
      <c r="RJO64" s="21"/>
      <c r="RJP64" s="21"/>
      <c r="RJQ64" s="21"/>
      <c r="RJR64" s="21"/>
      <c r="RJS64" s="21"/>
      <c r="RJT64" s="21"/>
      <c r="RJU64" s="21"/>
      <c r="RJV64" s="21"/>
      <c r="RJW64" s="21"/>
      <c r="RJX64" s="21"/>
      <c r="RJY64" s="21"/>
      <c r="RJZ64" s="21"/>
      <c r="RKA64" s="21"/>
      <c r="RKB64" s="21"/>
      <c r="RKC64" s="21"/>
      <c r="RKD64" s="21"/>
      <c r="RKE64" s="21"/>
      <c r="RKF64" s="21"/>
      <c r="RKG64" s="21"/>
      <c r="RKH64" s="21"/>
      <c r="RKI64" s="21"/>
      <c r="RKJ64" s="21"/>
      <c r="RKK64" s="21"/>
      <c r="RKL64" s="21"/>
      <c r="RKM64" s="21"/>
      <c r="RKN64" s="21"/>
      <c r="RKO64" s="21"/>
      <c r="RKP64" s="21"/>
      <c r="RKQ64" s="21"/>
      <c r="RKR64" s="21"/>
      <c r="RKS64" s="21"/>
      <c r="RKT64" s="21"/>
      <c r="RKU64" s="21"/>
      <c r="RKV64" s="21"/>
      <c r="RKW64" s="21"/>
      <c r="RKX64" s="21"/>
      <c r="RKY64" s="21"/>
      <c r="RKZ64" s="21"/>
      <c r="RLA64" s="21"/>
      <c r="RLB64" s="21"/>
      <c r="RLC64" s="21"/>
      <c r="RLD64" s="21"/>
      <c r="RLE64" s="21"/>
      <c r="RLF64" s="21"/>
      <c r="RLG64" s="21"/>
      <c r="RLH64" s="21"/>
      <c r="RLI64" s="21"/>
      <c r="RLJ64" s="21"/>
      <c r="RLK64" s="21"/>
      <c r="RLL64" s="21"/>
      <c r="RLM64" s="21"/>
      <c r="RLN64" s="21"/>
      <c r="RLO64" s="21"/>
      <c r="RLP64" s="21"/>
      <c r="RLQ64" s="21"/>
      <c r="RLR64" s="21"/>
      <c r="RLS64" s="21"/>
      <c r="RLT64" s="21"/>
      <c r="RLU64" s="21"/>
      <c r="RLV64" s="21"/>
      <c r="RLW64" s="21"/>
      <c r="RLX64" s="21"/>
      <c r="RLY64" s="21"/>
      <c r="RLZ64" s="21"/>
      <c r="RMA64" s="21"/>
      <c r="RMB64" s="21"/>
      <c r="RMC64" s="21"/>
      <c r="RMD64" s="21"/>
      <c r="RME64" s="21"/>
      <c r="RMF64" s="21"/>
      <c r="RMG64" s="21"/>
      <c r="RMH64" s="21"/>
      <c r="RMI64" s="21"/>
      <c r="RMJ64" s="21"/>
      <c r="RMK64" s="21"/>
      <c r="RML64" s="21"/>
      <c r="RMM64" s="21"/>
      <c r="RMN64" s="21"/>
      <c r="RMO64" s="21"/>
      <c r="RMP64" s="21"/>
      <c r="RMQ64" s="21"/>
      <c r="RMR64" s="21"/>
      <c r="RMS64" s="21"/>
      <c r="RMT64" s="21"/>
      <c r="RMU64" s="21"/>
      <c r="RMV64" s="21"/>
      <c r="RMW64" s="21"/>
      <c r="RMX64" s="21"/>
      <c r="RMY64" s="21"/>
      <c r="RMZ64" s="21"/>
      <c r="RNA64" s="21"/>
      <c r="RNB64" s="21"/>
      <c r="RNC64" s="21"/>
      <c r="RND64" s="21"/>
      <c r="RNE64" s="21"/>
      <c r="RNF64" s="21"/>
      <c r="RNG64" s="21"/>
      <c r="RNH64" s="21"/>
      <c r="RNI64" s="21"/>
      <c r="RNJ64" s="21"/>
      <c r="RNK64" s="21"/>
      <c r="RNL64" s="21"/>
      <c r="RNM64" s="21"/>
      <c r="RNN64" s="21"/>
      <c r="RNO64" s="21"/>
      <c r="RNP64" s="21"/>
      <c r="RNQ64" s="21"/>
      <c r="RNR64" s="21"/>
      <c r="RNS64" s="21"/>
      <c r="RNT64" s="21"/>
      <c r="RNU64" s="21"/>
      <c r="RNV64" s="21"/>
      <c r="RNW64" s="21"/>
      <c r="RNX64" s="21"/>
      <c r="RNY64" s="21"/>
      <c r="RNZ64" s="21"/>
      <c r="ROA64" s="21"/>
      <c r="ROB64" s="21"/>
      <c r="ROC64" s="21"/>
      <c r="ROD64" s="21"/>
      <c r="ROE64" s="21"/>
      <c r="ROF64" s="21"/>
      <c r="ROG64" s="21"/>
      <c r="ROH64" s="21"/>
      <c r="ROI64" s="21"/>
      <c r="ROJ64" s="21"/>
      <c r="ROK64" s="21"/>
      <c r="ROL64" s="21"/>
      <c r="ROM64" s="21"/>
      <c r="RON64" s="21"/>
      <c r="ROO64" s="21"/>
      <c r="ROP64" s="21"/>
      <c r="ROQ64" s="21"/>
      <c r="ROR64" s="21"/>
      <c r="ROS64" s="21"/>
      <c r="ROT64" s="21"/>
      <c r="ROU64" s="21"/>
      <c r="ROV64" s="21"/>
      <c r="ROW64" s="21"/>
      <c r="ROX64" s="21"/>
      <c r="ROY64" s="21"/>
      <c r="ROZ64" s="21"/>
      <c r="RPA64" s="21"/>
      <c r="RPB64" s="21"/>
      <c r="RPC64" s="21"/>
      <c r="RPD64" s="21"/>
      <c r="RPE64" s="21"/>
      <c r="RPF64" s="21"/>
      <c r="RPG64" s="21"/>
      <c r="RPH64" s="21"/>
      <c r="RPI64" s="21"/>
      <c r="RPJ64" s="21"/>
      <c r="RPK64" s="21"/>
      <c r="RPL64" s="21"/>
      <c r="RPM64" s="21"/>
      <c r="RPN64" s="21"/>
      <c r="RPO64" s="21"/>
      <c r="RPP64" s="21"/>
      <c r="RPQ64" s="21"/>
      <c r="RPR64" s="21"/>
      <c r="RPS64" s="21"/>
      <c r="RPT64" s="21"/>
      <c r="RPU64" s="21"/>
      <c r="RPV64" s="21"/>
      <c r="RPW64" s="21"/>
      <c r="RPX64" s="21"/>
      <c r="RPY64" s="21"/>
      <c r="RPZ64" s="21"/>
      <c r="RQA64" s="21"/>
      <c r="RQB64" s="21"/>
      <c r="RQC64" s="21"/>
      <c r="RQD64" s="21"/>
      <c r="RQE64" s="21"/>
      <c r="RQF64" s="21"/>
      <c r="RQG64" s="21"/>
      <c r="RQH64" s="21"/>
      <c r="RQI64" s="21"/>
      <c r="RQJ64" s="21"/>
      <c r="RQK64" s="21"/>
      <c r="RQL64" s="21"/>
      <c r="RQM64" s="21"/>
      <c r="RQN64" s="21"/>
      <c r="RQO64" s="21"/>
      <c r="RQP64" s="21"/>
      <c r="RQQ64" s="21"/>
      <c r="RQR64" s="21"/>
      <c r="RQS64" s="21"/>
      <c r="RQT64" s="21"/>
      <c r="RQU64" s="21"/>
      <c r="RQV64" s="21"/>
      <c r="RQW64" s="21"/>
      <c r="RQX64" s="21"/>
      <c r="RQY64" s="21"/>
      <c r="RQZ64" s="21"/>
      <c r="RRA64" s="21"/>
      <c r="RRB64" s="21"/>
      <c r="RRC64" s="21"/>
      <c r="RRD64" s="21"/>
      <c r="RRE64" s="21"/>
      <c r="RRF64" s="21"/>
      <c r="RRG64" s="21"/>
      <c r="RRH64" s="21"/>
      <c r="RRI64" s="21"/>
      <c r="RRJ64" s="21"/>
      <c r="RRK64" s="21"/>
      <c r="RRL64" s="21"/>
      <c r="RRM64" s="21"/>
      <c r="RRN64" s="21"/>
      <c r="RRO64" s="21"/>
      <c r="RRP64" s="21"/>
      <c r="RRQ64" s="21"/>
      <c r="RRR64" s="21"/>
      <c r="RRS64" s="21"/>
      <c r="RRT64" s="21"/>
      <c r="RRU64" s="21"/>
      <c r="RRV64" s="21"/>
      <c r="RRW64" s="21"/>
      <c r="RRX64" s="21"/>
      <c r="RRY64" s="21"/>
      <c r="RRZ64" s="21"/>
      <c r="RSA64" s="21"/>
      <c r="RSB64" s="21"/>
      <c r="RSC64" s="21"/>
      <c r="RSD64" s="21"/>
      <c r="RSE64" s="21"/>
      <c r="RSF64" s="21"/>
      <c r="RSG64" s="21"/>
      <c r="RSH64" s="21"/>
      <c r="RSI64" s="21"/>
      <c r="RSJ64" s="21"/>
      <c r="RSK64" s="21"/>
      <c r="RSL64" s="21"/>
      <c r="RSM64" s="21"/>
      <c r="RSN64" s="21"/>
      <c r="RSO64" s="21"/>
      <c r="RSP64" s="21"/>
      <c r="RSQ64" s="21"/>
      <c r="RSR64" s="21"/>
      <c r="RSS64" s="21"/>
      <c r="RST64" s="21"/>
      <c r="RSU64" s="21"/>
      <c r="RSV64" s="21"/>
      <c r="RSW64" s="21"/>
      <c r="RSX64" s="21"/>
      <c r="RSY64" s="21"/>
      <c r="RSZ64" s="21"/>
      <c r="RTA64" s="21"/>
      <c r="RTB64" s="21"/>
      <c r="RTC64" s="21"/>
      <c r="RTD64" s="21"/>
      <c r="RTE64" s="21"/>
      <c r="RTF64" s="21"/>
      <c r="RTG64" s="21"/>
      <c r="RTH64" s="21"/>
      <c r="RTI64" s="21"/>
      <c r="RTJ64" s="21"/>
      <c r="RTK64" s="21"/>
      <c r="RTL64" s="21"/>
      <c r="RTM64" s="21"/>
      <c r="RTN64" s="21"/>
      <c r="RTO64" s="21"/>
      <c r="RTP64" s="21"/>
      <c r="RTQ64" s="21"/>
      <c r="RTR64" s="21"/>
      <c r="RTS64" s="21"/>
      <c r="RTT64" s="21"/>
      <c r="RTU64" s="21"/>
      <c r="RTV64" s="21"/>
      <c r="RTW64" s="21"/>
      <c r="RTX64" s="21"/>
      <c r="RTY64" s="21"/>
      <c r="RTZ64" s="21"/>
      <c r="RUA64" s="21"/>
      <c r="RUB64" s="21"/>
      <c r="RUC64" s="21"/>
      <c r="RUD64" s="21"/>
      <c r="RUE64" s="21"/>
      <c r="RUF64" s="21"/>
      <c r="RUG64" s="21"/>
      <c r="RUH64" s="21"/>
      <c r="RUI64" s="21"/>
      <c r="RUJ64" s="21"/>
      <c r="RUK64" s="21"/>
      <c r="RUL64" s="21"/>
      <c r="RUM64" s="21"/>
      <c r="RUN64" s="21"/>
      <c r="RUO64" s="21"/>
      <c r="RUP64" s="21"/>
      <c r="RUQ64" s="21"/>
      <c r="RUR64" s="21"/>
      <c r="RUS64" s="21"/>
      <c r="RUT64" s="21"/>
      <c r="RUU64" s="21"/>
      <c r="RUV64" s="21"/>
      <c r="RUW64" s="21"/>
      <c r="RUX64" s="21"/>
      <c r="RUY64" s="21"/>
      <c r="RUZ64" s="21"/>
      <c r="RVA64" s="21"/>
      <c r="RVB64" s="21"/>
      <c r="RVC64" s="21"/>
      <c r="RVD64" s="21"/>
      <c r="RVE64" s="21"/>
      <c r="RVF64" s="21"/>
      <c r="RVG64" s="21"/>
      <c r="RVH64" s="21"/>
      <c r="RVI64" s="21"/>
      <c r="RVJ64" s="21"/>
      <c r="RVK64" s="21"/>
      <c r="RVL64" s="21"/>
      <c r="RVM64" s="21"/>
      <c r="RVN64" s="21"/>
      <c r="RVO64" s="21"/>
      <c r="RVP64" s="21"/>
      <c r="RVQ64" s="21"/>
      <c r="RVR64" s="21"/>
      <c r="RVS64" s="21"/>
      <c r="RVT64" s="21"/>
      <c r="RVU64" s="21"/>
      <c r="RVV64" s="21"/>
      <c r="RVW64" s="21"/>
      <c r="RVX64" s="21"/>
      <c r="RVY64" s="21"/>
      <c r="RVZ64" s="21"/>
      <c r="RWA64" s="21"/>
      <c r="RWB64" s="21"/>
      <c r="RWC64" s="21"/>
      <c r="RWD64" s="21"/>
      <c r="RWE64" s="21"/>
      <c r="RWF64" s="21"/>
      <c r="RWG64" s="21"/>
      <c r="RWH64" s="21"/>
      <c r="RWI64" s="21"/>
      <c r="RWJ64" s="21"/>
      <c r="RWK64" s="21"/>
      <c r="RWL64" s="21"/>
      <c r="RWM64" s="21"/>
      <c r="RWN64" s="21"/>
      <c r="RWO64" s="21"/>
      <c r="RWP64" s="21"/>
      <c r="RWQ64" s="21"/>
      <c r="RWR64" s="21"/>
      <c r="RWS64" s="21"/>
      <c r="RWT64" s="21"/>
      <c r="RWU64" s="21"/>
      <c r="RWV64" s="21"/>
      <c r="RWW64" s="21"/>
      <c r="RWX64" s="21"/>
      <c r="RWY64" s="21"/>
      <c r="RWZ64" s="21"/>
      <c r="RXA64" s="21"/>
      <c r="RXB64" s="21"/>
      <c r="RXC64" s="21"/>
      <c r="RXD64" s="21"/>
      <c r="RXE64" s="21"/>
      <c r="RXF64" s="21"/>
      <c r="RXG64" s="21"/>
      <c r="RXH64" s="21"/>
      <c r="RXI64" s="21"/>
      <c r="RXJ64" s="21"/>
      <c r="RXK64" s="21"/>
      <c r="RXL64" s="21"/>
      <c r="RXM64" s="21"/>
      <c r="RXN64" s="21"/>
      <c r="RXO64" s="21"/>
      <c r="RXP64" s="21"/>
      <c r="RXQ64" s="21"/>
      <c r="RXR64" s="21"/>
      <c r="RXS64" s="21"/>
      <c r="RXT64" s="21"/>
      <c r="RXU64" s="21"/>
      <c r="RXV64" s="21"/>
      <c r="RXW64" s="21"/>
      <c r="RXX64" s="21"/>
      <c r="RXY64" s="21"/>
      <c r="RXZ64" s="21"/>
      <c r="RYA64" s="21"/>
      <c r="RYB64" s="21"/>
      <c r="RYC64" s="21"/>
      <c r="RYD64" s="21"/>
      <c r="RYE64" s="21"/>
      <c r="RYF64" s="21"/>
      <c r="RYG64" s="21"/>
      <c r="RYH64" s="21"/>
      <c r="RYI64" s="21"/>
      <c r="RYJ64" s="21"/>
      <c r="RYK64" s="21"/>
      <c r="RYL64" s="21"/>
      <c r="RYM64" s="21"/>
      <c r="RYN64" s="21"/>
      <c r="RYO64" s="21"/>
      <c r="RYP64" s="21"/>
      <c r="RYQ64" s="21"/>
      <c r="RYR64" s="21"/>
      <c r="RYS64" s="21"/>
      <c r="RYT64" s="21"/>
      <c r="RYU64" s="21"/>
      <c r="RYV64" s="21"/>
      <c r="RYW64" s="21"/>
      <c r="RYX64" s="21"/>
      <c r="RYY64" s="21"/>
      <c r="RYZ64" s="21"/>
      <c r="RZA64" s="21"/>
      <c r="RZB64" s="21"/>
      <c r="RZC64" s="21"/>
      <c r="RZD64" s="21"/>
      <c r="RZE64" s="21"/>
      <c r="RZF64" s="21"/>
      <c r="RZG64" s="21"/>
      <c r="RZH64" s="21"/>
      <c r="RZI64" s="21"/>
      <c r="RZJ64" s="21"/>
      <c r="RZK64" s="21"/>
      <c r="RZL64" s="21"/>
      <c r="RZM64" s="21"/>
      <c r="RZN64" s="21"/>
      <c r="RZO64" s="21"/>
      <c r="RZP64" s="21"/>
      <c r="RZQ64" s="21"/>
      <c r="RZR64" s="21"/>
      <c r="RZS64" s="21"/>
      <c r="RZT64" s="21"/>
      <c r="RZU64" s="21"/>
      <c r="RZV64" s="21"/>
      <c r="RZW64" s="21"/>
      <c r="RZX64" s="21"/>
      <c r="RZY64" s="21"/>
      <c r="RZZ64" s="21"/>
      <c r="SAA64" s="21"/>
      <c r="SAB64" s="21"/>
      <c r="SAC64" s="21"/>
      <c r="SAD64" s="21"/>
      <c r="SAE64" s="21"/>
      <c r="SAF64" s="21"/>
      <c r="SAG64" s="21"/>
      <c r="SAH64" s="21"/>
      <c r="SAI64" s="21"/>
      <c r="SAJ64" s="21"/>
      <c r="SAK64" s="21"/>
      <c r="SAL64" s="21"/>
      <c r="SAM64" s="21"/>
      <c r="SAN64" s="21"/>
      <c r="SAO64" s="21"/>
      <c r="SAP64" s="21"/>
      <c r="SAQ64" s="21"/>
      <c r="SAR64" s="21"/>
      <c r="SAS64" s="21"/>
      <c r="SAT64" s="21"/>
      <c r="SAU64" s="21"/>
      <c r="SAV64" s="21"/>
      <c r="SAW64" s="21"/>
      <c r="SAX64" s="21"/>
      <c r="SAY64" s="21"/>
      <c r="SAZ64" s="21"/>
      <c r="SBA64" s="21"/>
      <c r="SBB64" s="21"/>
      <c r="SBC64" s="21"/>
      <c r="SBD64" s="21"/>
      <c r="SBE64" s="21"/>
      <c r="SBF64" s="21"/>
      <c r="SBG64" s="21"/>
      <c r="SBH64" s="21"/>
      <c r="SBI64" s="21"/>
      <c r="SBJ64" s="21"/>
      <c r="SBK64" s="21"/>
      <c r="SBL64" s="21"/>
      <c r="SBM64" s="21"/>
      <c r="SBN64" s="21"/>
      <c r="SBO64" s="21"/>
      <c r="SBP64" s="21"/>
      <c r="SBQ64" s="21"/>
      <c r="SBR64" s="21"/>
      <c r="SBS64" s="21"/>
      <c r="SBT64" s="21"/>
      <c r="SBU64" s="21"/>
      <c r="SBV64" s="21"/>
      <c r="SBW64" s="21"/>
      <c r="SBX64" s="21"/>
      <c r="SBY64" s="21"/>
      <c r="SBZ64" s="21"/>
      <c r="SCA64" s="21"/>
      <c r="SCB64" s="21"/>
      <c r="SCC64" s="21"/>
      <c r="SCD64" s="21"/>
      <c r="SCE64" s="21"/>
      <c r="SCF64" s="21"/>
      <c r="SCG64" s="21"/>
      <c r="SCH64" s="21"/>
      <c r="SCI64" s="21"/>
      <c r="SCJ64" s="21"/>
      <c r="SCK64" s="21"/>
      <c r="SCL64" s="21"/>
      <c r="SCM64" s="21"/>
      <c r="SCN64" s="21"/>
      <c r="SCO64" s="21"/>
      <c r="SCP64" s="21"/>
      <c r="SCQ64" s="21"/>
      <c r="SCR64" s="21"/>
      <c r="SCS64" s="21"/>
      <c r="SCT64" s="21"/>
      <c r="SCU64" s="21"/>
      <c r="SCV64" s="21"/>
      <c r="SCW64" s="21"/>
      <c r="SCX64" s="21"/>
      <c r="SCY64" s="21"/>
      <c r="SCZ64" s="21"/>
      <c r="SDA64" s="21"/>
      <c r="SDB64" s="21"/>
      <c r="SDC64" s="21"/>
      <c r="SDD64" s="21"/>
      <c r="SDE64" s="21"/>
      <c r="SDF64" s="21"/>
      <c r="SDG64" s="21"/>
      <c r="SDH64" s="21"/>
      <c r="SDI64" s="21"/>
      <c r="SDJ64" s="21"/>
      <c r="SDK64" s="21"/>
      <c r="SDL64" s="21"/>
      <c r="SDM64" s="21"/>
      <c r="SDN64" s="21"/>
      <c r="SDO64" s="21"/>
      <c r="SDP64" s="21"/>
      <c r="SDQ64" s="21"/>
      <c r="SDR64" s="21"/>
      <c r="SDS64" s="21"/>
      <c r="SDT64" s="21"/>
      <c r="SDU64" s="21"/>
      <c r="SDV64" s="21"/>
      <c r="SDW64" s="21"/>
      <c r="SDX64" s="21"/>
      <c r="SDY64" s="21"/>
      <c r="SDZ64" s="21"/>
      <c r="SEA64" s="21"/>
      <c r="SEB64" s="21"/>
      <c r="SEC64" s="21"/>
      <c r="SED64" s="21"/>
      <c r="SEE64" s="21"/>
      <c r="SEF64" s="21"/>
      <c r="SEG64" s="21"/>
      <c r="SEH64" s="21"/>
      <c r="SEI64" s="21"/>
      <c r="SEJ64" s="21"/>
      <c r="SEK64" s="21"/>
      <c r="SEL64" s="21"/>
      <c r="SEM64" s="21"/>
      <c r="SEN64" s="21"/>
      <c r="SEO64" s="21"/>
      <c r="SEP64" s="21"/>
      <c r="SEQ64" s="21"/>
      <c r="SER64" s="21"/>
      <c r="SES64" s="21"/>
      <c r="SET64" s="21"/>
      <c r="SEU64" s="21"/>
      <c r="SEV64" s="21"/>
      <c r="SEW64" s="21"/>
      <c r="SEX64" s="21"/>
      <c r="SEY64" s="21"/>
      <c r="SEZ64" s="21"/>
      <c r="SFA64" s="21"/>
      <c r="SFB64" s="21"/>
      <c r="SFC64" s="21"/>
      <c r="SFD64" s="21"/>
      <c r="SFE64" s="21"/>
      <c r="SFF64" s="21"/>
      <c r="SFG64" s="21"/>
      <c r="SFH64" s="21"/>
      <c r="SFI64" s="21"/>
      <c r="SFJ64" s="21"/>
      <c r="SFK64" s="21"/>
      <c r="SFL64" s="21"/>
      <c r="SFM64" s="21"/>
      <c r="SFN64" s="21"/>
      <c r="SFO64" s="21"/>
      <c r="SFP64" s="21"/>
      <c r="SFQ64" s="21"/>
      <c r="SFR64" s="21"/>
      <c r="SFS64" s="21"/>
      <c r="SFT64" s="21"/>
      <c r="SFU64" s="21"/>
      <c r="SFV64" s="21"/>
      <c r="SFW64" s="21"/>
      <c r="SFX64" s="21"/>
      <c r="SFY64" s="21"/>
      <c r="SFZ64" s="21"/>
      <c r="SGA64" s="21"/>
      <c r="SGB64" s="21"/>
      <c r="SGC64" s="21"/>
      <c r="SGD64" s="21"/>
      <c r="SGE64" s="21"/>
      <c r="SGF64" s="21"/>
      <c r="SGG64" s="21"/>
      <c r="SGH64" s="21"/>
      <c r="SGI64" s="21"/>
      <c r="SGJ64" s="21"/>
      <c r="SGK64" s="21"/>
      <c r="SGL64" s="21"/>
      <c r="SGM64" s="21"/>
      <c r="SGN64" s="21"/>
      <c r="SGO64" s="21"/>
      <c r="SGP64" s="21"/>
      <c r="SGQ64" s="21"/>
      <c r="SGR64" s="21"/>
      <c r="SGS64" s="21"/>
      <c r="SGT64" s="21"/>
      <c r="SGU64" s="21"/>
      <c r="SGV64" s="21"/>
      <c r="SGW64" s="21"/>
      <c r="SGX64" s="21"/>
      <c r="SGY64" s="21"/>
      <c r="SGZ64" s="21"/>
      <c r="SHA64" s="21"/>
      <c r="SHB64" s="21"/>
      <c r="SHC64" s="21"/>
      <c r="SHD64" s="21"/>
      <c r="SHE64" s="21"/>
      <c r="SHF64" s="21"/>
      <c r="SHG64" s="21"/>
      <c r="SHH64" s="21"/>
      <c r="SHI64" s="21"/>
      <c r="SHJ64" s="21"/>
      <c r="SHK64" s="21"/>
      <c r="SHL64" s="21"/>
      <c r="SHM64" s="21"/>
      <c r="SHN64" s="21"/>
      <c r="SHO64" s="21"/>
      <c r="SHP64" s="21"/>
      <c r="SHQ64" s="21"/>
      <c r="SHR64" s="21"/>
      <c r="SHS64" s="21"/>
      <c r="SHT64" s="21"/>
      <c r="SHU64" s="21"/>
      <c r="SHV64" s="21"/>
      <c r="SHW64" s="21"/>
      <c r="SHX64" s="21"/>
      <c r="SHY64" s="21"/>
      <c r="SHZ64" s="21"/>
      <c r="SIA64" s="21"/>
      <c r="SIB64" s="21"/>
      <c r="SIC64" s="21"/>
      <c r="SID64" s="21"/>
      <c r="SIE64" s="21"/>
      <c r="SIF64" s="21"/>
      <c r="SIG64" s="21"/>
      <c r="SIH64" s="21"/>
      <c r="SII64" s="21"/>
      <c r="SIJ64" s="21"/>
      <c r="SIK64" s="21"/>
      <c r="SIL64" s="21"/>
      <c r="SIM64" s="21"/>
      <c r="SIN64" s="21"/>
      <c r="SIO64" s="21"/>
      <c r="SIP64" s="21"/>
      <c r="SIQ64" s="21"/>
      <c r="SIR64" s="21"/>
      <c r="SIS64" s="21"/>
      <c r="SIT64" s="21"/>
      <c r="SIU64" s="21"/>
      <c r="SIV64" s="21"/>
      <c r="SIW64" s="21"/>
      <c r="SIX64" s="21"/>
      <c r="SIY64" s="21"/>
      <c r="SIZ64" s="21"/>
      <c r="SJA64" s="21"/>
      <c r="SJB64" s="21"/>
      <c r="SJC64" s="21"/>
      <c r="SJD64" s="21"/>
      <c r="SJE64" s="21"/>
      <c r="SJF64" s="21"/>
      <c r="SJG64" s="21"/>
      <c r="SJH64" s="21"/>
      <c r="SJI64" s="21"/>
      <c r="SJJ64" s="21"/>
      <c r="SJK64" s="21"/>
      <c r="SJL64" s="21"/>
      <c r="SJM64" s="21"/>
      <c r="SJN64" s="21"/>
      <c r="SJO64" s="21"/>
      <c r="SJP64" s="21"/>
      <c r="SJQ64" s="21"/>
      <c r="SJR64" s="21"/>
      <c r="SJS64" s="21"/>
      <c r="SJT64" s="21"/>
      <c r="SJU64" s="21"/>
      <c r="SJV64" s="21"/>
      <c r="SJW64" s="21"/>
      <c r="SJX64" s="21"/>
      <c r="SJY64" s="21"/>
      <c r="SJZ64" s="21"/>
      <c r="SKA64" s="21"/>
      <c r="SKB64" s="21"/>
      <c r="SKC64" s="21"/>
      <c r="SKD64" s="21"/>
      <c r="SKE64" s="21"/>
      <c r="SKF64" s="21"/>
      <c r="SKG64" s="21"/>
      <c r="SKH64" s="21"/>
      <c r="SKI64" s="21"/>
      <c r="SKJ64" s="21"/>
      <c r="SKK64" s="21"/>
      <c r="SKL64" s="21"/>
      <c r="SKM64" s="21"/>
      <c r="SKN64" s="21"/>
      <c r="SKO64" s="21"/>
      <c r="SKP64" s="21"/>
      <c r="SKQ64" s="21"/>
      <c r="SKR64" s="21"/>
      <c r="SKS64" s="21"/>
      <c r="SKT64" s="21"/>
      <c r="SKU64" s="21"/>
      <c r="SKV64" s="21"/>
      <c r="SKW64" s="21"/>
      <c r="SKX64" s="21"/>
      <c r="SKY64" s="21"/>
      <c r="SKZ64" s="21"/>
      <c r="SLA64" s="21"/>
      <c r="SLB64" s="21"/>
      <c r="SLC64" s="21"/>
      <c r="SLD64" s="21"/>
      <c r="SLE64" s="21"/>
      <c r="SLF64" s="21"/>
      <c r="SLG64" s="21"/>
      <c r="SLH64" s="21"/>
      <c r="SLI64" s="21"/>
      <c r="SLJ64" s="21"/>
      <c r="SLK64" s="21"/>
      <c r="SLL64" s="21"/>
      <c r="SLM64" s="21"/>
      <c r="SLN64" s="21"/>
      <c r="SLO64" s="21"/>
      <c r="SLP64" s="21"/>
      <c r="SLQ64" s="21"/>
      <c r="SLR64" s="21"/>
      <c r="SLS64" s="21"/>
      <c r="SLT64" s="21"/>
      <c r="SLU64" s="21"/>
      <c r="SLV64" s="21"/>
      <c r="SLW64" s="21"/>
      <c r="SLX64" s="21"/>
      <c r="SLY64" s="21"/>
      <c r="SLZ64" s="21"/>
      <c r="SMA64" s="21"/>
      <c r="SMB64" s="21"/>
      <c r="SMC64" s="21"/>
      <c r="SMD64" s="21"/>
      <c r="SME64" s="21"/>
      <c r="SMF64" s="21"/>
      <c r="SMG64" s="21"/>
      <c r="SMH64" s="21"/>
      <c r="SMI64" s="21"/>
      <c r="SMJ64" s="21"/>
      <c r="SMK64" s="21"/>
      <c r="SML64" s="21"/>
      <c r="SMM64" s="21"/>
      <c r="SMN64" s="21"/>
      <c r="SMO64" s="21"/>
      <c r="SMP64" s="21"/>
      <c r="SMQ64" s="21"/>
      <c r="SMR64" s="21"/>
      <c r="SMS64" s="21"/>
      <c r="SMT64" s="21"/>
      <c r="SMU64" s="21"/>
      <c r="SMV64" s="21"/>
      <c r="SMW64" s="21"/>
      <c r="SMX64" s="21"/>
      <c r="SMY64" s="21"/>
      <c r="SMZ64" s="21"/>
      <c r="SNA64" s="21"/>
      <c r="SNB64" s="21"/>
      <c r="SNC64" s="21"/>
      <c r="SND64" s="21"/>
      <c r="SNE64" s="21"/>
      <c r="SNF64" s="21"/>
      <c r="SNG64" s="21"/>
      <c r="SNH64" s="21"/>
      <c r="SNI64" s="21"/>
      <c r="SNJ64" s="21"/>
      <c r="SNK64" s="21"/>
      <c r="SNL64" s="21"/>
      <c r="SNM64" s="21"/>
      <c r="SNN64" s="21"/>
      <c r="SNO64" s="21"/>
      <c r="SNP64" s="21"/>
      <c r="SNQ64" s="21"/>
      <c r="SNR64" s="21"/>
      <c r="SNS64" s="21"/>
      <c r="SNT64" s="21"/>
      <c r="SNU64" s="21"/>
      <c r="SNV64" s="21"/>
      <c r="SNW64" s="21"/>
      <c r="SNX64" s="21"/>
      <c r="SNY64" s="21"/>
      <c r="SNZ64" s="21"/>
      <c r="SOA64" s="21"/>
      <c r="SOB64" s="21"/>
      <c r="SOC64" s="21"/>
      <c r="SOD64" s="21"/>
      <c r="SOE64" s="21"/>
      <c r="SOF64" s="21"/>
      <c r="SOG64" s="21"/>
      <c r="SOH64" s="21"/>
      <c r="SOI64" s="21"/>
      <c r="SOJ64" s="21"/>
      <c r="SOK64" s="21"/>
      <c r="SOL64" s="21"/>
      <c r="SOM64" s="21"/>
      <c r="SON64" s="21"/>
      <c r="SOO64" s="21"/>
      <c r="SOP64" s="21"/>
      <c r="SOQ64" s="21"/>
      <c r="SOR64" s="21"/>
      <c r="SOS64" s="21"/>
      <c r="SOT64" s="21"/>
      <c r="SOU64" s="21"/>
      <c r="SOV64" s="21"/>
      <c r="SOW64" s="21"/>
      <c r="SOX64" s="21"/>
      <c r="SOY64" s="21"/>
      <c r="SOZ64" s="21"/>
      <c r="SPA64" s="21"/>
      <c r="SPB64" s="21"/>
      <c r="SPC64" s="21"/>
      <c r="SPD64" s="21"/>
      <c r="SPE64" s="21"/>
      <c r="SPF64" s="21"/>
      <c r="SPG64" s="21"/>
      <c r="SPH64" s="21"/>
      <c r="SPI64" s="21"/>
      <c r="SPJ64" s="21"/>
      <c r="SPK64" s="21"/>
      <c r="SPL64" s="21"/>
      <c r="SPM64" s="21"/>
      <c r="SPN64" s="21"/>
      <c r="SPO64" s="21"/>
      <c r="SPP64" s="21"/>
      <c r="SPQ64" s="21"/>
      <c r="SPR64" s="21"/>
      <c r="SPS64" s="21"/>
      <c r="SPT64" s="21"/>
      <c r="SPU64" s="21"/>
      <c r="SPV64" s="21"/>
      <c r="SPW64" s="21"/>
      <c r="SPX64" s="21"/>
      <c r="SPY64" s="21"/>
      <c r="SPZ64" s="21"/>
      <c r="SQA64" s="21"/>
      <c r="SQB64" s="21"/>
      <c r="SQC64" s="21"/>
      <c r="SQD64" s="21"/>
      <c r="SQE64" s="21"/>
      <c r="SQF64" s="21"/>
      <c r="SQG64" s="21"/>
      <c r="SQH64" s="21"/>
      <c r="SQI64" s="21"/>
      <c r="SQJ64" s="21"/>
      <c r="SQK64" s="21"/>
      <c r="SQL64" s="21"/>
      <c r="SQM64" s="21"/>
      <c r="SQN64" s="21"/>
      <c r="SQO64" s="21"/>
      <c r="SQP64" s="21"/>
      <c r="SQQ64" s="21"/>
      <c r="SQR64" s="21"/>
      <c r="SQS64" s="21"/>
      <c r="SQT64" s="21"/>
      <c r="SQU64" s="21"/>
      <c r="SQV64" s="21"/>
      <c r="SQW64" s="21"/>
      <c r="SQX64" s="21"/>
      <c r="SQY64" s="21"/>
      <c r="SQZ64" s="21"/>
      <c r="SRA64" s="21"/>
      <c r="SRB64" s="21"/>
      <c r="SRC64" s="21"/>
      <c r="SRD64" s="21"/>
      <c r="SRE64" s="21"/>
      <c r="SRF64" s="21"/>
      <c r="SRG64" s="21"/>
      <c r="SRH64" s="21"/>
      <c r="SRI64" s="21"/>
      <c r="SRJ64" s="21"/>
      <c r="SRK64" s="21"/>
      <c r="SRL64" s="21"/>
      <c r="SRM64" s="21"/>
      <c r="SRN64" s="21"/>
      <c r="SRO64" s="21"/>
      <c r="SRP64" s="21"/>
      <c r="SRQ64" s="21"/>
      <c r="SRR64" s="21"/>
      <c r="SRS64" s="21"/>
      <c r="SRT64" s="21"/>
      <c r="SRU64" s="21"/>
      <c r="SRV64" s="21"/>
      <c r="SRW64" s="21"/>
      <c r="SRX64" s="21"/>
      <c r="SRY64" s="21"/>
      <c r="SRZ64" s="21"/>
      <c r="SSA64" s="21"/>
      <c r="SSB64" s="21"/>
      <c r="SSC64" s="21"/>
      <c r="SSD64" s="21"/>
      <c r="SSE64" s="21"/>
      <c r="SSF64" s="21"/>
      <c r="SSG64" s="21"/>
      <c r="SSH64" s="21"/>
      <c r="SSI64" s="21"/>
      <c r="SSJ64" s="21"/>
      <c r="SSK64" s="21"/>
      <c r="SSL64" s="21"/>
      <c r="SSM64" s="21"/>
      <c r="SSN64" s="21"/>
      <c r="SSO64" s="21"/>
      <c r="SSP64" s="21"/>
      <c r="SSQ64" s="21"/>
      <c r="SSR64" s="21"/>
      <c r="SSS64" s="21"/>
      <c r="SST64" s="21"/>
      <c r="SSU64" s="21"/>
      <c r="SSV64" s="21"/>
      <c r="SSW64" s="21"/>
      <c r="SSX64" s="21"/>
      <c r="SSY64" s="21"/>
      <c r="SSZ64" s="21"/>
      <c r="STA64" s="21"/>
      <c r="STB64" s="21"/>
      <c r="STC64" s="21"/>
      <c r="STD64" s="21"/>
      <c r="STE64" s="21"/>
      <c r="STF64" s="21"/>
      <c r="STG64" s="21"/>
      <c r="STH64" s="21"/>
      <c r="STI64" s="21"/>
      <c r="STJ64" s="21"/>
      <c r="STK64" s="21"/>
      <c r="STL64" s="21"/>
      <c r="STM64" s="21"/>
      <c r="STN64" s="21"/>
      <c r="STO64" s="21"/>
      <c r="STP64" s="21"/>
      <c r="STQ64" s="21"/>
      <c r="STR64" s="21"/>
      <c r="STS64" s="21"/>
      <c r="STT64" s="21"/>
      <c r="STU64" s="21"/>
      <c r="STV64" s="21"/>
      <c r="STW64" s="21"/>
      <c r="STX64" s="21"/>
      <c r="STY64" s="21"/>
      <c r="STZ64" s="21"/>
      <c r="SUA64" s="21"/>
      <c r="SUB64" s="21"/>
      <c r="SUC64" s="21"/>
      <c r="SUD64" s="21"/>
      <c r="SUE64" s="21"/>
      <c r="SUF64" s="21"/>
      <c r="SUG64" s="21"/>
      <c r="SUH64" s="21"/>
      <c r="SUI64" s="21"/>
      <c r="SUJ64" s="21"/>
      <c r="SUK64" s="21"/>
      <c r="SUL64" s="21"/>
      <c r="SUM64" s="21"/>
      <c r="SUN64" s="21"/>
      <c r="SUO64" s="21"/>
      <c r="SUP64" s="21"/>
      <c r="SUQ64" s="21"/>
      <c r="SUR64" s="21"/>
      <c r="SUS64" s="21"/>
      <c r="SUT64" s="21"/>
      <c r="SUU64" s="21"/>
      <c r="SUV64" s="21"/>
      <c r="SUW64" s="21"/>
      <c r="SUX64" s="21"/>
      <c r="SUY64" s="21"/>
      <c r="SUZ64" s="21"/>
      <c r="SVA64" s="21"/>
      <c r="SVB64" s="21"/>
      <c r="SVC64" s="21"/>
      <c r="SVD64" s="21"/>
      <c r="SVE64" s="21"/>
      <c r="SVF64" s="21"/>
      <c r="SVG64" s="21"/>
      <c r="SVH64" s="21"/>
      <c r="SVI64" s="21"/>
      <c r="SVJ64" s="21"/>
      <c r="SVK64" s="21"/>
      <c r="SVL64" s="21"/>
      <c r="SVM64" s="21"/>
      <c r="SVN64" s="21"/>
      <c r="SVO64" s="21"/>
      <c r="SVP64" s="21"/>
      <c r="SVQ64" s="21"/>
      <c r="SVR64" s="21"/>
      <c r="SVS64" s="21"/>
      <c r="SVT64" s="21"/>
      <c r="SVU64" s="21"/>
      <c r="SVV64" s="21"/>
      <c r="SVW64" s="21"/>
      <c r="SVX64" s="21"/>
      <c r="SVY64" s="21"/>
      <c r="SVZ64" s="21"/>
      <c r="SWA64" s="21"/>
      <c r="SWB64" s="21"/>
      <c r="SWC64" s="21"/>
      <c r="SWD64" s="21"/>
      <c r="SWE64" s="21"/>
      <c r="SWF64" s="21"/>
      <c r="SWG64" s="21"/>
      <c r="SWH64" s="21"/>
      <c r="SWI64" s="21"/>
      <c r="SWJ64" s="21"/>
      <c r="SWK64" s="21"/>
      <c r="SWL64" s="21"/>
      <c r="SWM64" s="21"/>
      <c r="SWN64" s="21"/>
      <c r="SWO64" s="21"/>
      <c r="SWP64" s="21"/>
      <c r="SWQ64" s="21"/>
      <c r="SWR64" s="21"/>
      <c r="SWS64" s="21"/>
      <c r="SWT64" s="21"/>
      <c r="SWU64" s="21"/>
      <c r="SWV64" s="21"/>
      <c r="SWW64" s="21"/>
      <c r="SWX64" s="21"/>
      <c r="SWY64" s="21"/>
      <c r="SWZ64" s="21"/>
      <c r="SXA64" s="21"/>
      <c r="SXB64" s="21"/>
      <c r="SXC64" s="21"/>
      <c r="SXD64" s="21"/>
      <c r="SXE64" s="21"/>
      <c r="SXF64" s="21"/>
      <c r="SXG64" s="21"/>
      <c r="SXH64" s="21"/>
      <c r="SXI64" s="21"/>
      <c r="SXJ64" s="21"/>
      <c r="SXK64" s="21"/>
      <c r="SXL64" s="21"/>
      <c r="SXM64" s="21"/>
      <c r="SXN64" s="21"/>
      <c r="SXO64" s="21"/>
      <c r="SXP64" s="21"/>
      <c r="SXQ64" s="21"/>
      <c r="SXR64" s="21"/>
      <c r="SXS64" s="21"/>
      <c r="SXT64" s="21"/>
      <c r="SXU64" s="21"/>
      <c r="SXV64" s="21"/>
      <c r="SXW64" s="21"/>
      <c r="SXX64" s="21"/>
      <c r="SXY64" s="21"/>
      <c r="SXZ64" s="21"/>
      <c r="SYA64" s="21"/>
      <c r="SYB64" s="21"/>
      <c r="SYC64" s="21"/>
      <c r="SYD64" s="21"/>
      <c r="SYE64" s="21"/>
      <c r="SYF64" s="21"/>
      <c r="SYG64" s="21"/>
      <c r="SYH64" s="21"/>
      <c r="SYI64" s="21"/>
      <c r="SYJ64" s="21"/>
      <c r="SYK64" s="21"/>
      <c r="SYL64" s="21"/>
      <c r="SYM64" s="21"/>
      <c r="SYN64" s="21"/>
      <c r="SYO64" s="21"/>
      <c r="SYP64" s="21"/>
      <c r="SYQ64" s="21"/>
      <c r="SYR64" s="21"/>
      <c r="SYS64" s="21"/>
      <c r="SYT64" s="21"/>
      <c r="SYU64" s="21"/>
      <c r="SYV64" s="21"/>
      <c r="SYW64" s="21"/>
      <c r="SYX64" s="21"/>
      <c r="SYY64" s="21"/>
      <c r="SYZ64" s="21"/>
      <c r="SZA64" s="21"/>
      <c r="SZB64" s="21"/>
      <c r="SZC64" s="21"/>
      <c r="SZD64" s="21"/>
      <c r="SZE64" s="21"/>
      <c r="SZF64" s="21"/>
      <c r="SZG64" s="21"/>
      <c r="SZH64" s="21"/>
      <c r="SZI64" s="21"/>
      <c r="SZJ64" s="21"/>
      <c r="SZK64" s="21"/>
      <c r="SZL64" s="21"/>
      <c r="SZM64" s="21"/>
      <c r="SZN64" s="21"/>
      <c r="SZO64" s="21"/>
      <c r="SZP64" s="21"/>
      <c r="SZQ64" s="21"/>
      <c r="SZR64" s="21"/>
      <c r="SZS64" s="21"/>
      <c r="SZT64" s="21"/>
      <c r="SZU64" s="21"/>
      <c r="SZV64" s="21"/>
      <c r="SZW64" s="21"/>
      <c r="SZX64" s="21"/>
      <c r="SZY64" s="21"/>
      <c r="SZZ64" s="21"/>
      <c r="TAA64" s="21"/>
      <c r="TAB64" s="21"/>
      <c r="TAC64" s="21"/>
      <c r="TAD64" s="21"/>
      <c r="TAE64" s="21"/>
      <c r="TAF64" s="21"/>
      <c r="TAG64" s="21"/>
      <c r="TAH64" s="21"/>
      <c r="TAI64" s="21"/>
      <c r="TAJ64" s="21"/>
      <c r="TAK64" s="21"/>
      <c r="TAL64" s="21"/>
      <c r="TAM64" s="21"/>
      <c r="TAN64" s="21"/>
      <c r="TAO64" s="21"/>
      <c r="TAP64" s="21"/>
      <c r="TAQ64" s="21"/>
      <c r="TAR64" s="21"/>
      <c r="TAS64" s="21"/>
      <c r="TAT64" s="21"/>
      <c r="TAU64" s="21"/>
      <c r="TAV64" s="21"/>
      <c r="TAW64" s="21"/>
      <c r="TAX64" s="21"/>
      <c r="TAY64" s="21"/>
      <c r="TAZ64" s="21"/>
      <c r="TBA64" s="21"/>
      <c r="TBB64" s="21"/>
      <c r="TBC64" s="21"/>
      <c r="TBD64" s="21"/>
      <c r="TBE64" s="21"/>
      <c r="TBF64" s="21"/>
      <c r="TBG64" s="21"/>
      <c r="TBH64" s="21"/>
      <c r="TBI64" s="21"/>
      <c r="TBJ64" s="21"/>
      <c r="TBK64" s="21"/>
      <c r="TBL64" s="21"/>
      <c r="TBM64" s="21"/>
      <c r="TBN64" s="21"/>
      <c r="TBO64" s="21"/>
      <c r="TBP64" s="21"/>
      <c r="TBQ64" s="21"/>
      <c r="TBR64" s="21"/>
      <c r="TBS64" s="21"/>
      <c r="TBT64" s="21"/>
      <c r="TBU64" s="21"/>
      <c r="TBV64" s="21"/>
      <c r="TBW64" s="21"/>
      <c r="TBX64" s="21"/>
      <c r="TBY64" s="21"/>
      <c r="TBZ64" s="21"/>
      <c r="TCA64" s="21"/>
      <c r="TCB64" s="21"/>
      <c r="TCC64" s="21"/>
      <c r="TCD64" s="21"/>
      <c r="TCE64" s="21"/>
      <c r="TCF64" s="21"/>
      <c r="TCG64" s="21"/>
      <c r="TCH64" s="21"/>
      <c r="TCI64" s="21"/>
      <c r="TCJ64" s="21"/>
      <c r="TCK64" s="21"/>
      <c r="TCL64" s="21"/>
      <c r="TCM64" s="21"/>
      <c r="TCN64" s="21"/>
      <c r="TCO64" s="21"/>
      <c r="TCP64" s="21"/>
      <c r="TCQ64" s="21"/>
      <c r="TCR64" s="21"/>
      <c r="TCS64" s="21"/>
      <c r="TCT64" s="21"/>
      <c r="TCU64" s="21"/>
      <c r="TCV64" s="21"/>
      <c r="TCW64" s="21"/>
      <c r="TCX64" s="21"/>
      <c r="TCY64" s="21"/>
      <c r="TCZ64" s="21"/>
      <c r="TDA64" s="21"/>
      <c r="TDB64" s="21"/>
      <c r="TDC64" s="21"/>
      <c r="TDD64" s="21"/>
      <c r="TDE64" s="21"/>
      <c r="TDF64" s="21"/>
      <c r="TDG64" s="21"/>
      <c r="TDH64" s="21"/>
      <c r="TDI64" s="21"/>
      <c r="TDJ64" s="21"/>
      <c r="TDK64" s="21"/>
      <c r="TDL64" s="21"/>
      <c r="TDM64" s="21"/>
      <c r="TDN64" s="21"/>
      <c r="TDO64" s="21"/>
      <c r="TDP64" s="21"/>
      <c r="TDQ64" s="21"/>
      <c r="TDR64" s="21"/>
      <c r="TDS64" s="21"/>
      <c r="TDT64" s="21"/>
      <c r="TDU64" s="21"/>
      <c r="TDV64" s="21"/>
      <c r="TDW64" s="21"/>
      <c r="TDX64" s="21"/>
      <c r="TDY64" s="21"/>
      <c r="TDZ64" s="21"/>
      <c r="TEA64" s="21"/>
      <c r="TEB64" s="21"/>
      <c r="TEC64" s="21"/>
      <c r="TED64" s="21"/>
      <c r="TEE64" s="21"/>
      <c r="TEF64" s="21"/>
      <c r="TEG64" s="21"/>
      <c r="TEH64" s="21"/>
      <c r="TEI64" s="21"/>
      <c r="TEJ64" s="21"/>
      <c r="TEK64" s="21"/>
      <c r="TEL64" s="21"/>
      <c r="TEM64" s="21"/>
      <c r="TEN64" s="21"/>
      <c r="TEO64" s="21"/>
      <c r="TEP64" s="21"/>
      <c r="TEQ64" s="21"/>
      <c r="TER64" s="21"/>
      <c r="TES64" s="21"/>
      <c r="TET64" s="21"/>
      <c r="TEU64" s="21"/>
      <c r="TEV64" s="21"/>
      <c r="TEW64" s="21"/>
      <c r="TEX64" s="21"/>
      <c r="TEY64" s="21"/>
      <c r="TEZ64" s="21"/>
      <c r="TFA64" s="21"/>
      <c r="TFB64" s="21"/>
      <c r="TFC64" s="21"/>
      <c r="TFD64" s="21"/>
      <c r="TFE64" s="21"/>
      <c r="TFF64" s="21"/>
      <c r="TFG64" s="21"/>
      <c r="TFH64" s="21"/>
      <c r="TFI64" s="21"/>
      <c r="TFJ64" s="21"/>
      <c r="TFK64" s="21"/>
      <c r="TFL64" s="21"/>
      <c r="TFM64" s="21"/>
      <c r="TFN64" s="21"/>
      <c r="TFO64" s="21"/>
      <c r="TFP64" s="21"/>
      <c r="TFQ64" s="21"/>
      <c r="TFR64" s="21"/>
      <c r="TFS64" s="21"/>
      <c r="TFT64" s="21"/>
      <c r="TFU64" s="21"/>
      <c r="TFV64" s="21"/>
      <c r="TFW64" s="21"/>
      <c r="TFX64" s="21"/>
      <c r="TFY64" s="21"/>
      <c r="TFZ64" s="21"/>
      <c r="TGA64" s="21"/>
      <c r="TGB64" s="21"/>
      <c r="TGC64" s="21"/>
      <c r="TGD64" s="21"/>
      <c r="TGE64" s="21"/>
      <c r="TGF64" s="21"/>
      <c r="TGG64" s="21"/>
      <c r="TGH64" s="21"/>
      <c r="TGI64" s="21"/>
      <c r="TGJ64" s="21"/>
      <c r="TGK64" s="21"/>
      <c r="TGL64" s="21"/>
      <c r="TGM64" s="21"/>
      <c r="TGN64" s="21"/>
      <c r="TGO64" s="21"/>
      <c r="TGP64" s="21"/>
      <c r="TGQ64" s="21"/>
      <c r="TGR64" s="21"/>
      <c r="TGS64" s="21"/>
      <c r="TGT64" s="21"/>
      <c r="TGU64" s="21"/>
      <c r="TGV64" s="21"/>
      <c r="TGW64" s="21"/>
      <c r="TGX64" s="21"/>
      <c r="TGY64" s="21"/>
      <c r="TGZ64" s="21"/>
      <c r="THA64" s="21"/>
      <c r="THB64" s="21"/>
      <c r="THC64" s="21"/>
      <c r="THD64" s="21"/>
      <c r="THE64" s="21"/>
      <c r="THF64" s="21"/>
      <c r="THG64" s="21"/>
      <c r="THH64" s="21"/>
      <c r="THI64" s="21"/>
      <c r="THJ64" s="21"/>
      <c r="THK64" s="21"/>
      <c r="THL64" s="21"/>
      <c r="THM64" s="21"/>
      <c r="THN64" s="21"/>
      <c r="THO64" s="21"/>
      <c r="THP64" s="21"/>
      <c r="THQ64" s="21"/>
      <c r="THR64" s="21"/>
      <c r="THS64" s="21"/>
      <c r="THT64" s="21"/>
      <c r="THU64" s="21"/>
      <c r="THV64" s="21"/>
      <c r="THW64" s="21"/>
      <c r="THX64" s="21"/>
      <c r="THY64" s="21"/>
      <c r="THZ64" s="21"/>
      <c r="TIA64" s="21"/>
      <c r="TIB64" s="21"/>
      <c r="TIC64" s="21"/>
      <c r="TID64" s="21"/>
      <c r="TIE64" s="21"/>
      <c r="TIF64" s="21"/>
      <c r="TIG64" s="21"/>
      <c r="TIH64" s="21"/>
      <c r="TII64" s="21"/>
      <c r="TIJ64" s="21"/>
      <c r="TIK64" s="21"/>
      <c r="TIL64" s="21"/>
      <c r="TIM64" s="21"/>
      <c r="TIN64" s="21"/>
      <c r="TIO64" s="21"/>
      <c r="TIP64" s="21"/>
      <c r="TIQ64" s="21"/>
      <c r="TIR64" s="21"/>
      <c r="TIS64" s="21"/>
      <c r="TIT64" s="21"/>
      <c r="TIU64" s="21"/>
      <c r="TIV64" s="21"/>
      <c r="TIW64" s="21"/>
      <c r="TIX64" s="21"/>
      <c r="TIY64" s="21"/>
      <c r="TIZ64" s="21"/>
      <c r="TJA64" s="21"/>
      <c r="TJB64" s="21"/>
      <c r="TJC64" s="21"/>
      <c r="TJD64" s="21"/>
      <c r="TJE64" s="21"/>
      <c r="TJF64" s="21"/>
      <c r="TJG64" s="21"/>
      <c r="TJH64" s="21"/>
      <c r="TJI64" s="21"/>
      <c r="TJJ64" s="21"/>
      <c r="TJK64" s="21"/>
      <c r="TJL64" s="21"/>
      <c r="TJM64" s="21"/>
      <c r="TJN64" s="21"/>
      <c r="TJO64" s="21"/>
      <c r="TJP64" s="21"/>
      <c r="TJQ64" s="21"/>
      <c r="TJR64" s="21"/>
      <c r="TJS64" s="21"/>
      <c r="TJT64" s="21"/>
      <c r="TJU64" s="21"/>
      <c r="TJV64" s="21"/>
      <c r="TJW64" s="21"/>
      <c r="TJX64" s="21"/>
      <c r="TJY64" s="21"/>
      <c r="TJZ64" s="21"/>
      <c r="TKA64" s="21"/>
      <c r="TKB64" s="21"/>
      <c r="TKC64" s="21"/>
      <c r="TKD64" s="21"/>
      <c r="TKE64" s="21"/>
      <c r="TKF64" s="21"/>
      <c r="TKG64" s="21"/>
      <c r="TKH64" s="21"/>
      <c r="TKI64" s="21"/>
      <c r="TKJ64" s="21"/>
      <c r="TKK64" s="21"/>
      <c r="TKL64" s="21"/>
      <c r="TKM64" s="21"/>
      <c r="TKN64" s="21"/>
      <c r="TKO64" s="21"/>
      <c r="TKP64" s="21"/>
      <c r="TKQ64" s="21"/>
      <c r="TKR64" s="21"/>
      <c r="TKS64" s="21"/>
      <c r="TKT64" s="21"/>
      <c r="TKU64" s="21"/>
      <c r="TKV64" s="21"/>
      <c r="TKW64" s="21"/>
      <c r="TKX64" s="21"/>
      <c r="TKY64" s="21"/>
      <c r="TKZ64" s="21"/>
      <c r="TLA64" s="21"/>
      <c r="TLB64" s="21"/>
      <c r="TLC64" s="21"/>
      <c r="TLD64" s="21"/>
      <c r="TLE64" s="21"/>
      <c r="TLF64" s="21"/>
      <c r="TLG64" s="21"/>
      <c r="TLH64" s="21"/>
      <c r="TLI64" s="21"/>
      <c r="TLJ64" s="21"/>
      <c r="TLK64" s="21"/>
      <c r="TLL64" s="21"/>
      <c r="TLM64" s="21"/>
      <c r="TLN64" s="21"/>
      <c r="TLO64" s="21"/>
      <c r="TLP64" s="21"/>
      <c r="TLQ64" s="21"/>
      <c r="TLR64" s="21"/>
      <c r="TLS64" s="21"/>
      <c r="TLT64" s="21"/>
      <c r="TLU64" s="21"/>
      <c r="TLV64" s="21"/>
      <c r="TLW64" s="21"/>
      <c r="TLX64" s="21"/>
      <c r="TLY64" s="21"/>
      <c r="TLZ64" s="21"/>
      <c r="TMA64" s="21"/>
      <c r="TMB64" s="21"/>
      <c r="TMC64" s="21"/>
      <c r="TMD64" s="21"/>
      <c r="TME64" s="21"/>
      <c r="TMF64" s="21"/>
      <c r="TMG64" s="21"/>
      <c r="TMH64" s="21"/>
      <c r="TMI64" s="21"/>
      <c r="TMJ64" s="21"/>
      <c r="TMK64" s="21"/>
      <c r="TML64" s="21"/>
      <c r="TMM64" s="21"/>
      <c r="TMN64" s="21"/>
      <c r="TMO64" s="21"/>
      <c r="TMP64" s="21"/>
      <c r="TMQ64" s="21"/>
      <c r="TMR64" s="21"/>
      <c r="TMS64" s="21"/>
      <c r="TMT64" s="21"/>
      <c r="TMU64" s="21"/>
      <c r="TMV64" s="21"/>
      <c r="TMW64" s="21"/>
      <c r="TMX64" s="21"/>
      <c r="TMY64" s="21"/>
      <c r="TMZ64" s="21"/>
      <c r="TNA64" s="21"/>
      <c r="TNB64" s="21"/>
      <c r="TNC64" s="21"/>
      <c r="TND64" s="21"/>
      <c r="TNE64" s="21"/>
      <c r="TNF64" s="21"/>
      <c r="TNG64" s="21"/>
      <c r="TNH64" s="21"/>
      <c r="TNI64" s="21"/>
      <c r="TNJ64" s="21"/>
      <c r="TNK64" s="21"/>
      <c r="TNL64" s="21"/>
      <c r="TNM64" s="21"/>
      <c r="TNN64" s="21"/>
      <c r="TNO64" s="21"/>
      <c r="TNP64" s="21"/>
      <c r="TNQ64" s="21"/>
      <c r="TNR64" s="21"/>
      <c r="TNS64" s="21"/>
      <c r="TNT64" s="21"/>
      <c r="TNU64" s="21"/>
      <c r="TNV64" s="21"/>
      <c r="TNW64" s="21"/>
      <c r="TNX64" s="21"/>
      <c r="TNY64" s="21"/>
      <c r="TNZ64" s="21"/>
      <c r="TOA64" s="21"/>
      <c r="TOB64" s="21"/>
      <c r="TOC64" s="21"/>
      <c r="TOD64" s="21"/>
      <c r="TOE64" s="21"/>
      <c r="TOF64" s="21"/>
      <c r="TOG64" s="21"/>
      <c r="TOH64" s="21"/>
      <c r="TOI64" s="21"/>
      <c r="TOJ64" s="21"/>
      <c r="TOK64" s="21"/>
      <c r="TOL64" s="21"/>
      <c r="TOM64" s="21"/>
      <c r="TON64" s="21"/>
      <c r="TOO64" s="21"/>
      <c r="TOP64" s="21"/>
      <c r="TOQ64" s="21"/>
      <c r="TOR64" s="21"/>
      <c r="TOS64" s="21"/>
      <c r="TOT64" s="21"/>
      <c r="TOU64" s="21"/>
      <c r="TOV64" s="21"/>
      <c r="TOW64" s="21"/>
      <c r="TOX64" s="21"/>
      <c r="TOY64" s="21"/>
      <c r="TOZ64" s="21"/>
      <c r="TPA64" s="21"/>
      <c r="TPB64" s="21"/>
      <c r="TPC64" s="21"/>
      <c r="TPD64" s="21"/>
      <c r="TPE64" s="21"/>
      <c r="TPF64" s="21"/>
      <c r="TPG64" s="21"/>
      <c r="TPH64" s="21"/>
      <c r="TPI64" s="21"/>
      <c r="TPJ64" s="21"/>
      <c r="TPK64" s="21"/>
      <c r="TPL64" s="21"/>
      <c r="TPM64" s="21"/>
      <c r="TPN64" s="21"/>
      <c r="TPO64" s="21"/>
      <c r="TPP64" s="21"/>
      <c r="TPQ64" s="21"/>
      <c r="TPR64" s="21"/>
      <c r="TPS64" s="21"/>
      <c r="TPT64" s="21"/>
      <c r="TPU64" s="21"/>
      <c r="TPV64" s="21"/>
      <c r="TPW64" s="21"/>
      <c r="TPX64" s="21"/>
      <c r="TPY64" s="21"/>
      <c r="TPZ64" s="21"/>
      <c r="TQA64" s="21"/>
      <c r="TQB64" s="21"/>
      <c r="TQC64" s="21"/>
      <c r="TQD64" s="21"/>
      <c r="TQE64" s="21"/>
      <c r="TQF64" s="21"/>
      <c r="TQG64" s="21"/>
      <c r="TQH64" s="21"/>
      <c r="TQI64" s="21"/>
      <c r="TQJ64" s="21"/>
      <c r="TQK64" s="21"/>
      <c r="TQL64" s="21"/>
      <c r="TQM64" s="21"/>
      <c r="TQN64" s="21"/>
      <c r="TQO64" s="21"/>
      <c r="TQP64" s="21"/>
      <c r="TQQ64" s="21"/>
      <c r="TQR64" s="21"/>
      <c r="TQS64" s="21"/>
      <c r="TQT64" s="21"/>
      <c r="TQU64" s="21"/>
      <c r="TQV64" s="21"/>
      <c r="TQW64" s="21"/>
      <c r="TQX64" s="21"/>
      <c r="TQY64" s="21"/>
      <c r="TQZ64" s="21"/>
      <c r="TRA64" s="21"/>
      <c r="TRB64" s="21"/>
      <c r="TRC64" s="21"/>
      <c r="TRD64" s="21"/>
      <c r="TRE64" s="21"/>
      <c r="TRF64" s="21"/>
      <c r="TRG64" s="21"/>
      <c r="TRH64" s="21"/>
      <c r="TRI64" s="21"/>
      <c r="TRJ64" s="21"/>
      <c r="TRK64" s="21"/>
      <c r="TRL64" s="21"/>
      <c r="TRM64" s="21"/>
      <c r="TRN64" s="21"/>
      <c r="TRO64" s="21"/>
      <c r="TRP64" s="21"/>
      <c r="TRQ64" s="21"/>
      <c r="TRR64" s="21"/>
      <c r="TRS64" s="21"/>
      <c r="TRT64" s="21"/>
      <c r="TRU64" s="21"/>
      <c r="TRV64" s="21"/>
      <c r="TRW64" s="21"/>
      <c r="TRX64" s="21"/>
      <c r="TRY64" s="21"/>
      <c r="TRZ64" s="21"/>
      <c r="TSA64" s="21"/>
      <c r="TSB64" s="21"/>
      <c r="TSC64" s="21"/>
      <c r="TSD64" s="21"/>
      <c r="TSE64" s="21"/>
      <c r="TSF64" s="21"/>
      <c r="TSG64" s="21"/>
      <c r="TSH64" s="21"/>
      <c r="TSI64" s="21"/>
      <c r="TSJ64" s="21"/>
      <c r="TSK64" s="21"/>
      <c r="TSL64" s="21"/>
      <c r="TSM64" s="21"/>
      <c r="TSN64" s="21"/>
      <c r="TSO64" s="21"/>
      <c r="TSP64" s="21"/>
      <c r="TSQ64" s="21"/>
      <c r="TSR64" s="21"/>
      <c r="TSS64" s="21"/>
      <c r="TST64" s="21"/>
      <c r="TSU64" s="21"/>
      <c r="TSV64" s="21"/>
      <c r="TSW64" s="21"/>
      <c r="TSX64" s="21"/>
      <c r="TSY64" s="21"/>
      <c r="TSZ64" s="21"/>
      <c r="TTA64" s="21"/>
      <c r="TTB64" s="21"/>
      <c r="TTC64" s="21"/>
      <c r="TTD64" s="21"/>
      <c r="TTE64" s="21"/>
      <c r="TTF64" s="21"/>
      <c r="TTG64" s="21"/>
      <c r="TTH64" s="21"/>
      <c r="TTI64" s="21"/>
      <c r="TTJ64" s="21"/>
      <c r="TTK64" s="21"/>
      <c r="TTL64" s="21"/>
      <c r="TTM64" s="21"/>
      <c r="TTN64" s="21"/>
      <c r="TTO64" s="21"/>
      <c r="TTP64" s="21"/>
      <c r="TTQ64" s="21"/>
      <c r="TTR64" s="21"/>
      <c r="TTS64" s="21"/>
      <c r="TTT64" s="21"/>
      <c r="TTU64" s="21"/>
      <c r="TTV64" s="21"/>
      <c r="TTW64" s="21"/>
      <c r="TTX64" s="21"/>
      <c r="TTY64" s="21"/>
      <c r="TTZ64" s="21"/>
      <c r="TUA64" s="21"/>
      <c r="TUB64" s="21"/>
      <c r="TUC64" s="21"/>
      <c r="TUD64" s="21"/>
      <c r="TUE64" s="21"/>
      <c r="TUF64" s="21"/>
      <c r="TUG64" s="21"/>
      <c r="TUH64" s="21"/>
      <c r="TUI64" s="21"/>
      <c r="TUJ64" s="21"/>
      <c r="TUK64" s="21"/>
      <c r="TUL64" s="21"/>
      <c r="TUM64" s="21"/>
      <c r="TUN64" s="21"/>
      <c r="TUO64" s="21"/>
      <c r="TUP64" s="21"/>
      <c r="TUQ64" s="21"/>
      <c r="TUR64" s="21"/>
      <c r="TUS64" s="21"/>
      <c r="TUT64" s="21"/>
      <c r="TUU64" s="21"/>
      <c r="TUV64" s="21"/>
      <c r="TUW64" s="21"/>
      <c r="TUX64" s="21"/>
      <c r="TUY64" s="21"/>
      <c r="TUZ64" s="21"/>
      <c r="TVA64" s="21"/>
      <c r="TVB64" s="21"/>
      <c r="TVC64" s="21"/>
      <c r="TVD64" s="21"/>
      <c r="TVE64" s="21"/>
      <c r="TVF64" s="21"/>
      <c r="TVG64" s="21"/>
      <c r="TVH64" s="21"/>
      <c r="TVI64" s="21"/>
      <c r="TVJ64" s="21"/>
      <c r="TVK64" s="21"/>
      <c r="TVL64" s="21"/>
      <c r="TVM64" s="21"/>
      <c r="TVN64" s="21"/>
      <c r="TVO64" s="21"/>
      <c r="TVP64" s="21"/>
      <c r="TVQ64" s="21"/>
      <c r="TVR64" s="21"/>
      <c r="TVS64" s="21"/>
      <c r="TVT64" s="21"/>
      <c r="TVU64" s="21"/>
      <c r="TVV64" s="21"/>
      <c r="TVW64" s="21"/>
      <c r="TVX64" s="21"/>
      <c r="TVY64" s="21"/>
      <c r="TVZ64" s="21"/>
      <c r="TWA64" s="21"/>
      <c r="TWB64" s="21"/>
      <c r="TWC64" s="21"/>
      <c r="TWD64" s="21"/>
      <c r="TWE64" s="21"/>
      <c r="TWF64" s="21"/>
      <c r="TWG64" s="21"/>
      <c r="TWH64" s="21"/>
      <c r="TWI64" s="21"/>
      <c r="TWJ64" s="21"/>
      <c r="TWK64" s="21"/>
      <c r="TWL64" s="21"/>
      <c r="TWM64" s="21"/>
      <c r="TWN64" s="21"/>
      <c r="TWO64" s="21"/>
      <c r="TWP64" s="21"/>
      <c r="TWQ64" s="21"/>
      <c r="TWR64" s="21"/>
      <c r="TWS64" s="21"/>
      <c r="TWT64" s="21"/>
      <c r="TWU64" s="21"/>
      <c r="TWV64" s="21"/>
      <c r="TWW64" s="21"/>
      <c r="TWX64" s="21"/>
      <c r="TWY64" s="21"/>
      <c r="TWZ64" s="21"/>
      <c r="TXA64" s="21"/>
      <c r="TXB64" s="21"/>
      <c r="TXC64" s="21"/>
      <c r="TXD64" s="21"/>
      <c r="TXE64" s="21"/>
      <c r="TXF64" s="21"/>
      <c r="TXG64" s="21"/>
      <c r="TXH64" s="21"/>
      <c r="TXI64" s="21"/>
      <c r="TXJ64" s="21"/>
      <c r="TXK64" s="21"/>
      <c r="TXL64" s="21"/>
      <c r="TXM64" s="21"/>
      <c r="TXN64" s="21"/>
      <c r="TXO64" s="21"/>
      <c r="TXP64" s="21"/>
      <c r="TXQ64" s="21"/>
      <c r="TXR64" s="21"/>
      <c r="TXS64" s="21"/>
      <c r="TXT64" s="21"/>
      <c r="TXU64" s="21"/>
      <c r="TXV64" s="21"/>
      <c r="TXW64" s="21"/>
      <c r="TXX64" s="21"/>
      <c r="TXY64" s="21"/>
      <c r="TXZ64" s="21"/>
      <c r="TYA64" s="21"/>
      <c r="TYB64" s="21"/>
      <c r="TYC64" s="21"/>
      <c r="TYD64" s="21"/>
      <c r="TYE64" s="21"/>
      <c r="TYF64" s="21"/>
      <c r="TYG64" s="21"/>
      <c r="TYH64" s="21"/>
      <c r="TYI64" s="21"/>
      <c r="TYJ64" s="21"/>
      <c r="TYK64" s="21"/>
      <c r="TYL64" s="21"/>
      <c r="TYM64" s="21"/>
      <c r="TYN64" s="21"/>
      <c r="TYO64" s="21"/>
      <c r="TYP64" s="21"/>
      <c r="TYQ64" s="21"/>
      <c r="TYR64" s="21"/>
      <c r="TYS64" s="21"/>
      <c r="TYT64" s="21"/>
      <c r="TYU64" s="21"/>
      <c r="TYV64" s="21"/>
      <c r="TYW64" s="21"/>
      <c r="TYX64" s="21"/>
      <c r="TYY64" s="21"/>
      <c r="TYZ64" s="21"/>
      <c r="TZA64" s="21"/>
      <c r="TZB64" s="21"/>
      <c r="TZC64" s="21"/>
      <c r="TZD64" s="21"/>
      <c r="TZE64" s="21"/>
      <c r="TZF64" s="21"/>
      <c r="TZG64" s="21"/>
      <c r="TZH64" s="21"/>
      <c r="TZI64" s="21"/>
      <c r="TZJ64" s="21"/>
      <c r="TZK64" s="21"/>
      <c r="TZL64" s="21"/>
      <c r="TZM64" s="21"/>
      <c r="TZN64" s="21"/>
      <c r="TZO64" s="21"/>
      <c r="TZP64" s="21"/>
      <c r="TZQ64" s="21"/>
      <c r="TZR64" s="21"/>
      <c r="TZS64" s="21"/>
      <c r="TZT64" s="21"/>
      <c r="TZU64" s="21"/>
      <c r="TZV64" s="21"/>
      <c r="TZW64" s="21"/>
      <c r="TZX64" s="21"/>
      <c r="TZY64" s="21"/>
      <c r="TZZ64" s="21"/>
      <c r="UAA64" s="21"/>
      <c r="UAB64" s="21"/>
      <c r="UAC64" s="21"/>
      <c r="UAD64" s="21"/>
      <c r="UAE64" s="21"/>
      <c r="UAF64" s="21"/>
      <c r="UAG64" s="21"/>
      <c r="UAH64" s="21"/>
      <c r="UAI64" s="21"/>
      <c r="UAJ64" s="21"/>
      <c r="UAK64" s="21"/>
      <c r="UAL64" s="21"/>
      <c r="UAM64" s="21"/>
      <c r="UAN64" s="21"/>
      <c r="UAO64" s="21"/>
      <c r="UAP64" s="21"/>
      <c r="UAQ64" s="21"/>
      <c r="UAR64" s="21"/>
      <c r="UAS64" s="21"/>
      <c r="UAT64" s="21"/>
      <c r="UAU64" s="21"/>
      <c r="UAV64" s="21"/>
      <c r="UAW64" s="21"/>
      <c r="UAX64" s="21"/>
      <c r="UAY64" s="21"/>
      <c r="UAZ64" s="21"/>
      <c r="UBA64" s="21"/>
      <c r="UBB64" s="21"/>
      <c r="UBC64" s="21"/>
      <c r="UBD64" s="21"/>
      <c r="UBE64" s="21"/>
      <c r="UBF64" s="21"/>
      <c r="UBG64" s="21"/>
      <c r="UBH64" s="21"/>
      <c r="UBI64" s="21"/>
      <c r="UBJ64" s="21"/>
      <c r="UBK64" s="21"/>
      <c r="UBL64" s="21"/>
      <c r="UBM64" s="21"/>
      <c r="UBN64" s="21"/>
      <c r="UBO64" s="21"/>
      <c r="UBP64" s="21"/>
      <c r="UBQ64" s="21"/>
      <c r="UBR64" s="21"/>
      <c r="UBS64" s="21"/>
      <c r="UBT64" s="21"/>
      <c r="UBU64" s="21"/>
      <c r="UBV64" s="21"/>
      <c r="UBW64" s="21"/>
      <c r="UBX64" s="21"/>
      <c r="UBY64" s="21"/>
      <c r="UBZ64" s="21"/>
      <c r="UCA64" s="21"/>
      <c r="UCB64" s="21"/>
      <c r="UCC64" s="21"/>
      <c r="UCD64" s="21"/>
      <c r="UCE64" s="21"/>
      <c r="UCF64" s="21"/>
      <c r="UCG64" s="21"/>
      <c r="UCH64" s="21"/>
      <c r="UCI64" s="21"/>
      <c r="UCJ64" s="21"/>
      <c r="UCK64" s="21"/>
      <c r="UCL64" s="21"/>
      <c r="UCM64" s="21"/>
      <c r="UCN64" s="21"/>
      <c r="UCO64" s="21"/>
      <c r="UCP64" s="21"/>
      <c r="UCQ64" s="21"/>
      <c r="UCR64" s="21"/>
      <c r="UCS64" s="21"/>
      <c r="UCT64" s="21"/>
      <c r="UCU64" s="21"/>
      <c r="UCV64" s="21"/>
      <c r="UCW64" s="21"/>
      <c r="UCX64" s="21"/>
      <c r="UCY64" s="21"/>
      <c r="UCZ64" s="21"/>
      <c r="UDA64" s="21"/>
      <c r="UDB64" s="21"/>
      <c r="UDC64" s="21"/>
      <c r="UDD64" s="21"/>
      <c r="UDE64" s="21"/>
      <c r="UDF64" s="21"/>
      <c r="UDG64" s="21"/>
      <c r="UDH64" s="21"/>
      <c r="UDI64" s="21"/>
      <c r="UDJ64" s="21"/>
      <c r="UDK64" s="21"/>
      <c r="UDL64" s="21"/>
      <c r="UDM64" s="21"/>
      <c r="UDN64" s="21"/>
      <c r="UDO64" s="21"/>
      <c r="UDP64" s="21"/>
      <c r="UDQ64" s="21"/>
      <c r="UDR64" s="21"/>
      <c r="UDS64" s="21"/>
      <c r="UDT64" s="21"/>
      <c r="UDU64" s="21"/>
      <c r="UDV64" s="21"/>
      <c r="UDW64" s="21"/>
      <c r="UDX64" s="21"/>
      <c r="UDY64" s="21"/>
      <c r="UDZ64" s="21"/>
      <c r="UEA64" s="21"/>
      <c r="UEB64" s="21"/>
      <c r="UEC64" s="21"/>
      <c r="UED64" s="21"/>
      <c r="UEE64" s="21"/>
      <c r="UEF64" s="21"/>
      <c r="UEG64" s="21"/>
      <c r="UEH64" s="21"/>
      <c r="UEI64" s="21"/>
      <c r="UEJ64" s="21"/>
      <c r="UEK64" s="21"/>
      <c r="UEL64" s="21"/>
      <c r="UEM64" s="21"/>
      <c r="UEN64" s="21"/>
      <c r="UEO64" s="21"/>
      <c r="UEP64" s="21"/>
      <c r="UEQ64" s="21"/>
      <c r="UER64" s="21"/>
      <c r="UES64" s="21"/>
      <c r="UET64" s="21"/>
      <c r="UEU64" s="21"/>
      <c r="UEV64" s="21"/>
      <c r="UEW64" s="21"/>
      <c r="UEX64" s="21"/>
      <c r="UEY64" s="21"/>
      <c r="UEZ64" s="21"/>
      <c r="UFA64" s="21"/>
      <c r="UFB64" s="21"/>
      <c r="UFC64" s="21"/>
      <c r="UFD64" s="21"/>
      <c r="UFE64" s="21"/>
      <c r="UFF64" s="21"/>
      <c r="UFG64" s="21"/>
      <c r="UFH64" s="21"/>
      <c r="UFI64" s="21"/>
      <c r="UFJ64" s="21"/>
      <c r="UFK64" s="21"/>
      <c r="UFL64" s="21"/>
      <c r="UFM64" s="21"/>
      <c r="UFN64" s="21"/>
      <c r="UFO64" s="21"/>
      <c r="UFP64" s="21"/>
      <c r="UFQ64" s="21"/>
      <c r="UFR64" s="21"/>
      <c r="UFS64" s="21"/>
      <c r="UFT64" s="21"/>
      <c r="UFU64" s="21"/>
      <c r="UFV64" s="21"/>
      <c r="UFW64" s="21"/>
      <c r="UFX64" s="21"/>
      <c r="UFY64" s="21"/>
      <c r="UFZ64" s="21"/>
      <c r="UGA64" s="21"/>
      <c r="UGB64" s="21"/>
      <c r="UGC64" s="21"/>
      <c r="UGD64" s="21"/>
      <c r="UGE64" s="21"/>
      <c r="UGF64" s="21"/>
      <c r="UGG64" s="21"/>
      <c r="UGH64" s="21"/>
      <c r="UGI64" s="21"/>
      <c r="UGJ64" s="21"/>
      <c r="UGK64" s="21"/>
      <c r="UGL64" s="21"/>
      <c r="UGM64" s="21"/>
      <c r="UGN64" s="21"/>
      <c r="UGO64" s="21"/>
      <c r="UGP64" s="21"/>
      <c r="UGQ64" s="21"/>
      <c r="UGR64" s="21"/>
      <c r="UGS64" s="21"/>
      <c r="UGT64" s="21"/>
      <c r="UGU64" s="21"/>
      <c r="UGV64" s="21"/>
      <c r="UGW64" s="21"/>
      <c r="UGX64" s="21"/>
      <c r="UGY64" s="21"/>
      <c r="UGZ64" s="21"/>
      <c r="UHA64" s="21"/>
      <c r="UHB64" s="21"/>
      <c r="UHC64" s="21"/>
      <c r="UHD64" s="21"/>
      <c r="UHE64" s="21"/>
      <c r="UHF64" s="21"/>
      <c r="UHG64" s="21"/>
      <c r="UHH64" s="21"/>
      <c r="UHI64" s="21"/>
      <c r="UHJ64" s="21"/>
      <c r="UHK64" s="21"/>
      <c r="UHL64" s="21"/>
      <c r="UHM64" s="21"/>
      <c r="UHN64" s="21"/>
      <c r="UHO64" s="21"/>
      <c r="UHP64" s="21"/>
      <c r="UHQ64" s="21"/>
      <c r="UHR64" s="21"/>
      <c r="UHS64" s="21"/>
      <c r="UHT64" s="21"/>
      <c r="UHU64" s="21"/>
      <c r="UHV64" s="21"/>
      <c r="UHW64" s="21"/>
      <c r="UHX64" s="21"/>
      <c r="UHY64" s="21"/>
      <c r="UHZ64" s="21"/>
      <c r="UIA64" s="21"/>
      <c r="UIB64" s="21"/>
      <c r="UIC64" s="21"/>
      <c r="UID64" s="21"/>
      <c r="UIE64" s="21"/>
      <c r="UIF64" s="21"/>
      <c r="UIG64" s="21"/>
      <c r="UIH64" s="21"/>
      <c r="UII64" s="21"/>
      <c r="UIJ64" s="21"/>
      <c r="UIK64" s="21"/>
      <c r="UIL64" s="21"/>
      <c r="UIM64" s="21"/>
      <c r="UIN64" s="21"/>
      <c r="UIO64" s="21"/>
      <c r="UIP64" s="21"/>
      <c r="UIQ64" s="21"/>
      <c r="UIR64" s="21"/>
      <c r="UIS64" s="21"/>
      <c r="UIT64" s="21"/>
      <c r="UIU64" s="21"/>
      <c r="UIV64" s="21"/>
      <c r="UIW64" s="21"/>
      <c r="UIX64" s="21"/>
      <c r="UIY64" s="21"/>
      <c r="UIZ64" s="21"/>
      <c r="UJA64" s="21"/>
      <c r="UJB64" s="21"/>
      <c r="UJC64" s="21"/>
      <c r="UJD64" s="21"/>
      <c r="UJE64" s="21"/>
      <c r="UJF64" s="21"/>
      <c r="UJG64" s="21"/>
      <c r="UJH64" s="21"/>
      <c r="UJI64" s="21"/>
      <c r="UJJ64" s="21"/>
      <c r="UJK64" s="21"/>
      <c r="UJL64" s="21"/>
      <c r="UJM64" s="21"/>
      <c r="UJN64" s="21"/>
      <c r="UJO64" s="21"/>
      <c r="UJP64" s="21"/>
      <c r="UJQ64" s="21"/>
      <c r="UJR64" s="21"/>
      <c r="UJS64" s="21"/>
      <c r="UJT64" s="21"/>
      <c r="UJU64" s="21"/>
      <c r="UJV64" s="21"/>
      <c r="UJW64" s="21"/>
      <c r="UJX64" s="21"/>
      <c r="UJY64" s="21"/>
      <c r="UJZ64" s="21"/>
      <c r="UKA64" s="21"/>
      <c r="UKB64" s="21"/>
      <c r="UKC64" s="21"/>
      <c r="UKD64" s="21"/>
      <c r="UKE64" s="21"/>
      <c r="UKF64" s="21"/>
      <c r="UKG64" s="21"/>
      <c r="UKH64" s="21"/>
      <c r="UKI64" s="21"/>
      <c r="UKJ64" s="21"/>
      <c r="UKK64" s="21"/>
      <c r="UKL64" s="21"/>
      <c r="UKM64" s="21"/>
      <c r="UKN64" s="21"/>
      <c r="UKO64" s="21"/>
      <c r="UKP64" s="21"/>
      <c r="UKQ64" s="21"/>
      <c r="UKR64" s="21"/>
      <c r="UKS64" s="21"/>
      <c r="UKT64" s="21"/>
      <c r="UKU64" s="21"/>
      <c r="UKV64" s="21"/>
      <c r="UKW64" s="21"/>
      <c r="UKX64" s="21"/>
      <c r="UKY64" s="21"/>
      <c r="UKZ64" s="21"/>
      <c r="ULA64" s="21"/>
      <c r="ULB64" s="21"/>
      <c r="ULC64" s="21"/>
      <c r="ULD64" s="21"/>
      <c r="ULE64" s="21"/>
      <c r="ULF64" s="21"/>
      <c r="ULG64" s="21"/>
      <c r="ULH64" s="21"/>
      <c r="ULI64" s="21"/>
      <c r="ULJ64" s="21"/>
      <c r="ULK64" s="21"/>
      <c r="ULL64" s="21"/>
      <c r="ULM64" s="21"/>
      <c r="ULN64" s="21"/>
      <c r="ULO64" s="21"/>
      <c r="ULP64" s="21"/>
      <c r="ULQ64" s="21"/>
      <c r="ULR64" s="21"/>
      <c r="ULS64" s="21"/>
      <c r="ULT64" s="21"/>
      <c r="ULU64" s="21"/>
      <c r="ULV64" s="21"/>
      <c r="ULW64" s="21"/>
      <c r="ULX64" s="21"/>
      <c r="ULY64" s="21"/>
      <c r="ULZ64" s="21"/>
      <c r="UMA64" s="21"/>
      <c r="UMB64" s="21"/>
      <c r="UMC64" s="21"/>
      <c r="UMD64" s="21"/>
      <c r="UME64" s="21"/>
      <c r="UMF64" s="21"/>
      <c r="UMG64" s="21"/>
      <c r="UMH64" s="21"/>
      <c r="UMI64" s="21"/>
      <c r="UMJ64" s="21"/>
      <c r="UMK64" s="21"/>
      <c r="UML64" s="21"/>
      <c r="UMM64" s="21"/>
      <c r="UMN64" s="21"/>
      <c r="UMO64" s="21"/>
      <c r="UMP64" s="21"/>
      <c r="UMQ64" s="21"/>
      <c r="UMR64" s="21"/>
      <c r="UMS64" s="21"/>
      <c r="UMT64" s="21"/>
      <c r="UMU64" s="21"/>
      <c r="UMV64" s="21"/>
      <c r="UMW64" s="21"/>
      <c r="UMX64" s="21"/>
      <c r="UMY64" s="21"/>
      <c r="UMZ64" s="21"/>
      <c r="UNA64" s="21"/>
      <c r="UNB64" s="21"/>
      <c r="UNC64" s="21"/>
      <c r="UND64" s="21"/>
      <c r="UNE64" s="21"/>
      <c r="UNF64" s="21"/>
      <c r="UNG64" s="21"/>
      <c r="UNH64" s="21"/>
      <c r="UNI64" s="21"/>
      <c r="UNJ64" s="21"/>
      <c r="UNK64" s="21"/>
      <c r="UNL64" s="21"/>
      <c r="UNM64" s="21"/>
      <c r="UNN64" s="21"/>
      <c r="UNO64" s="21"/>
      <c r="UNP64" s="21"/>
      <c r="UNQ64" s="21"/>
      <c r="UNR64" s="21"/>
      <c r="UNS64" s="21"/>
      <c r="UNT64" s="21"/>
      <c r="UNU64" s="21"/>
      <c r="UNV64" s="21"/>
      <c r="UNW64" s="21"/>
      <c r="UNX64" s="21"/>
      <c r="UNY64" s="21"/>
      <c r="UNZ64" s="21"/>
      <c r="UOA64" s="21"/>
      <c r="UOB64" s="21"/>
      <c r="UOC64" s="21"/>
      <c r="UOD64" s="21"/>
      <c r="UOE64" s="21"/>
      <c r="UOF64" s="21"/>
      <c r="UOG64" s="21"/>
      <c r="UOH64" s="21"/>
      <c r="UOI64" s="21"/>
      <c r="UOJ64" s="21"/>
      <c r="UOK64" s="21"/>
      <c r="UOL64" s="21"/>
      <c r="UOM64" s="21"/>
      <c r="UON64" s="21"/>
      <c r="UOO64" s="21"/>
      <c r="UOP64" s="21"/>
      <c r="UOQ64" s="21"/>
      <c r="UOR64" s="21"/>
      <c r="UOS64" s="21"/>
      <c r="UOT64" s="21"/>
      <c r="UOU64" s="21"/>
      <c r="UOV64" s="21"/>
      <c r="UOW64" s="21"/>
      <c r="UOX64" s="21"/>
      <c r="UOY64" s="21"/>
      <c r="UOZ64" s="21"/>
      <c r="UPA64" s="21"/>
      <c r="UPB64" s="21"/>
      <c r="UPC64" s="21"/>
      <c r="UPD64" s="21"/>
      <c r="UPE64" s="21"/>
      <c r="UPF64" s="21"/>
      <c r="UPG64" s="21"/>
      <c r="UPH64" s="21"/>
      <c r="UPI64" s="21"/>
      <c r="UPJ64" s="21"/>
      <c r="UPK64" s="21"/>
      <c r="UPL64" s="21"/>
      <c r="UPM64" s="21"/>
      <c r="UPN64" s="21"/>
      <c r="UPO64" s="21"/>
      <c r="UPP64" s="21"/>
      <c r="UPQ64" s="21"/>
      <c r="UPR64" s="21"/>
      <c r="UPS64" s="21"/>
      <c r="UPT64" s="21"/>
      <c r="UPU64" s="21"/>
      <c r="UPV64" s="21"/>
      <c r="UPW64" s="21"/>
      <c r="UPX64" s="21"/>
      <c r="UPY64" s="21"/>
      <c r="UPZ64" s="21"/>
      <c r="UQA64" s="21"/>
      <c r="UQB64" s="21"/>
      <c r="UQC64" s="21"/>
      <c r="UQD64" s="21"/>
      <c r="UQE64" s="21"/>
      <c r="UQF64" s="21"/>
      <c r="UQG64" s="21"/>
      <c r="UQH64" s="21"/>
      <c r="UQI64" s="21"/>
      <c r="UQJ64" s="21"/>
      <c r="UQK64" s="21"/>
      <c r="UQL64" s="21"/>
      <c r="UQM64" s="21"/>
      <c r="UQN64" s="21"/>
      <c r="UQO64" s="21"/>
      <c r="UQP64" s="21"/>
      <c r="UQQ64" s="21"/>
      <c r="UQR64" s="21"/>
      <c r="UQS64" s="21"/>
      <c r="UQT64" s="21"/>
      <c r="UQU64" s="21"/>
      <c r="UQV64" s="21"/>
      <c r="UQW64" s="21"/>
      <c r="UQX64" s="21"/>
      <c r="UQY64" s="21"/>
      <c r="UQZ64" s="21"/>
      <c r="URA64" s="21"/>
      <c r="URB64" s="21"/>
      <c r="URC64" s="21"/>
      <c r="URD64" s="21"/>
      <c r="URE64" s="21"/>
      <c r="URF64" s="21"/>
      <c r="URG64" s="21"/>
      <c r="URH64" s="21"/>
      <c r="URI64" s="21"/>
      <c r="URJ64" s="21"/>
      <c r="URK64" s="21"/>
      <c r="URL64" s="21"/>
      <c r="URM64" s="21"/>
      <c r="URN64" s="21"/>
      <c r="URO64" s="21"/>
      <c r="URP64" s="21"/>
      <c r="URQ64" s="21"/>
      <c r="URR64" s="21"/>
      <c r="URS64" s="21"/>
      <c r="URT64" s="21"/>
      <c r="URU64" s="21"/>
      <c r="URV64" s="21"/>
      <c r="URW64" s="21"/>
      <c r="URX64" s="21"/>
      <c r="URY64" s="21"/>
      <c r="URZ64" s="21"/>
      <c r="USA64" s="21"/>
      <c r="USB64" s="21"/>
      <c r="USC64" s="21"/>
      <c r="USD64" s="21"/>
      <c r="USE64" s="21"/>
      <c r="USF64" s="21"/>
      <c r="USG64" s="21"/>
      <c r="USH64" s="21"/>
      <c r="USI64" s="21"/>
      <c r="USJ64" s="21"/>
      <c r="USK64" s="21"/>
      <c r="USL64" s="21"/>
      <c r="USM64" s="21"/>
      <c r="USN64" s="21"/>
      <c r="USO64" s="21"/>
      <c r="USP64" s="21"/>
      <c r="USQ64" s="21"/>
      <c r="USR64" s="21"/>
      <c r="USS64" s="21"/>
      <c r="UST64" s="21"/>
      <c r="USU64" s="21"/>
      <c r="USV64" s="21"/>
      <c r="USW64" s="21"/>
      <c r="USX64" s="21"/>
      <c r="USY64" s="21"/>
      <c r="USZ64" s="21"/>
      <c r="UTA64" s="21"/>
      <c r="UTB64" s="21"/>
      <c r="UTC64" s="21"/>
      <c r="UTD64" s="21"/>
      <c r="UTE64" s="21"/>
      <c r="UTF64" s="21"/>
      <c r="UTG64" s="21"/>
      <c r="UTH64" s="21"/>
      <c r="UTI64" s="21"/>
      <c r="UTJ64" s="21"/>
      <c r="UTK64" s="21"/>
      <c r="UTL64" s="21"/>
      <c r="UTM64" s="21"/>
      <c r="UTN64" s="21"/>
      <c r="UTO64" s="21"/>
      <c r="UTP64" s="21"/>
      <c r="UTQ64" s="21"/>
      <c r="UTR64" s="21"/>
      <c r="UTS64" s="21"/>
      <c r="UTT64" s="21"/>
      <c r="UTU64" s="21"/>
      <c r="UTV64" s="21"/>
      <c r="UTW64" s="21"/>
      <c r="UTX64" s="21"/>
      <c r="UTY64" s="21"/>
      <c r="UTZ64" s="21"/>
      <c r="UUA64" s="21"/>
      <c r="UUB64" s="21"/>
      <c r="UUC64" s="21"/>
      <c r="UUD64" s="21"/>
      <c r="UUE64" s="21"/>
      <c r="UUF64" s="21"/>
      <c r="UUG64" s="21"/>
      <c r="UUH64" s="21"/>
      <c r="UUI64" s="21"/>
      <c r="UUJ64" s="21"/>
      <c r="UUK64" s="21"/>
      <c r="UUL64" s="21"/>
      <c r="UUM64" s="21"/>
      <c r="UUN64" s="21"/>
      <c r="UUO64" s="21"/>
      <c r="UUP64" s="21"/>
      <c r="UUQ64" s="21"/>
      <c r="UUR64" s="21"/>
      <c r="UUS64" s="21"/>
      <c r="UUT64" s="21"/>
      <c r="UUU64" s="21"/>
      <c r="UUV64" s="21"/>
      <c r="UUW64" s="21"/>
      <c r="UUX64" s="21"/>
      <c r="UUY64" s="21"/>
      <c r="UUZ64" s="21"/>
      <c r="UVA64" s="21"/>
      <c r="UVB64" s="21"/>
      <c r="UVC64" s="21"/>
      <c r="UVD64" s="21"/>
      <c r="UVE64" s="21"/>
      <c r="UVF64" s="21"/>
      <c r="UVG64" s="21"/>
      <c r="UVH64" s="21"/>
      <c r="UVI64" s="21"/>
      <c r="UVJ64" s="21"/>
      <c r="UVK64" s="21"/>
      <c r="UVL64" s="21"/>
      <c r="UVM64" s="21"/>
      <c r="UVN64" s="21"/>
      <c r="UVO64" s="21"/>
      <c r="UVP64" s="21"/>
      <c r="UVQ64" s="21"/>
      <c r="UVR64" s="21"/>
      <c r="UVS64" s="21"/>
      <c r="UVT64" s="21"/>
      <c r="UVU64" s="21"/>
      <c r="UVV64" s="21"/>
      <c r="UVW64" s="21"/>
      <c r="UVX64" s="21"/>
      <c r="UVY64" s="21"/>
      <c r="UVZ64" s="21"/>
      <c r="UWA64" s="21"/>
      <c r="UWB64" s="21"/>
      <c r="UWC64" s="21"/>
      <c r="UWD64" s="21"/>
      <c r="UWE64" s="21"/>
      <c r="UWF64" s="21"/>
      <c r="UWG64" s="21"/>
      <c r="UWH64" s="21"/>
      <c r="UWI64" s="21"/>
      <c r="UWJ64" s="21"/>
      <c r="UWK64" s="21"/>
      <c r="UWL64" s="21"/>
      <c r="UWM64" s="21"/>
      <c r="UWN64" s="21"/>
      <c r="UWO64" s="21"/>
      <c r="UWP64" s="21"/>
      <c r="UWQ64" s="21"/>
      <c r="UWR64" s="21"/>
      <c r="UWS64" s="21"/>
      <c r="UWT64" s="21"/>
      <c r="UWU64" s="21"/>
      <c r="UWV64" s="21"/>
      <c r="UWW64" s="21"/>
      <c r="UWX64" s="21"/>
      <c r="UWY64" s="21"/>
      <c r="UWZ64" s="21"/>
      <c r="UXA64" s="21"/>
      <c r="UXB64" s="21"/>
      <c r="UXC64" s="21"/>
      <c r="UXD64" s="21"/>
      <c r="UXE64" s="21"/>
      <c r="UXF64" s="21"/>
      <c r="UXG64" s="21"/>
      <c r="UXH64" s="21"/>
      <c r="UXI64" s="21"/>
      <c r="UXJ64" s="21"/>
      <c r="UXK64" s="21"/>
      <c r="UXL64" s="21"/>
      <c r="UXM64" s="21"/>
      <c r="UXN64" s="21"/>
      <c r="UXO64" s="21"/>
      <c r="UXP64" s="21"/>
      <c r="UXQ64" s="21"/>
      <c r="UXR64" s="21"/>
      <c r="UXS64" s="21"/>
      <c r="UXT64" s="21"/>
      <c r="UXU64" s="21"/>
      <c r="UXV64" s="21"/>
      <c r="UXW64" s="21"/>
      <c r="UXX64" s="21"/>
      <c r="UXY64" s="21"/>
      <c r="UXZ64" s="21"/>
      <c r="UYA64" s="21"/>
      <c r="UYB64" s="21"/>
      <c r="UYC64" s="21"/>
      <c r="UYD64" s="21"/>
      <c r="UYE64" s="21"/>
      <c r="UYF64" s="21"/>
      <c r="UYG64" s="21"/>
      <c r="UYH64" s="21"/>
      <c r="UYI64" s="21"/>
      <c r="UYJ64" s="21"/>
      <c r="UYK64" s="21"/>
      <c r="UYL64" s="21"/>
      <c r="UYM64" s="21"/>
      <c r="UYN64" s="21"/>
      <c r="UYO64" s="21"/>
      <c r="UYP64" s="21"/>
      <c r="UYQ64" s="21"/>
      <c r="UYR64" s="21"/>
      <c r="UYS64" s="21"/>
      <c r="UYT64" s="21"/>
      <c r="UYU64" s="21"/>
      <c r="UYV64" s="21"/>
      <c r="UYW64" s="21"/>
      <c r="UYX64" s="21"/>
      <c r="UYY64" s="21"/>
      <c r="UYZ64" s="21"/>
      <c r="UZA64" s="21"/>
      <c r="UZB64" s="21"/>
      <c r="UZC64" s="21"/>
      <c r="UZD64" s="21"/>
      <c r="UZE64" s="21"/>
      <c r="UZF64" s="21"/>
      <c r="UZG64" s="21"/>
      <c r="UZH64" s="21"/>
      <c r="UZI64" s="21"/>
      <c r="UZJ64" s="21"/>
      <c r="UZK64" s="21"/>
      <c r="UZL64" s="21"/>
      <c r="UZM64" s="21"/>
      <c r="UZN64" s="21"/>
      <c r="UZO64" s="21"/>
      <c r="UZP64" s="21"/>
      <c r="UZQ64" s="21"/>
      <c r="UZR64" s="21"/>
      <c r="UZS64" s="21"/>
      <c r="UZT64" s="21"/>
      <c r="UZU64" s="21"/>
      <c r="UZV64" s="21"/>
      <c r="UZW64" s="21"/>
      <c r="UZX64" s="21"/>
      <c r="UZY64" s="21"/>
      <c r="UZZ64" s="21"/>
      <c r="VAA64" s="21"/>
      <c r="VAB64" s="21"/>
      <c r="VAC64" s="21"/>
      <c r="VAD64" s="21"/>
      <c r="VAE64" s="21"/>
      <c r="VAF64" s="21"/>
      <c r="VAG64" s="21"/>
      <c r="VAH64" s="21"/>
      <c r="VAI64" s="21"/>
      <c r="VAJ64" s="21"/>
      <c r="VAK64" s="21"/>
      <c r="VAL64" s="21"/>
      <c r="VAM64" s="21"/>
      <c r="VAN64" s="21"/>
      <c r="VAO64" s="21"/>
      <c r="VAP64" s="21"/>
      <c r="VAQ64" s="21"/>
      <c r="VAR64" s="21"/>
      <c r="VAS64" s="21"/>
      <c r="VAT64" s="21"/>
      <c r="VAU64" s="21"/>
      <c r="VAV64" s="21"/>
      <c r="VAW64" s="21"/>
      <c r="VAX64" s="21"/>
      <c r="VAY64" s="21"/>
      <c r="VAZ64" s="21"/>
      <c r="VBA64" s="21"/>
      <c r="VBB64" s="21"/>
      <c r="VBC64" s="21"/>
      <c r="VBD64" s="21"/>
      <c r="VBE64" s="21"/>
      <c r="VBF64" s="21"/>
      <c r="VBG64" s="21"/>
      <c r="VBH64" s="21"/>
      <c r="VBI64" s="21"/>
      <c r="VBJ64" s="21"/>
      <c r="VBK64" s="21"/>
      <c r="VBL64" s="21"/>
      <c r="VBM64" s="21"/>
      <c r="VBN64" s="21"/>
      <c r="VBO64" s="21"/>
      <c r="VBP64" s="21"/>
      <c r="VBQ64" s="21"/>
      <c r="VBR64" s="21"/>
      <c r="VBS64" s="21"/>
      <c r="VBT64" s="21"/>
      <c r="VBU64" s="21"/>
      <c r="VBV64" s="21"/>
      <c r="VBW64" s="21"/>
      <c r="VBX64" s="21"/>
      <c r="VBY64" s="21"/>
      <c r="VBZ64" s="21"/>
      <c r="VCA64" s="21"/>
      <c r="VCB64" s="21"/>
      <c r="VCC64" s="21"/>
      <c r="VCD64" s="21"/>
      <c r="VCE64" s="21"/>
      <c r="VCF64" s="21"/>
      <c r="VCG64" s="21"/>
      <c r="VCH64" s="21"/>
      <c r="VCI64" s="21"/>
      <c r="VCJ64" s="21"/>
      <c r="VCK64" s="21"/>
      <c r="VCL64" s="21"/>
      <c r="VCM64" s="21"/>
      <c r="VCN64" s="21"/>
      <c r="VCO64" s="21"/>
      <c r="VCP64" s="21"/>
      <c r="VCQ64" s="21"/>
      <c r="VCR64" s="21"/>
      <c r="VCS64" s="21"/>
      <c r="VCT64" s="21"/>
      <c r="VCU64" s="21"/>
      <c r="VCV64" s="21"/>
      <c r="VCW64" s="21"/>
      <c r="VCX64" s="21"/>
      <c r="VCY64" s="21"/>
      <c r="VCZ64" s="21"/>
      <c r="VDA64" s="21"/>
      <c r="VDB64" s="21"/>
      <c r="VDC64" s="21"/>
      <c r="VDD64" s="21"/>
      <c r="VDE64" s="21"/>
      <c r="VDF64" s="21"/>
      <c r="VDG64" s="21"/>
      <c r="VDH64" s="21"/>
      <c r="VDI64" s="21"/>
      <c r="VDJ64" s="21"/>
      <c r="VDK64" s="21"/>
      <c r="VDL64" s="21"/>
      <c r="VDM64" s="21"/>
      <c r="VDN64" s="21"/>
      <c r="VDO64" s="21"/>
      <c r="VDP64" s="21"/>
      <c r="VDQ64" s="21"/>
      <c r="VDR64" s="21"/>
      <c r="VDS64" s="21"/>
      <c r="VDT64" s="21"/>
      <c r="VDU64" s="21"/>
      <c r="VDV64" s="21"/>
      <c r="VDW64" s="21"/>
      <c r="VDX64" s="21"/>
      <c r="VDY64" s="21"/>
      <c r="VDZ64" s="21"/>
      <c r="VEA64" s="21"/>
      <c r="VEB64" s="21"/>
      <c r="VEC64" s="21"/>
      <c r="VED64" s="21"/>
      <c r="VEE64" s="21"/>
      <c r="VEF64" s="21"/>
      <c r="VEG64" s="21"/>
      <c r="VEH64" s="21"/>
      <c r="VEI64" s="21"/>
      <c r="VEJ64" s="21"/>
      <c r="VEK64" s="21"/>
      <c r="VEL64" s="21"/>
      <c r="VEM64" s="21"/>
      <c r="VEN64" s="21"/>
      <c r="VEO64" s="21"/>
      <c r="VEP64" s="21"/>
      <c r="VEQ64" s="21"/>
      <c r="VER64" s="21"/>
      <c r="VES64" s="21"/>
      <c r="VET64" s="21"/>
      <c r="VEU64" s="21"/>
      <c r="VEV64" s="21"/>
      <c r="VEW64" s="21"/>
      <c r="VEX64" s="21"/>
      <c r="VEY64" s="21"/>
      <c r="VEZ64" s="21"/>
      <c r="VFA64" s="21"/>
      <c r="VFB64" s="21"/>
      <c r="VFC64" s="21"/>
      <c r="VFD64" s="21"/>
      <c r="VFE64" s="21"/>
      <c r="VFF64" s="21"/>
      <c r="VFG64" s="21"/>
      <c r="VFH64" s="21"/>
      <c r="VFI64" s="21"/>
      <c r="VFJ64" s="21"/>
      <c r="VFK64" s="21"/>
      <c r="VFL64" s="21"/>
      <c r="VFM64" s="21"/>
      <c r="VFN64" s="21"/>
      <c r="VFO64" s="21"/>
      <c r="VFP64" s="21"/>
      <c r="VFQ64" s="21"/>
      <c r="VFR64" s="21"/>
      <c r="VFS64" s="21"/>
      <c r="VFT64" s="21"/>
      <c r="VFU64" s="21"/>
      <c r="VFV64" s="21"/>
      <c r="VFW64" s="21"/>
      <c r="VFX64" s="21"/>
      <c r="VFY64" s="21"/>
      <c r="VFZ64" s="21"/>
      <c r="VGA64" s="21"/>
      <c r="VGB64" s="21"/>
      <c r="VGC64" s="21"/>
      <c r="VGD64" s="21"/>
      <c r="VGE64" s="21"/>
      <c r="VGF64" s="21"/>
      <c r="VGG64" s="21"/>
      <c r="VGH64" s="21"/>
      <c r="VGI64" s="21"/>
      <c r="VGJ64" s="21"/>
      <c r="VGK64" s="21"/>
      <c r="VGL64" s="21"/>
      <c r="VGM64" s="21"/>
      <c r="VGN64" s="21"/>
      <c r="VGO64" s="21"/>
      <c r="VGP64" s="21"/>
      <c r="VGQ64" s="21"/>
      <c r="VGR64" s="21"/>
      <c r="VGS64" s="21"/>
      <c r="VGT64" s="21"/>
      <c r="VGU64" s="21"/>
      <c r="VGV64" s="21"/>
      <c r="VGW64" s="21"/>
      <c r="VGX64" s="21"/>
      <c r="VGY64" s="21"/>
      <c r="VGZ64" s="21"/>
      <c r="VHA64" s="21"/>
      <c r="VHB64" s="21"/>
      <c r="VHC64" s="21"/>
      <c r="VHD64" s="21"/>
      <c r="VHE64" s="21"/>
      <c r="VHF64" s="21"/>
      <c r="VHG64" s="21"/>
      <c r="VHH64" s="21"/>
      <c r="VHI64" s="21"/>
      <c r="VHJ64" s="21"/>
      <c r="VHK64" s="21"/>
      <c r="VHL64" s="21"/>
      <c r="VHM64" s="21"/>
      <c r="VHN64" s="21"/>
      <c r="VHO64" s="21"/>
      <c r="VHP64" s="21"/>
      <c r="VHQ64" s="21"/>
      <c r="VHR64" s="21"/>
      <c r="VHS64" s="21"/>
      <c r="VHT64" s="21"/>
      <c r="VHU64" s="21"/>
      <c r="VHV64" s="21"/>
      <c r="VHW64" s="21"/>
      <c r="VHX64" s="21"/>
      <c r="VHY64" s="21"/>
      <c r="VHZ64" s="21"/>
      <c r="VIA64" s="21"/>
      <c r="VIB64" s="21"/>
      <c r="VIC64" s="21"/>
      <c r="VID64" s="21"/>
      <c r="VIE64" s="21"/>
      <c r="VIF64" s="21"/>
      <c r="VIG64" s="21"/>
      <c r="VIH64" s="21"/>
      <c r="VII64" s="21"/>
      <c r="VIJ64" s="21"/>
      <c r="VIK64" s="21"/>
      <c r="VIL64" s="21"/>
      <c r="VIM64" s="21"/>
      <c r="VIN64" s="21"/>
      <c r="VIO64" s="21"/>
      <c r="VIP64" s="21"/>
      <c r="VIQ64" s="21"/>
      <c r="VIR64" s="21"/>
      <c r="VIS64" s="21"/>
      <c r="VIT64" s="21"/>
      <c r="VIU64" s="21"/>
      <c r="VIV64" s="21"/>
      <c r="VIW64" s="21"/>
      <c r="VIX64" s="21"/>
      <c r="VIY64" s="21"/>
      <c r="VIZ64" s="21"/>
      <c r="VJA64" s="21"/>
      <c r="VJB64" s="21"/>
      <c r="VJC64" s="21"/>
      <c r="VJD64" s="21"/>
      <c r="VJE64" s="21"/>
      <c r="VJF64" s="21"/>
      <c r="VJG64" s="21"/>
      <c r="VJH64" s="21"/>
      <c r="VJI64" s="21"/>
      <c r="VJJ64" s="21"/>
      <c r="VJK64" s="21"/>
      <c r="VJL64" s="21"/>
      <c r="VJM64" s="21"/>
      <c r="VJN64" s="21"/>
      <c r="VJO64" s="21"/>
      <c r="VJP64" s="21"/>
      <c r="VJQ64" s="21"/>
      <c r="VJR64" s="21"/>
      <c r="VJS64" s="21"/>
      <c r="VJT64" s="21"/>
      <c r="VJU64" s="21"/>
      <c r="VJV64" s="21"/>
      <c r="VJW64" s="21"/>
      <c r="VJX64" s="21"/>
      <c r="VJY64" s="21"/>
      <c r="VJZ64" s="21"/>
      <c r="VKA64" s="21"/>
      <c r="VKB64" s="21"/>
      <c r="VKC64" s="21"/>
      <c r="VKD64" s="21"/>
      <c r="VKE64" s="21"/>
      <c r="VKF64" s="21"/>
      <c r="VKG64" s="21"/>
      <c r="VKH64" s="21"/>
      <c r="VKI64" s="21"/>
      <c r="VKJ64" s="21"/>
      <c r="VKK64" s="21"/>
      <c r="VKL64" s="21"/>
      <c r="VKM64" s="21"/>
      <c r="VKN64" s="21"/>
      <c r="VKO64" s="21"/>
      <c r="VKP64" s="21"/>
      <c r="VKQ64" s="21"/>
      <c r="VKR64" s="21"/>
      <c r="VKS64" s="21"/>
      <c r="VKT64" s="21"/>
      <c r="VKU64" s="21"/>
      <c r="VKV64" s="21"/>
      <c r="VKW64" s="21"/>
      <c r="VKX64" s="21"/>
      <c r="VKY64" s="21"/>
      <c r="VKZ64" s="21"/>
      <c r="VLA64" s="21"/>
      <c r="VLB64" s="21"/>
      <c r="VLC64" s="21"/>
      <c r="VLD64" s="21"/>
      <c r="VLE64" s="21"/>
      <c r="VLF64" s="21"/>
      <c r="VLG64" s="21"/>
      <c r="VLH64" s="21"/>
      <c r="VLI64" s="21"/>
      <c r="VLJ64" s="21"/>
      <c r="VLK64" s="21"/>
      <c r="VLL64" s="21"/>
      <c r="VLM64" s="21"/>
      <c r="VLN64" s="21"/>
      <c r="VLO64" s="21"/>
      <c r="VLP64" s="21"/>
      <c r="VLQ64" s="21"/>
      <c r="VLR64" s="21"/>
      <c r="VLS64" s="21"/>
      <c r="VLT64" s="21"/>
      <c r="VLU64" s="21"/>
      <c r="VLV64" s="21"/>
      <c r="VLW64" s="21"/>
      <c r="VLX64" s="21"/>
      <c r="VLY64" s="21"/>
      <c r="VLZ64" s="21"/>
      <c r="VMA64" s="21"/>
      <c r="VMB64" s="21"/>
      <c r="VMC64" s="21"/>
      <c r="VMD64" s="21"/>
      <c r="VME64" s="21"/>
      <c r="VMF64" s="21"/>
      <c r="VMG64" s="21"/>
      <c r="VMH64" s="21"/>
      <c r="VMI64" s="21"/>
      <c r="VMJ64" s="21"/>
      <c r="VMK64" s="21"/>
      <c r="VML64" s="21"/>
      <c r="VMM64" s="21"/>
      <c r="VMN64" s="21"/>
      <c r="VMO64" s="21"/>
      <c r="VMP64" s="21"/>
      <c r="VMQ64" s="21"/>
      <c r="VMR64" s="21"/>
      <c r="VMS64" s="21"/>
      <c r="VMT64" s="21"/>
      <c r="VMU64" s="21"/>
      <c r="VMV64" s="21"/>
      <c r="VMW64" s="21"/>
      <c r="VMX64" s="21"/>
      <c r="VMY64" s="21"/>
      <c r="VMZ64" s="21"/>
      <c r="VNA64" s="21"/>
      <c r="VNB64" s="21"/>
      <c r="VNC64" s="21"/>
      <c r="VND64" s="21"/>
      <c r="VNE64" s="21"/>
      <c r="VNF64" s="21"/>
      <c r="VNG64" s="21"/>
      <c r="VNH64" s="21"/>
      <c r="VNI64" s="21"/>
      <c r="VNJ64" s="21"/>
      <c r="VNK64" s="21"/>
      <c r="VNL64" s="21"/>
      <c r="VNM64" s="21"/>
      <c r="VNN64" s="21"/>
      <c r="VNO64" s="21"/>
      <c r="VNP64" s="21"/>
      <c r="VNQ64" s="21"/>
      <c r="VNR64" s="21"/>
      <c r="VNS64" s="21"/>
      <c r="VNT64" s="21"/>
      <c r="VNU64" s="21"/>
      <c r="VNV64" s="21"/>
      <c r="VNW64" s="21"/>
      <c r="VNX64" s="21"/>
      <c r="VNY64" s="21"/>
      <c r="VNZ64" s="21"/>
      <c r="VOA64" s="21"/>
      <c r="VOB64" s="21"/>
      <c r="VOC64" s="21"/>
      <c r="VOD64" s="21"/>
      <c r="VOE64" s="21"/>
      <c r="VOF64" s="21"/>
      <c r="VOG64" s="21"/>
      <c r="VOH64" s="21"/>
      <c r="VOI64" s="21"/>
      <c r="VOJ64" s="21"/>
      <c r="VOK64" s="21"/>
      <c r="VOL64" s="21"/>
      <c r="VOM64" s="21"/>
      <c r="VON64" s="21"/>
      <c r="VOO64" s="21"/>
      <c r="VOP64" s="21"/>
      <c r="VOQ64" s="21"/>
      <c r="VOR64" s="21"/>
      <c r="VOS64" s="21"/>
      <c r="VOT64" s="21"/>
      <c r="VOU64" s="21"/>
      <c r="VOV64" s="21"/>
      <c r="VOW64" s="21"/>
      <c r="VOX64" s="21"/>
      <c r="VOY64" s="21"/>
      <c r="VOZ64" s="21"/>
      <c r="VPA64" s="21"/>
      <c r="VPB64" s="21"/>
      <c r="VPC64" s="21"/>
      <c r="VPD64" s="21"/>
      <c r="VPE64" s="21"/>
      <c r="VPF64" s="21"/>
      <c r="VPG64" s="21"/>
      <c r="VPH64" s="21"/>
      <c r="VPI64" s="21"/>
      <c r="VPJ64" s="21"/>
      <c r="VPK64" s="21"/>
      <c r="VPL64" s="21"/>
      <c r="VPM64" s="21"/>
      <c r="VPN64" s="21"/>
      <c r="VPO64" s="21"/>
      <c r="VPP64" s="21"/>
      <c r="VPQ64" s="21"/>
      <c r="VPR64" s="21"/>
      <c r="VPS64" s="21"/>
      <c r="VPT64" s="21"/>
      <c r="VPU64" s="21"/>
      <c r="VPV64" s="21"/>
      <c r="VPW64" s="21"/>
      <c r="VPX64" s="21"/>
      <c r="VPY64" s="21"/>
      <c r="VPZ64" s="21"/>
      <c r="VQA64" s="21"/>
      <c r="VQB64" s="21"/>
      <c r="VQC64" s="21"/>
      <c r="VQD64" s="21"/>
      <c r="VQE64" s="21"/>
      <c r="VQF64" s="21"/>
      <c r="VQG64" s="21"/>
      <c r="VQH64" s="21"/>
      <c r="VQI64" s="21"/>
      <c r="VQJ64" s="21"/>
      <c r="VQK64" s="21"/>
      <c r="VQL64" s="21"/>
      <c r="VQM64" s="21"/>
      <c r="VQN64" s="21"/>
      <c r="VQO64" s="21"/>
      <c r="VQP64" s="21"/>
      <c r="VQQ64" s="21"/>
      <c r="VQR64" s="21"/>
      <c r="VQS64" s="21"/>
      <c r="VQT64" s="21"/>
      <c r="VQU64" s="21"/>
      <c r="VQV64" s="21"/>
      <c r="VQW64" s="21"/>
      <c r="VQX64" s="21"/>
      <c r="VQY64" s="21"/>
      <c r="VQZ64" s="21"/>
      <c r="VRA64" s="21"/>
      <c r="VRB64" s="21"/>
      <c r="VRC64" s="21"/>
      <c r="VRD64" s="21"/>
      <c r="VRE64" s="21"/>
      <c r="VRF64" s="21"/>
      <c r="VRG64" s="21"/>
      <c r="VRH64" s="21"/>
      <c r="VRI64" s="21"/>
      <c r="VRJ64" s="21"/>
      <c r="VRK64" s="21"/>
      <c r="VRL64" s="21"/>
      <c r="VRM64" s="21"/>
      <c r="VRN64" s="21"/>
      <c r="VRO64" s="21"/>
      <c r="VRP64" s="21"/>
      <c r="VRQ64" s="21"/>
      <c r="VRR64" s="21"/>
      <c r="VRS64" s="21"/>
      <c r="VRT64" s="21"/>
      <c r="VRU64" s="21"/>
      <c r="VRV64" s="21"/>
      <c r="VRW64" s="21"/>
      <c r="VRX64" s="21"/>
      <c r="VRY64" s="21"/>
      <c r="VRZ64" s="21"/>
      <c r="VSA64" s="21"/>
      <c r="VSB64" s="21"/>
      <c r="VSC64" s="21"/>
      <c r="VSD64" s="21"/>
      <c r="VSE64" s="21"/>
      <c r="VSF64" s="21"/>
      <c r="VSG64" s="21"/>
      <c r="VSH64" s="21"/>
      <c r="VSI64" s="21"/>
      <c r="VSJ64" s="21"/>
      <c r="VSK64" s="21"/>
      <c r="VSL64" s="21"/>
      <c r="VSM64" s="21"/>
      <c r="VSN64" s="21"/>
      <c r="VSO64" s="21"/>
      <c r="VSP64" s="21"/>
      <c r="VSQ64" s="21"/>
      <c r="VSR64" s="21"/>
      <c r="VSS64" s="21"/>
      <c r="VST64" s="21"/>
      <c r="VSU64" s="21"/>
      <c r="VSV64" s="21"/>
      <c r="VSW64" s="21"/>
      <c r="VSX64" s="21"/>
      <c r="VSY64" s="21"/>
      <c r="VSZ64" s="21"/>
      <c r="VTA64" s="21"/>
      <c r="VTB64" s="21"/>
      <c r="VTC64" s="21"/>
      <c r="VTD64" s="21"/>
      <c r="VTE64" s="21"/>
      <c r="VTF64" s="21"/>
      <c r="VTG64" s="21"/>
      <c r="VTH64" s="21"/>
      <c r="VTI64" s="21"/>
      <c r="VTJ64" s="21"/>
      <c r="VTK64" s="21"/>
      <c r="VTL64" s="21"/>
      <c r="VTM64" s="21"/>
      <c r="VTN64" s="21"/>
      <c r="VTO64" s="21"/>
      <c r="VTP64" s="21"/>
      <c r="VTQ64" s="21"/>
      <c r="VTR64" s="21"/>
      <c r="VTS64" s="21"/>
      <c r="VTT64" s="21"/>
      <c r="VTU64" s="21"/>
      <c r="VTV64" s="21"/>
      <c r="VTW64" s="21"/>
      <c r="VTX64" s="21"/>
      <c r="VTY64" s="21"/>
      <c r="VTZ64" s="21"/>
      <c r="VUA64" s="21"/>
      <c r="VUB64" s="21"/>
      <c r="VUC64" s="21"/>
      <c r="VUD64" s="21"/>
      <c r="VUE64" s="21"/>
      <c r="VUF64" s="21"/>
      <c r="VUG64" s="21"/>
      <c r="VUH64" s="21"/>
      <c r="VUI64" s="21"/>
      <c r="VUJ64" s="21"/>
      <c r="VUK64" s="21"/>
      <c r="VUL64" s="21"/>
      <c r="VUM64" s="21"/>
      <c r="VUN64" s="21"/>
      <c r="VUO64" s="21"/>
      <c r="VUP64" s="21"/>
      <c r="VUQ64" s="21"/>
      <c r="VUR64" s="21"/>
      <c r="VUS64" s="21"/>
      <c r="VUT64" s="21"/>
      <c r="VUU64" s="21"/>
      <c r="VUV64" s="21"/>
      <c r="VUW64" s="21"/>
      <c r="VUX64" s="21"/>
      <c r="VUY64" s="21"/>
      <c r="VUZ64" s="21"/>
      <c r="VVA64" s="21"/>
      <c r="VVB64" s="21"/>
      <c r="VVC64" s="21"/>
      <c r="VVD64" s="21"/>
      <c r="VVE64" s="21"/>
      <c r="VVF64" s="21"/>
      <c r="VVG64" s="21"/>
      <c r="VVH64" s="21"/>
      <c r="VVI64" s="21"/>
      <c r="VVJ64" s="21"/>
      <c r="VVK64" s="21"/>
      <c r="VVL64" s="21"/>
      <c r="VVM64" s="21"/>
      <c r="VVN64" s="21"/>
      <c r="VVO64" s="21"/>
      <c r="VVP64" s="21"/>
      <c r="VVQ64" s="21"/>
      <c r="VVR64" s="21"/>
      <c r="VVS64" s="21"/>
      <c r="VVT64" s="21"/>
      <c r="VVU64" s="21"/>
      <c r="VVV64" s="21"/>
      <c r="VVW64" s="21"/>
      <c r="VVX64" s="21"/>
      <c r="VVY64" s="21"/>
      <c r="VVZ64" s="21"/>
      <c r="VWA64" s="21"/>
      <c r="VWB64" s="21"/>
      <c r="VWC64" s="21"/>
      <c r="VWD64" s="21"/>
      <c r="VWE64" s="21"/>
      <c r="VWF64" s="21"/>
      <c r="VWG64" s="21"/>
      <c r="VWH64" s="21"/>
      <c r="VWI64" s="21"/>
      <c r="VWJ64" s="21"/>
      <c r="VWK64" s="21"/>
      <c r="VWL64" s="21"/>
      <c r="VWM64" s="21"/>
      <c r="VWN64" s="21"/>
      <c r="VWO64" s="21"/>
      <c r="VWP64" s="21"/>
      <c r="VWQ64" s="21"/>
      <c r="VWR64" s="21"/>
      <c r="VWS64" s="21"/>
      <c r="VWT64" s="21"/>
      <c r="VWU64" s="21"/>
      <c r="VWV64" s="21"/>
      <c r="VWW64" s="21"/>
      <c r="VWX64" s="21"/>
      <c r="VWY64" s="21"/>
      <c r="VWZ64" s="21"/>
      <c r="VXA64" s="21"/>
      <c r="VXB64" s="21"/>
      <c r="VXC64" s="21"/>
      <c r="VXD64" s="21"/>
      <c r="VXE64" s="21"/>
      <c r="VXF64" s="21"/>
      <c r="VXG64" s="21"/>
      <c r="VXH64" s="21"/>
      <c r="VXI64" s="21"/>
      <c r="VXJ64" s="21"/>
      <c r="VXK64" s="21"/>
      <c r="VXL64" s="21"/>
      <c r="VXM64" s="21"/>
      <c r="VXN64" s="21"/>
      <c r="VXO64" s="21"/>
      <c r="VXP64" s="21"/>
      <c r="VXQ64" s="21"/>
      <c r="VXR64" s="21"/>
      <c r="VXS64" s="21"/>
      <c r="VXT64" s="21"/>
      <c r="VXU64" s="21"/>
      <c r="VXV64" s="21"/>
      <c r="VXW64" s="21"/>
      <c r="VXX64" s="21"/>
      <c r="VXY64" s="21"/>
      <c r="VXZ64" s="21"/>
      <c r="VYA64" s="21"/>
      <c r="VYB64" s="21"/>
      <c r="VYC64" s="21"/>
      <c r="VYD64" s="21"/>
      <c r="VYE64" s="21"/>
      <c r="VYF64" s="21"/>
      <c r="VYG64" s="21"/>
      <c r="VYH64" s="21"/>
      <c r="VYI64" s="21"/>
      <c r="VYJ64" s="21"/>
      <c r="VYK64" s="21"/>
      <c r="VYL64" s="21"/>
      <c r="VYM64" s="21"/>
      <c r="VYN64" s="21"/>
      <c r="VYO64" s="21"/>
      <c r="VYP64" s="21"/>
      <c r="VYQ64" s="21"/>
      <c r="VYR64" s="21"/>
      <c r="VYS64" s="21"/>
      <c r="VYT64" s="21"/>
      <c r="VYU64" s="21"/>
      <c r="VYV64" s="21"/>
      <c r="VYW64" s="21"/>
      <c r="VYX64" s="21"/>
      <c r="VYY64" s="21"/>
      <c r="VYZ64" s="21"/>
      <c r="VZA64" s="21"/>
      <c r="VZB64" s="21"/>
      <c r="VZC64" s="21"/>
      <c r="VZD64" s="21"/>
      <c r="VZE64" s="21"/>
      <c r="VZF64" s="21"/>
      <c r="VZG64" s="21"/>
      <c r="VZH64" s="21"/>
      <c r="VZI64" s="21"/>
      <c r="VZJ64" s="21"/>
      <c r="VZK64" s="21"/>
      <c r="VZL64" s="21"/>
      <c r="VZM64" s="21"/>
      <c r="VZN64" s="21"/>
      <c r="VZO64" s="21"/>
      <c r="VZP64" s="21"/>
      <c r="VZQ64" s="21"/>
      <c r="VZR64" s="21"/>
      <c r="VZS64" s="21"/>
      <c r="VZT64" s="21"/>
      <c r="VZU64" s="21"/>
      <c r="VZV64" s="21"/>
      <c r="VZW64" s="21"/>
      <c r="VZX64" s="21"/>
      <c r="VZY64" s="21"/>
      <c r="VZZ64" s="21"/>
      <c r="WAA64" s="21"/>
      <c r="WAB64" s="21"/>
      <c r="WAC64" s="21"/>
      <c r="WAD64" s="21"/>
      <c r="WAE64" s="21"/>
      <c r="WAF64" s="21"/>
      <c r="WAG64" s="21"/>
      <c r="WAH64" s="21"/>
      <c r="WAI64" s="21"/>
      <c r="WAJ64" s="21"/>
      <c r="WAK64" s="21"/>
      <c r="WAL64" s="21"/>
      <c r="WAM64" s="21"/>
      <c r="WAN64" s="21"/>
      <c r="WAO64" s="21"/>
      <c r="WAP64" s="21"/>
      <c r="WAQ64" s="21"/>
      <c r="WAR64" s="21"/>
      <c r="WAS64" s="21"/>
      <c r="WAT64" s="21"/>
      <c r="WAU64" s="21"/>
      <c r="WAV64" s="21"/>
      <c r="WAW64" s="21"/>
      <c r="WAX64" s="21"/>
      <c r="WAY64" s="21"/>
      <c r="WAZ64" s="21"/>
      <c r="WBA64" s="21"/>
      <c r="WBB64" s="21"/>
      <c r="WBC64" s="21"/>
      <c r="WBD64" s="21"/>
      <c r="WBE64" s="21"/>
      <c r="WBF64" s="21"/>
      <c r="WBG64" s="21"/>
      <c r="WBH64" s="21"/>
      <c r="WBI64" s="21"/>
      <c r="WBJ64" s="21"/>
      <c r="WBK64" s="21"/>
      <c r="WBL64" s="21"/>
      <c r="WBM64" s="21"/>
      <c r="WBN64" s="21"/>
      <c r="WBO64" s="21"/>
      <c r="WBP64" s="21"/>
      <c r="WBQ64" s="21"/>
      <c r="WBR64" s="21"/>
      <c r="WBS64" s="21"/>
      <c r="WBT64" s="21"/>
      <c r="WBU64" s="21"/>
      <c r="WBV64" s="21"/>
      <c r="WBW64" s="21"/>
      <c r="WBX64" s="21"/>
      <c r="WBY64" s="21"/>
      <c r="WBZ64" s="21"/>
      <c r="WCA64" s="21"/>
      <c r="WCB64" s="21"/>
      <c r="WCC64" s="21"/>
      <c r="WCD64" s="21"/>
      <c r="WCE64" s="21"/>
      <c r="WCF64" s="21"/>
      <c r="WCG64" s="21"/>
      <c r="WCH64" s="21"/>
      <c r="WCI64" s="21"/>
      <c r="WCJ64" s="21"/>
      <c r="WCK64" s="21"/>
      <c r="WCL64" s="21"/>
      <c r="WCM64" s="21"/>
      <c r="WCN64" s="21"/>
      <c r="WCO64" s="21"/>
      <c r="WCP64" s="21"/>
      <c r="WCQ64" s="21"/>
      <c r="WCR64" s="21"/>
      <c r="WCS64" s="21"/>
      <c r="WCT64" s="21"/>
      <c r="WCU64" s="21"/>
      <c r="WCV64" s="21"/>
      <c r="WCW64" s="21"/>
      <c r="WCX64" s="21"/>
      <c r="WCY64" s="21"/>
      <c r="WCZ64" s="21"/>
      <c r="WDA64" s="21"/>
      <c r="WDB64" s="21"/>
      <c r="WDC64" s="21"/>
      <c r="WDD64" s="21"/>
      <c r="WDE64" s="21"/>
      <c r="WDF64" s="21"/>
      <c r="WDG64" s="21"/>
      <c r="WDH64" s="21"/>
      <c r="WDI64" s="21"/>
      <c r="WDJ64" s="21"/>
      <c r="WDK64" s="21"/>
      <c r="WDL64" s="21"/>
      <c r="WDM64" s="21"/>
      <c r="WDN64" s="21"/>
      <c r="WDO64" s="21"/>
      <c r="WDP64" s="21"/>
      <c r="WDQ64" s="21"/>
      <c r="WDR64" s="21"/>
      <c r="WDS64" s="21"/>
      <c r="WDT64" s="21"/>
      <c r="WDU64" s="21"/>
      <c r="WDV64" s="21"/>
      <c r="WDW64" s="21"/>
      <c r="WDX64" s="21"/>
      <c r="WDY64" s="21"/>
      <c r="WDZ64" s="21"/>
      <c r="WEA64" s="21"/>
      <c r="WEB64" s="21"/>
      <c r="WEC64" s="21"/>
      <c r="WED64" s="21"/>
      <c r="WEE64" s="21"/>
      <c r="WEF64" s="21"/>
      <c r="WEG64" s="21"/>
      <c r="WEH64" s="21"/>
      <c r="WEI64" s="21"/>
      <c r="WEJ64" s="21"/>
      <c r="WEK64" s="21"/>
      <c r="WEL64" s="21"/>
      <c r="WEM64" s="21"/>
      <c r="WEN64" s="21"/>
      <c r="WEO64" s="21"/>
      <c r="WEP64" s="21"/>
      <c r="WEQ64" s="21"/>
      <c r="WER64" s="21"/>
      <c r="WES64" s="21"/>
      <c r="WET64" s="21"/>
      <c r="WEU64" s="21"/>
      <c r="WEV64" s="21"/>
      <c r="WEW64" s="21"/>
      <c r="WEX64" s="21"/>
      <c r="WEY64" s="21"/>
      <c r="WEZ64" s="21"/>
      <c r="WFA64" s="21"/>
      <c r="WFB64" s="21"/>
      <c r="WFC64" s="21"/>
      <c r="WFD64" s="21"/>
      <c r="WFE64" s="21"/>
      <c r="WFF64" s="21"/>
      <c r="WFG64" s="21"/>
      <c r="WFH64" s="21"/>
      <c r="WFI64" s="21"/>
      <c r="WFJ64" s="21"/>
      <c r="WFK64" s="21"/>
      <c r="WFL64" s="21"/>
      <c r="WFM64" s="21"/>
      <c r="WFN64" s="21"/>
      <c r="WFO64" s="21"/>
      <c r="WFP64" s="21"/>
      <c r="WFQ64" s="21"/>
      <c r="WFR64" s="21"/>
      <c r="WFS64" s="21"/>
      <c r="WFT64" s="21"/>
      <c r="WFU64" s="21"/>
      <c r="WFV64" s="21"/>
      <c r="WFW64" s="21"/>
      <c r="WFX64" s="21"/>
      <c r="WFY64" s="21"/>
      <c r="WFZ64" s="21"/>
      <c r="WGA64" s="21"/>
      <c r="WGB64" s="21"/>
      <c r="WGC64" s="21"/>
      <c r="WGD64" s="21"/>
      <c r="WGE64" s="21"/>
      <c r="WGF64" s="21"/>
      <c r="WGG64" s="21"/>
      <c r="WGH64" s="21"/>
      <c r="WGI64" s="21"/>
      <c r="WGJ64" s="21"/>
      <c r="WGK64" s="21"/>
      <c r="WGL64" s="21"/>
      <c r="WGM64" s="21"/>
      <c r="WGN64" s="21"/>
      <c r="WGO64" s="21"/>
      <c r="WGP64" s="21"/>
      <c r="WGQ64" s="21"/>
      <c r="WGR64" s="21"/>
      <c r="WGS64" s="21"/>
      <c r="WGT64" s="21"/>
      <c r="WGU64" s="21"/>
      <c r="WGV64" s="21"/>
      <c r="WGW64" s="21"/>
      <c r="WGX64" s="21"/>
      <c r="WGY64" s="21"/>
      <c r="WGZ64" s="21"/>
      <c r="WHA64" s="21"/>
      <c r="WHB64" s="21"/>
      <c r="WHC64" s="21"/>
      <c r="WHD64" s="21"/>
      <c r="WHE64" s="21"/>
      <c r="WHF64" s="21"/>
      <c r="WHG64" s="21"/>
      <c r="WHH64" s="21"/>
      <c r="WHI64" s="21"/>
      <c r="WHJ64" s="21"/>
      <c r="WHK64" s="21"/>
      <c r="WHL64" s="21"/>
      <c r="WHM64" s="21"/>
      <c r="WHN64" s="21"/>
      <c r="WHO64" s="21"/>
      <c r="WHP64" s="21"/>
      <c r="WHQ64" s="21"/>
      <c r="WHR64" s="21"/>
      <c r="WHS64" s="21"/>
      <c r="WHT64" s="21"/>
      <c r="WHU64" s="21"/>
      <c r="WHV64" s="21"/>
      <c r="WHW64" s="21"/>
      <c r="WHX64" s="21"/>
      <c r="WHY64" s="21"/>
      <c r="WHZ64" s="21"/>
      <c r="WIA64" s="21"/>
      <c r="WIB64" s="21"/>
      <c r="WIC64" s="21"/>
      <c r="WID64" s="21"/>
      <c r="WIE64" s="21"/>
      <c r="WIF64" s="21"/>
      <c r="WIG64" s="21"/>
      <c r="WIH64" s="21"/>
      <c r="WII64" s="21"/>
      <c r="WIJ64" s="21"/>
      <c r="WIK64" s="21"/>
      <c r="WIL64" s="21"/>
      <c r="WIM64" s="21"/>
      <c r="WIN64" s="21"/>
      <c r="WIO64" s="21"/>
      <c r="WIP64" s="21"/>
      <c r="WIQ64" s="21"/>
      <c r="WIR64" s="21"/>
      <c r="WIS64" s="21"/>
      <c r="WIT64" s="21"/>
      <c r="WIU64" s="21"/>
      <c r="WIV64" s="21"/>
      <c r="WIW64" s="21"/>
      <c r="WIX64" s="21"/>
      <c r="WIY64" s="21"/>
      <c r="WIZ64" s="21"/>
      <c r="WJA64" s="21"/>
      <c r="WJB64" s="21"/>
      <c r="WJC64" s="21"/>
      <c r="WJD64" s="21"/>
      <c r="WJE64" s="21"/>
      <c r="WJF64" s="21"/>
      <c r="WJG64" s="21"/>
      <c r="WJH64" s="21"/>
      <c r="WJI64" s="21"/>
      <c r="WJJ64" s="21"/>
      <c r="WJK64" s="21"/>
      <c r="WJL64" s="21"/>
      <c r="WJM64" s="21"/>
      <c r="WJN64" s="21"/>
      <c r="WJO64" s="21"/>
      <c r="WJP64" s="21"/>
      <c r="WJQ64" s="21"/>
      <c r="WJR64" s="21"/>
      <c r="WJS64" s="21"/>
      <c r="WJT64" s="21"/>
      <c r="WJU64" s="21"/>
      <c r="WJV64" s="21"/>
      <c r="WJW64" s="21"/>
      <c r="WJX64" s="21"/>
      <c r="WJY64" s="21"/>
      <c r="WJZ64" s="21"/>
      <c r="WKA64" s="21"/>
      <c r="WKB64" s="21"/>
      <c r="WKC64" s="21"/>
      <c r="WKD64" s="21"/>
      <c r="WKE64" s="21"/>
      <c r="WKF64" s="21"/>
      <c r="WKG64" s="21"/>
      <c r="WKH64" s="21"/>
      <c r="WKI64" s="21"/>
      <c r="WKJ64" s="21"/>
      <c r="WKK64" s="21"/>
      <c r="WKL64" s="21"/>
      <c r="WKM64" s="21"/>
      <c r="WKN64" s="21"/>
      <c r="WKO64" s="21"/>
      <c r="WKP64" s="21"/>
      <c r="WKQ64" s="21"/>
      <c r="WKR64" s="21"/>
      <c r="WKS64" s="21"/>
      <c r="WKT64" s="21"/>
      <c r="WKU64" s="21"/>
      <c r="WKV64" s="21"/>
      <c r="WKW64" s="21"/>
      <c r="WKX64" s="21"/>
      <c r="WKY64" s="21"/>
      <c r="WKZ64" s="21"/>
      <c r="WLA64" s="21"/>
      <c r="WLB64" s="21"/>
      <c r="WLC64" s="21"/>
      <c r="WLD64" s="21"/>
      <c r="WLE64" s="21"/>
      <c r="WLF64" s="21"/>
      <c r="WLG64" s="21"/>
      <c r="WLH64" s="21"/>
      <c r="WLI64" s="21"/>
      <c r="WLJ64" s="21"/>
      <c r="WLK64" s="21"/>
      <c r="WLL64" s="21"/>
      <c r="WLM64" s="21"/>
      <c r="WLN64" s="21"/>
      <c r="WLO64" s="21"/>
      <c r="WLP64" s="21"/>
      <c r="WLQ64" s="21"/>
      <c r="WLR64" s="21"/>
      <c r="WLS64" s="21"/>
      <c r="WLT64" s="21"/>
      <c r="WLU64" s="21"/>
      <c r="WLV64" s="21"/>
      <c r="WLW64" s="21"/>
      <c r="WLX64" s="21"/>
      <c r="WLY64" s="21"/>
      <c r="WLZ64" s="21"/>
      <c r="WMA64" s="21"/>
      <c r="WMB64" s="21"/>
      <c r="WMC64" s="21"/>
      <c r="WMD64" s="21"/>
      <c r="WME64" s="21"/>
      <c r="WMF64" s="21"/>
      <c r="WMG64" s="21"/>
      <c r="WMH64" s="21"/>
      <c r="WMI64" s="21"/>
      <c r="WMJ64" s="21"/>
      <c r="WMK64" s="21"/>
      <c r="WML64" s="21"/>
      <c r="WMM64" s="21"/>
      <c r="WMN64" s="21"/>
      <c r="WMO64" s="21"/>
      <c r="WMP64" s="21"/>
      <c r="WMQ64" s="21"/>
      <c r="WMR64" s="21"/>
      <c r="WMS64" s="21"/>
      <c r="WMT64" s="21"/>
      <c r="WMU64" s="21"/>
      <c r="WMV64" s="21"/>
      <c r="WMW64" s="21"/>
      <c r="WMX64" s="21"/>
      <c r="WMY64" s="21"/>
      <c r="WMZ64" s="21"/>
      <c r="WNA64" s="21"/>
      <c r="WNB64" s="21"/>
      <c r="WNC64" s="21"/>
      <c r="WND64" s="21"/>
      <c r="WNE64" s="21"/>
      <c r="WNF64" s="21"/>
      <c r="WNG64" s="21"/>
      <c r="WNH64" s="21"/>
      <c r="WNI64" s="21"/>
      <c r="WNJ64" s="21"/>
      <c r="WNK64" s="21"/>
      <c r="WNL64" s="21"/>
      <c r="WNM64" s="21"/>
      <c r="WNN64" s="21"/>
      <c r="WNO64" s="21"/>
      <c r="WNP64" s="21"/>
      <c r="WNQ64" s="21"/>
      <c r="WNR64" s="21"/>
      <c r="WNS64" s="21"/>
      <c r="WNT64" s="21"/>
      <c r="WNU64" s="21"/>
      <c r="WNV64" s="21"/>
      <c r="WNW64" s="21"/>
      <c r="WNX64" s="21"/>
      <c r="WNY64" s="21"/>
      <c r="WNZ64" s="21"/>
      <c r="WOA64" s="21"/>
      <c r="WOB64" s="21"/>
      <c r="WOC64" s="21"/>
      <c r="WOD64" s="21"/>
      <c r="WOE64" s="21"/>
      <c r="WOF64" s="21"/>
      <c r="WOG64" s="21"/>
      <c r="WOH64" s="21"/>
      <c r="WOI64" s="21"/>
      <c r="WOJ64" s="21"/>
      <c r="WOK64" s="21"/>
      <c r="WOL64" s="21"/>
      <c r="WOM64" s="21"/>
      <c r="WON64" s="21"/>
      <c r="WOO64" s="21"/>
      <c r="WOP64" s="21"/>
      <c r="WOQ64" s="21"/>
      <c r="WOR64" s="21"/>
      <c r="WOS64" s="21"/>
      <c r="WOT64" s="21"/>
      <c r="WOU64" s="21"/>
      <c r="WOV64" s="21"/>
      <c r="WOW64" s="21"/>
      <c r="WOX64" s="21"/>
      <c r="WOY64" s="21"/>
      <c r="WOZ64" s="21"/>
      <c r="WPA64" s="21"/>
      <c r="WPB64" s="21"/>
      <c r="WPC64" s="21"/>
      <c r="WPD64" s="21"/>
      <c r="WPE64" s="21"/>
      <c r="WPF64" s="21"/>
      <c r="WPG64" s="21"/>
      <c r="WPH64" s="21"/>
      <c r="WPI64" s="21"/>
      <c r="WPJ64" s="21"/>
      <c r="WPK64" s="21"/>
      <c r="WPL64" s="21"/>
      <c r="WPM64" s="21"/>
      <c r="WPN64" s="21"/>
      <c r="WPO64" s="21"/>
      <c r="WPP64" s="21"/>
      <c r="WPQ64" s="21"/>
      <c r="WPR64" s="21"/>
      <c r="WPS64" s="21"/>
      <c r="WPT64" s="21"/>
      <c r="WPU64" s="21"/>
      <c r="WPV64" s="21"/>
      <c r="WPW64" s="21"/>
      <c r="WPX64" s="21"/>
      <c r="WPY64" s="21"/>
      <c r="WPZ64" s="21"/>
      <c r="WQA64" s="21"/>
      <c r="WQB64" s="21"/>
      <c r="WQC64" s="21"/>
      <c r="WQD64" s="21"/>
      <c r="WQE64" s="21"/>
      <c r="WQF64" s="21"/>
      <c r="WQG64" s="21"/>
      <c r="WQH64" s="21"/>
      <c r="WQI64" s="21"/>
      <c r="WQJ64" s="21"/>
      <c r="WQK64" s="21"/>
      <c r="WQL64" s="21"/>
      <c r="WQM64" s="21"/>
      <c r="WQN64" s="21"/>
      <c r="WQO64" s="21"/>
      <c r="WQP64" s="21"/>
      <c r="WQQ64" s="21"/>
      <c r="WQR64" s="21"/>
      <c r="WQS64" s="21"/>
      <c r="WQT64" s="21"/>
      <c r="WQU64" s="21"/>
      <c r="WQV64" s="21"/>
      <c r="WQW64" s="21"/>
      <c r="WQX64" s="21"/>
      <c r="WQY64" s="21"/>
      <c r="WQZ64" s="21"/>
      <c r="WRA64" s="21"/>
      <c r="WRB64" s="21"/>
      <c r="WRC64" s="21"/>
      <c r="WRD64" s="21"/>
      <c r="WRE64" s="21"/>
      <c r="WRF64" s="21"/>
      <c r="WRG64" s="21"/>
      <c r="WRH64" s="21"/>
      <c r="WRI64" s="21"/>
      <c r="WRJ64" s="21"/>
      <c r="WRK64" s="21"/>
      <c r="WRL64" s="21"/>
      <c r="WRM64" s="21"/>
      <c r="WRN64" s="21"/>
      <c r="WRO64" s="21"/>
      <c r="WRP64" s="21"/>
      <c r="WRQ64" s="21"/>
      <c r="WRR64" s="21"/>
      <c r="WRS64" s="21"/>
      <c r="WRT64" s="21"/>
      <c r="WRU64" s="21"/>
      <c r="WRV64" s="21"/>
      <c r="WRW64" s="21"/>
      <c r="WRX64" s="21"/>
      <c r="WRY64" s="21"/>
      <c r="WRZ64" s="21"/>
      <c r="WSA64" s="21"/>
      <c r="WSB64" s="21"/>
      <c r="WSC64" s="21"/>
      <c r="WSD64" s="21"/>
      <c r="WSE64" s="21"/>
      <c r="WSF64" s="21"/>
      <c r="WSG64" s="21"/>
      <c r="WSH64" s="21"/>
      <c r="WSI64" s="21"/>
      <c r="WSJ64" s="21"/>
      <c r="WSK64" s="21"/>
      <c r="WSL64" s="21"/>
      <c r="WSM64" s="21"/>
      <c r="WSN64" s="21"/>
      <c r="WSO64" s="21"/>
      <c r="WSP64" s="21"/>
      <c r="WSQ64" s="21"/>
      <c r="WSR64" s="21"/>
      <c r="WSS64" s="21"/>
      <c r="WST64" s="21"/>
      <c r="WSU64" s="21"/>
      <c r="WSV64" s="21"/>
      <c r="WSW64" s="21"/>
      <c r="WSX64" s="21"/>
      <c r="WSY64" s="21"/>
      <c r="WSZ64" s="21"/>
      <c r="WTA64" s="21"/>
      <c r="WTB64" s="21"/>
      <c r="WTC64" s="21"/>
      <c r="WTD64" s="21"/>
      <c r="WTE64" s="21"/>
      <c r="WTF64" s="21"/>
      <c r="WTG64" s="21"/>
      <c r="WTH64" s="21"/>
      <c r="WTI64" s="21"/>
      <c r="WTJ64" s="21"/>
      <c r="WTK64" s="21"/>
      <c r="WTL64" s="21"/>
      <c r="WTM64" s="21"/>
      <c r="WTN64" s="21"/>
      <c r="WTO64" s="21"/>
      <c r="WTP64" s="21"/>
      <c r="WTQ64" s="21"/>
      <c r="WTR64" s="21"/>
      <c r="WTS64" s="21"/>
      <c r="WTT64" s="21"/>
      <c r="WTU64" s="21"/>
      <c r="WTV64" s="21"/>
      <c r="WTW64" s="21"/>
      <c r="WTX64" s="21"/>
      <c r="WTY64" s="21"/>
      <c r="WTZ64" s="21"/>
      <c r="WUA64" s="21"/>
      <c r="WUB64" s="21"/>
      <c r="WUC64" s="21"/>
      <c r="WUD64" s="21"/>
      <c r="WUE64" s="21"/>
      <c r="WUF64" s="21"/>
      <c r="WUG64" s="21"/>
      <c r="WUH64" s="21"/>
      <c r="WUI64" s="21"/>
      <c r="WUJ64" s="21"/>
      <c r="WUK64" s="21"/>
      <c r="WUL64" s="21"/>
      <c r="WUM64" s="21"/>
      <c r="WUN64" s="21"/>
      <c r="WUO64" s="21"/>
      <c r="WUP64" s="21"/>
      <c r="WUQ64" s="21"/>
      <c r="WUR64" s="21"/>
      <c r="WUS64" s="21"/>
      <c r="WUT64" s="21"/>
      <c r="WUU64" s="21"/>
      <c r="WUV64" s="21"/>
      <c r="WUW64" s="21"/>
      <c r="WUX64" s="21"/>
      <c r="WUY64" s="21"/>
      <c r="WUZ64" s="21"/>
      <c r="WVA64" s="21"/>
      <c r="WVB64" s="21"/>
      <c r="WVC64" s="21"/>
      <c r="WVD64" s="21"/>
      <c r="WVE64" s="21"/>
      <c r="WVF64" s="21"/>
      <c r="WVG64" s="21"/>
      <c r="WVH64" s="21"/>
      <c r="WVI64" s="21"/>
      <c r="WVJ64" s="21"/>
      <c r="WVK64" s="21"/>
      <c r="WVL64" s="21"/>
      <c r="WVM64" s="21"/>
      <c r="WVN64" s="21"/>
      <c r="WVO64" s="21"/>
      <c r="WVP64" s="21"/>
      <c r="WVQ64" s="21"/>
      <c r="WVR64" s="21"/>
      <c r="WVS64" s="21"/>
      <c r="WVT64" s="21"/>
      <c r="WVU64" s="21"/>
      <c r="WVV64" s="21"/>
      <c r="WVW64" s="21"/>
      <c r="WVX64" s="21"/>
      <c r="WVY64" s="21"/>
      <c r="WVZ64" s="21"/>
      <c r="WWA64" s="21"/>
      <c r="WWB64" s="21"/>
      <c r="WWC64" s="21"/>
      <c r="WWD64" s="21"/>
      <c r="WWE64" s="21"/>
      <c r="WWF64" s="21"/>
      <c r="WWG64" s="21"/>
      <c r="WWH64" s="21"/>
      <c r="WWI64" s="21"/>
      <c r="WWJ64" s="21"/>
      <c r="WWK64" s="21"/>
      <c r="WWL64" s="21"/>
      <c r="WWM64" s="21"/>
      <c r="WWN64" s="21"/>
      <c r="WWO64" s="21"/>
      <c r="WWP64" s="21"/>
      <c r="WWQ64" s="21"/>
      <c r="WWR64" s="21"/>
      <c r="WWS64" s="21"/>
      <c r="WWT64" s="21"/>
      <c r="WWU64" s="21"/>
      <c r="WWV64" s="21"/>
      <c r="WWW64" s="21"/>
      <c r="WWX64" s="21"/>
      <c r="WWY64" s="21"/>
      <c r="WWZ64" s="21"/>
      <c r="WXA64" s="21"/>
      <c r="WXB64" s="21"/>
      <c r="WXC64" s="21"/>
      <c r="WXD64" s="21"/>
      <c r="WXE64" s="21"/>
      <c r="WXF64" s="21"/>
      <c r="WXG64" s="21"/>
      <c r="WXH64" s="21"/>
      <c r="WXI64" s="21"/>
      <c r="WXJ64" s="21"/>
      <c r="WXK64" s="21"/>
      <c r="WXL64" s="21"/>
      <c r="WXM64" s="21"/>
      <c r="WXN64" s="21"/>
      <c r="WXO64" s="21"/>
      <c r="WXP64" s="21"/>
      <c r="WXQ64" s="21"/>
      <c r="WXR64" s="21"/>
      <c r="WXS64" s="21"/>
      <c r="WXT64" s="21"/>
      <c r="WXU64" s="21"/>
      <c r="WXV64" s="21"/>
      <c r="WXW64" s="21"/>
      <c r="WXX64" s="21"/>
      <c r="WXY64" s="21"/>
      <c r="WXZ64" s="21"/>
      <c r="WYA64" s="21"/>
      <c r="WYB64" s="21"/>
      <c r="WYC64" s="21"/>
      <c r="WYD64" s="21"/>
      <c r="WYE64" s="21"/>
      <c r="WYF64" s="21"/>
      <c r="WYG64" s="21"/>
      <c r="WYH64" s="21"/>
      <c r="WYI64" s="21"/>
      <c r="WYJ64" s="21"/>
      <c r="WYK64" s="21"/>
      <c r="WYL64" s="21"/>
      <c r="WYM64" s="21"/>
      <c r="WYN64" s="21"/>
      <c r="WYO64" s="21"/>
      <c r="WYP64" s="21"/>
      <c r="WYQ64" s="21"/>
      <c r="WYR64" s="21"/>
      <c r="WYS64" s="21"/>
      <c r="WYT64" s="21"/>
      <c r="WYU64" s="21"/>
      <c r="WYV64" s="21"/>
      <c r="WYW64" s="21"/>
      <c r="WYX64" s="21"/>
      <c r="WYY64" s="21"/>
      <c r="WYZ64" s="21"/>
      <c r="WZA64" s="21"/>
      <c r="WZB64" s="21"/>
      <c r="WZC64" s="21"/>
      <c r="WZD64" s="21"/>
      <c r="WZE64" s="21"/>
      <c r="WZF64" s="21"/>
      <c r="WZG64" s="21"/>
      <c r="WZH64" s="21"/>
      <c r="WZI64" s="21"/>
      <c r="WZJ64" s="21"/>
      <c r="WZK64" s="21"/>
      <c r="WZL64" s="21"/>
      <c r="WZM64" s="21"/>
      <c r="WZN64" s="21"/>
      <c r="WZO64" s="21"/>
      <c r="WZP64" s="21"/>
      <c r="WZQ64" s="21"/>
      <c r="WZR64" s="21"/>
      <c r="WZS64" s="21"/>
      <c r="WZT64" s="21"/>
      <c r="WZU64" s="21"/>
      <c r="WZV64" s="21"/>
      <c r="WZW64" s="21"/>
      <c r="WZX64" s="21"/>
      <c r="WZY64" s="21"/>
      <c r="WZZ64" s="21"/>
      <c r="XAA64" s="21"/>
      <c r="XAB64" s="21"/>
      <c r="XAC64" s="21"/>
      <c r="XAD64" s="21"/>
      <c r="XAE64" s="21"/>
      <c r="XAF64" s="21"/>
      <c r="XAG64" s="21"/>
      <c r="XAH64" s="21"/>
      <c r="XAI64" s="21"/>
      <c r="XAJ64" s="21"/>
      <c r="XAK64" s="21"/>
      <c r="XAL64" s="21"/>
      <c r="XAM64" s="21"/>
      <c r="XAN64" s="21"/>
      <c r="XAO64" s="21"/>
      <c r="XAP64" s="21"/>
      <c r="XAQ64" s="21"/>
      <c r="XAR64" s="21"/>
      <c r="XAS64" s="21"/>
      <c r="XAT64" s="21"/>
      <c r="XAU64" s="21"/>
      <c r="XAV64" s="21"/>
      <c r="XAW64" s="21"/>
      <c r="XAX64" s="21"/>
      <c r="XAY64" s="21"/>
      <c r="XAZ64" s="21"/>
      <c r="XBA64" s="21"/>
      <c r="XBB64" s="21"/>
      <c r="XBC64" s="21"/>
      <c r="XBD64" s="21"/>
      <c r="XBE64" s="21"/>
      <c r="XBF64" s="21"/>
      <c r="XBG64" s="21"/>
      <c r="XBH64" s="21"/>
      <c r="XBI64" s="21"/>
      <c r="XBJ64" s="21"/>
      <c r="XBK64" s="21"/>
      <c r="XBL64" s="21"/>
      <c r="XBM64" s="21"/>
      <c r="XBN64" s="21"/>
      <c r="XBO64" s="21"/>
      <c r="XBP64" s="21"/>
      <c r="XBQ64" s="21"/>
      <c r="XBR64" s="21"/>
      <c r="XBS64" s="21"/>
      <c r="XBT64" s="21"/>
      <c r="XBU64" s="21"/>
      <c r="XBV64" s="21"/>
      <c r="XBW64" s="21"/>
      <c r="XBX64" s="21"/>
      <c r="XBY64" s="21"/>
      <c r="XBZ64" s="21"/>
      <c r="XCA64" s="21"/>
      <c r="XCB64" s="21"/>
      <c r="XCC64" s="21"/>
      <c r="XCD64" s="21"/>
      <c r="XCE64" s="21"/>
      <c r="XCF64" s="21"/>
      <c r="XCG64" s="21"/>
      <c r="XCH64" s="21"/>
      <c r="XCI64" s="21"/>
      <c r="XCJ64" s="21"/>
      <c r="XCK64" s="21"/>
      <c r="XCL64" s="21"/>
      <c r="XCM64" s="21"/>
      <c r="XCN64" s="21"/>
      <c r="XCO64" s="21"/>
      <c r="XCP64" s="21"/>
      <c r="XCQ64" s="21"/>
      <c r="XCR64" s="21"/>
      <c r="XCS64" s="21"/>
      <c r="XCT64" s="21"/>
      <c r="XCU64" s="21"/>
      <c r="XCV64" s="21"/>
      <c r="XCW64" s="21"/>
      <c r="XCX64" s="21"/>
      <c r="XCY64" s="21"/>
      <c r="XCZ64" s="21"/>
      <c r="XDA64" s="21"/>
      <c r="XDB64" s="21"/>
      <c r="XDC64" s="21"/>
      <c r="XDD64" s="21"/>
      <c r="XDE64" s="21"/>
      <c r="XDF64" s="21"/>
      <c r="XDG64" s="21"/>
      <c r="XDH64" s="21"/>
      <c r="XDI64" s="21"/>
      <c r="XDJ64" s="21"/>
      <c r="XDK64" s="21"/>
      <c r="XDL64" s="21"/>
      <c r="XDM64" s="21"/>
      <c r="XDN64" s="21"/>
      <c r="XDO64" s="21"/>
      <c r="XDP64" s="21"/>
      <c r="XDQ64" s="21"/>
      <c r="XDR64" s="21"/>
      <c r="XDS64" s="21"/>
      <c r="XDT64" s="21"/>
      <c r="XDU64" s="21"/>
      <c r="XDV64" s="21"/>
      <c r="XDW64" s="21"/>
      <c r="XDX64" s="21"/>
      <c r="XDY64" s="21"/>
      <c r="XDZ64" s="21"/>
      <c r="XEA64" s="21"/>
      <c r="XEB64" s="21"/>
      <c r="XEC64" s="21"/>
      <c r="XED64" s="21"/>
      <c r="XEE64" s="21"/>
      <c r="XEF64" s="21"/>
      <c r="XEG64" s="21"/>
      <c r="XEH64" s="21"/>
      <c r="XEI64" s="21"/>
      <c r="XEJ64" s="21"/>
      <c r="XEK64" s="21"/>
      <c r="XEL64" s="21"/>
      <c r="XEM64" s="21"/>
      <c r="XEN64" s="21"/>
      <c r="XEO64" s="21"/>
      <c r="XEP64" s="21"/>
      <c r="XEQ64" s="21"/>
      <c r="XER64" s="21"/>
      <c r="XES64" s="21"/>
      <c r="XET64" s="21"/>
      <c r="XEU64" s="21"/>
      <c r="XEV64" s="21"/>
      <c r="XEW64" s="21"/>
      <c r="XEX64" s="21"/>
      <c r="XEY64" s="21"/>
      <c r="XEZ64" s="21"/>
      <c r="XFA64" s="21"/>
      <c r="XFB64" s="21"/>
    </row>
    <row r="65" spans="1:7" s="47" customFormat="1" ht="36" customHeight="1" thickTop="1" thickBot="1">
      <c r="A65" s="8" t="s">
        <v>89</v>
      </c>
      <c r="B65" s="8" t="s">
        <v>90</v>
      </c>
      <c r="C65" s="8" t="s">
        <v>91</v>
      </c>
      <c r="D65" s="8" t="s">
        <v>92</v>
      </c>
      <c r="E65" s="199" t="s">
        <v>104</v>
      </c>
      <c r="F65" s="199" t="s">
        <v>93</v>
      </c>
      <c r="G65" s="17"/>
    </row>
    <row r="66" spans="1:7" ht="78" customHeight="1" thickTop="1" thickBot="1">
      <c r="A66" s="27" t="s">
        <v>1134</v>
      </c>
      <c r="B66" s="121" t="str">
        <f>Questions!$C$299</f>
        <v xml:space="preserve">
No answer required
Participating employer insolvency
</v>
      </c>
      <c r="C66" s="187"/>
      <c r="D66" s="372" t="str">
        <f ca="1">'Reconciliation report'!$D746</f>
        <v/>
      </c>
      <c r="E66" s="122" t="str">
        <f>Guidance!$B$228</f>
        <v xml:space="preserve">
If insolvency of a participating employer is a circumstance in which the trustees may seek to enforce the security provided under the terms of the agreement.
</v>
      </c>
      <c r="F66" s="227"/>
    </row>
    <row r="67" spans="1:7" ht="78" customHeight="1" thickBot="1">
      <c r="A67" s="27" t="s">
        <v>1136</v>
      </c>
      <c r="B67" s="121" t="str">
        <f>Questions!$C$300</f>
        <v xml:space="preserve">
No answer required
Insolvency of associated company
</v>
      </c>
      <c r="C67" s="343"/>
      <c r="D67" s="372" t="str">
        <f ca="1">'Reconciliation report'!$D747</f>
        <v/>
      </c>
      <c r="E67" s="122" t="str">
        <f>Guidance!$B$229</f>
        <v xml:space="preserve">
If insolvency of an associated company is a circumstance in which the trustees may seek to enforce the security provided under the terms of the agreement.
</v>
      </c>
      <c r="F67" s="227"/>
    </row>
    <row r="68" spans="1:7" ht="78" customHeight="1" thickBot="1">
      <c r="A68" s="27" t="s">
        <v>1138</v>
      </c>
      <c r="B68" s="121" t="str">
        <f>Questions!$C$301</f>
        <v xml:space="preserve">
No answer required
Non payment of contributions
</v>
      </c>
      <c r="C68" s="343"/>
      <c r="D68" s="372" t="str">
        <f ca="1">'Reconciliation report'!$D748</f>
        <v/>
      </c>
      <c r="E68" s="122" t="str">
        <f>Guidance!$B$230</f>
        <v xml:space="preserve">
If non-payment of contributions is a circumstance in which the trustees may seek to enforce the security provided under the terms of the agreement.
</v>
      </c>
      <c r="F68" s="227"/>
    </row>
    <row r="69" spans="1:7" ht="78" customHeight="1" thickBot="1">
      <c r="A69" s="27" t="s">
        <v>1140</v>
      </c>
      <c r="B69" s="121" t="str">
        <f>Questions!$C$302</f>
        <v xml:space="preserve">
No answer required
Crystallisation of investment risk
</v>
      </c>
      <c r="C69" s="343"/>
      <c r="D69" s="372" t="str">
        <f ca="1">'Reconciliation report'!$D749</f>
        <v/>
      </c>
      <c r="E69" s="122" t="str">
        <f>Guidance!$B$231</f>
        <v xml:space="preserve">
If crystallisation of investment risk is a circumstance in which the trustees may seek to enforce the security provided under the terms of the agreement.
</v>
      </c>
      <c r="F69" s="227"/>
    </row>
    <row r="70" spans="1:7" ht="78" customHeight="1" thickBot="1">
      <c r="A70" s="27" t="s">
        <v>1142</v>
      </c>
      <c r="B70" s="121" t="str">
        <f>Questions!$C$303</f>
        <v xml:space="preserve">
No answer required
Other
</v>
      </c>
      <c r="C70" s="343"/>
      <c r="D70" s="372" t="str">
        <f ca="1">'Reconciliation report'!$D750</f>
        <v/>
      </c>
      <c r="E70" s="122" t="str">
        <f>Guidance!$B$232</f>
        <v xml:space="preserve">
If there are other circumstances in which the trustees may seek to enforce the security provided under the terms of the agreement.
</v>
      </c>
      <c r="F70" s="227"/>
    </row>
    <row r="71" spans="1:7" ht="93" customHeight="1">
      <c r="A71" s="27" t="s">
        <v>1144</v>
      </c>
      <c r="B71" s="118" t="str">
        <f>Questions!$C$304</f>
        <v xml:space="preserve">
No answer required
Describe the other triggers for access to value
</v>
      </c>
      <c r="C71" s="519"/>
      <c r="D71" s="361" t="str">
        <f ca="1">'Reconciliation report'!$D751</f>
        <v/>
      </c>
      <c r="E71" s="122" t="str">
        <f>Guidance!$B$233</f>
        <v xml:space="preserve">
Specific description of the 'other' circumstances in which the trustees may seek to enforce the security provided under the terms of the agreement.
</v>
      </c>
      <c r="F71" s="128"/>
    </row>
    <row r="72" spans="1:7" ht="78" thickBot="1">
      <c r="A72" s="246" t="s">
        <v>1146</v>
      </c>
      <c r="B72" s="172" t="str">
        <f>Questions!$C$305</f>
        <v xml:space="preserve">
No answer required
Triggers for termination
</v>
      </c>
      <c r="C72" s="520"/>
      <c r="D72" s="362" t="str">
        <f ca="1">'Reconciliation report'!$D752</f>
        <v/>
      </c>
      <c r="E72" s="132" t="str">
        <f>Guidance!$B$234</f>
        <v xml:space="preserve">
The circumstances specified in the security agreement under which the agreement will be terminated or will cease to have effect.
</v>
      </c>
      <c r="F72" s="224"/>
    </row>
    <row r="73" spans="1:7" s="143" customFormat="1" ht="20.149999999999999" customHeight="1" thickBot="1">
      <c r="A73" s="69"/>
      <c r="B73" s="69"/>
      <c r="C73" s="69" t="s">
        <v>23</v>
      </c>
      <c r="D73" s="68"/>
      <c r="E73" s="68"/>
      <c r="F73" s="68"/>
      <c r="G73" s="32"/>
    </row>
    <row r="74" spans="1:7" s="127" customFormat="1" ht="50.15" customHeight="1" thickBot="1">
      <c r="A74" s="755" t="s">
        <v>1147</v>
      </c>
      <c r="B74" s="755"/>
      <c r="C74" s="57"/>
      <c r="D74" s="57"/>
      <c r="E74" s="57"/>
      <c r="F74" s="57"/>
      <c r="G74" s="21"/>
    </row>
    <row r="75" spans="1:7" s="47" customFormat="1" ht="36" customHeight="1" thickTop="1" thickBot="1">
      <c r="A75" s="8" t="s">
        <v>297</v>
      </c>
      <c r="B75" s="8" t="s">
        <v>90</v>
      </c>
      <c r="C75" s="8" t="s">
        <v>91</v>
      </c>
      <c r="D75" s="8" t="s">
        <v>92</v>
      </c>
      <c r="E75" s="199" t="s">
        <v>104</v>
      </c>
      <c r="F75" s="199" t="s">
        <v>93</v>
      </c>
    </row>
    <row r="76" spans="1:7" ht="151.25" customHeight="1" thickTop="1" thickBot="1">
      <c r="A76" s="27" t="s">
        <v>1149</v>
      </c>
      <c r="B76" s="121" t="str">
        <f>Questions!$C$306</f>
        <v xml:space="preserve">
No answer required
What is the type of underlying asset that the scheme has security over?
</v>
      </c>
      <c r="C76" s="187"/>
      <c r="D76" s="372" t="str">
        <f ca="1">'Reconciliation report'!$D753</f>
        <v/>
      </c>
      <c r="E76" s="122" t="str">
        <f>Guidance!$B$219</f>
        <v xml:space="preserve">
Please note that letters of credit, bank guarantees, surety bonds and contingent funding mechanisms are covered in the 'Other assets' section.
</v>
      </c>
      <c r="F76" s="227"/>
    </row>
    <row r="77" spans="1:7" ht="78" customHeight="1" thickBot="1">
      <c r="A77" s="27" t="s">
        <v>1151</v>
      </c>
      <c r="B77" s="118" t="str">
        <f>Questions!$C$307</f>
        <v xml:space="preserve">
No answer required
Provide specific details of the underlying asset
</v>
      </c>
      <c r="C77" s="519"/>
      <c r="D77" s="361" t="str">
        <f ca="1">'Reconciliation report'!$D754</f>
        <v/>
      </c>
      <c r="E77" s="122" t="str">
        <f>Guidance!$B$220</f>
        <v xml:space="preserve">
Specific details of the underlying asset over which the security has been provided.
</v>
      </c>
      <c r="F77" s="128"/>
    </row>
    <row r="78" spans="1:7" ht="78" customHeight="1" thickBot="1">
      <c r="A78" s="27" t="s">
        <v>1153</v>
      </c>
      <c r="B78" s="121" t="str">
        <f>Questions!$C$308</f>
        <v xml:space="preserve">
No answer required
Type of maturity
</v>
      </c>
      <c r="C78" s="343"/>
      <c r="D78" s="372" t="str">
        <f ca="1">'Reconciliation report'!$D755</f>
        <v/>
      </c>
      <c r="E78" s="122" t="str">
        <f>Guidance!$B$221</f>
        <v xml:space="preserve">
Multiple choice answer setting out details regarding the maturity date of the security. Select 'evergreen' when there is no fixed expiry date. Otherwise, provide the date of maturity, which is when the scheme's legal access to the security or the term of the security arrangement is due to end. If neither of these options apply, select 'other'.
</v>
      </c>
      <c r="F78" s="227"/>
    </row>
    <row r="79" spans="1:7" ht="108.65" customHeight="1">
      <c r="A79" s="27" t="s">
        <v>1155</v>
      </c>
      <c r="B79" s="118" t="str">
        <f>Questions!$C$309</f>
        <v xml:space="preserve">
No answer required
Date of maturity
</v>
      </c>
      <c r="C79" s="527"/>
      <c r="D79" s="361" t="str">
        <f ca="1">'Reconciliation report'!$D756</f>
        <v/>
      </c>
      <c r="E79" s="122" t="str">
        <f>Guidance!B287</f>
        <v>Guidance is not required for this question.</v>
      </c>
      <c r="F79" s="128"/>
    </row>
    <row r="80" spans="1:7" ht="93" customHeight="1">
      <c r="A80" s="27" t="s">
        <v>1157</v>
      </c>
      <c r="B80" s="118" t="str">
        <f>Questions!$C$310</f>
        <v xml:space="preserve">
No answer required
Maturity date narrative
</v>
      </c>
      <c r="C80" s="519"/>
      <c r="D80" s="361" t="str">
        <f ca="1">'Reconciliation report'!$D757</f>
        <v/>
      </c>
      <c r="E80" s="122" t="str">
        <f>Guidance!$B$223</f>
        <v xml:space="preserve">
If the answer to the maturity date query above is 'Other', include some narrative related to the maturity date or likely maturity date of the contingent asset.
</v>
      </c>
      <c r="F80" s="128"/>
    </row>
    <row r="81" spans="1:16382" ht="139.5">
      <c r="A81" s="27" t="s">
        <v>1159</v>
      </c>
      <c r="B81" s="121" t="str">
        <f>Questions!$C$311</f>
        <v xml:space="preserve">
No answer required
Value ascribed (£)
</v>
      </c>
      <c r="C81" s="412"/>
      <c r="D81" s="361" t="str">
        <f ca="1">'Reconciliation report'!$D758</f>
        <v/>
      </c>
      <c r="E81" s="122" t="str">
        <f>Guidance!$B$224</f>
        <v xml:space="preserve">
The amount expected to be realisable under the security arrangement. This can be in terms of 'equal to or at least'.
This should take into account the scenarios the security is intended to address. For example, if the security is triggered on an employer's insolvency, this is the amount expected to be recovered in that scenario.     
</v>
      </c>
      <c r="F81" s="128"/>
    </row>
    <row r="82" spans="1:16382" ht="78" thickBot="1">
      <c r="A82" s="27" t="s">
        <v>1161</v>
      </c>
      <c r="B82" s="118" t="str">
        <f>Questions!$C$312</f>
        <v xml:space="preserve">
No answer required
Date of valuation
</v>
      </c>
      <c r="C82" s="527"/>
      <c r="D82" s="361" t="str">
        <f ca="1">'Reconciliation report'!$D759</f>
        <v/>
      </c>
      <c r="E82" s="122" t="str">
        <f>Guidance!$B$225</f>
        <v xml:space="preserve">
The date as at which the value of the security has been assessed.
</v>
      </c>
      <c r="F82" s="128"/>
    </row>
    <row r="83" spans="1:16382" ht="140.15" customHeight="1" thickBot="1">
      <c r="A83" s="27" t="s">
        <v>1163</v>
      </c>
      <c r="B83" s="121" t="str">
        <f>Questions!$C$313</f>
        <v xml:space="preserve">
No answer required
Value cap
</v>
      </c>
      <c r="C83" s="343"/>
      <c r="D83" s="372" t="str">
        <f ca="1">'Reconciliation report'!$D760</f>
        <v/>
      </c>
      <c r="E83" s="122" t="str">
        <f>Guidance!$B$226</f>
        <v xml:space="preserve">
This is the maximum amount payable to the scheme pursuant to the terms of the security agreement when called upon.
</v>
      </c>
      <c r="F83" s="227"/>
    </row>
    <row r="84" spans="1:16382" ht="77.5">
      <c r="A84" s="27" t="s">
        <v>1165</v>
      </c>
      <c r="B84" s="118" t="str">
        <f>Questions!$C$314</f>
        <v xml:space="preserve">
No answer required
Narrative regarding value cap
</v>
      </c>
      <c r="C84" s="519"/>
      <c r="D84" s="361" t="str">
        <f ca="1">'Reconciliation report'!$D761</f>
        <v/>
      </c>
      <c r="E84" s="122" t="str">
        <f>Guidance!$B$227</f>
        <v xml:space="preserve">
If the answer to the value cap question above is 'Other', describe the value cap.
</v>
      </c>
      <c r="F84" s="128"/>
    </row>
    <row r="85" spans="1:16382" ht="78" customHeight="1" thickBot="1">
      <c r="A85" s="27" t="s">
        <v>1167</v>
      </c>
      <c r="B85" s="118" t="str">
        <f>Questions!$C$315</f>
        <v xml:space="preserve">
No answer required
Fixed cap amount (£)
</v>
      </c>
      <c r="C85" s="416"/>
      <c r="D85" s="362" t="str">
        <f ca="1">'Reconciliation report'!$D762</f>
        <v/>
      </c>
      <c r="E85" s="122" t="str">
        <f>Guidance!$B$287</f>
        <v>Guidance is not required for this question.</v>
      </c>
      <c r="F85" s="128"/>
    </row>
    <row r="86" spans="1:16382" s="143" customFormat="1" ht="20.149999999999999" customHeight="1" thickBot="1">
      <c r="A86" s="75"/>
      <c r="B86" s="75"/>
      <c r="C86" s="75" t="s">
        <v>23</v>
      </c>
      <c r="D86" s="68"/>
      <c r="E86" s="99"/>
      <c r="F86" s="99"/>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c r="BM86" s="32"/>
      <c r="BN86" s="32"/>
      <c r="BO86" s="32"/>
      <c r="BP86" s="32"/>
      <c r="BQ86" s="32"/>
      <c r="BR86" s="32"/>
      <c r="BS86" s="32"/>
      <c r="BT86" s="32"/>
      <c r="BU86" s="32"/>
      <c r="BV86" s="32"/>
      <c r="BW86" s="32"/>
      <c r="BX86" s="32"/>
      <c r="BY86" s="32"/>
      <c r="BZ86" s="32"/>
      <c r="CA86" s="32"/>
      <c r="CB86" s="32"/>
      <c r="CC86" s="32"/>
      <c r="CD86" s="32"/>
      <c r="CE86" s="32"/>
      <c r="CF86" s="32"/>
      <c r="CG86" s="32"/>
      <c r="CH86" s="32"/>
      <c r="CI86" s="32"/>
      <c r="CJ86" s="32"/>
      <c r="CK86" s="32"/>
      <c r="CL86" s="32"/>
      <c r="CM86" s="32"/>
      <c r="CN86" s="32"/>
      <c r="CO86" s="32"/>
      <c r="CP86" s="32"/>
      <c r="CQ86" s="32"/>
      <c r="CR86" s="32"/>
      <c r="CS86" s="32"/>
      <c r="CT86" s="32"/>
      <c r="CU86" s="32"/>
      <c r="CV86" s="32"/>
      <c r="CW86" s="32"/>
      <c r="CX86" s="32"/>
      <c r="CY86" s="32"/>
      <c r="CZ86" s="32"/>
      <c r="DA86" s="32"/>
      <c r="DB86" s="32"/>
      <c r="DC86" s="32"/>
      <c r="DD86" s="32"/>
      <c r="DE86" s="32"/>
      <c r="DF86" s="32"/>
      <c r="DG86" s="32"/>
      <c r="DH86" s="32"/>
      <c r="DI86" s="32"/>
      <c r="DJ86" s="32"/>
      <c r="DK86" s="32"/>
      <c r="DL86" s="32"/>
      <c r="DM86" s="32"/>
      <c r="DN86" s="32"/>
      <c r="DO86" s="32"/>
      <c r="DP86" s="32"/>
      <c r="DQ86" s="32"/>
      <c r="DR86" s="32"/>
      <c r="DS86" s="32"/>
      <c r="DT86" s="32"/>
      <c r="DU86" s="32"/>
      <c r="DV86" s="32"/>
      <c r="DW86" s="32"/>
      <c r="DX86" s="32"/>
      <c r="DY86" s="32"/>
      <c r="DZ86" s="32"/>
      <c r="EA86" s="32"/>
      <c r="EB86" s="32"/>
      <c r="EC86" s="32"/>
      <c r="ED86" s="32"/>
      <c r="EE86" s="32"/>
      <c r="EF86" s="32"/>
      <c r="EG86" s="32"/>
      <c r="EH86" s="32"/>
      <c r="EI86" s="32"/>
      <c r="EJ86" s="32"/>
      <c r="EK86" s="32"/>
      <c r="EL86" s="32"/>
      <c r="EM86" s="32"/>
      <c r="EN86" s="32"/>
      <c r="EO86" s="32"/>
      <c r="EP86" s="32"/>
      <c r="EQ86" s="32"/>
      <c r="ER86" s="32"/>
      <c r="ES86" s="32"/>
      <c r="ET86" s="32"/>
      <c r="EU86" s="32"/>
      <c r="EV86" s="32"/>
      <c r="EW86" s="32"/>
      <c r="EX86" s="32"/>
      <c r="EY86" s="32"/>
      <c r="EZ86" s="32"/>
      <c r="FA86" s="32"/>
      <c r="FB86" s="32"/>
      <c r="FC86" s="32"/>
      <c r="FD86" s="32"/>
      <c r="FE86" s="32"/>
      <c r="FF86" s="32"/>
      <c r="FG86" s="32"/>
      <c r="FH86" s="32"/>
      <c r="FI86" s="32"/>
      <c r="FJ86" s="32"/>
      <c r="FK86" s="32"/>
      <c r="FL86" s="32"/>
      <c r="FM86" s="32"/>
      <c r="FN86" s="32"/>
      <c r="FO86" s="32"/>
      <c r="FP86" s="32"/>
      <c r="FQ86" s="32"/>
      <c r="FR86" s="32"/>
      <c r="FS86" s="32"/>
      <c r="FT86" s="32"/>
      <c r="FU86" s="32"/>
      <c r="FV86" s="32"/>
      <c r="FW86" s="32"/>
      <c r="FX86" s="32"/>
      <c r="FY86" s="32"/>
      <c r="FZ86" s="32"/>
      <c r="GA86" s="32"/>
      <c r="GB86" s="32"/>
      <c r="GC86" s="32"/>
      <c r="GD86" s="32"/>
      <c r="GE86" s="32"/>
      <c r="GF86" s="32"/>
      <c r="GG86" s="32"/>
      <c r="GH86" s="32"/>
      <c r="GI86" s="32"/>
      <c r="GJ86" s="32"/>
      <c r="GK86" s="32"/>
      <c r="GL86" s="32"/>
      <c r="GM86" s="32"/>
      <c r="GN86" s="32"/>
      <c r="GO86" s="32"/>
      <c r="GP86" s="32"/>
      <c r="GQ86" s="32"/>
      <c r="GR86" s="32"/>
      <c r="GS86" s="32"/>
      <c r="GT86" s="32"/>
      <c r="GU86" s="32"/>
      <c r="GV86" s="32"/>
      <c r="GW86" s="32"/>
      <c r="GX86" s="32"/>
      <c r="GY86" s="32"/>
      <c r="GZ86" s="32"/>
      <c r="HA86" s="32"/>
      <c r="HB86" s="32"/>
      <c r="HC86" s="32"/>
      <c r="HD86" s="32"/>
      <c r="HE86" s="32"/>
      <c r="HF86" s="32"/>
      <c r="HG86" s="32"/>
      <c r="HH86" s="32"/>
      <c r="HI86" s="32"/>
      <c r="HJ86" s="32"/>
      <c r="HK86" s="32"/>
      <c r="HL86" s="32"/>
      <c r="HM86" s="32"/>
      <c r="HN86" s="32"/>
      <c r="HO86" s="32"/>
      <c r="HP86" s="32"/>
      <c r="HQ86" s="32"/>
      <c r="HR86" s="32"/>
      <c r="HS86" s="32"/>
      <c r="HT86" s="32"/>
      <c r="HU86" s="32"/>
      <c r="HV86" s="32"/>
      <c r="HW86" s="32"/>
      <c r="HX86" s="32"/>
      <c r="HY86" s="32"/>
      <c r="HZ86" s="32"/>
      <c r="IA86" s="32"/>
      <c r="IB86" s="32"/>
      <c r="IC86" s="32"/>
      <c r="ID86" s="32"/>
      <c r="IE86" s="32"/>
      <c r="IF86" s="32"/>
      <c r="IG86" s="32"/>
      <c r="IH86" s="32"/>
      <c r="II86" s="32"/>
      <c r="IJ86" s="32"/>
      <c r="IK86" s="32"/>
      <c r="IL86" s="32"/>
      <c r="IM86" s="32"/>
      <c r="IN86" s="32"/>
      <c r="IO86" s="32"/>
      <c r="IP86" s="32"/>
      <c r="IQ86" s="32"/>
      <c r="IR86" s="32"/>
      <c r="IS86" s="32"/>
      <c r="IT86" s="32"/>
      <c r="IU86" s="32"/>
      <c r="IV86" s="32"/>
      <c r="IW86" s="32"/>
      <c r="IX86" s="32"/>
      <c r="IY86" s="32"/>
      <c r="IZ86" s="32"/>
      <c r="JA86" s="32"/>
      <c r="JB86" s="32"/>
      <c r="JC86" s="32"/>
      <c r="JD86" s="32"/>
      <c r="JE86" s="32"/>
      <c r="JF86" s="32"/>
      <c r="JG86" s="32"/>
      <c r="JH86" s="32"/>
      <c r="JI86" s="32"/>
      <c r="JJ86" s="32"/>
      <c r="JK86" s="32"/>
      <c r="JL86" s="32"/>
      <c r="JM86" s="32"/>
      <c r="JN86" s="32"/>
      <c r="JO86" s="32"/>
      <c r="JP86" s="32"/>
      <c r="JQ86" s="32"/>
      <c r="JR86" s="32"/>
      <c r="JS86" s="32"/>
      <c r="JT86" s="32"/>
      <c r="JU86" s="32"/>
      <c r="JV86" s="32"/>
      <c r="JW86" s="32"/>
      <c r="JX86" s="32"/>
      <c r="JY86" s="32"/>
      <c r="JZ86" s="32"/>
      <c r="KA86" s="32"/>
      <c r="KB86" s="32"/>
      <c r="KC86" s="32"/>
      <c r="KD86" s="32"/>
      <c r="KE86" s="32"/>
      <c r="KF86" s="32"/>
      <c r="KG86" s="32"/>
      <c r="KH86" s="32"/>
      <c r="KI86" s="32"/>
      <c r="KJ86" s="32"/>
      <c r="KK86" s="32"/>
      <c r="KL86" s="32"/>
      <c r="KM86" s="32"/>
      <c r="KN86" s="32"/>
      <c r="KO86" s="32"/>
      <c r="KP86" s="32"/>
      <c r="KQ86" s="32"/>
      <c r="KR86" s="32"/>
      <c r="KS86" s="32"/>
      <c r="KT86" s="32"/>
      <c r="KU86" s="32"/>
      <c r="KV86" s="32"/>
      <c r="KW86" s="32"/>
      <c r="KX86" s="32"/>
      <c r="KY86" s="32"/>
      <c r="KZ86" s="32"/>
      <c r="LA86" s="32"/>
      <c r="LB86" s="32"/>
      <c r="LC86" s="32"/>
      <c r="LD86" s="32"/>
      <c r="LE86" s="32"/>
      <c r="LF86" s="32"/>
      <c r="LG86" s="32"/>
      <c r="LH86" s="32"/>
      <c r="LI86" s="32"/>
      <c r="LJ86" s="32"/>
      <c r="LK86" s="32"/>
      <c r="LL86" s="32"/>
      <c r="LM86" s="32"/>
      <c r="LN86" s="32"/>
      <c r="LO86" s="32"/>
      <c r="LP86" s="32"/>
      <c r="LQ86" s="32"/>
      <c r="LR86" s="32"/>
      <c r="LS86" s="32"/>
      <c r="LT86" s="32"/>
      <c r="LU86" s="32"/>
      <c r="LV86" s="32"/>
      <c r="LW86" s="32"/>
      <c r="LX86" s="32"/>
      <c r="LY86" s="32"/>
      <c r="LZ86" s="32"/>
      <c r="MA86" s="32"/>
      <c r="MB86" s="32"/>
      <c r="MC86" s="32"/>
      <c r="MD86" s="32"/>
      <c r="ME86" s="32"/>
      <c r="MF86" s="32"/>
      <c r="MG86" s="32"/>
      <c r="MH86" s="32"/>
      <c r="MI86" s="32"/>
      <c r="MJ86" s="32"/>
      <c r="MK86" s="32"/>
      <c r="ML86" s="32"/>
      <c r="MM86" s="32"/>
      <c r="MN86" s="32"/>
      <c r="MO86" s="32"/>
      <c r="MP86" s="32"/>
      <c r="MQ86" s="32"/>
      <c r="MR86" s="32"/>
      <c r="MS86" s="32"/>
      <c r="MT86" s="32"/>
      <c r="MU86" s="32"/>
      <c r="MV86" s="32"/>
      <c r="MW86" s="32"/>
      <c r="MX86" s="32"/>
      <c r="MY86" s="32"/>
      <c r="MZ86" s="32"/>
      <c r="NA86" s="32"/>
      <c r="NB86" s="32"/>
      <c r="NC86" s="32"/>
      <c r="ND86" s="32"/>
      <c r="NE86" s="32"/>
      <c r="NF86" s="32"/>
      <c r="NG86" s="32"/>
      <c r="NH86" s="32"/>
      <c r="NI86" s="32"/>
      <c r="NJ86" s="32"/>
      <c r="NK86" s="32"/>
      <c r="NL86" s="32"/>
      <c r="NM86" s="32"/>
      <c r="NN86" s="32"/>
      <c r="NO86" s="32"/>
      <c r="NP86" s="32"/>
      <c r="NQ86" s="32"/>
      <c r="NR86" s="32"/>
      <c r="NS86" s="32"/>
      <c r="NT86" s="32"/>
      <c r="NU86" s="32"/>
      <c r="NV86" s="32"/>
      <c r="NW86" s="32"/>
      <c r="NX86" s="32"/>
      <c r="NY86" s="32"/>
      <c r="NZ86" s="32"/>
      <c r="OA86" s="32"/>
      <c r="OB86" s="32"/>
      <c r="OC86" s="32"/>
      <c r="OD86" s="32"/>
      <c r="OE86" s="32"/>
      <c r="OF86" s="32"/>
      <c r="OG86" s="32"/>
      <c r="OH86" s="32"/>
      <c r="OI86" s="32"/>
      <c r="OJ86" s="32"/>
      <c r="OK86" s="32"/>
      <c r="OL86" s="32"/>
      <c r="OM86" s="32"/>
      <c r="ON86" s="32"/>
      <c r="OO86" s="32"/>
      <c r="OP86" s="32"/>
      <c r="OQ86" s="32"/>
      <c r="OR86" s="32"/>
      <c r="OS86" s="32"/>
      <c r="OT86" s="32"/>
      <c r="OU86" s="32"/>
      <c r="OV86" s="32"/>
      <c r="OW86" s="32"/>
      <c r="OX86" s="32"/>
      <c r="OY86" s="32"/>
      <c r="OZ86" s="32"/>
      <c r="PA86" s="32"/>
      <c r="PB86" s="32"/>
      <c r="PC86" s="32"/>
      <c r="PD86" s="32"/>
      <c r="PE86" s="32"/>
      <c r="PF86" s="32"/>
      <c r="PG86" s="32"/>
      <c r="PH86" s="32"/>
      <c r="PI86" s="32"/>
      <c r="PJ86" s="32"/>
      <c r="PK86" s="32"/>
      <c r="PL86" s="32"/>
      <c r="PM86" s="32"/>
      <c r="PN86" s="32"/>
      <c r="PO86" s="32"/>
      <c r="PP86" s="32"/>
      <c r="PQ86" s="32"/>
      <c r="PR86" s="32"/>
      <c r="PS86" s="32"/>
      <c r="PT86" s="32"/>
      <c r="PU86" s="32"/>
      <c r="PV86" s="32"/>
      <c r="PW86" s="32"/>
      <c r="PX86" s="32"/>
      <c r="PY86" s="32"/>
      <c r="PZ86" s="32"/>
      <c r="QA86" s="32"/>
      <c r="QB86" s="32"/>
      <c r="QC86" s="32"/>
      <c r="QD86" s="32"/>
      <c r="QE86" s="32"/>
      <c r="QF86" s="32"/>
      <c r="QG86" s="32"/>
      <c r="QH86" s="32"/>
      <c r="QI86" s="32"/>
      <c r="QJ86" s="32"/>
      <c r="QK86" s="32"/>
      <c r="QL86" s="32"/>
      <c r="QM86" s="32"/>
      <c r="QN86" s="32"/>
      <c r="QO86" s="32"/>
      <c r="QP86" s="32"/>
      <c r="QQ86" s="32"/>
      <c r="QR86" s="32"/>
      <c r="QS86" s="32"/>
      <c r="QT86" s="32"/>
      <c r="QU86" s="32"/>
      <c r="QV86" s="32"/>
      <c r="QW86" s="32"/>
      <c r="QX86" s="32"/>
      <c r="QY86" s="32"/>
      <c r="QZ86" s="32"/>
      <c r="RA86" s="32"/>
      <c r="RB86" s="32"/>
      <c r="RC86" s="32"/>
      <c r="RD86" s="32"/>
      <c r="RE86" s="32"/>
      <c r="RF86" s="32"/>
      <c r="RG86" s="32"/>
      <c r="RH86" s="32"/>
      <c r="RI86" s="32"/>
      <c r="RJ86" s="32"/>
      <c r="RK86" s="32"/>
      <c r="RL86" s="32"/>
      <c r="RM86" s="32"/>
      <c r="RN86" s="32"/>
      <c r="RO86" s="32"/>
      <c r="RP86" s="32"/>
      <c r="RQ86" s="32"/>
      <c r="RR86" s="32"/>
      <c r="RS86" s="32"/>
      <c r="RT86" s="32"/>
      <c r="RU86" s="32"/>
      <c r="RV86" s="32"/>
      <c r="RW86" s="32"/>
      <c r="RX86" s="32"/>
      <c r="RY86" s="32"/>
      <c r="RZ86" s="32"/>
      <c r="SA86" s="32"/>
      <c r="SB86" s="32"/>
      <c r="SC86" s="32"/>
      <c r="SD86" s="32"/>
      <c r="SE86" s="32"/>
      <c r="SF86" s="32"/>
      <c r="SG86" s="32"/>
      <c r="SH86" s="32"/>
      <c r="SI86" s="32"/>
      <c r="SJ86" s="32"/>
      <c r="SK86" s="32"/>
      <c r="SL86" s="32"/>
      <c r="SM86" s="32"/>
      <c r="SN86" s="32"/>
      <c r="SO86" s="32"/>
      <c r="SP86" s="32"/>
      <c r="SQ86" s="32"/>
      <c r="SR86" s="32"/>
      <c r="SS86" s="32"/>
      <c r="ST86" s="32"/>
      <c r="SU86" s="32"/>
      <c r="SV86" s="32"/>
      <c r="SW86" s="32"/>
      <c r="SX86" s="32"/>
      <c r="SY86" s="32"/>
      <c r="SZ86" s="32"/>
      <c r="TA86" s="32"/>
      <c r="TB86" s="32"/>
      <c r="TC86" s="32"/>
      <c r="TD86" s="32"/>
      <c r="TE86" s="32"/>
      <c r="TF86" s="32"/>
      <c r="TG86" s="32"/>
      <c r="TH86" s="32"/>
      <c r="TI86" s="32"/>
      <c r="TJ86" s="32"/>
      <c r="TK86" s="32"/>
      <c r="TL86" s="32"/>
      <c r="TM86" s="32"/>
      <c r="TN86" s="32"/>
      <c r="TO86" s="32"/>
      <c r="TP86" s="32"/>
      <c r="TQ86" s="32"/>
      <c r="TR86" s="32"/>
      <c r="TS86" s="32"/>
      <c r="TT86" s="32"/>
      <c r="TU86" s="32"/>
      <c r="TV86" s="32"/>
      <c r="TW86" s="32"/>
      <c r="TX86" s="32"/>
      <c r="TY86" s="32"/>
      <c r="TZ86" s="32"/>
      <c r="UA86" s="32"/>
      <c r="UB86" s="32"/>
      <c r="UC86" s="32"/>
      <c r="UD86" s="32"/>
      <c r="UE86" s="32"/>
      <c r="UF86" s="32"/>
      <c r="UG86" s="32"/>
      <c r="UH86" s="32"/>
      <c r="UI86" s="32"/>
      <c r="UJ86" s="32"/>
      <c r="UK86" s="32"/>
      <c r="UL86" s="32"/>
      <c r="UM86" s="32"/>
      <c r="UN86" s="32"/>
      <c r="UO86" s="32"/>
      <c r="UP86" s="32"/>
      <c r="UQ86" s="32"/>
      <c r="UR86" s="32"/>
      <c r="US86" s="32"/>
      <c r="UT86" s="32"/>
      <c r="UU86" s="32"/>
      <c r="UV86" s="32"/>
      <c r="UW86" s="32"/>
      <c r="UX86" s="32"/>
      <c r="UY86" s="32"/>
      <c r="UZ86" s="32"/>
      <c r="VA86" s="32"/>
      <c r="VB86" s="32"/>
      <c r="VC86" s="32"/>
      <c r="VD86" s="32"/>
      <c r="VE86" s="32"/>
      <c r="VF86" s="32"/>
      <c r="VG86" s="32"/>
      <c r="VH86" s="32"/>
      <c r="VI86" s="32"/>
      <c r="VJ86" s="32"/>
      <c r="VK86" s="32"/>
      <c r="VL86" s="32"/>
      <c r="VM86" s="32"/>
      <c r="VN86" s="32"/>
      <c r="VO86" s="32"/>
      <c r="VP86" s="32"/>
      <c r="VQ86" s="32"/>
      <c r="VR86" s="32"/>
      <c r="VS86" s="32"/>
      <c r="VT86" s="32"/>
      <c r="VU86" s="32"/>
      <c r="VV86" s="32"/>
      <c r="VW86" s="32"/>
      <c r="VX86" s="32"/>
      <c r="VY86" s="32"/>
      <c r="VZ86" s="32"/>
      <c r="WA86" s="32"/>
      <c r="WB86" s="32"/>
      <c r="WC86" s="32"/>
      <c r="WD86" s="32"/>
      <c r="WE86" s="32"/>
      <c r="WF86" s="32"/>
      <c r="WG86" s="32"/>
      <c r="WH86" s="32"/>
      <c r="WI86" s="32"/>
      <c r="WJ86" s="32"/>
      <c r="WK86" s="32"/>
      <c r="WL86" s="32"/>
      <c r="WM86" s="32"/>
      <c r="WN86" s="32"/>
      <c r="WO86" s="32"/>
      <c r="WP86" s="32"/>
      <c r="WQ86" s="32"/>
      <c r="WR86" s="32"/>
      <c r="WS86" s="32"/>
      <c r="WT86" s="32"/>
      <c r="WU86" s="32"/>
      <c r="WV86" s="32"/>
      <c r="WW86" s="32"/>
      <c r="WX86" s="32"/>
      <c r="WY86" s="32"/>
      <c r="WZ86" s="32"/>
      <c r="XA86" s="32"/>
      <c r="XB86" s="32"/>
      <c r="XC86" s="32"/>
      <c r="XD86" s="32"/>
      <c r="XE86" s="32"/>
      <c r="XF86" s="32"/>
      <c r="XG86" s="32"/>
      <c r="XH86" s="32"/>
      <c r="XI86" s="32"/>
      <c r="XJ86" s="32"/>
      <c r="XK86" s="32"/>
      <c r="XL86" s="32"/>
      <c r="XM86" s="32"/>
      <c r="XN86" s="32"/>
      <c r="XO86" s="32"/>
      <c r="XP86" s="32"/>
      <c r="XQ86" s="32"/>
      <c r="XR86" s="32"/>
      <c r="XS86" s="32"/>
      <c r="XT86" s="32"/>
      <c r="XU86" s="32"/>
      <c r="XV86" s="32"/>
      <c r="XW86" s="32"/>
      <c r="XX86" s="32"/>
      <c r="XY86" s="32"/>
      <c r="XZ86" s="32"/>
      <c r="YA86" s="32"/>
      <c r="YB86" s="32"/>
      <c r="YC86" s="32"/>
      <c r="YD86" s="32"/>
      <c r="YE86" s="32"/>
      <c r="YF86" s="32"/>
      <c r="YG86" s="32"/>
      <c r="YH86" s="32"/>
      <c r="YI86" s="32"/>
      <c r="YJ86" s="32"/>
      <c r="YK86" s="32"/>
      <c r="YL86" s="32"/>
      <c r="YM86" s="32"/>
      <c r="YN86" s="32"/>
      <c r="YO86" s="32"/>
      <c r="YP86" s="32"/>
      <c r="YQ86" s="32"/>
      <c r="YR86" s="32"/>
      <c r="YS86" s="32"/>
      <c r="YT86" s="32"/>
      <c r="YU86" s="32"/>
      <c r="YV86" s="32"/>
      <c r="YW86" s="32"/>
      <c r="YX86" s="32"/>
      <c r="YY86" s="32"/>
      <c r="YZ86" s="32"/>
      <c r="ZA86" s="32"/>
      <c r="ZB86" s="32"/>
      <c r="ZC86" s="32"/>
      <c r="ZD86" s="32"/>
      <c r="ZE86" s="32"/>
      <c r="ZF86" s="32"/>
      <c r="ZG86" s="32"/>
      <c r="ZH86" s="32"/>
      <c r="ZI86" s="32"/>
      <c r="ZJ86" s="32"/>
      <c r="ZK86" s="32"/>
      <c r="ZL86" s="32"/>
      <c r="ZM86" s="32"/>
      <c r="ZN86" s="32"/>
      <c r="ZO86" s="32"/>
      <c r="ZP86" s="32"/>
      <c r="ZQ86" s="32"/>
      <c r="ZR86" s="32"/>
      <c r="ZS86" s="32"/>
      <c r="ZT86" s="32"/>
      <c r="ZU86" s="32"/>
      <c r="ZV86" s="32"/>
      <c r="ZW86" s="32"/>
      <c r="ZX86" s="32"/>
      <c r="ZY86" s="32"/>
      <c r="ZZ86" s="32"/>
      <c r="AAA86" s="32"/>
      <c r="AAB86" s="32"/>
      <c r="AAC86" s="32"/>
      <c r="AAD86" s="32"/>
      <c r="AAE86" s="32"/>
      <c r="AAF86" s="32"/>
      <c r="AAG86" s="32"/>
      <c r="AAH86" s="32"/>
      <c r="AAI86" s="32"/>
      <c r="AAJ86" s="32"/>
      <c r="AAK86" s="32"/>
      <c r="AAL86" s="32"/>
      <c r="AAM86" s="32"/>
      <c r="AAN86" s="32"/>
      <c r="AAO86" s="32"/>
      <c r="AAP86" s="32"/>
      <c r="AAQ86" s="32"/>
      <c r="AAR86" s="32"/>
      <c r="AAS86" s="32"/>
      <c r="AAT86" s="32"/>
      <c r="AAU86" s="32"/>
      <c r="AAV86" s="32"/>
      <c r="AAW86" s="32"/>
      <c r="AAX86" s="32"/>
      <c r="AAY86" s="32"/>
      <c r="AAZ86" s="32"/>
      <c r="ABA86" s="32"/>
      <c r="ABB86" s="32"/>
      <c r="ABC86" s="32"/>
      <c r="ABD86" s="32"/>
      <c r="ABE86" s="32"/>
      <c r="ABF86" s="32"/>
      <c r="ABG86" s="32"/>
      <c r="ABH86" s="32"/>
      <c r="ABI86" s="32"/>
      <c r="ABJ86" s="32"/>
      <c r="ABK86" s="32"/>
      <c r="ABL86" s="32"/>
      <c r="ABM86" s="32"/>
      <c r="ABN86" s="32"/>
      <c r="ABO86" s="32"/>
      <c r="ABP86" s="32"/>
      <c r="ABQ86" s="32"/>
      <c r="ABR86" s="32"/>
      <c r="ABS86" s="32"/>
      <c r="ABT86" s="32"/>
      <c r="ABU86" s="32"/>
      <c r="ABV86" s="32"/>
      <c r="ABW86" s="32"/>
      <c r="ABX86" s="32"/>
      <c r="ABY86" s="32"/>
      <c r="ABZ86" s="32"/>
      <c r="ACA86" s="32"/>
      <c r="ACB86" s="32"/>
      <c r="ACC86" s="32"/>
      <c r="ACD86" s="32"/>
      <c r="ACE86" s="32"/>
      <c r="ACF86" s="32"/>
      <c r="ACG86" s="32"/>
      <c r="ACH86" s="32"/>
      <c r="ACI86" s="32"/>
      <c r="ACJ86" s="32"/>
      <c r="ACK86" s="32"/>
      <c r="ACL86" s="32"/>
      <c r="ACM86" s="32"/>
      <c r="ACN86" s="32"/>
      <c r="ACO86" s="32"/>
      <c r="ACP86" s="32"/>
      <c r="ACQ86" s="32"/>
      <c r="ACR86" s="32"/>
      <c r="ACS86" s="32"/>
      <c r="ACT86" s="32"/>
      <c r="ACU86" s="32"/>
      <c r="ACV86" s="32"/>
      <c r="ACW86" s="32"/>
      <c r="ACX86" s="32"/>
      <c r="ACY86" s="32"/>
      <c r="ACZ86" s="32"/>
      <c r="ADA86" s="32"/>
      <c r="ADB86" s="32"/>
      <c r="ADC86" s="32"/>
      <c r="ADD86" s="32"/>
      <c r="ADE86" s="32"/>
      <c r="ADF86" s="32"/>
      <c r="ADG86" s="32"/>
      <c r="ADH86" s="32"/>
      <c r="ADI86" s="32"/>
      <c r="ADJ86" s="32"/>
      <c r="ADK86" s="32"/>
      <c r="ADL86" s="32"/>
      <c r="ADM86" s="32"/>
      <c r="ADN86" s="32"/>
      <c r="ADO86" s="32"/>
      <c r="ADP86" s="32"/>
      <c r="ADQ86" s="32"/>
      <c r="ADR86" s="32"/>
      <c r="ADS86" s="32"/>
      <c r="ADT86" s="32"/>
      <c r="ADU86" s="32"/>
      <c r="ADV86" s="32"/>
      <c r="ADW86" s="32"/>
      <c r="ADX86" s="32"/>
      <c r="ADY86" s="32"/>
      <c r="ADZ86" s="32"/>
      <c r="AEA86" s="32"/>
      <c r="AEB86" s="32"/>
      <c r="AEC86" s="32"/>
      <c r="AED86" s="32"/>
      <c r="AEE86" s="32"/>
      <c r="AEF86" s="32"/>
      <c r="AEG86" s="32"/>
      <c r="AEH86" s="32"/>
      <c r="AEI86" s="32"/>
      <c r="AEJ86" s="32"/>
      <c r="AEK86" s="32"/>
      <c r="AEL86" s="32"/>
      <c r="AEM86" s="32"/>
      <c r="AEN86" s="32"/>
      <c r="AEO86" s="32"/>
      <c r="AEP86" s="32"/>
      <c r="AEQ86" s="32"/>
      <c r="AER86" s="32"/>
      <c r="AES86" s="32"/>
      <c r="AET86" s="32"/>
      <c r="AEU86" s="32"/>
      <c r="AEV86" s="32"/>
      <c r="AEW86" s="32"/>
      <c r="AEX86" s="32"/>
      <c r="AEY86" s="32"/>
      <c r="AEZ86" s="32"/>
      <c r="AFA86" s="32"/>
      <c r="AFB86" s="32"/>
      <c r="AFC86" s="32"/>
      <c r="AFD86" s="32"/>
      <c r="AFE86" s="32"/>
      <c r="AFF86" s="32"/>
      <c r="AFG86" s="32"/>
      <c r="AFH86" s="32"/>
      <c r="AFI86" s="32"/>
      <c r="AFJ86" s="32"/>
      <c r="AFK86" s="32"/>
      <c r="AFL86" s="32"/>
      <c r="AFM86" s="32"/>
      <c r="AFN86" s="32"/>
      <c r="AFO86" s="32"/>
      <c r="AFP86" s="32"/>
      <c r="AFQ86" s="32"/>
      <c r="AFR86" s="32"/>
      <c r="AFS86" s="32"/>
      <c r="AFT86" s="32"/>
      <c r="AFU86" s="32"/>
      <c r="AFV86" s="32"/>
      <c r="AFW86" s="32"/>
      <c r="AFX86" s="32"/>
      <c r="AFY86" s="32"/>
      <c r="AFZ86" s="32"/>
      <c r="AGA86" s="32"/>
      <c r="AGB86" s="32"/>
      <c r="AGC86" s="32"/>
      <c r="AGD86" s="32"/>
      <c r="AGE86" s="32"/>
      <c r="AGF86" s="32"/>
      <c r="AGG86" s="32"/>
      <c r="AGH86" s="32"/>
      <c r="AGI86" s="32"/>
      <c r="AGJ86" s="32"/>
      <c r="AGK86" s="32"/>
      <c r="AGL86" s="32"/>
      <c r="AGM86" s="32"/>
      <c r="AGN86" s="32"/>
      <c r="AGO86" s="32"/>
      <c r="AGP86" s="32"/>
      <c r="AGQ86" s="32"/>
      <c r="AGR86" s="32"/>
      <c r="AGS86" s="32"/>
      <c r="AGT86" s="32"/>
      <c r="AGU86" s="32"/>
      <c r="AGV86" s="32"/>
      <c r="AGW86" s="32"/>
      <c r="AGX86" s="32"/>
      <c r="AGY86" s="32"/>
      <c r="AGZ86" s="32"/>
      <c r="AHA86" s="32"/>
      <c r="AHB86" s="32"/>
      <c r="AHC86" s="32"/>
      <c r="AHD86" s="32"/>
      <c r="AHE86" s="32"/>
      <c r="AHF86" s="32"/>
      <c r="AHG86" s="32"/>
      <c r="AHH86" s="32"/>
      <c r="AHI86" s="32"/>
      <c r="AHJ86" s="32"/>
      <c r="AHK86" s="32"/>
      <c r="AHL86" s="32"/>
      <c r="AHM86" s="32"/>
      <c r="AHN86" s="32"/>
      <c r="AHO86" s="32"/>
      <c r="AHP86" s="32"/>
      <c r="AHQ86" s="32"/>
      <c r="AHR86" s="32"/>
      <c r="AHS86" s="32"/>
      <c r="AHT86" s="32"/>
      <c r="AHU86" s="32"/>
      <c r="AHV86" s="32"/>
      <c r="AHW86" s="32"/>
      <c r="AHX86" s="32"/>
      <c r="AHY86" s="32"/>
      <c r="AHZ86" s="32"/>
      <c r="AIA86" s="32"/>
      <c r="AIB86" s="32"/>
      <c r="AIC86" s="32"/>
      <c r="AID86" s="32"/>
      <c r="AIE86" s="32"/>
      <c r="AIF86" s="32"/>
      <c r="AIG86" s="32"/>
      <c r="AIH86" s="32"/>
      <c r="AII86" s="32"/>
      <c r="AIJ86" s="32"/>
      <c r="AIK86" s="32"/>
      <c r="AIL86" s="32"/>
      <c r="AIM86" s="32"/>
      <c r="AIN86" s="32"/>
      <c r="AIO86" s="32"/>
      <c r="AIP86" s="32"/>
      <c r="AIQ86" s="32"/>
      <c r="AIR86" s="32"/>
      <c r="AIS86" s="32"/>
      <c r="AIT86" s="32"/>
      <c r="AIU86" s="32"/>
      <c r="AIV86" s="32"/>
      <c r="AIW86" s="32"/>
      <c r="AIX86" s="32"/>
      <c r="AIY86" s="32"/>
      <c r="AIZ86" s="32"/>
      <c r="AJA86" s="32"/>
      <c r="AJB86" s="32"/>
      <c r="AJC86" s="32"/>
      <c r="AJD86" s="32"/>
      <c r="AJE86" s="32"/>
      <c r="AJF86" s="32"/>
      <c r="AJG86" s="32"/>
      <c r="AJH86" s="32"/>
      <c r="AJI86" s="32"/>
      <c r="AJJ86" s="32"/>
      <c r="AJK86" s="32"/>
      <c r="AJL86" s="32"/>
      <c r="AJM86" s="32"/>
      <c r="AJN86" s="32"/>
      <c r="AJO86" s="32"/>
      <c r="AJP86" s="32"/>
      <c r="AJQ86" s="32"/>
      <c r="AJR86" s="32"/>
      <c r="AJS86" s="32"/>
      <c r="AJT86" s="32"/>
      <c r="AJU86" s="32"/>
      <c r="AJV86" s="32"/>
      <c r="AJW86" s="32"/>
      <c r="AJX86" s="32"/>
      <c r="AJY86" s="32"/>
      <c r="AJZ86" s="32"/>
      <c r="AKA86" s="32"/>
      <c r="AKB86" s="32"/>
      <c r="AKC86" s="32"/>
      <c r="AKD86" s="32"/>
      <c r="AKE86" s="32"/>
      <c r="AKF86" s="32"/>
      <c r="AKG86" s="32"/>
      <c r="AKH86" s="32"/>
      <c r="AKI86" s="32"/>
      <c r="AKJ86" s="32"/>
      <c r="AKK86" s="32"/>
      <c r="AKL86" s="32"/>
      <c r="AKM86" s="32"/>
      <c r="AKN86" s="32"/>
      <c r="AKO86" s="32"/>
      <c r="AKP86" s="32"/>
      <c r="AKQ86" s="32"/>
      <c r="AKR86" s="32"/>
      <c r="AKS86" s="32"/>
      <c r="AKT86" s="32"/>
      <c r="AKU86" s="32"/>
      <c r="AKV86" s="32"/>
      <c r="AKW86" s="32"/>
      <c r="AKX86" s="32"/>
      <c r="AKY86" s="32"/>
      <c r="AKZ86" s="32"/>
      <c r="ALA86" s="32"/>
      <c r="ALB86" s="32"/>
      <c r="ALC86" s="32"/>
      <c r="ALD86" s="32"/>
      <c r="ALE86" s="32"/>
      <c r="ALF86" s="32"/>
      <c r="ALG86" s="32"/>
      <c r="ALH86" s="32"/>
      <c r="ALI86" s="32"/>
      <c r="ALJ86" s="32"/>
      <c r="ALK86" s="32"/>
      <c r="ALL86" s="32"/>
      <c r="ALM86" s="32"/>
      <c r="ALN86" s="32"/>
      <c r="ALO86" s="32"/>
      <c r="ALP86" s="32"/>
      <c r="ALQ86" s="32"/>
      <c r="ALR86" s="32"/>
      <c r="ALS86" s="32"/>
      <c r="ALT86" s="32"/>
      <c r="ALU86" s="32"/>
      <c r="ALV86" s="32"/>
      <c r="ALW86" s="32"/>
      <c r="ALX86" s="32"/>
      <c r="ALY86" s="32"/>
      <c r="ALZ86" s="32"/>
      <c r="AMA86" s="32"/>
      <c r="AMB86" s="32"/>
      <c r="AMC86" s="32"/>
      <c r="AMD86" s="32"/>
      <c r="AME86" s="32"/>
      <c r="AMF86" s="32"/>
      <c r="AMG86" s="32"/>
      <c r="AMH86" s="32"/>
      <c r="AMI86" s="32"/>
      <c r="AMJ86" s="32"/>
      <c r="AMK86" s="32"/>
      <c r="AML86" s="32"/>
      <c r="AMM86" s="32"/>
      <c r="AMN86" s="32"/>
      <c r="AMO86" s="32"/>
      <c r="AMP86" s="32"/>
      <c r="AMQ86" s="32"/>
      <c r="AMR86" s="32"/>
      <c r="AMS86" s="32"/>
      <c r="AMT86" s="32"/>
      <c r="AMU86" s="32"/>
      <c r="AMV86" s="32"/>
      <c r="AMW86" s="32"/>
      <c r="AMX86" s="32"/>
      <c r="AMY86" s="32"/>
      <c r="AMZ86" s="32"/>
      <c r="ANA86" s="32"/>
      <c r="ANB86" s="32"/>
      <c r="ANC86" s="32"/>
      <c r="AND86" s="32"/>
      <c r="ANE86" s="32"/>
      <c r="ANF86" s="32"/>
      <c r="ANG86" s="32"/>
      <c r="ANH86" s="32"/>
      <c r="ANI86" s="32"/>
      <c r="ANJ86" s="32"/>
      <c r="ANK86" s="32"/>
      <c r="ANL86" s="32"/>
      <c r="ANM86" s="32"/>
      <c r="ANN86" s="32"/>
      <c r="ANO86" s="32"/>
      <c r="ANP86" s="32"/>
      <c r="ANQ86" s="32"/>
      <c r="ANR86" s="32"/>
      <c r="ANS86" s="32"/>
      <c r="ANT86" s="32"/>
      <c r="ANU86" s="32"/>
      <c r="ANV86" s="32"/>
      <c r="ANW86" s="32"/>
      <c r="ANX86" s="32"/>
      <c r="ANY86" s="32"/>
      <c r="ANZ86" s="32"/>
      <c r="AOA86" s="32"/>
      <c r="AOB86" s="32"/>
      <c r="AOC86" s="32"/>
      <c r="AOD86" s="32"/>
      <c r="AOE86" s="32"/>
      <c r="AOF86" s="32"/>
      <c r="AOG86" s="32"/>
      <c r="AOH86" s="32"/>
      <c r="AOI86" s="32"/>
      <c r="AOJ86" s="32"/>
      <c r="AOK86" s="32"/>
      <c r="AOL86" s="32"/>
      <c r="AOM86" s="32"/>
      <c r="AON86" s="32"/>
      <c r="AOO86" s="32"/>
      <c r="AOP86" s="32"/>
      <c r="AOQ86" s="32"/>
      <c r="AOR86" s="32"/>
      <c r="AOS86" s="32"/>
      <c r="AOT86" s="32"/>
      <c r="AOU86" s="32"/>
      <c r="AOV86" s="32"/>
      <c r="AOW86" s="32"/>
      <c r="AOX86" s="32"/>
      <c r="AOY86" s="32"/>
      <c r="AOZ86" s="32"/>
      <c r="APA86" s="32"/>
      <c r="APB86" s="32"/>
      <c r="APC86" s="32"/>
      <c r="APD86" s="32"/>
      <c r="APE86" s="32"/>
      <c r="APF86" s="32"/>
      <c r="APG86" s="32"/>
      <c r="APH86" s="32"/>
      <c r="API86" s="32"/>
      <c r="APJ86" s="32"/>
      <c r="APK86" s="32"/>
      <c r="APL86" s="32"/>
      <c r="APM86" s="32"/>
      <c r="APN86" s="32"/>
      <c r="APO86" s="32"/>
      <c r="APP86" s="32"/>
      <c r="APQ86" s="32"/>
      <c r="APR86" s="32"/>
      <c r="APS86" s="32"/>
      <c r="APT86" s="32"/>
      <c r="APU86" s="32"/>
      <c r="APV86" s="32"/>
      <c r="APW86" s="32"/>
      <c r="APX86" s="32"/>
      <c r="APY86" s="32"/>
      <c r="APZ86" s="32"/>
      <c r="AQA86" s="32"/>
      <c r="AQB86" s="32"/>
      <c r="AQC86" s="32"/>
      <c r="AQD86" s="32"/>
      <c r="AQE86" s="32"/>
      <c r="AQF86" s="32"/>
      <c r="AQG86" s="32"/>
      <c r="AQH86" s="32"/>
      <c r="AQI86" s="32"/>
      <c r="AQJ86" s="32"/>
      <c r="AQK86" s="32"/>
      <c r="AQL86" s="32"/>
      <c r="AQM86" s="32"/>
      <c r="AQN86" s="32"/>
      <c r="AQO86" s="32"/>
      <c r="AQP86" s="32"/>
      <c r="AQQ86" s="32"/>
      <c r="AQR86" s="32"/>
      <c r="AQS86" s="32"/>
      <c r="AQT86" s="32"/>
      <c r="AQU86" s="32"/>
      <c r="AQV86" s="32"/>
      <c r="AQW86" s="32"/>
      <c r="AQX86" s="32"/>
      <c r="AQY86" s="32"/>
      <c r="AQZ86" s="32"/>
      <c r="ARA86" s="32"/>
      <c r="ARB86" s="32"/>
      <c r="ARC86" s="32"/>
      <c r="ARD86" s="32"/>
      <c r="ARE86" s="32"/>
      <c r="ARF86" s="32"/>
      <c r="ARG86" s="32"/>
      <c r="ARH86" s="32"/>
      <c r="ARI86" s="32"/>
      <c r="ARJ86" s="32"/>
      <c r="ARK86" s="32"/>
      <c r="ARL86" s="32"/>
      <c r="ARM86" s="32"/>
      <c r="ARN86" s="32"/>
      <c r="ARO86" s="32"/>
      <c r="ARP86" s="32"/>
      <c r="ARQ86" s="32"/>
      <c r="ARR86" s="32"/>
      <c r="ARS86" s="32"/>
      <c r="ART86" s="32"/>
      <c r="ARU86" s="32"/>
      <c r="ARV86" s="32"/>
      <c r="ARW86" s="32"/>
      <c r="ARX86" s="32"/>
      <c r="ARY86" s="32"/>
      <c r="ARZ86" s="32"/>
      <c r="ASA86" s="32"/>
      <c r="ASB86" s="32"/>
      <c r="ASC86" s="32"/>
      <c r="ASD86" s="32"/>
      <c r="ASE86" s="32"/>
      <c r="ASF86" s="32"/>
      <c r="ASG86" s="32"/>
      <c r="ASH86" s="32"/>
      <c r="ASI86" s="32"/>
      <c r="ASJ86" s="32"/>
      <c r="ASK86" s="32"/>
      <c r="ASL86" s="32"/>
      <c r="ASM86" s="32"/>
      <c r="ASN86" s="32"/>
      <c r="ASO86" s="32"/>
      <c r="ASP86" s="32"/>
      <c r="ASQ86" s="32"/>
      <c r="ASR86" s="32"/>
      <c r="ASS86" s="32"/>
      <c r="AST86" s="32"/>
      <c r="ASU86" s="32"/>
      <c r="ASV86" s="32"/>
      <c r="ASW86" s="32"/>
      <c r="ASX86" s="32"/>
      <c r="ASY86" s="32"/>
      <c r="ASZ86" s="32"/>
      <c r="ATA86" s="32"/>
      <c r="ATB86" s="32"/>
      <c r="ATC86" s="32"/>
      <c r="ATD86" s="32"/>
      <c r="ATE86" s="32"/>
      <c r="ATF86" s="32"/>
      <c r="ATG86" s="32"/>
      <c r="ATH86" s="32"/>
      <c r="ATI86" s="32"/>
      <c r="ATJ86" s="32"/>
      <c r="ATK86" s="32"/>
      <c r="ATL86" s="32"/>
      <c r="ATM86" s="32"/>
      <c r="ATN86" s="32"/>
      <c r="ATO86" s="32"/>
      <c r="ATP86" s="32"/>
      <c r="ATQ86" s="32"/>
      <c r="ATR86" s="32"/>
      <c r="ATS86" s="32"/>
      <c r="ATT86" s="32"/>
      <c r="ATU86" s="32"/>
      <c r="ATV86" s="32"/>
      <c r="ATW86" s="32"/>
      <c r="ATX86" s="32"/>
      <c r="ATY86" s="32"/>
      <c r="ATZ86" s="32"/>
      <c r="AUA86" s="32"/>
      <c r="AUB86" s="32"/>
      <c r="AUC86" s="32"/>
      <c r="AUD86" s="32"/>
      <c r="AUE86" s="32"/>
      <c r="AUF86" s="32"/>
      <c r="AUG86" s="32"/>
      <c r="AUH86" s="32"/>
      <c r="AUI86" s="32"/>
      <c r="AUJ86" s="32"/>
      <c r="AUK86" s="32"/>
      <c r="AUL86" s="32"/>
      <c r="AUM86" s="32"/>
      <c r="AUN86" s="32"/>
      <c r="AUO86" s="32"/>
      <c r="AUP86" s="32"/>
      <c r="AUQ86" s="32"/>
      <c r="AUR86" s="32"/>
      <c r="AUS86" s="32"/>
      <c r="AUT86" s="32"/>
      <c r="AUU86" s="32"/>
      <c r="AUV86" s="32"/>
      <c r="AUW86" s="32"/>
      <c r="AUX86" s="32"/>
      <c r="AUY86" s="32"/>
      <c r="AUZ86" s="32"/>
      <c r="AVA86" s="32"/>
      <c r="AVB86" s="32"/>
      <c r="AVC86" s="32"/>
      <c r="AVD86" s="32"/>
      <c r="AVE86" s="32"/>
      <c r="AVF86" s="32"/>
      <c r="AVG86" s="32"/>
      <c r="AVH86" s="32"/>
      <c r="AVI86" s="32"/>
      <c r="AVJ86" s="32"/>
      <c r="AVK86" s="32"/>
      <c r="AVL86" s="32"/>
      <c r="AVM86" s="32"/>
      <c r="AVN86" s="32"/>
      <c r="AVO86" s="32"/>
      <c r="AVP86" s="32"/>
      <c r="AVQ86" s="32"/>
      <c r="AVR86" s="32"/>
      <c r="AVS86" s="32"/>
      <c r="AVT86" s="32"/>
      <c r="AVU86" s="32"/>
      <c r="AVV86" s="32"/>
      <c r="AVW86" s="32"/>
      <c r="AVX86" s="32"/>
      <c r="AVY86" s="32"/>
      <c r="AVZ86" s="32"/>
      <c r="AWA86" s="32"/>
      <c r="AWB86" s="32"/>
      <c r="AWC86" s="32"/>
      <c r="AWD86" s="32"/>
      <c r="AWE86" s="32"/>
      <c r="AWF86" s="32"/>
      <c r="AWG86" s="32"/>
      <c r="AWH86" s="32"/>
      <c r="AWI86" s="32"/>
      <c r="AWJ86" s="32"/>
      <c r="AWK86" s="32"/>
      <c r="AWL86" s="32"/>
      <c r="AWM86" s="32"/>
      <c r="AWN86" s="32"/>
      <c r="AWO86" s="32"/>
      <c r="AWP86" s="32"/>
      <c r="AWQ86" s="32"/>
      <c r="AWR86" s="32"/>
      <c r="AWS86" s="32"/>
      <c r="AWT86" s="32"/>
      <c r="AWU86" s="32"/>
      <c r="AWV86" s="32"/>
      <c r="AWW86" s="32"/>
      <c r="AWX86" s="32"/>
      <c r="AWY86" s="32"/>
      <c r="AWZ86" s="32"/>
      <c r="AXA86" s="32"/>
      <c r="AXB86" s="32"/>
      <c r="AXC86" s="32"/>
      <c r="AXD86" s="32"/>
      <c r="AXE86" s="32"/>
      <c r="AXF86" s="32"/>
      <c r="AXG86" s="32"/>
      <c r="AXH86" s="32"/>
      <c r="AXI86" s="32"/>
      <c r="AXJ86" s="32"/>
      <c r="AXK86" s="32"/>
      <c r="AXL86" s="32"/>
      <c r="AXM86" s="32"/>
      <c r="AXN86" s="32"/>
      <c r="AXO86" s="32"/>
      <c r="AXP86" s="32"/>
      <c r="AXQ86" s="32"/>
      <c r="AXR86" s="32"/>
      <c r="AXS86" s="32"/>
      <c r="AXT86" s="32"/>
      <c r="AXU86" s="32"/>
      <c r="AXV86" s="32"/>
      <c r="AXW86" s="32"/>
      <c r="AXX86" s="32"/>
      <c r="AXY86" s="32"/>
      <c r="AXZ86" s="32"/>
      <c r="AYA86" s="32"/>
      <c r="AYB86" s="32"/>
      <c r="AYC86" s="32"/>
      <c r="AYD86" s="32"/>
      <c r="AYE86" s="32"/>
      <c r="AYF86" s="32"/>
      <c r="AYG86" s="32"/>
      <c r="AYH86" s="32"/>
      <c r="AYI86" s="32"/>
      <c r="AYJ86" s="32"/>
      <c r="AYK86" s="32"/>
      <c r="AYL86" s="32"/>
      <c r="AYM86" s="32"/>
      <c r="AYN86" s="32"/>
      <c r="AYO86" s="32"/>
      <c r="AYP86" s="32"/>
      <c r="AYQ86" s="32"/>
      <c r="AYR86" s="32"/>
      <c r="AYS86" s="32"/>
      <c r="AYT86" s="32"/>
      <c r="AYU86" s="32"/>
      <c r="AYV86" s="32"/>
      <c r="AYW86" s="32"/>
      <c r="AYX86" s="32"/>
      <c r="AYY86" s="32"/>
      <c r="AYZ86" s="32"/>
      <c r="AZA86" s="32"/>
      <c r="AZB86" s="32"/>
      <c r="AZC86" s="32"/>
      <c r="AZD86" s="32"/>
      <c r="AZE86" s="32"/>
      <c r="AZF86" s="32"/>
      <c r="AZG86" s="32"/>
      <c r="AZH86" s="32"/>
      <c r="AZI86" s="32"/>
      <c r="AZJ86" s="32"/>
      <c r="AZK86" s="32"/>
      <c r="AZL86" s="32"/>
      <c r="AZM86" s="32"/>
      <c r="AZN86" s="32"/>
      <c r="AZO86" s="32"/>
      <c r="AZP86" s="32"/>
      <c r="AZQ86" s="32"/>
      <c r="AZR86" s="32"/>
      <c r="AZS86" s="32"/>
      <c r="AZT86" s="32"/>
      <c r="AZU86" s="32"/>
      <c r="AZV86" s="32"/>
      <c r="AZW86" s="32"/>
      <c r="AZX86" s="32"/>
      <c r="AZY86" s="32"/>
      <c r="AZZ86" s="32"/>
      <c r="BAA86" s="32"/>
      <c r="BAB86" s="32"/>
      <c r="BAC86" s="32"/>
      <c r="BAD86" s="32"/>
      <c r="BAE86" s="32"/>
      <c r="BAF86" s="32"/>
      <c r="BAG86" s="32"/>
      <c r="BAH86" s="32"/>
      <c r="BAI86" s="32"/>
      <c r="BAJ86" s="32"/>
      <c r="BAK86" s="32"/>
      <c r="BAL86" s="32"/>
      <c r="BAM86" s="32"/>
      <c r="BAN86" s="32"/>
      <c r="BAO86" s="32"/>
      <c r="BAP86" s="32"/>
      <c r="BAQ86" s="32"/>
      <c r="BAR86" s="32"/>
      <c r="BAS86" s="32"/>
      <c r="BAT86" s="32"/>
      <c r="BAU86" s="32"/>
      <c r="BAV86" s="32"/>
      <c r="BAW86" s="32"/>
      <c r="BAX86" s="32"/>
      <c r="BAY86" s="32"/>
      <c r="BAZ86" s="32"/>
      <c r="BBA86" s="32"/>
      <c r="BBB86" s="32"/>
      <c r="BBC86" s="32"/>
      <c r="BBD86" s="32"/>
      <c r="BBE86" s="32"/>
      <c r="BBF86" s="32"/>
      <c r="BBG86" s="32"/>
      <c r="BBH86" s="32"/>
      <c r="BBI86" s="32"/>
      <c r="BBJ86" s="32"/>
      <c r="BBK86" s="32"/>
      <c r="BBL86" s="32"/>
      <c r="BBM86" s="32"/>
      <c r="BBN86" s="32"/>
      <c r="BBO86" s="32"/>
      <c r="BBP86" s="32"/>
      <c r="BBQ86" s="32"/>
      <c r="BBR86" s="32"/>
      <c r="BBS86" s="32"/>
      <c r="BBT86" s="32"/>
      <c r="BBU86" s="32"/>
      <c r="BBV86" s="32"/>
      <c r="BBW86" s="32"/>
      <c r="BBX86" s="32"/>
      <c r="BBY86" s="32"/>
      <c r="BBZ86" s="32"/>
      <c r="BCA86" s="32"/>
      <c r="BCB86" s="32"/>
      <c r="BCC86" s="32"/>
      <c r="BCD86" s="32"/>
      <c r="BCE86" s="32"/>
      <c r="BCF86" s="32"/>
      <c r="BCG86" s="32"/>
      <c r="BCH86" s="32"/>
      <c r="BCI86" s="32"/>
      <c r="BCJ86" s="32"/>
      <c r="BCK86" s="32"/>
      <c r="BCL86" s="32"/>
      <c r="BCM86" s="32"/>
      <c r="BCN86" s="32"/>
      <c r="BCO86" s="32"/>
      <c r="BCP86" s="32"/>
      <c r="BCQ86" s="32"/>
      <c r="BCR86" s="32"/>
      <c r="BCS86" s="32"/>
      <c r="BCT86" s="32"/>
      <c r="BCU86" s="32"/>
      <c r="BCV86" s="32"/>
      <c r="BCW86" s="32"/>
      <c r="BCX86" s="32"/>
      <c r="BCY86" s="32"/>
      <c r="BCZ86" s="32"/>
      <c r="BDA86" s="32"/>
      <c r="BDB86" s="32"/>
      <c r="BDC86" s="32"/>
      <c r="BDD86" s="32"/>
      <c r="BDE86" s="32"/>
      <c r="BDF86" s="32"/>
      <c r="BDG86" s="32"/>
      <c r="BDH86" s="32"/>
      <c r="BDI86" s="32"/>
      <c r="BDJ86" s="32"/>
      <c r="BDK86" s="32"/>
      <c r="BDL86" s="32"/>
      <c r="BDM86" s="32"/>
      <c r="BDN86" s="32"/>
      <c r="BDO86" s="32"/>
      <c r="BDP86" s="32"/>
      <c r="BDQ86" s="32"/>
      <c r="BDR86" s="32"/>
      <c r="BDS86" s="32"/>
      <c r="BDT86" s="32"/>
      <c r="BDU86" s="32"/>
      <c r="BDV86" s="32"/>
      <c r="BDW86" s="32"/>
      <c r="BDX86" s="32"/>
      <c r="BDY86" s="32"/>
      <c r="BDZ86" s="32"/>
      <c r="BEA86" s="32"/>
      <c r="BEB86" s="32"/>
      <c r="BEC86" s="32"/>
      <c r="BED86" s="32"/>
      <c r="BEE86" s="32"/>
      <c r="BEF86" s="32"/>
      <c r="BEG86" s="32"/>
      <c r="BEH86" s="32"/>
      <c r="BEI86" s="32"/>
      <c r="BEJ86" s="32"/>
      <c r="BEK86" s="32"/>
      <c r="BEL86" s="32"/>
      <c r="BEM86" s="32"/>
      <c r="BEN86" s="32"/>
      <c r="BEO86" s="32"/>
      <c r="BEP86" s="32"/>
      <c r="BEQ86" s="32"/>
      <c r="BER86" s="32"/>
      <c r="BES86" s="32"/>
      <c r="BET86" s="32"/>
      <c r="BEU86" s="32"/>
      <c r="BEV86" s="32"/>
      <c r="BEW86" s="32"/>
      <c r="BEX86" s="32"/>
      <c r="BEY86" s="32"/>
      <c r="BEZ86" s="32"/>
      <c r="BFA86" s="32"/>
      <c r="BFB86" s="32"/>
      <c r="BFC86" s="32"/>
      <c r="BFD86" s="32"/>
      <c r="BFE86" s="32"/>
      <c r="BFF86" s="32"/>
      <c r="BFG86" s="32"/>
      <c r="BFH86" s="32"/>
      <c r="BFI86" s="32"/>
      <c r="BFJ86" s="32"/>
      <c r="BFK86" s="32"/>
      <c r="BFL86" s="32"/>
      <c r="BFM86" s="32"/>
      <c r="BFN86" s="32"/>
      <c r="BFO86" s="32"/>
      <c r="BFP86" s="32"/>
      <c r="BFQ86" s="32"/>
      <c r="BFR86" s="32"/>
      <c r="BFS86" s="32"/>
      <c r="BFT86" s="32"/>
      <c r="BFU86" s="32"/>
      <c r="BFV86" s="32"/>
      <c r="BFW86" s="32"/>
      <c r="BFX86" s="32"/>
      <c r="BFY86" s="32"/>
      <c r="BFZ86" s="32"/>
      <c r="BGA86" s="32"/>
      <c r="BGB86" s="32"/>
      <c r="BGC86" s="32"/>
      <c r="BGD86" s="32"/>
      <c r="BGE86" s="32"/>
      <c r="BGF86" s="32"/>
      <c r="BGG86" s="32"/>
      <c r="BGH86" s="32"/>
      <c r="BGI86" s="32"/>
      <c r="BGJ86" s="32"/>
      <c r="BGK86" s="32"/>
      <c r="BGL86" s="32"/>
      <c r="BGM86" s="32"/>
      <c r="BGN86" s="32"/>
      <c r="BGO86" s="32"/>
      <c r="BGP86" s="32"/>
      <c r="BGQ86" s="32"/>
      <c r="BGR86" s="32"/>
      <c r="BGS86" s="32"/>
      <c r="BGT86" s="32"/>
      <c r="BGU86" s="32"/>
      <c r="BGV86" s="32"/>
      <c r="BGW86" s="32"/>
      <c r="BGX86" s="32"/>
      <c r="BGY86" s="32"/>
      <c r="BGZ86" s="32"/>
      <c r="BHA86" s="32"/>
      <c r="BHB86" s="32"/>
      <c r="BHC86" s="32"/>
      <c r="BHD86" s="32"/>
      <c r="BHE86" s="32"/>
      <c r="BHF86" s="32"/>
      <c r="BHG86" s="32"/>
      <c r="BHH86" s="32"/>
      <c r="BHI86" s="32"/>
      <c r="BHJ86" s="32"/>
      <c r="BHK86" s="32"/>
      <c r="BHL86" s="32"/>
      <c r="BHM86" s="32"/>
      <c r="BHN86" s="32"/>
      <c r="BHO86" s="32"/>
      <c r="BHP86" s="32"/>
      <c r="BHQ86" s="32"/>
      <c r="BHR86" s="32"/>
      <c r="BHS86" s="32"/>
      <c r="BHT86" s="32"/>
      <c r="BHU86" s="32"/>
      <c r="BHV86" s="32"/>
      <c r="BHW86" s="32"/>
      <c r="BHX86" s="32"/>
      <c r="BHY86" s="32"/>
      <c r="BHZ86" s="32"/>
      <c r="BIA86" s="32"/>
      <c r="BIB86" s="32"/>
      <c r="BIC86" s="32"/>
      <c r="BID86" s="32"/>
      <c r="BIE86" s="32"/>
      <c r="BIF86" s="32"/>
      <c r="BIG86" s="32"/>
      <c r="BIH86" s="32"/>
      <c r="BII86" s="32"/>
      <c r="BIJ86" s="32"/>
      <c r="BIK86" s="32"/>
      <c r="BIL86" s="32"/>
      <c r="BIM86" s="32"/>
      <c r="BIN86" s="32"/>
      <c r="BIO86" s="32"/>
      <c r="BIP86" s="32"/>
      <c r="BIQ86" s="32"/>
      <c r="BIR86" s="32"/>
      <c r="BIS86" s="32"/>
      <c r="BIT86" s="32"/>
      <c r="BIU86" s="32"/>
      <c r="BIV86" s="32"/>
      <c r="BIW86" s="32"/>
      <c r="BIX86" s="32"/>
      <c r="BIY86" s="32"/>
      <c r="BIZ86" s="32"/>
      <c r="BJA86" s="32"/>
      <c r="BJB86" s="32"/>
      <c r="BJC86" s="32"/>
      <c r="BJD86" s="32"/>
      <c r="BJE86" s="32"/>
      <c r="BJF86" s="32"/>
      <c r="BJG86" s="32"/>
      <c r="BJH86" s="32"/>
      <c r="BJI86" s="32"/>
      <c r="BJJ86" s="32"/>
      <c r="BJK86" s="32"/>
      <c r="BJL86" s="32"/>
      <c r="BJM86" s="32"/>
      <c r="BJN86" s="32"/>
      <c r="BJO86" s="32"/>
      <c r="BJP86" s="32"/>
      <c r="BJQ86" s="32"/>
      <c r="BJR86" s="32"/>
      <c r="BJS86" s="32"/>
      <c r="BJT86" s="32"/>
      <c r="BJU86" s="32"/>
      <c r="BJV86" s="32"/>
      <c r="BJW86" s="32"/>
      <c r="BJX86" s="32"/>
      <c r="BJY86" s="32"/>
      <c r="BJZ86" s="32"/>
      <c r="BKA86" s="32"/>
      <c r="BKB86" s="32"/>
      <c r="BKC86" s="32"/>
      <c r="BKD86" s="32"/>
      <c r="BKE86" s="32"/>
      <c r="BKF86" s="32"/>
      <c r="BKG86" s="32"/>
      <c r="BKH86" s="32"/>
      <c r="BKI86" s="32"/>
      <c r="BKJ86" s="32"/>
      <c r="BKK86" s="32"/>
      <c r="BKL86" s="32"/>
      <c r="BKM86" s="32"/>
      <c r="BKN86" s="32"/>
      <c r="BKO86" s="32"/>
      <c r="BKP86" s="32"/>
      <c r="BKQ86" s="32"/>
      <c r="BKR86" s="32"/>
      <c r="BKS86" s="32"/>
      <c r="BKT86" s="32"/>
      <c r="BKU86" s="32"/>
      <c r="BKV86" s="32"/>
      <c r="BKW86" s="32"/>
      <c r="BKX86" s="32"/>
      <c r="BKY86" s="32"/>
      <c r="BKZ86" s="32"/>
      <c r="BLA86" s="32"/>
      <c r="BLB86" s="32"/>
      <c r="BLC86" s="32"/>
      <c r="BLD86" s="32"/>
      <c r="BLE86" s="32"/>
      <c r="BLF86" s="32"/>
      <c r="BLG86" s="32"/>
      <c r="BLH86" s="32"/>
      <c r="BLI86" s="32"/>
      <c r="BLJ86" s="32"/>
      <c r="BLK86" s="32"/>
      <c r="BLL86" s="32"/>
      <c r="BLM86" s="32"/>
      <c r="BLN86" s="32"/>
      <c r="BLO86" s="32"/>
      <c r="BLP86" s="32"/>
      <c r="BLQ86" s="32"/>
      <c r="BLR86" s="32"/>
      <c r="BLS86" s="32"/>
      <c r="BLT86" s="32"/>
      <c r="BLU86" s="32"/>
      <c r="BLV86" s="32"/>
      <c r="BLW86" s="32"/>
      <c r="BLX86" s="32"/>
      <c r="BLY86" s="32"/>
      <c r="BLZ86" s="32"/>
      <c r="BMA86" s="32"/>
      <c r="BMB86" s="32"/>
      <c r="BMC86" s="32"/>
      <c r="BMD86" s="32"/>
      <c r="BME86" s="32"/>
      <c r="BMF86" s="32"/>
      <c r="BMG86" s="32"/>
      <c r="BMH86" s="32"/>
      <c r="BMI86" s="32"/>
      <c r="BMJ86" s="32"/>
      <c r="BMK86" s="32"/>
      <c r="BML86" s="32"/>
      <c r="BMM86" s="32"/>
      <c r="BMN86" s="32"/>
      <c r="BMO86" s="32"/>
      <c r="BMP86" s="32"/>
      <c r="BMQ86" s="32"/>
      <c r="BMR86" s="32"/>
      <c r="BMS86" s="32"/>
      <c r="BMT86" s="32"/>
      <c r="BMU86" s="32"/>
      <c r="BMV86" s="32"/>
      <c r="BMW86" s="32"/>
      <c r="BMX86" s="32"/>
      <c r="BMY86" s="32"/>
      <c r="BMZ86" s="32"/>
      <c r="BNA86" s="32"/>
      <c r="BNB86" s="32"/>
      <c r="BNC86" s="32"/>
      <c r="BND86" s="32"/>
      <c r="BNE86" s="32"/>
      <c r="BNF86" s="32"/>
      <c r="BNG86" s="32"/>
      <c r="BNH86" s="32"/>
      <c r="BNI86" s="32"/>
      <c r="BNJ86" s="32"/>
      <c r="BNK86" s="32"/>
      <c r="BNL86" s="32"/>
      <c r="BNM86" s="32"/>
      <c r="BNN86" s="32"/>
      <c r="BNO86" s="32"/>
      <c r="BNP86" s="32"/>
      <c r="BNQ86" s="32"/>
      <c r="BNR86" s="32"/>
      <c r="BNS86" s="32"/>
      <c r="BNT86" s="32"/>
      <c r="BNU86" s="32"/>
      <c r="BNV86" s="32"/>
      <c r="BNW86" s="32"/>
      <c r="BNX86" s="32"/>
      <c r="BNY86" s="32"/>
      <c r="BNZ86" s="32"/>
      <c r="BOA86" s="32"/>
      <c r="BOB86" s="32"/>
      <c r="BOC86" s="32"/>
      <c r="BOD86" s="32"/>
      <c r="BOE86" s="32"/>
      <c r="BOF86" s="32"/>
      <c r="BOG86" s="32"/>
      <c r="BOH86" s="32"/>
      <c r="BOI86" s="32"/>
      <c r="BOJ86" s="32"/>
      <c r="BOK86" s="32"/>
      <c r="BOL86" s="32"/>
      <c r="BOM86" s="32"/>
      <c r="BON86" s="32"/>
      <c r="BOO86" s="32"/>
      <c r="BOP86" s="32"/>
      <c r="BOQ86" s="32"/>
      <c r="BOR86" s="32"/>
      <c r="BOS86" s="32"/>
      <c r="BOT86" s="32"/>
      <c r="BOU86" s="32"/>
      <c r="BOV86" s="32"/>
      <c r="BOW86" s="32"/>
      <c r="BOX86" s="32"/>
      <c r="BOY86" s="32"/>
      <c r="BOZ86" s="32"/>
      <c r="BPA86" s="32"/>
      <c r="BPB86" s="32"/>
      <c r="BPC86" s="32"/>
      <c r="BPD86" s="32"/>
      <c r="BPE86" s="32"/>
      <c r="BPF86" s="32"/>
      <c r="BPG86" s="32"/>
      <c r="BPH86" s="32"/>
      <c r="BPI86" s="32"/>
      <c r="BPJ86" s="32"/>
      <c r="BPK86" s="32"/>
      <c r="BPL86" s="32"/>
      <c r="BPM86" s="32"/>
      <c r="BPN86" s="32"/>
      <c r="BPO86" s="32"/>
      <c r="BPP86" s="32"/>
      <c r="BPQ86" s="32"/>
      <c r="BPR86" s="32"/>
      <c r="BPS86" s="32"/>
      <c r="BPT86" s="32"/>
      <c r="BPU86" s="32"/>
      <c r="BPV86" s="32"/>
      <c r="BPW86" s="32"/>
      <c r="BPX86" s="32"/>
      <c r="BPY86" s="32"/>
      <c r="BPZ86" s="32"/>
      <c r="BQA86" s="32"/>
      <c r="BQB86" s="32"/>
      <c r="BQC86" s="32"/>
      <c r="BQD86" s="32"/>
      <c r="BQE86" s="32"/>
      <c r="BQF86" s="32"/>
      <c r="BQG86" s="32"/>
      <c r="BQH86" s="32"/>
      <c r="BQI86" s="32"/>
      <c r="BQJ86" s="32"/>
      <c r="BQK86" s="32"/>
      <c r="BQL86" s="32"/>
      <c r="BQM86" s="32"/>
      <c r="BQN86" s="32"/>
      <c r="BQO86" s="32"/>
      <c r="BQP86" s="32"/>
      <c r="BQQ86" s="32"/>
      <c r="BQR86" s="32"/>
      <c r="BQS86" s="32"/>
      <c r="BQT86" s="32"/>
      <c r="BQU86" s="32"/>
      <c r="BQV86" s="32"/>
      <c r="BQW86" s="32"/>
      <c r="BQX86" s="32"/>
      <c r="BQY86" s="32"/>
      <c r="BQZ86" s="32"/>
      <c r="BRA86" s="32"/>
      <c r="BRB86" s="32"/>
      <c r="BRC86" s="32"/>
      <c r="BRD86" s="32"/>
      <c r="BRE86" s="32"/>
      <c r="BRF86" s="32"/>
      <c r="BRG86" s="32"/>
      <c r="BRH86" s="32"/>
      <c r="BRI86" s="32"/>
      <c r="BRJ86" s="32"/>
      <c r="BRK86" s="32"/>
      <c r="BRL86" s="32"/>
      <c r="BRM86" s="32"/>
      <c r="BRN86" s="32"/>
      <c r="BRO86" s="32"/>
      <c r="BRP86" s="32"/>
      <c r="BRQ86" s="32"/>
      <c r="BRR86" s="32"/>
      <c r="BRS86" s="32"/>
      <c r="BRT86" s="32"/>
      <c r="BRU86" s="32"/>
      <c r="BRV86" s="32"/>
      <c r="BRW86" s="32"/>
      <c r="BRX86" s="32"/>
      <c r="BRY86" s="32"/>
      <c r="BRZ86" s="32"/>
      <c r="BSA86" s="32"/>
      <c r="BSB86" s="32"/>
      <c r="BSC86" s="32"/>
      <c r="BSD86" s="32"/>
      <c r="BSE86" s="32"/>
      <c r="BSF86" s="32"/>
      <c r="BSG86" s="32"/>
      <c r="BSH86" s="32"/>
      <c r="BSI86" s="32"/>
      <c r="BSJ86" s="32"/>
      <c r="BSK86" s="32"/>
      <c r="BSL86" s="32"/>
      <c r="BSM86" s="32"/>
      <c r="BSN86" s="32"/>
      <c r="BSO86" s="32"/>
      <c r="BSP86" s="32"/>
      <c r="BSQ86" s="32"/>
      <c r="BSR86" s="32"/>
      <c r="BSS86" s="32"/>
      <c r="BST86" s="32"/>
      <c r="BSU86" s="32"/>
      <c r="BSV86" s="32"/>
      <c r="BSW86" s="32"/>
      <c r="BSX86" s="32"/>
      <c r="BSY86" s="32"/>
      <c r="BSZ86" s="32"/>
      <c r="BTA86" s="32"/>
      <c r="BTB86" s="32"/>
      <c r="BTC86" s="32"/>
      <c r="BTD86" s="32"/>
      <c r="BTE86" s="32"/>
      <c r="BTF86" s="32"/>
      <c r="BTG86" s="32"/>
      <c r="BTH86" s="32"/>
      <c r="BTI86" s="32"/>
      <c r="BTJ86" s="32"/>
      <c r="BTK86" s="32"/>
      <c r="BTL86" s="32"/>
      <c r="BTM86" s="32"/>
      <c r="BTN86" s="32"/>
      <c r="BTO86" s="32"/>
      <c r="BTP86" s="32"/>
      <c r="BTQ86" s="32"/>
      <c r="BTR86" s="32"/>
      <c r="BTS86" s="32"/>
      <c r="BTT86" s="32"/>
      <c r="BTU86" s="32"/>
      <c r="BTV86" s="32"/>
      <c r="BTW86" s="32"/>
      <c r="BTX86" s="32"/>
      <c r="BTY86" s="32"/>
      <c r="BTZ86" s="32"/>
      <c r="BUA86" s="32"/>
      <c r="BUB86" s="32"/>
      <c r="BUC86" s="32"/>
      <c r="BUD86" s="32"/>
      <c r="BUE86" s="32"/>
      <c r="BUF86" s="32"/>
      <c r="BUG86" s="32"/>
      <c r="BUH86" s="32"/>
      <c r="BUI86" s="32"/>
      <c r="BUJ86" s="32"/>
      <c r="BUK86" s="32"/>
      <c r="BUL86" s="32"/>
      <c r="BUM86" s="32"/>
      <c r="BUN86" s="32"/>
      <c r="BUO86" s="32"/>
      <c r="BUP86" s="32"/>
      <c r="BUQ86" s="32"/>
      <c r="BUR86" s="32"/>
      <c r="BUS86" s="32"/>
      <c r="BUT86" s="32"/>
      <c r="BUU86" s="32"/>
      <c r="BUV86" s="32"/>
      <c r="BUW86" s="32"/>
      <c r="BUX86" s="32"/>
      <c r="BUY86" s="32"/>
      <c r="BUZ86" s="32"/>
      <c r="BVA86" s="32"/>
      <c r="BVB86" s="32"/>
      <c r="BVC86" s="32"/>
      <c r="BVD86" s="32"/>
      <c r="BVE86" s="32"/>
      <c r="BVF86" s="32"/>
      <c r="BVG86" s="32"/>
      <c r="BVH86" s="32"/>
      <c r="BVI86" s="32"/>
      <c r="BVJ86" s="32"/>
      <c r="BVK86" s="32"/>
      <c r="BVL86" s="32"/>
      <c r="BVM86" s="32"/>
      <c r="BVN86" s="32"/>
      <c r="BVO86" s="32"/>
      <c r="BVP86" s="32"/>
      <c r="BVQ86" s="32"/>
      <c r="BVR86" s="32"/>
      <c r="BVS86" s="32"/>
      <c r="BVT86" s="32"/>
      <c r="BVU86" s="32"/>
      <c r="BVV86" s="32"/>
      <c r="BVW86" s="32"/>
      <c r="BVX86" s="32"/>
      <c r="BVY86" s="32"/>
      <c r="BVZ86" s="32"/>
      <c r="BWA86" s="32"/>
      <c r="BWB86" s="32"/>
      <c r="BWC86" s="32"/>
      <c r="BWD86" s="32"/>
      <c r="BWE86" s="32"/>
      <c r="BWF86" s="32"/>
      <c r="BWG86" s="32"/>
      <c r="BWH86" s="32"/>
      <c r="BWI86" s="32"/>
      <c r="BWJ86" s="32"/>
      <c r="BWK86" s="32"/>
      <c r="BWL86" s="32"/>
      <c r="BWM86" s="32"/>
      <c r="BWN86" s="32"/>
      <c r="BWO86" s="32"/>
      <c r="BWP86" s="32"/>
      <c r="BWQ86" s="32"/>
      <c r="BWR86" s="32"/>
      <c r="BWS86" s="32"/>
      <c r="BWT86" s="32"/>
      <c r="BWU86" s="32"/>
      <c r="BWV86" s="32"/>
      <c r="BWW86" s="32"/>
      <c r="BWX86" s="32"/>
      <c r="BWY86" s="32"/>
      <c r="BWZ86" s="32"/>
      <c r="BXA86" s="32"/>
      <c r="BXB86" s="32"/>
      <c r="BXC86" s="32"/>
      <c r="BXD86" s="32"/>
      <c r="BXE86" s="32"/>
      <c r="BXF86" s="32"/>
      <c r="BXG86" s="32"/>
      <c r="BXH86" s="32"/>
      <c r="BXI86" s="32"/>
      <c r="BXJ86" s="32"/>
      <c r="BXK86" s="32"/>
      <c r="BXL86" s="32"/>
      <c r="BXM86" s="32"/>
      <c r="BXN86" s="32"/>
      <c r="BXO86" s="32"/>
      <c r="BXP86" s="32"/>
      <c r="BXQ86" s="32"/>
      <c r="BXR86" s="32"/>
      <c r="BXS86" s="32"/>
      <c r="BXT86" s="32"/>
      <c r="BXU86" s="32"/>
      <c r="BXV86" s="32"/>
      <c r="BXW86" s="32"/>
      <c r="BXX86" s="32"/>
      <c r="BXY86" s="32"/>
      <c r="BXZ86" s="32"/>
      <c r="BYA86" s="32"/>
      <c r="BYB86" s="32"/>
      <c r="BYC86" s="32"/>
      <c r="BYD86" s="32"/>
      <c r="BYE86" s="32"/>
      <c r="BYF86" s="32"/>
      <c r="BYG86" s="32"/>
      <c r="BYH86" s="32"/>
      <c r="BYI86" s="32"/>
      <c r="BYJ86" s="32"/>
      <c r="BYK86" s="32"/>
      <c r="BYL86" s="32"/>
      <c r="BYM86" s="32"/>
      <c r="BYN86" s="32"/>
      <c r="BYO86" s="32"/>
      <c r="BYP86" s="32"/>
      <c r="BYQ86" s="32"/>
      <c r="BYR86" s="32"/>
      <c r="BYS86" s="32"/>
      <c r="BYT86" s="32"/>
      <c r="BYU86" s="32"/>
      <c r="BYV86" s="32"/>
      <c r="BYW86" s="32"/>
      <c r="BYX86" s="32"/>
      <c r="BYY86" s="32"/>
      <c r="BYZ86" s="32"/>
      <c r="BZA86" s="32"/>
      <c r="BZB86" s="32"/>
      <c r="BZC86" s="32"/>
      <c r="BZD86" s="32"/>
      <c r="BZE86" s="32"/>
      <c r="BZF86" s="32"/>
      <c r="BZG86" s="32"/>
      <c r="BZH86" s="32"/>
      <c r="BZI86" s="32"/>
      <c r="BZJ86" s="32"/>
      <c r="BZK86" s="32"/>
      <c r="BZL86" s="32"/>
      <c r="BZM86" s="32"/>
      <c r="BZN86" s="32"/>
      <c r="BZO86" s="32"/>
      <c r="BZP86" s="32"/>
      <c r="BZQ86" s="32"/>
      <c r="BZR86" s="32"/>
      <c r="BZS86" s="32"/>
      <c r="BZT86" s="32"/>
      <c r="BZU86" s="32"/>
      <c r="BZV86" s="32"/>
      <c r="BZW86" s="32"/>
      <c r="BZX86" s="32"/>
      <c r="BZY86" s="32"/>
      <c r="BZZ86" s="32"/>
      <c r="CAA86" s="32"/>
      <c r="CAB86" s="32"/>
      <c r="CAC86" s="32"/>
      <c r="CAD86" s="32"/>
      <c r="CAE86" s="32"/>
      <c r="CAF86" s="32"/>
      <c r="CAG86" s="32"/>
      <c r="CAH86" s="32"/>
      <c r="CAI86" s="32"/>
      <c r="CAJ86" s="32"/>
      <c r="CAK86" s="32"/>
      <c r="CAL86" s="32"/>
      <c r="CAM86" s="32"/>
      <c r="CAN86" s="32"/>
      <c r="CAO86" s="32"/>
      <c r="CAP86" s="32"/>
      <c r="CAQ86" s="32"/>
      <c r="CAR86" s="32"/>
      <c r="CAS86" s="32"/>
      <c r="CAT86" s="32"/>
      <c r="CAU86" s="32"/>
      <c r="CAV86" s="32"/>
      <c r="CAW86" s="32"/>
      <c r="CAX86" s="32"/>
      <c r="CAY86" s="32"/>
      <c r="CAZ86" s="32"/>
      <c r="CBA86" s="32"/>
      <c r="CBB86" s="32"/>
      <c r="CBC86" s="32"/>
      <c r="CBD86" s="32"/>
      <c r="CBE86" s="32"/>
      <c r="CBF86" s="32"/>
      <c r="CBG86" s="32"/>
      <c r="CBH86" s="32"/>
      <c r="CBI86" s="32"/>
      <c r="CBJ86" s="32"/>
      <c r="CBK86" s="32"/>
      <c r="CBL86" s="32"/>
      <c r="CBM86" s="32"/>
      <c r="CBN86" s="32"/>
      <c r="CBO86" s="32"/>
      <c r="CBP86" s="32"/>
      <c r="CBQ86" s="32"/>
      <c r="CBR86" s="32"/>
      <c r="CBS86" s="32"/>
      <c r="CBT86" s="32"/>
      <c r="CBU86" s="32"/>
      <c r="CBV86" s="32"/>
      <c r="CBW86" s="32"/>
      <c r="CBX86" s="32"/>
      <c r="CBY86" s="32"/>
      <c r="CBZ86" s="32"/>
      <c r="CCA86" s="32"/>
      <c r="CCB86" s="32"/>
      <c r="CCC86" s="32"/>
      <c r="CCD86" s="32"/>
      <c r="CCE86" s="32"/>
      <c r="CCF86" s="32"/>
      <c r="CCG86" s="32"/>
      <c r="CCH86" s="32"/>
      <c r="CCI86" s="32"/>
      <c r="CCJ86" s="32"/>
      <c r="CCK86" s="32"/>
      <c r="CCL86" s="32"/>
      <c r="CCM86" s="32"/>
      <c r="CCN86" s="32"/>
      <c r="CCO86" s="32"/>
      <c r="CCP86" s="32"/>
      <c r="CCQ86" s="32"/>
      <c r="CCR86" s="32"/>
      <c r="CCS86" s="32"/>
      <c r="CCT86" s="32"/>
      <c r="CCU86" s="32"/>
      <c r="CCV86" s="32"/>
      <c r="CCW86" s="32"/>
      <c r="CCX86" s="32"/>
      <c r="CCY86" s="32"/>
      <c r="CCZ86" s="32"/>
      <c r="CDA86" s="32"/>
      <c r="CDB86" s="32"/>
      <c r="CDC86" s="32"/>
      <c r="CDD86" s="32"/>
      <c r="CDE86" s="32"/>
      <c r="CDF86" s="32"/>
      <c r="CDG86" s="32"/>
      <c r="CDH86" s="32"/>
      <c r="CDI86" s="32"/>
      <c r="CDJ86" s="32"/>
      <c r="CDK86" s="32"/>
      <c r="CDL86" s="32"/>
      <c r="CDM86" s="32"/>
      <c r="CDN86" s="32"/>
      <c r="CDO86" s="32"/>
      <c r="CDP86" s="32"/>
      <c r="CDQ86" s="32"/>
      <c r="CDR86" s="32"/>
      <c r="CDS86" s="32"/>
      <c r="CDT86" s="32"/>
      <c r="CDU86" s="32"/>
      <c r="CDV86" s="32"/>
      <c r="CDW86" s="32"/>
      <c r="CDX86" s="32"/>
      <c r="CDY86" s="32"/>
      <c r="CDZ86" s="32"/>
      <c r="CEA86" s="32"/>
      <c r="CEB86" s="32"/>
      <c r="CEC86" s="32"/>
      <c r="CED86" s="32"/>
      <c r="CEE86" s="32"/>
      <c r="CEF86" s="32"/>
      <c r="CEG86" s="32"/>
      <c r="CEH86" s="32"/>
      <c r="CEI86" s="32"/>
      <c r="CEJ86" s="32"/>
      <c r="CEK86" s="32"/>
      <c r="CEL86" s="32"/>
      <c r="CEM86" s="32"/>
      <c r="CEN86" s="32"/>
      <c r="CEO86" s="32"/>
      <c r="CEP86" s="32"/>
      <c r="CEQ86" s="32"/>
      <c r="CER86" s="32"/>
      <c r="CES86" s="32"/>
      <c r="CET86" s="32"/>
      <c r="CEU86" s="32"/>
      <c r="CEV86" s="32"/>
      <c r="CEW86" s="32"/>
      <c r="CEX86" s="32"/>
      <c r="CEY86" s="32"/>
      <c r="CEZ86" s="32"/>
      <c r="CFA86" s="32"/>
      <c r="CFB86" s="32"/>
      <c r="CFC86" s="32"/>
      <c r="CFD86" s="32"/>
      <c r="CFE86" s="32"/>
      <c r="CFF86" s="32"/>
      <c r="CFG86" s="32"/>
      <c r="CFH86" s="32"/>
      <c r="CFI86" s="32"/>
      <c r="CFJ86" s="32"/>
      <c r="CFK86" s="32"/>
      <c r="CFL86" s="32"/>
      <c r="CFM86" s="32"/>
      <c r="CFN86" s="32"/>
      <c r="CFO86" s="32"/>
      <c r="CFP86" s="32"/>
      <c r="CFQ86" s="32"/>
      <c r="CFR86" s="32"/>
      <c r="CFS86" s="32"/>
      <c r="CFT86" s="32"/>
      <c r="CFU86" s="32"/>
      <c r="CFV86" s="32"/>
      <c r="CFW86" s="32"/>
      <c r="CFX86" s="32"/>
      <c r="CFY86" s="32"/>
      <c r="CFZ86" s="32"/>
      <c r="CGA86" s="32"/>
      <c r="CGB86" s="32"/>
      <c r="CGC86" s="32"/>
      <c r="CGD86" s="32"/>
      <c r="CGE86" s="32"/>
      <c r="CGF86" s="32"/>
      <c r="CGG86" s="32"/>
      <c r="CGH86" s="32"/>
      <c r="CGI86" s="32"/>
      <c r="CGJ86" s="32"/>
      <c r="CGK86" s="32"/>
      <c r="CGL86" s="32"/>
      <c r="CGM86" s="32"/>
      <c r="CGN86" s="32"/>
      <c r="CGO86" s="32"/>
      <c r="CGP86" s="32"/>
      <c r="CGQ86" s="32"/>
      <c r="CGR86" s="32"/>
      <c r="CGS86" s="32"/>
      <c r="CGT86" s="32"/>
      <c r="CGU86" s="32"/>
      <c r="CGV86" s="32"/>
      <c r="CGW86" s="32"/>
      <c r="CGX86" s="32"/>
      <c r="CGY86" s="32"/>
      <c r="CGZ86" s="32"/>
      <c r="CHA86" s="32"/>
      <c r="CHB86" s="32"/>
      <c r="CHC86" s="32"/>
      <c r="CHD86" s="32"/>
      <c r="CHE86" s="32"/>
      <c r="CHF86" s="32"/>
      <c r="CHG86" s="32"/>
      <c r="CHH86" s="32"/>
      <c r="CHI86" s="32"/>
      <c r="CHJ86" s="32"/>
      <c r="CHK86" s="32"/>
      <c r="CHL86" s="32"/>
      <c r="CHM86" s="32"/>
      <c r="CHN86" s="32"/>
      <c r="CHO86" s="32"/>
      <c r="CHP86" s="32"/>
      <c r="CHQ86" s="32"/>
      <c r="CHR86" s="32"/>
      <c r="CHS86" s="32"/>
      <c r="CHT86" s="32"/>
      <c r="CHU86" s="32"/>
      <c r="CHV86" s="32"/>
      <c r="CHW86" s="32"/>
      <c r="CHX86" s="32"/>
      <c r="CHY86" s="32"/>
      <c r="CHZ86" s="32"/>
      <c r="CIA86" s="32"/>
      <c r="CIB86" s="32"/>
      <c r="CIC86" s="32"/>
      <c r="CID86" s="32"/>
      <c r="CIE86" s="32"/>
      <c r="CIF86" s="32"/>
      <c r="CIG86" s="32"/>
      <c r="CIH86" s="32"/>
      <c r="CII86" s="32"/>
      <c r="CIJ86" s="32"/>
      <c r="CIK86" s="32"/>
      <c r="CIL86" s="32"/>
      <c r="CIM86" s="32"/>
      <c r="CIN86" s="32"/>
      <c r="CIO86" s="32"/>
      <c r="CIP86" s="32"/>
      <c r="CIQ86" s="32"/>
      <c r="CIR86" s="32"/>
      <c r="CIS86" s="32"/>
      <c r="CIT86" s="32"/>
      <c r="CIU86" s="32"/>
      <c r="CIV86" s="32"/>
      <c r="CIW86" s="32"/>
      <c r="CIX86" s="32"/>
      <c r="CIY86" s="32"/>
      <c r="CIZ86" s="32"/>
      <c r="CJA86" s="32"/>
      <c r="CJB86" s="32"/>
      <c r="CJC86" s="32"/>
      <c r="CJD86" s="32"/>
      <c r="CJE86" s="32"/>
      <c r="CJF86" s="32"/>
      <c r="CJG86" s="32"/>
      <c r="CJH86" s="32"/>
      <c r="CJI86" s="32"/>
      <c r="CJJ86" s="32"/>
      <c r="CJK86" s="32"/>
      <c r="CJL86" s="32"/>
      <c r="CJM86" s="32"/>
      <c r="CJN86" s="32"/>
      <c r="CJO86" s="32"/>
      <c r="CJP86" s="32"/>
      <c r="CJQ86" s="32"/>
      <c r="CJR86" s="32"/>
      <c r="CJS86" s="32"/>
      <c r="CJT86" s="32"/>
      <c r="CJU86" s="32"/>
      <c r="CJV86" s="32"/>
      <c r="CJW86" s="32"/>
      <c r="CJX86" s="32"/>
      <c r="CJY86" s="32"/>
      <c r="CJZ86" s="32"/>
      <c r="CKA86" s="32"/>
      <c r="CKB86" s="32"/>
      <c r="CKC86" s="32"/>
      <c r="CKD86" s="32"/>
      <c r="CKE86" s="32"/>
      <c r="CKF86" s="32"/>
      <c r="CKG86" s="32"/>
      <c r="CKH86" s="32"/>
      <c r="CKI86" s="32"/>
      <c r="CKJ86" s="32"/>
      <c r="CKK86" s="32"/>
      <c r="CKL86" s="32"/>
      <c r="CKM86" s="32"/>
      <c r="CKN86" s="32"/>
      <c r="CKO86" s="32"/>
      <c r="CKP86" s="32"/>
      <c r="CKQ86" s="32"/>
      <c r="CKR86" s="32"/>
      <c r="CKS86" s="32"/>
      <c r="CKT86" s="32"/>
      <c r="CKU86" s="32"/>
      <c r="CKV86" s="32"/>
      <c r="CKW86" s="32"/>
      <c r="CKX86" s="32"/>
      <c r="CKY86" s="32"/>
      <c r="CKZ86" s="32"/>
      <c r="CLA86" s="32"/>
      <c r="CLB86" s="32"/>
      <c r="CLC86" s="32"/>
      <c r="CLD86" s="32"/>
      <c r="CLE86" s="32"/>
      <c r="CLF86" s="32"/>
      <c r="CLG86" s="32"/>
      <c r="CLH86" s="32"/>
      <c r="CLI86" s="32"/>
      <c r="CLJ86" s="32"/>
      <c r="CLK86" s="32"/>
      <c r="CLL86" s="32"/>
      <c r="CLM86" s="32"/>
      <c r="CLN86" s="32"/>
      <c r="CLO86" s="32"/>
      <c r="CLP86" s="32"/>
      <c r="CLQ86" s="32"/>
      <c r="CLR86" s="32"/>
      <c r="CLS86" s="32"/>
      <c r="CLT86" s="32"/>
      <c r="CLU86" s="32"/>
      <c r="CLV86" s="32"/>
      <c r="CLW86" s="32"/>
      <c r="CLX86" s="32"/>
      <c r="CLY86" s="32"/>
      <c r="CLZ86" s="32"/>
      <c r="CMA86" s="32"/>
      <c r="CMB86" s="32"/>
      <c r="CMC86" s="32"/>
      <c r="CMD86" s="32"/>
      <c r="CME86" s="32"/>
      <c r="CMF86" s="32"/>
      <c r="CMG86" s="32"/>
      <c r="CMH86" s="32"/>
      <c r="CMI86" s="32"/>
      <c r="CMJ86" s="32"/>
      <c r="CMK86" s="32"/>
      <c r="CML86" s="32"/>
      <c r="CMM86" s="32"/>
      <c r="CMN86" s="32"/>
      <c r="CMO86" s="32"/>
      <c r="CMP86" s="32"/>
      <c r="CMQ86" s="32"/>
      <c r="CMR86" s="32"/>
      <c r="CMS86" s="32"/>
      <c r="CMT86" s="32"/>
      <c r="CMU86" s="32"/>
      <c r="CMV86" s="32"/>
      <c r="CMW86" s="32"/>
      <c r="CMX86" s="32"/>
      <c r="CMY86" s="32"/>
      <c r="CMZ86" s="32"/>
      <c r="CNA86" s="32"/>
      <c r="CNB86" s="32"/>
      <c r="CNC86" s="32"/>
      <c r="CND86" s="32"/>
      <c r="CNE86" s="32"/>
      <c r="CNF86" s="32"/>
      <c r="CNG86" s="32"/>
      <c r="CNH86" s="32"/>
      <c r="CNI86" s="32"/>
      <c r="CNJ86" s="32"/>
      <c r="CNK86" s="32"/>
      <c r="CNL86" s="32"/>
      <c r="CNM86" s="32"/>
      <c r="CNN86" s="32"/>
      <c r="CNO86" s="32"/>
      <c r="CNP86" s="32"/>
      <c r="CNQ86" s="32"/>
      <c r="CNR86" s="32"/>
      <c r="CNS86" s="32"/>
      <c r="CNT86" s="32"/>
      <c r="CNU86" s="32"/>
      <c r="CNV86" s="32"/>
      <c r="CNW86" s="32"/>
      <c r="CNX86" s="32"/>
      <c r="CNY86" s="32"/>
      <c r="CNZ86" s="32"/>
      <c r="COA86" s="32"/>
      <c r="COB86" s="32"/>
      <c r="COC86" s="32"/>
      <c r="COD86" s="32"/>
      <c r="COE86" s="32"/>
      <c r="COF86" s="32"/>
      <c r="COG86" s="32"/>
      <c r="COH86" s="32"/>
      <c r="COI86" s="32"/>
      <c r="COJ86" s="32"/>
      <c r="COK86" s="32"/>
      <c r="COL86" s="32"/>
      <c r="COM86" s="32"/>
      <c r="CON86" s="32"/>
      <c r="COO86" s="32"/>
      <c r="COP86" s="32"/>
      <c r="COQ86" s="32"/>
      <c r="COR86" s="32"/>
      <c r="COS86" s="32"/>
      <c r="COT86" s="32"/>
      <c r="COU86" s="32"/>
      <c r="COV86" s="32"/>
      <c r="COW86" s="32"/>
      <c r="COX86" s="32"/>
      <c r="COY86" s="32"/>
      <c r="COZ86" s="32"/>
      <c r="CPA86" s="32"/>
      <c r="CPB86" s="32"/>
      <c r="CPC86" s="32"/>
      <c r="CPD86" s="32"/>
      <c r="CPE86" s="32"/>
      <c r="CPF86" s="32"/>
      <c r="CPG86" s="32"/>
      <c r="CPH86" s="32"/>
      <c r="CPI86" s="32"/>
      <c r="CPJ86" s="32"/>
      <c r="CPK86" s="32"/>
      <c r="CPL86" s="32"/>
      <c r="CPM86" s="32"/>
      <c r="CPN86" s="32"/>
      <c r="CPO86" s="32"/>
      <c r="CPP86" s="32"/>
      <c r="CPQ86" s="32"/>
      <c r="CPR86" s="32"/>
      <c r="CPS86" s="32"/>
      <c r="CPT86" s="32"/>
      <c r="CPU86" s="32"/>
      <c r="CPV86" s="32"/>
      <c r="CPW86" s="32"/>
      <c r="CPX86" s="32"/>
      <c r="CPY86" s="32"/>
      <c r="CPZ86" s="32"/>
      <c r="CQA86" s="32"/>
      <c r="CQB86" s="32"/>
      <c r="CQC86" s="32"/>
      <c r="CQD86" s="32"/>
      <c r="CQE86" s="32"/>
      <c r="CQF86" s="32"/>
      <c r="CQG86" s="32"/>
      <c r="CQH86" s="32"/>
      <c r="CQI86" s="32"/>
      <c r="CQJ86" s="32"/>
      <c r="CQK86" s="32"/>
      <c r="CQL86" s="32"/>
      <c r="CQM86" s="32"/>
      <c r="CQN86" s="32"/>
      <c r="CQO86" s="32"/>
      <c r="CQP86" s="32"/>
      <c r="CQQ86" s="32"/>
      <c r="CQR86" s="32"/>
      <c r="CQS86" s="32"/>
      <c r="CQT86" s="32"/>
      <c r="CQU86" s="32"/>
      <c r="CQV86" s="32"/>
      <c r="CQW86" s="32"/>
      <c r="CQX86" s="32"/>
      <c r="CQY86" s="32"/>
      <c r="CQZ86" s="32"/>
      <c r="CRA86" s="32"/>
      <c r="CRB86" s="32"/>
      <c r="CRC86" s="32"/>
      <c r="CRD86" s="32"/>
      <c r="CRE86" s="32"/>
      <c r="CRF86" s="32"/>
      <c r="CRG86" s="32"/>
      <c r="CRH86" s="32"/>
      <c r="CRI86" s="32"/>
      <c r="CRJ86" s="32"/>
      <c r="CRK86" s="32"/>
      <c r="CRL86" s="32"/>
      <c r="CRM86" s="32"/>
      <c r="CRN86" s="32"/>
      <c r="CRO86" s="32"/>
      <c r="CRP86" s="32"/>
      <c r="CRQ86" s="32"/>
      <c r="CRR86" s="32"/>
      <c r="CRS86" s="32"/>
      <c r="CRT86" s="32"/>
      <c r="CRU86" s="32"/>
      <c r="CRV86" s="32"/>
      <c r="CRW86" s="32"/>
      <c r="CRX86" s="32"/>
      <c r="CRY86" s="32"/>
      <c r="CRZ86" s="32"/>
      <c r="CSA86" s="32"/>
      <c r="CSB86" s="32"/>
      <c r="CSC86" s="32"/>
      <c r="CSD86" s="32"/>
      <c r="CSE86" s="32"/>
      <c r="CSF86" s="32"/>
      <c r="CSG86" s="32"/>
      <c r="CSH86" s="32"/>
      <c r="CSI86" s="32"/>
      <c r="CSJ86" s="32"/>
      <c r="CSK86" s="32"/>
      <c r="CSL86" s="32"/>
      <c r="CSM86" s="32"/>
      <c r="CSN86" s="32"/>
      <c r="CSO86" s="32"/>
      <c r="CSP86" s="32"/>
      <c r="CSQ86" s="32"/>
      <c r="CSR86" s="32"/>
      <c r="CSS86" s="32"/>
      <c r="CST86" s="32"/>
      <c r="CSU86" s="32"/>
      <c r="CSV86" s="32"/>
      <c r="CSW86" s="32"/>
      <c r="CSX86" s="32"/>
      <c r="CSY86" s="32"/>
      <c r="CSZ86" s="32"/>
      <c r="CTA86" s="32"/>
      <c r="CTB86" s="32"/>
      <c r="CTC86" s="32"/>
      <c r="CTD86" s="32"/>
      <c r="CTE86" s="32"/>
      <c r="CTF86" s="32"/>
      <c r="CTG86" s="32"/>
      <c r="CTH86" s="32"/>
      <c r="CTI86" s="32"/>
      <c r="CTJ86" s="32"/>
      <c r="CTK86" s="32"/>
      <c r="CTL86" s="32"/>
      <c r="CTM86" s="32"/>
      <c r="CTN86" s="32"/>
      <c r="CTO86" s="32"/>
      <c r="CTP86" s="32"/>
      <c r="CTQ86" s="32"/>
      <c r="CTR86" s="32"/>
      <c r="CTS86" s="32"/>
      <c r="CTT86" s="32"/>
      <c r="CTU86" s="32"/>
      <c r="CTV86" s="32"/>
      <c r="CTW86" s="32"/>
      <c r="CTX86" s="32"/>
      <c r="CTY86" s="32"/>
      <c r="CTZ86" s="32"/>
      <c r="CUA86" s="32"/>
      <c r="CUB86" s="32"/>
      <c r="CUC86" s="32"/>
      <c r="CUD86" s="32"/>
      <c r="CUE86" s="32"/>
      <c r="CUF86" s="32"/>
      <c r="CUG86" s="32"/>
      <c r="CUH86" s="32"/>
      <c r="CUI86" s="32"/>
      <c r="CUJ86" s="32"/>
      <c r="CUK86" s="32"/>
      <c r="CUL86" s="32"/>
      <c r="CUM86" s="32"/>
      <c r="CUN86" s="32"/>
      <c r="CUO86" s="32"/>
      <c r="CUP86" s="32"/>
      <c r="CUQ86" s="32"/>
      <c r="CUR86" s="32"/>
      <c r="CUS86" s="32"/>
      <c r="CUT86" s="32"/>
      <c r="CUU86" s="32"/>
      <c r="CUV86" s="32"/>
      <c r="CUW86" s="32"/>
      <c r="CUX86" s="32"/>
      <c r="CUY86" s="32"/>
      <c r="CUZ86" s="32"/>
      <c r="CVA86" s="32"/>
      <c r="CVB86" s="32"/>
      <c r="CVC86" s="32"/>
      <c r="CVD86" s="32"/>
      <c r="CVE86" s="32"/>
      <c r="CVF86" s="32"/>
      <c r="CVG86" s="32"/>
      <c r="CVH86" s="32"/>
      <c r="CVI86" s="32"/>
      <c r="CVJ86" s="32"/>
      <c r="CVK86" s="32"/>
      <c r="CVL86" s="32"/>
      <c r="CVM86" s="32"/>
      <c r="CVN86" s="32"/>
      <c r="CVO86" s="32"/>
      <c r="CVP86" s="32"/>
      <c r="CVQ86" s="32"/>
      <c r="CVR86" s="32"/>
      <c r="CVS86" s="32"/>
      <c r="CVT86" s="32"/>
      <c r="CVU86" s="32"/>
      <c r="CVV86" s="32"/>
      <c r="CVW86" s="32"/>
      <c r="CVX86" s="32"/>
      <c r="CVY86" s="32"/>
      <c r="CVZ86" s="32"/>
      <c r="CWA86" s="32"/>
      <c r="CWB86" s="32"/>
      <c r="CWC86" s="32"/>
      <c r="CWD86" s="32"/>
      <c r="CWE86" s="32"/>
      <c r="CWF86" s="32"/>
      <c r="CWG86" s="32"/>
      <c r="CWH86" s="32"/>
      <c r="CWI86" s="32"/>
      <c r="CWJ86" s="32"/>
      <c r="CWK86" s="32"/>
      <c r="CWL86" s="32"/>
      <c r="CWM86" s="32"/>
      <c r="CWN86" s="32"/>
      <c r="CWO86" s="32"/>
      <c r="CWP86" s="32"/>
      <c r="CWQ86" s="32"/>
      <c r="CWR86" s="32"/>
      <c r="CWS86" s="32"/>
      <c r="CWT86" s="32"/>
      <c r="CWU86" s="32"/>
      <c r="CWV86" s="32"/>
      <c r="CWW86" s="32"/>
      <c r="CWX86" s="32"/>
      <c r="CWY86" s="32"/>
      <c r="CWZ86" s="32"/>
      <c r="CXA86" s="32"/>
      <c r="CXB86" s="32"/>
      <c r="CXC86" s="32"/>
      <c r="CXD86" s="32"/>
      <c r="CXE86" s="32"/>
      <c r="CXF86" s="32"/>
      <c r="CXG86" s="32"/>
      <c r="CXH86" s="32"/>
      <c r="CXI86" s="32"/>
      <c r="CXJ86" s="32"/>
      <c r="CXK86" s="32"/>
      <c r="CXL86" s="32"/>
      <c r="CXM86" s="32"/>
      <c r="CXN86" s="32"/>
      <c r="CXO86" s="32"/>
      <c r="CXP86" s="32"/>
      <c r="CXQ86" s="32"/>
      <c r="CXR86" s="32"/>
      <c r="CXS86" s="32"/>
      <c r="CXT86" s="32"/>
      <c r="CXU86" s="32"/>
      <c r="CXV86" s="32"/>
      <c r="CXW86" s="32"/>
      <c r="CXX86" s="32"/>
      <c r="CXY86" s="32"/>
      <c r="CXZ86" s="32"/>
      <c r="CYA86" s="32"/>
      <c r="CYB86" s="32"/>
      <c r="CYC86" s="32"/>
      <c r="CYD86" s="32"/>
      <c r="CYE86" s="32"/>
      <c r="CYF86" s="32"/>
      <c r="CYG86" s="32"/>
      <c r="CYH86" s="32"/>
      <c r="CYI86" s="32"/>
      <c r="CYJ86" s="32"/>
      <c r="CYK86" s="32"/>
      <c r="CYL86" s="32"/>
      <c r="CYM86" s="32"/>
      <c r="CYN86" s="32"/>
      <c r="CYO86" s="32"/>
      <c r="CYP86" s="32"/>
      <c r="CYQ86" s="32"/>
      <c r="CYR86" s="32"/>
      <c r="CYS86" s="32"/>
      <c r="CYT86" s="32"/>
      <c r="CYU86" s="32"/>
      <c r="CYV86" s="32"/>
      <c r="CYW86" s="32"/>
      <c r="CYX86" s="32"/>
      <c r="CYY86" s="32"/>
      <c r="CYZ86" s="32"/>
      <c r="CZA86" s="32"/>
      <c r="CZB86" s="32"/>
      <c r="CZC86" s="32"/>
      <c r="CZD86" s="32"/>
      <c r="CZE86" s="32"/>
      <c r="CZF86" s="32"/>
      <c r="CZG86" s="32"/>
      <c r="CZH86" s="32"/>
      <c r="CZI86" s="32"/>
      <c r="CZJ86" s="32"/>
      <c r="CZK86" s="32"/>
      <c r="CZL86" s="32"/>
      <c r="CZM86" s="32"/>
      <c r="CZN86" s="32"/>
      <c r="CZO86" s="32"/>
      <c r="CZP86" s="32"/>
      <c r="CZQ86" s="32"/>
      <c r="CZR86" s="32"/>
      <c r="CZS86" s="32"/>
      <c r="CZT86" s="32"/>
      <c r="CZU86" s="32"/>
      <c r="CZV86" s="32"/>
      <c r="CZW86" s="32"/>
      <c r="CZX86" s="32"/>
      <c r="CZY86" s="32"/>
      <c r="CZZ86" s="32"/>
      <c r="DAA86" s="32"/>
      <c r="DAB86" s="32"/>
      <c r="DAC86" s="32"/>
      <c r="DAD86" s="32"/>
      <c r="DAE86" s="32"/>
      <c r="DAF86" s="32"/>
      <c r="DAG86" s="32"/>
      <c r="DAH86" s="32"/>
      <c r="DAI86" s="32"/>
      <c r="DAJ86" s="32"/>
      <c r="DAK86" s="32"/>
      <c r="DAL86" s="32"/>
      <c r="DAM86" s="32"/>
      <c r="DAN86" s="32"/>
      <c r="DAO86" s="32"/>
      <c r="DAP86" s="32"/>
      <c r="DAQ86" s="32"/>
      <c r="DAR86" s="32"/>
      <c r="DAS86" s="32"/>
      <c r="DAT86" s="32"/>
      <c r="DAU86" s="32"/>
      <c r="DAV86" s="32"/>
      <c r="DAW86" s="32"/>
      <c r="DAX86" s="32"/>
      <c r="DAY86" s="32"/>
      <c r="DAZ86" s="32"/>
      <c r="DBA86" s="32"/>
      <c r="DBB86" s="32"/>
      <c r="DBC86" s="32"/>
      <c r="DBD86" s="32"/>
      <c r="DBE86" s="32"/>
      <c r="DBF86" s="32"/>
      <c r="DBG86" s="32"/>
      <c r="DBH86" s="32"/>
      <c r="DBI86" s="32"/>
      <c r="DBJ86" s="32"/>
      <c r="DBK86" s="32"/>
      <c r="DBL86" s="32"/>
      <c r="DBM86" s="32"/>
      <c r="DBN86" s="32"/>
      <c r="DBO86" s="32"/>
      <c r="DBP86" s="32"/>
      <c r="DBQ86" s="32"/>
      <c r="DBR86" s="32"/>
      <c r="DBS86" s="32"/>
      <c r="DBT86" s="32"/>
      <c r="DBU86" s="32"/>
      <c r="DBV86" s="32"/>
      <c r="DBW86" s="32"/>
      <c r="DBX86" s="32"/>
      <c r="DBY86" s="32"/>
      <c r="DBZ86" s="32"/>
      <c r="DCA86" s="32"/>
      <c r="DCB86" s="32"/>
      <c r="DCC86" s="32"/>
      <c r="DCD86" s="32"/>
      <c r="DCE86" s="32"/>
      <c r="DCF86" s="32"/>
      <c r="DCG86" s="32"/>
      <c r="DCH86" s="32"/>
      <c r="DCI86" s="32"/>
      <c r="DCJ86" s="32"/>
      <c r="DCK86" s="32"/>
      <c r="DCL86" s="32"/>
      <c r="DCM86" s="32"/>
      <c r="DCN86" s="32"/>
      <c r="DCO86" s="32"/>
      <c r="DCP86" s="32"/>
      <c r="DCQ86" s="32"/>
      <c r="DCR86" s="32"/>
      <c r="DCS86" s="32"/>
      <c r="DCT86" s="32"/>
      <c r="DCU86" s="32"/>
      <c r="DCV86" s="32"/>
      <c r="DCW86" s="32"/>
      <c r="DCX86" s="32"/>
      <c r="DCY86" s="32"/>
      <c r="DCZ86" s="32"/>
      <c r="DDA86" s="32"/>
      <c r="DDB86" s="32"/>
      <c r="DDC86" s="32"/>
      <c r="DDD86" s="32"/>
      <c r="DDE86" s="32"/>
      <c r="DDF86" s="32"/>
      <c r="DDG86" s="32"/>
      <c r="DDH86" s="32"/>
      <c r="DDI86" s="32"/>
      <c r="DDJ86" s="32"/>
      <c r="DDK86" s="32"/>
      <c r="DDL86" s="32"/>
      <c r="DDM86" s="32"/>
      <c r="DDN86" s="32"/>
      <c r="DDO86" s="32"/>
      <c r="DDP86" s="32"/>
      <c r="DDQ86" s="32"/>
      <c r="DDR86" s="32"/>
      <c r="DDS86" s="32"/>
      <c r="DDT86" s="32"/>
      <c r="DDU86" s="32"/>
      <c r="DDV86" s="32"/>
      <c r="DDW86" s="32"/>
      <c r="DDX86" s="32"/>
      <c r="DDY86" s="32"/>
      <c r="DDZ86" s="32"/>
      <c r="DEA86" s="32"/>
      <c r="DEB86" s="32"/>
      <c r="DEC86" s="32"/>
      <c r="DED86" s="32"/>
      <c r="DEE86" s="32"/>
      <c r="DEF86" s="32"/>
      <c r="DEG86" s="32"/>
      <c r="DEH86" s="32"/>
      <c r="DEI86" s="32"/>
      <c r="DEJ86" s="32"/>
      <c r="DEK86" s="32"/>
      <c r="DEL86" s="32"/>
      <c r="DEM86" s="32"/>
      <c r="DEN86" s="32"/>
      <c r="DEO86" s="32"/>
      <c r="DEP86" s="32"/>
      <c r="DEQ86" s="32"/>
      <c r="DER86" s="32"/>
      <c r="DES86" s="32"/>
      <c r="DET86" s="32"/>
      <c r="DEU86" s="32"/>
      <c r="DEV86" s="32"/>
      <c r="DEW86" s="32"/>
      <c r="DEX86" s="32"/>
      <c r="DEY86" s="32"/>
      <c r="DEZ86" s="32"/>
      <c r="DFA86" s="32"/>
      <c r="DFB86" s="32"/>
      <c r="DFC86" s="32"/>
      <c r="DFD86" s="32"/>
      <c r="DFE86" s="32"/>
      <c r="DFF86" s="32"/>
      <c r="DFG86" s="32"/>
      <c r="DFH86" s="32"/>
      <c r="DFI86" s="32"/>
      <c r="DFJ86" s="32"/>
      <c r="DFK86" s="32"/>
      <c r="DFL86" s="32"/>
      <c r="DFM86" s="32"/>
      <c r="DFN86" s="32"/>
      <c r="DFO86" s="32"/>
      <c r="DFP86" s="32"/>
      <c r="DFQ86" s="32"/>
      <c r="DFR86" s="32"/>
      <c r="DFS86" s="32"/>
      <c r="DFT86" s="32"/>
      <c r="DFU86" s="32"/>
      <c r="DFV86" s="32"/>
      <c r="DFW86" s="32"/>
      <c r="DFX86" s="32"/>
      <c r="DFY86" s="32"/>
      <c r="DFZ86" s="32"/>
      <c r="DGA86" s="32"/>
      <c r="DGB86" s="32"/>
      <c r="DGC86" s="32"/>
      <c r="DGD86" s="32"/>
      <c r="DGE86" s="32"/>
      <c r="DGF86" s="32"/>
      <c r="DGG86" s="32"/>
      <c r="DGH86" s="32"/>
      <c r="DGI86" s="32"/>
      <c r="DGJ86" s="32"/>
      <c r="DGK86" s="32"/>
      <c r="DGL86" s="32"/>
      <c r="DGM86" s="32"/>
      <c r="DGN86" s="32"/>
      <c r="DGO86" s="32"/>
      <c r="DGP86" s="32"/>
      <c r="DGQ86" s="32"/>
      <c r="DGR86" s="32"/>
      <c r="DGS86" s="32"/>
      <c r="DGT86" s="32"/>
      <c r="DGU86" s="32"/>
      <c r="DGV86" s="32"/>
      <c r="DGW86" s="32"/>
      <c r="DGX86" s="32"/>
      <c r="DGY86" s="32"/>
      <c r="DGZ86" s="32"/>
      <c r="DHA86" s="32"/>
      <c r="DHB86" s="32"/>
      <c r="DHC86" s="32"/>
      <c r="DHD86" s="32"/>
      <c r="DHE86" s="32"/>
      <c r="DHF86" s="32"/>
      <c r="DHG86" s="32"/>
      <c r="DHH86" s="32"/>
      <c r="DHI86" s="32"/>
      <c r="DHJ86" s="32"/>
      <c r="DHK86" s="32"/>
      <c r="DHL86" s="32"/>
      <c r="DHM86" s="32"/>
      <c r="DHN86" s="32"/>
      <c r="DHO86" s="32"/>
      <c r="DHP86" s="32"/>
      <c r="DHQ86" s="32"/>
      <c r="DHR86" s="32"/>
      <c r="DHS86" s="32"/>
      <c r="DHT86" s="32"/>
      <c r="DHU86" s="32"/>
      <c r="DHV86" s="32"/>
      <c r="DHW86" s="32"/>
      <c r="DHX86" s="32"/>
      <c r="DHY86" s="32"/>
      <c r="DHZ86" s="32"/>
      <c r="DIA86" s="32"/>
      <c r="DIB86" s="32"/>
      <c r="DIC86" s="32"/>
      <c r="DID86" s="32"/>
      <c r="DIE86" s="32"/>
      <c r="DIF86" s="32"/>
      <c r="DIG86" s="32"/>
      <c r="DIH86" s="32"/>
      <c r="DII86" s="32"/>
      <c r="DIJ86" s="32"/>
      <c r="DIK86" s="32"/>
      <c r="DIL86" s="32"/>
      <c r="DIM86" s="32"/>
      <c r="DIN86" s="32"/>
      <c r="DIO86" s="32"/>
      <c r="DIP86" s="32"/>
      <c r="DIQ86" s="32"/>
      <c r="DIR86" s="32"/>
      <c r="DIS86" s="32"/>
      <c r="DIT86" s="32"/>
      <c r="DIU86" s="32"/>
      <c r="DIV86" s="32"/>
      <c r="DIW86" s="32"/>
      <c r="DIX86" s="32"/>
      <c r="DIY86" s="32"/>
      <c r="DIZ86" s="32"/>
      <c r="DJA86" s="32"/>
      <c r="DJB86" s="32"/>
      <c r="DJC86" s="32"/>
      <c r="DJD86" s="32"/>
      <c r="DJE86" s="32"/>
      <c r="DJF86" s="32"/>
      <c r="DJG86" s="32"/>
      <c r="DJH86" s="32"/>
      <c r="DJI86" s="32"/>
      <c r="DJJ86" s="32"/>
      <c r="DJK86" s="32"/>
      <c r="DJL86" s="32"/>
      <c r="DJM86" s="32"/>
      <c r="DJN86" s="32"/>
      <c r="DJO86" s="32"/>
      <c r="DJP86" s="32"/>
      <c r="DJQ86" s="32"/>
      <c r="DJR86" s="32"/>
      <c r="DJS86" s="32"/>
      <c r="DJT86" s="32"/>
      <c r="DJU86" s="32"/>
      <c r="DJV86" s="32"/>
      <c r="DJW86" s="32"/>
      <c r="DJX86" s="32"/>
      <c r="DJY86" s="32"/>
      <c r="DJZ86" s="32"/>
      <c r="DKA86" s="32"/>
      <c r="DKB86" s="32"/>
      <c r="DKC86" s="32"/>
      <c r="DKD86" s="32"/>
      <c r="DKE86" s="32"/>
      <c r="DKF86" s="32"/>
      <c r="DKG86" s="32"/>
      <c r="DKH86" s="32"/>
      <c r="DKI86" s="32"/>
      <c r="DKJ86" s="32"/>
      <c r="DKK86" s="32"/>
      <c r="DKL86" s="32"/>
      <c r="DKM86" s="32"/>
      <c r="DKN86" s="32"/>
      <c r="DKO86" s="32"/>
      <c r="DKP86" s="32"/>
      <c r="DKQ86" s="32"/>
      <c r="DKR86" s="32"/>
      <c r="DKS86" s="32"/>
      <c r="DKT86" s="32"/>
      <c r="DKU86" s="32"/>
      <c r="DKV86" s="32"/>
      <c r="DKW86" s="32"/>
      <c r="DKX86" s="32"/>
      <c r="DKY86" s="32"/>
      <c r="DKZ86" s="32"/>
      <c r="DLA86" s="32"/>
      <c r="DLB86" s="32"/>
      <c r="DLC86" s="32"/>
      <c r="DLD86" s="32"/>
      <c r="DLE86" s="32"/>
      <c r="DLF86" s="32"/>
      <c r="DLG86" s="32"/>
      <c r="DLH86" s="32"/>
      <c r="DLI86" s="32"/>
      <c r="DLJ86" s="32"/>
      <c r="DLK86" s="32"/>
      <c r="DLL86" s="32"/>
      <c r="DLM86" s="32"/>
      <c r="DLN86" s="32"/>
      <c r="DLO86" s="32"/>
      <c r="DLP86" s="32"/>
      <c r="DLQ86" s="32"/>
      <c r="DLR86" s="32"/>
      <c r="DLS86" s="32"/>
      <c r="DLT86" s="32"/>
      <c r="DLU86" s="32"/>
      <c r="DLV86" s="32"/>
      <c r="DLW86" s="32"/>
      <c r="DLX86" s="32"/>
      <c r="DLY86" s="32"/>
      <c r="DLZ86" s="32"/>
      <c r="DMA86" s="32"/>
      <c r="DMB86" s="32"/>
      <c r="DMC86" s="32"/>
      <c r="DMD86" s="32"/>
      <c r="DME86" s="32"/>
      <c r="DMF86" s="32"/>
      <c r="DMG86" s="32"/>
      <c r="DMH86" s="32"/>
      <c r="DMI86" s="32"/>
      <c r="DMJ86" s="32"/>
      <c r="DMK86" s="32"/>
      <c r="DML86" s="32"/>
      <c r="DMM86" s="32"/>
      <c r="DMN86" s="32"/>
      <c r="DMO86" s="32"/>
      <c r="DMP86" s="32"/>
      <c r="DMQ86" s="32"/>
      <c r="DMR86" s="32"/>
      <c r="DMS86" s="32"/>
      <c r="DMT86" s="32"/>
      <c r="DMU86" s="32"/>
      <c r="DMV86" s="32"/>
      <c r="DMW86" s="32"/>
      <c r="DMX86" s="32"/>
      <c r="DMY86" s="32"/>
      <c r="DMZ86" s="32"/>
      <c r="DNA86" s="32"/>
      <c r="DNB86" s="32"/>
      <c r="DNC86" s="32"/>
      <c r="DND86" s="32"/>
      <c r="DNE86" s="32"/>
      <c r="DNF86" s="32"/>
      <c r="DNG86" s="32"/>
      <c r="DNH86" s="32"/>
      <c r="DNI86" s="32"/>
      <c r="DNJ86" s="32"/>
      <c r="DNK86" s="32"/>
      <c r="DNL86" s="32"/>
      <c r="DNM86" s="32"/>
      <c r="DNN86" s="32"/>
      <c r="DNO86" s="32"/>
      <c r="DNP86" s="32"/>
      <c r="DNQ86" s="32"/>
      <c r="DNR86" s="32"/>
      <c r="DNS86" s="32"/>
      <c r="DNT86" s="32"/>
      <c r="DNU86" s="32"/>
      <c r="DNV86" s="32"/>
      <c r="DNW86" s="32"/>
      <c r="DNX86" s="32"/>
      <c r="DNY86" s="32"/>
      <c r="DNZ86" s="32"/>
      <c r="DOA86" s="32"/>
      <c r="DOB86" s="32"/>
      <c r="DOC86" s="32"/>
      <c r="DOD86" s="32"/>
      <c r="DOE86" s="32"/>
      <c r="DOF86" s="32"/>
      <c r="DOG86" s="32"/>
      <c r="DOH86" s="32"/>
      <c r="DOI86" s="32"/>
      <c r="DOJ86" s="32"/>
      <c r="DOK86" s="32"/>
      <c r="DOL86" s="32"/>
      <c r="DOM86" s="32"/>
      <c r="DON86" s="32"/>
      <c r="DOO86" s="32"/>
      <c r="DOP86" s="32"/>
      <c r="DOQ86" s="32"/>
      <c r="DOR86" s="32"/>
      <c r="DOS86" s="32"/>
      <c r="DOT86" s="32"/>
      <c r="DOU86" s="32"/>
      <c r="DOV86" s="32"/>
      <c r="DOW86" s="32"/>
      <c r="DOX86" s="32"/>
      <c r="DOY86" s="32"/>
      <c r="DOZ86" s="32"/>
      <c r="DPA86" s="32"/>
      <c r="DPB86" s="32"/>
      <c r="DPC86" s="32"/>
      <c r="DPD86" s="32"/>
      <c r="DPE86" s="32"/>
      <c r="DPF86" s="32"/>
      <c r="DPG86" s="32"/>
      <c r="DPH86" s="32"/>
      <c r="DPI86" s="32"/>
      <c r="DPJ86" s="32"/>
      <c r="DPK86" s="32"/>
      <c r="DPL86" s="32"/>
      <c r="DPM86" s="32"/>
      <c r="DPN86" s="32"/>
      <c r="DPO86" s="32"/>
      <c r="DPP86" s="32"/>
      <c r="DPQ86" s="32"/>
      <c r="DPR86" s="32"/>
      <c r="DPS86" s="32"/>
      <c r="DPT86" s="32"/>
      <c r="DPU86" s="32"/>
      <c r="DPV86" s="32"/>
      <c r="DPW86" s="32"/>
      <c r="DPX86" s="32"/>
      <c r="DPY86" s="32"/>
      <c r="DPZ86" s="32"/>
      <c r="DQA86" s="32"/>
      <c r="DQB86" s="32"/>
      <c r="DQC86" s="32"/>
      <c r="DQD86" s="32"/>
      <c r="DQE86" s="32"/>
      <c r="DQF86" s="32"/>
      <c r="DQG86" s="32"/>
      <c r="DQH86" s="32"/>
      <c r="DQI86" s="32"/>
      <c r="DQJ86" s="32"/>
      <c r="DQK86" s="32"/>
      <c r="DQL86" s="32"/>
      <c r="DQM86" s="32"/>
      <c r="DQN86" s="32"/>
      <c r="DQO86" s="32"/>
      <c r="DQP86" s="32"/>
      <c r="DQQ86" s="32"/>
      <c r="DQR86" s="32"/>
      <c r="DQS86" s="32"/>
      <c r="DQT86" s="32"/>
      <c r="DQU86" s="32"/>
      <c r="DQV86" s="32"/>
      <c r="DQW86" s="32"/>
      <c r="DQX86" s="32"/>
      <c r="DQY86" s="32"/>
      <c r="DQZ86" s="32"/>
      <c r="DRA86" s="32"/>
      <c r="DRB86" s="32"/>
      <c r="DRC86" s="32"/>
      <c r="DRD86" s="32"/>
      <c r="DRE86" s="32"/>
      <c r="DRF86" s="32"/>
      <c r="DRG86" s="32"/>
      <c r="DRH86" s="32"/>
      <c r="DRI86" s="32"/>
      <c r="DRJ86" s="32"/>
      <c r="DRK86" s="32"/>
      <c r="DRL86" s="32"/>
      <c r="DRM86" s="32"/>
      <c r="DRN86" s="32"/>
      <c r="DRO86" s="32"/>
      <c r="DRP86" s="32"/>
      <c r="DRQ86" s="32"/>
      <c r="DRR86" s="32"/>
      <c r="DRS86" s="32"/>
      <c r="DRT86" s="32"/>
      <c r="DRU86" s="32"/>
      <c r="DRV86" s="32"/>
      <c r="DRW86" s="32"/>
      <c r="DRX86" s="32"/>
      <c r="DRY86" s="32"/>
      <c r="DRZ86" s="32"/>
      <c r="DSA86" s="32"/>
      <c r="DSB86" s="32"/>
      <c r="DSC86" s="32"/>
      <c r="DSD86" s="32"/>
      <c r="DSE86" s="32"/>
      <c r="DSF86" s="32"/>
      <c r="DSG86" s="32"/>
      <c r="DSH86" s="32"/>
      <c r="DSI86" s="32"/>
      <c r="DSJ86" s="32"/>
      <c r="DSK86" s="32"/>
      <c r="DSL86" s="32"/>
      <c r="DSM86" s="32"/>
      <c r="DSN86" s="32"/>
      <c r="DSO86" s="32"/>
      <c r="DSP86" s="32"/>
      <c r="DSQ86" s="32"/>
      <c r="DSR86" s="32"/>
      <c r="DSS86" s="32"/>
      <c r="DST86" s="32"/>
      <c r="DSU86" s="32"/>
      <c r="DSV86" s="32"/>
      <c r="DSW86" s="32"/>
      <c r="DSX86" s="32"/>
      <c r="DSY86" s="32"/>
      <c r="DSZ86" s="32"/>
      <c r="DTA86" s="32"/>
      <c r="DTB86" s="32"/>
      <c r="DTC86" s="32"/>
      <c r="DTD86" s="32"/>
      <c r="DTE86" s="32"/>
      <c r="DTF86" s="32"/>
      <c r="DTG86" s="32"/>
      <c r="DTH86" s="32"/>
      <c r="DTI86" s="32"/>
      <c r="DTJ86" s="32"/>
      <c r="DTK86" s="32"/>
      <c r="DTL86" s="32"/>
      <c r="DTM86" s="32"/>
      <c r="DTN86" s="32"/>
      <c r="DTO86" s="32"/>
      <c r="DTP86" s="32"/>
      <c r="DTQ86" s="32"/>
      <c r="DTR86" s="32"/>
      <c r="DTS86" s="32"/>
      <c r="DTT86" s="32"/>
      <c r="DTU86" s="32"/>
      <c r="DTV86" s="32"/>
      <c r="DTW86" s="32"/>
      <c r="DTX86" s="32"/>
      <c r="DTY86" s="32"/>
      <c r="DTZ86" s="32"/>
      <c r="DUA86" s="32"/>
      <c r="DUB86" s="32"/>
      <c r="DUC86" s="32"/>
      <c r="DUD86" s="32"/>
      <c r="DUE86" s="32"/>
      <c r="DUF86" s="32"/>
      <c r="DUG86" s="32"/>
      <c r="DUH86" s="32"/>
      <c r="DUI86" s="32"/>
      <c r="DUJ86" s="32"/>
      <c r="DUK86" s="32"/>
      <c r="DUL86" s="32"/>
      <c r="DUM86" s="32"/>
      <c r="DUN86" s="32"/>
      <c r="DUO86" s="32"/>
      <c r="DUP86" s="32"/>
      <c r="DUQ86" s="32"/>
      <c r="DUR86" s="32"/>
      <c r="DUS86" s="32"/>
      <c r="DUT86" s="32"/>
      <c r="DUU86" s="32"/>
      <c r="DUV86" s="32"/>
      <c r="DUW86" s="32"/>
      <c r="DUX86" s="32"/>
      <c r="DUY86" s="32"/>
      <c r="DUZ86" s="32"/>
      <c r="DVA86" s="32"/>
      <c r="DVB86" s="32"/>
      <c r="DVC86" s="32"/>
      <c r="DVD86" s="32"/>
      <c r="DVE86" s="32"/>
      <c r="DVF86" s="32"/>
      <c r="DVG86" s="32"/>
      <c r="DVH86" s="32"/>
      <c r="DVI86" s="32"/>
      <c r="DVJ86" s="32"/>
      <c r="DVK86" s="32"/>
      <c r="DVL86" s="32"/>
      <c r="DVM86" s="32"/>
      <c r="DVN86" s="32"/>
      <c r="DVO86" s="32"/>
      <c r="DVP86" s="32"/>
      <c r="DVQ86" s="32"/>
      <c r="DVR86" s="32"/>
      <c r="DVS86" s="32"/>
      <c r="DVT86" s="32"/>
      <c r="DVU86" s="32"/>
      <c r="DVV86" s="32"/>
      <c r="DVW86" s="32"/>
      <c r="DVX86" s="32"/>
      <c r="DVY86" s="32"/>
      <c r="DVZ86" s="32"/>
      <c r="DWA86" s="32"/>
      <c r="DWB86" s="32"/>
      <c r="DWC86" s="32"/>
      <c r="DWD86" s="32"/>
      <c r="DWE86" s="32"/>
      <c r="DWF86" s="32"/>
      <c r="DWG86" s="32"/>
      <c r="DWH86" s="32"/>
      <c r="DWI86" s="32"/>
      <c r="DWJ86" s="32"/>
      <c r="DWK86" s="32"/>
      <c r="DWL86" s="32"/>
      <c r="DWM86" s="32"/>
      <c r="DWN86" s="32"/>
      <c r="DWO86" s="32"/>
      <c r="DWP86" s="32"/>
      <c r="DWQ86" s="32"/>
      <c r="DWR86" s="32"/>
      <c r="DWS86" s="32"/>
      <c r="DWT86" s="32"/>
      <c r="DWU86" s="32"/>
      <c r="DWV86" s="32"/>
      <c r="DWW86" s="32"/>
      <c r="DWX86" s="32"/>
      <c r="DWY86" s="32"/>
      <c r="DWZ86" s="32"/>
      <c r="DXA86" s="32"/>
      <c r="DXB86" s="32"/>
      <c r="DXC86" s="32"/>
      <c r="DXD86" s="32"/>
      <c r="DXE86" s="32"/>
      <c r="DXF86" s="32"/>
      <c r="DXG86" s="32"/>
      <c r="DXH86" s="32"/>
      <c r="DXI86" s="32"/>
      <c r="DXJ86" s="32"/>
      <c r="DXK86" s="32"/>
      <c r="DXL86" s="32"/>
      <c r="DXM86" s="32"/>
      <c r="DXN86" s="32"/>
      <c r="DXO86" s="32"/>
      <c r="DXP86" s="32"/>
      <c r="DXQ86" s="32"/>
      <c r="DXR86" s="32"/>
      <c r="DXS86" s="32"/>
      <c r="DXT86" s="32"/>
      <c r="DXU86" s="32"/>
      <c r="DXV86" s="32"/>
      <c r="DXW86" s="32"/>
      <c r="DXX86" s="32"/>
      <c r="DXY86" s="32"/>
      <c r="DXZ86" s="32"/>
      <c r="DYA86" s="32"/>
      <c r="DYB86" s="32"/>
      <c r="DYC86" s="32"/>
      <c r="DYD86" s="32"/>
      <c r="DYE86" s="32"/>
      <c r="DYF86" s="32"/>
      <c r="DYG86" s="32"/>
      <c r="DYH86" s="32"/>
      <c r="DYI86" s="32"/>
      <c r="DYJ86" s="32"/>
      <c r="DYK86" s="32"/>
      <c r="DYL86" s="32"/>
      <c r="DYM86" s="32"/>
      <c r="DYN86" s="32"/>
      <c r="DYO86" s="32"/>
      <c r="DYP86" s="32"/>
      <c r="DYQ86" s="32"/>
      <c r="DYR86" s="32"/>
      <c r="DYS86" s="32"/>
      <c r="DYT86" s="32"/>
      <c r="DYU86" s="32"/>
      <c r="DYV86" s="32"/>
      <c r="DYW86" s="32"/>
      <c r="DYX86" s="32"/>
      <c r="DYY86" s="32"/>
      <c r="DYZ86" s="32"/>
      <c r="DZA86" s="32"/>
      <c r="DZB86" s="32"/>
      <c r="DZC86" s="32"/>
      <c r="DZD86" s="32"/>
      <c r="DZE86" s="32"/>
      <c r="DZF86" s="32"/>
      <c r="DZG86" s="32"/>
      <c r="DZH86" s="32"/>
      <c r="DZI86" s="32"/>
      <c r="DZJ86" s="32"/>
      <c r="DZK86" s="32"/>
      <c r="DZL86" s="32"/>
      <c r="DZM86" s="32"/>
      <c r="DZN86" s="32"/>
      <c r="DZO86" s="32"/>
      <c r="DZP86" s="32"/>
      <c r="DZQ86" s="32"/>
      <c r="DZR86" s="32"/>
      <c r="DZS86" s="32"/>
      <c r="DZT86" s="32"/>
      <c r="DZU86" s="32"/>
      <c r="DZV86" s="32"/>
      <c r="DZW86" s="32"/>
      <c r="DZX86" s="32"/>
      <c r="DZY86" s="32"/>
      <c r="DZZ86" s="32"/>
      <c r="EAA86" s="32"/>
      <c r="EAB86" s="32"/>
      <c r="EAC86" s="32"/>
      <c r="EAD86" s="32"/>
      <c r="EAE86" s="32"/>
      <c r="EAF86" s="32"/>
      <c r="EAG86" s="32"/>
      <c r="EAH86" s="32"/>
      <c r="EAI86" s="32"/>
      <c r="EAJ86" s="32"/>
      <c r="EAK86" s="32"/>
      <c r="EAL86" s="32"/>
      <c r="EAM86" s="32"/>
      <c r="EAN86" s="32"/>
      <c r="EAO86" s="32"/>
      <c r="EAP86" s="32"/>
      <c r="EAQ86" s="32"/>
      <c r="EAR86" s="32"/>
      <c r="EAS86" s="32"/>
      <c r="EAT86" s="32"/>
      <c r="EAU86" s="32"/>
      <c r="EAV86" s="32"/>
      <c r="EAW86" s="32"/>
      <c r="EAX86" s="32"/>
      <c r="EAY86" s="32"/>
      <c r="EAZ86" s="32"/>
      <c r="EBA86" s="32"/>
      <c r="EBB86" s="32"/>
      <c r="EBC86" s="32"/>
      <c r="EBD86" s="32"/>
      <c r="EBE86" s="32"/>
      <c r="EBF86" s="32"/>
      <c r="EBG86" s="32"/>
      <c r="EBH86" s="32"/>
      <c r="EBI86" s="32"/>
      <c r="EBJ86" s="32"/>
      <c r="EBK86" s="32"/>
      <c r="EBL86" s="32"/>
      <c r="EBM86" s="32"/>
      <c r="EBN86" s="32"/>
      <c r="EBO86" s="32"/>
      <c r="EBP86" s="32"/>
      <c r="EBQ86" s="32"/>
      <c r="EBR86" s="32"/>
      <c r="EBS86" s="32"/>
      <c r="EBT86" s="32"/>
      <c r="EBU86" s="32"/>
      <c r="EBV86" s="32"/>
      <c r="EBW86" s="32"/>
      <c r="EBX86" s="32"/>
      <c r="EBY86" s="32"/>
      <c r="EBZ86" s="32"/>
      <c r="ECA86" s="32"/>
      <c r="ECB86" s="32"/>
      <c r="ECC86" s="32"/>
      <c r="ECD86" s="32"/>
      <c r="ECE86" s="32"/>
      <c r="ECF86" s="32"/>
      <c r="ECG86" s="32"/>
      <c r="ECH86" s="32"/>
      <c r="ECI86" s="32"/>
      <c r="ECJ86" s="32"/>
      <c r="ECK86" s="32"/>
      <c r="ECL86" s="32"/>
      <c r="ECM86" s="32"/>
      <c r="ECN86" s="32"/>
      <c r="ECO86" s="32"/>
      <c r="ECP86" s="32"/>
      <c r="ECQ86" s="32"/>
      <c r="ECR86" s="32"/>
      <c r="ECS86" s="32"/>
      <c r="ECT86" s="32"/>
      <c r="ECU86" s="32"/>
      <c r="ECV86" s="32"/>
      <c r="ECW86" s="32"/>
      <c r="ECX86" s="32"/>
      <c r="ECY86" s="32"/>
      <c r="ECZ86" s="32"/>
      <c r="EDA86" s="32"/>
      <c r="EDB86" s="32"/>
      <c r="EDC86" s="32"/>
      <c r="EDD86" s="32"/>
      <c r="EDE86" s="32"/>
      <c r="EDF86" s="32"/>
      <c r="EDG86" s="32"/>
      <c r="EDH86" s="32"/>
      <c r="EDI86" s="32"/>
      <c r="EDJ86" s="32"/>
      <c r="EDK86" s="32"/>
      <c r="EDL86" s="32"/>
      <c r="EDM86" s="32"/>
      <c r="EDN86" s="32"/>
      <c r="EDO86" s="32"/>
      <c r="EDP86" s="32"/>
      <c r="EDQ86" s="32"/>
      <c r="EDR86" s="32"/>
      <c r="EDS86" s="32"/>
      <c r="EDT86" s="32"/>
      <c r="EDU86" s="32"/>
      <c r="EDV86" s="32"/>
      <c r="EDW86" s="32"/>
      <c r="EDX86" s="32"/>
      <c r="EDY86" s="32"/>
      <c r="EDZ86" s="32"/>
      <c r="EEA86" s="32"/>
      <c r="EEB86" s="32"/>
      <c r="EEC86" s="32"/>
      <c r="EED86" s="32"/>
      <c r="EEE86" s="32"/>
      <c r="EEF86" s="32"/>
      <c r="EEG86" s="32"/>
      <c r="EEH86" s="32"/>
      <c r="EEI86" s="32"/>
      <c r="EEJ86" s="32"/>
      <c r="EEK86" s="32"/>
      <c r="EEL86" s="32"/>
      <c r="EEM86" s="32"/>
      <c r="EEN86" s="32"/>
      <c r="EEO86" s="32"/>
      <c r="EEP86" s="32"/>
      <c r="EEQ86" s="32"/>
      <c r="EER86" s="32"/>
      <c r="EES86" s="32"/>
      <c r="EET86" s="32"/>
      <c r="EEU86" s="32"/>
      <c r="EEV86" s="32"/>
      <c r="EEW86" s="32"/>
      <c r="EEX86" s="32"/>
      <c r="EEY86" s="32"/>
      <c r="EEZ86" s="32"/>
      <c r="EFA86" s="32"/>
      <c r="EFB86" s="32"/>
      <c r="EFC86" s="32"/>
      <c r="EFD86" s="32"/>
      <c r="EFE86" s="32"/>
      <c r="EFF86" s="32"/>
      <c r="EFG86" s="32"/>
      <c r="EFH86" s="32"/>
      <c r="EFI86" s="32"/>
      <c r="EFJ86" s="32"/>
      <c r="EFK86" s="32"/>
      <c r="EFL86" s="32"/>
      <c r="EFM86" s="32"/>
      <c r="EFN86" s="32"/>
      <c r="EFO86" s="32"/>
      <c r="EFP86" s="32"/>
      <c r="EFQ86" s="32"/>
      <c r="EFR86" s="32"/>
      <c r="EFS86" s="32"/>
      <c r="EFT86" s="32"/>
      <c r="EFU86" s="32"/>
      <c r="EFV86" s="32"/>
      <c r="EFW86" s="32"/>
      <c r="EFX86" s="32"/>
      <c r="EFY86" s="32"/>
      <c r="EFZ86" s="32"/>
      <c r="EGA86" s="32"/>
      <c r="EGB86" s="32"/>
      <c r="EGC86" s="32"/>
      <c r="EGD86" s="32"/>
      <c r="EGE86" s="32"/>
      <c r="EGF86" s="32"/>
      <c r="EGG86" s="32"/>
      <c r="EGH86" s="32"/>
      <c r="EGI86" s="32"/>
      <c r="EGJ86" s="32"/>
      <c r="EGK86" s="32"/>
      <c r="EGL86" s="32"/>
      <c r="EGM86" s="32"/>
      <c r="EGN86" s="32"/>
      <c r="EGO86" s="32"/>
      <c r="EGP86" s="32"/>
      <c r="EGQ86" s="32"/>
      <c r="EGR86" s="32"/>
      <c r="EGS86" s="32"/>
      <c r="EGT86" s="32"/>
      <c r="EGU86" s="32"/>
      <c r="EGV86" s="32"/>
      <c r="EGW86" s="32"/>
      <c r="EGX86" s="32"/>
      <c r="EGY86" s="32"/>
      <c r="EGZ86" s="32"/>
      <c r="EHA86" s="32"/>
      <c r="EHB86" s="32"/>
      <c r="EHC86" s="32"/>
      <c r="EHD86" s="32"/>
      <c r="EHE86" s="32"/>
      <c r="EHF86" s="32"/>
      <c r="EHG86" s="32"/>
      <c r="EHH86" s="32"/>
      <c r="EHI86" s="32"/>
      <c r="EHJ86" s="32"/>
      <c r="EHK86" s="32"/>
      <c r="EHL86" s="32"/>
      <c r="EHM86" s="32"/>
      <c r="EHN86" s="32"/>
      <c r="EHO86" s="32"/>
      <c r="EHP86" s="32"/>
      <c r="EHQ86" s="32"/>
      <c r="EHR86" s="32"/>
      <c r="EHS86" s="32"/>
      <c r="EHT86" s="32"/>
      <c r="EHU86" s="32"/>
      <c r="EHV86" s="32"/>
      <c r="EHW86" s="32"/>
      <c r="EHX86" s="32"/>
      <c r="EHY86" s="32"/>
      <c r="EHZ86" s="32"/>
      <c r="EIA86" s="32"/>
      <c r="EIB86" s="32"/>
      <c r="EIC86" s="32"/>
      <c r="EID86" s="32"/>
      <c r="EIE86" s="32"/>
      <c r="EIF86" s="32"/>
      <c r="EIG86" s="32"/>
      <c r="EIH86" s="32"/>
      <c r="EII86" s="32"/>
      <c r="EIJ86" s="32"/>
      <c r="EIK86" s="32"/>
      <c r="EIL86" s="32"/>
      <c r="EIM86" s="32"/>
      <c r="EIN86" s="32"/>
      <c r="EIO86" s="32"/>
      <c r="EIP86" s="32"/>
      <c r="EIQ86" s="32"/>
      <c r="EIR86" s="32"/>
      <c r="EIS86" s="32"/>
      <c r="EIT86" s="32"/>
      <c r="EIU86" s="32"/>
      <c r="EIV86" s="32"/>
      <c r="EIW86" s="32"/>
      <c r="EIX86" s="32"/>
      <c r="EIY86" s="32"/>
      <c r="EIZ86" s="32"/>
      <c r="EJA86" s="32"/>
      <c r="EJB86" s="32"/>
      <c r="EJC86" s="32"/>
      <c r="EJD86" s="32"/>
      <c r="EJE86" s="32"/>
      <c r="EJF86" s="32"/>
      <c r="EJG86" s="32"/>
      <c r="EJH86" s="32"/>
      <c r="EJI86" s="32"/>
      <c r="EJJ86" s="32"/>
      <c r="EJK86" s="32"/>
      <c r="EJL86" s="32"/>
      <c r="EJM86" s="32"/>
      <c r="EJN86" s="32"/>
      <c r="EJO86" s="32"/>
      <c r="EJP86" s="32"/>
      <c r="EJQ86" s="32"/>
      <c r="EJR86" s="32"/>
      <c r="EJS86" s="32"/>
      <c r="EJT86" s="32"/>
      <c r="EJU86" s="32"/>
      <c r="EJV86" s="32"/>
      <c r="EJW86" s="32"/>
      <c r="EJX86" s="32"/>
      <c r="EJY86" s="32"/>
      <c r="EJZ86" s="32"/>
      <c r="EKA86" s="32"/>
      <c r="EKB86" s="32"/>
      <c r="EKC86" s="32"/>
      <c r="EKD86" s="32"/>
      <c r="EKE86" s="32"/>
      <c r="EKF86" s="32"/>
      <c r="EKG86" s="32"/>
      <c r="EKH86" s="32"/>
      <c r="EKI86" s="32"/>
      <c r="EKJ86" s="32"/>
      <c r="EKK86" s="32"/>
      <c r="EKL86" s="32"/>
      <c r="EKM86" s="32"/>
      <c r="EKN86" s="32"/>
      <c r="EKO86" s="32"/>
      <c r="EKP86" s="32"/>
      <c r="EKQ86" s="32"/>
      <c r="EKR86" s="32"/>
      <c r="EKS86" s="32"/>
      <c r="EKT86" s="32"/>
      <c r="EKU86" s="32"/>
      <c r="EKV86" s="32"/>
      <c r="EKW86" s="32"/>
      <c r="EKX86" s="32"/>
      <c r="EKY86" s="32"/>
      <c r="EKZ86" s="32"/>
      <c r="ELA86" s="32"/>
      <c r="ELB86" s="32"/>
      <c r="ELC86" s="32"/>
      <c r="ELD86" s="32"/>
      <c r="ELE86" s="32"/>
      <c r="ELF86" s="32"/>
      <c r="ELG86" s="32"/>
      <c r="ELH86" s="32"/>
      <c r="ELI86" s="32"/>
      <c r="ELJ86" s="32"/>
      <c r="ELK86" s="32"/>
      <c r="ELL86" s="32"/>
      <c r="ELM86" s="32"/>
      <c r="ELN86" s="32"/>
      <c r="ELO86" s="32"/>
      <c r="ELP86" s="32"/>
      <c r="ELQ86" s="32"/>
      <c r="ELR86" s="32"/>
      <c r="ELS86" s="32"/>
      <c r="ELT86" s="32"/>
      <c r="ELU86" s="32"/>
      <c r="ELV86" s="32"/>
      <c r="ELW86" s="32"/>
      <c r="ELX86" s="32"/>
      <c r="ELY86" s="32"/>
      <c r="ELZ86" s="32"/>
      <c r="EMA86" s="32"/>
      <c r="EMB86" s="32"/>
      <c r="EMC86" s="32"/>
      <c r="EMD86" s="32"/>
      <c r="EME86" s="32"/>
      <c r="EMF86" s="32"/>
      <c r="EMG86" s="32"/>
      <c r="EMH86" s="32"/>
      <c r="EMI86" s="32"/>
      <c r="EMJ86" s="32"/>
      <c r="EMK86" s="32"/>
      <c r="EML86" s="32"/>
      <c r="EMM86" s="32"/>
      <c r="EMN86" s="32"/>
      <c r="EMO86" s="32"/>
      <c r="EMP86" s="32"/>
      <c r="EMQ86" s="32"/>
      <c r="EMR86" s="32"/>
      <c r="EMS86" s="32"/>
      <c r="EMT86" s="32"/>
      <c r="EMU86" s="32"/>
      <c r="EMV86" s="32"/>
      <c r="EMW86" s="32"/>
      <c r="EMX86" s="32"/>
      <c r="EMY86" s="32"/>
      <c r="EMZ86" s="32"/>
      <c r="ENA86" s="32"/>
      <c r="ENB86" s="32"/>
      <c r="ENC86" s="32"/>
      <c r="END86" s="32"/>
      <c r="ENE86" s="32"/>
      <c r="ENF86" s="32"/>
      <c r="ENG86" s="32"/>
      <c r="ENH86" s="32"/>
      <c r="ENI86" s="32"/>
      <c r="ENJ86" s="32"/>
      <c r="ENK86" s="32"/>
      <c r="ENL86" s="32"/>
      <c r="ENM86" s="32"/>
      <c r="ENN86" s="32"/>
      <c r="ENO86" s="32"/>
      <c r="ENP86" s="32"/>
      <c r="ENQ86" s="32"/>
      <c r="ENR86" s="32"/>
      <c r="ENS86" s="32"/>
      <c r="ENT86" s="32"/>
      <c r="ENU86" s="32"/>
      <c r="ENV86" s="32"/>
      <c r="ENW86" s="32"/>
      <c r="ENX86" s="32"/>
      <c r="ENY86" s="32"/>
      <c r="ENZ86" s="32"/>
      <c r="EOA86" s="32"/>
      <c r="EOB86" s="32"/>
      <c r="EOC86" s="32"/>
      <c r="EOD86" s="32"/>
      <c r="EOE86" s="32"/>
      <c r="EOF86" s="32"/>
      <c r="EOG86" s="32"/>
      <c r="EOH86" s="32"/>
      <c r="EOI86" s="32"/>
      <c r="EOJ86" s="32"/>
      <c r="EOK86" s="32"/>
      <c r="EOL86" s="32"/>
      <c r="EOM86" s="32"/>
      <c r="EON86" s="32"/>
      <c r="EOO86" s="32"/>
      <c r="EOP86" s="32"/>
      <c r="EOQ86" s="32"/>
      <c r="EOR86" s="32"/>
      <c r="EOS86" s="32"/>
      <c r="EOT86" s="32"/>
      <c r="EOU86" s="32"/>
      <c r="EOV86" s="32"/>
      <c r="EOW86" s="32"/>
      <c r="EOX86" s="32"/>
      <c r="EOY86" s="32"/>
      <c r="EOZ86" s="32"/>
      <c r="EPA86" s="32"/>
      <c r="EPB86" s="32"/>
      <c r="EPC86" s="32"/>
      <c r="EPD86" s="32"/>
      <c r="EPE86" s="32"/>
      <c r="EPF86" s="32"/>
      <c r="EPG86" s="32"/>
      <c r="EPH86" s="32"/>
      <c r="EPI86" s="32"/>
      <c r="EPJ86" s="32"/>
      <c r="EPK86" s="32"/>
      <c r="EPL86" s="32"/>
      <c r="EPM86" s="32"/>
      <c r="EPN86" s="32"/>
      <c r="EPO86" s="32"/>
      <c r="EPP86" s="32"/>
      <c r="EPQ86" s="32"/>
      <c r="EPR86" s="32"/>
      <c r="EPS86" s="32"/>
      <c r="EPT86" s="32"/>
      <c r="EPU86" s="32"/>
      <c r="EPV86" s="32"/>
      <c r="EPW86" s="32"/>
      <c r="EPX86" s="32"/>
      <c r="EPY86" s="32"/>
      <c r="EPZ86" s="32"/>
      <c r="EQA86" s="32"/>
      <c r="EQB86" s="32"/>
      <c r="EQC86" s="32"/>
      <c r="EQD86" s="32"/>
      <c r="EQE86" s="32"/>
      <c r="EQF86" s="32"/>
      <c r="EQG86" s="32"/>
      <c r="EQH86" s="32"/>
      <c r="EQI86" s="32"/>
      <c r="EQJ86" s="32"/>
      <c r="EQK86" s="32"/>
      <c r="EQL86" s="32"/>
      <c r="EQM86" s="32"/>
      <c r="EQN86" s="32"/>
      <c r="EQO86" s="32"/>
      <c r="EQP86" s="32"/>
      <c r="EQQ86" s="32"/>
      <c r="EQR86" s="32"/>
      <c r="EQS86" s="32"/>
      <c r="EQT86" s="32"/>
      <c r="EQU86" s="32"/>
      <c r="EQV86" s="32"/>
      <c r="EQW86" s="32"/>
      <c r="EQX86" s="32"/>
      <c r="EQY86" s="32"/>
      <c r="EQZ86" s="32"/>
      <c r="ERA86" s="32"/>
      <c r="ERB86" s="32"/>
      <c r="ERC86" s="32"/>
      <c r="ERD86" s="32"/>
      <c r="ERE86" s="32"/>
      <c r="ERF86" s="32"/>
      <c r="ERG86" s="32"/>
      <c r="ERH86" s="32"/>
      <c r="ERI86" s="32"/>
      <c r="ERJ86" s="32"/>
      <c r="ERK86" s="32"/>
      <c r="ERL86" s="32"/>
      <c r="ERM86" s="32"/>
      <c r="ERN86" s="32"/>
      <c r="ERO86" s="32"/>
      <c r="ERP86" s="32"/>
      <c r="ERQ86" s="32"/>
      <c r="ERR86" s="32"/>
      <c r="ERS86" s="32"/>
      <c r="ERT86" s="32"/>
      <c r="ERU86" s="32"/>
      <c r="ERV86" s="32"/>
      <c r="ERW86" s="32"/>
      <c r="ERX86" s="32"/>
      <c r="ERY86" s="32"/>
      <c r="ERZ86" s="32"/>
      <c r="ESA86" s="32"/>
      <c r="ESB86" s="32"/>
      <c r="ESC86" s="32"/>
      <c r="ESD86" s="32"/>
      <c r="ESE86" s="32"/>
      <c r="ESF86" s="32"/>
      <c r="ESG86" s="32"/>
      <c r="ESH86" s="32"/>
      <c r="ESI86" s="32"/>
      <c r="ESJ86" s="32"/>
      <c r="ESK86" s="32"/>
      <c r="ESL86" s="32"/>
      <c r="ESM86" s="32"/>
      <c r="ESN86" s="32"/>
      <c r="ESO86" s="32"/>
      <c r="ESP86" s="32"/>
      <c r="ESQ86" s="32"/>
      <c r="ESR86" s="32"/>
      <c r="ESS86" s="32"/>
      <c r="EST86" s="32"/>
      <c r="ESU86" s="32"/>
      <c r="ESV86" s="32"/>
      <c r="ESW86" s="32"/>
      <c r="ESX86" s="32"/>
      <c r="ESY86" s="32"/>
      <c r="ESZ86" s="32"/>
      <c r="ETA86" s="32"/>
      <c r="ETB86" s="32"/>
      <c r="ETC86" s="32"/>
      <c r="ETD86" s="32"/>
      <c r="ETE86" s="32"/>
      <c r="ETF86" s="32"/>
      <c r="ETG86" s="32"/>
      <c r="ETH86" s="32"/>
      <c r="ETI86" s="32"/>
      <c r="ETJ86" s="32"/>
      <c r="ETK86" s="32"/>
      <c r="ETL86" s="32"/>
      <c r="ETM86" s="32"/>
      <c r="ETN86" s="32"/>
      <c r="ETO86" s="32"/>
      <c r="ETP86" s="32"/>
      <c r="ETQ86" s="32"/>
      <c r="ETR86" s="32"/>
      <c r="ETS86" s="32"/>
      <c r="ETT86" s="32"/>
      <c r="ETU86" s="32"/>
      <c r="ETV86" s="32"/>
      <c r="ETW86" s="32"/>
      <c r="ETX86" s="32"/>
      <c r="ETY86" s="32"/>
      <c r="ETZ86" s="32"/>
      <c r="EUA86" s="32"/>
      <c r="EUB86" s="32"/>
      <c r="EUC86" s="32"/>
      <c r="EUD86" s="32"/>
      <c r="EUE86" s="32"/>
      <c r="EUF86" s="32"/>
      <c r="EUG86" s="32"/>
      <c r="EUH86" s="32"/>
      <c r="EUI86" s="32"/>
      <c r="EUJ86" s="32"/>
      <c r="EUK86" s="32"/>
      <c r="EUL86" s="32"/>
      <c r="EUM86" s="32"/>
      <c r="EUN86" s="32"/>
      <c r="EUO86" s="32"/>
      <c r="EUP86" s="32"/>
      <c r="EUQ86" s="32"/>
      <c r="EUR86" s="32"/>
      <c r="EUS86" s="32"/>
      <c r="EUT86" s="32"/>
      <c r="EUU86" s="32"/>
      <c r="EUV86" s="32"/>
      <c r="EUW86" s="32"/>
      <c r="EUX86" s="32"/>
      <c r="EUY86" s="32"/>
      <c r="EUZ86" s="32"/>
      <c r="EVA86" s="32"/>
      <c r="EVB86" s="32"/>
      <c r="EVC86" s="32"/>
      <c r="EVD86" s="32"/>
      <c r="EVE86" s="32"/>
      <c r="EVF86" s="32"/>
      <c r="EVG86" s="32"/>
      <c r="EVH86" s="32"/>
      <c r="EVI86" s="32"/>
      <c r="EVJ86" s="32"/>
      <c r="EVK86" s="32"/>
      <c r="EVL86" s="32"/>
      <c r="EVM86" s="32"/>
      <c r="EVN86" s="32"/>
      <c r="EVO86" s="32"/>
      <c r="EVP86" s="32"/>
      <c r="EVQ86" s="32"/>
      <c r="EVR86" s="32"/>
      <c r="EVS86" s="32"/>
      <c r="EVT86" s="32"/>
      <c r="EVU86" s="32"/>
      <c r="EVV86" s="32"/>
      <c r="EVW86" s="32"/>
      <c r="EVX86" s="32"/>
      <c r="EVY86" s="32"/>
      <c r="EVZ86" s="32"/>
      <c r="EWA86" s="32"/>
      <c r="EWB86" s="32"/>
      <c r="EWC86" s="32"/>
      <c r="EWD86" s="32"/>
      <c r="EWE86" s="32"/>
      <c r="EWF86" s="32"/>
      <c r="EWG86" s="32"/>
      <c r="EWH86" s="32"/>
      <c r="EWI86" s="32"/>
      <c r="EWJ86" s="32"/>
      <c r="EWK86" s="32"/>
      <c r="EWL86" s="32"/>
      <c r="EWM86" s="32"/>
      <c r="EWN86" s="32"/>
      <c r="EWO86" s="32"/>
      <c r="EWP86" s="32"/>
      <c r="EWQ86" s="32"/>
      <c r="EWR86" s="32"/>
      <c r="EWS86" s="32"/>
      <c r="EWT86" s="32"/>
      <c r="EWU86" s="32"/>
      <c r="EWV86" s="32"/>
      <c r="EWW86" s="32"/>
      <c r="EWX86" s="32"/>
      <c r="EWY86" s="32"/>
      <c r="EWZ86" s="32"/>
      <c r="EXA86" s="32"/>
      <c r="EXB86" s="32"/>
      <c r="EXC86" s="32"/>
      <c r="EXD86" s="32"/>
      <c r="EXE86" s="32"/>
      <c r="EXF86" s="32"/>
      <c r="EXG86" s="32"/>
      <c r="EXH86" s="32"/>
      <c r="EXI86" s="32"/>
      <c r="EXJ86" s="32"/>
      <c r="EXK86" s="32"/>
      <c r="EXL86" s="32"/>
      <c r="EXM86" s="32"/>
      <c r="EXN86" s="32"/>
      <c r="EXO86" s="32"/>
      <c r="EXP86" s="32"/>
      <c r="EXQ86" s="32"/>
      <c r="EXR86" s="32"/>
      <c r="EXS86" s="32"/>
      <c r="EXT86" s="32"/>
      <c r="EXU86" s="32"/>
      <c r="EXV86" s="32"/>
      <c r="EXW86" s="32"/>
      <c r="EXX86" s="32"/>
      <c r="EXY86" s="32"/>
      <c r="EXZ86" s="32"/>
      <c r="EYA86" s="32"/>
      <c r="EYB86" s="32"/>
      <c r="EYC86" s="32"/>
      <c r="EYD86" s="32"/>
      <c r="EYE86" s="32"/>
      <c r="EYF86" s="32"/>
      <c r="EYG86" s="32"/>
      <c r="EYH86" s="32"/>
      <c r="EYI86" s="32"/>
      <c r="EYJ86" s="32"/>
      <c r="EYK86" s="32"/>
      <c r="EYL86" s="32"/>
      <c r="EYM86" s="32"/>
      <c r="EYN86" s="32"/>
      <c r="EYO86" s="32"/>
      <c r="EYP86" s="32"/>
      <c r="EYQ86" s="32"/>
      <c r="EYR86" s="32"/>
      <c r="EYS86" s="32"/>
      <c r="EYT86" s="32"/>
      <c r="EYU86" s="32"/>
      <c r="EYV86" s="32"/>
      <c r="EYW86" s="32"/>
      <c r="EYX86" s="32"/>
      <c r="EYY86" s="32"/>
      <c r="EYZ86" s="32"/>
      <c r="EZA86" s="32"/>
      <c r="EZB86" s="32"/>
      <c r="EZC86" s="32"/>
      <c r="EZD86" s="32"/>
      <c r="EZE86" s="32"/>
      <c r="EZF86" s="32"/>
      <c r="EZG86" s="32"/>
      <c r="EZH86" s="32"/>
      <c r="EZI86" s="32"/>
      <c r="EZJ86" s="32"/>
      <c r="EZK86" s="32"/>
      <c r="EZL86" s="32"/>
      <c r="EZM86" s="32"/>
      <c r="EZN86" s="32"/>
      <c r="EZO86" s="32"/>
      <c r="EZP86" s="32"/>
      <c r="EZQ86" s="32"/>
      <c r="EZR86" s="32"/>
      <c r="EZS86" s="32"/>
      <c r="EZT86" s="32"/>
      <c r="EZU86" s="32"/>
      <c r="EZV86" s="32"/>
      <c r="EZW86" s="32"/>
      <c r="EZX86" s="32"/>
      <c r="EZY86" s="32"/>
      <c r="EZZ86" s="32"/>
      <c r="FAA86" s="32"/>
      <c r="FAB86" s="32"/>
      <c r="FAC86" s="32"/>
      <c r="FAD86" s="32"/>
      <c r="FAE86" s="32"/>
      <c r="FAF86" s="32"/>
      <c r="FAG86" s="32"/>
      <c r="FAH86" s="32"/>
      <c r="FAI86" s="32"/>
      <c r="FAJ86" s="32"/>
      <c r="FAK86" s="32"/>
      <c r="FAL86" s="32"/>
      <c r="FAM86" s="32"/>
      <c r="FAN86" s="32"/>
      <c r="FAO86" s="32"/>
      <c r="FAP86" s="32"/>
      <c r="FAQ86" s="32"/>
      <c r="FAR86" s="32"/>
      <c r="FAS86" s="32"/>
      <c r="FAT86" s="32"/>
      <c r="FAU86" s="32"/>
      <c r="FAV86" s="32"/>
      <c r="FAW86" s="32"/>
      <c r="FAX86" s="32"/>
      <c r="FAY86" s="32"/>
      <c r="FAZ86" s="32"/>
      <c r="FBA86" s="32"/>
      <c r="FBB86" s="32"/>
      <c r="FBC86" s="32"/>
      <c r="FBD86" s="32"/>
      <c r="FBE86" s="32"/>
      <c r="FBF86" s="32"/>
      <c r="FBG86" s="32"/>
      <c r="FBH86" s="32"/>
      <c r="FBI86" s="32"/>
      <c r="FBJ86" s="32"/>
      <c r="FBK86" s="32"/>
      <c r="FBL86" s="32"/>
      <c r="FBM86" s="32"/>
      <c r="FBN86" s="32"/>
      <c r="FBO86" s="32"/>
      <c r="FBP86" s="32"/>
      <c r="FBQ86" s="32"/>
      <c r="FBR86" s="32"/>
      <c r="FBS86" s="32"/>
      <c r="FBT86" s="32"/>
      <c r="FBU86" s="32"/>
      <c r="FBV86" s="32"/>
      <c r="FBW86" s="32"/>
      <c r="FBX86" s="32"/>
      <c r="FBY86" s="32"/>
      <c r="FBZ86" s="32"/>
      <c r="FCA86" s="32"/>
      <c r="FCB86" s="32"/>
      <c r="FCC86" s="32"/>
      <c r="FCD86" s="32"/>
      <c r="FCE86" s="32"/>
      <c r="FCF86" s="32"/>
      <c r="FCG86" s="32"/>
      <c r="FCH86" s="32"/>
      <c r="FCI86" s="32"/>
      <c r="FCJ86" s="32"/>
      <c r="FCK86" s="32"/>
      <c r="FCL86" s="32"/>
      <c r="FCM86" s="32"/>
      <c r="FCN86" s="32"/>
      <c r="FCO86" s="32"/>
      <c r="FCP86" s="32"/>
      <c r="FCQ86" s="32"/>
      <c r="FCR86" s="32"/>
      <c r="FCS86" s="32"/>
      <c r="FCT86" s="32"/>
      <c r="FCU86" s="32"/>
      <c r="FCV86" s="32"/>
      <c r="FCW86" s="32"/>
      <c r="FCX86" s="32"/>
      <c r="FCY86" s="32"/>
      <c r="FCZ86" s="32"/>
      <c r="FDA86" s="32"/>
      <c r="FDB86" s="32"/>
      <c r="FDC86" s="32"/>
      <c r="FDD86" s="32"/>
      <c r="FDE86" s="32"/>
      <c r="FDF86" s="32"/>
      <c r="FDG86" s="32"/>
      <c r="FDH86" s="32"/>
      <c r="FDI86" s="32"/>
      <c r="FDJ86" s="32"/>
      <c r="FDK86" s="32"/>
      <c r="FDL86" s="32"/>
      <c r="FDM86" s="32"/>
      <c r="FDN86" s="32"/>
      <c r="FDO86" s="32"/>
      <c r="FDP86" s="32"/>
      <c r="FDQ86" s="32"/>
      <c r="FDR86" s="32"/>
      <c r="FDS86" s="32"/>
      <c r="FDT86" s="32"/>
      <c r="FDU86" s="32"/>
      <c r="FDV86" s="32"/>
      <c r="FDW86" s="32"/>
      <c r="FDX86" s="32"/>
      <c r="FDY86" s="32"/>
      <c r="FDZ86" s="32"/>
      <c r="FEA86" s="32"/>
      <c r="FEB86" s="32"/>
      <c r="FEC86" s="32"/>
      <c r="FED86" s="32"/>
      <c r="FEE86" s="32"/>
      <c r="FEF86" s="32"/>
      <c r="FEG86" s="32"/>
      <c r="FEH86" s="32"/>
      <c r="FEI86" s="32"/>
      <c r="FEJ86" s="32"/>
      <c r="FEK86" s="32"/>
      <c r="FEL86" s="32"/>
      <c r="FEM86" s="32"/>
      <c r="FEN86" s="32"/>
      <c r="FEO86" s="32"/>
      <c r="FEP86" s="32"/>
      <c r="FEQ86" s="32"/>
      <c r="FER86" s="32"/>
      <c r="FES86" s="32"/>
      <c r="FET86" s="32"/>
      <c r="FEU86" s="32"/>
      <c r="FEV86" s="32"/>
      <c r="FEW86" s="32"/>
      <c r="FEX86" s="32"/>
      <c r="FEY86" s="32"/>
      <c r="FEZ86" s="32"/>
      <c r="FFA86" s="32"/>
      <c r="FFB86" s="32"/>
      <c r="FFC86" s="32"/>
      <c r="FFD86" s="32"/>
      <c r="FFE86" s="32"/>
      <c r="FFF86" s="32"/>
      <c r="FFG86" s="32"/>
      <c r="FFH86" s="32"/>
      <c r="FFI86" s="32"/>
      <c r="FFJ86" s="32"/>
      <c r="FFK86" s="32"/>
      <c r="FFL86" s="32"/>
      <c r="FFM86" s="32"/>
      <c r="FFN86" s="32"/>
      <c r="FFO86" s="32"/>
      <c r="FFP86" s="32"/>
      <c r="FFQ86" s="32"/>
      <c r="FFR86" s="32"/>
      <c r="FFS86" s="32"/>
      <c r="FFT86" s="32"/>
      <c r="FFU86" s="32"/>
      <c r="FFV86" s="32"/>
      <c r="FFW86" s="32"/>
      <c r="FFX86" s="32"/>
      <c r="FFY86" s="32"/>
      <c r="FFZ86" s="32"/>
      <c r="FGA86" s="32"/>
      <c r="FGB86" s="32"/>
      <c r="FGC86" s="32"/>
      <c r="FGD86" s="32"/>
      <c r="FGE86" s="32"/>
      <c r="FGF86" s="32"/>
      <c r="FGG86" s="32"/>
      <c r="FGH86" s="32"/>
      <c r="FGI86" s="32"/>
      <c r="FGJ86" s="32"/>
      <c r="FGK86" s="32"/>
      <c r="FGL86" s="32"/>
      <c r="FGM86" s="32"/>
      <c r="FGN86" s="32"/>
      <c r="FGO86" s="32"/>
      <c r="FGP86" s="32"/>
      <c r="FGQ86" s="32"/>
      <c r="FGR86" s="32"/>
      <c r="FGS86" s="32"/>
      <c r="FGT86" s="32"/>
      <c r="FGU86" s="32"/>
      <c r="FGV86" s="32"/>
      <c r="FGW86" s="32"/>
      <c r="FGX86" s="32"/>
      <c r="FGY86" s="32"/>
      <c r="FGZ86" s="32"/>
      <c r="FHA86" s="32"/>
      <c r="FHB86" s="32"/>
      <c r="FHC86" s="32"/>
      <c r="FHD86" s="32"/>
      <c r="FHE86" s="32"/>
      <c r="FHF86" s="32"/>
      <c r="FHG86" s="32"/>
      <c r="FHH86" s="32"/>
      <c r="FHI86" s="32"/>
      <c r="FHJ86" s="32"/>
      <c r="FHK86" s="32"/>
      <c r="FHL86" s="32"/>
      <c r="FHM86" s="32"/>
      <c r="FHN86" s="32"/>
      <c r="FHO86" s="32"/>
      <c r="FHP86" s="32"/>
      <c r="FHQ86" s="32"/>
      <c r="FHR86" s="32"/>
      <c r="FHS86" s="32"/>
      <c r="FHT86" s="32"/>
      <c r="FHU86" s="32"/>
      <c r="FHV86" s="32"/>
      <c r="FHW86" s="32"/>
      <c r="FHX86" s="32"/>
      <c r="FHY86" s="32"/>
      <c r="FHZ86" s="32"/>
      <c r="FIA86" s="32"/>
      <c r="FIB86" s="32"/>
      <c r="FIC86" s="32"/>
      <c r="FID86" s="32"/>
      <c r="FIE86" s="32"/>
      <c r="FIF86" s="32"/>
      <c r="FIG86" s="32"/>
      <c r="FIH86" s="32"/>
      <c r="FII86" s="32"/>
      <c r="FIJ86" s="32"/>
      <c r="FIK86" s="32"/>
      <c r="FIL86" s="32"/>
      <c r="FIM86" s="32"/>
      <c r="FIN86" s="32"/>
      <c r="FIO86" s="32"/>
      <c r="FIP86" s="32"/>
      <c r="FIQ86" s="32"/>
      <c r="FIR86" s="32"/>
      <c r="FIS86" s="32"/>
      <c r="FIT86" s="32"/>
      <c r="FIU86" s="32"/>
      <c r="FIV86" s="32"/>
      <c r="FIW86" s="32"/>
      <c r="FIX86" s="32"/>
      <c r="FIY86" s="32"/>
      <c r="FIZ86" s="32"/>
      <c r="FJA86" s="32"/>
      <c r="FJB86" s="32"/>
      <c r="FJC86" s="32"/>
      <c r="FJD86" s="32"/>
      <c r="FJE86" s="32"/>
      <c r="FJF86" s="32"/>
      <c r="FJG86" s="32"/>
      <c r="FJH86" s="32"/>
      <c r="FJI86" s="32"/>
      <c r="FJJ86" s="32"/>
      <c r="FJK86" s="32"/>
      <c r="FJL86" s="32"/>
      <c r="FJM86" s="32"/>
      <c r="FJN86" s="32"/>
      <c r="FJO86" s="32"/>
      <c r="FJP86" s="32"/>
      <c r="FJQ86" s="32"/>
      <c r="FJR86" s="32"/>
      <c r="FJS86" s="32"/>
      <c r="FJT86" s="32"/>
      <c r="FJU86" s="32"/>
      <c r="FJV86" s="32"/>
      <c r="FJW86" s="32"/>
      <c r="FJX86" s="32"/>
      <c r="FJY86" s="32"/>
      <c r="FJZ86" s="32"/>
      <c r="FKA86" s="32"/>
      <c r="FKB86" s="32"/>
      <c r="FKC86" s="32"/>
      <c r="FKD86" s="32"/>
      <c r="FKE86" s="32"/>
      <c r="FKF86" s="32"/>
      <c r="FKG86" s="32"/>
      <c r="FKH86" s="32"/>
      <c r="FKI86" s="32"/>
      <c r="FKJ86" s="32"/>
      <c r="FKK86" s="32"/>
      <c r="FKL86" s="32"/>
      <c r="FKM86" s="32"/>
      <c r="FKN86" s="32"/>
      <c r="FKO86" s="32"/>
      <c r="FKP86" s="32"/>
      <c r="FKQ86" s="32"/>
      <c r="FKR86" s="32"/>
      <c r="FKS86" s="32"/>
      <c r="FKT86" s="32"/>
      <c r="FKU86" s="32"/>
      <c r="FKV86" s="32"/>
      <c r="FKW86" s="32"/>
      <c r="FKX86" s="32"/>
      <c r="FKY86" s="32"/>
      <c r="FKZ86" s="32"/>
      <c r="FLA86" s="32"/>
      <c r="FLB86" s="32"/>
      <c r="FLC86" s="32"/>
      <c r="FLD86" s="32"/>
      <c r="FLE86" s="32"/>
      <c r="FLF86" s="32"/>
      <c r="FLG86" s="32"/>
      <c r="FLH86" s="32"/>
      <c r="FLI86" s="32"/>
      <c r="FLJ86" s="32"/>
      <c r="FLK86" s="32"/>
      <c r="FLL86" s="32"/>
      <c r="FLM86" s="32"/>
      <c r="FLN86" s="32"/>
      <c r="FLO86" s="32"/>
      <c r="FLP86" s="32"/>
      <c r="FLQ86" s="32"/>
      <c r="FLR86" s="32"/>
      <c r="FLS86" s="32"/>
      <c r="FLT86" s="32"/>
      <c r="FLU86" s="32"/>
      <c r="FLV86" s="32"/>
      <c r="FLW86" s="32"/>
      <c r="FLX86" s="32"/>
      <c r="FLY86" s="32"/>
      <c r="FLZ86" s="32"/>
      <c r="FMA86" s="32"/>
      <c r="FMB86" s="32"/>
      <c r="FMC86" s="32"/>
      <c r="FMD86" s="32"/>
      <c r="FME86" s="32"/>
      <c r="FMF86" s="32"/>
      <c r="FMG86" s="32"/>
      <c r="FMH86" s="32"/>
      <c r="FMI86" s="32"/>
      <c r="FMJ86" s="32"/>
      <c r="FMK86" s="32"/>
      <c r="FML86" s="32"/>
      <c r="FMM86" s="32"/>
      <c r="FMN86" s="32"/>
      <c r="FMO86" s="32"/>
      <c r="FMP86" s="32"/>
      <c r="FMQ86" s="32"/>
      <c r="FMR86" s="32"/>
      <c r="FMS86" s="32"/>
      <c r="FMT86" s="32"/>
      <c r="FMU86" s="32"/>
      <c r="FMV86" s="32"/>
      <c r="FMW86" s="32"/>
      <c r="FMX86" s="32"/>
      <c r="FMY86" s="32"/>
      <c r="FMZ86" s="32"/>
      <c r="FNA86" s="32"/>
      <c r="FNB86" s="32"/>
      <c r="FNC86" s="32"/>
      <c r="FND86" s="32"/>
      <c r="FNE86" s="32"/>
      <c r="FNF86" s="32"/>
      <c r="FNG86" s="32"/>
      <c r="FNH86" s="32"/>
      <c r="FNI86" s="32"/>
      <c r="FNJ86" s="32"/>
      <c r="FNK86" s="32"/>
      <c r="FNL86" s="32"/>
      <c r="FNM86" s="32"/>
      <c r="FNN86" s="32"/>
      <c r="FNO86" s="32"/>
      <c r="FNP86" s="32"/>
      <c r="FNQ86" s="32"/>
      <c r="FNR86" s="32"/>
      <c r="FNS86" s="32"/>
      <c r="FNT86" s="32"/>
      <c r="FNU86" s="32"/>
      <c r="FNV86" s="32"/>
      <c r="FNW86" s="32"/>
      <c r="FNX86" s="32"/>
      <c r="FNY86" s="32"/>
      <c r="FNZ86" s="32"/>
      <c r="FOA86" s="32"/>
      <c r="FOB86" s="32"/>
      <c r="FOC86" s="32"/>
      <c r="FOD86" s="32"/>
      <c r="FOE86" s="32"/>
      <c r="FOF86" s="32"/>
      <c r="FOG86" s="32"/>
      <c r="FOH86" s="32"/>
      <c r="FOI86" s="32"/>
      <c r="FOJ86" s="32"/>
      <c r="FOK86" s="32"/>
      <c r="FOL86" s="32"/>
      <c r="FOM86" s="32"/>
      <c r="FON86" s="32"/>
      <c r="FOO86" s="32"/>
      <c r="FOP86" s="32"/>
      <c r="FOQ86" s="32"/>
      <c r="FOR86" s="32"/>
      <c r="FOS86" s="32"/>
      <c r="FOT86" s="32"/>
      <c r="FOU86" s="32"/>
      <c r="FOV86" s="32"/>
      <c r="FOW86" s="32"/>
      <c r="FOX86" s="32"/>
      <c r="FOY86" s="32"/>
      <c r="FOZ86" s="32"/>
      <c r="FPA86" s="32"/>
      <c r="FPB86" s="32"/>
      <c r="FPC86" s="32"/>
      <c r="FPD86" s="32"/>
      <c r="FPE86" s="32"/>
      <c r="FPF86" s="32"/>
      <c r="FPG86" s="32"/>
      <c r="FPH86" s="32"/>
      <c r="FPI86" s="32"/>
      <c r="FPJ86" s="32"/>
      <c r="FPK86" s="32"/>
      <c r="FPL86" s="32"/>
      <c r="FPM86" s="32"/>
      <c r="FPN86" s="32"/>
      <c r="FPO86" s="32"/>
      <c r="FPP86" s="32"/>
      <c r="FPQ86" s="32"/>
      <c r="FPR86" s="32"/>
      <c r="FPS86" s="32"/>
      <c r="FPT86" s="32"/>
      <c r="FPU86" s="32"/>
      <c r="FPV86" s="32"/>
      <c r="FPW86" s="32"/>
      <c r="FPX86" s="32"/>
      <c r="FPY86" s="32"/>
      <c r="FPZ86" s="32"/>
      <c r="FQA86" s="32"/>
      <c r="FQB86" s="32"/>
      <c r="FQC86" s="32"/>
      <c r="FQD86" s="32"/>
      <c r="FQE86" s="32"/>
      <c r="FQF86" s="32"/>
      <c r="FQG86" s="32"/>
      <c r="FQH86" s="32"/>
      <c r="FQI86" s="32"/>
      <c r="FQJ86" s="32"/>
      <c r="FQK86" s="32"/>
      <c r="FQL86" s="32"/>
      <c r="FQM86" s="32"/>
      <c r="FQN86" s="32"/>
      <c r="FQO86" s="32"/>
      <c r="FQP86" s="32"/>
      <c r="FQQ86" s="32"/>
      <c r="FQR86" s="32"/>
      <c r="FQS86" s="32"/>
      <c r="FQT86" s="32"/>
      <c r="FQU86" s="32"/>
      <c r="FQV86" s="32"/>
      <c r="FQW86" s="32"/>
      <c r="FQX86" s="32"/>
      <c r="FQY86" s="32"/>
      <c r="FQZ86" s="32"/>
      <c r="FRA86" s="32"/>
      <c r="FRB86" s="32"/>
      <c r="FRC86" s="32"/>
      <c r="FRD86" s="32"/>
      <c r="FRE86" s="32"/>
      <c r="FRF86" s="32"/>
      <c r="FRG86" s="32"/>
      <c r="FRH86" s="32"/>
      <c r="FRI86" s="32"/>
      <c r="FRJ86" s="32"/>
      <c r="FRK86" s="32"/>
      <c r="FRL86" s="32"/>
      <c r="FRM86" s="32"/>
      <c r="FRN86" s="32"/>
      <c r="FRO86" s="32"/>
      <c r="FRP86" s="32"/>
      <c r="FRQ86" s="32"/>
      <c r="FRR86" s="32"/>
      <c r="FRS86" s="32"/>
      <c r="FRT86" s="32"/>
      <c r="FRU86" s="32"/>
      <c r="FRV86" s="32"/>
      <c r="FRW86" s="32"/>
      <c r="FRX86" s="32"/>
      <c r="FRY86" s="32"/>
      <c r="FRZ86" s="32"/>
      <c r="FSA86" s="32"/>
      <c r="FSB86" s="32"/>
      <c r="FSC86" s="32"/>
      <c r="FSD86" s="32"/>
      <c r="FSE86" s="32"/>
      <c r="FSF86" s="32"/>
      <c r="FSG86" s="32"/>
      <c r="FSH86" s="32"/>
      <c r="FSI86" s="32"/>
      <c r="FSJ86" s="32"/>
      <c r="FSK86" s="32"/>
      <c r="FSL86" s="32"/>
      <c r="FSM86" s="32"/>
      <c r="FSN86" s="32"/>
      <c r="FSO86" s="32"/>
      <c r="FSP86" s="32"/>
      <c r="FSQ86" s="32"/>
      <c r="FSR86" s="32"/>
      <c r="FSS86" s="32"/>
      <c r="FST86" s="32"/>
      <c r="FSU86" s="32"/>
      <c r="FSV86" s="32"/>
      <c r="FSW86" s="32"/>
      <c r="FSX86" s="32"/>
      <c r="FSY86" s="32"/>
      <c r="FSZ86" s="32"/>
      <c r="FTA86" s="32"/>
      <c r="FTB86" s="32"/>
      <c r="FTC86" s="32"/>
      <c r="FTD86" s="32"/>
      <c r="FTE86" s="32"/>
      <c r="FTF86" s="32"/>
      <c r="FTG86" s="32"/>
      <c r="FTH86" s="32"/>
      <c r="FTI86" s="32"/>
      <c r="FTJ86" s="32"/>
      <c r="FTK86" s="32"/>
      <c r="FTL86" s="32"/>
      <c r="FTM86" s="32"/>
      <c r="FTN86" s="32"/>
      <c r="FTO86" s="32"/>
      <c r="FTP86" s="32"/>
      <c r="FTQ86" s="32"/>
      <c r="FTR86" s="32"/>
      <c r="FTS86" s="32"/>
      <c r="FTT86" s="32"/>
      <c r="FTU86" s="32"/>
      <c r="FTV86" s="32"/>
      <c r="FTW86" s="32"/>
      <c r="FTX86" s="32"/>
      <c r="FTY86" s="32"/>
      <c r="FTZ86" s="32"/>
      <c r="FUA86" s="32"/>
      <c r="FUB86" s="32"/>
      <c r="FUC86" s="32"/>
      <c r="FUD86" s="32"/>
      <c r="FUE86" s="32"/>
      <c r="FUF86" s="32"/>
      <c r="FUG86" s="32"/>
      <c r="FUH86" s="32"/>
      <c r="FUI86" s="32"/>
      <c r="FUJ86" s="32"/>
      <c r="FUK86" s="32"/>
      <c r="FUL86" s="32"/>
      <c r="FUM86" s="32"/>
      <c r="FUN86" s="32"/>
      <c r="FUO86" s="32"/>
      <c r="FUP86" s="32"/>
      <c r="FUQ86" s="32"/>
      <c r="FUR86" s="32"/>
      <c r="FUS86" s="32"/>
      <c r="FUT86" s="32"/>
      <c r="FUU86" s="32"/>
      <c r="FUV86" s="32"/>
      <c r="FUW86" s="32"/>
      <c r="FUX86" s="32"/>
      <c r="FUY86" s="32"/>
      <c r="FUZ86" s="32"/>
      <c r="FVA86" s="32"/>
      <c r="FVB86" s="32"/>
      <c r="FVC86" s="32"/>
      <c r="FVD86" s="32"/>
      <c r="FVE86" s="32"/>
      <c r="FVF86" s="32"/>
      <c r="FVG86" s="32"/>
      <c r="FVH86" s="32"/>
      <c r="FVI86" s="32"/>
      <c r="FVJ86" s="32"/>
      <c r="FVK86" s="32"/>
      <c r="FVL86" s="32"/>
      <c r="FVM86" s="32"/>
      <c r="FVN86" s="32"/>
      <c r="FVO86" s="32"/>
      <c r="FVP86" s="32"/>
      <c r="FVQ86" s="32"/>
      <c r="FVR86" s="32"/>
      <c r="FVS86" s="32"/>
      <c r="FVT86" s="32"/>
      <c r="FVU86" s="32"/>
      <c r="FVV86" s="32"/>
      <c r="FVW86" s="32"/>
      <c r="FVX86" s="32"/>
      <c r="FVY86" s="32"/>
      <c r="FVZ86" s="32"/>
      <c r="FWA86" s="32"/>
      <c r="FWB86" s="32"/>
      <c r="FWC86" s="32"/>
      <c r="FWD86" s="32"/>
      <c r="FWE86" s="32"/>
      <c r="FWF86" s="32"/>
      <c r="FWG86" s="32"/>
      <c r="FWH86" s="32"/>
      <c r="FWI86" s="32"/>
      <c r="FWJ86" s="32"/>
      <c r="FWK86" s="32"/>
      <c r="FWL86" s="32"/>
      <c r="FWM86" s="32"/>
      <c r="FWN86" s="32"/>
      <c r="FWO86" s="32"/>
      <c r="FWP86" s="32"/>
      <c r="FWQ86" s="32"/>
      <c r="FWR86" s="32"/>
      <c r="FWS86" s="32"/>
      <c r="FWT86" s="32"/>
      <c r="FWU86" s="32"/>
      <c r="FWV86" s="32"/>
      <c r="FWW86" s="32"/>
      <c r="FWX86" s="32"/>
      <c r="FWY86" s="32"/>
      <c r="FWZ86" s="32"/>
      <c r="FXA86" s="32"/>
      <c r="FXB86" s="32"/>
      <c r="FXC86" s="32"/>
      <c r="FXD86" s="32"/>
      <c r="FXE86" s="32"/>
      <c r="FXF86" s="32"/>
      <c r="FXG86" s="32"/>
      <c r="FXH86" s="32"/>
      <c r="FXI86" s="32"/>
      <c r="FXJ86" s="32"/>
      <c r="FXK86" s="32"/>
      <c r="FXL86" s="32"/>
      <c r="FXM86" s="32"/>
      <c r="FXN86" s="32"/>
      <c r="FXO86" s="32"/>
      <c r="FXP86" s="32"/>
      <c r="FXQ86" s="32"/>
      <c r="FXR86" s="32"/>
      <c r="FXS86" s="32"/>
      <c r="FXT86" s="32"/>
      <c r="FXU86" s="32"/>
      <c r="FXV86" s="32"/>
      <c r="FXW86" s="32"/>
      <c r="FXX86" s="32"/>
      <c r="FXY86" s="32"/>
      <c r="FXZ86" s="32"/>
      <c r="FYA86" s="32"/>
      <c r="FYB86" s="32"/>
      <c r="FYC86" s="32"/>
      <c r="FYD86" s="32"/>
      <c r="FYE86" s="32"/>
      <c r="FYF86" s="32"/>
      <c r="FYG86" s="32"/>
      <c r="FYH86" s="32"/>
      <c r="FYI86" s="32"/>
      <c r="FYJ86" s="32"/>
      <c r="FYK86" s="32"/>
      <c r="FYL86" s="32"/>
      <c r="FYM86" s="32"/>
      <c r="FYN86" s="32"/>
      <c r="FYO86" s="32"/>
      <c r="FYP86" s="32"/>
      <c r="FYQ86" s="32"/>
      <c r="FYR86" s="32"/>
      <c r="FYS86" s="32"/>
      <c r="FYT86" s="32"/>
      <c r="FYU86" s="32"/>
      <c r="FYV86" s="32"/>
      <c r="FYW86" s="32"/>
      <c r="FYX86" s="32"/>
      <c r="FYY86" s="32"/>
      <c r="FYZ86" s="32"/>
      <c r="FZA86" s="32"/>
      <c r="FZB86" s="32"/>
      <c r="FZC86" s="32"/>
      <c r="FZD86" s="32"/>
      <c r="FZE86" s="32"/>
      <c r="FZF86" s="32"/>
      <c r="FZG86" s="32"/>
      <c r="FZH86" s="32"/>
      <c r="FZI86" s="32"/>
      <c r="FZJ86" s="32"/>
      <c r="FZK86" s="32"/>
      <c r="FZL86" s="32"/>
      <c r="FZM86" s="32"/>
      <c r="FZN86" s="32"/>
      <c r="FZO86" s="32"/>
      <c r="FZP86" s="32"/>
      <c r="FZQ86" s="32"/>
      <c r="FZR86" s="32"/>
      <c r="FZS86" s="32"/>
      <c r="FZT86" s="32"/>
      <c r="FZU86" s="32"/>
      <c r="FZV86" s="32"/>
      <c r="FZW86" s="32"/>
      <c r="FZX86" s="32"/>
      <c r="FZY86" s="32"/>
      <c r="FZZ86" s="32"/>
      <c r="GAA86" s="32"/>
      <c r="GAB86" s="32"/>
      <c r="GAC86" s="32"/>
      <c r="GAD86" s="32"/>
      <c r="GAE86" s="32"/>
      <c r="GAF86" s="32"/>
      <c r="GAG86" s="32"/>
      <c r="GAH86" s="32"/>
      <c r="GAI86" s="32"/>
      <c r="GAJ86" s="32"/>
      <c r="GAK86" s="32"/>
      <c r="GAL86" s="32"/>
      <c r="GAM86" s="32"/>
      <c r="GAN86" s="32"/>
      <c r="GAO86" s="32"/>
      <c r="GAP86" s="32"/>
      <c r="GAQ86" s="32"/>
      <c r="GAR86" s="32"/>
      <c r="GAS86" s="32"/>
      <c r="GAT86" s="32"/>
      <c r="GAU86" s="32"/>
      <c r="GAV86" s="32"/>
      <c r="GAW86" s="32"/>
      <c r="GAX86" s="32"/>
      <c r="GAY86" s="32"/>
      <c r="GAZ86" s="32"/>
      <c r="GBA86" s="32"/>
      <c r="GBB86" s="32"/>
      <c r="GBC86" s="32"/>
      <c r="GBD86" s="32"/>
      <c r="GBE86" s="32"/>
      <c r="GBF86" s="32"/>
      <c r="GBG86" s="32"/>
      <c r="GBH86" s="32"/>
      <c r="GBI86" s="32"/>
      <c r="GBJ86" s="32"/>
      <c r="GBK86" s="32"/>
      <c r="GBL86" s="32"/>
      <c r="GBM86" s="32"/>
      <c r="GBN86" s="32"/>
      <c r="GBO86" s="32"/>
      <c r="GBP86" s="32"/>
      <c r="GBQ86" s="32"/>
      <c r="GBR86" s="32"/>
      <c r="GBS86" s="32"/>
      <c r="GBT86" s="32"/>
      <c r="GBU86" s="32"/>
      <c r="GBV86" s="32"/>
      <c r="GBW86" s="32"/>
      <c r="GBX86" s="32"/>
      <c r="GBY86" s="32"/>
      <c r="GBZ86" s="32"/>
      <c r="GCA86" s="32"/>
      <c r="GCB86" s="32"/>
      <c r="GCC86" s="32"/>
      <c r="GCD86" s="32"/>
      <c r="GCE86" s="32"/>
      <c r="GCF86" s="32"/>
      <c r="GCG86" s="32"/>
      <c r="GCH86" s="32"/>
      <c r="GCI86" s="32"/>
      <c r="GCJ86" s="32"/>
      <c r="GCK86" s="32"/>
      <c r="GCL86" s="32"/>
      <c r="GCM86" s="32"/>
      <c r="GCN86" s="32"/>
      <c r="GCO86" s="32"/>
      <c r="GCP86" s="32"/>
      <c r="GCQ86" s="32"/>
      <c r="GCR86" s="32"/>
      <c r="GCS86" s="32"/>
      <c r="GCT86" s="32"/>
      <c r="GCU86" s="32"/>
      <c r="GCV86" s="32"/>
      <c r="GCW86" s="32"/>
      <c r="GCX86" s="32"/>
      <c r="GCY86" s="32"/>
      <c r="GCZ86" s="32"/>
      <c r="GDA86" s="32"/>
      <c r="GDB86" s="32"/>
      <c r="GDC86" s="32"/>
      <c r="GDD86" s="32"/>
      <c r="GDE86" s="32"/>
      <c r="GDF86" s="32"/>
      <c r="GDG86" s="32"/>
      <c r="GDH86" s="32"/>
      <c r="GDI86" s="32"/>
      <c r="GDJ86" s="32"/>
      <c r="GDK86" s="32"/>
      <c r="GDL86" s="32"/>
      <c r="GDM86" s="32"/>
      <c r="GDN86" s="32"/>
      <c r="GDO86" s="32"/>
      <c r="GDP86" s="32"/>
      <c r="GDQ86" s="32"/>
      <c r="GDR86" s="32"/>
      <c r="GDS86" s="32"/>
      <c r="GDT86" s="32"/>
      <c r="GDU86" s="32"/>
      <c r="GDV86" s="32"/>
      <c r="GDW86" s="32"/>
      <c r="GDX86" s="32"/>
      <c r="GDY86" s="32"/>
      <c r="GDZ86" s="32"/>
      <c r="GEA86" s="32"/>
      <c r="GEB86" s="32"/>
      <c r="GEC86" s="32"/>
      <c r="GED86" s="32"/>
      <c r="GEE86" s="32"/>
      <c r="GEF86" s="32"/>
      <c r="GEG86" s="32"/>
      <c r="GEH86" s="32"/>
      <c r="GEI86" s="32"/>
      <c r="GEJ86" s="32"/>
      <c r="GEK86" s="32"/>
      <c r="GEL86" s="32"/>
      <c r="GEM86" s="32"/>
      <c r="GEN86" s="32"/>
      <c r="GEO86" s="32"/>
      <c r="GEP86" s="32"/>
      <c r="GEQ86" s="32"/>
      <c r="GER86" s="32"/>
      <c r="GES86" s="32"/>
      <c r="GET86" s="32"/>
      <c r="GEU86" s="32"/>
      <c r="GEV86" s="32"/>
      <c r="GEW86" s="32"/>
      <c r="GEX86" s="32"/>
      <c r="GEY86" s="32"/>
      <c r="GEZ86" s="32"/>
      <c r="GFA86" s="32"/>
      <c r="GFB86" s="32"/>
      <c r="GFC86" s="32"/>
      <c r="GFD86" s="32"/>
      <c r="GFE86" s="32"/>
      <c r="GFF86" s="32"/>
      <c r="GFG86" s="32"/>
      <c r="GFH86" s="32"/>
      <c r="GFI86" s="32"/>
      <c r="GFJ86" s="32"/>
      <c r="GFK86" s="32"/>
      <c r="GFL86" s="32"/>
      <c r="GFM86" s="32"/>
      <c r="GFN86" s="32"/>
      <c r="GFO86" s="32"/>
      <c r="GFP86" s="32"/>
      <c r="GFQ86" s="32"/>
      <c r="GFR86" s="32"/>
      <c r="GFS86" s="32"/>
      <c r="GFT86" s="32"/>
      <c r="GFU86" s="32"/>
      <c r="GFV86" s="32"/>
      <c r="GFW86" s="32"/>
      <c r="GFX86" s="32"/>
      <c r="GFY86" s="32"/>
      <c r="GFZ86" s="32"/>
      <c r="GGA86" s="32"/>
      <c r="GGB86" s="32"/>
      <c r="GGC86" s="32"/>
      <c r="GGD86" s="32"/>
      <c r="GGE86" s="32"/>
      <c r="GGF86" s="32"/>
      <c r="GGG86" s="32"/>
      <c r="GGH86" s="32"/>
      <c r="GGI86" s="32"/>
      <c r="GGJ86" s="32"/>
      <c r="GGK86" s="32"/>
      <c r="GGL86" s="32"/>
      <c r="GGM86" s="32"/>
      <c r="GGN86" s="32"/>
      <c r="GGO86" s="32"/>
      <c r="GGP86" s="32"/>
      <c r="GGQ86" s="32"/>
      <c r="GGR86" s="32"/>
      <c r="GGS86" s="32"/>
      <c r="GGT86" s="32"/>
      <c r="GGU86" s="32"/>
      <c r="GGV86" s="32"/>
      <c r="GGW86" s="32"/>
      <c r="GGX86" s="32"/>
      <c r="GGY86" s="32"/>
      <c r="GGZ86" s="32"/>
      <c r="GHA86" s="32"/>
      <c r="GHB86" s="32"/>
      <c r="GHC86" s="32"/>
      <c r="GHD86" s="32"/>
      <c r="GHE86" s="32"/>
      <c r="GHF86" s="32"/>
      <c r="GHG86" s="32"/>
      <c r="GHH86" s="32"/>
      <c r="GHI86" s="32"/>
      <c r="GHJ86" s="32"/>
      <c r="GHK86" s="32"/>
      <c r="GHL86" s="32"/>
      <c r="GHM86" s="32"/>
      <c r="GHN86" s="32"/>
      <c r="GHO86" s="32"/>
      <c r="GHP86" s="32"/>
      <c r="GHQ86" s="32"/>
      <c r="GHR86" s="32"/>
      <c r="GHS86" s="32"/>
      <c r="GHT86" s="32"/>
      <c r="GHU86" s="32"/>
      <c r="GHV86" s="32"/>
      <c r="GHW86" s="32"/>
      <c r="GHX86" s="32"/>
      <c r="GHY86" s="32"/>
      <c r="GHZ86" s="32"/>
      <c r="GIA86" s="32"/>
      <c r="GIB86" s="32"/>
      <c r="GIC86" s="32"/>
      <c r="GID86" s="32"/>
      <c r="GIE86" s="32"/>
      <c r="GIF86" s="32"/>
      <c r="GIG86" s="32"/>
      <c r="GIH86" s="32"/>
      <c r="GII86" s="32"/>
      <c r="GIJ86" s="32"/>
      <c r="GIK86" s="32"/>
      <c r="GIL86" s="32"/>
      <c r="GIM86" s="32"/>
      <c r="GIN86" s="32"/>
      <c r="GIO86" s="32"/>
      <c r="GIP86" s="32"/>
      <c r="GIQ86" s="32"/>
      <c r="GIR86" s="32"/>
      <c r="GIS86" s="32"/>
      <c r="GIT86" s="32"/>
      <c r="GIU86" s="32"/>
      <c r="GIV86" s="32"/>
      <c r="GIW86" s="32"/>
      <c r="GIX86" s="32"/>
      <c r="GIY86" s="32"/>
      <c r="GIZ86" s="32"/>
      <c r="GJA86" s="32"/>
      <c r="GJB86" s="32"/>
      <c r="GJC86" s="32"/>
      <c r="GJD86" s="32"/>
      <c r="GJE86" s="32"/>
      <c r="GJF86" s="32"/>
      <c r="GJG86" s="32"/>
      <c r="GJH86" s="32"/>
      <c r="GJI86" s="32"/>
      <c r="GJJ86" s="32"/>
      <c r="GJK86" s="32"/>
      <c r="GJL86" s="32"/>
      <c r="GJM86" s="32"/>
      <c r="GJN86" s="32"/>
      <c r="GJO86" s="32"/>
      <c r="GJP86" s="32"/>
      <c r="GJQ86" s="32"/>
      <c r="GJR86" s="32"/>
      <c r="GJS86" s="32"/>
      <c r="GJT86" s="32"/>
      <c r="GJU86" s="32"/>
      <c r="GJV86" s="32"/>
      <c r="GJW86" s="32"/>
      <c r="GJX86" s="32"/>
      <c r="GJY86" s="32"/>
      <c r="GJZ86" s="32"/>
      <c r="GKA86" s="32"/>
      <c r="GKB86" s="32"/>
      <c r="GKC86" s="32"/>
      <c r="GKD86" s="32"/>
      <c r="GKE86" s="32"/>
      <c r="GKF86" s="32"/>
      <c r="GKG86" s="32"/>
      <c r="GKH86" s="32"/>
      <c r="GKI86" s="32"/>
      <c r="GKJ86" s="32"/>
      <c r="GKK86" s="32"/>
      <c r="GKL86" s="32"/>
      <c r="GKM86" s="32"/>
      <c r="GKN86" s="32"/>
      <c r="GKO86" s="32"/>
      <c r="GKP86" s="32"/>
      <c r="GKQ86" s="32"/>
      <c r="GKR86" s="32"/>
      <c r="GKS86" s="32"/>
      <c r="GKT86" s="32"/>
      <c r="GKU86" s="32"/>
      <c r="GKV86" s="32"/>
      <c r="GKW86" s="32"/>
      <c r="GKX86" s="32"/>
      <c r="GKY86" s="32"/>
      <c r="GKZ86" s="32"/>
      <c r="GLA86" s="32"/>
      <c r="GLB86" s="32"/>
      <c r="GLC86" s="32"/>
      <c r="GLD86" s="32"/>
      <c r="GLE86" s="32"/>
      <c r="GLF86" s="32"/>
      <c r="GLG86" s="32"/>
      <c r="GLH86" s="32"/>
      <c r="GLI86" s="32"/>
      <c r="GLJ86" s="32"/>
      <c r="GLK86" s="32"/>
      <c r="GLL86" s="32"/>
      <c r="GLM86" s="32"/>
      <c r="GLN86" s="32"/>
      <c r="GLO86" s="32"/>
      <c r="GLP86" s="32"/>
      <c r="GLQ86" s="32"/>
      <c r="GLR86" s="32"/>
      <c r="GLS86" s="32"/>
      <c r="GLT86" s="32"/>
      <c r="GLU86" s="32"/>
      <c r="GLV86" s="32"/>
      <c r="GLW86" s="32"/>
      <c r="GLX86" s="32"/>
      <c r="GLY86" s="32"/>
      <c r="GLZ86" s="32"/>
      <c r="GMA86" s="32"/>
      <c r="GMB86" s="32"/>
      <c r="GMC86" s="32"/>
      <c r="GMD86" s="32"/>
      <c r="GME86" s="32"/>
      <c r="GMF86" s="32"/>
      <c r="GMG86" s="32"/>
      <c r="GMH86" s="32"/>
      <c r="GMI86" s="32"/>
      <c r="GMJ86" s="32"/>
      <c r="GMK86" s="32"/>
      <c r="GML86" s="32"/>
      <c r="GMM86" s="32"/>
      <c r="GMN86" s="32"/>
      <c r="GMO86" s="32"/>
      <c r="GMP86" s="32"/>
      <c r="GMQ86" s="32"/>
      <c r="GMR86" s="32"/>
      <c r="GMS86" s="32"/>
      <c r="GMT86" s="32"/>
      <c r="GMU86" s="32"/>
      <c r="GMV86" s="32"/>
      <c r="GMW86" s="32"/>
      <c r="GMX86" s="32"/>
      <c r="GMY86" s="32"/>
      <c r="GMZ86" s="32"/>
      <c r="GNA86" s="32"/>
      <c r="GNB86" s="32"/>
      <c r="GNC86" s="32"/>
      <c r="GND86" s="32"/>
      <c r="GNE86" s="32"/>
      <c r="GNF86" s="32"/>
      <c r="GNG86" s="32"/>
      <c r="GNH86" s="32"/>
      <c r="GNI86" s="32"/>
      <c r="GNJ86" s="32"/>
      <c r="GNK86" s="32"/>
      <c r="GNL86" s="32"/>
      <c r="GNM86" s="32"/>
      <c r="GNN86" s="32"/>
      <c r="GNO86" s="32"/>
      <c r="GNP86" s="32"/>
      <c r="GNQ86" s="32"/>
      <c r="GNR86" s="32"/>
      <c r="GNS86" s="32"/>
      <c r="GNT86" s="32"/>
      <c r="GNU86" s="32"/>
      <c r="GNV86" s="32"/>
      <c r="GNW86" s="32"/>
      <c r="GNX86" s="32"/>
      <c r="GNY86" s="32"/>
      <c r="GNZ86" s="32"/>
      <c r="GOA86" s="32"/>
      <c r="GOB86" s="32"/>
      <c r="GOC86" s="32"/>
      <c r="GOD86" s="32"/>
      <c r="GOE86" s="32"/>
      <c r="GOF86" s="32"/>
      <c r="GOG86" s="32"/>
      <c r="GOH86" s="32"/>
      <c r="GOI86" s="32"/>
      <c r="GOJ86" s="32"/>
      <c r="GOK86" s="32"/>
      <c r="GOL86" s="32"/>
      <c r="GOM86" s="32"/>
      <c r="GON86" s="32"/>
      <c r="GOO86" s="32"/>
      <c r="GOP86" s="32"/>
      <c r="GOQ86" s="32"/>
      <c r="GOR86" s="32"/>
      <c r="GOS86" s="32"/>
      <c r="GOT86" s="32"/>
      <c r="GOU86" s="32"/>
      <c r="GOV86" s="32"/>
      <c r="GOW86" s="32"/>
      <c r="GOX86" s="32"/>
      <c r="GOY86" s="32"/>
      <c r="GOZ86" s="32"/>
      <c r="GPA86" s="32"/>
      <c r="GPB86" s="32"/>
      <c r="GPC86" s="32"/>
      <c r="GPD86" s="32"/>
      <c r="GPE86" s="32"/>
      <c r="GPF86" s="32"/>
      <c r="GPG86" s="32"/>
      <c r="GPH86" s="32"/>
      <c r="GPI86" s="32"/>
      <c r="GPJ86" s="32"/>
      <c r="GPK86" s="32"/>
      <c r="GPL86" s="32"/>
      <c r="GPM86" s="32"/>
      <c r="GPN86" s="32"/>
      <c r="GPO86" s="32"/>
      <c r="GPP86" s="32"/>
      <c r="GPQ86" s="32"/>
      <c r="GPR86" s="32"/>
      <c r="GPS86" s="32"/>
      <c r="GPT86" s="32"/>
      <c r="GPU86" s="32"/>
      <c r="GPV86" s="32"/>
      <c r="GPW86" s="32"/>
      <c r="GPX86" s="32"/>
      <c r="GPY86" s="32"/>
      <c r="GPZ86" s="32"/>
      <c r="GQA86" s="32"/>
      <c r="GQB86" s="32"/>
      <c r="GQC86" s="32"/>
      <c r="GQD86" s="32"/>
      <c r="GQE86" s="32"/>
      <c r="GQF86" s="32"/>
      <c r="GQG86" s="32"/>
      <c r="GQH86" s="32"/>
      <c r="GQI86" s="32"/>
      <c r="GQJ86" s="32"/>
      <c r="GQK86" s="32"/>
      <c r="GQL86" s="32"/>
      <c r="GQM86" s="32"/>
      <c r="GQN86" s="32"/>
      <c r="GQO86" s="32"/>
      <c r="GQP86" s="32"/>
      <c r="GQQ86" s="32"/>
      <c r="GQR86" s="32"/>
      <c r="GQS86" s="32"/>
      <c r="GQT86" s="32"/>
      <c r="GQU86" s="32"/>
      <c r="GQV86" s="32"/>
      <c r="GQW86" s="32"/>
      <c r="GQX86" s="32"/>
      <c r="GQY86" s="32"/>
      <c r="GQZ86" s="32"/>
      <c r="GRA86" s="32"/>
      <c r="GRB86" s="32"/>
      <c r="GRC86" s="32"/>
      <c r="GRD86" s="32"/>
      <c r="GRE86" s="32"/>
      <c r="GRF86" s="32"/>
      <c r="GRG86" s="32"/>
      <c r="GRH86" s="32"/>
      <c r="GRI86" s="32"/>
      <c r="GRJ86" s="32"/>
      <c r="GRK86" s="32"/>
      <c r="GRL86" s="32"/>
      <c r="GRM86" s="32"/>
      <c r="GRN86" s="32"/>
      <c r="GRO86" s="32"/>
      <c r="GRP86" s="32"/>
      <c r="GRQ86" s="32"/>
      <c r="GRR86" s="32"/>
      <c r="GRS86" s="32"/>
      <c r="GRT86" s="32"/>
      <c r="GRU86" s="32"/>
      <c r="GRV86" s="32"/>
      <c r="GRW86" s="32"/>
      <c r="GRX86" s="32"/>
      <c r="GRY86" s="32"/>
      <c r="GRZ86" s="32"/>
      <c r="GSA86" s="32"/>
      <c r="GSB86" s="32"/>
      <c r="GSC86" s="32"/>
      <c r="GSD86" s="32"/>
      <c r="GSE86" s="32"/>
      <c r="GSF86" s="32"/>
      <c r="GSG86" s="32"/>
      <c r="GSH86" s="32"/>
      <c r="GSI86" s="32"/>
      <c r="GSJ86" s="32"/>
      <c r="GSK86" s="32"/>
      <c r="GSL86" s="32"/>
      <c r="GSM86" s="32"/>
      <c r="GSN86" s="32"/>
      <c r="GSO86" s="32"/>
      <c r="GSP86" s="32"/>
      <c r="GSQ86" s="32"/>
      <c r="GSR86" s="32"/>
      <c r="GSS86" s="32"/>
      <c r="GST86" s="32"/>
      <c r="GSU86" s="32"/>
      <c r="GSV86" s="32"/>
      <c r="GSW86" s="32"/>
      <c r="GSX86" s="32"/>
      <c r="GSY86" s="32"/>
      <c r="GSZ86" s="32"/>
      <c r="GTA86" s="32"/>
      <c r="GTB86" s="32"/>
      <c r="GTC86" s="32"/>
      <c r="GTD86" s="32"/>
      <c r="GTE86" s="32"/>
      <c r="GTF86" s="32"/>
      <c r="GTG86" s="32"/>
      <c r="GTH86" s="32"/>
      <c r="GTI86" s="32"/>
      <c r="GTJ86" s="32"/>
      <c r="GTK86" s="32"/>
      <c r="GTL86" s="32"/>
      <c r="GTM86" s="32"/>
      <c r="GTN86" s="32"/>
      <c r="GTO86" s="32"/>
      <c r="GTP86" s="32"/>
      <c r="GTQ86" s="32"/>
      <c r="GTR86" s="32"/>
      <c r="GTS86" s="32"/>
      <c r="GTT86" s="32"/>
      <c r="GTU86" s="32"/>
      <c r="GTV86" s="32"/>
      <c r="GTW86" s="32"/>
      <c r="GTX86" s="32"/>
      <c r="GTY86" s="32"/>
      <c r="GTZ86" s="32"/>
      <c r="GUA86" s="32"/>
      <c r="GUB86" s="32"/>
      <c r="GUC86" s="32"/>
      <c r="GUD86" s="32"/>
      <c r="GUE86" s="32"/>
      <c r="GUF86" s="32"/>
      <c r="GUG86" s="32"/>
      <c r="GUH86" s="32"/>
      <c r="GUI86" s="32"/>
      <c r="GUJ86" s="32"/>
      <c r="GUK86" s="32"/>
      <c r="GUL86" s="32"/>
      <c r="GUM86" s="32"/>
      <c r="GUN86" s="32"/>
      <c r="GUO86" s="32"/>
      <c r="GUP86" s="32"/>
      <c r="GUQ86" s="32"/>
      <c r="GUR86" s="32"/>
      <c r="GUS86" s="32"/>
      <c r="GUT86" s="32"/>
      <c r="GUU86" s="32"/>
      <c r="GUV86" s="32"/>
      <c r="GUW86" s="32"/>
      <c r="GUX86" s="32"/>
      <c r="GUY86" s="32"/>
      <c r="GUZ86" s="32"/>
      <c r="GVA86" s="32"/>
      <c r="GVB86" s="32"/>
      <c r="GVC86" s="32"/>
      <c r="GVD86" s="32"/>
      <c r="GVE86" s="32"/>
      <c r="GVF86" s="32"/>
      <c r="GVG86" s="32"/>
      <c r="GVH86" s="32"/>
      <c r="GVI86" s="32"/>
      <c r="GVJ86" s="32"/>
      <c r="GVK86" s="32"/>
      <c r="GVL86" s="32"/>
      <c r="GVM86" s="32"/>
      <c r="GVN86" s="32"/>
      <c r="GVO86" s="32"/>
      <c r="GVP86" s="32"/>
      <c r="GVQ86" s="32"/>
      <c r="GVR86" s="32"/>
      <c r="GVS86" s="32"/>
      <c r="GVT86" s="32"/>
      <c r="GVU86" s="32"/>
      <c r="GVV86" s="32"/>
      <c r="GVW86" s="32"/>
      <c r="GVX86" s="32"/>
      <c r="GVY86" s="32"/>
      <c r="GVZ86" s="32"/>
      <c r="GWA86" s="32"/>
      <c r="GWB86" s="32"/>
      <c r="GWC86" s="32"/>
      <c r="GWD86" s="32"/>
      <c r="GWE86" s="32"/>
      <c r="GWF86" s="32"/>
      <c r="GWG86" s="32"/>
      <c r="GWH86" s="32"/>
      <c r="GWI86" s="32"/>
      <c r="GWJ86" s="32"/>
      <c r="GWK86" s="32"/>
      <c r="GWL86" s="32"/>
      <c r="GWM86" s="32"/>
      <c r="GWN86" s="32"/>
      <c r="GWO86" s="32"/>
      <c r="GWP86" s="32"/>
      <c r="GWQ86" s="32"/>
      <c r="GWR86" s="32"/>
      <c r="GWS86" s="32"/>
      <c r="GWT86" s="32"/>
      <c r="GWU86" s="32"/>
      <c r="GWV86" s="32"/>
      <c r="GWW86" s="32"/>
      <c r="GWX86" s="32"/>
      <c r="GWY86" s="32"/>
      <c r="GWZ86" s="32"/>
      <c r="GXA86" s="32"/>
      <c r="GXB86" s="32"/>
      <c r="GXC86" s="32"/>
      <c r="GXD86" s="32"/>
      <c r="GXE86" s="32"/>
      <c r="GXF86" s="32"/>
      <c r="GXG86" s="32"/>
      <c r="GXH86" s="32"/>
      <c r="GXI86" s="32"/>
      <c r="GXJ86" s="32"/>
      <c r="GXK86" s="32"/>
      <c r="GXL86" s="32"/>
      <c r="GXM86" s="32"/>
      <c r="GXN86" s="32"/>
      <c r="GXO86" s="32"/>
      <c r="GXP86" s="32"/>
      <c r="GXQ86" s="32"/>
      <c r="GXR86" s="32"/>
      <c r="GXS86" s="32"/>
      <c r="GXT86" s="32"/>
      <c r="GXU86" s="32"/>
      <c r="GXV86" s="32"/>
      <c r="GXW86" s="32"/>
      <c r="GXX86" s="32"/>
      <c r="GXY86" s="32"/>
      <c r="GXZ86" s="32"/>
      <c r="GYA86" s="32"/>
      <c r="GYB86" s="32"/>
      <c r="GYC86" s="32"/>
      <c r="GYD86" s="32"/>
      <c r="GYE86" s="32"/>
      <c r="GYF86" s="32"/>
      <c r="GYG86" s="32"/>
      <c r="GYH86" s="32"/>
      <c r="GYI86" s="32"/>
      <c r="GYJ86" s="32"/>
      <c r="GYK86" s="32"/>
      <c r="GYL86" s="32"/>
      <c r="GYM86" s="32"/>
      <c r="GYN86" s="32"/>
      <c r="GYO86" s="32"/>
      <c r="GYP86" s="32"/>
      <c r="GYQ86" s="32"/>
      <c r="GYR86" s="32"/>
      <c r="GYS86" s="32"/>
      <c r="GYT86" s="32"/>
      <c r="GYU86" s="32"/>
      <c r="GYV86" s="32"/>
      <c r="GYW86" s="32"/>
      <c r="GYX86" s="32"/>
      <c r="GYY86" s="32"/>
      <c r="GYZ86" s="32"/>
      <c r="GZA86" s="32"/>
      <c r="GZB86" s="32"/>
      <c r="GZC86" s="32"/>
      <c r="GZD86" s="32"/>
      <c r="GZE86" s="32"/>
      <c r="GZF86" s="32"/>
      <c r="GZG86" s="32"/>
      <c r="GZH86" s="32"/>
      <c r="GZI86" s="32"/>
      <c r="GZJ86" s="32"/>
      <c r="GZK86" s="32"/>
      <c r="GZL86" s="32"/>
      <c r="GZM86" s="32"/>
      <c r="GZN86" s="32"/>
      <c r="GZO86" s="32"/>
      <c r="GZP86" s="32"/>
      <c r="GZQ86" s="32"/>
      <c r="GZR86" s="32"/>
      <c r="GZS86" s="32"/>
      <c r="GZT86" s="32"/>
      <c r="GZU86" s="32"/>
      <c r="GZV86" s="32"/>
      <c r="GZW86" s="32"/>
      <c r="GZX86" s="32"/>
      <c r="GZY86" s="32"/>
      <c r="GZZ86" s="32"/>
      <c r="HAA86" s="32"/>
      <c r="HAB86" s="32"/>
      <c r="HAC86" s="32"/>
      <c r="HAD86" s="32"/>
      <c r="HAE86" s="32"/>
      <c r="HAF86" s="32"/>
      <c r="HAG86" s="32"/>
      <c r="HAH86" s="32"/>
      <c r="HAI86" s="32"/>
      <c r="HAJ86" s="32"/>
      <c r="HAK86" s="32"/>
      <c r="HAL86" s="32"/>
      <c r="HAM86" s="32"/>
      <c r="HAN86" s="32"/>
      <c r="HAO86" s="32"/>
      <c r="HAP86" s="32"/>
      <c r="HAQ86" s="32"/>
      <c r="HAR86" s="32"/>
      <c r="HAS86" s="32"/>
      <c r="HAT86" s="32"/>
      <c r="HAU86" s="32"/>
      <c r="HAV86" s="32"/>
      <c r="HAW86" s="32"/>
      <c r="HAX86" s="32"/>
      <c r="HAY86" s="32"/>
      <c r="HAZ86" s="32"/>
      <c r="HBA86" s="32"/>
      <c r="HBB86" s="32"/>
      <c r="HBC86" s="32"/>
      <c r="HBD86" s="32"/>
      <c r="HBE86" s="32"/>
      <c r="HBF86" s="32"/>
      <c r="HBG86" s="32"/>
      <c r="HBH86" s="32"/>
      <c r="HBI86" s="32"/>
      <c r="HBJ86" s="32"/>
      <c r="HBK86" s="32"/>
      <c r="HBL86" s="32"/>
      <c r="HBM86" s="32"/>
      <c r="HBN86" s="32"/>
      <c r="HBO86" s="32"/>
      <c r="HBP86" s="32"/>
      <c r="HBQ86" s="32"/>
      <c r="HBR86" s="32"/>
      <c r="HBS86" s="32"/>
      <c r="HBT86" s="32"/>
      <c r="HBU86" s="32"/>
      <c r="HBV86" s="32"/>
      <c r="HBW86" s="32"/>
      <c r="HBX86" s="32"/>
      <c r="HBY86" s="32"/>
      <c r="HBZ86" s="32"/>
      <c r="HCA86" s="32"/>
      <c r="HCB86" s="32"/>
      <c r="HCC86" s="32"/>
      <c r="HCD86" s="32"/>
      <c r="HCE86" s="32"/>
      <c r="HCF86" s="32"/>
      <c r="HCG86" s="32"/>
      <c r="HCH86" s="32"/>
      <c r="HCI86" s="32"/>
      <c r="HCJ86" s="32"/>
      <c r="HCK86" s="32"/>
      <c r="HCL86" s="32"/>
      <c r="HCM86" s="32"/>
      <c r="HCN86" s="32"/>
      <c r="HCO86" s="32"/>
      <c r="HCP86" s="32"/>
      <c r="HCQ86" s="32"/>
      <c r="HCR86" s="32"/>
      <c r="HCS86" s="32"/>
      <c r="HCT86" s="32"/>
      <c r="HCU86" s="32"/>
      <c r="HCV86" s="32"/>
      <c r="HCW86" s="32"/>
      <c r="HCX86" s="32"/>
      <c r="HCY86" s="32"/>
      <c r="HCZ86" s="32"/>
      <c r="HDA86" s="32"/>
      <c r="HDB86" s="32"/>
      <c r="HDC86" s="32"/>
      <c r="HDD86" s="32"/>
      <c r="HDE86" s="32"/>
      <c r="HDF86" s="32"/>
      <c r="HDG86" s="32"/>
      <c r="HDH86" s="32"/>
      <c r="HDI86" s="32"/>
      <c r="HDJ86" s="32"/>
      <c r="HDK86" s="32"/>
      <c r="HDL86" s="32"/>
      <c r="HDM86" s="32"/>
      <c r="HDN86" s="32"/>
      <c r="HDO86" s="32"/>
      <c r="HDP86" s="32"/>
      <c r="HDQ86" s="32"/>
      <c r="HDR86" s="32"/>
      <c r="HDS86" s="32"/>
      <c r="HDT86" s="32"/>
      <c r="HDU86" s="32"/>
      <c r="HDV86" s="32"/>
      <c r="HDW86" s="32"/>
      <c r="HDX86" s="32"/>
      <c r="HDY86" s="32"/>
      <c r="HDZ86" s="32"/>
      <c r="HEA86" s="32"/>
      <c r="HEB86" s="32"/>
      <c r="HEC86" s="32"/>
      <c r="HED86" s="32"/>
      <c r="HEE86" s="32"/>
      <c r="HEF86" s="32"/>
      <c r="HEG86" s="32"/>
      <c r="HEH86" s="32"/>
      <c r="HEI86" s="32"/>
      <c r="HEJ86" s="32"/>
      <c r="HEK86" s="32"/>
      <c r="HEL86" s="32"/>
      <c r="HEM86" s="32"/>
      <c r="HEN86" s="32"/>
      <c r="HEO86" s="32"/>
      <c r="HEP86" s="32"/>
      <c r="HEQ86" s="32"/>
      <c r="HER86" s="32"/>
      <c r="HES86" s="32"/>
      <c r="HET86" s="32"/>
      <c r="HEU86" s="32"/>
      <c r="HEV86" s="32"/>
      <c r="HEW86" s="32"/>
      <c r="HEX86" s="32"/>
      <c r="HEY86" s="32"/>
      <c r="HEZ86" s="32"/>
      <c r="HFA86" s="32"/>
      <c r="HFB86" s="32"/>
      <c r="HFC86" s="32"/>
      <c r="HFD86" s="32"/>
      <c r="HFE86" s="32"/>
      <c r="HFF86" s="32"/>
      <c r="HFG86" s="32"/>
      <c r="HFH86" s="32"/>
      <c r="HFI86" s="32"/>
      <c r="HFJ86" s="32"/>
      <c r="HFK86" s="32"/>
      <c r="HFL86" s="32"/>
      <c r="HFM86" s="32"/>
      <c r="HFN86" s="32"/>
      <c r="HFO86" s="32"/>
      <c r="HFP86" s="32"/>
      <c r="HFQ86" s="32"/>
      <c r="HFR86" s="32"/>
      <c r="HFS86" s="32"/>
      <c r="HFT86" s="32"/>
      <c r="HFU86" s="32"/>
      <c r="HFV86" s="32"/>
      <c r="HFW86" s="32"/>
      <c r="HFX86" s="32"/>
      <c r="HFY86" s="32"/>
      <c r="HFZ86" s="32"/>
      <c r="HGA86" s="32"/>
      <c r="HGB86" s="32"/>
      <c r="HGC86" s="32"/>
      <c r="HGD86" s="32"/>
      <c r="HGE86" s="32"/>
      <c r="HGF86" s="32"/>
      <c r="HGG86" s="32"/>
      <c r="HGH86" s="32"/>
      <c r="HGI86" s="32"/>
      <c r="HGJ86" s="32"/>
      <c r="HGK86" s="32"/>
      <c r="HGL86" s="32"/>
      <c r="HGM86" s="32"/>
      <c r="HGN86" s="32"/>
      <c r="HGO86" s="32"/>
      <c r="HGP86" s="32"/>
      <c r="HGQ86" s="32"/>
      <c r="HGR86" s="32"/>
      <c r="HGS86" s="32"/>
      <c r="HGT86" s="32"/>
      <c r="HGU86" s="32"/>
      <c r="HGV86" s="32"/>
      <c r="HGW86" s="32"/>
      <c r="HGX86" s="32"/>
      <c r="HGY86" s="32"/>
      <c r="HGZ86" s="32"/>
      <c r="HHA86" s="32"/>
      <c r="HHB86" s="32"/>
      <c r="HHC86" s="32"/>
      <c r="HHD86" s="32"/>
      <c r="HHE86" s="32"/>
      <c r="HHF86" s="32"/>
      <c r="HHG86" s="32"/>
      <c r="HHH86" s="32"/>
      <c r="HHI86" s="32"/>
      <c r="HHJ86" s="32"/>
      <c r="HHK86" s="32"/>
      <c r="HHL86" s="32"/>
      <c r="HHM86" s="32"/>
      <c r="HHN86" s="32"/>
      <c r="HHO86" s="32"/>
      <c r="HHP86" s="32"/>
      <c r="HHQ86" s="32"/>
      <c r="HHR86" s="32"/>
      <c r="HHS86" s="32"/>
      <c r="HHT86" s="32"/>
      <c r="HHU86" s="32"/>
      <c r="HHV86" s="32"/>
      <c r="HHW86" s="32"/>
      <c r="HHX86" s="32"/>
      <c r="HHY86" s="32"/>
      <c r="HHZ86" s="32"/>
      <c r="HIA86" s="32"/>
      <c r="HIB86" s="32"/>
      <c r="HIC86" s="32"/>
      <c r="HID86" s="32"/>
      <c r="HIE86" s="32"/>
      <c r="HIF86" s="32"/>
      <c r="HIG86" s="32"/>
      <c r="HIH86" s="32"/>
      <c r="HII86" s="32"/>
      <c r="HIJ86" s="32"/>
      <c r="HIK86" s="32"/>
      <c r="HIL86" s="32"/>
      <c r="HIM86" s="32"/>
      <c r="HIN86" s="32"/>
      <c r="HIO86" s="32"/>
      <c r="HIP86" s="32"/>
      <c r="HIQ86" s="32"/>
      <c r="HIR86" s="32"/>
      <c r="HIS86" s="32"/>
      <c r="HIT86" s="32"/>
      <c r="HIU86" s="32"/>
      <c r="HIV86" s="32"/>
      <c r="HIW86" s="32"/>
      <c r="HIX86" s="32"/>
      <c r="HIY86" s="32"/>
      <c r="HIZ86" s="32"/>
      <c r="HJA86" s="32"/>
      <c r="HJB86" s="32"/>
      <c r="HJC86" s="32"/>
      <c r="HJD86" s="32"/>
      <c r="HJE86" s="32"/>
      <c r="HJF86" s="32"/>
      <c r="HJG86" s="32"/>
      <c r="HJH86" s="32"/>
      <c r="HJI86" s="32"/>
      <c r="HJJ86" s="32"/>
      <c r="HJK86" s="32"/>
      <c r="HJL86" s="32"/>
      <c r="HJM86" s="32"/>
      <c r="HJN86" s="32"/>
      <c r="HJO86" s="32"/>
      <c r="HJP86" s="32"/>
      <c r="HJQ86" s="32"/>
      <c r="HJR86" s="32"/>
      <c r="HJS86" s="32"/>
      <c r="HJT86" s="32"/>
      <c r="HJU86" s="32"/>
      <c r="HJV86" s="32"/>
      <c r="HJW86" s="32"/>
      <c r="HJX86" s="32"/>
      <c r="HJY86" s="32"/>
      <c r="HJZ86" s="32"/>
      <c r="HKA86" s="32"/>
      <c r="HKB86" s="32"/>
      <c r="HKC86" s="32"/>
      <c r="HKD86" s="32"/>
      <c r="HKE86" s="32"/>
      <c r="HKF86" s="32"/>
      <c r="HKG86" s="32"/>
      <c r="HKH86" s="32"/>
      <c r="HKI86" s="32"/>
      <c r="HKJ86" s="32"/>
      <c r="HKK86" s="32"/>
      <c r="HKL86" s="32"/>
      <c r="HKM86" s="32"/>
      <c r="HKN86" s="32"/>
      <c r="HKO86" s="32"/>
      <c r="HKP86" s="32"/>
      <c r="HKQ86" s="32"/>
      <c r="HKR86" s="32"/>
      <c r="HKS86" s="32"/>
      <c r="HKT86" s="32"/>
      <c r="HKU86" s="32"/>
      <c r="HKV86" s="32"/>
      <c r="HKW86" s="32"/>
      <c r="HKX86" s="32"/>
      <c r="HKY86" s="32"/>
      <c r="HKZ86" s="32"/>
      <c r="HLA86" s="32"/>
      <c r="HLB86" s="32"/>
      <c r="HLC86" s="32"/>
      <c r="HLD86" s="32"/>
      <c r="HLE86" s="32"/>
      <c r="HLF86" s="32"/>
      <c r="HLG86" s="32"/>
      <c r="HLH86" s="32"/>
      <c r="HLI86" s="32"/>
      <c r="HLJ86" s="32"/>
      <c r="HLK86" s="32"/>
      <c r="HLL86" s="32"/>
      <c r="HLM86" s="32"/>
      <c r="HLN86" s="32"/>
      <c r="HLO86" s="32"/>
      <c r="HLP86" s="32"/>
      <c r="HLQ86" s="32"/>
      <c r="HLR86" s="32"/>
      <c r="HLS86" s="32"/>
      <c r="HLT86" s="32"/>
      <c r="HLU86" s="32"/>
      <c r="HLV86" s="32"/>
      <c r="HLW86" s="32"/>
      <c r="HLX86" s="32"/>
      <c r="HLY86" s="32"/>
      <c r="HLZ86" s="32"/>
      <c r="HMA86" s="32"/>
      <c r="HMB86" s="32"/>
      <c r="HMC86" s="32"/>
      <c r="HMD86" s="32"/>
      <c r="HME86" s="32"/>
      <c r="HMF86" s="32"/>
      <c r="HMG86" s="32"/>
      <c r="HMH86" s="32"/>
      <c r="HMI86" s="32"/>
      <c r="HMJ86" s="32"/>
      <c r="HMK86" s="32"/>
      <c r="HML86" s="32"/>
      <c r="HMM86" s="32"/>
      <c r="HMN86" s="32"/>
      <c r="HMO86" s="32"/>
      <c r="HMP86" s="32"/>
      <c r="HMQ86" s="32"/>
      <c r="HMR86" s="32"/>
      <c r="HMS86" s="32"/>
      <c r="HMT86" s="32"/>
      <c r="HMU86" s="32"/>
      <c r="HMV86" s="32"/>
      <c r="HMW86" s="32"/>
      <c r="HMX86" s="32"/>
      <c r="HMY86" s="32"/>
      <c r="HMZ86" s="32"/>
      <c r="HNA86" s="32"/>
      <c r="HNB86" s="32"/>
      <c r="HNC86" s="32"/>
      <c r="HND86" s="32"/>
      <c r="HNE86" s="32"/>
      <c r="HNF86" s="32"/>
      <c r="HNG86" s="32"/>
      <c r="HNH86" s="32"/>
      <c r="HNI86" s="32"/>
      <c r="HNJ86" s="32"/>
      <c r="HNK86" s="32"/>
      <c r="HNL86" s="32"/>
      <c r="HNM86" s="32"/>
      <c r="HNN86" s="32"/>
      <c r="HNO86" s="32"/>
      <c r="HNP86" s="32"/>
      <c r="HNQ86" s="32"/>
      <c r="HNR86" s="32"/>
      <c r="HNS86" s="32"/>
      <c r="HNT86" s="32"/>
      <c r="HNU86" s="32"/>
      <c r="HNV86" s="32"/>
      <c r="HNW86" s="32"/>
      <c r="HNX86" s="32"/>
      <c r="HNY86" s="32"/>
      <c r="HNZ86" s="32"/>
      <c r="HOA86" s="32"/>
      <c r="HOB86" s="32"/>
      <c r="HOC86" s="32"/>
      <c r="HOD86" s="32"/>
      <c r="HOE86" s="32"/>
      <c r="HOF86" s="32"/>
      <c r="HOG86" s="32"/>
      <c r="HOH86" s="32"/>
      <c r="HOI86" s="32"/>
      <c r="HOJ86" s="32"/>
      <c r="HOK86" s="32"/>
      <c r="HOL86" s="32"/>
      <c r="HOM86" s="32"/>
      <c r="HON86" s="32"/>
      <c r="HOO86" s="32"/>
      <c r="HOP86" s="32"/>
      <c r="HOQ86" s="32"/>
      <c r="HOR86" s="32"/>
      <c r="HOS86" s="32"/>
      <c r="HOT86" s="32"/>
      <c r="HOU86" s="32"/>
      <c r="HOV86" s="32"/>
      <c r="HOW86" s="32"/>
      <c r="HOX86" s="32"/>
      <c r="HOY86" s="32"/>
      <c r="HOZ86" s="32"/>
      <c r="HPA86" s="32"/>
      <c r="HPB86" s="32"/>
      <c r="HPC86" s="32"/>
      <c r="HPD86" s="32"/>
      <c r="HPE86" s="32"/>
      <c r="HPF86" s="32"/>
      <c r="HPG86" s="32"/>
      <c r="HPH86" s="32"/>
      <c r="HPI86" s="32"/>
      <c r="HPJ86" s="32"/>
      <c r="HPK86" s="32"/>
      <c r="HPL86" s="32"/>
      <c r="HPM86" s="32"/>
      <c r="HPN86" s="32"/>
      <c r="HPO86" s="32"/>
      <c r="HPP86" s="32"/>
      <c r="HPQ86" s="32"/>
      <c r="HPR86" s="32"/>
      <c r="HPS86" s="32"/>
      <c r="HPT86" s="32"/>
      <c r="HPU86" s="32"/>
      <c r="HPV86" s="32"/>
      <c r="HPW86" s="32"/>
      <c r="HPX86" s="32"/>
      <c r="HPY86" s="32"/>
      <c r="HPZ86" s="32"/>
      <c r="HQA86" s="32"/>
      <c r="HQB86" s="32"/>
      <c r="HQC86" s="32"/>
      <c r="HQD86" s="32"/>
      <c r="HQE86" s="32"/>
      <c r="HQF86" s="32"/>
      <c r="HQG86" s="32"/>
      <c r="HQH86" s="32"/>
      <c r="HQI86" s="32"/>
      <c r="HQJ86" s="32"/>
      <c r="HQK86" s="32"/>
      <c r="HQL86" s="32"/>
      <c r="HQM86" s="32"/>
      <c r="HQN86" s="32"/>
      <c r="HQO86" s="32"/>
      <c r="HQP86" s="32"/>
      <c r="HQQ86" s="32"/>
      <c r="HQR86" s="32"/>
      <c r="HQS86" s="32"/>
      <c r="HQT86" s="32"/>
      <c r="HQU86" s="32"/>
      <c r="HQV86" s="32"/>
      <c r="HQW86" s="32"/>
      <c r="HQX86" s="32"/>
      <c r="HQY86" s="32"/>
      <c r="HQZ86" s="32"/>
      <c r="HRA86" s="32"/>
      <c r="HRB86" s="32"/>
      <c r="HRC86" s="32"/>
      <c r="HRD86" s="32"/>
      <c r="HRE86" s="32"/>
      <c r="HRF86" s="32"/>
      <c r="HRG86" s="32"/>
      <c r="HRH86" s="32"/>
      <c r="HRI86" s="32"/>
      <c r="HRJ86" s="32"/>
      <c r="HRK86" s="32"/>
      <c r="HRL86" s="32"/>
      <c r="HRM86" s="32"/>
      <c r="HRN86" s="32"/>
      <c r="HRO86" s="32"/>
      <c r="HRP86" s="32"/>
      <c r="HRQ86" s="32"/>
      <c r="HRR86" s="32"/>
      <c r="HRS86" s="32"/>
      <c r="HRT86" s="32"/>
      <c r="HRU86" s="32"/>
      <c r="HRV86" s="32"/>
      <c r="HRW86" s="32"/>
      <c r="HRX86" s="32"/>
      <c r="HRY86" s="32"/>
      <c r="HRZ86" s="32"/>
      <c r="HSA86" s="32"/>
      <c r="HSB86" s="32"/>
      <c r="HSC86" s="32"/>
      <c r="HSD86" s="32"/>
      <c r="HSE86" s="32"/>
      <c r="HSF86" s="32"/>
      <c r="HSG86" s="32"/>
      <c r="HSH86" s="32"/>
      <c r="HSI86" s="32"/>
      <c r="HSJ86" s="32"/>
      <c r="HSK86" s="32"/>
      <c r="HSL86" s="32"/>
      <c r="HSM86" s="32"/>
      <c r="HSN86" s="32"/>
      <c r="HSO86" s="32"/>
      <c r="HSP86" s="32"/>
      <c r="HSQ86" s="32"/>
      <c r="HSR86" s="32"/>
      <c r="HSS86" s="32"/>
      <c r="HST86" s="32"/>
      <c r="HSU86" s="32"/>
      <c r="HSV86" s="32"/>
      <c r="HSW86" s="32"/>
      <c r="HSX86" s="32"/>
      <c r="HSY86" s="32"/>
      <c r="HSZ86" s="32"/>
      <c r="HTA86" s="32"/>
      <c r="HTB86" s="32"/>
      <c r="HTC86" s="32"/>
      <c r="HTD86" s="32"/>
      <c r="HTE86" s="32"/>
      <c r="HTF86" s="32"/>
      <c r="HTG86" s="32"/>
      <c r="HTH86" s="32"/>
      <c r="HTI86" s="32"/>
      <c r="HTJ86" s="32"/>
      <c r="HTK86" s="32"/>
      <c r="HTL86" s="32"/>
      <c r="HTM86" s="32"/>
      <c r="HTN86" s="32"/>
      <c r="HTO86" s="32"/>
      <c r="HTP86" s="32"/>
      <c r="HTQ86" s="32"/>
      <c r="HTR86" s="32"/>
      <c r="HTS86" s="32"/>
      <c r="HTT86" s="32"/>
      <c r="HTU86" s="32"/>
      <c r="HTV86" s="32"/>
      <c r="HTW86" s="32"/>
      <c r="HTX86" s="32"/>
      <c r="HTY86" s="32"/>
      <c r="HTZ86" s="32"/>
      <c r="HUA86" s="32"/>
      <c r="HUB86" s="32"/>
      <c r="HUC86" s="32"/>
      <c r="HUD86" s="32"/>
      <c r="HUE86" s="32"/>
      <c r="HUF86" s="32"/>
      <c r="HUG86" s="32"/>
      <c r="HUH86" s="32"/>
      <c r="HUI86" s="32"/>
      <c r="HUJ86" s="32"/>
      <c r="HUK86" s="32"/>
      <c r="HUL86" s="32"/>
      <c r="HUM86" s="32"/>
      <c r="HUN86" s="32"/>
      <c r="HUO86" s="32"/>
      <c r="HUP86" s="32"/>
      <c r="HUQ86" s="32"/>
      <c r="HUR86" s="32"/>
      <c r="HUS86" s="32"/>
      <c r="HUT86" s="32"/>
      <c r="HUU86" s="32"/>
      <c r="HUV86" s="32"/>
      <c r="HUW86" s="32"/>
      <c r="HUX86" s="32"/>
      <c r="HUY86" s="32"/>
      <c r="HUZ86" s="32"/>
      <c r="HVA86" s="32"/>
      <c r="HVB86" s="32"/>
      <c r="HVC86" s="32"/>
      <c r="HVD86" s="32"/>
      <c r="HVE86" s="32"/>
      <c r="HVF86" s="32"/>
      <c r="HVG86" s="32"/>
      <c r="HVH86" s="32"/>
      <c r="HVI86" s="32"/>
      <c r="HVJ86" s="32"/>
      <c r="HVK86" s="32"/>
      <c r="HVL86" s="32"/>
      <c r="HVM86" s="32"/>
      <c r="HVN86" s="32"/>
      <c r="HVO86" s="32"/>
      <c r="HVP86" s="32"/>
      <c r="HVQ86" s="32"/>
      <c r="HVR86" s="32"/>
      <c r="HVS86" s="32"/>
      <c r="HVT86" s="32"/>
      <c r="HVU86" s="32"/>
      <c r="HVV86" s="32"/>
      <c r="HVW86" s="32"/>
      <c r="HVX86" s="32"/>
      <c r="HVY86" s="32"/>
      <c r="HVZ86" s="32"/>
      <c r="HWA86" s="32"/>
      <c r="HWB86" s="32"/>
      <c r="HWC86" s="32"/>
      <c r="HWD86" s="32"/>
      <c r="HWE86" s="32"/>
      <c r="HWF86" s="32"/>
      <c r="HWG86" s="32"/>
      <c r="HWH86" s="32"/>
      <c r="HWI86" s="32"/>
      <c r="HWJ86" s="32"/>
      <c r="HWK86" s="32"/>
      <c r="HWL86" s="32"/>
      <c r="HWM86" s="32"/>
      <c r="HWN86" s="32"/>
      <c r="HWO86" s="32"/>
      <c r="HWP86" s="32"/>
      <c r="HWQ86" s="32"/>
      <c r="HWR86" s="32"/>
      <c r="HWS86" s="32"/>
      <c r="HWT86" s="32"/>
      <c r="HWU86" s="32"/>
      <c r="HWV86" s="32"/>
      <c r="HWW86" s="32"/>
      <c r="HWX86" s="32"/>
      <c r="HWY86" s="32"/>
      <c r="HWZ86" s="32"/>
      <c r="HXA86" s="32"/>
      <c r="HXB86" s="32"/>
      <c r="HXC86" s="32"/>
      <c r="HXD86" s="32"/>
      <c r="HXE86" s="32"/>
      <c r="HXF86" s="32"/>
      <c r="HXG86" s="32"/>
      <c r="HXH86" s="32"/>
      <c r="HXI86" s="32"/>
      <c r="HXJ86" s="32"/>
      <c r="HXK86" s="32"/>
      <c r="HXL86" s="32"/>
      <c r="HXM86" s="32"/>
      <c r="HXN86" s="32"/>
      <c r="HXO86" s="32"/>
      <c r="HXP86" s="32"/>
      <c r="HXQ86" s="32"/>
      <c r="HXR86" s="32"/>
      <c r="HXS86" s="32"/>
      <c r="HXT86" s="32"/>
      <c r="HXU86" s="32"/>
      <c r="HXV86" s="32"/>
      <c r="HXW86" s="32"/>
      <c r="HXX86" s="32"/>
      <c r="HXY86" s="32"/>
      <c r="HXZ86" s="32"/>
      <c r="HYA86" s="32"/>
      <c r="HYB86" s="32"/>
      <c r="HYC86" s="32"/>
      <c r="HYD86" s="32"/>
      <c r="HYE86" s="32"/>
      <c r="HYF86" s="32"/>
      <c r="HYG86" s="32"/>
      <c r="HYH86" s="32"/>
      <c r="HYI86" s="32"/>
      <c r="HYJ86" s="32"/>
      <c r="HYK86" s="32"/>
      <c r="HYL86" s="32"/>
      <c r="HYM86" s="32"/>
      <c r="HYN86" s="32"/>
      <c r="HYO86" s="32"/>
      <c r="HYP86" s="32"/>
      <c r="HYQ86" s="32"/>
      <c r="HYR86" s="32"/>
      <c r="HYS86" s="32"/>
      <c r="HYT86" s="32"/>
      <c r="HYU86" s="32"/>
      <c r="HYV86" s="32"/>
      <c r="HYW86" s="32"/>
      <c r="HYX86" s="32"/>
      <c r="HYY86" s="32"/>
      <c r="HYZ86" s="32"/>
      <c r="HZA86" s="32"/>
      <c r="HZB86" s="32"/>
      <c r="HZC86" s="32"/>
      <c r="HZD86" s="32"/>
      <c r="HZE86" s="32"/>
      <c r="HZF86" s="32"/>
      <c r="HZG86" s="32"/>
      <c r="HZH86" s="32"/>
      <c r="HZI86" s="32"/>
      <c r="HZJ86" s="32"/>
      <c r="HZK86" s="32"/>
      <c r="HZL86" s="32"/>
      <c r="HZM86" s="32"/>
      <c r="HZN86" s="32"/>
      <c r="HZO86" s="32"/>
      <c r="HZP86" s="32"/>
      <c r="HZQ86" s="32"/>
      <c r="HZR86" s="32"/>
      <c r="HZS86" s="32"/>
      <c r="HZT86" s="32"/>
      <c r="HZU86" s="32"/>
      <c r="HZV86" s="32"/>
      <c r="HZW86" s="32"/>
      <c r="HZX86" s="32"/>
      <c r="HZY86" s="32"/>
      <c r="HZZ86" s="32"/>
      <c r="IAA86" s="32"/>
      <c r="IAB86" s="32"/>
      <c r="IAC86" s="32"/>
      <c r="IAD86" s="32"/>
      <c r="IAE86" s="32"/>
      <c r="IAF86" s="32"/>
      <c r="IAG86" s="32"/>
      <c r="IAH86" s="32"/>
      <c r="IAI86" s="32"/>
      <c r="IAJ86" s="32"/>
      <c r="IAK86" s="32"/>
      <c r="IAL86" s="32"/>
      <c r="IAM86" s="32"/>
      <c r="IAN86" s="32"/>
      <c r="IAO86" s="32"/>
      <c r="IAP86" s="32"/>
      <c r="IAQ86" s="32"/>
      <c r="IAR86" s="32"/>
      <c r="IAS86" s="32"/>
      <c r="IAT86" s="32"/>
      <c r="IAU86" s="32"/>
      <c r="IAV86" s="32"/>
      <c r="IAW86" s="32"/>
      <c r="IAX86" s="32"/>
      <c r="IAY86" s="32"/>
      <c r="IAZ86" s="32"/>
      <c r="IBA86" s="32"/>
      <c r="IBB86" s="32"/>
      <c r="IBC86" s="32"/>
      <c r="IBD86" s="32"/>
      <c r="IBE86" s="32"/>
      <c r="IBF86" s="32"/>
      <c r="IBG86" s="32"/>
      <c r="IBH86" s="32"/>
      <c r="IBI86" s="32"/>
      <c r="IBJ86" s="32"/>
      <c r="IBK86" s="32"/>
      <c r="IBL86" s="32"/>
      <c r="IBM86" s="32"/>
      <c r="IBN86" s="32"/>
      <c r="IBO86" s="32"/>
      <c r="IBP86" s="32"/>
      <c r="IBQ86" s="32"/>
      <c r="IBR86" s="32"/>
      <c r="IBS86" s="32"/>
      <c r="IBT86" s="32"/>
      <c r="IBU86" s="32"/>
      <c r="IBV86" s="32"/>
      <c r="IBW86" s="32"/>
      <c r="IBX86" s="32"/>
      <c r="IBY86" s="32"/>
      <c r="IBZ86" s="32"/>
      <c r="ICA86" s="32"/>
      <c r="ICB86" s="32"/>
      <c r="ICC86" s="32"/>
      <c r="ICD86" s="32"/>
      <c r="ICE86" s="32"/>
      <c r="ICF86" s="32"/>
      <c r="ICG86" s="32"/>
      <c r="ICH86" s="32"/>
      <c r="ICI86" s="32"/>
      <c r="ICJ86" s="32"/>
      <c r="ICK86" s="32"/>
      <c r="ICL86" s="32"/>
      <c r="ICM86" s="32"/>
      <c r="ICN86" s="32"/>
      <c r="ICO86" s="32"/>
      <c r="ICP86" s="32"/>
      <c r="ICQ86" s="32"/>
      <c r="ICR86" s="32"/>
      <c r="ICS86" s="32"/>
      <c r="ICT86" s="32"/>
      <c r="ICU86" s="32"/>
      <c r="ICV86" s="32"/>
      <c r="ICW86" s="32"/>
      <c r="ICX86" s="32"/>
      <c r="ICY86" s="32"/>
      <c r="ICZ86" s="32"/>
      <c r="IDA86" s="32"/>
      <c r="IDB86" s="32"/>
      <c r="IDC86" s="32"/>
      <c r="IDD86" s="32"/>
      <c r="IDE86" s="32"/>
      <c r="IDF86" s="32"/>
      <c r="IDG86" s="32"/>
      <c r="IDH86" s="32"/>
      <c r="IDI86" s="32"/>
      <c r="IDJ86" s="32"/>
      <c r="IDK86" s="32"/>
      <c r="IDL86" s="32"/>
      <c r="IDM86" s="32"/>
      <c r="IDN86" s="32"/>
      <c r="IDO86" s="32"/>
      <c r="IDP86" s="32"/>
      <c r="IDQ86" s="32"/>
      <c r="IDR86" s="32"/>
      <c r="IDS86" s="32"/>
      <c r="IDT86" s="32"/>
      <c r="IDU86" s="32"/>
      <c r="IDV86" s="32"/>
      <c r="IDW86" s="32"/>
      <c r="IDX86" s="32"/>
      <c r="IDY86" s="32"/>
      <c r="IDZ86" s="32"/>
      <c r="IEA86" s="32"/>
      <c r="IEB86" s="32"/>
      <c r="IEC86" s="32"/>
      <c r="IED86" s="32"/>
      <c r="IEE86" s="32"/>
      <c r="IEF86" s="32"/>
      <c r="IEG86" s="32"/>
      <c r="IEH86" s="32"/>
      <c r="IEI86" s="32"/>
      <c r="IEJ86" s="32"/>
      <c r="IEK86" s="32"/>
      <c r="IEL86" s="32"/>
      <c r="IEM86" s="32"/>
      <c r="IEN86" s="32"/>
      <c r="IEO86" s="32"/>
      <c r="IEP86" s="32"/>
      <c r="IEQ86" s="32"/>
      <c r="IER86" s="32"/>
      <c r="IES86" s="32"/>
      <c r="IET86" s="32"/>
      <c r="IEU86" s="32"/>
      <c r="IEV86" s="32"/>
      <c r="IEW86" s="32"/>
      <c r="IEX86" s="32"/>
      <c r="IEY86" s="32"/>
      <c r="IEZ86" s="32"/>
      <c r="IFA86" s="32"/>
      <c r="IFB86" s="32"/>
      <c r="IFC86" s="32"/>
      <c r="IFD86" s="32"/>
      <c r="IFE86" s="32"/>
      <c r="IFF86" s="32"/>
      <c r="IFG86" s="32"/>
      <c r="IFH86" s="32"/>
      <c r="IFI86" s="32"/>
      <c r="IFJ86" s="32"/>
      <c r="IFK86" s="32"/>
      <c r="IFL86" s="32"/>
      <c r="IFM86" s="32"/>
      <c r="IFN86" s="32"/>
      <c r="IFO86" s="32"/>
      <c r="IFP86" s="32"/>
      <c r="IFQ86" s="32"/>
      <c r="IFR86" s="32"/>
      <c r="IFS86" s="32"/>
      <c r="IFT86" s="32"/>
      <c r="IFU86" s="32"/>
      <c r="IFV86" s="32"/>
      <c r="IFW86" s="32"/>
      <c r="IFX86" s="32"/>
      <c r="IFY86" s="32"/>
      <c r="IFZ86" s="32"/>
      <c r="IGA86" s="32"/>
      <c r="IGB86" s="32"/>
      <c r="IGC86" s="32"/>
      <c r="IGD86" s="32"/>
      <c r="IGE86" s="32"/>
      <c r="IGF86" s="32"/>
      <c r="IGG86" s="32"/>
      <c r="IGH86" s="32"/>
      <c r="IGI86" s="32"/>
      <c r="IGJ86" s="32"/>
      <c r="IGK86" s="32"/>
      <c r="IGL86" s="32"/>
      <c r="IGM86" s="32"/>
      <c r="IGN86" s="32"/>
      <c r="IGO86" s="32"/>
      <c r="IGP86" s="32"/>
      <c r="IGQ86" s="32"/>
      <c r="IGR86" s="32"/>
      <c r="IGS86" s="32"/>
      <c r="IGT86" s="32"/>
      <c r="IGU86" s="32"/>
      <c r="IGV86" s="32"/>
      <c r="IGW86" s="32"/>
      <c r="IGX86" s="32"/>
      <c r="IGY86" s="32"/>
      <c r="IGZ86" s="32"/>
      <c r="IHA86" s="32"/>
      <c r="IHB86" s="32"/>
      <c r="IHC86" s="32"/>
      <c r="IHD86" s="32"/>
      <c r="IHE86" s="32"/>
      <c r="IHF86" s="32"/>
      <c r="IHG86" s="32"/>
      <c r="IHH86" s="32"/>
      <c r="IHI86" s="32"/>
      <c r="IHJ86" s="32"/>
      <c r="IHK86" s="32"/>
      <c r="IHL86" s="32"/>
      <c r="IHM86" s="32"/>
      <c r="IHN86" s="32"/>
      <c r="IHO86" s="32"/>
      <c r="IHP86" s="32"/>
      <c r="IHQ86" s="32"/>
      <c r="IHR86" s="32"/>
      <c r="IHS86" s="32"/>
      <c r="IHT86" s="32"/>
      <c r="IHU86" s="32"/>
      <c r="IHV86" s="32"/>
      <c r="IHW86" s="32"/>
      <c r="IHX86" s="32"/>
      <c r="IHY86" s="32"/>
      <c r="IHZ86" s="32"/>
      <c r="IIA86" s="32"/>
      <c r="IIB86" s="32"/>
      <c r="IIC86" s="32"/>
      <c r="IID86" s="32"/>
      <c r="IIE86" s="32"/>
      <c r="IIF86" s="32"/>
      <c r="IIG86" s="32"/>
      <c r="IIH86" s="32"/>
      <c r="III86" s="32"/>
      <c r="IIJ86" s="32"/>
      <c r="IIK86" s="32"/>
      <c r="IIL86" s="32"/>
      <c r="IIM86" s="32"/>
      <c r="IIN86" s="32"/>
      <c r="IIO86" s="32"/>
      <c r="IIP86" s="32"/>
      <c r="IIQ86" s="32"/>
      <c r="IIR86" s="32"/>
      <c r="IIS86" s="32"/>
      <c r="IIT86" s="32"/>
      <c r="IIU86" s="32"/>
      <c r="IIV86" s="32"/>
      <c r="IIW86" s="32"/>
      <c r="IIX86" s="32"/>
      <c r="IIY86" s="32"/>
      <c r="IIZ86" s="32"/>
      <c r="IJA86" s="32"/>
      <c r="IJB86" s="32"/>
      <c r="IJC86" s="32"/>
      <c r="IJD86" s="32"/>
      <c r="IJE86" s="32"/>
      <c r="IJF86" s="32"/>
      <c r="IJG86" s="32"/>
      <c r="IJH86" s="32"/>
      <c r="IJI86" s="32"/>
      <c r="IJJ86" s="32"/>
      <c r="IJK86" s="32"/>
      <c r="IJL86" s="32"/>
      <c r="IJM86" s="32"/>
      <c r="IJN86" s="32"/>
      <c r="IJO86" s="32"/>
      <c r="IJP86" s="32"/>
      <c r="IJQ86" s="32"/>
      <c r="IJR86" s="32"/>
      <c r="IJS86" s="32"/>
      <c r="IJT86" s="32"/>
      <c r="IJU86" s="32"/>
      <c r="IJV86" s="32"/>
      <c r="IJW86" s="32"/>
      <c r="IJX86" s="32"/>
      <c r="IJY86" s="32"/>
      <c r="IJZ86" s="32"/>
      <c r="IKA86" s="32"/>
      <c r="IKB86" s="32"/>
      <c r="IKC86" s="32"/>
      <c r="IKD86" s="32"/>
      <c r="IKE86" s="32"/>
      <c r="IKF86" s="32"/>
      <c r="IKG86" s="32"/>
      <c r="IKH86" s="32"/>
      <c r="IKI86" s="32"/>
      <c r="IKJ86" s="32"/>
      <c r="IKK86" s="32"/>
      <c r="IKL86" s="32"/>
      <c r="IKM86" s="32"/>
      <c r="IKN86" s="32"/>
      <c r="IKO86" s="32"/>
      <c r="IKP86" s="32"/>
      <c r="IKQ86" s="32"/>
      <c r="IKR86" s="32"/>
      <c r="IKS86" s="32"/>
      <c r="IKT86" s="32"/>
      <c r="IKU86" s="32"/>
      <c r="IKV86" s="32"/>
      <c r="IKW86" s="32"/>
      <c r="IKX86" s="32"/>
      <c r="IKY86" s="32"/>
      <c r="IKZ86" s="32"/>
      <c r="ILA86" s="32"/>
      <c r="ILB86" s="32"/>
      <c r="ILC86" s="32"/>
      <c r="ILD86" s="32"/>
      <c r="ILE86" s="32"/>
      <c r="ILF86" s="32"/>
      <c r="ILG86" s="32"/>
      <c r="ILH86" s="32"/>
      <c r="ILI86" s="32"/>
      <c r="ILJ86" s="32"/>
      <c r="ILK86" s="32"/>
      <c r="ILL86" s="32"/>
      <c r="ILM86" s="32"/>
      <c r="ILN86" s="32"/>
      <c r="ILO86" s="32"/>
      <c r="ILP86" s="32"/>
      <c r="ILQ86" s="32"/>
      <c r="ILR86" s="32"/>
      <c r="ILS86" s="32"/>
      <c r="ILT86" s="32"/>
      <c r="ILU86" s="32"/>
      <c r="ILV86" s="32"/>
      <c r="ILW86" s="32"/>
      <c r="ILX86" s="32"/>
      <c r="ILY86" s="32"/>
      <c r="ILZ86" s="32"/>
      <c r="IMA86" s="32"/>
      <c r="IMB86" s="32"/>
      <c r="IMC86" s="32"/>
      <c r="IMD86" s="32"/>
      <c r="IME86" s="32"/>
      <c r="IMF86" s="32"/>
      <c r="IMG86" s="32"/>
      <c r="IMH86" s="32"/>
      <c r="IMI86" s="32"/>
      <c r="IMJ86" s="32"/>
      <c r="IMK86" s="32"/>
      <c r="IML86" s="32"/>
      <c r="IMM86" s="32"/>
      <c r="IMN86" s="32"/>
      <c r="IMO86" s="32"/>
      <c r="IMP86" s="32"/>
      <c r="IMQ86" s="32"/>
      <c r="IMR86" s="32"/>
      <c r="IMS86" s="32"/>
      <c r="IMT86" s="32"/>
      <c r="IMU86" s="32"/>
      <c r="IMV86" s="32"/>
      <c r="IMW86" s="32"/>
      <c r="IMX86" s="32"/>
      <c r="IMY86" s="32"/>
      <c r="IMZ86" s="32"/>
      <c r="INA86" s="32"/>
      <c r="INB86" s="32"/>
      <c r="INC86" s="32"/>
      <c r="IND86" s="32"/>
      <c r="INE86" s="32"/>
      <c r="INF86" s="32"/>
      <c r="ING86" s="32"/>
      <c r="INH86" s="32"/>
      <c r="INI86" s="32"/>
      <c r="INJ86" s="32"/>
      <c r="INK86" s="32"/>
      <c r="INL86" s="32"/>
      <c r="INM86" s="32"/>
      <c r="INN86" s="32"/>
      <c r="INO86" s="32"/>
      <c r="INP86" s="32"/>
      <c r="INQ86" s="32"/>
      <c r="INR86" s="32"/>
      <c r="INS86" s="32"/>
      <c r="INT86" s="32"/>
      <c r="INU86" s="32"/>
      <c r="INV86" s="32"/>
      <c r="INW86" s="32"/>
      <c r="INX86" s="32"/>
      <c r="INY86" s="32"/>
      <c r="INZ86" s="32"/>
      <c r="IOA86" s="32"/>
      <c r="IOB86" s="32"/>
      <c r="IOC86" s="32"/>
      <c r="IOD86" s="32"/>
      <c r="IOE86" s="32"/>
      <c r="IOF86" s="32"/>
      <c r="IOG86" s="32"/>
      <c r="IOH86" s="32"/>
      <c r="IOI86" s="32"/>
      <c r="IOJ86" s="32"/>
      <c r="IOK86" s="32"/>
      <c r="IOL86" s="32"/>
      <c r="IOM86" s="32"/>
      <c r="ION86" s="32"/>
      <c r="IOO86" s="32"/>
      <c r="IOP86" s="32"/>
      <c r="IOQ86" s="32"/>
      <c r="IOR86" s="32"/>
      <c r="IOS86" s="32"/>
      <c r="IOT86" s="32"/>
      <c r="IOU86" s="32"/>
      <c r="IOV86" s="32"/>
      <c r="IOW86" s="32"/>
      <c r="IOX86" s="32"/>
      <c r="IOY86" s="32"/>
      <c r="IOZ86" s="32"/>
      <c r="IPA86" s="32"/>
      <c r="IPB86" s="32"/>
      <c r="IPC86" s="32"/>
      <c r="IPD86" s="32"/>
      <c r="IPE86" s="32"/>
      <c r="IPF86" s="32"/>
      <c r="IPG86" s="32"/>
      <c r="IPH86" s="32"/>
      <c r="IPI86" s="32"/>
      <c r="IPJ86" s="32"/>
      <c r="IPK86" s="32"/>
      <c r="IPL86" s="32"/>
      <c r="IPM86" s="32"/>
      <c r="IPN86" s="32"/>
      <c r="IPO86" s="32"/>
      <c r="IPP86" s="32"/>
      <c r="IPQ86" s="32"/>
      <c r="IPR86" s="32"/>
      <c r="IPS86" s="32"/>
      <c r="IPT86" s="32"/>
      <c r="IPU86" s="32"/>
      <c r="IPV86" s="32"/>
      <c r="IPW86" s="32"/>
      <c r="IPX86" s="32"/>
      <c r="IPY86" s="32"/>
      <c r="IPZ86" s="32"/>
      <c r="IQA86" s="32"/>
      <c r="IQB86" s="32"/>
      <c r="IQC86" s="32"/>
      <c r="IQD86" s="32"/>
      <c r="IQE86" s="32"/>
      <c r="IQF86" s="32"/>
      <c r="IQG86" s="32"/>
      <c r="IQH86" s="32"/>
      <c r="IQI86" s="32"/>
      <c r="IQJ86" s="32"/>
      <c r="IQK86" s="32"/>
      <c r="IQL86" s="32"/>
      <c r="IQM86" s="32"/>
      <c r="IQN86" s="32"/>
      <c r="IQO86" s="32"/>
      <c r="IQP86" s="32"/>
      <c r="IQQ86" s="32"/>
      <c r="IQR86" s="32"/>
      <c r="IQS86" s="32"/>
      <c r="IQT86" s="32"/>
      <c r="IQU86" s="32"/>
      <c r="IQV86" s="32"/>
      <c r="IQW86" s="32"/>
      <c r="IQX86" s="32"/>
      <c r="IQY86" s="32"/>
      <c r="IQZ86" s="32"/>
      <c r="IRA86" s="32"/>
      <c r="IRB86" s="32"/>
      <c r="IRC86" s="32"/>
      <c r="IRD86" s="32"/>
      <c r="IRE86" s="32"/>
      <c r="IRF86" s="32"/>
      <c r="IRG86" s="32"/>
      <c r="IRH86" s="32"/>
      <c r="IRI86" s="32"/>
      <c r="IRJ86" s="32"/>
      <c r="IRK86" s="32"/>
      <c r="IRL86" s="32"/>
      <c r="IRM86" s="32"/>
      <c r="IRN86" s="32"/>
      <c r="IRO86" s="32"/>
      <c r="IRP86" s="32"/>
      <c r="IRQ86" s="32"/>
      <c r="IRR86" s="32"/>
      <c r="IRS86" s="32"/>
      <c r="IRT86" s="32"/>
      <c r="IRU86" s="32"/>
      <c r="IRV86" s="32"/>
      <c r="IRW86" s="32"/>
      <c r="IRX86" s="32"/>
      <c r="IRY86" s="32"/>
      <c r="IRZ86" s="32"/>
      <c r="ISA86" s="32"/>
      <c r="ISB86" s="32"/>
      <c r="ISC86" s="32"/>
      <c r="ISD86" s="32"/>
      <c r="ISE86" s="32"/>
      <c r="ISF86" s="32"/>
      <c r="ISG86" s="32"/>
      <c r="ISH86" s="32"/>
      <c r="ISI86" s="32"/>
      <c r="ISJ86" s="32"/>
      <c r="ISK86" s="32"/>
      <c r="ISL86" s="32"/>
      <c r="ISM86" s="32"/>
      <c r="ISN86" s="32"/>
      <c r="ISO86" s="32"/>
      <c r="ISP86" s="32"/>
      <c r="ISQ86" s="32"/>
      <c r="ISR86" s="32"/>
      <c r="ISS86" s="32"/>
      <c r="IST86" s="32"/>
      <c r="ISU86" s="32"/>
      <c r="ISV86" s="32"/>
      <c r="ISW86" s="32"/>
      <c r="ISX86" s="32"/>
      <c r="ISY86" s="32"/>
      <c r="ISZ86" s="32"/>
      <c r="ITA86" s="32"/>
      <c r="ITB86" s="32"/>
      <c r="ITC86" s="32"/>
      <c r="ITD86" s="32"/>
      <c r="ITE86" s="32"/>
      <c r="ITF86" s="32"/>
      <c r="ITG86" s="32"/>
      <c r="ITH86" s="32"/>
      <c r="ITI86" s="32"/>
      <c r="ITJ86" s="32"/>
      <c r="ITK86" s="32"/>
      <c r="ITL86" s="32"/>
      <c r="ITM86" s="32"/>
      <c r="ITN86" s="32"/>
      <c r="ITO86" s="32"/>
      <c r="ITP86" s="32"/>
      <c r="ITQ86" s="32"/>
      <c r="ITR86" s="32"/>
      <c r="ITS86" s="32"/>
      <c r="ITT86" s="32"/>
      <c r="ITU86" s="32"/>
      <c r="ITV86" s="32"/>
      <c r="ITW86" s="32"/>
      <c r="ITX86" s="32"/>
      <c r="ITY86" s="32"/>
      <c r="ITZ86" s="32"/>
      <c r="IUA86" s="32"/>
      <c r="IUB86" s="32"/>
      <c r="IUC86" s="32"/>
      <c r="IUD86" s="32"/>
      <c r="IUE86" s="32"/>
      <c r="IUF86" s="32"/>
      <c r="IUG86" s="32"/>
      <c r="IUH86" s="32"/>
      <c r="IUI86" s="32"/>
      <c r="IUJ86" s="32"/>
      <c r="IUK86" s="32"/>
      <c r="IUL86" s="32"/>
      <c r="IUM86" s="32"/>
      <c r="IUN86" s="32"/>
      <c r="IUO86" s="32"/>
      <c r="IUP86" s="32"/>
      <c r="IUQ86" s="32"/>
      <c r="IUR86" s="32"/>
      <c r="IUS86" s="32"/>
      <c r="IUT86" s="32"/>
      <c r="IUU86" s="32"/>
      <c r="IUV86" s="32"/>
      <c r="IUW86" s="32"/>
      <c r="IUX86" s="32"/>
      <c r="IUY86" s="32"/>
      <c r="IUZ86" s="32"/>
      <c r="IVA86" s="32"/>
      <c r="IVB86" s="32"/>
      <c r="IVC86" s="32"/>
      <c r="IVD86" s="32"/>
      <c r="IVE86" s="32"/>
      <c r="IVF86" s="32"/>
      <c r="IVG86" s="32"/>
      <c r="IVH86" s="32"/>
      <c r="IVI86" s="32"/>
      <c r="IVJ86" s="32"/>
      <c r="IVK86" s="32"/>
      <c r="IVL86" s="32"/>
      <c r="IVM86" s="32"/>
      <c r="IVN86" s="32"/>
      <c r="IVO86" s="32"/>
      <c r="IVP86" s="32"/>
      <c r="IVQ86" s="32"/>
      <c r="IVR86" s="32"/>
      <c r="IVS86" s="32"/>
      <c r="IVT86" s="32"/>
      <c r="IVU86" s="32"/>
      <c r="IVV86" s="32"/>
      <c r="IVW86" s="32"/>
      <c r="IVX86" s="32"/>
      <c r="IVY86" s="32"/>
      <c r="IVZ86" s="32"/>
      <c r="IWA86" s="32"/>
      <c r="IWB86" s="32"/>
      <c r="IWC86" s="32"/>
      <c r="IWD86" s="32"/>
      <c r="IWE86" s="32"/>
      <c r="IWF86" s="32"/>
      <c r="IWG86" s="32"/>
      <c r="IWH86" s="32"/>
      <c r="IWI86" s="32"/>
      <c r="IWJ86" s="32"/>
      <c r="IWK86" s="32"/>
      <c r="IWL86" s="32"/>
      <c r="IWM86" s="32"/>
      <c r="IWN86" s="32"/>
      <c r="IWO86" s="32"/>
      <c r="IWP86" s="32"/>
      <c r="IWQ86" s="32"/>
      <c r="IWR86" s="32"/>
      <c r="IWS86" s="32"/>
      <c r="IWT86" s="32"/>
      <c r="IWU86" s="32"/>
      <c r="IWV86" s="32"/>
      <c r="IWW86" s="32"/>
      <c r="IWX86" s="32"/>
      <c r="IWY86" s="32"/>
      <c r="IWZ86" s="32"/>
      <c r="IXA86" s="32"/>
      <c r="IXB86" s="32"/>
      <c r="IXC86" s="32"/>
      <c r="IXD86" s="32"/>
      <c r="IXE86" s="32"/>
      <c r="IXF86" s="32"/>
      <c r="IXG86" s="32"/>
      <c r="IXH86" s="32"/>
      <c r="IXI86" s="32"/>
      <c r="IXJ86" s="32"/>
      <c r="IXK86" s="32"/>
      <c r="IXL86" s="32"/>
      <c r="IXM86" s="32"/>
      <c r="IXN86" s="32"/>
      <c r="IXO86" s="32"/>
      <c r="IXP86" s="32"/>
      <c r="IXQ86" s="32"/>
      <c r="IXR86" s="32"/>
      <c r="IXS86" s="32"/>
      <c r="IXT86" s="32"/>
      <c r="IXU86" s="32"/>
      <c r="IXV86" s="32"/>
      <c r="IXW86" s="32"/>
      <c r="IXX86" s="32"/>
      <c r="IXY86" s="32"/>
      <c r="IXZ86" s="32"/>
      <c r="IYA86" s="32"/>
      <c r="IYB86" s="32"/>
      <c r="IYC86" s="32"/>
      <c r="IYD86" s="32"/>
      <c r="IYE86" s="32"/>
      <c r="IYF86" s="32"/>
      <c r="IYG86" s="32"/>
      <c r="IYH86" s="32"/>
      <c r="IYI86" s="32"/>
      <c r="IYJ86" s="32"/>
      <c r="IYK86" s="32"/>
      <c r="IYL86" s="32"/>
      <c r="IYM86" s="32"/>
      <c r="IYN86" s="32"/>
      <c r="IYO86" s="32"/>
      <c r="IYP86" s="32"/>
      <c r="IYQ86" s="32"/>
      <c r="IYR86" s="32"/>
      <c r="IYS86" s="32"/>
      <c r="IYT86" s="32"/>
      <c r="IYU86" s="32"/>
      <c r="IYV86" s="32"/>
      <c r="IYW86" s="32"/>
      <c r="IYX86" s="32"/>
      <c r="IYY86" s="32"/>
      <c r="IYZ86" s="32"/>
      <c r="IZA86" s="32"/>
      <c r="IZB86" s="32"/>
      <c r="IZC86" s="32"/>
      <c r="IZD86" s="32"/>
      <c r="IZE86" s="32"/>
      <c r="IZF86" s="32"/>
      <c r="IZG86" s="32"/>
      <c r="IZH86" s="32"/>
      <c r="IZI86" s="32"/>
      <c r="IZJ86" s="32"/>
      <c r="IZK86" s="32"/>
      <c r="IZL86" s="32"/>
      <c r="IZM86" s="32"/>
      <c r="IZN86" s="32"/>
      <c r="IZO86" s="32"/>
      <c r="IZP86" s="32"/>
      <c r="IZQ86" s="32"/>
      <c r="IZR86" s="32"/>
      <c r="IZS86" s="32"/>
      <c r="IZT86" s="32"/>
      <c r="IZU86" s="32"/>
      <c r="IZV86" s="32"/>
      <c r="IZW86" s="32"/>
      <c r="IZX86" s="32"/>
      <c r="IZY86" s="32"/>
      <c r="IZZ86" s="32"/>
      <c r="JAA86" s="32"/>
      <c r="JAB86" s="32"/>
      <c r="JAC86" s="32"/>
      <c r="JAD86" s="32"/>
      <c r="JAE86" s="32"/>
      <c r="JAF86" s="32"/>
      <c r="JAG86" s="32"/>
      <c r="JAH86" s="32"/>
      <c r="JAI86" s="32"/>
      <c r="JAJ86" s="32"/>
      <c r="JAK86" s="32"/>
      <c r="JAL86" s="32"/>
      <c r="JAM86" s="32"/>
      <c r="JAN86" s="32"/>
      <c r="JAO86" s="32"/>
      <c r="JAP86" s="32"/>
      <c r="JAQ86" s="32"/>
      <c r="JAR86" s="32"/>
      <c r="JAS86" s="32"/>
      <c r="JAT86" s="32"/>
      <c r="JAU86" s="32"/>
      <c r="JAV86" s="32"/>
      <c r="JAW86" s="32"/>
      <c r="JAX86" s="32"/>
      <c r="JAY86" s="32"/>
      <c r="JAZ86" s="32"/>
      <c r="JBA86" s="32"/>
      <c r="JBB86" s="32"/>
      <c r="JBC86" s="32"/>
      <c r="JBD86" s="32"/>
      <c r="JBE86" s="32"/>
      <c r="JBF86" s="32"/>
      <c r="JBG86" s="32"/>
      <c r="JBH86" s="32"/>
      <c r="JBI86" s="32"/>
      <c r="JBJ86" s="32"/>
      <c r="JBK86" s="32"/>
      <c r="JBL86" s="32"/>
      <c r="JBM86" s="32"/>
      <c r="JBN86" s="32"/>
      <c r="JBO86" s="32"/>
      <c r="JBP86" s="32"/>
      <c r="JBQ86" s="32"/>
      <c r="JBR86" s="32"/>
      <c r="JBS86" s="32"/>
      <c r="JBT86" s="32"/>
      <c r="JBU86" s="32"/>
      <c r="JBV86" s="32"/>
      <c r="JBW86" s="32"/>
      <c r="JBX86" s="32"/>
      <c r="JBY86" s="32"/>
      <c r="JBZ86" s="32"/>
      <c r="JCA86" s="32"/>
      <c r="JCB86" s="32"/>
      <c r="JCC86" s="32"/>
      <c r="JCD86" s="32"/>
      <c r="JCE86" s="32"/>
      <c r="JCF86" s="32"/>
      <c r="JCG86" s="32"/>
      <c r="JCH86" s="32"/>
      <c r="JCI86" s="32"/>
      <c r="JCJ86" s="32"/>
      <c r="JCK86" s="32"/>
      <c r="JCL86" s="32"/>
      <c r="JCM86" s="32"/>
      <c r="JCN86" s="32"/>
      <c r="JCO86" s="32"/>
      <c r="JCP86" s="32"/>
      <c r="JCQ86" s="32"/>
      <c r="JCR86" s="32"/>
      <c r="JCS86" s="32"/>
      <c r="JCT86" s="32"/>
      <c r="JCU86" s="32"/>
      <c r="JCV86" s="32"/>
      <c r="JCW86" s="32"/>
      <c r="JCX86" s="32"/>
      <c r="JCY86" s="32"/>
      <c r="JCZ86" s="32"/>
      <c r="JDA86" s="32"/>
      <c r="JDB86" s="32"/>
      <c r="JDC86" s="32"/>
      <c r="JDD86" s="32"/>
      <c r="JDE86" s="32"/>
      <c r="JDF86" s="32"/>
      <c r="JDG86" s="32"/>
      <c r="JDH86" s="32"/>
      <c r="JDI86" s="32"/>
      <c r="JDJ86" s="32"/>
      <c r="JDK86" s="32"/>
      <c r="JDL86" s="32"/>
      <c r="JDM86" s="32"/>
      <c r="JDN86" s="32"/>
      <c r="JDO86" s="32"/>
      <c r="JDP86" s="32"/>
      <c r="JDQ86" s="32"/>
      <c r="JDR86" s="32"/>
      <c r="JDS86" s="32"/>
      <c r="JDT86" s="32"/>
      <c r="JDU86" s="32"/>
      <c r="JDV86" s="32"/>
      <c r="JDW86" s="32"/>
      <c r="JDX86" s="32"/>
      <c r="JDY86" s="32"/>
      <c r="JDZ86" s="32"/>
      <c r="JEA86" s="32"/>
      <c r="JEB86" s="32"/>
      <c r="JEC86" s="32"/>
      <c r="JED86" s="32"/>
      <c r="JEE86" s="32"/>
      <c r="JEF86" s="32"/>
      <c r="JEG86" s="32"/>
      <c r="JEH86" s="32"/>
      <c r="JEI86" s="32"/>
      <c r="JEJ86" s="32"/>
      <c r="JEK86" s="32"/>
      <c r="JEL86" s="32"/>
      <c r="JEM86" s="32"/>
      <c r="JEN86" s="32"/>
      <c r="JEO86" s="32"/>
      <c r="JEP86" s="32"/>
      <c r="JEQ86" s="32"/>
      <c r="JER86" s="32"/>
      <c r="JES86" s="32"/>
      <c r="JET86" s="32"/>
      <c r="JEU86" s="32"/>
      <c r="JEV86" s="32"/>
      <c r="JEW86" s="32"/>
      <c r="JEX86" s="32"/>
      <c r="JEY86" s="32"/>
      <c r="JEZ86" s="32"/>
      <c r="JFA86" s="32"/>
      <c r="JFB86" s="32"/>
      <c r="JFC86" s="32"/>
      <c r="JFD86" s="32"/>
      <c r="JFE86" s="32"/>
      <c r="JFF86" s="32"/>
      <c r="JFG86" s="32"/>
      <c r="JFH86" s="32"/>
      <c r="JFI86" s="32"/>
      <c r="JFJ86" s="32"/>
      <c r="JFK86" s="32"/>
      <c r="JFL86" s="32"/>
      <c r="JFM86" s="32"/>
      <c r="JFN86" s="32"/>
      <c r="JFO86" s="32"/>
      <c r="JFP86" s="32"/>
      <c r="JFQ86" s="32"/>
      <c r="JFR86" s="32"/>
      <c r="JFS86" s="32"/>
      <c r="JFT86" s="32"/>
      <c r="JFU86" s="32"/>
      <c r="JFV86" s="32"/>
      <c r="JFW86" s="32"/>
      <c r="JFX86" s="32"/>
      <c r="JFY86" s="32"/>
      <c r="JFZ86" s="32"/>
      <c r="JGA86" s="32"/>
      <c r="JGB86" s="32"/>
      <c r="JGC86" s="32"/>
      <c r="JGD86" s="32"/>
      <c r="JGE86" s="32"/>
      <c r="JGF86" s="32"/>
      <c r="JGG86" s="32"/>
      <c r="JGH86" s="32"/>
      <c r="JGI86" s="32"/>
      <c r="JGJ86" s="32"/>
      <c r="JGK86" s="32"/>
      <c r="JGL86" s="32"/>
      <c r="JGM86" s="32"/>
      <c r="JGN86" s="32"/>
      <c r="JGO86" s="32"/>
      <c r="JGP86" s="32"/>
      <c r="JGQ86" s="32"/>
      <c r="JGR86" s="32"/>
      <c r="JGS86" s="32"/>
      <c r="JGT86" s="32"/>
      <c r="JGU86" s="32"/>
      <c r="JGV86" s="32"/>
      <c r="JGW86" s="32"/>
      <c r="JGX86" s="32"/>
      <c r="JGY86" s="32"/>
      <c r="JGZ86" s="32"/>
      <c r="JHA86" s="32"/>
      <c r="JHB86" s="32"/>
      <c r="JHC86" s="32"/>
      <c r="JHD86" s="32"/>
      <c r="JHE86" s="32"/>
      <c r="JHF86" s="32"/>
      <c r="JHG86" s="32"/>
      <c r="JHH86" s="32"/>
      <c r="JHI86" s="32"/>
      <c r="JHJ86" s="32"/>
      <c r="JHK86" s="32"/>
      <c r="JHL86" s="32"/>
      <c r="JHM86" s="32"/>
      <c r="JHN86" s="32"/>
      <c r="JHO86" s="32"/>
      <c r="JHP86" s="32"/>
      <c r="JHQ86" s="32"/>
      <c r="JHR86" s="32"/>
      <c r="JHS86" s="32"/>
      <c r="JHT86" s="32"/>
      <c r="JHU86" s="32"/>
      <c r="JHV86" s="32"/>
      <c r="JHW86" s="32"/>
      <c r="JHX86" s="32"/>
      <c r="JHY86" s="32"/>
      <c r="JHZ86" s="32"/>
      <c r="JIA86" s="32"/>
      <c r="JIB86" s="32"/>
      <c r="JIC86" s="32"/>
      <c r="JID86" s="32"/>
      <c r="JIE86" s="32"/>
      <c r="JIF86" s="32"/>
      <c r="JIG86" s="32"/>
      <c r="JIH86" s="32"/>
      <c r="JII86" s="32"/>
      <c r="JIJ86" s="32"/>
      <c r="JIK86" s="32"/>
      <c r="JIL86" s="32"/>
      <c r="JIM86" s="32"/>
      <c r="JIN86" s="32"/>
      <c r="JIO86" s="32"/>
      <c r="JIP86" s="32"/>
      <c r="JIQ86" s="32"/>
      <c r="JIR86" s="32"/>
      <c r="JIS86" s="32"/>
      <c r="JIT86" s="32"/>
      <c r="JIU86" s="32"/>
      <c r="JIV86" s="32"/>
      <c r="JIW86" s="32"/>
      <c r="JIX86" s="32"/>
      <c r="JIY86" s="32"/>
      <c r="JIZ86" s="32"/>
      <c r="JJA86" s="32"/>
      <c r="JJB86" s="32"/>
      <c r="JJC86" s="32"/>
      <c r="JJD86" s="32"/>
      <c r="JJE86" s="32"/>
      <c r="JJF86" s="32"/>
      <c r="JJG86" s="32"/>
      <c r="JJH86" s="32"/>
      <c r="JJI86" s="32"/>
      <c r="JJJ86" s="32"/>
      <c r="JJK86" s="32"/>
      <c r="JJL86" s="32"/>
      <c r="JJM86" s="32"/>
      <c r="JJN86" s="32"/>
      <c r="JJO86" s="32"/>
      <c r="JJP86" s="32"/>
      <c r="JJQ86" s="32"/>
      <c r="JJR86" s="32"/>
      <c r="JJS86" s="32"/>
      <c r="JJT86" s="32"/>
      <c r="JJU86" s="32"/>
      <c r="JJV86" s="32"/>
      <c r="JJW86" s="32"/>
      <c r="JJX86" s="32"/>
      <c r="JJY86" s="32"/>
      <c r="JJZ86" s="32"/>
      <c r="JKA86" s="32"/>
      <c r="JKB86" s="32"/>
      <c r="JKC86" s="32"/>
      <c r="JKD86" s="32"/>
      <c r="JKE86" s="32"/>
      <c r="JKF86" s="32"/>
      <c r="JKG86" s="32"/>
      <c r="JKH86" s="32"/>
      <c r="JKI86" s="32"/>
      <c r="JKJ86" s="32"/>
      <c r="JKK86" s="32"/>
      <c r="JKL86" s="32"/>
      <c r="JKM86" s="32"/>
      <c r="JKN86" s="32"/>
      <c r="JKO86" s="32"/>
      <c r="JKP86" s="32"/>
      <c r="JKQ86" s="32"/>
      <c r="JKR86" s="32"/>
      <c r="JKS86" s="32"/>
      <c r="JKT86" s="32"/>
      <c r="JKU86" s="32"/>
      <c r="JKV86" s="32"/>
      <c r="JKW86" s="32"/>
      <c r="JKX86" s="32"/>
      <c r="JKY86" s="32"/>
      <c r="JKZ86" s="32"/>
      <c r="JLA86" s="32"/>
      <c r="JLB86" s="32"/>
      <c r="JLC86" s="32"/>
      <c r="JLD86" s="32"/>
      <c r="JLE86" s="32"/>
      <c r="JLF86" s="32"/>
      <c r="JLG86" s="32"/>
      <c r="JLH86" s="32"/>
      <c r="JLI86" s="32"/>
      <c r="JLJ86" s="32"/>
      <c r="JLK86" s="32"/>
      <c r="JLL86" s="32"/>
      <c r="JLM86" s="32"/>
      <c r="JLN86" s="32"/>
      <c r="JLO86" s="32"/>
      <c r="JLP86" s="32"/>
      <c r="JLQ86" s="32"/>
      <c r="JLR86" s="32"/>
      <c r="JLS86" s="32"/>
      <c r="JLT86" s="32"/>
      <c r="JLU86" s="32"/>
      <c r="JLV86" s="32"/>
      <c r="JLW86" s="32"/>
      <c r="JLX86" s="32"/>
      <c r="JLY86" s="32"/>
      <c r="JLZ86" s="32"/>
      <c r="JMA86" s="32"/>
      <c r="JMB86" s="32"/>
      <c r="JMC86" s="32"/>
      <c r="JMD86" s="32"/>
      <c r="JME86" s="32"/>
      <c r="JMF86" s="32"/>
      <c r="JMG86" s="32"/>
      <c r="JMH86" s="32"/>
      <c r="JMI86" s="32"/>
      <c r="JMJ86" s="32"/>
      <c r="JMK86" s="32"/>
      <c r="JML86" s="32"/>
      <c r="JMM86" s="32"/>
      <c r="JMN86" s="32"/>
      <c r="JMO86" s="32"/>
      <c r="JMP86" s="32"/>
      <c r="JMQ86" s="32"/>
      <c r="JMR86" s="32"/>
      <c r="JMS86" s="32"/>
      <c r="JMT86" s="32"/>
      <c r="JMU86" s="32"/>
      <c r="JMV86" s="32"/>
      <c r="JMW86" s="32"/>
      <c r="JMX86" s="32"/>
      <c r="JMY86" s="32"/>
      <c r="JMZ86" s="32"/>
      <c r="JNA86" s="32"/>
      <c r="JNB86" s="32"/>
      <c r="JNC86" s="32"/>
      <c r="JND86" s="32"/>
      <c r="JNE86" s="32"/>
      <c r="JNF86" s="32"/>
      <c r="JNG86" s="32"/>
      <c r="JNH86" s="32"/>
      <c r="JNI86" s="32"/>
      <c r="JNJ86" s="32"/>
      <c r="JNK86" s="32"/>
      <c r="JNL86" s="32"/>
      <c r="JNM86" s="32"/>
      <c r="JNN86" s="32"/>
      <c r="JNO86" s="32"/>
      <c r="JNP86" s="32"/>
      <c r="JNQ86" s="32"/>
      <c r="JNR86" s="32"/>
      <c r="JNS86" s="32"/>
      <c r="JNT86" s="32"/>
      <c r="JNU86" s="32"/>
      <c r="JNV86" s="32"/>
      <c r="JNW86" s="32"/>
      <c r="JNX86" s="32"/>
      <c r="JNY86" s="32"/>
      <c r="JNZ86" s="32"/>
      <c r="JOA86" s="32"/>
      <c r="JOB86" s="32"/>
      <c r="JOC86" s="32"/>
      <c r="JOD86" s="32"/>
      <c r="JOE86" s="32"/>
      <c r="JOF86" s="32"/>
      <c r="JOG86" s="32"/>
      <c r="JOH86" s="32"/>
      <c r="JOI86" s="32"/>
      <c r="JOJ86" s="32"/>
      <c r="JOK86" s="32"/>
      <c r="JOL86" s="32"/>
      <c r="JOM86" s="32"/>
      <c r="JON86" s="32"/>
      <c r="JOO86" s="32"/>
      <c r="JOP86" s="32"/>
      <c r="JOQ86" s="32"/>
      <c r="JOR86" s="32"/>
      <c r="JOS86" s="32"/>
      <c r="JOT86" s="32"/>
      <c r="JOU86" s="32"/>
      <c r="JOV86" s="32"/>
      <c r="JOW86" s="32"/>
      <c r="JOX86" s="32"/>
      <c r="JOY86" s="32"/>
      <c r="JOZ86" s="32"/>
      <c r="JPA86" s="32"/>
      <c r="JPB86" s="32"/>
      <c r="JPC86" s="32"/>
      <c r="JPD86" s="32"/>
      <c r="JPE86" s="32"/>
      <c r="JPF86" s="32"/>
      <c r="JPG86" s="32"/>
      <c r="JPH86" s="32"/>
      <c r="JPI86" s="32"/>
      <c r="JPJ86" s="32"/>
      <c r="JPK86" s="32"/>
      <c r="JPL86" s="32"/>
      <c r="JPM86" s="32"/>
      <c r="JPN86" s="32"/>
      <c r="JPO86" s="32"/>
      <c r="JPP86" s="32"/>
      <c r="JPQ86" s="32"/>
      <c r="JPR86" s="32"/>
      <c r="JPS86" s="32"/>
      <c r="JPT86" s="32"/>
      <c r="JPU86" s="32"/>
      <c r="JPV86" s="32"/>
      <c r="JPW86" s="32"/>
      <c r="JPX86" s="32"/>
      <c r="JPY86" s="32"/>
      <c r="JPZ86" s="32"/>
      <c r="JQA86" s="32"/>
      <c r="JQB86" s="32"/>
      <c r="JQC86" s="32"/>
      <c r="JQD86" s="32"/>
      <c r="JQE86" s="32"/>
      <c r="JQF86" s="32"/>
      <c r="JQG86" s="32"/>
      <c r="JQH86" s="32"/>
      <c r="JQI86" s="32"/>
      <c r="JQJ86" s="32"/>
      <c r="JQK86" s="32"/>
      <c r="JQL86" s="32"/>
      <c r="JQM86" s="32"/>
      <c r="JQN86" s="32"/>
      <c r="JQO86" s="32"/>
      <c r="JQP86" s="32"/>
      <c r="JQQ86" s="32"/>
      <c r="JQR86" s="32"/>
      <c r="JQS86" s="32"/>
      <c r="JQT86" s="32"/>
      <c r="JQU86" s="32"/>
      <c r="JQV86" s="32"/>
      <c r="JQW86" s="32"/>
      <c r="JQX86" s="32"/>
      <c r="JQY86" s="32"/>
      <c r="JQZ86" s="32"/>
      <c r="JRA86" s="32"/>
      <c r="JRB86" s="32"/>
      <c r="JRC86" s="32"/>
      <c r="JRD86" s="32"/>
      <c r="JRE86" s="32"/>
      <c r="JRF86" s="32"/>
      <c r="JRG86" s="32"/>
      <c r="JRH86" s="32"/>
      <c r="JRI86" s="32"/>
      <c r="JRJ86" s="32"/>
      <c r="JRK86" s="32"/>
      <c r="JRL86" s="32"/>
      <c r="JRM86" s="32"/>
      <c r="JRN86" s="32"/>
      <c r="JRO86" s="32"/>
      <c r="JRP86" s="32"/>
      <c r="JRQ86" s="32"/>
      <c r="JRR86" s="32"/>
      <c r="JRS86" s="32"/>
      <c r="JRT86" s="32"/>
      <c r="JRU86" s="32"/>
      <c r="JRV86" s="32"/>
      <c r="JRW86" s="32"/>
      <c r="JRX86" s="32"/>
      <c r="JRY86" s="32"/>
      <c r="JRZ86" s="32"/>
      <c r="JSA86" s="32"/>
      <c r="JSB86" s="32"/>
      <c r="JSC86" s="32"/>
      <c r="JSD86" s="32"/>
      <c r="JSE86" s="32"/>
      <c r="JSF86" s="32"/>
      <c r="JSG86" s="32"/>
      <c r="JSH86" s="32"/>
      <c r="JSI86" s="32"/>
      <c r="JSJ86" s="32"/>
      <c r="JSK86" s="32"/>
      <c r="JSL86" s="32"/>
      <c r="JSM86" s="32"/>
      <c r="JSN86" s="32"/>
      <c r="JSO86" s="32"/>
      <c r="JSP86" s="32"/>
      <c r="JSQ86" s="32"/>
      <c r="JSR86" s="32"/>
      <c r="JSS86" s="32"/>
      <c r="JST86" s="32"/>
      <c r="JSU86" s="32"/>
      <c r="JSV86" s="32"/>
      <c r="JSW86" s="32"/>
      <c r="JSX86" s="32"/>
      <c r="JSY86" s="32"/>
      <c r="JSZ86" s="32"/>
      <c r="JTA86" s="32"/>
      <c r="JTB86" s="32"/>
      <c r="JTC86" s="32"/>
      <c r="JTD86" s="32"/>
      <c r="JTE86" s="32"/>
      <c r="JTF86" s="32"/>
      <c r="JTG86" s="32"/>
      <c r="JTH86" s="32"/>
      <c r="JTI86" s="32"/>
      <c r="JTJ86" s="32"/>
      <c r="JTK86" s="32"/>
      <c r="JTL86" s="32"/>
      <c r="JTM86" s="32"/>
      <c r="JTN86" s="32"/>
      <c r="JTO86" s="32"/>
      <c r="JTP86" s="32"/>
      <c r="JTQ86" s="32"/>
      <c r="JTR86" s="32"/>
      <c r="JTS86" s="32"/>
      <c r="JTT86" s="32"/>
      <c r="JTU86" s="32"/>
      <c r="JTV86" s="32"/>
      <c r="JTW86" s="32"/>
      <c r="JTX86" s="32"/>
      <c r="JTY86" s="32"/>
      <c r="JTZ86" s="32"/>
      <c r="JUA86" s="32"/>
      <c r="JUB86" s="32"/>
      <c r="JUC86" s="32"/>
      <c r="JUD86" s="32"/>
      <c r="JUE86" s="32"/>
      <c r="JUF86" s="32"/>
      <c r="JUG86" s="32"/>
      <c r="JUH86" s="32"/>
      <c r="JUI86" s="32"/>
      <c r="JUJ86" s="32"/>
      <c r="JUK86" s="32"/>
      <c r="JUL86" s="32"/>
      <c r="JUM86" s="32"/>
      <c r="JUN86" s="32"/>
      <c r="JUO86" s="32"/>
      <c r="JUP86" s="32"/>
      <c r="JUQ86" s="32"/>
      <c r="JUR86" s="32"/>
      <c r="JUS86" s="32"/>
      <c r="JUT86" s="32"/>
      <c r="JUU86" s="32"/>
      <c r="JUV86" s="32"/>
      <c r="JUW86" s="32"/>
      <c r="JUX86" s="32"/>
      <c r="JUY86" s="32"/>
      <c r="JUZ86" s="32"/>
      <c r="JVA86" s="32"/>
      <c r="JVB86" s="32"/>
      <c r="JVC86" s="32"/>
      <c r="JVD86" s="32"/>
      <c r="JVE86" s="32"/>
      <c r="JVF86" s="32"/>
      <c r="JVG86" s="32"/>
      <c r="JVH86" s="32"/>
      <c r="JVI86" s="32"/>
      <c r="JVJ86" s="32"/>
      <c r="JVK86" s="32"/>
      <c r="JVL86" s="32"/>
      <c r="JVM86" s="32"/>
      <c r="JVN86" s="32"/>
      <c r="JVO86" s="32"/>
      <c r="JVP86" s="32"/>
      <c r="JVQ86" s="32"/>
      <c r="JVR86" s="32"/>
      <c r="JVS86" s="32"/>
      <c r="JVT86" s="32"/>
      <c r="JVU86" s="32"/>
      <c r="JVV86" s="32"/>
      <c r="JVW86" s="32"/>
      <c r="JVX86" s="32"/>
      <c r="JVY86" s="32"/>
      <c r="JVZ86" s="32"/>
      <c r="JWA86" s="32"/>
      <c r="JWB86" s="32"/>
      <c r="JWC86" s="32"/>
      <c r="JWD86" s="32"/>
      <c r="JWE86" s="32"/>
      <c r="JWF86" s="32"/>
      <c r="JWG86" s="32"/>
      <c r="JWH86" s="32"/>
      <c r="JWI86" s="32"/>
      <c r="JWJ86" s="32"/>
      <c r="JWK86" s="32"/>
      <c r="JWL86" s="32"/>
      <c r="JWM86" s="32"/>
      <c r="JWN86" s="32"/>
      <c r="JWO86" s="32"/>
      <c r="JWP86" s="32"/>
      <c r="JWQ86" s="32"/>
      <c r="JWR86" s="32"/>
      <c r="JWS86" s="32"/>
      <c r="JWT86" s="32"/>
      <c r="JWU86" s="32"/>
      <c r="JWV86" s="32"/>
      <c r="JWW86" s="32"/>
      <c r="JWX86" s="32"/>
      <c r="JWY86" s="32"/>
      <c r="JWZ86" s="32"/>
      <c r="JXA86" s="32"/>
      <c r="JXB86" s="32"/>
      <c r="JXC86" s="32"/>
      <c r="JXD86" s="32"/>
      <c r="JXE86" s="32"/>
      <c r="JXF86" s="32"/>
      <c r="JXG86" s="32"/>
      <c r="JXH86" s="32"/>
      <c r="JXI86" s="32"/>
      <c r="JXJ86" s="32"/>
      <c r="JXK86" s="32"/>
      <c r="JXL86" s="32"/>
      <c r="JXM86" s="32"/>
      <c r="JXN86" s="32"/>
      <c r="JXO86" s="32"/>
      <c r="JXP86" s="32"/>
      <c r="JXQ86" s="32"/>
      <c r="JXR86" s="32"/>
      <c r="JXS86" s="32"/>
      <c r="JXT86" s="32"/>
      <c r="JXU86" s="32"/>
      <c r="JXV86" s="32"/>
      <c r="JXW86" s="32"/>
      <c r="JXX86" s="32"/>
      <c r="JXY86" s="32"/>
      <c r="JXZ86" s="32"/>
      <c r="JYA86" s="32"/>
      <c r="JYB86" s="32"/>
      <c r="JYC86" s="32"/>
      <c r="JYD86" s="32"/>
      <c r="JYE86" s="32"/>
      <c r="JYF86" s="32"/>
      <c r="JYG86" s="32"/>
      <c r="JYH86" s="32"/>
      <c r="JYI86" s="32"/>
      <c r="JYJ86" s="32"/>
      <c r="JYK86" s="32"/>
      <c r="JYL86" s="32"/>
      <c r="JYM86" s="32"/>
      <c r="JYN86" s="32"/>
      <c r="JYO86" s="32"/>
      <c r="JYP86" s="32"/>
      <c r="JYQ86" s="32"/>
      <c r="JYR86" s="32"/>
      <c r="JYS86" s="32"/>
      <c r="JYT86" s="32"/>
      <c r="JYU86" s="32"/>
      <c r="JYV86" s="32"/>
      <c r="JYW86" s="32"/>
      <c r="JYX86" s="32"/>
      <c r="JYY86" s="32"/>
      <c r="JYZ86" s="32"/>
      <c r="JZA86" s="32"/>
      <c r="JZB86" s="32"/>
      <c r="JZC86" s="32"/>
      <c r="JZD86" s="32"/>
      <c r="JZE86" s="32"/>
      <c r="JZF86" s="32"/>
      <c r="JZG86" s="32"/>
      <c r="JZH86" s="32"/>
      <c r="JZI86" s="32"/>
      <c r="JZJ86" s="32"/>
      <c r="JZK86" s="32"/>
      <c r="JZL86" s="32"/>
      <c r="JZM86" s="32"/>
      <c r="JZN86" s="32"/>
      <c r="JZO86" s="32"/>
      <c r="JZP86" s="32"/>
      <c r="JZQ86" s="32"/>
      <c r="JZR86" s="32"/>
      <c r="JZS86" s="32"/>
      <c r="JZT86" s="32"/>
      <c r="JZU86" s="32"/>
      <c r="JZV86" s="32"/>
      <c r="JZW86" s="32"/>
      <c r="JZX86" s="32"/>
      <c r="JZY86" s="32"/>
      <c r="JZZ86" s="32"/>
      <c r="KAA86" s="32"/>
      <c r="KAB86" s="32"/>
      <c r="KAC86" s="32"/>
      <c r="KAD86" s="32"/>
      <c r="KAE86" s="32"/>
      <c r="KAF86" s="32"/>
      <c r="KAG86" s="32"/>
      <c r="KAH86" s="32"/>
      <c r="KAI86" s="32"/>
      <c r="KAJ86" s="32"/>
      <c r="KAK86" s="32"/>
      <c r="KAL86" s="32"/>
      <c r="KAM86" s="32"/>
      <c r="KAN86" s="32"/>
      <c r="KAO86" s="32"/>
      <c r="KAP86" s="32"/>
      <c r="KAQ86" s="32"/>
      <c r="KAR86" s="32"/>
      <c r="KAS86" s="32"/>
      <c r="KAT86" s="32"/>
      <c r="KAU86" s="32"/>
      <c r="KAV86" s="32"/>
      <c r="KAW86" s="32"/>
      <c r="KAX86" s="32"/>
      <c r="KAY86" s="32"/>
      <c r="KAZ86" s="32"/>
      <c r="KBA86" s="32"/>
      <c r="KBB86" s="32"/>
      <c r="KBC86" s="32"/>
      <c r="KBD86" s="32"/>
      <c r="KBE86" s="32"/>
      <c r="KBF86" s="32"/>
      <c r="KBG86" s="32"/>
      <c r="KBH86" s="32"/>
      <c r="KBI86" s="32"/>
      <c r="KBJ86" s="32"/>
      <c r="KBK86" s="32"/>
      <c r="KBL86" s="32"/>
      <c r="KBM86" s="32"/>
      <c r="KBN86" s="32"/>
      <c r="KBO86" s="32"/>
      <c r="KBP86" s="32"/>
      <c r="KBQ86" s="32"/>
      <c r="KBR86" s="32"/>
      <c r="KBS86" s="32"/>
      <c r="KBT86" s="32"/>
      <c r="KBU86" s="32"/>
      <c r="KBV86" s="32"/>
      <c r="KBW86" s="32"/>
      <c r="KBX86" s="32"/>
      <c r="KBY86" s="32"/>
      <c r="KBZ86" s="32"/>
      <c r="KCA86" s="32"/>
      <c r="KCB86" s="32"/>
      <c r="KCC86" s="32"/>
      <c r="KCD86" s="32"/>
      <c r="KCE86" s="32"/>
      <c r="KCF86" s="32"/>
      <c r="KCG86" s="32"/>
      <c r="KCH86" s="32"/>
      <c r="KCI86" s="32"/>
      <c r="KCJ86" s="32"/>
      <c r="KCK86" s="32"/>
      <c r="KCL86" s="32"/>
      <c r="KCM86" s="32"/>
      <c r="KCN86" s="32"/>
      <c r="KCO86" s="32"/>
      <c r="KCP86" s="32"/>
      <c r="KCQ86" s="32"/>
      <c r="KCR86" s="32"/>
      <c r="KCS86" s="32"/>
      <c r="KCT86" s="32"/>
      <c r="KCU86" s="32"/>
      <c r="KCV86" s="32"/>
      <c r="KCW86" s="32"/>
      <c r="KCX86" s="32"/>
      <c r="KCY86" s="32"/>
      <c r="KCZ86" s="32"/>
      <c r="KDA86" s="32"/>
      <c r="KDB86" s="32"/>
      <c r="KDC86" s="32"/>
      <c r="KDD86" s="32"/>
      <c r="KDE86" s="32"/>
      <c r="KDF86" s="32"/>
      <c r="KDG86" s="32"/>
      <c r="KDH86" s="32"/>
      <c r="KDI86" s="32"/>
      <c r="KDJ86" s="32"/>
      <c r="KDK86" s="32"/>
      <c r="KDL86" s="32"/>
      <c r="KDM86" s="32"/>
      <c r="KDN86" s="32"/>
      <c r="KDO86" s="32"/>
      <c r="KDP86" s="32"/>
      <c r="KDQ86" s="32"/>
      <c r="KDR86" s="32"/>
      <c r="KDS86" s="32"/>
      <c r="KDT86" s="32"/>
      <c r="KDU86" s="32"/>
      <c r="KDV86" s="32"/>
      <c r="KDW86" s="32"/>
      <c r="KDX86" s="32"/>
      <c r="KDY86" s="32"/>
      <c r="KDZ86" s="32"/>
      <c r="KEA86" s="32"/>
      <c r="KEB86" s="32"/>
      <c r="KEC86" s="32"/>
      <c r="KED86" s="32"/>
      <c r="KEE86" s="32"/>
      <c r="KEF86" s="32"/>
      <c r="KEG86" s="32"/>
      <c r="KEH86" s="32"/>
      <c r="KEI86" s="32"/>
      <c r="KEJ86" s="32"/>
      <c r="KEK86" s="32"/>
      <c r="KEL86" s="32"/>
      <c r="KEM86" s="32"/>
      <c r="KEN86" s="32"/>
      <c r="KEO86" s="32"/>
      <c r="KEP86" s="32"/>
      <c r="KEQ86" s="32"/>
      <c r="KER86" s="32"/>
      <c r="KES86" s="32"/>
      <c r="KET86" s="32"/>
      <c r="KEU86" s="32"/>
      <c r="KEV86" s="32"/>
      <c r="KEW86" s="32"/>
      <c r="KEX86" s="32"/>
      <c r="KEY86" s="32"/>
      <c r="KEZ86" s="32"/>
      <c r="KFA86" s="32"/>
      <c r="KFB86" s="32"/>
      <c r="KFC86" s="32"/>
      <c r="KFD86" s="32"/>
      <c r="KFE86" s="32"/>
      <c r="KFF86" s="32"/>
      <c r="KFG86" s="32"/>
      <c r="KFH86" s="32"/>
      <c r="KFI86" s="32"/>
      <c r="KFJ86" s="32"/>
      <c r="KFK86" s="32"/>
      <c r="KFL86" s="32"/>
      <c r="KFM86" s="32"/>
      <c r="KFN86" s="32"/>
      <c r="KFO86" s="32"/>
      <c r="KFP86" s="32"/>
      <c r="KFQ86" s="32"/>
      <c r="KFR86" s="32"/>
      <c r="KFS86" s="32"/>
      <c r="KFT86" s="32"/>
      <c r="KFU86" s="32"/>
      <c r="KFV86" s="32"/>
      <c r="KFW86" s="32"/>
      <c r="KFX86" s="32"/>
      <c r="KFY86" s="32"/>
      <c r="KFZ86" s="32"/>
      <c r="KGA86" s="32"/>
      <c r="KGB86" s="32"/>
      <c r="KGC86" s="32"/>
      <c r="KGD86" s="32"/>
      <c r="KGE86" s="32"/>
      <c r="KGF86" s="32"/>
      <c r="KGG86" s="32"/>
      <c r="KGH86" s="32"/>
      <c r="KGI86" s="32"/>
      <c r="KGJ86" s="32"/>
      <c r="KGK86" s="32"/>
      <c r="KGL86" s="32"/>
      <c r="KGM86" s="32"/>
      <c r="KGN86" s="32"/>
      <c r="KGO86" s="32"/>
      <c r="KGP86" s="32"/>
      <c r="KGQ86" s="32"/>
      <c r="KGR86" s="32"/>
      <c r="KGS86" s="32"/>
      <c r="KGT86" s="32"/>
      <c r="KGU86" s="32"/>
      <c r="KGV86" s="32"/>
      <c r="KGW86" s="32"/>
      <c r="KGX86" s="32"/>
      <c r="KGY86" s="32"/>
      <c r="KGZ86" s="32"/>
      <c r="KHA86" s="32"/>
      <c r="KHB86" s="32"/>
      <c r="KHC86" s="32"/>
      <c r="KHD86" s="32"/>
      <c r="KHE86" s="32"/>
      <c r="KHF86" s="32"/>
      <c r="KHG86" s="32"/>
      <c r="KHH86" s="32"/>
      <c r="KHI86" s="32"/>
      <c r="KHJ86" s="32"/>
      <c r="KHK86" s="32"/>
      <c r="KHL86" s="32"/>
      <c r="KHM86" s="32"/>
      <c r="KHN86" s="32"/>
      <c r="KHO86" s="32"/>
      <c r="KHP86" s="32"/>
      <c r="KHQ86" s="32"/>
      <c r="KHR86" s="32"/>
      <c r="KHS86" s="32"/>
      <c r="KHT86" s="32"/>
      <c r="KHU86" s="32"/>
      <c r="KHV86" s="32"/>
      <c r="KHW86" s="32"/>
      <c r="KHX86" s="32"/>
      <c r="KHY86" s="32"/>
      <c r="KHZ86" s="32"/>
      <c r="KIA86" s="32"/>
      <c r="KIB86" s="32"/>
      <c r="KIC86" s="32"/>
      <c r="KID86" s="32"/>
      <c r="KIE86" s="32"/>
      <c r="KIF86" s="32"/>
      <c r="KIG86" s="32"/>
      <c r="KIH86" s="32"/>
      <c r="KII86" s="32"/>
      <c r="KIJ86" s="32"/>
      <c r="KIK86" s="32"/>
      <c r="KIL86" s="32"/>
      <c r="KIM86" s="32"/>
      <c r="KIN86" s="32"/>
      <c r="KIO86" s="32"/>
      <c r="KIP86" s="32"/>
      <c r="KIQ86" s="32"/>
      <c r="KIR86" s="32"/>
      <c r="KIS86" s="32"/>
      <c r="KIT86" s="32"/>
      <c r="KIU86" s="32"/>
      <c r="KIV86" s="32"/>
      <c r="KIW86" s="32"/>
      <c r="KIX86" s="32"/>
      <c r="KIY86" s="32"/>
      <c r="KIZ86" s="32"/>
      <c r="KJA86" s="32"/>
      <c r="KJB86" s="32"/>
      <c r="KJC86" s="32"/>
      <c r="KJD86" s="32"/>
      <c r="KJE86" s="32"/>
      <c r="KJF86" s="32"/>
      <c r="KJG86" s="32"/>
      <c r="KJH86" s="32"/>
      <c r="KJI86" s="32"/>
      <c r="KJJ86" s="32"/>
      <c r="KJK86" s="32"/>
      <c r="KJL86" s="32"/>
      <c r="KJM86" s="32"/>
      <c r="KJN86" s="32"/>
      <c r="KJO86" s="32"/>
      <c r="KJP86" s="32"/>
      <c r="KJQ86" s="32"/>
      <c r="KJR86" s="32"/>
      <c r="KJS86" s="32"/>
      <c r="KJT86" s="32"/>
      <c r="KJU86" s="32"/>
      <c r="KJV86" s="32"/>
      <c r="KJW86" s="32"/>
      <c r="KJX86" s="32"/>
      <c r="KJY86" s="32"/>
      <c r="KJZ86" s="32"/>
      <c r="KKA86" s="32"/>
      <c r="KKB86" s="32"/>
      <c r="KKC86" s="32"/>
      <c r="KKD86" s="32"/>
      <c r="KKE86" s="32"/>
      <c r="KKF86" s="32"/>
      <c r="KKG86" s="32"/>
      <c r="KKH86" s="32"/>
      <c r="KKI86" s="32"/>
      <c r="KKJ86" s="32"/>
      <c r="KKK86" s="32"/>
      <c r="KKL86" s="32"/>
      <c r="KKM86" s="32"/>
      <c r="KKN86" s="32"/>
      <c r="KKO86" s="32"/>
      <c r="KKP86" s="32"/>
      <c r="KKQ86" s="32"/>
      <c r="KKR86" s="32"/>
      <c r="KKS86" s="32"/>
      <c r="KKT86" s="32"/>
      <c r="KKU86" s="32"/>
      <c r="KKV86" s="32"/>
      <c r="KKW86" s="32"/>
      <c r="KKX86" s="32"/>
      <c r="KKY86" s="32"/>
      <c r="KKZ86" s="32"/>
      <c r="KLA86" s="32"/>
      <c r="KLB86" s="32"/>
      <c r="KLC86" s="32"/>
      <c r="KLD86" s="32"/>
      <c r="KLE86" s="32"/>
      <c r="KLF86" s="32"/>
      <c r="KLG86" s="32"/>
      <c r="KLH86" s="32"/>
      <c r="KLI86" s="32"/>
      <c r="KLJ86" s="32"/>
      <c r="KLK86" s="32"/>
      <c r="KLL86" s="32"/>
      <c r="KLM86" s="32"/>
      <c r="KLN86" s="32"/>
      <c r="KLO86" s="32"/>
      <c r="KLP86" s="32"/>
      <c r="KLQ86" s="32"/>
      <c r="KLR86" s="32"/>
      <c r="KLS86" s="32"/>
      <c r="KLT86" s="32"/>
      <c r="KLU86" s="32"/>
      <c r="KLV86" s="32"/>
      <c r="KLW86" s="32"/>
      <c r="KLX86" s="32"/>
      <c r="KLY86" s="32"/>
      <c r="KLZ86" s="32"/>
      <c r="KMA86" s="32"/>
      <c r="KMB86" s="32"/>
      <c r="KMC86" s="32"/>
      <c r="KMD86" s="32"/>
      <c r="KME86" s="32"/>
      <c r="KMF86" s="32"/>
      <c r="KMG86" s="32"/>
      <c r="KMH86" s="32"/>
      <c r="KMI86" s="32"/>
      <c r="KMJ86" s="32"/>
      <c r="KMK86" s="32"/>
      <c r="KML86" s="32"/>
      <c r="KMM86" s="32"/>
      <c r="KMN86" s="32"/>
      <c r="KMO86" s="32"/>
      <c r="KMP86" s="32"/>
      <c r="KMQ86" s="32"/>
      <c r="KMR86" s="32"/>
      <c r="KMS86" s="32"/>
      <c r="KMT86" s="32"/>
      <c r="KMU86" s="32"/>
      <c r="KMV86" s="32"/>
      <c r="KMW86" s="32"/>
      <c r="KMX86" s="32"/>
      <c r="KMY86" s="32"/>
      <c r="KMZ86" s="32"/>
      <c r="KNA86" s="32"/>
      <c r="KNB86" s="32"/>
      <c r="KNC86" s="32"/>
      <c r="KND86" s="32"/>
      <c r="KNE86" s="32"/>
      <c r="KNF86" s="32"/>
      <c r="KNG86" s="32"/>
      <c r="KNH86" s="32"/>
      <c r="KNI86" s="32"/>
      <c r="KNJ86" s="32"/>
      <c r="KNK86" s="32"/>
      <c r="KNL86" s="32"/>
      <c r="KNM86" s="32"/>
      <c r="KNN86" s="32"/>
      <c r="KNO86" s="32"/>
      <c r="KNP86" s="32"/>
      <c r="KNQ86" s="32"/>
      <c r="KNR86" s="32"/>
      <c r="KNS86" s="32"/>
      <c r="KNT86" s="32"/>
      <c r="KNU86" s="32"/>
      <c r="KNV86" s="32"/>
      <c r="KNW86" s="32"/>
      <c r="KNX86" s="32"/>
      <c r="KNY86" s="32"/>
      <c r="KNZ86" s="32"/>
      <c r="KOA86" s="32"/>
      <c r="KOB86" s="32"/>
      <c r="KOC86" s="32"/>
      <c r="KOD86" s="32"/>
      <c r="KOE86" s="32"/>
      <c r="KOF86" s="32"/>
      <c r="KOG86" s="32"/>
      <c r="KOH86" s="32"/>
      <c r="KOI86" s="32"/>
      <c r="KOJ86" s="32"/>
      <c r="KOK86" s="32"/>
      <c r="KOL86" s="32"/>
      <c r="KOM86" s="32"/>
      <c r="KON86" s="32"/>
      <c r="KOO86" s="32"/>
      <c r="KOP86" s="32"/>
      <c r="KOQ86" s="32"/>
      <c r="KOR86" s="32"/>
      <c r="KOS86" s="32"/>
      <c r="KOT86" s="32"/>
      <c r="KOU86" s="32"/>
      <c r="KOV86" s="32"/>
      <c r="KOW86" s="32"/>
      <c r="KOX86" s="32"/>
      <c r="KOY86" s="32"/>
      <c r="KOZ86" s="32"/>
      <c r="KPA86" s="32"/>
      <c r="KPB86" s="32"/>
      <c r="KPC86" s="32"/>
      <c r="KPD86" s="32"/>
      <c r="KPE86" s="32"/>
      <c r="KPF86" s="32"/>
      <c r="KPG86" s="32"/>
      <c r="KPH86" s="32"/>
      <c r="KPI86" s="32"/>
      <c r="KPJ86" s="32"/>
      <c r="KPK86" s="32"/>
      <c r="KPL86" s="32"/>
      <c r="KPM86" s="32"/>
      <c r="KPN86" s="32"/>
      <c r="KPO86" s="32"/>
      <c r="KPP86" s="32"/>
      <c r="KPQ86" s="32"/>
      <c r="KPR86" s="32"/>
      <c r="KPS86" s="32"/>
      <c r="KPT86" s="32"/>
      <c r="KPU86" s="32"/>
      <c r="KPV86" s="32"/>
      <c r="KPW86" s="32"/>
      <c r="KPX86" s="32"/>
      <c r="KPY86" s="32"/>
      <c r="KPZ86" s="32"/>
      <c r="KQA86" s="32"/>
      <c r="KQB86" s="32"/>
      <c r="KQC86" s="32"/>
      <c r="KQD86" s="32"/>
      <c r="KQE86" s="32"/>
      <c r="KQF86" s="32"/>
      <c r="KQG86" s="32"/>
      <c r="KQH86" s="32"/>
      <c r="KQI86" s="32"/>
      <c r="KQJ86" s="32"/>
      <c r="KQK86" s="32"/>
      <c r="KQL86" s="32"/>
      <c r="KQM86" s="32"/>
      <c r="KQN86" s="32"/>
      <c r="KQO86" s="32"/>
      <c r="KQP86" s="32"/>
      <c r="KQQ86" s="32"/>
      <c r="KQR86" s="32"/>
      <c r="KQS86" s="32"/>
      <c r="KQT86" s="32"/>
      <c r="KQU86" s="32"/>
      <c r="KQV86" s="32"/>
      <c r="KQW86" s="32"/>
      <c r="KQX86" s="32"/>
      <c r="KQY86" s="32"/>
      <c r="KQZ86" s="32"/>
      <c r="KRA86" s="32"/>
      <c r="KRB86" s="32"/>
      <c r="KRC86" s="32"/>
      <c r="KRD86" s="32"/>
      <c r="KRE86" s="32"/>
      <c r="KRF86" s="32"/>
      <c r="KRG86" s="32"/>
      <c r="KRH86" s="32"/>
      <c r="KRI86" s="32"/>
      <c r="KRJ86" s="32"/>
      <c r="KRK86" s="32"/>
      <c r="KRL86" s="32"/>
      <c r="KRM86" s="32"/>
      <c r="KRN86" s="32"/>
      <c r="KRO86" s="32"/>
      <c r="KRP86" s="32"/>
      <c r="KRQ86" s="32"/>
      <c r="KRR86" s="32"/>
      <c r="KRS86" s="32"/>
      <c r="KRT86" s="32"/>
      <c r="KRU86" s="32"/>
      <c r="KRV86" s="32"/>
      <c r="KRW86" s="32"/>
      <c r="KRX86" s="32"/>
      <c r="KRY86" s="32"/>
      <c r="KRZ86" s="32"/>
      <c r="KSA86" s="32"/>
      <c r="KSB86" s="32"/>
      <c r="KSC86" s="32"/>
      <c r="KSD86" s="32"/>
      <c r="KSE86" s="32"/>
      <c r="KSF86" s="32"/>
      <c r="KSG86" s="32"/>
      <c r="KSH86" s="32"/>
      <c r="KSI86" s="32"/>
      <c r="KSJ86" s="32"/>
      <c r="KSK86" s="32"/>
      <c r="KSL86" s="32"/>
      <c r="KSM86" s="32"/>
      <c r="KSN86" s="32"/>
      <c r="KSO86" s="32"/>
      <c r="KSP86" s="32"/>
      <c r="KSQ86" s="32"/>
      <c r="KSR86" s="32"/>
      <c r="KSS86" s="32"/>
      <c r="KST86" s="32"/>
      <c r="KSU86" s="32"/>
      <c r="KSV86" s="32"/>
      <c r="KSW86" s="32"/>
      <c r="KSX86" s="32"/>
      <c r="KSY86" s="32"/>
      <c r="KSZ86" s="32"/>
      <c r="KTA86" s="32"/>
      <c r="KTB86" s="32"/>
      <c r="KTC86" s="32"/>
      <c r="KTD86" s="32"/>
      <c r="KTE86" s="32"/>
      <c r="KTF86" s="32"/>
      <c r="KTG86" s="32"/>
      <c r="KTH86" s="32"/>
      <c r="KTI86" s="32"/>
      <c r="KTJ86" s="32"/>
      <c r="KTK86" s="32"/>
      <c r="KTL86" s="32"/>
      <c r="KTM86" s="32"/>
      <c r="KTN86" s="32"/>
      <c r="KTO86" s="32"/>
      <c r="KTP86" s="32"/>
      <c r="KTQ86" s="32"/>
      <c r="KTR86" s="32"/>
      <c r="KTS86" s="32"/>
      <c r="KTT86" s="32"/>
      <c r="KTU86" s="32"/>
      <c r="KTV86" s="32"/>
      <c r="KTW86" s="32"/>
      <c r="KTX86" s="32"/>
      <c r="KTY86" s="32"/>
      <c r="KTZ86" s="32"/>
      <c r="KUA86" s="32"/>
      <c r="KUB86" s="32"/>
      <c r="KUC86" s="32"/>
      <c r="KUD86" s="32"/>
      <c r="KUE86" s="32"/>
      <c r="KUF86" s="32"/>
      <c r="KUG86" s="32"/>
      <c r="KUH86" s="32"/>
      <c r="KUI86" s="32"/>
      <c r="KUJ86" s="32"/>
      <c r="KUK86" s="32"/>
      <c r="KUL86" s="32"/>
      <c r="KUM86" s="32"/>
      <c r="KUN86" s="32"/>
      <c r="KUO86" s="32"/>
      <c r="KUP86" s="32"/>
      <c r="KUQ86" s="32"/>
      <c r="KUR86" s="32"/>
      <c r="KUS86" s="32"/>
      <c r="KUT86" s="32"/>
      <c r="KUU86" s="32"/>
      <c r="KUV86" s="32"/>
      <c r="KUW86" s="32"/>
      <c r="KUX86" s="32"/>
      <c r="KUY86" s="32"/>
      <c r="KUZ86" s="32"/>
      <c r="KVA86" s="32"/>
      <c r="KVB86" s="32"/>
      <c r="KVC86" s="32"/>
      <c r="KVD86" s="32"/>
      <c r="KVE86" s="32"/>
      <c r="KVF86" s="32"/>
      <c r="KVG86" s="32"/>
      <c r="KVH86" s="32"/>
      <c r="KVI86" s="32"/>
      <c r="KVJ86" s="32"/>
      <c r="KVK86" s="32"/>
      <c r="KVL86" s="32"/>
      <c r="KVM86" s="32"/>
      <c r="KVN86" s="32"/>
      <c r="KVO86" s="32"/>
      <c r="KVP86" s="32"/>
      <c r="KVQ86" s="32"/>
      <c r="KVR86" s="32"/>
      <c r="KVS86" s="32"/>
      <c r="KVT86" s="32"/>
      <c r="KVU86" s="32"/>
      <c r="KVV86" s="32"/>
      <c r="KVW86" s="32"/>
      <c r="KVX86" s="32"/>
      <c r="KVY86" s="32"/>
      <c r="KVZ86" s="32"/>
      <c r="KWA86" s="32"/>
      <c r="KWB86" s="32"/>
      <c r="KWC86" s="32"/>
      <c r="KWD86" s="32"/>
      <c r="KWE86" s="32"/>
      <c r="KWF86" s="32"/>
      <c r="KWG86" s="32"/>
      <c r="KWH86" s="32"/>
      <c r="KWI86" s="32"/>
      <c r="KWJ86" s="32"/>
      <c r="KWK86" s="32"/>
      <c r="KWL86" s="32"/>
      <c r="KWM86" s="32"/>
      <c r="KWN86" s="32"/>
      <c r="KWO86" s="32"/>
      <c r="KWP86" s="32"/>
      <c r="KWQ86" s="32"/>
      <c r="KWR86" s="32"/>
      <c r="KWS86" s="32"/>
      <c r="KWT86" s="32"/>
      <c r="KWU86" s="32"/>
      <c r="KWV86" s="32"/>
      <c r="KWW86" s="32"/>
      <c r="KWX86" s="32"/>
      <c r="KWY86" s="32"/>
      <c r="KWZ86" s="32"/>
      <c r="KXA86" s="32"/>
      <c r="KXB86" s="32"/>
      <c r="KXC86" s="32"/>
      <c r="KXD86" s="32"/>
      <c r="KXE86" s="32"/>
      <c r="KXF86" s="32"/>
      <c r="KXG86" s="32"/>
      <c r="KXH86" s="32"/>
      <c r="KXI86" s="32"/>
      <c r="KXJ86" s="32"/>
      <c r="KXK86" s="32"/>
      <c r="KXL86" s="32"/>
      <c r="KXM86" s="32"/>
      <c r="KXN86" s="32"/>
      <c r="KXO86" s="32"/>
      <c r="KXP86" s="32"/>
      <c r="KXQ86" s="32"/>
      <c r="KXR86" s="32"/>
      <c r="KXS86" s="32"/>
      <c r="KXT86" s="32"/>
      <c r="KXU86" s="32"/>
      <c r="KXV86" s="32"/>
      <c r="KXW86" s="32"/>
      <c r="KXX86" s="32"/>
      <c r="KXY86" s="32"/>
      <c r="KXZ86" s="32"/>
      <c r="KYA86" s="32"/>
      <c r="KYB86" s="32"/>
      <c r="KYC86" s="32"/>
      <c r="KYD86" s="32"/>
      <c r="KYE86" s="32"/>
      <c r="KYF86" s="32"/>
      <c r="KYG86" s="32"/>
      <c r="KYH86" s="32"/>
      <c r="KYI86" s="32"/>
      <c r="KYJ86" s="32"/>
      <c r="KYK86" s="32"/>
      <c r="KYL86" s="32"/>
      <c r="KYM86" s="32"/>
      <c r="KYN86" s="32"/>
      <c r="KYO86" s="32"/>
      <c r="KYP86" s="32"/>
      <c r="KYQ86" s="32"/>
      <c r="KYR86" s="32"/>
      <c r="KYS86" s="32"/>
      <c r="KYT86" s="32"/>
      <c r="KYU86" s="32"/>
      <c r="KYV86" s="32"/>
      <c r="KYW86" s="32"/>
      <c r="KYX86" s="32"/>
      <c r="KYY86" s="32"/>
      <c r="KYZ86" s="32"/>
      <c r="KZA86" s="32"/>
      <c r="KZB86" s="32"/>
      <c r="KZC86" s="32"/>
      <c r="KZD86" s="32"/>
      <c r="KZE86" s="32"/>
      <c r="KZF86" s="32"/>
      <c r="KZG86" s="32"/>
      <c r="KZH86" s="32"/>
      <c r="KZI86" s="32"/>
      <c r="KZJ86" s="32"/>
      <c r="KZK86" s="32"/>
      <c r="KZL86" s="32"/>
      <c r="KZM86" s="32"/>
      <c r="KZN86" s="32"/>
      <c r="KZO86" s="32"/>
      <c r="KZP86" s="32"/>
      <c r="KZQ86" s="32"/>
      <c r="KZR86" s="32"/>
      <c r="KZS86" s="32"/>
      <c r="KZT86" s="32"/>
      <c r="KZU86" s="32"/>
      <c r="KZV86" s="32"/>
      <c r="KZW86" s="32"/>
      <c r="KZX86" s="32"/>
      <c r="KZY86" s="32"/>
      <c r="KZZ86" s="32"/>
      <c r="LAA86" s="32"/>
      <c r="LAB86" s="32"/>
      <c r="LAC86" s="32"/>
      <c r="LAD86" s="32"/>
      <c r="LAE86" s="32"/>
      <c r="LAF86" s="32"/>
      <c r="LAG86" s="32"/>
      <c r="LAH86" s="32"/>
      <c r="LAI86" s="32"/>
      <c r="LAJ86" s="32"/>
      <c r="LAK86" s="32"/>
      <c r="LAL86" s="32"/>
      <c r="LAM86" s="32"/>
      <c r="LAN86" s="32"/>
      <c r="LAO86" s="32"/>
      <c r="LAP86" s="32"/>
      <c r="LAQ86" s="32"/>
      <c r="LAR86" s="32"/>
      <c r="LAS86" s="32"/>
      <c r="LAT86" s="32"/>
      <c r="LAU86" s="32"/>
      <c r="LAV86" s="32"/>
      <c r="LAW86" s="32"/>
      <c r="LAX86" s="32"/>
      <c r="LAY86" s="32"/>
      <c r="LAZ86" s="32"/>
      <c r="LBA86" s="32"/>
      <c r="LBB86" s="32"/>
      <c r="LBC86" s="32"/>
      <c r="LBD86" s="32"/>
      <c r="LBE86" s="32"/>
      <c r="LBF86" s="32"/>
      <c r="LBG86" s="32"/>
      <c r="LBH86" s="32"/>
      <c r="LBI86" s="32"/>
      <c r="LBJ86" s="32"/>
      <c r="LBK86" s="32"/>
      <c r="LBL86" s="32"/>
      <c r="LBM86" s="32"/>
      <c r="LBN86" s="32"/>
      <c r="LBO86" s="32"/>
      <c r="LBP86" s="32"/>
      <c r="LBQ86" s="32"/>
      <c r="LBR86" s="32"/>
      <c r="LBS86" s="32"/>
      <c r="LBT86" s="32"/>
      <c r="LBU86" s="32"/>
      <c r="LBV86" s="32"/>
      <c r="LBW86" s="32"/>
      <c r="LBX86" s="32"/>
      <c r="LBY86" s="32"/>
      <c r="LBZ86" s="32"/>
      <c r="LCA86" s="32"/>
      <c r="LCB86" s="32"/>
      <c r="LCC86" s="32"/>
      <c r="LCD86" s="32"/>
      <c r="LCE86" s="32"/>
      <c r="LCF86" s="32"/>
      <c r="LCG86" s="32"/>
      <c r="LCH86" s="32"/>
      <c r="LCI86" s="32"/>
      <c r="LCJ86" s="32"/>
      <c r="LCK86" s="32"/>
      <c r="LCL86" s="32"/>
      <c r="LCM86" s="32"/>
      <c r="LCN86" s="32"/>
      <c r="LCO86" s="32"/>
      <c r="LCP86" s="32"/>
      <c r="LCQ86" s="32"/>
      <c r="LCR86" s="32"/>
      <c r="LCS86" s="32"/>
      <c r="LCT86" s="32"/>
      <c r="LCU86" s="32"/>
      <c r="LCV86" s="32"/>
      <c r="LCW86" s="32"/>
      <c r="LCX86" s="32"/>
      <c r="LCY86" s="32"/>
      <c r="LCZ86" s="32"/>
      <c r="LDA86" s="32"/>
      <c r="LDB86" s="32"/>
      <c r="LDC86" s="32"/>
      <c r="LDD86" s="32"/>
      <c r="LDE86" s="32"/>
      <c r="LDF86" s="32"/>
      <c r="LDG86" s="32"/>
      <c r="LDH86" s="32"/>
      <c r="LDI86" s="32"/>
      <c r="LDJ86" s="32"/>
      <c r="LDK86" s="32"/>
      <c r="LDL86" s="32"/>
      <c r="LDM86" s="32"/>
      <c r="LDN86" s="32"/>
      <c r="LDO86" s="32"/>
      <c r="LDP86" s="32"/>
      <c r="LDQ86" s="32"/>
      <c r="LDR86" s="32"/>
      <c r="LDS86" s="32"/>
      <c r="LDT86" s="32"/>
      <c r="LDU86" s="32"/>
      <c r="LDV86" s="32"/>
      <c r="LDW86" s="32"/>
      <c r="LDX86" s="32"/>
      <c r="LDY86" s="32"/>
      <c r="LDZ86" s="32"/>
      <c r="LEA86" s="32"/>
      <c r="LEB86" s="32"/>
      <c r="LEC86" s="32"/>
      <c r="LED86" s="32"/>
      <c r="LEE86" s="32"/>
      <c r="LEF86" s="32"/>
      <c r="LEG86" s="32"/>
      <c r="LEH86" s="32"/>
      <c r="LEI86" s="32"/>
      <c r="LEJ86" s="32"/>
      <c r="LEK86" s="32"/>
      <c r="LEL86" s="32"/>
      <c r="LEM86" s="32"/>
      <c r="LEN86" s="32"/>
      <c r="LEO86" s="32"/>
      <c r="LEP86" s="32"/>
      <c r="LEQ86" s="32"/>
      <c r="LER86" s="32"/>
      <c r="LES86" s="32"/>
      <c r="LET86" s="32"/>
      <c r="LEU86" s="32"/>
      <c r="LEV86" s="32"/>
      <c r="LEW86" s="32"/>
      <c r="LEX86" s="32"/>
      <c r="LEY86" s="32"/>
      <c r="LEZ86" s="32"/>
      <c r="LFA86" s="32"/>
      <c r="LFB86" s="32"/>
      <c r="LFC86" s="32"/>
      <c r="LFD86" s="32"/>
      <c r="LFE86" s="32"/>
      <c r="LFF86" s="32"/>
      <c r="LFG86" s="32"/>
      <c r="LFH86" s="32"/>
      <c r="LFI86" s="32"/>
      <c r="LFJ86" s="32"/>
      <c r="LFK86" s="32"/>
      <c r="LFL86" s="32"/>
      <c r="LFM86" s="32"/>
      <c r="LFN86" s="32"/>
      <c r="LFO86" s="32"/>
      <c r="LFP86" s="32"/>
      <c r="LFQ86" s="32"/>
      <c r="LFR86" s="32"/>
      <c r="LFS86" s="32"/>
      <c r="LFT86" s="32"/>
      <c r="LFU86" s="32"/>
      <c r="LFV86" s="32"/>
      <c r="LFW86" s="32"/>
      <c r="LFX86" s="32"/>
      <c r="LFY86" s="32"/>
      <c r="LFZ86" s="32"/>
      <c r="LGA86" s="32"/>
      <c r="LGB86" s="32"/>
      <c r="LGC86" s="32"/>
      <c r="LGD86" s="32"/>
      <c r="LGE86" s="32"/>
      <c r="LGF86" s="32"/>
      <c r="LGG86" s="32"/>
      <c r="LGH86" s="32"/>
      <c r="LGI86" s="32"/>
      <c r="LGJ86" s="32"/>
      <c r="LGK86" s="32"/>
      <c r="LGL86" s="32"/>
      <c r="LGM86" s="32"/>
      <c r="LGN86" s="32"/>
      <c r="LGO86" s="32"/>
      <c r="LGP86" s="32"/>
      <c r="LGQ86" s="32"/>
      <c r="LGR86" s="32"/>
      <c r="LGS86" s="32"/>
      <c r="LGT86" s="32"/>
      <c r="LGU86" s="32"/>
      <c r="LGV86" s="32"/>
      <c r="LGW86" s="32"/>
      <c r="LGX86" s="32"/>
      <c r="LGY86" s="32"/>
      <c r="LGZ86" s="32"/>
      <c r="LHA86" s="32"/>
      <c r="LHB86" s="32"/>
      <c r="LHC86" s="32"/>
      <c r="LHD86" s="32"/>
      <c r="LHE86" s="32"/>
      <c r="LHF86" s="32"/>
      <c r="LHG86" s="32"/>
      <c r="LHH86" s="32"/>
      <c r="LHI86" s="32"/>
      <c r="LHJ86" s="32"/>
      <c r="LHK86" s="32"/>
      <c r="LHL86" s="32"/>
      <c r="LHM86" s="32"/>
      <c r="LHN86" s="32"/>
      <c r="LHO86" s="32"/>
      <c r="LHP86" s="32"/>
      <c r="LHQ86" s="32"/>
      <c r="LHR86" s="32"/>
      <c r="LHS86" s="32"/>
      <c r="LHT86" s="32"/>
      <c r="LHU86" s="32"/>
      <c r="LHV86" s="32"/>
      <c r="LHW86" s="32"/>
      <c r="LHX86" s="32"/>
      <c r="LHY86" s="32"/>
      <c r="LHZ86" s="32"/>
      <c r="LIA86" s="32"/>
      <c r="LIB86" s="32"/>
      <c r="LIC86" s="32"/>
      <c r="LID86" s="32"/>
      <c r="LIE86" s="32"/>
      <c r="LIF86" s="32"/>
      <c r="LIG86" s="32"/>
      <c r="LIH86" s="32"/>
      <c r="LII86" s="32"/>
      <c r="LIJ86" s="32"/>
      <c r="LIK86" s="32"/>
      <c r="LIL86" s="32"/>
      <c r="LIM86" s="32"/>
      <c r="LIN86" s="32"/>
      <c r="LIO86" s="32"/>
      <c r="LIP86" s="32"/>
      <c r="LIQ86" s="32"/>
      <c r="LIR86" s="32"/>
      <c r="LIS86" s="32"/>
      <c r="LIT86" s="32"/>
      <c r="LIU86" s="32"/>
      <c r="LIV86" s="32"/>
      <c r="LIW86" s="32"/>
      <c r="LIX86" s="32"/>
      <c r="LIY86" s="32"/>
      <c r="LIZ86" s="32"/>
      <c r="LJA86" s="32"/>
      <c r="LJB86" s="32"/>
      <c r="LJC86" s="32"/>
      <c r="LJD86" s="32"/>
      <c r="LJE86" s="32"/>
      <c r="LJF86" s="32"/>
      <c r="LJG86" s="32"/>
      <c r="LJH86" s="32"/>
      <c r="LJI86" s="32"/>
      <c r="LJJ86" s="32"/>
      <c r="LJK86" s="32"/>
      <c r="LJL86" s="32"/>
      <c r="LJM86" s="32"/>
      <c r="LJN86" s="32"/>
      <c r="LJO86" s="32"/>
      <c r="LJP86" s="32"/>
      <c r="LJQ86" s="32"/>
      <c r="LJR86" s="32"/>
      <c r="LJS86" s="32"/>
      <c r="LJT86" s="32"/>
      <c r="LJU86" s="32"/>
      <c r="LJV86" s="32"/>
      <c r="LJW86" s="32"/>
      <c r="LJX86" s="32"/>
      <c r="LJY86" s="32"/>
      <c r="LJZ86" s="32"/>
      <c r="LKA86" s="32"/>
      <c r="LKB86" s="32"/>
      <c r="LKC86" s="32"/>
      <c r="LKD86" s="32"/>
      <c r="LKE86" s="32"/>
      <c r="LKF86" s="32"/>
      <c r="LKG86" s="32"/>
      <c r="LKH86" s="32"/>
      <c r="LKI86" s="32"/>
      <c r="LKJ86" s="32"/>
      <c r="LKK86" s="32"/>
      <c r="LKL86" s="32"/>
      <c r="LKM86" s="32"/>
      <c r="LKN86" s="32"/>
      <c r="LKO86" s="32"/>
      <c r="LKP86" s="32"/>
      <c r="LKQ86" s="32"/>
      <c r="LKR86" s="32"/>
      <c r="LKS86" s="32"/>
      <c r="LKT86" s="32"/>
      <c r="LKU86" s="32"/>
      <c r="LKV86" s="32"/>
      <c r="LKW86" s="32"/>
      <c r="LKX86" s="32"/>
      <c r="LKY86" s="32"/>
      <c r="LKZ86" s="32"/>
      <c r="LLA86" s="32"/>
      <c r="LLB86" s="32"/>
      <c r="LLC86" s="32"/>
      <c r="LLD86" s="32"/>
      <c r="LLE86" s="32"/>
      <c r="LLF86" s="32"/>
      <c r="LLG86" s="32"/>
      <c r="LLH86" s="32"/>
      <c r="LLI86" s="32"/>
      <c r="LLJ86" s="32"/>
      <c r="LLK86" s="32"/>
      <c r="LLL86" s="32"/>
      <c r="LLM86" s="32"/>
      <c r="LLN86" s="32"/>
      <c r="LLO86" s="32"/>
      <c r="LLP86" s="32"/>
      <c r="LLQ86" s="32"/>
      <c r="LLR86" s="32"/>
      <c r="LLS86" s="32"/>
      <c r="LLT86" s="32"/>
      <c r="LLU86" s="32"/>
      <c r="LLV86" s="32"/>
      <c r="LLW86" s="32"/>
      <c r="LLX86" s="32"/>
      <c r="LLY86" s="32"/>
      <c r="LLZ86" s="32"/>
      <c r="LMA86" s="32"/>
      <c r="LMB86" s="32"/>
      <c r="LMC86" s="32"/>
      <c r="LMD86" s="32"/>
      <c r="LME86" s="32"/>
      <c r="LMF86" s="32"/>
      <c r="LMG86" s="32"/>
      <c r="LMH86" s="32"/>
      <c r="LMI86" s="32"/>
      <c r="LMJ86" s="32"/>
      <c r="LMK86" s="32"/>
      <c r="LML86" s="32"/>
      <c r="LMM86" s="32"/>
      <c r="LMN86" s="32"/>
      <c r="LMO86" s="32"/>
      <c r="LMP86" s="32"/>
      <c r="LMQ86" s="32"/>
      <c r="LMR86" s="32"/>
      <c r="LMS86" s="32"/>
      <c r="LMT86" s="32"/>
      <c r="LMU86" s="32"/>
      <c r="LMV86" s="32"/>
      <c r="LMW86" s="32"/>
      <c r="LMX86" s="32"/>
      <c r="LMY86" s="32"/>
      <c r="LMZ86" s="32"/>
      <c r="LNA86" s="32"/>
      <c r="LNB86" s="32"/>
      <c r="LNC86" s="32"/>
      <c r="LND86" s="32"/>
      <c r="LNE86" s="32"/>
      <c r="LNF86" s="32"/>
      <c r="LNG86" s="32"/>
      <c r="LNH86" s="32"/>
      <c r="LNI86" s="32"/>
      <c r="LNJ86" s="32"/>
      <c r="LNK86" s="32"/>
      <c r="LNL86" s="32"/>
      <c r="LNM86" s="32"/>
      <c r="LNN86" s="32"/>
      <c r="LNO86" s="32"/>
      <c r="LNP86" s="32"/>
      <c r="LNQ86" s="32"/>
      <c r="LNR86" s="32"/>
      <c r="LNS86" s="32"/>
      <c r="LNT86" s="32"/>
      <c r="LNU86" s="32"/>
      <c r="LNV86" s="32"/>
      <c r="LNW86" s="32"/>
      <c r="LNX86" s="32"/>
      <c r="LNY86" s="32"/>
      <c r="LNZ86" s="32"/>
      <c r="LOA86" s="32"/>
      <c r="LOB86" s="32"/>
      <c r="LOC86" s="32"/>
      <c r="LOD86" s="32"/>
      <c r="LOE86" s="32"/>
      <c r="LOF86" s="32"/>
      <c r="LOG86" s="32"/>
      <c r="LOH86" s="32"/>
      <c r="LOI86" s="32"/>
      <c r="LOJ86" s="32"/>
      <c r="LOK86" s="32"/>
      <c r="LOL86" s="32"/>
      <c r="LOM86" s="32"/>
      <c r="LON86" s="32"/>
      <c r="LOO86" s="32"/>
      <c r="LOP86" s="32"/>
      <c r="LOQ86" s="32"/>
      <c r="LOR86" s="32"/>
      <c r="LOS86" s="32"/>
      <c r="LOT86" s="32"/>
      <c r="LOU86" s="32"/>
      <c r="LOV86" s="32"/>
      <c r="LOW86" s="32"/>
      <c r="LOX86" s="32"/>
      <c r="LOY86" s="32"/>
      <c r="LOZ86" s="32"/>
      <c r="LPA86" s="32"/>
      <c r="LPB86" s="32"/>
      <c r="LPC86" s="32"/>
      <c r="LPD86" s="32"/>
      <c r="LPE86" s="32"/>
      <c r="LPF86" s="32"/>
      <c r="LPG86" s="32"/>
      <c r="LPH86" s="32"/>
      <c r="LPI86" s="32"/>
      <c r="LPJ86" s="32"/>
      <c r="LPK86" s="32"/>
      <c r="LPL86" s="32"/>
      <c r="LPM86" s="32"/>
      <c r="LPN86" s="32"/>
      <c r="LPO86" s="32"/>
      <c r="LPP86" s="32"/>
      <c r="LPQ86" s="32"/>
      <c r="LPR86" s="32"/>
      <c r="LPS86" s="32"/>
      <c r="LPT86" s="32"/>
      <c r="LPU86" s="32"/>
      <c r="LPV86" s="32"/>
      <c r="LPW86" s="32"/>
      <c r="LPX86" s="32"/>
      <c r="LPY86" s="32"/>
      <c r="LPZ86" s="32"/>
      <c r="LQA86" s="32"/>
      <c r="LQB86" s="32"/>
      <c r="LQC86" s="32"/>
      <c r="LQD86" s="32"/>
      <c r="LQE86" s="32"/>
      <c r="LQF86" s="32"/>
      <c r="LQG86" s="32"/>
      <c r="LQH86" s="32"/>
      <c r="LQI86" s="32"/>
      <c r="LQJ86" s="32"/>
      <c r="LQK86" s="32"/>
      <c r="LQL86" s="32"/>
      <c r="LQM86" s="32"/>
      <c r="LQN86" s="32"/>
      <c r="LQO86" s="32"/>
      <c r="LQP86" s="32"/>
      <c r="LQQ86" s="32"/>
      <c r="LQR86" s="32"/>
      <c r="LQS86" s="32"/>
      <c r="LQT86" s="32"/>
      <c r="LQU86" s="32"/>
      <c r="LQV86" s="32"/>
      <c r="LQW86" s="32"/>
      <c r="LQX86" s="32"/>
      <c r="LQY86" s="32"/>
      <c r="LQZ86" s="32"/>
      <c r="LRA86" s="32"/>
      <c r="LRB86" s="32"/>
      <c r="LRC86" s="32"/>
      <c r="LRD86" s="32"/>
      <c r="LRE86" s="32"/>
      <c r="LRF86" s="32"/>
      <c r="LRG86" s="32"/>
      <c r="LRH86" s="32"/>
      <c r="LRI86" s="32"/>
      <c r="LRJ86" s="32"/>
      <c r="LRK86" s="32"/>
      <c r="LRL86" s="32"/>
      <c r="LRM86" s="32"/>
      <c r="LRN86" s="32"/>
      <c r="LRO86" s="32"/>
      <c r="LRP86" s="32"/>
      <c r="LRQ86" s="32"/>
      <c r="LRR86" s="32"/>
      <c r="LRS86" s="32"/>
      <c r="LRT86" s="32"/>
      <c r="LRU86" s="32"/>
      <c r="LRV86" s="32"/>
      <c r="LRW86" s="32"/>
      <c r="LRX86" s="32"/>
      <c r="LRY86" s="32"/>
      <c r="LRZ86" s="32"/>
      <c r="LSA86" s="32"/>
      <c r="LSB86" s="32"/>
      <c r="LSC86" s="32"/>
      <c r="LSD86" s="32"/>
      <c r="LSE86" s="32"/>
      <c r="LSF86" s="32"/>
      <c r="LSG86" s="32"/>
      <c r="LSH86" s="32"/>
      <c r="LSI86" s="32"/>
      <c r="LSJ86" s="32"/>
      <c r="LSK86" s="32"/>
      <c r="LSL86" s="32"/>
      <c r="LSM86" s="32"/>
      <c r="LSN86" s="32"/>
      <c r="LSO86" s="32"/>
      <c r="LSP86" s="32"/>
      <c r="LSQ86" s="32"/>
      <c r="LSR86" s="32"/>
      <c r="LSS86" s="32"/>
      <c r="LST86" s="32"/>
      <c r="LSU86" s="32"/>
      <c r="LSV86" s="32"/>
      <c r="LSW86" s="32"/>
      <c r="LSX86" s="32"/>
      <c r="LSY86" s="32"/>
      <c r="LSZ86" s="32"/>
      <c r="LTA86" s="32"/>
      <c r="LTB86" s="32"/>
      <c r="LTC86" s="32"/>
      <c r="LTD86" s="32"/>
      <c r="LTE86" s="32"/>
      <c r="LTF86" s="32"/>
      <c r="LTG86" s="32"/>
      <c r="LTH86" s="32"/>
      <c r="LTI86" s="32"/>
      <c r="LTJ86" s="32"/>
      <c r="LTK86" s="32"/>
      <c r="LTL86" s="32"/>
      <c r="LTM86" s="32"/>
      <c r="LTN86" s="32"/>
      <c r="LTO86" s="32"/>
      <c r="LTP86" s="32"/>
      <c r="LTQ86" s="32"/>
      <c r="LTR86" s="32"/>
      <c r="LTS86" s="32"/>
      <c r="LTT86" s="32"/>
      <c r="LTU86" s="32"/>
      <c r="LTV86" s="32"/>
      <c r="LTW86" s="32"/>
      <c r="LTX86" s="32"/>
      <c r="LTY86" s="32"/>
      <c r="LTZ86" s="32"/>
      <c r="LUA86" s="32"/>
      <c r="LUB86" s="32"/>
      <c r="LUC86" s="32"/>
      <c r="LUD86" s="32"/>
      <c r="LUE86" s="32"/>
      <c r="LUF86" s="32"/>
      <c r="LUG86" s="32"/>
      <c r="LUH86" s="32"/>
      <c r="LUI86" s="32"/>
      <c r="LUJ86" s="32"/>
      <c r="LUK86" s="32"/>
      <c r="LUL86" s="32"/>
      <c r="LUM86" s="32"/>
      <c r="LUN86" s="32"/>
      <c r="LUO86" s="32"/>
      <c r="LUP86" s="32"/>
      <c r="LUQ86" s="32"/>
      <c r="LUR86" s="32"/>
      <c r="LUS86" s="32"/>
      <c r="LUT86" s="32"/>
      <c r="LUU86" s="32"/>
      <c r="LUV86" s="32"/>
      <c r="LUW86" s="32"/>
      <c r="LUX86" s="32"/>
      <c r="LUY86" s="32"/>
      <c r="LUZ86" s="32"/>
      <c r="LVA86" s="32"/>
      <c r="LVB86" s="32"/>
      <c r="LVC86" s="32"/>
      <c r="LVD86" s="32"/>
      <c r="LVE86" s="32"/>
      <c r="LVF86" s="32"/>
      <c r="LVG86" s="32"/>
      <c r="LVH86" s="32"/>
      <c r="LVI86" s="32"/>
      <c r="LVJ86" s="32"/>
      <c r="LVK86" s="32"/>
      <c r="LVL86" s="32"/>
      <c r="LVM86" s="32"/>
      <c r="LVN86" s="32"/>
      <c r="LVO86" s="32"/>
      <c r="LVP86" s="32"/>
      <c r="LVQ86" s="32"/>
      <c r="LVR86" s="32"/>
      <c r="LVS86" s="32"/>
      <c r="LVT86" s="32"/>
      <c r="LVU86" s="32"/>
      <c r="LVV86" s="32"/>
      <c r="LVW86" s="32"/>
      <c r="LVX86" s="32"/>
      <c r="LVY86" s="32"/>
      <c r="LVZ86" s="32"/>
      <c r="LWA86" s="32"/>
      <c r="LWB86" s="32"/>
      <c r="LWC86" s="32"/>
      <c r="LWD86" s="32"/>
      <c r="LWE86" s="32"/>
      <c r="LWF86" s="32"/>
      <c r="LWG86" s="32"/>
      <c r="LWH86" s="32"/>
      <c r="LWI86" s="32"/>
      <c r="LWJ86" s="32"/>
      <c r="LWK86" s="32"/>
      <c r="LWL86" s="32"/>
      <c r="LWM86" s="32"/>
      <c r="LWN86" s="32"/>
      <c r="LWO86" s="32"/>
      <c r="LWP86" s="32"/>
      <c r="LWQ86" s="32"/>
      <c r="LWR86" s="32"/>
      <c r="LWS86" s="32"/>
      <c r="LWT86" s="32"/>
      <c r="LWU86" s="32"/>
      <c r="LWV86" s="32"/>
      <c r="LWW86" s="32"/>
      <c r="LWX86" s="32"/>
      <c r="LWY86" s="32"/>
      <c r="LWZ86" s="32"/>
      <c r="LXA86" s="32"/>
      <c r="LXB86" s="32"/>
      <c r="LXC86" s="32"/>
      <c r="LXD86" s="32"/>
      <c r="LXE86" s="32"/>
      <c r="LXF86" s="32"/>
      <c r="LXG86" s="32"/>
      <c r="LXH86" s="32"/>
      <c r="LXI86" s="32"/>
      <c r="LXJ86" s="32"/>
      <c r="LXK86" s="32"/>
      <c r="LXL86" s="32"/>
      <c r="LXM86" s="32"/>
      <c r="LXN86" s="32"/>
      <c r="LXO86" s="32"/>
      <c r="LXP86" s="32"/>
      <c r="LXQ86" s="32"/>
      <c r="LXR86" s="32"/>
      <c r="LXS86" s="32"/>
      <c r="LXT86" s="32"/>
      <c r="LXU86" s="32"/>
      <c r="LXV86" s="32"/>
      <c r="LXW86" s="32"/>
      <c r="LXX86" s="32"/>
      <c r="LXY86" s="32"/>
      <c r="LXZ86" s="32"/>
      <c r="LYA86" s="32"/>
      <c r="LYB86" s="32"/>
      <c r="LYC86" s="32"/>
      <c r="LYD86" s="32"/>
      <c r="LYE86" s="32"/>
      <c r="LYF86" s="32"/>
      <c r="LYG86" s="32"/>
      <c r="LYH86" s="32"/>
      <c r="LYI86" s="32"/>
      <c r="LYJ86" s="32"/>
      <c r="LYK86" s="32"/>
      <c r="LYL86" s="32"/>
      <c r="LYM86" s="32"/>
      <c r="LYN86" s="32"/>
      <c r="LYO86" s="32"/>
      <c r="LYP86" s="32"/>
      <c r="LYQ86" s="32"/>
      <c r="LYR86" s="32"/>
      <c r="LYS86" s="32"/>
      <c r="LYT86" s="32"/>
      <c r="LYU86" s="32"/>
      <c r="LYV86" s="32"/>
      <c r="LYW86" s="32"/>
      <c r="LYX86" s="32"/>
      <c r="LYY86" s="32"/>
      <c r="LYZ86" s="32"/>
      <c r="LZA86" s="32"/>
      <c r="LZB86" s="32"/>
      <c r="LZC86" s="32"/>
      <c r="LZD86" s="32"/>
      <c r="LZE86" s="32"/>
      <c r="LZF86" s="32"/>
      <c r="LZG86" s="32"/>
      <c r="LZH86" s="32"/>
      <c r="LZI86" s="32"/>
      <c r="LZJ86" s="32"/>
      <c r="LZK86" s="32"/>
      <c r="LZL86" s="32"/>
      <c r="LZM86" s="32"/>
      <c r="LZN86" s="32"/>
      <c r="LZO86" s="32"/>
      <c r="LZP86" s="32"/>
      <c r="LZQ86" s="32"/>
      <c r="LZR86" s="32"/>
      <c r="LZS86" s="32"/>
      <c r="LZT86" s="32"/>
      <c r="LZU86" s="32"/>
      <c r="LZV86" s="32"/>
      <c r="LZW86" s="32"/>
      <c r="LZX86" s="32"/>
      <c r="LZY86" s="32"/>
      <c r="LZZ86" s="32"/>
      <c r="MAA86" s="32"/>
      <c r="MAB86" s="32"/>
      <c r="MAC86" s="32"/>
      <c r="MAD86" s="32"/>
      <c r="MAE86" s="32"/>
      <c r="MAF86" s="32"/>
      <c r="MAG86" s="32"/>
      <c r="MAH86" s="32"/>
      <c r="MAI86" s="32"/>
      <c r="MAJ86" s="32"/>
      <c r="MAK86" s="32"/>
      <c r="MAL86" s="32"/>
      <c r="MAM86" s="32"/>
      <c r="MAN86" s="32"/>
      <c r="MAO86" s="32"/>
      <c r="MAP86" s="32"/>
      <c r="MAQ86" s="32"/>
      <c r="MAR86" s="32"/>
      <c r="MAS86" s="32"/>
      <c r="MAT86" s="32"/>
      <c r="MAU86" s="32"/>
      <c r="MAV86" s="32"/>
      <c r="MAW86" s="32"/>
      <c r="MAX86" s="32"/>
      <c r="MAY86" s="32"/>
      <c r="MAZ86" s="32"/>
      <c r="MBA86" s="32"/>
      <c r="MBB86" s="32"/>
      <c r="MBC86" s="32"/>
      <c r="MBD86" s="32"/>
      <c r="MBE86" s="32"/>
      <c r="MBF86" s="32"/>
      <c r="MBG86" s="32"/>
      <c r="MBH86" s="32"/>
      <c r="MBI86" s="32"/>
      <c r="MBJ86" s="32"/>
      <c r="MBK86" s="32"/>
      <c r="MBL86" s="32"/>
      <c r="MBM86" s="32"/>
      <c r="MBN86" s="32"/>
      <c r="MBO86" s="32"/>
      <c r="MBP86" s="32"/>
      <c r="MBQ86" s="32"/>
      <c r="MBR86" s="32"/>
      <c r="MBS86" s="32"/>
      <c r="MBT86" s="32"/>
      <c r="MBU86" s="32"/>
      <c r="MBV86" s="32"/>
      <c r="MBW86" s="32"/>
      <c r="MBX86" s="32"/>
      <c r="MBY86" s="32"/>
      <c r="MBZ86" s="32"/>
      <c r="MCA86" s="32"/>
      <c r="MCB86" s="32"/>
      <c r="MCC86" s="32"/>
      <c r="MCD86" s="32"/>
      <c r="MCE86" s="32"/>
      <c r="MCF86" s="32"/>
      <c r="MCG86" s="32"/>
      <c r="MCH86" s="32"/>
      <c r="MCI86" s="32"/>
      <c r="MCJ86" s="32"/>
      <c r="MCK86" s="32"/>
      <c r="MCL86" s="32"/>
      <c r="MCM86" s="32"/>
      <c r="MCN86" s="32"/>
      <c r="MCO86" s="32"/>
      <c r="MCP86" s="32"/>
      <c r="MCQ86" s="32"/>
      <c r="MCR86" s="32"/>
      <c r="MCS86" s="32"/>
      <c r="MCT86" s="32"/>
      <c r="MCU86" s="32"/>
      <c r="MCV86" s="32"/>
      <c r="MCW86" s="32"/>
      <c r="MCX86" s="32"/>
      <c r="MCY86" s="32"/>
      <c r="MCZ86" s="32"/>
      <c r="MDA86" s="32"/>
      <c r="MDB86" s="32"/>
      <c r="MDC86" s="32"/>
      <c r="MDD86" s="32"/>
      <c r="MDE86" s="32"/>
      <c r="MDF86" s="32"/>
      <c r="MDG86" s="32"/>
      <c r="MDH86" s="32"/>
      <c r="MDI86" s="32"/>
      <c r="MDJ86" s="32"/>
      <c r="MDK86" s="32"/>
      <c r="MDL86" s="32"/>
      <c r="MDM86" s="32"/>
      <c r="MDN86" s="32"/>
      <c r="MDO86" s="32"/>
      <c r="MDP86" s="32"/>
      <c r="MDQ86" s="32"/>
      <c r="MDR86" s="32"/>
      <c r="MDS86" s="32"/>
      <c r="MDT86" s="32"/>
      <c r="MDU86" s="32"/>
      <c r="MDV86" s="32"/>
      <c r="MDW86" s="32"/>
      <c r="MDX86" s="32"/>
      <c r="MDY86" s="32"/>
      <c r="MDZ86" s="32"/>
      <c r="MEA86" s="32"/>
      <c r="MEB86" s="32"/>
      <c r="MEC86" s="32"/>
      <c r="MED86" s="32"/>
      <c r="MEE86" s="32"/>
      <c r="MEF86" s="32"/>
      <c r="MEG86" s="32"/>
      <c r="MEH86" s="32"/>
      <c r="MEI86" s="32"/>
      <c r="MEJ86" s="32"/>
      <c r="MEK86" s="32"/>
      <c r="MEL86" s="32"/>
      <c r="MEM86" s="32"/>
      <c r="MEN86" s="32"/>
      <c r="MEO86" s="32"/>
      <c r="MEP86" s="32"/>
      <c r="MEQ86" s="32"/>
      <c r="MER86" s="32"/>
      <c r="MES86" s="32"/>
      <c r="MET86" s="32"/>
      <c r="MEU86" s="32"/>
      <c r="MEV86" s="32"/>
      <c r="MEW86" s="32"/>
      <c r="MEX86" s="32"/>
      <c r="MEY86" s="32"/>
      <c r="MEZ86" s="32"/>
      <c r="MFA86" s="32"/>
      <c r="MFB86" s="32"/>
      <c r="MFC86" s="32"/>
      <c r="MFD86" s="32"/>
      <c r="MFE86" s="32"/>
      <c r="MFF86" s="32"/>
      <c r="MFG86" s="32"/>
      <c r="MFH86" s="32"/>
      <c r="MFI86" s="32"/>
      <c r="MFJ86" s="32"/>
      <c r="MFK86" s="32"/>
      <c r="MFL86" s="32"/>
      <c r="MFM86" s="32"/>
      <c r="MFN86" s="32"/>
      <c r="MFO86" s="32"/>
      <c r="MFP86" s="32"/>
      <c r="MFQ86" s="32"/>
      <c r="MFR86" s="32"/>
      <c r="MFS86" s="32"/>
      <c r="MFT86" s="32"/>
      <c r="MFU86" s="32"/>
      <c r="MFV86" s="32"/>
      <c r="MFW86" s="32"/>
      <c r="MFX86" s="32"/>
      <c r="MFY86" s="32"/>
      <c r="MFZ86" s="32"/>
      <c r="MGA86" s="32"/>
      <c r="MGB86" s="32"/>
      <c r="MGC86" s="32"/>
      <c r="MGD86" s="32"/>
      <c r="MGE86" s="32"/>
      <c r="MGF86" s="32"/>
      <c r="MGG86" s="32"/>
      <c r="MGH86" s="32"/>
      <c r="MGI86" s="32"/>
      <c r="MGJ86" s="32"/>
      <c r="MGK86" s="32"/>
      <c r="MGL86" s="32"/>
      <c r="MGM86" s="32"/>
      <c r="MGN86" s="32"/>
      <c r="MGO86" s="32"/>
      <c r="MGP86" s="32"/>
      <c r="MGQ86" s="32"/>
      <c r="MGR86" s="32"/>
      <c r="MGS86" s="32"/>
      <c r="MGT86" s="32"/>
      <c r="MGU86" s="32"/>
      <c r="MGV86" s="32"/>
      <c r="MGW86" s="32"/>
      <c r="MGX86" s="32"/>
      <c r="MGY86" s="32"/>
      <c r="MGZ86" s="32"/>
      <c r="MHA86" s="32"/>
      <c r="MHB86" s="32"/>
      <c r="MHC86" s="32"/>
      <c r="MHD86" s="32"/>
      <c r="MHE86" s="32"/>
      <c r="MHF86" s="32"/>
      <c r="MHG86" s="32"/>
      <c r="MHH86" s="32"/>
      <c r="MHI86" s="32"/>
      <c r="MHJ86" s="32"/>
      <c r="MHK86" s="32"/>
      <c r="MHL86" s="32"/>
      <c r="MHM86" s="32"/>
      <c r="MHN86" s="32"/>
      <c r="MHO86" s="32"/>
      <c r="MHP86" s="32"/>
      <c r="MHQ86" s="32"/>
      <c r="MHR86" s="32"/>
      <c r="MHS86" s="32"/>
      <c r="MHT86" s="32"/>
      <c r="MHU86" s="32"/>
      <c r="MHV86" s="32"/>
      <c r="MHW86" s="32"/>
      <c r="MHX86" s="32"/>
      <c r="MHY86" s="32"/>
      <c r="MHZ86" s="32"/>
      <c r="MIA86" s="32"/>
      <c r="MIB86" s="32"/>
      <c r="MIC86" s="32"/>
      <c r="MID86" s="32"/>
      <c r="MIE86" s="32"/>
      <c r="MIF86" s="32"/>
      <c r="MIG86" s="32"/>
      <c r="MIH86" s="32"/>
      <c r="MII86" s="32"/>
      <c r="MIJ86" s="32"/>
      <c r="MIK86" s="32"/>
      <c r="MIL86" s="32"/>
      <c r="MIM86" s="32"/>
      <c r="MIN86" s="32"/>
      <c r="MIO86" s="32"/>
      <c r="MIP86" s="32"/>
      <c r="MIQ86" s="32"/>
      <c r="MIR86" s="32"/>
      <c r="MIS86" s="32"/>
      <c r="MIT86" s="32"/>
      <c r="MIU86" s="32"/>
      <c r="MIV86" s="32"/>
      <c r="MIW86" s="32"/>
      <c r="MIX86" s="32"/>
      <c r="MIY86" s="32"/>
      <c r="MIZ86" s="32"/>
      <c r="MJA86" s="32"/>
      <c r="MJB86" s="32"/>
      <c r="MJC86" s="32"/>
      <c r="MJD86" s="32"/>
      <c r="MJE86" s="32"/>
      <c r="MJF86" s="32"/>
      <c r="MJG86" s="32"/>
      <c r="MJH86" s="32"/>
      <c r="MJI86" s="32"/>
      <c r="MJJ86" s="32"/>
      <c r="MJK86" s="32"/>
      <c r="MJL86" s="32"/>
      <c r="MJM86" s="32"/>
      <c r="MJN86" s="32"/>
      <c r="MJO86" s="32"/>
      <c r="MJP86" s="32"/>
      <c r="MJQ86" s="32"/>
      <c r="MJR86" s="32"/>
      <c r="MJS86" s="32"/>
      <c r="MJT86" s="32"/>
      <c r="MJU86" s="32"/>
      <c r="MJV86" s="32"/>
      <c r="MJW86" s="32"/>
      <c r="MJX86" s="32"/>
      <c r="MJY86" s="32"/>
      <c r="MJZ86" s="32"/>
      <c r="MKA86" s="32"/>
      <c r="MKB86" s="32"/>
      <c r="MKC86" s="32"/>
      <c r="MKD86" s="32"/>
      <c r="MKE86" s="32"/>
      <c r="MKF86" s="32"/>
      <c r="MKG86" s="32"/>
      <c r="MKH86" s="32"/>
      <c r="MKI86" s="32"/>
      <c r="MKJ86" s="32"/>
      <c r="MKK86" s="32"/>
      <c r="MKL86" s="32"/>
      <c r="MKM86" s="32"/>
      <c r="MKN86" s="32"/>
      <c r="MKO86" s="32"/>
      <c r="MKP86" s="32"/>
      <c r="MKQ86" s="32"/>
      <c r="MKR86" s="32"/>
      <c r="MKS86" s="32"/>
      <c r="MKT86" s="32"/>
      <c r="MKU86" s="32"/>
      <c r="MKV86" s="32"/>
      <c r="MKW86" s="32"/>
      <c r="MKX86" s="32"/>
      <c r="MKY86" s="32"/>
      <c r="MKZ86" s="32"/>
      <c r="MLA86" s="32"/>
      <c r="MLB86" s="32"/>
      <c r="MLC86" s="32"/>
      <c r="MLD86" s="32"/>
      <c r="MLE86" s="32"/>
      <c r="MLF86" s="32"/>
      <c r="MLG86" s="32"/>
      <c r="MLH86" s="32"/>
      <c r="MLI86" s="32"/>
      <c r="MLJ86" s="32"/>
      <c r="MLK86" s="32"/>
      <c r="MLL86" s="32"/>
      <c r="MLM86" s="32"/>
      <c r="MLN86" s="32"/>
      <c r="MLO86" s="32"/>
      <c r="MLP86" s="32"/>
      <c r="MLQ86" s="32"/>
      <c r="MLR86" s="32"/>
      <c r="MLS86" s="32"/>
      <c r="MLT86" s="32"/>
      <c r="MLU86" s="32"/>
      <c r="MLV86" s="32"/>
      <c r="MLW86" s="32"/>
      <c r="MLX86" s="32"/>
      <c r="MLY86" s="32"/>
      <c r="MLZ86" s="32"/>
      <c r="MMA86" s="32"/>
      <c r="MMB86" s="32"/>
      <c r="MMC86" s="32"/>
      <c r="MMD86" s="32"/>
      <c r="MME86" s="32"/>
      <c r="MMF86" s="32"/>
      <c r="MMG86" s="32"/>
      <c r="MMH86" s="32"/>
      <c r="MMI86" s="32"/>
      <c r="MMJ86" s="32"/>
      <c r="MMK86" s="32"/>
      <c r="MML86" s="32"/>
      <c r="MMM86" s="32"/>
      <c r="MMN86" s="32"/>
      <c r="MMO86" s="32"/>
      <c r="MMP86" s="32"/>
      <c r="MMQ86" s="32"/>
      <c r="MMR86" s="32"/>
      <c r="MMS86" s="32"/>
      <c r="MMT86" s="32"/>
      <c r="MMU86" s="32"/>
      <c r="MMV86" s="32"/>
      <c r="MMW86" s="32"/>
      <c r="MMX86" s="32"/>
      <c r="MMY86" s="32"/>
      <c r="MMZ86" s="32"/>
      <c r="MNA86" s="32"/>
      <c r="MNB86" s="32"/>
      <c r="MNC86" s="32"/>
      <c r="MND86" s="32"/>
      <c r="MNE86" s="32"/>
      <c r="MNF86" s="32"/>
      <c r="MNG86" s="32"/>
      <c r="MNH86" s="32"/>
      <c r="MNI86" s="32"/>
      <c r="MNJ86" s="32"/>
      <c r="MNK86" s="32"/>
      <c r="MNL86" s="32"/>
      <c r="MNM86" s="32"/>
      <c r="MNN86" s="32"/>
      <c r="MNO86" s="32"/>
      <c r="MNP86" s="32"/>
      <c r="MNQ86" s="32"/>
      <c r="MNR86" s="32"/>
      <c r="MNS86" s="32"/>
      <c r="MNT86" s="32"/>
      <c r="MNU86" s="32"/>
      <c r="MNV86" s="32"/>
      <c r="MNW86" s="32"/>
      <c r="MNX86" s="32"/>
      <c r="MNY86" s="32"/>
      <c r="MNZ86" s="32"/>
      <c r="MOA86" s="32"/>
      <c r="MOB86" s="32"/>
      <c r="MOC86" s="32"/>
      <c r="MOD86" s="32"/>
      <c r="MOE86" s="32"/>
      <c r="MOF86" s="32"/>
      <c r="MOG86" s="32"/>
      <c r="MOH86" s="32"/>
      <c r="MOI86" s="32"/>
      <c r="MOJ86" s="32"/>
      <c r="MOK86" s="32"/>
      <c r="MOL86" s="32"/>
      <c r="MOM86" s="32"/>
      <c r="MON86" s="32"/>
      <c r="MOO86" s="32"/>
      <c r="MOP86" s="32"/>
      <c r="MOQ86" s="32"/>
      <c r="MOR86" s="32"/>
      <c r="MOS86" s="32"/>
      <c r="MOT86" s="32"/>
      <c r="MOU86" s="32"/>
      <c r="MOV86" s="32"/>
      <c r="MOW86" s="32"/>
      <c r="MOX86" s="32"/>
      <c r="MOY86" s="32"/>
      <c r="MOZ86" s="32"/>
      <c r="MPA86" s="32"/>
      <c r="MPB86" s="32"/>
      <c r="MPC86" s="32"/>
      <c r="MPD86" s="32"/>
      <c r="MPE86" s="32"/>
      <c r="MPF86" s="32"/>
      <c r="MPG86" s="32"/>
      <c r="MPH86" s="32"/>
      <c r="MPI86" s="32"/>
      <c r="MPJ86" s="32"/>
      <c r="MPK86" s="32"/>
      <c r="MPL86" s="32"/>
      <c r="MPM86" s="32"/>
      <c r="MPN86" s="32"/>
      <c r="MPO86" s="32"/>
      <c r="MPP86" s="32"/>
      <c r="MPQ86" s="32"/>
      <c r="MPR86" s="32"/>
      <c r="MPS86" s="32"/>
      <c r="MPT86" s="32"/>
      <c r="MPU86" s="32"/>
      <c r="MPV86" s="32"/>
      <c r="MPW86" s="32"/>
      <c r="MPX86" s="32"/>
      <c r="MPY86" s="32"/>
      <c r="MPZ86" s="32"/>
      <c r="MQA86" s="32"/>
      <c r="MQB86" s="32"/>
      <c r="MQC86" s="32"/>
      <c r="MQD86" s="32"/>
      <c r="MQE86" s="32"/>
      <c r="MQF86" s="32"/>
      <c r="MQG86" s="32"/>
      <c r="MQH86" s="32"/>
      <c r="MQI86" s="32"/>
      <c r="MQJ86" s="32"/>
      <c r="MQK86" s="32"/>
      <c r="MQL86" s="32"/>
      <c r="MQM86" s="32"/>
      <c r="MQN86" s="32"/>
      <c r="MQO86" s="32"/>
      <c r="MQP86" s="32"/>
      <c r="MQQ86" s="32"/>
      <c r="MQR86" s="32"/>
      <c r="MQS86" s="32"/>
      <c r="MQT86" s="32"/>
      <c r="MQU86" s="32"/>
      <c r="MQV86" s="32"/>
      <c r="MQW86" s="32"/>
      <c r="MQX86" s="32"/>
      <c r="MQY86" s="32"/>
      <c r="MQZ86" s="32"/>
      <c r="MRA86" s="32"/>
      <c r="MRB86" s="32"/>
      <c r="MRC86" s="32"/>
      <c r="MRD86" s="32"/>
      <c r="MRE86" s="32"/>
      <c r="MRF86" s="32"/>
      <c r="MRG86" s="32"/>
      <c r="MRH86" s="32"/>
      <c r="MRI86" s="32"/>
      <c r="MRJ86" s="32"/>
      <c r="MRK86" s="32"/>
      <c r="MRL86" s="32"/>
      <c r="MRM86" s="32"/>
      <c r="MRN86" s="32"/>
      <c r="MRO86" s="32"/>
      <c r="MRP86" s="32"/>
      <c r="MRQ86" s="32"/>
      <c r="MRR86" s="32"/>
      <c r="MRS86" s="32"/>
      <c r="MRT86" s="32"/>
      <c r="MRU86" s="32"/>
      <c r="MRV86" s="32"/>
      <c r="MRW86" s="32"/>
      <c r="MRX86" s="32"/>
      <c r="MRY86" s="32"/>
      <c r="MRZ86" s="32"/>
      <c r="MSA86" s="32"/>
      <c r="MSB86" s="32"/>
      <c r="MSC86" s="32"/>
      <c r="MSD86" s="32"/>
      <c r="MSE86" s="32"/>
      <c r="MSF86" s="32"/>
      <c r="MSG86" s="32"/>
      <c r="MSH86" s="32"/>
      <c r="MSI86" s="32"/>
      <c r="MSJ86" s="32"/>
      <c r="MSK86" s="32"/>
      <c r="MSL86" s="32"/>
      <c r="MSM86" s="32"/>
      <c r="MSN86" s="32"/>
      <c r="MSO86" s="32"/>
      <c r="MSP86" s="32"/>
      <c r="MSQ86" s="32"/>
      <c r="MSR86" s="32"/>
      <c r="MSS86" s="32"/>
      <c r="MST86" s="32"/>
      <c r="MSU86" s="32"/>
      <c r="MSV86" s="32"/>
      <c r="MSW86" s="32"/>
      <c r="MSX86" s="32"/>
      <c r="MSY86" s="32"/>
      <c r="MSZ86" s="32"/>
      <c r="MTA86" s="32"/>
      <c r="MTB86" s="32"/>
      <c r="MTC86" s="32"/>
      <c r="MTD86" s="32"/>
      <c r="MTE86" s="32"/>
      <c r="MTF86" s="32"/>
      <c r="MTG86" s="32"/>
      <c r="MTH86" s="32"/>
      <c r="MTI86" s="32"/>
      <c r="MTJ86" s="32"/>
      <c r="MTK86" s="32"/>
      <c r="MTL86" s="32"/>
      <c r="MTM86" s="32"/>
      <c r="MTN86" s="32"/>
      <c r="MTO86" s="32"/>
      <c r="MTP86" s="32"/>
      <c r="MTQ86" s="32"/>
      <c r="MTR86" s="32"/>
      <c r="MTS86" s="32"/>
      <c r="MTT86" s="32"/>
      <c r="MTU86" s="32"/>
      <c r="MTV86" s="32"/>
      <c r="MTW86" s="32"/>
      <c r="MTX86" s="32"/>
      <c r="MTY86" s="32"/>
      <c r="MTZ86" s="32"/>
      <c r="MUA86" s="32"/>
      <c r="MUB86" s="32"/>
      <c r="MUC86" s="32"/>
      <c r="MUD86" s="32"/>
      <c r="MUE86" s="32"/>
      <c r="MUF86" s="32"/>
      <c r="MUG86" s="32"/>
      <c r="MUH86" s="32"/>
      <c r="MUI86" s="32"/>
      <c r="MUJ86" s="32"/>
      <c r="MUK86" s="32"/>
      <c r="MUL86" s="32"/>
      <c r="MUM86" s="32"/>
      <c r="MUN86" s="32"/>
      <c r="MUO86" s="32"/>
      <c r="MUP86" s="32"/>
      <c r="MUQ86" s="32"/>
      <c r="MUR86" s="32"/>
      <c r="MUS86" s="32"/>
      <c r="MUT86" s="32"/>
      <c r="MUU86" s="32"/>
      <c r="MUV86" s="32"/>
      <c r="MUW86" s="32"/>
      <c r="MUX86" s="32"/>
      <c r="MUY86" s="32"/>
      <c r="MUZ86" s="32"/>
      <c r="MVA86" s="32"/>
      <c r="MVB86" s="32"/>
      <c r="MVC86" s="32"/>
      <c r="MVD86" s="32"/>
      <c r="MVE86" s="32"/>
      <c r="MVF86" s="32"/>
      <c r="MVG86" s="32"/>
      <c r="MVH86" s="32"/>
      <c r="MVI86" s="32"/>
      <c r="MVJ86" s="32"/>
      <c r="MVK86" s="32"/>
      <c r="MVL86" s="32"/>
      <c r="MVM86" s="32"/>
      <c r="MVN86" s="32"/>
      <c r="MVO86" s="32"/>
      <c r="MVP86" s="32"/>
      <c r="MVQ86" s="32"/>
      <c r="MVR86" s="32"/>
      <c r="MVS86" s="32"/>
      <c r="MVT86" s="32"/>
      <c r="MVU86" s="32"/>
      <c r="MVV86" s="32"/>
      <c r="MVW86" s="32"/>
      <c r="MVX86" s="32"/>
      <c r="MVY86" s="32"/>
      <c r="MVZ86" s="32"/>
      <c r="MWA86" s="32"/>
      <c r="MWB86" s="32"/>
      <c r="MWC86" s="32"/>
      <c r="MWD86" s="32"/>
      <c r="MWE86" s="32"/>
      <c r="MWF86" s="32"/>
      <c r="MWG86" s="32"/>
      <c r="MWH86" s="32"/>
      <c r="MWI86" s="32"/>
      <c r="MWJ86" s="32"/>
      <c r="MWK86" s="32"/>
      <c r="MWL86" s="32"/>
      <c r="MWM86" s="32"/>
      <c r="MWN86" s="32"/>
      <c r="MWO86" s="32"/>
      <c r="MWP86" s="32"/>
      <c r="MWQ86" s="32"/>
      <c r="MWR86" s="32"/>
      <c r="MWS86" s="32"/>
      <c r="MWT86" s="32"/>
      <c r="MWU86" s="32"/>
      <c r="MWV86" s="32"/>
      <c r="MWW86" s="32"/>
      <c r="MWX86" s="32"/>
      <c r="MWY86" s="32"/>
      <c r="MWZ86" s="32"/>
      <c r="MXA86" s="32"/>
      <c r="MXB86" s="32"/>
      <c r="MXC86" s="32"/>
      <c r="MXD86" s="32"/>
      <c r="MXE86" s="32"/>
      <c r="MXF86" s="32"/>
      <c r="MXG86" s="32"/>
      <c r="MXH86" s="32"/>
      <c r="MXI86" s="32"/>
      <c r="MXJ86" s="32"/>
      <c r="MXK86" s="32"/>
      <c r="MXL86" s="32"/>
      <c r="MXM86" s="32"/>
      <c r="MXN86" s="32"/>
      <c r="MXO86" s="32"/>
      <c r="MXP86" s="32"/>
      <c r="MXQ86" s="32"/>
      <c r="MXR86" s="32"/>
      <c r="MXS86" s="32"/>
      <c r="MXT86" s="32"/>
      <c r="MXU86" s="32"/>
      <c r="MXV86" s="32"/>
      <c r="MXW86" s="32"/>
      <c r="MXX86" s="32"/>
      <c r="MXY86" s="32"/>
      <c r="MXZ86" s="32"/>
      <c r="MYA86" s="32"/>
      <c r="MYB86" s="32"/>
      <c r="MYC86" s="32"/>
      <c r="MYD86" s="32"/>
      <c r="MYE86" s="32"/>
      <c r="MYF86" s="32"/>
      <c r="MYG86" s="32"/>
      <c r="MYH86" s="32"/>
      <c r="MYI86" s="32"/>
      <c r="MYJ86" s="32"/>
      <c r="MYK86" s="32"/>
      <c r="MYL86" s="32"/>
      <c r="MYM86" s="32"/>
      <c r="MYN86" s="32"/>
      <c r="MYO86" s="32"/>
      <c r="MYP86" s="32"/>
      <c r="MYQ86" s="32"/>
      <c r="MYR86" s="32"/>
      <c r="MYS86" s="32"/>
      <c r="MYT86" s="32"/>
      <c r="MYU86" s="32"/>
      <c r="MYV86" s="32"/>
      <c r="MYW86" s="32"/>
      <c r="MYX86" s="32"/>
      <c r="MYY86" s="32"/>
      <c r="MYZ86" s="32"/>
      <c r="MZA86" s="32"/>
      <c r="MZB86" s="32"/>
      <c r="MZC86" s="32"/>
      <c r="MZD86" s="32"/>
      <c r="MZE86" s="32"/>
      <c r="MZF86" s="32"/>
      <c r="MZG86" s="32"/>
      <c r="MZH86" s="32"/>
      <c r="MZI86" s="32"/>
      <c r="MZJ86" s="32"/>
      <c r="MZK86" s="32"/>
      <c r="MZL86" s="32"/>
      <c r="MZM86" s="32"/>
      <c r="MZN86" s="32"/>
      <c r="MZO86" s="32"/>
      <c r="MZP86" s="32"/>
      <c r="MZQ86" s="32"/>
      <c r="MZR86" s="32"/>
      <c r="MZS86" s="32"/>
      <c r="MZT86" s="32"/>
      <c r="MZU86" s="32"/>
      <c r="MZV86" s="32"/>
      <c r="MZW86" s="32"/>
      <c r="MZX86" s="32"/>
      <c r="MZY86" s="32"/>
      <c r="MZZ86" s="32"/>
      <c r="NAA86" s="32"/>
      <c r="NAB86" s="32"/>
      <c r="NAC86" s="32"/>
      <c r="NAD86" s="32"/>
      <c r="NAE86" s="32"/>
      <c r="NAF86" s="32"/>
      <c r="NAG86" s="32"/>
      <c r="NAH86" s="32"/>
      <c r="NAI86" s="32"/>
      <c r="NAJ86" s="32"/>
      <c r="NAK86" s="32"/>
      <c r="NAL86" s="32"/>
      <c r="NAM86" s="32"/>
      <c r="NAN86" s="32"/>
      <c r="NAO86" s="32"/>
      <c r="NAP86" s="32"/>
      <c r="NAQ86" s="32"/>
      <c r="NAR86" s="32"/>
      <c r="NAS86" s="32"/>
      <c r="NAT86" s="32"/>
      <c r="NAU86" s="32"/>
      <c r="NAV86" s="32"/>
      <c r="NAW86" s="32"/>
      <c r="NAX86" s="32"/>
      <c r="NAY86" s="32"/>
      <c r="NAZ86" s="32"/>
      <c r="NBA86" s="32"/>
      <c r="NBB86" s="32"/>
      <c r="NBC86" s="32"/>
      <c r="NBD86" s="32"/>
      <c r="NBE86" s="32"/>
      <c r="NBF86" s="32"/>
      <c r="NBG86" s="32"/>
      <c r="NBH86" s="32"/>
      <c r="NBI86" s="32"/>
      <c r="NBJ86" s="32"/>
      <c r="NBK86" s="32"/>
      <c r="NBL86" s="32"/>
      <c r="NBM86" s="32"/>
      <c r="NBN86" s="32"/>
      <c r="NBO86" s="32"/>
      <c r="NBP86" s="32"/>
      <c r="NBQ86" s="32"/>
      <c r="NBR86" s="32"/>
      <c r="NBS86" s="32"/>
      <c r="NBT86" s="32"/>
      <c r="NBU86" s="32"/>
      <c r="NBV86" s="32"/>
      <c r="NBW86" s="32"/>
      <c r="NBX86" s="32"/>
      <c r="NBY86" s="32"/>
      <c r="NBZ86" s="32"/>
      <c r="NCA86" s="32"/>
      <c r="NCB86" s="32"/>
      <c r="NCC86" s="32"/>
      <c r="NCD86" s="32"/>
      <c r="NCE86" s="32"/>
      <c r="NCF86" s="32"/>
      <c r="NCG86" s="32"/>
      <c r="NCH86" s="32"/>
      <c r="NCI86" s="32"/>
      <c r="NCJ86" s="32"/>
      <c r="NCK86" s="32"/>
      <c r="NCL86" s="32"/>
      <c r="NCM86" s="32"/>
      <c r="NCN86" s="32"/>
      <c r="NCO86" s="32"/>
      <c r="NCP86" s="32"/>
      <c r="NCQ86" s="32"/>
      <c r="NCR86" s="32"/>
      <c r="NCS86" s="32"/>
      <c r="NCT86" s="32"/>
      <c r="NCU86" s="32"/>
      <c r="NCV86" s="32"/>
      <c r="NCW86" s="32"/>
      <c r="NCX86" s="32"/>
      <c r="NCY86" s="32"/>
      <c r="NCZ86" s="32"/>
      <c r="NDA86" s="32"/>
      <c r="NDB86" s="32"/>
      <c r="NDC86" s="32"/>
      <c r="NDD86" s="32"/>
      <c r="NDE86" s="32"/>
      <c r="NDF86" s="32"/>
      <c r="NDG86" s="32"/>
      <c r="NDH86" s="32"/>
      <c r="NDI86" s="32"/>
      <c r="NDJ86" s="32"/>
      <c r="NDK86" s="32"/>
      <c r="NDL86" s="32"/>
      <c r="NDM86" s="32"/>
      <c r="NDN86" s="32"/>
      <c r="NDO86" s="32"/>
      <c r="NDP86" s="32"/>
      <c r="NDQ86" s="32"/>
      <c r="NDR86" s="32"/>
      <c r="NDS86" s="32"/>
      <c r="NDT86" s="32"/>
      <c r="NDU86" s="32"/>
      <c r="NDV86" s="32"/>
      <c r="NDW86" s="32"/>
      <c r="NDX86" s="32"/>
      <c r="NDY86" s="32"/>
      <c r="NDZ86" s="32"/>
      <c r="NEA86" s="32"/>
      <c r="NEB86" s="32"/>
      <c r="NEC86" s="32"/>
      <c r="NED86" s="32"/>
      <c r="NEE86" s="32"/>
      <c r="NEF86" s="32"/>
      <c r="NEG86" s="32"/>
      <c r="NEH86" s="32"/>
      <c r="NEI86" s="32"/>
      <c r="NEJ86" s="32"/>
      <c r="NEK86" s="32"/>
      <c r="NEL86" s="32"/>
      <c r="NEM86" s="32"/>
      <c r="NEN86" s="32"/>
      <c r="NEO86" s="32"/>
      <c r="NEP86" s="32"/>
      <c r="NEQ86" s="32"/>
      <c r="NER86" s="32"/>
      <c r="NES86" s="32"/>
      <c r="NET86" s="32"/>
      <c r="NEU86" s="32"/>
      <c r="NEV86" s="32"/>
      <c r="NEW86" s="32"/>
      <c r="NEX86" s="32"/>
      <c r="NEY86" s="32"/>
      <c r="NEZ86" s="32"/>
      <c r="NFA86" s="32"/>
      <c r="NFB86" s="32"/>
      <c r="NFC86" s="32"/>
      <c r="NFD86" s="32"/>
      <c r="NFE86" s="32"/>
      <c r="NFF86" s="32"/>
      <c r="NFG86" s="32"/>
      <c r="NFH86" s="32"/>
      <c r="NFI86" s="32"/>
      <c r="NFJ86" s="32"/>
      <c r="NFK86" s="32"/>
      <c r="NFL86" s="32"/>
      <c r="NFM86" s="32"/>
      <c r="NFN86" s="32"/>
      <c r="NFO86" s="32"/>
      <c r="NFP86" s="32"/>
      <c r="NFQ86" s="32"/>
      <c r="NFR86" s="32"/>
      <c r="NFS86" s="32"/>
      <c r="NFT86" s="32"/>
      <c r="NFU86" s="32"/>
      <c r="NFV86" s="32"/>
      <c r="NFW86" s="32"/>
      <c r="NFX86" s="32"/>
      <c r="NFY86" s="32"/>
      <c r="NFZ86" s="32"/>
      <c r="NGA86" s="32"/>
      <c r="NGB86" s="32"/>
      <c r="NGC86" s="32"/>
      <c r="NGD86" s="32"/>
      <c r="NGE86" s="32"/>
      <c r="NGF86" s="32"/>
      <c r="NGG86" s="32"/>
      <c r="NGH86" s="32"/>
      <c r="NGI86" s="32"/>
      <c r="NGJ86" s="32"/>
      <c r="NGK86" s="32"/>
      <c r="NGL86" s="32"/>
      <c r="NGM86" s="32"/>
      <c r="NGN86" s="32"/>
      <c r="NGO86" s="32"/>
      <c r="NGP86" s="32"/>
      <c r="NGQ86" s="32"/>
      <c r="NGR86" s="32"/>
      <c r="NGS86" s="32"/>
      <c r="NGT86" s="32"/>
      <c r="NGU86" s="32"/>
      <c r="NGV86" s="32"/>
      <c r="NGW86" s="32"/>
      <c r="NGX86" s="32"/>
      <c r="NGY86" s="32"/>
      <c r="NGZ86" s="32"/>
      <c r="NHA86" s="32"/>
      <c r="NHB86" s="32"/>
      <c r="NHC86" s="32"/>
      <c r="NHD86" s="32"/>
      <c r="NHE86" s="32"/>
      <c r="NHF86" s="32"/>
      <c r="NHG86" s="32"/>
      <c r="NHH86" s="32"/>
      <c r="NHI86" s="32"/>
      <c r="NHJ86" s="32"/>
      <c r="NHK86" s="32"/>
      <c r="NHL86" s="32"/>
      <c r="NHM86" s="32"/>
      <c r="NHN86" s="32"/>
      <c r="NHO86" s="32"/>
      <c r="NHP86" s="32"/>
      <c r="NHQ86" s="32"/>
      <c r="NHR86" s="32"/>
      <c r="NHS86" s="32"/>
      <c r="NHT86" s="32"/>
      <c r="NHU86" s="32"/>
      <c r="NHV86" s="32"/>
      <c r="NHW86" s="32"/>
      <c r="NHX86" s="32"/>
      <c r="NHY86" s="32"/>
      <c r="NHZ86" s="32"/>
      <c r="NIA86" s="32"/>
      <c r="NIB86" s="32"/>
      <c r="NIC86" s="32"/>
      <c r="NID86" s="32"/>
      <c r="NIE86" s="32"/>
      <c r="NIF86" s="32"/>
      <c r="NIG86" s="32"/>
      <c r="NIH86" s="32"/>
      <c r="NII86" s="32"/>
      <c r="NIJ86" s="32"/>
      <c r="NIK86" s="32"/>
      <c r="NIL86" s="32"/>
      <c r="NIM86" s="32"/>
      <c r="NIN86" s="32"/>
      <c r="NIO86" s="32"/>
      <c r="NIP86" s="32"/>
      <c r="NIQ86" s="32"/>
      <c r="NIR86" s="32"/>
      <c r="NIS86" s="32"/>
      <c r="NIT86" s="32"/>
      <c r="NIU86" s="32"/>
      <c r="NIV86" s="32"/>
      <c r="NIW86" s="32"/>
      <c r="NIX86" s="32"/>
      <c r="NIY86" s="32"/>
      <c r="NIZ86" s="32"/>
      <c r="NJA86" s="32"/>
      <c r="NJB86" s="32"/>
      <c r="NJC86" s="32"/>
      <c r="NJD86" s="32"/>
      <c r="NJE86" s="32"/>
      <c r="NJF86" s="32"/>
      <c r="NJG86" s="32"/>
      <c r="NJH86" s="32"/>
      <c r="NJI86" s="32"/>
      <c r="NJJ86" s="32"/>
      <c r="NJK86" s="32"/>
      <c r="NJL86" s="32"/>
      <c r="NJM86" s="32"/>
      <c r="NJN86" s="32"/>
      <c r="NJO86" s="32"/>
      <c r="NJP86" s="32"/>
      <c r="NJQ86" s="32"/>
      <c r="NJR86" s="32"/>
      <c r="NJS86" s="32"/>
      <c r="NJT86" s="32"/>
      <c r="NJU86" s="32"/>
      <c r="NJV86" s="32"/>
      <c r="NJW86" s="32"/>
      <c r="NJX86" s="32"/>
      <c r="NJY86" s="32"/>
      <c r="NJZ86" s="32"/>
      <c r="NKA86" s="32"/>
      <c r="NKB86" s="32"/>
      <c r="NKC86" s="32"/>
      <c r="NKD86" s="32"/>
      <c r="NKE86" s="32"/>
      <c r="NKF86" s="32"/>
      <c r="NKG86" s="32"/>
      <c r="NKH86" s="32"/>
      <c r="NKI86" s="32"/>
      <c r="NKJ86" s="32"/>
      <c r="NKK86" s="32"/>
      <c r="NKL86" s="32"/>
      <c r="NKM86" s="32"/>
      <c r="NKN86" s="32"/>
      <c r="NKO86" s="32"/>
      <c r="NKP86" s="32"/>
      <c r="NKQ86" s="32"/>
      <c r="NKR86" s="32"/>
      <c r="NKS86" s="32"/>
      <c r="NKT86" s="32"/>
      <c r="NKU86" s="32"/>
      <c r="NKV86" s="32"/>
      <c r="NKW86" s="32"/>
      <c r="NKX86" s="32"/>
      <c r="NKY86" s="32"/>
      <c r="NKZ86" s="32"/>
      <c r="NLA86" s="32"/>
      <c r="NLB86" s="32"/>
      <c r="NLC86" s="32"/>
      <c r="NLD86" s="32"/>
      <c r="NLE86" s="32"/>
      <c r="NLF86" s="32"/>
      <c r="NLG86" s="32"/>
      <c r="NLH86" s="32"/>
      <c r="NLI86" s="32"/>
      <c r="NLJ86" s="32"/>
      <c r="NLK86" s="32"/>
      <c r="NLL86" s="32"/>
      <c r="NLM86" s="32"/>
      <c r="NLN86" s="32"/>
      <c r="NLO86" s="32"/>
      <c r="NLP86" s="32"/>
      <c r="NLQ86" s="32"/>
      <c r="NLR86" s="32"/>
      <c r="NLS86" s="32"/>
      <c r="NLT86" s="32"/>
      <c r="NLU86" s="32"/>
      <c r="NLV86" s="32"/>
      <c r="NLW86" s="32"/>
      <c r="NLX86" s="32"/>
      <c r="NLY86" s="32"/>
      <c r="NLZ86" s="32"/>
      <c r="NMA86" s="32"/>
      <c r="NMB86" s="32"/>
      <c r="NMC86" s="32"/>
      <c r="NMD86" s="32"/>
      <c r="NME86" s="32"/>
      <c r="NMF86" s="32"/>
      <c r="NMG86" s="32"/>
      <c r="NMH86" s="32"/>
      <c r="NMI86" s="32"/>
      <c r="NMJ86" s="32"/>
      <c r="NMK86" s="32"/>
      <c r="NML86" s="32"/>
      <c r="NMM86" s="32"/>
      <c r="NMN86" s="32"/>
      <c r="NMO86" s="32"/>
      <c r="NMP86" s="32"/>
      <c r="NMQ86" s="32"/>
      <c r="NMR86" s="32"/>
      <c r="NMS86" s="32"/>
      <c r="NMT86" s="32"/>
      <c r="NMU86" s="32"/>
      <c r="NMV86" s="32"/>
      <c r="NMW86" s="32"/>
      <c r="NMX86" s="32"/>
      <c r="NMY86" s="32"/>
      <c r="NMZ86" s="32"/>
      <c r="NNA86" s="32"/>
      <c r="NNB86" s="32"/>
      <c r="NNC86" s="32"/>
      <c r="NND86" s="32"/>
      <c r="NNE86" s="32"/>
      <c r="NNF86" s="32"/>
      <c r="NNG86" s="32"/>
      <c r="NNH86" s="32"/>
      <c r="NNI86" s="32"/>
      <c r="NNJ86" s="32"/>
      <c r="NNK86" s="32"/>
      <c r="NNL86" s="32"/>
      <c r="NNM86" s="32"/>
      <c r="NNN86" s="32"/>
      <c r="NNO86" s="32"/>
      <c r="NNP86" s="32"/>
      <c r="NNQ86" s="32"/>
      <c r="NNR86" s="32"/>
      <c r="NNS86" s="32"/>
      <c r="NNT86" s="32"/>
      <c r="NNU86" s="32"/>
      <c r="NNV86" s="32"/>
      <c r="NNW86" s="32"/>
      <c r="NNX86" s="32"/>
      <c r="NNY86" s="32"/>
      <c r="NNZ86" s="32"/>
      <c r="NOA86" s="32"/>
      <c r="NOB86" s="32"/>
      <c r="NOC86" s="32"/>
      <c r="NOD86" s="32"/>
      <c r="NOE86" s="32"/>
      <c r="NOF86" s="32"/>
      <c r="NOG86" s="32"/>
      <c r="NOH86" s="32"/>
      <c r="NOI86" s="32"/>
      <c r="NOJ86" s="32"/>
      <c r="NOK86" s="32"/>
      <c r="NOL86" s="32"/>
      <c r="NOM86" s="32"/>
      <c r="NON86" s="32"/>
      <c r="NOO86" s="32"/>
      <c r="NOP86" s="32"/>
      <c r="NOQ86" s="32"/>
      <c r="NOR86" s="32"/>
      <c r="NOS86" s="32"/>
      <c r="NOT86" s="32"/>
      <c r="NOU86" s="32"/>
      <c r="NOV86" s="32"/>
      <c r="NOW86" s="32"/>
      <c r="NOX86" s="32"/>
      <c r="NOY86" s="32"/>
      <c r="NOZ86" s="32"/>
      <c r="NPA86" s="32"/>
      <c r="NPB86" s="32"/>
      <c r="NPC86" s="32"/>
      <c r="NPD86" s="32"/>
      <c r="NPE86" s="32"/>
      <c r="NPF86" s="32"/>
      <c r="NPG86" s="32"/>
      <c r="NPH86" s="32"/>
      <c r="NPI86" s="32"/>
      <c r="NPJ86" s="32"/>
      <c r="NPK86" s="32"/>
      <c r="NPL86" s="32"/>
      <c r="NPM86" s="32"/>
      <c r="NPN86" s="32"/>
      <c r="NPO86" s="32"/>
      <c r="NPP86" s="32"/>
      <c r="NPQ86" s="32"/>
      <c r="NPR86" s="32"/>
      <c r="NPS86" s="32"/>
      <c r="NPT86" s="32"/>
      <c r="NPU86" s="32"/>
      <c r="NPV86" s="32"/>
      <c r="NPW86" s="32"/>
      <c r="NPX86" s="32"/>
      <c r="NPY86" s="32"/>
      <c r="NPZ86" s="32"/>
      <c r="NQA86" s="32"/>
      <c r="NQB86" s="32"/>
      <c r="NQC86" s="32"/>
      <c r="NQD86" s="32"/>
      <c r="NQE86" s="32"/>
      <c r="NQF86" s="32"/>
      <c r="NQG86" s="32"/>
      <c r="NQH86" s="32"/>
      <c r="NQI86" s="32"/>
      <c r="NQJ86" s="32"/>
      <c r="NQK86" s="32"/>
      <c r="NQL86" s="32"/>
      <c r="NQM86" s="32"/>
      <c r="NQN86" s="32"/>
      <c r="NQO86" s="32"/>
      <c r="NQP86" s="32"/>
      <c r="NQQ86" s="32"/>
      <c r="NQR86" s="32"/>
      <c r="NQS86" s="32"/>
      <c r="NQT86" s="32"/>
      <c r="NQU86" s="32"/>
      <c r="NQV86" s="32"/>
      <c r="NQW86" s="32"/>
      <c r="NQX86" s="32"/>
      <c r="NQY86" s="32"/>
      <c r="NQZ86" s="32"/>
      <c r="NRA86" s="32"/>
      <c r="NRB86" s="32"/>
      <c r="NRC86" s="32"/>
      <c r="NRD86" s="32"/>
      <c r="NRE86" s="32"/>
      <c r="NRF86" s="32"/>
      <c r="NRG86" s="32"/>
      <c r="NRH86" s="32"/>
      <c r="NRI86" s="32"/>
      <c r="NRJ86" s="32"/>
      <c r="NRK86" s="32"/>
      <c r="NRL86" s="32"/>
      <c r="NRM86" s="32"/>
      <c r="NRN86" s="32"/>
      <c r="NRO86" s="32"/>
      <c r="NRP86" s="32"/>
      <c r="NRQ86" s="32"/>
      <c r="NRR86" s="32"/>
      <c r="NRS86" s="32"/>
      <c r="NRT86" s="32"/>
      <c r="NRU86" s="32"/>
      <c r="NRV86" s="32"/>
      <c r="NRW86" s="32"/>
      <c r="NRX86" s="32"/>
      <c r="NRY86" s="32"/>
      <c r="NRZ86" s="32"/>
      <c r="NSA86" s="32"/>
      <c r="NSB86" s="32"/>
      <c r="NSC86" s="32"/>
      <c r="NSD86" s="32"/>
      <c r="NSE86" s="32"/>
      <c r="NSF86" s="32"/>
      <c r="NSG86" s="32"/>
      <c r="NSH86" s="32"/>
      <c r="NSI86" s="32"/>
      <c r="NSJ86" s="32"/>
      <c r="NSK86" s="32"/>
      <c r="NSL86" s="32"/>
      <c r="NSM86" s="32"/>
      <c r="NSN86" s="32"/>
      <c r="NSO86" s="32"/>
      <c r="NSP86" s="32"/>
      <c r="NSQ86" s="32"/>
      <c r="NSR86" s="32"/>
      <c r="NSS86" s="32"/>
      <c r="NST86" s="32"/>
      <c r="NSU86" s="32"/>
      <c r="NSV86" s="32"/>
      <c r="NSW86" s="32"/>
      <c r="NSX86" s="32"/>
      <c r="NSY86" s="32"/>
      <c r="NSZ86" s="32"/>
      <c r="NTA86" s="32"/>
      <c r="NTB86" s="32"/>
      <c r="NTC86" s="32"/>
      <c r="NTD86" s="32"/>
      <c r="NTE86" s="32"/>
      <c r="NTF86" s="32"/>
      <c r="NTG86" s="32"/>
      <c r="NTH86" s="32"/>
      <c r="NTI86" s="32"/>
      <c r="NTJ86" s="32"/>
      <c r="NTK86" s="32"/>
      <c r="NTL86" s="32"/>
      <c r="NTM86" s="32"/>
      <c r="NTN86" s="32"/>
      <c r="NTO86" s="32"/>
      <c r="NTP86" s="32"/>
      <c r="NTQ86" s="32"/>
      <c r="NTR86" s="32"/>
      <c r="NTS86" s="32"/>
      <c r="NTT86" s="32"/>
      <c r="NTU86" s="32"/>
      <c r="NTV86" s="32"/>
      <c r="NTW86" s="32"/>
      <c r="NTX86" s="32"/>
      <c r="NTY86" s="32"/>
      <c r="NTZ86" s="32"/>
      <c r="NUA86" s="32"/>
      <c r="NUB86" s="32"/>
      <c r="NUC86" s="32"/>
      <c r="NUD86" s="32"/>
      <c r="NUE86" s="32"/>
      <c r="NUF86" s="32"/>
      <c r="NUG86" s="32"/>
      <c r="NUH86" s="32"/>
      <c r="NUI86" s="32"/>
      <c r="NUJ86" s="32"/>
      <c r="NUK86" s="32"/>
      <c r="NUL86" s="32"/>
      <c r="NUM86" s="32"/>
      <c r="NUN86" s="32"/>
      <c r="NUO86" s="32"/>
      <c r="NUP86" s="32"/>
      <c r="NUQ86" s="32"/>
      <c r="NUR86" s="32"/>
      <c r="NUS86" s="32"/>
      <c r="NUT86" s="32"/>
      <c r="NUU86" s="32"/>
      <c r="NUV86" s="32"/>
      <c r="NUW86" s="32"/>
      <c r="NUX86" s="32"/>
      <c r="NUY86" s="32"/>
      <c r="NUZ86" s="32"/>
      <c r="NVA86" s="32"/>
      <c r="NVB86" s="32"/>
      <c r="NVC86" s="32"/>
      <c r="NVD86" s="32"/>
      <c r="NVE86" s="32"/>
      <c r="NVF86" s="32"/>
      <c r="NVG86" s="32"/>
      <c r="NVH86" s="32"/>
      <c r="NVI86" s="32"/>
      <c r="NVJ86" s="32"/>
      <c r="NVK86" s="32"/>
      <c r="NVL86" s="32"/>
      <c r="NVM86" s="32"/>
      <c r="NVN86" s="32"/>
      <c r="NVO86" s="32"/>
      <c r="NVP86" s="32"/>
      <c r="NVQ86" s="32"/>
      <c r="NVR86" s="32"/>
      <c r="NVS86" s="32"/>
      <c r="NVT86" s="32"/>
      <c r="NVU86" s="32"/>
      <c r="NVV86" s="32"/>
      <c r="NVW86" s="32"/>
      <c r="NVX86" s="32"/>
      <c r="NVY86" s="32"/>
      <c r="NVZ86" s="32"/>
      <c r="NWA86" s="32"/>
      <c r="NWB86" s="32"/>
      <c r="NWC86" s="32"/>
      <c r="NWD86" s="32"/>
      <c r="NWE86" s="32"/>
      <c r="NWF86" s="32"/>
      <c r="NWG86" s="32"/>
      <c r="NWH86" s="32"/>
      <c r="NWI86" s="32"/>
      <c r="NWJ86" s="32"/>
      <c r="NWK86" s="32"/>
      <c r="NWL86" s="32"/>
      <c r="NWM86" s="32"/>
      <c r="NWN86" s="32"/>
      <c r="NWO86" s="32"/>
      <c r="NWP86" s="32"/>
      <c r="NWQ86" s="32"/>
      <c r="NWR86" s="32"/>
      <c r="NWS86" s="32"/>
      <c r="NWT86" s="32"/>
      <c r="NWU86" s="32"/>
      <c r="NWV86" s="32"/>
      <c r="NWW86" s="32"/>
      <c r="NWX86" s="32"/>
      <c r="NWY86" s="32"/>
      <c r="NWZ86" s="32"/>
      <c r="NXA86" s="32"/>
      <c r="NXB86" s="32"/>
      <c r="NXC86" s="32"/>
      <c r="NXD86" s="32"/>
      <c r="NXE86" s="32"/>
      <c r="NXF86" s="32"/>
      <c r="NXG86" s="32"/>
      <c r="NXH86" s="32"/>
      <c r="NXI86" s="32"/>
      <c r="NXJ86" s="32"/>
      <c r="NXK86" s="32"/>
      <c r="NXL86" s="32"/>
      <c r="NXM86" s="32"/>
      <c r="NXN86" s="32"/>
      <c r="NXO86" s="32"/>
      <c r="NXP86" s="32"/>
      <c r="NXQ86" s="32"/>
      <c r="NXR86" s="32"/>
      <c r="NXS86" s="32"/>
      <c r="NXT86" s="32"/>
      <c r="NXU86" s="32"/>
      <c r="NXV86" s="32"/>
      <c r="NXW86" s="32"/>
      <c r="NXX86" s="32"/>
      <c r="NXY86" s="32"/>
      <c r="NXZ86" s="32"/>
      <c r="NYA86" s="32"/>
      <c r="NYB86" s="32"/>
      <c r="NYC86" s="32"/>
      <c r="NYD86" s="32"/>
      <c r="NYE86" s="32"/>
      <c r="NYF86" s="32"/>
      <c r="NYG86" s="32"/>
      <c r="NYH86" s="32"/>
      <c r="NYI86" s="32"/>
      <c r="NYJ86" s="32"/>
      <c r="NYK86" s="32"/>
      <c r="NYL86" s="32"/>
      <c r="NYM86" s="32"/>
      <c r="NYN86" s="32"/>
      <c r="NYO86" s="32"/>
      <c r="NYP86" s="32"/>
      <c r="NYQ86" s="32"/>
      <c r="NYR86" s="32"/>
      <c r="NYS86" s="32"/>
      <c r="NYT86" s="32"/>
      <c r="NYU86" s="32"/>
      <c r="NYV86" s="32"/>
      <c r="NYW86" s="32"/>
      <c r="NYX86" s="32"/>
      <c r="NYY86" s="32"/>
      <c r="NYZ86" s="32"/>
      <c r="NZA86" s="32"/>
      <c r="NZB86" s="32"/>
      <c r="NZC86" s="32"/>
      <c r="NZD86" s="32"/>
      <c r="NZE86" s="32"/>
      <c r="NZF86" s="32"/>
      <c r="NZG86" s="32"/>
      <c r="NZH86" s="32"/>
      <c r="NZI86" s="32"/>
      <c r="NZJ86" s="32"/>
      <c r="NZK86" s="32"/>
      <c r="NZL86" s="32"/>
      <c r="NZM86" s="32"/>
      <c r="NZN86" s="32"/>
      <c r="NZO86" s="32"/>
      <c r="NZP86" s="32"/>
      <c r="NZQ86" s="32"/>
      <c r="NZR86" s="32"/>
      <c r="NZS86" s="32"/>
      <c r="NZT86" s="32"/>
      <c r="NZU86" s="32"/>
      <c r="NZV86" s="32"/>
      <c r="NZW86" s="32"/>
      <c r="NZX86" s="32"/>
      <c r="NZY86" s="32"/>
      <c r="NZZ86" s="32"/>
      <c r="OAA86" s="32"/>
      <c r="OAB86" s="32"/>
      <c r="OAC86" s="32"/>
      <c r="OAD86" s="32"/>
      <c r="OAE86" s="32"/>
      <c r="OAF86" s="32"/>
      <c r="OAG86" s="32"/>
      <c r="OAH86" s="32"/>
      <c r="OAI86" s="32"/>
      <c r="OAJ86" s="32"/>
      <c r="OAK86" s="32"/>
      <c r="OAL86" s="32"/>
      <c r="OAM86" s="32"/>
      <c r="OAN86" s="32"/>
      <c r="OAO86" s="32"/>
      <c r="OAP86" s="32"/>
      <c r="OAQ86" s="32"/>
      <c r="OAR86" s="32"/>
      <c r="OAS86" s="32"/>
      <c r="OAT86" s="32"/>
      <c r="OAU86" s="32"/>
      <c r="OAV86" s="32"/>
      <c r="OAW86" s="32"/>
      <c r="OAX86" s="32"/>
      <c r="OAY86" s="32"/>
      <c r="OAZ86" s="32"/>
      <c r="OBA86" s="32"/>
      <c r="OBB86" s="32"/>
      <c r="OBC86" s="32"/>
      <c r="OBD86" s="32"/>
      <c r="OBE86" s="32"/>
      <c r="OBF86" s="32"/>
      <c r="OBG86" s="32"/>
      <c r="OBH86" s="32"/>
      <c r="OBI86" s="32"/>
      <c r="OBJ86" s="32"/>
      <c r="OBK86" s="32"/>
      <c r="OBL86" s="32"/>
      <c r="OBM86" s="32"/>
      <c r="OBN86" s="32"/>
      <c r="OBO86" s="32"/>
      <c r="OBP86" s="32"/>
      <c r="OBQ86" s="32"/>
      <c r="OBR86" s="32"/>
      <c r="OBS86" s="32"/>
      <c r="OBT86" s="32"/>
      <c r="OBU86" s="32"/>
      <c r="OBV86" s="32"/>
      <c r="OBW86" s="32"/>
      <c r="OBX86" s="32"/>
      <c r="OBY86" s="32"/>
      <c r="OBZ86" s="32"/>
      <c r="OCA86" s="32"/>
      <c r="OCB86" s="32"/>
      <c r="OCC86" s="32"/>
      <c r="OCD86" s="32"/>
      <c r="OCE86" s="32"/>
      <c r="OCF86" s="32"/>
      <c r="OCG86" s="32"/>
      <c r="OCH86" s="32"/>
      <c r="OCI86" s="32"/>
      <c r="OCJ86" s="32"/>
      <c r="OCK86" s="32"/>
      <c r="OCL86" s="32"/>
      <c r="OCM86" s="32"/>
      <c r="OCN86" s="32"/>
      <c r="OCO86" s="32"/>
      <c r="OCP86" s="32"/>
      <c r="OCQ86" s="32"/>
      <c r="OCR86" s="32"/>
      <c r="OCS86" s="32"/>
      <c r="OCT86" s="32"/>
      <c r="OCU86" s="32"/>
      <c r="OCV86" s="32"/>
      <c r="OCW86" s="32"/>
      <c r="OCX86" s="32"/>
      <c r="OCY86" s="32"/>
      <c r="OCZ86" s="32"/>
      <c r="ODA86" s="32"/>
      <c r="ODB86" s="32"/>
      <c r="ODC86" s="32"/>
      <c r="ODD86" s="32"/>
      <c r="ODE86" s="32"/>
      <c r="ODF86" s="32"/>
      <c r="ODG86" s="32"/>
      <c r="ODH86" s="32"/>
      <c r="ODI86" s="32"/>
      <c r="ODJ86" s="32"/>
      <c r="ODK86" s="32"/>
      <c r="ODL86" s="32"/>
      <c r="ODM86" s="32"/>
      <c r="ODN86" s="32"/>
      <c r="ODO86" s="32"/>
      <c r="ODP86" s="32"/>
      <c r="ODQ86" s="32"/>
      <c r="ODR86" s="32"/>
      <c r="ODS86" s="32"/>
      <c r="ODT86" s="32"/>
      <c r="ODU86" s="32"/>
      <c r="ODV86" s="32"/>
      <c r="ODW86" s="32"/>
      <c r="ODX86" s="32"/>
      <c r="ODY86" s="32"/>
      <c r="ODZ86" s="32"/>
      <c r="OEA86" s="32"/>
      <c r="OEB86" s="32"/>
      <c r="OEC86" s="32"/>
      <c r="OED86" s="32"/>
      <c r="OEE86" s="32"/>
      <c r="OEF86" s="32"/>
      <c r="OEG86" s="32"/>
      <c r="OEH86" s="32"/>
      <c r="OEI86" s="32"/>
      <c r="OEJ86" s="32"/>
      <c r="OEK86" s="32"/>
      <c r="OEL86" s="32"/>
      <c r="OEM86" s="32"/>
      <c r="OEN86" s="32"/>
      <c r="OEO86" s="32"/>
      <c r="OEP86" s="32"/>
      <c r="OEQ86" s="32"/>
      <c r="OER86" s="32"/>
      <c r="OES86" s="32"/>
      <c r="OET86" s="32"/>
      <c r="OEU86" s="32"/>
      <c r="OEV86" s="32"/>
      <c r="OEW86" s="32"/>
      <c r="OEX86" s="32"/>
      <c r="OEY86" s="32"/>
      <c r="OEZ86" s="32"/>
      <c r="OFA86" s="32"/>
      <c r="OFB86" s="32"/>
      <c r="OFC86" s="32"/>
      <c r="OFD86" s="32"/>
      <c r="OFE86" s="32"/>
      <c r="OFF86" s="32"/>
      <c r="OFG86" s="32"/>
      <c r="OFH86" s="32"/>
      <c r="OFI86" s="32"/>
      <c r="OFJ86" s="32"/>
      <c r="OFK86" s="32"/>
      <c r="OFL86" s="32"/>
      <c r="OFM86" s="32"/>
      <c r="OFN86" s="32"/>
      <c r="OFO86" s="32"/>
      <c r="OFP86" s="32"/>
      <c r="OFQ86" s="32"/>
      <c r="OFR86" s="32"/>
      <c r="OFS86" s="32"/>
      <c r="OFT86" s="32"/>
      <c r="OFU86" s="32"/>
      <c r="OFV86" s="32"/>
      <c r="OFW86" s="32"/>
      <c r="OFX86" s="32"/>
      <c r="OFY86" s="32"/>
      <c r="OFZ86" s="32"/>
      <c r="OGA86" s="32"/>
      <c r="OGB86" s="32"/>
      <c r="OGC86" s="32"/>
      <c r="OGD86" s="32"/>
      <c r="OGE86" s="32"/>
      <c r="OGF86" s="32"/>
      <c r="OGG86" s="32"/>
      <c r="OGH86" s="32"/>
      <c r="OGI86" s="32"/>
      <c r="OGJ86" s="32"/>
      <c r="OGK86" s="32"/>
      <c r="OGL86" s="32"/>
      <c r="OGM86" s="32"/>
      <c r="OGN86" s="32"/>
      <c r="OGO86" s="32"/>
      <c r="OGP86" s="32"/>
      <c r="OGQ86" s="32"/>
      <c r="OGR86" s="32"/>
      <c r="OGS86" s="32"/>
      <c r="OGT86" s="32"/>
      <c r="OGU86" s="32"/>
      <c r="OGV86" s="32"/>
      <c r="OGW86" s="32"/>
      <c r="OGX86" s="32"/>
      <c r="OGY86" s="32"/>
      <c r="OGZ86" s="32"/>
      <c r="OHA86" s="32"/>
      <c r="OHB86" s="32"/>
      <c r="OHC86" s="32"/>
      <c r="OHD86" s="32"/>
      <c r="OHE86" s="32"/>
      <c r="OHF86" s="32"/>
      <c r="OHG86" s="32"/>
      <c r="OHH86" s="32"/>
      <c r="OHI86" s="32"/>
      <c r="OHJ86" s="32"/>
      <c r="OHK86" s="32"/>
      <c r="OHL86" s="32"/>
      <c r="OHM86" s="32"/>
      <c r="OHN86" s="32"/>
      <c r="OHO86" s="32"/>
      <c r="OHP86" s="32"/>
      <c r="OHQ86" s="32"/>
      <c r="OHR86" s="32"/>
      <c r="OHS86" s="32"/>
      <c r="OHT86" s="32"/>
      <c r="OHU86" s="32"/>
      <c r="OHV86" s="32"/>
      <c r="OHW86" s="32"/>
      <c r="OHX86" s="32"/>
      <c r="OHY86" s="32"/>
      <c r="OHZ86" s="32"/>
      <c r="OIA86" s="32"/>
      <c r="OIB86" s="32"/>
      <c r="OIC86" s="32"/>
      <c r="OID86" s="32"/>
      <c r="OIE86" s="32"/>
      <c r="OIF86" s="32"/>
      <c r="OIG86" s="32"/>
      <c r="OIH86" s="32"/>
      <c r="OII86" s="32"/>
      <c r="OIJ86" s="32"/>
      <c r="OIK86" s="32"/>
      <c r="OIL86" s="32"/>
      <c r="OIM86" s="32"/>
      <c r="OIN86" s="32"/>
      <c r="OIO86" s="32"/>
      <c r="OIP86" s="32"/>
      <c r="OIQ86" s="32"/>
      <c r="OIR86" s="32"/>
      <c r="OIS86" s="32"/>
      <c r="OIT86" s="32"/>
      <c r="OIU86" s="32"/>
      <c r="OIV86" s="32"/>
      <c r="OIW86" s="32"/>
      <c r="OIX86" s="32"/>
      <c r="OIY86" s="32"/>
      <c r="OIZ86" s="32"/>
      <c r="OJA86" s="32"/>
      <c r="OJB86" s="32"/>
      <c r="OJC86" s="32"/>
      <c r="OJD86" s="32"/>
      <c r="OJE86" s="32"/>
      <c r="OJF86" s="32"/>
      <c r="OJG86" s="32"/>
      <c r="OJH86" s="32"/>
      <c r="OJI86" s="32"/>
      <c r="OJJ86" s="32"/>
      <c r="OJK86" s="32"/>
      <c r="OJL86" s="32"/>
      <c r="OJM86" s="32"/>
      <c r="OJN86" s="32"/>
      <c r="OJO86" s="32"/>
      <c r="OJP86" s="32"/>
      <c r="OJQ86" s="32"/>
      <c r="OJR86" s="32"/>
      <c r="OJS86" s="32"/>
      <c r="OJT86" s="32"/>
      <c r="OJU86" s="32"/>
      <c r="OJV86" s="32"/>
      <c r="OJW86" s="32"/>
      <c r="OJX86" s="32"/>
      <c r="OJY86" s="32"/>
      <c r="OJZ86" s="32"/>
      <c r="OKA86" s="32"/>
      <c r="OKB86" s="32"/>
      <c r="OKC86" s="32"/>
      <c r="OKD86" s="32"/>
      <c r="OKE86" s="32"/>
      <c r="OKF86" s="32"/>
      <c r="OKG86" s="32"/>
      <c r="OKH86" s="32"/>
      <c r="OKI86" s="32"/>
      <c r="OKJ86" s="32"/>
      <c r="OKK86" s="32"/>
      <c r="OKL86" s="32"/>
      <c r="OKM86" s="32"/>
      <c r="OKN86" s="32"/>
      <c r="OKO86" s="32"/>
      <c r="OKP86" s="32"/>
      <c r="OKQ86" s="32"/>
      <c r="OKR86" s="32"/>
      <c r="OKS86" s="32"/>
      <c r="OKT86" s="32"/>
      <c r="OKU86" s="32"/>
      <c r="OKV86" s="32"/>
      <c r="OKW86" s="32"/>
      <c r="OKX86" s="32"/>
      <c r="OKY86" s="32"/>
      <c r="OKZ86" s="32"/>
      <c r="OLA86" s="32"/>
      <c r="OLB86" s="32"/>
      <c r="OLC86" s="32"/>
      <c r="OLD86" s="32"/>
      <c r="OLE86" s="32"/>
      <c r="OLF86" s="32"/>
      <c r="OLG86" s="32"/>
      <c r="OLH86" s="32"/>
      <c r="OLI86" s="32"/>
      <c r="OLJ86" s="32"/>
      <c r="OLK86" s="32"/>
      <c r="OLL86" s="32"/>
      <c r="OLM86" s="32"/>
      <c r="OLN86" s="32"/>
      <c r="OLO86" s="32"/>
      <c r="OLP86" s="32"/>
      <c r="OLQ86" s="32"/>
      <c r="OLR86" s="32"/>
      <c r="OLS86" s="32"/>
      <c r="OLT86" s="32"/>
      <c r="OLU86" s="32"/>
      <c r="OLV86" s="32"/>
      <c r="OLW86" s="32"/>
      <c r="OLX86" s="32"/>
      <c r="OLY86" s="32"/>
      <c r="OLZ86" s="32"/>
      <c r="OMA86" s="32"/>
      <c r="OMB86" s="32"/>
      <c r="OMC86" s="32"/>
      <c r="OMD86" s="32"/>
      <c r="OME86" s="32"/>
      <c r="OMF86" s="32"/>
      <c r="OMG86" s="32"/>
      <c r="OMH86" s="32"/>
      <c r="OMI86" s="32"/>
      <c r="OMJ86" s="32"/>
      <c r="OMK86" s="32"/>
      <c r="OML86" s="32"/>
      <c r="OMM86" s="32"/>
      <c r="OMN86" s="32"/>
      <c r="OMO86" s="32"/>
      <c r="OMP86" s="32"/>
      <c r="OMQ86" s="32"/>
      <c r="OMR86" s="32"/>
      <c r="OMS86" s="32"/>
      <c r="OMT86" s="32"/>
      <c r="OMU86" s="32"/>
      <c r="OMV86" s="32"/>
      <c r="OMW86" s="32"/>
      <c r="OMX86" s="32"/>
      <c r="OMY86" s="32"/>
      <c r="OMZ86" s="32"/>
      <c r="ONA86" s="32"/>
      <c r="ONB86" s="32"/>
      <c r="ONC86" s="32"/>
      <c r="OND86" s="32"/>
      <c r="ONE86" s="32"/>
      <c r="ONF86" s="32"/>
      <c r="ONG86" s="32"/>
      <c r="ONH86" s="32"/>
      <c r="ONI86" s="32"/>
      <c r="ONJ86" s="32"/>
      <c r="ONK86" s="32"/>
      <c r="ONL86" s="32"/>
      <c r="ONM86" s="32"/>
      <c r="ONN86" s="32"/>
      <c r="ONO86" s="32"/>
      <c r="ONP86" s="32"/>
      <c r="ONQ86" s="32"/>
      <c r="ONR86" s="32"/>
      <c r="ONS86" s="32"/>
      <c r="ONT86" s="32"/>
      <c r="ONU86" s="32"/>
      <c r="ONV86" s="32"/>
      <c r="ONW86" s="32"/>
      <c r="ONX86" s="32"/>
      <c r="ONY86" s="32"/>
      <c r="ONZ86" s="32"/>
      <c r="OOA86" s="32"/>
      <c r="OOB86" s="32"/>
      <c r="OOC86" s="32"/>
      <c r="OOD86" s="32"/>
      <c r="OOE86" s="32"/>
      <c r="OOF86" s="32"/>
      <c r="OOG86" s="32"/>
      <c r="OOH86" s="32"/>
      <c r="OOI86" s="32"/>
      <c r="OOJ86" s="32"/>
      <c r="OOK86" s="32"/>
      <c r="OOL86" s="32"/>
      <c r="OOM86" s="32"/>
      <c r="OON86" s="32"/>
      <c r="OOO86" s="32"/>
      <c r="OOP86" s="32"/>
      <c r="OOQ86" s="32"/>
      <c r="OOR86" s="32"/>
      <c r="OOS86" s="32"/>
      <c r="OOT86" s="32"/>
      <c r="OOU86" s="32"/>
      <c r="OOV86" s="32"/>
      <c r="OOW86" s="32"/>
      <c r="OOX86" s="32"/>
      <c r="OOY86" s="32"/>
      <c r="OOZ86" s="32"/>
      <c r="OPA86" s="32"/>
      <c r="OPB86" s="32"/>
      <c r="OPC86" s="32"/>
      <c r="OPD86" s="32"/>
      <c r="OPE86" s="32"/>
      <c r="OPF86" s="32"/>
      <c r="OPG86" s="32"/>
      <c r="OPH86" s="32"/>
      <c r="OPI86" s="32"/>
      <c r="OPJ86" s="32"/>
      <c r="OPK86" s="32"/>
      <c r="OPL86" s="32"/>
      <c r="OPM86" s="32"/>
      <c r="OPN86" s="32"/>
      <c r="OPO86" s="32"/>
      <c r="OPP86" s="32"/>
      <c r="OPQ86" s="32"/>
      <c r="OPR86" s="32"/>
      <c r="OPS86" s="32"/>
      <c r="OPT86" s="32"/>
      <c r="OPU86" s="32"/>
      <c r="OPV86" s="32"/>
      <c r="OPW86" s="32"/>
      <c r="OPX86" s="32"/>
      <c r="OPY86" s="32"/>
      <c r="OPZ86" s="32"/>
      <c r="OQA86" s="32"/>
      <c r="OQB86" s="32"/>
      <c r="OQC86" s="32"/>
      <c r="OQD86" s="32"/>
      <c r="OQE86" s="32"/>
      <c r="OQF86" s="32"/>
      <c r="OQG86" s="32"/>
      <c r="OQH86" s="32"/>
      <c r="OQI86" s="32"/>
      <c r="OQJ86" s="32"/>
      <c r="OQK86" s="32"/>
      <c r="OQL86" s="32"/>
      <c r="OQM86" s="32"/>
      <c r="OQN86" s="32"/>
      <c r="OQO86" s="32"/>
      <c r="OQP86" s="32"/>
      <c r="OQQ86" s="32"/>
      <c r="OQR86" s="32"/>
      <c r="OQS86" s="32"/>
      <c r="OQT86" s="32"/>
      <c r="OQU86" s="32"/>
      <c r="OQV86" s="32"/>
      <c r="OQW86" s="32"/>
      <c r="OQX86" s="32"/>
      <c r="OQY86" s="32"/>
      <c r="OQZ86" s="32"/>
      <c r="ORA86" s="32"/>
      <c r="ORB86" s="32"/>
      <c r="ORC86" s="32"/>
      <c r="ORD86" s="32"/>
      <c r="ORE86" s="32"/>
      <c r="ORF86" s="32"/>
      <c r="ORG86" s="32"/>
      <c r="ORH86" s="32"/>
      <c r="ORI86" s="32"/>
      <c r="ORJ86" s="32"/>
      <c r="ORK86" s="32"/>
      <c r="ORL86" s="32"/>
      <c r="ORM86" s="32"/>
      <c r="ORN86" s="32"/>
      <c r="ORO86" s="32"/>
      <c r="ORP86" s="32"/>
      <c r="ORQ86" s="32"/>
      <c r="ORR86" s="32"/>
      <c r="ORS86" s="32"/>
      <c r="ORT86" s="32"/>
      <c r="ORU86" s="32"/>
      <c r="ORV86" s="32"/>
      <c r="ORW86" s="32"/>
      <c r="ORX86" s="32"/>
      <c r="ORY86" s="32"/>
      <c r="ORZ86" s="32"/>
      <c r="OSA86" s="32"/>
      <c r="OSB86" s="32"/>
      <c r="OSC86" s="32"/>
      <c r="OSD86" s="32"/>
      <c r="OSE86" s="32"/>
      <c r="OSF86" s="32"/>
      <c r="OSG86" s="32"/>
      <c r="OSH86" s="32"/>
      <c r="OSI86" s="32"/>
      <c r="OSJ86" s="32"/>
      <c r="OSK86" s="32"/>
      <c r="OSL86" s="32"/>
      <c r="OSM86" s="32"/>
      <c r="OSN86" s="32"/>
      <c r="OSO86" s="32"/>
      <c r="OSP86" s="32"/>
      <c r="OSQ86" s="32"/>
      <c r="OSR86" s="32"/>
      <c r="OSS86" s="32"/>
      <c r="OST86" s="32"/>
      <c r="OSU86" s="32"/>
      <c r="OSV86" s="32"/>
      <c r="OSW86" s="32"/>
      <c r="OSX86" s="32"/>
      <c r="OSY86" s="32"/>
      <c r="OSZ86" s="32"/>
      <c r="OTA86" s="32"/>
      <c r="OTB86" s="32"/>
      <c r="OTC86" s="32"/>
      <c r="OTD86" s="32"/>
      <c r="OTE86" s="32"/>
      <c r="OTF86" s="32"/>
      <c r="OTG86" s="32"/>
      <c r="OTH86" s="32"/>
      <c r="OTI86" s="32"/>
      <c r="OTJ86" s="32"/>
      <c r="OTK86" s="32"/>
      <c r="OTL86" s="32"/>
      <c r="OTM86" s="32"/>
      <c r="OTN86" s="32"/>
      <c r="OTO86" s="32"/>
      <c r="OTP86" s="32"/>
      <c r="OTQ86" s="32"/>
      <c r="OTR86" s="32"/>
      <c r="OTS86" s="32"/>
      <c r="OTT86" s="32"/>
      <c r="OTU86" s="32"/>
      <c r="OTV86" s="32"/>
      <c r="OTW86" s="32"/>
      <c r="OTX86" s="32"/>
      <c r="OTY86" s="32"/>
      <c r="OTZ86" s="32"/>
      <c r="OUA86" s="32"/>
      <c r="OUB86" s="32"/>
      <c r="OUC86" s="32"/>
      <c r="OUD86" s="32"/>
      <c r="OUE86" s="32"/>
      <c r="OUF86" s="32"/>
      <c r="OUG86" s="32"/>
      <c r="OUH86" s="32"/>
      <c r="OUI86" s="32"/>
      <c r="OUJ86" s="32"/>
      <c r="OUK86" s="32"/>
      <c r="OUL86" s="32"/>
      <c r="OUM86" s="32"/>
      <c r="OUN86" s="32"/>
      <c r="OUO86" s="32"/>
      <c r="OUP86" s="32"/>
      <c r="OUQ86" s="32"/>
      <c r="OUR86" s="32"/>
      <c r="OUS86" s="32"/>
      <c r="OUT86" s="32"/>
      <c r="OUU86" s="32"/>
      <c r="OUV86" s="32"/>
      <c r="OUW86" s="32"/>
      <c r="OUX86" s="32"/>
      <c r="OUY86" s="32"/>
      <c r="OUZ86" s="32"/>
      <c r="OVA86" s="32"/>
      <c r="OVB86" s="32"/>
      <c r="OVC86" s="32"/>
      <c r="OVD86" s="32"/>
      <c r="OVE86" s="32"/>
      <c r="OVF86" s="32"/>
      <c r="OVG86" s="32"/>
      <c r="OVH86" s="32"/>
      <c r="OVI86" s="32"/>
      <c r="OVJ86" s="32"/>
      <c r="OVK86" s="32"/>
      <c r="OVL86" s="32"/>
      <c r="OVM86" s="32"/>
      <c r="OVN86" s="32"/>
      <c r="OVO86" s="32"/>
      <c r="OVP86" s="32"/>
      <c r="OVQ86" s="32"/>
      <c r="OVR86" s="32"/>
      <c r="OVS86" s="32"/>
      <c r="OVT86" s="32"/>
      <c r="OVU86" s="32"/>
      <c r="OVV86" s="32"/>
      <c r="OVW86" s="32"/>
      <c r="OVX86" s="32"/>
      <c r="OVY86" s="32"/>
      <c r="OVZ86" s="32"/>
      <c r="OWA86" s="32"/>
      <c r="OWB86" s="32"/>
      <c r="OWC86" s="32"/>
      <c r="OWD86" s="32"/>
      <c r="OWE86" s="32"/>
      <c r="OWF86" s="32"/>
      <c r="OWG86" s="32"/>
      <c r="OWH86" s="32"/>
      <c r="OWI86" s="32"/>
      <c r="OWJ86" s="32"/>
      <c r="OWK86" s="32"/>
      <c r="OWL86" s="32"/>
      <c r="OWM86" s="32"/>
      <c r="OWN86" s="32"/>
      <c r="OWO86" s="32"/>
      <c r="OWP86" s="32"/>
      <c r="OWQ86" s="32"/>
      <c r="OWR86" s="32"/>
      <c r="OWS86" s="32"/>
      <c r="OWT86" s="32"/>
      <c r="OWU86" s="32"/>
      <c r="OWV86" s="32"/>
      <c r="OWW86" s="32"/>
      <c r="OWX86" s="32"/>
      <c r="OWY86" s="32"/>
      <c r="OWZ86" s="32"/>
      <c r="OXA86" s="32"/>
      <c r="OXB86" s="32"/>
      <c r="OXC86" s="32"/>
      <c r="OXD86" s="32"/>
      <c r="OXE86" s="32"/>
      <c r="OXF86" s="32"/>
      <c r="OXG86" s="32"/>
      <c r="OXH86" s="32"/>
      <c r="OXI86" s="32"/>
      <c r="OXJ86" s="32"/>
      <c r="OXK86" s="32"/>
      <c r="OXL86" s="32"/>
      <c r="OXM86" s="32"/>
      <c r="OXN86" s="32"/>
      <c r="OXO86" s="32"/>
      <c r="OXP86" s="32"/>
      <c r="OXQ86" s="32"/>
      <c r="OXR86" s="32"/>
      <c r="OXS86" s="32"/>
      <c r="OXT86" s="32"/>
      <c r="OXU86" s="32"/>
      <c r="OXV86" s="32"/>
      <c r="OXW86" s="32"/>
      <c r="OXX86" s="32"/>
      <c r="OXY86" s="32"/>
      <c r="OXZ86" s="32"/>
      <c r="OYA86" s="32"/>
      <c r="OYB86" s="32"/>
      <c r="OYC86" s="32"/>
      <c r="OYD86" s="32"/>
      <c r="OYE86" s="32"/>
      <c r="OYF86" s="32"/>
      <c r="OYG86" s="32"/>
      <c r="OYH86" s="32"/>
      <c r="OYI86" s="32"/>
      <c r="OYJ86" s="32"/>
      <c r="OYK86" s="32"/>
      <c r="OYL86" s="32"/>
      <c r="OYM86" s="32"/>
      <c r="OYN86" s="32"/>
      <c r="OYO86" s="32"/>
      <c r="OYP86" s="32"/>
      <c r="OYQ86" s="32"/>
      <c r="OYR86" s="32"/>
      <c r="OYS86" s="32"/>
      <c r="OYT86" s="32"/>
      <c r="OYU86" s="32"/>
      <c r="OYV86" s="32"/>
      <c r="OYW86" s="32"/>
      <c r="OYX86" s="32"/>
      <c r="OYY86" s="32"/>
      <c r="OYZ86" s="32"/>
      <c r="OZA86" s="32"/>
      <c r="OZB86" s="32"/>
      <c r="OZC86" s="32"/>
      <c r="OZD86" s="32"/>
      <c r="OZE86" s="32"/>
      <c r="OZF86" s="32"/>
      <c r="OZG86" s="32"/>
      <c r="OZH86" s="32"/>
      <c r="OZI86" s="32"/>
      <c r="OZJ86" s="32"/>
      <c r="OZK86" s="32"/>
      <c r="OZL86" s="32"/>
      <c r="OZM86" s="32"/>
      <c r="OZN86" s="32"/>
      <c r="OZO86" s="32"/>
      <c r="OZP86" s="32"/>
      <c r="OZQ86" s="32"/>
      <c r="OZR86" s="32"/>
      <c r="OZS86" s="32"/>
      <c r="OZT86" s="32"/>
      <c r="OZU86" s="32"/>
      <c r="OZV86" s="32"/>
      <c r="OZW86" s="32"/>
      <c r="OZX86" s="32"/>
      <c r="OZY86" s="32"/>
      <c r="OZZ86" s="32"/>
      <c r="PAA86" s="32"/>
      <c r="PAB86" s="32"/>
      <c r="PAC86" s="32"/>
      <c r="PAD86" s="32"/>
      <c r="PAE86" s="32"/>
      <c r="PAF86" s="32"/>
      <c r="PAG86" s="32"/>
      <c r="PAH86" s="32"/>
      <c r="PAI86" s="32"/>
      <c r="PAJ86" s="32"/>
      <c r="PAK86" s="32"/>
      <c r="PAL86" s="32"/>
      <c r="PAM86" s="32"/>
      <c r="PAN86" s="32"/>
      <c r="PAO86" s="32"/>
      <c r="PAP86" s="32"/>
      <c r="PAQ86" s="32"/>
      <c r="PAR86" s="32"/>
      <c r="PAS86" s="32"/>
      <c r="PAT86" s="32"/>
      <c r="PAU86" s="32"/>
      <c r="PAV86" s="32"/>
      <c r="PAW86" s="32"/>
      <c r="PAX86" s="32"/>
      <c r="PAY86" s="32"/>
      <c r="PAZ86" s="32"/>
      <c r="PBA86" s="32"/>
      <c r="PBB86" s="32"/>
      <c r="PBC86" s="32"/>
      <c r="PBD86" s="32"/>
      <c r="PBE86" s="32"/>
      <c r="PBF86" s="32"/>
      <c r="PBG86" s="32"/>
      <c r="PBH86" s="32"/>
      <c r="PBI86" s="32"/>
      <c r="PBJ86" s="32"/>
      <c r="PBK86" s="32"/>
      <c r="PBL86" s="32"/>
      <c r="PBM86" s="32"/>
      <c r="PBN86" s="32"/>
      <c r="PBO86" s="32"/>
      <c r="PBP86" s="32"/>
      <c r="PBQ86" s="32"/>
      <c r="PBR86" s="32"/>
      <c r="PBS86" s="32"/>
      <c r="PBT86" s="32"/>
      <c r="PBU86" s="32"/>
      <c r="PBV86" s="32"/>
      <c r="PBW86" s="32"/>
      <c r="PBX86" s="32"/>
      <c r="PBY86" s="32"/>
      <c r="PBZ86" s="32"/>
      <c r="PCA86" s="32"/>
      <c r="PCB86" s="32"/>
      <c r="PCC86" s="32"/>
      <c r="PCD86" s="32"/>
      <c r="PCE86" s="32"/>
      <c r="PCF86" s="32"/>
      <c r="PCG86" s="32"/>
      <c r="PCH86" s="32"/>
      <c r="PCI86" s="32"/>
      <c r="PCJ86" s="32"/>
      <c r="PCK86" s="32"/>
      <c r="PCL86" s="32"/>
      <c r="PCM86" s="32"/>
      <c r="PCN86" s="32"/>
      <c r="PCO86" s="32"/>
      <c r="PCP86" s="32"/>
      <c r="PCQ86" s="32"/>
      <c r="PCR86" s="32"/>
      <c r="PCS86" s="32"/>
      <c r="PCT86" s="32"/>
      <c r="PCU86" s="32"/>
      <c r="PCV86" s="32"/>
      <c r="PCW86" s="32"/>
      <c r="PCX86" s="32"/>
      <c r="PCY86" s="32"/>
      <c r="PCZ86" s="32"/>
      <c r="PDA86" s="32"/>
      <c r="PDB86" s="32"/>
      <c r="PDC86" s="32"/>
      <c r="PDD86" s="32"/>
      <c r="PDE86" s="32"/>
      <c r="PDF86" s="32"/>
      <c r="PDG86" s="32"/>
      <c r="PDH86" s="32"/>
      <c r="PDI86" s="32"/>
      <c r="PDJ86" s="32"/>
      <c r="PDK86" s="32"/>
      <c r="PDL86" s="32"/>
      <c r="PDM86" s="32"/>
      <c r="PDN86" s="32"/>
      <c r="PDO86" s="32"/>
      <c r="PDP86" s="32"/>
      <c r="PDQ86" s="32"/>
      <c r="PDR86" s="32"/>
      <c r="PDS86" s="32"/>
      <c r="PDT86" s="32"/>
      <c r="PDU86" s="32"/>
      <c r="PDV86" s="32"/>
      <c r="PDW86" s="32"/>
      <c r="PDX86" s="32"/>
      <c r="PDY86" s="32"/>
      <c r="PDZ86" s="32"/>
      <c r="PEA86" s="32"/>
      <c r="PEB86" s="32"/>
      <c r="PEC86" s="32"/>
      <c r="PED86" s="32"/>
      <c r="PEE86" s="32"/>
      <c r="PEF86" s="32"/>
      <c r="PEG86" s="32"/>
      <c r="PEH86" s="32"/>
      <c r="PEI86" s="32"/>
      <c r="PEJ86" s="32"/>
      <c r="PEK86" s="32"/>
      <c r="PEL86" s="32"/>
      <c r="PEM86" s="32"/>
      <c r="PEN86" s="32"/>
      <c r="PEO86" s="32"/>
      <c r="PEP86" s="32"/>
      <c r="PEQ86" s="32"/>
      <c r="PER86" s="32"/>
      <c r="PES86" s="32"/>
      <c r="PET86" s="32"/>
      <c r="PEU86" s="32"/>
      <c r="PEV86" s="32"/>
      <c r="PEW86" s="32"/>
      <c r="PEX86" s="32"/>
      <c r="PEY86" s="32"/>
      <c r="PEZ86" s="32"/>
      <c r="PFA86" s="32"/>
      <c r="PFB86" s="32"/>
      <c r="PFC86" s="32"/>
      <c r="PFD86" s="32"/>
      <c r="PFE86" s="32"/>
      <c r="PFF86" s="32"/>
      <c r="PFG86" s="32"/>
      <c r="PFH86" s="32"/>
      <c r="PFI86" s="32"/>
      <c r="PFJ86" s="32"/>
      <c r="PFK86" s="32"/>
      <c r="PFL86" s="32"/>
      <c r="PFM86" s="32"/>
      <c r="PFN86" s="32"/>
      <c r="PFO86" s="32"/>
      <c r="PFP86" s="32"/>
      <c r="PFQ86" s="32"/>
      <c r="PFR86" s="32"/>
      <c r="PFS86" s="32"/>
      <c r="PFT86" s="32"/>
      <c r="PFU86" s="32"/>
      <c r="PFV86" s="32"/>
      <c r="PFW86" s="32"/>
      <c r="PFX86" s="32"/>
      <c r="PFY86" s="32"/>
      <c r="PFZ86" s="32"/>
      <c r="PGA86" s="32"/>
      <c r="PGB86" s="32"/>
      <c r="PGC86" s="32"/>
      <c r="PGD86" s="32"/>
      <c r="PGE86" s="32"/>
      <c r="PGF86" s="32"/>
      <c r="PGG86" s="32"/>
      <c r="PGH86" s="32"/>
      <c r="PGI86" s="32"/>
      <c r="PGJ86" s="32"/>
      <c r="PGK86" s="32"/>
      <c r="PGL86" s="32"/>
      <c r="PGM86" s="32"/>
      <c r="PGN86" s="32"/>
      <c r="PGO86" s="32"/>
      <c r="PGP86" s="32"/>
      <c r="PGQ86" s="32"/>
      <c r="PGR86" s="32"/>
      <c r="PGS86" s="32"/>
      <c r="PGT86" s="32"/>
      <c r="PGU86" s="32"/>
      <c r="PGV86" s="32"/>
      <c r="PGW86" s="32"/>
      <c r="PGX86" s="32"/>
      <c r="PGY86" s="32"/>
      <c r="PGZ86" s="32"/>
      <c r="PHA86" s="32"/>
      <c r="PHB86" s="32"/>
      <c r="PHC86" s="32"/>
      <c r="PHD86" s="32"/>
      <c r="PHE86" s="32"/>
      <c r="PHF86" s="32"/>
      <c r="PHG86" s="32"/>
      <c r="PHH86" s="32"/>
      <c r="PHI86" s="32"/>
      <c r="PHJ86" s="32"/>
      <c r="PHK86" s="32"/>
      <c r="PHL86" s="32"/>
      <c r="PHM86" s="32"/>
      <c r="PHN86" s="32"/>
      <c r="PHO86" s="32"/>
      <c r="PHP86" s="32"/>
      <c r="PHQ86" s="32"/>
      <c r="PHR86" s="32"/>
      <c r="PHS86" s="32"/>
      <c r="PHT86" s="32"/>
      <c r="PHU86" s="32"/>
      <c r="PHV86" s="32"/>
      <c r="PHW86" s="32"/>
      <c r="PHX86" s="32"/>
      <c r="PHY86" s="32"/>
      <c r="PHZ86" s="32"/>
      <c r="PIA86" s="32"/>
      <c r="PIB86" s="32"/>
      <c r="PIC86" s="32"/>
      <c r="PID86" s="32"/>
      <c r="PIE86" s="32"/>
      <c r="PIF86" s="32"/>
      <c r="PIG86" s="32"/>
      <c r="PIH86" s="32"/>
      <c r="PII86" s="32"/>
      <c r="PIJ86" s="32"/>
      <c r="PIK86" s="32"/>
      <c r="PIL86" s="32"/>
      <c r="PIM86" s="32"/>
      <c r="PIN86" s="32"/>
      <c r="PIO86" s="32"/>
      <c r="PIP86" s="32"/>
      <c r="PIQ86" s="32"/>
      <c r="PIR86" s="32"/>
      <c r="PIS86" s="32"/>
      <c r="PIT86" s="32"/>
      <c r="PIU86" s="32"/>
      <c r="PIV86" s="32"/>
      <c r="PIW86" s="32"/>
      <c r="PIX86" s="32"/>
      <c r="PIY86" s="32"/>
      <c r="PIZ86" s="32"/>
      <c r="PJA86" s="32"/>
      <c r="PJB86" s="32"/>
      <c r="PJC86" s="32"/>
      <c r="PJD86" s="32"/>
      <c r="PJE86" s="32"/>
      <c r="PJF86" s="32"/>
      <c r="PJG86" s="32"/>
      <c r="PJH86" s="32"/>
      <c r="PJI86" s="32"/>
      <c r="PJJ86" s="32"/>
      <c r="PJK86" s="32"/>
      <c r="PJL86" s="32"/>
      <c r="PJM86" s="32"/>
      <c r="PJN86" s="32"/>
      <c r="PJO86" s="32"/>
      <c r="PJP86" s="32"/>
      <c r="PJQ86" s="32"/>
      <c r="PJR86" s="32"/>
      <c r="PJS86" s="32"/>
      <c r="PJT86" s="32"/>
      <c r="PJU86" s="32"/>
      <c r="PJV86" s="32"/>
      <c r="PJW86" s="32"/>
      <c r="PJX86" s="32"/>
      <c r="PJY86" s="32"/>
      <c r="PJZ86" s="32"/>
      <c r="PKA86" s="32"/>
      <c r="PKB86" s="32"/>
      <c r="PKC86" s="32"/>
      <c r="PKD86" s="32"/>
      <c r="PKE86" s="32"/>
      <c r="PKF86" s="32"/>
      <c r="PKG86" s="32"/>
      <c r="PKH86" s="32"/>
      <c r="PKI86" s="32"/>
      <c r="PKJ86" s="32"/>
      <c r="PKK86" s="32"/>
      <c r="PKL86" s="32"/>
      <c r="PKM86" s="32"/>
      <c r="PKN86" s="32"/>
      <c r="PKO86" s="32"/>
      <c r="PKP86" s="32"/>
      <c r="PKQ86" s="32"/>
      <c r="PKR86" s="32"/>
      <c r="PKS86" s="32"/>
      <c r="PKT86" s="32"/>
      <c r="PKU86" s="32"/>
      <c r="PKV86" s="32"/>
      <c r="PKW86" s="32"/>
      <c r="PKX86" s="32"/>
      <c r="PKY86" s="32"/>
      <c r="PKZ86" s="32"/>
      <c r="PLA86" s="32"/>
      <c r="PLB86" s="32"/>
      <c r="PLC86" s="32"/>
      <c r="PLD86" s="32"/>
      <c r="PLE86" s="32"/>
      <c r="PLF86" s="32"/>
      <c r="PLG86" s="32"/>
      <c r="PLH86" s="32"/>
      <c r="PLI86" s="32"/>
      <c r="PLJ86" s="32"/>
      <c r="PLK86" s="32"/>
      <c r="PLL86" s="32"/>
      <c r="PLM86" s="32"/>
      <c r="PLN86" s="32"/>
      <c r="PLO86" s="32"/>
      <c r="PLP86" s="32"/>
      <c r="PLQ86" s="32"/>
      <c r="PLR86" s="32"/>
      <c r="PLS86" s="32"/>
      <c r="PLT86" s="32"/>
      <c r="PLU86" s="32"/>
      <c r="PLV86" s="32"/>
      <c r="PLW86" s="32"/>
      <c r="PLX86" s="32"/>
      <c r="PLY86" s="32"/>
      <c r="PLZ86" s="32"/>
      <c r="PMA86" s="32"/>
      <c r="PMB86" s="32"/>
      <c r="PMC86" s="32"/>
      <c r="PMD86" s="32"/>
      <c r="PME86" s="32"/>
      <c r="PMF86" s="32"/>
      <c r="PMG86" s="32"/>
      <c r="PMH86" s="32"/>
      <c r="PMI86" s="32"/>
      <c r="PMJ86" s="32"/>
      <c r="PMK86" s="32"/>
      <c r="PML86" s="32"/>
      <c r="PMM86" s="32"/>
      <c r="PMN86" s="32"/>
      <c r="PMO86" s="32"/>
      <c r="PMP86" s="32"/>
      <c r="PMQ86" s="32"/>
      <c r="PMR86" s="32"/>
      <c r="PMS86" s="32"/>
      <c r="PMT86" s="32"/>
      <c r="PMU86" s="32"/>
      <c r="PMV86" s="32"/>
      <c r="PMW86" s="32"/>
      <c r="PMX86" s="32"/>
      <c r="PMY86" s="32"/>
      <c r="PMZ86" s="32"/>
      <c r="PNA86" s="32"/>
      <c r="PNB86" s="32"/>
      <c r="PNC86" s="32"/>
      <c r="PND86" s="32"/>
      <c r="PNE86" s="32"/>
      <c r="PNF86" s="32"/>
      <c r="PNG86" s="32"/>
      <c r="PNH86" s="32"/>
      <c r="PNI86" s="32"/>
      <c r="PNJ86" s="32"/>
      <c r="PNK86" s="32"/>
      <c r="PNL86" s="32"/>
      <c r="PNM86" s="32"/>
      <c r="PNN86" s="32"/>
      <c r="PNO86" s="32"/>
      <c r="PNP86" s="32"/>
      <c r="PNQ86" s="32"/>
      <c r="PNR86" s="32"/>
      <c r="PNS86" s="32"/>
      <c r="PNT86" s="32"/>
      <c r="PNU86" s="32"/>
      <c r="PNV86" s="32"/>
      <c r="PNW86" s="32"/>
      <c r="PNX86" s="32"/>
      <c r="PNY86" s="32"/>
      <c r="PNZ86" s="32"/>
      <c r="POA86" s="32"/>
      <c r="POB86" s="32"/>
      <c r="POC86" s="32"/>
      <c r="POD86" s="32"/>
      <c r="POE86" s="32"/>
      <c r="POF86" s="32"/>
      <c r="POG86" s="32"/>
      <c r="POH86" s="32"/>
      <c r="POI86" s="32"/>
      <c r="POJ86" s="32"/>
      <c r="POK86" s="32"/>
      <c r="POL86" s="32"/>
      <c r="POM86" s="32"/>
      <c r="PON86" s="32"/>
      <c r="POO86" s="32"/>
      <c r="POP86" s="32"/>
      <c r="POQ86" s="32"/>
      <c r="POR86" s="32"/>
      <c r="POS86" s="32"/>
      <c r="POT86" s="32"/>
      <c r="POU86" s="32"/>
      <c r="POV86" s="32"/>
      <c r="POW86" s="32"/>
      <c r="POX86" s="32"/>
      <c r="POY86" s="32"/>
      <c r="POZ86" s="32"/>
      <c r="PPA86" s="32"/>
      <c r="PPB86" s="32"/>
      <c r="PPC86" s="32"/>
      <c r="PPD86" s="32"/>
      <c r="PPE86" s="32"/>
      <c r="PPF86" s="32"/>
      <c r="PPG86" s="32"/>
      <c r="PPH86" s="32"/>
      <c r="PPI86" s="32"/>
      <c r="PPJ86" s="32"/>
      <c r="PPK86" s="32"/>
      <c r="PPL86" s="32"/>
      <c r="PPM86" s="32"/>
      <c r="PPN86" s="32"/>
      <c r="PPO86" s="32"/>
      <c r="PPP86" s="32"/>
      <c r="PPQ86" s="32"/>
      <c r="PPR86" s="32"/>
      <c r="PPS86" s="32"/>
      <c r="PPT86" s="32"/>
      <c r="PPU86" s="32"/>
      <c r="PPV86" s="32"/>
      <c r="PPW86" s="32"/>
      <c r="PPX86" s="32"/>
      <c r="PPY86" s="32"/>
      <c r="PPZ86" s="32"/>
      <c r="PQA86" s="32"/>
      <c r="PQB86" s="32"/>
      <c r="PQC86" s="32"/>
      <c r="PQD86" s="32"/>
      <c r="PQE86" s="32"/>
      <c r="PQF86" s="32"/>
      <c r="PQG86" s="32"/>
      <c r="PQH86" s="32"/>
      <c r="PQI86" s="32"/>
      <c r="PQJ86" s="32"/>
      <c r="PQK86" s="32"/>
      <c r="PQL86" s="32"/>
      <c r="PQM86" s="32"/>
      <c r="PQN86" s="32"/>
      <c r="PQO86" s="32"/>
      <c r="PQP86" s="32"/>
      <c r="PQQ86" s="32"/>
      <c r="PQR86" s="32"/>
      <c r="PQS86" s="32"/>
      <c r="PQT86" s="32"/>
      <c r="PQU86" s="32"/>
      <c r="PQV86" s="32"/>
      <c r="PQW86" s="32"/>
      <c r="PQX86" s="32"/>
      <c r="PQY86" s="32"/>
      <c r="PQZ86" s="32"/>
      <c r="PRA86" s="32"/>
      <c r="PRB86" s="32"/>
      <c r="PRC86" s="32"/>
      <c r="PRD86" s="32"/>
      <c r="PRE86" s="32"/>
      <c r="PRF86" s="32"/>
      <c r="PRG86" s="32"/>
      <c r="PRH86" s="32"/>
      <c r="PRI86" s="32"/>
      <c r="PRJ86" s="32"/>
      <c r="PRK86" s="32"/>
      <c r="PRL86" s="32"/>
      <c r="PRM86" s="32"/>
      <c r="PRN86" s="32"/>
      <c r="PRO86" s="32"/>
      <c r="PRP86" s="32"/>
      <c r="PRQ86" s="32"/>
      <c r="PRR86" s="32"/>
      <c r="PRS86" s="32"/>
      <c r="PRT86" s="32"/>
      <c r="PRU86" s="32"/>
      <c r="PRV86" s="32"/>
      <c r="PRW86" s="32"/>
      <c r="PRX86" s="32"/>
      <c r="PRY86" s="32"/>
      <c r="PRZ86" s="32"/>
      <c r="PSA86" s="32"/>
      <c r="PSB86" s="32"/>
      <c r="PSC86" s="32"/>
      <c r="PSD86" s="32"/>
      <c r="PSE86" s="32"/>
      <c r="PSF86" s="32"/>
      <c r="PSG86" s="32"/>
      <c r="PSH86" s="32"/>
      <c r="PSI86" s="32"/>
      <c r="PSJ86" s="32"/>
      <c r="PSK86" s="32"/>
      <c r="PSL86" s="32"/>
      <c r="PSM86" s="32"/>
      <c r="PSN86" s="32"/>
      <c r="PSO86" s="32"/>
      <c r="PSP86" s="32"/>
      <c r="PSQ86" s="32"/>
      <c r="PSR86" s="32"/>
      <c r="PSS86" s="32"/>
      <c r="PST86" s="32"/>
      <c r="PSU86" s="32"/>
      <c r="PSV86" s="32"/>
      <c r="PSW86" s="32"/>
      <c r="PSX86" s="32"/>
      <c r="PSY86" s="32"/>
      <c r="PSZ86" s="32"/>
      <c r="PTA86" s="32"/>
      <c r="PTB86" s="32"/>
      <c r="PTC86" s="32"/>
      <c r="PTD86" s="32"/>
      <c r="PTE86" s="32"/>
      <c r="PTF86" s="32"/>
      <c r="PTG86" s="32"/>
      <c r="PTH86" s="32"/>
      <c r="PTI86" s="32"/>
      <c r="PTJ86" s="32"/>
      <c r="PTK86" s="32"/>
      <c r="PTL86" s="32"/>
      <c r="PTM86" s="32"/>
      <c r="PTN86" s="32"/>
      <c r="PTO86" s="32"/>
      <c r="PTP86" s="32"/>
      <c r="PTQ86" s="32"/>
      <c r="PTR86" s="32"/>
      <c r="PTS86" s="32"/>
      <c r="PTT86" s="32"/>
      <c r="PTU86" s="32"/>
      <c r="PTV86" s="32"/>
      <c r="PTW86" s="32"/>
      <c r="PTX86" s="32"/>
      <c r="PTY86" s="32"/>
      <c r="PTZ86" s="32"/>
      <c r="PUA86" s="32"/>
      <c r="PUB86" s="32"/>
      <c r="PUC86" s="32"/>
      <c r="PUD86" s="32"/>
      <c r="PUE86" s="32"/>
      <c r="PUF86" s="32"/>
      <c r="PUG86" s="32"/>
      <c r="PUH86" s="32"/>
      <c r="PUI86" s="32"/>
      <c r="PUJ86" s="32"/>
      <c r="PUK86" s="32"/>
      <c r="PUL86" s="32"/>
      <c r="PUM86" s="32"/>
      <c r="PUN86" s="32"/>
      <c r="PUO86" s="32"/>
      <c r="PUP86" s="32"/>
      <c r="PUQ86" s="32"/>
      <c r="PUR86" s="32"/>
      <c r="PUS86" s="32"/>
      <c r="PUT86" s="32"/>
      <c r="PUU86" s="32"/>
      <c r="PUV86" s="32"/>
      <c r="PUW86" s="32"/>
      <c r="PUX86" s="32"/>
      <c r="PUY86" s="32"/>
      <c r="PUZ86" s="32"/>
      <c r="PVA86" s="32"/>
      <c r="PVB86" s="32"/>
      <c r="PVC86" s="32"/>
      <c r="PVD86" s="32"/>
      <c r="PVE86" s="32"/>
      <c r="PVF86" s="32"/>
      <c r="PVG86" s="32"/>
      <c r="PVH86" s="32"/>
      <c r="PVI86" s="32"/>
      <c r="PVJ86" s="32"/>
      <c r="PVK86" s="32"/>
      <c r="PVL86" s="32"/>
      <c r="PVM86" s="32"/>
      <c r="PVN86" s="32"/>
      <c r="PVO86" s="32"/>
      <c r="PVP86" s="32"/>
      <c r="PVQ86" s="32"/>
      <c r="PVR86" s="32"/>
      <c r="PVS86" s="32"/>
      <c r="PVT86" s="32"/>
      <c r="PVU86" s="32"/>
      <c r="PVV86" s="32"/>
      <c r="PVW86" s="32"/>
      <c r="PVX86" s="32"/>
      <c r="PVY86" s="32"/>
      <c r="PVZ86" s="32"/>
      <c r="PWA86" s="32"/>
      <c r="PWB86" s="32"/>
      <c r="PWC86" s="32"/>
      <c r="PWD86" s="32"/>
      <c r="PWE86" s="32"/>
      <c r="PWF86" s="32"/>
      <c r="PWG86" s="32"/>
      <c r="PWH86" s="32"/>
      <c r="PWI86" s="32"/>
      <c r="PWJ86" s="32"/>
      <c r="PWK86" s="32"/>
      <c r="PWL86" s="32"/>
      <c r="PWM86" s="32"/>
      <c r="PWN86" s="32"/>
      <c r="PWO86" s="32"/>
      <c r="PWP86" s="32"/>
      <c r="PWQ86" s="32"/>
      <c r="PWR86" s="32"/>
      <c r="PWS86" s="32"/>
      <c r="PWT86" s="32"/>
      <c r="PWU86" s="32"/>
      <c r="PWV86" s="32"/>
      <c r="PWW86" s="32"/>
      <c r="PWX86" s="32"/>
      <c r="PWY86" s="32"/>
      <c r="PWZ86" s="32"/>
      <c r="PXA86" s="32"/>
      <c r="PXB86" s="32"/>
      <c r="PXC86" s="32"/>
      <c r="PXD86" s="32"/>
      <c r="PXE86" s="32"/>
      <c r="PXF86" s="32"/>
      <c r="PXG86" s="32"/>
      <c r="PXH86" s="32"/>
      <c r="PXI86" s="32"/>
      <c r="PXJ86" s="32"/>
      <c r="PXK86" s="32"/>
      <c r="PXL86" s="32"/>
      <c r="PXM86" s="32"/>
      <c r="PXN86" s="32"/>
      <c r="PXO86" s="32"/>
      <c r="PXP86" s="32"/>
      <c r="PXQ86" s="32"/>
      <c r="PXR86" s="32"/>
      <c r="PXS86" s="32"/>
      <c r="PXT86" s="32"/>
      <c r="PXU86" s="32"/>
      <c r="PXV86" s="32"/>
      <c r="PXW86" s="32"/>
      <c r="PXX86" s="32"/>
      <c r="PXY86" s="32"/>
      <c r="PXZ86" s="32"/>
      <c r="PYA86" s="32"/>
      <c r="PYB86" s="32"/>
      <c r="PYC86" s="32"/>
      <c r="PYD86" s="32"/>
      <c r="PYE86" s="32"/>
      <c r="PYF86" s="32"/>
      <c r="PYG86" s="32"/>
      <c r="PYH86" s="32"/>
      <c r="PYI86" s="32"/>
      <c r="PYJ86" s="32"/>
      <c r="PYK86" s="32"/>
      <c r="PYL86" s="32"/>
      <c r="PYM86" s="32"/>
      <c r="PYN86" s="32"/>
      <c r="PYO86" s="32"/>
      <c r="PYP86" s="32"/>
      <c r="PYQ86" s="32"/>
      <c r="PYR86" s="32"/>
      <c r="PYS86" s="32"/>
      <c r="PYT86" s="32"/>
      <c r="PYU86" s="32"/>
      <c r="PYV86" s="32"/>
      <c r="PYW86" s="32"/>
      <c r="PYX86" s="32"/>
      <c r="PYY86" s="32"/>
      <c r="PYZ86" s="32"/>
      <c r="PZA86" s="32"/>
      <c r="PZB86" s="32"/>
      <c r="PZC86" s="32"/>
      <c r="PZD86" s="32"/>
      <c r="PZE86" s="32"/>
      <c r="PZF86" s="32"/>
      <c r="PZG86" s="32"/>
      <c r="PZH86" s="32"/>
      <c r="PZI86" s="32"/>
      <c r="PZJ86" s="32"/>
      <c r="PZK86" s="32"/>
      <c r="PZL86" s="32"/>
      <c r="PZM86" s="32"/>
      <c r="PZN86" s="32"/>
      <c r="PZO86" s="32"/>
      <c r="PZP86" s="32"/>
      <c r="PZQ86" s="32"/>
      <c r="PZR86" s="32"/>
      <c r="PZS86" s="32"/>
      <c r="PZT86" s="32"/>
      <c r="PZU86" s="32"/>
      <c r="PZV86" s="32"/>
      <c r="PZW86" s="32"/>
      <c r="PZX86" s="32"/>
      <c r="PZY86" s="32"/>
      <c r="PZZ86" s="32"/>
      <c r="QAA86" s="32"/>
      <c r="QAB86" s="32"/>
      <c r="QAC86" s="32"/>
      <c r="QAD86" s="32"/>
      <c r="QAE86" s="32"/>
      <c r="QAF86" s="32"/>
      <c r="QAG86" s="32"/>
      <c r="QAH86" s="32"/>
      <c r="QAI86" s="32"/>
      <c r="QAJ86" s="32"/>
      <c r="QAK86" s="32"/>
      <c r="QAL86" s="32"/>
      <c r="QAM86" s="32"/>
      <c r="QAN86" s="32"/>
      <c r="QAO86" s="32"/>
      <c r="QAP86" s="32"/>
      <c r="QAQ86" s="32"/>
      <c r="QAR86" s="32"/>
      <c r="QAS86" s="32"/>
      <c r="QAT86" s="32"/>
      <c r="QAU86" s="32"/>
      <c r="QAV86" s="32"/>
      <c r="QAW86" s="32"/>
      <c r="QAX86" s="32"/>
      <c r="QAY86" s="32"/>
      <c r="QAZ86" s="32"/>
      <c r="QBA86" s="32"/>
      <c r="QBB86" s="32"/>
      <c r="QBC86" s="32"/>
      <c r="QBD86" s="32"/>
      <c r="QBE86" s="32"/>
      <c r="QBF86" s="32"/>
      <c r="QBG86" s="32"/>
      <c r="QBH86" s="32"/>
      <c r="QBI86" s="32"/>
      <c r="QBJ86" s="32"/>
      <c r="QBK86" s="32"/>
      <c r="QBL86" s="32"/>
      <c r="QBM86" s="32"/>
      <c r="QBN86" s="32"/>
      <c r="QBO86" s="32"/>
      <c r="QBP86" s="32"/>
      <c r="QBQ86" s="32"/>
      <c r="QBR86" s="32"/>
      <c r="QBS86" s="32"/>
      <c r="QBT86" s="32"/>
      <c r="QBU86" s="32"/>
      <c r="QBV86" s="32"/>
      <c r="QBW86" s="32"/>
      <c r="QBX86" s="32"/>
      <c r="QBY86" s="32"/>
      <c r="QBZ86" s="32"/>
      <c r="QCA86" s="32"/>
      <c r="QCB86" s="32"/>
      <c r="QCC86" s="32"/>
      <c r="QCD86" s="32"/>
      <c r="QCE86" s="32"/>
      <c r="QCF86" s="32"/>
      <c r="QCG86" s="32"/>
      <c r="QCH86" s="32"/>
      <c r="QCI86" s="32"/>
      <c r="QCJ86" s="32"/>
      <c r="QCK86" s="32"/>
      <c r="QCL86" s="32"/>
      <c r="QCM86" s="32"/>
      <c r="QCN86" s="32"/>
      <c r="QCO86" s="32"/>
      <c r="QCP86" s="32"/>
      <c r="QCQ86" s="32"/>
      <c r="QCR86" s="32"/>
      <c r="QCS86" s="32"/>
      <c r="QCT86" s="32"/>
      <c r="QCU86" s="32"/>
      <c r="QCV86" s="32"/>
      <c r="QCW86" s="32"/>
      <c r="QCX86" s="32"/>
      <c r="QCY86" s="32"/>
      <c r="QCZ86" s="32"/>
      <c r="QDA86" s="32"/>
      <c r="QDB86" s="32"/>
      <c r="QDC86" s="32"/>
      <c r="QDD86" s="32"/>
      <c r="QDE86" s="32"/>
      <c r="QDF86" s="32"/>
      <c r="QDG86" s="32"/>
      <c r="QDH86" s="32"/>
      <c r="QDI86" s="32"/>
      <c r="QDJ86" s="32"/>
      <c r="QDK86" s="32"/>
      <c r="QDL86" s="32"/>
      <c r="QDM86" s="32"/>
      <c r="QDN86" s="32"/>
      <c r="QDO86" s="32"/>
      <c r="QDP86" s="32"/>
      <c r="QDQ86" s="32"/>
      <c r="QDR86" s="32"/>
      <c r="QDS86" s="32"/>
      <c r="QDT86" s="32"/>
      <c r="QDU86" s="32"/>
      <c r="QDV86" s="32"/>
      <c r="QDW86" s="32"/>
      <c r="QDX86" s="32"/>
      <c r="QDY86" s="32"/>
      <c r="QDZ86" s="32"/>
      <c r="QEA86" s="32"/>
      <c r="QEB86" s="32"/>
      <c r="QEC86" s="32"/>
      <c r="QED86" s="32"/>
      <c r="QEE86" s="32"/>
      <c r="QEF86" s="32"/>
      <c r="QEG86" s="32"/>
      <c r="QEH86" s="32"/>
      <c r="QEI86" s="32"/>
      <c r="QEJ86" s="32"/>
      <c r="QEK86" s="32"/>
      <c r="QEL86" s="32"/>
      <c r="QEM86" s="32"/>
      <c r="QEN86" s="32"/>
      <c r="QEO86" s="32"/>
      <c r="QEP86" s="32"/>
      <c r="QEQ86" s="32"/>
      <c r="QER86" s="32"/>
      <c r="QES86" s="32"/>
      <c r="QET86" s="32"/>
      <c r="QEU86" s="32"/>
      <c r="QEV86" s="32"/>
      <c r="QEW86" s="32"/>
      <c r="QEX86" s="32"/>
      <c r="QEY86" s="32"/>
      <c r="QEZ86" s="32"/>
      <c r="QFA86" s="32"/>
      <c r="QFB86" s="32"/>
      <c r="QFC86" s="32"/>
      <c r="QFD86" s="32"/>
      <c r="QFE86" s="32"/>
      <c r="QFF86" s="32"/>
      <c r="QFG86" s="32"/>
      <c r="QFH86" s="32"/>
      <c r="QFI86" s="32"/>
      <c r="QFJ86" s="32"/>
      <c r="QFK86" s="32"/>
      <c r="QFL86" s="32"/>
      <c r="QFM86" s="32"/>
      <c r="QFN86" s="32"/>
      <c r="QFO86" s="32"/>
      <c r="QFP86" s="32"/>
      <c r="QFQ86" s="32"/>
      <c r="QFR86" s="32"/>
      <c r="QFS86" s="32"/>
      <c r="QFT86" s="32"/>
      <c r="QFU86" s="32"/>
      <c r="QFV86" s="32"/>
      <c r="QFW86" s="32"/>
      <c r="QFX86" s="32"/>
      <c r="QFY86" s="32"/>
      <c r="QFZ86" s="32"/>
      <c r="QGA86" s="32"/>
      <c r="QGB86" s="32"/>
      <c r="QGC86" s="32"/>
      <c r="QGD86" s="32"/>
      <c r="QGE86" s="32"/>
      <c r="QGF86" s="32"/>
      <c r="QGG86" s="32"/>
      <c r="QGH86" s="32"/>
      <c r="QGI86" s="32"/>
      <c r="QGJ86" s="32"/>
      <c r="QGK86" s="32"/>
      <c r="QGL86" s="32"/>
      <c r="QGM86" s="32"/>
      <c r="QGN86" s="32"/>
      <c r="QGO86" s="32"/>
      <c r="QGP86" s="32"/>
      <c r="QGQ86" s="32"/>
      <c r="QGR86" s="32"/>
      <c r="QGS86" s="32"/>
      <c r="QGT86" s="32"/>
      <c r="QGU86" s="32"/>
      <c r="QGV86" s="32"/>
      <c r="QGW86" s="32"/>
      <c r="QGX86" s="32"/>
      <c r="QGY86" s="32"/>
      <c r="QGZ86" s="32"/>
      <c r="QHA86" s="32"/>
      <c r="QHB86" s="32"/>
      <c r="QHC86" s="32"/>
      <c r="QHD86" s="32"/>
      <c r="QHE86" s="32"/>
      <c r="QHF86" s="32"/>
      <c r="QHG86" s="32"/>
      <c r="QHH86" s="32"/>
      <c r="QHI86" s="32"/>
      <c r="QHJ86" s="32"/>
      <c r="QHK86" s="32"/>
      <c r="QHL86" s="32"/>
      <c r="QHM86" s="32"/>
      <c r="QHN86" s="32"/>
      <c r="QHO86" s="32"/>
      <c r="QHP86" s="32"/>
      <c r="QHQ86" s="32"/>
      <c r="QHR86" s="32"/>
      <c r="QHS86" s="32"/>
      <c r="QHT86" s="32"/>
      <c r="QHU86" s="32"/>
      <c r="QHV86" s="32"/>
      <c r="QHW86" s="32"/>
      <c r="QHX86" s="32"/>
      <c r="QHY86" s="32"/>
      <c r="QHZ86" s="32"/>
      <c r="QIA86" s="32"/>
      <c r="QIB86" s="32"/>
      <c r="QIC86" s="32"/>
      <c r="QID86" s="32"/>
      <c r="QIE86" s="32"/>
      <c r="QIF86" s="32"/>
      <c r="QIG86" s="32"/>
      <c r="QIH86" s="32"/>
      <c r="QII86" s="32"/>
      <c r="QIJ86" s="32"/>
      <c r="QIK86" s="32"/>
      <c r="QIL86" s="32"/>
      <c r="QIM86" s="32"/>
      <c r="QIN86" s="32"/>
      <c r="QIO86" s="32"/>
      <c r="QIP86" s="32"/>
      <c r="QIQ86" s="32"/>
      <c r="QIR86" s="32"/>
      <c r="QIS86" s="32"/>
      <c r="QIT86" s="32"/>
      <c r="QIU86" s="32"/>
      <c r="QIV86" s="32"/>
      <c r="QIW86" s="32"/>
      <c r="QIX86" s="32"/>
      <c r="QIY86" s="32"/>
      <c r="QIZ86" s="32"/>
      <c r="QJA86" s="32"/>
      <c r="QJB86" s="32"/>
      <c r="QJC86" s="32"/>
      <c r="QJD86" s="32"/>
      <c r="QJE86" s="32"/>
      <c r="QJF86" s="32"/>
      <c r="QJG86" s="32"/>
      <c r="QJH86" s="32"/>
      <c r="QJI86" s="32"/>
      <c r="QJJ86" s="32"/>
      <c r="QJK86" s="32"/>
      <c r="QJL86" s="32"/>
      <c r="QJM86" s="32"/>
      <c r="QJN86" s="32"/>
      <c r="QJO86" s="32"/>
      <c r="QJP86" s="32"/>
      <c r="QJQ86" s="32"/>
      <c r="QJR86" s="32"/>
      <c r="QJS86" s="32"/>
      <c r="QJT86" s="32"/>
      <c r="QJU86" s="32"/>
      <c r="QJV86" s="32"/>
      <c r="QJW86" s="32"/>
      <c r="QJX86" s="32"/>
      <c r="QJY86" s="32"/>
      <c r="QJZ86" s="32"/>
      <c r="QKA86" s="32"/>
      <c r="QKB86" s="32"/>
      <c r="QKC86" s="32"/>
      <c r="QKD86" s="32"/>
      <c r="QKE86" s="32"/>
      <c r="QKF86" s="32"/>
      <c r="QKG86" s="32"/>
      <c r="QKH86" s="32"/>
      <c r="QKI86" s="32"/>
      <c r="QKJ86" s="32"/>
      <c r="QKK86" s="32"/>
      <c r="QKL86" s="32"/>
      <c r="QKM86" s="32"/>
      <c r="QKN86" s="32"/>
      <c r="QKO86" s="32"/>
      <c r="QKP86" s="32"/>
      <c r="QKQ86" s="32"/>
      <c r="QKR86" s="32"/>
      <c r="QKS86" s="32"/>
      <c r="QKT86" s="32"/>
      <c r="QKU86" s="32"/>
      <c r="QKV86" s="32"/>
      <c r="QKW86" s="32"/>
      <c r="QKX86" s="32"/>
      <c r="QKY86" s="32"/>
      <c r="QKZ86" s="32"/>
      <c r="QLA86" s="32"/>
      <c r="QLB86" s="32"/>
      <c r="QLC86" s="32"/>
      <c r="QLD86" s="32"/>
      <c r="QLE86" s="32"/>
      <c r="QLF86" s="32"/>
      <c r="QLG86" s="32"/>
      <c r="QLH86" s="32"/>
      <c r="QLI86" s="32"/>
      <c r="QLJ86" s="32"/>
      <c r="QLK86" s="32"/>
      <c r="QLL86" s="32"/>
      <c r="QLM86" s="32"/>
      <c r="QLN86" s="32"/>
      <c r="QLO86" s="32"/>
      <c r="QLP86" s="32"/>
      <c r="QLQ86" s="32"/>
      <c r="QLR86" s="32"/>
      <c r="QLS86" s="32"/>
      <c r="QLT86" s="32"/>
      <c r="QLU86" s="32"/>
      <c r="QLV86" s="32"/>
      <c r="QLW86" s="32"/>
      <c r="QLX86" s="32"/>
      <c r="QLY86" s="32"/>
      <c r="QLZ86" s="32"/>
      <c r="QMA86" s="32"/>
      <c r="QMB86" s="32"/>
      <c r="QMC86" s="32"/>
      <c r="QMD86" s="32"/>
      <c r="QME86" s="32"/>
      <c r="QMF86" s="32"/>
      <c r="QMG86" s="32"/>
      <c r="QMH86" s="32"/>
      <c r="QMI86" s="32"/>
      <c r="QMJ86" s="32"/>
      <c r="QMK86" s="32"/>
      <c r="QML86" s="32"/>
      <c r="QMM86" s="32"/>
      <c r="QMN86" s="32"/>
      <c r="QMO86" s="32"/>
      <c r="QMP86" s="32"/>
      <c r="QMQ86" s="32"/>
      <c r="QMR86" s="32"/>
      <c r="QMS86" s="32"/>
      <c r="QMT86" s="32"/>
      <c r="QMU86" s="32"/>
      <c r="QMV86" s="32"/>
      <c r="QMW86" s="32"/>
      <c r="QMX86" s="32"/>
      <c r="QMY86" s="32"/>
      <c r="QMZ86" s="32"/>
      <c r="QNA86" s="32"/>
      <c r="QNB86" s="32"/>
      <c r="QNC86" s="32"/>
      <c r="QND86" s="32"/>
      <c r="QNE86" s="32"/>
      <c r="QNF86" s="32"/>
      <c r="QNG86" s="32"/>
      <c r="QNH86" s="32"/>
      <c r="QNI86" s="32"/>
      <c r="QNJ86" s="32"/>
      <c r="QNK86" s="32"/>
      <c r="QNL86" s="32"/>
      <c r="QNM86" s="32"/>
      <c r="QNN86" s="32"/>
      <c r="QNO86" s="32"/>
      <c r="QNP86" s="32"/>
      <c r="QNQ86" s="32"/>
      <c r="QNR86" s="32"/>
      <c r="QNS86" s="32"/>
      <c r="QNT86" s="32"/>
      <c r="QNU86" s="32"/>
      <c r="QNV86" s="32"/>
      <c r="QNW86" s="32"/>
      <c r="QNX86" s="32"/>
      <c r="QNY86" s="32"/>
      <c r="QNZ86" s="32"/>
      <c r="QOA86" s="32"/>
      <c r="QOB86" s="32"/>
      <c r="QOC86" s="32"/>
      <c r="QOD86" s="32"/>
      <c r="QOE86" s="32"/>
      <c r="QOF86" s="32"/>
      <c r="QOG86" s="32"/>
      <c r="QOH86" s="32"/>
      <c r="QOI86" s="32"/>
      <c r="QOJ86" s="32"/>
      <c r="QOK86" s="32"/>
      <c r="QOL86" s="32"/>
      <c r="QOM86" s="32"/>
      <c r="QON86" s="32"/>
      <c r="QOO86" s="32"/>
      <c r="QOP86" s="32"/>
      <c r="QOQ86" s="32"/>
      <c r="QOR86" s="32"/>
      <c r="QOS86" s="32"/>
      <c r="QOT86" s="32"/>
      <c r="QOU86" s="32"/>
      <c r="QOV86" s="32"/>
      <c r="QOW86" s="32"/>
      <c r="QOX86" s="32"/>
      <c r="QOY86" s="32"/>
      <c r="QOZ86" s="32"/>
      <c r="QPA86" s="32"/>
      <c r="QPB86" s="32"/>
      <c r="QPC86" s="32"/>
      <c r="QPD86" s="32"/>
      <c r="QPE86" s="32"/>
      <c r="QPF86" s="32"/>
      <c r="QPG86" s="32"/>
      <c r="QPH86" s="32"/>
      <c r="QPI86" s="32"/>
      <c r="QPJ86" s="32"/>
      <c r="QPK86" s="32"/>
      <c r="QPL86" s="32"/>
      <c r="QPM86" s="32"/>
      <c r="QPN86" s="32"/>
      <c r="QPO86" s="32"/>
      <c r="QPP86" s="32"/>
      <c r="QPQ86" s="32"/>
      <c r="QPR86" s="32"/>
      <c r="QPS86" s="32"/>
      <c r="QPT86" s="32"/>
      <c r="QPU86" s="32"/>
      <c r="QPV86" s="32"/>
      <c r="QPW86" s="32"/>
      <c r="QPX86" s="32"/>
      <c r="QPY86" s="32"/>
      <c r="QPZ86" s="32"/>
      <c r="QQA86" s="32"/>
      <c r="QQB86" s="32"/>
      <c r="QQC86" s="32"/>
      <c r="QQD86" s="32"/>
      <c r="QQE86" s="32"/>
      <c r="QQF86" s="32"/>
      <c r="QQG86" s="32"/>
      <c r="QQH86" s="32"/>
      <c r="QQI86" s="32"/>
      <c r="QQJ86" s="32"/>
      <c r="QQK86" s="32"/>
      <c r="QQL86" s="32"/>
      <c r="QQM86" s="32"/>
      <c r="QQN86" s="32"/>
      <c r="QQO86" s="32"/>
      <c r="QQP86" s="32"/>
      <c r="QQQ86" s="32"/>
      <c r="QQR86" s="32"/>
      <c r="QQS86" s="32"/>
      <c r="QQT86" s="32"/>
      <c r="QQU86" s="32"/>
      <c r="QQV86" s="32"/>
      <c r="QQW86" s="32"/>
      <c r="QQX86" s="32"/>
      <c r="QQY86" s="32"/>
      <c r="QQZ86" s="32"/>
      <c r="QRA86" s="32"/>
      <c r="QRB86" s="32"/>
      <c r="QRC86" s="32"/>
      <c r="QRD86" s="32"/>
      <c r="QRE86" s="32"/>
      <c r="QRF86" s="32"/>
      <c r="QRG86" s="32"/>
      <c r="QRH86" s="32"/>
      <c r="QRI86" s="32"/>
      <c r="QRJ86" s="32"/>
      <c r="QRK86" s="32"/>
      <c r="QRL86" s="32"/>
      <c r="QRM86" s="32"/>
      <c r="QRN86" s="32"/>
      <c r="QRO86" s="32"/>
      <c r="QRP86" s="32"/>
      <c r="QRQ86" s="32"/>
      <c r="QRR86" s="32"/>
      <c r="QRS86" s="32"/>
      <c r="QRT86" s="32"/>
      <c r="QRU86" s="32"/>
      <c r="QRV86" s="32"/>
      <c r="QRW86" s="32"/>
      <c r="QRX86" s="32"/>
      <c r="QRY86" s="32"/>
      <c r="QRZ86" s="32"/>
      <c r="QSA86" s="32"/>
      <c r="QSB86" s="32"/>
      <c r="QSC86" s="32"/>
      <c r="QSD86" s="32"/>
      <c r="QSE86" s="32"/>
      <c r="QSF86" s="32"/>
      <c r="QSG86" s="32"/>
      <c r="QSH86" s="32"/>
      <c r="QSI86" s="32"/>
      <c r="QSJ86" s="32"/>
      <c r="QSK86" s="32"/>
      <c r="QSL86" s="32"/>
      <c r="QSM86" s="32"/>
      <c r="QSN86" s="32"/>
      <c r="QSO86" s="32"/>
      <c r="QSP86" s="32"/>
      <c r="QSQ86" s="32"/>
      <c r="QSR86" s="32"/>
      <c r="QSS86" s="32"/>
      <c r="QST86" s="32"/>
      <c r="QSU86" s="32"/>
      <c r="QSV86" s="32"/>
      <c r="QSW86" s="32"/>
      <c r="QSX86" s="32"/>
      <c r="QSY86" s="32"/>
      <c r="QSZ86" s="32"/>
      <c r="QTA86" s="32"/>
      <c r="QTB86" s="32"/>
      <c r="QTC86" s="32"/>
      <c r="QTD86" s="32"/>
      <c r="QTE86" s="32"/>
      <c r="QTF86" s="32"/>
      <c r="QTG86" s="32"/>
      <c r="QTH86" s="32"/>
      <c r="QTI86" s="32"/>
      <c r="QTJ86" s="32"/>
      <c r="QTK86" s="32"/>
      <c r="QTL86" s="32"/>
      <c r="QTM86" s="32"/>
      <c r="QTN86" s="32"/>
      <c r="QTO86" s="32"/>
      <c r="QTP86" s="32"/>
      <c r="QTQ86" s="32"/>
      <c r="QTR86" s="32"/>
      <c r="QTS86" s="32"/>
      <c r="QTT86" s="32"/>
      <c r="QTU86" s="32"/>
      <c r="QTV86" s="32"/>
      <c r="QTW86" s="32"/>
      <c r="QTX86" s="32"/>
      <c r="QTY86" s="32"/>
      <c r="QTZ86" s="32"/>
      <c r="QUA86" s="32"/>
      <c r="QUB86" s="32"/>
      <c r="QUC86" s="32"/>
      <c r="QUD86" s="32"/>
      <c r="QUE86" s="32"/>
      <c r="QUF86" s="32"/>
      <c r="QUG86" s="32"/>
      <c r="QUH86" s="32"/>
      <c r="QUI86" s="32"/>
      <c r="QUJ86" s="32"/>
      <c r="QUK86" s="32"/>
      <c r="QUL86" s="32"/>
      <c r="QUM86" s="32"/>
      <c r="QUN86" s="32"/>
      <c r="QUO86" s="32"/>
      <c r="QUP86" s="32"/>
      <c r="QUQ86" s="32"/>
      <c r="QUR86" s="32"/>
      <c r="QUS86" s="32"/>
      <c r="QUT86" s="32"/>
      <c r="QUU86" s="32"/>
      <c r="QUV86" s="32"/>
      <c r="QUW86" s="32"/>
      <c r="QUX86" s="32"/>
      <c r="QUY86" s="32"/>
      <c r="QUZ86" s="32"/>
      <c r="QVA86" s="32"/>
      <c r="QVB86" s="32"/>
      <c r="QVC86" s="32"/>
      <c r="QVD86" s="32"/>
      <c r="QVE86" s="32"/>
      <c r="QVF86" s="32"/>
      <c r="QVG86" s="32"/>
      <c r="QVH86" s="32"/>
      <c r="QVI86" s="32"/>
      <c r="QVJ86" s="32"/>
      <c r="QVK86" s="32"/>
      <c r="QVL86" s="32"/>
      <c r="QVM86" s="32"/>
      <c r="QVN86" s="32"/>
      <c r="QVO86" s="32"/>
      <c r="QVP86" s="32"/>
      <c r="QVQ86" s="32"/>
      <c r="QVR86" s="32"/>
      <c r="QVS86" s="32"/>
      <c r="QVT86" s="32"/>
      <c r="QVU86" s="32"/>
      <c r="QVV86" s="32"/>
      <c r="QVW86" s="32"/>
      <c r="QVX86" s="32"/>
      <c r="QVY86" s="32"/>
      <c r="QVZ86" s="32"/>
      <c r="QWA86" s="32"/>
      <c r="QWB86" s="32"/>
      <c r="QWC86" s="32"/>
      <c r="QWD86" s="32"/>
      <c r="QWE86" s="32"/>
      <c r="QWF86" s="32"/>
      <c r="QWG86" s="32"/>
      <c r="QWH86" s="32"/>
      <c r="QWI86" s="32"/>
      <c r="QWJ86" s="32"/>
      <c r="QWK86" s="32"/>
      <c r="QWL86" s="32"/>
      <c r="QWM86" s="32"/>
      <c r="QWN86" s="32"/>
      <c r="QWO86" s="32"/>
      <c r="QWP86" s="32"/>
      <c r="QWQ86" s="32"/>
      <c r="QWR86" s="32"/>
      <c r="QWS86" s="32"/>
      <c r="QWT86" s="32"/>
      <c r="QWU86" s="32"/>
      <c r="QWV86" s="32"/>
      <c r="QWW86" s="32"/>
      <c r="QWX86" s="32"/>
      <c r="QWY86" s="32"/>
      <c r="QWZ86" s="32"/>
      <c r="QXA86" s="32"/>
      <c r="QXB86" s="32"/>
      <c r="QXC86" s="32"/>
      <c r="QXD86" s="32"/>
      <c r="QXE86" s="32"/>
      <c r="QXF86" s="32"/>
      <c r="QXG86" s="32"/>
      <c r="QXH86" s="32"/>
      <c r="QXI86" s="32"/>
      <c r="QXJ86" s="32"/>
      <c r="QXK86" s="32"/>
      <c r="QXL86" s="32"/>
      <c r="QXM86" s="32"/>
      <c r="QXN86" s="32"/>
      <c r="QXO86" s="32"/>
      <c r="QXP86" s="32"/>
      <c r="QXQ86" s="32"/>
      <c r="QXR86" s="32"/>
      <c r="QXS86" s="32"/>
      <c r="QXT86" s="32"/>
      <c r="QXU86" s="32"/>
      <c r="QXV86" s="32"/>
      <c r="QXW86" s="32"/>
      <c r="QXX86" s="32"/>
      <c r="QXY86" s="32"/>
      <c r="QXZ86" s="32"/>
      <c r="QYA86" s="32"/>
      <c r="QYB86" s="32"/>
      <c r="QYC86" s="32"/>
      <c r="QYD86" s="32"/>
      <c r="QYE86" s="32"/>
      <c r="QYF86" s="32"/>
      <c r="QYG86" s="32"/>
      <c r="QYH86" s="32"/>
      <c r="QYI86" s="32"/>
      <c r="QYJ86" s="32"/>
      <c r="QYK86" s="32"/>
      <c r="QYL86" s="32"/>
      <c r="QYM86" s="32"/>
      <c r="QYN86" s="32"/>
      <c r="QYO86" s="32"/>
      <c r="QYP86" s="32"/>
      <c r="QYQ86" s="32"/>
      <c r="QYR86" s="32"/>
      <c r="QYS86" s="32"/>
      <c r="QYT86" s="32"/>
      <c r="QYU86" s="32"/>
      <c r="QYV86" s="32"/>
      <c r="QYW86" s="32"/>
      <c r="QYX86" s="32"/>
      <c r="QYY86" s="32"/>
      <c r="QYZ86" s="32"/>
      <c r="QZA86" s="32"/>
      <c r="QZB86" s="32"/>
      <c r="QZC86" s="32"/>
      <c r="QZD86" s="32"/>
      <c r="QZE86" s="32"/>
      <c r="QZF86" s="32"/>
      <c r="QZG86" s="32"/>
      <c r="QZH86" s="32"/>
      <c r="QZI86" s="32"/>
      <c r="QZJ86" s="32"/>
      <c r="QZK86" s="32"/>
      <c r="QZL86" s="32"/>
      <c r="QZM86" s="32"/>
      <c r="QZN86" s="32"/>
      <c r="QZO86" s="32"/>
      <c r="QZP86" s="32"/>
      <c r="QZQ86" s="32"/>
      <c r="QZR86" s="32"/>
      <c r="QZS86" s="32"/>
      <c r="QZT86" s="32"/>
      <c r="QZU86" s="32"/>
      <c r="QZV86" s="32"/>
      <c r="QZW86" s="32"/>
      <c r="QZX86" s="32"/>
      <c r="QZY86" s="32"/>
      <c r="QZZ86" s="32"/>
      <c r="RAA86" s="32"/>
      <c r="RAB86" s="32"/>
      <c r="RAC86" s="32"/>
      <c r="RAD86" s="32"/>
      <c r="RAE86" s="32"/>
      <c r="RAF86" s="32"/>
      <c r="RAG86" s="32"/>
      <c r="RAH86" s="32"/>
      <c r="RAI86" s="32"/>
      <c r="RAJ86" s="32"/>
      <c r="RAK86" s="32"/>
      <c r="RAL86" s="32"/>
      <c r="RAM86" s="32"/>
      <c r="RAN86" s="32"/>
      <c r="RAO86" s="32"/>
      <c r="RAP86" s="32"/>
      <c r="RAQ86" s="32"/>
      <c r="RAR86" s="32"/>
      <c r="RAS86" s="32"/>
      <c r="RAT86" s="32"/>
      <c r="RAU86" s="32"/>
      <c r="RAV86" s="32"/>
      <c r="RAW86" s="32"/>
      <c r="RAX86" s="32"/>
      <c r="RAY86" s="32"/>
      <c r="RAZ86" s="32"/>
      <c r="RBA86" s="32"/>
      <c r="RBB86" s="32"/>
      <c r="RBC86" s="32"/>
      <c r="RBD86" s="32"/>
      <c r="RBE86" s="32"/>
      <c r="RBF86" s="32"/>
      <c r="RBG86" s="32"/>
      <c r="RBH86" s="32"/>
      <c r="RBI86" s="32"/>
      <c r="RBJ86" s="32"/>
      <c r="RBK86" s="32"/>
      <c r="RBL86" s="32"/>
      <c r="RBM86" s="32"/>
      <c r="RBN86" s="32"/>
      <c r="RBO86" s="32"/>
      <c r="RBP86" s="32"/>
      <c r="RBQ86" s="32"/>
      <c r="RBR86" s="32"/>
      <c r="RBS86" s="32"/>
      <c r="RBT86" s="32"/>
      <c r="RBU86" s="32"/>
      <c r="RBV86" s="32"/>
      <c r="RBW86" s="32"/>
      <c r="RBX86" s="32"/>
      <c r="RBY86" s="32"/>
      <c r="RBZ86" s="32"/>
      <c r="RCA86" s="32"/>
      <c r="RCB86" s="32"/>
      <c r="RCC86" s="32"/>
      <c r="RCD86" s="32"/>
      <c r="RCE86" s="32"/>
      <c r="RCF86" s="32"/>
      <c r="RCG86" s="32"/>
      <c r="RCH86" s="32"/>
      <c r="RCI86" s="32"/>
      <c r="RCJ86" s="32"/>
      <c r="RCK86" s="32"/>
      <c r="RCL86" s="32"/>
      <c r="RCM86" s="32"/>
      <c r="RCN86" s="32"/>
      <c r="RCO86" s="32"/>
      <c r="RCP86" s="32"/>
      <c r="RCQ86" s="32"/>
      <c r="RCR86" s="32"/>
      <c r="RCS86" s="32"/>
      <c r="RCT86" s="32"/>
      <c r="RCU86" s="32"/>
      <c r="RCV86" s="32"/>
      <c r="RCW86" s="32"/>
      <c r="RCX86" s="32"/>
      <c r="RCY86" s="32"/>
      <c r="RCZ86" s="32"/>
      <c r="RDA86" s="32"/>
      <c r="RDB86" s="32"/>
      <c r="RDC86" s="32"/>
      <c r="RDD86" s="32"/>
      <c r="RDE86" s="32"/>
      <c r="RDF86" s="32"/>
      <c r="RDG86" s="32"/>
      <c r="RDH86" s="32"/>
      <c r="RDI86" s="32"/>
      <c r="RDJ86" s="32"/>
      <c r="RDK86" s="32"/>
      <c r="RDL86" s="32"/>
      <c r="RDM86" s="32"/>
      <c r="RDN86" s="32"/>
      <c r="RDO86" s="32"/>
      <c r="RDP86" s="32"/>
      <c r="RDQ86" s="32"/>
      <c r="RDR86" s="32"/>
      <c r="RDS86" s="32"/>
      <c r="RDT86" s="32"/>
      <c r="RDU86" s="32"/>
      <c r="RDV86" s="32"/>
      <c r="RDW86" s="32"/>
      <c r="RDX86" s="32"/>
      <c r="RDY86" s="32"/>
      <c r="RDZ86" s="32"/>
      <c r="REA86" s="32"/>
      <c r="REB86" s="32"/>
      <c r="REC86" s="32"/>
      <c r="RED86" s="32"/>
      <c r="REE86" s="32"/>
      <c r="REF86" s="32"/>
      <c r="REG86" s="32"/>
      <c r="REH86" s="32"/>
      <c r="REI86" s="32"/>
      <c r="REJ86" s="32"/>
      <c r="REK86" s="32"/>
      <c r="REL86" s="32"/>
      <c r="REM86" s="32"/>
      <c r="REN86" s="32"/>
      <c r="REO86" s="32"/>
      <c r="REP86" s="32"/>
      <c r="REQ86" s="32"/>
      <c r="RER86" s="32"/>
      <c r="RES86" s="32"/>
      <c r="RET86" s="32"/>
      <c r="REU86" s="32"/>
      <c r="REV86" s="32"/>
      <c r="REW86" s="32"/>
      <c r="REX86" s="32"/>
      <c r="REY86" s="32"/>
      <c r="REZ86" s="32"/>
      <c r="RFA86" s="32"/>
      <c r="RFB86" s="32"/>
      <c r="RFC86" s="32"/>
      <c r="RFD86" s="32"/>
      <c r="RFE86" s="32"/>
      <c r="RFF86" s="32"/>
      <c r="RFG86" s="32"/>
      <c r="RFH86" s="32"/>
      <c r="RFI86" s="32"/>
      <c r="RFJ86" s="32"/>
      <c r="RFK86" s="32"/>
      <c r="RFL86" s="32"/>
      <c r="RFM86" s="32"/>
      <c r="RFN86" s="32"/>
      <c r="RFO86" s="32"/>
      <c r="RFP86" s="32"/>
      <c r="RFQ86" s="32"/>
      <c r="RFR86" s="32"/>
      <c r="RFS86" s="32"/>
      <c r="RFT86" s="32"/>
      <c r="RFU86" s="32"/>
      <c r="RFV86" s="32"/>
      <c r="RFW86" s="32"/>
      <c r="RFX86" s="32"/>
      <c r="RFY86" s="32"/>
      <c r="RFZ86" s="32"/>
      <c r="RGA86" s="32"/>
      <c r="RGB86" s="32"/>
      <c r="RGC86" s="32"/>
      <c r="RGD86" s="32"/>
      <c r="RGE86" s="32"/>
      <c r="RGF86" s="32"/>
      <c r="RGG86" s="32"/>
      <c r="RGH86" s="32"/>
      <c r="RGI86" s="32"/>
      <c r="RGJ86" s="32"/>
      <c r="RGK86" s="32"/>
      <c r="RGL86" s="32"/>
      <c r="RGM86" s="32"/>
      <c r="RGN86" s="32"/>
      <c r="RGO86" s="32"/>
      <c r="RGP86" s="32"/>
      <c r="RGQ86" s="32"/>
      <c r="RGR86" s="32"/>
      <c r="RGS86" s="32"/>
      <c r="RGT86" s="32"/>
      <c r="RGU86" s="32"/>
      <c r="RGV86" s="32"/>
      <c r="RGW86" s="32"/>
      <c r="RGX86" s="32"/>
      <c r="RGY86" s="32"/>
      <c r="RGZ86" s="32"/>
      <c r="RHA86" s="32"/>
      <c r="RHB86" s="32"/>
      <c r="RHC86" s="32"/>
      <c r="RHD86" s="32"/>
      <c r="RHE86" s="32"/>
      <c r="RHF86" s="32"/>
      <c r="RHG86" s="32"/>
      <c r="RHH86" s="32"/>
      <c r="RHI86" s="32"/>
      <c r="RHJ86" s="32"/>
      <c r="RHK86" s="32"/>
      <c r="RHL86" s="32"/>
      <c r="RHM86" s="32"/>
      <c r="RHN86" s="32"/>
      <c r="RHO86" s="32"/>
      <c r="RHP86" s="32"/>
      <c r="RHQ86" s="32"/>
      <c r="RHR86" s="32"/>
      <c r="RHS86" s="32"/>
      <c r="RHT86" s="32"/>
      <c r="RHU86" s="32"/>
      <c r="RHV86" s="32"/>
      <c r="RHW86" s="32"/>
      <c r="RHX86" s="32"/>
      <c r="RHY86" s="32"/>
      <c r="RHZ86" s="32"/>
      <c r="RIA86" s="32"/>
      <c r="RIB86" s="32"/>
      <c r="RIC86" s="32"/>
      <c r="RID86" s="32"/>
      <c r="RIE86" s="32"/>
      <c r="RIF86" s="32"/>
      <c r="RIG86" s="32"/>
      <c r="RIH86" s="32"/>
      <c r="RII86" s="32"/>
      <c r="RIJ86" s="32"/>
      <c r="RIK86" s="32"/>
      <c r="RIL86" s="32"/>
      <c r="RIM86" s="32"/>
      <c r="RIN86" s="32"/>
      <c r="RIO86" s="32"/>
      <c r="RIP86" s="32"/>
      <c r="RIQ86" s="32"/>
      <c r="RIR86" s="32"/>
      <c r="RIS86" s="32"/>
      <c r="RIT86" s="32"/>
      <c r="RIU86" s="32"/>
      <c r="RIV86" s="32"/>
      <c r="RIW86" s="32"/>
      <c r="RIX86" s="32"/>
      <c r="RIY86" s="32"/>
      <c r="RIZ86" s="32"/>
      <c r="RJA86" s="32"/>
      <c r="RJB86" s="32"/>
      <c r="RJC86" s="32"/>
      <c r="RJD86" s="32"/>
      <c r="RJE86" s="32"/>
      <c r="RJF86" s="32"/>
      <c r="RJG86" s="32"/>
      <c r="RJH86" s="32"/>
      <c r="RJI86" s="32"/>
      <c r="RJJ86" s="32"/>
      <c r="RJK86" s="32"/>
      <c r="RJL86" s="32"/>
      <c r="RJM86" s="32"/>
      <c r="RJN86" s="32"/>
      <c r="RJO86" s="32"/>
      <c r="RJP86" s="32"/>
      <c r="RJQ86" s="32"/>
      <c r="RJR86" s="32"/>
      <c r="RJS86" s="32"/>
      <c r="RJT86" s="32"/>
      <c r="RJU86" s="32"/>
      <c r="RJV86" s="32"/>
      <c r="RJW86" s="32"/>
      <c r="RJX86" s="32"/>
      <c r="RJY86" s="32"/>
      <c r="RJZ86" s="32"/>
      <c r="RKA86" s="32"/>
      <c r="RKB86" s="32"/>
      <c r="RKC86" s="32"/>
      <c r="RKD86" s="32"/>
      <c r="RKE86" s="32"/>
      <c r="RKF86" s="32"/>
      <c r="RKG86" s="32"/>
      <c r="RKH86" s="32"/>
      <c r="RKI86" s="32"/>
      <c r="RKJ86" s="32"/>
      <c r="RKK86" s="32"/>
      <c r="RKL86" s="32"/>
      <c r="RKM86" s="32"/>
      <c r="RKN86" s="32"/>
      <c r="RKO86" s="32"/>
      <c r="RKP86" s="32"/>
      <c r="RKQ86" s="32"/>
      <c r="RKR86" s="32"/>
      <c r="RKS86" s="32"/>
      <c r="RKT86" s="32"/>
      <c r="RKU86" s="32"/>
      <c r="RKV86" s="32"/>
      <c r="RKW86" s="32"/>
      <c r="RKX86" s="32"/>
      <c r="RKY86" s="32"/>
      <c r="RKZ86" s="32"/>
      <c r="RLA86" s="32"/>
      <c r="RLB86" s="32"/>
      <c r="RLC86" s="32"/>
      <c r="RLD86" s="32"/>
      <c r="RLE86" s="32"/>
      <c r="RLF86" s="32"/>
      <c r="RLG86" s="32"/>
      <c r="RLH86" s="32"/>
      <c r="RLI86" s="32"/>
      <c r="RLJ86" s="32"/>
      <c r="RLK86" s="32"/>
      <c r="RLL86" s="32"/>
      <c r="RLM86" s="32"/>
      <c r="RLN86" s="32"/>
      <c r="RLO86" s="32"/>
      <c r="RLP86" s="32"/>
      <c r="RLQ86" s="32"/>
      <c r="RLR86" s="32"/>
      <c r="RLS86" s="32"/>
      <c r="RLT86" s="32"/>
      <c r="RLU86" s="32"/>
      <c r="RLV86" s="32"/>
      <c r="RLW86" s="32"/>
      <c r="RLX86" s="32"/>
      <c r="RLY86" s="32"/>
      <c r="RLZ86" s="32"/>
      <c r="RMA86" s="32"/>
      <c r="RMB86" s="32"/>
      <c r="RMC86" s="32"/>
      <c r="RMD86" s="32"/>
      <c r="RME86" s="32"/>
      <c r="RMF86" s="32"/>
      <c r="RMG86" s="32"/>
      <c r="RMH86" s="32"/>
      <c r="RMI86" s="32"/>
      <c r="RMJ86" s="32"/>
      <c r="RMK86" s="32"/>
      <c r="RML86" s="32"/>
      <c r="RMM86" s="32"/>
      <c r="RMN86" s="32"/>
      <c r="RMO86" s="32"/>
      <c r="RMP86" s="32"/>
      <c r="RMQ86" s="32"/>
      <c r="RMR86" s="32"/>
      <c r="RMS86" s="32"/>
      <c r="RMT86" s="32"/>
      <c r="RMU86" s="32"/>
      <c r="RMV86" s="32"/>
      <c r="RMW86" s="32"/>
      <c r="RMX86" s="32"/>
      <c r="RMY86" s="32"/>
      <c r="RMZ86" s="32"/>
      <c r="RNA86" s="32"/>
      <c r="RNB86" s="32"/>
      <c r="RNC86" s="32"/>
      <c r="RND86" s="32"/>
      <c r="RNE86" s="32"/>
      <c r="RNF86" s="32"/>
      <c r="RNG86" s="32"/>
      <c r="RNH86" s="32"/>
      <c r="RNI86" s="32"/>
      <c r="RNJ86" s="32"/>
      <c r="RNK86" s="32"/>
      <c r="RNL86" s="32"/>
      <c r="RNM86" s="32"/>
      <c r="RNN86" s="32"/>
      <c r="RNO86" s="32"/>
      <c r="RNP86" s="32"/>
      <c r="RNQ86" s="32"/>
      <c r="RNR86" s="32"/>
      <c r="RNS86" s="32"/>
      <c r="RNT86" s="32"/>
      <c r="RNU86" s="32"/>
      <c r="RNV86" s="32"/>
      <c r="RNW86" s="32"/>
      <c r="RNX86" s="32"/>
      <c r="RNY86" s="32"/>
      <c r="RNZ86" s="32"/>
      <c r="ROA86" s="32"/>
      <c r="ROB86" s="32"/>
      <c r="ROC86" s="32"/>
      <c r="ROD86" s="32"/>
      <c r="ROE86" s="32"/>
      <c r="ROF86" s="32"/>
      <c r="ROG86" s="32"/>
      <c r="ROH86" s="32"/>
      <c r="ROI86" s="32"/>
      <c r="ROJ86" s="32"/>
      <c r="ROK86" s="32"/>
      <c r="ROL86" s="32"/>
      <c r="ROM86" s="32"/>
      <c r="RON86" s="32"/>
      <c r="ROO86" s="32"/>
      <c r="ROP86" s="32"/>
      <c r="ROQ86" s="32"/>
      <c r="ROR86" s="32"/>
      <c r="ROS86" s="32"/>
      <c r="ROT86" s="32"/>
      <c r="ROU86" s="32"/>
      <c r="ROV86" s="32"/>
      <c r="ROW86" s="32"/>
      <c r="ROX86" s="32"/>
      <c r="ROY86" s="32"/>
      <c r="ROZ86" s="32"/>
      <c r="RPA86" s="32"/>
      <c r="RPB86" s="32"/>
      <c r="RPC86" s="32"/>
      <c r="RPD86" s="32"/>
      <c r="RPE86" s="32"/>
      <c r="RPF86" s="32"/>
      <c r="RPG86" s="32"/>
      <c r="RPH86" s="32"/>
      <c r="RPI86" s="32"/>
      <c r="RPJ86" s="32"/>
      <c r="RPK86" s="32"/>
      <c r="RPL86" s="32"/>
      <c r="RPM86" s="32"/>
      <c r="RPN86" s="32"/>
      <c r="RPO86" s="32"/>
      <c r="RPP86" s="32"/>
      <c r="RPQ86" s="32"/>
      <c r="RPR86" s="32"/>
      <c r="RPS86" s="32"/>
      <c r="RPT86" s="32"/>
      <c r="RPU86" s="32"/>
      <c r="RPV86" s="32"/>
      <c r="RPW86" s="32"/>
      <c r="RPX86" s="32"/>
      <c r="RPY86" s="32"/>
      <c r="RPZ86" s="32"/>
      <c r="RQA86" s="32"/>
      <c r="RQB86" s="32"/>
      <c r="RQC86" s="32"/>
      <c r="RQD86" s="32"/>
      <c r="RQE86" s="32"/>
      <c r="RQF86" s="32"/>
      <c r="RQG86" s="32"/>
      <c r="RQH86" s="32"/>
      <c r="RQI86" s="32"/>
      <c r="RQJ86" s="32"/>
      <c r="RQK86" s="32"/>
      <c r="RQL86" s="32"/>
      <c r="RQM86" s="32"/>
      <c r="RQN86" s="32"/>
      <c r="RQO86" s="32"/>
      <c r="RQP86" s="32"/>
      <c r="RQQ86" s="32"/>
      <c r="RQR86" s="32"/>
      <c r="RQS86" s="32"/>
      <c r="RQT86" s="32"/>
      <c r="RQU86" s="32"/>
      <c r="RQV86" s="32"/>
      <c r="RQW86" s="32"/>
      <c r="RQX86" s="32"/>
      <c r="RQY86" s="32"/>
      <c r="RQZ86" s="32"/>
      <c r="RRA86" s="32"/>
      <c r="RRB86" s="32"/>
      <c r="RRC86" s="32"/>
      <c r="RRD86" s="32"/>
      <c r="RRE86" s="32"/>
      <c r="RRF86" s="32"/>
      <c r="RRG86" s="32"/>
      <c r="RRH86" s="32"/>
      <c r="RRI86" s="32"/>
      <c r="RRJ86" s="32"/>
      <c r="RRK86" s="32"/>
      <c r="RRL86" s="32"/>
      <c r="RRM86" s="32"/>
      <c r="RRN86" s="32"/>
      <c r="RRO86" s="32"/>
      <c r="RRP86" s="32"/>
      <c r="RRQ86" s="32"/>
      <c r="RRR86" s="32"/>
      <c r="RRS86" s="32"/>
      <c r="RRT86" s="32"/>
      <c r="RRU86" s="32"/>
      <c r="RRV86" s="32"/>
      <c r="RRW86" s="32"/>
      <c r="RRX86" s="32"/>
      <c r="RRY86" s="32"/>
      <c r="RRZ86" s="32"/>
      <c r="RSA86" s="32"/>
      <c r="RSB86" s="32"/>
      <c r="RSC86" s="32"/>
      <c r="RSD86" s="32"/>
      <c r="RSE86" s="32"/>
      <c r="RSF86" s="32"/>
      <c r="RSG86" s="32"/>
      <c r="RSH86" s="32"/>
      <c r="RSI86" s="32"/>
      <c r="RSJ86" s="32"/>
      <c r="RSK86" s="32"/>
      <c r="RSL86" s="32"/>
      <c r="RSM86" s="32"/>
      <c r="RSN86" s="32"/>
      <c r="RSO86" s="32"/>
      <c r="RSP86" s="32"/>
      <c r="RSQ86" s="32"/>
      <c r="RSR86" s="32"/>
      <c r="RSS86" s="32"/>
      <c r="RST86" s="32"/>
      <c r="RSU86" s="32"/>
      <c r="RSV86" s="32"/>
      <c r="RSW86" s="32"/>
      <c r="RSX86" s="32"/>
      <c r="RSY86" s="32"/>
      <c r="RSZ86" s="32"/>
      <c r="RTA86" s="32"/>
      <c r="RTB86" s="32"/>
      <c r="RTC86" s="32"/>
      <c r="RTD86" s="32"/>
      <c r="RTE86" s="32"/>
      <c r="RTF86" s="32"/>
      <c r="RTG86" s="32"/>
      <c r="RTH86" s="32"/>
      <c r="RTI86" s="32"/>
      <c r="RTJ86" s="32"/>
      <c r="RTK86" s="32"/>
      <c r="RTL86" s="32"/>
      <c r="RTM86" s="32"/>
      <c r="RTN86" s="32"/>
      <c r="RTO86" s="32"/>
      <c r="RTP86" s="32"/>
      <c r="RTQ86" s="32"/>
      <c r="RTR86" s="32"/>
      <c r="RTS86" s="32"/>
      <c r="RTT86" s="32"/>
      <c r="RTU86" s="32"/>
      <c r="RTV86" s="32"/>
      <c r="RTW86" s="32"/>
      <c r="RTX86" s="32"/>
      <c r="RTY86" s="32"/>
      <c r="RTZ86" s="32"/>
      <c r="RUA86" s="32"/>
      <c r="RUB86" s="32"/>
      <c r="RUC86" s="32"/>
      <c r="RUD86" s="32"/>
      <c r="RUE86" s="32"/>
      <c r="RUF86" s="32"/>
      <c r="RUG86" s="32"/>
      <c r="RUH86" s="32"/>
      <c r="RUI86" s="32"/>
      <c r="RUJ86" s="32"/>
      <c r="RUK86" s="32"/>
      <c r="RUL86" s="32"/>
      <c r="RUM86" s="32"/>
      <c r="RUN86" s="32"/>
      <c r="RUO86" s="32"/>
      <c r="RUP86" s="32"/>
      <c r="RUQ86" s="32"/>
      <c r="RUR86" s="32"/>
      <c r="RUS86" s="32"/>
      <c r="RUT86" s="32"/>
      <c r="RUU86" s="32"/>
      <c r="RUV86" s="32"/>
      <c r="RUW86" s="32"/>
      <c r="RUX86" s="32"/>
      <c r="RUY86" s="32"/>
      <c r="RUZ86" s="32"/>
      <c r="RVA86" s="32"/>
      <c r="RVB86" s="32"/>
      <c r="RVC86" s="32"/>
      <c r="RVD86" s="32"/>
      <c r="RVE86" s="32"/>
      <c r="RVF86" s="32"/>
      <c r="RVG86" s="32"/>
      <c r="RVH86" s="32"/>
      <c r="RVI86" s="32"/>
      <c r="RVJ86" s="32"/>
      <c r="RVK86" s="32"/>
      <c r="RVL86" s="32"/>
      <c r="RVM86" s="32"/>
      <c r="RVN86" s="32"/>
      <c r="RVO86" s="32"/>
      <c r="RVP86" s="32"/>
      <c r="RVQ86" s="32"/>
      <c r="RVR86" s="32"/>
      <c r="RVS86" s="32"/>
      <c r="RVT86" s="32"/>
      <c r="RVU86" s="32"/>
      <c r="RVV86" s="32"/>
      <c r="RVW86" s="32"/>
      <c r="RVX86" s="32"/>
      <c r="RVY86" s="32"/>
      <c r="RVZ86" s="32"/>
      <c r="RWA86" s="32"/>
      <c r="RWB86" s="32"/>
      <c r="RWC86" s="32"/>
      <c r="RWD86" s="32"/>
      <c r="RWE86" s="32"/>
      <c r="RWF86" s="32"/>
      <c r="RWG86" s="32"/>
      <c r="RWH86" s="32"/>
      <c r="RWI86" s="32"/>
      <c r="RWJ86" s="32"/>
      <c r="RWK86" s="32"/>
      <c r="RWL86" s="32"/>
      <c r="RWM86" s="32"/>
      <c r="RWN86" s="32"/>
      <c r="RWO86" s="32"/>
      <c r="RWP86" s="32"/>
      <c r="RWQ86" s="32"/>
      <c r="RWR86" s="32"/>
      <c r="RWS86" s="32"/>
      <c r="RWT86" s="32"/>
      <c r="RWU86" s="32"/>
      <c r="RWV86" s="32"/>
      <c r="RWW86" s="32"/>
      <c r="RWX86" s="32"/>
      <c r="RWY86" s="32"/>
      <c r="RWZ86" s="32"/>
      <c r="RXA86" s="32"/>
      <c r="RXB86" s="32"/>
      <c r="RXC86" s="32"/>
      <c r="RXD86" s="32"/>
      <c r="RXE86" s="32"/>
      <c r="RXF86" s="32"/>
      <c r="RXG86" s="32"/>
      <c r="RXH86" s="32"/>
      <c r="RXI86" s="32"/>
      <c r="RXJ86" s="32"/>
      <c r="RXK86" s="32"/>
      <c r="RXL86" s="32"/>
      <c r="RXM86" s="32"/>
      <c r="RXN86" s="32"/>
      <c r="RXO86" s="32"/>
      <c r="RXP86" s="32"/>
      <c r="RXQ86" s="32"/>
      <c r="RXR86" s="32"/>
      <c r="RXS86" s="32"/>
      <c r="RXT86" s="32"/>
      <c r="RXU86" s="32"/>
      <c r="RXV86" s="32"/>
      <c r="RXW86" s="32"/>
      <c r="RXX86" s="32"/>
      <c r="RXY86" s="32"/>
      <c r="RXZ86" s="32"/>
      <c r="RYA86" s="32"/>
      <c r="RYB86" s="32"/>
      <c r="RYC86" s="32"/>
      <c r="RYD86" s="32"/>
      <c r="RYE86" s="32"/>
      <c r="RYF86" s="32"/>
      <c r="RYG86" s="32"/>
      <c r="RYH86" s="32"/>
      <c r="RYI86" s="32"/>
      <c r="RYJ86" s="32"/>
      <c r="RYK86" s="32"/>
      <c r="RYL86" s="32"/>
      <c r="RYM86" s="32"/>
      <c r="RYN86" s="32"/>
      <c r="RYO86" s="32"/>
      <c r="RYP86" s="32"/>
      <c r="RYQ86" s="32"/>
      <c r="RYR86" s="32"/>
      <c r="RYS86" s="32"/>
      <c r="RYT86" s="32"/>
      <c r="RYU86" s="32"/>
      <c r="RYV86" s="32"/>
      <c r="RYW86" s="32"/>
      <c r="RYX86" s="32"/>
      <c r="RYY86" s="32"/>
      <c r="RYZ86" s="32"/>
      <c r="RZA86" s="32"/>
      <c r="RZB86" s="32"/>
      <c r="RZC86" s="32"/>
      <c r="RZD86" s="32"/>
      <c r="RZE86" s="32"/>
      <c r="RZF86" s="32"/>
      <c r="RZG86" s="32"/>
      <c r="RZH86" s="32"/>
      <c r="RZI86" s="32"/>
      <c r="RZJ86" s="32"/>
      <c r="RZK86" s="32"/>
      <c r="RZL86" s="32"/>
      <c r="RZM86" s="32"/>
      <c r="RZN86" s="32"/>
      <c r="RZO86" s="32"/>
      <c r="RZP86" s="32"/>
      <c r="RZQ86" s="32"/>
      <c r="RZR86" s="32"/>
      <c r="RZS86" s="32"/>
      <c r="RZT86" s="32"/>
      <c r="RZU86" s="32"/>
      <c r="RZV86" s="32"/>
      <c r="RZW86" s="32"/>
      <c r="RZX86" s="32"/>
      <c r="RZY86" s="32"/>
      <c r="RZZ86" s="32"/>
      <c r="SAA86" s="32"/>
      <c r="SAB86" s="32"/>
      <c r="SAC86" s="32"/>
      <c r="SAD86" s="32"/>
      <c r="SAE86" s="32"/>
      <c r="SAF86" s="32"/>
      <c r="SAG86" s="32"/>
      <c r="SAH86" s="32"/>
      <c r="SAI86" s="32"/>
      <c r="SAJ86" s="32"/>
      <c r="SAK86" s="32"/>
      <c r="SAL86" s="32"/>
      <c r="SAM86" s="32"/>
      <c r="SAN86" s="32"/>
      <c r="SAO86" s="32"/>
      <c r="SAP86" s="32"/>
      <c r="SAQ86" s="32"/>
      <c r="SAR86" s="32"/>
      <c r="SAS86" s="32"/>
      <c r="SAT86" s="32"/>
      <c r="SAU86" s="32"/>
      <c r="SAV86" s="32"/>
      <c r="SAW86" s="32"/>
      <c r="SAX86" s="32"/>
      <c r="SAY86" s="32"/>
      <c r="SAZ86" s="32"/>
      <c r="SBA86" s="32"/>
      <c r="SBB86" s="32"/>
      <c r="SBC86" s="32"/>
      <c r="SBD86" s="32"/>
      <c r="SBE86" s="32"/>
      <c r="SBF86" s="32"/>
      <c r="SBG86" s="32"/>
      <c r="SBH86" s="32"/>
      <c r="SBI86" s="32"/>
      <c r="SBJ86" s="32"/>
      <c r="SBK86" s="32"/>
      <c r="SBL86" s="32"/>
      <c r="SBM86" s="32"/>
      <c r="SBN86" s="32"/>
      <c r="SBO86" s="32"/>
      <c r="SBP86" s="32"/>
      <c r="SBQ86" s="32"/>
      <c r="SBR86" s="32"/>
      <c r="SBS86" s="32"/>
      <c r="SBT86" s="32"/>
      <c r="SBU86" s="32"/>
      <c r="SBV86" s="32"/>
      <c r="SBW86" s="32"/>
      <c r="SBX86" s="32"/>
      <c r="SBY86" s="32"/>
      <c r="SBZ86" s="32"/>
      <c r="SCA86" s="32"/>
      <c r="SCB86" s="32"/>
      <c r="SCC86" s="32"/>
      <c r="SCD86" s="32"/>
      <c r="SCE86" s="32"/>
      <c r="SCF86" s="32"/>
      <c r="SCG86" s="32"/>
      <c r="SCH86" s="32"/>
      <c r="SCI86" s="32"/>
      <c r="SCJ86" s="32"/>
      <c r="SCK86" s="32"/>
      <c r="SCL86" s="32"/>
      <c r="SCM86" s="32"/>
      <c r="SCN86" s="32"/>
      <c r="SCO86" s="32"/>
      <c r="SCP86" s="32"/>
      <c r="SCQ86" s="32"/>
      <c r="SCR86" s="32"/>
      <c r="SCS86" s="32"/>
      <c r="SCT86" s="32"/>
      <c r="SCU86" s="32"/>
      <c r="SCV86" s="32"/>
      <c r="SCW86" s="32"/>
      <c r="SCX86" s="32"/>
      <c r="SCY86" s="32"/>
      <c r="SCZ86" s="32"/>
      <c r="SDA86" s="32"/>
      <c r="SDB86" s="32"/>
      <c r="SDC86" s="32"/>
      <c r="SDD86" s="32"/>
      <c r="SDE86" s="32"/>
      <c r="SDF86" s="32"/>
      <c r="SDG86" s="32"/>
      <c r="SDH86" s="32"/>
      <c r="SDI86" s="32"/>
      <c r="SDJ86" s="32"/>
      <c r="SDK86" s="32"/>
      <c r="SDL86" s="32"/>
      <c r="SDM86" s="32"/>
      <c r="SDN86" s="32"/>
      <c r="SDO86" s="32"/>
      <c r="SDP86" s="32"/>
      <c r="SDQ86" s="32"/>
      <c r="SDR86" s="32"/>
      <c r="SDS86" s="32"/>
      <c r="SDT86" s="32"/>
      <c r="SDU86" s="32"/>
      <c r="SDV86" s="32"/>
      <c r="SDW86" s="32"/>
      <c r="SDX86" s="32"/>
      <c r="SDY86" s="32"/>
      <c r="SDZ86" s="32"/>
      <c r="SEA86" s="32"/>
      <c r="SEB86" s="32"/>
      <c r="SEC86" s="32"/>
      <c r="SED86" s="32"/>
      <c r="SEE86" s="32"/>
      <c r="SEF86" s="32"/>
      <c r="SEG86" s="32"/>
      <c r="SEH86" s="32"/>
      <c r="SEI86" s="32"/>
      <c r="SEJ86" s="32"/>
      <c r="SEK86" s="32"/>
      <c r="SEL86" s="32"/>
      <c r="SEM86" s="32"/>
      <c r="SEN86" s="32"/>
      <c r="SEO86" s="32"/>
      <c r="SEP86" s="32"/>
      <c r="SEQ86" s="32"/>
      <c r="SER86" s="32"/>
      <c r="SES86" s="32"/>
      <c r="SET86" s="32"/>
      <c r="SEU86" s="32"/>
      <c r="SEV86" s="32"/>
      <c r="SEW86" s="32"/>
      <c r="SEX86" s="32"/>
      <c r="SEY86" s="32"/>
      <c r="SEZ86" s="32"/>
      <c r="SFA86" s="32"/>
      <c r="SFB86" s="32"/>
      <c r="SFC86" s="32"/>
      <c r="SFD86" s="32"/>
      <c r="SFE86" s="32"/>
      <c r="SFF86" s="32"/>
      <c r="SFG86" s="32"/>
      <c r="SFH86" s="32"/>
      <c r="SFI86" s="32"/>
      <c r="SFJ86" s="32"/>
      <c r="SFK86" s="32"/>
      <c r="SFL86" s="32"/>
      <c r="SFM86" s="32"/>
      <c r="SFN86" s="32"/>
      <c r="SFO86" s="32"/>
      <c r="SFP86" s="32"/>
      <c r="SFQ86" s="32"/>
      <c r="SFR86" s="32"/>
      <c r="SFS86" s="32"/>
      <c r="SFT86" s="32"/>
      <c r="SFU86" s="32"/>
      <c r="SFV86" s="32"/>
      <c r="SFW86" s="32"/>
      <c r="SFX86" s="32"/>
      <c r="SFY86" s="32"/>
      <c r="SFZ86" s="32"/>
      <c r="SGA86" s="32"/>
      <c r="SGB86" s="32"/>
      <c r="SGC86" s="32"/>
      <c r="SGD86" s="32"/>
      <c r="SGE86" s="32"/>
      <c r="SGF86" s="32"/>
      <c r="SGG86" s="32"/>
      <c r="SGH86" s="32"/>
      <c r="SGI86" s="32"/>
      <c r="SGJ86" s="32"/>
      <c r="SGK86" s="32"/>
      <c r="SGL86" s="32"/>
      <c r="SGM86" s="32"/>
      <c r="SGN86" s="32"/>
      <c r="SGO86" s="32"/>
      <c r="SGP86" s="32"/>
      <c r="SGQ86" s="32"/>
      <c r="SGR86" s="32"/>
      <c r="SGS86" s="32"/>
      <c r="SGT86" s="32"/>
      <c r="SGU86" s="32"/>
      <c r="SGV86" s="32"/>
      <c r="SGW86" s="32"/>
      <c r="SGX86" s="32"/>
      <c r="SGY86" s="32"/>
      <c r="SGZ86" s="32"/>
      <c r="SHA86" s="32"/>
      <c r="SHB86" s="32"/>
      <c r="SHC86" s="32"/>
      <c r="SHD86" s="32"/>
      <c r="SHE86" s="32"/>
      <c r="SHF86" s="32"/>
      <c r="SHG86" s="32"/>
      <c r="SHH86" s="32"/>
      <c r="SHI86" s="32"/>
      <c r="SHJ86" s="32"/>
      <c r="SHK86" s="32"/>
      <c r="SHL86" s="32"/>
      <c r="SHM86" s="32"/>
      <c r="SHN86" s="32"/>
      <c r="SHO86" s="32"/>
      <c r="SHP86" s="32"/>
      <c r="SHQ86" s="32"/>
      <c r="SHR86" s="32"/>
      <c r="SHS86" s="32"/>
      <c r="SHT86" s="32"/>
      <c r="SHU86" s="32"/>
      <c r="SHV86" s="32"/>
      <c r="SHW86" s="32"/>
      <c r="SHX86" s="32"/>
      <c r="SHY86" s="32"/>
      <c r="SHZ86" s="32"/>
      <c r="SIA86" s="32"/>
      <c r="SIB86" s="32"/>
      <c r="SIC86" s="32"/>
      <c r="SID86" s="32"/>
      <c r="SIE86" s="32"/>
      <c r="SIF86" s="32"/>
      <c r="SIG86" s="32"/>
      <c r="SIH86" s="32"/>
      <c r="SII86" s="32"/>
      <c r="SIJ86" s="32"/>
      <c r="SIK86" s="32"/>
      <c r="SIL86" s="32"/>
      <c r="SIM86" s="32"/>
      <c r="SIN86" s="32"/>
      <c r="SIO86" s="32"/>
      <c r="SIP86" s="32"/>
      <c r="SIQ86" s="32"/>
      <c r="SIR86" s="32"/>
      <c r="SIS86" s="32"/>
      <c r="SIT86" s="32"/>
      <c r="SIU86" s="32"/>
      <c r="SIV86" s="32"/>
      <c r="SIW86" s="32"/>
      <c r="SIX86" s="32"/>
      <c r="SIY86" s="32"/>
      <c r="SIZ86" s="32"/>
      <c r="SJA86" s="32"/>
      <c r="SJB86" s="32"/>
      <c r="SJC86" s="32"/>
      <c r="SJD86" s="32"/>
      <c r="SJE86" s="32"/>
      <c r="SJF86" s="32"/>
      <c r="SJG86" s="32"/>
      <c r="SJH86" s="32"/>
      <c r="SJI86" s="32"/>
      <c r="SJJ86" s="32"/>
      <c r="SJK86" s="32"/>
      <c r="SJL86" s="32"/>
      <c r="SJM86" s="32"/>
      <c r="SJN86" s="32"/>
      <c r="SJO86" s="32"/>
      <c r="SJP86" s="32"/>
      <c r="SJQ86" s="32"/>
      <c r="SJR86" s="32"/>
      <c r="SJS86" s="32"/>
      <c r="SJT86" s="32"/>
      <c r="SJU86" s="32"/>
      <c r="SJV86" s="32"/>
      <c r="SJW86" s="32"/>
      <c r="SJX86" s="32"/>
      <c r="SJY86" s="32"/>
      <c r="SJZ86" s="32"/>
      <c r="SKA86" s="32"/>
      <c r="SKB86" s="32"/>
      <c r="SKC86" s="32"/>
      <c r="SKD86" s="32"/>
      <c r="SKE86" s="32"/>
      <c r="SKF86" s="32"/>
      <c r="SKG86" s="32"/>
      <c r="SKH86" s="32"/>
      <c r="SKI86" s="32"/>
      <c r="SKJ86" s="32"/>
      <c r="SKK86" s="32"/>
      <c r="SKL86" s="32"/>
      <c r="SKM86" s="32"/>
      <c r="SKN86" s="32"/>
      <c r="SKO86" s="32"/>
      <c r="SKP86" s="32"/>
      <c r="SKQ86" s="32"/>
      <c r="SKR86" s="32"/>
      <c r="SKS86" s="32"/>
      <c r="SKT86" s="32"/>
      <c r="SKU86" s="32"/>
      <c r="SKV86" s="32"/>
      <c r="SKW86" s="32"/>
      <c r="SKX86" s="32"/>
      <c r="SKY86" s="32"/>
      <c r="SKZ86" s="32"/>
      <c r="SLA86" s="32"/>
      <c r="SLB86" s="32"/>
      <c r="SLC86" s="32"/>
      <c r="SLD86" s="32"/>
      <c r="SLE86" s="32"/>
      <c r="SLF86" s="32"/>
      <c r="SLG86" s="32"/>
      <c r="SLH86" s="32"/>
      <c r="SLI86" s="32"/>
      <c r="SLJ86" s="32"/>
      <c r="SLK86" s="32"/>
      <c r="SLL86" s="32"/>
      <c r="SLM86" s="32"/>
      <c r="SLN86" s="32"/>
      <c r="SLO86" s="32"/>
      <c r="SLP86" s="32"/>
      <c r="SLQ86" s="32"/>
      <c r="SLR86" s="32"/>
      <c r="SLS86" s="32"/>
      <c r="SLT86" s="32"/>
      <c r="SLU86" s="32"/>
      <c r="SLV86" s="32"/>
      <c r="SLW86" s="32"/>
      <c r="SLX86" s="32"/>
      <c r="SLY86" s="32"/>
      <c r="SLZ86" s="32"/>
      <c r="SMA86" s="32"/>
      <c r="SMB86" s="32"/>
      <c r="SMC86" s="32"/>
      <c r="SMD86" s="32"/>
      <c r="SME86" s="32"/>
      <c r="SMF86" s="32"/>
      <c r="SMG86" s="32"/>
      <c r="SMH86" s="32"/>
      <c r="SMI86" s="32"/>
      <c r="SMJ86" s="32"/>
      <c r="SMK86" s="32"/>
      <c r="SML86" s="32"/>
      <c r="SMM86" s="32"/>
      <c r="SMN86" s="32"/>
      <c r="SMO86" s="32"/>
      <c r="SMP86" s="32"/>
      <c r="SMQ86" s="32"/>
      <c r="SMR86" s="32"/>
      <c r="SMS86" s="32"/>
      <c r="SMT86" s="32"/>
      <c r="SMU86" s="32"/>
      <c r="SMV86" s="32"/>
      <c r="SMW86" s="32"/>
      <c r="SMX86" s="32"/>
      <c r="SMY86" s="32"/>
      <c r="SMZ86" s="32"/>
      <c r="SNA86" s="32"/>
      <c r="SNB86" s="32"/>
      <c r="SNC86" s="32"/>
      <c r="SND86" s="32"/>
      <c r="SNE86" s="32"/>
      <c r="SNF86" s="32"/>
      <c r="SNG86" s="32"/>
      <c r="SNH86" s="32"/>
      <c r="SNI86" s="32"/>
      <c r="SNJ86" s="32"/>
      <c r="SNK86" s="32"/>
      <c r="SNL86" s="32"/>
      <c r="SNM86" s="32"/>
      <c r="SNN86" s="32"/>
      <c r="SNO86" s="32"/>
      <c r="SNP86" s="32"/>
      <c r="SNQ86" s="32"/>
      <c r="SNR86" s="32"/>
      <c r="SNS86" s="32"/>
      <c r="SNT86" s="32"/>
      <c r="SNU86" s="32"/>
      <c r="SNV86" s="32"/>
      <c r="SNW86" s="32"/>
      <c r="SNX86" s="32"/>
      <c r="SNY86" s="32"/>
      <c r="SNZ86" s="32"/>
      <c r="SOA86" s="32"/>
      <c r="SOB86" s="32"/>
      <c r="SOC86" s="32"/>
      <c r="SOD86" s="32"/>
      <c r="SOE86" s="32"/>
      <c r="SOF86" s="32"/>
      <c r="SOG86" s="32"/>
      <c r="SOH86" s="32"/>
      <c r="SOI86" s="32"/>
      <c r="SOJ86" s="32"/>
      <c r="SOK86" s="32"/>
      <c r="SOL86" s="32"/>
      <c r="SOM86" s="32"/>
      <c r="SON86" s="32"/>
      <c r="SOO86" s="32"/>
      <c r="SOP86" s="32"/>
      <c r="SOQ86" s="32"/>
      <c r="SOR86" s="32"/>
      <c r="SOS86" s="32"/>
      <c r="SOT86" s="32"/>
      <c r="SOU86" s="32"/>
      <c r="SOV86" s="32"/>
      <c r="SOW86" s="32"/>
      <c r="SOX86" s="32"/>
      <c r="SOY86" s="32"/>
      <c r="SOZ86" s="32"/>
      <c r="SPA86" s="32"/>
      <c r="SPB86" s="32"/>
      <c r="SPC86" s="32"/>
      <c r="SPD86" s="32"/>
      <c r="SPE86" s="32"/>
      <c r="SPF86" s="32"/>
      <c r="SPG86" s="32"/>
      <c r="SPH86" s="32"/>
      <c r="SPI86" s="32"/>
      <c r="SPJ86" s="32"/>
      <c r="SPK86" s="32"/>
      <c r="SPL86" s="32"/>
      <c r="SPM86" s="32"/>
      <c r="SPN86" s="32"/>
      <c r="SPO86" s="32"/>
      <c r="SPP86" s="32"/>
      <c r="SPQ86" s="32"/>
      <c r="SPR86" s="32"/>
      <c r="SPS86" s="32"/>
      <c r="SPT86" s="32"/>
      <c r="SPU86" s="32"/>
      <c r="SPV86" s="32"/>
      <c r="SPW86" s="32"/>
      <c r="SPX86" s="32"/>
      <c r="SPY86" s="32"/>
      <c r="SPZ86" s="32"/>
      <c r="SQA86" s="32"/>
      <c r="SQB86" s="32"/>
      <c r="SQC86" s="32"/>
      <c r="SQD86" s="32"/>
      <c r="SQE86" s="32"/>
      <c r="SQF86" s="32"/>
      <c r="SQG86" s="32"/>
      <c r="SQH86" s="32"/>
      <c r="SQI86" s="32"/>
      <c r="SQJ86" s="32"/>
      <c r="SQK86" s="32"/>
      <c r="SQL86" s="32"/>
      <c r="SQM86" s="32"/>
      <c r="SQN86" s="32"/>
      <c r="SQO86" s="32"/>
      <c r="SQP86" s="32"/>
      <c r="SQQ86" s="32"/>
      <c r="SQR86" s="32"/>
      <c r="SQS86" s="32"/>
      <c r="SQT86" s="32"/>
      <c r="SQU86" s="32"/>
      <c r="SQV86" s="32"/>
      <c r="SQW86" s="32"/>
      <c r="SQX86" s="32"/>
      <c r="SQY86" s="32"/>
      <c r="SQZ86" s="32"/>
      <c r="SRA86" s="32"/>
      <c r="SRB86" s="32"/>
      <c r="SRC86" s="32"/>
      <c r="SRD86" s="32"/>
      <c r="SRE86" s="32"/>
      <c r="SRF86" s="32"/>
      <c r="SRG86" s="32"/>
      <c r="SRH86" s="32"/>
      <c r="SRI86" s="32"/>
      <c r="SRJ86" s="32"/>
      <c r="SRK86" s="32"/>
      <c r="SRL86" s="32"/>
      <c r="SRM86" s="32"/>
      <c r="SRN86" s="32"/>
      <c r="SRO86" s="32"/>
      <c r="SRP86" s="32"/>
      <c r="SRQ86" s="32"/>
      <c r="SRR86" s="32"/>
      <c r="SRS86" s="32"/>
      <c r="SRT86" s="32"/>
      <c r="SRU86" s="32"/>
      <c r="SRV86" s="32"/>
      <c r="SRW86" s="32"/>
      <c r="SRX86" s="32"/>
      <c r="SRY86" s="32"/>
      <c r="SRZ86" s="32"/>
      <c r="SSA86" s="32"/>
      <c r="SSB86" s="32"/>
      <c r="SSC86" s="32"/>
      <c r="SSD86" s="32"/>
      <c r="SSE86" s="32"/>
      <c r="SSF86" s="32"/>
      <c r="SSG86" s="32"/>
      <c r="SSH86" s="32"/>
      <c r="SSI86" s="32"/>
      <c r="SSJ86" s="32"/>
      <c r="SSK86" s="32"/>
      <c r="SSL86" s="32"/>
      <c r="SSM86" s="32"/>
      <c r="SSN86" s="32"/>
      <c r="SSO86" s="32"/>
      <c r="SSP86" s="32"/>
      <c r="SSQ86" s="32"/>
      <c r="SSR86" s="32"/>
      <c r="SSS86" s="32"/>
      <c r="SST86" s="32"/>
      <c r="SSU86" s="32"/>
      <c r="SSV86" s="32"/>
      <c r="SSW86" s="32"/>
      <c r="SSX86" s="32"/>
      <c r="SSY86" s="32"/>
      <c r="SSZ86" s="32"/>
      <c r="STA86" s="32"/>
      <c r="STB86" s="32"/>
      <c r="STC86" s="32"/>
      <c r="STD86" s="32"/>
      <c r="STE86" s="32"/>
      <c r="STF86" s="32"/>
      <c r="STG86" s="32"/>
      <c r="STH86" s="32"/>
      <c r="STI86" s="32"/>
      <c r="STJ86" s="32"/>
      <c r="STK86" s="32"/>
      <c r="STL86" s="32"/>
      <c r="STM86" s="32"/>
      <c r="STN86" s="32"/>
      <c r="STO86" s="32"/>
      <c r="STP86" s="32"/>
      <c r="STQ86" s="32"/>
      <c r="STR86" s="32"/>
      <c r="STS86" s="32"/>
      <c r="STT86" s="32"/>
      <c r="STU86" s="32"/>
      <c r="STV86" s="32"/>
      <c r="STW86" s="32"/>
      <c r="STX86" s="32"/>
      <c r="STY86" s="32"/>
      <c r="STZ86" s="32"/>
      <c r="SUA86" s="32"/>
      <c r="SUB86" s="32"/>
      <c r="SUC86" s="32"/>
      <c r="SUD86" s="32"/>
      <c r="SUE86" s="32"/>
      <c r="SUF86" s="32"/>
      <c r="SUG86" s="32"/>
      <c r="SUH86" s="32"/>
      <c r="SUI86" s="32"/>
      <c r="SUJ86" s="32"/>
      <c r="SUK86" s="32"/>
      <c r="SUL86" s="32"/>
      <c r="SUM86" s="32"/>
      <c r="SUN86" s="32"/>
      <c r="SUO86" s="32"/>
      <c r="SUP86" s="32"/>
      <c r="SUQ86" s="32"/>
      <c r="SUR86" s="32"/>
      <c r="SUS86" s="32"/>
      <c r="SUT86" s="32"/>
      <c r="SUU86" s="32"/>
      <c r="SUV86" s="32"/>
      <c r="SUW86" s="32"/>
      <c r="SUX86" s="32"/>
      <c r="SUY86" s="32"/>
      <c r="SUZ86" s="32"/>
      <c r="SVA86" s="32"/>
      <c r="SVB86" s="32"/>
      <c r="SVC86" s="32"/>
      <c r="SVD86" s="32"/>
      <c r="SVE86" s="32"/>
      <c r="SVF86" s="32"/>
      <c r="SVG86" s="32"/>
      <c r="SVH86" s="32"/>
      <c r="SVI86" s="32"/>
      <c r="SVJ86" s="32"/>
      <c r="SVK86" s="32"/>
      <c r="SVL86" s="32"/>
      <c r="SVM86" s="32"/>
      <c r="SVN86" s="32"/>
      <c r="SVO86" s="32"/>
      <c r="SVP86" s="32"/>
      <c r="SVQ86" s="32"/>
      <c r="SVR86" s="32"/>
      <c r="SVS86" s="32"/>
      <c r="SVT86" s="32"/>
      <c r="SVU86" s="32"/>
      <c r="SVV86" s="32"/>
      <c r="SVW86" s="32"/>
      <c r="SVX86" s="32"/>
      <c r="SVY86" s="32"/>
      <c r="SVZ86" s="32"/>
      <c r="SWA86" s="32"/>
      <c r="SWB86" s="32"/>
      <c r="SWC86" s="32"/>
      <c r="SWD86" s="32"/>
      <c r="SWE86" s="32"/>
      <c r="SWF86" s="32"/>
      <c r="SWG86" s="32"/>
      <c r="SWH86" s="32"/>
      <c r="SWI86" s="32"/>
      <c r="SWJ86" s="32"/>
      <c r="SWK86" s="32"/>
      <c r="SWL86" s="32"/>
      <c r="SWM86" s="32"/>
      <c r="SWN86" s="32"/>
      <c r="SWO86" s="32"/>
      <c r="SWP86" s="32"/>
      <c r="SWQ86" s="32"/>
      <c r="SWR86" s="32"/>
      <c r="SWS86" s="32"/>
      <c r="SWT86" s="32"/>
      <c r="SWU86" s="32"/>
      <c r="SWV86" s="32"/>
      <c r="SWW86" s="32"/>
      <c r="SWX86" s="32"/>
      <c r="SWY86" s="32"/>
      <c r="SWZ86" s="32"/>
      <c r="SXA86" s="32"/>
      <c r="SXB86" s="32"/>
      <c r="SXC86" s="32"/>
      <c r="SXD86" s="32"/>
      <c r="SXE86" s="32"/>
      <c r="SXF86" s="32"/>
      <c r="SXG86" s="32"/>
      <c r="SXH86" s="32"/>
      <c r="SXI86" s="32"/>
      <c r="SXJ86" s="32"/>
      <c r="SXK86" s="32"/>
      <c r="SXL86" s="32"/>
      <c r="SXM86" s="32"/>
      <c r="SXN86" s="32"/>
      <c r="SXO86" s="32"/>
      <c r="SXP86" s="32"/>
      <c r="SXQ86" s="32"/>
      <c r="SXR86" s="32"/>
      <c r="SXS86" s="32"/>
      <c r="SXT86" s="32"/>
      <c r="SXU86" s="32"/>
      <c r="SXV86" s="32"/>
      <c r="SXW86" s="32"/>
      <c r="SXX86" s="32"/>
      <c r="SXY86" s="32"/>
      <c r="SXZ86" s="32"/>
      <c r="SYA86" s="32"/>
      <c r="SYB86" s="32"/>
      <c r="SYC86" s="32"/>
      <c r="SYD86" s="32"/>
      <c r="SYE86" s="32"/>
      <c r="SYF86" s="32"/>
      <c r="SYG86" s="32"/>
      <c r="SYH86" s="32"/>
      <c r="SYI86" s="32"/>
      <c r="SYJ86" s="32"/>
      <c r="SYK86" s="32"/>
      <c r="SYL86" s="32"/>
      <c r="SYM86" s="32"/>
      <c r="SYN86" s="32"/>
      <c r="SYO86" s="32"/>
      <c r="SYP86" s="32"/>
      <c r="SYQ86" s="32"/>
      <c r="SYR86" s="32"/>
      <c r="SYS86" s="32"/>
      <c r="SYT86" s="32"/>
      <c r="SYU86" s="32"/>
      <c r="SYV86" s="32"/>
      <c r="SYW86" s="32"/>
      <c r="SYX86" s="32"/>
      <c r="SYY86" s="32"/>
      <c r="SYZ86" s="32"/>
      <c r="SZA86" s="32"/>
      <c r="SZB86" s="32"/>
      <c r="SZC86" s="32"/>
      <c r="SZD86" s="32"/>
      <c r="SZE86" s="32"/>
      <c r="SZF86" s="32"/>
      <c r="SZG86" s="32"/>
      <c r="SZH86" s="32"/>
      <c r="SZI86" s="32"/>
      <c r="SZJ86" s="32"/>
      <c r="SZK86" s="32"/>
      <c r="SZL86" s="32"/>
      <c r="SZM86" s="32"/>
      <c r="SZN86" s="32"/>
      <c r="SZO86" s="32"/>
      <c r="SZP86" s="32"/>
      <c r="SZQ86" s="32"/>
      <c r="SZR86" s="32"/>
      <c r="SZS86" s="32"/>
      <c r="SZT86" s="32"/>
      <c r="SZU86" s="32"/>
      <c r="SZV86" s="32"/>
      <c r="SZW86" s="32"/>
      <c r="SZX86" s="32"/>
      <c r="SZY86" s="32"/>
      <c r="SZZ86" s="32"/>
      <c r="TAA86" s="32"/>
      <c r="TAB86" s="32"/>
      <c r="TAC86" s="32"/>
      <c r="TAD86" s="32"/>
      <c r="TAE86" s="32"/>
      <c r="TAF86" s="32"/>
      <c r="TAG86" s="32"/>
      <c r="TAH86" s="32"/>
      <c r="TAI86" s="32"/>
      <c r="TAJ86" s="32"/>
      <c r="TAK86" s="32"/>
      <c r="TAL86" s="32"/>
      <c r="TAM86" s="32"/>
      <c r="TAN86" s="32"/>
      <c r="TAO86" s="32"/>
      <c r="TAP86" s="32"/>
      <c r="TAQ86" s="32"/>
      <c r="TAR86" s="32"/>
      <c r="TAS86" s="32"/>
      <c r="TAT86" s="32"/>
      <c r="TAU86" s="32"/>
      <c r="TAV86" s="32"/>
      <c r="TAW86" s="32"/>
      <c r="TAX86" s="32"/>
      <c r="TAY86" s="32"/>
      <c r="TAZ86" s="32"/>
      <c r="TBA86" s="32"/>
      <c r="TBB86" s="32"/>
      <c r="TBC86" s="32"/>
      <c r="TBD86" s="32"/>
      <c r="TBE86" s="32"/>
      <c r="TBF86" s="32"/>
      <c r="TBG86" s="32"/>
      <c r="TBH86" s="32"/>
      <c r="TBI86" s="32"/>
      <c r="TBJ86" s="32"/>
      <c r="TBK86" s="32"/>
      <c r="TBL86" s="32"/>
      <c r="TBM86" s="32"/>
      <c r="TBN86" s="32"/>
      <c r="TBO86" s="32"/>
      <c r="TBP86" s="32"/>
      <c r="TBQ86" s="32"/>
      <c r="TBR86" s="32"/>
      <c r="TBS86" s="32"/>
      <c r="TBT86" s="32"/>
      <c r="TBU86" s="32"/>
      <c r="TBV86" s="32"/>
      <c r="TBW86" s="32"/>
      <c r="TBX86" s="32"/>
      <c r="TBY86" s="32"/>
      <c r="TBZ86" s="32"/>
      <c r="TCA86" s="32"/>
      <c r="TCB86" s="32"/>
      <c r="TCC86" s="32"/>
      <c r="TCD86" s="32"/>
      <c r="TCE86" s="32"/>
      <c r="TCF86" s="32"/>
      <c r="TCG86" s="32"/>
      <c r="TCH86" s="32"/>
      <c r="TCI86" s="32"/>
      <c r="TCJ86" s="32"/>
      <c r="TCK86" s="32"/>
      <c r="TCL86" s="32"/>
      <c r="TCM86" s="32"/>
      <c r="TCN86" s="32"/>
      <c r="TCO86" s="32"/>
      <c r="TCP86" s="32"/>
      <c r="TCQ86" s="32"/>
      <c r="TCR86" s="32"/>
      <c r="TCS86" s="32"/>
      <c r="TCT86" s="32"/>
      <c r="TCU86" s="32"/>
      <c r="TCV86" s="32"/>
      <c r="TCW86" s="32"/>
      <c r="TCX86" s="32"/>
      <c r="TCY86" s="32"/>
      <c r="TCZ86" s="32"/>
      <c r="TDA86" s="32"/>
      <c r="TDB86" s="32"/>
      <c r="TDC86" s="32"/>
      <c r="TDD86" s="32"/>
      <c r="TDE86" s="32"/>
      <c r="TDF86" s="32"/>
      <c r="TDG86" s="32"/>
      <c r="TDH86" s="32"/>
      <c r="TDI86" s="32"/>
      <c r="TDJ86" s="32"/>
      <c r="TDK86" s="32"/>
      <c r="TDL86" s="32"/>
      <c r="TDM86" s="32"/>
      <c r="TDN86" s="32"/>
      <c r="TDO86" s="32"/>
      <c r="TDP86" s="32"/>
      <c r="TDQ86" s="32"/>
      <c r="TDR86" s="32"/>
      <c r="TDS86" s="32"/>
      <c r="TDT86" s="32"/>
      <c r="TDU86" s="32"/>
      <c r="TDV86" s="32"/>
      <c r="TDW86" s="32"/>
      <c r="TDX86" s="32"/>
      <c r="TDY86" s="32"/>
      <c r="TDZ86" s="32"/>
      <c r="TEA86" s="32"/>
      <c r="TEB86" s="32"/>
      <c r="TEC86" s="32"/>
      <c r="TED86" s="32"/>
      <c r="TEE86" s="32"/>
      <c r="TEF86" s="32"/>
      <c r="TEG86" s="32"/>
      <c r="TEH86" s="32"/>
      <c r="TEI86" s="32"/>
      <c r="TEJ86" s="32"/>
      <c r="TEK86" s="32"/>
      <c r="TEL86" s="32"/>
      <c r="TEM86" s="32"/>
      <c r="TEN86" s="32"/>
      <c r="TEO86" s="32"/>
      <c r="TEP86" s="32"/>
      <c r="TEQ86" s="32"/>
      <c r="TER86" s="32"/>
      <c r="TES86" s="32"/>
      <c r="TET86" s="32"/>
      <c r="TEU86" s="32"/>
      <c r="TEV86" s="32"/>
      <c r="TEW86" s="32"/>
      <c r="TEX86" s="32"/>
      <c r="TEY86" s="32"/>
      <c r="TEZ86" s="32"/>
      <c r="TFA86" s="32"/>
      <c r="TFB86" s="32"/>
      <c r="TFC86" s="32"/>
      <c r="TFD86" s="32"/>
      <c r="TFE86" s="32"/>
      <c r="TFF86" s="32"/>
      <c r="TFG86" s="32"/>
      <c r="TFH86" s="32"/>
      <c r="TFI86" s="32"/>
      <c r="TFJ86" s="32"/>
      <c r="TFK86" s="32"/>
      <c r="TFL86" s="32"/>
      <c r="TFM86" s="32"/>
      <c r="TFN86" s="32"/>
      <c r="TFO86" s="32"/>
      <c r="TFP86" s="32"/>
      <c r="TFQ86" s="32"/>
      <c r="TFR86" s="32"/>
      <c r="TFS86" s="32"/>
      <c r="TFT86" s="32"/>
      <c r="TFU86" s="32"/>
      <c r="TFV86" s="32"/>
      <c r="TFW86" s="32"/>
      <c r="TFX86" s="32"/>
      <c r="TFY86" s="32"/>
      <c r="TFZ86" s="32"/>
      <c r="TGA86" s="32"/>
      <c r="TGB86" s="32"/>
      <c r="TGC86" s="32"/>
      <c r="TGD86" s="32"/>
      <c r="TGE86" s="32"/>
      <c r="TGF86" s="32"/>
      <c r="TGG86" s="32"/>
      <c r="TGH86" s="32"/>
      <c r="TGI86" s="32"/>
      <c r="TGJ86" s="32"/>
      <c r="TGK86" s="32"/>
      <c r="TGL86" s="32"/>
      <c r="TGM86" s="32"/>
      <c r="TGN86" s="32"/>
      <c r="TGO86" s="32"/>
      <c r="TGP86" s="32"/>
      <c r="TGQ86" s="32"/>
      <c r="TGR86" s="32"/>
      <c r="TGS86" s="32"/>
      <c r="TGT86" s="32"/>
      <c r="TGU86" s="32"/>
      <c r="TGV86" s="32"/>
      <c r="TGW86" s="32"/>
      <c r="TGX86" s="32"/>
      <c r="TGY86" s="32"/>
      <c r="TGZ86" s="32"/>
      <c r="THA86" s="32"/>
      <c r="THB86" s="32"/>
      <c r="THC86" s="32"/>
      <c r="THD86" s="32"/>
      <c r="THE86" s="32"/>
      <c r="THF86" s="32"/>
      <c r="THG86" s="32"/>
      <c r="THH86" s="32"/>
      <c r="THI86" s="32"/>
      <c r="THJ86" s="32"/>
      <c r="THK86" s="32"/>
      <c r="THL86" s="32"/>
      <c r="THM86" s="32"/>
      <c r="THN86" s="32"/>
      <c r="THO86" s="32"/>
      <c r="THP86" s="32"/>
      <c r="THQ86" s="32"/>
      <c r="THR86" s="32"/>
      <c r="THS86" s="32"/>
      <c r="THT86" s="32"/>
      <c r="THU86" s="32"/>
      <c r="THV86" s="32"/>
      <c r="THW86" s="32"/>
      <c r="THX86" s="32"/>
      <c r="THY86" s="32"/>
      <c r="THZ86" s="32"/>
      <c r="TIA86" s="32"/>
      <c r="TIB86" s="32"/>
      <c r="TIC86" s="32"/>
      <c r="TID86" s="32"/>
      <c r="TIE86" s="32"/>
      <c r="TIF86" s="32"/>
      <c r="TIG86" s="32"/>
      <c r="TIH86" s="32"/>
      <c r="TII86" s="32"/>
      <c r="TIJ86" s="32"/>
      <c r="TIK86" s="32"/>
      <c r="TIL86" s="32"/>
      <c r="TIM86" s="32"/>
      <c r="TIN86" s="32"/>
      <c r="TIO86" s="32"/>
      <c r="TIP86" s="32"/>
      <c r="TIQ86" s="32"/>
      <c r="TIR86" s="32"/>
      <c r="TIS86" s="32"/>
      <c r="TIT86" s="32"/>
      <c r="TIU86" s="32"/>
      <c r="TIV86" s="32"/>
      <c r="TIW86" s="32"/>
      <c r="TIX86" s="32"/>
      <c r="TIY86" s="32"/>
      <c r="TIZ86" s="32"/>
      <c r="TJA86" s="32"/>
      <c r="TJB86" s="32"/>
      <c r="TJC86" s="32"/>
      <c r="TJD86" s="32"/>
      <c r="TJE86" s="32"/>
      <c r="TJF86" s="32"/>
      <c r="TJG86" s="32"/>
      <c r="TJH86" s="32"/>
      <c r="TJI86" s="32"/>
      <c r="TJJ86" s="32"/>
      <c r="TJK86" s="32"/>
      <c r="TJL86" s="32"/>
      <c r="TJM86" s="32"/>
      <c r="TJN86" s="32"/>
      <c r="TJO86" s="32"/>
      <c r="TJP86" s="32"/>
      <c r="TJQ86" s="32"/>
      <c r="TJR86" s="32"/>
      <c r="TJS86" s="32"/>
      <c r="TJT86" s="32"/>
      <c r="TJU86" s="32"/>
      <c r="TJV86" s="32"/>
      <c r="TJW86" s="32"/>
      <c r="TJX86" s="32"/>
      <c r="TJY86" s="32"/>
      <c r="TJZ86" s="32"/>
      <c r="TKA86" s="32"/>
      <c r="TKB86" s="32"/>
      <c r="TKC86" s="32"/>
      <c r="TKD86" s="32"/>
      <c r="TKE86" s="32"/>
      <c r="TKF86" s="32"/>
      <c r="TKG86" s="32"/>
      <c r="TKH86" s="32"/>
      <c r="TKI86" s="32"/>
      <c r="TKJ86" s="32"/>
      <c r="TKK86" s="32"/>
      <c r="TKL86" s="32"/>
      <c r="TKM86" s="32"/>
      <c r="TKN86" s="32"/>
      <c r="TKO86" s="32"/>
      <c r="TKP86" s="32"/>
      <c r="TKQ86" s="32"/>
      <c r="TKR86" s="32"/>
      <c r="TKS86" s="32"/>
      <c r="TKT86" s="32"/>
      <c r="TKU86" s="32"/>
      <c r="TKV86" s="32"/>
      <c r="TKW86" s="32"/>
      <c r="TKX86" s="32"/>
      <c r="TKY86" s="32"/>
      <c r="TKZ86" s="32"/>
      <c r="TLA86" s="32"/>
      <c r="TLB86" s="32"/>
      <c r="TLC86" s="32"/>
      <c r="TLD86" s="32"/>
      <c r="TLE86" s="32"/>
      <c r="TLF86" s="32"/>
      <c r="TLG86" s="32"/>
      <c r="TLH86" s="32"/>
      <c r="TLI86" s="32"/>
      <c r="TLJ86" s="32"/>
      <c r="TLK86" s="32"/>
      <c r="TLL86" s="32"/>
      <c r="TLM86" s="32"/>
      <c r="TLN86" s="32"/>
      <c r="TLO86" s="32"/>
      <c r="TLP86" s="32"/>
      <c r="TLQ86" s="32"/>
      <c r="TLR86" s="32"/>
      <c r="TLS86" s="32"/>
      <c r="TLT86" s="32"/>
      <c r="TLU86" s="32"/>
      <c r="TLV86" s="32"/>
      <c r="TLW86" s="32"/>
      <c r="TLX86" s="32"/>
      <c r="TLY86" s="32"/>
      <c r="TLZ86" s="32"/>
      <c r="TMA86" s="32"/>
      <c r="TMB86" s="32"/>
      <c r="TMC86" s="32"/>
      <c r="TMD86" s="32"/>
      <c r="TME86" s="32"/>
      <c r="TMF86" s="32"/>
      <c r="TMG86" s="32"/>
      <c r="TMH86" s="32"/>
      <c r="TMI86" s="32"/>
      <c r="TMJ86" s="32"/>
      <c r="TMK86" s="32"/>
      <c r="TML86" s="32"/>
      <c r="TMM86" s="32"/>
      <c r="TMN86" s="32"/>
      <c r="TMO86" s="32"/>
      <c r="TMP86" s="32"/>
      <c r="TMQ86" s="32"/>
      <c r="TMR86" s="32"/>
      <c r="TMS86" s="32"/>
      <c r="TMT86" s="32"/>
      <c r="TMU86" s="32"/>
      <c r="TMV86" s="32"/>
      <c r="TMW86" s="32"/>
      <c r="TMX86" s="32"/>
      <c r="TMY86" s="32"/>
      <c r="TMZ86" s="32"/>
      <c r="TNA86" s="32"/>
      <c r="TNB86" s="32"/>
      <c r="TNC86" s="32"/>
      <c r="TND86" s="32"/>
      <c r="TNE86" s="32"/>
      <c r="TNF86" s="32"/>
      <c r="TNG86" s="32"/>
      <c r="TNH86" s="32"/>
      <c r="TNI86" s="32"/>
      <c r="TNJ86" s="32"/>
      <c r="TNK86" s="32"/>
      <c r="TNL86" s="32"/>
      <c r="TNM86" s="32"/>
      <c r="TNN86" s="32"/>
      <c r="TNO86" s="32"/>
      <c r="TNP86" s="32"/>
      <c r="TNQ86" s="32"/>
      <c r="TNR86" s="32"/>
      <c r="TNS86" s="32"/>
      <c r="TNT86" s="32"/>
      <c r="TNU86" s="32"/>
      <c r="TNV86" s="32"/>
      <c r="TNW86" s="32"/>
      <c r="TNX86" s="32"/>
      <c r="TNY86" s="32"/>
      <c r="TNZ86" s="32"/>
      <c r="TOA86" s="32"/>
      <c r="TOB86" s="32"/>
      <c r="TOC86" s="32"/>
      <c r="TOD86" s="32"/>
      <c r="TOE86" s="32"/>
      <c r="TOF86" s="32"/>
      <c r="TOG86" s="32"/>
      <c r="TOH86" s="32"/>
      <c r="TOI86" s="32"/>
      <c r="TOJ86" s="32"/>
      <c r="TOK86" s="32"/>
      <c r="TOL86" s="32"/>
      <c r="TOM86" s="32"/>
      <c r="TON86" s="32"/>
      <c r="TOO86" s="32"/>
      <c r="TOP86" s="32"/>
      <c r="TOQ86" s="32"/>
      <c r="TOR86" s="32"/>
      <c r="TOS86" s="32"/>
      <c r="TOT86" s="32"/>
      <c r="TOU86" s="32"/>
      <c r="TOV86" s="32"/>
      <c r="TOW86" s="32"/>
      <c r="TOX86" s="32"/>
      <c r="TOY86" s="32"/>
      <c r="TOZ86" s="32"/>
      <c r="TPA86" s="32"/>
      <c r="TPB86" s="32"/>
      <c r="TPC86" s="32"/>
      <c r="TPD86" s="32"/>
      <c r="TPE86" s="32"/>
      <c r="TPF86" s="32"/>
      <c r="TPG86" s="32"/>
      <c r="TPH86" s="32"/>
      <c r="TPI86" s="32"/>
      <c r="TPJ86" s="32"/>
      <c r="TPK86" s="32"/>
      <c r="TPL86" s="32"/>
      <c r="TPM86" s="32"/>
      <c r="TPN86" s="32"/>
      <c r="TPO86" s="32"/>
      <c r="TPP86" s="32"/>
      <c r="TPQ86" s="32"/>
      <c r="TPR86" s="32"/>
      <c r="TPS86" s="32"/>
      <c r="TPT86" s="32"/>
      <c r="TPU86" s="32"/>
      <c r="TPV86" s="32"/>
      <c r="TPW86" s="32"/>
      <c r="TPX86" s="32"/>
      <c r="TPY86" s="32"/>
      <c r="TPZ86" s="32"/>
      <c r="TQA86" s="32"/>
      <c r="TQB86" s="32"/>
      <c r="TQC86" s="32"/>
      <c r="TQD86" s="32"/>
      <c r="TQE86" s="32"/>
      <c r="TQF86" s="32"/>
      <c r="TQG86" s="32"/>
      <c r="TQH86" s="32"/>
      <c r="TQI86" s="32"/>
      <c r="TQJ86" s="32"/>
      <c r="TQK86" s="32"/>
      <c r="TQL86" s="32"/>
      <c r="TQM86" s="32"/>
      <c r="TQN86" s="32"/>
      <c r="TQO86" s="32"/>
      <c r="TQP86" s="32"/>
      <c r="TQQ86" s="32"/>
      <c r="TQR86" s="32"/>
      <c r="TQS86" s="32"/>
      <c r="TQT86" s="32"/>
      <c r="TQU86" s="32"/>
      <c r="TQV86" s="32"/>
      <c r="TQW86" s="32"/>
      <c r="TQX86" s="32"/>
      <c r="TQY86" s="32"/>
      <c r="TQZ86" s="32"/>
      <c r="TRA86" s="32"/>
      <c r="TRB86" s="32"/>
      <c r="TRC86" s="32"/>
      <c r="TRD86" s="32"/>
      <c r="TRE86" s="32"/>
      <c r="TRF86" s="32"/>
      <c r="TRG86" s="32"/>
      <c r="TRH86" s="32"/>
      <c r="TRI86" s="32"/>
      <c r="TRJ86" s="32"/>
      <c r="TRK86" s="32"/>
      <c r="TRL86" s="32"/>
      <c r="TRM86" s="32"/>
      <c r="TRN86" s="32"/>
      <c r="TRO86" s="32"/>
      <c r="TRP86" s="32"/>
      <c r="TRQ86" s="32"/>
      <c r="TRR86" s="32"/>
      <c r="TRS86" s="32"/>
      <c r="TRT86" s="32"/>
      <c r="TRU86" s="32"/>
      <c r="TRV86" s="32"/>
      <c r="TRW86" s="32"/>
      <c r="TRX86" s="32"/>
      <c r="TRY86" s="32"/>
      <c r="TRZ86" s="32"/>
      <c r="TSA86" s="32"/>
      <c r="TSB86" s="32"/>
      <c r="TSC86" s="32"/>
      <c r="TSD86" s="32"/>
      <c r="TSE86" s="32"/>
      <c r="TSF86" s="32"/>
      <c r="TSG86" s="32"/>
      <c r="TSH86" s="32"/>
      <c r="TSI86" s="32"/>
      <c r="TSJ86" s="32"/>
      <c r="TSK86" s="32"/>
      <c r="TSL86" s="32"/>
      <c r="TSM86" s="32"/>
      <c r="TSN86" s="32"/>
      <c r="TSO86" s="32"/>
      <c r="TSP86" s="32"/>
      <c r="TSQ86" s="32"/>
      <c r="TSR86" s="32"/>
      <c r="TSS86" s="32"/>
      <c r="TST86" s="32"/>
      <c r="TSU86" s="32"/>
      <c r="TSV86" s="32"/>
      <c r="TSW86" s="32"/>
      <c r="TSX86" s="32"/>
      <c r="TSY86" s="32"/>
      <c r="TSZ86" s="32"/>
      <c r="TTA86" s="32"/>
      <c r="TTB86" s="32"/>
      <c r="TTC86" s="32"/>
      <c r="TTD86" s="32"/>
      <c r="TTE86" s="32"/>
      <c r="TTF86" s="32"/>
      <c r="TTG86" s="32"/>
      <c r="TTH86" s="32"/>
      <c r="TTI86" s="32"/>
      <c r="TTJ86" s="32"/>
      <c r="TTK86" s="32"/>
      <c r="TTL86" s="32"/>
      <c r="TTM86" s="32"/>
      <c r="TTN86" s="32"/>
      <c r="TTO86" s="32"/>
      <c r="TTP86" s="32"/>
      <c r="TTQ86" s="32"/>
      <c r="TTR86" s="32"/>
      <c r="TTS86" s="32"/>
      <c r="TTT86" s="32"/>
      <c r="TTU86" s="32"/>
      <c r="TTV86" s="32"/>
      <c r="TTW86" s="32"/>
      <c r="TTX86" s="32"/>
      <c r="TTY86" s="32"/>
      <c r="TTZ86" s="32"/>
      <c r="TUA86" s="32"/>
      <c r="TUB86" s="32"/>
      <c r="TUC86" s="32"/>
      <c r="TUD86" s="32"/>
      <c r="TUE86" s="32"/>
      <c r="TUF86" s="32"/>
      <c r="TUG86" s="32"/>
      <c r="TUH86" s="32"/>
      <c r="TUI86" s="32"/>
      <c r="TUJ86" s="32"/>
      <c r="TUK86" s="32"/>
      <c r="TUL86" s="32"/>
      <c r="TUM86" s="32"/>
      <c r="TUN86" s="32"/>
      <c r="TUO86" s="32"/>
      <c r="TUP86" s="32"/>
      <c r="TUQ86" s="32"/>
      <c r="TUR86" s="32"/>
      <c r="TUS86" s="32"/>
      <c r="TUT86" s="32"/>
      <c r="TUU86" s="32"/>
      <c r="TUV86" s="32"/>
      <c r="TUW86" s="32"/>
      <c r="TUX86" s="32"/>
      <c r="TUY86" s="32"/>
      <c r="TUZ86" s="32"/>
      <c r="TVA86" s="32"/>
      <c r="TVB86" s="32"/>
      <c r="TVC86" s="32"/>
      <c r="TVD86" s="32"/>
      <c r="TVE86" s="32"/>
      <c r="TVF86" s="32"/>
      <c r="TVG86" s="32"/>
      <c r="TVH86" s="32"/>
      <c r="TVI86" s="32"/>
      <c r="TVJ86" s="32"/>
      <c r="TVK86" s="32"/>
      <c r="TVL86" s="32"/>
      <c r="TVM86" s="32"/>
      <c r="TVN86" s="32"/>
      <c r="TVO86" s="32"/>
      <c r="TVP86" s="32"/>
      <c r="TVQ86" s="32"/>
      <c r="TVR86" s="32"/>
      <c r="TVS86" s="32"/>
      <c r="TVT86" s="32"/>
      <c r="TVU86" s="32"/>
      <c r="TVV86" s="32"/>
      <c r="TVW86" s="32"/>
      <c r="TVX86" s="32"/>
      <c r="TVY86" s="32"/>
      <c r="TVZ86" s="32"/>
      <c r="TWA86" s="32"/>
      <c r="TWB86" s="32"/>
      <c r="TWC86" s="32"/>
      <c r="TWD86" s="32"/>
      <c r="TWE86" s="32"/>
      <c r="TWF86" s="32"/>
      <c r="TWG86" s="32"/>
      <c r="TWH86" s="32"/>
      <c r="TWI86" s="32"/>
      <c r="TWJ86" s="32"/>
      <c r="TWK86" s="32"/>
      <c r="TWL86" s="32"/>
      <c r="TWM86" s="32"/>
      <c r="TWN86" s="32"/>
      <c r="TWO86" s="32"/>
      <c r="TWP86" s="32"/>
      <c r="TWQ86" s="32"/>
      <c r="TWR86" s="32"/>
      <c r="TWS86" s="32"/>
      <c r="TWT86" s="32"/>
      <c r="TWU86" s="32"/>
      <c r="TWV86" s="32"/>
      <c r="TWW86" s="32"/>
      <c r="TWX86" s="32"/>
      <c r="TWY86" s="32"/>
      <c r="TWZ86" s="32"/>
      <c r="TXA86" s="32"/>
      <c r="TXB86" s="32"/>
      <c r="TXC86" s="32"/>
      <c r="TXD86" s="32"/>
      <c r="TXE86" s="32"/>
      <c r="TXF86" s="32"/>
      <c r="TXG86" s="32"/>
      <c r="TXH86" s="32"/>
      <c r="TXI86" s="32"/>
      <c r="TXJ86" s="32"/>
      <c r="TXK86" s="32"/>
      <c r="TXL86" s="32"/>
      <c r="TXM86" s="32"/>
      <c r="TXN86" s="32"/>
      <c r="TXO86" s="32"/>
      <c r="TXP86" s="32"/>
      <c r="TXQ86" s="32"/>
      <c r="TXR86" s="32"/>
      <c r="TXS86" s="32"/>
      <c r="TXT86" s="32"/>
      <c r="TXU86" s="32"/>
      <c r="TXV86" s="32"/>
      <c r="TXW86" s="32"/>
      <c r="TXX86" s="32"/>
      <c r="TXY86" s="32"/>
      <c r="TXZ86" s="32"/>
      <c r="TYA86" s="32"/>
      <c r="TYB86" s="32"/>
      <c r="TYC86" s="32"/>
      <c r="TYD86" s="32"/>
      <c r="TYE86" s="32"/>
      <c r="TYF86" s="32"/>
      <c r="TYG86" s="32"/>
      <c r="TYH86" s="32"/>
      <c r="TYI86" s="32"/>
      <c r="TYJ86" s="32"/>
      <c r="TYK86" s="32"/>
      <c r="TYL86" s="32"/>
      <c r="TYM86" s="32"/>
      <c r="TYN86" s="32"/>
      <c r="TYO86" s="32"/>
      <c r="TYP86" s="32"/>
      <c r="TYQ86" s="32"/>
      <c r="TYR86" s="32"/>
      <c r="TYS86" s="32"/>
      <c r="TYT86" s="32"/>
      <c r="TYU86" s="32"/>
      <c r="TYV86" s="32"/>
      <c r="TYW86" s="32"/>
      <c r="TYX86" s="32"/>
      <c r="TYY86" s="32"/>
      <c r="TYZ86" s="32"/>
      <c r="TZA86" s="32"/>
      <c r="TZB86" s="32"/>
      <c r="TZC86" s="32"/>
      <c r="TZD86" s="32"/>
      <c r="TZE86" s="32"/>
      <c r="TZF86" s="32"/>
      <c r="TZG86" s="32"/>
      <c r="TZH86" s="32"/>
      <c r="TZI86" s="32"/>
      <c r="TZJ86" s="32"/>
      <c r="TZK86" s="32"/>
      <c r="TZL86" s="32"/>
      <c r="TZM86" s="32"/>
      <c r="TZN86" s="32"/>
      <c r="TZO86" s="32"/>
      <c r="TZP86" s="32"/>
      <c r="TZQ86" s="32"/>
      <c r="TZR86" s="32"/>
      <c r="TZS86" s="32"/>
      <c r="TZT86" s="32"/>
      <c r="TZU86" s="32"/>
      <c r="TZV86" s="32"/>
      <c r="TZW86" s="32"/>
      <c r="TZX86" s="32"/>
      <c r="TZY86" s="32"/>
      <c r="TZZ86" s="32"/>
      <c r="UAA86" s="32"/>
      <c r="UAB86" s="32"/>
      <c r="UAC86" s="32"/>
      <c r="UAD86" s="32"/>
      <c r="UAE86" s="32"/>
      <c r="UAF86" s="32"/>
      <c r="UAG86" s="32"/>
      <c r="UAH86" s="32"/>
      <c r="UAI86" s="32"/>
      <c r="UAJ86" s="32"/>
      <c r="UAK86" s="32"/>
      <c r="UAL86" s="32"/>
      <c r="UAM86" s="32"/>
      <c r="UAN86" s="32"/>
      <c r="UAO86" s="32"/>
      <c r="UAP86" s="32"/>
      <c r="UAQ86" s="32"/>
      <c r="UAR86" s="32"/>
      <c r="UAS86" s="32"/>
      <c r="UAT86" s="32"/>
      <c r="UAU86" s="32"/>
      <c r="UAV86" s="32"/>
      <c r="UAW86" s="32"/>
      <c r="UAX86" s="32"/>
      <c r="UAY86" s="32"/>
      <c r="UAZ86" s="32"/>
      <c r="UBA86" s="32"/>
      <c r="UBB86" s="32"/>
      <c r="UBC86" s="32"/>
      <c r="UBD86" s="32"/>
      <c r="UBE86" s="32"/>
      <c r="UBF86" s="32"/>
      <c r="UBG86" s="32"/>
      <c r="UBH86" s="32"/>
      <c r="UBI86" s="32"/>
      <c r="UBJ86" s="32"/>
      <c r="UBK86" s="32"/>
      <c r="UBL86" s="32"/>
      <c r="UBM86" s="32"/>
      <c r="UBN86" s="32"/>
      <c r="UBO86" s="32"/>
      <c r="UBP86" s="32"/>
      <c r="UBQ86" s="32"/>
      <c r="UBR86" s="32"/>
      <c r="UBS86" s="32"/>
      <c r="UBT86" s="32"/>
      <c r="UBU86" s="32"/>
      <c r="UBV86" s="32"/>
      <c r="UBW86" s="32"/>
      <c r="UBX86" s="32"/>
      <c r="UBY86" s="32"/>
      <c r="UBZ86" s="32"/>
      <c r="UCA86" s="32"/>
      <c r="UCB86" s="32"/>
      <c r="UCC86" s="32"/>
      <c r="UCD86" s="32"/>
      <c r="UCE86" s="32"/>
      <c r="UCF86" s="32"/>
      <c r="UCG86" s="32"/>
      <c r="UCH86" s="32"/>
      <c r="UCI86" s="32"/>
      <c r="UCJ86" s="32"/>
      <c r="UCK86" s="32"/>
      <c r="UCL86" s="32"/>
      <c r="UCM86" s="32"/>
      <c r="UCN86" s="32"/>
      <c r="UCO86" s="32"/>
      <c r="UCP86" s="32"/>
      <c r="UCQ86" s="32"/>
      <c r="UCR86" s="32"/>
      <c r="UCS86" s="32"/>
      <c r="UCT86" s="32"/>
      <c r="UCU86" s="32"/>
      <c r="UCV86" s="32"/>
      <c r="UCW86" s="32"/>
      <c r="UCX86" s="32"/>
      <c r="UCY86" s="32"/>
      <c r="UCZ86" s="32"/>
      <c r="UDA86" s="32"/>
      <c r="UDB86" s="32"/>
      <c r="UDC86" s="32"/>
      <c r="UDD86" s="32"/>
      <c r="UDE86" s="32"/>
      <c r="UDF86" s="32"/>
      <c r="UDG86" s="32"/>
      <c r="UDH86" s="32"/>
      <c r="UDI86" s="32"/>
      <c r="UDJ86" s="32"/>
      <c r="UDK86" s="32"/>
      <c r="UDL86" s="32"/>
      <c r="UDM86" s="32"/>
      <c r="UDN86" s="32"/>
      <c r="UDO86" s="32"/>
      <c r="UDP86" s="32"/>
      <c r="UDQ86" s="32"/>
      <c r="UDR86" s="32"/>
      <c r="UDS86" s="32"/>
      <c r="UDT86" s="32"/>
      <c r="UDU86" s="32"/>
      <c r="UDV86" s="32"/>
      <c r="UDW86" s="32"/>
      <c r="UDX86" s="32"/>
      <c r="UDY86" s="32"/>
      <c r="UDZ86" s="32"/>
      <c r="UEA86" s="32"/>
      <c r="UEB86" s="32"/>
      <c r="UEC86" s="32"/>
      <c r="UED86" s="32"/>
      <c r="UEE86" s="32"/>
      <c r="UEF86" s="32"/>
      <c r="UEG86" s="32"/>
      <c r="UEH86" s="32"/>
      <c r="UEI86" s="32"/>
      <c r="UEJ86" s="32"/>
      <c r="UEK86" s="32"/>
      <c r="UEL86" s="32"/>
      <c r="UEM86" s="32"/>
      <c r="UEN86" s="32"/>
      <c r="UEO86" s="32"/>
      <c r="UEP86" s="32"/>
      <c r="UEQ86" s="32"/>
      <c r="UER86" s="32"/>
      <c r="UES86" s="32"/>
      <c r="UET86" s="32"/>
      <c r="UEU86" s="32"/>
      <c r="UEV86" s="32"/>
      <c r="UEW86" s="32"/>
      <c r="UEX86" s="32"/>
      <c r="UEY86" s="32"/>
      <c r="UEZ86" s="32"/>
      <c r="UFA86" s="32"/>
      <c r="UFB86" s="32"/>
      <c r="UFC86" s="32"/>
      <c r="UFD86" s="32"/>
      <c r="UFE86" s="32"/>
      <c r="UFF86" s="32"/>
      <c r="UFG86" s="32"/>
      <c r="UFH86" s="32"/>
      <c r="UFI86" s="32"/>
      <c r="UFJ86" s="32"/>
      <c r="UFK86" s="32"/>
      <c r="UFL86" s="32"/>
      <c r="UFM86" s="32"/>
      <c r="UFN86" s="32"/>
      <c r="UFO86" s="32"/>
      <c r="UFP86" s="32"/>
      <c r="UFQ86" s="32"/>
      <c r="UFR86" s="32"/>
      <c r="UFS86" s="32"/>
      <c r="UFT86" s="32"/>
      <c r="UFU86" s="32"/>
      <c r="UFV86" s="32"/>
      <c r="UFW86" s="32"/>
      <c r="UFX86" s="32"/>
      <c r="UFY86" s="32"/>
      <c r="UFZ86" s="32"/>
      <c r="UGA86" s="32"/>
      <c r="UGB86" s="32"/>
      <c r="UGC86" s="32"/>
      <c r="UGD86" s="32"/>
      <c r="UGE86" s="32"/>
      <c r="UGF86" s="32"/>
      <c r="UGG86" s="32"/>
      <c r="UGH86" s="32"/>
      <c r="UGI86" s="32"/>
      <c r="UGJ86" s="32"/>
      <c r="UGK86" s="32"/>
      <c r="UGL86" s="32"/>
      <c r="UGM86" s="32"/>
      <c r="UGN86" s="32"/>
      <c r="UGO86" s="32"/>
      <c r="UGP86" s="32"/>
      <c r="UGQ86" s="32"/>
      <c r="UGR86" s="32"/>
      <c r="UGS86" s="32"/>
      <c r="UGT86" s="32"/>
      <c r="UGU86" s="32"/>
      <c r="UGV86" s="32"/>
      <c r="UGW86" s="32"/>
      <c r="UGX86" s="32"/>
      <c r="UGY86" s="32"/>
      <c r="UGZ86" s="32"/>
      <c r="UHA86" s="32"/>
      <c r="UHB86" s="32"/>
      <c r="UHC86" s="32"/>
      <c r="UHD86" s="32"/>
      <c r="UHE86" s="32"/>
      <c r="UHF86" s="32"/>
      <c r="UHG86" s="32"/>
      <c r="UHH86" s="32"/>
      <c r="UHI86" s="32"/>
      <c r="UHJ86" s="32"/>
      <c r="UHK86" s="32"/>
      <c r="UHL86" s="32"/>
      <c r="UHM86" s="32"/>
      <c r="UHN86" s="32"/>
      <c r="UHO86" s="32"/>
      <c r="UHP86" s="32"/>
      <c r="UHQ86" s="32"/>
      <c r="UHR86" s="32"/>
      <c r="UHS86" s="32"/>
      <c r="UHT86" s="32"/>
      <c r="UHU86" s="32"/>
      <c r="UHV86" s="32"/>
      <c r="UHW86" s="32"/>
      <c r="UHX86" s="32"/>
      <c r="UHY86" s="32"/>
      <c r="UHZ86" s="32"/>
      <c r="UIA86" s="32"/>
      <c r="UIB86" s="32"/>
      <c r="UIC86" s="32"/>
      <c r="UID86" s="32"/>
      <c r="UIE86" s="32"/>
      <c r="UIF86" s="32"/>
      <c r="UIG86" s="32"/>
      <c r="UIH86" s="32"/>
      <c r="UII86" s="32"/>
      <c r="UIJ86" s="32"/>
      <c r="UIK86" s="32"/>
      <c r="UIL86" s="32"/>
      <c r="UIM86" s="32"/>
      <c r="UIN86" s="32"/>
      <c r="UIO86" s="32"/>
      <c r="UIP86" s="32"/>
      <c r="UIQ86" s="32"/>
      <c r="UIR86" s="32"/>
      <c r="UIS86" s="32"/>
      <c r="UIT86" s="32"/>
      <c r="UIU86" s="32"/>
      <c r="UIV86" s="32"/>
      <c r="UIW86" s="32"/>
      <c r="UIX86" s="32"/>
      <c r="UIY86" s="32"/>
      <c r="UIZ86" s="32"/>
      <c r="UJA86" s="32"/>
      <c r="UJB86" s="32"/>
      <c r="UJC86" s="32"/>
      <c r="UJD86" s="32"/>
      <c r="UJE86" s="32"/>
      <c r="UJF86" s="32"/>
      <c r="UJG86" s="32"/>
      <c r="UJH86" s="32"/>
      <c r="UJI86" s="32"/>
      <c r="UJJ86" s="32"/>
      <c r="UJK86" s="32"/>
      <c r="UJL86" s="32"/>
      <c r="UJM86" s="32"/>
      <c r="UJN86" s="32"/>
      <c r="UJO86" s="32"/>
      <c r="UJP86" s="32"/>
      <c r="UJQ86" s="32"/>
      <c r="UJR86" s="32"/>
      <c r="UJS86" s="32"/>
      <c r="UJT86" s="32"/>
      <c r="UJU86" s="32"/>
      <c r="UJV86" s="32"/>
      <c r="UJW86" s="32"/>
      <c r="UJX86" s="32"/>
      <c r="UJY86" s="32"/>
      <c r="UJZ86" s="32"/>
      <c r="UKA86" s="32"/>
      <c r="UKB86" s="32"/>
      <c r="UKC86" s="32"/>
      <c r="UKD86" s="32"/>
      <c r="UKE86" s="32"/>
      <c r="UKF86" s="32"/>
      <c r="UKG86" s="32"/>
      <c r="UKH86" s="32"/>
      <c r="UKI86" s="32"/>
      <c r="UKJ86" s="32"/>
      <c r="UKK86" s="32"/>
      <c r="UKL86" s="32"/>
      <c r="UKM86" s="32"/>
      <c r="UKN86" s="32"/>
      <c r="UKO86" s="32"/>
      <c r="UKP86" s="32"/>
      <c r="UKQ86" s="32"/>
      <c r="UKR86" s="32"/>
      <c r="UKS86" s="32"/>
      <c r="UKT86" s="32"/>
      <c r="UKU86" s="32"/>
      <c r="UKV86" s="32"/>
      <c r="UKW86" s="32"/>
      <c r="UKX86" s="32"/>
      <c r="UKY86" s="32"/>
      <c r="UKZ86" s="32"/>
      <c r="ULA86" s="32"/>
      <c r="ULB86" s="32"/>
      <c r="ULC86" s="32"/>
      <c r="ULD86" s="32"/>
      <c r="ULE86" s="32"/>
      <c r="ULF86" s="32"/>
      <c r="ULG86" s="32"/>
      <c r="ULH86" s="32"/>
      <c r="ULI86" s="32"/>
      <c r="ULJ86" s="32"/>
      <c r="ULK86" s="32"/>
      <c r="ULL86" s="32"/>
      <c r="ULM86" s="32"/>
      <c r="ULN86" s="32"/>
      <c r="ULO86" s="32"/>
      <c r="ULP86" s="32"/>
      <c r="ULQ86" s="32"/>
      <c r="ULR86" s="32"/>
      <c r="ULS86" s="32"/>
      <c r="ULT86" s="32"/>
      <c r="ULU86" s="32"/>
      <c r="ULV86" s="32"/>
      <c r="ULW86" s="32"/>
      <c r="ULX86" s="32"/>
      <c r="ULY86" s="32"/>
      <c r="ULZ86" s="32"/>
      <c r="UMA86" s="32"/>
      <c r="UMB86" s="32"/>
      <c r="UMC86" s="32"/>
      <c r="UMD86" s="32"/>
      <c r="UME86" s="32"/>
      <c r="UMF86" s="32"/>
      <c r="UMG86" s="32"/>
      <c r="UMH86" s="32"/>
      <c r="UMI86" s="32"/>
      <c r="UMJ86" s="32"/>
      <c r="UMK86" s="32"/>
      <c r="UML86" s="32"/>
      <c r="UMM86" s="32"/>
      <c r="UMN86" s="32"/>
      <c r="UMO86" s="32"/>
      <c r="UMP86" s="32"/>
      <c r="UMQ86" s="32"/>
      <c r="UMR86" s="32"/>
      <c r="UMS86" s="32"/>
      <c r="UMT86" s="32"/>
      <c r="UMU86" s="32"/>
      <c r="UMV86" s="32"/>
      <c r="UMW86" s="32"/>
      <c r="UMX86" s="32"/>
      <c r="UMY86" s="32"/>
      <c r="UMZ86" s="32"/>
      <c r="UNA86" s="32"/>
      <c r="UNB86" s="32"/>
      <c r="UNC86" s="32"/>
      <c r="UND86" s="32"/>
      <c r="UNE86" s="32"/>
      <c r="UNF86" s="32"/>
      <c r="UNG86" s="32"/>
      <c r="UNH86" s="32"/>
      <c r="UNI86" s="32"/>
      <c r="UNJ86" s="32"/>
      <c r="UNK86" s="32"/>
      <c r="UNL86" s="32"/>
      <c r="UNM86" s="32"/>
      <c r="UNN86" s="32"/>
      <c r="UNO86" s="32"/>
      <c r="UNP86" s="32"/>
      <c r="UNQ86" s="32"/>
      <c r="UNR86" s="32"/>
      <c r="UNS86" s="32"/>
      <c r="UNT86" s="32"/>
      <c r="UNU86" s="32"/>
      <c r="UNV86" s="32"/>
      <c r="UNW86" s="32"/>
      <c r="UNX86" s="32"/>
      <c r="UNY86" s="32"/>
      <c r="UNZ86" s="32"/>
      <c r="UOA86" s="32"/>
      <c r="UOB86" s="32"/>
      <c r="UOC86" s="32"/>
      <c r="UOD86" s="32"/>
      <c r="UOE86" s="32"/>
      <c r="UOF86" s="32"/>
      <c r="UOG86" s="32"/>
      <c r="UOH86" s="32"/>
      <c r="UOI86" s="32"/>
      <c r="UOJ86" s="32"/>
      <c r="UOK86" s="32"/>
      <c r="UOL86" s="32"/>
      <c r="UOM86" s="32"/>
      <c r="UON86" s="32"/>
      <c r="UOO86" s="32"/>
      <c r="UOP86" s="32"/>
      <c r="UOQ86" s="32"/>
      <c r="UOR86" s="32"/>
      <c r="UOS86" s="32"/>
      <c r="UOT86" s="32"/>
      <c r="UOU86" s="32"/>
      <c r="UOV86" s="32"/>
      <c r="UOW86" s="32"/>
      <c r="UOX86" s="32"/>
      <c r="UOY86" s="32"/>
      <c r="UOZ86" s="32"/>
      <c r="UPA86" s="32"/>
      <c r="UPB86" s="32"/>
      <c r="UPC86" s="32"/>
      <c r="UPD86" s="32"/>
      <c r="UPE86" s="32"/>
      <c r="UPF86" s="32"/>
      <c r="UPG86" s="32"/>
      <c r="UPH86" s="32"/>
      <c r="UPI86" s="32"/>
      <c r="UPJ86" s="32"/>
      <c r="UPK86" s="32"/>
      <c r="UPL86" s="32"/>
      <c r="UPM86" s="32"/>
      <c r="UPN86" s="32"/>
      <c r="UPO86" s="32"/>
      <c r="UPP86" s="32"/>
      <c r="UPQ86" s="32"/>
      <c r="UPR86" s="32"/>
      <c r="UPS86" s="32"/>
      <c r="UPT86" s="32"/>
      <c r="UPU86" s="32"/>
      <c r="UPV86" s="32"/>
      <c r="UPW86" s="32"/>
      <c r="UPX86" s="32"/>
      <c r="UPY86" s="32"/>
      <c r="UPZ86" s="32"/>
      <c r="UQA86" s="32"/>
      <c r="UQB86" s="32"/>
      <c r="UQC86" s="32"/>
      <c r="UQD86" s="32"/>
      <c r="UQE86" s="32"/>
      <c r="UQF86" s="32"/>
      <c r="UQG86" s="32"/>
      <c r="UQH86" s="32"/>
      <c r="UQI86" s="32"/>
      <c r="UQJ86" s="32"/>
      <c r="UQK86" s="32"/>
      <c r="UQL86" s="32"/>
      <c r="UQM86" s="32"/>
      <c r="UQN86" s="32"/>
      <c r="UQO86" s="32"/>
      <c r="UQP86" s="32"/>
      <c r="UQQ86" s="32"/>
      <c r="UQR86" s="32"/>
      <c r="UQS86" s="32"/>
      <c r="UQT86" s="32"/>
      <c r="UQU86" s="32"/>
      <c r="UQV86" s="32"/>
      <c r="UQW86" s="32"/>
      <c r="UQX86" s="32"/>
      <c r="UQY86" s="32"/>
      <c r="UQZ86" s="32"/>
      <c r="URA86" s="32"/>
      <c r="URB86" s="32"/>
      <c r="URC86" s="32"/>
      <c r="URD86" s="32"/>
      <c r="URE86" s="32"/>
      <c r="URF86" s="32"/>
      <c r="URG86" s="32"/>
      <c r="URH86" s="32"/>
      <c r="URI86" s="32"/>
      <c r="URJ86" s="32"/>
      <c r="URK86" s="32"/>
      <c r="URL86" s="32"/>
      <c r="URM86" s="32"/>
      <c r="URN86" s="32"/>
      <c r="URO86" s="32"/>
      <c r="URP86" s="32"/>
      <c r="URQ86" s="32"/>
      <c r="URR86" s="32"/>
      <c r="URS86" s="32"/>
      <c r="URT86" s="32"/>
      <c r="URU86" s="32"/>
      <c r="URV86" s="32"/>
      <c r="URW86" s="32"/>
      <c r="URX86" s="32"/>
      <c r="URY86" s="32"/>
      <c r="URZ86" s="32"/>
      <c r="USA86" s="32"/>
      <c r="USB86" s="32"/>
      <c r="USC86" s="32"/>
      <c r="USD86" s="32"/>
      <c r="USE86" s="32"/>
      <c r="USF86" s="32"/>
      <c r="USG86" s="32"/>
      <c r="USH86" s="32"/>
      <c r="USI86" s="32"/>
      <c r="USJ86" s="32"/>
      <c r="USK86" s="32"/>
      <c r="USL86" s="32"/>
      <c r="USM86" s="32"/>
      <c r="USN86" s="32"/>
      <c r="USO86" s="32"/>
      <c r="USP86" s="32"/>
      <c r="USQ86" s="32"/>
      <c r="USR86" s="32"/>
      <c r="USS86" s="32"/>
      <c r="UST86" s="32"/>
      <c r="USU86" s="32"/>
      <c r="USV86" s="32"/>
      <c r="USW86" s="32"/>
      <c r="USX86" s="32"/>
      <c r="USY86" s="32"/>
      <c r="USZ86" s="32"/>
      <c r="UTA86" s="32"/>
      <c r="UTB86" s="32"/>
      <c r="UTC86" s="32"/>
      <c r="UTD86" s="32"/>
      <c r="UTE86" s="32"/>
      <c r="UTF86" s="32"/>
      <c r="UTG86" s="32"/>
      <c r="UTH86" s="32"/>
      <c r="UTI86" s="32"/>
      <c r="UTJ86" s="32"/>
      <c r="UTK86" s="32"/>
      <c r="UTL86" s="32"/>
      <c r="UTM86" s="32"/>
      <c r="UTN86" s="32"/>
      <c r="UTO86" s="32"/>
      <c r="UTP86" s="32"/>
      <c r="UTQ86" s="32"/>
      <c r="UTR86" s="32"/>
      <c r="UTS86" s="32"/>
      <c r="UTT86" s="32"/>
      <c r="UTU86" s="32"/>
      <c r="UTV86" s="32"/>
      <c r="UTW86" s="32"/>
      <c r="UTX86" s="32"/>
      <c r="UTY86" s="32"/>
      <c r="UTZ86" s="32"/>
      <c r="UUA86" s="32"/>
      <c r="UUB86" s="32"/>
      <c r="UUC86" s="32"/>
      <c r="UUD86" s="32"/>
      <c r="UUE86" s="32"/>
      <c r="UUF86" s="32"/>
      <c r="UUG86" s="32"/>
      <c r="UUH86" s="32"/>
      <c r="UUI86" s="32"/>
      <c r="UUJ86" s="32"/>
      <c r="UUK86" s="32"/>
      <c r="UUL86" s="32"/>
      <c r="UUM86" s="32"/>
      <c r="UUN86" s="32"/>
      <c r="UUO86" s="32"/>
      <c r="UUP86" s="32"/>
      <c r="UUQ86" s="32"/>
      <c r="UUR86" s="32"/>
      <c r="UUS86" s="32"/>
      <c r="UUT86" s="32"/>
      <c r="UUU86" s="32"/>
      <c r="UUV86" s="32"/>
      <c r="UUW86" s="32"/>
      <c r="UUX86" s="32"/>
      <c r="UUY86" s="32"/>
      <c r="UUZ86" s="32"/>
      <c r="UVA86" s="32"/>
      <c r="UVB86" s="32"/>
      <c r="UVC86" s="32"/>
      <c r="UVD86" s="32"/>
      <c r="UVE86" s="32"/>
      <c r="UVF86" s="32"/>
      <c r="UVG86" s="32"/>
      <c r="UVH86" s="32"/>
      <c r="UVI86" s="32"/>
      <c r="UVJ86" s="32"/>
      <c r="UVK86" s="32"/>
      <c r="UVL86" s="32"/>
      <c r="UVM86" s="32"/>
      <c r="UVN86" s="32"/>
      <c r="UVO86" s="32"/>
      <c r="UVP86" s="32"/>
      <c r="UVQ86" s="32"/>
      <c r="UVR86" s="32"/>
      <c r="UVS86" s="32"/>
      <c r="UVT86" s="32"/>
      <c r="UVU86" s="32"/>
      <c r="UVV86" s="32"/>
      <c r="UVW86" s="32"/>
      <c r="UVX86" s="32"/>
      <c r="UVY86" s="32"/>
      <c r="UVZ86" s="32"/>
      <c r="UWA86" s="32"/>
      <c r="UWB86" s="32"/>
      <c r="UWC86" s="32"/>
      <c r="UWD86" s="32"/>
      <c r="UWE86" s="32"/>
      <c r="UWF86" s="32"/>
      <c r="UWG86" s="32"/>
      <c r="UWH86" s="32"/>
      <c r="UWI86" s="32"/>
      <c r="UWJ86" s="32"/>
      <c r="UWK86" s="32"/>
      <c r="UWL86" s="32"/>
      <c r="UWM86" s="32"/>
      <c r="UWN86" s="32"/>
      <c r="UWO86" s="32"/>
      <c r="UWP86" s="32"/>
      <c r="UWQ86" s="32"/>
      <c r="UWR86" s="32"/>
      <c r="UWS86" s="32"/>
      <c r="UWT86" s="32"/>
      <c r="UWU86" s="32"/>
      <c r="UWV86" s="32"/>
      <c r="UWW86" s="32"/>
      <c r="UWX86" s="32"/>
      <c r="UWY86" s="32"/>
      <c r="UWZ86" s="32"/>
      <c r="UXA86" s="32"/>
      <c r="UXB86" s="32"/>
      <c r="UXC86" s="32"/>
      <c r="UXD86" s="32"/>
      <c r="UXE86" s="32"/>
      <c r="UXF86" s="32"/>
      <c r="UXG86" s="32"/>
      <c r="UXH86" s="32"/>
      <c r="UXI86" s="32"/>
      <c r="UXJ86" s="32"/>
      <c r="UXK86" s="32"/>
      <c r="UXL86" s="32"/>
      <c r="UXM86" s="32"/>
      <c r="UXN86" s="32"/>
      <c r="UXO86" s="32"/>
      <c r="UXP86" s="32"/>
      <c r="UXQ86" s="32"/>
      <c r="UXR86" s="32"/>
      <c r="UXS86" s="32"/>
      <c r="UXT86" s="32"/>
      <c r="UXU86" s="32"/>
      <c r="UXV86" s="32"/>
      <c r="UXW86" s="32"/>
      <c r="UXX86" s="32"/>
      <c r="UXY86" s="32"/>
      <c r="UXZ86" s="32"/>
      <c r="UYA86" s="32"/>
      <c r="UYB86" s="32"/>
      <c r="UYC86" s="32"/>
      <c r="UYD86" s="32"/>
      <c r="UYE86" s="32"/>
      <c r="UYF86" s="32"/>
      <c r="UYG86" s="32"/>
      <c r="UYH86" s="32"/>
      <c r="UYI86" s="32"/>
      <c r="UYJ86" s="32"/>
      <c r="UYK86" s="32"/>
      <c r="UYL86" s="32"/>
      <c r="UYM86" s="32"/>
      <c r="UYN86" s="32"/>
      <c r="UYO86" s="32"/>
      <c r="UYP86" s="32"/>
      <c r="UYQ86" s="32"/>
      <c r="UYR86" s="32"/>
      <c r="UYS86" s="32"/>
      <c r="UYT86" s="32"/>
      <c r="UYU86" s="32"/>
      <c r="UYV86" s="32"/>
      <c r="UYW86" s="32"/>
      <c r="UYX86" s="32"/>
      <c r="UYY86" s="32"/>
      <c r="UYZ86" s="32"/>
      <c r="UZA86" s="32"/>
      <c r="UZB86" s="32"/>
      <c r="UZC86" s="32"/>
      <c r="UZD86" s="32"/>
      <c r="UZE86" s="32"/>
      <c r="UZF86" s="32"/>
      <c r="UZG86" s="32"/>
      <c r="UZH86" s="32"/>
      <c r="UZI86" s="32"/>
      <c r="UZJ86" s="32"/>
      <c r="UZK86" s="32"/>
      <c r="UZL86" s="32"/>
      <c r="UZM86" s="32"/>
      <c r="UZN86" s="32"/>
      <c r="UZO86" s="32"/>
      <c r="UZP86" s="32"/>
      <c r="UZQ86" s="32"/>
      <c r="UZR86" s="32"/>
      <c r="UZS86" s="32"/>
      <c r="UZT86" s="32"/>
      <c r="UZU86" s="32"/>
      <c r="UZV86" s="32"/>
      <c r="UZW86" s="32"/>
      <c r="UZX86" s="32"/>
      <c r="UZY86" s="32"/>
      <c r="UZZ86" s="32"/>
      <c r="VAA86" s="32"/>
      <c r="VAB86" s="32"/>
      <c r="VAC86" s="32"/>
      <c r="VAD86" s="32"/>
      <c r="VAE86" s="32"/>
      <c r="VAF86" s="32"/>
      <c r="VAG86" s="32"/>
      <c r="VAH86" s="32"/>
      <c r="VAI86" s="32"/>
      <c r="VAJ86" s="32"/>
      <c r="VAK86" s="32"/>
      <c r="VAL86" s="32"/>
      <c r="VAM86" s="32"/>
      <c r="VAN86" s="32"/>
      <c r="VAO86" s="32"/>
      <c r="VAP86" s="32"/>
      <c r="VAQ86" s="32"/>
      <c r="VAR86" s="32"/>
      <c r="VAS86" s="32"/>
      <c r="VAT86" s="32"/>
      <c r="VAU86" s="32"/>
      <c r="VAV86" s="32"/>
      <c r="VAW86" s="32"/>
      <c r="VAX86" s="32"/>
      <c r="VAY86" s="32"/>
      <c r="VAZ86" s="32"/>
      <c r="VBA86" s="32"/>
      <c r="VBB86" s="32"/>
      <c r="VBC86" s="32"/>
      <c r="VBD86" s="32"/>
      <c r="VBE86" s="32"/>
      <c r="VBF86" s="32"/>
      <c r="VBG86" s="32"/>
      <c r="VBH86" s="32"/>
      <c r="VBI86" s="32"/>
      <c r="VBJ86" s="32"/>
      <c r="VBK86" s="32"/>
      <c r="VBL86" s="32"/>
      <c r="VBM86" s="32"/>
      <c r="VBN86" s="32"/>
      <c r="VBO86" s="32"/>
      <c r="VBP86" s="32"/>
      <c r="VBQ86" s="32"/>
      <c r="VBR86" s="32"/>
      <c r="VBS86" s="32"/>
      <c r="VBT86" s="32"/>
      <c r="VBU86" s="32"/>
      <c r="VBV86" s="32"/>
      <c r="VBW86" s="32"/>
      <c r="VBX86" s="32"/>
      <c r="VBY86" s="32"/>
      <c r="VBZ86" s="32"/>
      <c r="VCA86" s="32"/>
      <c r="VCB86" s="32"/>
      <c r="VCC86" s="32"/>
      <c r="VCD86" s="32"/>
      <c r="VCE86" s="32"/>
      <c r="VCF86" s="32"/>
      <c r="VCG86" s="32"/>
      <c r="VCH86" s="32"/>
      <c r="VCI86" s="32"/>
      <c r="VCJ86" s="32"/>
      <c r="VCK86" s="32"/>
      <c r="VCL86" s="32"/>
      <c r="VCM86" s="32"/>
      <c r="VCN86" s="32"/>
      <c r="VCO86" s="32"/>
      <c r="VCP86" s="32"/>
      <c r="VCQ86" s="32"/>
      <c r="VCR86" s="32"/>
      <c r="VCS86" s="32"/>
      <c r="VCT86" s="32"/>
      <c r="VCU86" s="32"/>
      <c r="VCV86" s="32"/>
      <c r="VCW86" s="32"/>
      <c r="VCX86" s="32"/>
      <c r="VCY86" s="32"/>
      <c r="VCZ86" s="32"/>
      <c r="VDA86" s="32"/>
      <c r="VDB86" s="32"/>
      <c r="VDC86" s="32"/>
      <c r="VDD86" s="32"/>
      <c r="VDE86" s="32"/>
      <c r="VDF86" s="32"/>
      <c r="VDG86" s="32"/>
      <c r="VDH86" s="32"/>
      <c r="VDI86" s="32"/>
      <c r="VDJ86" s="32"/>
      <c r="VDK86" s="32"/>
      <c r="VDL86" s="32"/>
      <c r="VDM86" s="32"/>
      <c r="VDN86" s="32"/>
      <c r="VDO86" s="32"/>
      <c r="VDP86" s="32"/>
      <c r="VDQ86" s="32"/>
      <c r="VDR86" s="32"/>
      <c r="VDS86" s="32"/>
      <c r="VDT86" s="32"/>
      <c r="VDU86" s="32"/>
      <c r="VDV86" s="32"/>
      <c r="VDW86" s="32"/>
      <c r="VDX86" s="32"/>
      <c r="VDY86" s="32"/>
      <c r="VDZ86" s="32"/>
      <c r="VEA86" s="32"/>
      <c r="VEB86" s="32"/>
      <c r="VEC86" s="32"/>
      <c r="VED86" s="32"/>
      <c r="VEE86" s="32"/>
      <c r="VEF86" s="32"/>
      <c r="VEG86" s="32"/>
      <c r="VEH86" s="32"/>
      <c r="VEI86" s="32"/>
      <c r="VEJ86" s="32"/>
      <c r="VEK86" s="32"/>
      <c r="VEL86" s="32"/>
      <c r="VEM86" s="32"/>
      <c r="VEN86" s="32"/>
      <c r="VEO86" s="32"/>
      <c r="VEP86" s="32"/>
      <c r="VEQ86" s="32"/>
      <c r="VER86" s="32"/>
      <c r="VES86" s="32"/>
      <c r="VET86" s="32"/>
      <c r="VEU86" s="32"/>
      <c r="VEV86" s="32"/>
      <c r="VEW86" s="32"/>
      <c r="VEX86" s="32"/>
      <c r="VEY86" s="32"/>
      <c r="VEZ86" s="32"/>
      <c r="VFA86" s="32"/>
      <c r="VFB86" s="32"/>
      <c r="VFC86" s="32"/>
      <c r="VFD86" s="32"/>
      <c r="VFE86" s="32"/>
      <c r="VFF86" s="32"/>
      <c r="VFG86" s="32"/>
      <c r="VFH86" s="32"/>
      <c r="VFI86" s="32"/>
      <c r="VFJ86" s="32"/>
      <c r="VFK86" s="32"/>
      <c r="VFL86" s="32"/>
      <c r="VFM86" s="32"/>
      <c r="VFN86" s="32"/>
      <c r="VFO86" s="32"/>
      <c r="VFP86" s="32"/>
      <c r="VFQ86" s="32"/>
      <c r="VFR86" s="32"/>
      <c r="VFS86" s="32"/>
      <c r="VFT86" s="32"/>
      <c r="VFU86" s="32"/>
      <c r="VFV86" s="32"/>
      <c r="VFW86" s="32"/>
      <c r="VFX86" s="32"/>
      <c r="VFY86" s="32"/>
      <c r="VFZ86" s="32"/>
      <c r="VGA86" s="32"/>
      <c r="VGB86" s="32"/>
      <c r="VGC86" s="32"/>
      <c r="VGD86" s="32"/>
      <c r="VGE86" s="32"/>
      <c r="VGF86" s="32"/>
      <c r="VGG86" s="32"/>
      <c r="VGH86" s="32"/>
      <c r="VGI86" s="32"/>
      <c r="VGJ86" s="32"/>
      <c r="VGK86" s="32"/>
      <c r="VGL86" s="32"/>
      <c r="VGM86" s="32"/>
      <c r="VGN86" s="32"/>
      <c r="VGO86" s="32"/>
      <c r="VGP86" s="32"/>
      <c r="VGQ86" s="32"/>
      <c r="VGR86" s="32"/>
      <c r="VGS86" s="32"/>
      <c r="VGT86" s="32"/>
      <c r="VGU86" s="32"/>
      <c r="VGV86" s="32"/>
      <c r="VGW86" s="32"/>
      <c r="VGX86" s="32"/>
      <c r="VGY86" s="32"/>
      <c r="VGZ86" s="32"/>
      <c r="VHA86" s="32"/>
      <c r="VHB86" s="32"/>
      <c r="VHC86" s="32"/>
      <c r="VHD86" s="32"/>
      <c r="VHE86" s="32"/>
      <c r="VHF86" s="32"/>
      <c r="VHG86" s="32"/>
      <c r="VHH86" s="32"/>
      <c r="VHI86" s="32"/>
      <c r="VHJ86" s="32"/>
      <c r="VHK86" s="32"/>
      <c r="VHL86" s="32"/>
      <c r="VHM86" s="32"/>
      <c r="VHN86" s="32"/>
      <c r="VHO86" s="32"/>
      <c r="VHP86" s="32"/>
      <c r="VHQ86" s="32"/>
      <c r="VHR86" s="32"/>
      <c r="VHS86" s="32"/>
      <c r="VHT86" s="32"/>
      <c r="VHU86" s="32"/>
      <c r="VHV86" s="32"/>
      <c r="VHW86" s="32"/>
      <c r="VHX86" s="32"/>
      <c r="VHY86" s="32"/>
      <c r="VHZ86" s="32"/>
      <c r="VIA86" s="32"/>
      <c r="VIB86" s="32"/>
      <c r="VIC86" s="32"/>
      <c r="VID86" s="32"/>
      <c r="VIE86" s="32"/>
      <c r="VIF86" s="32"/>
      <c r="VIG86" s="32"/>
      <c r="VIH86" s="32"/>
      <c r="VII86" s="32"/>
      <c r="VIJ86" s="32"/>
      <c r="VIK86" s="32"/>
      <c r="VIL86" s="32"/>
      <c r="VIM86" s="32"/>
      <c r="VIN86" s="32"/>
      <c r="VIO86" s="32"/>
      <c r="VIP86" s="32"/>
      <c r="VIQ86" s="32"/>
      <c r="VIR86" s="32"/>
      <c r="VIS86" s="32"/>
      <c r="VIT86" s="32"/>
      <c r="VIU86" s="32"/>
      <c r="VIV86" s="32"/>
      <c r="VIW86" s="32"/>
      <c r="VIX86" s="32"/>
      <c r="VIY86" s="32"/>
      <c r="VIZ86" s="32"/>
      <c r="VJA86" s="32"/>
      <c r="VJB86" s="32"/>
      <c r="VJC86" s="32"/>
      <c r="VJD86" s="32"/>
      <c r="VJE86" s="32"/>
      <c r="VJF86" s="32"/>
      <c r="VJG86" s="32"/>
      <c r="VJH86" s="32"/>
      <c r="VJI86" s="32"/>
      <c r="VJJ86" s="32"/>
      <c r="VJK86" s="32"/>
      <c r="VJL86" s="32"/>
      <c r="VJM86" s="32"/>
      <c r="VJN86" s="32"/>
      <c r="VJO86" s="32"/>
      <c r="VJP86" s="32"/>
      <c r="VJQ86" s="32"/>
      <c r="VJR86" s="32"/>
      <c r="VJS86" s="32"/>
      <c r="VJT86" s="32"/>
      <c r="VJU86" s="32"/>
      <c r="VJV86" s="32"/>
      <c r="VJW86" s="32"/>
      <c r="VJX86" s="32"/>
      <c r="VJY86" s="32"/>
      <c r="VJZ86" s="32"/>
      <c r="VKA86" s="32"/>
      <c r="VKB86" s="32"/>
      <c r="VKC86" s="32"/>
      <c r="VKD86" s="32"/>
      <c r="VKE86" s="32"/>
      <c r="VKF86" s="32"/>
      <c r="VKG86" s="32"/>
      <c r="VKH86" s="32"/>
      <c r="VKI86" s="32"/>
      <c r="VKJ86" s="32"/>
      <c r="VKK86" s="32"/>
      <c r="VKL86" s="32"/>
      <c r="VKM86" s="32"/>
      <c r="VKN86" s="32"/>
      <c r="VKO86" s="32"/>
      <c r="VKP86" s="32"/>
      <c r="VKQ86" s="32"/>
      <c r="VKR86" s="32"/>
      <c r="VKS86" s="32"/>
      <c r="VKT86" s="32"/>
      <c r="VKU86" s="32"/>
      <c r="VKV86" s="32"/>
      <c r="VKW86" s="32"/>
      <c r="VKX86" s="32"/>
      <c r="VKY86" s="32"/>
      <c r="VKZ86" s="32"/>
      <c r="VLA86" s="32"/>
      <c r="VLB86" s="32"/>
      <c r="VLC86" s="32"/>
      <c r="VLD86" s="32"/>
      <c r="VLE86" s="32"/>
      <c r="VLF86" s="32"/>
      <c r="VLG86" s="32"/>
      <c r="VLH86" s="32"/>
      <c r="VLI86" s="32"/>
      <c r="VLJ86" s="32"/>
      <c r="VLK86" s="32"/>
      <c r="VLL86" s="32"/>
      <c r="VLM86" s="32"/>
      <c r="VLN86" s="32"/>
      <c r="VLO86" s="32"/>
      <c r="VLP86" s="32"/>
      <c r="VLQ86" s="32"/>
      <c r="VLR86" s="32"/>
      <c r="VLS86" s="32"/>
      <c r="VLT86" s="32"/>
      <c r="VLU86" s="32"/>
      <c r="VLV86" s="32"/>
      <c r="VLW86" s="32"/>
      <c r="VLX86" s="32"/>
      <c r="VLY86" s="32"/>
      <c r="VLZ86" s="32"/>
      <c r="VMA86" s="32"/>
      <c r="VMB86" s="32"/>
      <c r="VMC86" s="32"/>
      <c r="VMD86" s="32"/>
      <c r="VME86" s="32"/>
      <c r="VMF86" s="32"/>
      <c r="VMG86" s="32"/>
      <c r="VMH86" s="32"/>
      <c r="VMI86" s="32"/>
      <c r="VMJ86" s="32"/>
      <c r="VMK86" s="32"/>
      <c r="VML86" s="32"/>
      <c r="VMM86" s="32"/>
      <c r="VMN86" s="32"/>
      <c r="VMO86" s="32"/>
      <c r="VMP86" s="32"/>
      <c r="VMQ86" s="32"/>
      <c r="VMR86" s="32"/>
      <c r="VMS86" s="32"/>
      <c r="VMT86" s="32"/>
      <c r="VMU86" s="32"/>
      <c r="VMV86" s="32"/>
      <c r="VMW86" s="32"/>
      <c r="VMX86" s="32"/>
      <c r="VMY86" s="32"/>
      <c r="VMZ86" s="32"/>
      <c r="VNA86" s="32"/>
      <c r="VNB86" s="32"/>
      <c r="VNC86" s="32"/>
      <c r="VND86" s="32"/>
      <c r="VNE86" s="32"/>
      <c r="VNF86" s="32"/>
      <c r="VNG86" s="32"/>
      <c r="VNH86" s="32"/>
      <c r="VNI86" s="32"/>
      <c r="VNJ86" s="32"/>
      <c r="VNK86" s="32"/>
      <c r="VNL86" s="32"/>
      <c r="VNM86" s="32"/>
      <c r="VNN86" s="32"/>
      <c r="VNO86" s="32"/>
      <c r="VNP86" s="32"/>
      <c r="VNQ86" s="32"/>
      <c r="VNR86" s="32"/>
      <c r="VNS86" s="32"/>
      <c r="VNT86" s="32"/>
      <c r="VNU86" s="32"/>
      <c r="VNV86" s="32"/>
      <c r="VNW86" s="32"/>
      <c r="VNX86" s="32"/>
      <c r="VNY86" s="32"/>
      <c r="VNZ86" s="32"/>
      <c r="VOA86" s="32"/>
      <c r="VOB86" s="32"/>
      <c r="VOC86" s="32"/>
      <c r="VOD86" s="32"/>
      <c r="VOE86" s="32"/>
      <c r="VOF86" s="32"/>
      <c r="VOG86" s="32"/>
      <c r="VOH86" s="32"/>
      <c r="VOI86" s="32"/>
      <c r="VOJ86" s="32"/>
      <c r="VOK86" s="32"/>
      <c r="VOL86" s="32"/>
      <c r="VOM86" s="32"/>
      <c r="VON86" s="32"/>
      <c r="VOO86" s="32"/>
      <c r="VOP86" s="32"/>
      <c r="VOQ86" s="32"/>
      <c r="VOR86" s="32"/>
      <c r="VOS86" s="32"/>
      <c r="VOT86" s="32"/>
      <c r="VOU86" s="32"/>
      <c r="VOV86" s="32"/>
      <c r="VOW86" s="32"/>
      <c r="VOX86" s="32"/>
      <c r="VOY86" s="32"/>
      <c r="VOZ86" s="32"/>
      <c r="VPA86" s="32"/>
      <c r="VPB86" s="32"/>
      <c r="VPC86" s="32"/>
      <c r="VPD86" s="32"/>
      <c r="VPE86" s="32"/>
      <c r="VPF86" s="32"/>
      <c r="VPG86" s="32"/>
      <c r="VPH86" s="32"/>
      <c r="VPI86" s="32"/>
      <c r="VPJ86" s="32"/>
      <c r="VPK86" s="32"/>
      <c r="VPL86" s="32"/>
      <c r="VPM86" s="32"/>
      <c r="VPN86" s="32"/>
      <c r="VPO86" s="32"/>
      <c r="VPP86" s="32"/>
      <c r="VPQ86" s="32"/>
      <c r="VPR86" s="32"/>
      <c r="VPS86" s="32"/>
      <c r="VPT86" s="32"/>
      <c r="VPU86" s="32"/>
      <c r="VPV86" s="32"/>
      <c r="VPW86" s="32"/>
      <c r="VPX86" s="32"/>
      <c r="VPY86" s="32"/>
      <c r="VPZ86" s="32"/>
      <c r="VQA86" s="32"/>
      <c r="VQB86" s="32"/>
      <c r="VQC86" s="32"/>
      <c r="VQD86" s="32"/>
      <c r="VQE86" s="32"/>
      <c r="VQF86" s="32"/>
      <c r="VQG86" s="32"/>
      <c r="VQH86" s="32"/>
      <c r="VQI86" s="32"/>
      <c r="VQJ86" s="32"/>
      <c r="VQK86" s="32"/>
      <c r="VQL86" s="32"/>
      <c r="VQM86" s="32"/>
      <c r="VQN86" s="32"/>
      <c r="VQO86" s="32"/>
      <c r="VQP86" s="32"/>
      <c r="VQQ86" s="32"/>
      <c r="VQR86" s="32"/>
      <c r="VQS86" s="32"/>
      <c r="VQT86" s="32"/>
      <c r="VQU86" s="32"/>
      <c r="VQV86" s="32"/>
      <c r="VQW86" s="32"/>
      <c r="VQX86" s="32"/>
      <c r="VQY86" s="32"/>
      <c r="VQZ86" s="32"/>
      <c r="VRA86" s="32"/>
      <c r="VRB86" s="32"/>
      <c r="VRC86" s="32"/>
      <c r="VRD86" s="32"/>
      <c r="VRE86" s="32"/>
      <c r="VRF86" s="32"/>
      <c r="VRG86" s="32"/>
      <c r="VRH86" s="32"/>
      <c r="VRI86" s="32"/>
      <c r="VRJ86" s="32"/>
      <c r="VRK86" s="32"/>
      <c r="VRL86" s="32"/>
      <c r="VRM86" s="32"/>
      <c r="VRN86" s="32"/>
      <c r="VRO86" s="32"/>
      <c r="VRP86" s="32"/>
      <c r="VRQ86" s="32"/>
      <c r="VRR86" s="32"/>
      <c r="VRS86" s="32"/>
      <c r="VRT86" s="32"/>
      <c r="VRU86" s="32"/>
      <c r="VRV86" s="32"/>
      <c r="VRW86" s="32"/>
      <c r="VRX86" s="32"/>
      <c r="VRY86" s="32"/>
      <c r="VRZ86" s="32"/>
      <c r="VSA86" s="32"/>
      <c r="VSB86" s="32"/>
      <c r="VSC86" s="32"/>
      <c r="VSD86" s="32"/>
      <c r="VSE86" s="32"/>
      <c r="VSF86" s="32"/>
      <c r="VSG86" s="32"/>
      <c r="VSH86" s="32"/>
      <c r="VSI86" s="32"/>
      <c r="VSJ86" s="32"/>
      <c r="VSK86" s="32"/>
      <c r="VSL86" s="32"/>
      <c r="VSM86" s="32"/>
      <c r="VSN86" s="32"/>
      <c r="VSO86" s="32"/>
      <c r="VSP86" s="32"/>
      <c r="VSQ86" s="32"/>
      <c r="VSR86" s="32"/>
      <c r="VSS86" s="32"/>
      <c r="VST86" s="32"/>
      <c r="VSU86" s="32"/>
      <c r="VSV86" s="32"/>
      <c r="VSW86" s="32"/>
      <c r="VSX86" s="32"/>
      <c r="VSY86" s="32"/>
      <c r="VSZ86" s="32"/>
      <c r="VTA86" s="32"/>
      <c r="VTB86" s="32"/>
      <c r="VTC86" s="32"/>
      <c r="VTD86" s="32"/>
      <c r="VTE86" s="32"/>
      <c r="VTF86" s="32"/>
      <c r="VTG86" s="32"/>
      <c r="VTH86" s="32"/>
      <c r="VTI86" s="32"/>
      <c r="VTJ86" s="32"/>
      <c r="VTK86" s="32"/>
      <c r="VTL86" s="32"/>
      <c r="VTM86" s="32"/>
      <c r="VTN86" s="32"/>
      <c r="VTO86" s="32"/>
      <c r="VTP86" s="32"/>
      <c r="VTQ86" s="32"/>
      <c r="VTR86" s="32"/>
      <c r="VTS86" s="32"/>
      <c r="VTT86" s="32"/>
      <c r="VTU86" s="32"/>
      <c r="VTV86" s="32"/>
      <c r="VTW86" s="32"/>
      <c r="VTX86" s="32"/>
      <c r="VTY86" s="32"/>
      <c r="VTZ86" s="32"/>
      <c r="VUA86" s="32"/>
      <c r="VUB86" s="32"/>
      <c r="VUC86" s="32"/>
      <c r="VUD86" s="32"/>
      <c r="VUE86" s="32"/>
      <c r="VUF86" s="32"/>
      <c r="VUG86" s="32"/>
      <c r="VUH86" s="32"/>
      <c r="VUI86" s="32"/>
      <c r="VUJ86" s="32"/>
      <c r="VUK86" s="32"/>
      <c r="VUL86" s="32"/>
      <c r="VUM86" s="32"/>
      <c r="VUN86" s="32"/>
      <c r="VUO86" s="32"/>
      <c r="VUP86" s="32"/>
      <c r="VUQ86" s="32"/>
      <c r="VUR86" s="32"/>
      <c r="VUS86" s="32"/>
      <c r="VUT86" s="32"/>
      <c r="VUU86" s="32"/>
      <c r="VUV86" s="32"/>
      <c r="VUW86" s="32"/>
      <c r="VUX86" s="32"/>
      <c r="VUY86" s="32"/>
      <c r="VUZ86" s="32"/>
      <c r="VVA86" s="32"/>
      <c r="VVB86" s="32"/>
      <c r="VVC86" s="32"/>
      <c r="VVD86" s="32"/>
      <c r="VVE86" s="32"/>
      <c r="VVF86" s="32"/>
      <c r="VVG86" s="32"/>
      <c r="VVH86" s="32"/>
      <c r="VVI86" s="32"/>
      <c r="VVJ86" s="32"/>
      <c r="VVK86" s="32"/>
      <c r="VVL86" s="32"/>
      <c r="VVM86" s="32"/>
      <c r="VVN86" s="32"/>
      <c r="VVO86" s="32"/>
      <c r="VVP86" s="32"/>
      <c r="VVQ86" s="32"/>
      <c r="VVR86" s="32"/>
      <c r="VVS86" s="32"/>
      <c r="VVT86" s="32"/>
      <c r="VVU86" s="32"/>
      <c r="VVV86" s="32"/>
      <c r="VVW86" s="32"/>
      <c r="VVX86" s="32"/>
      <c r="VVY86" s="32"/>
      <c r="VVZ86" s="32"/>
      <c r="VWA86" s="32"/>
      <c r="VWB86" s="32"/>
      <c r="VWC86" s="32"/>
      <c r="VWD86" s="32"/>
      <c r="VWE86" s="32"/>
      <c r="VWF86" s="32"/>
      <c r="VWG86" s="32"/>
      <c r="VWH86" s="32"/>
      <c r="VWI86" s="32"/>
      <c r="VWJ86" s="32"/>
      <c r="VWK86" s="32"/>
      <c r="VWL86" s="32"/>
      <c r="VWM86" s="32"/>
      <c r="VWN86" s="32"/>
      <c r="VWO86" s="32"/>
      <c r="VWP86" s="32"/>
      <c r="VWQ86" s="32"/>
      <c r="VWR86" s="32"/>
      <c r="VWS86" s="32"/>
      <c r="VWT86" s="32"/>
      <c r="VWU86" s="32"/>
      <c r="VWV86" s="32"/>
      <c r="VWW86" s="32"/>
      <c r="VWX86" s="32"/>
      <c r="VWY86" s="32"/>
      <c r="VWZ86" s="32"/>
      <c r="VXA86" s="32"/>
      <c r="VXB86" s="32"/>
      <c r="VXC86" s="32"/>
      <c r="VXD86" s="32"/>
      <c r="VXE86" s="32"/>
      <c r="VXF86" s="32"/>
      <c r="VXG86" s="32"/>
      <c r="VXH86" s="32"/>
      <c r="VXI86" s="32"/>
      <c r="VXJ86" s="32"/>
      <c r="VXK86" s="32"/>
      <c r="VXL86" s="32"/>
      <c r="VXM86" s="32"/>
      <c r="VXN86" s="32"/>
      <c r="VXO86" s="32"/>
      <c r="VXP86" s="32"/>
      <c r="VXQ86" s="32"/>
      <c r="VXR86" s="32"/>
      <c r="VXS86" s="32"/>
      <c r="VXT86" s="32"/>
      <c r="VXU86" s="32"/>
      <c r="VXV86" s="32"/>
      <c r="VXW86" s="32"/>
      <c r="VXX86" s="32"/>
      <c r="VXY86" s="32"/>
      <c r="VXZ86" s="32"/>
      <c r="VYA86" s="32"/>
      <c r="VYB86" s="32"/>
      <c r="VYC86" s="32"/>
      <c r="VYD86" s="32"/>
      <c r="VYE86" s="32"/>
      <c r="VYF86" s="32"/>
      <c r="VYG86" s="32"/>
      <c r="VYH86" s="32"/>
      <c r="VYI86" s="32"/>
      <c r="VYJ86" s="32"/>
      <c r="VYK86" s="32"/>
      <c r="VYL86" s="32"/>
      <c r="VYM86" s="32"/>
      <c r="VYN86" s="32"/>
      <c r="VYO86" s="32"/>
      <c r="VYP86" s="32"/>
      <c r="VYQ86" s="32"/>
      <c r="VYR86" s="32"/>
      <c r="VYS86" s="32"/>
      <c r="VYT86" s="32"/>
      <c r="VYU86" s="32"/>
      <c r="VYV86" s="32"/>
      <c r="VYW86" s="32"/>
      <c r="VYX86" s="32"/>
      <c r="VYY86" s="32"/>
      <c r="VYZ86" s="32"/>
      <c r="VZA86" s="32"/>
      <c r="VZB86" s="32"/>
      <c r="VZC86" s="32"/>
      <c r="VZD86" s="32"/>
      <c r="VZE86" s="32"/>
      <c r="VZF86" s="32"/>
      <c r="VZG86" s="32"/>
      <c r="VZH86" s="32"/>
      <c r="VZI86" s="32"/>
      <c r="VZJ86" s="32"/>
      <c r="VZK86" s="32"/>
      <c r="VZL86" s="32"/>
      <c r="VZM86" s="32"/>
      <c r="VZN86" s="32"/>
      <c r="VZO86" s="32"/>
      <c r="VZP86" s="32"/>
      <c r="VZQ86" s="32"/>
      <c r="VZR86" s="32"/>
      <c r="VZS86" s="32"/>
      <c r="VZT86" s="32"/>
      <c r="VZU86" s="32"/>
      <c r="VZV86" s="32"/>
      <c r="VZW86" s="32"/>
      <c r="VZX86" s="32"/>
      <c r="VZY86" s="32"/>
      <c r="VZZ86" s="32"/>
      <c r="WAA86" s="32"/>
      <c r="WAB86" s="32"/>
      <c r="WAC86" s="32"/>
      <c r="WAD86" s="32"/>
      <c r="WAE86" s="32"/>
      <c r="WAF86" s="32"/>
      <c r="WAG86" s="32"/>
      <c r="WAH86" s="32"/>
      <c r="WAI86" s="32"/>
      <c r="WAJ86" s="32"/>
      <c r="WAK86" s="32"/>
      <c r="WAL86" s="32"/>
      <c r="WAM86" s="32"/>
      <c r="WAN86" s="32"/>
      <c r="WAO86" s="32"/>
      <c r="WAP86" s="32"/>
      <c r="WAQ86" s="32"/>
      <c r="WAR86" s="32"/>
      <c r="WAS86" s="32"/>
      <c r="WAT86" s="32"/>
      <c r="WAU86" s="32"/>
      <c r="WAV86" s="32"/>
      <c r="WAW86" s="32"/>
      <c r="WAX86" s="32"/>
      <c r="WAY86" s="32"/>
      <c r="WAZ86" s="32"/>
      <c r="WBA86" s="32"/>
      <c r="WBB86" s="32"/>
      <c r="WBC86" s="32"/>
      <c r="WBD86" s="32"/>
      <c r="WBE86" s="32"/>
      <c r="WBF86" s="32"/>
      <c r="WBG86" s="32"/>
      <c r="WBH86" s="32"/>
      <c r="WBI86" s="32"/>
      <c r="WBJ86" s="32"/>
      <c r="WBK86" s="32"/>
      <c r="WBL86" s="32"/>
      <c r="WBM86" s="32"/>
      <c r="WBN86" s="32"/>
      <c r="WBO86" s="32"/>
      <c r="WBP86" s="32"/>
      <c r="WBQ86" s="32"/>
      <c r="WBR86" s="32"/>
      <c r="WBS86" s="32"/>
      <c r="WBT86" s="32"/>
      <c r="WBU86" s="32"/>
      <c r="WBV86" s="32"/>
      <c r="WBW86" s="32"/>
      <c r="WBX86" s="32"/>
      <c r="WBY86" s="32"/>
      <c r="WBZ86" s="32"/>
      <c r="WCA86" s="32"/>
      <c r="WCB86" s="32"/>
      <c r="WCC86" s="32"/>
      <c r="WCD86" s="32"/>
      <c r="WCE86" s="32"/>
      <c r="WCF86" s="32"/>
      <c r="WCG86" s="32"/>
      <c r="WCH86" s="32"/>
      <c r="WCI86" s="32"/>
      <c r="WCJ86" s="32"/>
      <c r="WCK86" s="32"/>
      <c r="WCL86" s="32"/>
      <c r="WCM86" s="32"/>
      <c r="WCN86" s="32"/>
      <c r="WCO86" s="32"/>
      <c r="WCP86" s="32"/>
      <c r="WCQ86" s="32"/>
      <c r="WCR86" s="32"/>
      <c r="WCS86" s="32"/>
      <c r="WCT86" s="32"/>
      <c r="WCU86" s="32"/>
      <c r="WCV86" s="32"/>
      <c r="WCW86" s="32"/>
      <c r="WCX86" s="32"/>
      <c r="WCY86" s="32"/>
      <c r="WCZ86" s="32"/>
      <c r="WDA86" s="32"/>
      <c r="WDB86" s="32"/>
      <c r="WDC86" s="32"/>
      <c r="WDD86" s="32"/>
      <c r="WDE86" s="32"/>
      <c r="WDF86" s="32"/>
      <c r="WDG86" s="32"/>
      <c r="WDH86" s="32"/>
      <c r="WDI86" s="32"/>
      <c r="WDJ86" s="32"/>
      <c r="WDK86" s="32"/>
      <c r="WDL86" s="32"/>
      <c r="WDM86" s="32"/>
      <c r="WDN86" s="32"/>
      <c r="WDO86" s="32"/>
      <c r="WDP86" s="32"/>
      <c r="WDQ86" s="32"/>
      <c r="WDR86" s="32"/>
      <c r="WDS86" s="32"/>
      <c r="WDT86" s="32"/>
      <c r="WDU86" s="32"/>
      <c r="WDV86" s="32"/>
      <c r="WDW86" s="32"/>
      <c r="WDX86" s="32"/>
      <c r="WDY86" s="32"/>
      <c r="WDZ86" s="32"/>
      <c r="WEA86" s="32"/>
      <c r="WEB86" s="32"/>
      <c r="WEC86" s="32"/>
      <c r="WED86" s="32"/>
      <c r="WEE86" s="32"/>
      <c r="WEF86" s="32"/>
      <c r="WEG86" s="32"/>
      <c r="WEH86" s="32"/>
      <c r="WEI86" s="32"/>
      <c r="WEJ86" s="32"/>
      <c r="WEK86" s="32"/>
      <c r="WEL86" s="32"/>
      <c r="WEM86" s="32"/>
      <c r="WEN86" s="32"/>
      <c r="WEO86" s="32"/>
      <c r="WEP86" s="32"/>
      <c r="WEQ86" s="32"/>
      <c r="WER86" s="32"/>
      <c r="WES86" s="32"/>
      <c r="WET86" s="32"/>
      <c r="WEU86" s="32"/>
      <c r="WEV86" s="32"/>
      <c r="WEW86" s="32"/>
      <c r="WEX86" s="32"/>
      <c r="WEY86" s="32"/>
      <c r="WEZ86" s="32"/>
      <c r="WFA86" s="32"/>
      <c r="WFB86" s="32"/>
      <c r="WFC86" s="32"/>
      <c r="WFD86" s="32"/>
      <c r="WFE86" s="32"/>
      <c r="WFF86" s="32"/>
      <c r="WFG86" s="32"/>
      <c r="WFH86" s="32"/>
      <c r="WFI86" s="32"/>
      <c r="WFJ86" s="32"/>
      <c r="WFK86" s="32"/>
      <c r="WFL86" s="32"/>
      <c r="WFM86" s="32"/>
      <c r="WFN86" s="32"/>
      <c r="WFO86" s="32"/>
      <c r="WFP86" s="32"/>
      <c r="WFQ86" s="32"/>
      <c r="WFR86" s="32"/>
      <c r="WFS86" s="32"/>
      <c r="WFT86" s="32"/>
      <c r="WFU86" s="32"/>
      <c r="WFV86" s="32"/>
      <c r="WFW86" s="32"/>
      <c r="WFX86" s="32"/>
      <c r="WFY86" s="32"/>
      <c r="WFZ86" s="32"/>
      <c r="WGA86" s="32"/>
      <c r="WGB86" s="32"/>
      <c r="WGC86" s="32"/>
      <c r="WGD86" s="32"/>
      <c r="WGE86" s="32"/>
      <c r="WGF86" s="32"/>
      <c r="WGG86" s="32"/>
      <c r="WGH86" s="32"/>
      <c r="WGI86" s="32"/>
      <c r="WGJ86" s="32"/>
      <c r="WGK86" s="32"/>
      <c r="WGL86" s="32"/>
      <c r="WGM86" s="32"/>
      <c r="WGN86" s="32"/>
      <c r="WGO86" s="32"/>
      <c r="WGP86" s="32"/>
      <c r="WGQ86" s="32"/>
      <c r="WGR86" s="32"/>
      <c r="WGS86" s="32"/>
      <c r="WGT86" s="32"/>
      <c r="WGU86" s="32"/>
      <c r="WGV86" s="32"/>
      <c r="WGW86" s="32"/>
      <c r="WGX86" s="32"/>
      <c r="WGY86" s="32"/>
      <c r="WGZ86" s="32"/>
      <c r="WHA86" s="32"/>
      <c r="WHB86" s="32"/>
      <c r="WHC86" s="32"/>
      <c r="WHD86" s="32"/>
      <c r="WHE86" s="32"/>
      <c r="WHF86" s="32"/>
      <c r="WHG86" s="32"/>
      <c r="WHH86" s="32"/>
      <c r="WHI86" s="32"/>
      <c r="WHJ86" s="32"/>
      <c r="WHK86" s="32"/>
      <c r="WHL86" s="32"/>
      <c r="WHM86" s="32"/>
      <c r="WHN86" s="32"/>
      <c r="WHO86" s="32"/>
      <c r="WHP86" s="32"/>
      <c r="WHQ86" s="32"/>
      <c r="WHR86" s="32"/>
      <c r="WHS86" s="32"/>
      <c r="WHT86" s="32"/>
      <c r="WHU86" s="32"/>
      <c r="WHV86" s="32"/>
      <c r="WHW86" s="32"/>
      <c r="WHX86" s="32"/>
      <c r="WHY86" s="32"/>
      <c r="WHZ86" s="32"/>
      <c r="WIA86" s="32"/>
      <c r="WIB86" s="32"/>
      <c r="WIC86" s="32"/>
      <c r="WID86" s="32"/>
      <c r="WIE86" s="32"/>
      <c r="WIF86" s="32"/>
      <c r="WIG86" s="32"/>
      <c r="WIH86" s="32"/>
      <c r="WII86" s="32"/>
      <c r="WIJ86" s="32"/>
      <c r="WIK86" s="32"/>
      <c r="WIL86" s="32"/>
      <c r="WIM86" s="32"/>
      <c r="WIN86" s="32"/>
      <c r="WIO86" s="32"/>
      <c r="WIP86" s="32"/>
      <c r="WIQ86" s="32"/>
      <c r="WIR86" s="32"/>
      <c r="WIS86" s="32"/>
      <c r="WIT86" s="32"/>
      <c r="WIU86" s="32"/>
      <c r="WIV86" s="32"/>
      <c r="WIW86" s="32"/>
      <c r="WIX86" s="32"/>
      <c r="WIY86" s="32"/>
      <c r="WIZ86" s="32"/>
      <c r="WJA86" s="32"/>
      <c r="WJB86" s="32"/>
      <c r="WJC86" s="32"/>
      <c r="WJD86" s="32"/>
      <c r="WJE86" s="32"/>
      <c r="WJF86" s="32"/>
      <c r="WJG86" s="32"/>
      <c r="WJH86" s="32"/>
      <c r="WJI86" s="32"/>
      <c r="WJJ86" s="32"/>
      <c r="WJK86" s="32"/>
      <c r="WJL86" s="32"/>
      <c r="WJM86" s="32"/>
      <c r="WJN86" s="32"/>
      <c r="WJO86" s="32"/>
      <c r="WJP86" s="32"/>
      <c r="WJQ86" s="32"/>
      <c r="WJR86" s="32"/>
      <c r="WJS86" s="32"/>
      <c r="WJT86" s="32"/>
      <c r="WJU86" s="32"/>
      <c r="WJV86" s="32"/>
      <c r="WJW86" s="32"/>
      <c r="WJX86" s="32"/>
      <c r="WJY86" s="32"/>
      <c r="WJZ86" s="32"/>
      <c r="WKA86" s="32"/>
      <c r="WKB86" s="32"/>
      <c r="WKC86" s="32"/>
      <c r="WKD86" s="32"/>
      <c r="WKE86" s="32"/>
      <c r="WKF86" s="32"/>
      <c r="WKG86" s="32"/>
      <c r="WKH86" s="32"/>
      <c r="WKI86" s="32"/>
      <c r="WKJ86" s="32"/>
      <c r="WKK86" s="32"/>
      <c r="WKL86" s="32"/>
      <c r="WKM86" s="32"/>
      <c r="WKN86" s="32"/>
      <c r="WKO86" s="32"/>
      <c r="WKP86" s="32"/>
      <c r="WKQ86" s="32"/>
      <c r="WKR86" s="32"/>
      <c r="WKS86" s="32"/>
      <c r="WKT86" s="32"/>
      <c r="WKU86" s="32"/>
      <c r="WKV86" s="32"/>
      <c r="WKW86" s="32"/>
      <c r="WKX86" s="32"/>
      <c r="WKY86" s="32"/>
      <c r="WKZ86" s="32"/>
      <c r="WLA86" s="32"/>
      <c r="WLB86" s="32"/>
      <c r="WLC86" s="32"/>
      <c r="WLD86" s="32"/>
      <c r="WLE86" s="32"/>
      <c r="WLF86" s="32"/>
      <c r="WLG86" s="32"/>
      <c r="WLH86" s="32"/>
      <c r="WLI86" s="32"/>
      <c r="WLJ86" s="32"/>
      <c r="WLK86" s="32"/>
      <c r="WLL86" s="32"/>
      <c r="WLM86" s="32"/>
      <c r="WLN86" s="32"/>
      <c r="WLO86" s="32"/>
      <c r="WLP86" s="32"/>
      <c r="WLQ86" s="32"/>
      <c r="WLR86" s="32"/>
      <c r="WLS86" s="32"/>
      <c r="WLT86" s="32"/>
      <c r="WLU86" s="32"/>
      <c r="WLV86" s="32"/>
      <c r="WLW86" s="32"/>
      <c r="WLX86" s="32"/>
      <c r="WLY86" s="32"/>
      <c r="WLZ86" s="32"/>
      <c r="WMA86" s="32"/>
      <c r="WMB86" s="32"/>
      <c r="WMC86" s="32"/>
      <c r="WMD86" s="32"/>
      <c r="WME86" s="32"/>
      <c r="WMF86" s="32"/>
      <c r="WMG86" s="32"/>
      <c r="WMH86" s="32"/>
      <c r="WMI86" s="32"/>
      <c r="WMJ86" s="32"/>
      <c r="WMK86" s="32"/>
      <c r="WML86" s="32"/>
      <c r="WMM86" s="32"/>
      <c r="WMN86" s="32"/>
      <c r="WMO86" s="32"/>
      <c r="WMP86" s="32"/>
      <c r="WMQ86" s="32"/>
      <c r="WMR86" s="32"/>
      <c r="WMS86" s="32"/>
      <c r="WMT86" s="32"/>
      <c r="WMU86" s="32"/>
      <c r="WMV86" s="32"/>
      <c r="WMW86" s="32"/>
      <c r="WMX86" s="32"/>
      <c r="WMY86" s="32"/>
      <c r="WMZ86" s="32"/>
      <c r="WNA86" s="32"/>
      <c r="WNB86" s="32"/>
      <c r="WNC86" s="32"/>
      <c r="WND86" s="32"/>
      <c r="WNE86" s="32"/>
      <c r="WNF86" s="32"/>
      <c r="WNG86" s="32"/>
      <c r="WNH86" s="32"/>
      <c r="WNI86" s="32"/>
      <c r="WNJ86" s="32"/>
      <c r="WNK86" s="32"/>
      <c r="WNL86" s="32"/>
      <c r="WNM86" s="32"/>
      <c r="WNN86" s="32"/>
      <c r="WNO86" s="32"/>
      <c r="WNP86" s="32"/>
      <c r="WNQ86" s="32"/>
      <c r="WNR86" s="32"/>
      <c r="WNS86" s="32"/>
      <c r="WNT86" s="32"/>
      <c r="WNU86" s="32"/>
      <c r="WNV86" s="32"/>
      <c r="WNW86" s="32"/>
      <c r="WNX86" s="32"/>
      <c r="WNY86" s="32"/>
      <c r="WNZ86" s="32"/>
      <c r="WOA86" s="32"/>
      <c r="WOB86" s="32"/>
      <c r="WOC86" s="32"/>
      <c r="WOD86" s="32"/>
      <c r="WOE86" s="32"/>
      <c r="WOF86" s="32"/>
      <c r="WOG86" s="32"/>
      <c r="WOH86" s="32"/>
      <c r="WOI86" s="32"/>
      <c r="WOJ86" s="32"/>
      <c r="WOK86" s="32"/>
      <c r="WOL86" s="32"/>
      <c r="WOM86" s="32"/>
      <c r="WON86" s="32"/>
      <c r="WOO86" s="32"/>
      <c r="WOP86" s="32"/>
      <c r="WOQ86" s="32"/>
      <c r="WOR86" s="32"/>
      <c r="WOS86" s="32"/>
      <c r="WOT86" s="32"/>
      <c r="WOU86" s="32"/>
      <c r="WOV86" s="32"/>
      <c r="WOW86" s="32"/>
      <c r="WOX86" s="32"/>
      <c r="WOY86" s="32"/>
      <c r="WOZ86" s="32"/>
      <c r="WPA86" s="32"/>
      <c r="WPB86" s="32"/>
      <c r="WPC86" s="32"/>
      <c r="WPD86" s="32"/>
      <c r="WPE86" s="32"/>
      <c r="WPF86" s="32"/>
      <c r="WPG86" s="32"/>
      <c r="WPH86" s="32"/>
      <c r="WPI86" s="32"/>
      <c r="WPJ86" s="32"/>
      <c r="WPK86" s="32"/>
      <c r="WPL86" s="32"/>
      <c r="WPM86" s="32"/>
      <c r="WPN86" s="32"/>
      <c r="WPO86" s="32"/>
      <c r="WPP86" s="32"/>
      <c r="WPQ86" s="32"/>
      <c r="WPR86" s="32"/>
      <c r="WPS86" s="32"/>
      <c r="WPT86" s="32"/>
      <c r="WPU86" s="32"/>
      <c r="WPV86" s="32"/>
      <c r="WPW86" s="32"/>
      <c r="WPX86" s="32"/>
      <c r="WPY86" s="32"/>
      <c r="WPZ86" s="32"/>
      <c r="WQA86" s="32"/>
      <c r="WQB86" s="32"/>
      <c r="WQC86" s="32"/>
      <c r="WQD86" s="32"/>
      <c r="WQE86" s="32"/>
      <c r="WQF86" s="32"/>
      <c r="WQG86" s="32"/>
      <c r="WQH86" s="32"/>
      <c r="WQI86" s="32"/>
      <c r="WQJ86" s="32"/>
      <c r="WQK86" s="32"/>
      <c r="WQL86" s="32"/>
      <c r="WQM86" s="32"/>
      <c r="WQN86" s="32"/>
      <c r="WQO86" s="32"/>
      <c r="WQP86" s="32"/>
      <c r="WQQ86" s="32"/>
      <c r="WQR86" s="32"/>
      <c r="WQS86" s="32"/>
      <c r="WQT86" s="32"/>
      <c r="WQU86" s="32"/>
      <c r="WQV86" s="32"/>
      <c r="WQW86" s="32"/>
      <c r="WQX86" s="32"/>
      <c r="WQY86" s="32"/>
      <c r="WQZ86" s="32"/>
      <c r="WRA86" s="32"/>
      <c r="WRB86" s="32"/>
      <c r="WRC86" s="32"/>
      <c r="WRD86" s="32"/>
      <c r="WRE86" s="32"/>
      <c r="WRF86" s="32"/>
      <c r="WRG86" s="32"/>
      <c r="WRH86" s="32"/>
      <c r="WRI86" s="32"/>
      <c r="WRJ86" s="32"/>
      <c r="WRK86" s="32"/>
      <c r="WRL86" s="32"/>
      <c r="WRM86" s="32"/>
      <c r="WRN86" s="32"/>
      <c r="WRO86" s="32"/>
      <c r="WRP86" s="32"/>
      <c r="WRQ86" s="32"/>
      <c r="WRR86" s="32"/>
      <c r="WRS86" s="32"/>
      <c r="WRT86" s="32"/>
      <c r="WRU86" s="32"/>
      <c r="WRV86" s="32"/>
      <c r="WRW86" s="32"/>
      <c r="WRX86" s="32"/>
      <c r="WRY86" s="32"/>
      <c r="WRZ86" s="32"/>
      <c r="WSA86" s="32"/>
      <c r="WSB86" s="32"/>
      <c r="WSC86" s="32"/>
      <c r="WSD86" s="32"/>
      <c r="WSE86" s="32"/>
      <c r="WSF86" s="32"/>
      <c r="WSG86" s="32"/>
      <c r="WSH86" s="32"/>
      <c r="WSI86" s="32"/>
      <c r="WSJ86" s="32"/>
      <c r="WSK86" s="32"/>
      <c r="WSL86" s="32"/>
      <c r="WSM86" s="32"/>
      <c r="WSN86" s="32"/>
      <c r="WSO86" s="32"/>
      <c r="WSP86" s="32"/>
      <c r="WSQ86" s="32"/>
      <c r="WSR86" s="32"/>
      <c r="WSS86" s="32"/>
      <c r="WST86" s="32"/>
      <c r="WSU86" s="32"/>
      <c r="WSV86" s="32"/>
      <c r="WSW86" s="32"/>
      <c r="WSX86" s="32"/>
      <c r="WSY86" s="32"/>
      <c r="WSZ86" s="32"/>
      <c r="WTA86" s="32"/>
      <c r="WTB86" s="32"/>
      <c r="WTC86" s="32"/>
      <c r="WTD86" s="32"/>
      <c r="WTE86" s="32"/>
      <c r="WTF86" s="32"/>
      <c r="WTG86" s="32"/>
      <c r="WTH86" s="32"/>
      <c r="WTI86" s="32"/>
      <c r="WTJ86" s="32"/>
      <c r="WTK86" s="32"/>
      <c r="WTL86" s="32"/>
      <c r="WTM86" s="32"/>
      <c r="WTN86" s="32"/>
      <c r="WTO86" s="32"/>
      <c r="WTP86" s="32"/>
      <c r="WTQ86" s="32"/>
      <c r="WTR86" s="32"/>
      <c r="WTS86" s="32"/>
      <c r="WTT86" s="32"/>
      <c r="WTU86" s="32"/>
      <c r="WTV86" s="32"/>
      <c r="WTW86" s="32"/>
      <c r="WTX86" s="32"/>
      <c r="WTY86" s="32"/>
      <c r="WTZ86" s="32"/>
      <c r="WUA86" s="32"/>
      <c r="WUB86" s="32"/>
      <c r="WUC86" s="32"/>
      <c r="WUD86" s="32"/>
      <c r="WUE86" s="32"/>
      <c r="WUF86" s="32"/>
      <c r="WUG86" s="32"/>
      <c r="WUH86" s="32"/>
      <c r="WUI86" s="32"/>
      <c r="WUJ86" s="32"/>
      <c r="WUK86" s="32"/>
      <c r="WUL86" s="32"/>
      <c r="WUM86" s="32"/>
      <c r="WUN86" s="32"/>
      <c r="WUO86" s="32"/>
      <c r="WUP86" s="32"/>
      <c r="WUQ86" s="32"/>
      <c r="WUR86" s="32"/>
      <c r="WUS86" s="32"/>
      <c r="WUT86" s="32"/>
      <c r="WUU86" s="32"/>
      <c r="WUV86" s="32"/>
      <c r="WUW86" s="32"/>
      <c r="WUX86" s="32"/>
      <c r="WUY86" s="32"/>
      <c r="WUZ86" s="32"/>
      <c r="WVA86" s="32"/>
      <c r="WVB86" s="32"/>
      <c r="WVC86" s="32"/>
      <c r="WVD86" s="32"/>
      <c r="WVE86" s="32"/>
      <c r="WVF86" s="32"/>
      <c r="WVG86" s="32"/>
      <c r="WVH86" s="32"/>
      <c r="WVI86" s="32"/>
      <c r="WVJ86" s="32"/>
      <c r="WVK86" s="32"/>
      <c r="WVL86" s="32"/>
      <c r="WVM86" s="32"/>
      <c r="WVN86" s="32"/>
      <c r="WVO86" s="32"/>
      <c r="WVP86" s="32"/>
      <c r="WVQ86" s="32"/>
      <c r="WVR86" s="32"/>
      <c r="WVS86" s="32"/>
      <c r="WVT86" s="32"/>
      <c r="WVU86" s="32"/>
      <c r="WVV86" s="32"/>
      <c r="WVW86" s="32"/>
      <c r="WVX86" s="32"/>
      <c r="WVY86" s="32"/>
      <c r="WVZ86" s="32"/>
      <c r="WWA86" s="32"/>
      <c r="WWB86" s="32"/>
      <c r="WWC86" s="32"/>
      <c r="WWD86" s="32"/>
      <c r="WWE86" s="32"/>
      <c r="WWF86" s="32"/>
      <c r="WWG86" s="32"/>
      <c r="WWH86" s="32"/>
      <c r="WWI86" s="32"/>
      <c r="WWJ86" s="32"/>
      <c r="WWK86" s="32"/>
      <c r="WWL86" s="32"/>
      <c r="WWM86" s="32"/>
      <c r="WWN86" s="32"/>
      <c r="WWO86" s="32"/>
      <c r="WWP86" s="32"/>
      <c r="WWQ86" s="32"/>
      <c r="WWR86" s="32"/>
      <c r="WWS86" s="32"/>
      <c r="WWT86" s="32"/>
      <c r="WWU86" s="32"/>
      <c r="WWV86" s="32"/>
      <c r="WWW86" s="32"/>
      <c r="WWX86" s="32"/>
      <c r="WWY86" s="32"/>
      <c r="WWZ86" s="32"/>
      <c r="WXA86" s="32"/>
      <c r="WXB86" s="32"/>
      <c r="WXC86" s="32"/>
      <c r="WXD86" s="32"/>
      <c r="WXE86" s="32"/>
      <c r="WXF86" s="32"/>
      <c r="WXG86" s="32"/>
      <c r="WXH86" s="32"/>
      <c r="WXI86" s="32"/>
      <c r="WXJ86" s="32"/>
      <c r="WXK86" s="32"/>
      <c r="WXL86" s="32"/>
      <c r="WXM86" s="32"/>
      <c r="WXN86" s="32"/>
      <c r="WXO86" s="32"/>
      <c r="WXP86" s="32"/>
      <c r="WXQ86" s="32"/>
      <c r="WXR86" s="32"/>
      <c r="WXS86" s="32"/>
      <c r="WXT86" s="32"/>
      <c r="WXU86" s="32"/>
      <c r="WXV86" s="32"/>
      <c r="WXW86" s="32"/>
      <c r="WXX86" s="32"/>
      <c r="WXY86" s="32"/>
      <c r="WXZ86" s="32"/>
      <c r="WYA86" s="32"/>
      <c r="WYB86" s="32"/>
      <c r="WYC86" s="32"/>
      <c r="WYD86" s="32"/>
      <c r="WYE86" s="32"/>
      <c r="WYF86" s="32"/>
      <c r="WYG86" s="32"/>
      <c r="WYH86" s="32"/>
      <c r="WYI86" s="32"/>
      <c r="WYJ86" s="32"/>
      <c r="WYK86" s="32"/>
      <c r="WYL86" s="32"/>
      <c r="WYM86" s="32"/>
      <c r="WYN86" s="32"/>
      <c r="WYO86" s="32"/>
      <c r="WYP86" s="32"/>
      <c r="WYQ86" s="32"/>
      <c r="WYR86" s="32"/>
      <c r="WYS86" s="32"/>
      <c r="WYT86" s="32"/>
      <c r="WYU86" s="32"/>
      <c r="WYV86" s="32"/>
      <c r="WYW86" s="32"/>
      <c r="WYX86" s="32"/>
      <c r="WYY86" s="32"/>
      <c r="WYZ86" s="32"/>
      <c r="WZA86" s="32"/>
      <c r="WZB86" s="32"/>
      <c r="WZC86" s="32"/>
      <c r="WZD86" s="32"/>
      <c r="WZE86" s="32"/>
      <c r="WZF86" s="32"/>
      <c r="WZG86" s="32"/>
      <c r="WZH86" s="32"/>
      <c r="WZI86" s="32"/>
      <c r="WZJ86" s="32"/>
      <c r="WZK86" s="32"/>
      <c r="WZL86" s="32"/>
      <c r="WZM86" s="32"/>
      <c r="WZN86" s="32"/>
      <c r="WZO86" s="32"/>
      <c r="WZP86" s="32"/>
      <c r="WZQ86" s="32"/>
      <c r="WZR86" s="32"/>
      <c r="WZS86" s="32"/>
      <c r="WZT86" s="32"/>
      <c r="WZU86" s="32"/>
      <c r="WZV86" s="32"/>
      <c r="WZW86" s="32"/>
      <c r="WZX86" s="32"/>
      <c r="WZY86" s="32"/>
      <c r="WZZ86" s="32"/>
      <c r="XAA86" s="32"/>
      <c r="XAB86" s="32"/>
      <c r="XAC86" s="32"/>
      <c r="XAD86" s="32"/>
      <c r="XAE86" s="32"/>
      <c r="XAF86" s="32"/>
      <c r="XAG86" s="32"/>
      <c r="XAH86" s="32"/>
      <c r="XAI86" s="32"/>
      <c r="XAJ86" s="32"/>
      <c r="XAK86" s="32"/>
      <c r="XAL86" s="32"/>
      <c r="XAM86" s="32"/>
      <c r="XAN86" s="32"/>
      <c r="XAO86" s="32"/>
      <c r="XAP86" s="32"/>
      <c r="XAQ86" s="32"/>
      <c r="XAR86" s="32"/>
      <c r="XAS86" s="32"/>
      <c r="XAT86" s="32"/>
      <c r="XAU86" s="32"/>
      <c r="XAV86" s="32"/>
      <c r="XAW86" s="32"/>
      <c r="XAX86" s="32"/>
      <c r="XAY86" s="32"/>
      <c r="XAZ86" s="32"/>
      <c r="XBA86" s="32"/>
      <c r="XBB86" s="32"/>
      <c r="XBC86" s="32"/>
      <c r="XBD86" s="32"/>
      <c r="XBE86" s="32"/>
      <c r="XBF86" s="32"/>
      <c r="XBG86" s="32"/>
      <c r="XBH86" s="32"/>
      <c r="XBI86" s="32"/>
      <c r="XBJ86" s="32"/>
      <c r="XBK86" s="32"/>
      <c r="XBL86" s="32"/>
      <c r="XBM86" s="32"/>
      <c r="XBN86" s="32"/>
      <c r="XBO86" s="32"/>
      <c r="XBP86" s="32"/>
      <c r="XBQ86" s="32"/>
      <c r="XBR86" s="32"/>
      <c r="XBS86" s="32"/>
      <c r="XBT86" s="32"/>
      <c r="XBU86" s="32"/>
      <c r="XBV86" s="32"/>
      <c r="XBW86" s="32"/>
      <c r="XBX86" s="32"/>
      <c r="XBY86" s="32"/>
      <c r="XBZ86" s="32"/>
      <c r="XCA86" s="32"/>
      <c r="XCB86" s="32"/>
      <c r="XCC86" s="32"/>
      <c r="XCD86" s="32"/>
      <c r="XCE86" s="32"/>
      <c r="XCF86" s="32"/>
      <c r="XCG86" s="32"/>
      <c r="XCH86" s="32"/>
      <c r="XCI86" s="32"/>
      <c r="XCJ86" s="32"/>
      <c r="XCK86" s="32"/>
      <c r="XCL86" s="32"/>
      <c r="XCM86" s="32"/>
      <c r="XCN86" s="32"/>
      <c r="XCO86" s="32"/>
      <c r="XCP86" s="32"/>
      <c r="XCQ86" s="32"/>
      <c r="XCR86" s="32"/>
      <c r="XCS86" s="32"/>
      <c r="XCT86" s="32"/>
      <c r="XCU86" s="32"/>
      <c r="XCV86" s="32"/>
      <c r="XCW86" s="32"/>
      <c r="XCX86" s="32"/>
      <c r="XCY86" s="32"/>
      <c r="XCZ86" s="32"/>
      <c r="XDA86" s="32"/>
      <c r="XDB86" s="32"/>
      <c r="XDC86" s="32"/>
      <c r="XDD86" s="32"/>
      <c r="XDE86" s="32"/>
      <c r="XDF86" s="32"/>
      <c r="XDG86" s="32"/>
      <c r="XDH86" s="32"/>
      <c r="XDI86" s="32"/>
      <c r="XDJ86" s="32"/>
      <c r="XDK86" s="32"/>
      <c r="XDL86" s="32"/>
      <c r="XDM86" s="32"/>
      <c r="XDN86" s="32"/>
      <c r="XDO86" s="32"/>
      <c r="XDP86" s="32"/>
      <c r="XDQ86" s="32"/>
      <c r="XDR86" s="32"/>
      <c r="XDS86" s="32"/>
      <c r="XDT86" s="32"/>
      <c r="XDU86" s="32"/>
      <c r="XDV86" s="32"/>
      <c r="XDW86" s="32"/>
      <c r="XDX86" s="32"/>
      <c r="XDY86" s="32"/>
      <c r="XDZ86" s="32"/>
      <c r="XEA86" s="32"/>
      <c r="XEB86" s="32"/>
      <c r="XEC86" s="32"/>
      <c r="XED86" s="32"/>
      <c r="XEE86" s="32"/>
      <c r="XEF86" s="32"/>
      <c r="XEG86" s="32"/>
      <c r="XEH86" s="32"/>
      <c r="XEI86" s="32"/>
      <c r="XEJ86" s="32"/>
      <c r="XEK86" s="32"/>
      <c r="XEL86" s="32"/>
      <c r="XEM86" s="32"/>
      <c r="XEN86" s="32"/>
      <c r="XEO86" s="32"/>
      <c r="XEP86" s="32"/>
      <c r="XEQ86" s="32"/>
      <c r="XER86" s="32"/>
      <c r="XES86" s="32"/>
      <c r="XET86" s="32"/>
      <c r="XEU86" s="32"/>
      <c r="XEV86" s="32"/>
      <c r="XEW86" s="32"/>
      <c r="XEX86" s="32"/>
      <c r="XEY86" s="32"/>
      <c r="XEZ86" s="32"/>
      <c r="XFA86" s="32"/>
      <c r="XFB86" s="32"/>
    </row>
    <row r="87" spans="1:16382" s="144" customFormat="1" ht="50.15" customHeight="1" thickBot="1">
      <c r="A87" s="755" t="s">
        <v>965</v>
      </c>
      <c r="B87" s="755"/>
      <c r="C87" s="57"/>
      <c r="D87" s="57"/>
      <c r="E87" s="57"/>
      <c r="F87" s="57"/>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c r="BZ87" s="21"/>
      <c r="CA87" s="21"/>
      <c r="CB87" s="21"/>
      <c r="CC87" s="21"/>
      <c r="CD87" s="21"/>
      <c r="CE87" s="21"/>
      <c r="CF87" s="21"/>
      <c r="CG87" s="21"/>
      <c r="CH87" s="21"/>
      <c r="CI87" s="21"/>
      <c r="CJ87" s="21"/>
      <c r="CK87" s="21"/>
      <c r="CL87" s="21"/>
      <c r="CM87" s="21"/>
      <c r="CN87" s="21"/>
      <c r="CO87" s="21"/>
      <c r="CP87" s="21"/>
      <c r="CQ87" s="21"/>
      <c r="CR87" s="21"/>
      <c r="CS87" s="21"/>
      <c r="CT87" s="21"/>
      <c r="CU87" s="21"/>
      <c r="CV87" s="21"/>
      <c r="CW87" s="21"/>
      <c r="CX87" s="21"/>
      <c r="CY87" s="21"/>
      <c r="CZ87" s="21"/>
      <c r="DA87" s="21"/>
      <c r="DB87" s="21"/>
      <c r="DC87" s="21"/>
      <c r="DD87" s="21"/>
      <c r="DE87" s="21"/>
      <c r="DF87" s="21"/>
      <c r="DG87" s="21"/>
      <c r="DH87" s="21"/>
      <c r="DI87" s="21"/>
      <c r="DJ87" s="21"/>
      <c r="DK87" s="21"/>
      <c r="DL87" s="21"/>
      <c r="DM87" s="21"/>
      <c r="DN87" s="21"/>
      <c r="DO87" s="21"/>
      <c r="DP87" s="21"/>
      <c r="DQ87" s="21"/>
      <c r="DR87" s="21"/>
      <c r="DS87" s="21"/>
      <c r="DT87" s="21"/>
      <c r="DU87" s="21"/>
      <c r="DV87" s="21"/>
      <c r="DW87" s="21"/>
      <c r="DX87" s="21"/>
      <c r="DY87" s="21"/>
      <c r="DZ87" s="21"/>
      <c r="EA87" s="21"/>
      <c r="EB87" s="21"/>
      <c r="EC87" s="21"/>
      <c r="ED87" s="21"/>
      <c r="EE87" s="21"/>
      <c r="EF87" s="21"/>
      <c r="EG87" s="21"/>
      <c r="EH87" s="21"/>
      <c r="EI87" s="21"/>
      <c r="EJ87" s="21"/>
      <c r="EK87" s="21"/>
      <c r="EL87" s="21"/>
      <c r="EM87" s="21"/>
      <c r="EN87" s="21"/>
      <c r="EO87" s="21"/>
      <c r="EP87" s="21"/>
      <c r="EQ87" s="21"/>
      <c r="ER87" s="21"/>
      <c r="ES87" s="21"/>
      <c r="ET87" s="21"/>
      <c r="EU87" s="21"/>
      <c r="EV87" s="21"/>
      <c r="EW87" s="21"/>
      <c r="EX87" s="21"/>
      <c r="EY87" s="21"/>
      <c r="EZ87" s="21"/>
      <c r="FA87" s="21"/>
      <c r="FB87" s="21"/>
      <c r="FC87" s="21"/>
      <c r="FD87" s="21"/>
      <c r="FE87" s="21"/>
      <c r="FF87" s="21"/>
      <c r="FG87" s="21"/>
      <c r="FH87" s="21"/>
      <c r="FI87" s="21"/>
      <c r="FJ87" s="21"/>
      <c r="FK87" s="21"/>
      <c r="FL87" s="21"/>
      <c r="FM87" s="21"/>
      <c r="FN87" s="21"/>
      <c r="FO87" s="21"/>
      <c r="FP87" s="21"/>
      <c r="FQ87" s="21"/>
      <c r="FR87" s="21"/>
      <c r="FS87" s="21"/>
      <c r="FT87" s="21"/>
      <c r="FU87" s="21"/>
      <c r="FV87" s="21"/>
      <c r="FW87" s="21"/>
      <c r="FX87" s="21"/>
      <c r="FY87" s="21"/>
      <c r="FZ87" s="21"/>
      <c r="GA87" s="21"/>
      <c r="GB87" s="21"/>
      <c r="GC87" s="21"/>
      <c r="GD87" s="21"/>
      <c r="GE87" s="21"/>
      <c r="GF87" s="21"/>
      <c r="GG87" s="21"/>
      <c r="GH87" s="21"/>
      <c r="GI87" s="21"/>
      <c r="GJ87" s="21"/>
      <c r="GK87" s="21"/>
      <c r="GL87" s="21"/>
      <c r="GM87" s="21"/>
      <c r="GN87" s="21"/>
      <c r="GO87" s="21"/>
      <c r="GP87" s="21"/>
      <c r="GQ87" s="21"/>
      <c r="GR87" s="21"/>
      <c r="GS87" s="21"/>
      <c r="GT87" s="21"/>
      <c r="GU87" s="21"/>
      <c r="GV87" s="21"/>
      <c r="GW87" s="21"/>
      <c r="GX87" s="21"/>
      <c r="GY87" s="21"/>
      <c r="GZ87" s="21"/>
      <c r="HA87" s="21"/>
      <c r="HB87" s="21"/>
      <c r="HC87" s="21"/>
      <c r="HD87" s="21"/>
      <c r="HE87" s="21"/>
      <c r="HF87" s="21"/>
      <c r="HG87" s="21"/>
      <c r="HH87" s="21"/>
      <c r="HI87" s="21"/>
      <c r="HJ87" s="21"/>
      <c r="HK87" s="21"/>
      <c r="HL87" s="21"/>
      <c r="HM87" s="21"/>
      <c r="HN87" s="21"/>
      <c r="HO87" s="21"/>
      <c r="HP87" s="21"/>
      <c r="HQ87" s="21"/>
      <c r="HR87" s="21"/>
      <c r="HS87" s="21"/>
      <c r="HT87" s="21"/>
      <c r="HU87" s="21"/>
      <c r="HV87" s="21"/>
      <c r="HW87" s="21"/>
      <c r="HX87" s="21"/>
      <c r="HY87" s="21"/>
      <c r="HZ87" s="21"/>
      <c r="IA87" s="21"/>
      <c r="IB87" s="21"/>
      <c r="IC87" s="21"/>
      <c r="ID87" s="21"/>
      <c r="IE87" s="21"/>
      <c r="IF87" s="21"/>
      <c r="IG87" s="21"/>
      <c r="IH87" s="21"/>
      <c r="II87" s="21"/>
      <c r="IJ87" s="21"/>
      <c r="IK87" s="21"/>
      <c r="IL87" s="21"/>
      <c r="IM87" s="21"/>
      <c r="IN87" s="21"/>
      <c r="IO87" s="21"/>
      <c r="IP87" s="21"/>
      <c r="IQ87" s="21"/>
      <c r="IR87" s="21"/>
      <c r="IS87" s="21"/>
      <c r="IT87" s="21"/>
      <c r="IU87" s="21"/>
      <c r="IV87" s="21"/>
      <c r="IW87" s="21"/>
      <c r="IX87" s="21"/>
      <c r="IY87" s="21"/>
      <c r="IZ87" s="21"/>
      <c r="JA87" s="21"/>
      <c r="JB87" s="21"/>
      <c r="JC87" s="21"/>
      <c r="JD87" s="21"/>
      <c r="JE87" s="21"/>
      <c r="JF87" s="21"/>
      <c r="JG87" s="21"/>
      <c r="JH87" s="21"/>
      <c r="JI87" s="21"/>
      <c r="JJ87" s="21"/>
      <c r="JK87" s="21"/>
      <c r="JL87" s="21"/>
      <c r="JM87" s="21"/>
      <c r="JN87" s="21"/>
      <c r="JO87" s="21"/>
      <c r="JP87" s="21"/>
      <c r="JQ87" s="21"/>
      <c r="JR87" s="21"/>
      <c r="JS87" s="21"/>
      <c r="JT87" s="21"/>
      <c r="JU87" s="21"/>
      <c r="JV87" s="21"/>
      <c r="JW87" s="21"/>
      <c r="JX87" s="21"/>
      <c r="JY87" s="21"/>
      <c r="JZ87" s="21"/>
      <c r="KA87" s="21"/>
      <c r="KB87" s="21"/>
      <c r="KC87" s="21"/>
      <c r="KD87" s="21"/>
      <c r="KE87" s="21"/>
      <c r="KF87" s="21"/>
      <c r="KG87" s="21"/>
      <c r="KH87" s="21"/>
      <c r="KI87" s="21"/>
      <c r="KJ87" s="21"/>
      <c r="KK87" s="21"/>
      <c r="KL87" s="21"/>
      <c r="KM87" s="21"/>
      <c r="KN87" s="21"/>
      <c r="KO87" s="21"/>
      <c r="KP87" s="21"/>
      <c r="KQ87" s="21"/>
      <c r="KR87" s="21"/>
      <c r="KS87" s="21"/>
      <c r="KT87" s="21"/>
      <c r="KU87" s="21"/>
      <c r="KV87" s="21"/>
      <c r="KW87" s="21"/>
      <c r="KX87" s="21"/>
      <c r="KY87" s="21"/>
      <c r="KZ87" s="21"/>
      <c r="LA87" s="21"/>
      <c r="LB87" s="21"/>
      <c r="LC87" s="21"/>
      <c r="LD87" s="21"/>
      <c r="LE87" s="21"/>
      <c r="LF87" s="21"/>
      <c r="LG87" s="21"/>
      <c r="LH87" s="21"/>
      <c r="LI87" s="21"/>
      <c r="LJ87" s="21"/>
      <c r="LK87" s="21"/>
      <c r="LL87" s="21"/>
      <c r="LM87" s="21"/>
      <c r="LN87" s="21"/>
      <c r="LO87" s="21"/>
      <c r="LP87" s="21"/>
      <c r="LQ87" s="21"/>
      <c r="LR87" s="21"/>
      <c r="LS87" s="21"/>
      <c r="LT87" s="21"/>
      <c r="LU87" s="21"/>
      <c r="LV87" s="21"/>
      <c r="LW87" s="21"/>
      <c r="LX87" s="21"/>
      <c r="LY87" s="21"/>
      <c r="LZ87" s="21"/>
      <c r="MA87" s="21"/>
      <c r="MB87" s="21"/>
      <c r="MC87" s="21"/>
      <c r="MD87" s="21"/>
      <c r="ME87" s="21"/>
      <c r="MF87" s="21"/>
      <c r="MG87" s="21"/>
      <c r="MH87" s="21"/>
      <c r="MI87" s="21"/>
      <c r="MJ87" s="21"/>
      <c r="MK87" s="21"/>
      <c r="ML87" s="21"/>
      <c r="MM87" s="21"/>
      <c r="MN87" s="21"/>
      <c r="MO87" s="21"/>
      <c r="MP87" s="21"/>
      <c r="MQ87" s="21"/>
      <c r="MR87" s="21"/>
      <c r="MS87" s="21"/>
      <c r="MT87" s="21"/>
      <c r="MU87" s="21"/>
      <c r="MV87" s="21"/>
      <c r="MW87" s="21"/>
      <c r="MX87" s="21"/>
      <c r="MY87" s="21"/>
      <c r="MZ87" s="21"/>
      <c r="NA87" s="21"/>
      <c r="NB87" s="21"/>
      <c r="NC87" s="21"/>
      <c r="ND87" s="21"/>
      <c r="NE87" s="21"/>
      <c r="NF87" s="21"/>
      <c r="NG87" s="21"/>
      <c r="NH87" s="21"/>
      <c r="NI87" s="21"/>
      <c r="NJ87" s="21"/>
      <c r="NK87" s="21"/>
      <c r="NL87" s="21"/>
      <c r="NM87" s="21"/>
      <c r="NN87" s="21"/>
      <c r="NO87" s="21"/>
      <c r="NP87" s="21"/>
      <c r="NQ87" s="21"/>
      <c r="NR87" s="21"/>
      <c r="NS87" s="21"/>
      <c r="NT87" s="21"/>
      <c r="NU87" s="21"/>
      <c r="NV87" s="21"/>
      <c r="NW87" s="21"/>
      <c r="NX87" s="21"/>
      <c r="NY87" s="21"/>
      <c r="NZ87" s="21"/>
      <c r="OA87" s="21"/>
      <c r="OB87" s="21"/>
      <c r="OC87" s="21"/>
      <c r="OD87" s="21"/>
      <c r="OE87" s="21"/>
      <c r="OF87" s="21"/>
      <c r="OG87" s="21"/>
      <c r="OH87" s="21"/>
      <c r="OI87" s="21"/>
      <c r="OJ87" s="21"/>
      <c r="OK87" s="21"/>
      <c r="OL87" s="21"/>
      <c r="OM87" s="21"/>
      <c r="ON87" s="21"/>
      <c r="OO87" s="21"/>
      <c r="OP87" s="21"/>
      <c r="OQ87" s="21"/>
      <c r="OR87" s="21"/>
      <c r="OS87" s="21"/>
      <c r="OT87" s="21"/>
      <c r="OU87" s="21"/>
      <c r="OV87" s="21"/>
      <c r="OW87" s="21"/>
      <c r="OX87" s="21"/>
      <c r="OY87" s="21"/>
      <c r="OZ87" s="21"/>
      <c r="PA87" s="21"/>
      <c r="PB87" s="21"/>
      <c r="PC87" s="21"/>
      <c r="PD87" s="21"/>
      <c r="PE87" s="21"/>
      <c r="PF87" s="21"/>
      <c r="PG87" s="21"/>
      <c r="PH87" s="21"/>
      <c r="PI87" s="21"/>
      <c r="PJ87" s="21"/>
      <c r="PK87" s="21"/>
      <c r="PL87" s="21"/>
      <c r="PM87" s="21"/>
      <c r="PN87" s="21"/>
      <c r="PO87" s="21"/>
      <c r="PP87" s="21"/>
      <c r="PQ87" s="21"/>
      <c r="PR87" s="21"/>
      <c r="PS87" s="21"/>
      <c r="PT87" s="21"/>
      <c r="PU87" s="21"/>
      <c r="PV87" s="21"/>
      <c r="PW87" s="21"/>
      <c r="PX87" s="21"/>
      <c r="PY87" s="21"/>
      <c r="PZ87" s="21"/>
      <c r="QA87" s="21"/>
      <c r="QB87" s="21"/>
      <c r="QC87" s="21"/>
      <c r="QD87" s="21"/>
      <c r="QE87" s="21"/>
      <c r="QF87" s="21"/>
      <c r="QG87" s="21"/>
      <c r="QH87" s="21"/>
      <c r="QI87" s="21"/>
      <c r="QJ87" s="21"/>
      <c r="QK87" s="21"/>
      <c r="QL87" s="21"/>
      <c r="QM87" s="21"/>
      <c r="QN87" s="21"/>
      <c r="QO87" s="21"/>
      <c r="QP87" s="21"/>
      <c r="QQ87" s="21"/>
      <c r="QR87" s="21"/>
      <c r="QS87" s="21"/>
      <c r="QT87" s="21"/>
      <c r="QU87" s="21"/>
      <c r="QV87" s="21"/>
      <c r="QW87" s="21"/>
      <c r="QX87" s="21"/>
      <c r="QY87" s="21"/>
      <c r="QZ87" s="21"/>
      <c r="RA87" s="21"/>
      <c r="RB87" s="21"/>
      <c r="RC87" s="21"/>
      <c r="RD87" s="21"/>
      <c r="RE87" s="21"/>
      <c r="RF87" s="21"/>
      <c r="RG87" s="21"/>
      <c r="RH87" s="21"/>
      <c r="RI87" s="21"/>
      <c r="RJ87" s="21"/>
      <c r="RK87" s="21"/>
      <c r="RL87" s="21"/>
      <c r="RM87" s="21"/>
      <c r="RN87" s="21"/>
      <c r="RO87" s="21"/>
      <c r="RP87" s="21"/>
      <c r="RQ87" s="21"/>
      <c r="RR87" s="21"/>
      <c r="RS87" s="21"/>
      <c r="RT87" s="21"/>
      <c r="RU87" s="21"/>
      <c r="RV87" s="21"/>
      <c r="RW87" s="21"/>
      <c r="RX87" s="21"/>
      <c r="RY87" s="21"/>
      <c r="RZ87" s="21"/>
      <c r="SA87" s="21"/>
      <c r="SB87" s="21"/>
      <c r="SC87" s="21"/>
      <c r="SD87" s="21"/>
      <c r="SE87" s="21"/>
      <c r="SF87" s="21"/>
      <c r="SG87" s="21"/>
      <c r="SH87" s="21"/>
      <c r="SI87" s="21"/>
      <c r="SJ87" s="21"/>
      <c r="SK87" s="21"/>
      <c r="SL87" s="21"/>
      <c r="SM87" s="21"/>
      <c r="SN87" s="21"/>
      <c r="SO87" s="21"/>
      <c r="SP87" s="21"/>
      <c r="SQ87" s="21"/>
      <c r="SR87" s="21"/>
      <c r="SS87" s="21"/>
      <c r="ST87" s="21"/>
      <c r="SU87" s="21"/>
      <c r="SV87" s="21"/>
      <c r="SW87" s="21"/>
      <c r="SX87" s="21"/>
      <c r="SY87" s="21"/>
      <c r="SZ87" s="21"/>
      <c r="TA87" s="21"/>
      <c r="TB87" s="21"/>
      <c r="TC87" s="21"/>
      <c r="TD87" s="21"/>
      <c r="TE87" s="21"/>
      <c r="TF87" s="21"/>
      <c r="TG87" s="21"/>
      <c r="TH87" s="21"/>
      <c r="TI87" s="21"/>
      <c r="TJ87" s="21"/>
      <c r="TK87" s="21"/>
      <c r="TL87" s="21"/>
      <c r="TM87" s="21"/>
      <c r="TN87" s="21"/>
      <c r="TO87" s="21"/>
      <c r="TP87" s="21"/>
      <c r="TQ87" s="21"/>
      <c r="TR87" s="21"/>
      <c r="TS87" s="21"/>
      <c r="TT87" s="21"/>
      <c r="TU87" s="21"/>
      <c r="TV87" s="21"/>
      <c r="TW87" s="21"/>
      <c r="TX87" s="21"/>
      <c r="TY87" s="21"/>
      <c r="TZ87" s="21"/>
      <c r="UA87" s="21"/>
      <c r="UB87" s="21"/>
      <c r="UC87" s="21"/>
      <c r="UD87" s="21"/>
      <c r="UE87" s="21"/>
      <c r="UF87" s="21"/>
      <c r="UG87" s="21"/>
      <c r="UH87" s="21"/>
      <c r="UI87" s="21"/>
      <c r="UJ87" s="21"/>
      <c r="UK87" s="21"/>
      <c r="UL87" s="21"/>
      <c r="UM87" s="21"/>
      <c r="UN87" s="21"/>
      <c r="UO87" s="21"/>
      <c r="UP87" s="21"/>
      <c r="UQ87" s="21"/>
      <c r="UR87" s="21"/>
      <c r="US87" s="21"/>
      <c r="UT87" s="21"/>
      <c r="UU87" s="21"/>
      <c r="UV87" s="21"/>
      <c r="UW87" s="21"/>
      <c r="UX87" s="21"/>
      <c r="UY87" s="21"/>
      <c r="UZ87" s="21"/>
      <c r="VA87" s="21"/>
      <c r="VB87" s="21"/>
      <c r="VC87" s="21"/>
      <c r="VD87" s="21"/>
      <c r="VE87" s="21"/>
      <c r="VF87" s="21"/>
      <c r="VG87" s="21"/>
      <c r="VH87" s="21"/>
      <c r="VI87" s="21"/>
      <c r="VJ87" s="21"/>
      <c r="VK87" s="21"/>
      <c r="VL87" s="21"/>
      <c r="VM87" s="21"/>
      <c r="VN87" s="21"/>
      <c r="VO87" s="21"/>
      <c r="VP87" s="21"/>
      <c r="VQ87" s="21"/>
      <c r="VR87" s="21"/>
      <c r="VS87" s="21"/>
      <c r="VT87" s="21"/>
      <c r="VU87" s="21"/>
      <c r="VV87" s="21"/>
      <c r="VW87" s="21"/>
      <c r="VX87" s="21"/>
      <c r="VY87" s="21"/>
      <c r="VZ87" s="21"/>
      <c r="WA87" s="21"/>
      <c r="WB87" s="21"/>
      <c r="WC87" s="21"/>
      <c r="WD87" s="21"/>
      <c r="WE87" s="21"/>
      <c r="WF87" s="21"/>
      <c r="WG87" s="21"/>
      <c r="WH87" s="21"/>
      <c r="WI87" s="21"/>
      <c r="WJ87" s="21"/>
      <c r="WK87" s="21"/>
      <c r="WL87" s="21"/>
      <c r="WM87" s="21"/>
      <c r="WN87" s="21"/>
      <c r="WO87" s="21"/>
      <c r="WP87" s="21"/>
      <c r="WQ87" s="21"/>
      <c r="WR87" s="21"/>
      <c r="WS87" s="21"/>
      <c r="WT87" s="21"/>
      <c r="WU87" s="21"/>
      <c r="WV87" s="21"/>
      <c r="WW87" s="21"/>
      <c r="WX87" s="21"/>
      <c r="WY87" s="21"/>
      <c r="WZ87" s="21"/>
      <c r="XA87" s="21"/>
      <c r="XB87" s="21"/>
      <c r="XC87" s="21"/>
      <c r="XD87" s="21"/>
      <c r="XE87" s="21"/>
      <c r="XF87" s="21"/>
      <c r="XG87" s="21"/>
      <c r="XH87" s="21"/>
      <c r="XI87" s="21"/>
      <c r="XJ87" s="21"/>
      <c r="XK87" s="21"/>
      <c r="XL87" s="21"/>
      <c r="XM87" s="21"/>
      <c r="XN87" s="21"/>
      <c r="XO87" s="21"/>
      <c r="XP87" s="21"/>
      <c r="XQ87" s="21"/>
      <c r="XR87" s="21"/>
      <c r="XS87" s="21"/>
      <c r="XT87" s="21"/>
      <c r="XU87" s="21"/>
      <c r="XV87" s="21"/>
      <c r="XW87" s="21"/>
      <c r="XX87" s="21"/>
      <c r="XY87" s="21"/>
      <c r="XZ87" s="21"/>
      <c r="YA87" s="21"/>
      <c r="YB87" s="21"/>
      <c r="YC87" s="21"/>
      <c r="YD87" s="21"/>
      <c r="YE87" s="21"/>
      <c r="YF87" s="21"/>
      <c r="YG87" s="21"/>
      <c r="YH87" s="21"/>
      <c r="YI87" s="21"/>
      <c r="YJ87" s="21"/>
      <c r="YK87" s="21"/>
      <c r="YL87" s="21"/>
      <c r="YM87" s="21"/>
      <c r="YN87" s="21"/>
      <c r="YO87" s="21"/>
      <c r="YP87" s="21"/>
      <c r="YQ87" s="21"/>
      <c r="YR87" s="21"/>
      <c r="YS87" s="21"/>
      <c r="YT87" s="21"/>
      <c r="YU87" s="21"/>
      <c r="YV87" s="21"/>
      <c r="YW87" s="21"/>
      <c r="YX87" s="21"/>
      <c r="YY87" s="21"/>
      <c r="YZ87" s="21"/>
      <c r="ZA87" s="21"/>
      <c r="ZB87" s="21"/>
      <c r="ZC87" s="21"/>
      <c r="ZD87" s="21"/>
      <c r="ZE87" s="21"/>
      <c r="ZF87" s="21"/>
      <c r="ZG87" s="21"/>
      <c r="ZH87" s="21"/>
      <c r="ZI87" s="21"/>
      <c r="ZJ87" s="21"/>
      <c r="ZK87" s="21"/>
      <c r="ZL87" s="21"/>
      <c r="ZM87" s="21"/>
      <c r="ZN87" s="21"/>
      <c r="ZO87" s="21"/>
      <c r="ZP87" s="21"/>
      <c r="ZQ87" s="21"/>
      <c r="ZR87" s="21"/>
      <c r="ZS87" s="21"/>
      <c r="ZT87" s="21"/>
      <c r="ZU87" s="21"/>
      <c r="ZV87" s="21"/>
      <c r="ZW87" s="21"/>
      <c r="ZX87" s="21"/>
      <c r="ZY87" s="21"/>
      <c r="ZZ87" s="21"/>
      <c r="AAA87" s="21"/>
      <c r="AAB87" s="21"/>
      <c r="AAC87" s="21"/>
      <c r="AAD87" s="21"/>
      <c r="AAE87" s="21"/>
      <c r="AAF87" s="21"/>
      <c r="AAG87" s="21"/>
      <c r="AAH87" s="21"/>
      <c r="AAI87" s="21"/>
      <c r="AAJ87" s="21"/>
      <c r="AAK87" s="21"/>
      <c r="AAL87" s="21"/>
      <c r="AAM87" s="21"/>
      <c r="AAN87" s="21"/>
      <c r="AAO87" s="21"/>
      <c r="AAP87" s="21"/>
      <c r="AAQ87" s="21"/>
      <c r="AAR87" s="21"/>
      <c r="AAS87" s="21"/>
      <c r="AAT87" s="21"/>
      <c r="AAU87" s="21"/>
      <c r="AAV87" s="21"/>
      <c r="AAW87" s="21"/>
      <c r="AAX87" s="21"/>
      <c r="AAY87" s="21"/>
      <c r="AAZ87" s="21"/>
      <c r="ABA87" s="21"/>
      <c r="ABB87" s="21"/>
      <c r="ABC87" s="21"/>
      <c r="ABD87" s="21"/>
      <c r="ABE87" s="21"/>
      <c r="ABF87" s="21"/>
      <c r="ABG87" s="21"/>
      <c r="ABH87" s="21"/>
      <c r="ABI87" s="21"/>
      <c r="ABJ87" s="21"/>
      <c r="ABK87" s="21"/>
      <c r="ABL87" s="21"/>
      <c r="ABM87" s="21"/>
      <c r="ABN87" s="21"/>
      <c r="ABO87" s="21"/>
      <c r="ABP87" s="21"/>
      <c r="ABQ87" s="21"/>
      <c r="ABR87" s="21"/>
      <c r="ABS87" s="21"/>
      <c r="ABT87" s="21"/>
      <c r="ABU87" s="21"/>
      <c r="ABV87" s="21"/>
      <c r="ABW87" s="21"/>
      <c r="ABX87" s="21"/>
      <c r="ABY87" s="21"/>
      <c r="ABZ87" s="21"/>
      <c r="ACA87" s="21"/>
      <c r="ACB87" s="21"/>
      <c r="ACC87" s="21"/>
      <c r="ACD87" s="21"/>
      <c r="ACE87" s="21"/>
      <c r="ACF87" s="21"/>
      <c r="ACG87" s="21"/>
      <c r="ACH87" s="21"/>
      <c r="ACI87" s="21"/>
      <c r="ACJ87" s="21"/>
      <c r="ACK87" s="21"/>
      <c r="ACL87" s="21"/>
      <c r="ACM87" s="21"/>
      <c r="ACN87" s="21"/>
      <c r="ACO87" s="21"/>
      <c r="ACP87" s="21"/>
      <c r="ACQ87" s="21"/>
      <c r="ACR87" s="21"/>
      <c r="ACS87" s="21"/>
      <c r="ACT87" s="21"/>
      <c r="ACU87" s="21"/>
      <c r="ACV87" s="21"/>
      <c r="ACW87" s="21"/>
      <c r="ACX87" s="21"/>
      <c r="ACY87" s="21"/>
      <c r="ACZ87" s="21"/>
      <c r="ADA87" s="21"/>
      <c r="ADB87" s="21"/>
      <c r="ADC87" s="21"/>
      <c r="ADD87" s="21"/>
      <c r="ADE87" s="21"/>
      <c r="ADF87" s="21"/>
      <c r="ADG87" s="21"/>
      <c r="ADH87" s="21"/>
      <c r="ADI87" s="21"/>
      <c r="ADJ87" s="21"/>
      <c r="ADK87" s="21"/>
      <c r="ADL87" s="21"/>
      <c r="ADM87" s="21"/>
      <c r="ADN87" s="21"/>
      <c r="ADO87" s="21"/>
      <c r="ADP87" s="21"/>
      <c r="ADQ87" s="21"/>
      <c r="ADR87" s="21"/>
      <c r="ADS87" s="21"/>
      <c r="ADT87" s="21"/>
      <c r="ADU87" s="21"/>
      <c r="ADV87" s="21"/>
      <c r="ADW87" s="21"/>
      <c r="ADX87" s="21"/>
      <c r="ADY87" s="21"/>
      <c r="ADZ87" s="21"/>
      <c r="AEA87" s="21"/>
      <c r="AEB87" s="21"/>
      <c r="AEC87" s="21"/>
      <c r="AED87" s="21"/>
      <c r="AEE87" s="21"/>
      <c r="AEF87" s="21"/>
      <c r="AEG87" s="21"/>
      <c r="AEH87" s="21"/>
      <c r="AEI87" s="21"/>
      <c r="AEJ87" s="21"/>
      <c r="AEK87" s="21"/>
      <c r="AEL87" s="21"/>
      <c r="AEM87" s="21"/>
      <c r="AEN87" s="21"/>
      <c r="AEO87" s="21"/>
      <c r="AEP87" s="21"/>
      <c r="AEQ87" s="21"/>
      <c r="AER87" s="21"/>
      <c r="AES87" s="21"/>
      <c r="AET87" s="21"/>
      <c r="AEU87" s="21"/>
      <c r="AEV87" s="21"/>
      <c r="AEW87" s="21"/>
      <c r="AEX87" s="21"/>
      <c r="AEY87" s="21"/>
      <c r="AEZ87" s="21"/>
      <c r="AFA87" s="21"/>
      <c r="AFB87" s="21"/>
      <c r="AFC87" s="21"/>
      <c r="AFD87" s="21"/>
      <c r="AFE87" s="21"/>
      <c r="AFF87" s="21"/>
      <c r="AFG87" s="21"/>
      <c r="AFH87" s="21"/>
      <c r="AFI87" s="21"/>
      <c r="AFJ87" s="21"/>
      <c r="AFK87" s="21"/>
      <c r="AFL87" s="21"/>
      <c r="AFM87" s="21"/>
      <c r="AFN87" s="21"/>
      <c r="AFO87" s="21"/>
      <c r="AFP87" s="21"/>
      <c r="AFQ87" s="21"/>
      <c r="AFR87" s="21"/>
      <c r="AFS87" s="21"/>
      <c r="AFT87" s="21"/>
      <c r="AFU87" s="21"/>
      <c r="AFV87" s="21"/>
      <c r="AFW87" s="21"/>
      <c r="AFX87" s="21"/>
      <c r="AFY87" s="21"/>
      <c r="AFZ87" s="21"/>
      <c r="AGA87" s="21"/>
      <c r="AGB87" s="21"/>
      <c r="AGC87" s="21"/>
      <c r="AGD87" s="21"/>
      <c r="AGE87" s="21"/>
      <c r="AGF87" s="21"/>
      <c r="AGG87" s="21"/>
      <c r="AGH87" s="21"/>
      <c r="AGI87" s="21"/>
      <c r="AGJ87" s="21"/>
      <c r="AGK87" s="21"/>
      <c r="AGL87" s="21"/>
      <c r="AGM87" s="21"/>
      <c r="AGN87" s="21"/>
      <c r="AGO87" s="21"/>
      <c r="AGP87" s="21"/>
      <c r="AGQ87" s="21"/>
      <c r="AGR87" s="21"/>
      <c r="AGS87" s="21"/>
      <c r="AGT87" s="21"/>
      <c r="AGU87" s="21"/>
      <c r="AGV87" s="21"/>
      <c r="AGW87" s="21"/>
      <c r="AGX87" s="21"/>
      <c r="AGY87" s="21"/>
      <c r="AGZ87" s="21"/>
      <c r="AHA87" s="21"/>
      <c r="AHB87" s="21"/>
      <c r="AHC87" s="21"/>
      <c r="AHD87" s="21"/>
      <c r="AHE87" s="21"/>
      <c r="AHF87" s="21"/>
      <c r="AHG87" s="21"/>
      <c r="AHH87" s="21"/>
      <c r="AHI87" s="21"/>
      <c r="AHJ87" s="21"/>
      <c r="AHK87" s="21"/>
      <c r="AHL87" s="21"/>
      <c r="AHM87" s="21"/>
      <c r="AHN87" s="21"/>
      <c r="AHO87" s="21"/>
      <c r="AHP87" s="21"/>
      <c r="AHQ87" s="21"/>
      <c r="AHR87" s="21"/>
      <c r="AHS87" s="21"/>
      <c r="AHT87" s="21"/>
      <c r="AHU87" s="21"/>
      <c r="AHV87" s="21"/>
      <c r="AHW87" s="21"/>
      <c r="AHX87" s="21"/>
      <c r="AHY87" s="21"/>
      <c r="AHZ87" s="21"/>
      <c r="AIA87" s="21"/>
      <c r="AIB87" s="21"/>
      <c r="AIC87" s="21"/>
      <c r="AID87" s="21"/>
      <c r="AIE87" s="21"/>
      <c r="AIF87" s="21"/>
      <c r="AIG87" s="21"/>
      <c r="AIH87" s="21"/>
      <c r="AII87" s="21"/>
      <c r="AIJ87" s="21"/>
      <c r="AIK87" s="21"/>
      <c r="AIL87" s="21"/>
      <c r="AIM87" s="21"/>
      <c r="AIN87" s="21"/>
      <c r="AIO87" s="21"/>
      <c r="AIP87" s="21"/>
      <c r="AIQ87" s="21"/>
      <c r="AIR87" s="21"/>
      <c r="AIS87" s="21"/>
      <c r="AIT87" s="21"/>
      <c r="AIU87" s="21"/>
      <c r="AIV87" s="21"/>
      <c r="AIW87" s="21"/>
      <c r="AIX87" s="21"/>
      <c r="AIY87" s="21"/>
      <c r="AIZ87" s="21"/>
      <c r="AJA87" s="21"/>
      <c r="AJB87" s="21"/>
      <c r="AJC87" s="21"/>
      <c r="AJD87" s="21"/>
      <c r="AJE87" s="21"/>
      <c r="AJF87" s="21"/>
      <c r="AJG87" s="21"/>
      <c r="AJH87" s="21"/>
      <c r="AJI87" s="21"/>
      <c r="AJJ87" s="21"/>
      <c r="AJK87" s="21"/>
      <c r="AJL87" s="21"/>
      <c r="AJM87" s="21"/>
      <c r="AJN87" s="21"/>
      <c r="AJO87" s="21"/>
      <c r="AJP87" s="21"/>
      <c r="AJQ87" s="21"/>
      <c r="AJR87" s="21"/>
      <c r="AJS87" s="21"/>
      <c r="AJT87" s="21"/>
      <c r="AJU87" s="21"/>
      <c r="AJV87" s="21"/>
      <c r="AJW87" s="21"/>
      <c r="AJX87" s="21"/>
      <c r="AJY87" s="21"/>
      <c r="AJZ87" s="21"/>
      <c r="AKA87" s="21"/>
      <c r="AKB87" s="21"/>
      <c r="AKC87" s="21"/>
      <c r="AKD87" s="21"/>
      <c r="AKE87" s="21"/>
      <c r="AKF87" s="21"/>
      <c r="AKG87" s="21"/>
      <c r="AKH87" s="21"/>
      <c r="AKI87" s="21"/>
      <c r="AKJ87" s="21"/>
      <c r="AKK87" s="21"/>
      <c r="AKL87" s="21"/>
      <c r="AKM87" s="21"/>
      <c r="AKN87" s="21"/>
      <c r="AKO87" s="21"/>
      <c r="AKP87" s="21"/>
      <c r="AKQ87" s="21"/>
      <c r="AKR87" s="21"/>
      <c r="AKS87" s="21"/>
      <c r="AKT87" s="21"/>
      <c r="AKU87" s="21"/>
      <c r="AKV87" s="21"/>
      <c r="AKW87" s="21"/>
      <c r="AKX87" s="21"/>
      <c r="AKY87" s="21"/>
      <c r="AKZ87" s="21"/>
      <c r="ALA87" s="21"/>
      <c r="ALB87" s="21"/>
      <c r="ALC87" s="21"/>
      <c r="ALD87" s="21"/>
      <c r="ALE87" s="21"/>
      <c r="ALF87" s="21"/>
      <c r="ALG87" s="21"/>
      <c r="ALH87" s="21"/>
      <c r="ALI87" s="21"/>
      <c r="ALJ87" s="21"/>
      <c r="ALK87" s="21"/>
      <c r="ALL87" s="21"/>
      <c r="ALM87" s="21"/>
      <c r="ALN87" s="21"/>
      <c r="ALO87" s="21"/>
      <c r="ALP87" s="21"/>
      <c r="ALQ87" s="21"/>
      <c r="ALR87" s="21"/>
      <c r="ALS87" s="21"/>
      <c r="ALT87" s="21"/>
      <c r="ALU87" s="21"/>
      <c r="ALV87" s="21"/>
      <c r="ALW87" s="21"/>
      <c r="ALX87" s="21"/>
      <c r="ALY87" s="21"/>
      <c r="ALZ87" s="21"/>
      <c r="AMA87" s="21"/>
      <c r="AMB87" s="21"/>
      <c r="AMC87" s="21"/>
      <c r="AMD87" s="21"/>
      <c r="AME87" s="21"/>
      <c r="AMF87" s="21"/>
      <c r="AMG87" s="21"/>
      <c r="AMH87" s="21"/>
      <c r="AMI87" s="21"/>
      <c r="AMJ87" s="21"/>
      <c r="AMK87" s="21"/>
      <c r="AML87" s="21"/>
      <c r="AMM87" s="21"/>
      <c r="AMN87" s="21"/>
      <c r="AMO87" s="21"/>
      <c r="AMP87" s="21"/>
      <c r="AMQ87" s="21"/>
      <c r="AMR87" s="21"/>
      <c r="AMS87" s="21"/>
      <c r="AMT87" s="21"/>
      <c r="AMU87" s="21"/>
      <c r="AMV87" s="21"/>
      <c r="AMW87" s="21"/>
      <c r="AMX87" s="21"/>
      <c r="AMY87" s="21"/>
      <c r="AMZ87" s="21"/>
      <c r="ANA87" s="21"/>
      <c r="ANB87" s="21"/>
      <c r="ANC87" s="21"/>
      <c r="AND87" s="21"/>
      <c r="ANE87" s="21"/>
      <c r="ANF87" s="21"/>
      <c r="ANG87" s="21"/>
      <c r="ANH87" s="21"/>
      <c r="ANI87" s="21"/>
      <c r="ANJ87" s="21"/>
      <c r="ANK87" s="21"/>
      <c r="ANL87" s="21"/>
      <c r="ANM87" s="21"/>
      <c r="ANN87" s="21"/>
      <c r="ANO87" s="21"/>
      <c r="ANP87" s="21"/>
      <c r="ANQ87" s="21"/>
      <c r="ANR87" s="21"/>
      <c r="ANS87" s="21"/>
      <c r="ANT87" s="21"/>
      <c r="ANU87" s="21"/>
      <c r="ANV87" s="21"/>
      <c r="ANW87" s="21"/>
      <c r="ANX87" s="21"/>
      <c r="ANY87" s="21"/>
      <c r="ANZ87" s="21"/>
      <c r="AOA87" s="21"/>
      <c r="AOB87" s="21"/>
      <c r="AOC87" s="21"/>
      <c r="AOD87" s="21"/>
      <c r="AOE87" s="21"/>
      <c r="AOF87" s="21"/>
      <c r="AOG87" s="21"/>
      <c r="AOH87" s="21"/>
      <c r="AOI87" s="21"/>
      <c r="AOJ87" s="21"/>
      <c r="AOK87" s="21"/>
      <c r="AOL87" s="21"/>
      <c r="AOM87" s="21"/>
      <c r="AON87" s="21"/>
      <c r="AOO87" s="21"/>
      <c r="AOP87" s="21"/>
      <c r="AOQ87" s="21"/>
      <c r="AOR87" s="21"/>
      <c r="AOS87" s="21"/>
      <c r="AOT87" s="21"/>
      <c r="AOU87" s="21"/>
      <c r="AOV87" s="21"/>
      <c r="AOW87" s="21"/>
      <c r="AOX87" s="21"/>
      <c r="AOY87" s="21"/>
      <c r="AOZ87" s="21"/>
      <c r="APA87" s="21"/>
      <c r="APB87" s="21"/>
      <c r="APC87" s="21"/>
      <c r="APD87" s="21"/>
      <c r="APE87" s="21"/>
      <c r="APF87" s="21"/>
      <c r="APG87" s="21"/>
      <c r="APH87" s="21"/>
      <c r="API87" s="21"/>
      <c r="APJ87" s="21"/>
      <c r="APK87" s="21"/>
      <c r="APL87" s="21"/>
      <c r="APM87" s="21"/>
      <c r="APN87" s="21"/>
      <c r="APO87" s="21"/>
      <c r="APP87" s="21"/>
      <c r="APQ87" s="21"/>
      <c r="APR87" s="21"/>
      <c r="APS87" s="21"/>
      <c r="APT87" s="21"/>
      <c r="APU87" s="21"/>
      <c r="APV87" s="21"/>
      <c r="APW87" s="21"/>
      <c r="APX87" s="21"/>
      <c r="APY87" s="21"/>
      <c r="APZ87" s="21"/>
      <c r="AQA87" s="21"/>
      <c r="AQB87" s="21"/>
      <c r="AQC87" s="21"/>
      <c r="AQD87" s="21"/>
      <c r="AQE87" s="21"/>
      <c r="AQF87" s="21"/>
      <c r="AQG87" s="21"/>
      <c r="AQH87" s="21"/>
      <c r="AQI87" s="21"/>
      <c r="AQJ87" s="21"/>
      <c r="AQK87" s="21"/>
      <c r="AQL87" s="21"/>
      <c r="AQM87" s="21"/>
      <c r="AQN87" s="21"/>
      <c r="AQO87" s="21"/>
      <c r="AQP87" s="21"/>
      <c r="AQQ87" s="21"/>
      <c r="AQR87" s="21"/>
      <c r="AQS87" s="21"/>
      <c r="AQT87" s="21"/>
      <c r="AQU87" s="21"/>
      <c r="AQV87" s="21"/>
      <c r="AQW87" s="21"/>
      <c r="AQX87" s="21"/>
      <c r="AQY87" s="21"/>
      <c r="AQZ87" s="21"/>
      <c r="ARA87" s="21"/>
      <c r="ARB87" s="21"/>
      <c r="ARC87" s="21"/>
      <c r="ARD87" s="21"/>
      <c r="ARE87" s="21"/>
      <c r="ARF87" s="21"/>
      <c r="ARG87" s="21"/>
      <c r="ARH87" s="21"/>
      <c r="ARI87" s="21"/>
      <c r="ARJ87" s="21"/>
      <c r="ARK87" s="21"/>
      <c r="ARL87" s="21"/>
      <c r="ARM87" s="21"/>
      <c r="ARN87" s="21"/>
      <c r="ARO87" s="21"/>
      <c r="ARP87" s="21"/>
      <c r="ARQ87" s="21"/>
      <c r="ARR87" s="21"/>
      <c r="ARS87" s="21"/>
      <c r="ART87" s="21"/>
      <c r="ARU87" s="21"/>
      <c r="ARV87" s="21"/>
      <c r="ARW87" s="21"/>
      <c r="ARX87" s="21"/>
      <c r="ARY87" s="21"/>
      <c r="ARZ87" s="21"/>
      <c r="ASA87" s="21"/>
      <c r="ASB87" s="21"/>
      <c r="ASC87" s="21"/>
      <c r="ASD87" s="21"/>
      <c r="ASE87" s="21"/>
      <c r="ASF87" s="21"/>
      <c r="ASG87" s="21"/>
      <c r="ASH87" s="21"/>
      <c r="ASI87" s="21"/>
      <c r="ASJ87" s="21"/>
      <c r="ASK87" s="21"/>
      <c r="ASL87" s="21"/>
      <c r="ASM87" s="21"/>
      <c r="ASN87" s="21"/>
      <c r="ASO87" s="21"/>
      <c r="ASP87" s="21"/>
      <c r="ASQ87" s="21"/>
      <c r="ASR87" s="21"/>
      <c r="ASS87" s="21"/>
      <c r="AST87" s="21"/>
      <c r="ASU87" s="21"/>
      <c r="ASV87" s="21"/>
      <c r="ASW87" s="21"/>
      <c r="ASX87" s="21"/>
      <c r="ASY87" s="21"/>
      <c r="ASZ87" s="21"/>
      <c r="ATA87" s="21"/>
      <c r="ATB87" s="21"/>
      <c r="ATC87" s="21"/>
      <c r="ATD87" s="21"/>
      <c r="ATE87" s="21"/>
      <c r="ATF87" s="21"/>
      <c r="ATG87" s="21"/>
      <c r="ATH87" s="21"/>
      <c r="ATI87" s="21"/>
      <c r="ATJ87" s="21"/>
      <c r="ATK87" s="21"/>
      <c r="ATL87" s="21"/>
      <c r="ATM87" s="21"/>
      <c r="ATN87" s="21"/>
      <c r="ATO87" s="21"/>
      <c r="ATP87" s="21"/>
      <c r="ATQ87" s="21"/>
      <c r="ATR87" s="21"/>
      <c r="ATS87" s="21"/>
      <c r="ATT87" s="21"/>
      <c r="ATU87" s="21"/>
      <c r="ATV87" s="21"/>
      <c r="ATW87" s="21"/>
      <c r="ATX87" s="21"/>
      <c r="ATY87" s="21"/>
      <c r="ATZ87" s="21"/>
      <c r="AUA87" s="21"/>
      <c r="AUB87" s="21"/>
      <c r="AUC87" s="21"/>
      <c r="AUD87" s="21"/>
      <c r="AUE87" s="21"/>
      <c r="AUF87" s="21"/>
      <c r="AUG87" s="21"/>
      <c r="AUH87" s="21"/>
      <c r="AUI87" s="21"/>
      <c r="AUJ87" s="21"/>
      <c r="AUK87" s="21"/>
      <c r="AUL87" s="21"/>
      <c r="AUM87" s="21"/>
      <c r="AUN87" s="21"/>
      <c r="AUO87" s="21"/>
      <c r="AUP87" s="21"/>
      <c r="AUQ87" s="21"/>
      <c r="AUR87" s="21"/>
      <c r="AUS87" s="21"/>
      <c r="AUT87" s="21"/>
      <c r="AUU87" s="21"/>
      <c r="AUV87" s="21"/>
      <c r="AUW87" s="21"/>
      <c r="AUX87" s="21"/>
      <c r="AUY87" s="21"/>
      <c r="AUZ87" s="21"/>
      <c r="AVA87" s="21"/>
      <c r="AVB87" s="21"/>
      <c r="AVC87" s="21"/>
      <c r="AVD87" s="21"/>
      <c r="AVE87" s="21"/>
      <c r="AVF87" s="21"/>
      <c r="AVG87" s="21"/>
      <c r="AVH87" s="21"/>
      <c r="AVI87" s="21"/>
      <c r="AVJ87" s="21"/>
      <c r="AVK87" s="21"/>
      <c r="AVL87" s="21"/>
      <c r="AVM87" s="21"/>
      <c r="AVN87" s="21"/>
      <c r="AVO87" s="21"/>
      <c r="AVP87" s="21"/>
      <c r="AVQ87" s="21"/>
      <c r="AVR87" s="21"/>
      <c r="AVS87" s="21"/>
      <c r="AVT87" s="21"/>
      <c r="AVU87" s="21"/>
      <c r="AVV87" s="21"/>
      <c r="AVW87" s="21"/>
      <c r="AVX87" s="21"/>
      <c r="AVY87" s="21"/>
      <c r="AVZ87" s="21"/>
      <c r="AWA87" s="21"/>
      <c r="AWB87" s="21"/>
      <c r="AWC87" s="21"/>
      <c r="AWD87" s="21"/>
      <c r="AWE87" s="21"/>
      <c r="AWF87" s="21"/>
      <c r="AWG87" s="21"/>
      <c r="AWH87" s="21"/>
      <c r="AWI87" s="21"/>
      <c r="AWJ87" s="21"/>
      <c r="AWK87" s="21"/>
      <c r="AWL87" s="21"/>
      <c r="AWM87" s="21"/>
      <c r="AWN87" s="21"/>
      <c r="AWO87" s="21"/>
      <c r="AWP87" s="21"/>
      <c r="AWQ87" s="21"/>
      <c r="AWR87" s="21"/>
      <c r="AWS87" s="21"/>
      <c r="AWT87" s="21"/>
      <c r="AWU87" s="21"/>
      <c r="AWV87" s="21"/>
      <c r="AWW87" s="21"/>
      <c r="AWX87" s="21"/>
      <c r="AWY87" s="21"/>
      <c r="AWZ87" s="21"/>
      <c r="AXA87" s="21"/>
      <c r="AXB87" s="21"/>
      <c r="AXC87" s="21"/>
      <c r="AXD87" s="21"/>
      <c r="AXE87" s="21"/>
      <c r="AXF87" s="21"/>
      <c r="AXG87" s="21"/>
      <c r="AXH87" s="21"/>
      <c r="AXI87" s="21"/>
      <c r="AXJ87" s="21"/>
      <c r="AXK87" s="21"/>
      <c r="AXL87" s="21"/>
      <c r="AXM87" s="21"/>
      <c r="AXN87" s="21"/>
      <c r="AXO87" s="21"/>
      <c r="AXP87" s="21"/>
      <c r="AXQ87" s="21"/>
      <c r="AXR87" s="21"/>
      <c r="AXS87" s="21"/>
      <c r="AXT87" s="21"/>
      <c r="AXU87" s="21"/>
      <c r="AXV87" s="21"/>
      <c r="AXW87" s="21"/>
      <c r="AXX87" s="21"/>
      <c r="AXY87" s="21"/>
      <c r="AXZ87" s="21"/>
      <c r="AYA87" s="21"/>
      <c r="AYB87" s="21"/>
      <c r="AYC87" s="21"/>
      <c r="AYD87" s="21"/>
      <c r="AYE87" s="21"/>
      <c r="AYF87" s="21"/>
      <c r="AYG87" s="21"/>
      <c r="AYH87" s="21"/>
      <c r="AYI87" s="21"/>
      <c r="AYJ87" s="21"/>
      <c r="AYK87" s="21"/>
      <c r="AYL87" s="21"/>
      <c r="AYM87" s="21"/>
      <c r="AYN87" s="21"/>
      <c r="AYO87" s="21"/>
      <c r="AYP87" s="21"/>
      <c r="AYQ87" s="21"/>
      <c r="AYR87" s="21"/>
      <c r="AYS87" s="21"/>
      <c r="AYT87" s="21"/>
      <c r="AYU87" s="21"/>
      <c r="AYV87" s="21"/>
      <c r="AYW87" s="21"/>
      <c r="AYX87" s="21"/>
      <c r="AYY87" s="21"/>
      <c r="AYZ87" s="21"/>
      <c r="AZA87" s="21"/>
      <c r="AZB87" s="21"/>
      <c r="AZC87" s="21"/>
      <c r="AZD87" s="21"/>
      <c r="AZE87" s="21"/>
      <c r="AZF87" s="21"/>
      <c r="AZG87" s="21"/>
      <c r="AZH87" s="21"/>
      <c r="AZI87" s="21"/>
      <c r="AZJ87" s="21"/>
      <c r="AZK87" s="21"/>
      <c r="AZL87" s="21"/>
      <c r="AZM87" s="21"/>
      <c r="AZN87" s="21"/>
      <c r="AZO87" s="21"/>
      <c r="AZP87" s="21"/>
      <c r="AZQ87" s="21"/>
      <c r="AZR87" s="21"/>
      <c r="AZS87" s="21"/>
      <c r="AZT87" s="21"/>
      <c r="AZU87" s="21"/>
      <c r="AZV87" s="21"/>
      <c r="AZW87" s="21"/>
      <c r="AZX87" s="21"/>
      <c r="AZY87" s="21"/>
      <c r="AZZ87" s="21"/>
      <c r="BAA87" s="21"/>
      <c r="BAB87" s="21"/>
      <c r="BAC87" s="21"/>
      <c r="BAD87" s="21"/>
      <c r="BAE87" s="21"/>
      <c r="BAF87" s="21"/>
      <c r="BAG87" s="21"/>
      <c r="BAH87" s="21"/>
      <c r="BAI87" s="21"/>
      <c r="BAJ87" s="21"/>
      <c r="BAK87" s="21"/>
      <c r="BAL87" s="21"/>
      <c r="BAM87" s="21"/>
      <c r="BAN87" s="21"/>
      <c r="BAO87" s="21"/>
      <c r="BAP87" s="21"/>
      <c r="BAQ87" s="21"/>
      <c r="BAR87" s="21"/>
      <c r="BAS87" s="21"/>
      <c r="BAT87" s="21"/>
      <c r="BAU87" s="21"/>
      <c r="BAV87" s="21"/>
      <c r="BAW87" s="21"/>
      <c r="BAX87" s="21"/>
      <c r="BAY87" s="21"/>
      <c r="BAZ87" s="21"/>
      <c r="BBA87" s="21"/>
      <c r="BBB87" s="21"/>
      <c r="BBC87" s="21"/>
      <c r="BBD87" s="21"/>
      <c r="BBE87" s="21"/>
      <c r="BBF87" s="21"/>
      <c r="BBG87" s="21"/>
      <c r="BBH87" s="21"/>
      <c r="BBI87" s="21"/>
      <c r="BBJ87" s="21"/>
      <c r="BBK87" s="21"/>
      <c r="BBL87" s="21"/>
      <c r="BBM87" s="21"/>
      <c r="BBN87" s="21"/>
      <c r="BBO87" s="21"/>
      <c r="BBP87" s="21"/>
      <c r="BBQ87" s="21"/>
      <c r="BBR87" s="21"/>
      <c r="BBS87" s="21"/>
      <c r="BBT87" s="21"/>
      <c r="BBU87" s="21"/>
      <c r="BBV87" s="21"/>
      <c r="BBW87" s="21"/>
      <c r="BBX87" s="21"/>
      <c r="BBY87" s="21"/>
      <c r="BBZ87" s="21"/>
      <c r="BCA87" s="21"/>
      <c r="BCB87" s="21"/>
      <c r="BCC87" s="21"/>
      <c r="BCD87" s="21"/>
      <c r="BCE87" s="21"/>
      <c r="BCF87" s="21"/>
      <c r="BCG87" s="21"/>
      <c r="BCH87" s="21"/>
      <c r="BCI87" s="21"/>
      <c r="BCJ87" s="21"/>
      <c r="BCK87" s="21"/>
      <c r="BCL87" s="21"/>
      <c r="BCM87" s="21"/>
      <c r="BCN87" s="21"/>
      <c r="BCO87" s="21"/>
      <c r="BCP87" s="21"/>
      <c r="BCQ87" s="21"/>
      <c r="BCR87" s="21"/>
      <c r="BCS87" s="21"/>
      <c r="BCT87" s="21"/>
      <c r="BCU87" s="21"/>
      <c r="BCV87" s="21"/>
      <c r="BCW87" s="21"/>
      <c r="BCX87" s="21"/>
      <c r="BCY87" s="21"/>
      <c r="BCZ87" s="21"/>
      <c r="BDA87" s="21"/>
      <c r="BDB87" s="21"/>
      <c r="BDC87" s="21"/>
      <c r="BDD87" s="21"/>
      <c r="BDE87" s="21"/>
      <c r="BDF87" s="21"/>
      <c r="BDG87" s="21"/>
      <c r="BDH87" s="21"/>
      <c r="BDI87" s="21"/>
      <c r="BDJ87" s="21"/>
      <c r="BDK87" s="21"/>
      <c r="BDL87" s="21"/>
      <c r="BDM87" s="21"/>
      <c r="BDN87" s="21"/>
      <c r="BDO87" s="21"/>
      <c r="BDP87" s="21"/>
      <c r="BDQ87" s="21"/>
      <c r="BDR87" s="21"/>
      <c r="BDS87" s="21"/>
      <c r="BDT87" s="21"/>
      <c r="BDU87" s="21"/>
      <c r="BDV87" s="21"/>
      <c r="BDW87" s="21"/>
      <c r="BDX87" s="21"/>
      <c r="BDY87" s="21"/>
      <c r="BDZ87" s="21"/>
      <c r="BEA87" s="21"/>
      <c r="BEB87" s="21"/>
      <c r="BEC87" s="21"/>
      <c r="BED87" s="21"/>
      <c r="BEE87" s="21"/>
      <c r="BEF87" s="21"/>
      <c r="BEG87" s="21"/>
      <c r="BEH87" s="21"/>
      <c r="BEI87" s="21"/>
      <c r="BEJ87" s="21"/>
      <c r="BEK87" s="21"/>
      <c r="BEL87" s="21"/>
      <c r="BEM87" s="21"/>
      <c r="BEN87" s="21"/>
      <c r="BEO87" s="21"/>
      <c r="BEP87" s="21"/>
      <c r="BEQ87" s="21"/>
      <c r="BER87" s="21"/>
      <c r="BES87" s="21"/>
      <c r="BET87" s="21"/>
      <c r="BEU87" s="21"/>
      <c r="BEV87" s="21"/>
      <c r="BEW87" s="21"/>
      <c r="BEX87" s="21"/>
      <c r="BEY87" s="21"/>
      <c r="BEZ87" s="21"/>
      <c r="BFA87" s="21"/>
      <c r="BFB87" s="21"/>
      <c r="BFC87" s="21"/>
      <c r="BFD87" s="21"/>
      <c r="BFE87" s="21"/>
      <c r="BFF87" s="21"/>
      <c r="BFG87" s="21"/>
      <c r="BFH87" s="21"/>
      <c r="BFI87" s="21"/>
      <c r="BFJ87" s="21"/>
      <c r="BFK87" s="21"/>
      <c r="BFL87" s="21"/>
      <c r="BFM87" s="21"/>
      <c r="BFN87" s="21"/>
      <c r="BFO87" s="21"/>
      <c r="BFP87" s="21"/>
      <c r="BFQ87" s="21"/>
      <c r="BFR87" s="21"/>
      <c r="BFS87" s="21"/>
      <c r="BFT87" s="21"/>
      <c r="BFU87" s="21"/>
      <c r="BFV87" s="21"/>
      <c r="BFW87" s="21"/>
      <c r="BFX87" s="21"/>
      <c r="BFY87" s="21"/>
      <c r="BFZ87" s="21"/>
      <c r="BGA87" s="21"/>
      <c r="BGB87" s="21"/>
      <c r="BGC87" s="21"/>
      <c r="BGD87" s="21"/>
      <c r="BGE87" s="21"/>
      <c r="BGF87" s="21"/>
      <c r="BGG87" s="21"/>
      <c r="BGH87" s="21"/>
      <c r="BGI87" s="21"/>
      <c r="BGJ87" s="21"/>
      <c r="BGK87" s="21"/>
      <c r="BGL87" s="21"/>
      <c r="BGM87" s="21"/>
      <c r="BGN87" s="21"/>
      <c r="BGO87" s="21"/>
      <c r="BGP87" s="21"/>
      <c r="BGQ87" s="21"/>
      <c r="BGR87" s="21"/>
      <c r="BGS87" s="21"/>
      <c r="BGT87" s="21"/>
      <c r="BGU87" s="21"/>
      <c r="BGV87" s="21"/>
      <c r="BGW87" s="21"/>
      <c r="BGX87" s="21"/>
      <c r="BGY87" s="21"/>
      <c r="BGZ87" s="21"/>
      <c r="BHA87" s="21"/>
      <c r="BHB87" s="21"/>
      <c r="BHC87" s="21"/>
      <c r="BHD87" s="21"/>
      <c r="BHE87" s="21"/>
      <c r="BHF87" s="21"/>
      <c r="BHG87" s="21"/>
      <c r="BHH87" s="21"/>
      <c r="BHI87" s="21"/>
      <c r="BHJ87" s="21"/>
      <c r="BHK87" s="21"/>
      <c r="BHL87" s="21"/>
      <c r="BHM87" s="21"/>
      <c r="BHN87" s="21"/>
      <c r="BHO87" s="21"/>
      <c r="BHP87" s="21"/>
      <c r="BHQ87" s="21"/>
      <c r="BHR87" s="21"/>
      <c r="BHS87" s="21"/>
      <c r="BHT87" s="21"/>
      <c r="BHU87" s="21"/>
      <c r="BHV87" s="21"/>
      <c r="BHW87" s="21"/>
      <c r="BHX87" s="21"/>
      <c r="BHY87" s="21"/>
      <c r="BHZ87" s="21"/>
      <c r="BIA87" s="21"/>
      <c r="BIB87" s="21"/>
      <c r="BIC87" s="21"/>
      <c r="BID87" s="21"/>
      <c r="BIE87" s="21"/>
      <c r="BIF87" s="21"/>
      <c r="BIG87" s="21"/>
      <c r="BIH87" s="21"/>
      <c r="BII87" s="21"/>
      <c r="BIJ87" s="21"/>
      <c r="BIK87" s="21"/>
      <c r="BIL87" s="21"/>
      <c r="BIM87" s="21"/>
      <c r="BIN87" s="21"/>
      <c r="BIO87" s="21"/>
      <c r="BIP87" s="21"/>
      <c r="BIQ87" s="21"/>
      <c r="BIR87" s="21"/>
      <c r="BIS87" s="21"/>
      <c r="BIT87" s="21"/>
      <c r="BIU87" s="21"/>
      <c r="BIV87" s="21"/>
      <c r="BIW87" s="21"/>
      <c r="BIX87" s="21"/>
      <c r="BIY87" s="21"/>
      <c r="BIZ87" s="21"/>
      <c r="BJA87" s="21"/>
      <c r="BJB87" s="21"/>
      <c r="BJC87" s="21"/>
      <c r="BJD87" s="21"/>
      <c r="BJE87" s="21"/>
      <c r="BJF87" s="21"/>
      <c r="BJG87" s="21"/>
      <c r="BJH87" s="21"/>
      <c r="BJI87" s="21"/>
      <c r="BJJ87" s="21"/>
      <c r="BJK87" s="21"/>
      <c r="BJL87" s="21"/>
      <c r="BJM87" s="21"/>
      <c r="BJN87" s="21"/>
      <c r="BJO87" s="21"/>
      <c r="BJP87" s="21"/>
      <c r="BJQ87" s="21"/>
      <c r="BJR87" s="21"/>
      <c r="BJS87" s="21"/>
      <c r="BJT87" s="21"/>
      <c r="BJU87" s="21"/>
      <c r="BJV87" s="21"/>
      <c r="BJW87" s="21"/>
      <c r="BJX87" s="21"/>
      <c r="BJY87" s="21"/>
      <c r="BJZ87" s="21"/>
      <c r="BKA87" s="21"/>
      <c r="BKB87" s="21"/>
      <c r="BKC87" s="21"/>
      <c r="BKD87" s="21"/>
      <c r="BKE87" s="21"/>
      <c r="BKF87" s="21"/>
      <c r="BKG87" s="21"/>
      <c r="BKH87" s="21"/>
      <c r="BKI87" s="21"/>
      <c r="BKJ87" s="21"/>
      <c r="BKK87" s="21"/>
      <c r="BKL87" s="21"/>
      <c r="BKM87" s="21"/>
      <c r="BKN87" s="21"/>
      <c r="BKO87" s="21"/>
      <c r="BKP87" s="21"/>
      <c r="BKQ87" s="21"/>
      <c r="BKR87" s="21"/>
      <c r="BKS87" s="21"/>
      <c r="BKT87" s="21"/>
      <c r="BKU87" s="21"/>
      <c r="BKV87" s="21"/>
      <c r="BKW87" s="21"/>
      <c r="BKX87" s="21"/>
      <c r="BKY87" s="21"/>
      <c r="BKZ87" s="21"/>
      <c r="BLA87" s="21"/>
      <c r="BLB87" s="21"/>
      <c r="BLC87" s="21"/>
      <c r="BLD87" s="21"/>
      <c r="BLE87" s="21"/>
      <c r="BLF87" s="21"/>
      <c r="BLG87" s="21"/>
      <c r="BLH87" s="21"/>
      <c r="BLI87" s="21"/>
      <c r="BLJ87" s="21"/>
      <c r="BLK87" s="21"/>
      <c r="BLL87" s="21"/>
      <c r="BLM87" s="21"/>
      <c r="BLN87" s="21"/>
      <c r="BLO87" s="21"/>
      <c r="BLP87" s="21"/>
      <c r="BLQ87" s="21"/>
      <c r="BLR87" s="21"/>
      <c r="BLS87" s="21"/>
      <c r="BLT87" s="21"/>
      <c r="BLU87" s="21"/>
      <c r="BLV87" s="21"/>
      <c r="BLW87" s="21"/>
      <c r="BLX87" s="21"/>
      <c r="BLY87" s="21"/>
      <c r="BLZ87" s="21"/>
      <c r="BMA87" s="21"/>
      <c r="BMB87" s="21"/>
      <c r="BMC87" s="21"/>
      <c r="BMD87" s="21"/>
      <c r="BME87" s="21"/>
      <c r="BMF87" s="21"/>
      <c r="BMG87" s="21"/>
      <c r="BMH87" s="21"/>
      <c r="BMI87" s="21"/>
      <c r="BMJ87" s="21"/>
      <c r="BMK87" s="21"/>
      <c r="BML87" s="21"/>
      <c r="BMM87" s="21"/>
      <c r="BMN87" s="21"/>
      <c r="BMO87" s="21"/>
      <c r="BMP87" s="21"/>
      <c r="BMQ87" s="21"/>
      <c r="BMR87" s="21"/>
      <c r="BMS87" s="21"/>
      <c r="BMT87" s="21"/>
      <c r="BMU87" s="21"/>
      <c r="BMV87" s="21"/>
      <c r="BMW87" s="21"/>
      <c r="BMX87" s="21"/>
      <c r="BMY87" s="21"/>
      <c r="BMZ87" s="21"/>
      <c r="BNA87" s="21"/>
      <c r="BNB87" s="21"/>
      <c r="BNC87" s="21"/>
      <c r="BND87" s="21"/>
      <c r="BNE87" s="21"/>
      <c r="BNF87" s="21"/>
      <c r="BNG87" s="21"/>
      <c r="BNH87" s="21"/>
      <c r="BNI87" s="21"/>
      <c r="BNJ87" s="21"/>
      <c r="BNK87" s="21"/>
      <c r="BNL87" s="21"/>
      <c r="BNM87" s="21"/>
      <c r="BNN87" s="21"/>
      <c r="BNO87" s="21"/>
      <c r="BNP87" s="21"/>
      <c r="BNQ87" s="21"/>
      <c r="BNR87" s="21"/>
      <c r="BNS87" s="21"/>
      <c r="BNT87" s="21"/>
      <c r="BNU87" s="21"/>
      <c r="BNV87" s="21"/>
      <c r="BNW87" s="21"/>
      <c r="BNX87" s="21"/>
      <c r="BNY87" s="21"/>
      <c r="BNZ87" s="21"/>
      <c r="BOA87" s="21"/>
      <c r="BOB87" s="21"/>
      <c r="BOC87" s="21"/>
      <c r="BOD87" s="21"/>
      <c r="BOE87" s="21"/>
      <c r="BOF87" s="21"/>
      <c r="BOG87" s="21"/>
      <c r="BOH87" s="21"/>
      <c r="BOI87" s="21"/>
      <c r="BOJ87" s="21"/>
      <c r="BOK87" s="21"/>
      <c r="BOL87" s="21"/>
      <c r="BOM87" s="21"/>
      <c r="BON87" s="21"/>
      <c r="BOO87" s="21"/>
      <c r="BOP87" s="21"/>
      <c r="BOQ87" s="21"/>
      <c r="BOR87" s="21"/>
      <c r="BOS87" s="21"/>
      <c r="BOT87" s="21"/>
      <c r="BOU87" s="21"/>
      <c r="BOV87" s="21"/>
      <c r="BOW87" s="21"/>
      <c r="BOX87" s="21"/>
      <c r="BOY87" s="21"/>
      <c r="BOZ87" s="21"/>
      <c r="BPA87" s="21"/>
      <c r="BPB87" s="21"/>
      <c r="BPC87" s="21"/>
      <c r="BPD87" s="21"/>
      <c r="BPE87" s="21"/>
      <c r="BPF87" s="21"/>
      <c r="BPG87" s="21"/>
      <c r="BPH87" s="21"/>
      <c r="BPI87" s="21"/>
      <c r="BPJ87" s="21"/>
      <c r="BPK87" s="21"/>
      <c r="BPL87" s="21"/>
      <c r="BPM87" s="21"/>
      <c r="BPN87" s="21"/>
      <c r="BPO87" s="21"/>
      <c r="BPP87" s="21"/>
      <c r="BPQ87" s="21"/>
      <c r="BPR87" s="21"/>
      <c r="BPS87" s="21"/>
      <c r="BPT87" s="21"/>
      <c r="BPU87" s="21"/>
      <c r="BPV87" s="21"/>
      <c r="BPW87" s="21"/>
      <c r="BPX87" s="21"/>
      <c r="BPY87" s="21"/>
      <c r="BPZ87" s="21"/>
      <c r="BQA87" s="21"/>
      <c r="BQB87" s="21"/>
      <c r="BQC87" s="21"/>
      <c r="BQD87" s="21"/>
      <c r="BQE87" s="21"/>
      <c r="BQF87" s="21"/>
      <c r="BQG87" s="21"/>
      <c r="BQH87" s="21"/>
      <c r="BQI87" s="21"/>
      <c r="BQJ87" s="21"/>
      <c r="BQK87" s="21"/>
      <c r="BQL87" s="21"/>
      <c r="BQM87" s="21"/>
      <c r="BQN87" s="21"/>
      <c r="BQO87" s="21"/>
      <c r="BQP87" s="21"/>
      <c r="BQQ87" s="21"/>
      <c r="BQR87" s="21"/>
      <c r="BQS87" s="21"/>
      <c r="BQT87" s="21"/>
      <c r="BQU87" s="21"/>
      <c r="BQV87" s="21"/>
      <c r="BQW87" s="21"/>
      <c r="BQX87" s="21"/>
      <c r="BQY87" s="21"/>
      <c r="BQZ87" s="21"/>
      <c r="BRA87" s="21"/>
      <c r="BRB87" s="21"/>
      <c r="BRC87" s="21"/>
      <c r="BRD87" s="21"/>
      <c r="BRE87" s="21"/>
      <c r="BRF87" s="21"/>
      <c r="BRG87" s="21"/>
      <c r="BRH87" s="21"/>
      <c r="BRI87" s="21"/>
      <c r="BRJ87" s="21"/>
      <c r="BRK87" s="21"/>
      <c r="BRL87" s="21"/>
      <c r="BRM87" s="21"/>
      <c r="BRN87" s="21"/>
      <c r="BRO87" s="21"/>
      <c r="BRP87" s="21"/>
      <c r="BRQ87" s="21"/>
      <c r="BRR87" s="21"/>
      <c r="BRS87" s="21"/>
      <c r="BRT87" s="21"/>
      <c r="BRU87" s="21"/>
      <c r="BRV87" s="21"/>
      <c r="BRW87" s="21"/>
      <c r="BRX87" s="21"/>
      <c r="BRY87" s="21"/>
      <c r="BRZ87" s="21"/>
      <c r="BSA87" s="21"/>
      <c r="BSB87" s="21"/>
      <c r="BSC87" s="21"/>
      <c r="BSD87" s="21"/>
      <c r="BSE87" s="21"/>
      <c r="BSF87" s="21"/>
      <c r="BSG87" s="21"/>
      <c r="BSH87" s="21"/>
      <c r="BSI87" s="21"/>
      <c r="BSJ87" s="21"/>
      <c r="BSK87" s="21"/>
      <c r="BSL87" s="21"/>
      <c r="BSM87" s="21"/>
      <c r="BSN87" s="21"/>
      <c r="BSO87" s="21"/>
      <c r="BSP87" s="21"/>
      <c r="BSQ87" s="21"/>
      <c r="BSR87" s="21"/>
      <c r="BSS87" s="21"/>
      <c r="BST87" s="21"/>
      <c r="BSU87" s="21"/>
      <c r="BSV87" s="21"/>
      <c r="BSW87" s="21"/>
      <c r="BSX87" s="21"/>
      <c r="BSY87" s="21"/>
      <c r="BSZ87" s="21"/>
      <c r="BTA87" s="21"/>
      <c r="BTB87" s="21"/>
      <c r="BTC87" s="21"/>
      <c r="BTD87" s="21"/>
      <c r="BTE87" s="21"/>
      <c r="BTF87" s="21"/>
      <c r="BTG87" s="21"/>
      <c r="BTH87" s="21"/>
      <c r="BTI87" s="21"/>
      <c r="BTJ87" s="21"/>
      <c r="BTK87" s="21"/>
      <c r="BTL87" s="21"/>
      <c r="BTM87" s="21"/>
      <c r="BTN87" s="21"/>
      <c r="BTO87" s="21"/>
      <c r="BTP87" s="21"/>
      <c r="BTQ87" s="21"/>
      <c r="BTR87" s="21"/>
      <c r="BTS87" s="21"/>
      <c r="BTT87" s="21"/>
      <c r="BTU87" s="21"/>
      <c r="BTV87" s="21"/>
      <c r="BTW87" s="21"/>
      <c r="BTX87" s="21"/>
      <c r="BTY87" s="21"/>
      <c r="BTZ87" s="21"/>
      <c r="BUA87" s="21"/>
      <c r="BUB87" s="21"/>
      <c r="BUC87" s="21"/>
      <c r="BUD87" s="21"/>
      <c r="BUE87" s="21"/>
      <c r="BUF87" s="21"/>
      <c r="BUG87" s="21"/>
      <c r="BUH87" s="21"/>
      <c r="BUI87" s="21"/>
      <c r="BUJ87" s="21"/>
      <c r="BUK87" s="21"/>
      <c r="BUL87" s="21"/>
      <c r="BUM87" s="21"/>
      <c r="BUN87" s="21"/>
      <c r="BUO87" s="21"/>
      <c r="BUP87" s="21"/>
      <c r="BUQ87" s="21"/>
      <c r="BUR87" s="21"/>
      <c r="BUS87" s="21"/>
      <c r="BUT87" s="21"/>
      <c r="BUU87" s="21"/>
      <c r="BUV87" s="21"/>
      <c r="BUW87" s="21"/>
      <c r="BUX87" s="21"/>
      <c r="BUY87" s="21"/>
      <c r="BUZ87" s="21"/>
      <c r="BVA87" s="21"/>
      <c r="BVB87" s="21"/>
      <c r="BVC87" s="21"/>
      <c r="BVD87" s="21"/>
      <c r="BVE87" s="21"/>
      <c r="BVF87" s="21"/>
      <c r="BVG87" s="21"/>
      <c r="BVH87" s="21"/>
      <c r="BVI87" s="21"/>
      <c r="BVJ87" s="21"/>
      <c r="BVK87" s="21"/>
      <c r="BVL87" s="21"/>
      <c r="BVM87" s="21"/>
      <c r="BVN87" s="21"/>
      <c r="BVO87" s="21"/>
      <c r="BVP87" s="21"/>
      <c r="BVQ87" s="21"/>
      <c r="BVR87" s="21"/>
      <c r="BVS87" s="21"/>
      <c r="BVT87" s="21"/>
      <c r="BVU87" s="21"/>
      <c r="BVV87" s="21"/>
      <c r="BVW87" s="21"/>
      <c r="BVX87" s="21"/>
      <c r="BVY87" s="21"/>
      <c r="BVZ87" s="21"/>
      <c r="BWA87" s="21"/>
      <c r="BWB87" s="21"/>
      <c r="BWC87" s="21"/>
      <c r="BWD87" s="21"/>
      <c r="BWE87" s="21"/>
      <c r="BWF87" s="21"/>
      <c r="BWG87" s="21"/>
      <c r="BWH87" s="21"/>
      <c r="BWI87" s="21"/>
      <c r="BWJ87" s="21"/>
      <c r="BWK87" s="21"/>
      <c r="BWL87" s="21"/>
      <c r="BWM87" s="21"/>
      <c r="BWN87" s="21"/>
      <c r="BWO87" s="21"/>
      <c r="BWP87" s="21"/>
      <c r="BWQ87" s="21"/>
      <c r="BWR87" s="21"/>
      <c r="BWS87" s="21"/>
      <c r="BWT87" s="21"/>
      <c r="BWU87" s="21"/>
      <c r="BWV87" s="21"/>
      <c r="BWW87" s="21"/>
      <c r="BWX87" s="21"/>
      <c r="BWY87" s="21"/>
      <c r="BWZ87" s="21"/>
      <c r="BXA87" s="21"/>
      <c r="BXB87" s="21"/>
      <c r="BXC87" s="21"/>
      <c r="BXD87" s="21"/>
      <c r="BXE87" s="21"/>
      <c r="BXF87" s="21"/>
      <c r="BXG87" s="21"/>
      <c r="BXH87" s="21"/>
      <c r="BXI87" s="21"/>
      <c r="BXJ87" s="21"/>
      <c r="BXK87" s="21"/>
      <c r="BXL87" s="21"/>
      <c r="BXM87" s="21"/>
      <c r="BXN87" s="21"/>
      <c r="BXO87" s="21"/>
      <c r="BXP87" s="21"/>
      <c r="BXQ87" s="21"/>
      <c r="BXR87" s="21"/>
      <c r="BXS87" s="21"/>
      <c r="BXT87" s="21"/>
      <c r="BXU87" s="21"/>
      <c r="BXV87" s="21"/>
      <c r="BXW87" s="21"/>
      <c r="BXX87" s="21"/>
      <c r="BXY87" s="21"/>
      <c r="BXZ87" s="21"/>
      <c r="BYA87" s="21"/>
      <c r="BYB87" s="21"/>
      <c r="BYC87" s="21"/>
      <c r="BYD87" s="21"/>
      <c r="BYE87" s="21"/>
      <c r="BYF87" s="21"/>
      <c r="BYG87" s="21"/>
      <c r="BYH87" s="21"/>
      <c r="BYI87" s="21"/>
      <c r="BYJ87" s="21"/>
      <c r="BYK87" s="21"/>
      <c r="BYL87" s="21"/>
      <c r="BYM87" s="21"/>
      <c r="BYN87" s="21"/>
      <c r="BYO87" s="21"/>
      <c r="BYP87" s="21"/>
      <c r="BYQ87" s="21"/>
      <c r="BYR87" s="21"/>
      <c r="BYS87" s="21"/>
      <c r="BYT87" s="21"/>
      <c r="BYU87" s="21"/>
      <c r="BYV87" s="21"/>
      <c r="BYW87" s="21"/>
      <c r="BYX87" s="21"/>
      <c r="BYY87" s="21"/>
      <c r="BYZ87" s="21"/>
      <c r="BZA87" s="21"/>
      <c r="BZB87" s="21"/>
      <c r="BZC87" s="21"/>
      <c r="BZD87" s="21"/>
      <c r="BZE87" s="21"/>
      <c r="BZF87" s="21"/>
      <c r="BZG87" s="21"/>
      <c r="BZH87" s="21"/>
      <c r="BZI87" s="21"/>
      <c r="BZJ87" s="21"/>
      <c r="BZK87" s="21"/>
      <c r="BZL87" s="21"/>
      <c r="BZM87" s="21"/>
      <c r="BZN87" s="21"/>
      <c r="BZO87" s="21"/>
      <c r="BZP87" s="21"/>
      <c r="BZQ87" s="21"/>
      <c r="BZR87" s="21"/>
      <c r="BZS87" s="21"/>
      <c r="BZT87" s="21"/>
      <c r="BZU87" s="21"/>
      <c r="BZV87" s="21"/>
      <c r="BZW87" s="21"/>
      <c r="BZX87" s="21"/>
      <c r="BZY87" s="21"/>
      <c r="BZZ87" s="21"/>
      <c r="CAA87" s="21"/>
      <c r="CAB87" s="21"/>
      <c r="CAC87" s="21"/>
      <c r="CAD87" s="21"/>
      <c r="CAE87" s="21"/>
      <c r="CAF87" s="21"/>
      <c r="CAG87" s="21"/>
      <c r="CAH87" s="21"/>
      <c r="CAI87" s="21"/>
      <c r="CAJ87" s="21"/>
      <c r="CAK87" s="21"/>
      <c r="CAL87" s="21"/>
      <c r="CAM87" s="21"/>
      <c r="CAN87" s="21"/>
      <c r="CAO87" s="21"/>
      <c r="CAP87" s="21"/>
      <c r="CAQ87" s="21"/>
      <c r="CAR87" s="21"/>
      <c r="CAS87" s="21"/>
      <c r="CAT87" s="21"/>
      <c r="CAU87" s="21"/>
      <c r="CAV87" s="21"/>
      <c r="CAW87" s="21"/>
      <c r="CAX87" s="21"/>
      <c r="CAY87" s="21"/>
      <c r="CAZ87" s="21"/>
      <c r="CBA87" s="21"/>
      <c r="CBB87" s="21"/>
      <c r="CBC87" s="21"/>
      <c r="CBD87" s="21"/>
      <c r="CBE87" s="21"/>
      <c r="CBF87" s="21"/>
      <c r="CBG87" s="21"/>
      <c r="CBH87" s="21"/>
      <c r="CBI87" s="21"/>
      <c r="CBJ87" s="21"/>
      <c r="CBK87" s="21"/>
      <c r="CBL87" s="21"/>
      <c r="CBM87" s="21"/>
      <c r="CBN87" s="21"/>
      <c r="CBO87" s="21"/>
      <c r="CBP87" s="21"/>
      <c r="CBQ87" s="21"/>
      <c r="CBR87" s="21"/>
      <c r="CBS87" s="21"/>
      <c r="CBT87" s="21"/>
      <c r="CBU87" s="21"/>
      <c r="CBV87" s="21"/>
      <c r="CBW87" s="21"/>
      <c r="CBX87" s="21"/>
      <c r="CBY87" s="21"/>
      <c r="CBZ87" s="21"/>
      <c r="CCA87" s="21"/>
      <c r="CCB87" s="21"/>
      <c r="CCC87" s="21"/>
      <c r="CCD87" s="21"/>
      <c r="CCE87" s="21"/>
      <c r="CCF87" s="21"/>
      <c r="CCG87" s="21"/>
      <c r="CCH87" s="21"/>
      <c r="CCI87" s="21"/>
      <c r="CCJ87" s="21"/>
      <c r="CCK87" s="21"/>
      <c r="CCL87" s="21"/>
      <c r="CCM87" s="21"/>
      <c r="CCN87" s="21"/>
      <c r="CCO87" s="21"/>
      <c r="CCP87" s="21"/>
      <c r="CCQ87" s="21"/>
      <c r="CCR87" s="21"/>
      <c r="CCS87" s="21"/>
      <c r="CCT87" s="21"/>
      <c r="CCU87" s="21"/>
      <c r="CCV87" s="21"/>
      <c r="CCW87" s="21"/>
      <c r="CCX87" s="21"/>
      <c r="CCY87" s="21"/>
      <c r="CCZ87" s="21"/>
      <c r="CDA87" s="21"/>
      <c r="CDB87" s="21"/>
      <c r="CDC87" s="21"/>
      <c r="CDD87" s="21"/>
      <c r="CDE87" s="21"/>
      <c r="CDF87" s="21"/>
      <c r="CDG87" s="21"/>
      <c r="CDH87" s="21"/>
      <c r="CDI87" s="21"/>
      <c r="CDJ87" s="21"/>
      <c r="CDK87" s="21"/>
      <c r="CDL87" s="21"/>
      <c r="CDM87" s="21"/>
      <c r="CDN87" s="21"/>
      <c r="CDO87" s="21"/>
      <c r="CDP87" s="21"/>
      <c r="CDQ87" s="21"/>
      <c r="CDR87" s="21"/>
      <c r="CDS87" s="21"/>
      <c r="CDT87" s="21"/>
      <c r="CDU87" s="21"/>
      <c r="CDV87" s="21"/>
      <c r="CDW87" s="21"/>
      <c r="CDX87" s="21"/>
      <c r="CDY87" s="21"/>
      <c r="CDZ87" s="21"/>
      <c r="CEA87" s="21"/>
      <c r="CEB87" s="21"/>
      <c r="CEC87" s="21"/>
      <c r="CED87" s="21"/>
      <c r="CEE87" s="21"/>
      <c r="CEF87" s="21"/>
      <c r="CEG87" s="21"/>
      <c r="CEH87" s="21"/>
      <c r="CEI87" s="21"/>
      <c r="CEJ87" s="21"/>
      <c r="CEK87" s="21"/>
      <c r="CEL87" s="21"/>
      <c r="CEM87" s="21"/>
      <c r="CEN87" s="21"/>
      <c r="CEO87" s="21"/>
      <c r="CEP87" s="21"/>
      <c r="CEQ87" s="21"/>
      <c r="CER87" s="21"/>
      <c r="CES87" s="21"/>
      <c r="CET87" s="21"/>
      <c r="CEU87" s="21"/>
      <c r="CEV87" s="21"/>
      <c r="CEW87" s="21"/>
      <c r="CEX87" s="21"/>
      <c r="CEY87" s="21"/>
      <c r="CEZ87" s="21"/>
      <c r="CFA87" s="21"/>
      <c r="CFB87" s="21"/>
      <c r="CFC87" s="21"/>
      <c r="CFD87" s="21"/>
      <c r="CFE87" s="21"/>
      <c r="CFF87" s="21"/>
      <c r="CFG87" s="21"/>
      <c r="CFH87" s="21"/>
      <c r="CFI87" s="21"/>
      <c r="CFJ87" s="21"/>
      <c r="CFK87" s="21"/>
      <c r="CFL87" s="21"/>
      <c r="CFM87" s="21"/>
      <c r="CFN87" s="21"/>
      <c r="CFO87" s="21"/>
      <c r="CFP87" s="21"/>
      <c r="CFQ87" s="21"/>
      <c r="CFR87" s="21"/>
      <c r="CFS87" s="21"/>
      <c r="CFT87" s="21"/>
      <c r="CFU87" s="21"/>
      <c r="CFV87" s="21"/>
      <c r="CFW87" s="21"/>
      <c r="CFX87" s="21"/>
      <c r="CFY87" s="21"/>
      <c r="CFZ87" s="21"/>
      <c r="CGA87" s="21"/>
      <c r="CGB87" s="21"/>
      <c r="CGC87" s="21"/>
      <c r="CGD87" s="21"/>
      <c r="CGE87" s="21"/>
      <c r="CGF87" s="21"/>
      <c r="CGG87" s="21"/>
      <c r="CGH87" s="21"/>
      <c r="CGI87" s="21"/>
      <c r="CGJ87" s="21"/>
      <c r="CGK87" s="21"/>
      <c r="CGL87" s="21"/>
      <c r="CGM87" s="21"/>
      <c r="CGN87" s="21"/>
      <c r="CGO87" s="21"/>
      <c r="CGP87" s="21"/>
      <c r="CGQ87" s="21"/>
      <c r="CGR87" s="21"/>
      <c r="CGS87" s="21"/>
      <c r="CGT87" s="21"/>
      <c r="CGU87" s="21"/>
      <c r="CGV87" s="21"/>
      <c r="CGW87" s="21"/>
      <c r="CGX87" s="21"/>
      <c r="CGY87" s="21"/>
      <c r="CGZ87" s="21"/>
      <c r="CHA87" s="21"/>
      <c r="CHB87" s="21"/>
      <c r="CHC87" s="21"/>
      <c r="CHD87" s="21"/>
      <c r="CHE87" s="21"/>
      <c r="CHF87" s="21"/>
      <c r="CHG87" s="21"/>
      <c r="CHH87" s="21"/>
      <c r="CHI87" s="21"/>
      <c r="CHJ87" s="21"/>
      <c r="CHK87" s="21"/>
      <c r="CHL87" s="21"/>
      <c r="CHM87" s="21"/>
      <c r="CHN87" s="21"/>
      <c r="CHO87" s="21"/>
      <c r="CHP87" s="21"/>
      <c r="CHQ87" s="21"/>
      <c r="CHR87" s="21"/>
      <c r="CHS87" s="21"/>
      <c r="CHT87" s="21"/>
      <c r="CHU87" s="21"/>
      <c r="CHV87" s="21"/>
      <c r="CHW87" s="21"/>
      <c r="CHX87" s="21"/>
      <c r="CHY87" s="21"/>
      <c r="CHZ87" s="21"/>
      <c r="CIA87" s="21"/>
      <c r="CIB87" s="21"/>
      <c r="CIC87" s="21"/>
      <c r="CID87" s="21"/>
      <c r="CIE87" s="21"/>
      <c r="CIF87" s="21"/>
      <c r="CIG87" s="21"/>
      <c r="CIH87" s="21"/>
      <c r="CII87" s="21"/>
      <c r="CIJ87" s="21"/>
      <c r="CIK87" s="21"/>
      <c r="CIL87" s="21"/>
      <c r="CIM87" s="21"/>
      <c r="CIN87" s="21"/>
      <c r="CIO87" s="21"/>
      <c r="CIP87" s="21"/>
      <c r="CIQ87" s="21"/>
      <c r="CIR87" s="21"/>
      <c r="CIS87" s="21"/>
      <c r="CIT87" s="21"/>
      <c r="CIU87" s="21"/>
      <c r="CIV87" s="21"/>
      <c r="CIW87" s="21"/>
      <c r="CIX87" s="21"/>
      <c r="CIY87" s="21"/>
      <c r="CIZ87" s="21"/>
      <c r="CJA87" s="21"/>
      <c r="CJB87" s="21"/>
      <c r="CJC87" s="21"/>
      <c r="CJD87" s="21"/>
      <c r="CJE87" s="21"/>
      <c r="CJF87" s="21"/>
      <c r="CJG87" s="21"/>
      <c r="CJH87" s="21"/>
      <c r="CJI87" s="21"/>
      <c r="CJJ87" s="21"/>
      <c r="CJK87" s="21"/>
      <c r="CJL87" s="21"/>
      <c r="CJM87" s="21"/>
      <c r="CJN87" s="21"/>
      <c r="CJO87" s="21"/>
      <c r="CJP87" s="21"/>
      <c r="CJQ87" s="21"/>
      <c r="CJR87" s="21"/>
      <c r="CJS87" s="21"/>
      <c r="CJT87" s="21"/>
      <c r="CJU87" s="21"/>
      <c r="CJV87" s="21"/>
      <c r="CJW87" s="21"/>
      <c r="CJX87" s="21"/>
      <c r="CJY87" s="21"/>
      <c r="CJZ87" s="21"/>
      <c r="CKA87" s="21"/>
      <c r="CKB87" s="21"/>
      <c r="CKC87" s="21"/>
      <c r="CKD87" s="21"/>
      <c r="CKE87" s="21"/>
      <c r="CKF87" s="21"/>
      <c r="CKG87" s="21"/>
      <c r="CKH87" s="21"/>
      <c r="CKI87" s="21"/>
      <c r="CKJ87" s="21"/>
      <c r="CKK87" s="21"/>
      <c r="CKL87" s="21"/>
      <c r="CKM87" s="21"/>
      <c r="CKN87" s="21"/>
      <c r="CKO87" s="21"/>
      <c r="CKP87" s="21"/>
      <c r="CKQ87" s="21"/>
      <c r="CKR87" s="21"/>
      <c r="CKS87" s="21"/>
      <c r="CKT87" s="21"/>
      <c r="CKU87" s="21"/>
      <c r="CKV87" s="21"/>
      <c r="CKW87" s="21"/>
      <c r="CKX87" s="21"/>
      <c r="CKY87" s="21"/>
      <c r="CKZ87" s="21"/>
      <c r="CLA87" s="21"/>
      <c r="CLB87" s="21"/>
      <c r="CLC87" s="21"/>
      <c r="CLD87" s="21"/>
      <c r="CLE87" s="21"/>
      <c r="CLF87" s="21"/>
      <c r="CLG87" s="21"/>
      <c r="CLH87" s="21"/>
      <c r="CLI87" s="21"/>
      <c r="CLJ87" s="21"/>
      <c r="CLK87" s="21"/>
      <c r="CLL87" s="21"/>
      <c r="CLM87" s="21"/>
      <c r="CLN87" s="21"/>
      <c r="CLO87" s="21"/>
      <c r="CLP87" s="21"/>
      <c r="CLQ87" s="21"/>
      <c r="CLR87" s="21"/>
      <c r="CLS87" s="21"/>
      <c r="CLT87" s="21"/>
      <c r="CLU87" s="21"/>
      <c r="CLV87" s="21"/>
      <c r="CLW87" s="21"/>
      <c r="CLX87" s="21"/>
      <c r="CLY87" s="21"/>
      <c r="CLZ87" s="21"/>
      <c r="CMA87" s="21"/>
      <c r="CMB87" s="21"/>
      <c r="CMC87" s="21"/>
      <c r="CMD87" s="21"/>
      <c r="CME87" s="21"/>
      <c r="CMF87" s="21"/>
      <c r="CMG87" s="21"/>
      <c r="CMH87" s="21"/>
      <c r="CMI87" s="21"/>
      <c r="CMJ87" s="21"/>
      <c r="CMK87" s="21"/>
      <c r="CML87" s="21"/>
      <c r="CMM87" s="21"/>
      <c r="CMN87" s="21"/>
      <c r="CMO87" s="21"/>
      <c r="CMP87" s="21"/>
      <c r="CMQ87" s="21"/>
      <c r="CMR87" s="21"/>
      <c r="CMS87" s="21"/>
      <c r="CMT87" s="21"/>
      <c r="CMU87" s="21"/>
      <c r="CMV87" s="21"/>
      <c r="CMW87" s="21"/>
      <c r="CMX87" s="21"/>
      <c r="CMY87" s="21"/>
      <c r="CMZ87" s="21"/>
      <c r="CNA87" s="21"/>
      <c r="CNB87" s="21"/>
      <c r="CNC87" s="21"/>
      <c r="CND87" s="21"/>
      <c r="CNE87" s="21"/>
      <c r="CNF87" s="21"/>
      <c r="CNG87" s="21"/>
      <c r="CNH87" s="21"/>
      <c r="CNI87" s="21"/>
      <c r="CNJ87" s="21"/>
      <c r="CNK87" s="21"/>
      <c r="CNL87" s="21"/>
      <c r="CNM87" s="21"/>
      <c r="CNN87" s="21"/>
      <c r="CNO87" s="21"/>
      <c r="CNP87" s="21"/>
      <c r="CNQ87" s="21"/>
      <c r="CNR87" s="21"/>
      <c r="CNS87" s="21"/>
      <c r="CNT87" s="21"/>
      <c r="CNU87" s="21"/>
      <c r="CNV87" s="21"/>
      <c r="CNW87" s="21"/>
      <c r="CNX87" s="21"/>
      <c r="CNY87" s="21"/>
      <c r="CNZ87" s="21"/>
      <c r="COA87" s="21"/>
      <c r="COB87" s="21"/>
      <c r="COC87" s="21"/>
      <c r="COD87" s="21"/>
      <c r="COE87" s="21"/>
      <c r="COF87" s="21"/>
      <c r="COG87" s="21"/>
      <c r="COH87" s="21"/>
      <c r="COI87" s="21"/>
      <c r="COJ87" s="21"/>
      <c r="COK87" s="21"/>
      <c r="COL87" s="21"/>
      <c r="COM87" s="21"/>
      <c r="CON87" s="21"/>
      <c r="COO87" s="21"/>
      <c r="COP87" s="21"/>
      <c r="COQ87" s="21"/>
      <c r="COR87" s="21"/>
      <c r="COS87" s="21"/>
      <c r="COT87" s="21"/>
      <c r="COU87" s="21"/>
      <c r="COV87" s="21"/>
      <c r="COW87" s="21"/>
      <c r="COX87" s="21"/>
      <c r="COY87" s="21"/>
      <c r="COZ87" s="21"/>
      <c r="CPA87" s="21"/>
      <c r="CPB87" s="21"/>
      <c r="CPC87" s="21"/>
      <c r="CPD87" s="21"/>
      <c r="CPE87" s="21"/>
      <c r="CPF87" s="21"/>
      <c r="CPG87" s="21"/>
      <c r="CPH87" s="21"/>
      <c r="CPI87" s="21"/>
      <c r="CPJ87" s="21"/>
      <c r="CPK87" s="21"/>
      <c r="CPL87" s="21"/>
      <c r="CPM87" s="21"/>
      <c r="CPN87" s="21"/>
      <c r="CPO87" s="21"/>
      <c r="CPP87" s="21"/>
      <c r="CPQ87" s="21"/>
      <c r="CPR87" s="21"/>
      <c r="CPS87" s="21"/>
      <c r="CPT87" s="21"/>
      <c r="CPU87" s="21"/>
      <c r="CPV87" s="21"/>
      <c r="CPW87" s="21"/>
      <c r="CPX87" s="21"/>
      <c r="CPY87" s="21"/>
      <c r="CPZ87" s="21"/>
      <c r="CQA87" s="21"/>
      <c r="CQB87" s="21"/>
      <c r="CQC87" s="21"/>
      <c r="CQD87" s="21"/>
      <c r="CQE87" s="21"/>
      <c r="CQF87" s="21"/>
      <c r="CQG87" s="21"/>
      <c r="CQH87" s="21"/>
      <c r="CQI87" s="21"/>
      <c r="CQJ87" s="21"/>
      <c r="CQK87" s="21"/>
      <c r="CQL87" s="21"/>
      <c r="CQM87" s="21"/>
      <c r="CQN87" s="21"/>
      <c r="CQO87" s="21"/>
      <c r="CQP87" s="21"/>
      <c r="CQQ87" s="21"/>
      <c r="CQR87" s="21"/>
      <c r="CQS87" s="21"/>
      <c r="CQT87" s="21"/>
      <c r="CQU87" s="21"/>
      <c r="CQV87" s="21"/>
      <c r="CQW87" s="21"/>
      <c r="CQX87" s="21"/>
      <c r="CQY87" s="21"/>
      <c r="CQZ87" s="21"/>
      <c r="CRA87" s="21"/>
      <c r="CRB87" s="21"/>
      <c r="CRC87" s="21"/>
      <c r="CRD87" s="21"/>
      <c r="CRE87" s="21"/>
      <c r="CRF87" s="21"/>
      <c r="CRG87" s="21"/>
      <c r="CRH87" s="21"/>
      <c r="CRI87" s="21"/>
      <c r="CRJ87" s="21"/>
      <c r="CRK87" s="21"/>
      <c r="CRL87" s="21"/>
      <c r="CRM87" s="21"/>
      <c r="CRN87" s="21"/>
      <c r="CRO87" s="21"/>
      <c r="CRP87" s="21"/>
      <c r="CRQ87" s="21"/>
      <c r="CRR87" s="21"/>
      <c r="CRS87" s="21"/>
      <c r="CRT87" s="21"/>
      <c r="CRU87" s="21"/>
      <c r="CRV87" s="21"/>
      <c r="CRW87" s="21"/>
      <c r="CRX87" s="21"/>
      <c r="CRY87" s="21"/>
      <c r="CRZ87" s="21"/>
      <c r="CSA87" s="21"/>
      <c r="CSB87" s="21"/>
      <c r="CSC87" s="21"/>
      <c r="CSD87" s="21"/>
      <c r="CSE87" s="21"/>
      <c r="CSF87" s="21"/>
      <c r="CSG87" s="21"/>
      <c r="CSH87" s="21"/>
      <c r="CSI87" s="21"/>
      <c r="CSJ87" s="21"/>
      <c r="CSK87" s="21"/>
      <c r="CSL87" s="21"/>
      <c r="CSM87" s="21"/>
      <c r="CSN87" s="21"/>
      <c r="CSO87" s="21"/>
      <c r="CSP87" s="21"/>
      <c r="CSQ87" s="21"/>
      <c r="CSR87" s="21"/>
      <c r="CSS87" s="21"/>
      <c r="CST87" s="21"/>
      <c r="CSU87" s="21"/>
      <c r="CSV87" s="21"/>
      <c r="CSW87" s="21"/>
      <c r="CSX87" s="21"/>
      <c r="CSY87" s="21"/>
      <c r="CSZ87" s="21"/>
      <c r="CTA87" s="21"/>
      <c r="CTB87" s="21"/>
      <c r="CTC87" s="21"/>
      <c r="CTD87" s="21"/>
      <c r="CTE87" s="21"/>
      <c r="CTF87" s="21"/>
      <c r="CTG87" s="21"/>
      <c r="CTH87" s="21"/>
      <c r="CTI87" s="21"/>
      <c r="CTJ87" s="21"/>
      <c r="CTK87" s="21"/>
      <c r="CTL87" s="21"/>
      <c r="CTM87" s="21"/>
      <c r="CTN87" s="21"/>
      <c r="CTO87" s="21"/>
      <c r="CTP87" s="21"/>
      <c r="CTQ87" s="21"/>
      <c r="CTR87" s="21"/>
      <c r="CTS87" s="21"/>
      <c r="CTT87" s="21"/>
      <c r="CTU87" s="21"/>
      <c r="CTV87" s="21"/>
      <c r="CTW87" s="21"/>
      <c r="CTX87" s="21"/>
      <c r="CTY87" s="21"/>
      <c r="CTZ87" s="21"/>
      <c r="CUA87" s="21"/>
      <c r="CUB87" s="21"/>
      <c r="CUC87" s="21"/>
      <c r="CUD87" s="21"/>
      <c r="CUE87" s="21"/>
      <c r="CUF87" s="21"/>
      <c r="CUG87" s="21"/>
      <c r="CUH87" s="21"/>
      <c r="CUI87" s="21"/>
      <c r="CUJ87" s="21"/>
      <c r="CUK87" s="21"/>
      <c r="CUL87" s="21"/>
      <c r="CUM87" s="21"/>
      <c r="CUN87" s="21"/>
      <c r="CUO87" s="21"/>
      <c r="CUP87" s="21"/>
      <c r="CUQ87" s="21"/>
      <c r="CUR87" s="21"/>
      <c r="CUS87" s="21"/>
      <c r="CUT87" s="21"/>
      <c r="CUU87" s="21"/>
      <c r="CUV87" s="21"/>
      <c r="CUW87" s="21"/>
      <c r="CUX87" s="21"/>
      <c r="CUY87" s="21"/>
      <c r="CUZ87" s="21"/>
      <c r="CVA87" s="21"/>
      <c r="CVB87" s="21"/>
      <c r="CVC87" s="21"/>
      <c r="CVD87" s="21"/>
      <c r="CVE87" s="21"/>
      <c r="CVF87" s="21"/>
      <c r="CVG87" s="21"/>
      <c r="CVH87" s="21"/>
      <c r="CVI87" s="21"/>
      <c r="CVJ87" s="21"/>
      <c r="CVK87" s="21"/>
      <c r="CVL87" s="21"/>
      <c r="CVM87" s="21"/>
      <c r="CVN87" s="21"/>
      <c r="CVO87" s="21"/>
      <c r="CVP87" s="21"/>
      <c r="CVQ87" s="21"/>
      <c r="CVR87" s="21"/>
      <c r="CVS87" s="21"/>
      <c r="CVT87" s="21"/>
      <c r="CVU87" s="21"/>
      <c r="CVV87" s="21"/>
      <c r="CVW87" s="21"/>
      <c r="CVX87" s="21"/>
      <c r="CVY87" s="21"/>
      <c r="CVZ87" s="21"/>
      <c r="CWA87" s="21"/>
      <c r="CWB87" s="21"/>
      <c r="CWC87" s="21"/>
      <c r="CWD87" s="21"/>
      <c r="CWE87" s="21"/>
      <c r="CWF87" s="21"/>
      <c r="CWG87" s="21"/>
      <c r="CWH87" s="21"/>
      <c r="CWI87" s="21"/>
      <c r="CWJ87" s="21"/>
      <c r="CWK87" s="21"/>
      <c r="CWL87" s="21"/>
      <c r="CWM87" s="21"/>
      <c r="CWN87" s="21"/>
      <c r="CWO87" s="21"/>
      <c r="CWP87" s="21"/>
      <c r="CWQ87" s="21"/>
      <c r="CWR87" s="21"/>
      <c r="CWS87" s="21"/>
      <c r="CWT87" s="21"/>
      <c r="CWU87" s="21"/>
      <c r="CWV87" s="21"/>
      <c r="CWW87" s="21"/>
      <c r="CWX87" s="21"/>
      <c r="CWY87" s="21"/>
      <c r="CWZ87" s="21"/>
      <c r="CXA87" s="21"/>
      <c r="CXB87" s="21"/>
      <c r="CXC87" s="21"/>
      <c r="CXD87" s="21"/>
      <c r="CXE87" s="21"/>
      <c r="CXF87" s="21"/>
      <c r="CXG87" s="21"/>
      <c r="CXH87" s="21"/>
      <c r="CXI87" s="21"/>
      <c r="CXJ87" s="21"/>
      <c r="CXK87" s="21"/>
      <c r="CXL87" s="21"/>
      <c r="CXM87" s="21"/>
      <c r="CXN87" s="21"/>
      <c r="CXO87" s="21"/>
      <c r="CXP87" s="21"/>
      <c r="CXQ87" s="21"/>
      <c r="CXR87" s="21"/>
      <c r="CXS87" s="21"/>
      <c r="CXT87" s="21"/>
      <c r="CXU87" s="21"/>
      <c r="CXV87" s="21"/>
      <c r="CXW87" s="21"/>
      <c r="CXX87" s="21"/>
      <c r="CXY87" s="21"/>
      <c r="CXZ87" s="21"/>
      <c r="CYA87" s="21"/>
      <c r="CYB87" s="21"/>
      <c r="CYC87" s="21"/>
      <c r="CYD87" s="21"/>
      <c r="CYE87" s="21"/>
      <c r="CYF87" s="21"/>
      <c r="CYG87" s="21"/>
      <c r="CYH87" s="21"/>
      <c r="CYI87" s="21"/>
      <c r="CYJ87" s="21"/>
      <c r="CYK87" s="21"/>
      <c r="CYL87" s="21"/>
      <c r="CYM87" s="21"/>
      <c r="CYN87" s="21"/>
      <c r="CYO87" s="21"/>
      <c r="CYP87" s="21"/>
      <c r="CYQ87" s="21"/>
      <c r="CYR87" s="21"/>
      <c r="CYS87" s="21"/>
      <c r="CYT87" s="21"/>
      <c r="CYU87" s="21"/>
      <c r="CYV87" s="21"/>
      <c r="CYW87" s="21"/>
      <c r="CYX87" s="21"/>
      <c r="CYY87" s="21"/>
      <c r="CYZ87" s="21"/>
      <c r="CZA87" s="21"/>
      <c r="CZB87" s="21"/>
      <c r="CZC87" s="21"/>
      <c r="CZD87" s="21"/>
      <c r="CZE87" s="21"/>
      <c r="CZF87" s="21"/>
      <c r="CZG87" s="21"/>
      <c r="CZH87" s="21"/>
      <c r="CZI87" s="21"/>
      <c r="CZJ87" s="21"/>
      <c r="CZK87" s="21"/>
      <c r="CZL87" s="21"/>
      <c r="CZM87" s="21"/>
      <c r="CZN87" s="21"/>
      <c r="CZO87" s="21"/>
      <c r="CZP87" s="21"/>
      <c r="CZQ87" s="21"/>
      <c r="CZR87" s="21"/>
      <c r="CZS87" s="21"/>
      <c r="CZT87" s="21"/>
      <c r="CZU87" s="21"/>
      <c r="CZV87" s="21"/>
      <c r="CZW87" s="21"/>
      <c r="CZX87" s="21"/>
      <c r="CZY87" s="21"/>
      <c r="CZZ87" s="21"/>
      <c r="DAA87" s="21"/>
      <c r="DAB87" s="21"/>
      <c r="DAC87" s="21"/>
      <c r="DAD87" s="21"/>
      <c r="DAE87" s="21"/>
      <c r="DAF87" s="21"/>
      <c r="DAG87" s="21"/>
      <c r="DAH87" s="21"/>
      <c r="DAI87" s="21"/>
      <c r="DAJ87" s="21"/>
      <c r="DAK87" s="21"/>
      <c r="DAL87" s="21"/>
      <c r="DAM87" s="21"/>
      <c r="DAN87" s="21"/>
      <c r="DAO87" s="21"/>
      <c r="DAP87" s="21"/>
      <c r="DAQ87" s="21"/>
      <c r="DAR87" s="21"/>
      <c r="DAS87" s="21"/>
      <c r="DAT87" s="21"/>
      <c r="DAU87" s="21"/>
      <c r="DAV87" s="21"/>
      <c r="DAW87" s="21"/>
      <c r="DAX87" s="21"/>
      <c r="DAY87" s="21"/>
      <c r="DAZ87" s="21"/>
      <c r="DBA87" s="21"/>
      <c r="DBB87" s="21"/>
      <c r="DBC87" s="21"/>
      <c r="DBD87" s="21"/>
      <c r="DBE87" s="21"/>
      <c r="DBF87" s="21"/>
      <c r="DBG87" s="21"/>
      <c r="DBH87" s="21"/>
      <c r="DBI87" s="21"/>
      <c r="DBJ87" s="21"/>
      <c r="DBK87" s="21"/>
      <c r="DBL87" s="21"/>
      <c r="DBM87" s="21"/>
      <c r="DBN87" s="21"/>
      <c r="DBO87" s="21"/>
      <c r="DBP87" s="21"/>
      <c r="DBQ87" s="21"/>
      <c r="DBR87" s="21"/>
      <c r="DBS87" s="21"/>
      <c r="DBT87" s="21"/>
      <c r="DBU87" s="21"/>
      <c r="DBV87" s="21"/>
      <c r="DBW87" s="21"/>
      <c r="DBX87" s="21"/>
      <c r="DBY87" s="21"/>
      <c r="DBZ87" s="21"/>
      <c r="DCA87" s="21"/>
      <c r="DCB87" s="21"/>
      <c r="DCC87" s="21"/>
      <c r="DCD87" s="21"/>
      <c r="DCE87" s="21"/>
      <c r="DCF87" s="21"/>
      <c r="DCG87" s="21"/>
      <c r="DCH87" s="21"/>
      <c r="DCI87" s="21"/>
      <c r="DCJ87" s="21"/>
      <c r="DCK87" s="21"/>
      <c r="DCL87" s="21"/>
      <c r="DCM87" s="21"/>
      <c r="DCN87" s="21"/>
      <c r="DCO87" s="21"/>
      <c r="DCP87" s="21"/>
      <c r="DCQ87" s="21"/>
      <c r="DCR87" s="21"/>
      <c r="DCS87" s="21"/>
      <c r="DCT87" s="21"/>
      <c r="DCU87" s="21"/>
      <c r="DCV87" s="21"/>
      <c r="DCW87" s="21"/>
      <c r="DCX87" s="21"/>
      <c r="DCY87" s="21"/>
      <c r="DCZ87" s="21"/>
      <c r="DDA87" s="21"/>
      <c r="DDB87" s="21"/>
      <c r="DDC87" s="21"/>
      <c r="DDD87" s="21"/>
      <c r="DDE87" s="21"/>
      <c r="DDF87" s="21"/>
      <c r="DDG87" s="21"/>
      <c r="DDH87" s="21"/>
      <c r="DDI87" s="21"/>
      <c r="DDJ87" s="21"/>
      <c r="DDK87" s="21"/>
      <c r="DDL87" s="21"/>
      <c r="DDM87" s="21"/>
      <c r="DDN87" s="21"/>
      <c r="DDO87" s="21"/>
      <c r="DDP87" s="21"/>
      <c r="DDQ87" s="21"/>
      <c r="DDR87" s="21"/>
      <c r="DDS87" s="21"/>
      <c r="DDT87" s="21"/>
      <c r="DDU87" s="21"/>
      <c r="DDV87" s="21"/>
      <c r="DDW87" s="21"/>
      <c r="DDX87" s="21"/>
      <c r="DDY87" s="21"/>
      <c r="DDZ87" s="21"/>
      <c r="DEA87" s="21"/>
      <c r="DEB87" s="21"/>
      <c r="DEC87" s="21"/>
      <c r="DED87" s="21"/>
      <c r="DEE87" s="21"/>
      <c r="DEF87" s="21"/>
      <c r="DEG87" s="21"/>
      <c r="DEH87" s="21"/>
      <c r="DEI87" s="21"/>
      <c r="DEJ87" s="21"/>
      <c r="DEK87" s="21"/>
      <c r="DEL87" s="21"/>
      <c r="DEM87" s="21"/>
      <c r="DEN87" s="21"/>
      <c r="DEO87" s="21"/>
      <c r="DEP87" s="21"/>
      <c r="DEQ87" s="21"/>
      <c r="DER87" s="21"/>
      <c r="DES87" s="21"/>
      <c r="DET87" s="21"/>
      <c r="DEU87" s="21"/>
      <c r="DEV87" s="21"/>
      <c r="DEW87" s="21"/>
      <c r="DEX87" s="21"/>
      <c r="DEY87" s="21"/>
      <c r="DEZ87" s="21"/>
      <c r="DFA87" s="21"/>
      <c r="DFB87" s="21"/>
      <c r="DFC87" s="21"/>
      <c r="DFD87" s="21"/>
      <c r="DFE87" s="21"/>
      <c r="DFF87" s="21"/>
      <c r="DFG87" s="21"/>
      <c r="DFH87" s="21"/>
      <c r="DFI87" s="21"/>
      <c r="DFJ87" s="21"/>
      <c r="DFK87" s="21"/>
      <c r="DFL87" s="21"/>
      <c r="DFM87" s="21"/>
      <c r="DFN87" s="21"/>
      <c r="DFO87" s="21"/>
      <c r="DFP87" s="21"/>
      <c r="DFQ87" s="21"/>
      <c r="DFR87" s="21"/>
      <c r="DFS87" s="21"/>
      <c r="DFT87" s="21"/>
      <c r="DFU87" s="21"/>
      <c r="DFV87" s="21"/>
      <c r="DFW87" s="21"/>
      <c r="DFX87" s="21"/>
      <c r="DFY87" s="21"/>
      <c r="DFZ87" s="21"/>
      <c r="DGA87" s="21"/>
      <c r="DGB87" s="21"/>
      <c r="DGC87" s="21"/>
      <c r="DGD87" s="21"/>
      <c r="DGE87" s="21"/>
      <c r="DGF87" s="21"/>
      <c r="DGG87" s="21"/>
      <c r="DGH87" s="21"/>
      <c r="DGI87" s="21"/>
      <c r="DGJ87" s="21"/>
      <c r="DGK87" s="21"/>
      <c r="DGL87" s="21"/>
      <c r="DGM87" s="21"/>
      <c r="DGN87" s="21"/>
      <c r="DGO87" s="21"/>
      <c r="DGP87" s="21"/>
      <c r="DGQ87" s="21"/>
      <c r="DGR87" s="21"/>
      <c r="DGS87" s="21"/>
      <c r="DGT87" s="21"/>
      <c r="DGU87" s="21"/>
      <c r="DGV87" s="21"/>
      <c r="DGW87" s="21"/>
      <c r="DGX87" s="21"/>
      <c r="DGY87" s="21"/>
      <c r="DGZ87" s="21"/>
      <c r="DHA87" s="21"/>
      <c r="DHB87" s="21"/>
      <c r="DHC87" s="21"/>
      <c r="DHD87" s="21"/>
      <c r="DHE87" s="21"/>
      <c r="DHF87" s="21"/>
      <c r="DHG87" s="21"/>
      <c r="DHH87" s="21"/>
      <c r="DHI87" s="21"/>
      <c r="DHJ87" s="21"/>
      <c r="DHK87" s="21"/>
      <c r="DHL87" s="21"/>
      <c r="DHM87" s="21"/>
      <c r="DHN87" s="21"/>
      <c r="DHO87" s="21"/>
      <c r="DHP87" s="21"/>
      <c r="DHQ87" s="21"/>
      <c r="DHR87" s="21"/>
      <c r="DHS87" s="21"/>
      <c r="DHT87" s="21"/>
      <c r="DHU87" s="21"/>
      <c r="DHV87" s="21"/>
      <c r="DHW87" s="21"/>
      <c r="DHX87" s="21"/>
      <c r="DHY87" s="21"/>
      <c r="DHZ87" s="21"/>
      <c r="DIA87" s="21"/>
      <c r="DIB87" s="21"/>
      <c r="DIC87" s="21"/>
      <c r="DID87" s="21"/>
      <c r="DIE87" s="21"/>
      <c r="DIF87" s="21"/>
      <c r="DIG87" s="21"/>
      <c r="DIH87" s="21"/>
      <c r="DII87" s="21"/>
      <c r="DIJ87" s="21"/>
      <c r="DIK87" s="21"/>
      <c r="DIL87" s="21"/>
      <c r="DIM87" s="21"/>
      <c r="DIN87" s="21"/>
      <c r="DIO87" s="21"/>
      <c r="DIP87" s="21"/>
      <c r="DIQ87" s="21"/>
      <c r="DIR87" s="21"/>
      <c r="DIS87" s="21"/>
      <c r="DIT87" s="21"/>
      <c r="DIU87" s="21"/>
      <c r="DIV87" s="21"/>
      <c r="DIW87" s="21"/>
      <c r="DIX87" s="21"/>
      <c r="DIY87" s="21"/>
      <c r="DIZ87" s="21"/>
      <c r="DJA87" s="21"/>
      <c r="DJB87" s="21"/>
      <c r="DJC87" s="21"/>
      <c r="DJD87" s="21"/>
      <c r="DJE87" s="21"/>
      <c r="DJF87" s="21"/>
      <c r="DJG87" s="21"/>
      <c r="DJH87" s="21"/>
      <c r="DJI87" s="21"/>
      <c r="DJJ87" s="21"/>
      <c r="DJK87" s="21"/>
      <c r="DJL87" s="21"/>
      <c r="DJM87" s="21"/>
      <c r="DJN87" s="21"/>
      <c r="DJO87" s="21"/>
      <c r="DJP87" s="21"/>
      <c r="DJQ87" s="21"/>
      <c r="DJR87" s="21"/>
      <c r="DJS87" s="21"/>
      <c r="DJT87" s="21"/>
      <c r="DJU87" s="21"/>
      <c r="DJV87" s="21"/>
      <c r="DJW87" s="21"/>
      <c r="DJX87" s="21"/>
      <c r="DJY87" s="21"/>
      <c r="DJZ87" s="21"/>
      <c r="DKA87" s="21"/>
      <c r="DKB87" s="21"/>
      <c r="DKC87" s="21"/>
      <c r="DKD87" s="21"/>
      <c r="DKE87" s="21"/>
      <c r="DKF87" s="21"/>
      <c r="DKG87" s="21"/>
      <c r="DKH87" s="21"/>
      <c r="DKI87" s="21"/>
      <c r="DKJ87" s="21"/>
      <c r="DKK87" s="21"/>
      <c r="DKL87" s="21"/>
      <c r="DKM87" s="21"/>
      <c r="DKN87" s="21"/>
      <c r="DKO87" s="21"/>
      <c r="DKP87" s="21"/>
      <c r="DKQ87" s="21"/>
      <c r="DKR87" s="21"/>
      <c r="DKS87" s="21"/>
      <c r="DKT87" s="21"/>
      <c r="DKU87" s="21"/>
      <c r="DKV87" s="21"/>
      <c r="DKW87" s="21"/>
      <c r="DKX87" s="21"/>
      <c r="DKY87" s="21"/>
      <c r="DKZ87" s="21"/>
      <c r="DLA87" s="21"/>
      <c r="DLB87" s="21"/>
      <c r="DLC87" s="21"/>
      <c r="DLD87" s="21"/>
      <c r="DLE87" s="21"/>
      <c r="DLF87" s="21"/>
      <c r="DLG87" s="21"/>
      <c r="DLH87" s="21"/>
      <c r="DLI87" s="21"/>
      <c r="DLJ87" s="21"/>
      <c r="DLK87" s="21"/>
      <c r="DLL87" s="21"/>
      <c r="DLM87" s="21"/>
      <c r="DLN87" s="21"/>
      <c r="DLO87" s="21"/>
      <c r="DLP87" s="21"/>
      <c r="DLQ87" s="21"/>
      <c r="DLR87" s="21"/>
      <c r="DLS87" s="21"/>
      <c r="DLT87" s="21"/>
      <c r="DLU87" s="21"/>
      <c r="DLV87" s="21"/>
      <c r="DLW87" s="21"/>
      <c r="DLX87" s="21"/>
      <c r="DLY87" s="21"/>
      <c r="DLZ87" s="21"/>
      <c r="DMA87" s="21"/>
      <c r="DMB87" s="21"/>
      <c r="DMC87" s="21"/>
      <c r="DMD87" s="21"/>
      <c r="DME87" s="21"/>
      <c r="DMF87" s="21"/>
      <c r="DMG87" s="21"/>
      <c r="DMH87" s="21"/>
      <c r="DMI87" s="21"/>
      <c r="DMJ87" s="21"/>
      <c r="DMK87" s="21"/>
      <c r="DML87" s="21"/>
      <c r="DMM87" s="21"/>
      <c r="DMN87" s="21"/>
      <c r="DMO87" s="21"/>
      <c r="DMP87" s="21"/>
      <c r="DMQ87" s="21"/>
      <c r="DMR87" s="21"/>
      <c r="DMS87" s="21"/>
      <c r="DMT87" s="21"/>
      <c r="DMU87" s="21"/>
      <c r="DMV87" s="21"/>
      <c r="DMW87" s="21"/>
      <c r="DMX87" s="21"/>
      <c r="DMY87" s="21"/>
      <c r="DMZ87" s="21"/>
      <c r="DNA87" s="21"/>
      <c r="DNB87" s="21"/>
      <c r="DNC87" s="21"/>
      <c r="DND87" s="21"/>
      <c r="DNE87" s="21"/>
      <c r="DNF87" s="21"/>
      <c r="DNG87" s="21"/>
      <c r="DNH87" s="21"/>
      <c r="DNI87" s="21"/>
      <c r="DNJ87" s="21"/>
      <c r="DNK87" s="21"/>
      <c r="DNL87" s="21"/>
      <c r="DNM87" s="21"/>
      <c r="DNN87" s="21"/>
      <c r="DNO87" s="21"/>
      <c r="DNP87" s="21"/>
      <c r="DNQ87" s="21"/>
      <c r="DNR87" s="21"/>
      <c r="DNS87" s="21"/>
      <c r="DNT87" s="21"/>
      <c r="DNU87" s="21"/>
      <c r="DNV87" s="21"/>
      <c r="DNW87" s="21"/>
      <c r="DNX87" s="21"/>
      <c r="DNY87" s="21"/>
      <c r="DNZ87" s="21"/>
      <c r="DOA87" s="21"/>
      <c r="DOB87" s="21"/>
      <c r="DOC87" s="21"/>
      <c r="DOD87" s="21"/>
      <c r="DOE87" s="21"/>
      <c r="DOF87" s="21"/>
      <c r="DOG87" s="21"/>
      <c r="DOH87" s="21"/>
      <c r="DOI87" s="21"/>
      <c r="DOJ87" s="21"/>
      <c r="DOK87" s="21"/>
      <c r="DOL87" s="21"/>
      <c r="DOM87" s="21"/>
      <c r="DON87" s="21"/>
      <c r="DOO87" s="21"/>
      <c r="DOP87" s="21"/>
      <c r="DOQ87" s="21"/>
      <c r="DOR87" s="21"/>
      <c r="DOS87" s="21"/>
      <c r="DOT87" s="21"/>
      <c r="DOU87" s="21"/>
      <c r="DOV87" s="21"/>
      <c r="DOW87" s="21"/>
      <c r="DOX87" s="21"/>
      <c r="DOY87" s="21"/>
      <c r="DOZ87" s="21"/>
      <c r="DPA87" s="21"/>
      <c r="DPB87" s="21"/>
      <c r="DPC87" s="21"/>
      <c r="DPD87" s="21"/>
      <c r="DPE87" s="21"/>
      <c r="DPF87" s="21"/>
      <c r="DPG87" s="21"/>
      <c r="DPH87" s="21"/>
      <c r="DPI87" s="21"/>
      <c r="DPJ87" s="21"/>
      <c r="DPK87" s="21"/>
      <c r="DPL87" s="21"/>
      <c r="DPM87" s="21"/>
      <c r="DPN87" s="21"/>
      <c r="DPO87" s="21"/>
      <c r="DPP87" s="21"/>
      <c r="DPQ87" s="21"/>
      <c r="DPR87" s="21"/>
      <c r="DPS87" s="21"/>
      <c r="DPT87" s="21"/>
      <c r="DPU87" s="21"/>
      <c r="DPV87" s="21"/>
      <c r="DPW87" s="21"/>
      <c r="DPX87" s="21"/>
      <c r="DPY87" s="21"/>
      <c r="DPZ87" s="21"/>
      <c r="DQA87" s="21"/>
      <c r="DQB87" s="21"/>
      <c r="DQC87" s="21"/>
      <c r="DQD87" s="21"/>
      <c r="DQE87" s="21"/>
      <c r="DQF87" s="21"/>
      <c r="DQG87" s="21"/>
      <c r="DQH87" s="21"/>
      <c r="DQI87" s="21"/>
      <c r="DQJ87" s="21"/>
      <c r="DQK87" s="21"/>
      <c r="DQL87" s="21"/>
      <c r="DQM87" s="21"/>
      <c r="DQN87" s="21"/>
      <c r="DQO87" s="21"/>
      <c r="DQP87" s="21"/>
      <c r="DQQ87" s="21"/>
      <c r="DQR87" s="21"/>
      <c r="DQS87" s="21"/>
      <c r="DQT87" s="21"/>
      <c r="DQU87" s="21"/>
      <c r="DQV87" s="21"/>
      <c r="DQW87" s="21"/>
      <c r="DQX87" s="21"/>
      <c r="DQY87" s="21"/>
      <c r="DQZ87" s="21"/>
      <c r="DRA87" s="21"/>
      <c r="DRB87" s="21"/>
      <c r="DRC87" s="21"/>
      <c r="DRD87" s="21"/>
      <c r="DRE87" s="21"/>
      <c r="DRF87" s="21"/>
      <c r="DRG87" s="21"/>
      <c r="DRH87" s="21"/>
      <c r="DRI87" s="21"/>
      <c r="DRJ87" s="21"/>
      <c r="DRK87" s="21"/>
      <c r="DRL87" s="21"/>
      <c r="DRM87" s="21"/>
      <c r="DRN87" s="21"/>
      <c r="DRO87" s="21"/>
      <c r="DRP87" s="21"/>
      <c r="DRQ87" s="21"/>
      <c r="DRR87" s="21"/>
      <c r="DRS87" s="21"/>
      <c r="DRT87" s="21"/>
      <c r="DRU87" s="21"/>
      <c r="DRV87" s="21"/>
      <c r="DRW87" s="21"/>
      <c r="DRX87" s="21"/>
      <c r="DRY87" s="21"/>
      <c r="DRZ87" s="21"/>
      <c r="DSA87" s="21"/>
      <c r="DSB87" s="21"/>
      <c r="DSC87" s="21"/>
      <c r="DSD87" s="21"/>
      <c r="DSE87" s="21"/>
      <c r="DSF87" s="21"/>
      <c r="DSG87" s="21"/>
      <c r="DSH87" s="21"/>
      <c r="DSI87" s="21"/>
      <c r="DSJ87" s="21"/>
      <c r="DSK87" s="21"/>
      <c r="DSL87" s="21"/>
      <c r="DSM87" s="21"/>
      <c r="DSN87" s="21"/>
      <c r="DSO87" s="21"/>
      <c r="DSP87" s="21"/>
      <c r="DSQ87" s="21"/>
      <c r="DSR87" s="21"/>
      <c r="DSS87" s="21"/>
      <c r="DST87" s="21"/>
      <c r="DSU87" s="21"/>
      <c r="DSV87" s="21"/>
      <c r="DSW87" s="21"/>
      <c r="DSX87" s="21"/>
      <c r="DSY87" s="21"/>
      <c r="DSZ87" s="21"/>
      <c r="DTA87" s="21"/>
      <c r="DTB87" s="21"/>
      <c r="DTC87" s="21"/>
      <c r="DTD87" s="21"/>
      <c r="DTE87" s="21"/>
      <c r="DTF87" s="21"/>
      <c r="DTG87" s="21"/>
      <c r="DTH87" s="21"/>
      <c r="DTI87" s="21"/>
      <c r="DTJ87" s="21"/>
      <c r="DTK87" s="21"/>
      <c r="DTL87" s="21"/>
      <c r="DTM87" s="21"/>
      <c r="DTN87" s="21"/>
      <c r="DTO87" s="21"/>
      <c r="DTP87" s="21"/>
      <c r="DTQ87" s="21"/>
      <c r="DTR87" s="21"/>
      <c r="DTS87" s="21"/>
      <c r="DTT87" s="21"/>
      <c r="DTU87" s="21"/>
      <c r="DTV87" s="21"/>
      <c r="DTW87" s="21"/>
      <c r="DTX87" s="21"/>
      <c r="DTY87" s="21"/>
      <c r="DTZ87" s="21"/>
      <c r="DUA87" s="21"/>
      <c r="DUB87" s="21"/>
      <c r="DUC87" s="21"/>
      <c r="DUD87" s="21"/>
      <c r="DUE87" s="21"/>
      <c r="DUF87" s="21"/>
      <c r="DUG87" s="21"/>
      <c r="DUH87" s="21"/>
      <c r="DUI87" s="21"/>
      <c r="DUJ87" s="21"/>
      <c r="DUK87" s="21"/>
      <c r="DUL87" s="21"/>
      <c r="DUM87" s="21"/>
      <c r="DUN87" s="21"/>
      <c r="DUO87" s="21"/>
      <c r="DUP87" s="21"/>
      <c r="DUQ87" s="21"/>
      <c r="DUR87" s="21"/>
      <c r="DUS87" s="21"/>
      <c r="DUT87" s="21"/>
      <c r="DUU87" s="21"/>
      <c r="DUV87" s="21"/>
      <c r="DUW87" s="21"/>
      <c r="DUX87" s="21"/>
      <c r="DUY87" s="21"/>
      <c r="DUZ87" s="21"/>
      <c r="DVA87" s="21"/>
      <c r="DVB87" s="21"/>
      <c r="DVC87" s="21"/>
      <c r="DVD87" s="21"/>
      <c r="DVE87" s="21"/>
      <c r="DVF87" s="21"/>
      <c r="DVG87" s="21"/>
      <c r="DVH87" s="21"/>
      <c r="DVI87" s="21"/>
      <c r="DVJ87" s="21"/>
      <c r="DVK87" s="21"/>
      <c r="DVL87" s="21"/>
      <c r="DVM87" s="21"/>
      <c r="DVN87" s="21"/>
      <c r="DVO87" s="21"/>
      <c r="DVP87" s="21"/>
      <c r="DVQ87" s="21"/>
      <c r="DVR87" s="21"/>
      <c r="DVS87" s="21"/>
      <c r="DVT87" s="21"/>
      <c r="DVU87" s="21"/>
      <c r="DVV87" s="21"/>
      <c r="DVW87" s="21"/>
      <c r="DVX87" s="21"/>
      <c r="DVY87" s="21"/>
      <c r="DVZ87" s="21"/>
      <c r="DWA87" s="21"/>
      <c r="DWB87" s="21"/>
      <c r="DWC87" s="21"/>
      <c r="DWD87" s="21"/>
      <c r="DWE87" s="21"/>
      <c r="DWF87" s="21"/>
      <c r="DWG87" s="21"/>
      <c r="DWH87" s="21"/>
      <c r="DWI87" s="21"/>
      <c r="DWJ87" s="21"/>
      <c r="DWK87" s="21"/>
      <c r="DWL87" s="21"/>
      <c r="DWM87" s="21"/>
      <c r="DWN87" s="21"/>
      <c r="DWO87" s="21"/>
      <c r="DWP87" s="21"/>
      <c r="DWQ87" s="21"/>
      <c r="DWR87" s="21"/>
      <c r="DWS87" s="21"/>
      <c r="DWT87" s="21"/>
      <c r="DWU87" s="21"/>
      <c r="DWV87" s="21"/>
      <c r="DWW87" s="21"/>
      <c r="DWX87" s="21"/>
      <c r="DWY87" s="21"/>
      <c r="DWZ87" s="21"/>
      <c r="DXA87" s="21"/>
      <c r="DXB87" s="21"/>
      <c r="DXC87" s="21"/>
      <c r="DXD87" s="21"/>
      <c r="DXE87" s="21"/>
      <c r="DXF87" s="21"/>
      <c r="DXG87" s="21"/>
      <c r="DXH87" s="21"/>
      <c r="DXI87" s="21"/>
      <c r="DXJ87" s="21"/>
      <c r="DXK87" s="21"/>
      <c r="DXL87" s="21"/>
      <c r="DXM87" s="21"/>
      <c r="DXN87" s="21"/>
      <c r="DXO87" s="21"/>
      <c r="DXP87" s="21"/>
      <c r="DXQ87" s="21"/>
      <c r="DXR87" s="21"/>
      <c r="DXS87" s="21"/>
      <c r="DXT87" s="21"/>
      <c r="DXU87" s="21"/>
      <c r="DXV87" s="21"/>
      <c r="DXW87" s="21"/>
      <c r="DXX87" s="21"/>
      <c r="DXY87" s="21"/>
      <c r="DXZ87" s="21"/>
      <c r="DYA87" s="21"/>
      <c r="DYB87" s="21"/>
      <c r="DYC87" s="21"/>
      <c r="DYD87" s="21"/>
      <c r="DYE87" s="21"/>
      <c r="DYF87" s="21"/>
      <c r="DYG87" s="21"/>
      <c r="DYH87" s="21"/>
      <c r="DYI87" s="21"/>
      <c r="DYJ87" s="21"/>
      <c r="DYK87" s="21"/>
      <c r="DYL87" s="21"/>
      <c r="DYM87" s="21"/>
      <c r="DYN87" s="21"/>
      <c r="DYO87" s="21"/>
      <c r="DYP87" s="21"/>
      <c r="DYQ87" s="21"/>
      <c r="DYR87" s="21"/>
      <c r="DYS87" s="21"/>
      <c r="DYT87" s="21"/>
      <c r="DYU87" s="21"/>
      <c r="DYV87" s="21"/>
      <c r="DYW87" s="21"/>
      <c r="DYX87" s="21"/>
      <c r="DYY87" s="21"/>
      <c r="DYZ87" s="21"/>
      <c r="DZA87" s="21"/>
      <c r="DZB87" s="21"/>
      <c r="DZC87" s="21"/>
      <c r="DZD87" s="21"/>
      <c r="DZE87" s="21"/>
      <c r="DZF87" s="21"/>
      <c r="DZG87" s="21"/>
      <c r="DZH87" s="21"/>
      <c r="DZI87" s="21"/>
      <c r="DZJ87" s="21"/>
      <c r="DZK87" s="21"/>
      <c r="DZL87" s="21"/>
      <c r="DZM87" s="21"/>
      <c r="DZN87" s="21"/>
      <c r="DZO87" s="21"/>
      <c r="DZP87" s="21"/>
      <c r="DZQ87" s="21"/>
      <c r="DZR87" s="21"/>
      <c r="DZS87" s="21"/>
      <c r="DZT87" s="21"/>
      <c r="DZU87" s="21"/>
      <c r="DZV87" s="21"/>
      <c r="DZW87" s="21"/>
      <c r="DZX87" s="21"/>
      <c r="DZY87" s="21"/>
      <c r="DZZ87" s="21"/>
      <c r="EAA87" s="21"/>
      <c r="EAB87" s="21"/>
      <c r="EAC87" s="21"/>
      <c r="EAD87" s="21"/>
      <c r="EAE87" s="21"/>
      <c r="EAF87" s="21"/>
      <c r="EAG87" s="21"/>
      <c r="EAH87" s="21"/>
      <c r="EAI87" s="21"/>
      <c r="EAJ87" s="21"/>
      <c r="EAK87" s="21"/>
      <c r="EAL87" s="21"/>
      <c r="EAM87" s="21"/>
      <c r="EAN87" s="21"/>
      <c r="EAO87" s="21"/>
      <c r="EAP87" s="21"/>
      <c r="EAQ87" s="21"/>
      <c r="EAR87" s="21"/>
      <c r="EAS87" s="21"/>
      <c r="EAT87" s="21"/>
      <c r="EAU87" s="21"/>
      <c r="EAV87" s="21"/>
      <c r="EAW87" s="21"/>
      <c r="EAX87" s="21"/>
      <c r="EAY87" s="21"/>
      <c r="EAZ87" s="21"/>
      <c r="EBA87" s="21"/>
      <c r="EBB87" s="21"/>
      <c r="EBC87" s="21"/>
      <c r="EBD87" s="21"/>
      <c r="EBE87" s="21"/>
      <c r="EBF87" s="21"/>
      <c r="EBG87" s="21"/>
      <c r="EBH87" s="21"/>
      <c r="EBI87" s="21"/>
      <c r="EBJ87" s="21"/>
      <c r="EBK87" s="21"/>
      <c r="EBL87" s="21"/>
      <c r="EBM87" s="21"/>
      <c r="EBN87" s="21"/>
      <c r="EBO87" s="21"/>
      <c r="EBP87" s="21"/>
      <c r="EBQ87" s="21"/>
      <c r="EBR87" s="21"/>
      <c r="EBS87" s="21"/>
      <c r="EBT87" s="21"/>
      <c r="EBU87" s="21"/>
      <c r="EBV87" s="21"/>
      <c r="EBW87" s="21"/>
      <c r="EBX87" s="21"/>
      <c r="EBY87" s="21"/>
      <c r="EBZ87" s="21"/>
      <c r="ECA87" s="21"/>
      <c r="ECB87" s="21"/>
      <c r="ECC87" s="21"/>
      <c r="ECD87" s="21"/>
      <c r="ECE87" s="21"/>
      <c r="ECF87" s="21"/>
      <c r="ECG87" s="21"/>
      <c r="ECH87" s="21"/>
      <c r="ECI87" s="21"/>
      <c r="ECJ87" s="21"/>
      <c r="ECK87" s="21"/>
      <c r="ECL87" s="21"/>
      <c r="ECM87" s="21"/>
      <c r="ECN87" s="21"/>
      <c r="ECO87" s="21"/>
      <c r="ECP87" s="21"/>
      <c r="ECQ87" s="21"/>
      <c r="ECR87" s="21"/>
      <c r="ECS87" s="21"/>
      <c r="ECT87" s="21"/>
      <c r="ECU87" s="21"/>
      <c r="ECV87" s="21"/>
      <c r="ECW87" s="21"/>
      <c r="ECX87" s="21"/>
      <c r="ECY87" s="21"/>
      <c r="ECZ87" s="21"/>
      <c r="EDA87" s="21"/>
      <c r="EDB87" s="21"/>
      <c r="EDC87" s="21"/>
      <c r="EDD87" s="21"/>
      <c r="EDE87" s="21"/>
      <c r="EDF87" s="21"/>
      <c r="EDG87" s="21"/>
      <c r="EDH87" s="21"/>
      <c r="EDI87" s="21"/>
      <c r="EDJ87" s="21"/>
      <c r="EDK87" s="21"/>
      <c r="EDL87" s="21"/>
      <c r="EDM87" s="21"/>
      <c r="EDN87" s="21"/>
      <c r="EDO87" s="21"/>
      <c r="EDP87" s="21"/>
      <c r="EDQ87" s="21"/>
      <c r="EDR87" s="21"/>
      <c r="EDS87" s="21"/>
      <c r="EDT87" s="21"/>
      <c r="EDU87" s="21"/>
      <c r="EDV87" s="21"/>
      <c r="EDW87" s="21"/>
      <c r="EDX87" s="21"/>
      <c r="EDY87" s="21"/>
      <c r="EDZ87" s="21"/>
      <c r="EEA87" s="21"/>
      <c r="EEB87" s="21"/>
      <c r="EEC87" s="21"/>
      <c r="EED87" s="21"/>
      <c r="EEE87" s="21"/>
      <c r="EEF87" s="21"/>
      <c r="EEG87" s="21"/>
      <c r="EEH87" s="21"/>
      <c r="EEI87" s="21"/>
      <c r="EEJ87" s="21"/>
      <c r="EEK87" s="21"/>
      <c r="EEL87" s="21"/>
      <c r="EEM87" s="21"/>
      <c r="EEN87" s="21"/>
      <c r="EEO87" s="21"/>
      <c r="EEP87" s="21"/>
      <c r="EEQ87" s="21"/>
      <c r="EER87" s="21"/>
      <c r="EES87" s="21"/>
      <c r="EET87" s="21"/>
      <c r="EEU87" s="21"/>
      <c r="EEV87" s="21"/>
      <c r="EEW87" s="21"/>
      <c r="EEX87" s="21"/>
      <c r="EEY87" s="21"/>
      <c r="EEZ87" s="21"/>
      <c r="EFA87" s="21"/>
      <c r="EFB87" s="21"/>
      <c r="EFC87" s="21"/>
      <c r="EFD87" s="21"/>
      <c r="EFE87" s="21"/>
      <c r="EFF87" s="21"/>
      <c r="EFG87" s="21"/>
      <c r="EFH87" s="21"/>
      <c r="EFI87" s="21"/>
      <c r="EFJ87" s="21"/>
      <c r="EFK87" s="21"/>
      <c r="EFL87" s="21"/>
      <c r="EFM87" s="21"/>
      <c r="EFN87" s="21"/>
      <c r="EFO87" s="21"/>
      <c r="EFP87" s="21"/>
      <c r="EFQ87" s="21"/>
      <c r="EFR87" s="21"/>
      <c r="EFS87" s="21"/>
      <c r="EFT87" s="21"/>
      <c r="EFU87" s="21"/>
      <c r="EFV87" s="21"/>
      <c r="EFW87" s="21"/>
      <c r="EFX87" s="21"/>
      <c r="EFY87" s="21"/>
      <c r="EFZ87" s="21"/>
      <c r="EGA87" s="21"/>
      <c r="EGB87" s="21"/>
      <c r="EGC87" s="21"/>
      <c r="EGD87" s="21"/>
      <c r="EGE87" s="21"/>
      <c r="EGF87" s="21"/>
      <c r="EGG87" s="21"/>
      <c r="EGH87" s="21"/>
      <c r="EGI87" s="21"/>
      <c r="EGJ87" s="21"/>
      <c r="EGK87" s="21"/>
      <c r="EGL87" s="21"/>
      <c r="EGM87" s="21"/>
      <c r="EGN87" s="21"/>
      <c r="EGO87" s="21"/>
      <c r="EGP87" s="21"/>
      <c r="EGQ87" s="21"/>
      <c r="EGR87" s="21"/>
      <c r="EGS87" s="21"/>
      <c r="EGT87" s="21"/>
      <c r="EGU87" s="21"/>
      <c r="EGV87" s="21"/>
      <c r="EGW87" s="21"/>
      <c r="EGX87" s="21"/>
      <c r="EGY87" s="21"/>
      <c r="EGZ87" s="21"/>
      <c r="EHA87" s="21"/>
      <c r="EHB87" s="21"/>
      <c r="EHC87" s="21"/>
      <c r="EHD87" s="21"/>
      <c r="EHE87" s="21"/>
      <c r="EHF87" s="21"/>
      <c r="EHG87" s="21"/>
      <c r="EHH87" s="21"/>
      <c r="EHI87" s="21"/>
      <c r="EHJ87" s="21"/>
      <c r="EHK87" s="21"/>
      <c r="EHL87" s="21"/>
      <c r="EHM87" s="21"/>
      <c r="EHN87" s="21"/>
      <c r="EHO87" s="21"/>
      <c r="EHP87" s="21"/>
      <c r="EHQ87" s="21"/>
      <c r="EHR87" s="21"/>
      <c r="EHS87" s="21"/>
      <c r="EHT87" s="21"/>
      <c r="EHU87" s="21"/>
      <c r="EHV87" s="21"/>
      <c r="EHW87" s="21"/>
      <c r="EHX87" s="21"/>
      <c r="EHY87" s="21"/>
      <c r="EHZ87" s="21"/>
      <c r="EIA87" s="21"/>
      <c r="EIB87" s="21"/>
      <c r="EIC87" s="21"/>
      <c r="EID87" s="21"/>
      <c r="EIE87" s="21"/>
      <c r="EIF87" s="21"/>
      <c r="EIG87" s="21"/>
      <c r="EIH87" s="21"/>
      <c r="EII87" s="21"/>
      <c r="EIJ87" s="21"/>
      <c r="EIK87" s="21"/>
      <c r="EIL87" s="21"/>
      <c r="EIM87" s="21"/>
      <c r="EIN87" s="21"/>
      <c r="EIO87" s="21"/>
      <c r="EIP87" s="21"/>
      <c r="EIQ87" s="21"/>
      <c r="EIR87" s="21"/>
      <c r="EIS87" s="21"/>
      <c r="EIT87" s="21"/>
      <c r="EIU87" s="21"/>
      <c r="EIV87" s="21"/>
      <c r="EIW87" s="21"/>
      <c r="EIX87" s="21"/>
      <c r="EIY87" s="21"/>
      <c r="EIZ87" s="21"/>
      <c r="EJA87" s="21"/>
      <c r="EJB87" s="21"/>
      <c r="EJC87" s="21"/>
      <c r="EJD87" s="21"/>
      <c r="EJE87" s="21"/>
      <c r="EJF87" s="21"/>
      <c r="EJG87" s="21"/>
      <c r="EJH87" s="21"/>
      <c r="EJI87" s="21"/>
      <c r="EJJ87" s="21"/>
      <c r="EJK87" s="21"/>
      <c r="EJL87" s="21"/>
      <c r="EJM87" s="21"/>
      <c r="EJN87" s="21"/>
      <c r="EJO87" s="21"/>
      <c r="EJP87" s="21"/>
      <c r="EJQ87" s="21"/>
      <c r="EJR87" s="21"/>
      <c r="EJS87" s="21"/>
      <c r="EJT87" s="21"/>
      <c r="EJU87" s="21"/>
      <c r="EJV87" s="21"/>
      <c r="EJW87" s="21"/>
      <c r="EJX87" s="21"/>
      <c r="EJY87" s="21"/>
      <c r="EJZ87" s="21"/>
      <c r="EKA87" s="21"/>
      <c r="EKB87" s="21"/>
      <c r="EKC87" s="21"/>
      <c r="EKD87" s="21"/>
      <c r="EKE87" s="21"/>
      <c r="EKF87" s="21"/>
      <c r="EKG87" s="21"/>
      <c r="EKH87" s="21"/>
      <c r="EKI87" s="21"/>
      <c r="EKJ87" s="21"/>
      <c r="EKK87" s="21"/>
      <c r="EKL87" s="21"/>
      <c r="EKM87" s="21"/>
      <c r="EKN87" s="21"/>
      <c r="EKO87" s="21"/>
      <c r="EKP87" s="21"/>
      <c r="EKQ87" s="21"/>
      <c r="EKR87" s="21"/>
      <c r="EKS87" s="21"/>
      <c r="EKT87" s="21"/>
      <c r="EKU87" s="21"/>
      <c r="EKV87" s="21"/>
      <c r="EKW87" s="21"/>
      <c r="EKX87" s="21"/>
      <c r="EKY87" s="21"/>
      <c r="EKZ87" s="21"/>
      <c r="ELA87" s="21"/>
      <c r="ELB87" s="21"/>
      <c r="ELC87" s="21"/>
      <c r="ELD87" s="21"/>
      <c r="ELE87" s="21"/>
      <c r="ELF87" s="21"/>
      <c r="ELG87" s="21"/>
      <c r="ELH87" s="21"/>
      <c r="ELI87" s="21"/>
      <c r="ELJ87" s="21"/>
      <c r="ELK87" s="21"/>
      <c r="ELL87" s="21"/>
      <c r="ELM87" s="21"/>
      <c r="ELN87" s="21"/>
      <c r="ELO87" s="21"/>
      <c r="ELP87" s="21"/>
      <c r="ELQ87" s="21"/>
      <c r="ELR87" s="21"/>
      <c r="ELS87" s="21"/>
      <c r="ELT87" s="21"/>
      <c r="ELU87" s="21"/>
      <c r="ELV87" s="21"/>
      <c r="ELW87" s="21"/>
      <c r="ELX87" s="21"/>
      <c r="ELY87" s="21"/>
      <c r="ELZ87" s="21"/>
      <c r="EMA87" s="21"/>
      <c r="EMB87" s="21"/>
      <c r="EMC87" s="21"/>
      <c r="EMD87" s="21"/>
      <c r="EME87" s="21"/>
      <c r="EMF87" s="21"/>
      <c r="EMG87" s="21"/>
      <c r="EMH87" s="21"/>
      <c r="EMI87" s="21"/>
      <c r="EMJ87" s="21"/>
      <c r="EMK87" s="21"/>
      <c r="EML87" s="21"/>
      <c r="EMM87" s="21"/>
      <c r="EMN87" s="21"/>
      <c r="EMO87" s="21"/>
      <c r="EMP87" s="21"/>
      <c r="EMQ87" s="21"/>
      <c r="EMR87" s="21"/>
      <c r="EMS87" s="21"/>
      <c r="EMT87" s="21"/>
      <c r="EMU87" s="21"/>
      <c r="EMV87" s="21"/>
      <c r="EMW87" s="21"/>
      <c r="EMX87" s="21"/>
      <c r="EMY87" s="21"/>
      <c r="EMZ87" s="21"/>
      <c r="ENA87" s="21"/>
      <c r="ENB87" s="21"/>
      <c r="ENC87" s="21"/>
      <c r="END87" s="21"/>
      <c r="ENE87" s="21"/>
      <c r="ENF87" s="21"/>
      <c r="ENG87" s="21"/>
      <c r="ENH87" s="21"/>
      <c r="ENI87" s="21"/>
      <c r="ENJ87" s="21"/>
      <c r="ENK87" s="21"/>
      <c r="ENL87" s="21"/>
      <c r="ENM87" s="21"/>
      <c r="ENN87" s="21"/>
      <c r="ENO87" s="21"/>
      <c r="ENP87" s="21"/>
      <c r="ENQ87" s="21"/>
      <c r="ENR87" s="21"/>
      <c r="ENS87" s="21"/>
      <c r="ENT87" s="21"/>
      <c r="ENU87" s="21"/>
      <c r="ENV87" s="21"/>
      <c r="ENW87" s="21"/>
      <c r="ENX87" s="21"/>
      <c r="ENY87" s="21"/>
      <c r="ENZ87" s="21"/>
      <c r="EOA87" s="21"/>
      <c r="EOB87" s="21"/>
      <c r="EOC87" s="21"/>
      <c r="EOD87" s="21"/>
      <c r="EOE87" s="21"/>
      <c r="EOF87" s="21"/>
      <c r="EOG87" s="21"/>
      <c r="EOH87" s="21"/>
      <c r="EOI87" s="21"/>
      <c r="EOJ87" s="21"/>
      <c r="EOK87" s="21"/>
      <c r="EOL87" s="21"/>
      <c r="EOM87" s="21"/>
      <c r="EON87" s="21"/>
      <c r="EOO87" s="21"/>
      <c r="EOP87" s="21"/>
      <c r="EOQ87" s="21"/>
      <c r="EOR87" s="21"/>
      <c r="EOS87" s="21"/>
      <c r="EOT87" s="21"/>
      <c r="EOU87" s="21"/>
      <c r="EOV87" s="21"/>
      <c r="EOW87" s="21"/>
      <c r="EOX87" s="21"/>
      <c r="EOY87" s="21"/>
      <c r="EOZ87" s="21"/>
      <c r="EPA87" s="21"/>
      <c r="EPB87" s="21"/>
      <c r="EPC87" s="21"/>
      <c r="EPD87" s="21"/>
      <c r="EPE87" s="21"/>
      <c r="EPF87" s="21"/>
      <c r="EPG87" s="21"/>
      <c r="EPH87" s="21"/>
      <c r="EPI87" s="21"/>
      <c r="EPJ87" s="21"/>
      <c r="EPK87" s="21"/>
      <c r="EPL87" s="21"/>
      <c r="EPM87" s="21"/>
      <c r="EPN87" s="21"/>
      <c r="EPO87" s="21"/>
      <c r="EPP87" s="21"/>
      <c r="EPQ87" s="21"/>
      <c r="EPR87" s="21"/>
      <c r="EPS87" s="21"/>
      <c r="EPT87" s="21"/>
      <c r="EPU87" s="21"/>
      <c r="EPV87" s="21"/>
      <c r="EPW87" s="21"/>
      <c r="EPX87" s="21"/>
      <c r="EPY87" s="21"/>
      <c r="EPZ87" s="21"/>
      <c r="EQA87" s="21"/>
      <c r="EQB87" s="21"/>
      <c r="EQC87" s="21"/>
      <c r="EQD87" s="21"/>
      <c r="EQE87" s="21"/>
      <c r="EQF87" s="21"/>
      <c r="EQG87" s="21"/>
      <c r="EQH87" s="21"/>
      <c r="EQI87" s="21"/>
      <c r="EQJ87" s="21"/>
      <c r="EQK87" s="21"/>
      <c r="EQL87" s="21"/>
      <c r="EQM87" s="21"/>
      <c r="EQN87" s="21"/>
      <c r="EQO87" s="21"/>
      <c r="EQP87" s="21"/>
      <c r="EQQ87" s="21"/>
      <c r="EQR87" s="21"/>
      <c r="EQS87" s="21"/>
      <c r="EQT87" s="21"/>
      <c r="EQU87" s="21"/>
      <c r="EQV87" s="21"/>
      <c r="EQW87" s="21"/>
      <c r="EQX87" s="21"/>
      <c r="EQY87" s="21"/>
      <c r="EQZ87" s="21"/>
      <c r="ERA87" s="21"/>
      <c r="ERB87" s="21"/>
      <c r="ERC87" s="21"/>
      <c r="ERD87" s="21"/>
      <c r="ERE87" s="21"/>
      <c r="ERF87" s="21"/>
      <c r="ERG87" s="21"/>
      <c r="ERH87" s="21"/>
      <c r="ERI87" s="21"/>
      <c r="ERJ87" s="21"/>
      <c r="ERK87" s="21"/>
      <c r="ERL87" s="21"/>
      <c r="ERM87" s="21"/>
      <c r="ERN87" s="21"/>
      <c r="ERO87" s="21"/>
      <c r="ERP87" s="21"/>
      <c r="ERQ87" s="21"/>
      <c r="ERR87" s="21"/>
      <c r="ERS87" s="21"/>
      <c r="ERT87" s="21"/>
      <c r="ERU87" s="21"/>
      <c r="ERV87" s="21"/>
      <c r="ERW87" s="21"/>
      <c r="ERX87" s="21"/>
      <c r="ERY87" s="21"/>
      <c r="ERZ87" s="21"/>
      <c r="ESA87" s="21"/>
      <c r="ESB87" s="21"/>
      <c r="ESC87" s="21"/>
      <c r="ESD87" s="21"/>
      <c r="ESE87" s="21"/>
      <c r="ESF87" s="21"/>
      <c r="ESG87" s="21"/>
      <c r="ESH87" s="21"/>
      <c r="ESI87" s="21"/>
      <c r="ESJ87" s="21"/>
      <c r="ESK87" s="21"/>
      <c r="ESL87" s="21"/>
      <c r="ESM87" s="21"/>
      <c r="ESN87" s="21"/>
      <c r="ESO87" s="21"/>
      <c r="ESP87" s="21"/>
      <c r="ESQ87" s="21"/>
      <c r="ESR87" s="21"/>
      <c r="ESS87" s="21"/>
      <c r="EST87" s="21"/>
      <c r="ESU87" s="21"/>
      <c r="ESV87" s="21"/>
      <c r="ESW87" s="21"/>
      <c r="ESX87" s="21"/>
      <c r="ESY87" s="21"/>
      <c r="ESZ87" s="21"/>
      <c r="ETA87" s="21"/>
      <c r="ETB87" s="21"/>
      <c r="ETC87" s="21"/>
      <c r="ETD87" s="21"/>
      <c r="ETE87" s="21"/>
      <c r="ETF87" s="21"/>
      <c r="ETG87" s="21"/>
      <c r="ETH87" s="21"/>
      <c r="ETI87" s="21"/>
      <c r="ETJ87" s="21"/>
      <c r="ETK87" s="21"/>
      <c r="ETL87" s="21"/>
      <c r="ETM87" s="21"/>
      <c r="ETN87" s="21"/>
      <c r="ETO87" s="21"/>
      <c r="ETP87" s="21"/>
      <c r="ETQ87" s="21"/>
      <c r="ETR87" s="21"/>
      <c r="ETS87" s="21"/>
      <c r="ETT87" s="21"/>
      <c r="ETU87" s="21"/>
      <c r="ETV87" s="21"/>
      <c r="ETW87" s="21"/>
      <c r="ETX87" s="21"/>
      <c r="ETY87" s="21"/>
      <c r="ETZ87" s="21"/>
      <c r="EUA87" s="21"/>
      <c r="EUB87" s="21"/>
      <c r="EUC87" s="21"/>
      <c r="EUD87" s="21"/>
      <c r="EUE87" s="21"/>
      <c r="EUF87" s="21"/>
      <c r="EUG87" s="21"/>
      <c r="EUH87" s="21"/>
      <c r="EUI87" s="21"/>
      <c r="EUJ87" s="21"/>
      <c r="EUK87" s="21"/>
      <c r="EUL87" s="21"/>
      <c r="EUM87" s="21"/>
      <c r="EUN87" s="21"/>
      <c r="EUO87" s="21"/>
      <c r="EUP87" s="21"/>
      <c r="EUQ87" s="21"/>
      <c r="EUR87" s="21"/>
      <c r="EUS87" s="21"/>
      <c r="EUT87" s="21"/>
      <c r="EUU87" s="21"/>
      <c r="EUV87" s="21"/>
      <c r="EUW87" s="21"/>
      <c r="EUX87" s="21"/>
      <c r="EUY87" s="21"/>
      <c r="EUZ87" s="21"/>
      <c r="EVA87" s="21"/>
      <c r="EVB87" s="21"/>
      <c r="EVC87" s="21"/>
      <c r="EVD87" s="21"/>
      <c r="EVE87" s="21"/>
      <c r="EVF87" s="21"/>
      <c r="EVG87" s="21"/>
      <c r="EVH87" s="21"/>
      <c r="EVI87" s="21"/>
      <c r="EVJ87" s="21"/>
      <c r="EVK87" s="21"/>
      <c r="EVL87" s="21"/>
      <c r="EVM87" s="21"/>
      <c r="EVN87" s="21"/>
      <c r="EVO87" s="21"/>
      <c r="EVP87" s="21"/>
      <c r="EVQ87" s="21"/>
      <c r="EVR87" s="21"/>
      <c r="EVS87" s="21"/>
      <c r="EVT87" s="21"/>
      <c r="EVU87" s="21"/>
      <c r="EVV87" s="21"/>
      <c r="EVW87" s="21"/>
      <c r="EVX87" s="21"/>
      <c r="EVY87" s="21"/>
      <c r="EVZ87" s="21"/>
      <c r="EWA87" s="21"/>
      <c r="EWB87" s="21"/>
      <c r="EWC87" s="21"/>
      <c r="EWD87" s="21"/>
      <c r="EWE87" s="21"/>
      <c r="EWF87" s="21"/>
      <c r="EWG87" s="21"/>
      <c r="EWH87" s="21"/>
      <c r="EWI87" s="21"/>
      <c r="EWJ87" s="21"/>
      <c r="EWK87" s="21"/>
      <c r="EWL87" s="21"/>
      <c r="EWM87" s="21"/>
      <c r="EWN87" s="21"/>
      <c r="EWO87" s="21"/>
      <c r="EWP87" s="21"/>
      <c r="EWQ87" s="21"/>
      <c r="EWR87" s="21"/>
      <c r="EWS87" s="21"/>
      <c r="EWT87" s="21"/>
      <c r="EWU87" s="21"/>
      <c r="EWV87" s="21"/>
      <c r="EWW87" s="21"/>
      <c r="EWX87" s="21"/>
      <c r="EWY87" s="21"/>
      <c r="EWZ87" s="21"/>
      <c r="EXA87" s="21"/>
      <c r="EXB87" s="21"/>
      <c r="EXC87" s="21"/>
      <c r="EXD87" s="21"/>
      <c r="EXE87" s="21"/>
      <c r="EXF87" s="21"/>
      <c r="EXG87" s="21"/>
      <c r="EXH87" s="21"/>
      <c r="EXI87" s="21"/>
      <c r="EXJ87" s="21"/>
      <c r="EXK87" s="21"/>
      <c r="EXL87" s="21"/>
      <c r="EXM87" s="21"/>
      <c r="EXN87" s="21"/>
      <c r="EXO87" s="21"/>
      <c r="EXP87" s="21"/>
      <c r="EXQ87" s="21"/>
      <c r="EXR87" s="21"/>
      <c r="EXS87" s="21"/>
      <c r="EXT87" s="21"/>
      <c r="EXU87" s="21"/>
      <c r="EXV87" s="21"/>
      <c r="EXW87" s="21"/>
      <c r="EXX87" s="21"/>
      <c r="EXY87" s="21"/>
      <c r="EXZ87" s="21"/>
      <c r="EYA87" s="21"/>
      <c r="EYB87" s="21"/>
      <c r="EYC87" s="21"/>
      <c r="EYD87" s="21"/>
      <c r="EYE87" s="21"/>
      <c r="EYF87" s="21"/>
      <c r="EYG87" s="21"/>
      <c r="EYH87" s="21"/>
      <c r="EYI87" s="21"/>
      <c r="EYJ87" s="21"/>
      <c r="EYK87" s="21"/>
      <c r="EYL87" s="21"/>
      <c r="EYM87" s="21"/>
      <c r="EYN87" s="21"/>
      <c r="EYO87" s="21"/>
      <c r="EYP87" s="21"/>
      <c r="EYQ87" s="21"/>
      <c r="EYR87" s="21"/>
      <c r="EYS87" s="21"/>
      <c r="EYT87" s="21"/>
      <c r="EYU87" s="21"/>
      <c r="EYV87" s="21"/>
      <c r="EYW87" s="21"/>
      <c r="EYX87" s="21"/>
      <c r="EYY87" s="21"/>
      <c r="EYZ87" s="21"/>
      <c r="EZA87" s="21"/>
      <c r="EZB87" s="21"/>
      <c r="EZC87" s="21"/>
      <c r="EZD87" s="21"/>
      <c r="EZE87" s="21"/>
      <c r="EZF87" s="21"/>
      <c r="EZG87" s="21"/>
      <c r="EZH87" s="21"/>
      <c r="EZI87" s="21"/>
      <c r="EZJ87" s="21"/>
      <c r="EZK87" s="21"/>
      <c r="EZL87" s="21"/>
      <c r="EZM87" s="21"/>
      <c r="EZN87" s="21"/>
      <c r="EZO87" s="21"/>
      <c r="EZP87" s="21"/>
      <c r="EZQ87" s="21"/>
      <c r="EZR87" s="21"/>
      <c r="EZS87" s="21"/>
      <c r="EZT87" s="21"/>
      <c r="EZU87" s="21"/>
      <c r="EZV87" s="21"/>
      <c r="EZW87" s="21"/>
      <c r="EZX87" s="21"/>
      <c r="EZY87" s="21"/>
      <c r="EZZ87" s="21"/>
      <c r="FAA87" s="21"/>
      <c r="FAB87" s="21"/>
      <c r="FAC87" s="21"/>
      <c r="FAD87" s="21"/>
      <c r="FAE87" s="21"/>
      <c r="FAF87" s="21"/>
      <c r="FAG87" s="21"/>
      <c r="FAH87" s="21"/>
      <c r="FAI87" s="21"/>
      <c r="FAJ87" s="21"/>
      <c r="FAK87" s="21"/>
      <c r="FAL87" s="21"/>
      <c r="FAM87" s="21"/>
      <c r="FAN87" s="21"/>
      <c r="FAO87" s="21"/>
      <c r="FAP87" s="21"/>
      <c r="FAQ87" s="21"/>
      <c r="FAR87" s="21"/>
      <c r="FAS87" s="21"/>
      <c r="FAT87" s="21"/>
      <c r="FAU87" s="21"/>
      <c r="FAV87" s="21"/>
      <c r="FAW87" s="21"/>
      <c r="FAX87" s="21"/>
      <c r="FAY87" s="21"/>
      <c r="FAZ87" s="21"/>
      <c r="FBA87" s="21"/>
      <c r="FBB87" s="21"/>
      <c r="FBC87" s="21"/>
      <c r="FBD87" s="21"/>
      <c r="FBE87" s="21"/>
      <c r="FBF87" s="21"/>
      <c r="FBG87" s="21"/>
      <c r="FBH87" s="21"/>
      <c r="FBI87" s="21"/>
      <c r="FBJ87" s="21"/>
      <c r="FBK87" s="21"/>
      <c r="FBL87" s="21"/>
      <c r="FBM87" s="21"/>
      <c r="FBN87" s="21"/>
      <c r="FBO87" s="21"/>
      <c r="FBP87" s="21"/>
      <c r="FBQ87" s="21"/>
      <c r="FBR87" s="21"/>
      <c r="FBS87" s="21"/>
      <c r="FBT87" s="21"/>
      <c r="FBU87" s="21"/>
      <c r="FBV87" s="21"/>
      <c r="FBW87" s="21"/>
      <c r="FBX87" s="21"/>
      <c r="FBY87" s="21"/>
      <c r="FBZ87" s="21"/>
      <c r="FCA87" s="21"/>
      <c r="FCB87" s="21"/>
      <c r="FCC87" s="21"/>
      <c r="FCD87" s="21"/>
      <c r="FCE87" s="21"/>
      <c r="FCF87" s="21"/>
      <c r="FCG87" s="21"/>
      <c r="FCH87" s="21"/>
      <c r="FCI87" s="21"/>
      <c r="FCJ87" s="21"/>
      <c r="FCK87" s="21"/>
      <c r="FCL87" s="21"/>
      <c r="FCM87" s="21"/>
      <c r="FCN87" s="21"/>
      <c r="FCO87" s="21"/>
      <c r="FCP87" s="21"/>
      <c r="FCQ87" s="21"/>
      <c r="FCR87" s="21"/>
      <c r="FCS87" s="21"/>
      <c r="FCT87" s="21"/>
      <c r="FCU87" s="21"/>
      <c r="FCV87" s="21"/>
      <c r="FCW87" s="21"/>
      <c r="FCX87" s="21"/>
      <c r="FCY87" s="21"/>
      <c r="FCZ87" s="21"/>
      <c r="FDA87" s="21"/>
      <c r="FDB87" s="21"/>
      <c r="FDC87" s="21"/>
      <c r="FDD87" s="21"/>
      <c r="FDE87" s="21"/>
      <c r="FDF87" s="21"/>
      <c r="FDG87" s="21"/>
      <c r="FDH87" s="21"/>
      <c r="FDI87" s="21"/>
      <c r="FDJ87" s="21"/>
      <c r="FDK87" s="21"/>
      <c r="FDL87" s="21"/>
      <c r="FDM87" s="21"/>
      <c r="FDN87" s="21"/>
      <c r="FDO87" s="21"/>
      <c r="FDP87" s="21"/>
      <c r="FDQ87" s="21"/>
      <c r="FDR87" s="21"/>
      <c r="FDS87" s="21"/>
      <c r="FDT87" s="21"/>
      <c r="FDU87" s="21"/>
      <c r="FDV87" s="21"/>
      <c r="FDW87" s="21"/>
      <c r="FDX87" s="21"/>
      <c r="FDY87" s="21"/>
      <c r="FDZ87" s="21"/>
      <c r="FEA87" s="21"/>
      <c r="FEB87" s="21"/>
      <c r="FEC87" s="21"/>
      <c r="FED87" s="21"/>
      <c r="FEE87" s="21"/>
      <c r="FEF87" s="21"/>
      <c r="FEG87" s="21"/>
      <c r="FEH87" s="21"/>
      <c r="FEI87" s="21"/>
      <c r="FEJ87" s="21"/>
      <c r="FEK87" s="21"/>
      <c r="FEL87" s="21"/>
      <c r="FEM87" s="21"/>
      <c r="FEN87" s="21"/>
      <c r="FEO87" s="21"/>
      <c r="FEP87" s="21"/>
      <c r="FEQ87" s="21"/>
      <c r="FER87" s="21"/>
      <c r="FES87" s="21"/>
      <c r="FET87" s="21"/>
      <c r="FEU87" s="21"/>
      <c r="FEV87" s="21"/>
      <c r="FEW87" s="21"/>
      <c r="FEX87" s="21"/>
      <c r="FEY87" s="21"/>
      <c r="FEZ87" s="21"/>
      <c r="FFA87" s="21"/>
      <c r="FFB87" s="21"/>
      <c r="FFC87" s="21"/>
      <c r="FFD87" s="21"/>
      <c r="FFE87" s="21"/>
      <c r="FFF87" s="21"/>
      <c r="FFG87" s="21"/>
      <c r="FFH87" s="21"/>
      <c r="FFI87" s="21"/>
      <c r="FFJ87" s="21"/>
      <c r="FFK87" s="21"/>
      <c r="FFL87" s="21"/>
      <c r="FFM87" s="21"/>
      <c r="FFN87" s="21"/>
      <c r="FFO87" s="21"/>
      <c r="FFP87" s="21"/>
      <c r="FFQ87" s="21"/>
      <c r="FFR87" s="21"/>
      <c r="FFS87" s="21"/>
      <c r="FFT87" s="21"/>
      <c r="FFU87" s="21"/>
      <c r="FFV87" s="21"/>
      <c r="FFW87" s="21"/>
      <c r="FFX87" s="21"/>
      <c r="FFY87" s="21"/>
      <c r="FFZ87" s="21"/>
      <c r="FGA87" s="21"/>
      <c r="FGB87" s="21"/>
      <c r="FGC87" s="21"/>
      <c r="FGD87" s="21"/>
      <c r="FGE87" s="21"/>
      <c r="FGF87" s="21"/>
      <c r="FGG87" s="21"/>
      <c r="FGH87" s="21"/>
      <c r="FGI87" s="21"/>
      <c r="FGJ87" s="21"/>
      <c r="FGK87" s="21"/>
      <c r="FGL87" s="21"/>
      <c r="FGM87" s="21"/>
      <c r="FGN87" s="21"/>
      <c r="FGO87" s="21"/>
      <c r="FGP87" s="21"/>
      <c r="FGQ87" s="21"/>
      <c r="FGR87" s="21"/>
      <c r="FGS87" s="21"/>
      <c r="FGT87" s="21"/>
      <c r="FGU87" s="21"/>
      <c r="FGV87" s="21"/>
      <c r="FGW87" s="21"/>
      <c r="FGX87" s="21"/>
      <c r="FGY87" s="21"/>
      <c r="FGZ87" s="21"/>
      <c r="FHA87" s="21"/>
      <c r="FHB87" s="21"/>
      <c r="FHC87" s="21"/>
      <c r="FHD87" s="21"/>
      <c r="FHE87" s="21"/>
      <c r="FHF87" s="21"/>
      <c r="FHG87" s="21"/>
      <c r="FHH87" s="21"/>
      <c r="FHI87" s="21"/>
      <c r="FHJ87" s="21"/>
      <c r="FHK87" s="21"/>
      <c r="FHL87" s="21"/>
      <c r="FHM87" s="21"/>
      <c r="FHN87" s="21"/>
      <c r="FHO87" s="21"/>
      <c r="FHP87" s="21"/>
      <c r="FHQ87" s="21"/>
      <c r="FHR87" s="21"/>
      <c r="FHS87" s="21"/>
      <c r="FHT87" s="21"/>
      <c r="FHU87" s="21"/>
      <c r="FHV87" s="21"/>
      <c r="FHW87" s="21"/>
      <c r="FHX87" s="21"/>
      <c r="FHY87" s="21"/>
      <c r="FHZ87" s="21"/>
      <c r="FIA87" s="21"/>
      <c r="FIB87" s="21"/>
      <c r="FIC87" s="21"/>
      <c r="FID87" s="21"/>
      <c r="FIE87" s="21"/>
      <c r="FIF87" s="21"/>
      <c r="FIG87" s="21"/>
      <c r="FIH87" s="21"/>
      <c r="FII87" s="21"/>
      <c r="FIJ87" s="21"/>
      <c r="FIK87" s="21"/>
      <c r="FIL87" s="21"/>
      <c r="FIM87" s="21"/>
      <c r="FIN87" s="21"/>
      <c r="FIO87" s="21"/>
      <c r="FIP87" s="21"/>
      <c r="FIQ87" s="21"/>
      <c r="FIR87" s="21"/>
      <c r="FIS87" s="21"/>
      <c r="FIT87" s="21"/>
      <c r="FIU87" s="21"/>
      <c r="FIV87" s="21"/>
      <c r="FIW87" s="21"/>
      <c r="FIX87" s="21"/>
      <c r="FIY87" s="21"/>
      <c r="FIZ87" s="21"/>
      <c r="FJA87" s="21"/>
      <c r="FJB87" s="21"/>
      <c r="FJC87" s="21"/>
      <c r="FJD87" s="21"/>
      <c r="FJE87" s="21"/>
      <c r="FJF87" s="21"/>
      <c r="FJG87" s="21"/>
      <c r="FJH87" s="21"/>
      <c r="FJI87" s="21"/>
      <c r="FJJ87" s="21"/>
      <c r="FJK87" s="21"/>
      <c r="FJL87" s="21"/>
      <c r="FJM87" s="21"/>
      <c r="FJN87" s="21"/>
      <c r="FJO87" s="21"/>
      <c r="FJP87" s="21"/>
      <c r="FJQ87" s="21"/>
      <c r="FJR87" s="21"/>
      <c r="FJS87" s="21"/>
      <c r="FJT87" s="21"/>
      <c r="FJU87" s="21"/>
      <c r="FJV87" s="21"/>
      <c r="FJW87" s="21"/>
      <c r="FJX87" s="21"/>
      <c r="FJY87" s="21"/>
      <c r="FJZ87" s="21"/>
      <c r="FKA87" s="21"/>
      <c r="FKB87" s="21"/>
      <c r="FKC87" s="21"/>
      <c r="FKD87" s="21"/>
      <c r="FKE87" s="21"/>
      <c r="FKF87" s="21"/>
      <c r="FKG87" s="21"/>
      <c r="FKH87" s="21"/>
      <c r="FKI87" s="21"/>
      <c r="FKJ87" s="21"/>
      <c r="FKK87" s="21"/>
      <c r="FKL87" s="21"/>
      <c r="FKM87" s="21"/>
      <c r="FKN87" s="21"/>
      <c r="FKO87" s="21"/>
      <c r="FKP87" s="21"/>
      <c r="FKQ87" s="21"/>
      <c r="FKR87" s="21"/>
      <c r="FKS87" s="21"/>
      <c r="FKT87" s="21"/>
      <c r="FKU87" s="21"/>
      <c r="FKV87" s="21"/>
      <c r="FKW87" s="21"/>
      <c r="FKX87" s="21"/>
      <c r="FKY87" s="21"/>
      <c r="FKZ87" s="21"/>
      <c r="FLA87" s="21"/>
      <c r="FLB87" s="21"/>
      <c r="FLC87" s="21"/>
      <c r="FLD87" s="21"/>
      <c r="FLE87" s="21"/>
      <c r="FLF87" s="21"/>
      <c r="FLG87" s="21"/>
      <c r="FLH87" s="21"/>
      <c r="FLI87" s="21"/>
      <c r="FLJ87" s="21"/>
      <c r="FLK87" s="21"/>
      <c r="FLL87" s="21"/>
      <c r="FLM87" s="21"/>
      <c r="FLN87" s="21"/>
      <c r="FLO87" s="21"/>
      <c r="FLP87" s="21"/>
      <c r="FLQ87" s="21"/>
      <c r="FLR87" s="21"/>
      <c r="FLS87" s="21"/>
      <c r="FLT87" s="21"/>
      <c r="FLU87" s="21"/>
      <c r="FLV87" s="21"/>
      <c r="FLW87" s="21"/>
      <c r="FLX87" s="21"/>
      <c r="FLY87" s="21"/>
      <c r="FLZ87" s="21"/>
      <c r="FMA87" s="21"/>
      <c r="FMB87" s="21"/>
      <c r="FMC87" s="21"/>
      <c r="FMD87" s="21"/>
      <c r="FME87" s="21"/>
      <c r="FMF87" s="21"/>
      <c r="FMG87" s="21"/>
      <c r="FMH87" s="21"/>
      <c r="FMI87" s="21"/>
      <c r="FMJ87" s="21"/>
      <c r="FMK87" s="21"/>
      <c r="FML87" s="21"/>
      <c r="FMM87" s="21"/>
      <c r="FMN87" s="21"/>
      <c r="FMO87" s="21"/>
      <c r="FMP87" s="21"/>
      <c r="FMQ87" s="21"/>
      <c r="FMR87" s="21"/>
      <c r="FMS87" s="21"/>
      <c r="FMT87" s="21"/>
      <c r="FMU87" s="21"/>
      <c r="FMV87" s="21"/>
      <c r="FMW87" s="21"/>
      <c r="FMX87" s="21"/>
      <c r="FMY87" s="21"/>
      <c r="FMZ87" s="21"/>
      <c r="FNA87" s="21"/>
      <c r="FNB87" s="21"/>
      <c r="FNC87" s="21"/>
      <c r="FND87" s="21"/>
      <c r="FNE87" s="21"/>
      <c r="FNF87" s="21"/>
      <c r="FNG87" s="21"/>
      <c r="FNH87" s="21"/>
      <c r="FNI87" s="21"/>
      <c r="FNJ87" s="21"/>
      <c r="FNK87" s="21"/>
      <c r="FNL87" s="21"/>
      <c r="FNM87" s="21"/>
      <c r="FNN87" s="21"/>
      <c r="FNO87" s="21"/>
      <c r="FNP87" s="21"/>
      <c r="FNQ87" s="21"/>
      <c r="FNR87" s="21"/>
      <c r="FNS87" s="21"/>
      <c r="FNT87" s="21"/>
      <c r="FNU87" s="21"/>
      <c r="FNV87" s="21"/>
      <c r="FNW87" s="21"/>
      <c r="FNX87" s="21"/>
      <c r="FNY87" s="21"/>
      <c r="FNZ87" s="21"/>
      <c r="FOA87" s="21"/>
      <c r="FOB87" s="21"/>
      <c r="FOC87" s="21"/>
      <c r="FOD87" s="21"/>
      <c r="FOE87" s="21"/>
      <c r="FOF87" s="21"/>
      <c r="FOG87" s="21"/>
      <c r="FOH87" s="21"/>
      <c r="FOI87" s="21"/>
      <c r="FOJ87" s="21"/>
      <c r="FOK87" s="21"/>
      <c r="FOL87" s="21"/>
      <c r="FOM87" s="21"/>
      <c r="FON87" s="21"/>
      <c r="FOO87" s="21"/>
      <c r="FOP87" s="21"/>
      <c r="FOQ87" s="21"/>
      <c r="FOR87" s="21"/>
      <c r="FOS87" s="21"/>
      <c r="FOT87" s="21"/>
      <c r="FOU87" s="21"/>
      <c r="FOV87" s="21"/>
      <c r="FOW87" s="21"/>
      <c r="FOX87" s="21"/>
      <c r="FOY87" s="21"/>
      <c r="FOZ87" s="21"/>
      <c r="FPA87" s="21"/>
      <c r="FPB87" s="21"/>
      <c r="FPC87" s="21"/>
      <c r="FPD87" s="21"/>
      <c r="FPE87" s="21"/>
      <c r="FPF87" s="21"/>
      <c r="FPG87" s="21"/>
      <c r="FPH87" s="21"/>
      <c r="FPI87" s="21"/>
      <c r="FPJ87" s="21"/>
      <c r="FPK87" s="21"/>
      <c r="FPL87" s="21"/>
      <c r="FPM87" s="21"/>
      <c r="FPN87" s="21"/>
      <c r="FPO87" s="21"/>
      <c r="FPP87" s="21"/>
      <c r="FPQ87" s="21"/>
      <c r="FPR87" s="21"/>
      <c r="FPS87" s="21"/>
      <c r="FPT87" s="21"/>
      <c r="FPU87" s="21"/>
      <c r="FPV87" s="21"/>
      <c r="FPW87" s="21"/>
      <c r="FPX87" s="21"/>
      <c r="FPY87" s="21"/>
      <c r="FPZ87" s="21"/>
      <c r="FQA87" s="21"/>
      <c r="FQB87" s="21"/>
      <c r="FQC87" s="21"/>
      <c r="FQD87" s="21"/>
      <c r="FQE87" s="21"/>
      <c r="FQF87" s="21"/>
      <c r="FQG87" s="21"/>
      <c r="FQH87" s="21"/>
      <c r="FQI87" s="21"/>
      <c r="FQJ87" s="21"/>
      <c r="FQK87" s="21"/>
      <c r="FQL87" s="21"/>
      <c r="FQM87" s="21"/>
      <c r="FQN87" s="21"/>
      <c r="FQO87" s="21"/>
      <c r="FQP87" s="21"/>
      <c r="FQQ87" s="21"/>
      <c r="FQR87" s="21"/>
      <c r="FQS87" s="21"/>
      <c r="FQT87" s="21"/>
      <c r="FQU87" s="21"/>
      <c r="FQV87" s="21"/>
      <c r="FQW87" s="21"/>
      <c r="FQX87" s="21"/>
      <c r="FQY87" s="21"/>
      <c r="FQZ87" s="21"/>
      <c r="FRA87" s="21"/>
      <c r="FRB87" s="21"/>
      <c r="FRC87" s="21"/>
      <c r="FRD87" s="21"/>
      <c r="FRE87" s="21"/>
      <c r="FRF87" s="21"/>
      <c r="FRG87" s="21"/>
      <c r="FRH87" s="21"/>
      <c r="FRI87" s="21"/>
      <c r="FRJ87" s="21"/>
      <c r="FRK87" s="21"/>
      <c r="FRL87" s="21"/>
      <c r="FRM87" s="21"/>
      <c r="FRN87" s="21"/>
      <c r="FRO87" s="21"/>
      <c r="FRP87" s="21"/>
      <c r="FRQ87" s="21"/>
      <c r="FRR87" s="21"/>
      <c r="FRS87" s="21"/>
      <c r="FRT87" s="21"/>
      <c r="FRU87" s="21"/>
      <c r="FRV87" s="21"/>
      <c r="FRW87" s="21"/>
      <c r="FRX87" s="21"/>
      <c r="FRY87" s="21"/>
      <c r="FRZ87" s="21"/>
      <c r="FSA87" s="21"/>
      <c r="FSB87" s="21"/>
      <c r="FSC87" s="21"/>
      <c r="FSD87" s="21"/>
      <c r="FSE87" s="21"/>
      <c r="FSF87" s="21"/>
      <c r="FSG87" s="21"/>
      <c r="FSH87" s="21"/>
      <c r="FSI87" s="21"/>
      <c r="FSJ87" s="21"/>
      <c r="FSK87" s="21"/>
      <c r="FSL87" s="21"/>
      <c r="FSM87" s="21"/>
      <c r="FSN87" s="21"/>
      <c r="FSO87" s="21"/>
      <c r="FSP87" s="21"/>
      <c r="FSQ87" s="21"/>
      <c r="FSR87" s="21"/>
      <c r="FSS87" s="21"/>
      <c r="FST87" s="21"/>
      <c r="FSU87" s="21"/>
      <c r="FSV87" s="21"/>
      <c r="FSW87" s="21"/>
      <c r="FSX87" s="21"/>
      <c r="FSY87" s="21"/>
      <c r="FSZ87" s="21"/>
      <c r="FTA87" s="21"/>
      <c r="FTB87" s="21"/>
      <c r="FTC87" s="21"/>
      <c r="FTD87" s="21"/>
      <c r="FTE87" s="21"/>
      <c r="FTF87" s="21"/>
      <c r="FTG87" s="21"/>
      <c r="FTH87" s="21"/>
      <c r="FTI87" s="21"/>
      <c r="FTJ87" s="21"/>
      <c r="FTK87" s="21"/>
      <c r="FTL87" s="21"/>
      <c r="FTM87" s="21"/>
      <c r="FTN87" s="21"/>
      <c r="FTO87" s="21"/>
      <c r="FTP87" s="21"/>
      <c r="FTQ87" s="21"/>
      <c r="FTR87" s="21"/>
      <c r="FTS87" s="21"/>
      <c r="FTT87" s="21"/>
      <c r="FTU87" s="21"/>
      <c r="FTV87" s="21"/>
      <c r="FTW87" s="21"/>
      <c r="FTX87" s="21"/>
      <c r="FTY87" s="21"/>
      <c r="FTZ87" s="21"/>
      <c r="FUA87" s="21"/>
      <c r="FUB87" s="21"/>
      <c r="FUC87" s="21"/>
      <c r="FUD87" s="21"/>
      <c r="FUE87" s="21"/>
      <c r="FUF87" s="21"/>
      <c r="FUG87" s="21"/>
      <c r="FUH87" s="21"/>
      <c r="FUI87" s="21"/>
      <c r="FUJ87" s="21"/>
      <c r="FUK87" s="21"/>
      <c r="FUL87" s="21"/>
      <c r="FUM87" s="21"/>
      <c r="FUN87" s="21"/>
      <c r="FUO87" s="21"/>
      <c r="FUP87" s="21"/>
      <c r="FUQ87" s="21"/>
      <c r="FUR87" s="21"/>
      <c r="FUS87" s="21"/>
      <c r="FUT87" s="21"/>
      <c r="FUU87" s="21"/>
      <c r="FUV87" s="21"/>
      <c r="FUW87" s="21"/>
      <c r="FUX87" s="21"/>
      <c r="FUY87" s="21"/>
      <c r="FUZ87" s="21"/>
      <c r="FVA87" s="21"/>
      <c r="FVB87" s="21"/>
      <c r="FVC87" s="21"/>
      <c r="FVD87" s="21"/>
      <c r="FVE87" s="21"/>
      <c r="FVF87" s="21"/>
      <c r="FVG87" s="21"/>
      <c r="FVH87" s="21"/>
      <c r="FVI87" s="21"/>
      <c r="FVJ87" s="21"/>
      <c r="FVK87" s="21"/>
      <c r="FVL87" s="21"/>
      <c r="FVM87" s="21"/>
      <c r="FVN87" s="21"/>
      <c r="FVO87" s="21"/>
      <c r="FVP87" s="21"/>
      <c r="FVQ87" s="21"/>
      <c r="FVR87" s="21"/>
      <c r="FVS87" s="21"/>
      <c r="FVT87" s="21"/>
      <c r="FVU87" s="21"/>
      <c r="FVV87" s="21"/>
      <c r="FVW87" s="21"/>
      <c r="FVX87" s="21"/>
      <c r="FVY87" s="21"/>
      <c r="FVZ87" s="21"/>
      <c r="FWA87" s="21"/>
      <c r="FWB87" s="21"/>
      <c r="FWC87" s="21"/>
      <c r="FWD87" s="21"/>
      <c r="FWE87" s="21"/>
      <c r="FWF87" s="21"/>
      <c r="FWG87" s="21"/>
      <c r="FWH87" s="21"/>
      <c r="FWI87" s="21"/>
      <c r="FWJ87" s="21"/>
      <c r="FWK87" s="21"/>
      <c r="FWL87" s="21"/>
      <c r="FWM87" s="21"/>
      <c r="FWN87" s="21"/>
      <c r="FWO87" s="21"/>
      <c r="FWP87" s="21"/>
      <c r="FWQ87" s="21"/>
      <c r="FWR87" s="21"/>
      <c r="FWS87" s="21"/>
      <c r="FWT87" s="21"/>
      <c r="FWU87" s="21"/>
      <c r="FWV87" s="21"/>
      <c r="FWW87" s="21"/>
      <c r="FWX87" s="21"/>
      <c r="FWY87" s="21"/>
      <c r="FWZ87" s="21"/>
      <c r="FXA87" s="21"/>
      <c r="FXB87" s="21"/>
      <c r="FXC87" s="21"/>
      <c r="FXD87" s="21"/>
      <c r="FXE87" s="21"/>
      <c r="FXF87" s="21"/>
      <c r="FXG87" s="21"/>
      <c r="FXH87" s="21"/>
      <c r="FXI87" s="21"/>
      <c r="FXJ87" s="21"/>
      <c r="FXK87" s="21"/>
      <c r="FXL87" s="21"/>
      <c r="FXM87" s="21"/>
      <c r="FXN87" s="21"/>
      <c r="FXO87" s="21"/>
      <c r="FXP87" s="21"/>
      <c r="FXQ87" s="21"/>
      <c r="FXR87" s="21"/>
      <c r="FXS87" s="21"/>
      <c r="FXT87" s="21"/>
      <c r="FXU87" s="21"/>
      <c r="FXV87" s="21"/>
      <c r="FXW87" s="21"/>
      <c r="FXX87" s="21"/>
      <c r="FXY87" s="21"/>
      <c r="FXZ87" s="21"/>
      <c r="FYA87" s="21"/>
      <c r="FYB87" s="21"/>
      <c r="FYC87" s="21"/>
      <c r="FYD87" s="21"/>
      <c r="FYE87" s="21"/>
      <c r="FYF87" s="21"/>
      <c r="FYG87" s="21"/>
      <c r="FYH87" s="21"/>
      <c r="FYI87" s="21"/>
      <c r="FYJ87" s="21"/>
      <c r="FYK87" s="21"/>
      <c r="FYL87" s="21"/>
      <c r="FYM87" s="21"/>
      <c r="FYN87" s="21"/>
      <c r="FYO87" s="21"/>
      <c r="FYP87" s="21"/>
      <c r="FYQ87" s="21"/>
      <c r="FYR87" s="21"/>
      <c r="FYS87" s="21"/>
      <c r="FYT87" s="21"/>
      <c r="FYU87" s="21"/>
      <c r="FYV87" s="21"/>
      <c r="FYW87" s="21"/>
      <c r="FYX87" s="21"/>
      <c r="FYY87" s="21"/>
      <c r="FYZ87" s="21"/>
      <c r="FZA87" s="21"/>
      <c r="FZB87" s="21"/>
      <c r="FZC87" s="21"/>
      <c r="FZD87" s="21"/>
      <c r="FZE87" s="21"/>
      <c r="FZF87" s="21"/>
      <c r="FZG87" s="21"/>
      <c r="FZH87" s="21"/>
      <c r="FZI87" s="21"/>
      <c r="FZJ87" s="21"/>
      <c r="FZK87" s="21"/>
      <c r="FZL87" s="21"/>
      <c r="FZM87" s="21"/>
      <c r="FZN87" s="21"/>
      <c r="FZO87" s="21"/>
      <c r="FZP87" s="21"/>
      <c r="FZQ87" s="21"/>
      <c r="FZR87" s="21"/>
      <c r="FZS87" s="21"/>
      <c r="FZT87" s="21"/>
      <c r="FZU87" s="21"/>
      <c r="FZV87" s="21"/>
      <c r="FZW87" s="21"/>
      <c r="FZX87" s="21"/>
      <c r="FZY87" s="21"/>
      <c r="FZZ87" s="21"/>
      <c r="GAA87" s="21"/>
      <c r="GAB87" s="21"/>
      <c r="GAC87" s="21"/>
      <c r="GAD87" s="21"/>
      <c r="GAE87" s="21"/>
      <c r="GAF87" s="21"/>
      <c r="GAG87" s="21"/>
      <c r="GAH87" s="21"/>
      <c r="GAI87" s="21"/>
      <c r="GAJ87" s="21"/>
      <c r="GAK87" s="21"/>
      <c r="GAL87" s="21"/>
      <c r="GAM87" s="21"/>
      <c r="GAN87" s="21"/>
      <c r="GAO87" s="21"/>
      <c r="GAP87" s="21"/>
      <c r="GAQ87" s="21"/>
      <c r="GAR87" s="21"/>
      <c r="GAS87" s="21"/>
      <c r="GAT87" s="21"/>
      <c r="GAU87" s="21"/>
      <c r="GAV87" s="21"/>
      <c r="GAW87" s="21"/>
      <c r="GAX87" s="21"/>
      <c r="GAY87" s="21"/>
      <c r="GAZ87" s="21"/>
      <c r="GBA87" s="21"/>
      <c r="GBB87" s="21"/>
      <c r="GBC87" s="21"/>
      <c r="GBD87" s="21"/>
      <c r="GBE87" s="21"/>
      <c r="GBF87" s="21"/>
      <c r="GBG87" s="21"/>
      <c r="GBH87" s="21"/>
      <c r="GBI87" s="21"/>
      <c r="GBJ87" s="21"/>
      <c r="GBK87" s="21"/>
      <c r="GBL87" s="21"/>
      <c r="GBM87" s="21"/>
      <c r="GBN87" s="21"/>
      <c r="GBO87" s="21"/>
      <c r="GBP87" s="21"/>
      <c r="GBQ87" s="21"/>
      <c r="GBR87" s="21"/>
      <c r="GBS87" s="21"/>
      <c r="GBT87" s="21"/>
      <c r="GBU87" s="21"/>
      <c r="GBV87" s="21"/>
      <c r="GBW87" s="21"/>
      <c r="GBX87" s="21"/>
      <c r="GBY87" s="21"/>
      <c r="GBZ87" s="21"/>
      <c r="GCA87" s="21"/>
      <c r="GCB87" s="21"/>
      <c r="GCC87" s="21"/>
      <c r="GCD87" s="21"/>
      <c r="GCE87" s="21"/>
      <c r="GCF87" s="21"/>
      <c r="GCG87" s="21"/>
      <c r="GCH87" s="21"/>
      <c r="GCI87" s="21"/>
      <c r="GCJ87" s="21"/>
      <c r="GCK87" s="21"/>
      <c r="GCL87" s="21"/>
      <c r="GCM87" s="21"/>
      <c r="GCN87" s="21"/>
      <c r="GCO87" s="21"/>
      <c r="GCP87" s="21"/>
      <c r="GCQ87" s="21"/>
      <c r="GCR87" s="21"/>
      <c r="GCS87" s="21"/>
      <c r="GCT87" s="21"/>
      <c r="GCU87" s="21"/>
      <c r="GCV87" s="21"/>
      <c r="GCW87" s="21"/>
      <c r="GCX87" s="21"/>
      <c r="GCY87" s="21"/>
      <c r="GCZ87" s="21"/>
      <c r="GDA87" s="21"/>
      <c r="GDB87" s="21"/>
      <c r="GDC87" s="21"/>
      <c r="GDD87" s="21"/>
      <c r="GDE87" s="21"/>
      <c r="GDF87" s="21"/>
      <c r="GDG87" s="21"/>
      <c r="GDH87" s="21"/>
      <c r="GDI87" s="21"/>
      <c r="GDJ87" s="21"/>
      <c r="GDK87" s="21"/>
      <c r="GDL87" s="21"/>
      <c r="GDM87" s="21"/>
      <c r="GDN87" s="21"/>
      <c r="GDO87" s="21"/>
      <c r="GDP87" s="21"/>
      <c r="GDQ87" s="21"/>
      <c r="GDR87" s="21"/>
      <c r="GDS87" s="21"/>
      <c r="GDT87" s="21"/>
      <c r="GDU87" s="21"/>
      <c r="GDV87" s="21"/>
      <c r="GDW87" s="21"/>
      <c r="GDX87" s="21"/>
      <c r="GDY87" s="21"/>
      <c r="GDZ87" s="21"/>
      <c r="GEA87" s="21"/>
      <c r="GEB87" s="21"/>
      <c r="GEC87" s="21"/>
      <c r="GED87" s="21"/>
      <c r="GEE87" s="21"/>
      <c r="GEF87" s="21"/>
      <c r="GEG87" s="21"/>
      <c r="GEH87" s="21"/>
      <c r="GEI87" s="21"/>
      <c r="GEJ87" s="21"/>
      <c r="GEK87" s="21"/>
      <c r="GEL87" s="21"/>
      <c r="GEM87" s="21"/>
      <c r="GEN87" s="21"/>
      <c r="GEO87" s="21"/>
      <c r="GEP87" s="21"/>
      <c r="GEQ87" s="21"/>
      <c r="GER87" s="21"/>
      <c r="GES87" s="21"/>
      <c r="GET87" s="21"/>
      <c r="GEU87" s="21"/>
      <c r="GEV87" s="21"/>
      <c r="GEW87" s="21"/>
      <c r="GEX87" s="21"/>
      <c r="GEY87" s="21"/>
      <c r="GEZ87" s="21"/>
      <c r="GFA87" s="21"/>
      <c r="GFB87" s="21"/>
      <c r="GFC87" s="21"/>
      <c r="GFD87" s="21"/>
      <c r="GFE87" s="21"/>
      <c r="GFF87" s="21"/>
      <c r="GFG87" s="21"/>
      <c r="GFH87" s="21"/>
      <c r="GFI87" s="21"/>
      <c r="GFJ87" s="21"/>
      <c r="GFK87" s="21"/>
      <c r="GFL87" s="21"/>
      <c r="GFM87" s="21"/>
      <c r="GFN87" s="21"/>
      <c r="GFO87" s="21"/>
      <c r="GFP87" s="21"/>
      <c r="GFQ87" s="21"/>
      <c r="GFR87" s="21"/>
      <c r="GFS87" s="21"/>
      <c r="GFT87" s="21"/>
      <c r="GFU87" s="21"/>
      <c r="GFV87" s="21"/>
      <c r="GFW87" s="21"/>
      <c r="GFX87" s="21"/>
      <c r="GFY87" s="21"/>
      <c r="GFZ87" s="21"/>
      <c r="GGA87" s="21"/>
      <c r="GGB87" s="21"/>
      <c r="GGC87" s="21"/>
      <c r="GGD87" s="21"/>
      <c r="GGE87" s="21"/>
      <c r="GGF87" s="21"/>
      <c r="GGG87" s="21"/>
      <c r="GGH87" s="21"/>
      <c r="GGI87" s="21"/>
      <c r="GGJ87" s="21"/>
      <c r="GGK87" s="21"/>
      <c r="GGL87" s="21"/>
      <c r="GGM87" s="21"/>
      <c r="GGN87" s="21"/>
      <c r="GGO87" s="21"/>
      <c r="GGP87" s="21"/>
      <c r="GGQ87" s="21"/>
      <c r="GGR87" s="21"/>
      <c r="GGS87" s="21"/>
      <c r="GGT87" s="21"/>
      <c r="GGU87" s="21"/>
      <c r="GGV87" s="21"/>
      <c r="GGW87" s="21"/>
      <c r="GGX87" s="21"/>
      <c r="GGY87" s="21"/>
      <c r="GGZ87" s="21"/>
      <c r="GHA87" s="21"/>
      <c r="GHB87" s="21"/>
      <c r="GHC87" s="21"/>
      <c r="GHD87" s="21"/>
      <c r="GHE87" s="21"/>
      <c r="GHF87" s="21"/>
      <c r="GHG87" s="21"/>
      <c r="GHH87" s="21"/>
      <c r="GHI87" s="21"/>
      <c r="GHJ87" s="21"/>
      <c r="GHK87" s="21"/>
      <c r="GHL87" s="21"/>
      <c r="GHM87" s="21"/>
      <c r="GHN87" s="21"/>
      <c r="GHO87" s="21"/>
      <c r="GHP87" s="21"/>
      <c r="GHQ87" s="21"/>
      <c r="GHR87" s="21"/>
      <c r="GHS87" s="21"/>
      <c r="GHT87" s="21"/>
      <c r="GHU87" s="21"/>
      <c r="GHV87" s="21"/>
      <c r="GHW87" s="21"/>
      <c r="GHX87" s="21"/>
      <c r="GHY87" s="21"/>
      <c r="GHZ87" s="21"/>
      <c r="GIA87" s="21"/>
      <c r="GIB87" s="21"/>
      <c r="GIC87" s="21"/>
      <c r="GID87" s="21"/>
      <c r="GIE87" s="21"/>
      <c r="GIF87" s="21"/>
      <c r="GIG87" s="21"/>
      <c r="GIH87" s="21"/>
      <c r="GII87" s="21"/>
      <c r="GIJ87" s="21"/>
      <c r="GIK87" s="21"/>
      <c r="GIL87" s="21"/>
      <c r="GIM87" s="21"/>
      <c r="GIN87" s="21"/>
      <c r="GIO87" s="21"/>
      <c r="GIP87" s="21"/>
      <c r="GIQ87" s="21"/>
      <c r="GIR87" s="21"/>
      <c r="GIS87" s="21"/>
      <c r="GIT87" s="21"/>
      <c r="GIU87" s="21"/>
      <c r="GIV87" s="21"/>
      <c r="GIW87" s="21"/>
      <c r="GIX87" s="21"/>
      <c r="GIY87" s="21"/>
      <c r="GIZ87" s="21"/>
      <c r="GJA87" s="21"/>
      <c r="GJB87" s="21"/>
      <c r="GJC87" s="21"/>
      <c r="GJD87" s="21"/>
      <c r="GJE87" s="21"/>
      <c r="GJF87" s="21"/>
      <c r="GJG87" s="21"/>
      <c r="GJH87" s="21"/>
      <c r="GJI87" s="21"/>
      <c r="GJJ87" s="21"/>
      <c r="GJK87" s="21"/>
      <c r="GJL87" s="21"/>
      <c r="GJM87" s="21"/>
      <c r="GJN87" s="21"/>
      <c r="GJO87" s="21"/>
      <c r="GJP87" s="21"/>
      <c r="GJQ87" s="21"/>
      <c r="GJR87" s="21"/>
      <c r="GJS87" s="21"/>
      <c r="GJT87" s="21"/>
      <c r="GJU87" s="21"/>
      <c r="GJV87" s="21"/>
      <c r="GJW87" s="21"/>
      <c r="GJX87" s="21"/>
      <c r="GJY87" s="21"/>
      <c r="GJZ87" s="21"/>
      <c r="GKA87" s="21"/>
      <c r="GKB87" s="21"/>
      <c r="GKC87" s="21"/>
      <c r="GKD87" s="21"/>
      <c r="GKE87" s="21"/>
      <c r="GKF87" s="21"/>
      <c r="GKG87" s="21"/>
      <c r="GKH87" s="21"/>
      <c r="GKI87" s="21"/>
      <c r="GKJ87" s="21"/>
      <c r="GKK87" s="21"/>
      <c r="GKL87" s="21"/>
      <c r="GKM87" s="21"/>
      <c r="GKN87" s="21"/>
      <c r="GKO87" s="21"/>
      <c r="GKP87" s="21"/>
      <c r="GKQ87" s="21"/>
      <c r="GKR87" s="21"/>
      <c r="GKS87" s="21"/>
      <c r="GKT87" s="21"/>
      <c r="GKU87" s="21"/>
      <c r="GKV87" s="21"/>
      <c r="GKW87" s="21"/>
      <c r="GKX87" s="21"/>
      <c r="GKY87" s="21"/>
      <c r="GKZ87" s="21"/>
      <c r="GLA87" s="21"/>
      <c r="GLB87" s="21"/>
      <c r="GLC87" s="21"/>
      <c r="GLD87" s="21"/>
      <c r="GLE87" s="21"/>
      <c r="GLF87" s="21"/>
      <c r="GLG87" s="21"/>
      <c r="GLH87" s="21"/>
      <c r="GLI87" s="21"/>
      <c r="GLJ87" s="21"/>
      <c r="GLK87" s="21"/>
      <c r="GLL87" s="21"/>
      <c r="GLM87" s="21"/>
      <c r="GLN87" s="21"/>
      <c r="GLO87" s="21"/>
      <c r="GLP87" s="21"/>
      <c r="GLQ87" s="21"/>
      <c r="GLR87" s="21"/>
      <c r="GLS87" s="21"/>
      <c r="GLT87" s="21"/>
      <c r="GLU87" s="21"/>
      <c r="GLV87" s="21"/>
      <c r="GLW87" s="21"/>
      <c r="GLX87" s="21"/>
      <c r="GLY87" s="21"/>
      <c r="GLZ87" s="21"/>
      <c r="GMA87" s="21"/>
      <c r="GMB87" s="21"/>
      <c r="GMC87" s="21"/>
      <c r="GMD87" s="21"/>
      <c r="GME87" s="21"/>
      <c r="GMF87" s="21"/>
      <c r="GMG87" s="21"/>
      <c r="GMH87" s="21"/>
      <c r="GMI87" s="21"/>
      <c r="GMJ87" s="21"/>
      <c r="GMK87" s="21"/>
      <c r="GML87" s="21"/>
      <c r="GMM87" s="21"/>
      <c r="GMN87" s="21"/>
      <c r="GMO87" s="21"/>
      <c r="GMP87" s="21"/>
      <c r="GMQ87" s="21"/>
      <c r="GMR87" s="21"/>
      <c r="GMS87" s="21"/>
      <c r="GMT87" s="21"/>
      <c r="GMU87" s="21"/>
      <c r="GMV87" s="21"/>
      <c r="GMW87" s="21"/>
      <c r="GMX87" s="21"/>
      <c r="GMY87" s="21"/>
      <c r="GMZ87" s="21"/>
      <c r="GNA87" s="21"/>
      <c r="GNB87" s="21"/>
      <c r="GNC87" s="21"/>
      <c r="GND87" s="21"/>
      <c r="GNE87" s="21"/>
      <c r="GNF87" s="21"/>
      <c r="GNG87" s="21"/>
      <c r="GNH87" s="21"/>
      <c r="GNI87" s="21"/>
      <c r="GNJ87" s="21"/>
      <c r="GNK87" s="21"/>
      <c r="GNL87" s="21"/>
      <c r="GNM87" s="21"/>
      <c r="GNN87" s="21"/>
      <c r="GNO87" s="21"/>
      <c r="GNP87" s="21"/>
      <c r="GNQ87" s="21"/>
      <c r="GNR87" s="21"/>
      <c r="GNS87" s="21"/>
      <c r="GNT87" s="21"/>
      <c r="GNU87" s="21"/>
      <c r="GNV87" s="21"/>
      <c r="GNW87" s="21"/>
      <c r="GNX87" s="21"/>
      <c r="GNY87" s="21"/>
      <c r="GNZ87" s="21"/>
      <c r="GOA87" s="21"/>
      <c r="GOB87" s="21"/>
      <c r="GOC87" s="21"/>
      <c r="GOD87" s="21"/>
      <c r="GOE87" s="21"/>
      <c r="GOF87" s="21"/>
      <c r="GOG87" s="21"/>
      <c r="GOH87" s="21"/>
      <c r="GOI87" s="21"/>
      <c r="GOJ87" s="21"/>
      <c r="GOK87" s="21"/>
      <c r="GOL87" s="21"/>
      <c r="GOM87" s="21"/>
      <c r="GON87" s="21"/>
      <c r="GOO87" s="21"/>
      <c r="GOP87" s="21"/>
      <c r="GOQ87" s="21"/>
      <c r="GOR87" s="21"/>
      <c r="GOS87" s="21"/>
      <c r="GOT87" s="21"/>
      <c r="GOU87" s="21"/>
      <c r="GOV87" s="21"/>
      <c r="GOW87" s="21"/>
      <c r="GOX87" s="21"/>
      <c r="GOY87" s="21"/>
      <c r="GOZ87" s="21"/>
      <c r="GPA87" s="21"/>
      <c r="GPB87" s="21"/>
      <c r="GPC87" s="21"/>
      <c r="GPD87" s="21"/>
      <c r="GPE87" s="21"/>
      <c r="GPF87" s="21"/>
      <c r="GPG87" s="21"/>
      <c r="GPH87" s="21"/>
      <c r="GPI87" s="21"/>
      <c r="GPJ87" s="21"/>
      <c r="GPK87" s="21"/>
      <c r="GPL87" s="21"/>
      <c r="GPM87" s="21"/>
      <c r="GPN87" s="21"/>
      <c r="GPO87" s="21"/>
      <c r="GPP87" s="21"/>
      <c r="GPQ87" s="21"/>
      <c r="GPR87" s="21"/>
      <c r="GPS87" s="21"/>
      <c r="GPT87" s="21"/>
      <c r="GPU87" s="21"/>
      <c r="GPV87" s="21"/>
      <c r="GPW87" s="21"/>
      <c r="GPX87" s="21"/>
      <c r="GPY87" s="21"/>
      <c r="GPZ87" s="21"/>
      <c r="GQA87" s="21"/>
      <c r="GQB87" s="21"/>
      <c r="GQC87" s="21"/>
      <c r="GQD87" s="21"/>
      <c r="GQE87" s="21"/>
      <c r="GQF87" s="21"/>
      <c r="GQG87" s="21"/>
      <c r="GQH87" s="21"/>
      <c r="GQI87" s="21"/>
      <c r="GQJ87" s="21"/>
      <c r="GQK87" s="21"/>
      <c r="GQL87" s="21"/>
      <c r="GQM87" s="21"/>
      <c r="GQN87" s="21"/>
      <c r="GQO87" s="21"/>
      <c r="GQP87" s="21"/>
      <c r="GQQ87" s="21"/>
      <c r="GQR87" s="21"/>
      <c r="GQS87" s="21"/>
      <c r="GQT87" s="21"/>
      <c r="GQU87" s="21"/>
      <c r="GQV87" s="21"/>
      <c r="GQW87" s="21"/>
      <c r="GQX87" s="21"/>
      <c r="GQY87" s="21"/>
      <c r="GQZ87" s="21"/>
      <c r="GRA87" s="21"/>
      <c r="GRB87" s="21"/>
      <c r="GRC87" s="21"/>
      <c r="GRD87" s="21"/>
      <c r="GRE87" s="21"/>
      <c r="GRF87" s="21"/>
      <c r="GRG87" s="21"/>
      <c r="GRH87" s="21"/>
      <c r="GRI87" s="21"/>
      <c r="GRJ87" s="21"/>
      <c r="GRK87" s="21"/>
      <c r="GRL87" s="21"/>
      <c r="GRM87" s="21"/>
      <c r="GRN87" s="21"/>
      <c r="GRO87" s="21"/>
      <c r="GRP87" s="21"/>
      <c r="GRQ87" s="21"/>
      <c r="GRR87" s="21"/>
      <c r="GRS87" s="21"/>
      <c r="GRT87" s="21"/>
      <c r="GRU87" s="21"/>
      <c r="GRV87" s="21"/>
      <c r="GRW87" s="21"/>
      <c r="GRX87" s="21"/>
      <c r="GRY87" s="21"/>
      <c r="GRZ87" s="21"/>
      <c r="GSA87" s="21"/>
      <c r="GSB87" s="21"/>
      <c r="GSC87" s="21"/>
      <c r="GSD87" s="21"/>
      <c r="GSE87" s="21"/>
      <c r="GSF87" s="21"/>
      <c r="GSG87" s="21"/>
      <c r="GSH87" s="21"/>
      <c r="GSI87" s="21"/>
      <c r="GSJ87" s="21"/>
      <c r="GSK87" s="21"/>
      <c r="GSL87" s="21"/>
      <c r="GSM87" s="21"/>
      <c r="GSN87" s="21"/>
      <c r="GSO87" s="21"/>
      <c r="GSP87" s="21"/>
      <c r="GSQ87" s="21"/>
      <c r="GSR87" s="21"/>
      <c r="GSS87" s="21"/>
      <c r="GST87" s="21"/>
      <c r="GSU87" s="21"/>
      <c r="GSV87" s="21"/>
      <c r="GSW87" s="21"/>
      <c r="GSX87" s="21"/>
      <c r="GSY87" s="21"/>
      <c r="GSZ87" s="21"/>
      <c r="GTA87" s="21"/>
      <c r="GTB87" s="21"/>
      <c r="GTC87" s="21"/>
      <c r="GTD87" s="21"/>
      <c r="GTE87" s="21"/>
      <c r="GTF87" s="21"/>
      <c r="GTG87" s="21"/>
      <c r="GTH87" s="21"/>
      <c r="GTI87" s="21"/>
      <c r="GTJ87" s="21"/>
      <c r="GTK87" s="21"/>
      <c r="GTL87" s="21"/>
      <c r="GTM87" s="21"/>
      <c r="GTN87" s="21"/>
      <c r="GTO87" s="21"/>
      <c r="GTP87" s="21"/>
      <c r="GTQ87" s="21"/>
      <c r="GTR87" s="21"/>
      <c r="GTS87" s="21"/>
      <c r="GTT87" s="21"/>
      <c r="GTU87" s="21"/>
      <c r="GTV87" s="21"/>
      <c r="GTW87" s="21"/>
      <c r="GTX87" s="21"/>
      <c r="GTY87" s="21"/>
      <c r="GTZ87" s="21"/>
      <c r="GUA87" s="21"/>
      <c r="GUB87" s="21"/>
      <c r="GUC87" s="21"/>
      <c r="GUD87" s="21"/>
      <c r="GUE87" s="21"/>
      <c r="GUF87" s="21"/>
      <c r="GUG87" s="21"/>
      <c r="GUH87" s="21"/>
      <c r="GUI87" s="21"/>
      <c r="GUJ87" s="21"/>
      <c r="GUK87" s="21"/>
      <c r="GUL87" s="21"/>
      <c r="GUM87" s="21"/>
      <c r="GUN87" s="21"/>
      <c r="GUO87" s="21"/>
      <c r="GUP87" s="21"/>
      <c r="GUQ87" s="21"/>
      <c r="GUR87" s="21"/>
      <c r="GUS87" s="21"/>
      <c r="GUT87" s="21"/>
      <c r="GUU87" s="21"/>
      <c r="GUV87" s="21"/>
      <c r="GUW87" s="21"/>
      <c r="GUX87" s="21"/>
      <c r="GUY87" s="21"/>
      <c r="GUZ87" s="21"/>
      <c r="GVA87" s="21"/>
      <c r="GVB87" s="21"/>
      <c r="GVC87" s="21"/>
      <c r="GVD87" s="21"/>
      <c r="GVE87" s="21"/>
      <c r="GVF87" s="21"/>
      <c r="GVG87" s="21"/>
      <c r="GVH87" s="21"/>
      <c r="GVI87" s="21"/>
      <c r="GVJ87" s="21"/>
      <c r="GVK87" s="21"/>
      <c r="GVL87" s="21"/>
      <c r="GVM87" s="21"/>
      <c r="GVN87" s="21"/>
      <c r="GVO87" s="21"/>
      <c r="GVP87" s="21"/>
      <c r="GVQ87" s="21"/>
      <c r="GVR87" s="21"/>
      <c r="GVS87" s="21"/>
      <c r="GVT87" s="21"/>
      <c r="GVU87" s="21"/>
      <c r="GVV87" s="21"/>
      <c r="GVW87" s="21"/>
      <c r="GVX87" s="21"/>
      <c r="GVY87" s="21"/>
      <c r="GVZ87" s="21"/>
      <c r="GWA87" s="21"/>
      <c r="GWB87" s="21"/>
      <c r="GWC87" s="21"/>
      <c r="GWD87" s="21"/>
      <c r="GWE87" s="21"/>
      <c r="GWF87" s="21"/>
      <c r="GWG87" s="21"/>
      <c r="GWH87" s="21"/>
      <c r="GWI87" s="21"/>
      <c r="GWJ87" s="21"/>
      <c r="GWK87" s="21"/>
      <c r="GWL87" s="21"/>
      <c r="GWM87" s="21"/>
      <c r="GWN87" s="21"/>
      <c r="GWO87" s="21"/>
      <c r="GWP87" s="21"/>
      <c r="GWQ87" s="21"/>
      <c r="GWR87" s="21"/>
      <c r="GWS87" s="21"/>
      <c r="GWT87" s="21"/>
      <c r="GWU87" s="21"/>
      <c r="GWV87" s="21"/>
      <c r="GWW87" s="21"/>
      <c r="GWX87" s="21"/>
      <c r="GWY87" s="21"/>
      <c r="GWZ87" s="21"/>
      <c r="GXA87" s="21"/>
      <c r="GXB87" s="21"/>
      <c r="GXC87" s="21"/>
      <c r="GXD87" s="21"/>
      <c r="GXE87" s="21"/>
      <c r="GXF87" s="21"/>
      <c r="GXG87" s="21"/>
      <c r="GXH87" s="21"/>
      <c r="GXI87" s="21"/>
      <c r="GXJ87" s="21"/>
      <c r="GXK87" s="21"/>
      <c r="GXL87" s="21"/>
      <c r="GXM87" s="21"/>
      <c r="GXN87" s="21"/>
      <c r="GXO87" s="21"/>
      <c r="GXP87" s="21"/>
      <c r="GXQ87" s="21"/>
      <c r="GXR87" s="21"/>
      <c r="GXS87" s="21"/>
      <c r="GXT87" s="21"/>
      <c r="GXU87" s="21"/>
      <c r="GXV87" s="21"/>
      <c r="GXW87" s="21"/>
      <c r="GXX87" s="21"/>
      <c r="GXY87" s="21"/>
      <c r="GXZ87" s="21"/>
      <c r="GYA87" s="21"/>
      <c r="GYB87" s="21"/>
      <c r="GYC87" s="21"/>
      <c r="GYD87" s="21"/>
      <c r="GYE87" s="21"/>
      <c r="GYF87" s="21"/>
      <c r="GYG87" s="21"/>
      <c r="GYH87" s="21"/>
      <c r="GYI87" s="21"/>
      <c r="GYJ87" s="21"/>
      <c r="GYK87" s="21"/>
      <c r="GYL87" s="21"/>
      <c r="GYM87" s="21"/>
      <c r="GYN87" s="21"/>
      <c r="GYO87" s="21"/>
      <c r="GYP87" s="21"/>
      <c r="GYQ87" s="21"/>
      <c r="GYR87" s="21"/>
      <c r="GYS87" s="21"/>
      <c r="GYT87" s="21"/>
      <c r="GYU87" s="21"/>
      <c r="GYV87" s="21"/>
      <c r="GYW87" s="21"/>
      <c r="GYX87" s="21"/>
      <c r="GYY87" s="21"/>
      <c r="GYZ87" s="21"/>
      <c r="GZA87" s="21"/>
      <c r="GZB87" s="21"/>
      <c r="GZC87" s="21"/>
      <c r="GZD87" s="21"/>
      <c r="GZE87" s="21"/>
      <c r="GZF87" s="21"/>
      <c r="GZG87" s="21"/>
      <c r="GZH87" s="21"/>
      <c r="GZI87" s="21"/>
      <c r="GZJ87" s="21"/>
      <c r="GZK87" s="21"/>
      <c r="GZL87" s="21"/>
      <c r="GZM87" s="21"/>
      <c r="GZN87" s="21"/>
      <c r="GZO87" s="21"/>
      <c r="GZP87" s="21"/>
      <c r="GZQ87" s="21"/>
      <c r="GZR87" s="21"/>
      <c r="GZS87" s="21"/>
      <c r="GZT87" s="21"/>
      <c r="GZU87" s="21"/>
      <c r="GZV87" s="21"/>
      <c r="GZW87" s="21"/>
      <c r="GZX87" s="21"/>
      <c r="GZY87" s="21"/>
      <c r="GZZ87" s="21"/>
      <c r="HAA87" s="21"/>
      <c r="HAB87" s="21"/>
      <c r="HAC87" s="21"/>
      <c r="HAD87" s="21"/>
      <c r="HAE87" s="21"/>
      <c r="HAF87" s="21"/>
      <c r="HAG87" s="21"/>
      <c r="HAH87" s="21"/>
      <c r="HAI87" s="21"/>
      <c r="HAJ87" s="21"/>
      <c r="HAK87" s="21"/>
      <c r="HAL87" s="21"/>
      <c r="HAM87" s="21"/>
      <c r="HAN87" s="21"/>
      <c r="HAO87" s="21"/>
      <c r="HAP87" s="21"/>
      <c r="HAQ87" s="21"/>
      <c r="HAR87" s="21"/>
      <c r="HAS87" s="21"/>
      <c r="HAT87" s="21"/>
      <c r="HAU87" s="21"/>
      <c r="HAV87" s="21"/>
      <c r="HAW87" s="21"/>
      <c r="HAX87" s="21"/>
      <c r="HAY87" s="21"/>
      <c r="HAZ87" s="21"/>
      <c r="HBA87" s="21"/>
      <c r="HBB87" s="21"/>
      <c r="HBC87" s="21"/>
      <c r="HBD87" s="21"/>
      <c r="HBE87" s="21"/>
      <c r="HBF87" s="21"/>
      <c r="HBG87" s="21"/>
      <c r="HBH87" s="21"/>
      <c r="HBI87" s="21"/>
      <c r="HBJ87" s="21"/>
      <c r="HBK87" s="21"/>
      <c r="HBL87" s="21"/>
      <c r="HBM87" s="21"/>
      <c r="HBN87" s="21"/>
      <c r="HBO87" s="21"/>
      <c r="HBP87" s="21"/>
      <c r="HBQ87" s="21"/>
      <c r="HBR87" s="21"/>
      <c r="HBS87" s="21"/>
      <c r="HBT87" s="21"/>
      <c r="HBU87" s="21"/>
      <c r="HBV87" s="21"/>
      <c r="HBW87" s="21"/>
      <c r="HBX87" s="21"/>
      <c r="HBY87" s="21"/>
      <c r="HBZ87" s="21"/>
      <c r="HCA87" s="21"/>
      <c r="HCB87" s="21"/>
      <c r="HCC87" s="21"/>
      <c r="HCD87" s="21"/>
      <c r="HCE87" s="21"/>
      <c r="HCF87" s="21"/>
      <c r="HCG87" s="21"/>
      <c r="HCH87" s="21"/>
      <c r="HCI87" s="21"/>
      <c r="HCJ87" s="21"/>
      <c r="HCK87" s="21"/>
      <c r="HCL87" s="21"/>
      <c r="HCM87" s="21"/>
      <c r="HCN87" s="21"/>
      <c r="HCO87" s="21"/>
      <c r="HCP87" s="21"/>
      <c r="HCQ87" s="21"/>
      <c r="HCR87" s="21"/>
      <c r="HCS87" s="21"/>
      <c r="HCT87" s="21"/>
      <c r="HCU87" s="21"/>
      <c r="HCV87" s="21"/>
      <c r="HCW87" s="21"/>
      <c r="HCX87" s="21"/>
      <c r="HCY87" s="21"/>
      <c r="HCZ87" s="21"/>
      <c r="HDA87" s="21"/>
      <c r="HDB87" s="21"/>
      <c r="HDC87" s="21"/>
      <c r="HDD87" s="21"/>
      <c r="HDE87" s="21"/>
      <c r="HDF87" s="21"/>
      <c r="HDG87" s="21"/>
      <c r="HDH87" s="21"/>
      <c r="HDI87" s="21"/>
      <c r="HDJ87" s="21"/>
      <c r="HDK87" s="21"/>
      <c r="HDL87" s="21"/>
      <c r="HDM87" s="21"/>
      <c r="HDN87" s="21"/>
      <c r="HDO87" s="21"/>
      <c r="HDP87" s="21"/>
      <c r="HDQ87" s="21"/>
      <c r="HDR87" s="21"/>
      <c r="HDS87" s="21"/>
      <c r="HDT87" s="21"/>
      <c r="HDU87" s="21"/>
      <c r="HDV87" s="21"/>
      <c r="HDW87" s="21"/>
      <c r="HDX87" s="21"/>
      <c r="HDY87" s="21"/>
      <c r="HDZ87" s="21"/>
      <c r="HEA87" s="21"/>
      <c r="HEB87" s="21"/>
      <c r="HEC87" s="21"/>
      <c r="HED87" s="21"/>
      <c r="HEE87" s="21"/>
      <c r="HEF87" s="21"/>
      <c r="HEG87" s="21"/>
      <c r="HEH87" s="21"/>
      <c r="HEI87" s="21"/>
      <c r="HEJ87" s="21"/>
      <c r="HEK87" s="21"/>
      <c r="HEL87" s="21"/>
      <c r="HEM87" s="21"/>
      <c r="HEN87" s="21"/>
      <c r="HEO87" s="21"/>
      <c r="HEP87" s="21"/>
      <c r="HEQ87" s="21"/>
      <c r="HER87" s="21"/>
      <c r="HES87" s="21"/>
      <c r="HET87" s="21"/>
      <c r="HEU87" s="21"/>
      <c r="HEV87" s="21"/>
      <c r="HEW87" s="21"/>
      <c r="HEX87" s="21"/>
      <c r="HEY87" s="21"/>
      <c r="HEZ87" s="21"/>
      <c r="HFA87" s="21"/>
      <c r="HFB87" s="21"/>
      <c r="HFC87" s="21"/>
      <c r="HFD87" s="21"/>
      <c r="HFE87" s="21"/>
      <c r="HFF87" s="21"/>
      <c r="HFG87" s="21"/>
      <c r="HFH87" s="21"/>
      <c r="HFI87" s="21"/>
      <c r="HFJ87" s="21"/>
      <c r="HFK87" s="21"/>
      <c r="HFL87" s="21"/>
      <c r="HFM87" s="21"/>
      <c r="HFN87" s="21"/>
      <c r="HFO87" s="21"/>
      <c r="HFP87" s="21"/>
      <c r="HFQ87" s="21"/>
      <c r="HFR87" s="21"/>
      <c r="HFS87" s="21"/>
      <c r="HFT87" s="21"/>
      <c r="HFU87" s="21"/>
      <c r="HFV87" s="21"/>
      <c r="HFW87" s="21"/>
      <c r="HFX87" s="21"/>
      <c r="HFY87" s="21"/>
      <c r="HFZ87" s="21"/>
      <c r="HGA87" s="21"/>
      <c r="HGB87" s="21"/>
      <c r="HGC87" s="21"/>
      <c r="HGD87" s="21"/>
      <c r="HGE87" s="21"/>
      <c r="HGF87" s="21"/>
      <c r="HGG87" s="21"/>
      <c r="HGH87" s="21"/>
      <c r="HGI87" s="21"/>
      <c r="HGJ87" s="21"/>
      <c r="HGK87" s="21"/>
      <c r="HGL87" s="21"/>
      <c r="HGM87" s="21"/>
      <c r="HGN87" s="21"/>
      <c r="HGO87" s="21"/>
      <c r="HGP87" s="21"/>
      <c r="HGQ87" s="21"/>
      <c r="HGR87" s="21"/>
      <c r="HGS87" s="21"/>
      <c r="HGT87" s="21"/>
      <c r="HGU87" s="21"/>
      <c r="HGV87" s="21"/>
      <c r="HGW87" s="21"/>
      <c r="HGX87" s="21"/>
      <c r="HGY87" s="21"/>
      <c r="HGZ87" s="21"/>
      <c r="HHA87" s="21"/>
      <c r="HHB87" s="21"/>
      <c r="HHC87" s="21"/>
      <c r="HHD87" s="21"/>
      <c r="HHE87" s="21"/>
      <c r="HHF87" s="21"/>
      <c r="HHG87" s="21"/>
      <c r="HHH87" s="21"/>
      <c r="HHI87" s="21"/>
      <c r="HHJ87" s="21"/>
      <c r="HHK87" s="21"/>
      <c r="HHL87" s="21"/>
      <c r="HHM87" s="21"/>
      <c r="HHN87" s="21"/>
      <c r="HHO87" s="21"/>
      <c r="HHP87" s="21"/>
      <c r="HHQ87" s="21"/>
      <c r="HHR87" s="21"/>
      <c r="HHS87" s="21"/>
      <c r="HHT87" s="21"/>
      <c r="HHU87" s="21"/>
      <c r="HHV87" s="21"/>
      <c r="HHW87" s="21"/>
      <c r="HHX87" s="21"/>
      <c r="HHY87" s="21"/>
      <c r="HHZ87" s="21"/>
      <c r="HIA87" s="21"/>
      <c r="HIB87" s="21"/>
      <c r="HIC87" s="21"/>
      <c r="HID87" s="21"/>
      <c r="HIE87" s="21"/>
      <c r="HIF87" s="21"/>
      <c r="HIG87" s="21"/>
      <c r="HIH87" s="21"/>
      <c r="HII87" s="21"/>
      <c r="HIJ87" s="21"/>
      <c r="HIK87" s="21"/>
      <c r="HIL87" s="21"/>
      <c r="HIM87" s="21"/>
      <c r="HIN87" s="21"/>
      <c r="HIO87" s="21"/>
      <c r="HIP87" s="21"/>
      <c r="HIQ87" s="21"/>
      <c r="HIR87" s="21"/>
      <c r="HIS87" s="21"/>
      <c r="HIT87" s="21"/>
      <c r="HIU87" s="21"/>
      <c r="HIV87" s="21"/>
      <c r="HIW87" s="21"/>
      <c r="HIX87" s="21"/>
      <c r="HIY87" s="21"/>
      <c r="HIZ87" s="21"/>
      <c r="HJA87" s="21"/>
      <c r="HJB87" s="21"/>
      <c r="HJC87" s="21"/>
      <c r="HJD87" s="21"/>
      <c r="HJE87" s="21"/>
      <c r="HJF87" s="21"/>
      <c r="HJG87" s="21"/>
      <c r="HJH87" s="21"/>
      <c r="HJI87" s="21"/>
      <c r="HJJ87" s="21"/>
      <c r="HJK87" s="21"/>
      <c r="HJL87" s="21"/>
      <c r="HJM87" s="21"/>
      <c r="HJN87" s="21"/>
      <c r="HJO87" s="21"/>
      <c r="HJP87" s="21"/>
      <c r="HJQ87" s="21"/>
      <c r="HJR87" s="21"/>
      <c r="HJS87" s="21"/>
      <c r="HJT87" s="21"/>
      <c r="HJU87" s="21"/>
      <c r="HJV87" s="21"/>
      <c r="HJW87" s="21"/>
      <c r="HJX87" s="21"/>
      <c r="HJY87" s="21"/>
      <c r="HJZ87" s="21"/>
      <c r="HKA87" s="21"/>
      <c r="HKB87" s="21"/>
      <c r="HKC87" s="21"/>
      <c r="HKD87" s="21"/>
      <c r="HKE87" s="21"/>
      <c r="HKF87" s="21"/>
      <c r="HKG87" s="21"/>
      <c r="HKH87" s="21"/>
      <c r="HKI87" s="21"/>
      <c r="HKJ87" s="21"/>
      <c r="HKK87" s="21"/>
      <c r="HKL87" s="21"/>
      <c r="HKM87" s="21"/>
      <c r="HKN87" s="21"/>
      <c r="HKO87" s="21"/>
      <c r="HKP87" s="21"/>
      <c r="HKQ87" s="21"/>
      <c r="HKR87" s="21"/>
      <c r="HKS87" s="21"/>
      <c r="HKT87" s="21"/>
      <c r="HKU87" s="21"/>
      <c r="HKV87" s="21"/>
      <c r="HKW87" s="21"/>
      <c r="HKX87" s="21"/>
      <c r="HKY87" s="21"/>
      <c r="HKZ87" s="21"/>
      <c r="HLA87" s="21"/>
      <c r="HLB87" s="21"/>
      <c r="HLC87" s="21"/>
      <c r="HLD87" s="21"/>
      <c r="HLE87" s="21"/>
      <c r="HLF87" s="21"/>
      <c r="HLG87" s="21"/>
      <c r="HLH87" s="21"/>
      <c r="HLI87" s="21"/>
      <c r="HLJ87" s="21"/>
      <c r="HLK87" s="21"/>
      <c r="HLL87" s="21"/>
      <c r="HLM87" s="21"/>
      <c r="HLN87" s="21"/>
      <c r="HLO87" s="21"/>
      <c r="HLP87" s="21"/>
      <c r="HLQ87" s="21"/>
      <c r="HLR87" s="21"/>
      <c r="HLS87" s="21"/>
      <c r="HLT87" s="21"/>
      <c r="HLU87" s="21"/>
      <c r="HLV87" s="21"/>
      <c r="HLW87" s="21"/>
      <c r="HLX87" s="21"/>
      <c r="HLY87" s="21"/>
      <c r="HLZ87" s="21"/>
      <c r="HMA87" s="21"/>
      <c r="HMB87" s="21"/>
      <c r="HMC87" s="21"/>
      <c r="HMD87" s="21"/>
      <c r="HME87" s="21"/>
      <c r="HMF87" s="21"/>
      <c r="HMG87" s="21"/>
      <c r="HMH87" s="21"/>
      <c r="HMI87" s="21"/>
      <c r="HMJ87" s="21"/>
      <c r="HMK87" s="21"/>
      <c r="HML87" s="21"/>
      <c r="HMM87" s="21"/>
      <c r="HMN87" s="21"/>
      <c r="HMO87" s="21"/>
      <c r="HMP87" s="21"/>
      <c r="HMQ87" s="21"/>
      <c r="HMR87" s="21"/>
      <c r="HMS87" s="21"/>
      <c r="HMT87" s="21"/>
      <c r="HMU87" s="21"/>
      <c r="HMV87" s="21"/>
      <c r="HMW87" s="21"/>
      <c r="HMX87" s="21"/>
      <c r="HMY87" s="21"/>
      <c r="HMZ87" s="21"/>
      <c r="HNA87" s="21"/>
      <c r="HNB87" s="21"/>
      <c r="HNC87" s="21"/>
      <c r="HND87" s="21"/>
      <c r="HNE87" s="21"/>
      <c r="HNF87" s="21"/>
      <c r="HNG87" s="21"/>
      <c r="HNH87" s="21"/>
      <c r="HNI87" s="21"/>
      <c r="HNJ87" s="21"/>
      <c r="HNK87" s="21"/>
      <c r="HNL87" s="21"/>
      <c r="HNM87" s="21"/>
      <c r="HNN87" s="21"/>
      <c r="HNO87" s="21"/>
      <c r="HNP87" s="21"/>
      <c r="HNQ87" s="21"/>
      <c r="HNR87" s="21"/>
      <c r="HNS87" s="21"/>
      <c r="HNT87" s="21"/>
      <c r="HNU87" s="21"/>
      <c r="HNV87" s="21"/>
      <c r="HNW87" s="21"/>
      <c r="HNX87" s="21"/>
      <c r="HNY87" s="21"/>
      <c r="HNZ87" s="21"/>
      <c r="HOA87" s="21"/>
      <c r="HOB87" s="21"/>
      <c r="HOC87" s="21"/>
      <c r="HOD87" s="21"/>
      <c r="HOE87" s="21"/>
      <c r="HOF87" s="21"/>
      <c r="HOG87" s="21"/>
      <c r="HOH87" s="21"/>
      <c r="HOI87" s="21"/>
      <c r="HOJ87" s="21"/>
      <c r="HOK87" s="21"/>
      <c r="HOL87" s="21"/>
      <c r="HOM87" s="21"/>
      <c r="HON87" s="21"/>
      <c r="HOO87" s="21"/>
      <c r="HOP87" s="21"/>
      <c r="HOQ87" s="21"/>
      <c r="HOR87" s="21"/>
      <c r="HOS87" s="21"/>
      <c r="HOT87" s="21"/>
      <c r="HOU87" s="21"/>
      <c r="HOV87" s="21"/>
      <c r="HOW87" s="21"/>
      <c r="HOX87" s="21"/>
      <c r="HOY87" s="21"/>
      <c r="HOZ87" s="21"/>
      <c r="HPA87" s="21"/>
      <c r="HPB87" s="21"/>
      <c r="HPC87" s="21"/>
      <c r="HPD87" s="21"/>
      <c r="HPE87" s="21"/>
      <c r="HPF87" s="21"/>
      <c r="HPG87" s="21"/>
      <c r="HPH87" s="21"/>
      <c r="HPI87" s="21"/>
      <c r="HPJ87" s="21"/>
      <c r="HPK87" s="21"/>
      <c r="HPL87" s="21"/>
      <c r="HPM87" s="21"/>
      <c r="HPN87" s="21"/>
      <c r="HPO87" s="21"/>
      <c r="HPP87" s="21"/>
      <c r="HPQ87" s="21"/>
      <c r="HPR87" s="21"/>
      <c r="HPS87" s="21"/>
      <c r="HPT87" s="21"/>
      <c r="HPU87" s="21"/>
      <c r="HPV87" s="21"/>
      <c r="HPW87" s="21"/>
      <c r="HPX87" s="21"/>
      <c r="HPY87" s="21"/>
      <c r="HPZ87" s="21"/>
      <c r="HQA87" s="21"/>
      <c r="HQB87" s="21"/>
      <c r="HQC87" s="21"/>
      <c r="HQD87" s="21"/>
      <c r="HQE87" s="21"/>
      <c r="HQF87" s="21"/>
      <c r="HQG87" s="21"/>
      <c r="HQH87" s="21"/>
      <c r="HQI87" s="21"/>
      <c r="HQJ87" s="21"/>
      <c r="HQK87" s="21"/>
      <c r="HQL87" s="21"/>
      <c r="HQM87" s="21"/>
      <c r="HQN87" s="21"/>
      <c r="HQO87" s="21"/>
      <c r="HQP87" s="21"/>
      <c r="HQQ87" s="21"/>
      <c r="HQR87" s="21"/>
      <c r="HQS87" s="21"/>
      <c r="HQT87" s="21"/>
      <c r="HQU87" s="21"/>
      <c r="HQV87" s="21"/>
      <c r="HQW87" s="21"/>
      <c r="HQX87" s="21"/>
      <c r="HQY87" s="21"/>
      <c r="HQZ87" s="21"/>
      <c r="HRA87" s="21"/>
      <c r="HRB87" s="21"/>
      <c r="HRC87" s="21"/>
      <c r="HRD87" s="21"/>
      <c r="HRE87" s="21"/>
      <c r="HRF87" s="21"/>
      <c r="HRG87" s="21"/>
      <c r="HRH87" s="21"/>
      <c r="HRI87" s="21"/>
      <c r="HRJ87" s="21"/>
      <c r="HRK87" s="21"/>
      <c r="HRL87" s="21"/>
      <c r="HRM87" s="21"/>
      <c r="HRN87" s="21"/>
      <c r="HRO87" s="21"/>
      <c r="HRP87" s="21"/>
      <c r="HRQ87" s="21"/>
      <c r="HRR87" s="21"/>
      <c r="HRS87" s="21"/>
      <c r="HRT87" s="21"/>
      <c r="HRU87" s="21"/>
      <c r="HRV87" s="21"/>
      <c r="HRW87" s="21"/>
      <c r="HRX87" s="21"/>
      <c r="HRY87" s="21"/>
      <c r="HRZ87" s="21"/>
      <c r="HSA87" s="21"/>
      <c r="HSB87" s="21"/>
      <c r="HSC87" s="21"/>
      <c r="HSD87" s="21"/>
      <c r="HSE87" s="21"/>
      <c r="HSF87" s="21"/>
      <c r="HSG87" s="21"/>
      <c r="HSH87" s="21"/>
      <c r="HSI87" s="21"/>
      <c r="HSJ87" s="21"/>
      <c r="HSK87" s="21"/>
      <c r="HSL87" s="21"/>
      <c r="HSM87" s="21"/>
      <c r="HSN87" s="21"/>
      <c r="HSO87" s="21"/>
      <c r="HSP87" s="21"/>
      <c r="HSQ87" s="21"/>
      <c r="HSR87" s="21"/>
      <c r="HSS87" s="21"/>
      <c r="HST87" s="21"/>
      <c r="HSU87" s="21"/>
      <c r="HSV87" s="21"/>
      <c r="HSW87" s="21"/>
      <c r="HSX87" s="21"/>
      <c r="HSY87" s="21"/>
      <c r="HSZ87" s="21"/>
      <c r="HTA87" s="21"/>
      <c r="HTB87" s="21"/>
      <c r="HTC87" s="21"/>
      <c r="HTD87" s="21"/>
      <c r="HTE87" s="21"/>
      <c r="HTF87" s="21"/>
      <c r="HTG87" s="21"/>
      <c r="HTH87" s="21"/>
      <c r="HTI87" s="21"/>
      <c r="HTJ87" s="21"/>
      <c r="HTK87" s="21"/>
      <c r="HTL87" s="21"/>
      <c r="HTM87" s="21"/>
      <c r="HTN87" s="21"/>
      <c r="HTO87" s="21"/>
      <c r="HTP87" s="21"/>
      <c r="HTQ87" s="21"/>
      <c r="HTR87" s="21"/>
      <c r="HTS87" s="21"/>
      <c r="HTT87" s="21"/>
      <c r="HTU87" s="21"/>
      <c r="HTV87" s="21"/>
      <c r="HTW87" s="21"/>
      <c r="HTX87" s="21"/>
      <c r="HTY87" s="21"/>
      <c r="HTZ87" s="21"/>
      <c r="HUA87" s="21"/>
      <c r="HUB87" s="21"/>
      <c r="HUC87" s="21"/>
      <c r="HUD87" s="21"/>
      <c r="HUE87" s="21"/>
      <c r="HUF87" s="21"/>
      <c r="HUG87" s="21"/>
      <c r="HUH87" s="21"/>
      <c r="HUI87" s="21"/>
      <c r="HUJ87" s="21"/>
      <c r="HUK87" s="21"/>
      <c r="HUL87" s="21"/>
      <c r="HUM87" s="21"/>
      <c r="HUN87" s="21"/>
      <c r="HUO87" s="21"/>
      <c r="HUP87" s="21"/>
      <c r="HUQ87" s="21"/>
      <c r="HUR87" s="21"/>
      <c r="HUS87" s="21"/>
      <c r="HUT87" s="21"/>
      <c r="HUU87" s="21"/>
      <c r="HUV87" s="21"/>
      <c r="HUW87" s="21"/>
      <c r="HUX87" s="21"/>
      <c r="HUY87" s="21"/>
      <c r="HUZ87" s="21"/>
      <c r="HVA87" s="21"/>
      <c r="HVB87" s="21"/>
      <c r="HVC87" s="21"/>
      <c r="HVD87" s="21"/>
      <c r="HVE87" s="21"/>
      <c r="HVF87" s="21"/>
      <c r="HVG87" s="21"/>
      <c r="HVH87" s="21"/>
      <c r="HVI87" s="21"/>
      <c r="HVJ87" s="21"/>
      <c r="HVK87" s="21"/>
      <c r="HVL87" s="21"/>
      <c r="HVM87" s="21"/>
      <c r="HVN87" s="21"/>
      <c r="HVO87" s="21"/>
      <c r="HVP87" s="21"/>
      <c r="HVQ87" s="21"/>
      <c r="HVR87" s="21"/>
      <c r="HVS87" s="21"/>
      <c r="HVT87" s="21"/>
      <c r="HVU87" s="21"/>
      <c r="HVV87" s="21"/>
      <c r="HVW87" s="21"/>
      <c r="HVX87" s="21"/>
      <c r="HVY87" s="21"/>
      <c r="HVZ87" s="21"/>
      <c r="HWA87" s="21"/>
      <c r="HWB87" s="21"/>
      <c r="HWC87" s="21"/>
      <c r="HWD87" s="21"/>
      <c r="HWE87" s="21"/>
      <c r="HWF87" s="21"/>
      <c r="HWG87" s="21"/>
      <c r="HWH87" s="21"/>
      <c r="HWI87" s="21"/>
      <c r="HWJ87" s="21"/>
      <c r="HWK87" s="21"/>
      <c r="HWL87" s="21"/>
      <c r="HWM87" s="21"/>
      <c r="HWN87" s="21"/>
      <c r="HWO87" s="21"/>
      <c r="HWP87" s="21"/>
      <c r="HWQ87" s="21"/>
      <c r="HWR87" s="21"/>
      <c r="HWS87" s="21"/>
      <c r="HWT87" s="21"/>
      <c r="HWU87" s="21"/>
      <c r="HWV87" s="21"/>
      <c r="HWW87" s="21"/>
      <c r="HWX87" s="21"/>
      <c r="HWY87" s="21"/>
      <c r="HWZ87" s="21"/>
      <c r="HXA87" s="21"/>
      <c r="HXB87" s="21"/>
      <c r="HXC87" s="21"/>
      <c r="HXD87" s="21"/>
      <c r="HXE87" s="21"/>
      <c r="HXF87" s="21"/>
      <c r="HXG87" s="21"/>
      <c r="HXH87" s="21"/>
      <c r="HXI87" s="21"/>
      <c r="HXJ87" s="21"/>
      <c r="HXK87" s="21"/>
      <c r="HXL87" s="21"/>
      <c r="HXM87" s="21"/>
      <c r="HXN87" s="21"/>
      <c r="HXO87" s="21"/>
      <c r="HXP87" s="21"/>
      <c r="HXQ87" s="21"/>
      <c r="HXR87" s="21"/>
      <c r="HXS87" s="21"/>
      <c r="HXT87" s="21"/>
      <c r="HXU87" s="21"/>
      <c r="HXV87" s="21"/>
      <c r="HXW87" s="21"/>
      <c r="HXX87" s="21"/>
      <c r="HXY87" s="21"/>
      <c r="HXZ87" s="21"/>
      <c r="HYA87" s="21"/>
      <c r="HYB87" s="21"/>
      <c r="HYC87" s="21"/>
      <c r="HYD87" s="21"/>
      <c r="HYE87" s="21"/>
      <c r="HYF87" s="21"/>
      <c r="HYG87" s="21"/>
      <c r="HYH87" s="21"/>
      <c r="HYI87" s="21"/>
      <c r="HYJ87" s="21"/>
      <c r="HYK87" s="21"/>
      <c r="HYL87" s="21"/>
      <c r="HYM87" s="21"/>
      <c r="HYN87" s="21"/>
      <c r="HYO87" s="21"/>
      <c r="HYP87" s="21"/>
      <c r="HYQ87" s="21"/>
      <c r="HYR87" s="21"/>
      <c r="HYS87" s="21"/>
      <c r="HYT87" s="21"/>
      <c r="HYU87" s="21"/>
      <c r="HYV87" s="21"/>
      <c r="HYW87" s="21"/>
      <c r="HYX87" s="21"/>
      <c r="HYY87" s="21"/>
      <c r="HYZ87" s="21"/>
      <c r="HZA87" s="21"/>
      <c r="HZB87" s="21"/>
      <c r="HZC87" s="21"/>
      <c r="HZD87" s="21"/>
      <c r="HZE87" s="21"/>
      <c r="HZF87" s="21"/>
      <c r="HZG87" s="21"/>
      <c r="HZH87" s="21"/>
      <c r="HZI87" s="21"/>
      <c r="HZJ87" s="21"/>
      <c r="HZK87" s="21"/>
      <c r="HZL87" s="21"/>
      <c r="HZM87" s="21"/>
      <c r="HZN87" s="21"/>
      <c r="HZO87" s="21"/>
      <c r="HZP87" s="21"/>
      <c r="HZQ87" s="21"/>
      <c r="HZR87" s="21"/>
      <c r="HZS87" s="21"/>
      <c r="HZT87" s="21"/>
      <c r="HZU87" s="21"/>
      <c r="HZV87" s="21"/>
      <c r="HZW87" s="21"/>
      <c r="HZX87" s="21"/>
      <c r="HZY87" s="21"/>
      <c r="HZZ87" s="21"/>
      <c r="IAA87" s="21"/>
      <c r="IAB87" s="21"/>
      <c r="IAC87" s="21"/>
      <c r="IAD87" s="21"/>
      <c r="IAE87" s="21"/>
      <c r="IAF87" s="21"/>
      <c r="IAG87" s="21"/>
      <c r="IAH87" s="21"/>
      <c r="IAI87" s="21"/>
      <c r="IAJ87" s="21"/>
      <c r="IAK87" s="21"/>
      <c r="IAL87" s="21"/>
      <c r="IAM87" s="21"/>
      <c r="IAN87" s="21"/>
      <c r="IAO87" s="21"/>
      <c r="IAP87" s="21"/>
      <c r="IAQ87" s="21"/>
      <c r="IAR87" s="21"/>
      <c r="IAS87" s="21"/>
      <c r="IAT87" s="21"/>
      <c r="IAU87" s="21"/>
      <c r="IAV87" s="21"/>
      <c r="IAW87" s="21"/>
      <c r="IAX87" s="21"/>
      <c r="IAY87" s="21"/>
      <c r="IAZ87" s="21"/>
      <c r="IBA87" s="21"/>
      <c r="IBB87" s="21"/>
      <c r="IBC87" s="21"/>
      <c r="IBD87" s="21"/>
      <c r="IBE87" s="21"/>
      <c r="IBF87" s="21"/>
      <c r="IBG87" s="21"/>
      <c r="IBH87" s="21"/>
      <c r="IBI87" s="21"/>
      <c r="IBJ87" s="21"/>
      <c r="IBK87" s="21"/>
      <c r="IBL87" s="21"/>
      <c r="IBM87" s="21"/>
      <c r="IBN87" s="21"/>
      <c r="IBO87" s="21"/>
      <c r="IBP87" s="21"/>
      <c r="IBQ87" s="21"/>
      <c r="IBR87" s="21"/>
      <c r="IBS87" s="21"/>
      <c r="IBT87" s="21"/>
      <c r="IBU87" s="21"/>
      <c r="IBV87" s="21"/>
      <c r="IBW87" s="21"/>
      <c r="IBX87" s="21"/>
      <c r="IBY87" s="21"/>
      <c r="IBZ87" s="21"/>
      <c r="ICA87" s="21"/>
      <c r="ICB87" s="21"/>
      <c r="ICC87" s="21"/>
      <c r="ICD87" s="21"/>
      <c r="ICE87" s="21"/>
      <c r="ICF87" s="21"/>
      <c r="ICG87" s="21"/>
      <c r="ICH87" s="21"/>
      <c r="ICI87" s="21"/>
      <c r="ICJ87" s="21"/>
      <c r="ICK87" s="21"/>
      <c r="ICL87" s="21"/>
      <c r="ICM87" s="21"/>
      <c r="ICN87" s="21"/>
      <c r="ICO87" s="21"/>
      <c r="ICP87" s="21"/>
      <c r="ICQ87" s="21"/>
      <c r="ICR87" s="21"/>
      <c r="ICS87" s="21"/>
      <c r="ICT87" s="21"/>
      <c r="ICU87" s="21"/>
      <c r="ICV87" s="21"/>
      <c r="ICW87" s="21"/>
      <c r="ICX87" s="21"/>
      <c r="ICY87" s="21"/>
      <c r="ICZ87" s="21"/>
      <c r="IDA87" s="21"/>
      <c r="IDB87" s="21"/>
      <c r="IDC87" s="21"/>
      <c r="IDD87" s="21"/>
      <c r="IDE87" s="21"/>
      <c r="IDF87" s="21"/>
      <c r="IDG87" s="21"/>
      <c r="IDH87" s="21"/>
      <c r="IDI87" s="21"/>
      <c r="IDJ87" s="21"/>
      <c r="IDK87" s="21"/>
      <c r="IDL87" s="21"/>
      <c r="IDM87" s="21"/>
      <c r="IDN87" s="21"/>
      <c r="IDO87" s="21"/>
      <c r="IDP87" s="21"/>
      <c r="IDQ87" s="21"/>
      <c r="IDR87" s="21"/>
      <c r="IDS87" s="21"/>
      <c r="IDT87" s="21"/>
      <c r="IDU87" s="21"/>
      <c r="IDV87" s="21"/>
      <c r="IDW87" s="21"/>
      <c r="IDX87" s="21"/>
      <c r="IDY87" s="21"/>
      <c r="IDZ87" s="21"/>
      <c r="IEA87" s="21"/>
      <c r="IEB87" s="21"/>
      <c r="IEC87" s="21"/>
      <c r="IED87" s="21"/>
      <c r="IEE87" s="21"/>
      <c r="IEF87" s="21"/>
      <c r="IEG87" s="21"/>
      <c r="IEH87" s="21"/>
      <c r="IEI87" s="21"/>
      <c r="IEJ87" s="21"/>
      <c r="IEK87" s="21"/>
      <c r="IEL87" s="21"/>
      <c r="IEM87" s="21"/>
      <c r="IEN87" s="21"/>
      <c r="IEO87" s="21"/>
      <c r="IEP87" s="21"/>
      <c r="IEQ87" s="21"/>
      <c r="IER87" s="21"/>
      <c r="IES87" s="21"/>
      <c r="IET87" s="21"/>
      <c r="IEU87" s="21"/>
      <c r="IEV87" s="21"/>
      <c r="IEW87" s="21"/>
      <c r="IEX87" s="21"/>
      <c r="IEY87" s="21"/>
      <c r="IEZ87" s="21"/>
      <c r="IFA87" s="21"/>
      <c r="IFB87" s="21"/>
      <c r="IFC87" s="21"/>
      <c r="IFD87" s="21"/>
      <c r="IFE87" s="21"/>
      <c r="IFF87" s="21"/>
      <c r="IFG87" s="21"/>
      <c r="IFH87" s="21"/>
      <c r="IFI87" s="21"/>
      <c r="IFJ87" s="21"/>
      <c r="IFK87" s="21"/>
      <c r="IFL87" s="21"/>
      <c r="IFM87" s="21"/>
      <c r="IFN87" s="21"/>
      <c r="IFO87" s="21"/>
      <c r="IFP87" s="21"/>
      <c r="IFQ87" s="21"/>
      <c r="IFR87" s="21"/>
      <c r="IFS87" s="21"/>
      <c r="IFT87" s="21"/>
      <c r="IFU87" s="21"/>
      <c r="IFV87" s="21"/>
      <c r="IFW87" s="21"/>
      <c r="IFX87" s="21"/>
      <c r="IFY87" s="21"/>
      <c r="IFZ87" s="21"/>
      <c r="IGA87" s="21"/>
      <c r="IGB87" s="21"/>
      <c r="IGC87" s="21"/>
      <c r="IGD87" s="21"/>
      <c r="IGE87" s="21"/>
      <c r="IGF87" s="21"/>
      <c r="IGG87" s="21"/>
      <c r="IGH87" s="21"/>
      <c r="IGI87" s="21"/>
      <c r="IGJ87" s="21"/>
      <c r="IGK87" s="21"/>
      <c r="IGL87" s="21"/>
      <c r="IGM87" s="21"/>
      <c r="IGN87" s="21"/>
      <c r="IGO87" s="21"/>
      <c r="IGP87" s="21"/>
      <c r="IGQ87" s="21"/>
      <c r="IGR87" s="21"/>
      <c r="IGS87" s="21"/>
      <c r="IGT87" s="21"/>
      <c r="IGU87" s="21"/>
      <c r="IGV87" s="21"/>
      <c r="IGW87" s="21"/>
      <c r="IGX87" s="21"/>
      <c r="IGY87" s="21"/>
      <c r="IGZ87" s="21"/>
      <c r="IHA87" s="21"/>
      <c r="IHB87" s="21"/>
      <c r="IHC87" s="21"/>
      <c r="IHD87" s="21"/>
      <c r="IHE87" s="21"/>
      <c r="IHF87" s="21"/>
      <c r="IHG87" s="21"/>
      <c r="IHH87" s="21"/>
      <c r="IHI87" s="21"/>
      <c r="IHJ87" s="21"/>
      <c r="IHK87" s="21"/>
      <c r="IHL87" s="21"/>
      <c r="IHM87" s="21"/>
      <c r="IHN87" s="21"/>
      <c r="IHO87" s="21"/>
      <c r="IHP87" s="21"/>
      <c r="IHQ87" s="21"/>
      <c r="IHR87" s="21"/>
      <c r="IHS87" s="21"/>
      <c r="IHT87" s="21"/>
      <c r="IHU87" s="21"/>
      <c r="IHV87" s="21"/>
      <c r="IHW87" s="21"/>
      <c r="IHX87" s="21"/>
      <c r="IHY87" s="21"/>
      <c r="IHZ87" s="21"/>
      <c r="IIA87" s="21"/>
      <c r="IIB87" s="21"/>
      <c r="IIC87" s="21"/>
      <c r="IID87" s="21"/>
      <c r="IIE87" s="21"/>
      <c r="IIF87" s="21"/>
      <c r="IIG87" s="21"/>
      <c r="IIH87" s="21"/>
      <c r="III87" s="21"/>
      <c r="IIJ87" s="21"/>
      <c r="IIK87" s="21"/>
      <c r="IIL87" s="21"/>
      <c r="IIM87" s="21"/>
      <c r="IIN87" s="21"/>
      <c r="IIO87" s="21"/>
      <c r="IIP87" s="21"/>
      <c r="IIQ87" s="21"/>
      <c r="IIR87" s="21"/>
      <c r="IIS87" s="21"/>
      <c r="IIT87" s="21"/>
      <c r="IIU87" s="21"/>
      <c r="IIV87" s="21"/>
      <c r="IIW87" s="21"/>
      <c r="IIX87" s="21"/>
      <c r="IIY87" s="21"/>
      <c r="IIZ87" s="21"/>
      <c r="IJA87" s="21"/>
      <c r="IJB87" s="21"/>
      <c r="IJC87" s="21"/>
      <c r="IJD87" s="21"/>
      <c r="IJE87" s="21"/>
      <c r="IJF87" s="21"/>
      <c r="IJG87" s="21"/>
      <c r="IJH87" s="21"/>
      <c r="IJI87" s="21"/>
      <c r="IJJ87" s="21"/>
      <c r="IJK87" s="21"/>
      <c r="IJL87" s="21"/>
      <c r="IJM87" s="21"/>
      <c r="IJN87" s="21"/>
      <c r="IJO87" s="21"/>
      <c r="IJP87" s="21"/>
      <c r="IJQ87" s="21"/>
      <c r="IJR87" s="21"/>
      <c r="IJS87" s="21"/>
      <c r="IJT87" s="21"/>
      <c r="IJU87" s="21"/>
      <c r="IJV87" s="21"/>
      <c r="IJW87" s="21"/>
      <c r="IJX87" s="21"/>
      <c r="IJY87" s="21"/>
      <c r="IJZ87" s="21"/>
      <c r="IKA87" s="21"/>
      <c r="IKB87" s="21"/>
      <c r="IKC87" s="21"/>
      <c r="IKD87" s="21"/>
      <c r="IKE87" s="21"/>
      <c r="IKF87" s="21"/>
      <c r="IKG87" s="21"/>
      <c r="IKH87" s="21"/>
      <c r="IKI87" s="21"/>
      <c r="IKJ87" s="21"/>
      <c r="IKK87" s="21"/>
      <c r="IKL87" s="21"/>
      <c r="IKM87" s="21"/>
      <c r="IKN87" s="21"/>
      <c r="IKO87" s="21"/>
      <c r="IKP87" s="21"/>
      <c r="IKQ87" s="21"/>
      <c r="IKR87" s="21"/>
      <c r="IKS87" s="21"/>
      <c r="IKT87" s="21"/>
      <c r="IKU87" s="21"/>
      <c r="IKV87" s="21"/>
      <c r="IKW87" s="21"/>
      <c r="IKX87" s="21"/>
      <c r="IKY87" s="21"/>
      <c r="IKZ87" s="21"/>
      <c r="ILA87" s="21"/>
      <c r="ILB87" s="21"/>
      <c r="ILC87" s="21"/>
      <c r="ILD87" s="21"/>
      <c r="ILE87" s="21"/>
      <c r="ILF87" s="21"/>
      <c r="ILG87" s="21"/>
      <c r="ILH87" s="21"/>
      <c r="ILI87" s="21"/>
      <c r="ILJ87" s="21"/>
      <c r="ILK87" s="21"/>
      <c r="ILL87" s="21"/>
      <c r="ILM87" s="21"/>
      <c r="ILN87" s="21"/>
      <c r="ILO87" s="21"/>
      <c r="ILP87" s="21"/>
      <c r="ILQ87" s="21"/>
      <c r="ILR87" s="21"/>
      <c r="ILS87" s="21"/>
      <c r="ILT87" s="21"/>
      <c r="ILU87" s="21"/>
      <c r="ILV87" s="21"/>
      <c r="ILW87" s="21"/>
      <c r="ILX87" s="21"/>
      <c r="ILY87" s="21"/>
      <c r="ILZ87" s="21"/>
      <c r="IMA87" s="21"/>
      <c r="IMB87" s="21"/>
      <c r="IMC87" s="21"/>
      <c r="IMD87" s="21"/>
      <c r="IME87" s="21"/>
      <c r="IMF87" s="21"/>
      <c r="IMG87" s="21"/>
      <c r="IMH87" s="21"/>
      <c r="IMI87" s="21"/>
      <c r="IMJ87" s="21"/>
      <c r="IMK87" s="21"/>
      <c r="IML87" s="21"/>
      <c r="IMM87" s="21"/>
      <c r="IMN87" s="21"/>
      <c r="IMO87" s="21"/>
      <c r="IMP87" s="21"/>
      <c r="IMQ87" s="21"/>
      <c r="IMR87" s="21"/>
      <c r="IMS87" s="21"/>
      <c r="IMT87" s="21"/>
      <c r="IMU87" s="21"/>
      <c r="IMV87" s="21"/>
      <c r="IMW87" s="21"/>
      <c r="IMX87" s="21"/>
      <c r="IMY87" s="21"/>
      <c r="IMZ87" s="21"/>
      <c r="INA87" s="21"/>
      <c r="INB87" s="21"/>
      <c r="INC87" s="21"/>
      <c r="IND87" s="21"/>
      <c r="INE87" s="21"/>
      <c r="INF87" s="21"/>
      <c r="ING87" s="21"/>
      <c r="INH87" s="21"/>
      <c r="INI87" s="21"/>
      <c r="INJ87" s="21"/>
      <c r="INK87" s="21"/>
      <c r="INL87" s="21"/>
      <c r="INM87" s="21"/>
      <c r="INN87" s="21"/>
      <c r="INO87" s="21"/>
      <c r="INP87" s="21"/>
      <c r="INQ87" s="21"/>
      <c r="INR87" s="21"/>
      <c r="INS87" s="21"/>
      <c r="INT87" s="21"/>
      <c r="INU87" s="21"/>
      <c r="INV87" s="21"/>
      <c r="INW87" s="21"/>
      <c r="INX87" s="21"/>
      <c r="INY87" s="21"/>
      <c r="INZ87" s="21"/>
      <c r="IOA87" s="21"/>
      <c r="IOB87" s="21"/>
      <c r="IOC87" s="21"/>
      <c r="IOD87" s="21"/>
      <c r="IOE87" s="21"/>
      <c r="IOF87" s="21"/>
      <c r="IOG87" s="21"/>
      <c r="IOH87" s="21"/>
      <c r="IOI87" s="21"/>
      <c r="IOJ87" s="21"/>
      <c r="IOK87" s="21"/>
      <c r="IOL87" s="21"/>
      <c r="IOM87" s="21"/>
      <c r="ION87" s="21"/>
      <c r="IOO87" s="21"/>
      <c r="IOP87" s="21"/>
      <c r="IOQ87" s="21"/>
      <c r="IOR87" s="21"/>
      <c r="IOS87" s="21"/>
      <c r="IOT87" s="21"/>
      <c r="IOU87" s="21"/>
      <c r="IOV87" s="21"/>
      <c r="IOW87" s="21"/>
      <c r="IOX87" s="21"/>
      <c r="IOY87" s="21"/>
      <c r="IOZ87" s="21"/>
      <c r="IPA87" s="21"/>
      <c r="IPB87" s="21"/>
      <c r="IPC87" s="21"/>
      <c r="IPD87" s="21"/>
      <c r="IPE87" s="21"/>
      <c r="IPF87" s="21"/>
      <c r="IPG87" s="21"/>
      <c r="IPH87" s="21"/>
      <c r="IPI87" s="21"/>
      <c r="IPJ87" s="21"/>
      <c r="IPK87" s="21"/>
      <c r="IPL87" s="21"/>
      <c r="IPM87" s="21"/>
      <c r="IPN87" s="21"/>
      <c r="IPO87" s="21"/>
      <c r="IPP87" s="21"/>
      <c r="IPQ87" s="21"/>
      <c r="IPR87" s="21"/>
      <c r="IPS87" s="21"/>
      <c r="IPT87" s="21"/>
      <c r="IPU87" s="21"/>
      <c r="IPV87" s="21"/>
      <c r="IPW87" s="21"/>
      <c r="IPX87" s="21"/>
      <c r="IPY87" s="21"/>
      <c r="IPZ87" s="21"/>
      <c r="IQA87" s="21"/>
      <c r="IQB87" s="21"/>
      <c r="IQC87" s="21"/>
      <c r="IQD87" s="21"/>
      <c r="IQE87" s="21"/>
      <c r="IQF87" s="21"/>
      <c r="IQG87" s="21"/>
      <c r="IQH87" s="21"/>
      <c r="IQI87" s="21"/>
      <c r="IQJ87" s="21"/>
      <c r="IQK87" s="21"/>
      <c r="IQL87" s="21"/>
      <c r="IQM87" s="21"/>
      <c r="IQN87" s="21"/>
      <c r="IQO87" s="21"/>
      <c r="IQP87" s="21"/>
      <c r="IQQ87" s="21"/>
      <c r="IQR87" s="21"/>
      <c r="IQS87" s="21"/>
      <c r="IQT87" s="21"/>
      <c r="IQU87" s="21"/>
      <c r="IQV87" s="21"/>
      <c r="IQW87" s="21"/>
      <c r="IQX87" s="21"/>
      <c r="IQY87" s="21"/>
      <c r="IQZ87" s="21"/>
      <c r="IRA87" s="21"/>
      <c r="IRB87" s="21"/>
      <c r="IRC87" s="21"/>
      <c r="IRD87" s="21"/>
      <c r="IRE87" s="21"/>
      <c r="IRF87" s="21"/>
      <c r="IRG87" s="21"/>
      <c r="IRH87" s="21"/>
      <c r="IRI87" s="21"/>
      <c r="IRJ87" s="21"/>
      <c r="IRK87" s="21"/>
      <c r="IRL87" s="21"/>
      <c r="IRM87" s="21"/>
      <c r="IRN87" s="21"/>
      <c r="IRO87" s="21"/>
      <c r="IRP87" s="21"/>
      <c r="IRQ87" s="21"/>
      <c r="IRR87" s="21"/>
      <c r="IRS87" s="21"/>
      <c r="IRT87" s="21"/>
      <c r="IRU87" s="21"/>
      <c r="IRV87" s="21"/>
      <c r="IRW87" s="21"/>
      <c r="IRX87" s="21"/>
      <c r="IRY87" s="21"/>
      <c r="IRZ87" s="21"/>
      <c r="ISA87" s="21"/>
      <c r="ISB87" s="21"/>
      <c r="ISC87" s="21"/>
      <c r="ISD87" s="21"/>
      <c r="ISE87" s="21"/>
      <c r="ISF87" s="21"/>
      <c r="ISG87" s="21"/>
      <c r="ISH87" s="21"/>
      <c r="ISI87" s="21"/>
      <c r="ISJ87" s="21"/>
      <c r="ISK87" s="21"/>
      <c r="ISL87" s="21"/>
      <c r="ISM87" s="21"/>
      <c r="ISN87" s="21"/>
      <c r="ISO87" s="21"/>
      <c r="ISP87" s="21"/>
      <c r="ISQ87" s="21"/>
      <c r="ISR87" s="21"/>
      <c r="ISS87" s="21"/>
      <c r="IST87" s="21"/>
      <c r="ISU87" s="21"/>
      <c r="ISV87" s="21"/>
      <c r="ISW87" s="21"/>
      <c r="ISX87" s="21"/>
      <c r="ISY87" s="21"/>
      <c r="ISZ87" s="21"/>
      <c r="ITA87" s="21"/>
      <c r="ITB87" s="21"/>
      <c r="ITC87" s="21"/>
      <c r="ITD87" s="21"/>
      <c r="ITE87" s="21"/>
      <c r="ITF87" s="21"/>
      <c r="ITG87" s="21"/>
      <c r="ITH87" s="21"/>
      <c r="ITI87" s="21"/>
      <c r="ITJ87" s="21"/>
      <c r="ITK87" s="21"/>
      <c r="ITL87" s="21"/>
      <c r="ITM87" s="21"/>
      <c r="ITN87" s="21"/>
      <c r="ITO87" s="21"/>
      <c r="ITP87" s="21"/>
      <c r="ITQ87" s="21"/>
      <c r="ITR87" s="21"/>
      <c r="ITS87" s="21"/>
      <c r="ITT87" s="21"/>
      <c r="ITU87" s="21"/>
      <c r="ITV87" s="21"/>
      <c r="ITW87" s="21"/>
      <c r="ITX87" s="21"/>
      <c r="ITY87" s="21"/>
      <c r="ITZ87" s="21"/>
      <c r="IUA87" s="21"/>
      <c r="IUB87" s="21"/>
      <c r="IUC87" s="21"/>
      <c r="IUD87" s="21"/>
      <c r="IUE87" s="21"/>
      <c r="IUF87" s="21"/>
      <c r="IUG87" s="21"/>
      <c r="IUH87" s="21"/>
      <c r="IUI87" s="21"/>
      <c r="IUJ87" s="21"/>
      <c r="IUK87" s="21"/>
      <c r="IUL87" s="21"/>
      <c r="IUM87" s="21"/>
      <c r="IUN87" s="21"/>
      <c r="IUO87" s="21"/>
      <c r="IUP87" s="21"/>
      <c r="IUQ87" s="21"/>
      <c r="IUR87" s="21"/>
      <c r="IUS87" s="21"/>
      <c r="IUT87" s="21"/>
      <c r="IUU87" s="21"/>
      <c r="IUV87" s="21"/>
      <c r="IUW87" s="21"/>
      <c r="IUX87" s="21"/>
      <c r="IUY87" s="21"/>
      <c r="IUZ87" s="21"/>
      <c r="IVA87" s="21"/>
      <c r="IVB87" s="21"/>
      <c r="IVC87" s="21"/>
      <c r="IVD87" s="21"/>
      <c r="IVE87" s="21"/>
      <c r="IVF87" s="21"/>
      <c r="IVG87" s="21"/>
      <c r="IVH87" s="21"/>
      <c r="IVI87" s="21"/>
      <c r="IVJ87" s="21"/>
      <c r="IVK87" s="21"/>
      <c r="IVL87" s="21"/>
      <c r="IVM87" s="21"/>
      <c r="IVN87" s="21"/>
      <c r="IVO87" s="21"/>
      <c r="IVP87" s="21"/>
      <c r="IVQ87" s="21"/>
      <c r="IVR87" s="21"/>
      <c r="IVS87" s="21"/>
      <c r="IVT87" s="21"/>
      <c r="IVU87" s="21"/>
      <c r="IVV87" s="21"/>
      <c r="IVW87" s="21"/>
      <c r="IVX87" s="21"/>
      <c r="IVY87" s="21"/>
      <c r="IVZ87" s="21"/>
      <c r="IWA87" s="21"/>
      <c r="IWB87" s="21"/>
      <c r="IWC87" s="21"/>
      <c r="IWD87" s="21"/>
      <c r="IWE87" s="21"/>
      <c r="IWF87" s="21"/>
      <c r="IWG87" s="21"/>
      <c r="IWH87" s="21"/>
      <c r="IWI87" s="21"/>
      <c r="IWJ87" s="21"/>
      <c r="IWK87" s="21"/>
      <c r="IWL87" s="21"/>
      <c r="IWM87" s="21"/>
      <c r="IWN87" s="21"/>
      <c r="IWO87" s="21"/>
      <c r="IWP87" s="21"/>
      <c r="IWQ87" s="21"/>
      <c r="IWR87" s="21"/>
      <c r="IWS87" s="21"/>
      <c r="IWT87" s="21"/>
      <c r="IWU87" s="21"/>
      <c r="IWV87" s="21"/>
      <c r="IWW87" s="21"/>
      <c r="IWX87" s="21"/>
      <c r="IWY87" s="21"/>
      <c r="IWZ87" s="21"/>
      <c r="IXA87" s="21"/>
      <c r="IXB87" s="21"/>
      <c r="IXC87" s="21"/>
      <c r="IXD87" s="21"/>
      <c r="IXE87" s="21"/>
      <c r="IXF87" s="21"/>
      <c r="IXG87" s="21"/>
      <c r="IXH87" s="21"/>
      <c r="IXI87" s="21"/>
      <c r="IXJ87" s="21"/>
      <c r="IXK87" s="21"/>
      <c r="IXL87" s="21"/>
      <c r="IXM87" s="21"/>
      <c r="IXN87" s="21"/>
      <c r="IXO87" s="21"/>
      <c r="IXP87" s="21"/>
      <c r="IXQ87" s="21"/>
      <c r="IXR87" s="21"/>
      <c r="IXS87" s="21"/>
      <c r="IXT87" s="21"/>
      <c r="IXU87" s="21"/>
      <c r="IXV87" s="21"/>
      <c r="IXW87" s="21"/>
      <c r="IXX87" s="21"/>
      <c r="IXY87" s="21"/>
      <c r="IXZ87" s="21"/>
      <c r="IYA87" s="21"/>
      <c r="IYB87" s="21"/>
      <c r="IYC87" s="21"/>
      <c r="IYD87" s="21"/>
      <c r="IYE87" s="21"/>
      <c r="IYF87" s="21"/>
      <c r="IYG87" s="21"/>
      <c r="IYH87" s="21"/>
      <c r="IYI87" s="21"/>
      <c r="IYJ87" s="21"/>
      <c r="IYK87" s="21"/>
      <c r="IYL87" s="21"/>
      <c r="IYM87" s="21"/>
      <c r="IYN87" s="21"/>
      <c r="IYO87" s="21"/>
      <c r="IYP87" s="21"/>
      <c r="IYQ87" s="21"/>
      <c r="IYR87" s="21"/>
      <c r="IYS87" s="21"/>
      <c r="IYT87" s="21"/>
      <c r="IYU87" s="21"/>
      <c r="IYV87" s="21"/>
      <c r="IYW87" s="21"/>
      <c r="IYX87" s="21"/>
      <c r="IYY87" s="21"/>
      <c r="IYZ87" s="21"/>
      <c r="IZA87" s="21"/>
      <c r="IZB87" s="21"/>
      <c r="IZC87" s="21"/>
      <c r="IZD87" s="21"/>
      <c r="IZE87" s="21"/>
      <c r="IZF87" s="21"/>
      <c r="IZG87" s="21"/>
      <c r="IZH87" s="21"/>
      <c r="IZI87" s="21"/>
      <c r="IZJ87" s="21"/>
      <c r="IZK87" s="21"/>
      <c r="IZL87" s="21"/>
      <c r="IZM87" s="21"/>
      <c r="IZN87" s="21"/>
      <c r="IZO87" s="21"/>
      <c r="IZP87" s="21"/>
      <c r="IZQ87" s="21"/>
      <c r="IZR87" s="21"/>
      <c r="IZS87" s="21"/>
      <c r="IZT87" s="21"/>
      <c r="IZU87" s="21"/>
      <c r="IZV87" s="21"/>
      <c r="IZW87" s="21"/>
      <c r="IZX87" s="21"/>
      <c r="IZY87" s="21"/>
      <c r="IZZ87" s="21"/>
      <c r="JAA87" s="21"/>
      <c r="JAB87" s="21"/>
      <c r="JAC87" s="21"/>
      <c r="JAD87" s="21"/>
      <c r="JAE87" s="21"/>
      <c r="JAF87" s="21"/>
      <c r="JAG87" s="21"/>
      <c r="JAH87" s="21"/>
      <c r="JAI87" s="21"/>
      <c r="JAJ87" s="21"/>
      <c r="JAK87" s="21"/>
      <c r="JAL87" s="21"/>
      <c r="JAM87" s="21"/>
      <c r="JAN87" s="21"/>
      <c r="JAO87" s="21"/>
      <c r="JAP87" s="21"/>
      <c r="JAQ87" s="21"/>
      <c r="JAR87" s="21"/>
      <c r="JAS87" s="21"/>
      <c r="JAT87" s="21"/>
      <c r="JAU87" s="21"/>
      <c r="JAV87" s="21"/>
      <c r="JAW87" s="21"/>
      <c r="JAX87" s="21"/>
      <c r="JAY87" s="21"/>
      <c r="JAZ87" s="21"/>
      <c r="JBA87" s="21"/>
      <c r="JBB87" s="21"/>
      <c r="JBC87" s="21"/>
      <c r="JBD87" s="21"/>
      <c r="JBE87" s="21"/>
      <c r="JBF87" s="21"/>
      <c r="JBG87" s="21"/>
      <c r="JBH87" s="21"/>
      <c r="JBI87" s="21"/>
      <c r="JBJ87" s="21"/>
      <c r="JBK87" s="21"/>
      <c r="JBL87" s="21"/>
      <c r="JBM87" s="21"/>
      <c r="JBN87" s="21"/>
      <c r="JBO87" s="21"/>
      <c r="JBP87" s="21"/>
      <c r="JBQ87" s="21"/>
      <c r="JBR87" s="21"/>
      <c r="JBS87" s="21"/>
      <c r="JBT87" s="21"/>
      <c r="JBU87" s="21"/>
      <c r="JBV87" s="21"/>
      <c r="JBW87" s="21"/>
      <c r="JBX87" s="21"/>
      <c r="JBY87" s="21"/>
      <c r="JBZ87" s="21"/>
      <c r="JCA87" s="21"/>
      <c r="JCB87" s="21"/>
      <c r="JCC87" s="21"/>
      <c r="JCD87" s="21"/>
      <c r="JCE87" s="21"/>
      <c r="JCF87" s="21"/>
      <c r="JCG87" s="21"/>
      <c r="JCH87" s="21"/>
      <c r="JCI87" s="21"/>
      <c r="JCJ87" s="21"/>
      <c r="JCK87" s="21"/>
      <c r="JCL87" s="21"/>
      <c r="JCM87" s="21"/>
      <c r="JCN87" s="21"/>
      <c r="JCO87" s="21"/>
      <c r="JCP87" s="21"/>
      <c r="JCQ87" s="21"/>
      <c r="JCR87" s="21"/>
      <c r="JCS87" s="21"/>
      <c r="JCT87" s="21"/>
      <c r="JCU87" s="21"/>
      <c r="JCV87" s="21"/>
      <c r="JCW87" s="21"/>
      <c r="JCX87" s="21"/>
      <c r="JCY87" s="21"/>
      <c r="JCZ87" s="21"/>
      <c r="JDA87" s="21"/>
      <c r="JDB87" s="21"/>
      <c r="JDC87" s="21"/>
      <c r="JDD87" s="21"/>
      <c r="JDE87" s="21"/>
      <c r="JDF87" s="21"/>
      <c r="JDG87" s="21"/>
      <c r="JDH87" s="21"/>
      <c r="JDI87" s="21"/>
      <c r="JDJ87" s="21"/>
      <c r="JDK87" s="21"/>
      <c r="JDL87" s="21"/>
      <c r="JDM87" s="21"/>
      <c r="JDN87" s="21"/>
      <c r="JDO87" s="21"/>
      <c r="JDP87" s="21"/>
      <c r="JDQ87" s="21"/>
      <c r="JDR87" s="21"/>
      <c r="JDS87" s="21"/>
      <c r="JDT87" s="21"/>
      <c r="JDU87" s="21"/>
      <c r="JDV87" s="21"/>
      <c r="JDW87" s="21"/>
      <c r="JDX87" s="21"/>
      <c r="JDY87" s="21"/>
      <c r="JDZ87" s="21"/>
      <c r="JEA87" s="21"/>
      <c r="JEB87" s="21"/>
      <c r="JEC87" s="21"/>
      <c r="JED87" s="21"/>
      <c r="JEE87" s="21"/>
      <c r="JEF87" s="21"/>
      <c r="JEG87" s="21"/>
      <c r="JEH87" s="21"/>
      <c r="JEI87" s="21"/>
      <c r="JEJ87" s="21"/>
      <c r="JEK87" s="21"/>
      <c r="JEL87" s="21"/>
      <c r="JEM87" s="21"/>
      <c r="JEN87" s="21"/>
      <c r="JEO87" s="21"/>
      <c r="JEP87" s="21"/>
      <c r="JEQ87" s="21"/>
      <c r="JER87" s="21"/>
      <c r="JES87" s="21"/>
      <c r="JET87" s="21"/>
      <c r="JEU87" s="21"/>
      <c r="JEV87" s="21"/>
      <c r="JEW87" s="21"/>
      <c r="JEX87" s="21"/>
      <c r="JEY87" s="21"/>
      <c r="JEZ87" s="21"/>
      <c r="JFA87" s="21"/>
      <c r="JFB87" s="21"/>
      <c r="JFC87" s="21"/>
      <c r="JFD87" s="21"/>
      <c r="JFE87" s="21"/>
      <c r="JFF87" s="21"/>
      <c r="JFG87" s="21"/>
      <c r="JFH87" s="21"/>
      <c r="JFI87" s="21"/>
      <c r="JFJ87" s="21"/>
      <c r="JFK87" s="21"/>
      <c r="JFL87" s="21"/>
      <c r="JFM87" s="21"/>
      <c r="JFN87" s="21"/>
      <c r="JFO87" s="21"/>
      <c r="JFP87" s="21"/>
      <c r="JFQ87" s="21"/>
      <c r="JFR87" s="21"/>
      <c r="JFS87" s="21"/>
      <c r="JFT87" s="21"/>
      <c r="JFU87" s="21"/>
      <c r="JFV87" s="21"/>
      <c r="JFW87" s="21"/>
      <c r="JFX87" s="21"/>
      <c r="JFY87" s="21"/>
      <c r="JFZ87" s="21"/>
      <c r="JGA87" s="21"/>
      <c r="JGB87" s="21"/>
      <c r="JGC87" s="21"/>
      <c r="JGD87" s="21"/>
      <c r="JGE87" s="21"/>
      <c r="JGF87" s="21"/>
      <c r="JGG87" s="21"/>
      <c r="JGH87" s="21"/>
      <c r="JGI87" s="21"/>
      <c r="JGJ87" s="21"/>
      <c r="JGK87" s="21"/>
      <c r="JGL87" s="21"/>
      <c r="JGM87" s="21"/>
      <c r="JGN87" s="21"/>
      <c r="JGO87" s="21"/>
      <c r="JGP87" s="21"/>
      <c r="JGQ87" s="21"/>
      <c r="JGR87" s="21"/>
      <c r="JGS87" s="21"/>
      <c r="JGT87" s="21"/>
      <c r="JGU87" s="21"/>
      <c r="JGV87" s="21"/>
      <c r="JGW87" s="21"/>
      <c r="JGX87" s="21"/>
      <c r="JGY87" s="21"/>
      <c r="JGZ87" s="21"/>
      <c r="JHA87" s="21"/>
      <c r="JHB87" s="21"/>
      <c r="JHC87" s="21"/>
      <c r="JHD87" s="21"/>
      <c r="JHE87" s="21"/>
      <c r="JHF87" s="21"/>
      <c r="JHG87" s="21"/>
      <c r="JHH87" s="21"/>
      <c r="JHI87" s="21"/>
      <c r="JHJ87" s="21"/>
      <c r="JHK87" s="21"/>
      <c r="JHL87" s="21"/>
      <c r="JHM87" s="21"/>
      <c r="JHN87" s="21"/>
      <c r="JHO87" s="21"/>
      <c r="JHP87" s="21"/>
      <c r="JHQ87" s="21"/>
      <c r="JHR87" s="21"/>
      <c r="JHS87" s="21"/>
      <c r="JHT87" s="21"/>
      <c r="JHU87" s="21"/>
      <c r="JHV87" s="21"/>
      <c r="JHW87" s="21"/>
      <c r="JHX87" s="21"/>
      <c r="JHY87" s="21"/>
      <c r="JHZ87" s="21"/>
      <c r="JIA87" s="21"/>
      <c r="JIB87" s="21"/>
      <c r="JIC87" s="21"/>
      <c r="JID87" s="21"/>
      <c r="JIE87" s="21"/>
      <c r="JIF87" s="21"/>
      <c r="JIG87" s="21"/>
      <c r="JIH87" s="21"/>
      <c r="JII87" s="21"/>
      <c r="JIJ87" s="21"/>
      <c r="JIK87" s="21"/>
      <c r="JIL87" s="21"/>
      <c r="JIM87" s="21"/>
      <c r="JIN87" s="21"/>
      <c r="JIO87" s="21"/>
      <c r="JIP87" s="21"/>
      <c r="JIQ87" s="21"/>
      <c r="JIR87" s="21"/>
      <c r="JIS87" s="21"/>
      <c r="JIT87" s="21"/>
      <c r="JIU87" s="21"/>
      <c r="JIV87" s="21"/>
      <c r="JIW87" s="21"/>
      <c r="JIX87" s="21"/>
      <c r="JIY87" s="21"/>
      <c r="JIZ87" s="21"/>
      <c r="JJA87" s="21"/>
      <c r="JJB87" s="21"/>
      <c r="JJC87" s="21"/>
      <c r="JJD87" s="21"/>
      <c r="JJE87" s="21"/>
      <c r="JJF87" s="21"/>
      <c r="JJG87" s="21"/>
      <c r="JJH87" s="21"/>
      <c r="JJI87" s="21"/>
      <c r="JJJ87" s="21"/>
      <c r="JJK87" s="21"/>
      <c r="JJL87" s="21"/>
      <c r="JJM87" s="21"/>
      <c r="JJN87" s="21"/>
      <c r="JJO87" s="21"/>
      <c r="JJP87" s="21"/>
      <c r="JJQ87" s="21"/>
      <c r="JJR87" s="21"/>
      <c r="JJS87" s="21"/>
      <c r="JJT87" s="21"/>
      <c r="JJU87" s="21"/>
      <c r="JJV87" s="21"/>
      <c r="JJW87" s="21"/>
      <c r="JJX87" s="21"/>
      <c r="JJY87" s="21"/>
      <c r="JJZ87" s="21"/>
      <c r="JKA87" s="21"/>
      <c r="JKB87" s="21"/>
      <c r="JKC87" s="21"/>
      <c r="JKD87" s="21"/>
      <c r="JKE87" s="21"/>
      <c r="JKF87" s="21"/>
      <c r="JKG87" s="21"/>
      <c r="JKH87" s="21"/>
      <c r="JKI87" s="21"/>
      <c r="JKJ87" s="21"/>
      <c r="JKK87" s="21"/>
      <c r="JKL87" s="21"/>
      <c r="JKM87" s="21"/>
      <c r="JKN87" s="21"/>
      <c r="JKO87" s="21"/>
      <c r="JKP87" s="21"/>
      <c r="JKQ87" s="21"/>
      <c r="JKR87" s="21"/>
      <c r="JKS87" s="21"/>
      <c r="JKT87" s="21"/>
      <c r="JKU87" s="21"/>
      <c r="JKV87" s="21"/>
      <c r="JKW87" s="21"/>
      <c r="JKX87" s="21"/>
      <c r="JKY87" s="21"/>
      <c r="JKZ87" s="21"/>
      <c r="JLA87" s="21"/>
      <c r="JLB87" s="21"/>
      <c r="JLC87" s="21"/>
      <c r="JLD87" s="21"/>
      <c r="JLE87" s="21"/>
      <c r="JLF87" s="21"/>
      <c r="JLG87" s="21"/>
      <c r="JLH87" s="21"/>
      <c r="JLI87" s="21"/>
      <c r="JLJ87" s="21"/>
      <c r="JLK87" s="21"/>
      <c r="JLL87" s="21"/>
      <c r="JLM87" s="21"/>
      <c r="JLN87" s="21"/>
      <c r="JLO87" s="21"/>
      <c r="JLP87" s="21"/>
      <c r="JLQ87" s="21"/>
      <c r="JLR87" s="21"/>
      <c r="JLS87" s="21"/>
      <c r="JLT87" s="21"/>
      <c r="JLU87" s="21"/>
      <c r="JLV87" s="21"/>
      <c r="JLW87" s="21"/>
      <c r="JLX87" s="21"/>
      <c r="JLY87" s="21"/>
      <c r="JLZ87" s="21"/>
      <c r="JMA87" s="21"/>
      <c r="JMB87" s="21"/>
      <c r="JMC87" s="21"/>
      <c r="JMD87" s="21"/>
      <c r="JME87" s="21"/>
      <c r="JMF87" s="21"/>
      <c r="JMG87" s="21"/>
      <c r="JMH87" s="21"/>
      <c r="JMI87" s="21"/>
      <c r="JMJ87" s="21"/>
      <c r="JMK87" s="21"/>
      <c r="JML87" s="21"/>
      <c r="JMM87" s="21"/>
      <c r="JMN87" s="21"/>
      <c r="JMO87" s="21"/>
      <c r="JMP87" s="21"/>
      <c r="JMQ87" s="21"/>
      <c r="JMR87" s="21"/>
      <c r="JMS87" s="21"/>
      <c r="JMT87" s="21"/>
      <c r="JMU87" s="21"/>
      <c r="JMV87" s="21"/>
      <c r="JMW87" s="21"/>
      <c r="JMX87" s="21"/>
      <c r="JMY87" s="21"/>
      <c r="JMZ87" s="21"/>
      <c r="JNA87" s="21"/>
      <c r="JNB87" s="21"/>
      <c r="JNC87" s="21"/>
      <c r="JND87" s="21"/>
      <c r="JNE87" s="21"/>
      <c r="JNF87" s="21"/>
      <c r="JNG87" s="21"/>
      <c r="JNH87" s="21"/>
      <c r="JNI87" s="21"/>
      <c r="JNJ87" s="21"/>
      <c r="JNK87" s="21"/>
      <c r="JNL87" s="21"/>
      <c r="JNM87" s="21"/>
      <c r="JNN87" s="21"/>
      <c r="JNO87" s="21"/>
      <c r="JNP87" s="21"/>
      <c r="JNQ87" s="21"/>
      <c r="JNR87" s="21"/>
      <c r="JNS87" s="21"/>
      <c r="JNT87" s="21"/>
      <c r="JNU87" s="21"/>
      <c r="JNV87" s="21"/>
      <c r="JNW87" s="21"/>
      <c r="JNX87" s="21"/>
      <c r="JNY87" s="21"/>
      <c r="JNZ87" s="21"/>
      <c r="JOA87" s="21"/>
      <c r="JOB87" s="21"/>
      <c r="JOC87" s="21"/>
      <c r="JOD87" s="21"/>
      <c r="JOE87" s="21"/>
      <c r="JOF87" s="21"/>
      <c r="JOG87" s="21"/>
      <c r="JOH87" s="21"/>
      <c r="JOI87" s="21"/>
      <c r="JOJ87" s="21"/>
      <c r="JOK87" s="21"/>
      <c r="JOL87" s="21"/>
      <c r="JOM87" s="21"/>
      <c r="JON87" s="21"/>
      <c r="JOO87" s="21"/>
      <c r="JOP87" s="21"/>
      <c r="JOQ87" s="21"/>
      <c r="JOR87" s="21"/>
      <c r="JOS87" s="21"/>
      <c r="JOT87" s="21"/>
      <c r="JOU87" s="21"/>
      <c r="JOV87" s="21"/>
      <c r="JOW87" s="21"/>
      <c r="JOX87" s="21"/>
      <c r="JOY87" s="21"/>
      <c r="JOZ87" s="21"/>
      <c r="JPA87" s="21"/>
      <c r="JPB87" s="21"/>
      <c r="JPC87" s="21"/>
      <c r="JPD87" s="21"/>
      <c r="JPE87" s="21"/>
      <c r="JPF87" s="21"/>
      <c r="JPG87" s="21"/>
      <c r="JPH87" s="21"/>
      <c r="JPI87" s="21"/>
      <c r="JPJ87" s="21"/>
      <c r="JPK87" s="21"/>
      <c r="JPL87" s="21"/>
      <c r="JPM87" s="21"/>
      <c r="JPN87" s="21"/>
      <c r="JPO87" s="21"/>
      <c r="JPP87" s="21"/>
      <c r="JPQ87" s="21"/>
      <c r="JPR87" s="21"/>
      <c r="JPS87" s="21"/>
      <c r="JPT87" s="21"/>
      <c r="JPU87" s="21"/>
      <c r="JPV87" s="21"/>
      <c r="JPW87" s="21"/>
      <c r="JPX87" s="21"/>
      <c r="JPY87" s="21"/>
      <c r="JPZ87" s="21"/>
      <c r="JQA87" s="21"/>
      <c r="JQB87" s="21"/>
      <c r="JQC87" s="21"/>
      <c r="JQD87" s="21"/>
      <c r="JQE87" s="21"/>
      <c r="JQF87" s="21"/>
      <c r="JQG87" s="21"/>
      <c r="JQH87" s="21"/>
      <c r="JQI87" s="21"/>
      <c r="JQJ87" s="21"/>
      <c r="JQK87" s="21"/>
      <c r="JQL87" s="21"/>
      <c r="JQM87" s="21"/>
      <c r="JQN87" s="21"/>
      <c r="JQO87" s="21"/>
      <c r="JQP87" s="21"/>
      <c r="JQQ87" s="21"/>
      <c r="JQR87" s="21"/>
      <c r="JQS87" s="21"/>
      <c r="JQT87" s="21"/>
      <c r="JQU87" s="21"/>
      <c r="JQV87" s="21"/>
      <c r="JQW87" s="21"/>
      <c r="JQX87" s="21"/>
      <c r="JQY87" s="21"/>
      <c r="JQZ87" s="21"/>
      <c r="JRA87" s="21"/>
      <c r="JRB87" s="21"/>
      <c r="JRC87" s="21"/>
      <c r="JRD87" s="21"/>
      <c r="JRE87" s="21"/>
      <c r="JRF87" s="21"/>
      <c r="JRG87" s="21"/>
      <c r="JRH87" s="21"/>
      <c r="JRI87" s="21"/>
      <c r="JRJ87" s="21"/>
      <c r="JRK87" s="21"/>
      <c r="JRL87" s="21"/>
      <c r="JRM87" s="21"/>
      <c r="JRN87" s="21"/>
      <c r="JRO87" s="21"/>
      <c r="JRP87" s="21"/>
      <c r="JRQ87" s="21"/>
      <c r="JRR87" s="21"/>
      <c r="JRS87" s="21"/>
      <c r="JRT87" s="21"/>
      <c r="JRU87" s="21"/>
      <c r="JRV87" s="21"/>
      <c r="JRW87" s="21"/>
      <c r="JRX87" s="21"/>
      <c r="JRY87" s="21"/>
      <c r="JRZ87" s="21"/>
      <c r="JSA87" s="21"/>
      <c r="JSB87" s="21"/>
      <c r="JSC87" s="21"/>
      <c r="JSD87" s="21"/>
      <c r="JSE87" s="21"/>
      <c r="JSF87" s="21"/>
      <c r="JSG87" s="21"/>
      <c r="JSH87" s="21"/>
      <c r="JSI87" s="21"/>
      <c r="JSJ87" s="21"/>
      <c r="JSK87" s="21"/>
      <c r="JSL87" s="21"/>
      <c r="JSM87" s="21"/>
      <c r="JSN87" s="21"/>
      <c r="JSO87" s="21"/>
      <c r="JSP87" s="21"/>
      <c r="JSQ87" s="21"/>
      <c r="JSR87" s="21"/>
      <c r="JSS87" s="21"/>
      <c r="JST87" s="21"/>
      <c r="JSU87" s="21"/>
      <c r="JSV87" s="21"/>
      <c r="JSW87" s="21"/>
      <c r="JSX87" s="21"/>
      <c r="JSY87" s="21"/>
      <c r="JSZ87" s="21"/>
      <c r="JTA87" s="21"/>
      <c r="JTB87" s="21"/>
      <c r="JTC87" s="21"/>
      <c r="JTD87" s="21"/>
      <c r="JTE87" s="21"/>
      <c r="JTF87" s="21"/>
      <c r="JTG87" s="21"/>
      <c r="JTH87" s="21"/>
      <c r="JTI87" s="21"/>
      <c r="JTJ87" s="21"/>
      <c r="JTK87" s="21"/>
      <c r="JTL87" s="21"/>
      <c r="JTM87" s="21"/>
      <c r="JTN87" s="21"/>
      <c r="JTO87" s="21"/>
      <c r="JTP87" s="21"/>
      <c r="JTQ87" s="21"/>
      <c r="JTR87" s="21"/>
      <c r="JTS87" s="21"/>
      <c r="JTT87" s="21"/>
      <c r="JTU87" s="21"/>
      <c r="JTV87" s="21"/>
      <c r="JTW87" s="21"/>
      <c r="JTX87" s="21"/>
      <c r="JTY87" s="21"/>
      <c r="JTZ87" s="21"/>
      <c r="JUA87" s="21"/>
      <c r="JUB87" s="21"/>
      <c r="JUC87" s="21"/>
      <c r="JUD87" s="21"/>
      <c r="JUE87" s="21"/>
      <c r="JUF87" s="21"/>
      <c r="JUG87" s="21"/>
      <c r="JUH87" s="21"/>
      <c r="JUI87" s="21"/>
      <c r="JUJ87" s="21"/>
      <c r="JUK87" s="21"/>
      <c r="JUL87" s="21"/>
      <c r="JUM87" s="21"/>
      <c r="JUN87" s="21"/>
      <c r="JUO87" s="21"/>
      <c r="JUP87" s="21"/>
      <c r="JUQ87" s="21"/>
      <c r="JUR87" s="21"/>
      <c r="JUS87" s="21"/>
      <c r="JUT87" s="21"/>
      <c r="JUU87" s="21"/>
      <c r="JUV87" s="21"/>
      <c r="JUW87" s="21"/>
      <c r="JUX87" s="21"/>
      <c r="JUY87" s="21"/>
      <c r="JUZ87" s="21"/>
      <c r="JVA87" s="21"/>
      <c r="JVB87" s="21"/>
      <c r="JVC87" s="21"/>
      <c r="JVD87" s="21"/>
      <c r="JVE87" s="21"/>
      <c r="JVF87" s="21"/>
      <c r="JVG87" s="21"/>
      <c r="JVH87" s="21"/>
      <c r="JVI87" s="21"/>
      <c r="JVJ87" s="21"/>
      <c r="JVK87" s="21"/>
      <c r="JVL87" s="21"/>
      <c r="JVM87" s="21"/>
      <c r="JVN87" s="21"/>
      <c r="JVO87" s="21"/>
      <c r="JVP87" s="21"/>
      <c r="JVQ87" s="21"/>
      <c r="JVR87" s="21"/>
      <c r="JVS87" s="21"/>
      <c r="JVT87" s="21"/>
      <c r="JVU87" s="21"/>
      <c r="JVV87" s="21"/>
      <c r="JVW87" s="21"/>
      <c r="JVX87" s="21"/>
      <c r="JVY87" s="21"/>
      <c r="JVZ87" s="21"/>
      <c r="JWA87" s="21"/>
      <c r="JWB87" s="21"/>
      <c r="JWC87" s="21"/>
      <c r="JWD87" s="21"/>
      <c r="JWE87" s="21"/>
      <c r="JWF87" s="21"/>
      <c r="JWG87" s="21"/>
      <c r="JWH87" s="21"/>
      <c r="JWI87" s="21"/>
      <c r="JWJ87" s="21"/>
      <c r="JWK87" s="21"/>
      <c r="JWL87" s="21"/>
      <c r="JWM87" s="21"/>
      <c r="JWN87" s="21"/>
      <c r="JWO87" s="21"/>
      <c r="JWP87" s="21"/>
      <c r="JWQ87" s="21"/>
      <c r="JWR87" s="21"/>
      <c r="JWS87" s="21"/>
      <c r="JWT87" s="21"/>
      <c r="JWU87" s="21"/>
      <c r="JWV87" s="21"/>
      <c r="JWW87" s="21"/>
      <c r="JWX87" s="21"/>
      <c r="JWY87" s="21"/>
      <c r="JWZ87" s="21"/>
      <c r="JXA87" s="21"/>
      <c r="JXB87" s="21"/>
      <c r="JXC87" s="21"/>
      <c r="JXD87" s="21"/>
      <c r="JXE87" s="21"/>
      <c r="JXF87" s="21"/>
      <c r="JXG87" s="21"/>
      <c r="JXH87" s="21"/>
      <c r="JXI87" s="21"/>
      <c r="JXJ87" s="21"/>
      <c r="JXK87" s="21"/>
      <c r="JXL87" s="21"/>
      <c r="JXM87" s="21"/>
      <c r="JXN87" s="21"/>
      <c r="JXO87" s="21"/>
      <c r="JXP87" s="21"/>
      <c r="JXQ87" s="21"/>
      <c r="JXR87" s="21"/>
      <c r="JXS87" s="21"/>
      <c r="JXT87" s="21"/>
      <c r="JXU87" s="21"/>
      <c r="JXV87" s="21"/>
      <c r="JXW87" s="21"/>
      <c r="JXX87" s="21"/>
      <c r="JXY87" s="21"/>
      <c r="JXZ87" s="21"/>
      <c r="JYA87" s="21"/>
      <c r="JYB87" s="21"/>
      <c r="JYC87" s="21"/>
      <c r="JYD87" s="21"/>
      <c r="JYE87" s="21"/>
      <c r="JYF87" s="21"/>
      <c r="JYG87" s="21"/>
      <c r="JYH87" s="21"/>
      <c r="JYI87" s="21"/>
      <c r="JYJ87" s="21"/>
      <c r="JYK87" s="21"/>
      <c r="JYL87" s="21"/>
      <c r="JYM87" s="21"/>
      <c r="JYN87" s="21"/>
      <c r="JYO87" s="21"/>
      <c r="JYP87" s="21"/>
      <c r="JYQ87" s="21"/>
      <c r="JYR87" s="21"/>
      <c r="JYS87" s="21"/>
      <c r="JYT87" s="21"/>
      <c r="JYU87" s="21"/>
      <c r="JYV87" s="21"/>
      <c r="JYW87" s="21"/>
      <c r="JYX87" s="21"/>
      <c r="JYY87" s="21"/>
      <c r="JYZ87" s="21"/>
      <c r="JZA87" s="21"/>
      <c r="JZB87" s="21"/>
      <c r="JZC87" s="21"/>
      <c r="JZD87" s="21"/>
      <c r="JZE87" s="21"/>
      <c r="JZF87" s="21"/>
      <c r="JZG87" s="21"/>
      <c r="JZH87" s="21"/>
      <c r="JZI87" s="21"/>
      <c r="JZJ87" s="21"/>
      <c r="JZK87" s="21"/>
      <c r="JZL87" s="21"/>
      <c r="JZM87" s="21"/>
      <c r="JZN87" s="21"/>
      <c r="JZO87" s="21"/>
      <c r="JZP87" s="21"/>
      <c r="JZQ87" s="21"/>
      <c r="JZR87" s="21"/>
      <c r="JZS87" s="21"/>
      <c r="JZT87" s="21"/>
      <c r="JZU87" s="21"/>
      <c r="JZV87" s="21"/>
      <c r="JZW87" s="21"/>
      <c r="JZX87" s="21"/>
      <c r="JZY87" s="21"/>
      <c r="JZZ87" s="21"/>
      <c r="KAA87" s="21"/>
      <c r="KAB87" s="21"/>
      <c r="KAC87" s="21"/>
      <c r="KAD87" s="21"/>
      <c r="KAE87" s="21"/>
      <c r="KAF87" s="21"/>
      <c r="KAG87" s="21"/>
      <c r="KAH87" s="21"/>
      <c r="KAI87" s="21"/>
      <c r="KAJ87" s="21"/>
      <c r="KAK87" s="21"/>
      <c r="KAL87" s="21"/>
      <c r="KAM87" s="21"/>
      <c r="KAN87" s="21"/>
      <c r="KAO87" s="21"/>
      <c r="KAP87" s="21"/>
      <c r="KAQ87" s="21"/>
      <c r="KAR87" s="21"/>
      <c r="KAS87" s="21"/>
      <c r="KAT87" s="21"/>
      <c r="KAU87" s="21"/>
      <c r="KAV87" s="21"/>
      <c r="KAW87" s="21"/>
      <c r="KAX87" s="21"/>
      <c r="KAY87" s="21"/>
      <c r="KAZ87" s="21"/>
      <c r="KBA87" s="21"/>
      <c r="KBB87" s="21"/>
      <c r="KBC87" s="21"/>
      <c r="KBD87" s="21"/>
      <c r="KBE87" s="21"/>
      <c r="KBF87" s="21"/>
      <c r="KBG87" s="21"/>
      <c r="KBH87" s="21"/>
      <c r="KBI87" s="21"/>
      <c r="KBJ87" s="21"/>
      <c r="KBK87" s="21"/>
      <c r="KBL87" s="21"/>
      <c r="KBM87" s="21"/>
      <c r="KBN87" s="21"/>
      <c r="KBO87" s="21"/>
      <c r="KBP87" s="21"/>
      <c r="KBQ87" s="21"/>
      <c r="KBR87" s="21"/>
      <c r="KBS87" s="21"/>
      <c r="KBT87" s="21"/>
      <c r="KBU87" s="21"/>
      <c r="KBV87" s="21"/>
      <c r="KBW87" s="21"/>
      <c r="KBX87" s="21"/>
      <c r="KBY87" s="21"/>
      <c r="KBZ87" s="21"/>
      <c r="KCA87" s="21"/>
      <c r="KCB87" s="21"/>
      <c r="KCC87" s="21"/>
      <c r="KCD87" s="21"/>
      <c r="KCE87" s="21"/>
      <c r="KCF87" s="21"/>
      <c r="KCG87" s="21"/>
      <c r="KCH87" s="21"/>
      <c r="KCI87" s="21"/>
      <c r="KCJ87" s="21"/>
      <c r="KCK87" s="21"/>
      <c r="KCL87" s="21"/>
      <c r="KCM87" s="21"/>
      <c r="KCN87" s="21"/>
      <c r="KCO87" s="21"/>
      <c r="KCP87" s="21"/>
      <c r="KCQ87" s="21"/>
      <c r="KCR87" s="21"/>
      <c r="KCS87" s="21"/>
      <c r="KCT87" s="21"/>
      <c r="KCU87" s="21"/>
      <c r="KCV87" s="21"/>
      <c r="KCW87" s="21"/>
      <c r="KCX87" s="21"/>
      <c r="KCY87" s="21"/>
      <c r="KCZ87" s="21"/>
      <c r="KDA87" s="21"/>
      <c r="KDB87" s="21"/>
      <c r="KDC87" s="21"/>
      <c r="KDD87" s="21"/>
      <c r="KDE87" s="21"/>
      <c r="KDF87" s="21"/>
      <c r="KDG87" s="21"/>
      <c r="KDH87" s="21"/>
      <c r="KDI87" s="21"/>
      <c r="KDJ87" s="21"/>
      <c r="KDK87" s="21"/>
      <c r="KDL87" s="21"/>
      <c r="KDM87" s="21"/>
      <c r="KDN87" s="21"/>
      <c r="KDO87" s="21"/>
      <c r="KDP87" s="21"/>
      <c r="KDQ87" s="21"/>
      <c r="KDR87" s="21"/>
      <c r="KDS87" s="21"/>
      <c r="KDT87" s="21"/>
      <c r="KDU87" s="21"/>
      <c r="KDV87" s="21"/>
      <c r="KDW87" s="21"/>
      <c r="KDX87" s="21"/>
      <c r="KDY87" s="21"/>
      <c r="KDZ87" s="21"/>
      <c r="KEA87" s="21"/>
      <c r="KEB87" s="21"/>
      <c r="KEC87" s="21"/>
      <c r="KED87" s="21"/>
      <c r="KEE87" s="21"/>
      <c r="KEF87" s="21"/>
      <c r="KEG87" s="21"/>
      <c r="KEH87" s="21"/>
      <c r="KEI87" s="21"/>
      <c r="KEJ87" s="21"/>
      <c r="KEK87" s="21"/>
      <c r="KEL87" s="21"/>
      <c r="KEM87" s="21"/>
      <c r="KEN87" s="21"/>
      <c r="KEO87" s="21"/>
      <c r="KEP87" s="21"/>
      <c r="KEQ87" s="21"/>
      <c r="KER87" s="21"/>
      <c r="KES87" s="21"/>
      <c r="KET87" s="21"/>
      <c r="KEU87" s="21"/>
      <c r="KEV87" s="21"/>
      <c r="KEW87" s="21"/>
      <c r="KEX87" s="21"/>
      <c r="KEY87" s="21"/>
      <c r="KEZ87" s="21"/>
      <c r="KFA87" s="21"/>
      <c r="KFB87" s="21"/>
      <c r="KFC87" s="21"/>
      <c r="KFD87" s="21"/>
      <c r="KFE87" s="21"/>
      <c r="KFF87" s="21"/>
      <c r="KFG87" s="21"/>
      <c r="KFH87" s="21"/>
      <c r="KFI87" s="21"/>
      <c r="KFJ87" s="21"/>
      <c r="KFK87" s="21"/>
      <c r="KFL87" s="21"/>
      <c r="KFM87" s="21"/>
      <c r="KFN87" s="21"/>
      <c r="KFO87" s="21"/>
      <c r="KFP87" s="21"/>
      <c r="KFQ87" s="21"/>
      <c r="KFR87" s="21"/>
      <c r="KFS87" s="21"/>
      <c r="KFT87" s="21"/>
      <c r="KFU87" s="21"/>
      <c r="KFV87" s="21"/>
      <c r="KFW87" s="21"/>
      <c r="KFX87" s="21"/>
      <c r="KFY87" s="21"/>
      <c r="KFZ87" s="21"/>
      <c r="KGA87" s="21"/>
      <c r="KGB87" s="21"/>
      <c r="KGC87" s="21"/>
      <c r="KGD87" s="21"/>
      <c r="KGE87" s="21"/>
      <c r="KGF87" s="21"/>
      <c r="KGG87" s="21"/>
      <c r="KGH87" s="21"/>
      <c r="KGI87" s="21"/>
      <c r="KGJ87" s="21"/>
      <c r="KGK87" s="21"/>
      <c r="KGL87" s="21"/>
      <c r="KGM87" s="21"/>
      <c r="KGN87" s="21"/>
      <c r="KGO87" s="21"/>
      <c r="KGP87" s="21"/>
      <c r="KGQ87" s="21"/>
      <c r="KGR87" s="21"/>
      <c r="KGS87" s="21"/>
      <c r="KGT87" s="21"/>
      <c r="KGU87" s="21"/>
      <c r="KGV87" s="21"/>
      <c r="KGW87" s="21"/>
      <c r="KGX87" s="21"/>
      <c r="KGY87" s="21"/>
      <c r="KGZ87" s="21"/>
      <c r="KHA87" s="21"/>
      <c r="KHB87" s="21"/>
      <c r="KHC87" s="21"/>
      <c r="KHD87" s="21"/>
      <c r="KHE87" s="21"/>
      <c r="KHF87" s="21"/>
      <c r="KHG87" s="21"/>
      <c r="KHH87" s="21"/>
      <c r="KHI87" s="21"/>
      <c r="KHJ87" s="21"/>
      <c r="KHK87" s="21"/>
      <c r="KHL87" s="21"/>
      <c r="KHM87" s="21"/>
      <c r="KHN87" s="21"/>
      <c r="KHO87" s="21"/>
      <c r="KHP87" s="21"/>
      <c r="KHQ87" s="21"/>
      <c r="KHR87" s="21"/>
      <c r="KHS87" s="21"/>
      <c r="KHT87" s="21"/>
      <c r="KHU87" s="21"/>
      <c r="KHV87" s="21"/>
      <c r="KHW87" s="21"/>
      <c r="KHX87" s="21"/>
      <c r="KHY87" s="21"/>
      <c r="KHZ87" s="21"/>
      <c r="KIA87" s="21"/>
      <c r="KIB87" s="21"/>
      <c r="KIC87" s="21"/>
      <c r="KID87" s="21"/>
      <c r="KIE87" s="21"/>
      <c r="KIF87" s="21"/>
      <c r="KIG87" s="21"/>
      <c r="KIH87" s="21"/>
      <c r="KII87" s="21"/>
      <c r="KIJ87" s="21"/>
      <c r="KIK87" s="21"/>
      <c r="KIL87" s="21"/>
      <c r="KIM87" s="21"/>
      <c r="KIN87" s="21"/>
      <c r="KIO87" s="21"/>
      <c r="KIP87" s="21"/>
      <c r="KIQ87" s="21"/>
      <c r="KIR87" s="21"/>
      <c r="KIS87" s="21"/>
      <c r="KIT87" s="21"/>
      <c r="KIU87" s="21"/>
      <c r="KIV87" s="21"/>
      <c r="KIW87" s="21"/>
      <c r="KIX87" s="21"/>
      <c r="KIY87" s="21"/>
      <c r="KIZ87" s="21"/>
      <c r="KJA87" s="21"/>
      <c r="KJB87" s="21"/>
      <c r="KJC87" s="21"/>
      <c r="KJD87" s="21"/>
      <c r="KJE87" s="21"/>
      <c r="KJF87" s="21"/>
      <c r="KJG87" s="21"/>
      <c r="KJH87" s="21"/>
      <c r="KJI87" s="21"/>
      <c r="KJJ87" s="21"/>
      <c r="KJK87" s="21"/>
      <c r="KJL87" s="21"/>
      <c r="KJM87" s="21"/>
      <c r="KJN87" s="21"/>
      <c r="KJO87" s="21"/>
      <c r="KJP87" s="21"/>
      <c r="KJQ87" s="21"/>
      <c r="KJR87" s="21"/>
      <c r="KJS87" s="21"/>
      <c r="KJT87" s="21"/>
      <c r="KJU87" s="21"/>
      <c r="KJV87" s="21"/>
      <c r="KJW87" s="21"/>
      <c r="KJX87" s="21"/>
      <c r="KJY87" s="21"/>
      <c r="KJZ87" s="21"/>
      <c r="KKA87" s="21"/>
      <c r="KKB87" s="21"/>
      <c r="KKC87" s="21"/>
      <c r="KKD87" s="21"/>
      <c r="KKE87" s="21"/>
      <c r="KKF87" s="21"/>
      <c r="KKG87" s="21"/>
      <c r="KKH87" s="21"/>
      <c r="KKI87" s="21"/>
      <c r="KKJ87" s="21"/>
      <c r="KKK87" s="21"/>
      <c r="KKL87" s="21"/>
      <c r="KKM87" s="21"/>
      <c r="KKN87" s="21"/>
      <c r="KKO87" s="21"/>
      <c r="KKP87" s="21"/>
      <c r="KKQ87" s="21"/>
      <c r="KKR87" s="21"/>
      <c r="KKS87" s="21"/>
      <c r="KKT87" s="21"/>
      <c r="KKU87" s="21"/>
      <c r="KKV87" s="21"/>
      <c r="KKW87" s="21"/>
      <c r="KKX87" s="21"/>
      <c r="KKY87" s="21"/>
      <c r="KKZ87" s="21"/>
      <c r="KLA87" s="21"/>
      <c r="KLB87" s="21"/>
      <c r="KLC87" s="21"/>
      <c r="KLD87" s="21"/>
      <c r="KLE87" s="21"/>
      <c r="KLF87" s="21"/>
      <c r="KLG87" s="21"/>
      <c r="KLH87" s="21"/>
      <c r="KLI87" s="21"/>
      <c r="KLJ87" s="21"/>
      <c r="KLK87" s="21"/>
      <c r="KLL87" s="21"/>
      <c r="KLM87" s="21"/>
      <c r="KLN87" s="21"/>
      <c r="KLO87" s="21"/>
      <c r="KLP87" s="21"/>
      <c r="KLQ87" s="21"/>
      <c r="KLR87" s="21"/>
      <c r="KLS87" s="21"/>
      <c r="KLT87" s="21"/>
      <c r="KLU87" s="21"/>
      <c r="KLV87" s="21"/>
      <c r="KLW87" s="21"/>
      <c r="KLX87" s="21"/>
      <c r="KLY87" s="21"/>
      <c r="KLZ87" s="21"/>
      <c r="KMA87" s="21"/>
      <c r="KMB87" s="21"/>
      <c r="KMC87" s="21"/>
      <c r="KMD87" s="21"/>
      <c r="KME87" s="21"/>
      <c r="KMF87" s="21"/>
      <c r="KMG87" s="21"/>
      <c r="KMH87" s="21"/>
      <c r="KMI87" s="21"/>
      <c r="KMJ87" s="21"/>
      <c r="KMK87" s="21"/>
      <c r="KML87" s="21"/>
      <c r="KMM87" s="21"/>
      <c r="KMN87" s="21"/>
      <c r="KMO87" s="21"/>
      <c r="KMP87" s="21"/>
      <c r="KMQ87" s="21"/>
      <c r="KMR87" s="21"/>
      <c r="KMS87" s="21"/>
      <c r="KMT87" s="21"/>
      <c r="KMU87" s="21"/>
      <c r="KMV87" s="21"/>
      <c r="KMW87" s="21"/>
      <c r="KMX87" s="21"/>
      <c r="KMY87" s="21"/>
      <c r="KMZ87" s="21"/>
      <c r="KNA87" s="21"/>
      <c r="KNB87" s="21"/>
      <c r="KNC87" s="21"/>
      <c r="KND87" s="21"/>
      <c r="KNE87" s="21"/>
      <c r="KNF87" s="21"/>
      <c r="KNG87" s="21"/>
      <c r="KNH87" s="21"/>
      <c r="KNI87" s="21"/>
      <c r="KNJ87" s="21"/>
      <c r="KNK87" s="21"/>
      <c r="KNL87" s="21"/>
      <c r="KNM87" s="21"/>
      <c r="KNN87" s="21"/>
      <c r="KNO87" s="21"/>
      <c r="KNP87" s="21"/>
      <c r="KNQ87" s="21"/>
      <c r="KNR87" s="21"/>
      <c r="KNS87" s="21"/>
      <c r="KNT87" s="21"/>
      <c r="KNU87" s="21"/>
      <c r="KNV87" s="21"/>
      <c r="KNW87" s="21"/>
      <c r="KNX87" s="21"/>
      <c r="KNY87" s="21"/>
      <c r="KNZ87" s="21"/>
      <c r="KOA87" s="21"/>
      <c r="KOB87" s="21"/>
      <c r="KOC87" s="21"/>
      <c r="KOD87" s="21"/>
      <c r="KOE87" s="21"/>
      <c r="KOF87" s="21"/>
      <c r="KOG87" s="21"/>
      <c r="KOH87" s="21"/>
      <c r="KOI87" s="21"/>
      <c r="KOJ87" s="21"/>
      <c r="KOK87" s="21"/>
      <c r="KOL87" s="21"/>
      <c r="KOM87" s="21"/>
      <c r="KON87" s="21"/>
      <c r="KOO87" s="21"/>
      <c r="KOP87" s="21"/>
      <c r="KOQ87" s="21"/>
      <c r="KOR87" s="21"/>
      <c r="KOS87" s="21"/>
      <c r="KOT87" s="21"/>
      <c r="KOU87" s="21"/>
      <c r="KOV87" s="21"/>
      <c r="KOW87" s="21"/>
      <c r="KOX87" s="21"/>
      <c r="KOY87" s="21"/>
      <c r="KOZ87" s="21"/>
      <c r="KPA87" s="21"/>
      <c r="KPB87" s="21"/>
      <c r="KPC87" s="21"/>
      <c r="KPD87" s="21"/>
      <c r="KPE87" s="21"/>
      <c r="KPF87" s="21"/>
      <c r="KPG87" s="21"/>
      <c r="KPH87" s="21"/>
      <c r="KPI87" s="21"/>
      <c r="KPJ87" s="21"/>
      <c r="KPK87" s="21"/>
      <c r="KPL87" s="21"/>
      <c r="KPM87" s="21"/>
      <c r="KPN87" s="21"/>
      <c r="KPO87" s="21"/>
      <c r="KPP87" s="21"/>
      <c r="KPQ87" s="21"/>
      <c r="KPR87" s="21"/>
      <c r="KPS87" s="21"/>
      <c r="KPT87" s="21"/>
      <c r="KPU87" s="21"/>
      <c r="KPV87" s="21"/>
      <c r="KPW87" s="21"/>
      <c r="KPX87" s="21"/>
      <c r="KPY87" s="21"/>
      <c r="KPZ87" s="21"/>
      <c r="KQA87" s="21"/>
      <c r="KQB87" s="21"/>
      <c r="KQC87" s="21"/>
      <c r="KQD87" s="21"/>
      <c r="KQE87" s="21"/>
      <c r="KQF87" s="21"/>
      <c r="KQG87" s="21"/>
      <c r="KQH87" s="21"/>
      <c r="KQI87" s="21"/>
      <c r="KQJ87" s="21"/>
      <c r="KQK87" s="21"/>
      <c r="KQL87" s="21"/>
      <c r="KQM87" s="21"/>
      <c r="KQN87" s="21"/>
      <c r="KQO87" s="21"/>
      <c r="KQP87" s="21"/>
      <c r="KQQ87" s="21"/>
      <c r="KQR87" s="21"/>
      <c r="KQS87" s="21"/>
      <c r="KQT87" s="21"/>
      <c r="KQU87" s="21"/>
      <c r="KQV87" s="21"/>
      <c r="KQW87" s="21"/>
      <c r="KQX87" s="21"/>
      <c r="KQY87" s="21"/>
      <c r="KQZ87" s="21"/>
      <c r="KRA87" s="21"/>
      <c r="KRB87" s="21"/>
      <c r="KRC87" s="21"/>
      <c r="KRD87" s="21"/>
      <c r="KRE87" s="21"/>
      <c r="KRF87" s="21"/>
      <c r="KRG87" s="21"/>
      <c r="KRH87" s="21"/>
      <c r="KRI87" s="21"/>
      <c r="KRJ87" s="21"/>
      <c r="KRK87" s="21"/>
      <c r="KRL87" s="21"/>
      <c r="KRM87" s="21"/>
      <c r="KRN87" s="21"/>
      <c r="KRO87" s="21"/>
      <c r="KRP87" s="21"/>
      <c r="KRQ87" s="21"/>
      <c r="KRR87" s="21"/>
      <c r="KRS87" s="21"/>
      <c r="KRT87" s="21"/>
      <c r="KRU87" s="21"/>
      <c r="KRV87" s="21"/>
      <c r="KRW87" s="21"/>
      <c r="KRX87" s="21"/>
      <c r="KRY87" s="21"/>
      <c r="KRZ87" s="21"/>
      <c r="KSA87" s="21"/>
      <c r="KSB87" s="21"/>
      <c r="KSC87" s="21"/>
      <c r="KSD87" s="21"/>
      <c r="KSE87" s="21"/>
      <c r="KSF87" s="21"/>
      <c r="KSG87" s="21"/>
      <c r="KSH87" s="21"/>
      <c r="KSI87" s="21"/>
      <c r="KSJ87" s="21"/>
      <c r="KSK87" s="21"/>
      <c r="KSL87" s="21"/>
      <c r="KSM87" s="21"/>
      <c r="KSN87" s="21"/>
      <c r="KSO87" s="21"/>
      <c r="KSP87" s="21"/>
      <c r="KSQ87" s="21"/>
      <c r="KSR87" s="21"/>
      <c r="KSS87" s="21"/>
      <c r="KST87" s="21"/>
      <c r="KSU87" s="21"/>
      <c r="KSV87" s="21"/>
      <c r="KSW87" s="21"/>
      <c r="KSX87" s="21"/>
      <c r="KSY87" s="21"/>
      <c r="KSZ87" s="21"/>
      <c r="KTA87" s="21"/>
      <c r="KTB87" s="21"/>
      <c r="KTC87" s="21"/>
      <c r="KTD87" s="21"/>
      <c r="KTE87" s="21"/>
      <c r="KTF87" s="21"/>
      <c r="KTG87" s="21"/>
      <c r="KTH87" s="21"/>
      <c r="KTI87" s="21"/>
      <c r="KTJ87" s="21"/>
      <c r="KTK87" s="21"/>
      <c r="KTL87" s="21"/>
      <c r="KTM87" s="21"/>
      <c r="KTN87" s="21"/>
      <c r="KTO87" s="21"/>
      <c r="KTP87" s="21"/>
      <c r="KTQ87" s="21"/>
      <c r="KTR87" s="21"/>
      <c r="KTS87" s="21"/>
      <c r="KTT87" s="21"/>
      <c r="KTU87" s="21"/>
      <c r="KTV87" s="21"/>
      <c r="KTW87" s="21"/>
      <c r="KTX87" s="21"/>
      <c r="KTY87" s="21"/>
      <c r="KTZ87" s="21"/>
      <c r="KUA87" s="21"/>
      <c r="KUB87" s="21"/>
      <c r="KUC87" s="21"/>
      <c r="KUD87" s="21"/>
      <c r="KUE87" s="21"/>
      <c r="KUF87" s="21"/>
      <c r="KUG87" s="21"/>
      <c r="KUH87" s="21"/>
      <c r="KUI87" s="21"/>
      <c r="KUJ87" s="21"/>
      <c r="KUK87" s="21"/>
      <c r="KUL87" s="21"/>
      <c r="KUM87" s="21"/>
      <c r="KUN87" s="21"/>
      <c r="KUO87" s="21"/>
      <c r="KUP87" s="21"/>
      <c r="KUQ87" s="21"/>
      <c r="KUR87" s="21"/>
      <c r="KUS87" s="21"/>
      <c r="KUT87" s="21"/>
      <c r="KUU87" s="21"/>
      <c r="KUV87" s="21"/>
      <c r="KUW87" s="21"/>
      <c r="KUX87" s="21"/>
      <c r="KUY87" s="21"/>
      <c r="KUZ87" s="21"/>
      <c r="KVA87" s="21"/>
      <c r="KVB87" s="21"/>
      <c r="KVC87" s="21"/>
      <c r="KVD87" s="21"/>
      <c r="KVE87" s="21"/>
      <c r="KVF87" s="21"/>
      <c r="KVG87" s="21"/>
      <c r="KVH87" s="21"/>
      <c r="KVI87" s="21"/>
      <c r="KVJ87" s="21"/>
      <c r="KVK87" s="21"/>
      <c r="KVL87" s="21"/>
      <c r="KVM87" s="21"/>
      <c r="KVN87" s="21"/>
      <c r="KVO87" s="21"/>
      <c r="KVP87" s="21"/>
      <c r="KVQ87" s="21"/>
      <c r="KVR87" s="21"/>
      <c r="KVS87" s="21"/>
      <c r="KVT87" s="21"/>
      <c r="KVU87" s="21"/>
      <c r="KVV87" s="21"/>
      <c r="KVW87" s="21"/>
      <c r="KVX87" s="21"/>
      <c r="KVY87" s="21"/>
      <c r="KVZ87" s="21"/>
      <c r="KWA87" s="21"/>
      <c r="KWB87" s="21"/>
      <c r="KWC87" s="21"/>
      <c r="KWD87" s="21"/>
      <c r="KWE87" s="21"/>
      <c r="KWF87" s="21"/>
      <c r="KWG87" s="21"/>
      <c r="KWH87" s="21"/>
      <c r="KWI87" s="21"/>
      <c r="KWJ87" s="21"/>
      <c r="KWK87" s="21"/>
      <c r="KWL87" s="21"/>
      <c r="KWM87" s="21"/>
      <c r="KWN87" s="21"/>
      <c r="KWO87" s="21"/>
      <c r="KWP87" s="21"/>
      <c r="KWQ87" s="21"/>
      <c r="KWR87" s="21"/>
      <c r="KWS87" s="21"/>
      <c r="KWT87" s="21"/>
      <c r="KWU87" s="21"/>
      <c r="KWV87" s="21"/>
      <c r="KWW87" s="21"/>
      <c r="KWX87" s="21"/>
      <c r="KWY87" s="21"/>
      <c r="KWZ87" s="21"/>
      <c r="KXA87" s="21"/>
      <c r="KXB87" s="21"/>
      <c r="KXC87" s="21"/>
      <c r="KXD87" s="21"/>
      <c r="KXE87" s="21"/>
      <c r="KXF87" s="21"/>
      <c r="KXG87" s="21"/>
      <c r="KXH87" s="21"/>
      <c r="KXI87" s="21"/>
      <c r="KXJ87" s="21"/>
      <c r="KXK87" s="21"/>
      <c r="KXL87" s="21"/>
      <c r="KXM87" s="21"/>
      <c r="KXN87" s="21"/>
      <c r="KXO87" s="21"/>
      <c r="KXP87" s="21"/>
      <c r="KXQ87" s="21"/>
      <c r="KXR87" s="21"/>
      <c r="KXS87" s="21"/>
      <c r="KXT87" s="21"/>
      <c r="KXU87" s="21"/>
      <c r="KXV87" s="21"/>
      <c r="KXW87" s="21"/>
      <c r="KXX87" s="21"/>
      <c r="KXY87" s="21"/>
      <c r="KXZ87" s="21"/>
      <c r="KYA87" s="21"/>
      <c r="KYB87" s="21"/>
      <c r="KYC87" s="21"/>
      <c r="KYD87" s="21"/>
      <c r="KYE87" s="21"/>
      <c r="KYF87" s="21"/>
      <c r="KYG87" s="21"/>
      <c r="KYH87" s="21"/>
      <c r="KYI87" s="21"/>
      <c r="KYJ87" s="21"/>
      <c r="KYK87" s="21"/>
      <c r="KYL87" s="21"/>
      <c r="KYM87" s="21"/>
      <c r="KYN87" s="21"/>
      <c r="KYO87" s="21"/>
      <c r="KYP87" s="21"/>
      <c r="KYQ87" s="21"/>
      <c r="KYR87" s="21"/>
      <c r="KYS87" s="21"/>
      <c r="KYT87" s="21"/>
      <c r="KYU87" s="21"/>
      <c r="KYV87" s="21"/>
      <c r="KYW87" s="21"/>
      <c r="KYX87" s="21"/>
      <c r="KYY87" s="21"/>
      <c r="KYZ87" s="21"/>
      <c r="KZA87" s="21"/>
      <c r="KZB87" s="21"/>
      <c r="KZC87" s="21"/>
      <c r="KZD87" s="21"/>
      <c r="KZE87" s="21"/>
      <c r="KZF87" s="21"/>
      <c r="KZG87" s="21"/>
      <c r="KZH87" s="21"/>
      <c r="KZI87" s="21"/>
      <c r="KZJ87" s="21"/>
      <c r="KZK87" s="21"/>
      <c r="KZL87" s="21"/>
      <c r="KZM87" s="21"/>
      <c r="KZN87" s="21"/>
      <c r="KZO87" s="21"/>
      <c r="KZP87" s="21"/>
      <c r="KZQ87" s="21"/>
      <c r="KZR87" s="21"/>
      <c r="KZS87" s="21"/>
      <c r="KZT87" s="21"/>
      <c r="KZU87" s="21"/>
      <c r="KZV87" s="21"/>
      <c r="KZW87" s="21"/>
      <c r="KZX87" s="21"/>
      <c r="KZY87" s="21"/>
      <c r="KZZ87" s="21"/>
      <c r="LAA87" s="21"/>
      <c r="LAB87" s="21"/>
      <c r="LAC87" s="21"/>
      <c r="LAD87" s="21"/>
      <c r="LAE87" s="21"/>
      <c r="LAF87" s="21"/>
      <c r="LAG87" s="21"/>
      <c r="LAH87" s="21"/>
      <c r="LAI87" s="21"/>
      <c r="LAJ87" s="21"/>
      <c r="LAK87" s="21"/>
      <c r="LAL87" s="21"/>
      <c r="LAM87" s="21"/>
      <c r="LAN87" s="21"/>
      <c r="LAO87" s="21"/>
      <c r="LAP87" s="21"/>
      <c r="LAQ87" s="21"/>
      <c r="LAR87" s="21"/>
      <c r="LAS87" s="21"/>
      <c r="LAT87" s="21"/>
      <c r="LAU87" s="21"/>
      <c r="LAV87" s="21"/>
      <c r="LAW87" s="21"/>
      <c r="LAX87" s="21"/>
      <c r="LAY87" s="21"/>
      <c r="LAZ87" s="21"/>
      <c r="LBA87" s="21"/>
      <c r="LBB87" s="21"/>
      <c r="LBC87" s="21"/>
      <c r="LBD87" s="21"/>
      <c r="LBE87" s="21"/>
      <c r="LBF87" s="21"/>
      <c r="LBG87" s="21"/>
      <c r="LBH87" s="21"/>
      <c r="LBI87" s="21"/>
      <c r="LBJ87" s="21"/>
      <c r="LBK87" s="21"/>
      <c r="LBL87" s="21"/>
      <c r="LBM87" s="21"/>
      <c r="LBN87" s="21"/>
      <c r="LBO87" s="21"/>
      <c r="LBP87" s="21"/>
      <c r="LBQ87" s="21"/>
      <c r="LBR87" s="21"/>
      <c r="LBS87" s="21"/>
      <c r="LBT87" s="21"/>
      <c r="LBU87" s="21"/>
      <c r="LBV87" s="21"/>
      <c r="LBW87" s="21"/>
      <c r="LBX87" s="21"/>
      <c r="LBY87" s="21"/>
      <c r="LBZ87" s="21"/>
      <c r="LCA87" s="21"/>
      <c r="LCB87" s="21"/>
      <c r="LCC87" s="21"/>
      <c r="LCD87" s="21"/>
      <c r="LCE87" s="21"/>
      <c r="LCF87" s="21"/>
      <c r="LCG87" s="21"/>
      <c r="LCH87" s="21"/>
      <c r="LCI87" s="21"/>
      <c r="LCJ87" s="21"/>
      <c r="LCK87" s="21"/>
      <c r="LCL87" s="21"/>
      <c r="LCM87" s="21"/>
      <c r="LCN87" s="21"/>
      <c r="LCO87" s="21"/>
      <c r="LCP87" s="21"/>
      <c r="LCQ87" s="21"/>
      <c r="LCR87" s="21"/>
      <c r="LCS87" s="21"/>
      <c r="LCT87" s="21"/>
      <c r="LCU87" s="21"/>
      <c r="LCV87" s="21"/>
      <c r="LCW87" s="21"/>
      <c r="LCX87" s="21"/>
      <c r="LCY87" s="21"/>
      <c r="LCZ87" s="21"/>
      <c r="LDA87" s="21"/>
      <c r="LDB87" s="21"/>
      <c r="LDC87" s="21"/>
      <c r="LDD87" s="21"/>
      <c r="LDE87" s="21"/>
      <c r="LDF87" s="21"/>
      <c r="LDG87" s="21"/>
      <c r="LDH87" s="21"/>
      <c r="LDI87" s="21"/>
      <c r="LDJ87" s="21"/>
      <c r="LDK87" s="21"/>
      <c r="LDL87" s="21"/>
      <c r="LDM87" s="21"/>
      <c r="LDN87" s="21"/>
      <c r="LDO87" s="21"/>
      <c r="LDP87" s="21"/>
      <c r="LDQ87" s="21"/>
      <c r="LDR87" s="21"/>
      <c r="LDS87" s="21"/>
      <c r="LDT87" s="21"/>
      <c r="LDU87" s="21"/>
      <c r="LDV87" s="21"/>
      <c r="LDW87" s="21"/>
      <c r="LDX87" s="21"/>
      <c r="LDY87" s="21"/>
      <c r="LDZ87" s="21"/>
      <c r="LEA87" s="21"/>
      <c r="LEB87" s="21"/>
      <c r="LEC87" s="21"/>
      <c r="LED87" s="21"/>
      <c r="LEE87" s="21"/>
      <c r="LEF87" s="21"/>
      <c r="LEG87" s="21"/>
      <c r="LEH87" s="21"/>
      <c r="LEI87" s="21"/>
      <c r="LEJ87" s="21"/>
      <c r="LEK87" s="21"/>
      <c r="LEL87" s="21"/>
      <c r="LEM87" s="21"/>
      <c r="LEN87" s="21"/>
      <c r="LEO87" s="21"/>
      <c r="LEP87" s="21"/>
      <c r="LEQ87" s="21"/>
      <c r="LER87" s="21"/>
      <c r="LES87" s="21"/>
      <c r="LET87" s="21"/>
      <c r="LEU87" s="21"/>
      <c r="LEV87" s="21"/>
      <c r="LEW87" s="21"/>
      <c r="LEX87" s="21"/>
      <c r="LEY87" s="21"/>
      <c r="LEZ87" s="21"/>
      <c r="LFA87" s="21"/>
      <c r="LFB87" s="21"/>
      <c r="LFC87" s="21"/>
      <c r="LFD87" s="21"/>
      <c r="LFE87" s="21"/>
      <c r="LFF87" s="21"/>
      <c r="LFG87" s="21"/>
      <c r="LFH87" s="21"/>
      <c r="LFI87" s="21"/>
      <c r="LFJ87" s="21"/>
      <c r="LFK87" s="21"/>
      <c r="LFL87" s="21"/>
      <c r="LFM87" s="21"/>
      <c r="LFN87" s="21"/>
      <c r="LFO87" s="21"/>
      <c r="LFP87" s="21"/>
      <c r="LFQ87" s="21"/>
      <c r="LFR87" s="21"/>
      <c r="LFS87" s="21"/>
      <c r="LFT87" s="21"/>
      <c r="LFU87" s="21"/>
      <c r="LFV87" s="21"/>
      <c r="LFW87" s="21"/>
      <c r="LFX87" s="21"/>
      <c r="LFY87" s="21"/>
      <c r="LFZ87" s="21"/>
      <c r="LGA87" s="21"/>
      <c r="LGB87" s="21"/>
      <c r="LGC87" s="21"/>
      <c r="LGD87" s="21"/>
      <c r="LGE87" s="21"/>
      <c r="LGF87" s="21"/>
      <c r="LGG87" s="21"/>
      <c r="LGH87" s="21"/>
      <c r="LGI87" s="21"/>
      <c r="LGJ87" s="21"/>
      <c r="LGK87" s="21"/>
      <c r="LGL87" s="21"/>
      <c r="LGM87" s="21"/>
      <c r="LGN87" s="21"/>
      <c r="LGO87" s="21"/>
      <c r="LGP87" s="21"/>
      <c r="LGQ87" s="21"/>
      <c r="LGR87" s="21"/>
      <c r="LGS87" s="21"/>
      <c r="LGT87" s="21"/>
      <c r="LGU87" s="21"/>
      <c r="LGV87" s="21"/>
      <c r="LGW87" s="21"/>
      <c r="LGX87" s="21"/>
      <c r="LGY87" s="21"/>
      <c r="LGZ87" s="21"/>
      <c r="LHA87" s="21"/>
      <c r="LHB87" s="21"/>
      <c r="LHC87" s="21"/>
      <c r="LHD87" s="21"/>
      <c r="LHE87" s="21"/>
      <c r="LHF87" s="21"/>
      <c r="LHG87" s="21"/>
      <c r="LHH87" s="21"/>
      <c r="LHI87" s="21"/>
      <c r="LHJ87" s="21"/>
      <c r="LHK87" s="21"/>
      <c r="LHL87" s="21"/>
      <c r="LHM87" s="21"/>
      <c r="LHN87" s="21"/>
      <c r="LHO87" s="21"/>
      <c r="LHP87" s="21"/>
      <c r="LHQ87" s="21"/>
      <c r="LHR87" s="21"/>
      <c r="LHS87" s="21"/>
      <c r="LHT87" s="21"/>
      <c r="LHU87" s="21"/>
      <c r="LHV87" s="21"/>
      <c r="LHW87" s="21"/>
      <c r="LHX87" s="21"/>
      <c r="LHY87" s="21"/>
      <c r="LHZ87" s="21"/>
      <c r="LIA87" s="21"/>
      <c r="LIB87" s="21"/>
      <c r="LIC87" s="21"/>
      <c r="LID87" s="21"/>
      <c r="LIE87" s="21"/>
      <c r="LIF87" s="21"/>
      <c r="LIG87" s="21"/>
      <c r="LIH87" s="21"/>
      <c r="LII87" s="21"/>
      <c r="LIJ87" s="21"/>
      <c r="LIK87" s="21"/>
      <c r="LIL87" s="21"/>
      <c r="LIM87" s="21"/>
      <c r="LIN87" s="21"/>
      <c r="LIO87" s="21"/>
      <c r="LIP87" s="21"/>
      <c r="LIQ87" s="21"/>
      <c r="LIR87" s="21"/>
      <c r="LIS87" s="21"/>
      <c r="LIT87" s="21"/>
      <c r="LIU87" s="21"/>
      <c r="LIV87" s="21"/>
      <c r="LIW87" s="21"/>
      <c r="LIX87" s="21"/>
      <c r="LIY87" s="21"/>
      <c r="LIZ87" s="21"/>
      <c r="LJA87" s="21"/>
      <c r="LJB87" s="21"/>
      <c r="LJC87" s="21"/>
      <c r="LJD87" s="21"/>
      <c r="LJE87" s="21"/>
      <c r="LJF87" s="21"/>
      <c r="LJG87" s="21"/>
      <c r="LJH87" s="21"/>
      <c r="LJI87" s="21"/>
      <c r="LJJ87" s="21"/>
      <c r="LJK87" s="21"/>
      <c r="LJL87" s="21"/>
      <c r="LJM87" s="21"/>
      <c r="LJN87" s="21"/>
      <c r="LJO87" s="21"/>
      <c r="LJP87" s="21"/>
      <c r="LJQ87" s="21"/>
      <c r="LJR87" s="21"/>
      <c r="LJS87" s="21"/>
      <c r="LJT87" s="21"/>
      <c r="LJU87" s="21"/>
      <c r="LJV87" s="21"/>
      <c r="LJW87" s="21"/>
      <c r="LJX87" s="21"/>
      <c r="LJY87" s="21"/>
      <c r="LJZ87" s="21"/>
      <c r="LKA87" s="21"/>
      <c r="LKB87" s="21"/>
      <c r="LKC87" s="21"/>
      <c r="LKD87" s="21"/>
      <c r="LKE87" s="21"/>
      <c r="LKF87" s="21"/>
      <c r="LKG87" s="21"/>
      <c r="LKH87" s="21"/>
      <c r="LKI87" s="21"/>
      <c r="LKJ87" s="21"/>
      <c r="LKK87" s="21"/>
      <c r="LKL87" s="21"/>
      <c r="LKM87" s="21"/>
      <c r="LKN87" s="21"/>
      <c r="LKO87" s="21"/>
      <c r="LKP87" s="21"/>
      <c r="LKQ87" s="21"/>
      <c r="LKR87" s="21"/>
      <c r="LKS87" s="21"/>
      <c r="LKT87" s="21"/>
      <c r="LKU87" s="21"/>
      <c r="LKV87" s="21"/>
      <c r="LKW87" s="21"/>
      <c r="LKX87" s="21"/>
      <c r="LKY87" s="21"/>
      <c r="LKZ87" s="21"/>
      <c r="LLA87" s="21"/>
      <c r="LLB87" s="21"/>
      <c r="LLC87" s="21"/>
      <c r="LLD87" s="21"/>
      <c r="LLE87" s="21"/>
      <c r="LLF87" s="21"/>
      <c r="LLG87" s="21"/>
      <c r="LLH87" s="21"/>
      <c r="LLI87" s="21"/>
      <c r="LLJ87" s="21"/>
      <c r="LLK87" s="21"/>
      <c r="LLL87" s="21"/>
      <c r="LLM87" s="21"/>
      <c r="LLN87" s="21"/>
      <c r="LLO87" s="21"/>
      <c r="LLP87" s="21"/>
      <c r="LLQ87" s="21"/>
      <c r="LLR87" s="21"/>
      <c r="LLS87" s="21"/>
      <c r="LLT87" s="21"/>
      <c r="LLU87" s="21"/>
      <c r="LLV87" s="21"/>
      <c r="LLW87" s="21"/>
      <c r="LLX87" s="21"/>
      <c r="LLY87" s="21"/>
      <c r="LLZ87" s="21"/>
      <c r="LMA87" s="21"/>
      <c r="LMB87" s="21"/>
      <c r="LMC87" s="21"/>
      <c r="LMD87" s="21"/>
      <c r="LME87" s="21"/>
      <c r="LMF87" s="21"/>
      <c r="LMG87" s="21"/>
      <c r="LMH87" s="21"/>
      <c r="LMI87" s="21"/>
      <c r="LMJ87" s="21"/>
      <c r="LMK87" s="21"/>
      <c r="LML87" s="21"/>
      <c r="LMM87" s="21"/>
      <c r="LMN87" s="21"/>
      <c r="LMO87" s="21"/>
      <c r="LMP87" s="21"/>
      <c r="LMQ87" s="21"/>
      <c r="LMR87" s="21"/>
      <c r="LMS87" s="21"/>
      <c r="LMT87" s="21"/>
      <c r="LMU87" s="21"/>
      <c r="LMV87" s="21"/>
      <c r="LMW87" s="21"/>
      <c r="LMX87" s="21"/>
      <c r="LMY87" s="21"/>
      <c r="LMZ87" s="21"/>
      <c r="LNA87" s="21"/>
      <c r="LNB87" s="21"/>
      <c r="LNC87" s="21"/>
      <c r="LND87" s="21"/>
      <c r="LNE87" s="21"/>
      <c r="LNF87" s="21"/>
      <c r="LNG87" s="21"/>
      <c r="LNH87" s="21"/>
      <c r="LNI87" s="21"/>
      <c r="LNJ87" s="21"/>
      <c r="LNK87" s="21"/>
      <c r="LNL87" s="21"/>
      <c r="LNM87" s="21"/>
      <c r="LNN87" s="21"/>
      <c r="LNO87" s="21"/>
      <c r="LNP87" s="21"/>
      <c r="LNQ87" s="21"/>
      <c r="LNR87" s="21"/>
      <c r="LNS87" s="21"/>
      <c r="LNT87" s="21"/>
      <c r="LNU87" s="21"/>
      <c r="LNV87" s="21"/>
      <c r="LNW87" s="21"/>
      <c r="LNX87" s="21"/>
      <c r="LNY87" s="21"/>
      <c r="LNZ87" s="21"/>
      <c r="LOA87" s="21"/>
      <c r="LOB87" s="21"/>
      <c r="LOC87" s="21"/>
      <c r="LOD87" s="21"/>
      <c r="LOE87" s="21"/>
      <c r="LOF87" s="21"/>
      <c r="LOG87" s="21"/>
      <c r="LOH87" s="21"/>
      <c r="LOI87" s="21"/>
      <c r="LOJ87" s="21"/>
      <c r="LOK87" s="21"/>
      <c r="LOL87" s="21"/>
      <c r="LOM87" s="21"/>
      <c r="LON87" s="21"/>
      <c r="LOO87" s="21"/>
      <c r="LOP87" s="21"/>
      <c r="LOQ87" s="21"/>
      <c r="LOR87" s="21"/>
      <c r="LOS87" s="21"/>
      <c r="LOT87" s="21"/>
      <c r="LOU87" s="21"/>
      <c r="LOV87" s="21"/>
      <c r="LOW87" s="21"/>
      <c r="LOX87" s="21"/>
      <c r="LOY87" s="21"/>
      <c r="LOZ87" s="21"/>
      <c r="LPA87" s="21"/>
      <c r="LPB87" s="21"/>
      <c r="LPC87" s="21"/>
      <c r="LPD87" s="21"/>
      <c r="LPE87" s="21"/>
      <c r="LPF87" s="21"/>
      <c r="LPG87" s="21"/>
      <c r="LPH87" s="21"/>
      <c r="LPI87" s="21"/>
      <c r="LPJ87" s="21"/>
      <c r="LPK87" s="21"/>
      <c r="LPL87" s="21"/>
      <c r="LPM87" s="21"/>
      <c r="LPN87" s="21"/>
      <c r="LPO87" s="21"/>
      <c r="LPP87" s="21"/>
      <c r="LPQ87" s="21"/>
      <c r="LPR87" s="21"/>
      <c r="LPS87" s="21"/>
      <c r="LPT87" s="21"/>
      <c r="LPU87" s="21"/>
      <c r="LPV87" s="21"/>
      <c r="LPW87" s="21"/>
      <c r="LPX87" s="21"/>
      <c r="LPY87" s="21"/>
      <c r="LPZ87" s="21"/>
      <c r="LQA87" s="21"/>
      <c r="LQB87" s="21"/>
      <c r="LQC87" s="21"/>
      <c r="LQD87" s="21"/>
      <c r="LQE87" s="21"/>
      <c r="LQF87" s="21"/>
      <c r="LQG87" s="21"/>
      <c r="LQH87" s="21"/>
      <c r="LQI87" s="21"/>
      <c r="LQJ87" s="21"/>
      <c r="LQK87" s="21"/>
      <c r="LQL87" s="21"/>
      <c r="LQM87" s="21"/>
      <c r="LQN87" s="21"/>
      <c r="LQO87" s="21"/>
      <c r="LQP87" s="21"/>
      <c r="LQQ87" s="21"/>
      <c r="LQR87" s="21"/>
      <c r="LQS87" s="21"/>
      <c r="LQT87" s="21"/>
      <c r="LQU87" s="21"/>
      <c r="LQV87" s="21"/>
      <c r="LQW87" s="21"/>
      <c r="LQX87" s="21"/>
      <c r="LQY87" s="21"/>
      <c r="LQZ87" s="21"/>
      <c r="LRA87" s="21"/>
      <c r="LRB87" s="21"/>
      <c r="LRC87" s="21"/>
      <c r="LRD87" s="21"/>
      <c r="LRE87" s="21"/>
      <c r="LRF87" s="21"/>
      <c r="LRG87" s="21"/>
      <c r="LRH87" s="21"/>
      <c r="LRI87" s="21"/>
      <c r="LRJ87" s="21"/>
      <c r="LRK87" s="21"/>
      <c r="LRL87" s="21"/>
      <c r="LRM87" s="21"/>
      <c r="LRN87" s="21"/>
      <c r="LRO87" s="21"/>
      <c r="LRP87" s="21"/>
      <c r="LRQ87" s="21"/>
      <c r="LRR87" s="21"/>
      <c r="LRS87" s="21"/>
      <c r="LRT87" s="21"/>
      <c r="LRU87" s="21"/>
      <c r="LRV87" s="21"/>
      <c r="LRW87" s="21"/>
      <c r="LRX87" s="21"/>
      <c r="LRY87" s="21"/>
      <c r="LRZ87" s="21"/>
      <c r="LSA87" s="21"/>
      <c r="LSB87" s="21"/>
      <c r="LSC87" s="21"/>
      <c r="LSD87" s="21"/>
      <c r="LSE87" s="21"/>
      <c r="LSF87" s="21"/>
      <c r="LSG87" s="21"/>
      <c r="LSH87" s="21"/>
      <c r="LSI87" s="21"/>
      <c r="LSJ87" s="21"/>
      <c r="LSK87" s="21"/>
      <c r="LSL87" s="21"/>
      <c r="LSM87" s="21"/>
      <c r="LSN87" s="21"/>
      <c r="LSO87" s="21"/>
      <c r="LSP87" s="21"/>
      <c r="LSQ87" s="21"/>
      <c r="LSR87" s="21"/>
      <c r="LSS87" s="21"/>
      <c r="LST87" s="21"/>
      <c r="LSU87" s="21"/>
      <c r="LSV87" s="21"/>
      <c r="LSW87" s="21"/>
      <c r="LSX87" s="21"/>
      <c r="LSY87" s="21"/>
      <c r="LSZ87" s="21"/>
      <c r="LTA87" s="21"/>
      <c r="LTB87" s="21"/>
      <c r="LTC87" s="21"/>
      <c r="LTD87" s="21"/>
      <c r="LTE87" s="21"/>
      <c r="LTF87" s="21"/>
      <c r="LTG87" s="21"/>
      <c r="LTH87" s="21"/>
      <c r="LTI87" s="21"/>
      <c r="LTJ87" s="21"/>
      <c r="LTK87" s="21"/>
      <c r="LTL87" s="21"/>
      <c r="LTM87" s="21"/>
      <c r="LTN87" s="21"/>
      <c r="LTO87" s="21"/>
      <c r="LTP87" s="21"/>
      <c r="LTQ87" s="21"/>
      <c r="LTR87" s="21"/>
      <c r="LTS87" s="21"/>
      <c r="LTT87" s="21"/>
      <c r="LTU87" s="21"/>
      <c r="LTV87" s="21"/>
      <c r="LTW87" s="21"/>
      <c r="LTX87" s="21"/>
      <c r="LTY87" s="21"/>
      <c r="LTZ87" s="21"/>
      <c r="LUA87" s="21"/>
      <c r="LUB87" s="21"/>
      <c r="LUC87" s="21"/>
      <c r="LUD87" s="21"/>
      <c r="LUE87" s="21"/>
      <c r="LUF87" s="21"/>
      <c r="LUG87" s="21"/>
      <c r="LUH87" s="21"/>
      <c r="LUI87" s="21"/>
      <c r="LUJ87" s="21"/>
      <c r="LUK87" s="21"/>
      <c r="LUL87" s="21"/>
      <c r="LUM87" s="21"/>
      <c r="LUN87" s="21"/>
      <c r="LUO87" s="21"/>
      <c r="LUP87" s="21"/>
      <c r="LUQ87" s="21"/>
      <c r="LUR87" s="21"/>
      <c r="LUS87" s="21"/>
      <c r="LUT87" s="21"/>
      <c r="LUU87" s="21"/>
      <c r="LUV87" s="21"/>
      <c r="LUW87" s="21"/>
      <c r="LUX87" s="21"/>
      <c r="LUY87" s="21"/>
      <c r="LUZ87" s="21"/>
      <c r="LVA87" s="21"/>
      <c r="LVB87" s="21"/>
      <c r="LVC87" s="21"/>
      <c r="LVD87" s="21"/>
      <c r="LVE87" s="21"/>
      <c r="LVF87" s="21"/>
      <c r="LVG87" s="21"/>
      <c r="LVH87" s="21"/>
      <c r="LVI87" s="21"/>
      <c r="LVJ87" s="21"/>
      <c r="LVK87" s="21"/>
      <c r="LVL87" s="21"/>
      <c r="LVM87" s="21"/>
      <c r="LVN87" s="21"/>
      <c r="LVO87" s="21"/>
      <c r="LVP87" s="21"/>
      <c r="LVQ87" s="21"/>
      <c r="LVR87" s="21"/>
      <c r="LVS87" s="21"/>
      <c r="LVT87" s="21"/>
      <c r="LVU87" s="21"/>
      <c r="LVV87" s="21"/>
      <c r="LVW87" s="21"/>
      <c r="LVX87" s="21"/>
      <c r="LVY87" s="21"/>
      <c r="LVZ87" s="21"/>
      <c r="LWA87" s="21"/>
      <c r="LWB87" s="21"/>
      <c r="LWC87" s="21"/>
      <c r="LWD87" s="21"/>
      <c r="LWE87" s="21"/>
      <c r="LWF87" s="21"/>
      <c r="LWG87" s="21"/>
      <c r="LWH87" s="21"/>
      <c r="LWI87" s="21"/>
      <c r="LWJ87" s="21"/>
      <c r="LWK87" s="21"/>
      <c r="LWL87" s="21"/>
      <c r="LWM87" s="21"/>
      <c r="LWN87" s="21"/>
      <c r="LWO87" s="21"/>
      <c r="LWP87" s="21"/>
      <c r="LWQ87" s="21"/>
      <c r="LWR87" s="21"/>
      <c r="LWS87" s="21"/>
      <c r="LWT87" s="21"/>
      <c r="LWU87" s="21"/>
      <c r="LWV87" s="21"/>
      <c r="LWW87" s="21"/>
      <c r="LWX87" s="21"/>
      <c r="LWY87" s="21"/>
      <c r="LWZ87" s="21"/>
      <c r="LXA87" s="21"/>
      <c r="LXB87" s="21"/>
      <c r="LXC87" s="21"/>
      <c r="LXD87" s="21"/>
      <c r="LXE87" s="21"/>
      <c r="LXF87" s="21"/>
      <c r="LXG87" s="21"/>
      <c r="LXH87" s="21"/>
      <c r="LXI87" s="21"/>
      <c r="LXJ87" s="21"/>
      <c r="LXK87" s="21"/>
      <c r="LXL87" s="21"/>
      <c r="LXM87" s="21"/>
      <c r="LXN87" s="21"/>
      <c r="LXO87" s="21"/>
      <c r="LXP87" s="21"/>
      <c r="LXQ87" s="21"/>
      <c r="LXR87" s="21"/>
      <c r="LXS87" s="21"/>
      <c r="LXT87" s="21"/>
      <c r="LXU87" s="21"/>
      <c r="LXV87" s="21"/>
      <c r="LXW87" s="21"/>
      <c r="LXX87" s="21"/>
      <c r="LXY87" s="21"/>
      <c r="LXZ87" s="21"/>
      <c r="LYA87" s="21"/>
      <c r="LYB87" s="21"/>
      <c r="LYC87" s="21"/>
      <c r="LYD87" s="21"/>
      <c r="LYE87" s="21"/>
      <c r="LYF87" s="21"/>
      <c r="LYG87" s="21"/>
      <c r="LYH87" s="21"/>
      <c r="LYI87" s="21"/>
      <c r="LYJ87" s="21"/>
      <c r="LYK87" s="21"/>
      <c r="LYL87" s="21"/>
      <c r="LYM87" s="21"/>
      <c r="LYN87" s="21"/>
      <c r="LYO87" s="21"/>
      <c r="LYP87" s="21"/>
      <c r="LYQ87" s="21"/>
      <c r="LYR87" s="21"/>
      <c r="LYS87" s="21"/>
      <c r="LYT87" s="21"/>
      <c r="LYU87" s="21"/>
      <c r="LYV87" s="21"/>
      <c r="LYW87" s="21"/>
      <c r="LYX87" s="21"/>
      <c r="LYY87" s="21"/>
      <c r="LYZ87" s="21"/>
      <c r="LZA87" s="21"/>
      <c r="LZB87" s="21"/>
      <c r="LZC87" s="21"/>
      <c r="LZD87" s="21"/>
      <c r="LZE87" s="21"/>
      <c r="LZF87" s="21"/>
      <c r="LZG87" s="21"/>
      <c r="LZH87" s="21"/>
      <c r="LZI87" s="21"/>
      <c r="LZJ87" s="21"/>
      <c r="LZK87" s="21"/>
      <c r="LZL87" s="21"/>
      <c r="LZM87" s="21"/>
      <c r="LZN87" s="21"/>
      <c r="LZO87" s="21"/>
      <c r="LZP87" s="21"/>
      <c r="LZQ87" s="21"/>
      <c r="LZR87" s="21"/>
      <c r="LZS87" s="21"/>
      <c r="LZT87" s="21"/>
      <c r="LZU87" s="21"/>
      <c r="LZV87" s="21"/>
      <c r="LZW87" s="21"/>
      <c r="LZX87" s="21"/>
      <c r="LZY87" s="21"/>
      <c r="LZZ87" s="21"/>
      <c r="MAA87" s="21"/>
      <c r="MAB87" s="21"/>
      <c r="MAC87" s="21"/>
      <c r="MAD87" s="21"/>
      <c r="MAE87" s="21"/>
      <c r="MAF87" s="21"/>
      <c r="MAG87" s="21"/>
      <c r="MAH87" s="21"/>
      <c r="MAI87" s="21"/>
      <c r="MAJ87" s="21"/>
      <c r="MAK87" s="21"/>
      <c r="MAL87" s="21"/>
      <c r="MAM87" s="21"/>
      <c r="MAN87" s="21"/>
      <c r="MAO87" s="21"/>
      <c r="MAP87" s="21"/>
      <c r="MAQ87" s="21"/>
      <c r="MAR87" s="21"/>
      <c r="MAS87" s="21"/>
      <c r="MAT87" s="21"/>
      <c r="MAU87" s="21"/>
      <c r="MAV87" s="21"/>
      <c r="MAW87" s="21"/>
      <c r="MAX87" s="21"/>
      <c r="MAY87" s="21"/>
      <c r="MAZ87" s="21"/>
      <c r="MBA87" s="21"/>
      <c r="MBB87" s="21"/>
      <c r="MBC87" s="21"/>
      <c r="MBD87" s="21"/>
      <c r="MBE87" s="21"/>
      <c r="MBF87" s="21"/>
      <c r="MBG87" s="21"/>
      <c r="MBH87" s="21"/>
      <c r="MBI87" s="21"/>
      <c r="MBJ87" s="21"/>
      <c r="MBK87" s="21"/>
      <c r="MBL87" s="21"/>
      <c r="MBM87" s="21"/>
      <c r="MBN87" s="21"/>
      <c r="MBO87" s="21"/>
      <c r="MBP87" s="21"/>
      <c r="MBQ87" s="21"/>
      <c r="MBR87" s="21"/>
      <c r="MBS87" s="21"/>
      <c r="MBT87" s="21"/>
      <c r="MBU87" s="21"/>
      <c r="MBV87" s="21"/>
      <c r="MBW87" s="21"/>
      <c r="MBX87" s="21"/>
      <c r="MBY87" s="21"/>
      <c r="MBZ87" s="21"/>
      <c r="MCA87" s="21"/>
      <c r="MCB87" s="21"/>
      <c r="MCC87" s="21"/>
      <c r="MCD87" s="21"/>
      <c r="MCE87" s="21"/>
      <c r="MCF87" s="21"/>
      <c r="MCG87" s="21"/>
      <c r="MCH87" s="21"/>
      <c r="MCI87" s="21"/>
      <c r="MCJ87" s="21"/>
      <c r="MCK87" s="21"/>
      <c r="MCL87" s="21"/>
      <c r="MCM87" s="21"/>
      <c r="MCN87" s="21"/>
      <c r="MCO87" s="21"/>
      <c r="MCP87" s="21"/>
      <c r="MCQ87" s="21"/>
      <c r="MCR87" s="21"/>
      <c r="MCS87" s="21"/>
      <c r="MCT87" s="21"/>
      <c r="MCU87" s="21"/>
      <c r="MCV87" s="21"/>
      <c r="MCW87" s="21"/>
      <c r="MCX87" s="21"/>
      <c r="MCY87" s="21"/>
      <c r="MCZ87" s="21"/>
      <c r="MDA87" s="21"/>
      <c r="MDB87" s="21"/>
      <c r="MDC87" s="21"/>
      <c r="MDD87" s="21"/>
      <c r="MDE87" s="21"/>
      <c r="MDF87" s="21"/>
      <c r="MDG87" s="21"/>
      <c r="MDH87" s="21"/>
      <c r="MDI87" s="21"/>
      <c r="MDJ87" s="21"/>
      <c r="MDK87" s="21"/>
      <c r="MDL87" s="21"/>
      <c r="MDM87" s="21"/>
      <c r="MDN87" s="21"/>
      <c r="MDO87" s="21"/>
      <c r="MDP87" s="21"/>
      <c r="MDQ87" s="21"/>
      <c r="MDR87" s="21"/>
      <c r="MDS87" s="21"/>
      <c r="MDT87" s="21"/>
      <c r="MDU87" s="21"/>
      <c r="MDV87" s="21"/>
      <c r="MDW87" s="21"/>
      <c r="MDX87" s="21"/>
      <c r="MDY87" s="21"/>
      <c r="MDZ87" s="21"/>
      <c r="MEA87" s="21"/>
      <c r="MEB87" s="21"/>
      <c r="MEC87" s="21"/>
      <c r="MED87" s="21"/>
      <c r="MEE87" s="21"/>
      <c r="MEF87" s="21"/>
      <c r="MEG87" s="21"/>
      <c r="MEH87" s="21"/>
      <c r="MEI87" s="21"/>
      <c r="MEJ87" s="21"/>
      <c r="MEK87" s="21"/>
      <c r="MEL87" s="21"/>
      <c r="MEM87" s="21"/>
      <c r="MEN87" s="21"/>
      <c r="MEO87" s="21"/>
      <c r="MEP87" s="21"/>
      <c r="MEQ87" s="21"/>
      <c r="MER87" s="21"/>
      <c r="MES87" s="21"/>
      <c r="MET87" s="21"/>
      <c r="MEU87" s="21"/>
      <c r="MEV87" s="21"/>
      <c r="MEW87" s="21"/>
      <c r="MEX87" s="21"/>
      <c r="MEY87" s="21"/>
      <c r="MEZ87" s="21"/>
      <c r="MFA87" s="21"/>
      <c r="MFB87" s="21"/>
      <c r="MFC87" s="21"/>
      <c r="MFD87" s="21"/>
      <c r="MFE87" s="21"/>
      <c r="MFF87" s="21"/>
      <c r="MFG87" s="21"/>
      <c r="MFH87" s="21"/>
      <c r="MFI87" s="21"/>
      <c r="MFJ87" s="21"/>
      <c r="MFK87" s="21"/>
      <c r="MFL87" s="21"/>
      <c r="MFM87" s="21"/>
      <c r="MFN87" s="21"/>
      <c r="MFO87" s="21"/>
      <c r="MFP87" s="21"/>
      <c r="MFQ87" s="21"/>
      <c r="MFR87" s="21"/>
      <c r="MFS87" s="21"/>
      <c r="MFT87" s="21"/>
      <c r="MFU87" s="21"/>
      <c r="MFV87" s="21"/>
      <c r="MFW87" s="21"/>
      <c r="MFX87" s="21"/>
      <c r="MFY87" s="21"/>
      <c r="MFZ87" s="21"/>
      <c r="MGA87" s="21"/>
      <c r="MGB87" s="21"/>
      <c r="MGC87" s="21"/>
      <c r="MGD87" s="21"/>
      <c r="MGE87" s="21"/>
      <c r="MGF87" s="21"/>
      <c r="MGG87" s="21"/>
      <c r="MGH87" s="21"/>
      <c r="MGI87" s="21"/>
      <c r="MGJ87" s="21"/>
      <c r="MGK87" s="21"/>
      <c r="MGL87" s="21"/>
      <c r="MGM87" s="21"/>
      <c r="MGN87" s="21"/>
      <c r="MGO87" s="21"/>
      <c r="MGP87" s="21"/>
      <c r="MGQ87" s="21"/>
      <c r="MGR87" s="21"/>
      <c r="MGS87" s="21"/>
      <c r="MGT87" s="21"/>
      <c r="MGU87" s="21"/>
      <c r="MGV87" s="21"/>
      <c r="MGW87" s="21"/>
      <c r="MGX87" s="21"/>
      <c r="MGY87" s="21"/>
      <c r="MGZ87" s="21"/>
      <c r="MHA87" s="21"/>
      <c r="MHB87" s="21"/>
      <c r="MHC87" s="21"/>
      <c r="MHD87" s="21"/>
      <c r="MHE87" s="21"/>
      <c r="MHF87" s="21"/>
      <c r="MHG87" s="21"/>
      <c r="MHH87" s="21"/>
      <c r="MHI87" s="21"/>
      <c r="MHJ87" s="21"/>
      <c r="MHK87" s="21"/>
      <c r="MHL87" s="21"/>
      <c r="MHM87" s="21"/>
      <c r="MHN87" s="21"/>
      <c r="MHO87" s="21"/>
      <c r="MHP87" s="21"/>
      <c r="MHQ87" s="21"/>
      <c r="MHR87" s="21"/>
      <c r="MHS87" s="21"/>
      <c r="MHT87" s="21"/>
      <c r="MHU87" s="21"/>
      <c r="MHV87" s="21"/>
      <c r="MHW87" s="21"/>
      <c r="MHX87" s="21"/>
      <c r="MHY87" s="21"/>
      <c r="MHZ87" s="21"/>
      <c r="MIA87" s="21"/>
      <c r="MIB87" s="21"/>
      <c r="MIC87" s="21"/>
      <c r="MID87" s="21"/>
      <c r="MIE87" s="21"/>
      <c r="MIF87" s="21"/>
      <c r="MIG87" s="21"/>
      <c r="MIH87" s="21"/>
      <c r="MII87" s="21"/>
      <c r="MIJ87" s="21"/>
      <c r="MIK87" s="21"/>
      <c r="MIL87" s="21"/>
      <c r="MIM87" s="21"/>
      <c r="MIN87" s="21"/>
      <c r="MIO87" s="21"/>
      <c r="MIP87" s="21"/>
      <c r="MIQ87" s="21"/>
      <c r="MIR87" s="21"/>
      <c r="MIS87" s="21"/>
      <c r="MIT87" s="21"/>
      <c r="MIU87" s="21"/>
      <c r="MIV87" s="21"/>
      <c r="MIW87" s="21"/>
      <c r="MIX87" s="21"/>
      <c r="MIY87" s="21"/>
      <c r="MIZ87" s="21"/>
      <c r="MJA87" s="21"/>
      <c r="MJB87" s="21"/>
      <c r="MJC87" s="21"/>
      <c r="MJD87" s="21"/>
      <c r="MJE87" s="21"/>
      <c r="MJF87" s="21"/>
      <c r="MJG87" s="21"/>
      <c r="MJH87" s="21"/>
      <c r="MJI87" s="21"/>
      <c r="MJJ87" s="21"/>
      <c r="MJK87" s="21"/>
      <c r="MJL87" s="21"/>
      <c r="MJM87" s="21"/>
      <c r="MJN87" s="21"/>
      <c r="MJO87" s="21"/>
      <c r="MJP87" s="21"/>
      <c r="MJQ87" s="21"/>
      <c r="MJR87" s="21"/>
      <c r="MJS87" s="21"/>
      <c r="MJT87" s="21"/>
      <c r="MJU87" s="21"/>
      <c r="MJV87" s="21"/>
      <c r="MJW87" s="21"/>
      <c r="MJX87" s="21"/>
      <c r="MJY87" s="21"/>
      <c r="MJZ87" s="21"/>
      <c r="MKA87" s="21"/>
      <c r="MKB87" s="21"/>
      <c r="MKC87" s="21"/>
      <c r="MKD87" s="21"/>
      <c r="MKE87" s="21"/>
      <c r="MKF87" s="21"/>
      <c r="MKG87" s="21"/>
      <c r="MKH87" s="21"/>
      <c r="MKI87" s="21"/>
      <c r="MKJ87" s="21"/>
      <c r="MKK87" s="21"/>
      <c r="MKL87" s="21"/>
      <c r="MKM87" s="21"/>
      <c r="MKN87" s="21"/>
      <c r="MKO87" s="21"/>
      <c r="MKP87" s="21"/>
      <c r="MKQ87" s="21"/>
      <c r="MKR87" s="21"/>
      <c r="MKS87" s="21"/>
      <c r="MKT87" s="21"/>
      <c r="MKU87" s="21"/>
      <c r="MKV87" s="21"/>
      <c r="MKW87" s="21"/>
      <c r="MKX87" s="21"/>
      <c r="MKY87" s="21"/>
      <c r="MKZ87" s="21"/>
      <c r="MLA87" s="21"/>
      <c r="MLB87" s="21"/>
      <c r="MLC87" s="21"/>
      <c r="MLD87" s="21"/>
      <c r="MLE87" s="21"/>
      <c r="MLF87" s="21"/>
      <c r="MLG87" s="21"/>
      <c r="MLH87" s="21"/>
      <c r="MLI87" s="21"/>
      <c r="MLJ87" s="21"/>
      <c r="MLK87" s="21"/>
      <c r="MLL87" s="21"/>
      <c r="MLM87" s="21"/>
      <c r="MLN87" s="21"/>
      <c r="MLO87" s="21"/>
      <c r="MLP87" s="21"/>
      <c r="MLQ87" s="21"/>
      <c r="MLR87" s="21"/>
      <c r="MLS87" s="21"/>
      <c r="MLT87" s="21"/>
      <c r="MLU87" s="21"/>
      <c r="MLV87" s="21"/>
      <c r="MLW87" s="21"/>
      <c r="MLX87" s="21"/>
      <c r="MLY87" s="21"/>
      <c r="MLZ87" s="21"/>
      <c r="MMA87" s="21"/>
      <c r="MMB87" s="21"/>
      <c r="MMC87" s="21"/>
      <c r="MMD87" s="21"/>
      <c r="MME87" s="21"/>
      <c r="MMF87" s="21"/>
      <c r="MMG87" s="21"/>
      <c r="MMH87" s="21"/>
      <c r="MMI87" s="21"/>
      <c r="MMJ87" s="21"/>
      <c r="MMK87" s="21"/>
      <c r="MML87" s="21"/>
      <c r="MMM87" s="21"/>
      <c r="MMN87" s="21"/>
      <c r="MMO87" s="21"/>
      <c r="MMP87" s="21"/>
      <c r="MMQ87" s="21"/>
      <c r="MMR87" s="21"/>
      <c r="MMS87" s="21"/>
      <c r="MMT87" s="21"/>
      <c r="MMU87" s="21"/>
      <c r="MMV87" s="21"/>
      <c r="MMW87" s="21"/>
      <c r="MMX87" s="21"/>
      <c r="MMY87" s="21"/>
      <c r="MMZ87" s="21"/>
      <c r="MNA87" s="21"/>
      <c r="MNB87" s="21"/>
      <c r="MNC87" s="21"/>
      <c r="MND87" s="21"/>
      <c r="MNE87" s="21"/>
      <c r="MNF87" s="21"/>
      <c r="MNG87" s="21"/>
      <c r="MNH87" s="21"/>
      <c r="MNI87" s="21"/>
      <c r="MNJ87" s="21"/>
      <c r="MNK87" s="21"/>
      <c r="MNL87" s="21"/>
      <c r="MNM87" s="21"/>
      <c r="MNN87" s="21"/>
      <c r="MNO87" s="21"/>
      <c r="MNP87" s="21"/>
      <c r="MNQ87" s="21"/>
      <c r="MNR87" s="21"/>
      <c r="MNS87" s="21"/>
      <c r="MNT87" s="21"/>
      <c r="MNU87" s="21"/>
      <c r="MNV87" s="21"/>
      <c r="MNW87" s="21"/>
      <c r="MNX87" s="21"/>
      <c r="MNY87" s="21"/>
      <c r="MNZ87" s="21"/>
      <c r="MOA87" s="21"/>
      <c r="MOB87" s="21"/>
      <c r="MOC87" s="21"/>
      <c r="MOD87" s="21"/>
      <c r="MOE87" s="21"/>
      <c r="MOF87" s="21"/>
      <c r="MOG87" s="21"/>
      <c r="MOH87" s="21"/>
      <c r="MOI87" s="21"/>
      <c r="MOJ87" s="21"/>
      <c r="MOK87" s="21"/>
      <c r="MOL87" s="21"/>
      <c r="MOM87" s="21"/>
      <c r="MON87" s="21"/>
      <c r="MOO87" s="21"/>
      <c r="MOP87" s="21"/>
      <c r="MOQ87" s="21"/>
      <c r="MOR87" s="21"/>
      <c r="MOS87" s="21"/>
      <c r="MOT87" s="21"/>
      <c r="MOU87" s="21"/>
      <c r="MOV87" s="21"/>
      <c r="MOW87" s="21"/>
      <c r="MOX87" s="21"/>
      <c r="MOY87" s="21"/>
      <c r="MOZ87" s="21"/>
      <c r="MPA87" s="21"/>
      <c r="MPB87" s="21"/>
      <c r="MPC87" s="21"/>
      <c r="MPD87" s="21"/>
      <c r="MPE87" s="21"/>
      <c r="MPF87" s="21"/>
      <c r="MPG87" s="21"/>
      <c r="MPH87" s="21"/>
      <c r="MPI87" s="21"/>
      <c r="MPJ87" s="21"/>
      <c r="MPK87" s="21"/>
      <c r="MPL87" s="21"/>
      <c r="MPM87" s="21"/>
      <c r="MPN87" s="21"/>
      <c r="MPO87" s="21"/>
      <c r="MPP87" s="21"/>
      <c r="MPQ87" s="21"/>
      <c r="MPR87" s="21"/>
      <c r="MPS87" s="21"/>
      <c r="MPT87" s="21"/>
      <c r="MPU87" s="21"/>
      <c r="MPV87" s="21"/>
      <c r="MPW87" s="21"/>
      <c r="MPX87" s="21"/>
      <c r="MPY87" s="21"/>
      <c r="MPZ87" s="21"/>
      <c r="MQA87" s="21"/>
      <c r="MQB87" s="21"/>
      <c r="MQC87" s="21"/>
      <c r="MQD87" s="21"/>
      <c r="MQE87" s="21"/>
      <c r="MQF87" s="21"/>
      <c r="MQG87" s="21"/>
      <c r="MQH87" s="21"/>
      <c r="MQI87" s="21"/>
      <c r="MQJ87" s="21"/>
      <c r="MQK87" s="21"/>
      <c r="MQL87" s="21"/>
      <c r="MQM87" s="21"/>
      <c r="MQN87" s="21"/>
      <c r="MQO87" s="21"/>
      <c r="MQP87" s="21"/>
      <c r="MQQ87" s="21"/>
      <c r="MQR87" s="21"/>
      <c r="MQS87" s="21"/>
      <c r="MQT87" s="21"/>
      <c r="MQU87" s="21"/>
      <c r="MQV87" s="21"/>
      <c r="MQW87" s="21"/>
      <c r="MQX87" s="21"/>
      <c r="MQY87" s="21"/>
      <c r="MQZ87" s="21"/>
      <c r="MRA87" s="21"/>
      <c r="MRB87" s="21"/>
      <c r="MRC87" s="21"/>
      <c r="MRD87" s="21"/>
      <c r="MRE87" s="21"/>
      <c r="MRF87" s="21"/>
      <c r="MRG87" s="21"/>
      <c r="MRH87" s="21"/>
      <c r="MRI87" s="21"/>
      <c r="MRJ87" s="21"/>
      <c r="MRK87" s="21"/>
      <c r="MRL87" s="21"/>
      <c r="MRM87" s="21"/>
      <c r="MRN87" s="21"/>
      <c r="MRO87" s="21"/>
      <c r="MRP87" s="21"/>
      <c r="MRQ87" s="21"/>
      <c r="MRR87" s="21"/>
      <c r="MRS87" s="21"/>
      <c r="MRT87" s="21"/>
      <c r="MRU87" s="21"/>
      <c r="MRV87" s="21"/>
      <c r="MRW87" s="21"/>
      <c r="MRX87" s="21"/>
      <c r="MRY87" s="21"/>
      <c r="MRZ87" s="21"/>
      <c r="MSA87" s="21"/>
      <c r="MSB87" s="21"/>
      <c r="MSC87" s="21"/>
      <c r="MSD87" s="21"/>
      <c r="MSE87" s="21"/>
      <c r="MSF87" s="21"/>
      <c r="MSG87" s="21"/>
      <c r="MSH87" s="21"/>
      <c r="MSI87" s="21"/>
      <c r="MSJ87" s="21"/>
      <c r="MSK87" s="21"/>
      <c r="MSL87" s="21"/>
      <c r="MSM87" s="21"/>
      <c r="MSN87" s="21"/>
      <c r="MSO87" s="21"/>
      <c r="MSP87" s="21"/>
      <c r="MSQ87" s="21"/>
      <c r="MSR87" s="21"/>
      <c r="MSS87" s="21"/>
      <c r="MST87" s="21"/>
      <c r="MSU87" s="21"/>
      <c r="MSV87" s="21"/>
      <c r="MSW87" s="21"/>
      <c r="MSX87" s="21"/>
      <c r="MSY87" s="21"/>
      <c r="MSZ87" s="21"/>
      <c r="MTA87" s="21"/>
      <c r="MTB87" s="21"/>
      <c r="MTC87" s="21"/>
      <c r="MTD87" s="21"/>
      <c r="MTE87" s="21"/>
      <c r="MTF87" s="21"/>
      <c r="MTG87" s="21"/>
      <c r="MTH87" s="21"/>
      <c r="MTI87" s="21"/>
      <c r="MTJ87" s="21"/>
      <c r="MTK87" s="21"/>
      <c r="MTL87" s="21"/>
      <c r="MTM87" s="21"/>
      <c r="MTN87" s="21"/>
      <c r="MTO87" s="21"/>
      <c r="MTP87" s="21"/>
      <c r="MTQ87" s="21"/>
      <c r="MTR87" s="21"/>
      <c r="MTS87" s="21"/>
      <c r="MTT87" s="21"/>
      <c r="MTU87" s="21"/>
      <c r="MTV87" s="21"/>
      <c r="MTW87" s="21"/>
      <c r="MTX87" s="21"/>
      <c r="MTY87" s="21"/>
      <c r="MTZ87" s="21"/>
      <c r="MUA87" s="21"/>
      <c r="MUB87" s="21"/>
      <c r="MUC87" s="21"/>
      <c r="MUD87" s="21"/>
      <c r="MUE87" s="21"/>
      <c r="MUF87" s="21"/>
      <c r="MUG87" s="21"/>
      <c r="MUH87" s="21"/>
      <c r="MUI87" s="21"/>
      <c r="MUJ87" s="21"/>
      <c r="MUK87" s="21"/>
      <c r="MUL87" s="21"/>
      <c r="MUM87" s="21"/>
      <c r="MUN87" s="21"/>
      <c r="MUO87" s="21"/>
      <c r="MUP87" s="21"/>
      <c r="MUQ87" s="21"/>
      <c r="MUR87" s="21"/>
      <c r="MUS87" s="21"/>
      <c r="MUT87" s="21"/>
      <c r="MUU87" s="21"/>
      <c r="MUV87" s="21"/>
      <c r="MUW87" s="21"/>
      <c r="MUX87" s="21"/>
      <c r="MUY87" s="21"/>
      <c r="MUZ87" s="21"/>
      <c r="MVA87" s="21"/>
      <c r="MVB87" s="21"/>
      <c r="MVC87" s="21"/>
      <c r="MVD87" s="21"/>
      <c r="MVE87" s="21"/>
      <c r="MVF87" s="21"/>
      <c r="MVG87" s="21"/>
      <c r="MVH87" s="21"/>
      <c r="MVI87" s="21"/>
      <c r="MVJ87" s="21"/>
      <c r="MVK87" s="21"/>
      <c r="MVL87" s="21"/>
      <c r="MVM87" s="21"/>
      <c r="MVN87" s="21"/>
      <c r="MVO87" s="21"/>
      <c r="MVP87" s="21"/>
      <c r="MVQ87" s="21"/>
      <c r="MVR87" s="21"/>
      <c r="MVS87" s="21"/>
      <c r="MVT87" s="21"/>
      <c r="MVU87" s="21"/>
      <c r="MVV87" s="21"/>
      <c r="MVW87" s="21"/>
      <c r="MVX87" s="21"/>
      <c r="MVY87" s="21"/>
      <c r="MVZ87" s="21"/>
      <c r="MWA87" s="21"/>
      <c r="MWB87" s="21"/>
      <c r="MWC87" s="21"/>
      <c r="MWD87" s="21"/>
      <c r="MWE87" s="21"/>
      <c r="MWF87" s="21"/>
      <c r="MWG87" s="21"/>
      <c r="MWH87" s="21"/>
      <c r="MWI87" s="21"/>
      <c r="MWJ87" s="21"/>
      <c r="MWK87" s="21"/>
      <c r="MWL87" s="21"/>
      <c r="MWM87" s="21"/>
      <c r="MWN87" s="21"/>
      <c r="MWO87" s="21"/>
      <c r="MWP87" s="21"/>
      <c r="MWQ87" s="21"/>
      <c r="MWR87" s="21"/>
      <c r="MWS87" s="21"/>
      <c r="MWT87" s="21"/>
      <c r="MWU87" s="21"/>
      <c r="MWV87" s="21"/>
      <c r="MWW87" s="21"/>
      <c r="MWX87" s="21"/>
      <c r="MWY87" s="21"/>
      <c r="MWZ87" s="21"/>
      <c r="MXA87" s="21"/>
      <c r="MXB87" s="21"/>
      <c r="MXC87" s="21"/>
      <c r="MXD87" s="21"/>
      <c r="MXE87" s="21"/>
      <c r="MXF87" s="21"/>
      <c r="MXG87" s="21"/>
      <c r="MXH87" s="21"/>
      <c r="MXI87" s="21"/>
      <c r="MXJ87" s="21"/>
      <c r="MXK87" s="21"/>
      <c r="MXL87" s="21"/>
      <c r="MXM87" s="21"/>
      <c r="MXN87" s="21"/>
      <c r="MXO87" s="21"/>
      <c r="MXP87" s="21"/>
      <c r="MXQ87" s="21"/>
      <c r="MXR87" s="21"/>
      <c r="MXS87" s="21"/>
      <c r="MXT87" s="21"/>
      <c r="MXU87" s="21"/>
      <c r="MXV87" s="21"/>
      <c r="MXW87" s="21"/>
      <c r="MXX87" s="21"/>
      <c r="MXY87" s="21"/>
      <c r="MXZ87" s="21"/>
      <c r="MYA87" s="21"/>
      <c r="MYB87" s="21"/>
      <c r="MYC87" s="21"/>
      <c r="MYD87" s="21"/>
      <c r="MYE87" s="21"/>
      <c r="MYF87" s="21"/>
      <c r="MYG87" s="21"/>
      <c r="MYH87" s="21"/>
      <c r="MYI87" s="21"/>
      <c r="MYJ87" s="21"/>
      <c r="MYK87" s="21"/>
      <c r="MYL87" s="21"/>
      <c r="MYM87" s="21"/>
      <c r="MYN87" s="21"/>
      <c r="MYO87" s="21"/>
      <c r="MYP87" s="21"/>
      <c r="MYQ87" s="21"/>
      <c r="MYR87" s="21"/>
      <c r="MYS87" s="21"/>
      <c r="MYT87" s="21"/>
      <c r="MYU87" s="21"/>
      <c r="MYV87" s="21"/>
      <c r="MYW87" s="21"/>
      <c r="MYX87" s="21"/>
      <c r="MYY87" s="21"/>
      <c r="MYZ87" s="21"/>
      <c r="MZA87" s="21"/>
      <c r="MZB87" s="21"/>
      <c r="MZC87" s="21"/>
      <c r="MZD87" s="21"/>
      <c r="MZE87" s="21"/>
      <c r="MZF87" s="21"/>
      <c r="MZG87" s="21"/>
      <c r="MZH87" s="21"/>
      <c r="MZI87" s="21"/>
      <c r="MZJ87" s="21"/>
      <c r="MZK87" s="21"/>
      <c r="MZL87" s="21"/>
      <c r="MZM87" s="21"/>
      <c r="MZN87" s="21"/>
      <c r="MZO87" s="21"/>
      <c r="MZP87" s="21"/>
      <c r="MZQ87" s="21"/>
      <c r="MZR87" s="21"/>
      <c r="MZS87" s="21"/>
      <c r="MZT87" s="21"/>
      <c r="MZU87" s="21"/>
      <c r="MZV87" s="21"/>
      <c r="MZW87" s="21"/>
      <c r="MZX87" s="21"/>
      <c r="MZY87" s="21"/>
      <c r="MZZ87" s="21"/>
      <c r="NAA87" s="21"/>
      <c r="NAB87" s="21"/>
      <c r="NAC87" s="21"/>
      <c r="NAD87" s="21"/>
      <c r="NAE87" s="21"/>
      <c r="NAF87" s="21"/>
      <c r="NAG87" s="21"/>
      <c r="NAH87" s="21"/>
      <c r="NAI87" s="21"/>
      <c r="NAJ87" s="21"/>
      <c r="NAK87" s="21"/>
      <c r="NAL87" s="21"/>
      <c r="NAM87" s="21"/>
      <c r="NAN87" s="21"/>
      <c r="NAO87" s="21"/>
      <c r="NAP87" s="21"/>
      <c r="NAQ87" s="21"/>
      <c r="NAR87" s="21"/>
      <c r="NAS87" s="21"/>
      <c r="NAT87" s="21"/>
      <c r="NAU87" s="21"/>
      <c r="NAV87" s="21"/>
      <c r="NAW87" s="21"/>
      <c r="NAX87" s="21"/>
      <c r="NAY87" s="21"/>
      <c r="NAZ87" s="21"/>
      <c r="NBA87" s="21"/>
      <c r="NBB87" s="21"/>
      <c r="NBC87" s="21"/>
      <c r="NBD87" s="21"/>
      <c r="NBE87" s="21"/>
      <c r="NBF87" s="21"/>
      <c r="NBG87" s="21"/>
      <c r="NBH87" s="21"/>
      <c r="NBI87" s="21"/>
      <c r="NBJ87" s="21"/>
      <c r="NBK87" s="21"/>
      <c r="NBL87" s="21"/>
      <c r="NBM87" s="21"/>
      <c r="NBN87" s="21"/>
      <c r="NBO87" s="21"/>
      <c r="NBP87" s="21"/>
      <c r="NBQ87" s="21"/>
      <c r="NBR87" s="21"/>
      <c r="NBS87" s="21"/>
      <c r="NBT87" s="21"/>
      <c r="NBU87" s="21"/>
      <c r="NBV87" s="21"/>
      <c r="NBW87" s="21"/>
      <c r="NBX87" s="21"/>
      <c r="NBY87" s="21"/>
      <c r="NBZ87" s="21"/>
      <c r="NCA87" s="21"/>
      <c r="NCB87" s="21"/>
      <c r="NCC87" s="21"/>
      <c r="NCD87" s="21"/>
      <c r="NCE87" s="21"/>
      <c r="NCF87" s="21"/>
      <c r="NCG87" s="21"/>
      <c r="NCH87" s="21"/>
      <c r="NCI87" s="21"/>
      <c r="NCJ87" s="21"/>
      <c r="NCK87" s="21"/>
      <c r="NCL87" s="21"/>
      <c r="NCM87" s="21"/>
      <c r="NCN87" s="21"/>
      <c r="NCO87" s="21"/>
      <c r="NCP87" s="21"/>
      <c r="NCQ87" s="21"/>
      <c r="NCR87" s="21"/>
      <c r="NCS87" s="21"/>
      <c r="NCT87" s="21"/>
      <c r="NCU87" s="21"/>
      <c r="NCV87" s="21"/>
      <c r="NCW87" s="21"/>
      <c r="NCX87" s="21"/>
      <c r="NCY87" s="21"/>
      <c r="NCZ87" s="21"/>
      <c r="NDA87" s="21"/>
      <c r="NDB87" s="21"/>
      <c r="NDC87" s="21"/>
      <c r="NDD87" s="21"/>
      <c r="NDE87" s="21"/>
      <c r="NDF87" s="21"/>
      <c r="NDG87" s="21"/>
      <c r="NDH87" s="21"/>
      <c r="NDI87" s="21"/>
      <c r="NDJ87" s="21"/>
      <c r="NDK87" s="21"/>
      <c r="NDL87" s="21"/>
      <c r="NDM87" s="21"/>
      <c r="NDN87" s="21"/>
      <c r="NDO87" s="21"/>
      <c r="NDP87" s="21"/>
      <c r="NDQ87" s="21"/>
      <c r="NDR87" s="21"/>
      <c r="NDS87" s="21"/>
      <c r="NDT87" s="21"/>
      <c r="NDU87" s="21"/>
      <c r="NDV87" s="21"/>
      <c r="NDW87" s="21"/>
      <c r="NDX87" s="21"/>
      <c r="NDY87" s="21"/>
      <c r="NDZ87" s="21"/>
      <c r="NEA87" s="21"/>
      <c r="NEB87" s="21"/>
      <c r="NEC87" s="21"/>
      <c r="NED87" s="21"/>
      <c r="NEE87" s="21"/>
      <c r="NEF87" s="21"/>
      <c r="NEG87" s="21"/>
      <c r="NEH87" s="21"/>
      <c r="NEI87" s="21"/>
      <c r="NEJ87" s="21"/>
      <c r="NEK87" s="21"/>
      <c r="NEL87" s="21"/>
      <c r="NEM87" s="21"/>
      <c r="NEN87" s="21"/>
      <c r="NEO87" s="21"/>
      <c r="NEP87" s="21"/>
      <c r="NEQ87" s="21"/>
      <c r="NER87" s="21"/>
      <c r="NES87" s="21"/>
      <c r="NET87" s="21"/>
      <c r="NEU87" s="21"/>
      <c r="NEV87" s="21"/>
      <c r="NEW87" s="21"/>
      <c r="NEX87" s="21"/>
      <c r="NEY87" s="21"/>
      <c r="NEZ87" s="21"/>
      <c r="NFA87" s="21"/>
      <c r="NFB87" s="21"/>
      <c r="NFC87" s="21"/>
      <c r="NFD87" s="21"/>
      <c r="NFE87" s="21"/>
      <c r="NFF87" s="21"/>
      <c r="NFG87" s="21"/>
      <c r="NFH87" s="21"/>
      <c r="NFI87" s="21"/>
      <c r="NFJ87" s="21"/>
      <c r="NFK87" s="21"/>
      <c r="NFL87" s="21"/>
      <c r="NFM87" s="21"/>
      <c r="NFN87" s="21"/>
      <c r="NFO87" s="21"/>
      <c r="NFP87" s="21"/>
      <c r="NFQ87" s="21"/>
      <c r="NFR87" s="21"/>
      <c r="NFS87" s="21"/>
      <c r="NFT87" s="21"/>
      <c r="NFU87" s="21"/>
      <c r="NFV87" s="21"/>
      <c r="NFW87" s="21"/>
      <c r="NFX87" s="21"/>
      <c r="NFY87" s="21"/>
      <c r="NFZ87" s="21"/>
      <c r="NGA87" s="21"/>
      <c r="NGB87" s="21"/>
      <c r="NGC87" s="21"/>
      <c r="NGD87" s="21"/>
      <c r="NGE87" s="21"/>
      <c r="NGF87" s="21"/>
      <c r="NGG87" s="21"/>
      <c r="NGH87" s="21"/>
      <c r="NGI87" s="21"/>
      <c r="NGJ87" s="21"/>
      <c r="NGK87" s="21"/>
      <c r="NGL87" s="21"/>
      <c r="NGM87" s="21"/>
      <c r="NGN87" s="21"/>
      <c r="NGO87" s="21"/>
      <c r="NGP87" s="21"/>
      <c r="NGQ87" s="21"/>
      <c r="NGR87" s="21"/>
      <c r="NGS87" s="21"/>
      <c r="NGT87" s="21"/>
      <c r="NGU87" s="21"/>
      <c r="NGV87" s="21"/>
      <c r="NGW87" s="21"/>
      <c r="NGX87" s="21"/>
      <c r="NGY87" s="21"/>
      <c r="NGZ87" s="21"/>
      <c r="NHA87" s="21"/>
      <c r="NHB87" s="21"/>
      <c r="NHC87" s="21"/>
      <c r="NHD87" s="21"/>
      <c r="NHE87" s="21"/>
      <c r="NHF87" s="21"/>
      <c r="NHG87" s="21"/>
      <c r="NHH87" s="21"/>
      <c r="NHI87" s="21"/>
      <c r="NHJ87" s="21"/>
      <c r="NHK87" s="21"/>
      <c r="NHL87" s="21"/>
      <c r="NHM87" s="21"/>
      <c r="NHN87" s="21"/>
      <c r="NHO87" s="21"/>
      <c r="NHP87" s="21"/>
      <c r="NHQ87" s="21"/>
      <c r="NHR87" s="21"/>
      <c r="NHS87" s="21"/>
      <c r="NHT87" s="21"/>
      <c r="NHU87" s="21"/>
      <c r="NHV87" s="21"/>
      <c r="NHW87" s="21"/>
      <c r="NHX87" s="21"/>
      <c r="NHY87" s="21"/>
      <c r="NHZ87" s="21"/>
      <c r="NIA87" s="21"/>
      <c r="NIB87" s="21"/>
      <c r="NIC87" s="21"/>
      <c r="NID87" s="21"/>
      <c r="NIE87" s="21"/>
      <c r="NIF87" s="21"/>
      <c r="NIG87" s="21"/>
      <c r="NIH87" s="21"/>
      <c r="NII87" s="21"/>
      <c r="NIJ87" s="21"/>
      <c r="NIK87" s="21"/>
      <c r="NIL87" s="21"/>
      <c r="NIM87" s="21"/>
      <c r="NIN87" s="21"/>
      <c r="NIO87" s="21"/>
      <c r="NIP87" s="21"/>
      <c r="NIQ87" s="21"/>
      <c r="NIR87" s="21"/>
      <c r="NIS87" s="21"/>
      <c r="NIT87" s="21"/>
      <c r="NIU87" s="21"/>
      <c r="NIV87" s="21"/>
      <c r="NIW87" s="21"/>
      <c r="NIX87" s="21"/>
      <c r="NIY87" s="21"/>
      <c r="NIZ87" s="21"/>
      <c r="NJA87" s="21"/>
      <c r="NJB87" s="21"/>
      <c r="NJC87" s="21"/>
      <c r="NJD87" s="21"/>
      <c r="NJE87" s="21"/>
      <c r="NJF87" s="21"/>
      <c r="NJG87" s="21"/>
      <c r="NJH87" s="21"/>
      <c r="NJI87" s="21"/>
      <c r="NJJ87" s="21"/>
      <c r="NJK87" s="21"/>
      <c r="NJL87" s="21"/>
      <c r="NJM87" s="21"/>
      <c r="NJN87" s="21"/>
      <c r="NJO87" s="21"/>
      <c r="NJP87" s="21"/>
      <c r="NJQ87" s="21"/>
      <c r="NJR87" s="21"/>
      <c r="NJS87" s="21"/>
      <c r="NJT87" s="21"/>
      <c r="NJU87" s="21"/>
      <c r="NJV87" s="21"/>
      <c r="NJW87" s="21"/>
      <c r="NJX87" s="21"/>
      <c r="NJY87" s="21"/>
      <c r="NJZ87" s="21"/>
      <c r="NKA87" s="21"/>
      <c r="NKB87" s="21"/>
      <c r="NKC87" s="21"/>
      <c r="NKD87" s="21"/>
      <c r="NKE87" s="21"/>
      <c r="NKF87" s="21"/>
      <c r="NKG87" s="21"/>
      <c r="NKH87" s="21"/>
      <c r="NKI87" s="21"/>
      <c r="NKJ87" s="21"/>
      <c r="NKK87" s="21"/>
      <c r="NKL87" s="21"/>
      <c r="NKM87" s="21"/>
      <c r="NKN87" s="21"/>
      <c r="NKO87" s="21"/>
      <c r="NKP87" s="21"/>
      <c r="NKQ87" s="21"/>
      <c r="NKR87" s="21"/>
      <c r="NKS87" s="21"/>
      <c r="NKT87" s="21"/>
      <c r="NKU87" s="21"/>
      <c r="NKV87" s="21"/>
      <c r="NKW87" s="21"/>
      <c r="NKX87" s="21"/>
      <c r="NKY87" s="21"/>
      <c r="NKZ87" s="21"/>
      <c r="NLA87" s="21"/>
      <c r="NLB87" s="21"/>
      <c r="NLC87" s="21"/>
      <c r="NLD87" s="21"/>
      <c r="NLE87" s="21"/>
      <c r="NLF87" s="21"/>
      <c r="NLG87" s="21"/>
      <c r="NLH87" s="21"/>
      <c r="NLI87" s="21"/>
      <c r="NLJ87" s="21"/>
      <c r="NLK87" s="21"/>
      <c r="NLL87" s="21"/>
      <c r="NLM87" s="21"/>
      <c r="NLN87" s="21"/>
      <c r="NLO87" s="21"/>
      <c r="NLP87" s="21"/>
      <c r="NLQ87" s="21"/>
      <c r="NLR87" s="21"/>
      <c r="NLS87" s="21"/>
      <c r="NLT87" s="21"/>
      <c r="NLU87" s="21"/>
      <c r="NLV87" s="21"/>
      <c r="NLW87" s="21"/>
      <c r="NLX87" s="21"/>
      <c r="NLY87" s="21"/>
      <c r="NLZ87" s="21"/>
      <c r="NMA87" s="21"/>
      <c r="NMB87" s="21"/>
      <c r="NMC87" s="21"/>
      <c r="NMD87" s="21"/>
      <c r="NME87" s="21"/>
      <c r="NMF87" s="21"/>
      <c r="NMG87" s="21"/>
      <c r="NMH87" s="21"/>
      <c r="NMI87" s="21"/>
      <c r="NMJ87" s="21"/>
      <c r="NMK87" s="21"/>
      <c r="NML87" s="21"/>
      <c r="NMM87" s="21"/>
      <c r="NMN87" s="21"/>
      <c r="NMO87" s="21"/>
      <c r="NMP87" s="21"/>
      <c r="NMQ87" s="21"/>
      <c r="NMR87" s="21"/>
      <c r="NMS87" s="21"/>
      <c r="NMT87" s="21"/>
      <c r="NMU87" s="21"/>
      <c r="NMV87" s="21"/>
      <c r="NMW87" s="21"/>
      <c r="NMX87" s="21"/>
      <c r="NMY87" s="21"/>
      <c r="NMZ87" s="21"/>
      <c r="NNA87" s="21"/>
      <c r="NNB87" s="21"/>
      <c r="NNC87" s="21"/>
      <c r="NND87" s="21"/>
      <c r="NNE87" s="21"/>
      <c r="NNF87" s="21"/>
      <c r="NNG87" s="21"/>
      <c r="NNH87" s="21"/>
      <c r="NNI87" s="21"/>
      <c r="NNJ87" s="21"/>
      <c r="NNK87" s="21"/>
      <c r="NNL87" s="21"/>
      <c r="NNM87" s="21"/>
      <c r="NNN87" s="21"/>
      <c r="NNO87" s="21"/>
      <c r="NNP87" s="21"/>
      <c r="NNQ87" s="21"/>
      <c r="NNR87" s="21"/>
      <c r="NNS87" s="21"/>
      <c r="NNT87" s="21"/>
      <c r="NNU87" s="21"/>
      <c r="NNV87" s="21"/>
      <c r="NNW87" s="21"/>
      <c r="NNX87" s="21"/>
      <c r="NNY87" s="21"/>
      <c r="NNZ87" s="21"/>
      <c r="NOA87" s="21"/>
      <c r="NOB87" s="21"/>
      <c r="NOC87" s="21"/>
      <c r="NOD87" s="21"/>
      <c r="NOE87" s="21"/>
      <c r="NOF87" s="21"/>
      <c r="NOG87" s="21"/>
      <c r="NOH87" s="21"/>
      <c r="NOI87" s="21"/>
      <c r="NOJ87" s="21"/>
      <c r="NOK87" s="21"/>
      <c r="NOL87" s="21"/>
      <c r="NOM87" s="21"/>
      <c r="NON87" s="21"/>
      <c r="NOO87" s="21"/>
      <c r="NOP87" s="21"/>
      <c r="NOQ87" s="21"/>
      <c r="NOR87" s="21"/>
      <c r="NOS87" s="21"/>
      <c r="NOT87" s="21"/>
      <c r="NOU87" s="21"/>
      <c r="NOV87" s="21"/>
      <c r="NOW87" s="21"/>
      <c r="NOX87" s="21"/>
      <c r="NOY87" s="21"/>
      <c r="NOZ87" s="21"/>
      <c r="NPA87" s="21"/>
      <c r="NPB87" s="21"/>
      <c r="NPC87" s="21"/>
      <c r="NPD87" s="21"/>
      <c r="NPE87" s="21"/>
      <c r="NPF87" s="21"/>
      <c r="NPG87" s="21"/>
      <c r="NPH87" s="21"/>
      <c r="NPI87" s="21"/>
      <c r="NPJ87" s="21"/>
      <c r="NPK87" s="21"/>
      <c r="NPL87" s="21"/>
      <c r="NPM87" s="21"/>
      <c r="NPN87" s="21"/>
      <c r="NPO87" s="21"/>
      <c r="NPP87" s="21"/>
      <c r="NPQ87" s="21"/>
      <c r="NPR87" s="21"/>
      <c r="NPS87" s="21"/>
      <c r="NPT87" s="21"/>
      <c r="NPU87" s="21"/>
      <c r="NPV87" s="21"/>
      <c r="NPW87" s="21"/>
      <c r="NPX87" s="21"/>
      <c r="NPY87" s="21"/>
      <c r="NPZ87" s="21"/>
      <c r="NQA87" s="21"/>
      <c r="NQB87" s="21"/>
      <c r="NQC87" s="21"/>
      <c r="NQD87" s="21"/>
      <c r="NQE87" s="21"/>
      <c r="NQF87" s="21"/>
      <c r="NQG87" s="21"/>
      <c r="NQH87" s="21"/>
      <c r="NQI87" s="21"/>
      <c r="NQJ87" s="21"/>
      <c r="NQK87" s="21"/>
      <c r="NQL87" s="21"/>
      <c r="NQM87" s="21"/>
      <c r="NQN87" s="21"/>
      <c r="NQO87" s="21"/>
      <c r="NQP87" s="21"/>
      <c r="NQQ87" s="21"/>
      <c r="NQR87" s="21"/>
      <c r="NQS87" s="21"/>
      <c r="NQT87" s="21"/>
      <c r="NQU87" s="21"/>
      <c r="NQV87" s="21"/>
      <c r="NQW87" s="21"/>
      <c r="NQX87" s="21"/>
      <c r="NQY87" s="21"/>
      <c r="NQZ87" s="21"/>
      <c r="NRA87" s="21"/>
      <c r="NRB87" s="21"/>
      <c r="NRC87" s="21"/>
      <c r="NRD87" s="21"/>
      <c r="NRE87" s="21"/>
      <c r="NRF87" s="21"/>
      <c r="NRG87" s="21"/>
      <c r="NRH87" s="21"/>
      <c r="NRI87" s="21"/>
      <c r="NRJ87" s="21"/>
      <c r="NRK87" s="21"/>
      <c r="NRL87" s="21"/>
      <c r="NRM87" s="21"/>
      <c r="NRN87" s="21"/>
      <c r="NRO87" s="21"/>
      <c r="NRP87" s="21"/>
      <c r="NRQ87" s="21"/>
      <c r="NRR87" s="21"/>
      <c r="NRS87" s="21"/>
      <c r="NRT87" s="21"/>
      <c r="NRU87" s="21"/>
      <c r="NRV87" s="21"/>
      <c r="NRW87" s="21"/>
      <c r="NRX87" s="21"/>
      <c r="NRY87" s="21"/>
      <c r="NRZ87" s="21"/>
      <c r="NSA87" s="21"/>
      <c r="NSB87" s="21"/>
      <c r="NSC87" s="21"/>
      <c r="NSD87" s="21"/>
      <c r="NSE87" s="21"/>
      <c r="NSF87" s="21"/>
      <c r="NSG87" s="21"/>
      <c r="NSH87" s="21"/>
      <c r="NSI87" s="21"/>
      <c r="NSJ87" s="21"/>
      <c r="NSK87" s="21"/>
      <c r="NSL87" s="21"/>
      <c r="NSM87" s="21"/>
      <c r="NSN87" s="21"/>
      <c r="NSO87" s="21"/>
      <c r="NSP87" s="21"/>
      <c r="NSQ87" s="21"/>
      <c r="NSR87" s="21"/>
      <c r="NSS87" s="21"/>
      <c r="NST87" s="21"/>
      <c r="NSU87" s="21"/>
      <c r="NSV87" s="21"/>
      <c r="NSW87" s="21"/>
      <c r="NSX87" s="21"/>
      <c r="NSY87" s="21"/>
      <c r="NSZ87" s="21"/>
      <c r="NTA87" s="21"/>
      <c r="NTB87" s="21"/>
      <c r="NTC87" s="21"/>
      <c r="NTD87" s="21"/>
      <c r="NTE87" s="21"/>
      <c r="NTF87" s="21"/>
      <c r="NTG87" s="21"/>
      <c r="NTH87" s="21"/>
      <c r="NTI87" s="21"/>
      <c r="NTJ87" s="21"/>
      <c r="NTK87" s="21"/>
      <c r="NTL87" s="21"/>
      <c r="NTM87" s="21"/>
      <c r="NTN87" s="21"/>
      <c r="NTO87" s="21"/>
      <c r="NTP87" s="21"/>
      <c r="NTQ87" s="21"/>
      <c r="NTR87" s="21"/>
      <c r="NTS87" s="21"/>
      <c r="NTT87" s="21"/>
      <c r="NTU87" s="21"/>
      <c r="NTV87" s="21"/>
      <c r="NTW87" s="21"/>
      <c r="NTX87" s="21"/>
      <c r="NTY87" s="21"/>
      <c r="NTZ87" s="21"/>
      <c r="NUA87" s="21"/>
      <c r="NUB87" s="21"/>
      <c r="NUC87" s="21"/>
      <c r="NUD87" s="21"/>
      <c r="NUE87" s="21"/>
      <c r="NUF87" s="21"/>
      <c r="NUG87" s="21"/>
      <c r="NUH87" s="21"/>
      <c r="NUI87" s="21"/>
      <c r="NUJ87" s="21"/>
      <c r="NUK87" s="21"/>
      <c r="NUL87" s="21"/>
      <c r="NUM87" s="21"/>
      <c r="NUN87" s="21"/>
      <c r="NUO87" s="21"/>
      <c r="NUP87" s="21"/>
      <c r="NUQ87" s="21"/>
      <c r="NUR87" s="21"/>
      <c r="NUS87" s="21"/>
      <c r="NUT87" s="21"/>
      <c r="NUU87" s="21"/>
      <c r="NUV87" s="21"/>
      <c r="NUW87" s="21"/>
      <c r="NUX87" s="21"/>
      <c r="NUY87" s="21"/>
      <c r="NUZ87" s="21"/>
      <c r="NVA87" s="21"/>
      <c r="NVB87" s="21"/>
      <c r="NVC87" s="21"/>
      <c r="NVD87" s="21"/>
      <c r="NVE87" s="21"/>
      <c r="NVF87" s="21"/>
      <c r="NVG87" s="21"/>
      <c r="NVH87" s="21"/>
      <c r="NVI87" s="21"/>
      <c r="NVJ87" s="21"/>
      <c r="NVK87" s="21"/>
      <c r="NVL87" s="21"/>
      <c r="NVM87" s="21"/>
      <c r="NVN87" s="21"/>
      <c r="NVO87" s="21"/>
      <c r="NVP87" s="21"/>
      <c r="NVQ87" s="21"/>
      <c r="NVR87" s="21"/>
      <c r="NVS87" s="21"/>
      <c r="NVT87" s="21"/>
      <c r="NVU87" s="21"/>
      <c r="NVV87" s="21"/>
      <c r="NVW87" s="21"/>
      <c r="NVX87" s="21"/>
      <c r="NVY87" s="21"/>
      <c r="NVZ87" s="21"/>
      <c r="NWA87" s="21"/>
      <c r="NWB87" s="21"/>
      <c r="NWC87" s="21"/>
      <c r="NWD87" s="21"/>
      <c r="NWE87" s="21"/>
      <c r="NWF87" s="21"/>
      <c r="NWG87" s="21"/>
      <c r="NWH87" s="21"/>
      <c r="NWI87" s="21"/>
      <c r="NWJ87" s="21"/>
      <c r="NWK87" s="21"/>
      <c r="NWL87" s="21"/>
      <c r="NWM87" s="21"/>
      <c r="NWN87" s="21"/>
      <c r="NWO87" s="21"/>
      <c r="NWP87" s="21"/>
      <c r="NWQ87" s="21"/>
      <c r="NWR87" s="21"/>
      <c r="NWS87" s="21"/>
      <c r="NWT87" s="21"/>
      <c r="NWU87" s="21"/>
      <c r="NWV87" s="21"/>
      <c r="NWW87" s="21"/>
      <c r="NWX87" s="21"/>
      <c r="NWY87" s="21"/>
      <c r="NWZ87" s="21"/>
      <c r="NXA87" s="21"/>
      <c r="NXB87" s="21"/>
      <c r="NXC87" s="21"/>
      <c r="NXD87" s="21"/>
      <c r="NXE87" s="21"/>
      <c r="NXF87" s="21"/>
      <c r="NXG87" s="21"/>
      <c r="NXH87" s="21"/>
      <c r="NXI87" s="21"/>
      <c r="NXJ87" s="21"/>
      <c r="NXK87" s="21"/>
      <c r="NXL87" s="21"/>
      <c r="NXM87" s="21"/>
      <c r="NXN87" s="21"/>
      <c r="NXO87" s="21"/>
      <c r="NXP87" s="21"/>
      <c r="NXQ87" s="21"/>
      <c r="NXR87" s="21"/>
      <c r="NXS87" s="21"/>
      <c r="NXT87" s="21"/>
      <c r="NXU87" s="21"/>
      <c r="NXV87" s="21"/>
      <c r="NXW87" s="21"/>
      <c r="NXX87" s="21"/>
      <c r="NXY87" s="21"/>
      <c r="NXZ87" s="21"/>
      <c r="NYA87" s="21"/>
      <c r="NYB87" s="21"/>
      <c r="NYC87" s="21"/>
      <c r="NYD87" s="21"/>
      <c r="NYE87" s="21"/>
      <c r="NYF87" s="21"/>
      <c r="NYG87" s="21"/>
      <c r="NYH87" s="21"/>
      <c r="NYI87" s="21"/>
      <c r="NYJ87" s="21"/>
      <c r="NYK87" s="21"/>
      <c r="NYL87" s="21"/>
      <c r="NYM87" s="21"/>
      <c r="NYN87" s="21"/>
      <c r="NYO87" s="21"/>
      <c r="NYP87" s="21"/>
      <c r="NYQ87" s="21"/>
      <c r="NYR87" s="21"/>
      <c r="NYS87" s="21"/>
      <c r="NYT87" s="21"/>
      <c r="NYU87" s="21"/>
      <c r="NYV87" s="21"/>
      <c r="NYW87" s="21"/>
      <c r="NYX87" s="21"/>
      <c r="NYY87" s="21"/>
      <c r="NYZ87" s="21"/>
      <c r="NZA87" s="21"/>
      <c r="NZB87" s="21"/>
      <c r="NZC87" s="21"/>
      <c r="NZD87" s="21"/>
      <c r="NZE87" s="21"/>
      <c r="NZF87" s="21"/>
      <c r="NZG87" s="21"/>
      <c r="NZH87" s="21"/>
      <c r="NZI87" s="21"/>
      <c r="NZJ87" s="21"/>
      <c r="NZK87" s="21"/>
      <c r="NZL87" s="21"/>
      <c r="NZM87" s="21"/>
      <c r="NZN87" s="21"/>
      <c r="NZO87" s="21"/>
      <c r="NZP87" s="21"/>
      <c r="NZQ87" s="21"/>
      <c r="NZR87" s="21"/>
      <c r="NZS87" s="21"/>
      <c r="NZT87" s="21"/>
      <c r="NZU87" s="21"/>
      <c r="NZV87" s="21"/>
      <c r="NZW87" s="21"/>
      <c r="NZX87" s="21"/>
      <c r="NZY87" s="21"/>
      <c r="NZZ87" s="21"/>
      <c r="OAA87" s="21"/>
      <c r="OAB87" s="21"/>
      <c r="OAC87" s="21"/>
      <c r="OAD87" s="21"/>
      <c r="OAE87" s="21"/>
      <c r="OAF87" s="21"/>
      <c r="OAG87" s="21"/>
      <c r="OAH87" s="21"/>
      <c r="OAI87" s="21"/>
      <c r="OAJ87" s="21"/>
      <c r="OAK87" s="21"/>
      <c r="OAL87" s="21"/>
      <c r="OAM87" s="21"/>
      <c r="OAN87" s="21"/>
      <c r="OAO87" s="21"/>
      <c r="OAP87" s="21"/>
      <c r="OAQ87" s="21"/>
      <c r="OAR87" s="21"/>
      <c r="OAS87" s="21"/>
      <c r="OAT87" s="21"/>
      <c r="OAU87" s="21"/>
      <c r="OAV87" s="21"/>
      <c r="OAW87" s="21"/>
      <c r="OAX87" s="21"/>
      <c r="OAY87" s="21"/>
      <c r="OAZ87" s="21"/>
      <c r="OBA87" s="21"/>
      <c r="OBB87" s="21"/>
      <c r="OBC87" s="21"/>
      <c r="OBD87" s="21"/>
      <c r="OBE87" s="21"/>
      <c r="OBF87" s="21"/>
      <c r="OBG87" s="21"/>
      <c r="OBH87" s="21"/>
      <c r="OBI87" s="21"/>
      <c r="OBJ87" s="21"/>
      <c r="OBK87" s="21"/>
      <c r="OBL87" s="21"/>
      <c r="OBM87" s="21"/>
      <c r="OBN87" s="21"/>
      <c r="OBO87" s="21"/>
      <c r="OBP87" s="21"/>
      <c r="OBQ87" s="21"/>
      <c r="OBR87" s="21"/>
      <c r="OBS87" s="21"/>
      <c r="OBT87" s="21"/>
      <c r="OBU87" s="21"/>
      <c r="OBV87" s="21"/>
      <c r="OBW87" s="21"/>
      <c r="OBX87" s="21"/>
      <c r="OBY87" s="21"/>
      <c r="OBZ87" s="21"/>
      <c r="OCA87" s="21"/>
      <c r="OCB87" s="21"/>
      <c r="OCC87" s="21"/>
      <c r="OCD87" s="21"/>
      <c r="OCE87" s="21"/>
      <c r="OCF87" s="21"/>
      <c r="OCG87" s="21"/>
      <c r="OCH87" s="21"/>
      <c r="OCI87" s="21"/>
      <c r="OCJ87" s="21"/>
      <c r="OCK87" s="21"/>
      <c r="OCL87" s="21"/>
      <c r="OCM87" s="21"/>
      <c r="OCN87" s="21"/>
      <c r="OCO87" s="21"/>
      <c r="OCP87" s="21"/>
      <c r="OCQ87" s="21"/>
      <c r="OCR87" s="21"/>
      <c r="OCS87" s="21"/>
      <c r="OCT87" s="21"/>
      <c r="OCU87" s="21"/>
      <c r="OCV87" s="21"/>
      <c r="OCW87" s="21"/>
      <c r="OCX87" s="21"/>
      <c r="OCY87" s="21"/>
      <c r="OCZ87" s="21"/>
      <c r="ODA87" s="21"/>
      <c r="ODB87" s="21"/>
      <c r="ODC87" s="21"/>
      <c r="ODD87" s="21"/>
      <c r="ODE87" s="21"/>
      <c r="ODF87" s="21"/>
      <c r="ODG87" s="21"/>
      <c r="ODH87" s="21"/>
      <c r="ODI87" s="21"/>
      <c r="ODJ87" s="21"/>
      <c r="ODK87" s="21"/>
      <c r="ODL87" s="21"/>
      <c r="ODM87" s="21"/>
      <c r="ODN87" s="21"/>
      <c r="ODO87" s="21"/>
      <c r="ODP87" s="21"/>
      <c r="ODQ87" s="21"/>
      <c r="ODR87" s="21"/>
      <c r="ODS87" s="21"/>
      <c r="ODT87" s="21"/>
      <c r="ODU87" s="21"/>
      <c r="ODV87" s="21"/>
      <c r="ODW87" s="21"/>
      <c r="ODX87" s="21"/>
      <c r="ODY87" s="21"/>
      <c r="ODZ87" s="21"/>
      <c r="OEA87" s="21"/>
      <c r="OEB87" s="21"/>
      <c r="OEC87" s="21"/>
      <c r="OED87" s="21"/>
      <c r="OEE87" s="21"/>
      <c r="OEF87" s="21"/>
      <c r="OEG87" s="21"/>
      <c r="OEH87" s="21"/>
      <c r="OEI87" s="21"/>
      <c r="OEJ87" s="21"/>
      <c r="OEK87" s="21"/>
      <c r="OEL87" s="21"/>
      <c r="OEM87" s="21"/>
      <c r="OEN87" s="21"/>
      <c r="OEO87" s="21"/>
      <c r="OEP87" s="21"/>
      <c r="OEQ87" s="21"/>
      <c r="OER87" s="21"/>
      <c r="OES87" s="21"/>
      <c r="OET87" s="21"/>
      <c r="OEU87" s="21"/>
      <c r="OEV87" s="21"/>
      <c r="OEW87" s="21"/>
      <c r="OEX87" s="21"/>
      <c r="OEY87" s="21"/>
      <c r="OEZ87" s="21"/>
      <c r="OFA87" s="21"/>
      <c r="OFB87" s="21"/>
      <c r="OFC87" s="21"/>
      <c r="OFD87" s="21"/>
      <c r="OFE87" s="21"/>
      <c r="OFF87" s="21"/>
      <c r="OFG87" s="21"/>
      <c r="OFH87" s="21"/>
      <c r="OFI87" s="21"/>
      <c r="OFJ87" s="21"/>
      <c r="OFK87" s="21"/>
      <c r="OFL87" s="21"/>
      <c r="OFM87" s="21"/>
      <c r="OFN87" s="21"/>
      <c r="OFO87" s="21"/>
      <c r="OFP87" s="21"/>
      <c r="OFQ87" s="21"/>
      <c r="OFR87" s="21"/>
      <c r="OFS87" s="21"/>
      <c r="OFT87" s="21"/>
      <c r="OFU87" s="21"/>
      <c r="OFV87" s="21"/>
      <c r="OFW87" s="21"/>
      <c r="OFX87" s="21"/>
      <c r="OFY87" s="21"/>
      <c r="OFZ87" s="21"/>
      <c r="OGA87" s="21"/>
      <c r="OGB87" s="21"/>
      <c r="OGC87" s="21"/>
      <c r="OGD87" s="21"/>
      <c r="OGE87" s="21"/>
      <c r="OGF87" s="21"/>
      <c r="OGG87" s="21"/>
      <c r="OGH87" s="21"/>
      <c r="OGI87" s="21"/>
      <c r="OGJ87" s="21"/>
      <c r="OGK87" s="21"/>
      <c r="OGL87" s="21"/>
      <c r="OGM87" s="21"/>
      <c r="OGN87" s="21"/>
      <c r="OGO87" s="21"/>
      <c r="OGP87" s="21"/>
      <c r="OGQ87" s="21"/>
      <c r="OGR87" s="21"/>
      <c r="OGS87" s="21"/>
      <c r="OGT87" s="21"/>
      <c r="OGU87" s="21"/>
      <c r="OGV87" s="21"/>
      <c r="OGW87" s="21"/>
      <c r="OGX87" s="21"/>
      <c r="OGY87" s="21"/>
      <c r="OGZ87" s="21"/>
      <c r="OHA87" s="21"/>
      <c r="OHB87" s="21"/>
      <c r="OHC87" s="21"/>
      <c r="OHD87" s="21"/>
      <c r="OHE87" s="21"/>
      <c r="OHF87" s="21"/>
      <c r="OHG87" s="21"/>
      <c r="OHH87" s="21"/>
      <c r="OHI87" s="21"/>
      <c r="OHJ87" s="21"/>
      <c r="OHK87" s="21"/>
      <c r="OHL87" s="21"/>
      <c r="OHM87" s="21"/>
      <c r="OHN87" s="21"/>
      <c r="OHO87" s="21"/>
      <c r="OHP87" s="21"/>
      <c r="OHQ87" s="21"/>
      <c r="OHR87" s="21"/>
      <c r="OHS87" s="21"/>
      <c r="OHT87" s="21"/>
      <c r="OHU87" s="21"/>
      <c r="OHV87" s="21"/>
      <c r="OHW87" s="21"/>
      <c r="OHX87" s="21"/>
      <c r="OHY87" s="21"/>
      <c r="OHZ87" s="21"/>
      <c r="OIA87" s="21"/>
      <c r="OIB87" s="21"/>
      <c r="OIC87" s="21"/>
      <c r="OID87" s="21"/>
      <c r="OIE87" s="21"/>
      <c r="OIF87" s="21"/>
      <c r="OIG87" s="21"/>
      <c r="OIH87" s="21"/>
      <c r="OII87" s="21"/>
      <c r="OIJ87" s="21"/>
      <c r="OIK87" s="21"/>
      <c r="OIL87" s="21"/>
      <c r="OIM87" s="21"/>
      <c r="OIN87" s="21"/>
      <c r="OIO87" s="21"/>
      <c r="OIP87" s="21"/>
      <c r="OIQ87" s="21"/>
      <c r="OIR87" s="21"/>
      <c r="OIS87" s="21"/>
      <c r="OIT87" s="21"/>
      <c r="OIU87" s="21"/>
      <c r="OIV87" s="21"/>
      <c r="OIW87" s="21"/>
      <c r="OIX87" s="21"/>
      <c r="OIY87" s="21"/>
      <c r="OIZ87" s="21"/>
      <c r="OJA87" s="21"/>
      <c r="OJB87" s="21"/>
      <c r="OJC87" s="21"/>
      <c r="OJD87" s="21"/>
      <c r="OJE87" s="21"/>
      <c r="OJF87" s="21"/>
      <c r="OJG87" s="21"/>
      <c r="OJH87" s="21"/>
      <c r="OJI87" s="21"/>
      <c r="OJJ87" s="21"/>
      <c r="OJK87" s="21"/>
      <c r="OJL87" s="21"/>
      <c r="OJM87" s="21"/>
      <c r="OJN87" s="21"/>
      <c r="OJO87" s="21"/>
      <c r="OJP87" s="21"/>
      <c r="OJQ87" s="21"/>
      <c r="OJR87" s="21"/>
      <c r="OJS87" s="21"/>
      <c r="OJT87" s="21"/>
      <c r="OJU87" s="21"/>
      <c r="OJV87" s="21"/>
      <c r="OJW87" s="21"/>
      <c r="OJX87" s="21"/>
      <c r="OJY87" s="21"/>
      <c r="OJZ87" s="21"/>
      <c r="OKA87" s="21"/>
      <c r="OKB87" s="21"/>
      <c r="OKC87" s="21"/>
      <c r="OKD87" s="21"/>
      <c r="OKE87" s="21"/>
      <c r="OKF87" s="21"/>
      <c r="OKG87" s="21"/>
      <c r="OKH87" s="21"/>
      <c r="OKI87" s="21"/>
      <c r="OKJ87" s="21"/>
      <c r="OKK87" s="21"/>
      <c r="OKL87" s="21"/>
      <c r="OKM87" s="21"/>
      <c r="OKN87" s="21"/>
      <c r="OKO87" s="21"/>
      <c r="OKP87" s="21"/>
      <c r="OKQ87" s="21"/>
      <c r="OKR87" s="21"/>
      <c r="OKS87" s="21"/>
      <c r="OKT87" s="21"/>
      <c r="OKU87" s="21"/>
      <c r="OKV87" s="21"/>
      <c r="OKW87" s="21"/>
      <c r="OKX87" s="21"/>
      <c r="OKY87" s="21"/>
      <c r="OKZ87" s="21"/>
      <c r="OLA87" s="21"/>
      <c r="OLB87" s="21"/>
      <c r="OLC87" s="21"/>
      <c r="OLD87" s="21"/>
      <c r="OLE87" s="21"/>
      <c r="OLF87" s="21"/>
      <c r="OLG87" s="21"/>
      <c r="OLH87" s="21"/>
      <c r="OLI87" s="21"/>
      <c r="OLJ87" s="21"/>
      <c r="OLK87" s="21"/>
      <c r="OLL87" s="21"/>
      <c r="OLM87" s="21"/>
      <c r="OLN87" s="21"/>
      <c r="OLO87" s="21"/>
      <c r="OLP87" s="21"/>
      <c r="OLQ87" s="21"/>
      <c r="OLR87" s="21"/>
      <c r="OLS87" s="21"/>
      <c r="OLT87" s="21"/>
      <c r="OLU87" s="21"/>
      <c r="OLV87" s="21"/>
      <c r="OLW87" s="21"/>
      <c r="OLX87" s="21"/>
      <c r="OLY87" s="21"/>
      <c r="OLZ87" s="21"/>
      <c r="OMA87" s="21"/>
      <c r="OMB87" s="21"/>
      <c r="OMC87" s="21"/>
      <c r="OMD87" s="21"/>
      <c r="OME87" s="21"/>
      <c r="OMF87" s="21"/>
      <c r="OMG87" s="21"/>
      <c r="OMH87" s="21"/>
      <c r="OMI87" s="21"/>
      <c r="OMJ87" s="21"/>
      <c r="OMK87" s="21"/>
      <c r="OML87" s="21"/>
      <c r="OMM87" s="21"/>
      <c r="OMN87" s="21"/>
      <c r="OMO87" s="21"/>
      <c r="OMP87" s="21"/>
      <c r="OMQ87" s="21"/>
      <c r="OMR87" s="21"/>
      <c r="OMS87" s="21"/>
      <c r="OMT87" s="21"/>
      <c r="OMU87" s="21"/>
      <c r="OMV87" s="21"/>
      <c r="OMW87" s="21"/>
      <c r="OMX87" s="21"/>
      <c r="OMY87" s="21"/>
      <c r="OMZ87" s="21"/>
      <c r="ONA87" s="21"/>
      <c r="ONB87" s="21"/>
      <c r="ONC87" s="21"/>
      <c r="OND87" s="21"/>
      <c r="ONE87" s="21"/>
      <c r="ONF87" s="21"/>
      <c r="ONG87" s="21"/>
      <c r="ONH87" s="21"/>
      <c r="ONI87" s="21"/>
      <c r="ONJ87" s="21"/>
      <c r="ONK87" s="21"/>
      <c r="ONL87" s="21"/>
      <c r="ONM87" s="21"/>
      <c r="ONN87" s="21"/>
      <c r="ONO87" s="21"/>
      <c r="ONP87" s="21"/>
      <c r="ONQ87" s="21"/>
      <c r="ONR87" s="21"/>
      <c r="ONS87" s="21"/>
      <c r="ONT87" s="21"/>
      <c r="ONU87" s="21"/>
      <c r="ONV87" s="21"/>
      <c r="ONW87" s="21"/>
      <c r="ONX87" s="21"/>
      <c r="ONY87" s="21"/>
      <c r="ONZ87" s="21"/>
      <c r="OOA87" s="21"/>
      <c r="OOB87" s="21"/>
      <c r="OOC87" s="21"/>
      <c r="OOD87" s="21"/>
      <c r="OOE87" s="21"/>
      <c r="OOF87" s="21"/>
      <c r="OOG87" s="21"/>
      <c r="OOH87" s="21"/>
      <c r="OOI87" s="21"/>
      <c r="OOJ87" s="21"/>
      <c r="OOK87" s="21"/>
      <c r="OOL87" s="21"/>
      <c r="OOM87" s="21"/>
      <c r="OON87" s="21"/>
      <c r="OOO87" s="21"/>
      <c r="OOP87" s="21"/>
      <c r="OOQ87" s="21"/>
      <c r="OOR87" s="21"/>
      <c r="OOS87" s="21"/>
      <c r="OOT87" s="21"/>
      <c r="OOU87" s="21"/>
      <c r="OOV87" s="21"/>
      <c r="OOW87" s="21"/>
      <c r="OOX87" s="21"/>
      <c r="OOY87" s="21"/>
      <c r="OOZ87" s="21"/>
      <c r="OPA87" s="21"/>
      <c r="OPB87" s="21"/>
      <c r="OPC87" s="21"/>
      <c r="OPD87" s="21"/>
      <c r="OPE87" s="21"/>
      <c r="OPF87" s="21"/>
      <c r="OPG87" s="21"/>
      <c r="OPH87" s="21"/>
      <c r="OPI87" s="21"/>
      <c r="OPJ87" s="21"/>
      <c r="OPK87" s="21"/>
      <c r="OPL87" s="21"/>
      <c r="OPM87" s="21"/>
      <c r="OPN87" s="21"/>
      <c r="OPO87" s="21"/>
      <c r="OPP87" s="21"/>
      <c r="OPQ87" s="21"/>
      <c r="OPR87" s="21"/>
      <c r="OPS87" s="21"/>
      <c r="OPT87" s="21"/>
      <c r="OPU87" s="21"/>
      <c r="OPV87" s="21"/>
      <c r="OPW87" s="21"/>
      <c r="OPX87" s="21"/>
      <c r="OPY87" s="21"/>
      <c r="OPZ87" s="21"/>
      <c r="OQA87" s="21"/>
      <c r="OQB87" s="21"/>
      <c r="OQC87" s="21"/>
      <c r="OQD87" s="21"/>
      <c r="OQE87" s="21"/>
      <c r="OQF87" s="21"/>
      <c r="OQG87" s="21"/>
      <c r="OQH87" s="21"/>
      <c r="OQI87" s="21"/>
      <c r="OQJ87" s="21"/>
      <c r="OQK87" s="21"/>
      <c r="OQL87" s="21"/>
      <c r="OQM87" s="21"/>
      <c r="OQN87" s="21"/>
      <c r="OQO87" s="21"/>
      <c r="OQP87" s="21"/>
      <c r="OQQ87" s="21"/>
      <c r="OQR87" s="21"/>
      <c r="OQS87" s="21"/>
      <c r="OQT87" s="21"/>
      <c r="OQU87" s="21"/>
      <c r="OQV87" s="21"/>
      <c r="OQW87" s="21"/>
      <c r="OQX87" s="21"/>
      <c r="OQY87" s="21"/>
      <c r="OQZ87" s="21"/>
      <c r="ORA87" s="21"/>
      <c r="ORB87" s="21"/>
      <c r="ORC87" s="21"/>
      <c r="ORD87" s="21"/>
      <c r="ORE87" s="21"/>
      <c r="ORF87" s="21"/>
      <c r="ORG87" s="21"/>
      <c r="ORH87" s="21"/>
      <c r="ORI87" s="21"/>
      <c r="ORJ87" s="21"/>
      <c r="ORK87" s="21"/>
      <c r="ORL87" s="21"/>
      <c r="ORM87" s="21"/>
      <c r="ORN87" s="21"/>
      <c r="ORO87" s="21"/>
      <c r="ORP87" s="21"/>
      <c r="ORQ87" s="21"/>
      <c r="ORR87" s="21"/>
      <c r="ORS87" s="21"/>
      <c r="ORT87" s="21"/>
      <c r="ORU87" s="21"/>
      <c r="ORV87" s="21"/>
      <c r="ORW87" s="21"/>
      <c r="ORX87" s="21"/>
      <c r="ORY87" s="21"/>
      <c r="ORZ87" s="21"/>
      <c r="OSA87" s="21"/>
      <c r="OSB87" s="21"/>
      <c r="OSC87" s="21"/>
      <c r="OSD87" s="21"/>
      <c r="OSE87" s="21"/>
      <c r="OSF87" s="21"/>
      <c r="OSG87" s="21"/>
      <c r="OSH87" s="21"/>
      <c r="OSI87" s="21"/>
      <c r="OSJ87" s="21"/>
      <c r="OSK87" s="21"/>
      <c r="OSL87" s="21"/>
      <c r="OSM87" s="21"/>
      <c r="OSN87" s="21"/>
      <c r="OSO87" s="21"/>
      <c r="OSP87" s="21"/>
      <c r="OSQ87" s="21"/>
      <c r="OSR87" s="21"/>
      <c r="OSS87" s="21"/>
      <c r="OST87" s="21"/>
      <c r="OSU87" s="21"/>
      <c r="OSV87" s="21"/>
      <c r="OSW87" s="21"/>
      <c r="OSX87" s="21"/>
      <c r="OSY87" s="21"/>
      <c r="OSZ87" s="21"/>
      <c r="OTA87" s="21"/>
      <c r="OTB87" s="21"/>
      <c r="OTC87" s="21"/>
      <c r="OTD87" s="21"/>
      <c r="OTE87" s="21"/>
      <c r="OTF87" s="21"/>
      <c r="OTG87" s="21"/>
      <c r="OTH87" s="21"/>
      <c r="OTI87" s="21"/>
      <c r="OTJ87" s="21"/>
      <c r="OTK87" s="21"/>
      <c r="OTL87" s="21"/>
      <c r="OTM87" s="21"/>
      <c r="OTN87" s="21"/>
      <c r="OTO87" s="21"/>
      <c r="OTP87" s="21"/>
      <c r="OTQ87" s="21"/>
      <c r="OTR87" s="21"/>
      <c r="OTS87" s="21"/>
      <c r="OTT87" s="21"/>
      <c r="OTU87" s="21"/>
      <c r="OTV87" s="21"/>
      <c r="OTW87" s="21"/>
      <c r="OTX87" s="21"/>
      <c r="OTY87" s="21"/>
      <c r="OTZ87" s="21"/>
      <c r="OUA87" s="21"/>
      <c r="OUB87" s="21"/>
      <c r="OUC87" s="21"/>
      <c r="OUD87" s="21"/>
      <c r="OUE87" s="21"/>
      <c r="OUF87" s="21"/>
      <c r="OUG87" s="21"/>
      <c r="OUH87" s="21"/>
      <c r="OUI87" s="21"/>
      <c r="OUJ87" s="21"/>
      <c r="OUK87" s="21"/>
      <c r="OUL87" s="21"/>
      <c r="OUM87" s="21"/>
      <c r="OUN87" s="21"/>
      <c r="OUO87" s="21"/>
      <c r="OUP87" s="21"/>
      <c r="OUQ87" s="21"/>
      <c r="OUR87" s="21"/>
      <c r="OUS87" s="21"/>
      <c r="OUT87" s="21"/>
      <c r="OUU87" s="21"/>
      <c r="OUV87" s="21"/>
      <c r="OUW87" s="21"/>
      <c r="OUX87" s="21"/>
      <c r="OUY87" s="21"/>
      <c r="OUZ87" s="21"/>
      <c r="OVA87" s="21"/>
      <c r="OVB87" s="21"/>
      <c r="OVC87" s="21"/>
      <c r="OVD87" s="21"/>
      <c r="OVE87" s="21"/>
      <c r="OVF87" s="21"/>
      <c r="OVG87" s="21"/>
      <c r="OVH87" s="21"/>
      <c r="OVI87" s="21"/>
      <c r="OVJ87" s="21"/>
      <c r="OVK87" s="21"/>
      <c r="OVL87" s="21"/>
      <c r="OVM87" s="21"/>
      <c r="OVN87" s="21"/>
      <c r="OVO87" s="21"/>
      <c r="OVP87" s="21"/>
      <c r="OVQ87" s="21"/>
      <c r="OVR87" s="21"/>
      <c r="OVS87" s="21"/>
      <c r="OVT87" s="21"/>
      <c r="OVU87" s="21"/>
      <c r="OVV87" s="21"/>
      <c r="OVW87" s="21"/>
      <c r="OVX87" s="21"/>
      <c r="OVY87" s="21"/>
      <c r="OVZ87" s="21"/>
      <c r="OWA87" s="21"/>
      <c r="OWB87" s="21"/>
      <c r="OWC87" s="21"/>
      <c r="OWD87" s="21"/>
      <c r="OWE87" s="21"/>
      <c r="OWF87" s="21"/>
      <c r="OWG87" s="21"/>
      <c r="OWH87" s="21"/>
      <c r="OWI87" s="21"/>
      <c r="OWJ87" s="21"/>
      <c r="OWK87" s="21"/>
      <c r="OWL87" s="21"/>
      <c r="OWM87" s="21"/>
      <c r="OWN87" s="21"/>
      <c r="OWO87" s="21"/>
      <c r="OWP87" s="21"/>
      <c r="OWQ87" s="21"/>
      <c r="OWR87" s="21"/>
      <c r="OWS87" s="21"/>
      <c r="OWT87" s="21"/>
      <c r="OWU87" s="21"/>
      <c r="OWV87" s="21"/>
      <c r="OWW87" s="21"/>
      <c r="OWX87" s="21"/>
      <c r="OWY87" s="21"/>
      <c r="OWZ87" s="21"/>
      <c r="OXA87" s="21"/>
      <c r="OXB87" s="21"/>
      <c r="OXC87" s="21"/>
      <c r="OXD87" s="21"/>
      <c r="OXE87" s="21"/>
      <c r="OXF87" s="21"/>
      <c r="OXG87" s="21"/>
      <c r="OXH87" s="21"/>
      <c r="OXI87" s="21"/>
      <c r="OXJ87" s="21"/>
      <c r="OXK87" s="21"/>
      <c r="OXL87" s="21"/>
      <c r="OXM87" s="21"/>
      <c r="OXN87" s="21"/>
      <c r="OXO87" s="21"/>
      <c r="OXP87" s="21"/>
      <c r="OXQ87" s="21"/>
      <c r="OXR87" s="21"/>
      <c r="OXS87" s="21"/>
      <c r="OXT87" s="21"/>
      <c r="OXU87" s="21"/>
      <c r="OXV87" s="21"/>
      <c r="OXW87" s="21"/>
      <c r="OXX87" s="21"/>
      <c r="OXY87" s="21"/>
      <c r="OXZ87" s="21"/>
      <c r="OYA87" s="21"/>
      <c r="OYB87" s="21"/>
      <c r="OYC87" s="21"/>
      <c r="OYD87" s="21"/>
      <c r="OYE87" s="21"/>
      <c r="OYF87" s="21"/>
      <c r="OYG87" s="21"/>
      <c r="OYH87" s="21"/>
      <c r="OYI87" s="21"/>
      <c r="OYJ87" s="21"/>
      <c r="OYK87" s="21"/>
      <c r="OYL87" s="21"/>
      <c r="OYM87" s="21"/>
      <c r="OYN87" s="21"/>
      <c r="OYO87" s="21"/>
      <c r="OYP87" s="21"/>
      <c r="OYQ87" s="21"/>
      <c r="OYR87" s="21"/>
      <c r="OYS87" s="21"/>
      <c r="OYT87" s="21"/>
      <c r="OYU87" s="21"/>
      <c r="OYV87" s="21"/>
      <c r="OYW87" s="21"/>
      <c r="OYX87" s="21"/>
      <c r="OYY87" s="21"/>
      <c r="OYZ87" s="21"/>
      <c r="OZA87" s="21"/>
      <c r="OZB87" s="21"/>
      <c r="OZC87" s="21"/>
      <c r="OZD87" s="21"/>
      <c r="OZE87" s="21"/>
      <c r="OZF87" s="21"/>
      <c r="OZG87" s="21"/>
      <c r="OZH87" s="21"/>
      <c r="OZI87" s="21"/>
      <c r="OZJ87" s="21"/>
      <c r="OZK87" s="21"/>
      <c r="OZL87" s="21"/>
      <c r="OZM87" s="21"/>
      <c r="OZN87" s="21"/>
      <c r="OZO87" s="21"/>
      <c r="OZP87" s="21"/>
      <c r="OZQ87" s="21"/>
      <c r="OZR87" s="21"/>
      <c r="OZS87" s="21"/>
      <c r="OZT87" s="21"/>
      <c r="OZU87" s="21"/>
      <c r="OZV87" s="21"/>
      <c r="OZW87" s="21"/>
      <c r="OZX87" s="21"/>
      <c r="OZY87" s="21"/>
      <c r="OZZ87" s="21"/>
      <c r="PAA87" s="21"/>
      <c r="PAB87" s="21"/>
      <c r="PAC87" s="21"/>
      <c r="PAD87" s="21"/>
      <c r="PAE87" s="21"/>
      <c r="PAF87" s="21"/>
      <c r="PAG87" s="21"/>
      <c r="PAH87" s="21"/>
      <c r="PAI87" s="21"/>
      <c r="PAJ87" s="21"/>
      <c r="PAK87" s="21"/>
      <c r="PAL87" s="21"/>
      <c r="PAM87" s="21"/>
      <c r="PAN87" s="21"/>
      <c r="PAO87" s="21"/>
      <c r="PAP87" s="21"/>
      <c r="PAQ87" s="21"/>
      <c r="PAR87" s="21"/>
      <c r="PAS87" s="21"/>
      <c r="PAT87" s="21"/>
      <c r="PAU87" s="21"/>
      <c r="PAV87" s="21"/>
      <c r="PAW87" s="21"/>
      <c r="PAX87" s="21"/>
      <c r="PAY87" s="21"/>
      <c r="PAZ87" s="21"/>
      <c r="PBA87" s="21"/>
      <c r="PBB87" s="21"/>
      <c r="PBC87" s="21"/>
      <c r="PBD87" s="21"/>
      <c r="PBE87" s="21"/>
      <c r="PBF87" s="21"/>
      <c r="PBG87" s="21"/>
      <c r="PBH87" s="21"/>
      <c r="PBI87" s="21"/>
      <c r="PBJ87" s="21"/>
      <c r="PBK87" s="21"/>
      <c r="PBL87" s="21"/>
      <c r="PBM87" s="21"/>
      <c r="PBN87" s="21"/>
      <c r="PBO87" s="21"/>
      <c r="PBP87" s="21"/>
      <c r="PBQ87" s="21"/>
      <c r="PBR87" s="21"/>
      <c r="PBS87" s="21"/>
      <c r="PBT87" s="21"/>
      <c r="PBU87" s="21"/>
      <c r="PBV87" s="21"/>
      <c r="PBW87" s="21"/>
      <c r="PBX87" s="21"/>
      <c r="PBY87" s="21"/>
      <c r="PBZ87" s="21"/>
      <c r="PCA87" s="21"/>
      <c r="PCB87" s="21"/>
      <c r="PCC87" s="21"/>
      <c r="PCD87" s="21"/>
      <c r="PCE87" s="21"/>
      <c r="PCF87" s="21"/>
      <c r="PCG87" s="21"/>
      <c r="PCH87" s="21"/>
      <c r="PCI87" s="21"/>
      <c r="PCJ87" s="21"/>
      <c r="PCK87" s="21"/>
      <c r="PCL87" s="21"/>
      <c r="PCM87" s="21"/>
      <c r="PCN87" s="21"/>
      <c r="PCO87" s="21"/>
      <c r="PCP87" s="21"/>
      <c r="PCQ87" s="21"/>
      <c r="PCR87" s="21"/>
      <c r="PCS87" s="21"/>
      <c r="PCT87" s="21"/>
      <c r="PCU87" s="21"/>
      <c r="PCV87" s="21"/>
      <c r="PCW87" s="21"/>
      <c r="PCX87" s="21"/>
      <c r="PCY87" s="21"/>
      <c r="PCZ87" s="21"/>
      <c r="PDA87" s="21"/>
      <c r="PDB87" s="21"/>
      <c r="PDC87" s="21"/>
      <c r="PDD87" s="21"/>
      <c r="PDE87" s="21"/>
      <c r="PDF87" s="21"/>
      <c r="PDG87" s="21"/>
      <c r="PDH87" s="21"/>
      <c r="PDI87" s="21"/>
      <c r="PDJ87" s="21"/>
      <c r="PDK87" s="21"/>
      <c r="PDL87" s="21"/>
      <c r="PDM87" s="21"/>
      <c r="PDN87" s="21"/>
      <c r="PDO87" s="21"/>
      <c r="PDP87" s="21"/>
      <c r="PDQ87" s="21"/>
      <c r="PDR87" s="21"/>
      <c r="PDS87" s="21"/>
      <c r="PDT87" s="21"/>
      <c r="PDU87" s="21"/>
      <c r="PDV87" s="21"/>
      <c r="PDW87" s="21"/>
      <c r="PDX87" s="21"/>
      <c r="PDY87" s="21"/>
      <c r="PDZ87" s="21"/>
      <c r="PEA87" s="21"/>
      <c r="PEB87" s="21"/>
      <c r="PEC87" s="21"/>
      <c r="PED87" s="21"/>
      <c r="PEE87" s="21"/>
      <c r="PEF87" s="21"/>
      <c r="PEG87" s="21"/>
      <c r="PEH87" s="21"/>
      <c r="PEI87" s="21"/>
      <c r="PEJ87" s="21"/>
      <c r="PEK87" s="21"/>
      <c r="PEL87" s="21"/>
      <c r="PEM87" s="21"/>
      <c r="PEN87" s="21"/>
      <c r="PEO87" s="21"/>
      <c r="PEP87" s="21"/>
      <c r="PEQ87" s="21"/>
      <c r="PER87" s="21"/>
      <c r="PES87" s="21"/>
      <c r="PET87" s="21"/>
      <c r="PEU87" s="21"/>
      <c r="PEV87" s="21"/>
      <c r="PEW87" s="21"/>
      <c r="PEX87" s="21"/>
      <c r="PEY87" s="21"/>
      <c r="PEZ87" s="21"/>
      <c r="PFA87" s="21"/>
      <c r="PFB87" s="21"/>
      <c r="PFC87" s="21"/>
      <c r="PFD87" s="21"/>
      <c r="PFE87" s="21"/>
      <c r="PFF87" s="21"/>
      <c r="PFG87" s="21"/>
      <c r="PFH87" s="21"/>
      <c r="PFI87" s="21"/>
      <c r="PFJ87" s="21"/>
      <c r="PFK87" s="21"/>
      <c r="PFL87" s="21"/>
      <c r="PFM87" s="21"/>
      <c r="PFN87" s="21"/>
      <c r="PFO87" s="21"/>
      <c r="PFP87" s="21"/>
      <c r="PFQ87" s="21"/>
      <c r="PFR87" s="21"/>
      <c r="PFS87" s="21"/>
      <c r="PFT87" s="21"/>
      <c r="PFU87" s="21"/>
      <c r="PFV87" s="21"/>
      <c r="PFW87" s="21"/>
      <c r="PFX87" s="21"/>
      <c r="PFY87" s="21"/>
      <c r="PFZ87" s="21"/>
      <c r="PGA87" s="21"/>
      <c r="PGB87" s="21"/>
      <c r="PGC87" s="21"/>
      <c r="PGD87" s="21"/>
      <c r="PGE87" s="21"/>
      <c r="PGF87" s="21"/>
      <c r="PGG87" s="21"/>
      <c r="PGH87" s="21"/>
      <c r="PGI87" s="21"/>
      <c r="PGJ87" s="21"/>
      <c r="PGK87" s="21"/>
      <c r="PGL87" s="21"/>
      <c r="PGM87" s="21"/>
      <c r="PGN87" s="21"/>
      <c r="PGO87" s="21"/>
      <c r="PGP87" s="21"/>
      <c r="PGQ87" s="21"/>
      <c r="PGR87" s="21"/>
      <c r="PGS87" s="21"/>
      <c r="PGT87" s="21"/>
      <c r="PGU87" s="21"/>
      <c r="PGV87" s="21"/>
      <c r="PGW87" s="21"/>
      <c r="PGX87" s="21"/>
      <c r="PGY87" s="21"/>
      <c r="PGZ87" s="21"/>
      <c r="PHA87" s="21"/>
      <c r="PHB87" s="21"/>
      <c r="PHC87" s="21"/>
      <c r="PHD87" s="21"/>
      <c r="PHE87" s="21"/>
      <c r="PHF87" s="21"/>
      <c r="PHG87" s="21"/>
      <c r="PHH87" s="21"/>
      <c r="PHI87" s="21"/>
      <c r="PHJ87" s="21"/>
      <c r="PHK87" s="21"/>
      <c r="PHL87" s="21"/>
      <c r="PHM87" s="21"/>
      <c r="PHN87" s="21"/>
      <c r="PHO87" s="21"/>
      <c r="PHP87" s="21"/>
      <c r="PHQ87" s="21"/>
      <c r="PHR87" s="21"/>
      <c r="PHS87" s="21"/>
      <c r="PHT87" s="21"/>
      <c r="PHU87" s="21"/>
      <c r="PHV87" s="21"/>
      <c r="PHW87" s="21"/>
      <c r="PHX87" s="21"/>
      <c r="PHY87" s="21"/>
      <c r="PHZ87" s="21"/>
      <c r="PIA87" s="21"/>
      <c r="PIB87" s="21"/>
      <c r="PIC87" s="21"/>
      <c r="PID87" s="21"/>
      <c r="PIE87" s="21"/>
      <c r="PIF87" s="21"/>
      <c r="PIG87" s="21"/>
      <c r="PIH87" s="21"/>
      <c r="PII87" s="21"/>
      <c r="PIJ87" s="21"/>
      <c r="PIK87" s="21"/>
      <c r="PIL87" s="21"/>
      <c r="PIM87" s="21"/>
      <c r="PIN87" s="21"/>
      <c r="PIO87" s="21"/>
      <c r="PIP87" s="21"/>
      <c r="PIQ87" s="21"/>
      <c r="PIR87" s="21"/>
      <c r="PIS87" s="21"/>
      <c r="PIT87" s="21"/>
      <c r="PIU87" s="21"/>
      <c r="PIV87" s="21"/>
      <c r="PIW87" s="21"/>
      <c r="PIX87" s="21"/>
      <c r="PIY87" s="21"/>
      <c r="PIZ87" s="21"/>
      <c r="PJA87" s="21"/>
      <c r="PJB87" s="21"/>
      <c r="PJC87" s="21"/>
      <c r="PJD87" s="21"/>
      <c r="PJE87" s="21"/>
      <c r="PJF87" s="21"/>
      <c r="PJG87" s="21"/>
      <c r="PJH87" s="21"/>
      <c r="PJI87" s="21"/>
      <c r="PJJ87" s="21"/>
      <c r="PJK87" s="21"/>
      <c r="PJL87" s="21"/>
      <c r="PJM87" s="21"/>
      <c r="PJN87" s="21"/>
      <c r="PJO87" s="21"/>
      <c r="PJP87" s="21"/>
      <c r="PJQ87" s="21"/>
      <c r="PJR87" s="21"/>
      <c r="PJS87" s="21"/>
      <c r="PJT87" s="21"/>
      <c r="PJU87" s="21"/>
      <c r="PJV87" s="21"/>
      <c r="PJW87" s="21"/>
      <c r="PJX87" s="21"/>
      <c r="PJY87" s="21"/>
      <c r="PJZ87" s="21"/>
      <c r="PKA87" s="21"/>
      <c r="PKB87" s="21"/>
      <c r="PKC87" s="21"/>
      <c r="PKD87" s="21"/>
      <c r="PKE87" s="21"/>
      <c r="PKF87" s="21"/>
      <c r="PKG87" s="21"/>
      <c r="PKH87" s="21"/>
      <c r="PKI87" s="21"/>
      <c r="PKJ87" s="21"/>
      <c r="PKK87" s="21"/>
      <c r="PKL87" s="21"/>
      <c r="PKM87" s="21"/>
      <c r="PKN87" s="21"/>
      <c r="PKO87" s="21"/>
      <c r="PKP87" s="21"/>
      <c r="PKQ87" s="21"/>
      <c r="PKR87" s="21"/>
      <c r="PKS87" s="21"/>
      <c r="PKT87" s="21"/>
      <c r="PKU87" s="21"/>
      <c r="PKV87" s="21"/>
      <c r="PKW87" s="21"/>
      <c r="PKX87" s="21"/>
      <c r="PKY87" s="21"/>
      <c r="PKZ87" s="21"/>
      <c r="PLA87" s="21"/>
      <c r="PLB87" s="21"/>
      <c r="PLC87" s="21"/>
      <c r="PLD87" s="21"/>
      <c r="PLE87" s="21"/>
      <c r="PLF87" s="21"/>
      <c r="PLG87" s="21"/>
      <c r="PLH87" s="21"/>
      <c r="PLI87" s="21"/>
      <c r="PLJ87" s="21"/>
      <c r="PLK87" s="21"/>
      <c r="PLL87" s="21"/>
      <c r="PLM87" s="21"/>
      <c r="PLN87" s="21"/>
      <c r="PLO87" s="21"/>
      <c r="PLP87" s="21"/>
      <c r="PLQ87" s="21"/>
      <c r="PLR87" s="21"/>
      <c r="PLS87" s="21"/>
      <c r="PLT87" s="21"/>
      <c r="PLU87" s="21"/>
      <c r="PLV87" s="21"/>
      <c r="PLW87" s="21"/>
      <c r="PLX87" s="21"/>
      <c r="PLY87" s="21"/>
      <c r="PLZ87" s="21"/>
      <c r="PMA87" s="21"/>
      <c r="PMB87" s="21"/>
      <c r="PMC87" s="21"/>
      <c r="PMD87" s="21"/>
      <c r="PME87" s="21"/>
      <c r="PMF87" s="21"/>
      <c r="PMG87" s="21"/>
      <c r="PMH87" s="21"/>
      <c r="PMI87" s="21"/>
      <c r="PMJ87" s="21"/>
      <c r="PMK87" s="21"/>
      <c r="PML87" s="21"/>
      <c r="PMM87" s="21"/>
      <c r="PMN87" s="21"/>
      <c r="PMO87" s="21"/>
      <c r="PMP87" s="21"/>
      <c r="PMQ87" s="21"/>
      <c r="PMR87" s="21"/>
      <c r="PMS87" s="21"/>
      <c r="PMT87" s="21"/>
      <c r="PMU87" s="21"/>
      <c r="PMV87" s="21"/>
      <c r="PMW87" s="21"/>
      <c r="PMX87" s="21"/>
      <c r="PMY87" s="21"/>
      <c r="PMZ87" s="21"/>
      <c r="PNA87" s="21"/>
      <c r="PNB87" s="21"/>
      <c r="PNC87" s="21"/>
      <c r="PND87" s="21"/>
      <c r="PNE87" s="21"/>
      <c r="PNF87" s="21"/>
      <c r="PNG87" s="21"/>
      <c r="PNH87" s="21"/>
      <c r="PNI87" s="21"/>
      <c r="PNJ87" s="21"/>
      <c r="PNK87" s="21"/>
      <c r="PNL87" s="21"/>
      <c r="PNM87" s="21"/>
      <c r="PNN87" s="21"/>
      <c r="PNO87" s="21"/>
      <c r="PNP87" s="21"/>
      <c r="PNQ87" s="21"/>
      <c r="PNR87" s="21"/>
      <c r="PNS87" s="21"/>
      <c r="PNT87" s="21"/>
      <c r="PNU87" s="21"/>
      <c r="PNV87" s="21"/>
      <c r="PNW87" s="21"/>
      <c r="PNX87" s="21"/>
      <c r="PNY87" s="21"/>
      <c r="PNZ87" s="21"/>
      <c r="POA87" s="21"/>
      <c r="POB87" s="21"/>
      <c r="POC87" s="21"/>
      <c r="POD87" s="21"/>
      <c r="POE87" s="21"/>
      <c r="POF87" s="21"/>
      <c r="POG87" s="21"/>
      <c r="POH87" s="21"/>
      <c r="POI87" s="21"/>
      <c r="POJ87" s="21"/>
      <c r="POK87" s="21"/>
      <c r="POL87" s="21"/>
      <c r="POM87" s="21"/>
      <c r="PON87" s="21"/>
      <c r="POO87" s="21"/>
      <c r="POP87" s="21"/>
      <c r="POQ87" s="21"/>
      <c r="POR87" s="21"/>
      <c r="POS87" s="21"/>
      <c r="POT87" s="21"/>
      <c r="POU87" s="21"/>
      <c r="POV87" s="21"/>
      <c r="POW87" s="21"/>
      <c r="POX87" s="21"/>
      <c r="POY87" s="21"/>
      <c r="POZ87" s="21"/>
      <c r="PPA87" s="21"/>
      <c r="PPB87" s="21"/>
      <c r="PPC87" s="21"/>
      <c r="PPD87" s="21"/>
      <c r="PPE87" s="21"/>
      <c r="PPF87" s="21"/>
      <c r="PPG87" s="21"/>
      <c r="PPH87" s="21"/>
      <c r="PPI87" s="21"/>
      <c r="PPJ87" s="21"/>
      <c r="PPK87" s="21"/>
      <c r="PPL87" s="21"/>
      <c r="PPM87" s="21"/>
      <c r="PPN87" s="21"/>
      <c r="PPO87" s="21"/>
      <c r="PPP87" s="21"/>
      <c r="PPQ87" s="21"/>
      <c r="PPR87" s="21"/>
      <c r="PPS87" s="21"/>
      <c r="PPT87" s="21"/>
      <c r="PPU87" s="21"/>
      <c r="PPV87" s="21"/>
      <c r="PPW87" s="21"/>
      <c r="PPX87" s="21"/>
      <c r="PPY87" s="21"/>
      <c r="PPZ87" s="21"/>
      <c r="PQA87" s="21"/>
      <c r="PQB87" s="21"/>
      <c r="PQC87" s="21"/>
      <c r="PQD87" s="21"/>
      <c r="PQE87" s="21"/>
      <c r="PQF87" s="21"/>
      <c r="PQG87" s="21"/>
      <c r="PQH87" s="21"/>
      <c r="PQI87" s="21"/>
      <c r="PQJ87" s="21"/>
      <c r="PQK87" s="21"/>
      <c r="PQL87" s="21"/>
      <c r="PQM87" s="21"/>
      <c r="PQN87" s="21"/>
      <c r="PQO87" s="21"/>
      <c r="PQP87" s="21"/>
      <c r="PQQ87" s="21"/>
      <c r="PQR87" s="21"/>
      <c r="PQS87" s="21"/>
      <c r="PQT87" s="21"/>
      <c r="PQU87" s="21"/>
      <c r="PQV87" s="21"/>
      <c r="PQW87" s="21"/>
      <c r="PQX87" s="21"/>
      <c r="PQY87" s="21"/>
      <c r="PQZ87" s="21"/>
      <c r="PRA87" s="21"/>
      <c r="PRB87" s="21"/>
      <c r="PRC87" s="21"/>
      <c r="PRD87" s="21"/>
      <c r="PRE87" s="21"/>
      <c r="PRF87" s="21"/>
      <c r="PRG87" s="21"/>
      <c r="PRH87" s="21"/>
      <c r="PRI87" s="21"/>
      <c r="PRJ87" s="21"/>
      <c r="PRK87" s="21"/>
      <c r="PRL87" s="21"/>
      <c r="PRM87" s="21"/>
      <c r="PRN87" s="21"/>
      <c r="PRO87" s="21"/>
      <c r="PRP87" s="21"/>
      <c r="PRQ87" s="21"/>
      <c r="PRR87" s="21"/>
      <c r="PRS87" s="21"/>
      <c r="PRT87" s="21"/>
      <c r="PRU87" s="21"/>
      <c r="PRV87" s="21"/>
      <c r="PRW87" s="21"/>
      <c r="PRX87" s="21"/>
      <c r="PRY87" s="21"/>
      <c r="PRZ87" s="21"/>
      <c r="PSA87" s="21"/>
      <c r="PSB87" s="21"/>
      <c r="PSC87" s="21"/>
      <c r="PSD87" s="21"/>
      <c r="PSE87" s="21"/>
      <c r="PSF87" s="21"/>
      <c r="PSG87" s="21"/>
      <c r="PSH87" s="21"/>
      <c r="PSI87" s="21"/>
      <c r="PSJ87" s="21"/>
      <c r="PSK87" s="21"/>
      <c r="PSL87" s="21"/>
      <c r="PSM87" s="21"/>
      <c r="PSN87" s="21"/>
      <c r="PSO87" s="21"/>
      <c r="PSP87" s="21"/>
      <c r="PSQ87" s="21"/>
      <c r="PSR87" s="21"/>
      <c r="PSS87" s="21"/>
      <c r="PST87" s="21"/>
      <c r="PSU87" s="21"/>
      <c r="PSV87" s="21"/>
      <c r="PSW87" s="21"/>
      <c r="PSX87" s="21"/>
      <c r="PSY87" s="21"/>
      <c r="PSZ87" s="21"/>
      <c r="PTA87" s="21"/>
      <c r="PTB87" s="21"/>
      <c r="PTC87" s="21"/>
      <c r="PTD87" s="21"/>
      <c r="PTE87" s="21"/>
      <c r="PTF87" s="21"/>
      <c r="PTG87" s="21"/>
      <c r="PTH87" s="21"/>
      <c r="PTI87" s="21"/>
      <c r="PTJ87" s="21"/>
      <c r="PTK87" s="21"/>
      <c r="PTL87" s="21"/>
      <c r="PTM87" s="21"/>
      <c r="PTN87" s="21"/>
      <c r="PTO87" s="21"/>
      <c r="PTP87" s="21"/>
      <c r="PTQ87" s="21"/>
      <c r="PTR87" s="21"/>
      <c r="PTS87" s="21"/>
      <c r="PTT87" s="21"/>
      <c r="PTU87" s="21"/>
      <c r="PTV87" s="21"/>
      <c r="PTW87" s="21"/>
      <c r="PTX87" s="21"/>
      <c r="PTY87" s="21"/>
      <c r="PTZ87" s="21"/>
      <c r="PUA87" s="21"/>
      <c r="PUB87" s="21"/>
      <c r="PUC87" s="21"/>
      <c r="PUD87" s="21"/>
      <c r="PUE87" s="21"/>
      <c r="PUF87" s="21"/>
      <c r="PUG87" s="21"/>
      <c r="PUH87" s="21"/>
      <c r="PUI87" s="21"/>
      <c r="PUJ87" s="21"/>
      <c r="PUK87" s="21"/>
      <c r="PUL87" s="21"/>
      <c r="PUM87" s="21"/>
      <c r="PUN87" s="21"/>
      <c r="PUO87" s="21"/>
      <c r="PUP87" s="21"/>
      <c r="PUQ87" s="21"/>
      <c r="PUR87" s="21"/>
      <c r="PUS87" s="21"/>
      <c r="PUT87" s="21"/>
      <c r="PUU87" s="21"/>
      <c r="PUV87" s="21"/>
      <c r="PUW87" s="21"/>
      <c r="PUX87" s="21"/>
      <c r="PUY87" s="21"/>
      <c r="PUZ87" s="21"/>
      <c r="PVA87" s="21"/>
      <c r="PVB87" s="21"/>
      <c r="PVC87" s="21"/>
      <c r="PVD87" s="21"/>
      <c r="PVE87" s="21"/>
      <c r="PVF87" s="21"/>
      <c r="PVG87" s="21"/>
      <c r="PVH87" s="21"/>
      <c r="PVI87" s="21"/>
      <c r="PVJ87" s="21"/>
      <c r="PVK87" s="21"/>
      <c r="PVL87" s="21"/>
      <c r="PVM87" s="21"/>
      <c r="PVN87" s="21"/>
      <c r="PVO87" s="21"/>
      <c r="PVP87" s="21"/>
      <c r="PVQ87" s="21"/>
      <c r="PVR87" s="21"/>
      <c r="PVS87" s="21"/>
      <c r="PVT87" s="21"/>
      <c r="PVU87" s="21"/>
      <c r="PVV87" s="21"/>
      <c r="PVW87" s="21"/>
      <c r="PVX87" s="21"/>
      <c r="PVY87" s="21"/>
      <c r="PVZ87" s="21"/>
      <c r="PWA87" s="21"/>
      <c r="PWB87" s="21"/>
      <c r="PWC87" s="21"/>
      <c r="PWD87" s="21"/>
      <c r="PWE87" s="21"/>
      <c r="PWF87" s="21"/>
      <c r="PWG87" s="21"/>
      <c r="PWH87" s="21"/>
      <c r="PWI87" s="21"/>
      <c r="PWJ87" s="21"/>
      <c r="PWK87" s="21"/>
      <c r="PWL87" s="21"/>
      <c r="PWM87" s="21"/>
      <c r="PWN87" s="21"/>
      <c r="PWO87" s="21"/>
      <c r="PWP87" s="21"/>
      <c r="PWQ87" s="21"/>
      <c r="PWR87" s="21"/>
      <c r="PWS87" s="21"/>
      <c r="PWT87" s="21"/>
      <c r="PWU87" s="21"/>
      <c r="PWV87" s="21"/>
      <c r="PWW87" s="21"/>
      <c r="PWX87" s="21"/>
      <c r="PWY87" s="21"/>
      <c r="PWZ87" s="21"/>
      <c r="PXA87" s="21"/>
      <c r="PXB87" s="21"/>
      <c r="PXC87" s="21"/>
      <c r="PXD87" s="21"/>
      <c r="PXE87" s="21"/>
      <c r="PXF87" s="21"/>
      <c r="PXG87" s="21"/>
      <c r="PXH87" s="21"/>
      <c r="PXI87" s="21"/>
      <c r="PXJ87" s="21"/>
      <c r="PXK87" s="21"/>
      <c r="PXL87" s="21"/>
      <c r="PXM87" s="21"/>
      <c r="PXN87" s="21"/>
      <c r="PXO87" s="21"/>
      <c r="PXP87" s="21"/>
      <c r="PXQ87" s="21"/>
      <c r="PXR87" s="21"/>
      <c r="PXS87" s="21"/>
      <c r="PXT87" s="21"/>
      <c r="PXU87" s="21"/>
      <c r="PXV87" s="21"/>
      <c r="PXW87" s="21"/>
      <c r="PXX87" s="21"/>
      <c r="PXY87" s="21"/>
      <c r="PXZ87" s="21"/>
      <c r="PYA87" s="21"/>
      <c r="PYB87" s="21"/>
      <c r="PYC87" s="21"/>
      <c r="PYD87" s="21"/>
      <c r="PYE87" s="21"/>
      <c r="PYF87" s="21"/>
      <c r="PYG87" s="21"/>
      <c r="PYH87" s="21"/>
      <c r="PYI87" s="21"/>
      <c r="PYJ87" s="21"/>
      <c r="PYK87" s="21"/>
      <c r="PYL87" s="21"/>
      <c r="PYM87" s="21"/>
      <c r="PYN87" s="21"/>
      <c r="PYO87" s="21"/>
      <c r="PYP87" s="21"/>
      <c r="PYQ87" s="21"/>
      <c r="PYR87" s="21"/>
      <c r="PYS87" s="21"/>
      <c r="PYT87" s="21"/>
      <c r="PYU87" s="21"/>
      <c r="PYV87" s="21"/>
      <c r="PYW87" s="21"/>
      <c r="PYX87" s="21"/>
      <c r="PYY87" s="21"/>
      <c r="PYZ87" s="21"/>
      <c r="PZA87" s="21"/>
      <c r="PZB87" s="21"/>
      <c r="PZC87" s="21"/>
      <c r="PZD87" s="21"/>
      <c r="PZE87" s="21"/>
      <c r="PZF87" s="21"/>
      <c r="PZG87" s="21"/>
      <c r="PZH87" s="21"/>
      <c r="PZI87" s="21"/>
      <c r="PZJ87" s="21"/>
      <c r="PZK87" s="21"/>
      <c r="PZL87" s="21"/>
      <c r="PZM87" s="21"/>
      <c r="PZN87" s="21"/>
      <c r="PZO87" s="21"/>
      <c r="PZP87" s="21"/>
      <c r="PZQ87" s="21"/>
      <c r="PZR87" s="21"/>
      <c r="PZS87" s="21"/>
      <c r="PZT87" s="21"/>
      <c r="PZU87" s="21"/>
      <c r="PZV87" s="21"/>
      <c r="PZW87" s="21"/>
      <c r="PZX87" s="21"/>
      <c r="PZY87" s="21"/>
      <c r="PZZ87" s="21"/>
      <c r="QAA87" s="21"/>
      <c r="QAB87" s="21"/>
      <c r="QAC87" s="21"/>
      <c r="QAD87" s="21"/>
      <c r="QAE87" s="21"/>
      <c r="QAF87" s="21"/>
      <c r="QAG87" s="21"/>
      <c r="QAH87" s="21"/>
      <c r="QAI87" s="21"/>
      <c r="QAJ87" s="21"/>
      <c r="QAK87" s="21"/>
      <c r="QAL87" s="21"/>
      <c r="QAM87" s="21"/>
      <c r="QAN87" s="21"/>
      <c r="QAO87" s="21"/>
      <c r="QAP87" s="21"/>
      <c r="QAQ87" s="21"/>
      <c r="QAR87" s="21"/>
      <c r="QAS87" s="21"/>
      <c r="QAT87" s="21"/>
      <c r="QAU87" s="21"/>
      <c r="QAV87" s="21"/>
      <c r="QAW87" s="21"/>
      <c r="QAX87" s="21"/>
      <c r="QAY87" s="21"/>
      <c r="QAZ87" s="21"/>
      <c r="QBA87" s="21"/>
      <c r="QBB87" s="21"/>
      <c r="QBC87" s="21"/>
      <c r="QBD87" s="21"/>
      <c r="QBE87" s="21"/>
      <c r="QBF87" s="21"/>
      <c r="QBG87" s="21"/>
      <c r="QBH87" s="21"/>
      <c r="QBI87" s="21"/>
      <c r="QBJ87" s="21"/>
      <c r="QBK87" s="21"/>
      <c r="QBL87" s="21"/>
      <c r="QBM87" s="21"/>
      <c r="QBN87" s="21"/>
      <c r="QBO87" s="21"/>
      <c r="QBP87" s="21"/>
      <c r="QBQ87" s="21"/>
      <c r="QBR87" s="21"/>
      <c r="QBS87" s="21"/>
      <c r="QBT87" s="21"/>
      <c r="QBU87" s="21"/>
      <c r="QBV87" s="21"/>
      <c r="QBW87" s="21"/>
      <c r="QBX87" s="21"/>
      <c r="QBY87" s="21"/>
      <c r="QBZ87" s="21"/>
      <c r="QCA87" s="21"/>
      <c r="QCB87" s="21"/>
      <c r="QCC87" s="21"/>
      <c r="QCD87" s="21"/>
      <c r="QCE87" s="21"/>
      <c r="QCF87" s="21"/>
      <c r="QCG87" s="21"/>
      <c r="QCH87" s="21"/>
      <c r="QCI87" s="21"/>
      <c r="QCJ87" s="21"/>
      <c r="QCK87" s="21"/>
      <c r="QCL87" s="21"/>
      <c r="QCM87" s="21"/>
      <c r="QCN87" s="21"/>
      <c r="QCO87" s="21"/>
      <c r="QCP87" s="21"/>
      <c r="QCQ87" s="21"/>
      <c r="QCR87" s="21"/>
      <c r="QCS87" s="21"/>
      <c r="QCT87" s="21"/>
      <c r="QCU87" s="21"/>
      <c r="QCV87" s="21"/>
      <c r="QCW87" s="21"/>
      <c r="QCX87" s="21"/>
      <c r="QCY87" s="21"/>
      <c r="QCZ87" s="21"/>
      <c r="QDA87" s="21"/>
      <c r="QDB87" s="21"/>
      <c r="QDC87" s="21"/>
      <c r="QDD87" s="21"/>
      <c r="QDE87" s="21"/>
      <c r="QDF87" s="21"/>
      <c r="QDG87" s="21"/>
      <c r="QDH87" s="21"/>
      <c r="QDI87" s="21"/>
      <c r="QDJ87" s="21"/>
      <c r="QDK87" s="21"/>
      <c r="QDL87" s="21"/>
      <c r="QDM87" s="21"/>
      <c r="QDN87" s="21"/>
      <c r="QDO87" s="21"/>
      <c r="QDP87" s="21"/>
      <c r="QDQ87" s="21"/>
      <c r="QDR87" s="21"/>
      <c r="QDS87" s="21"/>
      <c r="QDT87" s="21"/>
      <c r="QDU87" s="21"/>
      <c r="QDV87" s="21"/>
      <c r="QDW87" s="21"/>
      <c r="QDX87" s="21"/>
      <c r="QDY87" s="21"/>
      <c r="QDZ87" s="21"/>
      <c r="QEA87" s="21"/>
      <c r="QEB87" s="21"/>
      <c r="QEC87" s="21"/>
      <c r="QED87" s="21"/>
      <c r="QEE87" s="21"/>
      <c r="QEF87" s="21"/>
      <c r="QEG87" s="21"/>
      <c r="QEH87" s="21"/>
      <c r="QEI87" s="21"/>
      <c r="QEJ87" s="21"/>
      <c r="QEK87" s="21"/>
      <c r="QEL87" s="21"/>
      <c r="QEM87" s="21"/>
      <c r="QEN87" s="21"/>
      <c r="QEO87" s="21"/>
      <c r="QEP87" s="21"/>
      <c r="QEQ87" s="21"/>
      <c r="QER87" s="21"/>
      <c r="QES87" s="21"/>
      <c r="QET87" s="21"/>
      <c r="QEU87" s="21"/>
      <c r="QEV87" s="21"/>
      <c r="QEW87" s="21"/>
      <c r="QEX87" s="21"/>
      <c r="QEY87" s="21"/>
      <c r="QEZ87" s="21"/>
      <c r="QFA87" s="21"/>
      <c r="QFB87" s="21"/>
      <c r="QFC87" s="21"/>
      <c r="QFD87" s="21"/>
      <c r="QFE87" s="21"/>
      <c r="QFF87" s="21"/>
      <c r="QFG87" s="21"/>
      <c r="QFH87" s="21"/>
      <c r="QFI87" s="21"/>
      <c r="QFJ87" s="21"/>
      <c r="QFK87" s="21"/>
      <c r="QFL87" s="21"/>
      <c r="QFM87" s="21"/>
      <c r="QFN87" s="21"/>
      <c r="QFO87" s="21"/>
      <c r="QFP87" s="21"/>
      <c r="QFQ87" s="21"/>
      <c r="QFR87" s="21"/>
      <c r="QFS87" s="21"/>
      <c r="QFT87" s="21"/>
      <c r="QFU87" s="21"/>
      <c r="QFV87" s="21"/>
      <c r="QFW87" s="21"/>
      <c r="QFX87" s="21"/>
      <c r="QFY87" s="21"/>
      <c r="QFZ87" s="21"/>
      <c r="QGA87" s="21"/>
      <c r="QGB87" s="21"/>
      <c r="QGC87" s="21"/>
      <c r="QGD87" s="21"/>
      <c r="QGE87" s="21"/>
      <c r="QGF87" s="21"/>
      <c r="QGG87" s="21"/>
      <c r="QGH87" s="21"/>
      <c r="QGI87" s="21"/>
      <c r="QGJ87" s="21"/>
      <c r="QGK87" s="21"/>
      <c r="QGL87" s="21"/>
      <c r="QGM87" s="21"/>
      <c r="QGN87" s="21"/>
      <c r="QGO87" s="21"/>
      <c r="QGP87" s="21"/>
      <c r="QGQ87" s="21"/>
      <c r="QGR87" s="21"/>
      <c r="QGS87" s="21"/>
      <c r="QGT87" s="21"/>
      <c r="QGU87" s="21"/>
      <c r="QGV87" s="21"/>
      <c r="QGW87" s="21"/>
      <c r="QGX87" s="21"/>
      <c r="QGY87" s="21"/>
      <c r="QGZ87" s="21"/>
      <c r="QHA87" s="21"/>
      <c r="QHB87" s="21"/>
      <c r="QHC87" s="21"/>
      <c r="QHD87" s="21"/>
      <c r="QHE87" s="21"/>
      <c r="QHF87" s="21"/>
      <c r="QHG87" s="21"/>
      <c r="QHH87" s="21"/>
      <c r="QHI87" s="21"/>
      <c r="QHJ87" s="21"/>
      <c r="QHK87" s="21"/>
      <c r="QHL87" s="21"/>
      <c r="QHM87" s="21"/>
      <c r="QHN87" s="21"/>
      <c r="QHO87" s="21"/>
      <c r="QHP87" s="21"/>
      <c r="QHQ87" s="21"/>
      <c r="QHR87" s="21"/>
      <c r="QHS87" s="21"/>
      <c r="QHT87" s="21"/>
      <c r="QHU87" s="21"/>
      <c r="QHV87" s="21"/>
      <c r="QHW87" s="21"/>
      <c r="QHX87" s="21"/>
      <c r="QHY87" s="21"/>
      <c r="QHZ87" s="21"/>
      <c r="QIA87" s="21"/>
      <c r="QIB87" s="21"/>
      <c r="QIC87" s="21"/>
      <c r="QID87" s="21"/>
      <c r="QIE87" s="21"/>
      <c r="QIF87" s="21"/>
      <c r="QIG87" s="21"/>
      <c r="QIH87" s="21"/>
      <c r="QII87" s="21"/>
      <c r="QIJ87" s="21"/>
      <c r="QIK87" s="21"/>
      <c r="QIL87" s="21"/>
      <c r="QIM87" s="21"/>
      <c r="QIN87" s="21"/>
      <c r="QIO87" s="21"/>
      <c r="QIP87" s="21"/>
      <c r="QIQ87" s="21"/>
      <c r="QIR87" s="21"/>
      <c r="QIS87" s="21"/>
      <c r="QIT87" s="21"/>
      <c r="QIU87" s="21"/>
      <c r="QIV87" s="21"/>
      <c r="QIW87" s="21"/>
      <c r="QIX87" s="21"/>
      <c r="QIY87" s="21"/>
      <c r="QIZ87" s="21"/>
      <c r="QJA87" s="21"/>
      <c r="QJB87" s="21"/>
      <c r="QJC87" s="21"/>
      <c r="QJD87" s="21"/>
      <c r="QJE87" s="21"/>
      <c r="QJF87" s="21"/>
      <c r="QJG87" s="21"/>
      <c r="QJH87" s="21"/>
      <c r="QJI87" s="21"/>
      <c r="QJJ87" s="21"/>
      <c r="QJK87" s="21"/>
      <c r="QJL87" s="21"/>
      <c r="QJM87" s="21"/>
      <c r="QJN87" s="21"/>
      <c r="QJO87" s="21"/>
      <c r="QJP87" s="21"/>
      <c r="QJQ87" s="21"/>
      <c r="QJR87" s="21"/>
      <c r="QJS87" s="21"/>
      <c r="QJT87" s="21"/>
      <c r="QJU87" s="21"/>
      <c r="QJV87" s="21"/>
      <c r="QJW87" s="21"/>
      <c r="QJX87" s="21"/>
      <c r="QJY87" s="21"/>
      <c r="QJZ87" s="21"/>
      <c r="QKA87" s="21"/>
      <c r="QKB87" s="21"/>
      <c r="QKC87" s="21"/>
      <c r="QKD87" s="21"/>
      <c r="QKE87" s="21"/>
      <c r="QKF87" s="21"/>
      <c r="QKG87" s="21"/>
      <c r="QKH87" s="21"/>
      <c r="QKI87" s="21"/>
      <c r="QKJ87" s="21"/>
      <c r="QKK87" s="21"/>
      <c r="QKL87" s="21"/>
      <c r="QKM87" s="21"/>
      <c r="QKN87" s="21"/>
      <c r="QKO87" s="21"/>
      <c r="QKP87" s="21"/>
      <c r="QKQ87" s="21"/>
      <c r="QKR87" s="21"/>
      <c r="QKS87" s="21"/>
      <c r="QKT87" s="21"/>
      <c r="QKU87" s="21"/>
      <c r="QKV87" s="21"/>
      <c r="QKW87" s="21"/>
      <c r="QKX87" s="21"/>
      <c r="QKY87" s="21"/>
      <c r="QKZ87" s="21"/>
      <c r="QLA87" s="21"/>
      <c r="QLB87" s="21"/>
      <c r="QLC87" s="21"/>
      <c r="QLD87" s="21"/>
      <c r="QLE87" s="21"/>
      <c r="QLF87" s="21"/>
      <c r="QLG87" s="21"/>
      <c r="QLH87" s="21"/>
      <c r="QLI87" s="21"/>
      <c r="QLJ87" s="21"/>
      <c r="QLK87" s="21"/>
      <c r="QLL87" s="21"/>
      <c r="QLM87" s="21"/>
      <c r="QLN87" s="21"/>
      <c r="QLO87" s="21"/>
      <c r="QLP87" s="21"/>
      <c r="QLQ87" s="21"/>
      <c r="QLR87" s="21"/>
      <c r="QLS87" s="21"/>
      <c r="QLT87" s="21"/>
      <c r="QLU87" s="21"/>
      <c r="QLV87" s="21"/>
      <c r="QLW87" s="21"/>
      <c r="QLX87" s="21"/>
      <c r="QLY87" s="21"/>
      <c r="QLZ87" s="21"/>
      <c r="QMA87" s="21"/>
      <c r="QMB87" s="21"/>
      <c r="QMC87" s="21"/>
      <c r="QMD87" s="21"/>
      <c r="QME87" s="21"/>
      <c r="QMF87" s="21"/>
      <c r="QMG87" s="21"/>
      <c r="QMH87" s="21"/>
      <c r="QMI87" s="21"/>
      <c r="QMJ87" s="21"/>
      <c r="QMK87" s="21"/>
      <c r="QML87" s="21"/>
      <c r="QMM87" s="21"/>
      <c r="QMN87" s="21"/>
      <c r="QMO87" s="21"/>
      <c r="QMP87" s="21"/>
      <c r="QMQ87" s="21"/>
      <c r="QMR87" s="21"/>
      <c r="QMS87" s="21"/>
      <c r="QMT87" s="21"/>
      <c r="QMU87" s="21"/>
      <c r="QMV87" s="21"/>
      <c r="QMW87" s="21"/>
      <c r="QMX87" s="21"/>
      <c r="QMY87" s="21"/>
      <c r="QMZ87" s="21"/>
      <c r="QNA87" s="21"/>
      <c r="QNB87" s="21"/>
      <c r="QNC87" s="21"/>
      <c r="QND87" s="21"/>
      <c r="QNE87" s="21"/>
      <c r="QNF87" s="21"/>
      <c r="QNG87" s="21"/>
      <c r="QNH87" s="21"/>
      <c r="QNI87" s="21"/>
      <c r="QNJ87" s="21"/>
      <c r="QNK87" s="21"/>
      <c r="QNL87" s="21"/>
      <c r="QNM87" s="21"/>
      <c r="QNN87" s="21"/>
      <c r="QNO87" s="21"/>
      <c r="QNP87" s="21"/>
      <c r="QNQ87" s="21"/>
      <c r="QNR87" s="21"/>
      <c r="QNS87" s="21"/>
      <c r="QNT87" s="21"/>
      <c r="QNU87" s="21"/>
      <c r="QNV87" s="21"/>
      <c r="QNW87" s="21"/>
      <c r="QNX87" s="21"/>
      <c r="QNY87" s="21"/>
      <c r="QNZ87" s="21"/>
      <c r="QOA87" s="21"/>
      <c r="QOB87" s="21"/>
      <c r="QOC87" s="21"/>
      <c r="QOD87" s="21"/>
      <c r="QOE87" s="21"/>
      <c r="QOF87" s="21"/>
      <c r="QOG87" s="21"/>
      <c r="QOH87" s="21"/>
      <c r="QOI87" s="21"/>
      <c r="QOJ87" s="21"/>
      <c r="QOK87" s="21"/>
      <c r="QOL87" s="21"/>
      <c r="QOM87" s="21"/>
      <c r="QON87" s="21"/>
      <c r="QOO87" s="21"/>
      <c r="QOP87" s="21"/>
      <c r="QOQ87" s="21"/>
      <c r="QOR87" s="21"/>
      <c r="QOS87" s="21"/>
      <c r="QOT87" s="21"/>
      <c r="QOU87" s="21"/>
      <c r="QOV87" s="21"/>
      <c r="QOW87" s="21"/>
      <c r="QOX87" s="21"/>
      <c r="QOY87" s="21"/>
      <c r="QOZ87" s="21"/>
      <c r="QPA87" s="21"/>
      <c r="QPB87" s="21"/>
      <c r="QPC87" s="21"/>
      <c r="QPD87" s="21"/>
      <c r="QPE87" s="21"/>
      <c r="QPF87" s="21"/>
      <c r="QPG87" s="21"/>
      <c r="QPH87" s="21"/>
      <c r="QPI87" s="21"/>
      <c r="QPJ87" s="21"/>
      <c r="QPK87" s="21"/>
      <c r="QPL87" s="21"/>
      <c r="QPM87" s="21"/>
      <c r="QPN87" s="21"/>
      <c r="QPO87" s="21"/>
      <c r="QPP87" s="21"/>
      <c r="QPQ87" s="21"/>
      <c r="QPR87" s="21"/>
      <c r="QPS87" s="21"/>
      <c r="QPT87" s="21"/>
      <c r="QPU87" s="21"/>
      <c r="QPV87" s="21"/>
      <c r="QPW87" s="21"/>
      <c r="QPX87" s="21"/>
      <c r="QPY87" s="21"/>
      <c r="QPZ87" s="21"/>
      <c r="QQA87" s="21"/>
      <c r="QQB87" s="21"/>
      <c r="QQC87" s="21"/>
      <c r="QQD87" s="21"/>
      <c r="QQE87" s="21"/>
      <c r="QQF87" s="21"/>
      <c r="QQG87" s="21"/>
      <c r="QQH87" s="21"/>
      <c r="QQI87" s="21"/>
      <c r="QQJ87" s="21"/>
      <c r="QQK87" s="21"/>
      <c r="QQL87" s="21"/>
      <c r="QQM87" s="21"/>
      <c r="QQN87" s="21"/>
      <c r="QQO87" s="21"/>
      <c r="QQP87" s="21"/>
      <c r="QQQ87" s="21"/>
      <c r="QQR87" s="21"/>
      <c r="QQS87" s="21"/>
      <c r="QQT87" s="21"/>
      <c r="QQU87" s="21"/>
      <c r="QQV87" s="21"/>
      <c r="QQW87" s="21"/>
      <c r="QQX87" s="21"/>
      <c r="QQY87" s="21"/>
      <c r="QQZ87" s="21"/>
      <c r="QRA87" s="21"/>
      <c r="QRB87" s="21"/>
      <c r="QRC87" s="21"/>
      <c r="QRD87" s="21"/>
      <c r="QRE87" s="21"/>
      <c r="QRF87" s="21"/>
      <c r="QRG87" s="21"/>
      <c r="QRH87" s="21"/>
      <c r="QRI87" s="21"/>
      <c r="QRJ87" s="21"/>
      <c r="QRK87" s="21"/>
      <c r="QRL87" s="21"/>
      <c r="QRM87" s="21"/>
      <c r="QRN87" s="21"/>
      <c r="QRO87" s="21"/>
      <c r="QRP87" s="21"/>
      <c r="QRQ87" s="21"/>
      <c r="QRR87" s="21"/>
      <c r="QRS87" s="21"/>
      <c r="QRT87" s="21"/>
      <c r="QRU87" s="21"/>
      <c r="QRV87" s="21"/>
      <c r="QRW87" s="21"/>
      <c r="QRX87" s="21"/>
      <c r="QRY87" s="21"/>
      <c r="QRZ87" s="21"/>
      <c r="QSA87" s="21"/>
      <c r="QSB87" s="21"/>
      <c r="QSC87" s="21"/>
      <c r="QSD87" s="21"/>
      <c r="QSE87" s="21"/>
      <c r="QSF87" s="21"/>
      <c r="QSG87" s="21"/>
      <c r="QSH87" s="21"/>
      <c r="QSI87" s="21"/>
      <c r="QSJ87" s="21"/>
      <c r="QSK87" s="21"/>
      <c r="QSL87" s="21"/>
      <c r="QSM87" s="21"/>
      <c r="QSN87" s="21"/>
      <c r="QSO87" s="21"/>
      <c r="QSP87" s="21"/>
      <c r="QSQ87" s="21"/>
      <c r="QSR87" s="21"/>
      <c r="QSS87" s="21"/>
      <c r="QST87" s="21"/>
      <c r="QSU87" s="21"/>
      <c r="QSV87" s="21"/>
      <c r="QSW87" s="21"/>
      <c r="QSX87" s="21"/>
      <c r="QSY87" s="21"/>
      <c r="QSZ87" s="21"/>
      <c r="QTA87" s="21"/>
      <c r="QTB87" s="21"/>
      <c r="QTC87" s="21"/>
      <c r="QTD87" s="21"/>
      <c r="QTE87" s="21"/>
      <c r="QTF87" s="21"/>
      <c r="QTG87" s="21"/>
      <c r="QTH87" s="21"/>
      <c r="QTI87" s="21"/>
      <c r="QTJ87" s="21"/>
      <c r="QTK87" s="21"/>
      <c r="QTL87" s="21"/>
      <c r="QTM87" s="21"/>
      <c r="QTN87" s="21"/>
      <c r="QTO87" s="21"/>
      <c r="QTP87" s="21"/>
      <c r="QTQ87" s="21"/>
      <c r="QTR87" s="21"/>
      <c r="QTS87" s="21"/>
      <c r="QTT87" s="21"/>
      <c r="QTU87" s="21"/>
      <c r="QTV87" s="21"/>
      <c r="QTW87" s="21"/>
      <c r="QTX87" s="21"/>
      <c r="QTY87" s="21"/>
      <c r="QTZ87" s="21"/>
      <c r="QUA87" s="21"/>
      <c r="QUB87" s="21"/>
      <c r="QUC87" s="21"/>
      <c r="QUD87" s="21"/>
      <c r="QUE87" s="21"/>
      <c r="QUF87" s="21"/>
      <c r="QUG87" s="21"/>
      <c r="QUH87" s="21"/>
      <c r="QUI87" s="21"/>
      <c r="QUJ87" s="21"/>
      <c r="QUK87" s="21"/>
      <c r="QUL87" s="21"/>
      <c r="QUM87" s="21"/>
      <c r="QUN87" s="21"/>
      <c r="QUO87" s="21"/>
      <c r="QUP87" s="21"/>
      <c r="QUQ87" s="21"/>
      <c r="QUR87" s="21"/>
      <c r="QUS87" s="21"/>
      <c r="QUT87" s="21"/>
      <c r="QUU87" s="21"/>
      <c r="QUV87" s="21"/>
      <c r="QUW87" s="21"/>
      <c r="QUX87" s="21"/>
      <c r="QUY87" s="21"/>
      <c r="QUZ87" s="21"/>
      <c r="QVA87" s="21"/>
      <c r="QVB87" s="21"/>
      <c r="QVC87" s="21"/>
      <c r="QVD87" s="21"/>
      <c r="QVE87" s="21"/>
      <c r="QVF87" s="21"/>
      <c r="QVG87" s="21"/>
      <c r="QVH87" s="21"/>
      <c r="QVI87" s="21"/>
      <c r="QVJ87" s="21"/>
      <c r="QVK87" s="21"/>
      <c r="QVL87" s="21"/>
      <c r="QVM87" s="21"/>
      <c r="QVN87" s="21"/>
      <c r="QVO87" s="21"/>
      <c r="QVP87" s="21"/>
      <c r="QVQ87" s="21"/>
      <c r="QVR87" s="21"/>
      <c r="QVS87" s="21"/>
      <c r="QVT87" s="21"/>
      <c r="QVU87" s="21"/>
      <c r="QVV87" s="21"/>
      <c r="QVW87" s="21"/>
      <c r="QVX87" s="21"/>
      <c r="QVY87" s="21"/>
      <c r="QVZ87" s="21"/>
      <c r="QWA87" s="21"/>
      <c r="QWB87" s="21"/>
      <c r="QWC87" s="21"/>
      <c r="QWD87" s="21"/>
      <c r="QWE87" s="21"/>
      <c r="QWF87" s="21"/>
      <c r="QWG87" s="21"/>
      <c r="QWH87" s="21"/>
      <c r="QWI87" s="21"/>
      <c r="QWJ87" s="21"/>
      <c r="QWK87" s="21"/>
      <c r="QWL87" s="21"/>
      <c r="QWM87" s="21"/>
      <c r="QWN87" s="21"/>
      <c r="QWO87" s="21"/>
      <c r="QWP87" s="21"/>
      <c r="QWQ87" s="21"/>
      <c r="QWR87" s="21"/>
      <c r="QWS87" s="21"/>
      <c r="QWT87" s="21"/>
      <c r="QWU87" s="21"/>
      <c r="QWV87" s="21"/>
      <c r="QWW87" s="21"/>
      <c r="QWX87" s="21"/>
      <c r="QWY87" s="21"/>
      <c r="QWZ87" s="21"/>
      <c r="QXA87" s="21"/>
      <c r="QXB87" s="21"/>
      <c r="QXC87" s="21"/>
      <c r="QXD87" s="21"/>
      <c r="QXE87" s="21"/>
      <c r="QXF87" s="21"/>
      <c r="QXG87" s="21"/>
      <c r="QXH87" s="21"/>
      <c r="QXI87" s="21"/>
      <c r="QXJ87" s="21"/>
      <c r="QXK87" s="21"/>
      <c r="QXL87" s="21"/>
      <c r="QXM87" s="21"/>
      <c r="QXN87" s="21"/>
      <c r="QXO87" s="21"/>
      <c r="QXP87" s="21"/>
      <c r="QXQ87" s="21"/>
      <c r="QXR87" s="21"/>
      <c r="QXS87" s="21"/>
      <c r="QXT87" s="21"/>
      <c r="QXU87" s="21"/>
      <c r="QXV87" s="21"/>
      <c r="QXW87" s="21"/>
      <c r="QXX87" s="21"/>
      <c r="QXY87" s="21"/>
      <c r="QXZ87" s="21"/>
      <c r="QYA87" s="21"/>
      <c r="QYB87" s="21"/>
      <c r="QYC87" s="21"/>
      <c r="QYD87" s="21"/>
      <c r="QYE87" s="21"/>
      <c r="QYF87" s="21"/>
      <c r="QYG87" s="21"/>
      <c r="QYH87" s="21"/>
      <c r="QYI87" s="21"/>
      <c r="QYJ87" s="21"/>
      <c r="QYK87" s="21"/>
      <c r="QYL87" s="21"/>
      <c r="QYM87" s="21"/>
      <c r="QYN87" s="21"/>
      <c r="QYO87" s="21"/>
      <c r="QYP87" s="21"/>
      <c r="QYQ87" s="21"/>
      <c r="QYR87" s="21"/>
      <c r="QYS87" s="21"/>
      <c r="QYT87" s="21"/>
      <c r="QYU87" s="21"/>
      <c r="QYV87" s="21"/>
      <c r="QYW87" s="21"/>
      <c r="QYX87" s="21"/>
      <c r="QYY87" s="21"/>
      <c r="QYZ87" s="21"/>
      <c r="QZA87" s="21"/>
      <c r="QZB87" s="21"/>
      <c r="QZC87" s="21"/>
      <c r="QZD87" s="21"/>
      <c r="QZE87" s="21"/>
      <c r="QZF87" s="21"/>
      <c r="QZG87" s="21"/>
      <c r="QZH87" s="21"/>
      <c r="QZI87" s="21"/>
      <c r="QZJ87" s="21"/>
      <c r="QZK87" s="21"/>
      <c r="QZL87" s="21"/>
      <c r="QZM87" s="21"/>
      <c r="QZN87" s="21"/>
      <c r="QZO87" s="21"/>
      <c r="QZP87" s="21"/>
      <c r="QZQ87" s="21"/>
      <c r="QZR87" s="21"/>
      <c r="QZS87" s="21"/>
      <c r="QZT87" s="21"/>
      <c r="QZU87" s="21"/>
      <c r="QZV87" s="21"/>
      <c r="QZW87" s="21"/>
      <c r="QZX87" s="21"/>
      <c r="QZY87" s="21"/>
      <c r="QZZ87" s="21"/>
      <c r="RAA87" s="21"/>
      <c r="RAB87" s="21"/>
      <c r="RAC87" s="21"/>
      <c r="RAD87" s="21"/>
      <c r="RAE87" s="21"/>
      <c r="RAF87" s="21"/>
      <c r="RAG87" s="21"/>
      <c r="RAH87" s="21"/>
      <c r="RAI87" s="21"/>
      <c r="RAJ87" s="21"/>
      <c r="RAK87" s="21"/>
      <c r="RAL87" s="21"/>
      <c r="RAM87" s="21"/>
      <c r="RAN87" s="21"/>
      <c r="RAO87" s="21"/>
      <c r="RAP87" s="21"/>
      <c r="RAQ87" s="21"/>
      <c r="RAR87" s="21"/>
      <c r="RAS87" s="21"/>
      <c r="RAT87" s="21"/>
      <c r="RAU87" s="21"/>
      <c r="RAV87" s="21"/>
      <c r="RAW87" s="21"/>
      <c r="RAX87" s="21"/>
      <c r="RAY87" s="21"/>
      <c r="RAZ87" s="21"/>
      <c r="RBA87" s="21"/>
      <c r="RBB87" s="21"/>
      <c r="RBC87" s="21"/>
      <c r="RBD87" s="21"/>
      <c r="RBE87" s="21"/>
      <c r="RBF87" s="21"/>
      <c r="RBG87" s="21"/>
      <c r="RBH87" s="21"/>
      <c r="RBI87" s="21"/>
      <c r="RBJ87" s="21"/>
      <c r="RBK87" s="21"/>
      <c r="RBL87" s="21"/>
      <c r="RBM87" s="21"/>
      <c r="RBN87" s="21"/>
      <c r="RBO87" s="21"/>
      <c r="RBP87" s="21"/>
      <c r="RBQ87" s="21"/>
      <c r="RBR87" s="21"/>
      <c r="RBS87" s="21"/>
      <c r="RBT87" s="21"/>
      <c r="RBU87" s="21"/>
      <c r="RBV87" s="21"/>
      <c r="RBW87" s="21"/>
      <c r="RBX87" s="21"/>
      <c r="RBY87" s="21"/>
      <c r="RBZ87" s="21"/>
      <c r="RCA87" s="21"/>
      <c r="RCB87" s="21"/>
      <c r="RCC87" s="21"/>
      <c r="RCD87" s="21"/>
      <c r="RCE87" s="21"/>
      <c r="RCF87" s="21"/>
      <c r="RCG87" s="21"/>
      <c r="RCH87" s="21"/>
      <c r="RCI87" s="21"/>
      <c r="RCJ87" s="21"/>
      <c r="RCK87" s="21"/>
      <c r="RCL87" s="21"/>
      <c r="RCM87" s="21"/>
      <c r="RCN87" s="21"/>
      <c r="RCO87" s="21"/>
      <c r="RCP87" s="21"/>
      <c r="RCQ87" s="21"/>
      <c r="RCR87" s="21"/>
      <c r="RCS87" s="21"/>
      <c r="RCT87" s="21"/>
      <c r="RCU87" s="21"/>
      <c r="RCV87" s="21"/>
      <c r="RCW87" s="21"/>
      <c r="RCX87" s="21"/>
      <c r="RCY87" s="21"/>
      <c r="RCZ87" s="21"/>
      <c r="RDA87" s="21"/>
      <c r="RDB87" s="21"/>
      <c r="RDC87" s="21"/>
      <c r="RDD87" s="21"/>
      <c r="RDE87" s="21"/>
      <c r="RDF87" s="21"/>
      <c r="RDG87" s="21"/>
      <c r="RDH87" s="21"/>
      <c r="RDI87" s="21"/>
      <c r="RDJ87" s="21"/>
      <c r="RDK87" s="21"/>
      <c r="RDL87" s="21"/>
      <c r="RDM87" s="21"/>
      <c r="RDN87" s="21"/>
      <c r="RDO87" s="21"/>
      <c r="RDP87" s="21"/>
      <c r="RDQ87" s="21"/>
      <c r="RDR87" s="21"/>
      <c r="RDS87" s="21"/>
      <c r="RDT87" s="21"/>
      <c r="RDU87" s="21"/>
      <c r="RDV87" s="21"/>
      <c r="RDW87" s="21"/>
      <c r="RDX87" s="21"/>
      <c r="RDY87" s="21"/>
      <c r="RDZ87" s="21"/>
      <c r="REA87" s="21"/>
      <c r="REB87" s="21"/>
      <c r="REC87" s="21"/>
      <c r="RED87" s="21"/>
      <c r="REE87" s="21"/>
      <c r="REF87" s="21"/>
      <c r="REG87" s="21"/>
      <c r="REH87" s="21"/>
      <c r="REI87" s="21"/>
      <c r="REJ87" s="21"/>
      <c r="REK87" s="21"/>
      <c r="REL87" s="21"/>
      <c r="REM87" s="21"/>
      <c r="REN87" s="21"/>
      <c r="REO87" s="21"/>
      <c r="REP87" s="21"/>
      <c r="REQ87" s="21"/>
      <c r="RER87" s="21"/>
      <c r="RES87" s="21"/>
      <c r="RET87" s="21"/>
      <c r="REU87" s="21"/>
      <c r="REV87" s="21"/>
      <c r="REW87" s="21"/>
      <c r="REX87" s="21"/>
      <c r="REY87" s="21"/>
      <c r="REZ87" s="21"/>
      <c r="RFA87" s="21"/>
      <c r="RFB87" s="21"/>
      <c r="RFC87" s="21"/>
      <c r="RFD87" s="21"/>
      <c r="RFE87" s="21"/>
      <c r="RFF87" s="21"/>
      <c r="RFG87" s="21"/>
      <c r="RFH87" s="21"/>
      <c r="RFI87" s="21"/>
      <c r="RFJ87" s="21"/>
      <c r="RFK87" s="21"/>
      <c r="RFL87" s="21"/>
      <c r="RFM87" s="21"/>
      <c r="RFN87" s="21"/>
      <c r="RFO87" s="21"/>
      <c r="RFP87" s="21"/>
      <c r="RFQ87" s="21"/>
      <c r="RFR87" s="21"/>
      <c r="RFS87" s="21"/>
      <c r="RFT87" s="21"/>
      <c r="RFU87" s="21"/>
      <c r="RFV87" s="21"/>
      <c r="RFW87" s="21"/>
      <c r="RFX87" s="21"/>
      <c r="RFY87" s="21"/>
      <c r="RFZ87" s="21"/>
      <c r="RGA87" s="21"/>
      <c r="RGB87" s="21"/>
      <c r="RGC87" s="21"/>
      <c r="RGD87" s="21"/>
      <c r="RGE87" s="21"/>
      <c r="RGF87" s="21"/>
      <c r="RGG87" s="21"/>
      <c r="RGH87" s="21"/>
      <c r="RGI87" s="21"/>
      <c r="RGJ87" s="21"/>
      <c r="RGK87" s="21"/>
      <c r="RGL87" s="21"/>
      <c r="RGM87" s="21"/>
      <c r="RGN87" s="21"/>
      <c r="RGO87" s="21"/>
      <c r="RGP87" s="21"/>
      <c r="RGQ87" s="21"/>
      <c r="RGR87" s="21"/>
      <c r="RGS87" s="21"/>
      <c r="RGT87" s="21"/>
      <c r="RGU87" s="21"/>
      <c r="RGV87" s="21"/>
      <c r="RGW87" s="21"/>
      <c r="RGX87" s="21"/>
      <c r="RGY87" s="21"/>
      <c r="RGZ87" s="21"/>
      <c r="RHA87" s="21"/>
      <c r="RHB87" s="21"/>
      <c r="RHC87" s="21"/>
      <c r="RHD87" s="21"/>
      <c r="RHE87" s="21"/>
      <c r="RHF87" s="21"/>
      <c r="RHG87" s="21"/>
      <c r="RHH87" s="21"/>
      <c r="RHI87" s="21"/>
      <c r="RHJ87" s="21"/>
      <c r="RHK87" s="21"/>
      <c r="RHL87" s="21"/>
      <c r="RHM87" s="21"/>
      <c r="RHN87" s="21"/>
      <c r="RHO87" s="21"/>
      <c r="RHP87" s="21"/>
      <c r="RHQ87" s="21"/>
      <c r="RHR87" s="21"/>
      <c r="RHS87" s="21"/>
      <c r="RHT87" s="21"/>
      <c r="RHU87" s="21"/>
      <c r="RHV87" s="21"/>
      <c r="RHW87" s="21"/>
      <c r="RHX87" s="21"/>
      <c r="RHY87" s="21"/>
      <c r="RHZ87" s="21"/>
      <c r="RIA87" s="21"/>
      <c r="RIB87" s="21"/>
      <c r="RIC87" s="21"/>
      <c r="RID87" s="21"/>
      <c r="RIE87" s="21"/>
      <c r="RIF87" s="21"/>
      <c r="RIG87" s="21"/>
      <c r="RIH87" s="21"/>
      <c r="RII87" s="21"/>
      <c r="RIJ87" s="21"/>
      <c r="RIK87" s="21"/>
      <c r="RIL87" s="21"/>
      <c r="RIM87" s="21"/>
      <c r="RIN87" s="21"/>
      <c r="RIO87" s="21"/>
      <c r="RIP87" s="21"/>
      <c r="RIQ87" s="21"/>
      <c r="RIR87" s="21"/>
      <c r="RIS87" s="21"/>
      <c r="RIT87" s="21"/>
      <c r="RIU87" s="21"/>
      <c r="RIV87" s="21"/>
      <c r="RIW87" s="21"/>
      <c r="RIX87" s="21"/>
      <c r="RIY87" s="21"/>
      <c r="RIZ87" s="21"/>
      <c r="RJA87" s="21"/>
      <c r="RJB87" s="21"/>
      <c r="RJC87" s="21"/>
      <c r="RJD87" s="21"/>
      <c r="RJE87" s="21"/>
      <c r="RJF87" s="21"/>
      <c r="RJG87" s="21"/>
      <c r="RJH87" s="21"/>
      <c r="RJI87" s="21"/>
      <c r="RJJ87" s="21"/>
      <c r="RJK87" s="21"/>
      <c r="RJL87" s="21"/>
      <c r="RJM87" s="21"/>
      <c r="RJN87" s="21"/>
      <c r="RJO87" s="21"/>
      <c r="RJP87" s="21"/>
      <c r="RJQ87" s="21"/>
      <c r="RJR87" s="21"/>
      <c r="RJS87" s="21"/>
      <c r="RJT87" s="21"/>
      <c r="RJU87" s="21"/>
      <c r="RJV87" s="21"/>
      <c r="RJW87" s="21"/>
      <c r="RJX87" s="21"/>
      <c r="RJY87" s="21"/>
      <c r="RJZ87" s="21"/>
      <c r="RKA87" s="21"/>
      <c r="RKB87" s="21"/>
      <c r="RKC87" s="21"/>
      <c r="RKD87" s="21"/>
      <c r="RKE87" s="21"/>
      <c r="RKF87" s="21"/>
      <c r="RKG87" s="21"/>
      <c r="RKH87" s="21"/>
      <c r="RKI87" s="21"/>
      <c r="RKJ87" s="21"/>
      <c r="RKK87" s="21"/>
      <c r="RKL87" s="21"/>
      <c r="RKM87" s="21"/>
      <c r="RKN87" s="21"/>
      <c r="RKO87" s="21"/>
      <c r="RKP87" s="21"/>
      <c r="RKQ87" s="21"/>
      <c r="RKR87" s="21"/>
      <c r="RKS87" s="21"/>
      <c r="RKT87" s="21"/>
      <c r="RKU87" s="21"/>
      <c r="RKV87" s="21"/>
      <c r="RKW87" s="21"/>
      <c r="RKX87" s="21"/>
      <c r="RKY87" s="21"/>
      <c r="RKZ87" s="21"/>
      <c r="RLA87" s="21"/>
      <c r="RLB87" s="21"/>
      <c r="RLC87" s="21"/>
      <c r="RLD87" s="21"/>
      <c r="RLE87" s="21"/>
      <c r="RLF87" s="21"/>
      <c r="RLG87" s="21"/>
      <c r="RLH87" s="21"/>
      <c r="RLI87" s="21"/>
      <c r="RLJ87" s="21"/>
      <c r="RLK87" s="21"/>
      <c r="RLL87" s="21"/>
      <c r="RLM87" s="21"/>
      <c r="RLN87" s="21"/>
      <c r="RLO87" s="21"/>
      <c r="RLP87" s="21"/>
      <c r="RLQ87" s="21"/>
      <c r="RLR87" s="21"/>
      <c r="RLS87" s="21"/>
      <c r="RLT87" s="21"/>
      <c r="RLU87" s="21"/>
      <c r="RLV87" s="21"/>
      <c r="RLW87" s="21"/>
      <c r="RLX87" s="21"/>
      <c r="RLY87" s="21"/>
      <c r="RLZ87" s="21"/>
      <c r="RMA87" s="21"/>
      <c r="RMB87" s="21"/>
      <c r="RMC87" s="21"/>
      <c r="RMD87" s="21"/>
      <c r="RME87" s="21"/>
      <c r="RMF87" s="21"/>
      <c r="RMG87" s="21"/>
      <c r="RMH87" s="21"/>
      <c r="RMI87" s="21"/>
      <c r="RMJ87" s="21"/>
      <c r="RMK87" s="21"/>
      <c r="RML87" s="21"/>
      <c r="RMM87" s="21"/>
      <c r="RMN87" s="21"/>
      <c r="RMO87" s="21"/>
      <c r="RMP87" s="21"/>
      <c r="RMQ87" s="21"/>
      <c r="RMR87" s="21"/>
      <c r="RMS87" s="21"/>
      <c r="RMT87" s="21"/>
      <c r="RMU87" s="21"/>
      <c r="RMV87" s="21"/>
      <c r="RMW87" s="21"/>
      <c r="RMX87" s="21"/>
      <c r="RMY87" s="21"/>
      <c r="RMZ87" s="21"/>
      <c r="RNA87" s="21"/>
      <c r="RNB87" s="21"/>
      <c r="RNC87" s="21"/>
      <c r="RND87" s="21"/>
      <c r="RNE87" s="21"/>
      <c r="RNF87" s="21"/>
      <c r="RNG87" s="21"/>
      <c r="RNH87" s="21"/>
      <c r="RNI87" s="21"/>
      <c r="RNJ87" s="21"/>
      <c r="RNK87" s="21"/>
      <c r="RNL87" s="21"/>
      <c r="RNM87" s="21"/>
      <c r="RNN87" s="21"/>
      <c r="RNO87" s="21"/>
      <c r="RNP87" s="21"/>
      <c r="RNQ87" s="21"/>
      <c r="RNR87" s="21"/>
      <c r="RNS87" s="21"/>
      <c r="RNT87" s="21"/>
      <c r="RNU87" s="21"/>
      <c r="RNV87" s="21"/>
      <c r="RNW87" s="21"/>
      <c r="RNX87" s="21"/>
      <c r="RNY87" s="21"/>
      <c r="RNZ87" s="21"/>
      <c r="ROA87" s="21"/>
      <c r="ROB87" s="21"/>
      <c r="ROC87" s="21"/>
      <c r="ROD87" s="21"/>
      <c r="ROE87" s="21"/>
      <c r="ROF87" s="21"/>
      <c r="ROG87" s="21"/>
      <c r="ROH87" s="21"/>
      <c r="ROI87" s="21"/>
      <c r="ROJ87" s="21"/>
      <c r="ROK87" s="21"/>
      <c r="ROL87" s="21"/>
      <c r="ROM87" s="21"/>
      <c r="RON87" s="21"/>
      <c r="ROO87" s="21"/>
      <c r="ROP87" s="21"/>
      <c r="ROQ87" s="21"/>
      <c r="ROR87" s="21"/>
      <c r="ROS87" s="21"/>
      <c r="ROT87" s="21"/>
      <c r="ROU87" s="21"/>
      <c r="ROV87" s="21"/>
      <c r="ROW87" s="21"/>
      <c r="ROX87" s="21"/>
      <c r="ROY87" s="21"/>
      <c r="ROZ87" s="21"/>
      <c r="RPA87" s="21"/>
      <c r="RPB87" s="21"/>
      <c r="RPC87" s="21"/>
      <c r="RPD87" s="21"/>
      <c r="RPE87" s="21"/>
      <c r="RPF87" s="21"/>
      <c r="RPG87" s="21"/>
      <c r="RPH87" s="21"/>
      <c r="RPI87" s="21"/>
      <c r="RPJ87" s="21"/>
      <c r="RPK87" s="21"/>
      <c r="RPL87" s="21"/>
      <c r="RPM87" s="21"/>
      <c r="RPN87" s="21"/>
      <c r="RPO87" s="21"/>
      <c r="RPP87" s="21"/>
      <c r="RPQ87" s="21"/>
      <c r="RPR87" s="21"/>
      <c r="RPS87" s="21"/>
      <c r="RPT87" s="21"/>
      <c r="RPU87" s="21"/>
      <c r="RPV87" s="21"/>
      <c r="RPW87" s="21"/>
      <c r="RPX87" s="21"/>
      <c r="RPY87" s="21"/>
      <c r="RPZ87" s="21"/>
      <c r="RQA87" s="21"/>
      <c r="RQB87" s="21"/>
      <c r="RQC87" s="21"/>
      <c r="RQD87" s="21"/>
      <c r="RQE87" s="21"/>
      <c r="RQF87" s="21"/>
      <c r="RQG87" s="21"/>
      <c r="RQH87" s="21"/>
      <c r="RQI87" s="21"/>
      <c r="RQJ87" s="21"/>
      <c r="RQK87" s="21"/>
      <c r="RQL87" s="21"/>
      <c r="RQM87" s="21"/>
      <c r="RQN87" s="21"/>
      <c r="RQO87" s="21"/>
      <c r="RQP87" s="21"/>
      <c r="RQQ87" s="21"/>
      <c r="RQR87" s="21"/>
      <c r="RQS87" s="21"/>
      <c r="RQT87" s="21"/>
      <c r="RQU87" s="21"/>
      <c r="RQV87" s="21"/>
      <c r="RQW87" s="21"/>
      <c r="RQX87" s="21"/>
      <c r="RQY87" s="21"/>
      <c r="RQZ87" s="21"/>
      <c r="RRA87" s="21"/>
      <c r="RRB87" s="21"/>
      <c r="RRC87" s="21"/>
      <c r="RRD87" s="21"/>
      <c r="RRE87" s="21"/>
      <c r="RRF87" s="21"/>
      <c r="RRG87" s="21"/>
      <c r="RRH87" s="21"/>
      <c r="RRI87" s="21"/>
      <c r="RRJ87" s="21"/>
      <c r="RRK87" s="21"/>
      <c r="RRL87" s="21"/>
      <c r="RRM87" s="21"/>
      <c r="RRN87" s="21"/>
      <c r="RRO87" s="21"/>
      <c r="RRP87" s="21"/>
      <c r="RRQ87" s="21"/>
      <c r="RRR87" s="21"/>
      <c r="RRS87" s="21"/>
      <c r="RRT87" s="21"/>
      <c r="RRU87" s="21"/>
      <c r="RRV87" s="21"/>
      <c r="RRW87" s="21"/>
      <c r="RRX87" s="21"/>
      <c r="RRY87" s="21"/>
      <c r="RRZ87" s="21"/>
      <c r="RSA87" s="21"/>
      <c r="RSB87" s="21"/>
      <c r="RSC87" s="21"/>
      <c r="RSD87" s="21"/>
      <c r="RSE87" s="21"/>
      <c r="RSF87" s="21"/>
      <c r="RSG87" s="21"/>
      <c r="RSH87" s="21"/>
      <c r="RSI87" s="21"/>
      <c r="RSJ87" s="21"/>
      <c r="RSK87" s="21"/>
      <c r="RSL87" s="21"/>
      <c r="RSM87" s="21"/>
      <c r="RSN87" s="21"/>
      <c r="RSO87" s="21"/>
      <c r="RSP87" s="21"/>
      <c r="RSQ87" s="21"/>
      <c r="RSR87" s="21"/>
      <c r="RSS87" s="21"/>
      <c r="RST87" s="21"/>
      <c r="RSU87" s="21"/>
      <c r="RSV87" s="21"/>
      <c r="RSW87" s="21"/>
      <c r="RSX87" s="21"/>
      <c r="RSY87" s="21"/>
      <c r="RSZ87" s="21"/>
      <c r="RTA87" s="21"/>
      <c r="RTB87" s="21"/>
      <c r="RTC87" s="21"/>
      <c r="RTD87" s="21"/>
      <c r="RTE87" s="21"/>
      <c r="RTF87" s="21"/>
      <c r="RTG87" s="21"/>
      <c r="RTH87" s="21"/>
      <c r="RTI87" s="21"/>
      <c r="RTJ87" s="21"/>
      <c r="RTK87" s="21"/>
      <c r="RTL87" s="21"/>
      <c r="RTM87" s="21"/>
      <c r="RTN87" s="21"/>
      <c r="RTO87" s="21"/>
      <c r="RTP87" s="21"/>
      <c r="RTQ87" s="21"/>
      <c r="RTR87" s="21"/>
      <c r="RTS87" s="21"/>
      <c r="RTT87" s="21"/>
      <c r="RTU87" s="21"/>
      <c r="RTV87" s="21"/>
      <c r="RTW87" s="21"/>
      <c r="RTX87" s="21"/>
      <c r="RTY87" s="21"/>
      <c r="RTZ87" s="21"/>
      <c r="RUA87" s="21"/>
      <c r="RUB87" s="21"/>
      <c r="RUC87" s="21"/>
      <c r="RUD87" s="21"/>
      <c r="RUE87" s="21"/>
      <c r="RUF87" s="21"/>
      <c r="RUG87" s="21"/>
      <c r="RUH87" s="21"/>
      <c r="RUI87" s="21"/>
      <c r="RUJ87" s="21"/>
      <c r="RUK87" s="21"/>
      <c r="RUL87" s="21"/>
      <c r="RUM87" s="21"/>
      <c r="RUN87" s="21"/>
      <c r="RUO87" s="21"/>
      <c r="RUP87" s="21"/>
      <c r="RUQ87" s="21"/>
      <c r="RUR87" s="21"/>
      <c r="RUS87" s="21"/>
      <c r="RUT87" s="21"/>
      <c r="RUU87" s="21"/>
      <c r="RUV87" s="21"/>
      <c r="RUW87" s="21"/>
      <c r="RUX87" s="21"/>
      <c r="RUY87" s="21"/>
      <c r="RUZ87" s="21"/>
      <c r="RVA87" s="21"/>
      <c r="RVB87" s="21"/>
      <c r="RVC87" s="21"/>
      <c r="RVD87" s="21"/>
      <c r="RVE87" s="21"/>
      <c r="RVF87" s="21"/>
      <c r="RVG87" s="21"/>
      <c r="RVH87" s="21"/>
      <c r="RVI87" s="21"/>
      <c r="RVJ87" s="21"/>
      <c r="RVK87" s="21"/>
      <c r="RVL87" s="21"/>
      <c r="RVM87" s="21"/>
      <c r="RVN87" s="21"/>
      <c r="RVO87" s="21"/>
      <c r="RVP87" s="21"/>
      <c r="RVQ87" s="21"/>
      <c r="RVR87" s="21"/>
      <c r="RVS87" s="21"/>
      <c r="RVT87" s="21"/>
      <c r="RVU87" s="21"/>
      <c r="RVV87" s="21"/>
      <c r="RVW87" s="21"/>
      <c r="RVX87" s="21"/>
      <c r="RVY87" s="21"/>
      <c r="RVZ87" s="21"/>
      <c r="RWA87" s="21"/>
      <c r="RWB87" s="21"/>
      <c r="RWC87" s="21"/>
      <c r="RWD87" s="21"/>
      <c r="RWE87" s="21"/>
      <c r="RWF87" s="21"/>
      <c r="RWG87" s="21"/>
      <c r="RWH87" s="21"/>
      <c r="RWI87" s="21"/>
      <c r="RWJ87" s="21"/>
      <c r="RWK87" s="21"/>
      <c r="RWL87" s="21"/>
      <c r="RWM87" s="21"/>
      <c r="RWN87" s="21"/>
      <c r="RWO87" s="21"/>
      <c r="RWP87" s="21"/>
      <c r="RWQ87" s="21"/>
      <c r="RWR87" s="21"/>
      <c r="RWS87" s="21"/>
      <c r="RWT87" s="21"/>
      <c r="RWU87" s="21"/>
      <c r="RWV87" s="21"/>
      <c r="RWW87" s="21"/>
      <c r="RWX87" s="21"/>
      <c r="RWY87" s="21"/>
      <c r="RWZ87" s="21"/>
      <c r="RXA87" s="21"/>
      <c r="RXB87" s="21"/>
      <c r="RXC87" s="21"/>
      <c r="RXD87" s="21"/>
      <c r="RXE87" s="21"/>
      <c r="RXF87" s="21"/>
      <c r="RXG87" s="21"/>
      <c r="RXH87" s="21"/>
      <c r="RXI87" s="21"/>
      <c r="RXJ87" s="21"/>
      <c r="RXK87" s="21"/>
      <c r="RXL87" s="21"/>
      <c r="RXM87" s="21"/>
      <c r="RXN87" s="21"/>
      <c r="RXO87" s="21"/>
      <c r="RXP87" s="21"/>
      <c r="RXQ87" s="21"/>
      <c r="RXR87" s="21"/>
      <c r="RXS87" s="21"/>
      <c r="RXT87" s="21"/>
      <c r="RXU87" s="21"/>
      <c r="RXV87" s="21"/>
      <c r="RXW87" s="21"/>
      <c r="RXX87" s="21"/>
      <c r="RXY87" s="21"/>
      <c r="RXZ87" s="21"/>
      <c r="RYA87" s="21"/>
      <c r="RYB87" s="21"/>
      <c r="RYC87" s="21"/>
      <c r="RYD87" s="21"/>
      <c r="RYE87" s="21"/>
      <c r="RYF87" s="21"/>
      <c r="RYG87" s="21"/>
      <c r="RYH87" s="21"/>
      <c r="RYI87" s="21"/>
      <c r="RYJ87" s="21"/>
      <c r="RYK87" s="21"/>
      <c r="RYL87" s="21"/>
      <c r="RYM87" s="21"/>
      <c r="RYN87" s="21"/>
      <c r="RYO87" s="21"/>
      <c r="RYP87" s="21"/>
      <c r="RYQ87" s="21"/>
      <c r="RYR87" s="21"/>
      <c r="RYS87" s="21"/>
      <c r="RYT87" s="21"/>
      <c r="RYU87" s="21"/>
      <c r="RYV87" s="21"/>
      <c r="RYW87" s="21"/>
      <c r="RYX87" s="21"/>
      <c r="RYY87" s="21"/>
      <c r="RYZ87" s="21"/>
      <c r="RZA87" s="21"/>
      <c r="RZB87" s="21"/>
      <c r="RZC87" s="21"/>
      <c r="RZD87" s="21"/>
      <c r="RZE87" s="21"/>
      <c r="RZF87" s="21"/>
      <c r="RZG87" s="21"/>
      <c r="RZH87" s="21"/>
      <c r="RZI87" s="21"/>
      <c r="RZJ87" s="21"/>
      <c r="RZK87" s="21"/>
      <c r="RZL87" s="21"/>
      <c r="RZM87" s="21"/>
      <c r="RZN87" s="21"/>
      <c r="RZO87" s="21"/>
      <c r="RZP87" s="21"/>
      <c r="RZQ87" s="21"/>
      <c r="RZR87" s="21"/>
      <c r="RZS87" s="21"/>
      <c r="RZT87" s="21"/>
      <c r="RZU87" s="21"/>
      <c r="RZV87" s="21"/>
      <c r="RZW87" s="21"/>
      <c r="RZX87" s="21"/>
      <c r="RZY87" s="21"/>
      <c r="RZZ87" s="21"/>
      <c r="SAA87" s="21"/>
      <c r="SAB87" s="21"/>
      <c r="SAC87" s="21"/>
      <c r="SAD87" s="21"/>
      <c r="SAE87" s="21"/>
      <c r="SAF87" s="21"/>
      <c r="SAG87" s="21"/>
      <c r="SAH87" s="21"/>
      <c r="SAI87" s="21"/>
      <c r="SAJ87" s="21"/>
      <c r="SAK87" s="21"/>
      <c r="SAL87" s="21"/>
      <c r="SAM87" s="21"/>
      <c r="SAN87" s="21"/>
      <c r="SAO87" s="21"/>
      <c r="SAP87" s="21"/>
      <c r="SAQ87" s="21"/>
      <c r="SAR87" s="21"/>
      <c r="SAS87" s="21"/>
      <c r="SAT87" s="21"/>
      <c r="SAU87" s="21"/>
      <c r="SAV87" s="21"/>
      <c r="SAW87" s="21"/>
      <c r="SAX87" s="21"/>
      <c r="SAY87" s="21"/>
      <c r="SAZ87" s="21"/>
      <c r="SBA87" s="21"/>
      <c r="SBB87" s="21"/>
      <c r="SBC87" s="21"/>
      <c r="SBD87" s="21"/>
      <c r="SBE87" s="21"/>
      <c r="SBF87" s="21"/>
      <c r="SBG87" s="21"/>
      <c r="SBH87" s="21"/>
      <c r="SBI87" s="21"/>
      <c r="SBJ87" s="21"/>
      <c r="SBK87" s="21"/>
      <c r="SBL87" s="21"/>
      <c r="SBM87" s="21"/>
      <c r="SBN87" s="21"/>
      <c r="SBO87" s="21"/>
      <c r="SBP87" s="21"/>
      <c r="SBQ87" s="21"/>
      <c r="SBR87" s="21"/>
      <c r="SBS87" s="21"/>
      <c r="SBT87" s="21"/>
      <c r="SBU87" s="21"/>
      <c r="SBV87" s="21"/>
      <c r="SBW87" s="21"/>
      <c r="SBX87" s="21"/>
      <c r="SBY87" s="21"/>
      <c r="SBZ87" s="21"/>
      <c r="SCA87" s="21"/>
      <c r="SCB87" s="21"/>
      <c r="SCC87" s="21"/>
      <c r="SCD87" s="21"/>
      <c r="SCE87" s="21"/>
      <c r="SCF87" s="21"/>
      <c r="SCG87" s="21"/>
      <c r="SCH87" s="21"/>
      <c r="SCI87" s="21"/>
      <c r="SCJ87" s="21"/>
      <c r="SCK87" s="21"/>
      <c r="SCL87" s="21"/>
      <c r="SCM87" s="21"/>
      <c r="SCN87" s="21"/>
      <c r="SCO87" s="21"/>
      <c r="SCP87" s="21"/>
      <c r="SCQ87" s="21"/>
      <c r="SCR87" s="21"/>
      <c r="SCS87" s="21"/>
      <c r="SCT87" s="21"/>
      <c r="SCU87" s="21"/>
      <c r="SCV87" s="21"/>
      <c r="SCW87" s="21"/>
      <c r="SCX87" s="21"/>
      <c r="SCY87" s="21"/>
      <c r="SCZ87" s="21"/>
      <c r="SDA87" s="21"/>
      <c r="SDB87" s="21"/>
      <c r="SDC87" s="21"/>
      <c r="SDD87" s="21"/>
      <c r="SDE87" s="21"/>
      <c r="SDF87" s="21"/>
      <c r="SDG87" s="21"/>
      <c r="SDH87" s="21"/>
      <c r="SDI87" s="21"/>
      <c r="SDJ87" s="21"/>
      <c r="SDK87" s="21"/>
      <c r="SDL87" s="21"/>
      <c r="SDM87" s="21"/>
      <c r="SDN87" s="21"/>
      <c r="SDO87" s="21"/>
      <c r="SDP87" s="21"/>
      <c r="SDQ87" s="21"/>
      <c r="SDR87" s="21"/>
      <c r="SDS87" s="21"/>
      <c r="SDT87" s="21"/>
      <c r="SDU87" s="21"/>
      <c r="SDV87" s="21"/>
      <c r="SDW87" s="21"/>
      <c r="SDX87" s="21"/>
      <c r="SDY87" s="21"/>
      <c r="SDZ87" s="21"/>
      <c r="SEA87" s="21"/>
      <c r="SEB87" s="21"/>
      <c r="SEC87" s="21"/>
      <c r="SED87" s="21"/>
      <c r="SEE87" s="21"/>
      <c r="SEF87" s="21"/>
      <c r="SEG87" s="21"/>
      <c r="SEH87" s="21"/>
      <c r="SEI87" s="21"/>
      <c r="SEJ87" s="21"/>
      <c r="SEK87" s="21"/>
      <c r="SEL87" s="21"/>
      <c r="SEM87" s="21"/>
      <c r="SEN87" s="21"/>
      <c r="SEO87" s="21"/>
      <c r="SEP87" s="21"/>
      <c r="SEQ87" s="21"/>
      <c r="SER87" s="21"/>
      <c r="SES87" s="21"/>
      <c r="SET87" s="21"/>
      <c r="SEU87" s="21"/>
      <c r="SEV87" s="21"/>
      <c r="SEW87" s="21"/>
      <c r="SEX87" s="21"/>
      <c r="SEY87" s="21"/>
      <c r="SEZ87" s="21"/>
      <c r="SFA87" s="21"/>
      <c r="SFB87" s="21"/>
      <c r="SFC87" s="21"/>
      <c r="SFD87" s="21"/>
      <c r="SFE87" s="21"/>
      <c r="SFF87" s="21"/>
      <c r="SFG87" s="21"/>
      <c r="SFH87" s="21"/>
      <c r="SFI87" s="21"/>
      <c r="SFJ87" s="21"/>
      <c r="SFK87" s="21"/>
      <c r="SFL87" s="21"/>
      <c r="SFM87" s="21"/>
      <c r="SFN87" s="21"/>
      <c r="SFO87" s="21"/>
      <c r="SFP87" s="21"/>
      <c r="SFQ87" s="21"/>
      <c r="SFR87" s="21"/>
      <c r="SFS87" s="21"/>
      <c r="SFT87" s="21"/>
      <c r="SFU87" s="21"/>
      <c r="SFV87" s="21"/>
      <c r="SFW87" s="21"/>
      <c r="SFX87" s="21"/>
      <c r="SFY87" s="21"/>
      <c r="SFZ87" s="21"/>
      <c r="SGA87" s="21"/>
      <c r="SGB87" s="21"/>
      <c r="SGC87" s="21"/>
      <c r="SGD87" s="21"/>
      <c r="SGE87" s="21"/>
      <c r="SGF87" s="21"/>
      <c r="SGG87" s="21"/>
      <c r="SGH87" s="21"/>
      <c r="SGI87" s="21"/>
      <c r="SGJ87" s="21"/>
      <c r="SGK87" s="21"/>
      <c r="SGL87" s="21"/>
      <c r="SGM87" s="21"/>
      <c r="SGN87" s="21"/>
      <c r="SGO87" s="21"/>
      <c r="SGP87" s="21"/>
      <c r="SGQ87" s="21"/>
      <c r="SGR87" s="21"/>
      <c r="SGS87" s="21"/>
      <c r="SGT87" s="21"/>
      <c r="SGU87" s="21"/>
      <c r="SGV87" s="21"/>
      <c r="SGW87" s="21"/>
      <c r="SGX87" s="21"/>
      <c r="SGY87" s="21"/>
      <c r="SGZ87" s="21"/>
      <c r="SHA87" s="21"/>
      <c r="SHB87" s="21"/>
      <c r="SHC87" s="21"/>
      <c r="SHD87" s="21"/>
      <c r="SHE87" s="21"/>
      <c r="SHF87" s="21"/>
      <c r="SHG87" s="21"/>
      <c r="SHH87" s="21"/>
      <c r="SHI87" s="21"/>
      <c r="SHJ87" s="21"/>
      <c r="SHK87" s="21"/>
      <c r="SHL87" s="21"/>
      <c r="SHM87" s="21"/>
      <c r="SHN87" s="21"/>
      <c r="SHO87" s="21"/>
      <c r="SHP87" s="21"/>
      <c r="SHQ87" s="21"/>
      <c r="SHR87" s="21"/>
      <c r="SHS87" s="21"/>
      <c r="SHT87" s="21"/>
      <c r="SHU87" s="21"/>
      <c r="SHV87" s="21"/>
      <c r="SHW87" s="21"/>
      <c r="SHX87" s="21"/>
      <c r="SHY87" s="21"/>
      <c r="SHZ87" s="21"/>
      <c r="SIA87" s="21"/>
      <c r="SIB87" s="21"/>
      <c r="SIC87" s="21"/>
      <c r="SID87" s="21"/>
      <c r="SIE87" s="21"/>
      <c r="SIF87" s="21"/>
      <c r="SIG87" s="21"/>
      <c r="SIH87" s="21"/>
      <c r="SII87" s="21"/>
      <c r="SIJ87" s="21"/>
      <c r="SIK87" s="21"/>
      <c r="SIL87" s="21"/>
      <c r="SIM87" s="21"/>
      <c r="SIN87" s="21"/>
      <c r="SIO87" s="21"/>
      <c r="SIP87" s="21"/>
      <c r="SIQ87" s="21"/>
      <c r="SIR87" s="21"/>
      <c r="SIS87" s="21"/>
      <c r="SIT87" s="21"/>
      <c r="SIU87" s="21"/>
      <c r="SIV87" s="21"/>
      <c r="SIW87" s="21"/>
      <c r="SIX87" s="21"/>
      <c r="SIY87" s="21"/>
      <c r="SIZ87" s="21"/>
      <c r="SJA87" s="21"/>
      <c r="SJB87" s="21"/>
      <c r="SJC87" s="21"/>
      <c r="SJD87" s="21"/>
      <c r="SJE87" s="21"/>
      <c r="SJF87" s="21"/>
      <c r="SJG87" s="21"/>
      <c r="SJH87" s="21"/>
      <c r="SJI87" s="21"/>
      <c r="SJJ87" s="21"/>
      <c r="SJK87" s="21"/>
      <c r="SJL87" s="21"/>
      <c r="SJM87" s="21"/>
      <c r="SJN87" s="21"/>
      <c r="SJO87" s="21"/>
      <c r="SJP87" s="21"/>
      <c r="SJQ87" s="21"/>
      <c r="SJR87" s="21"/>
      <c r="SJS87" s="21"/>
      <c r="SJT87" s="21"/>
      <c r="SJU87" s="21"/>
      <c r="SJV87" s="21"/>
      <c r="SJW87" s="21"/>
      <c r="SJX87" s="21"/>
      <c r="SJY87" s="21"/>
      <c r="SJZ87" s="21"/>
      <c r="SKA87" s="21"/>
      <c r="SKB87" s="21"/>
      <c r="SKC87" s="21"/>
      <c r="SKD87" s="21"/>
      <c r="SKE87" s="21"/>
      <c r="SKF87" s="21"/>
      <c r="SKG87" s="21"/>
      <c r="SKH87" s="21"/>
      <c r="SKI87" s="21"/>
      <c r="SKJ87" s="21"/>
      <c r="SKK87" s="21"/>
      <c r="SKL87" s="21"/>
      <c r="SKM87" s="21"/>
      <c r="SKN87" s="21"/>
      <c r="SKO87" s="21"/>
      <c r="SKP87" s="21"/>
      <c r="SKQ87" s="21"/>
      <c r="SKR87" s="21"/>
      <c r="SKS87" s="21"/>
      <c r="SKT87" s="21"/>
      <c r="SKU87" s="21"/>
      <c r="SKV87" s="21"/>
      <c r="SKW87" s="21"/>
      <c r="SKX87" s="21"/>
      <c r="SKY87" s="21"/>
      <c r="SKZ87" s="21"/>
      <c r="SLA87" s="21"/>
      <c r="SLB87" s="21"/>
      <c r="SLC87" s="21"/>
      <c r="SLD87" s="21"/>
      <c r="SLE87" s="21"/>
      <c r="SLF87" s="21"/>
      <c r="SLG87" s="21"/>
      <c r="SLH87" s="21"/>
      <c r="SLI87" s="21"/>
      <c r="SLJ87" s="21"/>
      <c r="SLK87" s="21"/>
      <c r="SLL87" s="21"/>
      <c r="SLM87" s="21"/>
      <c r="SLN87" s="21"/>
      <c r="SLO87" s="21"/>
      <c r="SLP87" s="21"/>
      <c r="SLQ87" s="21"/>
      <c r="SLR87" s="21"/>
      <c r="SLS87" s="21"/>
      <c r="SLT87" s="21"/>
      <c r="SLU87" s="21"/>
      <c r="SLV87" s="21"/>
      <c r="SLW87" s="21"/>
      <c r="SLX87" s="21"/>
      <c r="SLY87" s="21"/>
      <c r="SLZ87" s="21"/>
      <c r="SMA87" s="21"/>
      <c r="SMB87" s="21"/>
      <c r="SMC87" s="21"/>
      <c r="SMD87" s="21"/>
      <c r="SME87" s="21"/>
      <c r="SMF87" s="21"/>
      <c r="SMG87" s="21"/>
      <c r="SMH87" s="21"/>
      <c r="SMI87" s="21"/>
      <c r="SMJ87" s="21"/>
      <c r="SMK87" s="21"/>
      <c r="SML87" s="21"/>
      <c r="SMM87" s="21"/>
      <c r="SMN87" s="21"/>
      <c r="SMO87" s="21"/>
      <c r="SMP87" s="21"/>
      <c r="SMQ87" s="21"/>
      <c r="SMR87" s="21"/>
      <c r="SMS87" s="21"/>
      <c r="SMT87" s="21"/>
      <c r="SMU87" s="21"/>
      <c r="SMV87" s="21"/>
      <c r="SMW87" s="21"/>
      <c r="SMX87" s="21"/>
      <c r="SMY87" s="21"/>
      <c r="SMZ87" s="21"/>
      <c r="SNA87" s="21"/>
      <c r="SNB87" s="21"/>
      <c r="SNC87" s="21"/>
      <c r="SND87" s="21"/>
      <c r="SNE87" s="21"/>
      <c r="SNF87" s="21"/>
      <c r="SNG87" s="21"/>
      <c r="SNH87" s="21"/>
      <c r="SNI87" s="21"/>
      <c r="SNJ87" s="21"/>
      <c r="SNK87" s="21"/>
      <c r="SNL87" s="21"/>
      <c r="SNM87" s="21"/>
      <c r="SNN87" s="21"/>
      <c r="SNO87" s="21"/>
      <c r="SNP87" s="21"/>
      <c r="SNQ87" s="21"/>
      <c r="SNR87" s="21"/>
      <c r="SNS87" s="21"/>
      <c r="SNT87" s="21"/>
      <c r="SNU87" s="21"/>
      <c r="SNV87" s="21"/>
      <c r="SNW87" s="21"/>
      <c r="SNX87" s="21"/>
      <c r="SNY87" s="21"/>
      <c r="SNZ87" s="21"/>
      <c r="SOA87" s="21"/>
      <c r="SOB87" s="21"/>
      <c r="SOC87" s="21"/>
      <c r="SOD87" s="21"/>
      <c r="SOE87" s="21"/>
      <c r="SOF87" s="21"/>
      <c r="SOG87" s="21"/>
      <c r="SOH87" s="21"/>
      <c r="SOI87" s="21"/>
      <c r="SOJ87" s="21"/>
      <c r="SOK87" s="21"/>
      <c r="SOL87" s="21"/>
      <c r="SOM87" s="21"/>
      <c r="SON87" s="21"/>
      <c r="SOO87" s="21"/>
      <c r="SOP87" s="21"/>
      <c r="SOQ87" s="21"/>
      <c r="SOR87" s="21"/>
      <c r="SOS87" s="21"/>
      <c r="SOT87" s="21"/>
      <c r="SOU87" s="21"/>
      <c r="SOV87" s="21"/>
      <c r="SOW87" s="21"/>
      <c r="SOX87" s="21"/>
      <c r="SOY87" s="21"/>
      <c r="SOZ87" s="21"/>
      <c r="SPA87" s="21"/>
      <c r="SPB87" s="21"/>
      <c r="SPC87" s="21"/>
      <c r="SPD87" s="21"/>
      <c r="SPE87" s="21"/>
      <c r="SPF87" s="21"/>
      <c r="SPG87" s="21"/>
      <c r="SPH87" s="21"/>
      <c r="SPI87" s="21"/>
      <c r="SPJ87" s="21"/>
      <c r="SPK87" s="21"/>
      <c r="SPL87" s="21"/>
      <c r="SPM87" s="21"/>
      <c r="SPN87" s="21"/>
      <c r="SPO87" s="21"/>
      <c r="SPP87" s="21"/>
      <c r="SPQ87" s="21"/>
      <c r="SPR87" s="21"/>
      <c r="SPS87" s="21"/>
      <c r="SPT87" s="21"/>
      <c r="SPU87" s="21"/>
      <c r="SPV87" s="21"/>
      <c r="SPW87" s="21"/>
      <c r="SPX87" s="21"/>
      <c r="SPY87" s="21"/>
      <c r="SPZ87" s="21"/>
      <c r="SQA87" s="21"/>
      <c r="SQB87" s="21"/>
      <c r="SQC87" s="21"/>
      <c r="SQD87" s="21"/>
      <c r="SQE87" s="21"/>
      <c r="SQF87" s="21"/>
      <c r="SQG87" s="21"/>
      <c r="SQH87" s="21"/>
      <c r="SQI87" s="21"/>
      <c r="SQJ87" s="21"/>
      <c r="SQK87" s="21"/>
      <c r="SQL87" s="21"/>
      <c r="SQM87" s="21"/>
      <c r="SQN87" s="21"/>
      <c r="SQO87" s="21"/>
      <c r="SQP87" s="21"/>
      <c r="SQQ87" s="21"/>
      <c r="SQR87" s="21"/>
      <c r="SQS87" s="21"/>
      <c r="SQT87" s="21"/>
      <c r="SQU87" s="21"/>
      <c r="SQV87" s="21"/>
      <c r="SQW87" s="21"/>
      <c r="SQX87" s="21"/>
      <c r="SQY87" s="21"/>
      <c r="SQZ87" s="21"/>
      <c r="SRA87" s="21"/>
      <c r="SRB87" s="21"/>
      <c r="SRC87" s="21"/>
      <c r="SRD87" s="21"/>
      <c r="SRE87" s="21"/>
      <c r="SRF87" s="21"/>
      <c r="SRG87" s="21"/>
      <c r="SRH87" s="21"/>
      <c r="SRI87" s="21"/>
      <c r="SRJ87" s="21"/>
      <c r="SRK87" s="21"/>
      <c r="SRL87" s="21"/>
      <c r="SRM87" s="21"/>
      <c r="SRN87" s="21"/>
      <c r="SRO87" s="21"/>
      <c r="SRP87" s="21"/>
      <c r="SRQ87" s="21"/>
      <c r="SRR87" s="21"/>
      <c r="SRS87" s="21"/>
      <c r="SRT87" s="21"/>
      <c r="SRU87" s="21"/>
      <c r="SRV87" s="21"/>
      <c r="SRW87" s="21"/>
      <c r="SRX87" s="21"/>
      <c r="SRY87" s="21"/>
      <c r="SRZ87" s="21"/>
      <c r="SSA87" s="21"/>
      <c r="SSB87" s="21"/>
      <c r="SSC87" s="21"/>
      <c r="SSD87" s="21"/>
      <c r="SSE87" s="21"/>
      <c r="SSF87" s="21"/>
      <c r="SSG87" s="21"/>
      <c r="SSH87" s="21"/>
      <c r="SSI87" s="21"/>
      <c r="SSJ87" s="21"/>
      <c r="SSK87" s="21"/>
      <c r="SSL87" s="21"/>
      <c r="SSM87" s="21"/>
      <c r="SSN87" s="21"/>
      <c r="SSO87" s="21"/>
      <c r="SSP87" s="21"/>
      <c r="SSQ87" s="21"/>
      <c r="SSR87" s="21"/>
      <c r="SSS87" s="21"/>
      <c r="SST87" s="21"/>
      <c r="SSU87" s="21"/>
      <c r="SSV87" s="21"/>
      <c r="SSW87" s="21"/>
      <c r="SSX87" s="21"/>
      <c r="SSY87" s="21"/>
      <c r="SSZ87" s="21"/>
      <c r="STA87" s="21"/>
      <c r="STB87" s="21"/>
      <c r="STC87" s="21"/>
      <c r="STD87" s="21"/>
      <c r="STE87" s="21"/>
      <c r="STF87" s="21"/>
      <c r="STG87" s="21"/>
      <c r="STH87" s="21"/>
      <c r="STI87" s="21"/>
      <c r="STJ87" s="21"/>
      <c r="STK87" s="21"/>
      <c r="STL87" s="21"/>
      <c r="STM87" s="21"/>
      <c r="STN87" s="21"/>
      <c r="STO87" s="21"/>
      <c r="STP87" s="21"/>
      <c r="STQ87" s="21"/>
      <c r="STR87" s="21"/>
      <c r="STS87" s="21"/>
      <c r="STT87" s="21"/>
      <c r="STU87" s="21"/>
      <c r="STV87" s="21"/>
      <c r="STW87" s="21"/>
      <c r="STX87" s="21"/>
      <c r="STY87" s="21"/>
      <c r="STZ87" s="21"/>
      <c r="SUA87" s="21"/>
      <c r="SUB87" s="21"/>
      <c r="SUC87" s="21"/>
      <c r="SUD87" s="21"/>
      <c r="SUE87" s="21"/>
      <c r="SUF87" s="21"/>
      <c r="SUG87" s="21"/>
      <c r="SUH87" s="21"/>
      <c r="SUI87" s="21"/>
      <c r="SUJ87" s="21"/>
      <c r="SUK87" s="21"/>
      <c r="SUL87" s="21"/>
      <c r="SUM87" s="21"/>
      <c r="SUN87" s="21"/>
      <c r="SUO87" s="21"/>
      <c r="SUP87" s="21"/>
      <c r="SUQ87" s="21"/>
      <c r="SUR87" s="21"/>
      <c r="SUS87" s="21"/>
      <c r="SUT87" s="21"/>
      <c r="SUU87" s="21"/>
      <c r="SUV87" s="21"/>
      <c r="SUW87" s="21"/>
      <c r="SUX87" s="21"/>
      <c r="SUY87" s="21"/>
      <c r="SUZ87" s="21"/>
      <c r="SVA87" s="21"/>
      <c r="SVB87" s="21"/>
      <c r="SVC87" s="21"/>
      <c r="SVD87" s="21"/>
      <c r="SVE87" s="21"/>
      <c r="SVF87" s="21"/>
      <c r="SVG87" s="21"/>
      <c r="SVH87" s="21"/>
      <c r="SVI87" s="21"/>
      <c r="SVJ87" s="21"/>
      <c r="SVK87" s="21"/>
      <c r="SVL87" s="21"/>
      <c r="SVM87" s="21"/>
      <c r="SVN87" s="21"/>
      <c r="SVO87" s="21"/>
      <c r="SVP87" s="21"/>
      <c r="SVQ87" s="21"/>
      <c r="SVR87" s="21"/>
      <c r="SVS87" s="21"/>
      <c r="SVT87" s="21"/>
      <c r="SVU87" s="21"/>
      <c r="SVV87" s="21"/>
      <c r="SVW87" s="21"/>
      <c r="SVX87" s="21"/>
      <c r="SVY87" s="21"/>
      <c r="SVZ87" s="21"/>
      <c r="SWA87" s="21"/>
      <c r="SWB87" s="21"/>
      <c r="SWC87" s="21"/>
      <c r="SWD87" s="21"/>
      <c r="SWE87" s="21"/>
      <c r="SWF87" s="21"/>
      <c r="SWG87" s="21"/>
      <c r="SWH87" s="21"/>
      <c r="SWI87" s="21"/>
      <c r="SWJ87" s="21"/>
      <c r="SWK87" s="21"/>
      <c r="SWL87" s="21"/>
      <c r="SWM87" s="21"/>
      <c r="SWN87" s="21"/>
      <c r="SWO87" s="21"/>
      <c r="SWP87" s="21"/>
      <c r="SWQ87" s="21"/>
      <c r="SWR87" s="21"/>
      <c r="SWS87" s="21"/>
      <c r="SWT87" s="21"/>
      <c r="SWU87" s="21"/>
      <c r="SWV87" s="21"/>
      <c r="SWW87" s="21"/>
      <c r="SWX87" s="21"/>
      <c r="SWY87" s="21"/>
      <c r="SWZ87" s="21"/>
      <c r="SXA87" s="21"/>
      <c r="SXB87" s="21"/>
      <c r="SXC87" s="21"/>
      <c r="SXD87" s="21"/>
      <c r="SXE87" s="21"/>
      <c r="SXF87" s="21"/>
      <c r="SXG87" s="21"/>
      <c r="SXH87" s="21"/>
      <c r="SXI87" s="21"/>
      <c r="SXJ87" s="21"/>
      <c r="SXK87" s="21"/>
      <c r="SXL87" s="21"/>
      <c r="SXM87" s="21"/>
      <c r="SXN87" s="21"/>
      <c r="SXO87" s="21"/>
      <c r="SXP87" s="21"/>
      <c r="SXQ87" s="21"/>
      <c r="SXR87" s="21"/>
      <c r="SXS87" s="21"/>
      <c r="SXT87" s="21"/>
      <c r="SXU87" s="21"/>
      <c r="SXV87" s="21"/>
      <c r="SXW87" s="21"/>
      <c r="SXX87" s="21"/>
      <c r="SXY87" s="21"/>
      <c r="SXZ87" s="21"/>
      <c r="SYA87" s="21"/>
      <c r="SYB87" s="21"/>
      <c r="SYC87" s="21"/>
      <c r="SYD87" s="21"/>
      <c r="SYE87" s="21"/>
      <c r="SYF87" s="21"/>
      <c r="SYG87" s="21"/>
      <c r="SYH87" s="21"/>
      <c r="SYI87" s="21"/>
      <c r="SYJ87" s="21"/>
      <c r="SYK87" s="21"/>
      <c r="SYL87" s="21"/>
      <c r="SYM87" s="21"/>
      <c r="SYN87" s="21"/>
      <c r="SYO87" s="21"/>
      <c r="SYP87" s="21"/>
      <c r="SYQ87" s="21"/>
      <c r="SYR87" s="21"/>
      <c r="SYS87" s="21"/>
      <c r="SYT87" s="21"/>
      <c r="SYU87" s="21"/>
      <c r="SYV87" s="21"/>
      <c r="SYW87" s="21"/>
      <c r="SYX87" s="21"/>
      <c r="SYY87" s="21"/>
      <c r="SYZ87" s="21"/>
      <c r="SZA87" s="21"/>
      <c r="SZB87" s="21"/>
      <c r="SZC87" s="21"/>
      <c r="SZD87" s="21"/>
      <c r="SZE87" s="21"/>
      <c r="SZF87" s="21"/>
      <c r="SZG87" s="21"/>
      <c r="SZH87" s="21"/>
      <c r="SZI87" s="21"/>
      <c r="SZJ87" s="21"/>
      <c r="SZK87" s="21"/>
      <c r="SZL87" s="21"/>
      <c r="SZM87" s="21"/>
      <c r="SZN87" s="21"/>
      <c r="SZO87" s="21"/>
      <c r="SZP87" s="21"/>
      <c r="SZQ87" s="21"/>
      <c r="SZR87" s="21"/>
      <c r="SZS87" s="21"/>
      <c r="SZT87" s="21"/>
      <c r="SZU87" s="21"/>
      <c r="SZV87" s="21"/>
      <c r="SZW87" s="21"/>
      <c r="SZX87" s="21"/>
      <c r="SZY87" s="21"/>
      <c r="SZZ87" s="21"/>
      <c r="TAA87" s="21"/>
      <c r="TAB87" s="21"/>
      <c r="TAC87" s="21"/>
      <c r="TAD87" s="21"/>
      <c r="TAE87" s="21"/>
      <c r="TAF87" s="21"/>
      <c r="TAG87" s="21"/>
      <c r="TAH87" s="21"/>
      <c r="TAI87" s="21"/>
      <c r="TAJ87" s="21"/>
      <c r="TAK87" s="21"/>
      <c r="TAL87" s="21"/>
      <c r="TAM87" s="21"/>
      <c r="TAN87" s="21"/>
      <c r="TAO87" s="21"/>
      <c r="TAP87" s="21"/>
      <c r="TAQ87" s="21"/>
      <c r="TAR87" s="21"/>
      <c r="TAS87" s="21"/>
      <c r="TAT87" s="21"/>
      <c r="TAU87" s="21"/>
      <c r="TAV87" s="21"/>
      <c r="TAW87" s="21"/>
      <c r="TAX87" s="21"/>
      <c r="TAY87" s="21"/>
      <c r="TAZ87" s="21"/>
      <c r="TBA87" s="21"/>
      <c r="TBB87" s="21"/>
      <c r="TBC87" s="21"/>
      <c r="TBD87" s="21"/>
      <c r="TBE87" s="21"/>
      <c r="TBF87" s="21"/>
      <c r="TBG87" s="21"/>
      <c r="TBH87" s="21"/>
      <c r="TBI87" s="21"/>
      <c r="TBJ87" s="21"/>
      <c r="TBK87" s="21"/>
      <c r="TBL87" s="21"/>
      <c r="TBM87" s="21"/>
      <c r="TBN87" s="21"/>
      <c r="TBO87" s="21"/>
      <c r="TBP87" s="21"/>
      <c r="TBQ87" s="21"/>
      <c r="TBR87" s="21"/>
      <c r="TBS87" s="21"/>
      <c r="TBT87" s="21"/>
      <c r="TBU87" s="21"/>
      <c r="TBV87" s="21"/>
      <c r="TBW87" s="21"/>
      <c r="TBX87" s="21"/>
      <c r="TBY87" s="21"/>
      <c r="TBZ87" s="21"/>
      <c r="TCA87" s="21"/>
      <c r="TCB87" s="21"/>
      <c r="TCC87" s="21"/>
      <c r="TCD87" s="21"/>
      <c r="TCE87" s="21"/>
      <c r="TCF87" s="21"/>
      <c r="TCG87" s="21"/>
      <c r="TCH87" s="21"/>
      <c r="TCI87" s="21"/>
      <c r="TCJ87" s="21"/>
      <c r="TCK87" s="21"/>
      <c r="TCL87" s="21"/>
      <c r="TCM87" s="21"/>
      <c r="TCN87" s="21"/>
      <c r="TCO87" s="21"/>
      <c r="TCP87" s="21"/>
      <c r="TCQ87" s="21"/>
      <c r="TCR87" s="21"/>
      <c r="TCS87" s="21"/>
      <c r="TCT87" s="21"/>
      <c r="TCU87" s="21"/>
      <c r="TCV87" s="21"/>
      <c r="TCW87" s="21"/>
      <c r="TCX87" s="21"/>
      <c r="TCY87" s="21"/>
      <c r="TCZ87" s="21"/>
      <c r="TDA87" s="21"/>
      <c r="TDB87" s="21"/>
      <c r="TDC87" s="21"/>
      <c r="TDD87" s="21"/>
      <c r="TDE87" s="21"/>
      <c r="TDF87" s="21"/>
      <c r="TDG87" s="21"/>
      <c r="TDH87" s="21"/>
      <c r="TDI87" s="21"/>
      <c r="TDJ87" s="21"/>
      <c r="TDK87" s="21"/>
      <c r="TDL87" s="21"/>
      <c r="TDM87" s="21"/>
      <c r="TDN87" s="21"/>
      <c r="TDO87" s="21"/>
      <c r="TDP87" s="21"/>
      <c r="TDQ87" s="21"/>
      <c r="TDR87" s="21"/>
      <c r="TDS87" s="21"/>
      <c r="TDT87" s="21"/>
      <c r="TDU87" s="21"/>
      <c r="TDV87" s="21"/>
      <c r="TDW87" s="21"/>
      <c r="TDX87" s="21"/>
      <c r="TDY87" s="21"/>
      <c r="TDZ87" s="21"/>
      <c r="TEA87" s="21"/>
      <c r="TEB87" s="21"/>
      <c r="TEC87" s="21"/>
      <c r="TED87" s="21"/>
      <c r="TEE87" s="21"/>
      <c r="TEF87" s="21"/>
      <c r="TEG87" s="21"/>
      <c r="TEH87" s="21"/>
      <c r="TEI87" s="21"/>
      <c r="TEJ87" s="21"/>
      <c r="TEK87" s="21"/>
      <c r="TEL87" s="21"/>
      <c r="TEM87" s="21"/>
      <c r="TEN87" s="21"/>
      <c r="TEO87" s="21"/>
      <c r="TEP87" s="21"/>
      <c r="TEQ87" s="21"/>
      <c r="TER87" s="21"/>
      <c r="TES87" s="21"/>
      <c r="TET87" s="21"/>
      <c r="TEU87" s="21"/>
      <c r="TEV87" s="21"/>
      <c r="TEW87" s="21"/>
      <c r="TEX87" s="21"/>
      <c r="TEY87" s="21"/>
      <c r="TEZ87" s="21"/>
      <c r="TFA87" s="21"/>
      <c r="TFB87" s="21"/>
      <c r="TFC87" s="21"/>
      <c r="TFD87" s="21"/>
      <c r="TFE87" s="21"/>
      <c r="TFF87" s="21"/>
      <c r="TFG87" s="21"/>
      <c r="TFH87" s="21"/>
      <c r="TFI87" s="21"/>
      <c r="TFJ87" s="21"/>
      <c r="TFK87" s="21"/>
      <c r="TFL87" s="21"/>
      <c r="TFM87" s="21"/>
      <c r="TFN87" s="21"/>
      <c r="TFO87" s="21"/>
      <c r="TFP87" s="21"/>
      <c r="TFQ87" s="21"/>
      <c r="TFR87" s="21"/>
      <c r="TFS87" s="21"/>
      <c r="TFT87" s="21"/>
      <c r="TFU87" s="21"/>
      <c r="TFV87" s="21"/>
      <c r="TFW87" s="21"/>
      <c r="TFX87" s="21"/>
      <c r="TFY87" s="21"/>
      <c r="TFZ87" s="21"/>
      <c r="TGA87" s="21"/>
      <c r="TGB87" s="21"/>
      <c r="TGC87" s="21"/>
      <c r="TGD87" s="21"/>
      <c r="TGE87" s="21"/>
      <c r="TGF87" s="21"/>
      <c r="TGG87" s="21"/>
      <c r="TGH87" s="21"/>
      <c r="TGI87" s="21"/>
      <c r="TGJ87" s="21"/>
      <c r="TGK87" s="21"/>
      <c r="TGL87" s="21"/>
      <c r="TGM87" s="21"/>
      <c r="TGN87" s="21"/>
      <c r="TGO87" s="21"/>
      <c r="TGP87" s="21"/>
      <c r="TGQ87" s="21"/>
      <c r="TGR87" s="21"/>
      <c r="TGS87" s="21"/>
      <c r="TGT87" s="21"/>
      <c r="TGU87" s="21"/>
      <c r="TGV87" s="21"/>
      <c r="TGW87" s="21"/>
      <c r="TGX87" s="21"/>
      <c r="TGY87" s="21"/>
      <c r="TGZ87" s="21"/>
      <c r="THA87" s="21"/>
      <c r="THB87" s="21"/>
      <c r="THC87" s="21"/>
      <c r="THD87" s="21"/>
      <c r="THE87" s="21"/>
      <c r="THF87" s="21"/>
      <c r="THG87" s="21"/>
      <c r="THH87" s="21"/>
      <c r="THI87" s="21"/>
      <c r="THJ87" s="21"/>
      <c r="THK87" s="21"/>
      <c r="THL87" s="21"/>
      <c r="THM87" s="21"/>
      <c r="THN87" s="21"/>
      <c r="THO87" s="21"/>
      <c r="THP87" s="21"/>
      <c r="THQ87" s="21"/>
      <c r="THR87" s="21"/>
      <c r="THS87" s="21"/>
      <c r="THT87" s="21"/>
      <c r="THU87" s="21"/>
      <c r="THV87" s="21"/>
      <c r="THW87" s="21"/>
      <c r="THX87" s="21"/>
      <c r="THY87" s="21"/>
      <c r="THZ87" s="21"/>
      <c r="TIA87" s="21"/>
      <c r="TIB87" s="21"/>
      <c r="TIC87" s="21"/>
      <c r="TID87" s="21"/>
      <c r="TIE87" s="21"/>
      <c r="TIF87" s="21"/>
      <c r="TIG87" s="21"/>
      <c r="TIH87" s="21"/>
      <c r="TII87" s="21"/>
      <c r="TIJ87" s="21"/>
      <c r="TIK87" s="21"/>
      <c r="TIL87" s="21"/>
      <c r="TIM87" s="21"/>
      <c r="TIN87" s="21"/>
      <c r="TIO87" s="21"/>
      <c r="TIP87" s="21"/>
      <c r="TIQ87" s="21"/>
      <c r="TIR87" s="21"/>
      <c r="TIS87" s="21"/>
      <c r="TIT87" s="21"/>
      <c r="TIU87" s="21"/>
      <c r="TIV87" s="21"/>
      <c r="TIW87" s="21"/>
      <c r="TIX87" s="21"/>
      <c r="TIY87" s="21"/>
      <c r="TIZ87" s="21"/>
      <c r="TJA87" s="21"/>
      <c r="TJB87" s="21"/>
      <c r="TJC87" s="21"/>
      <c r="TJD87" s="21"/>
      <c r="TJE87" s="21"/>
      <c r="TJF87" s="21"/>
      <c r="TJG87" s="21"/>
      <c r="TJH87" s="21"/>
      <c r="TJI87" s="21"/>
      <c r="TJJ87" s="21"/>
      <c r="TJK87" s="21"/>
      <c r="TJL87" s="21"/>
      <c r="TJM87" s="21"/>
      <c r="TJN87" s="21"/>
      <c r="TJO87" s="21"/>
      <c r="TJP87" s="21"/>
      <c r="TJQ87" s="21"/>
      <c r="TJR87" s="21"/>
      <c r="TJS87" s="21"/>
      <c r="TJT87" s="21"/>
      <c r="TJU87" s="21"/>
      <c r="TJV87" s="21"/>
      <c r="TJW87" s="21"/>
      <c r="TJX87" s="21"/>
      <c r="TJY87" s="21"/>
      <c r="TJZ87" s="21"/>
      <c r="TKA87" s="21"/>
      <c r="TKB87" s="21"/>
      <c r="TKC87" s="21"/>
      <c r="TKD87" s="21"/>
      <c r="TKE87" s="21"/>
      <c r="TKF87" s="21"/>
      <c r="TKG87" s="21"/>
      <c r="TKH87" s="21"/>
      <c r="TKI87" s="21"/>
      <c r="TKJ87" s="21"/>
      <c r="TKK87" s="21"/>
      <c r="TKL87" s="21"/>
      <c r="TKM87" s="21"/>
      <c r="TKN87" s="21"/>
      <c r="TKO87" s="21"/>
      <c r="TKP87" s="21"/>
      <c r="TKQ87" s="21"/>
      <c r="TKR87" s="21"/>
      <c r="TKS87" s="21"/>
      <c r="TKT87" s="21"/>
      <c r="TKU87" s="21"/>
      <c r="TKV87" s="21"/>
      <c r="TKW87" s="21"/>
      <c r="TKX87" s="21"/>
      <c r="TKY87" s="21"/>
      <c r="TKZ87" s="21"/>
      <c r="TLA87" s="21"/>
      <c r="TLB87" s="21"/>
      <c r="TLC87" s="21"/>
      <c r="TLD87" s="21"/>
      <c r="TLE87" s="21"/>
      <c r="TLF87" s="21"/>
      <c r="TLG87" s="21"/>
      <c r="TLH87" s="21"/>
      <c r="TLI87" s="21"/>
      <c r="TLJ87" s="21"/>
      <c r="TLK87" s="21"/>
      <c r="TLL87" s="21"/>
      <c r="TLM87" s="21"/>
      <c r="TLN87" s="21"/>
      <c r="TLO87" s="21"/>
      <c r="TLP87" s="21"/>
      <c r="TLQ87" s="21"/>
      <c r="TLR87" s="21"/>
      <c r="TLS87" s="21"/>
      <c r="TLT87" s="21"/>
      <c r="TLU87" s="21"/>
      <c r="TLV87" s="21"/>
      <c r="TLW87" s="21"/>
      <c r="TLX87" s="21"/>
      <c r="TLY87" s="21"/>
      <c r="TLZ87" s="21"/>
      <c r="TMA87" s="21"/>
      <c r="TMB87" s="21"/>
      <c r="TMC87" s="21"/>
      <c r="TMD87" s="21"/>
      <c r="TME87" s="21"/>
      <c r="TMF87" s="21"/>
      <c r="TMG87" s="21"/>
      <c r="TMH87" s="21"/>
      <c r="TMI87" s="21"/>
      <c r="TMJ87" s="21"/>
      <c r="TMK87" s="21"/>
      <c r="TML87" s="21"/>
      <c r="TMM87" s="21"/>
      <c r="TMN87" s="21"/>
      <c r="TMO87" s="21"/>
      <c r="TMP87" s="21"/>
      <c r="TMQ87" s="21"/>
      <c r="TMR87" s="21"/>
      <c r="TMS87" s="21"/>
      <c r="TMT87" s="21"/>
      <c r="TMU87" s="21"/>
      <c r="TMV87" s="21"/>
      <c r="TMW87" s="21"/>
      <c r="TMX87" s="21"/>
      <c r="TMY87" s="21"/>
      <c r="TMZ87" s="21"/>
      <c r="TNA87" s="21"/>
      <c r="TNB87" s="21"/>
      <c r="TNC87" s="21"/>
      <c r="TND87" s="21"/>
      <c r="TNE87" s="21"/>
      <c r="TNF87" s="21"/>
      <c r="TNG87" s="21"/>
      <c r="TNH87" s="21"/>
      <c r="TNI87" s="21"/>
      <c r="TNJ87" s="21"/>
      <c r="TNK87" s="21"/>
      <c r="TNL87" s="21"/>
      <c r="TNM87" s="21"/>
      <c r="TNN87" s="21"/>
      <c r="TNO87" s="21"/>
      <c r="TNP87" s="21"/>
      <c r="TNQ87" s="21"/>
      <c r="TNR87" s="21"/>
      <c r="TNS87" s="21"/>
      <c r="TNT87" s="21"/>
      <c r="TNU87" s="21"/>
      <c r="TNV87" s="21"/>
      <c r="TNW87" s="21"/>
      <c r="TNX87" s="21"/>
      <c r="TNY87" s="21"/>
      <c r="TNZ87" s="21"/>
      <c r="TOA87" s="21"/>
      <c r="TOB87" s="21"/>
      <c r="TOC87" s="21"/>
      <c r="TOD87" s="21"/>
      <c r="TOE87" s="21"/>
      <c r="TOF87" s="21"/>
      <c r="TOG87" s="21"/>
      <c r="TOH87" s="21"/>
      <c r="TOI87" s="21"/>
      <c r="TOJ87" s="21"/>
      <c r="TOK87" s="21"/>
      <c r="TOL87" s="21"/>
      <c r="TOM87" s="21"/>
      <c r="TON87" s="21"/>
      <c r="TOO87" s="21"/>
      <c r="TOP87" s="21"/>
      <c r="TOQ87" s="21"/>
      <c r="TOR87" s="21"/>
      <c r="TOS87" s="21"/>
      <c r="TOT87" s="21"/>
      <c r="TOU87" s="21"/>
      <c r="TOV87" s="21"/>
      <c r="TOW87" s="21"/>
      <c r="TOX87" s="21"/>
      <c r="TOY87" s="21"/>
      <c r="TOZ87" s="21"/>
      <c r="TPA87" s="21"/>
      <c r="TPB87" s="21"/>
      <c r="TPC87" s="21"/>
      <c r="TPD87" s="21"/>
      <c r="TPE87" s="21"/>
      <c r="TPF87" s="21"/>
      <c r="TPG87" s="21"/>
      <c r="TPH87" s="21"/>
      <c r="TPI87" s="21"/>
      <c r="TPJ87" s="21"/>
      <c r="TPK87" s="21"/>
      <c r="TPL87" s="21"/>
      <c r="TPM87" s="21"/>
      <c r="TPN87" s="21"/>
      <c r="TPO87" s="21"/>
      <c r="TPP87" s="21"/>
      <c r="TPQ87" s="21"/>
      <c r="TPR87" s="21"/>
      <c r="TPS87" s="21"/>
      <c r="TPT87" s="21"/>
      <c r="TPU87" s="21"/>
      <c r="TPV87" s="21"/>
      <c r="TPW87" s="21"/>
      <c r="TPX87" s="21"/>
      <c r="TPY87" s="21"/>
      <c r="TPZ87" s="21"/>
      <c r="TQA87" s="21"/>
      <c r="TQB87" s="21"/>
      <c r="TQC87" s="21"/>
      <c r="TQD87" s="21"/>
      <c r="TQE87" s="21"/>
      <c r="TQF87" s="21"/>
      <c r="TQG87" s="21"/>
      <c r="TQH87" s="21"/>
      <c r="TQI87" s="21"/>
      <c r="TQJ87" s="21"/>
      <c r="TQK87" s="21"/>
      <c r="TQL87" s="21"/>
      <c r="TQM87" s="21"/>
      <c r="TQN87" s="21"/>
      <c r="TQO87" s="21"/>
      <c r="TQP87" s="21"/>
      <c r="TQQ87" s="21"/>
      <c r="TQR87" s="21"/>
      <c r="TQS87" s="21"/>
      <c r="TQT87" s="21"/>
      <c r="TQU87" s="21"/>
      <c r="TQV87" s="21"/>
      <c r="TQW87" s="21"/>
      <c r="TQX87" s="21"/>
      <c r="TQY87" s="21"/>
      <c r="TQZ87" s="21"/>
      <c r="TRA87" s="21"/>
      <c r="TRB87" s="21"/>
      <c r="TRC87" s="21"/>
      <c r="TRD87" s="21"/>
      <c r="TRE87" s="21"/>
      <c r="TRF87" s="21"/>
      <c r="TRG87" s="21"/>
      <c r="TRH87" s="21"/>
      <c r="TRI87" s="21"/>
      <c r="TRJ87" s="21"/>
      <c r="TRK87" s="21"/>
      <c r="TRL87" s="21"/>
      <c r="TRM87" s="21"/>
      <c r="TRN87" s="21"/>
      <c r="TRO87" s="21"/>
      <c r="TRP87" s="21"/>
      <c r="TRQ87" s="21"/>
      <c r="TRR87" s="21"/>
      <c r="TRS87" s="21"/>
      <c r="TRT87" s="21"/>
      <c r="TRU87" s="21"/>
      <c r="TRV87" s="21"/>
      <c r="TRW87" s="21"/>
      <c r="TRX87" s="21"/>
      <c r="TRY87" s="21"/>
      <c r="TRZ87" s="21"/>
      <c r="TSA87" s="21"/>
      <c r="TSB87" s="21"/>
      <c r="TSC87" s="21"/>
      <c r="TSD87" s="21"/>
      <c r="TSE87" s="21"/>
      <c r="TSF87" s="21"/>
      <c r="TSG87" s="21"/>
      <c r="TSH87" s="21"/>
      <c r="TSI87" s="21"/>
      <c r="TSJ87" s="21"/>
      <c r="TSK87" s="21"/>
      <c r="TSL87" s="21"/>
      <c r="TSM87" s="21"/>
      <c r="TSN87" s="21"/>
      <c r="TSO87" s="21"/>
      <c r="TSP87" s="21"/>
      <c r="TSQ87" s="21"/>
      <c r="TSR87" s="21"/>
      <c r="TSS87" s="21"/>
      <c r="TST87" s="21"/>
      <c r="TSU87" s="21"/>
      <c r="TSV87" s="21"/>
      <c r="TSW87" s="21"/>
      <c r="TSX87" s="21"/>
      <c r="TSY87" s="21"/>
      <c r="TSZ87" s="21"/>
      <c r="TTA87" s="21"/>
      <c r="TTB87" s="21"/>
      <c r="TTC87" s="21"/>
      <c r="TTD87" s="21"/>
      <c r="TTE87" s="21"/>
      <c r="TTF87" s="21"/>
      <c r="TTG87" s="21"/>
      <c r="TTH87" s="21"/>
      <c r="TTI87" s="21"/>
      <c r="TTJ87" s="21"/>
      <c r="TTK87" s="21"/>
      <c r="TTL87" s="21"/>
      <c r="TTM87" s="21"/>
      <c r="TTN87" s="21"/>
      <c r="TTO87" s="21"/>
      <c r="TTP87" s="21"/>
      <c r="TTQ87" s="21"/>
      <c r="TTR87" s="21"/>
      <c r="TTS87" s="21"/>
      <c r="TTT87" s="21"/>
      <c r="TTU87" s="21"/>
      <c r="TTV87" s="21"/>
      <c r="TTW87" s="21"/>
      <c r="TTX87" s="21"/>
      <c r="TTY87" s="21"/>
      <c r="TTZ87" s="21"/>
      <c r="TUA87" s="21"/>
      <c r="TUB87" s="21"/>
      <c r="TUC87" s="21"/>
      <c r="TUD87" s="21"/>
      <c r="TUE87" s="21"/>
      <c r="TUF87" s="21"/>
      <c r="TUG87" s="21"/>
      <c r="TUH87" s="21"/>
      <c r="TUI87" s="21"/>
      <c r="TUJ87" s="21"/>
      <c r="TUK87" s="21"/>
      <c r="TUL87" s="21"/>
      <c r="TUM87" s="21"/>
      <c r="TUN87" s="21"/>
      <c r="TUO87" s="21"/>
      <c r="TUP87" s="21"/>
      <c r="TUQ87" s="21"/>
      <c r="TUR87" s="21"/>
      <c r="TUS87" s="21"/>
      <c r="TUT87" s="21"/>
      <c r="TUU87" s="21"/>
      <c r="TUV87" s="21"/>
      <c r="TUW87" s="21"/>
      <c r="TUX87" s="21"/>
      <c r="TUY87" s="21"/>
      <c r="TUZ87" s="21"/>
      <c r="TVA87" s="21"/>
      <c r="TVB87" s="21"/>
      <c r="TVC87" s="21"/>
      <c r="TVD87" s="21"/>
      <c r="TVE87" s="21"/>
      <c r="TVF87" s="21"/>
      <c r="TVG87" s="21"/>
      <c r="TVH87" s="21"/>
      <c r="TVI87" s="21"/>
      <c r="TVJ87" s="21"/>
      <c r="TVK87" s="21"/>
      <c r="TVL87" s="21"/>
      <c r="TVM87" s="21"/>
      <c r="TVN87" s="21"/>
      <c r="TVO87" s="21"/>
      <c r="TVP87" s="21"/>
      <c r="TVQ87" s="21"/>
      <c r="TVR87" s="21"/>
      <c r="TVS87" s="21"/>
      <c r="TVT87" s="21"/>
      <c r="TVU87" s="21"/>
      <c r="TVV87" s="21"/>
      <c r="TVW87" s="21"/>
      <c r="TVX87" s="21"/>
      <c r="TVY87" s="21"/>
      <c r="TVZ87" s="21"/>
      <c r="TWA87" s="21"/>
      <c r="TWB87" s="21"/>
      <c r="TWC87" s="21"/>
      <c r="TWD87" s="21"/>
      <c r="TWE87" s="21"/>
      <c r="TWF87" s="21"/>
      <c r="TWG87" s="21"/>
      <c r="TWH87" s="21"/>
      <c r="TWI87" s="21"/>
      <c r="TWJ87" s="21"/>
      <c r="TWK87" s="21"/>
      <c r="TWL87" s="21"/>
      <c r="TWM87" s="21"/>
      <c r="TWN87" s="21"/>
      <c r="TWO87" s="21"/>
      <c r="TWP87" s="21"/>
      <c r="TWQ87" s="21"/>
      <c r="TWR87" s="21"/>
      <c r="TWS87" s="21"/>
      <c r="TWT87" s="21"/>
      <c r="TWU87" s="21"/>
      <c r="TWV87" s="21"/>
      <c r="TWW87" s="21"/>
      <c r="TWX87" s="21"/>
      <c r="TWY87" s="21"/>
      <c r="TWZ87" s="21"/>
      <c r="TXA87" s="21"/>
      <c r="TXB87" s="21"/>
      <c r="TXC87" s="21"/>
      <c r="TXD87" s="21"/>
      <c r="TXE87" s="21"/>
      <c r="TXF87" s="21"/>
      <c r="TXG87" s="21"/>
      <c r="TXH87" s="21"/>
      <c r="TXI87" s="21"/>
      <c r="TXJ87" s="21"/>
      <c r="TXK87" s="21"/>
      <c r="TXL87" s="21"/>
      <c r="TXM87" s="21"/>
      <c r="TXN87" s="21"/>
      <c r="TXO87" s="21"/>
      <c r="TXP87" s="21"/>
      <c r="TXQ87" s="21"/>
      <c r="TXR87" s="21"/>
      <c r="TXS87" s="21"/>
      <c r="TXT87" s="21"/>
      <c r="TXU87" s="21"/>
      <c r="TXV87" s="21"/>
      <c r="TXW87" s="21"/>
      <c r="TXX87" s="21"/>
      <c r="TXY87" s="21"/>
      <c r="TXZ87" s="21"/>
      <c r="TYA87" s="21"/>
      <c r="TYB87" s="21"/>
      <c r="TYC87" s="21"/>
      <c r="TYD87" s="21"/>
      <c r="TYE87" s="21"/>
      <c r="TYF87" s="21"/>
      <c r="TYG87" s="21"/>
      <c r="TYH87" s="21"/>
      <c r="TYI87" s="21"/>
      <c r="TYJ87" s="21"/>
      <c r="TYK87" s="21"/>
      <c r="TYL87" s="21"/>
      <c r="TYM87" s="21"/>
      <c r="TYN87" s="21"/>
      <c r="TYO87" s="21"/>
      <c r="TYP87" s="21"/>
      <c r="TYQ87" s="21"/>
      <c r="TYR87" s="21"/>
      <c r="TYS87" s="21"/>
      <c r="TYT87" s="21"/>
      <c r="TYU87" s="21"/>
      <c r="TYV87" s="21"/>
      <c r="TYW87" s="21"/>
      <c r="TYX87" s="21"/>
      <c r="TYY87" s="21"/>
      <c r="TYZ87" s="21"/>
      <c r="TZA87" s="21"/>
      <c r="TZB87" s="21"/>
      <c r="TZC87" s="21"/>
      <c r="TZD87" s="21"/>
      <c r="TZE87" s="21"/>
      <c r="TZF87" s="21"/>
      <c r="TZG87" s="21"/>
      <c r="TZH87" s="21"/>
      <c r="TZI87" s="21"/>
      <c r="TZJ87" s="21"/>
      <c r="TZK87" s="21"/>
      <c r="TZL87" s="21"/>
      <c r="TZM87" s="21"/>
      <c r="TZN87" s="21"/>
      <c r="TZO87" s="21"/>
      <c r="TZP87" s="21"/>
      <c r="TZQ87" s="21"/>
      <c r="TZR87" s="21"/>
      <c r="TZS87" s="21"/>
      <c r="TZT87" s="21"/>
      <c r="TZU87" s="21"/>
      <c r="TZV87" s="21"/>
      <c r="TZW87" s="21"/>
      <c r="TZX87" s="21"/>
      <c r="TZY87" s="21"/>
      <c r="TZZ87" s="21"/>
      <c r="UAA87" s="21"/>
      <c r="UAB87" s="21"/>
      <c r="UAC87" s="21"/>
      <c r="UAD87" s="21"/>
      <c r="UAE87" s="21"/>
      <c r="UAF87" s="21"/>
      <c r="UAG87" s="21"/>
      <c r="UAH87" s="21"/>
      <c r="UAI87" s="21"/>
      <c r="UAJ87" s="21"/>
      <c r="UAK87" s="21"/>
      <c r="UAL87" s="21"/>
      <c r="UAM87" s="21"/>
      <c r="UAN87" s="21"/>
      <c r="UAO87" s="21"/>
      <c r="UAP87" s="21"/>
      <c r="UAQ87" s="21"/>
      <c r="UAR87" s="21"/>
      <c r="UAS87" s="21"/>
      <c r="UAT87" s="21"/>
      <c r="UAU87" s="21"/>
      <c r="UAV87" s="21"/>
      <c r="UAW87" s="21"/>
      <c r="UAX87" s="21"/>
      <c r="UAY87" s="21"/>
      <c r="UAZ87" s="21"/>
      <c r="UBA87" s="21"/>
      <c r="UBB87" s="21"/>
      <c r="UBC87" s="21"/>
      <c r="UBD87" s="21"/>
      <c r="UBE87" s="21"/>
      <c r="UBF87" s="21"/>
      <c r="UBG87" s="21"/>
      <c r="UBH87" s="21"/>
      <c r="UBI87" s="21"/>
      <c r="UBJ87" s="21"/>
      <c r="UBK87" s="21"/>
      <c r="UBL87" s="21"/>
      <c r="UBM87" s="21"/>
      <c r="UBN87" s="21"/>
      <c r="UBO87" s="21"/>
      <c r="UBP87" s="21"/>
      <c r="UBQ87" s="21"/>
      <c r="UBR87" s="21"/>
      <c r="UBS87" s="21"/>
      <c r="UBT87" s="21"/>
      <c r="UBU87" s="21"/>
      <c r="UBV87" s="21"/>
      <c r="UBW87" s="21"/>
      <c r="UBX87" s="21"/>
      <c r="UBY87" s="21"/>
      <c r="UBZ87" s="21"/>
      <c r="UCA87" s="21"/>
      <c r="UCB87" s="21"/>
      <c r="UCC87" s="21"/>
      <c r="UCD87" s="21"/>
      <c r="UCE87" s="21"/>
      <c r="UCF87" s="21"/>
      <c r="UCG87" s="21"/>
      <c r="UCH87" s="21"/>
      <c r="UCI87" s="21"/>
      <c r="UCJ87" s="21"/>
      <c r="UCK87" s="21"/>
      <c r="UCL87" s="21"/>
      <c r="UCM87" s="21"/>
      <c r="UCN87" s="21"/>
      <c r="UCO87" s="21"/>
      <c r="UCP87" s="21"/>
      <c r="UCQ87" s="21"/>
      <c r="UCR87" s="21"/>
      <c r="UCS87" s="21"/>
      <c r="UCT87" s="21"/>
      <c r="UCU87" s="21"/>
      <c r="UCV87" s="21"/>
      <c r="UCW87" s="21"/>
      <c r="UCX87" s="21"/>
      <c r="UCY87" s="21"/>
      <c r="UCZ87" s="21"/>
      <c r="UDA87" s="21"/>
      <c r="UDB87" s="21"/>
      <c r="UDC87" s="21"/>
      <c r="UDD87" s="21"/>
      <c r="UDE87" s="21"/>
      <c r="UDF87" s="21"/>
      <c r="UDG87" s="21"/>
      <c r="UDH87" s="21"/>
      <c r="UDI87" s="21"/>
      <c r="UDJ87" s="21"/>
      <c r="UDK87" s="21"/>
      <c r="UDL87" s="21"/>
      <c r="UDM87" s="21"/>
      <c r="UDN87" s="21"/>
      <c r="UDO87" s="21"/>
      <c r="UDP87" s="21"/>
      <c r="UDQ87" s="21"/>
      <c r="UDR87" s="21"/>
      <c r="UDS87" s="21"/>
      <c r="UDT87" s="21"/>
      <c r="UDU87" s="21"/>
      <c r="UDV87" s="21"/>
      <c r="UDW87" s="21"/>
      <c r="UDX87" s="21"/>
      <c r="UDY87" s="21"/>
      <c r="UDZ87" s="21"/>
      <c r="UEA87" s="21"/>
      <c r="UEB87" s="21"/>
      <c r="UEC87" s="21"/>
      <c r="UED87" s="21"/>
      <c r="UEE87" s="21"/>
      <c r="UEF87" s="21"/>
      <c r="UEG87" s="21"/>
      <c r="UEH87" s="21"/>
      <c r="UEI87" s="21"/>
      <c r="UEJ87" s="21"/>
      <c r="UEK87" s="21"/>
      <c r="UEL87" s="21"/>
      <c r="UEM87" s="21"/>
      <c r="UEN87" s="21"/>
      <c r="UEO87" s="21"/>
      <c r="UEP87" s="21"/>
      <c r="UEQ87" s="21"/>
      <c r="UER87" s="21"/>
      <c r="UES87" s="21"/>
      <c r="UET87" s="21"/>
      <c r="UEU87" s="21"/>
      <c r="UEV87" s="21"/>
      <c r="UEW87" s="21"/>
      <c r="UEX87" s="21"/>
      <c r="UEY87" s="21"/>
      <c r="UEZ87" s="21"/>
      <c r="UFA87" s="21"/>
      <c r="UFB87" s="21"/>
      <c r="UFC87" s="21"/>
      <c r="UFD87" s="21"/>
      <c r="UFE87" s="21"/>
      <c r="UFF87" s="21"/>
      <c r="UFG87" s="21"/>
      <c r="UFH87" s="21"/>
      <c r="UFI87" s="21"/>
      <c r="UFJ87" s="21"/>
      <c r="UFK87" s="21"/>
      <c r="UFL87" s="21"/>
      <c r="UFM87" s="21"/>
      <c r="UFN87" s="21"/>
      <c r="UFO87" s="21"/>
      <c r="UFP87" s="21"/>
      <c r="UFQ87" s="21"/>
      <c r="UFR87" s="21"/>
      <c r="UFS87" s="21"/>
      <c r="UFT87" s="21"/>
      <c r="UFU87" s="21"/>
      <c r="UFV87" s="21"/>
      <c r="UFW87" s="21"/>
      <c r="UFX87" s="21"/>
      <c r="UFY87" s="21"/>
      <c r="UFZ87" s="21"/>
      <c r="UGA87" s="21"/>
      <c r="UGB87" s="21"/>
      <c r="UGC87" s="21"/>
      <c r="UGD87" s="21"/>
      <c r="UGE87" s="21"/>
      <c r="UGF87" s="21"/>
      <c r="UGG87" s="21"/>
      <c r="UGH87" s="21"/>
      <c r="UGI87" s="21"/>
      <c r="UGJ87" s="21"/>
      <c r="UGK87" s="21"/>
      <c r="UGL87" s="21"/>
      <c r="UGM87" s="21"/>
      <c r="UGN87" s="21"/>
      <c r="UGO87" s="21"/>
      <c r="UGP87" s="21"/>
      <c r="UGQ87" s="21"/>
      <c r="UGR87" s="21"/>
      <c r="UGS87" s="21"/>
      <c r="UGT87" s="21"/>
      <c r="UGU87" s="21"/>
      <c r="UGV87" s="21"/>
      <c r="UGW87" s="21"/>
      <c r="UGX87" s="21"/>
      <c r="UGY87" s="21"/>
      <c r="UGZ87" s="21"/>
      <c r="UHA87" s="21"/>
      <c r="UHB87" s="21"/>
      <c r="UHC87" s="21"/>
      <c r="UHD87" s="21"/>
      <c r="UHE87" s="21"/>
      <c r="UHF87" s="21"/>
      <c r="UHG87" s="21"/>
      <c r="UHH87" s="21"/>
      <c r="UHI87" s="21"/>
      <c r="UHJ87" s="21"/>
      <c r="UHK87" s="21"/>
      <c r="UHL87" s="21"/>
      <c r="UHM87" s="21"/>
      <c r="UHN87" s="21"/>
      <c r="UHO87" s="21"/>
      <c r="UHP87" s="21"/>
      <c r="UHQ87" s="21"/>
      <c r="UHR87" s="21"/>
      <c r="UHS87" s="21"/>
      <c r="UHT87" s="21"/>
      <c r="UHU87" s="21"/>
      <c r="UHV87" s="21"/>
      <c r="UHW87" s="21"/>
      <c r="UHX87" s="21"/>
      <c r="UHY87" s="21"/>
      <c r="UHZ87" s="21"/>
      <c r="UIA87" s="21"/>
      <c r="UIB87" s="21"/>
      <c r="UIC87" s="21"/>
      <c r="UID87" s="21"/>
      <c r="UIE87" s="21"/>
      <c r="UIF87" s="21"/>
      <c r="UIG87" s="21"/>
      <c r="UIH87" s="21"/>
      <c r="UII87" s="21"/>
      <c r="UIJ87" s="21"/>
      <c r="UIK87" s="21"/>
      <c r="UIL87" s="21"/>
      <c r="UIM87" s="21"/>
      <c r="UIN87" s="21"/>
      <c r="UIO87" s="21"/>
      <c r="UIP87" s="21"/>
      <c r="UIQ87" s="21"/>
      <c r="UIR87" s="21"/>
      <c r="UIS87" s="21"/>
      <c r="UIT87" s="21"/>
      <c r="UIU87" s="21"/>
      <c r="UIV87" s="21"/>
      <c r="UIW87" s="21"/>
      <c r="UIX87" s="21"/>
      <c r="UIY87" s="21"/>
      <c r="UIZ87" s="21"/>
      <c r="UJA87" s="21"/>
      <c r="UJB87" s="21"/>
      <c r="UJC87" s="21"/>
      <c r="UJD87" s="21"/>
      <c r="UJE87" s="21"/>
      <c r="UJF87" s="21"/>
      <c r="UJG87" s="21"/>
      <c r="UJH87" s="21"/>
      <c r="UJI87" s="21"/>
      <c r="UJJ87" s="21"/>
      <c r="UJK87" s="21"/>
      <c r="UJL87" s="21"/>
      <c r="UJM87" s="21"/>
      <c r="UJN87" s="21"/>
      <c r="UJO87" s="21"/>
      <c r="UJP87" s="21"/>
      <c r="UJQ87" s="21"/>
      <c r="UJR87" s="21"/>
      <c r="UJS87" s="21"/>
      <c r="UJT87" s="21"/>
      <c r="UJU87" s="21"/>
      <c r="UJV87" s="21"/>
      <c r="UJW87" s="21"/>
      <c r="UJX87" s="21"/>
      <c r="UJY87" s="21"/>
      <c r="UJZ87" s="21"/>
      <c r="UKA87" s="21"/>
      <c r="UKB87" s="21"/>
      <c r="UKC87" s="21"/>
      <c r="UKD87" s="21"/>
      <c r="UKE87" s="21"/>
      <c r="UKF87" s="21"/>
      <c r="UKG87" s="21"/>
      <c r="UKH87" s="21"/>
      <c r="UKI87" s="21"/>
      <c r="UKJ87" s="21"/>
      <c r="UKK87" s="21"/>
      <c r="UKL87" s="21"/>
      <c r="UKM87" s="21"/>
      <c r="UKN87" s="21"/>
      <c r="UKO87" s="21"/>
      <c r="UKP87" s="21"/>
      <c r="UKQ87" s="21"/>
      <c r="UKR87" s="21"/>
      <c r="UKS87" s="21"/>
      <c r="UKT87" s="21"/>
      <c r="UKU87" s="21"/>
      <c r="UKV87" s="21"/>
      <c r="UKW87" s="21"/>
      <c r="UKX87" s="21"/>
      <c r="UKY87" s="21"/>
      <c r="UKZ87" s="21"/>
      <c r="ULA87" s="21"/>
      <c r="ULB87" s="21"/>
      <c r="ULC87" s="21"/>
      <c r="ULD87" s="21"/>
      <c r="ULE87" s="21"/>
      <c r="ULF87" s="21"/>
      <c r="ULG87" s="21"/>
      <c r="ULH87" s="21"/>
      <c r="ULI87" s="21"/>
      <c r="ULJ87" s="21"/>
      <c r="ULK87" s="21"/>
      <c r="ULL87" s="21"/>
      <c r="ULM87" s="21"/>
      <c r="ULN87" s="21"/>
      <c r="ULO87" s="21"/>
      <c r="ULP87" s="21"/>
      <c r="ULQ87" s="21"/>
      <c r="ULR87" s="21"/>
      <c r="ULS87" s="21"/>
      <c r="ULT87" s="21"/>
      <c r="ULU87" s="21"/>
      <c r="ULV87" s="21"/>
      <c r="ULW87" s="21"/>
      <c r="ULX87" s="21"/>
      <c r="ULY87" s="21"/>
      <c r="ULZ87" s="21"/>
      <c r="UMA87" s="21"/>
      <c r="UMB87" s="21"/>
      <c r="UMC87" s="21"/>
      <c r="UMD87" s="21"/>
      <c r="UME87" s="21"/>
      <c r="UMF87" s="21"/>
      <c r="UMG87" s="21"/>
      <c r="UMH87" s="21"/>
      <c r="UMI87" s="21"/>
      <c r="UMJ87" s="21"/>
      <c r="UMK87" s="21"/>
      <c r="UML87" s="21"/>
      <c r="UMM87" s="21"/>
      <c r="UMN87" s="21"/>
      <c r="UMO87" s="21"/>
      <c r="UMP87" s="21"/>
      <c r="UMQ87" s="21"/>
      <c r="UMR87" s="21"/>
      <c r="UMS87" s="21"/>
      <c r="UMT87" s="21"/>
      <c r="UMU87" s="21"/>
      <c r="UMV87" s="21"/>
      <c r="UMW87" s="21"/>
      <c r="UMX87" s="21"/>
      <c r="UMY87" s="21"/>
      <c r="UMZ87" s="21"/>
      <c r="UNA87" s="21"/>
      <c r="UNB87" s="21"/>
      <c r="UNC87" s="21"/>
      <c r="UND87" s="21"/>
      <c r="UNE87" s="21"/>
      <c r="UNF87" s="21"/>
      <c r="UNG87" s="21"/>
      <c r="UNH87" s="21"/>
      <c r="UNI87" s="21"/>
      <c r="UNJ87" s="21"/>
      <c r="UNK87" s="21"/>
      <c r="UNL87" s="21"/>
      <c r="UNM87" s="21"/>
      <c r="UNN87" s="21"/>
      <c r="UNO87" s="21"/>
      <c r="UNP87" s="21"/>
      <c r="UNQ87" s="21"/>
      <c r="UNR87" s="21"/>
      <c r="UNS87" s="21"/>
      <c r="UNT87" s="21"/>
      <c r="UNU87" s="21"/>
      <c r="UNV87" s="21"/>
      <c r="UNW87" s="21"/>
      <c r="UNX87" s="21"/>
      <c r="UNY87" s="21"/>
      <c r="UNZ87" s="21"/>
      <c r="UOA87" s="21"/>
      <c r="UOB87" s="21"/>
      <c r="UOC87" s="21"/>
      <c r="UOD87" s="21"/>
      <c r="UOE87" s="21"/>
      <c r="UOF87" s="21"/>
      <c r="UOG87" s="21"/>
      <c r="UOH87" s="21"/>
      <c r="UOI87" s="21"/>
      <c r="UOJ87" s="21"/>
      <c r="UOK87" s="21"/>
      <c r="UOL87" s="21"/>
      <c r="UOM87" s="21"/>
      <c r="UON87" s="21"/>
      <c r="UOO87" s="21"/>
      <c r="UOP87" s="21"/>
      <c r="UOQ87" s="21"/>
      <c r="UOR87" s="21"/>
      <c r="UOS87" s="21"/>
      <c r="UOT87" s="21"/>
      <c r="UOU87" s="21"/>
      <c r="UOV87" s="21"/>
      <c r="UOW87" s="21"/>
      <c r="UOX87" s="21"/>
      <c r="UOY87" s="21"/>
      <c r="UOZ87" s="21"/>
      <c r="UPA87" s="21"/>
      <c r="UPB87" s="21"/>
      <c r="UPC87" s="21"/>
      <c r="UPD87" s="21"/>
      <c r="UPE87" s="21"/>
      <c r="UPF87" s="21"/>
      <c r="UPG87" s="21"/>
      <c r="UPH87" s="21"/>
      <c r="UPI87" s="21"/>
      <c r="UPJ87" s="21"/>
      <c r="UPK87" s="21"/>
      <c r="UPL87" s="21"/>
      <c r="UPM87" s="21"/>
      <c r="UPN87" s="21"/>
      <c r="UPO87" s="21"/>
      <c r="UPP87" s="21"/>
      <c r="UPQ87" s="21"/>
      <c r="UPR87" s="21"/>
      <c r="UPS87" s="21"/>
      <c r="UPT87" s="21"/>
      <c r="UPU87" s="21"/>
      <c r="UPV87" s="21"/>
      <c r="UPW87" s="21"/>
      <c r="UPX87" s="21"/>
      <c r="UPY87" s="21"/>
      <c r="UPZ87" s="21"/>
      <c r="UQA87" s="21"/>
      <c r="UQB87" s="21"/>
      <c r="UQC87" s="21"/>
      <c r="UQD87" s="21"/>
      <c r="UQE87" s="21"/>
      <c r="UQF87" s="21"/>
      <c r="UQG87" s="21"/>
      <c r="UQH87" s="21"/>
      <c r="UQI87" s="21"/>
      <c r="UQJ87" s="21"/>
      <c r="UQK87" s="21"/>
      <c r="UQL87" s="21"/>
      <c r="UQM87" s="21"/>
      <c r="UQN87" s="21"/>
      <c r="UQO87" s="21"/>
      <c r="UQP87" s="21"/>
      <c r="UQQ87" s="21"/>
      <c r="UQR87" s="21"/>
      <c r="UQS87" s="21"/>
      <c r="UQT87" s="21"/>
      <c r="UQU87" s="21"/>
      <c r="UQV87" s="21"/>
      <c r="UQW87" s="21"/>
      <c r="UQX87" s="21"/>
      <c r="UQY87" s="21"/>
      <c r="UQZ87" s="21"/>
      <c r="URA87" s="21"/>
      <c r="URB87" s="21"/>
      <c r="URC87" s="21"/>
      <c r="URD87" s="21"/>
      <c r="URE87" s="21"/>
      <c r="URF87" s="21"/>
      <c r="URG87" s="21"/>
      <c r="URH87" s="21"/>
      <c r="URI87" s="21"/>
      <c r="URJ87" s="21"/>
      <c r="URK87" s="21"/>
      <c r="URL87" s="21"/>
      <c r="URM87" s="21"/>
      <c r="URN87" s="21"/>
      <c r="URO87" s="21"/>
      <c r="URP87" s="21"/>
      <c r="URQ87" s="21"/>
      <c r="URR87" s="21"/>
      <c r="URS87" s="21"/>
      <c r="URT87" s="21"/>
      <c r="URU87" s="21"/>
      <c r="URV87" s="21"/>
      <c r="URW87" s="21"/>
      <c r="URX87" s="21"/>
      <c r="URY87" s="21"/>
      <c r="URZ87" s="21"/>
      <c r="USA87" s="21"/>
      <c r="USB87" s="21"/>
      <c r="USC87" s="21"/>
      <c r="USD87" s="21"/>
      <c r="USE87" s="21"/>
      <c r="USF87" s="21"/>
      <c r="USG87" s="21"/>
      <c r="USH87" s="21"/>
      <c r="USI87" s="21"/>
      <c r="USJ87" s="21"/>
      <c r="USK87" s="21"/>
      <c r="USL87" s="21"/>
      <c r="USM87" s="21"/>
      <c r="USN87" s="21"/>
      <c r="USO87" s="21"/>
      <c r="USP87" s="21"/>
      <c r="USQ87" s="21"/>
      <c r="USR87" s="21"/>
      <c r="USS87" s="21"/>
      <c r="UST87" s="21"/>
      <c r="USU87" s="21"/>
      <c r="USV87" s="21"/>
      <c r="USW87" s="21"/>
      <c r="USX87" s="21"/>
      <c r="USY87" s="21"/>
      <c r="USZ87" s="21"/>
      <c r="UTA87" s="21"/>
      <c r="UTB87" s="21"/>
      <c r="UTC87" s="21"/>
      <c r="UTD87" s="21"/>
      <c r="UTE87" s="21"/>
      <c r="UTF87" s="21"/>
      <c r="UTG87" s="21"/>
      <c r="UTH87" s="21"/>
      <c r="UTI87" s="21"/>
      <c r="UTJ87" s="21"/>
      <c r="UTK87" s="21"/>
      <c r="UTL87" s="21"/>
      <c r="UTM87" s="21"/>
      <c r="UTN87" s="21"/>
      <c r="UTO87" s="21"/>
      <c r="UTP87" s="21"/>
      <c r="UTQ87" s="21"/>
      <c r="UTR87" s="21"/>
      <c r="UTS87" s="21"/>
      <c r="UTT87" s="21"/>
      <c r="UTU87" s="21"/>
      <c r="UTV87" s="21"/>
      <c r="UTW87" s="21"/>
      <c r="UTX87" s="21"/>
      <c r="UTY87" s="21"/>
      <c r="UTZ87" s="21"/>
      <c r="UUA87" s="21"/>
      <c r="UUB87" s="21"/>
      <c r="UUC87" s="21"/>
      <c r="UUD87" s="21"/>
      <c r="UUE87" s="21"/>
      <c r="UUF87" s="21"/>
      <c r="UUG87" s="21"/>
      <c r="UUH87" s="21"/>
      <c r="UUI87" s="21"/>
      <c r="UUJ87" s="21"/>
      <c r="UUK87" s="21"/>
      <c r="UUL87" s="21"/>
      <c r="UUM87" s="21"/>
      <c r="UUN87" s="21"/>
      <c r="UUO87" s="21"/>
      <c r="UUP87" s="21"/>
      <c r="UUQ87" s="21"/>
      <c r="UUR87" s="21"/>
      <c r="UUS87" s="21"/>
      <c r="UUT87" s="21"/>
      <c r="UUU87" s="21"/>
      <c r="UUV87" s="21"/>
      <c r="UUW87" s="21"/>
      <c r="UUX87" s="21"/>
      <c r="UUY87" s="21"/>
      <c r="UUZ87" s="21"/>
      <c r="UVA87" s="21"/>
      <c r="UVB87" s="21"/>
      <c r="UVC87" s="21"/>
      <c r="UVD87" s="21"/>
      <c r="UVE87" s="21"/>
      <c r="UVF87" s="21"/>
      <c r="UVG87" s="21"/>
      <c r="UVH87" s="21"/>
      <c r="UVI87" s="21"/>
      <c r="UVJ87" s="21"/>
      <c r="UVK87" s="21"/>
      <c r="UVL87" s="21"/>
      <c r="UVM87" s="21"/>
      <c r="UVN87" s="21"/>
      <c r="UVO87" s="21"/>
      <c r="UVP87" s="21"/>
      <c r="UVQ87" s="21"/>
      <c r="UVR87" s="21"/>
      <c r="UVS87" s="21"/>
      <c r="UVT87" s="21"/>
      <c r="UVU87" s="21"/>
      <c r="UVV87" s="21"/>
      <c r="UVW87" s="21"/>
      <c r="UVX87" s="21"/>
      <c r="UVY87" s="21"/>
      <c r="UVZ87" s="21"/>
      <c r="UWA87" s="21"/>
      <c r="UWB87" s="21"/>
      <c r="UWC87" s="21"/>
      <c r="UWD87" s="21"/>
      <c r="UWE87" s="21"/>
      <c r="UWF87" s="21"/>
      <c r="UWG87" s="21"/>
      <c r="UWH87" s="21"/>
      <c r="UWI87" s="21"/>
      <c r="UWJ87" s="21"/>
      <c r="UWK87" s="21"/>
      <c r="UWL87" s="21"/>
      <c r="UWM87" s="21"/>
      <c r="UWN87" s="21"/>
      <c r="UWO87" s="21"/>
      <c r="UWP87" s="21"/>
      <c r="UWQ87" s="21"/>
      <c r="UWR87" s="21"/>
      <c r="UWS87" s="21"/>
      <c r="UWT87" s="21"/>
      <c r="UWU87" s="21"/>
      <c r="UWV87" s="21"/>
      <c r="UWW87" s="21"/>
      <c r="UWX87" s="21"/>
      <c r="UWY87" s="21"/>
      <c r="UWZ87" s="21"/>
      <c r="UXA87" s="21"/>
      <c r="UXB87" s="21"/>
      <c r="UXC87" s="21"/>
      <c r="UXD87" s="21"/>
      <c r="UXE87" s="21"/>
      <c r="UXF87" s="21"/>
      <c r="UXG87" s="21"/>
      <c r="UXH87" s="21"/>
      <c r="UXI87" s="21"/>
      <c r="UXJ87" s="21"/>
      <c r="UXK87" s="21"/>
      <c r="UXL87" s="21"/>
      <c r="UXM87" s="21"/>
      <c r="UXN87" s="21"/>
      <c r="UXO87" s="21"/>
      <c r="UXP87" s="21"/>
      <c r="UXQ87" s="21"/>
      <c r="UXR87" s="21"/>
      <c r="UXS87" s="21"/>
      <c r="UXT87" s="21"/>
      <c r="UXU87" s="21"/>
      <c r="UXV87" s="21"/>
      <c r="UXW87" s="21"/>
      <c r="UXX87" s="21"/>
      <c r="UXY87" s="21"/>
      <c r="UXZ87" s="21"/>
      <c r="UYA87" s="21"/>
      <c r="UYB87" s="21"/>
      <c r="UYC87" s="21"/>
      <c r="UYD87" s="21"/>
      <c r="UYE87" s="21"/>
      <c r="UYF87" s="21"/>
      <c r="UYG87" s="21"/>
      <c r="UYH87" s="21"/>
      <c r="UYI87" s="21"/>
      <c r="UYJ87" s="21"/>
      <c r="UYK87" s="21"/>
      <c r="UYL87" s="21"/>
      <c r="UYM87" s="21"/>
      <c r="UYN87" s="21"/>
      <c r="UYO87" s="21"/>
      <c r="UYP87" s="21"/>
      <c r="UYQ87" s="21"/>
      <c r="UYR87" s="21"/>
      <c r="UYS87" s="21"/>
      <c r="UYT87" s="21"/>
      <c r="UYU87" s="21"/>
      <c r="UYV87" s="21"/>
      <c r="UYW87" s="21"/>
      <c r="UYX87" s="21"/>
      <c r="UYY87" s="21"/>
      <c r="UYZ87" s="21"/>
      <c r="UZA87" s="21"/>
      <c r="UZB87" s="21"/>
      <c r="UZC87" s="21"/>
      <c r="UZD87" s="21"/>
      <c r="UZE87" s="21"/>
      <c r="UZF87" s="21"/>
      <c r="UZG87" s="21"/>
      <c r="UZH87" s="21"/>
      <c r="UZI87" s="21"/>
      <c r="UZJ87" s="21"/>
      <c r="UZK87" s="21"/>
      <c r="UZL87" s="21"/>
      <c r="UZM87" s="21"/>
      <c r="UZN87" s="21"/>
      <c r="UZO87" s="21"/>
      <c r="UZP87" s="21"/>
      <c r="UZQ87" s="21"/>
      <c r="UZR87" s="21"/>
      <c r="UZS87" s="21"/>
      <c r="UZT87" s="21"/>
      <c r="UZU87" s="21"/>
      <c r="UZV87" s="21"/>
      <c r="UZW87" s="21"/>
      <c r="UZX87" s="21"/>
      <c r="UZY87" s="21"/>
      <c r="UZZ87" s="21"/>
      <c r="VAA87" s="21"/>
      <c r="VAB87" s="21"/>
      <c r="VAC87" s="21"/>
      <c r="VAD87" s="21"/>
      <c r="VAE87" s="21"/>
      <c r="VAF87" s="21"/>
      <c r="VAG87" s="21"/>
      <c r="VAH87" s="21"/>
      <c r="VAI87" s="21"/>
      <c r="VAJ87" s="21"/>
      <c r="VAK87" s="21"/>
      <c r="VAL87" s="21"/>
      <c r="VAM87" s="21"/>
      <c r="VAN87" s="21"/>
      <c r="VAO87" s="21"/>
      <c r="VAP87" s="21"/>
      <c r="VAQ87" s="21"/>
      <c r="VAR87" s="21"/>
      <c r="VAS87" s="21"/>
      <c r="VAT87" s="21"/>
      <c r="VAU87" s="21"/>
      <c r="VAV87" s="21"/>
      <c r="VAW87" s="21"/>
      <c r="VAX87" s="21"/>
      <c r="VAY87" s="21"/>
      <c r="VAZ87" s="21"/>
      <c r="VBA87" s="21"/>
      <c r="VBB87" s="21"/>
      <c r="VBC87" s="21"/>
      <c r="VBD87" s="21"/>
      <c r="VBE87" s="21"/>
      <c r="VBF87" s="21"/>
      <c r="VBG87" s="21"/>
      <c r="VBH87" s="21"/>
      <c r="VBI87" s="21"/>
      <c r="VBJ87" s="21"/>
      <c r="VBK87" s="21"/>
      <c r="VBL87" s="21"/>
      <c r="VBM87" s="21"/>
      <c r="VBN87" s="21"/>
      <c r="VBO87" s="21"/>
      <c r="VBP87" s="21"/>
      <c r="VBQ87" s="21"/>
      <c r="VBR87" s="21"/>
      <c r="VBS87" s="21"/>
      <c r="VBT87" s="21"/>
      <c r="VBU87" s="21"/>
      <c r="VBV87" s="21"/>
      <c r="VBW87" s="21"/>
      <c r="VBX87" s="21"/>
      <c r="VBY87" s="21"/>
      <c r="VBZ87" s="21"/>
      <c r="VCA87" s="21"/>
      <c r="VCB87" s="21"/>
      <c r="VCC87" s="21"/>
      <c r="VCD87" s="21"/>
      <c r="VCE87" s="21"/>
      <c r="VCF87" s="21"/>
      <c r="VCG87" s="21"/>
      <c r="VCH87" s="21"/>
      <c r="VCI87" s="21"/>
      <c r="VCJ87" s="21"/>
      <c r="VCK87" s="21"/>
      <c r="VCL87" s="21"/>
      <c r="VCM87" s="21"/>
      <c r="VCN87" s="21"/>
      <c r="VCO87" s="21"/>
      <c r="VCP87" s="21"/>
      <c r="VCQ87" s="21"/>
      <c r="VCR87" s="21"/>
      <c r="VCS87" s="21"/>
      <c r="VCT87" s="21"/>
      <c r="VCU87" s="21"/>
      <c r="VCV87" s="21"/>
      <c r="VCW87" s="21"/>
      <c r="VCX87" s="21"/>
      <c r="VCY87" s="21"/>
      <c r="VCZ87" s="21"/>
      <c r="VDA87" s="21"/>
      <c r="VDB87" s="21"/>
      <c r="VDC87" s="21"/>
      <c r="VDD87" s="21"/>
      <c r="VDE87" s="21"/>
      <c r="VDF87" s="21"/>
      <c r="VDG87" s="21"/>
      <c r="VDH87" s="21"/>
      <c r="VDI87" s="21"/>
      <c r="VDJ87" s="21"/>
      <c r="VDK87" s="21"/>
      <c r="VDL87" s="21"/>
      <c r="VDM87" s="21"/>
      <c r="VDN87" s="21"/>
      <c r="VDO87" s="21"/>
      <c r="VDP87" s="21"/>
      <c r="VDQ87" s="21"/>
      <c r="VDR87" s="21"/>
      <c r="VDS87" s="21"/>
      <c r="VDT87" s="21"/>
      <c r="VDU87" s="21"/>
      <c r="VDV87" s="21"/>
      <c r="VDW87" s="21"/>
      <c r="VDX87" s="21"/>
      <c r="VDY87" s="21"/>
      <c r="VDZ87" s="21"/>
      <c r="VEA87" s="21"/>
      <c r="VEB87" s="21"/>
      <c r="VEC87" s="21"/>
      <c r="VED87" s="21"/>
      <c r="VEE87" s="21"/>
      <c r="VEF87" s="21"/>
      <c r="VEG87" s="21"/>
      <c r="VEH87" s="21"/>
      <c r="VEI87" s="21"/>
      <c r="VEJ87" s="21"/>
      <c r="VEK87" s="21"/>
      <c r="VEL87" s="21"/>
      <c r="VEM87" s="21"/>
      <c r="VEN87" s="21"/>
      <c r="VEO87" s="21"/>
      <c r="VEP87" s="21"/>
      <c r="VEQ87" s="21"/>
      <c r="VER87" s="21"/>
      <c r="VES87" s="21"/>
      <c r="VET87" s="21"/>
      <c r="VEU87" s="21"/>
      <c r="VEV87" s="21"/>
      <c r="VEW87" s="21"/>
      <c r="VEX87" s="21"/>
      <c r="VEY87" s="21"/>
      <c r="VEZ87" s="21"/>
      <c r="VFA87" s="21"/>
      <c r="VFB87" s="21"/>
      <c r="VFC87" s="21"/>
      <c r="VFD87" s="21"/>
      <c r="VFE87" s="21"/>
      <c r="VFF87" s="21"/>
      <c r="VFG87" s="21"/>
      <c r="VFH87" s="21"/>
      <c r="VFI87" s="21"/>
      <c r="VFJ87" s="21"/>
      <c r="VFK87" s="21"/>
      <c r="VFL87" s="21"/>
      <c r="VFM87" s="21"/>
      <c r="VFN87" s="21"/>
      <c r="VFO87" s="21"/>
      <c r="VFP87" s="21"/>
      <c r="VFQ87" s="21"/>
      <c r="VFR87" s="21"/>
      <c r="VFS87" s="21"/>
      <c r="VFT87" s="21"/>
      <c r="VFU87" s="21"/>
      <c r="VFV87" s="21"/>
      <c r="VFW87" s="21"/>
      <c r="VFX87" s="21"/>
      <c r="VFY87" s="21"/>
      <c r="VFZ87" s="21"/>
      <c r="VGA87" s="21"/>
      <c r="VGB87" s="21"/>
      <c r="VGC87" s="21"/>
      <c r="VGD87" s="21"/>
      <c r="VGE87" s="21"/>
      <c r="VGF87" s="21"/>
      <c r="VGG87" s="21"/>
      <c r="VGH87" s="21"/>
      <c r="VGI87" s="21"/>
      <c r="VGJ87" s="21"/>
      <c r="VGK87" s="21"/>
      <c r="VGL87" s="21"/>
      <c r="VGM87" s="21"/>
      <c r="VGN87" s="21"/>
      <c r="VGO87" s="21"/>
      <c r="VGP87" s="21"/>
      <c r="VGQ87" s="21"/>
      <c r="VGR87" s="21"/>
      <c r="VGS87" s="21"/>
      <c r="VGT87" s="21"/>
      <c r="VGU87" s="21"/>
      <c r="VGV87" s="21"/>
      <c r="VGW87" s="21"/>
      <c r="VGX87" s="21"/>
      <c r="VGY87" s="21"/>
      <c r="VGZ87" s="21"/>
      <c r="VHA87" s="21"/>
      <c r="VHB87" s="21"/>
      <c r="VHC87" s="21"/>
      <c r="VHD87" s="21"/>
      <c r="VHE87" s="21"/>
      <c r="VHF87" s="21"/>
      <c r="VHG87" s="21"/>
      <c r="VHH87" s="21"/>
      <c r="VHI87" s="21"/>
      <c r="VHJ87" s="21"/>
      <c r="VHK87" s="21"/>
      <c r="VHL87" s="21"/>
      <c r="VHM87" s="21"/>
      <c r="VHN87" s="21"/>
      <c r="VHO87" s="21"/>
      <c r="VHP87" s="21"/>
      <c r="VHQ87" s="21"/>
      <c r="VHR87" s="21"/>
      <c r="VHS87" s="21"/>
      <c r="VHT87" s="21"/>
      <c r="VHU87" s="21"/>
      <c r="VHV87" s="21"/>
      <c r="VHW87" s="21"/>
      <c r="VHX87" s="21"/>
      <c r="VHY87" s="21"/>
      <c r="VHZ87" s="21"/>
      <c r="VIA87" s="21"/>
      <c r="VIB87" s="21"/>
      <c r="VIC87" s="21"/>
      <c r="VID87" s="21"/>
      <c r="VIE87" s="21"/>
      <c r="VIF87" s="21"/>
      <c r="VIG87" s="21"/>
      <c r="VIH87" s="21"/>
      <c r="VII87" s="21"/>
      <c r="VIJ87" s="21"/>
      <c r="VIK87" s="21"/>
      <c r="VIL87" s="21"/>
      <c r="VIM87" s="21"/>
      <c r="VIN87" s="21"/>
      <c r="VIO87" s="21"/>
      <c r="VIP87" s="21"/>
      <c r="VIQ87" s="21"/>
      <c r="VIR87" s="21"/>
      <c r="VIS87" s="21"/>
      <c r="VIT87" s="21"/>
      <c r="VIU87" s="21"/>
      <c r="VIV87" s="21"/>
      <c r="VIW87" s="21"/>
      <c r="VIX87" s="21"/>
      <c r="VIY87" s="21"/>
      <c r="VIZ87" s="21"/>
      <c r="VJA87" s="21"/>
      <c r="VJB87" s="21"/>
      <c r="VJC87" s="21"/>
      <c r="VJD87" s="21"/>
      <c r="VJE87" s="21"/>
      <c r="VJF87" s="21"/>
      <c r="VJG87" s="21"/>
      <c r="VJH87" s="21"/>
      <c r="VJI87" s="21"/>
      <c r="VJJ87" s="21"/>
      <c r="VJK87" s="21"/>
      <c r="VJL87" s="21"/>
      <c r="VJM87" s="21"/>
      <c r="VJN87" s="21"/>
      <c r="VJO87" s="21"/>
      <c r="VJP87" s="21"/>
      <c r="VJQ87" s="21"/>
      <c r="VJR87" s="21"/>
      <c r="VJS87" s="21"/>
      <c r="VJT87" s="21"/>
      <c r="VJU87" s="21"/>
      <c r="VJV87" s="21"/>
      <c r="VJW87" s="21"/>
      <c r="VJX87" s="21"/>
      <c r="VJY87" s="21"/>
      <c r="VJZ87" s="21"/>
      <c r="VKA87" s="21"/>
      <c r="VKB87" s="21"/>
      <c r="VKC87" s="21"/>
      <c r="VKD87" s="21"/>
      <c r="VKE87" s="21"/>
      <c r="VKF87" s="21"/>
      <c r="VKG87" s="21"/>
      <c r="VKH87" s="21"/>
      <c r="VKI87" s="21"/>
      <c r="VKJ87" s="21"/>
      <c r="VKK87" s="21"/>
      <c r="VKL87" s="21"/>
      <c r="VKM87" s="21"/>
      <c r="VKN87" s="21"/>
      <c r="VKO87" s="21"/>
      <c r="VKP87" s="21"/>
      <c r="VKQ87" s="21"/>
      <c r="VKR87" s="21"/>
      <c r="VKS87" s="21"/>
      <c r="VKT87" s="21"/>
      <c r="VKU87" s="21"/>
      <c r="VKV87" s="21"/>
      <c r="VKW87" s="21"/>
      <c r="VKX87" s="21"/>
      <c r="VKY87" s="21"/>
      <c r="VKZ87" s="21"/>
      <c r="VLA87" s="21"/>
      <c r="VLB87" s="21"/>
      <c r="VLC87" s="21"/>
      <c r="VLD87" s="21"/>
      <c r="VLE87" s="21"/>
      <c r="VLF87" s="21"/>
      <c r="VLG87" s="21"/>
      <c r="VLH87" s="21"/>
      <c r="VLI87" s="21"/>
      <c r="VLJ87" s="21"/>
      <c r="VLK87" s="21"/>
      <c r="VLL87" s="21"/>
      <c r="VLM87" s="21"/>
      <c r="VLN87" s="21"/>
      <c r="VLO87" s="21"/>
      <c r="VLP87" s="21"/>
      <c r="VLQ87" s="21"/>
      <c r="VLR87" s="21"/>
      <c r="VLS87" s="21"/>
      <c r="VLT87" s="21"/>
      <c r="VLU87" s="21"/>
      <c r="VLV87" s="21"/>
      <c r="VLW87" s="21"/>
      <c r="VLX87" s="21"/>
      <c r="VLY87" s="21"/>
      <c r="VLZ87" s="21"/>
      <c r="VMA87" s="21"/>
      <c r="VMB87" s="21"/>
      <c r="VMC87" s="21"/>
      <c r="VMD87" s="21"/>
      <c r="VME87" s="21"/>
      <c r="VMF87" s="21"/>
      <c r="VMG87" s="21"/>
      <c r="VMH87" s="21"/>
      <c r="VMI87" s="21"/>
      <c r="VMJ87" s="21"/>
      <c r="VMK87" s="21"/>
      <c r="VML87" s="21"/>
      <c r="VMM87" s="21"/>
      <c r="VMN87" s="21"/>
      <c r="VMO87" s="21"/>
      <c r="VMP87" s="21"/>
      <c r="VMQ87" s="21"/>
      <c r="VMR87" s="21"/>
      <c r="VMS87" s="21"/>
      <c r="VMT87" s="21"/>
      <c r="VMU87" s="21"/>
      <c r="VMV87" s="21"/>
      <c r="VMW87" s="21"/>
      <c r="VMX87" s="21"/>
      <c r="VMY87" s="21"/>
      <c r="VMZ87" s="21"/>
      <c r="VNA87" s="21"/>
      <c r="VNB87" s="21"/>
      <c r="VNC87" s="21"/>
      <c r="VND87" s="21"/>
      <c r="VNE87" s="21"/>
      <c r="VNF87" s="21"/>
      <c r="VNG87" s="21"/>
      <c r="VNH87" s="21"/>
      <c r="VNI87" s="21"/>
      <c r="VNJ87" s="21"/>
      <c r="VNK87" s="21"/>
      <c r="VNL87" s="21"/>
      <c r="VNM87" s="21"/>
      <c r="VNN87" s="21"/>
      <c r="VNO87" s="21"/>
      <c r="VNP87" s="21"/>
      <c r="VNQ87" s="21"/>
      <c r="VNR87" s="21"/>
      <c r="VNS87" s="21"/>
      <c r="VNT87" s="21"/>
      <c r="VNU87" s="21"/>
      <c r="VNV87" s="21"/>
      <c r="VNW87" s="21"/>
      <c r="VNX87" s="21"/>
      <c r="VNY87" s="21"/>
      <c r="VNZ87" s="21"/>
      <c r="VOA87" s="21"/>
      <c r="VOB87" s="21"/>
      <c r="VOC87" s="21"/>
      <c r="VOD87" s="21"/>
      <c r="VOE87" s="21"/>
      <c r="VOF87" s="21"/>
      <c r="VOG87" s="21"/>
      <c r="VOH87" s="21"/>
      <c r="VOI87" s="21"/>
      <c r="VOJ87" s="21"/>
      <c r="VOK87" s="21"/>
      <c r="VOL87" s="21"/>
      <c r="VOM87" s="21"/>
      <c r="VON87" s="21"/>
      <c r="VOO87" s="21"/>
      <c r="VOP87" s="21"/>
      <c r="VOQ87" s="21"/>
      <c r="VOR87" s="21"/>
      <c r="VOS87" s="21"/>
      <c r="VOT87" s="21"/>
      <c r="VOU87" s="21"/>
      <c r="VOV87" s="21"/>
      <c r="VOW87" s="21"/>
      <c r="VOX87" s="21"/>
      <c r="VOY87" s="21"/>
      <c r="VOZ87" s="21"/>
      <c r="VPA87" s="21"/>
      <c r="VPB87" s="21"/>
      <c r="VPC87" s="21"/>
      <c r="VPD87" s="21"/>
      <c r="VPE87" s="21"/>
      <c r="VPF87" s="21"/>
      <c r="VPG87" s="21"/>
      <c r="VPH87" s="21"/>
      <c r="VPI87" s="21"/>
      <c r="VPJ87" s="21"/>
      <c r="VPK87" s="21"/>
      <c r="VPL87" s="21"/>
      <c r="VPM87" s="21"/>
      <c r="VPN87" s="21"/>
      <c r="VPO87" s="21"/>
      <c r="VPP87" s="21"/>
      <c r="VPQ87" s="21"/>
      <c r="VPR87" s="21"/>
      <c r="VPS87" s="21"/>
      <c r="VPT87" s="21"/>
      <c r="VPU87" s="21"/>
      <c r="VPV87" s="21"/>
      <c r="VPW87" s="21"/>
      <c r="VPX87" s="21"/>
      <c r="VPY87" s="21"/>
      <c r="VPZ87" s="21"/>
      <c r="VQA87" s="21"/>
      <c r="VQB87" s="21"/>
      <c r="VQC87" s="21"/>
      <c r="VQD87" s="21"/>
      <c r="VQE87" s="21"/>
      <c r="VQF87" s="21"/>
      <c r="VQG87" s="21"/>
      <c r="VQH87" s="21"/>
      <c r="VQI87" s="21"/>
      <c r="VQJ87" s="21"/>
      <c r="VQK87" s="21"/>
      <c r="VQL87" s="21"/>
      <c r="VQM87" s="21"/>
      <c r="VQN87" s="21"/>
      <c r="VQO87" s="21"/>
      <c r="VQP87" s="21"/>
      <c r="VQQ87" s="21"/>
      <c r="VQR87" s="21"/>
      <c r="VQS87" s="21"/>
      <c r="VQT87" s="21"/>
      <c r="VQU87" s="21"/>
      <c r="VQV87" s="21"/>
      <c r="VQW87" s="21"/>
      <c r="VQX87" s="21"/>
      <c r="VQY87" s="21"/>
      <c r="VQZ87" s="21"/>
      <c r="VRA87" s="21"/>
      <c r="VRB87" s="21"/>
      <c r="VRC87" s="21"/>
      <c r="VRD87" s="21"/>
      <c r="VRE87" s="21"/>
      <c r="VRF87" s="21"/>
      <c r="VRG87" s="21"/>
      <c r="VRH87" s="21"/>
      <c r="VRI87" s="21"/>
      <c r="VRJ87" s="21"/>
      <c r="VRK87" s="21"/>
      <c r="VRL87" s="21"/>
      <c r="VRM87" s="21"/>
      <c r="VRN87" s="21"/>
      <c r="VRO87" s="21"/>
      <c r="VRP87" s="21"/>
      <c r="VRQ87" s="21"/>
      <c r="VRR87" s="21"/>
      <c r="VRS87" s="21"/>
      <c r="VRT87" s="21"/>
      <c r="VRU87" s="21"/>
      <c r="VRV87" s="21"/>
      <c r="VRW87" s="21"/>
      <c r="VRX87" s="21"/>
      <c r="VRY87" s="21"/>
      <c r="VRZ87" s="21"/>
      <c r="VSA87" s="21"/>
      <c r="VSB87" s="21"/>
      <c r="VSC87" s="21"/>
      <c r="VSD87" s="21"/>
      <c r="VSE87" s="21"/>
      <c r="VSF87" s="21"/>
      <c r="VSG87" s="21"/>
      <c r="VSH87" s="21"/>
      <c r="VSI87" s="21"/>
      <c r="VSJ87" s="21"/>
      <c r="VSK87" s="21"/>
      <c r="VSL87" s="21"/>
      <c r="VSM87" s="21"/>
      <c r="VSN87" s="21"/>
      <c r="VSO87" s="21"/>
      <c r="VSP87" s="21"/>
      <c r="VSQ87" s="21"/>
      <c r="VSR87" s="21"/>
      <c r="VSS87" s="21"/>
      <c r="VST87" s="21"/>
      <c r="VSU87" s="21"/>
      <c r="VSV87" s="21"/>
      <c r="VSW87" s="21"/>
      <c r="VSX87" s="21"/>
      <c r="VSY87" s="21"/>
      <c r="VSZ87" s="21"/>
      <c r="VTA87" s="21"/>
      <c r="VTB87" s="21"/>
      <c r="VTC87" s="21"/>
      <c r="VTD87" s="21"/>
      <c r="VTE87" s="21"/>
      <c r="VTF87" s="21"/>
      <c r="VTG87" s="21"/>
      <c r="VTH87" s="21"/>
      <c r="VTI87" s="21"/>
      <c r="VTJ87" s="21"/>
      <c r="VTK87" s="21"/>
      <c r="VTL87" s="21"/>
      <c r="VTM87" s="21"/>
      <c r="VTN87" s="21"/>
      <c r="VTO87" s="21"/>
      <c r="VTP87" s="21"/>
      <c r="VTQ87" s="21"/>
      <c r="VTR87" s="21"/>
      <c r="VTS87" s="21"/>
      <c r="VTT87" s="21"/>
      <c r="VTU87" s="21"/>
      <c r="VTV87" s="21"/>
      <c r="VTW87" s="21"/>
      <c r="VTX87" s="21"/>
      <c r="VTY87" s="21"/>
      <c r="VTZ87" s="21"/>
      <c r="VUA87" s="21"/>
      <c r="VUB87" s="21"/>
      <c r="VUC87" s="21"/>
      <c r="VUD87" s="21"/>
      <c r="VUE87" s="21"/>
      <c r="VUF87" s="21"/>
      <c r="VUG87" s="21"/>
      <c r="VUH87" s="21"/>
      <c r="VUI87" s="21"/>
      <c r="VUJ87" s="21"/>
      <c r="VUK87" s="21"/>
      <c r="VUL87" s="21"/>
      <c r="VUM87" s="21"/>
      <c r="VUN87" s="21"/>
      <c r="VUO87" s="21"/>
      <c r="VUP87" s="21"/>
      <c r="VUQ87" s="21"/>
      <c r="VUR87" s="21"/>
      <c r="VUS87" s="21"/>
      <c r="VUT87" s="21"/>
      <c r="VUU87" s="21"/>
      <c r="VUV87" s="21"/>
      <c r="VUW87" s="21"/>
      <c r="VUX87" s="21"/>
      <c r="VUY87" s="21"/>
      <c r="VUZ87" s="21"/>
      <c r="VVA87" s="21"/>
      <c r="VVB87" s="21"/>
      <c r="VVC87" s="21"/>
      <c r="VVD87" s="21"/>
      <c r="VVE87" s="21"/>
      <c r="VVF87" s="21"/>
      <c r="VVG87" s="21"/>
      <c r="VVH87" s="21"/>
      <c r="VVI87" s="21"/>
      <c r="VVJ87" s="21"/>
      <c r="VVK87" s="21"/>
      <c r="VVL87" s="21"/>
      <c r="VVM87" s="21"/>
      <c r="VVN87" s="21"/>
      <c r="VVO87" s="21"/>
      <c r="VVP87" s="21"/>
      <c r="VVQ87" s="21"/>
      <c r="VVR87" s="21"/>
      <c r="VVS87" s="21"/>
      <c r="VVT87" s="21"/>
      <c r="VVU87" s="21"/>
      <c r="VVV87" s="21"/>
      <c r="VVW87" s="21"/>
      <c r="VVX87" s="21"/>
      <c r="VVY87" s="21"/>
      <c r="VVZ87" s="21"/>
      <c r="VWA87" s="21"/>
      <c r="VWB87" s="21"/>
      <c r="VWC87" s="21"/>
      <c r="VWD87" s="21"/>
      <c r="VWE87" s="21"/>
      <c r="VWF87" s="21"/>
      <c r="VWG87" s="21"/>
      <c r="VWH87" s="21"/>
      <c r="VWI87" s="21"/>
      <c r="VWJ87" s="21"/>
      <c r="VWK87" s="21"/>
      <c r="VWL87" s="21"/>
      <c r="VWM87" s="21"/>
      <c r="VWN87" s="21"/>
      <c r="VWO87" s="21"/>
      <c r="VWP87" s="21"/>
      <c r="VWQ87" s="21"/>
      <c r="VWR87" s="21"/>
      <c r="VWS87" s="21"/>
      <c r="VWT87" s="21"/>
      <c r="VWU87" s="21"/>
      <c r="VWV87" s="21"/>
      <c r="VWW87" s="21"/>
      <c r="VWX87" s="21"/>
      <c r="VWY87" s="21"/>
      <c r="VWZ87" s="21"/>
      <c r="VXA87" s="21"/>
      <c r="VXB87" s="21"/>
      <c r="VXC87" s="21"/>
      <c r="VXD87" s="21"/>
      <c r="VXE87" s="21"/>
      <c r="VXF87" s="21"/>
      <c r="VXG87" s="21"/>
      <c r="VXH87" s="21"/>
      <c r="VXI87" s="21"/>
      <c r="VXJ87" s="21"/>
      <c r="VXK87" s="21"/>
      <c r="VXL87" s="21"/>
      <c r="VXM87" s="21"/>
      <c r="VXN87" s="21"/>
      <c r="VXO87" s="21"/>
      <c r="VXP87" s="21"/>
      <c r="VXQ87" s="21"/>
      <c r="VXR87" s="21"/>
      <c r="VXS87" s="21"/>
      <c r="VXT87" s="21"/>
      <c r="VXU87" s="21"/>
      <c r="VXV87" s="21"/>
      <c r="VXW87" s="21"/>
      <c r="VXX87" s="21"/>
      <c r="VXY87" s="21"/>
      <c r="VXZ87" s="21"/>
      <c r="VYA87" s="21"/>
      <c r="VYB87" s="21"/>
      <c r="VYC87" s="21"/>
      <c r="VYD87" s="21"/>
      <c r="VYE87" s="21"/>
      <c r="VYF87" s="21"/>
      <c r="VYG87" s="21"/>
      <c r="VYH87" s="21"/>
      <c r="VYI87" s="21"/>
      <c r="VYJ87" s="21"/>
      <c r="VYK87" s="21"/>
      <c r="VYL87" s="21"/>
      <c r="VYM87" s="21"/>
      <c r="VYN87" s="21"/>
      <c r="VYO87" s="21"/>
      <c r="VYP87" s="21"/>
      <c r="VYQ87" s="21"/>
      <c r="VYR87" s="21"/>
      <c r="VYS87" s="21"/>
      <c r="VYT87" s="21"/>
      <c r="VYU87" s="21"/>
      <c r="VYV87" s="21"/>
      <c r="VYW87" s="21"/>
      <c r="VYX87" s="21"/>
      <c r="VYY87" s="21"/>
      <c r="VYZ87" s="21"/>
      <c r="VZA87" s="21"/>
      <c r="VZB87" s="21"/>
      <c r="VZC87" s="21"/>
      <c r="VZD87" s="21"/>
      <c r="VZE87" s="21"/>
      <c r="VZF87" s="21"/>
      <c r="VZG87" s="21"/>
      <c r="VZH87" s="21"/>
      <c r="VZI87" s="21"/>
      <c r="VZJ87" s="21"/>
      <c r="VZK87" s="21"/>
      <c r="VZL87" s="21"/>
      <c r="VZM87" s="21"/>
      <c r="VZN87" s="21"/>
      <c r="VZO87" s="21"/>
      <c r="VZP87" s="21"/>
      <c r="VZQ87" s="21"/>
      <c r="VZR87" s="21"/>
      <c r="VZS87" s="21"/>
      <c r="VZT87" s="21"/>
      <c r="VZU87" s="21"/>
      <c r="VZV87" s="21"/>
      <c r="VZW87" s="21"/>
      <c r="VZX87" s="21"/>
      <c r="VZY87" s="21"/>
      <c r="VZZ87" s="21"/>
      <c r="WAA87" s="21"/>
      <c r="WAB87" s="21"/>
      <c r="WAC87" s="21"/>
      <c r="WAD87" s="21"/>
      <c r="WAE87" s="21"/>
      <c r="WAF87" s="21"/>
      <c r="WAG87" s="21"/>
      <c r="WAH87" s="21"/>
      <c r="WAI87" s="21"/>
      <c r="WAJ87" s="21"/>
      <c r="WAK87" s="21"/>
      <c r="WAL87" s="21"/>
      <c r="WAM87" s="21"/>
      <c r="WAN87" s="21"/>
      <c r="WAO87" s="21"/>
      <c r="WAP87" s="21"/>
      <c r="WAQ87" s="21"/>
      <c r="WAR87" s="21"/>
      <c r="WAS87" s="21"/>
      <c r="WAT87" s="21"/>
      <c r="WAU87" s="21"/>
      <c r="WAV87" s="21"/>
      <c r="WAW87" s="21"/>
      <c r="WAX87" s="21"/>
      <c r="WAY87" s="21"/>
      <c r="WAZ87" s="21"/>
      <c r="WBA87" s="21"/>
      <c r="WBB87" s="21"/>
      <c r="WBC87" s="21"/>
      <c r="WBD87" s="21"/>
      <c r="WBE87" s="21"/>
      <c r="WBF87" s="21"/>
      <c r="WBG87" s="21"/>
      <c r="WBH87" s="21"/>
      <c r="WBI87" s="21"/>
      <c r="WBJ87" s="21"/>
      <c r="WBK87" s="21"/>
      <c r="WBL87" s="21"/>
      <c r="WBM87" s="21"/>
      <c r="WBN87" s="21"/>
      <c r="WBO87" s="21"/>
      <c r="WBP87" s="21"/>
      <c r="WBQ87" s="21"/>
      <c r="WBR87" s="21"/>
      <c r="WBS87" s="21"/>
      <c r="WBT87" s="21"/>
      <c r="WBU87" s="21"/>
      <c r="WBV87" s="21"/>
      <c r="WBW87" s="21"/>
      <c r="WBX87" s="21"/>
      <c r="WBY87" s="21"/>
      <c r="WBZ87" s="21"/>
      <c r="WCA87" s="21"/>
      <c r="WCB87" s="21"/>
      <c r="WCC87" s="21"/>
      <c r="WCD87" s="21"/>
      <c r="WCE87" s="21"/>
      <c r="WCF87" s="21"/>
      <c r="WCG87" s="21"/>
      <c r="WCH87" s="21"/>
      <c r="WCI87" s="21"/>
      <c r="WCJ87" s="21"/>
      <c r="WCK87" s="21"/>
      <c r="WCL87" s="21"/>
      <c r="WCM87" s="21"/>
      <c r="WCN87" s="21"/>
      <c r="WCO87" s="21"/>
      <c r="WCP87" s="21"/>
      <c r="WCQ87" s="21"/>
      <c r="WCR87" s="21"/>
      <c r="WCS87" s="21"/>
      <c r="WCT87" s="21"/>
      <c r="WCU87" s="21"/>
      <c r="WCV87" s="21"/>
      <c r="WCW87" s="21"/>
      <c r="WCX87" s="21"/>
      <c r="WCY87" s="21"/>
      <c r="WCZ87" s="21"/>
      <c r="WDA87" s="21"/>
      <c r="WDB87" s="21"/>
      <c r="WDC87" s="21"/>
      <c r="WDD87" s="21"/>
      <c r="WDE87" s="21"/>
      <c r="WDF87" s="21"/>
      <c r="WDG87" s="21"/>
      <c r="WDH87" s="21"/>
      <c r="WDI87" s="21"/>
      <c r="WDJ87" s="21"/>
      <c r="WDK87" s="21"/>
      <c r="WDL87" s="21"/>
      <c r="WDM87" s="21"/>
      <c r="WDN87" s="21"/>
      <c r="WDO87" s="21"/>
      <c r="WDP87" s="21"/>
      <c r="WDQ87" s="21"/>
      <c r="WDR87" s="21"/>
      <c r="WDS87" s="21"/>
      <c r="WDT87" s="21"/>
      <c r="WDU87" s="21"/>
      <c r="WDV87" s="21"/>
      <c r="WDW87" s="21"/>
      <c r="WDX87" s="21"/>
      <c r="WDY87" s="21"/>
      <c r="WDZ87" s="21"/>
      <c r="WEA87" s="21"/>
      <c r="WEB87" s="21"/>
      <c r="WEC87" s="21"/>
      <c r="WED87" s="21"/>
      <c r="WEE87" s="21"/>
      <c r="WEF87" s="21"/>
      <c r="WEG87" s="21"/>
      <c r="WEH87" s="21"/>
      <c r="WEI87" s="21"/>
      <c r="WEJ87" s="21"/>
      <c r="WEK87" s="21"/>
      <c r="WEL87" s="21"/>
      <c r="WEM87" s="21"/>
      <c r="WEN87" s="21"/>
      <c r="WEO87" s="21"/>
      <c r="WEP87" s="21"/>
      <c r="WEQ87" s="21"/>
      <c r="WER87" s="21"/>
      <c r="WES87" s="21"/>
      <c r="WET87" s="21"/>
      <c r="WEU87" s="21"/>
      <c r="WEV87" s="21"/>
      <c r="WEW87" s="21"/>
      <c r="WEX87" s="21"/>
      <c r="WEY87" s="21"/>
      <c r="WEZ87" s="21"/>
      <c r="WFA87" s="21"/>
      <c r="WFB87" s="21"/>
      <c r="WFC87" s="21"/>
      <c r="WFD87" s="21"/>
      <c r="WFE87" s="21"/>
      <c r="WFF87" s="21"/>
      <c r="WFG87" s="21"/>
      <c r="WFH87" s="21"/>
      <c r="WFI87" s="21"/>
      <c r="WFJ87" s="21"/>
      <c r="WFK87" s="21"/>
      <c r="WFL87" s="21"/>
      <c r="WFM87" s="21"/>
      <c r="WFN87" s="21"/>
      <c r="WFO87" s="21"/>
      <c r="WFP87" s="21"/>
      <c r="WFQ87" s="21"/>
      <c r="WFR87" s="21"/>
      <c r="WFS87" s="21"/>
      <c r="WFT87" s="21"/>
      <c r="WFU87" s="21"/>
      <c r="WFV87" s="21"/>
      <c r="WFW87" s="21"/>
      <c r="WFX87" s="21"/>
      <c r="WFY87" s="21"/>
      <c r="WFZ87" s="21"/>
      <c r="WGA87" s="21"/>
      <c r="WGB87" s="21"/>
      <c r="WGC87" s="21"/>
      <c r="WGD87" s="21"/>
      <c r="WGE87" s="21"/>
      <c r="WGF87" s="21"/>
      <c r="WGG87" s="21"/>
      <c r="WGH87" s="21"/>
      <c r="WGI87" s="21"/>
      <c r="WGJ87" s="21"/>
      <c r="WGK87" s="21"/>
      <c r="WGL87" s="21"/>
      <c r="WGM87" s="21"/>
      <c r="WGN87" s="21"/>
      <c r="WGO87" s="21"/>
      <c r="WGP87" s="21"/>
      <c r="WGQ87" s="21"/>
      <c r="WGR87" s="21"/>
      <c r="WGS87" s="21"/>
      <c r="WGT87" s="21"/>
      <c r="WGU87" s="21"/>
      <c r="WGV87" s="21"/>
      <c r="WGW87" s="21"/>
      <c r="WGX87" s="21"/>
      <c r="WGY87" s="21"/>
      <c r="WGZ87" s="21"/>
      <c r="WHA87" s="21"/>
      <c r="WHB87" s="21"/>
      <c r="WHC87" s="21"/>
      <c r="WHD87" s="21"/>
      <c r="WHE87" s="21"/>
      <c r="WHF87" s="21"/>
      <c r="WHG87" s="21"/>
      <c r="WHH87" s="21"/>
      <c r="WHI87" s="21"/>
      <c r="WHJ87" s="21"/>
      <c r="WHK87" s="21"/>
      <c r="WHL87" s="21"/>
      <c r="WHM87" s="21"/>
      <c r="WHN87" s="21"/>
      <c r="WHO87" s="21"/>
      <c r="WHP87" s="21"/>
      <c r="WHQ87" s="21"/>
      <c r="WHR87" s="21"/>
      <c r="WHS87" s="21"/>
      <c r="WHT87" s="21"/>
      <c r="WHU87" s="21"/>
      <c r="WHV87" s="21"/>
      <c r="WHW87" s="21"/>
      <c r="WHX87" s="21"/>
      <c r="WHY87" s="21"/>
      <c r="WHZ87" s="21"/>
      <c r="WIA87" s="21"/>
      <c r="WIB87" s="21"/>
      <c r="WIC87" s="21"/>
      <c r="WID87" s="21"/>
      <c r="WIE87" s="21"/>
      <c r="WIF87" s="21"/>
      <c r="WIG87" s="21"/>
      <c r="WIH87" s="21"/>
      <c r="WII87" s="21"/>
      <c r="WIJ87" s="21"/>
      <c r="WIK87" s="21"/>
      <c r="WIL87" s="21"/>
      <c r="WIM87" s="21"/>
      <c r="WIN87" s="21"/>
      <c r="WIO87" s="21"/>
      <c r="WIP87" s="21"/>
      <c r="WIQ87" s="21"/>
      <c r="WIR87" s="21"/>
      <c r="WIS87" s="21"/>
      <c r="WIT87" s="21"/>
      <c r="WIU87" s="21"/>
      <c r="WIV87" s="21"/>
      <c r="WIW87" s="21"/>
      <c r="WIX87" s="21"/>
      <c r="WIY87" s="21"/>
      <c r="WIZ87" s="21"/>
      <c r="WJA87" s="21"/>
      <c r="WJB87" s="21"/>
      <c r="WJC87" s="21"/>
      <c r="WJD87" s="21"/>
      <c r="WJE87" s="21"/>
      <c r="WJF87" s="21"/>
      <c r="WJG87" s="21"/>
      <c r="WJH87" s="21"/>
      <c r="WJI87" s="21"/>
      <c r="WJJ87" s="21"/>
      <c r="WJK87" s="21"/>
      <c r="WJL87" s="21"/>
      <c r="WJM87" s="21"/>
      <c r="WJN87" s="21"/>
      <c r="WJO87" s="21"/>
      <c r="WJP87" s="21"/>
      <c r="WJQ87" s="21"/>
      <c r="WJR87" s="21"/>
      <c r="WJS87" s="21"/>
      <c r="WJT87" s="21"/>
      <c r="WJU87" s="21"/>
      <c r="WJV87" s="21"/>
      <c r="WJW87" s="21"/>
      <c r="WJX87" s="21"/>
      <c r="WJY87" s="21"/>
      <c r="WJZ87" s="21"/>
      <c r="WKA87" s="21"/>
      <c r="WKB87" s="21"/>
      <c r="WKC87" s="21"/>
      <c r="WKD87" s="21"/>
      <c r="WKE87" s="21"/>
      <c r="WKF87" s="21"/>
      <c r="WKG87" s="21"/>
      <c r="WKH87" s="21"/>
      <c r="WKI87" s="21"/>
      <c r="WKJ87" s="21"/>
      <c r="WKK87" s="21"/>
      <c r="WKL87" s="21"/>
      <c r="WKM87" s="21"/>
      <c r="WKN87" s="21"/>
      <c r="WKO87" s="21"/>
      <c r="WKP87" s="21"/>
      <c r="WKQ87" s="21"/>
      <c r="WKR87" s="21"/>
      <c r="WKS87" s="21"/>
      <c r="WKT87" s="21"/>
      <c r="WKU87" s="21"/>
      <c r="WKV87" s="21"/>
      <c r="WKW87" s="21"/>
      <c r="WKX87" s="21"/>
      <c r="WKY87" s="21"/>
      <c r="WKZ87" s="21"/>
      <c r="WLA87" s="21"/>
      <c r="WLB87" s="21"/>
      <c r="WLC87" s="21"/>
      <c r="WLD87" s="21"/>
      <c r="WLE87" s="21"/>
      <c r="WLF87" s="21"/>
      <c r="WLG87" s="21"/>
      <c r="WLH87" s="21"/>
      <c r="WLI87" s="21"/>
      <c r="WLJ87" s="21"/>
      <c r="WLK87" s="21"/>
      <c r="WLL87" s="21"/>
      <c r="WLM87" s="21"/>
      <c r="WLN87" s="21"/>
      <c r="WLO87" s="21"/>
      <c r="WLP87" s="21"/>
      <c r="WLQ87" s="21"/>
      <c r="WLR87" s="21"/>
      <c r="WLS87" s="21"/>
      <c r="WLT87" s="21"/>
      <c r="WLU87" s="21"/>
      <c r="WLV87" s="21"/>
      <c r="WLW87" s="21"/>
      <c r="WLX87" s="21"/>
      <c r="WLY87" s="21"/>
      <c r="WLZ87" s="21"/>
      <c r="WMA87" s="21"/>
      <c r="WMB87" s="21"/>
      <c r="WMC87" s="21"/>
      <c r="WMD87" s="21"/>
      <c r="WME87" s="21"/>
      <c r="WMF87" s="21"/>
      <c r="WMG87" s="21"/>
      <c r="WMH87" s="21"/>
      <c r="WMI87" s="21"/>
      <c r="WMJ87" s="21"/>
      <c r="WMK87" s="21"/>
      <c r="WML87" s="21"/>
      <c r="WMM87" s="21"/>
      <c r="WMN87" s="21"/>
      <c r="WMO87" s="21"/>
      <c r="WMP87" s="21"/>
      <c r="WMQ87" s="21"/>
      <c r="WMR87" s="21"/>
      <c r="WMS87" s="21"/>
      <c r="WMT87" s="21"/>
      <c r="WMU87" s="21"/>
      <c r="WMV87" s="21"/>
      <c r="WMW87" s="21"/>
      <c r="WMX87" s="21"/>
      <c r="WMY87" s="21"/>
      <c r="WMZ87" s="21"/>
      <c r="WNA87" s="21"/>
      <c r="WNB87" s="21"/>
      <c r="WNC87" s="21"/>
      <c r="WND87" s="21"/>
      <c r="WNE87" s="21"/>
      <c r="WNF87" s="21"/>
      <c r="WNG87" s="21"/>
      <c r="WNH87" s="21"/>
      <c r="WNI87" s="21"/>
      <c r="WNJ87" s="21"/>
      <c r="WNK87" s="21"/>
      <c r="WNL87" s="21"/>
      <c r="WNM87" s="21"/>
      <c r="WNN87" s="21"/>
      <c r="WNO87" s="21"/>
      <c r="WNP87" s="21"/>
      <c r="WNQ87" s="21"/>
      <c r="WNR87" s="21"/>
      <c r="WNS87" s="21"/>
      <c r="WNT87" s="21"/>
      <c r="WNU87" s="21"/>
      <c r="WNV87" s="21"/>
      <c r="WNW87" s="21"/>
      <c r="WNX87" s="21"/>
      <c r="WNY87" s="21"/>
      <c r="WNZ87" s="21"/>
      <c r="WOA87" s="21"/>
      <c r="WOB87" s="21"/>
      <c r="WOC87" s="21"/>
      <c r="WOD87" s="21"/>
      <c r="WOE87" s="21"/>
      <c r="WOF87" s="21"/>
      <c r="WOG87" s="21"/>
      <c r="WOH87" s="21"/>
      <c r="WOI87" s="21"/>
      <c r="WOJ87" s="21"/>
      <c r="WOK87" s="21"/>
      <c r="WOL87" s="21"/>
      <c r="WOM87" s="21"/>
      <c r="WON87" s="21"/>
      <c r="WOO87" s="21"/>
      <c r="WOP87" s="21"/>
      <c r="WOQ87" s="21"/>
      <c r="WOR87" s="21"/>
      <c r="WOS87" s="21"/>
      <c r="WOT87" s="21"/>
      <c r="WOU87" s="21"/>
      <c r="WOV87" s="21"/>
      <c r="WOW87" s="21"/>
      <c r="WOX87" s="21"/>
      <c r="WOY87" s="21"/>
      <c r="WOZ87" s="21"/>
      <c r="WPA87" s="21"/>
      <c r="WPB87" s="21"/>
      <c r="WPC87" s="21"/>
      <c r="WPD87" s="21"/>
      <c r="WPE87" s="21"/>
      <c r="WPF87" s="21"/>
      <c r="WPG87" s="21"/>
      <c r="WPH87" s="21"/>
      <c r="WPI87" s="21"/>
      <c r="WPJ87" s="21"/>
      <c r="WPK87" s="21"/>
      <c r="WPL87" s="21"/>
      <c r="WPM87" s="21"/>
      <c r="WPN87" s="21"/>
      <c r="WPO87" s="21"/>
      <c r="WPP87" s="21"/>
      <c r="WPQ87" s="21"/>
      <c r="WPR87" s="21"/>
      <c r="WPS87" s="21"/>
      <c r="WPT87" s="21"/>
      <c r="WPU87" s="21"/>
      <c r="WPV87" s="21"/>
      <c r="WPW87" s="21"/>
      <c r="WPX87" s="21"/>
      <c r="WPY87" s="21"/>
      <c r="WPZ87" s="21"/>
      <c r="WQA87" s="21"/>
      <c r="WQB87" s="21"/>
      <c r="WQC87" s="21"/>
      <c r="WQD87" s="21"/>
      <c r="WQE87" s="21"/>
      <c r="WQF87" s="21"/>
      <c r="WQG87" s="21"/>
      <c r="WQH87" s="21"/>
      <c r="WQI87" s="21"/>
      <c r="WQJ87" s="21"/>
      <c r="WQK87" s="21"/>
      <c r="WQL87" s="21"/>
      <c r="WQM87" s="21"/>
      <c r="WQN87" s="21"/>
      <c r="WQO87" s="21"/>
      <c r="WQP87" s="21"/>
      <c r="WQQ87" s="21"/>
      <c r="WQR87" s="21"/>
      <c r="WQS87" s="21"/>
      <c r="WQT87" s="21"/>
      <c r="WQU87" s="21"/>
      <c r="WQV87" s="21"/>
      <c r="WQW87" s="21"/>
      <c r="WQX87" s="21"/>
      <c r="WQY87" s="21"/>
      <c r="WQZ87" s="21"/>
      <c r="WRA87" s="21"/>
      <c r="WRB87" s="21"/>
      <c r="WRC87" s="21"/>
      <c r="WRD87" s="21"/>
      <c r="WRE87" s="21"/>
      <c r="WRF87" s="21"/>
      <c r="WRG87" s="21"/>
      <c r="WRH87" s="21"/>
      <c r="WRI87" s="21"/>
      <c r="WRJ87" s="21"/>
      <c r="WRK87" s="21"/>
      <c r="WRL87" s="21"/>
      <c r="WRM87" s="21"/>
      <c r="WRN87" s="21"/>
      <c r="WRO87" s="21"/>
      <c r="WRP87" s="21"/>
      <c r="WRQ87" s="21"/>
      <c r="WRR87" s="21"/>
      <c r="WRS87" s="21"/>
      <c r="WRT87" s="21"/>
      <c r="WRU87" s="21"/>
      <c r="WRV87" s="21"/>
      <c r="WRW87" s="21"/>
      <c r="WRX87" s="21"/>
      <c r="WRY87" s="21"/>
      <c r="WRZ87" s="21"/>
      <c r="WSA87" s="21"/>
      <c r="WSB87" s="21"/>
      <c r="WSC87" s="21"/>
      <c r="WSD87" s="21"/>
      <c r="WSE87" s="21"/>
      <c r="WSF87" s="21"/>
      <c r="WSG87" s="21"/>
      <c r="WSH87" s="21"/>
      <c r="WSI87" s="21"/>
      <c r="WSJ87" s="21"/>
      <c r="WSK87" s="21"/>
      <c r="WSL87" s="21"/>
      <c r="WSM87" s="21"/>
      <c r="WSN87" s="21"/>
      <c r="WSO87" s="21"/>
      <c r="WSP87" s="21"/>
      <c r="WSQ87" s="21"/>
      <c r="WSR87" s="21"/>
      <c r="WSS87" s="21"/>
      <c r="WST87" s="21"/>
      <c r="WSU87" s="21"/>
      <c r="WSV87" s="21"/>
      <c r="WSW87" s="21"/>
      <c r="WSX87" s="21"/>
      <c r="WSY87" s="21"/>
      <c r="WSZ87" s="21"/>
      <c r="WTA87" s="21"/>
      <c r="WTB87" s="21"/>
      <c r="WTC87" s="21"/>
      <c r="WTD87" s="21"/>
      <c r="WTE87" s="21"/>
      <c r="WTF87" s="21"/>
      <c r="WTG87" s="21"/>
      <c r="WTH87" s="21"/>
      <c r="WTI87" s="21"/>
      <c r="WTJ87" s="21"/>
      <c r="WTK87" s="21"/>
      <c r="WTL87" s="21"/>
      <c r="WTM87" s="21"/>
      <c r="WTN87" s="21"/>
      <c r="WTO87" s="21"/>
      <c r="WTP87" s="21"/>
      <c r="WTQ87" s="21"/>
      <c r="WTR87" s="21"/>
      <c r="WTS87" s="21"/>
      <c r="WTT87" s="21"/>
      <c r="WTU87" s="21"/>
      <c r="WTV87" s="21"/>
      <c r="WTW87" s="21"/>
      <c r="WTX87" s="21"/>
      <c r="WTY87" s="21"/>
      <c r="WTZ87" s="21"/>
      <c r="WUA87" s="21"/>
      <c r="WUB87" s="21"/>
      <c r="WUC87" s="21"/>
      <c r="WUD87" s="21"/>
      <c r="WUE87" s="21"/>
      <c r="WUF87" s="21"/>
      <c r="WUG87" s="21"/>
      <c r="WUH87" s="21"/>
      <c r="WUI87" s="21"/>
      <c r="WUJ87" s="21"/>
      <c r="WUK87" s="21"/>
      <c r="WUL87" s="21"/>
      <c r="WUM87" s="21"/>
      <c r="WUN87" s="21"/>
      <c r="WUO87" s="21"/>
      <c r="WUP87" s="21"/>
      <c r="WUQ87" s="21"/>
      <c r="WUR87" s="21"/>
      <c r="WUS87" s="21"/>
      <c r="WUT87" s="21"/>
      <c r="WUU87" s="21"/>
      <c r="WUV87" s="21"/>
      <c r="WUW87" s="21"/>
      <c r="WUX87" s="21"/>
      <c r="WUY87" s="21"/>
      <c r="WUZ87" s="21"/>
      <c r="WVA87" s="21"/>
      <c r="WVB87" s="21"/>
      <c r="WVC87" s="21"/>
      <c r="WVD87" s="21"/>
      <c r="WVE87" s="21"/>
      <c r="WVF87" s="21"/>
      <c r="WVG87" s="21"/>
      <c r="WVH87" s="21"/>
      <c r="WVI87" s="21"/>
      <c r="WVJ87" s="21"/>
      <c r="WVK87" s="21"/>
      <c r="WVL87" s="21"/>
      <c r="WVM87" s="21"/>
      <c r="WVN87" s="21"/>
      <c r="WVO87" s="21"/>
      <c r="WVP87" s="21"/>
      <c r="WVQ87" s="21"/>
      <c r="WVR87" s="21"/>
      <c r="WVS87" s="21"/>
      <c r="WVT87" s="21"/>
      <c r="WVU87" s="21"/>
      <c r="WVV87" s="21"/>
      <c r="WVW87" s="21"/>
      <c r="WVX87" s="21"/>
      <c r="WVY87" s="21"/>
      <c r="WVZ87" s="21"/>
      <c r="WWA87" s="21"/>
      <c r="WWB87" s="21"/>
      <c r="WWC87" s="21"/>
      <c r="WWD87" s="21"/>
      <c r="WWE87" s="21"/>
      <c r="WWF87" s="21"/>
      <c r="WWG87" s="21"/>
      <c r="WWH87" s="21"/>
      <c r="WWI87" s="21"/>
      <c r="WWJ87" s="21"/>
      <c r="WWK87" s="21"/>
      <c r="WWL87" s="21"/>
      <c r="WWM87" s="21"/>
      <c r="WWN87" s="21"/>
      <c r="WWO87" s="21"/>
      <c r="WWP87" s="21"/>
      <c r="WWQ87" s="21"/>
      <c r="WWR87" s="21"/>
      <c r="WWS87" s="21"/>
      <c r="WWT87" s="21"/>
      <c r="WWU87" s="21"/>
      <c r="WWV87" s="21"/>
      <c r="WWW87" s="21"/>
      <c r="WWX87" s="21"/>
      <c r="WWY87" s="21"/>
      <c r="WWZ87" s="21"/>
      <c r="WXA87" s="21"/>
      <c r="WXB87" s="21"/>
      <c r="WXC87" s="21"/>
      <c r="WXD87" s="21"/>
      <c r="WXE87" s="21"/>
      <c r="WXF87" s="21"/>
      <c r="WXG87" s="21"/>
      <c r="WXH87" s="21"/>
      <c r="WXI87" s="21"/>
      <c r="WXJ87" s="21"/>
      <c r="WXK87" s="21"/>
      <c r="WXL87" s="21"/>
      <c r="WXM87" s="21"/>
      <c r="WXN87" s="21"/>
      <c r="WXO87" s="21"/>
      <c r="WXP87" s="21"/>
      <c r="WXQ87" s="21"/>
      <c r="WXR87" s="21"/>
      <c r="WXS87" s="21"/>
      <c r="WXT87" s="21"/>
      <c r="WXU87" s="21"/>
      <c r="WXV87" s="21"/>
      <c r="WXW87" s="21"/>
      <c r="WXX87" s="21"/>
      <c r="WXY87" s="21"/>
      <c r="WXZ87" s="21"/>
      <c r="WYA87" s="21"/>
      <c r="WYB87" s="21"/>
      <c r="WYC87" s="21"/>
      <c r="WYD87" s="21"/>
      <c r="WYE87" s="21"/>
      <c r="WYF87" s="21"/>
      <c r="WYG87" s="21"/>
      <c r="WYH87" s="21"/>
      <c r="WYI87" s="21"/>
      <c r="WYJ87" s="21"/>
      <c r="WYK87" s="21"/>
      <c r="WYL87" s="21"/>
      <c r="WYM87" s="21"/>
      <c r="WYN87" s="21"/>
      <c r="WYO87" s="21"/>
      <c r="WYP87" s="21"/>
      <c r="WYQ87" s="21"/>
      <c r="WYR87" s="21"/>
      <c r="WYS87" s="21"/>
      <c r="WYT87" s="21"/>
      <c r="WYU87" s="21"/>
      <c r="WYV87" s="21"/>
      <c r="WYW87" s="21"/>
      <c r="WYX87" s="21"/>
      <c r="WYY87" s="21"/>
      <c r="WYZ87" s="21"/>
      <c r="WZA87" s="21"/>
      <c r="WZB87" s="21"/>
      <c r="WZC87" s="21"/>
      <c r="WZD87" s="21"/>
      <c r="WZE87" s="21"/>
      <c r="WZF87" s="21"/>
      <c r="WZG87" s="21"/>
      <c r="WZH87" s="21"/>
      <c r="WZI87" s="21"/>
      <c r="WZJ87" s="21"/>
      <c r="WZK87" s="21"/>
      <c r="WZL87" s="21"/>
      <c r="WZM87" s="21"/>
      <c r="WZN87" s="21"/>
      <c r="WZO87" s="21"/>
      <c r="WZP87" s="21"/>
      <c r="WZQ87" s="21"/>
      <c r="WZR87" s="21"/>
      <c r="WZS87" s="21"/>
      <c r="WZT87" s="21"/>
      <c r="WZU87" s="21"/>
      <c r="WZV87" s="21"/>
      <c r="WZW87" s="21"/>
      <c r="WZX87" s="21"/>
      <c r="WZY87" s="21"/>
      <c r="WZZ87" s="21"/>
      <c r="XAA87" s="21"/>
      <c r="XAB87" s="21"/>
      <c r="XAC87" s="21"/>
      <c r="XAD87" s="21"/>
      <c r="XAE87" s="21"/>
      <c r="XAF87" s="21"/>
      <c r="XAG87" s="21"/>
      <c r="XAH87" s="21"/>
      <c r="XAI87" s="21"/>
      <c r="XAJ87" s="21"/>
      <c r="XAK87" s="21"/>
      <c r="XAL87" s="21"/>
      <c r="XAM87" s="21"/>
      <c r="XAN87" s="21"/>
      <c r="XAO87" s="21"/>
      <c r="XAP87" s="21"/>
      <c r="XAQ87" s="21"/>
      <c r="XAR87" s="21"/>
      <c r="XAS87" s="21"/>
      <c r="XAT87" s="21"/>
      <c r="XAU87" s="21"/>
      <c r="XAV87" s="21"/>
      <c r="XAW87" s="21"/>
      <c r="XAX87" s="21"/>
      <c r="XAY87" s="21"/>
      <c r="XAZ87" s="21"/>
      <c r="XBA87" s="21"/>
      <c r="XBB87" s="21"/>
      <c r="XBC87" s="21"/>
      <c r="XBD87" s="21"/>
      <c r="XBE87" s="21"/>
      <c r="XBF87" s="21"/>
      <c r="XBG87" s="21"/>
      <c r="XBH87" s="21"/>
      <c r="XBI87" s="21"/>
      <c r="XBJ87" s="21"/>
      <c r="XBK87" s="21"/>
      <c r="XBL87" s="21"/>
      <c r="XBM87" s="21"/>
      <c r="XBN87" s="21"/>
      <c r="XBO87" s="21"/>
      <c r="XBP87" s="21"/>
      <c r="XBQ87" s="21"/>
      <c r="XBR87" s="21"/>
      <c r="XBS87" s="21"/>
      <c r="XBT87" s="21"/>
      <c r="XBU87" s="21"/>
      <c r="XBV87" s="21"/>
      <c r="XBW87" s="21"/>
      <c r="XBX87" s="21"/>
      <c r="XBY87" s="21"/>
      <c r="XBZ87" s="21"/>
      <c r="XCA87" s="21"/>
      <c r="XCB87" s="21"/>
      <c r="XCC87" s="21"/>
      <c r="XCD87" s="21"/>
      <c r="XCE87" s="21"/>
      <c r="XCF87" s="21"/>
      <c r="XCG87" s="21"/>
      <c r="XCH87" s="21"/>
      <c r="XCI87" s="21"/>
      <c r="XCJ87" s="21"/>
      <c r="XCK87" s="21"/>
      <c r="XCL87" s="21"/>
      <c r="XCM87" s="21"/>
      <c r="XCN87" s="21"/>
      <c r="XCO87" s="21"/>
      <c r="XCP87" s="21"/>
      <c r="XCQ87" s="21"/>
      <c r="XCR87" s="21"/>
      <c r="XCS87" s="21"/>
      <c r="XCT87" s="21"/>
      <c r="XCU87" s="21"/>
      <c r="XCV87" s="21"/>
      <c r="XCW87" s="21"/>
      <c r="XCX87" s="21"/>
      <c r="XCY87" s="21"/>
      <c r="XCZ87" s="21"/>
      <c r="XDA87" s="21"/>
      <c r="XDB87" s="21"/>
      <c r="XDC87" s="21"/>
      <c r="XDD87" s="21"/>
      <c r="XDE87" s="21"/>
      <c r="XDF87" s="21"/>
      <c r="XDG87" s="21"/>
      <c r="XDH87" s="21"/>
      <c r="XDI87" s="21"/>
      <c r="XDJ87" s="21"/>
      <c r="XDK87" s="21"/>
      <c r="XDL87" s="21"/>
      <c r="XDM87" s="21"/>
      <c r="XDN87" s="21"/>
      <c r="XDO87" s="21"/>
      <c r="XDP87" s="21"/>
      <c r="XDQ87" s="21"/>
      <c r="XDR87" s="21"/>
      <c r="XDS87" s="21"/>
      <c r="XDT87" s="21"/>
      <c r="XDU87" s="21"/>
      <c r="XDV87" s="21"/>
      <c r="XDW87" s="21"/>
      <c r="XDX87" s="21"/>
      <c r="XDY87" s="21"/>
      <c r="XDZ87" s="21"/>
      <c r="XEA87" s="21"/>
      <c r="XEB87" s="21"/>
      <c r="XEC87" s="21"/>
      <c r="XED87" s="21"/>
      <c r="XEE87" s="21"/>
      <c r="XEF87" s="21"/>
      <c r="XEG87" s="21"/>
      <c r="XEH87" s="21"/>
      <c r="XEI87" s="21"/>
      <c r="XEJ87" s="21"/>
      <c r="XEK87" s="21"/>
      <c r="XEL87" s="21"/>
      <c r="XEM87" s="21"/>
      <c r="XEN87" s="21"/>
      <c r="XEO87" s="21"/>
      <c r="XEP87" s="21"/>
      <c r="XEQ87" s="21"/>
      <c r="XER87" s="21"/>
      <c r="XES87" s="21"/>
      <c r="XET87" s="21"/>
      <c r="XEU87" s="21"/>
      <c r="XEV87" s="21"/>
      <c r="XEW87" s="21"/>
      <c r="XEX87" s="21"/>
      <c r="XEY87" s="21"/>
      <c r="XEZ87" s="21"/>
      <c r="XFA87" s="21"/>
      <c r="XFB87" s="21"/>
    </row>
    <row r="88" spans="1:16382" s="47" customFormat="1" ht="36" customHeight="1" thickTop="1" thickBot="1">
      <c r="A88" s="8" t="s">
        <v>297</v>
      </c>
      <c r="B88" s="8" t="s">
        <v>90</v>
      </c>
      <c r="C88" s="8" t="s">
        <v>91</v>
      </c>
      <c r="D88" s="8" t="s">
        <v>92</v>
      </c>
      <c r="E88" s="199" t="s">
        <v>104</v>
      </c>
      <c r="F88" s="199" t="s">
        <v>93</v>
      </c>
      <c r="G88" s="17"/>
    </row>
    <row r="89" spans="1:16382" ht="78" customHeight="1" thickTop="1" thickBot="1">
      <c r="A89" s="27" t="s">
        <v>1169</v>
      </c>
      <c r="B89" s="121" t="str">
        <f>Questions!$C$316</f>
        <v xml:space="preserve">
No answer required
Participating employer insolvency
</v>
      </c>
      <c r="C89" s="187"/>
      <c r="D89" s="372" t="str">
        <f ca="1">'Reconciliation report'!$D763</f>
        <v/>
      </c>
      <c r="E89" s="122" t="str">
        <f>Guidance!$B$228</f>
        <v xml:space="preserve">
If insolvency of a participating employer is a circumstance in which the trustees may seek to enforce the security provided under the terms of the agreement.
</v>
      </c>
      <c r="F89" s="227"/>
    </row>
    <row r="90" spans="1:16382" ht="78" customHeight="1" thickBot="1">
      <c r="A90" s="27" t="s">
        <v>1171</v>
      </c>
      <c r="B90" s="121" t="str">
        <f>Questions!$C$317</f>
        <v xml:space="preserve">
No answer required
Insolvency of associated company
</v>
      </c>
      <c r="C90" s="343"/>
      <c r="D90" s="372" t="str">
        <f ca="1">'Reconciliation report'!$D764</f>
        <v/>
      </c>
      <c r="E90" s="122" t="str">
        <f>Guidance!$B$229</f>
        <v xml:space="preserve">
If insolvency of an associated company is a circumstance in which the trustees may seek to enforce the security provided under the terms of the agreement.
</v>
      </c>
      <c r="F90" s="227"/>
    </row>
    <row r="91" spans="1:16382" ht="78" customHeight="1" thickBot="1">
      <c r="A91" s="27" t="s">
        <v>1173</v>
      </c>
      <c r="B91" s="121" t="str">
        <f>Questions!$C$318</f>
        <v xml:space="preserve">
No answer required
Non payment of contributions
</v>
      </c>
      <c r="C91" s="343"/>
      <c r="D91" s="372" t="str">
        <f ca="1">'Reconciliation report'!$D765</f>
        <v/>
      </c>
      <c r="E91" s="122" t="str">
        <f>Guidance!$B$230</f>
        <v xml:space="preserve">
If non-payment of contributions is a circumstance in which the trustees may seek to enforce the security provided under the terms of the agreement.
</v>
      </c>
      <c r="F91" s="227"/>
    </row>
    <row r="92" spans="1:16382" ht="78" customHeight="1" thickBot="1">
      <c r="A92" s="27" t="s">
        <v>1175</v>
      </c>
      <c r="B92" s="121" t="str">
        <f>Questions!$C$319</f>
        <v xml:space="preserve">
No answer required
Crystallisation of investment risk
</v>
      </c>
      <c r="C92" s="343"/>
      <c r="D92" s="372" t="str">
        <f ca="1">'Reconciliation report'!$D766</f>
        <v/>
      </c>
      <c r="E92" s="122" t="str">
        <f>Guidance!$B$231</f>
        <v xml:space="preserve">
If crystallisation of investment risk is a circumstance in which the trustees may seek to enforce the security provided under the terms of the agreement.
</v>
      </c>
      <c r="F92" s="227"/>
    </row>
    <row r="93" spans="1:16382" ht="78" customHeight="1" thickBot="1">
      <c r="A93" s="27" t="s">
        <v>1177</v>
      </c>
      <c r="B93" s="121" t="str">
        <f>Questions!$C$320</f>
        <v xml:space="preserve">
No answer required
Other
</v>
      </c>
      <c r="C93" s="343"/>
      <c r="D93" s="372" t="str">
        <f ca="1">'Reconciliation report'!$D767</f>
        <v/>
      </c>
      <c r="E93" s="122" t="str">
        <f>Guidance!$B$232</f>
        <v xml:space="preserve">
If there are other circumstances in which the trustees may seek to enforce the security provided under the terms of the agreement.
</v>
      </c>
      <c r="F93" s="227"/>
    </row>
    <row r="94" spans="1:16382" ht="93" customHeight="1">
      <c r="A94" s="27" t="s">
        <v>1179</v>
      </c>
      <c r="B94" s="118" t="str">
        <f>Questions!$C$321</f>
        <v xml:space="preserve">
No answer required
Describe the other triggers for access to value
</v>
      </c>
      <c r="C94" s="519"/>
      <c r="D94" s="361" t="str">
        <f ca="1">'Reconciliation report'!$D768</f>
        <v/>
      </c>
      <c r="E94" s="122" t="str">
        <f>Guidance!$B$233</f>
        <v xml:space="preserve">
Specific description of the 'other' circumstances in which the trustees may seek to enforce the security provided under the terms of the agreement.
</v>
      </c>
      <c r="F94" s="128"/>
    </row>
    <row r="95" spans="1:16382" ht="78" thickBot="1">
      <c r="A95" s="246" t="s">
        <v>1181</v>
      </c>
      <c r="B95" s="172" t="str">
        <f>Questions!$C$322</f>
        <v xml:space="preserve">
No answer required
Triggers for termination
</v>
      </c>
      <c r="C95" s="520"/>
      <c r="D95" s="362" t="str">
        <f ca="1">'Reconciliation report'!$D769</f>
        <v/>
      </c>
      <c r="E95" s="132" t="str">
        <f>Guidance!$B$234</f>
        <v xml:space="preserve">
The circumstances specified in the security agreement under which the agreement will be terminated or will cease to have effect.
</v>
      </c>
      <c r="F95" s="224"/>
    </row>
    <row r="96" spans="1:16382" s="143" customFormat="1" ht="20.149999999999999" customHeight="1" thickBot="1">
      <c r="A96" s="69"/>
      <c r="B96" s="69"/>
      <c r="C96" s="69" t="s">
        <v>23</v>
      </c>
      <c r="D96" s="68"/>
      <c r="E96" s="68"/>
      <c r="F96" s="68"/>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c r="BI96" s="32"/>
      <c r="BJ96" s="32"/>
      <c r="BK96" s="32"/>
      <c r="BL96" s="32"/>
      <c r="BM96" s="32"/>
      <c r="BN96" s="32"/>
      <c r="BO96" s="32"/>
      <c r="BP96" s="32"/>
      <c r="BQ96" s="32"/>
      <c r="BR96" s="32"/>
      <c r="BS96" s="32"/>
      <c r="BT96" s="32"/>
      <c r="BU96" s="32"/>
      <c r="BV96" s="32"/>
      <c r="BW96" s="32"/>
      <c r="BX96" s="32"/>
      <c r="BY96" s="32"/>
      <c r="BZ96" s="32"/>
      <c r="CA96" s="32"/>
      <c r="CB96" s="32"/>
      <c r="CC96" s="32"/>
      <c r="CD96" s="32"/>
      <c r="CE96" s="32"/>
      <c r="CF96" s="32"/>
      <c r="CG96" s="32"/>
      <c r="CH96" s="32"/>
      <c r="CI96" s="32"/>
      <c r="CJ96" s="32"/>
      <c r="CK96" s="32"/>
      <c r="CL96" s="32"/>
      <c r="CM96" s="32"/>
      <c r="CN96" s="32"/>
      <c r="CO96" s="32"/>
      <c r="CP96" s="32"/>
      <c r="CQ96" s="32"/>
      <c r="CR96" s="32"/>
      <c r="CS96" s="32"/>
      <c r="CT96" s="32"/>
      <c r="CU96" s="32"/>
      <c r="CV96" s="32"/>
      <c r="CW96" s="32"/>
      <c r="CX96" s="32"/>
      <c r="CY96" s="32"/>
      <c r="CZ96" s="32"/>
      <c r="DA96" s="32"/>
      <c r="DB96" s="32"/>
      <c r="DC96" s="32"/>
      <c r="DD96" s="32"/>
      <c r="DE96" s="32"/>
      <c r="DF96" s="32"/>
      <c r="DG96" s="32"/>
      <c r="DH96" s="32"/>
      <c r="DI96" s="32"/>
      <c r="DJ96" s="32"/>
      <c r="DK96" s="32"/>
      <c r="DL96" s="32"/>
      <c r="DM96" s="32"/>
      <c r="DN96" s="32"/>
      <c r="DO96" s="32"/>
      <c r="DP96" s="32"/>
      <c r="DQ96" s="32"/>
      <c r="DR96" s="32"/>
      <c r="DS96" s="32"/>
      <c r="DT96" s="32"/>
      <c r="DU96" s="32"/>
      <c r="DV96" s="32"/>
      <c r="DW96" s="32"/>
      <c r="DX96" s="32"/>
      <c r="DY96" s="32"/>
      <c r="DZ96" s="32"/>
      <c r="EA96" s="32"/>
      <c r="EB96" s="32"/>
      <c r="EC96" s="32"/>
      <c r="ED96" s="32"/>
      <c r="EE96" s="32"/>
      <c r="EF96" s="32"/>
      <c r="EG96" s="32"/>
      <c r="EH96" s="32"/>
      <c r="EI96" s="32"/>
      <c r="EJ96" s="32"/>
      <c r="EK96" s="32"/>
      <c r="EL96" s="32"/>
      <c r="EM96" s="32"/>
      <c r="EN96" s="32"/>
      <c r="EO96" s="32"/>
      <c r="EP96" s="32"/>
      <c r="EQ96" s="32"/>
      <c r="ER96" s="32"/>
      <c r="ES96" s="32"/>
      <c r="ET96" s="32"/>
      <c r="EU96" s="32"/>
      <c r="EV96" s="32"/>
      <c r="EW96" s="32"/>
      <c r="EX96" s="32"/>
      <c r="EY96" s="32"/>
      <c r="EZ96" s="32"/>
      <c r="FA96" s="32"/>
      <c r="FB96" s="32"/>
      <c r="FC96" s="32"/>
      <c r="FD96" s="32"/>
      <c r="FE96" s="32"/>
      <c r="FF96" s="32"/>
      <c r="FG96" s="32"/>
      <c r="FH96" s="32"/>
      <c r="FI96" s="32"/>
      <c r="FJ96" s="32"/>
      <c r="FK96" s="32"/>
      <c r="FL96" s="32"/>
      <c r="FM96" s="32"/>
      <c r="FN96" s="32"/>
      <c r="FO96" s="32"/>
      <c r="FP96" s="32"/>
      <c r="FQ96" s="32"/>
      <c r="FR96" s="32"/>
      <c r="FS96" s="32"/>
      <c r="FT96" s="32"/>
      <c r="FU96" s="32"/>
      <c r="FV96" s="32"/>
      <c r="FW96" s="32"/>
      <c r="FX96" s="32"/>
      <c r="FY96" s="32"/>
      <c r="FZ96" s="32"/>
      <c r="GA96" s="32"/>
      <c r="GB96" s="32"/>
      <c r="GC96" s="32"/>
      <c r="GD96" s="32"/>
      <c r="GE96" s="32"/>
      <c r="GF96" s="32"/>
      <c r="GG96" s="32"/>
      <c r="GH96" s="32"/>
      <c r="GI96" s="32"/>
      <c r="GJ96" s="32"/>
      <c r="GK96" s="32"/>
      <c r="GL96" s="32"/>
      <c r="GM96" s="32"/>
      <c r="GN96" s="32"/>
      <c r="GO96" s="32"/>
      <c r="GP96" s="32"/>
      <c r="GQ96" s="32"/>
      <c r="GR96" s="32"/>
      <c r="GS96" s="32"/>
      <c r="GT96" s="32"/>
      <c r="GU96" s="32"/>
      <c r="GV96" s="32"/>
      <c r="GW96" s="32"/>
      <c r="GX96" s="32"/>
      <c r="GY96" s="32"/>
      <c r="GZ96" s="32"/>
      <c r="HA96" s="32"/>
      <c r="HB96" s="32"/>
      <c r="HC96" s="32"/>
      <c r="HD96" s="32"/>
      <c r="HE96" s="32"/>
      <c r="HF96" s="32"/>
      <c r="HG96" s="32"/>
      <c r="HH96" s="32"/>
      <c r="HI96" s="32"/>
      <c r="HJ96" s="32"/>
      <c r="HK96" s="32"/>
      <c r="HL96" s="32"/>
      <c r="HM96" s="32"/>
      <c r="HN96" s="32"/>
      <c r="HO96" s="32"/>
      <c r="HP96" s="32"/>
      <c r="HQ96" s="32"/>
      <c r="HR96" s="32"/>
      <c r="HS96" s="32"/>
      <c r="HT96" s="32"/>
      <c r="HU96" s="32"/>
      <c r="HV96" s="32"/>
      <c r="HW96" s="32"/>
      <c r="HX96" s="32"/>
      <c r="HY96" s="32"/>
      <c r="HZ96" s="32"/>
      <c r="IA96" s="32"/>
      <c r="IB96" s="32"/>
      <c r="IC96" s="32"/>
      <c r="ID96" s="32"/>
      <c r="IE96" s="32"/>
      <c r="IF96" s="32"/>
      <c r="IG96" s="32"/>
      <c r="IH96" s="32"/>
      <c r="II96" s="32"/>
      <c r="IJ96" s="32"/>
      <c r="IK96" s="32"/>
      <c r="IL96" s="32"/>
      <c r="IM96" s="32"/>
      <c r="IN96" s="32"/>
      <c r="IO96" s="32"/>
      <c r="IP96" s="32"/>
      <c r="IQ96" s="32"/>
      <c r="IR96" s="32"/>
      <c r="IS96" s="32"/>
      <c r="IT96" s="32"/>
      <c r="IU96" s="32"/>
      <c r="IV96" s="32"/>
      <c r="IW96" s="32"/>
      <c r="IX96" s="32"/>
      <c r="IY96" s="32"/>
      <c r="IZ96" s="32"/>
      <c r="JA96" s="32"/>
      <c r="JB96" s="32"/>
      <c r="JC96" s="32"/>
      <c r="JD96" s="32"/>
      <c r="JE96" s="32"/>
      <c r="JF96" s="32"/>
      <c r="JG96" s="32"/>
      <c r="JH96" s="32"/>
      <c r="JI96" s="32"/>
      <c r="JJ96" s="32"/>
      <c r="JK96" s="32"/>
      <c r="JL96" s="32"/>
      <c r="JM96" s="32"/>
      <c r="JN96" s="32"/>
      <c r="JO96" s="32"/>
      <c r="JP96" s="32"/>
      <c r="JQ96" s="32"/>
      <c r="JR96" s="32"/>
      <c r="JS96" s="32"/>
      <c r="JT96" s="32"/>
      <c r="JU96" s="32"/>
      <c r="JV96" s="32"/>
      <c r="JW96" s="32"/>
      <c r="JX96" s="32"/>
      <c r="JY96" s="32"/>
      <c r="JZ96" s="32"/>
      <c r="KA96" s="32"/>
      <c r="KB96" s="32"/>
      <c r="KC96" s="32"/>
      <c r="KD96" s="32"/>
      <c r="KE96" s="32"/>
      <c r="KF96" s="32"/>
      <c r="KG96" s="32"/>
      <c r="KH96" s="32"/>
      <c r="KI96" s="32"/>
      <c r="KJ96" s="32"/>
      <c r="KK96" s="32"/>
      <c r="KL96" s="32"/>
      <c r="KM96" s="32"/>
      <c r="KN96" s="32"/>
      <c r="KO96" s="32"/>
      <c r="KP96" s="32"/>
      <c r="KQ96" s="32"/>
      <c r="KR96" s="32"/>
      <c r="KS96" s="32"/>
      <c r="KT96" s="32"/>
      <c r="KU96" s="32"/>
      <c r="KV96" s="32"/>
      <c r="KW96" s="32"/>
      <c r="KX96" s="32"/>
      <c r="KY96" s="32"/>
      <c r="KZ96" s="32"/>
      <c r="LA96" s="32"/>
      <c r="LB96" s="32"/>
      <c r="LC96" s="32"/>
      <c r="LD96" s="32"/>
      <c r="LE96" s="32"/>
      <c r="LF96" s="32"/>
      <c r="LG96" s="32"/>
      <c r="LH96" s="32"/>
      <c r="LI96" s="32"/>
      <c r="LJ96" s="32"/>
      <c r="LK96" s="32"/>
      <c r="LL96" s="32"/>
      <c r="LM96" s="32"/>
      <c r="LN96" s="32"/>
      <c r="LO96" s="32"/>
      <c r="LP96" s="32"/>
      <c r="LQ96" s="32"/>
      <c r="LR96" s="32"/>
      <c r="LS96" s="32"/>
      <c r="LT96" s="32"/>
      <c r="LU96" s="32"/>
      <c r="LV96" s="32"/>
      <c r="LW96" s="32"/>
      <c r="LX96" s="32"/>
      <c r="LY96" s="32"/>
      <c r="LZ96" s="32"/>
      <c r="MA96" s="32"/>
      <c r="MB96" s="32"/>
      <c r="MC96" s="32"/>
      <c r="MD96" s="32"/>
      <c r="ME96" s="32"/>
      <c r="MF96" s="32"/>
      <c r="MG96" s="32"/>
      <c r="MH96" s="32"/>
      <c r="MI96" s="32"/>
      <c r="MJ96" s="32"/>
      <c r="MK96" s="32"/>
      <c r="ML96" s="32"/>
      <c r="MM96" s="32"/>
      <c r="MN96" s="32"/>
      <c r="MO96" s="32"/>
      <c r="MP96" s="32"/>
      <c r="MQ96" s="32"/>
      <c r="MR96" s="32"/>
      <c r="MS96" s="32"/>
      <c r="MT96" s="32"/>
      <c r="MU96" s="32"/>
      <c r="MV96" s="32"/>
      <c r="MW96" s="32"/>
      <c r="MX96" s="32"/>
      <c r="MY96" s="32"/>
      <c r="MZ96" s="32"/>
      <c r="NA96" s="32"/>
      <c r="NB96" s="32"/>
      <c r="NC96" s="32"/>
      <c r="ND96" s="32"/>
      <c r="NE96" s="32"/>
      <c r="NF96" s="32"/>
      <c r="NG96" s="32"/>
      <c r="NH96" s="32"/>
      <c r="NI96" s="32"/>
      <c r="NJ96" s="32"/>
      <c r="NK96" s="32"/>
      <c r="NL96" s="32"/>
      <c r="NM96" s="32"/>
      <c r="NN96" s="32"/>
      <c r="NO96" s="32"/>
      <c r="NP96" s="32"/>
      <c r="NQ96" s="32"/>
      <c r="NR96" s="32"/>
      <c r="NS96" s="32"/>
      <c r="NT96" s="32"/>
      <c r="NU96" s="32"/>
      <c r="NV96" s="32"/>
      <c r="NW96" s="32"/>
      <c r="NX96" s="32"/>
      <c r="NY96" s="32"/>
      <c r="NZ96" s="32"/>
      <c r="OA96" s="32"/>
      <c r="OB96" s="32"/>
      <c r="OC96" s="32"/>
      <c r="OD96" s="32"/>
      <c r="OE96" s="32"/>
      <c r="OF96" s="32"/>
      <c r="OG96" s="32"/>
      <c r="OH96" s="32"/>
      <c r="OI96" s="32"/>
      <c r="OJ96" s="32"/>
      <c r="OK96" s="32"/>
      <c r="OL96" s="32"/>
      <c r="OM96" s="32"/>
      <c r="ON96" s="32"/>
      <c r="OO96" s="32"/>
      <c r="OP96" s="32"/>
      <c r="OQ96" s="32"/>
      <c r="OR96" s="32"/>
      <c r="OS96" s="32"/>
      <c r="OT96" s="32"/>
      <c r="OU96" s="32"/>
      <c r="OV96" s="32"/>
      <c r="OW96" s="32"/>
      <c r="OX96" s="32"/>
      <c r="OY96" s="32"/>
      <c r="OZ96" s="32"/>
      <c r="PA96" s="32"/>
      <c r="PB96" s="32"/>
      <c r="PC96" s="32"/>
      <c r="PD96" s="32"/>
      <c r="PE96" s="32"/>
      <c r="PF96" s="32"/>
      <c r="PG96" s="32"/>
      <c r="PH96" s="32"/>
      <c r="PI96" s="32"/>
      <c r="PJ96" s="32"/>
      <c r="PK96" s="32"/>
      <c r="PL96" s="32"/>
      <c r="PM96" s="32"/>
      <c r="PN96" s="32"/>
      <c r="PO96" s="32"/>
      <c r="PP96" s="32"/>
      <c r="PQ96" s="32"/>
      <c r="PR96" s="32"/>
      <c r="PS96" s="32"/>
      <c r="PT96" s="32"/>
      <c r="PU96" s="32"/>
      <c r="PV96" s="32"/>
      <c r="PW96" s="32"/>
      <c r="PX96" s="32"/>
      <c r="PY96" s="32"/>
      <c r="PZ96" s="32"/>
      <c r="QA96" s="32"/>
      <c r="QB96" s="32"/>
      <c r="QC96" s="32"/>
      <c r="QD96" s="32"/>
      <c r="QE96" s="32"/>
      <c r="QF96" s="32"/>
      <c r="QG96" s="32"/>
      <c r="QH96" s="32"/>
      <c r="QI96" s="32"/>
      <c r="QJ96" s="32"/>
      <c r="QK96" s="32"/>
      <c r="QL96" s="32"/>
      <c r="QM96" s="32"/>
      <c r="QN96" s="32"/>
      <c r="QO96" s="32"/>
      <c r="QP96" s="32"/>
      <c r="QQ96" s="32"/>
      <c r="QR96" s="32"/>
      <c r="QS96" s="32"/>
      <c r="QT96" s="32"/>
      <c r="QU96" s="32"/>
      <c r="QV96" s="32"/>
      <c r="QW96" s="32"/>
      <c r="QX96" s="32"/>
      <c r="QY96" s="32"/>
      <c r="QZ96" s="32"/>
      <c r="RA96" s="32"/>
      <c r="RB96" s="32"/>
      <c r="RC96" s="32"/>
      <c r="RD96" s="32"/>
      <c r="RE96" s="32"/>
      <c r="RF96" s="32"/>
      <c r="RG96" s="32"/>
      <c r="RH96" s="32"/>
      <c r="RI96" s="32"/>
      <c r="RJ96" s="32"/>
      <c r="RK96" s="32"/>
      <c r="RL96" s="32"/>
      <c r="RM96" s="32"/>
      <c r="RN96" s="32"/>
      <c r="RO96" s="32"/>
      <c r="RP96" s="32"/>
      <c r="RQ96" s="32"/>
      <c r="RR96" s="32"/>
      <c r="RS96" s="32"/>
      <c r="RT96" s="32"/>
      <c r="RU96" s="32"/>
      <c r="RV96" s="32"/>
      <c r="RW96" s="32"/>
      <c r="RX96" s="32"/>
      <c r="RY96" s="32"/>
      <c r="RZ96" s="32"/>
      <c r="SA96" s="32"/>
      <c r="SB96" s="32"/>
      <c r="SC96" s="32"/>
      <c r="SD96" s="32"/>
      <c r="SE96" s="32"/>
      <c r="SF96" s="32"/>
      <c r="SG96" s="32"/>
      <c r="SH96" s="32"/>
      <c r="SI96" s="32"/>
      <c r="SJ96" s="32"/>
      <c r="SK96" s="32"/>
      <c r="SL96" s="32"/>
      <c r="SM96" s="32"/>
      <c r="SN96" s="32"/>
      <c r="SO96" s="32"/>
      <c r="SP96" s="32"/>
      <c r="SQ96" s="32"/>
      <c r="SR96" s="32"/>
      <c r="SS96" s="32"/>
      <c r="ST96" s="32"/>
      <c r="SU96" s="32"/>
      <c r="SV96" s="32"/>
      <c r="SW96" s="32"/>
      <c r="SX96" s="32"/>
      <c r="SY96" s="32"/>
      <c r="SZ96" s="32"/>
      <c r="TA96" s="32"/>
      <c r="TB96" s="32"/>
      <c r="TC96" s="32"/>
      <c r="TD96" s="32"/>
      <c r="TE96" s="32"/>
      <c r="TF96" s="32"/>
      <c r="TG96" s="32"/>
      <c r="TH96" s="32"/>
      <c r="TI96" s="32"/>
      <c r="TJ96" s="32"/>
      <c r="TK96" s="32"/>
      <c r="TL96" s="32"/>
      <c r="TM96" s="32"/>
      <c r="TN96" s="32"/>
      <c r="TO96" s="32"/>
      <c r="TP96" s="32"/>
      <c r="TQ96" s="32"/>
      <c r="TR96" s="32"/>
      <c r="TS96" s="32"/>
      <c r="TT96" s="32"/>
      <c r="TU96" s="32"/>
      <c r="TV96" s="32"/>
      <c r="TW96" s="32"/>
      <c r="TX96" s="32"/>
      <c r="TY96" s="32"/>
      <c r="TZ96" s="32"/>
      <c r="UA96" s="32"/>
      <c r="UB96" s="32"/>
      <c r="UC96" s="32"/>
      <c r="UD96" s="32"/>
      <c r="UE96" s="32"/>
      <c r="UF96" s="32"/>
      <c r="UG96" s="32"/>
      <c r="UH96" s="32"/>
      <c r="UI96" s="32"/>
      <c r="UJ96" s="32"/>
      <c r="UK96" s="32"/>
      <c r="UL96" s="32"/>
      <c r="UM96" s="32"/>
      <c r="UN96" s="32"/>
      <c r="UO96" s="32"/>
      <c r="UP96" s="32"/>
      <c r="UQ96" s="32"/>
      <c r="UR96" s="32"/>
      <c r="US96" s="32"/>
      <c r="UT96" s="32"/>
      <c r="UU96" s="32"/>
      <c r="UV96" s="32"/>
      <c r="UW96" s="32"/>
      <c r="UX96" s="32"/>
      <c r="UY96" s="32"/>
      <c r="UZ96" s="32"/>
      <c r="VA96" s="32"/>
      <c r="VB96" s="32"/>
      <c r="VC96" s="32"/>
      <c r="VD96" s="32"/>
      <c r="VE96" s="32"/>
      <c r="VF96" s="32"/>
      <c r="VG96" s="32"/>
      <c r="VH96" s="32"/>
      <c r="VI96" s="32"/>
      <c r="VJ96" s="32"/>
      <c r="VK96" s="32"/>
      <c r="VL96" s="32"/>
      <c r="VM96" s="32"/>
      <c r="VN96" s="32"/>
      <c r="VO96" s="32"/>
      <c r="VP96" s="32"/>
      <c r="VQ96" s="32"/>
      <c r="VR96" s="32"/>
      <c r="VS96" s="32"/>
      <c r="VT96" s="32"/>
      <c r="VU96" s="32"/>
      <c r="VV96" s="32"/>
      <c r="VW96" s="32"/>
      <c r="VX96" s="32"/>
      <c r="VY96" s="32"/>
      <c r="VZ96" s="32"/>
      <c r="WA96" s="32"/>
      <c r="WB96" s="32"/>
      <c r="WC96" s="32"/>
      <c r="WD96" s="32"/>
      <c r="WE96" s="32"/>
      <c r="WF96" s="32"/>
      <c r="WG96" s="32"/>
      <c r="WH96" s="32"/>
      <c r="WI96" s="32"/>
      <c r="WJ96" s="32"/>
      <c r="WK96" s="32"/>
      <c r="WL96" s="32"/>
      <c r="WM96" s="32"/>
      <c r="WN96" s="32"/>
      <c r="WO96" s="32"/>
      <c r="WP96" s="32"/>
      <c r="WQ96" s="32"/>
      <c r="WR96" s="32"/>
      <c r="WS96" s="32"/>
      <c r="WT96" s="32"/>
      <c r="WU96" s="32"/>
      <c r="WV96" s="32"/>
      <c r="WW96" s="32"/>
      <c r="WX96" s="32"/>
      <c r="WY96" s="32"/>
      <c r="WZ96" s="32"/>
      <c r="XA96" s="32"/>
      <c r="XB96" s="32"/>
      <c r="XC96" s="32"/>
      <c r="XD96" s="32"/>
      <c r="XE96" s="32"/>
      <c r="XF96" s="32"/>
      <c r="XG96" s="32"/>
      <c r="XH96" s="32"/>
      <c r="XI96" s="32"/>
      <c r="XJ96" s="32"/>
      <c r="XK96" s="32"/>
      <c r="XL96" s="32"/>
      <c r="XM96" s="32"/>
      <c r="XN96" s="32"/>
      <c r="XO96" s="32"/>
      <c r="XP96" s="32"/>
      <c r="XQ96" s="32"/>
      <c r="XR96" s="32"/>
      <c r="XS96" s="32"/>
      <c r="XT96" s="32"/>
      <c r="XU96" s="32"/>
      <c r="XV96" s="32"/>
      <c r="XW96" s="32"/>
      <c r="XX96" s="32"/>
      <c r="XY96" s="32"/>
      <c r="XZ96" s="32"/>
      <c r="YA96" s="32"/>
      <c r="YB96" s="32"/>
      <c r="YC96" s="32"/>
      <c r="YD96" s="32"/>
      <c r="YE96" s="32"/>
      <c r="YF96" s="32"/>
      <c r="YG96" s="32"/>
      <c r="YH96" s="32"/>
      <c r="YI96" s="32"/>
      <c r="YJ96" s="32"/>
      <c r="YK96" s="32"/>
      <c r="YL96" s="32"/>
      <c r="YM96" s="32"/>
      <c r="YN96" s="32"/>
      <c r="YO96" s="32"/>
      <c r="YP96" s="32"/>
      <c r="YQ96" s="32"/>
      <c r="YR96" s="32"/>
      <c r="YS96" s="32"/>
      <c r="YT96" s="32"/>
      <c r="YU96" s="32"/>
      <c r="YV96" s="32"/>
      <c r="YW96" s="32"/>
      <c r="YX96" s="32"/>
      <c r="YY96" s="32"/>
      <c r="YZ96" s="32"/>
      <c r="ZA96" s="32"/>
      <c r="ZB96" s="32"/>
      <c r="ZC96" s="32"/>
      <c r="ZD96" s="32"/>
      <c r="ZE96" s="32"/>
      <c r="ZF96" s="32"/>
      <c r="ZG96" s="32"/>
      <c r="ZH96" s="32"/>
      <c r="ZI96" s="32"/>
      <c r="ZJ96" s="32"/>
      <c r="ZK96" s="32"/>
      <c r="ZL96" s="32"/>
      <c r="ZM96" s="32"/>
      <c r="ZN96" s="32"/>
      <c r="ZO96" s="32"/>
      <c r="ZP96" s="32"/>
      <c r="ZQ96" s="32"/>
      <c r="ZR96" s="32"/>
      <c r="ZS96" s="32"/>
      <c r="ZT96" s="32"/>
      <c r="ZU96" s="32"/>
      <c r="ZV96" s="32"/>
      <c r="ZW96" s="32"/>
      <c r="ZX96" s="32"/>
      <c r="ZY96" s="32"/>
      <c r="ZZ96" s="32"/>
      <c r="AAA96" s="32"/>
      <c r="AAB96" s="32"/>
      <c r="AAC96" s="32"/>
      <c r="AAD96" s="32"/>
      <c r="AAE96" s="32"/>
      <c r="AAF96" s="32"/>
      <c r="AAG96" s="32"/>
      <c r="AAH96" s="32"/>
      <c r="AAI96" s="32"/>
      <c r="AAJ96" s="32"/>
      <c r="AAK96" s="32"/>
      <c r="AAL96" s="32"/>
      <c r="AAM96" s="32"/>
      <c r="AAN96" s="32"/>
      <c r="AAO96" s="32"/>
      <c r="AAP96" s="32"/>
      <c r="AAQ96" s="32"/>
      <c r="AAR96" s="32"/>
      <c r="AAS96" s="32"/>
      <c r="AAT96" s="32"/>
      <c r="AAU96" s="32"/>
      <c r="AAV96" s="32"/>
      <c r="AAW96" s="32"/>
      <c r="AAX96" s="32"/>
      <c r="AAY96" s="32"/>
      <c r="AAZ96" s="32"/>
      <c r="ABA96" s="32"/>
      <c r="ABB96" s="32"/>
      <c r="ABC96" s="32"/>
      <c r="ABD96" s="32"/>
      <c r="ABE96" s="32"/>
      <c r="ABF96" s="32"/>
      <c r="ABG96" s="32"/>
      <c r="ABH96" s="32"/>
      <c r="ABI96" s="32"/>
      <c r="ABJ96" s="32"/>
      <c r="ABK96" s="32"/>
      <c r="ABL96" s="32"/>
      <c r="ABM96" s="32"/>
      <c r="ABN96" s="32"/>
      <c r="ABO96" s="32"/>
      <c r="ABP96" s="32"/>
      <c r="ABQ96" s="32"/>
      <c r="ABR96" s="32"/>
      <c r="ABS96" s="32"/>
      <c r="ABT96" s="32"/>
      <c r="ABU96" s="32"/>
      <c r="ABV96" s="32"/>
      <c r="ABW96" s="32"/>
      <c r="ABX96" s="32"/>
      <c r="ABY96" s="32"/>
      <c r="ABZ96" s="32"/>
      <c r="ACA96" s="32"/>
      <c r="ACB96" s="32"/>
      <c r="ACC96" s="32"/>
      <c r="ACD96" s="32"/>
      <c r="ACE96" s="32"/>
      <c r="ACF96" s="32"/>
      <c r="ACG96" s="32"/>
      <c r="ACH96" s="32"/>
      <c r="ACI96" s="32"/>
      <c r="ACJ96" s="32"/>
      <c r="ACK96" s="32"/>
      <c r="ACL96" s="32"/>
      <c r="ACM96" s="32"/>
      <c r="ACN96" s="32"/>
      <c r="ACO96" s="32"/>
      <c r="ACP96" s="32"/>
      <c r="ACQ96" s="32"/>
      <c r="ACR96" s="32"/>
      <c r="ACS96" s="32"/>
      <c r="ACT96" s="32"/>
      <c r="ACU96" s="32"/>
      <c r="ACV96" s="32"/>
      <c r="ACW96" s="32"/>
      <c r="ACX96" s="32"/>
      <c r="ACY96" s="32"/>
      <c r="ACZ96" s="32"/>
      <c r="ADA96" s="32"/>
      <c r="ADB96" s="32"/>
      <c r="ADC96" s="32"/>
      <c r="ADD96" s="32"/>
      <c r="ADE96" s="32"/>
      <c r="ADF96" s="32"/>
      <c r="ADG96" s="32"/>
      <c r="ADH96" s="32"/>
      <c r="ADI96" s="32"/>
      <c r="ADJ96" s="32"/>
      <c r="ADK96" s="32"/>
      <c r="ADL96" s="32"/>
      <c r="ADM96" s="32"/>
      <c r="ADN96" s="32"/>
      <c r="ADO96" s="32"/>
      <c r="ADP96" s="32"/>
      <c r="ADQ96" s="32"/>
      <c r="ADR96" s="32"/>
      <c r="ADS96" s="32"/>
      <c r="ADT96" s="32"/>
      <c r="ADU96" s="32"/>
      <c r="ADV96" s="32"/>
      <c r="ADW96" s="32"/>
      <c r="ADX96" s="32"/>
      <c r="ADY96" s="32"/>
      <c r="ADZ96" s="32"/>
      <c r="AEA96" s="32"/>
      <c r="AEB96" s="32"/>
      <c r="AEC96" s="32"/>
      <c r="AED96" s="32"/>
      <c r="AEE96" s="32"/>
      <c r="AEF96" s="32"/>
      <c r="AEG96" s="32"/>
      <c r="AEH96" s="32"/>
      <c r="AEI96" s="32"/>
      <c r="AEJ96" s="32"/>
      <c r="AEK96" s="32"/>
      <c r="AEL96" s="32"/>
      <c r="AEM96" s="32"/>
      <c r="AEN96" s="32"/>
      <c r="AEO96" s="32"/>
      <c r="AEP96" s="32"/>
      <c r="AEQ96" s="32"/>
      <c r="AER96" s="32"/>
      <c r="AES96" s="32"/>
      <c r="AET96" s="32"/>
      <c r="AEU96" s="32"/>
      <c r="AEV96" s="32"/>
      <c r="AEW96" s="32"/>
      <c r="AEX96" s="32"/>
      <c r="AEY96" s="32"/>
      <c r="AEZ96" s="32"/>
      <c r="AFA96" s="32"/>
      <c r="AFB96" s="32"/>
      <c r="AFC96" s="32"/>
      <c r="AFD96" s="32"/>
      <c r="AFE96" s="32"/>
      <c r="AFF96" s="32"/>
      <c r="AFG96" s="32"/>
      <c r="AFH96" s="32"/>
      <c r="AFI96" s="32"/>
      <c r="AFJ96" s="32"/>
      <c r="AFK96" s="32"/>
      <c r="AFL96" s="32"/>
      <c r="AFM96" s="32"/>
      <c r="AFN96" s="32"/>
      <c r="AFO96" s="32"/>
      <c r="AFP96" s="32"/>
      <c r="AFQ96" s="32"/>
      <c r="AFR96" s="32"/>
      <c r="AFS96" s="32"/>
      <c r="AFT96" s="32"/>
      <c r="AFU96" s="32"/>
      <c r="AFV96" s="32"/>
      <c r="AFW96" s="32"/>
      <c r="AFX96" s="32"/>
      <c r="AFY96" s="32"/>
      <c r="AFZ96" s="32"/>
      <c r="AGA96" s="32"/>
      <c r="AGB96" s="32"/>
      <c r="AGC96" s="32"/>
      <c r="AGD96" s="32"/>
      <c r="AGE96" s="32"/>
      <c r="AGF96" s="32"/>
      <c r="AGG96" s="32"/>
      <c r="AGH96" s="32"/>
      <c r="AGI96" s="32"/>
      <c r="AGJ96" s="32"/>
      <c r="AGK96" s="32"/>
      <c r="AGL96" s="32"/>
      <c r="AGM96" s="32"/>
      <c r="AGN96" s="32"/>
      <c r="AGO96" s="32"/>
      <c r="AGP96" s="32"/>
      <c r="AGQ96" s="32"/>
      <c r="AGR96" s="32"/>
      <c r="AGS96" s="32"/>
      <c r="AGT96" s="32"/>
      <c r="AGU96" s="32"/>
      <c r="AGV96" s="32"/>
      <c r="AGW96" s="32"/>
      <c r="AGX96" s="32"/>
      <c r="AGY96" s="32"/>
      <c r="AGZ96" s="32"/>
      <c r="AHA96" s="32"/>
      <c r="AHB96" s="32"/>
      <c r="AHC96" s="32"/>
      <c r="AHD96" s="32"/>
      <c r="AHE96" s="32"/>
      <c r="AHF96" s="32"/>
      <c r="AHG96" s="32"/>
      <c r="AHH96" s="32"/>
      <c r="AHI96" s="32"/>
      <c r="AHJ96" s="32"/>
      <c r="AHK96" s="32"/>
      <c r="AHL96" s="32"/>
      <c r="AHM96" s="32"/>
      <c r="AHN96" s="32"/>
      <c r="AHO96" s="32"/>
      <c r="AHP96" s="32"/>
      <c r="AHQ96" s="32"/>
      <c r="AHR96" s="32"/>
      <c r="AHS96" s="32"/>
      <c r="AHT96" s="32"/>
      <c r="AHU96" s="32"/>
      <c r="AHV96" s="32"/>
      <c r="AHW96" s="32"/>
      <c r="AHX96" s="32"/>
      <c r="AHY96" s="32"/>
      <c r="AHZ96" s="32"/>
      <c r="AIA96" s="32"/>
      <c r="AIB96" s="32"/>
      <c r="AIC96" s="32"/>
      <c r="AID96" s="32"/>
      <c r="AIE96" s="32"/>
      <c r="AIF96" s="32"/>
      <c r="AIG96" s="32"/>
      <c r="AIH96" s="32"/>
      <c r="AII96" s="32"/>
      <c r="AIJ96" s="32"/>
      <c r="AIK96" s="32"/>
      <c r="AIL96" s="32"/>
      <c r="AIM96" s="32"/>
      <c r="AIN96" s="32"/>
      <c r="AIO96" s="32"/>
      <c r="AIP96" s="32"/>
      <c r="AIQ96" s="32"/>
      <c r="AIR96" s="32"/>
      <c r="AIS96" s="32"/>
      <c r="AIT96" s="32"/>
      <c r="AIU96" s="32"/>
      <c r="AIV96" s="32"/>
      <c r="AIW96" s="32"/>
      <c r="AIX96" s="32"/>
      <c r="AIY96" s="32"/>
      <c r="AIZ96" s="32"/>
      <c r="AJA96" s="32"/>
      <c r="AJB96" s="32"/>
      <c r="AJC96" s="32"/>
      <c r="AJD96" s="32"/>
      <c r="AJE96" s="32"/>
      <c r="AJF96" s="32"/>
      <c r="AJG96" s="32"/>
      <c r="AJH96" s="32"/>
      <c r="AJI96" s="32"/>
      <c r="AJJ96" s="32"/>
      <c r="AJK96" s="32"/>
      <c r="AJL96" s="32"/>
      <c r="AJM96" s="32"/>
      <c r="AJN96" s="32"/>
      <c r="AJO96" s="32"/>
      <c r="AJP96" s="32"/>
      <c r="AJQ96" s="32"/>
      <c r="AJR96" s="32"/>
      <c r="AJS96" s="32"/>
      <c r="AJT96" s="32"/>
      <c r="AJU96" s="32"/>
      <c r="AJV96" s="32"/>
      <c r="AJW96" s="32"/>
      <c r="AJX96" s="32"/>
      <c r="AJY96" s="32"/>
      <c r="AJZ96" s="32"/>
      <c r="AKA96" s="32"/>
      <c r="AKB96" s="32"/>
      <c r="AKC96" s="32"/>
      <c r="AKD96" s="32"/>
      <c r="AKE96" s="32"/>
      <c r="AKF96" s="32"/>
      <c r="AKG96" s="32"/>
      <c r="AKH96" s="32"/>
      <c r="AKI96" s="32"/>
      <c r="AKJ96" s="32"/>
      <c r="AKK96" s="32"/>
      <c r="AKL96" s="32"/>
      <c r="AKM96" s="32"/>
      <c r="AKN96" s="32"/>
      <c r="AKO96" s="32"/>
      <c r="AKP96" s="32"/>
      <c r="AKQ96" s="32"/>
      <c r="AKR96" s="32"/>
      <c r="AKS96" s="32"/>
      <c r="AKT96" s="32"/>
      <c r="AKU96" s="32"/>
      <c r="AKV96" s="32"/>
      <c r="AKW96" s="32"/>
      <c r="AKX96" s="32"/>
      <c r="AKY96" s="32"/>
      <c r="AKZ96" s="32"/>
      <c r="ALA96" s="32"/>
      <c r="ALB96" s="32"/>
      <c r="ALC96" s="32"/>
      <c r="ALD96" s="32"/>
      <c r="ALE96" s="32"/>
      <c r="ALF96" s="32"/>
      <c r="ALG96" s="32"/>
      <c r="ALH96" s="32"/>
      <c r="ALI96" s="32"/>
      <c r="ALJ96" s="32"/>
      <c r="ALK96" s="32"/>
      <c r="ALL96" s="32"/>
      <c r="ALM96" s="32"/>
      <c r="ALN96" s="32"/>
      <c r="ALO96" s="32"/>
      <c r="ALP96" s="32"/>
      <c r="ALQ96" s="32"/>
      <c r="ALR96" s="32"/>
      <c r="ALS96" s="32"/>
      <c r="ALT96" s="32"/>
      <c r="ALU96" s="32"/>
      <c r="ALV96" s="32"/>
      <c r="ALW96" s="32"/>
      <c r="ALX96" s="32"/>
      <c r="ALY96" s="32"/>
      <c r="ALZ96" s="32"/>
      <c r="AMA96" s="32"/>
      <c r="AMB96" s="32"/>
      <c r="AMC96" s="32"/>
      <c r="AMD96" s="32"/>
      <c r="AME96" s="32"/>
      <c r="AMF96" s="32"/>
      <c r="AMG96" s="32"/>
      <c r="AMH96" s="32"/>
      <c r="AMI96" s="32"/>
      <c r="AMJ96" s="32"/>
      <c r="AMK96" s="32"/>
      <c r="AML96" s="32"/>
      <c r="AMM96" s="32"/>
      <c r="AMN96" s="32"/>
      <c r="AMO96" s="32"/>
      <c r="AMP96" s="32"/>
      <c r="AMQ96" s="32"/>
      <c r="AMR96" s="32"/>
      <c r="AMS96" s="32"/>
      <c r="AMT96" s="32"/>
      <c r="AMU96" s="32"/>
      <c r="AMV96" s="32"/>
      <c r="AMW96" s="32"/>
      <c r="AMX96" s="32"/>
      <c r="AMY96" s="32"/>
      <c r="AMZ96" s="32"/>
      <c r="ANA96" s="32"/>
      <c r="ANB96" s="32"/>
      <c r="ANC96" s="32"/>
      <c r="AND96" s="32"/>
      <c r="ANE96" s="32"/>
      <c r="ANF96" s="32"/>
      <c r="ANG96" s="32"/>
      <c r="ANH96" s="32"/>
      <c r="ANI96" s="32"/>
      <c r="ANJ96" s="32"/>
      <c r="ANK96" s="32"/>
      <c r="ANL96" s="32"/>
      <c r="ANM96" s="32"/>
      <c r="ANN96" s="32"/>
      <c r="ANO96" s="32"/>
      <c r="ANP96" s="32"/>
      <c r="ANQ96" s="32"/>
      <c r="ANR96" s="32"/>
      <c r="ANS96" s="32"/>
      <c r="ANT96" s="32"/>
      <c r="ANU96" s="32"/>
      <c r="ANV96" s="32"/>
      <c r="ANW96" s="32"/>
      <c r="ANX96" s="32"/>
      <c r="ANY96" s="32"/>
      <c r="ANZ96" s="32"/>
      <c r="AOA96" s="32"/>
      <c r="AOB96" s="32"/>
      <c r="AOC96" s="32"/>
      <c r="AOD96" s="32"/>
      <c r="AOE96" s="32"/>
      <c r="AOF96" s="32"/>
      <c r="AOG96" s="32"/>
      <c r="AOH96" s="32"/>
      <c r="AOI96" s="32"/>
      <c r="AOJ96" s="32"/>
      <c r="AOK96" s="32"/>
      <c r="AOL96" s="32"/>
      <c r="AOM96" s="32"/>
      <c r="AON96" s="32"/>
      <c r="AOO96" s="32"/>
      <c r="AOP96" s="32"/>
      <c r="AOQ96" s="32"/>
      <c r="AOR96" s="32"/>
      <c r="AOS96" s="32"/>
      <c r="AOT96" s="32"/>
      <c r="AOU96" s="32"/>
      <c r="AOV96" s="32"/>
      <c r="AOW96" s="32"/>
      <c r="AOX96" s="32"/>
      <c r="AOY96" s="32"/>
      <c r="AOZ96" s="32"/>
      <c r="APA96" s="32"/>
      <c r="APB96" s="32"/>
      <c r="APC96" s="32"/>
      <c r="APD96" s="32"/>
      <c r="APE96" s="32"/>
      <c r="APF96" s="32"/>
      <c r="APG96" s="32"/>
      <c r="APH96" s="32"/>
      <c r="API96" s="32"/>
      <c r="APJ96" s="32"/>
      <c r="APK96" s="32"/>
      <c r="APL96" s="32"/>
      <c r="APM96" s="32"/>
      <c r="APN96" s="32"/>
      <c r="APO96" s="32"/>
      <c r="APP96" s="32"/>
      <c r="APQ96" s="32"/>
      <c r="APR96" s="32"/>
      <c r="APS96" s="32"/>
      <c r="APT96" s="32"/>
      <c r="APU96" s="32"/>
      <c r="APV96" s="32"/>
      <c r="APW96" s="32"/>
      <c r="APX96" s="32"/>
      <c r="APY96" s="32"/>
      <c r="APZ96" s="32"/>
      <c r="AQA96" s="32"/>
      <c r="AQB96" s="32"/>
      <c r="AQC96" s="32"/>
      <c r="AQD96" s="32"/>
      <c r="AQE96" s="32"/>
      <c r="AQF96" s="32"/>
      <c r="AQG96" s="32"/>
      <c r="AQH96" s="32"/>
      <c r="AQI96" s="32"/>
      <c r="AQJ96" s="32"/>
      <c r="AQK96" s="32"/>
      <c r="AQL96" s="32"/>
      <c r="AQM96" s="32"/>
      <c r="AQN96" s="32"/>
      <c r="AQO96" s="32"/>
      <c r="AQP96" s="32"/>
      <c r="AQQ96" s="32"/>
      <c r="AQR96" s="32"/>
      <c r="AQS96" s="32"/>
      <c r="AQT96" s="32"/>
      <c r="AQU96" s="32"/>
      <c r="AQV96" s="32"/>
      <c r="AQW96" s="32"/>
      <c r="AQX96" s="32"/>
      <c r="AQY96" s="32"/>
      <c r="AQZ96" s="32"/>
      <c r="ARA96" s="32"/>
      <c r="ARB96" s="32"/>
      <c r="ARC96" s="32"/>
      <c r="ARD96" s="32"/>
      <c r="ARE96" s="32"/>
      <c r="ARF96" s="32"/>
      <c r="ARG96" s="32"/>
      <c r="ARH96" s="32"/>
      <c r="ARI96" s="32"/>
      <c r="ARJ96" s="32"/>
      <c r="ARK96" s="32"/>
      <c r="ARL96" s="32"/>
      <c r="ARM96" s="32"/>
      <c r="ARN96" s="32"/>
      <c r="ARO96" s="32"/>
      <c r="ARP96" s="32"/>
      <c r="ARQ96" s="32"/>
      <c r="ARR96" s="32"/>
      <c r="ARS96" s="32"/>
      <c r="ART96" s="32"/>
      <c r="ARU96" s="32"/>
      <c r="ARV96" s="32"/>
      <c r="ARW96" s="32"/>
      <c r="ARX96" s="32"/>
      <c r="ARY96" s="32"/>
      <c r="ARZ96" s="32"/>
      <c r="ASA96" s="32"/>
      <c r="ASB96" s="32"/>
      <c r="ASC96" s="32"/>
      <c r="ASD96" s="32"/>
      <c r="ASE96" s="32"/>
      <c r="ASF96" s="32"/>
      <c r="ASG96" s="32"/>
      <c r="ASH96" s="32"/>
      <c r="ASI96" s="32"/>
      <c r="ASJ96" s="32"/>
      <c r="ASK96" s="32"/>
      <c r="ASL96" s="32"/>
      <c r="ASM96" s="32"/>
      <c r="ASN96" s="32"/>
      <c r="ASO96" s="32"/>
      <c r="ASP96" s="32"/>
      <c r="ASQ96" s="32"/>
      <c r="ASR96" s="32"/>
      <c r="ASS96" s="32"/>
      <c r="AST96" s="32"/>
      <c r="ASU96" s="32"/>
      <c r="ASV96" s="32"/>
      <c r="ASW96" s="32"/>
      <c r="ASX96" s="32"/>
      <c r="ASY96" s="32"/>
      <c r="ASZ96" s="32"/>
      <c r="ATA96" s="32"/>
      <c r="ATB96" s="32"/>
      <c r="ATC96" s="32"/>
      <c r="ATD96" s="32"/>
      <c r="ATE96" s="32"/>
      <c r="ATF96" s="32"/>
      <c r="ATG96" s="32"/>
      <c r="ATH96" s="32"/>
      <c r="ATI96" s="32"/>
      <c r="ATJ96" s="32"/>
      <c r="ATK96" s="32"/>
      <c r="ATL96" s="32"/>
      <c r="ATM96" s="32"/>
      <c r="ATN96" s="32"/>
      <c r="ATO96" s="32"/>
      <c r="ATP96" s="32"/>
      <c r="ATQ96" s="32"/>
      <c r="ATR96" s="32"/>
      <c r="ATS96" s="32"/>
      <c r="ATT96" s="32"/>
      <c r="ATU96" s="32"/>
      <c r="ATV96" s="32"/>
      <c r="ATW96" s="32"/>
      <c r="ATX96" s="32"/>
      <c r="ATY96" s="32"/>
      <c r="ATZ96" s="32"/>
      <c r="AUA96" s="32"/>
      <c r="AUB96" s="32"/>
      <c r="AUC96" s="32"/>
      <c r="AUD96" s="32"/>
      <c r="AUE96" s="32"/>
      <c r="AUF96" s="32"/>
      <c r="AUG96" s="32"/>
      <c r="AUH96" s="32"/>
      <c r="AUI96" s="32"/>
      <c r="AUJ96" s="32"/>
      <c r="AUK96" s="32"/>
      <c r="AUL96" s="32"/>
      <c r="AUM96" s="32"/>
      <c r="AUN96" s="32"/>
      <c r="AUO96" s="32"/>
      <c r="AUP96" s="32"/>
      <c r="AUQ96" s="32"/>
      <c r="AUR96" s="32"/>
      <c r="AUS96" s="32"/>
      <c r="AUT96" s="32"/>
      <c r="AUU96" s="32"/>
      <c r="AUV96" s="32"/>
      <c r="AUW96" s="32"/>
      <c r="AUX96" s="32"/>
      <c r="AUY96" s="32"/>
      <c r="AUZ96" s="32"/>
      <c r="AVA96" s="32"/>
      <c r="AVB96" s="32"/>
      <c r="AVC96" s="32"/>
      <c r="AVD96" s="32"/>
      <c r="AVE96" s="32"/>
      <c r="AVF96" s="32"/>
      <c r="AVG96" s="32"/>
      <c r="AVH96" s="32"/>
      <c r="AVI96" s="32"/>
      <c r="AVJ96" s="32"/>
      <c r="AVK96" s="32"/>
      <c r="AVL96" s="32"/>
      <c r="AVM96" s="32"/>
      <c r="AVN96" s="32"/>
      <c r="AVO96" s="32"/>
      <c r="AVP96" s="32"/>
      <c r="AVQ96" s="32"/>
      <c r="AVR96" s="32"/>
      <c r="AVS96" s="32"/>
      <c r="AVT96" s="32"/>
      <c r="AVU96" s="32"/>
      <c r="AVV96" s="32"/>
      <c r="AVW96" s="32"/>
      <c r="AVX96" s="32"/>
      <c r="AVY96" s="32"/>
      <c r="AVZ96" s="32"/>
      <c r="AWA96" s="32"/>
      <c r="AWB96" s="32"/>
      <c r="AWC96" s="32"/>
      <c r="AWD96" s="32"/>
      <c r="AWE96" s="32"/>
      <c r="AWF96" s="32"/>
      <c r="AWG96" s="32"/>
      <c r="AWH96" s="32"/>
      <c r="AWI96" s="32"/>
      <c r="AWJ96" s="32"/>
      <c r="AWK96" s="32"/>
      <c r="AWL96" s="32"/>
      <c r="AWM96" s="32"/>
      <c r="AWN96" s="32"/>
      <c r="AWO96" s="32"/>
      <c r="AWP96" s="32"/>
      <c r="AWQ96" s="32"/>
      <c r="AWR96" s="32"/>
      <c r="AWS96" s="32"/>
      <c r="AWT96" s="32"/>
      <c r="AWU96" s="32"/>
      <c r="AWV96" s="32"/>
      <c r="AWW96" s="32"/>
      <c r="AWX96" s="32"/>
      <c r="AWY96" s="32"/>
      <c r="AWZ96" s="32"/>
      <c r="AXA96" s="32"/>
      <c r="AXB96" s="32"/>
      <c r="AXC96" s="32"/>
      <c r="AXD96" s="32"/>
      <c r="AXE96" s="32"/>
      <c r="AXF96" s="32"/>
      <c r="AXG96" s="32"/>
      <c r="AXH96" s="32"/>
      <c r="AXI96" s="32"/>
      <c r="AXJ96" s="32"/>
      <c r="AXK96" s="32"/>
      <c r="AXL96" s="32"/>
      <c r="AXM96" s="32"/>
      <c r="AXN96" s="32"/>
      <c r="AXO96" s="32"/>
      <c r="AXP96" s="32"/>
      <c r="AXQ96" s="32"/>
      <c r="AXR96" s="32"/>
      <c r="AXS96" s="32"/>
      <c r="AXT96" s="32"/>
      <c r="AXU96" s="32"/>
      <c r="AXV96" s="32"/>
      <c r="AXW96" s="32"/>
      <c r="AXX96" s="32"/>
      <c r="AXY96" s="32"/>
      <c r="AXZ96" s="32"/>
      <c r="AYA96" s="32"/>
      <c r="AYB96" s="32"/>
      <c r="AYC96" s="32"/>
      <c r="AYD96" s="32"/>
      <c r="AYE96" s="32"/>
      <c r="AYF96" s="32"/>
      <c r="AYG96" s="32"/>
      <c r="AYH96" s="32"/>
      <c r="AYI96" s="32"/>
      <c r="AYJ96" s="32"/>
      <c r="AYK96" s="32"/>
      <c r="AYL96" s="32"/>
      <c r="AYM96" s="32"/>
      <c r="AYN96" s="32"/>
      <c r="AYO96" s="32"/>
      <c r="AYP96" s="32"/>
      <c r="AYQ96" s="32"/>
      <c r="AYR96" s="32"/>
      <c r="AYS96" s="32"/>
      <c r="AYT96" s="32"/>
      <c r="AYU96" s="32"/>
      <c r="AYV96" s="32"/>
      <c r="AYW96" s="32"/>
      <c r="AYX96" s="32"/>
      <c r="AYY96" s="32"/>
      <c r="AYZ96" s="32"/>
      <c r="AZA96" s="32"/>
      <c r="AZB96" s="32"/>
      <c r="AZC96" s="32"/>
      <c r="AZD96" s="32"/>
      <c r="AZE96" s="32"/>
      <c r="AZF96" s="32"/>
      <c r="AZG96" s="32"/>
      <c r="AZH96" s="32"/>
      <c r="AZI96" s="32"/>
      <c r="AZJ96" s="32"/>
      <c r="AZK96" s="32"/>
      <c r="AZL96" s="32"/>
      <c r="AZM96" s="32"/>
      <c r="AZN96" s="32"/>
      <c r="AZO96" s="32"/>
      <c r="AZP96" s="32"/>
      <c r="AZQ96" s="32"/>
      <c r="AZR96" s="32"/>
      <c r="AZS96" s="32"/>
      <c r="AZT96" s="32"/>
      <c r="AZU96" s="32"/>
      <c r="AZV96" s="32"/>
      <c r="AZW96" s="32"/>
      <c r="AZX96" s="32"/>
      <c r="AZY96" s="32"/>
      <c r="AZZ96" s="32"/>
      <c r="BAA96" s="32"/>
      <c r="BAB96" s="32"/>
      <c r="BAC96" s="32"/>
      <c r="BAD96" s="32"/>
      <c r="BAE96" s="32"/>
      <c r="BAF96" s="32"/>
      <c r="BAG96" s="32"/>
      <c r="BAH96" s="32"/>
      <c r="BAI96" s="32"/>
      <c r="BAJ96" s="32"/>
      <c r="BAK96" s="32"/>
      <c r="BAL96" s="32"/>
      <c r="BAM96" s="32"/>
      <c r="BAN96" s="32"/>
      <c r="BAO96" s="32"/>
      <c r="BAP96" s="32"/>
      <c r="BAQ96" s="32"/>
      <c r="BAR96" s="32"/>
      <c r="BAS96" s="32"/>
      <c r="BAT96" s="32"/>
      <c r="BAU96" s="32"/>
      <c r="BAV96" s="32"/>
      <c r="BAW96" s="32"/>
      <c r="BAX96" s="32"/>
      <c r="BAY96" s="32"/>
      <c r="BAZ96" s="32"/>
      <c r="BBA96" s="32"/>
      <c r="BBB96" s="32"/>
      <c r="BBC96" s="32"/>
      <c r="BBD96" s="32"/>
      <c r="BBE96" s="32"/>
      <c r="BBF96" s="32"/>
      <c r="BBG96" s="32"/>
      <c r="BBH96" s="32"/>
      <c r="BBI96" s="32"/>
      <c r="BBJ96" s="32"/>
      <c r="BBK96" s="32"/>
      <c r="BBL96" s="32"/>
      <c r="BBM96" s="32"/>
      <c r="BBN96" s="32"/>
      <c r="BBO96" s="32"/>
      <c r="BBP96" s="32"/>
      <c r="BBQ96" s="32"/>
      <c r="BBR96" s="32"/>
      <c r="BBS96" s="32"/>
      <c r="BBT96" s="32"/>
      <c r="BBU96" s="32"/>
      <c r="BBV96" s="32"/>
      <c r="BBW96" s="32"/>
      <c r="BBX96" s="32"/>
      <c r="BBY96" s="32"/>
      <c r="BBZ96" s="32"/>
      <c r="BCA96" s="32"/>
      <c r="BCB96" s="32"/>
      <c r="BCC96" s="32"/>
      <c r="BCD96" s="32"/>
      <c r="BCE96" s="32"/>
      <c r="BCF96" s="32"/>
      <c r="BCG96" s="32"/>
      <c r="BCH96" s="32"/>
      <c r="BCI96" s="32"/>
      <c r="BCJ96" s="32"/>
      <c r="BCK96" s="32"/>
      <c r="BCL96" s="32"/>
      <c r="BCM96" s="32"/>
      <c r="BCN96" s="32"/>
      <c r="BCO96" s="32"/>
      <c r="BCP96" s="32"/>
      <c r="BCQ96" s="32"/>
      <c r="BCR96" s="32"/>
      <c r="BCS96" s="32"/>
      <c r="BCT96" s="32"/>
      <c r="BCU96" s="32"/>
      <c r="BCV96" s="32"/>
      <c r="BCW96" s="32"/>
      <c r="BCX96" s="32"/>
      <c r="BCY96" s="32"/>
      <c r="BCZ96" s="32"/>
      <c r="BDA96" s="32"/>
      <c r="BDB96" s="32"/>
      <c r="BDC96" s="32"/>
      <c r="BDD96" s="32"/>
      <c r="BDE96" s="32"/>
      <c r="BDF96" s="32"/>
      <c r="BDG96" s="32"/>
      <c r="BDH96" s="32"/>
      <c r="BDI96" s="32"/>
      <c r="BDJ96" s="32"/>
      <c r="BDK96" s="32"/>
      <c r="BDL96" s="32"/>
      <c r="BDM96" s="32"/>
      <c r="BDN96" s="32"/>
      <c r="BDO96" s="32"/>
      <c r="BDP96" s="32"/>
      <c r="BDQ96" s="32"/>
      <c r="BDR96" s="32"/>
      <c r="BDS96" s="32"/>
      <c r="BDT96" s="32"/>
      <c r="BDU96" s="32"/>
      <c r="BDV96" s="32"/>
      <c r="BDW96" s="32"/>
      <c r="BDX96" s="32"/>
      <c r="BDY96" s="32"/>
      <c r="BDZ96" s="32"/>
      <c r="BEA96" s="32"/>
      <c r="BEB96" s="32"/>
      <c r="BEC96" s="32"/>
      <c r="BED96" s="32"/>
      <c r="BEE96" s="32"/>
      <c r="BEF96" s="32"/>
      <c r="BEG96" s="32"/>
      <c r="BEH96" s="32"/>
      <c r="BEI96" s="32"/>
      <c r="BEJ96" s="32"/>
      <c r="BEK96" s="32"/>
      <c r="BEL96" s="32"/>
      <c r="BEM96" s="32"/>
      <c r="BEN96" s="32"/>
      <c r="BEO96" s="32"/>
      <c r="BEP96" s="32"/>
      <c r="BEQ96" s="32"/>
      <c r="BER96" s="32"/>
      <c r="BES96" s="32"/>
      <c r="BET96" s="32"/>
      <c r="BEU96" s="32"/>
      <c r="BEV96" s="32"/>
      <c r="BEW96" s="32"/>
      <c r="BEX96" s="32"/>
      <c r="BEY96" s="32"/>
      <c r="BEZ96" s="32"/>
      <c r="BFA96" s="32"/>
      <c r="BFB96" s="32"/>
      <c r="BFC96" s="32"/>
      <c r="BFD96" s="32"/>
      <c r="BFE96" s="32"/>
      <c r="BFF96" s="32"/>
      <c r="BFG96" s="32"/>
      <c r="BFH96" s="32"/>
      <c r="BFI96" s="32"/>
      <c r="BFJ96" s="32"/>
      <c r="BFK96" s="32"/>
      <c r="BFL96" s="32"/>
      <c r="BFM96" s="32"/>
      <c r="BFN96" s="32"/>
      <c r="BFO96" s="32"/>
      <c r="BFP96" s="32"/>
      <c r="BFQ96" s="32"/>
      <c r="BFR96" s="32"/>
      <c r="BFS96" s="32"/>
      <c r="BFT96" s="32"/>
      <c r="BFU96" s="32"/>
      <c r="BFV96" s="32"/>
      <c r="BFW96" s="32"/>
      <c r="BFX96" s="32"/>
      <c r="BFY96" s="32"/>
      <c r="BFZ96" s="32"/>
      <c r="BGA96" s="32"/>
      <c r="BGB96" s="32"/>
      <c r="BGC96" s="32"/>
      <c r="BGD96" s="32"/>
      <c r="BGE96" s="32"/>
      <c r="BGF96" s="32"/>
      <c r="BGG96" s="32"/>
      <c r="BGH96" s="32"/>
      <c r="BGI96" s="32"/>
      <c r="BGJ96" s="32"/>
      <c r="BGK96" s="32"/>
      <c r="BGL96" s="32"/>
      <c r="BGM96" s="32"/>
      <c r="BGN96" s="32"/>
      <c r="BGO96" s="32"/>
      <c r="BGP96" s="32"/>
      <c r="BGQ96" s="32"/>
      <c r="BGR96" s="32"/>
      <c r="BGS96" s="32"/>
      <c r="BGT96" s="32"/>
      <c r="BGU96" s="32"/>
      <c r="BGV96" s="32"/>
      <c r="BGW96" s="32"/>
      <c r="BGX96" s="32"/>
      <c r="BGY96" s="32"/>
      <c r="BGZ96" s="32"/>
      <c r="BHA96" s="32"/>
      <c r="BHB96" s="32"/>
      <c r="BHC96" s="32"/>
      <c r="BHD96" s="32"/>
      <c r="BHE96" s="32"/>
      <c r="BHF96" s="32"/>
      <c r="BHG96" s="32"/>
      <c r="BHH96" s="32"/>
      <c r="BHI96" s="32"/>
      <c r="BHJ96" s="32"/>
      <c r="BHK96" s="32"/>
      <c r="BHL96" s="32"/>
      <c r="BHM96" s="32"/>
      <c r="BHN96" s="32"/>
      <c r="BHO96" s="32"/>
      <c r="BHP96" s="32"/>
      <c r="BHQ96" s="32"/>
      <c r="BHR96" s="32"/>
      <c r="BHS96" s="32"/>
      <c r="BHT96" s="32"/>
      <c r="BHU96" s="32"/>
      <c r="BHV96" s="32"/>
      <c r="BHW96" s="32"/>
      <c r="BHX96" s="32"/>
      <c r="BHY96" s="32"/>
      <c r="BHZ96" s="32"/>
      <c r="BIA96" s="32"/>
      <c r="BIB96" s="32"/>
      <c r="BIC96" s="32"/>
      <c r="BID96" s="32"/>
      <c r="BIE96" s="32"/>
      <c r="BIF96" s="32"/>
      <c r="BIG96" s="32"/>
      <c r="BIH96" s="32"/>
      <c r="BII96" s="32"/>
      <c r="BIJ96" s="32"/>
      <c r="BIK96" s="32"/>
      <c r="BIL96" s="32"/>
      <c r="BIM96" s="32"/>
      <c r="BIN96" s="32"/>
      <c r="BIO96" s="32"/>
      <c r="BIP96" s="32"/>
      <c r="BIQ96" s="32"/>
      <c r="BIR96" s="32"/>
      <c r="BIS96" s="32"/>
      <c r="BIT96" s="32"/>
      <c r="BIU96" s="32"/>
      <c r="BIV96" s="32"/>
      <c r="BIW96" s="32"/>
      <c r="BIX96" s="32"/>
      <c r="BIY96" s="32"/>
      <c r="BIZ96" s="32"/>
      <c r="BJA96" s="32"/>
      <c r="BJB96" s="32"/>
      <c r="BJC96" s="32"/>
      <c r="BJD96" s="32"/>
      <c r="BJE96" s="32"/>
      <c r="BJF96" s="32"/>
      <c r="BJG96" s="32"/>
      <c r="BJH96" s="32"/>
      <c r="BJI96" s="32"/>
      <c r="BJJ96" s="32"/>
      <c r="BJK96" s="32"/>
      <c r="BJL96" s="32"/>
      <c r="BJM96" s="32"/>
      <c r="BJN96" s="32"/>
      <c r="BJO96" s="32"/>
      <c r="BJP96" s="32"/>
      <c r="BJQ96" s="32"/>
      <c r="BJR96" s="32"/>
      <c r="BJS96" s="32"/>
      <c r="BJT96" s="32"/>
      <c r="BJU96" s="32"/>
      <c r="BJV96" s="32"/>
      <c r="BJW96" s="32"/>
      <c r="BJX96" s="32"/>
      <c r="BJY96" s="32"/>
      <c r="BJZ96" s="32"/>
      <c r="BKA96" s="32"/>
      <c r="BKB96" s="32"/>
      <c r="BKC96" s="32"/>
      <c r="BKD96" s="32"/>
      <c r="BKE96" s="32"/>
      <c r="BKF96" s="32"/>
      <c r="BKG96" s="32"/>
      <c r="BKH96" s="32"/>
      <c r="BKI96" s="32"/>
      <c r="BKJ96" s="32"/>
      <c r="BKK96" s="32"/>
      <c r="BKL96" s="32"/>
      <c r="BKM96" s="32"/>
      <c r="BKN96" s="32"/>
      <c r="BKO96" s="32"/>
      <c r="BKP96" s="32"/>
      <c r="BKQ96" s="32"/>
      <c r="BKR96" s="32"/>
      <c r="BKS96" s="32"/>
      <c r="BKT96" s="32"/>
      <c r="BKU96" s="32"/>
      <c r="BKV96" s="32"/>
      <c r="BKW96" s="32"/>
      <c r="BKX96" s="32"/>
      <c r="BKY96" s="32"/>
      <c r="BKZ96" s="32"/>
      <c r="BLA96" s="32"/>
      <c r="BLB96" s="32"/>
      <c r="BLC96" s="32"/>
      <c r="BLD96" s="32"/>
      <c r="BLE96" s="32"/>
      <c r="BLF96" s="32"/>
      <c r="BLG96" s="32"/>
      <c r="BLH96" s="32"/>
      <c r="BLI96" s="32"/>
      <c r="BLJ96" s="32"/>
      <c r="BLK96" s="32"/>
      <c r="BLL96" s="32"/>
      <c r="BLM96" s="32"/>
      <c r="BLN96" s="32"/>
      <c r="BLO96" s="32"/>
      <c r="BLP96" s="32"/>
      <c r="BLQ96" s="32"/>
      <c r="BLR96" s="32"/>
      <c r="BLS96" s="32"/>
      <c r="BLT96" s="32"/>
      <c r="BLU96" s="32"/>
      <c r="BLV96" s="32"/>
      <c r="BLW96" s="32"/>
      <c r="BLX96" s="32"/>
      <c r="BLY96" s="32"/>
      <c r="BLZ96" s="32"/>
      <c r="BMA96" s="32"/>
      <c r="BMB96" s="32"/>
      <c r="BMC96" s="32"/>
      <c r="BMD96" s="32"/>
      <c r="BME96" s="32"/>
      <c r="BMF96" s="32"/>
      <c r="BMG96" s="32"/>
      <c r="BMH96" s="32"/>
      <c r="BMI96" s="32"/>
      <c r="BMJ96" s="32"/>
      <c r="BMK96" s="32"/>
      <c r="BML96" s="32"/>
      <c r="BMM96" s="32"/>
      <c r="BMN96" s="32"/>
      <c r="BMO96" s="32"/>
      <c r="BMP96" s="32"/>
      <c r="BMQ96" s="32"/>
      <c r="BMR96" s="32"/>
      <c r="BMS96" s="32"/>
      <c r="BMT96" s="32"/>
      <c r="BMU96" s="32"/>
      <c r="BMV96" s="32"/>
      <c r="BMW96" s="32"/>
      <c r="BMX96" s="32"/>
      <c r="BMY96" s="32"/>
      <c r="BMZ96" s="32"/>
      <c r="BNA96" s="32"/>
      <c r="BNB96" s="32"/>
      <c r="BNC96" s="32"/>
      <c r="BND96" s="32"/>
      <c r="BNE96" s="32"/>
      <c r="BNF96" s="32"/>
      <c r="BNG96" s="32"/>
      <c r="BNH96" s="32"/>
      <c r="BNI96" s="32"/>
      <c r="BNJ96" s="32"/>
      <c r="BNK96" s="32"/>
      <c r="BNL96" s="32"/>
      <c r="BNM96" s="32"/>
      <c r="BNN96" s="32"/>
      <c r="BNO96" s="32"/>
      <c r="BNP96" s="32"/>
      <c r="BNQ96" s="32"/>
      <c r="BNR96" s="32"/>
      <c r="BNS96" s="32"/>
      <c r="BNT96" s="32"/>
      <c r="BNU96" s="32"/>
      <c r="BNV96" s="32"/>
      <c r="BNW96" s="32"/>
      <c r="BNX96" s="32"/>
      <c r="BNY96" s="32"/>
      <c r="BNZ96" s="32"/>
      <c r="BOA96" s="32"/>
      <c r="BOB96" s="32"/>
      <c r="BOC96" s="32"/>
      <c r="BOD96" s="32"/>
      <c r="BOE96" s="32"/>
      <c r="BOF96" s="32"/>
      <c r="BOG96" s="32"/>
      <c r="BOH96" s="32"/>
      <c r="BOI96" s="32"/>
      <c r="BOJ96" s="32"/>
      <c r="BOK96" s="32"/>
      <c r="BOL96" s="32"/>
      <c r="BOM96" s="32"/>
      <c r="BON96" s="32"/>
      <c r="BOO96" s="32"/>
      <c r="BOP96" s="32"/>
      <c r="BOQ96" s="32"/>
      <c r="BOR96" s="32"/>
      <c r="BOS96" s="32"/>
      <c r="BOT96" s="32"/>
      <c r="BOU96" s="32"/>
      <c r="BOV96" s="32"/>
      <c r="BOW96" s="32"/>
      <c r="BOX96" s="32"/>
      <c r="BOY96" s="32"/>
      <c r="BOZ96" s="32"/>
      <c r="BPA96" s="32"/>
      <c r="BPB96" s="32"/>
      <c r="BPC96" s="32"/>
      <c r="BPD96" s="32"/>
      <c r="BPE96" s="32"/>
      <c r="BPF96" s="32"/>
      <c r="BPG96" s="32"/>
      <c r="BPH96" s="32"/>
      <c r="BPI96" s="32"/>
      <c r="BPJ96" s="32"/>
      <c r="BPK96" s="32"/>
      <c r="BPL96" s="32"/>
      <c r="BPM96" s="32"/>
      <c r="BPN96" s="32"/>
      <c r="BPO96" s="32"/>
      <c r="BPP96" s="32"/>
      <c r="BPQ96" s="32"/>
      <c r="BPR96" s="32"/>
      <c r="BPS96" s="32"/>
      <c r="BPT96" s="32"/>
      <c r="BPU96" s="32"/>
      <c r="BPV96" s="32"/>
      <c r="BPW96" s="32"/>
      <c r="BPX96" s="32"/>
      <c r="BPY96" s="32"/>
      <c r="BPZ96" s="32"/>
      <c r="BQA96" s="32"/>
      <c r="BQB96" s="32"/>
      <c r="BQC96" s="32"/>
      <c r="BQD96" s="32"/>
      <c r="BQE96" s="32"/>
      <c r="BQF96" s="32"/>
      <c r="BQG96" s="32"/>
      <c r="BQH96" s="32"/>
      <c r="BQI96" s="32"/>
      <c r="BQJ96" s="32"/>
      <c r="BQK96" s="32"/>
      <c r="BQL96" s="32"/>
      <c r="BQM96" s="32"/>
      <c r="BQN96" s="32"/>
      <c r="BQO96" s="32"/>
      <c r="BQP96" s="32"/>
      <c r="BQQ96" s="32"/>
      <c r="BQR96" s="32"/>
      <c r="BQS96" s="32"/>
      <c r="BQT96" s="32"/>
      <c r="BQU96" s="32"/>
      <c r="BQV96" s="32"/>
      <c r="BQW96" s="32"/>
      <c r="BQX96" s="32"/>
      <c r="BQY96" s="32"/>
      <c r="BQZ96" s="32"/>
      <c r="BRA96" s="32"/>
      <c r="BRB96" s="32"/>
      <c r="BRC96" s="32"/>
      <c r="BRD96" s="32"/>
      <c r="BRE96" s="32"/>
      <c r="BRF96" s="32"/>
      <c r="BRG96" s="32"/>
      <c r="BRH96" s="32"/>
      <c r="BRI96" s="32"/>
      <c r="BRJ96" s="32"/>
      <c r="BRK96" s="32"/>
      <c r="BRL96" s="32"/>
      <c r="BRM96" s="32"/>
      <c r="BRN96" s="32"/>
      <c r="BRO96" s="32"/>
      <c r="BRP96" s="32"/>
      <c r="BRQ96" s="32"/>
      <c r="BRR96" s="32"/>
      <c r="BRS96" s="32"/>
      <c r="BRT96" s="32"/>
      <c r="BRU96" s="32"/>
      <c r="BRV96" s="32"/>
      <c r="BRW96" s="32"/>
      <c r="BRX96" s="32"/>
      <c r="BRY96" s="32"/>
      <c r="BRZ96" s="32"/>
      <c r="BSA96" s="32"/>
      <c r="BSB96" s="32"/>
      <c r="BSC96" s="32"/>
      <c r="BSD96" s="32"/>
      <c r="BSE96" s="32"/>
      <c r="BSF96" s="32"/>
      <c r="BSG96" s="32"/>
      <c r="BSH96" s="32"/>
      <c r="BSI96" s="32"/>
      <c r="BSJ96" s="32"/>
      <c r="BSK96" s="32"/>
      <c r="BSL96" s="32"/>
      <c r="BSM96" s="32"/>
      <c r="BSN96" s="32"/>
      <c r="BSO96" s="32"/>
      <c r="BSP96" s="32"/>
      <c r="BSQ96" s="32"/>
      <c r="BSR96" s="32"/>
      <c r="BSS96" s="32"/>
      <c r="BST96" s="32"/>
      <c r="BSU96" s="32"/>
      <c r="BSV96" s="32"/>
      <c r="BSW96" s="32"/>
      <c r="BSX96" s="32"/>
      <c r="BSY96" s="32"/>
      <c r="BSZ96" s="32"/>
      <c r="BTA96" s="32"/>
      <c r="BTB96" s="32"/>
      <c r="BTC96" s="32"/>
      <c r="BTD96" s="32"/>
      <c r="BTE96" s="32"/>
      <c r="BTF96" s="32"/>
      <c r="BTG96" s="32"/>
      <c r="BTH96" s="32"/>
      <c r="BTI96" s="32"/>
      <c r="BTJ96" s="32"/>
      <c r="BTK96" s="32"/>
      <c r="BTL96" s="32"/>
      <c r="BTM96" s="32"/>
      <c r="BTN96" s="32"/>
      <c r="BTO96" s="32"/>
      <c r="BTP96" s="32"/>
      <c r="BTQ96" s="32"/>
      <c r="BTR96" s="32"/>
      <c r="BTS96" s="32"/>
      <c r="BTT96" s="32"/>
      <c r="BTU96" s="32"/>
      <c r="BTV96" s="32"/>
      <c r="BTW96" s="32"/>
      <c r="BTX96" s="32"/>
      <c r="BTY96" s="32"/>
      <c r="BTZ96" s="32"/>
      <c r="BUA96" s="32"/>
      <c r="BUB96" s="32"/>
      <c r="BUC96" s="32"/>
      <c r="BUD96" s="32"/>
      <c r="BUE96" s="32"/>
      <c r="BUF96" s="32"/>
      <c r="BUG96" s="32"/>
      <c r="BUH96" s="32"/>
      <c r="BUI96" s="32"/>
      <c r="BUJ96" s="32"/>
      <c r="BUK96" s="32"/>
      <c r="BUL96" s="32"/>
      <c r="BUM96" s="32"/>
      <c r="BUN96" s="32"/>
      <c r="BUO96" s="32"/>
      <c r="BUP96" s="32"/>
      <c r="BUQ96" s="32"/>
      <c r="BUR96" s="32"/>
      <c r="BUS96" s="32"/>
      <c r="BUT96" s="32"/>
      <c r="BUU96" s="32"/>
      <c r="BUV96" s="32"/>
      <c r="BUW96" s="32"/>
      <c r="BUX96" s="32"/>
      <c r="BUY96" s="32"/>
      <c r="BUZ96" s="32"/>
      <c r="BVA96" s="32"/>
      <c r="BVB96" s="32"/>
      <c r="BVC96" s="32"/>
      <c r="BVD96" s="32"/>
      <c r="BVE96" s="32"/>
      <c r="BVF96" s="32"/>
      <c r="BVG96" s="32"/>
      <c r="BVH96" s="32"/>
      <c r="BVI96" s="32"/>
      <c r="BVJ96" s="32"/>
      <c r="BVK96" s="32"/>
      <c r="BVL96" s="32"/>
      <c r="BVM96" s="32"/>
      <c r="BVN96" s="32"/>
      <c r="BVO96" s="32"/>
      <c r="BVP96" s="32"/>
      <c r="BVQ96" s="32"/>
      <c r="BVR96" s="32"/>
      <c r="BVS96" s="32"/>
      <c r="BVT96" s="32"/>
      <c r="BVU96" s="32"/>
      <c r="BVV96" s="32"/>
      <c r="BVW96" s="32"/>
      <c r="BVX96" s="32"/>
      <c r="BVY96" s="32"/>
      <c r="BVZ96" s="32"/>
      <c r="BWA96" s="32"/>
      <c r="BWB96" s="32"/>
      <c r="BWC96" s="32"/>
      <c r="BWD96" s="32"/>
      <c r="BWE96" s="32"/>
      <c r="BWF96" s="32"/>
      <c r="BWG96" s="32"/>
      <c r="BWH96" s="32"/>
      <c r="BWI96" s="32"/>
      <c r="BWJ96" s="32"/>
      <c r="BWK96" s="32"/>
      <c r="BWL96" s="32"/>
      <c r="BWM96" s="32"/>
      <c r="BWN96" s="32"/>
      <c r="BWO96" s="32"/>
      <c r="BWP96" s="32"/>
      <c r="BWQ96" s="32"/>
      <c r="BWR96" s="32"/>
      <c r="BWS96" s="32"/>
      <c r="BWT96" s="32"/>
      <c r="BWU96" s="32"/>
      <c r="BWV96" s="32"/>
      <c r="BWW96" s="32"/>
      <c r="BWX96" s="32"/>
      <c r="BWY96" s="32"/>
      <c r="BWZ96" s="32"/>
      <c r="BXA96" s="32"/>
      <c r="BXB96" s="32"/>
      <c r="BXC96" s="32"/>
      <c r="BXD96" s="32"/>
      <c r="BXE96" s="32"/>
      <c r="BXF96" s="32"/>
      <c r="BXG96" s="32"/>
      <c r="BXH96" s="32"/>
      <c r="BXI96" s="32"/>
      <c r="BXJ96" s="32"/>
      <c r="BXK96" s="32"/>
      <c r="BXL96" s="32"/>
      <c r="BXM96" s="32"/>
      <c r="BXN96" s="32"/>
      <c r="BXO96" s="32"/>
      <c r="BXP96" s="32"/>
      <c r="BXQ96" s="32"/>
      <c r="BXR96" s="32"/>
      <c r="BXS96" s="32"/>
      <c r="BXT96" s="32"/>
      <c r="BXU96" s="32"/>
      <c r="BXV96" s="32"/>
      <c r="BXW96" s="32"/>
      <c r="BXX96" s="32"/>
      <c r="BXY96" s="32"/>
      <c r="BXZ96" s="32"/>
      <c r="BYA96" s="32"/>
      <c r="BYB96" s="32"/>
      <c r="BYC96" s="32"/>
      <c r="BYD96" s="32"/>
      <c r="BYE96" s="32"/>
      <c r="BYF96" s="32"/>
      <c r="BYG96" s="32"/>
      <c r="BYH96" s="32"/>
      <c r="BYI96" s="32"/>
      <c r="BYJ96" s="32"/>
      <c r="BYK96" s="32"/>
      <c r="BYL96" s="32"/>
      <c r="BYM96" s="32"/>
      <c r="BYN96" s="32"/>
      <c r="BYO96" s="32"/>
      <c r="BYP96" s="32"/>
      <c r="BYQ96" s="32"/>
      <c r="BYR96" s="32"/>
      <c r="BYS96" s="32"/>
      <c r="BYT96" s="32"/>
      <c r="BYU96" s="32"/>
      <c r="BYV96" s="32"/>
      <c r="BYW96" s="32"/>
      <c r="BYX96" s="32"/>
      <c r="BYY96" s="32"/>
      <c r="BYZ96" s="32"/>
      <c r="BZA96" s="32"/>
      <c r="BZB96" s="32"/>
      <c r="BZC96" s="32"/>
      <c r="BZD96" s="32"/>
      <c r="BZE96" s="32"/>
      <c r="BZF96" s="32"/>
      <c r="BZG96" s="32"/>
      <c r="BZH96" s="32"/>
      <c r="BZI96" s="32"/>
      <c r="BZJ96" s="32"/>
      <c r="BZK96" s="32"/>
      <c r="BZL96" s="32"/>
      <c r="BZM96" s="32"/>
      <c r="BZN96" s="32"/>
      <c r="BZO96" s="32"/>
      <c r="BZP96" s="32"/>
      <c r="BZQ96" s="32"/>
      <c r="BZR96" s="32"/>
      <c r="BZS96" s="32"/>
      <c r="BZT96" s="32"/>
      <c r="BZU96" s="32"/>
      <c r="BZV96" s="32"/>
      <c r="BZW96" s="32"/>
      <c r="BZX96" s="32"/>
      <c r="BZY96" s="32"/>
      <c r="BZZ96" s="32"/>
      <c r="CAA96" s="32"/>
      <c r="CAB96" s="32"/>
      <c r="CAC96" s="32"/>
      <c r="CAD96" s="32"/>
      <c r="CAE96" s="32"/>
      <c r="CAF96" s="32"/>
      <c r="CAG96" s="32"/>
      <c r="CAH96" s="32"/>
      <c r="CAI96" s="32"/>
      <c r="CAJ96" s="32"/>
      <c r="CAK96" s="32"/>
      <c r="CAL96" s="32"/>
      <c r="CAM96" s="32"/>
      <c r="CAN96" s="32"/>
      <c r="CAO96" s="32"/>
      <c r="CAP96" s="32"/>
      <c r="CAQ96" s="32"/>
      <c r="CAR96" s="32"/>
      <c r="CAS96" s="32"/>
      <c r="CAT96" s="32"/>
      <c r="CAU96" s="32"/>
      <c r="CAV96" s="32"/>
      <c r="CAW96" s="32"/>
      <c r="CAX96" s="32"/>
      <c r="CAY96" s="32"/>
      <c r="CAZ96" s="32"/>
      <c r="CBA96" s="32"/>
      <c r="CBB96" s="32"/>
      <c r="CBC96" s="32"/>
      <c r="CBD96" s="32"/>
      <c r="CBE96" s="32"/>
      <c r="CBF96" s="32"/>
      <c r="CBG96" s="32"/>
      <c r="CBH96" s="32"/>
      <c r="CBI96" s="32"/>
      <c r="CBJ96" s="32"/>
      <c r="CBK96" s="32"/>
      <c r="CBL96" s="32"/>
      <c r="CBM96" s="32"/>
      <c r="CBN96" s="32"/>
      <c r="CBO96" s="32"/>
      <c r="CBP96" s="32"/>
      <c r="CBQ96" s="32"/>
      <c r="CBR96" s="32"/>
      <c r="CBS96" s="32"/>
      <c r="CBT96" s="32"/>
      <c r="CBU96" s="32"/>
      <c r="CBV96" s="32"/>
      <c r="CBW96" s="32"/>
      <c r="CBX96" s="32"/>
      <c r="CBY96" s="32"/>
      <c r="CBZ96" s="32"/>
      <c r="CCA96" s="32"/>
      <c r="CCB96" s="32"/>
      <c r="CCC96" s="32"/>
      <c r="CCD96" s="32"/>
      <c r="CCE96" s="32"/>
      <c r="CCF96" s="32"/>
      <c r="CCG96" s="32"/>
      <c r="CCH96" s="32"/>
      <c r="CCI96" s="32"/>
      <c r="CCJ96" s="32"/>
      <c r="CCK96" s="32"/>
      <c r="CCL96" s="32"/>
      <c r="CCM96" s="32"/>
      <c r="CCN96" s="32"/>
      <c r="CCO96" s="32"/>
      <c r="CCP96" s="32"/>
      <c r="CCQ96" s="32"/>
      <c r="CCR96" s="32"/>
      <c r="CCS96" s="32"/>
      <c r="CCT96" s="32"/>
      <c r="CCU96" s="32"/>
      <c r="CCV96" s="32"/>
      <c r="CCW96" s="32"/>
      <c r="CCX96" s="32"/>
      <c r="CCY96" s="32"/>
      <c r="CCZ96" s="32"/>
      <c r="CDA96" s="32"/>
      <c r="CDB96" s="32"/>
      <c r="CDC96" s="32"/>
      <c r="CDD96" s="32"/>
      <c r="CDE96" s="32"/>
      <c r="CDF96" s="32"/>
      <c r="CDG96" s="32"/>
      <c r="CDH96" s="32"/>
      <c r="CDI96" s="32"/>
      <c r="CDJ96" s="32"/>
      <c r="CDK96" s="32"/>
      <c r="CDL96" s="32"/>
      <c r="CDM96" s="32"/>
      <c r="CDN96" s="32"/>
      <c r="CDO96" s="32"/>
      <c r="CDP96" s="32"/>
      <c r="CDQ96" s="32"/>
      <c r="CDR96" s="32"/>
      <c r="CDS96" s="32"/>
      <c r="CDT96" s="32"/>
      <c r="CDU96" s="32"/>
      <c r="CDV96" s="32"/>
      <c r="CDW96" s="32"/>
      <c r="CDX96" s="32"/>
      <c r="CDY96" s="32"/>
      <c r="CDZ96" s="32"/>
      <c r="CEA96" s="32"/>
      <c r="CEB96" s="32"/>
      <c r="CEC96" s="32"/>
      <c r="CED96" s="32"/>
      <c r="CEE96" s="32"/>
      <c r="CEF96" s="32"/>
      <c r="CEG96" s="32"/>
      <c r="CEH96" s="32"/>
      <c r="CEI96" s="32"/>
      <c r="CEJ96" s="32"/>
      <c r="CEK96" s="32"/>
      <c r="CEL96" s="32"/>
      <c r="CEM96" s="32"/>
      <c r="CEN96" s="32"/>
      <c r="CEO96" s="32"/>
      <c r="CEP96" s="32"/>
      <c r="CEQ96" s="32"/>
      <c r="CER96" s="32"/>
      <c r="CES96" s="32"/>
      <c r="CET96" s="32"/>
      <c r="CEU96" s="32"/>
      <c r="CEV96" s="32"/>
      <c r="CEW96" s="32"/>
      <c r="CEX96" s="32"/>
      <c r="CEY96" s="32"/>
      <c r="CEZ96" s="32"/>
      <c r="CFA96" s="32"/>
      <c r="CFB96" s="32"/>
      <c r="CFC96" s="32"/>
      <c r="CFD96" s="32"/>
      <c r="CFE96" s="32"/>
      <c r="CFF96" s="32"/>
      <c r="CFG96" s="32"/>
      <c r="CFH96" s="32"/>
      <c r="CFI96" s="32"/>
      <c r="CFJ96" s="32"/>
      <c r="CFK96" s="32"/>
      <c r="CFL96" s="32"/>
      <c r="CFM96" s="32"/>
      <c r="CFN96" s="32"/>
      <c r="CFO96" s="32"/>
      <c r="CFP96" s="32"/>
      <c r="CFQ96" s="32"/>
      <c r="CFR96" s="32"/>
      <c r="CFS96" s="32"/>
      <c r="CFT96" s="32"/>
      <c r="CFU96" s="32"/>
      <c r="CFV96" s="32"/>
      <c r="CFW96" s="32"/>
      <c r="CFX96" s="32"/>
      <c r="CFY96" s="32"/>
      <c r="CFZ96" s="32"/>
      <c r="CGA96" s="32"/>
      <c r="CGB96" s="32"/>
      <c r="CGC96" s="32"/>
      <c r="CGD96" s="32"/>
      <c r="CGE96" s="32"/>
      <c r="CGF96" s="32"/>
      <c r="CGG96" s="32"/>
      <c r="CGH96" s="32"/>
      <c r="CGI96" s="32"/>
      <c r="CGJ96" s="32"/>
      <c r="CGK96" s="32"/>
      <c r="CGL96" s="32"/>
      <c r="CGM96" s="32"/>
      <c r="CGN96" s="32"/>
      <c r="CGO96" s="32"/>
      <c r="CGP96" s="32"/>
      <c r="CGQ96" s="32"/>
      <c r="CGR96" s="32"/>
      <c r="CGS96" s="32"/>
      <c r="CGT96" s="32"/>
      <c r="CGU96" s="32"/>
      <c r="CGV96" s="32"/>
      <c r="CGW96" s="32"/>
      <c r="CGX96" s="32"/>
      <c r="CGY96" s="32"/>
      <c r="CGZ96" s="32"/>
      <c r="CHA96" s="32"/>
      <c r="CHB96" s="32"/>
      <c r="CHC96" s="32"/>
      <c r="CHD96" s="32"/>
      <c r="CHE96" s="32"/>
      <c r="CHF96" s="32"/>
      <c r="CHG96" s="32"/>
      <c r="CHH96" s="32"/>
      <c r="CHI96" s="32"/>
      <c r="CHJ96" s="32"/>
      <c r="CHK96" s="32"/>
      <c r="CHL96" s="32"/>
      <c r="CHM96" s="32"/>
      <c r="CHN96" s="32"/>
      <c r="CHO96" s="32"/>
      <c r="CHP96" s="32"/>
      <c r="CHQ96" s="32"/>
      <c r="CHR96" s="32"/>
      <c r="CHS96" s="32"/>
      <c r="CHT96" s="32"/>
      <c r="CHU96" s="32"/>
      <c r="CHV96" s="32"/>
      <c r="CHW96" s="32"/>
      <c r="CHX96" s="32"/>
      <c r="CHY96" s="32"/>
      <c r="CHZ96" s="32"/>
      <c r="CIA96" s="32"/>
      <c r="CIB96" s="32"/>
      <c r="CIC96" s="32"/>
      <c r="CID96" s="32"/>
      <c r="CIE96" s="32"/>
      <c r="CIF96" s="32"/>
      <c r="CIG96" s="32"/>
      <c r="CIH96" s="32"/>
      <c r="CII96" s="32"/>
      <c r="CIJ96" s="32"/>
      <c r="CIK96" s="32"/>
      <c r="CIL96" s="32"/>
      <c r="CIM96" s="32"/>
      <c r="CIN96" s="32"/>
      <c r="CIO96" s="32"/>
      <c r="CIP96" s="32"/>
      <c r="CIQ96" s="32"/>
      <c r="CIR96" s="32"/>
      <c r="CIS96" s="32"/>
      <c r="CIT96" s="32"/>
      <c r="CIU96" s="32"/>
      <c r="CIV96" s="32"/>
      <c r="CIW96" s="32"/>
      <c r="CIX96" s="32"/>
      <c r="CIY96" s="32"/>
      <c r="CIZ96" s="32"/>
      <c r="CJA96" s="32"/>
      <c r="CJB96" s="32"/>
      <c r="CJC96" s="32"/>
      <c r="CJD96" s="32"/>
      <c r="CJE96" s="32"/>
      <c r="CJF96" s="32"/>
      <c r="CJG96" s="32"/>
      <c r="CJH96" s="32"/>
      <c r="CJI96" s="32"/>
      <c r="CJJ96" s="32"/>
      <c r="CJK96" s="32"/>
      <c r="CJL96" s="32"/>
      <c r="CJM96" s="32"/>
      <c r="CJN96" s="32"/>
      <c r="CJO96" s="32"/>
      <c r="CJP96" s="32"/>
      <c r="CJQ96" s="32"/>
      <c r="CJR96" s="32"/>
      <c r="CJS96" s="32"/>
      <c r="CJT96" s="32"/>
      <c r="CJU96" s="32"/>
      <c r="CJV96" s="32"/>
      <c r="CJW96" s="32"/>
      <c r="CJX96" s="32"/>
      <c r="CJY96" s="32"/>
      <c r="CJZ96" s="32"/>
      <c r="CKA96" s="32"/>
      <c r="CKB96" s="32"/>
      <c r="CKC96" s="32"/>
      <c r="CKD96" s="32"/>
      <c r="CKE96" s="32"/>
      <c r="CKF96" s="32"/>
      <c r="CKG96" s="32"/>
      <c r="CKH96" s="32"/>
      <c r="CKI96" s="32"/>
      <c r="CKJ96" s="32"/>
      <c r="CKK96" s="32"/>
      <c r="CKL96" s="32"/>
      <c r="CKM96" s="32"/>
      <c r="CKN96" s="32"/>
      <c r="CKO96" s="32"/>
      <c r="CKP96" s="32"/>
      <c r="CKQ96" s="32"/>
      <c r="CKR96" s="32"/>
      <c r="CKS96" s="32"/>
      <c r="CKT96" s="32"/>
      <c r="CKU96" s="32"/>
      <c r="CKV96" s="32"/>
      <c r="CKW96" s="32"/>
      <c r="CKX96" s="32"/>
      <c r="CKY96" s="32"/>
      <c r="CKZ96" s="32"/>
      <c r="CLA96" s="32"/>
      <c r="CLB96" s="32"/>
      <c r="CLC96" s="32"/>
      <c r="CLD96" s="32"/>
      <c r="CLE96" s="32"/>
      <c r="CLF96" s="32"/>
      <c r="CLG96" s="32"/>
      <c r="CLH96" s="32"/>
      <c r="CLI96" s="32"/>
      <c r="CLJ96" s="32"/>
      <c r="CLK96" s="32"/>
      <c r="CLL96" s="32"/>
      <c r="CLM96" s="32"/>
      <c r="CLN96" s="32"/>
      <c r="CLO96" s="32"/>
      <c r="CLP96" s="32"/>
      <c r="CLQ96" s="32"/>
      <c r="CLR96" s="32"/>
      <c r="CLS96" s="32"/>
      <c r="CLT96" s="32"/>
      <c r="CLU96" s="32"/>
      <c r="CLV96" s="32"/>
      <c r="CLW96" s="32"/>
      <c r="CLX96" s="32"/>
      <c r="CLY96" s="32"/>
      <c r="CLZ96" s="32"/>
      <c r="CMA96" s="32"/>
      <c r="CMB96" s="32"/>
      <c r="CMC96" s="32"/>
      <c r="CMD96" s="32"/>
      <c r="CME96" s="32"/>
      <c r="CMF96" s="32"/>
      <c r="CMG96" s="32"/>
      <c r="CMH96" s="32"/>
      <c r="CMI96" s="32"/>
      <c r="CMJ96" s="32"/>
      <c r="CMK96" s="32"/>
      <c r="CML96" s="32"/>
      <c r="CMM96" s="32"/>
      <c r="CMN96" s="32"/>
      <c r="CMO96" s="32"/>
      <c r="CMP96" s="32"/>
      <c r="CMQ96" s="32"/>
      <c r="CMR96" s="32"/>
      <c r="CMS96" s="32"/>
      <c r="CMT96" s="32"/>
      <c r="CMU96" s="32"/>
      <c r="CMV96" s="32"/>
      <c r="CMW96" s="32"/>
      <c r="CMX96" s="32"/>
      <c r="CMY96" s="32"/>
      <c r="CMZ96" s="32"/>
      <c r="CNA96" s="32"/>
      <c r="CNB96" s="32"/>
      <c r="CNC96" s="32"/>
      <c r="CND96" s="32"/>
      <c r="CNE96" s="32"/>
      <c r="CNF96" s="32"/>
      <c r="CNG96" s="32"/>
      <c r="CNH96" s="32"/>
      <c r="CNI96" s="32"/>
      <c r="CNJ96" s="32"/>
      <c r="CNK96" s="32"/>
      <c r="CNL96" s="32"/>
      <c r="CNM96" s="32"/>
      <c r="CNN96" s="32"/>
      <c r="CNO96" s="32"/>
      <c r="CNP96" s="32"/>
      <c r="CNQ96" s="32"/>
      <c r="CNR96" s="32"/>
      <c r="CNS96" s="32"/>
      <c r="CNT96" s="32"/>
      <c r="CNU96" s="32"/>
      <c r="CNV96" s="32"/>
      <c r="CNW96" s="32"/>
      <c r="CNX96" s="32"/>
      <c r="CNY96" s="32"/>
      <c r="CNZ96" s="32"/>
      <c r="COA96" s="32"/>
      <c r="COB96" s="32"/>
      <c r="COC96" s="32"/>
      <c r="COD96" s="32"/>
      <c r="COE96" s="32"/>
      <c r="COF96" s="32"/>
      <c r="COG96" s="32"/>
      <c r="COH96" s="32"/>
      <c r="COI96" s="32"/>
      <c r="COJ96" s="32"/>
      <c r="COK96" s="32"/>
      <c r="COL96" s="32"/>
      <c r="COM96" s="32"/>
      <c r="CON96" s="32"/>
      <c r="COO96" s="32"/>
      <c r="COP96" s="32"/>
      <c r="COQ96" s="32"/>
      <c r="COR96" s="32"/>
      <c r="COS96" s="32"/>
      <c r="COT96" s="32"/>
      <c r="COU96" s="32"/>
      <c r="COV96" s="32"/>
      <c r="COW96" s="32"/>
      <c r="COX96" s="32"/>
      <c r="COY96" s="32"/>
      <c r="COZ96" s="32"/>
      <c r="CPA96" s="32"/>
      <c r="CPB96" s="32"/>
      <c r="CPC96" s="32"/>
      <c r="CPD96" s="32"/>
      <c r="CPE96" s="32"/>
      <c r="CPF96" s="32"/>
      <c r="CPG96" s="32"/>
      <c r="CPH96" s="32"/>
      <c r="CPI96" s="32"/>
      <c r="CPJ96" s="32"/>
      <c r="CPK96" s="32"/>
      <c r="CPL96" s="32"/>
      <c r="CPM96" s="32"/>
      <c r="CPN96" s="32"/>
      <c r="CPO96" s="32"/>
      <c r="CPP96" s="32"/>
      <c r="CPQ96" s="32"/>
      <c r="CPR96" s="32"/>
      <c r="CPS96" s="32"/>
      <c r="CPT96" s="32"/>
      <c r="CPU96" s="32"/>
      <c r="CPV96" s="32"/>
      <c r="CPW96" s="32"/>
      <c r="CPX96" s="32"/>
      <c r="CPY96" s="32"/>
      <c r="CPZ96" s="32"/>
      <c r="CQA96" s="32"/>
      <c r="CQB96" s="32"/>
      <c r="CQC96" s="32"/>
      <c r="CQD96" s="32"/>
      <c r="CQE96" s="32"/>
      <c r="CQF96" s="32"/>
      <c r="CQG96" s="32"/>
      <c r="CQH96" s="32"/>
      <c r="CQI96" s="32"/>
      <c r="CQJ96" s="32"/>
      <c r="CQK96" s="32"/>
      <c r="CQL96" s="32"/>
      <c r="CQM96" s="32"/>
      <c r="CQN96" s="32"/>
      <c r="CQO96" s="32"/>
      <c r="CQP96" s="32"/>
      <c r="CQQ96" s="32"/>
      <c r="CQR96" s="32"/>
      <c r="CQS96" s="32"/>
      <c r="CQT96" s="32"/>
      <c r="CQU96" s="32"/>
      <c r="CQV96" s="32"/>
      <c r="CQW96" s="32"/>
      <c r="CQX96" s="32"/>
      <c r="CQY96" s="32"/>
      <c r="CQZ96" s="32"/>
      <c r="CRA96" s="32"/>
      <c r="CRB96" s="32"/>
      <c r="CRC96" s="32"/>
      <c r="CRD96" s="32"/>
      <c r="CRE96" s="32"/>
      <c r="CRF96" s="32"/>
      <c r="CRG96" s="32"/>
      <c r="CRH96" s="32"/>
      <c r="CRI96" s="32"/>
      <c r="CRJ96" s="32"/>
      <c r="CRK96" s="32"/>
      <c r="CRL96" s="32"/>
      <c r="CRM96" s="32"/>
      <c r="CRN96" s="32"/>
      <c r="CRO96" s="32"/>
      <c r="CRP96" s="32"/>
      <c r="CRQ96" s="32"/>
      <c r="CRR96" s="32"/>
      <c r="CRS96" s="32"/>
      <c r="CRT96" s="32"/>
      <c r="CRU96" s="32"/>
      <c r="CRV96" s="32"/>
      <c r="CRW96" s="32"/>
      <c r="CRX96" s="32"/>
      <c r="CRY96" s="32"/>
      <c r="CRZ96" s="32"/>
      <c r="CSA96" s="32"/>
      <c r="CSB96" s="32"/>
      <c r="CSC96" s="32"/>
      <c r="CSD96" s="32"/>
      <c r="CSE96" s="32"/>
      <c r="CSF96" s="32"/>
      <c r="CSG96" s="32"/>
      <c r="CSH96" s="32"/>
      <c r="CSI96" s="32"/>
      <c r="CSJ96" s="32"/>
      <c r="CSK96" s="32"/>
      <c r="CSL96" s="32"/>
      <c r="CSM96" s="32"/>
      <c r="CSN96" s="32"/>
      <c r="CSO96" s="32"/>
      <c r="CSP96" s="32"/>
      <c r="CSQ96" s="32"/>
      <c r="CSR96" s="32"/>
      <c r="CSS96" s="32"/>
      <c r="CST96" s="32"/>
      <c r="CSU96" s="32"/>
      <c r="CSV96" s="32"/>
      <c r="CSW96" s="32"/>
      <c r="CSX96" s="32"/>
      <c r="CSY96" s="32"/>
      <c r="CSZ96" s="32"/>
      <c r="CTA96" s="32"/>
      <c r="CTB96" s="32"/>
      <c r="CTC96" s="32"/>
      <c r="CTD96" s="32"/>
      <c r="CTE96" s="32"/>
      <c r="CTF96" s="32"/>
      <c r="CTG96" s="32"/>
      <c r="CTH96" s="32"/>
      <c r="CTI96" s="32"/>
      <c r="CTJ96" s="32"/>
      <c r="CTK96" s="32"/>
      <c r="CTL96" s="32"/>
      <c r="CTM96" s="32"/>
      <c r="CTN96" s="32"/>
      <c r="CTO96" s="32"/>
      <c r="CTP96" s="32"/>
      <c r="CTQ96" s="32"/>
      <c r="CTR96" s="32"/>
      <c r="CTS96" s="32"/>
      <c r="CTT96" s="32"/>
      <c r="CTU96" s="32"/>
      <c r="CTV96" s="32"/>
      <c r="CTW96" s="32"/>
      <c r="CTX96" s="32"/>
      <c r="CTY96" s="32"/>
      <c r="CTZ96" s="32"/>
      <c r="CUA96" s="32"/>
      <c r="CUB96" s="32"/>
      <c r="CUC96" s="32"/>
      <c r="CUD96" s="32"/>
      <c r="CUE96" s="32"/>
      <c r="CUF96" s="32"/>
      <c r="CUG96" s="32"/>
      <c r="CUH96" s="32"/>
      <c r="CUI96" s="32"/>
      <c r="CUJ96" s="32"/>
      <c r="CUK96" s="32"/>
      <c r="CUL96" s="32"/>
      <c r="CUM96" s="32"/>
      <c r="CUN96" s="32"/>
      <c r="CUO96" s="32"/>
      <c r="CUP96" s="32"/>
      <c r="CUQ96" s="32"/>
      <c r="CUR96" s="32"/>
      <c r="CUS96" s="32"/>
      <c r="CUT96" s="32"/>
      <c r="CUU96" s="32"/>
      <c r="CUV96" s="32"/>
      <c r="CUW96" s="32"/>
      <c r="CUX96" s="32"/>
      <c r="CUY96" s="32"/>
      <c r="CUZ96" s="32"/>
      <c r="CVA96" s="32"/>
      <c r="CVB96" s="32"/>
      <c r="CVC96" s="32"/>
      <c r="CVD96" s="32"/>
      <c r="CVE96" s="32"/>
      <c r="CVF96" s="32"/>
      <c r="CVG96" s="32"/>
      <c r="CVH96" s="32"/>
      <c r="CVI96" s="32"/>
      <c r="CVJ96" s="32"/>
      <c r="CVK96" s="32"/>
      <c r="CVL96" s="32"/>
      <c r="CVM96" s="32"/>
      <c r="CVN96" s="32"/>
      <c r="CVO96" s="32"/>
      <c r="CVP96" s="32"/>
      <c r="CVQ96" s="32"/>
      <c r="CVR96" s="32"/>
      <c r="CVS96" s="32"/>
      <c r="CVT96" s="32"/>
      <c r="CVU96" s="32"/>
      <c r="CVV96" s="32"/>
      <c r="CVW96" s="32"/>
      <c r="CVX96" s="32"/>
      <c r="CVY96" s="32"/>
      <c r="CVZ96" s="32"/>
      <c r="CWA96" s="32"/>
      <c r="CWB96" s="32"/>
      <c r="CWC96" s="32"/>
      <c r="CWD96" s="32"/>
      <c r="CWE96" s="32"/>
      <c r="CWF96" s="32"/>
      <c r="CWG96" s="32"/>
      <c r="CWH96" s="32"/>
      <c r="CWI96" s="32"/>
      <c r="CWJ96" s="32"/>
      <c r="CWK96" s="32"/>
      <c r="CWL96" s="32"/>
      <c r="CWM96" s="32"/>
      <c r="CWN96" s="32"/>
      <c r="CWO96" s="32"/>
      <c r="CWP96" s="32"/>
      <c r="CWQ96" s="32"/>
      <c r="CWR96" s="32"/>
      <c r="CWS96" s="32"/>
      <c r="CWT96" s="32"/>
      <c r="CWU96" s="32"/>
      <c r="CWV96" s="32"/>
      <c r="CWW96" s="32"/>
      <c r="CWX96" s="32"/>
      <c r="CWY96" s="32"/>
      <c r="CWZ96" s="32"/>
      <c r="CXA96" s="32"/>
      <c r="CXB96" s="32"/>
      <c r="CXC96" s="32"/>
      <c r="CXD96" s="32"/>
      <c r="CXE96" s="32"/>
      <c r="CXF96" s="32"/>
      <c r="CXG96" s="32"/>
      <c r="CXH96" s="32"/>
      <c r="CXI96" s="32"/>
      <c r="CXJ96" s="32"/>
      <c r="CXK96" s="32"/>
      <c r="CXL96" s="32"/>
      <c r="CXM96" s="32"/>
      <c r="CXN96" s="32"/>
      <c r="CXO96" s="32"/>
      <c r="CXP96" s="32"/>
      <c r="CXQ96" s="32"/>
      <c r="CXR96" s="32"/>
      <c r="CXS96" s="32"/>
      <c r="CXT96" s="32"/>
      <c r="CXU96" s="32"/>
      <c r="CXV96" s="32"/>
      <c r="CXW96" s="32"/>
      <c r="CXX96" s="32"/>
      <c r="CXY96" s="32"/>
      <c r="CXZ96" s="32"/>
      <c r="CYA96" s="32"/>
      <c r="CYB96" s="32"/>
      <c r="CYC96" s="32"/>
      <c r="CYD96" s="32"/>
      <c r="CYE96" s="32"/>
      <c r="CYF96" s="32"/>
      <c r="CYG96" s="32"/>
      <c r="CYH96" s="32"/>
      <c r="CYI96" s="32"/>
      <c r="CYJ96" s="32"/>
      <c r="CYK96" s="32"/>
      <c r="CYL96" s="32"/>
      <c r="CYM96" s="32"/>
      <c r="CYN96" s="32"/>
      <c r="CYO96" s="32"/>
      <c r="CYP96" s="32"/>
      <c r="CYQ96" s="32"/>
      <c r="CYR96" s="32"/>
      <c r="CYS96" s="32"/>
      <c r="CYT96" s="32"/>
      <c r="CYU96" s="32"/>
      <c r="CYV96" s="32"/>
      <c r="CYW96" s="32"/>
      <c r="CYX96" s="32"/>
      <c r="CYY96" s="32"/>
      <c r="CYZ96" s="32"/>
      <c r="CZA96" s="32"/>
      <c r="CZB96" s="32"/>
      <c r="CZC96" s="32"/>
      <c r="CZD96" s="32"/>
      <c r="CZE96" s="32"/>
      <c r="CZF96" s="32"/>
      <c r="CZG96" s="32"/>
      <c r="CZH96" s="32"/>
      <c r="CZI96" s="32"/>
      <c r="CZJ96" s="32"/>
      <c r="CZK96" s="32"/>
      <c r="CZL96" s="32"/>
      <c r="CZM96" s="32"/>
      <c r="CZN96" s="32"/>
      <c r="CZO96" s="32"/>
      <c r="CZP96" s="32"/>
      <c r="CZQ96" s="32"/>
      <c r="CZR96" s="32"/>
      <c r="CZS96" s="32"/>
      <c r="CZT96" s="32"/>
      <c r="CZU96" s="32"/>
      <c r="CZV96" s="32"/>
      <c r="CZW96" s="32"/>
      <c r="CZX96" s="32"/>
      <c r="CZY96" s="32"/>
      <c r="CZZ96" s="32"/>
      <c r="DAA96" s="32"/>
      <c r="DAB96" s="32"/>
      <c r="DAC96" s="32"/>
      <c r="DAD96" s="32"/>
      <c r="DAE96" s="32"/>
      <c r="DAF96" s="32"/>
      <c r="DAG96" s="32"/>
      <c r="DAH96" s="32"/>
      <c r="DAI96" s="32"/>
      <c r="DAJ96" s="32"/>
      <c r="DAK96" s="32"/>
      <c r="DAL96" s="32"/>
      <c r="DAM96" s="32"/>
      <c r="DAN96" s="32"/>
      <c r="DAO96" s="32"/>
      <c r="DAP96" s="32"/>
      <c r="DAQ96" s="32"/>
      <c r="DAR96" s="32"/>
      <c r="DAS96" s="32"/>
      <c r="DAT96" s="32"/>
      <c r="DAU96" s="32"/>
      <c r="DAV96" s="32"/>
      <c r="DAW96" s="32"/>
      <c r="DAX96" s="32"/>
      <c r="DAY96" s="32"/>
      <c r="DAZ96" s="32"/>
      <c r="DBA96" s="32"/>
      <c r="DBB96" s="32"/>
      <c r="DBC96" s="32"/>
      <c r="DBD96" s="32"/>
      <c r="DBE96" s="32"/>
      <c r="DBF96" s="32"/>
      <c r="DBG96" s="32"/>
      <c r="DBH96" s="32"/>
      <c r="DBI96" s="32"/>
      <c r="DBJ96" s="32"/>
      <c r="DBK96" s="32"/>
      <c r="DBL96" s="32"/>
      <c r="DBM96" s="32"/>
      <c r="DBN96" s="32"/>
      <c r="DBO96" s="32"/>
      <c r="DBP96" s="32"/>
      <c r="DBQ96" s="32"/>
      <c r="DBR96" s="32"/>
      <c r="DBS96" s="32"/>
      <c r="DBT96" s="32"/>
      <c r="DBU96" s="32"/>
      <c r="DBV96" s="32"/>
      <c r="DBW96" s="32"/>
      <c r="DBX96" s="32"/>
      <c r="DBY96" s="32"/>
      <c r="DBZ96" s="32"/>
      <c r="DCA96" s="32"/>
      <c r="DCB96" s="32"/>
      <c r="DCC96" s="32"/>
      <c r="DCD96" s="32"/>
      <c r="DCE96" s="32"/>
      <c r="DCF96" s="32"/>
      <c r="DCG96" s="32"/>
      <c r="DCH96" s="32"/>
      <c r="DCI96" s="32"/>
      <c r="DCJ96" s="32"/>
      <c r="DCK96" s="32"/>
      <c r="DCL96" s="32"/>
      <c r="DCM96" s="32"/>
      <c r="DCN96" s="32"/>
      <c r="DCO96" s="32"/>
      <c r="DCP96" s="32"/>
      <c r="DCQ96" s="32"/>
      <c r="DCR96" s="32"/>
      <c r="DCS96" s="32"/>
      <c r="DCT96" s="32"/>
      <c r="DCU96" s="32"/>
      <c r="DCV96" s="32"/>
      <c r="DCW96" s="32"/>
      <c r="DCX96" s="32"/>
      <c r="DCY96" s="32"/>
      <c r="DCZ96" s="32"/>
      <c r="DDA96" s="32"/>
      <c r="DDB96" s="32"/>
      <c r="DDC96" s="32"/>
      <c r="DDD96" s="32"/>
      <c r="DDE96" s="32"/>
      <c r="DDF96" s="32"/>
      <c r="DDG96" s="32"/>
      <c r="DDH96" s="32"/>
      <c r="DDI96" s="32"/>
      <c r="DDJ96" s="32"/>
      <c r="DDK96" s="32"/>
      <c r="DDL96" s="32"/>
      <c r="DDM96" s="32"/>
      <c r="DDN96" s="32"/>
      <c r="DDO96" s="32"/>
      <c r="DDP96" s="32"/>
      <c r="DDQ96" s="32"/>
      <c r="DDR96" s="32"/>
      <c r="DDS96" s="32"/>
      <c r="DDT96" s="32"/>
      <c r="DDU96" s="32"/>
      <c r="DDV96" s="32"/>
      <c r="DDW96" s="32"/>
      <c r="DDX96" s="32"/>
      <c r="DDY96" s="32"/>
      <c r="DDZ96" s="32"/>
      <c r="DEA96" s="32"/>
      <c r="DEB96" s="32"/>
      <c r="DEC96" s="32"/>
      <c r="DED96" s="32"/>
      <c r="DEE96" s="32"/>
      <c r="DEF96" s="32"/>
      <c r="DEG96" s="32"/>
      <c r="DEH96" s="32"/>
      <c r="DEI96" s="32"/>
      <c r="DEJ96" s="32"/>
      <c r="DEK96" s="32"/>
      <c r="DEL96" s="32"/>
      <c r="DEM96" s="32"/>
      <c r="DEN96" s="32"/>
      <c r="DEO96" s="32"/>
      <c r="DEP96" s="32"/>
      <c r="DEQ96" s="32"/>
      <c r="DER96" s="32"/>
      <c r="DES96" s="32"/>
      <c r="DET96" s="32"/>
      <c r="DEU96" s="32"/>
      <c r="DEV96" s="32"/>
      <c r="DEW96" s="32"/>
      <c r="DEX96" s="32"/>
      <c r="DEY96" s="32"/>
      <c r="DEZ96" s="32"/>
      <c r="DFA96" s="32"/>
      <c r="DFB96" s="32"/>
      <c r="DFC96" s="32"/>
      <c r="DFD96" s="32"/>
      <c r="DFE96" s="32"/>
      <c r="DFF96" s="32"/>
      <c r="DFG96" s="32"/>
      <c r="DFH96" s="32"/>
      <c r="DFI96" s="32"/>
      <c r="DFJ96" s="32"/>
      <c r="DFK96" s="32"/>
      <c r="DFL96" s="32"/>
      <c r="DFM96" s="32"/>
      <c r="DFN96" s="32"/>
      <c r="DFO96" s="32"/>
      <c r="DFP96" s="32"/>
      <c r="DFQ96" s="32"/>
      <c r="DFR96" s="32"/>
      <c r="DFS96" s="32"/>
      <c r="DFT96" s="32"/>
      <c r="DFU96" s="32"/>
      <c r="DFV96" s="32"/>
      <c r="DFW96" s="32"/>
      <c r="DFX96" s="32"/>
      <c r="DFY96" s="32"/>
      <c r="DFZ96" s="32"/>
      <c r="DGA96" s="32"/>
      <c r="DGB96" s="32"/>
      <c r="DGC96" s="32"/>
      <c r="DGD96" s="32"/>
      <c r="DGE96" s="32"/>
      <c r="DGF96" s="32"/>
      <c r="DGG96" s="32"/>
      <c r="DGH96" s="32"/>
      <c r="DGI96" s="32"/>
      <c r="DGJ96" s="32"/>
      <c r="DGK96" s="32"/>
      <c r="DGL96" s="32"/>
      <c r="DGM96" s="32"/>
      <c r="DGN96" s="32"/>
      <c r="DGO96" s="32"/>
      <c r="DGP96" s="32"/>
      <c r="DGQ96" s="32"/>
      <c r="DGR96" s="32"/>
      <c r="DGS96" s="32"/>
      <c r="DGT96" s="32"/>
      <c r="DGU96" s="32"/>
      <c r="DGV96" s="32"/>
      <c r="DGW96" s="32"/>
      <c r="DGX96" s="32"/>
      <c r="DGY96" s="32"/>
      <c r="DGZ96" s="32"/>
      <c r="DHA96" s="32"/>
      <c r="DHB96" s="32"/>
      <c r="DHC96" s="32"/>
      <c r="DHD96" s="32"/>
      <c r="DHE96" s="32"/>
      <c r="DHF96" s="32"/>
      <c r="DHG96" s="32"/>
      <c r="DHH96" s="32"/>
      <c r="DHI96" s="32"/>
      <c r="DHJ96" s="32"/>
      <c r="DHK96" s="32"/>
      <c r="DHL96" s="32"/>
      <c r="DHM96" s="32"/>
      <c r="DHN96" s="32"/>
      <c r="DHO96" s="32"/>
      <c r="DHP96" s="32"/>
      <c r="DHQ96" s="32"/>
      <c r="DHR96" s="32"/>
      <c r="DHS96" s="32"/>
      <c r="DHT96" s="32"/>
      <c r="DHU96" s="32"/>
      <c r="DHV96" s="32"/>
      <c r="DHW96" s="32"/>
      <c r="DHX96" s="32"/>
      <c r="DHY96" s="32"/>
      <c r="DHZ96" s="32"/>
      <c r="DIA96" s="32"/>
      <c r="DIB96" s="32"/>
      <c r="DIC96" s="32"/>
      <c r="DID96" s="32"/>
      <c r="DIE96" s="32"/>
      <c r="DIF96" s="32"/>
      <c r="DIG96" s="32"/>
      <c r="DIH96" s="32"/>
      <c r="DII96" s="32"/>
      <c r="DIJ96" s="32"/>
      <c r="DIK96" s="32"/>
      <c r="DIL96" s="32"/>
      <c r="DIM96" s="32"/>
      <c r="DIN96" s="32"/>
      <c r="DIO96" s="32"/>
      <c r="DIP96" s="32"/>
      <c r="DIQ96" s="32"/>
      <c r="DIR96" s="32"/>
      <c r="DIS96" s="32"/>
      <c r="DIT96" s="32"/>
      <c r="DIU96" s="32"/>
      <c r="DIV96" s="32"/>
      <c r="DIW96" s="32"/>
      <c r="DIX96" s="32"/>
      <c r="DIY96" s="32"/>
      <c r="DIZ96" s="32"/>
      <c r="DJA96" s="32"/>
      <c r="DJB96" s="32"/>
      <c r="DJC96" s="32"/>
      <c r="DJD96" s="32"/>
      <c r="DJE96" s="32"/>
      <c r="DJF96" s="32"/>
      <c r="DJG96" s="32"/>
      <c r="DJH96" s="32"/>
      <c r="DJI96" s="32"/>
      <c r="DJJ96" s="32"/>
      <c r="DJK96" s="32"/>
      <c r="DJL96" s="32"/>
      <c r="DJM96" s="32"/>
      <c r="DJN96" s="32"/>
      <c r="DJO96" s="32"/>
      <c r="DJP96" s="32"/>
      <c r="DJQ96" s="32"/>
      <c r="DJR96" s="32"/>
      <c r="DJS96" s="32"/>
      <c r="DJT96" s="32"/>
      <c r="DJU96" s="32"/>
      <c r="DJV96" s="32"/>
      <c r="DJW96" s="32"/>
      <c r="DJX96" s="32"/>
      <c r="DJY96" s="32"/>
      <c r="DJZ96" s="32"/>
      <c r="DKA96" s="32"/>
      <c r="DKB96" s="32"/>
      <c r="DKC96" s="32"/>
      <c r="DKD96" s="32"/>
      <c r="DKE96" s="32"/>
      <c r="DKF96" s="32"/>
      <c r="DKG96" s="32"/>
      <c r="DKH96" s="32"/>
      <c r="DKI96" s="32"/>
      <c r="DKJ96" s="32"/>
      <c r="DKK96" s="32"/>
      <c r="DKL96" s="32"/>
      <c r="DKM96" s="32"/>
      <c r="DKN96" s="32"/>
      <c r="DKO96" s="32"/>
      <c r="DKP96" s="32"/>
      <c r="DKQ96" s="32"/>
      <c r="DKR96" s="32"/>
      <c r="DKS96" s="32"/>
      <c r="DKT96" s="32"/>
      <c r="DKU96" s="32"/>
      <c r="DKV96" s="32"/>
      <c r="DKW96" s="32"/>
      <c r="DKX96" s="32"/>
      <c r="DKY96" s="32"/>
      <c r="DKZ96" s="32"/>
      <c r="DLA96" s="32"/>
      <c r="DLB96" s="32"/>
      <c r="DLC96" s="32"/>
      <c r="DLD96" s="32"/>
      <c r="DLE96" s="32"/>
      <c r="DLF96" s="32"/>
      <c r="DLG96" s="32"/>
      <c r="DLH96" s="32"/>
      <c r="DLI96" s="32"/>
      <c r="DLJ96" s="32"/>
      <c r="DLK96" s="32"/>
      <c r="DLL96" s="32"/>
      <c r="DLM96" s="32"/>
      <c r="DLN96" s="32"/>
      <c r="DLO96" s="32"/>
      <c r="DLP96" s="32"/>
      <c r="DLQ96" s="32"/>
      <c r="DLR96" s="32"/>
      <c r="DLS96" s="32"/>
      <c r="DLT96" s="32"/>
      <c r="DLU96" s="32"/>
      <c r="DLV96" s="32"/>
      <c r="DLW96" s="32"/>
      <c r="DLX96" s="32"/>
      <c r="DLY96" s="32"/>
      <c r="DLZ96" s="32"/>
      <c r="DMA96" s="32"/>
      <c r="DMB96" s="32"/>
      <c r="DMC96" s="32"/>
      <c r="DMD96" s="32"/>
      <c r="DME96" s="32"/>
      <c r="DMF96" s="32"/>
      <c r="DMG96" s="32"/>
      <c r="DMH96" s="32"/>
      <c r="DMI96" s="32"/>
      <c r="DMJ96" s="32"/>
      <c r="DMK96" s="32"/>
      <c r="DML96" s="32"/>
      <c r="DMM96" s="32"/>
      <c r="DMN96" s="32"/>
      <c r="DMO96" s="32"/>
      <c r="DMP96" s="32"/>
      <c r="DMQ96" s="32"/>
      <c r="DMR96" s="32"/>
      <c r="DMS96" s="32"/>
      <c r="DMT96" s="32"/>
      <c r="DMU96" s="32"/>
      <c r="DMV96" s="32"/>
      <c r="DMW96" s="32"/>
      <c r="DMX96" s="32"/>
      <c r="DMY96" s="32"/>
      <c r="DMZ96" s="32"/>
      <c r="DNA96" s="32"/>
      <c r="DNB96" s="32"/>
      <c r="DNC96" s="32"/>
      <c r="DND96" s="32"/>
      <c r="DNE96" s="32"/>
      <c r="DNF96" s="32"/>
      <c r="DNG96" s="32"/>
      <c r="DNH96" s="32"/>
      <c r="DNI96" s="32"/>
      <c r="DNJ96" s="32"/>
      <c r="DNK96" s="32"/>
      <c r="DNL96" s="32"/>
      <c r="DNM96" s="32"/>
      <c r="DNN96" s="32"/>
      <c r="DNO96" s="32"/>
      <c r="DNP96" s="32"/>
      <c r="DNQ96" s="32"/>
      <c r="DNR96" s="32"/>
      <c r="DNS96" s="32"/>
      <c r="DNT96" s="32"/>
      <c r="DNU96" s="32"/>
      <c r="DNV96" s="32"/>
      <c r="DNW96" s="32"/>
      <c r="DNX96" s="32"/>
      <c r="DNY96" s="32"/>
      <c r="DNZ96" s="32"/>
      <c r="DOA96" s="32"/>
      <c r="DOB96" s="32"/>
      <c r="DOC96" s="32"/>
      <c r="DOD96" s="32"/>
      <c r="DOE96" s="32"/>
      <c r="DOF96" s="32"/>
      <c r="DOG96" s="32"/>
      <c r="DOH96" s="32"/>
      <c r="DOI96" s="32"/>
      <c r="DOJ96" s="32"/>
      <c r="DOK96" s="32"/>
      <c r="DOL96" s="32"/>
      <c r="DOM96" s="32"/>
      <c r="DON96" s="32"/>
      <c r="DOO96" s="32"/>
      <c r="DOP96" s="32"/>
      <c r="DOQ96" s="32"/>
      <c r="DOR96" s="32"/>
      <c r="DOS96" s="32"/>
      <c r="DOT96" s="32"/>
      <c r="DOU96" s="32"/>
      <c r="DOV96" s="32"/>
      <c r="DOW96" s="32"/>
      <c r="DOX96" s="32"/>
      <c r="DOY96" s="32"/>
      <c r="DOZ96" s="32"/>
      <c r="DPA96" s="32"/>
      <c r="DPB96" s="32"/>
      <c r="DPC96" s="32"/>
      <c r="DPD96" s="32"/>
      <c r="DPE96" s="32"/>
      <c r="DPF96" s="32"/>
      <c r="DPG96" s="32"/>
      <c r="DPH96" s="32"/>
      <c r="DPI96" s="32"/>
      <c r="DPJ96" s="32"/>
      <c r="DPK96" s="32"/>
      <c r="DPL96" s="32"/>
      <c r="DPM96" s="32"/>
      <c r="DPN96" s="32"/>
      <c r="DPO96" s="32"/>
      <c r="DPP96" s="32"/>
      <c r="DPQ96" s="32"/>
      <c r="DPR96" s="32"/>
      <c r="DPS96" s="32"/>
      <c r="DPT96" s="32"/>
      <c r="DPU96" s="32"/>
      <c r="DPV96" s="32"/>
      <c r="DPW96" s="32"/>
      <c r="DPX96" s="32"/>
      <c r="DPY96" s="32"/>
      <c r="DPZ96" s="32"/>
      <c r="DQA96" s="32"/>
      <c r="DQB96" s="32"/>
      <c r="DQC96" s="32"/>
      <c r="DQD96" s="32"/>
      <c r="DQE96" s="32"/>
      <c r="DQF96" s="32"/>
      <c r="DQG96" s="32"/>
      <c r="DQH96" s="32"/>
      <c r="DQI96" s="32"/>
      <c r="DQJ96" s="32"/>
      <c r="DQK96" s="32"/>
      <c r="DQL96" s="32"/>
      <c r="DQM96" s="32"/>
      <c r="DQN96" s="32"/>
      <c r="DQO96" s="32"/>
      <c r="DQP96" s="32"/>
      <c r="DQQ96" s="32"/>
      <c r="DQR96" s="32"/>
      <c r="DQS96" s="32"/>
      <c r="DQT96" s="32"/>
      <c r="DQU96" s="32"/>
      <c r="DQV96" s="32"/>
      <c r="DQW96" s="32"/>
      <c r="DQX96" s="32"/>
      <c r="DQY96" s="32"/>
      <c r="DQZ96" s="32"/>
      <c r="DRA96" s="32"/>
      <c r="DRB96" s="32"/>
      <c r="DRC96" s="32"/>
      <c r="DRD96" s="32"/>
      <c r="DRE96" s="32"/>
      <c r="DRF96" s="32"/>
      <c r="DRG96" s="32"/>
      <c r="DRH96" s="32"/>
      <c r="DRI96" s="32"/>
      <c r="DRJ96" s="32"/>
      <c r="DRK96" s="32"/>
      <c r="DRL96" s="32"/>
      <c r="DRM96" s="32"/>
      <c r="DRN96" s="32"/>
      <c r="DRO96" s="32"/>
      <c r="DRP96" s="32"/>
      <c r="DRQ96" s="32"/>
      <c r="DRR96" s="32"/>
      <c r="DRS96" s="32"/>
      <c r="DRT96" s="32"/>
      <c r="DRU96" s="32"/>
      <c r="DRV96" s="32"/>
      <c r="DRW96" s="32"/>
      <c r="DRX96" s="32"/>
      <c r="DRY96" s="32"/>
      <c r="DRZ96" s="32"/>
      <c r="DSA96" s="32"/>
      <c r="DSB96" s="32"/>
      <c r="DSC96" s="32"/>
      <c r="DSD96" s="32"/>
      <c r="DSE96" s="32"/>
      <c r="DSF96" s="32"/>
      <c r="DSG96" s="32"/>
      <c r="DSH96" s="32"/>
      <c r="DSI96" s="32"/>
      <c r="DSJ96" s="32"/>
      <c r="DSK96" s="32"/>
      <c r="DSL96" s="32"/>
      <c r="DSM96" s="32"/>
      <c r="DSN96" s="32"/>
      <c r="DSO96" s="32"/>
      <c r="DSP96" s="32"/>
      <c r="DSQ96" s="32"/>
      <c r="DSR96" s="32"/>
      <c r="DSS96" s="32"/>
      <c r="DST96" s="32"/>
      <c r="DSU96" s="32"/>
      <c r="DSV96" s="32"/>
      <c r="DSW96" s="32"/>
      <c r="DSX96" s="32"/>
      <c r="DSY96" s="32"/>
      <c r="DSZ96" s="32"/>
      <c r="DTA96" s="32"/>
      <c r="DTB96" s="32"/>
      <c r="DTC96" s="32"/>
      <c r="DTD96" s="32"/>
      <c r="DTE96" s="32"/>
      <c r="DTF96" s="32"/>
      <c r="DTG96" s="32"/>
      <c r="DTH96" s="32"/>
      <c r="DTI96" s="32"/>
      <c r="DTJ96" s="32"/>
      <c r="DTK96" s="32"/>
      <c r="DTL96" s="32"/>
      <c r="DTM96" s="32"/>
      <c r="DTN96" s="32"/>
      <c r="DTO96" s="32"/>
      <c r="DTP96" s="32"/>
      <c r="DTQ96" s="32"/>
      <c r="DTR96" s="32"/>
      <c r="DTS96" s="32"/>
      <c r="DTT96" s="32"/>
      <c r="DTU96" s="32"/>
      <c r="DTV96" s="32"/>
      <c r="DTW96" s="32"/>
      <c r="DTX96" s="32"/>
      <c r="DTY96" s="32"/>
      <c r="DTZ96" s="32"/>
      <c r="DUA96" s="32"/>
      <c r="DUB96" s="32"/>
      <c r="DUC96" s="32"/>
      <c r="DUD96" s="32"/>
      <c r="DUE96" s="32"/>
      <c r="DUF96" s="32"/>
      <c r="DUG96" s="32"/>
      <c r="DUH96" s="32"/>
      <c r="DUI96" s="32"/>
      <c r="DUJ96" s="32"/>
      <c r="DUK96" s="32"/>
      <c r="DUL96" s="32"/>
      <c r="DUM96" s="32"/>
      <c r="DUN96" s="32"/>
      <c r="DUO96" s="32"/>
      <c r="DUP96" s="32"/>
      <c r="DUQ96" s="32"/>
      <c r="DUR96" s="32"/>
      <c r="DUS96" s="32"/>
      <c r="DUT96" s="32"/>
      <c r="DUU96" s="32"/>
      <c r="DUV96" s="32"/>
      <c r="DUW96" s="32"/>
      <c r="DUX96" s="32"/>
      <c r="DUY96" s="32"/>
      <c r="DUZ96" s="32"/>
      <c r="DVA96" s="32"/>
      <c r="DVB96" s="32"/>
      <c r="DVC96" s="32"/>
      <c r="DVD96" s="32"/>
      <c r="DVE96" s="32"/>
      <c r="DVF96" s="32"/>
      <c r="DVG96" s="32"/>
      <c r="DVH96" s="32"/>
      <c r="DVI96" s="32"/>
      <c r="DVJ96" s="32"/>
      <c r="DVK96" s="32"/>
      <c r="DVL96" s="32"/>
      <c r="DVM96" s="32"/>
      <c r="DVN96" s="32"/>
      <c r="DVO96" s="32"/>
      <c r="DVP96" s="32"/>
      <c r="DVQ96" s="32"/>
      <c r="DVR96" s="32"/>
      <c r="DVS96" s="32"/>
      <c r="DVT96" s="32"/>
      <c r="DVU96" s="32"/>
      <c r="DVV96" s="32"/>
      <c r="DVW96" s="32"/>
      <c r="DVX96" s="32"/>
      <c r="DVY96" s="32"/>
      <c r="DVZ96" s="32"/>
      <c r="DWA96" s="32"/>
      <c r="DWB96" s="32"/>
      <c r="DWC96" s="32"/>
      <c r="DWD96" s="32"/>
      <c r="DWE96" s="32"/>
      <c r="DWF96" s="32"/>
      <c r="DWG96" s="32"/>
      <c r="DWH96" s="32"/>
      <c r="DWI96" s="32"/>
      <c r="DWJ96" s="32"/>
      <c r="DWK96" s="32"/>
      <c r="DWL96" s="32"/>
      <c r="DWM96" s="32"/>
      <c r="DWN96" s="32"/>
      <c r="DWO96" s="32"/>
      <c r="DWP96" s="32"/>
      <c r="DWQ96" s="32"/>
      <c r="DWR96" s="32"/>
      <c r="DWS96" s="32"/>
      <c r="DWT96" s="32"/>
      <c r="DWU96" s="32"/>
      <c r="DWV96" s="32"/>
      <c r="DWW96" s="32"/>
      <c r="DWX96" s="32"/>
      <c r="DWY96" s="32"/>
      <c r="DWZ96" s="32"/>
      <c r="DXA96" s="32"/>
      <c r="DXB96" s="32"/>
      <c r="DXC96" s="32"/>
      <c r="DXD96" s="32"/>
      <c r="DXE96" s="32"/>
      <c r="DXF96" s="32"/>
      <c r="DXG96" s="32"/>
      <c r="DXH96" s="32"/>
      <c r="DXI96" s="32"/>
      <c r="DXJ96" s="32"/>
      <c r="DXK96" s="32"/>
      <c r="DXL96" s="32"/>
      <c r="DXM96" s="32"/>
      <c r="DXN96" s="32"/>
      <c r="DXO96" s="32"/>
      <c r="DXP96" s="32"/>
      <c r="DXQ96" s="32"/>
      <c r="DXR96" s="32"/>
      <c r="DXS96" s="32"/>
      <c r="DXT96" s="32"/>
      <c r="DXU96" s="32"/>
      <c r="DXV96" s="32"/>
      <c r="DXW96" s="32"/>
      <c r="DXX96" s="32"/>
      <c r="DXY96" s="32"/>
      <c r="DXZ96" s="32"/>
      <c r="DYA96" s="32"/>
      <c r="DYB96" s="32"/>
      <c r="DYC96" s="32"/>
      <c r="DYD96" s="32"/>
      <c r="DYE96" s="32"/>
      <c r="DYF96" s="32"/>
      <c r="DYG96" s="32"/>
      <c r="DYH96" s="32"/>
      <c r="DYI96" s="32"/>
      <c r="DYJ96" s="32"/>
      <c r="DYK96" s="32"/>
      <c r="DYL96" s="32"/>
      <c r="DYM96" s="32"/>
      <c r="DYN96" s="32"/>
      <c r="DYO96" s="32"/>
      <c r="DYP96" s="32"/>
      <c r="DYQ96" s="32"/>
      <c r="DYR96" s="32"/>
      <c r="DYS96" s="32"/>
      <c r="DYT96" s="32"/>
      <c r="DYU96" s="32"/>
      <c r="DYV96" s="32"/>
      <c r="DYW96" s="32"/>
      <c r="DYX96" s="32"/>
      <c r="DYY96" s="32"/>
      <c r="DYZ96" s="32"/>
      <c r="DZA96" s="32"/>
      <c r="DZB96" s="32"/>
      <c r="DZC96" s="32"/>
      <c r="DZD96" s="32"/>
      <c r="DZE96" s="32"/>
      <c r="DZF96" s="32"/>
      <c r="DZG96" s="32"/>
      <c r="DZH96" s="32"/>
      <c r="DZI96" s="32"/>
      <c r="DZJ96" s="32"/>
      <c r="DZK96" s="32"/>
      <c r="DZL96" s="32"/>
      <c r="DZM96" s="32"/>
      <c r="DZN96" s="32"/>
      <c r="DZO96" s="32"/>
      <c r="DZP96" s="32"/>
      <c r="DZQ96" s="32"/>
      <c r="DZR96" s="32"/>
      <c r="DZS96" s="32"/>
      <c r="DZT96" s="32"/>
      <c r="DZU96" s="32"/>
      <c r="DZV96" s="32"/>
      <c r="DZW96" s="32"/>
      <c r="DZX96" s="32"/>
      <c r="DZY96" s="32"/>
      <c r="DZZ96" s="32"/>
      <c r="EAA96" s="32"/>
      <c r="EAB96" s="32"/>
      <c r="EAC96" s="32"/>
      <c r="EAD96" s="32"/>
      <c r="EAE96" s="32"/>
      <c r="EAF96" s="32"/>
      <c r="EAG96" s="32"/>
      <c r="EAH96" s="32"/>
      <c r="EAI96" s="32"/>
      <c r="EAJ96" s="32"/>
      <c r="EAK96" s="32"/>
      <c r="EAL96" s="32"/>
      <c r="EAM96" s="32"/>
      <c r="EAN96" s="32"/>
      <c r="EAO96" s="32"/>
      <c r="EAP96" s="32"/>
      <c r="EAQ96" s="32"/>
      <c r="EAR96" s="32"/>
      <c r="EAS96" s="32"/>
      <c r="EAT96" s="32"/>
      <c r="EAU96" s="32"/>
      <c r="EAV96" s="32"/>
      <c r="EAW96" s="32"/>
      <c r="EAX96" s="32"/>
      <c r="EAY96" s="32"/>
      <c r="EAZ96" s="32"/>
      <c r="EBA96" s="32"/>
      <c r="EBB96" s="32"/>
      <c r="EBC96" s="32"/>
      <c r="EBD96" s="32"/>
      <c r="EBE96" s="32"/>
      <c r="EBF96" s="32"/>
      <c r="EBG96" s="32"/>
      <c r="EBH96" s="32"/>
      <c r="EBI96" s="32"/>
      <c r="EBJ96" s="32"/>
      <c r="EBK96" s="32"/>
      <c r="EBL96" s="32"/>
      <c r="EBM96" s="32"/>
      <c r="EBN96" s="32"/>
      <c r="EBO96" s="32"/>
      <c r="EBP96" s="32"/>
      <c r="EBQ96" s="32"/>
      <c r="EBR96" s="32"/>
      <c r="EBS96" s="32"/>
      <c r="EBT96" s="32"/>
      <c r="EBU96" s="32"/>
      <c r="EBV96" s="32"/>
      <c r="EBW96" s="32"/>
      <c r="EBX96" s="32"/>
      <c r="EBY96" s="32"/>
      <c r="EBZ96" s="32"/>
      <c r="ECA96" s="32"/>
      <c r="ECB96" s="32"/>
      <c r="ECC96" s="32"/>
      <c r="ECD96" s="32"/>
      <c r="ECE96" s="32"/>
      <c r="ECF96" s="32"/>
      <c r="ECG96" s="32"/>
      <c r="ECH96" s="32"/>
      <c r="ECI96" s="32"/>
      <c r="ECJ96" s="32"/>
      <c r="ECK96" s="32"/>
      <c r="ECL96" s="32"/>
      <c r="ECM96" s="32"/>
      <c r="ECN96" s="32"/>
      <c r="ECO96" s="32"/>
      <c r="ECP96" s="32"/>
      <c r="ECQ96" s="32"/>
      <c r="ECR96" s="32"/>
      <c r="ECS96" s="32"/>
      <c r="ECT96" s="32"/>
      <c r="ECU96" s="32"/>
      <c r="ECV96" s="32"/>
      <c r="ECW96" s="32"/>
      <c r="ECX96" s="32"/>
      <c r="ECY96" s="32"/>
      <c r="ECZ96" s="32"/>
      <c r="EDA96" s="32"/>
      <c r="EDB96" s="32"/>
      <c r="EDC96" s="32"/>
      <c r="EDD96" s="32"/>
      <c r="EDE96" s="32"/>
      <c r="EDF96" s="32"/>
      <c r="EDG96" s="32"/>
      <c r="EDH96" s="32"/>
      <c r="EDI96" s="32"/>
      <c r="EDJ96" s="32"/>
      <c r="EDK96" s="32"/>
      <c r="EDL96" s="32"/>
      <c r="EDM96" s="32"/>
      <c r="EDN96" s="32"/>
      <c r="EDO96" s="32"/>
      <c r="EDP96" s="32"/>
      <c r="EDQ96" s="32"/>
      <c r="EDR96" s="32"/>
      <c r="EDS96" s="32"/>
      <c r="EDT96" s="32"/>
      <c r="EDU96" s="32"/>
      <c r="EDV96" s="32"/>
      <c r="EDW96" s="32"/>
      <c r="EDX96" s="32"/>
      <c r="EDY96" s="32"/>
      <c r="EDZ96" s="32"/>
      <c r="EEA96" s="32"/>
      <c r="EEB96" s="32"/>
      <c r="EEC96" s="32"/>
      <c r="EED96" s="32"/>
      <c r="EEE96" s="32"/>
      <c r="EEF96" s="32"/>
      <c r="EEG96" s="32"/>
      <c r="EEH96" s="32"/>
      <c r="EEI96" s="32"/>
      <c r="EEJ96" s="32"/>
      <c r="EEK96" s="32"/>
      <c r="EEL96" s="32"/>
      <c r="EEM96" s="32"/>
      <c r="EEN96" s="32"/>
      <c r="EEO96" s="32"/>
      <c r="EEP96" s="32"/>
      <c r="EEQ96" s="32"/>
      <c r="EER96" s="32"/>
      <c r="EES96" s="32"/>
      <c r="EET96" s="32"/>
      <c r="EEU96" s="32"/>
      <c r="EEV96" s="32"/>
      <c r="EEW96" s="32"/>
      <c r="EEX96" s="32"/>
      <c r="EEY96" s="32"/>
      <c r="EEZ96" s="32"/>
      <c r="EFA96" s="32"/>
      <c r="EFB96" s="32"/>
      <c r="EFC96" s="32"/>
      <c r="EFD96" s="32"/>
      <c r="EFE96" s="32"/>
      <c r="EFF96" s="32"/>
      <c r="EFG96" s="32"/>
      <c r="EFH96" s="32"/>
      <c r="EFI96" s="32"/>
      <c r="EFJ96" s="32"/>
      <c r="EFK96" s="32"/>
      <c r="EFL96" s="32"/>
      <c r="EFM96" s="32"/>
      <c r="EFN96" s="32"/>
      <c r="EFO96" s="32"/>
      <c r="EFP96" s="32"/>
      <c r="EFQ96" s="32"/>
      <c r="EFR96" s="32"/>
      <c r="EFS96" s="32"/>
      <c r="EFT96" s="32"/>
      <c r="EFU96" s="32"/>
      <c r="EFV96" s="32"/>
      <c r="EFW96" s="32"/>
      <c r="EFX96" s="32"/>
      <c r="EFY96" s="32"/>
      <c r="EFZ96" s="32"/>
      <c r="EGA96" s="32"/>
      <c r="EGB96" s="32"/>
      <c r="EGC96" s="32"/>
      <c r="EGD96" s="32"/>
      <c r="EGE96" s="32"/>
      <c r="EGF96" s="32"/>
      <c r="EGG96" s="32"/>
      <c r="EGH96" s="32"/>
      <c r="EGI96" s="32"/>
      <c r="EGJ96" s="32"/>
      <c r="EGK96" s="32"/>
      <c r="EGL96" s="32"/>
      <c r="EGM96" s="32"/>
      <c r="EGN96" s="32"/>
      <c r="EGO96" s="32"/>
      <c r="EGP96" s="32"/>
      <c r="EGQ96" s="32"/>
      <c r="EGR96" s="32"/>
      <c r="EGS96" s="32"/>
      <c r="EGT96" s="32"/>
      <c r="EGU96" s="32"/>
      <c r="EGV96" s="32"/>
      <c r="EGW96" s="32"/>
      <c r="EGX96" s="32"/>
      <c r="EGY96" s="32"/>
      <c r="EGZ96" s="32"/>
      <c r="EHA96" s="32"/>
      <c r="EHB96" s="32"/>
      <c r="EHC96" s="32"/>
      <c r="EHD96" s="32"/>
      <c r="EHE96" s="32"/>
      <c r="EHF96" s="32"/>
      <c r="EHG96" s="32"/>
      <c r="EHH96" s="32"/>
      <c r="EHI96" s="32"/>
      <c r="EHJ96" s="32"/>
      <c r="EHK96" s="32"/>
      <c r="EHL96" s="32"/>
      <c r="EHM96" s="32"/>
      <c r="EHN96" s="32"/>
      <c r="EHO96" s="32"/>
      <c r="EHP96" s="32"/>
      <c r="EHQ96" s="32"/>
      <c r="EHR96" s="32"/>
      <c r="EHS96" s="32"/>
      <c r="EHT96" s="32"/>
      <c r="EHU96" s="32"/>
      <c r="EHV96" s="32"/>
      <c r="EHW96" s="32"/>
      <c r="EHX96" s="32"/>
      <c r="EHY96" s="32"/>
      <c r="EHZ96" s="32"/>
      <c r="EIA96" s="32"/>
      <c r="EIB96" s="32"/>
      <c r="EIC96" s="32"/>
      <c r="EID96" s="32"/>
      <c r="EIE96" s="32"/>
      <c r="EIF96" s="32"/>
      <c r="EIG96" s="32"/>
      <c r="EIH96" s="32"/>
      <c r="EII96" s="32"/>
      <c r="EIJ96" s="32"/>
      <c r="EIK96" s="32"/>
      <c r="EIL96" s="32"/>
      <c r="EIM96" s="32"/>
      <c r="EIN96" s="32"/>
      <c r="EIO96" s="32"/>
      <c r="EIP96" s="32"/>
      <c r="EIQ96" s="32"/>
      <c r="EIR96" s="32"/>
      <c r="EIS96" s="32"/>
      <c r="EIT96" s="32"/>
      <c r="EIU96" s="32"/>
      <c r="EIV96" s="32"/>
      <c r="EIW96" s="32"/>
      <c r="EIX96" s="32"/>
      <c r="EIY96" s="32"/>
      <c r="EIZ96" s="32"/>
      <c r="EJA96" s="32"/>
      <c r="EJB96" s="32"/>
      <c r="EJC96" s="32"/>
      <c r="EJD96" s="32"/>
      <c r="EJE96" s="32"/>
      <c r="EJF96" s="32"/>
      <c r="EJG96" s="32"/>
      <c r="EJH96" s="32"/>
      <c r="EJI96" s="32"/>
      <c r="EJJ96" s="32"/>
      <c r="EJK96" s="32"/>
      <c r="EJL96" s="32"/>
      <c r="EJM96" s="32"/>
      <c r="EJN96" s="32"/>
      <c r="EJO96" s="32"/>
      <c r="EJP96" s="32"/>
      <c r="EJQ96" s="32"/>
      <c r="EJR96" s="32"/>
      <c r="EJS96" s="32"/>
      <c r="EJT96" s="32"/>
      <c r="EJU96" s="32"/>
      <c r="EJV96" s="32"/>
      <c r="EJW96" s="32"/>
      <c r="EJX96" s="32"/>
      <c r="EJY96" s="32"/>
      <c r="EJZ96" s="32"/>
      <c r="EKA96" s="32"/>
      <c r="EKB96" s="32"/>
      <c r="EKC96" s="32"/>
      <c r="EKD96" s="32"/>
      <c r="EKE96" s="32"/>
      <c r="EKF96" s="32"/>
      <c r="EKG96" s="32"/>
      <c r="EKH96" s="32"/>
      <c r="EKI96" s="32"/>
      <c r="EKJ96" s="32"/>
      <c r="EKK96" s="32"/>
      <c r="EKL96" s="32"/>
      <c r="EKM96" s="32"/>
      <c r="EKN96" s="32"/>
      <c r="EKO96" s="32"/>
      <c r="EKP96" s="32"/>
      <c r="EKQ96" s="32"/>
      <c r="EKR96" s="32"/>
      <c r="EKS96" s="32"/>
      <c r="EKT96" s="32"/>
      <c r="EKU96" s="32"/>
      <c r="EKV96" s="32"/>
      <c r="EKW96" s="32"/>
      <c r="EKX96" s="32"/>
      <c r="EKY96" s="32"/>
      <c r="EKZ96" s="32"/>
      <c r="ELA96" s="32"/>
      <c r="ELB96" s="32"/>
      <c r="ELC96" s="32"/>
      <c r="ELD96" s="32"/>
      <c r="ELE96" s="32"/>
      <c r="ELF96" s="32"/>
      <c r="ELG96" s="32"/>
      <c r="ELH96" s="32"/>
      <c r="ELI96" s="32"/>
      <c r="ELJ96" s="32"/>
      <c r="ELK96" s="32"/>
      <c r="ELL96" s="32"/>
      <c r="ELM96" s="32"/>
      <c r="ELN96" s="32"/>
      <c r="ELO96" s="32"/>
      <c r="ELP96" s="32"/>
      <c r="ELQ96" s="32"/>
      <c r="ELR96" s="32"/>
      <c r="ELS96" s="32"/>
      <c r="ELT96" s="32"/>
      <c r="ELU96" s="32"/>
      <c r="ELV96" s="32"/>
      <c r="ELW96" s="32"/>
      <c r="ELX96" s="32"/>
      <c r="ELY96" s="32"/>
      <c r="ELZ96" s="32"/>
      <c r="EMA96" s="32"/>
      <c r="EMB96" s="32"/>
      <c r="EMC96" s="32"/>
      <c r="EMD96" s="32"/>
      <c r="EME96" s="32"/>
      <c r="EMF96" s="32"/>
      <c r="EMG96" s="32"/>
      <c r="EMH96" s="32"/>
      <c r="EMI96" s="32"/>
      <c r="EMJ96" s="32"/>
      <c r="EMK96" s="32"/>
      <c r="EML96" s="32"/>
      <c r="EMM96" s="32"/>
      <c r="EMN96" s="32"/>
      <c r="EMO96" s="32"/>
      <c r="EMP96" s="32"/>
      <c r="EMQ96" s="32"/>
      <c r="EMR96" s="32"/>
      <c r="EMS96" s="32"/>
      <c r="EMT96" s="32"/>
      <c r="EMU96" s="32"/>
      <c r="EMV96" s="32"/>
      <c r="EMW96" s="32"/>
      <c r="EMX96" s="32"/>
      <c r="EMY96" s="32"/>
      <c r="EMZ96" s="32"/>
      <c r="ENA96" s="32"/>
      <c r="ENB96" s="32"/>
      <c r="ENC96" s="32"/>
      <c r="END96" s="32"/>
      <c r="ENE96" s="32"/>
      <c r="ENF96" s="32"/>
      <c r="ENG96" s="32"/>
      <c r="ENH96" s="32"/>
      <c r="ENI96" s="32"/>
      <c r="ENJ96" s="32"/>
      <c r="ENK96" s="32"/>
      <c r="ENL96" s="32"/>
      <c r="ENM96" s="32"/>
      <c r="ENN96" s="32"/>
      <c r="ENO96" s="32"/>
      <c r="ENP96" s="32"/>
      <c r="ENQ96" s="32"/>
      <c r="ENR96" s="32"/>
      <c r="ENS96" s="32"/>
      <c r="ENT96" s="32"/>
      <c r="ENU96" s="32"/>
      <c r="ENV96" s="32"/>
      <c r="ENW96" s="32"/>
      <c r="ENX96" s="32"/>
      <c r="ENY96" s="32"/>
      <c r="ENZ96" s="32"/>
      <c r="EOA96" s="32"/>
      <c r="EOB96" s="32"/>
      <c r="EOC96" s="32"/>
      <c r="EOD96" s="32"/>
      <c r="EOE96" s="32"/>
      <c r="EOF96" s="32"/>
      <c r="EOG96" s="32"/>
      <c r="EOH96" s="32"/>
      <c r="EOI96" s="32"/>
      <c r="EOJ96" s="32"/>
      <c r="EOK96" s="32"/>
      <c r="EOL96" s="32"/>
      <c r="EOM96" s="32"/>
      <c r="EON96" s="32"/>
      <c r="EOO96" s="32"/>
      <c r="EOP96" s="32"/>
      <c r="EOQ96" s="32"/>
      <c r="EOR96" s="32"/>
      <c r="EOS96" s="32"/>
      <c r="EOT96" s="32"/>
      <c r="EOU96" s="32"/>
      <c r="EOV96" s="32"/>
      <c r="EOW96" s="32"/>
      <c r="EOX96" s="32"/>
      <c r="EOY96" s="32"/>
      <c r="EOZ96" s="32"/>
      <c r="EPA96" s="32"/>
      <c r="EPB96" s="32"/>
      <c r="EPC96" s="32"/>
      <c r="EPD96" s="32"/>
      <c r="EPE96" s="32"/>
      <c r="EPF96" s="32"/>
      <c r="EPG96" s="32"/>
      <c r="EPH96" s="32"/>
      <c r="EPI96" s="32"/>
      <c r="EPJ96" s="32"/>
      <c r="EPK96" s="32"/>
      <c r="EPL96" s="32"/>
      <c r="EPM96" s="32"/>
      <c r="EPN96" s="32"/>
      <c r="EPO96" s="32"/>
      <c r="EPP96" s="32"/>
      <c r="EPQ96" s="32"/>
      <c r="EPR96" s="32"/>
      <c r="EPS96" s="32"/>
      <c r="EPT96" s="32"/>
      <c r="EPU96" s="32"/>
      <c r="EPV96" s="32"/>
      <c r="EPW96" s="32"/>
      <c r="EPX96" s="32"/>
      <c r="EPY96" s="32"/>
      <c r="EPZ96" s="32"/>
      <c r="EQA96" s="32"/>
      <c r="EQB96" s="32"/>
      <c r="EQC96" s="32"/>
      <c r="EQD96" s="32"/>
      <c r="EQE96" s="32"/>
      <c r="EQF96" s="32"/>
      <c r="EQG96" s="32"/>
      <c r="EQH96" s="32"/>
      <c r="EQI96" s="32"/>
      <c r="EQJ96" s="32"/>
      <c r="EQK96" s="32"/>
      <c r="EQL96" s="32"/>
      <c r="EQM96" s="32"/>
      <c r="EQN96" s="32"/>
      <c r="EQO96" s="32"/>
      <c r="EQP96" s="32"/>
      <c r="EQQ96" s="32"/>
      <c r="EQR96" s="32"/>
      <c r="EQS96" s="32"/>
      <c r="EQT96" s="32"/>
      <c r="EQU96" s="32"/>
      <c r="EQV96" s="32"/>
      <c r="EQW96" s="32"/>
      <c r="EQX96" s="32"/>
      <c r="EQY96" s="32"/>
      <c r="EQZ96" s="32"/>
      <c r="ERA96" s="32"/>
      <c r="ERB96" s="32"/>
      <c r="ERC96" s="32"/>
      <c r="ERD96" s="32"/>
      <c r="ERE96" s="32"/>
      <c r="ERF96" s="32"/>
      <c r="ERG96" s="32"/>
      <c r="ERH96" s="32"/>
      <c r="ERI96" s="32"/>
      <c r="ERJ96" s="32"/>
      <c r="ERK96" s="32"/>
      <c r="ERL96" s="32"/>
      <c r="ERM96" s="32"/>
      <c r="ERN96" s="32"/>
      <c r="ERO96" s="32"/>
      <c r="ERP96" s="32"/>
      <c r="ERQ96" s="32"/>
      <c r="ERR96" s="32"/>
      <c r="ERS96" s="32"/>
      <c r="ERT96" s="32"/>
      <c r="ERU96" s="32"/>
      <c r="ERV96" s="32"/>
      <c r="ERW96" s="32"/>
      <c r="ERX96" s="32"/>
      <c r="ERY96" s="32"/>
      <c r="ERZ96" s="32"/>
      <c r="ESA96" s="32"/>
      <c r="ESB96" s="32"/>
      <c r="ESC96" s="32"/>
      <c r="ESD96" s="32"/>
      <c r="ESE96" s="32"/>
      <c r="ESF96" s="32"/>
      <c r="ESG96" s="32"/>
      <c r="ESH96" s="32"/>
      <c r="ESI96" s="32"/>
      <c r="ESJ96" s="32"/>
      <c r="ESK96" s="32"/>
      <c r="ESL96" s="32"/>
      <c r="ESM96" s="32"/>
      <c r="ESN96" s="32"/>
      <c r="ESO96" s="32"/>
      <c r="ESP96" s="32"/>
      <c r="ESQ96" s="32"/>
      <c r="ESR96" s="32"/>
      <c r="ESS96" s="32"/>
      <c r="EST96" s="32"/>
      <c r="ESU96" s="32"/>
      <c r="ESV96" s="32"/>
      <c r="ESW96" s="32"/>
      <c r="ESX96" s="32"/>
      <c r="ESY96" s="32"/>
      <c r="ESZ96" s="32"/>
      <c r="ETA96" s="32"/>
      <c r="ETB96" s="32"/>
      <c r="ETC96" s="32"/>
      <c r="ETD96" s="32"/>
      <c r="ETE96" s="32"/>
      <c r="ETF96" s="32"/>
      <c r="ETG96" s="32"/>
      <c r="ETH96" s="32"/>
      <c r="ETI96" s="32"/>
      <c r="ETJ96" s="32"/>
      <c r="ETK96" s="32"/>
      <c r="ETL96" s="32"/>
      <c r="ETM96" s="32"/>
      <c r="ETN96" s="32"/>
      <c r="ETO96" s="32"/>
      <c r="ETP96" s="32"/>
      <c r="ETQ96" s="32"/>
      <c r="ETR96" s="32"/>
      <c r="ETS96" s="32"/>
      <c r="ETT96" s="32"/>
      <c r="ETU96" s="32"/>
      <c r="ETV96" s="32"/>
      <c r="ETW96" s="32"/>
      <c r="ETX96" s="32"/>
      <c r="ETY96" s="32"/>
      <c r="ETZ96" s="32"/>
      <c r="EUA96" s="32"/>
      <c r="EUB96" s="32"/>
      <c r="EUC96" s="32"/>
      <c r="EUD96" s="32"/>
      <c r="EUE96" s="32"/>
      <c r="EUF96" s="32"/>
      <c r="EUG96" s="32"/>
      <c r="EUH96" s="32"/>
      <c r="EUI96" s="32"/>
      <c r="EUJ96" s="32"/>
      <c r="EUK96" s="32"/>
      <c r="EUL96" s="32"/>
      <c r="EUM96" s="32"/>
      <c r="EUN96" s="32"/>
      <c r="EUO96" s="32"/>
      <c r="EUP96" s="32"/>
      <c r="EUQ96" s="32"/>
      <c r="EUR96" s="32"/>
      <c r="EUS96" s="32"/>
      <c r="EUT96" s="32"/>
      <c r="EUU96" s="32"/>
      <c r="EUV96" s="32"/>
      <c r="EUW96" s="32"/>
      <c r="EUX96" s="32"/>
      <c r="EUY96" s="32"/>
      <c r="EUZ96" s="32"/>
      <c r="EVA96" s="32"/>
      <c r="EVB96" s="32"/>
      <c r="EVC96" s="32"/>
      <c r="EVD96" s="32"/>
      <c r="EVE96" s="32"/>
      <c r="EVF96" s="32"/>
      <c r="EVG96" s="32"/>
      <c r="EVH96" s="32"/>
      <c r="EVI96" s="32"/>
      <c r="EVJ96" s="32"/>
      <c r="EVK96" s="32"/>
      <c r="EVL96" s="32"/>
      <c r="EVM96" s="32"/>
      <c r="EVN96" s="32"/>
      <c r="EVO96" s="32"/>
      <c r="EVP96" s="32"/>
      <c r="EVQ96" s="32"/>
      <c r="EVR96" s="32"/>
      <c r="EVS96" s="32"/>
      <c r="EVT96" s="32"/>
      <c r="EVU96" s="32"/>
      <c r="EVV96" s="32"/>
      <c r="EVW96" s="32"/>
      <c r="EVX96" s="32"/>
      <c r="EVY96" s="32"/>
      <c r="EVZ96" s="32"/>
      <c r="EWA96" s="32"/>
      <c r="EWB96" s="32"/>
      <c r="EWC96" s="32"/>
      <c r="EWD96" s="32"/>
      <c r="EWE96" s="32"/>
      <c r="EWF96" s="32"/>
      <c r="EWG96" s="32"/>
      <c r="EWH96" s="32"/>
      <c r="EWI96" s="32"/>
      <c r="EWJ96" s="32"/>
      <c r="EWK96" s="32"/>
      <c r="EWL96" s="32"/>
      <c r="EWM96" s="32"/>
      <c r="EWN96" s="32"/>
      <c r="EWO96" s="32"/>
      <c r="EWP96" s="32"/>
      <c r="EWQ96" s="32"/>
      <c r="EWR96" s="32"/>
      <c r="EWS96" s="32"/>
      <c r="EWT96" s="32"/>
      <c r="EWU96" s="32"/>
      <c r="EWV96" s="32"/>
      <c r="EWW96" s="32"/>
      <c r="EWX96" s="32"/>
      <c r="EWY96" s="32"/>
      <c r="EWZ96" s="32"/>
      <c r="EXA96" s="32"/>
      <c r="EXB96" s="32"/>
      <c r="EXC96" s="32"/>
      <c r="EXD96" s="32"/>
      <c r="EXE96" s="32"/>
      <c r="EXF96" s="32"/>
      <c r="EXG96" s="32"/>
      <c r="EXH96" s="32"/>
      <c r="EXI96" s="32"/>
      <c r="EXJ96" s="32"/>
      <c r="EXK96" s="32"/>
      <c r="EXL96" s="32"/>
      <c r="EXM96" s="32"/>
      <c r="EXN96" s="32"/>
      <c r="EXO96" s="32"/>
      <c r="EXP96" s="32"/>
      <c r="EXQ96" s="32"/>
      <c r="EXR96" s="32"/>
      <c r="EXS96" s="32"/>
      <c r="EXT96" s="32"/>
      <c r="EXU96" s="32"/>
      <c r="EXV96" s="32"/>
      <c r="EXW96" s="32"/>
      <c r="EXX96" s="32"/>
      <c r="EXY96" s="32"/>
      <c r="EXZ96" s="32"/>
      <c r="EYA96" s="32"/>
      <c r="EYB96" s="32"/>
      <c r="EYC96" s="32"/>
      <c r="EYD96" s="32"/>
      <c r="EYE96" s="32"/>
      <c r="EYF96" s="32"/>
      <c r="EYG96" s="32"/>
      <c r="EYH96" s="32"/>
      <c r="EYI96" s="32"/>
      <c r="EYJ96" s="32"/>
      <c r="EYK96" s="32"/>
      <c r="EYL96" s="32"/>
      <c r="EYM96" s="32"/>
      <c r="EYN96" s="32"/>
      <c r="EYO96" s="32"/>
      <c r="EYP96" s="32"/>
      <c r="EYQ96" s="32"/>
      <c r="EYR96" s="32"/>
      <c r="EYS96" s="32"/>
      <c r="EYT96" s="32"/>
      <c r="EYU96" s="32"/>
      <c r="EYV96" s="32"/>
      <c r="EYW96" s="32"/>
      <c r="EYX96" s="32"/>
      <c r="EYY96" s="32"/>
      <c r="EYZ96" s="32"/>
      <c r="EZA96" s="32"/>
      <c r="EZB96" s="32"/>
      <c r="EZC96" s="32"/>
      <c r="EZD96" s="32"/>
      <c r="EZE96" s="32"/>
      <c r="EZF96" s="32"/>
      <c r="EZG96" s="32"/>
      <c r="EZH96" s="32"/>
      <c r="EZI96" s="32"/>
      <c r="EZJ96" s="32"/>
      <c r="EZK96" s="32"/>
      <c r="EZL96" s="32"/>
      <c r="EZM96" s="32"/>
      <c r="EZN96" s="32"/>
      <c r="EZO96" s="32"/>
      <c r="EZP96" s="32"/>
      <c r="EZQ96" s="32"/>
      <c r="EZR96" s="32"/>
      <c r="EZS96" s="32"/>
      <c r="EZT96" s="32"/>
      <c r="EZU96" s="32"/>
      <c r="EZV96" s="32"/>
      <c r="EZW96" s="32"/>
      <c r="EZX96" s="32"/>
      <c r="EZY96" s="32"/>
      <c r="EZZ96" s="32"/>
      <c r="FAA96" s="32"/>
      <c r="FAB96" s="32"/>
      <c r="FAC96" s="32"/>
      <c r="FAD96" s="32"/>
      <c r="FAE96" s="32"/>
      <c r="FAF96" s="32"/>
      <c r="FAG96" s="32"/>
      <c r="FAH96" s="32"/>
      <c r="FAI96" s="32"/>
      <c r="FAJ96" s="32"/>
      <c r="FAK96" s="32"/>
      <c r="FAL96" s="32"/>
      <c r="FAM96" s="32"/>
      <c r="FAN96" s="32"/>
      <c r="FAO96" s="32"/>
      <c r="FAP96" s="32"/>
      <c r="FAQ96" s="32"/>
      <c r="FAR96" s="32"/>
      <c r="FAS96" s="32"/>
      <c r="FAT96" s="32"/>
      <c r="FAU96" s="32"/>
      <c r="FAV96" s="32"/>
      <c r="FAW96" s="32"/>
      <c r="FAX96" s="32"/>
      <c r="FAY96" s="32"/>
      <c r="FAZ96" s="32"/>
      <c r="FBA96" s="32"/>
      <c r="FBB96" s="32"/>
      <c r="FBC96" s="32"/>
      <c r="FBD96" s="32"/>
      <c r="FBE96" s="32"/>
      <c r="FBF96" s="32"/>
      <c r="FBG96" s="32"/>
      <c r="FBH96" s="32"/>
      <c r="FBI96" s="32"/>
      <c r="FBJ96" s="32"/>
      <c r="FBK96" s="32"/>
      <c r="FBL96" s="32"/>
      <c r="FBM96" s="32"/>
      <c r="FBN96" s="32"/>
      <c r="FBO96" s="32"/>
      <c r="FBP96" s="32"/>
      <c r="FBQ96" s="32"/>
      <c r="FBR96" s="32"/>
      <c r="FBS96" s="32"/>
      <c r="FBT96" s="32"/>
      <c r="FBU96" s="32"/>
      <c r="FBV96" s="32"/>
      <c r="FBW96" s="32"/>
      <c r="FBX96" s="32"/>
      <c r="FBY96" s="32"/>
      <c r="FBZ96" s="32"/>
      <c r="FCA96" s="32"/>
      <c r="FCB96" s="32"/>
      <c r="FCC96" s="32"/>
      <c r="FCD96" s="32"/>
      <c r="FCE96" s="32"/>
      <c r="FCF96" s="32"/>
      <c r="FCG96" s="32"/>
      <c r="FCH96" s="32"/>
      <c r="FCI96" s="32"/>
      <c r="FCJ96" s="32"/>
      <c r="FCK96" s="32"/>
      <c r="FCL96" s="32"/>
      <c r="FCM96" s="32"/>
      <c r="FCN96" s="32"/>
      <c r="FCO96" s="32"/>
      <c r="FCP96" s="32"/>
      <c r="FCQ96" s="32"/>
      <c r="FCR96" s="32"/>
      <c r="FCS96" s="32"/>
      <c r="FCT96" s="32"/>
      <c r="FCU96" s="32"/>
      <c r="FCV96" s="32"/>
      <c r="FCW96" s="32"/>
      <c r="FCX96" s="32"/>
      <c r="FCY96" s="32"/>
      <c r="FCZ96" s="32"/>
      <c r="FDA96" s="32"/>
      <c r="FDB96" s="32"/>
      <c r="FDC96" s="32"/>
      <c r="FDD96" s="32"/>
      <c r="FDE96" s="32"/>
      <c r="FDF96" s="32"/>
      <c r="FDG96" s="32"/>
      <c r="FDH96" s="32"/>
      <c r="FDI96" s="32"/>
      <c r="FDJ96" s="32"/>
      <c r="FDK96" s="32"/>
      <c r="FDL96" s="32"/>
      <c r="FDM96" s="32"/>
      <c r="FDN96" s="32"/>
      <c r="FDO96" s="32"/>
      <c r="FDP96" s="32"/>
      <c r="FDQ96" s="32"/>
      <c r="FDR96" s="32"/>
      <c r="FDS96" s="32"/>
      <c r="FDT96" s="32"/>
      <c r="FDU96" s="32"/>
      <c r="FDV96" s="32"/>
      <c r="FDW96" s="32"/>
      <c r="FDX96" s="32"/>
      <c r="FDY96" s="32"/>
      <c r="FDZ96" s="32"/>
      <c r="FEA96" s="32"/>
      <c r="FEB96" s="32"/>
      <c r="FEC96" s="32"/>
      <c r="FED96" s="32"/>
      <c r="FEE96" s="32"/>
      <c r="FEF96" s="32"/>
      <c r="FEG96" s="32"/>
      <c r="FEH96" s="32"/>
      <c r="FEI96" s="32"/>
      <c r="FEJ96" s="32"/>
      <c r="FEK96" s="32"/>
      <c r="FEL96" s="32"/>
      <c r="FEM96" s="32"/>
      <c r="FEN96" s="32"/>
      <c r="FEO96" s="32"/>
      <c r="FEP96" s="32"/>
      <c r="FEQ96" s="32"/>
      <c r="FER96" s="32"/>
      <c r="FES96" s="32"/>
      <c r="FET96" s="32"/>
      <c r="FEU96" s="32"/>
      <c r="FEV96" s="32"/>
      <c r="FEW96" s="32"/>
      <c r="FEX96" s="32"/>
      <c r="FEY96" s="32"/>
      <c r="FEZ96" s="32"/>
      <c r="FFA96" s="32"/>
      <c r="FFB96" s="32"/>
      <c r="FFC96" s="32"/>
      <c r="FFD96" s="32"/>
      <c r="FFE96" s="32"/>
      <c r="FFF96" s="32"/>
      <c r="FFG96" s="32"/>
      <c r="FFH96" s="32"/>
      <c r="FFI96" s="32"/>
      <c r="FFJ96" s="32"/>
      <c r="FFK96" s="32"/>
      <c r="FFL96" s="32"/>
      <c r="FFM96" s="32"/>
      <c r="FFN96" s="32"/>
      <c r="FFO96" s="32"/>
      <c r="FFP96" s="32"/>
      <c r="FFQ96" s="32"/>
      <c r="FFR96" s="32"/>
      <c r="FFS96" s="32"/>
      <c r="FFT96" s="32"/>
      <c r="FFU96" s="32"/>
      <c r="FFV96" s="32"/>
      <c r="FFW96" s="32"/>
      <c r="FFX96" s="32"/>
      <c r="FFY96" s="32"/>
      <c r="FFZ96" s="32"/>
      <c r="FGA96" s="32"/>
      <c r="FGB96" s="32"/>
      <c r="FGC96" s="32"/>
      <c r="FGD96" s="32"/>
      <c r="FGE96" s="32"/>
      <c r="FGF96" s="32"/>
      <c r="FGG96" s="32"/>
      <c r="FGH96" s="32"/>
      <c r="FGI96" s="32"/>
      <c r="FGJ96" s="32"/>
      <c r="FGK96" s="32"/>
      <c r="FGL96" s="32"/>
      <c r="FGM96" s="32"/>
      <c r="FGN96" s="32"/>
      <c r="FGO96" s="32"/>
      <c r="FGP96" s="32"/>
      <c r="FGQ96" s="32"/>
      <c r="FGR96" s="32"/>
      <c r="FGS96" s="32"/>
      <c r="FGT96" s="32"/>
      <c r="FGU96" s="32"/>
      <c r="FGV96" s="32"/>
      <c r="FGW96" s="32"/>
      <c r="FGX96" s="32"/>
      <c r="FGY96" s="32"/>
      <c r="FGZ96" s="32"/>
      <c r="FHA96" s="32"/>
      <c r="FHB96" s="32"/>
      <c r="FHC96" s="32"/>
      <c r="FHD96" s="32"/>
      <c r="FHE96" s="32"/>
      <c r="FHF96" s="32"/>
      <c r="FHG96" s="32"/>
      <c r="FHH96" s="32"/>
      <c r="FHI96" s="32"/>
      <c r="FHJ96" s="32"/>
      <c r="FHK96" s="32"/>
      <c r="FHL96" s="32"/>
      <c r="FHM96" s="32"/>
      <c r="FHN96" s="32"/>
      <c r="FHO96" s="32"/>
      <c r="FHP96" s="32"/>
      <c r="FHQ96" s="32"/>
      <c r="FHR96" s="32"/>
      <c r="FHS96" s="32"/>
      <c r="FHT96" s="32"/>
      <c r="FHU96" s="32"/>
      <c r="FHV96" s="32"/>
      <c r="FHW96" s="32"/>
      <c r="FHX96" s="32"/>
      <c r="FHY96" s="32"/>
      <c r="FHZ96" s="32"/>
      <c r="FIA96" s="32"/>
      <c r="FIB96" s="32"/>
      <c r="FIC96" s="32"/>
      <c r="FID96" s="32"/>
      <c r="FIE96" s="32"/>
      <c r="FIF96" s="32"/>
      <c r="FIG96" s="32"/>
      <c r="FIH96" s="32"/>
      <c r="FII96" s="32"/>
      <c r="FIJ96" s="32"/>
      <c r="FIK96" s="32"/>
      <c r="FIL96" s="32"/>
      <c r="FIM96" s="32"/>
      <c r="FIN96" s="32"/>
      <c r="FIO96" s="32"/>
      <c r="FIP96" s="32"/>
      <c r="FIQ96" s="32"/>
      <c r="FIR96" s="32"/>
      <c r="FIS96" s="32"/>
      <c r="FIT96" s="32"/>
      <c r="FIU96" s="32"/>
      <c r="FIV96" s="32"/>
      <c r="FIW96" s="32"/>
      <c r="FIX96" s="32"/>
      <c r="FIY96" s="32"/>
      <c r="FIZ96" s="32"/>
      <c r="FJA96" s="32"/>
      <c r="FJB96" s="32"/>
      <c r="FJC96" s="32"/>
      <c r="FJD96" s="32"/>
      <c r="FJE96" s="32"/>
      <c r="FJF96" s="32"/>
      <c r="FJG96" s="32"/>
      <c r="FJH96" s="32"/>
      <c r="FJI96" s="32"/>
      <c r="FJJ96" s="32"/>
      <c r="FJK96" s="32"/>
      <c r="FJL96" s="32"/>
      <c r="FJM96" s="32"/>
      <c r="FJN96" s="32"/>
      <c r="FJO96" s="32"/>
      <c r="FJP96" s="32"/>
      <c r="FJQ96" s="32"/>
      <c r="FJR96" s="32"/>
      <c r="FJS96" s="32"/>
      <c r="FJT96" s="32"/>
      <c r="FJU96" s="32"/>
      <c r="FJV96" s="32"/>
      <c r="FJW96" s="32"/>
      <c r="FJX96" s="32"/>
      <c r="FJY96" s="32"/>
      <c r="FJZ96" s="32"/>
      <c r="FKA96" s="32"/>
      <c r="FKB96" s="32"/>
      <c r="FKC96" s="32"/>
      <c r="FKD96" s="32"/>
      <c r="FKE96" s="32"/>
      <c r="FKF96" s="32"/>
      <c r="FKG96" s="32"/>
      <c r="FKH96" s="32"/>
      <c r="FKI96" s="32"/>
      <c r="FKJ96" s="32"/>
      <c r="FKK96" s="32"/>
      <c r="FKL96" s="32"/>
      <c r="FKM96" s="32"/>
      <c r="FKN96" s="32"/>
      <c r="FKO96" s="32"/>
      <c r="FKP96" s="32"/>
      <c r="FKQ96" s="32"/>
      <c r="FKR96" s="32"/>
      <c r="FKS96" s="32"/>
      <c r="FKT96" s="32"/>
      <c r="FKU96" s="32"/>
      <c r="FKV96" s="32"/>
      <c r="FKW96" s="32"/>
      <c r="FKX96" s="32"/>
      <c r="FKY96" s="32"/>
      <c r="FKZ96" s="32"/>
      <c r="FLA96" s="32"/>
      <c r="FLB96" s="32"/>
      <c r="FLC96" s="32"/>
      <c r="FLD96" s="32"/>
      <c r="FLE96" s="32"/>
      <c r="FLF96" s="32"/>
      <c r="FLG96" s="32"/>
      <c r="FLH96" s="32"/>
      <c r="FLI96" s="32"/>
      <c r="FLJ96" s="32"/>
      <c r="FLK96" s="32"/>
      <c r="FLL96" s="32"/>
      <c r="FLM96" s="32"/>
      <c r="FLN96" s="32"/>
      <c r="FLO96" s="32"/>
      <c r="FLP96" s="32"/>
      <c r="FLQ96" s="32"/>
      <c r="FLR96" s="32"/>
      <c r="FLS96" s="32"/>
      <c r="FLT96" s="32"/>
      <c r="FLU96" s="32"/>
      <c r="FLV96" s="32"/>
      <c r="FLW96" s="32"/>
      <c r="FLX96" s="32"/>
      <c r="FLY96" s="32"/>
      <c r="FLZ96" s="32"/>
      <c r="FMA96" s="32"/>
      <c r="FMB96" s="32"/>
      <c r="FMC96" s="32"/>
      <c r="FMD96" s="32"/>
      <c r="FME96" s="32"/>
      <c r="FMF96" s="32"/>
      <c r="FMG96" s="32"/>
      <c r="FMH96" s="32"/>
      <c r="FMI96" s="32"/>
      <c r="FMJ96" s="32"/>
      <c r="FMK96" s="32"/>
      <c r="FML96" s="32"/>
      <c r="FMM96" s="32"/>
      <c r="FMN96" s="32"/>
      <c r="FMO96" s="32"/>
      <c r="FMP96" s="32"/>
      <c r="FMQ96" s="32"/>
      <c r="FMR96" s="32"/>
      <c r="FMS96" s="32"/>
      <c r="FMT96" s="32"/>
      <c r="FMU96" s="32"/>
      <c r="FMV96" s="32"/>
      <c r="FMW96" s="32"/>
      <c r="FMX96" s="32"/>
      <c r="FMY96" s="32"/>
      <c r="FMZ96" s="32"/>
      <c r="FNA96" s="32"/>
      <c r="FNB96" s="32"/>
      <c r="FNC96" s="32"/>
      <c r="FND96" s="32"/>
      <c r="FNE96" s="32"/>
      <c r="FNF96" s="32"/>
      <c r="FNG96" s="32"/>
      <c r="FNH96" s="32"/>
      <c r="FNI96" s="32"/>
      <c r="FNJ96" s="32"/>
      <c r="FNK96" s="32"/>
      <c r="FNL96" s="32"/>
      <c r="FNM96" s="32"/>
      <c r="FNN96" s="32"/>
      <c r="FNO96" s="32"/>
      <c r="FNP96" s="32"/>
      <c r="FNQ96" s="32"/>
      <c r="FNR96" s="32"/>
      <c r="FNS96" s="32"/>
      <c r="FNT96" s="32"/>
      <c r="FNU96" s="32"/>
      <c r="FNV96" s="32"/>
      <c r="FNW96" s="32"/>
      <c r="FNX96" s="32"/>
      <c r="FNY96" s="32"/>
      <c r="FNZ96" s="32"/>
      <c r="FOA96" s="32"/>
      <c r="FOB96" s="32"/>
      <c r="FOC96" s="32"/>
      <c r="FOD96" s="32"/>
      <c r="FOE96" s="32"/>
      <c r="FOF96" s="32"/>
      <c r="FOG96" s="32"/>
      <c r="FOH96" s="32"/>
      <c r="FOI96" s="32"/>
      <c r="FOJ96" s="32"/>
      <c r="FOK96" s="32"/>
      <c r="FOL96" s="32"/>
      <c r="FOM96" s="32"/>
      <c r="FON96" s="32"/>
      <c r="FOO96" s="32"/>
      <c r="FOP96" s="32"/>
      <c r="FOQ96" s="32"/>
      <c r="FOR96" s="32"/>
      <c r="FOS96" s="32"/>
      <c r="FOT96" s="32"/>
      <c r="FOU96" s="32"/>
      <c r="FOV96" s="32"/>
      <c r="FOW96" s="32"/>
      <c r="FOX96" s="32"/>
      <c r="FOY96" s="32"/>
      <c r="FOZ96" s="32"/>
      <c r="FPA96" s="32"/>
      <c r="FPB96" s="32"/>
      <c r="FPC96" s="32"/>
      <c r="FPD96" s="32"/>
      <c r="FPE96" s="32"/>
      <c r="FPF96" s="32"/>
      <c r="FPG96" s="32"/>
      <c r="FPH96" s="32"/>
      <c r="FPI96" s="32"/>
      <c r="FPJ96" s="32"/>
      <c r="FPK96" s="32"/>
      <c r="FPL96" s="32"/>
      <c r="FPM96" s="32"/>
      <c r="FPN96" s="32"/>
      <c r="FPO96" s="32"/>
      <c r="FPP96" s="32"/>
      <c r="FPQ96" s="32"/>
      <c r="FPR96" s="32"/>
      <c r="FPS96" s="32"/>
      <c r="FPT96" s="32"/>
      <c r="FPU96" s="32"/>
      <c r="FPV96" s="32"/>
      <c r="FPW96" s="32"/>
      <c r="FPX96" s="32"/>
      <c r="FPY96" s="32"/>
      <c r="FPZ96" s="32"/>
      <c r="FQA96" s="32"/>
      <c r="FQB96" s="32"/>
      <c r="FQC96" s="32"/>
      <c r="FQD96" s="32"/>
      <c r="FQE96" s="32"/>
      <c r="FQF96" s="32"/>
      <c r="FQG96" s="32"/>
      <c r="FQH96" s="32"/>
      <c r="FQI96" s="32"/>
      <c r="FQJ96" s="32"/>
      <c r="FQK96" s="32"/>
      <c r="FQL96" s="32"/>
      <c r="FQM96" s="32"/>
      <c r="FQN96" s="32"/>
      <c r="FQO96" s="32"/>
      <c r="FQP96" s="32"/>
      <c r="FQQ96" s="32"/>
      <c r="FQR96" s="32"/>
      <c r="FQS96" s="32"/>
      <c r="FQT96" s="32"/>
      <c r="FQU96" s="32"/>
      <c r="FQV96" s="32"/>
      <c r="FQW96" s="32"/>
      <c r="FQX96" s="32"/>
      <c r="FQY96" s="32"/>
      <c r="FQZ96" s="32"/>
      <c r="FRA96" s="32"/>
      <c r="FRB96" s="32"/>
      <c r="FRC96" s="32"/>
      <c r="FRD96" s="32"/>
      <c r="FRE96" s="32"/>
      <c r="FRF96" s="32"/>
      <c r="FRG96" s="32"/>
      <c r="FRH96" s="32"/>
      <c r="FRI96" s="32"/>
      <c r="FRJ96" s="32"/>
      <c r="FRK96" s="32"/>
      <c r="FRL96" s="32"/>
      <c r="FRM96" s="32"/>
      <c r="FRN96" s="32"/>
      <c r="FRO96" s="32"/>
      <c r="FRP96" s="32"/>
      <c r="FRQ96" s="32"/>
      <c r="FRR96" s="32"/>
      <c r="FRS96" s="32"/>
      <c r="FRT96" s="32"/>
      <c r="FRU96" s="32"/>
      <c r="FRV96" s="32"/>
      <c r="FRW96" s="32"/>
      <c r="FRX96" s="32"/>
      <c r="FRY96" s="32"/>
      <c r="FRZ96" s="32"/>
      <c r="FSA96" s="32"/>
      <c r="FSB96" s="32"/>
      <c r="FSC96" s="32"/>
      <c r="FSD96" s="32"/>
      <c r="FSE96" s="32"/>
      <c r="FSF96" s="32"/>
      <c r="FSG96" s="32"/>
      <c r="FSH96" s="32"/>
      <c r="FSI96" s="32"/>
      <c r="FSJ96" s="32"/>
      <c r="FSK96" s="32"/>
      <c r="FSL96" s="32"/>
      <c r="FSM96" s="32"/>
      <c r="FSN96" s="32"/>
      <c r="FSO96" s="32"/>
      <c r="FSP96" s="32"/>
      <c r="FSQ96" s="32"/>
      <c r="FSR96" s="32"/>
      <c r="FSS96" s="32"/>
      <c r="FST96" s="32"/>
      <c r="FSU96" s="32"/>
      <c r="FSV96" s="32"/>
      <c r="FSW96" s="32"/>
      <c r="FSX96" s="32"/>
      <c r="FSY96" s="32"/>
      <c r="FSZ96" s="32"/>
      <c r="FTA96" s="32"/>
      <c r="FTB96" s="32"/>
      <c r="FTC96" s="32"/>
      <c r="FTD96" s="32"/>
      <c r="FTE96" s="32"/>
      <c r="FTF96" s="32"/>
      <c r="FTG96" s="32"/>
      <c r="FTH96" s="32"/>
      <c r="FTI96" s="32"/>
      <c r="FTJ96" s="32"/>
      <c r="FTK96" s="32"/>
      <c r="FTL96" s="32"/>
      <c r="FTM96" s="32"/>
      <c r="FTN96" s="32"/>
      <c r="FTO96" s="32"/>
      <c r="FTP96" s="32"/>
      <c r="FTQ96" s="32"/>
      <c r="FTR96" s="32"/>
      <c r="FTS96" s="32"/>
      <c r="FTT96" s="32"/>
      <c r="FTU96" s="32"/>
      <c r="FTV96" s="32"/>
      <c r="FTW96" s="32"/>
      <c r="FTX96" s="32"/>
      <c r="FTY96" s="32"/>
      <c r="FTZ96" s="32"/>
      <c r="FUA96" s="32"/>
      <c r="FUB96" s="32"/>
      <c r="FUC96" s="32"/>
      <c r="FUD96" s="32"/>
      <c r="FUE96" s="32"/>
      <c r="FUF96" s="32"/>
      <c r="FUG96" s="32"/>
      <c r="FUH96" s="32"/>
      <c r="FUI96" s="32"/>
      <c r="FUJ96" s="32"/>
      <c r="FUK96" s="32"/>
      <c r="FUL96" s="32"/>
      <c r="FUM96" s="32"/>
      <c r="FUN96" s="32"/>
      <c r="FUO96" s="32"/>
      <c r="FUP96" s="32"/>
      <c r="FUQ96" s="32"/>
      <c r="FUR96" s="32"/>
      <c r="FUS96" s="32"/>
      <c r="FUT96" s="32"/>
      <c r="FUU96" s="32"/>
      <c r="FUV96" s="32"/>
      <c r="FUW96" s="32"/>
      <c r="FUX96" s="32"/>
      <c r="FUY96" s="32"/>
      <c r="FUZ96" s="32"/>
      <c r="FVA96" s="32"/>
      <c r="FVB96" s="32"/>
      <c r="FVC96" s="32"/>
      <c r="FVD96" s="32"/>
      <c r="FVE96" s="32"/>
      <c r="FVF96" s="32"/>
      <c r="FVG96" s="32"/>
      <c r="FVH96" s="32"/>
      <c r="FVI96" s="32"/>
      <c r="FVJ96" s="32"/>
      <c r="FVK96" s="32"/>
      <c r="FVL96" s="32"/>
      <c r="FVM96" s="32"/>
      <c r="FVN96" s="32"/>
      <c r="FVO96" s="32"/>
      <c r="FVP96" s="32"/>
      <c r="FVQ96" s="32"/>
      <c r="FVR96" s="32"/>
      <c r="FVS96" s="32"/>
      <c r="FVT96" s="32"/>
      <c r="FVU96" s="32"/>
      <c r="FVV96" s="32"/>
      <c r="FVW96" s="32"/>
      <c r="FVX96" s="32"/>
      <c r="FVY96" s="32"/>
      <c r="FVZ96" s="32"/>
      <c r="FWA96" s="32"/>
      <c r="FWB96" s="32"/>
      <c r="FWC96" s="32"/>
      <c r="FWD96" s="32"/>
      <c r="FWE96" s="32"/>
      <c r="FWF96" s="32"/>
      <c r="FWG96" s="32"/>
      <c r="FWH96" s="32"/>
      <c r="FWI96" s="32"/>
      <c r="FWJ96" s="32"/>
      <c r="FWK96" s="32"/>
      <c r="FWL96" s="32"/>
      <c r="FWM96" s="32"/>
      <c r="FWN96" s="32"/>
      <c r="FWO96" s="32"/>
      <c r="FWP96" s="32"/>
      <c r="FWQ96" s="32"/>
      <c r="FWR96" s="32"/>
      <c r="FWS96" s="32"/>
      <c r="FWT96" s="32"/>
      <c r="FWU96" s="32"/>
      <c r="FWV96" s="32"/>
      <c r="FWW96" s="32"/>
      <c r="FWX96" s="32"/>
      <c r="FWY96" s="32"/>
      <c r="FWZ96" s="32"/>
      <c r="FXA96" s="32"/>
      <c r="FXB96" s="32"/>
      <c r="FXC96" s="32"/>
      <c r="FXD96" s="32"/>
      <c r="FXE96" s="32"/>
      <c r="FXF96" s="32"/>
      <c r="FXG96" s="32"/>
      <c r="FXH96" s="32"/>
      <c r="FXI96" s="32"/>
      <c r="FXJ96" s="32"/>
      <c r="FXK96" s="32"/>
      <c r="FXL96" s="32"/>
      <c r="FXM96" s="32"/>
      <c r="FXN96" s="32"/>
      <c r="FXO96" s="32"/>
      <c r="FXP96" s="32"/>
      <c r="FXQ96" s="32"/>
      <c r="FXR96" s="32"/>
      <c r="FXS96" s="32"/>
      <c r="FXT96" s="32"/>
      <c r="FXU96" s="32"/>
      <c r="FXV96" s="32"/>
      <c r="FXW96" s="32"/>
      <c r="FXX96" s="32"/>
      <c r="FXY96" s="32"/>
      <c r="FXZ96" s="32"/>
      <c r="FYA96" s="32"/>
      <c r="FYB96" s="32"/>
      <c r="FYC96" s="32"/>
      <c r="FYD96" s="32"/>
      <c r="FYE96" s="32"/>
      <c r="FYF96" s="32"/>
      <c r="FYG96" s="32"/>
      <c r="FYH96" s="32"/>
      <c r="FYI96" s="32"/>
      <c r="FYJ96" s="32"/>
      <c r="FYK96" s="32"/>
      <c r="FYL96" s="32"/>
      <c r="FYM96" s="32"/>
      <c r="FYN96" s="32"/>
      <c r="FYO96" s="32"/>
      <c r="FYP96" s="32"/>
      <c r="FYQ96" s="32"/>
      <c r="FYR96" s="32"/>
      <c r="FYS96" s="32"/>
      <c r="FYT96" s="32"/>
      <c r="FYU96" s="32"/>
      <c r="FYV96" s="32"/>
      <c r="FYW96" s="32"/>
      <c r="FYX96" s="32"/>
      <c r="FYY96" s="32"/>
      <c r="FYZ96" s="32"/>
      <c r="FZA96" s="32"/>
      <c r="FZB96" s="32"/>
      <c r="FZC96" s="32"/>
      <c r="FZD96" s="32"/>
      <c r="FZE96" s="32"/>
      <c r="FZF96" s="32"/>
      <c r="FZG96" s="32"/>
      <c r="FZH96" s="32"/>
      <c r="FZI96" s="32"/>
      <c r="FZJ96" s="32"/>
      <c r="FZK96" s="32"/>
      <c r="FZL96" s="32"/>
      <c r="FZM96" s="32"/>
      <c r="FZN96" s="32"/>
      <c r="FZO96" s="32"/>
      <c r="FZP96" s="32"/>
      <c r="FZQ96" s="32"/>
      <c r="FZR96" s="32"/>
      <c r="FZS96" s="32"/>
      <c r="FZT96" s="32"/>
      <c r="FZU96" s="32"/>
      <c r="FZV96" s="32"/>
      <c r="FZW96" s="32"/>
      <c r="FZX96" s="32"/>
      <c r="FZY96" s="32"/>
      <c r="FZZ96" s="32"/>
      <c r="GAA96" s="32"/>
      <c r="GAB96" s="32"/>
      <c r="GAC96" s="32"/>
      <c r="GAD96" s="32"/>
      <c r="GAE96" s="32"/>
      <c r="GAF96" s="32"/>
      <c r="GAG96" s="32"/>
      <c r="GAH96" s="32"/>
      <c r="GAI96" s="32"/>
      <c r="GAJ96" s="32"/>
      <c r="GAK96" s="32"/>
      <c r="GAL96" s="32"/>
      <c r="GAM96" s="32"/>
      <c r="GAN96" s="32"/>
      <c r="GAO96" s="32"/>
      <c r="GAP96" s="32"/>
      <c r="GAQ96" s="32"/>
      <c r="GAR96" s="32"/>
      <c r="GAS96" s="32"/>
      <c r="GAT96" s="32"/>
      <c r="GAU96" s="32"/>
      <c r="GAV96" s="32"/>
      <c r="GAW96" s="32"/>
      <c r="GAX96" s="32"/>
      <c r="GAY96" s="32"/>
      <c r="GAZ96" s="32"/>
      <c r="GBA96" s="32"/>
      <c r="GBB96" s="32"/>
      <c r="GBC96" s="32"/>
      <c r="GBD96" s="32"/>
      <c r="GBE96" s="32"/>
      <c r="GBF96" s="32"/>
      <c r="GBG96" s="32"/>
      <c r="GBH96" s="32"/>
      <c r="GBI96" s="32"/>
      <c r="GBJ96" s="32"/>
      <c r="GBK96" s="32"/>
      <c r="GBL96" s="32"/>
      <c r="GBM96" s="32"/>
      <c r="GBN96" s="32"/>
      <c r="GBO96" s="32"/>
      <c r="GBP96" s="32"/>
      <c r="GBQ96" s="32"/>
      <c r="GBR96" s="32"/>
      <c r="GBS96" s="32"/>
      <c r="GBT96" s="32"/>
      <c r="GBU96" s="32"/>
      <c r="GBV96" s="32"/>
      <c r="GBW96" s="32"/>
      <c r="GBX96" s="32"/>
      <c r="GBY96" s="32"/>
      <c r="GBZ96" s="32"/>
      <c r="GCA96" s="32"/>
      <c r="GCB96" s="32"/>
      <c r="GCC96" s="32"/>
      <c r="GCD96" s="32"/>
      <c r="GCE96" s="32"/>
      <c r="GCF96" s="32"/>
      <c r="GCG96" s="32"/>
      <c r="GCH96" s="32"/>
      <c r="GCI96" s="32"/>
      <c r="GCJ96" s="32"/>
      <c r="GCK96" s="32"/>
      <c r="GCL96" s="32"/>
      <c r="GCM96" s="32"/>
      <c r="GCN96" s="32"/>
      <c r="GCO96" s="32"/>
      <c r="GCP96" s="32"/>
      <c r="GCQ96" s="32"/>
      <c r="GCR96" s="32"/>
      <c r="GCS96" s="32"/>
      <c r="GCT96" s="32"/>
      <c r="GCU96" s="32"/>
      <c r="GCV96" s="32"/>
      <c r="GCW96" s="32"/>
      <c r="GCX96" s="32"/>
      <c r="GCY96" s="32"/>
      <c r="GCZ96" s="32"/>
      <c r="GDA96" s="32"/>
      <c r="GDB96" s="32"/>
      <c r="GDC96" s="32"/>
      <c r="GDD96" s="32"/>
      <c r="GDE96" s="32"/>
      <c r="GDF96" s="32"/>
      <c r="GDG96" s="32"/>
      <c r="GDH96" s="32"/>
      <c r="GDI96" s="32"/>
      <c r="GDJ96" s="32"/>
      <c r="GDK96" s="32"/>
      <c r="GDL96" s="32"/>
      <c r="GDM96" s="32"/>
      <c r="GDN96" s="32"/>
      <c r="GDO96" s="32"/>
      <c r="GDP96" s="32"/>
      <c r="GDQ96" s="32"/>
      <c r="GDR96" s="32"/>
      <c r="GDS96" s="32"/>
      <c r="GDT96" s="32"/>
      <c r="GDU96" s="32"/>
      <c r="GDV96" s="32"/>
      <c r="GDW96" s="32"/>
      <c r="GDX96" s="32"/>
      <c r="GDY96" s="32"/>
      <c r="GDZ96" s="32"/>
      <c r="GEA96" s="32"/>
      <c r="GEB96" s="32"/>
      <c r="GEC96" s="32"/>
      <c r="GED96" s="32"/>
      <c r="GEE96" s="32"/>
      <c r="GEF96" s="32"/>
      <c r="GEG96" s="32"/>
      <c r="GEH96" s="32"/>
      <c r="GEI96" s="32"/>
      <c r="GEJ96" s="32"/>
      <c r="GEK96" s="32"/>
      <c r="GEL96" s="32"/>
      <c r="GEM96" s="32"/>
      <c r="GEN96" s="32"/>
      <c r="GEO96" s="32"/>
      <c r="GEP96" s="32"/>
      <c r="GEQ96" s="32"/>
      <c r="GER96" s="32"/>
      <c r="GES96" s="32"/>
      <c r="GET96" s="32"/>
      <c r="GEU96" s="32"/>
      <c r="GEV96" s="32"/>
      <c r="GEW96" s="32"/>
      <c r="GEX96" s="32"/>
      <c r="GEY96" s="32"/>
      <c r="GEZ96" s="32"/>
      <c r="GFA96" s="32"/>
      <c r="GFB96" s="32"/>
      <c r="GFC96" s="32"/>
      <c r="GFD96" s="32"/>
      <c r="GFE96" s="32"/>
      <c r="GFF96" s="32"/>
      <c r="GFG96" s="32"/>
      <c r="GFH96" s="32"/>
      <c r="GFI96" s="32"/>
      <c r="GFJ96" s="32"/>
      <c r="GFK96" s="32"/>
      <c r="GFL96" s="32"/>
      <c r="GFM96" s="32"/>
      <c r="GFN96" s="32"/>
      <c r="GFO96" s="32"/>
      <c r="GFP96" s="32"/>
      <c r="GFQ96" s="32"/>
      <c r="GFR96" s="32"/>
      <c r="GFS96" s="32"/>
      <c r="GFT96" s="32"/>
      <c r="GFU96" s="32"/>
      <c r="GFV96" s="32"/>
      <c r="GFW96" s="32"/>
      <c r="GFX96" s="32"/>
      <c r="GFY96" s="32"/>
      <c r="GFZ96" s="32"/>
      <c r="GGA96" s="32"/>
      <c r="GGB96" s="32"/>
      <c r="GGC96" s="32"/>
      <c r="GGD96" s="32"/>
      <c r="GGE96" s="32"/>
      <c r="GGF96" s="32"/>
      <c r="GGG96" s="32"/>
      <c r="GGH96" s="32"/>
      <c r="GGI96" s="32"/>
      <c r="GGJ96" s="32"/>
      <c r="GGK96" s="32"/>
      <c r="GGL96" s="32"/>
      <c r="GGM96" s="32"/>
      <c r="GGN96" s="32"/>
      <c r="GGO96" s="32"/>
      <c r="GGP96" s="32"/>
      <c r="GGQ96" s="32"/>
      <c r="GGR96" s="32"/>
      <c r="GGS96" s="32"/>
      <c r="GGT96" s="32"/>
      <c r="GGU96" s="32"/>
      <c r="GGV96" s="32"/>
      <c r="GGW96" s="32"/>
      <c r="GGX96" s="32"/>
      <c r="GGY96" s="32"/>
      <c r="GGZ96" s="32"/>
      <c r="GHA96" s="32"/>
      <c r="GHB96" s="32"/>
      <c r="GHC96" s="32"/>
      <c r="GHD96" s="32"/>
      <c r="GHE96" s="32"/>
      <c r="GHF96" s="32"/>
      <c r="GHG96" s="32"/>
      <c r="GHH96" s="32"/>
      <c r="GHI96" s="32"/>
      <c r="GHJ96" s="32"/>
      <c r="GHK96" s="32"/>
      <c r="GHL96" s="32"/>
      <c r="GHM96" s="32"/>
      <c r="GHN96" s="32"/>
      <c r="GHO96" s="32"/>
      <c r="GHP96" s="32"/>
      <c r="GHQ96" s="32"/>
      <c r="GHR96" s="32"/>
      <c r="GHS96" s="32"/>
      <c r="GHT96" s="32"/>
      <c r="GHU96" s="32"/>
      <c r="GHV96" s="32"/>
      <c r="GHW96" s="32"/>
      <c r="GHX96" s="32"/>
      <c r="GHY96" s="32"/>
      <c r="GHZ96" s="32"/>
      <c r="GIA96" s="32"/>
      <c r="GIB96" s="32"/>
      <c r="GIC96" s="32"/>
      <c r="GID96" s="32"/>
      <c r="GIE96" s="32"/>
      <c r="GIF96" s="32"/>
      <c r="GIG96" s="32"/>
      <c r="GIH96" s="32"/>
      <c r="GII96" s="32"/>
      <c r="GIJ96" s="32"/>
      <c r="GIK96" s="32"/>
      <c r="GIL96" s="32"/>
      <c r="GIM96" s="32"/>
      <c r="GIN96" s="32"/>
      <c r="GIO96" s="32"/>
      <c r="GIP96" s="32"/>
      <c r="GIQ96" s="32"/>
      <c r="GIR96" s="32"/>
      <c r="GIS96" s="32"/>
      <c r="GIT96" s="32"/>
      <c r="GIU96" s="32"/>
      <c r="GIV96" s="32"/>
      <c r="GIW96" s="32"/>
      <c r="GIX96" s="32"/>
      <c r="GIY96" s="32"/>
      <c r="GIZ96" s="32"/>
      <c r="GJA96" s="32"/>
      <c r="GJB96" s="32"/>
      <c r="GJC96" s="32"/>
      <c r="GJD96" s="32"/>
      <c r="GJE96" s="32"/>
      <c r="GJF96" s="32"/>
      <c r="GJG96" s="32"/>
      <c r="GJH96" s="32"/>
      <c r="GJI96" s="32"/>
      <c r="GJJ96" s="32"/>
      <c r="GJK96" s="32"/>
      <c r="GJL96" s="32"/>
      <c r="GJM96" s="32"/>
      <c r="GJN96" s="32"/>
      <c r="GJO96" s="32"/>
      <c r="GJP96" s="32"/>
      <c r="GJQ96" s="32"/>
      <c r="GJR96" s="32"/>
      <c r="GJS96" s="32"/>
      <c r="GJT96" s="32"/>
      <c r="GJU96" s="32"/>
      <c r="GJV96" s="32"/>
      <c r="GJW96" s="32"/>
      <c r="GJX96" s="32"/>
      <c r="GJY96" s="32"/>
      <c r="GJZ96" s="32"/>
      <c r="GKA96" s="32"/>
      <c r="GKB96" s="32"/>
      <c r="GKC96" s="32"/>
      <c r="GKD96" s="32"/>
      <c r="GKE96" s="32"/>
      <c r="GKF96" s="32"/>
      <c r="GKG96" s="32"/>
      <c r="GKH96" s="32"/>
      <c r="GKI96" s="32"/>
      <c r="GKJ96" s="32"/>
      <c r="GKK96" s="32"/>
      <c r="GKL96" s="32"/>
      <c r="GKM96" s="32"/>
      <c r="GKN96" s="32"/>
      <c r="GKO96" s="32"/>
      <c r="GKP96" s="32"/>
      <c r="GKQ96" s="32"/>
      <c r="GKR96" s="32"/>
      <c r="GKS96" s="32"/>
      <c r="GKT96" s="32"/>
      <c r="GKU96" s="32"/>
      <c r="GKV96" s="32"/>
      <c r="GKW96" s="32"/>
      <c r="GKX96" s="32"/>
      <c r="GKY96" s="32"/>
      <c r="GKZ96" s="32"/>
      <c r="GLA96" s="32"/>
      <c r="GLB96" s="32"/>
      <c r="GLC96" s="32"/>
      <c r="GLD96" s="32"/>
      <c r="GLE96" s="32"/>
      <c r="GLF96" s="32"/>
      <c r="GLG96" s="32"/>
      <c r="GLH96" s="32"/>
      <c r="GLI96" s="32"/>
      <c r="GLJ96" s="32"/>
      <c r="GLK96" s="32"/>
      <c r="GLL96" s="32"/>
      <c r="GLM96" s="32"/>
      <c r="GLN96" s="32"/>
      <c r="GLO96" s="32"/>
      <c r="GLP96" s="32"/>
      <c r="GLQ96" s="32"/>
      <c r="GLR96" s="32"/>
      <c r="GLS96" s="32"/>
      <c r="GLT96" s="32"/>
      <c r="GLU96" s="32"/>
      <c r="GLV96" s="32"/>
      <c r="GLW96" s="32"/>
      <c r="GLX96" s="32"/>
      <c r="GLY96" s="32"/>
      <c r="GLZ96" s="32"/>
      <c r="GMA96" s="32"/>
      <c r="GMB96" s="32"/>
      <c r="GMC96" s="32"/>
      <c r="GMD96" s="32"/>
      <c r="GME96" s="32"/>
      <c r="GMF96" s="32"/>
      <c r="GMG96" s="32"/>
      <c r="GMH96" s="32"/>
      <c r="GMI96" s="32"/>
      <c r="GMJ96" s="32"/>
      <c r="GMK96" s="32"/>
      <c r="GML96" s="32"/>
      <c r="GMM96" s="32"/>
      <c r="GMN96" s="32"/>
      <c r="GMO96" s="32"/>
      <c r="GMP96" s="32"/>
      <c r="GMQ96" s="32"/>
      <c r="GMR96" s="32"/>
      <c r="GMS96" s="32"/>
      <c r="GMT96" s="32"/>
      <c r="GMU96" s="32"/>
      <c r="GMV96" s="32"/>
      <c r="GMW96" s="32"/>
      <c r="GMX96" s="32"/>
      <c r="GMY96" s="32"/>
      <c r="GMZ96" s="32"/>
      <c r="GNA96" s="32"/>
      <c r="GNB96" s="32"/>
      <c r="GNC96" s="32"/>
      <c r="GND96" s="32"/>
      <c r="GNE96" s="32"/>
      <c r="GNF96" s="32"/>
      <c r="GNG96" s="32"/>
      <c r="GNH96" s="32"/>
      <c r="GNI96" s="32"/>
      <c r="GNJ96" s="32"/>
      <c r="GNK96" s="32"/>
      <c r="GNL96" s="32"/>
      <c r="GNM96" s="32"/>
      <c r="GNN96" s="32"/>
      <c r="GNO96" s="32"/>
      <c r="GNP96" s="32"/>
      <c r="GNQ96" s="32"/>
      <c r="GNR96" s="32"/>
      <c r="GNS96" s="32"/>
      <c r="GNT96" s="32"/>
      <c r="GNU96" s="32"/>
      <c r="GNV96" s="32"/>
      <c r="GNW96" s="32"/>
      <c r="GNX96" s="32"/>
      <c r="GNY96" s="32"/>
      <c r="GNZ96" s="32"/>
      <c r="GOA96" s="32"/>
      <c r="GOB96" s="32"/>
      <c r="GOC96" s="32"/>
      <c r="GOD96" s="32"/>
      <c r="GOE96" s="32"/>
      <c r="GOF96" s="32"/>
      <c r="GOG96" s="32"/>
      <c r="GOH96" s="32"/>
      <c r="GOI96" s="32"/>
      <c r="GOJ96" s="32"/>
      <c r="GOK96" s="32"/>
      <c r="GOL96" s="32"/>
      <c r="GOM96" s="32"/>
      <c r="GON96" s="32"/>
      <c r="GOO96" s="32"/>
      <c r="GOP96" s="32"/>
      <c r="GOQ96" s="32"/>
      <c r="GOR96" s="32"/>
      <c r="GOS96" s="32"/>
      <c r="GOT96" s="32"/>
      <c r="GOU96" s="32"/>
      <c r="GOV96" s="32"/>
      <c r="GOW96" s="32"/>
      <c r="GOX96" s="32"/>
      <c r="GOY96" s="32"/>
      <c r="GOZ96" s="32"/>
      <c r="GPA96" s="32"/>
      <c r="GPB96" s="32"/>
      <c r="GPC96" s="32"/>
      <c r="GPD96" s="32"/>
      <c r="GPE96" s="32"/>
      <c r="GPF96" s="32"/>
      <c r="GPG96" s="32"/>
      <c r="GPH96" s="32"/>
      <c r="GPI96" s="32"/>
      <c r="GPJ96" s="32"/>
      <c r="GPK96" s="32"/>
      <c r="GPL96" s="32"/>
      <c r="GPM96" s="32"/>
      <c r="GPN96" s="32"/>
      <c r="GPO96" s="32"/>
      <c r="GPP96" s="32"/>
      <c r="GPQ96" s="32"/>
      <c r="GPR96" s="32"/>
      <c r="GPS96" s="32"/>
      <c r="GPT96" s="32"/>
      <c r="GPU96" s="32"/>
      <c r="GPV96" s="32"/>
      <c r="GPW96" s="32"/>
      <c r="GPX96" s="32"/>
      <c r="GPY96" s="32"/>
      <c r="GPZ96" s="32"/>
      <c r="GQA96" s="32"/>
      <c r="GQB96" s="32"/>
      <c r="GQC96" s="32"/>
      <c r="GQD96" s="32"/>
      <c r="GQE96" s="32"/>
      <c r="GQF96" s="32"/>
      <c r="GQG96" s="32"/>
      <c r="GQH96" s="32"/>
      <c r="GQI96" s="32"/>
      <c r="GQJ96" s="32"/>
      <c r="GQK96" s="32"/>
      <c r="GQL96" s="32"/>
      <c r="GQM96" s="32"/>
      <c r="GQN96" s="32"/>
      <c r="GQO96" s="32"/>
      <c r="GQP96" s="32"/>
      <c r="GQQ96" s="32"/>
      <c r="GQR96" s="32"/>
      <c r="GQS96" s="32"/>
      <c r="GQT96" s="32"/>
      <c r="GQU96" s="32"/>
      <c r="GQV96" s="32"/>
      <c r="GQW96" s="32"/>
      <c r="GQX96" s="32"/>
      <c r="GQY96" s="32"/>
      <c r="GQZ96" s="32"/>
      <c r="GRA96" s="32"/>
      <c r="GRB96" s="32"/>
      <c r="GRC96" s="32"/>
      <c r="GRD96" s="32"/>
      <c r="GRE96" s="32"/>
      <c r="GRF96" s="32"/>
      <c r="GRG96" s="32"/>
      <c r="GRH96" s="32"/>
      <c r="GRI96" s="32"/>
      <c r="GRJ96" s="32"/>
      <c r="GRK96" s="32"/>
      <c r="GRL96" s="32"/>
      <c r="GRM96" s="32"/>
      <c r="GRN96" s="32"/>
      <c r="GRO96" s="32"/>
      <c r="GRP96" s="32"/>
      <c r="GRQ96" s="32"/>
      <c r="GRR96" s="32"/>
      <c r="GRS96" s="32"/>
      <c r="GRT96" s="32"/>
      <c r="GRU96" s="32"/>
      <c r="GRV96" s="32"/>
      <c r="GRW96" s="32"/>
      <c r="GRX96" s="32"/>
      <c r="GRY96" s="32"/>
      <c r="GRZ96" s="32"/>
      <c r="GSA96" s="32"/>
      <c r="GSB96" s="32"/>
      <c r="GSC96" s="32"/>
      <c r="GSD96" s="32"/>
      <c r="GSE96" s="32"/>
      <c r="GSF96" s="32"/>
      <c r="GSG96" s="32"/>
      <c r="GSH96" s="32"/>
      <c r="GSI96" s="32"/>
      <c r="GSJ96" s="32"/>
      <c r="GSK96" s="32"/>
      <c r="GSL96" s="32"/>
      <c r="GSM96" s="32"/>
      <c r="GSN96" s="32"/>
      <c r="GSO96" s="32"/>
      <c r="GSP96" s="32"/>
      <c r="GSQ96" s="32"/>
      <c r="GSR96" s="32"/>
      <c r="GSS96" s="32"/>
      <c r="GST96" s="32"/>
      <c r="GSU96" s="32"/>
      <c r="GSV96" s="32"/>
      <c r="GSW96" s="32"/>
      <c r="GSX96" s="32"/>
      <c r="GSY96" s="32"/>
      <c r="GSZ96" s="32"/>
      <c r="GTA96" s="32"/>
      <c r="GTB96" s="32"/>
      <c r="GTC96" s="32"/>
      <c r="GTD96" s="32"/>
      <c r="GTE96" s="32"/>
      <c r="GTF96" s="32"/>
      <c r="GTG96" s="32"/>
      <c r="GTH96" s="32"/>
      <c r="GTI96" s="32"/>
      <c r="GTJ96" s="32"/>
      <c r="GTK96" s="32"/>
      <c r="GTL96" s="32"/>
      <c r="GTM96" s="32"/>
      <c r="GTN96" s="32"/>
      <c r="GTO96" s="32"/>
      <c r="GTP96" s="32"/>
      <c r="GTQ96" s="32"/>
      <c r="GTR96" s="32"/>
      <c r="GTS96" s="32"/>
      <c r="GTT96" s="32"/>
      <c r="GTU96" s="32"/>
      <c r="GTV96" s="32"/>
      <c r="GTW96" s="32"/>
      <c r="GTX96" s="32"/>
      <c r="GTY96" s="32"/>
      <c r="GTZ96" s="32"/>
      <c r="GUA96" s="32"/>
      <c r="GUB96" s="32"/>
      <c r="GUC96" s="32"/>
      <c r="GUD96" s="32"/>
      <c r="GUE96" s="32"/>
      <c r="GUF96" s="32"/>
      <c r="GUG96" s="32"/>
      <c r="GUH96" s="32"/>
      <c r="GUI96" s="32"/>
      <c r="GUJ96" s="32"/>
      <c r="GUK96" s="32"/>
      <c r="GUL96" s="32"/>
      <c r="GUM96" s="32"/>
      <c r="GUN96" s="32"/>
      <c r="GUO96" s="32"/>
      <c r="GUP96" s="32"/>
      <c r="GUQ96" s="32"/>
      <c r="GUR96" s="32"/>
      <c r="GUS96" s="32"/>
      <c r="GUT96" s="32"/>
      <c r="GUU96" s="32"/>
      <c r="GUV96" s="32"/>
      <c r="GUW96" s="32"/>
      <c r="GUX96" s="32"/>
      <c r="GUY96" s="32"/>
      <c r="GUZ96" s="32"/>
      <c r="GVA96" s="32"/>
      <c r="GVB96" s="32"/>
      <c r="GVC96" s="32"/>
      <c r="GVD96" s="32"/>
      <c r="GVE96" s="32"/>
      <c r="GVF96" s="32"/>
      <c r="GVG96" s="32"/>
      <c r="GVH96" s="32"/>
      <c r="GVI96" s="32"/>
      <c r="GVJ96" s="32"/>
      <c r="GVK96" s="32"/>
      <c r="GVL96" s="32"/>
      <c r="GVM96" s="32"/>
      <c r="GVN96" s="32"/>
      <c r="GVO96" s="32"/>
      <c r="GVP96" s="32"/>
      <c r="GVQ96" s="32"/>
      <c r="GVR96" s="32"/>
      <c r="GVS96" s="32"/>
      <c r="GVT96" s="32"/>
      <c r="GVU96" s="32"/>
      <c r="GVV96" s="32"/>
      <c r="GVW96" s="32"/>
      <c r="GVX96" s="32"/>
      <c r="GVY96" s="32"/>
      <c r="GVZ96" s="32"/>
      <c r="GWA96" s="32"/>
      <c r="GWB96" s="32"/>
      <c r="GWC96" s="32"/>
      <c r="GWD96" s="32"/>
      <c r="GWE96" s="32"/>
      <c r="GWF96" s="32"/>
      <c r="GWG96" s="32"/>
      <c r="GWH96" s="32"/>
      <c r="GWI96" s="32"/>
      <c r="GWJ96" s="32"/>
      <c r="GWK96" s="32"/>
      <c r="GWL96" s="32"/>
      <c r="GWM96" s="32"/>
      <c r="GWN96" s="32"/>
      <c r="GWO96" s="32"/>
      <c r="GWP96" s="32"/>
      <c r="GWQ96" s="32"/>
      <c r="GWR96" s="32"/>
      <c r="GWS96" s="32"/>
      <c r="GWT96" s="32"/>
      <c r="GWU96" s="32"/>
      <c r="GWV96" s="32"/>
      <c r="GWW96" s="32"/>
      <c r="GWX96" s="32"/>
      <c r="GWY96" s="32"/>
      <c r="GWZ96" s="32"/>
      <c r="GXA96" s="32"/>
      <c r="GXB96" s="32"/>
      <c r="GXC96" s="32"/>
      <c r="GXD96" s="32"/>
      <c r="GXE96" s="32"/>
      <c r="GXF96" s="32"/>
      <c r="GXG96" s="32"/>
      <c r="GXH96" s="32"/>
      <c r="GXI96" s="32"/>
      <c r="GXJ96" s="32"/>
      <c r="GXK96" s="32"/>
      <c r="GXL96" s="32"/>
      <c r="GXM96" s="32"/>
      <c r="GXN96" s="32"/>
      <c r="GXO96" s="32"/>
      <c r="GXP96" s="32"/>
      <c r="GXQ96" s="32"/>
      <c r="GXR96" s="32"/>
      <c r="GXS96" s="32"/>
      <c r="GXT96" s="32"/>
      <c r="GXU96" s="32"/>
      <c r="GXV96" s="32"/>
      <c r="GXW96" s="32"/>
      <c r="GXX96" s="32"/>
      <c r="GXY96" s="32"/>
      <c r="GXZ96" s="32"/>
      <c r="GYA96" s="32"/>
      <c r="GYB96" s="32"/>
      <c r="GYC96" s="32"/>
      <c r="GYD96" s="32"/>
      <c r="GYE96" s="32"/>
      <c r="GYF96" s="32"/>
      <c r="GYG96" s="32"/>
      <c r="GYH96" s="32"/>
      <c r="GYI96" s="32"/>
      <c r="GYJ96" s="32"/>
      <c r="GYK96" s="32"/>
      <c r="GYL96" s="32"/>
      <c r="GYM96" s="32"/>
      <c r="GYN96" s="32"/>
      <c r="GYO96" s="32"/>
      <c r="GYP96" s="32"/>
      <c r="GYQ96" s="32"/>
      <c r="GYR96" s="32"/>
      <c r="GYS96" s="32"/>
      <c r="GYT96" s="32"/>
      <c r="GYU96" s="32"/>
      <c r="GYV96" s="32"/>
      <c r="GYW96" s="32"/>
      <c r="GYX96" s="32"/>
      <c r="GYY96" s="32"/>
      <c r="GYZ96" s="32"/>
      <c r="GZA96" s="32"/>
      <c r="GZB96" s="32"/>
      <c r="GZC96" s="32"/>
      <c r="GZD96" s="32"/>
      <c r="GZE96" s="32"/>
      <c r="GZF96" s="32"/>
      <c r="GZG96" s="32"/>
      <c r="GZH96" s="32"/>
      <c r="GZI96" s="32"/>
      <c r="GZJ96" s="32"/>
      <c r="GZK96" s="32"/>
      <c r="GZL96" s="32"/>
      <c r="GZM96" s="32"/>
      <c r="GZN96" s="32"/>
      <c r="GZO96" s="32"/>
      <c r="GZP96" s="32"/>
      <c r="GZQ96" s="32"/>
      <c r="GZR96" s="32"/>
      <c r="GZS96" s="32"/>
      <c r="GZT96" s="32"/>
      <c r="GZU96" s="32"/>
      <c r="GZV96" s="32"/>
      <c r="GZW96" s="32"/>
      <c r="GZX96" s="32"/>
      <c r="GZY96" s="32"/>
      <c r="GZZ96" s="32"/>
      <c r="HAA96" s="32"/>
      <c r="HAB96" s="32"/>
      <c r="HAC96" s="32"/>
      <c r="HAD96" s="32"/>
      <c r="HAE96" s="32"/>
      <c r="HAF96" s="32"/>
      <c r="HAG96" s="32"/>
      <c r="HAH96" s="32"/>
      <c r="HAI96" s="32"/>
      <c r="HAJ96" s="32"/>
      <c r="HAK96" s="32"/>
      <c r="HAL96" s="32"/>
      <c r="HAM96" s="32"/>
      <c r="HAN96" s="32"/>
      <c r="HAO96" s="32"/>
      <c r="HAP96" s="32"/>
      <c r="HAQ96" s="32"/>
      <c r="HAR96" s="32"/>
      <c r="HAS96" s="32"/>
      <c r="HAT96" s="32"/>
      <c r="HAU96" s="32"/>
      <c r="HAV96" s="32"/>
      <c r="HAW96" s="32"/>
      <c r="HAX96" s="32"/>
      <c r="HAY96" s="32"/>
      <c r="HAZ96" s="32"/>
      <c r="HBA96" s="32"/>
      <c r="HBB96" s="32"/>
      <c r="HBC96" s="32"/>
      <c r="HBD96" s="32"/>
      <c r="HBE96" s="32"/>
      <c r="HBF96" s="32"/>
      <c r="HBG96" s="32"/>
      <c r="HBH96" s="32"/>
      <c r="HBI96" s="32"/>
      <c r="HBJ96" s="32"/>
      <c r="HBK96" s="32"/>
      <c r="HBL96" s="32"/>
      <c r="HBM96" s="32"/>
      <c r="HBN96" s="32"/>
      <c r="HBO96" s="32"/>
      <c r="HBP96" s="32"/>
      <c r="HBQ96" s="32"/>
      <c r="HBR96" s="32"/>
      <c r="HBS96" s="32"/>
      <c r="HBT96" s="32"/>
      <c r="HBU96" s="32"/>
      <c r="HBV96" s="32"/>
      <c r="HBW96" s="32"/>
      <c r="HBX96" s="32"/>
      <c r="HBY96" s="32"/>
      <c r="HBZ96" s="32"/>
      <c r="HCA96" s="32"/>
      <c r="HCB96" s="32"/>
      <c r="HCC96" s="32"/>
      <c r="HCD96" s="32"/>
      <c r="HCE96" s="32"/>
      <c r="HCF96" s="32"/>
      <c r="HCG96" s="32"/>
      <c r="HCH96" s="32"/>
      <c r="HCI96" s="32"/>
      <c r="HCJ96" s="32"/>
      <c r="HCK96" s="32"/>
      <c r="HCL96" s="32"/>
      <c r="HCM96" s="32"/>
      <c r="HCN96" s="32"/>
      <c r="HCO96" s="32"/>
      <c r="HCP96" s="32"/>
      <c r="HCQ96" s="32"/>
      <c r="HCR96" s="32"/>
      <c r="HCS96" s="32"/>
      <c r="HCT96" s="32"/>
      <c r="HCU96" s="32"/>
      <c r="HCV96" s="32"/>
      <c r="HCW96" s="32"/>
      <c r="HCX96" s="32"/>
      <c r="HCY96" s="32"/>
      <c r="HCZ96" s="32"/>
      <c r="HDA96" s="32"/>
      <c r="HDB96" s="32"/>
      <c r="HDC96" s="32"/>
      <c r="HDD96" s="32"/>
      <c r="HDE96" s="32"/>
      <c r="HDF96" s="32"/>
      <c r="HDG96" s="32"/>
      <c r="HDH96" s="32"/>
      <c r="HDI96" s="32"/>
      <c r="HDJ96" s="32"/>
      <c r="HDK96" s="32"/>
      <c r="HDL96" s="32"/>
      <c r="HDM96" s="32"/>
      <c r="HDN96" s="32"/>
      <c r="HDO96" s="32"/>
      <c r="HDP96" s="32"/>
      <c r="HDQ96" s="32"/>
      <c r="HDR96" s="32"/>
      <c r="HDS96" s="32"/>
      <c r="HDT96" s="32"/>
      <c r="HDU96" s="32"/>
      <c r="HDV96" s="32"/>
      <c r="HDW96" s="32"/>
      <c r="HDX96" s="32"/>
      <c r="HDY96" s="32"/>
      <c r="HDZ96" s="32"/>
      <c r="HEA96" s="32"/>
      <c r="HEB96" s="32"/>
      <c r="HEC96" s="32"/>
      <c r="HED96" s="32"/>
      <c r="HEE96" s="32"/>
      <c r="HEF96" s="32"/>
      <c r="HEG96" s="32"/>
      <c r="HEH96" s="32"/>
      <c r="HEI96" s="32"/>
      <c r="HEJ96" s="32"/>
      <c r="HEK96" s="32"/>
      <c r="HEL96" s="32"/>
      <c r="HEM96" s="32"/>
      <c r="HEN96" s="32"/>
      <c r="HEO96" s="32"/>
      <c r="HEP96" s="32"/>
      <c r="HEQ96" s="32"/>
      <c r="HER96" s="32"/>
      <c r="HES96" s="32"/>
      <c r="HET96" s="32"/>
      <c r="HEU96" s="32"/>
      <c r="HEV96" s="32"/>
      <c r="HEW96" s="32"/>
      <c r="HEX96" s="32"/>
      <c r="HEY96" s="32"/>
      <c r="HEZ96" s="32"/>
      <c r="HFA96" s="32"/>
      <c r="HFB96" s="32"/>
      <c r="HFC96" s="32"/>
      <c r="HFD96" s="32"/>
      <c r="HFE96" s="32"/>
      <c r="HFF96" s="32"/>
      <c r="HFG96" s="32"/>
      <c r="HFH96" s="32"/>
      <c r="HFI96" s="32"/>
      <c r="HFJ96" s="32"/>
      <c r="HFK96" s="32"/>
      <c r="HFL96" s="32"/>
      <c r="HFM96" s="32"/>
      <c r="HFN96" s="32"/>
      <c r="HFO96" s="32"/>
      <c r="HFP96" s="32"/>
      <c r="HFQ96" s="32"/>
      <c r="HFR96" s="32"/>
      <c r="HFS96" s="32"/>
      <c r="HFT96" s="32"/>
      <c r="HFU96" s="32"/>
      <c r="HFV96" s="32"/>
      <c r="HFW96" s="32"/>
      <c r="HFX96" s="32"/>
      <c r="HFY96" s="32"/>
      <c r="HFZ96" s="32"/>
      <c r="HGA96" s="32"/>
      <c r="HGB96" s="32"/>
      <c r="HGC96" s="32"/>
      <c r="HGD96" s="32"/>
      <c r="HGE96" s="32"/>
      <c r="HGF96" s="32"/>
      <c r="HGG96" s="32"/>
      <c r="HGH96" s="32"/>
      <c r="HGI96" s="32"/>
      <c r="HGJ96" s="32"/>
      <c r="HGK96" s="32"/>
      <c r="HGL96" s="32"/>
      <c r="HGM96" s="32"/>
      <c r="HGN96" s="32"/>
      <c r="HGO96" s="32"/>
      <c r="HGP96" s="32"/>
      <c r="HGQ96" s="32"/>
      <c r="HGR96" s="32"/>
      <c r="HGS96" s="32"/>
      <c r="HGT96" s="32"/>
      <c r="HGU96" s="32"/>
      <c r="HGV96" s="32"/>
      <c r="HGW96" s="32"/>
      <c r="HGX96" s="32"/>
      <c r="HGY96" s="32"/>
      <c r="HGZ96" s="32"/>
      <c r="HHA96" s="32"/>
      <c r="HHB96" s="32"/>
      <c r="HHC96" s="32"/>
      <c r="HHD96" s="32"/>
      <c r="HHE96" s="32"/>
      <c r="HHF96" s="32"/>
      <c r="HHG96" s="32"/>
      <c r="HHH96" s="32"/>
      <c r="HHI96" s="32"/>
      <c r="HHJ96" s="32"/>
      <c r="HHK96" s="32"/>
      <c r="HHL96" s="32"/>
      <c r="HHM96" s="32"/>
      <c r="HHN96" s="32"/>
      <c r="HHO96" s="32"/>
      <c r="HHP96" s="32"/>
      <c r="HHQ96" s="32"/>
      <c r="HHR96" s="32"/>
      <c r="HHS96" s="32"/>
      <c r="HHT96" s="32"/>
      <c r="HHU96" s="32"/>
      <c r="HHV96" s="32"/>
      <c r="HHW96" s="32"/>
      <c r="HHX96" s="32"/>
      <c r="HHY96" s="32"/>
      <c r="HHZ96" s="32"/>
      <c r="HIA96" s="32"/>
      <c r="HIB96" s="32"/>
      <c r="HIC96" s="32"/>
      <c r="HID96" s="32"/>
      <c r="HIE96" s="32"/>
      <c r="HIF96" s="32"/>
      <c r="HIG96" s="32"/>
      <c r="HIH96" s="32"/>
      <c r="HII96" s="32"/>
      <c r="HIJ96" s="32"/>
      <c r="HIK96" s="32"/>
      <c r="HIL96" s="32"/>
      <c r="HIM96" s="32"/>
      <c r="HIN96" s="32"/>
      <c r="HIO96" s="32"/>
      <c r="HIP96" s="32"/>
      <c r="HIQ96" s="32"/>
      <c r="HIR96" s="32"/>
      <c r="HIS96" s="32"/>
      <c r="HIT96" s="32"/>
      <c r="HIU96" s="32"/>
      <c r="HIV96" s="32"/>
      <c r="HIW96" s="32"/>
      <c r="HIX96" s="32"/>
      <c r="HIY96" s="32"/>
      <c r="HIZ96" s="32"/>
      <c r="HJA96" s="32"/>
      <c r="HJB96" s="32"/>
      <c r="HJC96" s="32"/>
      <c r="HJD96" s="32"/>
      <c r="HJE96" s="32"/>
      <c r="HJF96" s="32"/>
      <c r="HJG96" s="32"/>
      <c r="HJH96" s="32"/>
      <c r="HJI96" s="32"/>
      <c r="HJJ96" s="32"/>
      <c r="HJK96" s="32"/>
      <c r="HJL96" s="32"/>
      <c r="HJM96" s="32"/>
      <c r="HJN96" s="32"/>
      <c r="HJO96" s="32"/>
      <c r="HJP96" s="32"/>
      <c r="HJQ96" s="32"/>
      <c r="HJR96" s="32"/>
      <c r="HJS96" s="32"/>
      <c r="HJT96" s="32"/>
      <c r="HJU96" s="32"/>
      <c r="HJV96" s="32"/>
      <c r="HJW96" s="32"/>
      <c r="HJX96" s="32"/>
      <c r="HJY96" s="32"/>
      <c r="HJZ96" s="32"/>
      <c r="HKA96" s="32"/>
      <c r="HKB96" s="32"/>
      <c r="HKC96" s="32"/>
      <c r="HKD96" s="32"/>
      <c r="HKE96" s="32"/>
      <c r="HKF96" s="32"/>
      <c r="HKG96" s="32"/>
      <c r="HKH96" s="32"/>
      <c r="HKI96" s="32"/>
      <c r="HKJ96" s="32"/>
      <c r="HKK96" s="32"/>
      <c r="HKL96" s="32"/>
      <c r="HKM96" s="32"/>
      <c r="HKN96" s="32"/>
      <c r="HKO96" s="32"/>
      <c r="HKP96" s="32"/>
      <c r="HKQ96" s="32"/>
      <c r="HKR96" s="32"/>
      <c r="HKS96" s="32"/>
      <c r="HKT96" s="32"/>
      <c r="HKU96" s="32"/>
      <c r="HKV96" s="32"/>
      <c r="HKW96" s="32"/>
      <c r="HKX96" s="32"/>
      <c r="HKY96" s="32"/>
      <c r="HKZ96" s="32"/>
      <c r="HLA96" s="32"/>
      <c r="HLB96" s="32"/>
      <c r="HLC96" s="32"/>
      <c r="HLD96" s="32"/>
      <c r="HLE96" s="32"/>
      <c r="HLF96" s="32"/>
      <c r="HLG96" s="32"/>
      <c r="HLH96" s="32"/>
      <c r="HLI96" s="32"/>
      <c r="HLJ96" s="32"/>
      <c r="HLK96" s="32"/>
      <c r="HLL96" s="32"/>
      <c r="HLM96" s="32"/>
      <c r="HLN96" s="32"/>
      <c r="HLO96" s="32"/>
      <c r="HLP96" s="32"/>
      <c r="HLQ96" s="32"/>
      <c r="HLR96" s="32"/>
      <c r="HLS96" s="32"/>
      <c r="HLT96" s="32"/>
      <c r="HLU96" s="32"/>
      <c r="HLV96" s="32"/>
      <c r="HLW96" s="32"/>
      <c r="HLX96" s="32"/>
      <c r="HLY96" s="32"/>
      <c r="HLZ96" s="32"/>
      <c r="HMA96" s="32"/>
      <c r="HMB96" s="32"/>
      <c r="HMC96" s="32"/>
      <c r="HMD96" s="32"/>
      <c r="HME96" s="32"/>
      <c r="HMF96" s="32"/>
      <c r="HMG96" s="32"/>
      <c r="HMH96" s="32"/>
      <c r="HMI96" s="32"/>
      <c r="HMJ96" s="32"/>
      <c r="HMK96" s="32"/>
      <c r="HML96" s="32"/>
      <c r="HMM96" s="32"/>
      <c r="HMN96" s="32"/>
      <c r="HMO96" s="32"/>
      <c r="HMP96" s="32"/>
      <c r="HMQ96" s="32"/>
      <c r="HMR96" s="32"/>
      <c r="HMS96" s="32"/>
      <c r="HMT96" s="32"/>
      <c r="HMU96" s="32"/>
      <c r="HMV96" s="32"/>
      <c r="HMW96" s="32"/>
      <c r="HMX96" s="32"/>
      <c r="HMY96" s="32"/>
      <c r="HMZ96" s="32"/>
      <c r="HNA96" s="32"/>
      <c r="HNB96" s="32"/>
      <c r="HNC96" s="32"/>
      <c r="HND96" s="32"/>
      <c r="HNE96" s="32"/>
      <c r="HNF96" s="32"/>
      <c r="HNG96" s="32"/>
      <c r="HNH96" s="32"/>
      <c r="HNI96" s="32"/>
      <c r="HNJ96" s="32"/>
      <c r="HNK96" s="32"/>
      <c r="HNL96" s="32"/>
      <c r="HNM96" s="32"/>
      <c r="HNN96" s="32"/>
      <c r="HNO96" s="32"/>
      <c r="HNP96" s="32"/>
      <c r="HNQ96" s="32"/>
      <c r="HNR96" s="32"/>
      <c r="HNS96" s="32"/>
      <c r="HNT96" s="32"/>
      <c r="HNU96" s="32"/>
      <c r="HNV96" s="32"/>
      <c r="HNW96" s="32"/>
      <c r="HNX96" s="32"/>
      <c r="HNY96" s="32"/>
      <c r="HNZ96" s="32"/>
      <c r="HOA96" s="32"/>
      <c r="HOB96" s="32"/>
      <c r="HOC96" s="32"/>
      <c r="HOD96" s="32"/>
      <c r="HOE96" s="32"/>
      <c r="HOF96" s="32"/>
      <c r="HOG96" s="32"/>
      <c r="HOH96" s="32"/>
      <c r="HOI96" s="32"/>
      <c r="HOJ96" s="32"/>
      <c r="HOK96" s="32"/>
      <c r="HOL96" s="32"/>
      <c r="HOM96" s="32"/>
      <c r="HON96" s="32"/>
      <c r="HOO96" s="32"/>
      <c r="HOP96" s="32"/>
      <c r="HOQ96" s="32"/>
      <c r="HOR96" s="32"/>
      <c r="HOS96" s="32"/>
      <c r="HOT96" s="32"/>
      <c r="HOU96" s="32"/>
      <c r="HOV96" s="32"/>
      <c r="HOW96" s="32"/>
      <c r="HOX96" s="32"/>
      <c r="HOY96" s="32"/>
      <c r="HOZ96" s="32"/>
      <c r="HPA96" s="32"/>
      <c r="HPB96" s="32"/>
      <c r="HPC96" s="32"/>
      <c r="HPD96" s="32"/>
      <c r="HPE96" s="32"/>
      <c r="HPF96" s="32"/>
      <c r="HPG96" s="32"/>
      <c r="HPH96" s="32"/>
      <c r="HPI96" s="32"/>
      <c r="HPJ96" s="32"/>
      <c r="HPK96" s="32"/>
      <c r="HPL96" s="32"/>
      <c r="HPM96" s="32"/>
      <c r="HPN96" s="32"/>
      <c r="HPO96" s="32"/>
      <c r="HPP96" s="32"/>
      <c r="HPQ96" s="32"/>
      <c r="HPR96" s="32"/>
      <c r="HPS96" s="32"/>
      <c r="HPT96" s="32"/>
      <c r="HPU96" s="32"/>
      <c r="HPV96" s="32"/>
      <c r="HPW96" s="32"/>
      <c r="HPX96" s="32"/>
      <c r="HPY96" s="32"/>
      <c r="HPZ96" s="32"/>
      <c r="HQA96" s="32"/>
      <c r="HQB96" s="32"/>
      <c r="HQC96" s="32"/>
      <c r="HQD96" s="32"/>
      <c r="HQE96" s="32"/>
      <c r="HQF96" s="32"/>
      <c r="HQG96" s="32"/>
      <c r="HQH96" s="32"/>
      <c r="HQI96" s="32"/>
      <c r="HQJ96" s="32"/>
      <c r="HQK96" s="32"/>
      <c r="HQL96" s="32"/>
      <c r="HQM96" s="32"/>
      <c r="HQN96" s="32"/>
      <c r="HQO96" s="32"/>
      <c r="HQP96" s="32"/>
      <c r="HQQ96" s="32"/>
      <c r="HQR96" s="32"/>
      <c r="HQS96" s="32"/>
      <c r="HQT96" s="32"/>
      <c r="HQU96" s="32"/>
      <c r="HQV96" s="32"/>
      <c r="HQW96" s="32"/>
      <c r="HQX96" s="32"/>
      <c r="HQY96" s="32"/>
      <c r="HQZ96" s="32"/>
      <c r="HRA96" s="32"/>
      <c r="HRB96" s="32"/>
      <c r="HRC96" s="32"/>
      <c r="HRD96" s="32"/>
      <c r="HRE96" s="32"/>
      <c r="HRF96" s="32"/>
      <c r="HRG96" s="32"/>
      <c r="HRH96" s="32"/>
      <c r="HRI96" s="32"/>
      <c r="HRJ96" s="32"/>
      <c r="HRK96" s="32"/>
      <c r="HRL96" s="32"/>
      <c r="HRM96" s="32"/>
      <c r="HRN96" s="32"/>
      <c r="HRO96" s="32"/>
      <c r="HRP96" s="32"/>
      <c r="HRQ96" s="32"/>
      <c r="HRR96" s="32"/>
      <c r="HRS96" s="32"/>
      <c r="HRT96" s="32"/>
      <c r="HRU96" s="32"/>
      <c r="HRV96" s="32"/>
      <c r="HRW96" s="32"/>
      <c r="HRX96" s="32"/>
      <c r="HRY96" s="32"/>
      <c r="HRZ96" s="32"/>
      <c r="HSA96" s="32"/>
      <c r="HSB96" s="32"/>
      <c r="HSC96" s="32"/>
      <c r="HSD96" s="32"/>
      <c r="HSE96" s="32"/>
      <c r="HSF96" s="32"/>
      <c r="HSG96" s="32"/>
      <c r="HSH96" s="32"/>
      <c r="HSI96" s="32"/>
      <c r="HSJ96" s="32"/>
      <c r="HSK96" s="32"/>
      <c r="HSL96" s="32"/>
      <c r="HSM96" s="32"/>
      <c r="HSN96" s="32"/>
      <c r="HSO96" s="32"/>
      <c r="HSP96" s="32"/>
      <c r="HSQ96" s="32"/>
      <c r="HSR96" s="32"/>
      <c r="HSS96" s="32"/>
      <c r="HST96" s="32"/>
      <c r="HSU96" s="32"/>
      <c r="HSV96" s="32"/>
      <c r="HSW96" s="32"/>
      <c r="HSX96" s="32"/>
      <c r="HSY96" s="32"/>
      <c r="HSZ96" s="32"/>
      <c r="HTA96" s="32"/>
      <c r="HTB96" s="32"/>
      <c r="HTC96" s="32"/>
      <c r="HTD96" s="32"/>
      <c r="HTE96" s="32"/>
      <c r="HTF96" s="32"/>
      <c r="HTG96" s="32"/>
      <c r="HTH96" s="32"/>
      <c r="HTI96" s="32"/>
      <c r="HTJ96" s="32"/>
      <c r="HTK96" s="32"/>
      <c r="HTL96" s="32"/>
      <c r="HTM96" s="32"/>
      <c r="HTN96" s="32"/>
      <c r="HTO96" s="32"/>
      <c r="HTP96" s="32"/>
      <c r="HTQ96" s="32"/>
      <c r="HTR96" s="32"/>
      <c r="HTS96" s="32"/>
      <c r="HTT96" s="32"/>
      <c r="HTU96" s="32"/>
      <c r="HTV96" s="32"/>
      <c r="HTW96" s="32"/>
      <c r="HTX96" s="32"/>
      <c r="HTY96" s="32"/>
      <c r="HTZ96" s="32"/>
      <c r="HUA96" s="32"/>
      <c r="HUB96" s="32"/>
      <c r="HUC96" s="32"/>
      <c r="HUD96" s="32"/>
      <c r="HUE96" s="32"/>
      <c r="HUF96" s="32"/>
      <c r="HUG96" s="32"/>
      <c r="HUH96" s="32"/>
      <c r="HUI96" s="32"/>
      <c r="HUJ96" s="32"/>
      <c r="HUK96" s="32"/>
      <c r="HUL96" s="32"/>
      <c r="HUM96" s="32"/>
      <c r="HUN96" s="32"/>
      <c r="HUO96" s="32"/>
      <c r="HUP96" s="32"/>
      <c r="HUQ96" s="32"/>
      <c r="HUR96" s="32"/>
      <c r="HUS96" s="32"/>
      <c r="HUT96" s="32"/>
      <c r="HUU96" s="32"/>
      <c r="HUV96" s="32"/>
      <c r="HUW96" s="32"/>
      <c r="HUX96" s="32"/>
      <c r="HUY96" s="32"/>
      <c r="HUZ96" s="32"/>
      <c r="HVA96" s="32"/>
      <c r="HVB96" s="32"/>
      <c r="HVC96" s="32"/>
      <c r="HVD96" s="32"/>
      <c r="HVE96" s="32"/>
      <c r="HVF96" s="32"/>
      <c r="HVG96" s="32"/>
      <c r="HVH96" s="32"/>
      <c r="HVI96" s="32"/>
      <c r="HVJ96" s="32"/>
      <c r="HVK96" s="32"/>
      <c r="HVL96" s="32"/>
      <c r="HVM96" s="32"/>
      <c r="HVN96" s="32"/>
      <c r="HVO96" s="32"/>
      <c r="HVP96" s="32"/>
      <c r="HVQ96" s="32"/>
      <c r="HVR96" s="32"/>
      <c r="HVS96" s="32"/>
      <c r="HVT96" s="32"/>
      <c r="HVU96" s="32"/>
      <c r="HVV96" s="32"/>
      <c r="HVW96" s="32"/>
      <c r="HVX96" s="32"/>
      <c r="HVY96" s="32"/>
      <c r="HVZ96" s="32"/>
      <c r="HWA96" s="32"/>
      <c r="HWB96" s="32"/>
      <c r="HWC96" s="32"/>
      <c r="HWD96" s="32"/>
      <c r="HWE96" s="32"/>
      <c r="HWF96" s="32"/>
      <c r="HWG96" s="32"/>
      <c r="HWH96" s="32"/>
      <c r="HWI96" s="32"/>
      <c r="HWJ96" s="32"/>
      <c r="HWK96" s="32"/>
      <c r="HWL96" s="32"/>
      <c r="HWM96" s="32"/>
      <c r="HWN96" s="32"/>
      <c r="HWO96" s="32"/>
      <c r="HWP96" s="32"/>
      <c r="HWQ96" s="32"/>
      <c r="HWR96" s="32"/>
      <c r="HWS96" s="32"/>
      <c r="HWT96" s="32"/>
      <c r="HWU96" s="32"/>
      <c r="HWV96" s="32"/>
      <c r="HWW96" s="32"/>
      <c r="HWX96" s="32"/>
      <c r="HWY96" s="32"/>
      <c r="HWZ96" s="32"/>
      <c r="HXA96" s="32"/>
      <c r="HXB96" s="32"/>
      <c r="HXC96" s="32"/>
      <c r="HXD96" s="32"/>
      <c r="HXE96" s="32"/>
      <c r="HXF96" s="32"/>
      <c r="HXG96" s="32"/>
      <c r="HXH96" s="32"/>
      <c r="HXI96" s="32"/>
      <c r="HXJ96" s="32"/>
      <c r="HXK96" s="32"/>
      <c r="HXL96" s="32"/>
      <c r="HXM96" s="32"/>
      <c r="HXN96" s="32"/>
      <c r="HXO96" s="32"/>
      <c r="HXP96" s="32"/>
      <c r="HXQ96" s="32"/>
      <c r="HXR96" s="32"/>
      <c r="HXS96" s="32"/>
      <c r="HXT96" s="32"/>
      <c r="HXU96" s="32"/>
      <c r="HXV96" s="32"/>
      <c r="HXW96" s="32"/>
      <c r="HXX96" s="32"/>
      <c r="HXY96" s="32"/>
      <c r="HXZ96" s="32"/>
      <c r="HYA96" s="32"/>
      <c r="HYB96" s="32"/>
      <c r="HYC96" s="32"/>
      <c r="HYD96" s="32"/>
      <c r="HYE96" s="32"/>
      <c r="HYF96" s="32"/>
      <c r="HYG96" s="32"/>
      <c r="HYH96" s="32"/>
      <c r="HYI96" s="32"/>
      <c r="HYJ96" s="32"/>
      <c r="HYK96" s="32"/>
      <c r="HYL96" s="32"/>
      <c r="HYM96" s="32"/>
      <c r="HYN96" s="32"/>
      <c r="HYO96" s="32"/>
      <c r="HYP96" s="32"/>
      <c r="HYQ96" s="32"/>
      <c r="HYR96" s="32"/>
      <c r="HYS96" s="32"/>
      <c r="HYT96" s="32"/>
      <c r="HYU96" s="32"/>
      <c r="HYV96" s="32"/>
      <c r="HYW96" s="32"/>
      <c r="HYX96" s="32"/>
      <c r="HYY96" s="32"/>
      <c r="HYZ96" s="32"/>
      <c r="HZA96" s="32"/>
      <c r="HZB96" s="32"/>
      <c r="HZC96" s="32"/>
      <c r="HZD96" s="32"/>
      <c r="HZE96" s="32"/>
      <c r="HZF96" s="32"/>
      <c r="HZG96" s="32"/>
      <c r="HZH96" s="32"/>
      <c r="HZI96" s="32"/>
      <c r="HZJ96" s="32"/>
      <c r="HZK96" s="32"/>
      <c r="HZL96" s="32"/>
      <c r="HZM96" s="32"/>
      <c r="HZN96" s="32"/>
      <c r="HZO96" s="32"/>
      <c r="HZP96" s="32"/>
      <c r="HZQ96" s="32"/>
      <c r="HZR96" s="32"/>
      <c r="HZS96" s="32"/>
      <c r="HZT96" s="32"/>
      <c r="HZU96" s="32"/>
      <c r="HZV96" s="32"/>
      <c r="HZW96" s="32"/>
      <c r="HZX96" s="32"/>
      <c r="HZY96" s="32"/>
      <c r="HZZ96" s="32"/>
      <c r="IAA96" s="32"/>
      <c r="IAB96" s="32"/>
      <c r="IAC96" s="32"/>
      <c r="IAD96" s="32"/>
      <c r="IAE96" s="32"/>
      <c r="IAF96" s="32"/>
      <c r="IAG96" s="32"/>
      <c r="IAH96" s="32"/>
      <c r="IAI96" s="32"/>
      <c r="IAJ96" s="32"/>
      <c r="IAK96" s="32"/>
      <c r="IAL96" s="32"/>
      <c r="IAM96" s="32"/>
      <c r="IAN96" s="32"/>
      <c r="IAO96" s="32"/>
      <c r="IAP96" s="32"/>
      <c r="IAQ96" s="32"/>
      <c r="IAR96" s="32"/>
      <c r="IAS96" s="32"/>
      <c r="IAT96" s="32"/>
      <c r="IAU96" s="32"/>
      <c r="IAV96" s="32"/>
      <c r="IAW96" s="32"/>
      <c r="IAX96" s="32"/>
      <c r="IAY96" s="32"/>
      <c r="IAZ96" s="32"/>
      <c r="IBA96" s="32"/>
      <c r="IBB96" s="32"/>
      <c r="IBC96" s="32"/>
      <c r="IBD96" s="32"/>
      <c r="IBE96" s="32"/>
      <c r="IBF96" s="32"/>
      <c r="IBG96" s="32"/>
      <c r="IBH96" s="32"/>
      <c r="IBI96" s="32"/>
      <c r="IBJ96" s="32"/>
      <c r="IBK96" s="32"/>
      <c r="IBL96" s="32"/>
      <c r="IBM96" s="32"/>
      <c r="IBN96" s="32"/>
      <c r="IBO96" s="32"/>
      <c r="IBP96" s="32"/>
      <c r="IBQ96" s="32"/>
      <c r="IBR96" s="32"/>
      <c r="IBS96" s="32"/>
      <c r="IBT96" s="32"/>
      <c r="IBU96" s="32"/>
      <c r="IBV96" s="32"/>
      <c r="IBW96" s="32"/>
      <c r="IBX96" s="32"/>
      <c r="IBY96" s="32"/>
      <c r="IBZ96" s="32"/>
      <c r="ICA96" s="32"/>
      <c r="ICB96" s="32"/>
      <c r="ICC96" s="32"/>
      <c r="ICD96" s="32"/>
      <c r="ICE96" s="32"/>
      <c r="ICF96" s="32"/>
      <c r="ICG96" s="32"/>
      <c r="ICH96" s="32"/>
      <c r="ICI96" s="32"/>
      <c r="ICJ96" s="32"/>
      <c r="ICK96" s="32"/>
      <c r="ICL96" s="32"/>
      <c r="ICM96" s="32"/>
      <c r="ICN96" s="32"/>
      <c r="ICO96" s="32"/>
      <c r="ICP96" s="32"/>
      <c r="ICQ96" s="32"/>
      <c r="ICR96" s="32"/>
      <c r="ICS96" s="32"/>
      <c r="ICT96" s="32"/>
      <c r="ICU96" s="32"/>
      <c r="ICV96" s="32"/>
      <c r="ICW96" s="32"/>
      <c r="ICX96" s="32"/>
      <c r="ICY96" s="32"/>
      <c r="ICZ96" s="32"/>
      <c r="IDA96" s="32"/>
      <c r="IDB96" s="32"/>
      <c r="IDC96" s="32"/>
      <c r="IDD96" s="32"/>
      <c r="IDE96" s="32"/>
      <c r="IDF96" s="32"/>
      <c r="IDG96" s="32"/>
      <c r="IDH96" s="32"/>
      <c r="IDI96" s="32"/>
      <c r="IDJ96" s="32"/>
      <c r="IDK96" s="32"/>
      <c r="IDL96" s="32"/>
      <c r="IDM96" s="32"/>
      <c r="IDN96" s="32"/>
      <c r="IDO96" s="32"/>
      <c r="IDP96" s="32"/>
      <c r="IDQ96" s="32"/>
      <c r="IDR96" s="32"/>
      <c r="IDS96" s="32"/>
      <c r="IDT96" s="32"/>
      <c r="IDU96" s="32"/>
      <c r="IDV96" s="32"/>
      <c r="IDW96" s="32"/>
      <c r="IDX96" s="32"/>
      <c r="IDY96" s="32"/>
      <c r="IDZ96" s="32"/>
      <c r="IEA96" s="32"/>
      <c r="IEB96" s="32"/>
      <c r="IEC96" s="32"/>
      <c r="IED96" s="32"/>
      <c r="IEE96" s="32"/>
      <c r="IEF96" s="32"/>
      <c r="IEG96" s="32"/>
      <c r="IEH96" s="32"/>
      <c r="IEI96" s="32"/>
      <c r="IEJ96" s="32"/>
      <c r="IEK96" s="32"/>
      <c r="IEL96" s="32"/>
      <c r="IEM96" s="32"/>
      <c r="IEN96" s="32"/>
      <c r="IEO96" s="32"/>
      <c r="IEP96" s="32"/>
      <c r="IEQ96" s="32"/>
      <c r="IER96" s="32"/>
      <c r="IES96" s="32"/>
      <c r="IET96" s="32"/>
      <c r="IEU96" s="32"/>
      <c r="IEV96" s="32"/>
      <c r="IEW96" s="32"/>
      <c r="IEX96" s="32"/>
      <c r="IEY96" s="32"/>
      <c r="IEZ96" s="32"/>
      <c r="IFA96" s="32"/>
      <c r="IFB96" s="32"/>
      <c r="IFC96" s="32"/>
      <c r="IFD96" s="32"/>
      <c r="IFE96" s="32"/>
      <c r="IFF96" s="32"/>
      <c r="IFG96" s="32"/>
      <c r="IFH96" s="32"/>
      <c r="IFI96" s="32"/>
      <c r="IFJ96" s="32"/>
      <c r="IFK96" s="32"/>
      <c r="IFL96" s="32"/>
      <c r="IFM96" s="32"/>
      <c r="IFN96" s="32"/>
      <c r="IFO96" s="32"/>
      <c r="IFP96" s="32"/>
      <c r="IFQ96" s="32"/>
      <c r="IFR96" s="32"/>
      <c r="IFS96" s="32"/>
      <c r="IFT96" s="32"/>
      <c r="IFU96" s="32"/>
      <c r="IFV96" s="32"/>
      <c r="IFW96" s="32"/>
      <c r="IFX96" s="32"/>
      <c r="IFY96" s="32"/>
      <c r="IFZ96" s="32"/>
      <c r="IGA96" s="32"/>
      <c r="IGB96" s="32"/>
      <c r="IGC96" s="32"/>
      <c r="IGD96" s="32"/>
      <c r="IGE96" s="32"/>
      <c r="IGF96" s="32"/>
      <c r="IGG96" s="32"/>
      <c r="IGH96" s="32"/>
      <c r="IGI96" s="32"/>
      <c r="IGJ96" s="32"/>
      <c r="IGK96" s="32"/>
      <c r="IGL96" s="32"/>
      <c r="IGM96" s="32"/>
      <c r="IGN96" s="32"/>
      <c r="IGO96" s="32"/>
      <c r="IGP96" s="32"/>
      <c r="IGQ96" s="32"/>
      <c r="IGR96" s="32"/>
      <c r="IGS96" s="32"/>
      <c r="IGT96" s="32"/>
      <c r="IGU96" s="32"/>
      <c r="IGV96" s="32"/>
      <c r="IGW96" s="32"/>
      <c r="IGX96" s="32"/>
      <c r="IGY96" s="32"/>
      <c r="IGZ96" s="32"/>
      <c r="IHA96" s="32"/>
      <c r="IHB96" s="32"/>
      <c r="IHC96" s="32"/>
      <c r="IHD96" s="32"/>
      <c r="IHE96" s="32"/>
      <c r="IHF96" s="32"/>
      <c r="IHG96" s="32"/>
      <c r="IHH96" s="32"/>
      <c r="IHI96" s="32"/>
      <c r="IHJ96" s="32"/>
      <c r="IHK96" s="32"/>
      <c r="IHL96" s="32"/>
      <c r="IHM96" s="32"/>
      <c r="IHN96" s="32"/>
      <c r="IHO96" s="32"/>
      <c r="IHP96" s="32"/>
      <c r="IHQ96" s="32"/>
      <c r="IHR96" s="32"/>
      <c r="IHS96" s="32"/>
      <c r="IHT96" s="32"/>
      <c r="IHU96" s="32"/>
      <c r="IHV96" s="32"/>
      <c r="IHW96" s="32"/>
      <c r="IHX96" s="32"/>
      <c r="IHY96" s="32"/>
      <c r="IHZ96" s="32"/>
      <c r="IIA96" s="32"/>
      <c r="IIB96" s="32"/>
      <c r="IIC96" s="32"/>
      <c r="IID96" s="32"/>
      <c r="IIE96" s="32"/>
      <c r="IIF96" s="32"/>
      <c r="IIG96" s="32"/>
      <c r="IIH96" s="32"/>
      <c r="III96" s="32"/>
      <c r="IIJ96" s="32"/>
      <c r="IIK96" s="32"/>
      <c r="IIL96" s="32"/>
      <c r="IIM96" s="32"/>
      <c r="IIN96" s="32"/>
      <c r="IIO96" s="32"/>
      <c r="IIP96" s="32"/>
      <c r="IIQ96" s="32"/>
      <c r="IIR96" s="32"/>
      <c r="IIS96" s="32"/>
      <c r="IIT96" s="32"/>
      <c r="IIU96" s="32"/>
      <c r="IIV96" s="32"/>
      <c r="IIW96" s="32"/>
      <c r="IIX96" s="32"/>
      <c r="IIY96" s="32"/>
      <c r="IIZ96" s="32"/>
      <c r="IJA96" s="32"/>
      <c r="IJB96" s="32"/>
      <c r="IJC96" s="32"/>
      <c r="IJD96" s="32"/>
      <c r="IJE96" s="32"/>
      <c r="IJF96" s="32"/>
      <c r="IJG96" s="32"/>
      <c r="IJH96" s="32"/>
      <c r="IJI96" s="32"/>
      <c r="IJJ96" s="32"/>
      <c r="IJK96" s="32"/>
      <c r="IJL96" s="32"/>
      <c r="IJM96" s="32"/>
      <c r="IJN96" s="32"/>
      <c r="IJO96" s="32"/>
      <c r="IJP96" s="32"/>
      <c r="IJQ96" s="32"/>
      <c r="IJR96" s="32"/>
      <c r="IJS96" s="32"/>
      <c r="IJT96" s="32"/>
      <c r="IJU96" s="32"/>
      <c r="IJV96" s="32"/>
      <c r="IJW96" s="32"/>
      <c r="IJX96" s="32"/>
      <c r="IJY96" s="32"/>
      <c r="IJZ96" s="32"/>
      <c r="IKA96" s="32"/>
      <c r="IKB96" s="32"/>
      <c r="IKC96" s="32"/>
      <c r="IKD96" s="32"/>
      <c r="IKE96" s="32"/>
      <c r="IKF96" s="32"/>
      <c r="IKG96" s="32"/>
      <c r="IKH96" s="32"/>
      <c r="IKI96" s="32"/>
      <c r="IKJ96" s="32"/>
      <c r="IKK96" s="32"/>
      <c r="IKL96" s="32"/>
      <c r="IKM96" s="32"/>
      <c r="IKN96" s="32"/>
      <c r="IKO96" s="32"/>
      <c r="IKP96" s="32"/>
      <c r="IKQ96" s="32"/>
      <c r="IKR96" s="32"/>
      <c r="IKS96" s="32"/>
      <c r="IKT96" s="32"/>
      <c r="IKU96" s="32"/>
      <c r="IKV96" s="32"/>
      <c r="IKW96" s="32"/>
      <c r="IKX96" s="32"/>
      <c r="IKY96" s="32"/>
      <c r="IKZ96" s="32"/>
      <c r="ILA96" s="32"/>
      <c r="ILB96" s="32"/>
      <c r="ILC96" s="32"/>
      <c r="ILD96" s="32"/>
      <c r="ILE96" s="32"/>
      <c r="ILF96" s="32"/>
      <c r="ILG96" s="32"/>
      <c r="ILH96" s="32"/>
      <c r="ILI96" s="32"/>
      <c r="ILJ96" s="32"/>
      <c r="ILK96" s="32"/>
      <c r="ILL96" s="32"/>
      <c r="ILM96" s="32"/>
      <c r="ILN96" s="32"/>
      <c r="ILO96" s="32"/>
      <c r="ILP96" s="32"/>
      <c r="ILQ96" s="32"/>
      <c r="ILR96" s="32"/>
      <c r="ILS96" s="32"/>
      <c r="ILT96" s="32"/>
      <c r="ILU96" s="32"/>
      <c r="ILV96" s="32"/>
      <c r="ILW96" s="32"/>
      <c r="ILX96" s="32"/>
      <c r="ILY96" s="32"/>
      <c r="ILZ96" s="32"/>
      <c r="IMA96" s="32"/>
      <c r="IMB96" s="32"/>
      <c r="IMC96" s="32"/>
      <c r="IMD96" s="32"/>
      <c r="IME96" s="32"/>
      <c r="IMF96" s="32"/>
      <c r="IMG96" s="32"/>
      <c r="IMH96" s="32"/>
      <c r="IMI96" s="32"/>
      <c r="IMJ96" s="32"/>
      <c r="IMK96" s="32"/>
      <c r="IML96" s="32"/>
      <c r="IMM96" s="32"/>
      <c r="IMN96" s="32"/>
      <c r="IMO96" s="32"/>
      <c r="IMP96" s="32"/>
      <c r="IMQ96" s="32"/>
      <c r="IMR96" s="32"/>
      <c r="IMS96" s="32"/>
      <c r="IMT96" s="32"/>
      <c r="IMU96" s="32"/>
      <c r="IMV96" s="32"/>
      <c r="IMW96" s="32"/>
      <c r="IMX96" s="32"/>
      <c r="IMY96" s="32"/>
      <c r="IMZ96" s="32"/>
      <c r="INA96" s="32"/>
      <c r="INB96" s="32"/>
      <c r="INC96" s="32"/>
      <c r="IND96" s="32"/>
      <c r="INE96" s="32"/>
      <c r="INF96" s="32"/>
      <c r="ING96" s="32"/>
      <c r="INH96" s="32"/>
      <c r="INI96" s="32"/>
      <c r="INJ96" s="32"/>
      <c r="INK96" s="32"/>
      <c r="INL96" s="32"/>
      <c r="INM96" s="32"/>
      <c r="INN96" s="32"/>
      <c r="INO96" s="32"/>
      <c r="INP96" s="32"/>
      <c r="INQ96" s="32"/>
      <c r="INR96" s="32"/>
      <c r="INS96" s="32"/>
      <c r="INT96" s="32"/>
      <c r="INU96" s="32"/>
      <c r="INV96" s="32"/>
      <c r="INW96" s="32"/>
      <c r="INX96" s="32"/>
      <c r="INY96" s="32"/>
      <c r="INZ96" s="32"/>
      <c r="IOA96" s="32"/>
      <c r="IOB96" s="32"/>
      <c r="IOC96" s="32"/>
      <c r="IOD96" s="32"/>
      <c r="IOE96" s="32"/>
      <c r="IOF96" s="32"/>
      <c r="IOG96" s="32"/>
      <c r="IOH96" s="32"/>
      <c r="IOI96" s="32"/>
      <c r="IOJ96" s="32"/>
      <c r="IOK96" s="32"/>
      <c r="IOL96" s="32"/>
      <c r="IOM96" s="32"/>
      <c r="ION96" s="32"/>
      <c r="IOO96" s="32"/>
      <c r="IOP96" s="32"/>
      <c r="IOQ96" s="32"/>
      <c r="IOR96" s="32"/>
      <c r="IOS96" s="32"/>
      <c r="IOT96" s="32"/>
      <c r="IOU96" s="32"/>
      <c r="IOV96" s="32"/>
      <c r="IOW96" s="32"/>
      <c r="IOX96" s="32"/>
      <c r="IOY96" s="32"/>
      <c r="IOZ96" s="32"/>
      <c r="IPA96" s="32"/>
      <c r="IPB96" s="32"/>
      <c r="IPC96" s="32"/>
      <c r="IPD96" s="32"/>
      <c r="IPE96" s="32"/>
      <c r="IPF96" s="32"/>
      <c r="IPG96" s="32"/>
      <c r="IPH96" s="32"/>
      <c r="IPI96" s="32"/>
      <c r="IPJ96" s="32"/>
      <c r="IPK96" s="32"/>
      <c r="IPL96" s="32"/>
      <c r="IPM96" s="32"/>
      <c r="IPN96" s="32"/>
      <c r="IPO96" s="32"/>
      <c r="IPP96" s="32"/>
      <c r="IPQ96" s="32"/>
      <c r="IPR96" s="32"/>
      <c r="IPS96" s="32"/>
      <c r="IPT96" s="32"/>
      <c r="IPU96" s="32"/>
      <c r="IPV96" s="32"/>
      <c r="IPW96" s="32"/>
      <c r="IPX96" s="32"/>
      <c r="IPY96" s="32"/>
      <c r="IPZ96" s="32"/>
      <c r="IQA96" s="32"/>
      <c r="IQB96" s="32"/>
      <c r="IQC96" s="32"/>
      <c r="IQD96" s="32"/>
      <c r="IQE96" s="32"/>
      <c r="IQF96" s="32"/>
      <c r="IQG96" s="32"/>
      <c r="IQH96" s="32"/>
      <c r="IQI96" s="32"/>
      <c r="IQJ96" s="32"/>
      <c r="IQK96" s="32"/>
      <c r="IQL96" s="32"/>
      <c r="IQM96" s="32"/>
      <c r="IQN96" s="32"/>
      <c r="IQO96" s="32"/>
      <c r="IQP96" s="32"/>
      <c r="IQQ96" s="32"/>
      <c r="IQR96" s="32"/>
      <c r="IQS96" s="32"/>
      <c r="IQT96" s="32"/>
      <c r="IQU96" s="32"/>
      <c r="IQV96" s="32"/>
      <c r="IQW96" s="32"/>
      <c r="IQX96" s="32"/>
      <c r="IQY96" s="32"/>
      <c r="IQZ96" s="32"/>
      <c r="IRA96" s="32"/>
      <c r="IRB96" s="32"/>
      <c r="IRC96" s="32"/>
      <c r="IRD96" s="32"/>
      <c r="IRE96" s="32"/>
      <c r="IRF96" s="32"/>
      <c r="IRG96" s="32"/>
      <c r="IRH96" s="32"/>
      <c r="IRI96" s="32"/>
      <c r="IRJ96" s="32"/>
      <c r="IRK96" s="32"/>
      <c r="IRL96" s="32"/>
      <c r="IRM96" s="32"/>
      <c r="IRN96" s="32"/>
      <c r="IRO96" s="32"/>
      <c r="IRP96" s="32"/>
      <c r="IRQ96" s="32"/>
      <c r="IRR96" s="32"/>
      <c r="IRS96" s="32"/>
      <c r="IRT96" s="32"/>
      <c r="IRU96" s="32"/>
      <c r="IRV96" s="32"/>
      <c r="IRW96" s="32"/>
      <c r="IRX96" s="32"/>
      <c r="IRY96" s="32"/>
      <c r="IRZ96" s="32"/>
      <c r="ISA96" s="32"/>
      <c r="ISB96" s="32"/>
      <c r="ISC96" s="32"/>
      <c r="ISD96" s="32"/>
      <c r="ISE96" s="32"/>
      <c r="ISF96" s="32"/>
      <c r="ISG96" s="32"/>
      <c r="ISH96" s="32"/>
      <c r="ISI96" s="32"/>
      <c r="ISJ96" s="32"/>
      <c r="ISK96" s="32"/>
      <c r="ISL96" s="32"/>
      <c r="ISM96" s="32"/>
      <c r="ISN96" s="32"/>
      <c r="ISO96" s="32"/>
      <c r="ISP96" s="32"/>
      <c r="ISQ96" s="32"/>
      <c r="ISR96" s="32"/>
      <c r="ISS96" s="32"/>
      <c r="IST96" s="32"/>
      <c r="ISU96" s="32"/>
      <c r="ISV96" s="32"/>
      <c r="ISW96" s="32"/>
      <c r="ISX96" s="32"/>
      <c r="ISY96" s="32"/>
      <c r="ISZ96" s="32"/>
      <c r="ITA96" s="32"/>
      <c r="ITB96" s="32"/>
      <c r="ITC96" s="32"/>
      <c r="ITD96" s="32"/>
      <c r="ITE96" s="32"/>
      <c r="ITF96" s="32"/>
      <c r="ITG96" s="32"/>
      <c r="ITH96" s="32"/>
      <c r="ITI96" s="32"/>
      <c r="ITJ96" s="32"/>
      <c r="ITK96" s="32"/>
      <c r="ITL96" s="32"/>
      <c r="ITM96" s="32"/>
      <c r="ITN96" s="32"/>
      <c r="ITO96" s="32"/>
      <c r="ITP96" s="32"/>
      <c r="ITQ96" s="32"/>
      <c r="ITR96" s="32"/>
      <c r="ITS96" s="32"/>
      <c r="ITT96" s="32"/>
      <c r="ITU96" s="32"/>
      <c r="ITV96" s="32"/>
      <c r="ITW96" s="32"/>
      <c r="ITX96" s="32"/>
      <c r="ITY96" s="32"/>
      <c r="ITZ96" s="32"/>
      <c r="IUA96" s="32"/>
      <c r="IUB96" s="32"/>
      <c r="IUC96" s="32"/>
      <c r="IUD96" s="32"/>
      <c r="IUE96" s="32"/>
      <c r="IUF96" s="32"/>
      <c r="IUG96" s="32"/>
      <c r="IUH96" s="32"/>
      <c r="IUI96" s="32"/>
      <c r="IUJ96" s="32"/>
      <c r="IUK96" s="32"/>
      <c r="IUL96" s="32"/>
      <c r="IUM96" s="32"/>
      <c r="IUN96" s="32"/>
      <c r="IUO96" s="32"/>
      <c r="IUP96" s="32"/>
      <c r="IUQ96" s="32"/>
      <c r="IUR96" s="32"/>
      <c r="IUS96" s="32"/>
      <c r="IUT96" s="32"/>
      <c r="IUU96" s="32"/>
      <c r="IUV96" s="32"/>
      <c r="IUW96" s="32"/>
      <c r="IUX96" s="32"/>
      <c r="IUY96" s="32"/>
      <c r="IUZ96" s="32"/>
      <c r="IVA96" s="32"/>
      <c r="IVB96" s="32"/>
      <c r="IVC96" s="32"/>
      <c r="IVD96" s="32"/>
      <c r="IVE96" s="32"/>
      <c r="IVF96" s="32"/>
      <c r="IVG96" s="32"/>
      <c r="IVH96" s="32"/>
      <c r="IVI96" s="32"/>
      <c r="IVJ96" s="32"/>
      <c r="IVK96" s="32"/>
      <c r="IVL96" s="32"/>
      <c r="IVM96" s="32"/>
      <c r="IVN96" s="32"/>
      <c r="IVO96" s="32"/>
      <c r="IVP96" s="32"/>
      <c r="IVQ96" s="32"/>
      <c r="IVR96" s="32"/>
      <c r="IVS96" s="32"/>
      <c r="IVT96" s="32"/>
      <c r="IVU96" s="32"/>
      <c r="IVV96" s="32"/>
      <c r="IVW96" s="32"/>
      <c r="IVX96" s="32"/>
      <c r="IVY96" s="32"/>
      <c r="IVZ96" s="32"/>
      <c r="IWA96" s="32"/>
      <c r="IWB96" s="32"/>
      <c r="IWC96" s="32"/>
      <c r="IWD96" s="32"/>
      <c r="IWE96" s="32"/>
      <c r="IWF96" s="32"/>
      <c r="IWG96" s="32"/>
      <c r="IWH96" s="32"/>
      <c r="IWI96" s="32"/>
      <c r="IWJ96" s="32"/>
      <c r="IWK96" s="32"/>
      <c r="IWL96" s="32"/>
      <c r="IWM96" s="32"/>
      <c r="IWN96" s="32"/>
      <c r="IWO96" s="32"/>
      <c r="IWP96" s="32"/>
      <c r="IWQ96" s="32"/>
      <c r="IWR96" s="32"/>
      <c r="IWS96" s="32"/>
      <c r="IWT96" s="32"/>
      <c r="IWU96" s="32"/>
      <c r="IWV96" s="32"/>
      <c r="IWW96" s="32"/>
      <c r="IWX96" s="32"/>
      <c r="IWY96" s="32"/>
      <c r="IWZ96" s="32"/>
      <c r="IXA96" s="32"/>
      <c r="IXB96" s="32"/>
      <c r="IXC96" s="32"/>
      <c r="IXD96" s="32"/>
      <c r="IXE96" s="32"/>
      <c r="IXF96" s="32"/>
      <c r="IXG96" s="32"/>
      <c r="IXH96" s="32"/>
      <c r="IXI96" s="32"/>
      <c r="IXJ96" s="32"/>
      <c r="IXK96" s="32"/>
      <c r="IXL96" s="32"/>
      <c r="IXM96" s="32"/>
      <c r="IXN96" s="32"/>
      <c r="IXO96" s="32"/>
      <c r="IXP96" s="32"/>
      <c r="IXQ96" s="32"/>
      <c r="IXR96" s="32"/>
      <c r="IXS96" s="32"/>
      <c r="IXT96" s="32"/>
      <c r="IXU96" s="32"/>
      <c r="IXV96" s="32"/>
      <c r="IXW96" s="32"/>
      <c r="IXX96" s="32"/>
      <c r="IXY96" s="32"/>
      <c r="IXZ96" s="32"/>
      <c r="IYA96" s="32"/>
      <c r="IYB96" s="32"/>
      <c r="IYC96" s="32"/>
      <c r="IYD96" s="32"/>
      <c r="IYE96" s="32"/>
      <c r="IYF96" s="32"/>
      <c r="IYG96" s="32"/>
      <c r="IYH96" s="32"/>
      <c r="IYI96" s="32"/>
      <c r="IYJ96" s="32"/>
      <c r="IYK96" s="32"/>
      <c r="IYL96" s="32"/>
      <c r="IYM96" s="32"/>
      <c r="IYN96" s="32"/>
      <c r="IYO96" s="32"/>
      <c r="IYP96" s="32"/>
      <c r="IYQ96" s="32"/>
      <c r="IYR96" s="32"/>
      <c r="IYS96" s="32"/>
      <c r="IYT96" s="32"/>
      <c r="IYU96" s="32"/>
      <c r="IYV96" s="32"/>
      <c r="IYW96" s="32"/>
      <c r="IYX96" s="32"/>
      <c r="IYY96" s="32"/>
      <c r="IYZ96" s="32"/>
      <c r="IZA96" s="32"/>
      <c r="IZB96" s="32"/>
      <c r="IZC96" s="32"/>
      <c r="IZD96" s="32"/>
      <c r="IZE96" s="32"/>
      <c r="IZF96" s="32"/>
      <c r="IZG96" s="32"/>
      <c r="IZH96" s="32"/>
      <c r="IZI96" s="32"/>
      <c r="IZJ96" s="32"/>
      <c r="IZK96" s="32"/>
      <c r="IZL96" s="32"/>
      <c r="IZM96" s="32"/>
      <c r="IZN96" s="32"/>
      <c r="IZO96" s="32"/>
      <c r="IZP96" s="32"/>
      <c r="IZQ96" s="32"/>
      <c r="IZR96" s="32"/>
      <c r="IZS96" s="32"/>
      <c r="IZT96" s="32"/>
      <c r="IZU96" s="32"/>
      <c r="IZV96" s="32"/>
      <c r="IZW96" s="32"/>
      <c r="IZX96" s="32"/>
      <c r="IZY96" s="32"/>
      <c r="IZZ96" s="32"/>
      <c r="JAA96" s="32"/>
      <c r="JAB96" s="32"/>
      <c r="JAC96" s="32"/>
      <c r="JAD96" s="32"/>
      <c r="JAE96" s="32"/>
      <c r="JAF96" s="32"/>
      <c r="JAG96" s="32"/>
      <c r="JAH96" s="32"/>
      <c r="JAI96" s="32"/>
      <c r="JAJ96" s="32"/>
      <c r="JAK96" s="32"/>
      <c r="JAL96" s="32"/>
      <c r="JAM96" s="32"/>
      <c r="JAN96" s="32"/>
      <c r="JAO96" s="32"/>
      <c r="JAP96" s="32"/>
      <c r="JAQ96" s="32"/>
      <c r="JAR96" s="32"/>
      <c r="JAS96" s="32"/>
      <c r="JAT96" s="32"/>
      <c r="JAU96" s="32"/>
      <c r="JAV96" s="32"/>
      <c r="JAW96" s="32"/>
      <c r="JAX96" s="32"/>
      <c r="JAY96" s="32"/>
      <c r="JAZ96" s="32"/>
      <c r="JBA96" s="32"/>
      <c r="JBB96" s="32"/>
      <c r="JBC96" s="32"/>
      <c r="JBD96" s="32"/>
      <c r="JBE96" s="32"/>
      <c r="JBF96" s="32"/>
      <c r="JBG96" s="32"/>
      <c r="JBH96" s="32"/>
      <c r="JBI96" s="32"/>
      <c r="JBJ96" s="32"/>
      <c r="JBK96" s="32"/>
      <c r="JBL96" s="32"/>
      <c r="JBM96" s="32"/>
      <c r="JBN96" s="32"/>
      <c r="JBO96" s="32"/>
      <c r="JBP96" s="32"/>
      <c r="JBQ96" s="32"/>
      <c r="JBR96" s="32"/>
      <c r="JBS96" s="32"/>
      <c r="JBT96" s="32"/>
      <c r="JBU96" s="32"/>
      <c r="JBV96" s="32"/>
      <c r="JBW96" s="32"/>
      <c r="JBX96" s="32"/>
      <c r="JBY96" s="32"/>
      <c r="JBZ96" s="32"/>
      <c r="JCA96" s="32"/>
      <c r="JCB96" s="32"/>
      <c r="JCC96" s="32"/>
      <c r="JCD96" s="32"/>
      <c r="JCE96" s="32"/>
      <c r="JCF96" s="32"/>
      <c r="JCG96" s="32"/>
      <c r="JCH96" s="32"/>
      <c r="JCI96" s="32"/>
      <c r="JCJ96" s="32"/>
      <c r="JCK96" s="32"/>
      <c r="JCL96" s="32"/>
      <c r="JCM96" s="32"/>
      <c r="JCN96" s="32"/>
      <c r="JCO96" s="32"/>
      <c r="JCP96" s="32"/>
      <c r="JCQ96" s="32"/>
      <c r="JCR96" s="32"/>
      <c r="JCS96" s="32"/>
      <c r="JCT96" s="32"/>
      <c r="JCU96" s="32"/>
      <c r="JCV96" s="32"/>
      <c r="JCW96" s="32"/>
      <c r="JCX96" s="32"/>
      <c r="JCY96" s="32"/>
      <c r="JCZ96" s="32"/>
      <c r="JDA96" s="32"/>
      <c r="JDB96" s="32"/>
      <c r="JDC96" s="32"/>
      <c r="JDD96" s="32"/>
      <c r="JDE96" s="32"/>
      <c r="JDF96" s="32"/>
      <c r="JDG96" s="32"/>
      <c r="JDH96" s="32"/>
      <c r="JDI96" s="32"/>
      <c r="JDJ96" s="32"/>
      <c r="JDK96" s="32"/>
      <c r="JDL96" s="32"/>
      <c r="JDM96" s="32"/>
      <c r="JDN96" s="32"/>
      <c r="JDO96" s="32"/>
      <c r="JDP96" s="32"/>
      <c r="JDQ96" s="32"/>
      <c r="JDR96" s="32"/>
      <c r="JDS96" s="32"/>
      <c r="JDT96" s="32"/>
      <c r="JDU96" s="32"/>
      <c r="JDV96" s="32"/>
      <c r="JDW96" s="32"/>
      <c r="JDX96" s="32"/>
      <c r="JDY96" s="32"/>
      <c r="JDZ96" s="32"/>
      <c r="JEA96" s="32"/>
      <c r="JEB96" s="32"/>
      <c r="JEC96" s="32"/>
      <c r="JED96" s="32"/>
      <c r="JEE96" s="32"/>
      <c r="JEF96" s="32"/>
      <c r="JEG96" s="32"/>
      <c r="JEH96" s="32"/>
      <c r="JEI96" s="32"/>
      <c r="JEJ96" s="32"/>
      <c r="JEK96" s="32"/>
      <c r="JEL96" s="32"/>
      <c r="JEM96" s="32"/>
      <c r="JEN96" s="32"/>
      <c r="JEO96" s="32"/>
      <c r="JEP96" s="32"/>
      <c r="JEQ96" s="32"/>
      <c r="JER96" s="32"/>
      <c r="JES96" s="32"/>
      <c r="JET96" s="32"/>
      <c r="JEU96" s="32"/>
      <c r="JEV96" s="32"/>
      <c r="JEW96" s="32"/>
      <c r="JEX96" s="32"/>
      <c r="JEY96" s="32"/>
      <c r="JEZ96" s="32"/>
      <c r="JFA96" s="32"/>
      <c r="JFB96" s="32"/>
      <c r="JFC96" s="32"/>
      <c r="JFD96" s="32"/>
      <c r="JFE96" s="32"/>
      <c r="JFF96" s="32"/>
      <c r="JFG96" s="32"/>
      <c r="JFH96" s="32"/>
      <c r="JFI96" s="32"/>
      <c r="JFJ96" s="32"/>
      <c r="JFK96" s="32"/>
      <c r="JFL96" s="32"/>
      <c r="JFM96" s="32"/>
      <c r="JFN96" s="32"/>
      <c r="JFO96" s="32"/>
      <c r="JFP96" s="32"/>
      <c r="JFQ96" s="32"/>
      <c r="JFR96" s="32"/>
      <c r="JFS96" s="32"/>
      <c r="JFT96" s="32"/>
      <c r="JFU96" s="32"/>
      <c r="JFV96" s="32"/>
      <c r="JFW96" s="32"/>
      <c r="JFX96" s="32"/>
      <c r="JFY96" s="32"/>
      <c r="JFZ96" s="32"/>
      <c r="JGA96" s="32"/>
      <c r="JGB96" s="32"/>
      <c r="JGC96" s="32"/>
      <c r="JGD96" s="32"/>
      <c r="JGE96" s="32"/>
      <c r="JGF96" s="32"/>
      <c r="JGG96" s="32"/>
      <c r="JGH96" s="32"/>
      <c r="JGI96" s="32"/>
      <c r="JGJ96" s="32"/>
      <c r="JGK96" s="32"/>
      <c r="JGL96" s="32"/>
      <c r="JGM96" s="32"/>
      <c r="JGN96" s="32"/>
      <c r="JGO96" s="32"/>
      <c r="JGP96" s="32"/>
      <c r="JGQ96" s="32"/>
      <c r="JGR96" s="32"/>
      <c r="JGS96" s="32"/>
      <c r="JGT96" s="32"/>
      <c r="JGU96" s="32"/>
      <c r="JGV96" s="32"/>
      <c r="JGW96" s="32"/>
      <c r="JGX96" s="32"/>
      <c r="JGY96" s="32"/>
      <c r="JGZ96" s="32"/>
      <c r="JHA96" s="32"/>
      <c r="JHB96" s="32"/>
      <c r="JHC96" s="32"/>
      <c r="JHD96" s="32"/>
      <c r="JHE96" s="32"/>
      <c r="JHF96" s="32"/>
      <c r="JHG96" s="32"/>
      <c r="JHH96" s="32"/>
      <c r="JHI96" s="32"/>
      <c r="JHJ96" s="32"/>
      <c r="JHK96" s="32"/>
      <c r="JHL96" s="32"/>
      <c r="JHM96" s="32"/>
      <c r="JHN96" s="32"/>
      <c r="JHO96" s="32"/>
      <c r="JHP96" s="32"/>
      <c r="JHQ96" s="32"/>
      <c r="JHR96" s="32"/>
      <c r="JHS96" s="32"/>
      <c r="JHT96" s="32"/>
      <c r="JHU96" s="32"/>
      <c r="JHV96" s="32"/>
      <c r="JHW96" s="32"/>
      <c r="JHX96" s="32"/>
      <c r="JHY96" s="32"/>
      <c r="JHZ96" s="32"/>
      <c r="JIA96" s="32"/>
      <c r="JIB96" s="32"/>
      <c r="JIC96" s="32"/>
      <c r="JID96" s="32"/>
      <c r="JIE96" s="32"/>
      <c r="JIF96" s="32"/>
      <c r="JIG96" s="32"/>
      <c r="JIH96" s="32"/>
      <c r="JII96" s="32"/>
      <c r="JIJ96" s="32"/>
      <c r="JIK96" s="32"/>
      <c r="JIL96" s="32"/>
      <c r="JIM96" s="32"/>
      <c r="JIN96" s="32"/>
      <c r="JIO96" s="32"/>
      <c r="JIP96" s="32"/>
      <c r="JIQ96" s="32"/>
      <c r="JIR96" s="32"/>
      <c r="JIS96" s="32"/>
      <c r="JIT96" s="32"/>
      <c r="JIU96" s="32"/>
      <c r="JIV96" s="32"/>
      <c r="JIW96" s="32"/>
      <c r="JIX96" s="32"/>
      <c r="JIY96" s="32"/>
      <c r="JIZ96" s="32"/>
      <c r="JJA96" s="32"/>
      <c r="JJB96" s="32"/>
      <c r="JJC96" s="32"/>
      <c r="JJD96" s="32"/>
      <c r="JJE96" s="32"/>
      <c r="JJF96" s="32"/>
      <c r="JJG96" s="32"/>
      <c r="JJH96" s="32"/>
      <c r="JJI96" s="32"/>
      <c r="JJJ96" s="32"/>
      <c r="JJK96" s="32"/>
      <c r="JJL96" s="32"/>
      <c r="JJM96" s="32"/>
      <c r="JJN96" s="32"/>
      <c r="JJO96" s="32"/>
      <c r="JJP96" s="32"/>
      <c r="JJQ96" s="32"/>
      <c r="JJR96" s="32"/>
      <c r="JJS96" s="32"/>
      <c r="JJT96" s="32"/>
      <c r="JJU96" s="32"/>
      <c r="JJV96" s="32"/>
      <c r="JJW96" s="32"/>
      <c r="JJX96" s="32"/>
      <c r="JJY96" s="32"/>
      <c r="JJZ96" s="32"/>
      <c r="JKA96" s="32"/>
      <c r="JKB96" s="32"/>
      <c r="JKC96" s="32"/>
      <c r="JKD96" s="32"/>
      <c r="JKE96" s="32"/>
      <c r="JKF96" s="32"/>
      <c r="JKG96" s="32"/>
      <c r="JKH96" s="32"/>
      <c r="JKI96" s="32"/>
      <c r="JKJ96" s="32"/>
      <c r="JKK96" s="32"/>
      <c r="JKL96" s="32"/>
      <c r="JKM96" s="32"/>
      <c r="JKN96" s="32"/>
      <c r="JKO96" s="32"/>
      <c r="JKP96" s="32"/>
      <c r="JKQ96" s="32"/>
      <c r="JKR96" s="32"/>
      <c r="JKS96" s="32"/>
      <c r="JKT96" s="32"/>
      <c r="JKU96" s="32"/>
      <c r="JKV96" s="32"/>
      <c r="JKW96" s="32"/>
      <c r="JKX96" s="32"/>
      <c r="JKY96" s="32"/>
      <c r="JKZ96" s="32"/>
      <c r="JLA96" s="32"/>
      <c r="JLB96" s="32"/>
      <c r="JLC96" s="32"/>
      <c r="JLD96" s="32"/>
      <c r="JLE96" s="32"/>
      <c r="JLF96" s="32"/>
      <c r="JLG96" s="32"/>
      <c r="JLH96" s="32"/>
      <c r="JLI96" s="32"/>
      <c r="JLJ96" s="32"/>
      <c r="JLK96" s="32"/>
      <c r="JLL96" s="32"/>
      <c r="JLM96" s="32"/>
      <c r="JLN96" s="32"/>
      <c r="JLO96" s="32"/>
      <c r="JLP96" s="32"/>
      <c r="JLQ96" s="32"/>
      <c r="JLR96" s="32"/>
      <c r="JLS96" s="32"/>
      <c r="JLT96" s="32"/>
      <c r="JLU96" s="32"/>
      <c r="JLV96" s="32"/>
      <c r="JLW96" s="32"/>
      <c r="JLX96" s="32"/>
      <c r="JLY96" s="32"/>
      <c r="JLZ96" s="32"/>
      <c r="JMA96" s="32"/>
      <c r="JMB96" s="32"/>
      <c r="JMC96" s="32"/>
      <c r="JMD96" s="32"/>
      <c r="JME96" s="32"/>
      <c r="JMF96" s="32"/>
      <c r="JMG96" s="32"/>
      <c r="JMH96" s="32"/>
      <c r="JMI96" s="32"/>
      <c r="JMJ96" s="32"/>
      <c r="JMK96" s="32"/>
      <c r="JML96" s="32"/>
      <c r="JMM96" s="32"/>
      <c r="JMN96" s="32"/>
      <c r="JMO96" s="32"/>
      <c r="JMP96" s="32"/>
      <c r="JMQ96" s="32"/>
      <c r="JMR96" s="32"/>
      <c r="JMS96" s="32"/>
      <c r="JMT96" s="32"/>
      <c r="JMU96" s="32"/>
      <c r="JMV96" s="32"/>
      <c r="JMW96" s="32"/>
      <c r="JMX96" s="32"/>
      <c r="JMY96" s="32"/>
      <c r="JMZ96" s="32"/>
      <c r="JNA96" s="32"/>
      <c r="JNB96" s="32"/>
      <c r="JNC96" s="32"/>
      <c r="JND96" s="32"/>
      <c r="JNE96" s="32"/>
      <c r="JNF96" s="32"/>
      <c r="JNG96" s="32"/>
      <c r="JNH96" s="32"/>
      <c r="JNI96" s="32"/>
      <c r="JNJ96" s="32"/>
      <c r="JNK96" s="32"/>
      <c r="JNL96" s="32"/>
      <c r="JNM96" s="32"/>
      <c r="JNN96" s="32"/>
      <c r="JNO96" s="32"/>
      <c r="JNP96" s="32"/>
      <c r="JNQ96" s="32"/>
      <c r="JNR96" s="32"/>
      <c r="JNS96" s="32"/>
      <c r="JNT96" s="32"/>
      <c r="JNU96" s="32"/>
      <c r="JNV96" s="32"/>
      <c r="JNW96" s="32"/>
      <c r="JNX96" s="32"/>
      <c r="JNY96" s="32"/>
      <c r="JNZ96" s="32"/>
      <c r="JOA96" s="32"/>
      <c r="JOB96" s="32"/>
      <c r="JOC96" s="32"/>
      <c r="JOD96" s="32"/>
      <c r="JOE96" s="32"/>
      <c r="JOF96" s="32"/>
      <c r="JOG96" s="32"/>
      <c r="JOH96" s="32"/>
      <c r="JOI96" s="32"/>
      <c r="JOJ96" s="32"/>
      <c r="JOK96" s="32"/>
      <c r="JOL96" s="32"/>
      <c r="JOM96" s="32"/>
      <c r="JON96" s="32"/>
      <c r="JOO96" s="32"/>
      <c r="JOP96" s="32"/>
      <c r="JOQ96" s="32"/>
      <c r="JOR96" s="32"/>
      <c r="JOS96" s="32"/>
      <c r="JOT96" s="32"/>
      <c r="JOU96" s="32"/>
      <c r="JOV96" s="32"/>
      <c r="JOW96" s="32"/>
      <c r="JOX96" s="32"/>
      <c r="JOY96" s="32"/>
      <c r="JOZ96" s="32"/>
      <c r="JPA96" s="32"/>
      <c r="JPB96" s="32"/>
      <c r="JPC96" s="32"/>
      <c r="JPD96" s="32"/>
      <c r="JPE96" s="32"/>
      <c r="JPF96" s="32"/>
      <c r="JPG96" s="32"/>
      <c r="JPH96" s="32"/>
      <c r="JPI96" s="32"/>
      <c r="JPJ96" s="32"/>
      <c r="JPK96" s="32"/>
      <c r="JPL96" s="32"/>
      <c r="JPM96" s="32"/>
      <c r="JPN96" s="32"/>
      <c r="JPO96" s="32"/>
      <c r="JPP96" s="32"/>
      <c r="JPQ96" s="32"/>
      <c r="JPR96" s="32"/>
      <c r="JPS96" s="32"/>
      <c r="JPT96" s="32"/>
      <c r="JPU96" s="32"/>
      <c r="JPV96" s="32"/>
      <c r="JPW96" s="32"/>
      <c r="JPX96" s="32"/>
      <c r="JPY96" s="32"/>
      <c r="JPZ96" s="32"/>
      <c r="JQA96" s="32"/>
      <c r="JQB96" s="32"/>
      <c r="JQC96" s="32"/>
      <c r="JQD96" s="32"/>
      <c r="JQE96" s="32"/>
      <c r="JQF96" s="32"/>
      <c r="JQG96" s="32"/>
      <c r="JQH96" s="32"/>
      <c r="JQI96" s="32"/>
      <c r="JQJ96" s="32"/>
      <c r="JQK96" s="32"/>
      <c r="JQL96" s="32"/>
      <c r="JQM96" s="32"/>
      <c r="JQN96" s="32"/>
      <c r="JQO96" s="32"/>
      <c r="JQP96" s="32"/>
      <c r="JQQ96" s="32"/>
      <c r="JQR96" s="32"/>
      <c r="JQS96" s="32"/>
      <c r="JQT96" s="32"/>
      <c r="JQU96" s="32"/>
      <c r="JQV96" s="32"/>
      <c r="JQW96" s="32"/>
      <c r="JQX96" s="32"/>
      <c r="JQY96" s="32"/>
      <c r="JQZ96" s="32"/>
      <c r="JRA96" s="32"/>
      <c r="JRB96" s="32"/>
      <c r="JRC96" s="32"/>
      <c r="JRD96" s="32"/>
      <c r="JRE96" s="32"/>
      <c r="JRF96" s="32"/>
      <c r="JRG96" s="32"/>
      <c r="JRH96" s="32"/>
      <c r="JRI96" s="32"/>
      <c r="JRJ96" s="32"/>
      <c r="JRK96" s="32"/>
      <c r="JRL96" s="32"/>
      <c r="JRM96" s="32"/>
      <c r="JRN96" s="32"/>
      <c r="JRO96" s="32"/>
      <c r="JRP96" s="32"/>
      <c r="JRQ96" s="32"/>
      <c r="JRR96" s="32"/>
      <c r="JRS96" s="32"/>
      <c r="JRT96" s="32"/>
      <c r="JRU96" s="32"/>
      <c r="JRV96" s="32"/>
      <c r="JRW96" s="32"/>
      <c r="JRX96" s="32"/>
      <c r="JRY96" s="32"/>
      <c r="JRZ96" s="32"/>
      <c r="JSA96" s="32"/>
      <c r="JSB96" s="32"/>
      <c r="JSC96" s="32"/>
      <c r="JSD96" s="32"/>
      <c r="JSE96" s="32"/>
      <c r="JSF96" s="32"/>
      <c r="JSG96" s="32"/>
      <c r="JSH96" s="32"/>
      <c r="JSI96" s="32"/>
      <c r="JSJ96" s="32"/>
      <c r="JSK96" s="32"/>
      <c r="JSL96" s="32"/>
      <c r="JSM96" s="32"/>
      <c r="JSN96" s="32"/>
      <c r="JSO96" s="32"/>
      <c r="JSP96" s="32"/>
      <c r="JSQ96" s="32"/>
      <c r="JSR96" s="32"/>
      <c r="JSS96" s="32"/>
      <c r="JST96" s="32"/>
      <c r="JSU96" s="32"/>
      <c r="JSV96" s="32"/>
      <c r="JSW96" s="32"/>
      <c r="JSX96" s="32"/>
      <c r="JSY96" s="32"/>
      <c r="JSZ96" s="32"/>
      <c r="JTA96" s="32"/>
      <c r="JTB96" s="32"/>
      <c r="JTC96" s="32"/>
      <c r="JTD96" s="32"/>
      <c r="JTE96" s="32"/>
      <c r="JTF96" s="32"/>
      <c r="JTG96" s="32"/>
      <c r="JTH96" s="32"/>
      <c r="JTI96" s="32"/>
      <c r="JTJ96" s="32"/>
      <c r="JTK96" s="32"/>
      <c r="JTL96" s="32"/>
      <c r="JTM96" s="32"/>
      <c r="JTN96" s="32"/>
      <c r="JTO96" s="32"/>
      <c r="JTP96" s="32"/>
      <c r="JTQ96" s="32"/>
      <c r="JTR96" s="32"/>
      <c r="JTS96" s="32"/>
      <c r="JTT96" s="32"/>
      <c r="JTU96" s="32"/>
      <c r="JTV96" s="32"/>
      <c r="JTW96" s="32"/>
      <c r="JTX96" s="32"/>
      <c r="JTY96" s="32"/>
      <c r="JTZ96" s="32"/>
      <c r="JUA96" s="32"/>
      <c r="JUB96" s="32"/>
      <c r="JUC96" s="32"/>
      <c r="JUD96" s="32"/>
      <c r="JUE96" s="32"/>
      <c r="JUF96" s="32"/>
      <c r="JUG96" s="32"/>
      <c r="JUH96" s="32"/>
      <c r="JUI96" s="32"/>
      <c r="JUJ96" s="32"/>
      <c r="JUK96" s="32"/>
      <c r="JUL96" s="32"/>
      <c r="JUM96" s="32"/>
      <c r="JUN96" s="32"/>
      <c r="JUO96" s="32"/>
      <c r="JUP96" s="32"/>
      <c r="JUQ96" s="32"/>
      <c r="JUR96" s="32"/>
      <c r="JUS96" s="32"/>
      <c r="JUT96" s="32"/>
      <c r="JUU96" s="32"/>
      <c r="JUV96" s="32"/>
      <c r="JUW96" s="32"/>
      <c r="JUX96" s="32"/>
      <c r="JUY96" s="32"/>
      <c r="JUZ96" s="32"/>
      <c r="JVA96" s="32"/>
      <c r="JVB96" s="32"/>
      <c r="JVC96" s="32"/>
      <c r="JVD96" s="32"/>
      <c r="JVE96" s="32"/>
      <c r="JVF96" s="32"/>
      <c r="JVG96" s="32"/>
      <c r="JVH96" s="32"/>
      <c r="JVI96" s="32"/>
      <c r="JVJ96" s="32"/>
      <c r="JVK96" s="32"/>
      <c r="JVL96" s="32"/>
      <c r="JVM96" s="32"/>
      <c r="JVN96" s="32"/>
      <c r="JVO96" s="32"/>
      <c r="JVP96" s="32"/>
      <c r="JVQ96" s="32"/>
      <c r="JVR96" s="32"/>
      <c r="JVS96" s="32"/>
      <c r="JVT96" s="32"/>
      <c r="JVU96" s="32"/>
      <c r="JVV96" s="32"/>
      <c r="JVW96" s="32"/>
      <c r="JVX96" s="32"/>
      <c r="JVY96" s="32"/>
      <c r="JVZ96" s="32"/>
      <c r="JWA96" s="32"/>
      <c r="JWB96" s="32"/>
      <c r="JWC96" s="32"/>
      <c r="JWD96" s="32"/>
      <c r="JWE96" s="32"/>
      <c r="JWF96" s="32"/>
      <c r="JWG96" s="32"/>
      <c r="JWH96" s="32"/>
      <c r="JWI96" s="32"/>
      <c r="JWJ96" s="32"/>
      <c r="JWK96" s="32"/>
      <c r="JWL96" s="32"/>
      <c r="JWM96" s="32"/>
      <c r="JWN96" s="32"/>
      <c r="JWO96" s="32"/>
      <c r="JWP96" s="32"/>
      <c r="JWQ96" s="32"/>
      <c r="JWR96" s="32"/>
      <c r="JWS96" s="32"/>
      <c r="JWT96" s="32"/>
      <c r="JWU96" s="32"/>
      <c r="JWV96" s="32"/>
      <c r="JWW96" s="32"/>
      <c r="JWX96" s="32"/>
      <c r="JWY96" s="32"/>
      <c r="JWZ96" s="32"/>
      <c r="JXA96" s="32"/>
      <c r="JXB96" s="32"/>
      <c r="JXC96" s="32"/>
      <c r="JXD96" s="32"/>
      <c r="JXE96" s="32"/>
      <c r="JXF96" s="32"/>
      <c r="JXG96" s="32"/>
      <c r="JXH96" s="32"/>
      <c r="JXI96" s="32"/>
      <c r="JXJ96" s="32"/>
      <c r="JXK96" s="32"/>
      <c r="JXL96" s="32"/>
      <c r="JXM96" s="32"/>
      <c r="JXN96" s="32"/>
      <c r="JXO96" s="32"/>
      <c r="JXP96" s="32"/>
      <c r="JXQ96" s="32"/>
      <c r="JXR96" s="32"/>
      <c r="JXS96" s="32"/>
      <c r="JXT96" s="32"/>
      <c r="JXU96" s="32"/>
      <c r="JXV96" s="32"/>
      <c r="JXW96" s="32"/>
      <c r="JXX96" s="32"/>
      <c r="JXY96" s="32"/>
      <c r="JXZ96" s="32"/>
      <c r="JYA96" s="32"/>
      <c r="JYB96" s="32"/>
      <c r="JYC96" s="32"/>
      <c r="JYD96" s="32"/>
      <c r="JYE96" s="32"/>
      <c r="JYF96" s="32"/>
      <c r="JYG96" s="32"/>
      <c r="JYH96" s="32"/>
      <c r="JYI96" s="32"/>
      <c r="JYJ96" s="32"/>
      <c r="JYK96" s="32"/>
      <c r="JYL96" s="32"/>
      <c r="JYM96" s="32"/>
      <c r="JYN96" s="32"/>
      <c r="JYO96" s="32"/>
      <c r="JYP96" s="32"/>
      <c r="JYQ96" s="32"/>
      <c r="JYR96" s="32"/>
      <c r="JYS96" s="32"/>
      <c r="JYT96" s="32"/>
      <c r="JYU96" s="32"/>
      <c r="JYV96" s="32"/>
      <c r="JYW96" s="32"/>
      <c r="JYX96" s="32"/>
      <c r="JYY96" s="32"/>
      <c r="JYZ96" s="32"/>
      <c r="JZA96" s="32"/>
      <c r="JZB96" s="32"/>
      <c r="JZC96" s="32"/>
      <c r="JZD96" s="32"/>
      <c r="JZE96" s="32"/>
      <c r="JZF96" s="32"/>
      <c r="JZG96" s="32"/>
      <c r="JZH96" s="32"/>
      <c r="JZI96" s="32"/>
      <c r="JZJ96" s="32"/>
      <c r="JZK96" s="32"/>
      <c r="JZL96" s="32"/>
      <c r="JZM96" s="32"/>
      <c r="JZN96" s="32"/>
      <c r="JZO96" s="32"/>
      <c r="JZP96" s="32"/>
      <c r="JZQ96" s="32"/>
      <c r="JZR96" s="32"/>
      <c r="JZS96" s="32"/>
      <c r="JZT96" s="32"/>
      <c r="JZU96" s="32"/>
      <c r="JZV96" s="32"/>
      <c r="JZW96" s="32"/>
      <c r="JZX96" s="32"/>
      <c r="JZY96" s="32"/>
      <c r="JZZ96" s="32"/>
      <c r="KAA96" s="32"/>
      <c r="KAB96" s="32"/>
      <c r="KAC96" s="32"/>
      <c r="KAD96" s="32"/>
      <c r="KAE96" s="32"/>
      <c r="KAF96" s="32"/>
      <c r="KAG96" s="32"/>
      <c r="KAH96" s="32"/>
      <c r="KAI96" s="32"/>
      <c r="KAJ96" s="32"/>
      <c r="KAK96" s="32"/>
      <c r="KAL96" s="32"/>
      <c r="KAM96" s="32"/>
      <c r="KAN96" s="32"/>
      <c r="KAO96" s="32"/>
      <c r="KAP96" s="32"/>
      <c r="KAQ96" s="32"/>
      <c r="KAR96" s="32"/>
      <c r="KAS96" s="32"/>
      <c r="KAT96" s="32"/>
      <c r="KAU96" s="32"/>
      <c r="KAV96" s="32"/>
      <c r="KAW96" s="32"/>
      <c r="KAX96" s="32"/>
      <c r="KAY96" s="32"/>
      <c r="KAZ96" s="32"/>
      <c r="KBA96" s="32"/>
      <c r="KBB96" s="32"/>
      <c r="KBC96" s="32"/>
      <c r="KBD96" s="32"/>
      <c r="KBE96" s="32"/>
      <c r="KBF96" s="32"/>
      <c r="KBG96" s="32"/>
      <c r="KBH96" s="32"/>
      <c r="KBI96" s="32"/>
      <c r="KBJ96" s="32"/>
      <c r="KBK96" s="32"/>
      <c r="KBL96" s="32"/>
      <c r="KBM96" s="32"/>
      <c r="KBN96" s="32"/>
      <c r="KBO96" s="32"/>
      <c r="KBP96" s="32"/>
      <c r="KBQ96" s="32"/>
      <c r="KBR96" s="32"/>
      <c r="KBS96" s="32"/>
      <c r="KBT96" s="32"/>
      <c r="KBU96" s="32"/>
      <c r="KBV96" s="32"/>
      <c r="KBW96" s="32"/>
      <c r="KBX96" s="32"/>
      <c r="KBY96" s="32"/>
      <c r="KBZ96" s="32"/>
      <c r="KCA96" s="32"/>
      <c r="KCB96" s="32"/>
      <c r="KCC96" s="32"/>
      <c r="KCD96" s="32"/>
      <c r="KCE96" s="32"/>
      <c r="KCF96" s="32"/>
      <c r="KCG96" s="32"/>
      <c r="KCH96" s="32"/>
      <c r="KCI96" s="32"/>
      <c r="KCJ96" s="32"/>
      <c r="KCK96" s="32"/>
      <c r="KCL96" s="32"/>
      <c r="KCM96" s="32"/>
      <c r="KCN96" s="32"/>
      <c r="KCO96" s="32"/>
      <c r="KCP96" s="32"/>
      <c r="KCQ96" s="32"/>
      <c r="KCR96" s="32"/>
      <c r="KCS96" s="32"/>
      <c r="KCT96" s="32"/>
      <c r="KCU96" s="32"/>
      <c r="KCV96" s="32"/>
      <c r="KCW96" s="32"/>
      <c r="KCX96" s="32"/>
      <c r="KCY96" s="32"/>
      <c r="KCZ96" s="32"/>
      <c r="KDA96" s="32"/>
      <c r="KDB96" s="32"/>
      <c r="KDC96" s="32"/>
      <c r="KDD96" s="32"/>
      <c r="KDE96" s="32"/>
      <c r="KDF96" s="32"/>
      <c r="KDG96" s="32"/>
      <c r="KDH96" s="32"/>
      <c r="KDI96" s="32"/>
      <c r="KDJ96" s="32"/>
      <c r="KDK96" s="32"/>
      <c r="KDL96" s="32"/>
      <c r="KDM96" s="32"/>
      <c r="KDN96" s="32"/>
      <c r="KDO96" s="32"/>
      <c r="KDP96" s="32"/>
      <c r="KDQ96" s="32"/>
      <c r="KDR96" s="32"/>
      <c r="KDS96" s="32"/>
      <c r="KDT96" s="32"/>
      <c r="KDU96" s="32"/>
      <c r="KDV96" s="32"/>
      <c r="KDW96" s="32"/>
      <c r="KDX96" s="32"/>
      <c r="KDY96" s="32"/>
      <c r="KDZ96" s="32"/>
      <c r="KEA96" s="32"/>
      <c r="KEB96" s="32"/>
      <c r="KEC96" s="32"/>
      <c r="KED96" s="32"/>
      <c r="KEE96" s="32"/>
      <c r="KEF96" s="32"/>
      <c r="KEG96" s="32"/>
      <c r="KEH96" s="32"/>
      <c r="KEI96" s="32"/>
      <c r="KEJ96" s="32"/>
      <c r="KEK96" s="32"/>
      <c r="KEL96" s="32"/>
      <c r="KEM96" s="32"/>
      <c r="KEN96" s="32"/>
      <c r="KEO96" s="32"/>
      <c r="KEP96" s="32"/>
      <c r="KEQ96" s="32"/>
      <c r="KER96" s="32"/>
      <c r="KES96" s="32"/>
      <c r="KET96" s="32"/>
      <c r="KEU96" s="32"/>
      <c r="KEV96" s="32"/>
      <c r="KEW96" s="32"/>
      <c r="KEX96" s="32"/>
      <c r="KEY96" s="32"/>
      <c r="KEZ96" s="32"/>
      <c r="KFA96" s="32"/>
      <c r="KFB96" s="32"/>
      <c r="KFC96" s="32"/>
      <c r="KFD96" s="32"/>
      <c r="KFE96" s="32"/>
      <c r="KFF96" s="32"/>
      <c r="KFG96" s="32"/>
      <c r="KFH96" s="32"/>
      <c r="KFI96" s="32"/>
      <c r="KFJ96" s="32"/>
      <c r="KFK96" s="32"/>
      <c r="KFL96" s="32"/>
      <c r="KFM96" s="32"/>
      <c r="KFN96" s="32"/>
      <c r="KFO96" s="32"/>
      <c r="KFP96" s="32"/>
      <c r="KFQ96" s="32"/>
      <c r="KFR96" s="32"/>
      <c r="KFS96" s="32"/>
      <c r="KFT96" s="32"/>
      <c r="KFU96" s="32"/>
      <c r="KFV96" s="32"/>
      <c r="KFW96" s="32"/>
      <c r="KFX96" s="32"/>
      <c r="KFY96" s="32"/>
      <c r="KFZ96" s="32"/>
      <c r="KGA96" s="32"/>
      <c r="KGB96" s="32"/>
      <c r="KGC96" s="32"/>
      <c r="KGD96" s="32"/>
      <c r="KGE96" s="32"/>
      <c r="KGF96" s="32"/>
      <c r="KGG96" s="32"/>
      <c r="KGH96" s="32"/>
      <c r="KGI96" s="32"/>
      <c r="KGJ96" s="32"/>
      <c r="KGK96" s="32"/>
      <c r="KGL96" s="32"/>
      <c r="KGM96" s="32"/>
      <c r="KGN96" s="32"/>
      <c r="KGO96" s="32"/>
      <c r="KGP96" s="32"/>
      <c r="KGQ96" s="32"/>
      <c r="KGR96" s="32"/>
      <c r="KGS96" s="32"/>
      <c r="KGT96" s="32"/>
      <c r="KGU96" s="32"/>
      <c r="KGV96" s="32"/>
      <c r="KGW96" s="32"/>
      <c r="KGX96" s="32"/>
      <c r="KGY96" s="32"/>
      <c r="KGZ96" s="32"/>
      <c r="KHA96" s="32"/>
      <c r="KHB96" s="32"/>
      <c r="KHC96" s="32"/>
      <c r="KHD96" s="32"/>
      <c r="KHE96" s="32"/>
      <c r="KHF96" s="32"/>
      <c r="KHG96" s="32"/>
      <c r="KHH96" s="32"/>
      <c r="KHI96" s="32"/>
      <c r="KHJ96" s="32"/>
      <c r="KHK96" s="32"/>
      <c r="KHL96" s="32"/>
      <c r="KHM96" s="32"/>
      <c r="KHN96" s="32"/>
      <c r="KHO96" s="32"/>
      <c r="KHP96" s="32"/>
      <c r="KHQ96" s="32"/>
      <c r="KHR96" s="32"/>
      <c r="KHS96" s="32"/>
      <c r="KHT96" s="32"/>
      <c r="KHU96" s="32"/>
      <c r="KHV96" s="32"/>
      <c r="KHW96" s="32"/>
      <c r="KHX96" s="32"/>
      <c r="KHY96" s="32"/>
      <c r="KHZ96" s="32"/>
      <c r="KIA96" s="32"/>
      <c r="KIB96" s="32"/>
      <c r="KIC96" s="32"/>
      <c r="KID96" s="32"/>
      <c r="KIE96" s="32"/>
      <c r="KIF96" s="32"/>
      <c r="KIG96" s="32"/>
      <c r="KIH96" s="32"/>
      <c r="KII96" s="32"/>
      <c r="KIJ96" s="32"/>
      <c r="KIK96" s="32"/>
      <c r="KIL96" s="32"/>
      <c r="KIM96" s="32"/>
      <c r="KIN96" s="32"/>
      <c r="KIO96" s="32"/>
      <c r="KIP96" s="32"/>
      <c r="KIQ96" s="32"/>
      <c r="KIR96" s="32"/>
      <c r="KIS96" s="32"/>
      <c r="KIT96" s="32"/>
      <c r="KIU96" s="32"/>
      <c r="KIV96" s="32"/>
      <c r="KIW96" s="32"/>
      <c r="KIX96" s="32"/>
      <c r="KIY96" s="32"/>
      <c r="KIZ96" s="32"/>
      <c r="KJA96" s="32"/>
      <c r="KJB96" s="32"/>
      <c r="KJC96" s="32"/>
      <c r="KJD96" s="32"/>
      <c r="KJE96" s="32"/>
      <c r="KJF96" s="32"/>
      <c r="KJG96" s="32"/>
      <c r="KJH96" s="32"/>
      <c r="KJI96" s="32"/>
      <c r="KJJ96" s="32"/>
      <c r="KJK96" s="32"/>
      <c r="KJL96" s="32"/>
      <c r="KJM96" s="32"/>
      <c r="KJN96" s="32"/>
      <c r="KJO96" s="32"/>
      <c r="KJP96" s="32"/>
      <c r="KJQ96" s="32"/>
      <c r="KJR96" s="32"/>
      <c r="KJS96" s="32"/>
      <c r="KJT96" s="32"/>
      <c r="KJU96" s="32"/>
      <c r="KJV96" s="32"/>
      <c r="KJW96" s="32"/>
      <c r="KJX96" s="32"/>
      <c r="KJY96" s="32"/>
      <c r="KJZ96" s="32"/>
      <c r="KKA96" s="32"/>
      <c r="KKB96" s="32"/>
      <c r="KKC96" s="32"/>
      <c r="KKD96" s="32"/>
      <c r="KKE96" s="32"/>
      <c r="KKF96" s="32"/>
      <c r="KKG96" s="32"/>
      <c r="KKH96" s="32"/>
      <c r="KKI96" s="32"/>
      <c r="KKJ96" s="32"/>
      <c r="KKK96" s="32"/>
      <c r="KKL96" s="32"/>
      <c r="KKM96" s="32"/>
      <c r="KKN96" s="32"/>
      <c r="KKO96" s="32"/>
      <c r="KKP96" s="32"/>
      <c r="KKQ96" s="32"/>
      <c r="KKR96" s="32"/>
      <c r="KKS96" s="32"/>
      <c r="KKT96" s="32"/>
      <c r="KKU96" s="32"/>
      <c r="KKV96" s="32"/>
      <c r="KKW96" s="32"/>
      <c r="KKX96" s="32"/>
      <c r="KKY96" s="32"/>
      <c r="KKZ96" s="32"/>
      <c r="KLA96" s="32"/>
      <c r="KLB96" s="32"/>
      <c r="KLC96" s="32"/>
      <c r="KLD96" s="32"/>
      <c r="KLE96" s="32"/>
      <c r="KLF96" s="32"/>
      <c r="KLG96" s="32"/>
      <c r="KLH96" s="32"/>
      <c r="KLI96" s="32"/>
      <c r="KLJ96" s="32"/>
      <c r="KLK96" s="32"/>
      <c r="KLL96" s="32"/>
      <c r="KLM96" s="32"/>
      <c r="KLN96" s="32"/>
      <c r="KLO96" s="32"/>
      <c r="KLP96" s="32"/>
      <c r="KLQ96" s="32"/>
      <c r="KLR96" s="32"/>
      <c r="KLS96" s="32"/>
      <c r="KLT96" s="32"/>
      <c r="KLU96" s="32"/>
      <c r="KLV96" s="32"/>
      <c r="KLW96" s="32"/>
      <c r="KLX96" s="32"/>
      <c r="KLY96" s="32"/>
      <c r="KLZ96" s="32"/>
      <c r="KMA96" s="32"/>
      <c r="KMB96" s="32"/>
      <c r="KMC96" s="32"/>
      <c r="KMD96" s="32"/>
      <c r="KME96" s="32"/>
      <c r="KMF96" s="32"/>
      <c r="KMG96" s="32"/>
      <c r="KMH96" s="32"/>
      <c r="KMI96" s="32"/>
      <c r="KMJ96" s="32"/>
      <c r="KMK96" s="32"/>
      <c r="KML96" s="32"/>
      <c r="KMM96" s="32"/>
      <c r="KMN96" s="32"/>
      <c r="KMO96" s="32"/>
      <c r="KMP96" s="32"/>
      <c r="KMQ96" s="32"/>
      <c r="KMR96" s="32"/>
      <c r="KMS96" s="32"/>
      <c r="KMT96" s="32"/>
      <c r="KMU96" s="32"/>
      <c r="KMV96" s="32"/>
      <c r="KMW96" s="32"/>
      <c r="KMX96" s="32"/>
      <c r="KMY96" s="32"/>
      <c r="KMZ96" s="32"/>
      <c r="KNA96" s="32"/>
      <c r="KNB96" s="32"/>
      <c r="KNC96" s="32"/>
      <c r="KND96" s="32"/>
      <c r="KNE96" s="32"/>
      <c r="KNF96" s="32"/>
      <c r="KNG96" s="32"/>
      <c r="KNH96" s="32"/>
      <c r="KNI96" s="32"/>
      <c r="KNJ96" s="32"/>
      <c r="KNK96" s="32"/>
      <c r="KNL96" s="32"/>
      <c r="KNM96" s="32"/>
      <c r="KNN96" s="32"/>
      <c r="KNO96" s="32"/>
      <c r="KNP96" s="32"/>
      <c r="KNQ96" s="32"/>
      <c r="KNR96" s="32"/>
      <c r="KNS96" s="32"/>
      <c r="KNT96" s="32"/>
      <c r="KNU96" s="32"/>
      <c r="KNV96" s="32"/>
      <c r="KNW96" s="32"/>
      <c r="KNX96" s="32"/>
      <c r="KNY96" s="32"/>
      <c r="KNZ96" s="32"/>
      <c r="KOA96" s="32"/>
      <c r="KOB96" s="32"/>
      <c r="KOC96" s="32"/>
      <c r="KOD96" s="32"/>
      <c r="KOE96" s="32"/>
      <c r="KOF96" s="32"/>
      <c r="KOG96" s="32"/>
      <c r="KOH96" s="32"/>
      <c r="KOI96" s="32"/>
      <c r="KOJ96" s="32"/>
      <c r="KOK96" s="32"/>
      <c r="KOL96" s="32"/>
      <c r="KOM96" s="32"/>
      <c r="KON96" s="32"/>
      <c r="KOO96" s="32"/>
      <c r="KOP96" s="32"/>
      <c r="KOQ96" s="32"/>
      <c r="KOR96" s="32"/>
      <c r="KOS96" s="32"/>
      <c r="KOT96" s="32"/>
      <c r="KOU96" s="32"/>
      <c r="KOV96" s="32"/>
      <c r="KOW96" s="32"/>
      <c r="KOX96" s="32"/>
      <c r="KOY96" s="32"/>
      <c r="KOZ96" s="32"/>
      <c r="KPA96" s="32"/>
      <c r="KPB96" s="32"/>
      <c r="KPC96" s="32"/>
      <c r="KPD96" s="32"/>
      <c r="KPE96" s="32"/>
      <c r="KPF96" s="32"/>
      <c r="KPG96" s="32"/>
      <c r="KPH96" s="32"/>
      <c r="KPI96" s="32"/>
      <c r="KPJ96" s="32"/>
      <c r="KPK96" s="32"/>
      <c r="KPL96" s="32"/>
      <c r="KPM96" s="32"/>
      <c r="KPN96" s="32"/>
      <c r="KPO96" s="32"/>
      <c r="KPP96" s="32"/>
      <c r="KPQ96" s="32"/>
      <c r="KPR96" s="32"/>
      <c r="KPS96" s="32"/>
      <c r="KPT96" s="32"/>
      <c r="KPU96" s="32"/>
      <c r="KPV96" s="32"/>
      <c r="KPW96" s="32"/>
      <c r="KPX96" s="32"/>
      <c r="KPY96" s="32"/>
      <c r="KPZ96" s="32"/>
      <c r="KQA96" s="32"/>
      <c r="KQB96" s="32"/>
      <c r="KQC96" s="32"/>
      <c r="KQD96" s="32"/>
      <c r="KQE96" s="32"/>
      <c r="KQF96" s="32"/>
      <c r="KQG96" s="32"/>
      <c r="KQH96" s="32"/>
      <c r="KQI96" s="32"/>
      <c r="KQJ96" s="32"/>
      <c r="KQK96" s="32"/>
      <c r="KQL96" s="32"/>
      <c r="KQM96" s="32"/>
      <c r="KQN96" s="32"/>
      <c r="KQO96" s="32"/>
      <c r="KQP96" s="32"/>
      <c r="KQQ96" s="32"/>
      <c r="KQR96" s="32"/>
      <c r="KQS96" s="32"/>
      <c r="KQT96" s="32"/>
      <c r="KQU96" s="32"/>
      <c r="KQV96" s="32"/>
      <c r="KQW96" s="32"/>
      <c r="KQX96" s="32"/>
      <c r="KQY96" s="32"/>
      <c r="KQZ96" s="32"/>
      <c r="KRA96" s="32"/>
      <c r="KRB96" s="32"/>
      <c r="KRC96" s="32"/>
      <c r="KRD96" s="32"/>
      <c r="KRE96" s="32"/>
      <c r="KRF96" s="32"/>
      <c r="KRG96" s="32"/>
      <c r="KRH96" s="32"/>
      <c r="KRI96" s="32"/>
      <c r="KRJ96" s="32"/>
      <c r="KRK96" s="32"/>
      <c r="KRL96" s="32"/>
      <c r="KRM96" s="32"/>
      <c r="KRN96" s="32"/>
      <c r="KRO96" s="32"/>
      <c r="KRP96" s="32"/>
      <c r="KRQ96" s="32"/>
      <c r="KRR96" s="32"/>
      <c r="KRS96" s="32"/>
      <c r="KRT96" s="32"/>
      <c r="KRU96" s="32"/>
      <c r="KRV96" s="32"/>
      <c r="KRW96" s="32"/>
      <c r="KRX96" s="32"/>
      <c r="KRY96" s="32"/>
      <c r="KRZ96" s="32"/>
      <c r="KSA96" s="32"/>
      <c r="KSB96" s="32"/>
      <c r="KSC96" s="32"/>
      <c r="KSD96" s="32"/>
      <c r="KSE96" s="32"/>
      <c r="KSF96" s="32"/>
      <c r="KSG96" s="32"/>
      <c r="KSH96" s="32"/>
      <c r="KSI96" s="32"/>
      <c r="KSJ96" s="32"/>
      <c r="KSK96" s="32"/>
      <c r="KSL96" s="32"/>
      <c r="KSM96" s="32"/>
      <c r="KSN96" s="32"/>
      <c r="KSO96" s="32"/>
      <c r="KSP96" s="32"/>
      <c r="KSQ96" s="32"/>
      <c r="KSR96" s="32"/>
      <c r="KSS96" s="32"/>
      <c r="KST96" s="32"/>
      <c r="KSU96" s="32"/>
      <c r="KSV96" s="32"/>
      <c r="KSW96" s="32"/>
      <c r="KSX96" s="32"/>
      <c r="KSY96" s="32"/>
      <c r="KSZ96" s="32"/>
      <c r="KTA96" s="32"/>
      <c r="KTB96" s="32"/>
      <c r="KTC96" s="32"/>
      <c r="KTD96" s="32"/>
      <c r="KTE96" s="32"/>
      <c r="KTF96" s="32"/>
      <c r="KTG96" s="32"/>
      <c r="KTH96" s="32"/>
      <c r="KTI96" s="32"/>
      <c r="KTJ96" s="32"/>
      <c r="KTK96" s="32"/>
      <c r="KTL96" s="32"/>
      <c r="KTM96" s="32"/>
      <c r="KTN96" s="32"/>
      <c r="KTO96" s="32"/>
      <c r="KTP96" s="32"/>
      <c r="KTQ96" s="32"/>
      <c r="KTR96" s="32"/>
      <c r="KTS96" s="32"/>
      <c r="KTT96" s="32"/>
      <c r="KTU96" s="32"/>
      <c r="KTV96" s="32"/>
      <c r="KTW96" s="32"/>
      <c r="KTX96" s="32"/>
      <c r="KTY96" s="32"/>
      <c r="KTZ96" s="32"/>
      <c r="KUA96" s="32"/>
      <c r="KUB96" s="32"/>
      <c r="KUC96" s="32"/>
      <c r="KUD96" s="32"/>
      <c r="KUE96" s="32"/>
      <c r="KUF96" s="32"/>
      <c r="KUG96" s="32"/>
      <c r="KUH96" s="32"/>
      <c r="KUI96" s="32"/>
      <c r="KUJ96" s="32"/>
      <c r="KUK96" s="32"/>
      <c r="KUL96" s="32"/>
      <c r="KUM96" s="32"/>
      <c r="KUN96" s="32"/>
      <c r="KUO96" s="32"/>
      <c r="KUP96" s="32"/>
      <c r="KUQ96" s="32"/>
      <c r="KUR96" s="32"/>
      <c r="KUS96" s="32"/>
      <c r="KUT96" s="32"/>
      <c r="KUU96" s="32"/>
      <c r="KUV96" s="32"/>
      <c r="KUW96" s="32"/>
      <c r="KUX96" s="32"/>
      <c r="KUY96" s="32"/>
      <c r="KUZ96" s="32"/>
      <c r="KVA96" s="32"/>
      <c r="KVB96" s="32"/>
      <c r="KVC96" s="32"/>
      <c r="KVD96" s="32"/>
      <c r="KVE96" s="32"/>
      <c r="KVF96" s="32"/>
      <c r="KVG96" s="32"/>
      <c r="KVH96" s="32"/>
      <c r="KVI96" s="32"/>
      <c r="KVJ96" s="32"/>
      <c r="KVK96" s="32"/>
      <c r="KVL96" s="32"/>
      <c r="KVM96" s="32"/>
      <c r="KVN96" s="32"/>
      <c r="KVO96" s="32"/>
      <c r="KVP96" s="32"/>
      <c r="KVQ96" s="32"/>
      <c r="KVR96" s="32"/>
      <c r="KVS96" s="32"/>
      <c r="KVT96" s="32"/>
      <c r="KVU96" s="32"/>
      <c r="KVV96" s="32"/>
      <c r="KVW96" s="32"/>
      <c r="KVX96" s="32"/>
      <c r="KVY96" s="32"/>
      <c r="KVZ96" s="32"/>
      <c r="KWA96" s="32"/>
      <c r="KWB96" s="32"/>
      <c r="KWC96" s="32"/>
      <c r="KWD96" s="32"/>
      <c r="KWE96" s="32"/>
      <c r="KWF96" s="32"/>
      <c r="KWG96" s="32"/>
      <c r="KWH96" s="32"/>
      <c r="KWI96" s="32"/>
      <c r="KWJ96" s="32"/>
      <c r="KWK96" s="32"/>
      <c r="KWL96" s="32"/>
      <c r="KWM96" s="32"/>
      <c r="KWN96" s="32"/>
      <c r="KWO96" s="32"/>
      <c r="KWP96" s="32"/>
      <c r="KWQ96" s="32"/>
      <c r="KWR96" s="32"/>
      <c r="KWS96" s="32"/>
      <c r="KWT96" s="32"/>
      <c r="KWU96" s="32"/>
      <c r="KWV96" s="32"/>
      <c r="KWW96" s="32"/>
      <c r="KWX96" s="32"/>
      <c r="KWY96" s="32"/>
      <c r="KWZ96" s="32"/>
      <c r="KXA96" s="32"/>
      <c r="KXB96" s="32"/>
      <c r="KXC96" s="32"/>
      <c r="KXD96" s="32"/>
      <c r="KXE96" s="32"/>
      <c r="KXF96" s="32"/>
      <c r="KXG96" s="32"/>
      <c r="KXH96" s="32"/>
      <c r="KXI96" s="32"/>
      <c r="KXJ96" s="32"/>
      <c r="KXK96" s="32"/>
      <c r="KXL96" s="32"/>
      <c r="KXM96" s="32"/>
      <c r="KXN96" s="32"/>
      <c r="KXO96" s="32"/>
      <c r="KXP96" s="32"/>
      <c r="KXQ96" s="32"/>
      <c r="KXR96" s="32"/>
      <c r="KXS96" s="32"/>
      <c r="KXT96" s="32"/>
      <c r="KXU96" s="32"/>
      <c r="KXV96" s="32"/>
      <c r="KXW96" s="32"/>
      <c r="KXX96" s="32"/>
      <c r="KXY96" s="32"/>
      <c r="KXZ96" s="32"/>
      <c r="KYA96" s="32"/>
      <c r="KYB96" s="32"/>
      <c r="KYC96" s="32"/>
      <c r="KYD96" s="32"/>
      <c r="KYE96" s="32"/>
      <c r="KYF96" s="32"/>
      <c r="KYG96" s="32"/>
      <c r="KYH96" s="32"/>
      <c r="KYI96" s="32"/>
      <c r="KYJ96" s="32"/>
      <c r="KYK96" s="32"/>
      <c r="KYL96" s="32"/>
      <c r="KYM96" s="32"/>
      <c r="KYN96" s="32"/>
      <c r="KYO96" s="32"/>
      <c r="KYP96" s="32"/>
      <c r="KYQ96" s="32"/>
      <c r="KYR96" s="32"/>
      <c r="KYS96" s="32"/>
      <c r="KYT96" s="32"/>
      <c r="KYU96" s="32"/>
      <c r="KYV96" s="32"/>
      <c r="KYW96" s="32"/>
      <c r="KYX96" s="32"/>
      <c r="KYY96" s="32"/>
      <c r="KYZ96" s="32"/>
      <c r="KZA96" s="32"/>
      <c r="KZB96" s="32"/>
      <c r="KZC96" s="32"/>
      <c r="KZD96" s="32"/>
      <c r="KZE96" s="32"/>
      <c r="KZF96" s="32"/>
      <c r="KZG96" s="32"/>
      <c r="KZH96" s="32"/>
      <c r="KZI96" s="32"/>
      <c r="KZJ96" s="32"/>
      <c r="KZK96" s="32"/>
      <c r="KZL96" s="32"/>
      <c r="KZM96" s="32"/>
      <c r="KZN96" s="32"/>
      <c r="KZO96" s="32"/>
      <c r="KZP96" s="32"/>
      <c r="KZQ96" s="32"/>
      <c r="KZR96" s="32"/>
      <c r="KZS96" s="32"/>
      <c r="KZT96" s="32"/>
      <c r="KZU96" s="32"/>
      <c r="KZV96" s="32"/>
      <c r="KZW96" s="32"/>
      <c r="KZX96" s="32"/>
      <c r="KZY96" s="32"/>
      <c r="KZZ96" s="32"/>
      <c r="LAA96" s="32"/>
      <c r="LAB96" s="32"/>
      <c r="LAC96" s="32"/>
      <c r="LAD96" s="32"/>
      <c r="LAE96" s="32"/>
      <c r="LAF96" s="32"/>
      <c r="LAG96" s="32"/>
      <c r="LAH96" s="32"/>
      <c r="LAI96" s="32"/>
      <c r="LAJ96" s="32"/>
      <c r="LAK96" s="32"/>
      <c r="LAL96" s="32"/>
      <c r="LAM96" s="32"/>
      <c r="LAN96" s="32"/>
      <c r="LAO96" s="32"/>
      <c r="LAP96" s="32"/>
      <c r="LAQ96" s="32"/>
      <c r="LAR96" s="32"/>
      <c r="LAS96" s="32"/>
      <c r="LAT96" s="32"/>
      <c r="LAU96" s="32"/>
      <c r="LAV96" s="32"/>
      <c r="LAW96" s="32"/>
      <c r="LAX96" s="32"/>
      <c r="LAY96" s="32"/>
      <c r="LAZ96" s="32"/>
      <c r="LBA96" s="32"/>
      <c r="LBB96" s="32"/>
      <c r="LBC96" s="32"/>
      <c r="LBD96" s="32"/>
      <c r="LBE96" s="32"/>
      <c r="LBF96" s="32"/>
      <c r="LBG96" s="32"/>
      <c r="LBH96" s="32"/>
      <c r="LBI96" s="32"/>
      <c r="LBJ96" s="32"/>
      <c r="LBK96" s="32"/>
      <c r="LBL96" s="32"/>
      <c r="LBM96" s="32"/>
      <c r="LBN96" s="32"/>
      <c r="LBO96" s="32"/>
      <c r="LBP96" s="32"/>
      <c r="LBQ96" s="32"/>
      <c r="LBR96" s="32"/>
      <c r="LBS96" s="32"/>
      <c r="LBT96" s="32"/>
      <c r="LBU96" s="32"/>
      <c r="LBV96" s="32"/>
      <c r="LBW96" s="32"/>
      <c r="LBX96" s="32"/>
      <c r="LBY96" s="32"/>
      <c r="LBZ96" s="32"/>
      <c r="LCA96" s="32"/>
      <c r="LCB96" s="32"/>
      <c r="LCC96" s="32"/>
      <c r="LCD96" s="32"/>
      <c r="LCE96" s="32"/>
      <c r="LCF96" s="32"/>
      <c r="LCG96" s="32"/>
      <c r="LCH96" s="32"/>
      <c r="LCI96" s="32"/>
      <c r="LCJ96" s="32"/>
      <c r="LCK96" s="32"/>
      <c r="LCL96" s="32"/>
      <c r="LCM96" s="32"/>
      <c r="LCN96" s="32"/>
      <c r="LCO96" s="32"/>
      <c r="LCP96" s="32"/>
      <c r="LCQ96" s="32"/>
      <c r="LCR96" s="32"/>
      <c r="LCS96" s="32"/>
      <c r="LCT96" s="32"/>
      <c r="LCU96" s="32"/>
      <c r="LCV96" s="32"/>
      <c r="LCW96" s="32"/>
      <c r="LCX96" s="32"/>
      <c r="LCY96" s="32"/>
      <c r="LCZ96" s="32"/>
      <c r="LDA96" s="32"/>
      <c r="LDB96" s="32"/>
      <c r="LDC96" s="32"/>
      <c r="LDD96" s="32"/>
      <c r="LDE96" s="32"/>
      <c r="LDF96" s="32"/>
      <c r="LDG96" s="32"/>
      <c r="LDH96" s="32"/>
      <c r="LDI96" s="32"/>
      <c r="LDJ96" s="32"/>
      <c r="LDK96" s="32"/>
      <c r="LDL96" s="32"/>
      <c r="LDM96" s="32"/>
      <c r="LDN96" s="32"/>
      <c r="LDO96" s="32"/>
      <c r="LDP96" s="32"/>
      <c r="LDQ96" s="32"/>
      <c r="LDR96" s="32"/>
      <c r="LDS96" s="32"/>
      <c r="LDT96" s="32"/>
      <c r="LDU96" s="32"/>
      <c r="LDV96" s="32"/>
      <c r="LDW96" s="32"/>
      <c r="LDX96" s="32"/>
      <c r="LDY96" s="32"/>
      <c r="LDZ96" s="32"/>
      <c r="LEA96" s="32"/>
      <c r="LEB96" s="32"/>
      <c r="LEC96" s="32"/>
      <c r="LED96" s="32"/>
      <c r="LEE96" s="32"/>
      <c r="LEF96" s="32"/>
      <c r="LEG96" s="32"/>
      <c r="LEH96" s="32"/>
      <c r="LEI96" s="32"/>
      <c r="LEJ96" s="32"/>
      <c r="LEK96" s="32"/>
      <c r="LEL96" s="32"/>
      <c r="LEM96" s="32"/>
      <c r="LEN96" s="32"/>
      <c r="LEO96" s="32"/>
      <c r="LEP96" s="32"/>
      <c r="LEQ96" s="32"/>
      <c r="LER96" s="32"/>
      <c r="LES96" s="32"/>
      <c r="LET96" s="32"/>
      <c r="LEU96" s="32"/>
      <c r="LEV96" s="32"/>
      <c r="LEW96" s="32"/>
      <c r="LEX96" s="32"/>
      <c r="LEY96" s="32"/>
      <c r="LEZ96" s="32"/>
      <c r="LFA96" s="32"/>
      <c r="LFB96" s="32"/>
      <c r="LFC96" s="32"/>
      <c r="LFD96" s="32"/>
      <c r="LFE96" s="32"/>
      <c r="LFF96" s="32"/>
      <c r="LFG96" s="32"/>
      <c r="LFH96" s="32"/>
      <c r="LFI96" s="32"/>
      <c r="LFJ96" s="32"/>
      <c r="LFK96" s="32"/>
      <c r="LFL96" s="32"/>
      <c r="LFM96" s="32"/>
      <c r="LFN96" s="32"/>
      <c r="LFO96" s="32"/>
      <c r="LFP96" s="32"/>
      <c r="LFQ96" s="32"/>
      <c r="LFR96" s="32"/>
      <c r="LFS96" s="32"/>
      <c r="LFT96" s="32"/>
      <c r="LFU96" s="32"/>
      <c r="LFV96" s="32"/>
      <c r="LFW96" s="32"/>
      <c r="LFX96" s="32"/>
      <c r="LFY96" s="32"/>
      <c r="LFZ96" s="32"/>
      <c r="LGA96" s="32"/>
      <c r="LGB96" s="32"/>
      <c r="LGC96" s="32"/>
      <c r="LGD96" s="32"/>
      <c r="LGE96" s="32"/>
      <c r="LGF96" s="32"/>
      <c r="LGG96" s="32"/>
      <c r="LGH96" s="32"/>
      <c r="LGI96" s="32"/>
      <c r="LGJ96" s="32"/>
      <c r="LGK96" s="32"/>
      <c r="LGL96" s="32"/>
      <c r="LGM96" s="32"/>
      <c r="LGN96" s="32"/>
      <c r="LGO96" s="32"/>
      <c r="LGP96" s="32"/>
      <c r="LGQ96" s="32"/>
      <c r="LGR96" s="32"/>
      <c r="LGS96" s="32"/>
      <c r="LGT96" s="32"/>
      <c r="LGU96" s="32"/>
      <c r="LGV96" s="32"/>
      <c r="LGW96" s="32"/>
      <c r="LGX96" s="32"/>
      <c r="LGY96" s="32"/>
      <c r="LGZ96" s="32"/>
      <c r="LHA96" s="32"/>
      <c r="LHB96" s="32"/>
      <c r="LHC96" s="32"/>
      <c r="LHD96" s="32"/>
      <c r="LHE96" s="32"/>
      <c r="LHF96" s="32"/>
      <c r="LHG96" s="32"/>
      <c r="LHH96" s="32"/>
      <c r="LHI96" s="32"/>
      <c r="LHJ96" s="32"/>
      <c r="LHK96" s="32"/>
      <c r="LHL96" s="32"/>
      <c r="LHM96" s="32"/>
      <c r="LHN96" s="32"/>
      <c r="LHO96" s="32"/>
      <c r="LHP96" s="32"/>
      <c r="LHQ96" s="32"/>
      <c r="LHR96" s="32"/>
      <c r="LHS96" s="32"/>
      <c r="LHT96" s="32"/>
      <c r="LHU96" s="32"/>
      <c r="LHV96" s="32"/>
      <c r="LHW96" s="32"/>
      <c r="LHX96" s="32"/>
      <c r="LHY96" s="32"/>
      <c r="LHZ96" s="32"/>
      <c r="LIA96" s="32"/>
      <c r="LIB96" s="32"/>
      <c r="LIC96" s="32"/>
      <c r="LID96" s="32"/>
      <c r="LIE96" s="32"/>
      <c r="LIF96" s="32"/>
      <c r="LIG96" s="32"/>
      <c r="LIH96" s="32"/>
      <c r="LII96" s="32"/>
      <c r="LIJ96" s="32"/>
      <c r="LIK96" s="32"/>
      <c r="LIL96" s="32"/>
      <c r="LIM96" s="32"/>
      <c r="LIN96" s="32"/>
      <c r="LIO96" s="32"/>
      <c r="LIP96" s="32"/>
      <c r="LIQ96" s="32"/>
      <c r="LIR96" s="32"/>
      <c r="LIS96" s="32"/>
      <c r="LIT96" s="32"/>
      <c r="LIU96" s="32"/>
      <c r="LIV96" s="32"/>
      <c r="LIW96" s="32"/>
      <c r="LIX96" s="32"/>
      <c r="LIY96" s="32"/>
      <c r="LIZ96" s="32"/>
      <c r="LJA96" s="32"/>
      <c r="LJB96" s="32"/>
      <c r="LJC96" s="32"/>
      <c r="LJD96" s="32"/>
      <c r="LJE96" s="32"/>
      <c r="LJF96" s="32"/>
      <c r="LJG96" s="32"/>
      <c r="LJH96" s="32"/>
      <c r="LJI96" s="32"/>
      <c r="LJJ96" s="32"/>
      <c r="LJK96" s="32"/>
      <c r="LJL96" s="32"/>
      <c r="LJM96" s="32"/>
      <c r="LJN96" s="32"/>
      <c r="LJO96" s="32"/>
      <c r="LJP96" s="32"/>
      <c r="LJQ96" s="32"/>
      <c r="LJR96" s="32"/>
      <c r="LJS96" s="32"/>
      <c r="LJT96" s="32"/>
      <c r="LJU96" s="32"/>
      <c r="LJV96" s="32"/>
      <c r="LJW96" s="32"/>
      <c r="LJX96" s="32"/>
      <c r="LJY96" s="32"/>
      <c r="LJZ96" s="32"/>
      <c r="LKA96" s="32"/>
      <c r="LKB96" s="32"/>
      <c r="LKC96" s="32"/>
      <c r="LKD96" s="32"/>
      <c r="LKE96" s="32"/>
      <c r="LKF96" s="32"/>
      <c r="LKG96" s="32"/>
      <c r="LKH96" s="32"/>
      <c r="LKI96" s="32"/>
      <c r="LKJ96" s="32"/>
      <c r="LKK96" s="32"/>
      <c r="LKL96" s="32"/>
      <c r="LKM96" s="32"/>
      <c r="LKN96" s="32"/>
      <c r="LKO96" s="32"/>
      <c r="LKP96" s="32"/>
      <c r="LKQ96" s="32"/>
      <c r="LKR96" s="32"/>
      <c r="LKS96" s="32"/>
      <c r="LKT96" s="32"/>
      <c r="LKU96" s="32"/>
      <c r="LKV96" s="32"/>
      <c r="LKW96" s="32"/>
      <c r="LKX96" s="32"/>
      <c r="LKY96" s="32"/>
      <c r="LKZ96" s="32"/>
      <c r="LLA96" s="32"/>
      <c r="LLB96" s="32"/>
      <c r="LLC96" s="32"/>
      <c r="LLD96" s="32"/>
      <c r="LLE96" s="32"/>
      <c r="LLF96" s="32"/>
      <c r="LLG96" s="32"/>
      <c r="LLH96" s="32"/>
      <c r="LLI96" s="32"/>
      <c r="LLJ96" s="32"/>
      <c r="LLK96" s="32"/>
      <c r="LLL96" s="32"/>
      <c r="LLM96" s="32"/>
      <c r="LLN96" s="32"/>
      <c r="LLO96" s="32"/>
      <c r="LLP96" s="32"/>
      <c r="LLQ96" s="32"/>
      <c r="LLR96" s="32"/>
      <c r="LLS96" s="32"/>
      <c r="LLT96" s="32"/>
      <c r="LLU96" s="32"/>
      <c r="LLV96" s="32"/>
      <c r="LLW96" s="32"/>
      <c r="LLX96" s="32"/>
      <c r="LLY96" s="32"/>
      <c r="LLZ96" s="32"/>
      <c r="LMA96" s="32"/>
      <c r="LMB96" s="32"/>
      <c r="LMC96" s="32"/>
      <c r="LMD96" s="32"/>
      <c r="LME96" s="32"/>
      <c r="LMF96" s="32"/>
      <c r="LMG96" s="32"/>
      <c r="LMH96" s="32"/>
      <c r="LMI96" s="32"/>
      <c r="LMJ96" s="32"/>
      <c r="LMK96" s="32"/>
      <c r="LML96" s="32"/>
      <c r="LMM96" s="32"/>
      <c r="LMN96" s="32"/>
      <c r="LMO96" s="32"/>
      <c r="LMP96" s="32"/>
      <c r="LMQ96" s="32"/>
      <c r="LMR96" s="32"/>
      <c r="LMS96" s="32"/>
      <c r="LMT96" s="32"/>
      <c r="LMU96" s="32"/>
      <c r="LMV96" s="32"/>
      <c r="LMW96" s="32"/>
      <c r="LMX96" s="32"/>
      <c r="LMY96" s="32"/>
      <c r="LMZ96" s="32"/>
      <c r="LNA96" s="32"/>
      <c r="LNB96" s="32"/>
      <c r="LNC96" s="32"/>
      <c r="LND96" s="32"/>
      <c r="LNE96" s="32"/>
      <c r="LNF96" s="32"/>
      <c r="LNG96" s="32"/>
      <c r="LNH96" s="32"/>
      <c r="LNI96" s="32"/>
      <c r="LNJ96" s="32"/>
      <c r="LNK96" s="32"/>
      <c r="LNL96" s="32"/>
      <c r="LNM96" s="32"/>
      <c r="LNN96" s="32"/>
      <c r="LNO96" s="32"/>
      <c r="LNP96" s="32"/>
      <c r="LNQ96" s="32"/>
      <c r="LNR96" s="32"/>
      <c r="LNS96" s="32"/>
      <c r="LNT96" s="32"/>
      <c r="LNU96" s="32"/>
      <c r="LNV96" s="32"/>
      <c r="LNW96" s="32"/>
      <c r="LNX96" s="32"/>
      <c r="LNY96" s="32"/>
      <c r="LNZ96" s="32"/>
      <c r="LOA96" s="32"/>
      <c r="LOB96" s="32"/>
      <c r="LOC96" s="32"/>
      <c r="LOD96" s="32"/>
      <c r="LOE96" s="32"/>
      <c r="LOF96" s="32"/>
      <c r="LOG96" s="32"/>
      <c r="LOH96" s="32"/>
      <c r="LOI96" s="32"/>
      <c r="LOJ96" s="32"/>
      <c r="LOK96" s="32"/>
      <c r="LOL96" s="32"/>
      <c r="LOM96" s="32"/>
      <c r="LON96" s="32"/>
      <c r="LOO96" s="32"/>
      <c r="LOP96" s="32"/>
      <c r="LOQ96" s="32"/>
      <c r="LOR96" s="32"/>
      <c r="LOS96" s="32"/>
      <c r="LOT96" s="32"/>
      <c r="LOU96" s="32"/>
      <c r="LOV96" s="32"/>
      <c r="LOW96" s="32"/>
      <c r="LOX96" s="32"/>
      <c r="LOY96" s="32"/>
      <c r="LOZ96" s="32"/>
      <c r="LPA96" s="32"/>
      <c r="LPB96" s="32"/>
      <c r="LPC96" s="32"/>
      <c r="LPD96" s="32"/>
      <c r="LPE96" s="32"/>
      <c r="LPF96" s="32"/>
      <c r="LPG96" s="32"/>
      <c r="LPH96" s="32"/>
      <c r="LPI96" s="32"/>
      <c r="LPJ96" s="32"/>
      <c r="LPK96" s="32"/>
      <c r="LPL96" s="32"/>
      <c r="LPM96" s="32"/>
      <c r="LPN96" s="32"/>
      <c r="LPO96" s="32"/>
      <c r="LPP96" s="32"/>
      <c r="LPQ96" s="32"/>
      <c r="LPR96" s="32"/>
      <c r="LPS96" s="32"/>
      <c r="LPT96" s="32"/>
      <c r="LPU96" s="32"/>
      <c r="LPV96" s="32"/>
      <c r="LPW96" s="32"/>
      <c r="LPX96" s="32"/>
      <c r="LPY96" s="32"/>
      <c r="LPZ96" s="32"/>
      <c r="LQA96" s="32"/>
      <c r="LQB96" s="32"/>
      <c r="LQC96" s="32"/>
      <c r="LQD96" s="32"/>
      <c r="LQE96" s="32"/>
      <c r="LQF96" s="32"/>
      <c r="LQG96" s="32"/>
      <c r="LQH96" s="32"/>
      <c r="LQI96" s="32"/>
      <c r="LQJ96" s="32"/>
      <c r="LQK96" s="32"/>
      <c r="LQL96" s="32"/>
      <c r="LQM96" s="32"/>
      <c r="LQN96" s="32"/>
      <c r="LQO96" s="32"/>
      <c r="LQP96" s="32"/>
      <c r="LQQ96" s="32"/>
      <c r="LQR96" s="32"/>
      <c r="LQS96" s="32"/>
      <c r="LQT96" s="32"/>
      <c r="LQU96" s="32"/>
      <c r="LQV96" s="32"/>
      <c r="LQW96" s="32"/>
      <c r="LQX96" s="32"/>
      <c r="LQY96" s="32"/>
      <c r="LQZ96" s="32"/>
      <c r="LRA96" s="32"/>
      <c r="LRB96" s="32"/>
      <c r="LRC96" s="32"/>
      <c r="LRD96" s="32"/>
      <c r="LRE96" s="32"/>
      <c r="LRF96" s="32"/>
      <c r="LRG96" s="32"/>
      <c r="LRH96" s="32"/>
      <c r="LRI96" s="32"/>
      <c r="LRJ96" s="32"/>
      <c r="LRK96" s="32"/>
      <c r="LRL96" s="32"/>
      <c r="LRM96" s="32"/>
      <c r="LRN96" s="32"/>
      <c r="LRO96" s="32"/>
      <c r="LRP96" s="32"/>
      <c r="LRQ96" s="32"/>
      <c r="LRR96" s="32"/>
      <c r="LRS96" s="32"/>
      <c r="LRT96" s="32"/>
      <c r="LRU96" s="32"/>
      <c r="LRV96" s="32"/>
      <c r="LRW96" s="32"/>
      <c r="LRX96" s="32"/>
      <c r="LRY96" s="32"/>
      <c r="LRZ96" s="32"/>
      <c r="LSA96" s="32"/>
      <c r="LSB96" s="32"/>
      <c r="LSC96" s="32"/>
      <c r="LSD96" s="32"/>
      <c r="LSE96" s="32"/>
      <c r="LSF96" s="32"/>
      <c r="LSG96" s="32"/>
      <c r="LSH96" s="32"/>
      <c r="LSI96" s="32"/>
      <c r="LSJ96" s="32"/>
      <c r="LSK96" s="32"/>
      <c r="LSL96" s="32"/>
      <c r="LSM96" s="32"/>
      <c r="LSN96" s="32"/>
      <c r="LSO96" s="32"/>
      <c r="LSP96" s="32"/>
      <c r="LSQ96" s="32"/>
      <c r="LSR96" s="32"/>
      <c r="LSS96" s="32"/>
      <c r="LST96" s="32"/>
      <c r="LSU96" s="32"/>
      <c r="LSV96" s="32"/>
      <c r="LSW96" s="32"/>
      <c r="LSX96" s="32"/>
      <c r="LSY96" s="32"/>
      <c r="LSZ96" s="32"/>
      <c r="LTA96" s="32"/>
      <c r="LTB96" s="32"/>
      <c r="LTC96" s="32"/>
      <c r="LTD96" s="32"/>
      <c r="LTE96" s="32"/>
      <c r="LTF96" s="32"/>
      <c r="LTG96" s="32"/>
      <c r="LTH96" s="32"/>
      <c r="LTI96" s="32"/>
      <c r="LTJ96" s="32"/>
      <c r="LTK96" s="32"/>
      <c r="LTL96" s="32"/>
      <c r="LTM96" s="32"/>
      <c r="LTN96" s="32"/>
      <c r="LTO96" s="32"/>
      <c r="LTP96" s="32"/>
      <c r="LTQ96" s="32"/>
      <c r="LTR96" s="32"/>
      <c r="LTS96" s="32"/>
      <c r="LTT96" s="32"/>
      <c r="LTU96" s="32"/>
      <c r="LTV96" s="32"/>
      <c r="LTW96" s="32"/>
      <c r="LTX96" s="32"/>
      <c r="LTY96" s="32"/>
      <c r="LTZ96" s="32"/>
      <c r="LUA96" s="32"/>
      <c r="LUB96" s="32"/>
      <c r="LUC96" s="32"/>
      <c r="LUD96" s="32"/>
      <c r="LUE96" s="32"/>
      <c r="LUF96" s="32"/>
      <c r="LUG96" s="32"/>
      <c r="LUH96" s="32"/>
      <c r="LUI96" s="32"/>
      <c r="LUJ96" s="32"/>
      <c r="LUK96" s="32"/>
      <c r="LUL96" s="32"/>
      <c r="LUM96" s="32"/>
      <c r="LUN96" s="32"/>
      <c r="LUO96" s="32"/>
      <c r="LUP96" s="32"/>
      <c r="LUQ96" s="32"/>
      <c r="LUR96" s="32"/>
      <c r="LUS96" s="32"/>
      <c r="LUT96" s="32"/>
      <c r="LUU96" s="32"/>
      <c r="LUV96" s="32"/>
      <c r="LUW96" s="32"/>
      <c r="LUX96" s="32"/>
      <c r="LUY96" s="32"/>
      <c r="LUZ96" s="32"/>
      <c r="LVA96" s="32"/>
      <c r="LVB96" s="32"/>
      <c r="LVC96" s="32"/>
      <c r="LVD96" s="32"/>
      <c r="LVE96" s="32"/>
      <c r="LVF96" s="32"/>
      <c r="LVG96" s="32"/>
      <c r="LVH96" s="32"/>
      <c r="LVI96" s="32"/>
      <c r="LVJ96" s="32"/>
      <c r="LVK96" s="32"/>
      <c r="LVL96" s="32"/>
      <c r="LVM96" s="32"/>
      <c r="LVN96" s="32"/>
      <c r="LVO96" s="32"/>
      <c r="LVP96" s="32"/>
      <c r="LVQ96" s="32"/>
      <c r="LVR96" s="32"/>
      <c r="LVS96" s="32"/>
      <c r="LVT96" s="32"/>
      <c r="LVU96" s="32"/>
      <c r="LVV96" s="32"/>
      <c r="LVW96" s="32"/>
      <c r="LVX96" s="32"/>
      <c r="LVY96" s="32"/>
      <c r="LVZ96" s="32"/>
      <c r="LWA96" s="32"/>
      <c r="LWB96" s="32"/>
      <c r="LWC96" s="32"/>
      <c r="LWD96" s="32"/>
      <c r="LWE96" s="32"/>
      <c r="LWF96" s="32"/>
      <c r="LWG96" s="32"/>
      <c r="LWH96" s="32"/>
      <c r="LWI96" s="32"/>
      <c r="LWJ96" s="32"/>
      <c r="LWK96" s="32"/>
      <c r="LWL96" s="32"/>
      <c r="LWM96" s="32"/>
      <c r="LWN96" s="32"/>
      <c r="LWO96" s="32"/>
      <c r="LWP96" s="32"/>
      <c r="LWQ96" s="32"/>
      <c r="LWR96" s="32"/>
      <c r="LWS96" s="32"/>
      <c r="LWT96" s="32"/>
      <c r="LWU96" s="32"/>
      <c r="LWV96" s="32"/>
      <c r="LWW96" s="32"/>
      <c r="LWX96" s="32"/>
      <c r="LWY96" s="32"/>
      <c r="LWZ96" s="32"/>
      <c r="LXA96" s="32"/>
      <c r="LXB96" s="32"/>
      <c r="LXC96" s="32"/>
      <c r="LXD96" s="32"/>
      <c r="LXE96" s="32"/>
      <c r="LXF96" s="32"/>
      <c r="LXG96" s="32"/>
      <c r="LXH96" s="32"/>
      <c r="LXI96" s="32"/>
      <c r="LXJ96" s="32"/>
      <c r="LXK96" s="32"/>
      <c r="LXL96" s="32"/>
      <c r="LXM96" s="32"/>
      <c r="LXN96" s="32"/>
      <c r="LXO96" s="32"/>
      <c r="LXP96" s="32"/>
      <c r="LXQ96" s="32"/>
      <c r="LXR96" s="32"/>
      <c r="LXS96" s="32"/>
      <c r="LXT96" s="32"/>
      <c r="LXU96" s="32"/>
      <c r="LXV96" s="32"/>
      <c r="LXW96" s="32"/>
      <c r="LXX96" s="32"/>
      <c r="LXY96" s="32"/>
      <c r="LXZ96" s="32"/>
      <c r="LYA96" s="32"/>
      <c r="LYB96" s="32"/>
      <c r="LYC96" s="32"/>
      <c r="LYD96" s="32"/>
      <c r="LYE96" s="32"/>
      <c r="LYF96" s="32"/>
      <c r="LYG96" s="32"/>
      <c r="LYH96" s="32"/>
      <c r="LYI96" s="32"/>
      <c r="LYJ96" s="32"/>
      <c r="LYK96" s="32"/>
      <c r="LYL96" s="32"/>
      <c r="LYM96" s="32"/>
      <c r="LYN96" s="32"/>
      <c r="LYO96" s="32"/>
      <c r="LYP96" s="32"/>
      <c r="LYQ96" s="32"/>
      <c r="LYR96" s="32"/>
      <c r="LYS96" s="32"/>
      <c r="LYT96" s="32"/>
      <c r="LYU96" s="32"/>
      <c r="LYV96" s="32"/>
      <c r="LYW96" s="32"/>
      <c r="LYX96" s="32"/>
      <c r="LYY96" s="32"/>
      <c r="LYZ96" s="32"/>
      <c r="LZA96" s="32"/>
      <c r="LZB96" s="32"/>
      <c r="LZC96" s="32"/>
      <c r="LZD96" s="32"/>
      <c r="LZE96" s="32"/>
      <c r="LZF96" s="32"/>
      <c r="LZG96" s="32"/>
      <c r="LZH96" s="32"/>
      <c r="LZI96" s="32"/>
      <c r="LZJ96" s="32"/>
      <c r="LZK96" s="32"/>
      <c r="LZL96" s="32"/>
      <c r="LZM96" s="32"/>
      <c r="LZN96" s="32"/>
      <c r="LZO96" s="32"/>
      <c r="LZP96" s="32"/>
      <c r="LZQ96" s="32"/>
      <c r="LZR96" s="32"/>
      <c r="LZS96" s="32"/>
      <c r="LZT96" s="32"/>
      <c r="LZU96" s="32"/>
      <c r="LZV96" s="32"/>
      <c r="LZW96" s="32"/>
      <c r="LZX96" s="32"/>
      <c r="LZY96" s="32"/>
      <c r="LZZ96" s="32"/>
      <c r="MAA96" s="32"/>
      <c r="MAB96" s="32"/>
      <c r="MAC96" s="32"/>
      <c r="MAD96" s="32"/>
      <c r="MAE96" s="32"/>
      <c r="MAF96" s="32"/>
      <c r="MAG96" s="32"/>
      <c r="MAH96" s="32"/>
      <c r="MAI96" s="32"/>
      <c r="MAJ96" s="32"/>
      <c r="MAK96" s="32"/>
      <c r="MAL96" s="32"/>
      <c r="MAM96" s="32"/>
      <c r="MAN96" s="32"/>
      <c r="MAO96" s="32"/>
      <c r="MAP96" s="32"/>
      <c r="MAQ96" s="32"/>
      <c r="MAR96" s="32"/>
      <c r="MAS96" s="32"/>
      <c r="MAT96" s="32"/>
      <c r="MAU96" s="32"/>
      <c r="MAV96" s="32"/>
      <c r="MAW96" s="32"/>
      <c r="MAX96" s="32"/>
      <c r="MAY96" s="32"/>
      <c r="MAZ96" s="32"/>
      <c r="MBA96" s="32"/>
      <c r="MBB96" s="32"/>
      <c r="MBC96" s="32"/>
      <c r="MBD96" s="32"/>
      <c r="MBE96" s="32"/>
      <c r="MBF96" s="32"/>
      <c r="MBG96" s="32"/>
      <c r="MBH96" s="32"/>
      <c r="MBI96" s="32"/>
      <c r="MBJ96" s="32"/>
      <c r="MBK96" s="32"/>
      <c r="MBL96" s="32"/>
      <c r="MBM96" s="32"/>
      <c r="MBN96" s="32"/>
      <c r="MBO96" s="32"/>
      <c r="MBP96" s="32"/>
      <c r="MBQ96" s="32"/>
      <c r="MBR96" s="32"/>
      <c r="MBS96" s="32"/>
      <c r="MBT96" s="32"/>
      <c r="MBU96" s="32"/>
      <c r="MBV96" s="32"/>
      <c r="MBW96" s="32"/>
      <c r="MBX96" s="32"/>
      <c r="MBY96" s="32"/>
      <c r="MBZ96" s="32"/>
      <c r="MCA96" s="32"/>
      <c r="MCB96" s="32"/>
      <c r="MCC96" s="32"/>
      <c r="MCD96" s="32"/>
      <c r="MCE96" s="32"/>
      <c r="MCF96" s="32"/>
      <c r="MCG96" s="32"/>
      <c r="MCH96" s="32"/>
      <c r="MCI96" s="32"/>
      <c r="MCJ96" s="32"/>
      <c r="MCK96" s="32"/>
      <c r="MCL96" s="32"/>
      <c r="MCM96" s="32"/>
      <c r="MCN96" s="32"/>
      <c r="MCO96" s="32"/>
      <c r="MCP96" s="32"/>
      <c r="MCQ96" s="32"/>
      <c r="MCR96" s="32"/>
      <c r="MCS96" s="32"/>
      <c r="MCT96" s="32"/>
      <c r="MCU96" s="32"/>
      <c r="MCV96" s="32"/>
      <c r="MCW96" s="32"/>
      <c r="MCX96" s="32"/>
      <c r="MCY96" s="32"/>
      <c r="MCZ96" s="32"/>
      <c r="MDA96" s="32"/>
      <c r="MDB96" s="32"/>
      <c r="MDC96" s="32"/>
      <c r="MDD96" s="32"/>
      <c r="MDE96" s="32"/>
      <c r="MDF96" s="32"/>
      <c r="MDG96" s="32"/>
      <c r="MDH96" s="32"/>
      <c r="MDI96" s="32"/>
      <c r="MDJ96" s="32"/>
      <c r="MDK96" s="32"/>
      <c r="MDL96" s="32"/>
      <c r="MDM96" s="32"/>
      <c r="MDN96" s="32"/>
      <c r="MDO96" s="32"/>
      <c r="MDP96" s="32"/>
      <c r="MDQ96" s="32"/>
      <c r="MDR96" s="32"/>
      <c r="MDS96" s="32"/>
      <c r="MDT96" s="32"/>
      <c r="MDU96" s="32"/>
      <c r="MDV96" s="32"/>
      <c r="MDW96" s="32"/>
      <c r="MDX96" s="32"/>
      <c r="MDY96" s="32"/>
      <c r="MDZ96" s="32"/>
      <c r="MEA96" s="32"/>
      <c r="MEB96" s="32"/>
      <c r="MEC96" s="32"/>
      <c r="MED96" s="32"/>
      <c r="MEE96" s="32"/>
      <c r="MEF96" s="32"/>
      <c r="MEG96" s="32"/>
      <c r="MEH96" s="32"/>
      <c r="MEI96" s="32"/>
      <c r="MEJ96" s="32"/>
      <c r="MEK96" s="32"/>
      <c r="MEL96" s="32"/>
      <c r="MEM96" s="32"/>
      <c r="MEN96" s="32"/>
      <c r="MEO96" s="32"/>
      <c r="MEP96" s="32"/>
      <c r="MEQ96" s="32"/>
      <c r="MER96" s="32"/>
      <c r="MES96" s="32"/>
      <c r="MET96" s="32"/>
      <c r="MEU96" s="32"/>
      <c r="MEV96" s="32"/>
      <c r="MEW96" s="32"/>
      <c r="MEX96" s="32"/>
      <c r="MEY96" s="32"/>
      <c r="MEZ96" s="32"/>
      <c r="MFA96" s="32"/>
      <c r="MFB96" s="32"/>
      <c r="MFC96" s="32"/>
      <c r="MFD96" s="32"/>
      <c r="MFE96" s="32"/>
      <c r="MFF96" s="32"/>
      <c r="MFG96" s="32"/>
      <c r="MFH96" s="32"/>
      <c r="MFI96" s="32"/>
      <c r="MFJ96" s="32"/>
      <c r="MFK96" s="32"/>
      <c r="MFL96" s="32"/>
      <c r="MFM96" s="32"/>
      <c r="MFN96" s="32"/>
      <c r="MFO96" s="32"/>
      <c r="MFP96" s="32"/>
      <c r="MFQ96" s="32"/>
      <c r="MFR96" s="32"/>
      <c r="MFS96" s="32"/>
      <c r="MFT96" s="32"/>
      <c r="MFU96" s="32"/>
      <c r="MFV96" s="32"/>
      <c r="MFW96" s="32"/>
      <c r="MFX96" s="32"/>
      <c r="MFY96" s="32"/>
      <c r="MFZ96" s="32"/>
      <c r="MGA96" s="32"/>
      <c r="MGB96" s="32"/>
      <c r="MGC96" s="32"/>
      <c r="MGD96" s="32"/>
      <c r="MGE96" s="32"/>
      <c r="MGF96" s="32"/>
      <c r="MGG96" s="32"/>
      <c r="MGH96" s="32"/>
      <c r="MGI96" s="32"/>
      <c r="MGJ96" s="32"/>
      <c r="MGK96" s="32"/>
      <c r="MGL96" s="32"/>
      <c r="MGM96" s="32"/>
      <c r="MGN96" s="32"/>
      <c r="MGO96" s="32"/>
      <c r="MGP96" s="32"/>
      <c r="MGQ96" s="32"/>
      <c r="MGR96" s="32"/>
      <c r="MGS96" s="32"/>
      <c r="MGT96" s="32"/>
      <c r="MGU96" s="32"/>
      <c r="MGV96" s="32"/>
      <c r="MGW96" s="32"/>
      <c r="MGX96" s="32"/>
      <c r="MGY96" s="32"/>
      <c r="MGZ96" s="32"/>
      <c r="MHA96" s="32"/>
      <c r="MHB96" s="32"/>
      <c r="MHC96" s="32"/>
      <c r="MHD96" s="32"/>
      <c r="MHE96" s="32"/>
      <c r="MHF96" s="32"/>
      <c r="MHG96" s="32"/>
      <c r="MHH96" s="32"/>
      <c r="MHI96" s="32"/>
      <c r="MHJ96" s="32"/>
      <c r="MHK96" s="32"/>
      <c r="MHL96" s="32"/>
      <c r="MHM96" s="32"/>
      <c r="MHN96" s="32"/>
      <c r="MHO96" s="32"/>
      <c r="MHP96" s="32"/>
      <c r="MHQ96" s="32"/>
      <c r="MHR96" s="32"/>
      <c r="MHS96" s="32"/>
      <c r="MHT96" s="32"/>
      <c r="MHU96" s="32"/>
      <c r="MHV96" s="32"/>
      <c r="MHW96" s="32"/>
      <c r="MHX96" s="32"/>
      <c r="MHY96" s="32"/>
      <c r="MHZ96" s="32"/>
      <c r="MIA96" s="32"/>
      <c r="MIB96" s="32"/>
      <c r="MIC96" s="32"/>
      <c r="MID96" s="32"/>
      <c r="MIE96" s="32"/>
      <c r="MIF96" s="32"/>
      <c r="MIG96" s="32"/>
      <c r="MIH96" s="32"/>
      <c r="MII96" s="32"/>
      <c r="MIJ96" s="32"/>
      <c r="MIK96" s="32"/>
      <c r="MIL96" s="32"/>
      <c r="MIM96" s="32"/>
      <c r="MIN96" s="32"/>
      <c r="MIO96" s="32"/>
      <c r="MIP96" s="32"/>
      <c r="MIQ96" s="32"/>
      <c r="MIR96" s="32"/>
      <c r="MIS96" s="32"/>
      <c r="MIT96" s="32"/>
      <c r="MIU96" s="32"/>
      <c r="MIV96" s="32"/>
      <c r="MIW96" s="32"/>
      <c r="MIX96" s="32"/>
      <c r="MIY96" s="32"/>
      <c r="MIZ96" s="32"/>
      <c r="MJA96" s="32"/>
      <c r="MJB96" s="32"/>
      <c r="MJC96" s="32"/>
      <c r="MJD96" s="32"/>
      <c r="MJE96" s="32"/>
      <c r="MJF96" s="32"/>
      <c r="MJG96" s="32"/>
      <c r="MJH96" s="32"/>
      <c r="MJI96" s="32"/>
      <c r="MJJ96" s="32"/>
      <c r="MJK96" s="32"/>
      <c r="MJL96" s="32"/>
      <c r="MJM96" s="32"/>
      <c r="MJN96" s="32"/>
      <c r="MJO96" s="32"/>
      <c r="MJP96" s="32"/>
      <c r="MJQ96" s="32"/>
      <c r="MJR96" s="32"/>
      <c r="MJS96" s="32"/>
      <c r="MJT96" s="32"/>
      <c r="MJU96" s="32"/>
      <c r="MJV96" s="32"/>
      <c r="MJW96" s="32"/>
      <c r="MJX96" s="32"/>
      <c r="MJY96" s="32"/>
      <c r="MJZ96" s="32"/>
      <c r="MKA96" s="32"/>
      <c r="MKB96" s="32"/>
      <c r="MKC96" s="32"/>
      <c r="MKD96" s="32"/>
      <c r="MKE96" s="32"/>
      <c r="MKF96" s="32"/>
      <c r="MKG96" s="32"/>
      <c r="MKH96" s="32"/>
      <c r="MKI96" s="32"/>
      <c r="MKJ96" s="32"/>
      <c r="MKK96" s="32"/>
      <c r="MKL96" s="32"/>
      <c r="MKM96" s="32"/>
      <c r="MKN96" s="32"/>
      <c r="MKO96" s="32"/>
      <c r="MKP96" s="32"/>
      <c r="MKQ96" s="32"/>
      <c r="MKR96" s="32"/>
      <c r="MKS96" s="32"/>
      <c r="MKT96" s="32"/>
      <c r="MKU96" s="32"/>
      <c r="MKV96" s="32"/>
      <c r="MKW96" s="32"/>
      <c r="MKX96" s="32"/>
      <c r="MKY96" s="32"/>
      <c r="MKZ96" s="32"/>
      <c r="MLA96" s="32"/>
      <c r="MLB96" s="32"/>
      <c r="MLC96" s="32"/>
      <c r="MLD96" s="32"/>
      <c r="MLE96" s="32"/>
      <c r="MLF96" s="32"/>
      <c r="MLG96" s="32"/>
      <c r="MLH96" s="32"/>
      <c r="MLI96" s="32"/>
      <c r="MLJ96" s="32"/>
      <c r="MLK96" s="32"/>
      <c r="MLL96" s="32"/>
      <c r="MLM96" s="32"/>
      <c r="MLN96" s="32"/>
      <c r="MLO96" s="32"/>
      <c r="MLP96" s="32"/>
      <c r="MLQ96" s="32"/>
      <c r="MLR96" s="32"/>
      <c r="MLS96" s="32"/>
      <c r="MLT96" s="32"/>
      <c r="MLU96" s="32"/>
      <c r="MLV96" s="32"/>
      <c r="MLW96" s="32"/>
      <c r="MLX96" s="32"/>
      <c r="MLY96" s="32"/>
      <c r="MLZ96" s="32"/>
      <c r="MMA96" s="32"/>
      <c r="MMB96" s="32"/>
      <c r="MMC96" s="32"/>
      <c r="MMD96" s="32"/>
      <c r="MME96" s="32"/>
      <c r="MMF96" s="32"/>
      <c r="MMG96" s="32"/>
      <c r="MMH96" s="32"/>
      <c r="MMI96" s="32"/>
      <c r="MMJ96" s="32"/>
      <c r="MMK96" s="32"/>
      <c r="MML96" s="32"/>
      <c r="MMM96" s="32"/>
      <c r="MMN96" s="32"/>
      <c r="MMO96" s="32"/>
      <c r="MMP96" s="32"/>
      <c r="MMQ96" s="32"/>
      <c r="MMR96" s="32"/>
      <c r="MMS96" s="32"/>
      <c r="MMT96" s="32"/>
      <c r="MMU96" s="32"/>
      <c r="MMV96" s="32"/>
      <c r="MMW96" s="32"/>
      <c r="MMX96" s="32"/>
      <c r="MMY96" s="32"/>
      <c r="MMZ96" s="32"/>
      <c r="MNA96" s="32"/>
      <c r="MNB96" s="32"/>
      <c r="MNC96" s="32"/>
      <c r="MND96" s="32"/>
      <c r="MNE96" s="32"/>
      <c r="MNF96" s="32"/>
      <c r="MNG96" s="32"/>
      <c r="MNH96" s="32"/>
      <c r="MNI96" s="32"/>
      <c r="MNJ96" s="32"/>
      <c r="MNK96" s="32"/>
      <c r="MNL96" s="32"/>
      <c r="MNM96" s="32"/>
      <c r="MNN96" s="32"/>
      <c r="MNO96" s="32"/>
      <c r="MNP96" s="32"/>
      <c r="MNQ96" s="32"/>
      <c r="MNR96" s="32"/>
      <c r="MNS96" s="32"/>
      <c r="MNT96" s="32"/>
      <c r="MNU96" s="32"/>
      <c r="MNV96" s="32"/>
      <c r="MNW96" s="32"/>
      <c r="MNX96" s="32"/>
      <c r="MNY96" s="32"/>
      <c r="MNZ96" s="32"/>
      <c r="MOA96" s="32"/>
      <c r="MOB96" s="32"/>
      <c r="MOC96" s="32"/>
      <c r="MOD96" s="32"/>
      <c r="MOE96" s="32"/>
      <c r="MOF96" s="32"/>
      <c r="MOG96" s="32"/>
      <c r="MOH96" s="32"/>
      <c r="MOI96" s="32"/>
      <c r="MOJ96" s="32"/>
      <c r="MOK96" s="32"/>
      <c r="MOL96" s="32"/>
      <c r="MOM96" s="32"/>
      <c r="MON96" s="32"/>
      <c r="MOO96" s="32"/>
      <c r="MOP96" s="32"/>
      <c r="MOQ96" s="32"/>
      <c r="MOR96" s="32"/>
      <c r="MOS96" s="32"/>
      <c r="MOT96" s="32"/>
      <c r="MOU96" s="32"/>
      <c r="MOV96" s="32"/>
      <c r="MOW96" s="32"/>
      <c r="MOX96" s="32"/>
      <c r="MOY96" s="32"/>
      <c r="MOZ96" s="32"/>
      <c r="MPA96" s="32"/>
      <c r="MPB96" s="32"/>
      <c r="MPC96" s="32"/>
      <c r="MPD96" s="32"/>
      <c r="MPE96" s="32"/>
      <c r="MPF96" s="32"/>
      <c r="MPG96" s="32"/>
      <c r="MPH96" s="32"/>
      <c r="MPI96" s="32"/>
      <c r="MPJ96" s="32"/>
      <c r="MPK96" s="32"/>
      <c r="MPL96" s="32"/>
      <c r="MPM96" s="32"/>
      <c r="MPN96" s="32"/>
      <c r="MPO96" s="32"/>
      <c r="MPP96" s="32"/>
      <c r="MPQ96" s="32"/>
      <c r="MPR96" s="32"/>
      <c r="MPS96" s="32"/>
      <c r="MPT96" s="32"/>
      <c r="MPU96" s="32"/>
      <c r="MPV96" s="32"/>
      <c r="MPW96" s="32"/>
      <c r="MPX96" s="32"/>
      <c r="MPY96" s="32"/>
      <c r="MPZ96" s="32"/>
      <c r="MQA96" s="32"/>
      <c r="MQB96" s="32"/>
      <c r="MQC96" s="32"/>
      <c r="MQD96" s="32"/>
      <c r="MQE96" s="32"/>
      <c r="MQF96" s="32"/>
      <c r="MQG96" s="32"/>
      <c r="MQH96" s="32"/>
      <c r="MQI96" s="32"/>
      <c r="MQJ96" s="32"/>
      <c r="MQK96" s="32"/>
      <c r="MQL96" s="32"/>
      <c r="MQM96" s="32"/>
      <c r="MQN96" s="32"/>
      <c r="MQO96" s="32"/>
      <c r="MQP96" s="32"/>
      <c r="MQQ96" s="32"/>
      <c r="MQR96" s="32"/>
      <c r="MQS96" s="32"/>
      <c r="MQT96" s="32"/>
      <c r="MQU96" s="32"/>
      <c r="MQV96" s="32"/>
      <c r="MQW96" s="32"/>
      <c r="MQX96" s="32"/>
      <c r="MQY96" s="32"/>
      <c r="MQZ96" s="32"/>
      <c r="MRA96" s="32"/>
      <c r="MRB96" s="32"/>
      <c r="MRC96" s="32"/>
      <c r="MRD96" s="32"/>
      <c r="MRE96" s="32"/>
      <c r="MRF96" s="32"/>
      <c r="MRG96" s="32"/>
      <c r="MRH96" s="32"/>
      <c r="MRI96" s="32"/>
      <c r="MRJ96" s="32"/>
      <c r="MRK96" s="32"/>
      <c r="MRL96" s="32"/>
      <c r="MRM96" s="32"/>
      <c r="MRN96" s="32"/>
      <c r="MRO96" s="32"/>
      <c r="MRP96" s="32"/>
      <c r="MRQ96" s="32"/>
      <c r="MRR96" s="32"/>
      <c r="MRS96" s="32"/>
      <c r="MRT96" s="32"/>
      <c r="MRU96" s="32"/>
      <c r="MRV96" s="32"/>
      <c r="MRW96" s="32"/>
      <c r="MRX96" s="32"/>
      <c r="MRY96" s="32"/>
      <c r="MRZ96" s="32"/>
      <c r="MSA96" s="32"/>
      <c r="MSB96" s="32"/>
      <c r="MSC96" s="32"/>
      <c r="MSD96" s="32"/>
      <c r="MSE96" s="32"/>
      <c r="MSF96" s="32"/>
      <c r="MSG96" s="32"/>
      <c r="MSH96" s="32"/>
      <c r="MSI96" s="32"/>
      <c r="MSJ96" s="32"/>
      <c r="MSK96" s="32"/>
      <c r="MSL96" s="32"/>
      <c r="MSM96" s="32"/>
      <c r="MSN96" s="32"/>
      <c r="MSO96" s="32"/>
      <c r="MSP96" s="32"/>
      <c r="MSQ96" s="32"/>
      <c r="MSR96" s="32"/>
      <c r="MSS96" s="32"/>
      <c r="MST96" s="32"/>
      <c r="MSU96" s="32"/>
      <c r="MSV96" s="32"/>
      <c r="MSW96" s="32"/>
      <c r="MSX96" s="32"/>
      <c r="MSY96" s="32"/>
      <c r="MSZ96" s="32"/>
      <c r="MTA96" s="32"/>
      <c r="MTB96" s="32"/>
      <c r="MTC96" s="32"/>
      <c r="MTD96" s="32"/>
      <c r="MTE96" s="32"/>
      <c r="MTF96" s="32"/>
      <c r="MTG96" s="32"/>
      <c r="MTH96" s="32"/>
      <c r="MTI96" s="32"/>
      <c r="MTJ96" s="32"/>
      <c r="MTK96" s="32"/>
      <c r="MTL96" s="32"/>
      <c r="MTM96" s="32"/>
      <c r="MTN96" s="32"/>
      <c r="MTO96" s="32"/>
      <c r="MTP96" s="32"/>
      <c r="MTQ96" s="32"/>
      <c r="MTR96" s="32"/>
      <c r="MTS96" s="32"/>
      <c r="MTT96" s="32"/>
      <c r="MTU96" s="32"/>
      <c r="MTV96" s="32"/>
      <c r="MTW96" s="32"/>
      <c r="MTX96" s="32"/>
      <c r="MTY96" s="32"/>
      <c r="MTZ96" s="32"/>
      <c r="MUA96" s="32"/>
      <c r="MUB96" s="32"/>
      <c r="MUC96" s="32"/>
      <c r="MUD96" s="32"/>
      <c r="MUE96" s="32"/>
      <c r="MUF96" s="32"/>
      <c r="MUG96" s="32"/>
      <c r="MUH96" s="32"/>
      <c r="MUI96" s="32"/>
      <c r="MUJ96" s="32"/>
      <c r="MUK96" s="32"/>
      <c r="MUL96" s="32"/>
      <c r="MUM96" s="32"/>
      <c r="MUN96" s="32"/>
      <c r="MUO96" s="32"/>
      <c r="MUP96" s="32"/>
      <c r="MUQ96" s="32"/>
      <c r="MUR96" s="32"/>
      <c r="MUS96" s="32"/>
      <c r="MUT96" s="32"/>
      <c r="MUU96" s="32"/>
      <c r="MUV96" s="32"/>
      <c r="MUW96" s="32"/>
      <c r="MUX96" s="32"/>
      <c r="MUY96" s="32"/>
      <c r="MUZ96" s="32"/>
      <c r="MVA96" s="32"/>
      <c r="MVB96" s="32"/>
      <c r="MVC96" s="32"/>
      <c r="MVD96" s="32"/>
      <c r="MVE96" s="32"/>
      <c r="MVF96" s="32"/>
      <c r="MVG96" s="32"/>
      <c r="MVH96" s="32"/>
      <c r="MVI96" s="32"/>
      <c r="MVJ96" s="32"/>
      <c r="MVK96" s="32"/>
      <c r="MVL96" s="32"/>
      <c r="MVM96" s="32"/>
      <c r="MVN96" s="32"/>
      <c r="MVO96" s="32"/>
      <c r="MVP96" s="32"/>
      <c r="MVQ96" s="32"/>
      <c r="MVR96" s="32"/>
      <c r="MVS96" s="32"/>
      <c r="MVT96" s="32"/>
      <c r="MVU96" s="32"/>
      <c r="MVV96" s="32"/>
      <c r="MVW96" s="32"/>
      <c r="MVX96" s="32"/>
      <c r="MVY96" s="32"/>
      <c r="MVZ96" s="32"/>
      <c r="MWA96" s="32"/>
      <c r="MWB96" s="32"/>
      <c r="MWC96" s="32"/>
      <c r="MWD96" s="32"/>
      <c r="MWE96" s="32"/>
      <c r="MWF96" s="32"/>
      <c r="MWG96" s="32"/>
      <c r="MWH96" s="32"/>
      <c r="MWI96" s="32"/>
      <c r="MWJ96" s="32"/>
      <c r="MWK96" s="32"/>
      <c r="MWL96" s="32"/>
      <c r="MWM96" s="32"/>
      <c r="MWN96" s="32"/>
      <c r="MWO96" s="32"/>
      <c r="MWP96" s="32"/>
      <c r="MWQ96" s="32"/>
      <c r="MWR96" s="32"/>
      <c r="MWS96" s="32"/>
      <c r="MWT96" s="32"/>
      <c r="MWU96" s="32"/>
      <c r="MWV96" s="32"/>
      <c r="MWW96" s="32"/>
      <c r="MWX96" s="32"/>
      <c r="MWY96" s="32"/>
      <c r="MWZ96" s="32"/>
      <c r="MXA96" s="32"/>
      <c r="MXB96" s="32"/>
      <c r="MXC96" s="32"/>
      <c r="MXD96" s="32"/>
      <c r="MXE96" s="32"/>
      <c r="MXF96" s="32"/>
      <c r="MXG96" s="32"/>
      <c r="MXH96" s="32"/>
      <c r="MXI96" s="32"/>
      <c r="MXJ96" s="32"/>
      <c r="MXK96" s="32"/>
      <c r="MXL96" s="32"/>
      <c r="MXM96" s="32"/>
      <c r="MXN96" s="32"/>
      <c r="MXO96" s="32"/>
      <c r="MXP96" s="32"/>
      <c r="MXQ96" s="32"/>
      <c r="MXR96" s="32"/>
      <c r="MXS96" s="32"/>
      <c r="MXT96" s="32"/>
      <c r="MXU96" s="32"/>
      <c r="MXV96" s="32"/>
      <c r="MXW96" s="32"/>
      <c r="MXX96" s="32"/>
      <c r="MXY96" s="32"/>
      <c r="MXZ96" s="32"/>
      <c r="MYA96" s="32"/>
      <c r="MYB96" s="32"/>
      <c r="MYC96" s="32"/>
      <c r="MYD96" s="32"/>
      <c r="MYE96" s="32"/>
      <c r="MYF96" s="32"/>
      <c r="MYG96" s="32"/>
      <c r="MYH96" s="32"/>
      <c r="MYI96" s="32"/>
      <c r="MYJ96" s="32"/>
      <c r="MYK96" s="32"/>
      <c r="MYL96" s="32"/>
      <c r="MYM96" s="32"/>
      <c r="MYN96" s="32"/>
      <c r="MYO96" s="32"/>
      <c r="MYP96" s="32"/>
      <c r="MYQ96" s="32"/>
      <c r="MYR96" s="32"/>
      <c r="MYS96" s="32"/>
      <c r="MYT96" s="32"/>
      <c r="MYU96" s="32"/>
      <c r="MYV96" s="32"/>
      <c r="MYW96" s="32"/>
      <c r="MYX96" s="32"/>
      <c r="MYY96" s="32"/>
      <c r="MYZ96" s="32"/>
      <c r="MZA96" s="32"/>
      <c r="MZB96" s="32"/>
      <c r="MZC96" s="32"/>
      <c r="MZD96" s="32"/>
      <c r="MZE96" s="32"/>
      <c r="MZF96" s="32"/>
      <c r="MZG96" s="32"/>
      <c r="MZH96" s="32"/>
      <c r="MZI96" s="32"/>
      <c r="MZJ96" s="32"/>
      <c r="MZK96" s="32"/>
      <c r="MZL96" s="32"/>
      <c r="MZM96" s="32"/>
      <c r="MZN96" s="32"/>
      <c r="MZO96" s="32"/>
      <c r="MZP96" s="32"/>
      <c r="MZQ96" s="32"/>
      <c r="MZR96" s="32"/>
      <c r="MZS96" s="32"/>
      <c r="MZT96" s="32"/>
      <c r="MZU96" s="32"/>
      <c r="MZV96" s="32"/>
      <c r="MZW96" s="32"/>
      <c r="MZX96" s="32"/>
      <c r="MZY96" s="32"/>
      <c r="MZZ96" s="32"/>
      <c r="NAA96" s="32"/>
      <c r="NAB96" s="32"/>
      <c r="NAC96" s="32"/>
      <c r="NAD96" s="32"/>
      <c r="NAE96" s="32"/>
      <c r="NAF96" s="32"/>
      <c r="NAG96" s="32"/>
      <c r="NAH96" s="32"/>
      <c r="NAI96" s="32"/>
      <c r="NAJ96" s="32"/>
      <c r="NAK96" s="32"/>
      <c r="NAL96" s="32"/>
      <c r="NAM96" s="32"/>
      <c r="NAN96" s="32"/>
      <c r="NAO96" s="32"/>
      <c r="NAP96" s="32"/>
      <c r="NAQ96" s="32"/>
      <c r="NAR96" s="32"/>
      <c r="NAS96" s="32"/>
      <c r="NAT96" s="32"/>
      <c r="NAU96" s="32"/>
      <c r="NAV96" s="32"/>
      <c r="NAW96" s="32"/>
      <c r="NAX96" s="32"/>
      <c r="NAY96" s="32"/>
      <c r="NAZ96" s="32"/>
      <c r="NBA96" s="32"/>
      <c r="NBB96" s="32"/>
      <c r="NBC96" s="32"/>
      <c r="NBD96" s="32"/>
      <c r="NBE96" s="32"/>
      <c r="NBF96" s="32"/>
      <c r="NBG96" s="32"/>
      <c r="NBH96" s="32"/>
      <c r="NBI96" s="32"/>
      <c r="NBJ96" s="32"/>
      <c r="NBK96" s="32"/>
      <c r="NBL96" s="32"/>
      <c r="NBM96" s="32"/>
      <c r="NBN96" s="32"/>
      <c r="NBO96" s="32"/>
      <c r="NBP96" s="32"/>
      <c r="NBQ96" s="32"/>
      <c r="NBR96" s="32"/>
      <c r="NBS96" s="32"/>
      <c r="NBT96" s="32"/>
      <c r="NBU96" s="32"/>
      <c r="NBV96" s="32"/>
      <c r="NBW96" s="32"/>
      <c r="NBX96" s="32"/>
      <c r="NBY96" s="32"/>
      <c r="NBZ96" s="32"/>
      <c r="NCA96" s="32"/>
      <c r="NCB96" s="32"/>
      <c r="NCC96" s="32"/>
      <c r="NCD96" s="32"/>
      <c r="NCE96" s="32"/>
      <c r="NCF96" s="32"/>
      <c r="NCG96" s="32"/>
      <c r="NCH96" s="32"/>
      <c r="NCI96" s="32"/>
      <c r="NCJ96" s="32"/>
      <c r="NCK96" s="32"/>
      <c r="NCL96" s="32"/>
      <c r="NCM96" s="32"/>
      <c r="NCN96" s="32"/>
      <c r="NCO96" s="32"/>
      <c r="NCP96" s="32"/>
      <c r="NCQ96" s="32"/>
      <c r="NCR96" s="32"/>
      <c r="NCS96" s="32"/>
      <c r="NCT96" s="32"/>
      <c r="NCU96" s="32"/>
      <c r="NCV96" s="32"/>
      <c r="NCW96" s="32"/>
      <c r="NCX96" s="32"/>
      <c r="NCY96" s="32"/>
      <c r="NCZ96" s="32"/>
      <c r="NDA96" s="32"/>
      <c r="NDB96" s="32"/>
      <c r="NDC96" s="32"/>
      <c r="NDD96" s="32"/>
      <c r="NDE96" s="32"/>
      <c r="NDF96" s="32"/>
      <c r="NDG96" s="32"/>
      <c r="NDH96" s="32"/>
      <c r="NDI96" s="32"/>
      <c r="NDJ96" s="32"/>
      <c r="NDK96" s="32"/>
      <c r="NDL96" s="32"/>
      <c r="NDM96" s="32"/>
      <c r="NDN96" s="32"/>
      <c r="NDO96" s="32"/>
      <c r="NDP96" s="32"/>
      <c r="NDQ96" s="32"/>
      <c r="NDR96" s="32"/>
      <c r="NDS96" s="32"/>
      <c r="NDT96" s="32"/>
      <c r="NDU96" s="32"/>
      <c r="NDV96" s="32"/>
      <c r="NDW96" s="32"/>
      <c r="NDX96" s="32"/>
      <c r="NDY96" s="32"/>
      <c r="NDZ96" s="32"/>
      <c r="NEA96" s="32"/>
      <c r="NEB96" s="32"/>
      <c r="NEC96" s="32"/>
      <c r="NED96" s="32"/>
      <c r="NEE96" s="32"/>
      <c r="NEF96" s="32"/>
      <c r="NEG96" s="32"/>
      <c r="NEH96" s="32"/>
      <c r="NEI96" s="32"/>
      <c r="NEJ96" s="32"/>
      <c r="NEK96" s="32"/>
      <c r="NEL96" s="32"/>
      <c r="NEM96" s="32"/>
      <c r="NEN96" s="32"/>
      <c r="NEO96" s="32"/>
      <c r="NEP96" s="32"/>
      <c r="NEQ96" s="32"/>
      <c r="NER96" s="32"/>
      <c r="NES96" s="32"/>
      <c r="NET96" s="32"/>
      <c r="NEU96" s="32"/>
      <c r="NEV96" s="32"/>
      <c r="NEW96" s="32"/>
      <c r="NEX96" s="32"/>
      <c r="NEY96" s="32"/>
      <c r="NEZ96" s="32"/>
      <c r="NFA96" s="32"/>
      <c r="NFB96" s="32"/>
      <c r="NFC96" s="32"/>
      <c r="NFD96" s="32"/>
      <c r="NFE96" s="32"/>
      <c r="NFF96" s="32"/>
      <c r="NFG96" s="32"/>
      <c r="NFH96" s="32"/>
      <c r="NFI96" s="32"/>
      <c r="NFJ96" s="32"/>
      <c r="NFK96" s="32"/>
      <c r="NFL96" s="32"/>
      <c r="NFM96" s="32"/>
      <c r="NFN96" s="32"/>
      <c r="NFO96" s="32"/>
      <c r="NFP96" s="32"/>
      <c r="NFQ96" s="32"/>
      <c r="NFR96" s="32"/>
      <c r="NFS96" s="32"/>
      <c r="NFT96" s="32"/>
      <c r="NFU96" s="32"/>
      <c r="NFV96" s="32"/>
      <c r="NFW96" s="32"/>
      <c r="NFX96" s="32"/>
      <c r="NFY96" s="32"/>
      <c r="NFZ96" s="32"/>
      <c r="NGA96" s="32"/>
      <c r="NGB96" s="32"/>
      <c r="NGC96" s="32"/>
      <c r="NGD96" s="32"/>
      <c r="NGE96" s="32"/>
      <c r="NGF96" s="32"/>
      <c r="NGG96" s="32"/>
      <c r="NGH96" s="32"/>
      <c r="NGI96" s="32"/>
      <c r="NGJ96" s="32"/>
      <c r="NGK96" s="32"/>
      <c r="NGL96" s="32"/>
      <c r="NGM96" s="32"/>
      <c r="NGN96" s="32"/>
      <c r="NGO96" s="32"/>
      <c r="NGP96" s="32"/>
      <c r="NGQ96" s="32"/>
      <c r="NGR96" s="32"/>
      <c r="NGS96" s="32"/>
      <c r="NGT96" s="32"/>
      <c r="NGU96" s="32"/>
      <c r="NGV96" s="32"/>
      <c r="NGW96" s="32"/>
      <c r="NGX96" s="32"/>
      <c r="NGY96" s="32"/>
      <c r="NGZ96" s="32"/>
      <c r="NHA96" s="32"/>
      <c r="NHB96" s="32"/>
      <c r="NHC96" s="32"/>
      <c r="NHD96" s="32"/>
      <c r="NHE96" s="32"/>
      <c r="NHF96" s="32"/>
      <c r="NHG96" s="32"/>
      <c r="NHH96" s="32"/>
      <c r="NHI96" s="32"/>
      <c r="NHJ96" s="32"/>
      <c r="NHK96" s="32"/>
      <c r="NHL96" s="32"/>
      <c r="NHM96" s="32"/>
      <c r="NHN96" s="32"/>
      <c r="NHO96" s="32"/>
      <c r="NHP96" s="32"/>
      <c r="NHQ96" s="32"/>
      <c r="NHR96" s="32"/>
      <c r="NHS96" s="32"/>
      <c r="NHT96" s="32"/>
      <c r="NHU96" s="32"/>
      <c r="NHV96" s="32"/>
      <c r="NHW96" s="32"/>
      <c r="NHX96" s="32"/>
      <c r="NHY96" s="32"/>
      <c r="NHZ96" s="32"/>
      <c r="NIA96" s="32"/>
      <c r="NIB96" s="32"/>
      <c r="NIC96" s="32"/>
      <c r="NID96" s="32"/>
      <c r="NIE96" s="32"/>
      <c r="NIF96" s="32"/>
      <c r="NIG96" s="32"/>
      <c r="NIH96" s="32"/>
      <c r="NII96" s="32"/>
      <c r="NIJ96" s="32"/>
      <c r="NIK96" s="32"/>
      <c r="NIL96" s="32"/>
      <c r="NIM96" s="32"/>
      <c r="NIN96" s="32"/>
      <c r="NIO96" s="32"/>
      <c r="NIP96" s="32"/>
      <c r="NIQ96" s="32"/>
      <c r="NIR96" s="32"/>
      <c r="NIS96" s="32"/>
      <c r="NIT96" s="32"/>
      <c r="NIU96" s="32"/>
      <c r="NIV96" s="32"/>
      <c r="NIW96" s="32"/>
      <c r="NIX96" s="32"/>
      <c r="NIY96" s="32"/>
      <c r="NIZ96" s="32"/>
      <c r="NJA96" s="32"/>
      <c r="NJB96" s="32"/>
      <c r="NJC96" s="32"/>
      <c r="NJD96" s="32"/>
      <c r="NJE96" s="32"/>
      <c r="NJF96" s="32"/>
      <c r="NJG96" s="32"/>
      <c r="NJH96" s="32"/>
      <c r="NJI96" s="32"/>
      <c r="NJJ96" s="32"/>
      <c r="NJK96" s="32"/>
      <c r="NJL96" s="32"/>
      <c r="NJM96" s="32"/>
      <c r="NJN96" s="32"/>
      <c r="NJO96" s="32"/>
      <c r="NJP96" s="32"/>
      <c r="NJQ96" s="32"/>
      <c r="NJR96" s="32"/>
      <c r="NJS96" s="32"/>
      <c r="NJT96" s="32"/>
      <c r="NJU96" s="32"/>
      <c r="NJV96" s="32"/>
      <c r="NJW96" s="32"/>
      <c r="NJX96" s="32"/>
      <c r="NJY96" s="32"/>
      <c r="NJZ96" s="32"/>
      <c r="NKA96" s="32"/>
      <c r="NKB96" s="32"/>
      <c r="NKC96" s="32"/>
      <c r="NKD96" s="32"/>
      <c r="NKE96" s="32"/>
      <c r="NKF96" s="32"/>
      <c r="NKG96" s="32"/>
      <c r="NKH96" s="32"/>
      <c r="NKI96" s="32"/>
      <c r="NKJ96" s="32"/>
      <c r="NKK96" s="32"/>
      <c r="NKL96" s="32"/>
      <c r="NKM96" s="32"/>
      <c r="NKN96" s="32"/>
      <c r="NKO96" s="32"/>
      <c r="NKP96" s="32"/>
      <c r="NKQ96" s="32"/>
      <c r="NKR96" s="32"/>
      <c r="NKS96" s="32"/>
      <c r="NKT96" s="32"/>
      <c r="NKU96" s="32"/>
      <c r="NKV96" s="32"/>
      <c r="NKW96" s="32"/>
      <c r="NKX96" s="32"/>
      <c r="NKY96" s="32"/>
      <c r="NKZ96" s="32"/>
      <c r="NLA96" s="32"/>
      <c r="NLB96" s="32"/>
      <c r="NLC96" s="32"/>
      <c r="NLD96" s="32"/>
      <c r="NLE96" s="32"/>
      <c r="NLF96" s="32"/>
      <c r="NLG96" s="32"/>
      <c r="NLH96" s="32"/>
      <c r="NLI96" s="32"/>
      <c r="NLJ96" s="32"/>
      <c r="NLK96" s="32"/>
      <c r="NLL96" s="32"/>
      <c r="NLM96" s="32"/>
      <c r="NLN96" s="32"/>
      <c r="NLO96" s="32"/>
      <c r="NLP96" s="32"/>
      <c r="NLQ96" s="32"/>
      <c r="NLR96" s="32"/>
      <c r="NLS96" s="32"/>
      <c r="NLT96" s="32"/>
      <c r="NLU96" s="32"/>
      <c r="NLV96" s="32"/>
      <c r="NLW96" s="32"/>
      <c r="NLX96" s="32"/>
      <c r="NLY96" s="32"/>
      <c r="NLZ96" s="32"/>
      <c r="NMA96" s="32"/>
      <c r="NMB96" s="32"/>
      <c r="NMC96" s="32"/>
      <c r="NMD96" s="32"/>
      <c r="NME96" s="32"/>
      <c r="NMF96" s="32"/>
      <c r="NMG96" s="32"/>
      <c r="NMH96" s="32"/>
      <c r="NMI96" s="32"/>
      <c r="NMJ96" s="32"/>
      <c r="NMK96" s="32"/>
      <c r="NML96" s="32"/>
      <c r="NMM96" s="32"/>
      <c r="NMN96" s="32"/>
      <c r="NMO96" s="32"/>
      <c r="NMP96" s="32"/>
      <c r="NMQ96" s="32"/>
      <c r="NMR96" s="32"/>
      <c r="NMS96" s="32"/>
      <c r="NMT96" s="32"/>
      <c r="NMU96" s="32"/>
      <c r="NMV96" s="32"/>
      <c r="NMW96" s="32"/>
      <c r="NMX96" s="32"/>
      <c r="NMY96" s="32"/>
      <c r="NMZ96" s="32"/>
      <c r="NNA96" s="32"/>
      <c r="NNB96" s="32"/>
      <c r="NNC96" s="32"/>
      <c r="NND96" s="32"/>
      <c r="NNE96" s="32"/>
      <c r="NNF96" s="32"/>
      <c r="NNG96" s="32"/>
      <c r="NNH96" s="32"/>
      <c r="NNI96" s="32"/>
      <c r="NNJ96" s="32"/>
      <c r="NNK96" s="32"/>
      <c r="NNL96" s="32"/>
      <c r="NNM96" s="32"/>
      <c r="NNN96" s="32"/>
      <c r="NNO96" s="32"/>
      <c r="NNP96" s="32"/>
      <c r="NNQ96" s="32"/>
      <c r="NNR96" s="32"/>
      <c r="NNS96" s="32"/>
      <c r="NNT96" s="32"/>
      <c r="NNU96" s="32"/>
      <c r="NNV96" s="32"/>
      <c r="NNW96" s="32"/>
      <c r="NNX96" s="32"/>
      <c r="NNY96" s="32"/>
      <c r="NNZ96" s="32"/>
      <c r="NOA96" s="32"/>
      <c r="NOB96" s="32"/>
      <c r="NOC96" s="32"/>
      <c r="NOD96" s="32"/>
      <c r="NOE96" s="32"/>
      <c r="NOF96" s="32"/>
      <c r="NOG96" s="32"/>
      <c r="NOH96" s="32"/>
      <c r="NOI96" s="32"/>
      <c r="NOJ96" s="32"/>
      <c r="NOK96" s="32"/>
      <c r="NOL96" s="32"/>
      <c r="NOM96" s="32"/>
      <c r="NON96" s="32"/>
      <c r="NOO96" s="32"/>
      <c r="NOP96" s="32"/>
      <c r="NOQ96" s="32"/>
      <c r="NOR96" s="32"/>
      <c r="NOS96" s="32"/>
      <c r="NOT96" s="32"/>
      <c r="NOU96" s="32"/>
      <c r="NOV96" s="32"/>
      <c r="NOW96" s="32"/>
      <c r="NOX96" s="32"/>
      <c r="NOY96" s="32"/>
      <c r="NOZ96" s="32"/>
      <c r="NPA96" s="32"/>
      <c r="NPB96" s="32"/>
      <c r="NPC96" s="32"/>
      <c r="NPD96" s="32"/>
      <c r="NPE96" s="32"/>
      <c r="NPF96" s="32"/>
      <c r="NPG96" s="32"/>
      <c r="NPH96" s="32"/>
      <c r="NPI96" s="32"/>
      <c r="NPJ96" s="32"/>
      <c r="NPK96" s="32"/>
      <c r="NPL96" s="32"/>
      <c r="NPM96" s="32"/>
      <c r="NPN96" s="32"/>
      <c r="NPO96" s="32"/>
      <c r="NPP96" s="32"/>
      <c r="NPQ96" s="32"/>
      <c r="NPR96" s="32"/>
      <c r="NPS96" s="32"/>
      <c r="NPT96" s="32"/>
      <c r="NPU96" s="32"/>
      <c r="NPV96" s="32"/>
      <c r="NPW96" s="32"/>
      <c r="NPX96" s="32"/>
      <c r="NPY96" s="32"/>
      <c r="NPZ96" s="32"/>
      <c r="NQA96" s="32"/>
      <c r="NQB96" s="32"/>
      <c r="NQC96" s="32"/>
      <c r="NQD96" s="32"/>
      <c r="NQE96" s="32"/>
      <c r="NQF96" s="32"/>
      <c r="NQG96" s="32"/>
      <c r="NQH96" s="32"/>
      <c r="NQI96" s="32"/>
      <c r="NQJ96" s="32"/>
      <c r="NQK96" s="32"/>
      <c r="NQL96" s="32"/>
      <c r="NQM96" s="32"/>
      <c r="NQN96" s="32"/>
      <c r="NQO96" s="32"/>
      <c r="NQP96" s="32"/>
      <c r="NQQ96" s="32"/>
      <c r="NQR96" s="32"/>
      <c r="NQS96" s="32"/>
      <c r="NQT96" s="32"/>
      <c r="NQU96" s="32"/>
      <c r="NQV96" s="32"/>
      <c r="NQW96" s="32"/>
      <c r="NQX96" s="32"/>
      <c r="NQY96" s="32"/>
      <c r="NQZ96" s="32"/>
      <c r="NRA96" s="32"/>
      <c r="NRB96" s="32"/>
      <c r="NRC96" s="32"/>
      <c r="NRD96" s="32"/>
      <c r="NRE96" s="32"/>
      <c r="NRF96" s="32"/>
      <c r="NRG96" s="32"/>
      <c r="NRH96" s="32"/>
      <c r="NRI96" s="32"/>
      <c r="NRJ96" s="32"/>
      <c r="NRK96" s="32"/>
      <c r="NRL96" s="32"/>
      <c r="NRM96" s="32"/>
      <c r="NRN96" s="32"/>
      <c r="NRO96" s="32"/>
      <c r="NRP96" s="32"/>
      <c r="NRQ96" s="32"/>
      <c r="NRR96" s="32"/>
      <c r="NRS96" s="32"/>
      <c r="NRT96" s="32"/>
      <c r="NRU96" s="32"/>
      <c r="NRV96" s="32"/>
      <c r="NRW96" s="32"/>
      <c r="NRX96" s="32"/>
      <c r="NRY96" s="32"/>
      <c r="NRZ96" s="32"/>
      <c r="NSA96" s="32"/>
      <c r="NSB96" s="32"/>
      <c r="NSC96" s="32"/>
      <c r="NSD96" s="32"/>
      <c r="NSE96" s="32"/>
      <c r="NSF96" s="32"/>
      <c r="NSG96" s="32"/>
      <c r="NSH96" s="32"/>
      <c r="NSI96" s="32"/>
      <c r="NSJ96" s="32"/>
      <c r="NSK96" s="32"/>
      <c r="NSL96" s="32"/>
      <c r="NSM96" s="32"/>
      <c r="NSN96" s="32"/>
      <c r="NSO96" s="32"/>
      <c r="NSP96" s="32"/>
      <c r="NSQ96" s="32"/>
      <c r="NSR96" s="32"/>
      <c r="NSS96" s="32"/>
      <c r="NST96" s="32"/>
      <c r="NSU96" s="32"/>
      <c r="NSV96" s="32"/>
      <c r="NSW96" s="32"/>
      <c r="NSX96" s="32"/>
      <c r="NSY96" s="32"/>
      <c r="NSZ96" s="32"/>
      <c r="NTA96" s="32"/>
      <c r="NTB96" s="32"/>
      <c r="NTC96" s="32"/>
      <c r="NTD96" s="32"/>
      <c r="NTE96" s="32"/>
      <c r="NTF96" s="32"/>
      <c r="NTG96" s="32"/>
      <c r="NTH96" s="32"/>
      <c r="NTI96" s="32"/>
      <c r="NTJ96" s="32"/>
      <c r="NTK96" s="32"/>
      <c r="NTL96" s="32"/>
      <c r="NTM96" s="32"/>
      <c r="NTN96" s="32"/>
      <c r="NTO96" s="32"/>
      <c r="NTP96" s="32"/>
      <c r="NTQ96" s="32"/>
      <c r="NTR96" s="32"/>
      <c r="NTS96" s="32"/>
      <c r="NTT96" s="32"/>
      <c r="NTU96" s="32"/>
      <c r="NTV96" s="32"/>
      <c r="NTW96" s="32"/>
      <c r="NTX96" s="32"/>
      <c r="NTY96" s="32"/>
      <c r="NTZ96" s="32"/>
      <c r="NUA96" s="32"/>
      <c r="NUB96" s="32"/>
      <c r="NUC96" s="32"/>
      <c r="NUD96" s="32"/>
      <c r="NUE96" s="32"/>
      <c r="NUF96" s="32"/>
      <c r="NUG96" s="32"/>
      <c r="NUH96" s="32"/>
      <c r="NUI96" s="32"/>
      <c r="NUJ96" s="32"/>
      <c r="NUK96" s="32"/>
      <c r="NUL96" s="32"/>
      <c r="NUM96" s="32"/>
      <c r="NUN96" s="32"/>
      <c r="NUO96" s="32"/>
      <c r="NUP96" s="32"/>
      <c r="NUQ96" s="32"/>
      <c r="NUR96" s="32"/>
      <c r="NUS96" s="32"/>
      <c r="NUT96" s="32"/>
      <c r="NUU96" s="32"/>
      <c r="NUV96" s="32"/>
      <c r="NUW96" s="32"/>
      <c r="NUX96" s="32"/>
      <c r="NUY96" s="32"/>
      <c r="NUZ96" s="32"/>
      <c r="NVA96" s="32"/>
      <c r="NVB96" s="32"/>
      <c r="NVC96" s="32"/>
      <c r="NVD96" s="32"/>
      <c r="NVE96" s="32"/>
      <c r="NVF96" s="32"/>
      <c r="NVG96" s="32"/>
      <c r="NVH96" s="32"/>
      <c r="NVI96" s="32"/>
      <c r="NVJ96" s="32"/>
      <c r="NVK96" s="32"/>
      <c r="NVL96" s="32"/>
      <c r="NVM96" s="32"/>
      <c r="NVN96" s="32"/>
      <c r="NVO96" s="32"/>
      <c r="NVP96" s="32"/>
      <c r="NVQ96" s="32"/>
      <c r="NVR96" s="32"/>
      <c r="NVS96" s="32"/>
      <c r="NVT96" s="32"/>
      <c r="NVU96" s="32"/>
      <c r="NVV96" s="32"/>
      <c r="NVW96" s="32"/>
      <c r="NVX96" s="32"/>
      <c r="NVY96" s="32"/>
      <c r="NVZ96" s="32"/>
      <c r="NWA96" s="32"/>
      <c r="NWB96" s="32"/>
      <c r="NWC96" s="32"/>
      <c r="NWD96" s="32"/>
      <c r="NWE96" s="32"/>
      <c r="NWF96" s="32"/>
      <c r="NWG96" s="32"/>
      <c r="NWH96" s="32"/>
      <c r="NWI96" s="32"/>
      <c r="NWJ96" s="32"/>
      <c r="NWK96" s="32"/>
      <c r="NWL96" s="32"/>
      <c r="NWM96" s="32"/>
      <c r="NWN96" s="32"/>
      <c r="NWO96" s="32"/>
      <c r="NWP96" s="32"/>
      <c r="NWQ96" s="32"/>
      <c r="NWR96" s="32"/>
      <c r="NWS96" s="32"/>
      <c r="NWT96" s="32"/>
      <c r="NWU96" s="32"/>
      <c r="NWV96" s="32"/>
      <c r="NWW96" s="32"/>
      <c r="NWX96" s="32"/>
      <c r="NWY96" s="32"/>
      <c r="NWZ96" s="32"/>
      <c r="NXA96" s="32"/>
      <c r="NXB96" s="32"/>
      <c r="NXC96" s="32"/>
      <c r="NXD96" s="32"/>
      <c r="NXE96" s="32"/>
      <c r="NXF96" s="32"/>
      <c r="NXG96" s="32"/>
      <c r="NXH96" s="32"/>
      <c r="NXI96" s="32"/>
      <c r="NXJ96" s="32"/>
      <c r="NXK96" s="32"/>
      <c r="NXL96" s="32"/>
      <c r="NXM96" s="32"/>
      <c r="NXN96" s="32"/>
      <c r="NXO96" s="32"/>
      <c r="NXP96" s="32"/>
      <c r="NXQ96" s="32"/>
      <c r="NXR96" s="32"/>
      <c r="NXS96" s="32"/>
      <c r="NXT96" s="32"/>
      <c r="NXU96" s="32"/>
      <c r="NXV96" s="32"/>
      <c r="NXW96" s="32"/>
      <c r="NXX96" s="32"/>
      <c r="NXY96" s="32"/>
      <c r="NXZ96" s="32"/>
      <c r="NYA96" s="32"/>
      <c r="NYB96" s="32"/>
      <c r="NYC96" s="32"/>
      <c r="NYD96" s="32"/>
      <c r="NYE96" s="32"/>
      <c r="NYF96" s="32"/>
      <c r="NYG96" s="32"/>
      <c r="NYH96" s="32"/>
      <c r="NYI96" s="32"/>
      <c r="NYJ96" s="32"/>
      <c r="NYK96" s="32"/>
      <c r="NYL96" s="32"/>
      <c r="NYM96" s="32"/>
      <c r="NYN96" s="32"/>
      <c r="NYO96" s="32"/>
      <c r="NYP96" s="32"/>
      <c r="NYQ96" s="32"/>
      <c r="NYR96" s="32"/>
      <c r="NYS96" s="32"/>
      <c r="NYT96" s="32"/>
      <c r="NYU96" s="32"/>
      <c r="NYV96" s="32"/>
      <c r="NYW96" s="32"/>
      <c r="NYX96" s="32"/>
      <c r="NYY96" s="32"/>
      <c r="NYZ96" s="32"/>
      <c r="NZA96" s="32"/>
      <c r="NZB96" s="32"/>
      <c r="NZC96" s="32"/>
      <c r="NZD96" s="32"/>
      <c r="NZE96" s="32"/>
      <c r="NZF96" s="32"/>
      <c r="NZG96" s="32"/>
      <c r="NZH96" s="32"/>
      <c r="NZI96" s="32"/>
      <c r="NZJ96" s="32"/>
      <c r="NZK96" s="32"/>
      <c r="NZL96" s="32"/>
      <c r="NZM96" s="32"/>
      <c r="NZN96" s="32"/>
      <c r="NZO96" s="32"/>
      <c r="NZP96" s="32"/>
      <c r="NZQ96" s="32"/>
      <c r="NZR96" s="32"/>
      <c r="NZS96" s="32"/>
      <c r="NZT96" s="32"/>
      <c r="NZU96" s="32"/>
      <c r="NZV96" s="32"/>
      <c r="NZW96" s="32"/>
      <c r="NZX96" s="32"/>
      <c r="NZY96" s="32"/>
      <c r="NZZ96" s="32"/>
      <c r="OAA96" s="32"/>
      <c r="OAB96" s="32"/>
      <c r="OAC96" s="32"/>
      <c r="OAD96" s="32"/>
      <c r="OAE96" s="32"/>
      <c r="OAF96" s="32"/>
      <c r="OAG96" s="32"/>
      <c r="OAH96" s="32"/>
      <c r="OAI96" s="32"/>
      <c r="OAJ96" s="32"/>
      <c r="OAK96" s="32"/>
      <c r="OAL96" s="32"/>
      <c r="OAM96" s="32"/>
      <c r="OAN96" s="32"/>
      <c r="OAO96" s="32"/>
      <c r="OAP96" s="32"/>
      <c r="OAQ96" s="32"/>
      <c r="OAR96" s="32"/>
      <c r="OAS96" s="32"/>
      <c r="OAT96" s="32"/>
      <c r="OAU96" s="32"/>
      <c r="OAV96" s="32"/>
      <c r="OAW96" s="32"/>
      <c r="OAX96" s="32"/>
      <c r="OAY96" s="32"/>
      <c r="OAZ96" s="32"/>
      <c r="OBA96" s="32"/>
      <c r="OBB96" s="32"/>
      <c r="OBC96" s="32"/>
      <c r="OBD96" s="32"/>
      <c r="OBE96" s="32"/>
      <c r="OBF96" s="32"/>
      <c r="OBG96" s="32"/>
      <c r="OBH96" s="32"/>
      <c r="OBI96" s="32"/>
      <c r="OBJ96" s="32"/>
      <c r="OBK96" s="32"/>
      <c r="OBL96" s="32"/>
      <c r="OBM96" s="32"/>
      <c r="OBN96" s="32"/>
      <c r="OBO96" s="32"/>
      <c r="OBP96" s="32"/>
      <c r="OBQ96" s="32"/>
      <c r="OBR96" s="32"/>
      <c r="OBS96" s="32"/>
      <c r="OBT96" s="32"/>
      <c r="OBU96" s="32"/>
      <c r="OBV96" s="32"/>
      <c r="OBW96" s="32"/>
      <c r="OBX96" s="32"/>
      <c r="OBY96" s="32"/>
      <c r="OBZ96" s="32"/>
      <c r="OCA96" s="32"/>
      <c r="OCB96" s="32"/>
      <c r="OCC96" s="32"/>
      <c r="OCD96" s="32"/>
      <c r="OCE96" s="32"/>
      <c r="OCF96" s="32"/>
      <c r="OCG96" s="32"/>
      <c r="OCH96" s="32"/>
      <c r="OCI96" s="32"/>
      <c r="OCJ96" s="32"/>
      <c r="OCK96" s="32"/>
      <c r="OCL96" s="32"/>
      <c r="OCM96" s="32"/>
      <c r="OCN96" s="32"/>
      <c r="OCO96" s="32"/>
      <c r="OCP96" s="32"/>
      <c r="OCQ96" s="32"/>
      <c r="OCR96" s="32"/>
      <c r="OCS96" s="32"/>
      <c r="OCT96" s="32"/>
      <c r="OCU96" s="32"/>
      <c r="OCV96" s="32"/>
      <c r="OCW96" s="32"/>
      <c r="OCX96" s="32"/>
      <c r="OCY96" s="32"/>
      <c r="OCZ96" s="32"/>
      <c r="ODA96" s="32"/>
      <c r="ODB96" s="32"/>
      <c r="ODC96" s="32"/>
      <c r="ODD96" s="32"/>
      <c r="ODE96" s="32"/>
      <c r="ODF96" s="32"/>
      <c r="ODG96" s="32"/>
      <c r="ODH96" s="32"/>
      <c r="ODI96" s="32"/>
      <c r="ODJ96" s="32"/>
      <c r="ODK96" s="32"/>
      <c r="ODL96" s="32"/>
      <c r="ODM96" s="32"/>
      <c r="ODN96" s="32"/>
      <c r="ODO96" s="32"/>
      <c r="ODP96" s="32"/>
      <c r="ODQ96" s="32"/>
      <c r="ODR96" s="32"/>
      <c r="ODS96" s="32"/>
      <c r="ODT96" s="32"/>
      <c r="ODU96" s="32"/>
      <c r="ODV96" s="32"/>
      <c r="ODW96" s="32"/>
      <c r="ODX96" s="32"/>
      <c r="ODY96" s="32"/>
      <c r="ODZ96" s="32"/>
      <c r="OEA96" s="32"/>
      <c r="OEB96" s="32"/>
      <c r="OEC96" s="32"/>
      <c r="OED96" s="32"/>
      <c r="OEE96" s="32"/>
      <c r="OEF96" s="32"/>
      <c r="OEG96" s="32"/>
      <c r="OEH96" s="32"/>
      <c r="OEI96" s="32"/>
      <c r="OEJ96" s="32"/>
      <c r="OEK96" s="32"/>
      <c r="OEL96" s="32"/>
      <c r="OEM96" s="32"/>
      <c r="OEN96" s="32"/>
      <c r="OEO96" s="32"/>
      <c r="OEP96" s="32"/>
      <c r="OEQ96" s="32"/>
      <c r="OER96" s="32"/>
      <c r="OES96" s="32"/>
      <c r="OET96" s="32"/>
      <c r="OEU96" s="32"/>
      <c r="OEV96" s="32"/>
      <c r="OEW96" s="32"/>
      <c r="OEX96" s="32"/>
      <c r="OEY96" s="32"/>
      <c r="OEZ96" s="32"/>
      <c r="OFA96" s="32"/>
      <c r="OFB96" s="32"/>
      <c r="OFC96" s="32"/>
      <c r="OFD96" s="32"/>
      <c r="OFE96" s="32"/>
      <c r="OFF96" s="32"/>
      <c r="OFG96" s="32"/>
      <c r="OFH96" s="32"/>
      <c r="OFI96" s="32"/>
      <c r="OFJ96" s="32"/>
      <c r="OFK96" s="32"/>
      <c r="OFL96" s="32"/>
      <c r="OFM96" s="32"/>
      <c r="OFN96" s="32"/>
      <c r="OFO96" s="32"/>
      <c r="OFP96" s="32"/>
      <c r="OFQ96" s="32"/>
      <c r="OFR96" s="32"/>
      <c r="OFS96" s="32"/>
      <c r="OFT96" s="32"/>
      <c r="OFU96" s="32"/>
      <c r="OFV96" s="32"/>
      <c r="OFW96" s="32"/>
      <c r="OFX96" s="32"/>
      <c r="OFY96" s="32"/>
      <c r="OFZ96" s="32"/>
      <c r="OGA96" s="32"/>
      <c r="OGB96" s="32"/>
      <c r="OGC96" s="32"/>
      <c r="OGD96" s="32"/>
      <c r="OGE96" s="32"/>
      <c r="OGF96" s="32"/>
      <c r="OGG96" s="32"/>
      <c r="OGH96" s="32"/>
      <c r="OGI96" s="32"/>
      <c r="OGJ96" s="32"/>
      <c r="OGK96" s="32"/>
      <c r="OGL96" s="32"/>
      <c r="OGM96" s="32"/>
      <c r="OGN96" s="32"/>
      <c r="OGO96" s="32"/>
      <c r="OGP96" s="32"/>
      <c r="OGQ96" s="32"/>
      <c r="OGR96" s="32"/>
      <c r="OGS96" s="32"/>
      <c r="OGT96" s="32"/>
      <c r="OGU96" s="32"/>
      <c r="OGV96" s="32"/>
      <c r="OGW96" s="32"/>
      <c r="OGX96" s="32"/>
      <c r="OGY96" s="32"/>
      <c r="OGZ96" s="32"/>
      <c r="OHA96" s="32"/>
      <c r="OHB96" s="32"/>
      <c r="OHC96" s="32"/>
      <c r="OHD96" s="32"/>
      <c r="OHE96" s="32"/>
      <c r="OHF96" s="32"/>
      <c r="OHG96" s="32"/>
      <c r="OHH96" s="32"/>
      <c r="OHI96" s="32"/>
      <c r="OHJ96" s="32"/>
      <c r="OHK96" s="32"/>
      <c r="OHL96" s="32"/>
      <c r="OHM96" s="32"/>
      <c r="OHN96" s="32"/>
      <c r="OHO96" s="32"/>
      <c r="OHP96" s="32"/>
      <c r="OHQ96" s="32"/>
      <c r="OHR96" s="32"/>
      <c r="OHS96" s="32"/>
      <c r="OHT96" s="32"/>
      <c r="OHU96" s="32"/>
      <c r="OHV96" s="32"/>
      <c r="OHW96" s="32"/>
      <c r="OHX96" s="32"/>
      <c r="OHY96" s="32"/>
      <c r="OHZ96" s="32"/>
      <c r="OIA96" s="32"/>
      <c r="OIB96" s="32"/>
      <c r="OIC96" s="32"/>
      <c r="OID96" s="32"/>
      <c r="OIE96" s="32"/>
      <c r="OIF96" s="32"/>
      <c r="OIG96" s="32"/>
      <c r="OIH96" s="32"/>
      <c r="OII96" s="32"/>
      <c r="OIJ96" s="32"/>
      <c r="OIK96" s="32"/>
      <c r="OIL96" s="32"/>
      <c r="OIM96" s="32"/>
      <c r="OIN96" s="32"/>
      <c r="OIO96" s="32"/>
      <c r="OIP96" s="32"/>
      <c r="OIQ96" s="32"/>
      <c r="OIR96" s="32"/>
      <c r="OIS96" s="32"/>
      <c r="OIT96" s="32"/>
      <c r="OIU96" s="32"/>
      <c r="OIV96" s="32"/>
      <c r="OIW96" s="32"/>
      <c r="OIX96" s="32"/>
      <c r="OIY96" s="32"/>
      <c r="OIZ96" s="32"/>
      <c r="OJA96" s="32"/>
      <c r="OJB96" s="32"/>
      <c r="OJC96" s="32"/>
      <c r="OJD96" s="32"/>
      <c r="OJE96" s="32"/>
      <c r="OJF96" s="32"/>
      <c r="OJG96" s="32"/>
      <c r="OJH96" s="32"/>
      <c r="OJI96" s="32"/>
      <c r="OJJ96" s="32"/>
      <c r="OJK96" s="32"/>
      <c r="OJL96" s="32"/>
      <c r="OJM96" s="32"/>
      <c r="OJN96" s="32"/>
      <c r="OJO96" s="32"/>
      <c r="OJP96" s="32"/>
      <c r="OJQ96" s="32"/>
      <c r="OJR96" s="32"/>
      <c r="OJS96" s="32"/>
      <c r="OJT96" s="32"/>
      <c r="OJU96" s="32"/>
      <c r="OJV96" s="32"/>
      <c r="OJW96" s="32"/>
      <c r="OJX96" s="32"/>
      <c r="OJY96" s="32"/>
      <c r="OJZ96" s="32"/>
      <c r="OKA96" s="32"/>
      <c r="OKB96" s="32"/>
      <c r="OKC96" s="32"/>
      <c r="OKD96" s="32"/>
      <c r="OKE96" s="32"/>
      <c r="OKF96" s="32"/>
      <c r="OKG96" s="32"/>
      <c r="OKH96" s="32"/>
      <c r="OKI96" s="32"/>
      <c r="OKJ96" s="32"/>
      <c r="OKK96" s="32"/>
      <c r="OKL96" s="32"/>
      <c r="OKM96" s="32"/>
      <c r="OKN96" s="32"/>
      <c r="OKO96" s="32"/>
      <c r="OKP96" s="32"/>
      <c r="OKQ96" s="32"/>
      <c r="OKR96" s="32"/>
      <c r="OKS96" s="32"/>
      <c r="OKT96" s="32"/>
      <c r="OKU96" s="32"/>
      <c r="OKV96" s="32"/>
      <c r="OKW96" s="32"/>
      <c r="OKX96" s="32"/>
      <c r="OKY96" s="32"/>
      <c r="OKZ96" s="32"/>
      <c r="OLA96" s="32"/>
      <c r="OLB96" s="32"/>
      <c r="OLC96" s="32"/>
      <c r="OLD96" s="32"/>
      <c r="OLE96" s="32"/>
      <c r="OLF96" s="32"/>
      <c r="OLG96" s="32"/>
      <c r="OLH96" s="32"/>
      <c r="OLI96" s="32"/>
      <c r="OLJ96" s="32"/>
      <c r="OLK96" s="32"/>
      <c r="OLL96" s="32"/>
      <c r="OLM96" s="32"/>
      <c r="OLN96" s="32"/>
      <c r="OLO96" s="32"/>
      <c r="OLP96" s="32"/>
      <c r="OLQ96" s="32"/>
      <c r="OLR96" s="32"/>
      <c r="OLS96" s="32"/>
      <c r="OLT96" s="32"/>
      <c r="OLU96" s="32"/>
      <c r="OLV96" s="32"/>
      <c r="OLW96" s="32"/>
      <c r="OLX96" s="32"/>
      <c r="OLY96" s="32"/>
      <c r="OLZ96" s="32"/>
      <c r="OMA96" s="32"/>
      <c r="OMB96" s="32"/>
      <c r="OMC96" s="32"/>
      <c r="OMD96" s="32"/>
      <c r="OME96" s="32"/>
      <c r="OMF96" s="32"/>
      <c r="OMG96" s="32"/>
      <c r="OMH96" s="32"/>
      <c r="OMI96" s="32"/>
      <c r="OMJ96" s="32"/>
      <c r="OMK96" s="32"/>
      <c r="OML96" s="32"/>
      <c r="OMM96" s="32"/>
      <c r="OMN96" s="32"/>
      <c r="OMO96" s="32"/>
      <c r="OMP96" s="32"/>
      <c r="OMQ96" s="32"/>
      <c r="OMR96" s="32"/>
      <c r="OMS96" s="32"/>
      <c r="OMT96" s="32"/>
      <c r="OMU96" s="32"/>
      <c r="OMV96" s="32"/>
      <c r="OMW96" s="32"/>
      <c r="OMX96" s="32"/>
      <c r="OMY96" s="32"/>
      <c r="OMZ96" s="32"/>
      <c r="ONA96" s="32"/>
      <c r="ONB96" s="32"/>
      <c r="ONC96" s="32"/>
      <c r="OND96" s="32"/>
      <c r="ONE96" s="32"/>
      <c r="ONF96" s="32"/>
      <c r="ONG96" s="32"/>
      <c r="ONH96" s="32"/>
      <c r="ONI96" s="32"/>
      <c r="ONJ96" s="32"/>
      <c r="ONK96" s="32"/>
      <c r="ONL96" s="32"/>
      <c r="ONM96" s="32"/>
      <c r="ONN96" s="32"/>
      <c r="ONO96" s="32"/>
      <c r="ONP96" s="32"/>
      <c r="ONQ96" s="32"/>
      <c r="ONR96" s="32"/>
      <c r="ONS96" s="32"/>
      <c r="ONT96" s="32"/>
      <c r="ONU96" s="32"/>
      <c r="ONV96" s="32"/>
      <c r="ONW96" s="32"/>
      <c r="ONX96" s="32"/>
      <c r="ONY96" s="32"/>
      <c r="ONZ96" s="32"/>
      <c r="OOA96" s="32"/>
      <c r="OOB96" s="32"/>
      <c r="OOC96" s="32"/>
      <c r="OOD96" s="32"/>
      <c r="OOE96" s="32"/>
      <c r="OOF96" s="32"/>
      <c r="OOG96" s="32"/>
      <c r="OOH96" s="32"/>
      <c r="OOI96" s="32"/>
      <c r="OOJ96" s="32"/>
      <c r="OOK96" s="32"/>
      <c r="OOL96" s="32"/>
      <c r="OOM96" s="32"/>
      <c r="OON96" s="32"/>
      <c r="OOO96" s="32"/>
      <c r="OOP96" s="32"/>
      <c r="OOQ96" s="32"/>
      <c r="OOR96" s="32"/>
      <c r="OOS96" s="32"/>
      <c r="OOT96" s="32"/>
      <c r="OOU96" s="32"/>
      <c r="OOV96" s="32"/>
      <c r="OOW96" s="32"/>
      <c r="OOX96" s="32"/>
      <c r="OOY96" s="32"/>
      <c r="OOZ96" s="32"/>
      <c r="OPA96" s="32"/>
      <c r="OPB96" s="32"/>
      <c r="OPC96" s="32"/>
      <c r="OPD96" s="32"/>
      <c r="OPE96" s="32"/>
      <c r="OPF96" s="32"/>
      <c r="OPG96" s="32"/>
      <c r="OPH96" s="32"/>
      <c r="OPI96" s="32"/>
      <c r="OPJ96" s="32"/>
      <c r="OPK96" s="32"/>
      <c r="OPL96" s="32"/>
      <c r="OPM96" s="32"/>
      <c r="OPN96" s="32"/>
      <c r="OPO96" s="32"/>
      <c r="OPP96" s="32"/>
      <c r="OPQ96" s="32"/>
      <c r="OPR96" s="32"/>
      <c r="OPS96" s="32"/>
      <c r="OPT96" s="32"/>
      <c r="OPU96" s="32"/>
      <c r="OPV96" s="32"/>
      <c r="OPW96" s="32"/>
      <c r="OPX96" s="32"/>
      <c r="OPY96" s="32"/>
      <c r="OPZ96" s="32"/>
      <c r="OQA96" s="32"/>
      <c r="OQB96" s="32"/>
      <c r="OQC96" s="32"/>
      <c r="OQD96" s="32"/>
      <c r="OQE96" s="32"/>
      <c r="OQF96" s="32"/>
      <c r="OQG96" s="32"/>
      <c r="OQH96" s="32"/>
      <c r="OQI96" s="32"/>
      <c r="OQJ96" s="32"/>
      <c r="OQK96" s="32"/>
      <c r="OQL96" s="32"/>
      <c r="OQM96" s="32"/>
      <c r="OQN96" s="32"/>
      <c r="OQO96" s="32"/>
      <c r="OQP96" s="32"/>
      <c r="OQQ96" s="32"/>
      <c r="OQR96" s="32"/>
      <c r="OQS96" s="32"/>
      <c r="OQT96" s="32"/>
      <c r="OQU96" s="32"/>
      <c r="OQV96" s="32"/>
      <c r="OQW96" s="32"/>
      <c r="OQX96" s="32"/>
      <c r="OQY96" s="32"/>
      <c r="OQZ96" s="32"/>
      <c r="ORA96" s="32"/>
      <c r="ORB96" s="32"/>
      <c r="ORC96" s="32"/>
      <c r="ORD96" s="32"/>
      <c r="ORE96" s="32"/>
      <c r="ORF96" s="32"/>
      <c r="ORG96" s="32"/>
      <c r="ORH96" s="32"/>
      <c r="ORI96" s="32"/>
      <c r="ORJ96" s="32"/>
      <c r="ORK96" s="32"/>
      <c r="ORL96" s="32"/>
      <c r="ORM96" s="32"/>
      <c r="ORN96" s="32"/>
      <c r="ORO96" s="32"/>
      <c r="ORP96" s="32"/>
      <c r="ORQ96" s="32"/>
      <c r="ORR96" s="32"/>
      <c r="ORS96" s="32"/>
      <c r="ORT96" s="32"/>
      <c r="ORU96" s="32"/>
      <c r="ORV96" s="32"/>
      <c r="ORW96" s="32"/>
      <c r="ORX96" s="32"/>
      <c r="ORY96" s="32"/>
      <c r="ORZ96" s="32"/>
      <c r="OSA96" s="32"/>
      <c r="OSB96" s="32"/>
      <c r="OSC96" s="32"/>
      <c r="OSD96" s="32"/>
      <c r="OSE96" s="32"/>
      <c r="OSF96" s="32"/>
      <c r="OSG96" s="32"/>
      <c r="OSH96" s="32"/>
      <c r="OSI96" s="32"/>
      <c r="OSJ96" s="32"/>
      <c r="OSK96" s="32"/>
      <c r="OSL96" s="32"/>
      <c r="OSM96" s="32"/>
      <c r="OSN96" s="32"/>
      <c r="OSO96" s="32"/>
      <c r="OSP96" s="32"/>
      <c r="OSQ96" s="32"/>
      <c r="OSR96" s="32"/>
      <c r="OSS96" s="32"/>
      <c r="OST96" s="32"/>
      <c r="OSU96" s="32"/>
      <c r="OSV96" s="32"/>
      <c r="OSW96" s="32"/>
      <c r="OSX96" s="32"/>
      <c r="OSY96" s="32"/>
      <c r="OSZ96" s="32"/>
      <c r="OTA96" s="32"/>
      <c r="OTB96" s="32"/>
      <c r="OTC96" s="32"/>
      <c r="OTD96" s="32"/>
      <c r="OTE96" s="32"/>
      <c r="OTF96" s="32"/>
      <c r="OTG96" s="32"/>
      <c r="OTH96" s="32"/>
      <c r="OTI96" s="32"/>
      <c r="OTJ96" s="32"/>
      <c r="OTK96" s="32"/>
      <c r="OTL96" s="32"/>
      <c r="OTM96" s="32"/>
      <c r="OTN96" s="32"/>
      <c r="OTO96" s="32"/>
      <c r="OTP96" s="32"/>
      <c r="OTQ96" s="32"/>
      <c r="OTR96" s="32"/>
      <c r="OTS96" s="32"/>
      <c r="OTT96" s="32"/>
      <c r="OTU96" s="32"/>
      <c r="OTV96" s="32"/>
      <c r="OTW96" s="32"/>
      <c r="OTX96" s="32"/>
      <c r="OTY96" s="32"/>
      <c r="OTZ96" s="32"/>
      <c r="OUA96" s="32"/>
      <c r="OUB96" s="32"/>
      <c r="OUC96" s="32"/>
      <c r="OUD96" s="32"/>
      <c r="OUE96" s="32"/>
      <c r="OUF96" s="32"/>
      <c r="OUG96" s="32"/>
      <c r="OUH96" s="32"/>
      <c r="OUI96" s="32"/>
      <c r="OUJ96" s="32"/>
      <c r="OUK96" s="32"/>
      <c r="OUL96" s="32"/>
      <c r="OUM96" s="32"/>
      <c r="OUN96" s="32"/>
      <c r="OUO96" s="32"/>
      <c r="OUP96" s="32"/>
      <c r="OUQ96" s="32"/>
      <c r="OUR96" s="32"/>
      <c r="OUS96" s="32"/>
      <c r="OUT96" s="32"/>
      <c r="OUU96" s="32"/>
      <c r="OUV96" s="32"/>
      <c r="OUW96" s="32"/>
      <c r="OUX96" s="32"/>
      <c r="OUY96" s="32"/>
      <c r="OUZ96" s="32"/>
      <c r="OVA96" s="32"/>
      <c r="OVB96" s="32"/>
      <c r="OVC96" s="32"/>
      <c r="OVD96" s="32"/>
      <c r="OVE96" s="32"/>
      <c r="OVF96" s="32"/>
      <c r="OVG96" s="32"/>
      <c r="OVH96" s="32"/>
      <c r="OVI96" s="32"/>
      <c r="OVJ96" s="32"/>
      <c r="OVK96" s="32"/>
      <c r="OVL96" s="32"/>
      <c r="OVM96" s="32"/>
      <c r="OVN96" s="32"/>
      <c r="OVO96" s="32"/>
      <c r="OVP96" s="32"/>
      <c r="OVQ96" s="32"/>
      <c r="OVR96" s="32"/>
      <c r="OVS96" s="32"/>
      <c r="OVT96" s="32"/>
      <c r="OVU96" s="32"/>
      <c r="OVV96" s="32"/>
      <c r="OVW96" s="32"/>
      <c r="OVX96" s="32"/>
      <c r="OVY96" s="32"/>
      <c r="OVZ96" s="32"/>
      <c r="OWA96" s="32"/>
      <c r="OWB96" s="32"/>
      <c r="OWC96" s="32"/>
      <c r="OWD96" s="32"/>
      <c r="OWE96" s="32"/>
      <c r="OWF96" s="32"/>
      <c r="OWG96" s="32"/>
      <c r="OWH96" s="32"/>
      <c r="OWI96" s="32"/>
      <c r="OWJ96" s="32"/>
      <c r="OWK96" s="32"/>
      <c r="OWL96" s="32"/>
      <c r="OWM96" s="32"/>
      <c r="OWN96" s="32"/>
      <c r="OWO96" s="32"/>
      <c r="OWP96" s="32"/>
      <c r="OWQ96" s="32"/>
      <c r="OWR96" s="32"/>
      <c r="OWS96" s="32"/>
      <c r="OWT96" s="32"/>
      <c r="OWU96" s="32"/>
      <c r="OWV96" s="32"/>
      <c r="OWW96" s="32"/>
      <c r="OWX96" s="32"/>
      <c r="OWY96" s="32"/>
      <c r="OWZ96" s="32"/>
      <c r="OXA96" s="32"/>
      <c r="OXB96" s="32"/>
      <c r="OXC96" s="32"/>
      <c r="OXD96" s="32"/>
      <c r="OXE96" s="32"/>
      <c r="OXF96" s="32"/>
      <c r="OXG96" s="32"/>
      <c r="OXH96" s="32"/>
      <c r="OXI96" s="32"/>
      <c r="OXJ96" s="32"/>
      <c r="OXK96" s="32"/>
      <c r="OXL96" s="32"/>
      <c r="OXM96" s="32"/>
      <c r="OXN96" s="32"/>
      <c r="OXO96" s="32"/>
      <c r="OXP96" s="32"/>
      <c r="OXQ96" s="32"/>
      <c r="OXR96" s="32"/>
      <c r="OXS96" s="32"/>
      <c r="OXT96" s="32"/>
      <c r="OXU96" s="32"/>
      <c r="OXV96" s="32"/>
      <c r="OXW96" s="32"/>
      <c r="OXX96" s="32"/>
      <c r="OXY96" s="32"/>
      <c r="OXZ96" s="32"/>
      <c r="OYA96" s="32"/>
      <c r="OYB96" s="32"/>
      <c r="OYC96" s="32"/>
      <c r="OYD96" s="32"/>
      <c r="OYE96" s="32"/>
      <c r="OYF96" s="32"/>
      <c r="OYG96" s="32"/>
      <c r="OYH96" s="32"/>
      <c r="OYI96" s="32"/>
      <c r="OYJ96" s="32"/>
      <c r="OYK96" s="32"/>
      <c r="OYL96" s="32"/>
      <c r="OYM96" s="32"/>
      <c r="OYN96" s="32"/>
      <c r="OYO96" s="32"/>
      <c r="OYP96" s="32"/>
      <c r="OYQ96" s="32"/>
      <c r="OYR96" s="32"/>
      <c r="OYS96" s="32"/>
      <c r="OYT96" s="32"/>
      <c r="OYU96" s="32"/>
      <c r="OYV96" s="32"/>
      <c r="OYW96" s="32"/>
      <c r="OYX96" s="32"/>
      <c r="OYY96" s="32"/>
      <c r="OYZ96" s="32"/>
      <c r="OZA96" s="32"/>
      <c r="OZB96" s="32"/>
      <c r="OZC96" s="32"/>
      <c r="OZD96" s="32"/>
      <c r="OZE96" s="32"/>
      <c r="OZF96" s="32"/>
      <c r="OZG96" s="32"/>
      <c r="OZH96" s="32"/>
      <c r="OZI96" s="32"/>
      <c r="OZJ96" s="32"/>
      <c r="OZK96" s="32"/>
      <c r="OZL96" s="32"/>
      <c r="OZM96" s="32"/>
      <c r="OZN96" s="32"/>
      <c r="OZO96" s="32"/>
      <c r="OZP96" s="32"/>
      <c r="OZQ96" s="32"/>
      <c r="OZR96" s="32"/>
      <c r="OZS96" s="32"/>
      <c r="OZT96" s="32"/>
      <c r="OZU96" s="32"/>
      <c r="OZV96" s="32"/>
      <c r="OZW96" s="32"/>
      <c r="OZX96" s="32"/>
      <c r="OZY96" s="32"/>
      <c r="OZZ96" s="32"/>
      <c r="PAA96" s="32"/>
      <c r="PAB96" s="32"/>
      <c r="PAC96" s="32"/>
      <c r="PAD96" s="32"/>
      <c r="PAE96" s="32"/>
      <c r="PAF96" s="32"/>
      <c r="PAG96" s="32"/>
      <c r="PAH96" s="32"/>
      <c r="PAI96" s="32"/>
      <c r="PAJ96" s="32"/>
      <c r="PAK96" s="32"/>
      <c r="PAL96" s="32"/>
      <c r="PAM96" s="32"/>
      <c r="PAN96" s="32"/>
      <c r="PAO96" s="32"/>
      <c r="PAP96" s="32"/>
      <c r="PAQ96" s="32"/>
      <c r="PAR96" s="32"/>
      <c r="PAS96" s="32"/>
      <c r="PAT96" s="32"/>
      <c r="PAU96" s="32"/>
      <c r="PAV96" s="32"/>
      <c r="PAW96" s="32"/>
      <c r="PAX96" s="32"/>
      <c r="PAY96" s="32"/>
      <c r="PAZ96" s="32"/>
      <c r="PBA96" s="32"/>
      <c r="PBB96" s="32"/>
      <c r="PBC96" s="32"/>
      <c r="PBD96" s="32"/>
      <c r="PBE96" s="32"/>
      <c r="PBF96" s="32"/>
      <c r="PBG96" s="32"/>
      <c r="PBH96" s="32"/>
      <c r="PBI96" s="32"/>
      <c r="PBJ96" s="32"/>
      <c r="PBK96" s="32"/>
      <c r="PBL96" s="32"/>
      <c r="PBM96" s="32"/>
      <c r="PBN96" s="32"/>
      <c r="PBO96" s="32"/>
      <c r="PBP96" s="32"/>
      <c r="PBQ96" s="32"/>
      <c r="PBR96" s="32"/>
      <c r="PBS96" s="32"/>
      <c r="PBT96" s="32"/>
      <c r="PBU96" s="32"/>
      <c r="PBV96" s="32"/>
      <c r="PBW96" s="32"/>
      <c r="PBX96" s="32"/>
      <c r="PBY96" s="32"/>
      <c r="PBZ96" s="32"/>
      <c r="PCA96" s="32"/>
      <c r="PCB96" s="32"/>
      <c r="PCC96" s="32"/>
      <c r="PCD96" s="32"/>
      <c r="PCE96" s="32"/>
      <c r="PCF96" s="32"/>
      <c r="PCG96" s="32"/>
      <c r="PCH96" s="32"/>
      <c r="PCI96" s="32"/>
      <c r="PCJ96" s="32"/>
      <c r="PCK96" s="32"/>
      <c r="PCL96" s="32"/>
      <c r="PCM96" s="32"/>
      <c r="PCN96" s="32"/>
      <c r="PCO96" s="32"/>
      <c r="PCP96" s="32"/>
      <c r="PCQ96" s="32"/>
      <c r="PCR96" s="32"/>
      <c r="PCS96" s="32"/>
      <c r="PCT96" s="32"/>
      <c r="PCU96" s="32"/>
      <c r="PCV96" s="32"/>
      <c r="PCW96" s="32"/>
      <c r="PCX96" s="32"/>
      <c r="PCY96" s="32"/>
      <c r="PCZ96" s="32"/>
      <c r="PDA96" s="32"/>
      <c r="PDB96" s="32"/>
      <c r="PDC96" s="32"/>
      <c r="PDD96" s="32"/>
      <c r="PDE96" s="32"/>
      <c r="PDF96" s="32"/>
      <c r="PDG96" s="32"/>
      <c r="PDH96" s="32"/>
      <c r="PDI96" s="32"/>
      <c r="PDJ96" s="32"/>
      <c r="PDK96" s="32"/>
      <c r="PDL96" s="32"/>
      <c r="PDM96" s="32"/>
      <c r="PDN96" s="32"/>
      <c r="PDO96" s="32"/>
      <c r="PDP96" s="32"/>
      <c r="PDQ96" s="32"/>
      <c r="PDR96" s="32"/>
      <c r="PDS96" s="32"/>
      <c r="PDT96" s="32"/>
      <c r="PDU96" s="32"/>
      <c r="PDV96" s="32"/>
      <c r="PDW96" s="32"/>
      <c r="PDX96" s="32"/>
      <c r="PDY96" s="32"/>
      <c r="PDZ96" s="32"/>
      <c r="PEA96" s="32"/>
      <c r="PEB96" s="32"/>
      <c r="PEC96" s="32"/>
      <c r="PED96" s="32"/>
      <c r="PEE96" s="32"/>
      <c r="PEF96" s="32"/>
      <c r="PEG96" s="32"/>
      <c r="PEH96" s="32"/>
      <c r="PEI96" s="32"/>
      <c r="PEJ96" s="32"/>
      <c r="PEK96" s="32"/>
      <c r="PEL96" s="32"/>
      <c r="PEM96" s="32"/>
      <c r="PEN96" s="32"/>
      <c r="PEO96" s="32"/>
      <c r="PEP96" s="32"/>
      <c r="PEQ96" s="32"/>
      <c r="PER96" s="32"/>
      <c r="PES96" s="32"/>
      <c r="PET96" s="32"/>
      <c r="PEU96" s="32"/>
      <c r="PEV96" s="32"/>
      <c r="PEW96" s="32"/>
      <c r="PEX96" s="32"/>
      <c r="PEY96" s="32"/>
      <c r="PEZ96" s="32"/>
      <c r="PFA96" s="32"/>
      <c r="PFB96" s="32"/>
      <c r="PFC96" s="32"/>
      <c r="PFD96" s="32"/>
      <c r="PFE96" s="32"/>
      <c r="PFF96" s="32"/>
      <c r="PFG96" s="32"/>
      <c r="PFH96" s="32"/>
      <c r="PFI96" s="32"/>
      <c r="PFJ96" s="32"/>
      <c r="PFK96" s="32"/>
      <c r="PFL96" s="32"/>
      <c r="PFM96" s="32"/>
      <c r="PFN96" s="32"/>
      <c r="PFO96" s="32"/>
      <c r="PFP96" s="32"/>
      <c r="PFQ96" s="32"/>
      <c r="PFR96" s="32"/>
      <c r="PFS96" s="32"/>
      <c r="PFT96" s="32"/>
      <c r="PFU96" s="32"/>
      <c r="PFV96" s="32"/>
      <c r="PFW96" s="32"/>
      <c r="PFX96" s="32"/>
      <c r="PFY96" s="32"/>
      <c r="PFZ96" s="32"/>
      <c r="PGA96" s="32"/>
      <c r="PGB96" s="32"/>
      <c r="PGC96" s="32"/>
      <c r="PGD96" s="32"/>
      <c r="PGE96" s="32"/>
      <c r="PGF96" s="32"/>
      <c r="PGG96" s="32"/>
      <c r="PGH96" s="32"/>
      <c r="PGI96" s="32"/>
      <c r="PGJ96" s="32"/>
      <c r="PGK96" s="32"/>
      <c r="PGL96" s="32"/>
      <c r="PGM96" s="32"/>
      <c r="PGN96" s="32"/>
      <c r="PGO96" s="32"/>
      <c r="PGP96" s="32"/>
      <c r="PGQ96" s="32"/>
      <c r="PGR96" s="32"/>
      <c r="PGS96" s="32"/>
      <c r="PGT96" s="32"/>
      <c r="PGU96" s="32"/>
      <c r="PGV96" s="32"/>
      <c r="PGW96" s="32"/>
      <c r="PGX96" s="32"/>
      <c r="PGY96" s="32"/>
      <c r="PGZ96" s="32"/>
      <c r="PHA96" s="32"/>
      <c r="PHB96" s="32"/>
      <c r="PHC96" s="32"/>
      <c r="PHD96" s="32"/>
      <c r="PHE96" s="32"/>
      <c r="PHF96" s="32"/>
      <c r="PHG96" s="32"/>
      <c r="PHH96" s="32"/>
      <c r="PHI96" s="32"/>
      <c r="PHJ96" s="32"/>
      <c r="PHK96" s="32"/>
      <c r="PHL96" s="32"/>
      <c r="PHM96" s="32"/>
      <c r="PHN96" s="32"/>
      <c r="PHO96" s="32"/>
      <c r="PHP96" s="32"/>
      <c r="PHQ96" s="32"/>
      <c r="PHR96" s="32"/>
      <c r="PHS96" s="32"/>
      <c r="PHT96" s="32"/>
      <c r="PHU96" s="32"/>
      <c r="PHV96" s="32"/>
      <c r="PHW96" s="32"/>
      <c r="PHX96" s="32"/>
      <c r="PHY96" s="32"/>
      <c r="PHZ96" s="32"/>
      <c r="PIA96" s="32"/>
      <c r="PIB96" s="32"/>
      <c r="PIC96" s="32"/>
      <c r="PID96" s="32"/>
      <c r="PIE96" s="32"/>
      <c r="PIF96" s="32"/>
      <c r="PIG96" s="32"/>
      <c r="PIH96" s="32"/>
      <c r="PII96" s="32"/>
      <c r="PIJ96" s="32"/>
      <c r="PIK96" s="32"/>
      <c r="PIL96" s="32"/>
      <c r="PIM96" s="32"/>
      <c r="PIN96" s="32"/>
      <c r="PIO96" s="32"/>
      <c r="PIP96" s="32"/>
      <c r="PIQ96" s="32"/>
      <c r="PIR96" s="32"/>
      <c r="PIS96" s="32"/>
      <c r="PIT96" s="32"/>
      <c r="PIU96" s="32"/>
      <c r="PIV96" s="32"/>
      <c r="PIW96" s="32"/>
      <c r="PIX96" s="32"/>
      <c r="PIY96" s="32"/>
      <c r="PIZ96" s="32"/>
      <c r="PJA96" s="32"/>
      <c r="PJB96" s="32"/>
      <c r="PJC96" s="32"/>
      <c r="PJD96" s="32"/>
      <c r="PJE96" s="32"/>
      <c r="PJF96" s="32"/>
      <c r="PJG96" s="32"/>
      <c r="PJH96" s="32"/>
      <c r="PJI96" s="32"/>
      <c r="PJJ96" s="32"/>
      <c r="PJK96" s="32"/>
      <c r="PJL96" s="32"/>
      <c r="PJM96" s="32"/>
      <c r="PJN96" s="32"/>
      <c r="PJO96" s="32"/>
      <c r="PJP96" s="32"/>
      <c r="PJQ96" s="32"/>
      <c r="PJR96" s="32"/>
      <c r="PJS96" s="32"/>
      <c r="PJT96" s="32"/>
      <c r="PJU96" s="32"/>
      <c r="PJV96" s="32"/>
      <c r="PJW96" s="32"/>
      <c r="PJX96" s="32"/>
      <c r="PJY96" s="32"/>
      <c r="PJZ96" s="32"/>
      <c r="PKA96" s="32"/>
      <c r="PKB96" s="32"/>
      <c r="PKC96" s="32"/>
      <c r="PKD96" s="32"/>
      <c r="PKE96" s="32"/>
      <c r="PKF96" s="32"/>
      <c r="PKG96" s="32"/>
      <c r="PKH96" s="32"/>
      <c r="PKI96" s="32"/>
      <c r="PKJ96" s="32"/>
      <c r="PKK96" s="32"/>
      <c r="PKL96" s="32"/>
      <c r="PKM96" s="32"/>
      <c r="PKN96" s="32"/>
      <c r="PKO96" s="32"/>
      <c r="PKP96" s="32"/>
      <c r="PKQ96" s="32"/>
      <c r="PKR96" s="32"/>
      <c r="PKS96" s="32"/>
      <c r="PKT96" s="32"/>
      <c r="PKU96" s="32"/>
      <c r="PKV96" s="32"/>
      <c r="PKW96" s="32"/>
      <c r="PKX96" s="32"/>
      <c r="PKY96" s="32"/>
      <c r="PKZ96" s="32"/>
      <c r="PLA96" s="32"/>
      <c r="PLB96" s="32"/>
      <c r="PLC96" s="32"/>
      <c r="PLD96" s="32"/>
      <c r="PLE96" s="32"/>
      <c r="PLF96" s="32"/>
      <c r="PLG96" s="32"/>
      <c r="PLH96" s="32"/>
      <c r="PLI96" s="32"/>
      <c r="PLJ96" s="32"/>
      <c r="PLK96" s="32"/>
      <c r="PLL96" s="32"/>
      <c r="PLM96" s="32"/>
      <c r="PLN96" s="32"/>
      <c r="PLO96" s="32"/>
      <c r="PLP96" s="32"/>
      <c r="PLQ96" s="32"/>
      <c r="PLR96" s="32"/>
      <c r="PLS96" s="32"/>
      <c r="PLT96" s="32"/>
      <c r="PLU96" s="32"/>
      <c r="PLV96" s="32"/>
      <c r="PLW96" s="32"/>
      <c r="PLX96" s="32"/>
      <c r="PLY96" s="32"/>
      <c r="PLZ96" s="32"/>
      <c r="PMA96" s="32"/>
      <c r="PMB96" s="32"/>
      <c r="PMC96" s="32"/>
      <c r="PMD96" s="32"/>
      <c r="PME96" s="32"/>
      <c r="PMF96" s="32"/>
      <c r="PMG96" s="32"/>
      <c r="PMH96" s="32"/>
      <c r="PMI96" s="32"/>
      <c r="PMJ96" s="32"/>
      <c r="PMK96" s="32"/>
      <c r="PML96" s="32"/>
      <c r="PMM96" s="32"/>
      <c r="PMN96" s="32"/>
      <c r="PMO96" s="32"/>
      <c r="PMP96" s="32"/>
      <c r="PMQ96" s="32"/>
      <c r="PMR96" s="32"/>
      <c r="PMS96" s="32"/>
      <c r="PMT96" s="32"/>
      <c r="PMU96" s="32"/>
      <c r="PMV96" s="32"/>
      <c r="PMW96" s="32"/>
      <c r="PMX96" s="32"/>
      <c r="PMY96" s="32"/>
      <c r="PMZ96" s="32"/>
      <c r="PNA96" s="32"/>
      <c r="PNB96" s="32"/>
      <c r="PNC96" s="32"/>
      <c r="PND96" s="32"/>
      <c r="PNE96" s="32"/>
      <c r="PNF96" s="32"/>
      <c r="PNG96" s="32"/>
      <c r="PNH96" s="32"/>
      <c r="PNI96" s="32"/>
      <c r="PNJ96" s="32"/>
      <c r="PNK96" s="32"/>
      <c r="PNL96" s="32"/>
      <c r="PNM96" s="32"/>
      <c r="PNN96" s="32"/>
      <c r="PNO96" s="32"/>
      <c r="PNP96" s="32"/>
      <c r="PNQ96" s="32"/>
      <c r="PNR96" s="32"/>
      <c r="PNS96" s="32"/>
      <c r="PNT96" s="32"/>
      <c r="PNU96" s="32"/>
      <c r="PNV96" s="32"/>
      <c r="PNW96" s="32"/>
      <c r="PNX96" s="32"/>
      <c r="PNY96" s="32"/>
      <c r="PNZ96" s="32"/>
      <c r="POA96" s="32"/>
      <c r="POB96" s="32"/>
      <c r="POC96" s="32"/>
      <c r="POD96" s="32"/>
      <c r="POE96" s="32"/>
      <c r="POF96" s="32"/>
      <c r="POG96" s="32"/>
      <c r="POH96" s="32"/>
      <c r="POI96" s="32"/>
      <c r="POJ96" s="32"/>
      <c r="POK96" s="32"/>
      <c r="POL96" s="32"/>
      <c r="POM96" s="32"/>
      <c r="PON96" s="32"/>
      <c r="POO96" s="32"/>
      <c r="POP96" s="32"/>
      <c r="POQ96" s="32"/>
      <c r="POR96" s="32"/>
      <c r="POS96" s="32"/>
      <c r="POT96" s="32"/>
      <c r="POU96" s="32"/>
      <c r="POV96" s="32"/>
      <c r="POW96" s="32"/>
      <c r="POX96" s="32"/>
      <c r="POY96" s="32"/>
      <c r="POZ96" s="32"/>
      <c r="PPA96" s="32"/>
      <c r="PPB96" s="32"/>
      <c r="PPC96" s="32"/>
      <c r="PPD96" s="32"/>
      <c r="PPE96" s="32"/>
      <c r="PPF96" s="32"/>
      <c r="PPG96" s="32"/>
      <c r="PPH96" s="32"/>
      <c r="PPI96" s="32"/>
      <c r="PPJ96" s="32"/>
      <c r="PPK96" s="32"/>
      <c r="PPL96" s="32"/>
      <c r="PPM96" s="32"/>
      <c r="PPN96" s="32"/>
      <c r="PPO96" s="32"/>
      <c r="PPP96" s="32"/>
      <c r="PPQ96" s="32"/>
      <c r="PPR96" s="32"/>
      <c r="PPS96" s="32"/>
      <c r="PPT96" s="32"/>
      <c r="PPU96" s="32"/>
      <c r="PPV96" s="32"/>
      <c r="PPW96" s="32"/>
      <c r="PPX96" s="32"/>
      <c r="PPY96" s="32"/>
      <c r="PPZ96" s="32"/>
      <c r="PQA96" s="32"/>
      <c r="PQB96" s="32"/>
      <c r="PQC96" s="32"/>
      <c r="PQD96" s="32"/>
      <c r="PQE96" s="32"/>
      <c r="PQF96" s="32"/>
      <c r="PQG96" s="32"/>
      <c r="PQH96" s="32"/>
      <c r="PQI96" s="32"/>
      <c r="PQJ96" s="32"/>
      <c r="PQK96" s="32"/>
      <c r="PQL96" s="32"/>
      <c r="PQM96" s="32"/>
      <c r="PQN96" s="32"/>
      <c r="PQO96" s="32"/>
      <c r="PQP96" s="32"/>
      <c r="PQQ96" s="32"/>
      <c r="PQR96" s="32"/>
      <c r="PQS96" s="32"/>
      <c r="PQT96" s="32"/>
      <c r="PQU96" s="32"/>
      <c r="PQV96" s="32"/>
      <c r="PQW96" s="32"/>
      <c r="PQX96" s="32"/>
      <c r="PQY96" s="32"/>
      <c r="PQZ96" s="32"/>
      <c r="PRA96" s="32"/>
      <c r="PRB96" s="32"/>
      <c r="PRC96" s="32"/>
      <c r="PRD96" s="32"/>
      <c r="PRE96" s="32"/>
      <c r="PRF96" s="32"/>
      <c r="PRG96" s="32"/>
      <c r="PRH96" s="32"/>
      <c r="PRI96" s="32"/>
      <c r="PRJ96" s="32"/>
      <c r="PRK96" s="32"/>
      <c r="PRL96" s="32"/>
      <c r="PRM96" s="32"/>
      <c r="PRN96" s="32"/>
      <c r="PRO96" s="32"/>
      <c r="PRP96" s="32"/>
      <c r="PRQ96" s="32"/>
      <c r="PRR96" s="32"/>
      <c r="PRS96" s="32"/>
      <c r="PRT96" s="32"/>
      <c r="PRU96" s="32"/>
      <c r="PRV96" s="32"/>
      <c r="PRW96" s="32"/>
      <c r="PRX96" s="32"/>
      <c r="PRY96" s="32"/>
      <c r="PRZ96" s="32"/>
      <c r="PSA96" s="32"/>
      <c r="PSB96" s="32"/>
      <c r="PSC96" s="32"/>
      <c r="PSD96" s="32"/>
      <c r="PSE96" s="32"/>
      <c r="PSF96" s="32"/>
      <c r="PSG96" s="32"/>
      <c r="PSH96" s="32"/>
      <c r="PSI96" s="32"/>
      <c r="PSJ96" s="32"/>
      <c r="PSK96" s="32"/>
      <c r="PSL96" s="32"/>
      <c r="PSM96" s="32"/>
      <c r="PSN96" s="32"/>
      <c r="PSO96" s="32"/>
      <c r="PSP96" s="32"/>
      <c r="PSQ96" s="32"/>
      <c r="PSR96" s="32"/>
      <c r="PSS96" s="32"/>
      <c r="PST96" s="32"/>
      <c r="PSU96" s="32"/>
      <c r="PSV96" s="32"/>
      <c r="PSW96" s="32"/>
      <c r="PSX96" s="32"/>
      <c r="PSY96" s="32"/>
      <c r="PSZ96" s="32"/>
      <c r="PTA96" s="32"/>
      <c r="PTB96" s="32"/>
      <c r="PTC96" s="32"/>
      <c r="PTD96" s="32"/>
      <c r="PTE96" s="32"/>
      <c r="PTF96" s="32"/>
      <c r="PTG96" s="32"/>
      <c r="PTH96" s="32"/>
      <c r="PTI96" s="32"/>
      <c r="PTJ96" s="32"/>
      <c r="PTK96" s="32"/>
      <c r="PTL96" s="32"/>
      <c r="PTM96" s="32"/>
      <c r="PTN96" s="32"/>
      <c r="PTO96" s="32"/>
      <c r="PTP96" s="32"/>
      <c r="PTQ96" s="32"/>
      <c r="PTR96" s="32"/>
      <c r="PTS96" s="32"/>
      <c r="PTT96" s="32"/>
      <c r="PTU96" s="32"/>
      <c r="PTV96" s="32"/>
      <c r="PTW96" s="32"/>
      <c r="PTX96" s="32"/>
      <c r="PTY96" s="32"/>
      <c r="PTZ96" s="32"/>
      <c r="PUA96" s="32"/>
      <c r="PUB96" s="32"/>
      <c r="PUC96" s="32"/>
      <c r="PUD96" s="32"/>
      <c r="PUE96" s="32"/>
      <c r="PUF96" s="32"/>
      <c r="PUG96" s="32"/>
      <c r="PUH96" s="32"/>
      <c r="PUI96" s="32"/>
      <c r="PUJ96" s="32"/>
      <c r="PUK96" s="32"/>
      <c r="PUL96" s="32"/>
      <c r="PUM96" s="32"/>
      <c r="PUN96" s="32"/>
      <c r="PUO96" s="32"/>
      <c r="PUP96" s="32"/>
      <c r="PUQ96" s="32"/>
      <c r="PUR96" s="32"/>
      <c r="PUS96" s="32"/>
      <c r="PUT96" s="32"/>
      <c r="PUU96" s="32"/>
      <c r="PUV96" s="32"/>
      <c r="PUW96" s="32"/>
      <c r="PUX96" s="32"/>
      <c r="PUY96" s="32"/>
      <c r="PUZ96" s="32"/>
      <c r="PVA96" s="32"/>
      <c r="PVB96" s="32"/>
      <c r="PVC96" s="32"/>
      <c r="PVD96" s="32"/>
      <c r="PVE96" s="32"/>
      <c r="PVF96" s="32"/>
      <c r="PVG96" s="32"/>
      <c r="PVH96" s="32"/>
      <c r="PVI96" s="32"/>
      <c r="PVJ96" s="32"/>
      <c r="PVK96" s="32"/>
      <c r="PVL96" s="32"/>
      <c r="PVM96" s="32"/>
      <c r="PVN96" s="32"/>
      <c r="PVO96" s="32"/>
      <c r="PVP96" s="32"/>
      <c r="PVQ96" s="32"/>
      <c r="PVR96" s="32"/>
      <c r="PVS96" s="32"/>
      <c r="PVT96" s="32"/>
      <c r="PVU96" s="32"/>
      <c r="PVV96" s="32"/>
      <c r="PVW96" s="32"/>
      <c r="PVX96" s="32"/>
      <c r="PVY96" s="32"/>
      <c r="PVZ96" s="32"/>
      <c r="PWA96" s="32"/>
      <c r="PWB96" s="32"/>
      <c r="PWC96" s="32"/>
      <c r="PWD96" s="32"/>
      <c r="PWE96" s="32"/>
      <c r="PWF96" s="32"/>
      <c r="PWG96" s="32"/>
      <c r="PWH96" s="32"/>
      <c r="PWI96" s="32"/>
      <c r="PWJ96" s="32"/>
      <c r="PWK96" s="32"/>
      <c r="PWL96" s="32"/>
      <c r="PWM96" s="32"/>
      <c r="PWN96" s="32"/>
      <c r="PWO96" s="32"/>
      <c r="PWP96" s="32"/>
      <c r="PWQ96" s="32"/>
      <c r="PWR96" s="32"/>
      <c r="PWS96" s="32"/>
      <c r="PWT96" s="32"/>
      <c r="PWU96" s="32"/>
      <c r="PWV96" s="32"/>
      <c r="PWW96" s="32"/>
      <c r="PWX96" s="32"/>
      <c r="PWY96" s="32"/>
      <c r="PWZ96" s="32"/>
      <c r="PXA96" s="32"/>
      <c r="PXB96" s="32"/>
      <c r="PXC96" s="32"/>
      <c r="PXD96" s="32"/>
      <c r="PXE96" s="32"/>
      <c r="PXF96" s="32"/>
      <c r="PXG96" s="32"/>
      <c r="PXH96" s="32"/>
      <c r="PXI96" s="32"/>
      <c r="PXJ96" s="32"/>
      <c r="PXK96" s="32"/>
      <c r="PXL96" s="32"/>
      <c r="PXM96" s="32"/>
      <c r="PXN96" s="32"/>
      <c r="PXO96" s="32"/>
      <c r="PXP96" s="32"/>
      <c r="PXQ96" s="32"/>
      <c r="PXR96" s="32"/>
      <c r="PXS96" s="32"/>
      <c r="PXT96" s="32"/>
      <c r="PXU96" s="32"/>
      <c r="PXV96" s="32"/>
      <c r="PXW96" s="32"/>
      <c r="PXX96" s="32"/>
      <c r="PXY96" s="32"/>
      <c r="PXZ96" s="32"/>
      <c r="PYA96" s="32"/>
      <c r="PYB96" s="32"/>
      <c r="PYC96" s="32"/>
      <c r="PYD96" s="32"/>
      <c r="PYE96" s="32"/>
      <c r="PYF96" s="32"/>
      <c r="PYG96" s="32"/>
      <c r="PYH96" s="32"/>
      <c r="PYI96" s="32"/>
      <c r="PYJ96" s="32"/>
      <c r="PYK96" s="32"/>
      <c r="PYL96" s="32"/>
      <c r="PYM96" s="32"/>
      <c r="PYN96" s="32"/>
      <c r="PYO96" s="32"/>
      <c r="PYP96" s="32"/>
      <c r="PYQ96" s="32"/>
      <c r="PYR96" s="32"/>
      <c r="PYS96" s="32"/>
      <c r="PYT96" s="32"/>
      <c r="PYU96" s="32"/>
      <c r="PYV96" s="32"/>
      <c r="PYW96" s="32"/>
      <c r="PYX96" s="32"/>
      <c r="PYY96" s="32"/>
      <c r="PYZ96" s="32"/>
      <c r="PZA96" s="32"/>
      <c r="PZB96" s="32"/>
      <c r="PZC96" s="32"/>
      <c r="PZD96" s="32"/>
      <c r="PZE96" s="32"/>
      <c r="PZF96" s="32"/>
      <c r="PZG96" s="32"/>
      <c r="PZH96" s="32"/>
      <c r="PZI96" s="32"/>
      <c r="PZJ96" s="32"/>
      <c r="PZK96" s="32"/>
      <c r="PZL96" s="32"/>
      <c r="PZM96" s="32"/>
      <c r="PZN96" s="32"/>
      <c r="PZO96" s="32"/>
      <c r="PZP96" s="32"/>
      <c r="PZQ96" s="32"/>
      <c r="PZR96" s="32"/>
      <c r="PZS96" s="32"/>
      <c r="PZT96" s="32"/>
      <c r="PZU96" s="32"/>
      <c r="PZV96" s="32"/>
      <c r="PZW96" s="32"/>
      <c r="PZX96" s="32"/>
      <c r="PZY96" s="32"/>
      <c r="PZZ96" s="32"/>
      <c r="QAA96" s="32"/>
      <c r="QAB96" s="32"/>
      <c r="QAC96" s="32"/>
      <c r="QAD96" s="32"/>
      <c r="QAE96" s="32"/>
      <c r="QAF96" s="32"/>
      <c r="QAG96" s="32"/>
      <c r="QAH96" s="32"/>
      <c r="QAI96" s="32"/>
      <c r="QAJ96" s="32"/>
      <c r="QAK96" s="32"/>
      <c r="QAL96" s="32"/>
      <c r="QAM96" s="32"/>
      <c r="QAN96" s="32"/>
      <c r="QAO96" s="32"/>
      <c r="QAP96" s="32"/>
      <c r="QAQ96" s="32"/>
      <c r="QAR96" s="32"/>
      <c r="QAS96" s="32"/>
      <c r="QAT96" s="32"/>
      <c r="QAU96" s="32"/>
      <c r="QAV96" s="32"/>
      <c r="QAW96" s="32"/>
      <c r="QAX96" s="32"/>
      <c r="QAY96" s="32"/>
      <c r="QAZ96" s="32"/>
      <c r="QBA96" s="32"/>
      <c r="QBB96" s="32"/>
      <c r="QBC96" s="32"/>
      <c r="QBD96" s="32"/>
      <c r="QBE96" s="32"/>
      <c r="QBF96" s="32"/>
      <c r="QBG96" s="32"/>
      <c r="QBH96" s="32"/>
      <c r="QBI96" s="32"/>
      <c r="QBJ96" s="32"/>
      <c r="QBK96" s="32"/>
      <c r="QBL96" s="32"/>
      <c r="QBM96" s="32"/>
      <c r="QBN96" s="32"/>
      <c r="QBO96" s="32"/>
      <c r="QBP96" s="32"/>
      <c r="QBQ96" s="32"/>
      <c r="QBR96" s="32"/>
      <c r="QBS96" s="32"/>
      <c r="QBT96" s="32"/>
      <c r="QBU96" s="32"/>
      <c r="QBV96" s="32"/>
      <c r="QBW96" s="32"/>
      <c r="QBX96" s="32"/>
      <c r="QBY96" s="32"/>
      <c r="QBZ96" s="32"/>
      <c r="QCA96" s="32"/>
      <c r="QCB96" s="32"/>
      <c r="QCC96" s="32"/>
      <c r="QCD96" s="32"/>
      <c r="QCE96" s="32"/>
      <c r="QCF96" s="32"/>
      <c r="QCG96" s="32"/>
      <c r="QCH96" s="32"/>
      <c r="QCI96" s="32"/>
      <c r="QCJ96" s="32"/>
      <c r="QCK96" s="32"/>
      <c r="QCL96" s="32"/>
      <c r="QCM96" s="32"/>
      <c r="QCN96" s="32"/>
      <c r="QCO96" s="32"/>
      <c r="QCP96" s="32"/>
      <c r="QCQ96" s="32"/>
      <c r="QCR96" s="32"/>
      <c r="QCS96" s="32"/>
      <c r="QCT96" s="32"/>
      <c r="QCU96" s="32"/>
      <c r="QCV96" s="32"/>
      <c r="QCW96" s="32"/>
      <c r="QCX96" s="32"/>
      <c r="QCY96" s="32"/>
      <c r="QCZ96" s="32"/>
      <c r="QDA96" s="32"/>
      <c r="QDB96" s="32"/>
      <c r="QDC96" s="32"/>
      <c r="QDD96" s="32"/>
      <c r="QDE96" s="32"/>
      <c r="QDF96" s="32"/>
      <c r="QDG96" s="32"/>
      <c r="QDH96" s="32"/>
      <c r="QDI96" s="32"/>
      <c r="QDJ96" s="32"/>
      <c r="QDK96" s="32"/>
      <c r="QDL96" s="32"/>
      <c r="QDM96" s="32"/>
      <c r="QDN96" s="32"/>
      <c r="QDO96" s="32"/>
      <c r="QDP96" s="32"/>
      <c r="QDQ96" s="32"/>
      <c r="QDR96" s="32"/>
      <c r="QDS96" s="32"/>
      <c r="QDT96" s="32"/>
      <c r="QDU96" s="32"/>
      <c r="QDV96" s="32"/>
      <c r="QDW96" s="32"/>
      <c r="QDX96" s="32"/>
      <c r="QDY96" s="32"/>
      <c r="QDZ96" s="32"/>
      <c r="QEA96" s="32"/>
      <c r="QEB96" s="32"/>
      <c r="QEC96" s="32"/>
      <c r="QED96" s="32"/>
      <c r="QEE96" s="32"/>
      <c r="QEF96" s="32"/>
      <c r="QEG96" s="32"/>
      <c r="QEH96" s="32"/>
      <c r="QEI96" s="32"/>
      <c r="QEJ96" s="32"/>
      <c r="QEK96" s="32"/>
      <c r="QEL96" s="32"/>
      <c r="QEM96" s="32"/>
      <c r="QEN96" s="32"/>
      <c r="QEO96" s="32"/>
      <c r="QEP96" s="32"/>
      <c r="QEQ96" s="32"/>
      <c r="QER96" s="32"/>
      <c r="QES96" s="32"/>
      <c r="QET96" s="32"/>
      <c r="QEU96" s="32"/>
      <c r="QEV96" s="32"/>
      <c r="QEW96" s="32"/>
      <c r="QEX96" s="32"/>
      <c r="QEY96" s="32"/>
      <c r="QEZ96" s="32"/>
      <c r="QFA96" s="32"/>
      <c r="QFB96" s="32"/>
      <c r="QFC96" s="32"/>
      <c r="QFD96" s="32"/>
      <c r="QFE96" s="32"/>
      <c r="QFF96" s="32"/>
      <c r="QFG96" s="32"/>
      <c r="QFH96" s="32"/>
      <c r="QFI96" s="32"/>
      <c r="QFJ96" s="32"/>
      <c r="QFK96" s="32"/>
      <c r="QFL96" s="32"/>
      <c r="QFM96" s="32"/>
      <c r="QFN96" s="32"/>
      <c r="QFO96" s="32"/>
      <c r="QFP96" s="32"/>
      <c r="QFQ96" s="32"/>
      <c r="QFR96" s="32"/>
      <c r="QFS96" s="32"/>
      <c r="QFT96" s="32"/>
      <c r="QFU96" s="32"/>
      <c r="QFV96" s="32"/>
      <c r="QFW96" s="32"/>
      <c r="QFX96" s="32"/>
      <c r="QFY96" s="32"/>
      <c r="QFZ96" s="32"/>
      <c r="QGA96" s="32"/>
      <c r="QGB96" s="32"/>
      <c r="QGC96" s="32"/>
      <c r="QGD96" s="32"/>
      <c r="QGE96" s="32"/>
      <c r="QGF96" s="32"/>
      <c r="QGG96" s="32"/>
      <c r="QGH96" s="32"/>
      <c r="QGI96" s="32"/>
      <c r="QGJ96" s="32"/>
      <c r="QGK96" s="32"/>
      <c r="QGL96" s="32"/>
      <c r="QGM96" s="32"/>
      <c r="QGN96" s="32"/>
      <c r="QGO96" s="32"/>
      <c r="QGP96" s="32"/>
      <c r="QGQ96" s="32"/>
      <c r="QGR96" s="32"/>
      <c r="QGS96" s="32"/>
      <c r="QGT96" s="32"/>
      <c r="QGU96" s="32"/>
      <c r="QGV96" s="32"/>
      <c r="QGW96" s="32"/>
      <c r="QGX96" s="32"/>
      <c r="QGY96" s="32"/>
      <c r="QGZ96" s="32"/>
      <c r="QHA96" s="32"/>
      <c r="QHB96" s="32"/>
      <c r="QHC96" s="32"/>
      <c r="QHD96" s="32"/>
      <c r="QHE96" s="32"/>
      <c r="QHF96" s="32"/>
      <c r="QHG96" s="32"/>
      <c r="QHH96" s="32"/>
      <c r="QHI96" s="32"/>
      <c r="QHJ96" s="32"/>
      <c r="QHK96" s="32"/>
      <c r="QHL96" s="32"/>
      <c r="QHM96" s="32"/>
      <c r="QHN96" s="32"/>
      <c r="QHO96" s="32"/>
      <c r="QHP96" s="32"/>
      <c r="QHQ96" s="32"/>
      <c r="QHR96" s="32"/>
      <c r="QHS96" s="32"/>
      <c r="QHT96" s="32"/>
      <c r="QHU96" s="32"/>
      <c r="QHV96" s="32"/>
      <c r="QHW96" s="32"/>
      <c r="QHX96" s="32"/>
      <c r="QHY96" s="32"/>
      <c r="QHZ96" s="32"/>
      <c r="QIA96" s="32"/>
      <c r="QIB96" s="32"/>
      <c r="QIC96" s="32"/>
      <c r="QID96" s="32"/>
      <c r="QIE96" s="32"/>
      <c r="QIF96" s="32"/>
      <c r="QIG96" s="32"/>
      <c r="QIH96" s="32"/>
      <c r="QII96" s="32"/>
      <c r="QIJ96" s="32"/>
      <c r="QIK96" s="32"/>
      <c r="QIL96" s="32"/>
      <c r="QIM96" s="32"/>
      <c r="QIN96" s="32"/>
      <c r="QIO96" s="32"/>
      <c r="QIP96" s="32"/>
      <c r="QIQ96" s="32"/>
      <c r="QIR96" s="32"/>
      <c r="QIS96" s="32"/>
      <c r="QIT96" s="32"/>
      <c r="QIU96" s="32"/>
      <c r="QIV96" s="32"/>
      <c r="QIW96" s="32"/>
      <c r="QIX96" s="32"/>
      <c r="QIY96" s="32"/>
      <c r="QIZ96" s="32"/>
      <c r="QJA96" s="32"/>
      <c r="QJB96" s="32"/>
      <c r="QJC96" s="32"/>
      <c r="QJD96" s="32"/>
      <c r="QJE96" s="32"/>
      <c r="QJF96" s="32"/>
      <c r="QJG96" s="32"/>
      <c r="QJH96" s="32"/>
      <c r="QJI96" s="32"/>
      <c r="QJJ96" s="32"/>
      <c r="QJK96" s="32"/>
      <c r="QJL96" s="32"/>
      <c r="QJM96" s="32"/>
      <c r="QJN96" s="32"/>
      <c r="QJO96" s="32"/>
      <c r="QJP96" s="32"/>
      <c r="QJQ96" s="32"/>
      <c r="QJR96" s="32"/>
      <c r="QJS96" s="32"/>
      <c r="QJT96" s="32"/>
      <c r="QJU96" s="32"/>
      <c r="QJV96" s="32"/>
      <c r="QJW96" s="32"/>
      <c r="QJX96" s="32"/>
      <c r="QJY96" s="32"/>
      <c r="QJZ96" s="32"/>
      <c r="QKA96" s="32"/>
      <c r="QKB96" s="32"/>
      <c r="QKC96" s="32"/>
      <c r="QKD96" s="32"/>
      <c r="QKE96" s="32"/>
      <c r="QKF96" s="32"/>
      <c r="QKG96" s="32"/>
      <c r="QKH96" s="32"/>
      <c r="QKI96" s="32"/>
      <c r="QKJ96" s="32"/>
      <c r="QKK96" s="32"/>
      <c r="QKL96" s="32"/>
      <c r="QKM96" s="32"/>
      <c r="QKN96" s="32"/>
      <c r="QKO96" s="32"/>
      <c r="QKP96" s="32"/>
      <c r="QKQ96" s="32"/>
      <c r="QKR96" s="32"/>
      <c r="QKS96" s="32"/>
      <c r="QKT96" s="32"/>
      <c r="QKU96" s="32"/>
      <c r="QKV96" s="32"/>
      <c r="QKW96" s="32"/>
      <c r="QKX96" s="32"/>
      <c r="QKY96" s="32"/>
      <c r="QKZ96" s="32"/>
      <c r="QLA96" s="32"/>
      <c r="QLB96" s="32"/>
      <c r="QLC96" s="32"/>
      <c r="QLD96" s="32"/>
      <c r="QLE96" s="32"/>
      <c r="QLF96" s="32"/>
      <c r="QLG96" s="32"/>
      <c r="QLH96" s="32"/>
      <c r="QLI96" s="32"/>
      <c r="QLJ96" s="32"/>
      <c r="QLK96" s="32"/>
      <c r="QLL96" s="32"/>
      <c r="QLM96" s="32"/>
      <c r="QLN96" s="32"/>
      <c r="QLO96" s="32"/>
      <c r="QLP96" s="32"/>
      <c r="QLQ96" s="32"/>
      <c r="QLR96" s="32"/>
      <c r="QLS96" s="32"/>
      <c r="QLT96" s="32"/>
      <c r="QLU96" s="32"/>
      <c r="QLV96" s="32"/>
      <c r="QLW96" s="32"/>
      <c r="QLX96" s="32"/>
      <c r="QLY96" s="32"/>
      <c r="QLZ96" s="32"/>
      <c r="QMA96" s="32"/>
      <c r="QMB96" s="32"/>
      <c r="QMC96" s="32"/>
      <c r="QMD96" s="32"/>
      <c r="QME96" s="32"/>
      <c r="QMF96" s="32"/>
      <c r="QMG96" s="32"/>
      <c r="QMH96" s="32"/>
      <c r="QMI96" s="32"/>
      <c r="QMJ96" s="32"/>
      <c r="QMK96" s="32"/>
      <c r="QML96" s="32"/>
      <c r="QMM96" s="32"/>
      <c r="QMN96" s="32"/>
      <c r="QMO96" s="32"/>
      <c r="QMP96" s="32"/>
      <c r="QMQ96" s="32"/>
      <c r="QMR96" s="32"/>
      <c r="QMS96" s="32"/>
      <c r="QMT96" s="32"/>
      <c r="QMU96" s="32"/>
      <c r="QMV96" s="32"/>
      <c r="QMW96" s="32"/>
      <c r="QMX96" s="32"/>
      <c r="QMY96" s="32"/>
      <c r="QMZ96" s="32"/>
      <c r="QNA96" s="32"/>
      <c r="QNB96" s="32"/>
      <c r="QNC96" s="32"/>
      <c r="QND96" s="32"/>
      <c r="QNE96" s="32"/>
      <c r="QNF96" s="32"/>
      <c r="QNG96" s="32"/>
      <c r="QNH96" s="32"/>
      <c r="QNI96" s="32"/>
      <c r="QNJ96" s="32"/>
      <c r="QNK96" s="32"/>
      <c r="QNL96" s="32"/>
      <c r="QNM96" s="32"/>
      <c r="QNN96" s="32"/>
      <c r="QNO96" s="32"/>
      <c r="QNP96" s="32"/>
      <c r="QNQ96" s="32"/>
      <c r="QNR96" s="32"/>
      <c r="QNS96" s="32"/>
      <c r="QNT96" s="32"/>
      <c r="QNU96" s="32"/>
      <c r="QNV96" s="32"/>
      <c r="QNW96" s="32"/>
      <c r="QNX96" s="32"/>
      <c r="QNY96" s="32"/>
      <c r="QNZ96" s="32"/>
      <c r="QOA96" s="32"/>
      <c r="QOB96" s="32"/>
      <c r="QOC96" s="32"/>
      <c r="QOD96" s="32"/>
      <c r="QOE96" s="32"/>
      <c r="QOF96" s="32"/>
      <c r="QOG96" s="32"/>
      <c r="QOH96" s="32"/>
      <c r="QOI96" s="32"/>
      <c r="QOJ96" s="32"/>
      <c r="QOK96" s="32"/>
      <c r="QOL96" s="32"/>
      <c r="QOM96" s="32"/>
      <c r="QON96" s="32"/>
      <c r="QOO96" s="32"/>
      <c r="QOP96" s="32"/>
      <c r="QOQ96" s="32"/>
      <c r="QOR96" s="32"/>
      <c r="QOS96" s="32"/>
      <c r="QOT96" s="32"/>
      <c r="QOU96" s="32"/>
      <c r="QOV96" s="32"/>
      <c r="QOW96" s="32"/>
      <c r="QOX96" s="32"/>
      <c r="QOY96" s="32"/>
      <c r="QOZ96" s="32"/>
      <c r="QPA96" s="32"/>
      <c r="QPB96" s="32"/>
      <c r="QPC96" s="32"/>
      <c r="QPD96" s="32"/>
      <c r="QPE96" s="32"/>
      <c r="QPF96" s="32"/>
      <c r="QPG96" s="32"/>
      <c r="QPH96" s="32"/>
      <c r="QPI96" s="32"/>
      <c r="QPJ96" s="32"/>
      <c r="QPK96" s="32"/>
      <c r="QPL96" s="32"/>
      <c r="QPM96" s="32"/>
      <c r="QPN96" s="32"/>
      <c r="QPO96" s="32"/>
      <c r="QPP96" s="32"/>
      <c r="QPQ96" s="32"/>
      <c r="QPR96" s="32"/>
      <c r="QPS96" s="32"/>
      <c r="QPT96" s="32"/>
      <c r="QPU96" s="32"/>
      <c r="QPV96" s="32"/>
      <c r="QPW96" s="32"/>
      <c r="QPX96" s="32"/>
      <c r="QPY96" s="32"/>
      <c r="QPZ96" s="32"/>
      <c r="QQA96" s="32"/>
      <c r="QQB96" s="32"/>
      <c r="QQC96" s="32"/>
      <c r="QQD96" s="32"/>
      <c r="QQE96" s="32"/>
      <c r="QQF96" s="32"/>
      <c r="QQG96" s="32"/>
      <c r="QQH96" s="32"/>
      <c r="QQI96" s="32"/>
      <c r="QQJ96" s="32"/>
      <c r="QQK96" s="32"/>
      <c r="QQL96" s="32"/>
      <c r="QQM96" s="32"/>
      <c r="QQN96" s="32"/>
      <c r="QQO96" s="32"/>
      <c r="QQP96" s="32"/>
      <c r="QQQ96" s="32"/>
      <c r="QQR96" s="32"/>
      <c r="QQS96" s="32"/>
      <c r="QQT96" s="32"/>
      <c r="QQU96" s="32"/>
      <c r="QQV96" s="32"/>
      <c r="QQW96" s="32"/>
      <c r="QQX96" s="32"/>
      <c r="QQY96" s="32"/>
      <c r="QQZ96" s="32"/>
      <c r="QRA96" s="32"/>
      <c r="QRB96" s="32"/>
      <c r="QRC96" s="32"/>
      <c r="QRD96" s="32"/>
      <c r="QRE96" s="32"/>
      <c r="QRF96" s="32"/>
      <c r="QRG96" s="32"/>
      <c r="QRH96" s="32"/>
      <c r="QRI96" s="32"/>
      <c r="QRJ96" s="32"/>
      <c r="QRK96" s="32"/>
      <c r="QRL96" s="32"/>
      <c r="QRM96" s="32"/>
      <c r="QRN96" s="32"/>
      <c r="QRO96" s="32"/>
      <c r="QRP96" s="32"/>
      <c r="QRQ96" s="32"/>
      <c r="QRR96" s="32"/>
      <c r="QRS96" s="32"/>
      <c r="QRT96" s="32"/>
      <c r="QRU96" s="32"/>
      <c r="QRV96" s="32"/>
      <c r="QRW96" s="32"/>
      <c r="QRX96" s="32"/>
      <c r="QRY96" s="32"/>
      <c r="QRZ96" s="32"/>
      <c r="QSA96" s="32"/>
      <c r="QSB96" s="32"/>
      <c r="QSC96" s="32"/>
      <c r="QSD96" s="32"/>
      <c r="QSE96" s="32"/>
      <c r="QSF96" s="32"/>
      <c r="QSG96" s="32"/>
      <c r="QSH96" s="32"/>
      <c r="QSI96" s="32"/>
      <c r="QSJ96" s="32"/>
      <c r="QSK96" s="32"/>
      <c r="QSL96" s="32"/>
      <c r="QSM96" s="32"/>
      <c r="QSN96" s="32"/>
      <c r="QSO96" s="32"/>
      <c r="QSP96" s="32"/>
      <c r="QSQ96" s="32"/>
      <c r="QSR96" s="32"/>
      <c r="QSS96" s="32"/>
      <c r="QST96" s="32"/>
      <c r="QSU96" s="32"/>
      <c r="QSV96" s="32"/>
      <c r="QSW96" s="32"/>
      <c r="QSX96" s="32"/>
      <c r="QSY96" s="32"/>
      <c r="QSZ96" s="32"/>
      <c r="QTA96" s="32"/>
      <c r="QTB96" s="32"/>
      <c r="QTC96" s="32"/>
      <c r="QTD96" s="32"/>
      <c r="QTE96" s="32"/>
      <c r="QTF96" s="32"/>
      <c r="QTG96" s="32"/>
      <c r="QTH96" s="32"/>
      <c r="QTI96" s="32"/>
      <c r="QTJ96" s="32"/>
      <c r="QTK96" s="32"/>
      <c r="QTL96" s="32"/>
      <c r="QTM96" s="32"/>
      <c r="QTN96" s="32"/>
      <c r="QTO96" s="32"/>
      <c r="QTP96" s="32"/>
      <c r="QTQ96" s="32"/>
      <c r="QTR96" s="32"/>
      <c r="QTS96" s="32"/>
      <c r="QTT96" s="32"/>
      <c r="QTU96" s="32"/>
      <c r="QTV96" s="32"/>
      <c r="QTW96" s="32"/>
      <c r="QTX96" s="32"/>
      <c r="QTY96" s="32"/>
      <c r="QTZ96" s="32"/>
      <c r="QUA96" s="32"/>
      <c r="QUB96" s="32"/>
      <c r="QUC96" s="32"/>
      <c r="QUD96" s="32"/>
      <c r="QUE96" s="32"/>
      <c r="QUF96" s="32"/>
      <c r="QUG96" s="32"/>
      <c r="QUH96" s="32"/>
      <c r="QUI96" s="32"/>
      <c r="QUJ96" s="32"/>
      <c r="QUK96" s="32"/>
      <c r="QUL96" s="32"/>
      <c r="QUM96" s="32"/>
      <c r="QUN96" s="32"/>
      <c r="QUO96" s="32"/>
      <c r="QUP96" s="32"/>
      <c r="QUQ96" s="32"/>
      <c r="QUR96" s="32"/>
      <c r="QUS96" s="32"/>
      <c r="QUT96" s="32"/>
      <c r="QUU96" s="32"/>
      <c r="QUV96" s="32"/>
      <c r="QUW96" s="32"/>
      <c r="QUX96" s="32"/>
      <c r="QUY96" s="32"/>
      <c r="QUZ96" s="32"/>
      <c r="QVA96" s="32"/>
      <c r="QVB96" s="32"/>
      <c r="QVC96" s="32"/>
      <c r="QVD96" s="32"/>
      <c r="QVE96" s="32"/>
      <c r="QVF96" s="32"/>
      <c r="QVG96" s="32"/>
      <c r="QVH96" s="32"/>
      <c r="QVI96" s="32"/>
      <c r="QVJ96" s="32"/>
      <c r="QVK96" s="32"/>
      <c r="QVL96" s="32"/>
      <c r="QVM96" s="32"/>
      <c r="QVN96" s="32"/>
      <c r="QVO96" s="32"/>
      <c r="QVP96" s="32"/>
      <c r="QVQ96" s="32"/>
      <c r="QVR96" s="32"/>
      <c r="QVS96" s="32"/>
      <c r="QVT96" s="32"/>
      <c r="QVU96" s="32"/>
      <c r="QVV96" s="32"/>
      <c r="QVW96" s="32"/>
      <c r="QVX96" s="32"/>
      <c r="QVY96" s="32"/>
      <c r="QVZ96" s="32"/>
      <c r="QWA96" s="32"/>
      <c r="QWB96" s="32"/>
      <c r="QWC96" s="32"/>
      <c r="QWD96" s="32"/>
      <c r="QWE96" s="32"/>
      <c r="QWF96" s="32"/>
      <c r="QWG96" s="32"/>
      <c r="QWH96" s="32"/>
      <c r="QWI96" s="32"/>
      <c r="QWJ96" s="32"/>
      <c r="QWK96" s="32"/>
      <c r="QWL96" s="32"/>
      <c r="QWM96" s="32"/>
      <c r="QWN96" s="32"/>
      <c r="QWO96" s="32"/>
      <c r="QWP96" s="32"/>
      <c r="QWQ96" s="32"/>
      <c r="QWR96" s="32"/>
      <c r="QWS96" s="32"/>
      <c r="QWT96" s="32"/>
      <c r="QWU96" s="32"/>
      <c r="QWV96" s="32"/>
      <c r="QWW96" s="32"/>
      <c r="QWX96" s="32"/>
      <c r="QWY96" s="32"/>
      <c r="QWZ96" s="32"/>
      <c r="QXA96" s="32"/>
      <c r="QXB96" s="32"/>
      <c r="QXC96" s="32"/>
      <c r="QXD96" s="32"/>
      <c r="QXE96" s="32"/>
      <c r="QXF96" s="32"/>
      <c r="QXG96" s="32"/>
      <c r="QXH96" s="32"/>
      <c r="QXI96" s="32"/>
      <c r="QXJ96" s="32"/>
      <c r="QXK96" s="32"/>
      <c r="QXL96" s="32"/>
      <c r="QXM96" s="32"/>
      <c r="QXN96" s="32"/>
      <c r="QXO96" s="32"/>
      <c r="QXP96" s="32"/>
      <c r="QXQ96" s="32"/>
      <c r="QXR96" s="32"/>
      <c r="QXS96" s="32"/>
      <c r="QXT96" s="32"/>
      <c r="QXU96" s="32"/>
      <c r="QXV96" s="32"/>
      <c r="QXW96" s="32"/>
      <c r="QXX96" s="32"/>
      <c r="QXY96" s="32"/>
      <c r="QXZ96" s="32"/>
      <c r="QYA96" s="32"/>
      <c r="QYB96" s="32"/>
      <c r="QYC96" s="32"/>
      <c r="QYD96" s="32"/>
      <c r="QYE96" s="32"/>
      <c r="QYF96" s="32"/>
      <c r="QYG96" s="32"/>
      <c r="QYH96" s="32"/>
      <c r="QYI96" s="32"/>
      <c r="QYJ96" s="32"/>
      <c r="QYK96" s="32"/>
      <c r="QYL96" s="32"/>
      <c r="QYM96" s="32"/>
      <c r="QYN96" s="32"/>
      <c r="QYO96" s="32"/>
      <c r="QYP96" s="32"/>
      <c r="QYQ96" s="32"/>
      <c r="QYR96" s="32"/>
      <c r="QYS96" s="32"/>
      <c r="QYT96" s="32"/>
      <c r="QYU96" s="32"/>
      <c r="QYV96" s="32"/>
      <c r="QYW96" s="32"/>
      <c r="QYX96" s="32"/>
      <c r="QYY96" s="32"/>
      <c r="QYZ96" s="32"/>
      <c r="QZA96" s="32"/>
      <c r="QZB96" s="32"/>
      <c r="QZC96" s="32"/>
      <c r="QZD96" s="32"/>
      <c r="QZE96" s="32"/>
      <c r="QZF96" s="32"/>
      <c r="QZG96" s="32"/>
      <c r="QZH96" s="32"/>
      <c r="QZI96" s="32"/>
      <c r="QZJ96" s="32"/>
      <c r="QZK96" s="32"/>
      <c r="QZL96" s="32"/>
      <c r="QZM96" s="32"/>
      <c r="QZN96" s="32"/>
      <c r="QZO96" s="32"/>
      <c r="QZP96" s="32"/>
      <c r="QZQ96" s="32"/>
      <c r="QZR96" s="32"/>
      <c r="QZS96" s="32"/>
      <c r="QZT96" s="32"/>
      <c r="QZU96" s="32"/>
      <c r="QZV96" s="32"/>
      <c r="QZW96" s="32"/>
      <c r="QZX96" s="32"/>
      <c r="QZY96" s="32"/>
      <c r="QZZ96" s="32"/>
      <c r="RAA96" s="32"/>
      <c r="RAB96" s="32"/>
      <c r="RAC96" s="32"/>
      <c r="RAD96" s="32"/>
      <c r="RAE96" s="32"/>
      <c r="RAF96" s="32"/>
      <c r="RAG96" s="32"/>
      <c r="RAH96" s="32"/>
      <c r="RAI96" s="32"/>
      <c r="RAJ96" s="32"/>
      <c r="RAK96" s="32"/>
      <c r="RAL96" s="32"/>
      <c r="RAM96" s="32"/>
      <c r="RAN96" s="32"/>
      <c r="RAO96" s="32"/>
      <c r="RAP96" s="32"/>
      <c r="RAQ96" s="32"/>
      <c r="RAR96" s="32"/>
      <c r="RAS96" s="32"/>
      <c r="RAT96" s="32"/>
      <c r="RAU96" s="32"/>
      <c r="RAV96" s="32"/>
      <c r="RAW96" s="32"/>
      <c r="RAX96" s="32"/>
      <c r="RAY96" s="32"/>
      <c r="RAZ96" s="32"/>
      <c r="RBA96" s="32"/>
      <c r="RBB96" s="32"/>
      <c r="RBC96" s="32"/>
      <c r="RBD96" s="32"/>
      <c r="RBE96" s="32"/>
      <c r="RBF96" s="32"/>
      <c r="RBG96" s="32"/>
      <c r="RBH96" s="32"/>
      <c r="RBI96" s="32"/>
      <c r="RBJ96" s="32"/>
      <c r="RBK96" s="32"/>
      <c r="RBL96" s="32"/>
      <c r="RBM96" s="32"/>
      <c r="RBN96" s="32"/>
      <c r="RBO96" s="32"/>
      <c r="RBP96" s="32"/>
      <c r="RBQ96" s="32"/>
      <c r="RBR96" s="32"/>
      <c r="RBS96" s="32"/>
      <c r="RBT96" s="32"/>
      <c r="RBU96" s="32"/>
      <c r="RBV96" s="32"/>
      <c r="RBW96" s="32"/>
      <c r="RBX96" s="32"/>
      <c r="RBY96" s="32"/>
      <c r="RBZ96" s="32"/>
      <c r="RCA96" s="32"/>
      <c r="RCB96" s="32"/>
      <c r="RCC96" s="32"/>
      <c r="RCD96" s="32"/>
      <c r="RCE96" s="32"/>
      <c r="RCF96" s="32"/>
      <c r="RCG96" s="32"/>
      <c r="RCH96" s="32"/>
      <c r="RCI96" s="32"/>
      <c r="RCJ96" s="32"/>
      <c r="RCK96" s="32"/>
      <c r="RCL96" s="32"/>
      <c r="RCM96" s="32"/>
      <c r="RCN96" s="32"/>
      <c r="RCO96" s="32"/>
      <c r="RCP96" s="32"/>
      <c r="RCQ96" s="32"/>
      <c r="RCR96" s="32"/>
      <c r="RCS96" s="32"/>
      <c r="RCT96" s="32"/>
      <c r="RCU96" s="32"/>
      <c r="RCV96" s="32"/>
      <c r="RCW96" s="32"/>
      <c r="RCX96" s="32"/>
      <c r="RCY96" s="32"/>
      <c r="RCZ96" s="32"/>
      <c r="RDA96" s="32"/>
      <c r="RDB96" s="32"/>
      <c r="RDC96" s="32"/>
      <c r="RDD96" s="32"/>
      <c r="RDE96" s="32"/>
      <c r="RDF96" s="32"/>
      <c r="RDG96" s="32"/>
      <c r="RDH96" s="32"/>
      <c r="RDI96" s="32"/>
      <c r="RDJ96" s="32"/>
      <c r="RDK96" s="32"/>
      <c r="RDL96" s="32"/>
      <c r="RDM96" s="32"/>
      <c r="RDN96" s="32"/>
      <c r="RDO96" s="32"/>
      <c r="RDP96" s="32"/>
      <c r="RDQ96" s="32"/>
      <c r="RDR96" s="32"/>
      <c r="RDS96" s="32"/>
      <c r="RDT96" s="32"/>
      <c r="RDU96" s="32"/>
      <c r="RDV96" s="32"/>
      <c r="RDW96" s="32"/>
      <c r="RDX96" s="32"/>
      <c r="RDY96" s="32"/>
      <c r="RDZ96" s="32"/>
      <c r="REA96" s="32"/>
      <c r="REB96" s="32"/>
      <c r="REC96" s="32"/>
      <c r="RED96" s="32"/>
      <c r="REE96" s="32"/>
      <c r="REF96" s="32"/>
      <c r="REG96" s="32"/>
      <c r="REH96" s="32"/>
      <c r="REI96" s="32"/>
      <c r="REJ96" s="32"/>
      <c r="REK96" s="32"/>
      <c r="REL96" s="32"/>
      <c r="REM96" s="32"/>
      <c r="REN96" s="32"/>
      <c r="REO96" s="32"/>
      <c r="REP96" s="32"/>
      <c r="REQ96" s="32"/>
      <c r="RER96" s="32"/>
      <c r="RES96" s="32"/>
      <c r="RET96" s="32"/>
      <c r="REU96" s="32"/>
      <c r="REV96" s="32"/>
      <c r="REW96" s="32"/>
      <c r="REX96" s="32"/>
      <c r="REY96" s="32"/>
      <c r="REZ96" s="32"/>
      <c r="RFA96" s="32"/>
      <c r="RFB96" s="32"/>
      <c r="RFC96" s="32"/>
      <c r="RFD96" s="32"/>
      <c r="RFE96" s="32"/>
      <c r="RFF96" s="32"/>
      <c r="RFG96" s="32"/>
      <c r="RFH96" s="32"/>
      <c r="RFI96" s="32"/>
      <c r="RFJ96" s="32"/>
      <c r="RFK96" s="32"/>
      <c r="RFL96" s="32"/>
      <c r="RFM96" s="32"/>
      <c r="RFN96" s="32"/>
      <c r="RFO96" s="32"/>
      <c r="RFP96" s="32"/>
      <c r="RFQ96" s="32"/>
      <c r="RFR96" s="32"/>
      <c r="RFS96" s="32"/>
      <c r="RFT96" s="32"/>
      <c r="RFU96" s="32"/>
      <c r="RFV96" s="32"/>
      <c r="RFW96" s="32"/>
      <c r="RFX96" s="32"/>
      <c r="RFY96" s="32"/>
      <c r="RFZ96" s="32"/>
      <c r="RGA96" s="32"/>
      <c r="RGB96" s="32"/>
      <c r="RGC96" s="32"/>
      <c r="RGD96" s="32"/>
      <c r="RGE96" s="32"/>
      <c r="RGF96" s="32"/>
      <c r="RGG96" s="32"/>
      <c r="RGH96" s="32"/>
      <c r="RGI96" s="32"/>
      <c r="RGJ96" s="32"/>
      <c r="RGK96" s="32"/>
      <c r="RGL96" s="32"/>
      <c r="RGM96" s="32"/>
      <c r="RGN96" s="32"/>
      <c r="RGO96" s="32"/>
      <c r="RGP96" s="32"/>
      <c r="RGQ96" s="32"/>
      <c r="RGR96" s="32"/>
      <c r="RGS96" s="32"/>
      <c r="RGT96" s="32"/>
      <c r="RGU96" s="32"/>
      <c r="RGV96" s="32"/>
      <c r="RGW96" s="32"/>
      <c r="RGX96" s="32"/>
      <c r="RGY96" s="32"/>
      <c r="RGZ96" s="32"/>
      <c r="RHA96" s="32"/>
      <c r="RHB96" s="32"/>
      <c r="RHC96" s="32"/>
      <c r="RHD96" s="32"/>
      <c r="RHE96" s="32"/>
      <c r="RHF96" s="32"/>
      <c r="RHG96" s="32"/>
      <c r="RHH96" s="32"/>
      <c r="RHI96" s="32"/>
      <c r="RHJ96" s="32"/>
      <c r="RHK96" s="32"/>
      <c r="RHL96" s="32"/>
      <c r="RHM96" s="32"/>
      <c r="RHN96" s="32"/>
      <c r="RHO96" s="32"/>
      <c r="RHP96" s="32"/>
      <c r="RHQ96" s="32"/>
      <c r="RHR96" s="32"/>
      <c r="RHS96" s="32"/>
      <c r="RHT96" s="32"/>
      <c r="RHU96" s="32"/>
      <c r="RHV96" s="32"/>
      <c r="RHW96" s="32"/>
      <c r="RHX96" s="32"/>
      <c r="RHY96" s="32"/>
      <c r="RHZ96" s="32"/>
      <c r="RIA96" s="32"/>
      <c r="RIB96" s="32"/>
      <c r="RIC96" s="32"/>
      <c r="RID96" s="32"/>
      <c r="RIE96" s="32"/>
      <c r="RIF96" s="32"/>
      <c r="RIG96" s="32"/>
      <c r="RIH96" s="32"/>
      <c r="RII96" s="32"/>
      <c r="RIJ96" s="32"/>
      <c r="RIK96" s="32"/>
      <c r="RIL96" s="32"/>
      <c r="RIM96" s="32"/>
      <c r="RIN96" s="32"/>
      <c r="RIO96" s="32"/>
      <c r="RIP96" s="32"/>
      <c r="RIQ96" s="32"/>
      <c r="RIR96" s="32"/>
      <c r="RIS96" s="32"/>
      <c r="RIT96" s="32"/>
      <c r="RIU96" s="32"/>
      <c r="RIV96" s="32"/>
      <c r="RIW96" s="32"/>
      <c r="RIX96" s="32"/>
      <c r="RIY96" s="32"/>
      <c r="RIZ96" s="32"/>
      <c r="RJA96" s="32"/>
      <c r="RJB96" s="32"/>
      <c r="RJC96" s="32"/>
      <c r="RJD96" s="32"/>
      <c r="RJE96" s="32"/>
      <c r="RJF96" s="32"/>
      <c r="RJG96" s="32"/>
      <c r="RJH96" s="32"/>
      <c r="RJI96" s="32"/>
      <c r="RJJ96" s="32"/>
      <c r="RJK96" s="32"/>
      <c r="RJL96" s="32"/>
      <c r="RJM96" s="32"/>
      <c r="RJN96" s="32"/>
      <c r="RJO96" s="32"/>
      <c r="RJP96" s="32"/>
      <c r="RJQ96" s="32"/>
      <c r="RJR96" s="32"/>
      <c r="RJS96" s="32"/>
      <c r="RJT96" s="32"/>
      <c r="RJU96" s="32"/>
      <c r="RJV96" s="32"/>
      <c r="RJW96" s="32"/>
      <c r="RJX96" s="32"/>
      <c r="RJY96" s="32"/>
      <c r="RJZ96" s="32"/>
      <c r="RKA96" s="32"/>
      <c r="RKB96" s="32"/>
      <c r="RKC96" s="32"/>
      <c r="RKD96" s="32"/>
      <c r="RKE96" s="32"/>
      <c r="RKF96" s="32"/>
      <c r="RKG96" s="32"/>
      <c r="RKH96" s="32"/>
      <c r="RKI96" s="32"/>
      <c r="RKJ96" s="32"/>
      <c r="RKK96" s="32"/>
      <c r="RKL96" s="32"/>
      <c r="RKM96" s="32"/>
      <c r="RKN96" s="32"/>
      <c r="RKO96" s="32"/>
      <c r="RKP96" s="32"/>
      <c r="RKQ96" s="32"/>
      <c r="RKR96" s="32"/>
      <c r="RKS96" s="32"/>
      <c r="RKT96" s="32"/>
      <c r="RKU96" s="32"/>
      <c r="RKV96" s="32"/>
      <c r="RKW96" s="32"/>
      <c r="RKX96" s="32"/>
      <c r="RKY96" s="32"/>
      <c r="RKZ96" s="32"/>
      <c r="RLA96" s="32"/>
      <c r="RLB96" s="32"/>
      <c r="RLC96" s="32"/>
      <c r="RLD96" s="32"/>
      <c r="RLE96" s="32"/>
      <c r="RLF96" s="32"/>
      <c r="RLG96" s="32"/>
      <c r="RLH96" s="32"/>
      <c r="RLI96" s="32"/>
      <c r="RLJ96" s="32"/>
      <c r="RLK96" s="32"/>
      <c r="RLL96" s="32"/>
      <c r="RLM96" s="32"/>
      <c r="RLN96" s="32"/>
      <c r="RLO96" s="32"/>
      <c r="RLP96" s="32"/>
      <c r="RLQ96" s="32"/>
      <c r="RLR96" s="32"/>
      <c r="RLS96" s="32"/>
      <c r="RLT96" s="32"/>
      <c r="RLU96" s="32"/>
      <c r="RLV96" s="32"/>
      <c r="RLW96" s="32"/>
      <c r="RLX96" s="32"/>
      <c r="RLY96" s="32"/>
      <c r="RLZ96" s="32"/>
      <c r="RMA96" s="32"/>
      <c r="RMB96" s="32"/>
      <c r="RMC96" s="32"/>
      <c r="RMD96" s="32"/>
      <c r="RME96" s="32"/>
      <c r="RMF96" s="32"/>
      <c r="RMG96" s="32"/>
      <c r="RMH96" s="32"/>
      <c r="RMI96" s="32"/>
      <c r="RMJ96" s="32"/>
      <c r="RMK96" s="32"/>
      <c r="RML96" s="32"/>
      <c r="RMM96" s="32"/>
      <c r="RMN96" s="32"/>
      <c r="RMO96" s="32"/>
      <c r="RMP96" s="32"/>
      <c r="RMQ96" s="32"/>
      <c r="RMR96" s="32"/>
      <c r="RMS96" s="32"/>
      <c r="RMT96" s="32"/>
      <c r="RMU96" s="32"/>
      <c r="RMV96" s="32"/>
      <c r="RMW96" s="32"/>
      <c r="RMX96" s="32"/>
      <c r="RMY96" s="32"/>
      <c r="RMZ96" s="32"/>
      <c r="RNA96" s="32"/>
      <c r="RNB96" s="32"/>
      <c r="RNC96" s="32"/>
      <c r="RND96" s="32"/>
      <c r="RNE96" s="32"/>
      <c r="RNF96" s="32"/>
      <c r="RNG96" s="32"/>
      <c r="RNH96" s="32"/>
      <c r="RNI96" s="32"/>
      <c r="RNJ96" s="32"/>
      <c r="RNK96" s="32"/>
      <c r="RNL96" s="32"/>
      <c r="RNM96" s="32"/>
      <c r="RNN96" s="32"/>
      <c r="RNO96" s="32"/>
      <c r="RNP96" s="32"/>
      <c r="RNQ96" s="32"/>
      <c r="RNR96" s="32"/>
      <c r="RNS96" s="32"/>
      <c r="RNT96" s="32"/>
      <c r="RNU96" s="32"/>
      <c r="RNV96" s="32"/>
      <c r="RNW96" s="32"/>
      <c r="RNX96" s="32"/>
      <c r="RNY96" s="32"/>
      <c r="RNZ96" s="32"/>
      <c r="ROA96" s="32"/>
      <c r="ROB96" s="32"/>
      <c r="ROC96" s="32"/>
      <c r="ROD96" s="32"/>
      <c r="ROE96" s="32"/>
      <c r="ROF96" s="32"/>
      <c r="ROG96" s="32"/>
      <c r="ROH96" s="32"/>
      <c r="ROI96" s="32"/>
      <c r="ROJ96" s="32"/>
      <c r="ROK96" s="32"/>
      <c r="ROL96" s="32"/>
      <c r="ROM96" s="32"/>
      <c r="RON96" s="32"/>
      <c r="ROO96" s="32"/>
      <c r="ROP96" s="32"/>
      <c r="ROQ96" s="32"/>
      <c r="ROR96" s="32"/>
      <c r="ROS96" s="32"/>
      <c r="ROT96" s="32"/>
      <c r="ROU96" s="32"/>
      <c r="ROV96" s="32"/>
      <c r="ROW96" s="32"/>
      <c r="ROX96" s="32"/>
      <c r="ROY96" s="32"/>
      <c r="ROZ96" s="32"/>
      <c r="RPA96" s="32"/>
      <c r="RPB96" s="32"/>
      <c r="RPC96" s="32"/>
      <c r="RPD96" s="32"/>
      <c r="RPE96" s="32"/>
      <c r="RPF96" s="32"/>
      <c r="RPG96" s="32"/>
      <c r="RPH96" s="32"/>
      <c r="RPI96" s="32"/>
      <c r="RPJ96" s="32"/>
      <c r="RPK96" s="32"/>
      <c r="RPL96" s="32"/>
      <c r="RPM96" s="32"/>
      <c r="RPN96" s="32"/>
      <c r="RPO96" s="32"/>
      <c r="RPP96" s="32"/>
      <c r="RPQ96" s="32"/>
      <c r="RPR96" s="32"/>
      <c r="RPS96" s="32"/>
      <c r="RPT96" s="32"/>
      <c r="RPU96" s="32"/>
      <c r="RPV96" s="32"/>
      <c r="RPW96" s="32"/>
      <c r="RPX96" s="32"/>
      <c r="RPY96" s="32"/>
      <c r="RPZ96" s="32"/>
      <c r="RQA96" s="32"/>
      <c r="RQB96" s="32"/>
      <c r="RQC96" s="32"/>
      <c r="RQD96" s="32"/>
      <c r="RQE96" s="32"/>
      <c r="RQF96" s="32"/>
      <c r="RQG96" s="32"/>
      <c r="RQH96" s="32"/>
      <c r="RQI96" s="32"/>
      <c r="RQJ96" s="32"/>
      <c r="RQK96" s="32"/>
      <c r="RQL96" s="32"/>
      <c r="RQM96" s="32"/>
      <c r="RQN96" s="32"/>
      <c r="RQO96" s="32"/>
      <c r="RQP96" s="32"/>
      <c r="RQQ96" s="32"/>
      <c r="RQR96" s="32"/>
      <c r="RQS96" s="32"/>
      <c r="RQT96" s="32"/>
      <c r="RQU96" s="32"/>
      <c r="RQV96" s="32"/>
      <c r="RQW96" s="32"/>
      <c r="RQX96" s="32"/>
      <c r="RQY96" s="32"/>
      <c r="RQZ96" s="32"/>
      <c r="RRA96" s="32"/>
      <c r="RRB96" s="32"/>
      <c r="RRC96" s="32"/>
      <c r="RRD96" s="32"/>
      <c r="RRE96" s="32"/>
      <c r="RRF96" s="32"/>
      <c r="RRG96" s="32"/>
      <c r="RRH96" s="32"/>
      <c r="RRI96" s="32"/>
      <c r="RRJ96" s="32"/>
      <c r="RRK96" s="32"/>
      <c r="RRL96" s="32"/>
      <c r="RRM96" s="32"/>
      <c r="RRN96" s="32"/>
      <c r="RRO96" s="32"/>
      <c r="RRP96" s="32"/>
      <c r="RRQ96" s="32"/>
      <c r="RRR96" s="32"/>
      <c r="RRS96" s="32"/>
      <c r="RRT96" s="32"/>
      <c r="RRU96" s="32"/>
      <c r="RRV96" s="32"/>
      <c r="RRW96" s="32"/>
      <c r="RRX96" s="32"/>
      <c r="RRY96" s="32"/>
      <c r="RRZ96" s="32"/>
      <c r="RSA96" s="32"/>
      <c r="RSB96" s="32"/>
      <c r="RSC96" s="32"/>
      <c r="RSD96" s="32"/>
      <c r="RSE96" s="32"/>
      <c r="RSF96" s="32"/>
      <c r="RSG96" s="32"/>
      <c r="RSH96" s="32"/>
      <c r="RSI96" s="32"/>
      <c r="RSJ96" s="32"/>
      <c r="RSK96" s="32"/>
      <c r="RSL96" s="32"/>
      <c r="RSM96" s="32"/>
      <c r="RSN96" s="32"/>
      <c r="RSO96" s="32"/>
      <c r="RSP96" s="32"/>
      <c r="RSQ96" s="32"/>
      <c r="RSR96" s="32"/>
      <c r="RSS96" s="32"/>
      <c r="RST96" s="32"/>
      <c r="RSU96" s="32"/>
      <c r="RSV96" s="32"/>
      <c r="RSW96" s="32"/>
      <c r="RSX96" s="32"/>
      <c r="RSY96" s="32"/>
      <c r="RSZ96" s="32"/>
      <c r="RTA96" s="32"/>
      <c r="RTB96" s="32"/>
      <c r="RTC96" s="32"/>
      <c r="RTD96" s="32"/>
      <c r="RTE96" s="32"/>
      <c r="RTF96" s="32"/>
      <c r="RTG96" s="32"/>
      <c r="RTH96" s="32"/>
      <c r="RTI96" s="32"/>
      <c r="RTJ96" s="32"/>
      <c r="RTK96" s="32"/>
      <c r="RTL96" s="32"/>
      <c r="RTM96" s="32"/>
      <c r="RTN96" s="32"/>
      <c r="RTO96" s="32"/>
      <c r="RTP96" s="32"/>
      <c r="RTQ96" s="32"/>
      <c r="RTR96" s="32"/>
      <c r="RTS96" s="32"/>
      <c r="RTT96" s="32"/>
      <c r="RTU96" s="32"/>
      <c r="RTV96" s="32"/>
      <c r="RTW96" s="32"/>
      <c r="RTX96" s="32"/>
      <c r="RTY96" s="32"/>
      <c r="RTZ96" s="32"/>
      <c r="RUA96" s="32"/>
      <c r="RUB96" s="32"/>
      <c r="RUC96" s="32"/>
      <c r="RUD96" s="32"/>
      <c r="RUE96" s="32"/>
      <c r="RUF96" s="32"/>
      <c r="RUG96" s="32"/>
      <c r="RUH96" s="32"/>
      <c r="RUI96" s="32"/>
      <c r="RUJ96" s="32"/>
      <c r="RUK96" s="32"/>
      <c r="RUL96" s="32"/>
      <c r="RUM96" s="32"/>
      <c r="RUN96" s="32"/>
      <c r="RUO96" s="32"/>
      <c r="RUP96" s="32"/>
      <c r="RUQ96" s="32"/>
      <c r="RUR96" s="32"/>
      <c r="RUS96" s="32"/>
      <c r="RUT96" s="32"/>
      <c r="RUU96" s="32"/>
      <c r="RUV96" s="32"/>
      <c r="RUW96" s="32"/>
      <c r="RUX96" s="32"/>
      <c r="RUY96" s="32"/>
      <c r="RUZ96" s="32"/>
      <c r="RVA96" s="32"/>
      <c r="RVB96" s="32"/>
      <c r="RVC96" s="32"/>
      <c r="RVD96" s="32"/>
      <c r="RVE96" s="32"/>
      <c r="RVF96" s="32"/>
      <c r="RVG96" s="32"/>
      <c r="RVH96" s="32"/>
      <c r="RVI96" s="32"/>
      <c r="RVJ96" s="32"/>
      <c r="RVK96" s="32"/>
      <c r="RVL96" s="32"/>
      <c r="RVM96" s="32"/>
      <c r="RVN96" s="32"/>
      <c r="RVO96" s="32"/>
      <c r="RVP96" s="32"/>
      <c r="RVQ96" s="32"/>
      <c r="RVR96" s="32"/>
      <c r="RVS96" s="32"/>
      <c r="RVT96" s="32"/>
      <c r="RVU96" s="32"/>
      <c r="RVV96" s="32"/>
      <c r="RVW96" s="32"/>
      <c r="RVX96" s="32"/>
      <c r="RVY96" s="32"/>
      <c r="RVZ96" s="32"/>
      <c r="RWA96" s="32"/>
      <c r="RWB96" s="32"/>
      <c r="RWC96" s="32"/>
      <c r="RWD96" s="32"/>
      <c r="RWE96" s="32"/>
      <c r="RWF96" s="32"/>
      <c r="RWG96" s="32"/>
      <c r="RWH96" s="32"/>
      <c r="RWI96" s="32"/>
      <c r="RWJ96" s="32"/>
      <c r="RWK96" s="32"/>
      <c r="RWL96" s="32"/>
      <c r="RWM96" s="32"/>
      <c r="RWN96" s="32"/>
      <c r="RWO96" s="32"/>
      <c r="RWP96" s="32"/>
      <c r="RWQ96" s="32"/>
      <c r="RWR96" s="32"/>
      <c r="RWS96" s="32"/>
      <c r="RWT96" s="32"/>
      <c r="RWU96" s="32"/>
      <c r="RWV96" s="32"/>
      <c r="RWW96" s="32"/>
      <c r="RWX96" s="32"/>
      <c r="RWY96" s="32"/>
      <c r="RWZ96" s="32"/>
      <c r="RXA96" s="32"/>
      <c r="RXB96" s="32"/>
      <c r="RXC96" s="32"/>
      <c r="RXD96" s="32"/>
      <c r="RXE96" s="32"/>
      <c r="RXF96" s="32"/>
      <c r="RXG96" s="32"/>
      <c r="RXH96" s="32"/>
      <c r="RXI96" s="32"/>
      <c r="RXJ96" s="32"/>
      <c r="RXK96" s="32"/>
      <c r="RXL96" s="32"/>
      <c r="RXM96" s="32"/>
      <c r="RXN96" s="32"/>
      <c r="RXO96" s="32"/>
      <c r="RXP96" s="32"/>
      <c r="RXQ96" s="32"/>
      <c r="RXR96" s="32"/>
      <c r="RXS96" s="32"/>
      <c r="RXT96" s="32"/>
      <c r="RXU96" s="32"/>
      <c r="RXV96" s="32"/>
      <c r="RXW96" s="32"/>
      <c r="RXX96" s="32"/>
      <c r="RXY96" s="32"/>
      <c r="RXZ96" s="32"/>
      <c r="RYA96" s="32"/>
      <c r="RYB96" s="32"/>
      <c r="RYC96" s="32"/>
      <c r="RYD96" s="32"/>
      <c r="RYE96" s="32"/>
      <c r="RYF96" s="32"/>
      <c r="RYG96" s="32"/>
      <c r="RYH96" s="32"/>
      <c r="RYI96" s="32"/>
      <c r="RYJ96" s="32"/>
      <c r="RYK96" s="32"/>
      <c r="RYL96" s="32"/>
      <c r="RYM96" s="32"/>
      <c r="RYN96" s="32"/>
      <c r="RYO96" s="32"/>
      <c r="RYP96" s="32"/>
      <c r="RYQ96" s="32"/>
      <c r="RYR96" s="32"/>
      <c r="RYS96" s="32"/>
      <c r="RYT96" s="32"/>
      <c r="RYU96" s="32"/>
      <c r="RYV96" s="32"/>
      <c r="RYW96" s="32"/>
      <c r="RYX96" s="32"/>
      <c r="RYY96" s="32"/>
      <c r="RYZ96" s="32"/>
      <c r="RZA96" s="32"/>
      <c r="RZB96" s="32"/>
      <c r="RZC96" s="32"/>
      <c r="RZD96" s="32"/>
      <c r="RZE96" s="32"/>
      <c r="RZF96" s="32"/>
      <c r="RZG96" s="32"/>
      <c r="RZH96" s="32"/>
      <c r="RZI96" s="32"/>
      <c r="RZJ96" s="32"/>
      <c r="RZK96" s="32"/>
      <c r="RZL96" s="32"/>
      <c r="RZM96" s="32"/>
      <c r="RZN96" s="32"/>
      <c r="RZO96" s="32"/>
      <c r="RZP96" s="32"/>
      <c r="RZQ96" s="32"/>
      <c r="RZR96" s="32"/>
      <c r="RZS96" s="32"/>
      <c r="RZT96" s="32"/>
      <c r="RZU96" s="32"/>
      <c r="RZV96" s="32"/>
      <c r="RZW96" s="32"/>
      <c r="RZX96" s="32"/>
      <c r="RZY96" s="32"/>
      <c r="RZZ96" s="32"/>
      <c r="SAA96" s="32"/>
      <c r="SAB96" s="32"/>
      <c r="SAC96" s="32"/>
      <c r="SAD96" s="32"/>
      <c r="SAE96" s="32"/>
      <c r="SAF96" s="32"/>
      <c r="SAG96" s="32"/>
      <c r="SAH96" s="32"/>
      <c r="SAI96" s="32"/>
      <c r="SAJ96" s="32"/>
      <c r="SAK96" s="32"/>
      <c r="SAL96" s="32"/>
      <c r="SAM96" s="32"/>
      <c r="SAN96" s="32"/>
      <c r="SAO96" s="32"/>
      <c r="SAP96" s="32"/>
      <c r="SAQ96" s="32"/>
      <c r="SAR96" s="32"/>
      <c r="SAS96" s="32"/>
      <c r="SAT96" s="32"/>
      <c r="SAU96" s="32"/>
      <c r="SAV96" s="32"/>
      <c r="SAW96" s="32"/>
      <c r="SAX96" s="32"/>
      <c r="SAY96" s="32"/>
      <c r="SAZ96" s="32"/>
      <c r="SBA96" s="32"/>
      <c r="SBB96" s="32"/>
      <c r="SBC96" s="32"/>
      <c r="SBD96" s="32"/>
      <c r="SBE96" s="32"/>
      <c r="SBF96" s="32"/>
      <c r="SBG96" s="32"/>
      <c r="SBH96" s="32"/>
      <c r="SBI96" s="32"/>
      <c r="SBJ96" s="32"/>
      <c r="SBK96" s="32"/>
      <c r="SBL96" s="32"/>
      <c r="SBM96" s="32"/>
      <c r="SBN96" s="32"/>
      <c r="SBO96" s="32"/>
      <c r="SBP96" s="32"/>
      <c r="SBQ96" s="32"/>
      <c r="SBR96" s="32"/>
      <c r="SBS96" s="32"/>
      <c r="SBT96" s="32"/>
      <c r="SBU96" s="32"/>
      <c r="SBV96" s="32"/>
      <c r="SBW96" s="32"/>
      <c r="SBX96" s="32"/>
      <c r="SBY96" s="32"/>
      <c r="SBZ96" s="32"/>
      <c r="SCA96" s="32"/>
      <c r="SCB96" s="32"/>
      <c r="SCC96" s="32"/>
      <c r="SCD96" s="32"/>
      <c r="SCE96" s="32"/>
      <c r="SCF96" s="32"/>
      <c r="SCG96" s="32"/>
      <c r="SCH96" s="32"/>
      <c r="SCI96" s="32"/>
      <c r="SCJ96" s="32"/>
      <c r="SCK96" s="32"/>
      <c r="SCL96" s="32"/>
      <c r="SCM96" s="32"/>
      <c r="SCN96" s="32"/>
      <c r="SCO96" s="32"/>
      <c r="SCP96" s="32"/>
      <c r="SCQ96" s="32"/>
      <c r="SCR96" s="32"/>
      <c r="SCS96" s="32"/>
      <c r="SCT96" s="32"/>
      <c r="SCU96" s="32"/>
      <c r="SCV96" s="32"/>
      <c r="SCW96" s="32"/>
      <c r="SCX96" s="32"/>
      <c r="SCY96" s="32"/>
      <c r="SCZ96" s="32"/>
      <c r="SDA96" s="32"/>
      <c r="SDB96" s="32"/>
      <c r="SDC96" s="32"/>
      <c r="SDD96" s="32"/>
      <c r="SDE96" s="32"/>
      <c r="SDF96" s="32"/>
      <c r="SDG96" s="32"/>
      <c r="SDH96" s="32"/>
      <c r="SDI96" s="32"/>
      <c r="SDJ96" s="32"/>
      <c r="SDK96" s="32"/>
      <c r="SDL96" s="32"/>
      <c r="SDM96" s="32"/>
      <c r="SDN96" s="32"/>
      <c r="SDO96" s="32"/>
      <c r="SDP96" s="32"/>
      <c r="SDQ96" s="32"/>
      <c r="SDR96" s="32"/>
      <c r="SDS96" s="32"/>
      <c r="SDT96" s="32"/>
      <c r="SDU96" s="32"/>
      <c r="SDV96" s="32"/>
      <c r="SDW96" s="32"/>
      <c r="SDX96" s="32"/>
      <c r="SDY96" s="32"/>
      <c r="SDZ96" s="32"/>
      <c r="SEA96" s="32"/>
      <c r="SEB96" s="32"/>
      <c r="SEC96" s="32"/>
      <c r="SED96" s="32"/>
      <c r="SEE96" s="32"/>
      <c r="SEF96" s="32"/>
      <c r="SEG96" s="32"/>
      <c r="SEH96" s="32"/>
      <c r="SEI96" s="32"/>
      <c r="SEJ96" s="32"/>
      <c r="SEK96" s="32"/>
      <c r="SEL96" s="32"/>
      <c r="SEM96" s="32"/>
      <c r="SEN96" s="32"/>
      <c r="SEO96" s="32"/>
      <c r="SEP96" s="32"/>
      <c r="SEQ96" s="32"/>
      <c r="SER96" s="32"/>
      <c r="SES96" s="32"/>
      <c r="SET96" s="32"/>
      <c r="SEU96" s="32"/>
      <c r="SEV96" s="32"/>
      <c r="SEW96" s="32"/>
      <c r="SEX96" s="32"/>
      <c r="SEY96" s="32"/>
      <c r="SEZ96" s="32"/>
      <c r="SFA96" s="32"/>
      <c r="SFB96" s="32"/>
      <c r="SFC96" s="32"/>
      <c r="SFD96" s="32"/>
      <c r="SFE96" s="32"/>
      <c r="SFF96" s="32"/>
      <c r="SFG96" s="32"/>
      <c r="SFH96" s="32"/>
      <c r="SFI96" s="32"/>
      <c r="SFJ96" s="32"/>
      <c r="SFK96" s="32"/>
      <c r="SFL96" s="32"/>
      <c r="SFM96" s="32"/>
      <c r="SFN96" s="32"/>
      <c r="SFO96" s="32"/>
      <c r="SFP96" s="32"/>
      <c r="SFQ96" s="32"/>
      <c r="SFR96" s="32"/>
      <c r="SFS96" s="32"/>
      <c r="SFT96" s="32"/>
      <c r="SFU96" s="32"/>
      <c r="SFV96" s="32"/>
      <c r="SFW96" s="32"/>
      <c r="SFX96" s="32"/>
      <c r="SFY96" s="32"/>
      <c r="SFZ96" s="32"/>
      <c r="SGA96" s="32"/>
      <c r="SGB96" s="32"/>
      <c r="SGC96" s="32"/>
      <c r="SGD96" s="32"/>
      <c r="SGE96" s="32"/>
      <c r="SGF96" s="32"/>
      <c r="SGG96" s="32"/>
      <c r="SGH96" s="32"/>
      <c r="SGI96" s="32"/>
      <c r="SGJ96" s="32"/>
      <c r="SGK96" s="32"/>
      <c r="SGL96" s="32"/>
      <c r="SGM96" s="32"/>
      <c r="SGN96" s="32"/>
      <c r="SGO96" s="32"/>
      <c r="SGP96" s="32"/>
      <c r="SGQ96" s="32"/>
      <c r="SGR96" s="32"/>
      <c r="SGS96" s="32"/>
      <c r="SGT96" s="32"/>
      <c r="SGU96" s="32"/>
      <c r="SGV96" s="32"/>
      <c r="SGW96" s="32"/>
      <c r="SGX96" s="32"/>
      <c r="SGY96" s="32"/>
      <c r="SGZ96" s="32"/>
      <c r="SHA96" s="32"/>
      <c r="SHB96" s="32"/>
      <c r="SHC96" s="32"/>
      <c r="SHD96" s="32"/>
      <c r="SHE96" s="32"/>
      <c r="SHF96" s="32"/>
      <c r="SHG96" s="32"/>
      <c r="SHH96" s="32"/>
      <c r="SHI96" s="32"/>
      <c r="SHJ96" s="32"/>
      <c r="SHK96" s="32"/>
      <c r="SHL96" s="32"/>
      <c r="SHM96" s="32"/>
      <c r="SHN96" s="32"/>
      <c r="SHO96" s="32"/>
      <c r="SHP96" s="32"/>
      <c r="SHQ96" s="32"/>
      <c r="SHR96" s="32"/>
      <c r="SHS96" s="32"/>
      <c r="SHT96" s="32"/>
      <c r="SHU96" s="32"/>
      <c r="SHV96" s="32"/>
      <c r="SHW96" s="32"/>
      <c r="SHX96" s="32"/>
      <c r="SHY96" s="32"/>
      <c r="SHZ96" s="32"/>
      <c r="SIA96" s="32"/>
      <c r="SIB96" s="32"/>
      <c r="SIC96" s="32"/>
      <c r="SID96" s="32"/>
      <c r="SIE96" s="32"/>
      <c r="SIF96" s="32"/>
      <c r="SIG96" s="32"/>
      <c r="SIH96" s="32"/>
      <c r="SII96" s="32"/>
      <c r="SIJ96" s="32"/>
      <c r="SIK96" s="32"/>
      <c r="SIL96" s="32"/>
      <c r="SIM96" s="32"/>
      <c r="SIN96" s="32"/>
      <c r="SIO96" s="32"/>
      <c r="SIP96" s="32"/>
      <c r="SIQ96" s="32"/>
      <c r="SIR96" s="32"/>
      <c r="SIS96" s="32"/>
      <c r="SIT96" s="32"/>
      <c r="SIU96" s="32"/>
      <c r="SIV96" s="32"/>
      <c r="SIW96" s="32"/>
      <c r="SIX96" s="32"/>
      <c r="SIY96" s="32"/>
      <c r="SIZ96" s="32"/>
      <c r="SJA96" s="32"/>
      <c r="SJB96" s="32"/>
      <c r="SJC96" s="32"/>
      <c r="SJD96" s="32"/>
      <c r="SJE96" s="32"/>
      <c r="SJF96" s="32"/>
      <c r="SJG96" s="32"/>
      <c r="SJH96" s="32"/>
      <c r="SJI96" s="32"/>
      <c r="SJJ96" s="32"/>
      <c r="SJK96" s="32"/>
      <c r="SJL96" s="32"/>
      <c r="SJM96" s="32"/>
      <c r="SJN96" s="32"/>
      <c r="SJO96" s="32"/>
      <c r="SJP96" s="32"/>
      <c r="SJQ96" s="32"/>
      <c r="SJR96" s="32"/>
      <c r="SJS96" s="32"/>
      <c r="SJT96" s="32"/>
      <c r="SJU96" s="32"/>
      <c r="SJV96" s="32"/>
      <c r="SJW96" s="32"/>
      <c r="SJX96" s="32"/>
      <c r="SJY96" s="32"/>
      <c r="SJZ96" s="32"/>
      <c r="SKA96" s="32"/>
      <c r="SKB96" s="32"/>
      <c r="SKC96" s="32"/>
      <c r="SKD96" s="32"/>
      <c r="SKE96" s="32"/>
      <c r="SKF96" s="32"/>
      <c r="SKG96" s="32"/>
      <c r="SKH96" s="32"/>
      <c r="SKI96" s="32"/>
      <c r="SKJ96" s="32"/>
      <c r="SKK96" s="32"/>
      <c r="SKL96" s="32"/>
      <c r="SKM96" s="32"/>
      <c r="SKN96" s="32"/>
      <c r="SKO96" s="32"/>
      <c r="SKP96" s="32"/>
      <c r="SKQ96" s="32"/>
      <c r="SKR96" s="32"/>
      <c r="SKS96" s="32"/>
      <c r="SKT96" s="32"/>
      <c r="SKU96" s="32"/>
      <c r="SKV96" s="32"/>
      <c r="SKW96" s="32"/>
      <c r="SKX96" s="32"/>
      <c r="SKY96" s="32"/>
      <c r="SKZ96" s="32"/>
      <c r="SLA96" s="32"/>
      <c r="SLB96" s="32"/>
      <c r="SLC96" s="32"/>
      <c r="SLD96" s="32"/>
      <c r="SLE96" s="32"/>
      <c r="SLF96" s="32"/>
      <c r="SLG96" s="32"/>
      <c r="SLH96" s="32"/>
      <c r="SLI96" s="32"/>
      <c r="SLJ96" s="32"/>
      <c r="SLK96" s="32"/>
      <c r="SLL96" s="32"/>
      <c r="SLM96" s="32"/>
      <c r="SLN96" s="32"/>
      <c r="SLO96" s="32"/>
      <c r="SLP96" s="32"/>
      <c r="SLQ96" s="32"/>
      <c r="SLR96" s="32"/>
      <c r="SLS96" s="32"/>
      <c r="SLT96" s="32"/>
      <c r="SLU96" s="32"/>
      <c r="SLV96" s="32"/>
      <c r="SLW96" s="32"/>
      <c r="SLX96" s="32"/>
      <c r="SLY96" s="32"/>
      <c r="SLZ96" s="32"/>
      <c r="SMA96" s="32"/>
      <c r="SMB96" s="32"/>
      <c r="SMC96" s="32"/>
      <c r="SMD96" s="32"/>
      <c r="SME96" s="32"/>
      <c r="SMF96" s="32"/>
      <c r="SMG96" s="32"/>
      <c r="SMH96" s="32"/>
      <c r="SMI96" s="32"/>
      <c r="SMJ96" s="32"/>
      <c r="SMK96" s="32"/>
      <c r="SML96" s="32"/>
      <c r="SMM96" s="32"/>
      <c r="SMN96" s="32"/>
      <c r="SMO96" s="32"/>
      <c r="SMP96" s="32"/>
      <c r="SMQ96" s="32"/>
      <c r="SMR96" s="32"/>
      <c r="SMS96" s="32"/>
      <c r="SMT96" s="32"/>
      <c r="SMU96" s="32"/>
      <c r="SMV96" s="32"/>
      <c r="SMW96" s="32"/>
      <c r="SMX96" s="32"/>
      <c r="SMY96" s="32"/>
      <c r="SMZ96" s="32"/>
      <c r="SNA96" s="32"/>
      <c r="SNB96" s="32"/>
      <c r="SNC96" s="32"/>
      <c r="SND96" s="32"/>
      <c r="SNE96" s="32"/>
      <c r="SNF96" s="32"/>
      <c r="SNG96" s="32"/>
      <c r="SNH96" s="32"/>
      <c r="SNI96" s="32"/>
      <c r="SNJ96" s="32"/>
      <c r="SNK96" s="32"/>
      <c r="SNL96" s="32"/>
      <c r="SNM96" s="32"/>
      <c r="SNN96" s="32"/>
      <c r="SNO96" s="32"/>
      <c r="SNP96" s="32"/>
      <c r="SNQ96" s="32"/>
      <c r="SNR96" s="32"/>
      <c r="SNS96" s="32"/>
      <c r="SNT96" s="32"/>
      <c r="SNU96" s="32"/>
      <c r="SNV96" s="32"/>
      <c r="SNW96" s="32"/>
      <c r="SNX96" s="32"/>
      <c r="SNY96" s="32"/>
      <c r="SNZ96" s="32"/>
      <c r="SOA96" s="32"/>
      <c r="SOB96" s="32"/>
      <c r="SOC96" s="32"/>
      <c r="SOD96" s="32"/>
      <c r="SOE96" s="32"/>
      <c r="SOF96" s="32"/>
      <c r="SOG96" s="32"/>
      <c r="SOH96" s="32"/>
      <c r="SOI96" s="32"/>
      <c r="SOJ96" s="32"/>
      <c r="SOK96" s="32"/>
      <c r="SOL96" s="32"/>
      <c r="SOM96" s="32"/>
      <c r="SON96" s="32"/>
      <c r="SOO96" s="32"/>
      <c r="SOP96" s="32"/>
      <c r="SOQ96" s="32"/>
      <c r="SOR96" s="32"/>
      <c r="SOS96" s="32"/>
      <c r="SOT96" s="32"/>
      <c r="SOU96" s="32"/>
      <c r="SOV96" s="32"/>
      <c r="SOW96" s="32"/>
      <c r="SOX96" s="32"/>
      <c r="SOY96" s="32"/>
      <c r="SOZ96" s="32"/>
      <c r="SPA96" s="32"/>
      <c r="SPB96" s="32"/>
      <c r="SPC96" s="32"/>
      <c r="SPD96" s="32"/>
      <c r="SPE96" s="32"/>
      <c r="SPF96" s="32"/>
      <c r="SPG96" s="32"/>
      <c r="SPH96" s="32"/>
      <c r="SPI96" s="32"/>
      <c r="SPJ96" s="32"/>
      <c r="SPK96" s="32"/>
      <c r="SPL96" s="32"/>
      <c r="SPM96" s="32"/>
      <c r="SPN96" s="32"/>
      <c r="SPO96" s="32"/>
      <c r="SPP96" s="32"/>
      <c r="SPQ96" s="32"/>
      <c r="SPR96" s="32"/>
      <c r="SPS96" s="32"/>
      <c r="SPT96" s="32"/>
      <c r="SPU96" s="32"/>
      <c r="SPV96" s="32"/>
      <c r="SPW96" s="32"/>
      <c r="SPX96" s="32"/>
      <c r="SPY96" s="32"/>
      <c r="SPZ96" s="32"/>
      <c r="SQA96" s="32"/>
      <c r="SQB96" s="32"/>
      <c r="SQC96" s="32"/>
      <c r="SQD96" s="32"/>
      <c r="SQE96" s="32"/>
      <c r="SQF96" s="32"/>
      <c r="SQG96" s="32"/>
      <c r="SQH96" s="32"/>
      <c r="SQI96" s="32"/>
      <c r="SQJ96" s="32"/>
      <c r="SQK96" s="32"/>
      <c r="SQL96" s="32"/>
      <c r="SQM96" s="32"/>
      <c r="SQN96" s="32"/>
      <c r="SQO96" s="32"/>
      <c r="SQP96" s="32"/>
      <c r="SQQ96" s="32"/>
      <c r="SQR96" s="32"/>
      <c r="SQS96" s="32"/>
      <c r="SQT96" s="32"/>
      <c r="SQU96" s="32"/>
      <c r="SQV96" s="32"/>
      <c r="SQW96" s="32"/>
      <c r="SQX96" s="32"/>
      <c r="SQY96" s="32"/>
      <c r="SQZ96" s="32"/>
      <c r="SRA96" s="32"/>
      <c r="SRB96" s="32"/>
      <c r="SRC96" s="32"/>
      <c r="SRD96" s="32"/>
      <c r="SRE96" s="32"/>
      <c r="SRF96" s="32"/>
      <c r="SRG96" s="32"/>
      <c r="SRH96" s="32"/>
      <c r="SRI96" s="32"/>
      <c r="SRJ96" s="32"/>
      <c r="SRK96" s="32"/>
      <c r="SRL96" s="32"/>
      <c r="SRM96" s="32"/>
      <c r="SRN96" s="32"/>
      <c r="SRO96" s="32"/>
      <c r="SRP96" s="32"/>
      <c r="SRQ96" s="32"/>
      <c r="SRR96" s="32"/>
      <c r="SRS96" s="32"/>
      <c r="SRT96" s="32"/>
      <c r="SRU96" s="32"/>
      <c r="SRV96" s="32"/>
      <c r="SRW96" s="32"/>
      <c r="SRX96" s="32"/>
      <c r="SRY96" s="32"/>
      <c r="SRZ96" s="32"/>
      <c r="SSA96" s="32"/>
      <c r="SSB96" s="32"/>
      <c r="SSC96" s="32"/>
      <c r="SSD96" s="32"/>
      <c r="SSE96" s="32"/>
      <c r="SSF96" s="32"/>
      <c r="SSG96" s="32"/>
      <c r="SSH96" s="32"/>
      <c r="SSI96" s="32"/>
      <c r="SSJ96" s="32"/>
      <c r="SSK96" s="32"/>
      <c r="SSL96" s="32"/>
      <c r="SSM96" s="32"/>
      <c r="SSN96" s="32"/>
      <c r="SSO96" s="32"/>
      <c r="SSP96" s="32"/>
      <c r="SSQ96" s="32"/>
      <c r="SSR96" s="32"/>
      <c r="SSS96" s="32"/>
      <c r="SST96" s="32"/>
      <c r="SSU96" s="32"/>
      <c r="SSV96" s="32"/>
      <c r="SSW96" s="32"/>
      <c r="SSX96" s="32"/>
      <c r="SSY96" s="32"/>
      <c r="SSZ96" s="32"/>
      <c r="STA96" s="32"/>
      <c r="STB96" s="32"/>
      <c r="STC96" s="32"/>
      <c r="STD96" s="32"/>
      <c r="STE96" s="32"/>
      <c r="STF96" s="32"/>
      <c r="STG96" s="32"/>
      <c r="STH96" s="32"/>
      <c r="STI96" s="32"/>
      <c r="STJ96" s="32"/>
      <c r="STK96" s="32"/>
      <c r="STL96" s="32"/>
      <c r="STM96" s="32"/>
      <c r="STN96" s="32"/>
      <c r="STO96" s="32"/>
      <c r="STP96" s="32"/>
      <c r="STQ96" s="32"/>
      <c r="STR96" s="32"/>
      <c r="STS96" s="32"/>
      <c r="STT96" s="32"/>
      <c r="STU96" s="32"/>
      <c r="STV96" s="32"/>
      <c r="STW96" s="32"/>
      <c r="STX96" s="32"/>
      <c r="STY96" s="32"/>
      <c r="STZ96" s="32"/>
      <c r="SUA96" s="32"/>
      <c r="SUB96" s="32"/>
      <c r="SUC96" s="32"/>
      <c r="SUD96" s="32"/>
      <c r="SUE96" s="32"/>
      <c r="SUF96" s="32"/>
      <c r="SUG96" s="32"/>
      <c r="SUH96" s="32"/>
      <c r="SUI96" s="32"/>
      <c r="SUJ96" s="32"/>
      <c r="SUK96" s="32"/>
      <c r="SUL96" s="32"/>
      <c r="SUM96" s="32"/>
      <c r="SUN96" s="32"/>
      <c r="SUO96" s="32"/>
      <c r="SUP96" s="32"/>
      <c r="SUQ96" s="32"/>
      <c r="SUR96" s="32"/>
      <c r="SUS96" s="32"/>
      <c r="SUT96" s="32"/>
      <c r="SUU96" s="32"/>
      <c r="SUV96" s="32"/>
      <c r="SUW96" s="32"/>
      <c r="SUX96" s="32"/>
      <c r="SUY96" s="32"/>
      <c r="SUZ96" s="32"/>
      <c r="SVA96" s="32"/>
      <c r="SVB96" s="32"/>
      <c r="SVC96" s="32"/>
      <c r="SVD96" s="32"/>
      <c r="SVE96" s="32"/>
      <c r="SVF96" s="32"/>
      <c r="SVG96" s="32"/>
      <c r="SVH96" s="32"/>
      <c r="SVI96" s="32"/>
      <c r="SVJ96" s="32"/>
      <c r="SVK96" s="32"/>
      <c r="SVL96" s="32"/>
      <c r="SVM96" s="32"/>
      <c r="SVN96" s="32"/>
      <c r="SVO96" s="32"/>
      <c r="SVP96" s="32"/>
      <c r="SVQ96" s="32"/>
      <c r="SVR96" s="32"/>
      <c r="SVS96" s="32"/>
      <c r="SVT96" s="32"/>
      <c r="SVU96" s="32"/>
      <c r="SVV96" s="32"/>
      <c r="SVW96" s="32"/>
      <c r="SVX96" s="32"/>
      <c r="SVY96" s="32"/>
      <c r="SVZ96" s="32"/>
      <c r="SWA96" s="32"/>
      <c r="SWB96" s="32"/>
      <c r="SWC96" s="32"/>
      <c r="SWD96" s="32"/>
      <c r="SWE96" s="32"/>
      <c r="SWF96" s="32"/>
      <c r="SWG96" s="32"/>
      <c r="SWH96" s="32"/>
      <c r="SWI96" s="32"/>
      <c r="SWJ96" s="32"/>
      <c r="SWK96" s="32"/>
      <c r="SWL96" s="32"/>
      <c r="SWM96" s="32"/>
      <c r="SWN96" s="32"/>
      <c r="SWO96" s="32"/>
      <c r="SWP96" s="32"/>
      <c r="SWQ96" s="32"/>
      <c r="SWR96" s="32"/>
      <c r="SWS96" s="32"/>
      <c r="SWT96" s="32"/>
      <c r="SWU96" s="32"/>
      <c r="SWV96" s="32"/>
      <c r="SWW96" s="32"/>
      <c r="SWX96" s="32"/>
      <c r="SWY96" s="32"/>
      <c r="SWZ96" s="32"/>
      <c r="SXA96" s="32"/>
      <c r="SXB96" s="32"/>
      <c r="SXC96" s="32"/>
      <c r="SXD96" s="32"/>
      <c r="SXE96" s="32"/>
      <c r="SXF96" s="32"/>
      <c r="SXG96" s="32"/>
      <c r="SXH96" s="32"/>
      <c r="SXI96" s="32"/>
      <c r="SXJ96" s="32"/>
      <c r="SXK96" s="32"/>
      <c r="SXL96" s="32"/>
      <c r="SXM96" s="32"/>
      <c r="SXN96" s="32"/>
      <c r="SXO96" s="32"/>
      <c r="SXP96" s="32"/>
      <c r="SXQ96" s="32"/>
      <c r="SXR96" s="32"/>
      <c r="SXS96" s="32"/>
      <c r="SXT96" s="32"/>
      <c r="SXU96" s="32"/>
      <c r="SXV96" s="32"/>
      <c r="SXW96" s="32"/>
      <c r="SXX96" s="32"/>
      <c r="SXY96" s="32"/>
      <c r="SXZ96" s="32"/>
      <c r="SYA96" s="32"/>
      <c r="SYB96" s="32"/>
      <c r="SYC96" s="32"/>
      <c r="SYD96" s="32"/>
      <c r="SYE96" s="32"/>
      <c r="SYF96" s="32"/>
      <c r="SYG96" s="32"/>
      <c r="SYH96" s="32"/>
      <c r="SYI96" s="32"/>
      <c r="SYJ96" s="32"/>
      <c r="SYK96" s="32"/>
      <c r="SYL96" s="32"/>
      <c r="SYM96" s="32"/>
      <c r="SYN96" s="32"/>
      <c r="SYO96" s="32"/>
      <c r="SYP96" s="32"/>
      <c r="SYQ96" s="32"/>
      <c r="SYR96" s="32"/>
      <c r="SYS96" s="32"/>
      <c r="SYT96" s="32"/>
      <c r="SYU96" s="32"/>
      <c r="SYV96" s="32"/>
      <c r="SYW96" s="32"/>
      <c r="SYX96" s="32"/>
      <c r="SYY96" s="32"/>
      <c r="SYZ96" s="32"/>
      <c r="SZA96" s="32"/>
      <c r="SZB96" s="32"/>
      <c r="SZC96" s="32"/>
      <c r="SZD96" s="32"/>
      <c r="SZE96" s="32"/>
      <c r="SZF96" s="32"/>
      <c r="SZG96" s="32"/>
      <c r="SZH96" s="32"/>
      <c r="SZI96" s="32"/>
      <c r="SZJ96" s="32"/>
      <c r="SZK96" s="32"/>
      <c r="SZL96" s="32"/>
      <c r="SZM96" s="32"/>
      <c r="SZN96" s="32"/>
      <c r="SZO96" s="32"/>
      <c r="SZP96" s="32"/>
      <c r="SZQ96" s="32"/>
      <c r="SZR96" s="32"/>
      <c r="SZS96" s="32"/>
      <c r="SZT96" s="32"/>
      <c r="SZU96" s="32"/>
      <c r="SZV96" s="32"/>
      <c r="SZW96" s="32"/>
      <c r="SZX96" s="32"/>
      <c r="SZY96" s="32"/>
      <c r="SZZ96" s="32"/>
      <c r="TAA96" s="32"/>
      <c r="TAB96" s="32"/>
      <c r="TAC96" s="32"/>
      <c r="TAD96" s="32"/>
      <c r="TAE96" s="32"/>
      <c r="TAF96" s="32"/>
      <c r="TAG96" s="32"/>
      <c r="TAH96" s="32"/>
      <c r="TAI96" s="32"/>
      <c r="TAJ96" s="32"/>
      <c r="TAK96" s="32"/>
      <c r="TAL96" s="32"/>
      <c r="TAM96" s="32"/>
      <c r="TAN96" s="32"/>
      <c r="TAO96" s="32"/>
      <c r="TAP96" s="32"/>
      <c r="TAQ96" s="32"/>
      <c r="TAR96" s="32"/>
      <c r="TAS96" s="32"/>
      <c r="TAT96" s="32"/>
      <c r="TAU96" s="32"/>
      <c r="TAV96" s="32"/>
      <c r="TAW96" s="32"/>
      <c r="TAX96" s="32"/>
      <c r="TAY96" s="32"/>
      <c r="TAZ96" s="32"/>
      <c r="TBA96" s="32"/>
      <c r="TBB96" s="32"/>
      <c r="TBC96" s="32"/>
      <c r="TBD96" s="32"/>
      <c r="TBE96" s="32"/>
      <c r="TBF96" s="32"/>
      <c r="TBG96" s="32"/>
      <c r="TBH96" s="32"/>
      <c r="TBI96" s="32"/>
      <c r="TBJ96" s="32"/>
      <c r="TBK96" s="32"/>
      <c r="TBL96" s="32"/>
      <c r="TBM96" s="32"/>
      <c r="TBN96" s="32"/>
      <c r="TBO96" s="32"/>
      <c r="TBP96" s="32"/>
      <c r="TBQ96" s="32"/>
      <c r="TBR96" s="32"/>
      <c r="TBS96" s="32"/>
      <c r="TBT96" s="32"/>
      <c r="TBU96" s="32"/>
      <c r="TBV96" s="32"/>
      <c r="TBW96" s="32"/>
      <c r="TBX96" s="32"/>
      <c r="TBY96" s="32"/>
      <c r="TBZ96" s="32"/>
      <c r="TCA96" s="32"/>
      <c r="TCB96" s="32"/>
      <c r="TCC96" s="32"/>
      <c r="TCD96" s="32"/>
      <c r="TCE96" s="32"/>
      <c r="TCF96" s="32"/>
      <c r="TCG96" s="32"/>
      <c r="TCH96" s="32"/>
      <c r="TCI96" s="32"/>
      <c r="TCJ96" s="32"/>
      <c r="TCK96" s="32"/>
      <c r="TCL96" s="32"/>
      <c r="TCM96" s="32"/>
      <c r="TCN96" s="32"/>
      <c r="TCO96" s="32"/>
      <c r="TCP96" s="32"/>
      <c r="TCQ96" s="32"/>
      <c r="TCR96" s="32"/>
      <c r="TCS96" s="32"/>
      <c r="TCT96" s="32"/>
      <c r="TCU96" s="32"/>
      <c r="TCV96" s="32"/>
      <c r="TCW96" s="32"/>
      <c r="TCX96" s="32"/>
      <c r="TCY96" s="32"/>
      <c r="TCZ96" s="32"/>
      <c r="TDA96" s="32"/>
      <c r="TDB96" s="32"/>
      <c r="TDC96" s="32"/>
      <c r="TDD96" s="32"/>
      <c r="TDE96" s="32"/>
      <c r="TDF96" s="32"/>
      <c r="TDG96" s="32"/>
      <c r="TDH96" s="32"/>
      <c r="TDI96" s="32"/>
      <c r="TDJ96" s="32"/>
      <c r="TDK96" s="32"/>
      <c r="TDL96" s="32"/>
      <c r="TDM96" s="32"/>
      <c r="TDN96" s="32"/>
      <c r="TDO96" s="32"/>
      <c r="TDP96" s="32"/>
      <c r="TDQ96" s="32"/>
      <c r="TDR96" s="32"/>
      <c r="TDS96" s="32"/>
      <c r="TDT96" s="32"/>
      <c r="TDU96" s="32"/>
      <c r="TDV96" s="32"/>
      <c r="TDW96" s="32"/>
      <c r="TDX96" s="32"/>
      <c r="TDY96" s="32"/>
      <c r="TDZ96" s="32"/>
      <c r="TEA96" s="32"/>
      <c r="TEB96" s="32"/>
      <c r="TEC96" s="32"/>
      <c r="TED96" s="32"/>
      <c r="TEE96" s="32"/>
      <c r="TEF96" s="32"/>
      <c r="TEG96" s="32"/>
      <c r="TEH96" s="32"/>
      <c r="TEI96" s="32"/>
      <c r="TEJ96" s="32"/>
      <c r="TEK96" s="32"/>
      <c r="TEL96" s="32"/>
      <c r="TEM96" s="32"/>
      <c r="TEN96" s="32"/>
      <c r="TEO96" s="32"/>
      <c r="TEP96" s="32"/>
      <c r="TEQ96" s="32"/>
      <c r="TER96" s="32"/>
      <c r="TES96" s="32"/>
      <c r="TET96" s="32"/>
      <c r="TEU96" s="32"/>
      <c r="TEV96" s="32"/>
      <c r="TEW96" s="32"/>
      <c r="TEX96" s="32"/>
      <c r="TEY96" s="32"/>
      <c r="TEZ96" s="32"/>
      <c r="TFA96" s="32"/>
      <c r="TFB96" s="32"/>
      <c r="TFC96" s="32"/>
      <c r="TFD96" s="32"/>
      <c r="TFE96" s="32"/>
      <c r="TFF96" s="32"/>
      <c r="TFG96" s="32"/>
      <c r="TFH96" s="32"/>
      <c r="TFI96" s="32"/>
      <c r="TFJ96" s="32"/>
      <c r="TFK96" s="32"/>
      <c r="TFL96" s="32"/>
      <c r="TFM96" s="32"/>
      <c r="TFN96" s="32"/>
      <c r="TFO96" s="32"/>
      <c r="TFP96" s="32"/>
      <c r="TFQ96" s="32"/>
      <c r="TFR96" s="32"/>
      <c r="TFS96" s="32"/>
      <c r="TFT96" s="32"/>
      <c r="TFU96" s="32"/>
      <c r="TFV96" s="32"/>
      <c r="TFW96" s="32"/>
      <c r="TFX96" s="32"/>
      <c r="TFY96" s="32"/>
      <c r="TFZ96" s="32"/>
      <c r="TGA96" s="32"/>
      <c r="TGB96" s="32"/>
      <c r="TGC96" s="32"/>
      <c r="TGD96" s="32"/>
      <c r="TGE96" s="32"/>
      <c r="TGF96" s="32"/>
      <c r="TGG96" s="32"/>
      <c r="TGH96" s="32"/>
      <c r="TGI96" s="32"/>
      <c r="TGJ96" s="32"/>
      <c r="TGK96" s="32"/>
      <c r="TGL96" s="32"/>
      <c r="TGM96" s="32"/>
      <c r="TGN96" s="32"/>
      <c r="TGO96" s="32"/>
      <c r="TGP96" s="32"/>
      <c r="TGQ96" s="32"/>
      <c r="TGR96" s="32"/>
      <c r="TGS96" s="32"/>
      <c r="TGT96" s="32"/>
      <c r="TGU96" s="32"/>
      <c r="TGV96" s="32"/>
      <c r="TGW96" s="32"/>
      <c r="TGX96" s="32"/>
      <c r="TGY96" s="32"/>
      <c r="TGZ96" s="32"/>
      <c r="THA96" s="32"/>
      <c r="THB96" s="32"/>
      <c r="THC96" s="32"/>
      <c r="THD96" s="32"/>
      <c r="THE96" s="32"/>
      <c r="THF96" s="32"/>
      <c r="THG96" s="32"/>
      <c r="THH96" s="32"/>
      <c r="THI96" s="32"/>
      <c r="THJ96" s="32"/>
      <c r="THK96" s="32"/>
      <c r="THL96" s="32"/>
      <c r="THM96" s="32"/>
      <c r="THN96" s="32"/>
      <c r="THO96" s="32"/>
      <c r="THP96" s="32"/>
      <c r="THQ96" s="32"/>
      <c r="THR96" s="32"/>
      <c r="THS96" s="32"/>
      <c r="THT96" s="32"/>
      <c r="THU96" s="32"/>
      <c r="THV96" s="32"/>
      <c r="THW96" s="32"/>
      <c r="THX96" s="32"/>
      <c r="THY96" s="32"/>
      <c r="THZ96" s="32"/>
      <c r="TIA96" s="32"/>
      <c r="TIB96" s="32"/>
      <c r="TIC96" s="32"/>
      <c r="TID96" s="32"/>
      <c r="TIE96" s="32"/>
      <c r="TIF96" s="32"/>
      <c r="TIG96" s="32"/>
      <c r="TIH96" s="32"/>
      <c r="TII96" s="32"/>
      <c r="TIJ96" s="32"/>
      <c r="TIK96" s="32"/>
      <c r="TIL96" s="32"/>
      <c r="TIM96" s="32"/>
      <c r="TIN96" s="32"/>
      <c r="TIO96" s="32"/>
      <c r="TIP96" s="32"/>
      <c r="TIQ96" s="32"/>
      <c r="TIR96" s="32"/>
      <c r="TIS96" s="32"/>
      <c r="TIT96" s="32"/>
      <c r="TIU96" s="32"/>
      <c r="TIV96" s="32"/>
      <c r="TIW96" s="32"/>
      <c r="TIX96" s="32"/>
      <c r="TIY96" s="32"/>
      <c r="TIZ96" s="32"/>
      <c r="TJA96" s="32"/>
      <c r="TJB96" s="32"/>
      <c r="TJC96" s="32"/>
      <c r="TJD96" s="32"/>
      <c r="TJE96" s="32"/>
      <c r="TJF96" s="32"/>
      <c r="TJG96" s="32"/>
      <c r="TJH96" s="32"/>
      <c r="TJI96" s="32"/>
      <c r="TJJ96" s="32"/>
      <c r="TJK96" s="32"/>
      <c r="TJL96" s="32"/>
      <c r="TJM96" s="32"/>
      <c r="TJN96" s="32"/>
      <c r="TJO96" s="32"/>
      <c r="TJP96" s="32"/>
      <c r="TJQ96" s="32"/>
      <c r="TJR96" s="32"/>
      <c r="TJS96" s="32"/>
      <c r="TJT96" s="32"/>
      <c r="TJU96" s="32"/>
      <c r="TJV96" s="32"/>
      <c r="TJW96" s="32"/>
      <c r="TJX96" s="32"/>
      <c r="TJY96" s="32"/>
      <c r="TJZ96" s="32"/>
      <c r="TKA96" s="32"/>
      <c r="TKB96" s="32"/>
      <c r="TKC96" s="32"/>
      <c r="TKD96" s="32"/>
      <c r="TKE96" s="32"/>
      <c r="TKF96" s="32"/>
      <c r="TKG96" s="32"/>
      <c r="TKH96" s="32"/>
      <c r="TKI96" s="32"/>
      <c r="TKJ96" s="32"/>
      <c r="TKK96" s="32"/>
      <c r="TKL96" s="32"/>
      <c r="TKM96" s="32"/>
      <c r="TKN96" s="32"/>
      <c r="TKO96" s="32"/>
      <c r="TKP96" s="32"/>
      <c r="TKQ96" s="32"/>
      <c r="TKR96" s="32"/>
      <c r="TKS96" s="32"/>
      <c r="TKT96" s="32"/>
      <c r="TKU96" s="32"/>
      <c r="TKV96" s="32"/>
      <c r="TKW96" s="32"/>
      <c r="TKX96" s="32"/>
      <c r="TKY96" s="32"/>
      <c r="TKZ96" s="32"/>
      <c r="TLA96" s="32"/>
      <c r="TLB96" s="32"/>
      <c r="TLC96" s="32"/>
      <c r="TLD96" s="32"/>
      <c r="TLE96" s="32"/>
      <c r="TLF96" s="32"/>
      <c r="TLG96" s="32"/>
      <c r="TLH96" s="32"/>
      <c r="TLI96" s="32"/>
      <c r="TLJ96" s="32"/>
      <c r="TLK96" s="32"/>
      <c r="TLL96" s="32"/>
      <c r="TLM96" s="32"/>
      <c r="TLN96" s="32"/>
      <c r="TLO96" s="32"/>
      <c r="TLP96" s="32"/>
      <c r="TLQ96" s="32"/>
      <c r="TLR96" s="32"/>
      <c r="TLS96" s="32"/>
      <c r="TLT96" s="32"/>
      <c r="TLU96" s="32"/>
      <c r="TLV96" s="32"/>
      <c r="TLW96" s="32"/>
      <c r="TLX96" s="32"/>
      <c r="TLY96" s="32"/>
      <c r="TLZ96" s="32"/>
      <c r="TMA96" s="32"/>
      <c r="TMB96" s="32"/>
      <c r="TMC96" s="32"/>
      <c r="TMD96" s="32"/>
      <c r="TME96" s="32"/>
      <c r="TMF96" s="32"/>
      <c r="TMG96" s="32"/>
      <c r="TMH96" s="32"/>
      <c r="TMI96" s="32"/>
      <c r="TMJ96" s="32"/>
      <c r="TMK96" s="32"/>
      <c r="TML96" s="32"/>
      <c r="TMM96" s="32"/>
      <c r="TMN96" s="32"/>
      <c r="TMO96" s="32"/>
      <c r="TMP96" s="32"/>
      <c r="TMQ96" s="32"/>
      <c r="TMR96" s="32"/>
      <c r="TMS96" s="32"/>
      <c r="TMT96" s="32"/>
      <c r="TMU96" s="32"/>
      <c r="TMV96" s="32"/>
      <c r="TMW96" s="32"/>
      <c r="TMX96" s="32"/>
      <c r="TMY96" s="32"/>
      <c r="TMZ96" s="32"/>
      <c r="TNA96" s="32"/>
      <c r="TNB96" s="32"/>
      <c r="TNC96" s="32"/>
      <c r="TND96" s="32"/>
      <c r="TNE96" s="32"/>
      <c r="TNF96" s="32"/>
      <c r="TNG96" s="32"/>
      <c r="TNH96" s="32"/>
      <c r="TNI96" s="32"/>
      <c r="TNJ96" s="32"/>
      <c r="TNK96" s="32"/>
      <c r="TNL96" s="32"/>
      <c r="TNM96" s="32"/>
      <c r="TNN96" s="32"/>
      <c r="TNO96" s="32"/>
      <c r="TNP96" s="32"/>
      <c r="TNQ96" s="32"/>
      <c r="TNR96" s="32"/>
      <c r="TNS96" s="32"/>
      <c r="TNT96" s="32"/>
      <c r="TNU96" s="32"/>
      <c r="TNV96" s="32"/>
      <c r="TNW96" s="32"/>
      <c r="TNX96" s="32"/>
      <c r="TNY96" s="32"/>
      <c r="TNZ96" s="32"/>
      <c r="TOA96" s="32"/>
      <c r="TOB96" s="32"/>
      <c r="TOC96" s="32"/>
      <c r="TOD96" s="32"/>
      <c r="TOE96" s="32"/>
      <c r="TOF96" s="32"/>
      <c r="TOG96" s="32"/>
      <c r="TOH96" s="32"/>
      <c r="TOI96" s="32"/>
      <c r="TOJ96" s="32"/>
      <c r="TOK96" s="32"/>
      <c r="TOL96" s="32"/>
      <c r="TOM96" s="32"/>
      <c r="TON96" s="32"/>
      <c r="TOO96" s="32"/>
      <c r="TOP96" s="32"/>
      <c r="TOQ96" s="32"/>
      <c r="TOR96" s="32"/>
      <c r="TOS96" s="32"/>
      <c r="TOT96" s="32"/>
      <c r="TOU96" s="32"/>
      <c r="TOV96" s="32"/>
      <c r="TOW96" s="32"/>
      <c r="TOX96" s="32"/>
      <c r="TOY96" s="32"/>
      <c r="TOZ96" s="32"/>
      <c r="TPA96" s="32"/>
      <c r="TPB96" s="32"/>
      <c r="TPC96" s="32"/>
      <c r="TPD96" s="32"/>
      <c r="TPE96" s="32"/>
      <c r="TPF96" s="32"/>
      <c r="TPG96" s="32"/>
      <c r="TPH96" s="32"/>
      <c r="TPI96" s="32"/>
      <c r="TPJ96" s="32"/>
      <c r="TPK96" s="32"/>
      <c r="TPL96" s="32"/>
      <c r="TPM96" s="32"/>
      <c r="TPN96" s="32"/>
      <c r="TPO96" s="32"/>
      <c r="TPP96" s="32"/>
      <c r="TPQ96" s="32"/>
      <c r="TPR96" s="32"/>
      <c r="TPS96" s="32"/>
      <c r="TPT96" s="32"/>
      <c r="TPU96" s="32"/>
      <c r="TPV96" s="32"/>
      <c r="TPW96" s="32"/>
      <c r="TPX96" s="32"/>
      <c r="TPY96" s="32"/>
      <c r="TPZ96" s="32"/>
      <c r="TQA96" s="32"/>
      <c r="TQB96" s="32"/>
      <c r="TQC96" s="32"/>
      <c r="TQD96" s="32"/>
      <c r="TQE96" s="32"/>
      <c r="TQF96" s="32"/>
      <c r="TQG96" s="32"/>
      <c r="TQH96" s="32"/>
      <c r="TQI96" s="32"/>
      <c r="TQJ96" s="32"/>
      <c r="TQK96" s="32"/>
      <c r="TQL96" s="32"/>
      <c r="TQM96" s="32"/>
      <c r="TQN96" s="32"/>
      <c r="TQO96" s="32"/>
      <c r="TQP96" s="32"/>
      <c r="TQQ96" s="32"/>
      <c r="TQR96" s="32"/>
      <c r="TQS96" s="32"/>
      <c r="TQT96" s="32"/>
      <c r="TQU96" s="32"/>
      <c r="TQV96" s="32"/>
      <c r="TQW96" s="32"/>
      <c r="TQX96" s="32"/>
      <c r="TQY96" s="32"/>
      <c r="TQZ96" s="32"/>
      <c r="TRA96" s="32"/>
      <c r="TRB96" s="32"/>
      <c r="TRC96" s="32"/>
      <c r="TRD96" s="32"/>
      <c r="TRE96" s="32"/>
      <c r="TRF96" s="32"/>
      <c r="TRG96" s="32"/>
      <c r="TRH96" s="32"/>
      <c r="TRI96" s="32"/>
      <c r="TRJ96" s="32"/>
      <c r="TRK96" s="32"/>
      <c r="TRL96" s="32"/>
      <c r="TRM96" s="32"/>
      <c r="TRN96" s="32"/>
      <c r="TRO96" s="32"/>
      <c r="TRP96" s="32"/>
      <c r="TRQ96" s="32"/>
      <c r="TRR96" s="32"/>
      <c r="TRS96" s="32"/>
      <c r="TRT96" s="32"/>
      <c r="TRU96" s="32"/>
      <c r="TRV96" s="32"/>
      <c r="TRW96" s="32"/>
      <c r="TRX96" s="32"/>
      <c r="TRY96" s="32"/>
      <c r="TRZ96" s="32"/>
      <c r="TSA96" s="32"/>
      <c r="TSB96" s="32"/>
      <c r="TSC96" s="32"/>
      <c r="TSD96" s="32"/>
      <c r="TSE96" s="32"/>
      <c r="TSF96" s="32"/>
      <c r="TSG96" s="32"/>
      <c r="TSH96" s="32"/>
      <c r="TSI96" s="32"/>
      <c r="TSJ96" s="32"/>
      <c r="TSK96" s="32"/>
      <c r="TSL96" s="32"/>
      <c r="TSM96" s="32"/>
      <c r="TSN96" s="32"/>
      <c r="TSO96" s="32"/>
      <c r="TSP96" s="32"/>
      <c r="TSQ96" s="32"/>
      <c r="TSR96" s="32"/>
      <c r="TSS96" s="32"/>
      <c r="TST96" s="32"/>
      <c r="TSU96" s="32"/>
      <c r="TSV96" s="32"/>
      <c r="TSW96" s="32"/>
      <c r="TSX96" s="32"/>
      <c r="TSY96" s="32"/>
      <c r="TSZ96" s="32"/>
      <c r="TTA96" s="32"/>
      <c r="TTB96" s="32"/>
      <c r="TTC96" s="32"/>
      <c r="TTD96" s="32"/>
      <c r="TTE96" s="32"/>
      <c r="TTF96" s="32"/>
      <c r="TTG96" s="32"/>
      <c r="TTH96" s="32"/>
      <c r="TTI96" s="32"/>
      <c r="TTJ96" s="32"/>
      <c r="TTK96" s="32"/>
      <c r="TTL96" s="32"/>
      <c r="TTM96" s="32"/>
      <c r="TTN96" s="32"/>
      <c r="TTO96" s="32"/>
      <c r="TTP96" s="32"/>
      <c r="TTQ96" s="32"/>
      <c r="TTR96" s="32"/>
      <c r="TTS96" s="32"/>
      <c r="TTT96" s="32"/>
      <c r="TTU96" s="32"/>
      <c r="TTV96" s="32"/>
      <c r="TTW96" s="32"/>
      <c r="TTX96" s="32"/>
      <c r="TTY96" s="32"/>
      <c r="TTZ96" s="32"/>
      <c r="TUA96" s="32"/>
      <c r="TUB96" s="32"/>
      <c r="TUC96" s="32"/>
      <c r="TUD96" s="32"/>
      <c r="TUE96" s="32"/>
      <c r="TUF96" s="32"/>
      <c r="TUG96" s="32"/>
      <c r="TUH96" s="32"/>
      <c r="TUI96" s="32"/>
      <c r="TUJ96" s="32"/>
      <c r="TUK96" s="32"/>
      <c r="TUL96" s="32"/>
      <c r="TUM96" s="32"/>
      <c r="TUN96" s="32"/>
      <c r="TUO96" s="32"/>
      <c r="TUP96" s="32"/>
      <c r="TUQ96" s="32"/>
      <c r="TUR96" s="32"/>
      <c r="TUS96" s="32"/>
      <c r="TUT96" s="32"/>
      <c r="TUU96" s="32"/>
      <c r="TUV96" s="32"/>
      <c r="TUW96" s="32"/>
      <c r="TUX96" s="32"/>
      <c r="TUY96" s="32"/>
      <c r="TUZ96" s="32"/>
      <c r="TVA96" s="32"/>
      <c r="TVB96" s="32"/>
      <c r="TVC96" s="32"/>
      <c r="TVD96" s="32"/>
      <c r="TVE96" s="32"/>
      <c r="TVF96" s="32"/>
      <c r="TVG96" s="32"/>
      <c r="TVH96" s="32"/>
      <c r="TVI96" s="32"/>
      <c r="TVJ96" s="32"/>
      <c r="TVK96" s="32"/>
      <c r="TVL96" s="32"/>
      <c r="TVM96" s="32"/>
      <c r="TVN96" s="32"/>
      <c r="TVO96" s="32"/>
      <c r="TVP96" s="32"/>
      <c r="TVQ96" s="32"/>
      <c r="TVR96" s="32"/>
      <c r="TVS96" s="32"/>
      <c r="TVT96" s="32"/>
      <c r="TVU96" s="32"/>
      <c r="TVV96" s="32"/>
      <c r="TVW96" s="32"/>
      <c r="TVX96" s="32"/>
      <c r="TVY96" s="32"/>
      <c r="TVZ96" s="32"/>
      <c r="TWA96" s="32"/>
      <c r="TWB96" s="32"/>
      <c r="TWC96" s="32"/>
      <c r="TWD96" s="32"/>
      <c r="TWE96" s="32"/>
      <c r="TWF96" s="32"/>
      <c r="TWG96" s="32"/>
      <c r="TWH96" s="32"/>
      <c r="TWI96" s="32"/>
      <c r="TWJ96" s="32"/>
      <c r="TWK96" s="32"/>
      <c r="TWL96" s="32"/>
      <c r="TWM96" s="32"/>
      <c r="TWN96" s="32"/>
      <c r="TWO96" s="32"/>
      <c r="TWP96" s="32"/>
      <c r="TWQ96" s="32"/>
      <c r="TWR96" s="32"/>
      <c r="TWS96" s="32"/>
      <c r="TWT96" s="32"/>
      <c r="TWU96" s="32"/>
      <c r="TWV96" s="32"/>
      <c r="TWW96" s="32"/>
      <c r="TWX96" s="32"/>
      <c r="TWY96" s="32"/>
      <c r="TWZ96" s="32"/>
      <c r="TXA96" s="32"/>
      <c r="TXB96" s="32"/>
      <c r="TXC96" s="32"/>
      <c r="TXD96" s="32"/>
      <c r="TXE96" s="32"/>
      <c r="TXF96" s="32"/>
      <c r="TXG96" s="32"/>
      <c r="TXH96" s="32"/>
      <c r="TXI96" s="32"/>
      <c r="TXJ96" s="32"/>
      <c r="TXK96" s="32"/>
      <c r="TXL96" s="32"/>
      <c r="TXM96" s="32"/>
      <c r="TXN96" s="32"/>
      <c r="TXO96" s="32"/>
      <c r="TXP96" s="32"/>
      <c r="TXQ96" s="32"/>
      <c r="TXR96" s="32"/>
      <c r="TXS96" s="32"/>
      <c r="TXT96" s="32"/>
      <c r="TXU96" s="32"/>
      <c r="TXV96" s="32"/>
      <c r="TXW96" s="32"/>
      <c r="TXX96" s="32"/>
      <c r="TXY96" s="32"/>
      <c r="TXZ96" s="32"/>
      <c r="TYA96" s="32"/>
      <c r="TYB96" s="32"/>
      <c r="TYC96" s="32"/>
      <c r="TYD96" s="32"/>
      <c r="TYE96" s="32"/>
      <c r="TYF96" s="32"/>
      <c r="TYG96" s="32"/>
      <c r="TYH96" s="32"/>
      <c r="TYI96" s="32"/>
      <c r="TYJ96" s="32"/>
      <c r="TYK96" s="32"/>
      <c r="TYL96" s="32"/>
      <c r="TYM96" s="32"/>
      <c r="TYN96" s="32"/>
      <c r="TYO96" s="32"/>
      <c r="TYP96" s="32"/>
      <c r="TYQ96" s="32"/>
      <c r="TYR96" s="32"/>
      <c r="TYS96" s="32"/>
      <c r="TYT96" s="32"/>
      <c r="TYU96" s="32"/>
      <c r="TYV96" s="32"/>
      <c r="TYW96" s="32"/>
      <c r="TYX96" s="32"/>
      <c r="TYY96" s="32"/>
      <c r="TYZ96" s="32"/>
      <c r="TZA96" s="32"/>
      <c r="TZB96" s="32"/>
      <c r="TZC96" s="32"/>
      <c r="TZD96" s="32"/>
      <c r="TZE96" s="32"/>
      <c r="TZF96" s="32"/>
      <c r="TZG96" s="32"/>
      <c r="TZH96" s="32"/>
      <c r="TZI96" s="32"/>
      <c r="TZJ96" s="32"/>
      <c r="TZK96" s="32"/>
      <c r="TZL96" s="32"/>
      <c r="TZM96" s="32"/>
      <c r="TZN96" s="32"/>
      <c r="TZO96" s="32"/>
      <c r="TZP96" s="32"/>
      <c r="TZQ96" s="32"/>
      <c r="TZR96" s="32"/>
      <c r="TZS96" s="32"/>
      <c r="TZT96" s="32"/>
      <c r="TZU96" s="32"/>
      <c r="TZV96" s="32"/>
      <c r="TZW96" s="32"/>
      <c r="TZX96" s="32"/>
      <c r="TZY96" s="32"/>
      <c r="TZZ96" s="32"/>
      <c r="UAA96" s="32"/>
      <c r="UAB96" s="32"/>
      <c r="UAC96" s="32"/>
      <c r="UAD96" s="32"/>
      <c r="UAE96" s="32"/>
      <c r="UAF96" s="32"/>
      <c r="UAG96" s="32"/>
      <c r="UAH96" s="32"/>
      <c r="UAI96" s="32"/>
      <c r="UAJ96" s="32"/>
      <c r="UAK96" s="32"/>
      <c r="UAL96" s="32"/>
      <c r="UAM96" s="32"/>
      <c r="UAN96" s="32"/>
      <c r="UAO96" s="32"/>
      <c r="UAP96" s="32"/>
      <c r="UAQ96" s="32"/>
      <c r="UAR96" s="32"/>
      <c r="UAS96" s="32"/>
      <c r="UAT96" s="32"/>
      <c r="UAU96" s="32"/>
      <c r="UAV96" s="32"/>
      <c r="UAW96" s="32"/>
      <c r="UAX96" s="32"/>
      <c r="UAY96" s="32"/>
      <c r="UAZ96" s="32"/>
      <c r="UBA96" s="32"/>
      <c r="UBB96" s="32"/>
      <c r="UBC96" s="32"/>
      <c r="UBD96" s="32"/>
      <c r="UBE96" s="32"/>
      <c r="UBF96" s="32"/>
      <c r="UBG96" s="32"/>
      <c r="UBH96" s="32"/>
      <c r="UBI96" s="32"/>
      <c r="UBJ96" s="32"/>
      <c r="UBK96" s="32"/>
      <c r="UBL96" s="32"/>
      <c r="UBM96" s="32"/>
      <c r="UBN96" s="32"/>
      <c r="UBO96" s="32"/>
      <c r="UBP96" s="32"/>
      <c r="UBQ96" s="32"/>
      <c r="UBR96" s="32"/>
      <c r="UBS96" s="32"/>
      <c r="UBT96" s="32"/>
      <c r="UBU96" s="32"/>
      <c r="UBV96" s="32"/>
      <c r="UBW96" s="32"/>
      <c r="UBX96" s="32"/>
      <c r="UBY96" s="32"/>
      <c r="UBZ96" s="32"/>
      <c r="UCA96" s="32"/>
      <c r="UCB96" s="32"/>
      <c r="UCC96" s="32"/>
      <c r="UCD96" s="32"/>
      <c r="UCE96" s="32"/>
      <c r="UCF96" s="32"/>
      <c r="UCG96" s="32"/>
      <c r="UCH96" s="32"/>
      <c r="UCI96" s="32"/>
      <c r="UCJ96" s="32"/>
      <c r="UCK96" s="32"/>
      <c r="UCL96" s="32"/>
      <c r="UCM96" s="32"/>
      <c r="UCN96" s="32"/>
      <c r="UCO96" s="32"/>
      <c r="UCP96" s="32"/>
      <c r="UCQ96" s="32"/>
      <c r="UCR96" s="32"/>
      <c r="UCS96" s="32"/>
      <c r="UCT96" s="32"/>
      <c r="UCU96" s="32"/>
      <c r="UCV96" s="32"/>
      <c r="UCW96" s="32"/>
      <c r="UCX96" s="32"/>
      <c r="UCY96" s="32"/>
      <c r="UCZ96" s="32"/>
      <c r="UDA96" s="32"/>
      <c r="UDB96" s="32"/>
      <c r="UDC96" s="32"/>
      <c r="UDD96" s="32"/>
      <c r="UDE96" s="32"/>
      <c r="UDF96" s="32"/>
      <c r="UDG96" s="32"/>
      <c r="UDH96" s="32"/>
      <c r="UDI96" s="32"/>
      <c r="UDJ96" s="32"/>
      <c r="UDK96" s="32"/>
      <c r="UDL96" s="32"/>
      <c r="UDM96" s="32"/>
      <c r="UDN96" s="32"/>
      <c r="UDO96" s="32"/>
      <c r="UDP96" s="32"/>
      <c r="UDQ96" s="32"/>
      <c r="UDR96" s="32"/>
      <c r="UDS96" s="32"/>
      <c r="UDT96" s="32"/>
      <c r="UDU96" s="32"/>
      <c r="UDV96" s="32"/>
      <c r="UDW96" s="32"/>
      <c r="UDX96" s="32"/>
      <c r="UDY96" s="32"/>
      <c r="UDZ96" s="32"/>
      <c r="UEA96" s="32"/>
      <c r="UEB96" s="32"/>
      <c r="UEC96" s="32"/>
      <c r="UED96" s="32"/>
      <c r="UEE96" s="32"/>
      <c r="UEF96" s="32"/>
      <c r="UEG96" s="32"/>
      <c r="UEH96" s="32"/>
      <c r="UEI96" s="32"/>
      <c r="UEJ96" s="32"/>
      <c r="UEK96" s="32"/>
      <c r="UEL96" s="32"/>
      <c r="UEM96" s="32"/>
      <c r="UEN96" s="32"/>
      <c r="UEO96" s="32"/>
      <c r="UEP96" s="32"/>
      <c r="UEQ96" s="32"/>
      <c r="UER96" s="32"/>
      <c r="UES96" s="32"/>
      <c r="UET96" s="32"/>
      <c r="UEU96" s="32"/>
      <c r="UEV96" s="32"/>
      <c r="UEW96" s="32"/>
      <c r="UEX96" s="32"/>
      <c r="UEY96" s="32"/>
      <c r="UEZ96" s="32"/>
      <c r="UFA96" s="32"/>
      <c r="UFB96" s="32"/>
      <c r="UFC96" s="32"/>
      <c r="UFD96" s="32"/>
      <c r="UFE96" s="32"/>
      <c r="UFF96" s="32"/>
      <c r="UFG96" s="32"/>
      <c r="UFH96" s="32"/>
      <c r="UFI96" s="32"/>
      <c r="UFJ96" s="32"/>
      <c r="UFK96" s="32"/>
      <c r="UFL96" s="32"/>
      <c r="UFM96" s="32"/>
      <c r="UFN96" s="32"/>
      <c r="UFO96" s="32"/>
      <c r="UFP96" s="32"/>
      <c r="UFQ96" s="32"/>
      <c r="UFR96" s="32"/>
      <c r="UFS96" s="32"/>
      <c r="UFT96" s="32"/>
      <c r="UFU96" s="32"/>
      <c r="UFV96" s="32"/>
      <c r="UFW96" s="32"/>
      <c r="UFX96" s="32"/>
      <c r="UFY96" s="32"/>
      <c r="UFZ96" s="32"/>
      <c r="UGA96" s="32"/>
      <c r="UGB96" s="32"/>
      <c r="UGC96" s="32"/>
      <c r="UGD96" s="32"/>
      <c r="UGE96" s="32"/>
      <c r="UGF96" s="32"/>
      <c r="UGG96" s="32"/>
      <c r="UGH96" s="32"/>
      <c r="UGI96" s="32"/>
      <c r="UGJ96" s="32"/>
      <c r="UGK96" s="32"/>
      <c r="UGL96" s="32"/>
      <c r="UGM96" s="32"/>
      <c r="UGN96" s="32"/>
      <c r="UGO96" s="32"/>
      <c r="UGP96" s="32"/>
      <c r="UGQ96" s="32"/>
      <c r="UGR96" s="32"/>
      <c r="UGS96" s="32"/>
      <c r="UGT96" s="32"/>
      <c r="UGU96" s="32"/>
      <c r="UGV96" s="32"/>
      <c r="UGW96" s="32"/>
      <c r="UGX96" s="32"/>
      <c r="UGY96" s="32"/>
      <c r="UGZ96" s="32"/>
      <c r="UHA96" s="32"/>
      <c r="UHB96" s="32"/>
      <c r="UHC96" s="32"/>
      <c r="UHD96" s="32"/>
      <c r="UHE96" s="32"/>
      <c r="UHF96" s="32"/>
      <c r="UHG96" s="32"/>
      <c r="UHH96" s="32"/>
      <c r="UHI96" s="32"/>
      <c r="UHJ96" s="32"/>
      <c r="UHK96" s="32"/>
      <c r="UHL96" s="32"/>
      <c r="UHM96" s="32"/>
      <c r="UHN96" s="32"/>
      <c r="UHO96" s="32"/>
      <c r="UHP96" s="32"/>
      <c r="UHQ96" s="32"/>
      <c r="UHR96" s="32"/>
      <c r="UHS96" s="32"/>
      <c r="UHT96" s="32"/>
      <c r="UHU96" s="32"/>
      <c r="UHV96" s="32"/>
      <c r="UHW96" s="32"/>
      <c r="UHX96" s="32"/>
      <c r="UHY96" s="32"/>
      <c r="UHZ96" s="32"/>
      <c r="UIA96" s="32"/>
      <c r="UIB96" s="32"/>
      <c r="UIC96" s="32"/>
      <c r="UID96" s="32"/>
      <c r="UIE96" s="32"/>
      <c r="UIF96" s="32"/>
      <c r="UIG96" s="32"/>
      <c r="UIH96" s="32"/>
      <c r="UII96" s="32"/>
      <c r="UIJ96" s="32"/>
      <c r="UIK96" s="32"/>
      <c r="UIL96" s="32"/>
      <c r="UIM96" s="32"/>
      <c r="UIN96" s="32"/>
      <c r="UIO96" s="32"/>
      <c r="UIP96" s="32"/>
      <c r="UIQ96" s="32"/>
      <c r="UIR96" s="32"/>
      <c r="UIS96" s="32"/>
      <c r="UIT96" s="32"/>
      <c r="UIU96" s="32"/>
      <c r="UIV96" s="32"/>
      <c r="UIW96" s="32"/>
      <c r="UIX96" s="32"/>
      <c r="UIY96" s="32"/>
      <c r="UIZ96" s="32"/>
      <c r="UJA96" s="32"/>
      <c r="UJB96" s="32"/>
      <c r="UJC96" s="32"/>
      <c r="UJD96" s="32"/>
      <c r="UJE96" s="32"/>
      <c r="UJF96" s="32"/>
      <c r="UJG96" s="32"/>
      <c r="UJH96" s="32"/>
      <c r="UJI96" s="32"/>
      <c r="UJJ96" s="32"/>
      <c r="UJK96" s="32"/>
      <c r="UJL96" s="32"/>
      <c r="UJM96" s="32"/>
      <c r="UJN96" s="32"/>
      <c r="UJO96" s="32"/>
      <c r="UJP96" s="32"/>
      <c r="UJQ96" s="32"/>
      <c r="UJR96" s="32"/>
      <c r="UJS96" s="32"/>
      <c r="UJT96" s="32"/>
      <c r="UJU96" s="32"/>
      <c r="UJV96" s="32"/>
      <c r="UJW96" s="32"/>
      <c r="UJX96" s="32"/>
      <c r="UJY96" s="32"/>
      <c r="UJZ96" s="32"/>
      <c r="UKA96" s="32"/>
      <c r="UKB96" s="32"/>
      <c r="UKC96" s="32"/>
      <c r="UKD96" s="32"/>
      <c r="UKE96" s="32"/>
      <c r="UKF96" s="32"/>
      <c r="UKG96" s="32"/>
      <c r="UKH96" s="32"/>
      <c r="UKI96" s="32"/>
      <c r="UKJ96" s="32"/>
      <c r="UKK96" s="32"/>
      <c r="UKL96" s="32"/>
      <c r="UKM96" s="32"/>
      <c r="UKN96" s="32"/>
      <c r="UKO96" s="32"/>
      <c r="UKP96" s="32"/>
      <c r="UKQ96" s="32"/>
      <c r="UKR96" s="32"/>
      <c r="UKS96" s="32"/>
      <c r="UKT96" s="32"/>
      <c r="UKU96" s="32"/>
      <c r="UKV96" s="32"/>
      <c r="UKW96" s="32"/>
      <c r="UKX96" s="32"/>
      <c r="UKY96" s="32"/>
      <c r="UKZ96" s="32"/>
      <c r="ULA96" s="32"/>
      <c r="ULB96" s="32"/>
      <c r="ULC96" s="32"/>
      <c r="ULD96" s="32"/>
      <c r="ULE96" s="32"/>
      <c r="ULF96" s="32"/>
      <c r="ULG96" s="32"/>
      <c r="ULH96" s="32"/>
      <c r="ULI96" s="32"/>
      <c r="ULJ96" s="32"/>
      <c r="ULK96" s="32"/>
      <c r="ULL96" s="32"/>
      <c r="ULM96" s="32"/>
      <c r="ULN96" s="32"/>
      <c r="ULO96" s="32"/>
      <c r="ULP96" s="32"/>
      <c r="ULQ96" s="32"/>
      <c r="ULR96" s="32"/>
      <c r="ULS96" s="32"/>
      <c r="ULT96" s="32"/>
      <c r="ULU96" s="32"/>
      <c r="ULV96" s="32"/>
      <c r="ULW96" s="32"/>
      <c r="ULX96" s="32"/>
      <c r="ULY96" s="32"/>
      <c r="ULZ96" s="32"/>
      <c r="UMA96" s="32"/>
      <c r="UMB96" s="32"/>
      <c r="UMC96" s="32"/>
      <c r="UMD96" s="32"/>
      <c r="UME96" s="32"/>
      <c r="UMF96" s="32"/>
      <c r="UMG96" s="32"/>
      <c r="UMH96" s="32"/>
      <c r="UMI96" s="32"/>
      <c r="UMJ96" s="32"/>
      <c r="UMK96" s="32"/>
      <c r="UML96" s="32"/>
      <c r="UMM96" s="32"/>
      <c r="UMN96" s="32"/>
      <c r="UMO96" s="32"/>
      <c r="UMP96" s="32"/>
      <c r="UMQ96" s="32"/>
      <c r="UMR96" s="32"/>
      <c r="UMS96" s="32"/>
      <c r="UMT96" s="32"/>
      <c r="UMU96" s="32"/>
      <c r="UMV96" s="32"/>
      <c r="UMW96" s="32"/>
      <c r="UMX96" s="32"/>
      <c r="UMY96" s="32"/>
      <c r="UMZ96" s="32"/>
      <c r="UNA96" s="32"/>
      <c r="UNB96" s="32"/>
      <c r="UNC96" s="32"/>
      <c r="UND96" s="32"/>
      <c r="UNE96" s="32"/>
      <c r="UNF96" s="32"/>
      <c r="UNG96" s="32"/>
      <c r="UNH96" s="32"/>
      <c r="UNI96" s="32"/>
      <c r="UNJ96" s="32"/>
      <c r="UNK96" s="32"/>
      <c r="UNL96" s="32"/>
      <c r="UNM96" s="32"/>
      <c r="UNN96" s="32"/>
      <c r="UNO96" s="32"/>
      <c r="UNP96" s="32"/>
      <c r="UNQ96" s="32"/>
      <c r="UNR96" s="32"/>
      <c r="UNS96" s="32"/>
      <c r="UNT96" s="32"/>
      <c r="UNU96" s="32"/>
      <c r="UNV96" s="32"/>
      <c r="UNW96" s="32"/>
      <c r="UNX96" s="32"/>
      <c r="UNY96" s="32"/>
      <c r="UNZ96" s="32"/>
      <c r="UOA96" s="32"/>
      <c r="UOB96" s="32"/>
      <c r="UOC96" s="32"/>
      <c r="UOD96" s="32"/>
      <c r="UOE96" s="32"/>
      <c r="UOF96" s="32"/>
      <c r="UOG96" s="32"/>
      <c r="UOH96" s="32"/>
      <c r="UOI96" s="32"/>
      <c r="UOJ96" s="32"/>
      <c r="UOK96" s="32"/>
      <c r="UOL96" s="32"/>
      <c r="UOM96" s="32"/>
      <c r="UON96" s="32"/>
      <c r="UOO96" s="32"/>
      <c r="UOP96" s="32"/>
      <c r="UOQ96" s="32"/>
      <c r="UOR96" s="32"/>
      <c r="UOS96" s="32"/>
      <c r="UOT96" s="32"/>
      <c r="UOU96" s="32"/>
      <c r="UOV96" s="32"/>
      <c r="UOW96" s="32"/>
      <c r="UOX96" s="32"/>
      <c r="UOY96" s="32"/>
      <c r="UOZ96" s="32"/>
      <c r="UPA96" s="32"/>
      <c r="UPB96" s="32"/>
      <c r="UPC96" s="32"/>
      <c r="UPD96" s="32"/>
      <c r="UPE96" s="32"/>
      <c r="UPF96" s="32"/>
      <c r="UPG96" s="32"/>
      <c r="UPH96" s="32"/>
      <c r="UPI96" s="32"/>
      <c r="UPJ96" s="32"/>
      <c r="UPK96" s="32"/>
      <c r="UPL96" s="32"/>
      <c r="UPM96" s="32"/>
      <c r="UPN96" s="32"/>
      <c r="UPO96" s="32"/>
      <c r="UPP96" s="32"/>
      <c r="UPQ96" s="32"/>
      <c r="UPR96" s="32"/>
      <c r="UPS96" s="32"/>
      <c r="UPT96" s="32"/>
      <c r="UPU96" s="32"/>
      <c r="UPV96" s="32"/>
      <c r="UPW96" s="32"/>
      <c r="UPX96" s="32"/>
      <c r="UPY96" s="32"/>
      <c r="UPZ96" s="32"/>
      <c r="UQA96" s="32"/>
      <c r="UQB96" s="32"/>
      <c r="UQC96" s="32"/>
      <c r="UQD96" s="32"/>
      <c r="UQE96" s="32"/>
      <c r="UQF96" s="32"/>
      <c r="UQG96" s="32"/>
      <c r="UQH96" s="32"/>
      <c r="UQI96" s="32"/>
      <c r="UQJ96" s="32"/>
      <c r="UQK96" s="32"/>
      <c r="UQL96" s="32"/>
      <c r="UQM96" s="32"/>
      <c r="UQN96" s="32"/>
      <c r="UQO96" s="32"/>
      <c r="UQP96" s="32"/>
      <c r="UQQ96" s="32"/>
      <c r="UQR96" s="32"/>
      <c r="UQS96" s="32"/>
      <c r="UQT96" s="32"/>
      <c r="UQU96" s="32"/>
      <c r="UQV96" s="32"/>
      <c r="UQW96" s="32"/>
      <c r="UQX96" s="32"/>
      <c r="UQY96" s="32"/>
      <c r="UQZ96" s="32"/>
      <c r="URA96" s="32"/>
      <c r="URB96" s="32"/>
      <c r="URC96" s="32"/>
      <c r="URD96" s="32"/>
      <c r="URE96" s="32"/>
      <c r="URF96" s="32"/>
      <c r="URG96" s="32"/>
      <c r="URH96" s="32"/>
      <c r="URI96" s="32"/>
      <c r="URJ96" s="32"/>
      <c r="URK96" s="32"/>
      <c r="URL96" s="32"/>
      <c r="URM96" s="32"/>
      <c r="URN96" s="32"/>
      <c r="URO96" s="32"/>
      <c r="URP96" s="32"/>
      <c r="URQ96" s="32"/>
      <c r="URR96" s="32"/>
      <c r="URS96" s="32"/>
      <c r="URT96" s="32"/>
      <c r="URU96" s="32"/>
      <c r="URV96" s="32"/>
      <c r="URW96" s="32"/>
      <c r="URX96" s="32"/>
      <c r="URY96" s="32"/>
      <c r="URZ96" s="32"/>
      <c r="USA96" s="32"/>
      <c r="USB96" s="32"/>
      <c r="USC96" s="32"/>
      <c r="USD96" s="32"/>
      <c r="USE96" s="32"/>
      <c r="USF96" s="32"/>
      <c r="USG96" s="32"/>
      <c r="USH96" s="32"/>
      <c r="USI96" s="32"/>
      <c r="USJ96" s="32"/>
      <c r="USK96" s="32"/>
      <c r="USL96" s="32"/>
      <c r="USM96" s="32"/>
      <c r="USN96" s="32"/>
      <c r="USO96" s="32"/>
      <c r="USP96" s="32"/>
      <c r="USQ96" s="32"/>
      <c r="USR96" s="32"/>
      <c r="USS96" s="32"/>
      <c r="UST96" s="32"/>
      <c r="USU96" s="32"/>
      <c r="USV96" s="32"/>
      <c r="USW96" s="32"/>
      <c r="USX96" s="32"/>
      <c r="USY96" s="32"/>
      <c r="USZ96" s="32"/>
      <c r="UTA96" s="32"/>
      <c r="UTB96" s="32"/>
      <c r="UTC96" s="32"/>
      <c r="UTD96" s="32"/>
      <c r="UTE96" s="32"/>
      <c r="UTF96" s="32"/>
      <c r="UTG96" s="32"/>
      <c r="UTH96" s="32"/>
      <c r="UTI96" s="32"/>
      <c r="UTJ96" s="32"/>
      <c r="UTK96" s="32"/>
      <c r="UTL96" s="32"/>
      <c r="UTM96" s="32"/>
      <c r="UTN96" s="32"/>
      <c r="UTO96" s="32"/>
      <c r="UTP96" s="32"/>
      <c r="UTQ96" s="32"/>
      <c r="UTR96" s="32"/>
      <c r="UTS96" s="32"/>
      <c r="UTT96" s="32"/>
      <c r="UTU96" s="32"/>
      <c r="UTV96" s="32"/>
      <c r="UTW96" s="32"/>
      <c r="UTX96" s="32"/>
      <c r="UTY96" s="32"/>
      <c r="UTZ96" s="32"/>
      <c r="UUA96" s="32"/>
      <c r="UUB96" s="32"/>
      <c r="UUC96" s="32"/>
      <c r="UUD96" s="32"/>
      <c r="UUE96" s="32"/>
      <c r="UUF96" s="32"/>
      <c r="UUG96" s="32"/>
      <c r="UUH96" s="32"/>
      <c r="UUI96" s="32"/>
      <c r="UUJ96" s="32"/>
      <c r="UUK96" s="32"/>
      <c r="UUL96" s="32"/>
      <c r="UUM96" s="32"/>
      <c r="UUN96" s="32"/>
      <c r="UUO96" s="32"/>
      <c r="UUP96" s="32"/>
      <c r="UUQ96" s="32"/>
      <c r="UUR96" s="32"/>
      <c r="UUS96" s="32"/>
      <c r="UUT96" s="32"/>
      <c r="UUU96" s="32"/>
      <c r="UUV96" s="32"/>
      <c r="UUW96" s="32"/>
      <c r="UUX96" s="32"/>
      <c r="UUY96" s="32"/>
      <c r="UUZ96" s="32"/>
      <c r="UVA96" s="32"/>
      <c r="UVB96" s="32"/>
      <c r="UVC96" s="32"/>
      <c r="UVD96" s="32"/>
      <c r="UVE96" s="32"/>
      <c r="UVF96" s="32"/>
      <c r="UVG96" s="32"/>
      <c r="UVH96" s="32"/>
      <c r="UVI96" s="32"/>
      <c r="UVJ96" s="32"/>
      <c r="UVK96" s="32"/>
      <c r="UVL96" s="32"/>
      <c r="UVM96" s="32"/>
      <c r="UVN96" s="32"/>
      <c r="UVO96" s="32"/>
      <c r="UVP96" s="32"/>
      <c r="UVQ96" s="32"/>
      <c r="UVR96" s="32"/>
      <c r="UVS96" s="32"/>
      <c r="UVT96" s="32"/>
      <c r="UVU96" s="32"/>
      <c r="UVV96" s="32"/>
      <c r="UVW96" s="32"/>
      <c r="UVX96" s="32"/>
      <c r="UVY96" s="32"/>
      <c r="UVZ96" s="32"/>
      <c r="UWA96" s="32"/>
      <c r="UWB96" s="32"/>
      <c r="UWC96" s="32"/>
      <c r="UWD96" s="32"/>
      <c r="UWE96" s="32"/>
      <c r="UWF96" s="32"/>
      <c r="UWG96" s="32"/>
      <c r="UWH96" s="32"/>
      <c r="UWI96" s="32"/>
      <c r="UWJ96" s="32"/>
      <c r="UWK96" s="32"/>
      <c r="UWL96" s="32"/>
      <c r="UWM96" s="32"/>
      <c r="UWN96" s="32"/>
      <c r="UWO96" s="32"/>
      <c r="UWP96" s="32"/>
      <c r="UWQ96" s="32"/>
      <c r="UWR96" s="32"/>
      <c r="UWS96" s="32"/>
      <c r="UWT96" s="32"/>
      <c r="UWU96" s="32"/>
      <c r="UWV96" s="32"/>
      <c r="UWW96" s="32"/>
      <c r="UWX96" s="32"/>
      <c r="UWY96" s="32"/>
      <c r="UWZ96" s="32"/>
      <c r="UXA96" s="32"/>
      <c r="UXB96" s="32"/>
      <c r="UXC96" s="32"/>
      <c r="UXD96" s="32"/>
      <c r="UXE96" s="32"/>
      <c r="UXF96" s="32"/>
      <c r="UXG96" s="32"/>
      <c r="UXH96" s="32"/>
      <c r="UXI96" s="32"/>
      <c r="UXJ96" s="32"/>
      <c r="UXK96" s="32"/>
      <c r="UXL96" s="32"/>
      <c r="UXM96" s="32"/>
      <c r="UXN96" s="32"/>
      <c r="UXO96" s="32"/>
      <c r="UXP96" s="32"/>
      <c r="UXQ96" s="32"/>
      <c r="UXR96" s="32"/>
      <c r="UXS96" s="32"/>
      <c r="UXT96" s="32"/>
      <c r="UXU96" s="32"/>
      <c r="UXV96" s="32"/>
      <c r="UXW96" s="32"/>
      <c r="UXX96" s="32"/>
      <c r="UXY96" s="32"/>
      <c r="UXZ96" s="32"/>
      <c r="UYA96" s="32"/>
      <c r="UYB96" s="32"/>
      <c r="UYC96" s="32"/>
      <c r="UYD96" s="32"/>
      <c r="UYE96" s="32"/>
      <c r="UYF96" s="32"/>
      <c r="UYG96" s="32"/>
      <c r="UYH96" s="32"/>
      <c r="UYI96" s="32"/>
      <c r="UYJ96" s="32"/>
      <c r="UYK96" s="32"/>
      <c r="UYL96" s="32"/>
      <c r="UYM96" s="32"/>
      <c r="UYN96" s="32"/>
      <c r="UYO96" s="32"/>
      <c r="UYP96" s="32"/>
      <c r="UYQ96" s="32"/>
      <c r="UYR96" s="32"/>
      <c r="UYS96" s="32"/>
      <c r="UYT96" s="32"/>
      <c r="UYU96" s="32"/>
      <c r="UYV96" s="32"/>
      <c r="UYW96" s="32"/>
      <c r="UYX96" s="32"/>
      <c r="UYY96" s="32"/>
      <c r="UYZ96" s="32"/>
      <c r="UZA96" s="32"/>
      <c r="UZB96" s="32"/>
      <c r="UZC96" s="32"/>
      <c r="UZD96" s="32"/>
      <c r="UZE96" s="32"/>
      <c r="UZF96" s="32"/>
      <c r="UZG96" s="32"/>
      <c r="UZH96" s="32"/>
      <c r="UZI96" s="32"/>
      <c r="UZJ96" s="32"/>
      <c r="UZK96" s="32"/>
      <c r="UZL96" s="32"/>
      <c r="UZM96" s="32"/>
      <c r="UZN96" s="32"/>
      <c r="UZO96" s="32"/>
      <c r="UZP96" s="32"/>
      <c r="UZQ96" s="32"/>
      <c r="UZR96" s="32"/>
      <c r="UZS96" s="32"/>
      <c r="UZT96" s="32"/>
      <c r="UZU96" s="32"/>
      <c r="UZV96" s="32"/>
      <c r="UZW96" s="32"/>
      <c r="UZX96" s="32"/>
      <c r="UZY96" s="32"/>
      <c r="UZZ96" s="32"/>
      <c r="VAA96" s="32"/>
      <c r="VAB96" s="32"/>
      <c r="VAC96" s="32"/>
      <c r="VAD96" s="32"/>
      <c r="VAE96" s="32"/>
      <c r="VAF96" s="32"/>
      <c r="VAG96" s="32"/>
      <c r="VAH96" s="32"/>
      <c r="VAI96" s="32"/>
      <c r="VAJ96" s="32"/>
      <c r="VAK96" s="32"/>
      <c r="VAL96" s="32"/>
      <c r="VAM96" s="32"/>
      <c r="VAN96" s="32"/>
      <c r="VAO96" s="32"/>
      <c r="VAP96" s="32"/>
      <c r="VAQ96" s="32"/>
      <c r="VAR96" s="32"/>
      <c r="VAS96" s="32"/>
      <c r="VAT96" s="32"/>
      <c r="VAU96" s="32"/>
      <c r="VAV96" s="32"/>
      <c r="VAW96" s="32"/>
      <c r="VAX96" s="32"/>
      <c r="VAY96" s="32"/>
      <c r="VAZ96" s="32"/>
      <c r="VBA96" s="32"/>
      <c r="VBB96" s="32"/>
      <c r="VBC96" s="32"/>
      <c r="VBD96" s="32"/>
      <c r="VBE96" s="32"/>
      <c r="VBF96" s="32"/>
      <c r="VBG96" s="32"/>
      <c r="VBH96" s="32"/>
      <c r="VBI96" s="32"/>
      <c r="VBJ96" s="32"/>
      <c r="VBK96" s="32"/>
      <c r="VBL96" s="32"/>
      <c r="VBM96" s="32"/>
      <c r="VBN96" s="32"/>
      <c r="VBO96" s="32"/>
      <c r="VBP96" s="32"/>
      <c r="VBQ96" s="32"/>
      <c r="VBR96" s="32"/>
      <c r="VBS96" s="32"/>
      <c r="VBT96" s="32"/>
      <c r="VBU96" s="32"/>
      <c r="VBV96" s="32"/>
      <c r="VBW96" s="32"/>
      <c r="VBX96" s="32"/>
      <c r="VBY96" s="32"/>
      <c r="VBZ96" s="32"/>
      <c r="VCA96" s="32"/>
      <c r="VCB96" s="32"/>
      <c r="VCC96" s="32"/>
      <c r="VCD96" s="32"/>
      <c r="VCE96" s="32"/>
      <c r="VCF96" s="32"/>
      <c r="VCG96" s="32"/>
      <c r="VCH96" s="32"/>
      <c r="VCI96" s="32"/>
      <c r="VCJ96" s="32"/>
      <c r="VCK96" s="32"/>
      <c r="VCL96" s="32"/>
      <c r="VCM96" s="32"/>
      <c r="VCN96" s="32"/>
      <c r="VCO96" s="32"/>
      <c r="VCP96" s="32"/>
      <c r="VCQ96" s="32"/>
      <c r="VCR96" s="32"/>
      <c r="VCS96" s="32"/>
      <c r="VCT96" s="32"/>
      <c r="VCU96" s="32"/>
      <c r="VCV96" s="32"/>
      <c r="VCW96" s="32"/>
      <c r="VCX96" s="32"/>
      <c r="VCY96" s="32"/>
      <c r="VCZ96" s="32"/>
      <c r="VDA96" s="32"/>
      <c r="VDB96" s="32"/>
      <c r="VDC96" s="32"/>
      <c r="VDD96" s="32"/>
      <c r="VDE96" s="32"/>
      <c r="VDF96" s="32"/>
      <c r="VDG96" s="32"/>
      <c r="VDH96" s="32"/>
      <c r="VDI96" s="32"/>
      <c r="VDJ96" s="32"/>
      <c r="VDK96" s="32"/>
      <c r="VDL96" s="32"/>
      <c r="VDM96" s="32"/>
      <c r="VDN96" s="32"/>
      <c r="VDO96" s="32"/>
      <c r="VDP96" s="32"/>
      <c r="VDQ96" s="32"/>
      <c r="VDR96" s="32"/>
      <c r="VDS96" s="32"/>
      <c r="VDT96" s="32"/>
      <c r="VDU96" s="32"/>
      <c r="VDV96" s="32"/>
      <c r="VDW96" s="32"/>
      <c r="VDX96" s="32"/>
      <c r="VDY96" s="32"/>
      <c r="VDZ96" s="32"/>
      <c r="VEA96" s="32"/>
      <c r="VEB96" s="32"/>
      <c r="VEC96" s="32"/>
      <c r="VED96" s="32"/>
      <c r="VEE96" s="32"/>
      <c r="VEF96" s="32"/>
      <c r="VEG96" s="32"/>
      <c r="VEH96" s="32"/>
      <c r="VEI96" s="32"/>
      <c r="VEJ96" s="32"/>
      <c r="VEK96" s="32"/>
      <c r="VEL96" s="32"/>
      <c r="VEM96" s="32"/>
      <c r="VEN96" s="32"/>
      <c r="VEO96" s="32"/>
      <c r="VEP96" s="32"/>
      <c r="VEQ96" s="32"/>
      <c r="VER96" s="32"/>
      <c r="VES96" s="32"/>
      <c r="VET96" s="32"/>
      <c r="VEU96" s="32"/>
      <c r="VEV96" s="32"/>
      <c r="VEW96" s="32"/>
      <c r="VEX96" s="32"/>
      <c r="VEY96" s="32"/>
      <c r="VEZ96" s="32"/>
      <c r="VFA96" s="32"/>
      <c r="VFB96" s="32"/>
      <c r="VFC96" s="32"/>
      <c r="VFD96" s="32"/>
      <c r="VFE96" s="32"/>
      <c r="VFF96" s="32"/>
      <c r="VFG96" s="32"/>
      <c r="VFH96" s="32"/>
      <c r="VFI96" s="32"/>
      <c r="VFJ96" s="32"/>
      <c r="VFK96" s="32"/>
      <c r="VFL96" s="32"/>
      <c r="VFM96" s="32"/>
      <c r="VFN96" s="32"/>
      <c r="VFO96" s="32"/>
      <c r="VFP96" s="32"/>
      <c r="VFQ96" s="32"/>
      <c r="VFR96" s="32"/>
      <c r="VFS96" s="32"/>
      <c r="VFT96" s="32"/>
      <c r="VFU96" s="32"/>
      <c r="VFV96" s="32"/>
      <c r="VFW96" s="32"/>
      <c r="VFX96" s="32"/>
      <c r="VFY96" s="32"/>
      <c r="VFZ96" s="32"/>
      <c r="VGA96" s="32"/>
      <c r="VGB96" s="32"/>
      <c r="VGC96" s="32"/>
      <c r="VGD96" s="32"/>
      <c r="VGE96" s="32"/>
      <c r="VGF96" s="32"/>
      <c r="VGG96" s="32"/>
      <c r="VGH96" s="32"/>
      <c r="VGI96" s="32"/>
      <c r="VGJ96" s="32"/>
      <c r="VGK96" s="32"/>
      <c r="VGL96" s="32"/>
      <c r="VGM96" s="32"/>
      <c r="VGN96" s="32"/>
      <c r="VGO96" s="32"/>
      <c r="VGP96" s="32"/>
      <c r="VGQ96" s="32"/>
      <c r="VGR96" s="32"/>
      <c r="VGS96" s="32"/>
      <c r="VGT96" s="32"/>
      <c r="VGU96" s="32"/>
      <c r="VGV96" s="32"/>
      <c r="VGW96" s="32"/>
      <c r="VGX96" s="32"/>
      <c r="VGY96" s="32"/>
      <c r="VGZ96" s="32"/>
      <c r="VHA96" s="32"/>
      <c r="VHB96" s="32"/>
      <c r="VHC96" s="32"/>
      <c r="VHD96" s="32"/>
      <c r="VHE96" s="32"/>
      <c r="VHF96" s="32"/>
      <c r="VHG96" s="32"/>
      <c r="VHH96" s="32"/>
      <c r="VHI96" s="32"/>
      <c r="VHJ96" s="32"/>
      <c r="VHK96" s="32"/>
      <c r="VHL96" s="32"/>
      <c r="VHM96" s="32"/>
      <c r="VHN96" s="32"/>
      <c r="VHO96" s="32"/>
      <c r="VHP96" s="32"/>
      <c r="VHQ96" s="32"/>
      <c r="VHR96" s="32"/>
      <c r="VHS96" s="32"/>
      <c r="VHT96" s="32"/>
      <c r="VHU96" s="32"/>
      <c r="VHV96" s="32"/>
      <c r="VHW96" s="32"/>
      <c r="VHX96" s="32"/>
      <c r="VHY96" s="32"/>
      <c r="VHZ96" s="32"/>
      <c r="VIA96" s="32"/>
      <c r="VIB96" s="32"/>
      <c r="VIC96" s="32"/>
      <c r="VID96" s="32"/>
      <c r="VIE96" s="32"/>
      <c r="VIF96" s="32"/>
      <c r="VIG96" s="32"/>
      <c r="VIH96" s="32"/>
      <c r="VII96" s="32"/>
      <c r="VIJ96" s="32"/>
      <c r="VIK96" s="32"/>
      <c r="VIL96" s="32"/>
      <c r="VIM96" s="32"/>
      <c r="VIN96" s="32"/>
      <c r="VIO96" s="32"/>
      <c r="VIP96" s="32"/>
      <c r="VIQ96" s="32"/>
      <c r="VIR96" s="32"/>
      <c r="VIS96" s="32"/>
      <c r="VIT96" s="32"/>
      <c r="VIU96" s="32"/>
      <c r="VIV96" s="32"/>
      <c r="VIW96" s="32"/>
      <c r="VIX96" s="32"/>
      <c r="VIY96" s="32"/>
      <c r="VIZ96" s="32"/>
      <c r="VJA96" s="32"/>
      <c r="VJB96" s="32"/>
      <c r="VJC96" s="32"/>
      <c r="VJD96" s="32"/>
      <c r="VJE96" s="32"/>
      <c r="VJF96" s="32"/>
      <c r="VJG96" s="32"/>
      <c r="VJH96" s="32"/>
      <c r="VJI96" s="32"/>
      <c r="VJJ96" s="32"/>
      <c r="VJK96" s="32"/>
      <c r="VJL96" s="32"/>
      <c r="VJM96" s="32"/>
      <c r="VJN96" s="32"/>
      <c r="VJO96" s="32"/>
      <c r="VJP96" s="32"/>
      <c r="VJQ96" s="32"/>
      <c r="VJR96" s="32"/>
      <c r="VJS96" s="32"/>
      <c r="VJT96" s="32"/>
      <c r="VJU96" s="32"/>
      <c r="VJV96" s="32"/>
      <c r="VJW96" s="32"/>
      <c r="VJX96" s="32"/>
      <c r="VJY96" s="32"/>
      <c r="VJZ96" s="32"/>
      <c r="VKA96" s="32"/>
      <c r="VKB96" s="32"/>
      <c r="VKC96" s="32"/>
      <c r="VKD96" s="32"/>
      <c r="VKE96" s="32"/>
      <c r="VKF96" s="32"/>
      <c r="VKG96" s="32"/>
      <c r="VKH96" s="32"/>
      <c r="VKI96" s="32"/>
      <c r="VKJ96" s="32"/>
      <c r="VKK96" s="32"/>
      <c r="VKL96" s="32"/>
      <c r="VKM96" s="32"/>
      <c r="VKN96" s="32"/>
      <c r="VKO96" s="32"/>
      <c r="VKP96" s="32"/>
      <c r="VKQ96" s="32"/>
      <c r="VKR96" s="32"/>
      <c r="VKS96" s="32"/>
      <c r="VKT96" s="32"/>
      <c r="VKU96" s="32"/>
      <c r="VKV96" s="32"/>
      <c r="VKW96" s="32"/>
      <c r="VKX96" s="32"/>
      <c r="VKY96" s="32"/>
      <c r="VKZ96" s="32"/>
      <c r="VLA96" s="32"/>
      <c r="VLB96" s="32"/>
      <c r="VLC96" s="32"/>
      <c r="VLD96" s="32"/>
      <c r="VLE96" s="32"/>
      <c r="VLF96" s="32"/>
      <c r="VLG96" s="32"/>
      <c r="VLH96" s="32"/>
      <c r="VLI96" s="32"/>
      <c r="VLJ96" s="32"/>
      <c r="VLK96" s="32"/>
      <c r="VLL96" s="32"/>
      <c r="VLM96" s="32"/>
      <c r="VLN96" s="32"/>
      <c r="VLO96" s="32"/>
      <c r="VLP96" s="32"/>
      <c r="VLQ96" s="32"/>
      <c r="VLR96" s="32"/>
      <c r="VLS96" s="32"/>
      <c r="VLT96" s="32"/>
      <c r="VLU96" s="32"/>
      <c r="VLV96" s="32"/>
      <c r="VLW96" s="32"/>
      <c r="VLX96" s="32"/>
      <c r="VLY96" s="32"/>
      <c r="VLZ96" s="32"/>
      <c r="VMA96" s="32"/>
      <c r="VMB96" s="32"/>
      <c r="VMC96" s="32"/>
      <c r="VMD96" s="32"/>
      <c r="VME96" s="32"/>
      <c r="VMF96" s="32"/>
      <c r="VMG96" s="32"/>
      <c r="VMH96" s="32"/>
      <c r="VMI96" s="32"/>
      <c r="VMJ96" s="32"/>
      <c r="VMK96" s="32"/>
      <c r="VML96" s="32"/>
      <c r="VMM96" s="32"/>
      <c r="VMN96" s="32"/>
      <c r="VMO96" s="32"/>
      <c r="VMP96" s="32"/>
      <c r="VMQ96" s="32"/>
      <c r="VMR96" s="32"/>
      <c r="VMS96" s="32"/>
      <c r="VMT96" s="32"/>
      <c r="VMU96" s="32"/>
      <c r="VMV96" s="32"/>
      <c r="VMW96" s="32"/>
      <c r="VMX96" s="32"/>
      <c r="VMY96" s="32"/>
      <c r="VMZ96" s="32"/>
      <c r="VNA96" s="32"/>
      <c r="VNB96" s="32"/>
      <c r="VNC96" s="32"/>
      <c r="VND96" s="32"/>
      <c r="VNE96" s="32"/>
      <c r="VNF96" s="32"/>
      <c r="VNG96" s="32"/>
      <c r="VNH96" s="32"/>
      <c r="VNI96" s="32"/>
      <c r="VNJ96" s="32"/>
      <c r="VNK96" s="32"/>
      <c r="VNL96" s="32"/>
      <c r="VNM96" s="32"/>
      <c r="VNN96" s="32"/>
      <c r="VNO96" s="32"/>
      <c r="VNP96" s="32"/>
      <c r="VNQ96" s="32"/>
      <c r="VNR96" s="32"/>
      <c r="VNS96" s="32"/>
      <c r="VNT96" s="32"/>
      <c r="VNU96" s="32"/>
      <c r="VNV96" s="32"/>
      <c r="VNW96" s="32"/>
      <c r="VNX96" s="32"/>
      <c r="VNY96" s="32"/>
      <c r="VNZ96" s="32"/>
      <c r="VOA96" s="32"/>
      <c r="VOB96" s="32"/>
      <c r="VOC96" s="32"/>
      <c r="VOD96" s="32"/>
      <c r="VOE96" s="32"/>
      <c r="VOF96" s="32"/>
      <c r="VOG96" s="32"/>
      <c r="VOH96" s="32"/>
      <c r="VOI96" s="32"/>
      <c r="VOJ96" s="32"/>
      <c r="VOK96" s="32"/>
      <c r="VOL96" s="32"/>
      <c r="VOM96" s="32"/>
      <c r="VON96" s="32"/>
      <c r="VOO96" s="32"/>
      <c r="VOP96" s="32"/>
      <c r="VOQ96" s="32"/>
      <c r="VOR96" s="32"/>
      <c r="VOS96" s="32"/>
      <c r="VOT96" s="32"/>
      <c r="VOU96" s="32"/>
      <c r="VOV96" s="32"/>
      <c r="VOW96" s="32"/>
      <c r="VOX96" s="32"/>
      <c r="VOY96" s="32"/>
      <c r="VOZ96" s="32"/>
      <c r="VPA96" s="32"/>
      <c r="VPB96" s="32"/>
      <c r="VPC96" s="32"/>
      <c r="VPD96" s="32"/>
      <c r="VPE96" s="32"/>
      <c r="VPF96" s="32"/>
      <c r="VPG96" s="32"/>
      <c r="VPH96" s="32"/>
      <c r="VPI96" s="32"/>
      <c r="VPJ96" s="32"/>
      <c r="VPK96" s="32"/>
      <c r="VPL96" s="32"/>
      <c r="VPM96" s="32"/>
      <c r="VPN96" s="32"/>
      <c r="VPO96" s="32"/>
      <c r="VPP96" s="32"/>
      <c r="VPQ96" s="32"/>
      <c r="VPR96" s="32"/>
      <c r="VPS96" s="32"/>
      <c r="VPT96" s="32"/>
      <c r="VPU96" s="32"/>
      <c r="VPV96" s="32"/>
      <c r="VPW96" s="32"/>
      <c r="VPX96" s="32"/>
      <c r="VPY96" s="32"/>
      <c r="VPZ96" s="32"/>
      <c r="VQA96" s="32"/>
      <c r="VQB96" s="32"/>
      <c r="VQC96" s="32"/>
      <c r="VQD96" s="32"/>
      <c r="VQE96" s="32"/>
      <c r="VQF96" s="32"/>
      <c r="VQG96" s="32"/>
      <c r="VQH96" s="32"/>
      <c r="VQI96" s="32"/>
      <c r="VQJ96" s="32"/>
      <c r="VQK96" s="32"/>
      <c r="VQL96" s="32"/>
      <c r="VQM96" s="32"/>
      <c r="VQN96" s="32"/>
      <c r="VQO96" s="32"/>
      <c r="VQP96" s="32"/>
      <c r="VQQ96" s="32"/>
      <c r="VQR96" s="32"/>
      <c r="VQS96" s="32"/>
      <c r="VQT96" s="32"/>
      <c r="VQU96" s="32"/>
      <c r="VQV96" s="32"/>
      <c r="VQW96" s="32"/>
      <c r="VQX96" s="32"/>
      <c r="VQY96" s="32"/>
      <c r="VQZ96" s="32"/>
      <c r="VRA96" s="32"/>
      <c r="VRB96" s="32"/>
      <c r="VRC96" s="32"/>
      <c r="VRD96" s="32"/>
      <c r="VRE96" s="32"/>
      <c r="VRF96" s="32"/>
      <c r="VRG96" s="32"/>
      <c r="VRH96" s="32"/>
      <c r="VRI96" s="32"/>
      <c r="VRJ96" s="32"/>
      <c r="VRK96" s="32"/>
      <c r="VRL96" s="32"/>
      <c r="VRM96" s="32"/>
      <c r="VRN96" s="32"/>
      <c r="VRO96" s="32"/>
      <c r="VRP96" s="32"/>
      <c r="VRQ96" s="32"/>
      <c r="VRR96" s="32"/>
      <c r="VRS96" s="32"/>
      <c r="VRT96" s="32"/>
      <c r="VRU96" s="32"/>
      <c r="VRV96" s="32"/>
      <c r="VRW96" s="32"/>
      <c r="VRX96" s="32"/>
      <c r="VRY96" s="32"/>
      <c r="VRZ96" s="32"/>
      <c r="VSA96" s="32"/>
      <c r="VSB96" s="32"/>
      <c r="VSC96" s="32"/>
      <c r="VSD96" s="32"/>
      <c r="VSE96" s="32"/>
      <c r="VSF96" s="32"/>
      <c r="VSG96" s="32"/>
      <c r="VSH96" s="32"/>
      <c r="VSI96" s="32"/>
      <c r="VSJ96" s="32"/>
      <c r="VSK96" s="32"/>
      <c r="VSL96" s="32"/>
      <c r="VSM96" s="32"/>
      <c r="VSN96" s="32"/>
      <c r="VSO96" s="32"/>
      <c r="VSP96" s="32"/>
      <c r="VSQ96" s="32"/>
      <c r="VSR96" s="32"/>
      <c r="VSS96" s="32"/>
      <c r="VST96" s="32"/>
      <c r="VSU96" s="32"/>
      <c r="VSV96" s="32"/>
      <c r="VSW96" s="32"/>
      <c r="VSX96" s="32"/>
      <c r="VSY96" s="32"/>
      <c r="VSZ96" s="32"/>
      <c r="VTA96" s="32"/>
      <c r="VTB96" s="32"/>
      <c r="VTC96" s="32"/>
      <c r="VTD96" s="32"/>
      <c r="VTE96" s="32"/>
      <c r="VTF96" s="32"/>
      <c r="VTG96" s="32"/>
      <c r="VTH96" s="32"/>
      <c r="VTI96" s="32"/>
      <c r="VTJ96" s="32"/>
      <c r="VTK96" s="32"/>
      <c r="VTL96" s="32"/>
      <c r="VTM96" s="32"/>
      <c r="VTN96" s="32"/>
      <c r="VTO96" s="32"/>
      <c r="VTP96" s="32"/>
      <c r="VTQ96" s="32"/>
      <c r="VTR96" s="32"/>
      <c r="VTS96" s="32"/>
      <c r="VTT96" s="32"/>
      <c r="VTU96" s="32"/>
      <c r="VTV96" s="32"/>
      <c r="VTW96" s="32"/>
      <c r="VTX96" s="32"/>
      <c r="VTY96" s="32"/>
      <c r="VTZ96" s="32"/>
      <c r="VUA96" s="32"/>
      <c r="VUB96" s="32"/>
      <c r="VUC96" s="32"/>
      <c r="VUD96" s="32"/>
      <c r="VUE96" s="32"/>
      <c r="VUF96" s="32"/>
      <c r="VUG96" s="32"/>
      <c r="VUH96" s="32"/>
      <c r="VUI96" s="32"/>
      <c r="VUJ96" s="32"/>
      <c r="VUK96" s="32"/>
      <c r="VUL96" s="32"/>
      <c r="VUM96" s="32"/>
      <c r="VUN96" s="32"/>
      <c r="VUO96" s="32"/>
      <c r="VUP96" s="32"/>
      <c r="VUQ96" s="32"/>
      <c r="VUR96" s="32"/>
      <c r="VUS96" s="32"/>
      <c r="VUT96" s="32"/>
      <c r="VUU96" s="32"/>
      <c r="VUV96" s="32"/>
      <c r="VUW96" s="32"/>
      <c r="VUX96" s="32"/>
      <c r="VUY96" s="32"/>
      <c r="VUZ96" s="32"/>
      <c r="VVA96" s="32"/>
      <c r="VVB96" s="32"/>
      <c r="VVC96" s="32"/>
      <c r="VVD96" s="32"/>
      <c r="VVE96" s="32"/>
      <c r="VVF96" s="32"/>
      <c r="VVG96" s="32"/>
      <c r="VVH96" s="32"/>
      <c r="VVI96" s="32"/>
      <c r="VVJ96" s="32"/>
      <c r="VVK96" s="32"/>
      <c r="VVL96" s="32"/>
      <c r="VVM96" s="32"/>
      <c r="VVN96" s="32"/>
      <c r="VVO96" s="32"/>
      <c r="VVP96" s="32"/>
      <c r="VVQ96" s="32"/>
      <c r="VVR96" s="32"/>
      <c r="VVS96" s="32"/>
      <c r="VVT96" s="32"/>
      <c r="VVU96" s="32"/>
      <c r="VVV96" s="32"/>
      <c r="VVW96" s="32"/>
      <c r="VVX96" s="32"/>
      <c r="VVY96" s="32"/>
      <c r="VVZ96" s="32"/>
      <c r="VWA96" s="32"/>
      <c r="VWB96" s="32"/>
      <c r="VWC96" s="32"/>
      <c r="VWD96" s="32"/>
      <c r="VWE96" s="32"/>
      <c r="VWF96" s="32"/>
      <c r="VWG96" s="32"/>
      <c r="VWH96" s="32"/>
      <c r="VWI96" s="32"/>
      <c r="VWJ96" s="32"/>
      <c r="VWK96" s="32"/>
      <c r="VWL96" s="32"/>
      <c r="VWM96" s="32"/>
      <c r="VWN96" s="32"/>
      <c r="VWO96" s="32"/>
      <c r="VWP96" s="32"/>
      <c r="VWQ96" s="32"/>
      <c r="VWR96" s="32"/>
      <c r="VWS96" s="32"/>
      <c r="VWT96" s="32"/>
      <c r="VWU96" s="32"/>
      <c r="VWV96" s="32"/>
      <c r="VWW96" s="32"/>
      <c r="VWX96" s="32"/>
      <c r="VWY96" s="32"/>
      <c r="VWZ96" s="32"/>
      <c r="VXA96" s="32"/>
      <c r="VXB96" s="32"/>
      <c r="VXC96" s="32"/>
      <c r="VXD96" s="32"/>
      <c r="VXE96" s="32"/>
      <c r="VXF96" s="32"/>
      <c r="VXG96" s="32"/>
      <c r="VXH96" s="32"/>
      <c r="VXI96" s="32"/>
      <c r="VXJ96" s="32"/>
      <c r="VXK96" s="32"/>
      <c r="VXL96" s="32"/>
      <c r="VXM96" s="32"/>
      <c r="VXN96" s="32"/>
      <c r="VXO96" s="32"/>
      <c r="VXP96" s="32"/>
      <c r="VXQ96" s="32"/>
      <c r="VXR96" s="32"/>
      <c r="VXS96" s="32"/>
      <c r="VXT96" s="32"/>
      <c r="VXU96" s="32"/>
      <c r="VXV96" s="32"/>
      <c r="VXW96" s="32"/>
      <c r="VXX96" s="32"/>
      <c r="VXY96" s="32"/>
      <c r="VXZ96" s="32"/>
      <c r="VYA96" s="32"/>
      <c r="VYB96" s="32"/>
      <c r="VYC96" s="32"/>
      <c r="VYD96" s="32"/>
      <c r="VYE96" s="32"/>
      <c r="VYF96" s="32"/>
      <c r="VYG96" s="32"/>
      <c r="VYH96" s="32"/>
      <c r="VYI96" s="32"/>
      <c r="VYJ96" s="32"/>
      <c r="VYK96" s="32"/>
      <c r="VYL96" s="32"/>
      <c r="VYM96" s="32"/>
      <c r="VYN96" s="32"/>
      <c r="VYO96" s="32"/>
      <c r="VYP96" s="32"/>
      <c r="VYQ96" s="32"/>
      <c r="VYR96" s="32"/>
      <c r="VYS96" s="32"/>
      <c r="VYT96" s="32"/>
      <c r="VYU96" s="32"/>
      <c r="VYV96" s="32"/>
      <c r="VYW96" s="32"/>
      <c r="VYX96" s="32"/>
      <c r="VYY96" s="32"/>
      <c r="VYZ96" s="32"/>
      <c r="VZA96" s="32"/>
      <c r="VZB96" s="32"/>
      <c r="VZC96" s="32"/>
      <c r="VZD96" s="32"/>
      <c r="VZE96" s="32"/>
      <c r="VZF96" s="32"/>
      <c r="VZG96" s="32"/>
      <c r="VZH96" s="32"/>
      <c r="VZI96" s="32"/>
      <c r="VZJ96" s="32"/>
      <c r="VZK96" s="32"/>
      <c r="VZL96" s="32"/>
      <c r="VZM96" s="32"/>
      <c r="VZN96" s="32"/>
      <c r="VZO96" s="32"/>
      <c r="VZP96" s="32"/>
      <c r="VZQ96" s="32"/>
      <c r="VZR96" s="32"/>
      <c r="VZS96" s="32"/>
      <c r="VZT96" s="32"/>
      <c r="VZU96" s="32"/>
      <c r="VZV96" s="32"/>
      <c r="VZW96" s="32"/>
      <c r="VZX96" s="32"/>
      <c r="VZY96" s="32"/>
      <c r="VZZ96" s="32"/>
      <c r="WAA96" s="32"/>
      <c r="WAB96" s="32"/>
      <c r="WAC96" s="32"/>
      <c r="WAD96" s="32"/>
      <c r="WAE96" s="32"/>
      <c r="WAF96" s="32"/>
      <c r="WAG96" s="32"/>
      <c r="WAH96" s="32"/>
      <c r="WAI96" s="32"/>
      <c r="WAJ96" s="32"/>
      <c r="WAK96" s="32"/>
      <c r="WAL96" s="32"/>
      <c r="WAM96" s="32"/>
      <c r="WAN96" s="32"/>
      <c r="WAO96" s="32"/>
      <c r="WAP96" s="32"/>
      <c r="WAQ96" s="32"/>
      <c r="WAR96" s="32"/>
      <c r="WAS96" s="32"/>
      <c r="WAT96" s="32"/>
      <c r="WAU96" s="32"/>
      <c r="WAV96" s="32"/>
      <c r="WAW96" s="32"/>
      <c r="WAX96" s="32"/>
      <c r="WAY96" s="32"/>
      <c r="WAZ96" s="32"/>
      <c r="WBA96" s="32"/>
      <c r="WBB96" s="32"/>
      <c r="WBC96" s="32"/>
      <c r="WBD96" s="32"/>
      <c r="WBE96" s="32"/>
      <c r="WBF96" s="32"/>
      <c r="WBG96" s="32"/>
      <c r="WBH96" s="32"/>
      <c r="WBI96" s="32"/>
      <c r="WBJ96" s="32"/>
      <c r="WBK96" s="32"/>
      <c r="WBL96" s="32"/>
      <c r="WBM96" s="32"/>
      <c r="WBN96" s="32"/>
      <c r="WBO96" s="32"/>
      <c r="WBP96" s="32"/>
      <c r="WBQ96" s="32"/>
      <c r="WBR96" s="32"/>
      <c r="WBS96" s="32"/>
      <c r="WBT96" s="32"/>
      <c r="WBU96" s="32"/>
      <c r="WBV96" s="32"/>
      <c r="WBW96" s="32"/>
      <c r="WBX96" s="32"/>
      <c r="WBY96" s="32"/>
      <c r="WBZ96" s="32"/>
      <c r="WCA96" s="32"/>
      <c r="WCB96" s="32"/>
      <c r="WCC96" s="32"/>
      <c r="WCD96" s="32"/>
      <c r="WCE96" s="32"/>
      <c r="WCF96" s="32"/>
      <c r="WCG96" s="32"/>
      <c r="WCH96" s="32"/>
      <c r="WCI96" s="32"/>
      <c r="WCJ96" s="32"/>
      <c r="WCK96" s="32"/>
      <c r="WCL96" s="32"/>
      <c r="WCM96" s="32"/>
      <c r="WCN96" s="32"/>
      <c r="WCO96" s="32"/>
      <c r="WCP96" s="32"/>
      <c r="WCQ96" s="32"/>
      <c r="WCR96" s="32"/>
      <c r="WCS96" s="32"/>
      <c r="WCT96" s="32"/>
      <c r="WCU96" s="32"/>
      <c r="WCV96" s="32"/>
      <c r="WCW96" s="32"/>
      <c r="WCX96" s="32"/>
      <c r="WCY96" s="32"/>
      <c r="WCZ96" s="32"/>
      <c r="WDA96" s="32"/>
      <c r="WDB96" s="32"/>
      <c r="WDC96" s="32"/>
      <c r="WDD96" s="32"/>
      <c r="WDE96" s="32"/>
      <c r="WDF96" s="32"/>
      <c r="WDG96" s="32"/>
      <c r="WDH96" s="32"/>
      <c r="WDI96" s="32"/>
      <c r="WDJ96" s="32"/>
      <c r="WDK96" s="32"/>
      <c r="WDL96" s="32"/>
      <c r="WDM96" s="32"/>
      <c r="WDN96" s="32"/>
      <c r="WDO96" s="32"/>
      <c r="WDP96" s="32"/>
      <c r="WDQ96" s="32"/>
      <c r="WDR96" s="32"/>
      <c r="WDS96" s="32"/>
      <c r="WDT96" s="32"/>
      <c r="WDU96" s="32"/>
      <c r="WDV96" s="32"/>
      <c r="WDW96" s="32"/>
      <c r="WDX96" s="32"/>
      <c r="WDY96" s="32"/>
      <c r="WDZ96" s="32"/>
      <c r="WEA96" s="32"/>
      <c r="WEB96" s="32"/>
      <c r="WEC96" s="32"/>
      <c r="WED96" s="32"/>
      <c r="WEE96" s="32"/>
      <c r="WEF96" s="32"/>
      <c r="WEG96" s="32"/>
      <c r="WEH96" s="32"/>
      <c r="WEI96" s="32"/>
      <c r="WEJ96" s="32"/>
      <c r="WEK96" s="32"/>
      <c r="WEL96" s="32"/>
      <c r="WEM96" s="32"/>
      <c r="WEN96" s="32"/>
      <c r="WEO96" s="32"/>
      <c r="WEP96" s="32"/>
      <c r="WEQ96" s="32"/>
      <c r="WER96" s="32"/>
      <c r="WES96" s="32"/>
      <c r="WET96" s="32"/>
      <c r="WEU96" s="32"/>
      <c r="WEV96" s="32"/>
      <c r="WEW96" s="32"/>
      <c r="WEX96" s="32"/>
      <c r="WEY96" s="32"/>
      <c r="WEZ96" s="32"/>
      <c r="WFA96" s="32"/>
      <c r="WFB96" s="32"/>
      <c r="WFC96" s="32"/>
      <c r="WFD96" s="32"/>
      <c r="WFE96" s="32"/>
      <c r="WFF96" s="32"/>
      <c r="WFG96" s="32"/>
      <c r="WFH96" s="32"/>
      <c r="WFI96" s="32"/>
      <c r="WFJ96" s="32"/>
      <c r="WFK96" s="32"/>
      <c r="WFL96" s="32"/>
      <c r="WFM96" s="32"/>
      <c r="WFN96" s="32"/>
      <c r="WFO96" s="32"/>
      <c r="WFP96" s="32"/>
      <c r="WFQ96" s="32"/>
      <c r="WFR96" s="32"/>
      <c r="WFS96" s="32"/>
      <c r="WFT96" s="32"/>
      <c r="WFU96" s="32"/>
      <c r="WFV96" s="32"/>
      <c r="WFW96" s="32"/>
      <c r="WFX96" s="32"/>
      <c r="WFY96" s="32"/>
      <c r="WFZ96" s="32"/>
      <c r="WGA96" s="32"/>
      <c r="WGB96" s="32"/>
      <c r="WGC96" s="32"/>
      <c r="WGD96" s="32"/>
      <c r="WGE96" s="32"/>
      <c r="WGF96" s="32"/>
      <c r="WGG96" s="32"/>
      <c r="WGH96" s="32"/>
      <c r="WGI96" s="32"/>
      <c r="WGJ96" s="32"/>
      <c r="WGK96" s="32"/>
      <c r="WGL96" s="32"/>
      <c r="WGM96" s="32"/>
      <c r="WGN96" s="32"/>
      <c r="WGO96" s="32"/>
      <c r="WGP96" s="32"/>
      <c r="WGQ96" s="32"/>
      <c r="WGR96" s="32"/>
      <c r="WGS96" s="32"/>
      <c r="WGT96" s="32"/>
      <c r="WGU96" s="32"/>
      <c r="WGV96" s="32"/>
      <c r="WGW96" s="32"/>
      <c r="WGX96" s="32"/>
      <c r="WGY96" s="32"/>
      <c r="WGZ96" s="32"/>
      <c r="WHA96" s="32"/>
      <c r="WHB96" s="32"/>
      <c r="WHC96" s="32"/>
      <c r="WHD96" s="32"/>
      <c r="WHE96" s="32"/>
      <c r="WHF96" s="32"/>
      <c r="WHG96" s="32"/>
      <c r="WHH96" s="32"/>
      <c r="WHI96" s="32"/>
      <c r="WHJ96" s="32"/>
      <c r="WHK96" s="32"/>
      <c r="WHL96" s="32"/>
      <c r="WHM96" s="32"/>
      <c r="WHN96" s="32"/>
      <c r="WHO96" s="32"/>
      <c r="WHP96" s="32"/>
      <c r="WHQ96" s="32"/>
      <c r="WHR96" s="32"/>
      <c r="WHS96" s="32"/>
      <c r="WHT96" s="32"/>
      <c r="WHU96" s="32"/>
      <c r="WHV96" s="32"/>
      <c r="WHW96" s="32"/>
      <c r="WHX96" s="32"/>
      <c r="WHY96" s="32"/>
      <c r="WHZ96" s="32"/>
      <c r="WIA96" s="32"/>
      <c r="WIB96" s="32"/>
      <c r="WIC96" s="32"/>
      <c r="WID96" s="32"/>
      <c r="WIE96" s="32"/>
      <c r="WIF96" s="32"/>
      <c r="WIG96" s="32"/>
      <c r="WIH96" s="32"/>
      <c r="WII96" s="32"/>
      <c r="WIJ96" s="32"/>
      <c r="WIK96" s="32"/>
      <c r="WIL96" s="32"/>
      <c r="WIM96" s="32"/>
      <c r="WIN96" s="32"/>
      <c r="WIO96" s="32"/>
      <c r="WIP96" s="32"/>
      <c r="WIQ96" s="32"/>
      <c r="WIR96" s="32"/>
      <c r="WIS96" s="32"/>
      <c r="WIT96" s="32"/>
      <c r="WIU96" s="32"/>
      <c r="WIV96" s="32"/>
      <c r="WIW96" s="32"/>
      <c r="WIX96" s="32"/>
      <c r="WIY96" s="32"/>
      <c r="WIZ96" s="32"/>
      <c r="WJA96" s="32"/>
      <c r="WJB96" s="32"/>
      <c r="WJC96" s="32"/>
      <c r="WJD96" s="32"/>
      <c r="WJE96" s="32"/>
      <c r="WJF96" s="32"/>
      <c r="WJG96" s="32"/>
      <c r="WJH96" s="32"/>
      <c r="WJI96" s="32"/>
      <c r="WJJ96" s="32"/>
      <c r="WJK96" s="32"/>
      <c r="WJL96" s="32"/>
      <c r="WJM96" s="32"/>
      <c r="WJN96" s="32"/>
      <c r="WJO96" s="32"/>
      <c r="WJP96" s="32"/>
      <c r="WJQ96" s="32"/>
      <c r="WJR96" s="32"/>
      <c r="WJS96" s="32"/>
      <c r="WJT96" s="32"/>
      <c r="WJU96" s="32"/>
      <c r="WJV96" s="32"/>
      <c r="WJW96" s="32"/>
      <c r="WJX96" s="32"/>
      <c r="WJY96" s="32"/>
      <c r="WJZ96" s="32"/>
      <c r="WKA96" s="32"/>
      <c r="WKB96" s="32"/>
      <c r="WKC96" s="32"/>
      <c r="WKD96" s="32"/>
      <c r="WKE96" s="32"/>
      <c r="WKF96" s="32"/>
      <c r="WKG96" s="32"/>
      <c r="WKH96" s="32"/>
      <c r="WKI96" s="32"/>
      <c r="WKJ96" s="32"/>
      <c r="WKK96" s="32"/>
      <c r="WKL96" s="32"/>
      <c r="WKM96" s="32"/>
      <c r="WKN96" s="32"/>
      <c r="WKO96" s="32"/>
      <c r="WKP96" s="32"/>
      <c r="WKQ96" s="32"/>
      <c r="WKR96" s="32"/>
      <c r="WKS96" s="32"/>
      <c r="WKT96" s="32"/>
      <c r="WKU96" s="32"/>
      <c r="WKV96" s="32"/>
      <c r="WKW96" s="32"/>
      <c r="WKX96" s="32"/>
      <c r="WKY96" s="32"/>
      <c r="WKZ96" s="32"/>
      <c r="WLA96" s="32"/>
      <c r="WLB96" s="32"/>
      <c r="WLC96" s="32"/>
      <c r="WLD96" s="32"/>
      <c r="WLE96" s="32"/>
      <c r="WLF96" s="32"/>
      <c r="WLG96" s="32"/>
      <c r="WLH96" s="32"/>
      <c r="WLI96" s="32"/>
      <c r="WLJ96" s="32"/>
      <c r="WLK96" s="32"/>
      <c r="WLL96" s="32"/>
      <c r="WLM96" s="32"/>
      <c r="WLN96" s="32"/>
      <c r="WLO96" s="32"/>
      <c r="WLP96" s="32"/>
      <c r="WLQ96" s="32"/>
      <c r="WLR96" s="32"/>
      <c r="WLS96" s="32"/>
      <c r="WLT96" s="32"/>
      <c r="WLU96" s="32"/>
      <c r="WLV96" s="32"/>
      <c r="WLW96" s="32"/>
      <c r="WLX96" s="32"/>
      <c r="WLY96" s="32"/>
      <c r="WLZ96" s="32"/>
      <c r="WMA96" s="32"/>
      <c r="WMB96" s="32"/>
      <c r="WMC96" s="32"/>
      <c r="WMD96" s="32"/>
      <c r="WME96" s="32"/>
      <c r="WMF96" s="32"/>
      <c r="WMG96" s="32"/>
      <c r="WMH96" s="32"/>
      <c r="WMI96" s="32"/>
      <c r="WMJ96" s="32"/>
      <c r="WMK96" s="32"/>
      <c r="WML96" s="32"/>
      <c r="WMM96" s="32"/>
      <c r="WMN96" s="32"/>
      <c r="WMO96" s="32"/>
      <c r="WMP96" s="32"/>
      <c r="WMQ96" s="32"/>
      <c r="WMR96" s="32"/>
      <c r="WMS96" s="32"/>
      <c r="WMT96" s="32"/>
      <c r="WMU96" s="32"/>
      <c r="WMV96" s="32"/>
      <c r="WMW96" s="32"/>
      <c r="WMX96" s="32"/>
      <c r="WMY96" s="32"/>
      <c r="WMZ96" s="32"/>
      <c r="WNA96" s="32"/>
      <c r="WNB96" s="32"/>
      <c r="WNC96" s="32"/>
      <c r="WND96" s="32"/>
      <c r="WNE96" s="32"/>
      <c r="WNF96" s="32"/>
      <c r="WNG96" s="32"/>
      <c r="WNH96" s="32"/>
      <c r="WNI96" s="32"/>
      <c r="WNJ96" s="32"/>
      <c r="WNK96" s="32"/>
      <c r="WNL96" s="32"/>
      <c r="WNM96" s="32"/>
      <c r="WNN96" s="32"/>
      <c r="WNO96" s="32"/>
      <c r="WNP96" s="32"/>
      <c r="WNQ96" s="32"/>
      <c r="WNR96" s="32"/>
      <c r="WNS96" s="32"/>
      <c r="WNT96" s="32"/>
      <c r="WNU96" s="32"/>
      <c r="WNV96" s="32"/>
      <c r="WNW96" s="32"/>
      <c r="WNX96" s="32"/>
      <c r="WNY96" s="32"/>
      <c r="WNZ96" s="32"/>
      <c r="WOA96" s="32"/>
      <c r="WOB96" s="32"/>
      <c r="WOC96" s="32"/>
      <c r="WOD96" s="32"/>
      <c r="WOE96" s="32"/>
      <c r="WOF96" s="32"/>
      <c r="WOG96" s="32"/>
      <c r="WOH96" s="32"/>
      <c r="WOI96" s="32"/>
      <c r="WOJ96" s="32"/>
      <c r="WOK96" s="32"/>
      <c r="WOL96" s="32"/>
      <c r="WOM96" s="32"/>
      <c r="WON96" s="32"/>
      <c r="WOO96" s="32"/>
      <c r="WOP96" s="32"/>
      <c r="WOQ96" s="32"/>
      <c r="WOR96" s="32"/>
      <c r="WOS96" s="32"/>
      <c r="WOT96" s="32"/>
      <c r="WOU96" s="32"/>
      <c r="WOV96" s="32"/>
      <c r="WOW96" s="32"/>
      <c r="WOX96" s="32"/>
      <c r="WOY96" s="32"/>
      <c r="WOZ96" s="32"/>
      <c r="WPA96" s="32"/>
      <c r="WPB96" s="32"/>
      <c r="WPC96" s="32"/>
      <c r="WPD96" s="32"/>
      <c r="WPE96" s="32"/>
      <c r="WPF96" s="32"/>
      <c r="WPG96" s="32"/>
      <c r="WPH96" s="32"/>
      <c r="WPI96" s="32"/>
      <c r="WPJ96" s="32"/>
      <c r="WPK96" s="32"/>
      <c r="WPL96" s="32"/>
      <c r="WPM96" s="32"/>
      <c r="WPN96" s="32"/>
      <c r="WPO96" s="32"/>
      <c r="WPP96" s="32"/>
      <c r="WPQ96" s="32"/>
      <c r="WPR96" s="32"/>
      <c r="WPS96" s="32"/>
      <c r="WPT96" s="32"/>
      <c r="WPU96" s="32"/>
      <c r="WPV96" s="32"/>
      <c r="WPW96" s="32"/>
      <c r="WPX96" s="32"/>
      <c r="WPY96" s="32"/>
      <c r="WPZ96" s="32"/>
      <c r="WQA96" s="32"/>
      <c r="WQB96" s="32"/>
      <c r="WQC96" s="32"/>
      <c r="WQD96" s="32"/>
      <c r="WQE96" s="32"/>
      <c r="WQF96" s="32"/>
      <c r="WQG96" s="32"/>
      <c r="WQH96" s="32"/>
      <c r="WQI96" s="32"/>
      <c r="WQJ96" s="32"/>
      <c r="WQK96" s="32"/>
      <c r="WQL96" s="32"/>
      <c r="WQM96" s="32"/>
      <c r="WQN96" s="32"/>
      <c r="WQO96" s="32"/>
      <c r="WQP96" s="32"/>
      <c r="WQQ96" s="32"/>
      <c r="WQR96" s="32"/>
      <c r="WQS96" s="32"/>
      <c r="WQT96" s="32"/>
      <c r="WQU96" s="32"/>
      <c r="WQV96" s="32"/>
      <c r="WQW96" s="32"/>
      <c r="WQX96" s="32"/>
      <c r="WQY96" s="32"/>
      <c r="WQZ96" s="32"/>
      <c r="WRA96" s="32"/>
      <c r="WRB96" s="32"/>
      <c r="WRC96" s="32"/>
      <c r="WRD96" s="32"/>
      <c r="WRE96" s="32"/>
      <c r="WRF96" s="32"/>
      <c r="WRG96" s="32"/>
      <c r="WRH96" s="32"/>
      <c r="WRI96" s="32"/>
      <c r="WRJ96" s="32"/>
      <c r="WRK96" s="32"/>
      <c r="WRL96" s="32"/>
      <c r="WRM96" s="32"/>
      <c r="WRN96" s="32"/>
      <c r="WRO96" s="32"/>
      <c r="WRP96" s="32"/>
      <c r="WRQ96" s="32"/>
      <c r="WRR96" s="32"/>
      <c r="WRS96" s="32"/>
      <c r="WRT96" s="32"/>
      <c r="WRU96" s="32"/>
      <c r="WRV96" s="32"/>
      <c r="WRW96" s="32"/>
      <c r="WRX96" s="32"/>
      <c r="WRY96" s="32"/>
      <c r="WRZ96" s="32"/>
      <c r="WSA96" s="32"/>
      <c r="WSB96" s="32"/>
      <c r="WSC96" s="32"/>
      <c r="WSD96" s="32"/>
      <c r="WSE96" s="32"/>
      <c r="WSF96" s="32"/>
      <c r="WSG96" s="32"/>
      <c r="WSH96" s="32"/>
      <c r="WSI96" s="32"/>
      <c r="WSJ96" s="32"/>
      <c r="WSK96" s="32"/>
      <c r="WSL96" s="32"/>
      <c r="WSM96" s="32"/>
      <c r="WSN96" s="32"/>
      <c r="WSO96" s="32"/>
      <c r="WSP96" s="32"/>
      <c r="WSQ96" s="32"/>
      <c r="WSR96" s="32"/>
      <c r="WSS96" s="32"/>
      <c r="WST96" s="32"/>
      <c r="WSU96" s="32"/>
      <c r="WSV96" s="32"/>
      <c r="WSW96" s="32"/>
      <c r="WSX96" s="32"/>
      <c r="WSY96" s="32"/>
      <c r="WSZ96" s="32"/>
      <c r="WTA96" s="32"/>
      <c r="WTB96" s="32"/>
      <c r="WTC96" s="32"/>
      <c r="WTD96" s="32"/>
      <c r="WTE96" s="32"/>
      <c r="WTF96" s="32"/>
      <c r="WTG96" s="32"/>
      <c r="WTH96" s="32"/>
      <c r="WTI96" s="32"/>
      <c r="WTJ96" s="32"/>
      <c r="WTK96" s="32"/>
      <c r="WTL96" s="32"/>
      <c r="WTM96" s="32"/>
      <c r="WTN96" s="32"/>
      <c r="WTO96" s="32"/>
      <c r="WTP96" s="32"/>
      <c r="WTQ96" s="32"/>
      <c r="WTR96" s="32"/>
      <c r="WTS96" s="32"/>
      <c r="WTT96" s="32"/>
      <c r="WTU96" s="32"/>
      <c r="WTV96" s="32"/>
      <c r="WTW96" s="32"/>
      <c r="WTX96" s="32"/>
      <c r="WTY96" s="32"/>
      <c r="WTZ96" s="32"/>
      <c r="WUA96" s="32"/>
      <c r="WUB96" s="32"/>
      <c r="WUC96" s="32"/>
      <c r="WUD96" s="32"/>
      <c r="WUE96" s="32"/>
      <c r="WUF96" s="32"/>
      <c r="WUG96" s="32"/>
      <c r="WUH96" s="32"/>
      <c r="WUI96" s="32"/>
      <c r="WUJ96" s="32"/>
      <c r="WUK96" s="32"/>
      <c r="WUL96" s="32"/>
      <c r="WUM96" s="32"/>
      <c r="WUN96" s="32"/>
      <c r="WUO96" s="32"/>
      <c r="WUP96" s="32"/>
      <c r="WUQ96" s="32"/>
      <c r="WUR96" s="32"/>
      <c r="WUS96" s="32"/>
      <c r="WUT96" s="32"/>
      <c r="WUU96" s="32"/>
      <c r="WUV96" s="32"/>
      <c r="WUW96" s="32"/>
      <c r="WUX96" s="32"/>
      <c r="WUY96" s="32"/>
      <c r="WUZ96" s="32"/>
      <c r="WVA96" s="32"/>
      <c r="WVB96" s="32"/>
      <c r="WVC96" s="32"/>
      <c r="WVD96" s="32"/>
      <c r="WVE96" s="32"/>
      <c r="WVF96" s="32"/>
      <c r="WVG96" s="32"/>
      <c r="WVH96" s="32"/>
      <c r="WVI96" s="32"/>
      <c r="WVJ96" s="32"/>
      <c r="WVK96" s="32"/>
      <c r="WVL96" s="32"/>
      <c r="WVM96" s="32"/>
      <c r="WVN96" s="32"/>
      <c r="WVO96" s="32"/>
      <c r="WVP96" s="32"/>
      <c r="WVQ96" s="32"/>
      <c r="WVR96" s="32"/>
      <c r="WVS96" s="32"/>
      <c r="WVT96" s="32"/>
      <c r="WVU96" s="32"/>
      <c r="WVV96" s="32"/>
      <c r="WVW96" s="32"/>
      <c r="WVX96" s="32"/>
      <c r="WVY96" s="32"/>
      <c r="WVZ96" s="32"/>
      <c r="WWA96" s="32"/>
      <c r="WWB96" s="32"/>
      <c r="WWC96" s="32"/>
      <c r="WWD96" s="32"/>
      <c r="WWE96" s="32"/>
      <c r="WWF96" s="32"/>
      <c r="WWG96" s="32"/>
      <c r="WWH96" s="32"/>
      <c r="WWI96" s="32"/>
      <c r="WWJ96" s="32"/>
      <c r="WWK96" s="32"/>
      <c r="WWL96" s="32"/>
      <c r="WWM96" s="32"/>
      <c r="WWN96" s="32"/>
      <c r="WWO96" s="32"/>
      <c r="WWP96" s="32"/>
      <c r="WWQ96" s="32"/>
      <c r="WWR96" s="32"/>
      <c r="WWS96" s="32"/>
      <c r="WWT96" s="32"/>
      <c r="WWU96" s="32"/>
      <c r="WWV96" s="32"/>
      <c r="WWW96" s="32"/>
      <c r="WWX96" s="32"/>
      <c r="WWY96" s="32"/>
      <c r="WWZ96" s="32"/>
      <c r="WXA96" s="32"/>
      <c r="WXB96" s="32"/>
      <c r="WXC96" s="32"/>
      <c r="WXD96" s="32"/>
      <c r="WXE96" s="32"/>
      <c r="WXF96" s="32"/>
      <c r="WXG96" s="32"/>
      <c r="WXH96" s="32"/>
      <c r="WXI96" s="32"/>
      <c r="WXJ96" s="32"/>
      <c r="WXK96" s="32"/>
      <c r="WXL96" s="32"/>
      <c r="WXM96" s="32"/>
      <c r="WXN96" s="32"/>
      <c r="WXO96" s="32"/>
      <c r="WXP96" s="32"/>
      <c r="WXQ96" s="32"/>
      <c r="WXR96" s="32"/>
      <c r="WXS96" s="32"/>
      <c r="WXT96" s="32"/>
      <c r="WXU96" s="32"/>
      <c r="WXV96" s="32"/>
      <c r="WXW96" s="32"/>
      <c r="WXX96" s="32"/>
      <c r="WXY96" s="32"/>
      <c r="WXZ96" s="32"/>
      <c r="WYA96" s="32"/>
      <c r="WYB96" s="32"/>
      <c r="WYC96" s="32"/>
      <c r="WYD96" s="32"/>
      <c r="WYE96" s="32"/>
      <c r="WYF96" s="32"/>
      <c r="WYG96" s="32"/>
      <c r="WYH96" s="32"/>
      <c r="WYI96" s="32"/>
      <c r="WYJ96" s="32"/>
      <c r="WYK96" s="32"/>
      <c r="WYL96" s="32"/>
      <c r="WYM96" s="32"/>
      <c r="WYN96" s="32"/>
      <c r="WYO96" s="32"/>
      <c r="WYP96" s="32"/>
      <c r="WYQ96" s="32"/>
      <c r="WYR96" s="32"/>
      <c r="WYS96" s="32"/>
      <c r="WYT96" s="32"/>
      <c r="WYU96" s="32"/>
      <c r="WYV96" s="32"/>
      <c r="WYW96" s="32"/>
      <c r="WYX96" s="32"/>
      <c r="WYY96" s="32"/>
      <c r="WYZ96" s="32"/>
      <c r="WZA96" s="32"/>
      <c r="WZB96" s="32"/>
      <c r="WZC96" s="32"/>
      <c r="WZD96" s="32"/>
      <c r="WZE96" s="32"/>
      <c r="WZF96" s="32"/>
      <c r="WZG96" s="32"/>
      <c r="WZH96" s="32"/>
      <c r="WZI96" s="32"/>
      <c r="WZJ96" s="32"/>
      <c r="WZK96" s="32"/>
      <c r="WZL96" s="32"/>
      <c r="WZM96" s="32"/>
      <c r="WZN96" s="32"/>
      <c r="WZO96" s="32"/>
      <c r="WZP96" s="32"/>
      <c r="WZQ96" s="32"/>
      <c r="WZR96" s="32"/>
      <c r="WZS96" s="32"/>
      <c r="WZT96" s="32"/>
      <c r="WZU96" s="32"/>
      <c r="WZV96" s="32"/>
      <c r="WZW96" s="32"/>
      <c r="WZX96" s="32"/>
      <c r="WZY96" s="32"/>
      <c r="WZZ96" s="32"/>
      <c r="XAA96" s="32"/>
      <c r="XAB96" s="32"/>
      <c r="XAC96" s="32"/>
      <c r="XAD96" s="32"/>
      <c r="XAE96" s="32"/>
      <c r="XAF96" s="32"/>
      <c r="XAG96" s="32"/>
      <c r="XAH96" s="32"/>
      <c r="XAI96" s="32"/>
      <c r="XAJ96" s="32"/>
      <c r="XAK96" s="32"/>
      <c r="XAL96" s="32"/>
      <c r="XAM96" s="32"/>
      <c r="XAN96" s="32"/>
      <c r="XAO96" s="32"/>
      <c r="XAP96" s="32"/>
      <c r="XAQ96" s="32"/>
      <c r="XAR96" s="32"/>
      <c r="XAS96" s="32"/>
      <c r="XAT96" s="32"/>
      <c r="XAU96" s="32"/>
      <c r="XAV96" s="32"/>
      <c r="XAW96" s="32"/>
      <c r="XAX96" s="32"/>
      <c r="XAY96" s="32"/>
      <c r="XAZ96" s="32"/>
      <c r="XBA96" s="32"/>
      <c r="XBB96" s="32"/>
      <c r="XBC96" s="32"/>
      <c r="XBD96" s="32"/>
      <c r="XBE96" s="32"/>
      <c r="XBF96" s="32"/>
      <c r="XBG96" s="32"/>
      <c r="XBH96" s="32"/>
      <c r="XBI96" s="32"/>
      <c r="XBJ96" s="32"/>
      <c r="XBK96" s="32"/>
      <c r="XBL96" s="32"/>
      <c r="XBM96" s="32"/>
      <c r="XBN96" s="32"/>
      <c r="XBO96" s="32"/>
      <c r="XBP96" s="32"/>
      <c r="XBQ96" s="32"/>
      <c r="XBR96" s="32"/>
      <c r="XBS96" s="32"/>
      <c r="XBT96" s="32"/>
      <c r="XBU96" s="32"/>
      <c r="XBV96" s="32"/>
      <c r="XBW96" s="32"/>
      <c r="XBX96" s="32"/>
      <c r="XBY96" s="32"/>
      <c r="XBZ96" s="32"/>
      <c r="XCA96" s="32"/>
      <c r="XCB96" s="32"/>
      <c r="XCC96" s="32"/>
      <c r="XCD96" s="32"/>
      <c r="XCE96" s="32"/>
      <c r="XCF96" s="32"/>
      <c r="XCG96" s="32"/>
      <c r="XCH96" s="32"/>
      <c r="XCI96" s="32"/>
      <c r="XCJ96" s="32"/>
      <c r="XCK96" s="32"/>
      <c r="XCL96" s="32"/>
      <c r="XCM96" s="32"/>
      <c r="XCN96" s="32"/>
      <c r="XCO96" s="32"/>
      <c r="XCP96" s="32"/>
      <c r="XCQ96" s="32"/>
      <c r="XCR96" s="32"/>
      <c r="XCS96" s="32"/>
      <c r="XCT96" s="32"/>
      <c r="XCU96" s="32"/>
      <c r="XCV96" s="32"/>
      <c r="XCW96" s="32"/>
      <c r="XCX96" s="32"/>
      <c r="XCY96" s="32"/>
      <c r="XCZ96" s="32"/>
      <c r="XDA96" s="32"/>
      <c r="XDB96" s="32"/>
      <c r="XDC96" s="32"/>
      <c r="XDD96" s="32"/>
      <c r="XDE96" s="32"/>
      <c r="XDF96" s="32"/>
      <c r="XDG96" s="32"/>
      <c r="XDH96" s="32"/>
      <c r="XDI96" s="32"/>
      <c r="XDJ96" s="32"/>
      <c r="XDK96" s="32"/>
      <c r="XDL96" s="32"/>
      <c r="XDM96" s="32"/>
      <c r="XDN96" s="32"/>
      <c r="XDO96" s="32"/>
      <c r="XDP96" s="32"/>
      <c r="XDQ96" s="32"/>
      <c r="XDR96" s="32"/>
      <c r="XDS96" s="32"/>
      <c r="XDT96" s="32"/>
      <c r="XDU96" s="32"/>
      <c r="XDV96" s="32"/>
      <c r="XDW96" s="32"/>
      <c r="XDX96" s="32"/>
      <c r="XDY96" s="32"/>
      <c r="XDZ96" s="32"/>
      <c r="XEA96" s="32"/>
      <c r="XEB96" s="32"/>
      <c r="XEC96" s="32"/>
      <c r="XED96" s="32"/>
      <c r="XEE96" s="32"/>
      <c r="XEF96" s="32"/>
      <c r="XEG96" s="32"/>
      <c r="XEH96" s="32"/>
      <c r="XEI96" s="32"/>
      <c r="XEJ96" s="32"/>
      <c r="XEK96" s="32"/>
      <c r="XEL96" s="32"/>
      <c r="XEM96" s="32"/>
      <c r="XEN96" s="32"/>
      <c r="XEO96" s="32"/>
      <c r="XEP96" s="32"/>
      <c r="XEQ96" s="32"/>
      <c r="XER96" s="32"/>
      <c r="XES96" s="32"/>
      <c r="XET96" s="32"/>
      <c r="XEU96" s="32"/>
      <c r="XEV96" s="32"/>
      <c r="XEW96" s="32"/>
      <c r="XEX96" s="32"/>
      <c r="XEY96" s="32"/>
      <c r="XEZ96" s="32"/>
      <c r="XFA96" s="32"/>
      <c r="XFB96" s="32"/>
    </row>
    <row r="97" spans="1:16382" s="127" customFormat="1" ht="50.15" customHeight="1" thickBot="1">
      <c r="A97" s="750" t="s">
        <v>1182</v>
      </c>
      <c r="B97" s="750"/>
      <c r="C97" s="57"/>
      <c r="D97" s="57"/>
      <c r="E97" s="57"/>
      <c r="F97" s="57"/>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c r="BY97" s="21"/>
      <c r="BZ97" s="21"/>
      <c r="CA97" s="21"/>
      <c r="CB97" s="21"/>
      <c r="CC97" s="21"/>
      <c r="CD97" s="21"/>
      <c r="CE97" s="21"/>
      <c r="CF97" s="21"/>
      <c r="CG97" s="21"/>
      <c r="CH97" s="21"/>
      <c r="CI97" s="21"/>
      <c r="CJ97" s="21"/>
      <c r="CK97" s="21"/>
      <c r="CL97" s="21"/>
      <c r="CM97" s="21"/>
      <c r="CN97" s="21"/>
      <c r="CO97" s="21"/>
      <c r="CP97" s="21"/>
      <c r="CQ97" s="21"/>
      <c r="CR97" s="21"/>
      <c r="CS97" s="21"/>
      <c r="CT97" s="21"/>
      <c r="CU97" s="21"/>
      <c r="CV97" s="21"/>
      <c r="CW97" s="21"/>
      <c r="CX97" s="21"/>
      <c r="CY97" s="21"/>
      <c r="CZ97" s="21"/>
      <c r="DA97" s="21"/>
      <c r="DB97" s="21"/>
      <c r="DC97" s="21"/>
      <c r="DD97" s="21"/>
      <c r="DE97" s="21"/>
      <c r="DF97" s="21"/>
      <c r="DG97" s="21"/>
      <c r="DH97" s="21"/>
      <c r="DI97" s="21"/>
      <c r="DJ97" s="21"/>
      <c r="DK97" s="21"/>
      <c r="DL97" s="21"/>
      <c r="DM97" s="21"/>
      <c r="DN97" s="21"/>
      <c r="DO97" s="21"/>
      <c r="DP97" s="21"/>
      <c r="DQ97" s="21"/>
      <c r="DR97" s="21"/>
      <c r="DS97" s="21"/>
      <c r="DT97" s="21"/>
      <c r="DU97" s="21"/>
      <c r="DV97" s="21"/>
      <c r="DW97" s="21"/>
      <c r="DX97" s="21"/>
      <c r="DY97" s="21"/>
      <c r="DZ97" s="21"/>
      <c r="EA97" s="21"/>
      <c r="EB97" s="21"/>
      <c r="EC97" s="21"/>
      <c r="ED97" s="21"/>
      <c r="EE97" s="21"/>
      <c r="EF97" s="21"/>
      <c r="EG97" s="21"/>
      <c r="EH97" s="21"/>
      <c r="EI97" s="21"/>
      <c r="EJ97" s="21"/>
      <c r="EK97" s="21"/>
      <c r="EL97" s="21"/>
      <c r="EM97" s="21"/>
      <c r="EN97" s="21"/>
      <c r="EO97" s="21"/>
      <c r="EP97" s="21"/>
      <c r="EQ97" s="21"/>
      <c r="ER97" s="21"/>
      <c r="ES97" s="21"/>
      <c r="ET97" s="21"/>
      <c r="EU97" s="21"/>
      <c r="EV97" s="21"/>
      <c r="EW97" s="21"/>
      <c r="EX97" s="21"/>
      <c r="EY97" s="21"/>
      <c r="EZ97" s="21"/>
      <c r="FA97" s="21"/>
      <c r="FB97" s="21"/>
      <c r="FC97" s="21"/>
      <c r="FD97" s="21"/>
      <c r="FE97" s="21"/>
      <c r="FF97" s="21"/>
      <c r="FG97" s="21"/>
      <c r="FH97" s="21"/>
      <c r="FI97" s="21"/>
      <c r="FJ97" s="21"/>
      <c r="FK97" s="21"/>
      <c r="FL97" s="21"/>
      <c r="FM97" s="21"/>
      <c r="FN97" s="21"/>
      <c r="FO97" s="21"/>
      <c r="FP97" s="21"/>
      <c r="FQ97" s="21"/>
      <c r="FR97" s="21"/>
      <c r="FS97" s="21"/>
      <c r="FT97" s="21"/>
      <c r="FU97" s="21"/>
      <c r="FV97" s="21"/>
      <c r="FW97" s="21"/>
      <c r="FX97" s="21"/>
      <c r="FY97" s="21"/>
      <c r="FZ97" s="21"/>
      <c r="GA97" s="21"/>
      <c r="GB97" s="21"/>
      <c r="GC97" s="21"/>
      <c r="GD97" s="21"/>
      <c r="GE97" s="21"/>
      <c r="GF97" s="21"/>
      <c r="GG97" s="21"/>
      <c r="GH97" s="21"/>
      <c r="GI97" s="21"/>
      <c r="GJ97" s="21"/>
      <c r="GK97" s="21"/>
      <c r="GL97" s="21"/>
      <c r="GM97" s="21"/>
      <c r="GN97" s="21"/>
      <c r="GO97" s="21"/>
      <c r="GP97" s="21"/>
      <c r="GQ97" s="21"/>
      <c r="GR97" s="21"/>
      <c r="GS97" s="21"/>
      <c r="GT97" s="21"/>
      <c r="GU97" s="21"/>
      <c r="GV97" s="21"/>
      <c r="GW97" s="21"/>
      <c r="GX97" s="21"/>
      <c r="GY97" s="21"/>
      <c r="GZ97" s="21"/>
      <c r="HA97" s="21"/>
      <c r="HB97" s="21"/>
      <c r="HC97" s="21"/>
      <c r="HD97" s="21"/>
      <c r="HE97" s="21"/>
      <c r="HF97" s="21"/>
      <c r="HG97" s="21"/>
      <c r="HH97" s="21"/>
      <c r="HI97" s="21"/>
      <c r="HJ97" s="21"/>
      <c r="HK97" s="21"/>
      <c r="HL97" s="21"/>
      <c r="HM97" s="21"/>
      <c r="HN97" s="21"/>
      <c r="HO97" s="21"/>
      <c r="HP97" s="21"/>
      <c r="HQ97" s="21"/>
      <c r="HR97" s="21"/>
      <c r="HS97" s="21"/>
      <c r="HT97" s="21"/>
      <c r="HU97" s="21"/>
      <c r="HV97" s="21"/>
      <c r="HW97" s="21"/>
      <c r="HX97" s="21"/>
      <c r="HY97" s="21"/>
      <c r="HZ97" s="21"/>
      <c r="IA97" s="21"/>
      <c r="IB97" s="21"/>
      <c r="IC97" s="21"/>
      <c r="ID97" s="21"/>
      <c r="IE97" s="21"/>
      <c r="IF97" s="21"/>
      <c r="IG97" s="21"/>
      <c r="IH97" s="21"/>
      <c r="II97" s="21"/>
      <c r="IJ97" s="21"/>
      <c r="IK97" s="21"/>
      <c r="IL97" s="21"/>
      <c r="IM97" s="21"/>
      <c r="IN97" s="21"/>
      <c r="IO97" s="21"/>
      <c r="IP97" s="21"/>
      <c r="IQ97" s="21"/>
      <c r="IR97" s="21"/>
      <c r="IS97" s="21"/>
      <c r="IT97" s="21"/>
      <c r="IU97" s="21"/>
      <c r="IV97" s="21"/>
      <c r="IW97" s="21"/>
      <c r="IX97" s="21"/>
      <c r="IY97" s="21"/>
      <c r="IZ97" s="21"/>
      <c r="JA97" s="21"/>
      <c r="JB97" s="21"/>
      <c r="JC97" s="21"/>
      <c r="JD97" s="21"/>
      <c r="JE97" s="21"/>
      <c r="JF97" s="21"/>
      <c r="JG97" s="21"/>
      <c r="JH97" s="21"/>
      <c r="JI97" s="21"/>
      <c r="JJ97" s="21"/>
      <c r="JK97" s="21"/>
      <c r="JL97" s="21"/>
      <c r="JM97" s="21"/>
      <c r="JN97" s="21"/>
      <c r="JO97" s="21"/>
      <c r="JP97" s="21"/>
      <c r="JQ97" s="21"/>
      <c r="JR97" s="21"/>
      <c r="JS97" s="21"/>
      <c r="JT97" s="21"/>
      <c r="JU97" s="21"/>
      <c r="JV97" s="21"/>
      <c r="JW97" s="21"/>
      <c r="JX97" s="21"/>
      <c r="JY97" s="21"/>
      <c r="JZ97" s="21"/>
      <c r="KA97" s="21"/>
      <c r="KB97" s="21"/>
      <c r="KC97" s="21"/>
      <c r="KD97" s="21"/>
      <c r="KE97" s="21"/>
      <c r="KF97" s="21"/>
      <c r="KG97" s="21"/>
      <c r="KH97" s="21"/>
      <c r="KI97" s="21"/>
      <c r="KJ97" s="21"/>
      <c r="KK97" s="21"/>
      <c r="KL97" s="21"/>
      <c r="KM97" s="21"/>
      <c r="KN97" s="21"/>
      <c r="KO97" s="21"/>
      <c r="KP97" s="21"/>
      <c r="KQ97" s="21"/>
      <c r="KR97" s="21"/>
      <c r="KS97" s="21"/>
      <c r="KT97" s="21"/>
      <c r="KU97" s="21"/>
      <c r="KV97" s="21"/>
      <c r="KW97" s="21"/>
      <c r="KX97" s="21"/>
      <c r="KY97" s="21"/>
      <c r="KZ97" s="21"/>
      <c r="LA97" s="21"/>
      <c r="LB97" s="21"/>
      <c r="LC97" s="21"/>
      <c r="LD97" s="21"/>
      <c r="LE97" s="21"/>
      <c r="LF97" s="21"/>
      <c r="LG97" s="21"/>
      <c r="LH97" s="21"/>
      <c r="LI97" s="21"/>
      <c r="LJ97" s="21"/>
      <c r="LK97" s="21"/>
      <c r="LL97" s="21"/>
      <c r="LM97" s="21"/>
      <c r="LN97" s="21"/>
      <c r="LO97" s="21"/>
      <c r="LP97" s="21"/>
      <c r="LQ97" s="21"/>
      <c r="LR97" s="21"/>
      <c r="LS97" s="21"/>
      <c r="LT97" s="21"/>
      <c r="LU97" s="21"/>
      <c r="LV97" s="21"/>
      <c r="LW97" s="21"/>
      <c r="LX97" s="21"/>
      <c r="LY97" s="21"/>
      <c r="LZ97" s="21"/>
      <c r="MA97" s="21"/>
      <c r="MB97" s="21"/>
      <c r="MC97" s="21"/>
      <c r="MD97" s="21"/>
      <c r="ME97" s="21"/>
      <c r="MF97" s="21"/>
      <c r="MG97" s="21"/>
      <c r="MH97" s="21"/>
      <c r="MI97" s="21"/>
      <c r="MJ97" s="21"/>
      <c r="MK97" s="21"/>
      <c r="ML97" s="21"/>
      <c r="MM97" s="21"/>
      <c r="MN97" s="21"/>
      <c r="MO97" s="21"/>
      <c r="MP97" s="21"/>
      <c r="MQ97" s="21"/>
      <c r="MR97" s="21"/>
      <c r="MS97" s="21"/>
      <c r="MT97" s="21"/>
      <c r="MU97" s="21"/>
      <c r="MV97" s="21"/>
      <c r="MW97" s="21"/>
      <c r="MX97" s="21"/>
      <c r="MY97" s="21"/>
      <c r="MZ97" s="21"/>
      <c r="NA97" s="21"/>
      <c r="NB97" s="21"/>
      <c r="NC97" s="21"/>
      <c r="ND97" s="21"/>
      <c r="NE97" s="21"/>
      <c r="NF97" s="21"/>
      <c r="NG97" s="21"/>
      <c r="NH97" s="21"/>
      <c r="NI97" s="21"/>
      <c r="NJ97" s="21"/>
      <c r="NK97" s="21"/>
      <c r="NL97" s="21"/>
      <c r="NM97" s="21"/>
      <c r="NN97" s="21"/>
      <c r="NO97" s="21"/>
      <c r="NP97" s="21"/>
      <c r="NQ97" s="21"/>
      <c r="NR97" s="21"/>
      <c r="NS97" s="21"/>
      <c r="NT97" s="21"/>
      <c r="NU97" s="21"/>
      <c r="NV97" s="21"/>
      <c r="NW97" s="21"/>
      <c r="NX97" s="21"/>
      <c r="NY97" s="21"/>
      <c r="NZ97" s="21"/>
      <c r="OA97" s="21"/>
      <c r="OB97" s="21"/>
      <c r="OC97" s="21"/>
      <c r="OD97" s="21"/>
      <c r="OE97" s="21"/>
      <c r="OF97" s="21"/>
      <c r="OG97" s="21"/>
      <c r="OH97" s="21"/>
      <c r="OI97" s="21"/>
      <c r="OJ97" s="21"/>
      <c r="OK97" s="21"/>
      <c r="OL97" s="21"/>
      <c r="OM97" s="21"/>
      <c r="ON97" s="21"/>
      <c r="OO97" s="21"/>
      <c r="OP97" s="21"/>
      <c r="OQ97" s="21"/>
      <c r="OR97" s="21"/>
      <c r="OS97" s="21"/>
      <c r="OT97" s="21"/>
      <c r="OU97" s="21"/>
      <c r="OV97" s="21"/>
      <c r="OW97" s="21"/>
      <c r="OX97" s="21"/>
      <c r="OY97" s="21"/>
      <c r="OZ97" s="21"/>
      <c r="PA97" s="21"/>
      <c r="PB97" s="21"/>
      <c r="PC97" s="21"/>
      <c r="PD97" s="21"/>
      <c r="PE97" s="21"/>
      <c r="PF97" s="21"/>
      <c r="PG97" s="21"/>
      <c r="PH97" s="21"/>
      <c r="PI97" s="21"/>
      <c r="PJ97" s="21"/>
      <c r="PK97" s="21"/>
      <c r="PL97" s="21"/>
      <c r="PM97" s="21"/>
      <c r="PN97" s="21"/>
      <c r="PO97" s="21"/>
      <c r="PP97" s="21"/>
      <c r="PQ97" s="21"/>
      <c r="PR97" s="21"/>
      <c r="PS97" s="21"/>
      <c r="PT97" s="21"/>
      <c r="PU97" s="21"/>
      <c r="PV97" s="21"/>
      <c r="PW97" s="21"/>
      <c r="PX97" s="21"/>
      <c r="PY97" s="21"/>
      <c r="PZ97" s="21"/>
      <c r="QA97" s="21"/>
      <c r="QB97" s="21"/>
      <c r="QC97" s="21"/>
      <c r="QD97" s="21"/>
      <c r="QE97" s="21"/>
      <c r="QF97" s="21"/>
      <c r="QG97" s="21"/>
      <c r="QH97" s="21"/>
      <c r="QI97" s="21"/>
      <c r="QJ97" s="21"/>
      <c r="QK97" s="21"/>
      <c r="QL97" s="21"/>
      <c r="QM97" s="21"/>
      <c r="QN97" s="21"/>
      <c r="QO97" s="21"/>
      <c r="QP97" s="21"/>
      <c r="QQ97" s="21"/>
      <c r="QR97" s="21"/>
      <c r="QS97" s="21"/>
      <c r="QT97" s="21"/>
      <c r="QU97" s="21"/>
      <c r="QV97" s="21"/>
      <c r="QW97" s="21"/>
      <c r="QX97" s="21"/>
      <c r="QY97" s="21"/>
      <c r="QZ97" s="21"/>
      <c r="RA97" s="21"/>
      <c r="RB97" s="21"/>
      <c r="RC97" s="21"/>
      <c r="RD97" s="21"/>
      <c r="RE97" s="21"/>
      <c r="RF97" s="21"/>
      <c r="RG97" s="21"/>
      <c r="RH97" s="21"/>
      <c r="RI97" s="21"/>
      <c r="RJ97" s="21"/>
      <c r="RK97" s="21"/>
      <c r="RL97" s="21"/>
      <c r="RM97" s="21"/>
      <c r="RN97" s="21"/>
      <c r="RO97" s="21"/>
      <c r="RP97" s="21"/>
      <c r="RQ97" s="21"/>
      <c r="RR97" s="21"/>
      <c r="RS97" s="21"/>
      <c r="RT97" s="21"/>
      <c r="RU97" s="21"/>
      <c r="RV97" s="21"/>
      <c r="RW97" s="21"/>
      <c r="RX97" s="21"/>
      <c r="RY97" s="21"/>
      <c r="RZ97" s="21"/>
      <c r="SA97" s="21"/>
      <c r="SB97" s="21"/>
      <c r="SC97" s="21"/>
      <c r="SD97" s="21"/>
      <c r="SE97" s="21"/>
      <c r="SF97" s="21"/>
      <c r="SG97" s="21"/>
      <c r="SH97" s="21"/>
      <c r="SI97" s="21"/>
      <c r="SJ97" s="21"/>
      <c r="SK97" s="21"/>
      <c r="SL97" s="21"/>
      <c r="SM97" s="21"/>
      <c r="SN97" s="21"/>
      <c r="SO97" s="21"/>
      <c r="SP97" s="21"/>
      <c r="SQ97" s="21"/>
      <c r="SR97" s="21"/>
      <c r="SS97" s="21"/>
      <c r="ST97" s="21"/>
      <c r="SU97" s="21"/>
      <c r="SV97" s="21"/>
      <c r="SW97" s="21"/>
      <c r="SX97" s="21"/>
      <c r="SY97" s="21"/>
      <c r="SZ97" s="21"/>
      <c r="TA97" s="21"/>
      <c r="TB97" s="21"/>
      <c r="TC97" s="21"/>
      <c r="TD97" s="21"/>
      <c r="TE97" s="21"/>
      <c r="TF97" s="21"/>
      <c r="TG97" s="21"/>
      <c r="TH97" s="21"/>
      <c r="TI97" s="21"/>
      <c r="TJ97" s="21"/>
      <c r="TK97" s="21"/>
      <c r="TL97" s="21"/>
      <c r="TM97" s="21"/>
      <c r="TN97" s="21"/>
      <c r="TO97" s="21"/>
      <c r="TP97" s="21"/>
      <c r="TQ97" s="21"/>
      <c r="TR97" s="21"/>
      <c r="TS97" s="21"/>
      <c r="TT97" s="21"/>
      <c r="TU97" s="21"/>
      <c r="TV97" s="21"/>
      <c r="TW97" s="21"/>
      <c r="TX97" s="21"/>
      <c r="TY97" s="21"/>
      <c r="TZ97" s="21"/>
      <c r="UA97" s="21"/>
      <c r="UB97" s="21"/>
      <c r="UC97" s="21"/>
      <c r="UD97" s="21"/>
      <c r="UE97" s="21"/>
      <c r="UF97" s="21"/>
      <c r="UG97" s="21"/>
      <c r="UH97" s="21"/>
      <c r="UI97" s="21"/>
      <c r="UJ97" s="21"/>
      <c r="UK97" s="21"/>
      <c r="UL97" s="21"/>
      <c r="UM97" s="21"/>
      <c r="UN97" s="21"/>
      <c r="UO97" s="21"/>
      <c r="UP97" s="21"/>
      <c r="UQ97" s="21"/>
      <c r="UR97" s="21"/>
      <c r="US97" s="21"/>
      <c r="UT97" s="21"/>
      <c r="UU97" s="21"/>
      <c r="UV97" s="21"/>
      <c r="UW97" s="21"/>
      <c r="UX97" s="21"/>
      <c r="UY97" s="21"/>
      <c r="UZ97" s="21"/>
      <c r="VA97" s="21"/>
      <c r="VB97" s="21"/>
      <c r="VC97" s="21"/>
      <c r="VD97" s="21"/>
      <c r="VE97" s="21"/>
      <c r="VF97" s="21"/>
      <c r="VG97" s="21"/>
      <c r="VH97" s="21"/>
      <c r="VI97" s="21"/>
      <c r="VJ97" s="21"/>
      <c r="VK97" s="21"/>
      <c r="VL97" s="21"/>
      <c r="VM97" s="21"/>
      <c r="VN97" s="21"/>
      <c r="VO97" s="21"/>
      <c r="VP97" s="21"/>
      <c r="VQ97" s="21"/>
      <c r="VR97" s="21"/>
      <c r="VS97" s="21"/>
      <c r="VT97" s="21"/>
      <c r="VU97" s="21"/>
      <c r="VV97" s="21"/>
      <c r="VW97" s="21"/>
      <c r="VX97" s="21"/>
      <c r="VY97" s="21"/>
      <c r="VZ97" s="21"/>
      <c r="WA97" s="21"/>
      <c r="WB97" s="21"/>
      <c r="WC97" s="21"/>
      <c r="WD97" s="21"/>
      <c r="WE97" s="21"/>
      <c r="WF97" s="21"/>
      <c r="WG97" s="21"/>
      <c r="WH97" s="21"/>
      <c r="WI97" s="21"/>
      <c r="WJ97" s="21"/>
      <c r="WK97" s="21"/>
      <c r="WL97" s="21"/>
      <c r="WM97" s="21"/>
      <c r="WN97" s="21"/>
      <c r="WO97" s="21"/>
      <c r="WP97" s="21"/>
      <c r="WQ97" s="21"/>
      <c r="WR97" s="21"/>
      <c r="WS97" s="21"/>
      <c r="WT97" s="21"/>
      <c r="WU97" s="21"/>
      <c r="WV97" s="21"/>
      <c r="WW97" s="21"/>
      <c r="WX97" s="21"/>
      <c r="WY97" s="21"/>
      <c r="WZ97" s="21"/>
      <c r="XA97" s="21"/>
      <c r="XB97" s="21"/>
      <c r="XC97" s="21"/>
      <c r="XD97" s="21"/>
      <c r="XE97" s="21"/>
      <c r="XF97" s="21"/>
      <c r="XG97" s="21"/>
      <c r="XH97" s="21"/>
      <c r="XI97" s="21"/>
      <c r="XJ97" s="21"/>
      <c r="XK97" s="21"/>
      <c r="XL97" s="21"/>
      <c r="XM97" s="21"/>
      <c r="XN97" s="21"/>
      <c r="XO97" s="21"/>
      <c r="XP97" s="21"/>
      <c r="XQ97" s="21"/>
      <c r="XR97" s="21"/>
      <c r="XS97" s="21"/>
      <c r="XT97" s="21"/>
      <c r="XU97" s="21"/>
      <c r="XV97" s="21"/>
      <c r="XW97" s="21"/>
      <c r="XX97" s="21"/>
      <c r="XY97" s="21"/>
      <c r="XZ97" s="21"/>
      <c r="YA97" s="21"/>
      <c r="YB97" s="21"/>
      <c r="YC97" s="21"/>
      <c r="YD97" s="21"/>
      <c r="YE97" s="21"/>
      <c r="YF97" s="21"/>
      <c r="YG97" s="21"/>
      <c r="YH97" s="21"/>
      <c r="YI97" s="21"/>
      <c r="YJ97" s="21"/>
      <c r="YK97" s="21"/>
      <c r="YL97" s="21"/>
      <c r="YM97" s="21"/>
      <c r="YN97" s="21"/>
      <c r="YO97" s="21"/>
      <c r="YP97" s="21"/>
      <c r="YQ97" s="21"/>
      <c r="YR97" s="21"/>
      <c r="YS97" s="21"/>
      <c r="YT97" s="21"/>
      <c r="YU97" s="21"/>
      <c r="YV97" s="21"/>
      <c r="YW97" s="21"/>
      <c r="YX97" s="21"/>
      <c r="YY97" s="21"/>
      <c r="YZ97" s="21"/>
      <c r="ZA97" s="21"/>
      <c r="ZB97" s="21"/>
      <c r="ZC97" s="21"/>
      <c r="ZD97" s="21"/>
      <c r="ZE97" s="21"/>
      <c r="ZF97" s="21"/>
      <c r="ZG97" s="21"/>
      <c r="ZH97" s="21"/>
      <c r="ZI97" s="21"/>
      <c r="ZJ97" s="21"/>
      <c r="ZK97" s="21"/>
      <c r="ZL97" s="21"/>
      <c r="ZM97" s="21"/>
      <c r="ZN97" s="21"/>
      <c r="ZO97" s="21"/>
      <c r="ZP97" s="21"/>
      <c r="ZQ97" s="21"/>
      <c r="ZR97" s="21"/>
      <c r="ZS97" s="21"/>
      <c r="ZT97" s="21"/>
      <c r="ZU97" s="21"/>
      <c r="ZV97" s="21"/>
      <c r="ZW97" s="21"/>
      <c r="ZX97" s="21"/>
      <c r="ZY97" s="21"/>
      <c r="ZZ97" s="21"/>
      <c r="AAA97" s="21"/>
      <c r="AAB97" s="21"/>
      <c r="AAC97" s="21"/>
      <c r="AAD97" s="21"/>
      <c r="AAE97" s="21"/>
      <c r="AAF97" s="21"/>
      <c r="AAG97" s="21"/>
      <c r="AAH97" s="21"/>
      <c r="AAI97" s="21"/>
      <c r="AAJ97" s="21"/>
      <c r="AAK97" s="21"/>
      <c r="AAL97" s="21"/>
      <c r="AAM97" s="21"/>
      <c r="AAN97" s="21"/>
      <c r="AAO97" s="21"/>
      <c r="AAP97" s="21"/>
      <c r="AAQ97" s="21"/>
      <c r="AAR97" s="21"/>
      <c r="AAS97" s="21"/>
      <c r="AAT97" s="21"/>
      <c r="AAU97" s="21"/>
      <c r="AAV97" s="21"/>
      <c r="AAW97" s="21"/>
      <c r="AAX97" s="21"/>
      <c r="AAY97" s="21"/>
      <c r="AAZ97" s="21"/>
      <c r="ABA97" s="21"/>
      <c r="ABB97" s="21"/>
      <c r="ABC97" s="21"/>
      <c r="ABD97" s="21"/>
      <c r="ABE97" s="21"/>
      <c r="ABF97" s="21"/>
      <c r="ABG97" s="21"/>
      <c r="ABH97" s="21"/>
      <c r="ABI97" s="21"/>
      <c r="ABJ97" s="21"/>
      <c r="ABK97" s="21"/>
      <c r="ABL97" s="21"/>
      <c r="ABM97" s="21"/>
      <c r="ABN97" s="21"/>
      <c r="ABO97" s="21"/>
      <c r="ABP97" s="21"/>
      <c r="ABQ97" s="21"/>
      <c r="ABR97" s="21"/>
      <c r="ABS97" s="21"/>
      <c r="ABT97" s="21"/>
      <c r="ABU97" s="21"/>
      <c r="ABV97" s="21"/>
      <c r="ABW97" s="21"/>
      <c r="ABX97" s="21"/>
      <c r="ABY97" s="21"/>
      <c r="ABZ97" s="21"/>
      <c r="ACA97" s="21"/>
      <c r="ACB97" s="21"/>
      <c r="ACC97" s="21"/>
      <c r="ACD97" s="21"/>
      <c r="ACE97" s="21"/>
      <c r="ACF97" s="21"/>
      <c r="ACG97" s="21"/>
      <c r="ACH97" s="21"/>
      <c r="ACI97" s="21"/>
      <c r="ACJ97" s="21"/>
      <c r="ACK97" s="21"/>
      <c r="ACL97" s="21"/>
      <c r="ACM97" s="21"/>
      <c r="ACN97" s="21"/>
      <c r="ACO97" s="21"/>
      <c r="ACP97" s="21"/>
      <c r="ACQ97" s="21"/>
      <c r="ACR97" s="21"/>
      <c r="ACS97" s="21"/>
      <c r="ACT97" s="21"/>
      <c r="ACU97" s="21"/>
      <c r="ACV97" s="21"/>
      <c r="ACW97" s="21"/>
      <c r="ACX97" s="21"/>
      <c r="ACY97" s="21"/>
      <c r="ACZ97" s="21"/>
      <c r="ADA97" s="21"/>
      <c r="ADB97" s="21"/>
      <c r="ADC97" s="21"/>
      <c r="ADD97" s="21"/>
      <c r="ADE97" s="21"/>
      <c r="ADF97" s="21"/>
      <c r="ADG97" s="21"/>
      <c r="ADH97" s="21"/>
      <c r="ADI97" s="21"/>
      <c r="ADJ97" s="21"/>
      <c r="ADK97" s="21"/>
      <c r="ADL97" s="21"/>
      <c r="ADM97" s="21"/>
      <c r="ADN97" s="21"/>
      <c r="ADO97" s="21"/>
      <c r="ADP97" s="21"/>
      <c r="ADQ97" s="21"/>
      <c r="ADR97" s="21"/>
      <c r="ADS97" s="21"/>
      <c r="ADT97" s="21"/>
      <c r="ADU97" s="21"/>
      <c r="ADV97" s="21"/>
      <c r="ADW97" s="21"/>
      <c r="ADX97" s="21"/>
      <c r="ADY97" s="21"/>
      <c r="ADZ97" s="21"/>
      <c r="AEA97" s="21"/>
      <c r="AEB97" s="21"/>
      <c r="AEC97" s="21"/>
      <c r="AED97" s="21"/>
      <c r="AEE97" s="21"/>
      <c r="AEF97" s="21"/>
      <c r="AEG97" s="21"/>
      <c r="AEH97" s="21"/>
      <c r="AEI97" s="21"/>
      <c r="AEJ97" s="21"/>
      <c r="AEK97" s="21"/>
      <c r="AEL97" s="21"/>
      <c r="AEM97" s="21"/>
      <c r="AEN97" s="21"/>
      <c r="AEO97" s="21"/>
      <c r="AEP97" s="21"/>
      <c r="AEQ97" s="21"/>
      <c r="AER97" s="21"/>
      <c r="AES97" s="21"/>
      <c r="AET97" s="21"/>
      <c r="AEU97" s="21"/>
      <c r="AEV97" s="21"/>
      <c r="AEW97" s="21"/>
      <c r="AEX97" s="21"/>
      <c r="AEY97" s="21"/>
      <c r="AEZ97" s="21"/>
      <c r="AFA97" s="21"/>
      <c r="AFB97" s="21"/>
      <c r="AFC97" s="21"/>
      <c r="AFD97" s="21"/>
      <c r="AFE97" s="21"/>
      <c r="AFF97" s="21"/>
      <c r="AFG97" s="21"/>
      <c r="AFH97" s="21"/>
      <c r="AFI97" s="21"/>
      <c r="AFJ97" s="21"/>
      <c r="AFK97" s="21"/>
      <c r="AFL97" s="21"/>
      <c r="AFM97" s="21"/>
      <c r="AFN97" s="21"/>
      <c r="AFO97" s="21"/>
      <c r="AFP97" s="21"/>
      <c r="AFQ97" s="21"/>
      <c r="AFR97" s="21"/>
      <c r="AFS97" s="21"/>
      <c r="AFT97" s="21"/>
      <c r="AFU97" s="21"/>
      <c r="AFV97" s="21"/>
      <c r="AFW97" s="21"/>
      <c r="AFX97" s="21"/>
      <c r="AFY97" s="21"/>
      <c r="AFZ97" s="21"/>
      <c r="AGA97" s="21"/>
      <c r="AGB97" s="21"/>
      <c r="AGC97" s="21"/>
      <c r="AGD97" s="21"/>
      <c r="AGE97" s="21"/>
      <c r="AGF97" s="21"/>
      <c r="AGG97" s="21"/>
      <c r="AGH97" s="21"/>
      <c r="AGI97" s="21"/>
      <c r="AGJ97" s="21"/>
      <c r="AGK97" s="21"/>
      <c r="AGL97" s="21"/>
      <c r="AGM97" s="21"/>
      <c r="AGN97" s="21"/>
      <c r="AGO97" s="21"/>
      <c r="AGP97" s="21"/>
      <c r="AGQ97" s="21"/>
      <c r="AGR97" s="21"/>
      <c r="AGS97" s="21"/>
      <c r="AGT97" s="21"/>
      <c r="AGU97" s="21"/>
      <c r="AGV97" s="21"/>
      <c r="AGW97" s="21"/>
      <c r="AGX97" s="21"/>
      <c r="AGY97" s="21"/>
      <c r="AGZ97" s="21"/>
      <c r="AHA97" s="21"/>
      <c r="AHB97" s="21"/>
      <c r="AHC97" s="21"/>
      <c r="AHD97" s="21"/>
      <c r="AHE97" s="21"/>
      <c r="AHF97" s="21"/>
      <c r="AHG97" s="21"/>
      <c r="AHH97" s="21"/>
      <c r="AHI97" s="21"/>
      <c r="AHJ97" s="21"/>
      <c r="AHK97" s="21"/>
      <c r="AHL97" s="21"/>
      <c r="AHM97" s="21"/>
      <c r="AHN97" s="21"/>
      <c r="AHO97" s="21"/>
      <c r="AHP97" s="21"/>
      <c r="AHQ97" s="21"/>
      <c r="AHR97" s="21"/>
      <c r="AHS97" s="21"/>
      <c r="AHT97" s="21"/>
      <c r="AHU97" s="21"/>
      <c r="AHV97" s="21"/>
      <c r="AHW97" s="21"/>
      <c r="AHX97" s="21"/>
      <c r="AHY97" s="21"/>
      <c r="AHZ97" s="21"/>
      <c r="AIA97" s="21"/>
      <c r="AIB97" s="21"/>
      <c r="AIC97" s="21"/>
      <c r="AID97" s="21"/>
      <c r="AIE97" s="21"/>
      <c r="AIF97" s="21"/>
      <c r="AIG97" s="21"/>
      <c r="AIH97" s="21"/>
      <c r="AII97" s="21"/>
      <c r="AIJ97" s="21"/>
      <c r="AIK97" s="21"/>
      <c r="AIL97" s="21"/>
      <c r="AIM97" s="21"/>
      <c r="AIN97" s="21"/>
      <c r="AIO97" s="21"/>
      <c r="AIP97" s="21"/>
      <c r="AIQ97" s="21"/>
      <c r="AIR97" s="21"/>
      <c r="AIS97" s="21"/>
      <c r="AIT97" s="21"/>
      <c r="AIU97" s="21"/>
      <c r="AIV97" s="21"/>
      <c r="AIW97" s="21"/>
      <c r="AIX97" s="21"/>
      <c r="AIY97" s="21"/>
      <c r="AIZ97" s="21"/>
      <c r="AJA97" s="21"/>
      <c r="AJB97" s="21"/>
      <c r="AJC97" s="21"/>
      <c r="AJD97" s="21"/>
      <c r="AJE97" s="21"/>
      <c r="AJF97" s="21"/>
      <c r="AJG97" s="21"/>
      <c r="AJH97" s="21"/>
      <c r="AJI97" s="21"/>
      <c r="AJJ97" s="21"/>
      <c r="AJK97" s="21"/>
      <c r="AJL97" s="21"/>
      <c r="AJM97" s="21"/>
      <c r="AJN97" s="21"/>
      <c r="AJO97" s="21"/>
      <c r="AJP97" s="21"/>
      <c r="AJQ97" s="21"/>
      <c r="AJR97" s="21"/>
      <c r="AJS97" s="21"/>
      <c r="AJT97" s="21"/>
      <c r="AJU97" s="21"/>
      <c r="AJV97" s="21"/>
      <c r="AJW97" s="21"/>
      <c r="AJX97" s="21"/>
      <c r="AJY97" s="21"/>
      <c r="AJZ97" s="21"/>
      <c r="AKA97" s="21"/>
      <c r="AKB97" s="21"/>
      <c r="AKC97" s="21"/>
      <c r="AKD97" s="21"/>
      <c r="AKE97" s="21"/>
      <c r="AKF97" s="21"/>
      <c r="AKG97" s="21"/>
      <c r="AKH97" s="21"/>
      <c r="AKI97" s="21"/>
      <c r="AKJ97" s="21"/>
      <c r="AKK97" s="21"/>
      <c r="AKL97" s="21"/>
      <c r="AKM97" s="21"/>
      <c r="AKN97" s="21"/>
      <c r="AKO97" s="21"/>
      <c r="AKP97" s="21"/>
      <c r="AKQ97" s="21"/>
      <c r="AKR97" s="21"/>
      <c r="AKS97" s="21"/>
      <c r="AKT97" s="21"/>
      <c r="AKU97" s="21"/>
      <c r="AKV97" s="21"/>
      <c r="AKW97" s="21"/>
      <c r="AKX97" s="21"/>
      <c r="AKY97" s="21"/>
      <c r="AKZ97" s="21"/>
      <c r="ALA97" s="21"/>
      <c r="ALB97" s="21"/>
      <c r="ALC97" s="21"/>
      <c r="ALD97" s="21"/>
      <c r="ALE97" s="21"/>
      <c r="ALF97" s="21"/>
      <c r="ALG97" s="21"/>
      <c r="ALH97" s="21"/>
      <c r="ALI97" s="21"/>
      <c r="ALJ97" s="21"/>
      <c r="ALK97" s="21"/>
      <c r="ALL97" s="21"/>
      <c r="ALM97" s="21"/>
      <c r="ALN97" s="21"/>
      <c r="ALO97" s="21"/>
      <c r="ALP97" s="21"/>
      <c r="ALQ97" s="21"/>
      <c r="ALR97" s="21"/>
      <c r="ALS97" s="21"/>
      <c r="ALT97" s="21"/>
      <c r="ALU97" s="21"/>
      <c r="ALV97" s="21"/>
      <c r="ALW97" s="21"/>
      <c r="ALX97" s="21"/>
      <c r="ALY97" s="21"/>
      <c r="ALZ97" s="21"/>
      <c r="AMA97" s="21"/>
      <c r="AMB97" s="21"/>
      <c r="AMC97" s="21"/>
      <c r="AMD97" s="21"/>
      <c r="AME97" s="21"/>
      <c r="AMF97" s="21"/>
      <c r="AMG97" s="21"/>
      <c r="AMH97" s="21"/>
      <c r="AMI97" s="21"/>
      <c r="AMJ97" s="21"/>
      <c r="AMK97" s="21"/>
      <c r="AML97" s="21"/>
      <c r="AMM97" s="21"/>
      <c r="AMN97" s="21"/>
      <c r="AMO97" s="21"/>
      <c r="AMP97" s="21"/>
      <c r="AMQ97" s="21"/>
      <c r="AMR97" s="21"/>
      <c r="AMS97" s="21"/>
      <c r="AMT97" s="21"/>
      <c r="AMU97" s="21"/>
      <c r="AMV97" s="21"/>
      <c r="AMW97" s="21"/>
      <c r="AMX97" s="21"/>
      <c r="AMY97" s="21"/>
      <c r="AMZ97" s="21"/>
      <c r="ANA97" s="21"/>
      <c r="ANB97" s="21"/>
      <c r="ANC97" s="21"/>
      <c r="AND97" s="21"/>
      <c r="ANE97" s="21"/>
      <c r="ANF97" s="21"/>
      <c r="ANG97" s="21"/>
      <c r="ANH97" s="21"/>
      <c r="ANI97" s="21"/>
      <c r="ANJ97" s="21"/>
      <c r="ANK97" s="21"/>
      <c r="ANL97" s="21"/>
      <c r="ANM97" s="21"/>
      <c r="ANN97" s="21"/>
      <c r="ANO97" s="21"/>
      <c r="ANP97" s="21"/>
      <c r="ANQ97" s="21"/>
      <c r="ANR97" s="21"/>
      <c r="ANS97" s="21"/>
      <c r="ANT97" s="21"/>
      <c r="ANU97" s="21"/>
      <c r="ANV97" s="21"/>
      <c r="ANW97" s="21"/>
      <c r="ANX97" s="21"/>
      <c r="ANY97" s="21"/>
      <c r="ANZ97" s="21"/>
      <c r="AOA97" s="21"/>
      <c r="AOB97" s="21"/>
      <c r="AOC97" s="21"/>
      <c r="AOD97" s="21"/>
      <c r="AOE97" s="21"/>
      <c r="AOF97" s="21"/>
      <c r="AOG97" s="21"/>
      <c r="AOH97" s="21"/>
      <c r="AOI97" s="21"/>
      <c r="AOJ97" s="21"/>
      <c r="AOK97" s="21"/>
      <c r="AOL97" s="21"/>
      <c r="AOM97" s="21"/>
      <c r="AON97" s="21"/>
      <c r="AOO97" s="21"/>
      <c r="AOP97" s="21"/>
      <c r="AOQ97" s="21"/>
      <c r="AOR97" s="21"/>
      <c r="AOS97" s="21"/>
      <c r="AOT97" s="21"/>
      <c r="AOU97" s="21"/>
      <c r="AOV97" s="21"/>
      <c r="AOW97" s="21"/>
      <c r="AOX97" s="21"/>
      <c r="AOY97" s="21"/>
      <c r="AOZ97" s="21"/>
      <c r="APA97" s="21"/>
      <c r="APB97" s="21"/>
      <c r="APC97" s="21"/>
      <c r="APD97" s="21"/>
      <c r="APE97" s="21"/>
      <c r="APF97" s="21"/>
      <c r="APG97" s="21"/>
      <c r="APH97" s="21"/>
      <c r="API97" s="21"/>
      <c r="APJ97" s="21"/>
      <c r="APK97" s="21"/>
      <c r="APL97" s="21"/>
      <c r="APM97" s="21"/>
      <c r="APN97" s="21"/>
      <c r="APO97" s="21"/>
      <c r="APP97" s="21"/>
      <c r="APQ97" s="21"/>
      <c r="APR97" s="21"/>
      <c r="APS97" s="21"/>
      <c r="APT97" s="21"/>
      <c r="APU97" s="21"/>
      <c r="APV97" s="21"/>
      <c r="APW97" s="21"/>
      <c r="APX97" s="21"/>
      <c r="APY97" s="21"/>
      <c r="APZ97" s="21"/>
      <c r="AQA97" s="21"/>
      <c r="AQB97" s="21"/>
      <c r="AQC97" s="21"/>
      <c r="AQD97" s="21"/>
      <c r="AQE97" s="21"/>
      <c r="AQF97" s="21"/>
      <c r="AQG97" s="21"/>
      <c r="AQH97" s="21"/>
      <c r="AQI97" s="21"/>
      <c r="AQJ97" s="21"/>
      <c r="AQK97" s="21"/>
      <c r="AQL97" s="21"/>
      <c r="AQM97" s="21"/>
      <c r="AQN97" s="21"/>
      <c r="AQO97" s="21"/>
      <c r="AQP97" s="21"/>
      <c r="AQQ97" s="21"/>
      <c r="AQR97" s="21"/>
      <c r="AQS97" s="21"/>
      <c r="AQT97" s="21"/>
      <c r="AQU97" s="21"/>
      <c r="AQV97" s="21"/>
      <c r="AQW97" s="21"/>
      <c r="AQX97" s="21"/>
      <c r="AQY97" s="21"/>
      <c r="AQZ97" s="21"/>
      <c r="ARA97" s="21"/>
      <c r="ARB97" s="21"/>
      <c r="ARC97" s="21"/>
      <c r="ARD97" s="21"/>
      <c r="ARE97" s="21"/>
      <c r="ARF97" s="21"/>
      <c r="ARG97" s="21"/>
      <c r="ARH97" s="21"/>
      <c r="ARI97" s="21"/>
      <c r="ARJ97" s="21"/>
      <c r="ARK97" s="21"/>
      <c r="ARL97" s="21"/>
      <c r="ARM97" s="21"/>
      <c r="ARN97" s="21"/>
      <c r="ARO97" s="21"/>
      <c r="ARP97" s="21"/>
      <c r="ARQ97" s="21"/>
      <c r="ARR97" s="21"/>
      <c r="ARS97" s="21"/>
      <c r="ART97" s="21"/>
      <c r="ARU97" s="21"/>
      <c r="ARV97" s="21"/>
      <c r="ARW97" s="21"/>
      <c r="ARX97" s="21"/>
      <c r="ARY97" s="21"/>
      <c r="ARZ97" s="21"/>
      <c r="ASA97" s="21"/>
      <c r="ASB97" s="21"/>
      <c r="ASC97" s="21"/>
      <c r="ASD97" s="21"/>
      <c r="ASE97" s="21"/>
      <c r="ASF97" s="21"/>
      <c r="ASG97" s="21"/>
      <c r="ASH97" s="21"/>
      <c r="ASI97" s="21"/>
      <c r="ASJ97" s="21"/>
      <c r="ASK97" s="21"/>
      <c r="ASL97" s="21"/>
      <c r="ASM97" s="21"/>
      <c r="ASN97" s="21"/>
      <c r="ASO97" s="21"/>
      <c r="ASP97" s="21"/>
      <c r="ASQ97" s="21"/>
      <c r="ASR97" s="21"/>
      <c r="ASS97" s="21"/>
      <c r="AST97" s="21"/>
      <c r="ASU97" s="21"/>
      <c r="ASV97" s="21"/>
      <c r="ASW97" s="21"/>
      <c r="ASX97" s="21"/>
      <c r="ASY97" s="21"/>
      <c r="ASZ97" s="21"/>
      <c r="ATA97" s="21"/>
      <c r="ATB97" s="21"/>
      <c r="ATC97" s="21"/>
      <c r="ATD97" s="21"/>
      <c r="ATE97" s="21"/>
      <c r="ATF97" s="21"/>
      <c r="ATG97" s="21"/>
      <c r="ATH97" s="21"/>
      <c r="ATI97" s="21"/>
      <c r="ATJ97" s="21"/>
      <c r="ATK97" s="21"/>
      <c r="ATL97" s="21"/>
      <c r="ATM97" s="21"/>
      <c r="ATN97" s="21"/>
      <c r="ATO97" s="21"/>
      <c r="ATP97" s="21"/>
      <c r="ATQ97" s="21"/>
      <c r="ATR97" s="21"/>
      <c r="ATS97" s="21"/>
      <c r="ATT97" s="21"/>
      <c r="ATU97" s="21"/>
      <c r="ATV97" s="21"/>
      <c r="ATW97" s="21"/>
      <c r="ATX97" s="21"/>
      <c r="ATY97" s="21"/>
      <c r="ATZ97" s="21"/>
      <c r="AUA97" s="21"/>
      <c r="AUB97" s="21"/>
      <c r="AUC97" s="21"/>
      <c r="AUD97" s="21"/>
      <c r="AUE97" s="21"/>
      <c r="AUF97" s="21"/>
      <c r="AUG97" s="21"/>
      <c r="AUH97" s="21"/>
      <c r="AUI97" s="21"/>
      <c r="AUJ97" s="21"/>
      <c r="AUK97" s="21"/>
      <c r="AUL97" s="21"/>
      <c r="AUM97" s="21"/>
      <c r="AUN97" s="21"/>
      <c r="AUO97" s="21"/>
      <c r="AUP97" s="21"/>
      <c r="AUQ97" s="21"/>
      <c r="AUR97" s="21"/>
      <c r="AUS97" s="21"/>
      <c r="AUT97" s="21"/>
      <c r="AUU97" s="21"/>
      <c r="AUV97" s="21"/>
      <c r="AUW97" s="21"/>
      <c r="AUX97" s="21"/>
      <c r="AUY97" s="21"/>
      <c r="AUZ97" s="21"/>
      <c r="AVA97" s="21"/>
      <c r="AVB97" s="21"/>
      <c r="AVC97" s="21"/>
      <c r="AVD97" s="21"/>
      <c r="AVE97" s="21"/>
      <c r="AVF97" s="21"/>
      <c r="AVG97" s="21"/>
      <c r="AVH97" s="21"/>
      <c r="AVI97" s="21"/>
      <c r="AVJ97" s="21"/>
      <c r="AVK97" s="21"/>
      <c r="AVL97" s="21"/>
      <c r="AVM97" s="21"/>
      <c r="AVN97" s="21"/>
      <c r="AVO97" s="21"/>
      <c r="AVP97" s="21"/>
      <c r="AVQ97" s="21"/>
      <c r="AVR97" s="21"/>
      <c r="AVS97" s="21"/>
      <c r="AVT97" s="21"/>
      <c r="AVU97" s="21"/>
      <c r="AVV97" s="21"/>
      <c r="AVW97" s="21"/>
      <c r="AVX97" s="21"/>
      <c r="AVY97" s="21"/>
      <c r="AVZ97" s="21"/>
      <c r="AWA97" s="21"/>
      <c r="AWB97" s="21"/>
      <c r="AWC97" s="21"/>
      <c r="AWD97" s="21"/>
      <c r="AWE97" s="21"/>
      <c r="AWF97" s="21"/>
      <c r="AWG97" s="21"/>
      <c r="AWH97" s="21"/>
      <c r="AWI97" s="21"/>
      <c r="AWJ97" s="21"/>
      <c r="AWK97" s="21"/>
      <c r="AWL97" s="21"/>
      <c r="AWM97" s="21"/>
      <c r="AWN97" s="21"/>
      <c r="AWO97" s="21"/>
      <c r="AWP97" s="21"/>
      <c r="AWQ97" s="21"/>
      <c r="AWR97" s="21"/>
      <c r="AWS97" s="21"/>
      <c r="AWT97" s="21"/>
      <c r="AWU97" s="21"/>
      <c r="AWV97" s="21"/>
      <c r="AWW97" s="21"/>
      <c r="AWX97" s="21"/>
      <c r="AWY97" s="21"/>
      <c r="AWZ97" s="21"/>
      <c r="AXA97" s="21"/>
      <c r="AXB97" s="21"/>
      <c r="AXC97" s="21"/>
      <c r="AXD97" s="21"/>
      <c r="AXE97" s="21"/>
      <c r="AXF97" s="21"/>
      <c r="AXG97" s="21"/>
      <c r="AXH97" s="21"/>
      <c r="AXI97" s="21"/>
      <c r="AXJ97" s="21"/>
      <c r="AXK97" s="21"/>
      <c r="AXL97" s="21"/>
      <c r="AXM97" s="21"/>
      <c r="AXN97" s="21"/>
      <c r="AXO97" s="21"/>
      <c r="AXP97" s="21"/>
      <c r="AXQ97" s="21"/>
      <c r="AXR97" s="21"/>
      <c r="AXS97" s="21"/>
      <c r="AXT97" s="21"/>
      <c r="AXU97" s="21"/>
      <c r="AXV97" s="21"/>
      <c r="AXW97" s="21"/>
      <c r="AXX97" s="21"/>
      <c r="AXY97" s="21"/>
      <c r="AXZ97" s="21"/>
      <c r="AYA97" s="21"/>
      <c r="AYB97" s="21"/>
      <c r="AYC97" s="21"/>
      <c r="AYD97" s="21"/>
      <c r="AYE97" s="21"/>
      <c r="AYF97" s="21"/>
      <c r="AYG97" s="21"/>
      <c r="AYH97" s="21"/>
      <c r="AYI97" s="21"/>
      <c r="AYJ97" s="21"/>
      <c r="AYK97" s="21"/>
      <c r="AYL97" s="21"/>
      <c r="AYM97" s="21"/>
      <c r="AYN97" s="21"/>
      <c r="AYO97" s="21"/>
      <c r="AYP97" s="21"/>
      <c r="AYQ97" s="21"/>
      <c r="AYR97" s="21"/>
      <c r="AYS97" s="21"/>
      <c r="AYT97" s="21"/>
      <c r="AYU97" s="21"/>
      <c r="AYV97" s="21"/>
      <c r="AYW97" s="21"/>
      <c r="AYX97" s="21"/>
      <c r="AYY97" s="21"/>
      <c r="AYZ97" s="21"/>
      <c r="AZA97" s="21"/>
      <c r="AZB97" s="21"/>
      <c r="AZC97" s="21"/>
      <c r="AZD97" s="21"/>
      <c r="AZE97" s="21"/>
      <c r="AZF97" s="21"/>
      <c r="AZG97" s="21"/>
      <c r="AZH97" s="21"/>
      <c r="AZI97" s="21"/>
      <c r="AZJ97" s="21"/>
      <c r="AZK97" s="21"/>
      <c r="AZL97" s="21"/>
      <c r="AZM97" s="21"/>
      <c r="AZN97" s="21"/>
      <c r="AZO97" s="21"/>
      <c r="AZP97" s="21"/>
      <c r="AZQ97" s="21"/>
      <c r="AZR97" s="21"/>
      <c r="AZS97" s="21"/>
      <c r="AZT97" s="21"/>
      <c r="AZU97" s="21"/>
      <c r="AZV97" s="21"/>
      <c r="AZW97" s="21"/>
      <c r="AZX97" s="21"/>
      <c r="AZY97" s="21"/>
      <c r="AZZ97" s="21"/>
      <c r="BAA97" s="21"/>
      <c r="BAB97" s="21"/>
      <c r="BAC97" s="21"/>
      <c r="BAD97" s="21"/>
      <c r="BAE97" s="21"/>
      <c r="BAF97" s="21"/>
      <c r="BAG97" s="21"/>
      <c r="BAH97" s="21"/>
      <c r="BAI97" s="21"/>
      <c r="BAJ97" s="21"/>
      <c r="BAK97" s="21"/>
      <c r="BAL97" s="21"/>
      <c r="BAM97" s="21"/>
      <c r="BAN97" s="21"/>
      <c r="BAO97" s="21"/>
      <c r="BAP97" s="21"/>
      <c r="BAQ97" s="21"/>
      <c r="BAR97" s="21"/>
      <c r="BAS97" s="21"/>
      <c r="BAT97" s="21"/>
      <c r="BAU97" s="21"/>
      <c r="BAV97" s="21"/>
      <c r="BAW97" s="21"/>
      <c r="BAX97" s="21"/>
      <c r="BAY97" s="21"/>
      <c r="BAZ97" s="21"/>
      <c r="BBA97" s="21"/>
      <c r="BBB97" s="21"/>
      <c r="BBC97" s="21"/>
      <c r="BBD97" s="21"/>
      <c r="BBE97" s="21"/>
      <c r="BBF97" s="21"/>
      <c r="BBG97" s="21"/>
      <c r="BBH97" s="21"/>
      <c r="BBI97" s="21"/>
      <c r="BBJ97" s="21"/>
      <c r="BBK97" s="21"/>
      <c r="BBL97" s="21"/>
      <c r="BBM97" s="21"/>
      <c r="BBN97" s="21"/>
      <c r="BBO97" s="21"/>
      <c r="BBP97" s="21"/>
      <c r="BBQ97" s="21"/>
      <c r="BBR97" s="21"/>
      <c r="BBS97" s="21"/>
      <c r="BBT97" s="21"/>
      <c r="BBU97" s="21"/>
      <c r="BBV97" s="21"/>
      <c r="BBW97" s="21"/>
      <c r="BBX97" s="21"/>
      <c r="BBY97" s="21"/>
      <c r="BBZ97" s="21"/>
      <c r="BCA97" s="21"/>
      <c r="BCB97" s="21"/>
      <c r="BCC97" s="21"/>
      <c r="BCD97" s="21"/>
      <c r="BCE97" s="21"/>
      <c r="BCF97" s="21"/>
      <c r="BCG97" s="21"/>
      <c r="BCH97" s="21"/>
      <c r="BCI97" s="21"/>
      <c r="BCJ97" s="21"/>
      <c r="BCK97" s="21"/>
      <c r="BCL97" s="21"/>
      <c r="BCM97" s="21"/>
      <c r="BCN97" s="21"/>
      <c r="BCO97" s="21"/>
      <c r="BCP97" s="21"/>
      <c r="BCQ97" s="21"/>
      <c r="BCR97" s="21"/>
      <c r="BCS97" s="21"/>
      <c r="BCT97" s="21"/>
      <c r="BCU97" s="21"/>
      <c r="BCV97" s="21"/>
      <c r="BCW97" s="21"/>
      <c r="BCX97" s="21"/>
      <c r="BCY97" s="21"/>
      <c r="BCZ97" s="21"/>
      <c r="BDA97" s="21"/>
      <c r="BDB97" s="21"/>
      <c r="BDC97" s="21"/>
      <c r="BDD97" s="21"/>
      <c r="BDE97" s="21"/>
      <c r="BDF97" s="21"/>
      <c r="BDG97" s="21"/>
      <c r="BDH97" s="21"/>
      <c r="BDI97" s="21"/>
      <c r="BDJ97" s="21"/>
      <c r="BDK97" s="21"/>
      <c r="BDL97" s="21"/>
      <c r="BDM97" s="21"/>
      <c r="BDN97" s="21"/>
      <c r="BDO97" s="21"/>
      <c r="BDP97" s="21"/>
      <c r="BDQ97" s="21"/>
      <c r="BDR97" s="21"/>
      <c r="BDS97" s="21"/>
      <c r="BDT97" s="21"/>
      <c r="BDU97" s="21"/>
      <c r="BDV97" s="21"/>
      <c r="BDW97" s="21"/>
      <c r="BDX97" s="21"/>
      <c r="BDY97" s="21"/>
      <c r="BDZ97" s="21"/>
      <c r="BEA97" s="21"/>
      <c r="BEB97" s="21"/>
      <c r="BEC97" s="21"/>
      <c r="BED97" s="21"/>
      <c r="BEE97" s="21"/>
      <c r="BEF97" s="21"/>
      <c r="BEG97" s="21"/>
      <c r="BEH97" s="21"/>
      <c r="BEI97" s="21"/>
      <c r="BEJ97" s="21"/>
      <c r="BEK97" s="21"/>
      <c r="BEL97" s="21"/>
      <c r="BEM97" s="21"/>
      <c r="BEN97" s="21"/>
      <c r="BEO97" s="21"/>
      <c r="BEP97" s="21"/>
      <c r="BEQ97" s="21"/>
      <c r="BER97" s="21"/>
      <c r="BES97" s="21"/>
      <c r="BET97" s="21"/>
      <c r="BEU97" s="21"/>
      <c r="BEV97" s="21"/>
      <c r="BEW97" s="21"/>
      <c r="BEX97" s="21"/>
      <c r="BEY97" s="21"/>
      <c r="BEZ97" s="21"/>
      <c r="BFA97" s="21"/>
      <c r="BFB97" s="21"/>
      <c r="BFC97" s="21"/>
      <c r="BFD97" s="21"/>
      <c r="BFE97" s="21"/>
      <c r="BFF97" s="21"/>
      <c r="BFG97" s="21"/>
      <c r="BFH97" s="21"/>
      <c r="BFI97" s="21"/>
      <c r="BFJ97" s="21"/>
      <c r="BFK97" s="21"/>
      <c r="BFL97" s="21"/>
      <c r="BFM97" s="21"/>
      <c r="BFN97" s="21"/>
      <c r="BFO97" s="21"/>
      <c r="BFP97" s="21"/>
      <c r="BFQ97" s="21"/>
      <c r="BFR97" s="21"/>
      <c r="BFS97" s="21"/>
      <c r="BFT97" s="21"/>
      <c r="BFU97" s="21"/>
      <c r="BFV97" s="21"/>
      <c r="BFW97" s="21"/>
      <c r="BFX97" s="21"/>
      <c r="BFY97" s="21"/>
      <c r="BFZ97" s="21"/>
      <c r="BGA97" s="21"/>
      <c r="BGB97" s="21"/>
      <c r="BGC97" s="21"/>
      <c r="BGD97" s="21"/>
      <c r="BGE97" s="21"/>
      <c r="BGF97" s="21"/>
      <c r="BGG97" s="21"/>
      <c r="BGH97" s="21"/>
      <c r="BGI97" s="21"/>
      <c r="BGJ97" s="21"/>
      <c r="BGK97" s="21"/>
      <c r="BGL97" s="21"/>
      <c r="BGM97" s="21"/>
      <c r="BGN97" s="21"/>
      <c r="BGO97" s="21"/>
      <c r="BGP97" s="21"/>
      <c r="BGQ97" s="21"/>
      <c r="BGR97" s="21"/>
      <c r="BGS97" s="21"/>
      <c r="BGT97" s="21"/>
      <c r="BGU97" s="21"/>
      <c r="BGV97" s="21"/>
      <c r="BGW97" s="21"/>
      <c r="BGX97" s="21"/>
      <c r="BGY97" s="21"/>
      <c r="BGZ97" s="21"/>
      <c r="BHA97" s="21"/>
      <c r="BHB97" s="21"/>
      <c r="BHC97" s="21"/>
      <c r="BHD97" s="21"/>
      <c r="BHE97" s="21"/>
      <c r="BHF97" s="21"/>
      <c r="BHG97" s="21"/>
      <c r="BHH97" s="21"/>
      <c r="BHI97" s="21"/>
      <c r="BHJ97" s="21"/>
      <c r="BHK97" s="21"/>
      <c r="BHL97" s="21"/>
      <c r="BHM97" s="21"/>
      <c r="BHN97" s="21"/>
      <c r="BHO97" s="21"/>
      <c r="BHP97" s="21"/>
      <c r="BHQ97" s="21"/>
      <c r="BHR97" s="21"/>
      <c r="BHS97" s="21"/>
      <c r="BHT97" s="21"/>
      <c r="BHU97" s="21"/>
      <c r="BHV97" s="21"/>
      <c r="BHW97" s="21"/>
      <c r="BHX97" s="21"/>
      <c r="BHY97" s="21"/>
      <c r="BHZ97" s="21"/>
      <c r="BIA97" s="21"/>
      <c r="BIB97" s="21"/>
      <c r="BIC97" s="21"/>
      <c r="BID97" s="21"/>
      <c r="BIE97" s="21"/>
      <c r="BIF97" s="21"/>
      <c r="BIG97" s="21"/>
      <c r="BIH97" s="21"/>
      <c r="BII97" s="21"/>
      <c r="BIJ97" s="21"/>
      <c r="BIK97" s="21"/>
      <c r="BIL97" s="21"/>
      <c r="BIM97" s="21"/>
      <c r="BIN97" s="21"/>
      <c r="BIO97" s="21"/>
      <c r="BIP97" s="21"/>
      <c r="BIQ97" s="21"/>
      <c r="BIR97" s="21"/>
      <c r="BIS97" s="21"/>
      <c r="BIT97" s="21"/>
      <c r="BIU97" s="21"/>
      <c r="BIV97" s="21"/>
      <c r="BIW97" s="21"/>
      <c r="BIX97" s="21"/>
      <c r="BIY97" s="21"/>
      <c r="BIZ97" s="21"/>
      <c r="BJA97" s="21"/>
      <c r="BJB97" s="21"/>
      <c r="BJC97" s="21"/>
      <c r="BJD97" s="21"/>
      <c r="BJE97" s="21"/>
      <c r="BJF97" s="21"/>
      <c r="BJG97" s="21"/>
      <c r="BJH97" s="21"/>
      <c r="BJI97" s="21"/>
      <c r="BJJ97" s="21"/>
      <c r="BJK97" s="21"/>
      <c r="BJL97" s="21"/>
      <c r="BJM97" s="21"/>
      <c r="BJN97" s="21"/>
      <c r="BJO97" s="21"/>
      <c r="BJP97" s="21"/>
      <c r="BJQ97" s="21"/>
      <c r="BJR97" s="21"/>
      <c r="BJS97" s="21"/>
      <c r="BJT97" s="21"/>
      <c r="BJU97" s="21"/>
      <c r="BJV97" s="21"/>
      <c r="BJW97" s="21"/>
      <c r="BJX97" s="21"/>
      <c r="BJY97" s="21"/>
      <c r="BJZ97" s="21"/>
      <c r="BKA97" s="21"/>
      <c r="BKB97" s="21"/>
      <c r="BKC97" s="21"/>
      <c r="BKD97" s="21"/>
      <c r="BKE97" s="21"/>
      <c r="BKF97" s="21"/>
      <c r="BKG97" s="21"/>
      <c r="BKH97" s="21"/>
      <c r="BKI97" s="21"/>
      <c r="BKJ97" s="21"/>
      <c r="BKK97" s="21"/>
      <c r="BKL97" s="21"/>
      <c r="BKM97" s="21"/>
      <c r="BKN97" s="21"/>
      <c r="BKO97" s="21"/>
      <c r="BKP97" s="21"/>
      <c r="BKQ97" s="21"/>
      <c r="BKR97" s="21"/>
      <c r="BKS97" s="21"/>
      <c r="BKT97" s="21"/>
      <c r="BKU97" s="21"/>
      <c r="BKV97" s="21"/>
      <c r="BKW97" s="21"/>
      <c r="BKX97" s="21"/>
      <c r="BKY97" s="21"/>
      <c r="BKZ97" s="21"/>
      <c r="BLA97" s="21"/>
      <c r="BLB97" s="21"/>
      <c r="BLC97" s="21"/>
      <c r="BLD97" s="21"/>
      <c r="BLE97" s="21"/>
      <c r="BLF97" s="21"/>
      <c r="BLG97" s="21"/>
      <c r="BLH97" s="21"/>
      <c r="BLI97" s="21"/>
      <c r="BLJ97" s="21"/>
      <c r="BLK97" s="21"/>
      <c r="BLL97" s="21"/>
      <c r="BLM97" s="21"/>
      <c r="BLN97" s="21"/>
      <c r="BLO97" s="21"/>
      <c r="BLP97" s="21"/>
      <c r="BLQ97" s="21"/>
      <c r="BLR97" s="21"/>
      <c r="BLS97" s="21"/>
      <c r="BLT97" s="21"/>
      <c r="BLU97" s="21"/>
      <c r="BLV97" s="21"/>
      <c r="BLW97" s="21"/>
      <c r="BLX97" s="21"/>
      <c r="BLY97" s="21"/>
      <c r="BLZ97" s="21"/>
      <c r="BMA97" s="21"/>
      <c r="BMB97" s="21"/>
      <c r="BMC97" s="21"/>
      <c r="BMD97" s="21"/>
      <c r="BME97" s="21"/>
      <c r="BMF97" s="21"/>
      <c r="BMG97" s="21"/>
      <c r="BMH97" s="21"/>
      <c r="BMI97" s="21"/>
      <c r="BMJ97" s="21"/>
      <c r="BMK97" s="21"/>
      <c r="BML97" s="21"/>
      <c r="BMM97" s="21"/>
      <c r="BMN97" s="21"/>
      <c r="BMO97" s="21"/>
      <c r="BMP97" s="21"/>
      <c r="BMQ97" s="21"/>
      <c r="BMR97" s="21"/>
      <c r="BMS97" s="21"/>
      <c r="BMT97" s="21"/>
      <c r="BMU97" s="21"/>
      <c r="BMV97" s="21"/>
      <c r="BMW97" s="21"/>
      <c r="BMX97" s="21"/>
      <c r="BMY97" s="21"/>
      <c r="BMZ97" s="21"/>
      <c r="BNA97" s="21"/>
      <c r="BNB97" s="21"/>
      <c r="BNC97" s="21"/>
      <c r="BND97" s="21"/>
      <c r="BNE97" s="21"/>
      <c r="BNF97" s="21"/>
      <c r="BNG97" s="21"/>
      <c r="BNH97" s="21"/>
      <c r="BNI97" s="21"/>
      <c r="BNJ97" s="21"/>
      <c r="BNK97" s="21"/>
      <c r="BNL97" s="21"/>
      <c r="BNM97" s="21"/>
      <c r="BNN97" s="21"/>
      <c r="BNO97" s="21"/>
      <c r="BNP97" s="21"/>
      <c r="BNQ97" s="21"/>
      <c r="BNR97" s="21"/>
      <c r="BNS97" s="21"/>
      <c r="BNT97" s="21"/>
      <c r="BNU97" s="21"/>
      <c r="BNV97" s="21"/>
      <c r="BNW97" s="21"/>
      <c r="BNX97" s="21"/>
      <c r="BNY97" s="21"/>
      <c r="BNZ97" s="21"/>
      <c r="BOA97" s="21"/>
      <c r="BOB97" s="21"/>
      <c r="BOC97" s="21"/>
      <c r="BOD97" s="21"/>
      <c r="BOE97" s="21"/>
      <c r="BOF97" s="21"/>
      <c r="BOG97" s="21"/>
      <c r="BOH97" s="21"/>
      <c r="BOI97" s="21"/>
      <c r="BOJ97" s="21"/>
      <c r="BOK97" s="21"/>
      <c r="BOL97" s="21"/>
      <c r="BOM97" s="21"/>
      <c r="BON97" s="21"/>
      <c r="BOO97" s="21"/>
      <c r="BOP97" s="21"/>
      <c r="BOQ97" s="21"/>
      <c r="BOR97" s="21"/>
      <c r="BOS97" s="21"/>
      <c r="BOT97" s="21"/>
      <c r="BOU97" s="21"/>
      <c r="BOV97" s="21"/>
      <c r="BOW97" s="21"/>
      <c r="BOX97" s="21"/>
      <c r="BOY97" s="21"/>
      <c r="BOZ97" s="21"/>
      <c r="BPA97" s="21"/>
      <c r="BPB97" s="21"/>
      <c r="BPC97" s="21"/>
      <c r="BPD97" s="21"/>
      <c r="BPE97" s="21"/>
      <c r="BPF97" s="21"/>
      <c r="BPG97" s="21"/>
      <c r="BPH97" s="21"/>
      <c r="BPI97" s="21"/>
      <c r="BPJ97" s="21"/>
      <c r="BPK97" s="21"/>
      <c r="BPL97" s="21"/>
      <c r="BPM97" s="21"/>
      <c r="BPN97" s="21"/>
      <c r="BPO97" s="21"/>
      <c r="BPP97" s="21"/>
      <c r="BPQ97" s="21"/>
      <c r="BPR97" s="21"/>
      <c r="BPS97" s="21"/>
      <c r="BPT97" s="21"/>
      <c r="BPU97" s="21"/>
      <c r="BPV97" s="21"/>
      <c r="BPW97" s="21"/>
      <c r="BPX97" s="21"/>
      <c r="BPY97" s="21"/>
      <c r="BPZ97" s="21"/>
      <c r="BQA97" s="21"/>
      <c r="BQB97" s="21"/>
      <c r="BQC97" s="21"/>
      <c r="BQD97" s="21"/>
      <c r="BQE97" s="21"/>
      <c r="BQF97" s="21"/>
      <c r="BQG97" s="21"/>
      <c r="BQH97" s="21"/>
      <c r="BQI97" s="21"/>
      <c r="BQJ97" s="21"/>
      <c r="BQK97" s="21"/>
      <c r="BQL97" s="21"/>
      <c r="BQM97" s="21"/>
      <c r="BQN97" s="21"/>
      <c r="BQO97" s="21"/>
      <c r="BQP97" s="21"/>
      <c r="BQQ97" s="21"/>
      <c r="BQR97" s="21"/>
      <c r="BQS97" s="21"/>
      <c r="BQT97" s="21"/>
      <c r="BQU97" s="21"/>
      <c r="BQV97" s="21"/>
      <c r="BQW97" s="21"/>
      <c r="BQX97" s="21"/>
      <c r="BQY97" s="21"/>
      <c r="BQZ97" s="21"/>
      <c r="BRA97" s="21"/>
      <c r="BRB97" s="21"/>
      <c r="BRC97" s="21"/>
      <c r="BRD97" s="21"/>
      <c r="BRE97" s="21"/>
      <c r="BRF97" s="21"/>
      <c r="BRG97" s="21"/>
      <c r="BRH97" s="21"/>
      <c r="BRI97" s="21"/>
      <c r="BRJ97" s="21"/>
      <c r="BRK97" s="21"/>
      <c r="BRL97" s="21"/>
      <c r="BRM97" s="21"/>
      <c r="BRN97" s="21"/>
      <c r="BRO97" s="21"/>
      <c r="BRP97" s="21"/>
      <c r="BRQ97" s="21"/>
      <c r="BRR97" s="21"/>
      <c r="BRS97" s="21"/>
      <c r="BRT97" s="21"/>
      <c r="BRU97" s="21"/>
      <c r="BRV97" s="21"/>
      <c r="BRW97" s="21"/>
      <c r="BRX97" s="21"/>
      <c r="BRY97" s="21"/>
      <c r="BRZ97" s="21"/>
      <c r="BSA97" s="21"/>
      <c r="BSB97" s="21"/>
      <c r="BSC97" s="21"/>
      <c r="BSD97" s="21"/>
      <c r="BSE97" s="21"/>
      <c r="BSF97" s="21"/>
      <c r="BSG97" s="21"/>
      <c r="BSH97" s="21"/>
      <c r="BSI97" s="21"/>
      <c r="BSJ97" s="21"/>
      <c r="BSK97" s="21"/>
      <c r="BSL97" s="21"/>
      <c r="BSM97" s="21"/>
      <c r="BSN97" s="21"/>
      <c r="BSO97" s="21"/>
      <c r="BSP97" s="21"/>
      <c r="BSQ97" s="21"/>
      <c r="BSR97" s="21"/>
      <c r="BSS97" s="21"/>
      <c r="BST97" s="21"/>
      <c r="BSU97" s="21"/>
      <c r="BSV97" s="21"/>
      <c r="BSW97" s="21"/>
      <c r="BSX97" s="21"/>
      <c r="BSY97" s="21"/>
      <c r="BSZ97" s="21"/>
      <c r="BTA97" s="21"/>
      <c r="BTB97" s="21"/>
      <c r="BTC97" s="21"/>
      <c r="BTD97" s="21"/>
      <c r="BTE97" s="21"/>
      <c r="BTF97" s="21"/>
      <c r="BTG97" s="21"/>
      <c r="BTH97" s="21"/>
      <c r="BTI97" s="21"/>
      <c r="BTJ97" s="21"/>
      <c r="BTK97" s="21"/>
      <c r="BTL97" s="21"/>
      <c r="BTM97" s="21"/>
      <c r="BTN97" s="21"/>
      <c r="BTO97" s="21"/>
      <c r="BTP97" s="21"/>
      <c r="BTQ97" s="21"/>
      <c r="BTR97" s="21"/>
      <c r="BTS97" s="21"/>
      <c r="BTT97" s="21"/>
      <c r="BTU97" s="21"/>
      <c r="BTV97" s="21"/>
      <c r="BTW97" s="21"/>
      <c r="BTX97" s="21"/>
      <c r="BTY97" s="21"/>
      <c r="BTZ97" s="21"/>
      <c r="BUA97" s="21"/>
      <c r="BUB97" s="21"/>
      <c r="BUC97" s="21"/>
      <c r="BUD97" s="21"/>
      <c r="BUE97" s="21"/>
      <c r="BUF97" s="21"/>
      <c r="BUG97" s="21"/>
      <c r="BUH97" s="21"/>
      <c r="BUI97" s="21"/>
      <c r="BUJ97" s="21"/>
      <c r="BUK97" s="21"/>
      <c r="BUL97" s="21"/>
      <c r="BUM97" s="21"/>
      <c r="BUN97" s="21"/>
      <c r="BUO97" s="21"/>
      <c r="BUP97" s="21"/>
      <c r="BUQ97" s="21"/>
      <c r="BUR97" s="21"/>
      <c r="BUS97" s="21"/>
      <c r="BUT97" s="21"/>
      <c r="BUU97" s="21"/>
      <c r="BUV97" s="21"/>
      <c r="BUW97" s="21"/>
      <c r="BUX97" s="21"/>
      <c r="BUY97" s="21"/>
      <c r="BUZ97" s="21"/>
      <c r="BVA97" s="21"/>
      <c r="BVB97" s="21"/>
      <c r="BVC97" s="21"/>
      <c r="BVD97" s="21"/>
      <c r="BVE97" s="21"/>
      <c r="BVF97" s="21"/>
      <c r="BVG97" s="21"/>
      <c r="BVH97" s="21"/>
      <c r="BVI97" s="21"/>
      <c r="BVJ97" s="21"/>
      <c r="BVK97" s="21"/>
      <c r="BVL97" s="21"/>
      <c r="BVM97" s="21"/>
      <c r="BVN97" s="21"/>
      <c r="BVO97" s="21"/>
      <c r="BVP97" s="21"/>
      <c r="BVQ97" s="21"/>
      <c r="BVR97" s="21"/>
      <c r="BVS97" s="21"/>
      <c r="BVT97" s="21"/>
      <c r="BVU97" s="21"/>
      <c r="BVV97" s="21"/>
      <c r="BVW97" s="21"/>
      <c r="BVX97" s="21"/>
      <c r="BVY97" s="21"/>
      <c r="BVZ97" s="21"/>
      <c r="BWA97" s="21"/>
      <c r="BWB97" s="21"/>
      <c r="BWC97" s="21"/>
      <c r="BWD97" s="21"/>
      <c r="BWE97" s="21"/>
      <c r="BWF97" s="21"/>
      <c r="BWG97" s="21"/>
      <c r="BWH97" s="21"/>
      <c r="BWI97" s="21"/>
      <c r="BWJ97" s="21"/>
      <c r="BWK97" s="21"/>
      <c r="BWL97" s="21"/>
      <c r="BWM97" s="21"/>
      <c r="BWN97" s="21"/>
      <c r="BWO97" s="21"/>
      <c r="BWP97" s="21"/>
      <c r="BWQ97" s="21"/>
      <c r="BWR97" s="21"/>
      <c r="BWS97" s="21"/>
      <c r="BWT97" s="21"/>
      <c r="BWU97" s="21"/>
      <c r="BWV97" s="21"/>
      <c r="BWW97" s="21"/>
      <c r="BWX97" s="21"/>
      <c r="BWY97" s="21"/>
      <c r="BWZ97" s="21"/>
      <c r="BXA97" s="21"/>
      <c r="BXB97" s="21"/>
      <c r="BXC97" s="21"/>
      <c r="BXD97" s="21"/>
      <c r="BXE97" s="21"/>
      <c r="BXF97" s="21"/>
      <c r="BXG97" s="21"/>
      <c r="BXH97" s="21"/>
      <c r="BXI97" s="21"/>
      <c r="BXJ97" s="21"/>
      <c r="BXK97" s="21"/>
      <c r="BXL97" s="21"/>
      <c r="BXM97" s="21"/>
      <c r="BXN97" s="21"/>
      <c r="BXO97" s="21"/>
      <c r="BXP97" s="21"/>
      <c r="BXQ97" s="21"/>
      <c r="BXR97" s="21"/>
      <c r="BXS97" s="21"/>
      <c r="BXT97" s="21"/>
      <c r="BXU97" s="21"/>
      <c r="BXV97" s="21"/>
      <c r="BXW97" s="21"/>
      <c r="BXX97" s="21"/>
      <c r="BXY97" s="21"/>
      <c r="BXZ97" s="21"/>
      <c r="BYA97" s="21"/>
      <c r="BYB97" s="21"/>
      <c r="BYC97" s="21"/>
      <c r="BYD97" s="21"/>
      <c r="BYE97" s="21"/>
      <c r="BYF97" s="21"/>
      <c r="BYG97" s="21"/>
      <c r="BYH97" s="21"/>
      <c r="BYI97" s="21"/>
      <c r="BYJ97" s="21"/>
      <c r="BYK97" s="21"/>
      <c r="BYL97" s="21"/>
      <c r="BYM97" s="21"/>
      <c r="BYN97" s="21"/>
      <c r="BYO97" s="21"/>
      <c r="BYP97" s="21"/>
      <c r="BYQ97" s="21"/>
      <c r="BYR97" s="21"/>
      <c r="BYS97" s="21"/>
      <c r="BYT97" s="21"/>
      <c r="BYU97" s="21"/>
      <c r="BYV97" s="21"/>
      <c r="BYW97" s="21"/>
      <c r="BYX97" s="21"/>
      <c r="BYY97" s="21"/>
      <c r="BYZ97" s="21"/>
      <c r="BZA97" s="21"/>
      <c r="BZB97" s="21"/>
      <c r="BZC97" s="21"/>
      <c r="BZD97" s="21"/>
      <c r="BZE97" s="21"/>
      <c r="BZF97" s="21"/>
      <c r="BZG97" s="21"/>
      <c r="BZH97" s="21"/>
      <c r="BZI97" s="21"/>
      <c r="BZJ97" s="21"/>
      <c r="BZK97" s="21"/>
      <c r="BZL97" s="21"/>
      <c r="BZM97" s="21"/>
      <c r="BZN97" s="21"/>
      <c r="BZO97" s="21"/>
      <c r="BZP97" s="21"/>
      <c r="BZQ97" s="21"/>
      <c r="BZR97" s="21"/>
      <c r="BZS97" s="21"/>
      <c r="BZT97" s="21"/>
      <c r="BZU97" s="21"/>
      <c r="BZV97" s="21"/>
      <c r="BZW97" s="21"/>
      <c r="BZX97" s="21"/>
      <c r="BZY97" s="21"/>
      <c r="BZZ97" s="21"/>
      <c r="CAA97" s="21"/>
      <c r="CAB97" s="21"/>
      <c r="CAC97" s="21"/>
      <c r="CAD97" s="21"/>
      <c r="CAE97" s="21"/>
      <c r="CAF97" s="21"/>
      <c r="CAG97" s="21"/>
      <c r="CAH97" s="21"/>
      <c r="CAI97" s="21"/>
      <c r="CAJ97" s="21"/>
      <c r="CAK97" s="21"/>
      <c r="CAL97" s="21"/>
      <c r="CAM97" s="21"/>
      <c r="CAN97" s="21"/>
      <c r="CAO97" s="21"/>
      <c r="CAP97" s="21"/>
      <c r="CAQ97" s="21"/>
      <c r="CAR97" s="21"/>
      <c r="CAS97" s="21"/>
      <c r="CAT97" s="21"/>
      <c r="CAU97" s="21"/>
      <c r="CAV97" s="21"/>
      <c r="CAW97" s="21"/>
      <c r="CAX97" s="21"/>
      <c r="CAY97" s="21"/>
      <c r="CAZ97" s="21"/>
      <c r="CBA97" s="21"/>
      <c r="CBB97" s="21"/>
      <c r="CBC97" s="21"/>
      <c r="CBD97" s="21"/>
      <c r="CBE97" s="21"/>
      <c r="CBF97" s="21"/>
      <c r="CBG97" s="21"/>
      <c r="CBH97" s="21"/>
      <c r="CBI97" s="21"/>
      <c r="CBJ97" s="21"/>
      <c r="CBK97" s="21"/>
      <c r="CBL97" s="21"/>
      <c r="CBM97" s="21"/>
      <c r="CBN97" s="21"/>
      <c r="CBO97" s="21"/>
      <c r="CBP97" s="21"/>
      <c r="CBQ97" s="21"/>
      <c r="CBR97" s="21"/>
      <c r="CBS97" s="21"/>
      <c r="CBT97" s="21"/>
      <c r="CBU97" s="21"/>
      <c r="CBV97" s="21"/>
      <c r="CBW97" s="21"/>
      <c r="CBX97" s="21"/>
      <c r="CBY97" s="21"/>
      <c r="CBZ97" s="21"/>
      <c r="CCA97" s="21"/>
      <c r="CCB97" s="21"/>
      <c r="CCC97" s="21"/>
      <c r="CCD97" s="21"/>
      <c r="CCE97" s="21"/>
      <c r="CCF97" s="21"/>
      <c r="CCG97" s="21"/>
      <c r="CCH97" s="21"/>
      <c r="CCI97" s="21"/>
      <c r="CCJ97" s="21"/>
      <c r="CCK97" s="21"/>
      <c r="CCL97" s="21"/>
      <c r="CCM97" s="21"/>
      <c r="CCN97" s="21"/>
      <c r="CCO97" s="21"/>
      <c r="CCP97" s="21"/>
      <c r="CCQ97" s="21"/>
      <c r="CCR97" s="21"/>
      <c r="CCS97" s="21"/>
      <c r="CCT97" s="21"/>
      <c r="CCU97" s="21"/>
      <c r="CCV97" s="21"/>
      <c r="CCW97" s="21"/>
      <c r="CCX97" s="21"/>
      <c r="CCY97" s="21"/>
      <c r="CCZ97" s="21"/>
      <c r="CDA97" s="21"/>
      <c r="CDB97" s="21"/>
      <c r="CDC97" s="21"/>
      <c r="CDD97" s="21"/>
      <c r="CDE97" s="21"/>
      <c r="CDF97" s="21"/>
      <c r="CDG97" s="21"/>
      <c r="CDH97" s="21"/>
      <c r="CDI97" s="21"/>
      <c r="CDJ97" s="21"/>
      <c r="CDK97" s="21"/>
      <c r="CDL97" s="21"/>
      <c r="CDM97" s="21"/>
      <c r="CDN97" s="21"/>
      <c r="CDO97" s="21"/>
      <c r="CDP97" s="21"/>
      <c r="CDQ97" s="21"/>
      <c r="CDR97" s="21"/>
      <c r="CDS97" s="21"/>
      <c r="CDT97" s="21"/>
      <c r="CDU97" s="21"/>
      <c r="CDV97" s="21"/>
      <c r="CDW97" s="21"/>
      <c r="CDX97" s="21"/>
      <c r="CDY97" s="21"/>
      <c r="CDZ97" s="21"/>
      <c r="CEA97" s="21"/>
      <c r="CEB97" s="21"/>
      <c r="CEC97" s="21"/>
      <c r="CED97" s="21"/>
      <c r="CEE97" s="21"/>
      <c r="CEF97" s="21"/>
      <c r="CEG97" s="21"/>
      <c r="CEH97" s="21"/>
      <c r="CEI97" s="21"/>
      <c r="CEJ97" s="21"/>
      <c r="CEK97" s="21"/>
      <c r="CEL97" s="21"/>
      <c r="CEM97" s="21"/>
      <c r="CEN97" s="21"/>
      <c r="CEO97" s="21"/>
      <c r="CEP97" s="21"/>
      <c r="CEQ97" s="21"/>
      <c r="CER97" s="21"/>
      <c r="CES97" s="21"/>
      <c r="CET97" s="21"/>
      <c r="CEU97" s="21"/>
      <c r="CEV97" s="21"/>
      <c r="CEW97" s="21"/>
      <c r="CEX97" s="21"/>
      <c r="CEY97" s="21"/>
      <c r="CEZ97" s="21"/>
      <c r="CFA97" s="21"/>
      <c r="CFB97" s="21"/>
      <c r="CFC97" s="21"/>
      <c r="CFD97" s="21"/>
      <c r="CFE97" s="21"/>
      <c r="CFF97" s="21"/>
      <c r="CFG97" s="21"/>
      <c r="CFH97" s="21"/>
      <c r="CFI97" s="21"/>
      <c r="CFJ97" s="21"/>
      <c r="CFK97" s="21"/>
      <c r="CFL97" s="21"/>
      <c r="CFM97" s="21"/>
      <c r="CFN97" s="21"/>
      <c r="CFO97" s="21"/>
      <c r="CFP97" s="21"/>
      <c r="CFQ97" s="21"/>
      <c r="CFR97" s="21"/>
      <c r="CFS97" s="21"/>
      <c r="CFT97" s="21"/>
      <c r="CFU97" s="21"/>
      <c r="CFV97" s="21"/>
      <c r="CFW97" s="21"/>
      <c r="CFX97" s="21"/>
      <c r="CFY97" s="21"/>
      <c r="CFZ97" s="21"/>
      <c r="CGA97" s="21"/>
      <c r="CGB97" s="21"/>
      <c r="CGC97" s="21"/>
      <c r="CGD97" s="21"/>
      <c r="CGE97" s="21"/>
      <c r="CGF97" s="21"/>
      <c r="CGG97" s="21"/>
      <c r="CGH97" s="21"/>
      <c r="CGI97" s="21"/>
      <c r="CGJ97" s="21"/>
      <c r="CGK97" s="21"/>
      <c r="CGL97" s="21"/>
      <c r="CGM97" s="21"/>
      <c r="CGN97" s="21"/>
      <c r="CGO97" s="21"/>
      <c r="CGP97" s="21"/>
      <c r="CGQ97" s="21"/>
      <c r="CGR97" s="21"/>
      <c r="CGS97" s="21"/>
      <c r="CGT97" s="21"/>
      <c r="CGU97" s="21"/>
      <c r="CGV97" s="21"/>
      <c r="CGW97" s="21"/>
      <c r="CGX97" s="21"/>
      <c r="CGY97" s="21"/>
      <c r="CGZ97" s="21"/>
      <c r="CHA97" s="21"/>
      <c r="CHB97" s="21"/>
      <c r="CHC97" s="21"/>
      <c r="CHD97" s="21"/>
      <c r="CHE97" s="21"/>
      <c r="CHF97" s="21"/>
      <c r="CHG97" s="21"/>
      <c r="CHH97" s="21"/>
      <c r="CHI97" s="21"/>
      <c r="CHJ97" s="21"/>
      <c r="CHK97" s="21"/>
      <c r="CHL97" s="21"/>
      <c r="CHM97" s="21"/>
      <c r="CHN97" s="21"/>
      <c r="CHO97" s="21"/>
      <c r="CHP97" s="21"/>
      <c r="CHQ97" s="21"/>
      <c r="CHR97" s="21"/>
      <c r="CHS97" s="21"/>
      <c r="CHT97" s="21"/>
      <c r="CHU97" s="21"/>
      <c r="CHV97" s="21"/>
      <c r="CHW97" s="21"/>
      <c r="CHX97" s="21"/>
      <c r="CHY97" s="21"/>
      <c r="CHZ97" s="21"/>
      <c r="CIA97" s="21"/>
      <c r="CIB97" s="21"/>
      <c r="CIC97" s="21"/>
      <c r="CID97" s="21"/>
      <c r="CIE97" s="21"/>
      <c r="CIF97" s="21"/>
      <c r="CIG97" s="21"/>
      <c r="CIH97" s="21"/>
      <c r="CII97" s="21"/>
      <c r="CIJ97" s="21"/>
      <c r="CIK97" s="21"/>
      <c r="CIL97" s="21"/>
      <c r="CIM97" s="21"/>
      <c r="CIN97" s="21"/>
      <c r="CIO97" s="21"/>
      <c r="CIP97" s="21"/>
      <c r="CIQ97" s="21"/>
      <c r="CIR97" s="21"/>
      <c r="CIS97" s="21"/>
      <c r="CIT97" s="21"/>
      <c r="CIU97" s="21"/>
      <c r="CIV97" s="21"/>
      <c r="CIW97" s="21"/>
      <c r="CIX97" s="21"/>
      <c r="CIY97" s="21"/>
      <c r="CIZ97" s="21"/>
      <c r="CJA97" s="21"/>
      <c r="CJB97" s="21"/>
      <c r="CJC97" s="21"/>
      <c r="CJD97" s="21"/>
      <c r="CJE97" s="21"/>
      <c r="CJF97" s="21"/>
      <c r="CJG97" s="21"/>
      <c r="CJH97" s="21"/>
      <c r="CJI97" s="21"/>
      <c r="CJJ97" s="21"/>
      <c r="CJK97" s="21"/>
      <c r="CJL97" s="21"/>
      <c r="CJM97" s="21"/>
      <c r="CJN97" s="21"/>
      <c r="CJO97" s="21"/>
      <c r="CJP97" s="21"/>
      <c r="CJQ97" s="21"/>
      <c r="CJR97" s="21"/>
      <c r="CJS97" s="21"/>
      <c r="CJT97" s="21"/>
      <c r="CJU97" s="21"/>
      <c r="CJV97" s="21"/>
      <c r="CJW97" s="21"/>
      <c r="CJX97" s="21"/>
      <c r="CJY97" s="21"/>
      <c r="CJZ97" s="21"/>
      <c r="CKA97" s="21"/>
      <c r="CKB97" s="21"/>
      <c r="CKC97" s="21"/>
      <c r="CKD97" s="21"/>
      <c r="CKE97" s="21"/>
      <c r="CKF97" s="21"/>
      <c r="CKG97" s="21"/>
      <c r="CKH97" s="21"/>
      <c r="CKI97" s="21"/>
      <c r="CKJ97" s="21"/>
      <c r="CKK97" s="21"/>
      <c r="CKL97" s="21"/>
      <c r="CKM97" s="21"/>
      <c r="CKN97" s="21"/>
      <c r="CKO97" s="21"/>
      <c r="CKP97" s="21"/>
      <c r="CKQ97" s="21"/>
      <c r="CKR97" s="21"/>
      <c r="CKS97" s="21"/>
      <c r="CKT97" s="21"/>
      <c r="CKU97" s="21"/>
      <c r="CKV97" s="21"/>
      <c r="CKW97" s="21"/>
      <c r="CKX97" s="21"/>
      <c r="CKY97" s="21"/>
      <c r="CKZ97" s="21"/>
      <c r="CLA97" s="21"/>
      <c r="CLB97" s="21"/>
      <c r="CLC97" s="21"/>
      <c r="CLD97" s="21"/>
      <c r="CLE97" s="21"/>
      <c r="CLF97" s="21"/>
      <c r="CLG97" s="21"/>
      <c r="CLH97" s="21"/>
      <c r="CLI97" s="21"/>
      <c r="CLJ97" s="21"/>
      <c r="CLK97" s="21"/>
      <c r="CLL97" s="21"/>
      <c r="CLM97" s="21"/>
      <c r="CLN97" s="21"/>
      <c r="CLO97" s="21"/>
      <c r="CLP97" s="21"/>
      <c r="CLQ97" s="21"/>
      <c r="CLR97" s="21"/>
      <c r="CLS97" s="21"/>
      <c r="CLT97" s="21"/>
      <c r="CLU97" s="21"/>
      <c r="CLV97" s="21"/>
      <c r="CLW97" s="21"/>
      <c r="CLX97" s="21"/>
      <c r="CLY97" s="21"/>
      <c r="CLZ97" s="21"/>
      <c r="CMA97" s="21"/>
      <c r="CMB97" s="21"/>
      <c r="CMC97" s="21"/>
      <c r="CMD97" s="21"/>
      <c r="CME97" s="21"/>
      <c r="CMF97" s="21"/>
      <c r="CMG97" s="21"/>
      <c r="CMH97" s="21"/>
      <c r="CMI97" s="21"/>
      <c r="CMJ97" s="21"/>
      <c r="CMK97" s="21"/>
      <c r="CML97" s="21"/>
      <c r="CMM97" s="21"/>
      <c r="CMN97" s="21"/>
      <c r="CMO97" s="21"/>
      <c r="CMP97" s="21"/>
      <c r="CMQ97" s="21"/>
      <c r="CMR97" s="21"/>
      <c r="CMS97" s="21"/>
      <c r="CMT97" s="21"/>
      <c r="CMU97" s="21"/>
      <c r="CMV97" s="21"/>
      <c r="CMW97" s="21"/>
      <c r="CMX97" s="21"/>
      <c r="CMY97" s="21"/>
      <c r="CMZ97" s="21"/>
      <c r="CNA97" s="21"/>
      <c r="CNB97" s="21"/>
      <c r="CNC97" s="21"/>
      <c r="CND97" s="21"/>
      <c r="CNE97" s="21"/>
      <c r="CNF97" s="21"/>
      <c r="CNG97" s="21"/>
      <c r="CNH97" s="21"/>
      <c r="CNI97" s="21"/>
      <c r="CNJ97" s="21"/>
      <c r="CNK97" s="21"/>
      <c r="CNL97" s="21"/>
      <c r="CNM97" s="21"/>
      <c r="CNN97" s="21"/>
      <c r="CNO97" s="21"/>
      <c r="CNP97" s="21"/>
      <c r="CNQ97" s="21"/>
      <c r="CNR97" s="21"/>
      <c r="CNS97" s="21"/>
      <c r="CNT97" s="21"/>
      <c r="CNU97" s="21"/>
      <c r="CNV97" s="21"/>
      <c r="CNW97" s="21"/>
      <c r="CNX97" s="21"/>
      <c r="CNY97" s="21"/>
      <c r="CNZ97" s="21"/>
      <c r="COA97" s="21"/>
      <c r="COB97" s="21"/>
      <c r="COC97" s="21"/>
      <c r="COD97" s="21"/>
      <c r="COE97" s="21"/>
      <c r="COF97" s="21"/>
      <c r="COG97" s="21"/>
      <c r="COH97" s="21"/>
      <c r="COI97" s="21"/>
      <c r="COJ97" s="21"/>
      <c r="COK97" s="21"/>
      <c r="COL97" s="21"/>
      <c r="COM97" s="21"/>
      <c r="CON97" s="21"/>
      <c r="COO97" s="21"/>
      <c r="COP97" s="21"/>
      <c r="COQ97" s="21"/>
      <c r="COR97" s="21"/>
      <c r="COS97" s="21"/>
      <c r="COT97" s="21"/>
      <c r="COU97" s="21"/>
      <c r="COV97" s="21"/>
      <c r="COW97" s="21"/>
      <c r="COX97" s="21"/>
      <c r="COY97" s="21"/>
      <c r="COZ97" s="21"/>
      <c r="CPA97" s="21"/>
      <c r="CPB97" s="21"/>
      <c r="CPC97" s="21"/>
      <c r="CPD97" s="21"/>
      <c r="CPE97" s="21"/>
      <c r="CPF97" s="21"/>
      <c r="CPG97" s="21"/>
      <c r="CPH97" s="21"/>
      <c r="CPI97" s="21"/>
      <c r="CPJ97" s="21"/>
      <c r="CPK97" s="21"/>
      <c r="CPL97" s="21"/>
      <c r="CPM97" s="21"/>
      <c r="CPN97" s="21"/>
      <c r="CPO97" s="21"/>
      <c r="CPP97" s="21"/>
      <c r="CPQ97" s="21"/>
      <c r="CPR97" s="21"/>
      <c r="CPS97" s="21"/>
      <c r="CPT97" s="21"/>
      <c r="CPU97" s="21"/>
      <c r="CPV97" s="21"/>
      <c r="CPW97" s="21"/>
      <c r="CPX97" s="21"/>
      <c r="CPY97" s="21"/>
      <c r="CPZ97" s="21"/>
      <c r="CQA97" s="21"/>
      <c r="CQB97" s="21"/>
      <c r="CQC97" s="21"/>
      <c r="CQD97" s="21"/>
      <c r="CQE97" s="21"/>
      <c r="CQF97" s="21"/>
      <c r="CQG97" s="21"/>
      <c r="CQH97" s="21"/>
      <c r="CQI97" s="21"/>
      <c r="CQJ97" s="21"/>
      <c r="CQK97" s="21"/>
      <c r="CQL97" s="21"/>
      <c r="CQM97" s="21"/>
      <c r="CQN97" s="21"/>
      <c r="CQO97" s="21"/>
      <c r="CQP97" s="21"/>
      <c r="CQQ97" s="21"/>
      <c r="CQR97" s="21"/>
      <c r="CQS97" s="21"/>
      <c r="CQT97" s="21"/>
      <c r="CQU97" s="21"/>
      <c r="CQV97" s="21"/>
      <c r="CQW97" s="21"/>
      <c r="CQX97" s="21"/>
      <c r="CQY97" s="21"/>
      <c r="CQZ97" s="21"/>
      <c r="CRA97" s="21"/>
      <c r="CRB97" s="21"/>
      <c r="CRC97" s="21"/>
      <c r="CRD97" s="21"/>
      <c r="CRE97" s="21"/>
      <c r="CRF97" s="21"/>
      <c r="CRG97" s="21"/>
      <c r="CRH97" s="21"/>
      <c r="CRI97" s="21"/>
      <c r="CRJ97" s="21"/>
      <c r="CRK97" s="21"/>
      <c r="CRL97" s="21"/>
      <c r="CRM97" s="21"/>
      <c r="CRN97" s="21"/>
      <c r="CRO97" s="21"/>
      <c r="CRP97" s="21"/>
      <c r="CRQ97" s="21"/>
      <c r="CRR97" s="21"/>
      <c r="CRS97" s="21"/>
      <c r="CRT97" s="21"/>
      <c r="CRU97" s="21"/>
      <c r="CRV97" s="21"/>
      <c r="CRW97" s="21"/>
      <c r="CRX97" s="21"/>
      <c r="CRY97" s="21"/>
      <c r="CRZ97" s="21"/>
      <c r="CSA97" s="21"/>
      <c r="CSB97" s="21"/>
      <c r="CSC97" s="21"/>
      <c r="CSD97" s="21"/>
      <c r="CSE97" s="21"/>
      <c r="CSF97" s="21"/>
      <c r="CSG97" s="21"/>
      <c r="CSH97" s="21"/>
      <c r="CSI97" s="21"/>
      <c r="CSJ97" s="21"/>
      <c r="CSK97" s="21"/>
      <c r="CSL97" s="21"/>
      <c r="CSM97" s="21"/>
      <c r="CSN97" s="21"/>
      <c r="CSO97" s="21"/>
      <c r="CSP97" s="21"/>
      <c r="CSQ97" s="21"/>
      <c r="CSR97" s="21"/>
      <c r="CSS97" s="21"/>
      <c r="CST97" s="21"/>
      <c r="CSU97" s="21"/>
      <c r="CSV97" s="21"/>
      <c r="CSW97" s="21"/>
      <c r="CSX97" s="21"/>
      <c r="CSY97" s="21"/>
      <c r="CSZ97" s="21"/>
      <c r="CTA97" s="21"/>
      <c r="CTB97" s="21"/>
      <c r="CTC97" s="21"/>
      <c r="CTD97" s="21"/>
      <c r="CTE97" s="21"/>
      <c r="CTF97" s="21"/>
      <c r="CTG97" s="21"/>
      <c r="CTH97" s="21"/>
      <c r="CTI97" s="21"/>
      <c r="CTJ97" s="21"/>
      <c r="CTK97" s="21"/>
      <c r="CTL97" s="21"/>
      <c r="CTM97" s="21"/>
      <c r="CTN97" s="21"/>
      <c r="CTO97" s="21"/>
      <c r="CTP97" s="21"/>
      <c r="CTQ97" s="21"/>
      <c r="CTR97" s="21"/>
      <c r="CTS97" s="21"/>
      <c r="CTT97" s="21"/>
      <c r="CTU97" s="21"/>
      <c r="CTV97" s="21"/>
      <c r="CTW97" s="21"/>
      <c r="CTX97" s="21"/>
      <c r="CTY97" s="21"/>
      <c r="CTZ97" s="21"/>
      <c r="CUA97" s="21"/>
      <c r="CUB97" s="21"/>
      <c r="CUC97" s="21"/>
      <c r="CUD97" s="21"/>
      <c r="CUE97" s="21"/>
      <c r="CUF97" s="21"/>
      <c r="CUG97" s="21"/>
      <c r="CUH97" s="21"/>
      <c r="CUI97" s="21"/>
      <c r="CUJ97" s="21"/>
      <c r="CUK97" s="21"/>
      <c r="CUL97" s="21"/>
      <c r="CUM97" s="21"/>
      <c r="CUN97" s="21"/>
      <c r="CUO97" s="21"/>
      <c r="CUP97" s="21"/>
      <c r="CUQ97" s="21"/>
      <c r="CUR97" s="21"/>
      <c r="CUS97" s="21"/>
      <c r="CUT97" s="21"/>
      <c r="CUU97" s="21"/>
      <c r="CUV97" s="21"/>
      <c r="CUW97" s="21"/>
      <c r="CUX97" s="21"/>
      <c r="CUY97" s="21"/>
      <c r="CUZ97" s="21"/>
      <c r="CVA97" s="21"/>
      <c r="CVB97" s="21"/>
      <c r="CVC97" s="21"/>
      <c r="CVD97" s="21"/>
      <c r="CVE97" s="21"/>
      <c r="CVF97" s="21"/>
      <c r="CVG97" s="21"/>
      <c r="CVH97" s="21"/>
      <c r="CVI97" s="21"/>
      <c r="CVJ97" s="21"/>
      <c r="CVK97" s="21"/>
      <c r="CVL97" s="21"/>
      <c r="CVM97" s="21"/>
      <c r="CVN97" s="21"/>
      <c r="CVO97" s="21"/>
      <c r="CVP97" s="21"/>
      <c r="CVQ97" s="21"/>
      <c r="CVR97" s="21"/>
      <c r="CVS97" s="21"/>
      <c r="CVT97" s="21"/>
      <c r="CVU97" s="21"/>
      <c r="CVV97" s="21"/>
      <c r="CVW97" s="21"/>
      <c r="CVX97" s="21"/>
      <c r="CVY97" s="21"/>
      <c r="CVZ97" s="21"/>
      <c r="CWA97" s="21"/>
      <c r="CWB97" s="21"/>
      <c r="CWC97" s="21"/>
      <c r="CWD97" s="21"/>
      <c r="CWE97" s="21"/>
      <c r="CWF97" s="21"/>
      <c r="CWG97" s="21"/>
      <c r="CWH97" s="21"/>
      <c r="CWI97" s="21"/>
      <c r="CWJ97" s="21"/>
      <c r="CWK97" s="21"/>
      <c r="CWL97" s="21"/>
      <c r="CWM97" s="21"/>
      <c r="CWN97" s="21"/>
      <c r="CWO97" s="21"/>
      <c r="CWP97" s="21"/>
      <c r="CWQ97" s="21"/>
      <c r="CWR97" s="21"/>
      <c r="CWS97" s="21"/>
      <c r="CWT97" s="21"/>
      <c r="CWU97" s="21"/>
      <c r="CWV97" s="21"/>
      <c r="CWW97" s="21"/>
      <c r="CWX97" s="21"/>
      <c r="CWY97" s="21"/>
      <c r="CWZ97" s="21"/>
      <c r="CXA97" s="21"/>
      <c r="CXB97" s="21"/>
      <c r="CXC97" s="21"/>
      <c r="CXD97" s="21"/>
      <c r="CXE97" s="21"/>
      <c r="CXF97" s="21"/>
      <c r="CXG97" s="21"/>
      <c r="CXH97" s="21"/>
      <c r="CXI97" s="21"/>
      <c r="CXJ97" s="21"/>
      <c r="CXK97" s="21"/>
      <c r="CXL97" s="21"/>
      <c r="CXM97" s="21"/>
      <c r="CXN97" s="21"/>
      <c r="CXO97" s="21"/>
      <c r="CXP97" s="21"/>
      <c r="CXQ97" s="21"/>
      <c r="CXR97" s="21"/>
      <c r="CXS97" s="21"/>
      <c r="CXT97" s="21"/>
      <c r="CXU97" s="21"/>
      <c r="CXV97" s="21"/>
      <c r="CXW97" s="21"/>
      <c r="CXX97" s="21"/>
      <c r="CXY97" s="21"/>
      <c r="CXZ97" s="21"/>
      <c r="CYA97" s="21"/>
      <c r="CYB97" s="21"/>
      <c r="CYC97" s="21"/>
      <c r="CYD97" s="21"/>
      <c r="CYE97" s="21"/>
      <c r="CYF97" s="21"/>
      <c r="CYG97" s="21"/>
      <c r="CYH97" s="21"/>
      <c r="CYI97" s="21"/>
      <c r="CYJ97" s="21"/>
      <c r="CYK97" s="21"/>
      <c r="CYL97" s="21"/>
      <c r="CYM97" s="21"/>
      <c r="CYN97" s="21"/>
      <c r="CYO97" s="21"/>
      <c r="CYP97" s="21"/>
      <c r="CYQ97" s="21"/>
      <c r="CYR97" s="21"/>
      <c r="CYS97" s="21"/>
      <c r="CYT97" s="21"/>
      <c r="CYU97" s="21"/>
      <c r="CYV97" s="21"/>
      <c r="CYW97" s="21"/>
      <c r="CYX97" s="21"/>
      <c r="CYY97" s="21"/>
      <c r="CYZ97" s="21"/>
      <c r="CZA97" s="21"/>
      <c r="CZB97" s="21"/>
      <c r="CZC97" s="21"/>
      <c r="CZD97" s="21"/>
      <c r="CZE97" s="21"/>
      <c r="CZF97" s="21"/>
      <c r="CZG97" s="21"/>
      <c r="CZH97" s="21"/>
      <c r="CZI97" s="21"/>
      <c r="CZJ97" s="21"/>
      <c r="CZK97" s="21"/>
      <c r="CZL97" s="21"/>
      <c r="CZM97" s="21"/>
      <c r="CZN97" s="21"/>
      <c r="CZO97" s="21"/>
      <c r="CZP97" s="21"/>
      <c r="CZQ97" s="21"/>
      <c r="CZR97" s="21"/>
      <c r="CZS97" s="21"/>
      <c r="CZT97" s="21"/>
      <c r="CZU97" s="21"/>
      <c r="CZV97" s="21"/>
      <c r="CZW97" s="21"/>
      <c r="CZX97" s="21"/>
      <c r="CZY97" s="21"/>
      <c r="CZZ97" s="21"/>
      <c r="DAA97" s="21"/>
      <c r="DAB97" s="21"/>
      <c r="DAC97" s="21"/>
      <c r="DAD97" s="21"/>
      <c r="DAE97" s="21"/>
      <c r="DAF97" s="21"/>
      <c r="DAG97" s="21"/>
      <c r="DAH97" s="21"/>
      <c r="DAI97" s="21"/>
      <c r="DAJ97" s="21"/>
      <c r="DAK97" s="21"/>
      <c r="DAL97" s="21"/>
      <c r="DAM97" s="21"/>
      <c r="DAN97" s="21"/>
      <c r="DAO97" s="21"/>
      <c r="DAP97" s="21"/>
      <c r="DAQ97" s="21"/>
      <c r="DAR97" s="21"/>
      <c r="DAS97" s="21"/>
      <c r="DAT97" s="21"/>
      <c r="DAU97" s="21"/>
      <c r="DAV97" s="21"/>
      <c r="DAW97" s="21"/>
      <c r="DAX97" s="21"/>
      <c r="DAY97" s="21"/>
      <c r="DAZ97" s="21"/>
      <c r="DBA97" s="21"/>
      <c r="DBB97" s="21"/>
      <c r="DBC97" s="21"/>
      <c r="DBD97" s="21"/>
      <c r="DBE97" s="21"/>
      <c r="DBF97" s="21"/>
      <c r="DBG97" s="21"/>
      <c r="DBH97" s="21"/>
      <c r="DBI97" s="21"/>
      <c r="DBJ97" s="21"/>
      <c r="DBK97" s="21"/>
      <c r="DBL97" s="21"/>
      <c r="DBM97" s="21"/>
      <c r="DBN97" s="21"/>
      <c r="DBO97" s="21"/>
      <c r="DBP97" s="21"/>
      <c r="DBQ97" s="21"/>
      <c r="DBR97" s="21"/>
      <c r="DBS97" s="21"/>
      <c r="DBT97" s="21"/>
      <c r="DBU97" s="21"/>
      <c r="DBV97" s="21"/>
      <c r="DBW97" s="21"/>
      <c r="DBX97" s="21"/>
      <c r="DBY97" s="21"/>
      <c r="DBZ97" s="21"/>
      <c r="DCA97" s="21"/>
      <c r="DCB97" s="21"/>
      <c r="DCC97" s="21"/>
      <c r="DCD97" s="21"/>
      <c r="DCE97" s="21"/>
      <c r="DCF97" s="21"/>
      <c r="DCG97" s="21"/>
      <c r="DCH97" s="21"/>
      <c r="DCI97" s="21"/>
      <c r="DCJ97" s="21"/>
      <c r="DCK97" s="21"/>
      <c r="DCL97" s="21"/>
      <c r="DCM97" s="21"/>
      <c r="DCN97" s="21"/>
      <c r="DCO97" s="21"/>
      <c r="DCP97" s="21"/>
      <c r="DCQ97" s="21"/>
      <c r="DCR97" s="21"/>
      <c r="DCS97" s="21"/>
      <c r="DCT97" s="21"/>
      <c r="DCU97" s="21"/>
      <c r="DCV97" s="21"/>
      <c r="DCW97" s="21"/>
      <c r="DCX97" s="21"/>
      <c r="DCY97" s="21"/>
      <c r="DCZ97" s="21"/>
      <c r="DDA97" s="21"/>
      <c r="DDB97" s="21"/>
      <c r="DDC97" s="21"/>
      <c r="DDD97" s="21"/>
      <c r="DDE97" s="21"/>
      <c r="DDF97" s="21"/>
      <c r="DDG97" s="21"/>
      <c r="DDH97" s="21"/>
      <c r="DDI97" s="21"/>
      <c r="DDJ97" s="21"/>
      <c r="DDK97" s="21"/>
      <c r="DDL97" s="21"/>
      <c r="DDM97" s="21"/>
      <c r="DDN97" s="21"/>
      <c r="DDO97" s="21"/>
      <c r="DDP97" s="21"/>
      <c r="DDQ97" s="21"/>
      <c r="DDR97" s="21"/>
      <c r="DDS97" s="21"/>
      <c r="DDT97" s="21"/>
      <c r="DDU97" s="21"/>
      <c r="DDV97" s="21"/>
      <c r="DDW97" s="21"/>
      <c r="DDX97" s="21"/>
      <c r="DDY97" s="21"/>
      <c r="DDZ97" s="21"/>
      <c r="DEA97" s="21"/>
      <c r="DEB97" s="21"/>
      <c r="DEC97" s="21"/>
      <c r="DED97" s="21"/>
      <c r="DEE97" s="21"/>
      <c r="DEF97" s="21"/>
      <c r="DEG97" s="21"/>
      <c r="DEH97" s="21"/>
      <c r="DEI97" s="21"/>
      <c r="DEJ97" s="21"/>
      <c r="DEK97" s="21"/>
      <c r="DEL97" s="21"/>
      <c r="DEM97" s="21"/>
      <c r="DEN97" s="21"/>
      <c r="DEO97" s="21"/>
      <c r="DEP97" s="21"/>
      <c r="DEQ97" s="21"/>
      <c r="DER97" s="21"/>
      <c r="DES97" s="21"/>
      <c r="DET97" s="21"/>
      <c r="DEU97" s="21"/>
      <c r="DEV97" s="21"/>
      <c r="DEW97" s="21"/>
      <c r="DEX97" s="21"/>
      <c r="DEY97" s="21"/>
      <c r="DEZ97" s="21"/>
      <c r="DFA97" s="21"/>
      <c r="DFB97" s="21"/>
      <c r="DFC97" s="21"/>
      <c r="DFD97" s="21"/>
      <c r="DFE97" s="21"/>
      <c r="DFF97" s="21"/>
      <c r="DFG97" s="21"/>
      <c r="DFH97" s="21"/>
      <c r="DFI97" s="21"/>
      <c r="DFJ97" s="21"/>
      <c r="DFK97" s="21"/>
      <c r="DFL97" s="21"/>
      <c r="DFM97" s="21"/>
      <c r="DFN97" s="21"/>
      <c r="DFO97" s="21"/>
      <c r="DFP97" s="21"/>
      <c r="DFQ97" s="21"/>
      <c r="DFR97" s="21"/>
      <c r="DFS97" s="21"/>
      <c r="DFT97" s="21"/>
      <c r="DFU97" s="21"/>
      <c r="DFV97" s="21"/>
      <c r="DFW97" s="21"/>
      <c r="DFX97" s="21"/>
      <c r="DFY97" s="21"/>
      <c r="DFZ97" s="21"/>
      <c r="DGA97" s="21"/>
      <c r="DGB97" s="21"/>
      <c r="DGC97" s="21"/>
      <c r="DGD97" s="21"/>
      <c r="DGE97" s="21"/>
      <c r="DGF97" s="21"/>
      <c r="DGG97" s="21"/>
      <c r="DGH97" s="21"/>
      <c r="DGI97" s="21"/>
      <c r="DGJ97" s="21"/>
      <c r="DGK97" s="21"/>
      <c r="DGL97" s="21"/>
      <c r="DGM97" s="21"/>
      <c r="DGN97" s="21"/>
      <c r="DGO97" s="21"/>
      <c r="DGP97" s="21"/>
      <c r="DGQ97" s="21"/>
      <c r="DGR97" s="21"/>
      <c r="DGS97" s="21"/>
      <c r="DGT97" s="21"/>
      <c r="DGU97" s="21"/>
      <c r="DGV97" s="21"/>
      <c r="DGW97" s="21"/>
      <c r="DGX97" s="21"/>
      <c r="DGY97" s="21"/>
      <c r="DGZ97" s="21"/>
      <c r="DHA97" s="21"/>
      <c r="DHB97" s="21"/>
      <c r="DHC97" s="21"/>
      <c r="DHD97" s="21"/>
      <c r="DHE97" s="21"/>
      <c r="DHF97" s="21"/>
      <c r="DHG97" s="21"/>
      <c r="DHH97" s="21"/>
      <c r="DHI97" s="21"/>
      <c r="DHJ97" s="21"/>
      <c r="DHK97" s="21"/>
      <c r="DHL97" s="21"/>
      <c r="DHM97" s="21"/>
      <c r="DHN97" s="21"/>
      <c r="DHO97" s="21"/>
      <c r="DHP97" s="21"/>
      <c r="DHQ97" s="21"/>
      <c r="DHR97" s="21"/>
      <c r="DHS97" s="21"/>
      <c r="DHT97" s="21"/>
      <c r="DHU97" s="21"/>
      <c r="DHV97" s="21"/>
      <c r="DHW97" s="21"/>
      <c r="DHX97" s="21"/>
      <c r="DHY97" s="21"/>
      <c r="DHZ97" s="21"/>
      <c r="DIA97" s="21"/>
      <c r="DIB97" s="21"/>
      <c r="DIC97" s="21"/>
      <c r="DID97" s="21"/>
      <c r="DIE97" s="21"/>
      <c r="DIF97" s="21"/>
      <c r="DIG97" s="21"/>
      <c r="DIH97" s="21"/>
      <c r="DII97" s="21"/>
      <c r="DIJ97" s="21"/>
      <c r="DIK97" s="21"/>
      <c r="DIL97" s="21"/>
      <c r="DIM97" s="21"/>
      <c r="DIN97" s="21"/>
      <c r="DIO97" s="21"/>
      <c r="DIP97" s="21"/>
      <c r="DIQ97" s="21"/>
      <c r="DIR97" s="21"/>
      <c r="DIS97" s="21"/>
      <c r="DIT97" s="21"/>
      <c r="DIU97" s="21"/>
      <c r="DIV97" s="21"/>
      <c r="DIW97" s="21"/>
      <c r="DIX97" s="21"/>
      <c r="DIY97" s="21"/>
      <c r="DIZ97" s="21"/>
      <c r="DJA97" s="21"/>
      <c r="DJB97" s="21"/>
      <c r="DJC97" s="21"/>
      <c r="DJD97" s="21"/>
      <c r="DJE97" s="21"/>
      <c r="DJF97" s="21"/>
      <c r="DJG97" s="21"/>
      <c r="DJH97" s="21"/>
      <c r="DJI97" s="21"/>
      <c r="DJJ97" s="21"/>
      <c r="DJK97" s="21"/>
      <c r="DJL97" s="21"/>
      <c r="DJM97" s="21"/>
      <c r="DJN97" s="21"/>
      <c r="DJO97" s="21"/>
      <c r="DJP97" s="21"/>
      <c r="DJQ97" s="21"/>
      <c r="DJR97" s="21"/>
      <c r="DJS97" s="21"/>
      <c r="DJT97" s="21"/>
      <c r="DJU97" s="21"/>
      <c r="DJV97" s="21"/>
      <c r="DJW97" s="21"/>
      <c r="DJX97" s="21"/>
      <c r="DJY97" s="21"/>
      <c r="DJZ97" s="21"/>
      <c r="DKA97" s="21"/>
      <c r="DKB97" s="21"/>
      <c r="DKC97" s="21"/>
      <c r="DKD97" s="21"/>
      <c r="DKE97" s="21"/>
      <c r="DKF97" s="21"/>
      <c r="DKG97" s="21"/>
      <c r="DKH97" s="21"/>
      <c r="DKI97" s="21"/>
      <c r="DKJ97" s="21"/>
      <c r="DKK97" s="21"/>
      <c r="DKL97" s="21"/>
      <c r="DKM97" s="21"/>
      <c r="DKN97" s="21"/>
      <c r="DKO97" s="21"/>
      <c r="DKP97" s="21"/>
      <c r="DKQ97" s="21"/>
      <c r="DKR97" s="21"/>
      <c r="DKS97" s="21"/>
      <c r="DKT97" s="21"/>
      <c r="DKU97" s="21"/>
      <c r="DKV97" s="21"/>
      <c r="DKW97" s="21"/>
      <c r="DKX97" s="21"/>
      <c r="DKY97" s="21"/>
      <c r="DKZ97" s="21"/>
      <c r="DLA97" s="21"/>
      <c r="DLB97" s="21"/>
      <c r="DLC97" s="21"/>
      <c r="DLD97" s="21"/>
      <c r="DLE97" s="21"/>
      <c r="DLF97" s="21"/>
      <c r="DLG97" s="21"/>
      <c r="DLH97" s="21"/>
      <c r="DLI97" s="21"/>
      <c r="DLJ97" s="21"/>
      <c r="DLK97" s="21"/>
      <c r="DLL97" s="21"/>
      <c r="DLM97" s="21"/>
      <c r="DLN97" s="21"/>
      <c r="DLO97" s="21"/>
      <c r="DLP97" s="21"/>
      <c r="DLQ97" s="21"/>
      <c r="DLR97" s="21"/>
      <c r="DLS97" s="21"/>
      <c r="DLT97" s="21"/>
      <c r="DLU97" s="21"/>
      <c r="DLV97" s="21"/>
      <c r="DLW97" s="21"/>
      <c r="DLX97" s="21"/>
      <c r="DLY97" s="21"/>
      <c r="DLZ97" s="21"/>
      <c r="DMA97" s="21"/>
      <c r="DMB97" s="21"/>
      <c r="DMC97" s="21"/>
      <c r="DMD97" s="21"/>
      <c r="DME97" s="21"/>
      <c r="DMF97" s="21"/>
      <c r="DMG97" s="21"/>
      <c r="DMH97" s="21"/>
      <c r="DMI97" s="21"/>
      <c r="DMJ97" s="21"/>
      <c r="DMK97" s="21"/>
      <c r="DML97" s="21"/>
      <c r="DMM97" s="21"/>
      <c r="DMN97" s="21"/>
      <c r="DMO97" s="21"/>
      <c r="DMP97" s="21"/>
      <c r="DMQ97" s="21"/>
      <c r="DMR97" s="21"/>
      <c r="DMS97" s="21"/>
      <c r="DMT97" s="21"/>
      <c r="DMU97" s="21"/>
      <c r="DMV97" s="21"/>
      <c r="DMW97" s="21"/>
      <c r="DMX97" s="21"/>
      <c r="DMY97" s="21"/>
      <c r="DMZ97" s="21"/>
      <c r="DNA97" s="21"/>
      <c r="DNB97" s="21"/>
      <c r="DNC97" s="21"/>
      <c r="DND97" s="21"/>
      <c r="DNE97" s="21"/>
      <c r="DNF97" s="21"/>
      <c r="DNG97" s="21"/>
      <c r="DNH97" s="21"/>
      <c r="DNI97" s="21"/>
      <c r="DNJ97" s="21"/>
      <c r="DNK97" s="21"/>
      <c r="DNL97" s="21"/>
      <c r="DNM97" s="21"/>
      <c r="DNN97" s="21"/>
      <c r="DNO97" s="21"/>
      <c r="DNP97" s="21"/>
      <c r="DNQ97" s="21"/>
      <c r="DNR97" s="21"/>
      <c r="DNS97" s="21"/>
      <c r="DNT97" s="21"/>
      <c r="DNU97" s="21"/>
      <c r="DNV97" s="21"/>
      <c r="DNW97" s="21"/>
      <c r="DNX97" s="21"/>
      <c r="DNY97" s="21"/>
      <c r="DNZ97" s="21"/>
      <c r="DOA97" s="21"/>
      <c r="DOB97" s="21"/>
      <c r="DOC97" s="21"/>
      <c r="DOD97" s="21"/>
      <c r="DOE97" s="21"/>
      <c r="DOF97" s="21"/>
      <c r="DOG97" s="21"/>
      <c r="DOH97" s="21"/>
      <c r="DOI97" s="21"/>
      <c r="DOJ97" s="21"/>
      <c r="DOK97" s="21"/>
      <c r="DOL97" s="21"/>
      <c r="DOM97" s="21"/>
      <c r="DON97" s="21"/>
      <c r="DOO97" s="21"/>
      <c r="DOP97" s="21"/>
      <c r="DOQ97" s="21"/>
      <c r="DOR97" s="21"/>
      <c r="DOS97" s="21"/>
      <c r="DOT97" s="21"/>
      <c r="DOU97" s="21"/>
      <c r="DOV97" s="21"/>
      <c r="DOW97" s="21"/>
      <c r="DOX97" s="21"/>
      <c r="DOY97" s="21"/>
      <c r="DOZ97" s="21"/>
      <c r="DPA97" s="21"/>
      <c r="DPB97" s="21"/>
      <c r="DPC97" s="21"/>
      <c r="DPD97" s="21"/>
      <c r="DPE97" s="21"/>
      <c r="DPF97" s="21"/>
      <c r="DPG97" s="21"/>
      <c r="DPH97" s="21"/>
      <c r="DPI97" s="21"/>
      <c r="DPJ97" s="21"/>
      <c r="DPK97" s="21"/>
      <c r="DPL97" s="21"/>
      <c r="DPM97" s="21"/>
      <c r="DPN97" s="21"/>
      <c r="DPO97" s="21"/>
      <c r="DPP97" s="21"/>
      <c r="DPQ97" s="21"/>
      <c r="DPR97" s="21"/>
      <c r="DPS97" s="21"/>
      <c r="DPT97" s="21"/>
      <c r="DPU97" s="21"/>
      <c r="DPV97" s="21"/>
      <c r="DPW97" s="21"/>
      <c r="DPX97" s="21"/>
      <c r="DPY97" s="21"/>
      <c r="DPZ97" s="21"/>
      <c r="DQA97" s="21"/>
      <c r="DQB97" s="21"/>
      <c r="DQC97" s="21"/>
      <c r="DQD97" s="21"/>
      <c r="DQE97" s="21"/>
      <c r="DQF97" s="21"/>
      <c r="DQG97" s="21"/>
      <c r="DQH97" s="21"/>
      <c r="DQI97" s="21"/>
      <c r="DQJ97" s="21"/>
      <c r="DQK97" s="21"/>
      <c r="DQL97" s="21"/>
      <c r="DQM97" s="21"/>
      <c r="DQN97" s="21"/>
      <c r="DQO97" s="21"/>
      <c r="DQP97" s="21"/>
      <c r="DQQ97" s="21"/>
      <c r="DQR97" s="21"/>
      <c r="DQS97" s="21"/>
      <c r="DQT97" s="21"/>
      <c r="DQU97" s="21"/>
      <c r="DQV97" s="21"/>
      <c r="DQW97" s="21"/>
      <c r="DQX97" s="21"/>
      <c r="DQY97" s="21"/>
      <c r="DQZ97" s="21"/>
      <c r="DRA97" s="21"/>
      <c r="DRB97" s="21"/>
      <c r="DRC97" s="21"/>
      <c r="DRD97" s="21"/>
      <c r="DRE97" s="21"/>
      <c r="DRF97" s="21"/>
      <c r="DRG97" s="21"/>
      <c r="DRH97" s="21"/>
      <c r="DRI97" s="21"/>
      <c r="DRJ97" s="21"/>
      <c r="DRK97" s="21"/>
      <c r="DRL97" s="21"/>
      <c r="DRM97" s="21"/>
      <c r="DRN97" s="21"/>
      <c r="DRO97" s="21"/>
      <c r="DRP97" s="21"/>
      <c r="DRQ97" s="21"/>
      <c r="DRR97" s="21"/>
      <c r="DRS97" s="21"/>
      <c r="DRT97" s="21"/>
      <c r="DRU97" s="21"/>
      <c r="DRV97" s="21"/>
      <c r="DRW97" s="21"/>
      <c r="DRX97" s="21"/>
      <c r="DRY97" s="21"/>
      <c r="DRZ97" s="21"/>
      <c r="DSA97" s="21"/>
      <c r="DSB97" s="21"/>
      <c r="DSC97" s="21"/>
      <c r="DSD97" s="21"/>
      <c r="DSE97" s="21"/>
      <c r="DSF97" s="21"/>
      <c r="DSG97" s="21"/>
      <c r="DSH97" s="21"/>
      <c r="DSI97" s="21"/>
      <c r="DSJ97" s="21"/>
      <c r="DSK97" s="21"/>
      <c r="DSL97" s="21"/>
      <c r="DSM97" s="21"/>
      <c r="DSN97" s="21"/>
      <c r="DSO97" s="21"/>
      <c r="DSP97" s="21"/>
      <c r="DSQ97" s="21"/>
      <c r="DSR97" s="21"/>
      <c r="DSS97" s="21"/>
      <c r="DST97" s="21"/>
      <c r="DSU97" s="21"/>
      <c r="DSV97" s="21"/>
      <c r="DSW97" s="21"/>
      <c r="DSX97" s="21"/>
      <c r="DSY97" s="21"/>
      <c r="DSZ97" s="21"/>
      <c r="DTA97" s="21"/>
      <c r="DTB97" s="21"/>
      <c r="DTC97" s="21"/>
      <c r="DTD97" s="21"/>
      <c r="DTE97" s="21"/>
      <c r="DTF97" s="21"/>
      <c r="DTG97" s="21"/>
      <c r="DTH97" s="21"/>
      <c r="DTI97" s="21"/>
      <c r="DTJ97" s="21"/>
      <c r="DTK97" s="21"/>
      <c r="DTL97" s="21"/>
      <c r="DTM97" s="21"/>
      <c r="DTN97" s="21"/>
      <c r="DTO97" s="21"/>
      <c r="DTP97" s="21"/>
      <c r="DTQ97" s="21"/>
      <c r="DTR97" s="21"/>
      <c r="DTS97" s="21"/>
      <c r="DTT97" s="21"/>
      <c r="DTU97" s="21"/>
      <c r="DTV97" s="21"/>
      <c r="DTW97" s="21"/>
      <c r="DTX97" s="21"/>
      <c r="DTY97" s="21"/>
      <c r="DTZ97" s="21"/>
      <c r="DUA97" s="21"/>
      <c r="DUB97" s="21"/>
      <c r="DUC97" s="21"/>
      <c r="DUD97" s="21"/>
      <c r="DUE97" s="21"/>
      <c r="DUF97" s="21"/>
      <c r="DUG97" s="21"/>
      <c r="DUH97" s="21"/>
      <c r="DUI97" s="21"/>
      <c r="DUJ97" s="21"/>
      <c r="DUK97" s="21"/>
      <c r="DUL97" s="21"/>
      <c r="DUM97" s="21"/>
      <c r="DUN97" s="21"/>
      <c r="DUO97" s="21"/>
      <c r="DUP97" s="21"/>
      <c r="DUQ97" s="21"/>
      <c r="DUR97" s="21"/>
      <c r="DUS97" s="21"/>
      <c r="DUT97" s="21"/>
      <c r="DUU97" s="21"/>
      <c r="DUV97" s="21"/>
      <c r="DUW97" s="21"/>
      <c r="DUX97" s="21"/>
      <c r="DUY97" s="21"/>
      <c r="DUZ97" s="21"/>
      <c r="DVA97" s="21"/>
      <c r="DVB97" s="21"/>
      <c r="DVC97" s="21"/>
      <c r="DVD97" s="21"/>
      <c r="DVE97" s="21"/>
      <c r="DVF97" s="21"/>
      <c r="DVG97" s="21"/>
      <c r="DVH97" s="21"/>
      <c r="DVI97" s="21"/>
      <c r="DVJ97" s="21"/>
      <c r="DVK97" s="21"/>
      <c r="DVL97" s="21"/>
      <c r="DVM97" s="21"/>
      <c r="DVN97" s="21"/>
      <c r="DVO97" s="21"/>
      <c r="DVP97" s="21"/>
      <c r="DVQ97" s="21"/>
      <c r="DVR97" s="21"/>
      <c r="DVS97" s="21"/>
      <c r="DVT97" s="21"/>
      <c r="DVU97" s="21"/>
      <c r="DVV97" s="21"/>
      <c r="DVW97" s="21"/>
      <c r="DVX97" s="21"/>
      <c r="DVY97" s="21"/>
      <c r="DVZ97" s="21"/>
      <c r="DWA97" s="21"/>
      <c r="DWB97" s="21"/>
      <c r="DWC97" s="21"/>
      <c r="DWD97" s="21"/>
      <c r="DWE97" s="21"/>
      <c r="DWF97" s="21"/>
      <c r="DWG97" s="21"/>
      <c r="DWH97" s="21"/>
      <c r="DWI97" s="21"/>
      <c r="DWJ97" s="21"/>
      <c r="DWK97" s="21"/>
      <c r="DWL97" s="21"/>
      <c r="DWM97" s="21"/>
      <c r="DWN97" s="21"/>
      <c r="DWO97" s="21"/>
      <c r="DWP97" s="21"/>
      <c r="DWQ97" s="21"/>
      <c r="DWR97" s="21"/>
      <c r="DWS97" s="21"/>
      <c r="DWT97" s="21"/>
      <c r="DWU97" s="21"/>
      <c r="DWV97" s="21"/>
      <c r="DWW97" s="21"/>
      <c r="DWX97" s="21"/>
      <c r="DWY97" s="21"/>
      <c r="DWZ97" s="21"/>
      <c r="DXA97" s="21"/>
      <c r="DXB97" s="21"/>
      <c r="DXC97" s="21"/>
      <c r="DXD97" s="21"/>
      <c r="DXE97" s="21"/>
      <c r="DXF97" s="21"/>
      <c r="DXG97" s="21"/>
      <c r="DXH97" s="21"/>
      <c r="DXI97" s="21"/>
      <c r="DXJ97" s="21"/>
      <c r="DXK97" s="21"/>
      <c r="DXL97" s="21"/>
      <c r="DXM97" s="21"/>
      <c r="DXN97" s="21"/>
      <c r="DXO97" s="21"/>
      <c r="DXP97" s="21"/>
      <c r="DXQ97" s="21"/>
      <c r="DXR97" s="21"/>
      <c r="DXS97" s="21"/>
      <c r="DXT97" s="21"/>
      <c r="DXU97" s="21"/>
      <c r="DXV97" s="21"/>
      <c r="DXW97" s="21"/>
      <c r="DXX97" s="21"/>
      <c r="DXY97" s="21"/>
      <c r="DXZ97" s="21"/>
      <c r="DYA97" s="21"/>
      <c r="DYB97" s="21"/>
      <c r="DYC97" s="21"/>
      <c r="DYD97" s="21"/>
      <c r="DYE97" s="21"/>
      <c r="DYF97" s="21"/>
      <c r="DYG97" s="21"/>
      <c r="DYH97" s="21"/>
      <c r="DYI97" s="21"/>
      <c r="DYJ97" s="21"/>
      <c r="DYK97" s="21"/>
      <c r="DYL97" s="21"/>
      <c r="DYM97" s="21"/>
      <c r="DYN97" s="21"/>
      <c r="DYO97" s="21"/>
      <c r="DYP97" s="21"/>
      <c r="DYQ97" s="21"/>
      <c r="DYR97" s="21"/>
      <c r="DYS97" s="21"/>
      <c r="DYT97" s="21"/>
      <c r="DYU97" s="21"/>
      <c r="DYV97" s="21"/>
      <c r="DYW97" s="21"/>
      <c r="DYX97" s="21"/>
      <c r="DYY97" s="21"/>
      <c r="DYZ97" s="21"/>
      <c r="DZA97" s="21"/>
      <c r="DZB97" s="21"/>
      <c r="DZC97" s="21"/>
      <c r="DZD97" s="21"/>
      <c r="DZE97" s="21"/>
      <c r="DZF97" s="21"/>
      <c r="DZG97" s="21"/>
      <c r="DZH97" s="21"/>
      <c r="DZI97" s="21"/>
      <c r="DZJ97" s="21"/>
      <c r="DZK97" s="21"/>
      <c r="DZL97" s="21"/>
      <c r="DZM97" s="21"/>
      <c r="DZN97" s="21"/>
      <c r="DZO97" s="21"/>
      <c r="DZP97" s="21"/>
      <c r="DZQ97" s="21"/>
      <c r="DZR97" s="21"/>
      <c r="DZS97" s="21"/>
      <c r="DZT97" s="21"/>
      <c r="DZU97" s="21"/>
      <c r="DZV97" s="21"/>
      <c r="DZW97" s="21"/>
      <c r="DZX97" s="21"/>
      <c r="DZY97" s="21"/>
      <c r="DZZ97" s="21"/>
      <c r="EAA97" s="21"/>
      <c r="EAB97" s="21"/>
      <c r="EAC97" s="21"/>
      <c r="EAD97" s="21"/>
      <c r="EAE97" s="21"/>
      <c r="EAF97" s="21"/>
      <c r="EAG97" s="21"/>
      <c r="EAH97" s="21"/>
      <c r="EAI97" s="21"/>
      <c r="EAJ97" s="21"/>
      <c r="EAK97" s="21"/>
      <c r="EAL97" s="21"/>
      <c r="EAM97" s="21"/>
      <c r="EAN97" s="21"/>
      <c r="EAO97" s="21"/>
      <c r="EAP97" s="21"/>
      <c r="EAQ97" s="21"/>
      <c r="EAR97" s="21"/>
      <c r="EAS97" s="21"/>
      <c r="EAT97" s="21"/>
      <c r="EAU97" s="21"/>
      <c r="EAV97" s="21"/>
      <c r="EAW97" s="21"/>
      <c r="EAX97" s="21"/>
      <c r="EAY97" s="21"/>
      <c r="EAZ97" s="21"/>
      <c r="EBA97" s="21"/>
      <c r="EBB97" s="21"/>
      <c r="EBC97" s="21"/>
      <c r="EBD97" s="21"/>
      <c r="EBE97" s="21"/>
      <c r="EBF97" s="21"/>
      <c r="EBG97" s="21"/>
      <c r="EBH97" s="21"/>
      <c r="EBI97" s="21"/>
      <c r="EBJ97" s="21"/>
      <c r="EBK97" s="21"/>
      <c r="EBL97" s="21"/>
      <c r="EBM97" s="21"/>
      <c r="EBN97" s="21"/>
      <c r="EBO97" s="21"/>
      <c r="EBP97" s="21"/>
      <c r="EBQ97" s="21"/>
      <c r="EBR97" s="21"/>
      <c r="EBS97" s="21"/>
      <c r="EBT97" s="21"/>
      <c r="EBU97" s="21"/>
      <c r="EBV97" s="21"/>
      <c r="EBW97" s="21"/>
      <c r="EBX97" s="21"/>
      <c r="EBY97" s="21"/>
      <c r="EBZ97" s="21"/>
      <c r="ECA97" s="21"/>
      <c r="ECB97" s="21"/>
      <c r="ECC97" s="21"/>
      <c r="ECD97" s="21"/>
      <c r="ECE97" s="21"/>
      <c r="ECF97" s="21"/>
      <c r="ECG97" s="21"/>
      <c r="ECH97" s="21"/>
      <c r="ECI97" s="21"/>
      <c r="ECJ97" s="21"/>
      <c r="ECK97" s="21"/>
      <c r="ECL97" s="21"/>
      <c r="ECM97" s="21"/>
      <c r="ECN97" s="21"/>
      <c r="ECO97" s="21"/>
      <c r="ECP97" s="21"/>
      <c r="ECQ97" s="21"/>
      <c r="ECR97" s="21"/>
      <c r="ECS97" s="21"/>
      <c r="ECT97" s="21"/>
      <c r="ECU97" s="21"/>
      <c r="ECV97" s="21"/>
      <c r="ECW97" s="21"/>
      <c r="ECX97" s="21"/>
      <c r="ECY97" s="21"/>
      <c r="ECZ97" s="21"/>
      <c r="EDA97" s="21"/>
      <c r="EDB97" s="21"/>
      <c r="EDC97" s="21"/>
      <c r="EDD97" s="21"/>
      <c r="EDE97" s="21"/>
      <c r="EDF97" s="21"/>
      <c r="EDG97" s="21"/>
      <c r="EDH97" s="21"/>
      <c r="EDI97" s="21"/>
      <c r="EDJ97" s="21"/>
      <c r="EDK97" s="21"/>
      <c r="EDL97" s="21"/>
      <c r="EDM97" s="21"/>
      <c r="EDN97" s="21"/>
      <c r="EDO97" s="21"/>
      <c r="EDP97" s="21"/>
      <c r="EDQ97" s="21"/>
      <c r="EDR97" s="21"/>
      <c r="EDS97" s="21"/>
      <c r="EDT97" s="21"/>
      <c r="EDU97" s="21"/>
      <c r="EDV97" s="21"/>
      <c r="EDW97" s="21"/>
      <c r="EDX97" s="21"/>
      <c r="EDY97" s="21"/>
      <c r="EDZ97" s="21"/>
      <c r="EEA97" s="21"/>
      <c r="EEB97" s="21"/>
      <c r="EEC97" s="21"/>
      <c r="EED97" s="21"/>
      <c r="EEE97" s="21"/>
      <c r="EEF97" s="21"/>
      <c r="EEG97" s="21"/>
      <c r="EEH97" s="21"/>
      <c r="EEI97" s="21"/>
      <c r="EEJ97" s="21"/>
      <c r="EEK97" s="21"/>
      <c r="EEL97" s="21"/>
      <c r="EEM97" s="21"/>
      <c r="EEN97" s="21"/>
      <c r="EEO97" s="21"/>
      <c r="EEP97" s="21"/>
      <c r="EEQ97" s="21"/>
      <c r="EER97" s="21"/>
      <c r="EES97" s="21"/>
      <c r="EET97" s="21"/>
      <c r="EEU97" s="21"/>
      <c r="EEV97" s="21"/>
      <c r="EEW97" s="21"/>
      <c r="EEX97" s="21"/>
      <c r="EEY97" s="21"/>
      <c r="EEZ97" s="21"/>
      <c r="EFA97" s="21"/>
      <c r="EFB97" s="21"/>
      <c r="EFC97" s="21"/>
      <c r="EFD97" s="21"/>
      <c r="EFE97" s="21"/>
      <c r="EFF97" s="21"/>
      <c r="EFG97" s="21"/>
      <c r="EFH97" s="21"/>
      <c r="EFI97" s="21"/>
      <c r="EFJ97" s="21"/>
      <c r="EFK97" s="21"/>
      <c r="EFL97" s="21"/>
      <c r="EFM97" s="21"/>
      <c r="EFN97" s="21"/>
      <c r="EFO97" s="21"/>
      <c r="EFP97" s="21"/>
      <c r="EFQ97" s="21"/>
      <c r="EFR97" s="21"/>
      <c r="EFS97" s="21"/>
      <c r="EFT97" s="21"/>
      <c r="EFU97" s="21"/>
      <c r="EFV97" s="21"/>
      <c r="EFW97" s="21"/>
      <c r="EFX97" s="21"/>
      <c r="EFY97" s="21"/>
      <c r="EFZ97" s="21"/>
      <c r="EGA97" s="21"/>
      <c r="EGB97" s="21"/>
      <c r="EGC97" s="21"/>
      <c r="EGD97" s="21"/>
      <c r="EGE97" s="21"/>
      <c r="EGF97" s="21"/>
      <c r="EGG97" s="21"/>
      <c r="EGH97" s="21"/>
      <c r="EGI97" s="21"/>
      <c r="EGJ97" s="21"/>
      <c r="EGK97" s="21"/>
      <c r="EGL97" s="21"/>
      <c r="EGM97" s="21"/>
      <c r="EGN97" s="21"/>
      <c r="EGO97" s="21"/>
      <c r="EGP97" s="21"/>
      <c r="EGQ97" s="21"/>
      <c r="EGR97" s="21"/>
      <c r="EGS97" s="21"/>
      <c r="EGT97" s="21"/>
      <c r="EGU97" s="21"/>
      <c r="EGV97" s="21"/>
      <c r="EGW97" s="21"/>
      <c r="EGX97" s="21"/>
      <c r="EGY97" s="21"/>
      <c r="EGZ97" s="21"/>
      <c r="EHA97" s="21"/>
      <c r="EHB97" s="21"/>
      <c r="EHC97" s="21"/>
      <c r="EHD97" s="21"/>
      <c r="EHE97" s="21"/>
      <c r="EHF97" s="21"/>
      <c r="EHG97" s="21"/>
      <c r="EHH97" s="21"/>
      <c r="EHI97" s="21"/>
      <c r="EHJ97" s="21"/>
      <c r="EHK97" s="21"/>
      <c r="EHL97" s="21"/>
      <c r="EHM97" s="21"/>
      <c r="EHN97" s="21"/>
      <c r="EHO97" s="21"/>
      <c r="EHP97" s="21"/>
      <c r="EHQ97" s="21"/>
      <c r="EHR97" s="21"/>
      <c r="EHS97" s="21"/>
      <c r="EHT97" s="21"/>
      <c r="EHU97" s="21"/>
      <c r="EHV97" s="21"/>
      <c r="EHW97" s="21"/>
      <c r="EHX97" s="21"/>
      <c r="EHY97" s="21"/>
      <c r="EHZ97" s="21"/>
      <c r="EIA97" s="21"/>
      <c r="EIB97" s="21"/>
      <c r="EIC97" s="21"/>
      <c r="EID97" s="21"/>
      <c r="EIE97" s="21"/>
      <c r="EIF97" s="21"/>
      <c r="EIG97" s="21"/>
      <c r="EIH97" s="21"/>
      <c r="EII97" s="21"/>
      <c r="EIJ97" s="21"/>
      <c r="EIK97" s="21"/>
      <c r="EIL97" s="21"/>
      <c r="EIM97" s="21"/>
      <c r="EIN97" s="21"/>
      <c r="EIO97" s="21"/>
      <c r="EIP97" s="21"/>
      <c r="EIQ97" s="21"/>
      <c r="EIR97" s="21"/>
      <c r="EIS97" s="21"/>
      <c r="EIT97" s="21"/>
      <c r="EIU97" s="21"/>
      <c r="EIV97" s="21"/>
      <c r="EIW97" s="21"/>
      <c r="EIX97" s="21"/>
      <c r="EIY97" s="21"/>
      <c r="EIZ97" s="21"/>
      <c r="EJA97" s="21"/>
      <c r="EJB97" s="21"/>
      <c r="EJC97" s="21"/>
      <c r="EJD97" s="21"/>
      <c r="EJE97" s="21"/>
      <c r="EJF97" s="21"/>
      <c r="EJG97" s="21"/>
      <c r="EJH97" s="21"/>
      <c r="EJI97" s="21"/>
      <c r="EJJ97" s="21"/>
      <c r="EJK97" s="21"/>
      <c r="EJL97" s="21"/>
      <c r="EJM97" s="21"/>
      <c r="EJN97" s="21"/>
      <c r="EJO97" s="21"/>
      <c r="EJP97" s="21"/>
      <c r="EJQ97" s="21"/>
      <c r="EJR97" s="21"/>
      <c r="EJS97" s="21"/>
      <c r="EJT97" s="21"/>
      <c r="EJU97" s="21"/>
      <c r="EJV97" s="21"/>
      <c r="EJW97" s="21"/>
      <c r="EJX97" s="21"/>
      <c r="EJY97" s="21"/>
      <c r="EJZ97" s="21"/>
      <c r="EKA97" s="21"/>
      <c r="EKB97" s="21"/>
      <c r="EKC97" s="21"/>
      <c r="EKD97" s="21"/>
      <c r="EKE97" s="21"/>
      <c r="EKF97" s="21"/>
      <c r="EKG97" s="21"/>
      <c r="EKH97" s="21"/>
      <c r="EKI97" s="21"/>
      <c r="EKJ97" s="21"/>
      <c r="EKK97" s="21"/>
      <c r="EKL97" s="21"/>
      <c r="EKM97" s="21"/>
      <c r="EKN97" s="21"/>
      <c r="EKO97" s="21"/>
      <c r="EKP97" s="21"/>
      <c r="EKQ97" s="21"/>
      <c r="EKR97" s="21"/>
      <c r="EKS97" s="21"/>
      <c r="EKT97" s="21"/>
      <c r="EKU97" s="21"/>
      <c r="EKV97" s="21"/>
      <c r="EKW97" s="21"/>
      <c r="EKX97" s="21"/>
      <c r="EKY97" s="21"/>
      <c r="EKZ97" s="21"/>
      <c r="ELA97" s="21"/>
      <c r="ELB97" s="21"/>
      <c r="ELC97" s="21"/>
      <c r="ELD97" s="21"/>
      <c r="ELE97" s="21"/>
      <c r="ELF97" s="21"/>
      <c r="ELG97" s="21"/>
      <c r="ELH97" s="21"/>
      <c r="ELI97" s="21"/>
      <c r="ELJ97" s="21"/>
      <c r="ELK97" s="21"/>
      <c r="ELL97" s="21"/>
      <c r="ELM97" s="21"/>
      <c r="ELN97" s="21"/>
      <c r="ELO97" s="21"/>
      <c r="ELP97" s="21"/>
      <c r="ELQ97" s="21"/>
      <c r="ELR97" s="21"/>
      <c r="ELS97" s="21"/>
      <c r="ELT97" s="21"/>
      <c r="ELU97" s="21"/>
      <c r="ELV97" s="21"/>
      <c r="ELW97" s="21"/>
      <c r="ELX97" s="21"/>
      <c r="ELY97" s="21"/>
      <c r="ELZ97" s="21"/>
      <c r="EMA97" s="21"/>
      <c r="EMB97" s="21"/>
      <c r="EMC97" s="21"/>
      <c r="EMD97" s="21"/>
      <c r="EME97" s="21"/>
      <c r="EMF97" s="21"/>
      <c r="EMG97" s="21"/>
      <c r="EMH97" s="21"/>
      <c r="EMI97" s="21"/>
      <c r="EMJ97" s="21"/>
      <c r="EMK97" s="21"/>
      <c r="EML97" s="21"/>
      <c r="EMM97" s="21"/>
      <c r="EMN97" s="21"/>
      <c r="EMO97" s="21"/>
      <c r="EMP97" s="21"/>
      <c r="EMQ97" s="21"/>
      <c r="EMR97" s="21"/>
      <c r="EMS97" s="21"/>
      <c r="EMT97" s="21"/>
      <c r="EMU97" s="21"/>
      <c r="EMV97" s="21"/>
      <c r="EMW97" s="21"/>
      <c r="EMX97" s="21"/>
      <c r="EMY97" s="21"/>
      <c r="EMZ97" s="21"/>
      <c r="ENA97" s="21"/>
      <c r="ENB97" s="21"/>
      <c r="ENC97" s="21"/>
      <c r="END97" s="21"/>
      <c r="ENE97" s="21"/>
      <c r="ENF97" s="21"/>
      <c r="ENG97" s="21"/>
      <c r="ENH97" s="21"/>
      <c r="ENI97" s="21"/>
      <c r="ENJ97" s="21"/>
      <c r="ENK97" s="21"/>
      <c r="ENL97" s="21"/>
      <c r="ENM97" s="21"/>
      <c r="ENN97" s="21"/>
      <c r="ENO97" s="21"/>
      <c r="ENP97" s="21"/>
      <c r="ENQ97" s="21"/>
      <c r="ENR97" s="21"/>
      <c r="ENS97" s="21"/>
      <c r="ENT97" s="21"/>
      <c r="ENU97" s="21"/>
      <c r="ENV97" s="21"/>
      <c r="ENW97" s="21"/>
      <c r="ENX97" s="21"/>
      <c r="ENY97" s="21"/>
      <c r="ENZ97" s="21"/>
      <c r="EOA97" s="21"/>
      <c r="EOB97" s="21"/>
      <c r="EOC97" s="21"/>
      <c r="EOD97" s="21"/>
      <c r="EOE97" s="21"/>
      <c r="EOF97" s="21"/>
      <c r="EOG97" s="21"/>
      <c r="EOH97" s="21"/>
      <c r="EOI97" s="21"/>
      <c r="EOJ97" s="21"/>
      <c r="EOK97" s="21"/>
      <c r="EOL97" s="21"/>
      <c r="EOM97" s="21"/>
      <c r="EON97" s="21"/>
      <c r="EOO97" s="21"/>
      <c r="EOP97" s="21"/>
      <c r="EOQ97" s="21"/>
      <c r="EOR97" s="21"/>
      <c r="EOS97" s="21"/>
      <c r="EOT97" s="21"/>
      <c r="EOU97" s="21"/>
      <c r="EOV97" s="21"/>
      <c r="EOW97" s="21"/>
      <c r="EOX97" s="21"/>
      <c r="EOY97" s="21"/>
      <c r="EOZ97" s="21"/>
      <c r="EPA97" s="21"/>
      <c r="EPB97" s="21"/>
      <c r="EPC97" s="21"/>
      <c r="EPD97" s="21"/>
      <c r="EPE97" s="21"/>
      <c r="EPF97" s="21"/>
      <c r="EPG97" s="21"/>
      <c r="EPH97" s="21"/>
      <c r="EPI97" s="21"/>
      <c r="EPJ97" s="21"/>
      <c r="EPK97" s="21"/>
      <c r="EPL97" s="21"/>
      <c r="EPM97" s="21"/>
      <c r="EPN97" s="21"/>
      <c r="EPO97" s="21"/>
      <c r="EPP97" s="21"/>
      <c r="EPQ97" s="21"/>
      <c r="EPR97" s="21"/>
      <c r="EPS97" s="21"/>
      <c r="EPT97" s="21"/>
      <c r="EPU97" s="21"/>
      <c r="EPV97" s="21"/>
      <c r="EPW97" s="21"/>
      <c r="EPX97" s="21"/>
      <c r="EPY97" s="21"/>
      <c r="EPZ97" s="21"/>
      <c r="EQA97" s="21"/>
      <c r="EQB97" s="21"/>
      <c r="EQC97" s="21"/>
      <c r="EQD97" s="21"/>
      <c r="EQE97" s="21"/>
      <c r="EQF97" s="21"/>
      <c r="EQG97" s="21"/>
      <c r="EQH97" s="21"/>
      <c r="EQI97" s="21"/>
      <c r="EQJ97" s="21"/>
      <c r="EQK97" s="21"/>
      <c r="EQL97" s="21"/>
      <c r="EQM97" s="21"/>
      <c r="EQN97" s="21"/>
      <c r="EQO97" s="21"/>
      <c r="EQP97" s="21"/>
      <c r="EQQ97" s="21"/>
      <c r="EQR97" s="21"/>
      <c r="EQS97" s="21"/>
      <c r="EQT97" s="21"/>
      <c r="EQU97" s="21"/>
      <c r="EQV97" s="21"/>
      <c r="EQW97" s="21"/>
      <c r="EQX97" s="21"/>
      <c r="EQY97" s="21"/>
      <c r="EQZ97" s="21"/>
      <c r="ERA97" s="21"/>
      <c r="ERB97" s="21"/>
      <c r="ERC97" s="21"/>
      <c r="ERD97" s="21"/>
      <c r="ERE97" s="21"/>
      <c r="ERF97" s="21"/>
      <c r="ERG97" s="21"/>
      <c r="ERH97" s="21"/>
      <c r="ERI97" s="21"/>
      <c r="ERJ97" s="21"/>
      <c r="ERK97" s="21"/>
      <c r="ERL97" s="21"/>
      <c r="ERM97" s="21"/>
      <c r="ERN97" s="21"/>
      <c r="ERO97" s="21"/>
      <c r="ERP97" s="21"/>
      <c r="ERQ97" s="21"/>
      <c r="ERR97" s="21"/>
      <c r="ERS97" s="21"/>
      <c r="ERT97" s="21"/>
      <c r="ERU97" s="21"/>
      <c r="ERV97" s="21"/>
      <c r="ERW97" s="21"/>
      <c r="ERX97" s="21"/>
      <c r="ERY97" s="21"/>
      <c r="ERZ97" s="21"/>
      <c r="ESA97" s="21"/>
      <c r="ESB97" s="21"/>
      <c r="ESC97" s="21"/>
      <c r="ESD97" s="21"/>
      <c r="ESE97" s="21"/>
      <c r="ESF97" s="21"/>
      <c r="ESG97" s="21"/>
      <c r="ESH97" s="21"/>
      <c r="ESI97" s="21"/>
      <c r="ESJ97" s="21"/>
      <c r="ESK97" s="21"/>
      <c r="ESL97" s="21"/>
      <c r="ESM97" s="21"/>
      <c r="ESN97" s="21"/>
      <c r="ESO97" s="21"/>
      <c r="ESP97" s="21"/>
      <c r="ESQ97" s="21"/>
      <c r="ESR97" s="21"/>
      <c r="ESS97" s="21"/>
      <c r="EST97" s="21"/>
      <c r="ESU97" s="21"/>
      <c r="ESV97" s="21"/>
      <c r="ESW97" s="21"/>
      <c r="ESX97" s="21"/>
      <c r="ESY97" s="21"/>
      <c r="ESZ97" s="21"/>
      <c r="ETA97" s="21"/>
      <c r="ETB97" s="21"/>
      <c r="ETC97" s="21"/>
      <c r="ETD97" s="21"/>
      <c r="ETE97" s="21"/>
      <c r="ETF97" s="21"/>
      <c r="ETG97" s="21"/>
      <c r="ETH97" s="21"/>
      <c r="ETI97" s="21"/>
      <c r="ETJ97" s="21"/>
      <c r="ETK97" s="21"/>
      <c r="ETL97" s="21"/>
      <c r="ETM97" s="21"/>
      <c r="ETN97" s="21"/>
      <c r="ETO97" s="21"/>
      <c r="ETP97" s="21"/>
      <c r="ETQ97" s="21"/>
      <c r="ETR97" s="21"/>
      <c r="ETS97" s="21"/>
      <c r="ETT97" s="21"/>
      <c r="ETU97" s="21"/>
      <c r="ETV97" s="21"/>
      <c r="ETW97" s="21"/>
      <c r="ETX97" s="21"/>
      <c r="ETY97" s="21"/>
      <c r="ETZ97" s="21"/>
      <c r="EUA97" s="21"/>
      <c r="EUB97" s="21"/>
      <c r="EUC97" s="21"/>
      <c r="EUD97" s="21"/>
      <c r="EUE97" s="21"/>
      <c r="EUF97" s="21"/>
      <c r="EUG97" s="21"/>
      <c r="EUH97" s="21"/>
      <c r="EUI97" s="21"/>
      <c r="EUJ97" s="21"/>
      <c r="EUK97" s="21"/>
      <c r="EUL97" s="21"/>
      <c r="EUM97" s="21"/>
      <c r="EUN97" s="21"/>
      <c r="EUO97" s="21"/>
      <c r="EUP97" s="21"/>
      <c r="EUQ97" s="21"/>
      <c r="EUR97" s="21"/>
      <c r="EUS97" s="21"/>
      <c r="EUT97" s="21"/>
      <c r="EUU97" s="21"/>
      <c r="EUV97" s="21"/>
      <c r="EUW97" s="21"/>
      <c r="EUX97" s="21"/>
      <c r="EUY97" s="21"/>
      <c r="EUZ97" s="21"/>
      <c r="EVA97" s="21"/>
      <c r="EVB97" s="21"/>
      <c r="EVC97" s="21"/>
      <c r="EVD97" s="21"/>
      <c r="EVE97" s="21"/>
      <c r="EVF97" s="21"/>
      <c r="EVG97" s="21"/>
      <c r="EVH97" s="21"/>
      <c r="EVI97" s="21"/>
      <c r="EVJ97" s="21"/>
      <c r="EVK97" s="21"/>
      <c r="EVL97" s="21"/>
      <c r="EVM97" s="21"/>
      <c r="EVN97" s="21"/>
      <c r="EVO97" s="21"/>
      <c r="EVP97" s="21"/>
      <c r="EVQ97" s="21"/>
      <c r="EVR97" s="21"/>
      <c r="EVS97" s="21"/>
      <c r="EVT97" s="21"/>
      <c r="EVU97" s="21"/>
      <c r="EVV97" s="21"/>
      <c r="EVW97" s="21"/>
      <c r="EVX97" s="21"/>
      <c r="EVY97" s="21"/>
      <c r="EVZ97" s="21"/>
      <c r="EWA97" s="21"/>
      <c r="EWB97" s="21"/>
      <c r="EWC97" s="21"/>
      <c r="EWD97" s="21"/>
      <c r="EWE97" s="21"/>
      <c r="EWF97" s="21"/>
      <c r="EWG97" s="21"/>
      <c r="EWH97" s="21"/>
      <c r="EWI97" s="21"/>
      <c r="EWJ97" s="21"/>
      <c r="EWK97" s="21"/>
      <c r="EWL97" s="21"/>
      <c r="EWM97" s="21"/>
      <c r="EWN97" s="21"/>
      <c r="EWO97" s="21"/>
      <c r="EWP97" s="21"/>
      <c r="EWQ97" s="21"/>
      <c r="EWR97" s="21"/>
      <c r="EWS97" s="21"/>
      <c r="EWT97" s="21"/>
      <c r="EWU97" s="21"/>
      <c r="EWV97" s="21"/>
      <c r="EWW97" s="21"/>
      <c r="EWX97" s="21"/>
      <c r="EWY97" s="21"/>
      <c r="EWZ97" s="21"/>
      <c r="EXA97" s="21"/>
      <c r="EXB97" s="21"/>
      <c r="EXC97" s="21"/>
      <c r="EXD97" s="21"/>
      <c r="EXE97" s="21"/>
      <c r="EXF97" s="21"/>
      <c r="EXG97" s="21"/>
      <c r="EXH97" s="21"/>
      <c r="EXI97" s="21"/>
      <c r="EXJ97" s="21"/>
      <c r="EXK97" s="21"/>
      <c r="EXL97" s="21"/>
      <c r="EXM97" s="21"/>
      <c r="EXN97" s="21"/>
      <c r="EXO97" s="21"/>
      <c r="EXP97" s="21"/>
      <c r="EXQ97" s="21"/>
      <c r="EXR97" s="21"/>
      <c r="EXS97" s="21"/>
      <c r="EXT97" s="21"/>
      <c r="EXU97" s="21"/>
      <c r="EXV97" s="21"/>
      <c r="EXW97" s="21"/>
      <c r="EXX97" s="21"/>
      <c r="EXY97" s="21"/>
      <c r="EXZ97" s="21"/>
      <c r="EYA97" s="21"/>
      <c r="EYB97" s="21"/>
      <c r="EYC97" s="21"/>
      <c r="EYD97" s="21"/>
      <c r="EYE97" s="21"/>
      <c r="EYF97" s="21"/>
      <c r="EYG97" s="21"/>
      <c r="EYH97" s="21"/>
      <c r="EYI97" s="21"/>
      <c r="EYJ97" s="21"/>
      <c r="EYK97" s="21"/>
      <c r="EYL97" s="21"/>
      <c r="EYM97" s="21"/>
      <c r="EYN97" s="21"/>
      <c r="EYO97" s="21"/>
      <c r="EYP97" s="21"/>
      <c r="EYQ97" s="21"/>
      <c r="EYR97" s="21"/>
      <c r="EYS97" s="21"/>
      <c r="EYT97" s="21"/>
      <c r="EYU97" s="21"/>
      <c r="EYV97" s="21"/>
      <c r="EYW97" s="21"/>
      <c r="EYX97" s="21"/>
      <c r="EYY97" s="21"/>
      <c r="EYZ97" s="21"/>
      <c r="EZA97" s="21"/>
      <c r="EZB97" s="21"/>
      <c r="EZC97" s="21"/>
      <c r="EZD97" s="21"/>
      <c r="EZE97" s="21"/>
      <c r="EZF97" s="21"/>
      <c r="EZG97" s="21"/>
      <c r="EZH97" s="21"/>
      <c r="EZI97" s="21"/>
      <c r="EZJ97" s="21"/>
      <c r="EZK97" s="21"/>
      <c r="EZL97" s="21"/>
      <c r="EZM97" s="21"/>
      <c r="EZN97" s="21"/>
      <c r="EZO97" s="21"/>
      <c r="EZP97" s="21"/>
      <c r="EZQ97" s="21"/>
      <c r="EZR97" s="21"/>
      <c r="EZS97" s="21"/>
      <c r="EZT97" s="21"/>
      <c r="EZU97" s="21"/>
      <c r="EZV97" s="21"/>
      <c r="EZW97" s="21"/>
      <c r="EZX97" s="21"/>
      <c r="EZY97" s="21"/>
      <c r="EZZ97" s="21"/>
      <c r="FAA97" s="21"/>
      <c r="FAB97" s="21"/>
      <c r="FAC97" s="21"/>
      <c r="FAD97" s="21"/>
      <c r="FAE97" s="21"/>
      <c r="FAF97" s="21"/>
      <c r="FAG97" s="21"/>
      <c r="FAH97" s="21"/>
      <c r="FAI97" s="21"/>
      <c r="FAJ97" s="21"/>
      <c r="FAK97" s="21"/>
      <c r="FAL97" s="21"/>
      <c r="FAM97" s="21"/>
      <c r="FAN97" s="21"/>
      <c r="FAO97" s="21"/>
      <c r="FAP97" s="21"/>
      <c r="FAQ97" s="21"/>
      <c r="FAR97" s="21"/>
      <c r="FAS97" s="21"/>
      <c r="FAT97" s="21"/>
      <c r="FAU97" s="21"/>
      <c r="FAV97" s="21"/>
      <c r="FAW97" s="21"/>
      <c r="FAX97" s="21"/>
      <c r="FAY97" s="21"/>
      <c r="FAZ97" s="21"/>
      <c r="FBA97" s="21"/>
      <c r="FBB97" s="21"/>
      <c r="FBC97" s="21"/>
      <c r="FBD97" s="21"/>
      <c r="FBE97" s="21"/>
      <c r="FBF97" s="21"/>
      <c r="FBG97" s="21"/>
      <c r="FBH97" s="21"/>
      <c r="FBI97" s="21"/>
      <c r="FBJ97" s="21"/>
      <c r="FBK97" s="21"/>
      <c r="FBL97" s="21"/>
      <c r="FBM97" s="21"/>
      <c r="FBN97" s="21"/>
      <c r="FBO97" s="21"/>
      <c r="FBP97" s="21"/>
      <c r="FBQ97" s="21"/>
      <c r="FBR97" s="21"/>
      <c r="FBS97" s="21"/>
      <c r="FBT97" s="21"/>
      <c r="FBU97" s="21"/>
      <c r="FBV97" s="21"/>
      <c r="FBW97" s="21"/>
      <c r="FBX97" s="21"/>
      <c r="FBY97" s="21"/>
      <c r="FBZ97" s="21"/>
      <c r="FCA97" s="21"/>
      <c r="FCB97" s="21"/>
      <c r="FCC97" s="21"/>
      <c r="FCD97" s="21"/>
      <c r="FCE97" s="21"/>
      <c r="FCF97" s="21"/>
      <c r="FCG97" s="21"/>
      <c r="FCH97" s="21"/>
      <c r="FCI97" s="21"/>
      <c r="FCJ97" s="21"/>
      <c r="FCK97" s="21"/>
      <c r="FCL97" s="21"/>
      <c r="FCM97" s="21"/>
      <c r="FCN97" s="21"/>
      <c r="FCO97" s="21"/>
      <c r="FCP97" s="21"/>
      <c r="FCQ97" s="21"/>
      <c r="FCR97" s="21"/>
      <c r="FCS97" s="21"/>
      <c r="FCT97" s="21"/>
      <c r="FCU97" s="21"/>
      <c r="FCV97" s="21"/>
      <c r="FCW97" s="21"/>
      <c r="FCX97" s="21"/>
      <c r="FCY97" s="21"/>
      <c r="FCZ97" s="21"/>
      <c r="FDA97" s="21"/>
      <c r="FDB97" s="21"/>
      <c r="FDC97" s="21"/>
      <c r="FDD97" s="21"/>
      <c r="FDE97" s="21"/>
      <c r="FDF97" s="21"/>
      <c r="FDG97" s="21"/>
      <c r="FDH97" s="21"/>
      <c r="FDI97" s="21"/>
      <c r="FDJ97" s="21"/>
      <c r="FDK97" s="21"/>
      <c r="FDL97" s="21"/>
      <c r="FDM97" s="21"/>
      <c r="FDN97" s="21"/>
      <c r="FDO97" s="21"/>
      <c r="FDP97" s="21"/>
      <c r="FDQ97" s="21"/>
      <c r="FDR97" s="21"/>
      <c r="FDS97" s="21"/>
      <c r="FDT97" s="21"/>
      <c r="FDU97" s="21"/>
      <c r="FDV97" s="21"/>
      <c r="FDW97" s="21"/>
      <c r="FDX97" s="21"/>
      <c r="FDY97" s="21"/>
      <c r="FDZ97" s="21"/>
      <c r="FEA97" s="21"/>
      <c r="FEB97" s="21"/>
      <c r="FEC97" s="21"/>
      <c r="FED97" s="21"/>
      <c r="FEE97" s="21"/>
      <c r="FEF97" s="21"/>
      <c r="FEG97" s="21"/>
      <c r="FEH97" s="21"/>
      <c r="FEI97" s="21"/>
      <c r="FEJ97" s="21"/>
      <c r="FEK97" s="21"/>
      <c r="FEL97" s="21"/>
      <c r="FEM97" s="21"/>
      <c r="FEN97" s="21"/>
      <c r="FEO97" s="21"/>
      <c r="FEP97" s="21"/>
      <c r="FEQ97" s="21"/>
      <c r="FER97" s="21"/>
      <c r="FES97" s="21"/>
      <c r="FET97" s="21"/>
      <c r="FEU97" s="21"/>
      <c r="FEV97" s="21"/>
      <c r="FEW97" s="21"/>
      <c r="FEX97" s="21"/>
      <c r="FEY97" s="21"/>
      <c r="FEZ97" s="21"/>
      <c r="FFA97" s="21"/>
      <c r="FFB97" s="21"/>
      <c r="FFC97" s="21"/>
      <c r="FFD97" s="21"/>
      <c r="FFE97" s="21"/>
      <c r="FFF97" s="21"/>
      <c r="FFG97" s="21"/>
      <c r="FFH97" s="21"/>
      <c r="FFI97" s="21"/>
      <c r="FFJ97" s="21"/>
      <c r="FFK97" s="21"/>
      <c r="FFL97" s="21"/>
      <c r="FFM97" s="21"/>
      <c r="FFN97" s="21"/>
      <c r="FFO97" s="21"/>
      <c r="FFP97" s="21"/>
      <c r="FFQ97" s="21"/>
      <c r="FFR97" s="21"/>
      <c r="FFS97" s="21"/>
      <c r="FFT97" s="21"/>
      <c r="FFU97" s="21"/>
      <c r="FFV97" s="21"/>
      <c r="FFW97" s="21"/>
      <c r="FFX97" s="21"/>
      <c r="FFY97" s="21"/>
      <c r="FFZ97" s="21"/>
      <c r="FGA97" s="21"/>
      <c r="FGB97" s="21"/>
      <c r="FGC97" s="21"/>
      <c r="FGD97" s="21"/>
      <c r="FGE97" s="21"/>
      <c r="FGF97" s="21"/>
      <c r="FGG97" s="21"/>
      <c r="FGH97" s="21"/>
      <c r="FGI97" s="21"/>
      <c r="FGJ97" s="21"/>
      <c r="FGK97" s="21"/>
      <c r="FGL97" s="21"/>
      <c r="FGM97" s="21"/>
      <c r="FGN97" s="21"/>
      <c r="FGO97" s="21"/>
      <c r="FGP97" s="21"/>
      <c r="FGQ97" s="21"/>
      <c r="FGR97" s="21"/>
      <c r="FGS97" s="21"/>
      <c r="FGT97" s="21"/>
      <c r="FGU97" s="21"/>
      <c r="FGV97" s="21"/>
      <c r="FGW97" s="21"/>
      <c r="FGX97" s="21"/>
      <c r="FGY97" s="21"/>
      <c r="FGZ97" s="21"/>
      <c r="FHA97" s="21"/>
      <c r="FHB97" s="21"/>
      <c r="FHC97" s="21"/>
      <c r="FHD97" s="21"/>
      <c r="FHE97" s="21"/>
      <c r="FHF97" s="21"/>
      <c r="FHG97" s="21"/>
      <c r="FHH97" s="21"/>
      <c r="FHI97" s="21"/>
      <c r="FHJ97" s="21"/>
      <c r="FHK97" s="21"/>
      <c r="FHL97" s="21"/>
      <c r="FHM97" s="21"/>
      <c r="FHN97" s="21"/>
      <c r="FHO97" s="21"/>
      <c r="FHP97" s="21"/>
      <c r="FHQ97" s="21"/>
      <c r="FHR97" s="21"/>
      <c r="FHS97" s="21"/>
      <c r="FHT97" s="21"/>
      <c r="FHU97" s="21"/>
      <c r="FHV97" s="21"/>
      <c r="FHW97" s="21"/>
      <c r="FHX97" s="21"/>
      <c r="FHY97" s="21"/>
      <c r="FHZ97" s="21"/>
      <c r="FIA97" s="21"/>
      <c r="FIB97" s="21"/>
      <c r="FIC97" s="21"/>
      <c r="FID97" s="21"/>
      <c r="FIE97" s="21"/>
      <c r="FIF97" s="21"/>
      <c r="FIG97" s="21"/>
      <c r="FIH97" s="21"/>
      <c r="FII97" s="21"/>
      <c r="FIJ97" s="21"/>
      <c r="FIK97" s="21"/>
      <c r="FIL97" s="21"/>
      <c r="FIM97" s="21"/>
      <c r="FIN97" s="21"/>
      <c r="FIO97" s="21"/>
      <c r="FIP97" s="21"/>
      <c r="FIQ97" s="21"/>
      <c r="FIR97" s="21"/>
      <c r="FIS97" s="21"/>
      <c r="FIT97" s="21"/>
      <c r="FIU97" s="21"/>
      <c r="FIV97" s="21"/>
      <c r="FIW97" s="21"/>
      <c r="FIX97" s="21"/>
      <c r="FIY97" s="21"/>
      <c r="FIZ97" s="21"/>
      <c r="FJA97" s="21"/>
      <c r="FJB97" s="21"/>
      <c r="FJC97" s="21"/>
      <c r="FJD97" s="21"/>
      <c r="FJE97" s="21"/>
      <c r="FJF97" s="21"/>
      <c r="FJG97" s="21"/>
      <c r="FJH97" s="21"/>
      <c r="FJI97" s="21"/>
      <c r="FJJ97" s="21"/>
      <c r="FJK97" s="21"/>
      <c r="FJL97" s="21"/>
      <c r="FJM97" s="21"/>
      <c r="FJN97" s="21"/>
      <c r="FJO97" s="21"/>
      <c r="FJP97" s="21"/>
      <c r="FJQ97" s="21"/>
      <c r="FJR97" s="21"/>
      <c r="FJS97" s="21"/>
      <c r="FJT97" s="21"/>
      <c r="FJU97" s="21"/>
      <c r="FJV97" s="21"/>
      <c r="FJW97" s="21"/>
      <c r="FJX97" s="21"/>
      <c r="FJY97" s="21"/>
      <c r="FJZ97" s="21"/>
      <c r="FKA97" s="21"/>
      <c r="FKB97" s="21"/>
      <c r="FKC97" s="21"/>
      <c r="FKD97" s="21"/>
      <c r="FKE97" s="21"/>
      <c r="FKF97" s="21"/>
      <c r="FKG97" s="21"/>
      <c r="FKH97" s="21"/>
      <c r="FKI97" s="21"/>
      <c r="FKJ97" s="21"/>
      <c r="FKK97" s="21"/>
      <c r="FKL97" s="21"/>
      <c r="FKM97" s="21"/>
      <c r="FKN97" s="21"/>
      <c r="FKO97" s="21"/>
      <c r="FKP97" s="21"/>
      <c r="FKQ97" s="21"/>
      <c r="FKR97" s="21"/>
      <c r="FKS97" s="21"/>
      <c r="FKT97" s="21"/>
      <c r="FKU97" s="21"/>
      <c r="FKV97" s="21"/>
      <c r="FKW97" s="21"/>
      <c r="FKX97" s="21"/>
      <c r="FKY97" s="21"/>
      <c r="FKZ97" s="21"/>
      <c r="FLA97" s="21"/>
      <c r="FLB97" s="21"/>
      <c r="FLC97" s="21"/>
      <c r="FLD97" s="21"/>
      <c r="FLE97" s="21"/>
      <c r="FLF97" s="21"/>
      <c r="FLG97" s="21"/>
      <c r="FLH97" s="21"/>
      <c r="FLI97" s="21"/>
      <c r="FLJ97" s="21"/>
      <c r="FLK97" s="21"/>
      <c r="FLL97" s="21"/>
      <c r="FLM97" s="21"/>
      <c r="FLN97" s="21"/>
      <c r="FLO97" s="21"/>
      <c r="FLP97" s="21"/>
      <c r="FLQ97" s="21"/>
      <c r="FLR97" s="21"/>
      <c r="FLS97" s="21"/>
      <c r="FLT97" s="21"/>
      <c r="FLU97" s="21"/>
      <c r="FLV97" s="21"/>
      <c r="FLW97" s="21"/>
      <c r="FLX97" s="21"/>
      <c r="FLY97" s="21"/>
      <c r="FLZ97" s="21"/>
      <c r="FMA97" s="21"/>
      <c r="FMB97" s="21"/>
      <c r="FMC97" s="21"/>
      <c r="FMD97" s="21"/>
      <c r="FME97" s="21"/>
      <c r="FMF97" s="21"/>
      <c r="FMG97" s="21"/>
      <c r="FMH97" s="21"/>
      <c r="FMI97" s="21"/>
      <c r="FMJ97" s="21"/>
      <c r="FMK97" s="21"/>
      <c r="FML97" s="21"/>
      <c r="FMM97" s="21"/>
      <c r="FMN97" s="21"/>
      <c r="FMO97" s="21"/>
      <c r="FMP97" s="21"/>
      <c r="FMQ97" s="21"/>
      <c r="FMR97" s="21"/>
      <c r="FMS97" s="21"/>
      <c r="FMT97" s="21"/>
      <c r="FMU97" s="21"/>
      <c r="FMV97" s="21"/>
      <c r="FMW97" s="21"/>
      <c r="FMX97" s="21"/>
      <c r="FMY97" s="21"/>
      <c r="FMZ97" s="21"/>
      <c r="FNA97" s="21"/>
      <c r="FNB97" s="21"/>
      <c r="FNC97" s="21"/>
      <c r="FND97" s="21"/>
      <c r="FNE97" s="21"/>
      <c r="FNF97" s="21"/>
      <c r="FNG97" s="21"/>
      <c r="FNH97" s="21"/>
      <c r="FNI97" s="21"/>
      <c r="FNJ97" s="21"/>
      <c r="FNK97" s="21"/>
      <c r="FNL97" s="21"/>
      <c r="FNM97" s="21"/>
      <c r="FNN97" s="21"/>
      <c r="FNO97" s="21"/>
      <c r="FNP97" s="21"/>
      <c r="FNQ97" s="21"/>
      <c r="FNR97" s="21"/>
      <c r="FNS97" s="21"/>
      <c r="FNT97" s="21"/>
      <c r="FNU97" s="21"/>
      <c r="FNV97" s="21"/>
      <c r="FNW97" s="21"/>
      <c r="FNX97" s="21"/>
      <c r="FNY97" s="21"/>
      <c r="FNZ97" s="21"/>
      <c r="FOA97" s="21"/>
      <c r="FOB97" s="21"/>
      <c r="FOC97" s="21"/>
      <c r="FOD97" s="21"/>
      <c r="FOE97" s="21"/>
      <c r="FOF97" s="21"/>
      <c r="FOG97" s="21"/>
      <c r="FOH97" s="21"/>
      <c r="FOI97" s="21"/>
      <c r="FOJ97" s="21"/>
      <c r="FOK97" s="21"/>
      <c r="FOL97" s="21"/>
      <c r="FOM97" s="21"/>
      <c r="FON97" s="21"/>
      <c r="FOO97" s="21"/>
      <c r="FOP97" s="21"/>
      <c r="FOQ97" s="21"/>
      <c r="FOR97" s="21"/>
      <c r="FOS97" s="21"/>
      <c r="FOT97" s="21"/>
      <c r="FOU97" s="21"/>
      <c r="FOV97" s="21"/>
      <c r="FOW97" s="21"/>
      <c r="FOX97" s="21"/>
      <c r="FOY97" s="21"/>
      <c r="FOZ97" s="21"/>
      <c r="FPA97" s="21"/>
      <c r="FPB97" s="21"/>
      <c r="FPC97" s="21"/>
      <c r="FPD97" s="21"/>
      <c r="FPE97" s="21"/>
      <c r="FPF97" s="21"/>
      <c r="FPG97" s="21"/>
      <c r="FPH97" s="21"/>
      <c r="FPI97" s="21"/>
      <c r="FPJ97" s="21"/>
      <c r="FPK97" s="21"/>
      <c r="FPL97" s="21"/>
      <c r="FPM97" s="21"/>
      <c r="FPN97" s="21"/>
      <c r="FPO97" s="21"/>
      <c r="FPP97" s="21"/>
      <c r="FPQ97" s="21"/>
      <c r="FPR97" s="21"/>
      <c r="FPS97" s="21"/>
      <c r="FPT97" s="21"/>
      <c r="FPU97" s="21"/>
      <c r="FPV97" s="21"/>
      <c r="FPW97" s="21"/>
      <c r="FPX97" s="21"/>
      <c r="FPY97" s="21"/>
      <c r="FPZ97" s="21"/>
      <c r="FQA97" s="21"/>
      <c r="FQB97" s="21"/>
      <c r="FQC97" s="21"/>
      <c r="FQD97" s="21"/>
      <c r="FQE97" s="21"/>
      <c r="FQF97" s="21"/>
      <c r="FQG97" s="21"/>
      <c r="FQH97" s="21"/>
      <c r="FQI97" s="21"/>
      <c r="FQJ97" s="21"/>
      <c r="FQK97" s="21"/>
      <c r="FQL97" s="21"/>
      <c r="FQM97" s="21"/>
      <c r="FQN97" s="21"/>
      <c r="FQO97" s="21"/>
      <c r="FQP97" s="21"/>
      <c r="FQQ97" s="21"/>
      <c r="FQR97" s="21"/>
      <c r="FQS97" s="21"/>
      <c r="FQT97" s="21"/>
      <c r="FQU97" s="21"/>
      <c r="FQV97" s="21"/>
      <c r="FQW97" s="21"/>
      <c r="FQX97" s="21"/>
      <c r="FQY97" s="21"/>
      <c r="FQZ97" s="21"/>
      <c r="FRA97" s="21"/>
      <c r="FRB97" s="21"/>
      <c r="FRC97" s="21"/>
      <c r="FRD97" s="21"/>
      <c r="FRE97" s="21"/>
      <c r="FRF97" s="21"/>
      <c r="FRG97" s="21"/>
      <c r="FRH97" s="21"/>
      <c r="FRI97" s="21"/>
      <c r="FRJ97" s="21"/>
      <c r="FRK97" s="21"/>
      <c r="FRL97" s="21"/>
      <c r="FRM97" s="21"/>
      <c r="FRN97" s="21"/>
      <c r="FRO97" s="21"/>
      <c r="FRP97" s="21"/>
      <c r="FRQ97" s="21"/>
      <c r="FRR97" s="21"/>
      <c r="FRS97" s="21"/>
      <c r="FRT97" s="21"/>
      <c r="FRU97" s="21"/>
      <c r="FRV97" s="21"/>
      <c r="FRW97" s="21"/>
      <c r="FRX97" s="21"/>
      <c r="FRY97" s="21"/>
      <c r="FRZ97" s="21"/>
      <c r="FSA97" s="21"/>
      <c r="FSB97" s="21"/>
      <c r="FSC97" s="21"/>
      <c r="FSD97" s="21"/>
      <c r="FSE97" s="21"/>
      <c r="FSF97" s="21"/>
      <c r="FSG97" s="21"/>
      <c r="FSH97" s="21"/>
      <c r="FSI97" s="21"/>
      <c r="FSJ97" s="21"/>
      <c r="FSK97" s="21"/>
      <c r="FSL97" s="21"/>
      <c r="FSM97" s="21"/>
      <c r="FSN97" s="21"/>
      <c r="FSO97" s="21"/>
      <c r="FSP97" s="21"/>
      <c r="FSQ97" s="21"/>
      <c r="FSR97" s="21"/>
      <c r="FSS97" s="21"/>
      <c r="FST97" s="21"/>
      <c r="FSU97" s="21"/>
      <c r="FSV97" s="21"/>
      <c r="FSW97" s="21"/>
      <c r="FSX97" s="21"/>
      <c r="FSY97" s="21"/>
      <c r="FSZ97" s="21"/>
      <c r="FTA97" s="21"/>
      <c r="FTB97" s="21"/>
      <c r="FTC97" s="21"/>
      <c r="FTD97" s="21"/>
      <c r="FTE97" s="21"/>
      <c r="FTF97" s="21"/>
      <c r="FTG97" s="21"/>
      <c r="FTH97" s="21"/>
      <c r="FTI97" s="21"/>
      <c r="FTJ97" s="21"/>
      <c r="FTK97" s="21"/>
      <c r="FTL97" s="21"/>
      <c r="FTM97" s="21"/>
      <c r="FTN97" s="21"/>
      <c r="FTO97" s="21"/>
      <c r="FTP97" s="21"/>
      <c r="FTQ97" s="21"/>
      <c r="FTR97" s="21"/>
      <c r="FTS97" s="21"/>
      <c r="FTT97" s="21"/>
      <c r="FTU97" s="21"/>
      <c r="FTV97" s="21"/>
      <c r="FTW97" s="21"/>
      <c r="FTX97" s="21"/>
      <c r="FTY97" s="21"/>
      <c r="FTZ97" s="21"/>
      <c r="FUA97" s="21"/>
      <c r="FUB97" s="21"/>
      <c r="FUC97" s="21"/>
      <c r="FUD97" s="21"/>
      <c r="FUE97" s="21"/>
      <c r="FUF97" s="21"/>
      <c r="FUG97" s="21"/>
      <c r="FUH97" s="21"/>
      <c r="FUI97" s="21"/>
      <c r="FUJ97" s="21"/>
      <c r="FUK97" s="21"/>
      <c r="FUL97" s="21"/>
      <c r="FUM97" s="21"/>
      <c r="FUN97" s="21"/>
      <c r="FUO97" s="21"/>
      <c r="FUP97" s="21"/>
      <c r="FUQ97" s="21"/>
      <c r="FUR97" s="21"/>
      <c r="FUS97" s="21"/>
      <c r="FUT97" s="21"/>
      <c r="FUU97" s="21"/>
      <c r="FUV97" s="21"/>
      <c r="FUW97" s="21"/>
      <c r="FUX97" s="21"/>
      <c r="FUY97" s="21"/>
      <c r="FUZ97" s="21"/>
      <c r="FVA97" s="21"/>
      <c r="FVB97" s="21"/>
      <c r="FVC97" s="21"/>
      <c r="FVD97" s="21"/>
      <c r="FVE97" s="21"/>
      <c r="FVF97" s="21"/>
      <c r="FVG97" s="21"/>
      <c r="FVH97" s="21"/>
      <c r="FVI97" s="21"/>
      <c r="FVJ97" s="21"/>
      <c r="FVK97" s="21"/>
      <c r="FVL97" s="21"/>
      <c r="FVM97" s="21"/>
      <c r="FVN97" s="21"/>
      <c r="FVO97" s="21"/>
      <c r="FVP97" s="21"/>
      <c r="FVQ97" s="21"/>
      <c r="FVR97" s="21"/>
      <c r="FVS97" s="21"/>
      <c r="FVT97" s="21"/>
      <c r="FVU97" s="21"/>
      <c r="FVV97" s="21"/>
      <c r="FVW97" s="21"/>
      <c r="FVX97" s="21"/>
      <c r="FVY97" s="21"/>
      <c r="FVZ97" s="21"/>
      <c r="FWA97" s="21"/>
      <c r="FWB97" s="21"/>
      <c r="FWC97" s="21"/>
      <c r="FWD97" s="21"/>
      <c r="FWE97" s="21"/>
      <c r="FWF97" s="21"/>
      <c r="FWG97" s="21"/>
      <c r="FWH97" s="21"/>
      <c r="FWI97" s="21"/>
      <c r="FWJ97" s="21"/>
      <c r="FWK97" s="21"/>
      <c r="FWL97" s="21"/>
      <c r="FWM97" s="21"/>
      <c r="FWN97" s="21"/>
      <c r="FWO97" s="21"/>
      <c r="FWP97" s="21"/>
      <c r="FWQ97" s="21"/>
      <c r="FWR97" s="21"/>
      <c r="FWS97" s="21"/>
      <c r="FWT97" s="21"/>
      <c r="FWU97" s="21"/>
      <c r="FWV97" s="21"/>
      <c r="FWW97" s="21"/>
      <c r="FWX97" s="21"/>
      <c r="FWY97" s="21"/>
      <c r="FWZ97" s="21"/>
      <c r="FXA97" s="21"/>
      <c r="FXB97" s="21"/>
      <c r="FXC97" s="21"/>
      <c r="FXD97" s="21"/>
      <c r="FXE97" s="21"/>
      <c r="FXF97" s="21"/>
      <c r="FXG97" s="21"/>
      <c r="FXH97" s="21"/>
      <c r="FXI97" s="21"/>
      <c r="FXJ97" s="21"/>
      <c r="FXK97" s="21"/>
      <c r="FXL97" s="21"/>
      <c r="FXM97" s="21"/>
      <c r="FXN97" s="21"/>
      <c r="FXO97" s="21"/>
      <c r="FXP97" s="21"/>
      <c r="FXQ97" s="21"/>
      <c r="FXR97" s="21"/>
      <c r="FXS97" s="21"/>
      <c r="FXT97" s="21"/>
      <c r="FXU97" s="21"/>
      <c r="FXV97" s="21"/>
      <c r="FXW97" s="21"/>
      <c r="FXX97" s="21"/>
      <c r="FXY97" s="21"/>
      <c r="FXZ97" s="21"/>
      <c r="FYA97" s="21"/>
      <c r="FYB97" s="21"/>
      <c r="FYC97" s="21"/>
      <c r="FYD97" s="21"/>
      <c r="FYE97" s="21"/>
      <c r="FYF97" s="21"/>
      <c r="FYG97" s="21"/>
      <c r="FYH97" s="21"/>
      <c r="FYI97" s="21"/>
      <c r="FYJ97" s="21"/>
      <c r="FYK97" s="21"/>
      <c r="FYL97" s="21"/>
      <c r="FYM97" s="21"/>
      <c r="FYN97" s="21"/>
      <c r="FYO97" s="21"/>
      <c r="FYP97" s="21"/>
      <c r="FYQ97" s="21"/>
      <c r="FYR97" s="21"/>
      <c r="FYS97" s="21"/>
      <c r="FYT97" s="21"/>
      <c r="FYU97" s="21"/>
      <c r="FYV97" s="21"/>
      <c r="FYW97" s="21"/>
      <c r="FYX97" s="21"/>
      <c r="FYY97" s="21"/>
      <c r="FYZ97" s="21"/>
      <c r="FZA97" s="21"/>
      <c r="FZB97" s="21"/>
      <c r="FZC97" s="21"/>
      <c r="FZD97" s="21"/>
      <c r="FZE97" s="21"/>
      <c r="FZF97" s="21"/>
      <c r="FZG97" s="21"/>
      <c r="FZH97" s="21"/>
      <c r="FZI97" s="21"/>
      <c r="FZJ97" s="21"/>
      <c r="FZK97" s="21"/>
      <c r="FZL97" s="21"/>
      <c r="FZM97" s="21"/>
      <c r="FZN97" s="21"/>
      <c r="FZO97" s="21"/>
      <c r="FZP97" s="21"/>
      <c r="FZQ97" s="21"/>
      <c r="FZR97" s="21"/>
      <c r="FZS97" s="21"/>
      <c r="FZT97" s="21"/>
      <c r="FZU97" s="21"/>
      <c r="FZV97" s="21"/>
      <c r="FZW97" s="21"/>
      <c r="FZX97" s="21"/>
      <c r="FZY97" s="21"/>
      <c r="FZZ97" s="21"/>
      <c r="GAA97" s="21"/>
      <c r="GAB97" s="21"/>
      <c r="GAC97" s="21"/>
      <c r="GAD97" s="21"/>
      <c r="GAE97" s="21"/>
      <c r="GAF97" s="21"/>
      <c r="GAG97" s="21"/>
      <c r="GAH97" s="21"/>
      <c r="GAI97" s="21"/>
      <c r="GAJ97" s="21"/>
      <c r="GAK97" s="21"/>
      <c r="GAL97" s="21"/>
      <c r="GAM97" s="21"/>
      <c r="GAN97" s="21"/>
      <c r="GAO97" s="21"/>
      <c r="GAP97" s="21"/>
      <c r="GAQ97" s="21"/>
      <c r="GAR97" s="21"/>
      <c r="GAS97" s="21"/>
      <c r="GAT97" s="21"/>
      <c r="GAU97" s="21"/>
      <c r="GAV97" s="21"/>
      <c r="GAW97" s="21"/>
      <c r="GAX97" s="21"/>
      <c r="GAY97" s="21"/>
      <c r="GAZ97" s="21"/>
      <c r="GBA97" s="21"/>
      <c r="GBB97" s="21"/>
      <c r="GBC97" s="21"/>
      <c r="GBD97" s="21"/>
      <c r="GBE97" s="21"/>
      <c r="GBF97" s="21"/>
      <c r="GBG97" s="21"/>
      <c r="GBH97" s="21"/>
      <c r="GBI97" s="21"/>
      <c r="GBJ97" s="21"/>
      <c r="GBK97" s="21"/>
      <c r="GBL97" s="21"/>
      <c r="GBM97" s="21"/>
      <c r="GBN97" s="21"/>
      <c r="GBO97" s="21"/>
      <c r="GBP97" s="21"/>
      <c r="GBQ97" s="21"/>
      <c r="GBR97" s="21"/>
      <c r="GBS97" s="21"/>
      <c r="GBT97" s="21"/>
      <c r="GBU97" s="21"/>
      <c r="GBV97" s="21"/>
      <c r="GBW97" s="21"/>
      <c r="GBX97" s="21"/>
      <c r="GBY97" s="21"/>
      <c r="GBZ97" s="21"/>
      <c r="GCA97" s="21"/>
      <c r="GCB97" s="21"/>
      <c r="GCC97" s="21"/>
      <c r="GCD97" s="21"/>
      <c r="GCE97" s="21"/>
      <c r="GCF97" s="21"/>
      <c r="GCG97" s="21"/>
      <c r="GCH97" s="21"/>
      <c r="GCI97" s="21"/>
      <c r="GCJ97" s="21"/>
      <c r="GCK97" s="21"/>
      <c r="GCL97" s="21"/>
      <c r="GCM97" s="21"/>
      <c r="GCN97" s="21"/>
      <c r="GCO97" s="21"/>
      <c r="GCP97" s="21"/>
      <c r="GCQ97" s="21"/>
      <c r="GCR97" s="21"/>
      <c r="GCS97" s="21"/>
      <c r="GCT97" s="21"/>
      <c r="GCU97" s="21"/>
      <c r="GCV97" s="21"/>
      <c r="GCW97" s="21"/>
      <c r="GCX97" s="21"/>
      <c r="GCY97" s="21"/>
      <c r="GCZ97" s="21"/>
      <c r="GDA97" s="21"/>
      <c r="GDB97" s="21"/>
      <c r="GDC97" s="21"/>
      <c r="GDD97" s="21"/>
      <c r="GDE97" s="21"/>
      <c r="GDF97" s="21"/>
      <c r="GDG97" s="21"/>
      <c r="GDH97" s="21"/>
      <c r="GDI97" s="21"/>
      <c r="GDJ97" s="21"/>
      <c r="GDK97" s="21"/>
      <c r="GDL97" s="21"/>
      <c r="GDM97" s="21"/>
      <c r="GDN97" s="21"/>
      <c r="GDO97" s="21"/>
      <c r="GDP97" s="21"/>
      <c r="GDQ97" s="21"/>
      <c r="GDR97" s="21"/>
      <c r="GDS97" s="21"/>
      <c r="GDT97" s="21"/>
      <c r="GDU97" s="21"/>
      <c r="GDV97" s="21"/>
      <c r="GDW97" s="21"/>
      <c r="GDX97" s="21"/>
      <c r="GDY97" s="21"/>
      <c r="GDZ97" s="21"/>
      <c r="GEA97" s="21"/>
      <c r="GEB97" s="21"/>
      <c r="GEC97" s="21"/>
      <c r="GED97" s="21"/>
      <c r="GEE97" s="21"/>
      <c r="GEF97" s="21"/>
      <c r="GEG97" s="21"/>
      <c r="GEH97" s="21"/>
      <c r="GEI97" s="21"/>
      <c r="GEJ97" s="21"/>
      <c r="GEK97" s="21"/>
      <c r="GEL97" s="21"/>
      <c r="GEM97" s="21"/>
      <c r="GEN97" s="21"/>
      <c r="GEO97" s="21"/>
      <c r="GEP97" s="21"/>
      <c r="GEQ97" s="21"/>
      <c r="GER97" s="21"/>
      <c r="GES97" s="21"/>
      <c r="GET97" s="21"/>
      <c r="GEU97" s="21"/>
      <c r="GEV97" s="21"/>
      <c r="GEW97" s="21"/>
      <c r="GEX97" s="21"/>
      <c r="GEY97" s="21"/>
      <c r="GEZ97" s="21"/>
      <c r="GFA97" s="21"/>
      <c r="GFB97" s="21"/>
      <c r="GFC97" s="21"/>
      <c r="GFD97" s="21"/>
      <c r="GFE97" s="21"/>
      <c r="GFF97" s="21"/>
      <c r="GFG97" s="21"/>
      <c r="GFH97" s="21"/>
      <c r="GFI97" s="21"/>
      <c r="GFJ97" s="21"/>
      <c r="GFK97" s="21"/>
      <c r="GFL97" s="21"/>
      <c r="GFM97" s="21"/>
      <c r="GFN97" s="21"/>
      <c r="GFO97" s="21"/>
      <c r="GFP97" s="21"/>
      <c r="GFQ97" s="21"/>
      <c r="GFR97" s="21"/>
      <c r="GFS97" s="21"/>
      <c r="GFT97" s="21"/>
      <c r="GFU97" s="21"/>
      <c r="GFV97" s="21"/>
      <c r="GFW97" s="21"/>
      <c r="GFX97" s="21"/>
      <c r="GFY97" s="21"/>
      <c r="GFZ97" s="21"/>
      <c r="GGA97" s="21"/>
      <c r="GGB97" s="21"/>
      <c r="GGC97" s="21"/>
      <c r="GGD97" s="21"/>
      <c r="GGE97" s="21"/>
      <c r="GGF97" s="21"/>
      <c r="GGG97" s="21"/>
      <c r="GGH97" s="21"/>
      <c r="GGI97" s="21"/>
      <c r="GGJ97" s="21"/>
      <c r="GGK97" s="21"/>
      <c r="GGL97" s="21"/>
      <c r="GGM97" s="21"/>
      <c r="GGN97" s="21"/>
      <c r="GGO97" s="21"/>
      <c r="GGP97" s="21"/>
      <c r="GGQ97" s="21"/>
      <c r="GGR97" s="21"/>
      <c r="GGS97" s="21"/>
      <c r="GGT97" s="21"/>
      <c r="GGU97" s="21"/>
      <c r="GGV97" s="21"/>
      <c r="GGW97" s="21"/>
      <c r="GGX97" s="21"/>
      <c r="GGY97" s="21"/>
      <c r="GGZ97" s="21"/>
      <c r="GHA97" s="21"/>
      <c r="GHB97" s="21"/>
      <c r="GHC97" s="21"/>
      <c r="GHD97" s="21"/>
      <c r="GHE97" s="21"/>
      <c r="GHF97" s="21"/>
      <c r="GHG97" s="21"/>
      <c r="GHH97" s="21"/>
      <c r="GHI97" s="21"/>
      <c r="GHJ97" s="21"/>
      <c r="GHK97" s="21"/>
      <c r="GHL97" s="21"/>
      <c r="GHM97" s="21"/>
      <c r="GHN97" s="21"/>
      <c r="GHO97" s="21"/>
      <c r="GHP97" s="21"/>
      <c r="GHQ97" s="21"/>
      <c r="GHR97" s="21"/>
      <c r="GHS97" s="21"/>
      <c r="GHT97" s="21"/>
      <c r="GHU97" s="21"/>
      <c r="GHV97" s="21"/>
      <c r="GHW97" s="21"/>
      <c r="GHX97" s="21"/>
      <c r="GHY97" s="21"/>
      <c r="GHZ97" s="21"/>
      <c r="GIA97" s="21"/>
      <c r="GIB97" s="21"/>
      <c r="GIC97" s="21"/>
      <c r="GID97" s="21"/>
      <c r="GIE97" s="21"/>
      <c r="GIF97" s="21"/>
      <c r="GIG97" s="21"/>
      <c r="GIH97" s="21"/>
      <c r="GII97" s="21"/>
      <c r="GIJ97" s="21"/>
      <c r="GIK97" s="21"/>
      <c r="GIL97" s="21"/>
      <c r="GIM97" s="21"/>
      <c r="GIN97" s="21"/>
      <c r="GIO97" s="21"/>
      <c r="GIP97" s="21"/>
      <c r="GIQ97" s="21"/>
      <c r="GIR97" s="21"/>
      <c r="GIS97" s="21"/>
      <c r="GIT97" s="21"/>
      <c r="GIU97" s="21"/>
      <c r="GIV97" s="21"/>
      <c r="GIW97" s="21"/>
      <c r="GIX97" s="21"/>
      <c r="GIY97" s="21"/>
      <c r="GIZ97" s="21"/>
      <c r="GJA97" s="21"/>
      <c r="GJB97" s="21"/>
      <c r="GJC97" s="21"/>
      <c r="GJD97" s="21"/>
      <c r="GJE97" s="21"/>
      <c r="GJF97" s="21"/>
      <c r="GJG97" s="21"/>
      <c r="GJH97" s="21"/>
      <c r="GJI97" s="21"/>
      <c r="GJJ97" s="21"/>
      <c r="GJK97" s="21"/>
      <c r="GJL97" s="21"/>
      <c r="GJM97" s="21"/>
      <c r="GJN97" s="21"/>
      <c r="GJO97" s="21"/>
      <c r="GJP97" s="21"/>
      <c r="GJQ97" s="21"/>
      <c r="GJR97" s="21"/>
      <c r="GJS97" s="21"/>
      <c r="GJT97" s="21"/>
      <c r="GJU97" s="21"/>
      <c r="GJV97" s="21"/>
      <c r="GJW97" s="21"/>
      <c r="GJX97" s="21"/>
      <c r="GJY97" s="21"/>
      <c r="GJZ97" s="21"/>
      <c r="GKA97" s="21"/>
      <c r="GKB97" s="21"/>
      <c r="GKC97" s="21"/>
      <c r="GKD97" s="21"/>
      <c r="GKE97" s="21"/>
      <c r="GKF97" s="21"/>
      <c r="GKG97" s="21"/>
      <c r="GKH97" s="21"/>
      <c r="GKI97" s="21"/>
      <c r="GKJ97" s="21"/>
      <c r="GKK97" s="21"/>
      <c r="GKL97" s="21"/>
      <c r="GKM97" s="21"/>
      <c r="GKN97" s="21"/>
      <c r="GKO97" s="21"/>
      <c r="GKP97" s="21"/>
      <c r="GKQ97" s="21"/>
      <c r="GKR97" s="21"/>
      <c r="GKS97" s="21"/>
      <c r="GKT97" s="21"/>
      <c r="GKU97" s="21"/>
      <c r="GKV97" s="21"/>
      <c r="GKW97" s="21"/>
      <c r="GKX97" s="21"/>
      <c r="GKY97" s="21"/>
      <c r="GKZ97" s="21"/>
      <c r="GLA97" s="21"/>
      <c r="GLB97" s="21"/>
      <c r="GLC97" s="21"/>
      <c r="GLD97" s="21"/>
      <c r="GLE97" s="21"/>
      <c r="GLF97" s="21"/>
      <c r="GLG97" s="21"/>
      <c r="GLH97" s="21"/>
      <c r="GLI97" s="21"/>
      <c r="GLJ97" s="21"/>
      <c r="GLK97" s="21"/>
      <c r="GLL97" s="21"/>
      <c r="GLM97" s="21"/>
      <c r="GLN97" s="21"/>
      <c r="GLO97" s="21"/>
      <c r="GLP97" s="21"/>
      <c r="GLQ97" s="21"/>
      <c r="GLR97" s="21"/>
      <c r="GLS97" s="21"/>
      <c r="GLT97" s="21"/>
      <c r="GLU97" s="21"/>
      <c r="GLV97" s="21"/>
      <c r="GLW97" s="21"/>
      <c r="GLX97" s="21"/>
      <c r="GLY97" s="21"/>
      <c r="GLZ97" s="21"/>
      <c r="GMA97" s="21"/>
      <c r="GMB97" s="21"/>
      <c r="GMC97" s="21"/>
      <c r="GMD97" s="21"/>
      <c r="GME97" s="21"/>
      <c r="GMF97" s="21"/>
      <c r="GMG97" s="21"/>
      <c r="GMH97" s="21"/>
      <c r="GMI97" s="21"/>
      <c r="GMJ97" s="21"/>
      <c r="GMK97" s="21"/>
      <c r="GML97" s="21"/>
      <c r="GMM97" s="21"/>
      <c r="GMN97" s="21"/>
      <c r="GMO97" s="21"/>
      <c r="GMP97" s="21"/>
      <c r="GMQ97" s="21"/>
      <c r="GMR97" s="21"/>
      <c r="GMS97" s="21"/>
      <c r="GMT97" s="21"/>
      <c r="GMU97" s="21"/>
      <c r="GMV97" s="21"/>
      <c r="GMW97" s="21"/>
      <c r="GMX97" s="21"/>
      <c r="GMY97" s="21"/>
      <c r="GMZ97" s="21"/>
      <c r="GNA97" s="21"/>
      <c r="GNB97" s="21"/>
      <c r="GNC97" s="21"/>
      <c r="GND97" s="21"/>
      <c r="GNE97" s="21"/>
      <c r="GNF97" s="21"/>
      <c r="GNG97" s="21"/>
      <c r="GNH97" s="21"/>
      <c r="GNI97" s="21"/>
      <c r="GNJ97" s="21"/>
      <c r="GNK97" s="21"/>
      <c r="GNL97" s="21"/>
      <c r="GNM97" s="21"/>
      <c r="GNN97" s="21"/>
      <c r="GNO97" s="21"/>
      <c r="GNP97" s="21"/>
      <c r="GNQ97" s="21"/>
      <c r="GNR97" s="21"/>
      <c r="GNS97" s="21"/>
      <c r="GNT97" s="21"/>
      <c r="GNU97" s="21"/>
      <c r="GNV97" s="21"/>
      <c r="GNW97" s="21"/>
      <c r="GNX97" s="21"/>
      <c r="GNY97" s="21"/>
      <c r="GNZ97" s="21"/>
      <c r="GOA97" s="21"/>
      <c r="GOB97" s="21"/>
      <c r="GOC97" s="21"/>
      <c r="GOD97" s="21"/>
      <c r="GOE97" s="21"/>
      <c r="GOF97" s="21"/>
      <c r="GOG97" s="21"/>
      <c r="GOH97" s="21"/>
      <c r="GOI97" s="21"/>
      <c r="GOJ97" s="21"/>
      <c r="GOK97" s="21"/>
      <c r="GOL97" s="21"/>
      <c r="GOM97" s="21"/>
      <c r="GON97" s="21"/>
      <c r="GOO97" s="21"/>
      <c r="GOP97" s="21"/>
      <c r="GOQ97" s="21"/>
      <c r="GOR97" s="21"/>
      <c r="GOS97" s="21"/>
      <c r="GOT97" s="21"/>
      <c r="GOU97" s="21"/>
      <c r="GOV97" s="21"/>
      <c r="GOW97" s="21"/>
      <c r="GOX97" s="21"/>
      <c r="GOY97" s="21"/>
      <c r="GOZ97" s="21"/>
      <c r="GPA97" s="21"/>
      <c r="GPB97" s="21"/>
      <c r="GPC97" s="21"/>
      <c r="GPD97" s="21"/>
      <c r="GPE97" s="21"/>
      <c r="GPF97" s="21"/>
      <c r="GPG97" s="21"/>
      <c r="GPH97" s="21"/>
      <c r="GPI97" s="21"/>
      <c r="GPJ97" s="21"/>
      <c r="GPK97" s="21"/>
      <c r="GPL97" s="21"/>
      <c r="GPM97" s="21"/>
      <c r="GPN97" s="21"/>
      <c r="GPO97" s="21"/>
      <c r="GPP97" s="21"/>
      <c r="GPQ97" s="21"/>
      <c r="GPR97" s="21"/>
      <c r="GPS97" s="21"/>
      <c r="GPT97" s="21"/>
      <c r="GPU97" s="21"/>
      <c r="GPV97" s="21"/>
      <c r="GPW97" s="21"/>
      <c r="GPX97" s="21"/>
      <c r="GPY97" s="21"/>
      <c r="GPZ97" s="21"/>
      <c r="GQA97" s="21"/>
      <c r="GQB97" s="21"/>
      <c r="GQC97" s="21"/>
      <c r="GQD97" s="21"/>
      <c r="GQE97" s="21"/>
      <c r="GQF97" s="21"/>
      <c r="GQG97" s="21"/>
      <c r="GQH97" s="21"/>
      <c r="GQI97" s="21"/>
      <c r="GQJ97" s="21"/>
      <c r="GQK97" s="21"/>
      <c r="GQL97" s="21"/>
      <c r="GQM97" s="21"/>
      <c r="GQN97" s="21"/>
      <c r="GQO97" s="21"/>
      <c r="GQP97" s="21"/>
      <c r="GQQ97" s="21"/>
      <c r="GQR97" s="21"/>
      <c r="GQS97" s="21"/>
      <c r="GQT97" s="21"/>
      <c r="GQU97" s="21"/>
      <c r="GQV97" s="21"/>
      <c r="GQW97" s="21"/>
      <c r="GQX97" s="21"/>
      <c r="GQY97" s="21"/>
      <c r="GQZ97" s="21"/>
      <c r="GRA97" s="21"/>
      <c r="GRB97" s="21"/>
      <c r="GRC97" s="21"/>
      <c r="GRD97" s="21"/>
      <c r="GRE97" s="21"/>
      <c r="GRF97" s="21"/>
      <c r="GRG97" s="21"/>
      <c r="GRH97" s="21"/>
      <c r="GRI97" s="21"/>
      <c r="GRJ97" s="21"/>
      <c r="GRK97" s="21"/>
      <c r="GRL97" s="21"/>
      <c r="GRM97" s="21"/>
      <c r="GRN97" s="21"/>
      <c r="GRO97" s="21"/>
      <c r="GRP97" s="21"/>
      <c r="GRQ97" s="21"/>
      <c r="GRR97" s="21"/>
      <c r="GRS97" s="21"/>
      <c r="GRT97" s="21"/>
      <c r="GRU97" s="21"/>
      <c r="GRV97" s="21"/>
      <c r="GRW97" s="21"/>
      <c r="GRX97" s="21"/>
      <c r="GRY97" s="21"/>
      <c r="GRZ97" s="21"/>
      <c r="GSA97" s="21"/>
      <c r="GSB97" s="21"/>
      <c r="GSC97" s="21"/>
      <c r="GSD97" s="21"/>
      <c r="GSE97" s="21"/>
      <c r="GSF97" s="21"/>
      <c r="GSG97" s="21"/>
      <c r="GSH97" s="21"/>
      <c r="GSI97" s="21"/>
      <c r="GSJ97" s="21"/>
      <c r="GSK97" s="21"/>
      <c r="GSL97" s="21"/>
      <c r="GSM97" s="21"/>
      <c r="GSN97" s="21"/>
      <c r="GSO97" s="21"/>
      <c r="GSP97" s="21"/>
      <c r="GSQ97" s="21"/>
      <c r="GSR97" s="21"/>
      <c r="GSS97" s="21"/>
      <c r="GST97" s="21"/>
      <c r="GSU97" s="21"/>
      <c r="GSV97" s="21"/>
      <c r="GSW97" s="21"/>
      <c r="GSX97" s="21"/>
      <c r="GSY97" s="21"/>
      <c r="GSZ97" s="21"/>
      <c r="GTA97" s="21"/>
      <c r="GTB97" s="21"/>
      <c r="GTC97" s="21"/>
      <c r="GTD97" s="21"/>
      <c r="GTE97" s="21"/>
      <c r="GTF97" s="21"/>
      <c r="GTG97" s="21"/>
      <c r="GTH97" s="21"/>
      <c r="GTI97" s="21"/>
      <c r="GTJ97" s="21"/>
      <c r="GTK97" s="21"/>
      <c r="GTL97" s="21"/>
      <c r="GTM97" s="21"/>
      <c r="GTN97" s="21"/>
      <c r="GTO97" s="21"/>
      <c r="GTP97" s="21"/>
      <c r="GTQ97" s="21"/>
      <c r="GTR97" s="21"/>
      <c r="GTS97" s="21"/>
      <c r="GTT97" s="21"/>
      <c r="GTU97" s="21"/>
      <c r="GTV97" s="21"/>
      <c r="GTW97" s="21"/>
      <c r="GTX97" s="21"/>
      <c r="GTY97" s="21"/>
      <c r="GTZ97" s="21"/>
      <c r="GUA97" s="21"/>
      <c r="GUB97" s="21"/>
      <c r="GUC97" s="21"/>
      <c r="GUD97" s="21"/>
      <c r="GUE97" s="21"/>
      <c r="GUF97" s="21"/>
      <c r="GUG97" s="21"/>
      <c r="GUH97" s="21"/>
      <c r="GUI97" s="21"/>
      <c r="GUJ97" s="21"/>
      <c r="GUK97" s="21"/>
      <c r="GUL97" s="21"/>
      <c r="GUM97" s="21"/>
      <c r="GUN97" s="21"/>
      <c r="GUO97" s="21"/>
      <c r="GUP97" s="21"/>
      <c r="GUQ97" s="21"/>
      <c r="GUR97" s="21"/>
      <c r="GUS97" s="21"/>
      <c r="GUT97" s="21"/>
      <c r="GUU97" s="21"/>
      <c r="GUV97" s="21"/>
      <c r="GUW97" s="21"/>
      <c r="GUX97" s="21"/>
      <c r="GUY97" s="21"/>
      <c r="GUZ97" s="21"/>
      <c r="GVA97" s="21"/>
      <c r="GVB97" s="21"/>
      <c r="GVC97" s="21"/>
      <c r="GVD97" s="21"/>
      <c r="GVE97" s="21"/>
      <c r="GVF97" s="21"/>
      <c r="GVG97" s="21"/>
      <c r="GVH97" s="21"/>
      <c r="GVI97" s="21"/>
      <c r="GVJ97" s="21"/>
      <c r="GVK97" s="21"/>
      <c r="GVL97" s="21"/>
      <c r="GVM97" s="21"/>
      <c r="GVN97" s="21"/>
      <c r="GVO97" s="21"/>
      <c r="GVP97" s="21"/>
      <c r="GVQ97" s="21"/>
      <c r="GVR97" s="21"/>
      <c r="GVS97" s="21"/>
      <c r="GVT97" s="21"/>
      <c r="GVU97" s="21"/>
      <c r="GVV97" s="21"/>
      <c r="GVW97" s="21"/>
      <c r="GVX97" s="21"/>
      <c r="GVY97" s="21"/>
      <c r="GVZ97" s="21"/>
      <c r="GWA97" s="21"/>
      <c r="GWB97" s="21"/>
      <c r="GWC97" s="21"/>
      <c r="GWD97" s="21"/>
      <c r="GWE97" s="21"/>
      <c r="GWF97" s="21"/>
      <c r="GWG97" s="21"/>
      <c r="GWH97" s="21"/>
      <c r="GWI97" s="21"/>
      <c r="GWJ97" s="21"/>
      <c r="GWK97" s="21"/>
      <c r="GWL97" s="21"/>
      <c r="GWM97" s="21"/>
      <c r="GWN97" s="21"/>
      <c r="GWO97" s="21"/>
      <c r="GWP97" s="21"/>
      <c r="GWQ97" s="21"/>
      <c r="GWR97" s="21"/>
      <c r="GWS97" s="21"/>
      <c r="GWT97" s="21"/>
      <c r="GWU97" s="21"/>
      <c r="GWV97" s="21"/>
      <c r="GWW97" s="21"/>
      <c r="GWX97" s="21"/>
      <c r="GWY97" s="21"/>
      <c r="GWZ97" s="21"/>
      <c r="GXA97" s="21"/>
      <c r="GXB97" s="21"/>
      <c r="GXC97" s="21"/>
      <c r="GXD97" s="21"/>
      <c r="GXE97" s="21"/>
      <c r="GXF97" s="21"/>
      <c r="GXG97" s="21"/>
      <c r="GXH97" s="21"/>
      <c r="GXI97" s="21"/>
      <c r="GXJ97" s="21"/>
      <c r="GXK97" s="21"/>
      <c r="GXL97" s="21"/>
      <c r="GXM97" s="21"/>
      <c r="GXN97" s="21"/>
      <c r="GXO97" s="21"/>
      <c r="GXP97" s="21"/>
      <c r="GXQ97" s="21"/>
      <c r="GXR97" s="21"/>
      <c r="GXS97" s="21"/>
      <c r="GXT97" s="21"/>
      <c r="GXU97" s="21"/>
      <c r="GXV97" s="21"/>
      <c r="GXW97" s="21"/>
      <c r="GXX97" s="21"/>
      <c r="GXY97" s="21"/>
      <c r="GXZ97" s="21"/>
      <c r="GYA97" s="21"/>
      <c r="GYB97" s="21"/>
      <c r="GYC97" s="21"/>
      <c r="GYD97" s="21"/>
      <c r="GYE97" s="21"/>
      <c r="GYF97" s="21"/>
      <c r="GYG97" s="21"/>
      <c r="GYH97" s="21"/>
      <c r="GYI97" s="21"/>
      <c r="GYJ97" s="21"/>
      <c r="GYK97" s="21"/>
      <c r="GYL97" s="21"/>
      <c r="GYM97" s="21"/>
      <c r="GYN97" s="21"/>
      <c r="GYO97" s="21"/>
      <c r="GYP97" s="21"/>
      <c r="GYQ97" s="21"/>
      <c r="GYR97" s="21"/>
      <c r="GYS97" s="21"/>
      <c r="GYT97" s="21"/>
      <c r="GYU97" s="21"/>
      <c r="GYV97" s="21"/>
      <c r="GYW97" s="21"/>
      <c r="GYX97" s="21"/>
      <c r="GYY97" s="21"/>
      <c r="GYZ97" s="21"/>
      <c r="GZA97" s="21"/>
      <c r="GZB97" s="21"/>
      <c r="GZC97" s="21"/>
      <c r="GZD97" s="21"/>
      <c r="GZE97" s="21"/>
      <c r="GZF97" s="21"/>
      <c r="GZG97" s="21"/>
      <c r="GZH97" s="21"/>
      <c r="GZI97" s="21"/>
      <c r="GZJ97" s="21"/>
      <c r="GZK97" s="21"/>
      <c r="GZL97" s="21"/>
      <c r="GZM97" s="21"/>
      <c r="GZN97" s="21"/>
      <c r="GZO97" s="21"/>
      <c r="GZP97" s="21"/>
      <c r="GZQ97" s="21"/>
      <c r="GZR97" s="21"/>
      <c r="GZS97" s="21"/>
      <c r="GZT97" s="21"/>
      <c r="GZU97" s="21"/>
      <c r="GZV97" s="21"/>
      <c r="GZW97" s="21"/>
      <c r="GZX97" s="21"/>
      <c r="GZY97" s="21"/>
      <c r="GZZ97" s="21"/>
      <c r="HAA97" s="21"/>
      <c r="HAB97" s="21"/>
      <c r="HAC97" s="21"/>
      <c r="HAD97" s="21"/>
      <c r="HAE97" s="21"/>
      <c r="HAF97" s="21"/>
      <c r="HAG97" s="21"/>
      <c r="HAH97" s="21"/>
      <c r="HAI97" s="21"/>
      <c r="HAJ97" s="21"/>
      <c r="HAK97" s="21"/>
      <c r="HAL97" s="21"/>
      <c r="HAM97" s="21"/>
      <c r="HAN97" s="21"/>
      <c r="HAO97" s="21"/>
      <c r="HAP97" s="21"/>
      <c r="HAQ97" s="21"/>
      <c r="HAR97" s="21"/>
      <c r="HAS97" s="21"/>
      <c r="HAT97" s="21"/>
      <c r="HAU97" s="21"/>
      <c r="HAV97" s="21"/>
      <c r="HAW97" s="21"/>
      <c r="HAX97" s="21"/>
      <c r="HAY97" s="21"/>
      <c r="HAZ97" s="21"/>
      <c r="HBA97" s="21"/>
      <c r="HBB97" s="21"/>
      <c r="HBC97" s="21"/>
      <c r="HBD97" s="21"/>
      <c r="HBE97" s="21"/>
      <c r="HBF97" s="21"/>
      <c r="HBG97" s="21"/>
      <c r="HBH97" s="21"/>
      <c r="HBI97" s="21"/>
      <c r="HBJ97" s="21"/>
      <c r="HBK97" s="21"/>
      <c r="HBL97" s="21"/>
      <c r="HBM97" s="21"/>
      <c r="HBN97" s="21"/>
      <c r="HBO97" s="21"/>
      <c r="HBP97" s="21"/>
      <c r="HBQ97" s="21"/>
      <c r="HBR97" s="21"/>
      <c r="HBS97" s="21"/>
      <c r="HBT97" s="21"/>
      <c r="HBU97" s="21"/>
      <c r="HBV97" s="21"/>
      <c r="HBW97" s="21"/>
      <c r="HBX97" s="21"/>
      <c r="HBY97" s="21"/>
      <c r="HBZ97" s="21"/>
      <c r="HCA97" s="21"/>
      <c r="HCB97" s="21"/>
      <c r="HCC97" s="21"/>
      <c r="HCD97" s="21"/>
      <c r="HCE97" s="21"/>
      <c r="HCF97" s="21"/>
      <c r="HCG97" s="21"/>
      <c r="HCH97" s="21"/>
      <c r="HCI97" s="21"/>
      <c r="HCJ97" s="21"/>
      <c r="HCK97" s="21"/>
      <c r="HCL97" s="21"/>
      <c r="HCM97" s="21"/>
      <c r="HCN97" s="21"/>
      <c r="HCO97" s="21"/>
      <c r="HCP97" s="21"/>
      <c r="HCQ97" s="21"/>
      <c r="HCR97" s="21"/>
      <c r="HCS97" s="21"/>
      <c r="HCT97" s="21"/>
      <c r="HCU97" s="21"/>
      <c r="HCV97" s="21"/>
      <c r="HCW97" s="21"/>
      <c r="HCX97" s="21"/>
      <c r="HCY97" s="21"/>
      <c r="HCZ97" s="21"/>
      <c r="HDA97" s="21"/>
      <c r="HDB97" s="21"/>
      <c r="HDC97" s="21"/>
      <c r="HDD97" s="21"/>
      <c r="HDE97" s="21"/>
      <c r="HDF97" s="21"/>
      <c r="HDG97" s="21"/>
      <c r="HDH97" s="21"/>
      <c r="HDI97" s="21"/>
      <c r="HDJ97" s="21"/>
      <c r="HDK97" s="21"/>
      <c r="HDL97" s="21"/>
      <c r="HDM97" s="21"/>
      <c r="HDN97" s="21"/>
      <c r="HDO97" s="21"/>
      <c r="HDP97" s="21"/>
      <c r="HDQ97" s="21"/>
      <c r="HDR97" s="21"/>
      <c r="HDS97" s="21"/>
      <c r="HDT97" s="21"/>
      <c r="HDU97" s="21"/>
      <c r="HDV97" s="21"/>
      <c r="HDW97" s="21"/>
      <c r="HDX97" s="21"/>
      <c r="HDY97" s="21"/>
      <c r="HDZ97" s="21"/>
      <c r="HEA97" s="21"/>
      <c r="HEB97" s="21"/>
      <c r="HEC97" s="21"/>
      <c r="HED97" s="21"/>
      <c r="HEE97" s="21"/>
      <c r="HEF97" s="21"/>
      <c r="HEG97" s="21"/>
      <c r="HEH97" s="21"/>
      <c r="HEI97" s="21"/>
      <c r="HEJ97" s="21"/>
      <c r="HEK97" s="21"/>
      <c r="HEL97" s="21"/>
      <c r="HEM97" s="21"/>
      <c r="HEN97" s="21"/>
      <c r="HEO97" s="21"/>
      <c r="HEP97" s="21"/>
      <c r="HEQ97" s="21"/>
      <c r="HER97" s="21"/>
      <c r="HES97" s="21"/>
      <c r="HET97" s="21"/>
      <c r="HEU97" s="21"/>
      <c r="HEV97" s="21"/>
      <c r="HEW97" s="21"/>
      <c r="HEX97" s="21"/>
      <c r="HEY97" s="21"/>
      <c r="HEZ97" s="21"/>
      <c r="HFA97" s="21"/>
      <c r="HFB97" s="21"/>
      <c r="HFC97" s="21"/>
      <c r="HFD97" s="21"/>
      <c r="HFE97" s="21"/>
      <c r="HFF97" s="21"/>
      <c r="HFG97" s="21"/>
      <c r="HFH97" s="21"/>
      <c r="HFI97" s="21"/>
      <c r="HFJ97" s="21"/>
      <c r="HFK97" s="21"/>
      <c r="HFL97" s="21"/>
      <c r="HFM97" s="21"/>
      <c r="HFN97" s="21"/>
      <c r="HFO97" s="21"/>
      <c r="HFP97" s="21"/>
      <c r="HFQ97" s="21"/>
      <c r="HFR97" s="21"/>
      <c r="HFS97" s="21"/>
      <c r="HFT97" s="21"/>
      <c r="HFU97" s="21"/>
      <c r="HFV97" s="21"/>
      <c r="HFW97" s="21"/>
      <c r="HFX97" s="21"/>
      <c r="HFY97" s="21"/>
      <c r="HFZ97" s="21"/>
      <c r="HGA97" s="21"/>
      <c r="HGB97" s="21"/>
      <c r="HGC97" s="21"/>
      <c r="HGD97" s="21"/>
      <c r="HGE97" s="21"/>
      <c r="HGF97" s="21"/>
      <c r="HGG97" s="21"/>
      <c r="HGH97" s="21"/>
      <c r="HGI97" s="21"/>
      <c r="HGJ97" s="21"/>
      <c r="HGK97" s="21"/>
      <c r="HGL97" s="21"/>
      <c r="HGM97" s="21"/>
      <c r="HGN97" s="21"/>
      <c r="HGO97" s="21"/>
      <c r="HGP97" s="21"/>
      <c r="HGQ97" s="21"/>
      <c r="HGR97" s="21"/>
      <c r="HGS97" s="21"/>
      <c r="HGT97" s="21"/>
      <c r="HGU97" s="21"/>
      <c r="HGV97" s="21"/>
      <c r="HGW97" s="21"/>
      <c r="HGX97" s="21"/>
      <c r="HGY97" s="21"/>
      <c r="HGZ97" s="21"/>
      <c r="HHA97" s="21"/>
      <c r="HHB97" s="21"/>
      <c r="HHC97" s="21"/>
      <c r="HHD97" s="21"/>
      <c r="HHE97" s="21"/>
      <c r="HHF97" s="21"/>
      <c r="HHG97" s="21"/>
      <c r="HHH97" s="21"/>
      <c r="HHI97" s="21"/>
      <c r="HHJ97" s="21"/>
      <c r="HHK97" s="21"/>
      <c r="HHL97" s="21"/>
      <c r="HHM97" s="21"/>
      <c r="HHN97" s="21"/>
      <c r="HHO97" s="21"/>
      <c r="HHP97" s="21"/>
      <c r="HHQ97" s="21"/>
      <c r="HHR97" s="21"/>
      <c r="HHS97" s="21"/>
      <c r="HHT97" s="21"/>
      <c r="HHU97" s="21"/>
      <c r="HHV97" s="21"/>
      <c r="HHW97" s="21"/>
      <c r="HHX97" s="21"/>
      <c r="HHY97" s="21"/>
      <c r="HHZ97" s="21"/>
      <c r="HIA97" s="21"/>
      <c r="HIB97" s="21"/>
      <c r="HIC97" s="21"/>
      <c r="HID97" s="21"/>
      <c r="HIE97" s="21"/>
      <c r="HIF97" s="21"/>
      <c r="HIG97" s="21"/>
      <c r="HIH97" s="21"/>
      <c r="HII97" s="21"/>
      <c r="HIJ97" s="21"/>
      <c r="HIK97" s="21"/>
      <c r="HIL97" s="21"/>
      <c r="HIM97" s="21"/>
      <c r="HIN97" s="21"/>
      <c r="HIO97" s="21"/>
      <c r="HIP97" s="21"/>
      <c r="HIQ97" s="21"/>
      <c r="HIR97" s="21"/>
      <c r="HIS97" s="21"/>
      <c r="HIT97" s="21"/>
      <c r="HIU97" s="21"/>
      <c r="HIV97" s="21"/>
      <c r="HIW97" s="21"/>
      <c r="HIX97" s="21"/>
      <c r="HIY97" s="21"/>
      <c r="HIZ97" s="21"/>
      <c r="HJA97" s="21"/>
      <c r="HJB97" s="21"/>
      <c r="HJC97" s="21"/>
      <c r="HJD97" s="21"/>
      <c r="HJE97" s="21"/>
      <c r="HJF97" s="21"/>
      <c r="HJG97" s="21"/>
      <c r="HJH97" s="21"/>
      <c r="HJI97" s="21"/>
      <c r="HJJ97" s="21"/>
      <c r="HJK97" s="21"/>
      <c r="HJL97" s="21"/>
      <c r="HJM97" s="21"/>
      <c r="HJN97" s="21"/>
      <c r="HJO97" s="21"/>
      <c r="HJP97" s="21"/>
      <c r="HJQ97" s="21"/>
      <c r="HJR97" s="21"/>
      <c r="HJS97" s="21"/>
      <c r="HJT97" s="21"/>
      <c r="HJU97" s="21"/>
      <c r="HJV97" s="21"/>
      <c r="HJW97" s="21"/>
      <c r="HJX97" s="21"/>
      <c r="HJY97" s="21"/>
      <c r="HJZ97" s="21"/>
      <c r="HKA97" s="21"/>
      <c r="HKB97" s="21"/>
      <c r="HKC97" s="21"/>
      <c r="HKD97" s="21"/>
      <c r="HKE97" s="21"/>
      <c r="HKF97" s="21"/>
      <c r="HKG97" s="21"/>
      <c r="HKH97" s="21"/>
      <c r="HKI97" s="21"/>
      <c r="HKJ97" s="21"/>
      <c r="HKK97" s="21"/>
      <c r="HKL97" s="21"/>
      <c r="HKM97" s="21"/>
      <c r="HKN97" s="21"/>
      <c r="HKO97" s="21"/>
      <c r="HKP97" s="21"/>
      <c r="HKQ97" s="21"/>
      <c r="HKR97" s="21"/>
      <c r="HKS97" s="21"/>
      <c r="HKT97" s="21"/>
      <c r="HKU97" s="21"/>
      <c r="HKV97" s="21"/>
      <c r="HKW97" s="21"/>
      <c r="HKX97" s="21"/>
      <c r="HKY97" s="21"/>
      <c r="HKZ97" s="21"/>
      <c r="HLA97" s="21"/>
      <c r="HLB97" s="21"/>
      <c r="HLC97" s="21"/>
      <c r="HLD97" s="21"/>
      <c r="HLE97" s="21"/>
      <c r="HLF97" s="21"/>
      <c r="HLG97" s="21"/>
      <c r="HLH97" s="21"/>
      <c r="HLI97" s="21"/>
      <c r="HLJ97" s="21"/>
      <c r="HLK97" s="21"/>
      <c r="HLL97" s="21"/>
      <c r="HLM97" s="21"/>
      <c r="HLN97" s="21"/>
      <c r="HLO97" s="21"/>
      <c r="HLP97" s="21"/>
      <c r="HLQ97" s="21"/>
      <c r="HLR97" s="21"/>
      <c r="HLS97" s="21"/>
      <c r="HLT97" s="21"/>
      <c r="HLU97" s="21"/>
      <c r="HLV97" s="21"/>
      <c r="HLW97" s="21"/>
      <c r="HLX97" s="21"/>
      <c r="HLY97" s="21"/>
      <c r="HLZ97" s="21"/>
      <c r="HMA97" s="21"/>
      <c r="HMB97" s="21"/>
      <c r="HMC97" s="21"/>
      <c r="HMD97" s="21"/>
      <c r="HME97" s="21"/>
      <c r="HMF97" s="21"/>
      <c r="HMG97" s="21"/>
      <c r="HMH97" s="21"/>
      <c r="HMI97" s="21"/>
      <c r="HMJ97" s="21"/>
      <c r="HMK97" s="21"/>
      <c r="HML97" s="21"/>
      <c r="HMM97" s="21"/>
      <c r="HMN97" s="21"/>
      <c r="HMO97" s="21"/>
      <c r="HMP97" s="21"/>
      <c r="HMQ97" s="21"/>
      <c r="HMR97" s="21"/>
      <c r="HMS97" s="21"/>
      <c r="HMT97" s="21"/>
      <c r="HMU97" s="21"/>
      <c r="HMV97" s="21"/>
      <c r="HMW97" s="21"/>
      <c r="HMX97" s="21"/>
      <c r="HMY97" s="21"/>
      <c r="HMZ97" s="21"/>
      <c r="HNA97" s="21"/>
      <c r="HNB97" s="21"/>
      <c r="HNC97" s="21"/>
      <c r="HND97" s="21"/>
      <c r="HNE97" s="21"/>
      <c r="HNF97" s="21"/>
      <c r="HNG97" s="21"/>
      <c r="HNH97" s="21"/>
      <c r="HNI97" s="21"/>
      <c r="HNJ97" s="21"/>
      <c r="HNK97" s="21"/>
      <c r="HNL97" s="21"/>
      <c r="HNM97" s="21"/>
      <c r="HNN97" s="21"/>
      <c r="HNO97" s="21"/>
      <c r="HNP97" s="21"/>
      <c r="HNQ97" s="21"/>
      <c r="HNR97" s="21"/>
      <c r="HNS97" s="21"/>
      <c r="HNT97" s="21"/>
      <c r="HNU97" s="21"/>
      <c r="HNV97" s="21"/>
      <c r="HNW97" s="21"/>
      <c r="HNX97" s="21"/>
      <c r="HNY97" s="21"/>
      <c r="HNZ97" s="21"/>
      <c r="HOA97" s="21"/>
      <c r="HOB97" s="21"/>
      <c r="HOC97" s="21"/>
      <c r="HOD97" s="21"/>
      <c r="HOE97" s="21"/>
      <c r="HOF97" s="21"/>
      <c r="HOG97" s="21"/>
      <c r="HOH97" s="21"/>
      <c r="HOI97" s="21"/>
      <c r="HOJ97" s="21"/>
      <c r="HOK97" s="21"/>
      <c r="HOL97" s="21"/>
      <c r="HOM97" s="21"/>
      <c r="HON97" s="21"/>
      <c r="HOO97" s="21"/>
      <c r="HOP97" s="21"/>
      <c r="HOQ97" s="21"/>
      <c r="HOR97" s="21"/>
      <c r="HOS97" s="21"/>
      <c r="HOT97" s="21"/>
      <c r="HOU97" s="21"/>
      <c r="HOV97" s="21"/>
      <c r="HOW97" s="21"/>
      <c r="HOX97" s="21"/>
      <c r="HOY97" s="21"/>
      <c r="HOZ97" s="21"/>
      <c r="HPA97" s="21"/>
      <c r="HPB97" s="21"/>
      <c r="HPC97" s="21"/>
      <c r="HPD97" s="21"/>
      <c r="HPE97" s="21"/>
      <c r="HPF97" s="21"/>
      <c r="HPG97" s="21"/>
      <c r="HPH97" s="21"/>
      <c r="HPI97" s="21"/>
      <c r="HPJ97" s="21"/>
      <c r="HPK97" s="21"/>
      <c r="HPL97" s="21"/>
      <c r="HPM97" s="21"/>
      <c r="HPN97" s="21"/>
      <c r="HPO97" s="21"/>
      <c r="HPP97" s="21"/>
      <c r="HPQ97" s="21"/>
      <c r="HPR97" s="21"/>
      <c r="HPS97" s="21"/>
      <c r="HPT97" s="21"/>
      <c r="HPU97" s="21"/>
      <c r="HPV97" s="21"/>
      <c r="HPW97" s="21"/>
      <c r="HPX97" s="21"/>
      <c r="HPY97" s="21"/>
      <c r="HPZ97" s="21"/>
      <c r="HQA97" s="21"/>
      <c r="HQB97" s="21"/>
      <c r="HQC97" s="21"/>
      <c r="HQD97" s="21"/>
      <c r="HQE97" s="21"/>
      <c r="HQF97" s="21"/>
      <c r="HQG97" s="21"/>
      <c r="HQH97" s="21"/>
      <c r="HQI97" s="21"/>
      <c r="HQJ97" s="21"/>
      <c r="HQK97" s="21"/>
      <c r="HQL97" s="21"/>
      <c r="HQM97" s="21"/>
      <c r="HQN97" s="21"/>
      <c r="HQO97" s="21"/>
      <c r="HQP97" s="21"/>
      <c r="HQQ97" s="21"/>
      <c r="HQR97" s="21"/>
      <c r="HQS97" s="21"/>
      <c r="HQT97" s="21"/>
      <c r="HQU97" s="21"/>
      <c r="HQV97" s="21"/>
      <c r="HQW97" s="21"/>
      <c r="HQX97" s="21"/>
      <c r="HQY97" s="21"/>
      <c r="HQZ97" s="21"/>
      <c r="HRA97" s="21"/>
      <c r="HRB97" s="21"/>
      <c r="HRC97" s="21"/>
      <c r="HRD97" s="21"/>
      <c r="HRE97" s="21"/>
      <c r="HRF97" s="21"/>
      <c r="HRG97" s="21"/>
      <c r="HRH97" s="21"/>
      <c r="HRI97" s="21"/>
      <c r="HRJ97" s="21"/>
      <c r="HRK97" s="21"/>
      <c r="HRL97" s="21"/>
      <c r="HRM97" s="21"/>
      <c r="HRN97" s="21"/>
      <c r="HRO97" s="21"/>
      <c r="HRP97" s="21"/>
      <c r="HRQ97" s="21"/>
      <c r="HRR97" s="21"/>
      <c r="HRS97" s="21"/>
      <c r="HRT97" s="21"/>
      <c r="HRU97" s="21"/>
      <c r="HRV97" s="21"/>
      <c r="HRW97" s="21"/>
      <c r="HRX97" s="21"/>
      <c r="HRY97" s="21"/>
      <c r="HRZ97" s="21"/>
      <c r="HSA97" s="21"/>
      <c r="HSB97" s="21"/>
      <c r="HSC97" s="21"/>
      <c r="HSD97" s="21"/>
      <c r="HSE97" s="21"/>
      <c r="HSF97" s="21"/>
      <c r="HSG97" s="21"/>
      <c r="HSH97" s="21"/>
      <c r="HSI97" s="21"/>
      <c r="HSJ97" s="21"/>
      <c r="HSK97" s="21"/>
      <c r="HSL97" s="21"/>
      <c r="HSM97" s="21"/>
      <c r="HSN97" s="21"/>
      <c r="HSO97" s="21"/>
      <c r="HSP97" s="21"/>
      <c r="HSQ97" s="21"/>
      <c r="HSR97" s="21"/>
      <c r="HSS97" s="21"/>
      <c r="HST97" s="21"/>
      <c r="HSU97" s="21"/>
      <c r="HSV97" s="21"/>
      <c r="HSW97" s="21"/>
      <c r="HSX97" s="21"/>
      <c r="HSY97" s="21"/>
      <c r="HSZ97" s="21"/>
      <c r="HTA97" s="21"/>
      <c r="HTB97" s="21"/>
      <c r="HTC97" s="21"/>
      <c r="HTD97" s="21"/>
      <c r="HTE97" s="21"/>
      <c r="HTF97" s="21"/>
      <c r="HTG97" s="21"/>
      <c r="HTH97" s="21"/>
      <c r="HTI97" s="21"/>
      <c r="HTJ97" s="21"/>
      <c r="HTK97" s="21"/>
      <c r="HTL97" s="21"/>
      <c r="HTM97" s="21"/>
      <c r="HTN97" s="21"/>
      <c r="HTO97" s="21"/>
      <c r="HTP97" s="21"/>
      <c r="HTQ97" s="21"/>
      <c r="HTR97" s="21"/>
      <c r="HTS97" s="21"/>
      <c r="HTT97" s="21"/>
      <c r="HTU97" s="21"/>
      <c r="HTV97" s="21"/>
      <c r="HTW97" s="21"/>
      <c r="HTX97" s="21"/>
      <c r="HTY97" s="21"/>
      <c r="HTZ97" s="21"/>
      <c r="HUA97" s="21"/>
      <c r="HUB97" s="21"/>
      <c r="HUC97" s="21"/>
      <c r="HUD97" s="21"/>
      <c r="HUE97" s="21"/>
      <c r="HUF97" s="21"/>
      <c r="HUG97" s="21"/>
      <c r="HUH97" s="21"/>
      <c r="HUI97" s="21"/>
      <c r="HUJ97" s="21"/>
      <c r="HUK97" s="21"/>
      <c r="HUL97" s="21"/>
      <c r="HUM97" s="21"/>
      <c r="HUN97" s="21"/>
      <c r="HUO97" s="21"/>
      <c r="HUP97" s="21"/>
      <c r="HUQ97" s="21"/>
      <c r="HUR97" s="21"/>
      <c r="HUS97" s="21"/>
      <c r="HUT97" s="21"/>
      <c r="HUU97" s="21"/>
      <c r="HUV97" s="21"/>
      <c r="HUW97" s="21"/>
      <c r="HUX97" s="21"/>
      <c r="HUY97" s="21"/>
      <c r="HUZ97" s="21"/>
      <c r="HVA97" s="21"/>
      <c r="HVB97" s="21"/>
      <c r="HVC97" s="21"/>
      <c r="HVD97" s="21"/>
      <c r="HVE97" s="21"/>
      <c r="HVF97" s="21"/>
      <c r="HVG97" s="21"/>
      <c r="HVH97" s="21"/>
      <c r="HVI97" s="21"/>
      <c r="HVJ97" s="21"/>
      <c r="HVK97" s="21"/>
      <c r="HVL97" s="21"/>
      <c r="HVM97" s="21"/>
      <c r="HVN97" s="21"/>
      <c r="HVO97" s="21"/>
      <c r="HVP97" s="21"/>
      <c r="HVQ97" s="21"/>
      <c r="HVR97" s="21"/>
      <c r="HVS97" s="21"/>
      <c r="HVT97" s="21"/>
      <c r="HVU97" s="21"/>
      <c r="HVV97" s="21"/>
      <c r="HVW97" s="21"/>
      <c r="HVX97" s="21"/>
      <c r="HVY97" s="21"/>
      <c r="HVZ97" s="21"/>
      <c r="HWA97" s="21"/>
      <c r="HWB97" s="21"/>
      <c r="HWC97" s="21"/>
      <c r="HWD97" s="21"/>
      <c r="HWE97" s="21"/>
      <c r="HWF97" s="21"/>
      <c r="HWG97" s="21"/>
      <c r="HWH97" s="21"/>
      <c r="HWI97" s="21"/>
      <c r="HWJ97" s="21"/>
      <c r="HWK97" s="21"/>
      <c r="HWL97" s="21"/>
      <c r="HWM97" s="21"/>
      <c r="HWN97" s="21"/>
      <c r="HWO97" s="21"/>
      <c r="HWP97" s="21"/>
      <c r="HWQ97" s="21"/>
      <c r="HWR97" s="21"/>
      <c r="HWS97" s="21"/>
      <c r="HWT97" s="21"/>
      <c r="HWU97" s="21"/>
      <c r="HWV97" s="21"/>
      <c r="HWW97" s="21"/>
      <c r="HWX97" s="21"/>
      <c r="HWY97" s="21"/>
      <c r="HWZ97" s="21"/>
      <c r="HXA97" s="21"/>
      <c r="HXB97" s="21"/>
      <c r="HXC97" s="21"/>
      <c r="HXD97" s="21"/>
      <c r="HXE97" s="21"/>
      <c r="HXF97" s="21"/>
      <c r="HXG97" s="21"/>
      <c r="HXH97" s="21"/>
      <c r="HXI97" s="21"/>
      <c r="HXJ97" s="21"/>
      <c r="HXK97" s="21"/>
      <c r="HXL97" s="21"/>
      <c r="HXM97" s="21"/>
      <c r="HXN97" s="21"/>
      <c r="HXO97" s="21"/>
      <c r="HXP97" s="21"/>
      <c r="HXQ97" s="21"/>
      <c r="HXR97" s="21"/>
      <c r="HXS97" s="21"/>
      <c r="HXT97" s="21"/>
      <c r="HXU97" s="21"/>
      <c r="HXV97" s="21"/>
      <c r="HXW97" s="21"/>
      <c r="HXX97" s="21"/>
      <c r="HXY97" s="21"/>
      <c r="HXZ97" s="21"/>
      <c r="HYA97" s="21"/>
      <c r="HYB97" s="21"/>
      <c r="HYC97" s="21"/>
      <c r="HYD97" s="21"/>
      <c r="HYE97" s="21"/>
      <c r="HYF97" s="21"/>
      <c r="HYG97" s="21"/>
      <c r="HYH97" s="21"/>
      <c r="HYI97" s="21"/>
      <c r="HYJ97" s="21"/>
      <c r="HYK97" s="21"/>
      <c r="HYL97" s="21"/>
      <c r="HYM97" s="21"/>
      <c r="HYN97" s="21"/>
      <c r="HYO97" s="21"/>
      <c r="HYP97" s="21"/>
      <c r="HYQ97" s="21"/>
      <c r="HYR97" s="21"/>
      <c r="HYS97" s="21"/>
      <c r="HYT97" s="21"/>
      <c r="HYU97" s="21"/>
      <c r="HYV97" s="21"/>
      <c r="HYW97" s="21"/>
      <c r="HYX97" s="21"/>
      <c r="HYY97" s="21"/>
      <c r="HYZ97" s="21"/>
      <c r="HZA97" s="21"/>
      <c r="HZB97" s="21"/>
      <c r="HZC97" s="21"/>
      <c r="HZD97" s="21"/>
      <c r="HZE97" s="21"/>
      <c r="HZF97" s="21"/>
      <c r="HZG97" s="21"/>
      <c r="HZH97" s="21"/>
      <c r="HZI97" s="21"/>
      <c r="HZJ97" s="21"/>
      <c r="HZK97" s="21"/>
      <c r="HZL97" s="21"/>
      <c r="HZM97" s="21"/>
      <c r="HZN97" s="21"/>
      <c r="HZO97" s="21"/>
      <c r="HZP97" s="21"/>
      <c r="HZQ97" s="21"/>
      <c r="HZR97" s="21"/>
      <c r="HZS97" s="21"/>
      <c r="HZT97" s="21"/>
      <c r="HZU97" s="21"/>
      <c r="HZV97" s="21"/>
      <c r="HZW97" s="21"/>
      <c r="HZX97" s="21"/>
      <c r="HZY97" s="21"/>
      <c r="HZZ97" s="21"/>
      <c r="IAA97" s="21"/>
      <c r="IAB97" s="21"/>
      <c r="IAC97" s="21"/>
      <c r="IAD97" s="21"/>
      <c r="IAE97" s="21"/>
      <c r="IAF97" s="21"/>
      <c r="IAG97" s="21"/>
      <c r="IAH97" s="21"/>
      <c r="IAI97" s="21"/>
      <c r="IAJ97" s="21"/>
      <c r="IAK97" s="21"/>
      <c r="IAL97" s="21"/>
      <c r="IAM97" s="21"/>
      <c r="IAN97" s="21"/>
      <c r="IAO97" s="21"/>
      <c r="IAP97" s="21"/>
      <c r="IAQ97" s="21"/>
      <c r="IAR97" s="21"/>
      <c r="IAS97" s="21"/>
      <c r="IAT97" s="21"/>
      <c r="IAU97" s="21"/>
      <c r="IAV97" s="21"/>
      <c r="IAW97" s="21"/>
      <c r="IAX97" s="21"/>
      <c r="IAY97" s="21"/>
      <c r="IAZ97" s="21"/>
      <c r="IBA97" s="21"/>
      <c r="IBB97" s="21"/>
      <c r="IBC97" s="21"/>
      <c r="IBD97" s="21"/>
      <c r="IBE97" s="21"/>
      <c r="IBF97" s="21"/>
      <c r="IBG97" s="21"/>
      <c r="IBH97" s="21"/>
      <c r="IBI97" s="21"/>
      <c r="IBJ97" s="21"/>
      <c r="IBK97" s="21"/>
      <c r="IBL97" s="21"/>
      <c r="IBM97" s="21"/>
      <c r="IBN97" s="21"/>
      <c r="IBO97" s="21"/>
      <c r="IBP97" s="21"/>
      <c r="IBQ97" s="21"/>
      <c r="IBR97" s="21"/>
      <c r="IBS97" s="21"/>
      <c r="IBT97" s="21"/>
      <c r="IBU97" s="21"/>
      <c r="IBV97" s="21"/>
      <c r="IBW97" s="21"/>
      <c r="IBX97" s="21"/>
      <c r="IBY97" s="21"/>
      <c r="IBZ97" s="21"/>
      <c r="ICA97" s="21"/>
      <c r="ICB97" s="21"/>
      <c r="ICC97" s="21"/>
      <c r="ICD97" s="21"/>
      <c r="ICE97" s="21"/>
      <c r="ICF97" s="21"/>
      <c r="ICG97" s="21"/>
      <c r="ICH97" s="21"/>
      <c r="ICI97" s="21"/>
      <c r="ICJ97" s="21"/>
      <c r="ICK97" s="21"/>
      <c r="ICL97" s="21"/>
      <c r="ICM97" s="21"/>
      <c r="ICN97" s="21"/>
      <c r="ICO97" s="21"/>
      <c r="ICP97" s="21"/>
      <c r="ICQ97" s="21"/>
      <c r="ICR97" s="21"/>
      <c r="ICS97" s="21"/>
      <c r="ICT97" s="21"/>
      <c r="ICU97" s="21"/>
      <c r="ICV97" s="21"/>
      <c r="ICW97" s="21"/>
      <c r="ICX97" s="21"/>
      <c r="ICY97" s="21"/>
      <c r="ICZ97" s="21"/>
      <c r="IDA97" s="21"/>
      <c r="IDB97" s="21"/>
      <c r="IDC97" s="21"/>
      <c r="IDD97" s="21"/>
      <c r="IDE97" s="21"/>
      <c r="IDF97" s="21"/>
      <c r="IDG97" s="21"/>
      <c r="IDH97" s="21"/>
      <c r="IDI97" s="21"/>
      <c r="IDJ97" s="21"/>
      <c r="IDK97" s="21"/>
      <c r="IDL97" s="21"/>
      <c r="IDM97" s="21"/>
      <c r="IDN97" s="21"/>
      <c r="IDO97" s="21"/>
      <c r="IDP97" s="21"/>
      <c r="IDQ97" s="21"/>
      <c r="IDR97" s="21"/>
      <c r="IDS97" s="21"/>
      <c r="IDT97" s="21"/>
      <c r="IDU97" s="21"/>
      <c r="IDV97" s="21"/>
      <c r="IDW97" s="21"/>
      <c r="IDX97" s="21"/>
      <c r="IDY97" s="21"/>
      <c r="IDZ97" s="21"/>
      <c r="IEA97" s="21"/>
      <c r="IEB97" s="21"/>
      <c r="IEC97" s="21"/>
      <c r="IED97" s="21"/>
      <c r="IEE97" s="21"/>
      <c r="IEF97" s="21"/>
      <c r="IEG97" s="21"/>
      <c r="IEH97" s="21"/>
      <c r="IEI97" s="21"/>
      <c r="IEJ97" s="21"/>
      <c r="IEK97" s="21"/>
      <c r="IEL97" s="21"/>
      <c r="IEM97" s="21"/>
      <c r="IEN97" s="21"/>
      <c r="IEO97" s="21"/>
      <c r="IEP97" s="21"/>
      <c r="IEQ97" s="21"/>
      <c r="IER97" s="21"/>
      <c r="IES97" s="21"/>
      <c r="IET97" s="21"/>
      <c r="IEU97" s="21"/>
      <c r="IEV97" s="21"/>
      <c r="IEW97" s="21"/>
      <c r="IEX97" s="21"/>
      <c r="IEY97" s="21"/>
      <c r="IEZ97" s="21"/>
      <c r="IFA97" s="21"/>
      <c r="IFB97" s="21"/>
      <c r="IFC97" s="21"/>
      <c r="IFD97" s="21"/>
      <c r="IFE97" s="21"/>
      <c r="IFF97" s="21"/>
      <c r="IFG97" s="21"/>
      <c r="IFH97" s="21"/>
      <c r="IFI97" s="21"/>
      <c r="IFJ97" s="21"/>
      <c r="IFK97" s="21"/>
      <c r="IFL97" s="21"/>
      <c r="IFM97" s="21"/>
      <c r="IFN97" s="21"/>
      <c r="IFO97" s="21"/>
      <c r="IFP97" s="21"/>
      <c r="IFQ97" s="21"/>
      <c r="IFR97" s="21"/>
      <c r="IFS97" s="21"/>
      <c r="IFT97" s="21"/>
      <c r="IFU97" s="21"/>
      <c r="IFV97" s="21"/>
      <c r="IFW97" s="21"/>
      <c r="IFX97" s="21"/>
      <c r="IFY97" s="21"/>
      <c r="IFZ97" s="21"/>
      <c r="IGA97" s="21"/>
      <c r="IGB97" s="21"/>
      <c r="IGC97" s="21"/>
      <c r="IGD97" s="21"/>
      <c r="IGE97" s="21"/>
      <c r="IGF97" s="21"/>
      <c r="IGG97" s="21"/>
      <c r="IGH97" s="21"/>
      <c r="IGI97" s="21"/>
      <c r="IGJ97" s="21"/>
      <c r="IGK97" s="21"/>
      <c r="IGL97" s="21"/>
      <c r="IGM97" s="21"/>
      <c r="IGN97" s="21"/>
      <c r="IGO97" s="21"/>
      <c r="IGP97" s="21"/>
      <c r="IGQ97" s="21"/>
      <c r="IGR97" s="21"/>
      <c r="IGS97" s="21"/>
      <c r="IGT97" s="21"/>
      <c r="IGU97" s="21"/>
      <c r="IGV97" s="21"/>
      <c r="IGW97" s="21"/>
      <c r="IGX97" s="21"/>
      <c r="IGY97" s="21"/>
      <c r="IGZ97" s="21"/>
      <c r="IHA97" s="21"/>
      <c r="IHB97" s="21"/>
      <c r="IHC97" s="21"/>
      <c r="IHD97" s="21"/>
      <c r="IHE97" s="21"/>
      <c r="IHF97" s="21"/>
      <c r="IHG97" s="21"/>
      <c r="IHH97" s="21"/>
      <c r="IHI97" s="21"/>
      <c r="IHJ97" s="21"/>
      <c r="IHK97" s="21"/>
      <c r="IHL97" s="21"/>
      <c r="IHM97" s="21"/>
      <c r="IHN97" s="21"/>
      <c r="IHO97" s="21"/>
      <c r="IHP97" s="21"/>
      <c r="IHQ97" s="21"/>
      <c r="IHR97" s="21"/>
      <c r="IHS97" s="21"/>
      <c r="IHT97" s="21"/>
      <c r="IHU97" s="21"/>
      <c r="IHV97" s="21"/>
      <c r="IHW97" s="21"/>
      <c r="IHX97" s="21"/>
      <c r="IHY97" s="21"/>
      <c r="IHZ97" s="21"/>
      <c r="IIA97" s="21"/>
      <c r="IIB97" s="21"/>
      <c r="IIC97" s="21"/>
      <c r="IID97" s="21"/>
      <c r="IIE97" s="21"/>
      <c r="IIF97" s="21"/>
      <c r="IIG97" s="21"/>
      <c r="IIH97" s="21"/>
      <c r="III97" s="21"/>
      <c r="IIJ97" s="21"/>
      <c r="IIK97" s="21"/>
      <c r="IIL97" s="21"/>
      <c r="IIM97" s="21"/>
      <c r="IIN97" s="21"/>
      <c r="IIO97" s="21"/>
      <c r="IIP97" s="21"/>
      <c r="IIQ97" s="21"/>
      <c r="IIR97" s="21"/>
      <c r="IIS97" s="21"/>
      <c r="IIT97" s="21"/>
      <c r="IIU97" s="21"/>
      <c r="IIV97" s="21"/>
      <c r="IIW97" s="21"/>
      <c r="IIX97" s="21"/>
      <c r="IIY97" s="21"/>
      <c r="IIZ97" s="21"/>
      <c r="IJA97" s="21"/>
      <c r="IJB97" s="21"/>
      <c r="IJC97" s="21"/>
      <c r="IJD97" s="21"/>
      <c r="IJE97" s="21"/>
      <c r="IJF97" s="21"/>
      <c r="IJG97" s="21"/>
      <c r="IJH97" s="21"/>
      <c r="IJI97" s="21"/>
      <c r="IJJ97" s="21"/>
      <c r="IJK97" s="21"/>
      <c r="IJL97" s="21"/>
      <c r="IJM97" s="21"/>
      <c r="IJN97" s="21"/>
      <c r="IJO97" s="21"/>
      <c r="IJP97" s="21"/>
      <c r="IJQ97" s="21"/>
      <c r="IJR97" s="21"/>
      <c r="IJS97" s="21"/>
      <c r="IJT97" s="21"/>
      <c r="IJU97" s="21"/>
      <c r="IJV97" s="21"/>
      <c r="IJW97" s="21"/>
      <c r="IJX97" s="21"/>
      <c r="IJY97" s="21"/>
      <c r="IJZ97" s="21"/>
      <c r="IKA97" s="21"/>
      <c r="IKB97" s="21"/>
      <c r="IKC97" s="21"/>
      <c r="IKD97" s="21"/>
      <c r="IKE97" s="21"/>
      <c r="IKF97" s="21"/>
      <c r="IKG97" s="21"/>
      <c r="IKH97" s="21"/>
      <c r="IKI97" s="21"/>
      <c r="IKJ97" s="21"/>
      <c r="IKK97" s="21"/>
      <c r="IKL97" s="21"/>
      <c r="IKM97" s="21"/>
      <c r="IKN97" s="21"/>
      <c r="IKO97" s="21"/>
      <c r="IKP97" s="21"/>
      <c r="IKQ97" s="21"/>
      <c r="IKR97" s="21"/>
      <c r="IKS97" s="21"/>
      <c r="IKT97" s="21"/>
      <c r="IKU97" s="21"/>
      <c r="IKV97" s="21"/>
      <c r="IKW97" s="21"/>
      <c r="IKX97" s="21"/>
      <c r="IKY97" s="21"/>
      <c r="IKZ97" s="21"/>
      <c r="ILA97" s="21"/>
      <c r="ILB97" s="21"/>
      <c r="ILC97" s="21"/>
      <c r="ILD97" s="21"/>
      <c r="ILE97" s="21"/>
      <c r="ILF97" s="21"/>
      <c r="ILG97" s="21"/>
      <c r="ILH97" s="21"/>
      <c r="ILI97" s="21"/>
      <c r="ILJ97" s="21"/>
      <c r="ILK97" s="21"/>
      <c r="ILL97" s="21"/>
      <c r="ILM97" s="21"/>
      <c r="ILN97" s="21"/>
      <c r="ILO97" s="21"/>
      <c r="ILP97" s="21"/>
      <c r="ILQ97" s="21"/>
      <c r="ILR97" s="21"/>
      <c r="ILS97" s="21"/>
      <c r="ILT97" s="21"/>
      <c r="ILU97" s="21"/>
      <c r="ILV97" s="21"/>
      <c r="ILW97" s="21"/>
      <c r="ILX97" s="21"/>
      <c r="ILY97" s="21"/>
      <c r="ILZ97" s="21"/>
      <c r="IMA97" s="21"/>
      <c r="IMB97" s="21"/>
      <c r="IMC97" s="21"/>
      <c r="IMD97" s="21"/>
      <c r="IME97" s="21"/>
      <c r="IMF97" s="21"/>
      <c r="IMG97" s="21"/>
      <c r="IMH97" s="21"/>
      <c r="IMI97" s="21"/>
      <c r="IMJ97" s="21"/>
      <c r="IMK97" s="21"/>
      <c r="IML97" s="21"/>
      <c r="IMM97" s="21"/>
      <c r="IMN97" s="21"/>
      <c r="IMO97" s="21"/>
      <c r="IMP97" s="21"/>
      <c r="IMQ97" s="21"/>
      <c r="IMR97" s="21"/>
      <c r="IMS97" s="21"/>
      <c r="IMT97" s="21"/>
      <c r="IMU97" s="21"/>
      <c r="IMV97" s="21"/>
      <c r="IMW97" s="21"/>
      <c r="IMX97" s="21"/>
      <c r="IMY97" s="21"/>
      <c r="IMZ97" s="21"/>
      <c r="INA97" s="21"/>
      <c r="INB97" s="21"/>
      <c r="INC97" s="21"/>
      <c r="IND97" s="21"/>
      <c r="INE97" s="21"/>
      <c r="INF97" s="21"/>
      <c r="ING97" s="21"/>
      <c r="INH97" s="21"/>
      <c r="INI97" s="21"/>
      <c r="INJ97" s="21"/>
      <c r="INK97" s="21"/>
      <c r="INL97" s="21"/>
      <c r="INM97" s="21"/>
      <c r="INN97" s="21"/>
      <c r="INO97" s="21"/>
      <c r="INP97" s="21"/>
      <c r="INQ97" s="21"/>
      <c r="INR97" s="21"/>
      <c r="INS97" s="21"/>
      <c r="INT97" s="21"/>
      <c r="INU97" s="21"/>
      <c r="INV97" s="21"/>
      <c r="INW97" s="21"/>
      <c r="INX97" s="21"/>
      <c r="INY97" s="21"/>
      <c r="INZ97" s="21"/>
      <c r="IOA97" s="21"/>
      <c r="IOB97" s="21"/>
      <c r="IOC97" s="21"/>
      <c r="IOD97" s="21"/>
      <c r="IOE97" s="21"/>
      <c r="IOF97" s="21"/>
      <c r="IOG97" s="21"/>
      <c r="IOH97" s="21"/>
      <c r="IOI97" s="21"/>
      <c r="IOJ97" s="21"/>
      <c r="IOK97" s="21"/>
      <c r="IOL97" s="21"/>
      <c r="IOM97" s="21"/>
      <c r="ION97" s="21"/>
      <c r="IOO97" s="21"/>
      <c r="IOP97" s="21"/>
      <c r="IOQ97" s="21"/>
      <c r="IOR97" s="21"/>
      <c r="IOS97" s="21"/>
      <c r="IOT97" s="21"/>
      <c r="IOU97" s="21"/>
      <c r="IOV97" s="21"/>
      <c r="IOW97" s="21"/>
      <c r="IOX97" s="21"/>
      <c r="IOY97" s="21"/>
      <c r="IOZ97" s="21"/>
      <c r="IPA97" s="21"/>
      <c r="IPB97" s="21"/>
      <c r="IPC97" s="21"/>
      <c r="IPD97" s="21"/>
      <c r="IPE97" s="21"/>
      <c r="IPF97" s="21"/>
      <c r="IPG97" s="21"/>
      <c r="IPH97" s="21"/>
      <c r="IPI97" s="21"/>
      <c r="IPJ97" s="21"/>
      <c r="IPK97" s="21"/>
      <c r="IPL97" s="21"/>
      <c r="IPM97" s="21"/>
      <c r="IPN97" s="21"/>
      <c r="IPO97" s="21"/>
      <c r="IPP97" s="21"/>
      <c r="IPQ97" s="21"/>
      <c r="IPR97" s="21"/>
      <c r="IPS97" s="21"/>
      <c r="IPT97" s="21"/>
      <c r="IPU97" s="21"/>
      <c r="IPV97" s="21"/>
      <c r="IPW97" s="21"/>
      <c r="IPX97" s="21"/>
      <c r="IPY97" s="21"/>
      <c r="IPZ97" s="21"/>
      <c r="IQA97" s="21"/>
      <c r="IQB97" s="21"/>
      <c r="IQC97" s="21"/>
      <c r="IQD97" s="21"/>
      <c r="IQE97" s="21"/>
      <c r="IQF97" s="21"/>
      <c r="IQG97" s="21"/>
      <c r="IQH97" s="21"/>
      <c r="IQI97" s="21"/>
      <c r="IQJ97" s="21"/>
      <c r="IQK97" s="21"/>
      <c r="IQL97" s="21"/>
      <c r="IQM97" s="21"/>
      <c r="IQN97" s="21"/>
      <c r="IQO97" s="21"/>
      <c r="IQP97" s="21"/>
      <c r="IQQ97" s="21"/>
      <c r="IQR97" s="21"/>
      <c r="IQS97" s="21"/>
      <c r="IQT97" s="21"/>
      <c r="IQU97" s="21"/>
      <c r="IQV97" s="21"/>
      <c r="IQW97" s="21"/>
      <c r="IQX97" s="21"/>
      <c r="IQY97" s="21"/>
      <c r="IQZ97" s="21"/>
      <c r="IRA97" s="21"/>
      <c r="IRB97" s="21"/>
      <c r="IRC97" s="21"/>
      <c r="IRD97" s="21"/>
      <c r="IRE97" s="21"/>
      <c r="IRF97" s="21"/>
      <c r="IRG97" s="21"/>
      <c r="IRH97" s="21"/>
      <c r="IRI97" s="21"/>
      <c r="IRJ97" s="21"/>
      <c r="IRK97" s="21"/>
      <c r="IRL97" s="21"/>
      <c r="IRM97" s="21"/>
      <c r="IRN97" s="21"/>
      <c r="IRO97" s="21"/>
      <c r="IRP97" s="21"/>
      <c r="IRQ97" s="21"/>
      <c r="IRR97" s="21"/>
      <c r="IRS97" s="21"/>
      <c r="IRT97" s="21"/>
      <c r="IRU97" s="21"/>
      <c r="IRV97" s="21"/>
      <c r="IRW97" s="21"/>
      <c r="IRX97" s="21"/>
      <c r="IRY97" s="21"/>
      <c r="IRZ97" s="21"/>
      <c r="ISA97" s="21"/>
      <c r="ISB97" s="21"/>
      <c r="ISC97" s="21"/>
      <c r="ISD97" s="21"/>
      <c r="ISE97" s="21"/>
      <c r="ISF97" s="21"/>
      <c r="ISG97" s="21"/>
      <c r="ISH97" s="21"/>
      <c r="ISI97" s="21"/>
      <c r="ISJ97" s="21"/>
      <c r="ISK97" s="21"/>
      <c r="ISL97" s="21"/>
      <c r="ISM97" s="21"/>
      <c r="ISN97" s="21"/>
      <c r="ISO97" s="21"/>
      <c r="ISP97" s="21"/>
      <c r="ISQ97" s="21"/>
      <c r="ISR97" s="21"/>
      <c r="ISS97" s="21"/>
      <c r="IST97" s="21"/>
      <c r="ISU97" s="21"/>
      <c r="ISV97" s="21"/>
      <c r="ISW97" s="21"/>
      <c r="ISX97" s="21"/>
      <c r="ISY97" s="21"/>
      <c r="ISZ97" s="21"/>
      <c r="ITA97" s="21"/>
      <c r="ITB97" s="21"/>
      <c r="ITC97" s="21"/>
      <c r="ITD97" s="21"/>
      <c r="ITE97" s="21"/>
      <c r="ITF97" s="21"/>
      <c r="ITG97" s="21"/>
      <c r="ITH97" s="21"/>
      <c r="ITI97" s="21"/>
      <c r="ITJ97" s="21"/>
      <c r="ITK97" s="21"/>
      <c r="ITL97" s="21"/>
      <c r="ITM97" s="21"/>
      <c r="ITN97" s="21"/>
      <c r="ITO97" s="21"/>
      <c r="ITP97" s="21"/>
      <c r="ITQ97" s="21"/>
      <c r="ITR97" s="21"/>
      <c r="ITS97" s="21"/>
      <c r="ITT97" s="21"/>
      <c r="ITU97" s="21"/>
      <c r="ITV97" s="21"/>
      <c r="ITW97" s="21"/>
      <c r="ITX97" s="21"/>
      <c r="ITY97" s="21"/>
      <c r="ITZ97" s="21"/>
      <c r="IUA97" s="21"/>
      <c r="IUB97" s="21"/>
      <c r="IUC97" s="21"/>
      <c r="IUD97" s="21"/>
      <c r="IUE97" s="21"/>
      <c r="IUF97" s="21"/>
      <c r="IUG97" s="21"/>
      <c r="IUH97" s="21"/>
      <c r="IUI97" s="21"/>
      <c r="IUJ97" s="21"/>
      <c r="IUK97" s="21"/>
      <c r="IUL97" s="21"/>
      <c r="IUM97" s="21"/>
      <c r="IUN97" s="21"/>
      <c r="IUO97" s="21"/>
      <c r="IUP97" s="21"/>
      <c r="IUQ97" s="21"/>
      <c r="IUR97" s="21"/>
      <c r="IUS97" s="21"/>
      <c r="IUT97" s="21"/>
      <c r="IUU97" s="21"/>
      <c r="IUV97" s="21"/>
      <c r="IUW97" s="21"/>
      <c r="IUX97" s="21"/>
      <c r="IUY97" s="21"/>
      <c r="IUZ97" s="21"/>
      <c r="IVA97" s="21"/>
      <c r="IVB97" s="21"/>
      <c r="IVC97" s="21"/>
      <c r="IVD97" s="21"/>
      <c r="IVE97" s="21"/>
      <c r="IVF97" s="21"/>
      <c r="IVG97" s="21"/>
      <c r="IVH97" s="21"/>
      <c r="IVI97" s="21"/>
      <c r="IVJ97" s="21"/>
      <c r="IVK97" s="21"/>
      <c r="IVL97" s="21"/>
      <c r="IVM97" s="21"/>
      <c r="IVN97" s="21"/>
      <c r="IVO97" s="21"/>
      <c r="IVP97" s="21"/>
      <c r="IVQ97" s="21"/>
      <c r="IVR97" s="21"/>
      <c r="IVS97" s="21"/>
      <c r="IVT97" s="21"/>
      <c r="IVU97" s="21"/>
      <c r="IVV97" s="21"/>
      <c r="IVW97" s="21"/>
      <c r="IVX97" s="21"/>
      <c r="IVY97" s="21"/>
      <c r="IVZ97" s="21"/>
      <c r="IWA97" s="21"/>
      <c r="IWB97" s="21"/>
      <c r="IWC97" s="21"/>
      <c r="IWD97" s="21"/>
      <c r="IWE97" s="21"/>
      <c r="IWF97" s="21"/>
      <c r="IWG97" s="21"/>
      <c r="IWH97" s="21"/>
      <c r="IWI97" s="21"/>
      <c r="IWJ97" s="21"/>
      <c r="IWK97" s="21"/>
      <c r="IWL97" s="21"/>
      <c r="IWM97" s="21"/>
      <c r="IWN97" s="21"/>
      <c r="IWO97" s="21"/>
      <c r="IWP97" s="21"/>
      <c r="IWQ97" s="21"/>
      <c r="IWR97" s="21"/>
      <c r="IWS97" s="21"/>
      <c r="IWT97" s="21"/>
      <c r="IWU97" s="21"/>
      <c r="IWV97" s="21"/>
      <c r="IWW97" s="21"/>
      <c r="IWX97" s="21"/>
      <c r="IWY97" s="21"/>
      <c r="IWZ97" s="21"/>
      <c r="IXA97" s="21"/>
      <c r="IXB97" s="21"/>
      <c r="IXC97" s="21"/>
      <c r="IXD97" s="21"/>
      <c r="IXE97" s="21"/>
      <c r="IXF97" s="21"/>
      <c r="IXG97" s="21"/>
      <c r="IXH97" s="21"/>
      <c r="IXI97" s="21"/>
      <c r="IXJ97" s="21"/>
      <c r="IXK97" s="21"/>
      <c r="IXL97" s="21"/>
      <c r="IXM97" s="21"/>
      <c r="IXN97" s="21"/>
      <c r="IXO97" s="21"/>
      <c r="IXP97" s="21"/>
      <c r="IXQ97" s="21"/>
      <c r="IXR97" s="21"/>
      <c r="IXS97" s="21"/>
      <c r="IXT97" s="21"/>
      <c r="IXU97" s="21"/>
      <c r="IXV97" s="21"/>
      <c r="IXW97" s="21"/>
      <c r="IXX97" s="21"/>
      <c r="IXY97" s="21"/>
      <c r="IXZ97" s="21"/>
      <c r="IYA97" s="21"/>
      <c r="IYB97" s="21"/>
      <c r="IYC97" s="21"/>
      <c r="IYD97" s="21"/>
      <c r="IYE97" s="21"/>
      <c r="IYF97" s="21"/>
      <c r="IYG97" s="21"/>
      <c r="IYH97" s="21"/>
      <c r="IYI97" s="21"/>
      <c r="IYJ97" s="21"/>
      <c r="IYK97" s="21"/>
      <c r="IYL97" s="21"/>
      <c r="IYM97" s="21"/>
      <c r="IYN97" s="21"/>
      <c r="IYO97" s="21"/>
      <c r="IYP97" s="21"/>
      <c r="IYQ97" s="21"/>
      <c r="IYR97" s="21"/>
      <c r="IYS97" s="21"/>
      <c r="IYT97" s="21"/>
      <c r="IYU97" s="21"/>
      <c r="IYV97" s="21"/>
      <c r="IYW97" s="21"/>
      <c r="IYX97" s="21"/>
      <c r="IYY97" s="21"/>
      <c r="IYZ97" s="21"/>
      <c r="IZA97" s="21"/>
      <c r="IZB97" s="21"/>
      <c r="IZC97" s="21"/>
      <c r="IZD97" s="21"/>
      <c r="IZE97" s="21"/>
      <c r="IZF97" s="21"/>
      <c r="IZG97" s="21"/>
      <c r="IZH97" s="21"/>
      <c r="IZI97" s="21"/>
      <c r="IZJ97" s="21"/>
      <c r="IZK97" s="21"/>
      <c r="IZL97" s="21"/>
      <c r="IZM97" s="21"/>
      <c r="IZN97" s="21"/>
      <c r="IZO97" s="21"/>
      <c r="IZP97" s="21"/>
      <c r="IZQ97" s="21"/>
      <c r="IZR97" s="21"/>
      <c r="IZS97" s="21"/>
      <c r="IZT97" s="21"/>
      <c r="IZU97" s="21"/>
      <c r="IZV97" s="21"/>
      <c r="IZW97" s="21"/>
      <c r="IZX97" s="21"/>
      <c r="IZY97" s="21"/>
      <c r="IZZ97" s="21"/>
      <c r="JAA97" s="21"/>
      <c r="JAB97" s="21"/>
      <c r="JAC97" s="21"/>
      <c r="JAD97" s="21"/>
      <c r="JAE97" s="21"/>
      <c r="JAF97" s="21"/>
      <c r="JAG97" s="21"/>
      <c r="JAH97" s="21"/>
      <c r="JAI97" s="21"/>
      <c r="JAJ97" s="21"/>
      <c r="JAK97" s="21"/>
      <c r="JAL97" s="21"/>
      <c r="JAM97" s="21"/>
      <c r="JAN97" s="21"/>
      <c r="JAO97" s="21"/>
      <c r="JAP97" s="21"/>
      <c r="JAQ97" s="21"/>
      <c r="JAR97" s="21"/>
      <c r="JAS97" s="21"/>
      <c r="JAT97" s="21"/>
      <c r="JAU97" s="21"/>
      <c r="JAV97" s="21"/>
      <c r="JAW97" s="21"/>
      <c r="JAX97" s="21"/>
      <c r="JAY97" s="21"/>
      <c r="JAZ97" s="21"/>
      <c r="JBA97" s="21"/>
      <c r="JBB97" s="21"/>
      <c r="JBC97" s="21"/>
      <c r="JBD97" s="21"/>
      <c r="JBE97" s="21"/>
      <c r="JBF97" s="21"/>
      <c r="JBG97" s="21"/>
      <c r="JBH97" s="21"/>
      <c r="JBI97" s="21"/>
      <c r="JBJ97" s="21"/>
      <c r="JBK97" s="21"/>
      <c r="JBL97" s="21"/>
      <c r="JBM97" s="21"/>
      <c r="JBN97" s="21"/>
      <c r="JBO97" s="21"/>
      <c r="JBP97" s="21"/>
      <c r="JBQ97" s="21"/>
      <c r="JBR97" s="21"/>
      <c r="JBS97" s="21"/>
      <c r="JBT97" s="21"/>
      <c r="JBU97" s="21"/>
      <c r="JBV97" s="21"/>
      <c r="JBW97" s="21"/>
      <c r="JBX97" s="21"/>
      <c r="JBY97" s="21"/>
      <c r="JBZ97" s="21"/>
      <c r="JCA97" s="21"/>
      <c r="JCB97" s="21"/>
      <c r="JCC97" s="21"/>
      <c r="JCD97" s="21"/>
      <c r="JCE97" s="21"/>
      <c r="JCF97" s="21"/>
      <c r="JCG97" s="21"/>
      <c r="JCH97" s="21"/>
      <c r="JCI97" s="21"/>
      <c r="JCJ97" s="21"/>
      <c r="JCK97" s="21"/>
      <c r="JCL97" s="21"/>
      <c r="JCM97" s="21"/>
      <c r="JCN97" s="21"/>
      <c r="JCO97" s="21"/>
      <c r="JCP97" s="21"/>
      <c r="JCQ97" s="21"/>
      <c r="JCR97" s="21"/>
      <c r="JCS97" s="21"/>
      <c r="JCT97" s="21"/>
      <c r="JCU97" s="21"/>
      <c r="JCV97" s="21"/>
      <c r="JCW97" s="21"/>
      <c r="JCX97" s="21"/>
      <c r="JCY97" s="21"/>
      <c r="JCZ97" s="21"/>
      <c r="JDA97" s="21"/>
      <c r="JDB97" s="21"/>
      <c r="JDC97" s="21"/>
      <c r="JDD97" s="21"/>
      <c r="JDE97" s="21"/>
      <c r="JDF97" s="21"/>
      <c r="JDG97" s="21"/>
      <c r="JDH97" s="21"/>
      <c r="JDI97" s="21"/>
      <c r="JDJ97" s="21"/>
      <c r="JDK97" s="21"/>
      <c r="JDL97" s="21"/>
      <c r="JDM97" s="21"/>
      <c r="JDN97" s="21"/>
      <c r="JDO97" s="21"/>
      <c r="JDP97" s="21"/>
      <c r="JDQ97" s="21"/>
      <c r="JDR97" s="21"/>
      <c r="JDS97" s="21"/>
      <c r="JDT97" s="21"/>
      <c r="JDU97" s="21"/>
      <c r="JDV97" s="21"/>
      <c r="JDW97" s="21"/>
      <c r="JDX97" s="21"/>
      <c r="JDY97" s="21"/>
      <c r="JDZ97" s="21"/>
      <c r="JEA97" s="21"/>
      <c r="JEB97" s="21"/>
      <c r="JEC97" s="21"/>
      <c r="JED97" s="21"/>
      <c r="JEE97" s="21"/>
      <c r="JEF97" s="21"/>
      <c r="JEG97" s="21"/>
      <c r="JEH97" s="21"/>
      <c r="JEI97" s="21"/>
      <c r="JEJ97" s="21"/>
      <c r="JEK97" s="21"/>
      <c r="JEL97" s="21"/>
      <c r="JEM97" s="21"/>
      <c r="JEN97" s="21"/>
      <c r="JEO97" s="21"/>
      <c r="JEP97" s="21"/>
      <c r="JEQ97" s="21"/>
      <c r="JER97" s="21"/>
      <c r="JES97" s="21"/>
      <c r="JET97" s="21"/>
      <c r="JEU97" s="21"/>
      <c r="JEV97" s="21"/>
      <c r="JEW97" s="21"/>
      <c r="JEX97" s="21"/>
      <c r="JEY97" s="21"/>
      <c r="JEZ97" s="21"/>
      <c r="JFA97" s="21"/>
      <c r="JFB97" s="21"/>
      <c r="JFC97" s="21"/>
      <c r="JFD97" s="21"/>
      <c r="JFE97" s="21"/>
      <c r="JFF97" s="21"/>
      <c r="JFG97" s="21"/>
      <c r="JFH97" s="21"/>
      <c r="JFI97" s="21"/>
      <c r="JFJ97" s="21"/>
      <c r="JFK97" s="21"/>
      <c r="JFL97" s="21"/>
      <c r="JFM97" s="21"/>
      <c r="JFN97" s="21"/>
      <c r="JFO97" s="21"/>
      <c r="JFP97" s="21"/>
      <c r="JFQ97" s="21"/>
      <c r="JFR97" s="21"/>
      <c r="JFS97" s="21"/>
      <c r="JFT97" s="21"/>
      <c r="JFU97" s="21"/>
      <c r="JFV97" s="21"/>
      <c r="JFW97" s="21"/>
      <c r="JFX97" s="21"/>
      <c r="JFY97" s="21"/>
      <c r="JFZ97" s="21"/>
      <c r="JGA97" s="21"/>
      <c r="JGB97" s="21"/>
      <c r="JGC97" s="21"/>
      <c r="JGD97" s="21"/>
      <c r="JGE97" s="21"/>
      <c r="JGF97" s="21"/>
      <c r="JGG97" s="21"/>
      <c r="JGH97" s="21"/>
      <c r="JGI97" s="21"/>
      <c r="JGJ97" s="21"/>
      <c r="JGK97" s="21"/>
      <c r="JGL97" s="21"/>
      <c r="JGM97" s="21"/>
      <c r="JGN97" s="21"/>
      <c r="JGO97" s="21"/>
      <c r="JGP97" s="21"/>
      <c r="JGQ97" s="21"/>
      <c r="JGR97" s="21"/>
      <c r="JGS97" s="21"/>
      <c r="JGT97" s="21"/>
      <c r="JGU97" s="21"/>
      <c r="JGV97" s="21"/>
      <c r="JGW97" s="21"/>
      <c r="JGX97" s="21"/>
      <c r="JGY97" s="21"/>
      <c r="JGZ97" s="21"/>
      <c r="JHA97" s="21"/>
      <c r="JHB97" s="21"/>
      <c r="JHC97" s="21"/>
      <c r="JHD97" s="21"/>
      <c r="JHE97" s="21"/>
      <c r="JHF97" s="21"/>
      <c r="JHG97" s="21"/>
      <c r="JHH97" s="21"/>
      <c r="JHI97" s="21"/>
      <c r="JHJ97" s="21"/>
      <c r="JHK97" s="21"/>
      <c r="JHL97" s="21"/>
      <c r="JHM97" s="21"/>
      <c r="JHN97" s="21"/>
      <c r="JHO97" s="21"/>
      <c r="JHP97" s="21"/>
      <c r="JHQ97" s="21"/>
      <c r="JHR97" s="21"/>
      <c r="JHS97" s="21"/>
      <c r="JHT97" s="21"/>
      <c r="JHU97" s="21"/>
      <c r="JHV97" s="21"/>
      <c r="JHW97" s="21"/>
      <c r="JHX97" s="21"/>
      <c r="JHY97" s="21"/>
      <c r="JHZ97" s="21"/>
      <c r="JIA97" s="21"/>
      <c r="JIB97" s="21"/>
      <c r="JIC97" s="21"/>
      <c r="JID97" s="21"/>
      <c r="JIE97" s="21"/>
      <c r="JIF97" s="21"/>
      <c r="JIG97" s="21"/>
      <c r="JIH97" s="21"/>
      <c r="JII97" s="21"/>
      <c r="JIJ97" s="21"/>
      <c r="JIK97" s="21"/>
      <c r="JIL97" s="21"/>
      <c r="JIM97" s="21"/>
      <c r="JIN97" s="21"/>
      <c r="JIO97" s="21"/>
      <c r="JIP97" s="21"/>
      <c r="JIQ97" s="21"/>
      <c r="JIR97" s="21"/>
      <c r="JIS97" s="21"/>
      <c r="JIT97" s="21"/>
      <c r="JIU97" s="21"/>
      <c r="JIV97" s="21"/>
      <c r="JIW97" s="21"/>
      <c r="JIX97" s="21"/>
      <c r="JIY97" s="21"/>
      <c r="JIZ97" s="21"/>
      <c r="JJA97" s="21"/>
      <c r="JJB97" s="21"/>
      <c r="JJC97" s="21"/>
      <c r="JJD97" s="21"/>
      <c r="JJE97" s="21"/>
      <c r="JJF97" s="21"/>
      <c r="JJG97" s="21"/>
      <c r="JJH97" s="21"/>
      <c r="JJI97" s="21"/>
      <c r="JJJ97" s="21"/>
      <c r="JJK97" s="21"/>
      <c r="JJL97" s="21"/>
      <c r="JJM97" s="21"/>
      <c r="JJN97" s="21"/>
      <c r="JJO97" s="21"/>
      <c r="JJP97" s="21"/>
      <c r="JJQ97" s="21"/>
      <c r="JJR97" s="21"/>
      <c r="JJS97" s="21"/>
      <c r="JJT97" s="21"/>
      <c r="JJU97" s="21"/>
      <c r="JJV97" s="21"/>
      <c r="JJW97" s="21"/>
      <c r="JJX97" s="21"/>
      <c r="JJY97" s="21"/>
      <c r="JJZ97" s="21"/>
      <c r="JKA97" s="21"/>
      <c r="JKB97" s="21"/>
      <c r="JKC97" s="21"/>
      <c r="JKD97" s="21"/>
      <c r="JKE97" s="21"/>
      <c r="JKF97" s="21"/>
      <c r="JKG97" s="21"/>
      <c r="JKH97" s="21"/>
      <c r="JKI97" s="21"/>
      <c r="JKJ97" s="21"/>
      <c r="JKK97" s="21"/>
      <c r="JKL97" s="21"/>
      <c r="JKM97" s="21"/>
      <c r="JKN97" s="21"/>
      <c r="JKO97" s="21"/>
      <c r="JKP97" s="21"/>
      <c r="JKQ97" s="21"/>
      <c r="JKR97" s="21"/>
      <c r="JKS97" s="21"/>
      <c r="JKT97" s="21"/>
      <c r="JKU97" s="21"/>
      <c r="JKV97" s="21"/>
      <c r="JKW97" s="21"/>
      <c r="JKX97" s="21"/>
      <c r="JKY97" s="21"/>
      <c r="JKZ97" s="21"/>
      <c r="JLA97" s="21"/>
      <c r="JLB97" s="21"/>
      <c r="JLC97" s="21"/>
      <c r="JLD97" s="21"/>
      <c r="JLE97" s="21"/>
      <c r="JLF97" s="21"/>
      <c r="JLG97" s="21"/>
      <c r="JLH97" s="21"/>
      <c r="JLI97" s="21"/>
      <c r="JLJ97" s="21"/>
      <c r="JLK97" s="21"/>
      <c r="JLL97" s="21"/>
      <c r="JLM97" s="21"/>
      <c r="JLN97" s="21"/>
      <c r="JLO97" s="21"/>
      <c r="JLP97" s="21"/>
      <c r="JLQ97" s="21"/>
      <c r="JLR97" s="21"/>
      <c r="JLS97" s="21"/>
      <c r="JLT97" s="21"/>
      <c r="JLU97" s="21"/>
      <c r="JLV97" s="21"/>
      <c r="JLW97" s="21"/>
      <c r="JLX97" s="21"/>
      <c r="JLY97" s="21"/>
      <c r="JLZ97" s="21"/>
      <c r="JMA97" s="21"/>
      <c r="JMB97" s="21"/>
      <c r="JMC97" s="21"/>
      <c r="JMD97" s="21"/>
      <c r="JME97" s="21"/>
      <c r="JMF97" s="21"/>
      <c r="JMG97" s="21"/>
      <c r="JMH97" s="21"/>
      <c r="JMI97" s="21"/>
      <c r="JMJ97" s="21"/>
      <c r="JMK97" s="21"/>
      <c r="JML97" s="21"/>
      <c r="JMM97" s="21"/>
      <c r="JMN97" s="21"/>
      <c r="JMO97" s="21"/>
      <c r="JMP97" s="21"/>
      <c r="JMQ97" s="21"/>
      <c r="JMR97" s="21"/>
      <c r="JMS97" s="21"/>
      <c r="JMT97" s="21"/>
      <c r="JMU97" s="21"/>
      <c r="JMV97" s="21"/>
      <c r="JMW97" s="21"/>
      <c r="JMX97" s="21"/>
      <c r="JMY97" s="21"/>
      <c r="JMZ97" s="21"/>
      <c r="JNA97" s="21"/>
      <c r="JNB97" s="21"/>
      <c r="JNC97" s="21"/>
      <c r="JND97" s="21"/>
      <c r="JNE97" s="21"/>
      <c r="JNF97" s="21"/>
      <c r="JNG97" s="21"/>
      <c r="JNH97" s="21"/>
      <c r="JNI97" s="21"/>
      <c r="JNJ97" s="21"/>
      <c r="JNK97" s="21"/>
      <c r="JNL97" s="21"/>
      <c r="JNM97" s="21"/>
      <c r="JNN97" s="21"/>
      <c r="JNO97" s="21"/>
      <c r="JNP97" s="21"/>
      <c r="JNQ97" s="21"/>
      <c r="JNR97" s="21"/>
      <c r="JNS97" s="21"/>
      <c r="JNT97" s="21"/>
      <c r="JNU97" s="21"/>
      <c r="JNV97" s="21"/>
      <c r="JNW97" s="21"/>
      <c r="JNX97" s="21"/>
      <c r="JNY97" s="21"/>
      <c r="JNZ97" s="21"/>
      <c r="JOA97" s="21"/>
      <c r="JOB97" s="21"/>
      <c r="JOC97" s="21"/>
      <c r="JOD97" s="21"/>
      <c r="JOE97" s="21"/>
      <c r="JOF97" s="21"/>
      <c r="JOG97" s="21"/>
      <c r="JOH97" s="21"/>
      <c r="JOI97" s="21"/>
      <c r="JOJ97" s="21"/>
      <c r="JOK97" s="21"/>
      <c r="JOL97" s="21"/>
      <c r="JOM97" s="21"/>
      <c r="JON97" s="21"/>
      <c r="JOO97" s="21"/>
      <c r="JOP97" s="21"/>
      <c r="JOQ97" s="21"/>
      <c r="JOR97" s="21"/>
      <c r="JOS97" s="21"/>
      <c r="JOT97" s="21"/>
      <c r="JOU97" s="21"/>
      <c r="JOV97" s="21"/>
      <c r="JOW97" s="21"/>
      <c r="JOX97" s="21"/>
      <c r="JOY97" s="21"/>
      <c r="JOZ97" s="21"/>
      <c r="JPA97" s="21"/>
      <c r="JPB97" s="21"/>
      <c r="JPC97" s="21"/>
      <c r="JPD97" s="21"/>
      <c r="JPE97" s="21"/>
      <c r="JPF97" s="21"/>
      <c r="JPG97" s="21"/>
      <c r="JPH97" s="21"/>
      <c r="JPI97" s="21"/>
      <c r="JPJ97" s="21"/>
      <c r="JPK97" s="21"/>
      <c r="JPL97" s="21"/>
      <c r="JPM97" s="21"/>
      <c r="JPN97" s="21"/>
      <c r="JPO97" s="21"/>
      <c r="JPP97" s="21"/>
      <c r="JPQ97" s="21"/>
      <c r="JPR97" s="21"/>
      <c r="JPS97" s="21"/>
      <c r="JPT97" s="21"/>
      <c r="JPU97" s="21"/>
      <c r="JPV97" s="21"/>
      <c r="JPW97" s="21"/>
      <c r="JPX97" s="21"/>
      <c r="JPY97" s="21"/>
      <c r="JPZ97" s="21"/>
      <c r="JQA97" s="21"/>
      <c r="JQB97" s="21"/>
      <c r="JQC97" s="21"/>
      <c r="JQD97" s="21"/>
      <c r="JQE97" s="21"/>
      <c r="JQF97" s="21"/>
      <c r="JQG97" s="21"/>
      <c r="JQH97" s="21"/>
      <c r="JQI97" s="21"/>
      <c r="JQJ97" s="21"/>
      <c r="JQK97" s="21"/>
      <c r="JQL97" s="21"/>
      <c r="JQM97" s="21"/>
      <c r="JQN97" s="21"/>
      <c r="JQO97" s="21"/>
      <c r="JQP97" s="21"/>
      <c r="JQQ97" s="21"/>
      <c r="JQR97" s="21"/>
      <c r="JQS97" s="21"/>
      <c r="JQT97" s="21"/>
      <c r="JQU97" s="21"/>
      <c r="JQV97" s="21"/>
      <c r="JQW97" s="21"/>
      <c r="JQX97" s="21"/>
      <c r="JQY97" s="21"/>
      <c r="JQZ97" s="21"/>
      <c r="JRA97" s="21"/>
      <c r="JRB97" s="21"/>
      <c r="JRC97" s="21"/>
      <c r="JRD97" s="21"/>
      <c r="JRE97" s="21"/>
      <c r="JRF97" s="21"/>
      <c r="JRG97" s="21"/>
      <c r="JRH97" s="21"/>
      <c r="JRI97" s="21"/>
      <c r="JRJ97" s="21"/>
      <c r="JRK97" s="21"/>
      <c r="JRL97" s="21"/>
      <c r="JRM97" s="21"/>
      <c r="JRN97" s="21"/>
      <c r="JRO97" s="21"/>
      <c r="JRP97" s="21"/>
      <c r="JRQ97" s="21"/>
      <c r="JRR97" s="21"/>
      <c r="JRS97" s="21"/>
      <c r="JRT97" s="21"/>
      <c r="JRU97" s="21"/>
      <c r="JRV97" s="21"/>
      <c r="JRW97" s="21"/>
      <c r="JRX97" s="21"/>
      <c r="JRY97" s="21"/>
      <c r="JRZ97" s="21"/>
      <c r="JSA97" s="21"/>
      <c r="JSB97" s="21"/>
      <c r="JSC97" s="21"/>
      <c r="JSD97" s="21"/>
      <c r="JSE97" s="21"/>
      <c r="JSF97" s="21"/>
      <c r="JSG97" s="21"/>
      <c r="JSH97" s="21"/>
      <c r="JSI97" s="21"/>
      <c r="JSJ97" s="21"/>
      <c r="JSK97" s="21"/>
      <c r="JSL97" s="21"/>
      <c r="JSM97" s="21"/>
      <c r="JSN97" s="21"/>
      <c r="JSO97" s="21"/>
      <c r="JSP97" s="21"/>
      <c r="JSQ97" s="21"/>
      <c r="JSR97" s="21"/>
      <c r="JSS97" s="21"/>
      <c r="JST97" s="21"/>
      <c r="JSU97" s="21"/>
      <c r="JSV97" s="21"/>
      <c r="JSW97" s="21"/>
      <c r="JSX97" s="21"/>
      <c r="JSY97" s="21"/>
      <c r="JSZ97" s="21"/>
      <c r="JTA97" s="21"/>
      <c r="JTB97" s="21"/>
      <c r="JTC97" s="21"/>
      <c r="JTD97" s="21"/>
      <c r="JTE97" s="21"/>
      <c r="JTF97" s="21"/>
      <c r="JTG97" s="21"/>
      <c r="JTH97" s="21"/>
      <c r="JTI97" s="21"/>
      <c r="JTJ97" s="21"/>
      <c r="JTK97" s="21"/>
      <c r="JTL97" s="21"/>
      <c r="JTM97" s="21"/>
      <c r="JTN97" s="21"/>
      <c r="JTO97" s="21"/>
      <c r="JTP97" s="21"/>
      <c r="JTQ97" s="21"/>
      <c r="JTR97" s="21"/>
      <c r="JTS97" s="21"/>
      <c r="JTT97" s="21"/>
      <c r="JTU97" s="21"/>
      <c r="JTV97" s="21"/>
      <c r="JTW97" s="21"/>
      <c r="JTX97" s="21"/>
      <c r="JTY97" s="21"/>
      <c r="JTZ97" s="21"/>
      <c r="JUA97" s="21"/>
      <c r="JUB97" s="21"/>
      <c r="JUC97" s="21"/>
      <c r="JUD97" s="21"/>
      <c r="JUE97" s="21"/>
      <c r="JUF97" s="21"/>
      <c r="JUG97" s="21"/>
      <c r="JUH97" s="21"/>
      <c r="JUI97" s="21"/>
      <c r="JUJ97" s="21"/>
      <c r="JUK97" s="21"/>
      <c r="JUL97" s="21"/>
      <c r="JUM97" s="21"/>
      <c r="JUN97" s="21"/>
      <c r="JUO97" s="21"/>
      <c r="JUP97" s="21"/>
      <c r="JUQ97" s="21"/>
      <c r="JUR97" s="21"/>
      <c r="JUS97" s="21"/>
      <c r="JUT97" s="21"/>
      <c r="JUU97" s="21"/>
      <c r="JUV97" s="21"/>
      <c r="JUW97" s="21"/>
      <c r="JUX97" s="21"/>
      <c r="JUY97" s="21"/>
      <c r="JUZ97" s="21"/>
      <c r="JVA97" s="21"/>
      <c r="JVB97" s="21"/>
      <c r="JVC97" s="21"/>
      <c r="JVD97" s="21"/>
      <c r="JVE97" s="21"/>
      <c r="JVF97" s="21"/>
      <c r="JVG97" s="21"/>
      <c r="JVH97" s="21"/>
      <c r="JVI97" s="21"/>
      <c r="JVJ97" s="21"/>
      <c r="JVK97" s="21"/>
      <c r="JVL97" s="21"/>
      <c r="JVM97" s="21"/>
      <c r="JVN97" s="21"/>
      <c r="JVO97" s="21"/>
      <c r="JVP97" s="21"/>
      <c r="JVQ97" s="21"/>
      <c r="JVR97" s="21"/>
      <c r="JVS97" s="21"/>
      <c r="JVT97" s="21"/>
      <c r="JVU97" s="21"/>
      <c r="JVV97" s="21"/>
      <c r="JVW97" s="21"/>
      <c r="JVX97" s="21"/>
      <c r="JVY97" s="21"/>
      <c r="JVZ97" s="21"/>
      <c r="JWA97" s="21"/>
      <c r="JWB97" s="21"/>
      <c r="JWC97" s="21"/>
      <c r="JWD97" s="21"/>
      <c r="JWE97" s="21"/>
      <c r="JWF97" s="21"/>
      <c r="JWG97" s="21"/>
      <c r="JWH97" s="21"/>
      <c r="JWI97" s="21"/>
      <c r="JWJ97" s="21"/>
      <c r="JWK97" s="21"/>
      <c r="JWL97" s="21"/>
      <c r="JWM97" s="21"/>
      <c r="JWN97" s="21"/>
      <c r="JWO97" s="21"/>
      <c r="JWP97" s="21"/>
      <c r="JWQ97" s="21"/>
      <c r="JWR97" s="21"/>
      <c r="JWS97" s="21"/>
      <c r="JWT97" s="21"/>
      <c r="JWU97" s="21"/>
      <c r="JWV97" s="21"/>
      <c r="JWW97" s="21"/>
      <c r="JWX97" s="21"/>
      <c r="JWY97" s="21"/>
      <c r="JWZ97" s="21"/>
      <c r="JXA97" s="21"/>
      <c r="JXB97" s="21"/>
      <c r="JXC97" s="21"/>
      <c r="JXD97" s="21"/>
      <c r="JXE97" s="21"/>
      <c r="JXF97" s="21"/>
      <c r="JXG97" s="21"/>
      <c r="JXH97" s="21"/>
      <c r="JXI97" s="21"/>
      <c r="JXJ97" s="21"/>
      <c r="JXK97" s="21"/>
      <c r="JXL97" s="21"/>
      <c r="JXM97" s="21"/>
      <c r="JXN97" s="21"/>
      <c r="JXO97" s="21"/>
      <c r="JXP97" s="21"/>
      <c r="JXQ97" s="21"/>
      <c r="JXR97" s="21"/>
      <c r="JXS97" s="21"/>
      <c r="JXT97" s="21"/>
      <c r="JXU97" s="21"/>
      <c r="JXV97" s="21"/>
      <c r="JXW97" s="21"/>
      <c r="JXX97" s="21"/>
      <c r="JXY97" s="21"/>
      <c r="JXZ97" s="21"/>
      <c r="JYA97" s="21"/>
      <c r="JYB97" s="21"/>
      <c r="JYC97" s="21"/>
      <c r="JYD97" s="21"/>
      <c r="JYE97" s="21"/>
      <c r="JYF97" s="21"/>
      <c r="JYG97" s="21"/>
      <c r="JYH97" s="21"/>
      <c r="JYI97" s="21"/>
      <c r="JYJ97" s="21"/>
      <c r="JYK97" s="21"/>
      <c r="JYL97" s="21"/>
      <c r="JYM97" s="21"/>
      <c r="JYN97" s="21"/>
      <c r="JYO97" s="21"/>
      <c r="JYP97" s="21"/>
      <c r="JYQ97" s="21"/>
      <c r="JYR97" s="21"/>
      <c r="JYS97" s="21"/>
      <c r="JYT97" s="21"/>
      <c r="JYU97" s="21"/>
      <c r="JYV97" s="21"/>
      <c r="JYW97" s="21"/>
      <c r="JYX97" s="21"/>
      <c r="JYY97" s="21"/>
      <c r="JYZ97" s="21"/>
      <c r="JZA97" s="21"/>
      <c r="JZB97" s="21"/>
      <c r="JZC97" s="21"/>
      <c r="JZD97" s="21"/>
      <c r="JZE97" s="21"/>
      <c r="JZF97" s="21"/>
      <c r="JZG97" s="21"/>
      <c r="JZH97" s="21"/>
      <c r="JZI97" s="21"/>
      <c r="JZJ97" s="21"/>
      <c r="JZK97" s="21"/>
      <c r="JZL97" s="21"/>
      <c r="JZM97" s="21"/>
      <c r="JZN97" s="21"/>
      <c r="JZO97" s="21"/>
      <c r="JZP97" s="21"/>
      <c r="JZQ97" s="21"/>
      <c r="JZR97" s="21"/>
      <c r="JZS97" s="21"/>
      <c r="JZT97" s="21"/>
      <c r="JZU97" s="21"/>
      <c r="JZV97" s="21"/>
      <c r="JZW97" s="21"/>
      <c r="JZX97" s="21"/>
      <c r="JZY97" s="21"/>
      <c r="JZZ97" s="21"/>
      <c r="KAA97" s="21"/>
      <c r="KAB97" s="21"/>
      <c r="KAC97" s="21"/>
      <c r="KAD97" s="21"/>
      <c r="KAE97" s="21"/>
      <c r="KAF97" s="21"/>
      <c r="KAG97" s="21"/>
      <c r="KAH97" s="21"/>
      <c r="KAI97" s="21"/>
      <c r="KAJ97" s="21"/>
      <c r="KAK97" s="21"/>
      <c r="KAL97" s="21"/>
      <c r="KAM97" s="21"/>
      <c r="KAN97" s="21"/>
      <c r="KAO97" s="21"/>
      <c r="KAP97" s="21"/>
      <c r="KAQ97" s="21"/>
      <c r="KAR97" s="21"/>
      <c r="KAS97" s="21"/>
      <c r="KAT97" s="21"/>
      <c r="KAU97" s="21"/>
      <c r="KAV97" s="21"/>
      <c r="KAW97" s="21"/>
      <c r="KAX97" s="21"/>
      <c r="KAY97" s="21"/>
      <c r="KAZ97" s="21"/>
      <c r="KBA97" s="21"/>
      <c r="KBB97" s="21"/>
      <c r="KBC97" s="21"/>
      <c r="KBD97" s="21"/>
      <c r="KBE97" s="21"/>
      <c r="KBF97" s="21"/>
      <c r="KBG97" s="21"/>
      <c r="KBH97" s="21"/>
      <c r="KBI97" s="21"/>
      <c r="KBJ97" s="21"/>
      <c r="KBK97" s="21"/>
      <c r="KBL97" s="21"/>
      <c r="KBM97" s="21"/>
      <c r="KBN97" s="21"/>
      <c r="KBO97" s="21"/>
      <c r="KBP97" s="21"/>
      <c r="KBQ97" s="21"/>
      <c r="KBR97" s="21"/>
      <c r="KBS97" s="21"/>
      <c r="KBT97" s="21"/>
      <c r="KBU97" s="21"/>
      <c r="KBV97" s="21"/>
      <c r="KBW97" s="21"/>
      <c r="KBX97" s="21"/>
      <c r="KBY97" s="21"/>
      <c r="KBZ97" s="21"/>
      <c r="KCA97" s="21"/>
      <c r="KCB97" s="21"/>
      <c r="KCC97" s="21"/>
      <c r="KCD97" s="21"/>
      <c r="KCE97" s="21"/>
      <c r="KCF97" s="21"/>
      <c r="KCG97" s="21"/>
      <c r="KCH97" s="21"/>
      <c r="KCI97" s="21"/>
      <c r="KCJ97" s="21"/>
      <c r="KCK97" s="21"/>
      <c r="KCL97" s="21"/>
      <c r="KCM97" s="21"/>
      <c r="KCN97" s="21"/>
      <c r="KCO97" s="21"/>
      <c r="KCP97" s="21"/>
      <c r="KCQ97" s="21"/>
      <c r="KCR97" s="21"/>
      <c r="KCS97" s="21"/>
      <c r="KCT97" s="21"/>
      <c r="KCU97" s="21"/>
      <c r="KCV97" s="21"/>
      <c r="KCW97" s="21"/>
      <c r="KCX97" s="21"/>
      <c r="KCY97" s="21"/>
      <c r="KCZ97" s="21"/>
      <c r="KDA97" s="21"/>
      <c r="KDB97" s="21"/>
      <c r="KDC97" s="21"/>
      <c r="KDD97" s="21"/>
      <c r="KDE97" s="21"/>
      <c r="KDF97" s="21"/>
      <c r="KDG97" s="21"/>
      <c r="KDH97" s="21"/>
      <c r="KDI97" s="21"/>
      <c r="KDJ97" s="21"/>
      <c r="KDK97" s="21"/>
      <c r="KDL97" s="21"/>
      <c r="KDM97" s="21"/>
      <c r="KDN97" s="21"/>
      <c r="KDO97" s="21"/>
      <c r="KDP97" s="21"/>
      <c r="KDQ97" s="21"/>
      <c r="KDR97" s="21"/>
      <c r="KDS97" s="21"/>
      <c r="KDT97" s="21"/>
      <c r="KDU97" s="21"/>
      <c r="KDV97" s="21"/>
      <c r="KDW97" s="21"/>
      <c r="KDX97" s="21"/>
      <c r="KDY97" s="21"/>
      <c r="KDZ97" s="21"/>
      <c r="KEA97" s="21"/>
      <c r="KEB97" s="21"/>
      <c r="KEC97" s="21"/>
      <c r="KED97" s="21"/>
      <c r="KEE97" s="21"/>
      <c r="KEF97" s="21"/>
      <c r="KEG97" s="21"/>
      <c r="KEH97" s="21"/>
      <c r="KEI97" s="21"/>
      <c r="KEJ97" s="21"/>
      <c r="KEK97" s="21"/>
      <c r="KEL97" s="21"/>
      <c r="KEM97" s="21"/>
      <c r="KEN97" s="21"/>
      <c r="KEO97" s="21"/>
      <c r="KEP97" s="21"/>
      <c r="KEQ97" s="21"/>
      <c r="KER97" s="21"/>
      <c r="KES97" s="21"/>
      <c r="KET97" s="21"/>
      <c r="KEU97" s="21"/>
      <c r="KEV97" s="21"/>
      <c r="KEW97" s="21"/>
      <c r="KEX97" s="21"/>
      <c r="KEY97" s="21"/>
      <c r="KEZ97" s="21"/>
      <c r="KFA97" s="21"/>
      <c r="KFB97" s="21"/>
      <c r="KFC97" s="21"/>
      <c r="KFD97" s="21"/>
      <c r="KFE97" s="21"/>
      <c r="KFF97" s="21"/>
      <c r="KFG97" s="21"/>
      <c r="KFH97" s="21"/>
      <c r="KFI97" s="21"/>
      <c r="KFJ97" s="21"/>
      <c r="KFK97" s="21"/>
      <c r="KFL97" s="21"/>
      <c r="KFM97" s="21"/>
      <c r="KFN97" s="21"/>
      <c r="KFO97" s="21"/>
      <c r="KFP97" s="21"/>
      <c r="KFQ97" s="21"/>
      <c r="KFR97" s="21"/>
      <c r="KFS97" s="21"/>
      <c r="KFT97" s="21"/>
      <c r="KFU97" s="21"/>
      <c r="KFV97" s="21"/>
      <c r="KFW97" s="21"/>
      <c r="KFX97" s="21"/>
      <c r="KFY97" s="21"/>
      <c r="KFZ97" s="21"/>
      <c r="KGA97" s="21"/>
      <c r="KGB97" s="21"/>
      <c r="KGC97" s="21"/>
      <c r="KGD97" s="21"/>
      <c r="KGE97" s="21"/>
      <c r="KGF97" s="21"/>
      <c r="KGG97" s="21"/>
      <c r="KGH97" s="21"/>
      <c r="KGI97" s="21"/>
      <c r="KGJ97" s="21"/>
      <c r="KGK97" s="21"/>
      <c r="KGL97" s="21"/>
      <c r="KGM97" s="21"/>
      <c r="KGN97" s="21"/>
      <c r="KGO97" s="21"/>
      <c r="KGP97" s="21"/>
      <c r="KGQ97" s="21"/>
      <c r="KGR97" s="21"/>
      <c r="KGS97" s="21"/>
      <c r="KGT97" s="21"/>
      <c r="KGU97" s="21"/>
      <c r="KGV97" s="21"/>
      <c r="KGW97" s="21"/>
      <c r="KGX97" s="21"/>
      <c r="KGY97" s="21"/>
      <c r="KGZ97" s="21"/>
      <c r="KHA97" s="21"/>
      <c r="KHB97" s="21"/>
      <c r="KHC97" s="21"/>
      <c r="KHD97" s="21"/>
      <c r="KHE97" s="21"/>
      <c r="KHF97" s="21"/>
      <c r="KHG97" s="21"/>
      <c r="KHH97" s="21"/>
      <c r="KHI97" s="21"/>
      <c r="KHJ97" s="21"/>
      <c r="KHK97" s="21"/>
      <c r="KHL97" s="21"/>
      <c r="KHM97" s="21"/>
      <c r="KHN97" s="21"/>
      <c r="KHO97" s="21"/>
      <c r="KHP97" s="21"/>
      <c r="KHQ97" s="21"/>
      <c r="KHR97" s="21"/>
      <c r="KHS97" s="21"/>
      <c r="KHT97" s="21"/>
      <c r="KHU97" s="21"/>
      <c r="KHV97" s="21"/>
      <c r="KHW97" s="21"/>
      <c r="KHX97" s="21"/>
      <c r="KHY97" s="21"/>
      <c r="KHZ97" s="21"/>
      <c r="KIA97" s="21"/>
      <c r="KIB97" s="21"/>
      <c r="KIC97" s="21"/>
      <c r="KID97" s="21"/>
      <c r="KIE97" s="21"/>
      <c r="KIF97" s="21"/>
      <c r="KIG97" s="21"/>
      <c r="KIH97" s="21"/>
      <c r="KII97" s="21"/>
      <c r="KIJ97" s="21"/>
      <c r="KIK97" s="21"/>
      <c r="KIL97" s="21"/>
      <c r="KIM97" s="21"/>
      <c r="KIN97" s="21"/>
      <c r="KIO97" s="21"/>
      <c r="KIP97" s="21"/>
      <c r="KIQ97" s="21"/>
      <c r="KIR97" s="21"/>
      <c r="KIS97" s="21"/>
      <c r="KIT97" s="21"/>
      <c r="KIU97" s="21"/>
      <c r="KIV97" s="21"/>
      <c r="KIW97" s="21"/>
      <c r="KIX97" s="21"/>
      <c r="KIY97" s="21"/>
      <c r="KIZ97" s="21"/>
      <c r="KJA97" s="21"/>
      <c r="KJB97" s="21"/>
      <c r="KJC97" s="21"/>
      <c r="KJD97" s="21"/>
      <c r="KJE97" s="21"/>
      <c r="KJF97" s="21"/>
      <c r="KJG97" s="21"/>
      <c r="KJH97" s="21"/>
      <c r="KJI97" s="21"/>
      <c r="KJJ97" s="21"/>
      <c r="KJK97" s="21"/>
      <c r="KJL97" s="21"/>
      <c r="KJM97" s="21"/>
      <c r="KJN97" s="21"/>
      <c r="KJO97" s="21"/>
      <c r="KJP97" s="21"/>
      <c r="KJQ97" s="21"/>
      <c r="KJR97" s="21"/>
      <c r="KJS97" s="21"/>
      <c r="KJT97" s="21"/>
      <c r="KJU97" s="21"/>
      <c r="KJV97" s="21"/>
      <c r="KJW97" s="21"/>
      <c r="KJX97" s="21"/>
      <c r="KJY97" s="21"/>
      <c r="KJZ97" s="21"/>
      <c r="KKA97" s="21"/>
      <c r="KKB97" s="21"/>
      <c r="KKC97" s="21"/>
      <c r="KKD97" s="21"/>
      <c r="KKE97" s="21"/>
      <c r="KKF97" s="21"/>
      <c r="KKG97" s="21"/>
      <c r="KKH97" s="21"/>
      <c r="KKI97" s="21"/>
      <c r="KKJ97" s="21"/>
      <c r="KKK97" s="21"/>
      <c r="KKL97" s="21"/>
      <c r="KKM97" s="21"/>
      <c r="KKN97" s="21"/>
      <c r="KKO97" s="21"/>
      <c r="KKP97" s="21"/>
      <c r="KKQ97" s="21"/>
      <c r="KKR97" s="21"/>
      <c r="KKS97" s="21"/>
      <c r="KKT97" s="21"/>
      <c r="KKU97" s="21"/>
      <c r="KKV97" s="21"/>
      <c r="KKW97" s="21"/>
      <c r="KKX97" s="21"/>
      <c r="KKY97" s="21"/>
      <c r="KKZ97" s="21"/>
      <c r="KLA97" s="21"/>
      <c r="KLB97" s="21"/>
      <c r="KLC97" s="21"/>
      <c r="KLD97" s="21"/>
      <c r="KLE97" s="21"/>
      <c r="KLF97" s="21"/>
      <c r="KLG97" s="21"/>
      <c r="KLH97" s="21"/>
      <c r="KLI97" s="21"/>
      <c r="KLJ97" s="21"/>
      <c r="KLK97" s="21"/>
      <c r="KLL97" s="21"/>
      <c r="KLM97" s="21"/>
      <c r="KLN97" s="21"/>
      <c r="KLO97" s="21"/>
      <c r="KLP97" s="21"/>
      <c r="KLQ97" s="21"/>
      <c r="KLR97" s="21"/>
      <c r="KLS97" s="21"/>
      <c r="KLT97" s="21"/>
      <c r="KLU97" s="21"/>
      <c r="KLV97" s="21"/>
      <c r="KLW97" s="21"/>
      <c r="KLX97" s="21"/>
      <c r="KLY97" s="21"/>
      <c r="KLZ97" s="21"/>
      <c r="KMA97" s="21"/>
      <c r="KMB97" s="21"/>
      <c r="KMC97" s="21"/>
      <c r="KMD97" s="21"/>
      <c r="KME97" s="21"/>
      <c r="KMF97" s="21"/>
      <c r="KMG97" s="21"/>
      <c r="KMH97" s="21"/>
      <c r="KMI97" s="21"/>
      <c r="KMJ97" s="21"/>
      <c r="KMK97" s="21"/>
      <c r="KML97" s="21"/>
      <c r="KMM97" s="21"/>
      <c r="KMN97" s="21"/>
      <c r="KMO97" s="21"/>
      <c r="KMP97" s="21"/>
      <c r="KMQ97" s="21"/>
      <c r="KMR97" s="21"/>
      <c r="KMS97" s="21"/>
      <c r="KMT97" s="21"/>
      <c r="KMU97" s="21"/>
      <c r="KMV97" s="21"/>
      <c r="KMW97" s="21"/>
      <c r="KMX97" s="21"/>
      <c r="KMY97" s="21"/>
      <c r="KMZ97" s="21"/>
      <c r="KNA97" s="21"/>
      <c r="KNB97" s="21"/>
      <c r="KNC97" s="21"/>
      <c r="KND97" s="21"/>
      <c r="KNE97" s="21"/>
      <c r="KNF97" s="21"/>
      <c r="KNG97" s="21"/>
      <c r="KNH97" s="21"/>
      <c r="KNI97" s="21"/>
      <c r="KNJ97" s="21"/>
      <c r="KNK97" s="21"/>
      <c r="KNL97" s="21"/>
      <c r="KNM97" s="21"/>
      <c r="KNN97" s="21"/>
      <c r="KNO97" s="21"/>
      <c r="KNP97" s="21"/>
      <c r="KNQ97" s="21"/>
      <c r="KNR97" s="21"/>
      <c r="KNS97" s="21"/>
      <c r="KNT97" s="21"/>
      <c r="KNU97" s="21"/>
      <c r="KNV97" s="21"/>
      <c r="KNW97" s="21"/>
      <c r="KNX97" s="21"/>
      <c r="KNY97" s="21"/>
      <c r="KNZ97" s="21"/>
      <c r="KOA97" s="21"/>
      <c r="KOB97" s="21"/>
      <c r="KOC97" s="21"/>
      <c r="KOD97" s="21"/>
      <c r="KOE97" s="21"/>
      <c r="KOF97" s="21"/>
      <c r="KOG97" s="21"/>
      <c r="KOH97" s="21"/>
      <c r="KOI97" s="21"/>
      <c r="KOJ97" s="21"/>
      <c r="KOK97" s="21"/>
      <c r="KOL97" s="21"/>
      <c r="KOM97" s="21"/>
      <c r="KON97" s="21"/>
      <c r="KOO97" s="21"/>
      <c r="KOP97" s="21"/>
      <c r="KOQ97" s="21"/>
      <c r="KOR97" s="21"/>
      <c r="KOS97" s="21"/>
      <c r="KOT97" s="21"/>
      <c r="KOU97" s="21"/>
      <c r="KOV97" s="21"/>
      <c r="KOW97" s="21"/>
      <c r="KOX97" s="21"/>
      <c r="KOY97" s="21"/>
      <c r="KOZ97" s="21"/>
      <c r="KPA97" s="21"/>
      <c r="KPB97" s="21"/>
      <c r="KPC97" s="21"/>
      <c r="KPD97" s="21"/>
      <c r="KPE97" s="21"/>
      <c r="KPF97" s="21"/>
      <c r="KPG97" s="21"/>
      <c r="KPH97" s="21"/>
      <c r="KPI97" s="21"/>
      <c r="KPJ97" s="21"/>
      <c r="KPK97" s="21"/>
      <c r="KPL97" s="21"/>
      <c r="KPM97" s="21"/>
      <c r="KPN97" s="21"/>
      <c r="KPO97" s="21"/>
      <c r="KPP97" s="21"/>
      <c r="KPQ97" s="21"/>
      <c r="KPR97" s="21"/>
      <c r="KPS97" s="21"/>
      <c r="KPT97" s="21"/>
      <c r="KPU97" s="21"/>
      <c r="KPV97" s="21"/>
      <c r="KPW97" s="21"/>
      <c r="KPX97" s="21"/>
      <c r="KPY97" s="21"/>
      <c r="KPZ97" s="21"/>
      <c r="KQA97" s="21"/>
      <c r="KQB97" s="21"/>
      <c r="KQC97" s="21"/>
      <c r="KQD97" s="21"/>
      <c r="KQE97" s="21"/>
      <c r="KQF97" s="21"/>
      <c r="KQG97" s="21"/>
      <c r="KQH97" s="21"/>
      <c r="KQI97" s="21"/>
      <c r="KQJ97" s="21"/>
      <c r="KQK97" s="21"/>
      <c r="KQL97" s="21"/>
      <c r="KQM97" s="21"/>
      <c r="KQN97" s="21"/>
      <c r="KQO97" s="21"/>
      <c r="KQP97" s="21"/>
      <c r="KQQ97" s="21"/>
      <c r="KQR97" s="21"/>
      <c r="KQS97" s="21"/>
      <c r="KQT97" s="21"/>
      <c r="KQU97" s="21"/>
      <c r="KQV97" s="21"/>
      <c r="KQW97" s="21"/>
      <c r="KQX97" s="21"/>
      <c r="KQY97" s="21"/>
      <c r="KQZ97" s="21"/>
      <c r="KRA97" s="21"/>
      <c r="KRB97" s="21"/>
      <c r="KRC97" s="21"/>
      <c r="KRD97" s="21"/>
      <c r="KRE97" s="21"/>
      <c r="KRF97" s="21"/>
      <c r="KRG97" s="21"/>
      <c r="KRH97" s="21"/>
      <c r="KRI97" s="21"/>
      <c r="KRJ97" s="21"/>
      <c r="KRK97" s="21"/>
      <c r="KRL97" s="21"/>
      <c r="KRM97" s="21"/>
      <c r="KRN97" s="21"/>
      <c r="KRO97" s="21"/>
      <c r="KRP97" s="21"/>
      <c r="KRQ97" s="21"/>
      <c r="KRR97" s="21"/>
      <c r="KRS97" s="21"/>
      <c r="KRT97" s="21"/>
      <c r="KRU97" s="21"/>
      <c r="KRV97" s="21"/>
      <c r="KRW97" s="21"/>
      <c r="KRX97" s="21"/>
      <c r="KRY97" s="21"/>
      <c r="KRZ97" s="21"/>
      <c r="KSA97" s="21"/>
      <c r="KSB97" s="21"/>
      <c r="KSC97" s="21"/>
      <c r="KSD97" s="21"/>
      <c r="KSE97" s="21"/>
      <c r="KSF97" s="21"/>
      <c r="KSG97" s="21"/>
      <c r="KSH97" s="21"/>
      <c r="KSI97" s="21"/>
      <c r="KSJ97" s="21"/>
      <c r="KSK97" s="21"/>
      <c r="KSL97" s="21"/>
      <c r="KSM97" s="21"/>
      <c r="KSN97" s="21"/>
      <c r="KSO97" s="21"/>
      <c r="KSP97" s="21"/>
      <c r="KSQ97" s="21"/>
      <c r="KSR97" s="21"/>
      <c r="KSS97" s="21"/>
      <c r="KST97" s="21"/>
      <c r="KSU97" s="21"/>
      <c r="KSV97" s="21"/>
      <c r="KSW97" s="21"/>
      <c r="KSX97" s="21"/>
      <c r="KSY97" s="21"/>
      <c r="KSZ97" s="21"/>
      <c r="KTA97" s="21"/>
      <c r="KTB97" s="21"/>
      <c r="KTC97" s="21"/>
      <c r="KTD97" s="21"/>
      <c r="KTE97" s="21"/>
      <c r="KTF97" s="21"/>
      <c r="KTG97" s="21"/>
      <c r="KTH97" s="21"/>
      <c r="KTI97" s="21"/>
      <c r="KTJ97" s="21"/>
      <c r="KTK97" s="21"/>
      <c r="KTL97" s="21"/>
      <c r="KTM97" s="21"/>
      <c r="KTN97" s="21"/>
      <c r="KTO97" s="21"/>
      <c r="KTP97" s="21"/>
      <c r="KTQ97" s="21"/>
      <c r="KTR97" s="21"/>
      <c r="KTS97" s="21"/>
      <c r="KTT97" s="21"/>
      <c r="KTU97" s="21"/>
      <c r="KTV97" s="21"/>
      <c r="KTW97" s="21"/>
      <c r="KTX97" s="21"/>
      <c r="KTY97" s="21"/>
      <c r="KTZ97" s="21"/>
      <c r="KUA97" s="21"/>
      <c r="KUB97" s="21"/>
      <c r="KUC97" s="21"/>
      <c r="KUD97" s="21"/>
      <c r="KUE97" s="21"/>
      <c r="KUF97" s="21"/>
      <c r="KUG97" s="21"/>
      <c r="KUH97" s="21"/>
      <c r="KUI97" s="21"/>
      <c r="KUJ97" s="21"/>
      <c r="KUK97" s="21"/>
      <c r="KUL97" s="21"/>
      <c r="KUM97" s="21"/>
      <c r="KUN97" s="21"/>
      <c r="KUO97" s="21"/>
      <c r="KUP97" s="21"/>
      <c r="KUQ97" s="21"/>
      <c r="KUR97" s="21"/>
      <c r="KUS97" s="21"/>
      <c r="KUT97" s="21"/>
      <c r="KUU97" s="21"/>
      <c r="KUV97" s="21"/>
      <c r="KUW97" s="21"/>
      <c r="KUX97" s="21"/>
      <c r="KUY97" s="21"/>
      <c r="KUZ97" s="21"/>
      <c r="KVA97" s="21"/>
      <c r="KVB97" s="21"/>
      <c r="KVC97" s="21"/>
      <c r="KVD97" s="21"/>
      <c r="KVE97" s="21"/>
      <c r="KVF97" s="21"/>
      <c r="KVG97" s="21"/>
      <c r="KVH97" s="21"/>
      <c r="KVI97" s="21"/>
      <c r="KVJ97" s="21"/>
      <c r="KVK97" s="21"/>
      <c r="KVL97" s="21"/>
      <c r="KVM97" s="21"/>
      <c r="KVN97" s="21"/>
      <c r="KVO97" s="21"/>
      <c r="KVP97" s="21"/>
      <c r="KVQ97" s="21"/>
      <c r="KVR97" s="21"/>
      <c r="KVS97" s="21"/>
      <c r="KVT97" s="21"/>
      <c r="KVU97" s="21"/>
      <c r="KVV97" s="21"/>
      <c r="KVW97" s="21"/>
      <c r="KVX97" s="21"/>
      <c r="KVY97" s="21"/>
      <c r="KVZ97" s="21"/>
      <c r="KWA97" s="21"/>
      <c r="KWB97" s="21"/>
      <c r="KWC97" s="21"/>
      <c r="KWD97" s="21"/>
      <c r="KWE97" s="21"/>
      <c r="KWF97" s="21"/>
      <c r="KWG97" s="21"/>
      <c r="KWH97" s="21"/>
      <c r="KWI97" s="21"/>
      <c r="KWJ97" s="21"/>
      <c r="KWK97" s="21"/>
      <c r="KWL97" s="21"/>
      <c r="KWM97" s="21"/>
      <c r="KWN97" s="21"/>
      <c r="KWO97" s="21"/>
      <c r="KWP97" s="21"/>
      <c r="KWQ97" s="21"/>
      <c r="KWR97" s="21"/>
      <c r="KWS97" s="21"/>
      <c r="KWT97" s="21"/>
      <c r="KWU97" s="21"/>
      <c r="KWV97" s="21"/>
      <c r="KWW97" s="21"/>
      <c r="KWX97" s="21"/>
      <c r="KWY97" s="21"/>
      <c r="KWZ97" s="21"/>
      <c r="KXA97" s="21"/>
      <c r="KXB97" s="21"/>
      <c r="KXC97" s="21"/>
      <c r="KXD97" s="21"/>
      <c r="KXE97" s="21"/>
      <c r="KXF97" s="21"/>
      <c r="KXG97" s="21"/>
      <c r="KXH97" s="21"/>
      <c r="KXI97" s="21"/>
      <c r="KXJ97" s="21"/>
      <c r="KXK97" s="21"/>
      <c r="KXL97" s="21"/>
      <c r="KXM97" s="21"/>
      <c r="KXN97" s="21"/>
      <c r="KXO97" s="21"/>
      <c r="KXP97" s="21"/>
      <c r="KXQ97" s="21"/>
      <c r="KXR97" s="21"/>
      <c r="KXS97" s="21"/>
      <c r="KXT97" s="21"/>
      <c r="KXU97" s="21"/>
      <c r="KXV97" s="21"/>
      <c r="KXW97" s="21"/>
      <c r="KXX97" s="21"/>
      <c r="KXY97" s="21"/>
      <c r="KXZ97" s="21"/>
      <c r="KYA97" s="21"/>
      <c r="KYB97" s="21"/>
      <c r="KYC97" s="21"/>
      <c r="KYD97" s="21"/>
      <c r="KYE97" s="21"/>
      <c r="KYF97" s="21"/>
      <c r="KYG97" s="21"/>
      <c r="KYH97" s="21"/>
      <c r="KYI97" s="21"/>
      <c r="KYJ97" s="21"/>
      <c r="KYK97" s="21"/>
      <c r="KYL97" s="21"/>
      <c r="KYM97" s="21"/>
      <c r="KYN97" s="21"/>
      <c r="KYO97" s="21"/>
      <c r="KYP97" s="21"/>
      <c r="KYQ97" s="21"/>
      <c r="KYR97" s="21"/>
      <c r="KYS97" s="21"/>
      <c r="KYT97" s="21"/>
      <c r="KYU97" s="21"/>
      <c r="KYV97" s="21"/>
      <c r="KYW97" s="21"/>
      <c r="KYX97" s="21"/>
      <c r="KYY97" s="21"/>
      <c r="KYZ97" s="21"/>
      <c r="KZA97" s="21"/>
      <c r="KZB97" s="21"/>
      <c r="KZC97" s="21"/>
      <c r="KZD97" s="21"/>
      <c r="KZE97" s="21"/>
      <c r="KZF97" s="21"/>
      <c r="KZG97" s="21"/>
      <c r="KZH97" s="21"/>
      <c r="KZI97" s="21"/>
      <c r="KZJ97" s="21"/>
      <c r="KZK97" s="21"/>
      <c r="KZL97" s="21"/>
      <c r="KZM97" s="21"/>
      <c r="KZN97" s="21"/>
      <c r="KZO97" s="21"/>
      <c r="KZP97" s="21"/>
      <c r="KZQ97" s="21"/>
      <c r="KZR97" s="21"/>
      <c r="KZS97" s="21"/>
      <c r="KZT97" s="21"/>
      <c r="KZU97" s="21"/>
      <c r="KZV97" s="21"/>
      <c r="KZW97" s="21"/>
      <c r="KZX97" s="21"/>
      <c r="KZY97" s="21"/>
      <c r="KZZ97" s="21"/>
      <c r="LAA97" s="21"/>
      <c r="LAB97" s="21"/>
      <c r="LAC97" s="21"/>
      <c r="LAD97" s="21"/>
      <c r="LAE97" s="21"/>
      <c r="LAF97" s="21"/>
      <c r="LAG97" s="21"/>
      <c r="LAH97" s="21"/>
      <c r="LAI97" s="21"/>
      <c r="LAJ97" s="21"/>
      <c r="LAK97" s="21"/>
      <c r="LAL97" s="21"/>
      <c r="LAM97" s="21"/>
      <c r="LAN97" s="21"/>
      <c r="LAO97" s="21"/>
      <c r="LAP97" s="21"/>
      <c r="LAQ97" s="21"/>
      <c r="LAR97" s="21"/>
      <c r="LAS97" s="21"/>
      <c r="LAT97" s="21"/>
      <c r="LAU97" s="21"/>
      <c r="LAV97" s="21"/>
      <c r="LAW97" s="21"/>
      <c r="LAX97" s="21"/>
      <c r="LAY97" s="21"/>
      <c r="LAZ97" s="21"/>
      <c r="LBA97" s="21"/>
      <c r="LBB97" s="21"/>
      <c r="LBC97" s="21"/>
      <c r="LBD97" s="21"/>
      <c r="LBE97" s="21"/>
      <c r="LBF97" s="21"/>
      <c r="LBG97" s="21"/>
      <c r="LBH97" s="21"/>
      <c r="LBI97" s="21"/>
      <c r="LBJ97" s="21"/>
      <c r="LBK97" s="21"/>
      <c r="LBL97" s="21"/>
      <c r="LBM97" s="21"/>
      <c r="LBN97" s="21"/>
      <c r="LBO97" s="21"/>
      <c r="LBP97" s="21"/>
      <c r="LBQ97" s="21"/>
      <c r="LBR97" s="21"/>
      <c r="LBS97" s="21"/>
      <c r="LBT97" s="21"/>
      <c r="LBU97" s="21"/>
      <c r="LBV97" s="21"/>
      <c r="LBW97" s="21"/>
      <c r="LBX97" s="21"/>
      <c r="LBY97" s="21"/>
      <c r="LBZ97" s="21"/>
      <c r="LCA97" s="21"/>
      <c r="LCB97" s="21"/>
      <c r="LCC97" s="21"/>
      <c r="LCD97" s="21"/>
      <c r="LCE97" s="21"/>
      <c r="LCF97" s="21"/>
      <c r="LCG97" s="21"/>
      <c r="LCH97" s="21"/>
      <c r="LCI97" s="21"/>
      <c r="LCJ97" s="21"/>
      <c r="LCK97" s="21"/>
      <c r="LCL97" s="21"/>
      <c r="LCM97" s="21"/>
      <c r="LCN97" s="21"/>
      <c r="LCO97" s="21"/>
      <c r="LCP97" s="21"/>
      <c r="LCQ97" s="21"/>
      <c r="LCR97" s="21"/>
      <c r="LCS97" s="21"/>
      <c r="LCT97" s="21"/>
      <c r="LCU97" s="21"/>
      <c r="LCV97" s="21"/>
      <c r="LCW97" s="21"/>
      <c r="LCX97" s="21"/>
      <c r="LCY97" s="21"/>
      <c r="LCZ97" s="21"/>
      <c r="LDA97" s="21"/>
      <c r="LDB97" s="21"/>
      <c r="LDC97" s="21"/>
      <c r="LDD97" s="21"/>
      <c r="LDE97" s="21"/>
      <c r="LDF97" s="21"/>
      <c r="LDG97" s="21"/>
      <c r="LDH97" s="21"/>
      <c r="LDI97" s="21"/>
      <c r="LDJ97" s="21"/>
      <c r="LDK97" s="21"/>
      <c r="LDL97" s="21"/>
      <c r="LDM97" s="21"/>
      <c r="LDN97" s="21"/>
      <c r="LDO97" s="21"/>
      <c r="LDP97" s="21"/>
      <c r="LDQ97" s="21"/>
      <c r="LDR97" s="21"/>
      <c r="LDS97" s="21"/>
      <c r="LDT97" s="21"/>
      <c r="LDU97" s="21"/>
      <c r="LDV97" s="21"/>
      <c r="LDW97" s="21"/>
      <c r="LDX97" s="21"/>
      <c r="LDY97" s="21"/>
      <c r="LDZ97" s="21"/>
      <c r="LEA97" s="21"/>
      <c r="LEB97" s="21"/>
      <c r="LEC97" s="21"/>
      <c r="LED97" s="21"/>
      <c r="LEE97" s="21"/>
      <c r="LEF97" s="21"/>
      <c r="LEG97" s="21"/>
      <c r="LEH97" s="21"/>
      <c r="LEI97" s="21"/>
      <c r="LEJ97" s="21"/>
      <c r="LEK97" s="21"/>
      <c r="LEL97" s="21"/>
      <c r="LEM97" s="21"/>
      <c r="LEN97" s="21"/>
      <c r="LEO97" s="21"/>
      <c r="LEP97" s="21"/>
      <c r="LEQ97" s="21"/>
      <c r="LER97" s="21"/>
      <c r="LES97" s="21"/>
      <c r="LET97" s="21"/>
      <c r="LEU97" s="21"/>
      <c r="LEV97" s="21"/>
      <c r="LEW97" s="21"/>
      <c r="LEX97" s="21"/>
      <c r="LEY97" s="21"/>
      <c r="LEZ97" s="21"/>
      <c r="LFA97" s="21"/>
      <c r="LFB97" s="21"/>
      <c r="LFC97" s="21"/>
      <c r="LFD97" s="21"/>
      <c r="LFE97" s="21"/>
      <c r="LFF97" s="21"/>
      <c r="LFG97" s="21"/>
      <c r="LFH97" s="21"/>
      <c r="LFI97" s="21"/>
      <c r="LFJ97" s="21"/>
      <c r="LFK97" s="21"/>
      <c r="LFL97" s="21"/>
      <c r="LFM97" s="21"/>
      <c r="LFN97" s="21"/>
      <c r="LFO97" s="21"/>
      <c r="LFP97" s="21"/>
      <c r="LFQ97" s="21"/>
      <c r="LFR97" s="21"/>
      <c r="LFS97" s="21"/>
      <c r="LFT97" s="21"/>
      <c r="LFU97" s="21"/>
      <c r="LFV97" s="21"/>
      <c r="LFW97" s="21"/>
      <c r="LFX97" s="21"/>
      <c r="LFY97" s="21"/>
      <c r="LFZ97" s="21"/>
      <c r="LGA97" s="21"/>
      <c r="LGB97" s="21"/>
      <c r="LGC97" s="21"/>
      <c r="LGD97" s="21"/>
      <c r="LGE97" s="21"/>
      <c r="LGF97" s="21"/>
      <c r="LGG97" s="21"/>
      <c r="LGH97" s="21"/>
      <c r="LGI97" s="21"/>
      <c r="LGJ97" s="21"/>
      <c r="LGK97" s="21"/>
      <c r="LGL97" s="21"/>
      <c r="LGM97" s="21"/>
      <c r="LGN97" s="21"/>
      <c r="LGO97" s="21"/>
      <c r="LGP97" s="21"/>
      <c r="LGQ97" s="21"/>
      <c r="LGR97" s="21"/>
      <c r="LGS97" s="21"/>
      <c r="LGT97" s="21"/>
      <c r="LGU97" s="21"/>
      <c r="LGV97" s="21"/>
      <c r="LGW97" s="21"/>
      <c r="LGX97" s="21"/>
      <c r="LGY97" s="21"/>
      <c r="LGZ97" s="21"/>
      <c r="LHA97" s="21"/>
      <c r="LHB97" s="21"/>
      <c r="LHC97" s="21"/>
      <c r="LHD97" s="21"/>
      <c r="LHE97" s="21"/>
      <c r="LHF97" s="21"/>
      <c r="LHG97" s="21"/>
      <c r="LHH97" s="21"/>
      <c r="LHI97" s="21"/>
      <c r="LHJ97" s="21"/>
      <c r="LHK97" s="21"/>
      <c r="LHL97" s="21"/>
      <c r="LHM97" s="21"/>
      <c r="LHN97" s="21"/>
      <c r="LHO97" s="21"/>
      <c r="LHP97" s="21"/>
      <c r="LHQ97" s="21"/>
      <c r="LHR97" s="21"/>
      <c r="LHS97" s="21"/>
      <c r="LHT97" s="21"/>
      <c r="LHU97" s="21"/>
      <c r="LHV97" s="21"/>
      <c r="LHW97" s="21"/>
      <c r="LHX97" s="21"/>
      <c r="LHY97" s="21"/>
      <c r="LHZ97" s="21"/>
      <c r="LIA97" s="21"/>
      <c r="LIB97" s="21"/>
      <c r="LIC97" s="21"/>
      <c r="LID97" s="21"/>
      <c r="LIE97" s="21"/>
      <c r="LIF97" s="21"/>
      <c r="LIG97" s="21"/>
      <c r="LIH97" s="21"/>
      <c r="LII97" s="21"/>
      <c r="LIJ97" s="21"/>
      <c r="LIK97" s="21"/>
      <c r="LIL97" s="21"/>
      <c r="LIM97" s="21"/>
      <c r="LIN97" s="21"/>
      <c r="LIO97" s="21"/>
      <c r="LIP97" s="21"/>
      <c r="LIQ97" s="21"/>
      <c r="LIR97" s="21"/>
      <c r="LIS97" s="21"/>
      <c r="LIT97" s="21"/>
      <c r="LIU97" s="21"/>
      <c r="LIV97" s="21"/>
      <c r="LIW97" s="21"/>
      <c r="LIX97" s="21"/>
      <c r="LIY97" s="21"/>
      <c r="LIZ97" s="21"/>
      <c r="LJA97" s="21"/>
      <c r="LJB97" s="21"/>
      <c r="LJC97" s="21"/>
      <c r="LJD97" s="21"/>
      <c r="LJE97" s="21"/>
      <c r="LJF97" s="21"/>
      <c r="LJG97" s="21"/>
      <c r="LJH97" s="21"/>
      <c r="LJI97" s="21"/>
      <c r="LJJ97" s="21"/>
      <c r="LJK97" s="21"/>
      <c r="LJL97" s="21"/>
      <c r="LJM97" s="21"/>
      <c r="LJN97" s="21"/>
      <c r="LJO97" s="21"/>
      <c r="LJP97" s="21"/>
      <c r="LJQ97" s="21"/>
      <c r="LJR97" s="21"/>
      <c r="LJS97" s="21"/>
      <c r="LJT97" s="21"/>
      <c r="LJU97" s="21"/>
      <c r="LJV97" s="21"/>
      <c r="LJW97" s="21"/>
      <c r="LJX97" s="21"/>
      <c r="LJY97" s="21"/>
      <c r="LJZ97" s="21"/>
      <c r="LKA97" s="21"/>
      <c r="LKB97" s="21"/>
      <c r="LKC97" s="21"/>
      <c r="LKD97" s="21"/>
      <c r="LKE97" s="21"/>
      <c r="LKF97" s="21"/>
      <c r="LKG97" s="21"/>
      <c r="LKH97" s="21"/>
      <c r="LKI97" s="21"/>
      <c r="LKJ97" s="21"/>
      <c r="LKK97" s="21"/>
      <c r="LKL97" s="21"/>
      <c r="LKM97" s="21"/>
      <c r="LKN97" s="21"/>
      <c r="LKO97" s="21"/>
      <c r="LKP97" s="21"/>
      <c r="LKQ97" s="21"/>
      <c r="LKR97" s="21"/>
      <c r="LKS97" s="21"/>
      <c r="LKT97" s="21"/>
      <c r="LKU97" s="21"/>
      <c r="LKV97" s="21"/>
      <c r="LKW97" s="21"/>
      <c r="LKX97" s="21"/>
      <c r="LKY97" s="21"/>
      <c r="LKZ97" s="21"/>
      <c r="LLA97" s="21"/>
      <c r="LLB97" s="21"/>
      <c r="LLC97" s="21"/>
      <c r="LLD97" s="21"/>
      <c r="LLE97" s="21"/>
      <c r="LLF97" s="21"/>
      <c r="LLG97" s="21"/>
      <c r="LLH97" s="21"/>
      <c r="LLI97" s="21"/>
      <c r="LLJ97" s="21"/>
      <c r="LLK97" s="21"/>
      <c r="LLL97" s="21"/>
      <c r="LLM97" s="21"/>
      <c r="LLN97" s="21"/>
      <c r="LLO97" s="21"/>
      <c r="LLP97" s="21"/>
      <c r="LLQ97" s="21"/>
      <c r="LLR97" s="21"/>
      <c r="LLS97" s="21"/>
      <c r="LLT97" s="21"/>
      <c r="LLU97" s="21"/>
      <c r="LLV97" s="21"/>
      <c r="LLW97" s="21"/>
      <c r="LLX97" s="21"/>
      <c r="LLY97" s="21"/>
      <c r="LLZ97" s="21"/>
      <c r="LMA97" s="21"/>
      <c r="LMB97" s="21"/>
      <c r="LMC97" s="21"/>
      <c r="LMD97" s="21"/>
      <c r="LME97" s="21"/>
      <c r="LMF97" s="21"/>
      <c r="LMG97" s="21"/>
      <c r="LMH97" s="21"/>
      <c r="LMI97" s="21"/>
      <c r="LMJ97" s="21"/>
      <c r="LMK97" s="21"/>
      <c r="LML97" s="21"/>
      <c r="LMM97" s="21"/>
      <c r="LMN97" s="21"/>
      <c r="LMO97" s="21"/>
      <c r="LMP97" s="21"/>
      <c r="LMQ97" s="21"/>
      <c r="LMR97" s="21"/>
      <c r="LMS97" s="21"/>
      <c r="LMT97" s="21"/>
      <c r="LMU97" s="21"/>
      <c r="LMV97" s="21"/>
      <c r="LMW97" s="21"/>
      <c r="LMX97" s="21"/>
      <c r="LMY97" s="21"/>
      <c r="LMZ97" s="21"/>
      <c r="LNA97" s="21"/>
      <c r="LNB97" s="21"/>
      <c r="LNC97" s="21"/>
      <c r="LND97" s="21"/>
      <c r="LNE97" s="21"/>
      <c r="LNF97" s="21"/>
      <c r="LNG97" s="21"/>
      <c r="LNH97" s="21"/>
      <c r="LNI97" s="21"/>
      <c r="LNJ97" s="21"/>
      <c r="LNK97" s="21"/>
      <c r="LNL97" s="21"/>
      <c r="LNM97" s="21"/>
      <c r="LNN97" s="21"/>
      <c r="LNO97" s="21"/>
      <c r="LNP97" s="21"/>
      <c r="LNQ97" s="21"/>
      <c r="LNR97" s="21"/>
      <c r="LNS97" s="21"/>
      <c r="LNT97" s="21"/>
      <c r="LNU97" s="21"/>
      <c r="LNV97" s="21"/>
      <c r="LNW97" s="21"/>
      <c r="LNX97" s="21"/>
      <c r="LNY97" s="21"/>
      <c r="LNZ97" s="21"/>
      <c r="LOA97" s="21"/>
      <c r="LOB97" s="21"/>
      <c r="LOC97" s="21"/>
      <c r="LOD97" s="21"/>
      <c r="LOE97" s="21"/>
      <c r="LOF97" s="21"/>
      <c r="LOG97" s="21"/>
      <c r="LOH97" s="21"/>
      <c r="LOI97" s="21"/>
      <c r="LOJ97" s="21"/>
      <c r="LOK97" s="21"/>
      <c r="LOL97" s="21"/>
      <c r="LOM97" s="21"/>
      <c r="LON97" s="21"/>
      <c r="LOO97" s="21"/>
      <c r="LOP97" s="21"/>
      <c r="LOQ97" s="21"/>
      <c r="LOR97" s="21"/>
      <c r="LOS97" s="21"/>
      <c r="LOT97" s="21"/>
      <c r="LOU97" s="21"/>
      <c r="LOV97" s="21"/>
      <c r="LOW97" s="21"/>
      <c r="LOX97" s="21"/>
      <c r="LOY97" s="21"/>
      <c r="LOZ97" s="21"/>
      <c r="LPA97" s="21"/>
      <c r="LPB97" s="21"/>
      <c r="LPC97" s="21"/>
      <c r="LPD97" s="21"/>
      <c r="LPE97" s="21"/>
      <c r="LPF97" s="21"/>
      <c r="LPG97" s="21"/>
      <c r="LPH97" s="21"/>
      <c r="LPI97" s="21"/>
      <c r="LPJ97" s="21"/>
      <c r="LPK97" s="21"/>
      <c r="LPL97" s="21"/>
      <c r="LPM97" s="21"/>
      <c r="LPN97" s="21"/>
      <c r="LPO97" s="21"/>
      <c r="LPP97" s="21"/>
      <c r="LPQ97" s="21"/>
      <c r="LPR97" s="21"/>
      <c r="LPS97" s="21"/>
      <c r="LPT97" s="21"/>
      <c r="LPU97" s="21"/>
      <c r="LPV97" s="21"/>
      <c r="LPW97" s="21"/>
      <c r="LPX97" s="21"/>
      <c r="LPY97" s="21"/>
      <c r="LPZ97" s="21"/>
      <c r="LQA97" s="21"/>
      <c r="LQB97" s="21"/>
      <c r="LQC97" s="21"/>
      <c r="LQD97" s="21"/>
      <c r="LQE97" s="21"/>
      <c r="LQF97" s="21"/>
      <c r="LQG97" s="21"/>
      <c r="LQH97" s="21"/>
      <c r="LQI97" s="21"/>
      <c r="LQJ97" s="21"/>
      <c r="LQK97" s="21"/>
      <c r="LQL97" s="21"/>
      <c r="LQM97" s="21"/>
      <c r="LQN97" s="21"/>
      <c r="LQO97" s="21"/>
      <c r="LQP97" s="21"/>
      <c r="LQQ97" s="21"/>
      <c r="LQR97" s="21"/>
      <c r="LQS97" s="21"/>
      <c r="LQT97" s="21"/>
      <c r="LQU97" s="21"/>
      <c r="LQV97" s="21"/>
      <c r="LQW97" s="21"/>
      <c r="LQX97" s="21"/>
      <c r="LQY97" s="21"/>
      <c r="LQZ97" s="21"/>
      <c r="LRA97" s="21"/>
      <c r="LRB97" s="21"/>
      <c r="LRC97" s="21"/>
      <c r="LRD97" s="21"/>
      <c r="LRE97" s="21"/>
      <c r="LRF97" s="21"/>
      <c r="LRG97" s="21"/>
      <c r="LRH97" s="21"/>
      <c r="LRI97" s="21"/>
      <c r="LRJ97" s="21"/>
      <c r="LRK97" s="21"/>
      <c r="LRL97" s="21"/>
      <c r="LRM97" s="21"/>
      <c r="LRN97" s="21"/>
      <c r="LRO97" s="21"/>
      <c r="LRP97" s="21"/>
      <c r="LRQ97" s="21"/>
      <c r="LRR97" s="21"/>
      <c r="LRS97" s="21"/>
      <c r="LRT97" s="21"/>
      <c r="LRU97" s="21"/>
      <c r="LRV97" s="21"/>
      <c r="LRW97" s="21"/>
      <c r="LRX97" s="21"/>
      <c r="LRY97" s="21"/>
      <c r="LRZ97" s="21"/>
      <c r="LSA97" s="21"/>
      <c r="LSB97" s="21"/>
      <c r="LSC97" s="21"/>
      <c r="LSD97" s="21"/>
      <c r="LSE97" s="21"/>
      <c r="LSF97" s="21"/>
      <c r="LSG97" s="21"/>
      <c r="LSH97" s="21"/>
      <c r="LSI97" s="21"/>
      <c r="LSJ97" s="21"/>
      <c r="LSK97" s="21"/>
      <c r="LSL97" s="21"/>
      <c r="LSM97" s="21"/>
      <c r="LSN97" s="21"/>
      <c r="LSO97" s="21"/>
      <c r="LSP97" s="21"/>
      <c r="LSQ97" s="21"/>
      <c r="LSR97" s="21"/>
      <c r="LSS97" s="21"/>
      <c r="LST97" s="21"/>
      <c r="LSU97" s="21"/>
      <c r="LSV97" s="21"/>
      <c r="LSW97" s="21"/>
      <c r="LSX97" s="21"/>
      <c r="LSY97" s="21"/>
      <c r="LSZ97" s="21"/>
      <c r="LTA97" s="21"/>
      <c r="LTB97" s="21"/>
      <c r="LTC97" s="21"/>
      <c r="LTD97" s="21"/>
      <c r="LTE97" s="21"/>
      <c r="LTF97" s="21"/>
      <c r="LTG97" s="21"/>
      <c r="LTH97" s="21"/>
      <c r="LTI97" s="21"/>
      <c r="LTJ97" s="21"/>
      <c r="LTK97" s="21"/>
      <c r="LTL97" s="21"/>
      <c r="LTM97" s="21"/>
      <c r="LTN97" s="21"/>
      <c r="LTO97" s="21"/>
      <c r="LTP97" s="21"/>
      <c r="LTQ97" s="21"/>
      <c r="LTR97" s="21"/>
      <c r="LTS97" s="21"/>
      <c r="LTT97" s="21"/>
      <c r="LTU97" s="21"/>
      <c r="LTV97" s="21"/>
      <c r="LTW97" s="21"/>
      <c r="LTX97" s="21"/>
      <c r="LTY97" s="21"/>
      <c r="LTZ97" s="21"/>
      <c r="LUA97" s="21"/>
      <c r="LUB97" s="21"/>
      <c r="LUC97" s="21"/>
      <c r="LUD97" s="21"/>
      <c r="LUE97" s="21"/>
      <c r="LUF97" s="21"/>
      <c r="LUG97" s="21"/>
      <c r="LUH97" s="21"/>
      <c r="LUI97" s="21"/>
      <c r="LUJ97" s="21"/>
      <c r="LUK97" s="21"/>
      <c r="LUL97" s="21"/>
      <c r="LUM97" s="21"/>
      <c r="LUN97" s="21"/>
      <c r="LUO97" s="21"/>
      <c r="LUP97" s="21"/>
      <c r="LUQ97" s="21"/>
      <c r="LUR97" s="21"/>
      <c r="LUS97" s="21"/>
      <c r="LUT97" s="21"/>
      <c r="LUU97" s="21"/>
      <c r="LUV97" s="21"/>
      <c r="LUW97" s="21"/>
      <c r="LUX97" s="21"/>
      <c r="LUY97" s="21"/>
      <c r="LUZ97" s="21"/>
      <c r="LVA97" s="21"/>
      <c r="LVB97" s="21"/>
      <c r="LVC97" s="21"/>
      <c r="LVD97" s="21"/>
      <c r="LVE97" s="21"/>
      <c r="LVF97" s="21"/>
      <c r="LVG97" s="21"/>
      <c r="LVH97" s="21"/>
      <c r="LVI97" s="21"/>
      <c r="LVJ97" s="21"/>
      <c r="LVK97" s="21"/>
      <c r="LVL97" s="21"/>
      <c r="LVM97" s="21"/>
      <c r="LVN97" s="21"/>
      <c r="LVO97" s="21"/>
      <c r="LVP97" s="21"/>
      <c r="LVQ97" s="21"/>
      <c r="LVR97" s="21"/>
      <c r="LVS97" s="21"/>
      <c r="LVT97" s="21"/>
      <c r="LVU97" s="21"/>
      <c r="LVV97" s="21"/>
      <c r="LVW97" s="21"/>
      <c r="LVX97" s="21"/>
      <c r="LVY97" s="21"/>
      <c r="LVZ97" s="21"/>
      <c r="LWA97" s="21"/>
      <c r="LWB97" s="21"/>
      <c r="LWC97" s="21"/>
      <c r="LWD97" s="21"/>
      <c r="LWE97" s="21"/>
      <c r="LWF97" s="21"/>
      <c r="LWG97" s="21"/>
      <c r="LWH97" s="21"/>
      <c r="LWI97" s="21"/>
      <c r="LWJ97" s="21"/>
      <c r="LWK97" s="21"/>
      <c r="LWL97" s="21"/>
      <c r="LWM97" s="21"/>
      <c r="LWN97" s="21"/>
      <c r="LWO97" s="21"/>
      <c r="LWP97" s="21"/>
      <c r="LWQ97" s="21"/>
      <c r="LWR97" s="21"/>
      <c r="LWS97" s="21"/>
      <c r="LWT97" s="21"/>
      <c r="LWU97" s="21"/>
      <c r="LWV97" s="21"/>
      <c r="LWW97" s="21"/>
      <c r="LWX97" s="21"/>
      <c r="LWY97" s="21"/>
      <c r="LWZ97" s="21"/>
      <c r="LXA97" s="21"/>
      <c r="LXB97" s="21"/>
      <c r="LXC97" s="21"/>
      <c r="LXD97" s="21"/>
      <c r="LXE97" s="21"/>
      <c r="LXF97" s="21"/>
      <c r="LXG97" s="21"/>
      <c r="LXH97" s="21"/>
      <c r="LXI97" s="21"/>
      <c r="LXJ97" s="21"/>
      <c r="LXK97" s="21"/>
      <c r="LXL97" s="21"/>
      <c r="LXM97" s="21"/>
      <c r="LXN97" s="21"/>
      <c r="LXO97" s="21"/>
      <c r="LXP97" s="21"/>
      <c r="LXQ97" s="21"/>
      <c r="LXR97" s="21"/>
      <c r="LXS97" s="21"/>
      <c r="LXT97" s="21"/>
      <c r="LXU97" s="21"/>
      <c r="LXV97" s="21"/>
      <c r="LXW97" s="21"/>
      <c r="LXX97" s="21"/>
      <c r="LXY97" s="21"/>
      <c r="LXZ97" s="21"/>
      <c r="LYA97" s="21"/>
      <c r="LYB97" s="21"/>
      <c r="LYC97" s="21"/>
      <c r="LYD97" s="21"/>
      <c r="LYE97" s="21"/>
      <c r="LYF97" s="21"/>
      <c r="LYG97" s="21"/>
      <c r="LYH97" s="21"/>
      <c r="LYI97" s="21"/>
      <c r="LYJ97" s="21"/>
      <c r="LYK97" s="21"/>
      <c r="LYL97" s="21"/>
      <c r="LYM97" s="21"/>
      <c r="LYN97" s="21"/>
      <c r="LYO97" s="21"/>
      <c r="LYP97" s="21"/>
      <c r="LYQ97" s="21"/>
      <c r="LYR97" s="21"/>
      <c r="LYS97" s="21"/>
      <c r="LYT97" s="21"/>
      <c r="LYU97" s="21"/>
      <c r="LYV97" s="21"/>
      <c r="LYW97" s="21"/>
      <c r="LYX97" s="21"/>
      <c r="LYY97" s="21"/>
      <c r="LYZ97" s="21"/>
      <c r="LZA97" s="21"/>
      <c r="LZB97" s="21"/>
      <c r="LZC97" s="21"/>
      <c r="LZD97" s="21"/>
      <c r="LZE97" s="21"/>
      <c r="LZF97" s="21"/>
      <c r="LZG97" s="21"/>
      <c r="LZH97" s="21"/>
      <c r="LZI97" s="21"/>
      <c r="LZJ97" s="21"/>
      <c r="LZK97" s="21"/>
      <c r="LZL97" s="21"/>
      <c r="LZM97" s="21"/>
      <c r="LZN97" s="21"/>
      <c r="LZO97" s="21"/>
      <c r="LZP97" s="21"/>
      <c r="LZQ97" s="21"/>
      <c r="LZR97" s="21"/>
      <c r="LZS97" s="21"/>
      <c r="LZT97" s="21"/>
      <c r="LZU97" s="21"/>
      <c r="LZV97" s="21"/>
      <c r="LZW97" s="21"/>
      <c r="LZX97" s="21"/>
      <c r="LZY97" s="21"/>
      <c r="LZZ97" s="21"/>
      <c r="MAA97" s="21"/>
      <c r="MAB97" s="21"/>
      <c r="MAC97" s="21"/>
      <c r="MAD97" s="21"/>
      <c r="MAE97" s="21"/>
      <c r="MAF97" s="21"/>
      <c r="MAG97" s="21"/>
      <c r="MAH97" s="21"/>
      <c r="MAI97" s="21"/>
      <c r="MAJ97" s="21"/>
      <c r="MAK97" s="21"/>
      <c r="MAL97" s="21"/>
      <c r="MAM97" s="21"/>
      <c r="MAN97" s="21"/>
      <c r="MAO97" s="21"/>
      <c r="MAP97" s="21"/>
      <c r="MAQ97" s="21"/>
      <c r="MAR97" s="21"/>
      <c r="MAS97" s="21"/>
      <c r="MAT97" s="21"/>
      <c r="MAU97" s="21"/>
      <c r="MAV97" s="21"/>
      <c r="MAW97" s="21"/>
      <c r="MAX97" s="21"/>
      <c r="MAY97" s="21"/>
      <c r="MAZ97" s="21"/>
      <c r="MBA97" s="21"/>
      <c r="MBB97" s="21"/>
      <c r="MBC97" s="21"/>
      <c r="MBD97" s="21"/>
      <c r="MBE97" s="21"/>
      <c r="MBF97" s="21"/>
      <c r="MBG97" s="21"/>
      <c r="MBH97" s="21"/>
      <c r="MBI97" s="21"/>
      <c r="MBJ97" s="21"/>
      <c r="MBK97" s="21"/>
      <c r="MBL97" s="21"/>
      <c r="MBM97" s="21"/>
      <c r="MBN97" s="21"/>
      <c r="MBO97" s="21"/>
      <c r="MBP97" s="21"/>
      <c r="MBQ97" s="21"/>
      <c r="MBR97" s="21"/>
      <c r="MBS97" s="21"/>
      <c r="MBT97" s="21"/>
      <c r="MBU97" s="21"/>
      <c r="MBV97" s="21"/>
      <c r="MBW97" s="21"/>
      <c r="MBX97" s="21"/>
      <c r="MBY97" s="21"/>
      <c r="MBZ97" s="21"/>
      <c r="MCA97" s="21"/>
      <c r="MCB97" s="21"/>
      <c r="MCC97" s="21"/>
      <c r="MCD97" s="21"/>
      <c r="MCE97" s="21"/>
      <c r="MCF97" s="21"/>
      <c r="MCG97" s="21"/>
      <c r="MCH97" s="21"/>
      <c r="MCI97" s="21"/>
      <c r="MCJ97" s="21"/>
      <c r="MCK97" s="21"/>
      <c r="MCL97" s="21"/>
      <c r="MCM97" s="21"/>
      <c r="MCN97" s="21"/>
      <c r="MCO97" s="21"/>
      <c r="MCP97" s="21"/>
      <c r="MCQ97" s="21"/>
      <c r="MCR97" s="21"/>
      <c r="MCS97" s="21"/>
      <c r="MCT97" s="21"/>
      <c r="MCU97" s="21"/>
      <c r="MCV97" s="21"/>
      <c r="MCW97" s="21"/>
      <c r="MCX97" s="21"/>
      <c r="MCY97" s="21"/>
      <c r="MCZ97" s="21"/>
      <c r="MDA97" s="21"/>
      <c r="MDB97" s="21"/>
      <c r="MDC97" s="21"/>
      <c r="MDD97" s="21"/>
      <c r="MDE97" s="21"/>
      <c r="MDF97" s="21"/>
      <c r="MDG97" s="21"/>
      <c r="MDH97" s="21"/>
      <c r="MDI97" s="21"/>
      <c r="MDJ97" s="21"/>
      <c r="MDK97" s="21"/>
      <c r="MDL97" s="21"/>
      <c r="MDM97" s="21"/>
      <c r="MDN97" s="21"/>
      <c r="MDO97" s="21"/>
      <c r="MDP97" s="21"/>
      <c r="MDQ97" s="21"/>
      <c r="MDR97" s="21"/>
      <c r="MDS97" s="21"/>
      <c r="MDT97" s="21"/>
      <c r="MDU97" s="21"/>
      <c r="MDV97" s="21"/>
      <c r="MDW97" s="21"/>
      <c r="MDX97" s="21"/>
      <c r="MDY97" s="21"/>
      <c r="MDZ97" s="21"/>
      <c r="MEA97" s="21"/>
      <c r="MEB97" s="21"/>
      <c r="MEC97" s="21"/>
      <c r="MED97" s="21"/>
      <c r="MEE97" s="21"/>
      <c r="MEF97" s="21"/>
      <c r="MEG97" s="21"/>
      <c r="MEH97" s="21"/>
      <c r="MEI97" s="21"/>
      <c r="MEJ97" s="21"/>
      <c r="MEK97" s="21"/>
      <c r="MEL97" s="21"/>
      <c r="MEM97" s="21"/>
      <c r="MEN97" s="21"/>
      <c r="MEO97" s="21"/>
      <c r="MEP97" s="21"/>
      <c r="MEQ97" s="21"/>
      <c r="MER97" s="21"/>
      <c r="MES97" s="21"/>
      <c r="MET97" s="21"/>
      <c r="MEU97" s="21"/>
      <c r="MEV97" s="21"/>
      <c r="MEW97" s="21"/>
      <c r="MEX97" s="21"/>
      <c r="MEY97" s="21"/>
      <c r="MEZ97" s="21"/>
      <c r="MFA97" s="21"/>
      <c r="MFB97" s="21"/>
      <c r="MFC97" s="21"/>
      <c r="MFD97" s="21"/>
      <c r="MFE97" s="21"/>
      <c r="MFF97" s="21"/>
      <c r="MFG97" s="21"/>
      <c r="MFH97" s="21"/>
      <c r="MFI97" s="21"/>
      <c r="MFJ97" s="21"/>
      <c r="MFK97" s="21"/>
      <c r="MFL97" s="21"/>
      <c r="MFM97" s="21"/>
      <c r="MFN97" s="21"/>
      <c r="MFO97" s="21"/>
      <c r="MFP97" s="21"/>
      <c r="MFQ97" s="21"/>
      <c r="MFR97" s="21"/>
      <c r="MFS97" s="21"/>
      <c r="MFT97" s="21"/>
      <c r="MFU97" s="21"/>
      <c r="MFV97" s="21"/>
      <c r="MFW97" s="21"/>
      <c r="MFX97" s="21"/>
      <c r="MFY97" s="21"/>
      <c r="MFZ97" s="21"/>
      <c r="MGA97" s="21"/>
      <c r="MGB97" s="21"/>
      <c r="MGC97" s="21"/>
      <c r="MGD97" s="21"/>
      <c r="MGE97" s="21"/>
      <c r="MGF97" s="21"/>
      <c r="MGG97" s="21"/>
      <c r="MGH97" s="21"/>
      <c r="MGI97" s="21"/>
      <c r="MGJ97" s="21"/>
      <c r="MGK97" s="21"/>
      <c r="MGL97" s="21"/>
      <c r="MGM97" s="21"/>
      <c r="MGN97" s="21"/>
      <c r="MGO97" s="21"/>
      <c r="MGP97" s="21"/>
      <c r="MGQ97" s="21"/>
      <c r="MGR97" s="21"/>
      <c r="MGS97" s="21"/>
      <c r="MGT97" s="21"/>
      <c r="MGU97" s="21"/>
      <c r="MGV97" s="21"/>
      <c r="MGW97" s="21"/>
      <c r="MGX97" s="21"/>
      <c r="MGY97" s="21"/>
      <c r="MGZ97" s="21"/>
      <c r="MHA97" s="21"/>
      <c r="MHB97" s="21"/>
      <c r="MHC97" s="21"/>
      <c r="MHD97" s="21"/>
      <c r="MHE97" s="21"/>
      <c r="MHF97" s="21"/>
      <c r="MHG97" s="21"/>
      <c r="MHH97" s="21"/>
      <c r="MHI97" s="21"/>
      <c r="MHJ97" s="21"/>
      <c r="MHK97" s="21"/>
      <c r="MHL97" s="21"/>
      <c r="MHM97" s="21"/>
      <c r="MHN97" s="21"/>
      <c r="MHO97" s="21"/>
      <c r="MHP97" s="21"/>
      <c r="MHQ97" s="21"/>
      <c r="MHR97" s="21"/>
      <c r="MHS97" s="21"/>
      <c r="MHT97" s="21"/>
      <c r="MHU97" s="21"/>
      <c r="MHV97" s="21"/>
      <c r="MHW97" s="21"/>
      <c r="MHX97" s="21"/>
      <c r="MHY97" s="21"/>
      <c r="MHZ97" s="21"/>
      <c r="MIA97" s="21"/>
      <c r="MIB97" s="21"/>
      <c r="MIC97" s="21"/>
      <c r="MID97" s="21"/>
      <c r="MIE97" s="21"/>
      <c r="MIF97" s="21"/>
      <c r="MIG97" s="21"/>
      <c r="MIH97" s="21"/>
      <c r="MII97" s="21"/>
      <c r="MIJ97" s="21"/>
      <c r="MIK97" s="21"/>
      <c r="MIL97" s="21"/>
      <c r="MIM97" s="21"/>
      <c r="MIN97" s="21"/>
      <c r="MIO97" s="21"/>
      <c r="MIP97" s="21"/>
      <c r="MIQ97" s="21"/>
      <c r="MIR97" s="21"/>
      <c r="MIS97" s="21"/>
      <c r="MIT97" s="21"/>
      <c r="MIU97" s="21"/>
      <c r="MIV97" s="21"/>
      <c r="MIW97" s="21"/>
      <c r="MIX97" s="21"/>
      <c r="MIY97" s="21"/>
      <c r="MIZ97" s="21"/>
      <c r="MJA97" s="21"/>
      <c r="MJB97" s="21"/>
      <c r="MJC97" s="21"/>
      <c r="MJD97" s="21"/>
      <c r="MJE97" s="21"/>
      <c r="MJF97" s="21"/>
      <c r="MJG97" s="21"/>
      <c r="MJH97" s="21"/>
      <c r="MJI97" s="21"/>
      <c r="MJJ97" s="21"/>
      <c r="MJK97" s="21"/>
      <c r="MJL97" s="21"/>
      <c r="MJM97" s="21"/>
      <c r="MJN97" s="21"/>
      <c r="MJO97" s="21"/>
      <c r="MJP97" s="21"/>
      <c r="MJQ97" s="21"/>
      <c r="MJR97" s="21"/>
      <c r="MJS97" s="21"/>
      <c r="MJT97" s="21"/>
      <c r="MJU97" s="21"/>
      <c r="MJV97" s="21"/>
      <c r="MJW97" s="21"/>
      <c r="MJX97" s="21"/>
      <c r="MJY97" s="21"/>
      <c r="MJZ97" s="21"/>
      <c r="MKA97" s="21"/>
      <c r="MKB97" s="21"/>
      <c r="MKC97" s="21"/>
      <c r="MKD97" s="21"/>
      <c r="MKE97" s="21"/>
      <c r="MKF97" s="21"/>
      <c r="MKG97" s="21"/>
      <c r="MKH97" s="21"/>
      <c r="MKI97" s="21"/>
      <c r="MKJ97" s="21"/>
      <c r="MKK97" s="21"/>
      <c r="MKL97" s="21"/>
      <c r="MKM97" s="21"/>
      <c r="MKN97" s="21"/>
      <c r="MKO97" s="21"/>
      <c r="MKP97" s="21"/>
      <c r="MKQ97" s="21"/>
      <c r="MKR97" s="21"/>
      <c r="MKS97" s="21"/>
      <c r="MKT97" s="21"/>
      <c r="MKU97" s="21"/>
      <c r="MKV97" s="21"/>
      <c r="MKW97" s="21"/>
      <c r="MKX97" s="21"/>
      <c r="MKY97" s="21"/>
      <c r="MKZ97" s="21"/>
      <c r="MLA97" s="21"/>
      <c r="MLB97" s="21"/>
      <c r="MLC97" s="21"/>
      <c r="MLD97" s="21"/>
      <c r="MLE97" s="21"/>
      <c r="MLF97" s="21"/>
      <c r="MLG97" s="21"/>
      <c r="MLH97" s="21"/>
      <c r="MLI97" s="21"/>
      <c r="MLJ97" s="21"/>
      <c r="MLK97" s="21"/>
      <c r="MLL97" s="21"/>
      <c r="MLM97" s="21"/>
      <c r="MLN97" s="21"/>
      <c r="MLO97" s="21"/>
      <c r="MLP97" s="21"/>
      <c r="MLQ97" s="21"/>
      <c r="MLR97" s="21"/>
      <c r="MLS97" s="21"/>
      <c r="MLT97" s="21"/>
      <c r="MLU97" s="21"/>
      <c r="MLV97" s="21"/>
      <c r="MLW97" s="21"/>
      <c r="MLX97" s="21"/>
      <c r="MLY97" s="21"/>
      <c r="MLZ97" s="21"/>
      <c r="MMA97" s="21"/>
      <c r="MMB97" s="21"/>
      <c r="MMC97" s="21"/>
      <c r="MMD97" s="21"/>
      <c r="MME97" s="21"/>
      <c r="MMF97" s="21"/>
      <c r="MMG97" s="21"/>
      <c r="MMH97" s="21"/>
      <c r="MMI97" s="21"/>
      <c r="MMJ97" s="21"/>
      <c r="MMK97" s="21"/>
      <c r="MML97" s="21"/>
      <c r="MMM97" s="21"/>
      <c r="MMN97" s="21"/>
      <c r="MMO97" s="21"/>
      <c r="MMP97" s="21"/>
      <c r="MMQ97" s="21"/>
      <c r="MMR97" s="21"/>
      <c r="MMS97" s="21"/>
      <c r="MMT97" s="21"/>
      <c r="MMU97" s="21"/>
      <c r="MMV97" s="21"/>
      <c r="MMW97" s="21"/>
      <c r="MMX97" s="21"/>
      <c r="MMY97" s="21"/>
      <c r="MMZ97" s="21"/>
      <c r="MNA97" s="21"/>
      <c r="MNB97" s="21"/>
      <c r="MNC97" s="21"/>
      <c r="MND97" s="21"/>
      <c r="MNE97" s="21"/>
      <c r="MNF97" s="21"/>
      <c r="MNG97" s="21"/>
      <c r="MNH97" s="21"/>
      <c r="MNI97" s="21"/>
      <c r="MNJ97" s="21"/>
      <c r="MNK97" s="21"/>
      <c r="MNL97" s="21"/>
      <c r="MNM97" s="21"/>
      <c r="MNN97" s="21"/>
      <c r="MNO97" s="21"/>
      <c r="MNP97" s="21"/>
      <c r="MNQ97" s="21"/>
      <c r="MNR97" s="21"/>
      <c r="MNS97" s="21"/>
      <c r="MNT97" s="21"/>
      <c r="MNU97" s="21"/>
      <c r="MNV97" s="21"/>
      <c r="MNW97" s="21"/>
      <c r="MNX97" s="21"/>
      <c r="MNY97" s="21"/>
      <c r="MNZ97" s="21"/>
      <c r="MOA97" s="21"/>
      <c r="MOB97" s="21"/>
      <c r="MOC97" s="21"/>
      <c r="MOD97" s="21"/>
      <c r="MOE97" s="21"/>
      <c r="MOF97" s="21"/>
      <c r="MOG97" s="21"/>
      <c r="MOH97" s="21"/>
      <c r="MOI97" s="21"/>
      <c r="MOJ97" s="21"/>
      <c r="MOK97" s="21"/>
      <c r="MOL97" s="21"/>
      <c r="MOM97" s="21"/>
      <c r="MON97" s="21"/>
      <c r="MOO97" s="21"/>
      <c r="MOP97" s="21"/>
      <c r="MOQ97" s="21"/>
      <c r="MOR97" s="21"/>
      <c r="MOS97" s="21"/>
      <c r="MOT97" s="21"/>
      <c r="MOU97" s="21"/>
      <c r="MOV97" s="21"/>
      <c r="MOW97" s="21"/>
      <c r="MOX97" s="21"/>
      <c r="MOY97" s="21"/>
      <c r="MOZ97" s="21"/>
      <c r="MPA97" s="21"/>
      <c r="MPB97" s="21"/>
      <c r="MPC97" s="21"/>
      <c r="MPD97" s="21"/>
      <c r="MPE97" s="21"/>
      <c r="MPF97" s="21"/>
      <c r="MPG97" s="21"/>
      <c r="MPH97" s="21"/>
      <c r="MPI97" s="21"/>
      <c r="MPJ97" s="21"/>
      <c r="MPK97" s="21"/>
      <c r="MPL97" s="21"/>
      <c r="MPM97" s="21"/>
      <c r="MPN97" s="21"/>
      <c r="MPO97" s="21"/>
      <c r="MPP97" s="21"/>
      <c r="MPQ97" s="21"/>
      <c r="MPR97" s="21"/>
      <c r="MPS97" s="21"/>
      <c r="MPT97" s="21"/>
      <c r="MPU97" s="21"/>
      <c r="MPV97" s="21"/>
      <c r="MPW97" s="21"/>
      <c r="MPX97" s="21"/>
      <c r="MPY97" s="21"/>
      <c r="MPZ97" s="21"/>
      <c r="MQA97" s="21"/>
      <c r="MQB97" s="21"/>
      <c r="MQC97" s="21"/>
      <c r="MQD97" s="21"/>
      <c r="MQE97" s="21"/>
      <c r="MQF97" s="21"/>
      <c r="MQG97" s="21"/>
      <c r="MQH97" s="21"/>
      <c r="MQI97" s="21"/>
      <c r="MQJ97" s="21"/>
      <c r="MQK97" s="21"/>
      <c r="MQL97" s="21"/>
      <c r="MQM97" s="21"/>
      <c r="MQN97" s="21"/>
      <c r="MQO97" s="21"/>
      <c r="MQP97" s="21"/>
      <c r="MQQ97" s="21"/>
      <c r="MQR97" s="21"/>
      <c r="MQS97" s="21"/>
      <c r="MQT97" s="21"/>
      <c r="MQU97" s="21"/>
      <c r="MQV97" s="21"/>
      <c r="MQW97" s="21"/>
      <c r="MQX97" s="21"/>
      <c r="MQY97" s="21"/>
      <c r="MQZ97" s="21"/>
      <c r="MRA97" s="21"/>
      <c r="MRB97" s="21"/>
      <c r="MRC97" s="21"/>
      <c r="MRD97" s="21"/>
      <c r="MRE97" s="21"/>
      <c r="MRF97" s="21"/>
      <c r="MRG97" s="21"/>
      <c r="MRH97" s="21"/>
      <c r="MRI97" s="21"/>
      <c r="MRJ97" s="21"/>
      <c r="MRK97" s="21"/>
      <c r="MRL97" s="21"/>
      <c r="MRM97" s="21"/>
      <c r="MRN97" s="21"/>
      <c r="MRO97" s="21"/>
      <c r="MRP97" s="21"/>
      <c r="MRQ97" s="21"/>
      <c r="MRR97" s="21"/>
      <c r="MRS97" s="21"/>
      <c r="MRT97" s="21"/>
      <c r="MRU97" s="21"/>
      <c r="MRV97" s="21"/>
      <c r="MRW97" s="21"/>
      <c r="MRX97" s="21"/>
      <c r="MRY97" s="21"/>
      <c r="MRZ97" s="21"/>
      <c r="MSA97" s="21"/>
      <c r="MSB97" s="21"/>
      <c r="MSC97" s="21"/>
      <c r="MSD97" s="21"/>
      <c r="MSE97" s="21"/>
      <c r="MSF97" s="21"/>
      <c r="MSG97" s="21"/>
      <c r="MSH97" s="21"/>
      <c r="MSI97" s="21"/>
      <c r="MSJ97" s="21"/>
      <c r="MSK97" s="21"/>
      <c r="MSL97" s="21"/>
      <c r="MSM97" s="21"/>
      <c r="MSN97" s="21"/>
      <c r="MSO97" s="21"/>
      <c r="MSP97" s="21"/>
      <c r="MSQ97" s="21"/>
      <c r="MSR97" s="21"/>
      <c r="MSS97" s="21"/>
      <c r="MST97" s="21"/>
      <c r="MSU97" s="21"/>
      <c r="MSV97" s="21"/>
      <c r="MSW97" s="21"/>
      <c r="MSX97" s="21"/>
      <c r="MSY97" s="21"/>
      <c r="MSZ97" s="21"/>
      <c r="MTA97" s="21"/>
      <c r="MTB97" s="21"/>
      <c r="MTC97" s="21"/>
      <c r="MTD97" s="21"/>
      <c r="MTE97" s="21"/>
      <c r="MTF97" s="21"/>
      <c r="MTG97" s="21"/>
      <c r="MTH97" s="21"/>
      <c r="MTI97" s="21"/>
      <c r="MTJ97" s="21"/>
      <c r="MTK97" s="21"/>
      <c r="MTL97" s="21"/>
      <c r="MTM97" s="21"/>
      <c r="MTN97" s="21"/>
      <c r="MTO97" s="21"/>
      <c r="MTP97" s="21"/>
      <c r="MTQ97" s="21"/>
      <c r="MTR97" s="21"/>
      <c r="MTS97" s="21"/>
      <c r="MTT97" s="21"/>
      <c r="MTU97" s="21"/>
      <c r="MTV97" s="21"/>
      <c r="MTW97" s="21"/>
      <c r="MTX97" s="21"/>
      <c r="MTY97" s="21"/>
      <c r="MTZ97" s="21"/>
      <c r="MUA97" s="21"/>
      <c r="MUB97" s="21"/>
      <c r="MUC97" s="21"/>
      <c r="MUD97" s="21"/>
      <c r="MUE97" s="21"/>
      <c r="MUF97" s="21"/>
      <c r="MUG97" s="21"/>
      <c r="MUH97" s="21"/>
      <c r="MUI97" s="21"/>
      <c r="MUJ97" s="21"/>
      <c r="MUK97" s="21"/>
      <c r="MUL97" s="21"/>
      <c r="MUM97" s="21"/>
      <c r="MUN97" s="21"/>
      <c r="MUO97" s="21"/>
      <c r="MUP97" s="21"/>
      <c r="MUQ97" s="21"/>
      <c r="MUR97" s="21"/>
      <c r="MUS97" s="21"/>
      <c r="MUT97" s="21"/>
      <c r="MUU97" s="21"/>
      <c r="MUV97" s="21"/>
      <c r="MUW97" s="21"/>
      <c r="MUX97" s="21"/>
      <c r="MUY97" s="21"/>
      <c r="MUZ97" s="21"/>
      <c r="MVA97" s="21"/>
      <c r="MVB97" s="21"/>
      <c r="MVC97" s="21"/>
      <c r="MVD97" s="21"/>
      <c r="MVE97" s="21"/>
      <c r="MVF97" s="21"/>
      <c r="MVG97" s="21"/>
      <c r="MVH97" s="21"/>
      <c r="MVI97" s="21"/>
      <c r="MVJ97" s="21"/>
      <c r="MVK97" s="21"/>
      <c r="MVL97" s="21"/>
      <c r="MVM97" s="21"/>
      <c r="MVN97" s="21"/>
      <c r="MVO97" s="21"/>
      <c r="MVP97" s="21"/>
      <c r="MVQ97" s="21"/>
      <c r="MVR97" s="21"/>
      <c r="MVS97" s="21"/>
      <c r="MVT97" s="21"/>
      <c r="MVU97" s="21"/>
      <c r="MVV97" s="21"/>
      <c r="MVW97" s="21"/>
      <c r="MVX97" s="21"/>
      <c r="MVY97" s="21"/>
      <c r="MVZ97" s="21"/>
      <c r="MWA97" s="21"/>
      <c r="MWB97" s="21"/>
      <c r="MWC97" s="21"/>
      <c r="MWD97" s="21"/>
      <c r="MWE97" s="21"/>
      <c r="MWF97" s="21"/>
      <c r="MWG97" s="21"/>
      <c r="MWH97" s="21"/>
      <c r="MWI97" s="21"/>
      <c r="MWJ97" s="21"/>
      <c r="MWK97" s="21"/>
      <c r="MWL97" s="21"/>
      <c r="MWM97" s="21"/>
      <c r="MWN97" s="21"/>
      <c r="MWO97" s="21"/>
      <c r="MWP97" s="21"/>
      <c r="MWQ97" s="21"/>
      <c r="MWR97" s="21"/>
      <c r="MWS97" s="21"/>
      <c r="MWT97" s="21"/>
      <c r="MWU97" s="21"/>
      <c r="MWV97" s="21"/>
      <c r="MWW97" s="21"/>
      <c r="MWX97" s="21"/>
      <c r="MWY97" s="21"/>
      <c r="MWZ97" s="21"/>
      <c r="MXA97" s="21"/>
      <c r="MXB97" s="21"/>
      <c r="MXC97" s="21"/>
      <c r="MXD97" s="21"/>
      <c r="MXE97" s="21"/>
      <c r="MXF97" s="21"/>
      <c r="MXG97" s="21"/>
      <c r="MXH97" s="21"/>
      <c r="MXI97" s="21"/>
      <c r="MXJ97" s="21"/>
      <c r="MXK97" s="21"/>
      <c r="MXL97" s="21"/>
      <c r="MXM97" s="21"/>
      <c r="MXN97" s="21"/>
      <c r="MXO97" s="21"/>
      <c r="MXP97" s="21"/>
      <c r="MXQ97" s="21"/>
      <c r="MXR97" s="21"/>
      <c r="MXS97" s="21"/>
      <c r="MXT97" s="21"/>
      <c r="MXU97" s="21"/>
      <c r="MXV97" s="21"/>
      <c r="MXW97" s="21"/>
      <c r="MXX97" s="21"/>
      <c r="MXY97" s="21"/>
      <c r="MXZ97" s="21"/>
      <c r="MYA97" s="21"/>
      <c r="MYB97" s="21"/>
      <c r="MYC97" s="21"/>
      <c r="MYD97" s="21"/>
      <c r="MYE97" s="21"/>
      <c r="MYF97" s="21"/>
      <c r="MYG97" s="21"/>
      <c r="MYH97" s="21"/>
      <c r="MYI97" s="21"/>
      <c r="MYJ97" s="21"/>
      <c r="MYK97" s="21"/>
      <c r="MYL97" s="21"/>
      <c r="MYM97" s="21"/>
      <c r="MYN97" s="21"/>
      <c r="MYO97" s="21"/>
      <c r="MYP97" s="21"/>
      <c r="MYQ97" s="21"/>
      <c r="MYR97" s="21"/>
      <c r="MYS97" s="21"/>
      <c r="MYT97" s="21"/>
      <c r="MYU97" s="21"/>
      <c r="MYV97" s="21"/>
      <c r="MYW97" s="21"/>
      <c r="MYX97" s="21"/>
      <c r="MYY97" s="21"/>
      <c r="MYZ97" s="21"/>
      <c r="MZA97" s="21"/>
      <c r="MZB97" s="21"/>
      <c r="MZC97" s="21"/>
      <c r="MZD97" s="21"/>
      <c r="MZE97" s="21"/>
      <c r="MZF97" s="21"/>
      <c r="MZG97" s="21"/>
      <c r="MZH97" s="21"/>
      <c r="MZI97" s="21"/>
      <c r="MZJ97" s="21"/>
      <c r="MZK97" s="21"/>
      <c r="MZL97" s="21"/>
      <c r="MZM97" s="21"/>
      <c r="MZN97" s="21"/>
      <c r="MZO97" s="21"/>
      <c r="MZP97" s="21"/>
      <c r="MZQ97" s="21"/>
      <c r="MZR97" s="21"/>
      <c r="MZS97" s="21"/>
      <c r="MZT97" s="21"/>
      <c r="MZU97" s="21"/>
      <c r="MZV97" s="21"/>
      <c r="MZW97" s="21"/>
      <c r="MZX97" s="21"/>
      <c r="MZY97" s="21"/>
      <c r="MZZ97" s="21"/>
      <c r="NAA97" s="21"/>
      <c r="NAB97" s="21"/>
      <c r="NAC97" s="21"/>
      <c r="NAD97" s="21"/>
      <c r="NAE97" s="21"/>
      <c r="NAF97" s="21"/>
      <c r="NAG97" s="21"/>
      <c r="NAH97" s="21"/>
      <c r="NAI97" s="21"/>
      <c r="NAJ97" s="21"/>
      <c r="NAK97" s="21"/>
      <c r="NAL97" s="21"/>
      <c r="NAM97" s="21"/>
      <c r="NAN97" s="21"/>
      <c r="NAO97" s="21"/>
      <c r="NAP97" s="21"/>
      <c r="NAQ97" s="21"/>
      <c r="NAR97" s="21"/>
      <c r="NAS97" s="21"/>
      <c r="NAT97" s="21"/>
      <c r="NAU97" s="21"/>
      <c r="NAV97" s="21"/>
      <c r="NAW97" s="21"/>
      <c r="NAX97" s="21"/>
      <c r="NAY97" s="21"/>
      <c r="NAZ97" s="21"/>
      <c r="NBA97" s="21"/>
      <c r="NBB97" s="21"/>
      <c r="NBC97" s="21"/>
      <c r="NBD97" s="21"/>
      <c r="NBE97" s="21"/>
      <c r="NBF97" s="21"/>
      <c r="NBG97" s="21"/>
      <c r="NBH97" s="21"/>
      <c r="NBI97" s="21"/>
      <c r="NBJ97" s="21"/>
      <c r="NBK97" s="21"/>
      <c r="NBL97" s="21"/>
      <c r="NBM97" s="21"/>
      <c r="NBN97" s="21"/>
      <c r="NBO97" s="21"/>
      <c r="NBP97" s="21"/>
      <c r="NBQ97" s="21"/>
      <c r="NBR97" s="21"/>
      <c r="NBS97" s="21"/>
      <c r="NBT97" s="21"/>
      <c r="NBU97" s="21"/>
      <c r="NBV97" s="21"/>
      <c r="NBW97" s="21"/>
      <c r="NBX97" s="21"/>
      <c r="NBY97" s="21"/>
      <c r="NBZ97" s="21"/>
      <c r="NCA97" s="21"/>
      <c r="NCB97" s="21"/>
      <c r="NCC97" s="21"/>
      <c r="NCD97" s="21"/>
      <c r="NCE97" s="21"/>
      <c r="NCF97" s="21"/>
      <c r="NCG97" s="21"/>
      <c r="NCH97" s="21"/>
      <c r="NCI97" s="21"/>
      <c r="NCJ97" s="21"/>
      <c r="NCK97" s="21"/>
      <c r="NCL97" s="21"/>
      <c r="NCM97" s="21"/>
      <c r="NCN97" s="21"/>
      <c r="NCO97" s="21"/>
      <c r="NCP97" s="21"/>
      <c r="NCQ97" s="21"/>
      <c r="NCR97" s="21"/>
      <c r="NCS97" s="21"/>
      <c r="NCT97" s="21"/>
      <c r="NCU97" s="21"/>
      <c r="NCV97" s="21"/>
      <c r="NCW97" s="21"/>
      <c r="NCX97" s="21"/>
      <c r="NCY97" s="21"/>
      <c r="NCZ97" s="21"/>
      <c r="NDA97" s="21"/>
      <c r="NDB97" s="21"/>
      <c r="NDC97" s="21"/>
      <c r="NDD97" s="21"/>
      <c r="NDE97" s="21"/>
      <c r="NDF97" s="21"/>
      <c r="NDG97" s="21"/>
      <c r="NDH97" s="21"/>
      <c r="NDI97" s="21"/>
      <c r="NDJ97" s="21"/>
      <c r="NDK97" s="21"/>
      <c r="NDL97" s="21"/>
      <c r="NDM97" s="21"/>
      <c r="NDN97" s="21"/>
      <c r="NDO97" s="21"/>
      <c r="NDP97" s="21"/>
      <c r="NDQ97" s="21"/>
      <c r="NDR97" s="21"/>
      <c r="NDS97" s="21"/>
      <c r="NDT97" s="21"/>
      <c r="NDU97" s="21"/>
      <c r="NDV97" s="21"/>
      <c r="NDW97" s="21"/>
      <c r="NDX97" s="21"/>
      <c r="NDY97" s="21"/>
      <c r="NDZ97" s="21"/>
      <c r="NEA97" s="21"/>
      <c r="NEB97" s="21"/>
      <c r="NEC97" s="21"/>
      <c r="NED97" s="21"/>
      <c r="NEE97" s="21"/>
      <c r="NEF97" s="21"/>
      <c r="NEG97" s="21"/>
      <c r="NEH97" s="21"/>
      <c r="NEI97" s="21"/>
      <c r="NEJ97" s="21"/>
      <c r="NEK97" s="21"/>
      <c r="NEL97" s="21"/>
      <c r="NEM97" s="21"/>
      <c r="NEN97" s="21"/>
      <c r="NEO97" s="21"/>
      <c r="NEP97" s="21"/>
      <c r="NEQ97" s="21"/>
      <c r="NER97" s="21"/>
      <c r="NES97" s="21"/>
      <c r="NET97" s="21"/>
      <c r="NEU97" s="21"/>
      <c r="NEV97" s="21"/>
      <c r="NEW97" s="21"/>
      <c r="NEX97" s="21"/>
      <c r="NEY97" s="21"/>
      <c r="NEZ97" s="21"/>
      <c r="NFA97" s="21"/>
      <c r="NFB97" s="21"/>
      <c r="NFC97" s="21"/>
      <c r="NFD97" s="21"/>
      <c r="NFE97" s="21"/>
      <c r="NFF97" s="21"/>
      <c r="NFG97" s="21"/>
      <c r="NFH97" s="21"/>
      <c r="NFI97" s="21"/>
      <c r="NFJ97" s="21"/>
      <c r="NFK97" s="21"/>
      <c r="NFL97" s="21"/>
      <c r="NFM97" s="21"/>
      <c r="NFN97" s="21"/>
      <c r="NFO97" s="21"/>
      <c r="NFP97" s="21"/>
      <c r="NFQ97" s="21"/>
      <c r="NFR97" s="21"/>
      <c r="NFS97" s="21"/>
      <c r="NFT97" s="21"/>
      <c r="NFU97" s="21"/>
      <c r="NFV97" s="21"/>
      <c r="NFW97" s="21"/>
      <c r="NFX97" s="21"/>
      <c r="NFY97" s="21"/>
      <c r="NFZ97" s="21"/>
      <c r="NGA97" s="21"/>
      <c r="NGB97" s="21"/>
      <c r="NGC97" s="21"/>
      <c r="NGD97" s="21"/>
      <c r="NGE97" s="21"/>
      <c r="NGF97" s="21"/>
      <c r="NGG97" s="21"/>
      <c r="NGH97" s="21"/>
      <c r="NGI97" s="21"/>
      <c r="NGJ97" s="21"/>
      <c r="NGK97" s="21"/>
      <c r="NGL97" s="21"/>
      <c r="NGM97" s="21"/>
      <c r="NGN97" s="21"/>
      <c r="NGO97" s="21"/>
      <c r="NGP97" s="21"/>
      <c r="NGQ97" s="21"/>
      <c r="NGR97" s="21"/>
      <c r="NGS97" s="21"/>
      <c r="NGT97" s="21"/>
      <c r="NGU97" s="21"/>
      <c r="NGV97" s="21"/>
      <c r="NGW97" s="21"/>
      <c r="NGX97" s="21"/>
      <c r="NGY97" s="21"/>
      <c r="NGZ97" s="21"/>
      <c r="NHA97" s="21"/>
      <c r="NHB97" s="21"/>
      <c r="NHC97" s="21"/>
      <c r="NHD97" s="21"/>
      <c r="NHE97" s="21"/>
      <c r="NHF97" s="21"/>
      <c r="NHG97" s="21"/>
      <c r="NHH97" s="21"/>
      <c r="NHI97" s="21"/>
      <c r="NHJ97" s="21"/>
      <c r="NHK97" s="21"/>
      <c r="NHL97" s="21"/>
      <c r="NHM97" s="21"/>
      <c r="NHN97" s="21"/>
      <c r="NHO97" s="21"/>
      <c r="NHP97" s="21"/>
      <c r="NHQ97" s="21"/>
      <c r="NHR97" s="21"/>
      <c r="NHS97" s="21"/>
      <c r="NHT97" s="21"/>
      <c r="NHU97" s="21"/>
      <c r="NHV97" s="21"/>
      <c r="NHW97" s="21"/>
      <c r="NHX97" s="21"/>
      <c r="NHY97" s="21"/>
      <c r="NHZ97" s="21"/>
      <c r="NIA97" s="21"/>
      <c r="NIB97" s="21"/>
      <c r="NIC97" s="21"/>
      <c r="NID97" s="21"/>
      <c r="NIE97" s="21"/>
      <c r="NIF97" s="21"/>
      <c r="NIG97" s="21"/>
      <c r="NIH97" s="21"/>
      <c r="NII97" s="21"/>
      <c r="NIJ97" s="21"/>
      <c r="NIK97" s="21"/>
      <c r="NIL97" s="21"/>
      <c r="NIM97" s="21"/>
      <c r="NIN97" s="21"/>
      <c r="NIO97" s="21"/>
      <c r="NIP97" s="21"/>
      <c r="NIQ97" s="21"/>
      <c r="NIR97" s="21"/>
      <c r="NIS97" s="21"/>
      <c r="NIT97" s="21"/>
      <c r="NIU97" s="21"/>
      <c r="NIV97" s="21"/>
      <c r="NIW97" s="21"/>
      <c r="NIX97" s="21"/>
      <c r="NIY97" s="21"/>
      <c r="NIZ97" s="21"/>
      <c r="NJA97" s="21"/>
      <c r="NJB97" s="21"/>
      <c r="NJC97" s="21"/>
      <c r="NJD97" s="21"/>
      <c r="NJE97" s="21"/>
      <c r="NJF97" s="21"/>
      <c r="NJG97" s="21"/>
      <c r="NJH97" s="21"/>
      <c r="NJI97" s="21"/>
      <c r="NJJ97" s="21"/>
      <c r="NJK97" s="21"/>
      <c r="NJL97" s="21"/>
      <c r="NJM97" s="21"/>
      <c r="NJN97" s="21"/>
      <c r="NJO97" s="21"/>
      <c r="NJP97" s="21"/>
      <c r="NJQ97" s="21"/>
      <c r="NJR97" s="21"/>
      <c r="NJS97" s="21"/>
      <c r="NJT97" s="21"/>
      <c r="NJU97" s="21"/>
      <c r="NJV97" s="21"/>
      <c r="NJW97" s="21"/>
      <c r="NJX97" s="21"/>
      <c r="NJY97" s="21"/>
      <c r="NJZ97" s="21"/>
      <c r="NKA97" s="21"/>
      <c r="NKB97" s="21"/>
      <c r="NKC97" s="21"/>
      <c r="NKD97" s="21"/>
      <c r="NKE97" s="21"/>
      <c r="NKF97" s="21"/>
      <c r="NKG97" s="21"/>
      <c r="NKH97" s="21"/>
      <c r="NKI97" s="21"/>
      <c r="NKJ97" s="21"/>
      <c r="NKK97" s="21"/>
      <c r="NKL97" s="21"/>
      <c r="NKM97" s="21"/>
      <c r="NKN97" s="21"/>
      <c r="NKO97" s="21"/>
      <c r="NKP97" s="21"/>
      <c r="NKQ97" s="21"/>
      <c r="NKR97" s="21"/>
      <c r="NKS97" s="21"/>
      <c r="NKT97" s="21"/>
      <c r="NKU97" s="21"/>
      <c r="NKV97" s="21"/>
      <c r="NKW97" s="21"/>
      <c r="NKX97" s="21"/>
      <c r="NKY97" s="21"/>
      <c r="NKZ97" s="21"/>
      <c r="NLA97" s="21"/>
      <c r="NLB97" s="21"/>
      <c r="NLC97" s="21"/>
      <c r="NLD97" s="21"/>
      <c r="NLE97" s="21"/>
      <c r="NLF97" s="21"/>
      <c r="NLG97" s="21"/>
      <c r="NLH97" s="21"/>
      <c r="NLI97" s="21"/>
      <c r="NLJ97" s="21"/>
      <c r="NLK97" s="21"/>
      <c r="NLL97" s="21"/>
      <c r="NLM97" s="21"/>
      <c r="NLN97" s="21"/>
      <c r="NLO97" s="21"/>
      <c r="NLP97" s="21"/>
      <c r="NLQ97" s="21"/>
      <c r="NLR97" s="21"/>
      <c r="NLS97" s="21"/>
      <c r="NLT97" s="21"/>
      <c r="NLU97" s="21"/>
      <c r="NLV97" s="21"/>
      <c r="NLW97" s="21"/>
      <c r="NLX97" s="21"/>
      <c r="NLY97" s="21"/>
      <c r="NLZ97" s="21"/>
      <c r="NMA97" s="21"/>
      <c r="NMB97" s="21"/>
      <c r="NMC97" s="21"/>
      <c r="NMD97" s="21"/>
      <c r="NME97" s="21"/>
      <c r="NMF97" s="21"/>
      <c r="NMG97" s="21"/>
      <c r="NMH97" s="21"/>
      <c r="NMI97" s="21"/>
      <c r="NMJ97" s="21"/>
      <c r="NMK97" s="21"/>
      <c r="NML97" s="21"/>
      <c r="NMM97" s="21"/>
      <c r="NMN97" s="21"/>
      <c r="NMO97" s="21"/>
      <c r="NMP97" s="21"/>
      <c r="NMQ97" s="21"/>
      <c r="NMR97" s="21"/>
      <c r="NMS97" s="21"/>
      <c r="NMT97" s="21"/>
      <c r="NMU97" s="21"/>
      <c r="NMV97" s="21"/>
      <c r="NMW97" s="21"/>
      <c r="NMX97" s="21"/>
      <c r="NMY97" s="21"/>
      <c r="NMZ97" s="21"/>
      <c r="NNA97" s="21"/>
      <c r="NNB97" s="21"/>
      <c r="NNC97" s="21"/>
      <c r="NND97" s="21"/>
      <c r="NNE97" s="21"/>
      <c r="NNF97" s="21"/>
      <c r="NNG97" s="21"/>
      <c r="NNH97" s="21"/>
      <c r="NNI97" s="21"/>
      <c r="NNJ97" s="21"/>
      <c r="NNK97" s="21"/>
      <c r="NNL97" s="21"/>
      <c r="NNM97" s="21"/>
      <c r="NNN97" s="21"/>
      <c r="NNO97" s="21"/>
      <c r="NNP97" s="21"/>
      <c r="NNQ97" s="21"/>
      <c r="NNR97" s="21"/>
      <c r="NNS97" s="21"/>
      <c r="NNT97" s="21"/>
      <c r="NNU97" s="21"/>
      <c r="NNV97" s="21"/>
      <c r="NNW97" s="21"/>
      <c r="NNX97" s="21"/>
      <c r="NNY97" s="21"/>
      <c r="NNZ97" s="21"/>
      <c r="NOA97" s="21"/>
      <c r="NOB97" s="21"/>
      <c r="NOC97" s="21"/>
      <c r="NOD97" s="21"/>
      <c r="NOE97" s="21"/>
      <c r="NOF97" s="21"/>
      <c r="NOG97" s="21"/>
      <c r="NOH97" s="21"/>
      <c r="NOI97" s="21"/>
      <c r="NOJ97" s="21"/>
      <c r="NOK97" s="21"/>
      <c r="NOL97" s="21"/>
      <c r="NOM97" s="21"/>
      <c r="NON97" s="21"/>
      <c r="NOO97" s="21"/>
      <c r="NOP97" s="21"/>
      <c r="NOQ97" s="21"/>
      <c r="NOR97" s="21"/>
      <c r="NOS97" s="21"/>
      <c r="NOT97" s="21"/>
      <c r="NOU97" s="21"/>
      <c r="NOV97" s="21"/>
      <c r="NOW97" s="21"/>
      <c r="NOX97" s="21"/>
      <c r="NOY97" s="21"/>
      <c r="NOZ97" s="21"/>
      <c r="NPA97" s="21"/>
      <c r="NPB97" s="21"/>
      <c r="NPC97" s="21"/>
      <c r="NPD97" s="21"/>
      <c r="NPE97" s="21"/>
      <c r="NPF97" s="21"/>
      <c r="NPG97" s="21"/>
      <c r="NPH97" s="21"/>
      <c r="NPI97" s="21"/>
      <c r="NPJ97" s="21"/>
      <c r="NPK97" s="21"/>
      <c r="NPL97" s="21"/>
      <c r="NPM97" s="21"/>
      <c r="NPN97" s="21"/>
      <c r="NPO97" s="21"/>
      <c r="NPP97" s="21"/>
      <c r="NPQ97" s="21"/>
      <c r="NPR97" s="21"/>
      <c r="NPS97" s="21"/>
      <c r="NPT97" s="21"/>
      <c r="NPU97" s="21"/>
      <c r="NPV97" s="21"/>
      <c r="NPW97" s="21"/>
      <c r="NPX97" s="21"/>
      <c r="NPY97" s="21"/>
      <c r="NPZ97" s="21"/>
      <c r="NQA97" s="21"/>
      <c r="NQB97" s="21"/>
      <c r="NQC97" s="21"/>
      <c r="NQD97" s="21"/>
      <c r="NQE97" s="21"/>
      <c r="NQF97" s="21"/>
      <c r="NQG97" s="21"/>
      <c r="NQH97" s="21"/>
      <c r="NQI97" s="21"/>
      <c r="NQJ97" s="21"/>
      <c r="NQK97" s="21"/>
      <c r="NQL97" s="21"/>
      <c r="NQM97" s="21"/>
      <c r="NQN97" s="21"/>
      <c r="NQO97" s="21"/>
      <c r="NQP97" s="21"/>
      <c r="NQQ97" s="21"/>
      <c r="NQR97" s="21"/>
      <c r="NQS97" s="21"/>
      <c r="NQT97" s="21"/>
      <c r="NQU97" s="21"/>
      <c r="NQV97" s="21"/>
      <c r="NQW97" s="21"/>
      <c r="NQX97" s="21"/>
      <c r="NQY97" s="21"/>
      <c r="NQZ97" s="21"/>
      <c r="NRA97" s="21"/>
      <c r="NRB97" s="21"/>
      <c r="NRC97" s="21"/>
      <c r="NRD97" s="21"/>
      <c r="NRE97" s="21"/>
      <c r="NRF97" s="21"/>
      <c r="NRG97" s="21"/>
      <c r="NRH97" s="21"/>
      <c r="NRI97" s="21"/>
      <c r="NRJ97" s="21"/>
      <c r="NRK97" s="21"/>
      <c r="NRL97" s="21"/>
      <c r="NRM97" s="21"/>
      <c r="NRN97" s="21"/>
      <c r="NRO97" s="21"/>
      <c r="NRP97" s="21"/>
      <c r="NRQ97" s="21"/>
      <c r="NRR97" s="21"/>
      <c r="NRS97" s="21"/>
      <c r="NRT97" s="21"/>
      <c r="NRU97" s="21"/>
      <c r="NRV97" s="21"/>
      <c r="NRW97" s="21"/>
      <c r="NRX97" s="21"/>
      <c r="NRY97" s="21"/>
      <c r="NRZ97" s="21"/>
      <c r="NSA97" s="21"/>
      <c r="NSB97" s="21"/>
      <c r="NSC97" s="21"/>
      <c r="NSD97" s="21"/>
      <c r="NSE97" s="21"/>
      <c r="NSF97" s="21"/>
      <c r="NSG97" s="21"/>
      <c r="NSH97" s="21"/>
      <c r="NSI97" s="21"/>
      <c r="NSJ97" s="21"/>
      <c r="NSK97" s="21"/>
      <c r="NSL97" s="21"/>
      <c r="NSM97" s="21"/>
      <c r="NSN97" s="21"/>
      <c r="NSO97" s="21"/>
      <c r="NSP97" s="21"/>
      <c r="NSQ97" s="21"/>
      <c r="NSR97" s="21"/>
      <c r="NSS97" s="21"/>
      <c r="NST97" s="21"/>
      <c r="NSU97" s="21"/>
      <c r="NSV97" s="21"/>
      <c r="NSW97" s="21"/>
      <c r="NSX97" s="21"/>
      <c r="NSY97" s="21"/>
      <c r="NSZ97" s="21"/>
      <c r="NTA97" s="21"/>
      <c r="NTB97" s="21"/>
      <c r="NTC97" s="21"/>
      <c r="NTD97" s="21"/>
      <c r="NTE97" s="21"/>
      <c r="NTF97" s="21"/>
      <c r="NTG97" s="21"/>
      <c r="NTH97" s="21"/>
      <c r="NTI97" s="21"/>
      <c r="NTJ97" s="21"/>
      <c r="NTK97" s="21"/>
      <c r="NTL97" s="21"/>
      <c r="NTM97" s="21"/>
      <c r="NTN97" s="21"/>
      <c r="NTO97" s="21"/>
      <c r="NTP97" s="21"/>
      <c r="NTQ97" s="21"/>
      <c r="NTR97" s="21"/>
      <c r="NTS97" s="21"/>
      <c r="NTT97" s="21"/>
      <c r="NTU97" s="21"/>
      <c r="NTV97" s="21"/>
      <c r="NTW97" s="21"/>
      <c r="NTX97" s="21"/>
      <c r="NTY97" s="21"/>
      <c r="NTZ97" s="21"/>
      <c r="NUA97" s="21"/>
      <c r="NUB97" s="21"/>
      <c r="NUC97" s="21"/>
      <c r="NUD97" s="21"/>
      <c r="NUE97" s="21"/>
      <c r="NUF97" s="21"/>
      <c r="NUG97" s="21"/>
      <c r="NUH97" s="21"/>
      <c r="NUI97" s="21"/>
      <c r="NUJ97" s="21"/>
      <c r="NUK97" s="21"/>
      <c r="NUL97" s="21"/>
      <c r="NUM97" s="21"/>
      <c r="NUN97" s="21"/>
      <c r="NUO97" s="21"/>
      <c r="NUP97" s="21"/>
      <c r="NUQ97" s="21"/>
      <c r="NUR97" s="21"/>
      <c r="NUS97" s="21"/>
      <c r="NUT97" s="21"/>
      <c r="NUU97" s="21"/>
      <c r="NUV97" s="21"/>
      <c r="NUW97" s="21"/>
      <c r="NUX97" s="21"/>
      <c r="NUY97" s="21"/>
      <c r="NUZ97" s="21"/>
      <c r="NVA97" s="21"/>
      <c r="NVB97" s="21"/>
      <c r="NVC97" s="21"/>
      <c r="NVD97" s="21"/>
      <c r="NVE97" s="21"/>
      <c r="NVF97" s="21"/>
      <c r="NVG97" s="21"/>
      <c r="NVH97" s="21"/>
      <c r="NVI97" s="21"/>
      <c r="NVJ97" s="21"/>
      <c r="NVK97" s="21"/>
      <c r="NVL97" s="21"/>
      <c r="NVM97" s="21"/>
      <c r="NVN97" s="21"/>
      <c r="NVO97" s="21"/>
      <c r="NVP97" s="21"/>
      <c r="NVQ97" s="21"/>
      <c r="NVR97" s="21"/>
      <c r="NVS97" s="21"/>
      <c r="NVT97" s="21"/>
      <c r="NVU97" s="21"/>
      <c r="NVV97" s="21"/>
      <c r="NVW97" s="21"/>
      <c r="NVX97" s="21"/>
      <c r="NVY97" s="21"/>
      <c r="NVZ97" s="21"/>
      <c r="NWA97" s="21"/>
      <c r="NWB97" s="21"/>
      <c r="NWC97" s="21"/>
      <c r="NWD97" s="21"/>
      <c r="NWE97" s="21"/>
      <c r="NWF97" s="21"/>
      <c r="NWG97" s="21"/>
      <c r="NWH97" s="21"/>
      <c r="NWI97" s="21"/>
      <c r="NWJ97" s="21"/>
      <c r="NWK97" s="21"/>
      <c r="NWL97" s="21"/>
      <c r="NWM97" s="21"/>
      <c r="NWN97" s="21"/>
      <c r="NWO97" s="21"/>
      <c r="NWP97" s="21"/>
      <c r="NWQ97" s="21"/>
      <c r="NWR97" s="21"/>
      <c r="NWS97" s="21"/>
      <c r="NWT97" s="21"/>
      <c r="NWU97" s="21"/>
      <c r="NWV97" s="21"/>
      <c r="NWW97" s="21"/>
      <c r="NWX97" s="21"/>
      <c r="NWY97" s="21"/>
      <c r="NWZ97" s="21"/>
      <c r="NXA97" s="21"/>
      <c r="NXB97" s="21"/>
      <c r="NXC97" s="21"/>
      <c r="NXD97" s="21"/>
      <c r="NXE97" s="21"/>
      <c r="NXF97" s="21"/>
      <c r="NXG97" s="21"/>
      <c r="NXH97" s="21"/>
      <c r="NXI97" s="21"/>
      <c r="NXJ97" s="21"/>
      <c r="NXK97" s="21"/>
      <c r="NXL97" s="21"/>
      <c r="NXM97" s="21"/>
      <c r="NXN97" s="21"/>
      <c r="NXO97" s="21"/>
      <c r="NXP97" s="21"/>
      <c r="NXQ97" s="21"/>
      <c r="NXR97" s="21"/>
      <c r="NXS97" s="21"/>
      <c r="NXT97" s="21"/>
      <c r="NXU97" s="21"/>
      <c r="NXV97" s="21"/>
      <c r="NXW97" s="21"/>
      <c r="NXX97" s="21"/>
      <c r="NXY97" s="21"/>
      <c r="NXZ97" s="21"/>
      <c r="NYA97" s="21"/>
      <c r="NYB97" s="21"/>
      <c r="NYC97" s="21"/>
      <c r="NYD97" s="21"/>
      <c r="NYE97" s="21"/>
      <c r="NYF97" s="21"/>
      <c r="NYG97" s="21"/>
      <c r="NYH97" s="21"/>
      <c r="NYI97" s="21"/>
      <c r="NYJ97" s="21"/>
      <c r="NYK97" s="21"/>
      <c r="NYL97" s="21"/>
      <c r="NYM97" s="21"/>
      <c r="NYN97" s="21"/>
      <c r="NYO97" s="21"/>
      <c r="NYP97" s="21"/>
      <c r="NYQ97" s="21"/>
      <c r="NYR97" s="21"/>
      <c r="NYS97" s="21"/>
      <c r="NYT97" s="21"/>
      <c r="NYU97" s="21"/>
      <c r="NYV97" s="21"/>
      <c r="NYW97" s="21"/>
      <c r="NYX97" s="21"/>
      <c r="NYY97" s="21"/>
      <c r="NYZ97" s="21"/>
      <c r="NZA97" s="21"/>
      <c r="NZB97" s="21"/>
      <c r="NZC97" s="21"/>
      <c r="NZD97" s="21"/>
      <c r="NZE97" s="21"/>
      <c r="NZF97" s="21"/>
      <c r="NZG97" s="21"/>
      <c r="NZH97" s="21"/>
      <c r="NZI97" s="21"/>
      <c r="NZJ97" s="21"/>
      <c r="NZK97" s="21"/>
      <c r="NZL97" s="21"/>
      <c r="NZM97" s="21"/>
      <c r="NZN97" s="21"/>
      <c r="NZO97" s="21"/>
      <c r="NZP97" s="21"/>
      <c r="NZQ97" s="21"/>
      <c r="NZR97" s="21"/>
      <c r="NZS97" s="21"/>
      <c r="NZT97" s="21"/>
      <c r="NZU97" s="21"/>
      <c r="NZV97" s="21"/>
      <c r="NZW97" s="21"/>
      <c r="NZX97" s="21"/>
      <c r="NZY97" s="21"/>
      <c r="NZZ97" s="21"/>
      <c r="OAA97" s="21"/>
      <c r="OAB97" s="21"/>
      <c r="OAC97" s="21"/>
      <c r="OAD97" s="21"/>
      <c r="OAE97" s="21"/>
      <c r="OAF97" s="21"/>
      <c r="OAG97" s="21"/>
      <c r="OAH97" s="21"/>
      <c r="OAI97" s="21"/>
      <c r="OAJ97" s="21"/>
      <c r="OAK97" s="21"/>
      <c r="OAL97" s="21"/>
      <c r="OAM97" s="21"/>
      <c r="OAN97" s="21"/>
      <c r="OAO97" s="21"/>
      <c r="OAP97" s="21"/>
      <c r="OAQ97" s="21"/>
      <c r="OAR97" s="21"/>
      <c r="OAS97" s="21"/>
      <c r="OAT97" s="21"/>
      <c r="OAU97" s="21"/>
      <c r="OAV97" s="21"/>
      <c r="OAW97" s="21"/>
      <c r="OAX97" s="21"/>
      <c r="OAY97" s="21"/>
      <c r="OAZ97" s="21"/>
      <c r="OBA97" s="21"/>
      <c r="OBB97" s="21"/>
      <c r="OBC97" s="21"/>
      <c r="OBD97" s="21"/>
      <c r="OBE97" s="21"/>
      <c r="OBF97" s="21"/>
      <c r="OBG97" s="21"/>
      <c r="OBH97" s="21"/>
      <c r="OBI97" s="21"/>
      <c r="OBJ97" s="21"/>
      <c r="OBK97" s="21"/>
      <c r="OBL97" s="21"/>
      <c r="OBM97" s="21"/>
      <c r="OBN97" s="21"/>
      <c r="OBO97" s="21"/>
      <c r="OBP97" s="21"/>
      <c r="OBQ97" s="21"/>
      <c r="OBR97" s="21"/>
      <c r="OBS97" s="21"/>
      <c r="OBT97" s="21"/>
      <c r="OBU97" s="21"/>
      <c r="OBV97" s="21"/>
      <c r="OBW97" s="21"/>
      <c r="OBX97" s="21"/>
      <c r="OBY97" s="21"/>
      <c r="OBZ97" s="21"/>
      <c r="OCA97" s="21"/>
      <c r="OCB97" s="21"/>
      <c r="OCC97" s="21"/>
      <c r="OCD97" s="21"/>
      <c r="OCE97" s="21"/>
      <c r="OCF97" s="21"/>
      <c r="OCG97" s="21"/>
      <c r="OCH97" s="21"/>
      <c r="OCI97" s="21"/>
      <c r="OCJ97" s="21"/>
      <c r="OCK97" s="21"/>
      <c r="OCL97" s="21"/>
      <c r="OCM97" s="21"/>
      <c r="OCN97" s="21"/>
      <c r="OCO97" s="21"/>
      <c r="OCP97" s="21"/>
      <c r="OCQ97" s="21"/>
      <c r="OCR97" s="21"/>
      <c r="OCS97" s="21"/>
      <c r="OCT97" s="21"/>
      <c r="OCU97" s="21"/>
      <c r="OCV97" s="21"/>
      <c r="OCW97" s="21"/>
      <c r="OCX97" s="21"/>
      <c r="OCY97" s="21"/>
      <c r="OCZ97" s="21"/>
      <c r="ODA97" s="21"/>
      <c r="ODB97" s="21"/>
      <c r="ODC97" s="21"/>
      <c r="ODD97" s="21"/>
      <c r="ODE97" s="21"/>
      <c r="ODF97" s="21"/>
      <c r="ODG97" s="21"/>
      <c r="ODH97" s="21"/>
      <c r="ODI97" s="21"/>
      <c r="ODJ97" s="21"/>
      <c r="ODK97" s="21"/>
      <c r="ODL97" s="21"/>
      <c r="ODM97" s="21"/>
      <c r="ODN97" s="21"/>
      <c r="ODO97" s="21"/>
      <c r="ODP97" s="21"/>
      <c r="ODQ97" s="21"/>
      <c r="ODR97" s="21"/>
      <c r="ODS97" s="21"/>
      <c r="ODT97" s="21"/>
      <c r="ODU97" s="21"/>
      <c r="ODV97" s="21"/>
      <c r="ODW97" s="21"/>
      <c r="ODX97" s="21"/>
      <c r="ODY97" s="21"/>
      <c r="ODZ97" s="21"/>
      <c r="OEA97" s="21"/>
      <c r="OEB97" s="21"/>
      <c r="OEC97" s="21"/>
      <c r="OED97" s="21"/>
      <c r="OEE97" s="21"/>
      <c r="OEF97" s="21"/>
      <c r="OEG97" s="21"/>
      <c r="OEH97" s="21"/>
      <c r="OEI97" s="21"/>
      <c r="OEJ97" s="21"/>
      <c r="OEK97" s="21"/>
      <c r="OEL97" s="21"/>
      <c r="OEM97" s="21"/>
      <c r="OEN97" s="21"/>
      <c r="OEO97" s="21"/>
      <c r="OEP97" s="21"/>
      <c r="OEQ97" s="21"/>
      <c r="OER97" s="21"/>
      <c r="OES97" s="21"/>
      <c r="OET97" s="21"/>
      <c r="OEU97" s="21"/>
      <c r="OEV97" s="21"/>
      <c r="OEW97" s="21"/>
      <c r="OEX97" s="21"/>
      <c r="OEY97" s="21"/>
      <c r="OEZ97" s="21"/>
      <c r="OFA97" s="21"/>
      <c r="OFB97" s="21"/>
      <c r="OFC97" s="21"/>
      <c r="OFD97" s="21"/>
      <c r="OFE97" s="21"/>
      <c r="OFF97" s="21"/>
      <c r="OFG97" s="21"/>
      <c r="OFH97" s="21"/>
      <c r="OFI97" s="21"/>
      <c r="OFJ97" s="21"/>
      <c r="OFK97" s="21"/>
      <c r="OFL97" s="21"/>
      <c r="OFM97" s="21"/>
      <c r="OFN97" s="21"/>
      <c r="OFO97" s="21"/>
      <c r="OFP97" s="21"/>
      <c r="OFQ97" s="21"/>
      <c r="OFR97" s="21"/>
      <c r="OFS97" s="21"/>
      <c r="OFT97" s="21"/>
      <c r="OFU97" s="21"/>
      <c r="OFV97" s="21"/>
      <c r="OFW97" s="21"/>
      <c r="OFX97" s="21"/>
      <c r="OFY97" s="21"/>
      <c r="OFZ97" s="21"/>
      <c r="OGA97" s="21"/>
      <c r="OGB97" s="21"/>
      <c r="OGC97" s="21"/>
      <c r="OGD97" s="21"/>
      <c r="OGE97" s="21"/>
      <c r="OGF97" s="21"/>
      <c r="OGG97" s="21"/>
      <c r="OGH97" s="21"/>
      <c r="OGI97" s="21"/>
      <c r="OGJ97" s="21"/>
      <c r="OGK97" s="21"/>
      <c r="OGL97" s="21"/>
      <c r="OGM97" s="21"/>
      <c r="OGN97" s="21"/>
      <c r="OGO97" s="21"/>
      <c r="OGP97" s="21"/>
      <c r="OGQ97" s="21"/>
      <c r="OGR97" s="21"/>
      <c r="OGS97" s="21"/>
      <c r="OGT97" s="21"/>
      <c r="OGU97" s="21"/>
      <c r="OGV97" s="21"/>
      <c r="OGW97" s="21"/>
      <c r="OGX97" s="21"/>
      <c r="OGY97" s="21"/>
      <c r="OGZ97" s="21"/>
      <c r="OHA97" s="21"/>
      <c r="OHB97" s="21"/>
      <c r="OHC97" s="21"/>
      <c r="OHD97" s="21"/>
      <c r="OHE97" s="21"/>
      <c r="OHF97" s="21"/>
      <c r="OHG97" s="21"/>
      <c r="OHH97" s="21"/>
      <c r="OHI97" s="21"/>
      <c r="OHJ97" s="21"/>
      <c r="OHK97" s="21"/>
      <c r="OHL97" s="21"/>
      <c r="OHM97" s="21"/>
      <c r="OHN97" s="21"/>
      <c r="OHO97" s="21"/>
      <c r="OHP97" s="21"/>
      <c r="OHQ97" s="21"/>
      <c r="OHR97" s="21"/>
      <c r="OHS97" s="21"/>
      <c r="OHT97" s="21"/>
      <c r="OHU97" s="21"/>
      <c r="OHV97" s="21"/>
      <c r="OHW97" s="21"/>
      <c r="OHX97" s="21"/>
      <c r="OHY97" s="21"/>
      <c r="OHZ97" s="21"/>
      <c r="OIA97" s="21"/>
      <c r="OIB97" s="21"/>
      <c r="OIC97" s="21"/>
      <c r="OID97" s="21"/>
      <c r="OIE97" s="21"/>
      <c r="OIF97" s="21"/>
      <c r="OIG97" s="21"/>
      <c r="OIH97" s="21"/>
      <c r="OII97" s="21"/>
      <c r="OIJ97" s="21"/>
      <c r="OIK97" s="21"/>
      <c r="OIL97" s="21"/>
      <c r="OIM97" s="21"/>
      <c r="OIN97" s="21"/>
      <c r="OIO97" s="21"/>
      <c r="OIP97" s="21"/>
      <c r="OIQ97" s="21"/>
      <c r="OIR97" s="21"/>
      <c r="OIS97" s="21"/>
      <c r="OIT97" s="21"/>
      <c r="OIU97" s="21"/>
      <c r="OIV97" s="21"/>
      <c r="OIW97" s="21"/>
      <c r="OIX97" s="21"/>
      <c r="OIY97" s="21"/>
      <c r="OIZ97" s="21"/>
      <c r="OJA97" s="21"/>
      <c r="OJB97" s="21"/>
      <c r="OJC97" s="21"/>
      <c r="OJD97" s="21"/>
      <c r="OJE97" s="21"/>
      <c r="OJF97" s="21"/>
      <c r="OJG97" s="21"/>
      <c r="OJH97" s="21"/>
      <c r="OJI97" s="21"/>
      <c r="OJJ97" s="21"/>
      <c r="OJK97" s="21"/>
      <c r="OJL97" s="21"/>
      <c r="OJM97" s="21"/>
      <c r="OJN97" s="21"/>
      <c r="OJO97" s="21"/>
      <c r="OJP97" s="21"/>
      <c r="OJQ97" s="21"/>
      <c r="OJR97" s="21"/>
      <c r="OJS97" s="21"/>
      <c r="OJT97" s="21"/>
      <c r="OJU97" s="21"/>
      <c r="OJV97" s="21"/>
      <c r="OJW97" s="21"/>
      <c r="OJX97" s="21"/>
      <c r="OJY97" s="21"/>
      <c r="OJZ97" s="21"/>
      <c r="OKA97" s="21"/>
      <c r="OKB97" s="21"/>
      <c r="OKC97" s="21"/>
      <c r="OKD97" s="21"/>
      <c r="OKE97" s="21"/>
      <c r="OKF97" s="21"/>
      <c r="OKG97" s="21"/>
      <c r="OKH97" s="21"/>
      <c r="OKI97" s="21"/>
      <c r="OKJ97" s="21"/>
      <c r="OKK97" s="21"/>
      <c r="OKL97" s="21"/>
      <c r="OKM97" s="21"/>
      <c r="OKN97" s="21"/>
      <c r="OKO97" s="21"/>
      <c r="OKP97" s="21"/>
      <c r="OKQ97" s="21"/>
      <c r="OKR97" s="21"/>
      <c r="OKS97" s="21"/>
      <c r="OKT97" s="21"/>
      <c r="OKU97" s="21"/>
      <c r="OKV97" s="21"/>
      <c r="OKW97" s="21"/>
      <c r="OKX97" s="21"/>
      <c r="OKY97" s="21"/>
      <c r="OKZ97" s="21"/>
      <c r="OLA97" s="21"/>
      <c r="OLB97" s="21"/>
      <c r="OLC97" s="21"/>
      <c r="OLD97" s="21"/>
      <c r="OLE97" s="21"/>
      <c r="OLF97" s="21"/>
      <c r="OLG97" s="21"/>
      <c r="OLH97" s="21"/>
      <c r="OLI97" s="21"/>
      <c r="OLJ97" s="21"/>
      <c r="OLK97" s="21"/>
      <c r="OLL97" s="21"/>
      <c r="OLM97" s="21"/>
      <c r="OLN97" s="21"/>
      <c r="OLO97" s="21"/>
      <c r="OLP97" s="21"/>
      <c r="OLQ97" s="21"/>
      <c r="OLR97" s="21"/>
      <c r="OLS97" s="21"/>
      <c r="OLT97" s="21"/>
      <c r="OLU97" s="21"/>
      <c r="OLV97" s="21"/>
      <c r="OLW97" s="21"/>
      <c r="OLX97" s="21"/>
      <c r="OLY97" s="21"/>
      <c r="OLZ97" s="21"/>
      <c r="OMA97" s="21"/>
      <c r="OMB97" s="21"/>
      <c r="OMC97" s="21"/>
      <c r="OMD97" s="21"/>
      <c r="OME97" s="21"/>
      <c r="OMF97" s="21"/>
      <c r="OMG97" s="21"/>
      <c r="OMH97" s="21"/>
      <c r="OMI97" s="21"/>
      <c r="OMJ97" s="21"/>
      <c r="OMK97" s="21"/>
      <c r="OML97" s="21"/>
      <c r="OMM97" s="21"/>
      <c r="OMN97" s="21"/>
      <c r="OMO97" s="21"/>
      <c r="OMP97" s="21"/>
      <c r="OMQ97" s="21"/>
      <c r="OMR97" s="21"/>
      <c r="OMS97" s="21"/>
      <c r="OMT97" s="21"/>
      <c r="OMU97" s="21"/>
      <c r="OMV97" s="21"/>
      <c r="OMW97" s="21"/>
      <c r="OMX97" s="21"/>
      <c r="OMY97" s="21"/>
      <c r="OMZ97" s="21"/>
      <c r="ONA97" s="21"/>
      <c r="ONB97" s="21"/>
      <c r="ONC97" s="21"/>
      <c r="OND97" s="21"/>
      <c r="ONE97" s="21"/>
      <c r="ONF97" s="21"/>
      <c r="ONG97" s="21"/>
      <c r="ONH97" s="21"/>
      <c r="ONI97" s="21"/>
      <c r="ONJ97" s="21"/>
      <c r="ONK97" s="21"/>
      <c r="ONL97" s="21"/>
      <c r="ONM97" s="21"/>
      <c r="ONN97" s="21"/>
      <c r="ONO97" s="21"/>
      <c r="ONP97" s="21"/>
      <c r="ONQ97" s="21"/>
      <c r="ONR97" s="21"/>
      <c r="ONS97" s="21"/>
      <c r="ONT97" s="21"/>
      <c r="ONU97" s="21"/>
      <c r="ONV97" s="21"/>
      <c r="ONW97" s="21"/>
      <c r="ONX97" s="21"/>
      <c r="ONY97" s="21"/>
      <c r="ONZ97" s="21"/>
      <c r="OOA97" s="21"/>
      <c r="OOB97" s="21"/>
      <c r="OOC97" s="21"/>
      <c r="OOD97" s="21"/>
      <c r="OOE97" s="21"/>
      <c r="OOF97" s="21"/>
      <c r="OOG97" s="21"/>
      <c r="OOH97" s="21"/>
      <c r="OOI97" s="21"/>
      <c r="OOJ97" s="21"/>
      <c r="OOK97" s="21"/>
      <c r="OOL97" s="21"/>
      <c r="OOM97" s="21"/>
      <c r="OON97" s="21"/>
      <c r="OOO97" s="21"/>
      <c r="OOP97" s="21"/>
      <c r="OOQ97" s="21"/>
      <c r="OOR97" s="21"/>
      <c r="OOS97" s="21"/>
      <c r="OOT97" s="21"/>
      <c r="OOU97" s="21"/>
      <c r="OOV97" s="21"/>
      <c r="OOW97" s="21"/>
      <c r="OOX97" s="21"/>
      <c r="OOY97" s="21"/>
      <c r="OOZ97" s="21"/>
      <c r="OPA97" s="21"/>
      <c r="OPB97" s="21"/>
      <c r="OPC97" s="21"/>
      <c r="OPD97" s="21"/>
      <c r="OPE97" s="21"/>
      <c r="OPF97" s="21"/>
      <c r="OPG97" s="21"/>
      <c r="OPH97" s="21"/>
      <c r="OPI97" s="21"/>
      <c r="OPJ97" s="21"/>
      <c r="OPK97" s="21"/>
      <c r="OPL97" s="21"/>
      <c r="OPM97" s="21"/>
      <c r="OPN97" s="21"/>
      <c r="OPO97" s="21"/>
      <c r="OPP97" s="21"/>
      <c r="OPQ97" s="21"/>
      <c r="OPR97" s="21"/>
      <c r="OPS97" s="21"/>
      <c r="OPT97" s="21"/>
      <c r="OPU97" s="21"/>
      <c r="OPV97" s="21"/>
      <c r="OPW97" s="21"/>
      <c r="OPX97" s="21"/>
      <c r="OPY97" s="21"/>
      <c r="OPZ97" s="21"/>
      <c r="OQA97" s="21"/>
      <c r="OQB97" s="21"/>
      <c r="OQC97" s="21"/>
      <c r="OQD97" s="21"/>
      <c r="OQE97" s="21"/>
      <c r="OQF97" s="21"/>
      <c r="OQG97" s="21"/>
      <c r="OQH97" s="21"/>
      <c r="OQI97" s="21"/>
      <c r="OQJ97" s="21"/>
      <c r="OQK97" s="21"/>
      <c r="OQL97" s="21"/>
      <c r="OQM97" s="21"/>
      <c r="OQN97" s="21"/>
      <c r="OQO97" s="21"/>
      <c r="OQP97" s="21"/>
      <c r="OQQ97" s="21"/>
      <c r="OQR97" s="21"/>
      <c r="OQS97" s="21"/>
      <c r="OQT97" s="21"/>
      <c r="OQU97" s="21"/>
      <c r="OQV97" s="21"/>
      <c r="OQW97" s="21"/>
      <c r="OQX97" s="21"/>
      <c r="OQY97" s="21"/>
      <c r="OQZ97" s="21"/>
      <c r="ORA97" s="21"/>
      <c r="ORB97" s="21"/>
      <c r="ORC97" s="21"/>
      <c r="ORD97" s="21"/>
      <c r="ORE97" s="21"/>
      <c r="ORF97" s="21"/>
      <c r="ORG97" s="21"/>
      <c r="ORH97" s="21"/>
      <c r="ORI97" s="21"/>
      <c r="ORJ97" s="21"/>
      <c r="ORK97" s="21"/>
      <c r="ORL97" s="21"/>
      <c r="ORM97" s="21"/>
      <c r="ORN97" s="21"/>
      <c r="ORO97" s="21"/>
      <c r="ORP97" s="21"/>
      <c r="ORQ97" s="21"/>
      <c r="ORR97" s="21"/>
      <c r="ORS97" s="21"/>
      <c r="ORT97" s="21"/>
      <c r="ORU97" s="21"/>
      <c r="ORV97" s="21"/>
      <c r="ORW97" s="21"/>
      <c r="ORX97" s="21"/>
      <c r="ORY97" s="21"/>
      <c r="ORZ97" s="21"/>
      <c r="OSA97" s="21"/>
      <c r="OSB97" s="21"/>
      <c r="OSC97" s="21"/>
      <c r="OSD97" s="21"/>
      <c r="OSE97" s="21"/>
      <c r="OSF97" s="21"/>
      <c r="OSG97" s="21"/>
      <c r="OSH97" s="21"/>
      <c r="OSI97" s="21"/>
      <c r="OSJ97" s="21"/>
      <c r="OSK97" s="21"/>
      <c r="OSL97" s="21"/>
      <c r="OSM97" s="21"/>
      <c r="OSN97" s="21"/>
      <c r="OSO97" s="21"/>
      <c r="OSP97" s="21"/>
      <c r="OSQ97" s="21"/>
      <c r="OSR97" s="21"/>
      <c r="OSS97" s="21"/>
      <c r="OST97" s="21"/>
      <c r="OSU97" s="21"/>
      <c r="OSV97" s="21"/>
      <c r="OSW97" s="21"/>
      <c r="OSX97" s="21"/>
      <c r="OSY97" s="21"/>
      <c r="OSZ97" s="21"/>
      <c r="OTA97" s="21"/>
      <c r="OTB97" s="21"/>
      <c r="OTC97" s="21"/>
      <c r="OTD97" s="21"/>
      <c r="OTE97" s="21"/>
      <c r="OTF97" s="21"/>
      <c r="OTG97" s="21"/>
      <c r="OTH97" s="21"/>
      <c r="OTI97" s="21"/>
      <c r="OTJ97" s="21"/>
      <c r="OTK97" s="21"/>
      <c r="OTL97" s="21"/>
      <c r="OTM97" s="21"/>
      <c r="OTN97" s="21"/>
      <c r="OTO97" s="21"/>
      <c r="OTP97" s="21"/>
      <c r="OTQ97" s="21"/>
      <c r="OTR97" s="21"/>
      <c r="OTS97" s="21"/>
      <c r="OTT97" s="21"/>
      <c r="OTU97" s="21"/>
      <c r="OTV97" s="21"/>
      <c r="OTW97" s="21"/>
      <c r="OTX97" s="21"/>
      <c r="OTY97" s="21"/>
      <c r="OTZ97" s="21"/>
      <c r="OUA97" s="21"/>
      <c r="OUB97" s="21"/>
      <c r="OUC97" s="21"/>
      <c r="OUD97" s="21"/>
      <c r="OUE97" s="21"/>
      <c r="OUF97" s="21"/>
      <c r="OUG97" s="21"/>
      <c r="OUH97" s="21"/>
      <c r="OUI97" s="21"/>
      <c r="OUJ97" s="21"/>
      <c r="OUK97" s="21"/>
      <c r="OUL97" s="21"/>
      <c r="OUM97" s="21"/>
      <c r="OUN97" s="21"/>
      <c r="OUO97" s="21"/>
      <c r="OUP97" s="21"/>
      <c r="OUQ97" s="21"/>
      <c r="OUR97" s="21"/>
      <c r="OUS97" s="21"/>
      <c r="OUT97" s="21"/>
      <c r="OUU97" s="21"/>
      <c r="OUV97" s="21"/>
      <c r="OUW97" s="21"/>
      <c r="OUX97" s="21"/>
      <c r="OUY97" s="21"/>
      <c r="OUZ97" s="21"/>
      <c r="OVA97" s="21"/>
      <c r="OVB97" s="21"/>
      <c r="OVC97" s="21"/>
      <c r="OVD97" s="21"/>
      <c r="OVE97" s="21"/>
      <c r="OVF97" s="21"/>
      <c r="OVG97" s="21"/>
      <c r="OVH97" s="21"/>
      <c r="OVI97" s="21"/>
      <c r="OVJ97" s="21"/>
      <c r="OVK97" s="21"/>
      <c r="OVL97" s="21"/>
      <c r="OVM97" s="21"/>
      <c r="OVN97" s="21"/>
      <c r="OVO97" s="21"/>
      <c r="OVP97" s="21"/>
      <c r="OVQ97" s="21"/>
      <c r="OVR97" s="21"/>
      <c r="OVS97" s="21"/>
      <c r="OVT97" s="21"/>
      <c r="OVU97" s="21"/>
      <c r="OVV97" s="21"/>
      <c r="OVW97" s="21"/>
      <c r="OVX97" s="21"/>
      <c r="OVY97" s="21"/>
      <c r="OVZ97" s="21"/>
      <c r="OWA97" s="21"/>
      <c r="OWB97" s="21"/>
      <c r="OWC97" s="21"/>
      <c r="OWD97" s="21"/>
      <c r="OWE97" s="21"/>
      <c r="OWF97" s="21"/>
      <c r="OWG97" s="21"/>
      <c r="OWH97" s="21"/>
      <c r="OWI97" s="21"/>
      <c r="OWJ97" s="21"/>
      <c r="OWK97" s="21"/>
      <c r="OWL97" s="21"/>
      <c r="OWM97" s="21"/>
      <c r="OWN97" s="21"/>
      <c r="OWO97" s="21"/>
      <c r="OWP97" s="21"/>
      <c r="OWQ97" s="21"/>
      <c r="OWR97" s="21"/>
      <c r="OWS97" s="21"/>
      <c r="OWT97" s="21"/>
      <c r="OWU97" s="21"/>
      <c r="OWV97" s="21"/>
      <c r="OWW97" s="21"/>
      <c r="OWX97" s="21"/>
      <c r="OWY97" s="21"/>
      <c r="OWZ97" s="21"/>
      <c r="OXA97" s="21"/>
      <c r="OXB97" s="21"/>
      <c r="OXC97" s="21"/>
      <c r="OXD97" s="21"/>
      <c r="OXE97" s="21"/>
      <c r="OXF97" s="21"/>
      <c r="OXG97" s="21"/>
      <c r="OXH97" s="21"/>
      <c r="OXI97" s="21"/>
      <c r="OXJ97" s="21"/>
      <c r="OXK97" s="21"/>
      <c r="OXL97" s="21"/>
      <c r="OXM97" s="21"/>
      <c r="OXN97" s="21"/>
      <c r="OXO97" s="21"/>
      <c r="OXP97" s="21"/>
      <c r="OXQ97" s="21"/>
      <c r="OXR97" s="21"/>
      <c r="OXS97" s="21"/>
      <c r="OXT97" s="21"/>
      <c r="OXU97" s="21"/>
      <c r="OXV97" s="21"/>
      <c r="OXW97" s="21"/>
      <c r="OXX97" s="21"/>
      <c r="OXY97" s="21"/>
      <c r="OXZ97" s="21"/>
      <c r="OYA97" s="21"/>
      <c r="OYB97" s="21"/>
      <c r="OYC97" s="21"/>
      <c r="OYD97" s="21"/>
      <c r="OYE97" s="21"/>
      <c r="OYF97" s="21"/>
      <c r="OYG97" s="21"/>
      <c r="OYH97" s="21"/>
      <c r="OYI97" s="21"/>
      <c r="OYJ97" s="21"/>
      <c r="OYK97" s="21"/>
      <c r="OYL97" s="21"/>
      <c r="OYM97" s="21"/>
      <c r="OYN97" s="21"/>
      <c r="OYO97" s="21"/>
      <c r="OYP97" s="21"/>
      <c r="OYQ97" s="21"/>
      <c r="OYR97" s="21"/>
      <c r="OYS97" s="21"/>
      <c r="OYT97" s="21"/>
      <c r="OYU97" s="21"/>
      <c r="OYV97" s="21"/>
      <c r="OYW97" s="21"/>
      <c r="OYX97" s="21"/>
      <c r="OYY97" s="21"/>
      <c r="OYZ97" s="21"/>
      <c r="OZA97" s="21"/>
      <c r="OZB97" s="21"/>
      <c r="OZC97" s="21"/>
      <c r="OZD97" s="21"/>
      <c r="OZE97" s="21"/>
      <c r="OZF97" s="21"/>
      <c r="OZG97" s="21"/>
      <c r="OZH97" s="21"/>
      <c r="OZI97" s="21"/>
      <c r="OZJ97" s="21"/>
      <c r="OZK97" s="21"/>
      <c r="OZL97" s="21"/>
      <c r="OZM97" s="21"/>
      <c r="OZN97" s="21"/>
      <c r="OZO97" s="21"/>
      <c r="OZP97" s="21"/>
      <c r="OZQ97" s="21"/>
      <c r="OZR97" s="21"/>
      <c r="OZS97" s="21"/>
      <c r="OZT97" s="21"/>
      <c r="OZU97" s="21"/>
      <c r="OZV97" s="21"/>
      <c r="OZW97" s="21"/>
      <c r="OZX97" s="21"/>
      <c r="OZY97" s="21"/>
      <c r="OZZ97" s="21"/>
      <c r="PAA97" s="21"/>
      <c r="PAB97" s="21"/>
      <c r="PAC97" s="21"/>
      <c r="PAD97" s="21"/>
      <c r="PAE97" s="21"/>
      <c r="PAF97" s="21"/>
      <c r="PAG97" s="21"/>
      <c r="PAH97" s="21"/>
      <c r="PAI97" s="21"/>
      <c r="PAJ97" s="21"/>
      <c r="PAK97" s="21"/>
      <c r="PAL97" s="21"/>
      <c r="PAM97" s="21"/>
      <c r="PAN97" s="21"/>
      <c r="PAO97" s="21"/>
      <c r="PAP97" s="21"/>
      <c r="PAQ97" s="21"/>
      <c r="PAR97" s="21"/>
      <c r="PAS97" s="21"/>
      <c r="PAT97" s="21"/>
      <c r="PAU97" s="21"/>
      <c r="PAV97" s="21"/>
      <c r="PAW97" s="21"/>
      <c r="PAX97" s="21"/>
      <c r="PAY97" s="21"/>
      <c r="PAZ97" s="21"/>
      <c r="PBA97" s="21"/>
      <c r="PBB97" s="21"/>
      <c r="PBC97" s="21"/>
      <c r="PBD97" s="21"/>
      <c r="PBE97" s="21"/>
      <c r="PBF97" s="21"/>
      <c r="PBG97" s="21"/>
      <c r="PBH97" s="21"/>
      <c r="PBI97" s="21"/>
      <c r="PBJ97" s="21"/>
      <c r="PBK97" s="21"/>
      <c r="PBL97" s="21"/>
      <c r="PBM97" s="21"/>
      <c r="PBN97" s="21"/>
      <c r="PBO97" s="21"/>
      <c r="PBP97" s="21"/>
      <c r="PBQ97" s="21"/>
      <c r="PBR97" s="21"/>
      <c r="PBS97" s="21"/>
      <c r="PBT97" s="21"/>
      <c r="PBU97" s="21"/>
      <c r="PBV97" s="21"/>
      <c r="PBW97" s="21"/>
      <c r="PBX97" s="21"/>
      <c r="PBY97" s="21"/>
      <c r="PBZ97" s="21"/>
      <c r="PCA97" s="21"/>
      <c r="PCB97" s="21"/>
      <c r="PCC97" s="21"/>
      <c r="PCD97" s="21"/>
      <c r="PCE97" s="21"/>
      <c r="PCF97" s="21"/>
      <c r="PCG97" s="21"/>
      <c r="PCH97" s="21"/>
      <c r="PCI97" s="21"/>
      <c r="PCJ97" s="21"/>
      <c r="PCK97" s="21"/>
      <c r="PCL97" s="21"/>
      <c r="PCM97" s="21"/>
      <c r="PCN97" s="21"/>
      <c r="PCO97" s="21"/>
      <c r="PCP97" s="21"/>
      <c r="PCQ97" s="21"/>
      <c r="PCR97" s="21"/>
      <c r="PCS97" s="21"/>
      <c r="PCT97" s="21"/>
      <c r="PCU97" s="21"/>
      <c r="PCV97" s="21"/>
      <c r="PCW97" s="21"/>
      <c r="PCX97" s="21"/>
      <c r="PCY97" s="21"/>
      <c r="PCZ97" s="21"/>
      <c r="PDA97" s="21"/>
      <c r="PDB97" s="21"/>
      <c r="PDC97" s="21"/>
      <c r="PDD97" s="21"/>
      <c r="PDE97" s="21"/>
      <c r="PDF97" s="21"/>
      <c r="PDG97" s="21"/>
      <c r="PDH97" s="21"/>
      <c r="PDI97" s="21"/>
      <c r="PDJ97" s="21"/>
      <c r="PDK97" s="21"/>
      <c r="PDL97" s="21"/>
      <c r="PDM97" s="21"/>
      <c r="PDN97" s="21"/>
      <c r="PDO97" s="21"/>
      <c r="PDP97" s="21"/>
      <c r="PDQ97" s="21"/>
      <c r="PDR97" s="21"/>
      <c r="PDS97" s="21"/>
      <c r="PDT97" s="21"/>
      <c r="PDU97" s="21"/>
      <c r="PDV97" s="21"/>
      <c r="PDW97" s="21"/>
      <c r="PDX97" s="21"/>
      <c r="PDY97" s="21"/>
      <c r="PDZ97" s="21"/>
      <c r="PEA97" s="21"/>
      <c r="PEB97" s="21"/>
      <c r="PEC97" s="21"/>
      <c r="PED97" s="21"/>
      <c r="PEE97" s="21"/>
      <c r="PEF97" s="21"/>
      <c r="PEG97" s="21"/>
      <c r="PEH97" s="21"/>
      <c r="PEI97" s="21"/>
      <c r="PEJ97" s="21"/>
      <c r="PEK97" s="21"/>
      <c r="PEL97" s="21"/>
      <c r="PEM97" s="21"/>
      <c r="PEN97" s="21"/>
      <c r="PEO97" s="21"/>
      <c r="PEP97" s="21"/>
      <c r="PEQ97" s="21"/>
      <c r="PER97" s="21"/>
      <c r="PES97" s="21"/>
      <c r="PET97" s="21"/>
      <c r="PEU97" s="21"/>
      <c r="PEV97" s="21"/>
      <c r="PEW97" s="21"/>
      <c r="PEX97" s="21"/>
      <c r="PEY97" s="21"/>
      <c r="PEZ97" s="21"/>
      <c r="PFA97" s="21"/>
      <c r="PFB97" s="21"/>
      <c r="PFC97" s="21"/>
      <c r="PFD97" s="21"/>
      <c r="PFE97" s="21"/>
      <c r="PFF97" s="21"/>
      <c r="PFG97" s="21"/>
      <c r="PFH97" s="21"/>
      <c r="PFI97" s="21"/>
      <c r="PFJ97" s="21"/>
      <c r="PFK97" s="21"/>
      <c r="PFL97" s="21"/>
      <c r="PFM97" s="21"/>
      <c r="PFN97" s="21"/>
      <c r="PFO97" s="21"/>
      <c r="PFP97" s="21"/>
      <c r="PFQ97" s="21"/>
      <c r="PFR97" s="21"/>
      <c r="PFS97" s="21"/>
      <c r="PFT97" s="21"/>
      <c r="PFU97" s="21"/>
      <c r="PFV97" s="21"/>
      <c r="PFW97" s="21"/>
      <c r="PFX97" s="21"/>
      <c r="PFY97" s="21"/>
      <c r="PFZ97" s="21"/>
      <c r="PGA97" s="21"/>
      <c r="PGB97" s="21"/>
      <c r="PGC97" s="21"/>
      <c r="PGD97" s="21"/>
      <c r="PGE97" s="21"/>
      <c r="PGF97" s="21"/>
      <c r="PGG97" s="21"/>
      <c r="PGH97" s="21"/>
      <c r="PGI97" s="21"/>
      <c r="PGJ97" s="21"/>
      <c r="PGK97" s="21"/>
      <c r="PGL97" s="21"/>
      <c r="PGM97" s="21"/>
      <c r="PGN97" s="21"/>
      <c r="PGO97" s="21"/>
      <c r="PGP97" s="21"/>
      <c r="PGQ97" s="21"/>
      <c r="PGR97" s="21"/>
      <c r="PGS97" s="21"/>
      <c r="PGT97" s="21"/>
      <c r="PGU97" s="21"/>
      <c r="PGV97" s="21"/>
      <c r="PGW97" s="21"/>
      <c r="PGX97" s="21"/>
      <c r="PGY97" s="21"/>
      <c r="PGZ97" s="21"/>
      <c r="PHA97" s="21"/>
      <c r="PHB97" s="21"/>
      <c r="PHC97" s="21"/>
      <c r="PHD97" s="21"/>
      <c r="PHE97" s="21"/>
      <c r="PHF97" s="21"/>
      <c r="PHG97" s="21"/>
      <c r="PHH97" s="21"/>
      <c r="PHI97" s="21"/>
      <c r="PHJ97" s="21"/>
      <c r="PHK97" s="21"/>
      <c r="PHL97" s="21"/>
      <c r="PHM97" s="21"/>
      <c r="PHN97" s="21"/>
      <c r="PHO97" s="21"/>
      <c r="PHP97" s="21"/>
      <c r="PHQ97" s="21"/>
      <c r="PHR97" s="21"/>
      <c r="PHS97" s="21"/>
      <c r="PHT97" s="21"/>
      <c r="PHU97" s="21"/>
      <c r="PHV97" s="21"/>
      <c r="PHW97" s="21"/>
      <c r="PHX97" s="21"/>
      <c r="PHY97" s="21"/>
      <c r="PHZ97" s="21"/>
      <c r="PIA97" s="21"/>
      <c r="PIB97" s="21"/>
      <c r="PIC97" s="21"/>
      <c r="PID97" s="21"/>
      <c r="PIE97" s="21"/>
      <c r="PIF97" s="21"/>
      <c r="PIG97" s="21"/>
      <c r="PIH97" s="21"/>
      <c r="PII97" s="21"/>
      <c r="PIJ97" s="21"/>
      <c r="PIK97" s="21"/>
      <c r="PIL97" s="21"/>
      <c r="PIM97" s="21"/>
      <c r="PIN97" s="21"/>
      <c r="PIO97" s="21"/>
      <c r="PIP97" s="21"/>
      <c r="PIQ97" s="21"/>
      <c r="PIR97" s="21"/>
      <c r="PIS97" s="21"/>
      <c r="PIT97" s="21"/>
      <c r="PIU97" s="21"/>
      <c r="PIV97" s="21"/>
      <c r="PIW97" s="21"/>
      <c r="PIX97" s="21"/>
      <c r="PIY97" s="21"/>
      <c r="PIZ97" s="21"/>
      <c r="PJA97" s="21"/>
      <c r="PJB97" s="21"/>
      <c r="PJC97" s="21"/>
      <c r="PJD97" s="21"/>
      <c r="PJE97" s="21"/>
      <c r="PJF97" s="21"/>
      <c r="PJG97" s="21"/>
      <c r="PJH97" s="21"/>
      <c r="PJI97" s="21"/>
      <c r="PJJ97" s="21"/>
      <c r="PJK97" s="21"/>
      <c r="PJL97" s="21"/>
      <c r="PJM97" s="21"/>
      <c r="PJN97" s="21"/>
      <c r="PJO97" s="21"/>
      <c r="PJP97" s="21"/>
      <c r="PJQ97" s="21"/>
      <c r="PJR97" s="21"/>
      <c r="PJS97" s="21"/>
      <c r="PJT97" s="21"/>
      <c r="PJU97" s="21"/>
      <c r="PJV97" s="21"/>
      <c r="PJW97" s="21"/>
      <c r="PJX97" s="21"/>
      <c r="PJY97" s="21"/>
      <c r="PJZ97" s="21"/>
      <c r="PKA97" s="21"/>
      <c r="PKB97" s="21"/>
      <c r="PKC97" s="21"/>
      <c r="PKD97" s="21"/>
      <c r="PKE97" s="21"/>
      <c r="PKF97" s="21"/>
      <c r="PKG97" s="21"/>
      <c r="PKH97" s="21"/>
      <c r="PKI97" s="21"/>
      <c r="PKJ97" s="21"/>
      <c r="PKK97" s="21"/>
      <c r="PKL97" s="21"/>
      <c r="PKM97" s="21"/>
      <c r="PKN97" s="21"/>
      <c r="PKO97" s="21"/>
      <c r="PKP97" s="21"/>
      <c r="PKQ97" s="21"/>
      <c r="PKR97" s="21"/>
      <c r="PKS97" s="21"/>
      <c r="PKT97" s="21"/>
      <c r="PKU97" s="21"/>
      <c r="PKV97" s="21"/>
      <c r="PKW97" s="21"/>
      <c r="PKX97" s="21"/>
      <c r="PKY97" s="21"/>
      <c r="PKZ97" s="21"/>
      <c r="PLA97" s="21"/>
      <c r="PLB97" s="21"/>
      <c r="PLC97" s="21"/>
      <c r="PLD97" s="21"/>
      <c r="PLE97" s="21"/>
      <c r="PLF97" s="21"/>
      <c r="PLG97" s="21"/>
      <c r="PLH97" s="21"/>
      <c r="PLI97" s="21"/>
      <c r="PLJ97" s="21"/>
      <c r="PLK97" s="21"/>
      <c r="PLL97" s="21"/>
      <c r="PLM97" s="21"/>
      <c r="PLN97" s="21"/>
      <c r="PLO97" s="21"/>
      <c r="PLP97" s="21"/>
      <c r="PLQ97" s="21"/>
      <c r="PLR97" s="21"/>
      <c r="PLS97" s="21"/>
      <c r="PLT97" s="21"/>
      <c r="PLU97" s="21"/>
      <c r="PLV97" s="21"/>
      <c r="PLW97" s="21"/>
      <c r="PLX97" s="21"/>
      <c r="PLY97" s="21"/>
      <c r="PLZ97" s="21"/>
      <c r="PMA97" s="21"/>
      <c r="PMB97" s="21"/>
      <c r="PMC97" s="21"/>
      <c r="PMD97" s="21"/>
      <c r="PME97" s="21"/>
      <c r="PMF97" s="21"/>
      <c r="PMG97" s="21"/>
      <c r="PMH97" s="21"/>
      <c r="PMI97" s="21"/>
      <c r="PMJ97" s="21"/>
      <c r="PMK97" s="21"/>
      <c r="PML97" s="21"/>
      <c r="PMM97" s="21"/>
      <c r="PMN97" s="21"/>
      <c r="PMO97" s="21"/>
      <c r="PMP97" s="21"/>
      <c r="PMQ97" s="21"/>
      <c r="PMR97" s="21"/>
      <c r="PMS97" s="21"/>
      <c r="PMT97" s="21"/>
      <c r="PMU97" s="21"/>
      <c r="PMV97" s="21"/>
      <c r="PMW97" s="21"/>
      <c r="PMX97" s="21"/>
      <c r="PMY97" s="21"/>
      <c r="PMZ97" s="21"/>
      <c r="PNA97" s="21"/>
      <c r="PNB97" s="21"/>
      <c r="PNC97" s="21"/>
      <c r="PND97" s="21"/>
      <c r="PNE97" s="21"/>
      <c r="PNF97" s="21"/>
      <c r="PNG97" s="21"/>
      <c r="PNH97" s="21"/>
      <c r="PNI97" s="21"/>
      <c r="PNJ97" s="21"/>
      <c r="PNK97" s="21"/>
      <c r="PNL97" s="21"/>
      <c r="PNM97" s="21"/>
      <c r="PNN97" s="21"/>
      <c r="PNO97" s="21"/>
      <c r="PNP97" s="21"/>
      <c r="PNQ97" s="21"/>
      <c r="PNR97" s="21"/>
      <c r="PNS97" s="21"/>
      <c r="PNT97" s="21"/>
      <c r="PNU97" s="21"/>
      <c r="PNV97" s="21"/>
      <c r="PNW97" s="21"/>
      <c r="PNX97" s="21"/>
      <c r="PNY97" s="21"/>
      <c r="PNZ97" s="21"/>
      <c r="POA97" s="21"/>
      <c r="POB97" s="21"/>
      <c r="POC97" s="21"/>
      <c r="POD97" s="21"/>
      <c r="POE97" s="21"/>
      <c r="POF97" s="21"/>
      <c r="POG97" s="21"/>
      <c r="POH97" s="21"/>
      <c r="POI97" s="21"/>
      <c r="POJ97" s="21"/>
      <c r="POK97" s="21"/>
      <c r="POL97" s="21"/>
      <c r="POM97" s="21"/>
      <c r="PON97" s="21"/>
      <c r="POO97" s="21"/>
      <c r="POP97" s="21"/>
      <c r="POQ97" s="21"/>
      <c r="POR97" s="21"/>
      <c r="POS97" s="21"/>
      <c r="POT97" s="21"/>
      <c r="POU97" s="21"/>
      <c r="POV97" s="21"/>
      <c r="POW97" s="21"/>
      <c r="POX97" s="21"/>
      <c r="POY97" s="21"/>
      <c r="POZ97" s="21"/>
      <c r="PPA97" s="21"/>
      <c r="PPB97" s="21"/>
      <c r="PPC97" s="21"/>
      <c r="PPD97" s="21"/>
      <c r="PPE97" s="21"/>
      <c r="PPF97" s="21"/>
      <c r="PPG97" s="21"/>
      <c r="PPH97" s="21"/>
      <c r="PPI97" s="21"/>
      <c r="PPJ97" s="21"/>
      <c r="PPK97" s="21"/>
      <c r="PPL97" s="21"/>
      <c r="PPM97" s="21"/>
      <c r="PPN97" s="21"/>
      <c r="PPO97" s="21"/>
      <c r="PPP97" s="21"/>
      <c r="PPQ97" s="21"/>
      <c r="PPR97" s="21"/>
      <c r="PPS97" s="21"/>
      <c r="PPT97" s="21"/>
      <c r="PPU97" s="21"/>
      <c r="PPV97" s="21"/>
      <c r="PPW97" s="21"/>
      <c r="PPX97" s="21"/>
      <c r="PPY97" s="21"/>
      <c r="PPZ97" s="21"/>
      <c r="PQA97" s="21"/>
      <c r="PQB97" s="21"/>
      <c r="PQC97" s="21"/>
      <c r="PQD97" s="21"/>
      <c r="PQE97" s="21"/>
      <c r="PQF97" s="21"/>
      <c r="PQG97" s="21"/>
      <c r="PQH97" s="21"/>
      <c r="PQI97" s="21"/>
      <c r="PQJ97" s="21"/>
      <c r="PQK97" s="21"/>
      <c r="PQL97" s="21"/>
      <c r="PQM97" s="21"/>
      <c r="PQN97" s="21"/>
      <c r="PQO97" s="21"/>
      <c r="PQP97" s="21"/>
      <c r="PQQ97" s="21"/>
      <c r="PQR97" s="21"/>
      <c r="PQS97" s="21"/>
      <c r="PQT97" s="21"/>
      <c r="PQU97" s="21"/>
      <c r="PQV97" s="21"/>
      <c r="PQW97" s="21"/>
      <c r="PQX97" s="21"/>
      <c r="PQY97" s="21"/>
      <c r="PQZ97" s="21"/>
      <c r="PRA97" s="21"/>
      <c r="PRB97" s="21"/>
      <c r="PRC97" s="21"/>
      <c r="PRD97" s="21"/>
      <c r="PRE97" s="21"/>
      <c r="PRF97" s="21"/>
      <c r="PRG97" s="21"/>
      <c r="PRH97" s="21"/>
      <c r="PRI97" s="21"/>
      <c r="PRJ97" s="21"/>
      <c r="PRK97" s="21"/>
      <c r="PRL97" s="21"/>
      <c r="PRM97" s="21"/>
      <c r="PRN97" s="21"/>
      <c r="PRO97" s="21"/>
      <c r="PRP97" s="21"/>
      <c r="PRQ97" s="21"/>
      <c r="PRR97" s="21"/>
      <c r="PRS97" s="21"/>
      <c r="PRT97" s="21"/>
      <c r="PRU97" s="21"/>
      <c r="PRV97" s="21"/>
      <c r="PRW97" s="21"/>
      <c r="PRX97" s="21"/>
      <c r="PRY97" s="21"/>
      <c r="PRZ97" s="21"/>
      <c r="PSA97" s="21"/>
      <c r="PSB97" s="21"/>
      <c r="PSC97" s="21"/>
      <c r="PSD97" s="21"/>
      <c r="PSE97" s="21"/>
      <c r="PSF97" s="21"/>
      <c r="PSG97" s="21"/>
      <c r="PSH97" s="21"/>
      <c r="PSI97" s="21"/>
      <c r="PSJ97" s="21"/>
      <c r="PSK97" s="21"/>
      <c r="PSL97" s="21"/>
      <c r="PSM97" s="21"/>
      <c r="PSN97" s="21"/>
      <c r="PSO97" s="21"/>
      <c r="PSP97" s="21"/>
      <c r="PSQ97" s="21"/>
      <c r="PSR97" s="21"/>
      <c r="PSS97" s="21"/>
      <c r="PST97" s="21"/>
      <c r="PSU97" s="21"/>
      <c r="PSV97" s="21"/>
      <c r="PSW97" s="21"/>
      <c r="PSX97" s="21"/>
      <c r="PSY97" s="21"/>
      <c r="PSZ97" s="21"/>
      <c r="PTA97" s="21"/>
      <c r="PTB97" s="21"/>
      <c r="PTC97" s="21"/>
      <c r="PTD97" s="21"/>
      <c r="PTE97" s="21"/>
      <c r="PTF97" s="21"/>
      <c r="PTG97" s="21"/>
      <c r="PTH97" s="21"/>
      <c r="PTI97" s="21"/>
      <c r="PTJ97" s="21"/>
      <c r="PTK97" s="21"/>
      <c r="PTL97" s="21"/>
      <c r="PTM97" s="21"/>
      <c r="PTN97" s="21"/>
      <c r="PTO97" s="21"/>
      <c r="PTP97" s="21"/>
      <c r="PTQ97" s="21"/>
      <c r="PTR97" s="21"/>
      <c r="PTS97" s="21"/>
      <c r="PTT97" s="21"/>
      <c r="PTU97" s="21"/>
      <c r="PTV97" s="21"/>
      <c r="PTW97" s="21"/>
      <c r="PTX97" s="21"/>
      <c r="PTY97" s="21"/>
      <c r="PTZ97" s="21"/>
      <c r="PUA97" s="21"/>
      <c r="PUB97" s="21"/>
      <c r="PUC97" s="21"/>
      <c r="PUD97" s="21"/>
      <c r="PUE97" s="21"/>
      <c r="PUF97" s="21"/>
      <c r="PUG97" s="21"/>
      <c r="PUH97" s="21"/>
      <c r="PUI97" s="21"/>
      <c r="PUJ97" s="21"/>
      <c r="PUK97" s="21"/>
      <c r="PUL97" s="21"/>
      <c r="PUM97" s="21"/>
      <c r="PUN97" s="21"/>
      <c r="PUO97" s="21"/>
      <c r="PUP97" s="21"/>
      <c r="PUQ97" s="21"/>
      <c r="PUR97" s="21"/>
      <c r="PUS97" s="21"/>
      <c r="PUT97" s="21"/>
      <c r="PUU97" s="21"/>
      <c r="PUV97" s="21"/>
      <c r="PUW97" s="21"/>
      <c r="PUX97" s="21"/>
      <c r="PUY97" s="21"/>
      <c r="PUZ97" s="21"/>
      <c r="PVA97" s="21"/>
      <c r="PVB97" s="21"/>
      <c r="PVC97" s="21"/>
      <c r="PVD97" s="21"/>
      <c r="PVE97" s="21"/>
      <c r="PVF97" s="21"/>
      <c r="PVG97" s="21"/>
      <c r="PVH97" s="21"/>
      <c r="PVI97" s="21"/>
      <c r="PVJ97" s="21"/>
      <c r="PVK97" s="21"/>
      <c r="PVL97" s="21"/>
      <c r="PVM97" s="21"/>
      <c r="PVN97" s="21"/>
      <c r="PVO97" s="21"/>
      <c r="PVP97" s="21"/>
      <c r="PVQ97" s="21"/>
      <c r="PVR97" s="21"/>
      <c r="PVS97" s="21"/>
      <c r="PVT97" s="21"/>
      <c r="PVU97" s="21"/>
      <c r="PVV97" s="21"/>
      <c r="PVW97" s="21"/>
      <c r="PVX97" s="21"/>
      <c r="PVY97" s="21"/>
      <c r="PVZ97" s="21"/>
      <c r="PWA97" s="21"/>
      <c r="PWB97" s="21"/>
      <c r="PWC97" s="21"/>
      <c r="PWD97" s="21"/>
      <c r="PWE97" s="21"/>
      <c r="PWF97" s="21"/>
      <c r="PWG97" s="21"/>
      <c r="PWH97" s="21"/>
      <c r="PWI97" s="21"/>
      <c r="PWJ97" s="21"/>
      <c r="PWK97" s="21"/>
      <c r="PWL97" s="21"/>
      <c r="PWM97" s="21"/>
      <c r="PWN97" s="21"/>
      <c r="PWO97" s="21"/>
      <c r="PWP97" s="21"/>
      <c r="PWQ97" s="21"/>
      <c r="PWR97" s="21"/>
      <c r="PWS97" s="21"/>
      <c r="PWT97" s="21"/>
      <c r="PWU97" s="21"/>
      <c r="PWV97" s="21"/>
      <c r="PWW97" s="21"/>
      <c r="PWX97" s="21"/>
      <c r="PWY97" s="21"/>
      <c r="PWZ97" s="21"/>
      <c r="PXA97" s="21"/>
      <c r="PXB97" s="21"/>
      <c r="PXC97" s="21"/>
      <c r="PXD97" s="21"/>
      <c r="PXE97" s="21"/>
      <c r="PXF97" s="21"/>
      <c r="PXG97" s="21"/>
      <c r="PXH97" s="21"/>
      <c r="PXI97" s="21"/>
      <c r="PXJ97" s="21"/>
      <c r="PXK97" s="21"/>
      <c r="PXL97" s="21"/>
      <c r="PXM97" s="21"/>
      <c r="PXN97" s="21"/>
      <c r="PXO97" s="21"/>
      <c r="PXP97" s="21"/>
      <c r="PXQ97" s="21"/>
      <c r="PXR97" s="21"/>
      <c r="PXS97" s="21"/>
      <c r="PXT97" s="21"/>
      <c r="PXU97" s="21"/>
      <c r="PXV97" s="21"/>
      <c r="PXW97" s="21"/>
      <c r="PXX97" s="21"/>
      <c r="PXY97" s="21"/>
      <c r="PXZ97" s="21"/>
      <c r="PYA97" s="21"/>
      <c r="PYB97" s="21"/>
      <c r="PYC97" s="21"/>
      <c r="PYD97" s="21"/>
      <c r="PYE97" s="21"/>
      <c r="PYF97" s="21"/>
      <c r="PYG97" s="21"/>
      <c r="PYH97" s="21"/>
      <c r="PYI97" s="21"/>
      <c r="PYJ97" s="21"/>
      <c r="PYK97" s="21"/>
      <c r="PYL97" s="21"/>
      <c r="PYM97" s="21"/>
      <c r="PYN97" s="21"/>
      <c r="PYO97" s="21"/>
      <c r="PYP97" s="21"/>
      <c r="PYQ97" s="21"/>
      <c r="PYR97" s="21"/>
      <c r="PYS97" s="21"/>
      <c r="PYT97" s="21"/>
      <c r="PYU97" s="21"/>
      <c r="PYV97" s="21"/>
      <c r="PYW97" s="21"/>
      <c r="PYX97" s="21"/>
      <c r="PYY97" s="21"/>
      <c r="PYZ97" s="21"/>
      <c r="PZA97" s="21"/>
      <c r="PZB97" s="21"/>
      <c r="PZC97" s="21"/>
      <c r="PZD97" s="21"/>
      <c r="PZE97" s="21"/>
      <c r="PZF97" s="21"/>
      <c r="PZG97" s="21"/>
      <c r="PZH97" s="21"/>
      <c r="PZI97" s="21"/>
      <c r="PZJ97" s="21"/>
      <c r="PZK97" s="21"/>
      <c r="PZL97" s="21"/>
      <c r="PZM97" s="21"/>
      <c r="PZN97" s="21"/>
      <c r="PZO97" s="21"/>
      <c r="PZP97" s="21"/>
      <c r="PZQ97" s="21"/>
      <c r="PZR97" s="21"/>
      <c r="PZS97" s="21"/>
      <c r="PZT97" s="21"/>
      <c r="PZU97" s="21"/>
      <c r="PZV97" s="21"/>
      <c r="PZW97" s="21"/>
      <c r="PZX97" s="21"/>
      <c r="PZY97" s="21"/>
      <c r="PZZ97" s="21"/>
      <c r="QAA97" s="21"/>
      <c r="QAB97" s="21"/>
      <c r="QAC97" s="21"/>
      <c r="QAD97" s="21"/>
      <c r="QAE97" s="21"/>
      <c r="QAF97" s="21"/>
      <c r="QAG97" s="21"/>
      <c r="QAH97" s="21"/>
      <c r="QAI97" s="21"/>
      <c r="QAJ97" s="21"/>
      <c r="QAK97" s="21"/>
      <c r="QAL97" s="21"/>
      <c r="QAM97" s="21"/>
      <c r="QAN97" s="21"/>
      <c r="QAO97" s="21"/>
      <c r="QAP97" s="21"/>
      <c r="QAQ97" s="21"/>
      <c r="QAR97" s="21"/>
      <c r="QAS97" s="21"/>
      <c r="QAT97" s="21"/>
      <c r="QAU97" s="21"/>
      <c r="QAV97" s="21"/>
      <c r="QAW97" s="21"/>
      <c r="QAX97" s="21"/>
      <c r="QAY97" s="21"/>
      <c r="QAZ97" s="21"/>
      <c r="QBA97" s="21"/>
      <c r="QBB97" s="21"/>
      <c r="QBC97" s="21"/>
      <c r="QBD97" s="21"/>
      <c r="QBE97" s="21"/>
      <c r="QBF97" s="21"/>
      <c r="QBG97" s="21"/>
      <c r="QBH97" s="21"/>
      <c r="QBI97" s="21"/>
      <c r="QBJ97" s="21"/>
      <c r="QBK97" s="21"/>
      <c r="QBL97" s="21"/>
      <c r="QBM97" s="21"/>
      <c r="QBN97" s="21"/>
      <c r="QBO97" s="21"/>
      <c r="QBP97" s="21"/>
      <c r="QBQ97" s="21"/>
      <c r="QBR97" s="21"/>
      <c r="QBS97" s="21"/>
      <c r="QBT97" s="21"/>
      <c r="QBU97" s="21"/>
      <c r="QBV97" s="21"/>
      <c r="QBW97" s="21"/>
      <c r="QBX97" s="21"/>
      <c r="QBY97" s="21"/>
      <c r="QBZ97" s="21"/>
      <c r="QCA97" s="21"/>
      <c r="QCB97" s="21"/>
      <c r="QCC97" s="21"/>
      <c r="QCD97" s="21"/>
      <c r="QCE97" s="21"/>
      <c r="QCF97" s="21"/>
      <c r="QCG97" s="21"/>
      <c r="QCH97" s="21"/>
      <c r="QCI97" s="21"/>
      <c r="QCJ97" s="21"/>
      <c r="QCK97" s="21"/>
      <c r="QCL97" s="21"/>
      <c r="QCM97" s="21"/>
      <c r="QCN97" s="21"/>
      <c r="QCO97" s="21"/>
      <c r="QCP97" s="21"/>
      <c r="QCQ97" s="21"/>
      <c r="QCR97" s="21"/>
      <c r="QCS97" s="21"/>
      <c r="QCT97" s="21"/>
      <c r="QCU97" s="21"/>
      <c r="QCV97" s="21"/>
      <c r="QCW97" s="21"/>
      <c r="QCX97" s="21"/>
      <c r="QCY97" s="21"/>
      <c r="QCZ97" s="21"/>
      <c r="QDA97" s="21"/>
      <c r="QDB97" s="21"/>
      <c r="QDC97" s="21"/>
      <c r="QDD97" s="21"/>
      <c r="QDE97" s="21"/>
      <c r="QDF97" s="21"/>
      <c r="QDG97" s="21"/>
      <c r="QDH97" s="21"/>
      <c r="QDI97" s="21"/>
      <c r="QDJ97" s="21"/>
      <c r="QDK97" s="21"/>
      <c r="QDL97" s="21"/>
      <c r="QDM97" s="21"/>
      <c r="QDN97" s="21"/>
      <c r="QDO97" s="21"/>
      <c r="QDP97" s="21"/>
      <c r="QDQ97" s="21"/>
      <c r="QDR97" s="21"/>
      <c r="QDS97" s="21"/>
      <c r="QDT97" s="21"/>
      <c r="QDU97" s="21"/>
      <c r="QDV97" s="21"/>
      <c r="QDW97" s="21"/>
      <c r="QDX97" s="21"/>
      <c r="QDY97" s="21"/>
      <c r="QDZ97" s="21"/>
      <c r="QEA97" s="21"/>
      <c r="QEB97" s="21"/>
      <c r="QEC97" s="21"/>
      <c r="QED97" s="21"/>
      <c r="QEE97" s="21"/>
      <c r="QEF97" s="21"/>
      <c r="QEG97" s="21"/>
      <c r="QEH97" s="21"/>
      <c r="QEI97" s="21"/>
      <c r="QEJ97" s="21"/>
      <c r="QEK97" s="21"/>
      <c r="QEL97" s="21"/>
      <c r="QEM97" s="21"/>
      <c r="QEN97" s="21"/>
      <c r="QEO97" s="21"/>
      <c r="QEP97" s="21"/>
      <c r="QEQ97" s="21"/>
      <c r="QER97" s="21"/>
      <c r="QES97" s="21"/>
      <c r="QET97" s="21"/>
      <c r="QEU97" s="21"/>
      <c r="QEV97" s="21"/>
      <c r="QEW97" s="21"/>
      <c r="QEX97" s="21"/>
      <c r="QEY97" s="21"/>
      <c r="QEZ97" s="21"/>
      <c r="QFA97" s="21"/>
      <c r="QFB97" s="21"/>
      <c r="QFC97" s="21"/>
      <c r="QFD97" s="21"/>
      <c r="QFE97" s="21"/>
      <c r="QFF97" s="21"/>
      <c r="QFG97" s="21"/>
      <c r="QFH97" s="21"/>
      <c r="QFI97" s="21"/>
      <c r="QFJ97" s="21"/>
      <c r="QFK97" s="21"/>
      <c r="QFL97" s="21"/>
      <c r="QFM97" s="21"/>
      <c r="QFN97" s="21"/>
      <c r="QFO97" s="21"/>
      <c r="QFP97" s="21"/>
      <c r="QFQ97" s="21"/>
      <c r="QFR97" s="21"/>
      <c r="QFS97" s="21"/>
      <c r="QFT97" s="21"/>
      <c r="QFU97" s="21"/>
      <c r="QFV97" s="21"/>
      <c r="QFW97" s="21"/>
      <c r="QFX97" s="21"/>
      <c r="QFY97" s="21"/>
      <c r="QFZ97" s="21"/>
      <c r="QGA97" s="21"/>
      <c r="QGB97" s="21"/>
      <c r="QGC97" s="21"/>
      <c r="QGD97" s="21"/>
      <c r="QGE97" s="21"/>
      <c r="QGF97" s="21"/>
      <c r="QGG97" s="21"/>
      <c r="QGH97" s="21"/>
      <c r="QGI97" s="21"/>
      <c r="QGJ97" s="21"/>
      <c r="QGK97" s="21"/>
      <c r="QGL97" s="21"/>
      <c r="QGM97" s="21"/>
      <c r="QGN97" s="21"/>
      <c r="QGO97" s="21"/>
      <c r="QGP97" s="21"/>
      <c r="QGQ97" s="21"/>
      <c r="QGR97" s="21"/>
      <c r="QGS97" s="21"/>
      <c r="QGT97" s="21"/>
      <c r="QGU97" s="21"/>
      <c r="QGV97" s="21"/>
      <c r="QGW97" s="21"/>
      <c r="QGX97" s="21"/>
      <c r="QGY97" s="21"/>
      <c r="QGZ97" s="21"/>
      <c r="QHA97" s="21"/>
      <c r="QHB97" s="21"/>
      <c r="QHC97" s="21"/>
      <c r="QHD97" s="21"/>
      <c r="QHE97" s="21"/>
      <c r="QHF97" s="21"/>
      <c r="QHG97" s="21"/>
      <c r="QHH97" s="21"/>
      <c r="QHI97" s="21"/>
      <c r="QHJ97" s="21"/>
      <c r="QHK97" s="21"/>
      <c r="QHL97" s="21"/>
      <c r="QHM97" s="21"/>
      <c r="QHN97" s="21"/>
      <c r="QHO97" s="21"/>
      <c r="QHP97" s="21"/>
      <c r="QHQ97" s="21"/>
      <c r="QHR97" s="21"/>
      <c r="QHS97" s="21"/>
      <c r="QHT97" s="21"/>
      <c r="QHU97" s="21"/>
      <c r="QHV97" s="21"/>
      <c r="QHW97" s="21"/>
      <c r="QHX97" s="21"/>
      <c r="QHY97" s="21"/>
      <c r="QHZ97" s="21"/>
      <c r="QIA97" s="21"/>
      <c r="QIB97" s="21"/>
      <c r="QIC97" s="21"/>
      <c r="QID97" s="21"/>
      <c r="QIE97" s="21"/>
      <c r="QIF97" s="21"/>
      <c r="QIG97" s="21"/>
      <c r="QIH97" s="21"/>
      <c r="QII97" s="21"/>
      <c r="QIJ97" s="21"/>
      <c r="QIK97" s="21"/>
      <c r="QIL97" s="21"/>
      <c r="QIM97" s="21"/>
      <c r="QIN97" s="21"/>
      <c r="QIO97" s="21"/>
      <c r="QIP97" s="21"/>
      <c r="QIQ97" s="21"/>
      <c r="QIR97" s="21"/>
      <c r="QIS97" s="21"/>
      <c r="QIT97" s="21"/>
      <c r="QIU97" s="21"/>
      <c r="QIV97" s="21"/>
      <c r="QIW97" s="21"/>
      <c r="QIX97" s="21"/>
      <c r="QIY97" s="21"/>
      <c r="QIZ97" s="21"/>
      <c r="QJA97" s="21"/>
      <c r="QJB97" s="21"/>
      <c r="QJC97" s="21"/>
      <c r="QJD97" s="21"/>
      <c r="QJE97" s="21"/>
      <c r="QJF97" s="21"/>
      <c r="QJG97" s="21"/>
      <c r="QJH97" s="21"/>
      <c r="QJI97" s="21"/>
      <c r="QJJ97" s="21"/>
      <c r="QJK97" s="21"/>
      <c r="QJL97" s="21"/>
      <c r="QJM97" s="21"/>
      <c r="QJN97" s="21"/>
      <c r="QJO97" s="21"/>
      <c r="QJP97" s="21"/>
      <c r="QJQ97" s="21"/>
      <c r="QJR97" s="21"/>
      <c r="QJS97" s="21"/>
      <c r="QJT97" s="21"/>
      <c r="QJU97" s="21"/>
      <c r="QJV97" s="21"/>
      <c r="QJW97" s="21"/>
      <c r="QJX97" s="21"/>
      <c r="QJY97" s="21"/>
      <c r="QJZ97" s="21"/>
      <c r="QKA97" s="21"/>
      <c r="QKB97" s="21"/>
      <c r="QKC97" s="21"/>
      <c r="QKD97" s="21"/>
      <c r="QKE97" s="21"/>
      <c r="QKF97" s="21"/>
      <c r="QKG97" s="21"/>
      <c r="QKH97" s="21"/>
      <c r="QKI97" s="21"/>
      <c r="QKJ97" s="21"/>
      <c r="QKK97" s="21"/>
      <c r="QKL97" s="21"/>
      <c r="QKM97" s="21"/>
      <c r="QKN97" s="21"/>
      <c r="QKO97" s="21"/>
      <c r="QKP97" s="21"/>
      <c r="QKQ97" s="21"/>
      <c r="QKR97" s="21"/>
      <c r="QKS97" s="21"/>
      <c r="QKT97" s="21"/>
      <c r="QKU97" s="21"/>
      <c r="QKV97" s="21"/>
      <c r="QKW97" s="21"/>
      <c r="QKX97" s="21"/>
      <c r="QKY97" s="21"/>
      <c r="QKZ97" s="21"/>
      <c r="QLA97" s="21"/>
      <c r="QLB97" s="21"/>
      <c r="QLC97" s="21"/>
      <c r="QLD97" s="21"/>
      <c r="QLE97" s="21"/>
      <c r="QLF97" s="21"/>
      <c r="QLG97" s="21"/>
      <c r="QLH97" s="21"/>
      <c r="QLI97" s="21"/>
      <c r="QLJ97" s="21"/>
      <c r="QLK97" s="21"/>
      <c r="QLL97" s="21"/>
      <c r="QLM97" s="21"/>
      <c r="QLN97" s="21"/>
      <c r="QLO97" s="21"/>
      <c r="QLP97" s="21"/>
      <c r="QLQ97" s="21"/>
      <c r="QLR97" s="21"/>
      <c r="QLS97" s="21"/>
      <c r="QLT97" s="21"/>
      <c r="QLU97" s="21"/>
      <c r="QLV97" s="21"/>
      <c r="QLW97" s="21"/>
      <c r="QLX97" s="21"/>
      <c r="QLY97" s="21"/>
      <c r="QLZ97" s="21"/>
      <c r="QMA97" s="21"/>
      <c r="QMB97" s="21"/>
      <c r="QMC97" s="21"/>
      <c r="QMD97" s="21"/>
      <c r="QME97" s="21"/>
      <c r="QMF97" s="21"/>
      <c r="QMG97" s="21"/>
      <c r="QMH97" s="21"/>
      <c r="QMI97" s="21"/>
      <c r="QMJ97" s="21"/>
      <c r="QMK97" s="21"/>
      <c r="QML97" s="21"/>
      <c r="QMM97" s="21"/>
      <c r="QMN97" s="21"/>
      <c r="QMO97" s="21"/>
      <c r="QMP97" s="21"/>
      <c r="QMQ97" s="21"/>
      <c r="QMR97" s="21"/>
      <c r="QMS97" s="21"/>
      <c r="QMT97" s="21"/>
      <c r="QMU97" s="21"/>
      <c r="QMV97" s="21"/>
      <c r="QMW97" s="21"/>
      <c r="QMX97" s="21"/>
      <c r="QMY97" s="21"/>
      <c r="QMZ97" s="21"/>
      <c r="QNA97" s="21"/>
      <c r="QNB97" s="21"/>
      <c r="QNC97" s="21"/>
      <c r="QND97" s="21"/>
      <c r="QNE97" s="21"/>
      <c r="QNF97" s="21"/>
      <c r="QNG97" s="21"/>
      <c r="QNH97" s="21"/>
      <c r="QNI97" s="21"/>
      <c r="QNJ97" s="21"/>
      <c r="QNK97" s="21"/>
      <c r="QNL97" s="21"/>
      <c r="QNM97" s="21"/>
      <c r="QNN97" s="21"/>
      <c r="QNO97" s="21"/>
      <c r="QNP97" s="21"/>
      <c r="QNQ97" s="21"/>
      <c r="QNR97" s="21"/>
      <c r="QNS97" s="21"/>
      <c r="QNT97" s="21"/>
      <c r="QNU97" s="21"/>
      <c r="QNV97" s="21"/>
      <c r="QNW97" s="21"/>
      <c r="QNX97" s="21"/>
      <c r="QNY97" s="21"/>
      <c r="QNZ97" s="21"/>
      <c r="QOA97" s="21"/>
      <c r="QOB97" s="21"/>
      <c r="QOC97" s="21"/>
      <c r="QOD97" s="21"/>
      <c r="QOE97" s="21"/>
      <c r="QOF97" s="21"/>
      <c r="QOG97" s="21"/>
      <c r="QOH97" s="21"/>
      <c r="QOI97" s="21"/>
      <c r="QOJ97" s="21"/>
      <c r="QOK97" s="21"/>
      <c r="QOL97" s="21"/>
      <c r="QOM97" s="21"/>
      <c r="QON97" s="21"/>
      <c r="QOO97" s="21"/>
      <c r="QOP97" s="21"/>
      <c r="QOQ97" s="21"/>
      <c r="QOR97" s="21"/>
      <c r="QOS97" s="21"/>
      <c r="QOT97" s="21"/>
      <c r="QOU97" s="21"/>
      <c r="QOV97" s="21"/>
      <c r="QOW97" s="21"/>
      <c r="QOX97" s="21"/>
      <c r="QOY97" s="21"/>
      <c r="QOZ97" s="21"/>
      <c r="QPA97" s="21"/>
      <c r="QPB97" s="21"/>
      <c r="QPC97" s="21"/>
      <c r="QPD97" s="21"/>
      <c r="QPE97" s="21"/>
      <c r="QPF97" s="21"/>
      <c r="QPG97" s="21"/>
      <c r="QPH97" s="21"/>
      <c r="QPI97" s="21"/>
      <c r="QPJ97" s="21"/>
      <c r="QPK97" s="21"/>
      <c r="QPL97" s="21"/>
      <c r="QPM97" s="21"/>
      <c r="QPN97" s="21"/>
      <c r="QPO97" s="21"/>
      <c r="QPP97" s="21"/>
      <c r="QPQ97" s="21"/>
      <c r="QPR97" s="21"/>
      <c r="QPS97" s="21"/>
      <c r="QPT97" s="21"/>
      <c r="QPU97" s="21"/>
      <c r="QPV97" s="21"/>
      <c r="QPW97" s="21"/>
      <c r="QPX97" s="21"/>
      <c r="QPY97" s="21"/>
      <c r="QPZ97" s="21"/>
      <c r="QQA97" s="21"/>
      <c r="QQB97" s="21"/>
      <c r="QQC97" s="21"/>
      <c r="QQD97" s="21"/>
      <c r="QQE97" s="21"/>
      <c r="QQF97" s="21"/>
      <c r="QQG97" s="21"/>
      <c r="QQH97" s="21"/>
      <c r="QQI97" s="21"/>
      <c r="QQJ97" s="21"/>
      <c r="QQK97" s="21"/>
      <c r="QQL97" s="21"/>
      <c r="QQM97" s="21"/>
      <c r="QQN97" s="21"/>
      <c r="QQO97" s="21"/>
      <c r="QQP97" s="21"/>
      <c r="QQQ97" s="21"/>
      <c r="QQR97" s="21"/>
      <c r="QQS97" s="21"/>
      <c r="QQT97" s="21"/>
      <c r="QQU97" s="21"/>
      <c r="QQV97" s="21"/>
      <c r="QQW97" s="21"/>
      <c r="QQX97" s="21"/>
      <c r="QQY97" s="21"/>
      <c r="QQZ97" s="21"/>
      <c r="QRA97" s="21"/>
      <c r="QRB97" s="21"/>
      <c r="QRC97" s="21"/>
      <c r="QRD97" s="21"/>
      <c r="QRE97" s="21"/>
      <c r="QRF97" s="21"/>
      <c r="QRG97" s="21"/>
      <c r="QRH97" s="21"/>
      <c r="QRI97" s="21"/>
      <c r="QRJ97" s="21"/>
      <c r="QRK97" s="21"/>
      <c r="QRL97" s="21"/>
      <c r="QRM97" s="21"/>
      <c r="QRN97" s="21"/>
      <c r="QRO97" s="21"/>
      <c r="QRP97" s="21"/>
      <c r="QRQ97" s="21"/>
      <c r="QRR97" s="21"/>
      <c r="QRS97" s="21"/>
      <c r="QRT97" s="21"/>
      <c r="QRU97" s="21"/>
      <c r="QRV97" s="21"/>
      <c r="QRW97" s="21"/>
      <c r="QRX97" s="21"/>
      <c r="QRY97" s="21"/>
      <c r="QRZ97" s="21"/>
      <c r="QSA97" s="21"/>
      <c r="QSB97" s="21"/>
      <c r="QSC97" s="21"/>
      <c r="QSD97" s="21"/>
      <c r="QSE97" s="21"/>
      <c r="QSF97" s="21"/>
      <c r="QSG97" s="21"/>
      <c r="QSH97" s="21"/>
      <c r="QSI97" s="21"/>
      <c r="QSJ97" s="21"/>
      <c r="QSK97" s="21"/>
      <c r="QSL97" s="21"/>
      <c r="QSM97" s="21"/>
      <c r="QSN97" s="21"/>
      <c r="QSO97" s="21"/>
      <c r="QSP97" s="21"/>
      <c r="QSQ97" s="21"/>
      <c r="QSR97" s="21"/>
      <c r="QSS97" s="21"/>
      <c r="QST97" s="21"/>
      <c r="QSU97" s="21"/>
      <c r="QSV97" s="21"/>
      <c r="QSW97" s="21"/>
      <c r="QSX97" s="21"/>
      <c r="QSY97" s="21"/>
      <c r="QSZ97" s="21"/>
      <c r="QTA97" s="21"/>
      <c r="QTB97" s="21"/>
      <c r="QTC97" s="21"/>
      <c r="QTD97" s="21"/>
      <c r="QTE97" s="21"/>
      <c r="QTF97" s="21"/>
      <c r="QTG97" s="21"/>
      <c r="QTH97" s="21"/>
      <c r="QTI97" s="21"/>
      <c r="QTJ97" s="21"/>
      <c r="QTK97" s="21"/>
      <c r="QTL97" s="21"/>
      <c r="QTM97" s="21"/>
      <c r="QTN97" s="21"/>
      <c r="QTO97" s="21"/>
      <c r="QTP97" s="21"/>
      <c r="QTQ97" s="21"/>
      <c r="QTR97" s="21"/>
      <c r="QTS97" s="21"/>
      <c r="QTT97" s="21"/>
      <c r="QTU97" s="21"/>
      <c r="QTV97" s="21"/>
      <c r="QTW97" s="21"/>
      <c r="QTX97" s="21"/>
      <c r="QTY97" s="21"/>
      <c r="QTZ97" s="21"/>
      <c r="QUA97" s="21"/>
      <c r="QUB97" s="21"/>
      <c r="QUC97" s="21"/>
      <c r="QUD97" s="21"/>
      <c r="QUE97" s="21"/>
      <c r="QUF97" s="21"/>
      <c r="QUG97" s="21"/>
      <c r="QUH97" s="21"/>
      <c r="QUI97" s="21"/>
      <c r="QUJ97" s="21"/>
      <c r="QUK97" s="21"/>
      <c r="QUL97" s="21"/>
      <c r="QUM97" s="21"/>
      <c r="QUN97" s="21"/>
      <c r="QUO97" s="21"/>
      <c r="QUP97" s="21"/>
      <c r="QUQ97" s="21"/>
      <c r="QUR97" s="21"/>
      <c r="QUS97" s="21"/>
      <c r="QUT97" s="21"/>
      <c r="QUU97" s="21"/>
      <c r="QUV97" s="21"/>
      <c r="QUW97" s="21"/>
      <c r="QUX97" s="21"/>
      <c r="QUY97" s="21"/>
      <c r="QUZ97" s="21"/>
      <c r="QVA97" s="21"/>
      <c r="QVB97" s="21"/>
      <c r="QVC97" s="21"/>
      <c r="QVD97" s="21"/>
      <c r="QVE97" s="21"/>
      <c r="QVF97" s="21"/>
      <c r="QVG97" s="21"/>
      <c r="QVH97" s="21"/>
      <c r="QVI97" s="21"/>
      <c r="QVJ97" s="21"/>
      <c r="QVK97" s="21"/>
      <c r="QVL97" s="21"/>
      <c r="QVM97" s="21"/>
      <c r="QVN97" s="21"/>
      <c r="QVO97" s="21"/>
      <c r="QVP97" s="21"/>
      <c r="QVQ97" s="21"/>
      <c r="QVR97" s="21"/>
      <c r="QVS97" s="21"/>
      <c r="QVT97" s="21"/>
      <c r="QVU97" s="21"/>
      <c r="QVV97" s="21"/>
      <c r="QVW97" s="21"/>
      <c r="QVX97" s="21"/>
      <c r="QVY97" s="21"/>
      <c r="QVZ97" s="21"/>
      <c r="QWA97" s="21"/>
      <c r="QWB97" s="21"/>
      <c r="QWC97" s="21"/>
      <c r="QWD97" s="21"/>
      <c r="QWE97" s="21"/>
      <c r="QWF97" s="21"/>
      <c r="QWG97" s="21"/>
      <c r="QWH97" s="21"/>
      <c r="QWI97" s="21"/>
      <c r="QWJ97" s="21"/>
      <c r="QWK97" s="21"/>
      <c r="QWL97" s="21"/>
      <c r="QWM97" s="21"/>
      <c r="QWN97" s="21"/>
      <c r="QWO97" s="21"/>
      <c r="QWP97" s="21"/>
      <c r="QWQ97" s="21"/>
      <c r="QWR97" s="21"/>
      <c r="QWS97" s="21"/>
      <c r="QWT97" s="21"/>
      <c r="QWU97" s="21"/>
      <c r="QWV97" s="21"/>
      <c r="QWW97" s="21"/>
      <c r="QWX97" s="21"/>
      <c r="QWY97" s="21"/>
      <c r="QWZ97" s="21"/>
      <c r="QXA97" s="21"/>
      <c r="QXB97" s="21"/>
      <c r="QXC97" s="21"/>
      <c r="QXD97" s="21"/>
      <c r="QXE97" s="21"/>
      <c r="QXF97" s="21"/>
      <c r="QXG97" s="21"/>
      <c r="QXH97" s="21"/>
      <c r="QXI97" s="21"/>
      <c r="QXJ97" s="21"/>
      <c r="QXK97" s="21"/>
      <c r="QXL97" s="21"/>
      <c r="QXM97" s="21"/>
      <c r="QXN97" s="21"/>
      <c r="QXO97" s="21"/>
      <c r="QXP97" s="21"/>
      <c r="QXQ97" s="21"/>
      <c r="QXR97" s="21"/>
      <c r="QXS97" s="21"/>
      <c r="QXT97" s="21"/>
      <c r="QXU97" s="21"/>
      <c r="QXV97" s="21"/>
      <c r="QXW97" s="21"/>
      <c r="QXX97" s="21"/>
      <c r="QXY97" s="21"/>
      <c r="QXZ97" s="21"/>
      <c r="QYA97" s="21"/>
      <c r="QYB97" s="21"/>
      <c r="QYC97" s="21"/>
      <c r="QYD97" s="21"/>
      <c r="QYE97" s="21"/>
      <c r="QYF97" s="21"/>
      <c r="QYG97" s="21"/>
      <c r="QYH97" s="21"/>
      <c r="QYI97" s="21"/>
      <c r="QYJ97" s="21"/>
      <c r="QYK97" s="21"/>
      <c r="QYL97" s="21"/>
      <c r="QYM97" s="21"/>
      <c r="QYN97" s="21"/>
      <c r="QYO97" s="21"/>
      <c r="QYP97" s="21"/>
      <c r="QYQ97" s="21"/>
      <c r="QYR97" s="21"/>
      <c r="QYS97" s="21"/>
      <c r="QYT97" s="21"/>
      <c r="QYU97" s="21"/>
      <c r="QYV97" s="21"/>
      <c r="QYW97" s="21"/>
      <c r="QYX97" s="21"/>
      <c r="QYY97" s="21"/>
      <c r="QYZ97" s="21"/>
      <c r="QZA97" s="21"/>
      <c r="QZB97" s="21"/>
      <c r="QZC97" s="21"/>
      <c r="QZD97" s="21"/>
      <c r="QZE97" s="21"/>
      <c r="QZF97" s="21"/>
      <c r="QZG97" s="21"/>
      <c r="QZH97" s="21"/>
      <c r="QZI97" s="21"/>
      <c r="QZJ97" s="21"/>
      <c r="QZK97" s="21"/>
      <c r="QZL97" s="21"/>
      <c r="QZM97" s="21"/>
      <c r="QZN97" s="21"/>
      <c r="QZO97" s="21"/>
      <c r="QZP97" s="21"/>
      <c r="QZQ97" s="21"/>
      <c r="QZR97" s="21"/>
      <c r="QZS97" s="21"/>
      <c r="QZT97" s="21"/>
      <c r="QZU97" s="21"/>
      <c r="QZV97" s="21"/>
      <c r="QZW97" s="21"/>
      <c r="QZX97" s="21"/>
      <c r="QZY97" s="21"/>
      <c r="QZZ97" s="21"/>
      <c r="RAA97" s="21"/>
      <c r="RAB97" s="21"/>
      <c r="RAC97" s="21"/>
      <c r="RAD97" s="21"/>
      <c r="RAE97" s="21"/>
      <c r="RAF97" s="21"/>
      <c r="RAG97" s="21"/>
      <c r="RAH97" s="21"/>
      <c r="RAI97" s="21"/>
      <c r="RAJ97" s="21"/>
      <c r="RAK97" s="21"/>
      <c r="RAL97" s="21"/>
      <c r="RAM97" s="21"/>
      <c r="RAN97" s="21"/>
      <c r="RAO97" s="21"/>
      <c r="RAP97" s="21"/>
      <c r="RAQ97" s="21"/>
      <c r="RAR97" s="21"/>
      <c r="RAS97" s="21"/>
      <c r="RAT97" s="21"/>
      <c r="RAU97" s="21"/>
      <c r="RAV97" s="21"/>
      <c r="RAW97" s="21"/>
      <c r="RAX97" s="21"/>
      <c r="RAY97" s="21"/>
      <c r="RAZ97" s="21"/>
      <c r="RBA97" s="21"/>
      <c r="RBB97" s="21"/>
      <c r="RBC97" s="21"/>
      <c r="RBD97" s="21"/>
      <c r="RBE97" s="21"/>
      <c r="RBF97" s="21"/>
      <c r="RBG97" s="21"/>
      <c r="RBH97" s="21"/>
      <c r="RBI97" s="21"/>
      <c r="RBJ97" s="21"/>
      <c r="RBK97" s="21"/>
      <c r="RBL97" s="21"/>
      <c r="RBM97" s="21"/>
      <c r="RBN97" s="21"/>
      <c r="RBO97" s="21"/>
      <c r="RBP97" s="21"/>
      <c r="RBQ97" s="21"/>
      <c r="RBR97" s="21"/>
      <c r="RBS97" s="21"/>
      <c r="RBT97" s="21"/>
      <c r="RBU97" s="21"/>
      <c r="RBV97" s="21"/>
      <c r="RBW97" s="21"/>
      <c r="RBX97" s="21"/>
      <c r="RBY97" s="21"/>
      <c r="RBZ97" s="21"/>
      <c r="RCA97" s="21"/>
      <c r="RCB97" s="21"/>
      <c r="RCC97" s="21"/>
      <c r="RCD97" s="21"/>
      <c r="RCE97" s="21"/>
      <c r="RCF97" s="21"/>
      <c r="RCG97" s="21"/>
      <c r="RCH97" s="21"/>
      <c r="RCI97" s="21"/>
      <c r="RCJ97" s="21"/>
      <c r="RCK97" s="21"/>
      <c r="RCL97" s="21"/>
      <c r="RCM97" s="21"/>
      <c r="RCN97" s="21"/>
      <c r="RCO97" s="21"/>
      <c r="RCP97" s="21"/>
      <c r="RCQ97" s="21"/>
      <c r="RCR97" s="21"/>
      <c r="RCS97" s="21"/>
      <c r="RCT97" s="21"/>
      <c r="RCU97" s="21"/>
      <c r="RCV97" s="21"/>
      <c r="RCW97" s="21"/>
      <c r="RCX97" s="21"/>
      <c r="RCY97" s="21"/>
      <c r="RCZ97" s="21"/>
      <c r="RDA97" s="21"/>
      <c r="RDB97" s="21"/>
      <c r="RDC97" s="21"/>
      <c r="RDD97" s="21"/>
      <c r="RDE97" s="21"/>
      <c r="RDF97" s="21"/>
      <c r="RDG97" s="21"/>
      <c r="RDH97" s="21"/>
      <c r="RDI97" s="21"/>
      <c r="RDJ97" s="21"/>
      <c r="RDK97" s="21"/>
      <c r="RDL97" s="21"/>
      <c r="RDM97" s="21"/>
      <c r="RDN97" s="21"/>
      <c r="RDO97" s="21"/>
      <c r="RDP97" s="21"/>
      <c r="RDQ97" s="21"/>
      <c r="RDR97" s="21"/>
      <c r="RDS97" s="21"/>
      <c r="RDT97" s="21"/>
      <c r="RDU97" s="21"/>
      <c r="RDV97" s="21"/>
      <c r="RDW97" s="21"/>
      <c r="RDX97" s="21"/>
      <c r="RDY97" s="21"/>
      <c r="RDZ97" s="21"/>
      <c r="REA97" s="21"/>
      <c r="REB97" s="21"/>
      <c r="REC97" s="21"/>
      <c r="RED97" s="21"/>
      <c r="REE97" s="21"/>
      <c r="REF97" s="21"/>
      <c r="REG97" s="21"/>
      <c r="REH97" s="21"/>
      <c r="REI97" s="21"/>
      <c r="REJ97" s="21"/>
      <c r="REK97" s="21"/>
      <c r="REL97" s="21"/>
      <c r="REM97" s="21"/>
      <c r="REN97" s="21"/>
      <c r="REO97" s="21"/>
      <c r="REP97" s="21"/>
      <c r="REQ97" s="21"/>
      <c r="RER97" s="21"/>
      <c r="RES97" s="21"/>
      <c r="RET97" s="21"/>
      <c r="REU97" s="21"/>
      <c r="REV97" s="21"/>
      <c r="REW97" s="21"/>
      <c r="REX97" s="21"/>
      <c r="REY97" s="21"/>
      <c r="REZ97" s="21"/>
      <c r="RFA97" s="21"/>
      <c r="RFB97" s="21"/>
      <c r="RFC97" s="21"/>
      <c r="RFD97" s="21"/>
      <c r="RFE97" s="21"/>
      <c r="RFF97" s="21"/>
      <c r="RFG97" s="21"/>
      <c r="RFH97" s="21"/>
      <c r="RFI97" s="21"/>
      <c r="RFJ97" s="21"/>
      <c r="RFK97" s="21"/>
      <c r="RFL97" s="21"/>
      <c r="RFM97" s="21"/>
      <c r="RFN97" s="21"/>
      <c r="RFO97" s="21"/>
      <c r="RFP97" s="21"/>
      <c r="RFQ97" s="21"/>
      <c r="RFR97" s="21"/>
      <c r="RFS97" s="21"/>
      <c r="RFT97" s="21"/>
      <c r="RFU97" s="21"/>
      <c r="RFV97" s="21"/>
      <c r="RFW97" s="21"/>
      <c r="RFX97" s="21"/>
      <c r="RFY97" s="21"/>
      <c r="RFZ97" s="21"/>
      <c r="RGA97" s="21"/>
      <c r="RGB97" s="21"/>
      <c r="RGC97" s="21"/>
      <c r="RGD97" s="21"/>
      <c r="RGE97" s="21"/>
      <c r="RGF97" s="21"/>
      <c r="RGG97" s="21"/>
      <c r="RGH97" s="21"/>
      <c r="RGI97" s="21"/>
      <c r="RGJ97" s="21"/>
      <c r="RGK97" s="21"/>
      <c r="RGL97" s="21"/>
      <c r="RGM97" s="21"/>
      <c r="RGN97" s="21"/>
      <c r="RGO97" s="21"/>
      <c r="RGP97" s="21"/>
      <c r="RGQ97" s="21"/>
      <c r="RGR97" s="21"/>
      <c r="RGS97" s="21"/>
      <c r="RGT97" s="21"/>
      <c r="RGU97" s="21"/>
      <c r="RGV97" s="21"/>
      <c r="RGW97" s="21"/>
      <c r="RGX97" s="21"/>
      <c r="RGY97" s="21"/>
      <c r="RGZ97" s="21"/>
      <c r="RHA97" s="21"/>
      <c r="RHB97" s="21"/>
      <c r="RHC97" s="21"/>
      <c r="RHD97" s="21"/>
      <c r="RHE97" s="21"/>
      <c r="RHF97" s="21"/>
      <c r="RHG97" s="21"/>
      <c r="RHH97" s="21"/>
      <c r="RHI97" s="21"/>
      <c r="RHJ97" s="21"/>
      <c r="RHK97" s="21"/>
      <c r="RHL97" s="21"/>
      <c r="RHM97" s="21"/>
      <c r="RHN97" s="21"/>
      <c r="RHO97" s="21"/>
      <c r="RHP97" s="21"/>
      <c r="RHQ97" s="21"/>
      <c r="RHR97" s="21"/>
      <c r="RHS97" s="21"/>
      <c r="RHT97" s="21"/>
      <c r="RHU97" s="21"/>
      <c r="RHV97" s="21"/>
      <c r="RHW97" s="21"/>
      <c r="RHX97" s="21"/>
      <c r="RHY97" s="21"/>
      <c r="RHZ97" s="21"/>
      <c r="RIA97" s="21"/>
      <c r="RIB97" s="21"/>
      <c r="RIC97" s="21"/>
      <c r="RID97" s="21"/>
      <c r="RIE97" s="21"/>
      <c r="RIF97" s="21"/>
      <c r="RIG97" s="21"/>
      <c r="RIH97" s="21"/>
      <c r="RII97" s="21"/>
      <c r="RIJ97" s="21"/>
      <c r="RIK97" s="21"/>
      <c r="RIL97" s="21"/>
      <c r="RIM97" s="21"/>
      <c r="RIN97" s="21"/>
      <c r="RIO97" s="21"/>
      <c r="RIP97" s="21"/>
      <c r="RIQ97" s="21"/>
      <c r="RIR97" s="21"/>
      <c r="RIS97" s="21"/>
      <c r="RIT97" s="21"/>
      <c r="RIU97" s="21"/>
      <c r="RIV97" s="21"/>
      <c r="RIW97" s="21"/>
      <c r="RIX97" s="21"/>
      <c r="RIY97" s="21"/>
      <c r="RIZ97" s="21"/>
      <c r="RJA97" s="21"/>
      <c r="RJB97" s="21"/>
      <c r="RJC97" s="21"/>
      <c r="RJD97" s="21"/>
      <c r="RJE97" s="21"/>
      <c r="RJF97" s="21"/>
      <c r="RJG97" s="21"/>
      <c r="RJH97" s="21"/>
      <c r="RJI97" s="21"/>
      <c r="RJJ97" s="21"/>
      <c r="RJK97" s="21"/>
      <c r="RJL97" s="21"/>
      <c r="RJM97" s="21"/>
      <c r="RJN97" s="21"/>
      <c r="RJO97" s="21"/>
      <c r="RJP97" s="21"/>
      <c r="RJQ97" s="21"/>
      <c r="RJR97" s="21"/>
      <c r="RJS97" s="21"/>
      <c r="RJT97" s="21"/>
      <c r="RJU97" s="21"/>
      <c r="RJV97" s="21"/>
      <c r="RJW97" s="21"/>
      <c r="RJX97" s="21"/>
      <c r="RJY97" s="21"/>
      <c r="RJZ97" s="21"/>
      <c r="RKA97" s="21"/>
      <c r="RKB97" s="21"/>
      <c r="RKC97" s="21"/>
      <c r="RKD97" s="21"/>
      <c r="RKE97" s="21"/>
      <c r="RKF97" s="21"/>
      <c r="RKG97" s="21"/>
      <c r="RKH97" s="21"/>
      <c r="RKI97" s="21"/>
      <c r="RKJ97" s="21"/>
      <c r="RKK97" s="21"/>
      <c r="RKL97" s="21"/>
      <c r="RKM97" s="21"/>
      <c r="RKN97" s="21"/>
      <c r="RKO97" s="21"/>
      <c r="RKP97" s="21"/>
      <c r="RKQ97" s="21"/>
      <c r="RKR97" s="21"/>
      <c r="RKS97" s="21"/>
      <c r="RKT97" s="21"/>
      <c r="RKU97" s="21"/>
      <c r="RKV97" s="21"/>
      <c r="RKW97" s="21"/>
      <c r="RKX97" s="21"/>
      <c r="RKY97" s="21"/>
      <c r="RKZ97" s="21"/>
      <c r="RLA97" s="21"/>
      <c r="RLB97" s="21"/>
      <c r="RLC97" s="21"/>
      <c r="RLD97" s="21"/>
      <c r="RLE97" s="21"/>
      <c r="RLF97" s="21"/>
      <c r="RLG97" s="21"/>
      <c r="RLH97" s="21"/>
      <c r="RLI97" s="21"/>
      <c r="RLJ97" s="21"/>
      <c r="RLK97" s="21"/>
      <c r="RLL97" s="21"/>
      <c r="RLM97" s="21"/>
      <c r="RLN97" s="21"/>
      <c r="RLO97" s="21"/>
      <c r="RLP97" s="21"/>
      <c r="RLQ97" s="21"/>
      <c r="RLR97" s="21"/>
      <c r="RLS97" s="21"/>
      <c r="RLT97" s="21"/>
      <c r="RLU97" s="21"/>
      <c r="RLV97" s="21"/>
      <c r="RLW97" s="21"/>
      <c r="RLX97" s="21"/>
      <c r="RLY97" s="21"/>
      <c r="RLZ97" s="21"/>
      <c r="RMA97" s="21"/>
      <c r="RMB97" s="21"/>
      <c r="RMC97" s="21"/>
      <c r="RMD97" s="21"/>
      <c r="RME97" s="21"/>
      <c r="RMF97" s="21"/>
      <c r="RMG97" s="21"/>
      <c r="RMH97" s="21"/>
      <c r="RMI97" s="21"/>
      <c r="RMJ97" s="21"/>
      <c r="RMK97" s="21"/>
      <c r="RML97" s="21"/>
      <c r="RMM97" s="21"/>
      <c r="RMN97" s="21"/>
      <c r="RMO97" s="21"/>
      <c r="RMP97" s="21"/>
      <c r="RMQ97" s="21"/>
      <c r="RMR97" s="21"/>
      <c r="RMS97" s="21"/>
      <c r="RMT97" s="21"/>
      <c r="RMU97" s="21"/>
      <c r="RMV97" s="21"/>
      <c r="RMW97" s="21"/>
      <c r="RMX97" s="21"/>
      <c r="RMY97" s="21"/>
      <c r="RMZ97" s="21"/>
      <c r="RNA97" s="21"/>
      <c r="RNB97" s="21"/>
      <c r="RNC97" s="21"/>
      <c r="RND97" s="21"/>
      <c r="RNE97" s="21"/>
      <c r="RNF97" s="21"/>
      <c r="RNG97" s="21"/>
      <c r="RNH97" s="21"/>
      <c r="RNI97" s="21"/>
      <c r="RNJ97" s="21"/>
      <c r="RNK97" s="21"/>
      <c r="RNL97" s="21"/>
      <c r="RNM97" s="21"/>
      <c r="RNN97" s="21"/>
      <c r="RNO97" s="21"/>
      <c r="RNP97" s="21"/>
      <c r="RNQ97" s="21"/>
      <c r="RNR97" s="21"/>
      <c r="RNS97" s="21"/>
      <c r="RNT97" s="21"/>
      <c r="RNU97" s="21"/>
      <c r="RNV97" s="21"/>
      <c r="RNW97" s="21"/>
      <c r="RNX97" s="21"/>
      <c r="RNY97" s="21"/>
      <c r="RNZ97" s="21"/>
      <c r="ROA97" s="21"/>
      <c r="ROB97" s="21"/>
      <c r="ROC97" s="21"/>
      <c r="ROD97" s="21"/>
      <c r="ROE97" s="21"/>
      <c r="ROF97" s="21"/>
      <c r="ROG97" s="21"/>
      <c r="ROH97" s="21"/>
      <c r="ROI97" s="21"/>
      <c r="ROJ97" s="21"/>
      <c r="ROK97" s="21"/>
      <c r="ROL97" s="21"/>
      <c r="ROM97" s="21"/>
      <c r="RON97" s="21"/>
      <c r="ROO97" s="21"/>
      <c r="ROP97" s="21"/>
      <c r="ROQ97" s="21"/>
      <c r="ROR97" s="21"/>
      <c r="ROS97" s="21"/>
      <c r="ROT97" s="21"/>
      <c r="ROU97" s="21"/>
      <c r="ROV97" s="21"/>
      <c r="ROW97" s="21"/>
      <c r="ROX97" s="21"/>
      <c r="ROY97" s="21"/>
      <c r="ROZ97" s="21"/>
      <c r="RPA97" s="21"/>
      <c r="RPB97" s="21"/>
      <c r="RPC97" s="21"/>
      <c r="RPD97" s="21"/>
      <c r="RPE97" s="21"/>
      <c r="RPF97" s="21"/>
      <c r="RPG97" s="21"/>
      <c r="RPH97" s="21"/>
      <c r="RPI97" s="21"/>
      <c r="RPJ97" s="21"/>
      <c r="RPK97" s="21"/>
      <c r="RPL97" s="21"/>
      <c r="RPM97" s="21"/>
      <c r="RPN97" s="21"/>
      <c r="RPO97" s="21"/>
      <c r="RPP97" s="21"/>
      <c r="RPQ97" s="21"/>
      <c r="RPR97" s="21"/>
      <c r="RPS97" s="21"/>
      <c r="RPT97" s="21"/>
      <c r="RPU97" s="21"/>
      <c r="RPV97" s="21"/>
      <c r="RPW97" s="21"/>
      <c r="RPX97" s="21"/>
      <c r="RPY97" s="21"/>
      <c r="RPZ97" s="21"/>
      <c r="RQA97" s="21"/>
      <c r="RQB97" s="21"/>
      <c r="RQC97" s="21"/>
      <c r="RQD97" s="21"/>
      <c r="RQE97" s="21"/>
      <c r="RQF97" s="21"/>
      <c r="RQG97" s="21"/>
      <c r="RQH97" s="21"/>
      <c r="RQI97" s="21"/>
      <c r="RQJ97" s="21"/>
      <c r="RQK97" s="21"/>
      <c r="RQL97" s="21"/>
      <c r="RQM97" s="21"/>
      <c r="RQN97" s="21"/>
      <c r="RQO97" s="21"/>
      <c r="RQP97" s="21"/>
      <c r="RQQ97" s="21"/>
      <c r="RQR97" s="21"/>
      <c r="RQS97" s="21"/>
      <c r="RQT97" s="21"/>
      <c r="RQU97" s="21"/>
      <c r="RQV97" s="21"/>
      <c r="RQW97" s="21"/>
      <c r="RQX97" s="21"/>
      <c r="RQY97" s="21"/>
      <c r="RQZ97" s="21"/>
      <c r="RRA97" s="21"/>
      <c r="RRB97" s="21"/>
      <c r="RRC97" s="21"/>
      <c r="RRD97" s="21"/>
      <c r="RRE97" s="21"/>
      <c r="RRF97" s="21"/>
      <c r="RRG97" s="21"/>
      <c r="RRH97" s="21"/>
      <c r="RRI97" s="21"/>
      <c r="RRJ97" s="21"/>
      <c r="RRK97" s="21"/>
      <c r="RRL97" s="21"/>
      <c r="RRM97" s="21"/>
      <c r="RRN97" s="21"/>
      <c r="RRO97" s="21"/>
      <c r="RRP97" s="21"/>
      <c r="RRQ97" s="21"/>
      <c r="RRR97" s="21"/>
      <c r="RRS97" s="21"/>
      <c r="RRT97" s="21"/>
      <c r="RRU97" s="21"/>
      <c r="RRV97" s="21"/>
      <c r="RRW97" s="21"/>
      <c r="RRX97" s="21"/>
      <c r="RRY97" s="21"/>
      <c r="RRZ97" s="21"/>
      <c r="RSA97" s="21"/>
      <c r="RSB97" s="21"/>
      <c r="RSC97" s="21"/>
      <c r="RSD97" s="21"/>
      <c r="RSE97" s="21"/>
      <c r="RSF97" s="21"/>
      <c r="RSG97" s="21"/>
      <c r="RSH97" s="21"/>
      <c r="RSI97" s="21"/>
      <c r="RSJ97" s="21"/>
      <c r="RSK97" s="21"/>
      <c r="RSL97" s="21"/>
      <c r="RSM97" s="21"/>
      <c r="RSN97" s="21"/>
      <c r="RSO97" s="21"/>
      <c r="RSP97" s="21"/>
      <c r="RSQ97" s="21"/>
      <c r="RSR97" s="21"/>
      <c r="RSS97" s="21"/>
      <c r="RST97" s="21"/>
      <c r="RSU97" s="21"/>
      <c r="RSV97" s="21"/>
      <c r="RSW97" s="21"/>
      <c r="RSX97" s="21"/>
      <c r="RSY97" s="21"/>
      <c r="RSZ97" s="21"/>
      <c r="RTA97" s="21"/>
      <c r="RTB97" s="21"/>
      <c r="RTC97" s="21"/>
      <c r="RTD97" s="21"/>
      <c r="RTE97" s="21"/>
      <c r="RTF97" s="21"/>
      <c r="RTG97" s="21"/>
      <c r="RTH97" s="21"/>
      <c r="RTI97" s="21"/>
      <c r="RTJ97" s="21"/>
      <c r="RTK97" s="21"/>
      <c r="RTL97" s="21"/>
      <c r="RTM97" s="21"/>
      <c r="RTN97" s="21"/>
      <c r="RTO97" s="21"/>
      <c r="RTP97" s="21"/>
      <c r="RTQ97" s="21"/>
      <c r="RTR97" s="21"/>
      <c r="RTS97" s="21"/>
      <c r="RTT97" s="21"/>
      <c r="RTU97" s="21"/>
      <c r="RTV97" s="21"/>
      <c r="RTW97" s="21"/>
      <c r="RTX97" s="21"/>
      <c r="RTY97" s="21"/>
      <c r="RTZ97" s="21"/>
      <c r="RUA97" s="21"/>
      <c r="RUB97" s="21"/>
      <c r="RUC97" s="21"/>
      <c r="RUD97" s="21"/>
      <c r="RUE97" s="21"/>
      <c r="RUF97" s="21"/>
      <c r="RUG97" s="21"/>
      <c r="RUH97" s="21"/>
      <c r="RUI97" s="21"/>
      <c r="RUJ97" s="21"/>
      <c r="RUK97" s="21"/>
      <c r="RUL97" s="21"/>
      <c r="RUM97" s="21"/>
      <c r="RUN97" s="21"/>
      <c r="RUO97" s="21"/>
      <c r="RUP97" s="21"/>
      <c r="RUQ97" s="21"/>
      <c r="RUR97" s="21"/>
      <c r="RUS97" s="21"/>
      <c r="RUT97" s="21"/>
      <c r="RUU97" s="21"/>
      <c r="RUV97" s="21"/>
      <c r="RUW97" s="21"/>
      <c r="RUX97" s="21"/>
      <c r="RUY97" s="21"/>
      <c r="RUZ97" s="21"/>
      <c r="RVA97" s="21"/>
      <c r="RVB97" s="21"/>
      <c r="RVC97" s="21"/>
      <c r="RVD97" s="21"/>
      <c r="RVE97" s="21"/>
      <c r="RVF97" s="21"/>
      <c r="RVG97" s="21"/>
      <c r="RVH97" s="21"/>
      <c r="RVI97" s="21"/>
      <c r="RVJ97" s="21"/>
      <c r="RVK97" s="21"/>
      <c r="RVL97" s="21"/>
      <c r="RVM97" s="21"/>
      <c r="RVN97" s="21"/>
      <c r="RVO97" s="21"/>
      <c r="RVP97" s="21"/>
      <c r="RVQ97" s="21"/>
      <c r="RVR97" s="21"/>
      <c r="RVS97" s="21"/>
      <c r="RVT97" s="21"/>
      <c r="RVU97" s="21"/>
      <c r="RVV97" s="21"/>
      <c r="RVW97" s="21"/>
      <c r="RVX97" s="21"/>
      <c r="RVY97" s="21"/>
      <c r="RVZ97" s="21"/>
      <c r="RWA97" s="21"/>
      <c r="RWB97" s="21"/>
      <c r="RWC97" s="21"/>
      <c r="RWD97" s="21"/>
      <c r="RWE97" s="21"/>
      <c r="RWF97" s="21"/>
      <c r="RWG97" s="21"/>
      <c r="RWH97" s="21"/>
      <c r="RWI97" s="21"/>
      <c r="RWJ97" s="21"/>
      <c r="RWK97" s="21"/>
      <c r="RWL97" s="21"/>
      <c r="RWM97" s="21"/>
      <c r="RWN97" s="21"/>
      <c r="RWO97" s="21"/>
      <c r="RWP97" s="21"/>
      <c r="RWQ97" s="21"/>
      <c r="RWR97" s="21"/>
      <c r="RWS97" s="21"/>
      <c r="RWT97" s="21"/>
      <c r="RWU97" s="21"/>
      <c r="RWV97" s="21"/>
      <c r="RWW97" s="21"/>
      <c r="RWX97" s="21"/>
      <c r="RWY97" s="21"/>
      <c r="RWZ97" s="21"/>
      <c r="RXA97" s="21"/>
      <c r="RXB97" s="21"/>
      <c r="RXC97" s="21"/>
      <c r="RXD97" s="21"/>
      <c r="RXE97" s="21"/>
      <c r="RXF97" s="21"/>
      <c r="RXG97" s="21"/>
      <c r="RXH97" s="21"/>
      <c r="RXI97" s="21"/>
      <c r="RXJ97" s="21"/>
      <c r="RXK97" s="21"/>
      <c r="RXL97" s="21"/>
      <c r="RXM97" s="21"/>
      <c r="RXN97" s="21"/>
      <c r="RXO97" s="21"/>
      <c r="RXP97" s="21"/>
      <c r="RXQ97" s="21"/>
      <c r="RXR97" s="21"/>
      <c r="RXS97" s="21"/>
      <c r="RXT97" s="21"/>
      <c r="RXU97" s="21"/>
      <c r="RXV97" s="21"/>
      <c r="RXW97" s="21"/>
      <c r="RXX97" s="21"/>
      <c r="RXY97" s="21"/>
      <c r="RXZ97" s="21"/>
      <c r="RYA97" s="21"/>
      <c r="RYB97" s="21"/>
      <c r="RYC97" s="21"/>
      <c r="RYD97" s="21"/>
      <c r="RYE97" s="21"/>
      <c r="RYF97" s="21"/>
      <c r="RYG97" s="21"/>
      <c r="RYH97" s="21"/>
      <c r="RYI97" s="21"/>
      <c r="RYJ97" s="21"/>
      <c r="RYK97" s="21"/>
      <c r="RYL97" s="21"/>
      <c r="RYM97" s="21"/>
      <c r="RYN97" s="21"/>
      <c r="RYO97" s="21"/>
      <c r="RYP97" s="21"/>
      <c r="RYQ97" s="21"/>
      <c r="RYR97" s="21"/>
      <c r="RYS97" s="21"/>
      <c r="RYT97" s="21"/>
      <c r="RYU97" s="21"/>
      <c r="RYV97" s="21"/>
      <c r="RYW97" s="21"/>
      <c r="RYX97" s="21"/>
      <c r="RYY97" s="21"/>
      <c r="RYZ97" s="21"/>
      <c r="RZA97" s="21"/>
      <c r="RZB97" s="21"/>
      <c r="RZC97" s="21"/>
      <c r="RZD97" s="21"/>
      <c r="RZE97" s="21"/>
      <c r="RZF97" s="21"/>
      <c r="RZG97" s="21"/>
      <c r="RZH97" s="21"/>
      <c r="RZI97" s="21"/>
      <c r="RZJ97" s="21"/>
      <c r="RZK97" s="21"/>
      <c r="RZL97" s="21"/>
      <c r="RZM97" s="21"/>
      <c r="RZN97" s="21"/>
      <c r="RZO97" s="21"/>
      <c r="RZP97" s="21"/>
      <c r="RZQ97" s="21"/>
      <c r="RZR97" s="21"/>
      <c r="RZS97" s="21"/>
      <c r="RZT97" s="21"/>
      <c r="RZU97" s="21"/>
      <c r="RZV97" s="21"/>
      <c r="RZW97" s="21"/>
      <c r="RZX97" s="21"/>
      <c r="RZY97" s="21"/>
      <c r="RZZ97" s="21"/>
      <c r="SAA97" s="21"/>
      <c r="SAB97" s="21"/>
      <c r="SAC97" s="21"/>
      <c r="SAD97" s="21"/>
      <c r="SAE97" s="21"/>
      <c r="SAF97" s="21"/>
      <c r="SAG97" s="21"/>
      <c r="SAH97" s="21"/>
      <c r="SAI97" s="21"/>
      <c r="SAJ97" s="21"/>
      <c r="SAK97" s="21"/>
      <c r="SAL97" s="21"/>
      <c r="SAM97" s="21"/>
      <c r="SAN97" s="21"/>
      <c r="SAO97" s="21"/>
      <c r="SAP97" s="21"/>
      <c r="SAQ97" s="21"/>
      <c r="SAR97" s="21"/>
      <c r="SAS97" s="21"/>
      <c r="SAT97" s="21"/>
      <c r="SAU97" s="21"/>
      <c r="SAV97" s="21"/>
      <c r="SAW97" s="21"/>
      <c r="SAX97" s="21"/>
      <c r="SAY97" s="21"/>
      <c r="SAZ97" s="21"/>
      <c r="SBA97" s="21"/>
      <c r="SBB97" s="21"/>
      <c r="SBC97" s="21"/>
      <c r="SBD97" s="21"/>
      <c r="SBE97" s="21"/>
      <c r="SBF97" s="21"/>
      <c r="SBG97" s="21"/>
      <c r="SBH97" s="21"/>
      <c r="SBI97" s="21"/>
      <c r="SBJ97" s="21"/>
      <c r="SBK97" s="21"/>
      <c r="SBL97" s="21"/>
      <c r="SBM97" s="21"/>
      <c r="SBN97" s="21"/>
      <c r="SBO97" s="21"/>
      <c r="SBP97" s="21"/>
      <c r="SBQ97" s="21"/>
      <c r="SBR97" s="21"/>
      <c r="SBS97" s="21"/>
      <c r="SBT97" s="21"/>
      <c r="SBU97" s="21"/>
      <c r="SBV97" s="21"/>
      <c r="SBW97" s="21"/>
      <c r="SBX97" s="21"/>
      <c r="SBY97" s="21"/>
      <c r="SBZ97" s="21"/>
      <c r="SCA97" s="21"/>
      <c r="SCB97" s="21"/>
      <c r="SCC97" s="21"/>
      <c r="SCD97" s="21"/>
      <c r="SCE97" s="21"/>
      <c r="SCF97" s="21"/>
      <c r="SCG97" s="21"/>
      <c r="SCH97" s="21"/>
      <c r="SCI97" s="21"/>
      <c r="SCJ97" s="21"/>
      <c r="SCK97" s="21"/>
      <c r="SCL97" s="21"/>
      <c r="SCM97" s="21"/>
      <c r="SCN97" s="21"/>
      <c r="SCO97" s="21"/>
      <c r="SCP97" s="21"/>
      <c r="SCQ97" s="21"/>
      <c r="SCR97" s="21"/>
      <c r="SCS97" s="21"/>
      <c r="SCT97" s="21"/>
      <c r="SCU97" s="21"/>
      <c r="SCV97" s="21"/>
      <c r="SCW97" s="21"/>
      <c r="SCX97" s="21"/>
      <c r="SCY97" s="21"/>
      <c r="SCZ97" s="21"/>
      <c r="SDA97" s="21"/>
      <c r="SDB97" s="21"/>
      <c r="SDC97" s="21"/>
      <c r="SDD97" s="21"/>
      <c r="SDE97" s="21"/>
      <c r="SDF97" s="21"/>
      <c r="SDG97" s="21"/>
      <c r="SDH97" s="21"/>
      <c r="SDI97" s="21"/>
      <c r="SDJ97" s="21"/>
      <c r="SDK97" s="21"/>
      <c r="SDL97" s="21"/>
      <c r="SDM97" s="21"/>
      <c r="SDN97" s="21"/>
      <c r="SDO97" s="21"/>
      <c r="SDP97" s="21"/>
      <c r="SDQ97" s="21"/>
      <c r="SDR97" s="21"/>
      <c r="SDS97" s="21"/>
      <c r="SDT97" s="21"/>
      <c r="SDU97" s="21"/>
      <c r="SDV97" s="21"/>
      <c r="SDW97" s="21"/>
      <c r="SDX97" s="21"/>
      <c r="SDY97" s="21"/>
      <c r="SDZ97" s="21"/>
      <c r="SEA97" s="21"/>
      <c r="SEB97" s="21"/>
      <c r="SEC97" s="21"/>
      <c r="SED97" s="21"/>
      <c r="SEE97" s="21"/>
      <c r="SEF97" s="21"/>
      <c r="SEG97" s="21"/>
      <c r="SEH97" s="21"/>
      <c r="SEI97" s="21"/>
      <c r="SEJ97" s="21"/>
      <c r="SEK97" s="21"/>
      <c r="SEL97" s="21"/>
      <c r="SEM97" s="21"/>
      <c r="SEN97" s="21"/>
      <c r="SEO97" s="21"/>
      <c r="SEP97" s="21"/>
      <c r="SEQ97" s="21"/>
      <c r="SER97" s="21"/>
      <c r="SES97" s="21"/>
      <c r="SET97" s="21"/>
      <c r="SEU97" s="21"/>
      <c r="SEV97" s="21"/>
      <c r="SEW97" s="21"/>
      <c r="SEX97" s="21"/>
      <c r="SEY97" s="21"/>
      <c r="SEZ97" s="21"/>
      <c r="SFA97" s="21"/>
      <c r="SFB97" s="21"/>
      <c r="SFC97" s="21"/>
      <c r="SFD97" s="21"/>
      <c r="SFE97" s="21"/>
      <c r="SFF97" s="21"/>
      <c r="SFG97" s="21"/>
      <c r="SFH97" s="21"/>
      <c r="SFI97" s="21"/>
      <c r="SFJ97" s="21"/>
      <c r="SFK97" s="21"/>
      <c r="SFL97" s="21"/>
      <c r="SFM97" s="21"/>
      <c r="SFN97" s="21"/>
      <c r="SFO97" s="21"/>
      <c r="SFP97" s="21"/>
      <c r="SFQ97" s="21"/>
      <c r="SFR97" s="21"/>
      <c r="SFS97" s="21"/>
      <c r="SFT97" s="21"/>
      <c r="SFU97" s="21"/>
      <c r="SFV97" s="21"/>
      <c r="SFW97" s="21"/>
      <c r="SFX97" s="21"/>
      <c r="SFY97" s="21"/>
      <c r="SFZ97" s="21"/>
      <c r="SGA97" s="21"/>
      <c r="SGB97" s="21"/>
      <c r="SGC97" s="21"/>
      <c r="SGD97" s="21"/>
      <c r="SGE97" s="21"/>
      <c r="SGF97" s="21"/>
      <c r="SGG97" s="21"/>
      <c r="SGH97" s="21"/>
      <c r="SGI97" s="21"/>
      <c r="SGJ97" s="21"/>
      <c r="SGK97" s="21"/>
      <c r="SGL97" s="21"/>
      <c r="SGM97" s="21"/>
      <c r="SGN97" s="21"/>
      <c r="SGO97" s="21"/>
      <c r="SGP97" s="21"/>
      <c r="SGQ97" s="21"/>
      <c r="SGR97" s="21"/>
      <c r="SGS97" s="21"/>
      <c r="SGT97" s="21"/>
      <c r="SGU97" s="21"/>
      <c r="SGV97" s="21"/>
      <c r="SGW97" s="21"/>
      <c r="SGX97" s="21"/>
      <c r="SGY97" s="21"/>
      <c r="SGZ97" s="21"/>
      <c r="SHA97" s="21"/>
      <c r="SHB97" s="21"/>
      <c r="SHC97" s="21"/>
      <c r="SHD97" s="21"/>
      <c r="SHE97" s="21"/>
      <c r="SHF97" s="21"/>
      <c r="SHG97" s="21"/>
      <c r="SHH97" s="21"/>
      <c r="SHI97" s="21"/>
      <c r="SHJ97" s="21"/>
      <c r="SHK97" s="21"/>
      <c r="SHL97" s="21"/>
      <c r="SHM97" s="21"/>
      <c r="SHN97" s="21"/>
      <c r="SHO97" s="21"/>
      <c r="SHP97" s="21"/>
      <c r="SHQ97" s="21"/>
      <c r="SHR97" s="21"/>
      <c r="SHS97" s="21"/>
      <c r="SHT97" s="21"/>
      <c r="SHU97" s="21"/>
      <c r="SHV97" s="21"/>
      <c r="SHW97" s="21"/>
      <c r="SHX97" s="21"/>
      <c r="SHY97" s="21"/>
      <c r="SHZ97" s="21"/>
      <c r="SIA97" s="21"/>
      <c r="SIB97" s="21"/>
      <c r="SIC97" s="21"/>
      <c r="SID97" s="21"/>
      <c r="SIE97" s="21"/>
      <c r="SIF97" s="21"/>
      <c r="SIG97" s="21"/>
      <c r="SIH97" s="21"/>
      <c r="SII97" s="21"/>
      <c r="SIJ97" s="21"/>
      <c r="SIK97" s="21"/>
      <c r="SIL97" s="21"/>
      <c r="SIM97" s="21"/>
      <c r="SIN97" s="21"/>
      <c r="SIO97" s="21"/>
      <c r="SIP97" s="21"/>
      <c r="SIQ97" s="21"/>
      <c r="SIR97" s="21"/>
      <c r="SIS97" s="21"/>
      <c r="SIT97" s="21"/>
      <c r="SIU97" s="21"/>
      <c r="SIV97" s="21"/>
      <c r="SIW97" s="21"/>
      <c r="SIX97" s="21"/>
      <c r="SIY97" s="21"/>
      <c r="SIZ97" s="21"/>
      <c r="SJA97" s="21"/>
      <c r="SJB97" s="21"/>
      <c r="SJC97" s="21"/>
      <c r="SJD97" s="21"/>
      <c r="SJE97" s="21"/>
      <c r="SJF97" s="21"/>
      <c r="SJG97" s="21"/>
      <c r="SJH97" s="21"/>
      <c r="SJI97" s="21"/>
      <c r="SJJ97" s="21"/>
      <c r="SJK97" s="21"/>
      <c r="SJL97" s="21"/>
      <c r="SJM97" s="21"/>
      <c r="SJN97" s="21"/>
      <c r="SJO97" s="21"/>
      <c r="SJP97" s="21"/>
      <c r="SJQ97" s="21"/>
      <c r="SJR97" s="21"/>
      <c r="SJS97" s="21"/>
      <c r="SJT97" s="21"/>
      <c r="SJU97" s="21"/>
      <c r="SJV97" s="21"/>
      <c r="SJW97" s="21"/>
      <c r="SJX97" s="21"/>
      <c r="SJY97" s="21"/>
      <c r="SJZ97" s="21"/>
      <c r="SKA97" s="21"/>
      <c r="SKB97" s="21"/>
      <c r="SKC97" s="21"/>
      <c r="SKD97" s="21"/>
      <c r="SKE97" s="21"/>
      <c r="SKF97" s="21"/>
      <c r="SKG97" s="21"/>
      <c r="SKH97" s="21"/>
      <c r="SKI97" s="21"/>
      <c r="SKJ97" s="21"/>
      <c r="SKK97" s="21"/>
      <c r="SKL97" s="21"/>
      <c r="SKM97" s="21"/>
      <c r="SKN97" s="21"/>
      <c r="SKO97" s="21"/>
      <c r="SKP97" s="21"/>
      <c r="SKQ97" s="21"/>
      <c r="SKR97" s="21"/>
      <c r="SKS97" s="21"/>
      <c r="SKT97" s="21"/>
      <c r="SKU97" s="21"/>
      <c r="SKV97" s="21"/>
      <c r="SKW97" s="21"/>
      <c r="SKX97" s="21"/>
      <c r="SKY97" s="21"/>
      <c r="SKZ97" s="21"/>
      <c r="SLA97" s="21"/>
      <c r="SLB97" s="21"/>
      <c r="SLC97" s="21"/>
      <c r="SLD97" s="21"/>
      <c r="SLE97" s="21"/>
      <c r="SLF97" s="21"/>
      <c r="SLG97" s="21"/>
      <c r="SLH97" s="21"/>
      <c r="SLI97" s="21"/>
      <c r="SLJ97" s="21"/>
      <c r="SLK97" s="21"/>
      <c r="SLL97" s="21"/>
      <c r="SLM97" s="21"/>
      <c r="SLN97" s="21"/>
      <c r="SLO97" s="21"/>
      <c r="SLP97" s="21"/>
      <c r="SLQ97" s="21"/>
      <c r="SLR97" s="21"/>
      <c r="SLS97" s="21"/>
      <c r="SLT97" s="21"/>
      <c r="SLU97" s="21"/>
      <c r="SLV97" s="21"/>
      <c r="SLW97" s="21"/>
      <c r="SLX97" s="21"/>
      <c r="SLY97" s="21"/>
      <c r="SLZ97" s="21"/>
      <c r="SMA97" s="21"/>
      <c r="SMB97" s="21"/>
      <c r="SMC97" s="21"/>
      <c r="SMD97" s="21"/>
      <c r="SME97" s="21"/>
      <c r="SMF97" s="21"/>
      <c r="SMG97" s="21"/>
      <c r="SMH97" s="21"/>
      <c r="SMI97" s="21"/>
      <c r="SMJ97" s="21"/>
      <c r="SMK97" s="21"/>
      <c r="SML97" s="21"/>
      <c r="SMM97" s="21"/>
      <c r="SMN97" s="21"/>
      <c r="SMO97" s="21"/>
      <c r="SMP97" s="21"/>
      <c r="SMQ97" s="21"/>
      <c r="SMR97" s="21"/>
      <c r="SMS97" s="21"/>
      <c r="SMT97" s="21"/>
      <c r="SMU97" s="21"/>
      <c r="SMV97" s="21"/>
      <c r="SMW97" s="21"/>
      <c r="SMX97" s="21"/>
      <c r="SMY97" s="21"/>
      <c r="SMZ97" s="21"/>
      <c r="SNA97" s="21"/>
      <c r="SNB97" s="21"/>
      <c r="SNC97" s="21"/>
      <c r="SND97" s="21"/>
      <c r="SNE97" s="21"/>
      <c r="SNF97" s="21"/>
      <c r="SNG97" s="21"/>
      <c r="SNH97" s="21"/>
      <c r="SNI97" s="21"/>
      <c r="SNJ97" s="21"/>
      <c r="SNK97" s="21"/>
      <c r="SNL97" s="21"/>
      <c r="SNM97" s="21"/>
      <c r="SNN97" s="21"/>
      <c r="SNO97" s="21"/>
      <c r="SNP97" s="21"/>
      <c r="SNQ97" s="21"/>
      <c r="SNR97" s="21"/>
      <c r="SNS97" s="21"/>
      <c r="SNT97" s="21"/>
      <c r="SNU97" s="21"/>
      <c r="SNV97" s="21"/>
      <c r="SNW97" s="21"/>
      <c r="SNX97" s="21"/>
      <c r="SNY97" s="21"/>
      <c r="SNZ97" s="21"/>
      <c r="SOA97" s="21"/>
      <c r="SOB97" s="21"/>
      <c r="SOC97" s="21"/>
      <c r="SOD97" s="21"/>
      <c r="SOE97" s="21"/>
      <c r="SOF97" s="21"/>
      <c r="SOG97" s="21"/>
      <c r="SOH97" s="21"/>
      <c r="SOI97" s="21"/>
      <c r="SOJ97" s="21"/>
      <c r="SOK97" s="21"/>
      <c r="SOL97" s="21"/>
      <c r="SOM97" s="21"/>
      <c r="SON97" s="21"/>
      <c r="SOO97" s="21"/>
      <c r="SOP97" s="21"/>
      <c r="SOQ97" s="21"/>
      <c r="SOR97" s="21"/>
      <c r="SOS97" s="21"/>
      <c r="SOT97" s="21"/>
      <c r="SOU97" s="21"/>
      <c r="SOV97" s="21"/>
      <c r="SOW97" s="21"/>
      <c r="SOX97" s="21"/>
      <c r="SOY97" s="21"/>
      <c r="SOZ97" s="21"/>
      <c r="SPA97" s="21"/>
      <c r="SPB97" s="21"/>
      <c r="SPC97" s="21"/>
      <c r="SPD97" s="21"/>
      <c r="SPE97" s="21"/>
      <c r="SPF97" s="21"/>
      <c r="SPG97" s="21"/>
      <c r="SPH97" s="21"/>
      <c r="SPI97" s="21"/>
      <c r="SPJ97" s="21"/>
      <c r="SPK97" s="21"/>
      <c r="SPL97" s="21"/>
      <c r="SPM97" s="21"/>
      <c r="SPN97" s="21"/>
      <c r="SPO97" s="21"/>
      <c r="SPP97" s="21"/>
      <c r="SPQ97" s="21"/>
      <c r="SPR97" s="21"/>
      <c r="SPS97" s="21"/>
      <c r="SPT97" s="21"/>
      <c r="SPU97" s="21"/>
      <c r="SPV97" s="21"/>
      <c r="SPW97" s="21"/>
      <c r="SPX97" s="21"/>
      <c r="SPY97" s="21"/>
      <c r="SPZ97" s="21"/>
      <c r="SQA97" s="21"/>
      <c r="SQB97" s="21"/>
      <c r="SQC97" s="21"/>
      <c r="SQD97" s="21"/>
      <c r="SQE97" s="21"/>
      <c r="SQF97" s="21"/>
      <c r="SQG97" s="21"/>
      <c r="SQH97" s="21"/>
      <c r="SQI97" s="21"/>
      <c r="SQJ97" s="21"/>
      <c r="SQK97" s="21"/>
      <c r="SQL97" s="21"/>
      <c r="SQM97" s="21"/>
      <c r="SQN97" s="21"/>
      <c r="SQO97" s="21"/>
      <c r="SQP97" s="21"/>
      <c r="SQQ97" s="21"/>
      <c r="SQR97" s="21"/>
      <c r="SQS97" s="21"/>
      <c r="SQT97" s="21"/>
      <c r="SQU97" s="21"/>
      <c r="SQV97" s="21"/>
      <c r="SQW97" s="21"/>
      <c r="SQX97" s="21"/>
      <c r="SQY97" s="21"/>
      <c r="SQZ97" s="21"/>
      <c r="SRA97" s="21"/>
      <c r="SRB97" s="21"/>
      <c r="SRC97" s="21"/>
      <c r="SRD97" s="21"/>
      <c r="SRE97" s="21"/>
      <c r="SRF97" s="21"/>
      <c r="SRG97" s="21"/>
      <c r="SRH97" s="21"/>
      <c r="SRI97" s="21"/>
      <c r="SRJ97" s="21"/>
      <c r="SRK97" s="21"/>
      <c r="SRL97" s="21"/>
      <c r="SRM97" s="21"/>
      <c r="SRN97" s="21"/>
      <c r="SRO97" s="21"/>
      <c r="SRP97" s="21"/>
      <c r="SRQ97" s="21"/>
      <c r="SRR97" s="21"/>
      <c r="SRS97" s="21"/>
      <c r="SRT97" s="21"/>
      <c r="SRU97" s="21"/>
      <c r="SRV97" s="21"/>
      <c r="SRW97" s="21"/>
      <c r="SRX97" s="21"/>
      <c r="SRY97" s="21"/>
      <c r="SRZ97" s="21"/>
      <c r="SSA97" s="21"/>
      <c r="SSB97" s="21"/>
      <c r="SSC97" s="21"/>
      <c r="SSD97" s="21"/>
      <c r="SSE97" s="21"/>
      <c r="SSF97" s="21"/>
      <c r="SSG97" s="21"/>
      <c r="SSH97" s="21"/>
      <c r="SSI97" s="21"/>
      <c r="SSJ97" s="21"/>
      <c r="SSK97" s="21"/>
      <c r="SSL97" s="21"/>
      <c r="SSM97" s="21"/>
      <c r="SSN97" s="21"/>
      <c r="SSO97" s="21"/>
      <c r="SSP97" s="21"/>
      <c r="SSQ97" s="21"/>
      <c r="SSR97" s="21"/>
      <c r="SSS97" s="21"/>
      <c r="SST97" s="21"/>
      <c r="SSU97" s="21"/>
      <c r="SSV97" s="21"/>
      <c r="SSW97" s="21"/>
      <c r="SSX97" s="21"/>
      <c r="SSY97" s="21"/>
      <c r="SSZ97" s="21"/>
      <c r="STA97" s="21"/>
      <c r="STB97" s="21"/>
      <c r="STC97" s="21"/>
      <c r="STD97" s="21"/>
      <c r="STE97" s="21"/>
      <c r="STF97" s="21"/>
      <c r="STG97" s="21"/>
      <c r="STH97" s="21"/>
      <c r="STI97" s="21"/>
      <c r="STJ97" s="21"/>
      <c r="STK97" s="21"/>
      <c r="STL97" s="21"/>
      <c r="STM97" s="21"/>
      <c r="STN97" s="21"/>
      <c r="STO97" s="21"/>
      <c r="STP97" s="21"/>
      <c r="STQ97" s="21"/>
      <c r="STR97" s="21"/>
      <c r="STS97" s="21"/>
      <c r="STT97" s="21"/>
      <c r="STU97" s="21"/>
      <c r="STV97" s="21"/>
      <c r="STW97" s="21"/>
      <c r="STX97" s="21"/>
      <c r="STY97" s="21"/>
      <c r="STZ97" s="21"/>
      <c r="SUA97" s="21"/>
      <c r="SUB97" s="21"/>
      <c r="SUC97" s="21"/>
      <c r="SUD97" s="21"/>
      <c r="SUE97" s="21"/>
      <c r="SUF97" s="21"/>
      <c r="SUG97" s="21"/>
      <c r="SUH97" s="21"/>
      <c r="SUI97" s="21"/>
      <c r="SUJ97" s="21"/>
      <c r="SUK97" s="21"/>
      <c r="SUL97" s="21"/>
      <c r="SUM97" s="21"/>
      <c r="SUN97" s="21"/>
      <c r="SUO97" s="21"/>
      <c r="SUP97" s="21"/>
      <c r="SUQ97" s="21"/>
      <c r="SUR97" s="21"/>
      <c r="SUS97" s="21"/>
      <c r="SUT97" s="21"/>
      <c r="SUU97" s="21"/>
      <c r="SUV97" s="21"/>
      <c r="SUW97" s="21"/>
      <c r="SUX97" s="21"/>
      <c r="SUY97" s="21"/>
      <c r="SUZ97" s="21"/>
      <c r="SVA97" s="21"/>
      <c r="SVB97" s="21"/>
      <c r="SVC97" s="21"/>
      <c r="SVD97" s="21"/>
      <c r="SVE97" s="21"/>
      <c r="SVF97" s="21"/>
      <c r="SVG97" s="21"/>
      <c r="SVH97" s="21"/>
      <c r="SVI97" s="21"/>
      <c r="SVJ97" s="21"/>
      <c r="SVK97" s="21"/>
      <c r="SVL97" s="21"/>
      <c r="SVM97" s="21"/>
      <c r="SVN97" s="21"/>
      <c r="SVO97" s="21"/>
      <c r="SVP97" s="21"/>
      <c r="SVQ97" s="21"/>
      <c r="SVR97" s="21"/>
      <c r="SVS97" s="21"/>
      <c r="SVT97" s="21"/>
      <c r="SVU97" s="21"/>
      <c r="SVV97" s="21"/>
      <c r="SVW97" s="21"/>
      <c r="SVX97" s="21"/>
      <c r="SVY97" s="21"/>
      <c r="SVZ97" s="21"/>
      <c r="SWA97" s="21"/>
      <c r="SWB97" s="21"/>
      <c r="SWC97" s="21"/>
      <c r="SWD97" s="21"/>
      <c r="SWE97" s="21"/>
      <c r="SWF97" s="21"/>
      <c r="SWG97" s="21"/>
      <c r="SWH97" s="21"/>
      <c r="SWI97" s="21"/>
      <c r="SWJ97" s="21"/>
      <c r="SWK97" s="21"/>
      <c r="SWL97" s="21"/>
      <c r="SWM97" s="21"/>
      <c r="SWN97" s="21"/>
      <c r="SWO97" s="21"/>
      <c r="SWP97" s="21"/>
      <c r="SWQ97" s="21"/>
      <c r="SWR97" s="21"/>
      <c r="SWS97" s="21"/>
      <c r="SWT97" s="21"/>
      <c r="SWU97" s="21"/>
      <c r="SWV97" s="21"/>
      <c r="SWW97" s="21"/>
      <c r="SWX97" s="21"/>
      <c r="SWY97" s="21"/>
      <c r="SWZ97" s="21"/>
      <c r="SXA97" s="21"/>
      <c r="SXB97" s="21"/>
      <c r="SXC97" s="21"/>
      <c r="SXD97" s="21"/>
      <c r="SXE97" s="21"/>
      <c r="SXF97" s="21"/>
      <c r="SXG97" s="21"/>
      <c r="SXH97" s="21"/>
      <c r="SXI97" s="21"/>
      <c r="SXJ97" s="21"/>
      <c r="SXK97" s="21"/>
      <c r="SXL97" s="21"/>
      <c r="SXM97" s="21"/>
      <c r="SXN97" s="21"/>
      <c r="SXO97" s="21"/>
      <c r="SXP97" s="21"/>
      <c r="SXQ97" s="21"/>
      <c r="SXR97" s="21"/>
      <c r="SXS97" s="21"/>
      <c r="SXT97" s="21"/>
      <c r="SXU97" s="21"/>
      <c r="SXV97" s="21"/>
      <c r="SXW97" s="21"/>
      <c r="SXX97" s="21"/>
      <c r="SXY97" s="21"/>
      <c r="SXZ97" s="21"/>
      <c r="SYA97" s="21"/>
      <c r="SYB97" s="21"/>
      <c r="SYC97" s="21"/>
      <c r="SYD97" s="21"/>
      <c r="SYE97" s="21"/>
      <c r="SYF97" s="21"/>
      <c r="SYG97" s="21"/>
      <c r="SYH97" s="21"/>
      <c r="SYI97" s="21"/>
      <c r="SYJ97" s="21"/>
      <c r="SYK97" s="21"/>
      <c r="SYL97" s="21"/>
      <c r="SYM97" s="21"/>
      <c r="SYN97" s="21"/>
      <c r="SYO97" s="21"/>
      <c r="SYP97" s="21"/>
      <c r="SYQ97" s="21"/>
      <c r="SYR97" s="21"/>
      <c r="SYS97" s="21"/>
      <c r="SYT97" s="21"/>
      <c r="SYU97" s="21"/>
      <c r="SYV97" s="21"/>
      <c r="SYW97" s="21"/>
      <c r="SYX97" s="21"/>
      <c r="SYY97" s="21"/>
      <c r="SYZ97" s="21"/>
      <c r="SZA97" s="21"/>
      <c r="SZB97" s="21"/>
      <c r="SZC97" s="21"/>
      <c r="SZD97" s="21"/>
      <c r="SZE97" s="21"/>
      <c r="SZF97" s="21"/>
      <c r="SZG97" s="21"/>
      <c r="SZH97" s="21"/>
      <c r="SZI97" s="21"/>
      <c r="SZJ97" s="21"/>
      <c r="SZK97" s="21"/>
      <c r="SZL97" s="21"/>
      <c r="SZM97" s="21"/>
      <c r="SZN97" s="21"/>
      <c r="SZO97" s="21"/>
      <c r="SZP97" s="21"/>
      <c r="SZQ97" s="21"/>
      <c r="SZR97" s="21"/>
      <c r="SZS97" s="21"/>
      <c r="SZT97" s="21"/>
      <c r="SZU97" s="21"/>
      <c r="SZV97" s="21"/>
      <c r="SZW97" s="21"/>
      <c r="SZX97" s="21"/>
      <c r="SZY97" s="21"/>
      <c r="SZZ97" s="21"/>
      <c r="TAA97" s="21"/>
      <c r="TAB97" s="21"/>
      <c r="TAC97" s="21"/>
      <c r="TAD97" s="21"/>
      <c r="TAE97" s="21"/>
      <c r="TAF97" s="21"/>
      <c r="TAG97" s="21"/>
      <c r="TAH97" s="21"/>
      <c r="TAI97" s="21"/>
      <c r="TAJ97" s="21"/>
      <c r="TAK97" s="21"/>
      <c r="TAL97" s="21"/>
      <c r="TAM97" s="21"/>
      <c r="TAN97" s="21"/>
      <c r="TAO97" s="21"/>
      <c r="TAP97" s="21"/>
      <c r="TAQ97" s="21"/>
      <c r="TAR97" s="21"/>
      <c r="TAS97" s="21"/>
      <c r="TAT97" s="21"/>
      <c r="TAU97" s="21"/>
      <c r="TAV97" s="21"/>
      <c r="TAW97" s="21"/>
      <c r="TAX97" s="21"/>
      <c r="TAY97" s="21"/>
      <c r="TAZ97" s="21"/>
      <c r="TBA97" s="21"/>
      <c r="TBB97" s="21"/>
      <c r="TBC97" s="21"/>
      <c r="TBD97" s="21"/>
      <c r="TBE97" s="21"/>
      <c r="TBF97" s="21"/>
      <c r="TBG97" s="21"/>
      <c r="TBH97" s="21"/>
      <c r="TBI97" s="21"/>
      <c r="TBJ97" s="21"/>
      <c r="TBK97" s="21"/>
      <c r="TBL97" s="21"/>
      <c r="TBM97" s="21"/>
      <c r="TBN97" s="21"/>
      <c r="TBO97" s="21"/>
      <c r="TBP97" s="21"/>
      <c r="TBQ97" s="21"/>
      <c r="TBR97" s="21"/>
      <c r="TBS97" s="21"/>
      <c r="TBT97" s="21"/>
      <c r="TBU97" s="21"/>
      <c r="TBV97" s="21"/>
      <c r="TBW97" s="21"/>
      <c r="TBX97" s="21"/>
      <c r="TBY97" s="21"/>
      <c r="TBZ97" s="21"/>
      <c r="TCA97" s="21"/>
      <c r="TCB97" s="21"/>
      <c r="TCC97" s="21"/>
      <c r="TCD97" s="21"/>
      <c r="TCE97" s="21"/>
      <c r="TCF97" s="21"/>
      <c r="TCG97" s="21"/>
      <c r="TCH97" s="21"/>
      <c r="TCI97" s="21"/>
      <c r="TCJ97" s="21"/>
      <c r="TCK97" s="21"/>
      <c r="TCL97" s="21"/>
      <c r="TCM97" s="21"/>
      <c r="TCN97" s="21"/>
      <c r="TCO97" s="21"/>
      <c r="TCP97" s="21"/>
      <c r="TCQ97" s="21"/>
      <c r="TCR97" s="21"/>
      <c r="TCS97" s="21"/>
      <c r="TCT97" s="21"/>
      <c r="TCU97" s="21"/>
      <c r="TCV97" s="21"/>
      <c r="TCW97" s="21"/>
      <c r="TCX97" s="21"/>
      <c r="TCY97" s="21"/>
      <c r="TCZ97" s="21"/>
      <c r="TDA97" s="21"/>
      <c r="TDB97" s="21"/>
      <c r="TDC97" s="21"/>
      <c r="TDD97" s="21"/>
      <c r="TDE97" s="21"/>
      <c r="TDF97" s="21"/>
      <c r="TDG97" s="21"/>
      <c r="TDH97" s="21"/>
      <c r="TDI97" s="21"/>
      <c r="TDJ97" s="21"/>
      <c r="TDK97" s="21"/>
      <c r="TDL97" s="21"/>
      <c r="TDM97" s="21"/>
      <c r="TDN97" s="21"/>
      <c r="TDO97" s="21"/>
      <c r="TDP97" s="21"/>
      <c r="TDQ97" s="21"/>
      <c r="TDR97" s="21"/>
      <c r="TDS97" s="21"/>
      <c r="TDT97" s="21"/>
      <c r="TDU97" s="21"/>
      <c r="TDV97" s="21"/>
      <c r="TDW97" s="21"/>
      <c r="TDX97" s="21"/>
      <c r="TDY97" s="21"/>
      <c r="TDZ97" s="21"/>
      <c r="TEA97" s="21"/>
      <c r="TEB97" s="21"/>
      <c r="TEC97" s="21"/>
      <c r="TED97" s="21"/>
      <c r="TEE97" s="21"/>
      <c r="TEF97" s="21"/>
      <c r="TEG97" s="21"/>
      <c r="TEH97" s="21"/>
      <c r="TEI97" s="21"/>
      <c r="TEJ97" s="21"/>
      <c r="TEK97" s="21"/>
      <c r="TEL97" s="21"/>
      <c r="TEM97" s="21"/>
      <c r="TEN97" s="21"/>
      <c r="TEO97" s="21"/>
      <c r="TEP97" s="21"/>
      <c r="TEQ97" s="21"/>
      <c r="TER97" s="21"/>
      <c r="TES97" s="21"/>
      <c r="TET97" s="21"/>
      <c r="TEU97" s="21"/>
      <c r="TEV97" s="21"/>
      <c r="TEW97" s="21"/>
      <c r="TEX97" s="21"/>
      <c r="TEY97" s="21"/>
      <c r="TEZ97" s="21"/>
      <c r="TFA97" s="21"/>
      <c r="TFB97" s="21"/>
      <c r="TFC97" s="21"/>
      <c r="TFD97" s="21"/>
      <c r="TFE97" s="21"/>
      <c r="TFF97" s="21"/>
      <c r="TFG97" s="21"/>
      <c r="TFH97" s="21"/>
      <c r="TFI97" s="21"/>
      <c r="TFJ97" s="21"/>
      <c r="TFK97" s="21"/>
      <c r="TFL97" s="21"/>
      <c r="TFM97" s="21"/>
      <c r="TFN97" s="21"/>
      <c r="TFO97" s="21"/>
      <c r="TFP97" s="21"/>
      <c r="TFQ97" s="21"/>
      <c r="TFR97" s="21"/>
      <c r="TFS97" s="21"/>
      <c r="TFT97" s="21"/>
      <c r="TFU97" s="21"/>
      <c r="TFV97" s="21"/>
      <c r="TFW97" s="21"/>
      <c r="TFX97" s="21"/>
      <c r="TFY97" s="21"/>
      <c r="TFZ97" s="21"/>
      <c r="TGA97" s="21"/>
      <c r="TGB97" s="21"/>
      <c r="TGC97" s="21"/>
      <c r="TGD97" s="21"/>
      <c r="TGE97" s="21"/>
      <c r="TGF97" s="21"/>
      <c r="TGG97" s="21"/>
      <c r="TGH97" s="21"/>
      <c r="TGI97" s="21"/>
      <c r="TGJ97" s="21"/>
      <c r="TGK97" s="21"/>
      <c r="TGL97" s="21"/>
      <c r="TGM97" s="21"/>
      <c r="TGN97" s="21"/>
      <c r="TGO97" s="21"/>
      <c r="TGP97" s="21"/>
      <c r="TGQ97" s="21"/>
      <c r="TGR97" s="21"/>
      <c r="TGS97" s="21"/>
      <c r="TGT97" s="21"/>
      <c r="TGU97" s="21"/>
      <c r="TGV97" s="21"/>
      <c r="TGW97" s="21"/>
      <c r="TGX97" s="21"/>
      <c r="TGY97" s="21"/>
      <c r="TGZ97" s="21"/>
      <c r="THA97" s="21"/>
      <c r="THB97" s="21"/>
      <c r="THC97" s="21"/>
      <c r="THD97" s="21"/>
      <c r="THE97" s="21"/>
      <c r="THF97" s="21"/>
      <c r="THG97" s="21"/>
      <c r="THH97" s="21"/>
      <c r="THI97" s="21"/>
      <c r="THJ97" s="21"/>
      <c r="THK97" s="21"/>
      <c r="THL97" s="21"/>
      <c r="THM97" s="21"/>
      <c r="THN97" s="21"/>
      <c r="THO97" s="21"/>
      <c r="THP97" s="21"/>
      <c r="THQ97" s="21"/>
      <c r="THR97" s="21"/>
      <c r="THS97" s="21"/>
      <c r="THT97" s="21"/>
      <c r="THU97" s="21"/>
      <c r="THV97" s="21"/>
      <c r="THW97" s="21"/>
      <c r="THX97" s="21"/>
      <c r="THY97" s="21"/>
      <c r="THZ97" s="21"/>
      <c r="TIA97" s="21"/>
      <c r="TIB97" s="21"/>
      <c r="TIC97" s="21"/>
      <c r="TID97" s="21"/>
      <c r="TIE97" s="21"/>
      <c r="TIF97" s="21"/>
      <c r="TIG97" s="21"/>
      <c r="TIH97" s="21"/>
      <c r="TII97" s="21"/>
      <c r="TIJ97" s="21"/>
      <c r="TIK97" s="21"/>
      <c r="TIL97" s="21"/>
      <c r="TIM97" s="21"/>
      <c r="TIN97" s="21"/>
      <c r="TIO97" s="21"/>
      <c r="TIP97" s="21"/>
      <c r="TIQ97" s="21"/>
      <c r="TIR97" s="21"/>
      <c r="TIS97" s="21"/>
      <c r="TIT97" s="21"/>
      <c r="TIU97" s="21"/>
      <c r="TIV97" s="21"/>
      <c r="TIW97" s="21"/>
      <c r="TIX97" s="21"/>
      <c r="TIY97" s="21"/>
      <c r="TIZ97" s="21"/>
      <c r="TJA97" s="21"/>
      <c r="TJB97" s="21"/>
      <c r="TJC97" s="21"/>
      <c r="TJD97" s="21"/>
      <c r="TJE97" s="21"/>
      <c r="TJF97" s="21"/>
      <c r="TJG97" s="21"/>
      <c r="TJH97" s="21"/>
      <c r="TJI97" s="21"/>
      <c r="TJJ97" s="21"/>
      <c r="TJK97" s="21"/>
      <c r="TJL97" s="21"/>
      <c r="TJM97" s="21"/>
      <c r="TJN97" s="21"/>
      <c r="TJO97" s="21"/>
      <c r="TJP97" s="21"/>
      <c r="TJQ97" s="21"/>
      <c r="TJR97" s="21"/>
      <c r="TJS97" s="21"/>
      <c r="TJT97" s="21"/>
      <c r="TJU97" s="21"/>
      <c r="TJV97" s="21"/>
      <c r="TJW97" s="21"/>
      <c r="TJX97" s="21"/>
      <c r="TJY97" s="21"/>
      <c r="TJZ97" s="21"/>
      <c r="TKA97" s="21"/>
      <c r="TKB97" s="21"/>
      <c r="TKC97" s="21"/>
      <c r="TKD97" s="21"/>
      <c r="TKE97" s="21"/>
      <c r="TKF97" s="21"/>
      <c r="TKG97" s="21"/>
      <c r="TKH97" s="21"/>
      <c r="TKI97" s="21"/>
      <c r="TKJ97" s="21"/>
      <c r="TKK97" s="21"/>
      <c r="TKL97" s="21"/>
      <c r="TKM97" s="21"/>
      <c r="TKN97" s="21"/>
      <c r="TKO97" s="21"/>
      <c r="TKP97" s="21"/>
      <c r="TKQ97" s="21"/>
      <c r="TKR97" s="21"/>
      <c r="TKS97" s="21"/>
      <c r="TKT97" s="21"/>
      <c r="TKU97" s="21"/>
      <c r="TKV97" s="21"/>
      <c r="TKW97" s="21"/>
      <c r="TKX97" s="21"/>
      <c r="TKY97" s="21"/>
      <c r="TKZ97" s="21"/>
      <c r="TLA97" s="21"/>
      <c r="TLB97" s="21"/>
      <c r="TLC97" s="21"/>
      <c r="TLD97" s="21"/>
      <c r="TLE97" s="21"/>
      <c r="TLF97" s="21"/>
      <c r="TLG97" s="21"/>
      <c r="TLH97" s="21"/>
      <c r="TLI97" s="21"/>
      <c r="TLJ97" s="21"/>
      <c r="TLK97" s="21"/>
      <c r="TLL97" s="21"/>
      <c r="TLM97" s="21"/>
      <c r="TLN97" s="21"/>
      <c r="TLO97" s="21"/>
      <c r="TLP97" s="21"/>
      <c r="TLQ97" s="21"/>
      <c r="TLR97" s="21"/>
      <c r="TLS97" s="21"/>
      <c r="TLT97" s="21"/>
      <c r="TLU97" s="21"/>
      <c r="TLV97" s="21"/>
      <c r="TLW97" s="21"/>
      <c r="TLX97" s="21"/>
      <c r="TLY97" s="21"/>
      <c r="TLZ97" s="21"/>
      <c r="TMA97" s="21"/>
      <c r="TMB97" s="21"/>
      <c r="TMC97" s="21"/>
      <c r="TMD97" s="21"/>
      <c r="TME97" s="21"/>
      <c r="TMF97" s="21"/>
      <c r="TMG97" s="21"/>
      <c r="TMH97" s="21"/>
      <c r="TMI97" s="21"/>
      <c r="TMJ97" s="21"/>
      <c r="TMK97" s="21"/>
      <c r="TML97" s="21"/>
      <c r="TMM97" s="21"/>
      <c r="TMN97" s="21"/>
      <c r="TMO97" s="21"/>
      <c r="TMP97" s="21"/>
      <c r="TMQ97" s="21"/>
      <c r="TMR97" s="21"/>
      <c r="TMS97" s="21"/>
      <c r="TMT97" s="21"/>
      <c r="TMU97" s="21"/>
      <c r="TMV97" s="21"/>
      <c r="TMW97" s="21"/>
      <c r="TMX97" s="21"/>
      <c r="TMY97" s="21"/>
      <c r="TMZ97" s="21"/>
      <c r="TNA97" s="21"/>
      <c r="TNB97" s="21"/>
      <c r="TNC97" s="21"/>
      <c r="TND97" s="21"/>
      <c r="TNE97" s="21"/>
      <c r="TNF97" s="21"/>
      <c r="TNG97" s="21"/>
      <c r="TNH97" s="21"/>
      <c r="TNI97" s="21"/>
      <c r="TNJ97" s="21"/>
      <c r="TNK97" s="21"/>
      <c r="TNL97" s="21"/>
      <c r="TNM97" s="21"/>
      <c r="TNN97" s="21"/>
      <c r="TNO97" s="21"/>
      <c r="TNP97" s="21"/>
      <c r="TNQ97" s="21"/>
      <c r="TNR97" s="21"/>
      <c r="TNS97" s="21"/>
      <c r="TNT97" s="21"/>
      <c r="TNU97" s="21"/>
      <c r="TNV97" s="21"/>
      <c r="TNW97" s="21"/>
      <c r="TNX97" s="21"/>
      <c r="TNY97" s="21"/>
      <c r="TNZ97" s="21"/>
      <c r="TOA97" s="21"/>
      <c r="TOB97" s="21"/>
      <c r="TOC97" s="21"/>
      <c r="TOD97" s="21"/>
      <c r="TOE97" s="21"/>
      <c r="TOF97" s="21"/>
      <c r="TOG97" s="21"/>
      <c r="TOH97" s="21"/>
      <c r="TOI97" s="21"/>
      <c r="TOJ97" s="21"/>
      <c r="TOK97" s="21"/>
      <c r="TOL97" s="21"/>
      <c r="TOM97" s="21"/>
      <c r="TON97" s="21"/>
      <c r="TOO97" s="21"/>
      <c r="TOP97" s="21"/>
      <c r="TOQ97" s="21"/>
      <c r="TOR97" s="21"/>
      <c r="TOS97" s="21"/>
      <c r="TOT97" s="21"/>
      <c r="TOU97" s="21"/>
      <c r="TOV97" s="21"/>
      <c r="TOW97" s="21"/>
      <c r="TOX97" s="21"/>
      <c r="TOY97" s="21"/>
      <c r="TOZ97" s="21"/>
      <c r="TPA97" s="21"/>
      <c r="TPB97" s="21"/>
      <c r="TPC97" s="21"/>
      <c r="TPD97" s="21"/>
      <c r="TPE97" s="21"/>
      <c r="TPF97" s="21"/>
      <c r="TPG97" s="21"/>
      <c r="TPH97" s="21"/>
      <c r="TPI97" s="21"/>
      <c r="TPJ97" s="21"/>
      <c r="TPK97" s="21"/>
      <c r="TPL97" s="21"/>
      <c r="TPM97" s="21"/>
      <c r="TPN97" s="21"/>
      <c r="TPO97" s="21"/>
      <c r="TPP97" s="21"/>
      <c r="TPQ97" s="21"/>
      <c r="TPR97" s="21"/>
      <c r="TPS97" s="21"/>
      <c r="TPT97" s="21"/>
      <c r="TPU97" s="21"/>
      <c r="TPV97" s="21"/>
      <c r="TPW97" s="21"/>
      <c r="TPX97" s="21"/>
      <c r="TPY97" s="21"/>
      <c r="TPZ97" s="21"/>
      <c r="TQA97" s="21"/>
      <c r="TQB97" s="21"/>
      <c r="TQC97" s="21"/>
      <c r="TQD97" s="21"/>
      <c r="TQE97" s="21"/>
      <c r="TQF97" s="21"/>
      <c r="TQG97" s="21"/>
      <c r="TQH97" s="21"/>
      <c r="TQI97" s="21"/>
      <c r="TQJ97" s="21"/>
      <c r="TQK97" s="21"/>
      <c r="TQL97" s="21"/>
      <c r="TQM97" s="21"/>
      <c r="TQN97" s="21"/>
      <c r="TQO97" s="21"/>
      <c r="TQP97" s="21"/>
      <c r="TQQ97" s="21"/>
      <c r="TQR97" s="21"/>
      <c r="TQS97" s="21"/>
      <c r="TQT97" s="21"/>
      <c r="TQU97" s="21"/>
      <c r="TQV97" s="21"/>
      <c r="TQW97" s="21"/>
      <c r="TQX97" s="21"/>
      <c r="TQY97" s="21"/>
      <c r="TQZ97" s="21"/>
      <c r="TRA97" s="21"/>
      <c r="TRB97" s="21"/>
      <c r="TRC97" s="21"/>
      <c r="TRD97" s="21"/>
      <c r="TRE97" s="21"/>
      <c r="TRF97" s="21"/>
      <c r="TRG97" s="21"/>
      <c r="TRH97" s="21"/>
      <c r="TRI97" s="21"/>
      <c r="TRJ97" s="21"/>
      <c r="TRK97" s="21"/>
      <c r="TRL97" s="21"/>
      <c r="TRM97" s="21"/>
      <c r="TRN97" s="21"/>
      <c r="TRO97" s="21"/>
      <c r="TRP97" s="21"/>
      <c r="TRQ97" s="21"/>
      <c r="TRR97" s="21"/>
      <c r="TRS97" s="21"/>
      <c r="TRT97" s="21"/>
      <c r="TRU97" s="21"/>
      <c r="TRV97" s="21"/>
      <c r="TRW97" s="21"/>
      <c r="TRX97" s="21"/>
      <c r="TRY97" s="21"/>
      <c r="TRZ97" s="21"/>
      <c r="TSA97" s="21"/>
      <c r="TSB97" s="21"/>
      <c r="TSC97" s="21"/>
      <c r="TSD97" s="21"/>
      <c r="TSE97" s="21"/>
      <c r="TSF97" s="21"/>
      <c r="TSG97" s="21"/>
      <c r="TSH97" s="21"/>
      <c r="TSI97" s="21"/>
      <c r="TSJ97" s="21"/>
      <c r="TSK97" s="21"/>
      <c r="TSL97" s="21"/>
      <c r="TSM97" s="21"/>
      <c r="TSN97" s="21"/>
      <c r="TSO97" s="21"/>
      <c r="TSP97" s="21"/>
      <c r="TSQ97" s="21"/>
      <c r="TSR97" s="21"/>
      <c r="TSS97" s="21"/>
      <c r="TST97" s="21"/>
      <c r="TSU97" s="21"/>
      <c r="TSV97" s="21"/>
      <c r="TSW97" s="21"/>
      <c r="TSX97" s="21"/>
      <c r="TSY97" s="21"/>
      <c r="TSZ97" s="21"/>
      <c r="TTA97" s="21"/>
      <c r="TTB97" s="21"/>
      <c r="TTC97" s="21"/>
      <c r="TTD97" s="21"/>
      <c r="TTE97" s="21"/>
      <c r="TTF97" s="21"/>
      <c r="TTG97" s="21"/>
      <c r="TTH97" s="21"/>
      <c r="TTI97" s="21"/>
      <c r="TTJ97" s="21"/>
      <c r="TTK97" s="21"/>
      <c r="TTL97" s="21"/>
      <c r="TTM97" s="21"/>
      <c r="TTN97" s="21"/>
      <c r="TTO97" s="21"/>
      <c r="TTP97" s="21"/>
      <c r="TTQ97" s="21"/>
      <c r="TTR97" s="21"/>
      <c r="TTS97" s="21"/>
      <c r="TTT97" s="21"/>
      <c r="TTU97" s="21"/>
      <c r="TTV97" s="21"/>
      <c r="TTW97" s="21"/>
      <c r="TTX97" s="21"/>
      <c r="TTY97" s="21"/>
      <c r="TTZ97" s="21"/>
      <c r="TUA97" s="21"/>
      <c r="TUB97" s="21"/>
      <c r="TUC97" s="21"/>
      <c r="TUD97" s="21"/>
      <c r="TUE97" s="21"/>
      <c r="TUF97" s="21"/>
      <c r="TUG97" s="21"/>
      <c r="TUH97" s="21"/>
      <c r="TUI97" s="21"/>
      <c r="TUJ97" s="21"/>
      <c r="TUK97" s="21"/>
      <c r="TUL97" s="21"/>
      <c r="TUM97" s="21"/>
      <c r="TUN97" s="21"/>
      <c r="TUO97" s="21"/>
      <c r="TUP97" s="21"/>
      <c r="TUQ97" s="21"/>
      <c r="TUR97" s="21"/>
      <c r="TUS97" s="21"/>
      <c r="TUT97" s="21"/>
      <c r="TUU97" s="21"/>
      <c r="TUV97" s="21"/>
      <c r="TUW97" s="21"/>
      <c r="TUX97" s="21"/>
      <c r="TUY97" s="21"/>
      <c r="TUZ97" s="21"/>
      <c r="TVA97" s="21"/>
      <c r="TVB97" s="21"/>
      <c r="TVC97" s="21"/>
      <c r="TVD97" s="21"/>
      <c r="TVE97" s="21"/>
      <c r="TVF97" s="21"/>
      <c r="TVG97" s="21"/>
      <c r="TVH97" s="21"/>
      <c r="TVI97" s="21"/>
      <c r="TVJ97" s="21"/>
      <c r="TVK97" s="21"/>
      <c r="TVL97" s="21"/>
      <c r="TVM97" s="21"/>
      <c r="TVN97" s="21"/>
      <c r="TVO97" s="21"/>
      <c r="TVP97" s="21"/>
      <c r="TVQ97" s="21"/>
      <c r="TVR97" s="21"/>
      <c r="TVS97" s="21"/>
      <c r="TVT97" s="21"/>
      <c r="TVU97" s="21"/>
      <c r="TVV97" s="21"/>
      <c r="TVW97" s="21"/>
      <c r="TVX97" s="21"/>
      <c r="TVY97" s="21"/>
      <c r="TVZ97" s="21"/>
      <c r="TWA97" s="21"/>
      <c r="TWB97" s="21"/>
      <c r="TWC97" s="21"/>
      <c r="TWD97" s="21"/>
      <c r="TWE97" s="21"/>
      <c r="TWF97" s="21"/>
      <c r="TWG97" s="21"/>
      <c r="TWH97" s="21"/>
      <c r="TWI97" s="21"/>
      <c r="TWJ97" s="21"/>
      <c r="TWK97" s="21"/>
      <c r="TWL97" s="21"/>
      <c r="TWM97" s="21"/>
      <c r="TWN97" s="21"/>
      <c r="TWO97" s="21"/>
      <c r="TWP97" s="21"/>
      <c r="TWQ97" s="21"/>
      <c r="TWR97" s="21"/>
      <c r="TWS97" s="21"/>
      <c r="TWT97" s="21"/>
      <c r="TWU97" s="21"/>
      <c r="TWV97" s="21"/>
      <c r="TWW97" s="21"/>
      <c r="TWX97" s="21"/>
      <c r="TWY97" s="21"/>
      <c r="TWZ97" s="21"/>
      <c r="TXA97" s="21"/>
      <c r="TXB97" s="21"/>
      <c r="TXC97" s="21"/>
      <c r="TXD97" s="21"/>
      <c r="TXE97" s="21"/>
      <c r="TXF97" s="21"/>
      <c r="TXG97" s="21"/>
      <c r="TXH97" s="21"/>
      <c r="TXI97" s="21"/>
      <c r="TXJ97" s="21"/>
      <c r="TXK97" s="21"/>
      <c r="TXL97" s="21"/>
      <c r="TXM97" s="21"/>
      <c r="TXN97" s="21"/>
      <c r="TXO97" s="21"/>
      <c r="TXP97" s="21"/>
      <c r="TXQ97" s="21"/>
      <c r="TXR97" s="21"/>
      <c r="TXS97" s="21"/>
      <c r="TXT97" s="21"/>
      <c r="TXU97" s="21"/>
      <c r="TXV97" s="21"/>
      <c r="TXW97" s="21"/>
      <c r="TXX97" s="21"/>
      <c r="TXY97" s="21"/>
      <c r="TXZ97" s="21"/>
      <c r="TYA97" s="21"/>
      <c r="TYB97" s="21"/>
      <c r="TYC97" s="21"/>
      <c r="TYD97" s="21"/>
      <c r="TYE97" s="21"/>
      <c r="TYF97" s="21"/>
      <c r="TYG97" s="21"/>
      <c r="TYH97" s="21"/>
      <c r="TYI97" s="21"/>
      <c r="TYJ97" s="21"/>
      <c r="TYK97" s="21"/>
      <c r="TYL97" s="21"/>
      <c r="TYM97" s="21"/>
      <c r="TYN97" s="21"/>
      <c r="TYO97" s="21"/>
      <c r="TYP97" s="21"/>
      <c r="TYQ97" s="21"/>
      <c r="TYR97" s="21"/>
      <c r="TYS97" s="21"/>
      <c r="TYT97" s="21"/>
      <c r="TYU97" s="21"/>
      <c r="TYV97" s="21"/>
      <c r="TYW97" s="21"/>
      <c r="TYX97" s="21"/>
      <c r="TYY97" s="21"/>
      <c r="TYZ97" s="21"/>
      <c r="TZA97" s="21"/>
      <c r="TZB97" s="21"/>
      <c r="TZC97" s="21"/>
      <c r="TZD97" s="21"/>
      <c r="TZE97" s="21"/>
      <c r="TZF97" s="21"/>
      <c r="TZG97" s="21"/>
      <c r="TZH97" s="21"/>
      <c r="TZI97" s="21"/>
      <c r="TZJ97" s="21"/>
      <c r="TZK97" s="21"/>
      <c r="TZL97" s="21"/>
      <c r="TZM97" s="21"/>
      <c r="TZN97" s="21"/>
      <c r="TZO97" s="21"/>
      <c r="TZP97" s="21"/>
      <c r="TZQ97" s="21"/>
      <c r="TZR97" s="21"/>
      <c r="TZS97" s="21"/>
      <c r="TZT97" s="21"/>
      <c r="TZU97" s="21"/>
      <c r="TZV97" s="21"/>
      <c r="TZW97" s="21"/>
      <c r="TZX97" s="21"/>
      <c r="TZY97" s="21"/>
      <c r="TZZ97" s="21"/>
      <c r="UAA97" s="21"/>
      <c r="UAB97" s="21"/>
      <c r="UAC97" s="21"/>
      <c r="UAD97" s="21"/>
      <c r="UAE97" s="21"/>
      <c r="UAF97" s="21"/>
      <c r="UAG97" s="21"/>
      <c r="UAH97" s="21"/>
      <c r="UAI97" s="21"/>
      <c r="UAJ97" s="21"/>
      <c r="UAK97" s="21"/>
      <c r="UAL97" s="21"/>
      <c r="UAM97" s="21"/>
      <c r="UAN97" s="21"/>
      <c r="UAO97" s="21"/>
      <c r="UAP97" s="21"/>
      <c r="UAQ97" s="21"/>
      <c r="UAR97" s="21"/>
      <c r="UAS97" s="21"/>
      <c r="UAT97" s="21"/>
      <c r="UAU97" s="21"/>
      <c r="UAV97" s="21"/>
      <c r="UAW97" s="21"/>
      <c r="UAX97" s="21"/>
      <c r="UAY97" s="21"/>
      <c r="UAZ97" s="21"/>
      <c r="UBA97" s="21"/>
      <c r="UBB97" s="21"/>
      <c r="UBC97" s="21"/>
      <c r="UBD97" s="21"/>
      <c r="UBE97" s="21"/>
      <c r="UBF97" s="21"/>
      <c r="UBG97" s="21"/>
      <c r="UBH97" s="21"/>
      <c r="UBI97" s="21"/>
      <c r="UBJ97" s="21"/>
      <c r="UBK97" s="21"/>
      <c r="UBL97" s="21"/>
      <c r="UBM97" s="21"/>
      <c r="UBN97" s="21"/>
      <c r="UBO97" s="21"/>
      <c r="UBP97" s="21"/>
      <c r="UBQ97" s="21"/>
      <c r="UBR97" s="21"/>
      <c r="UBS97" s="21"/>
      <c r="UBT97" s="21"/>
      <c r="UBU97" s="21"/>
      <c r="UBV97" s="21"/>
      <c r="UBW97" s="21"/>
      <c r="UBX97" s="21"/>
      <c r="UBY97" s="21"/>
      <c r="UBZ97" s="21"/>
      <c r="UCA97" s="21"/>
      <c r="UCB97" s="21"/>
      <c r="UCC97" s="21"/>
      <c r="UCD97" s="21"/>
      <c r="UCE97" s="21"/>
      <c r="UCF97" s="21"/>
      <c r="UCG97" s="21"/>
      <c r="UCH97" s="21"/>
      <c r="UCI97" s="21"/>
      <c r="UCJ97" s="21"/>
      <c r="UCK97" s="21"/>
      <c r="UCL97" s="21"/>
      <c r="UCM97" s="21"/>
      <c r="UCN97" s="21"/>
      <c r="UCO97" s="21"/>
      <c r="UCP97" s="21"/>
      <c r="UCQ97" s="21"/>
      <c r="UCR97" s="21"/>
      <c r="UCS97" s="21"/>
      <c r="UCT97" s="21"/>
      <c r="UCU97" s="21"/>
      <c r="UCV97" s="21"/>
      <c r="UCW97" s="21"/>
      <c r="UCX97" s="21"/>
      <c r="UCY97" s="21"/>
      <c r="UCZ97" s="21"/>
      <c r="UDA97" s="21"/>
      <c r="UDB97" s="21"/>
      <c r="UDC97" s="21"/>
      <c r="UDD97" s="21"/>
      <c r="UDE97" s="21"/>
      <c r="UDF97" s="21"/>
      <c r="UDG97" s="21"/>
      <c r="UDH97" s="21"/>
      <c r="UDI97" s="21"/>
      <c r="UDJ97" s="21"/>
      <c r="UDK97" s="21"/>
      <c r="UDL97" s="21"/>
      <c r="UDM97" s="21"/>
      <c r="UDN97" s="21"/>
      <c r="UDO97" s="21"/>
      <c r="UDP97" s="21"/>
      <c r="UDQ97" s="21"/>
      <c r="UDR97" s="21"/>
      <c r="UDS97" s="21"/>
      <c r="UDT97" s="21"/>
      <c r="UDU97" s="21"/>
      <c r="UDV97" s="21"/>
      <c r="UDW97" s="21"/>
      <c r="UDX97" s="21"/>
      <c r="UDY97" s="21"/>
      <c r="UDZ97" s="21"/>
      <c r="UEA97" s="21"/>
      <c r="UEB97" s="21"/>
      <c r="UEC97" s="21"/>
      <c r="UED97" s="21"/>
      <c r="UEE97" s="21"/>
      <c r="UEF97" s="21"/>
      <c r="UEG97" s="21"/>
      <c r="UEH97" s="21"/>
      <c r="UEI97" s="21"/>
      <c r="UEJ97" s="21"/>
      <c r="UEK97" s="21"/>
      <c r="UEL97" s="21"/>
      <c r="UEM97" s="21"/>
      <c r="UEN97" s="21"/>
      <c r="UEO97" s="21"/>
      <c r="UEP97" s="21"/>
      <c r="UEQ97" s="21"/>
      <c r="UER97" s="21"/>
      <c r="UES97" s="21"/>
      <c r="UET97" s="21"/>
      <c r="UEU97" s="21"/>
      <c r="UEV97" s="21"/>
      <c r="UEW97" s="21"/>
      <c r="UEX97" s="21"/>
      <c r="UEY97" s="21"/>
      <c r="UEZ97" s="21"/>
      <c r="UFA97" s="21"/>
      <c r="UFB97" s="21"/>
      <c r="UFC97" s="21"/>
      <c r="UFD97" s="21"/>
      <c r="UFE97" s="21"/>
      <c r="UFF97" s="21"/>
      <c r="UFG97" s="21"/>
      <c r="UFH97" s="21"/>
      <c r="UFI97" s="21"/>
      <c r="UFJ97" s="21"/>
      <c r="UFK97" s="21"/>
      <c r="UFL97" s="21"/>
      <c r="UFM97" s="21"/>
      <c r="UFN97" s="21"/>
      <c r="UFO97" s="21"/>
      <c r="UFP97" s="21"/>
      <c r="UFQ97" s="21"/>
      <c r="UFR97" s="21"/>
      <c r="UFS97" s="21"/>
      <c r="UFT97" s="21"/>
      <c r="UFU97" s="21"/>
      <c r="UFV97" s="21"/>
      <c r="UFW97" s="21"/>
      <c r="UFX97" s="21"/>
      <c r="UFY97" s="21"/>
      <c r="UFZ97" s="21"/>
      <c r="UGA97" s="21"/>
      <c r="UGB97" s="21"/>
      <c r="UGC97" s="21"/>
      <c r="UGD97" s="21"/>
      <c r="UGE97" s="21"/>
      <c r="UGF97" s="21"/>
      <c r="UGG97" s="21"/>
      <c r="UGH97" s="21"/>
      <c r="UGI97" s="21"/>
      <c r="UGJ97" s="21"/>
      <c r="UGK97" s="21"/>
      <c r="UGL97" s="21"/>
      <c r="UGM97" s="21"/>
      <c r="UGN97" s="21"/>
      <c r="UGO97" s="21"/>
      <c r="UGP97" s="21"/>
      <c r="UGQ97" s="21"/>
      <c r="UGR97" s="21"/>
      <c r="UGS97" s="21"/>
      <c r="UGT97" s="21"/>
      <c r="UGU97" s="21"/>
      <c r="UGV97" s="21"/>
      <c r="UGW97" s="21"/>
      <c r="UGX97" s="21"/>
      <c r="UGY97" s="21"/>
      <c r="UGZ97" s="21"/>
      <c r="UHA97" s="21"/>
      <c r="UHB97" s="21"/>
      <c r="UHC97" s="21"/>
      <c r="UHD97" s="21"/>
      <c r="UHE97" s="21"/>
      <c r="UHF97" s="21"/>
      <c r="UHG97" s="21"/>
      <c r="UHH97" s="21"/>
      <c r="UHI97" s="21"/>
      <c r="UHJ97" s="21"/>
      <c r="UHK97" s="21"/>
      <c r="UHL97" s="21"/>
      <c r="UHM97" s="21"/>
      <c r="UHN97" s="21"/>
      <c r="UHO97" s="21"/>
      <c r="UHP97" s="21"/>
      <c r="UHQ97" s="21"/>
      <c r="UHR97" s="21"/>
      <c r="UHS97" s="21"/>
      <c r="UHT97" s="21"/>
      <c r="UHU97" s="21"/>
      <c r="UHV97" s="21"/>
      <c r="UHW97" s="21"/>
      <c r="UHX97" s="21"/>
      <c r="UHY97" s="21"/>
      <c r="UHZ97" s="21"/>
      <c r="UIA97" s="21"/>
      <c r="UIB97" s="21"/>
      <c r="UIC97" s="21"/>
      <c r="UID97" s="21"/>
      <c r="UIE97" s="21"/>
      <c r="UIF97" s="21"/>
      <c r="UIG97" s="21"/>
      <c r="UIH97" s="21"/>
      <c r="UII97" s="21"/>
      <c r="UIJ97" s="21"/>
      <c r="UIK97" s="21"/>
      <c r="UIL97" s="21"/>
      <c r="UIM97" s="21"/>
      <c r="UIN97" s="21"/>
      <c r="UIO97" s="21"/>
      <c r="UIP97" s="21"/>
      <c r="UIQ97" s="21"/>
      <c r="UIR97" s="21"/>
      <c r="UIS97" s="21"/>
      <c r="UIT97" s="21"/>
      <c r="UIU97" s="21"/>
      <c r="UIV97" s="21"/>
      <c r="UIW97" s="21"/>
      <c r="UIX97" s="21"/>
      <c r="UIY97" s="21"/>
      <c r="UIZ97" s="21"/>
      <c r="UJA97" s="21"/>
      <c r="UJB97" s="21"/>
      <c r="UJC97" s="21"/>
      <c r="UJD97" s="21"/>
      <c r="UJE97" s="21"/>
      <c r="UJF97" s="21"/>
      <c r="UJG97" s="21"/>
      <c r="UJH97" s="21"/>
      <c r="UJI97" s="21"/>
      <c r="UJJ97" s="21"/>
      <c r="UJK97" s="21"/>
      <c r="UJL97" s="21"/>
      <c r="UJM97" s="21"/>
      <c r="UJN97" s="21"/>
      <c r="UJO97" s="21"/>
      <c r="UJP97" s="21"/>
      <c r="UJQ97" s="21"/>
      <c r="UJR97" s="21"/>
      <c r="UJS97" s="21"/>
      <c r="UJT97" s="21"/>
      <c r="UJU97" s="21"/>
      <c r="UJV97" s="21"/>
      <c r="UJW97" s="21"/>
      <c r="UJX97" s="21"/>
      <c r="UJY97" s="21"/>
      <c r="UJZ97" s="21"/>
      <c r="UKA97" s="21"/>
      <c r="UKB97" s="21"/>
      <c r="UKC97" s="21"/>
      <c r="UKD97" s="21"/>
      <c r="UKE97" s="21"/>
      <c r="UKF97" s="21"/>
      <c r="UKG97" s="21"/>
      <c r="UKH97" s="21"/>
      <c r="UKI97" s="21"/>
      <c r="UKJ97" s="21"/>
      <c r="UKK97" s="21"/>
      <c r="UKL97" s="21"/>
      <c r="UKM97" s="21"/>
      <c r="UKN97" s="21"/>
      <c r="UKO97" s="21"/>
      <c r="UKP97" s="21"/>
      <c r="UKQ97" s="21"/>
      <c r="UKR97" s="21"/>
      <c r="UKS97" s="21"/>
      <c r="UKT97" s="21"/>
      <c r="UKU97" s="21"/>
      <c r="UKV97" s="21"/>
      <c r="UKW97" s="21"/>
      <c r="UKX97" s="21"/>
      <c r="UKY97" s="21"/>
      <c r="UKZ97" s="21"/>
      <c r="ULA97" s="21"/>
      <c r="ULB97" s="21"/>
      <c r="ULC97" s="21"/>
      <c r="ULD97" s="21"/>
      <c r="ULE97" s="21"/>
      <c r="ULF97" s="21"/>
      <c r="ULG97" s="21"/>
      <c r="ULH97" s="21"/>
      <c r="ULI97" s="21"/>
      <c r="ULJ97" s="21"/>
      <c r="ULK97" s="21"/>
      <c r="ULL97" s="21"/>
      <c r="ULM97" s="21"/>
      <c r="ULN97" s="21"/>
      <c r="ULO97" s="21"/>
      <c r="ULP97" s="21"/>
      <c r="ULQ97" s="21"/>
      <c r="ULR97" s="21"/>
      <c r="ULS97" s="21"/>
      <c r="ULT97" s="21"/>
      <c r="ULU97" s="21"/>
      <c r="ULV97" s="21"/>
      <c r="ULW97" s="21"/>
      <c r="ULX97" s="21"/>
      <c r="ULY97" s="21"/>
      <c r="ULZ97" s="21"/>
      <c r="UMA97" s="21"/>
      <c r="UMB97" s="21"/>
      <c r="UMC97" s="21"/>
      <c r="UMD97" s="21"/>
      <c r="UME97" s="21"/>
      <c r="UMF97" s="21"/>
      <c r="UMG97" s="21"/>
      <c r="UMH97" s="21"/>
      <c r="UMI97" s="21"/>
      <c r="UMJ97" s="21"/>
      <c r="UMK97" s="21"/>
      <c r="UML97" s="21"/>
      <c r="UMM97" s="21"/>
      <c r="UMN97" s="21"/>
      <c r="UMO97" s="21"/>
      <c r="UMP97" s="21"/>
      <c r="UMQ97" s="21"/>
      <c r="UMR97" s="21"/>
      <c r="UMS97" s="21"/>
      <c r="UMT97" s="21"/>
      <c r="UMU97" s="21"/>
      <c r="UMV97" s="21"/>
      <c r="UMW97" s="21"/>
      <c r="UMX97" s="21"/>
      <c r="UMY97" s="21"/>
      <c r="UMZ97" s="21"/>
      <c r="UNA97" s="21"/>
      <c r="UNB97" s="21"/>
      <c r="UNC97" s="21"/>
      <c r="UND97" s="21"/>
      <c r="UNE97" s="21"/>
      <c r="UNF97" s="21"/>
      <c r="UNG97" s="21"/>
      <c r="UNH97" s="21"/>
      <c r="UNI97" s="21"/>
      <c r="UNJ97" s="21"/>
      <c r="UNK97" s="21"/>
      <c r="UNL97" s="21"/>
      <c r="UNM97" s="21"/>
      <c r="UNN97" s="21"/>
      <c r="UNO97" s="21"/>
      <c r="UNP97" s="21"/>
      <c r="UNQ97" s="21"/>
      <c r="UNR97" s="21"/>
      <c r="UNS97" s="21"/>
      <c r="UNT97" s="21"/>
      <c r="UNU97" s="21"/>
      <c r="UNV97" s="21"/>
      <c r="UNW97" s="21"/>
      <c r="UNX97" s="21"/>
      <c r="UNY97" s="21"/>
      <c r="UNZ97" s="21"/>
      <c r="UOA97" s="21"/>
      <c r="UOB97" s="21"/>
      <c r="UOC97" s="21"/>
      <c r="UOD97" s="21"/>
      <c r="UOE97" s="21"/>
      <c r="UOF97" s="21"/>
      <c r="UOG97" s="21"/>
      <c r="UOH97" s="21"/>
      <c r="UOI97" s="21"/>
      <c r="UOJ97" s="21"/>
      <c r="UOK97" s="21"/>
      <c r="UOL97" s="21"/>
      <c r="UOM97" s="21"/>
      <c r="UON97" s="21"/>
      <c r="UOO97" s="21"/>
      <c r="UOP97" s="21"/>
      <c r="UOQ97" s="21"/>
      <c r="UOR97" s="21"/>
      <c r="UOS97" s="21"/>
      <c r="UOT97" s="21"/>
      <c r="UOU97" s="21"/>
      <c r="UOV97" s="21"/>
      <c r="UOW97" s="21"/>
      <c r="UOX97" s="21"/>
      <c r="UOY97" s="21"/>
      <c r="UOZ97" s="21"/>
      <c r="UPA97" s="21"/>
      <c r="UPB97" s="21"/>
      <c r="UPC97" s="21"/>
      <c r="UPD97" s="21"/>
      <c r="UPE97" s="21"/>
      <c r="UPF97" s="21"/>
      <c r="UPG97" s="21"/>
      <c r="UPH97" s="21"/>
      <c r="UPI97" s="21"/>
      <c r="UPJ97" s="21"/>
      <c r="UPK97" s="21"/>
      <c r="UPL97" s="21"/>
      <c r="UPM97" s="21"/>
      <c r="UPN97" s="21"/>
      <c r="UPO97" s="21"/>
      <c r="UPP97" s="21"/>
      <c r="UPQ97" s="21"/>
      <c r="UPR97" s="21"/>
      <c r="UPS97" s="21"/>
      <c r="UPT97" s="21"/>
      <c r="UPU97" s="21"/>
      <c r="UPV97" s="21"/>
      <c r="UPW97" s="21"/>
      <c r="UPX97" s="21"/>
      <c r="UPY97" s="21"/>
      <c r="UPZ97" s="21"/>
      <c r="UQA97" s="21"/>
      <c r="UQB97" s="21"/>
      <c r="UQC97" s="21"/>
      <c r="UQD97" s="21"/>
      <c r="UQE97" s="21"/>
      <c r="UQF97" s="21"/>
      <c r="UQG97" s="21"/>
      <c r="UQH97" s="21"/>
      <c r="UQI97" s="21"/>
      <c r="UQJ97" s="21"/>
      <c r="UQK97" s="21"/>
      <c r="UQL97" s="21"/>
      <c r="UQM97" s="21"/>
      <c r="UQN97" s="21"/>
      <c r="UQO97" s="21"/>
      <c r="UQP97" s="21"/>
      <c r="UQQ97" s="21"/>
      <c r="UQR97" s="21"/>
      <c r="UQS97" s="21"/>
      <c r="UQT97" s="21"/>
      <c r="UQU97" s="21"/>
      <c r="UQV97" s="21"/>
      <c r="UQW97" s="21"/>
      <c r="UQX97" s="21"/>
      <c r="UQY97" s="21"/>
      <c r="UQZ97" s="21"/>
      <c r="URA97" s="21"/>
      <c r="URB97" s="21"/>
      <c r="URC97" s="21"/>
      <c r="URD97" s="21"/>
      <c r="URE97" s="21"/>
      <c r="URF97" s="21"/>
      <c r="URG97" s="21"/>
      <c r="URH97" s="21"/>
      <c r="URI97" s="21"/>
      <c r="URJ97" s="21"/>
      <c r="URK97" s="21"/>
      <c r="URL97" s="21"/>
      <c r="URM97" s="21"/>
      <c r="URN97" s="21"/>
      <c r="URO97" s="21"/>
      <c r="URP97" s="21"/>
      <c r="URQ97" s="21"/>
      <c r="URR97" s="21"/>
      <c r="URS97" s="21"/>
      <c r="URT97" s="21"/>
      <c r="URU97" s="21"/>
      <c r="URV97" s="21"/>
      <c r="URW97" s="21"/>
      <c r="URX97" s="21"/>
      <c r="URY97" s="21"/>
      <c r="URZ97" s="21"/>
      <c r="USA97" s="21"/>
      <c r="USB97" s="21"/>
      <c r="USC97" s="21"/>
      <c r="USD97" s="21"/>
      <c r="USE97" s="21"/>
      <c r="USF97" s="21"/>
      <c r="USG97" s="21"/>
      <c r="USH97" s="21"/>
      <c r="USI97" s="21"/>
      <c r="USJ97" s="21"/>
      <c r="USK97" s="21"/>
      <c r="USL97" s="21"/>
      <c r="USM97" s="21"/>
      <c r="USN97" s="21"/>
      <c r="USO97" s="21"/>
      <c r="USP97" s="21"/>
      <c r="USQ97" s="21"/>
      <c r="USR97" s="21"/>
      <c r="USS97" s="21"/>
      <c r="UST97" s="21"/>
      <c r="USU97" s="21"/>
      <c r="USV97" s="21"/>
      <c r="USW97" s="21"/>
      <c r="USX97" s="21"/>
      <c r="USY97" s="21"/>
      <c r="USZ97" s="21"/>
      <c r="UTA97" s="21"/>
      <c r="UTB97" s="21"/>
      <c r="UTC97" s="21"/>
      <c r="UTD97" s="21"/>
      <c r="UTE97" s="21"/>
      <c r="UTF97" s="21"/>
      <c r="UTG97" s="21"/>
      <c r="UTH97" s="21"/>
      <c r="UTI97" s="21"/>
      <c r="UTJ97" s="21"/>
      <c r="UTK97" s="21"/>
      <c r="UTL97" s="21"/>
      <c r="UTM97" s="21"/>
      <c r="UTN97" s="21"/>
      <c r="UTO97" s="21"/>
      <c r="UTP97" s="21"/>
      <c r="UTQ97" s="21"/>
      <c r="UTR97" s="21"/>
      <c r="UTS97" s="21"/>
      <c r="UTT97" s="21"/>
      <c r="UTU97" s="21"/>
      <c r="UTV97" s="21"/>
      <c r="UTW97" s="21"/>
      <c r="UTX97" s="21"/>
      <c r="UTY97" s="21"/>
      <c r="UTZ97" s="21"/>
      <c r="UUA97" s="21"/>
      <c r="UUB97" s="21"/>
      <c r="UUC97" s="21"/>
      <c r="UUD97" s="21"/>
      <c r="UUE97" s="21"/>
      <c r="UUF97" s="21"/>
      <c r="UUG97" s="21"/>
      <c r="UUH97" s="21"/>
      <c r="UUI97" s="21"/>
      <c r="UUJ97" s="21"/>
      <c r="UUK97" s="21"/>
      <c r="UUL97" s="21"/>
      <c r="UUM97" s="21"/>
      <c r="UUN97" s="21"/>
      <c r="UUO97" s="21"/>
      <c r="UUP97" s="21"/>
      <c r="UUQ97" s="21"/>
      <c r="UUR97" s="21"/>
      <c r="UUS97" s="21"/>
      <c r="UUT97" s="21"/>
      <c r="UUU97" s="21"/>
      <c r="UUV97" s="21"/>
      <c r="UUW97" s="21"/>
      <c r="UUX97" s="21"/>
      <c r="UUY97" s="21"/>
      <c r="UUZ97" s="21"/>
      <c r="UVA97" s="21"/>
      <c r="UVB97" s="21"/>
      <c r="UVC97" s="21"/>
      <c r="UVD97" s="21"/>
      <c r="UVE97" s="21"/>
      <c r="UVF97" s="21"/>
      <c r="UVG97" s="21"/>
      <c r="UVH97" s="21"/>
      <c r="UVI97" s="21"/>
      <c r="UVJ97" s="21"/>
      <c r="UVK97" s="21"/>
      <c r="UVL97" s="21"/>
      <c r="UVM97" s="21"/>
      <c r="UVN97" s="21"/>
      <c r="UVO97" s="21"/>
      <c r="UVP97" s="21"/>
      <c r="UVQ97" s="21"/>
      <c r="UVR97" s="21"/>
      <c r="UVS97" s="21"/>
      <c r="UVT97" s="21"/>
      <c r="UVU97" s="21"/>
      <c r="UVV97" s="21"/>
      <c r="UVW97" s="21"/>
      <c r="UVX97" s="21"/>
      <c r="UVY97" s="21"/>
      <c r="UVZ97" s="21"/>
      <c r="UWA97" s="21"/>
      <c r="UWB97" s="21"/>
      <c r="UWC97" s="21"/>
      <c r="UWD97" s="21"/>
      <c r="UWE97" s="21"/>
      <c r="UWF97" s="21"/>
      <c r="UWG97" s="21"/>
      <c r="UWH97" s="21"/>
      <c r="UWI97" s="21"/>
      <c r="UWJ97" s="21"/>
      <c r="UWK97" s="21"/>
      <c r="UWL97" s="21"/>
      <c r="UWM97" s="21"/>
      <c r="UWN97" s="21"/>
      <c r="UWO97" s="21"/>
      <c r="UWP97" s="21"/>
      <c r="UWQ97" s="21"/>
      <c r="UWR97" s="21"/>
      <c r="UWS97" s="21"/>
      <c r="UWT97" s="21"/>
      <c r="UWU97" s="21"/>
      <c r="UWV97" s="21"/>
      <c r="UWW97" s="21"/>
      <c r="UWX97" s="21"/>
      <c r="UWY97" s="21"/>
      <c r="UWZ97" s="21"/>
      <c r="UXA97" s="21"/>
      <c r="UXB97" s="21"/>
      <c r="UXC97" s="21"/>
      <c r="UXD97" s="21"/>
      <c r="UXE97" s="21"/>
      <c r="UXF97" s="21"/>
      <c r="UXG97" s="21"/>
      <c r="UXH97" s="21"/>
      <c r="UXI97" s="21"/>
      <c r="UXJ97" s="21"/>
      <c r="UXK97" s="21"/>
      <c r="UXL97" s="21"/>
      <c r="UXM97" s="21"/>
      <c r="UXN97" s="21"/>
      <c r="UXO97" s="21"/>
      <c r="UXP97" s="21"/>
      <c r="UXQ97" s="21"/>
      <c r="UXR97" s="21"/>
      <c r="UXS97" s="21"/>
      <c r="UXT97" s="21"/>
      <c r="UXU97" s="21"/>
      <c r="UXV97" s="21"/>
      <c r="UXW97" s="21"/>
      <c r="UXX97" s="21"/>
      <c r="UXY97" s="21"/>
      <c r="UXZ97" s="21"/>
      <c r="UYA97" s="21"/>
      <c r="UYB97" s="21"/>
      <c r="UYC97" s="21"/>
      <c r="UYD97" s="21"/>
      <c r="UYE97" s="21"/>
      <c r="UYF97" s="21"/>
      <c r="UYG97" s="21"/>
      <c r="UYH97" s="21"/>
      <c r="UYI97" s="21"/>
      <c r="UYJ97" s="21"/>
      <c r="UYK97" s="21"/>
      <c r="UYL97" s="21"/>
      <c r="UYM97" s="21"/>
      <c r="UYN97" s="21"/>
      <c r="UYO97" s="21"/>
      <c r="UYP97" s="21"/>
      <c r="UYQ97" s="21"/>
      <c r="UYR97" s="21"/>
      <c r="UYS97" s="21"/>
      <c r="UYT97" s="21"/>
      <c r="UYU97" s="21"/>
      <c r="UYV97" s="21"/>
      <c r="UYW97" s="21"/>
      <c r="UYX97" s="21"/>
      <c r="UYY97" s="21"/>
      <c r="UYZ97" s="21"/>
      <c r="UZA97" s="21"/>
      <c r="UZB97" s="21"/>
      <c r="UZC97" s="21"/>
      <c r="UZD97" s="21"/>
      <c r="UZE97" s="21"/>
      <c r="UZF97" s="21"/>
      <c r="UZG97" s="21"/>
      <c r="UZH97" s="21"/>
      <c r="UZI97" s="21"/>
      <c r="UZJ97" s="21"/>
      <c r="UZK97" s="21"/>
      <c r="UZL97" s="21"/>
      <c r="UZM97" s="21"/>
      <c r="UZN97" s="21"/>
      <c r="UZO97" s="21"/>
      <c r="UZP97" s="21"/>
      <c r="UZQ97" s="21"/>
      <c r="UZR97" s="21"/>
      <c r="UZS97" s="21"/>
      <c r="UZT97" s="21"/>
      <c r="UZU97" s="21"/>
      <c r="UZV97" s="21"/>
      <c r="UZW97" s="21"/>
      <c r="UZX97" s="21"/>
      <c r="UZY97" s="21"/>
      <c r="UZZ97" s="21"/>
      <c r="VAA97" s="21"/>
      <c r="VAB97" s="21"/>
      <c r="VAC97" s="21"/>
      <c r="VAD97" s="21"/>
      <c r="VAE97" s="21"/>
      <c r="VAF97" s="21"/>
      <c r="VAG97" s="21"/>
      <c r="VAH97" s="21"/>
      <c r="VAI97" s="21"/>
      <c r="VAJ97" s="21"/>
      <c r="VAK97" s="21"/>
      <c r="VAL97" s="21"/>
      <c r="VAM97" s="21"/>
      <c r="VAN97" s="21"/>
      <c r="VAO97" s="21"/>
      <c r="VAP97" s="21"/>
      <c r="VAQ97" s="21"/>
      <c r="VAR97" s="21"/>
      <c r="VAS97" s="21"/>
      <c r="VAT97" s="21"/>
      <c r="VAU97" s="21"/>
      <c r="VAV97" s="21"/>
      <c r="VAW97" s="21"/>
      <c r="VAX97" s="21"/>
      <c r="VAY97" s="21"/>
      <c r="VAZ97" s="21"/>
      <c r="VBA97" s="21"/>
      <c r="VBB97" s="21"/>
      <c r="VBC97" s="21"/>
      <c r="VBD97" s="21"/>
      <c r="VBE97" s="21"/>
      <c r="VBF97" s="21"/>
      <c r="VBG97" s="21"/>
      <c r="VBH97" s="21"/>
      <c r="VBI97" s="21"/>
      <c r="VBJ97" s="21"/>
      <c r="VBK97" s="21"/>
      <c r="VBL97" s="21"/>
      <c r="VBM97" s="21"/>
      <c r="VBN97" s="21"/>
      <c r="VBO97" s="21"/>
      <c r="VBP97" s="21"/>
      <c r="VBQ97" s="21"/>
      <c r="VBR97" s="21"/>
      <c r="VBS97" s="21"/>
      <c r="VBT97" s="21"/>
      <c r="VBU97" s="21"/>
      <c r="VBV97" s="21"/>
      <c r="VBW97" s="21"/>
      <c r="VBX97" s="21"/>
      <c r="VBY97" s="21"/>
      <c r="VBZ97" s="21"/>
      <c r="VCA97" s="21"/>
      <c r="VCB97" s="21"/>
      <c r="VCC97" s="21"/>
      <c r="VCD97" s="21"/>
      <c r="VCE97" s="21"/>
      <c r="VCF97" s="21"/>
      <c r="VCG97" s="21"/>
      <c r="VCH97" s="21"/>
      <c r="VCI97" s="21"/>
      <c r="VCJ97" s="21"/>
      <c r="VCK97" s="21"/>
      <c r="VCL97" s="21"/>
      <c r="VCM97" s="21"/>
      <c r="VCN97" s="21"/>
      <c r="VCO97" s="21"/>
      <c r="VCP97" s="21"/>
      <c r="VCQ97" s="21"/>
      <c r="VCR97" s="21"/>
      <c r="VCS97" s="21"/>
      <c r="VCT97" s="21"/>
      <c r="VCU97" s="21"/>
      <c r="VCV97" s="21"/>
      <c r="VCW97" s="21"/>
      <c r="VCX97" s="21"/>
      <c r="VCY97" s="21"/>
      <c r="VCZ97" s="21"/>
      <c r="VDA97" s="21"/>
      <c r="VDB97" s="21"/>
      <c r="VDC97" s="21"/>
      <c r="VDD97" s="21"/>
      <c r="VDE97" s="21"/>
      <c r="VDF97" s="21"/>
      <c r="VDG97" s="21"/>
      <c r="VDH97" s="21"/>
      <c r="VDI97" s="21"/>
      <c r="VDJ97" s="21"/>
      <c r="VDK97" s="21"/>
      <c r="VDL97" s="21"/>
      <c r="VDM97" s="21"/>
      <c r="VDN97" s="21"/>
      <c r="VDO97" s="21"/>
      <c r="VDP97" s="21"/>
      <c r="VDQ97" s="21"/>
      <c r="VDR97" s="21"/>
      <c r="VDS97" s="21"/>
      <c r="VDT97" s="21"/>
      <c r="VDU97" s="21"/>
      <c r="VDV97" s="21"/>
      <c r="VDW97" s="21"/>
      <c r="VDX97" s="21"/>
      <c r="VDY97" s="21"/>
      <c r="VDZ97" s="21"/>
      <c r="VEA97" s="21"/>
      <c r="VEB97" s="21"/>
      <c r="VEC97" s="21"/>
      <c r="VED97" s="21"/>
      <c r="VEE97" s="21"/>
      <c r="VEF97" s="21"/>
      <c r="VEG97" s="21"/>
      <c r="VEH97" s="21"/>
      <c r="VEI97" s="21"/>
      <c r="VEJ97" s="21"/>
      <c r="VEK97" s="21"/>
      <c r="VEL97" s="21"/>
      <c r="VEM97" s="21"/>
      <c r="VEN97" s="21"/>
      <c r="VEO97" s="21"/>
      <c r="VEP97" s="21"/>
      <c r="VEQ97" s="21"/>
      <c r="VER97" s="21"/>
      <c r="VES97" s="21"/>
      <c r="VET97" s="21"/>
      <c r="VEU97" s="21"/>
      <c r="VEV97" s="21"/>
      <c r="VEW97" s="21"/>
      <c r="VEX97" s="21"/>
      <c r="VEY97" s="21"/>
      <c r="VEZ97" s="21"/>
      <c r="VFA97" s="21"/>
      <c r="VFB97" s="21"/>
      <c r="VFC97" s="21"/>
      <c r="VFD97" s="21"/>
      <c r="VFE97" s="21"/>
      <c r="VFF97" s="21"/>
      <c r="VFG97" s="21"/>
      <c r="VFH97" s="21"/>
      <c r="VFI97" s="21"/>
      <c r="VFJ97" s="21"/>
      <c r="VFK97" s="21"/>
      <c r="VFL97" s="21"/>
      <c r="VFM97" s="21"/>
      <c r="VFN97" s="21"/>
      <c r="VFO97" s="21"/>
      <c r="VFP97" s="21"/>
      <c r="VFQ97" s="21"/>
      <c r="VFR97" s="21"/>
      <c r="VFS97" s="21"/>
      <c r="VFT97" s="21"/>
      <c r="VFU97" s="21"/>
      <c r="VFV97" s="21"/>
      <c r="VFW97" s="21"/>
      <c r="VFX97" s="21"/>
      <c r="VFY97" s="21"/>
      <c r="VFZ97" s="21"/>
      <c r="VGA97" s="21"/>
      <c r="VGB97" s="21"/>
      <c r="VGC97" s="21"/>
      <c r="VGD97" s="21"/>
      <c r="VGE97" s="21"/>
      <c r="VGF97" s="21"/>
      <c r="VGG97" s="21"/>
      <c r="VGH97" s="21"/>
      <c r="VGI97" s="21"/>
      <c r="VGJ97" s="21"/>
      <c r="VGK97" s="21"/>
      <c r="VGL97" s="21"/>
      <c r="VGM97" s="21"/>
      <c r="VGN97" s="21"/>
      <c r="VGO97" s="21"/>
      <c r="VGP97" s="21"/>
      <c r="VGQ97" s="21"/>
      <c r="VGR97" s="21"/>
      <c r="VGS97" s="21"/>
      <c r="VGT97" s="21"/>
      <c r="VGU97" s="21"/>
      <c r="VGV97" s="21"/>
      <c r="VGW97" s="21"/>
      <c r="VGX97" s="21"/>
      <c r="VGY97" s="21"/>
      <c r="VGZ97" s="21"/>
      <c r="VHA97" s="21"/>
      <c r="VHB97" s="21"/>
      <c r="VHC97" s="21"/>
      <c r="VHD97" s="21"/>
      <c r="VHE97" s="21"/>
      <c r="VHF97" s="21"/>
      <c r="VHG97" s="21"/>
      <c r="VHH97" s="21"/>
      <c r="VHI97" s="21"/>
      <c r="VHJ97" s="21"/>
      <c r="VHK97" s="21"/>
      <c r="VHL97" s="21"/>
      <c r="VHM97" s="21"/>
      <c r="VHN97" s="21"/>
      <c r="VHO97" s="21"/>
      <c r="VHP97" s="21"/>
      <c r="VHQ97" s="21"/>
      <c r="VHR97" s="21"/>
      <c r="VHS97" s="21"/>
      <c r="VHT97" s="21"/>
      <c r="VHU97" s="21"/>
      <c r="VHV97" s="21"/>
      <c r="VHW97" s="21"/>
      <c r="VHX97" s="21"/>
      <c r="VHY97" s="21"/>
      <c r="VHZ97" s="21"/>
      <c r="VIA97" s="21"/>
      <c r="VIB97" s="21"/>
      <c r="VIC97" s="21"/>
      <c r="VID97" s="21"/>
      <c r="VIE97" s="21"/>
      <c r="VIF97" s="21"/>
      <c r="VIG97" s="21"/>
      <c r="VIH97" s="21"/>
      <c r="VII97" s="21"/>
      <c r="VIJ97" s="21"/>
      <c r="VIK97" s="21"/>
      <c r="VIL97" s="21"/>
      <c r="VIM97" s="21"/>
      <c r="VIN97" s="21"/>
      <c r="VIO97" s="21"/>
      <c r="VIP97" s="21"/>
      <c r="VIQ97" s="21"/>
      <c r="VIR97" s="21"/>
      <c r="VIS97" s="21"/>
      <c r="VIT97" s="21"/>
      <c r="VIU97" s="21"/>
      <c r="VIV97" s="21"/>
      <c r="VIW97" s="21"/>
      <c r="VIX97" s="21"/>
      <c r="VIY97" s="21"/>
      <c r="VIZ97" s="21"/>
      <c r="VJA97" s="21"/>
      <c r="VJB97" s="21"/>
      <c r="VJC97" s="21"/>
      <c r="VJD97" s="21"/>
      <c r="VJE97" s="21"/>
      <c r="VJF97" s="21"/>
      <c r="VJG97" s="21"/>
      <c r="VJH97" s="21"/>
      <c r="VJI97" s="21"/>
      <c r="VJJ97" s="21"/>
      <c r="VJK97" s="21"/>
      <c r="VJL97" s="21"/>
      <c r="VJM97" s="21"/>
      <c r="VJN97" s="21"/>
      <c r="VJO97" s="21"/>
      <c r="VJP97" s="21"/>
      <c r="VJQ97" s="21"/>
      <c r="VJR97" s="21"/>
      <c r="VJS97" s="21"/>
      <c r="VJT97" s="21"/>
      <c r="VJU97" s="21"/>
      <c r="VJV97" s="21"/>
      <c r="VJW97" s="21"/>
      <c r="VJX97" s="21"/>
      <c r="VJY97" s="21"/>
      <c r="VJZ97" s="21"/>
      <c r="VKA97" s="21"/>
      <c r="VKB97" s="21"/>
      <c r="VKC97" s="21"/>
      <c r="VKD97" s="21"/>
      <c r="VKE97" s="21"/>
      <c r="VKF97" s="21"/>
      <c r="VKG97" s="21"/>
      <c r="VKH97" s="21"/>
      <c r="VKI97" s="21"/>
      <c r="VKJ97" s="21"/>
      <c r="VKK97" s="21"/>
      <c r="VKL97" s="21"/>
      <c r="VKM97" s="21"/>
      <c r="VKN97" s="21"/>
      <c r="VKO97" s="21"/>
      <c r="VKP97" s="21"/>
      <c r="VKQ97" s="21"/>
      <c r="VKR97" s="21"/>
      <c r="VKS97" s="21"/>
      <c r="VKT97" s="21"/>
      <c r="VKU97" s="21"/>
      <c r="VKV97" s="21"/>
      <c r="VKW97" s="21"/>
      <c r="VKX97" s="21"/>
      <c r="VKY97" s="21"/>
      <c r="VKZ97" s="21"/>
      <c r="VLA97" s="21"/>
      <c r="VLB97" s="21"/>
      <c r="VLC97" s="21"/>
      <c r="VLD97" s="21"/>
      <c r="VLE97" s="21"/>
      <c r="VLF97" s="21"/>
      <c r="VLG97" s="21"/>
      <c r="VLH97" s="21"/>
      <c r="VLI97" s="21"/>
      <c r="VLJ97" s="21"/>
      <c r="VLK97" s="21"/>
      <c r="VLL97" s="21"/>
      <c r="VLM97" s="21"/>
      <c r="VLN97" s="21"/>
      <c r="VLO97" s="21"/>
      <c r="VLP97" s="21"/>
      <c r="VLQ97" s="21"/>
      <c r="VLR97" s="21"/>
      <c r="VLS97" s="21"/>
      <c r="VLT97" s="21"/>
      <c r="VLU97" s="21"/>
      <c r="VLV97" s="21"/>
      <c r="VLW97" s="21"/>
      <c r="VLX97" s="21"/>
      <c r="VLY97" s="21"/>
      <c r="VLZ97" s="21"/>
      <c r="VMA97" s="21"/>
      <c r="VMB97" s="21"/>
      <c r="VMC97" s="21"/>
      <c r="VMD97" s="21"/>
      <c r="VME97" s="21"/>
      <c r="VMF97" s="21"/>
      <c r="VMG97" s="21"/>
      <c r="VMH97" s="21"/>
      <c r="VMI97" s="21"/>
      <c r="VMJ97" s="21"/>
      <c r="VMK97" s="21"/>
      <c r="VML97" s="21"/>
      <c r="VMM97" s="21"/>
      <c r="VMN97" s="21"/>
      <c r="VMO97" s="21"/>
      <c r="VMP97" s="21"/>
      <c r="VMQ97" s="21"/>
      <c r="VMR97" s="21"/>
      <c r="VMS97" s="21"/>
      <c r="VMT97" s="21"/>
      <c r="VMU97" s="21"/>
      <c r="VMV97" s="21"/>
      <c r="VMW97" s="21"/>
      <c r="VMX97" s="21"/>
      <c r="VMY97" s="21"/>
      <c r="VMZ97" s="21"/>
      <c r="VNA97" s="21"/>
      <c r="VNB97" s="21"/>
      <c r="VNC97" s="21"/>
      <c r="VND97" s="21"/>
      <c r="VNE97" s="21"/>
      <c r="VNF97" s="21"/>
      <c r="VNG97" s="21"/>
      <c r="VNH97" s="21"/>
      <c r="VNI97" s="21"/>
      <c r="VNJ97" s="21"/>
      <c r="VNK97" s="21"/>
      <c r="VNL97" s="21"/>
      <c r="VNM97" s="21"/>
      <c r="VNN97" s="21"/>
      <c r="VNO97" s="21"/>
      <c r="VNP97" s="21"/>
      <c r="VNQ97" s="21"/>
      <c r="VNR97" s="21"/>
      <c r="VNS97" s="21"/>
      <c r="VNT97" s="21"/>
      <c r="VNU97" s="21"/>
      <c r="VNV97" s="21"/>
      <c r="VNW97" s="21"/>
      <c r="VNX97" s="21"/>
      <c r="VNY97" s="21"/>
      <c r="VNZ97" s="21"/>
      <c r="VOA97" s="21"/>
      <c r="VOB97" s="21"/>
      <c r="VOC97" s="21"/>
      <c r="VOD97" s="21"/>
      <c r="VOE97" s="21"/>
      <c r="VOF97" s="21"/>
      <c r="VOG97" s="21"/>
      <c r="VOH97" s="21"/>
      <c r="VOI97" s="21"/>
      <c r="VOJ97" s="21"/>
      <c r="VOK97" s="21"/>
      <c r="VOL97" s="21"/>
      <c r="VOM97" s="21"/>
      <c r="VON97" s="21"/>
      <c r="VOO97" s="21"/>
      <c r="VOP97" s="21"/>
      <c r="VOQ97" s="21"/>
      <c r="VOR97" s="21"/>
      <c r="VOS97" s="21"/>
      <c r="VOT97" s="21"/>
      <c r="VOU97" s="21"/>
      <c r="VOV97" s="21"/>
      <c r="VOW97" s="21"/>
      <c r="VOX97" s="21"/>
      <c r="VOY97" s="21"/>
      <c r="VOZ97" s="21"/>
      <c r="VPA97" s="21"/>
      <c r="VPB97" s="21"/>
      <c r="VPC97" s="21"/>
      <c r="VPD97" s="21"/>
      <c r="VPE97" s="21"/>
      <c r="VPF97" s="21"/>
      <c r="VPG97" s="21"/>
      <c r="VPH97" s="21"/>
      <c r="VPI97" s="21"/>
      <c r="VPJ97" s="21"/>
      <c r="VPK97" s="21"/>
      <c r="VPL97" s="21"/>
      <c r="VPM97" s="21"/>
      <c r="VPN97" s="21"/>
      <c r="VPO97" s="21"/>
      <c r="VPP97" s="21"/>
      <c r="VPQ97" s="21"/>
      <c r="VPR97" s="21"/>
      <c r="VPS97" s="21"/>
      <c r="VPT97" s="21"/>
      <c r="VPU97" s="21"/>
      <c r="VPV97" s="21"/>
      <c r="VPW97" s="21"/>
      <c r="VPX97" s="21"/>
      <c r="VPY97" s="21"/>
      <c r="VPZ97" s="21"/>
      <c r="VQA97" s="21"/>
      <c r="VQB97" s="21"/>
      <c r="VQC97" s="21"/>
      <c r="VQD97" s="21"/>
      <c r="VQE97" s="21"/>
      <c r="VQF97" s="21"/>
      <c r="VQG97" s="21"/>
      <c r="VQH97" s="21"/>
      <c r="VQI97" s="21"/>
      <c r="VQJ97" s="21"/>
      <c r="VQK97" s="21"/>
      <c r="VQL97" s="21"/>
      <c r="VQM97" s="21"/>
      <c r="VQN97" s="21"/>
      <c r="VQO97" s="21"/>
      <c r="VQP97" s="21"/>
      <c r="VQQ97" s="21"/>
      <c r="VQR97" s="21"/>
      <c r="VQS97" s="21"/>
      <c r="VQT97" s="21"/>
      <c r="VQU97" s="21"/>
      <c r="VQV97" s="21"/>
      <c r="VQW97" s="21"/>
      <c r="VQX97" s="21"/>
      <c r="VQY97" s="21"/>
      <c r="VQZ97" s="21"/>
      <c r="VRA97" s="21"/>
      <c r="VRB97" s="21"/>
      <c r="VRC97" s="21"/>
      <c r="VRD97" s="21"/>
      <c r="VRE97" s="21"/>
      <c r="VRF97" s="21"/>
      <c r="VRG97" s="21"/>
      <c r="VRH97" s="21"/>
      <c r="VRI97" s="21"/>
      <c r="VRJ97" s="21"/>
      <c r="VRK97" s="21"/>
      <c r="VRL97" s="21"/>
      <c r="VRM97" s="21"/>
      <c r="VRN97" s="21"/>
      <c r="VRO97" s="21"/>
      <c r="VRP97" s="21"/>
      <c r="VRQ97" s="21"/>
      <c r="VRR97" s="21"/>
      <c r="VRS97" s="21"/>
      <c r="VRT97" s="21"/>
      <c r="VRU97" s="21"/>
      <c r="VRV97" s="21"/>
      <c r="VRW97" s="21"/>
      <c r="VRX97" s="21"/>
      <c r="VRY97" s="21"/>
      <c r="VRZ97" s="21"/>
      <c r="VSA97" s="21"/>
      <c r="VSB97" s="21"/>
      <c r="VSC97" s="21"/>
      <c r="VSD97" s="21"/>
      <c r="VSE97" s="21"/>
      <c r="VSF97" s="21"/>
      <c r="VSG97" s="21"/>
      <c r="VSH97" s="21"/>
      <c r="VSI97" s="21"/>
      <c r="VSJ97" s="21"/>
      <c r="VSK97" s="21"/>
      <c r="VSL97" s="21"/>
      <c r="VSM97" s="21"/>
      <c r="VSN97" s="21"/>
      <c r="VSO97" s="21"/>
      <c r="VSP97" s="21"/>
      <c r="VSQ97" s="21"/>
      <c r="VSR97" s="21"/>
      <c r="VSS97" s="21"/>
      <c r="VST97" s="21"/>
      <c r="VSU97" s="21"/>
      <c r="VSV97" s="21"/>
      <c r="VSW97" s="21"/>
      <c r="VSX97" s="21"/>
      <c r="VSY97" s="21"/>
      <c r="VSZ97" s="21"/>
      <c r="VTA97" s="21"/>
      <c r="VTB97" s="21"/>
      <c r="VTC97" s="21"/>
      <c r="VTD97" s="21"/>
      <c r="VTE97" s="21"/>
      <c r="VTF97" s="21"/>
      <c r="VTG97" s="21"/>
      <c r="VTH97" s="21"/>
      <c r="VTI97" s="21"/>
      <c r="VTJ97" s="21"/>
      <c r="VTK97" s="21"/>
      <c r="VTL97" s="21"/>
      <c r="VTM97" s="21"/>
      <c r="VTN97" s="21"/>
      <c r="VTO97" s="21"/>
      <c r="VTP97" s="21"/>
      <c r="VTQ97" s="21"/>
      <c r="VTR97" s="21"/>
      <c r="VTS97" s="21"/>
      <c r="VTT97" s="21"/>
      <c r="VTU97" s="21"/>
      <c r="VTV97" s="21"/>
      <c r="VTW97" s="21"/>
      <c r="VTX97" s="21"/>
      <c r="VTY97" s="21"/>
      <c r="VTZ97" s="21"/>
      <c r="VUA97" s="21"/>
      <c r="VUB97" s="21"/>
      <c r="VUC97" s="21"/>
      <c r="VUD97" s="21"/>
      <c r="VUE97" s="21"/>
      <c r="VUF97" s="21"/>
      <c r="VUG97" s="21"/>
      <c r="VUH97" s="21"/>
      <c r="VUI97" s="21"/>
      <c r="VUJ97" s="21"/>
      <c r="VUK97" s="21"/>
      <c r="VUL97" s="21"/>
      <c r="VUM97" s="21"/>
      <c r="VUN97" s="21"/>
      <c r="VUO97" s="21"/>
      <c r="VUP97" s="21"/>
      <c r="VUQ97" s="21"/>
      <c r="VUR97" s="21"/>
      <c r="VUS97" s="21"/>
      <c r="VUT97" s="21"/>
      <c r="VUU97" s="21"/>
      <c r="VUV97" s="21"/>
      <c r="VUW97" s="21"/>
      <c r="VUX97" s="21"/>
      <c r="VUY97" s="21"/>
      <c r="VUZ97" s="21"/>
      <c r="VVA97" s="21"/>
      <c r="VVB97" s="21"/>
      <c r="VVC97" s="21"/>
      <c r="VVD97" s="21"/>
      <c r="VVE97" s="21"/>
      <c r="VVF97" s="21"/>
      <c r="VVG97" s="21"/>
      <c r="VVH97" s="21"/>
      <c r="VVI97" s="21"/>
      <c r="VVJ97" s="21"/>
      <c r="VVK97" s="21"/>
      <c r="VVL97" s="21"/>
      <c r="VVM97" s="21"/>
      <c r="VVN97" s="21"/>
      <c r="VVO97" s="21"/>
      <c r="VVP97" s="21"/>
      <c r="VVQ97" s="21"/>
      <c r="VVR97" s="21"/>
      <c r="VVS97" s="21"/>
      <c r="VVT97" s="21"/>
      <c r="VVU97" s="21"/>
      <c r="VVV97" s="21"/>
      <c r="VVW97" s="21"/>
      <c r="VVX97" s="21"/>
      <c r="VVY97" s="21"/>
      <c r="VVZ97" s="21"/>
      <c r="VWA97" s="21"/>
      <c r="VWB97" s="21"/>
      <c r="VWC97" s="21"/>
      <c r="VWD97" s="21"/>
      <c r="VWE97" s="21"/>
      <c r="VWF97" s="21"/>
      <c r="VWG97" s="21"/>
      <c r="VWH97" s="21"/>
      <c r="VWI97" s="21"/>
      <c r="VWJ97" s="21"/>
      <c r="VWK97" s="21"/>
      <c r="VWL97" s="21"/>
      <c r="VWM97" s="21"/>
      <c r="VWN97" s="21"/>
      <c r="VWO97" s="21"/>
      <c r="VWP97" s="21"/>
      <c r="VWQ97" s="21"/>
      <c r="VWR97" s="21"/>
      <c r="VWS97" s="21"/>
      <c r="VWT97" s="21"/>
      <c r="VWU97" s="21"/>
      <c r="VWV97" s="21"/>
      <c r="VWW97" s="21"/>
      <c r="VWX97" s="21"/>
      <c r="VWY97" s="21"/>
      <c r="VWZ97" s="21"/>
      <c r="VXA97" s="21"/>
      <c r="VXB97" s="21"/>
      <c r="VXC97" s="21"/>
      <c r="VXD97" s="21"/>
      <c r="VXE97" s="21"/>
      <c r="VXF97" s="21"/>
      <c r="VXG97" s="21"/>
      <c r="VXH97" s="21"/>
      <c r="VXI97" s="21"/>
      <c r="VXJ97" s="21"/>
      <c r="VXK97" s="21"/>
      <c r="VXL97" s="21"/>
      <c r="VXM97" s="21"/>
      <c r="VXN97" s="21"/>
      <c r="VXO97" s="21"/>
      <c r="VXP97" s="21"/>
      <c r="VXQ97" s="21"/>
      <c r="VXR97" s="21"/>
      <c r="VXS97" s="21"/>
      <c r="VXT97" s="21"/>
      <c r="VXU97" s="21"/>
      <c r="VXV97" s="21"/>
      <c r="VXW97" s="21"/>
      <c r="VXX97" s="21"/>
      <c r="VXY97" s="21"/>
      <c r="VXZ97" s="21"/>
      <c r="VYA97" s="21"/>
      <c r="VYB97" s="21"/>
      <c r="VYC97" s="21"/>
      <c r="VYD97" s="21"/>
      <c r="VYE97" s="21"/>
      <c r="VYF97" s="21"/>
      <c r="VYG97" s="21"/>
      <c r="VYH97" s="21"/>
      <c r="VYI97" s="21"/>
      <c r="VYJ97" s="21"/>
      <c r="VYK97" s="21"/>
      <c r="VYL97" s="21"/>
      <c r="VYM97" s="21"/>
      <c r="VYN97" s="21"/>
      <c r="VYO97" s="21"/>
      <c r="VYP97" s="21"/>
      <c r="VYQ97" s="21"/>
      <c r="VYR97" s="21"/>
      <c r="VYS97" s="21"/>
      <c r="VYT97" s="21"/>
      <c r="VYU97" s="21"/>
      <c r="VYV97" s="21"/>
      <c r="VYW97" s="21"/>
      <c r="VYX97" s="21"/>
      <c r="VYY97" s="21"/>
      <c r="VYZ97" s="21"/>
      <c r="VZA97" s="21"/>
      <c r="VZB97" s="21"/>
      <c r="VZC97" s="21"/>
      <c r="VZD97" s="21"/>
      <c r="VZE97" s="21"/>
      <c r="VZF97" s="21"/>
      <c r="VZG97" s="21"/>
      <c r="VZH97" s="21"/>
      <c r="VZI97" s="21"/>
      <c r="VZJ97" s="21"/>
      <c r="VZK97" s="21"/>
      <c r="VZL97" s="21"/>
      <c r="VZM97" s="21"/>
      <c r="VZN97" s="21"/>
      <c r="VZO97" s="21"/>
      <c r="VZP97" s="21"/>
      <c r="VZQ97" s="21"/>
      <c r="VZR97" s="21"/>
      <c r="VZS97" s="21"/>
      <c r="VZT97" s="21"/>
      <c r="VZU97" s="21"/>
      <c r="VZV97" s="21"/>
      <c r="VZW97" s="21"/>
      <c r="VZX97" s="21"/>
      <c r="VZY97" s="21"/>
      <c r="VZZ97" s="21"/>
      <c r="WAA97" s="21"/>
      <c r="WAB97" s="21"/>
      <c r="WAC97" s="21"/>
      <c r="WAD97" s="21"/>
      <c r="WAE97" s="21"/>
      <c r="WAF97" s="21"/>
      <c r="WAG97" s="21"/>
      <c r="WAH97" s="21"/>
      <c r="WAI97" s="21"/>
      <c r="WAJ97" s="21"/>
      <c r="WAK97" s="21"/>
      <c r="WAL97" s="21"/>
      <c r="WAM97" s="21"/>
      <c r="WAN97" s="21"/>
      <c r="WAO97" s="21"/>
      <c r="WAP97" s="21"/>
      <c r="WAQ97" s="21"/>
      <c r="WAR97" s="21"/>
      <c r="WAS97" s="21"/>
      <c r="WAT97" s="21"/>
      <c r="WAU97" s="21"/>
      <c r="WAV97" s="21"/>
      <c r="WAW97" s="21"/>
      <c r="WAX97" s="21"/>
      <c r="WAY97" s="21"/>
      <c r="WAZ97" s="21"/>
      <c r="WBA97" s="21"/>
      <c r="WBB97" s="21"/>
      <c r="WBC97" s="21"/>
      <c r="WBD97" s="21"/>
      <c r="WBE97" s="21"/>
      <c r="WBF97" s="21"/>
      <c r="WBG97" s="21"/>
      <c r="WBH97" s="21"/>
      <c r="WBI97" s="21"/>
      <c r="WBJ97" s="21"/>
      <c r="WBK97" s="21"/>
      <c r="WBL97" s="21"/>
      <c r="WBM97" s="21"/>
      <c r="WBN97" s="21"/>
      <c r="WBO97" s="21"/>
      <c r="WBP97" s="21"/>
      <c r="WBQ97" s="21"/>
      <c r="WBR97" s="21"/>
      <c r="WBS97" s="21"/>
      <c r="WBT97" s="21"/>
      <c r="WBU97" s="21"/>
      <c r="WBV97" s="21"/>
      <c r="WBW97" s="21"/>
      <c r="WBX97" s="21"/>
      <c r="WBY97" s="21"/>
      <c r="WBZ97" s="21"/>
      <c r="WCA97" s="21"/>
      <c r="WCB97" s="21"/>
      <c r="WCC97" s="21"/>
      <c r="WCD97" s="21"/>
      <c r="WCE97" s="21"/>
      <c r="WCF97" s="21"/>
      <c r="WCG97" s="21"/>
      <c r="WCH97" s="21"/>
      <c r="WCI97" s="21"/>
      <c r="WCJ97" s="21"/>
      <c r="WCK97" s="21"/>
      <c r="WCL97" s="21"/>
      <c r="WCM97" s="21"/>
      <c r="WCN97" s="21"/>
      <c r="WCO97" s="21"/>
      <c r="WCP97" s="21"/>
      <c r="WCQ97" s="21"/>
      <c r="WCR97" s="21"/>
      <c r="WCS97" s="21"/>
      <c r="WCT97" s="21"/>
      <c r="WCU97" s="21"/>
      <c r="WCV97" s="21"/>
      <c r="WCW97" s="21"/>
      <c r="WCX97" s="21"/>
      <c r="WCY97" s="21"/>
      <c r="WCZ97" s="21"/>
      <c r="WDA97" s="21"/>
      <c r="WDB97" s="21"/>
      <c r="WDC97" s="21"/>
      <c r="WDD97" s="21"/>
      <c r="WDE97" s="21"/>
      <c r="WDF97" s="21"/>
      <c r="WDG97" s="21"/>
      <c r="WDH97" s="21"/>
      <c r="WDI97" s="21"/>
      <c r="WDJ97" s="21"/>
      <c r="WDK97" s="21"/>
      <c r="WDL97" s="21"/>
      <c r="WDM97" s="21"/>
      <c r="WDN97" s="21"/>
      <c r="WDO97" s="21"/>
      <c r="WDP97" s="21"/>
      <c r="WDQ97" s="21"/>
      <c r="WDR97" s="21"/>
      <c r="WDS97" s="21"/>
      <c r="WDT97" s="21"/>
      <c r="WDU97" s="21"/>
      <c r="WDV97" s="21"/>
      <c r="WDW97" s="21"/>
      <c r="WDX97" s="21"/>
      <c r="WDY97" s="21"/>
      <c r="WDZ97" s="21"/>
      <c r="WEA97" s="21"/>
      <c r="WEB97" s="21"/>
      <c r="WEC97" s="21"/>
      <c r="WED97" s="21"/>
      <c r="WEE97" s="21"/>
      <c r="WEF97" s="21"/>
      <c r="WEG97" s="21"/>
      <c r="WEH97" s="21"/>
      <c r="WEI97" s="21"/>
      <c r="WEJ97" s="21"/>
      <c r="WEK97" s="21"/>
      <c r="WEL97" s="21"/>
      <c r="WEM97" s="21"/>
      <c r="WEN97" s="21"/>
      <c r="WEO97" s="21"/>
      <c r="WEP97" s="21"/>
      <c r="WEQ97" s="21"/>
      <c r="WER97" s="21"/>
      <c r="WES97" s="21"/>
      <c r="WET97" s="21"/>
      <c r="WEU97" s="21"/>
      <c r="WEV97" s="21"/>
      <c r="WEW97" s="21"/>
      <c r="WEX97" s="21"/>
      <c r="WEY97" s="21"/>
      <c r="WEZ97" s="21"/>
      <c r="WFA97" s="21"/>
      <c r="WFB97" s="21"/>
      <c r="WFC97" s="21"/>
      <c r="WFD97" s="21"/>
      <c r="WFE97" s="21"/>
      <c r="WFF97" s="21"/>
      <c r="WFG97" s="21"/>
      <c r="WFH97" s="21"/>
      <c r="WFI97" s="21"/>
      <c r="WFJ97" s="21"/>
      <c r="WFK97" s="21"/>
      <c r="WFL97" s="21"/>
      <c r="WFM97" s="21"/>
      <c r="WFN97" s="21"/>
      <c r="WFO97" s="21"/>
      <c r="WFP97" s="21"/>
      <c r="WFQ97" s="21"/>
      <c r="WFR97" s="21"/>
      <c r="WFS97" s="21"/>
      <c r="WFT97" s="21"/>
      <c r="WFU97" s="21"/>
      <c r="WFV97" s="21"/>
      <c r="WFW97" s="21"/>
      <c r="WFX97" s="21"/>
      <c r="WFY97" s="21"/>
      <c r="WFZ97" s="21"/>
      <c r="WGA97" s="21"/>
      <c r="WGB97" s="21"/>
      <c r="WGC97" s="21"/>
      <c r="WGD97" s="21"/>
      <c r="WGE97" s="21"/>
      <c r="WGF97" s="21"/>
      <c r="WGG97" s="21"/>
      <c r="WGH97" s="21"/>
      <c r="WGI97" s="21"/>
      <c r="WGJ97" s="21"/>
      <c r="WGK97" s="21"/>
      <c r="WGL97" s="21"/>
      <c r="WGM97" s="21"/>
      <c r="WGN97" s="21"/>
      <c r="WGO97" s="21"/>
      <c r="WGP97" s="21"/>
      <c r="WGQ97" s="21"/>
      <c r="WGR97" s="21"/>
      <c r="WGS97" s="21"/>
      <c r="WGT97" s="21"/>
      <c r="WGU97" s="21"/>
      <c r="WGV97" s="21"/>
      <c r="WGW97" s="21"/>
      <c r="WGX97" s="21"/>
      <c r="WGY97" s="21"/>
      <c r="WGZ97" s="21"/>
      <c r="WHA97" s="21"/>
      <c r="WHB97" s="21"/>
      <c r="WHC97" s="21"/>
      <c r="WHD97" s="21"/>
      <c r="WHE97" s="21"/>
      <c r="WHF97" s="21"/>
      <c r="WHG97" s="21"/>
      <c r="WHH97" s="21"/>
      <c r="WHI97" s="21"/>
      <c r="WHJ97" s="21"/>
      <c r="WHK97" s="21"/>
      <c r="WHL97" s="21"/>
      <c r="WHM97" s="21"/>
      <c r="WHN97" s="21"/>
      <c r="WHO97" s="21"/>
      <c r="WHP97" s="21"/>
      <c r="WHQ97" s="21"/>
      <c r="WHR97" s="21"/>
      <c r="WHS97" s="21"/>
      <c r="WHT97" s="21"/>
      <c r="WHU97" s="21"/>
      <c r="WHV97" s="21"/>
      <c r="WHW97" s="21"/>
      <c r="WHX97" s="21"/>
      <c r="WHY97" s="21"/>
      <c r="WHZ97" s="21"/>
      <c r="WIA97" s="21"/>
      <c r="WIB97" s="21"/>
      <c r="WIC97" s="21"/>
      <c r="WID97" s="21"/>
      <c r="WIE97" s="21"/>
      <c r="WIF97" s="21"/>
      <c r="WIG97" s="21"/>
      <c r="WIH97" s="21"/>
      <c r="WII97" s="21"/>
      <c r="WIJ97" s="21"/>
      <c r="WIK97" s="21"/>
      <c r="WIL97" s="21"/>
      <c r="WIM97" s="21"/>
      <c r="WIN97" s="21"/>
      <c r="WIO97" s="21"/>
      <c r="WIP97" s="21"/>
      <c r="WIQ97" s="21"/>
      <c r="WIR97" s="21"/>
      <c r="WIS97" s="21"/>
      <c r="WIT97" s="21"/>
      <c r="WIU97" s="21"/>
      <c r="WIV97" s="21"/>
      <c r="WIW97" s="21"/>
      <c r="WIX97" s="21"/>
      <c r="WIY97" s="21"/>
      <c r="WIZ97" s="21"/>
      <c r="WJA97" s="21"/>
      <c r="WJB97" s="21"/>
      <c r="WJC97" s="21"/>
      <c r="WJD97" s="21"/>
      <c r="WJE97" s="21"/>
      <c r="WJF97" s="21"/>
      <c r="WJG97" s="21"/>
      <c r="WJH97" s="21"/>
      <c r="WJI97" s="21"/>
      <c r="WJJ97" s="21"/>
      <c r="WJK97" s="21"/>
      <c r="WJL97" s="21"/>
      <c r="WJM97" s="21"/>
      <c r="WJN97" s="21"/>
      <c r="WJO97" s="21"/>
      <c r="WJP97" s="21"/>
      <c r="WJQ97" s="21"/>
      <c r="WJR97" s="21"/>
      <c r="WJS97" s="21"/>
      <c r="WJT97" s="21"/>
      <c r="WJU97" s="21"/>
      <c r="WJV97" s="21"/>
      <c r="WJW97" s="21"/>
      <c r="WJX97" s="21"/>
      <c r="WJY97" s="21"/>
      <c r="WJZ97" s="21"/>
      <c r="WKA97" s="21"/>
      <c r="WKB97" s="21"/>
      <c r="WKC97" s="21"/>
      <c r="WKD97" s="21"/>
      <c r="WKE97" s="21"/>
      <c r="WKF97" s="21"/>
      <c r="WKG97" s="21"/>
      <c r="WKH97" s="21"/>
      <c r="WKI97" s="21"/>
      <c r="WKJ97" s="21"/>
      <c r="WKK97" s="21"/>
      <c r="WKL97" s="21"/>
      <c r="WKM97" s="21"/>
      <c r="WKN97" s="21"/>
      <c r="WKO97" s="21"/>
      <c r="WKP97" s="21"/>
      <c r="WKQ97" s="21"/>
      <c r="WKR97" s="21"/>
      <c r="WKS97" s="21"/>
      <c r="WKT97" s="21"/>
      <c r="WKU97" s="21"/>
      <c r="WKV97" s="21"/>
      <c r="WKW97" s="21"/>
      <c r="WKX97" s="21"/>
      <c r="WKY97" s="21"/>
      <c r="WKZ97" s="21"/>
      <c r="WLA97" s="21"/>
      <c r="WLB97" s="21"/>
      <c r="WLC97" s="21"/>
      <c r="WLD97" s="21"/>
      <c r="WLE97" s="21"/>
      <c r="WLF97" s="21"/>
      <c r="WLG97" s="21"/>
      <c r="WLH97" s="21"/>
      <c r="WLI97" s="21"/>
      <c r="WLJ97" s="21"/>
      <c r="WLK97" s="21"/>
      <c r="WLL97" s="21"/>
      <c r="WLM97" s="21"/>
      <c r="WLN97" s="21"/>
      <c r="WLO97" s="21"/>
      <c r="WLP97" s="21"/>
      <c r="WLQ97" s="21"/>
      <c r="WLR97" s="21"/>
      <c r="WLS97" s="21"/>
      <c r="WLT97" s="21"/>
      <c r="WLU97" s="21"/>
      <c r="WLV97" s="21"/>
      <c r="WLW97" s="21"/>
      <c r="WLX97" s="21"/>
      <c r="WLY97" s="21"/>
      <c r="WLZ97" s="21"/>
      <c r="WMA97" s="21"/>
      <c r="WMB97" s="21"/>
      <c r="WMC97" s="21"/>
      <c r="WMD97" s="21"/>
      <c r="WME97" s="21"/>
      <c r="WMF97" s="21"/>
      <c r="WMG97" s="21"/>
      <c r="WMH97" s="21"/>
      <c r="WMI97" s="21"/>
      <c r="WMJ97" s="21"/>
      <c r="WMK97" s="21"/>
      <c r="WML97" s="21"/>
      <c r="WMM97" s="21"/>
      <c r="WMN97" s="21"/>
      <c r="WMO97" s="21"/>
      <c r="WMP97" s="21"/>
      <c r="WMQ97" s="21"/>
      <c r="WMR97" s="21"/>
      <c r="WMS97" s="21"/>
      <c r="WMT97" s="21"/>
      <c r="WMU97" s="21"/>
      <c r="WMV97" s="21"/>
      <c r="WMW97" s="21"/>
      <c r="WMX97" s="21"/>
      <c r="WMY97" s="21"/>
      <c r="WMZ97" s="21"/>
      <c r="WNA97" s="21"/>
      <c r="WNB97" s="21"/>
      <c r="WNC97" s="21"/>
      <c r="WND97" s="21"/>
      <c r="WNE97" s="21"/>
      <c r="WNF97" s="21"/>
      <c r="WNG97" s="21"/>
      <c r="WNH97" s="21"/>
      <c r="WNI97" s="21"/>
      <c r="WNJ97" s="21"/>
      <c r="WNK97" s="21"/>
      <c r="WNL97" s="21"/>
      <c r="WNM97" s="21"/>
      <c r="WNN97" s="21"/>
      <c r="WNO97" s="21"/>
      <c r="WNP97" s="21"/>
      <c r="WNQ97" s="21"/>
      <c r="WNR97" s="21"/>
      <c r="WNS97" s="21"/>
      <c r="WNT97" s="21"/>
      <c r="WNU97" s="21"/>
      <c r="WNV97" s="21"/>
      <c r="WNW97" s="21"/>
      <c r="WNX97" s="21"/>
      <c r="WNY97" s="21"/>
      <c r="WNZ97" s="21"/>
      <c r="WOA97" s="21"/>
      <c r="WOB97" s="21"/>
      <c r="WOC97" s="21"/>
      <c r="WOD97" s="21"/>
      <c r="WOE97" s="21"/>
      <c r="WOF97" s="21"/>
      <c r="WOG97" s="21"/>
      <c r="WOH97" s="21"/>
      <c r="WOI97" s="21"/>
      <c r="WOJ97" s="21"/>
      <c r="WOK97" s="21"/>
      <c r="WOL97" s="21"/>
      <c r="WOM97" s="21"/>
      <c r="WON97" s="21"/>
      <c r="WOO97" s="21"/>
      <c r="WOP97" s="21"/>
      <c r="WOQ97" s="21"/>
      <c r="WOR97" s="21"/>
      <c r="WOS97" s="21"/>
      <c r="WOT97" s="21"/>
      <c r="WOU97" s="21"/>
      <c r="WOV97" s="21"/>
      <c r="WOW97" s="21"/>
      <c r="WOX97" s="21"/>
      <c r="WOY97" s="21"/>
      <c r="WOZ97" s="21"/>
      <c r="WPA97" s="21"/>
      <c r="WPB97" s="21"/>
      <c r="WPC97" s="21"/>
      <c r="WPD97" s="21"/>
      <c r="WPE97" s="21"/>
      <c r="WPF97" s="21"/>
      <c r="WPG97" s="21"/>
      <c r="WPH97" s="21"/>
      <c r="WPI97" s="21"/>
      <c r="WPJ97" s="21"/>
      <c r="WPK97" s="21"/>
      <c r="WPL97" s="21"/>
      <c r="WPM97" s="21"/>
      <c r="WPN97" s="21"/>
      <c r="WPO97" s="21"/>
      <c r="WPP97" s="21"/>
      <c r="WPQ97" s="21"/>
      <c r="WPR97" s="21"/>
      <c r="WPS97" s="21"/>
      <c r="WPT97" s="21"/>
      <c r="WPU97" s="21"/>
      <c r="WPV97" s="21"/>
      <c r="WPW97" s="21"/>
      <c r="WPX97" s="21"/>
      <c r="WPY97" s="21"/>
      <c r="WPZ97" s="21"/>
      <c r="WQA97" s="21"/>
      <c r="WQB97" s="21"/>
      <c r="WQC97" s="21"/>
      <c r="WQD97" s="21"/>
      <c r="WQE97" s="21"/>
      <c r="WQF97" s="21"/>
      <c r="WQG97" s="21"/>
      <c r="WQH97" s="21"/>
      <c r="WQI97" s="21"/>
      <c r="WQJ97" s="21"/>
      <c r="WQK97" s="21"/>
      <c r="WQL97" s="21"/>
      <c r="WQM97" s="21"/>
      <c r="WQN97" s="21"/>
      <c r="WQO97" s="21"/>
      <c r="WQP97" s="21"/>
      <c r="WQQ97" s="21"/>
      <c r="WQR97" s="21"/>
      <c r="WQS97" s="21"/>
      <c r="WQT97" s="21"/>
      <c r="WQU97" s="21"/>
      <c r="WQV97" s="21"/>
      <c r="WQW97" s="21"/>
      <c r="WQX97" s="21"/>
      <c r="WQY97" s="21"/>
      <c r="WQZ97" s="21"/>
      <c r="WRA97" s="21"/>
      <c r="WRB97" s="21"/>
      <c r="WRC97" s="21"/>
      <c r="WRD97" s="21"/>
      <c r="WRE97" s="21"/>
      <c r="WRF97" s="21"/>
      <c r="WRG97" s="21"/>
      <c r="WRH97" s="21"/>
      <c r="WRI97" s="21"/>
      <c r="WRJ97" s="21"/>
      <c r="WRK97" s="21"/>
      <c r="WRL97" s="21"/>
      <c r="WRM97" s="21"/>
      <c r="WRN97" s="21"/>
      <c r="WRO97" s="21"/>
      <c r="WRP97" s="21"/>
      <c r="WRQ97" s="21"/>
      <c r="WRR97" s="21"/>
      <c r="WRS97" s="21"/>
      <c r="WRT97" s="21"/>
      <c r="WRU97" s="21"/>
      <c r="WRV97" s="21"/>
      <c r="WRW97" s="21"/>
      <c r="WRX97" s="21"/>
      <c r="WRY97" s="21"/>
      <c r="WRZ97" s="21"/>
      <c r="WSA97" s="21"/>
      <c r="WSB97" s="21"/>
      <c r="WSC97" s="21"/>
      <c r="WSD97" s="21"/>
      <c r="WSE97" s="21"/>
      <c r="WSF97" s="21"/>
      <c r="WSG97" s="21"/>
      <c r="WSH97" s="21"/>
      <c r="WSI97" s="21"/>
      <c r="WSJ97" s="21"/>
      <c r="WSK97" s="21"/>
      <c r="WSL97" s="21"/>
      <c r="WSM97" s="21"/>
      <c r="WSN97" s="21"/>
      <c r="WSO97" s="21"/>
      <c r="WSP97" s="21"/>
      <c r="WSQ97" s="21"/>
      <c r="WSR97" s="21"/>
      <c r="WSS97" s="21"/>
      <c r="WST97" s="21"/>
      <c r="WSU97" s="21"/>
      <c r="WSV97" s="21"/>
      <c r="WSW97" s="21"/>
      <c r="WSX97" s="21"/>
      <c r="WSY97" s="21"/>
      <c r="WSZ97" s="21"/>
      <c r="WTA97" s="21"/>
      <c r="WTB97" s="21"/>
      <c r="WTC97" s="21"/>
      <c r="WTD97" s="21"/>
      <c r="WTE97" s="21"/>
      <c r="WTF97" s="21"/>
      <c r="WTG97" s="21"/>
      <c r="WTH97" s="21"/>
      <c r="WTI97" s="21"/>
      <c r="WTJ97" s="21"/>
      <c r="WTK97" s="21"/>
      <c r="WTL97" s="21"/>
      <c r="WTM97" s="21"/>
      <c r="WTN97" s="21"/>
      <c r="WTO97" s="21"/>
      <c r="WTP97" s="21"/>
      <c r="WTQ97" s="21"/>
      <c r="WTR97" s="21"/>
      <c r="WTS97" s="21"/>
      <c r="WTT97" s="21"/>
      <c r="WTU97" s="21"/>
      <c r="WTV97" s="21"/>
      <c r="WTW97" s="21"/>
      <c r="WTX97" s="21"/>
      <c r="WTY97" s="21"/>
      <c r="WTZ97" s="21"/>
      <c r="WUA97" s="21"/>
      <c r="WUB97" s="21"/>
      <c r="WUC97" s="21"/>
      <c r="WUD97" s="21"/>
      <c r="WUE97" s="21"/>
      <c r="WUF97" s="21"/>
      <c r="WUG97" s="21"/>
      <c r="WUH97" s="21"/>
      <c r="WUI97" s="21"/>
      <c r="WUJ97" s="21"/>
      <c r="WUK97" s="21"/>
      <c r="WUL97" s="21"/>
      <c r="WUM97" s="21"/>
      <c r="WUN97" s="21"/>
      <c r="WUO97" s="21"/>
      <c r="WUP97" s="21"/>
      <c r="WUQ97" s="21"/>
      <c r="WUR97" s="21"/>
      <c r="WUS97" s="21"/>
      <c r="WUT97" s="21"/>
      <c r="WUU97" s="21"/>
      <c r="WUV97" s="21"/>
      <c r="WUW97" s="21"/>
      <c r="WUX97" s="21"/>
      <c r="WUY97" s="21"/>
      <c r="WUZ97" s="21"/>
      <c r="WVA97" s="21"/>
      <c r="WVB97" s="21"/>
      <c r="WVC97" s="21"/>
      <c r="WVD97" s="21"/>
      <c r="WVE97" s="21"/>
      <c r="WVF97" s="21"/>
      <c r="WVG97" s="21"/>
      <c r="WVH97" s="21"/>
      <c r="WVI97" s="21"/>
      <c r="WVJ97" s="21"/>
      <c r="WVK97" s="21"/>
      <c r="WVL97" s="21"/>
      <c r="WVM97" s="21"/>
      <c r="WVN97" s="21"/>
      <c r="WVO97" s="21"/>
      <c r="WVP97" s="21"/>
      <c r="WVQ97" s="21"/>
      <c r="WVR97" s="21"/>
      <c r="WVS97" s="21"/>
      <c r="WVT97" s="21"/>
      <c r="WVU97" s="21"/>
      <c r="WVV97" s="21"/>
      <c r="WVW97" s="21"/>
      <c r="WVX97" s="21"/>
      <c r="WVY97" s="21"/>
      <c r="WVZ97" s="21"/>
      <c r="WWA97" s="21"/>
      <c r="WWB97" s="21"/>
      <c r="WWC97" s="21"/>
      <c r="WWD97" s="21"/>
      <c r="WWE97" s="21"/>
      <c r="WWF97" s="21"/>
      <c r="WWG97" s="21"/>
      <c r="WWH97" s="21"/>
      <c r="WWI97" s="21"/>
      <c r="WWJ97" s="21"/>
      <c r="WWK97" s="21"/>
      <c r="WWL97" s="21"/>
      <c r="WWM97" s="21"/>
      <c r="WWN97" s="21"/>
      <c r="WWO97" s="21"/>
      <c r="WWP97" s="21"/>
      <c r="WWQ97" s="21"/>
      <c r="WWR97" s="21"/>
      <c r="WWS97" s="21"/>
      <c r="WWT97" s="21"/>
      <c r="WWU97" s="21"/>
      <c r="WWV97" s="21"/>
      <c r="WWW97" s="21"/>
      <c r="WWX97" s="21"/>
      <c r="WWY97" s="21"/>
      <c r="WWZ97" s="21"/>
      <c r="WXA97" s="21"/>
      <c r="WXB97" s="21"/>
      <c r="WXC97" s="21"/>
      <c r="WXD97" s="21"/>
      <c r="WXE97" s="21"/>
      <c r="WXF97" s="21"/>
      <c r="WXG97" s="21"/>
      <c r="WXH97" s="21"/>
      <c r="WXI97" s="21"/>
      <c r="WXJ97" s="21"/>
      <c r="WXK97" s="21"/>
      <c r="WXL97" s="21"/>
      <c r="WXM97" s="21"/>
      <c r="WXN97" s="21"/>
      <c r="WXO97" s="21"/>
      <c r="WXP97" s="21"/>
      <c r="WXQ97" s="21"/>
      <c r="WXR97" s="21"/>
      <c r="WXS97" s="21"/>
      <c r="WXT97" s="21"/>
      <c r="WXU97" s="21"/>
      <c r="WXV97" s="21"/>
      <c r="WXW97" s="21"/>
      <c r="WXX97" s="21"/>
      <c r="WXY97" s="21"/>
      <c r="WXZ97" s="21"/>
      <c r="WYA97" s="21"/>
      <c r="WYB97" s="21"/>
      <c r="WYC97" s="21"/>
      <c r="WYD97" s="21"/>
      <c r="WYE97" s="21"/>
      <c r="WYF97" s="21"/>
      <c r="WYG97" s="21"/>
      <c r="WYH97" s="21"/>
      <c r="WYI97" s="21"/>
      <c r="WYJ97" s="21"/>
      <c r="WYK97" s="21"/>
      <c r="WYL97" s="21"/>
      <c r="WYM97" s="21"/>
      <c r="WYN97" s="21"/>
      <c r="WYO97" s="21"/>
      <c r="WYP97" s="21"/>
      <c r="WYQ97" s="21"/>
      <c r="WYR97" s="21"/>
      <c r="WYS97" s="21"/>
      <c r="WYT97" s="21"/>
      <c r="WYU97" s="21"/>
      <c r="WYV97" s="21"/>
      <c r="WYW97" s="21"/>
      <c r="WYX97" s="21"/>
      <c r="WYY97" s="21"/>
      <c r="WYZ97" s="21"/>
      <c r="WZA97" s="21"/>
      <c r="WZB97" s="21"/>
      <c r="WZC97" s="21"/>
      <c r="WZD97" s="21"/>
      <c r="WZE97" s="21"/>
      <c r="WZF97" s="21"/>
      <c r="WZG97" s="21"/>
      <c r="WZH97" s="21"/>
      <c r="WZI97" s="21"/>
      <c r="WZJ97" s="21"/>
      <c r="WZK97" s="21"/>
      <c r="WZL97" s="21"/>
      <c r="WZM97" s="21"/>
      <c r="WZN97" s="21"/>
      <c r="WZO97" s="21"/>
      <c r="WZP97" s="21"/>
      <c r="WZQ97" s="21"/>
      <c r="WZR97" s="21"/>
      <c r="WZS97" s="21"/>
      <c r="WZT97" s="21"/>
      <c r="WZU97" s="21"/>
      <c r="WZV97" s="21"/>
      <c r="WZW97" s="21"/>
      <c r="WZX97" s="21"/>
      <c r="WZY97" s="21"/>
      <c r="WZZ97" s="21"/>
      <c r="XAA97" s="21"/>
      <c r="XAB97" s="21"/>
      <c r="XAC97" s="21"/>
      <c r="XAD97" s="21"/>
      <c r="XAE97" s="21"/>
      <c r="XAF97" s="21"/>
      <c r="XAG97" s="21"/>
      <c r="XAH97" s="21"/>
      <c r="XAI97" s="21"/>
      <c r="XAJ97" s="21"/>
      <c r="XAK97" s="21"/>
      <c r="XAL97" s="21"/>
      <c r="XAM97" s="21"/>
      <c r="XAN97" s="21"/>
      <c r="XAO97" s="21"/>
      <c r="XAP97" s="21"/>
      <c r="XAQ97" s="21"/>
      <c r="XAR97" s="21"/>
      <c r="XAS97" s="21"/>
      <c r="XAT97" s="21"/>
      <c r="XAU97" s="21"/>
      <c r="XAV97" s="21"/>
      <c r="XAW97" s="21"/>
      <c r="XAX97" s="21"/>
      <c r="XAY97" s="21"/>
      <c r="XAZ97" s="21"/>
      <c r="XBA97" s="21"/>
      <c r="XBB97" s="21"/>
      <c r="XBC97" s="21"/>
      <c r="XBD97" s="21"/>
      <c r="XBE97" s="21"/>
      <c r="XBF97" s="21"/>
      <c r="XBG97" s="21"/>
      <c r="XBH97" s="21"/>
      <c r="XBI97" s="21"/>
      <c r="XBJ97" s="21"/>
      <c r="XBK97" s="21"/>
      <c r="XBL97" s="21"/>
      <c r="XBM97" s="21"/>
      <c r="XBN97" s="21"/>
      <c r="XBO97" s="21"/>
      <c r="XBP97" s="21"/>
      <c r="XBQ97" s="21"/>
      <c r="XBR97" s="21"/>
      <c r="XBS97" s="21"/>
      <c r="XBT97" s="21"/>
      <c r="XBU97" s="21"/>
      <c r="XBV97" s="21"/>
      <c r="XBW97" s="21"/>
      <c r="XBX97" s="21"/>
      <c r="XBY97" s="21"/>
      <c r="XBZ97" s="21"/>
      <c r="XCA97" s="21"/>
      <c r="XCB97" s="21"/>
      <c r="XCC97" s="21"/>
      <c r="XCD97" s="21"/>
      <c r="XCE97" s="21"/>
      <c r="XCF97" s="21"/>
      <c r="XCG97" s="21"/>
      <c r="XCH97" s="21"/>
      <c r="XCI97" s="21"/>
      <c r="XCJ97" s="21"/>
      <c r="XCK97" s="21"/>
      <c r="XCL97" s="21"/>
      <c r="XCM97" s="21"/>
      <c r="XCN97" s="21"/>
      <c r="XCO97" s="21"/>
      <c r="XCP97" s="21"/>
      <c r="XCQ97" s="21"/>
      <c r="XCR97" s="21"/>
      <c r="XCS97" s="21"/>
      <c r="XCT97" s="21"/>
      <c r="XCU97" s="21"/>
      <c r="XCV97" s="21"/>
      <c r="XCW97" s="21"/>
      <c r="XCX97" s="21"/>
      <c r="XCY97" s="21"/>
      <c r="XCZ97" s="21"/>
      <c r="XDA97" s="21"/>
      <c r="XDB97" s="21"/>
      <c r="XDC97" s="21"/>
      <c r="XDD97" s="21"/>
      <c r="XDE97" s="21"/>
      <c r="XDF97" s="21"/>
      <c r="XDG97" s="21"/>
      <c r="XDH97" s="21"/>
      <c r="XDI97" s="21"/>
      <c r="XDJ97" s="21"/>
      <c r="XDK97" s="21"/>
      <c r="XDL97" s="21"/>
      <c r="XDM97" s="21"/>
      <c r="XDN97" s="21"/>
      <c r="XDO97" s="21"/>
      <c r="XDP97" s="21"/>
      <c r="XDQ97" s="21"/>
      <c r="XDR97" s="21"/>
      <c r="XDS97" s="21"/>
      <c r="XDT97" s="21"/>
      <c r="XDU97" s="21"/>
      <c r="XDV97" s="21"/>
      <c r="XDW97" s="21"/>
      <c r="XDX97" s="21"/>
      <c r="XDY97" s="21"/>
      <c r="XDZ97" s="21"/>
      <c r="XEA97" s="21"/>
      <c r="XEB97" s="21"/>
      <c r="XEC97" s="21"/>
      <c r="XED97" s="21"/>
      <c r="XEE97" s="21"/>
      <c r="XEF97" s="21"/>
      <c r="XEG97" s="21"/>
      <c r="XEH97" s="21"/>
      <c r="XEI97" s="21"/>
      <c r="XEJ97" s="21"/>
      <c r="XEK97" s="21"/>
      <c r="XEL97" s="21"/>
      <c r="XEM97" s="21"/>
      <c r="XEN97" s="21"/>
      <c r="XEO97" s="21"/>
      <c r="XEP97" s="21"/>
      <c r="XEQ97" s="21"/>
      <c r="XER97" s="21"/>
      <c r="XES97" s="21"/>
      <c r="XET97" s="21"/>
      <c r="XEU97" s="21"/>
      <c r="XEV97" s="21"/>
      <c r="XEW97" s="21"/>
      <c r="XEX97" s="21"/>
      <c r="XEY97" s="21"/>
      <c r="XEZ97" s="21"/>
      <c r="XFA97" s="21"/>
      <c r="XFB97" s="21"/>
    </row>
    <row r="98" spans="1:16382" s="47" customFormat="1" ht="36" customHeight="1" thickTop="1" thickBot="1">
      <c r="A98" s="8" t="s">
        <v>89</v>
      </c>
      <c r="B98" s="8" t="s">
        <v>90</v>
      </c>
      <c r="C98" s="8" t="s">
        <v>91</v>
      </c>
      <c r="D98" s="8" t="s">
        <v>92</v>
      </c>
      <c r="E98" s="199" t="s">
        <v>104</v>
      </c>
      <c r="F98" s="199" t="s">
        <v>93</v>
      </c>
    </row>
    <row r="99" spans="1:16382" ht="151.25" customHeight="1" thickTop="1" thickBot="1">
      <c r="A99" s="27" t="s">
        <v>1183</v>
      </c>
      <c r="B99" s="121" t="str">
        <f>Questions!$C$323</f>
        <v xml:space="preserve">
No answer required
What is the type of underlying asset that the scheme has security over?
</v>
      </c>
      <c r="C99" s="187"/>
      <c r="D99" s="372" t="str">
        <f ca="1">'Reconciliation report'!$D770</f>
        <v/>
      </c>
      <c r="E99" s="122" t="str">
        <f>Guidance!$B$219</f>
        <v xml:space="preserve">
Please note that letters of credit, bank guarantees, surety bonds and contingent funding mechanisms are covered in the 'Other assets' section.
</v>
      </c>
      <c r="F99" s="227"/>
    </row>
    <row r="100" spans="1:16382" ht="62.75" customHeight="1" thickBot="1">
      <c r="A100" s="27" t="s">
        <v>1185</v>
      </c>
      <c r="B100" s="118" t="str">
        <f>Questions!$C$324</f>
        <v xml:space="preserve">
No answer required
Provide specific details of the underlying asset
</v>
      </c>
      <c r="C100" s="519"/>
      <c r="D100" s="361" t="str">
        <f ca="1">'Reconciliation report'!$D771</f>
        <v/>
      </c>
      <c r="E100" s="122" t="str">
        <f>Guidance!$B$220</f>
        <v xml:space="preserve">
Specific details of the underlying asset over which the security has been provided.
</v>
      </c>
      <c r="F100" s="128"/>
    </row>
    <row r="101" spans="1:16382" ht="109.25" customHeight="1" thickBot="1">
      <c r="A101" s="27" t="s">
        <v>1187</v>
      </c>
      <c r="B101" s="121" t="str">
        <f>Questions!$C$325</f>
        <v xml:space="preserve">
No answer required
Type of maturity
</v>
      </c>
      <c r="C101" s="343"/>
      <c r="D101" s="372" t="str">
        <f ca="1">'Reconciliation report'!$D772</f>
        <v/>
      </c>
      <c r="E101" s="122" t="str">
        <f>Guidance!$B$221</f>
        <v xml:space="preserve">
Multiple choice answer setting out details regarding the maturity date of the security. Select 'evergreen' when there is no fixed expiry date. Otherwise, provide the date of maturity, which is when the scheme's legal access to the security or the term of the security arrangement is due to end. If neither of these options apply, select 'other'.
</v>
      </c>
      <c r="F101" s="227"/>
    </row>
    <row r="102" spans="1:16382" ht="93" customHeight="1">
      <c r="A102" s="27" t="s">
        <v>1189</v>
      </c>
      <c r="B102" s="118" t="str">
        <f>Questions!$C$326</f>
        <v xml:space="preserve">
No answer required
Date of maturity
</v>
      </c>
      <c r="C102" s="527"/>
      <c r="D102" s="361" t="str">
        <f ca="1">'Reconciliation report'!$D773</f>
        <v/>
      </c>
      <c r="E102" s="122" t="str">
        <f>Guidance!B287</f>
        <v>Guidance is not required for this question.</v>
      </c>
      <c r="F102" s="128"/>
    </row>
    <row r="103" spans="1:16382" ht="93" customHeight="1">
      <c r="A103" s="27" t="s">
        <v>1191</v>
      </c>
      <c r="B103" s="118" t="str">
        <f>Questions!$C$327</f>
        <v xml:space="preserve">
No answer required
Maturity date narrative
</v>
      </c>
      <c r="C103" s="519"/>
      <c r="D103" s="361" t="str">
        <f ca="1">'Reconciliation report'!$D774</f>
        <v/>
      </c>
      <c r="E103" s="122" t="str">
        <f>Guidance!$B$223</f>
        <v xml:space="preserve">
If the answer to the maturity date query above is 'Other', include some narrative related to the maturity date or likely maturity date of the contingent asset.
</v>
      </c>
      <c r="F103" s="128"/>
    </row>
    <row r="104" spans="1:16382" ht="139.5">
      <c r="A104" s="27" t="s">
        <v>1193</v>
      </c>
      <c r="B104" s="121" t="str">
        <f>Questions!$C$328</f>
        <v xml:space="preserve">
No answer required
Value ascribed (£)
</v>
      </c>
      <c r="C104" s="412"/>
      <c r="D104" s="361" t="str">
        <f ca="1">'Reconciliation report'!$D775</f>
        <v/>
      </c>
      <c r="E104" s="122" t="str">
        <f>Guidance!$B$224</f>
        <v xml:space="preserve">
The amount expected to be realisable under the security arrangement. This can be in terms of 'equal to or at least'.
This should take into account the scenarios the security is intended to address. For example, if the security is triggered on an employer's insolvency, this is the amount expected to be recovered in that scenario.     
</v>
      </c>
      <c r="F104" s="128"/>
    </row>
    <row r="105" spans="1:16382" ht="62.75" customHeight="1" thickBot="1">
      <c r="A105" s="27" t="s">
        <v>1195</v>
      </c>
      <c r="B105" s="118" t="str">
        <f>Questions!$C$329</f>
        <v xml:space="preserve">
No answer required
Date of valuation
</v>
      </c>
      <c r="C105" s="527"/>
      <c r="D105" s="361" t="str">
        <f ca="1">'Reconciliation report'!$D776</f>
        <v/>
      </c>
      <c r="E105" s="122" t="str">
        <f>Guidance!$B$225</f>
        <v xml:space="preserve">
The date as at which the value of the security has been assessed.
</v>
      </c>
      <c r="F105" s="128"/>
    </row>
    <row r="106" spans="1:16382" ht="140.15" customHeight="1" thickBot="1">
      <c r="A106" s="27" t="s">
        <v>1197</v>
      </c>
      <c r="B106" s="121" t="str">
        <f>Questions!$C$330</f>
        <v xml:space="preserve">
No answer required
Value cap
</v>
      </c>
      <c r="C106" s="343"/>
      <c r="D106" s="372" t="str">
        <f ca="1">'Reconciliation report'!$D777</f>
        <v/>
      </c>
      <c r="E106" s="122" t="str">
        <f>Guidance!$B$226</f>
        <v xml:space="preserve">
This is the maximum amount payable to the scheme pursuant to the terms of the security agreement when called upon.
</v>
      </c>
      <c r="F106" s="227"/>
    </row>
    <row r="107" spans="1:16382" ht="77.5">
      <c r="A107" s="27" t="s">
        <v>1199</v>
      </c>
      <c r="B107" s="118" t="str">
        <f>Questions!$C$331</f>
        <v xml:space="preserve">
No answer required
Narrative regarding value cap
</v>
      </c>
      <c r="C107" s="519"/>
      <c r="D107" s="361" t="str">
        <f ca="1">'Reconciliation report'!$D778</f>
        <v/>
      </c>
      <c r="E107" s="122" t="str">
        <f>Guidance!$B$227</f>
        <v xml:space="preserve">
If the answer to the value cap question above is 'Other', describe the value cap.
</v>
      </c>
      <c r="F107" s="128"/>
    </row>
    <row r="108" spans="1:16382" ht="78" customHeight="1" thickBot="1">
      <c r="A108" s="27" t="s">
        <v>1201</v>
      </c>
      <c r="B108" s="118" t="str">
        <f>Questions!$C$332</f>
        <v xml:space="preserve">
No answer required
Fixed cap amount (£)
</v>
      </c>
      <c r="C108" s="416"/>
      <c r="D108" s="362" t="str">
        <f ca="1">'Reconciliation report'!$D779</f>
        <v/>
      </c>
      <c r="E108" s="122" t="str">
        <f>Guidance!$B$287</f>
        <v>Guidance is not required for this question.</v>
      </c>
      <c r="F108" s="128"/>
    </row>
    <row r="109" spans="1:16382" s="143" customFormat="1" ht="20.149999999999999" customHeight="1" thickBot="1">
      <c r="A109" s="75"/>
      <c r="B109" s="75"/>
      <c r="C109" s="75" t="s">
        <v>23</v>
      </c>
      <c r="D109" s="68"/>
      <c r="E109" s="99"/>
      <c r="F109" s="99"/>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c r="BI109" s="32"/>
      <c r="BJ109" s="32"/>
      <c r="BK109" s="32"/>
      <c r="BL109" s="32"/>
      <c r="BM109" s="32"/>
      <c r="BN109" s="32"/>
      <c r="BO109" s="32"/>
      <c r="BP109" s="32"/>
      <c r="BQ109" s="32"/>
      <c r="BR109" s="32"/>
      <c r="BS109" s="32"/>
      <c r="BT109" s="32"/>
      <c r="BU109" s="32"/>
      <c r="BV109" s="32"/>
      <c r="BW109" s="32"/>
      <c r="BX109" s="32"/>
      <c r="BY109" s="32"/>
      <c r="BZ109" s="32"/>
      <c r="CA109" s="32"/>
      <c r="CB109" s="32"/>
      <c r="CC109" s="32"/>
      <c r="CD109" s="32"/>
      <c r="CE109" s="32"/>
      <c r="CF109" s="32"/>
      <c r="CG109" s="32"/>
      <c r="CH109" s="32"/>
      <c r="CI109" s="32"/>
      <c r="CJ109" s="32"/>
      <c r="CK109" s="32"/>
      <c r="CL109" s="32"/>
      <c r="CM109" s="32"/>
      <c r="CN109" s="32"/>
      <c r="CO109" s="32"/>
      <c r="CP109" s="32"/>
      <c r="CQ109" s="32"/>
      <c r="CR109" s="32"/>
      <c r="CS109" s="32"/>
      <c r="CT109" s="32"/>
      <c r="CU109" s="32"/>
      <c r="CV109" s="32"/>
      <c r="CW109" s="32"/>
      <c r="CX109" s="32"/>
      <c r="CY109" s="32"/>
      <c r="CZ109" s="32"/>
      <c r="DA109" s="32"/>
      <c r="DB109" s="32"/>
      <c r="DC109" s="32"/>
      <c r="DD109" s="32"/>
      <c r="DE109" s="32"/>
      <c r="DF109" s="32"/>
      <c r="DG109" s="32"/>
      <c r="DH109" s="32"/>
      <c r="DI109" s="32"/>
      <c r="DJ109" s="32"/>
      <c r="DK109" s="32"/>
      <c r="DL109" s="32"/>
      <c r="DM109" s="32"/>
      <c r="DN109" s="32"/>
      <c r="DO109" s="32"/>
      <c r="DP109" s="32"/>
      <c r="DQ109" s="32"/>
      <c r="DR109" s="32"/>
      <c r="DS109" s="32"/>
      <c r="DT109" s="32"/>
      <c r="DU109" s="32"/>
      <c r="DV109" s="32"/>
      <c r="DW109" s="32"/>
      <c r="DX109" s="32"/>
      <c r="DY109" s="32"/>
      <c r="DZ109" s="32"/>
      <c r="EA109" s="32"/>
      <c r="EB109" s="32"/>
      <c r="EC109" s="32"/>
      <c r="ED109" s="32"/>
      <c r="EE109" s="32"/>
      <c r="EF109" s="32"/>
      <c r="EG109" s="32"/>
      <c r="EH109" s="32"/>
      <c r="EI109" s="32"/>
      <c r="EJ109" s="32"/>
      <c r="EK109" s="32"/>
      <c r="EL109" s="32"/>
      <c r="EM109" s="32"/>
      <c r="EN109" s="32"/>
      <c r="EO109" s="32"/>
      <c r="EP109" s="32"/>
      <c r="EQ109" s="32"/>
      <c r="ER109" s="32"/>
      <c r="ES109" s="32"/>
      <c r="ET109" s="32"/>
      <c r="EU109" s="32"/>
      <c r="EV109" s="32"/>
      <c r="EW109" s="32"/>
      <c r="EX109" s="32"/>
      <c r="EY109" s="32"/>
      <c r="EZ109" s="32"/>
      <c r="FA109" s="32"/>
      <c r="FB109" s="32"/>
      <c r="FC109" s="32"/>
      <c r="FD109" s="32"/>
      <c r="FE109" s="32"/>
      <c r="FF109" s="32"/>
      <c r="FG109" s="32"/>
      <c r="FH109" s="32"/>
      <c r="FI109" s="32"/>
      <c r="FJ109" s="32"/>
      <c r="FK109" s="32"/>
      <c r="FL109" s="32"/>
      <c r="FM109" s="32"/>
      <c r="FN109" s="32"/>
      <c r="FO109" s="32"/>
      <c r="FP109" s="32"/>
      <c r="FQ109" s="32"/>
      <c r="FR109" s="32"/>
      <c r="FS109" s="32"/>
      <c r="FT109" s="32"/>
      <c r="FU109" s="32"/>
      <c r="FV109" s="32"/>
      <c r="FW109" s="32"/>
      <c r="FX109" s="32"/>
      <c r="FY109" s="32"/>
      <c r="FZ109" s="32"/>
      <c r="GA109" s="32"/>
      <c r="GB109" s="32"/>
      <c r="GC109" s="32"/>
      <c r="GD109" s="32"/>
      <c r="GE109" s="32"/>
      <c r="GF109" s="32"/>
      <c r="GG109" s="32"/>
      <c r="GH109" s="32"/>
      <c r="GI109" s="32"/>
      <c r="GJ109" s="32"/>
      <c r="GK109" s="32"/>
      <c r="GL109" s="32"/>
      <c r="GM109" s="32"/>
      <c r="GN109" s="32"/>
      <c r="GO109" s="32"/>
      <c r="GP109" s="32"/>
      <c r="GQ109" s="32"/>
      <c r="GR109" s="32"/>
      <c r="GS109" s="32"/>
      <c r="GT109" s="32"/>
      <c r="GU109" s="32"/>
      <c r="GV109" s="32"/>
      <c r="GW109" s="32"/>
      <c r="GX109" s="32"/>
      <c r="GY109" s="32"/>
      <c r="GZ109" s="32"/>
      <c r="HA109" s="32"/>
      <c r="HB109" s="32"/>
      <c r="HC109" s="32"/>
      <c r="HD109" s="32"/>
      <c r="HE109" s="32"/>
      <c r="HF109" s="32"/>
      <c r="HG109" s="32"/>
      <c r="HH109" s="32"/>
      <c r="HI109" s="32"/>
      <c r="HJ109" s="32"/>
      <c r="HK109" s="32"/>
      <c r="HL109" s="32"/>
      <c r="HM109" s="32"/>
      <c r="HN109" s="32"/>
      <c r="HO109" s="32"/>
      <c r="HP109" s="32"/>
      <c r="HQ109" s="32"/>
      <c r="HR109" s="32"/>
      <c r="HS109" s="32"/>
      <c r="HT109" s="32"/>
      <c r="HU109" s="32"/>
      <c r="HV109" s="32"/>
      <c r="HW109" s="32"/>
      <c r="HX109" s="32"/>
      <c r="HY109" s="32"/>
      <c r="HZ109" s="32"/>
      <c r="IA109" s="32"/>
      <c r="IB109" s="32"/>
      <c r="IC109" s="32"/>
      <c r="ID109" s="32"/>
      <c r="IE109" s="32"/>
      <c r="IF109" s="32"/>
      <c r="IG109" s="32"/>
      <c r="IH109" s="32"/>
      <c r="II109" s="32"/>
      <c r="IJ109" s="32"/>
      <c r="IK109" s="32"/>
      <c r="IL109" s="32"/>
      <c r="IM109" s="32"/>
      <c r="IN109" s="32"/>
      <c r="IO109" s="32"/>
      <c r="IP109" s="32"/>
      <c r="IQ109" s="32"/>
      <c r="IR109" s="32"/>
      <c r="IS109" s="32"/>
      <c r="IT109" s="32"/>
      <c r="IU109" s="32"/>
      <c r="IV109" s="32"/>
      <c r="IW109" s="32"/>
      <c r="IX109" s="32"/>
      <c r="IY109" s="32"/>
      <c r="IZ109" s="32"/>
      <c r="JA109" s="32"/>
      <c r="JB109" s="32"/>
      <c r="JC109" s="32"/>
      <c r="JD109" s="32"/>
      <c r="JE109" s="32"/>
      <c r="JF109" s="32"/>
      <c r="JG109" s="32"/>
      <c r="JH109" s="32"/>
      <c r="JI109" s="32"/>
      <c r="JJ109" s="32"/>
      <c r="JK109" s="32"/>
      <c r="JL109" s="32"/>
      <c r="JM109" s="32"/>
      <c r="JN109" s="32"/>
      <c r="JO109" s="32"/>
      <c r="JP109" s="32"/>
      <c r="JQ109" s="32"/>
      <c r="JR109" s="32"/>
      <c r="JS109" s="32"/>
      <c r="JT109" s="32"/>
      <c r="JU109" s="32"/>
      <c r="JV109" s="32"/>
      <c r="JW109" s="32"/>
      <c r="JX109" s="32"/>
      <c r="JY109" s="32"/>
      <c r="JZ109" s="32"/>
      <c r="KA109" s="32"/>
      <c r="KB109" s="32"/>
      <c r="KC109" s="32"/>
      <c r="KD109" s="32"/>
      <c r="KE109" s="32"/>
      <c r="KF109" s="32"/>
      <c r="KG109" s="32"/>
      <c r="KH109" s="32"/>
      <c r="KI109" s="32"/>
      <c r="KJ109" s="32"/>
      <c r="KK109" s="32"/>
      <c r="KL109" s="32"/>
      <c r="KM109" s="32"/>
      <c r="KN109" s="32"/>
      <c r="KO109" s="32"/>
      <c r="KP109" s="32"/>
      <c r="KQ109" s="32"/>
      <c r="KR109" s="32"/>
      <c r="KS109" s="32"/>
      <c r="KT109" s="32"/>
      <c r="KU109" s="32"/>
      <c r="KV109" s="32"/>
      <c r="KW109" s="32"/>
      <c r="KX109" s="32"/>
      <c r="KY109" s="32"/>
      <c r="KZ109" s="32"/>
      <c r="LA109" s="32"/>
      <c r="LB109" s="32"/>
      <c r="LC109" s="32"/>
      <c r="LD109" s="32"/>
      <c r="LE109" s="32"/>
      <c r="LF109" s="32"/>
      <c r="LG109" s="32"/>
      <c r="LH109" s="32"/>
      <c r="LI109" s="32"/>
      <c r="LJ109" s="32"/>
      <c r="LK109" s="32"/>
      <c r="LL109" s="32"/>
      <c r="LM109" s="32"/>
      <c r="LN109" s="32"/>
      <c r="LO109" s="32"/>
      <c r="LP109" s="32"/>
      <c r="LQ109" s="32"/>
      <c r="LR109" s="32"/>
      <c r="LS109" s="32"/>
      <c r="LT109" s="32"/>
      <c r="LU109" s="32"/>
      <c r="LV109" s="32"/>
      <c r="LW109" s="32"/>
      <c r="LX109" s="32"/>
      <c r="LY109" s="32"/>
      <c r="LZ109" s="32"/>
      <c r="MA109" s="32"/>
      <c r="MB109" s="32"/>
      <c r="MC109" s="32"/>
      <c r="MD109" s="32"/>
      <c r="ME109" s="32"/>
      <c r="MF109" s="32"/>
      <c r="MG109" s="32"/>
      <c r="MH109" s="32"/>
      <c r="MI109" s="32"/>
      <c r="MJ109" s="32"/>
      <c r="MK109" s="32"/>
      <c r="ML109" s="32"/>
      <c r="MM109" s="32"/>
      <c r="MN109" s="32"/>
      <c r="MO109" s="32"/>
      <c r="MP109" s="32"/>
      <c r="MQ109" s="32"/>
      <c r="MR109" s="32"/>
      <c r="MS109" s="32"/>
      <c r="MT109" s="32"/>
      <c r="MU109" s="32"/>
      <c r="MV109" s="32"/>
      <c r="MW109" s="32"/>
      <c r="MX109" s="32"/>
      <c r="MY109" s="32"/>
      <c r="MZ109" s="32"/>
      <c r="NA109" s="32"/>
      <c r="NB109" s="32"/>
      <c r="NC109" s="32"/>
      <c r="ND109" s="32"/>
      <c r="NE109" s="32"/>
      <c r="NF109" s="32"/>
      <c r="NG109" s="32"/>
      <c r="NH109" s="32"/>
      <c r="NI109" s="32"/>
      <c r="NJ109" s="32"/>
      <c r="NK109" s="32"/>
      <c r="NL109" s="32"/>
      <c r="NM109" s="32"/>
      <c r="NN109" s="32"/>
      <c r="NO109" s="32"/>
      <c r="NP109" s="32"/>
      <c r="NQ109" s="32"/>
      <c r="NR109" s="32"/>
      <c r="NS109" s="32"/>
      <c r="NT109" s="32"/>
      <c r="NU109" s="32"/>
      <c r="NV109" s="32"/>
      <c r="NW109" s="32"/>
      <c r="NX109" s="32"/>
      <c r="NY109" s="32"/>
      <c r="NZ109" s="32"/>
      <c r="OA109" s="32"/>
      <c r="OB109" s="32"/>
      <c r="OC109" s="32"/>
      <c r="OD109" s="32"/>
      <c r="OE109" s="32"/>
      <c r="OF109" s="32"/>
      <c r="OG109" s="32"/>
      <c r="OH109" s="32"/>
      <c r="OI109" s="32"/>
      <c r="OJ109" s="32"/>
      <c r="OK109" s="32"/>
      <c r="OL109" s="32"/>
      <c r="OM109" s="32"/>
      <c r="ON109" s="32"/>
      <c r="OO109" s="32"/>
      <c r="OP109" s="32"/>
      <c r="OQ109" s="32"/>
      <c r="OR109" s="32"/>
      <c r="OS109" s="32"/>
      <c r="OT109" s="32"/>
      <c r="OU109" s="32"/>
      <c r="OV109" s="32"/>
      <c r="OW109" s="32"/>
      <c r="OX109" s="32"/>
      <c r="OY109" s="32"/>
      <c r="OZ109" s="32"/>
      <c r="PA109" s="32"/>
      <c r="PB109" s="32"/>
      <c r="PC109" s="32"/>
      <c r="PD109" s="32"/>
      <c r="PE109" s="32"/>
      <c r="PF109" s="32"/>
      <c r="PG109" s="32"/>
      <c r="PH109" s="32"/>
      <c r="PI109" s="32"/>
      <c r="PJ109" s="32"/>
      <c r="PK109" s="32"/>
      <c r="PL109" s="32"/>
      <c r="PM109" s="32"/>
      <c r="PN109" s="32"/>
      <c r="PO109" s="32"/>
      <c r="PP109" s="32"/>
      <c r="PQ109" s="32"/>
      <c r="PR109" s="32"/>
      <c r="PS109" s="32"/>
      <c r="PT109" s="32"/>
      <c r="PU109" s="32"/>
      <c r="PV109" s="32"/>
      <c r="PW109" s="32"/>
      <c r="PX109" s="32"/>
      <c r="PY109" s="32"/>
      <c r="PZ109" s="32"/>
      <c r="QA109" s="32"/>
      <c r="QB109" s="32"/>
      <c r="QC109" s="32"/>
      <c r="QD109" s="32"/>
      <c r="QE109" s="32"/>
      <c r="QF109" s="32"/>
      <c r="QG109" s="32"/>
      <c r="QH109" s="32"/>
      <c r="QI109" s="32"/>
      <c r="QJ109" s="32"/>
      <c r="QK109" s="32"/>
      <c r="QL109" s="32"/>
      <c r="QM109" s="32"/>
      <c r="QN109" s="32"/>
      <c r="QO109" s="32"/>
      <c r="QP109" s="32"/>
      <c r="QQ109" s="32"/>
      <c r="QR109" s="32"/>
      <c r="QS109" s="32"/>
      <c r="QT109" s="32"/>
      <c r="QU109" s="32"/>
      <c r="QV109" s="32"/>
      <c r="QW109" s="32"/>
      <c r="QX109" s="32"/>
      <c r="QY109" s="32"/>
      <c r="QZ109" s="32"/>
      <c r="RA109" s="32"/>
      <c r="RB109" s="32"/>
      <c r="RC109" s="32"/>
      <c r="RD109" s="32"/>
      <c r="RE109" s="32"/>
      <c r="RF109" s="32"/>
      <c r="RG109" s="32"/>
      <c r="RH109" s="32"/>
      <c r="RI109" s="32"/>
      <c r="RJ109" s="32"/>
      <c r="RK109" s="32"/>
      <c r="RL109" s="32"/>
      <c r="RM109" s="32"/>
      <c r="RN109" s="32"/>
      <c r="RO109" s="32"/>
      <c r="RP109" s="32"/>
      <c r="RQ109" s="32"/>
      <c r="RR109" s="32"/>
      <c r="RS109" s="32"/>
      <c r="RT109" s="32"/>
      <c r="RU109" s="32"/>
      <c r="RV109" s="32"/>
      <c r="RW109" s="32"/>
      <c r="RX109" s="32"/>
      <c r="RY109" s="32"/>
      <c r="RZ109" s="32"/>
      <c r="SA109" s="32"/>
      <c r="SB109" s="32"/>
      <c r="SC109" s="32"/>
      <c r="SD109" s="32"/>
      <c r="SE109" s="32"/>
      <c r="SF109" s="32"/>
      <c r="SG109" s="32"/>
      <c r="SH109" s="32"/>
      <c r="SI109" s="32"/>
      <c r="SJ109" s="32"/>
      <c r="SK109" s="32"/>
      <c r="SL109" s="32"/>
      <c r="SM109" s="32"/>
      <c r="SN109" s="32"/>
      <c r="SO109" s="32"/>
      <c r="SP109" s="32"/>
      <c r="SQ109" s="32"/>
      <c r="SR109" s="32"/>
      <c r="SS109" s="32"/>
      <c r="ST109" s="32"/>
      <c r="SU109" s="32"/>
      <c r="SV109" s="32"/>
      <c r="SW109" s="32"/>
      <c r="SX109" s="32"/>
      <c r="SY109" s="32"/>
      <c r="SZ109" s="32"/>
      <c r="TA109" s="32"/>
      <c r="TB109" s="32"/>
      <c r="TC109" s="32"/>
      <c r="TD109" s="32"/>
      <c r="TE109" s="32"/>
      <c r="TF109" s="32"/>
      <c r="TG109" s="32"/>
      <c r="TH109" s="32"/>
      <c r="TI109" s="32"/>
      <c r="TJ109" s="32"/>
      <c r="TK109" s="32"/>
      <c r="TL109" s="32"/>
      <c r="TM109" s="32"/>
      <c r="TN109" s="32"/>
      <c r="TO109" s="32"/>
      <c r="TP109" s="32"/>
      <c r="TQ109" s="32"/>
      <c r="TR109" s="32"/>
      <c r="TS109" s="32"/>
      <c r="TT109" s="32"/>
      <c r="TU109" s="32"/>
      <c r="TV109" s="32"/>
      <c r="TW109" s="32"/>
      <c r="TX109" s="32"/>
      <c r="TY109" s="32"/>
      <c r="TZ109" s="32"/>
      <c r="UA109" s="32"/>
      <c r="UB109" s="32"/>
      <c r="UC109" s="32"/>
      <c r="UD109" s="32"/>
      <c r="UE109" s="32"/>
      <c r="UF109" s="32"/>
      <c r="UG109" s="32"/>
      <c r="UH109" s="32"/>
      <c r="UI109" s="32"/>
      <c r="UJ109" s="32"/>
      <c r="UK109" s="32"/>
      <c r="UL109" s="32"/>
      <c r="UM109" s="32"/>
      <c r="UN109" s="32"/>
      <c r="UO109" s="32"/>
      <c r="UP109" s="32"/>
      <c r="UQ109" s="32"/>
      <c r="UR109" s="32"/>
      <c r="US109" s="32"/>
      <c r="UT109" s="32"/>
      <c r="UU109" s="32"/>
      <c r="UV109" s="32"/>
      <c r="UW109" s="32"/>
      <c r="UX109" s="32"/>
      <c r="UY109" s="32"/>
      <c r="UZ109" s="32"/>
      <c r="VA109" s="32"/>
      <c r="VB109" s="32"/>
      <c r="VC109" s="32"/>
      <c r="VD109" s="32"/>
      <c r="VE109" s="32"/>
      <c r="VF109" s="32"/>
      <c r="VG109" s="32"/>
      <c r="VH109" s="32"/>
      <c r="VI109" s="32"/>
      <c r="VJ109" s="32"/>
      <c r="VK109" s="32"/>
      <c r="VL109" s="32"/>
      <c r="VM109" s="32"/>
      <c r="VN109" s="32"/>
      <c r="VO109" s="32"/>
      <c r="VP109" s="32"/>
      <c r="VQ109" s="32"/>
      <c r="VR109" s="32"/>
      <c r="VS109" s="32"/>
      <c r="VT109" s="32"/>
      <c r="VU109" s="32"/>
      <c r="VV109" s="32"/>
      <c r="VW109" s="32"/>
      <c r="VX109" s="32"/>
      <c r="VY109" s="32"/>
      <c r="VZ109" s="32"/>
      <c r="WA109" s="32"/>
      <c r="WB109" s="32"/>
      <c r="WC109" s="32"/>
      <c r="WD109" s="32"/>
      <c r="WE109" s="32"/>
      <c r="WF109" s="32"/>
      <c r="WG109" s="32"/>
      <c r="WH109" s="32"/>
      <c r="WI109" s="32"/>
      <c r="WJ109" s="32"/>
      <c r="WK109" s="32"/>
      <c r="WL109" s="32"/>
      <c r="WM109" s="32"/>
      <c r="WN109" s="32"/>
      <c r="WO109" s="32"/>
      <c r="WP109" s="32"/>
      <c r="WQ109" s="32"/>
      <c r="WR109" s="32"/>
      <c r="WS109" s="32"/>
      <c r="WT109" s="32"/>
      <c r="WU109" s="32"/>
      <c r="WV109" s="32"/>
      <c r="WW109" s="32"/>
      <c r="WX109" s="32"/>
      <c r="WY109" s="32"/>
      <c r="WZ109" s="32"/>
      <c r="XA109" s="32"/>
      <c r="XB109" s="32"/>
      <c r="XC109" s="32"/>
      <c r="XD109" s="32"/>
      <c r="XE109" s="32"/>
      <c r="XF109" s="32"/>
      <c r="XG109" s="32"/>
      <c r="XH109" s="32"/>
      <c r="XI109" s="32"/>
      <c r="XJ109" s="32"/>
      <c r="XK109" s="32"/>
      <c r="XL109" s="32"/>
      <c r="XM109" s="32"/>
      <c r="XN109" s="32"/>
      <c r="XO109" s="32"/>
      <c r="XP109" s="32"/>
      <c r="XQ109" s="32"/>
      <c r="XR109" s="32"/>
      <c r="XS109" s="32"/>
      <c r="XT109" s="32"/>
      <c r="XU109" s="32"/>
      <c r="XV109" s="32"/>
      <c r="XW109" s="32"/>
      <c r="XX109" s="32"/>
      <c r="XY109" s="32"/>
      <c r="XZ109" s="32"/>
      <c r="YA109" s="32"/>
      <c r="YB109" s="32"/>
      <c r="YC109" s="32"/>
      <c r="YD109" s="32"/>
      <c r="YE109" s="32"/>
      <c r="YF109" s="32"/>
      <c r="YG109" s="32"/>
      <c r="YH109" s="32"/>
      <c r="YI109" s="32"/>
      <c r="YJ109" s="32"/>
      <c r="YK109" s="32"/>
      <c r="YL109" s="32"/>
      <c r="YM109" s="32"/>
      <c r="YN109" s="32"/>
      <c r="YO109" s="32"/>
      <c r="YP109" s="32"/>
      <c r="YQ109" s="32"/>
      <c r="YR109" s="32"/>
      <c r="YS109" s="32"/>
      <c r="YT109" s="32"/>
      <c r="YU109" s="32"/>
      <c r="YV109" s="32"/>
      <c r="YW109" s="32"/>
      <c r="YX109" s="32"/>
      <c r="YY109" s="32"/>
      <c r="YZ109" s="32"/>
      <c r="ZA109" s="32"/>
      <c r="ZB109" s="32"/>
      <c r="ZC109" s="32"/>
      <c r="ZD109" s="32"/>
      <c r="ZE109" s="32"/>
      <c r="ZF109" s="32"/>
      <c r="ZG109" s="32"/>
      <c r="ZH109" s="32"/>
      <c r="ZI109" s="32"/>
      <c r="ZJ109" s="32"/>
      <c r="ZK109" s="32"/>
      <c r="ZL109" s="32"/>
      <c r="ZM109" s="32"/>
      <c r="ZN109" s="32"/>
      <c r="ZO109" s="32"/>
      <c r="ZP109" s="32"/>
      <c r="ZQ109" s="32"/>
      <c r="ZR109" s="32"/>
      <c r="ZS109" s="32"/>
      <c r="ZT109" s="32"/>
      <c r="ZU109" s="32"/>
      <c r="ZV109" s="32"/>
      <c r="ZW109" s="32"/>
      <c r="ZX109" s="32"/>
      <c r="ZY109" s="32"/>
      <c r="ZZ109" s="32"/>
      <c r="AAA109" s="32"/>
      <c r="AAB109" s="32"/>
      <c r="AAC109" s="32"/>
      <c r="AAD109" s="32"/>
      <c r="AAE109" s="32"/>
      <c r="AAF109" s="32"/>
      <c r="AAG109" s="32"/>
      <c r="AAH109" s="32"/>
      <c r="AAI109" s="32"/>
      <c r="AAJ109" s="32"/>
      <c r="AAK109" s="32"/>
      <c r="AAL109" s="32"/>
      <c r="AAM109" s="32"/>
      <c r="AAN109" s="32"/>
      <c r="AAO109" s="32"/>
      <c r="AAP109" s="32"/>
      <c r="AAQ109" s="32"/>
      <c r="AAR109" s="32"/>
      <c r="AAS109" s="32"/>
      <c r="AAT109" s="32"/>
      <c r="AAU109" s="32"/>
      <c r="AAV109" s="32"/>
      <c r="AAW109" s="32"/>
      <c r="AAX109" s="32"/>
      <c r="AAY109" s="32"/>
      <c r="AAZ109" s="32"/>
      <c r="ABA109" s="32"/>
      <c r="ABB109" s="32"/>
      <c r="ABC109" s="32"/>
      <c r="ABD109" s="32"/>
      <c r="ABE109" s="32"/>
      <c r="ABF109" s="32"/>
      <c r="ABG109" s="32"/>
      <c r="ABH109" s="32"/>
      <c r="ABI109" s="32"/>
      <c r="ABJ109" s="32"/>
      <c r="ABK109" s="32"/>
      <c r="ABL109" s="32"/>
      <c r="ABM109" s="32"/>
      <c r="ABN109" s="32"/>
      <c r="ABO109" s="32"/>
      <c r="ABP109" s="32"/>
      <c r="ABQ109" s="32"/>
      <c r="ABR109" s="32"/>
      <c r="ABS109" s="32"/>
      <c r="ABT109" s="32"/>
      <c r="ABU109" s="32"/>
      <c r="ABV109" s="32"/>
      <c r="ABW109" s="32"/>
      <c r="ABX109" s="32"/>
      <c r="ABY109" s="32"/>
      <c r="ABZ109" s="32"/>
      <c r="ACA109" s="32"/>
      <c r="ACB109" s="32"/>
      <c r="ACC109" s="32"/>
      <c r="ACD109" s="32"/>
      <c r="ACE109" s="32"/>
      <c r="ACF109" s="32"/>
      <c r="ACG109" s="32"/>
      <c r="ACH109" s="32"/>
      <c r="ACI109" s="32"/>
      <c r="ACJ109" s="32"/>
      <c r="ACK109" s="32"/>
      <c r="ACL109" s="32"/>
      <c r="ACM109" s="32"/>
      <c r="ACN109" s="32"/>
      <c r="ACO109" s="32"/>
      <c r="ACP109" s="32"/>
      <c r="ACQ109" s="32"/>
      <c r="ACR109" s="32"/>
      <c r="ACS109" s="32"/>
      <c r="ACT109" s="32"/>
      <c r="ACU109" s="32"/>
      <c r="ACV109" s="32"/>
      <c r="ACW109" s="32"/>
      <c r="ACX109" s="32"/>
      <c r="ACY109" s="32"/>
      <c r="ACZ109" s="32"/>
      <c r="ADA109" s="32"/>
      <c r="ADB109" s="32"/>
      <c r="ADC109" s="32"/>
      <c r="ADD109" s="32"/>
      <c r="ADE109" s="32"/>
      <c r="ADF109" s="32"/>
      <c r="ADG109" s="32"/>
      <c r="ADH109" s="32"/>
      <c r="ADI109" s="32"/>
      <c r="ADJ109" s="32"/>
      <c r="ADK109" s="32"/>
      <c r="ADL109" s="32"/>
      <c r="ADM109" s="32"/>
      <c r="ADN109" s="32"/>
      <c r="ADO109" s="32"/>
      <c r="ADP109" s="32"/>
      <c r="ADQ109" s="32"/>
      <c r="ADR109" s="32"/>
      <c r="ADS109" s="32"/>
      <c r="ADT109" s="32"/>
      <c r="ADU109" s="32"/>
      <c r="ADV109" s="32"/>
      <c r="ADW109" s="32"/>
      <c r="ADX109" s="32"/>
      <c r="ADY109" s="32"/>
      <c r="ADZ109" s="32"/>
      <c r="AEA109" s="32"/>
      <c r="AEB109" s="32"/>
      <c r="AEC109" s="32"/>
      <c r="AED109" s="32"/>
      <c r="AEE109" s="32"/>
      <c r="AEF109" s="32"/>
      <c r="AEG109" s="32"/>
      <c r="AEH109" s="32"/>
      <c r="AEI109" s="32"/>
      <c r="AEJ109" s="32"/>
      <c r="AEK109" s="32"/>
      <c r="AEL109" s="32"/>
      <c r="AEM109" s="32"/>
      <c r="AEN109" s="32"/>
      <c r="AEO109" s="32"/>
      <c r="AEP109" s="32"/>
      <c r="AEQ109" s="32"/>
      <c r="AER109" s="32"/>
      <c r="AES109" s="32"/>
      <c r="AET109" s="32"/>
      <c r="AEU109" s="32"/>
      <c r="AEV109" s="32"/>
      <c r="AEW109" s="32"/>
      <c r="AEX109" s="32"/>
      <c r="AEY109" s="32"/>
      <c r="AEZ109" s="32"/>
      <c r="AFA109" s="32"/>
      <c r="AFB109" s="32"/>
      <c r="AFC109" s="32"/>
      <c r="AFD109" s="32"/>
      <c r="AFE109" s="32"/>
      <c r="AFF109" s="32"/>
      <c r="AFG109" s="32"/>
      <c r="AFH109" s="32"/>
      <c r="AFI109" s="32"/>
      <c r="AFJ109" s="32"/>
      <c r="AFK109" s="32"/>
      <c r="AFL109" s="32"/>
      <c r="AFM109" s="32"/>
      <c r="AFN109" s="32"/>
      <c r="AFO109" s="32"/>
      <c r="AFP109" s="32"/>
      <c r="AFQ109" s="32"/>
      <c r="AFR109" s="32"/>
      <c r="AFS109" s="32"/>
      <c r="AFT109" s="32"/>
      <c r="AFU109" s="32"/>
      <c r="AFV109" s="32"/>
      <c r="AFW109" s="32"/>
      <c r="AFX109" s="32"/>
      <c r="AFY109" s="32"/>
      <c r="AFZ109" s="32"/>
      <c r="AGA109" s="32"/>
      <c r="AGB109" s="32"/>
      <c r="AGC109" s="32"/>
      <c r="AGD109" s="32"/>
      <c r="AGE109" s="32"/>
      <c r="AGF109" s="32"/>
      <c r="AGG109" s="32"/>
      <c r="AGH109" s="32"/>
      <c r="AGI109" s="32"/>
      <c r="AGJ109" s="32"/>
      <c r="AGK109" s="32"/>
      <c r="AGL109" s="32"/>
      <c r="AGM109" s="32"/>
      <c r="AGN109" s="32"/>
      <c r="AGO109" s="32"/>
      <c r="AGP109" s="32"/>
      <c r="AGQ109" s="32"/>
      <c r="AGR109" s="32"/>
      <c r="AGS109" s="32"/>
      <c r="AGT109" s="32"/>
      <c r="AGU109" s="32"/>
      <c r="AGV109" s="32"/>
      <c r="AGW109" s="32"/>
      <c r="AGX109" s="32"/>
      <c r="AGY109" s="32"/>
      <c r="AGZ109" s="32"/>
      <c r="AHA109" s="32"/>
      <c r="AHB109" s="32"/>
      <c r="AHC109" s="32"/>
      <c r="AHD109" s="32"/>
      <c r="AHE109" s="32"/>
      <c r="AHF109" s="32"/>
      <c r="AHG109" s="32"/>
      <c r="AHH109" s="32"/>
      <c r="AHI109" s="32"/>
      <c r="AHJ109" s="32"/>
      <c r="AHK109" s="32"/>
      <c r="AHL109" s="32"/>
      <c r="AHM109" s="32"/>
      <c r="AHN109" s="32"/>
      <c r="AHO109" s="32"/>
      <c r="AHP109" s="32"/>
      <c r="AHQ109" s="32"/>
      <c r="AHR109" s="32"/>
      <c r="AHS109" s="32"/>
      <c r="AHT109" s="32"/>
      <c r="AHU109" s="32"/>
      <c r="AHV109" s="32"/>
      <c r="AHW109" s="32"/>
      <c r="AHX109" s="32"/>
      <c r="AHY109" s="32"/>
      <c r="AHZ109" s="32"/>
      <c r="AIA109" s="32"/>
      <c r="AIB109" s="32"/>
      <c r="AIC109" s="32"/>
      <c r="AID109" s="32"/>
      <c r="AIE109" s="32"/>
      <c r="AIF109" s="32"/>
      <c r="AIG109" s="32"/>
      <c r="AIH109" s="32"/>
      <c r="AII109" s="32"/>
      <c r="AIJ109" s="32"/>
      <c r="AIK109" s="32"/>
      <c r="AIL109" s="32"/>
      <c r="AIM109" s="32"/>
      <c r="AIN109" s="32"/>
      <c r="AIO109" s="32"/>
      <c r="AIP109" s="32"/>
      <c r="AIQ109" s="32"/>
      <c r="AIR109" s="32"/>
      <c r="AIS109" s="32"/>
      <c r="AIT109" s="32"/>
      <c r="AIU109" s="32"/>
      <c r="AIV109" s="32"/>
      <c r="AIW109" s="32"/>
      <c r="AIX109" s="32"/>
      <c r="AIY109" s="32"/>
      <c r="AIZ109" s="32"/>
      <c r="AJA109" s="32"/>
      <c r="AJB109" s="32"/>
      <c r="AJC109" s="32"/>
      <c r="AJD109" s="32"/>
      <c r="AJE109" s="32"/>
      <c r="AJF109" s="32"/>
      <c r="AJG109" s="32"/>
      <c r="AJH109" s="32"/>
      <c r="AJI109" s="32"/>
      <c r="AJJ109" s="32"/>
      <c r="AJK109" s="32"/>
      <c r="AJL109" s="32"/>
      <c r="AJM109" s="32"/>
      <c r="AJN109" s="32"/>
      <c r="AJO109" s="32"/>
      <c r="AJP109" s="32"/>
      <c r="AJQ109" s="32"/>
      <c r="AJR109" s="32"/>
      <c r="AJS109" s="32"/>
      <c r="AJT109" s="32"/>
      <c r="AJU109" s="32"/>
      <c r="AJV109" s="32"/>
      <c r="AJW109" s="32"/>
      <c r="AJX109" s="32"/>
      <c r="AJY109" s="32"/>
      <c r="AJZ109" s="32"/>
      <c r="AKA109" s="32"/>
      <c r="AKB109" s="32"/>
      <c r="AKC109" s="32"/>
      <c r="AKD109" s="32"/>
      <c r="AKE109" s="32"/>
      <c r="AKF109" s="32"/>
      <c r="AKG109" s="32"/>
      <c r="AKH109" s="32"/>
      <c r="AKI109" s="32"/>
      <c r="AKJ109" s="32"/>
      <c r="AKK109" s="32"/>
      <c r="AKL109" s="32"/>
      <c r="AKM109" s="32"/>
      <c r="AKN109" s="32"/>
      <c r="AKO109" s="32"/>
      <c r="AKP109" s="32"/>
      <c r="AKQ109" s="32"/>
      <c r="AKR109" s="32"/>
      <c r="AKS109" s="32"/>
      <c r="AKT109" s="32"/>
      <c r="AKU109" s="32"/>
      <c r="AKV109" s="32"/>
      <c r="AKW109" s="32"/>
      <c r="AKX109" s="32"/>
      <c r="AKY109" s="32"/>
      <c r="AKZ109" s="32"/>
      <c r="ALA109" s="32"/>
      <c r="ALB109" s="32"/>
      <c r="ALC109" s="32"/>
      <c r="ALD109" s="32"/>
      <c r="ALE109" s="32"/>
      <c r="ALF109" s="32"/>
      <c r="ALG109" s="32"/>
      <c r="ALH109" s="32"/>
      <c r="ALI109" s="32"/>
      <c r="ALJ109" s="32"/>
      <c r="ALK109" s="32"/>
      <c r="ALL109" s="32"/>
      <c r="ALM109" s="32"/>
      <c r="ALN109" s="32"/>
      <c r="ALO109" s="32"/>
      <c r="ALP109" s="32"/>
      <c r="ALQ109" s="32"/>
      <c r="ALR109" s="32"/>
      <c r="ALS109" s="32"/>
      <c r="ALT109" s="32"/>
      <c r="ALU109" s="32"/>
      <c r="ALV109" s="32"/>
      <c r="ALW109" s="32"/>
      <c r="ALX109" s="32"/>
      <c r="ALY109" s="32"/>
      <c r="ALZ109" s="32"/>
      <c r="AMA109" s="32"/>
      <c r="AMB109" s="32"/>
      <c r="AMC109" s="32"/>
      <c r="AMD109" s="32"/>
      <c r="AME109" s="32"/>
      <c r="AMF109" s="32"/>
      <c r="AMG109" s="32"/>
      <c r="AMH109" s="32"/>
      <c r="AMI109" s="32"/>
      <c r="AMJ109" s="32"/>
      <c r="AMK109" s="32"/>
      <c r="AML109" s="32"/>
      <c r="AMM109" s="32"/>
      <c r="AMN109" s="32"/>
      <c r="AMO109" s="32"/>
      <c r="AMP109" s="32"/>
      <c r="AMQ109" s="32"/>
      <c r="AMR109" s="32"/>
      <c r="AMS109" s="32"/>
      <c r="AMT109" s="32"/>
      <c r="AMU109" s="32"/>
      <c r="AMV109" s="32"/>
      <c r="AMW109" s="32"/>
      <c r="AMX109" s="32"/>
      <c r="AMY109" s="32"/>
      <c r="AMZ109" s="32"/>
      <c r="ANA109" s="32"/>
      <c r="ANB109" s="32"/>
      <c r="ANC109" s="32"/>
      <c r="AND109" s="32"/>
      <c r="ANE109" s="32"/>
      <c r="ANF109" s="32"/>
      <c r="ANG109" s="32"/>
      <c r="ANH109" s="32"/>
      <c r="ANI109" s="32"/>
      <c r="ANJ109" s="32"/>
      <c r="ANK109" s="32"/>
      <c r="ANL109" s="32"/>
      <c r="ANM109" s="32"/>
      <c r="ANN109" s="32"/>
      <c r="ANO109" s="32"/>
      <c r="ANP109" s="32"/>
      <c r="ANQ109" s="32"/>
      <c r="ANR109" s="32"/>
      <c r="ANS109" s="32"/>
      <c r="ANT109" s="32"/>
      <c r="ANU109" s="32"/>
      <c r="ANV109" s="32"/>
      <c r="ANW109" s="32"/>
      <c r="ANX109" s="32"/>
      <c r="ANY109" s="32"/>
      <c r="ANZ109" s="32"/>
      <c r="AOA109" s="32"/>
      <c r="AOB109" s="32"/>
      <c r="AOC109" s="32"/>
      <c r="AOD109" s="32"/>
      <c r="AOE109" s="32"/>
      <c r="AOF109" s="32"/>
      <c r="AOG109" s="32"/>
      <c r="AOH109" s="32"/>
      <c r="AOI109" s="32"/>
      <c r="AOJ109" s="32"/>
      <c r="AOK109" s="32"/>
      <c r="AOL109" s="32"/>
      <c r="AOM109" s="32"/>
      <c r="AON109" s="32"/>
      <c r="AOO109" s="32"/>
      <c r="AOP109" s="32"/>
      <c r="AOQ109" s="32"/>
      <c r="AOR109" s="32"/>
      <c r="AOS109" s="32"/>
      <c r="AOT109" s="32"/>
      <c r="AOU109" s="32"/>
      <c r="AOV109" s="32"/>
      <c r="AOW109" s="32"/>
      <c r="AOX109" s="32"/>
      <c r="AOY109" s="32"/>
      <c r="AOZ109" s="32"/>
      <c r="APA109" s="32"/>
      <c r="APB109" s="32"/>
      <c r="APC109" s="32"/>
      <c r="APD109" s="32"/>
      <c r="APE109" s="32"/>
      <c r="APF109" s="32"/>
      <c r="APG109" s="32"/>
      <c r="APH109" s="32"/>
      <c r="API109" s="32"/>
      <c r="APJ109" s="32"/>
      <c r="APK109" s="32"/>
      <c r="APL109" s="32"/>
      <c r="APM109" s="32"/>
      <c r="APN109" s="32"/>
      <c r="APO109" s="32"/>
      <c r="APP109" s="32"/>
      <c r="APQ109" s="32"/>
      <c r="APR109" s="32"/>
      <c r="APS109" s="32"/>
      <c r="APT109" s="32"/>
      <c r="APU109" s="32"/>
      <c r="APV109" s="32"/>
      <c r="APW109" s="32"/>
      <c r="APX109" s="32"/>
      <c r="APY109" s="32"/>
      <c r="APZ109" s="32"/>
      <c r="AQA109" s="32"/>
      <c r="AQB109" s="32"/>
      <c r="AQC109" s="32"/>
      <c r="AQD109" s="32"/>
      <c r="AQE109" s="32"/>
      <c r="AQF109" s="32"/>
      <c r="AQG109" s="32"/>
      <c r="AQH109" s="32"/>
      <c r="AQI109" s="32"/>
      <c r="AQJ109" s="32"/>
      <c r="AQK109" s="32"/>
      <c r="AQL109" s="32"/>
      <c r="AQM109" s="32"/>
      <c r="AQN109" s="32"/>
      <c r="AQO109" s="32"/>
      <c r="AQP109" s="32"/>
      <c r="AQQ109" s="32"/>
      <c r="AQR109" s="32"/>
      <c r="AQS109" s="32"/>
      <c r="AQT109" s="32"/>
      <c r="AQU109" s="32"/>
      <c r="AQV109" s="32"/>
      <c r="AQW109" s="32"/>
      <c r="AQX109" s="32"/>
      <c r="AQY109" s="32"/>
      <c r="AQZ109" s="32"/>
      <c r="ARA109" s="32"/>
      <c r="ARB109" s="32"/>
      <c r="ARC109" s="32"/>
      <c r="ARD109" s="32"/>
      <c r="ARE109" s="32"/>
      <c r="ARF109" s="32"/>
      <c r="ARG109" s="32"/>
      <c r="ARH109" s="32"/>
      <c r="ARI109" s="32"/>
      <c r="ARJ109" s="32"/>
      <c r="ARK109" s="32"/>
      <c r="ARL109" s="32"/>
      <c r="ARM109" s="32"/>
      <c r="ARN109" s="32"/>
      <c r="ARO109" s="32"/>
      <c r="ARP109" s="32"/>
      <c r="ARQ109" s="32"/>
      <c r="ARR109" s="32"/>
      <c r="ARS109" s="32"/>
      <c r="ART109" s="32"/>
      <c r="ARU109" s="32"/>
      <c r="ARV109" s="32"/>
      <c r="ARW109" s="32"/>
      <c r="ARX109" s="32"/>
      <c r="ARY109" s="32"/>
      <c r="ARZ109" s="32"/>
      <c r="ASA109" s="32"/>
      <c r="ASB109" s="32"/>
      <c r="ASC109" s="32"/>
      <c r="ASD109" s="32"/>
      <c r="ASE109" s="32"/>
      <c r="ASF109" s="32"/>
      <c r="ASG109" s="32"/>
      <c r="ASH109" s="32"/>
      <c r="ASI109" s="32"/>
      <c r="ASJ109" s="32"/>
      <c r="ASK109" s="32"/>
      <c r="ASL109" s="32"/>
      <c r="ASM109" s="32"/>
      <c r="ASN109" s="32"/>
      <c r="ASO109" s="32"/>
      <c r="ASP109" s="32"/>
      <c r="ASQ109" s="32"/>
      <c r="ASR109" s="32"/>
      <c r="ASS109" s="32"/>
      <c r="AST109" s="32"/>
      <c r="ASU109" s="32"/>
      <c r="ASV109" s="32"/>
      <c r="ASW109" s="32"/>
      <c r="ASX109" s="32"/>
      <c r="ASY109" s="32"/>
      <c r="ASZ109" s="32"/>
      <c r="ATA109" s="32"/>
      <c r="ATB109" s="32"/>
      <c r="ATC109" s="32"/>
      <c r="ATD109" s="32"/>
      <c r="ATE109" s="32"/>
      <c r="ATF109" s="32"/>
      <c r="ATG109" s="32"/>
      <c r="ATH109" s="32"/>
      <c r="ATI109" s="32"/>
      <c r="ATJ109" s="32"/>
      <c r="ATK109" s="32"/>
      <c r="ATL109" s="32"/>
      <c r="ATM109" s="32"/>
      <c r="ATN109" s="32"/>
      <c r="ATO109" s="32"/>
      <c r="ATP109" s="32"/>
      <c r="ATQ109" s="32"/>
      <c r="ATR109" s="32"/>
      <c r="ATS109" s="32"/>
      <c r="ATT109" s="32"/>
      <c r="ATU109" s="32"/>
      <c r="ATV109" s="32"/>
      <c r="ATW109" s="32"/>
      <c r="ATX109" s="32"/>
      <c r="ATY109" s="32"/>
      <c r="ATZ109" s="32"/>
      <c r="AUA109" s="32"/>
      <c r="AUB109" s="32"/>
      <c r="AUC109" s="32"/>
      <c r="AUD109" s="32"/>
      <c r="AUE109" s="32"/>
      <c r="AUF109" s="32"/>
      <c r="AUG109" s="32"/>
      <c r="AUH109" s="32"/>
      <c r="AUI109" s="32"/>
      <c r="AUJ109" s="32"/>
      <c r="AUK109" s="32"/>
      <c r="AUL109" s="32"/>
      <c r="AUM109" s="32"/>
      <c r="AUN109" s="32"/>
      <c r="AUO109" s="32"/>
      <c r="AUP109" s="32"/>
      <c r="AUQ109" s="32"/>
      <c r="AUR109" s="32"/>
      <c r="AUS109" s="32"/>
      <c r="AUT109" s="32"/>
      <c r="AUU109" s="32"/>
      <c r="AUV109" s="32"/>
      <c r="AUW109" s="32"/>
      <c r="AUX109" s="32"/>
      <c r="AUY109" s="32"/>
      <c r="AUZ109" s="32"/>
      <c r="AVA109" s="32"/>
      <c r="AVB109" s="32"/>
      <c r="AVC109" s="32"/>
      <c r="AVD109" s="32"/>
      <c r="AVE109" s="32"/>
      <c r="AVF109" s="32"/>
      <c r="AVG109" s="32"/>
      <c r="AVH109" s="32"/>
      <c r="AVI109" s="32"/>
      <c r="AVJ109" s="32"/>
      <c r="AVK109" s="32"/>
      <c r="AVL109" s="32"/>
      <c r="AVM109" s="32"/>
      <c r="AVN109" s="32"/>
      <c r="AVO109" s="32"/>
      <c r="AVP109" s="32"/>
      <c r="AVQ109" s="32"/>
      <c r="AVR109" s="32"/>
      <c r="AVS109" s="32"/>
      <c r="AVT109" s="32"/>
      <c r="AVU109" s="32"/>
      <c r="AVV109" s="32"/>
      <c r="AVW109" s="32"/>
      <c r="AVX109" s="32"/>
      <c r="AVY109" s="32"/>
      <c r="AVZ109" s="32"/>
      <c r="AWA109" s="32"/>
      <c r="AWB109" s="32"/>
      <c r="AWC109" s="32"/>
      <c r="AWD109" s="32"/>
      <c r="AWE109" s="32"/>
      <c r="AWF109" s="32"/>
      <c r="AWG109" s="32"/>
      <c r="AWH109" s="32"/>
      <c r="AWI109" s="32"/>
      <c r="AWJ109" s="32"/>
      <c r="AWK109" s="32"/>
      <c r="AWL109" s="32"/>
      <c r="AWM109" s="32"/>
      <c r="AWN109" s="32"/>
      <c r="AWO109" s="32"/>
      <c r="AWP109" s="32"/>
      <c r="AWQ109" s="32"/>
      <c r="AWR109" s="32"/>
      <c r="AWS109" s="32"/>
      <c r="AWT109" s="32"/>
      <c r="AWU109" s="32"/>
      <c r="AWV109" s="32"/>
      <c r="AWW109" s="32"/>
      <c r="AWX109" s="32"/>
      <c r="AWY109" s="32"/>
      <c r="AWZ109" s="32"/>
      <c r="AXA109" s="32"/>
      <c r="AXB109" s="32"/>
      <c r="AXC109" s="32"/>
      <c r="AXD109" s="32"/>
      <c r="AXE109" s="32"/>
      <c r="AXF109" s="32"/>
      <c r="AXG109" s="32"/>
      <c r="AXH109" s="32"/>
      <c r="AXI109" s="32"/>
      <c r="AXJ109" s="32"/>
      <c r="AXK109" s="32"/>
      <c r="AXL109" s="32"/>
      <c r="AXM109" s="32"/>
      <c r="AXN109" s="32"/>
      <c r="AXO109" s="32"/>
      <c r="AXP109" s="32"/>
      <c r="AXQ109" s="32"/>
      <c r="AXR109" s="32"/>
      <c r="AXS109" s="32"/>
      <c r="AXT109" s="32"/>
      <c r="AXU109" s="32"/>
      <c r="AXV109" s="32"/>
      <c r="AXW109" s="32"/>
      <c r="AXX109" s="32"/>
      <c r="AXY109" s="32"/>
      <c r="AXZ109" s="32"/>
      <c r="AYA109" s="32"/>
      <c r="AYB109" s="32"/>
      <c r="AYC109" s="32"/>
      <c r="AYD109" s="32"/>
      <c r="AYE109" s="32"/>
      <c r="AYF109" s="32"/>
      <c r="AYG109" s="32"/>
      <c r="AYH109" s="32"/>
      <c r="AYI109" s="32"/>
      <c r="AYJ109" s="32"/>
      <c r="AYK109" s="32"/>
      <c r="AYL109" s="32"/>
      <c r="AYM109" s="32"/>
      <c r="AYN109" s="32"/>
      <c r="AYO109" s="32"/>
      <c r="AYP109" s="32"/>
      <c r="AYQ109" s="32"/>
      <c r="AYR109" s="32"/>
      <c r="AYS109" s="32"/>
      <c r="AYT109" s="32"/>
      <c r="AYU109" s="32"/>
      <c r="AYV109" s="32"/>
      <c r="AYW109" s="32"/>
      <c r="AYX109" s="32"/>
      <c r="AYY109" s="32"/>
      <c r="AYZ109" s="32"/>
      <c r="AZA109" s="32"/>
      <c r="AZB109" s="32"/>
      <c r="AZC109" s="32"/>
      <c r="AZD109" s="32"/>
      <c r="AZE109" s="32"/>
      <c r="AZF109" s="32"/>
      <c r="AZG109" s="32"/>
      <c r="AZH109" s="32"/>
      <c r="AZI109" s="32"/>
      <c r="AZJ109" s="32"/>
      <c r="AZK109" s="32"/>
      <c r="AZL109" s="32"/>
      <c r="AZM109" s="32"/>
      <c r="AZN109" s="32"/>
      <c r="AZO109" s="32"/>
      <c r="AZP109" s="32"/>
      <c r="AZQ109" s="32"/>
      <c r="AZR109" s="32"/>
      <c r="AZS109" s="32"/>
      <c r="AZT109" s="32"/>
      <c r="AZU109" s="32"/>
      <c r="AZV109" s="32"/>
      <c r="AZW109" s="32"/>
      <c r="AZX109" s="32"/>
      <c r="AZY109" s="32"/>
      <c r="AZZ109" s="32"/>
      <c r="BAA109" s="32"/>
      <c r="BAB109" s="32"/>
      <c r="BAC109" s="32"/>
      <c r="BAD109" s="32"/>
      <c r="BAE109" s="32"/>
      <c r="BAF109" s="32"/>
      <c r="BAG109" s="32"/>
      <c r="BAH109" s="32"/>
      <c r="BAI109" s="32"/>
      <c r="BAJ109" s="32"/>
      <c r="BAK109" s="32"/>
      <c r="BAL109" s="32"/>
      <c r="BAM109" s="32"/>
      <c r="BAN109" s="32"/>
      <c r="BAO109" s="32"/>
      <c r="BAP109" s="32"/>
      <c r="BAQ109" s="32"/>
      <c r="BAR109" s="32"/>
      <c r="BAS109" s="32"/>
      <c r="BAT109" s="32"/>
      <c r="BAU109" s="32"/>
      <c r="BAV109" s="32"/>
      <c r="BAW109" s="32"/>
      <c r="BAX109" s="32"/>
      <c r="BAY109" s="32"/>
      <c r="BAZ109" s="32"/>
      <c r="BBA109" s="32"/>
      <c r="BBB109" s="32"/>
      <c r="BBC109" s="32"/>
      <c r="BBD109" s="32"/>
      <c r="BBE109" s="32"/>
      <c r="BBF109" s="32"/>
      <c r="BBG109" s="32"/>
      <c r="BBH109" s="32"/>
      <c r="BBI109" s="32"/>
      <c r="BBJ109" s="32"/>
      <c r="BBK109" s="32"/>
      <c r="BBL109" s="32"/>
      <c r="BBM109" s="32"/>
      <c r="BBN109" s="32"/>
      <c r="BBO109" s="32"/>
      <c r="BBP109" s="32"/>
      <c r="BBQ109" s="32"/>
      <c r="BBR109" s="32"/>
      <c r="BBS109" s="32"/>
      <c r="BBT109" s="32"/>
      <c r="BBU109" s="32"/>
      <c r="BBV109" s="32"/>
      <c r="BBW109" s="32"/>
      <c r="BBX109" s="32"/>
      <c r="BBY109" s="32"/>
      <c r="BBZ109" s="32"/>
      <c r="BCA109" s="32"/>
      <c r="BCB109" s="32"/>
      <c r="BCC109" s="32"/>
      <c r="BCD109" s="32"/>
      <c r="BCE109" s="32"/>
      <c r="BCF109" s="32"/>
      <c r="BCG109" s="32"/>
      <c r="BCH109" s="32"/>
      <c r="BCI109" s="32"/>
      <c r="BCJ109" s="32"/>
      <c r="BCK109" s="32"/>
      <c r="BCL109" s="32"/>
      <c r="BCM109" s="32"/>
      <c r="BCN109" s="32"/>
      <c r="BCO109" s="32"/>
      <c r="BCP109" s="32"/>
      <c r="BCQ109" s="32"/>
      <c r="BCR109" s="32"/>
      <c r="BCS109" s="32"/>
      <c r="BCT109" s="32"/>
      <c r="BCU109" s="32"/>
      <c r="BCV109" s="32"/>
      <c r="BCW109" s="32"/>
      <c r="BCX109" s="32"/>
      <c r="BCY109" s="32"/>
      <c r="BCZ109" s="32"/>
      <c r="BDA109" s="32"/>
      <c r="BDB109" s="32"/>
      <c r="BDC109" s="32"/>
      <c r="BDD109" s="32"/>
      <c r="BDE109" s="32"/>
      <c r="BDF109" s="32"/>
      <c r="BDG109" s="32"/>
      <c r="BDH109" s="32"/>
      <c r="BDI109" s="32"/>
      <c r="BDJ109" s="32"/>
      <c r="BDK109" s="32"/>
      <c r="BDL109" s="32"/>
      <c r="BDM109" s="32"/>
      <c r="BDN109" s="32"/>
      <c r="BDO109" s="32"/>
      <c r="BDP109" s="32"/>
      <c r="BDQ109" s="32"/>
      <c r="BDR109" s="32"/>
      <c r="BDS109" s="32"/>
      <c r="BDT109" s="32"/>
      <c r="BDU109" s="32"/>
      <c r="BDV109" s="32"/>
      <c r="BDW109" s="32"/>
      <c r="BDX109" s="32"/>
      <c r="BDY109" s="32"/>
      <c r="BDZ109" s="32"/>
      <c r="BEA109" s="32"/>
      <c r="BEB109" s="32"/>
      <c r="BEC109" s="32"/>
      <c r="BED109" s="32"/>
      <c r="BEE109" s="32"/>
      <c r="BEF109" s="32"/>
      <c r="BEG109" s="32"/>
      <c r="BEH109" s="32"/>
      <c r="BEI109" s="32"/>
      <c r="BEJ109" s="32"/>
      <c r="BEK109" s="32"/>
      <c r="BEL109" s="32"/>
      <c r="BEM109" s="32"/>
      <c r="BEN109" s="32"/>
      <c r="BEO109" s="32"/>
      <c r="BEP109" s="32"/>
      <c r="BEQ109" s="32"/>
      <c r="BER109" s="32"/>
      <c r="BES109" s="32"/>
      <c r="BET109" s="32"/>
      <c r="BEU109" s="32"/>
      <c r="BEV109" s="32"/>
      <c r="BEW109" s="32"/>
      <c r="BEX109" s="32"/>
      <c r="BEY109" s="32"/>
      <c r="BEZ109" s="32"/>
      <c r="BFA109" s="32"/>
      <c r="BFB109" s="32"/>
      <c r="BFC109" s="32"/>
      <c r="BFD109" s="32"/>
      <c r="BFE109" s="32"/>
      <c r="BFF109" s="32"/>
      <c r="BFG109" s="32"/>
      <c r="BFH109" s="32"/>
      <c r="BFI109" s="32"/>
      <c r="BFJ109" s="32"/>
      <c r="BFK109" s="32"/>
      <c r="BFL109" s="32"/>
      <c r="BFM109" s="32"/>
      <c r="BFN109" s="32"/>
      <c r="BFO109" s="32"/>
      <c r="BFP109" s="32"/>
      <c r="BFQ109" s="32"/>
      <c r="BFR109" s="32"/>
      <c r="BFS109" s="32"/>
      <c r="BFT109" s="32"/>
      <c r="BFU109" s="32"/>
      <c r="BFV109" s="32"/>
      <c r="BFW109" s="32"/>
      <c r="BFX109" s="32"/>
      <c r="BFY109" s="32"/>
      <c r="BFZ109" s="32"/>
      <c r="BGA109" s="32"/>
      <c r="BGB109" s="32"/>
      <c r="BGC109" s="32"/>
      <c r="BGD109" s="32"/>
      <c r="BGE109" s="32"/>
      <c r="BGF109" s="32"/>
      <c r="BGG109" s="32"/>
      <c r="BGH109" s="32"/>
      <c r="BGI109" s="32"/>
      <c r="BGJ109" s="32"/>
      <c r="BGK109" s="32"/>
      <c r="BGL109" s="32"/>
      <c r="BGM109" s="32"/>
      <c r="BGN109" s="32"/>
      <c r="BGO109" s="32"/>
      <c r="BGP109" s="32"/>
      <c r="BGQ109" s="32"/>
      <c r="BGR109" s="32"/>
      <c r="BGS109" s="32"/>
      <c r="BGT109" s="32"/>
      <c r="BGU109" s="32"/>
      <c r="BGV109" s="32"/>
      <c r="BGW109" s="32"/>
      <c r="BGX109" s="32"/>
      <c r="BGY109" s="32"/>
      <c r="BGZ109" s="32"/>
      <c r="BHA109" s="32"/>
      <c r="BHB109" s="32"/>
      <c r="BHC109" s="32"/>
      <c r="BHD109" s="32"/>
      <c r="BHE109" s="32"/>
      <c r="BHF109" s="32"/>
      <c r="BHG109" s="32"/>
      <c r="BHH109" s="32"/>
      <c r="BHI109" s="32"/>
      <c r="BHJ109" s="32"/>
      <c r="BHK109" s="32"/>
      <c r="BHL109" s="32"/>
      <c r="BHM109" s="32"/>
      <c r="BHN109" s="32"/>
      <c r="BHO109" s="32"/>
      <c r="BHP109" s="32"/>
      <c r="BHQ109" s="32"/>
      <c r="BHR109" s="32"/>
      <c r="BHS109" s="32"/>
      <c r="BHT109" s="32"/>
      <c r="BHU109" s="32"/>
      <c r="BHV109" s="32"/>
      <c r="BHW109" s="32"/>
      <c r="BHX109" s="32"/>
      <c r="BHY109" s="32"/>
      <c r="BHZ109" s="32"/>
      <c r="BIA109" s="32"/>
      <c r="BIB109" s="32"/>
      <c r="BIC109" s="32"/>
      <c r="BID109" s="32"/>
      <c r="BIE109" s="32"/>
      <c r="BIF109" s="32"/>
      <c r="BIG109" s="32"/>
      <c r="BIH109" s="32"/>
      <c r="BII109" s="32"/>
      <c r="BIJ109" s="32"/>
      <c r="BIK109" s="32"/>
      <c r="BIL109" s="32"/>
      <c r="BIM109" s="32"/>
      <c r="BIN109" s="32"/>
      <c r="BIO109" s="32"/>
      <c r="BIP109" s="32"/>
      <c r="BIQ109" s="32"/>
      <c r="BIR109" s="32"/>
      <c r="BIS109" s="32"/>
      <c r="BIT109" s="32"/>
      <c r="BIU109" s="32"/>
      <c r="BIV109" s="32"/>
      <c r="BIW109" s="32"/>
      <c r="BIX109" s="32"/>
      <c r="BIY109" s="32"/>
      <c r="BIZ109" s="32"/>
      <c r="BJA109" s="32"/>
      <c r="BJB109" s="32"/>
      <c r="BJC109" s="32"/>
      <c r="BJD109" s="32"/>
      <c r="BJE109" s="32"/>
      <c r="BJF109" s="32"/>
      <c r="BJG109" s="32"/>
      <c r="BJH109" s="32"/>
      <c r="BJI109" s="32"/>
      <c r="BJJ109" s="32"/>
      <c r="BJK109" s="32"/>
      <c r="BJL109" s="32"/>
      <c r="BJM109" s="32"/>
      <c r="BJN109" s="32"/>
      <c r="BJO109" s="32"/>
      <c r="BJP109" s="32"/>
      <c r="BJQ109" s="32"/>
      <c r="BJR109" s="32"/>
      <c r="BJS109" s="32"/>
      <c r="BJT109" s="32"/>
      <c r="BJU109" s="32"/>
      <c r="BJV109" s="32"/>
      <c r="BJW109" s="32"/>
      <c r="BJX109" s="32"/>
      <c r="BJY109" s="32"/>
      <c r="BJZ109" s="32"/>
      <c r="BKA109" s="32"/>
      <c r="BKB109" s="32"/>
      <c r="BKC109" s="32"/>
      <c r="BKD109" s="32"/>
      <c r="BKE109" s="32"/>
      <c r="BKF109" s="32"/>
      <c r="BKG109" s="32"/>
      <c r="BKH109" s="32"/>
      <c r="BKI109" s="32"/>
      <c r="BKJ109" s="32"/>
      <c r="BKK109" s="32"/>
      <c r="BKL109" s="32"/>
      <c r="BKM109" s="32"/>
      <c r="BKN109" s="32"/>
      <c r="BKO109" s="32"/>
      <c r="BKP109" s="32"/>
      <c r="BKQ109" s="32"/>
      <c r="BKR109" s="32"/>
      <c r="BKS109" s="32"/>
      <c r="BKT109" s="32"/>
      <c r="BKU109" s="32"/>
      <c r="BKV109" s="32"/>
      <c r="BKW109" s="32"/>
      <c r="BKX109" s="32"/>
      <c r="BKY109" s="32"/>
      <c r="BKZ109" s="32"/>
      <c r="BLA109" s="32"/>
      <c r="BLB109" s="32"/>
      <c r="BLC109" s="32"/>
      <c r="BLD109" s="32"/>
      <c r="BLE109" s="32"/>
      <c r="BLF109" s="32"/>
      <c r="BLG109" s="32"/>
      <c r="BLH109" s="32"/>
      <c r="BLI109" s="32"/>
      <c r="BLJ109" s="32"/>
      <c r="BLK109" s="32"/>
      <c r="BLL109" s="32"/>
      <c r="BLM109" s="32"/>
      <c r="BLN109" s="32"/>
      <c r="BLO109" s="32"/>
      <c r="BLP109" s="32"/>
      <c r="BLQ109" s="32"/>
      <c r="BLR109" s="32"/>
      <c r="BLS109" s="32"/>
      <c r="BLT109" s="32"/>
      <c r="BLU109" s="32"/>
      <c r="BLV109" s="32"/>
      <c r="BLW109" s="32"/>
      <c r="BLX109" s="32"/>
      <c r="BLY109" s="32"/>
      <c r="BLZ109" s="32"/>
      <c r="BMA109" s="32"/>
      <c r="BMB109" s="32"/>
      <c r="BMC109" s="32"/>
      <c r="BMD109" s="32"/>
      <c r="BME109" s="32"/>
      <c r="BMF109" s="32"/>
      <c r="BMG109" s="32"/>
      <c r="BMH109" s="32"/>
      <c r="BMI109" s="32"/>
      <c r="BMJ109" s="32"/>
      <c r="BMK109" s="32"/>
      <c r="BML109" s="32"/>
      <c r="BMM109" s="32"/>
      <c r="BMN109" s="32"/>
      <c r="BMO109" s="32"/>
      <c r="BMP109" s="32"/>
      <c r="BMQ109" s="32"/>
      <c r="BMR109" s="32"/>
      <c r="BMS109" s="32"/>
      <c r="BMT109" s="32"/>
      <c r="BMU109" s="32"/>
      <c r="BMV109" s="32"/>
      <c r="BMW109" s="32"/>
      <c r="BMX109" s="32"/>
      <c r="BMY109" s="32"/>
      <c r="BMZ109" s="32"/>
      <c r="BNA109" s="32"/>
      <c r="BNB109" s="32"/>
      <c r="BNC109" s="32"/>
      <c r="BND109" s="32"/>
      <c r="BNE109" s="32"/>
      <c r="BNF109" s="32"/>
      <c r="BNG109" s="32"/>
      <c r="BNH109" s="32"/>
      <c r="BNI109" s="32"/>
      <c r="BNJ109" s="32"/>
      <c r="BNK109" s="32"/>
      <c r="BNL109" s="32"/>
      <c r="BNM109" s="32"/>
      <c r="BNN109" s="32"/>
      <c r="BNO109" s="32"/>
      <c r="BNP109" s="32"/>
      <c r="BNQ109" s="32"/>
      <c r="BNR109" s="32"/>
      <c r="BNS109" s="32"/>
      <c r="BNT109" s="32"/>
      <c r="BNU109" s="32"/>
      <c r="BNV109" s="32"/>
      <c r="BNW109" s="32"/>
      <c r="BNX109" s="32"/>
      <c r="BNY109" s="32"/>
      <c r="BNZ109" s="32"/>
      <c r="BOA109" s="32"/>
      <c r="BOB109" s="32"/>
      <c r="BOC109" s="32"/>
      <c r="BOD109" s="32"/>
      <c r="BOE109" s="32"/>
      <c r="BOF109" s="32"/>
      <c r="BOG109" s="32"/>
      <c r="BOH109" s="32"/>
      <c r="BOI109" s="32"/>
      <c r="BOJ109" s="32"/>
      <c r="BOK109" s="32"/>
      <c r="BOL109" s="32"/>
      <c r="BOM109" s="32"/>
      <c r="BON109" s="32"/>
      <c r="BOO109" s="32"/>
      <c r="BOP109" s="32"/>
      <c r="BOQ109" s="32"/>
      <c r="BOR109" s="32"/>
      <c r="BOS109" s="32"/>
      <c r="BOT109" s="32"/>
      <c r="BOU109" s="32"/>
      <c r="BOV109" s="32"/>
      <c r="BOW109" s="32"/>
      <c r="BOX109" s="32"/>
      <c r="BOY109" s="32"/>
      <c r="BOZ109" s="32"/>
      <c r="BPA109" s="32"/>
      <c r="BPB109" s="32"/>
      <c r="BPC109" s="32"/>
      <c r="BPD109" s="32"/>
      <c r="BPE109" s="32"/>
      <c r="BPF109" s="32"/>
      <c r="BPG109" s="32"/>
      <c r="BPH109" s="32"/>
      <c r="BPI109" s="32"/>
      <c r="BPJ109" s="32"/>
      <c r="BPK109" s="32"/>
      <c r="BPL109" s="32"/>
      <c r="BPM109" s="32"/>
      <c r="BPN109" s="32"/>
      <c r="BPO109" s="32"/>
      <c r="BPP109" s="32"/>
      <c r="BPQ109" s="32"/>
      <c r="BPR109" s="32"/>
      <c r="BPS109" s="32"/>
      <c r="BPT109" s="32"/>
      <c r="BPU109" s="32"/>
      <c r="BPV109" s="32"/>
      <c r="BPW109" s="32"/>
      <c r="BPX109" s="32"/>
      <c r="BPY109" s="32"/>
      <c r="BPZ109" s="32"/>
      <c r="BQA109" s="32"/>
      <c r="BQB109" s="32"/>
      <c r="BQC109" s="32"/>
      <c r="BQD109" s="32"/>
      <c r="BQE109" s="32"/>
      <c r="BQF109" s="32"/>
      <c r="BQG109" s="32"/>
      <c r="BQH109" s="32"/>
      <c r="BQI109" s="32"/>
      <c r="BQJ109" s="32"/>
      <c r="BQK109" s="32"/>
      <c r="BQL109" s="32"/>
      <c r="BQM109" s="32"/>
      <c r="BQN109" s="32"/>
      <c r="BQO109" s="32"/>
      <c r="BQP109" s="32"/>
      <c r="BQQ109" s="32"/>
      <c r="BQR109" s="32"/>
      <c r="BQS109" s="32"/>
      <c r="BQT109" s="32"/>
      <c r="BQU109" s="32"/>
      <c r="BQV109" s="32"/>
      <c r="BQW109" s="32"/>
      <c r="BQX109" s="32"/>
      <c r="BQY109" s="32"/>
      <c r="BQZ109" s="32"/>
      <c r="BRA109" s="32"/>
      <c r="BRB109" s="32"/>
      <c r="BRC109" s="32"/>
      <c r="BRD109" s="32"/>
      <c r="BRE109" s="32"/>
      <c r="BRF109" s="32"/>
      <c r="BRG109" s="32"/>
      <c r="BRH109" s="32"/>
      <c r="BRI109" s="32"/>
      <c r="BRJ109" s="32"/>
      <c r="BRK109" s="32"/>
      <c r="BRL109" s="32"/>
      <c r="BRM109" s="32"/>
      <c r="BRN109" s="32"/>
      <c r="BRO109" s="32"/>
      <c r="BRP109" s="32"/>
      <c r="BRQ109" s="32"/>
      <c r="BRR109" s="32"/>
      <c r="BRS109" s="32"/>
      <c r="BRT109" s="32"/>
      <c r="BRU109" s="32"/>
      <c r="BRV109" s="32"/>
      <c r="BRW109" s="32"/>
      <c r="BRX109" s="32"/>
      <c r="BRY109" s="32"/>
      <c r="BRZ109" s="32"/>
      <c r="BSA109" s="32"/>
      <c r="BSB109" s="32"/>
      <c r="BSC109" s="32"/>
      <c r="BSD109" s="32"/>
      <c r="BSE109" s="32"/>
      <c r="BSF109" s="32"/>
      <c r="BSG109" s="32"/>
      <c r="BSH109" s="32"/>
      <c r="BSI109" s="32"/>
      <c r="BSJ109" s="32"/>
      <c r="BSK109" s="32"/>
      <c r="BSL109" s="32"/>
      <c r="BSM109" s="32"/>
      <c r="BSN109" s="32"/>
      <c r="BSO109" s="32"/>
      <c r="BSP109" s="32"/>
      <c r="BSQ109" s="32"/>
      <c r="BSR109" s="32"/>
      <c r="BSS109" s="32"/>
      <c r="BST109" s="32"/>
      <c r="BSU109" s="32"/>
      <c r="BSV109" s="32"/>
      <c r="BSW109" s="32"/>
      <c r="BSX109" s="32"/>
      <c r="BSY109" s="32"/>
      <c r="BSZ109" s="32"/>
      <c r="BTA109" s="32"/>
      <c r="BTB109" s="32"/>
      <c r="BTC109" s="32"/>
      <c r="BTD109" s="32"/>
      <c r="BTE109" s="32"/>
      <c r="BTF109" s="32"/>
      <c r="BTG109" s="32"/>
      <c r="BTH109" s="32"/>
      <c r="BTI109" s="32"/>
      <c r="BTJ109" s="32"/>
      <c r="BTK109" s="32"/>
      <c r="BTL109" s="32"/>
      <c r="BTM109" s="32"/>
      <c r="BTN109" s="32"/>
      <c r="BTO109" s="32"/>
      <c r="BTP109" s="32"/>
      <c r="BTQ109" s="32"/>
      <c r="BTR109" s="32"/>
      <c r="BTS109" s="32"/>
      <c r="BTT109" s="32"/>
      <c r="BTU109" s="32"/>
      <c r="BTV109" s="32"/>
      <c r="BTW109" s="32"/>
      <c r="BTX109" s="32"/>
      <c r="BTY109" s="32"/>
      <c r="BTZ109" s="32"/>
      <c r="BUA109" s="32"/>
      <c r="BUB109" s="32"/>
      <c r="BUC109" s="32"/>
      <c r="BUD109" s="32"/>
      <c r="BUE109" s="32"/>
      <c r="BUF109" s="32"/>
      <c r="BUG109" s="32"/>
      <c r="BUH109" s="32"/>
      <c r="BUI109" s="32"/>
      <c r="BUJ109" s="32"/>
      <c r="BUK109" s="32"/>
      <c r="BUL109" s="32"/>
      <c r="BUM109" s="32"/>
      <c r="BUN109" s="32"/>
      <c r="BUO109" s="32"/>
      <c r="BUP109" s="32"/>
      <c r="BUQ109" s="32"/>
      <c r="BUR109" s="32"/>
      <c r="BUS109" s="32"/>
      <c r="BUT109" s="32"/>
      <c r="BUU109" s="32"/>
      <c r="BUV109" s="32"/>
      <c r="BUW109" s="32"/>
      <c r="BUX109" s="32"/>
      <c r="BUY109" s="32"/>
      <c r="BUZ109" s="32"/>
      <c r="BVA109" s="32"/>
      <c r="BVB109" s="32"/>
      <c r="BVC109" s="32"/>
      <c r="BVD109" s="32"/>
      <c r="BVE109" s="32"/>
      <c r="BVF109" s="32"/>
      <c r="BVG109" s="32"/>
      <c r="BVH109" s="32"/>
      <c r="BVI109" s="32"/>
      <c r="BVJ109" s="32"/>
      <c r="BVK109" s="32"/>
      <c r="BVL109" s="32"/>
      <c r="BVM109" s="32"/>
      <c r="BVN109" s="32"/>
      <c r="BVO109" s="32"/>
      <c r="BVP109" s="32"/>
      <c r="BVQ109" s="32"/>
      <c r="BVR109" s="32"/>
      <c r="BVS109" s="32"/>
      <c r="BVT109" s="32"/>
      <c r="BVU109" s="32"/>
      <c r="BVV109" s="32"/>
      <c r="BVW109" s="32"/>
      <c r="BVX109" s="32"/>
      <c r="BVY109" s="32"/>
      <c r="BVZ109" s="32"/>
      <c r="BWA109" s="32"/>
      <c r="BWB109" s="32"/>
      <c r="BWC109" s="32"/>
      <c r="BWD109" s="32"/>
      <c r="BWE109" s="32"/>
      <c r="BWF109" s="32"/>
      <c r="BWG109" s="32"/>
      <c r="BWH109" s="32"/>
      <c r="BWI109" s="32"/>
      <c r="BWJ109" s="32"/>
      <c r="BWK109" s="32"/>
      <c r="BWL109" s="32"/>
      <c r="BWM109" s="32"/>
      <c r="BWN109" s="32"/>
      <c r="BWO109" s="32"/>
      <c r="BWP109" s="32"/>
      <c r="BWQ109" s="32"/>
      <c r="BWR109" s="32"/>
      <c r="BWS109" s="32"/>
      <c r="BWT109" s="32"/>
      <c r="BWU109" s="32"/>
      <c r="BWV109" s="32"/>
      <c r="BWW109" s="32"/>
      <c r="BWX109" s="32"/>
      <c r="BWY109" s="32"/>
      <c r="BWZ109" s="32"/>
      <c r="BXA109" s="32"/>
      <c r="BXB109" s="32"/>
      <c r="BXC109" s="32"/>
      <c r="BXD109" s="32"/>
      <c r="BXE109" s="32"/>
      <c r="BXF109" s="32"/>
      <c r="BXG109" s="32"/>
      <c r="BXH109" s="32"/>
      <c r="BXI109" s="32"/>
      <c r="BXJ109" s="32"/>
      <c r="BXK109" s="32"/>
      <c r="BXL109" s="32"/>
      <c r="BXM109" s="32"/>
      <c r="BXN109" s="32"/>
      <c r="BXO109" s="32"/>
      <c r="BXP109" s="32"/>
      <c r="BXQ109" s="32"/>
      <c r="BXR109" s="32"/>
      <c r="BXS109" s="32"/>
      <c r="BXT109" s="32"/>
      <c r="BXU109" s="32"/>
      <c r="BXV109" s="32"/>
      <c r="BXW109" s="32"/>
      <c r="BXX109" s="32"/>
      <c r="BXY109" s="32"/>
      <c r="BXZ109" s="32"/>
      <c r="BYA109" s="32"/>
      <c r="BYB109" s="32"/>
      <c r="BYC109" s="32"/>
      <c r="BYD109" s="32"/>
      <c r="BYE109" s="32"/>
      <c r="BYF109" s="32"/>
      <c r="BYG109" s="32"/>
      <c r="BYH109" s="32"/>
      <c r="BYI109" s="32"/>
      <c r="BYJ109" s="32"/>
      <c r="BYK109" s="32"/>
      <c r="BYL109" s="32"/>
      <c r="BYM109" s="32"/>
      <c r="BYN109" s="32"/>
      <c r="BYO109" s="32"/>
      <c r="BYP109" s="32"/>
      <c r="BYQ109" s="32"/>
      <c r="BYR109" s="32"/>
      <c r="BYS109" s="32"/>
      <c r="BYT109" s="32"/>
      <c r="BYU109" s="32"/>
      <c r="BYV109" s="32"/>
      <c r="BYW109" s="32"/>
      <c r="BYX109" s="32"/>
      <c r="BYY109" s="32"/>
      <c r="BYZ109" s="32"/>
      <c r="BZA109" s="32"/>
      <c r="BZB109" s="32"/>
      <c r="BZC109" s="32"/>
      <c r="BZD109" s="32"/>
      <c r="BZE109" s="32"/>
      <c r="BZF109" s="32"/>
      <c r="BZG109" s="32"/>
      <c r="BZH109" s="32"/>
      <c r="BZI109" s="32"/>
      <c r="BZJ109" s="32"/>
      <c r="BZK109" s="32"/>
      <c r="BZL109" s="32"/>
      <c r="BZM109" s="32"/>
      <c r="BZN109" s="32"/>
      <c r="BZO109" s="32"/>
      <c r="BZP109" s="32"/>
      <c r="BZQ109" s="32"/>
      <c r="BZR109" s="32"/>
      <c r="BZS109" s="32"/>
      <c r="BZT109" s="32"/>
      <c r="BZU109" s="32"/>
      <c r="BZV109" s="32"/>
      <c r="BZW109" s="32"/>
      <c r="BZX109" s="32"/>
      <c r="BZY109" s="32"/>
      <c r="BZZ109" s="32"/>
      <c r="CAA109" s="32"/>
      <c r="CAB109" s="32"/>
      <c r="CAC109" s="32"/>
      <c r="CAD109" s="32"/>
      <c r="CAE109" s="32"/>
      <c r="CAF109" s="32"/>
      <c r="CAG109" s="32"/>
      <c r="CAH109" s="32"/>
      <c r="CAI109" s="32"/>
      <c r="CAJ109" s="32"/>
      <c r="CAK109" s="32"/>
      <c r="CAL109" s="32"/>
      <c r="CAM109" s="32"/>
      <c r="CAN109" s="32"/>
      <c r="CAO109" s="32"/>
      <c r="CAP109" s="32"/>
      <c r="CAQ109" s="32"/>
      <c r="CAR109" s="32"/>
      <c r="CAS109" s="32"/>
      <c r="CAT109" s="32"/>
      <c r="CAU109" s="32"/>
      <c r="CAV109" s="32"/>
      <c r="CAW109" s="32"/>
      <c r="CAX109" s="32"/>
      <c r="CAY109" s="32"/>
      <c r="CAZ109" s="32"/>
      <c r="CBA109" s="32"/>
      <c r="CBB109" s="32"/>
      <c r="CBC109" s="32"/>
      <c r="CBD109" s="32"/>
      <c r="CBE109" s="32"/>
      <c r="CBF109" s="32"/>
      <c r="CBG109" s="32"/>
      <c r="CBH109" s="32"/>
      <c r="CBI109" s="32"/>
      <c r="CBJ109" s="32"/>
      <c r="CBK109" s="32"/>
      <c r="CBL109" s="32"/>
      <c r="CBM109" s="32"/>
      <c r="CBN109" s="32"/>
      <c r="CBO109" s="32"/>
      <c r="CBP109" s="32"/>
      <c r="CBQ109" s="32"/>
      <c r="CBR109" s="32"/>
      <c r="CBS109" s="32"/>
      <c r="CBT109" s="32"/>
      <c r="CBU109" s="32"/>
      <c r="CBV109" s="32"/>
      <c r="CBW109" s="32"/>
      <c r="CBX109" s="32"/>
      <c r="CBY109" s="32"/>
      <c r="CBZ109" s="32"/>
      <c r="CCA109" s="32"/>
      <c r="CCB109" s="32"/>
      <c r="CCC109" s="32"/>
      <c r="CCD109" s="32"/>
      <c r="CCE109" s="32"/>
      <c r="CCF109" s="32"/>
      <c r="CCG109" s="32"/>
      <c r="CCH109" s="32"/>
      <c r="CCI109" s="32"/>
      <c r="CCJ109" s="32"/>
      <c r="CCK109" s="32"/>
      <c r="CCL109" s="32"/>
      <c r="CCM109" s="32"/>
      <c r="CCN109" s="32"/>
      <c r="CCO109" s="32"/>
      <c r="CCP109" s="32"/>
      <c r="CCQ109" s="32"/>
      <c r="CCR109" s="32"/>
      <c r="CCS109" s="32"/>
      <c r="CCT109" s="32"/>
      <c r="CCU109" s="32"/>
      <c r="CCV109" s="32"/>
      <c r="CCW109" s="32"/>
      <c r="CCX109" s="32"/>
      <c r="CCY109" s="32"/>
      <c r="CCZ109" s="32"/>
      <c r="CDA109" s="32"/>
      <c r="CDB109" s="32"/>
      <c r="CDC109" s="32"/>
      <c r="CDD109" s="32"/>
      <c r="CDE109" s="32"/>
      <c r="CDF109" s="32"/>
      <c r="CDG109" s="32"/>
      <c r="CDH109" s="32"/>
      <c r="CDI109" s="32"/>
      <c r="CDJ109" s="32"/>
      <c r="CDK109" s="32"/>
      <c r="CDL109" s="32"/>
      <c r="CDM109" s="32"/>
      <c r="CDN109" s="32"/>
      <c r="CDO109" s="32"/>
      <c r="CDP109" s="32"/>
      <c r="CDQ109" s="32"/>
      <c r="CDR109" s="32"/>
      <c r="CDS109" s="32"/>
      <c r="CDT109" s="32"/>
      <c r="CDU109" s="32"/>
      <c r="CDV109" s="32"/>
      <c r="CDW109" s="32"/>
      <c r="CDX109" s="32"/>
      <c r="CDY109" s="32"/>
      <c r="CDZ109" s="32"/>
      <c r="CEA109" s="32"/>
      <c r="CEB109" s="32"/>
      <c r="CEC109" s="32"/>
      <c r="CED109" s="32"/>
      <c r="CEE109" s="32"/>
      <c r="CEF109" s="32"/>
      <c r="CEG109" s="32"/>
      <c r="CEH109" s="32"/>
      <c r="CEI109" s="32"/>
      <c r="CEJ109" s="32"/>
      <c r="CEK109" s="32"/>
      <c r="CEL109" s="32"/>
      <c r="CEM109" s="32"/>
      <c r="CEN109" s="32"/>
      <c r="CEO109" s="32"/>
      <c r="CEP109" s="32"/>
      <c r="CEQ109" s="32"/>
      <c r="CER109" s="32"/>
      <c r="CES109" s="32"/>
      <c r="CET109" s="32"/>
      <c r="CEU109" s="32"/>
      <c r="CEV109" s="32"/>
      <c r="CEW109" s="32"/>
      <c r="CEX109" s="32"/>
      <c r="CEY109" s="32"/>
      <c r="CEZ109" s="32"/>
      <c r="CFA109" s="32"/>
      <c r="CFB109" s="32"/>
      <c r="CFC109" s="32"/>
      <c r="CFD109" s="32"/>
      <c r="CFE109" s="32"/>
      <c r="CFF109" s="32"/>
      <c r="CFG109" s="32"/>
      <c r="CFH109" s="32"/>
      <c r="CFI109" s="32"/>
      <c r="CFJ109" s="32"/>
      <c r="CFK109" s="32"/>
      <c r="CFL109" s="32"/>
      <c r="CFM109" s="32"/>
      <c r="CFN109" s="32"/>
      <c r="CFO109" s="32"/>
      <c r="CFP109" s="32"/>
      <c r="CFQ109" s="32"/>
      <c r="CFR109" s="32"/>
      <c r="CFS109" s="32"/>
      <c r="CFT109" s="32"/>
      <c r="CFU109" s="32"/>
      <c r="CFV109" s="32"/>
      <c r="CFW109" s="32"/>
      <c r="CFX109" s="32"/>
      <c r="CFY109" s="32"/>
      <c r="CFZ109" s="32"/>
      <c r="CGA109" s="32"/>
      <c r="CGB109" s="32"/>
      <c r="CGC109" s="32"/>
      <c r="CGD109" s="32"/>
      <c r="CGE109" s="32"/>
      <c r="CGF109" s="32"/>
      <c r="CGG109" s="32"/>
      <c r="CGH109" s="32"/>
      <c r="CGI109" s="32"/>
      <c r="CGJ109" s="32"/>
      <c r="CGK109" s="32"/>
      <c r="CGL109" s="32"/>
      <c r="CGM109" s="32"/>
      <c r="CGN109" s="32"/>
      <c r="CGO109" s="32"/>
      <c r="CGP109" s="32"/>
      <c r="CGQ109" s="32"/>
      <c r="CGR109" s="32"/>
      <c r="CGS109" s="32"/>
      <c r="CGT109" s="32"/>
      <c r="CGU109" s="32"/>
      <c r="CGV109" s="32"/>
      <c r="CGW109" s="32"/>
      <c r="CGX109" s="32"/>
      <c r="CGY109" s="32"/>
      <c r="CGZ109" s="32"/>
      <c r="CHA109" s="32"/>
      <c r="CHB109" s="32"/>
      <c r="CHC109" s="32"/>
      <c r="CHD109" s="32"/>
      <c r="CHE109" s="32"/>
      <c r="CHF109" s="32"/>
      <c r="CHG109" s="32"/>
      <c r="CHH109" s="32"/>
      <c r="CHI109" s="32"/>
      <c r="CHJ109" s="32"/>
      <c r="CHK109" s="32"/>
      <c r="CHL109" s="32"/>
      <c r="CHM109" s="32"/>
      <c r="CHN109" s="32"/>
      <c r="CHO109" s="32"/>
      <c r="CHP109" s="32"/>
      <c r="CHQ109" s="32"/>
      <c r="CHR109" s="32"/>
      <c r="CHS109" s="32"/>
      <c r="CHT109" s="32"/>
      <c r="CHU109" s="32"/>
      <c r="CHV109" s="32"/>
      <c r="CHW109" s="32"/>
      <c r="CHX109" s="32"/>
      <c r="CHY109" s="32"/>
      <c r="CHZ109" s="32"/>
      <c r="CIA109" s="32"/>
      <c r="CIB109" s="32"/>
      <c r="CIC109" s="32"/>
      <c r="CID109" s="32"/>
      <c r="CIE109" s="32"/>
      <c r="CIF109" s="32"/>
      <c r="CIG109" s="32"/>
      <c r="CIH109" s="32"/>
      <c r="CII109" s="32"/>
      <c r="CIJ109" s="32"/>
      <c r="CIK109" s="32"/>
      <c r="CIL109" s="32"/>
      <c r="CIM109" s="32"/>
      <c r="CIN109" s="32"/>
      <c r="CIO109" s="32"/>
      <c r="CIP109" s="32"/>
      <c r="CIQ109" s="32"/>
      <c r="CIR109" s="32"/>
      <c r="CIS109" s="32"/>
      <c r="CIT109" s="32"/>
      <c r="CIU109" s="32"/>
      <c r="CIV109" s="32"/>
      <c r="CIW109" s="32"/>
      <c r="CIX109" s="32"/>
      <c r="CIY109" s="32"/>
      <c r="CIZ109" s="32"/>
      <c r="CJA109" s="32"/>
      <c r="CJB109" s="32"/>
      <c r="CJC109" s="32"/>
      <c r="CJD109" s="32"/>
      <c r="CJE109" s="32"/>
      <c r="CJF109" s="32"/>
      <c r="CJG109" s="32"/>
      <c r="CJH109" s="32"/>
      <c r="CJI109" s="32"/>
      <c r="CJJ109" s="32"/>
      <c r="CJK109" s="32"/>
      <c r="CJL109" s="32"/>
      <c r="CJM109" s="32"/>
      <c r="CJN109" s="32"/>
      <c r="CJO109" s="32"/>
      <c r="CJP109" s="32"/>
      <c r="CJQ109" s="32"/>
      <c r="CJR109" s="32"/>
      <c r="CJS109" s="32"/>
      <c r="CJT109" s="32"/>
      <c r="CJU109" s="32"/>
      <c r="CJV109" s="32"/>
      <c r="CJW109" s="32"/>
      <c r="CJX109" s="32"/>
      <c r="CJY109" s="32"/>
      <c r="CJZ109" s="32"/>
      <c r="CKA109" s="32"/>
      <c r="CKB109" s="32"/>
      <c r="CKC109" s="32"/>
      <c r="CKD109" s="32"/>
      <c r="CKE109" s="32"/>
      <c r="CKF109" s="32"/>
      <c r="CKG109" s="32"/>
      <c r="CKH109" s="32"/>
      <c r="CKI109" s="32"/>
      <c r="CKJ109" s="32"/>
      <c r="CKK109" s="32"/>
      <c r="CKL109" s="32"/>
      <c r="CKM109" s="32"/>
      <c r="CKN109" s="32"/>
      <c r="CKO109" s="32"/>
      <c r="CKP109" s="32"/>
      <c r="CKQ109" s="32"/>
      <c r="CKR109" s="32"/>
      <c r="CKS109" s="32"/>
      <c r="CKT109" s="32"/>
      <c r="CKU109" s="32"/>
      <c r="CKV109" s="32"/>
      <c r="CKW109" s="32"/>
      <c r="CKX109" s="32"/>
      <c r="CKY109" s="32"/>
      <c r="CKZ109" s="32"/>
      <c r="CLA109" s="32"/>
      <c r="CLB109" s="32"/>
      <c r="CLC109" s="32"/>
      <c r="CLD109" s="32"/>
      <c r="CLE109" s="32"/>
      <c r="CLF109" s="32"/>
      <c r="CLG109" s="32"/>
      <c r="CLH109" s="32"/>
      <c r="CLI109" s="32"/>
      <c r="CLJ109" s="32"/>
      <c r="CLK109" s="32"/>
      <c r="CLL109" s="32"/>
      <c r="CLM109" s="32"/>
      <c r="CLN109" s="32"/>
      <c r="CLO109" s="32"/>
      <c r="CLP109" s="32"/>
      <c r="CLQ109" s="32"/>
      <c r="CLR109" s="32"/>
      <c r="CLS109" s="32"/>
      <c r="CLT109" s="32"/>
      <c r="CLU109" s="32"/>
      <c r="CLV109" s="32"/>
      <c r="CLW109" s="32"/>
      <c r="CLX109" s="32"/>
      <c r="CLY109" s="32"/>
      <c r="CLZ109" s="32"/>
      <c r="CMA109" s="32"/>
      <c r="CMB109" s="32"/>
      <c r="CMC109" s="32"/>
      <c r="CMD109" s="32"/>
      <c r="CME109" s="32"/>
      <c r="CMF109" s="32"/>
      <c r="CMG109" s="32"/>
      <c r="CMH109" s="32"/>
      <c r="CMI109" s="32"/>
      <c r="CMJ109" s="32"/>
      <c r="CMK109" s="32"/>
      <c r="CML109" s="32"/>
      <c r="CMM109" s="32"/>
      <c r="CMN109" s="32"/>
      <c r="CMO109" s="32"/>
      <c r="CMP109" s="32"/>
      <c r="CMQ109" s="32"/>
      <c r="CMR109" s="32"/>
      <c r="CMS109" s="32"/>
      <c r="CMT109" s="32"/>
      <c r="CMU109" s="32"/>
      <c r="CMV109" s="32"/>
      <c r="CMW109" s="32"/>
      <c r="CMX109" s="32"/>
      <c r="CMY109" s="32"/>
      <c r="CMZ109" s="32"/>
      <c r="CNA109" s="32"/>
      <c r="CNB109" s="32"/>
      <c r="CNC109" s="32"/>
      <c r="CND109" s="32"/>
      <c r="CNE109" s="32"/>
      <c r="CNF109" s="32"/>
      <c r="CNG109" s="32"/>
      <c r="CNH109" s="32"/>
      <c r="CNI109" s="32"/>
      <c r="CNJ109" s="32"/>
      <c r="CNK109" s="32"/>
      <c r="CNL109" s="32"/>
      <c r="CNM109" s="32"/>
      <c r="CNN109" s="32"/>
      <c r="CNO109" s="32"/>
      <c r="CNP109" s="32"/>
      <c r="CNQ109" s="32"/>
      <c r="CNR109" s="32"/>
      <c r="CNS109" s="32"/>
      <c r="CNT109" s="32"/>
      <c r="CNU109" s="32"/>
      <c r="CNV109" s="32"/>
      <c r="CNW109" s="32"/>
      <c r="CNX109" s="32"/>
      <c r="CNY109" s="32"/>
      <c r="CNZ109" s="32"/>
      <c r="COA109" s="32"/>
      <c r="COB109" s="32"/>
      <c r="COC109" s="32"/>
      <c r="COD109" s="32"/>
      <c r="COE109" s="32"/>
      <c r="COF109" s="32"/>
      <c r="COG109" s="32"/>
      <c r="COH109" s="32"/>
      <c r="COI109" s="32"/>
      <c r="COJ109" s="32"/>
      <c r="COK109" s="32"/>
      <c r="COL109" s="32"/>
      <c r="COM109" s="32"/>
      <c r="CON109" s="32"/>
      <c r="COO109" s="32"/>
      <c r="COP109" s="32"/>
      <c r="COQ109" s="32"/>
      <c r="COR109" s="32"/>
      <c r="COS109" s="32"/>
      <c r="COT109" s="32"/>
      <c r="COU109" s="32"/>
      <c r="COV109" s="32"/>
      <c r="COW109" s="32"/>
      <c r="COX109" s="32"/>
      <c r="COY109" s="32"/>
      <c r="COZ109" s="32"/>
      <c r="CPA109" s="32"/>
      <c r="CPB109" s="32"/>
      <c r="CPC109" s="32"/>
      <c r="CPD109" s="32"/>
      <c r="CPE109" s="32"/>
      <c r="CPF109" s="32"/>
      <c r="CPG109" s="32"/>
      <c r="CPH109" s="32"/>
      <c r="CPI109" s="32"/>
      <c r="CPJ109" s="32"/>
      <c r="CPK109" s="32"/>
      <c r="CPL109" s="32"/>
      <c r="CPM109" s="32"/>
      <c r="CPN109" s="32"/>
      <c r="CPO109" s="32"/>
      <c r="CPP109" s="32"/>
      <c r="CPQ109" s="32"/>
      <c r="CPR109" s="32"/>
      <c r="CPS109" s="32"/>
      <c r="CPT109" s="32"/>
      <c r="CPU109" s="32"/>
      <c r="CPV109" s="32"/>
      <c r="CPW109" s="32"/>
      <c r="CPX109" s="32"/>
      <c r="CPY109" s="32"/>
      <c r="CPZ109" s="32"/>
      <c r="CQA109" s="32"/>
      <c r="CQB109" s="32"/>
      <c r="CQC109" s="32"/>
      <c r="CQD109" s="32"/>
      <c r="CQE109" s="32"/>
      <c r="CQF109" s="32"/>
      <c r="CQG109" s="32"/>
      <c r="CQH109" s="32"/>
      <c r="CQI109" s="32"/>
      <c r="CQJ109" s="32"/>
      <c r="CQK109" s="32"/>
      <c r="CQL109" s="32"/>
      <c r="CQM109" s="32"/>
      <c r="CQN109" s="32"/>
      <c r="CQO109" s="32"/>
      <c r="CQP109" s="32"/>
      <c r="CQQ109" s="32"/>
      <c r="CQR109" s="32"/>
      <c r="CQS109" s="32"/>
      <c r="CQT109" s="32"/>
      <c r="CQU109" s="32"/>
      <c r="CQV109" s="32"/>
      <c r="CQW109" s="32"/>
      <c r="CQX109" s="32"/>
      <c r="CQY109" s="32"/>
      <c r="CQZ109" s="32"/>
      <c r="CRA109" s="32"/>
      <c r="CRB109" s="32"/>
      <c r="CRC109" s="32"/>
      <c r="CRD109" s="32"/>
      <c r="CRE109" s="32"/>
      <c r="CRF109" s="32"/>
      <c r="CRG109" s="32"/>
      <c r="CRH109" s="32"/>
      <c r="CRI109" s="32"/>
      <c r="CRJ109" s="32"/>
      <c r="CRK109" s="32"/>
      <c r="CRL109" s="32"/>
      <c r="CRM109" s="32"/>
      <c r="CRN109" s="32"/>
      <c r="CRO109" s="32"/>
      <c r="CRP109" s="32"/>
      <c r="CRQ109" s="32"/>
      <c r="CRR109" s="32"/>
      <c r="CRS109" s="32"/>
      <c r="CRT109" s="32"/>
      <c r="CRU109" s="32"/>
      <c r="CRV109" s="32"/>
      <c r="CRW109" s="32"/>
      <c r="CRX109" s="32"/>
      <c r="CRY109" s="32"/>
      <c r="CRZ109" s="32"/>
      <c r="CSA109" s="32"/>
      <c r="CSB109" s="32"/>
      <c r="CSC109" s="32"/>
      <c r="CSD109" s="32"/>
      <c r="CSE109" s="32"/>
      <c r="CSF109" s="32"/>
      <c r="CSG109" s="32"/>
      <c r="CSH109" s="32"/>
      <c r="CSI109" s="32"/>
      <c r="CSJ109" s="32"/>
      <c r="CSK109" s="32"/>
      <c r="CSL109" s="32"/>
      <c r="CSM109" s="32"/>
      <c r="CSN109" s="32"/>
      <c r="CSO109" s="32"/>
      <c r="CSP109" s="32"/>
      <c r="CSQ109" s="32"/>
      <c r="CSR109" s="32"/>
      <c r="CSS109" s="32"/>
      <c r="CST109" s="32"/>
      <c r="CSU109" s="32"/>
      <c r="CSV109" s="32"/>
      <c r="CSW109" s="32"/>
      <c r="CSX109" s="32"/>
      <c r="CSY109" s="32"/>
      <c r="CSZ109" s="32"/>
      <c r="CTA109" s="32"/>
      <c r="CTB109" s="32"/>
      <c r="CTC109" s="32"/>
      <c r="CTD109" s="32"/>
      <c r="CTE109" s="32"/>
      <c r="CTF109" s="32"/>
      <c r="CTG109" s="32"/>
      <c r="CTH109" s="32"/>
      <c r="CTI109" s="32"/>
      <c r="CTJ109" s="32"/>
      <c r="CTK109" s="32"/>
      <c r="CTL109" s="32"/>
      <c r="CTM109" s="32"/>
      <c r="CTN109" s="32"/>
      <c r="CTO109" s="32"/>
      <c r="CTP109" s="32"/>
      <c r="CTQ109" s="32"/>
      <c r="CTR109" s="32"/>
      <c r="CTS109" s="32"/>
      <c r="CTT109" s="32"/>
      <c r="CTU109" s="32"/>
      <c r="CTV109" s="32"/>
      <c r="CTW109" s="32"/>
      <c r="CTX109" s="32"/>
      <c r="CTY109" s="32"/>
      <c r="CTZ109" s="32"/>
      <c r="CUA109" s="32"/>
      <c r="CUB109" s="32"/>
      <c r="CUC109" s="32"/>
      <c r="CUD109" s="32"/>
      <c r="CUE109" s="32"/>
      <c r="CUF109" s="32"/>
      <c r="CUG109" s="32"/>
      <c r="CUH109" s="32"/>
      <c r="CUI109" s="32"/>
      <c r="CUJ109" s="32"/>
      <c r="CUK109" s="32"/>
      <c r="CUL109" s="32"/>
      <c r="CUM109" s="32"/>
      <c r="CUN109" s="32"/>
      <c r="CUO109" s="32"/>
      <c r="CUP109" s="32"/>
      <c r="CUQ109" s="32"/>
      <c r="CUR109" s="32"/>
      <c r="CUS109" s="32"/>
      <c r="CUT109" s="32"/>
      <c r="CUU109" s="32"/>
      <c r="CUV109" s="32"/>
      <c r="CUW109" s="32"/>
      <c r="CUX109" s="32"/>
      <c r="CUY109" s="32"/>
      <c r="CUZ109" s="32"/>
      <c r="CVA109" s="32"/>
      <c r="CVB109" s="32"/>
      <c r="CVC109" s="32"/>
      <c r="CVD109" s="32"/>
      <c r="CVE109" s="32"/>
      <c r="CVF109" s="32"/>
      <c r="CVG109" s="32"/>
      <c r="CVH109" s="32"/>
      <c r="CVI109" s="32"/>
      <c r="CVJ109" s="32"/>
      <c r="CVK109" s="32"/>
      <c r="CVL109" s="32"/>
      <c r="CVM109" s="32"/>
      <c r="CVN109" s="32"/>
      <c r="CVO109" s="32"/>
      <c r="CVP109" s="32"/>
      <c r="CVQ109" s="32"/>
      <c r="CVR109" s="32"/>
      <c r="CVS109" s="32"/>
      <c r="CVT109" s="32"/>
      <c r="CVU109" s="32"/>
      <c r="CVV109" s="32"/>
      <c r="CVW109" s="32"/>
      <c r="CVX109" s="32"/>
      <c r="CVY109" s="32"/>
      <c r="CVZ109" s="32"/>
      <c r="CWA109" s="32"/>
      <c r="CWB109" s="32"/>
      <c r="CWC109" s="32"/>
      <c r="CWD109" s="32"/>
      <c r="CWE109" s="32"/>
      <c r="CWF109" s="32"/>
      <c r="CWG109" s="32"/>
      <c r="CWH109" s="32"/>
      <c r="CWI109" s="32"/>
      <c r="CWJ109" s="32"/>
      <c r="CWK109" s="32"/>
      <c r="CWL109" s="32"/>
      <c r="CWM109" s="32"/>
      <c r="CWN109" s="32"/>
      <c r="CWO109" s="32"/>
      <c r="CWP109" s="32"/>
      <c r="CWQ109" s="32"/>
      <c r="CWR109" s="32"/>
      <c r="CWS109" s="32"/>
      <c r="CWT109" s="32"/>
      <c r="CWU109" s="32"/>
      <c r="CWV109" s="32"/>
      <c r="CWW109" s="32"/>
      <c r="CWX109" s="32"/>
      <c r="CWY109" s="32"/>
      <c r="CWZ109" s="32"/>
      <c r="CXA109" s="32"/>
      <c r="CXB109" s="32"/>
      <c r="CXC109" s="32"/>
      <c r="CXD109" s="32"/>
      <c r="CXE109" s="32"/>
      <c r="CXF109" s="32"/>
      <c r="CXG109" s="32"/>
      <c r="CXH109" s="32"/>
      <c r="CXI109" s="32"/>
      <c r="CXJ109" s="32"/>
      <c r="CXK109" s="32"/>
      <c r="CXL109" s="32"/>
      <c r="CXM109" s="32"/>
      <c r="CXN109" s="32"/>
      <c r="CXO109" s="32"/>
      <c r="CXP109" s="32"/>
      <c r="CXQ109" s="32"/>
      <c r="CXR109" s="32"/>
      <c r="CXS109" s="32"/>
      <c r="CXT109" s="32"/>
      <c r="CXU109" s="32"/>
      <c r="CXV109" s="32"/>
      <c r="CXW109" s="32"/>
      <c r="CXX109" s="32"/>
      <c r="CXY109" s="32"/>
      <c r="CXZ109" s="32"/>
      <c r="CYA109" s="32"/>
      <c r="CYB109" s="32"/>
      <c r="CYC109" s="32"/>
      <c r="CYD109" s="32"/>
      <c r="CYE109" s="32"/>
      <c r="CYF109" s="32"/>
      <c r="CYG109" s="32"/>
      <c r="CYH109" s="32"/>
      <c r="CYI109" s="32"/>
      <c r="CYJ109" s="32"/>
      <c r="CYK109" s="32"/>
      <c r="CYL109" s="32"/>
      <c r="CYM109" s="32"/>
      <c r="CYN109" s="32"/>
      <c r="CYO109" s="32"/>
      <c r="CYP109" s="32"/>
      <c r="CYQ109" s="32"/>
      <c r="CYR109" s="32"/>
      <c r="CYS109" s="32"/>
      <c r="CYT109" s="32"/>
      <c r="CYU109" s="32"/>
      <c r="CYV109" s="32"/>
      <c r="CYW109" s="32"/>
      <c r="CYX109" s="32"/>
      <c r="CYY109" s="32"/>
      <c r="CYZ109" s="32"/>
      <c r="CZA109" s="32"/>
      <c r="CZB109" s="32"/>
      <c r="CZC109" s="32"/>
      <c r="CZD109" s="32"/>
      <c r="CZE109" s="32"/>
      <c r="CZF109" s="32"/>
      <c r="CZG109" s="32"/>
      <c r="CZH109" s="32"/>
      <c r="CZI109" s="32"/>
      <c r="CZJ109" s="32"/>
      <c r="CZK109" s="32"/>
      <c r="CZL109" s="32"/>
      <c r="CZM109" s="32"/>
      <c r="CZN109" s="32"/>
      <c r="CZO109" s="32"/>
      <c r="CZP109" s="32"/>
      <c r="CZQ109" s="32"/>
      <c r="CZR109" s="32"/>
      <c r="CZS109" s="32"/>
      <c r="CZT109" s="32"/>
      <c r="CZU109" s="32"/>
      <c r="CZV109" s="32"/>
      <c r="CZW109" s="32"/>
      <c r="CZX109" s="32"/>
      <c r="CZY109" s="32"/>
      <c r="CZZ109" s="32"/>
      <c r="DAA109" s="32"/>
      <c r="DAB109" s="32"/>
      <c r="DAC109" s="32"/>
      <c r="DAD109" s="32"/>
      <c r="DAE109" s="32"/>
      <c r="DAF109" s="32"/>
      <c r="DAG109" s="32"/>
      <c r="DAH109" s="32"/>
      <c r="DAI109" s="32"/>
      <c r="DAJ109" s="32"/>
      <c r="DAK109" s="32"/>
      <c r="DAL109" s="32"/>
      <c r="DAM109" s="32"/>
      <c r="DAN109" s="32"/>
      <c r="DAO109" s="32"/>
      <c r="DAP109" s="32"/>
      <c r="DAQ109" s="32"/>
      <c r="DAR109" s="32"/>
      <c r="DAS109" s="32"/>
      <c r="DAT109" s="32"/>
      <c r="DAU109" s="32"/>
      <c r="DAV109" s="32"/>
      <c r="DAW109" s="32"/>
      <c r="DAX109" s="32"/>
      <c r="DAY109" s="32"/>
      <c r="DAZ109" s="32"/>
      <c r="DBA109" s="32"/>
      <c r="DBB109" s="32"/>
      <c r="DBC109" s="32"/>
      <c r="DBD109" s="32"/>
      <c r="DBE109" s="32"/>
      <c r="DBF109" s="32"/>
      <c r="DBG109" s="32"/>
      <c r="DBH109" s="32"/>
      <c r="DBI109" s="32"/>
      <c r="DBJ109" s="32"/>
      <c r="DBK109" s="32"/>
      <c r="DBL109" s="32"/>
      <c r="DBM109" s="32"/>
      <c r="DBN109" s="32"/>
      <c r="DBO109" s="32"/>
      <c r="DBP109" s="32"/>
      <c r="DBQ109" s="32"/>
      <c r="DBR109" s="32"/>
      <c r="DBS109" s="32"/>
      <c r="DBT109" s="32"/>
      <c r="DBU109" s="32"/>
      <c r="DBV109" s="32"/>
      <c r="DBW109" s="32"/>
      <c r="DBX109" s="32"/>
      <c r="DBY109" s="32"/>
      <c r="DBZ109" s="32"/>
      <c r="DCA109" s="32"/>
      <c r="DCB109" s="32"/>
      <c r="DCC109" s="32"/>
      <c r="DCD109" s="32"/>
      <c r="DCE109" s="32"/>
      <c r="DCF109" s="32"/>
      <c r="DCG109" s="32"/>
      <c r="DCH109" s="32"/>
      <c r="DCI109" s="32"/>
      <c r="DCJ109" s="32"/>
      <c r="DCK109" s="32"/>
      <c r="DCL109" s="32"/>
      <c r="DCM109" s="32"/>
      <c r="DCN109" s="32"/>
      <c r="DCO109" s="32"/>
      <c r="DCP109" s="32"/>
      <c r="DCQ109" s="32"/>
      <c r="DCR109" s="32"/>
      <c r="DCS109" s="32"/>
      <c r="DCT109" s="32"/>
      <c r="DCU109" s="32"/>
      <c r="DCV109" s="32"/>
      <c r="DCW109" s="32"/>
      <c r="DCX109" s="32"/>
      <c r="DCY109" s="32"/>
      <c r="DCZ109" s="32"/>
      <c r="DDA109" s="32"/>
      <c r="DDB109" s="32"/>
      <c r="DDC109" s="32"/>
      <c r="DDD109" s="32"/>
      <c r="DDE109" s="32"/>
      <c r="DDF109" s="32"/>
      <c r="DDG109" s="32"/>
      <c r="DDH109" s="32"/>
      <c r="DDI109" s="32"/>
      <c r="DDJ109" s="32"/>
      <c r="DDK109" s="32"/>
      <c r="DDL109" s="32"/>
      <c r="DDM109" s="32"/>
      <c r="DDN109" s="32"/>
      <c r="DDO109" s="32"/>
      <c r="DDP109" s="32"/>
      <c r="DDQ109" s="32"/>
      <c r="DDR109" s="32"/>
      <c r="DDS109" s="32"/>
      <c r="DDT109" s="32"/>
      <c r="DDU109" s="32"/>
      <c r="DDV109" s="32"/>
      <c r="DDW109" s="32"/>
      <c r="DDX109" s="32"/>
      <c r="DDY109" s="32"/>
      <c r="DDZ109" s="32"/>
      <c r="DEA109" s="32"/>
      <c r="DEB109" s="32"/>
      <c r="DEC109" s="32"/>
      <c r="DED109" s="32"/>
      <c r="DEE109" s="32"/>
      <c r="DEF109" s="32"/>
      <c r="DEG109" s="32"/>
      <c r="DEH109" s="32"/>
      <c r="DEI109" s="32"/>
      <c r="DEJ109" s="32"/>
      <c r="DEK109" s="32"/>
      <c r="DEL109" s="32"/>
      <c r="DEM109" s="32"/>
      <c r="DEN109" s="32"/>
      <c r="DEO109" s="32"/>
      <c r="DEP109" s="32"/>
      <c r="DEQ109" s="32"/>
      <c r="DER109" s="32"/>
      <c r="DES109" s="32"/>
      <c r="DET109" s="32"/>
      <c r="DEU109" s="32"/>
      <c r="DEV109" s="32"/>
      <c r="DEW109" s="32"/>
      <c r="DEX109" s="32"/>
      <c r="DEY109" s="32"/>
      <c r="DEZ109" s="32"/>
      <c r="DFA109" s="32"/>
      <c r="DFB109" s="32"/>
      <c r="DFC109" s="32"/>
      <c r="DFD109" s="32"/>
      <c r="DFE109" s="32"/>
      <c r="DFF109" s="32"/>
      <c r="DFG109" s="32"/>
      <c r="DFH109" s="32"/>
      <c r="DFI109" s="32"/>
      <c r="DFJ109" s="32"/>
      <c r="DFK109" s="32"/>
      <c r="DFL109" s="32"/>
      <c r="DFM109" s="32"/>
      <c r="DFN109" s="32"/>
      <c r="DFO109" s="32"/>
      <c r="DFP109" s="32"/>
      <c r="DFQ109" s="32"/>
      <c r="DFR109" s="32"/>
      <c r="DFS109" s="32"/>
      <c r="DFT109" s="32"/>
      <c r="DFU109" s="32"/>
      <c r="DFV109" s="32"/>
      <c r="DFW109" s="32"/>
      <c r="DFX109" s="32"/>
      <c r="DFY109" s="32"/>
      <c r="DFZ109" s="32"/>
      <c r="DGA109" s="32"/>
      <c r="DGB109" s="32"/>
      <c r="DGC109" s="32"/>
      <c r="DGD109" s="32"/>
      <c r="DGE109" s="32"/>
      <c r="DGF109" s="32"/>
      <c r="DGG109" s="32"/>
      <c r="DGH109" s="32"/>
      <c r="DGI109" s="32"/>
      <c r="DGJ109" s="32"/>
      <c r="DGK109" s="32"/>
      <c r="DGL109" s="32"/>
      <c r="DGM109" s="32"/>
      <c r="DGN109" s="32"/>
      <c r="DGO109" s="32"/>
      <c r="DGP109" s="32"/>
      <c r="DGQ109" s="32"/>
      <c r="DGR109" s="32"/>
      <c r="DGS109" s="32"/>
      <c r="DGT109" s="32"/>
      <c r="DGU109" s="32"/>
      <c r="DGV109" s="32"/>
      <c r="DGW109" s="32"/>
      <c r="DGX109" s="32"/>
      <c r="DGY109" s="32"/>
      <c r="DGZ109" s="32"/>
      <c r="DHA109" s="32"/>
      <c r="DHB109" s="32"/>
      <c r="DHC109" s="32"/>
      <c r="DHD109" s="32"/>
      <c r="DHE109" s="32"/>
      <c r="DHF109" s="32"/>
      <c r="DHG109" s="32"/>
      <c r="DHH109" s="32"/>
      <c r="DHI109" s="32"/>
      <c r="DHJ109" s="32"/>
      <c r="DHK109" s="32"/>
      <c r="DHL109" s="32"/>
      <c r="DHM109" s="32"/>
      <c r="DHN109" s="32"/>
      <c r="DHO109" s="32"/>
      <c r="DHP109" s="32"/>
      <c r="DHQ109" s="32"/>
      <c r="DHR109" s="32"/>
      <c r="DHS109" s="32"/>
      <c r="DHT109" s="32"/>
      <c r="DHU109" s="32"/>
      <c r="DHV109" s="32"/>
      <c r="DHW109" s="32"/>
      <c r="DHX109" s="32"/>
      <c r="DHY109" s="32"/>
      <c r="DHZ109" s="32"/>
      <c r="DIA109" s="32"/>
      <c r="DIB109" s="32"/>
      <c r="DIC109" s="32"/>
      <c r="DID109" s="32"/>
      <c r="DIE109" s="32"/>
      <c r="DIF109" s="32"/>
      <c r="DIG109" s="32"/>
      <c r="DIH109" s="32"/>
      <c r="DII109" s="32"/>
      <c r="DIJ109" s="32"/>
      <c r="DIK109" s="32"/>
      <c r="DIL109" s="32"/>
      <c r="DIM109" s="32"/>
      <c r="DIN109" s="32"/>
      <c r="DIO109" s="32"/>
      <c r="DIP109" s="32"/>
      <c r="DIQ109" s="32"/>
      <c r="DIR109" s="32"/>
      <c r="DIS109" s="32"/>
      <c r="DIT109" s="32"/>
      <c r="DIU109" s="32"/>
      <c r="DIV109" s="32"/>
      <c r="DIW109" s="32"/>
      <c r="DIX109" s="32"/>
      <c r="DIY109" s="32"/>
      <c r="DIZ109" s="32"/>
      <c r="DJA109" s="32"/>
      <c r="DJB109" s="32"/>
      <c r="DJC109" s="32"/>
      <c r="DJD109" s="32"/>
      <c r="DJE109" s="32"/>
      <c r="DJF109" s="32"/>
      <c r="DJG109" s="32"/>
      <c r="DJH109" s="32"/>
      <c r="DJI109" s="32"/>
      <c r="DJJ109" s="32"/>
      <c r="DJK109" s="32"/>
      <c r="DJL109" s="32"/>
      <c r="DJM109" s="32"/>
      <c r="DJN109" s="32"/>
      <c r="DJO109" s="32"/>
      <c r="DJP109" s="32"/>
      <c r="DJQ109" s="32"/>
      <c r="DJR109" s="32"/>
      <c r="DJS109" s="32"/>
      <c r="DJT109" s="32"/>
      <c r="DJU109" s="32"/>
      <c r="DJV109" s="32"/>
      <c r="DJW109" s="32"/>
      <c r="DJX109" s="32"/>
      <c r="DJY109" s="32"/>
      <c r="DJZ109" s="32"/>
      <c r="DKA109" s="32"/>
      <c r="DKB109" s="32"/>
      <c r="DKC109" s="32"/>
      <c r="DKD109" s="32"/>
      <c r="DKE109" s="32"/>
      <c r="DKF109" s="32"/>
      <c r="DKG109" s="32"/>
      <c r="DKH109" s="32"/>
      <c r="DKI109" s="32"/>
      <c r="DKJ109" s="32"/>
      <c r="DKK109" s="32"/>
      <c r="DKL109" s="32"/>
      <c r="DKM109" s="32"/>
      <c r="DKN109" s="32"/>
      <c r="DKO109" s="32"/>
      <c r="DKP109" s="32"/>
      <c r="DKQ109" s="32"/>
      <c r="DKR109" s="32"/>
      <c r="DKS109" s="32"/>
      <c r="DKT109" s="32"/>
      <c r="DKU109" s="32"/>
      <c r="DKV109" s="32"/>
      <c r="DKW109" s="32"/>
      <c r="DKX109" s="32"/>
      <c r="DKY109" s="32"/>
      <c r="DKZ109" s="32"/>
      <c r="DLA109" s="32"/>
      <c r="DLB109" s="32"/>
      <c r="DLC109" s="32"/>
      <c r="DLD109" s="32"/>
      <c r="DLE109" s="32"/>
      <c r="DLF109" s="32"/>
      <c r="DLG109" s="32"/>
      <c r="DLH109" s="32"/>
      <c r="DLI109" s="32"/>
      <c r="DLJ109" s="32"/>
      <c r="DLK109" s="32"/>
      <c r="DLL109" s="32"/>
      <c r="DLM109" s="32"/>
      <c r="DLN109" s="32"/>
      <c r="DLO109" s="32"/>
      <c r="DLP109" s="32"/>
      <c r="DLQ109" s="32"/>
      <c r="DLR109" s="32"/>
      <c r="DLS109" s="32"/>
      <c r="DLT109" s="32"/>
      <c r="DLU109" s="32"/>
      <c r="DLV109" s="32"/>
      <c r="DLW109" s="32"/>
      <c r="DLX109" s="32"/>
      <c r="DLY109" s="32"/>
      <c r="DLZ109" s="32"/>
      <c r="DMA109" s="32"/>
      <c r="DMB109" s="32"/>
      <c r="DMC109" s="32"/>
      <c r="DMD109" s="32"/>
      <c r="DME109" s="32"/>
      <c r="DMF109" s="32"/>
      <c r="DMG109" s="32"/>
      <c r="DMH109" s="32"/>
      <c r="DMI109" s="32"/>
      <c r="DMJ109" s="32"/>
      <c r="DMK109" s="32"/>
      <c r="DML109" s="32"/>
      <c r="DMM109" s="32"/>
      <c r="DMN109" s="32"/>
      <c r="DMO109" s="32"/>
      <c r="DMP109" s="32"/>
      <c r="DMQ109" s="32"/>
      <c r="DMR109" s="32"/>
      <c r="DMS109" s="32"/>
      <c r="DMT109" s="32"/>
      <c r="DMU109" s="32"/>
      <c r="DMV109" s="32"/>
      <c r="DMW109" s="32"/>
      <c r="DMX109" s="32"/>
      <c r="DMY109" s="32"/>
      <c r="DMZ109" s="32"/>
      <c r="DNA109" s="32"/>
      <c r="DNB109" s="32"/>
      <c r="DNC109" s="32"/>
      <c r="DND109" s="32"/>
      <c r="DNE109" s="32"/>
      <c r="DNF109" s="32"/>
      <c r="DNG109" s="32"/>
      <c r="DNH109" s="32"/>
      <c r="DNI109" s="32"/>
      <c r="DNJ109" s="32"/>
      <c r="DNK109" s="32"/>
      <c r="DNL109" s="32"/>
      <c r="DNM109" s="32"/>
      <c r="DNN109" s="32"/>
      <c r="DNO109" s="32"/>
      <c r="DNP109" s="32"/>
      <c r="DNQ109" s="32"/>
      <c r="DNR109" s="32"/>
      <c r="DNS109" s="32"/>
      <c r="DNT109" s="32"/>
      <c r="DNU109" s="32"/>
      <c r="DNV109" s="32"/>
      <c r="DNW109" s="32"/>
      <c r="DNX109" s="32"/>
      <c r="DNY109" s="32"/>
      <c r="DNZ109" s="32"/>
      <c r="DOA109" s="32"/>
      <c r="DOB109" s="32"/>
      <c r="DOC109" s="32"/>
      <c r="DOD109" s="32"/>
      <c r="DOE109" s="32"/>
      <c r="DOF109" s="32"/>
      <c r="DOG109" s="32"/>
      <c r="DOH109" s="32"/>
      <c r="DOI109" s="32"/>
      <c r="DOJ109" s="32"/>
      <c r="DOK109" s="32"/>
      <c r="DOL109" s="32"/>
      <c r="DOM109" s="32"/>
      <c r="DON109" s="32"/>
      <c r="DOO109" s="32"/>
      <c r="DOP109" s="32"/>
      <c r="DOQ109" s="32"/>
      <c r="DOR109" s="32"/>
      <c r="DOS109" s="32"/>
      <c r="DOT109" s="32"/>
      <c r="DOU109" s="32"/>
      <c r="DOV109" s="32"/>
      <c r="DOW109" s="32"/>
      <c r="DOX109" s="32"/>
      <c r="DOY109" s="32"/>
      <c r="DOZ109" s="32"/>
      <c r="DPA109" s="32"/>
      <c r="DPB109" s="32"/>
      <c r="DPC109" s="32"/>
      <c r="DPD109" s="32"/>
      <c r="DPE109" s="32"/>
      <c r="DPF109" s="32"/>
      <c r="DPG109" s="32"/>
      <c r="DPH109" s="32"/>
      <c r="DPI109" s="32"/>
      <c r="DPJ109" s="32"/>
      <c r="DPK109" s="32"/>
      <c r="DPL109" s="32"/>
      <c r="DPM109" s="32"/>
      <c r="DPN109" s="32"/>
      <c r="DPO109" s="32"/>
      <c r="DPP109" s="32"/>
      <c r="DPQ109" s="32"/>
      <c r="DPR109" s="32"/>
      <c r="DPS109" s="32"/>
      <c r="DPT109" s="32"/>
      <c r="DPU109" s="32"/>
      <c r="DPV109" s="32"/>
      <c r="DPW109" s="32"/>
      <c r="DPX109" s="32"/>
      <c r="DPY109" s="32"/>
      <c r="DPZ109" s="32"/>
      <c r="DQA109" s="32"/>
      <c r="DQB109" s="32"/>
      <c r="DQC109" s="32"/>
      <c r="DQD109" s="32"/>
      <c r="DQE109" s="32"/>
      <c r="DQF109" s="32"/>
      <c r="DQG109" s="32"/>
      <c r="DQH109" s="32"/>
      <c r="DQI109" s="32"/>
      <c r="DQJ109" s="32"/>
      <c r="DQK109" s="32"/>
      <c r="DQL109" s="32"/>
      <c r="DQM109" s="32"/>
      <c r="DQN109" s="32"/>
      <c r="DQO109" s="32"/>
      <c r="DQP109" s="32"/>
      <c r="DQQ109" s="32"/>
      <c r="DQR109" s="32"/>
      <c r="DQS109" s="32"/>
      <c r="DQT109" s="32"/>
      <c r="DQU109" s="32"/>
      <c r="DQV109" s="32"/>
      <c r="DQW109" s="32"/>
      <c r="DQX109" s="32"/>
      <c r="DQY109" s="32"/>
      <c r="DQZ109" s="32"/>
      <c r="DRA109" s="32"/>
      <c r="DRB109" s="32"/>
      <c r="DRC109" s="32"/>
      <c r="DRD109" s="32"/>
      <c r="DRE109" s="32"/>
      <c r="DRF109" s="32"/>
      <c r="DRG109" s="32"/>
      <c r="DRH109" s="32"/>
      <c r="DRI109" s="32"/>
      <c r="DRJ109" s="32"/>
      <c r="DRK109" s="32"/>
      <c r="DRL109" s="32"/>
      <c r="DRM109" s="32"/>
      <c r="DRN109" s="32"/>
      <c r="DRO109" s="32"/>
      <c r="DRP109" s="32"/>
      <c r="DRQ109" s="32"/>
      <c r="DRR109" s="32"/>
      <c r="DRS109" s="32"/>
      <c r="DRT109" s="32"/>
      <c r="DRU109" s="32"/>
      <c r="DRV109" s="32"/>
      <c r="DRW109" s="32"/>
      <c r="DRX109" s="32"/>
      <c r="DRY109" s="32"/>
      <c r="DRZ109" s="32"/>
      <c r="DSA109" s="32"/>
      <c r="DSB109" s="32"/>
      <c r="DSC109" s="32"/>
      <c r="DSD109" s="32"/>
      <c r="DSE109" s="32"/>
      <c r="DSF109" s="32"/>
      <c r="DSG109" s="32"/>
      <c r="DSH109" s="32"/>
      <c r="DSI109" s="32"/>
      <c r="DSJ109" s="32"/>
      <c r="DSK109" s="32"/>
      <c r="DSL109" s="32"/>
      <c r="DSM109" s="32"/>
      <c r="DSN109" s="32"/>
      <c r="DSO109" s="32"/>
      <c r="DSP109" s="32"/>
      <c r="DSQ109" s="32"/>
      <c r="DSR109" s="32"/>
      <c r="DSS109" s="32"/>
      <c r="DST109" s="32"/>
      <c r="DSU109" s="32"/>
      <c r="DSV109" s="32"/>
      <c r="DSW109" s="32"/>
      <c r="DSX109" s="32"/>
      <c r="DSY109" s="32"/>
      <c r="DSZ109" s="32"/>
      <c r="DTA109" s="32"/>
      <c r="DTB109" s="32"/>
      <c r="DTC109" s="32"/>
      <c r="DTD109" s="32"/>
      <c r="DTE109" s="32"/>
      <c r="DTF109" s="32"/>
      <c r="DTG109" s="32"/>
      <c r="DTH109" s="32"/>
      <c r="DTI109" s="32"/>
      <c r="DTJ109" s="32"/>
      <c r="DTK109" s="32"/>
      <c r="DTL109" s="32"/>
      <c r="DTM109" s="32"/>
      <c r="DTN109" s="32"/>
      <c r="DTO109" s="32"/>
      <c r="DTP109" s="32"/>
      <c r="DTQ109" s="32"/>
      <c r="DTR109" s="32"/>
      <c r="DTS109" s="32"/>
      <c r="DTT109" s="32"/>
      <c r="DTU109" s="32"/>
      <c r="DTV109" s="32"/>
      <c r="DTW109" s="32"/>
      <c r="DTX109" s="32"/>
      <c r="DTY109" s="32"/>
      <c r="DTZ109" s="32"/>
      <c r="DUA109" s="32"/>
      <c r="DUB109" s="32"/>
      <c r="DUC109" s="32"/>
      <c r="DUD109" s="32"/>
      <c r="DUE109" s="32"/>
      <c r="DUF109" s="32"/>
      <c r="DUG109" s="32"/>
      <c r="DUH109" s="32"/>
      <c r="DUI109" s="32"/>
      <c r="DUJ109" s="32"/>
      <c r="DUK109" s="32"/>
      <c r="DUL109" s="32"/>
      <c r="DUM109" s="32"/>
      <c r="DUN109" s="32"/>
      <c r="DUO109" s="32"/>
      <c r="DUP109" s="32"/>
      <c r="DUQ109" s="32"/>
      <c r="DUR109" s="32"/>
      <c r="DUS109" s="32"/>
      <c r="DUT109" s="32"/>
      <c r="DUU109" s="32"/>
      <c r="DUV109" s="32"/>
      <c r="DUW109" s="32"/>
      <c r="DUX109" s="32"/>
      <c r="DUY109" s="32"/>
      <c r="DUZ109" s="32"/>
      <c r="DVA109" s="32"/>
      <c r="DVB109" s="32"/>
      <c r="DVC109" s="32"/>
      <c r="DVD109" s="32"/>
      <c r="DVE109" s="32"/>
      <c r="DVF109" s="32"/>
      <c r="DVG109" s="32"/>
      <c r="DVH109" s="32"/>
      <c r="DVI109" s="32"/>
      <c r="DVJ109" s="32"/>
      <c r="DVK109" s="32"/>
      <c r="DVL109" s="32"/>
      <c r="DVM109" s="32"/>
      <c r="DVN109" s="32"/>
      <c r="DVO109" s="32"/>
      <c r="DVP109" s="32"/>
      <c r="DVQ109" s="32"/>
      <c r="DVR109" s="32"/>
      <c r="DVS109" s="32"/>
      <c r="DVT109" s="32"/>
      <c r="DVU109" s="32"/>
      <c r="DVV109" s="32"/>
      <c r="DVW109" s="32"/>
      <c r="DVX109" s="32"/>
      <c r="DVY109" s="32"/>
      <c r="DVZ109" s="32"/>
      <c r="DWA109" s="32"/>
      <c r="DWB109" s="32"/>
      <c r="DWC109" s="32"/>
      <c r="DWD109" s="32"/>
      <c r="DWE109" s="32"/>
      <c r="DWF109" s="32"/>
      <c r="DWG109" s="32"/>
      <c r="DWH109" s="32"/>
      <c r="DWI109" s="32"/>
      <c r="DWJ109" s="32"/>
      <c r="DWK109" s="32"/>
      <c r="DWL109" s="32"/>
      <c r="DWM109" s="32"/>
      <c r="DWN109" s="32"/>
      <c r="DWO109" s="32"/>
      <c r="DWP109" s="32"/>
      <c r="DWQ109" s="32"/>
      <c r="DWR109" s="32"/>
      <c r="DWS109" s="32"/>
      <c r="DWT109" s="32"/>
      <c r="DWU109" s="32"/>
      <c r="DWV109" s="32"/>
      <c r="DWW109" s="32"/>
      <c r="DWX109" s="32"/>
      <c r="DWY109" s="32"/>
      <c r="DWZ109" s="32"/>
      <c r="DXA109" s="32"/>
      <c r="DXB109" s="32"/>
      <c r="DXC109" s="32"/>
      <c r="DXD109" s="32"/>
      <c r="DXE109" s="32"/>
      <c r="DXF109" s="32"/>
      <c r="DXG109" s="32"/>
      <c r="DXH109" s="32"/>
      <c r="DXI109" s="32"/>
      <c r="DXJ109" s="32"/>
      <c r="DXK109" s="32"/>
      <c r="DXL109" s="32"/>
      <c r="DXM109" s="32"/>
      <c r="DXN109" s="32"/>
      <c r="DXO109" s="32"/>
      <c r="DXP109" s="32"/>
      <c r="DXQ109" s="32"/>
      <c r="DXR109" s="32"/>
      <c r="DXS109" s="32"/>
      <c r="DXT109" s="32"/>
      <c r="DXU109" s="32"/>
      <c r="DXV109" s="32"/>
      <c r="DXW109" s="32"/>
      <c r="DXX109" s="32"/>
      <c r="DXY109" s="32"/>
      <c r="DXZ109" s="32"/>
      <c r="DYA109" s="32"/>
      <c r="DYB109" s="32"/>
      <c r="DYC109" s="32"/>
      <c r="DYD109" s="32"/>
      <c r="DYE109" s="32"/>
      <c r="DYF109" s="32"/>
      <c r="DYG109" s="32"/>
      <c r="DYH109" s="32"/>
      <c r="DYI109" s="32"/>
      <c r="DYJ109" s="32"/>
      <c r="DYK109" s="32"/>
      <c r="DYL109" s="32"/>
      <c r="DYM109" s="32"/>
      <c r="DYN109" s="32"/>
      <c r="DYO109" s="32"/>
      <c r="DYP109" s="32"/>
      <c r="DYQ109" s="32"/>
      <c r="DYR109" s="32"/>
      <c r="DYS109" s="32"/>
      <c r="DYT109" s="32"/>
      <c r="DYU109" s="32"/>
      <c r="DYV109" s="32"/>
      <c r="DYW109" s="32"/>
      <c r="DYX109" s="32"/>
      <c r="DYY109" s="32"/>
      <c r="DYZ109" s="32"/>
      <c r="DZA109" s="32"/>
      <c r="DZB109" s="32"/>
      <c r="DZC109" s="32"/>
      <c r="DZD109" s="32"/>
      <c r="DZE109" s="32"/>
      <c r="DZF109" s="32"/>
      <c r="DZG109" s="32"/>
      <c r="DZH109" s="32"/>
      <c r="DZI109" s="32"/>
      <c r="DZJ109" s="32"/>
      <c r="DZK109" s="32"/>
      <c r="DZL109" s="32"/>
      <c r="DZM109" s="32"/>
      <c r="DZN109" s="32"/>
      <c r="DZO109" s="32"/>
      <c r="DZP109" s="32"/>
      <c r="DZQ109" s="32"/>
      <c r="DZR109" s="32"/>
      <c r="DZS109" s="32"/>
      <c r="DZT109" s="32"/>
      <c r="DZU109" s="32"/>
      <c r="DZV109" s="32"/>
      <c r="DZW109" s="32"/>
      <c r="DZX109" s="32"/>
      <c r="DZY109" s="32"/>
      <c r="DZZ109" s="32"/>
      <c r="EAA109" s="32"/>
      <c r="EAB109" s="32"/>
      <c r="EAC109" s="32"/>
      <c r="EAD109" s="32"/>
      <c r="EAE109" s="32"/>
      <c r="EAF109" s="32"/>
      <c r="EAG109" s="32"/>
      <c r="EAH109" s="32"/>
      <c r="EAI109" s="32"/>
      <c r="EAJ109" s="32"/>
      <c r="EAK109" s="32"/>
      <c r="EAL109" s="32"/>
      <c r="EAM109" s="32"/>
      <c r="EAN109" s="32"/>
      <c r="EAO109" s="32"/>
      <c r="EAP109" s="32"/>
      <c r="EAQ109" s="32"/>
      <c r="EAR109" s="32"/>
      <c r="EAS109" s="32"/>
      <c r="EAT109" s="32"/>
      <c r="EAU109" s="32"/>
      <c r="EAV109" s="32"/>
      <c r="EAW109" s="32"/>
      <c r="EAX109" s="32"/>
      <c r="EAY109" s="32"/>
      <c r="EAZ109" s="32"/>
      <c r="EBA109" s="32"/>
      <c r="EBB109" s="32"/>
      <c r="EBC109" s="32"/>
      <c r="EBD109" s="32"/>
      <c r="EBE109" s="32"/>
      <c r="EBF109" s="32"/>
      <c r="EBG109" s="32"/>
      <c r="EBH109" s="32"/>
      <c r="EBI109" s="32"/>
      <c r="EBJ109" s="32"/>
      <c r="EBK109" s="32"/>
      <c r="EBL109" s="32"/>
      <c r="EBM109" s="32"/>
      <c r="EBN109" s="32"/>
      <c r="EBO109" s="32"/>
      <c r="EBP109" s="32"/>
      <c r="EBQ109" s="32"/>
      <c r="EBR109" s="32"/>
      <c r="EBS109" s="32"/>
      <c r="EBT109" s="32"/>
      <c r="EBU109" s="32"/>
      <c r="EBV109" s="32"/>
      <c r="EBW109" s="32"/>
      <c r="EBX109" s="32"/>
      <c r="EBY109" s="32"/>
      <c r="EBZ109" s="32"/>
      <c r="ECA109" s="32"/>
      <c r="ECB109" s="32"/>
      <c r="ECC109" s="32"/>
      <c r="ECD109" s="32"/>
      <c r="ECE109" s="32"/>
      <c r="ECF109" s="32"/>
      <c r="ECG109" s="32"/>
      <c r="ECH109" s="32"/>
      <c r="ECI109" s="32"/>
      <c r="ECJ109" s="32"/>
      <c r="ECK109" s="32"/>
      <c r="ECL109" s="32"/>
      <c r="ECM109" s="32"/>
      <c r="ECN109" s="32"/>
      <c r="ECO109" s="32"/>
      <c r="ECP109" s="32"/>
      <c r="ECQ109" s="32"/>
      <c r="ECR109" s="32"/>
      <c r="ECS109" s="32"/>
      <c r="ECT109" s="32"/>
      <c r="ECU109" s="32"/>
      <c r="ECV109" s="32"/>
      <c r="ECW109" s="32"/>
      <c r="ECX109" s="32"/>
      <c r="ECY109" s="32"/>
      <c r="ECZ109" s="32"/>
      <c r="EDA109" s="32"/>
      <c r="EDB109" s="32"/>
      <c r="EDC109" s="32"/>
      <c r="EDD109" s="32"/>
      <c r="EDE109" s="32"/>
      <c r="EDF109" s="32"/>
      <c r="EDG109" s="32"/>
      <c r="EDH109" s="32"/>
      <c r="EDI109" s="32"/>
      <c r="EDJ109" s="32"/>
      <c r="EDK109" s="32"/>
      <c r="EDL109" s="32"/>
      <c r="EDM109" s="32"/>
      <c r="EDN109" s="32"/>
      <c r="EDO109" s="32"/>
      <c r="EDP109" s="32"/>
      <c r="EDQ109" s="32"/>
      <c r="EDR109" s="32"/>
      <c r="EDS109" s="32"/>
      <c r="EDT109" s="32"/>
      <c r="EDU109" s="32"/>
      <c r="EDV109" s="32"/>
      <c r="EDW109" s="32"/>
      <c r="EDX109" s="32"/>
      <c r="EDY109" s="32"/>
      <c r="EDZ109" s="32"/>
      <c r="EEA109" s="32"/>
      <c r="EEB109" s="32"/>
      <c r="EEC109" s="32"/>
      <c r="EED109" s="32"/>
      <c r="EEE109" s="32"/>
      <c r="EEF109" s="32"/>
      <c r="EEG109" s="32"/>
      <c r="EEH109" s="32"/>
      <c r="EEI109" s="32"/>
      <c r="EEJ109" s="32"/>
      <c r="EEK109" s="32"/>
      <c r="EEL109" s="32"/>
      <c r="EEM109" s="32"/>
      <c r="EEN109" s="32"/>
      <c r="EEO109" s="32"/>
      <c r="EEP109" s="32"/>
      <c r="EEQ109" s="32"/>
      <c r="EER109" s="32"/>
      <c r="EES109" s="32"/>
      <c r="EET109" s="32"/>
      <c r="EEU109" s="32"/>
      <c r="EEV109" s="32"/>
      <c r="EEW109" s="32"/>
      <c r="EEX109" s="32"/>
      <c r="EEY109" s="32"/>
      <c r="EEZ109" s="32"/>
      <c r="EFA109" s="32"/>
      <c r="EFB109" s="32"/>
      <c r="EFC109" s="32"/>
      <c r="EFD109" s="32"/>
      <c r="EFE109" s="32"/>
      <c r="EFF109" s="32"/>
      <c r="EFG109" s="32"/>
      <c r="EFH109" s="32"/>
      <c r="EFI109" s="32"/>
      <c r="EFJ109" s="32"/>
      <c r="EFK109" s="32"/>
      <c r="EFL109" s="32"/>
      <c r="EFM109" s="32"/>
      <c r="EFN109" s="32"/>
      <c r="EFO109" s="32"/>
      <c r="EFP109" s="32"/>
      <c r="EFQ109" s="32"/>
      <c r="EFR109" s="32"/>
      <c r="EFS109" s="32"/>
      <c r="EFT109" s="32"/>
      <c r="EFU109" s="32"/>
      <c r="EFV109" s="32"/>
      <c r="EFW109" s="32"/>
      <c r="EFX109" s="32"/>
      <c r="EFY109" s="32"/>
      <c r="EFZ109" s="32"/>
      <c r="EGA109" s="32"/>
      <c r="EGB109" s="32"/>
      <c r="EGC109" s="32"/>
      <c r="EGD109" s="32"/>
      <c r="EGE109" s="32"/>
      <c r="EGF109" s="32"/>
      <c r="EGG109" s="32"/>
      <c r="EGH109" s="32"/>
      <c r="EGI109" s="32"/>
      <c r="EGJ109" s="32"/>
      <c r="EGK109" s="32"/>
      <c r="EGL109" s="32"/>
      <c r="EGM109" s="32"/>
      <c r="EGN109" s="32"/>
      <c r="EGO109" s="32"/>
      <c r="EGP109" s="32"/>
      <c r="EGQ109" s="32"/>
      <c r="EGR109" s="32"/>
      <c r="EGS109" s="32"/>
      <c r="EGT109" s="32"/>
      <c r="EGU109" s="32"/>
      <c r="EGV109" s="32"/>
      <c r="EGW109" s="32"/>
      <c r="EGX109" s="32"/>
      <c r="EGY109" s="32"/>
      <c r="EGZ109" s="32"/>
      <c r="EHA109" s="32"/>
      <c r="EHB109" s="32"/>
      <c r="EHC109" s="32"/>
      <c r="EHD109" s="32"/>
      <c r="EHE109" s="32"/>
      <c r="EHF109" s="32"/>
      <c r="EHG109" s="32"/>
      <c r="EHH109" s="32"/>
      <c r="EHI109" s="32"/>
      <c r="EHJ109" s="32"/>
      <c r="EHK109" s="32"/>
      <c r="EHL109" s="32"/>
      <c r="EHM109" s="32"/>
      <c r="EHN109" s="32"/>
      <c r="EHO109" s="32"/>
      <c r="EHP109" s="32"/>
      <c r="EHQ109" s="32"/>
      <c r="EHR109" s="32"/>
      <c r="EHS109" s="32"/>
      <c r="EHT109" s="32"/>
      <c r="EHU109" s="32"/>
      <c r="EHV109" s="32"/>
      <c r="EHW109" s="32"/>
      <c r="EHX109" s="32"/>
      <c r="EHY109" s="32"/>
      <c r="EHZ109" s="32"/>
      <c r="EIA109" s="32"/>
      <c r="EIB109" s="32"/>
      <c r="EIC109" s="32"/>
      <c r="EID109" s="32"/>
      <c r="EIE109" s="32"/>
      <c r="EIF109" s="32"/>
      <c r="EIG109" s="32"/>
      <c r="EIH109" s="32"/>
      <c r="EII109" s="32"/>
      <c r="EIJ109" s="32"/>
      <c r="EIK109" s="32"/>
      <c r="EIL109" s="32"/>
      <c r="EIM109" s="32"/>
      <c r="EIN109" s="32"/>
      <c r="EIO109" s="32"/>
      <c r="EIP109" s="32"/>
      <c r="EIQ109" s="32"/>
      <c r="EIR109" s="32"/>
      <c r="EIS109" s="32"/>
      <c r="EIT109" s="32"/>
      <c r="EIU109" s="32"/>
      <c r="EIV109" s="32"/>
      <c r="EIW109" s="32"/>
      <c r="EIX109" s="32"/>
      <c r="EIY109" s="32"/>
      <c r="EIZ109" s="32"/>
      <c r="EJA109" s="32"/>
      <c r="EJB109" s="32"/>
      <c r="EJC109" s="32"/>
      <c r="EJD109" s="32"/>
      <c r="EJE109" s="32"/>
      <c r="EJF109" s="32"/>
      <c r="EJG109" s="32"/>
      <c r="EJH109" s="32"/>
      <c r="EJI109" s="32"/>
      <c r="EJJ109" s="32"/>
      <c r="EJK109" s="32"/>
      <c r="EJL109" s="32"/>
      <c r="EJM109" s="32"/>
      <c r="EJN109" s="32"/>
      <c r="EJO109" s="32"/>
      <c r="EJP109" s="32"/>
      <c r="EJQ109" s="32"/>
      <c r="EJR109" s="32"/>
      <c r="EJS109" s="32"/>
      <c r="EJT109" s="32"/>
      <c r="EJU109" s="32"/>
      <c r="EJV109" s="32"/>
      <c r="EJW109" s="32"/>
      <c r="EJX109" s="32"/>
      <c r="EJY109" s="32"/>
      <c r="EJZ109" s="32"/>
      <c r="EKA109" s="32"/>
      <c r="EKB109" s="32"/>
      <c r="EKC109" s="32"/>
      <c r="EKD109" s="32"/>
      <c r="EKE109" s="32"/>
      <c r="EKF109" s="32"/>
      <c r="EKG109" s="32"/>
      <c r="EKH109" s="32"/>
      <c r="EKI109" s="32"/>
      <c r="EKJ109" s="32"/>
      <c r="EKK109" s="32"/>
      <c r="EKL109" s="32"/>
      <c r="EKM109" s="32"/>
      <c r="EKN109" s="32"/>
      <c r="EKO109" s="32"/>
      <c r="EKP109" s="32"/>
      <c r="EKQ109" s="32"/>
      <c r="EKR109" s="32"/>
      <c r="EKS109" s="32"/>
      <c r="EKT109" s="32"/>
      <c r="EKU109" s="32"/>
      <c r="EKV109" s="32"/>
      <c r="EKW109" s="32"/>
      <c r="EKX109" s="32"/>
      <c r="EKY109" s="32"/>
      <c r="EKZ109" s="32"/>
      <c r="ELA109" s="32"/>
      <c r="ELB109" s="32"/>
      <c r="ELC109" s="32"/>
      <c r="ELD109" s="32"/>
      <c r="ELE109" s="32"/>
      <c r="ELF109" s="32"/>
      <c r="ELG109" s="32"/>
      <c r="ELH109" s="32"/>
      <c r="ELI109" s="32"/>
      <c r="ELJ109" s="32"/>
      <c r="ELK109" s="32"/>
      <c r="ELL109" s="32"/>
      <c r="ELM109" s="32"/>
      <c r="ELN109" s="32"/>
      <c r="ELO109" s="32"/>
      <c r="ELP109" s="32"/>
      <c r="ELQ109" s="32"/>
      <c r="ELR109" s="32"/>
      <c r="ELS109" s="32"/>
      <c r="ELT109" s="32"/>
      <c r="ELU109" s="32"/>
      <c r="ELV109" s="32"/>
      <c r="ELW109" s="32"/>
      <c r="ELX109" s="32"/>
      <c r="ELY109" s="32"/>
      <c r="ELZ109" s="32"/>
      <c r="EMA109" s="32"/>
      <c r="EMB109" s="32"/>
      <c r="EMC109" s="32"/>
      <c r="EMD109" s="32"/>
      <c r="EME109" s="32"/>
      <c r="EMF109" s="32"/>
      <c r="EMG109" s="32"/>
      <c r="EMH109" s="32"/>
      <c r="EMI109" s="32"/>
      <c r="EMJ109" s="32"/>
      <c r="EMK109" s="32"/>
      <c r="EML109" s="32"/>
      <c r="EMM109" s="32"/>
      <c r="EMN109" s="32"/>
      <c r="EMO109" s="32"/>
      <c r="EMP109" s="32"/>
      <c r="EMQ109" s="32"/>
      <c r="EMR109" s="32"/>
      <c r="EMS109" s="32"/>
      <c r="EMT109" s="32"/>
      <c r="EMU109" s="32"/>
      <c r="EMV109" s="32"/>
      <c r="EMW109" s="32"/>
      <c r="EMX109" s="32"/>
      <c r="EMY109" s="32"/>
      <c r="EMZ109" s="32"/>
      <c r="ENA109" s="32"/>
      <c r="ENB109" s="32"/>
      <c r="ENC109" s="32"/>
      <c r="END109" s="32"/>
      <c r="ENE109" s="32"/>
      <c r="ENF109" s="32"/>
      <c r="ENG109" s="32"/>
      <c r="ENH109" s="32"/>
      <c r="ENI109" s="32"/>
      <c r="ENJ109" s="32"/>
      <c r="ENK109" s="32"/>
      <c r="ENL109" s="32"/>
      <c r="ENM109" s="32"/>
      <c r="ENN109" s="32"/>
      <c r="ENO109" s="32"/>
      <c r="ENP109" s="32"/>
      <c r="ENQ109" s="32"/>
      <c r="ENR109" s="32"/>
      <c r="ENS109" s="32"/>
      <c r="ENT109" s="32"/>
      <c r="ENU109" s="32"/>
      <c r="ENV109" s="32"/>
      <c r="ENW109" s="32"/>
      <c r="ENX109" s="32"/>
      <c r="ENY109" s="32"/>
      <c r="ENZ109" s="32"/>
      <c r="EOA109" s="32"/>
      <c r="EOB109" s="32"/>
      <c r="EOC109" s="32"/>
      <c r="EOD109" s="32"/>
      <c r="EOE109" s="32"/>
      <c r="EOF109" s="32"/>
      <c r="EOG109" s="32"/>
      <c r="EOH109" s="32"/>
      <c r="EOI109" s="32"/>
      <c r="EOJ109" s="32"/>
      <c r="EOK109" s="32"/>
      <c r="EOL109" s="32"/>
      <c r="EOM109" s="32"/>
      <c r="EON109" s="32"/>
      <c r="EOO109" s="32"/>
      <c r="EOP109" s="32"/>
      <c r="EOQ109" s="32"/>
      <c r="EOR109" s="32"/>
      <c r="EOS109" s="32"/>
      <c r="EOT109" s="32"/>
      <c r="EOU109" s="32"/>
      <c r="EOV109" s="32"/>
      <c r="EOW109" s="32"/>
      <c r="EOX109" s="32"/>
      <c r="EOY109" s="32"/>
      <c r="EOZ109" s="32"/>
      <c r="EPA109" s="32"/>
      <c r="EPB109" s="32"/>
      <c r="EPC109" s="32"/>
      <c r="EPD109" s="32"/>
      <c r="EPE109" s="32"/>
      <c r="EPF109" s="32"/>
      <c r="EPG109" s="32"/>
      <c r="EPH109" s="32"/>
      <c r="EPI109" s="32"/>
      <c r="EPJ109" s="32"/>
      <c r="EPK109" s="32"/>
      <c r="EPL109" s="32"/>
      <c r="EPM109" s="32"/>
      <c r="EPN109" s="32"/>
      <c r="EPO109" s="32"/>
      <c r="EPP109" s="32"/>
      <c r="EPQ109" s="32"/>
      <c r="EPR109" s="32"/>
      <c r="EPS109" s="32"/>
      <c r="EPT109" s="32"/>
      <c r="EPU109" s="32"/>
      <c r="EPV109" s="32"/>
      <c r="EPW109" s="32"/>
      <c r="EPX109" s="32"/>
      <c r="EPY109" s="32"/>
      <c r="EPZ109" s="32"/>
      <c r="EQA109" s="32"/>
      <c r="EQB109" s="32"/>
      <c r="EQC109" s="32"/>
      <c r="EQD109" s="32"/>
      <c r="EQE109" s="32"/>
      <c r="EQF109" s="32"/>
      <c r="EQG109" s="32"/>
      <c r="EQH109" s="32"/>
      <c r="EQI109" s="32"/>
      <c r="EQJ109" s="32"/>
      <c r="EQK109" s="32"/>
      <c r="EQL109" s="32"/>
      <c r="EQM109" s="32"/>
      <c r="EQN109" s="32"/>
      <c r="EQO109" s="32"/>
      <c r="EQP109" s="32"/>
      <c r="EQQ109" s="32"/>
      <c r="EQR109" s="32"/>
      <c r="EQS109" s="32"/>
      <c r="EQT109" s="32"/>
      <c r="EQU109" s="32"/>
      <c r="EQV109" s="32"/>
      <c r="EQW109" s="32"/>
      <c r="EQX109" s="32"/>
      <c r="EQY109" s="32"/>
      <c r="EQZ109" s="32"/>
      <c r="ERA109" s="32"/>
      <c r="ERB109" s="32"/>
      <c r="ERC109" s="32"/>
      <c r="ERD109" s="32"/>
      <c r="ERE109" s="32"/>
      <c r="ERF109" s="32"/>
      <c r="ERG109" s="32"/>
      <c r="ERH109" s="32"/>
      <c r="ERI109" s="32"/>
      <c r="ERJ109" s="32"/>
      <c r="ERK109" s="32"/>
      <c r="ERL109" s="32"/>
      <c r="ERM109" s="32"/>
      <c r="ERN109" s="32"/>
      <c r="ERO109" s="32"/>
      <c r="ERP109" s="32"/>
      <c r="ERQ109" s="32"/>
      <c r="ERR109" s="32"/>
      <c r="ERS109" s="32"/>
      <c r="ERT109" s="32"/>
      <c r="ERU109" s="32"/>
      <c r="ERV109" s="32"/>
      <c r="ERW109" s="32"/>
      <c r="ERX109" s="32"/>
      <c r="ERY109" s="32"/>
      <c r="ERZ109" s="32"/>
      <c r="ESA109" s="32"/>
      <c r="ESB109" s="32"/>
      <c r="ESC109" s="32"/>
      <c r="ESD109" s="32"/>
      <c r="ESE109" s="32"/>
      <c r="ESF109" s="32"/>
      <c r="ESG109" s="32"/>
      <c r="ESH109" s="32"/>
      <c r="ESI109" s="32"/>
      <c r="ESJ109" s="32"/>
      <c r="ESK109" s="32"/>
      <c r="ESL109" s="32"/>
      <c r="ESM109" s="32"/>
      <c r="ESN109" s="32"/>
      <c r="ESO109" s="32"/>
      <c r="ESP109" s="32"/>
      <c r="ESQ109" s="32"/>
      <c r="ESR109" s="32"/>
      <c r="ESS109" s="32"/>
      <c r="EST109" s="32"/>
      <c r="ESU109" s="32"/>
      <c r="ESV109" s="32"/>
      <c r="ESW109" s="32"/>
      <c r="ESX109" s="32"/>
      <c r="ESY109" s="32"/>
      <c r="ESZ109" s="32"/>
      <c r="ETA109" s="32"/>
      <c r="ETB109" s="32"/>
      <c r="ETC109" s="32"/>
      <c r="ETD109" s="32"/>
      <c r="ETE109" s="32"/>
      <c r="ETF109" s="32"/>
      <c r="ETG109" s="32"/>
      <c r="ETH109" s="32"/>
      <c r="ETI109" s="32"/>
      <c r="ETJ109" s="32"/>
      <c r="ETK109" s="32"/>
      <c r="ETL109" s="32"/>
      <c r="ETM109" s="32"/>
      <c r="ETN109" s="32"/>
      <c r="ETO109" s="32"/>
      <c r="ETP109" s="32"/>
      <c r="ETQ109" s="32"/>
      <c r="ETR109" s="32"/>
      <c r="ETS109" s="32"/>
      <c r="ETT109" s="32"/>
      <c r="ETU109" s="32"/>
      <c r="ETV109" s="32"/>
      <c r="ETW109" s="32"/>
      <c r="ETX109" s="32"/>
      <c r="ETY109" s="32"/>
      <c r="ETZ109" s="32"/>
      <c r="EUA109" s="32"/>
      <c r="EUB109" s="32"/>
      <c r="EUC109" s="32"/>
      <c r="EUD109" s="32"/>
      <c r="EUE109" s="32"/>
      <c r="EUF109" s="32"/>
      <c r="EUG109" s="32"/>
      <c r="EUH109" s="32"/>
      <c r="EUI109" s="32"/>
      <c r="EUJ109" s="32"/>
      <c r="EUK109" s="32"/>
      <c r="EUL109" s="32"/>
      <c r="EUM109" s="32"/>
      <c r="EUN109" s="32"/>
      <c r="EUO109" s="32"/>
      <c r="EUP109" s="32"/>
      <c r="EUQ109" s="32"/>
      <c r="EUR109" s="32"/>
      <c r="EUS109" s="32"/>
      <c r="EUT109" s="32"/>
      <c r="EUU109" s="32"/>
      <c r="EUV109" s="32"/>
      <c r="EUW109" s="32"/>
      <c r="EUX109" s="32"/>
      <c r="EUY109" s="32"/>
      <c r="EUZ109" s="32"/>
      <c r="EVA109" s="32"/>
      <c r="EVB109" s="32"/>
      <c r="EVC109" s="32"/>
      <c r="EVD109" s="32"/>
      <c r="EVE109" s="32"/>
      <c r="EVF109" s="32"/>
      <c r="EVG109" s="32"/>
      <c r="EVH109" s="32"/>
      <c r="EVI109" s="32"/>
      <c r="EVJ109" s="32"/>
      <c r="EVK109" s="32"/>
      <c r="EVL109" s="32"/>
      <c r="EVM109" s="32"/>
      <c r="EVN109" s="32"/>
      <c r="EVO109" s="32"/>
      <c r="EVP109" s="32"/>
      <c r="EVQ109" s="32"/>
      <c r="EVR109" s="32"/>
      <c r="EVS109" s="32"/>
      <c r="EVT109" s="32"/>
      <c r="EVU109" s="32"/>
      <c r="EVV109" s="32"/>
      <c r="EVW109" s="32"/>
      <c r="EVX109" s="32"/>
      <c r="EVY109" s="32"/>
      <c r="EVZ109" s="32"/>
      <c r="EWA109" s="32"/>
      <c r="EWB109" s="32"/>
      <c r="EWC109" s="32"/>
      <c r="EWD109" s="32"/>
      <c r="EWE109" s="32"/>
      <c r="EWF109" s="32"/>
      <c r="EWG109" s="32"/>
      <c r="EWH109" s="32"/>
      <c r="EWI109" s="32"/>
      <c r="EWJ109" s="32"/>
      <c r="EWK109" s="32"/>
      <c r="EWL109" s="32"/>
      <c r="EWM109" s="32"/>
      <c r="EWN109" s="32"/>
      <c r="EWO109" s="32"/>
      <c r="EWP109" s="32"/>
      <c r="EWQ109" s="32"/>
      <c r="EWR109" s="32"/>
      <c r="EWS109" s="32"/>
      <c r="EWT109" s="32"/>
      <c r="EWU109" s="32"/>
      <c r="EWV109" s="32"/>
      <c r="EWW109" s="32"/>
      <c r="EWX109" s="32"/>
      <c r="EWY109" s="32"/>
      <c r="EWZ109" s="32"/>
      <c r="EXA109" s="32"/>
      <c r="EXB109" s="32"/>
      <c r="EXC109" s="32"/>
      <c r="EXD109" s="32"/>
      <c r="EXE109" s="32"/>
      <c r="EXF109" s="32"/>
      <c r="EXG109" s="32"/>
      <c r="EXH109" s="32"/>
      <c r="EXI109" s="32"/>
      <c r="EXJ109" s="32"/>
      <c r="EXK109" s="32"/>
      <c r="EXL109" s="32"/>
      <c r="EXM109" s="32"/>
      <c r="EXN109" s="32"/>
      <c r="EXO109" s="32"/>
      <c r="EXP109" s="32"/>
      <c r="EXQ109" s="32"/>
      <c r="EXR109" s="32"/>
      <c r="EXS109" s="32"/>
      <c r="EXT109" s="32"/>
      <c r="EXU109" s="32"/>
      <c r="EXV109" s="32"/>
      <c r="EXW109" s="32"/>
      <c r="EXX109" s="32"/>
      <c r="EXY109" s="32"/>
      <c r="EXZ109" s="32"/>
      <c r="EYA109" s="32"/>
      <c r="EYB109" s="32"/>
      <c r="EYC109" s="32"/>
      <c r="EYD109" s="32"/>
      <c r="EYE109" s="32"/>
      <c r="EYF109" s="32"/>
      <c r="EYG109" s="32"/>
      <c r="EYH109" s="32"/>
      <c r="EYI109" s="32"/>
      <c r="EYJ109" s="32"/>
      <c r="EYK109" s="32"/>
      <c r="EYL109" s="32"/>
      <c r="EYM109" s="32"/>
      <c r="EYN109" s="32"/>
      <c r="EYO109" s="32"/>
      <c r="EYP109" s="32"/>
      <c r="EYQ109" s="32"/>
      <c r="EYR109" s="32"/>
      <c r="EYS109" s="32"/>
      <c r="EYT109" s="32"/>
      <c r="EYU109" s="32"/>
      <c r="EYV109" s="32"/>
      <c r="EYW109" s="32"/>
      <c r="EYX109" s="32"/>
      <c r="EYY109" s="32"/>
      <c r="EYZ109" s="32"/>
      <c r="EZA109" s="32"/>
      <c r="EZB109" s="32"/>
      <c r="EZC109" s="32"/>
      <c r="EZD109" s="32"/>
      <c r="EZE109" s="32"/>
      <c r="EZF109" s="32"/>
      <c r="EZG109" s="32"/>
      <c r="EZH109" s="32"/>
      <c r="EZI109" s="32"/>
      <c r="EZJ109" s="32"/>
      <c r="EZK109" s="32"/>
      <c r="EZL109" s="32"/>
      <c r="EZM109" s="32"/>
      <c r="EZN109" s="32"/>
      <c r="EZO109" s="32"/>
      <c r="EZP109" s="32"/>
      <c r="EZQ109" s="32"/>
      <c r="EZR109" s="32"/>
      <c r="EZS109" s="32"/>
      <c r="EZT109" s="32"/>
      <c r="EZU109" s="32"/>
      <c r="EZV109" s="32"/>
      <c r="EZW109" s="32"/>
      <c r="EZX109" s="32"/>
      <c r="EZY109" s="32"/>
      <c r="EZZ109" s="32"/>
      <c r="FAA109" s="32"/>
      <c r="FAB109" s="32"/>
      <c r="FAC109" s="32"/>
      <c r="FAD109" s="32"/>
      <c r="FAE109" s="32"/>
      <c r="FAF109" s="32"/>
      <c r="FAG109" s="32"/>
      <c r="FAH109" s="32"/>
      <c r="FAI109" s="32"/>
      <c r="FAJ109" s="32"/>
      <c r="FAK109" s="32"/>
      <c r="FAL109" s="32"/>
      <c r="FAM109" s="32"/>
      <c r="FAN109" s="32"/>
      <c r="FAO109" s="32"/>
      <c r="FAP109" s="32"/>
      <c r="FAQ109" s="32"/>
      <c r="FAR109" s="32"/>
      <c r="FAS109" s="32"/>
      <c r="FAT109" s="32"/>
      <c r="FAU109" s="32"/>
      <c r="FAV109" s="32"/>
      <c r="FAW109" s="32"/>
      <c r="FAX109" s="32"/>
      <c r="FAY109" s="32"/>
      <c r="FAZ109" s="32"/>
      <c r="FBA109" s="32"/>
      <c r="FBB109" s="32"/>
      <c r="FBC109" s="32"/>
      <c r="FBD109" s="32"/>
      <c r="FBE109" s="32"/>
      <c r="FBF109" s="32"/>
      <c r="FBG109" s="32"/>
      <c r="FBH109" s="32"/>
      <c r="FBI109" s="32"/>
      <c r="FBJ109" s="32"/>
      <c r="FBK109" s="32"/>
      <c r="FBL109" s="32"/>
      <c r="FBM109" s="32"/>
      <c r="FBN109" s="32"/>
      <c r="FBO109" s="32"/>
      <c r="FBP109" s="32"/>
      <c r="FBQ109" s="32"/>
      <c r="FBR109" s="32"/>
      <c r="FBS109" s="32"/>
      <c r="FBT109" s="32"/>
      <c r="FBU109" s="32"/>
      <c r="FBV109" s="32"/>
      <c r="FBW109" s="32"/>
      <c r="FBX109" s="32"/>
      <c r="FBY109" s="32"/>
      <c r="FBZ109" s="32"/>
      <c r="FCA109" s="32"/>
      <c r="FCB109" s="32"/>
      <c r="FCC109" s="32"/>
      <c r="FCD109" s="32"/>
      <c r="FCE109" s="32"/>
      <c r="FCF109" s="32"/>
      <c r="FCG109" s="32"/>
      <c r="FCH109" s="32"/>
      <c r="FCI109" s="32"/>
      <c r="FCJ109" s="32"/>
      <c r="FCK109" s="32"/>
      <c r="FCL109" s="32"/>
      <c r="FCM109" s="32"/>
      <c r="FCN109" s="32"/>
      <c r="FCO109" s="32"/>
      <c r="FCP109" s="32"/>
      <c r="FCQ109" s="32"/>
      <c r="FCR109" s="32"/>
      <c r="FCS109" s="32"/>
      <c r="FCT109" s="32"/>
      <c r="FCU109" s="32"/>
      <c r="FCV109" s="32"/>
      <c r="FCW109" s="32"/>
      <c r="FCX109" s="32"/>
      <c r="FCY109" s="32"/>
      <c r="FCZ109" s="32"/>
      <c r="FDA109" s="32"/>
      <c r="FDB109" s="32"/>
      <c r="FDC109" s="32"/>
      <c r="FDD109" s="32"/>
      <c r="FDE109" s="32"/>
      <c r="FDF109" s="32"/>
      <c r="FDG109" s="32"/>
      <c r="FDH109" s="32"/>
      <c r="FDI109" s="32"/>
      <c r="FDJ109" s="32"/>
      <c r="FDK109" s="32"/>
      <c r="FDL109" s="32"/>
      <c r="FDM109" s="32"/>
      <c r="FDN109" s="32"/>
      <c r="FDO109" s="32"/>
      <c r="FDP109" s="32"/>
      <c r="FDQ109" s="32"/>
      <c r="FDR109" s="32"/>
      <c r="FDS109" s="32"/>
      <c r="FDT109" s="32"/>
      <c r="FDU109" s="32"/>
      <c r="FDV109" s="32"/>
      <c r="FDW109" s="32"/>
      <c r="FDX109" s="32"/>
      <c r="FDY109" s="32"/>
      <c r="FDZ109" s="32"/>
      <c r="FEA109" s="32"/>
      <c r="FEB109" s="32"/>
      <c r="FEC109" s="32"/>
      <c r="FED109" s="32"/>
      <c r="FEE109" s="32"/>
      <c r="FEF109" s="32"/>
      <c r="FEG109" s="32"/>
      <c r="FEH109" s="32"/>
      <c r="FEI109" s="32"/>
      <c r="FEJ109" s="32"/>
      <c r="FEK109" s="32"/>
      <c r="FEL109" s="32"/>
      <c r="FEM109" s="32"/>
      <c r="FEN109" s="32"/>
      <c r="FEO109" s="32"/>
      <c r="FEP109" s="32"/>
      <c r="FEQ109" s="32"/>
      <c r="FER109" s="32"/>
      <c r="FES109" s="32"/>
      <c r="FET109" s="32"/>
      <c r="FEU109" s="32"/>
      <c r="FEV109" s="32"/>
      <c r="FEW109" s="32"/>
      <c r="FEX109" s="32"/>
      <c r="FEY109" s="32"/>
      <c r="FEZ109" s="32"/>
      <c r="FFA109" s="32"/>
      <c r="FFB109" s="32"/>
      <c r="FFC109" s="32"/>
      <c r="FFD109" s="32"/>
      <c r="FFE109" s="32"/>
      <c r="FFF109" s="32"/>
      <c r="FFG109" s="32"/>
      <c r="FFH109" s="32"/>
      <c r="FFI109" s="32"/>
      <c r="FFJ109" s="32"/>
      <c r="FFK109" s="32"/>
      <c r="FFL109" s="32"/>
      <c r="FFM109" s="32"/>
      <c r="FFN109" s="32"/>
      <c r="FFO109" s="32"/>
      <c r="FFP109" s="32"/>
      <c r="FFQ109" s="32"/>
      <c r="FFR109" s="32"/>
      <c r="FFS109" s="32"/>
      <c r="FFT109" s="32"/>
      <c r="FFU109" s="32"/>
      <c r="FFV109" s="32"/>
      <c r="FFW109" s="32"/>
      <c r="FFX109" s="32"/>
      <c r="FFY109" s="32"/>
      <c r="FFZ109" s="32"/>
      <c r="FGA109" s="32"/>
      <c r="FGB109" s="32"/>
      <c r="FGC109" s="32"/>
      <c r="FGD109" s="32"/>
      <c r="FGE109" s="32"/>
      <c r="FGF109" s="32"/>
      <c r="FGG109" s="32"/>
      <c r="FGH109" s="32"/>
      <c r="FGI109" s="32"/>
      <c r="FGJ109" s="32"/>
      <c r="FGK109" s="32"/>
      <c r="FGL109" s="32"/>
      <c r="FGM109" s="32"/>
      <c r="FGN109" s="32"/>
      <c r="FGO109" s="32"/>
      <c r="FGP109" s="32"/>
      <c r="FGQ109" s="32"/>
      <c r="FGR109" s="32"/>
      <c r="FGS109" s="32"/>
      <c r="FGT109" s="32"/>
      <c r="FGU109" s="32"/>
      <c r="FGV109" s="32"/>
      <c r="FGW109" s="32"/>
      <c r="FGX109" s="32"/>
      <c r="FGY109" s="32"/>
      <c r="FGZ109" s="32"/>
      <c r="FHA109" s="32"/>
      <c r="FHB109" s="32"/>
      <c r="FHC109" s="32"/>
      <c r="FHD109" s="32"/>
      <c r="FHE109" s="32"/>
      <c r="FHF109" s="32"/>
      <c r="FHG109" s="32"/>
      <c r="FHH109" s="32"/>
      <c r="FHI109" s="32"/>
      <c r="FHJ109" s="32"/>
      <c r="FHK109" s="32"/>
      <c r="FHL109" s="32"/>
      <c r="FHM109" s="32"/>
      <c r="FHN109" s="32"/>
      <c r="FHO109" s="32"/>
      <c r="FHP109" s="32"/>
      <c r="FHQ109" s="32"/>
      <c r="FHR109" s="32"/>
      <c r="FHS109" s="32"/>
      <c r="FHT109" s="32"/>
      <c r="FHU109" s="32"/>
      <c r="FHV109" s="32"/>
      <c r="FHW109" s="32"/>
      <c r="FHX109" s="32"/>
      <c r="FHY109" s="32"/>
      <c r="FHZ109" s="32"/>
      <c r="FIA109" s="32"/>
      <c r="FIB109" s="32"/>
      <c r="FIC109" s="32"/>
      <c r="FID109" s="32"/>
      <c r="FIE109" s="32"/>
      <c r="FIF109" s="32"/>
      <c r="FIG109" s="32"/>
      <c r="FIH109" s="32"/>
      <c r="FII109" s="32"/>
      <c r="FIJ109" s="32"/>
      <c r="FIK109" s="32"/>
      <c r="FIL109" s="32"/>
      <c r="FIM109" s="32"/>
      <c r="FIN109" s="32"/>
      <c r="FIO109" s="32"/>
      <c r="FIP109" s="32"/>
      <c r="FIQ109" s="32"/>
      <c r="FIR109" s="32"/>
      <c r="FIS109" s="32"/>
      <c r="FIT109" s="32"/>
      <c r="FIU109" s="32"/>
      <c r="FIV109" s="32"/>
      <c r="FIW109" s="32"/>
      <c r="FIX109" s="32"/>
      <c r="FIY109" s="32"/>
      <c r="FIZ109" s="32"/>
      <c r="FJA109" s="32"/>
      <c r="FJB109" s="32"/>
      <c r="FJC109" s="32"/>
      <c r="FJD109" s="32"/>
      <c r="FJE109" s="32"/>
      <c r="FJF109" s="32"/>
      <c r="FJG109" s="32"/>
      <c r="FJH109" s="32"/>
      <c r="FJI109" s="32"/>
      <c r="FJJ109" s="32"/>
      <c r="FJK109" s="32"/>
      <c r="FJL109" s="32"/>
      <c r="FJM109" s="32"/>
      <c r="FJN109" s="32"/>
      <c r="FJO109" s="32"/>
      <c r="FJP109" s="32"/>
      <c r="FJQ109" s="32"/>
      <c r="FJR109" s="32"/>
      <c r="FJS109" s="32"/>
      <c r="FJT109" s="32"/>
      <c r="FJU109" s="32"/>
      <c r="FJV109" s="32"/>
      <c r="FJW109" s="32"/>
      <c r="FJX109" s="32"/>
      <c r="FJY109" s="32"/>
      <c r="FJZ109" s="32"/>
      <c r="FKA109" s="32"/>
      <c r="FKB109" s="32"/>
      <c r="FKC109" s="32"/>
      <c r="FKD109" s="32"/>
      <c r="FKE109" s="32"/>
      <c r="FKF109" s="32"/>
      <c r="FKG109" s="32"/>
      <c r="FKH109" s="32"/>
      <c r="FKI109" s="32"/>
      <c r="FKJ109" s="32"/>
      <c r="FKK109" s="32"/>
      <c r="FKL109" s="32"/>
      <c r="FKM109" s="32"/>
      <c r="FKN109" s="32"/>
      <c r="FKO109" s="32"/>
      <c r="FKP109" s="32"/>
      <c r="FKQ109" s="32"/>
      <c r="FKR109" s="32"/>
      <c r="FKS109" s="32"/>
      <c r="FKT109" s="32"/>
      <c r="FKU109" s="32"/>
      <c r="FKV109" s="32"/>
      <c r="FKW109" s="32"/>
      <c r="FKX109" s="32"/>
      <c r="FKY109" s="32"/>
      <c r="FKZ109" s="32"/>
      <c r="FLA109" s="32"/>
      <c r="FLB109" s="32"/>
      <c r="FLC109" s="32"/>
      <c r="FLD109" s="32"/>
      <c r="FLE109" s="32"/>
      <c r="FLF109" s="32"/>
      <c r="FLG109" s="32"/>
      <c r="FLH109" s="32"/>
      <c r="FLI109" s="32"/>
      <c r="FLJ109" s="32"/>
      <c r="FLK109" s="32"/>
      <c r="FLL109" s="32"/>
      <c r="FLM109" s="32"/>
      <c r="FLN109" s="32"/>
      <c r="FLO109" s="32"/>
      <c r="FLP109" s="32"/>
      <c r="FLQ109" s="32"/>
      <c r="FLR109" s="32"/>
      <c r="FLS109" s="32"/>
      <c r="FLT109" s="32"/>
      <c r="FLU109" s="32"/>
      <c r="FLV109" s="32"/>
      <c r="FLW109" s="32"/>
      <c r="FLX109" s="32"/>
      <c r="FLY109" s="32"/>
      <c r="FLZ109" s="32"/>
      <c r="FMA109" s="32"/>
      <c r="FMB109" s="32"/>
      <c r="FMC109" s="32"/>
      <c r="FMD109" s="32"/>
      <c r="FME109" s="32"/>
      <c r="FMF109" s="32"/>
      <c r="FMG109" s="32"/>
      <c r="FMH109" s="32"/>
      <c r="FMI109" s="32"/>
      <c r="FMJ109" s="32"/>
      <c r="FMK109" s="32"/>
      <c r="FML109" s="32"/>
      <c r="FMM109" s="32"/>
      <c r="FMN109" s="32"/>
      <c r="FMO109" s="32"/>
      <c r="FMP109" s="32"/>
      <c r="FMQ109" s="32"/>
      <c r="FMR109" s="32"/>
      <c r="FMS109" s="32"/>
      <c r="FMT109" s="32"/>
      <c r="FMU109" s="32"/>
      <c r="FMV109" s="32"/>
      <c r="FMW109" s="32"/>
      <c r="FMX109" s="32"/>
      <c r="FMY109" s="32"/>
      <c r="FMZ109" s="32"/>
      <c r="FNA109" s="32"/>
      <c r="FNB109" s="32"/>
      <c r="FNC109" s="32"/>
      <c r="FND109" s="32"/>
      <c r="FNE109" s="32"/>
      <c r="FNF109" s="32"/>
      <c r="FNG109" s="32"/>
      <c r="FNH109" s="32"/>
      <c r="FNI109" s="32"/>
      <c r="FNJ109" s="32"/>
      <c r="FNK109" s="32"/>
      <c r="FNL109" s="32"/>
      <c r="FNM109" s="32"/>
      <c r="FNN109" s="32"/>
      <c r="FNO109" s="32"/>
      <c r="FNP109" s="32"/>
      <c r="FNQ109" s="32"/>
      <c r="FNR109" s="32"/>
      <c r="FNS109" s="32"/>
      <c r="FNT109" s="32"/>
      <c r="FNU109" s="32"/>
      <c r="FNV109" s="32"/>
      <c r="FNW109" s="32"/>
      <c r="FNX109" s="32"/>
      <c r="FNY109" s="32"/>
      <c r="FNZ109" s="32"/>
      <c r="FOA109" s="32"/>
      <c r="FOB109" s="32"/>
      <c r="FOC109" s="32"/>
      <c r="FOD109" s="32"/>
      <c r="FOE109" s="32"/>
      <c r="FOF109" s="32"/>
      <c r="FOG109" s="32"/>
      <c r="FOH109" s="32"/>
      <c r="FOI109" s="32"/>
      <c r="FOJ109" s="32"/>
      <c r="FOK109" s="32"/>
      <c r="FOL109" s="32"/>
      <c r="FOM109" s="32"/>
      <c r="FON109" s="32"/>
      <c r="FOO109" s="32"/>
      <c r="FOP109" s="32"/>
      <c r="FOQ109" s="32"/>
      <c r="FOR109" s="32"/>
      <c r="FOS109" s="32"/>
      <c r="FOT109" s="32"/>
      <c r="FOU109" s="32"/>
      <c r="FOV109" s="32"/>
      <c r="FOW109" s="32"/>
      <c r="FOX109" s="32"/>
      <c r="FOY109" s="32"/>
      <c r="FOZ109" s="32"/>
      <c r="FPA109" s="32"/>
      <c r="FPB109" s="32"/>
      <c r="FPC109" s="32"/>
      <c r="FPD109" s="32"/>
      <c r="FPE109" s="32"/>
      <c r="FPF109" s="32"/>
      <c r="FPG109" s="32"/>
      <c r="FPH109" s="32"/>
      <c r="FPI109" s="32"/>
      <c r="FPJ109" s="32"/>
      <c r="FPK109" s="32"/>
      <c r="FPL109" s="32"/>
      <c r="FPM109" s="32"/>
      <c r="FPN109" s="32"/>
      <c r="FPO109" s="32"/>
      <c r="FPP109" s="32"/>
      <c r="FPQ109" s="32"/>
      <c r="FPR109" s="32"/>
      <c r="FPS109" s="32"/>
      <c r="FPT109" s="32"/>
      <c r="FPU109" s="32"/>
      <c r="FPV109" s="32"/>
      <c r="FPW109" s="32"/>
      <c r="FPX109" s="32"/>
      <c r="FPY109" s="32"/>
      <c r="FPZ109" s="32"/>
      <c r="FQA109" s="32"/>
      <c r="FQB109" s="32"/>
      <c r="FQC109" s="32"/>
      <c r="FQD109" s="32"/>
      <c r="FQE109" s="32"/>
      <c r="FQF109" s="32"/>
      <c r="FQG109" s="32"/>
      <c r="FQH109" s="32"/>
      <c r="FQI109" s="32"/>
      <c r="FQJ109" s="32"/>
      <c r="FQK109" s="32"/>
      <c r="FQL109" s="32"/>
      <c r="FQM109" s="32"/>
      <c r="FQN109" s="32"/>
      <c r="FQO109" s="32"/>
      <c r="FQP109" s="32"/>
      <c r="FQQ109" s="32"/>
      <c r="FQR109" s="32"/>
      <c r="FQS109" s="32"/>
      <c r="FQT109" s="32"/>
      <c r="FQU109" s="32"/>
      <c r="FQV109" s="32"/>
      <c r="FQW109" s="32"/>
      <c r="FQX109" s="32"/>
      <c r="FQY109" s="32"/>
      <c r="FQZ109" s="32"/>
      <c r="FRA109" s="32"/>
      <c r="FRB109" s="32"/>
      <c r="FRC109" s="32"/>
      <c r="FRD109" s="32"/>
      <c r="FRE109" s="32"/>
      <c r="FRF109" s="32"/>
      <c r="FRG109" s="32"/>
      <c r="FRH109" s="32"/>
      <c r="FRI109" s="32"/>
      <c r="FRJ109" s="32"/>
      <c r="FRK109" s="32"/>
      <c r="FRL109" s="32"/>
      <c r="FRM109" s="32"/>
      <c r="FRN109" s="32"/>
      <c r="FRO109" s="32"/>
      <c r="FRP109" s="32"/>
      <c r="FRQ109" s="32"/>
      <c r="FRR109" s="32"/>
      <c r="FRS109" s="32"/>
      <c r="FRT109" s="32"/>
      <c r="FRU109" s="32"/>
      <c r="FRV109" s="32"/>
      <c r="FRW109" s="32"/>
      <c r="FRX109" s="32"/>
      <c r="FRY109" s="32"/>
      <c r="FRZ109" s="32"/>
      <c r="FSA109" s="32"/>
      <c r="FSB109" s="32"/>
      <c r="FSC109" s="32"/>
      <c r="FSD109" s="32"/>
      <c r="FSE109" s="32"/>
      <c r="FSF109" s="32"/>
      <c r="FSG109" s="32"/>
      <c r="FSH109" s="32"/>
      <c r="FSI109" s="32"/>
      <c r="FSJ109" s="32"/>
      <c r="FSK109" s="32"/>
      <c r="FSL109" s="32"/>
      <c r="FSM109" s="32"/>
      <c r="FSN109" s="32"/>
      <c r="FSO109" s="32"/>
      <c r="FSP109" s="32"/>
      <c r="FSQ109" s="32"/>
      <c r="FSR109" s="32"/>
      <c r="FSS109" s="32"/>
      <c r="FST109" s="32"/>
      <c r="FSU109" s="32"/>
      <c r="FSV109" s="32"/>
      <c r="FSW109" s="32"/>
      <c r="FSX109" s="32"/>
      <c r="FSY109" s="32"/>
      <c r="FSZ109" s="32"/>
      <c r="FTA109" s="32"/>
      <c r="FTB109" s="32"/>
      <c r="FTC109" s="32"/>
      <c r="FTD109" s="32"/>
      <c r="FTE109" s="32"/>
      <c r="FTF109" s="32"/>
      <c r="FTG109" s="32"/>
      <c r="FTH109" s="32"/>
      <c r="FTI109" s="32"/>
      <c r="FTJ109" s="32"/>
      <c r="FTK109" s="32"/>
      <c r="FTL109" s="32"/>
      <c r="FTM109" s="32"/>
      <c r="FTN109" s="32"/>
      <c r="FTO109" s="32"/>
      <c r="FTP109" s="32"/>
      <c r="FTQ109" s="32"/>
      <c r="FTR109" s="32"/>
      <c r="FTS109" s="32"/>
      <c r="FTT109" s="32"/>
      <c r="FTU109" s="32"/>
      <c r="FTV109" s="32"/>
      <c r="FTW109" s="32"/>
      <c r="FTX109" s="32"/>
      <c r="FTY109" s="32"/>
      <c r="FTZ109" s="32"/>
      <c r="FUA109" s="32"/>
      <c r="FUB109" s="32"/>
      <c r="FUC109" s="32"/>
      <c r="FUD109" s="32"/>
      <c r="FUE109" s="32"/>
      <c r="FUF109" s="32"/>
      <c r="FUG109" s="32"/>
      <c r="FUH109" s="32"/>
      <c r="FUI109" s="32"/>
      <c r="FUJ109" s="32"/>
      <c r="FUK109" s="32"/>
      <c r="FUL109" s="32"/>
      <c r="FUM109" s="32"/>
      <c r="FUN109" s="32"/>
      <c r="FUO109" s="32"/>
      <c r="FUP109" s="32"/>
      <c r="FUQ109" s="32"/>
      <c r="FUR109" s="32"/>
      <c r="FUS109" s="32"/>
      <c r="FUT109" s="32"/>
      <c r="FUU109" s="32"/>
      <c r="FUV109" s="32"/>
      <c r="FUW109" s="32"/>
      <c r="FUX109" s="32"/>
      <c r="FUY109" s="32"/>
      <c r="FUZ109" s="32"/>
      <c r="FVA109" s="32"/>
      <c r="FVB109" s="32"/>
      <c r="FVC109" s="32"/>
      <c r="FVD109" s="32"/>
      <c r="FVE109" s="32"/>
      <c r="FVF109" s="32"/>
      <c r="FVG109" s="32"/>
      <c r="FVH109" s="32"/>
      <c r="FVI109" s="32"/>
      <c r="FVJ109" s="32"/>
      <c r="FVK109" s="32"/>
      <c r="FVL109" s="32"/>
      <c r="FVM109" s="32"/>
      <c r="FVN109" s="32"/>
      <c r="FVO109" s="32"/>
      <c r="FVP109" s="32"/>
      <c r="FVQ109" s="32"/>
      <c r="FVR109" s="32"/>
      <c r="FVS109" s="32"/>
      <c r="FVT109" s="32"/>
      <c r="FVU109" s="32"/>
      <c r="FVV109" s="32"/>
      <c r="FVW109" s="32"/>
      <c r="FVX109" s="32"/>
      <c r="FVY109" s="32"/>
      <c r="FVZ109" s="32"/>
      <c r="FWA109" s="32"/>
      <c r="FWB109" s="32"/>
      <c r="FWC109" s="32"/>
      <c r="FWD109" s="32"/>
      <c r="FWE109" s="32"/>
      <c r="FWF109" s="32"/>
      <c r="FWG109" s="32"/>
      <c r="FWH109" s="32"/>
      <c r="FWI109" s="32"/>
      <c r="FWJ109" s="32"/>
      <c r="FWK109" s="32"/>
      <c r="FWL109" s="32"/>
      <c r="FWM109" s="32"/>
      <c r="FWN109" s="32"/>
      <c r="FWO109" s="32"/>
      <c r="FWP109" s="32"/>
      <c r="FWQ109" s="32"/>
      <c r="FWR109" s="32"/>
      <c r="FWS109" s="32"/>
      <c r="FWT109" s="32"/>
      <c r="FWU109" s="32"/>
      <c r="FWV109" s="32"/>
      <c r="FWW109" s="32"/>
      <c r="FWX109" s="32"/>
      <c r="FWY109" s="32"/>
      <c r="FWZ109" s="32"/>
      <c r="FXA109" s="32"/>
      <c r="FXB109" s="32"/>
      <c r="FXC109" s="32"/>
      <c r="FXD109" s="32"/>
      <c r="FXE109" s="32"/>
      <c r="FXF109" s="32"/>
      <c r="FXG109" s="32"/>
      <c r="FXH109" s="32"/>
      <c r="FXI109" s="32"/>
      <c r="FXJ109" s="32"/>
      <c r="FXK109" s="32"/>
      <c r="FXL109" s="32"/>
      <c r="FXM109" s="32"/>
      <c r="FXN109" s="32"/>
      <c r="FXO109" s="32"/>
      <c r="FXP109" s="32"/>
      <c r="FXQ109" s="32"/>
      <c r="FXR109" s="32"/>
      <c r="FXS109" s="32"/>
      <c r="FXT109" s="32"/>
      <c r="FXU109" s="32"/>
      <c r="FXV109" s="32"/>
      <c r="FXW109" s="32"/>
      <c r="FXX109" s="32"/>
      <c r="FXY109" s="32"/>
      <c r="FXZ109" s="32"/>
      <c r="FYA109" s="32"/>
      <c r="FYB109" s="32"/>
      <c r="FYC109" s="32"/>
      <c r="FYD109" s="32"/>
      <c r="FYE109" s="32"/>
      <c r="FYF109" s="32"/>
      <c r="FYG109" s="32"/>
      <c r="FYH109" s="32"/>
      <c r="FYI109" s="32"/>
      <c r="FYJ109" s="32"/>
      <c r="FYK109" s="32"/>
      <c r="FYL109" s="32"/>
      <c r="FYM109" s="32"/>
      <c r="FYN109" s="32"/>
      <c r="FYO109" s="32"/>
      <c r="FYP109" s="32"/>
      <c r="FYQ109" s="32"/>
      <c r="FYR109" s="32"/>
      <c r="FYS109" s="32"/>
      <c r="FYT109" s="32"/>
      <c r="FYU109" s="32"/>
      <c r="FYV109" s="32"/>
      <c r="FYW109" s="32"/>
      <c r="FYX109" s="32"/>
      <c r="FYY109" s="32"/>
      <c r="FYZ109" s="32"/>
      <c r="FZA109" s="32"/>
      <c r="FZB109" s="32"/>
      <c r="FZC109" s="32"/>
      <c r="FZD109" s="32"/>
      <c r="FZE109" s="32"/>
      <c r="FZF109" s="32"/>
      <c r="FZG109" s="32"/>
      <c r="FZH109" s="32"/>
      <c r="FZI109" s="32"/>
      <c r="FZJ109" s="32"/>
      <c r="FZK109" s="32"/>
      <c r="FZL109" s="32"/>
      <c r="FZM109" s="32"/>
      <c r="FZN109" s="32"/>
      <c r="FZO109" s="32"/>
      <c r="FZP109" s="32"/>
      <c r="FZQ109" s="32"/>
      <c r="FZR109" s="32"/>
      <c r="FZS109" s="32"/>
      <c r="FZT109" s="32"/>
      <c r="FZU109" s="32"/>
      <c r="FZV109" s="32"/>
      <c r="FZW109" s="32"/>
      <c r="FZX109" s="32"/>
      <c r="FZY109" s="32"/>
      <c r="FZZ109" s="32"/>
      <c r="GAA109" s="32"/>
      <c r="GAB109" s="32"/>
      <c r="GAC109" s="32"/>
      <c r="GAD109" s="32"/>
      <c r="GAE109" s="32"/>
      <c r="GAF109" s="32"/>
      <c r="GAG109" s="32"/>
      <c r="GAH109" s="32"/>
      <c r="GAI109" s="32"/>
      <c r="GAJ109" s="32"/>
      <c r="GAK109" s="32"/>
      <c r="GAL109" s="32"/>
      <c r="GAM109" s="32"/>
      <c r="GAN109" s="32"/>
      <c r="GAO109" s="32"/>
      <c r="GAP109" s="32"/>
      <c r="GAQ109" s="32"/>
      <c r="GAR109" s="32"/>
      <c r="GAS109" s="32"/>
      <c r="GAT109" s="32"/>
      <c r="GAU109" s="32"/>
      <c r="GAV109" s="32"/>
      <c r="GAW109" s="32"/>
      <c r="GAX109" s="32"/>
      <c r="GAY109" s="32"/>
      <c r="GAZ109" s="32"/>
      <c r="GBA109" s="32"/>
      <c r="GBB109" s="32"/>
      <c r="GBC109" s="32"/>
      <c r="GBD109" s="32"/>
      <c r="GBE109" s="32"/>
      <c r="GBF109" s="32"/>
      <c r="GBG109" s="32"/>
      <c r="GBH109" s="32"/>
      <c r="GBI109" s="32"/>
      <c r="GBJ109" s="32"/>
      <c r="GBK109" s="32"/>
      <c r="GBL109" s="32"/>
      <c r="GBM109" s="32"/>
      <c r="GBN109" s="32"/>
      <c r="GBO109" s="32"/>
      <c r="GBP109" s="32"/>
      <c r="GBQ109" s="32"/>
      <c r="GBR109" s="32"/>
      <c r="GBS109" s="32"/>
      <c r="GBT109" s="32"/>
      <c r="GBU109" s="32"/>
      <c r="GBV109" s="32"/>
      <c r="GBW109" s="32"/>
      <c r="GBX109" s="32"/>
      <c r="GBY109" s="32"/>
      <c r="GBZ109" s="32"/>
      <c r="GCA109" s="32"/>
      <c r="GCB109" s="32"/>
      <c r="GCC109" s="32"/>
      <c r="GCD109" s="32"/>
      <c r="GCE109" s="32"/>
      <c r="GCF109" s="32"/>
      <c r="GCG109" s="32"/>
      <c r="GCH109" s="32"/>
      <c r="GCI109" s="32"/>
      <c r="GCJ109" s="32"/>
      <c r="GCK109" s="32"/>
      <c r="GCL109" s="32"/>
      <c r="GCM109" s="32"/>
      <c r="GCN109" s="32"/>
      <c r="GCO109" s="32"/>
      <c r="GCP109" s="32"/>
      <c r="GCQ109" s="32"/>
      <c r="GCR109" s="32"/>
      <c r="GCS109" s="32"/>
      <c r="GCT109" s="32"/>
      <c r="GCU109" s="32"/>
      <c r="GCV109" s="32"/>
      <c r="GCW109" s="32"/>
      <c r="GCX109" s="32"/>
      <c r="GCY109" s="32"/>
      <c r="GCZ109" s="32"/>
      <c r="GDA109" s="32"/>
      <c r="GDB109" s="32"/>
      <c r="GDC109" s="32"/>
      <c r="GDD109" s="32"/>
      <c r="GDE109" s="32"/>
      <c r="GDF109" s="32"/>
      <c r="GDG109" s="32"/>
      <c r="GDH109" s="32"/>
      <c r="GDI109" s="32"/>
      <c r="GDJ109" s="32"/>
      <c r="GDK109" s="32"/>
      <c r="GDL109" s="32"/>
      <c r="GDM109" s="32"/>
      <c r="GDN109" s="32"/>
      <c r="GDO109" s="32"/>
      <c r="GDP109" s="32"/>
      <c r="GDQ109" s="32"/>
      <c r="GDR109" s="32"/>
      <c r="GDS109" s="32"/>
      <c r="GDT109" s="32"/>
      <c r="GDU109" s="32"/>
      <c r="GDV109" s="32"/>
      <c r="GDW109" s="32"/>
      <c r="GDX109" s="32"/>
      <c r="GDY109" s="32"/>
      <c r="GDZ109" s="32"/>
      <c r="GEA109" s="32"/>
      <c r="GEB109" s="32"/>
      <c r="GEC109" s="32"/>
      <c r="GED109" s="32"/>
      <c r="GEE109" s="32"/>
      <c r="GEF109" s="32"/>
      <c r="GEG109" s="32"/>
      <c r="GEH109" s="32"/>
      <c r="GEI109" s="32"/>
      <c r="GEJ109" s="32"/>
      <c r="GEK109" s="32"/>
      <c r="GEL109" s="32"/>
      <c r="GEM109" s="32"/>
      <c r="GEN109" s="32"/>
      <c r="GEO109" s="32"/>
      <c r="GEP109" s="32"/>
      <c r="GEQ109" s="32"/>
      <c r="GER109" s="32"/>
      <c r="GES109" s="32"/>
      <c r="GET109" s="32"/>
      <c r="GEU109" s="32"/>
      <c r="GEV109" s="32"/>
      <c r="GEW109" s="32"/>
      <c r="GEX109" s="32"/>
      <c r="GEY109" s="32"/>
      <c r="GEZ109" s="32"/>
      <c r="GFA109" s="32"/>
      <c r="GFB109" s="32"/>
      <c r="GFC109" s="32"/>
      <c r="GFD109" s="32"/>
      <c r="GFE109" s="32"/>
      <c r="GFF109" s="32"/>
      <c r="GFG109" s="32"/>
      <c r="GFH109" s="32"/>
      <c r="GFI109" s="32"/>
      <c r="GFJ109" s="32"/>
      <c r="GFK109" s="32"/>
      <c r="GFL109" s="32"/>
      <c r="GFM109" s="32"/>
      <c r="GFN109" s="32"/>
      <c r="GFO109" s="32"/>
      <c r="GFP109" s="32"/>
      <c r="GFQ109" s="32"/>
      <c r="GFR109" s="32"/>
      <c r="GFS109" s="32"/>
      <c r="GFT109" s="32"/>
      <c r="GFU109" s="32"/>
      <c r="GFV109" s="32"/>
      <c r="GFW109" s="32"/>
      <c r="GFX109" s="32"/>
      <c r="GFY109" s="32"/>
      <c r="GFZ109" s="32"/>
      <c r="GGA109" s="32"/>
      <c r="GGB109" s="32"/>
      <c r="GGC109" s="32"/>
      <c r="GGD109" s="32"/>
      <c r="GGE109" s="32"/>
      <c r="GGF109" s="32"/>
      <c r="GGG109" s="32"/>
      <c r="GGH109" s="32"/>
      <c r="GGI109" s="32"/>
      <c r="GGJ109" s="32"/>
      <c r="GGK109" s="32"/>
      <c r="GGL109" s="32"/>
      <c r="GGM109" s="32"/>
      <c r="GGN109" s="32"/>
      <c r="GGO109" s="32"/>
      <c r="GGP109" s="32"/>
      <c r="GGQ109" s="32"/>
      <c r="GGR109" s="32"/>
      <c r="GGS109" s="32"/>
      <c r="GGT109" s="32"/>
      <c r="GGU109" s="32"/>
      <c r="GGV109" s="32"/>
      <c r="GGW109" s="32"/>
      <c r="GGX109" s="32"/>
      <c r="GGY109" s="32"/>
      <c r="GGZ109" s="32"/>
      <c r="GHA109" s="32"/>
      <c r="GHB109" s="32"/>
      <c r="GHC109" s="32"/>
      <c r="GHD109" s="32"/>
      <c r="GHE109" s="32"/>
      <c r="GHF109" s="32"/>
      <c r="GHG109" s="32"/>
      <c r="GHH109" s="32"/>
      <c r="GHI109" s="32"/>
      <c r="GHJ109" s="32"/>
      <c r="GHK109" s="32"/>
      <c r="GHL109" s="32"/>
      <c r="GHM109" s="32"/>
      <c r="GHN109" s="32"/>
      <c r="GHO109" s="32"/>
      <c r="GHP109" s="32"/>
      <c r="GHQ109" s="32"/>
      <c r="GHR109" s="32"/>
      <c r="GHS109" s="32"/>
      <c r="GHT109" s="32"/>
      <c r="GHU109" s="32"/>
      <c r="GHV109" s="32"/>
      <c r="GHW109" s="32"/>
      <c r="GHX109" s="32"/>
      <c r="GHY109" s="32"/>
      <c r="GHZ109" s="32"/>
      <c r="GIA109" s="32"/>
      <c r="GIB109" s="32"/>
      <c r="GIC109" s="32"/>
      <c r="GID109" s="32"/>
      <c r="GIE109" s="32"/>
      <c r="GIF109" s="32"/>
      <c r="GIG109" s="32"/>
      <c r="GIH109" s="32"/>
      <c r="GII109" s="32"/>
      <c r="GIJ109" s="32"/>
      <c r="GIK109" s="32"/>
      <c r="GIL109" s="32"/>
      <c r="GIM109" s="32"/>
      <c r="GIN109" s="32"/>
      <c r="GIO109" s="32"/>
      <c r="GIP109" s="32"/>
      <c r="GIQ109" s="32"/>
      <c r="GIR109" s="32"/>
      <c r="GIS109" s="32"/>
      <c r="GIT109" s="32"/>
      <c r="GIU109" s="32"/>
      <c r="GIV109" s="32"/>
      <c r="GIW109" s="32"/>
      <c r="GIX109" s="32"/>
      <c r="GIY109" s="32"/>
      <c r="GIZ109" s="32"/>
      <c r="GJA109" s="32"/>
      <c r="GJB109" s="32"/>
      <c r="GJC109" s="32"/>
      <c r="GJD109" s="32"/>
      <c r="GJE109" s="32"/>
      <c r="GJF109" s="32"/>
      <c r="GJG109" s="32"/>
      <c r="GJH109" s="32"/>
      <c r="GJI109" s="32"/>
      <c r="GJJ109" s="32"/>
      <c r="GJK109" s="32"/>
      <c r="GJL109" s="32"/>
      <c r="GJM109" s="32"/>
      <c r="GJN109" s="32"/>
      <c r="GJO109" s="32"/>
      <c r="GJP109" s="32"/>
      <c r="GJQ109" s="32"/>
      <c r="GJR109" s="32"/>
      <c r="GJS109" s="32"/>
      <c r="GJT109" s="32"/>
      <c r="GJU109" s="32"/>
      <c r="GJV109" s="32"/>
      <c r="GJW109" s="32"/>
      <c r="GJX109" s="32"/>
      <c r="GJY109" s="32"/>
      <c r="GJZ109" s="32"/>
      <c r="GKA109" s="32"/>
      <c r="GKB109" s="32"/>
      <c r="GKC109" s="32"/>
      <c r="GKD109" s="32"/>
      <c r="GKE109" s="32"/>
      <c r="GKF109" s="32"/>
      <c r="GKG109" s="32"/>
      <c r="GKH109" s="32"/>
      <c r="GKI109" s="32"/>
      <c r="GKJ109" s="32"/>
      <c r="GKK109" s="32"/>
      <c r="GKL109" s="32"/>
      <c r="GKM109" s="32"/>
      <c r="GKN109" s="32"/>
      <c r="GKO109" s="32"/>
      <c r="GKP109" s="32"/>
      <c r="GKQ109" s="32"/>
      <c r="GKR109" s="32"/>
      <c r="GKS109" s="32"/>
      <c r="GKT109" s="32"/>
      <c r="GKU109" s="32"/>
      <c r="GKV109" s="32"/>
      <c r="GKW109" s="32"/>
      <c r="GKX109" s="32"/>
      <c r="GKY109" s="32"/>
      <c r="GKZ109" s="32"/>
      <c r="GLA109" s="32"/>
      <c r="GLB109" s="32"/>
      <c r="GLC109" s="32"/>
      <c r="GLD109" s="32"/>
      <c r="GLE109" s="32"/>
      <c r="GLF109" s="32"/>
      <c r="GLG109" s="32"/>
      <c r="GLH109" s="32"/>
      <c r="GLI109" s="32"/>
      <c r="GLJ109" s="32"/>
      <c r="GLK109" s="32"/>
      <c r="GLL109" s="32"/>
      <c r="GLM109" s="32"/>
      <c r="GLN109" s="32"/>
      <c r="GLO109" s="32"/>
      <c r="GLP109" s="32"/>
      <c r="GLQ109" s="32"/>
      <c r="GLR109" s="32"/>
      <c r="GLS109" s="32"/>
      <c r="GLT109" s="32"/>
      <c r="GLU109" s="32"/>
      <c r="GLV109" s="32"/>
      <c r="GLW109" s="32"/>
      <c r="GLX109" s="32"/>
      <c r="GLY109" s="32"/>
      <c r="GLZ109" s="32"/>
      <c r="GMA109" s="32"/>
      <c r="GMB109" s="32"/>
      <c r="GMC109" s="32"/>
      <c r="GMD109" s="32"/>
      <c r="GME109" s="32"/>
      <c r="GMF109" s="32"/>
      <c r="GMG109" s="32"/>
      <c r="GMH109" s="32"/>
      <c r="GMI109" s="32"/>
      <c r="GMJ109" s="32"/>
      <c r="GMK109" s="32"/>
      <c r="GML109" s="32"/>
      <c r="GMM109" s="32"/>
      <c r="GMN109" s="32"/>
      <c r="GMO109" s="32"/>
      <c r="GMP109" s="32"/>
      <c r="GMQ109" s="32"/>
      <c r="GMR109" s="32"/>
      <c r="GMS109" s="32"/>
      <c r="GMT109" s="32"/>
      <c r="GMU109" s="32"/>
      <c r="GMV109" s="32"/>
      <c r="GMW109" s="32"/>
      <c r="GMX109" s="32"/>
      <c r="GMY109" s="32"/>
      <c r="GMZ109" s="32"/>
      <c r="GNA109" s="32"/>
      <c r="GNB109" s="32"/>
      <c r="GNC109" s="32"/>
      <c r="GND109" s="32"/>
      <c r="GNE109" s="32"/>
      <c r="GNF109" s="32"/>
      <c r="GNG109" s="32"/>
      <c r="GNH109" s="32"/>
      <c r="GNI109" s="32"/>
      <c r="GNJ109" s="32"/>
      <c r="GNK109" s="32"/>
      <c r="GNL109" s="32"/>
      <c r="GNM109" s="32"/>
      <c r="GNN109" s="32"/>
      <c r="GNO109" s="32"/>
      <c r="GNP109" s="32"/>
      <c r="GNQ109" s="32"/>
      <c r="GNR109" s="32"/>
      <c r="GNS109" s="32"/>
      <c r="GNT109" s="32"/>
      <c r="GNU109" s="32"/>
      <c r="GNV109" s="32"/>
      <c r="GNW109" s="32"/>
      <c r="GNX109" s="32"/>
      <c r="GNY109" s="32"/>
      <c r="GNZ109" s="32"/>
      <c r="GOA109" s="32"/>
      <c r="GOB109" s="32"/>
      <c r="GOC109" s="32"/>
      <c r="GOD109" s="32"/>
      <c r="GOE109" s="32"/>
      <c r="GOF109" s="32"/>
      <c r="GOG109" s="32"/>
      <c r="GOH109" s="32"/>
      <c r="GOI109" s="32"/>
      <c r="GOJ109" s="32"/>
      <c r="GOK109" s="32"/>
      <c r="GOL109" s="32"/>
      <c r="GOM109" s="32"/>
      <c r="GON109" s="32"/>
      <c r="GOO109" s="32"/>
      <c r="GOP109" s="32"/>
      <c r="GOQ109" s="32"/>
      <c r="GOR109" s="32"/>
      <c r="GOS109" s="32"/>
      <c r="GOT109" s="32"/>
      <c r="GOU109" s="32"/>
      <c r="GOV109" s="32"/>
      <c r="GOW109" s="32"/>
      <c r="GOX109" s="32"/>
      <c r="GOY109" s="32"/>
      <c r="GOZ109" s="32"/>
      <c r="GPA109" s="32"/>
      <c r="GPB109" s="32"/>
      <c r="GPC109" s="32"/>
      <c r="GPD109" s="32"/>
      <c r="GPE109" s="32"/>
      <c r="GPF109" s="32"/>
      <c r="GPG109" s="32"/>
      <c r="GPH109" s="32"/>
      <c r="GPI109" s="32"/>
      <c r="GPJ109" s="32"/>
      <c r="GPK109" s="32"/>
      <c r="GPL109" s="32"/>
      <c r="GPM109" s="32"/>
      <c r="GPN109" s="32"/>
      <c r="GPO109" s="32"/>
      <c r="GPP109" s="32"/>
      <c r="GPQ109" s="32"/>
      <c r="GPR109" s="32"/>
      <c r="GPS109" s="32"/>
      <c r="GPT109" s="32"/>
      <c r="GPU109" s="32"/>
      <c r="GPV109" s="32"/>
      <c r="GPW109" s="32"/>
      <c r="GPX109" s="32"/>
      <c r="GPY109" s="32"/>
      <c r="GPZ109" s="32"/>
      <c r="GQA109" s="32"/>
      <c r="GQB109" s="32"/>
      <c r="GQC109" s="32"/>
      <c r="GQD109" s="32"/>
      <c r="GQE109" s="32"/>
      <c r="GQF109" s="32"/>
      <c r="GQG109" s="32"/>
      <c r="GQH109" s="32"/>
      <c r="GQI109" s="32"/>
      <c r="GQJ109" s="32"/>
      <c r="GQK109" s="32"/>
      <c r="GQL109" s="32"/>
      <c r="GQM109" s="32"/>
      <c r="GQN109" s="32"/>
      <c r="GQO109" s="32"/>
      <c r="GQP109" s="32"/>
      <c r="GQQ109" s="32"/>
      <c r="GQR109" s="32"/>
      <c r="GQS109" s="32"/>
      <c r="GQT109" s="32"/>
      <c r="GQU109" s="32"/>
      <c r="GQV109" s="32"/>
      <c r="GQW109" s="32"/>
      <c r="GQX109" s="32"/>
      <c r="GQY109" s="32"/>
      <c r="GQZ109" s="32"/>
      <c r="GRA109" s="32"/>
      <c r="GRB109" s="32"/>
      <c r="GRC109" s="32"/>
      <c r="GRD109" s="32"/>
      <c r="GRE109" s="32"/>
      <c r="GRF109" s="32"/>
      <c r="GRG109" s="32"/>
      <c r="GRH109" s="32"/>
      <c r="GRI109" s="32"/>
      <c r="GRJ109" s="32"/>
      <c r="GRK109" s="32"/>
      <c r="GRL109" s="32"/>
      <c r="GRM109" s="32"/>
      <c r="GRN109" s="32"/>
      <c r="GRO109" s="32"/>
      <c r="GRP109" s="32"/>
      <c r="GRQ109" s="32"/>
      <c r="GRR109" s="32"/>
      <c r="GRS109" s="32"/>
      <c r="GRT109" s="32"/>
      <c r="GRU109" s="32"/>
      <c r="GRV109" s="32"/>
      <c r="GRW109" s="32"/>
      <c r="GRX109" s="32"/>
      <c r="GRY109" s="32"/>
      <c r="GRZ109" s="32"/>
      <c r="GSA109" s="32"/>
      <c r="GSB109" s="32"/>
      <c r="GSC109" s="32"/>
      <c r="GSD109" s="32"/>
      <c r="GSE109" s="32"/>
      <c r="GSF109" s="32"/>
      <c r="GSG109" s="32"/>
      <c r="GSH109" s="32"/>
      <c r="GSI109" s="32"/>
      <c r="GSJ109" s="32"/>
      <c r="GSK109" s="32"/>
      <c r="GSL109" s="32"/>
      <c r="GSM109" s="32"/>
      <c r="GSN109" s="32"/>
      <c r="GSO109" s="32"/>
      <c r="GSP109" s="32"/>
      <c r="GSQ109" s="32"/>
      <c r="GSR109" s="32"/>
      <c r="GSS109" s="32"/>
      <c r="GST109" s="32"/>
      <c r="GSU109" s="32"/>
      <c r="GSV109" s="32"/>
      <c r="GSW109" s="32"/>
      <c r="GSX109" s="32"/>
      <c r="GSY109" s="32"/>
      <c r="GSZ109" s="32"/>
      <c r="GTA109" s="32"/>
      <c r="GTB109" s="32"/>
      <c r="GTC109" s="32"/>
      <c r="GTD109" s="32"/>
      <c r="GTE109" s="32"/>
      <c r="GTF109" s="32"/>
      <c r="GTG109" s="32"/>
      <c r="GTH109" s="32"/>
      <c r="GTI109" s="32"/>
      <c r="GTJ109" s="32"/>
      <c r="GTK109" s="32"/>
      <c r="GTL109" s="32"/>
      <c r="GTM109" s="32"/>
      <c r="GTN109" s="32"/>
      <c r="GTO109" s="32"/>
      <c r="GTP109" s="32"/>
      <c r="GTQ109" s="32"/>
      <c r="GTR109" s="32"/>
      <c r="GTS109" s="32"/>
      <c r="GTT109" s="32"/>
      <c r="GTU109" s="32"/>
      <c r="GTV109" s="32"/>
      <c r="GTW109" s="32"/>
      <c r="GTX109" s="32"/>
      <c r="GTY109" s="32"/>
      <c r="GTZ109" s="32"/>
      <c r="GUA109" s="32"/>
      <c r="GUB109" s="32"/>
      <c r="GUC109" s="32"/>
      <c r="GUD109" s="32"/>
      <c r="GUE109" s="32"/>
      <c r="GUF109" s="32"/>
      <c r="GUG109" s="32"/>
      <c r="GUH109" s="32"/>
      <c r="GUI109" s="32"/>
      <c r="GUJ109" s="32"/>
      <c r="GUK109" s="32"/>
      <c r="GUL109" s="32"/>
      <c r="GUM109" s="32"/>
      <c r="GUN109" s="32"/>
      <c r="GUO109" s="32"/>
      <c r="GUP109" s="32"/>
      <c r="GUQ109" s="32"/>
      <c r="GUR109" s="32"/>
      <c r="GUS109" s="32"/>
      <c r="GUT109" s="32"/>
      <c r="GUU109" s="32"/>
      <c r="GUV109" s="32"/>
      <c r="GUW109" s="32"/>
      <c r="GUX109" s="32"/>
      <c r="GUY109" s="32"/>
      <c r="GUZ109" s="32"/>
      <c r="GVA109" s="32"/>
      <c r="GVB109" s="32"/>
      <c r="GVC109" s="32"/>
      <c r="GVD109" s="32"/>
      <c r="GVE109" s="32"/>
      <c r="GVF109" s="32"/>
      <c r="GVG109" s="32"/>
      <c r="GVH109" s="32"/>
      <c r="GVI109" s="32"/>
      <c r="GVJ109" s="32"/>
      <c r="GVK109" s="32"/>
      <c r="GVL109" s="32"/>
      <c r="GVM109" s="32"/>
      <c r="GVN109" s="32"/>
      <c r="GVO109" s="32"/>
      <c r="GVP109" s="32"/>
      <c r="GVQ109" s="32"/>
      <c r="GVR109" s="32"/>
      <c r="GVS109" s="32"/>
      <c r="GVT109" s="32"/>
      <c r="GVU109" s="32"/>
      <c r="GVV109" s="32"/>
      <c r="GVW109" s="32"/>
      <c r="GVX109" s="32"/>
      <c r="GVY109" s="32"/>
      <c r="GVZ109" s="32"/>
      <c r="GWA109" s="32"/>
      <c r="GWB109" s="32"/>
      <c r="GWC109" s="32"/>
      <c r="GWD109" s="32"/>
      <c r="GWE109" s="32"/>
      <c r="GWF109" s="32"/>
      <c r="GWG109" s="32"/>
      <c r="GWH109" s="32"/>
      <c r="GWI109" s="32"/>
      <c r="GWJ109" s="32"/>
      <c r="GWK109" s="32"/>
      <c r="GWL109" s="32"/>
      <c r="GWM109" s="32"/>
      <c r="GWN109" s="32"/>
      <c r="GWO109" s="32"/>
      <c r="GWP109" s="32"/>
      <c r="GWQ109" s="32"/>
      <c r="GWR109" s="32"/>
      <c r="GWS109" s="32"/>
      <c r="GWT109" s="32"/>
      <c r="GWU109" s="32"/>
      <c r="GWV109" s="32"/>
      <c r="GWW109" s="32"/>
      <c r="GWX109" s="32"/>
      <c r="GWY109" s="32"/>
      <c r="GWZ109" s="32"/>
      <c r="GXA109" s="32"/>
      <c r="GXB109" s="32"/>
      <c r="GXC109" s="32"/>
      <c r="GXD109" s="32"/>
      <c r="GXE109" s="32"/>
      <c r="GXF109" s="32"/>
      <c r="GXG109" s="32"/>
      <c r="GXH109" s="32"/>
      <c r="GXI109" s="32"/>
      <c r="GXJ109" s="32"/>
      <c r="GXK109" s="32"/>
      <c r="GXL109" s="32"/>
      <c r="GXM109" s="32"/>
      <c r="GXN109" s="32"/>
      <c r="GXO109" s="32"/>
      <c r="GXP109" s="32"/>
      <c r="GXQ109" s="32"/>
      <c r="GXR109" s="32"/>
      <c r="GXS109" s="32"/>
      <c r="GXT109" s="32"/>
      <c r="GXU109" s="32"/>
      <c r="GXV109" s="32"/>
      <c r="GXW109" s="32"/>
      <c r="GXX109" s="32"/>
      <c r="GXY109" s="32"/>
      <c r="GXZ109" s="32"/>
      <c r="GYA109" s="32"/>
      <c r="GYB109" s="32"/>
      <c r="GYC109" s="32"/>
      <c r="GYD109" s="32"/>
      <c r="GYE109" s="32"/>
      <c r="GYF109" s="32"/>
      <c r="GYG109" s="32"/>
      <c r="GYH109" s="32"/>
      <c r="GYI109" s="32"/>
      <c r="GYJ109" s="32"/>
      <c r="GYK109" s="32"/>
      <c r="GYL109" s="32"/>
      <c r="GYM109" s="32"/>
      <c r="GYN109" s="32"/>
      <c r="GYO109" s="32"/>
      <c r="GYP109" s="32"/>
      <c r="GYQ109" s="32"/>
      <c r="GYR109" s="32"/>
      <c r="GYS109" s="32"/>
      <c r="GYT109" s="32"/>
      <c r="GYU109" s="32"/>
      <c r="GYV109" s="32"/>
      <c r="GYW109" s="32"/>
      <c r="GYX109" s="32"/>
      <c r="GYY109" s="32"/>
      <c r="GYZ109" s="32"/>
      <c r="GZA109" s="32"/>
      <c r="GZB109" s="32"/>
      <c r="GZC109" s="32"/>
      <c r="GZD109" s="32"/>
      <c r="GZE109" s="32"/>
      <c r="GZF109" s="32"/>
      <c r="GZG109" s="32"/>
      <c r="GZH109" s="32"/>
      <c r="GZI109" s="32"/>
      <c r="GZJ109" s="32"/>
      <c r="GZK109" s="32"/>
      <c r="GZL109" s="32"/>
      <c r="GZM109" s="32"/>
      <c r="GZN109" s="32"/>
      <c r="GZO109" s="32"/>
      <c r="GZP109" s="32"/>
      <c r="GZQ109" s="32"/>
      <c r="GZR109" s="32"/>
      <c r="GZS109" s="32"/>
      <c r="GZT109" s="32"/>
      <c r="GZU109" s="32"/>
      <c r="GZV109" s="32"/>
      <c r="GZW109" s="32"/>
      <c r="GZX109" s="32"/>
      <c r="GZY109" s="32"/>
      <c r="GZZ109" s="32"/>
      <c r="HAA109" s="32"/>
      <c r="HAB109" s="32"/>
      <c r="HAC109" s="32"/>
      <c r="HAD109" s="32"/>
      <c r="HAE109" s="32"/>
      <c r="HAF109" s="32"/>
      <c r="HAG109" s="32"/>
      <c r="HAH109" s="32"/>
      <c r="HAI109" s="32"/>
      <c r="HAJ109" s="32"/>
      <c r="HAK109" s="32"/>
      <c r="HAL109" s="32"/>
      <c r="HAM109" s="32"/>
      <c r="HAN109" s="32"/>
      <c r="HAO109" s="32"/>
      <c r="HAP109" s="32"/>
      <c r="HAQ109" s="32"/>
      <c r="HAR109" s="32"/>
      <c r="HAS109" s="32"/>
      <c r="HAT109" s="32"/>
      <c r="HAU109" s="32"/>
      <c r="HAV109" s="32"/>
      <c r="HAW109" s="32"/>
      <c r="HAX109" s="32"/>
      <c r="HAY109" s="32"/>
      <c r="HAZ109" s="32"/>
      <c r="HBA109" s="32"/>
      <c r="HBB109" s="32"/>
      <c r="HBC109" s="32"/>
      <c r="HBD109" s="32"/>
      <c r="HBE109" s="32"/>
      <c r="HBF109" s="32"/>
      <c r="HBG109" s="32"/>
      <c r="HBH109" s="32"/>
      <c r="HBI109" s="32"/>
      <c r="HBJ109" s="32"/>
      <c r="HBK109" s="32"/>
      <c r="HBL109" s="32"/>
      <c r="HBM109" s="32"/>
      <c r="HBN109" s="32"/>
      <c r="HBO109" s="32"/>
      <c r="HBP109" s="32"/>
      <c r="HBQ109" s="32"/>
      <c r="HBR109" s="32"/>
      <c r="HBS109" s="32"/>
      <c r="HBT109" s="32"/>
      <c r="HBU109" s="32"/>
      <c r="HBV109" s="32"/>
      <c r="HBW109" s="32"/>
      <c r="HBX109" s="32"/>
      <c r="HBY109" s="32"/>
      <c r="HBZ109" s="32"/>
      <c r="HCA109" s="32"/>
      <c r="HCB109" s="32"/>
      <c r="HCC109" s="32"/>
      <c r="HCD109" s="32"/>
      <c r="HCE109" s="32"/>
      <c r="HCF109" s="32"/>
      <c r="HCG109" s="32"/>
      <c r="HCH109" s="32"/>
      <c r="HCI109" s="32"/>
      <c r="HCJ109" s="32"/>
      <c r="HCK109" s="32"/>
      <c r="HCL109" s="32"/>
      <c r="HCM109" s="32"/>
      <c r="HCN109" s="32"/>
      <c r="HCO109" s="32"/>
      <c r="HCP109" s="32"/>
      <c r="HCQ109" s="32"/>
      <c r="HCR109" s="32"/>
      <c r="HCS109" s="32"/>
      <c r="HCT109" s="32"/>
      <c r="HCU109" s="32"/>
      <c r="HCV109" s="32"/>
      <c r="HCW109" s="32"/>
      <c r="HCX109" s="32"/>
      <c r="HCY109" s="32"/>
      <c r="HCZ109" s="32"/>
      <c r="HDA109" s="32"/>
      <c r="HDB109" s="32"/>
      <c r="HDC109" s="32"/>
      <c r="HDD109" s="32"/>
      <c r="HDE109" s="32"/>
      <c r="HDF109" s="32"/>
      <c r="HDG109" s="32"/>
      <c r="HDH109" s="32"/>
      <c r="HDI109" s="32"/>
      <c r="HDJ109" s="32"/>
      <c r="HDK109" s="32"/>
      <c r="HDL109" s="32"/>
      <c r="HDM109" s="32"/>
      <c r="HDN109" s="32"/>
      <c r="HDO109" s="32"/>
      <c r="HDP109" s="32"/>
      <c r="HDQ109" s="32"/>
      <c r="HDR109" s="32"/>
      <c r="HDS109" s="32"/>
      <c r="HDT109" s="32"/>
      <c r="HDU109" s="32"/>
      <c r="HDV109" s="32"/>
      <c r="HDW109" s="32"/>
      <c r="HDX109" s="32"/>
      <c r="HDY109" s="32"/>
      <c r="HDZ109" s="32"/>
      <c r="HEA109" s="32"/>
      <c r="HEB109" s="32"/>
      <c r="HEC109" s="32"/>
      <c r="HED109" s="32"/>
      <c r="HEE109" s="32"/>
      <c r="HEF109" s="32"/>
      <c r="HEG109" s="32"/>
      <c r="HEH109" s="32"/>
      <c r="HEI109" s="32"/>
      <c r="HEJ109" s="32"/>
      <c r="HEK109" s="32"/>
      <c r="HEL109" s="32"/>
      <c r="HEM109" s="32"/>
      <c r="HEN109" s="32"/>
      <c r="HEO109" s="32"/>
      <c r="HEP109" s="32"/>
      <c r="HEQ109" s="32"/>
      <c r="HER109" s="32"/>
      <c r="HES109" s="32"/>
      <c r="HET109" s="32"/>
      <c r="HEU109" s="32"/>
      <c r="HEV109" s="32"/>
      <c r="HEW109" s="32"/>
      <c r="HEX109" s="32"/>
      <c r="HEY109" s="32"/>
      <c r="HEZ109" s="32"/>
      <c r="HFA109" s="32"/>
      <c r="HFB109" s="32"/>
      <c r="HFC109" s="32"/>
      <c r="HFD109" s="32"/>
      <c r="HFE109" s="32"/>
      <c r="HFF109" s="32"/>
      <c r="HFG109" s="32"/>
      <c r="HFH109" s="32"/>
      <c r="HFI109" s="32"/>
      <c r="HFJ109" s="32"/>
      <c r="HFK109" s="32"/>
      <c r="HFL109" s="32"/>
      <c r="HFM109" s="32"/>
      <c r="HFN109" s="32"/>
      <c r="HFO109" s="32"/>
      <c r="HFP109" s="32"/>
      <c r="HFQ109" s="32"/>
      <c r="HFR109" s="32"/>
      <c r="HFS109" s="32"/>
      <c r="HFT109" s="32"/>
      <c r="HFU109" s="32"/>
      <c r="HFV109" s="32"/>
      <c r="HFW109" s="32"/>
      <c r="HFX109" s="32"/>
      <c r="HFY109" s="32"/>
      <c r="HFZ109" s="32"/>
      <c r="HGA109" s="32"/>
      <c r="HGB109" s="32"/>
      <c r="HGC109" s="32"/>
      <c r="HGD109" s="32"/>
      <c r="HGE109" s="32"/>
      <c r="HGF109" s="32"/>
      <c r="HGG109" s="32"/>
      <c r="HGH109" s="32"/>
      <c r="HGI109" s="32"/>
      <c r="HGJ109" s="32"/>
      <c r="HGK109" s="32"/>
      <c r="HGL109" s="32"/>
      <c r="HGM109" s="32"/>
      <c r="HGN109" s="32"/>
      <c r="HGO109" s="32"/>
      <c r="HGP109" s="32"/>
      <c r="HGQ109" s="32"/>
      <c r="HGR109" s="32"/>
      <c r="HGS109" s="32"/>
      <c r="HGT109" s="32"/>
      <c r="HGU109" s="32"/>
      <c r="HGV109" s="32"/>
      <c r="HGW109" s="32"/>
      <c r="HGX109" s="32"/>
      <c r="HGY109" s="32"/>
      <c r="HGZ109" s="32"/>
      <c r="HHA109" s="32"/>
      <c r="HHB109" s="32"/>
      <c r="HHC109" s="32"/>
      <c r="HHD109" s="32"/>
      <c r="HHE109" s="32"/>
      <c r="HHF109" s="32"/>
      <c r="HHG109" s="32"/>
      <c r="HHH109" s="32"/>
      <c r="HHI109" s="32"/>
      <c r="HHJ109" s="32"/>
      <c r="HHK109" s="32"/>
      <c r="HHL109" s="32"/>
      <c r="HHM109" s="32"/>
      <c r="HHN109" s="32"/>
      <c r="HHO109" s="32"/>
      <c r="HHP109" s="32"/>
      <c r="HHQ109" s="32"/>
      <c r="HHR109" s="32"/>
      <c r="HHS109" s="32"/>
      <c r="HHT109" s="32"/>
      <c r="HHU109" s="32"/>
      <c r="HHV109" s="32"/>
      <c r="HHW109" s="32"/>
      <c r="HHX109" s="32"/>
      <c r="HHY109" s="32"/>
      <c r="HHZ109" s="32"/>
      <c r="HIA109" s="32"/>
      <c r="HIB109" s="32"/>
      <c r="HIC109" s="32"/>
      <c r="HID109" s="32"/>
      <c r="HIE109" s="32"/>
      <c r="HIF109" s="32"/>
      <c r="HIG109" s="32"/>
      <c r="HIH109" s="32"/>
      <c r="HII109" s="32"/>
      <c r="HIJ109" s="32"/>
      <c r="HIK109" s="32"/>
      <c r="HIL109" s="32"/>
      <c r="HIM109" s="32"/>
      <c r="HIN109" s="32"/>
      <c r="HIO109" s="32"/>
      <c r="HIP109" s="32"/>
      <c r="HIQ109" s="32"/>
      <c r="HIR109" s="32"/>
      <c r="HIS109" s="32"/>
      <c r="HIT109" s="32"/>
      <c r="HIU109" s="32"/>
      <c r="HIV109" s="32"/>
      <c r="HIW109" s="32"/>
      <c r="HIX109" s="32"/>
      <c r="HIY109" s="32"/>
      <c r="HIZ109" s="32"/>
      <c r="HJA109" s="32"/>
      <c r="HJB109" s="32"/>
      <c r="HJC109" s="32"/>
      <c r="HJD109" s="32"/>
      <c r="HJE109" s="32"/>
      <c r="HJF109" s="32"/>
      <c r="HJG109" s="32"/>
      <c r="HJH109" s="32"/>
      <c r="HJI109" s="32"/>
      <c r="HJJ109" s="32"/>
      <c r="HJK109" s="32"/>
      <c r="HJL109" s="32"/>
      <c r="HJM109" s="32"/>
      <c r="HJN109" s="32"/>
      <c r="HJO109" s="32"/>
      <c r="HJP109" s="32"/>
      <c r="HJQ109" s="32"/>
      <c r="HJR109" s="32"/>
      <c r="HJS109" s="32"/>
      <c r="HJT109" s="32"/>
      <c r="HJU109" s="32"/>
      <c r="HJV109" s="32"/>
      <c r="HJW109" s="32"/>
      <c r="HJX109" s="32"/>
      <c r="HJY109" s="32"/>
      <c r="HJZ109" s="32"/>
      <c r="HKA109" s="32"/>
      <c r="HKB109" s="32"/>
      <c r="HKC109" s="32"/>
      <c r="HKD109" s="32"/>
      <c r="HKE109" s="32"/>
      <c r="HKF109" s="32"/>
      <c r="HKG109" s="32"/>
      <c r="HKH109" s="32"/>
      <c r="HKI109" s="32"/>
      <c r="HKJ109" s="32"/>
      <c r="HKK109" s="32"/>
      <c r="HKL109" s="32"/>
      <c r="HKM109" s="32"/>
      <c r="HKN109" s="32"/>
      <c r="HKO109" s="32"/>
      <c r="HKP109" s="32"/>
      <c r="HKQ109" s="32"/>
      <c r="HKR109" s="32"/>
      <c r="HKS109" s="32"/>
      <c r="HKT109" s="32"/>
      <c r="HKU109" s="32"/>
      <c r="HKV109" s="32"/>
      <c r="HKW109" s="32"/>
      <c r="HKX109" s="32"/>
      <c r="HKY109" s="32"/>
      <c r="HKZ109" s="32"/>
      <c r="HLA109" s="32"/>
      <c r="HLB109" s="32"/>
      <c r="HLC109" s="32"/>
      <c r="HLD109" s="32"/>
      <c r="HLE109" s="32"/>
      <c r="HLF109" s="32"/>
      <c r="HLG109" s="32"/>
      <c r="HLH109" s="32"/>
      <c r="HLI109" s="32"/>
      <c r="HLJ109" s="32"/>
      <c r="HLK109" s="32"/>
      <c r="HLL109" s="32"/>
      <c r="HLM109" s="32"/>
      <c r="HLN109" s="32"/>
      <c r="HLO109" s="32"/>
      <c r="HLP109" s="32"/>
      <c r="HLQ109" s="32"/>
      <c r="HLR109" s="32"/>
      <c r="HLS109" s="32"/>
      <c r="HLT109" s="32"/>
      <c r="HLU109" s="32"/>
      <c r="HLV109" s="32"/>
      <c r="HLW109" s="32"/>
      <c r="HLX109" s="32"/>
      <c r="HLY109" s="32"/>
      <c r="HLZ109" s="32"/>
      <c r="HMA109" s="32"/>
      <c r="HMB109" s="32"/>
      <c r="HMC109" s="32"/>
      <c r="HMD109" s="32"/>
      <c r="HME109" s="32"/>
      <c r="HMF109" s="32"/>
      <c r="HMG109" s="32"/>
      <c r="HMH109" s="32"/>
      <c r="HMI109" s="32"/>
      <c r="HMJ109" s="32"/>
      <c r="HMK109" s="32"/>
      <c r="HML109" s="32"/>
      <c r="HMM109" s="32"/>
      <c r="HMN109" s="32"/>
      <c r="HMO109" s="32"/>
      <c r="HMP109" s="32"/>
      <c r="HMQ109" s="32"/>
      <c r="HMR109" s="32"/>
      <c r="HMS109" s="32"/>
      <c r="HMT109" s="32"/>
      <c r="HMU109" s="32"/>
      <c r="HMV109" s="32"/>
      <c r="HMW109" s="32"/>
      <c r="HMX109" s="32"/>
      <c r="HMY109" s="32"/>
      <c r="HMZ109" s="32"/>
      <c r="HNA109" s="32"/>
      <c r="HNB109" s="32"/>
      <c r="HNC109" s="32"/>
      <c r="HND109" s="32"/>
      <c r="HNE109" s="32"/>
      <c r="HNF109" s="32"/>
      <c r="HNG109" s="32"/>
      <c r="HNH109" s="32"/>
      <c r="HNI109" s="32"/>
      <c r="HNJ109" s="32"/>
      <c r="HNK109" s="32"/>
      <c r="HNL109" s="32"/>
      <c r="HNM109" s="32"/>
      <c r="HNN109" s="32"/>
      <c r="HNO109" s="32"/>
      <c r="HNP109" s="32"/>
      <c r="HNQ109" s="32"/>
      <c r="HNR109" s="32"/>
      <c r="HNS109" s="32"/>
      <c r="HNT109" s="32"/>
      <c r="HNU109" s="32"/>
      <c r="HNV109" s="32"/>
      <c r="HNW109" s="32"/>
      <c r="HNX109" s="32"/>
      <c r="HNY109" s="32"/>
      <c r="HNZ109" s="32"/>
      <c r="HOA109" s="32"/>
      <c r="HOB109" s="32"/>
      <c r="HOC109" s="32"/>
      <c r="HOD109" s="32"/>
      <c r="HOE109" s="32"/>
      <c r="HOF109" s="32"/>
      <c r="HOG109" s="32"/>
      <c r="HOH109" s="32"/>
      <c r="HOI109" s="32"/>
      <c r="HOJ109" s="32"/>
      <c r="HOK109" s="32"/>
      <c r="HOL109" s="32"/>
      <c r="HOM109" s="32"/>
      <c r="HON109" s="32"/>
      <c r="HOO109" s="32"/>
      <c r="HOP109" s="32"/>
      <c r="HOQ109" s="32"/>
      <c r="HOR109" s="32"/>
      <c r="HOS109" s="32"/>
      <c r="HOT109" s="32"/>
      <c r="HOU109" s="32"/>
      <c r="HOV109" s="32"/>
      <c r="HOW109" s="32"/>
      <c r="HOX109" s="32"/>
      <c r="HOY109" s="32"/>
      <c r="HOZ109" s="32"/>
      <c r="HPA109" s="32"/>
      <c r="HPB109" s="32"/>
      <c r="HPC109" s="32"/>
      <c r="HPD109" s="32"/>
      <c r="HPE109" s="32"/>
      <c r="HPF109" s="32"/>
      <c r="HPG109" s="32"/>
      <c r="HPH109" s="32"/>
      <c r="HPI109" s="32"/>
      <c r="HPJ109" s="32"/>
      <c r="HPK109" s="32"/>
      <c r="HPL109" s="32"/>
      <c r="HPM109" s="32"/>
      <c r="HPN109" s="32"/>
      <c r="HPO109" s="32"/>
      <c r="HPP109" s="32"/>
      <c r="HPQ109" s="32"/>
      <c r="HPR109" s="32"/>
      <c r="HPS109" s="32"/>
      <c r="HPT109" s="32"/>
      <c r="HPU109" s="32"/>
      <c r="HPV109" s="32"/>
      <c r="HPW109" s="32"/>
      <c r="HPX109" s="32"/>
      <c r="HPY109" s="32"/>
      <c r="HPZ109" s="32"/>
      <c r="HQA109" s="32"/>
      <c r="HQB109" s="32"/>
      <c r="HQC109" s="32"/>
      <c r="HQD109" s="32"/>
      <c r="HQE109" s="32"/>
      <c r="HQF109" s="32"/>
      <c r="HQG109" s="32"/>
      <c r="HQH109" s="32"/>
      <c r="HQI109" s="32"/>
      <c r="HQJ109" s="32"/>
      <c r="HQK109" s="32"/>
      <c r="HQL109" s="32"/>
      <c r="HQM109" s="32"/>
      <c r="HQN109" s="32"/>
      <c r="HQO109" s="32"/>
      <c r="HQP109" s="32"/>
      <c r="HQQ109" s="32"/>
      <c r="HQR109" s="32"/>
      <c r="HQS109" s="32"/>
      <c r="HQT109" s="32"/>
      <c r="HQU109" s="32"/>
      <c r="HQV109" s="32"/>
      <c r="HQW109" s="32"/>
      <c r="HQX109" s="32"/>
      <c r="HQY109" s="32"/>
      <c r="HQZ109" s="32"/>
      <c r="HRA109" s="32"/>
      <c r="HRB109" s="32"/>
      <c r="HRC109" s="32"/>
      <c r="HRD109" s="32"/>
      <c r="HRE109" s="32"/>
      <c r="HRF109" s="32"/>
      <c r="HRG109" s="32"/>
      <c r="HRH109" s="32"/>
      <c r="HRI109" s="32"/>
      <c r="HRJ109" s="32"/>
      <c r="HRK109" s="32"/>
      <c r="HRL109" s="32"/>
      <c r="HRM109" s="32"/>
      <c r="HRN109" s="32"/>
      <c r="HRO109" s="32"/>
      <c r="HRP109" s="32"/>
      <c r="HRQ109" s="32"/>
      <c r="HRR109" s="32"/>
      <c r="HRS109" s="32"/>
      <c r="HRT109" s="32"/>
      <c r="HRU109" s="32"/>
      <c r="HRV109" s="32"/>
      <c r="HRW109" s="32"/>
      <c r="HRX109" s="32"/>
      <c r="HRY109" s="32"/>
      <c r="HRZ109" s="32"/>
      <c r="HSA109" s="32"/>
      <c r="HSB109" s="32"/>
      <c r="HSC109" s="32"/>
      <c r="HSD109" s="32"/>
      <c r="HSE109" s="32"/>
      <c r="HSF109" s="32"/>
      <c r="HSG109" s="32"/>
      <c r="HSH109" s="32"/>
      <c r="HSI109" s="32"/>
      <c r="HSJ109" s="32"/>
      <c r="HSK109" s="32"/>
      <c r="HSL109" s="32"/>
      <c r="HSM109" s="32"/>
      <c r="HSN109" s="32"/>
      <c r="HSO109" s="32"/>
      <c r="HSP109" s="32"/>
      <c r="HSQ109" s="32"/>
      <c r="HSR109" s="32"/>
      <c r="HSS109" s="32"/>
      <c r="HST109" s="32"/>
      <c r="HSU109" s="32"/>
      <c r="HSV109" s="32"/>
      <c r="HSW109" s="32"/>
      <c r="HSX109" s="32"/>
      <c r="HSY109" s="32"/>
      <c r="HSZ109" s="32"/>
      <c r="HTA109" s="32"/>
      <c r="HTB109" s="32"/>
      <c r="HTC109" s="32"/>
      <c r="HTD109" s="32"/>
      <c r="HTE109" s="32"/>
      <c r="HTF109" s="32"/>
      <c r="HTG109" s="32"/>
      <c r="HTH109" s="32"/>
      <c r="HTI109" s="32"/>
      <c r="HTJ109" s="32"/>
      <c r="HTK109" s="32"/>
      <c r="HTL109" s="32"/>
      <c r="HTM109" s="32"/>
      <c r="HTN109" s="32"/>
      <c r="HTO109" s="32"/>
      <c r="HTP109" s="32"/>
      <c r="HTQ109" s="32"/>
      <c r="HTR109" s="32"/>
      <c r="HTS109" s="32"/>
      <c r="HTT109" s="32"/>
      <c r="HTU109" s="32"/>
      <c r="HTV109" s="32"/>
      <c r="HTW109" s="32"/>
      <c r="HTX109" s="32"/>
      <c r="HTY109" s="32"/>
      <c r="HTZ109" s="32"/>
      <c r="HUA109" s="32"/>
      <c r="HUB109" s="32"/>
      <c r="HUC109" s="32"/>
      <c r="HUD109" s="32"/>
      <c r="HUE109" s="32"/>
      <c r="HUF109" s="32"/>
      <c r="HUG109" s="32"/>
      <c r="HUH109" s="32"/>
      <c r="HUI109" s="32"/>
      <c r="HUJ109" s="32"/>
      <c r="HUK109" s="32"/>
      <c r="HUL109" s="32"/>
      <c r="HUM109" s="32"/>
      <c r="HUN109" s="32"/>
      <c r="HUO109" s="32"/>
      <c r="HUP109" s="32"/>
      <c r="HUQ109" s="32"/>
      <c r="HUR109" s="32"/>
      <c r="HUS109" s="32"/>
      <c r="HUT109" s="32"/>
      <c r="HUU109" s="32"/>
      <c r="HUV109" s="32"/>
      <c r="HUW109" s="32"/>
      <c r="HUX109" s="32"/>
      <c r="HUY109" s="32"/>
      <c r="HUZ109" s="32"/>
      <c r="HVA109" s="32"/>
      <c r="HVB109" s="32"/>
      <c r="HVC109" s="32"/>
      <c r="HVD109" s="32"/>
      <c r="HVE109" s="32"/>
      <c r="HVF109" s="32"/>
      <c r="HVG109" s="32"/>
      <c r="HVH109" s="32"/>
      <c r="HVI109" s="32"/>
      <c r="HVJ109" s="32"/>
      <c r="HVK109" s="32"/>
      <c r="HVL109" s="32"/>
      <c r="HVM109" s="32"/>
      <c r="HVN109" s="32"/>
      <c r="HVO109" s="32"/>
      <c r="HVP109" s="32"/>
      <c r="HVQ109" s="32"/>
      <c r="HVR109" s="32"/>
      <c r="HVS109" s="32"/>
      <c r="HVT109" s="32"/>
      <c r="HVU109" s="32"/>
      <c r="HVV109" s="32"/>
      <c r="HVW109" s="32"/>
      <c r="HVX109" s="32"/>
      <c r="HVY109" s="32"/>
      <c r="HVZ109" s="32"/>
      <c r="HWA109" s="32"/>
      <c r="HWB109" s="32"/>
      <c r="HWC109" s="32"/>
      <c r="HWD109" s="32"/>
      <c r="HWE109" s="32"/>
      <c r="HWF109" s="32"/>
      <c r="HWG109" s="32"/>
      <c r="HWH109" s="32"/>
      <c r="HWI109" s="32"/>
      <c r="HWJ109" s="32"/>
      <c r="HWK109" s="32"/>
      <c r="HWL109" s="32"/>
      <c r="HWM109" s="32"/>
      <c r="HWN109" s="32"/>
      <c r="HWO109" s="32"/>
      <c r="HWP109" s="32"/>
      <c r="HWQ109" s="32"/>
      <c r="HWR109" s="32"/>
      <c r="HWS109" s="32"/>
      <c r="HWT109" s="32"/>
      <c r="HWU109" s="32"/>
      <c r="HWV109" s="32"/>
      <c r="HWW109" s="32"/>
      <c r="HWX109" s="32"/>
      <c r="HWY109" s="32"/>
      <c r="HWZ109" s="32"/>
      <c r="HXA109" s="32"/>
      <c r="HXB109" s="32"/>
      <c r="HXC109" s="32"/>
      <c r="HXD109" s="32"/>
      <c r="HXE109" s="32"/>
      <c r="HXF109" s="32"/>
      <c r="HXG109" s="32"/>
      <c r="HXH109" s="32"/>
      <c r="HXI109" s="32"/>
      <c r="HXJ109" s="32"/>
      <c r="HXK109" s="32"/>
      <c r="HXL109" s="32"/>
      <c r="HXM109" s="32"/>
      <c r="HXN109" s="32"/>
      <c r="HXO109" s="32"/>
      <c r="HXP109" s="32"/>
      <c r="HXQ109" s="32"/>
      <c r="HXR109" s="32"/>
      <c r="HXS109" s="32"/>
      <c r="HXT109" s="32"/>
      <c r="HXU109" s="32"/>
      <c r="HXV109" s="32"/>
      <c r="HXW109" s="32"/>
      <c r="HXX109" s="32"/>
      <c r="HXY109" s="32"/>
      <c r="HXZ109" s="32"/>
      <c r="HYA109" s="32"/>
      <c r="HYB109" s="32"/>
      <c r="HYC109" s="32"/>
      <c r="HYD109" s="32"/>
      <c r="HYE109" s="32"/>
      <c r="HYF109" s="32"/>
      <c r="HYG109" s="32"/>
      <c r="HYH109" s="32"/>
      <c r="HYI109" s="32"/>
      <c r="HYJ109" s="32"/>
      <c r="HYK109" s="32"/>
      <c r="HYL109" s="32"/>
      <c r="HYM109" s="32"/>
      <c r="HYN109" s="32"/>
      <c r="HYO109" s="32"/>
      <c r="HYP109" s="32"/>
      <c r="HYQ109" s="32"/>
      <c r="HYR109" s="32"/>
      <c r="HYS109" s="32"/>
      <c r="HYT109" s="32"/>
      <c r="HYU109" s="32"/>
      <c r="HYV109" s="32"/>
      <c r="HYW109" s="32"/>
      <c r="HYX109" s="32"/>
      <c r="HYY109" s="32"/>
      <c r="HYZ109" s="32"/>
      <c r="HZA109" s="32"/>
      <c r="HZB109" s="32"/>
      <c r="HZC109" s="32"/>
      <c r="HZD109" s="32"/>
      <c r="HZE109" s="32"/>
      <c r="HZF109" s="32"/>
      <c r="HZG109" s="32"/>
      <c r="HZH109" s="32"/>
      <c r="HZI109" s="32"/>
      <c r="HZJ109" s="32"/>
      <c r="HZK109" s="32"/>
      <c r="HZL109" s="32"/>
      <c r="HZM109" s="32"/>
      <c r="HZN109" s="32"/>
      <c r="HZO109" s="32"/>
      <c r="HZP109" s="32"/>
      <c r="HZQ109" s="32"/>
      <c r="HZR109" s="32"/>
      <c r="HZS109" s="32"/>
      <c r="HZT109" s="32"/>
      <c r="HZU109" s="32"/>
      <c r="HZV109" s="32"/>
      <c r="HZW109" s="32"/>
      <c r="HZX109" s="32"/>
      <c r="HZY109" s="32"/>
      <c r="HZZ109" s="32"/>
      <c r="IAA109" s="32"/>
      <c r="IAB109" s="32"/>
      <c r="IAC109" s="32"/>
      <c r="IAD109" s="32"/>
      <c r="IAE109" s="32"/>
      <c r="IAF109" s="32"/>
      <c r="IAG109" s="32"/>
      <c r="IAH109" s="32"/>
      <c r="IAI109" s="32"/>
      <c r="IAJ109" s="32"/>
      <c r="IAK109" s="32"/>
      <c r="IAL109" s="32"/>
      <c r="IAM109" s="32"/>
      <c r="IAN109" s="32"/>
      <c r="IAO109" s="32"/>
      <c r="IAP109" s="32"/>
      <c r="IAQ109" s="32"/>
      <c r="IAR109" s="32"/>
      <c r="IAS109" s="32"/>
      <c r="IAT109" s="32"/>
      <c r="IAU109" s="32"/>
      <c r="IAV109" s="32"/>
      <c r="IAW109" s="32"/>
      <c r="IAX109" s="32"/>
      <c r="IAY109" s="32"/>
      <c r="IAZ109" s="32"/>
      <c r="IBA109" s="32"/>
      <c r="IBB109" s="32"/>
      <c r="IBC109" s="32"/>
      <c r="IBD109" s="32"/>
      <c r="IBE109" s="32"/>
      <c r="IBF109" s="32"/>
      <c r="IBG109" s="32"/>
      <c r="IBH109" s="32"/>
      <c r="IBI109" s="32"/>
      <c r="IBJ109" s="32"/>
      <c r="IBK109" s="32"/>
      <c r="IBL109" s="32"/>
      <c r="IBM109" s="32"/>
      <c r="IBN109" s="32"/>
      <c r="IBO109" s="32"/>
      <c r="IBP109" s="32"/>
      <c r="IBQ109" s="32"/>
      <c r="IBR109" s="32"/>
      <c r="IBS109" s="32"/>
      <c r="IBT109" s="32"/>
      <c r="IBU109" s="32"/>
      <c r="IBV109" s="32"/>
      <c r="IBW109" s="32"/>
      <c r="IBX109" s="32"/>
      <c r="IBY109" s="32"/>
      <c r="IBZ109" s="32"/>
      <c r="ICA109" s="32"/>
      <c r="ICB109" s="32"/>
      <c r="ICC109" s="32"/>
      <c r="ICD109" s="32"/>
      <c r="ICE109" s="32"/>
      <c r="ICF109" s="32"/>
      <c r="ICG109" s="32"/>
      <c r="ICH109" s="32"/>
      <c r="ICI109" s="32"/>
      <c r="ICJ109" s="32"/>
      <c r="ICK109" s="32"/>
      <c r="ICL109" s="32"/>
      <c r="ICM109" s="32"/>
      <c r="ICN109" s="32"/>
      <c r="ICO109" s="32"/>
      <c r="ICP109" s="32"/>
      <c r="ICQ109" s="32"/>
      <c r="ICR109" s="32"/>
      <c r="ICS109" s="32"/>
      <c r="ICT109" s="32"/>
      <c r="ICU109" s="32"/>
      <c r="ICV109" s="32"/>
      <c r="ICW109" s="32"/>
      <c r="ICX109" s="32"/>
      <c r="ICY109" s="32"/>
      <c r="ICZ109" s="32"/>
      <c r="IDA109" s="32"/>
      <c r="IDB109" s="32"/>
      <c r="IDC109" s="32"/>
      <c r="IDD109" s="32"/>
      <c r="IDE109" s="32"/>
      <c r="IDF109" s="32"/>
      <c r="IDG109" s="32"/>
      <c r="IDH109" s="32"/>
      <c r="IDI109" s="32"/>
      <c r="IDJ109" s="32"/>
      <c r="IDK109" s="32"/>
      <c r="IDL109" s="32"/>
      <c r="IDM109" s="32"/>
      <c r="IDN109" s="32"/>
      <c r="IDO109" s="32"/>
      <c r="IDP109" s="32"/>
      <c r="IDQ109" s="32"/>
      <c r="IDR109" s="32"/>
      <c r="IDS109" s="32"/>
      <c r="IDT109" s="32"/>
      <c r="IDU109" s="32"/>
      <c r="IDV109" s="32"/>
      <c r="IDW109" s="32"/>
      <c r="IDX109" s="32"/>
      <c r="IDY109" s="32"/>
      <c r="IDZ109" s="32"/>
      <c r="IEA109" s="32"/>
      <c r="IEB109" s="32"/>
      <c r="IEC109" s="32"/>
      <c r="IED109" s="32"/>
      <c r="IEE109" s="32"/>
      <c r="IEF109" s="32"/>
      <c r="IEG109" s="32"/>
      <c r="IEH109" s="32"/>
      <c r="IEI109" s="32"/>
      <c r="IEJ109" s="32"/>
      <c r="IEK109" s="32"/>
      <c r="IEL109" s="32"/>
      <c r="IEM109" s="32"/>
      <c r="IEN109" s="32"/>
      <c r="IEO109" s="32"/>
      <c r="IEP109" s="32"/>
      <c r="IEQ109" s="32"/>
      <c r="IER109" s="32"/>
      <c r="IES109" s="32"/>
      <c r="IET109" s="32"/>
      <c r="IEU109" s="32"/>
      <c r="IEV109" s="32"/>
      <c r="IEW109" s="32"/>
      <c r="IEX109" s="32"/>
      <c r="IEY109" s="32"/>
      <c r="IEZ109" s="32"/>
      <c r="IFA109" s="32"/>
      <c r="IFB109" s="32"/>
      <c r="IFC109" s="32"/>
      <c r="IFD109" s="32"/>
      <c r="IFE109" s="32"/>
      <c r="IFF109" s="32"/>
      <c r="IFG109" s="32"/>
      <c r="IFH109" s="32"/>
      <c r="IFI109" s="32"/>
      <c r="IFJ109" s="32"/>
      <c r="IFK109" s="32"/>
      <c r="IFL109" s="32"/>
      <c r="IFM109" s="32"/>
      <c r="IFN109" s="32"/>
      <c r="IFO109" s="32"/>
      <c r="IFP109" s="32"/>
      <c r="IFQ109" s="32"/>
      <c r="IFR109" s="32"/>
      <c r="IFS109" s="32"/>
      <c r="IFT109" s="32"/>
      <c r="IFU109" s="32"/>
      <c r="IFV109" s="32"/>
      <c r="IFW109" s="32"/>
      <c r="IFX109" s="32"/>
      <c r="IFY109" s="32"/>
      <c r="IFZ109" s="32"/>
      <c r="IGA109" s="32"/>
      <c r="IGB109" s="32"/>
      <c r="IGC109" s="32"/>
      <c r="IGD109" s="32"/>
      <c r="IGE109" s="32"/>
      <c r="IGF109" s="32"/>
      <c r="IGG109" s="32"/>
      <c r="IGH109" s="32"/>
      <c r="IGI109" s="32"/>
      <c r="IGJ109" s="32"/>
      <c r="IGK109" s="32"/>
      <c r="IGL109" s="32"/>
      <c r="IGM109" s="32"/>
      <c r="IGN109" s="32"/>
      <c r="IGO109" s="32"/>
      <c r="IGP109" s="32"/>
      <c r="IGQ109" s="32"/>
      <c r="IGR109" s="32"/>
      <c r="IGS109" s="32"/>
      <c r="IGT109" s="32"/>
      <c r="IGU109" s="32"/>
      <c r="IGV109" s="32"/>
      <c r="IGW109" s="32"/>
      <c r="IGX109" s="32"/>
      <c r="IGY109" s="32"/>
      <c r="IGZ109" s="32"/>
      <c r="IHA109" s="32"/>
      <c r="IHB109" s="32"/>
      <c r="IHC109" s="32"/>
      <c r="IHD109" s="32"/>
      <c r="IHE109" s="32"/>
      <c r="IHF109" s="32"/>
      <c r="IHG109" s="32"/>
      <c r="IHH109" s="32"/>
      <c r="IHI109" s="32"/>
      <c r="IHJ109" s="32"/>
      <c r="IHK109" s="32"/>
      <c r="IHL109" s="32"/>
      <c r="IHM109" s="32"/>
      <c r="IHN109" s="32"/>
      <c r="IHO109" s="32"/>
      <c r="IHP109" s="32"/>
      <c r="IHQ109" s="32"/>
      <c r="IHR109" s="32"/>
      <c r="IHS109" s="32"/>
      <c r="IHT109" s="32"/>
      <c r="IHU109" s="32"/>
      <c r="IHV109" s="32"/>
      <c r="IHW109" s="32"/>
      <c r="IHX109" s="32"/>
      <c r="IHY109" s="32"/>
      <c r="IHZ109" s="32"/>
      <c r="IIA109" s="32"/>
      <c r="IIB109" s="32"/>
      <c r="IIC109" s="32"/>
      <c r="IID109" s="32"/>
      <c r="IIE109" s="32"/>
      <c r="IIF109" s="32"/>
      <c r="IIG109" s="32"/>
      <c r="IIH109" s="32"/>
      <c r="III109" s="32"/>
      <c r="IIJ109" s="32"/>
      <c r="IIK109" s="32"/>
      <c r="IIL109" s="32"/>
      <c r="IIM109" s="32"/>
      <c r="IIN109" s="32"/>
      <c r="IIO109" s="32"/>
      <c r="IIP109" s="32"/>
      <c r="IIQ109" s="32"/>
      <c r="IIR109" s="32"/>
      <c r="IIS109" s="32"/>
      <c r="IIT109" s="32"/>
      <c r="IIU109" s="32"/>
      <c r="IIV109" s="32"/>
      <c r="IIW109" s="32"/>
      <c r="IIX109" s="32"/>
      <c r="IIY109" s="32"/>
      <c r="IIZ109" s="32"/>
      <c r="IJA109" s="32"/>
      <c r="IJB109" s="32"/>
      <c r="IJC109" s="32"/>
      <c r="IJD109" s="32"/>
      <c r="IJE109" s="32"/>
      <c r="IJF109" s="32"/>
      <c r="IJG109" s="32"/>
      <c r="IJH109" s="32"/>
      <c r="IJI109" s="32"/>
      <c r="IJJ109" s="32"/>
      <c r="IJK109" s="32"/>
      <c r="IJL109" s="32"/>
      <c r="IJM109" s="32"/>
      <c r="IJN109" s="32"/>
      <c r="IJO109" s="32"/>
      <c r="IJP109" s="32"/>
      <c r="IJQ109" s="32"/>
      <c r="IJR109" s="32"/>
      <c r="IJS109" s="32"/>
      <c r="IJT109" s="32"/>
      <c r="IJU109" s="32"/>
      <c r="IJV109" s="32"/>
      <c r="IJW109" s="32"/>
      <c r="IJX109" s="32"/>
      <c r="IJY109" s="32"/>
      <c r="IJZ109" s="32"/>
      <c r="IKA109" s="32"/>
      <c r="IKB109" s="32"/>
      <c r="IKC109" s="32"/>
      <c r="IKD109" s="32"/>
      <c r="IKE109" s="32"/>
      <c r="IKF109" s="32"/>
      <c r="IKG109" s="32"/>
      <c r="IKH109" s="32"/>
      <c r="IKI109" s="32"/>
      <c r="IKJ109" s="32"/>
      <c r="IKK109" s="32"/>
      <c r="IKL109" s="32"/>
      <c r="IKM109" s="32"/>
      <c r="IKN109" s="32"/>
      <c r="IKO109" s="32"/>
      <c r="IKP109" s="32"/>
      <c r="IKQ109" s="32"/>
      <c r="IKR109" s="32"/>
      <c r="IKS109" s="32"/>
      <c r="IKT109" s="32"/>
      <c r="IKU109" s="32"/>
      <c r="IKV109" s="32"/>
      <c r="IKW109" s="32"/>
      <c r="IKX109" s="32"/>
      <c r="IKY109" s="32"/>
      <c r="IKZ109" s="32"/>
      <c r="ILA109" s="32"/>
      <c r="ILB109" s="32"/>
      <c r="ILC109" s="32"/>
      <c r="ILD109" s="32"/>
      <c r="ILE109" s="32"/>
      <c r="ILF109" s="32"/>
      <c r="ILG109" s="32"/>
      <c r="ILH109" s="32"/>
      <c r="ILI109" s="32"/>
      <c r="ILJ109" s="32"/>
      <c r="ILK109" s="32"/>
      <c r="ILL109" s="32"/>
      <c r="ILM109" s="32"/>
      <c r="ILN109" s="32"/>
      <c r="ILO109" s="32"/>
      <c r="ILP109" s="32"/>
      <c r="ILQ109" s="32"/>
      <c r="ILR109" s="32"/>
      <c r="ILS109" s="32"/>
      <c r="ILT109" s="32"/>
      <c r="ILU109" s="32"/>
      <c r="ILV109" s="32"/>
      <c r="ILW109" s="32"/>
      <c r="ILX109" s="32"/>
      <c r="ILY109" s="32"/>
      <c r="ILZ109" s="32"/>
      <c r="IMA109" s="32"/>
      <c r="IMB109" s="32"/>
      <c r="IMC109" s="32"/>
      <c r="IMD109" s="32"/>
      <c r="IME109" s="32"/>
      <c r="IMF109" s="32"/>
      <c r="IMG109" s="32"/>
      <c r="IMH109" s="32"/>
      <c r="IMI109" s="32"/>
      <c r="IMJ109" s="32"/>
      <c r="IMK109" s="32"/>
      <c r="IML109" s="32"/>
      <c r="IMM109" s="32"/>
      <c r="IMN109" s="32"/>
      <c r="IMO109" s="32"/>
      <c r="IMP109" s="32"/>
      <c r="IMQ109" s="32"/>
      <c r="IMR109" s="32"/>
      <c r="IMS109" s="32"/>
      <c r="IMT109" s="32"/>
      <c r="IMU109" s="32"/>
      <c r="IMV109" s="32"/>
      <c r="IMW109" s="32"/>
      <c r="IMX109" s="32"/>
      <c r="IMY109" s="32"/>
      <c r="IMZ109" s="32"/>
      <c r="INA109" s="32"/>
      <c r="INB109" s="32"/>
      <c r="INC109" s="32"/>
      <c r="IND109" s="32"/>
      <c r="INE109" s="32"/>
      <c r="INF109" s="32"/>
      <c r="ING109" s="32"/>
      <c r="INH109" s="32"/>
      <c r="INI109" s="32"/>
      <c r="INJ109" s="32"/>
      <c r="INK109" s="32"/>
      <c r="INL109" s="32"/>
      <c r="INM109" s="32"/>
      <c r="INN109" s="32"/>
      <c r="INO109" s="32"/>
      <c r="INP109" s="32"/>
      <c r="INQ109" s="32"/>
      <c r="INR109" s="32"/>
      <c r="INS109" s="32"/>
      <c r="INT109" s="32"/>
      <c r="INU109" s="32"/>
      <c r="INV109" s="32"/>
      <c r="INW109" s="32"/>
      <c r="INX109" s="32"/>
      <c r="INY109" s="32"/>
      <c r="INZ109" s="32"/>
      <c r="IOA109" s="32"/>
      <c r="IOB109" s="32"/>
      <c r="IOC109" s="32"/>
      <c r="IOD109" s="32"/>
      <c r="IOE109" s="32"/>
      <c r="IOF109" s="32"/>
      <c r="IOG109" s="32"/>
      <c r="IOH109" s="32"/>
      <c r="IOI109" s="32"/>
      <c r="IOJ109" s="32"/>
      <c r="IOK109" s="32"/>
      <c r="IOL109" s="32"/>
      <c r="IOM109" s="32"/>
      <c r="ION109" s="32"/>
      <c r="IOO109" s="32"/>
      <c r="IOP109" s="32"/>
      <c r="IOQ109" s="32"/>
      <c r="IOR109" s="32"/>
      <c r="IOS109" s="32"/>
      <c r="IOT109" s="32"/>
      <c r="IOU109" s="32"/>
      <c r="IOV109" s="32"/>
      <c r="IOW109" s="32"/>
      <c r="IOX109" s="32"/>
      <c r="IOY109" s="32"/>
      <c r="IOZ109" s="32"/>
      <c r="IPA109" s="32"/>
      <c r="IPB109" s="32"/>
      <c r="IPC109" s="32"/>
      <c r="IPD109" s="32"/>
      <c r="IPE109" s="32"/>
      <c r="IPF109" s="32"/>
      <c r="IPG109" s="32"/>
      <c r="IPH109" s="32"/>
      <c r="IPI109" s="32"/>
      <c r="IPJ109" s="32"/>
      <c r="IPK109" s="32"/>
      <c r="IPL109" s="32"/>
      <c r="IPM109" s="32"/>
      <c r="IPN109" s="32"/>
      <c r="IPO109" s="32"/>
      <c r="IPP109" s="32"/>
      <c r="IPQ109" s="32"/>
      <c r="IPR109" s="32"/>
      <c r="IPS109" s="32"/>
      <c r="IPT109" s="32"/>
      <c r="IPU109" s="32"/>
      <c r="IPV109" s="32"/>
      <c r="IPW109" s="32"/>
      <c r="IPX109" s="32"/>
      <c r="IPY109" s="32"/>
      <c r="IPZ109" s="32"/>
      <c r="IQA109" s="32"/>
      <c r="IQB109" s="32"/>
      <c r="IQC109" s="32"/>
      <c r="IQD109" s="32"/>
      <c r="IQE109" s="32"/>
      <c r="IQF109" s="32"/>
      <c r="IQG109" s="32"/>
      <c r="IQH109" s="32"/>
      <c r="IQI109" s="32"/>
      <c r="IQJ109" s="32"/>
      <c r="IQK109" s="32"/>
      <c r="IQL109" s="32"/>
      <c r="IQM109" s="32"/>
      <c r="IQN109" s="32"/>
      <c r="IQO109" s="32"/>
      <c r="IQP109" s="32"/>
      <c r="IQQ109" s="32"/>
      <c r="IQR109" s="32"/>
      <c r="IQS109" s="32"/>
      <c r="IQT109" s="32"/>
      <c r="IQU109" s="32"/>
      <c r="IQV109" s="32"/>
      <c r="IQW109" s="32"/>
      <c r="IQX109" s="32"/>
      <c r="IQY109" s="32"/>
      <c r="IQZ109" s="32"/>
      <c r="IRA109" s="32"/>
      <c r="IRB109" s="32"/>
      <c r="IRC109" s="32"/>
      <c r="IRD109" s="32"/>
      <c r="IRE109" s="32"/>
      <c r="IRF109" s="32"/>
      <c r="IRG109" s="32"/>
      <c r="IRH109" s="32"/>
      <c r="IRI109" s="32"/>
      <c r="IRJ109" s="32"/>
      <c r="IRK109" s="32"/>
      <c r="IRL109" s="32"/>
      <c r="IRM109" s="32"/>
      <c r="IRN109" s="32"/>
      <c r="IRO109" s="32"/>
      <c r="IRP109" s="32"/>
      <c r="IRQ109" s="32"/>
      <c r="IRR109" s="32"/>
      <c r="IRS109" s="32"/>
      <c r="IRT109" s="32"/>
      <c r="IRU109" s="32"/>
      <c r="IRV109" s="32"/>
      <c r="IRW109" s="32"/>
      <c r="IRX109" s="32"/>
      <c r="IRY109" s="32"/>
      <c r="IRZ109" s="32"/>
      <c r="ISA109" s="32"/>
      <c r="ISB109" s="32"/>
      <c r="ISC109" s="32"/>
      <c r="ISD109" s="32"/>
      <c r="ISE109" s="32"/>
      <c r="ISF109" s="32"/>
      <c r="ISG109" s="32"/>
      <c r="ISH109" s="32"/>
      <c r="ISI109" s="32"/>
      <c r="ISJ109" s="32"/>
      <c r="ISK109" s="32"/>
      <c r="ISL109" s="32"/>
      <c r="ISM109" s="32"/>
      <c r="ISN109" s="32"/>
      <c r="ISO109" s="32"/>
      <c r="ISP109" s="32"/>
      <c r="ISQ109" s="32"/>
      <c r="ISR109" s="32"/>
      <c r="ISS109" s="32"/>
      <c r="IST109" s="32"/>
      <c r="ISU109" s="32"/>
      <c r="ISV109" s="32"/>
      <c r="ISW109" s="32"/>
      <c r="ISX109" s="32"/>
      <c r="ISY109" s="32"/>
      <c r="ISZ109" s="32"/>
      <c r="ITA109" s="32"/>
      <c r="ITB109" s="32"/>
      <c r="ITC109" s="32"/>
      <c r="ITD109" s="32"/>
      <c r="ITE109" s="32"/>
      <c r="ITF109" s="32"/>
      <c r="ITG109" s="32"/>
      <c r="ITH109" s="32"/>
      <c r="ITI109" s="32"/>
      <c r="ITJ109" s="32"/>
      <c r="ITK109" s="32"/>
      <c r="ITL109" s="32"/>
      <c r="ITM109" s="32"/>
      <c r="ITN109" s="32"/>
      <c r="ITO109" s="32"/>
      <c r="ITP109" s="32"/>
      <c r="ITQ109" s="32"/>
      <c r="ITR109" s="32"/>
      <c r="ITS109" s="32"/>
      <c r="ITT109" s="32"/>
      <c r="ITU109" s="32"/>
      <c r="ITV109" s="32"/>
      <c r="ITW109" s="32"/>
      <c r="ITX109" s="32"/>
      <c r="ITY109" s="32"/>
      <c r="ITZ109" s="32"/>
      <c r="IUA109" s="32"/>
      <c r="IUB109" s="32"/>
      <c r="IUC109" s="32"/>
      <c r="IUD109" s="32"/>
      <c r="IUE109" s="32"/>
      <c r="IUF109" s="32"/>
      <c r="IUG109" s="32"/>
      <c r="IUH109" s="32"/>
      <c r="IUI109" s="32"/>
      <c r="IUJ109" s="32"/>
      <c r="IUK109" s="32"/>
      <c r="IUL109" s="32"/>
      <c r="IUM109" s="32"/>
      <c r="IUN109" s="32"/>
      <c r="IUO109" s="32"/>
      <c r="IUP109" s="32"/>
      <c r="IUQ109" s="32"/>
      <c r="IUR109" s="32"/>
      <c r="IUS109" s="32"/>
      <c r="IUT109" s="32"/>
      <c r="IUU109" s="32"/>
      <c r="IUV109" s="32"/>
      <c r="IUW109" s="32"/>
      <c r="IUX109" s="32"/>
      <c r="IUY109" s="32"/>
      <c r="IUZ109" s="32"/>
      <c r="IVA109" s="32"/>
      <c r="IVB109" s="32"/>
      <c r="IVC109" s="32"/>
      <c r="IVD109" s="32"/>
      <c r="IVE109" s="32"/>
      <c r="IVF109" s="32"/>
      <c r="IVG109" s="32"/>
      <c r="IVH109" s="32"/>
      <c r="IVI109" s="32"/>
      <c r="IVJ109" s="32"/>
      <c r="IVK109" s="32"/>
      <c r="IVL109" s="32"/>
      <c r="IVM109" s="32"/>
      <c r="IVN109" s="32"/>
      <c r="IVO109" s="32"/>
      <c r="IVP109" s="32"/>
      <c r="IVQ109" s="32"/>
      <c r="IVR109" s="32"/>
      <c r="IVS109" s="32"/>
      <c r="IVT109" s="32"/>
      <c r="IVU109" s="32"/>
      <c r="IVV109" s="32"/>
      <c r="IVW109" s="32"/>
      <c r="IVX109" s="32"/>
      <c r="IVY109" s="32"/>
      <c r="IVZ109" s="32"/>
      <c r="IWA109" s="32"/>
      <c r="IWB109" s="32"/>
      <c r="IWC109" s="32"/>
      <c r="IWD109" s="32"/>
      <c r="IWE109" s="32"/>
      <c r="IWF109" s="32"/>
      <c r="IWG109" s="32"/>
      <c r="IWH109" s="32"/>
      <c r="IWI109" s="32"/>
      <c r="IWJ109" s="32"/>
      <c r="IWK109" s="32"/>
      <c r="IWL109" s="32"/>
      <c r="IWM109" s="32"/>
      <c r="IWN109" s="32"/>
      <c r="IWO109" s="32"/>
      <c r="IWP109" s="32"/>
      <c r="IWQ109" s="32"/>
      <c r="IWR109" s="32"/>
      <c r="IWS109" s="32"/>
      <c r="IWT109" s="32"/>
      <c r="IWU109" s="32"/>
      <c r="IWV109" s="32"/>
      <c r="IWW109" s="32"/>
      <c r="IWX109" s="32"/>
      <c r="IWY109" s="32"/>
      <c r="IWZ109" s="32"/>
      <c r="IXA109" s="32"/>
      <c r="IXB109" s="32"/>
      <c r="IXC109" s="32"/>
      <c r="IXD109" s="32"/>
      <c r="IXE109" s="32"/>
      <c r="IXF109" s="32"/>
      <c r="IXG109" s="32"/>
      <c r="IXH109" s="32"/>
      <c r="IXI109" s="32"/>
      <c r="IXJ109" s="32"/>
      <c r="IXK109" s="32"/>
      <c r="IXL109" s="32"/>
      <c r="IXM109" s="32"/>
      <c r="IXN109" s="32"/>
      <c r="IXO109" s="32"/>
      <c r="IXP109" s="32"/>
      <c r="IXQ109" s="32"/>
      <c r="IXR109" s="32"/>
      <c r="IXS109" s="32"/>
      <c r="IXT109" s="32"/>
      <c r="IXU109" s="32"/>
      <c r="IXV109" s="32"/>
      <c r="IXW109" s="32"/>
      <c r="IXX109" s="32"/>
      <c r="IXY109" s="32"/>
      <c r="IXZ109" s="32"/>
      <c r="IYA109" s="32"/>
      <c r="IYB109" s="32"/>
      <c r="IYC109" s="32"/>
      <c r="IYD109" s="32"/>
      <c r="IYE109" s="32"/>
      <c r="IYF109" s="32"/>
      <c r="IYG109" s="32"/>
      <c r="IYH109" s="32"/>
      <c r="IYI109" s="32"/>
      <c r="IYJ109" s="32"/>
      <c r="IYK109" s="32"/>
      <c r="IYL109" s="32"/>
      <c r="IYM109" s="32"/>
      <c r="IYN109" s="32"/>
      <c r="IYO109" s="32"/>
      <c r="IYP109" s="32"/>
      <c r="IYQ109" s="32"/>
      <c r="IYR109" s="32"/>
      <c r="IYS109" s="32"/>
      <c r="IYT109" s="32"/>
      <c r="IYU109" s="32"/>
      <c r="IYV109" s="32"/>
      <c r="IYW109" s="32"/>
      <c r="IYX109" s="32"/>
      <c r="IYY109" s="32"/>
      <c r="IYZ109" s="32"/>
      <c r="IZA109" s="32"/>
      <c r="IZB109" s="32"/>
      <c r="IZC109" s="32"/>
      <c r="IZD109" s="32"/>
      <c r="IZE109" s="32"/>
      <c r="IZF109" s="32"/>
      <c r="IZG109" s="32"/>
      <c r="IZH109" s="32"/>
      <c r="IZI109" s="32"/>
      <c r="IZJ109" s="32"/>
      <c r="IZK109" s="32"/>
      <c r="IZL109" s="32"/>
      <c r="IZM109" s="32"/>
      <c r="IZN109" s="32"/>
      <c r="IZO109" s="32"/>
      <c r="IZP109" s="32"/>
      <c r="IZQ109" s="32"/>
      <c r="IZR109" s="32"/>
      <c r="IZS109" s="32"/>
      <c r="IZT109" s="32"/>
      <c r="IZU109" s="32"/>
      <c r="IZV109" s="32"/>
      <c r="IZW109" s="32"/>
      <c r="IZX109" s="32"/>
      <c r="IZY109" s="32"/>
      <c r="IZZ109" s="32"/>
      <c r="JAA109" s="32"/>
      <c r="JAB109" s="32"/>
      <c r="JAC109" s="32"/>
      <c r="JAD109" s="32"/>
      <c r="JAE109" s="32"/>
      <c r="JAF109" s="32"/>
      <c r="JAG109" s="32"/>
      <c r="JAH109" s="32"/>
      <c r="JAI109" s="32"/>
      <c r="JAJ109" s="32"/>
      <c r="JAK109" s="32"/>
      <c r="JAL109" s="32"/>
      <c r="JAM109" s="32"/>
      <c r="JAN109" s="32"/>
      <c r="JAO109" s="32"/>
      <c r="JAP109" s="32"/>
      <c r="JAQ109" s="32"/>
      <c r="JAR109" s="32"/>
      <c r="JAS109" s="32"/>
      <c r="JAT109" s="32"/>
      <c r="JAU109" s="32"/>
      <c r="JAV109" s="32"/>
      <c r="JAW109" s="32"/>
      <c r="JAX109" s="32"/>
      <c r="JAY109" s="32"/>
      <c r="JAZ109" s="32"/>
      <c r="JBA109" s="32"/>
      <c r="JBB109" s="32"/>
      <c r="JBC109" s="32"/>
      <c r="JBD109" s="32"/>
      <c r="JBE109" s="32"/>
      <c r="JBF109" s="32"/>
      <c r="JBG109" s="32"/>
      <c r="JBH109" s="32"/>
      <c r="JBI109" s="32"/>
      <c r="JBJ109" s="32"/>
      <c r="JBK109" s="32"/>
      <c r="JBL109" s="32"/>
      <c r="JBM109" s="32"/>
      <c r="JBN109" s="32"/>
      <c r="JBO109" s="32"/>
      <c r="JBP109" s="32"/>
      <c r="JBQ109" s="32"/>
      <c r="JBR109" s="32"/>
      <c r="JBS109" s="32"/>
      <c r="JBT109" s="32"/>
      <c r="JBU109" s="32"/>
      <c r="JBV109" s="32"/>
      <c r="JBW109" s="32"/>
      <c r="JBX109" s="32"/>
      <c r="JBY109" s="32"/>
      <c r="JBZ109" s="32"/>
      <c r="JCA109" s="32"/>
      <c r="JCB109" s="32"/>
      <c r="JCC109" s="32"/>
      <c r="JCD109" s="32"/>
      <c r="JCE109" s="32"/>
      <c r="JCF109" s="32"/>
      <c r="JCG109" s="32"/>
      <c r="JCH109" s="32"/>
      <c r="JCI109" s="32"/>
      <c r="JCJ109" s="32"/>
      <c r="JCK109" s="32"/>
      <c r="JCL109" s="32"/>
      <c r="JCM109" s="32"/>
      <c r="JCN109" s="32"/>
      <c r="JCO109" s="32"/>
      <c r="JCP109" s="32"/>
      <c r="JCQ109" s="32"/>
      <c r="JCR109" s="32"/>
      <c r="JCS109" s="32"/>
      <c r="JCT109" s="32"/>
      <c r="JCU109" s="32"/>
      <c r="JCV109" s="32"/>
      <c r="JCW109" s="32"/>
      <c r="JCX109" s="32"/>
      <c r="JCY109" s="32"/>
      <c r="JCZ109" s="32"/>
      <c r="JDA109" s="32"/>
      <c r="JDB109" s="32"/>
      <c r="JDC109" s="32"/>
      <c r="JDD109" s="32"/>
      <c r="JDE109" s="32"/>
      <c r="JDF109" s="32"/>
      <c r="JDG109" s="32"/>
      <c r="JDH109" s="32"/>
      <c r="JDI109" s="32"/>
      <c r="JDJ109" s="32"/>
      <c r="JDK109" s="32"/>
      <c r="JDL109" s="32"/>
      <c r="JDM109" s="32"/>
      <c r="JDN109" s="32"/>
      <c r="JDO109" s="32"/>
      <c r="JDP109" s="32"/>
      <c r="JDQ109" s="32"/>
      <c r="JDR109" s="32"/>
      <c r="JDS109" s="32"/>
      <c r="JDT109" s="32"/>
      <c r="JDU109" s="32"/>
      <c r="JDV109" s="32"/>
      <c r="JDW109" s="32"/>
      <c r="JDX109" s="32"/>
      <c r="JDY109" s="32"/>
      <c r="JDZ109" s="32"/>
      <c r="JEA109" s="32"/>
      <c r="JEB109" s="32"/>
      <c r="JEC109" s="32"/>
      <c r="JED109" s="32"/>
      <c r="JEE109" s="32"/>
      <c r="JEF109" s="32"/>
      <c r="JEG109" s="32"/>
      <c r="JEH109" s="32"/>
      <c r="JEI109" s="32"/>
      <c r="JEJ109" s="32"/>
      <c r="JEK109" s="32"/>
      <c r="JEL109" s="32"/>
      <c r="JEM109" s="32"/>
      <c r="JEN109" s="32"/>
      <c r="JEO109" s="32"/>
      <c r="JEP109" s="32"/>
      <c r="JEQ109" s="32"/>
      <c r="JER109" s="32"/>
      <c r="JES109" s="32"/>
      <c r="JET109" s="32"/>
      <c r="JEU109" s="32"/>
      <c r="JEV109" s="32"/>
      <c r="JEW109" s="32"/>
      <c r="JEX109" s="32"/>
      <c r="JEY109" s="32"/>
      <c r="JEZ109" s="32"/>
      <c r="JFA109" s="32"/>
      <c r="JFB109" s="32"/>
      <c r="JFC109" s="32"/>
      <c r="JFD109" s="32"/>
      <c r="JFE109" s="32"/>
      <c r="JFF109" s="32"/>
      <c r="JFG109" s="32"/>
      <c r="JFH109" s="32"/>
      <c r="JFI109" s="32"/>
      <c r="JFJ109" s="32"/>
      <c r="JFK109" s="32"/>
      <c r="JFL109" s="32"/>
      <c r="JFM109" s="32"/>
      <c r="JFN109" s="32"/>
      <c r="JFO109" s="32"/>
      <c r="JFP109" s="32"/>
      <c r="JFQ109" s="32"/>
      <c r="JFR109" s="32"/>
      <c r="JFS109" s="32"/>
      <c r="JFT109" s="32"/>
      <c r="JFU109" s="32"/>
      <c r="JFV109" s="32"/>
      <c r="JFW109" s="32"/>
      <c r="JFX109" s="32"/>
      <c r="JFY109" s="32"/>
      <c r="JFZ109" s="32"/>
      <c r="JGA109" s="32"/>
      <c r="JGB109" s="32"/>
      <c r="JGC109" s="32"/>
      <c r="JGD109" s="32"/>
      <c r="JGE109" s="32"/>
      <c r="JGF109" s="32"/>
      <c r="JGG109" s="32"/>
      <c r="JGH109" s="32"/>
      <c r="JGI109" s="32"/>
      <c r="JGJ109" s="32"/>
      <c r="JGK109" s="32"/>
      <c r="JGL109" s="32"/>
      <c r="JGM109" s="32"/>
      <c r="JGN109" s="32"/>
      <c r="JGO109" s="32"/>
      <c r="JGP109" s="32"/>
      <c r="JGQ109" s="32"/>
      <c r="JGR109" s="32"/>
      <c r="JGS109" s="32"/>
      <c r="JGT109" s="32"/>
      <c r="JGU109" s="32"/>
      <c r="JGV109" s="32"/>
      <c r="JGW109" s="32"/>
      <c r="JGX109" s="32"/>
      <c r="JGY109" s="32"/>
      <c r="JGZ109" s="32"/>
      <c r="JHA109" s="32"/>
      <c r="JHB109" s="32"/>
      <c r="JHC109" s="32"/>
      <c r="JHD109" s="32"/>
      <c r="JHE109" s="32"/>
      <c r="JHF109" s="32"/>
      <c r="JHG109" s="32"/>
      <c r="JHH109" s="32"/>
      <c r="JHI109" s="32"/>
      <c r="JHJ109" s="32"/>
      <c r="JHK109" s="32"/>
      <c r="JHL109" s="32"/>
      <c r="JHM109" s="32"/>
      <c r="JHN109" s="32"/>
      <c r="JHO109" s="32"/>
      <c r="JHP109" s="32"/>
      <c r="JHQ109" s="32"/>
      <c r="JHR109" s="32"/>
      <c r="JHS109" s="32"/>
      <c r="JHT109" s="32"/>
      <c r="JHU109" s="32"/>
      <c r="JHV109" s="32"/>
      <c r="JHW109" s="32"/>
      <c r="JHX109" s="32"/>
      <c r="JHY109" s="32"/>
      <c r="JHZ109" s="32"/>
      <c r="JIA109" s="32"/>
      <c r="JIB109" s="32"/>
      <c r="JIC109" s="32"/>
      <c r="JID109" s="32"/>
      <c r="JIE109" s="32"/>
      <c r="JIF109" s="32"/>
      <c r="JIG109" s="32"/>
      <c r="JIH109" s="32"/>
      <c r="JII109" s="32"/>
      <c r="JIJ109" s="32"/>
      <c r="JIK109" s="32"/>
      <c r="JIL109" s="32"/>
      <c r="JIM109" s="32"/>
      <c r="JIN109" s="32"/>
      <c r="JIO109" s="32"/>
      <c r="JIP109" s="32"/>
      <c r="JIQ109" s="32"/>
      <c r="JIR109" s="32"/>
      <c r="JIS109" s="32"/>
      <c r="JIT109" s="32"/>
      <c r="JIU109" s="32"/>
      <c r="JIV109" s="32"/>
      <c r="JIW109" s="32"/>
      <c r="JIX109" s="32"/>
      <c r="JIY109" s="32"/>
      <c r="JIZ109" s="32"/>
      <c r="JJA109" s="32"/>
      <c r="JJB109" s="32"/>
      <c r="JJC109" s="32"/>
      <c r="JJD109" s="32"/>
      <c r="JJE109" s="32"/>
      <c r="JJF109" s="32"/>
      <c r="JJG109" s="32"/>
      <c r="JJH109" s="32"/>
      <c r="JJI109" s="32"/>
      <c r="JJJ109" s="32"/>
      <c r="JJK109" s="32"/>
      <c r="JJL109" s="32"/>
      <c r="JJM109" s="32"/>
      <c r="JJN109" s="32"/>
      <c r="JJO109" s="32"/>
      <c r="JJP109" s="32"/>
      <c r="JJQ109" s="32"/>
      <c r="JJR109" s="32"/>
      <c r="JJS109" s="32"/>
      <c r="JJT109" s="32"/>
      <c r="JJU109" s="32"/>
      <c r="JJV109" s="32"/>
      <c r="JJW109" s="32"/>
      <c r="JJX109" s="32"/>
      <c r="JJY109" s="32"/>
      <c r="JJZ109" s="32"/>
      <c r="JKA109" s="32"/>
      <c r="JKB109" s="32"/>
      <c r="JKC109" s="32"/>
      <c r="JKD109" s="32"/>
      <c r="JKE109" s="32"/>
      <c r="JKF109" s="32"/>
      <c r="JKG109" s="32"/>
      <c r="JKH109" s="32"/>
      <c r="JKI109" s="32"/>
      <c r="JKJ109" s="32"/>
      <c r="JKK109" s="32"/>
      <c r="JKL109" s="32"/>
      <c r="JKM109" s="32"/>
      <c r="JKN109" s="32"/>
      <c r="JKO109" s="32"/>
      <c r="JKP109" s="32"/>
      <c r="JKQ109" s="32"/>
      <c r="JKR109" s="32"/>
      <c r="JKS109" s="32"/>
      <c r="JKT109" s="32"/>
      <c r="JKU109" s="32"/>
      <c r="JKV109" s="32"/>
      <c r="JKW109" s="32"/>
      <c r="JKX109" s="32"/>
      <c r="JKY109" s="32"/>
      <c r="JKZ109" s="32"/>
      <c r="JLA109" s="32"/>
      <c r="JLB109" s="32"/>
      <c r="JLC109" s="32"/>
      <c r="JLD109" s="32"/>
      <c r="JLE109" s="32"/>
      <c r="JLF109" s="32"/>
      <c r="JLG109" s="32"/>
      <c r="JLH109" s="32"/>
      <c r="JLI109" s="32"/>
      <c r="JLJ109" s="32"/>
      <c r="JLK109" s="32"/>
      <c r="JLL109" s="32"/>
      <c r="JLM109" s="32"/>
      <c r="JLN109" s="32"/>
      <c r="JLO109" s="32"/>
      <c r="JLP109" s="32"/>
      <c r="JLQ109" s="32"/>
      <c r="JLR109" s="32"/>
      <c r="JLS109" s="32"/>
      <c r="JLT109" s="32"/>
      <c r="JLU109" s="32"/>
      <c r="JLV109" s="32"/>
      <c r="JLW109" s="32"/>
      <c r="JLX109" s="32"/>
      <c r="JLY109" s="32"/>
      <c r="JLZ109" s="32"/>
      <c r="JMA109" s="32"/>
      <c r="JMB109" s="32"/>
      <c r="JMC109" s="32"/>
      <c r="JMD109" s="32"/>
      <c r="JME109" s="32"/>
      <c r="JMF109" s="32"/>
      <c r="JMG109" s="32"/>
      <c r="JMH109" s="32"/>
      <c r="JMI109" s="32"/>
      <c r="JMJ109" s="32"/>
      <c r="JMK109" s="32"/>
      <c r="JML109" s="32"/>
      <c r="JMM109" s="32"/>
      <c r="JMN109" s="32"/>
      <c r="JMO109" s="32"/>
      <c r="JMP109" s="32"/>
      <c r="JMQ109" s="32"/>
      <c r="JMR109" s="32"/>
      <c r="JMS109" s="32"/>
      <c r="JMT109" s="32"/>
      <c r="JMU109" s="32"/>
      <c r="JMV109" s="32"/>
      <c r="JMW109" s="32"/>
      <c r="JMX109" s="32"/>
      <c r="JMY109" s="32"/>
      <c r="JMZ109" s="32"/>
      <c r="JNA109" s="32"/>
      <c r="JNB109" s="32"/>
      <c r="JNC109" s="32"/>
      <c r="JND109" s="32"/>
      <c r="JNE109" s="32"/>
      <c r="JNF109" s="32"/>
      <c r="JNG109" s="32"/>
      <c r="JNH109" s="32"/>
      <c r="JNI109" s="32"/>
      <c r="JNJ109" s="32"/>
      <c r="JNK109" s="32"/>
      <c r="JNL109" s="32"/>
      <c r="JNM109" s="32"/>
      <c r="JNN109" s="32"/>
      <c r="JNO109" s="32"/>
      <c r="JNP109" s="32"/>
      <c r="JNQ109" s="32"/>
      <c r="JNR109" s="32"/>
      <c r="JNS109" s="32"/>
      <c r="JNT109" s="32"/>
      <c r="JNU109" s="32"/>
      <c r="JNV109" s="32"/>
      <c r="JNW109" s="32"/>
      <c r="JNX109" s="32"/>
      <c r="JNY109" s="32"/>
      <c r="JNZ109" s="32"/>
      <c r="JOA109" s="32"/>
      <c r="JOB109" s="32"/>
      <c r="JOC109" s="32"/>
      <c r="JOD109" s="32"/>
      <c r="JOE109" s="32"/>
      <c r="JOF109" s="32"/>
      <c r="JOG109" s="32"/>
      <c r="JOH109" s="32"/>
      <c r="JOI109" s="32"/>
      <c r="JOJ109" s="32"/>
      <c r="JOK109" s="32"/>
      <c r="JOL109" s="32"/>
      <c r="JOM109" s="32"/>
      <c r="JON109" s="32"/>
      <c r="JOO109" s="32"/>
      <c r="JOP109" s="32"/>
      <c r="JOQ109" s="32"/>
      <c r="JOR109" s="32"/>
      <c r="JOS109" s="32"/>
      <c r="JOT109" s="32"/>
      <c r="JOU109" s="32"/>
      <c r="JOV109" s="32"/>
      <c r="JOW109" s="32"/>
      <c r="JOX109" s="32"/>
      <c r="JOY109" s="32"/>
      <c r="JOZ109" s="32"/>
      <c r="JPA109" s="32"/>
      <c r="JPB109" s="32"/>
      <c r="JPC109" s="32"/>
      <c r="JPD109" s="32"/>
      <c r="JPE109" s="32"/>
      <c r="JPF109" s="32"/>
      <c r="JPG109" s="32"/>
      <c r="JPH109" s="32"/>
      <c r="JPI109" s="32"/>
      <c r="JPJ109" s="32"/>
      <c r="JPK109" s="32"/>
      <c r="JPL109" s="32"/>
      <c r="JPM109" s="32"/>
      <c r="JPN109" s="32"/>
      <c r="JPO109" s="32"/>
      <c r="JPP109" s="32"/>
      <c r="JPQ109" s="32"/>
      <c r="JPR109" s="32"/>
      <c r="JPS109" s="32"/>
      <c r="JPT109" s="32"/>
      <c r="JPU109" s="32"/>
      <c r="JPV109" s="32"/>
      <c r="JPW109" s="32"/>
      <c r="JPX109" s="32"/>
      <c r="JPY109" s="32"/>
      <c r="JPZ109" s="32"/>
      <c r="JQA109" s="32"/>
      <c r="JQB109" s="32"/>
      <c r="JQC109" s="32"/>
      <c r="JQD109" s="32"/>
      <c r="JQE109" s="32"/>
      <c r="JQF109" s="32"/>
      <c r="JQG109" s="32"/>
      <c r="JQH109" s="32"/>
      <c r="JQI109" s="32"/>
      <c r="JQJ109" s="32"/>
      <c r="JQK109" s="32"/>
      <c r="JQL109" s="32"/>
      <c r="JQM109" s="32"/>
      <c r="JQN109" s="32"/>
      <c r="JQO109" s="32"/>
      <c r="JQP109" s="32"/>
      <c r="JQQ109" s="32"/>
      <c r="JQR109" s="32"/>
      <c r="JQS109" s="32"/>
      <c r="JQT109" s="32"/>
      <c r="JQU109" s="32"/>
      <c r="JQV109" s="32"/>
      <c r="JQW109" s="32"/>
      <c r="JQX109" s="32"/>
      <c r="JQY109" s="32"/>
      <c r="JQZ109" s="32"/>
      <c r="JRA109" s="32"/>
      <c r="JRB109" s="32"/>
      <c r="JRC109" s="32"/>
      <c r="JRD109" s="32"/>
      <c r="JRE109" s="32"/>
      <c r="JRF109" s="32"/>
      <c r="JRG109" s="32"/>
      <c r="JRH109" s="32"/>
      <c r="JRI109" s="32"/>
      <c r="JRJ109" s="32"/>
      <c r="JRK109" s="32"/>
      <c r="JRL109" s="32"/>
      <c r="JRM109" s="32"/>
      <c r="JRN109" s="32"/>
      <c r="JRO109" s="32"/>
      <c r="JRP109" s="32"/>
      <c r="JRQ109" s="32"/>
      <c r="JRR109" s="32"/>
      <c r="JRS109" s="32"/>
      <c r="JRT109" s="32"/>
      <c r="JRU109" s="32"/>
      <c r="JRV109" s="32"/>
      <c r="JRW109" s="32"/>
      <c r="JRX109" s="32"/>
      <c r="JRY109" s="32"/>
      <c r="JRZ109" s="32"/>
      <c r="JSA109" s="32"/>
      <c r="JSB109" s="32"/>
      <c r="JSC109" s="32"/>
      <c r="JSD109" s="32"/>
      <c r="JSE109" s="32"/>
      <c r="JSF109" s="32"/>
      <c r="JSG109" s="32"/>
      <c r="JSH109" s="32"/>
      <c r="JSI109" s="32"/>
      <c r="JSJ109" s="32"/>
      <c r="JSK109" s="32"/>
      <c r="JSL109" s="32"/>
      <c r="JSM109" s="32"/>
      <c r="JSN109" s="32"/>
      <c r="JSO109" s="32"/>
      <c r="JSP109" s="32"/>
      <c r="JSQ109" s="32"/>
      <c r="JSR109" s="32"/>
      <c r="JSS109" s="32"/>
      <c r="JST109" s="32"/>
      <c r="JSU109" s="32"/>
      <c r="JSV109" s="32"/>
      <c r="JSW109" s="32"/>
      <c r="JSX109" s="32"/>
      <c r="JSY109" s="32"/>
      <c r="JSZ109" s="32"/>
      <c r="JTA109" s="32"/>
      <c r="JTB109" s="32"/>
      <c r="JTC109" s="32"/>
      <c r="JTD109" s="32"/>
      <c r="JTE109" s="32"/>
      <c r="JTF109" s="32"/>
      <c r="JTG109" s="32"/>
      <c r="JTH109" s="32"/>
      <c r="JTI109" s="32"/>
      <c r="JTJ109" s="32"/>
      <c r="JTK109" s="32"/>
      <c r="JTL109" s="32"/>
      <c r="JTM109" s="32"/>
      <c r="JTN109" s="32"/>
      <c r="JTO109" s="32"/>
      <c r="JTP109" s="32"/>
      <c r="JTQ109" s="32"/>
      <c r="JTR109" s="32"/>
      <c r="JTS109" s="32"/>
      <c r="JTT109" s="32"/>
      <c r="JTU109" s="32"/>
      <c r="JTV109" s="32"/>
      <c r="JTW109" s="32"/>
      <c r="JTX109" s="32"/>
      <c r="JTY109" s="32"/>
      <c r="JTZ109" s="32"/>
      <c r="JUA109" s="32"/>
      <c r="JUB109" s="32"/>
      <c r="JUC109" s="32"/>
      <c r="JUD109" s="32"/>
      <c r="JUE109" s="32"/>
      <c r="JUF109" s="32"/>
      <c r="JUG109" s="32"/>
      <c r="JUH109" s="32"/>
      <c r="JUI109" s="32"/>
      <c r="JUJ109" s="32"/>
      <c r="JUK109" s="32"/>
      <c r="JUL109" s="32"/>
      <c r="JUM109" s="32"/>
      <c r="JUN109" s="32"/>
      <c r="JUO109" s="32"/>
      <c r="JUP109" s="32"/>
      <c r="JUQ109" s="32"/>
      <c r="JUR109" s="32"/>
      <c r="JUS109" s="32"/>
      <c r="JUT109" s="32"/>
      <c r="JUU109" s="32"/>
      <c r="JUV109" s="32"/>
      <c r="JUW109" s="32"/>
      <c r="JUX109" s="32"/>
      <c r="JUY109" s="32"/>
      <c r="JUZ109" s="32"/>
      <c r="JVA109" s="32"/>
      <c r="JVB109" s="32"/>
      <c r="JVC109" s="32"/>
      <c r="JVD109" s="32"/>
      <c r="JVE109" s="32"/>
      <c r="JVF109" s="32"/>
      <c r="JVG109" s="32"/>
      <c r="JVH109" s="32"/>
      <c r="JVI109" s="32"/>
      <c r="JVJ109" s="32"/>
      <c r="JVK109" s="32"/>
      <c r="JVL109" s="32"/>
      <c r="JVM109" s="32"/>
      <c r="JVN109" s="32"/>
      <c r="JVO109" s="32"/>
      <c r="JVP109" s="32"/>
      <c r="JVQ109" s="32"/>
      <c r="JVR109" s="32"/>
      <c r="JVS109" s="32"/>
      <c r="JVT109" s="32"/>
      <c r="JVU109" s="32"/>
      <c r="JVV109" s="32"/>
      <c r="JVW109" s="32"/>
      <c r="JVX109" s="32"/>
      <c r="JVY109" s="32"/>
      <c r="JVZ109" s="32"/>
      <c r="JWA109" s="32"/>
      <c r="JWB109" s="32"/>
      <c r="JWC109" s="32"/>
      <c r="JWD109" s="32"/>
      <c r="JWE109" s="32"/>
      <c r="JWF109" s="32"/>
      <c r="JWG109" s="32"/>
      <c r="JWH109" s="32"/>
      <c r="JWI109" s="32"/>
      <c r="JWJ109" s="32"/>
      <c r="JWK109" s="32"/>
      <c r="JWL109" s="32"/>
      <c r="JWM109" s="32"/>
      <c r="JWN109" s="32"/>
      <c r="JWO109" s="32"/>
      <c r="JWP109" s="32"/>
      <c r="JWQ109" s="32"/>
      <c r="JWR109" s="32"/>
      <c r="JWS109" s="32"/>
      <c r="JWT109" s="32"/>
      <c r="JWU109" s="32"/>
      <c r="JWV109" s="32"/>
      <c r="JWW109" s="32"/>
      <c r="JWX109" s="32"/>
      <c r="JWY109" s="32"/>
      <c r="JWZ109" s="32"/>
      <c r="JXA109" s="32"/>
      <c r="JXB109" s="32"/>
      <c r="JXC109" s="32"/>
      <c r="JXD109" s="32"/>
      <c r="JXE109" s="32"/>
      <c r="JXF109" s="32"/>
      <c r="JXG109" s="32"/>
      <c r="JXH109" s="32"/>
      <c r="JXI109" s="32"/>
      <c r="JXJ109" s="32"/>
      <c r="JXK109" s="32"/>
      <c r="JXL109" s="32"/>
      <c r="JXM109" s="32"/>
      <c r="JXN109" s="32"/>
      <c r="JXO109" s="32"/>
      <c r="JXP109" s="32"/>
      <c r="JXQ109" s="32"/>
      <c r="JXR109" s="32"/>
      <c r="JXS109" s="32"/>
      <c r="JXT109" s="32"/>
      <c r="JXU109" s="32"/>
      <c r="JXV109" s="32"/>
      <c r="JXW109" s="32"/>
      <c r="JXX109" s="32"/>
      <c r="JXY109" s="32"/>
      <c r="JXZ109" s="32"/>
      <c r="JYA109" s="32"/>
      <c r="JYB109" s="32"/>
      <c r="JYC109" s="32"/>
      <c r="JYD109" s="32"/>
      <c r="JYE109" s="32"/>
      <c r="JYF109" s="32"/>
      <c r="JYG109" s="32"/>
      <c r="JYH109" s="32"/>
      <c r="JYI109" s="32"/>
      <c r="JYJ109" s="32"/>
      <c r="JYK109" s="32"/>
      <c r="JYL109" s="32"/>
      <c r="JYM109" s="32"/>
      <c r="JYN109" s="32"/>
      <c r="JYO109" s="32"/>
      <c r="JYP109" s="32"/>
      <c r="JYQ109" s="32"/>
      <c r="JYR109" s="32"/>
      <c r="JYS109" s="32"/>
      <c r="JYT109" s="32"/>
      <c r="JYU109" s="32"/>
      <c r="JYV109" s="32"/>
      <c r="JYW109" s="32"/>
      <c r="JYX109" s="32"/>
      <c r="JYY109" s="32"/>
      <c r="JYZ109" s="32"/>
      <c r="JZA109" s="32"/>
      <c r="JZB109" s="32"/>
      <c r="JZC109" s="32"/>
      <c r="JZD109" s="32"/>
      <c r="JZE109" s="32"/>
      <c r="JZF109" s="32"/>
      <c r="JZG109" s="32"/>
      <c r="JZH109" s="32"/>
      <c r="JZI109" s="32"/>
      <c r="JZJ109" s="32"/>
      <c r="JZK109" s="32"/>
      <c r="JZL109" s="32"/>
      <c r="JZM109" s="32"/>
      <c r="JZN109" s="32"/>
      <c r="JZO109" s="32"/>
      <c r="JZP109" s="32"/>
      <c r="JZQ109" s="32"/>
      <c r="JZR109" s="32"/>
      <c r="JZS109" s="32"/>
      <c r="JZT109" s="32"/>
      <c r="JZU109" s="32"/>
      <c r="JZV109" s="32"/>
      <c r="JZW109" s="32"/>
      <c r="JZX109" s="32"/>
      <c r="JZY109" s="32"/>
      <c r="JZZ109" s="32"/>
      <c r="KAA109" s="32"/>
      <c r="KAB109" s="32"/>
      <c r="KAC109" s="32"/>
      <c r="KAD109" s="32"/>
      <c r="KAE109" s="32"/>
      <c r="KAF109" s="32"/>
      <c r="KAG109" s="32"/>
      <c r="KAH109" s="32"/>
      <c r="KAI109" s="32"/>
      <c r="KAJ109" s="32"/>
      <c r="KAK109" s="32"/>
      <c r="KAL109" s="32"/>
      <c r="KAM109" s="32"/>
      <c r="KAN109" s="32"/>
      <c r="KAO109" s="32"/>
      <c r="KAP109" s="32"/>
      <c r="KAQ109" s="32"/>
      <c r="KAR109" s="32"/>
      <c r="KAS109" s="32"/>
      <c r="KAT109" s="32"/>
      <c r="KAU109" s="32"/>
      <c r="KAV109" s="32"/>
      <c r="KAW109" s="32"/>
      <c r="KAX109" s="32"/>
      <c r="KAY109" s="32"/>
      <c r="KAZ109" s="32"/>
      <c r="KBA109" s="32"/>
      <c r="KBB109" s="32"/>
      <c r="KBC109" s="32"/>
      <c r="KBD109" s="32"/>
      <c r="KBE109" s="32"/>
      <c r="KBF109" s="32"/>
      <c r="KBG109" s="32"/>
      <c r="KBH109" s="32"/>
      <c r="KBI109" s="32"/>
      <c r="KBJ109" s="32"/>
      <c r="KBK109" s="32"/>
      <c r="KBL109" s="32"/>
      <c r="KBM109" s="32"/>
      <c r="KBN109" s="32"/>
      <c r="KBO109" s="32"/>
      <c r="KBP109" s="32"/>
      <c r="KBQ109" s="32"/>
      <c r="KBR109" s="32"/>
      <c r="KBS109" s="32"/>
      <c r="KBT109" s="32"/>
      <c r="KBU109" s="32"/>
      <c r="KBV109" s="32"/>
      <c r="KBW109" s="32"/>
      <c r="KBX109" s="32"/>
      <c r="KBY109" s="32"/>
      <c r="KBZ109" s="32"/>
      <c r="KCA109" s="32"/>
      <c r="KCB109" s="32"/>
      <c r="KCC109" s="32"/>
      <c r="KCD109" s="32"/>
      <c r="KCE109" s="32"/>
      <c r="KCF109" s="32"/>
      <c r="KCG109" s="32"/>
      <c r="KCH109" s="32"/>
      <c r="KCI109" s="32"/>
      <c r="KCJ109" s="32"/>
      <c r="KCK109" s="32"/>
      <c r="KCL109" s="32"/>
      <c r="KCM109" s="32"/>
      <c r="KCN109" s="32"/>
      <c r="KCO109" s="32"/>
      <c r="KCP109" s="32"/>
      <c r="KCQ109" s="32"/>
      <c r="KCR109" s="32"/>
      <c r="KCS109" s="32"/>
      <c r="KCT109" s="32"/>
      <c r="KCU109" s="32"/>
      <c r="KCV109" s="32"/>
      <c r="KCW109" s="32"/>
      <c r="KCX109" s="32"/>
      <c r="KCY109" s="32"/>
      <c r="KCZ109" s="32"/>
      <c r="KDA109" s="32"/>
      <c r="KDB109" s="32"/>
      <c r="KDC109" s="32"/>
      <c r="KDD109" s="32"/>
      <c r="KDE109" s="32"/>
      <c r="KDF109" s="32"/>
      <c r="KDG109" s="32"/>
      <c r="KDH109" s="32"/>
      <c r="KDI109" s="32"/>
      <c r="KDJ109" s="32"/>
      <c r="KDK109" s="32"/>
      <c r="KDL109" s="32"/>
      <c r="KDM109" s="32"/>
      <c r="KDN109" s="32"/>
      <c r="KDO109" s="32"/>
      <c r="KDP109" s="32"/>
      <c r="KDQ109" s="32"/>
      <c r="KDR109" s="32"/>
      <c r="KDS109" s="32"/>
      <c r="KDT109" s="32"/>
      <c r="KDU109" s="32"/>
      <c r="KDV109" s="32"/>
      <c r="KDW109" s="32"/>
      <c r="KDX109" s="32"/>
      <c r="KDY109" s="32"/>
      <c r="KDZ109" s="32"/>
      <c r="KEA109" s="32"/>
      <c r="KEB109" s="32"/>
      <c r="KEC109" s="32"/>
      <c r="KED109" s="32"/>
      <c r="KEE109" s="32"/>
      <c r="KEF109" s="32"/>
      <c r="KEG109" s="32"/>
      <c r="KEH109" s="32"/>
      <c r="KEI109" s="32"/>
      <c r="KEJ109" s="32"/>
      <c r="KEK109" s="32"/>
      <c r="KEL109" s="32"/>
      <c r="KEM109" s="32"/>
      <c r="KEN109" s="32"/>
      <c r="KEO109" s="32"/>
      <c r="KEP109" s="32"/>
      <c r="KEQ109" s="32"/>
      <c r="KER109" s="32"/>
      <c r="KES109" s="32"/>
      <c r="KET109" s="32"/>
      <c r="KEU109" s="32"/>
      <c r="KEV109" s="32"/>
      <c r="KEW109" s="32"/>
      <c r="KEX109" s="32"/>
      <c r="KEY109" s="32"/>
      <c r="KEZ109" s="32"/>
      <c r="KFA109" s="32"/>
      <c r="KFB109" s="32"/>
      <c r="KFC109" s="32"/>
      <c r="KFD109" s="32"/>
      <c r="KFE109" s="32"/>
      <c r="KFF109" s="32"/>
      <c r="KFG109" s="32"/>
      <c r="KFH109" s="32"/>
      <c r="KFI109" s="32"/>
      <c r="KFJ109" s="32"/>
      <c r="KFK109" s="32"/>
      <c r="KFL109" s="32"/>
      <c r="KFM109" s="32"/>
      <c r="KFN109" s="32"/>
      <c r="KFO109" s="32"/>
      <c r="KFP109" s="32"/>
      <c r="KFQ109" s="32"/>
      <c r="KFR109" s="32"/>
      <c r="KFS109" s="32"/>
      <c r="KFT109" s="32"/>
      <c r="KFU109" s="32"/>
      <c r="KFV109" s="32"/>
      <c r="KFW109" s="32"/>
      <c r="KFX109" s="32"/>
      <c r="KFY109" s="32"/>
      <c r="KFZ109" s="32"/>
      <c r="KGA109" s="32"/>
      <c r="KGB109" s="32"/>
      <c r="KGC109" s="32"/>
      <c r="KGD109" s="32"/>
      <c r="KGE109" s="32"/>
      <c r="KGF109" s="32"/>
      <c r="KGG109" s="32"/>
      <c r="KGH109" s="32"/>
      <c r="KGI109" s="32"/>
      <c r="KGJ109" s="32"/>
      <c r="KGK109" s="32"/>
      <c r="KGL109" s="32"/>
      <c r="KGM109" s="32"/>
      <c r="KGN109" s="32"/>
      <c r="KGO109" s="32"/>
      <c r="KGP109" s="32"/>
      <c r="KGQ109" s="32"/>
      <c r="KGR109" s="32"/>
      <c r="KGS109" s="32"/>
      <c r="KGT109" s="32"/>
      <c r="KGU109" s="32"/>
      <c r="KGV109" s="32"/>
      <c r="KGW109" s="32"/>
      <c r="KGX109" s="32"/>
      <c r="KGY109" s="32"/>
      <c r="KGZ109" s="32"/>
      <c r="KHA109" s="32"/>
      <c r="KHB109" s="32"/>
      <c r="KHC109" s="32"/>
      <c r="KHD109" s="32"/>
      <c r="KHE109" s="32"/>
      <c r="KHF109" s="32"/>
      <c r="KHG109" s="32"/>
      <c r="KHH109" s="32"/>
      <c r="KHI109" s="32"/>
      <c r="KHJ109" s="32"/>
      <c r="KHK109" s="32"/>
      <c r="KHL109" s="32"/>
      <c r="KHM109" s="32"/>
      <c r="KHN109" s="32"/>
      <c r="KHO109" s="32"/>
      <c r="KHP109" s="32"/>
      <c r="KHQ109" s="32"/>
      <c r="KHR109" s="32"/>
      <c r="KHS109" s="32"/>
      <c r="KHT109" s="32"/>
      <c r="KHU109" s="32"/>
      <c r="KHV109" s="32"/>
      <c r="KHW109" s="32"/>
      <c r="KHX109" s="32"/>
      <c r="KHY109" s="32"/>
      <c r="KHZ109" s="32"/>
      <c r="KIA109" s="32"/>
      <c r="KIB109" s="32"/>
      <c r="KIC109" s="32"/>
      <c r="KID109" s="32"/>
      <c r="KIE109" s="32"/>
      <c r="KIF109" s="32"/>
      <c r="KIG109" s="32"/>
      <c r="KIH109" s="32"/>
      <c r="KII109" s="32"/>
      <c r="KIJ109" s="32"/>
      <c r="KIK109" s="32"/>
      <c r="KIL109" s="32"/>
      <c r="KIM109" s="32"/>
      <c r="KIN109" s="32"/>
      <c r="KIO109" s="32"/>
      <c r="KIP109" s="32"/>
      <c r="KIQ109" s="32"/>
      <c r="KIR109" s="32"/>
      <c r="KIS109" s="32"/>
      <c r="KIT109" s="32"/>
      <c r="KIU109" s="32"/>
      <c r="KIV109" s="32"/>
      <c r="KIW109" s="32"/>
      <c r="KIX109" s="32"/>
      <c r="KIY109" s="32"/>
      <c r="KIZ109" s="32"/>
      <c r="KJA109" s="32"/>
      <c r="KJB109" s="32"/>
      <c r="KJC109" s="32"/>
      <c r="KJD109" s="32"/>
      <c r="KJE109" s="32"/>
      <c r="KJF109" s="32"/>
      <c r="KJG109" s="32"/>
      <c r="KJH109" s="32"/>
      <c r="KJI109" s="32"/>
      <c r="KJJ109" s="32"/>
      <c r="KJK109" s="32"/>
      <c r="KJL109" s="32"/>
      <c r="KJM109" s="32"/>
      <c r="KJN109" s="32"/>
      <c r="KJO109" s="32"/>
      <c r="KJP109" s="32"/>
      <c r="KJQ109" s="32"/>
      <c r="KJR109" s="32"/>
      <c r="KJS109" s="32"/>
      <c r="KJT109" s="32"/>
      <c r="KJU109" s="32"/>
      <c r="KJV109" s="32"/>
      <c r="KJW109" s="32"/>
      <c r="KJX109" s="32"/>
      <c r="KJY109" s="32"/>
      <c r="KJZ109" s="32"/>
      <c r="KKA109" s="32"/>
      <c r="KKB109" s="32"/>
      <c r="KKC109" s="32"/>
      <c r="KKD109" s="32"/>
      <c r="KKE109" s="32"/>
      <c r="KKF109" s="32"/>
      <c r="KKG109" s="32"/>
      <c r="KKH109" s="32"/>
      <c r="KKI109" s="32"/>
      <c r="KKJ109" s="32"/>
      <c r="KKK109" s="32"/>
      <c r="KKL109" s="32"/>
      <c r="KKM109" s="32"/>
      <c r="KKN109" s="32"/>
      <c r="KKO109" s="32"/>
      <c r="KKP109" s="32"/>
      <c r="KKQ109" s="32"/>
      <c r="KKR109" s="32"/>
      <c r="KKS109" s="32"/>
      <c r="KKT109" s="32"/>
      <c r="KKU109" s="32"/>
      <c r="KKV109" s="32"/>
      <c r="KKW109" s="32"/>
      <c r="KKX109" s="32"/>
      <c r="KKY109" s="32"/>
      <c r="KKZ109" s="32"/>
      <c r="KLA109" s="32"/>
      <c r="KLB109" s="32"/>
      <c r="KLC109" s="32"/>
      <c r="KLD109" s="32"/>
      <c r="KLE109" s="32"/>
      <c r="KLF109" s="32"/>
      <c r="KLG109" s="32"/>
      <c r="KLH109" s="32"/>
      <c r="KLI109" s="32"/>
      <c r="KLJ109" s="32"/>
      <c r="KLK109" s="32"/>
      <c r="KLL109" s="32"/>
      <c r="KLM109" s="32"/>
      <c r="KLN109" s="32"/>
      <c r="KLO109" s="32"/>
      <c r="KLP109" s="32"/>
      <c r="KLQ109" s="32"/>
      <c r="KLR109" s="32"/>
      <c r="KLS109" s="32"/>
      <c r="KLT109" s="32"/>
      <c r="KLU109" s="32"/>
      <c r="KLV109" s="32"/>
      <c r="KLW109" s="32"/>
      <c r="KLX109" s="32"/>
      <c r="KLY109" s="32"/>
      <c r="KLZ109" s="32"/>
      <c r="KMA109" s="32"/>
      <c r="KMB109" s="32"/>
      <c r="KMC109" s="32"/>
      <c r="KMD109" s="32"/>
      <c r="KME109" s="32"/>
      <c r="KMF109" s="32"/>
      <c r="KMG109" s="32"/>
      <c r="KMH109" s="32"/>
      <c r="KMI109" s="32"/>
      <c r="KMJ109" s="32"/>
      <c r="KMK109" s="32"/>
      <c r="KML109" s="32"/>
      <c r="KMM109" s="32"/>
      <c r="KMN109" s="32"/>
      <c r="KMO109" s="32"/>
      <c r="KMP109" s="32"/>
      <c r="KMQ109" s="32"/>
      <c r="KMR109" s="32"/>
      <c r="KMS109" s="32"/>
      <c r="KMT109" s="32"/>
      <c r="KMU109" s="32"/>
      <c r="KMV109" s="32"/>
      <c r="KMW109" s="32"/>
      <c r="KMX109" s="32"/>
      <c r="KMY109" s="32"/>
      <c r="KMZ109" s="32"/>
      <c r="KNA109" s="32"/>
      <c r="KNB109" s="32"/>
      <c r="KNC109" s="32"/>
      <c r="KND109" s="32"/>
      <c r="KNE109" s="32"/>
      <c r="KNF109" s="32"/>
      <c r="KNG109" s="32"/>
      <c r="KNH109" s="32"/>
      <c r="KNI109" s="32"/>
      <c r="KNJ109" s="32"/>
      <c r="KNK109" s="32"/>
      <c r="KNL109" s="32"/>
      <c r="KNM109" s="32"/>
      <c r="KNN109" s="32"/>
      <c r="KNO109" s="32"/>
      <c r="KNP109" s="32"/>
      <c r="KNQ109" s="32"/>
      <c r="KNR109" s="32"/>
      <c r="KNS109" s="32"/>
      <c r="KNT109" s="32"/>
      <c r="KNU109" s="32"/>
      <c r="KNV109" s="32"/>
      <c r="KNW109" s="32"/>
      <c r="KNX109" s="32"/>
      <c r="KNY109" s="32"/>
      <c r="KNZ109" s="32"/>
      <c r="KOA109" s="32"/>
      <c r="KOB109" s="32"/>
      <c r="KOC109" s="32"/>
      <c r="KOD109" s="32"/>
      <c r="KOE109" s="32"/>
      <c r="KOF109" s="32"/>
      <c r="KOG109" s="32"/>
      <c r="KOH109" s="32"/>
      <c r="KOI109" s="32"/>
      <c r="KOJ109" s="32"/>
      <c r="KOK109" s="32"/>
      <c r="KOL109" s="32"/>
      <c r="KOM109" s="32"/>
      <c r="KON109" s="32"/>
      <c r="KOO109" s="32"/>
      <c r="KOP109" s="32"/>
      <c r="KOQ109" s="32"/>
      <c r="KOR109" s="32"/>
      <c r="KOS109" s="32"/>
      <c r="KOT109" s="32"/>
      <c r="KOU109" s="32"/>
      <c r="KOV109" s="32"/>
      <c r="KOW109" s="32"/>
      <c r="KOX109" s="32"/>
      <c r="KOY109" s="32"/>
      <c r="KOZ109" s="32"/>
      <c r="KPA109" s="32"/>
      <c r="KPB109" s="32"/>
      <c r="KPC109" s="32"/>
      <c r="KPD109" s="32"/>
      <c r="KPE109" s="32"/>
      <c r="KPF109" s="32"/>
      <c r="KPG109" s="32"/>
      <c r="KPH109" s="32"/>
      <c r="KPI109" s="32"/>
      <c r="KPJ109" s="32"/>
      <c r="KPK109" s="32"/>
      <c r="KPL109" s="32"/>
      <c r="KPM109" s="32"/>
      <c r="KPN109" s="32"/>
      <c r="KPO109" s="32"/>
      <c r="KPP109" s="32"/>
      <c r="KPQ109" s="32"/>
      <c r="KPR109" s="32"/>
      <c r="KPS109" s="32"/>
      <c r="KPT109" s="32"/>
      <c r="KPU109" s="32"/>
      <c r="KPV109" s="32"/>
      <c r="KPW109" s="32"/>
      <c r="KPX109" s="32"/>
      <c r="KPY109" s="32"/>
      <c r="KPZ109" s="32"/>
      <c r="KQA109" s="32"/>
      <c r="KQB109" s="32"/>
      <c r="KQC109" s="32"/>
      <c r="KQD109" s="32"/>
      <c r="KQE109" s="32"/>
      <c r="KQF109" s="32"/>
      <c r="KQG109" s="32"/>
      <c r="KQH109" s="32"/>
      <c r="KQI109" s="32"/>
      <c r="KQJ109" s="32"/>
      <c r="KQK109" s="32"/>
      <c r="KQL109" s="32"/>
      <c r="KQM109" s="32"/>
      <c r="KQN109" s="32"/>
      <c r="KQO109" s="32"/>
      <c r="KQP109" s="32"/>
      <c r="KQQ109" s="32"/>
      <c r="KQR109" s="32"/>
      <c r="KQS109" s="32"/>
      <c r="KQT109" s="32"/>
      <c r="KQU109" s="32"/>
      <c r="KQV109" s="32"/>
      <c r="KQW109" s="32"/>
      <c r="KQX109" s="32"/>
      <c r="KQY109" s="32"/>
      <c r="KQZ109" s="32"/>
      <c r="KRA109" s="32"/>
      <c r="KRB109" s="32"/>
      <c r="KRC109" s="32"/>
      <c r="KRD109" s="32"/>
      <c r="KRE109" s="32"/>
      <c r="KRF109" s="32"/>
      <c r="KRG109" s="32"/>
      <c r="KRH109" s="32"/>
      <c r="KRI109" s="32"/>
      <c r="KRJ109" s="32"/>
      <c r="KRK109" s="32"/>
      <c r="KRL109" s="32"/>
      <c r="KRM109" s="32"/>
      <c r="KRN109" s="32"/>
      <c r="KRO109" s="32"/>
      <c r="KRP109" s="32"/>
      <c r="KRQ109" s="32"/>
      <c r="KRR109" s="32"/>
      <c r="KRS109" s="32"/>
      <c r="KRT109" s="32"/>
      <c r="KRU109" s="32"/>
      <c r="KRV109" s="32"/>
      <c r="KRW109" s="32"/>
      <c r="KRX109" s="32"/>
      <c r="KRY109" s="32"/>
      <c r="KRZ109" s="32"/>
      <c r="KSA109" s="32"/>
      <c r="KSB109" s="32"/>
      <c r="KSC109" s="32"/>
      <c r="KSD109" s="32"/>
      <c r="KSE109" s="32"/>
      <c r="KSF109" s="32"/>
      <c r="KSG109" s="32"/>
      <c r="KSH109" s="32"/>
      <c r="KSI109" s="32"/>
      <c r="KSJ109" s="32"/>
      <c r="KSK109" s="32"/>
      <c r="KSL109" s="32"/>
      <c r="KSM109" s="32"/>
      <c r="KSN109" s="32"/>
      <c r="KSO109" s="32"/>
      <c r="KSP109" s="32"/>
      <c r="KSQ109" s="32"/>
      <c r="KSR109" s="32"/>
      <c r="KSS109" s="32"/>
      <c r="KST109" s="32"/>
      <c r="KSU109" s="32"/>
      <c r="KSV109" s="32"/>
      <c r="KSW109" s="32"/>
      <c r="KSX109" s="32"/>
      <c r="KSY109" s="32"/>
      <c r="KSZ109" s="32"/>
      <c r="KTA109" s="32"/>
      <c r="KTB109" s="32"/>
      <c r="KTC109" s="32"/>
      <c r="KTD109" s="32"/>
      <c r="KTE109" s="32"/>
      <c r="KTF109" s="32"/>
      <c r="KTG109" s="32"/>
      <c r="KTH109" s="32"/>
      <c r="KTI109" s="32"/>
      <c r="KTJ109" s="32"/>
      <c r="KTK109" s="32"/>
      <c r="KTL109" s="32"/>
      <c r="KTM109" s="32"/>
      <c r="KTN109" s="32"/>
      <c r="KTO109" s="32"/>
      <c r="KTP109" s="32"/>
      <c r="KTQ109" s="32"/>
      <c r="KTR109" s="32"/>
      <c r="KTS109" s="32"/>
      <c r="KTT109" s="32"/>
      <c r="KTU109" s="32"/>
      <c r="KTV109" s="32"/>
      <c r="KTW109" s="32"/>
      <c r="KTX109" s="32"/>
      <c r="KTY109" s="32"/>
      <c r="KTZ109" s="32"/>
      <c r="KUA109" s="32"/>
      <c r="KUB109" s="32"/>
      <c r="KUC109" s="32"/>
      <c r="KUD109" s="32"/>
      <c r="KUE109" s="32"/>
      <c r="KUF109" s="32"/>
      <c r="KUG109" s="32"/>
      <c r="KUH109" s="32"/>
      <c r="KUI109" s="32"/>
      <c r="KUJ109" s="32"/>
      <c r="KUK109" s="32"/>
      <c r="KUL109" s="32"/>
      <c r="KUM109" s="32"/>
      <c r="KUN109" s="32"/>
      <c r="KUO109" s="32"/>
      <c r="KUP109" s="32"/>
      <c r="KUQ109" s="32"/>
      <c r="KUR109" s="32"/>
      <c r="KUS109" s="32"/>
      <c r="KUT109" s="32"/>
      <c r="KUU109" s="32"/>
      <c r="KUV109" s="32"/>
      <c r="KUW109" s="32"/>
      <c r="KUX109" s="32"/>
      <c r="KUY109" s="32"/>
      <c r="KUZ109" s="32"/>
      <c r="KVA109" s="32"/>
      <c r="KVB109" s="32"/>
      <c r="KVC109" s="32"/>
      <c r="KVD109" s="32"/>
      <c r="KVE109" s="32"/>
      <c r="KVF109" s="32"/>
      <c r="KVG109" s="32"/>
      <c r="KVH109" s="32"/>
      <c r="KVI109" s="32"/>
      <c r="KVJ109" s="32"/>
      <c r="KVK109" s="32"/>
      <c r="KVL109" s="32"/>
      <c r="KVM109" s="32"/>
      <c r="KVN109" s="32"/>
      <c r="KVO109" s="32"/>
      <c r="KVP109" s="32"/>
      <c r="KVQ109" s="32"/>
      <c r="KVR109" s="32"/>
      <c r="KVS109" s="32"/>
      <c r="KVT109" s="32"/>
      <c r="KVU109" s="32"/>
      <c r="KVV109" s="32"/>
      <c r="KVW109" s="32"/>
      <c r="KVX109" s="32"/>
      <c r="KVY109" s="32"/>
      <c r="KVZ109" s="32"/>
      <c r="KWA109" s="32"/>
      <c r="KWB109" s="32"/>
      <c r="KWC109" s="32"/>
      <c r="KWD109" s="32"/>
      <c r="KWE109" s="32"/>
      <c r="KWF109" s="32"/>
      <c r="KWG109" s="32"/>
      <c r="KWH109" s="32"/>
      <c r="KWI109" s="32"/>
      <c r="KWJ109" s="32"/>
      <c r="KWK109" s="32"/>
      <c r="KWL109" s="32"/>
      <c r="KWM109" s="32"/>
      <c r="KWN109" s="32"/>
      <c r="KWO109" s="32"/>
      <c r="KWP109" s="32"/>
      <c r="KWQ109" s="32"/>
      <c r="KWR109" s="32"/>
      <c r="KWS109" s="32"/>
      <c r="KWT109" s="32"/>
      <c r="KWU109" s="32"/>
      <c r="KWV109" s="32"/>
      <c r="KWW109" s="32"/>
      <c r="KWX109" s="32"/>
      <c r="KWY109" s="32"/>
      <c r="KWZ109" s="32"/>
      <c r="KXA109" s="32"/>
      <c r="KXB109" s="32"/>
      <c r="KXC109" s="32"/>
      <c r="KXD109" s="32"/>
      <c r="KXE109" s="32"/>
      <c r="KXF109" s="32"/>
      <c r="KXG109" s="32"/>
      <c r="KXH109" s="32"/>
      <c r="KXI109" s="32"/>
      <c r="KXJ109" s="32"/>
      <c r="KXK109" s="32"/>
      <c r="KXL109" s="32"/>
      <c r="KXM109" s="32"/>
      <c r="KXN109" s="32"/>
      <c r="KXO109" s="32"/>
      <c r="KXP109" s="32"/>
      <c r="KXQ109" s="32"/>
      <c r="KXR109" s="32"/>
      <c r="KXS109" s="32"/>
      <c r="KXT109" s="32"/>
      <c r="KXU109" s="32"/>
      <c r="KXV109" s="32"/>
      <c r="KXW109" s="32"/>
      <c r="KXX109" s="32"/>
      <c r="KXY109" s="32"/>
      <c r="KXZ109" s="32"/>
      <c r="KYA109" s="32"/>
      <c r="KYB109" s="32"/>
      <c r="KYC109" s="32"/>
      <c r="KYD109" s="32"/>
      <c r="KYE109" s="32"/>
      <c r="KYF109" s="32"/>
      <c r="KYG109" s="32"/>
      <c r="KYH109" s="32"/>
      <c r="KYI109" s="32"/>
      <c r="KYJ109" s="32"/>
      <c r="KYK109" s="32"/>
      <c r="KYL109" s="32"/>
      <c r="KYM109" s="32"/>
      <c r="KYN109" s="32"/>
      <c r="KYO109" s="32"/>
      <c r="KYP109" s="32"/>
      <c r="KYQ109" s="32"/>
      <c r="KYR109" s="32"/>
      <c r="KYS109" s="32"/>
      <c r="KYT109" s="32"/>
      <c r="KYU109" s="32"/>
      <c r="KYV109" s="32"/>
      <c r="KYW109" s="32"/>
      <c r="KYX109" s="32"/>
      <c r="KYY109" s="32"/>
      <c r="KYZ109" s="32"/>
      <c r="KZA109" s="32"/>
      <c r="KZB109" s="32"/>
      <c r="KZC109" s="32"/>
      <c r="KZD109" s="32"/>
      <c r="KZE109" s="32"/>
      <c r="KZF109" s="32"/>
      <c r="KZG109" s="32"/>
      <c r="KZH109" s="32"/>
      <c r="KZI109" s="32"/>
      <c r="KZJ109" s="32"/>
      <c r="KZK109" s="32"/>
      <c r="KZL109" s="32"/>
      <c r="KZM109" s="32"/>
      <c r="KZN109" s="32"/>
      <c r="KZO109" s="32"/>
      <c r="KZP109" s="32"/>
      <c r="KZQ109" s="32"/>
      <c r="KZR109" s="32"/>
      <c r="KZS109" s="32"/>
      <c r="KZT109" s="32"/>
      <c r="KZU109" s="32"/>
      <c r="KZV109" s="32"/>
      <c r="KZW109" s="32"/>
      <c r="KZX109" s="32"/>
      <c r="KZY109" s="32"/>
      <c r="KZZ109" s="32"/>
      <c r="LAA109" s="32"/>
      <c r="LAB109" s="32"/>
      <c r="LAC109" s="32"/>
      <c r="LAD109" s="32"/>
      <c r="LAE109" s="32"/>
      <c r="LAF109" s="32"/>
      <c r="LAG109" s="32"/>
      <c r="LAH109" s="32"/>
      <c r="LAI109" s="32"/>
      <c r="LAJ109" s="32"/>
      <c r="LAK109" s="32"/>
      <c r="LAL109" s="32"/>
      <c r="LAM109" s="32"/>
      <c r="LAN109" s="32"/>
      <c r="LAO109" s="32"/>
      <c r="LAP109" s="32"/>
      <c r="LAQ109" s="32"/>
      <c r="LAR109" s="32"/>
      <c r="LAS109" s="32"/>
      <c r="LAT109" s="32"/>
      <c r="LAU109" s="32"/>
      <c r="LAV109" s="32"/>
      <c r="LAW109" s="32"/>
      <c r="LAX109" s="32"/>
      <c r="LAY109" s="32"/>
      <c r="LAZ109" s="32"/>
      <c r="LBA109" s="32"/>
      <c r="LBB109" s="32"/>
      <c r="LBC109" s="32"/>
      <c r="LBD109" s="32"/>
      <c r="LBE109" s="32"/>
      <c r="LBF109" s="32"/>
      <c r="LBG109" s="32"/>
      <c r="LBH109" s="32"/>
      <c r="LBI109" s="32"/>
      <c r="LBJ109" s="32"/>
      <c r="LBK109" s="32"/>
      <c r="LBL109" s="32"/>
      <c r="LBM109" s="32"/>
      <c r="LBN109" s="32"/>
      <c r="LBO109" s="32"/>
      <c r="LBP109" s="32"/>
      <c r="LBQ109" s="32"/>
      <c r="LBR109" s="32"/>
      <c r="LBS109" s="32"/>
      <c r="LBT109" s="32"/>
      <c r="LBU109" s="32"/>
      <c r="LBV109" s="32"/>
      <c r="LBW109" s="32"/>
      <c r="LBX109" s="32"/>
      <c r="LBY109" s="32"/>
      <c r="LBZ109" s="32"/>
      <c r="LCA109" s="32"/>
      <c r="LCB109" s="32"/>
      <c r="LCC109" s="32"/>
      <c r="LCD109" s="32"/>
      <c r="LCE109" s="32"/>
      <c r="LCF109" s="32"/>
      <c r="LCG109" s="32"/>
      <c r="LCH109" s="32"/>
      <c r="LCI109" s="32"/>
      <c r="LCJ109" s="32"/>
      <c r="LCK109" s="32"/>
      <c r="LCL109" s="32"/>
      <c r="LCM109" s="32"/>
      <c r="LCN109" s="32"/>
      <c r="LCO109" s="32"/>
      <c r="LCP109" s="32"/>
      <c r="LCQ109" s="32"/>
      <c r="LCR109" s="32"/>
      <c r="LCS109" s="32"/>
      <c r="LCT109" s="32"/>
      <c r="LCU109" s="32"/>
      <c r="LCV109" s="32"/>
      <c r="LCW109" s="32"/>
      <c r="LCX109" s="32"/>
      <c r="LCY109" s="32"/>
      <c r="LCZ109" s="32"/>
      <c r="LDA109" s="32"/>
      <c r="LDB109" s="32"/>
      <c r="LDC109" s="32"/>
      <c r="LDD109" s="32"/>
      <c r="LDE109" s="32"/>
      <c r="LDF109" s="32"/>
      <c r="LDG109" s="32"/>
      <c r="LDH109" s="32"/>
      <c r="LDI109" s="32"/>
      <c r="LDJ109" s="32"/>
      <c r="LDK109" s="32"/>
      <c r="LDL109" s="32"/>
      <c r="LDM109" s="32"/>
      <c r="LDN109" s="32"/>
      <c r="LDO109" s="32"/>
      <c r="LDP109" s="32"/>
      <c r="LDQ109" s="32"/>
      <c r="LDR109" s="32"/>
      <c r="LDS109" s="32"/>
      <c r="LDT109" s="32"/>
      <c r="LDU109" s="32"/>
      <c r="LDV109" s="32"/>
      <c r="LDW109" s="32"/>
      <c r="LDX109" s="32"/>
      <c r="LDY109" s="32"/>
      <c r="LDZ109" s="32"/>
      <c r="LEA109" s="32"/>
      <c r="LEB109" s="32"/>
      <c r="LEC109" s="32"/>
      <c r="LED109" s="32"/>
      <c r="LEE109" s="32"/>
      <c r="LEF109" s="32"/>
      <c r="LEG109" s="32"/>
      <c r="LEH109" s="32"/>
      <c r="LEI109" s="32"/>
      <c r="LEJ109" s="32"/>
      <c r="LEK109" s="32"/>
      <c r="LEL109" s="32"/>
      <c r="LEM109" s="32"/>
      <c r="LEN109" s="32"/>
      <c r="LEO109" s="32"/>
      <c r="LEP109" s="32"/>
      <c r="LEQ109" s="32"/>
      <c r="LER109" s="32"/>
      <c r="LES109" s="32"/>
      <c r="LET109" s="32"/>
      <c r="LEU109" s="32"/>
      <c r="LEV109" s="32"/>
      <c r="LEW109" s="32"/>
      <c r="LEX109" s="32"/>
      <c r="LEY109" s="32"/>
      <c r="LEZ109" s="32"/>
      <c r="LFA109" s="32"/>
      <c r="LFB109" s="32"/>
      <c r="LFC109" s="32"/>
      <c r="LFD109" s="32"/>
      <c r="LFE109" s="32"/>
      <c r="LFF109" s="32"/>
      <c r="LFG109" s="32"/>
      <c r="LFH109" s="32"/>
      <c r="LFI109" s="32"/>
      <c r="LFJ109" s="32"/>
      <c r="LFK109" s="32"/>
      <c r="LFL109" s="32"/>
      <c r="LFM109" s="32"/>
      <c r="LFN109" s="32"/>
      <c r="LFO109" s="32"/>
      <c r="LFP109" s="32"/>
      <c r="LFQ109" s="32"/>
      <c r="LFR109" s="32"/>
      <c r="LFS109" s="32"/>
      <c r="LFT109" s="32"/>
      <c r="LFU109" s="32"/>
      <c r="LFV109" s="32"/>
      <c r="LFW109" s="32"/>
      <c r="LFX109" s="32"/>
      <c r="LFY109" s="32"/>
      <c r="LFZ109" s="32"/>
      <c r="LGA109" s="32"/>
      <c r="LGB109" s="32"/>
      <c r="LGC109" s="32"/>
      <c r="LGD109" s="32"/>
      <c r="LGE109" s="32"/>
      <c r="LGF109" s="32"/>
      <c r="LGG109" s="32"/>
      <c r="LGH109" s="32"/>
      <c r="LGI109" s="32"/>
      <c r="LGJ109" s="32"/>
      <c r="LGK109" s="32"/>
      <c r="LGL109" s="32"/>
      <c r="LGM109" s="32"/>
      <c r="LGN109" s="32"/>
      <c r="LGO109" s="32"/>
      <c r="LGP109" s="32"/>
      <c r="LGQ109" s="32"/>
      <c r="LGR109" s="32"/>
      <c r="LGS109" s="32"/>
      <c r="LGT109" s="32"/>
      <c r="LGU109" s="32"/>
      <c r="LGV109" s="32"/>
      <c r="LGW109" s="32"/>
      <c r="LGX109" s="32"/>
      <c r="LGY109" s="32"/>
      <c r="LGZ109" s="32"/>
      <c r="LHA109" s="32"/>
      <c r="LHB109" s="32"/>
      <c r="LHC109" s="32"/>
      <c r="LHD109" s="32"/>
      <c r="LHE109" s="32"/>
      <c r="LHF109" s="32"/>
      <c r="LHG109" s="32"/>
      <c r="LHH109" s="32"/>
      <c r="LHI109" s="32"/>
      <c r="LHJ109" s="32"/>
      <c r="LHK109" s="32"/>
      <c r="LHL109" s="32"/>
      <c r="LHM109" s="32"/>
      <c r="LHN109" s="32"/>
      <c r="LHO109" s="32"/>
      <c r="LHP109" s="32"/>
      <c r="LHQ109" s="32"/>
      <c r="LHR109" s="32"/>
      <c r="LHS109" s="32"/>
      <c r="LHT109" s="32"/>
      <c r="LHU109" s="32"/>
      <c r="LHV109" s="32"/>
      <c r="LHW109" s="32"/>
      <c r="LHX109" s="32"/>
      <c r="LHY109" s="32"/>
      <c r="LHZ109" s="32"/>
      <c r="LIA109" s="32"/>
      <c r="LIB109" s="32"/>
      <c r="LIC109" s="32"/>
      <c r="LID109" s="32"/>
      <c r="LIE109" s="32"/>
      <c r="LIF109" s="32"/>
      <c r="LIG109" s="32"/>
      <c r="LIH109" s="32"/>
      <c r="LII109" s="32"/>
      <c r="LIJ109" s="32"/>
      <c r="LIK109" s="32"/>
      <c r="LIL109" s="32"/>
      <c r="LIM109" s="32"/>
      <c r="LIN109" s="32"/>
      <c r="LIO109" s="32"/>
      <c r="LIP109" s="32"/>
      <c r="LIQ109" s="32"/>
      <c r="LIR109" s="32"/>
      <c r="LIS109" s="32"/>
      <c r="LIT109" s="32"/>
      <c r="LIU109" s="32"/>
      <c r="LIV109" s="32"/>
      <c r="LIW109" s="32"/>
      <c r="LIX109" s="32"/>
      <c r="LIY109" s="32"/>
      <c r="LIZ109" s="32"/>
      <c r="LJA109" s="32"/>
      <c r="LJB109" s="32"/>
      <c r="LJC109" s="32"/>
      <c r="LJD109" s="32"/>
      <c r="LJE109" s="32"/>
      <c r="LJF109" s="32"/>
      <c r="LJG109" s="32"/>
      <c r="LJH109" s="32"/>
      <c r="LJI109" s="32"/>
      <c r="LJJ109" s="32"/>
      <c r="LJK109" s="32"/>
      <c r="LJL109" s="32"/>
      <c r="LJM109" s="32"/>
      <c r="LJN109" s="32"/>
      <c r="LJO109" s="32"/>
      <c r="LJP109" s="32"/>
      <c r="LJQ109" s="32"/>
      <c r="LJR109" s="32"/>
      <c r="LJS109" s="32"/>
      <c r="LJT109" s="32"/>
      <c r="LJU109" s="32"/>
      <c r="LJV109" s="32"/>
      <c r="LJW109" s="32"/>
      <c r="LJX109" s="32"/>
      <c r="LJY109" s="32"/>
      <c r="LJZ109" s="32"/>
      <c r="LKA109" s="32"/>
      <c r="LKB109" s="32"/>
      <c r="LKC109" s="32"/>
      <c r="LKD109" s="32"/>
      <c r="LKE109" s="32"/>
      <c r="LKF109" s="32"/>
      <c r="LKG109" s="32"/>
      <c r="LKH109" s="32"/>
      <c r="LKI109" s="32"/>
      <c r="LKJ109" s="32"/>
      <c r="LKK109" s="32"/>
      <c r="LKL109" s="32"/>
      <c r="LKM109" s="32"/>
      <c r="LKN109" s="32"/>
      <c r="LKO109" s="32"/>
      <c r="LKP109" s="32"/>
      <c r="LKQ109" s="32"/>
      <c r="LKR109" s="32"/>
      <c r="LKS109" s="32"/>
      <c r="LKT109" s="32"/>
      <c r="LKU109" s="32"/>
      <c r="LKV109" s="32"/>
      <c r="LKW109" s="32"/>
      <c r="LKX109" s="32"/>
      <c r="LKY109" s="32"/>
      <c r="LKZ109" s="32"/>
      <c r="LLA109" s="32"/>
      <c r="LLB109" s="32"/>
      <c r="LLC109" s="32"/>
      <c r="LLD109" s="32"/>
      <c r="LLE109" s="32"/>
      <c r="LLF109" s="32"/>
      <c r="LLG109" s="32"/>
      <c r="LLH109" s="32"/>
      <c r="LLI109" s="32"/>
      <c r="LLJ109" s="32"/>
      <c r="LLK109" s="32"/>
      <c r="LLL109" s="32"/>
      <c r="LLM109" s="32"/>
      <c r="LLN109" s="32"/>
      <c r="LLO109" s="32"/>
      <c r="LLP109" s="32"/>
      <c r="LLQ109" s="32"/>
      <c r="LLR109" s="32"/>
      <c r="LLS109" s="32"/>
      <c r="LLT109" s="32"/>
      <c r="LLU109" s="32"/>
      <c r="LLV109" s="32"/>
      <c r="LLW109" s="32"/>
      <c r="LLX109" s="32"/>
      <c r="LLY109" s="32"/>
      <c r="LLZ109" s="32"/>
      <c r="LMA109" s="32"/>
      <c r="LMB109" s="32"/>
      <c r="LMC109" s="32"/>
      <c r="LMD109" s="32"/>
      <c r="LME109" s="32"/>
      <c r="LMF109" s="32"/>
      <c r="LMG109" s="32"/>
      <c r="LMH109" s="32"/>
      <c r="LMI109" s="32"/>
      <c r="LMJ109" s="32"/>
      <c r="LMK109" s="32"/>
      <c r="LML109" s="32"/>
      <c r="LMM109" s="32"/>
      <c r="LMN109" s="32"/>
      <c r="LMO109" s="32"/>
      <c r="LMP109" s="32"/>
      <c r="LMQ109" s="32"/>
      <c r="LMR109" s="32"/>
      <c r="LMS109" s="32"/>
      <c r="LMT109" s="32"/>
      <c r="LMU109" s="32"/>
      <c r="LMV109" s="32"/>
      <c r="LMW109" s="32"/>
      <c r="LMX109" s="32"/>
      <c r="LMY109" s="32"/>
      <c r="LMZ109" s="32"/>
      <c r="LNA109" s="32"/>
      <c r="LNB109" s="32"/>
      <c r="LNC109" s="32"/>
      <c r="LND109" s="32"/>
      <c r="LNE109" s="32"/>
      <c r="LNF109" s="32"/>
      <c r="LNG109" s="32"/>
      <c r="LNH109" s="32"/>
      <c r="LNI109" s="32"/>
      <c r="LNJ109" s="32"/>
      <c r="LNK109" s="32"/>
      <c r="LNL109" s="32"/>
      <c r="LNM109" s="32"/>
      <c r="LNN109" s="32"/>
      <c r="LNO109" s="32"/>
      <c r="LNP109" s="32"/>
      <c r="LNQ109" s="32"/>
      <c r="LNR109" s="32"/>
      <c r="LNS109" s="32"/>
      <c r="LNT109" s="32"/>
      <c r="LNU109" s="32"/>
      <c r="LNV109" s="32"/>
      <c r="LNW109" s="32"/>
      <c r="LNX109" s="32"/>
      <c r="LNY109" s="32"/>
      <c r="LNZ109" s="32"/>
      <c r="LOA109" s="32"/>
      <c r="LOB109" s="32"/>
      <c r="LOC109" s="32"/>
      <c r="LOD109" s="32"/>
      <c r="LOE109" s="32"/>
      <c r="LOF109" s="32"/>
      <c r="LOG109" s="32"/>
      <c r="LOH109" s="32"/>
      <c r="LOI109" s="32"/>
      <c r="LOJ109" s="32"/>
      <c r="LOK109" s="32"/>
      <c r="LOL109" s="32"/>
      <c r="LOM109" s="32"/>
      <c r="LON109" s="32"/>
      <c r="LOO109" s="32"/>
      <c r="LOP109" s="32"/>
      <c r="LOQ109" s="32"/>
      <c r="LOR109" s="32"/>
      <c r="LOS109" s="32"/>
      <c r="LOT109" s="32"/>
      <c r="LOU109" s="32"/>
      <c r="LOV109" s="32"/>
      <c r="LOW109" s="32"/>
      <c r="LOX109" s="32"/>
      <c r="LOY109" s="32"/>
      <c r="LOZ109" s="32"/>
      <c r="LPA109" s="32"/>
      <c r="LPB109" s="32"/>
      <c r="LPC109" s="32"/>
      <c r="LPD109" s="32"/>
      <c r="LPE109" s="32"/>
      <c r="LPF109" s="32"/>
      <c r="LPG109" s="32"/>
      <c r="LPH109" s="32"/>
      <c r="LPI109" s="32"/>
      <c r="LPJ109" s="32"/>
      <c r="LPK109" s="32"/>
      <c r="LPL109" s="32"/>
      <c r="LPM109" s="32"/>
      <c r="LPN109" s="32"/>
      <c r="LPO109" s="32"/>
      <c r="LPP109" s="32"/>
      <c r="LPQ109" s="32"/>
      <c r="LPR109" s="32"/>
      <c r="LPS109" s="32"/>
      <c r="LPT109" s="32"/>
      <c r="LPU109" s="32"/>
      <c r="LPV109" s="32"/>
      <c r="LPW109" s="32"/>
      <c r="LPX109" s="32"/>
      <c r="LPY109" s="32"/>
      <c r="LPZ109" s="32"/>
      <c r="LQA109" s="32"/>
      <c r="LQB109" s="32"/>
      <c r="LQC109" s="32"/>
      <c r="LQD109" s="32"/>
      <c r="LQE109" s="32"/>
      <c r="LQF109" s="32"/>
      <c r="LQG109" s="32"/>
      <c r="LQH109" s="32"/>
      <c r="LQI109" s="32"/>
      <c r="LQJ109" s="32"/>
      <c r="LQK109" s="32"/>
      <c r="LQL109" s="32"/>
      <c r="LQM109" s="32"/>
      <c r="LQN109" s="32"/>
      <c r="LQO109" s="32"/>
      <c r="LQP109" s="32"/>
      <c r="LQQ109" s="32"/>
      <c r="LQR109" s="32"/>
      <c r="LQS109" s="32"/>
      <c r="LQT109" s="32"/>
      <c r="LQU109" s="32"/>
      <c r="LQV109" s="32"/>
      <c r="LQW109" s="32"/>
      <c r="LQX109" s="32"/>
      <c r="LQY109" s="32"/>
      <c r="LQZ109" s="32"/>
      <c r="LRA109" s="32"/>
      <c r="LRB109" s="32"/>
      <c r="LRC109" s="32"/>
      <c r="LRD109" s="32"/>
      <c r="LRE109" s="32"/>
      <c r="LRF109" s="32"/>
      <c r="LRG109" s="32"/>
      <c r="LRH109" s="32"/>
      <c r="LRI109" s="32"/>
      <c r="LRJ109" s="32"/>
      <c r="LRK109" s="32"/>
      <c r="LRL109" s="32"/>
      <c r="LRM109" s="32"/>
      <c r="LRN109" s="32"/>
      <c r="LRO109" s="32"/>
      <c r="LRP109" s="32"/>
      <c r="LRQ109" s="32"/>
      <c r="LRR109" s="32"/>
      <c r="LRS109" s="32"/>
      <c r="LRT109" s="32"/>
      <c r="LRU109" s="32"/>
      <c r="LRV109" s="32"/>
      <c r="LRW109" s="32"/>
      <c r="LRX109" s="32"/>
      <c r="LRY109" s="32"/>
      <c r="LRZ109" s="32"/>
      <c r="LSA109" s="32"/>
      <c r="LSB109" s="32"/>
      <c r="LSC109" s="32"/>
      <c r="LSD109" s="32"/>
      <c r="LSE109" s="32"/>
      <c r="LSF109" s="32"/>
      <c r="LSG109" s="32"/>
      <c r="LSH109" s="32"/>
      <c r="LSI109" s="32"/>
      <c r="LSJ109" s="32"/>
      <c r="LSK109" s="32"/>
      <c r="LSL109" s="32"/>
      <c r="LSM109" s="32"/>
      <c r="LSN109" s="32"/>
      <c r="LSO109" s="32"/>
      <c r="LSP109" s="32"/>
      <c r="LSQ109" s="32"/>
      <c r="LSR109" s="32"/>
      <c r="LSS109" s="32"/>
      <c r="LST109" s="32"/>
      <c r="LSU109" s="32"/>
      <c r="LSV109" s="32"/>
      <c r="LSW109" s="32"/>
      <c r="LSX109" s="32"/>
      <c r="LSY109" s="32"/>
      <c r="LSZ109" s="32"/>
      <c r="LTA109" s="32"/>
      <c r="LTB109" s="32"/>
      <c r="LTC109" s="32"/>
      <c r="LTD109" s="32"/>
      <c r="LTE109" s="32"/>
      <c r="LTF109" s="32"/>
      <c r="LTG109" s="32"/>
      <c r="LTH109" s="32"/>
      <c r="LTI109" s="32"/>
      <c r="LTJ109" s="32"/>
      <c r="LTK109" s="32"/>
      <c r="LTL109" s="32"/>
      <c r="LTM109" s="32"/>
      <c r="LTN109" s="32"/>
      <c r="LTO109" s="32"/>
      <c r="LTP109" s="32"/>
      <c r="LTQ109" s="32"/>
      <c r="LTR109" s="32"/>
      <c r="LTS109" s="32"/>
      <c r="LTT109" s="32"/>
      <c r="LTU109" s="32"/>
      <c r="LTV109" s="32"/>
      <c r="LTW109" s="32"/>
      <c r="LTX109" s="32"/>
      <c r="LTY109" s="32"/>
      <c r="LTZ109" s="32"/>
      <c r="LUA109" s="32"/>
      <c r="LUB109" s="32"/>
      <c r="LUC109" s="32"/>
      <c r="LUD109" s="32"/>
      <c r="LUE109" s="32"/>
      <c r="LUF109" s="32"/>
      <c r="LUG109" s="32"/>
      <c r="LUH109" s="32"/>
      <c r="LUI109" s="32"/>
      <c r="LUJ109" s="32"/>
      <c r="LUK109" s="32"/>
      <c r="LUL109" s="32"/>
      <c r="LUM109" s="32"/>
      <c r="LUN109" s="32"/>
      <c r="LUO109" s="32"/>
      <c r="LUP109" s="32"/>
      <c r="LUQ109" s="32"/>
      <c r="LUR109" s="32"/>
      <c r="LUS109" s="32"/>
      <c r="LUT109" s="32"/>
      <c r="LUU109" s="32"/>
      <c r="LUV109" s="32"/>
      <c r="LUW109" s="32"/>
      <c r="LUX109" s="32"/>
      <c r="LUY109" s="32"/>
      <c r="LUZ109" s="32"/>
      <c r="LVA109" s="32"/>
      <c r="LVB109" s="32"/>
      <c r="LVC109" s="32"/>
      <c r="LVD109" s="32"/>
      <c r="LVE109" s="32"/>
      <c r="LVF109" s="32"/>
      <c r="LVG109" s="32"/>
      <c r="LVH109" s="32"/>
      <c r="LVI109" s="32"/>
      <c r="LVJ109" s="32"/>
      <c r="LVK109" s="32"/>
      <c r="LVL109" s="32"/>
      <c r="LVM109" s="32"/>
      <c r="LVN109" s="32"/>
      <c r="LVO109" s="32"/>
      <c r="LVP109" s="32"/>
      <c r="LVQ109" s="32"/>
      <c r="LVR109" s="32"/>
      <c r="LVS109" s="32"/>
      <c r="LVT109" s="32"/>
      <c r="LVU109" s="32"/>
      <c r="LVV109" s="32"/>
      <c r="LVW109" s="32"/>
      <c r="LVX109" s="32"/>
      <c r="LVY109" s="32"/>
      <c r="LVZ109" s="32"/>
      <c r="LWA109" s="32"/>
      <c r="LWB109" s="32"/>
      <c r="LWC109" s="32"/>
      <c r="LWD109" s="32"/>
      <c r="LWE109" s="32"/>
      <c r="LWF109" s="32"/>
      <c r="LWG109" s="32"/>
      <c r="LWH109" s="32"/>
      <c r="LWI109" s="32"/>
      <c r="LWJ109" s="32"/>
      <c r="LWK109" s="32"/>
      <c r="LWL109" s="32"/>
      <c r="LWM109" s="32"/>
      <c r="LWN109" s="32"/>
      <c r="LWO109" s="32"/>
      <c r="LWP109" s="32"/>
      <c r="LWQ109" s="32"/>
      <c r="LWR109" s="32"/>
      <c r="LWS109" s="32"/>
      <c r="LWT109" s="32"/>
      <c r="LWU109" s="32"/>
      <c r="LWV109" s="32"/>
      <c r="LWW109" s="32"/>
      <c r="LWX109" s="32"/>
      <c r="LWY109" s="32"/>
      <c r="LWZ109" s="32"/>
      <c r="LXA109" s="32"/>
      <c r="LXB109" s="32"/>
      <c r="LXC109" s="32"/>
      <c r="LXD109" s="32"/>
      <c r="LXE109" s="32"/>
      <c r="LXF109" s="32"/>
      <c r="LXG109" s="32"/>
      <c r="LXH109" s="32"/>
      <c r="LXI109" s="32"/>
      <c r="LXJ109" s="32"/>
      <c r="LXK109" s="32"/>
      <c r="LXL109" s="32"/>
      <c r="LXM109" s="32"/>
      <c r="LXN109" s="32"/>
      <c r="LXO109" s="32"/>
      <c r="LXP109" s="32"/>
      <c r="LXQ109" s="32"/>
      <c r="LXR109" s="32"/>
      <c r="LXS109" s="32"/>
      <c r="LXT109" s="32"/>
      <c r="LXU109" s="32"/>
      <c r="LXV109" s="32"/>
      <c r="LXW109" s="32"/>
      <c r="LXX109" s="32"/>
      <c r="LXY109" s="32"/>
      <c r="LXZ109" s="32"/>
      <c r="LYA109" s="32"/>
      <c r="LYB109" s="32"/>
      <c r="LYC109" s="32"/>
      <c r="LYD109" s="32"/>
      <c r="LYE109" s="32"/>
      <c r="LYF109" s="32"/>
      <c r="LYG109" s="32"/>
      <c r="LYH109" s="32"/>
      <c r="LYI109" s="32"/>
      <c r="LYJ109" s="32"/>
      <c r="LYK109" s="32"/>
      <c r="LYL109" s="32"/>
      <c r="LYM109" s="32"/>
      <c r="LYN109" s="32"/>
      <c r="LYO109" s="32"/>
      <c r="LYP109" s="32"/>
      <c r="LYQ109" s="32"/>
      <c r="LYR109" s="32"/>
      <c r="LYS109" s="32"/>
      <c r="LYT109" s="32"/>
      <c r="LYU109" s="32"/>
      <c r="LYV109" s="32"/>
      <c r="LYW109" s="32"/>
      <c r="LYX109" s="32"/>
      <c r="LYY109" s="32"/>
      <c r="LYZ109" s="32"/>
      <c r="LZA109" s="32"/>
      <c r="LZB109" s="32"/>
      <c r="LZC109" s="32"/>
      <c r="LZD109" s="32"/>
      <c r="LZE109" s="32"/>
      <c r="LZF109" s="32"/>
      <c r="LZG109" s="32"/>
      <c r="LZH109" s="32"/>
      <c r="LZI109" s="32"/>
      <c r="LZJ109" s="32"/>
      <c r="LZK109" s="32"/>
      <c r="LZL109" s="32"/>
      <c r="LZM109" s="32"/>
      <c r="LZN109" s="32"/>
      <c r="LZO109" s="32"/>
      <c r="LZP109" s="32"/>
      <c r="LZQ109" s="32"/>
      <c r="LZR109" s="32"/>
      <c r="LZS109" s="32"/>
      <c r="LZT109" s="32"/>
      <c r="LZU109" s="32"/>
      <c r="LZV109" s="32"/>
      <c r="LZW109" s="32"/>
      <c r="LZX109" s="32"/>
      <c r="LZY109" s="32"/>
      <c r="LZZ109" s="32"/>
      <c r="MAA109" s="32"/>
      <c r="MAB109" s="32"/>
      <c r="MAC109" s="32"/>
      <c r="MAD109" s="32"/>
      <c r="MAE109" s="32"/>
      <c r="MAF109" s="32"/>
      <c r="MAG109" s="32"/>
      <c r="MAH109" s="32"/>
      <c r="MAI109" s="32"/>
      <c r="MAJ109" s="32"/>
      <c r="MAK109" s="32"/>
      <c r="MAL109" s="32"/>
      <c r="MAM109" s="32"/>
      <c r="MAN109" s="32"/>
      <c r="MAO109" s="32"/>
      <c r="MAP109" s="32"/>
      <c r="MAQ109" s="32"/>
      <c r="MAR109" s="32"/>
      <c r="MAS109" s="32"/>
      <c r="MAT109" s="32"/>
      <c r="MAU109" s="32"/>
      <c r="MAV109" s="32"/>
      <c r="MAW109" s="32"/>
      <c r="MAX109" s="32"/>
      <c r="MAY109" s="32"/>
      <c r="MAZ109" s="32"/>
      <c r="MBA109" s="32"/>
      <c r="MBB109" s="32"/>
      <c r="MBC109" s="32"/>
      <c r="MBD109" s="32"/>
      <c r="MBE109" s="32"/>
      <c r="MBF109" s="32"/>
      <c r="MBG109" s="32"/>
      <c r="MBH109" s="32"/>
      <c r="MBI109" s="32"/>
      <c r="MBJ109" s="32"/>
      <c r="MBK109" s="32"/>
      <c r="MBL109" s="32"/>
      <c r="MBM109" s="32"/>
      <c r="MBN109" s="32"/>
      <c r="MBO109" s="32"/>
      <c r="MBP109" s="32"/>
      <c r="MBQ109" s="32"/>
      <c r="MBR109" s="32"/>
      <c r="MBS109" s="32"/>
      <c r="MBT109" s="32"/>
      <c r="MBU109" s="32"/>
      <c r="MBV109" s="32"/>
      <c r="MBW109" s="32"/>
      <c r="MBX109" s="32"/>
      <c r="MBY109" s="32"/>
      <c r="MBZ109" s="32"/>
      <c r="MCA109" s="32"/>
      <c r="MCB109" s="32"/>
      <c r="MCC109" s="32"/>
      <c r="MCD109" s="32"/>
      <c r="MCE109" s="32"/>
      <c r="MCF109" s="32"/>
      <c r="MCG109" s="32"/>
      <c r="MCH109" s="32"/>
      <c r="MCI109" s="32"/>
      <c r="MCJ109" s="32"/>
      <c r="MCK109" s="32"/>
      <c r="MCL109" s="32"/>
      <c r="MCM109" s="32"/>
      <c r="MCN109" s="32"/>
      <c r="MCO109" s="32"/>
      <c r="MCP109" s="32"/>
      <c r="MCQ109" s="32"/>
      <c r="MCR109" s="32"/>
      <c r="MCS109" s="32"/>
      <c r="MCT109" s="32"/>
      <c r="MCU109" s="32"/>
      <c r="MCV109" s="32"/>
      <c r="MCW109" s="32"/>
      <c r="MCX109" s="32"/>
      <c r="MCY109" s="32"/>
      <c r="MCZ109" s="32"/>
      <c r="MDA109" s="32"/>
      <c r="MDB109" s="32"/>
      <c r="MDC109" s="32"/>
      <c r="MDD109" s="32"/>
      <c r="MDE109" s="32"/>
      <c r="MDF109" s="32"/>
      <c r="MDG109" s="32"/>
      <c r="MDH109" s="32"/>
      <c r="MDI109" s="32"/>
      <c r="MDJ109" s="32"/>
      <c r="MDK109" s="32"/>
      <c r="MDL109" s="32"/>
      <c r="MDM109" s="32"/>
      <c r="MDN109" s="32"/>
      <c r="MDO109" s="32"/>
      <c r="MDP109" s="32"/>
      <c r="MDQ109" s="32"/>
      <c r="MDR109" s="32"/>
      <c r="MDS109" s="32"/>
      <c r="MDT109" s="32"/>
      <c r="MDU109" s="32"/>
      <c r="MDV109" s="32"/>
      <c r="MDW109" s="32"/>
      <c r="MDX109" s="32"/>
      <c r="MDY109" s="32"/>
      <c r="MDZ109" s="32"/>
      <c r="MEA109" s="32"/>
      <c r="MEB109" s="32"/>
      <c r="MEC109" s="32"/>
      <c r="MED109" s="32"/>
      <c r="MEE109" s="32"/>
      <c r="MEF109" s="32"/>
      <c r="MEG109" s="32"/>
      <c r="MEH109" s="32"/>
      <c r="MEI109" s="32"/>
      <c r="MEJ109" s="32"/>
      <c r="MEK109" s="32"/>
      <c r="MEL109" s="32"/>
      <c r="MEM109" s="32"/>
      <c r="MEN109" s="32"/>
      <c r="MEO109" s="32"/>
      <c r="MEP109" s="32"/>
      <c r="MEQ109" s="32"/>
      <c r="MER109" s="32"/>
      <c r="MES109" s="32"/>
      <c r="MET109" s="32"/>
      <c r="MEU109" s="32"/>
      <c r="MEV109" s="32"/>
      <c r="MEW109" s="32"/>
      <c r="MEX109" s="32"/>
      <c r="MEY109" s="32"/>
      <c r="MEZ109" s="32"/>
      <c r="MFA109" s="32"/>
      <c r="MFB109" s="32"/>
      <c r="MFC109" s="32"/>
      <c r="MFD109" s="32"/>
      <c r="MFE109" s="32"/>
      <c r="MFF109" s="32"/>
      <c r="MFG109" s="32"/>
      <c r="MFH109" s="32"/>
      <c r="MFI109" s="32"/>
      <c r="MFJ109" s="32"/>
      <c r="MFK109" s="32"/>
      <c r="MFL109" s="32"/>
      <c r="MFM109" s="32"/>
      <c r="MFN109" s="32"/>
      <c r="MFO109" s="32"/>
      <c r="MFP109" s="32"/>
      <c r="MFQ109" s="32"/>
      <c r="MFR109" s="32"/>
      <c r="MFS109" s="32"/>
      <c r="MFT109" s="32"/>
      <c r="MFU109" s="32"/>
      <c r="MFV109" s="32"/>
      <c r="MFW109" s="32"/>
      <c r="MFX109" s="32"/>
      <c r="MFY109" s="32"/>
      <c r="MFZ109" s="32"/>
      <c r="MGA109" s="32"/>
      <c r="MGB109" s="32"/>
      <c r="MGC109" s="32"/>
      <c r="MGD109" s="32"/>
      <c r="MGE109" s="32"/>
      <c r="MGF109" s="32"/>
      <c r="MGG109" s="32"/>
      <c r="MGH109" s="32"/>
      <c r="MGI109" s="32"/>
      <c r="MGJ109" s="32"/>
      <c r="MGK109" s="32"/>
      <c r="MGL109" s="32"/>
      <c r="MGM109" s="32"/>
      <c r="MGN109" s="32"/>
      <c r="MGO109" s="32"/>
      <c r="MGP109" s="32"/>
      <c r="MGQ109" s="32"/>
      <c r="MGR109" s="32"/>
      <c r="MGS109" s="32"/>
      <c r="MGT109" s="32"/>
      <c r="MGU109" s="32"/>
      <c r="MGV109" s="32"/>
      <c r="MGW109" s="32"/>
      <c r="MGX109" s="32"/>
      <c r="MGY109" s="32"/>
      <c r="MGZ109" s="32"/>
      <c r="MHA109" s="32"/>
      <c r="MHB109" s="32"/>
      <c r="MHC109" s="32"/>
      <c r="MHD109" s="32"/>
      <c r="MHE109" s="32"/>
      <c r="MHF109" s="32"/>
      <c r="MHG109" s="32"/>
      <c r="MHH109" s="32"/>
      <c r="MHI109" s="32"/>
      <c r="MHJ109" s="32"/>
      <c r="MHK109" s="32"/>
      <c r="MHL109" s="32"/>
      <c r="MHM109" s="32"/>
      <c r="MHN109" s="32"/>
      <c r="MHO109" s="32"/>
      <c r="MHP109" s="32"/>
      <c r="MHQ109" s="32"/>
      <c r="MHR109" s="32"/>
      <c r="MHS109" s="32"/>
      <c r="MHT109" s="32"/>
      <c r="MHU109" s="32"/>
      <c r="MHV109" s="32"/>
      <c r="MHW109" s="32"/>
      <c r="MHX109" s="32"/>
      <c r="MHY109" s="32"/>
      <c r="MHZ109" s="32"/>
      <c r="MIA109" s="32"/>
      <c r="MIB109" s="32"/>
      <c r="MIC109" s="32"/>
      <c r="MID109" s="32"/>
      <c r="MIE109" s="32"/>
      <c r="MIF109" s="32"/>
      <c r="MIG109" s="32"/>
      <c r="MIH109" s="32"/>
      <c r="MII109" s="32"/>
      <c r="MIJ109" s="32"/>
      <c r="MIK109" s="32"/>
      <c r="MIL109" s="32"/>
      <c r="MIM109" s="32"/>
      <c r="MIN109" s="32"/>
      <c r="MIO109" s="32"/>
      <c r="MIP109" s="32"/>
      <c r="MIQ109" s="32"/>
      <c r="MIR109" s="32"/>
      <c r="MIS109" s="32"/>
      <c r="MIT109" s="32"/>
      <c r="MIU109" s="32"/>
      <c r="MIV109" s="32"/>
      <c r="MIW109" s="32"/>
      <c r="MIX109" s="32"/>
      <c r="MIY109" s="32"/>
      <c r="MIZ109" s="32"/>
      <c r="MJA109" s="32"/>
      <c r="MJB109" s="32"/>
      <c r="MJC109" s="32"/>
      <c r="MJD109" s="32"/>
      <c r="MJE109" s="32"/>
      <c r="MJF109" s="32"/>
      <c r="MJG109" s="32"/>
      <c r="MJH109" s="32"/>
      <c r="MJI109" s="32"/>
      <c r="MJJ109" s="32"/>
      <c r="MJK109" s="32"/>
      <c r="MJL109" s="32"/>
      <c r="MJM109" s="32"/>
      <c r="MJN109" s="32"/>
      <c r="MJO109" s="32"/>
      <c r="MJP109" s="32"/>
      <c r="MJQ109" s="32"/>
      <c r="MJR109" s="32"/>
      <c r="MJS109" s="32"/>
      <c r="MJT109" s="32"/>
      <c r="MJU109" s="32"/>
      <c r="MJV109" s="32"/>
      <c r="MJW109" s="32"/>
      <c r="MJX109" s="32"/>
      <c r="MJY109" s="32"/>
      <c r="MJZ109" s="32"/>
      <c r="MKA109" s="32"/>
      <c r="MKB109" s="32"/>
      <c r="MKC109" s="32"/>
      <c r="MKD109" s="32"/>
      <c r="MKE109" s="32"/>
      <c r="MKF109" s="32"/>
      <c r="MKG109" s="32"/>
      <c r="MKH109" s="32"/>
      <c r="MKI109" s="32"/>
      <c r="MKJ109" s="32"/>
      <c r="MKK109" s="32"/>
      <c r="MKL109" s="32"/>
      <c r="MKM109" s="32"/>
      <c r="MKN109" s="32"/>
      <c r="MKO109" s="32"/>
      <c r="MKP109" s="32"/>
      <c r="MKQ109" s="32"/>
      <c r="MKR109" s="32"/>
      <c r="MKS109" s="32"/>
      <c r="MKT109" s="32"/>
      <c r="MKU109" s="32"/>
      <c r="MKV109" s="32"/>
      <c r="MKW109" s="32"/>
      <c r="MKX109" s="32"/>
      <c r="MKY109" s="32"/>
      <c r="MKZ109" s="32"/>
      <c r="MLA109" s="32"/>
      <c r="MLB109" s="32"/>
      <c r="MLC109" s="32"/>
      <c r="MLD109" s="32"/>
      <c r="MLE109" s="32"/>
      <c r="MLF109" s="32"/>
      <c r="MLG109" s="32"/>
      <c r="MLH109" s="32"/>
      <c r="MLI109" s="32"/>
      <c r="MLJ109" s="32"/>
      <c r="MLK109" s="32"/>
      <c r="MLL109" s="32"/>
      <c r="MLM109" s="32"/>
      <c r="MLN109" s="32"/>
      <c r="MLO109" s="32"/>
      <c r="MLP109" s="32"/>
      <c r="MLQ109" s="32"/>
      <c r="MLR109" s="32"/>
      <c r="MLS109" s="32"/>
      <c r="MLT109" s="32"/>
      <c r="MLU109" s="32"/>
      <c r="MLV109" s="32"/>
      <c r="MLW109" s="32"/>
      <c r="MLX109" s="32"/>
      <c r="MLY109" s="32"/>
      <c r="MLZ109" s="32"/>
      <c r="MMA109" s="32"/>
      <c r="MMB109" s="32"/>
      <c r="MMC109" s="32"/>
      <c r="MMD109" s="32"/>
      <c r="MME109" s="32"/>
      <c r="MMF109" s="32"/>
      <c r="MMG109" s="32"/>
      <c r="MMH109" s="32"/>
      <c r="MMI109" s="32"/>
      <c r="MMJ109" s="32"/>
      <c r="MMK109" s="32"/>
      <c r="MML109" s="32"/>
      <c r="MMM109" s="32"/>
      <c r="MMN109" s="32"/>
      <c r="MMO109" s="32"/>
      <c r="MMP109" s="32"/>
      <c r="MMQ109" s="32"/>
      <c r="MMR109" s="32"/>
      <c r="MMS109" s="32"/>
      <c r="MMT109" s="32"/>
      <c r="MMU109" s="32"/>
      <c r="MMV109" s="32"/>
      <c r="MMW109" s="32"/>
      <c r="MMX109" s="32"/>
      <c r="MMY109" s="32"/>
      <c r="MMZ109" s="32"/>
      <c r="MNA109" s="32"/>
      <c r="MNB109" s="32"/>
      <c r="MNC109" s="32"/>
      <c r="MND109" s="32"/>
      <c r="MNE109" s="32"/>
      <c r="MNF109" s="32"/>
      <c r="MNG109" s="32"/>
      <c r="MNH109" s="32"/>
      <c r="MNI109" s="32"/>
      <c r="MNJ109" s="32"/>
      <c r="MNK109" s="32"/>
      <c r="MNL109" s="32"/>
      <c r="MNM109" s="32"/>
      <c r="MNN109" s="32"/>
      <c r="MNO109" s="32"/>
      <c r="MNP109" s="32"/>
      <c r="MNQ109" s="32"/>
      <c r="MNR109" s="32"/>
      <c r="MNS109" s="32"/>
      <c r="MNT109" s="32"/>
      <c r="MNU109" s="32"/>
      <c r="MNV109" s="32"/>
      <c r="MNW109" s="32"/>
      <c r="MNX109" s="32"/>
      <c r="MNY109" s="32"/>
      <c r="MNZ109" s="32"/>
      <c r="MOA109" s="32"/>
      <c r="MOB109" s="32"/>
      <c r="MOC109" s="32"/>
      <c r="MOD109" s="32"/>
      <c r="MOE109" s="32"/>
      <c r="MOF109" s="32"/>
      <c r="MOG109" s="32"/>
      <c r="MOH109" s="32"/>
      <c r="MOI109" s="32"/>
      <c r="MOJ109" s="32"/>
      <c r="MOK109" s="32"/>
      <c r="MOL109" s="32"/>
      <c r="MOM109" s="32"/>
      <c r="MON109" s="32"/>
      <c r="MOO109" s="32"/>
      <c r="MOP109" s="32"/>
      <c r="MOQ109" s="32"/>
      <c r="MOR109" s="32"/>
      <c r="MOS109" s="32"/>
      <c r="MOT109" s="32"/>
      <c r="MOU109" s="32"/>
      <c r="MOV109" s="32"/>
      <c r="MOW109" s="32"/>
      <c r="MOX109" s="32"/>
      <c r="MOY109" s="32"/>
      <c r="MOZ109" s="32"/>
      <c r="MPA109" s="32"/>
      <c r="MPB109" s="32"/>
      <c r="MPC109" s="32"/>
      <c r="MPD109" s="32"/>
      <c r="MPE109" s="32"/>
      <c r="MPF109" s="32"/>
      <c r="MPG109" s="32"/>
      <c r="MPH109" s="32"/>
      <c r="MPI109" s="32"/>
      <c r="MPJ109" s="32"/>
      <c r="MPK109" s="32"/>
      <c r="MPL109" s="32"/>
      <c r="MPM109" s="32"/>
      <c r="MPN109" s="32"/>
      <c r="MPO109" s="32"/>
      <c r="MPP109" s="32"/>
      <c r="MPQ109" s="32"/>
      <c r="MPR109" s="32"/>
      <c r="MPS109" s="32"/>
      <c r="MPT109" s="32"/>
      <c r="MPU109" s="32"/>
      <c r="MPV109" s="32"/>
      <c r="MPW109" s="32"/>
      <c r="MPX109" s="32"/>
      <c r="MPY109" s="32"/>
      <c r="MPZ109" s="32"/>
      <c r="MQA109" s="32"/>
      <c r="MQB109" s="32"/>
      <c r="MQC109" s="32"/>
      <c r="MQD109" s="32"/>
      <c r="MQE109" s="32"/>
      <c r="MQF109" s="32"/>
      <c r="MQG109" s="32"/>
      <c r="MQH109" s="32"/>
      <c r="MQI109" s="32"/>
      <c r="MQJ109" s="32"/>
      <c r="MQK109" s="32"/>
      <c r="MQL109" s="32"/>
      <c r="MQM109" s="32"/>
      <c r="MQN109" s="32"/>
      <c r="MQO109" s="32"/>
      <c r="MQP109" s="32"/>
      <c r="MQQ109" s="32"/>
      <c r="MQR109" s="32"/>
      <c r="MQS109" s="32"/>
      <c r="MQT109" s="32"/>
      <c r="MQU109" s="32"/>
      <c r="MQV109" s="32"/>
      <c r="MQW109" s="32"/>
      <c r="MQX109" s="32"/>
      <c r="MQY109" s="32"/>
      <c r="MQZ109" s="32"/>
      <c r="MRA109" s="32"/>
      <c r="MRB109" s="32"/>
      <c r="MRC109" s="32"/>
      <c r="MRD109" s="32"/>
      <c r="MRE109" s="32"/>
      <c r="MRF109" s="32"/>
      <c r="MRG109" s="32"/>
      <c r="MRH109" s="32"/>
      <c r="MRI109" s="32"/>
      <c r="MRJ109" s="32"/>
      <c r="MRK109" s="32"/>
      <c r="MRL109" s="32"/>
      <c r="MRM109" s="32"/>
      <c r="MRN109" s="32"/>
      <c r="MRO109" s="32"/>
      <c r="MRP109" s="32"/>
      <c r="MRQ109" s="32"/>
      <c r="MRR109" s="32"/>
      <c r="MRS109" s="32"/>
      <c r="MRT109" s="32"/>
      <c r="MRU109" s="32"/>
      <c r="MRV109" s="32"/>
      <c r="MRW109" s="32"/>
      <c r="MRX109" s="32"/>
      <c r="MRY109" s="32"/>
      <c r="MRZ109" s="32"/>
      <c r="MSA109" s="32"/>
      <c r="MSB109" s="32"/>
      <c r="MSC109" s="32"/>
      <c r="MSD109" s="32"/>
      <c r="MSE109" s="32"/>
      <c r="MSF109" s="32"/>
      <c r="MSG109" s="32"/>
      <c r="MSH109" s="32"/>
      <c r="MSI109" s="32"/>
      <c r="MSJ109" s="32"/>
      <c r="MSK109" s="32"/>
      <c r="MSL109" s="32"/>
      <c r="MSM109" s="32"/>
      <c r="MSN109" s="32"/>
      <c r="MSO109" s="32"/>
      <c r="MSP109" s="32"/>
      <c r="MSQ109" s="32"/>
      <c r="MSR109" s="32"/>
      <c r="MSS109" s="32"/>
      <c r="MST109" s="32"/>
      <c r="MSU109" s="32"/>
      <c r="MSV109" s="32"/>
      <c r="MSW109" s="32"/>
      <c r="MSX109" s="32"/>
      <c r="MSY109" s="32"/>
      <c r="MSZ109" s="32"/>
      <c r="MTA109" s="32"/>
      <c r="MTB109" s="32"/>
      <c r="MTC109" s="32"/>
      <c r="MTD109" s="32"/>
      <c r="MTE109" s="32"/>
      <c r="MTF109" s="32"/>
      <c r="MTG109" s="32"/>
      <c r="MTH109" s="32"/>
      <c r="MTI109" s="32"/>
      <c r="MTJ109" s="32"/>
      <c r="MTK109" s="32"/>
      <c r="MTL109" s="32"/>
      <c r="MTM109" s="32"/>
      <c r="MTN109" s="32"/>
      <c r="MTO109" s="32"/>
      <c r="MTP109" s="32"/>
      <c r="MTQ109" s="32"/>
      <c r="MTR109" s="32"/>
      <c r="MTS109" s="32"/>
      <c r="MTT109" s="32"/>
      <c r="MTU109" s="32"/>
      <c r="MTV109" s="32"/>
      <c r="MTW109" s="32"/>
      <c r="MTX109" s="32"/>
      <c r="MTY109" s="32"/>
      <c r="MTZ109" s="32"/>
      <c r="MUA109" s="32"/>
      <c r="MUB109" s="32"/>
      <c r="MUC109" s="32"/>
      <c r="MUD109" s="32"/>
      <c r="MUE109" s="32"/>
      <c r="MUF109" s="32"/>
      <c r="MUG109" s="32"/>
      <c r="MUH109" s="32"/>
      <c r="MUI109" s="32"/>
      <c r="MUJ109" s="32"/>
      <c r="MUK109" s="32"/>
      <c r="MUL109" s="32"/>
      <c r="MUM109" s="32"/>
      <c r="MUN109" s="32"/>
      <c r="MUO109" s="32"/>
      <c r="MUP109" s="32"/>
      <c r="MUQ109" s="32"/>
      <c r="MUR109" s="32"/>
      <c r="MUS109" s="32"/>
      <c r="MUT109" s="32"/>
      <c r="MUU109" s="32"/>
      <c r="MUV109" s="32"/>
      <c r="MUW109" s="32"/>
      <c r="MUX109" s="32"/>
      <c r="MUY109" s="32"/>
      <c r="MUZ109" s="32"/>
      <c r="MVA109" s="32"/>
      <c r="MVB109" s="32"/>
      <c r="MVC109" s="32"/>
      <c r="MVD109" s="32"/>
      <c r="MVE109" s="32"/>
      <c r="MVF109" s="32"/>
      <c r="MVG109" s="32"/>
      <c r="MVH109" s="32"/>
      <c r="MVI109" s="32"/>
      <c r="MVJ109" s="32"/>
      <c r="MVK109" s="32"/>
      <c r="MVL109" s="32"/>
      <c r="MVM109" s="32"/>
      <c r="MVN109" s="32"/>
      <c r="MVO109" s="32"/>
      <c r="MVP109" s="32"/>
      <c r="MVQ109" s="32"/>
      <c r="MVR109" s="32"/>
      <c r="MVS109" s="32"/>
      <c r="MVT109" s="32"/>
      <c r="MVU109" s="32"/>
      <c r="MVV109" s="32"/>
      <c r="MVW109" s="32"/>
      <c r="MVX109" s="32"/>
      <c r="MVY109" s="32"/>
      <c r="MVZ109" s="32"/>
      <c r="MWA109" s="32"/>
      <c r="MWB109" s="32"/>
      <c r="MWC109" s="32"/>
      <c r="MWD109" s="32"/>
      <c r="MWE109" s="32"/>
      <c r="MWF109" s="32"/>
      <c r="MWG109" s="32"/>
      <c r="MWH109" s="32"/>
      <c r="MWI109" s="32"/>
      <c r="MWJ109" s="32"/>
      <c r="MWK109" s="32"/>
      <c r="MWL109" s="32"/>
      <c r="MWM109" s="32"/>
      <c r="MWN109" s="32"/>
      <c r="MWO109" s="32"/>
      <c r="MWP109" s="32"/>
      <c r="MWQ109" s="32"/>
      <c r="MWR109" s="32"/>
      <c r="MWS109" s="32"/>
      <c r="MWT109" s="32"/>
      <c r="MWU109" s="32"/>
      <c r="MWV109" s="32"/>
      <c r="MWW109" s="32"/>
      <c r="MWX109" s="32"/>
      <c r="MWY109" s="32"/>
      <c r="MWZ109" s="32"/>
      <c r="MXA109" s="32"/>
      <c r="MXB109" s="32"/>
      <c r="MXC109" s="32"/>
      <c r="MXD109" s="32"/>
      <c r="MXE109" s="32"/>
      <c r="MXF109" s="32"/>
      <c r="MXG109" s="32"/>
      <c r="MXH109" s="32"/>
      <c r="MXI109" s="32"/>
      <c r="MXJ109" s="32"/>
      <c r="MXK109" s="32"/>
      <c r="MXL109" s="32"/>
      <c r="MXM109" s="32"/>
      <c r="MXN109" s="32"/>
      <c r="MXO109" s="32"/>
      <c r="MXP109" s="32"/>
      <c r="MXQ109" s="32"/>
      <c r="MXR109" s="32"/>
      <c r="MXS109" s="32"/>
      <c r="MXT109" s="32"/>
      <c r="MXU109" s="32"/>
      <c r="MXV109" s="32"/>
      <c r="MXW109" s="32"/>
      <c r="MXX109" s="32"/>
      <c r="MXY109" s="32"/>
      <c r="MXZ109" s="32"/>
      <c r="MYA109" s="32"/>
      <c r="MYB109" s="32"/>
      <c r="MYC109" s="32"/>
      <c r="MYD109" s="32"/>
      <c r="MYE109" s="32"/>
      <c r="MYF109" s="32"/>
      <c r="MYG109" s="32"/>
      <c r="MYH109" s="32"/>
      <c r="MYI109" s="32"/>
      <c r="MYJ109" s="32"/>
      <c r="MYK109" s="32"/>
      <c r="MYL109" s="32"/>
      <c r="MYM109" s="32"/>
      <c r="MYN109" s="32"/>
      <c r="MYO109" s="32"/>
      <c r="MYP109" s="32"/>
      <c r="MYQ109" s="32"/>
      <c r="MYR109" s="32"/>
      <c r="MYS109" s="32"/>
      <c r="MYT109" s="32"/>
      <c r="MYU109" s="32"/>
      <c r="MYV109" s="32"/>
      <c r="MYW109" s="32"/>
      <c r="MYX109" s="32"/>
      <c r="MYY109" s="32"/>
      <c r="MYZ109" s="32"/>
      <c r="MZA109" s="32"/>
      <c r="MZB109" s="32"/>
      <c r="MZC109" s="32"/>
      <c r="MZD109" s="32"/>
      <c r="MZE109" s="32"/>
      <c r="MZF109" s="32"/>
      <c r="MZG109" s="32"/>
      <c r="MZH109" s="32"/>
      <c r="MZI109" s="32"/>
      <c r="MZJ109" s="32"/>
      <c r="MZK109" s="32"/>
      <c r="MZL109" s="32"/>
      <c r="MZM109" s="32"/>
      <c r="MZN109" s="32"/>
      <c r="MZO109" s="32"/>
      <c r="MZP109" s="32"/>
      <c r="MZQ109" s="32"/>
      <c r="MZR109" s="32"/>
      <c r="MZS109" s="32"/>
      <c r="MZT109" s="32"/>
      <c r="MZU109" s="32"/>
      <c r="MZV109" s="32"/>
      <c r="MZW109" s="32"/>
      <c r="MZX109" s="32"/>
      <c r="MZY109" s="32"/>
      <c r="MZZ109" s="32"/>
      <c r="NAA109" s="32"/>
      <c r="NAB109" s="32"/>
      <c r="NAC109" s="32"/>
      <c r="NAD109" s="32"/>
      <c r="NAE109" s="32"/>
      <c r="NAF109" s="32"/>
      <c r="NAG109" s="32"/>
      <c r="NAH109" s="32"/>
      <c r="NAI109" s="32"/>
      <c r="NAJ109" s="32"/>
      <c r="NAK109" s="32"/>
      <c r="NAL109" s="32"/>
      <c r="NAM109" s="32"/>
      <c r="NAN109" s="32"/>
      <c r="NAO109" s="32"/>
      <c r="NAP109" s="32"/>
      <c r="NAQ109" s="32"/>
      <c r="NAR109" s="32"/>
      <c r="NAS109" s="32"/>
      <c r="NAT109" s="32"/>
      <c r="NAU109" s="32"/>
      <c r="NAV109" s="32"/>
      <c r="NAW109" s="32"/>
      <c r="NAX109" s="32"/>
      <c r="NAY109" s="32"/>
      <c r="NAZ109" s="32"/>
      <c r="NBA109" s="32"/>
      <c r="NBB109" s="32"/>
      <c r="NBC109" s="32"/>
      <c r="NBD109" s="32"/>
      <c r="NBE109" s="32"/>
      <c r="NBF109" s="32"/>
      <c r="NBG109" s="32"/>
      <c r="NBH109" s="32"/>
      <c r="NBI109" s="32"/>
      <c r="NBJ109" s="32"/>
      <c r="NBK109" s="32"/>
      <c r="NBL109" s="32"/>
      <c r="NBM109" s="32"/>
      <c r="NBN109" s="32"/>
      <c r="NBO109" s="32"/>
      <c r="NBP109" s="32"/>
      <c r="NBQ109" s="32"/>
      <c r="NBR109" s="32"/>
      <c r="NBS109" s="32"/>
      <c r="NBT109" s="32"/>
      <c r="NBU109" s="32"/>
      <c r="NBV109" s="32"/>
      <c r="NBW109" s="32"/>
      <c r="NBX109" s="32"/>
      <c r="NBY109" s="32"/>
      <c r="NBZ109" s="32"/>
      <c r="NCA109" s="32"/>
      <c r="NCB109" s="32"/>
      <c r="NCC109" s="32"/>
      <c r="NCD109" s="32"/>
      <c r="NCE109" s="32"/>
      <c r="NCF109" s="32"/>
      <c r="NCG109" s="32"/>
      <c r="NCH109" s="32"/>
      <c r="NCI109" s="32"/>
      <c r="NCJ109" s="32"/>
      <c r="NCK109" s="32"/>
      <c r="NCL109" s="32"/>
      <c r="NCM109" s="32"/>
      <c r="NCN109" s="32"/>
      <c r="NCO109" s="32"/>
      <c r="NCP109" s="32"/>
      <c r="NCQ109" s="32"/>
      <c r="NCR109" s="32"/>
      <c r="NCS109" s="32"/>
      <c r="NCT109" s="32"/>
      <c r="NCU109" s="32"/>
      <c r="NCV109" s="32"/>
      <c r="NCW109" s="32"/>
      <c r="NCX109" s="32"/>
      <c r="NCY109" s="32"/>
      <c r="NCZ109" s="32"/>
      <c r="NDA109" s="32"/>
      <c r="NDB109" s="32"/>
      <c r="NDC109" s="32"/>
      <c r="NDD109" s="32"/>
      <c r="NDE109" s="32"/>
      <c r="NDF109" s="32"/>
      <c r="NDG109" s="32"/>
      <c r="NDH109" s="32"/>
      <c r="NDI109" s="32"/>
      <c r="NDJ109" s="32"/>
      <c r="NDK109" s="32"/>
      <c r="NDL109" s="32"/>
      <c r="NDM109" s="32"/>
      <c r="NDN109" s="32"/>
      <c r="NDO109" s="32"/>
      <c r="NDP109" s="32"/>
      <c r="NDQ109" s="32"/>
      <c r="NDR109" s="32"/>
      <c r="NDS109" s="32"/>
      <c r="NDT109" s="32"/>
      <c r="NDU109" s="32"/>
      <c r="NDV109" s="32"/>
      <c r="NDW109" s="32"/>
      <c r="NDX109" s="32"/>
      <c r="NDY109" s="32"/>
      <c r="NDZ109" s="32"/>
      <c r="NEA109" s="32"/>
      <c r="NEB109" s="32"/>
      <c r="NEC109" s="32"/>
      <c r="NED109" s="32"/>
      <c r="NEE109" s="32"/>
      <c r="NEF109" s="32"/>
      <c r="NEG109" s="32"/>
      <c r="NEH109" s="32"/>
      <c r="NEI109" s="32"/>
      <c r="NEJ109" s="32"/>
      <c r="NEK109" s="32"/>
      <c r="NEL109" s="32"/>
      <c r="NEM109" s="32"/>
      <c r="NEN109" s="32"/>
      <c r="NEO109" s="32"/>
      <c r="NEP109" s="32"/>
      <c r="NEQ109" s="32"/>
      <c r="NER109" s="32"/>
      <c r="NES109" s="32"/>
      <c r="NET109" s="32"/>
      <c r="NEU109" s="32"/>
      <c r="NEV109" s="32"/>
      <c r="NEW109" s="32"/>
      <c r="NEX109" s="32"/>
      <c r="NEY109" s="32"/>
      <c r="NEZ109" s="32"/>
      <c r="NFA109" s="32"/>
      <c r="NFB109" s="32"/>
      <c r="NFC109" s="32"/>
      <c r="NFD109" s="32"/>
      <c r="NFE109" s="32"/>
      <c r="NFF109" s="32"/>
      <c r="NFG109" s="32"/>
      <c r="NFH109" s="32"/>
      <c r="NFI109" s="32"/>
      <c r="NFJ109" s="32"/>
      <c r="NFK109" s="32"/>
      <c r="NFL109" s="32"/>
      <c r="NFM109" s="32"/>
      <c r="NFN109" s="32"/>
      <c r="NFO109" s="32"/>
      <c r="NFP109" s="32"/>
      <c r="NFQ109" s="32"/>
      <c r="NFR109" s="32"/>
      <c r="NFS109" s="32"/>
      <c r="NFT109" s="32"/>
      <c r="NFU109" s="32"/>
      <c r="NFV109" s="32"/>
      <c r="NFW109" s="32"/>
      <c r="NFX109" s="32"/>
      <c r="NFY109" s="32"/>
      <c r="NFZ109" s="32"/>
      <c r="NGA109" s="32"/>
      <c r="NGB109" s="32"/>
      <c r="NGC109" s="32"/>
      <c r="NGD109" s="32"/>
      <c r="NGE109" s="32"/>
      <c r="NGF109" s="32"/>
      <c r="NGG109" s="32"/>
      <c r="NGH109" s="32"/>
      <c r="NGI109" s="32"/>
      <c r="NGJ109" s="32"/>
      <c r="NGK109" s="32"/>
      <c r="NGL109" s="32"/>
      <c r="NGM109" s="32"/>
      <c r="NGN109" s="32"/>
      <c r="NGO109" s="32"/>
      <c r="NGP109" s="32"/>
      <c r="NGQ109" s="32"/>
      <c r="NGR109" s="32"/>
      <c r="NGS109" s="32"/>
      <c r="NGT109" s="32"/>
      <c r="NGU109" s="32"/>
      <c r="NGV109" s="32"/>
      <c r="NGW109" s="32"/>
      <c r="NGX109" s="32"/>
      <c r="NGY109" s="32"/>
      <c r="NGZ109" s="32"/>
      <c r="NHA109" s="32"/>
      <c r="NHB109" s="32"/>
      <c r="NHC109" s="32"/>
      <c r="NHD109" s="32"/>
      <c r="NHE109" s="32"/>
      <c r="NHF109" s="32"/>
      <c r="NHG109" s="32"/>
      <c r="NHH109" s="32"/>
      <c r="NHI109" s="32"/>
      <c r="NHJ109" s="32"/>
      <c r="NHK109" s="32"/>
      <c r="NHL109" s="32"/>
      <c r="NHM109" s="32"/>
      <c r="NHN109" s="32"/>
      <c r="NHO109" s="32"/>
      <c r="NHP109" s="32"/>
      <c r="NHQ109" s="32"/>
      <c r="NHR109" s="32"/>
      <c r="NHS109" s="32"/>
      <c r="NHT109" s="32"/>
      <c r="NHU109" s="32"/>
      <c r="NHV109" s="32"/>
      <c r="NHW109" s="32"/>
      <c r="NHX109" s="32"/>
      <c r="NHY109" s="32"/>
      <c r="NHZ109" s="32"/>
      <c r="NIA109" s="32"/>
      <c r="NIB109" s="32"/>
      <c r="NIC109" s="32"/>
      <c r="NID109" s="32"/>
      <c r="NIE109" s="32"/>
      <c r="NIF109" s="32"/>
      <c r="NIG109" s="32"/>
      <c r="NIH109" s="32"/>
      <c r="NII109" s="32"/>
      <c r="NIJ109" s="32"/>
      <c r="NIK109" s="32"/>
      <c r="NIL109" s="32"/>
      <c r="NIM109" s="32"/>
      <c r="NIN109" s="32"/>
      <c r="NIO109" s="32"/>
      <c r="NIP109" s="32"/>
      <c r="NIQ109" s="32"/>
      <c r="NIR109" s="32"/>
      <c r="NIS109" s="32"/>
      <c r="NIT109" s="32"/>
      <c r="NIU109" s="32"/>
      <c r="NIV109" s="32"/>
      <c r="NIW109" s="32"/>
      <c r="NIX109" s="32"/>
      <c r="NIY109" s="32"/>
      <c r="NIZ109" s="32"/>
      <c r="NJA109" s="32"/>
      <c r="NJB109" s="32"/>
      <c r="NJC109" s="32"/>
      <c r="NJD109" s="32"/>
      <c r="NJE109" s="32"/>
      <c r="NJF109" s="32"/>
      <c r="NJG109" s="32"/>
      <c r="NJH109" s="32"/>
      <c r="NJI109" s="32"/>
      <c r="NJJ109" s="32"/>
      <c r="NJK109" s="32"/>
      <c r="NJL109" s="32"/>
      <c r="NJM109" s="32"/>
      <c r="NJN109" s="32"/>
      <c r="NJO109" s="32"/>
      <c r="NJP109" s="32"/>
      <c r="NJQ109" s="32"/>
      <c r="NJR109" s="32"/>
      <c r="NJS109" s="32"/>
      <c r="NJT109" s="32"/>
      <c r="NJU109" s="32"/>
      <c r="NJV109" s="32"/>
      <c r="NJW109" s="32"/>
      <c r="NJX109" s="32"/>
      <c r="NJY109" s="32"/>
      <c r="NJZ109" s="32"/>
      <c r="NKA109" s="32"/>
      <c r="NKB109" s="32"/>
      <c r="NKC109" s="32"/>
      <c r="NKD109" s="32"/>
      <c r="NKE109" s="32"/>
      <c r="NKF109" s="32"/>
      <c r="NKG109" s="32"/>
      <c r="NKH109" s="32"/>
      <c r="NKI109" s="32"/>
      <c r="NKJ109" s="32"/>
      <c r="NKK109" s="32"/>
      <c r="NKL109" s="32"/>
      <c r="NKM109" s="32"/>
      <c r="NKN109" s="32"/>
      <c r="NKO109" s="32"/>
      <c r="NKP109" s="32"/>
      <c r="NKQ109" s="32"/>
      <c r="NKR109" s="32"/>
      <c r="NKS109" s="32"/>
      <c r="NKT109" s="32"/>
      <c r="NKU109" s="32"/>
      <c r="NKV109" s="32"/>
      <c r="NKW109" s="32"/>
      <c r="NKX109" s="32"/>
      <c r="NKY109" s="32"/>
      <c r="NKZ109" s="32"/>
      <c r="NLA109" s="32"/>
      <c r="NLB109" s="32"/>
      <c r="NLC109" s="32"/>
      <c r="NLD109" s="32"/>
      <c r="NLE109" s="32"/>
      <c r="NLF109" s="32"/>
      <c r="NLG109" s="32"/>
      <c r="NLH109" s="32"/>
      <c r="NLI109" s="32"/>
      <c r="NLJ109" s="32"/>
      <c r="NLK109" s="32"/>
      <c r="NLL109" s="32"/>
      <c r="NLM109" s="32"/>
      <c r="NLN109" s="32"/>
      <c r="NLO109" s="32"/>
      <c r="NLP109" s="32"/>
      <c r="NLQ109" s="32"/>
      <c r="NLR109" s="32"/>
      <c r="NLS109" s="32"/>
      <c r="NLT109" s="32"/>
      <c r="NLU109" s="32"/>
      <c r="NLV109" s="32"/>
      <c r="NLW109" s="32"/>
      <c r="NLX109" s="32"/>
      <c r="NLY109" s="32"/>
      <c r="NLZ109" s="32"/>
      <c r="NMA109" s="32"/>
      <c r="NMB109" s="32"/>
      <c r="NMC109" s="32"/>
      <c r="NMD109" s="32"/>
      <c r="NME109" s="32"/>
      <c r="NMF109" s="32"/>
      <c r="NMG109" s="32"/>
      <c r="NMH109" s="32"/>
      <c r="NMI109" s="32"/>
      <c r="NMJ109" s="32"/>
      <c r="NMK109" s="32"/>
      <c r="NML109" s="32"/>
      <c r="NMM109" s="32"/>
      <c r="NMN109" s="32"/>
      <c r="NMO109" s="32"/>
      <c r="NMP109" s="32"/>
      <c r="NMQ109" s="32"/>
      <c r="NMR109" s="32"/>
      <c r="NMS109" s="32"/>
      <c r="NMT109" s="32"/>
      <c r="NMU109" s="32"/>
      <c r="NMV109" s="32"/>
      <c r="NMW109" s="32"/>
      <c r="NMX109" s="32"/>
      <c r="NMY109" s="32"/>
      <c r="NMZ109" s="32"/>
      <c r="NNA109" s="32"/>
      <c r="NNB109" s="32"/>
      <c r="NNC109" s="32"/>
      <c r="NND109" s="32"/>
      <c r="NNE109" s="32"/>
      <c r="NNF109" s="32"/>
      <c r="NNG109" s="32"/>
      <c r="NNH109" s="32"/>
      <c r="NNI109" s="32"/>
      <c r="NNJ109" s="32"/>
      <c r="NNK109" s="32"/>
      <c r="NNL109" s="32"/>
      <c r="NNM109" s="32"/>
      <c r="NNN109" s="32"/>
      <c r="NNO109" s="32"/>
      <c r="NNP109" s="32"/>
      <c r="NNQ109" s="32"/>
      <c r="NNR109" s="32"/>
      <c r="NNS109" s="32"/>
      <c r="NNT109" s="32"/>
      <c r="NNU109" s="32"/>
      <c r="NNV109" s="32"/>
      <c r="NNW109" s="32"/>
      <c r="NNX109" s="32"/>
      <c r="NNY109" s="32"/>
      <c r="NNZ109" s="32"/>
      <c r="NOA109" s="32"/>
      <c r="NOB109" s="32"/>
      <c r="NOC109" s="32"/>
      <c r="NOD109" s="32"/>
      <c r="NOE109" s="32"/>
      <c r="NOF109" s="32"/>
      <c r="NOG109" s="32"/>
      <c r="NOH109" s="32"/>
      <c r="NOI109" s="32"/>
      <c r="NOJ109" s="32"/>
      <c r="NOK109" s="32"/>
      <c r="NOL109" s="32"/>
      <c r="NOM109" s="32"/>
      <c r="NON109" s="32"/>
      <c r="NOO109" s="32"/>
      <c r="NOP109" s="32"/>
      <c r="NOQ109" s="32"/>
      <c r="NOR109" s="32"/>
      <c r="NOS109" s="32"/>
      <c r="NOT109" s="32"/>
      <c r="NOU109" s="32"/>
      <c r="NOV109" s="32"/>
      <c r="NOW109" s="32"/>
      <c r="NOX109" s="32"/>
      <c r="NOY109" s="32"/>
      <c r="NOZ109" s="32"/>
      <c r="NPA109" s="32"/>
      <c r="NPB109" s="32"/>
      <c r="NPC109" s="32"/>
      <c r="NPD109" s="32"/>
      <c r="NPE109" s="32"/>
      <c r="NPF109" s="32"/>
      <c r="NPG109" s="32"/>
      <c r="NPH109" s="32"/>
      <c r="NPI109" s="32"/>
      <c r="NPJ109" s="32"/>
      <c r="NPK109" s="32"/>
      <c r="NPL109" s="32"/>
      <c r="NPM109" s="32"/>
      <c r="NPN109" s="32"/>
      <c r="NPO109" s="32"/>
      <c r="NPP109" s="32"/>
      <c r="NPQ109" s="32"/>
      <c r="NPR109" s="32"/>
      <c r="NPS109" s="32"/>
      <c r="NPT109" s="32"/>
      <c r="NPU109" s="32"/>
      <c r="NPV109" s="32"/>
      <c r="NPW109" s="32"/>
      <c r="NPX109" s="32"/>
      <c r="NPY109" s="32"/>
      <c r="NPZ109" s="32"/>
      <c r="NQA109" s="32"/>
      <c r="NQB109" s="32"/>
      <c r="NQC109" s="32"/>
      <c r="NQD109" s="32"/>
      <c r="NQE109" s="32"/>
      <c r="NQF109" s="32"/>
      <c r="NQG109" s="32"/>
      <c r="NQH109" s="32"/>
      <c r="NQI109" s="32"/>
      <c r="NQJ109" s="32"/>
      <c r="NQK109" s="32"/>
      <c r="NQL109" s="32"/>
      <c r="NQM109" s="32"/>
      <c r="NQN109" s="32"/>
      <c r="NQO109" s="32"/>
      <c r="NQP109" s="32"/>
      <c r="NQQ109" s="32"/>
      <c r="NQR109" s="32"/>
      <c r="NQS109" s="32"/>
      <c r="NQT109" s="32"/>
      <c r="NQU109" s="32"/>
      <c r="NQV109" s="32"/>
      <c r="NQW109" s="32"/>
      <c r="NQX109" s="32"/>
      <c r="NQY109" s="32"/>
      <c r="NQZ109" s="32"/>
      <c r="NRA109" s="32"/>
      <c r="NRB109" s="32"/>
      <c r="NRC109" s="32"/>
      <c r="NRD109" s="32"/>
      <c r="NRE109" s="32"/>
      <c r="NRF109" s="32"/>
      <c r="NRG109" s="32"/>
      <c r="NRH109" s="32"/>
      <c r="NRI109" s="32"/>
      <c r="NRJ109" s="32"/>
      <c r="NRK109" s="32"/>
      <c r="NRL109" s="32"/>
      <c r="NRM109" s="32"/>
      <c r="NRN109" s="32"/>
      <c r="NRO109" s="32"/>
      <c r="NRP109" s="32"/>
      <c r="NRQ109" s="32"/>
      <c r="NRR109" s="32"/>
      <c r="NRS109" s="32"/>
      <c r="NRT109" s="32"/>
      <c r="NRU109" s="32"/>
      <c r="NRV109" s="32"/>
      <c r="NRW109" s="32"/>
      <c r="NRX109" s="32"/>
      <c r="NRY109" s="32"/>
      <c r="NRZ109" s="32"/>
      <c r="NSA109" s="32"/>
      <c r="NSB109" s="32"/>
      <c r="NSC109" s="32"/>
      <c r="NSD109" s="32"/>
      <c r="NSE109" s="32"/>
      <c r="NSF109" s="32"/>
      <c r="NSG109" s="32"/>
      <c r="NSH109" s="32"/>
      <c r="NSI109" s="32"/>
      <c r="NSJ109" s="32"/>
      <c r="NSK109" s="32"/>
      <c r="NSL109" s="32"/>
      <c r="NSM109" s="32"/>
      <c r="NSN109" s="32"/>
      <c r="NSO109" s="32"/>
      <c r="NSP109" s="32"/>
      <c r="NSQ109" s="32"/>
      <c r="NSR109" s="32"/>
      <c r="NSS109" s="32"/>
      <c r="NST109" s="32"/>
      <c r="NSU109" s="32"/>
      <c r="NSV109" s="32"/>
      <c r="NSW109" s="32"/>
      <c r="NSX109" s="32"/>
      <c r="NSY109" s="32"/>
      <c r="NSZ109" s="32"/>
      <c r="NTA109" s="32"/>
      <c r="NTB109" s="32"/>
      <c r="NTC109" s="32"/>
      <c r="NTD109" s="32"/>
      <c r="NTE109" s="32"/>
      <c r="NTF109" s="32"/>
      <c r="NTG109" s="32"/>
      <c r="NTH109" s="32"/>
      <c r="NTI109" s="32"/>
      <c r="NTJ109" s="32"/>
      <c r="NTK109" s="32"/>
      <c r="NTL109" s="32"/>
      <c r="NTM109" s="32"/>
      <c r="NTN109" s="32"/>
      <c r="NTO109" s="32"/>
      <c r="NTP109" s="32"/>
      <c r="NTQ109" s="32"/>
      <c r="NTR109" s="32"/>
      <c r="NTS109" s="32"/>
      <c r="NTT109" s="32"/>
      <c r="NTU109" s="32"/>
      <c r="NTV109" s="32"/>
      <c r="NTW109" s="32"/>
      <c r="NTX109" s="32"/>
      <c r="NTY109" s="32"/>
      <c r="NTZ109" s="32"/>
      <c r="NUA109" s="32"/>
      <c r="NUB109" s="32"/>
      <c r="NUC109" s="32"/>
      <c r="NUD109" s="32"/>
      <c r="NUE109" s="32"/>
      <c r="NUF109" s="32"/>
      <c r="NUG109" s="32"/>
      <c r="NUH109" s="32"/>
      <c r="NUI109" s="32"/>
      <c r="NUJ109" s="32"/>
      <c r="NUK109" s="32"/>
      <c r="NUL109" s="32"/>
      <c r="NUM109" s="32"/>
      <c r="NUN109" s="32"/>
      <c r="NUO109" s="32"/>
      <c r="NUP109" s="32"/>
      <c r="NUQ109" s="32"/>
      <c r="NUR109" s="32"/>
      <c r="NUS109" s="32"/>
      <c r="NUT109" s="32"/>
      <c r="NUU109" s="32"/>
      <c r="NUV109" s="32"/>
      <c r="NUW109" s="32"/>
      <c r="NUX109" s="32"/>
      <c r="NUY109" s="32"/>
      <c r="NUZ109" s="32"/>
      <c r="NVA109" s="32"/>
      <c r="NVB109" s="32"/>
      <c r="NVC109" s="32"/>
      <c r="NVD109" s="32"/>
      <c r="NVE109" s="32"/>
      <c r="NVF109" s="32"/>
      <c r="NVG109" s="32"/>
      <c r="NVH109" s="32"/>
      <c r="NVI109" s="32"/>
      <c r="NVJ109" s="32"/>
      <c r="NVK109" s="32"/>
      <c r="NVL109" s="32"/>
      <c r="NVM109" s="32"/>
      <c r="NVN109" s="32"/>
      <c r="NVO109" s="32"/>
      <c r="NVP109" s="32"/>
      <c r="NVQ109" s="32"/>
      <c r="NVR109" s="32"/>
      <c r="NVS109" s="32"/>
      <c r="NVT109" s="32"/>
      <c r="NVU109" s="32"/>
      <c r="NVV109" s="32"/>
      <c r="NVW109" s="32"/>
      <c r="NVX109" s="32"/>
      <c r="NVY109" s="32"/>
      <c r="NVZ109" s="32"/>
      <c r="NWA109" s="32"/>
      <c r="NWB109" s="32"/>
      <c r="NWC109" s="32"/>
      <c r="NWD109" s="32"/>
      <c r="NWE109" s="32"/>
      <c r="NWF109" s="32"/>
      <c r="NWG109" s="32"/>
      <c r="NWH109" s="32"/>
      <c r="NWI109" s="32"/>
      <c r="NWJ109" s="32"/>
      <c r="NWK109" s="32"/>
      <c r="NWL109" s="32"/>
      <c r="NWM109" s="32"/>
      <c r="NWN109" s="32"/>
      <c r="NWO109" s="32"/>
      <c r="NWP109" s="32"/>
      <c r="NWQ109" s="32"/>
      <c r="NWR109" s="32"/>
      <c r="NWS109" s="32"/>
      <c r="NWT109" s="32"/>
      <c r="NWU109" s="32"/>
      <c r="NWV109" s="32"/>
      <c r="NWW109" s="32"/>
      <c r="NWX109" s="32"/>
      <c r="NWY109" s="32"/>
      <c r="NWZ109" s="32"/>
      <c r="NXA109" s="32"/>
      <c r="NXB109" s="32"/>
      <c r="NXC109" s="32"/>
      <c r="NXD109" s="32"/>
      <c r="NXE109" s="32"/>
      <c r="NXF109" s="32"/>
      <c r="NXG109" s="32"/>
      <c r="NXH109" s="32"/>
      <c r="NXI109" s="32"/>
      <c r="NXJ109" s="32"/>
      <c r="NXK109" s="32"/>
      <c r="NXL109" s="32"/>
      <c r="NXM109" s="32"/>
      <c r="NXN109" s="32"/>
      <c r="NXO109" s="32"/>
      <c r="NXP109" s="32"/>
      <c r="NXQ109" s="32"/>
      <c r="NXR109" s="32"/>
      <c r="NXS109" s="32"/>
      <c r="NXT109" s="32"/>
      <c r="NXU109" s="32"/>
      <c r="NXV109" s="32"/>
      <c r="NXW109" s="32"/>
      <c r="NXX109" s="32"/>
      <c r="NXY109" s="32"/>
      <c r="NXZ109" s="32"/>
      <c r="NYA109" s="32"/>
      <c r="NYB109" s="32"/>
      <c r="NYC109" s="32"/>
      <c r="NYD109" s="32"/>
      <c r="NYE109" s="32"/>
      <c r="NYF109" s="32"/>
      <c r="NYG109" s="32"/>
      <c r="NYH109" s="32"/>
      <c r="NYI109" s="32"/>
      <c r="NYJ109" s="32"/>
      <c r="NYK109" s="32"/>
      <c r="NYL109" s="32"/>
      <c r="NYM109" s="32"/>
      <c r="NYN109" s="32"/>
      <c r="NYO109" s="32"/>
      <c r="NYP109" s="32"/>
      <c r="NYQ109" s="32"/>
      <c r="NYR109" s="32"/>
      <c r="NYS109" s="32"/>
      <c r="NYT109" s="32"/>
      <c r="NYU109" s="32"/>
      <c r="NYV109" s="32"/>
      <c r="NYW109" s="32"/>
      <c r="NYX109" s="32"/>
      <c r="NYY109" s="32"/>
      <c r="NYZ109" s="32"/>
      <c r="NZA109" s="32"/>
      <c r="NZB109" s="32"/>
      <c r="NZC109" s="32"/>
      <c r="NZD109" s="32"/>
      <c r="NZE109" s="32"/>
      <c r="NZF109" s="32"/>
      <c r="NZG109" s="32"/>
      <c r="NZH109" s="32"/>
      <c r="NZI109" s="32"/>
      <c r="NZJ109" s="32"/>
      <c r="NZK109" s="32"/>
      <c r="NZL109" s="32"/>
      <c r="NZM109" s="32"/>
      <c r="NZN109" s="32"/>
      <c r="NZO109" s="32"/>
      <c r="NZP109" s="32"/>
      <c r="NZQ109" s="32"/>
      <c r="NZR109" s="32"/>
      <c r="NZS109" s="32"/>
      <c r="NZT109" s="32"/>
      <c r="NZU109" s="32"/>
      <c r="NZV109" s="32"/>
      <c r="NZW109" s="32"/>
      <c r="NZX109" s="32"/>
      <c r="NZY109" s="32"/>
      <c r="NZZ109" s="32"/>
      <c r="OAA109" s="32"/>
      <c r="OAB109" s="32"/>
      <c r="OAC109" s="32"/>
      <c r="OAD109" s="32"/>
      <c r="OAE109" s="32"/>
      <c r="OAF109" s="32"/>
      <c r="OAG109" s="32"/>
      <c r="OAH109" s="32"/>
      <c r="OAI109" s="32"/>
      <c r="OAJ109" s="32"/>
      <c r="OAK109" s="32"/>
      <c r="OAL109" s="32"/>
      <c r="OAM109" s="32"/>
      <c r="OAN109" s="32"/>
      <c r="OAO109" s="32"/>
      <c r="OAP109" s="32"/>
      <c r="OAQ109" s="32"/>
      <c r="OAR109" s="32"/>
      <c r="OAS109" s="32"/>
      <c r="OAT109" s="32"/>
      <c r="OAU109" s="32"/>
      <c r="OAV109" s="32"/>
      <c r="OAW109" s="32"/>
      <c r="OAX109" s="32"/>
      <c r="OAY109" s="32"/>
      <c r="OAZ109" s="32"/>
      <c r="OBA109" s="32"/>
      <c r="OBB109" s="32"/>
      <c r="OBC109" s="32"/>
      <c r="OBD109" s="32"/>
      <c r="OBE109" s="32"/>
      <c r="OBF109" s="32"/>
      <c r="OBG109" s="32"/>
      <c r="OBH109" s="32"/>
      <c r="OBI109" s="32"/>
      <c r="OBJ109" s="32"/>
      <c r="OBK109" s="32"/>
      <c r="OBL109" s="32"/>
      <c r="OBM109" s="32"/>
      <c r="OBN109" s="32"/>
      <c r="OBO109" s="32"/>
      <c r="OBP109" s="32"/>
      <c r="OBQ109" s="32"/>
      <c r="OBR109" s="32"/>
      <c r="OBS109" s="32"/>
      <c r="OBT109" s="32"/>
      <c r="OBU109" s="32"/>
      <c r="OBV109" s="32"/>
      <c r="OBW109" s="32"/>
      <c r="OBX109" s="32"/>
      <c r="OBY109" s="32"/>
      <c r="OBZ109" s="32"/>
      <c r="OCA109" s="32"/>
      <c r="OCB109" s="32"/>
      <c r="OCC109" s="32"/>
      <c r="OCD109" s="32"/>
      <c r="OCE109" s="32"/>
      <c r="OCF109" s="32"/>
      <c r="OCG109" s="32"/>
      <c r="OCH109" s="32"/>
      <c r="OCI109" s="32"/>
      <c r="OCJ109" s="32"/>
      <c r="OCK109" s="32"/>
      <c r="OCL109" s="32"/>
      <c r="OCM109" s="32"/>
      <c r="OCN109" s="32"/>
      <c r="OCO109" s="32"/>
      <c r="OCP109" s="32"/>
      <c r="OCQ109" s="32"/>
      <c r="OCR109" s="32"/>
      <c r="OCS109" s="32"/>
      <c r="OCT109" s="32"/>
      <c r="OCU109" s="32"/>
      <c r="OCV109" s="32"/>
      <c r="OCW109" s="32"/>
      <c r="OCX109" s="32"/>
      <c r="OCY109" s="32"/>
      <c r="OCZ109" s="32"/>
      <c r="ODA109" s="32"/>
      <c r="ODB109" s="32"/>
      <c r="ODC109" s="32"/>
      <c r="ODD109" s="32"/>
      <c r="ODE109" s="32"/>
      <c r="ODF109" s="32"/>
      <c r="ODG109" s="32"/>
      <c r="ODH109" s="32"/>
      <c r="ODI109" s="32"/>
      <c r="ODJ109" s="32"/>
      <c r="ODK109" s="32"/>
      <c r="ODL109" s="32"/>
      <c r="ODM109" s="32"/>
      <c r="ODN109" s="32"/>
      <c r="ODO109" s="32"/>
      <c r="ODP109" s="32"/>
      <c r="ODQ109" s="32"/>
      <c r="ODR109" s="32"/>
      <c r="ODS109" s="32"/>
      <c r="ODT109" s="32"/>
      <c r="ODU109" s="32"/>
      <c r="ODV109" s="32"/>
      <c r="ODW109" s="32"/>
      <c r="ODX109" s="32"/>
      <c r="ODY109" s="32"/>
      <c r="ODZ109" s="32"/>
      <c r="OEA109" s="32"/>
      <c r="OEB109" s="32"/>
      <c r="OEC109" s="32"/>
      <c r="OED109" s="32"/>
      <c r="OEE109" s="32"/>
      <c r="OEF109" s="32"/>
      <c r="OEG109" s="32"/>
      <c r="OEH109" s="32"/>
      <c r="OEI109" s="32"/>
      <c r="OEJ109" s="32"/>
      <c r="OEK109" s="32"/>
      <c r="OEL109" s="32"/>
      <c r="OEM109" s="32"/>
      <c r="OEN109" s="32"/>
      <c r="OEO109" s="32"/>
      <c r="OEP109" s="32"/>
      <c r="OEQ109" s="32"/>
      <c r="OER109" s="32"/>
      <c r="OES109" s="32"/>
      <c r="OET109" s="32"/>
      <c r="OEU109" s="32"/>
      <c r="OEV109" s="32"/>
      <c r="OEW109" s="32"/>
      <c r="OEX109" s="32"/>
      <c r="OEY109" s="32"/>
      <c r="OEZ109" s="32"/>
      <c r="OFA109" s="32"/>
      <c r="OFB109" s="32"/>
      <c r="OFC109" s="32"/>
      <c r="OFD109" s="32"/>
      <c r="OFE109" s="32"/>
      <c r="OFF109" s="32"/>
      <c r="OFG109" s="32"/>
      <c r="OFH109" s="32"/>
      <c r="OFI109" s="32"/>
      <c r="OFJ109" s="32"/>
      <c r="OFK109" s="32"/>
      <c r="OFL109" s="32"/>
      <c r="OFM109" s="32"/>
      <c r="OFN109" s="32"/>
      <c r="OFO109" s="32"/>
      <c r="OFP109" s="32"/>
      <c r="OFQ109" s="32"/>
      <c r="OFR109" s="32"/>
      <c r="OFS109" s="32"/>
      <c r="OFT109" s="32"/>
      <c r="OFU109" s="32"/>
      <c r="OFV109" s="32"/>
      <c r="OFW109" s="32"/>
      <c r="OFX109" s="32"/>
      <c r="OFY109" s="32"/>
      <c r="OFZ109" s="32"/>
      <c r="OGA109" s="32"/>
      <c r="OGB109" s="32"/>
      <c r="OGC109" s="32"/>
      <c r="OGD109" s="32"/>
      <c r="OGE109" s="32"/>
      <c r="OGF109" s="32"/>
      <c r="OGG109" s="32"/>
      <c r="OGH109" s="32"/>
      <c r="OGI109" s="32"/>
      <c r="OGJ109" s="32"/>
      <c r="OGK109" s="32"/>
      <c r="OGL109" s="32"/>
      <c r="OGM109" s="32"/>
      <c r="OGN109" s="32"/>
      <c r="OGO109" s="32"/>
      <c r="OGP109" s="32"/>
      <c r="OGQ109" s="32"/>
      <c r="OGR109" s="32"/>
      <c r="OGS109" s="32"/>
      <c r="OGT109" s="32"/>
      <c r="OGU109" s="32"/>
      <c r="OGV109" s="32"/>
      <c r="OGW109" s="32"/>
      <c r="OGX109" s="32"/>
      <c r="OGY109" s="32"/>
      <c r="OGZ109" s="32"/>
      <c r="OHA109" s="32"/>
      <c r="OHB109" s="32"/>
      <c r="OHC109" s="32"/>
      <c r="OHD109" s="32"/>
      <c r="OHE109" s="32"/>
      <c r="OHF109" s="32"/>
      <c r="OHG109" s="32"/>
      <c r="OHH109" s="32"/>
      <c r="OHI109" s="32"/>
      <c r="OHJ109" s="32"/>
      <c r="OHK109" s="32"/>
      <c r="OHL109" s="32"/>
      <c r="OHM109" s="32"/>
      <c r="OHN109" s="32"/>
      <c r="OHO109" s="32"/>
      <c r="OHP109" s="32"/>
      <c r="OHQ109" s="32"/>
      <c r="OHR109" s="32"/>
      <c r="OHS109" s="32"/>
      <c r="OHT109" s="32"/>
      <c r="OHU109" s="32"/>
      <c r="OHV109" s="32"/>
      <c r="OHW109" s="32"/>
      <c r="OHX109" s="32"/>
      <c r="OHY109" s="32"/>
      <c r="OHZ109" s="32"/>
      <c r="OIA109" s="32"/>
      <c r="OIB109" s="32"/>
      <c r="OIC109" s="32"/>
      <c r="OID109" s="32"/>
      <c r="OIE109" s="32"/>
      <c r="OIF109" s="32"/>
      <c r="OIG109" s="32"/>
      <c r="OIH109" s="32"/>
      <c r="OII109" s="32"/>
      <c r="OIJ109" s="32"/>
      <c r="OIK109" s="32"/>
      <c r="OIL109" s="32"/>
      <c r="OIM109" s="32"/>
      <c r="OIN109" s="32"/>
      <c r="OIO109" s="32"/>
      <c r="OIP109" s="32"/>
      <c r="OIQ109" s="32"/>
      <c r="OIR109" s="32"/>
      <c r="OIS109" s="32"/>
      <c r="OIT109" s="32"/>
      <c r="OIU109" s="32"/>
      <c r="OIV109" s="32"/>
      <c r="OIW109" s="32"/>
      <c r="OIX109" s="32"/>
      <c r="OIY109" s="32"/>
      <c r="OIZ109" s="32"/>
      <c r="OJA109" s="32"/>
      <c r="OJB109" s="32"/>
      <c r="OJC109" s="32"/>
      <c r="OJD109" s="32"/>
      <c r="OJE109" s="32"/>
      <c r="OJF109" s="32"/>
      <c r="OJG109" s="32"/>
      <c r="OJH109" s="32"/>
      <c r="OJI109" s="32"/>
      <c r="OJJ109" s="32"/>
      <c r="OJK109" s="32"/>
      <c r="OJL109" s="32"/>
      <c r="OJM109" s="32"/>
      <c r="OJN109" s="32"/>
      <c r="OJO109" s="32"/>
      <c r="OJP109" s="32"/>
      <c r="OJQ109" s="32"/>
      <c r="OJR109" s="32"/>
      <c r="OJS109" s="32"/>
      <c r="OJT109" s="32"/>
      <c r="OJU109" s="32"/>
      <c r="OJV109" s="32"/>
      <c r="OJW109" s="32"/>
      <c r="OJX109" s="32"/>
      <c r="OJY109" s="32"/>
      <c r="OJZ109" s="32"/>
      <c r="OKA109" s="32"/>
      <c r="OKB109" s="32"/>
      <c r="OKC109" s="32"/>
      <c r="OKD109" s="32"/>
      <c r="OKE109" s="32"/>
      <c r="OKF109" s="32"/>
      <c r="OKG109" s="32"/>
      <c r="OKH109" s="32"/>
      <c r="OKI109" s="32"/>
      <c r="OKJ109" s="32"/>
      <c r="OKK109" s="32"/>
      <c r="OKL109" s="32"/>
      <c r="OKM109" s="32"/>
      <c r="OKN109" s="32"/>
      <c r="OKO109" s="32"/>
      <c r="OKP109" s="32"/>
      <c r="OKQ109" s="32"/>
      <c r="OKR109" s="32"/>
      <c r="OKS109" s="32"/>
      <c r="OKT109" s="32"/>
      <c r="OKU109" s="32"/>
      <c r="OKV109" s="32"/>
      <c r="OKW109" s="32"/>
      <c r="OKX109" s="32"/>
      <c r="OKY109" s="32"/>
      <c r="OKZ109" s="32"/>
      <c r="OLA109" s="32"/>
      <c r="OLB109" s="32"/>
      <c r="OLC109" s="32"/>
      <c r="OLD109" s="32"/>
      <c r="OLE109" s="32"/>
      <c r="OLF109" s="32"/>
      <c r="OLG109" s="32"/>
      <c r="OLH109" s="32"/>
      <c r="OLI109" s="32"/>
      <c r="OLJ109" s="32"/>
      <c r="OLK109" s="32"/>
      <c r="OLL109" s="32"/>
      <c r="OLM109" s="32"/>
      <c r="OLN109" s="32"/>
      <c r="OLO109" s="32"/>
      <c r="OLP109" s="32"/>
      <c r="OLQ109" s="32"/>
      <c r="OLR109" s="32"/>
      <c r="OLS109" s="32"/>
      <c r="OLT109" s="32"/>
      <c r="OLU109" s="32"/>
      <c r="OLV109" s="32"/>
      <c r="OLW109" s="32"/>
      <c r="OLX109" s="32"/>
      <c r="OLY109" s="32"/>
      <c r="OLZ109" s="32"/>
      <c r="OMA109" s="32"/>
      <c r="OMB109" s="32"/>
      <c r="OMC109" s="32"/>
      <c r="OMD109" s="32"/>
      <c r="OME109" s="32"/>
      <c r="OMF109" s="32"/>
      <c r="OMG109" s="32"/>
      <c r="OMH109" s="32"/>
      <c r="OMI109" s="32"/>
      <c r="OMJ109" s="32"/>
      <c r="OMK109" s="32"/>
      <c r="OML109" s="32"/>
      <c r="OMM109" s="32"/>
      <c r="OMN109" s="32"/>
      <c r="OMO109" s="32"/>
      <c r="OMP109" s="32"/>
      <c r="OMQ109" s="32"/>
      <c r="OMR109" s="32"/>
      <c r="OMS109" s="32"/>
      <c r="OMT109" s="32"/>
      <c r="OMU109" s="32"/>
      <c r="OMV109" s="32"/>
      <c r="OMW109" s="32"/>
      <c r="OMX109" s="32"/>
      <c r="OMY109" s="32"/>
      <c r="OMZ109" s="32"/>
      <c r="ONA109" s="32"/>
      <c r="ONB109" s="32"/>
      <c r="ONC109" s="32"/>
      <c r="OND109" s="32"/>
      <c r="ONE109" s="32"/>
      <c r="ONF109" s="32"/>
      <c r="ONG109" s="32"/>
      <c r="ONH109" s="32"/>
      <c r="ONI109" s="32"/>
      <c r="ONJ109" s="32"/>
      <c r="ONK109" s="32"/>
      <c r="ONL109" s="32"/>
      <c r="ONM109" s="32"/>
      <c r="ONN109" s="32"/>
      <c r="ONO109" s="32"/>
      <c r="ONP109" s="32"/>
      <c r="ONQ109" s="32"/>
      <c r="ONR109" s="32"/>
      <c r="ONS109" s="32"/>
      <c r="ONT109" s="32"/>
      <c r="ONU109" s="32"/>
      <c r="ONV109" s="32"/>
      <c r="ONW109" s="32"/>
      <c r="ONX109" s="32"/>
      <c r="ONY109" s="32"/>
      <c r="ONZ109" s="32"/>
      <c r="OOA109" s="32"/>
      <c r="OOB109" s="32"/>
      <c r="OOC109" s="32"/>
      <c r="OOD109" s="32"/>
      <c r="OOE109" s="32"/>
      <c r="OOF109" s="32"/>
      <c r="OOG109" s="32"/>
      <c r="OOH109" s="32"/>
      <c r="OOI109" s="32"/>
      <c r="OOJ109" s="32"/>
      <c r="OOK109" s="32"/>
      <c r="OOL109" s="32"/>
      <c r="OOM109" s="32"/>
      <c r="OON109" s="32"/>
      <c r="OOO109" s="32"/>
      <c r="OOP109" s="32"/>
      <c r="OOQ109" s="32"/>
      <c r="OOR109" s="32"/>
      <c r="OOS109" s="32"/>
      <c r="OOT109" s="32"/>
      <c r="OOU109" s="32"/>
      <c r="OOV109" s="32"/>
      <c r="OOW109" s="32"/>
      <c r="OOX109" s="32"/>
      <c r="OOY109" s="32"/>
      <c r="OOZ109" s="32"/>
      <c r="OPA109" s="32"/>
      <c r="OPB109" s="32"/>
      <c r="OPC109" s="32"/>
      <c r="OPD109" s="32"/>
      <c r="OPE109" s="32"/>
      <c r="OPF109" s="32"/>
      <c r="OPG109" s="32"/>
      <c r="OPH109" s="32"/>
      <c r="OPI109" s="32"/>
      <c r="OPJ109" s="32"/>
      <c r="OPK109" s="32"/>
      <c r="OPL109" s="32"/>
      <c r="OPM109" s="32"/>
      <c r="OPN109" s="32"/>
      <c r="OPO109" s="32"/>
      <c r="OPP109" s="32"/>
      <c r="OPQ109" s="32"/>
      <c r="OPR109" s="32"/>
      <c r="OPS109" s="32"/>
      <c r="OPT109" s="32"/>
      <c r="OPU109" s="32"/>
      <c r="OPV109" s="32"/>
      <c r="OPW109" s="32"/>
      <c r="OPX109" s="32"/>
      <c r="OPY109" s="32"/>
      <c r="OPZ109" s="32"/>
      <c r="OQA109" s="32"/>
      <c r="OQB109" s="32"/>
      <c r="OQC109" s="32"/>
      <c r="OQD109" s="32"/>
      <c r="OQE109" s="32"/>
      <c r="OQF109" s="32"/>
      <c r="OQG109" s="32"/>
      <c r="OQH109" s="32"/>
      <c r="OQI109" s="32"/>
      <c r="OQJ109" s="32"/>
      <c r="OQK109" s="32"/>
      <c r="OQL109" s="32"/>
      <c r="OQM109" s="32"/>
      <c r="OQN109" s="32"/>
      <c r="OQO109" s="32"/>
      <c r="OQP109" s="32"/>
      <c r="OQQ109" s="32"/>
      <c r="OQR109" s="32"/>
      <c r="OQS109" s="32"/>
      <c r="OQT109" s="32"/>
      <c r="OQU109" s="32"/>
      <c r="OQV109" s="32"/>
      <c r="OQW109" s="32"/>
      <c r="OQX109" s="32"/>
      <c r="OQY109" s="32"/>
      <c r="OQZ109" s="32"/>
      <c r="ORA109" s="32"/>
      <c r="ORB109" s="32"/>
      <c r="ORC109" s="32"/>
      <c r="ORD109" s="32"/>
      <c r="ORE109" s="32"/>
      <c r="ORF109" s="32"/>
      <c r="ORG109" s="32"/>
      <c r="ORH109" s="32"/>
      <c r="ORI109" s="32"/>
      <c r="ORJ109" s="32"/>
      <c r="ORK109" s="32"/>
      <c r="ORL109" s="32"/>
      <c r="ORM109" s="32"/>
      <c r="ORN109" s="32"/>
      <c r="ORO109" s="32"/>
      <c r="ORP109" s="32"/>
      <c r="ORQ109" s="32"/>
      <c r="ORR109" s="32"/>
      <c r="ORS109" s="32"/>
      <c r="ORT109" s="32"/>
      <c r="ORU109" s="32"/>
      <c r="ORV109" s="32"/>
      <c r="ORW109" s="32"/>
      <c r="ORX109" s="32"/>
      <c r="ORY109" s="32"/>
      <c r="ORZ109" s="32"/>
      <c r="OSA109" s="32"/>
      <c r="OSB109" s="32"/>
      <c r="OSC109" s="32"/>
      <c r="OSD109" s="32"/>
      <c r="OSE109" s="32"/>
      <c r="OSF109" s="32"/>
      <c r="OSG109" s="32"/>
      <c r="OSH109" s="32"/>
      <c r="OSI109" s="32"/>
      <c r="OSJ109" s="32"/>
      <c r="OSK109" s="32"/>
      <c r="OSL109" s="32"/>
      <c r="OSM109" s="32"/>
      <c r="OSN109" s="32"/>
      <c r="OSO109" s="32"/>
      <c r="OSP109" s="32"/>
      <c r="OSQ109" s="32"/>
      <c r="OSR109" s="32"/>
      <c r="OSS109" s="32"/>
      <c r="OST109" s="32"/>
      <c r="OSU109" s="32"/>
      <c r="OSV109" s="32"/>
      <c r="OSW109" s="32"/>
      <c r="OSX109" s="32"/>
      <c r="OSY109" s="32"/>
      <c r="OSZ109" s="32"/>
      <c r="OTA109" s="32"/>
      <c r="OTB109" s="32"/>
      <c r="OTC109" s="32"/>
      <c r="OTD109" s="32"/>
      <c r="OTE109" s="32"/>
      <c r="OTF109" s="32"/>
      <c r="OTG109" s="32"/>
      <c r="OTH109" s="32"/>
      <c r="OTI109" s="32"/>
      <c r="OTJ109" s="32"/>
      <c r="OTK109" s="32"/>
      <c r="OTL109" s="32"/>
      <c r="OTM109" s="32"/>
      <c r="OTN109" s="32"/>
      <c r="OTO109" s="32"/>
      <c r="OTP109" s="32"/>
      <c r="OTQ109" s="32"/>
      <c r="OTR109" s="32"/>
      <c r="OTS109" s="32"/>
      <c r="OTT109" s="32"/>
      <c r="OTU109" s="32"/>
      <c r="OTV109" s="32"/>
      <c r="OTW109" s="32"/>
      <c r="OTX109" s="32"/>
      <c r="OTY109" s="32"/>
      <c r="OTZ109" s="32"/>
      <c r="OUA109" s="32"/>
      <c r="OUB109" s="32"/>
      <c r="OUC109" s="32"/>
      <c r="OUD109" s="32"/>
      <c r="OUE109" s="32"/>
      <c r="OUF109" s="32"/>
      <c r="OUG109" s="32"/>
      <c r="OUH109" s="32"/>
      <c r="OUI109" s="32"/>
      <c r="OUJ109" s="32"/>
      <c r="OUK109" s="32"/>
      <c r="OUL109" s="32"/>
      <c r="OUM109" s="32"/>
      <c r="OUN109" s="32"/>
      <c r="OUO109" s="32"/>
      <c r="OUP109" s="32"/>
      <c r="OUQ109" s="32"/>
      <c r="OUR109" s="32"/>
      <c r="OUS109" s="32"/>
      <c r="OUT109" s="32"/>
      <c r="OUU109" s="32"/>
      <c r="OUV109" s="32"/>
      <c r="OUW109" s="32"/>
      <c r="OUX109" s="32"/>
      <c r="OUY109" s="32"/>
      <c r="OUZ109" s="32"/>
      <c r="OVA109" s="32"/>
      <c r="OVB109" s="32"/>
      <c r="OVC109" s="32"/>
      <c r="OVD109" s="32"/>
      <c r="OVE109" s="32"/>
      <c r="OVF109" s="32"/>
      <c r="OVG109" s="32"/>
      <c r="OVH109" s="32"/>
      <c r="OVI109" s="32"/>
      <c r="OVJ109" s="32"/>
      <c r="OVK109" s="32"/>
      <c r="OVL109" s="32"/>
      <c r="OVM109" s="32"/>
      <c r="OVN109" s="32"/>
      <c r="OVO109" s="32"/>
      <c r="OVP109" s="32"/>
      <c r="OVQ109" s="32"/>
      <c r="OVR109" s="32"/>
      <c r="OVS109" s="32"/>
      <c r="OVT109" s="32"/>
      <c r="OVU109" s="32"/>
      <c r="OVV109" s="32"/>
      <c r="OVW109" s="32"/>
      <c r="OVX109" s="32"/>
      <c r="OVY109" s="32"/>
      <c r="OVZ109" s="32"/>
      <c r="OWA109" s="32"/>
      <c r="OWB109" s="32"/>
      <c r="OWC109" s="32"/>
      <c r="OWD109" s="32"/>
      <c r="OWE109" s="32"/>
      <c r="OWF109" s="32"/>
      <c r="OWG109" s="32"/>
      <c r="OWH109" s="32"/>
      <c r="OWI109" s="32"/>
      <c r="OWJ109" s="32"/>
      <c r="OWK109" s="32"/>
      <c r="OWL109" s="32"/>
      <c r="OWM109" s="32"/>
      <c r="OWN109" s="32"/>
      <c r="OWO109" s="32"/>
      <c r="OWP109" s="32"/>
      <c r="OWQ109" s="32"/>
      <c r="OWR109" s="32"/>
      <c r="OWS109" s="32"/>
      <c r="OWT109" s="32"/>
      <c r="OWU109" s="32"/>
      <c r="OWV109" s="32"/>
      <c r="OWW109" s="32"/>
      <c r="OWX109" s="32"/>
      <c r="OWY109" s="32"/>
      <c r="OWZ109" s="32"/>
      <c r="OXA109" s="32"/>
      <c r="OXB109" s="32"/>
      <c r="OXC109" s="32"/>
      <c r="OXD109" s="32"/>
      <c r="OXE109" s="32"/>
      <c r="OXF109" s="32"/>
      <c r="OXG109" s="32"/>
      <c r="OXH109" s="32"/>
      <c r="OXI109" s="32"/>
      <c r="OXJ109" s="32"/>
      <c r="OXK109" s="32"/>
      <c r="OXL109" s="32"/>
      <c r="OXM109" s="32"/>
      <c r="OXN109" s="32"/>
      <c r="OXO109" s="32"/>
      <c r="OXP109" s="32"/>
      <c r="OXQ109" s="32"/>
      <c r="OXR109" s="32"/>
      <c r="OXS109" s="32"/>
      <c r="OXT109" s="32"/>
      <c r="OXU109" s="32"/>
      <c r="OXV109" s="32"/>
      <c r="OXW109" s="32"/>
      <c r="OXX109" s="32"/>
      <c r="OXY109" s="32"/>
      <c r="OXZ109" s="32"/>
      <c r="OYA109" s="32"/>
      <c r="OYB109" s="32"/>
      <c r="OYC109" s="32"/>
      <c r="OYD109" s="32"/>
      <c r="OYE109" s="32"/>
      <c r="OYF109" s="32"/>
      <c r="OYG109" s="32"/>
      <c r="OYH109" s="32"/>
      <c r="OYI109" s="32"/>
      <c r="OYJ109" s="32"/>
      <c r="OYK109" s="32"/>
      <c r="OYL109" s="32"/>
      <c r="OYM109" s="32"/>
      <c r="OYN109" s="32"/>
      <c r="OYO109" s="32"/>
      <c r="OYP109" s="32"/>
      <c r="OYQ109" s="32"/>
      <c r="OYR109" s="32"/>
      <c r="OYS109" s="32"/>
      <c r="OYT109" s="32"/>
      <c r="OYU109" s="32"/>
      <c r="OYV109" s="32"/>
      <c r="OYW109" s="32"/>
      <c r="OYX109" s="32"/>
      <c r="OYY109" s="32"/>
      <c r="OYZ109" s="32"/>
      <c r="OZA109" s="32"/>
      <c r="OZB109" s="32"/>
      <c r="OZC109" s="32"/>
      <c r="OZD109" s="32"/>
      <c r="OZE109" s="32"/>
      <c r="OZF109" s="32"/>
      <c r="OZG109" s="32"/>
      <c r="OZH109" s="32"/>
      <c r="OZI109" s="32"/>
      <c r="OZJ109" s="32"/>
      <c r="OZK109" s="32"/>
      <c r="OZL109" s="32"/>
      <c r="OZM109" s="32"/>
      <c r="OZN109" s="32"/>
      <c r="OZO109" s="32"/>
      <c r="OZP109" s="32"/>
      <c r="OZQ109" s="32"/>
      <c r="OZR109" s="32"/>
      <c r="OZS109" s="32"/>
      <c r="OZT109" s="32"/>
      <c r="OZU109" s="32"/>
      <c r="OZV109" s="32"/>
      <c r="OZW109" s="32"/>
      <c r="OZX109" s="32"/>
      <c r="OZY109" s="32"/>
      <c r="OZZ109" s="32"/>
      <c r="PAA109" s="32"/>
      <c r="PAB109" s="32"/>
      <c r="PAC109" s="32"/>
      <c r="PAD109" s="32"/>
      <c r="PAE109" s="32"/>
      <c r="PAF109" s="32"/>
      <c r="PAG109" s="32"/>
      <c r="PAH109" s="32"/>
      <c r="PAI109" s="32"/>
      <c r="PAJ109" s="32"/>
      <c r="PAK109" s="32"/>
      <c r="PAL109" s="32"/>
      <c r="PAM109" s="32"/>
      <c r="PAN109" s="32"/>
      <c r="PAO109" s="32"/>
      <c r="PAP109" s="32"/>
      <c r="PAQ109" s="32"/>
      <c r="PAR109" s="32"/>
      <c r="PAS109" s="32"/>
      <c r="PAT109" s="32"/>
      <c r="PAU109" s="32"/>
      <c r="PAV109" s="32"/>
      <c r="PAW109" s="32"/>
      <c r="PAX109" s="32"/>
      <c r="PAY109" s="32"/>
      <c r="PAZ109" s="32"/>
      <c r="PBA109" s="32"/>
      <c r="PBB109" s="32"/>
      <c r="PBC109" s="32"/>
      <c r="PBD109" s="32"/>
      <c r="PBE109" s="32"/>
      <c r="PBF109" s="32"/>
      <c r="PBG109" s="32"/>
      <c r="PBH109" s="32"/>
      <c r="PBI109" s="32"/>
      <c r="PBJ109" s="32"/>
      <c r="PBK109" s="32"/>
      <c r="PBL109" s="32"/>
      <c r="PBM109" s="32"/>
      <c r="PBN109" s="32"/>
      <c r="PBO109" s="32"/>
      <c r="PBP109" s="32"/>
      <c r="PBQ109" s="32"/>
      <c r="PBR109" s="32"/>
      <c r="PBS109" s="32"/>
      <c r="PBT109" s="32"/>
      <c r="PBU109" s="32"/>
      <c r="PBV109" s="32"/>
      <c r="PBW109" s="32"/>
      <c r="PBX109" s="32"/>
      <c r="PBY109" s="32"/>
      <c r="PBZ109" s="32"/>
      <c r="PCA109" s="32"/>
      <c r="PCB109" s="32"/>
      <c r="PCC109" s="32"/>
      <c r="PCD109" s="32"/>
      <c r="PCE109" s="32"/>
      <c r="PCF109" s="32"/>
      <c r="PCG109" s="32"/>
      <c r="PCH109" s="32"/>
      <c r="PCI109" s="32"/>
      <c r="PCJ109" s="32"/>
      <c r="PCK109" s="32"/>
      <c r="PCL109" s="32"/>
      <c r="PCM109" s="32"/>
      <c r="PCN109" s="32"/>
      <c r="PCO109" s="32"/>
      <c r="PCP109" s="32"/>
      <c r="PCQ109" s="32"/>
      <c r="PCR109" s="32"/>
      <c r="PCS109" s="32"/>
      <c r="PCT109" s="32"/>
      <c r="PCU109" s="32"/>
      <c r="PCV109" s="32"/>
      <c r="PCW109" s="32"/>
      <c r="PCX109" s="32"/>
      <c r="PCY109" s="32"/>
      <c r="PCZ109" s="32"/>
      <c r="PDA109" s="32"/>
      <c r="PDB109" s="32"/>
      <c r="PDC109" s="32"/>
      <c r="PDD109" s="32"/>
      <c r="PDE109" s="32"/>
      <c r="PDF109" s="32"/>
      <c r="PDG109" s="32"/>
      <c r="PDH109" s="32"/>
      <c r="PDI109" s="32"/>
      <c r="PDJ109" s="32"/>
      <c r="PDK109" s="32"/>
      <c r="PDL109" s="32"/>
      <c r="PDM109" s="32"/>
      <c r="PDN109" s="32"/>
      <c r="PDO109" s="32"/>
      <c r="PDP109" s="32"/>
      <c r="PDQ109" s="32"/>
      <c r="PDR109" s="32"/>
      <c r="PDS109" s="32"/>
      <c r="PDT109" s="32"/>
      <c r="PDU109" s="32"/>
      <c r="PDV109" s="32"/>
      <c r="PDW109" s="32"/>
      <c r="PDX109" s="32"/>
      <c r="PDY109" s="32"/>
      <c r="PDZ109" s="32"/>
      <c r="PEA109" s="32"/>
      <c r="PEB109" s="32"/>
      <c r="PEC109" s="32"/>
      <c r="PED109" s="32"/>
      <c r="PEE109" s="32"/>
      <c r="PEF109" s="32"/>
      <c r="PEG109" s="32"/>
      <c r="PEH109" s="32"/>
      <c r="PEI109" s="32"/>
      <c r="PEJ109" s="32"/>
      <c r="PEK109" s="32"/>
      <c r="PEL109" s="32"/>
      <c r="PEM109" s="32"/>
      <c r="PEN109" s="32"/>
      <c r="PEO109" s="32"/>
      <c r="PEP109" s="32"/>
      <c r="PEQ109" s="32"/>
      <c r="PER109" s="32"/>
      <c r="PES109" s="32"/>
      <c r="PET109" s="32"/>
      <c r="PEU109" s="32"/>
      <c r="PEV109" s="32"/>
      <c r="PEW109" s="32"/>
      <c r="PEX109" s="32"/>
      <c r="PEY109" s="32"/>
      <c r="PEZ109" s="32"/>
      <c r="PFA109" s="32"/>
      <c r="PFB109" s="32"/>
      <c r="PFC109" s="32"/>
      <c r="PFD109" s="32"/>
      <c r="PFE109" s="32"/>
      <c r="PFF109" s="32"/>
      <c r="PFG109" s="32"/>
      <c r="PFH109" s="32"/>
      <c r="PFI109" s="32"/>
      <c r="PFJ109" s="32"/>
      <c r="PFK109" s="32"/>
      <c r="PFL109" s="32"/>
      <c r="PFM109" s="32"/>
      <c r="PFN109" s="32"/>
      <c r="PFO109" s="32"/>
      <c r="PFP109" s="32"/>
      <c r="PFQ109" s="32"/>
      <c r="PFR109" s="32"/>
      <c r="PFS109" s="32"/>
      <c r="PFT109" s="32"/>
      <c r="PFU109" s="32"/>
      <c r="PFV109" s="32"/>
      <c r="PFW109" s="32"/>
      <c r="PFX109" s="32"/>
      <c r="PFY109" s="32"/>
      <c r="PFZ109" s="32"/>
      <c r="PGA109" s="32"/>
      <c r="PGB109" s="32"/>
      <c r="PGC109" s="32"/>
      <c r="PGD109" s="32"/>
      <c r="PGE109" s="32"/>
      <c r="PGF109" s="32"/>
      <c r="PGG109" s="32"/>
      <c r="PGH109" s="32"/>
      <c r="PGI109" s="32"/>
      <c r="PGJ109" s="32"/>
      <c r="PGK109" s="32"/>
      <c r="PGL109" s="32"/>
      <c r="PGM109" s="32"/>
      <c r="PGN109" s="32"/>
      <c r="PGO109" s="32"/>
      <c r="PGP109" s="32"/>
      <c r="PGQ109" s="32"/>
      <c r="PGR109" s="32"/>
      <c r="PGS109" s="32"/>
      <c r="PGT109" s="32"/>
      <c r="PGU109" s="32"/>
      <c r="PGV109" s="32"/>
      <c r="PGW109" s="32"/>
      <c r="PGX109" s="32"/>
      <c r="PGY109" s="32"/>
      <c r="PGZ109" s="32"/>
      <c r="PHA109" s="32"/>
      <c r="PHB109" s="32"/>
      <c r="PHC109" s="32"/>
      <c r="PHD109" s="32"/>
      <c r="PHE109" s="32"/>
      <c r="PHF109" s="32"/>
      <c r="PHG109" s="32"/>
      <c r="PHH109" s="32"/>
      <c r="PHI109" s="32"/>
      <c r="PHJ109" s="32"/>
      <c r="PHK109" s="32"/>
      <c r="PHL109" s="32"/>
      <c r="PHM109" s="32"/>
      <c r="PHN109" s="32"/>
      <c r="PHO109" s="32"/>
      <c r="PHP109" s="32"/>
      <c r="PHQ109" s="32"/>
      <c r="PHR109" s="32"/>
      <c r="PHS109" s="32"/>
      <c r="PHT109" s="32"/>
      <c r="PHU109" s="32"/>
      <c r="PHV109" s="32"/>
      <c r="PHW109" s="32"/>
      <c r="PHX109" s="32"/>
      <c r="PHY109" s="32"/>
      <c r="PHZ109" s="32"/>
      <c r="PIA109" s="32"/>
      <c r="PIB109" s="32"/>
      <c r="PIC109" s="32"/>
      <c r="PID109" s="32"/>
      <c r="PIE109" s="32"/>
      <c r="PIF109" s="32"/>
      <c r="PIG109" s="32"/>
      <c r="PIH109" s="32"/>
      <c r="PII109" s="32"/>
      <c r="PIJ109" s="32"/>
      <c r="PIK109" s="32"/>
      <c r="PIL109" s="32"/>
      <c r="PIM109" s="32"/>
      <c r="PIN109" s="32"/>
      <c r="PIO109" s="32"/>
      <c r="PIP109" s="32"/>
      <c r="PIQ109" s="32"/>
      <c r="PIR109" s="32"/>
      <c r="PIS109" s="32"/>
      <c r="PIT109" s="32"/>
      <c r="PIU109" s="32"/>
      <c r="PIV109" s="32"/>
      <c r="PIW109" s="32"/>
      <c r="PIX109" s="32"/>
      <c r="PIY109" s="32"/>
      <c r="PIZ109" s="32"/>
      <c r="PJA109" s="32"/>
      <c r="PJB109" s="32"/>
      <c r="PJC109" s="32"/>
      <c r="PJD109" s="32"/>
      <c r="PJE109" s="32"/>
      <c r="PJF109" s="32"/>
      <c r="PJG109" s="32"/>
      <c r="PJH109" s="32"/>
      <c r="PJI109" s="32"/>
      <c r="PJJ109" s="32"/>
      <c r="PJK109" s="32"/>
      <c r="PJL109" s="32"/>
      <c r="PJM109" s="32"/>
      <c r="PJN109" s="32"/>
      <c r="PJO109" s="32"/>
      <c r="PJP109" s="32"/>
      <c r="PJQ109" s="32"/>
      <c r="PJR109" s="32"/>
      <c r="PJS109" s="32"/>
      <c r="PJT109" s="32"/>
      <c r="PJU109" s="32"/>
      <c r="PJV109" s="32"/>
      <c r="PJW109" s="32"/>
      <c r="PJX109" s="32"/>
      <c r="PJY109" s="32"/>
      <c r="PJZ109" s="32"/>
      <c r="PKA109" s="32"/>
      <c r="PKB109" s="32"/>
      <c r="PKC109" s="32"/>
      <c r="PKD109" s="32"/>
      <c r="PKE109" s="32"/>
      <c r="PKF109" s="32"/>
      <c r="PKG109" s="32"/>
      <c r="PKH109" s="32"/>
      <c r="PKI109" s="32"/>
      <c r="PKJ109" s="32"/>
      <c r="PKK109" s="32"/>
      <c r="PKL109" s="32"/>
      <c r="PKM109" s="32"/>
      <c r="PKN109" s="32"/>
      <c r="PKO109" s="32"/>
      <c r="PKP109" s="32"/>
      <c r="PKQ109" s="32"/>
      <c r="PKR109" s="32"/>
      <c r="PKS109" s="32"/>
      <c r="PKT109" s="32"/>
      <c r="PKU109" s="32"/>
      <c r="PKV109" s="32"/>
      <c r="PKW109" s="32"/>
      <c r="PKX109" s="32"/>
      <c r="PKY109" s="32"/>
      <c r="PKZ109" s="32"/>
      <c r="PLA109" s="32"/>
      <c r="PLB109" s="32"/>
      <c r="PLC109" s="32"/>
      <c r="PLD109" s="32"/>
      <c r="PLE109" s="32"/>
      <c r="PLF109" s="32"/>
      <c r="PLG109" s="32"/>
      <c r="PLH109" s="32"/>
      <c r="PLI109" s="32"/>
      <c r="PLJ109" s="32"/>
      <c r="PLK109" s="32"/>
      <c r="PLL109" s="32"/>
      <c r="PLM109" s="32"/>
      <c r="PLN109" s="32"/>
      <c r="PLO109" s="32"/>
      <c r="PLP109" s="32"/>
      <c r="PLQ109" s="32"/>
      <c r="PLR109" s="32"/>
      <c r="PLS109" s="32"/>
      <c r="PLT109" s="32"/>
      <c r="PLU109" s="32"/>
      <c r="PLV109" s="32"/>
      <c r="PLW109" s="32"/>
      <c r="PLX109" s="32"/>
      <c r="PLY109" s="32"/>
      <c r="PLZ109" s="32"/>
      <c r="PMA109" s="32"/>
      <c r="PMB109" s="32"/>
      <c r="PMC109" s="32"/>
      <c r="PMD109" s="32"/>
      <c r="PME109" s="32"/>
      <c r="PMF109" s="32"/>
      <c r="PMG109" s="32"/>
      <c r="PMH109" s="32"/>
      <c r="PMI109" s="32"/>
      <c r="PMJ109" s="32"/>
      <c r="PMK109" s="32"/>
      <c r="PML109" s="32"/>
      <c r="PMM109" s="32"/>
      <c r="PMN109" s="32"/>
      <c r="PMO109" s="32"/>
      <c r="PMP109" s="32"/>
      <c r="PMQ109" s="32"/>
      <c r="PMR109" s="32"/>
      <c r="PMS109" s="32"/>
      <c r="PMT109" s="32"/>
      <c r="PMU109" s="32"/>
      <c r="PMV109" s="32"/>
      <c r="PMW109" s="32"/>
      <c r="PMX109" s="32"/>
      <c r="PMY109" s="32"/>
      <c r="PMZ109" s="32"/>
      <c r="PNA109" s="32"/>
      <c r="PNB109" s="32"/>
      <c r="PNC109" s="32"/>
      <c r="PND109" s="32"/>
      <c r="PNE109" s="32"/>
      <c r="PNF109" s="32"/>
      <c r="PNG109" s="32"/>
      <c r="PNH109" s="32"/>
      <c r="PNI109" s="32"/>
      <c r="PNJ109" s="32"/>
      <c r="PNK109" s="32"/>
      <c r="PNL109" s="32"/>
      <c r="PNM109" s="32"/>
      <c r="PNN109" s="32"/>
      <c r="PNO109" s="32"/>
      <c r="PNP109" s="32"/>
      <c r="PNQ109" s="32"/>
      <c r="PNR109" s="32"/>
      <c r="PNS109" s="32"/>
      <c r="PNT109" s="32"/>
      <c r="PNU109" s="32"/>
      <c r="PNV109" s="32"/>
      <c r="PNW109" s="32"/>
      <c r="PNX109" s="32"/>
      <c r="PNY109" s="32"/>
      <c r="PNZ109" s="32"/>
      <c r="POA109" s="32"/>
      <c r="POB109" s="32"/>
      <c r="POC109" s="32"/>
      <c r="POD109" s="32"/>
      <c r="POE109" s="32"/>
      <c r="POF109" s="32"/>
      <c r="POG109" s="32"/>
      <c r="POH109" s="32"/>
      <c r="POI109" s="32"/>
      <c r="POJ109" s="32"/>
      <c r="POK109" s="32"/>
      <c r="POL109" s="32"/>
      <c r="POM109" s="32"/>
      <c r="PON109" s="32"/>
      <c r="POO109" s="32"/>
      <c r="POP109" s="32"/>
      <c r="POQ109" s="32"/>
      <c r="POR109" s="32"/>
      <c r="POS109" s="32"/>
      <c r="POT109" s="32"/>
      <c r="POU109" s="32"/>
      <c r="POV109" s="32"/>
      <c r="POW109" s="32"/>
      <c r="POX109" s="32"/>
      <c r="POY109" s="32"/>
      <c r="POZ109" s="32"/>
      <c r="PPA109" s="32"/>
      <c r="PPB109" s="32"/>
      <c r="PPC109" s="32"/>
      <c r="PPD109" s="32"/>
      <c r="PPE109" s="32"/>
      <c r="PPF109" s="32"/>
      <c r="PPG109" s="32"/>
      <c r="PPH109" s="32"/>
      <c r="PPI109" s="32"/>
      <c r="PPJ109" s="32"/>
      <c r="PPK109" s="32"/>
      <c r="PPL109" s="32"/>
      <c r="PPM109" s="32"/>
      <c r="PPN109" s="32"/>
      <c r="PPO109" s="32"/>
      <c r="PPP109" s="32"/>
      <c r="PPQ109" s="32"/>
      <c r="PPR109" s="32"/>
      <c r="PPS109" s="32"/>
      <c r="PPT109" s="32"/>
      <c r="PPU109" s="32"/>
      <c r="PPV109" s="32"/>
      <c r="PPW109" s="32"/>
      <c r="PPX109" s="32"/>
      <c r="PPY109" s="32"/>
      <c r="PPZ109" s="32"/>
      <c r="PQA109" s="32"/>
      <c r="PQB109" s="32"/>
      <c r="PQC109" s="32"/>
      <c r="PQD109" s="32"/>
      <c r="PQE109" s="32"/>
      <c r="PQF109" s="32"/>
      <c r="PQG109" s="32"/>
      <c r="PQH109" s="32"/>
      <c r="PQI109" s="32"/>
      <c r="PQJ109" s="32"/>
      <c r="PQK109" s="32"/>
      <c r="PQL109" s="32"/>
      <c r="PQM109" s="32"/>
      <c r="PQN109" s="32"/>
      <c r="PQO109" s="32"/>
      <c r="PQP109" s="32"/>
      <c r="PQQ109" s="32"/>
      <c r="PQR109" s="32"/>
      <c r="PQS109" s="32"/>
      <c r="PQT109" s="32"/>
      <c r="PQU109" s="32"/>
      <c r="PQV109" s="32"/>
      <c r="PQW109" s="32"/>
      <c r="PQX109" s="32"/>
      <c r="PQY109" s="32"/>
      <c r="PQZ109" s="32"/>
      <c r="PRA109" s="32"/>
      <c r="PRB109" s="32"/>
      <c r="PRC109" s="32"/>
      <c r="PRD109" s="32"/>
      <c r="PRE109" s="32"/>
      <c r="PRF109" s="32"/>
      <c r="PRG109" s="32"/>
      <c r="PRH109" s="32"/>
      <c r="PRI109" s="32"/>
      <c r="PRJ109" s="32"/>
      <c r="PRK109" s="32"/>
      <c r="PRL109" s="32"/>
      <c r="PRM109" s="32"/>
      <c r="PRN109" s="32"/>
      <c r="PRO109" s="32"/>
      <c r="PRP109" s="32"/>
      <c r="PRQ109" s="32"/>
      <c r="PRR109" s="32"/>
      <c r="PRS109" s="32"/>
      <c r="PRT109" s="32"/>
      <c r="PRU109" s="32"/>
      <c r="PRV109" s="32"/>
      <c r="PRW109" s="32"/>
      <c r="PRX109" s="32"/>
      <c r="PRY109" s="32"/>
      <c r="PRZ109" s="32"/>
      <c r="PSA109" s="32"/>
      <c r="PSB109" s="32"/>
      <c r="PSC109" s="32"/>
      <c r="PSD109" s="32"/>
      <c r="PSE109" s="32"/>
      <c r="PSF109" s="32"/>
      <c r="PSG109" s="32"/>
      <c r="PSH109" s="32"/>
      <c r="PSI109" s="32"/>
      <c r="PSJ109" s="32"/>
      <c r="PSK109" s="32"/>
      <c r="PSL109" s="32"/>
      <c r="PSM109" s="32"/>
      <c r="PSN109" s="32"/>
      <c r="PSO109" s="32"/>
      <c r="PSP109" s="32"/>
      <c r="PSQ109" s="32"/>
      <c r="PSR109" s="32"/>
      <c r="PSS109" s="32"/>
      <c r="PST109" s="32"/>
      <c r="PSU109" s="32"/>
      <c r="PSV109" s="32"/>
      <c r="PSW109" s="32"/>
      <c r="PSX109" s="32"/>
      <c r="PSY109" s="32"/>
      <c r="PSZ109" s="32"/>
      <c r="PTA109" s="32"/>
      <c r="PTB109" s="32"/>
      <c r="PTC109" s="32"/>
      <c r="PTD109" s="32"/>
      <c r="PTE109" s="32"/>
      <c r="PTF109" s="32"/>
      <c r="PTG109" s="32"/>
      <c r="PTH109" s="32"/>
      <c r="PTI109" s="32"/>
      <c r="PTJ109" s="32"/>
      <c r="PTK109" s="32"/>
      <c r="PTL109" s="32"/>
      <c r="PTM109" s="32"/>
      <c r="PTN109" s="32"/>
      <c r="PTO109" s="32"/>
      <c r="PTP109" s="32"/>
      <c r="PTQ109" s="32"/>
      <c r="PTR109" s="32"/>
      <c r="PTS109" s="32"/>
      <c r="PTT109" s="32"/>
      <c r="PTU109" s="32"/>
      <c r="PTV109" s="32"/>
      <c r="PTW109" s="32"/>
      <c r="PTX109" s="32"/>
      <c r="PTY109" s="32"/>
      <c r="PTZ109" s="32"/>
      <c r="PUA109" s="32"/>
      <c r="PUB109" s="32"/>
      <c r="PUC109" s="32"/>
      <c r="PUD109" s="32"/>
      <c r="PUE109" s="32"/>
      <c r="PUF109" s="32"/>
      <c r="PUG109" s="32"/>
      <c r="PUH109" s="32"/>
      <c r="PUI109" s="32"/>
      <c r="PUJ109" s="32"/>
      <c r="PUK109" s="32"/>
      <c r="PUL109" s="32"/>
      <c r="PUM109" s="32"/>
      <c r="PUN109" s="32"/>
      <c r="PUO109" s="32"/>
      <c r="PUP109" s="32"/>
      <c r="PUQ109" s="32"/>
      <c r="PUR109" s="32"/>
      <c r="PUS109" s="32"/>
      <c r="PUT109" s="32"/>
      <c r="PUU109" s="32"/>
      <c r="PUV109" s="32"/>
      <c r="PUW109" s="32"/>
      <c r="PUX109" s="32"/>
      <c r="PUY109" s="32"/>
      <c r="PUZ109" s="32"/>
      <c r="PVA109" s="32"/>
      <c r="PVB109" s="32"/>
      <c r="PVC109" s="32"/>
      <c r="PVD109" s="32"/>
      <c r="PVE109" s="32"/>
      <c r="PVF109" s="32"/>
      <c r="PVG109" s="32"/>
      <c r="PVH109" s="32"/>
      <c r="PVI109" s="32"/>
      <c r="PVJ109" s="32"/>
      <c r="PVK109" s="32"/>
      <c r="PVL109" s="32"/>
      <c r="PVM109" s="32"/>
      <c r="PVN109" s="32"/>
      <c r="PVO109" s="32"/>
      <c r="PVP109" s="32"/>
      <c r="PVQ109" s="32"/>
      <c r="PVR109" s="32"/>
      <c r="PVS109" s="32"/>
      <c r="PVT109" s="32"/>
      <c r="PVU109" s="32"/>
      <c r="PVV109" s="32"/>
      <c r="PVW109" s="32"/>
      <c r="PVX109" s="32"/>
      <c r="PVY109" s="32"/>
      <c r="PVZ109" s="32"/>
      <c r="PWA109" s="32"/>
      <c r="PWB109" s="32"/>
      <c r="PWC109" s="32"/>
      <c r="PWD109" s="32"/>
      <c r="PWE109" s="32"/>
      <c r="PWF109" s="32"/>
      <c r="PWG109" s="32"/>
      <c r="PWH109" s="32"/>
      <c r="PWI109" s="32"/>
      <c r="PWJ109" s="32"/>
      <c r="PWK109" s="32"/>
      <c r="PWL109" s="32"/>
      <c r="PWM109" s="32"/>
      <c r="PWN109" s="32"/>
      <c r="PWO109" s="32"/>
      <c r="PWP109" s="32"/>
      <c r="PWQ109" s="32"/>
      <c r="PWR109" s="32"/>
      <c r="PWS109" s="32"/>
      <c r="PWT109" s="32"/>
      <c r="PWU109" s="32"/>
      <c r="PWV109" s="32"/>
      <c r="PWW109" s="32"/>
      <c r="PWX109" s="32"/>
      <c r="PWY109" s="32"/>
      <c r="PWZ109" s="32"/>
      <c r="PXA109" s="32"/>
      <c r="PXB109" s="32"/>
      <c r="PXC109" s="32"/>
      <c r="PXD109" s="32"/>
      <c r="PXE109" s="32"/>
      <c r="PXF109" s="32"/>
      <c r="PXG109" s="32"/>
      <c r="PXH109" s="32"/>
      <c r="PXI109" s="32"/>
      <c r="PXJ109" s="32"/>
      <c r="PXK109" s="32"/>
      <c r="PXL109" s="32"/>
      <c r="PXM109" s="32"/>
      <c r="PXN109" s="32"/>
      <c r="PXO109" s="32"/>
      <c r="PXP109" s="32"/>
      <c r="PXQ109" s="32"/>
      <c r="PXR109" s="32"/>
      <c r="PXS109" s="32"/>
      <c r="PXT109" s="32"/>
      <c r="PXU109" s="32"/>
      <c r="PXV109" s="32"/>
      <c r="PXW109" s="32"/>
      <c r="PXX109" s="32"/>
      <c r="PXY109" s="32"/>
      <c r="PXZ109" s="32"/>
      <c r="PYA109" s="32"/>
      <c r="PYB109" s="32"/>
      <c r="PYC109" s="32"/>
      <c r="PYD109" s="32"/>
      <c r="PYE109" s="32"/>
      <c r="PYF109" s="32"/>
      <c r="PYG109" s="32"/>
      <c r="PYH109" s="32"/>
      <c r="PYI109" s="32"/>
      <c r="PYJ109" s="32"/>
      <c r="PYK109" s="32"/>
      <c r="PYL109" s="32"/>
      <c r="PYM109" s="32"/>
      <c r="PYN109" s="32"/>
      <c r="PYO109" s="32"/>
      <c r="PYP109" s="32"/>
      <c r="PYQ109" s="32"/>
      <c r="PYR109" s="32"/>
      <c r="PYS109" s="32"/>
      <c r="PYT109" s="32"/>
      <c r="PYU109" s="32"/>
      <c r="PYV109" s="32"/>
      <c r="PYW109" s="32"/>
      <c r="PYX109" s="32"/>
      <c r="PYY109" s="32"/>
      <c r="PYZ109" s="32"/>
      <c r="PZA109" s="32"/>
      <c r="PZB109" s="32"/>
      <c r="PZC109" s="32"/>
      <c r="PZD109" s="32"/>
      <c r="PZE109" s="32"/>
      <c r="PZF109" s="32"/>
      <c r="PZG109" s="32"/>
      <c r="PZH109" s="32"/>
      <c r="PZI109" s="32"/>
      <c r="PZJ109" s="32"/>
      <c r="PZK109" s="32"/>
      <c r="PZL109" s="32"/>
      <c r="PZM109" s="32"/>
      <c r="PZN109" s="32"/>
      <c r="PZO109" s="32"/>
      <c r="PZP109" s="32"/>
      <c r="PZQ109" s="32"/>
      <c r="PZR109" s="32"/>
      <c r="PZS109" s="32"/>
      <c r="PZT109" s="32"/>
      <c r="PZU109" s="32"/>
      <c r="PZV109" s="32"/>
      <c r="PZW109" s="32"/>
      <c r="PZX109" s="32"/>
      <c r="PZY109" s="32"/>
      <c r="PZZ109" s="32"/>
      <c r="QAA109" s="32"/>
      <c r="QAB109" s="32"/>
      <c r="QAC109" s="32"/>
      <c r="QAD109" s="32"/>
      <c r="QAE109" s="32"/>
      <c r="QAF109" s="32"/>
      <c r="QAG109" s="32"/>
      <c r="QAH109" s="32"/>
      <c r="QAI109" s="32"/>
      <c r="QAJ109" s="32"/>
      <c r="QAK109" s="32"/>
      <c r="QAL109" s="32"/>
      <c r="QAM109" s="32"/>
      <c r="QAN109" s="32"/>
      <c r="QAO109" s="32"/>
      <c r="QAP109" s="32"/>
      <c r="QAQ109" s="32"/>
      <c r="QAR109" s="32"/>
      <c r="QAS109" s="32"/>
      <c r="QAT109" s="32"/>
      <c r="QAU109" s="32"/>
      <c r="QAV109" s="32"/>
      <c r="QAW109" s="32"/>
      <c r="QAX109" s="32"/>
      <c r="QAY109" s="32"/>
      <c r="QAZ109" s="32"/>
      <c r="QBA109" s="32"/>
      <c r="QBB109" s="32"/>
      <c r="QBC109" s="32"/>
      <c r="QBD109" s="32"/>
      <c r="QBE109" s="32"/>
      <c r="QBF109" s="32"/>
      <c r="QBG109" s="32"/>
      <c r="QBH109" s="32"/>
      <c r="QBI109" s="32"/>
      <c r="QBJ109" s="32"/>
      <c r="QBK109" s="32"/>
      <c r="QBL109" s="32"/>
      <c r="QBM109" s="32"/>
      <c r="QBN109" s="32"/>
      <c r="QBO109" s="32"/>
      <c r="QBP109" s="32"/>
      <c r="QBQ109" s="32"/>
      <c r="QBR109" s="32"/>
      <c r="QBS109" s="32"/>
      <c r="QBT109" s="32"/>
      <c r="QBU109" s="32"/>
      <c r="QBV109" s="32"/>
      <c r="QBW109" s="32"/>
      <c r="QBX109" s="32"/>
      <c r="QBY109" s="32"/>
      <c r="QBZ109" s="32"/>
      <c r="QCA109" s="32"/>
      <c r="QCB109" s="32"/>
      <c r="QCC109" s="32"/>
      <c r="QCD109" s="32"/>
      <c r="QCE109" s="32"/>
      <c r="QCF109" s="32"/>
      <c r="QCG109" s="32"/>
      <c r="QCH109" s="32"/>
      <c r="QCI109" s="32"/>
      <c r="QCJ109" s="32"/>
      <c r="QCK109" s="32"/>
      <c r="QCL109" s="32"/>
      <c r="QCM109" s="32"/>
      <c r="QCN109" s="32"/>
      <c r="QCO109" s="32"/>
      <c r="QCP109" s="32"/>
      <c r="QCQ109" s="32"/>
      <c r="QCR109" s="32"/>
      <c r="QCS109" s="32"/>
      <c r="QCT109" s="32"/>
      <c r="QCU109" s="32"/>
      <c r="QCV109" s="32"/>
      <c r="QCW109" s="32"/>
      <c r="QCX109" s="32"/>
      <c r="QCY109" s="32"/>
      <c r="QCZ109" s="32"/>
      <c r="QDA109" s="32"/>
      <c r="QDB109" s="32"/>
      <c r="QDC109" s="32"/>
      <c r="QDD109" s="32"/>
      <c r="QDE109" s="32"/>
      <c r="QDF109" s="32"/>
      <c r="QDG109" s="32"/>
      <c r="QDH109" s="32"/>
      <c r="QDI109" s="32"/>
      <c r="QDJ109" s="32"/>
      <c r="QDK109" s="32"/>
      <c r="QDL109" s="32"/>
      <c r="QDM109" s="32"/>
      <c r="QDN109" s="32"/>
      <c r="QDO109" s="32"/>
      <c r="QDP109" s="32"/>
      <c r="QDQ109" s="32"/>
      <c r="QDR109" s="32"/>
      <c r="QDS109" s="32"/>
      <c r="QDT109" s="32"/>
      <c r="QDU109" s="32"/>
      <c r="QDV109" s="32"/>
      <c r="QDW109" s="32"/>
      <c r="QDX109" s="32"/>
      <c r="QDY109" s="32"/>
      <c r="QDZ109" s="32"/>
      <c r="QEA109" s="32"/>
      <c r="QEB109" s="32"/>
      <c r="QEC109" s="32"/>
      <c r="QED109" s="32"/>
      <c r="QEE109" s="32"/>
      <c r="QEF109" s="32"/>
      <c r="QEG109" s="32"/>
      <c r="QEH109" s="32"/>
      <c r="QEI109" s="32"/>
      <c r="QEJ109" s="32"/>
      <c r="QEK109" s="32"/>
      <c r="QEL109" s="32"/>
      <c r="QEM109" s="32"/>
      <c r="QEN109" s="32"/>
      <c r="QEO109" s="32"/>
      <c r="QEP109" s="32"/>
      <c r="QEQ109" s="32"/>
      <c r="QER109" s="32"/>
      <c r="QES109" s="32"/>
      <c r="QET109" s="32"/>
      <c r="QEU109" s="32"/>
      <c r="QEV109" s="32"/>
      <c r="QEW109" s="32"/>
      <c r="QEX109" s="32"/>
      <c r="QEY109" s="32"/>
      <c r="QEZ109" s="32"/>
      <c r="QFA109" s="32"/>
      <c r="QFB109" s="32"/>
      <c r="QFC109" s="32"/>
      <c r="QFD109" s="32"/>
      <c r="QFE109" s="32"/>
      <c r="QFF109" s="32"/>
      <c r="QFG109" s="32"/>
      <c r="QFH109" s="32"/>
      <c r="QFI109" s="32"/>
      <c r="QFJ109" s="32"/>
      <c r="QFK109" s="32"/>
      <c r="QFL109" s="32"/>
      <c r="QFM109" s="32"/>
      <c r="QFN109" s="32"/>
      <c r="QFO109" s="32"/>
      <c r="QFP109" s="32"/>
      <c r="QFQ109" s="32"/>
      <c r="QFR109" s="32"/>
      <c r="QFS109" s="32"/>
      <c r="QFT109" s="32"/>
      <c r="QFU109" s="32"/>
      <c r="QFV109" s="32"/>
      <c r="QFW109" s="32"/>
      <c r="QFX109" s="32"/>
      <c r="QFY109" s="32"/>
      <c r="QFZ109" s="32"/>
      <c r="QGA109" s="32"/>
      <c r="QGB109" s="32"/>
      <c r="QGC109" s="32"/>
      <c r="QGD109" s="32"/>
      <c r="QGE109" s="32"/>
      <c r="QGF109" s="32"/>
      <c r="QGG109" s="32"/>
      <c r="QGH109" s="32"/>
      <c r="QGI109" s="32"/>
      <c r="QGJ109" s="32"/>
      <c r="QGK109" s="32"/>
      <c r="QGL109" s="32"/>
      <c r="QGM109" s="32"/>
      <c r="QGN109" s="32"/>
      <c r="QGO109" s="32"/>
      <c r="QGP109" s="32"/>
      <c r="QGQ109" s="32"/>
      <c r="QGR109" s="32"/>
      <c r="QGS109" s="32"/>
      <c r="QGT109" s="32"/>
      <c r="QGU109" s="32"/>
      <c r="QGV109" s="32"/>
      <c r="QGW109" s="32"/>
      <c r="QGX109" s="32"/>
      <c r="QGY109" s="32"/>
      <c r="QGZ109" s="32"/>
      <c r="QHA109" s="32"/>
      <c r="QHB109" s="32"/>
      <c r="QHC109" s="32"/>
      <c r="QHD109" s="32"/>
      <c r="QHE109" s="32"/>
      <c r="QHF109" s="32"/>
      <c r="QHG109" s="32"/>
      <c r="QHH109" s="32"/>
      <c r="QHI109" s="32"/>
      <c r="QHJ109" s="32"/>
      <c r="QHK109" s="32"/>
      <c r="QHL109" s="32"/>
      <c r="QHM109" s="32"/>
      <c r="QHN109" s="32"/>
      <c r="QHO109" s="32"/>
      <c r="QHP109" s="32"/>
      <c r="QHQ109" s="32"/>
      <c r="QHR109" s="32"/>
      <c r="QHS109" s="32"/>
      <c r="QHT109" s="32"/>
      <c r="QHU109" s="32"/>
      <c r="QHV109" s="32"/>
      <c r="QHW109" s="32"/>
      <c r="QHX109" s="32"/>
      <c r="QHY109" s="32"/>
      <c r="QHZ109" s="32"/>
      <c r="QIA109" s="32"/>
      <c r="QIB109" s="32"/>
      <c r="QIC109" s="32"/>
      <c r="QID109" s="32"/>
      <c r="QIE109" s="32"/>
      <c r="QIF109" s="32"/>
      <c r="QIG109" s="32"/>
      <c r="QIH109" s="32"/>
      <c r="QII109" s="32"/>
      <c r="QIJ109" s="32"/>
      <c r="QIK109" s="32"/>
      <c r="QIL109" s="32"/>
      <c r="QIM109" s="32"/>
      <c r="QIN109" s="32"/>
      <c r="QIO109" s="32"/>
      <c r="QIP109" s="32"/>
      <c r="QIQ109" s="32"/>
      <c r="QIR109" s="32"/>
      <c r="QIS109" s="32"/>
      <c r="QIT109" s="32"/>
      <c r="QIU109" s="32"/>
      <c r="QIV109" s="32"/>
      <c r="QIW109" s="32"/>
      <c r="QIX109" s="32"/>
      <c r="QIY109" s="32"/>
      <c r="QIZ109" s="32"/>
      <c r="QJA109" s="32"/>
      <c r="QJB109" s="32"/>
      <c r="QJC109" s="32"/>
      <c r="QJD109" s="32"/>
      <c r="QJE109" s="32"/>
      <c r="QJF109" s="32"/>
      <c r="QJG109" s="32"/>
      <c r="QJH109" s="32"/>
      <c r="QJI109" s="32"/>
      <c r="QJJ109" s="32"/>
      <c r="QJK109" s="32"/>
      <c r="QJL109" s="32"/>
      <c r="QJM109" s="32"/>
      <c r="QJN109" s="32"/>
      <c r="QJO109" s="32"/>
      <c r="QJP109" s="32"/>
      <c r="QJQ109" s="32"/>
      <c r="QJR109" s="32"/>
      <c r="QJS109" s="32"/>
      <c r="QJT109" s="32"/>
      <c r="QJU109" s="32"/>
      <c r="QJV109" s="32"/>
      <c r="QJW109" s="32"/>
      <c r="QJX109" s="32"/>
      <c r="QJY109" s="32"/>
      <c r="QJZ109" s="32"/>
      <c r="QKA109" s="32"/>
      <c r="QKB109" s="32"/>
      <c r="QKC109" s="32"/>
      <c r="QKD109" s="32"/>
      <c r="QKE109" s="32"/>
      <c r="QKF109" s="32"/>
      <c r="QKG109" s="32"/>
      <c r="QKH109" s="32"/>
      <c r="QKI109" s="32"/>
      <c r="QKJ109" s="32"/>
      <c r="QKK109" s="32"/>
      <c r="QKL109" s="32"/>
      <c r="QKM109" s="32"/>
      <c r="QKN109" s="32"/>
      <c r="QKO109" s="32"/>
      <c r="QKP109" s="32"/>
      <c r="QKQ109" s="32"/>
      <c r="QKR109" s="32"/>
      <c r="QKS109" s="32"/>
      <c r="QKT109" s="32"/>
      <c r="QKU109" s="32"/>
      <c r="QKV109" s="32"/>
      <c r="QKW109" s="32"/>
      <c r="QKX109" s="32"/>
      <c r="QKY109" s="32"/>
      <c r="QKZ109" s="32"/>
      <c r="QLA109" s="32"/>
      <c r="QLB109" s="32"/>
      <c r="QLC109" s="32"/>
      <c r="QLD109" s="32"/>
      <c r="QLE109" s="32"/>
      <c r="QLF109" s="32"/>
      <c r="QLG109" s="32"/>
      <c r="QLH109" s="32"/>
      <c r="QLI109" s="32"/>
      <c r="QLJ109" s="32"/>
      <c r="QLK109" s="32"/>
      <c r="QLL109" s="32"/>
      <c r="QLM109" s="32"/>
      <c r="QLN109" s="32"/>
      <c r="QLO109" s="32"/>
      <c r="QLP109" s="32"/>
      <c r="QLQ109" s="32"/>
      <c r="QLR109" s="32"/>
      <c r="QLS109" s="32"/>
      <c r="QLT109" s="32"/>
      <c r="QLU109" s="32"/>
      <c r="QLV109" s="32"/>
      <c r="QLW109" s="32"/>
      <c r="QLX109" s="32"/>
      <c r="QLY109" s="32"/>
      <c r="QLZ109" s="32"/>
      <c r="QMA109" s="32"/>
      <c r="QMB109" s="32"/>
      <c r="QMC109" s="32"/>
      <c r="QMD109" s="32"/>
      <c r="QME109" s="32"/>
      <c r="QMF109" s="32"/>
      <c r="QMG109" s="32"/>
      <c r="QMH109" s="32"/>
      <c r="QMI109" s="32"/>
      <c r="QMJ109" s="32"/>
      <c r="QMK109" s="32"/>
      <c r="QML109" s="32"/>
      <c r="QMM109" s="32"/>
      <c r="QMN109" s="32"/>
      <c r="QMO109" s="32"/>
      <c r="QMP109" s="32"/>
      <c r="QMQ109" s="32"/>
      <c r="QMR109" s="32"/>
      <c r="QMS109" s="32"/>
      <c r="QMT109" s="32"/>
      <c r="QMU109" s="32"/>
      <c r="QMV109" s="32"/>
      <c r="QMW109" s="32"/>
      <c r="QMX109" s="32"/>
      <c r="QMY109" s="32"/>
      <c r="QMZ109" s="32"/>
      <c r="QNA109" s="32"/>
      <c r="QNB109" s="32"/>
      <c r="QNC109" s="32"/>
      <c r="QND109" s="32"/>
      <c r="QNE109" s="32"/>
      <c r="QNF109" s="32"/>
      <c r="QNG109" s="32"/>
      <c r="QNH109" s="32"/>
      <c r="QNI109" s="32"/>
      <c r="QNJ109" s="32"/>
      <c r="QNK109" s="32"/>
      <c r="QNL109" s="32"/>
      <c r="QNM109" s="32"/>
      <c r="QNN109" s="32"/>
      <c r="QNO109" s="32"/>
      <c r="QNP109" s="32"/>
      <c r="QNQ109" s="32"/>
      <c r="QNR109" s="32"/>
      <c r="QNS109" s="32"/>
      <c r="QNT109" s="32"/>
      <c r="QNU109" s="32"/>
      <c r="QNV109" s="32"/>
      <c r="QNW109" s="32"/>
      <c r="QNX109" s="32"/>
      <c r="QNY109" s="32"/>
      <c r="QNZ109" s="32"/>
      <c r="QOA109" s="32"/>
      <c r="QOB109" s="32"/>
      <c r="QOC109" s="32"/>
      <c r="QOD109" s="32"/>
      <c r="QOE109" s="32"/>
      <c r="QOF109" s="32"/>
      <c r="QOG109" s="32"/>
      <c r="QOH109" s="32"/>
      <c r="QOI109" s="32"/>
      <c r="QOJ109" s="32"/>
      <c r="QOK109" s="32"/>
      <c r="QOL109" s="32"/>
      <c r="QOM109" s="32"/>
      <c r="QON109" s="32"/>
      <c r="QOO109" s="32"/>
      <c r="QOP109" s="32"/>
      <c r="QOQ109" s="32"/>
      <c r="QOR109" s="32"/>
      <c r="QOS109" s="32"/>
      <c r="QOT109" s="32"/>
      <c r="QOU109" s="32"/>
      <c r="QOV109" s="32"/>
      <c r="QOW109" s="32"/>
      <c r="QOX109" s="32"/>
      <c r="QOY109" s="32"/>
      <c r="QOZ109" s="32"/>
      <c r="QPA109" s="32"/>
      <c r="QPB109" s="32"/>
      <c r="QPC109" s="32"/>
      <c r="QPD109" s="32"/>
      <c r="QPE109" s="32"/>
      <c r="QPF109" s="32"/>
      <c r="QPG109" s="32"/>
      <c r="QPH109" s="32"/>
      <c r="QPI109" s="32"/>
      <c r="QPJ109" s="32"/>
      <c r="QPK109" s="32"/>
      <c r="QPL109" s="32"/>
      <c r="QPM109" s="32"/>
      <c r="QPN109" s="32"/>
      <c r="QPO109" s="32"/>
      <c r="QPP109" s="32"/>
      <c r="QPQ109" s="32"/>
      <c r="QPR109" s="32"/>
      <c r="QPS109" s="32"/>
      <c r="QPT109" s="32"/>
      <c r="QPU109" s="32"/>
      <c r="QPV109" s="32"/>
      <c r="QPW109" s="32"/>
      <c r="QPX109" s="32"/>
      <c r="QPY109" s="32"/>
      <c r="QPZ109" s="32"/>
      <c r="QQA109" s="32"/>
      <c r="QQB109" s="32"/>
      <c r="QQC109" s="32"/>
      <c r="QQD109" s="32"/>
      <c r="QQE109" s="32"/>
      <c r="QQF109" s="32"/>
      <c r="QQG109" s="32"/>
      <c r="QQH109" s="32"/>
      <c r="QQI109" s="32"/>
      <c r="QQJ109" s="32"/>
      <c r="QQK109" s="32"/>
      <c r="QQL109" s="32"/>
      <c r="QQM109" s="32"/>
      <c r="QQN109" s="32"/>
      <c r="QQO109" s="32"/>
      <c r="QQP109" s="32"/>
      <c r="QQQ109" s="32"/>
      <c r="QQR109" s="32"/>
      <c r="QQS109" s="32"/>
      <c r="QQT109" s="32"/>
      <c r="QQU109" s="32"/>
      <c r="QQV109" s="32"/>
      <c r="QQW109" s="32"/>
      <c r="QQX109" s="32"/>
      <c r="QQY109" s="32"/>
      <c r="QQZ109" s="32"/>
      <c r="QRA109" s="32"/>
      <c r="QRB109" s="32"/>
      <c r="QRC109" s="32"/>
      <c r="QRD109" s="32"/>
      <c r="QRE109" s="32"/>
      <c r="QRF109" s="32"/>
      <c r="QRG109" s="32"/>
      <c r="QRH109" s="32"/>
      <c r="QRI109" s="32"/>
      <c r="QRJ109" s="32"/>
      <c r="QRK109" s="32"/>
      <c r="QRL109" s="32"/>
      <c r="QRM109" s="32"/>
      <c r="QRN109" s="32"/>
      <c r="QRO109" s="32"/>
      <c r="QRP109" s="32"/>
      <c r="QRQ109" s="32"/>
      <c r="QRR109" s="32"/>
      <c r="QRS109" s="32"/>
      <c r="QRT109" s="32"/>
      <c r="QRU109" s="32"/>
      <c r="QRV109" s="32"/>
      <c r="QRW109" s="32"/>
      <c r="QRX109" s="32"/>
      <c r="QRY109" s="32"/>
      <c r="QRZ109" s="32"/>
      <c r="QSA109" s="32"/>
      <c r="QSB109" s="32"/>
      <c r="QSC109" s="32"/>
      <c r="QSD109" s="32"/>
      <c r="QSE109" s="32"/>
      <c r="QSF109" s="32"/>
      <c r="QSG109" s="32"/>
      <c r="QSH109" s="32"/>
      <c r="QSI109" s="32"/>
      <c r="QSJ109" s="32"/>
      <c r="QSK109" s="32"/>
      <c r="QSL109" s="32"/>
      <c r="QSM109" s="32"/>
      <c r="QSN109" s="32"/>
      <c r="QSO109" s="32"/>
      <c r="QSP109" s="32"/>
      <c r="QSQ109" s="32"/>
      <c r="QSR109" s="32"/>
      <c r="QSS109" s="32"/>
      <c r="QST109" s="32"/>
      <c r="QSU109" s="32"/>
      <c r="QSV109" s="32"/>
      <c r="QSW109" s="32"/>
      <c r="QSX109" s="32"/>
      <c r="QSY109" s="32"/>
      <c r="QSZ109" s="32"/>
      <c r="QTA109" s="32"/>
      <c r="QTB109" s="32"/>
      <c r="QTC109" s="32"/>
      <c r="QTD109" s="32"/>
      <c r="QTE109" s="32"/>
      <c r="QTF109" s="32"/>
      <c r="QTG109" s="32"/>
      <c r="QTH109" s="32"/>
      <c r="QTI109" s="32"/>
      <c r="QTJ109" s="32"/>
      <c r="QTK109" s="32"/>
      <c r="QTL109" s="32"/>
      <c r="QTM109" s="32"/>
      <c r="QTN109" s="32"/>
      <c r="QTO109" s="32"/>
      <c r="QTP109" s="32"/>
      <c r="QTQ109" s="32"/>
      <c r="QTR109" s="32"/>
      <c r="QTS109" s="32"/>
      <c r="QTT109" s="32"/>
      <c r="QTU109" s="32"/>
      <c r="QTV109" s="32"/>
      <c r="QTW109" s="32"/>
      <c r="QTX109" s="32"/>
      <c r="QTY109" s="32"/>
      <c r="QTZ109" s="32"/>
      <c r="QUA109" s="32"/>
      <c r="QUB109" s="32"/>
      <c r="QUC109" s="32"/>
      <c r="QUD109" s="32"/>
      <c r="QUE109" s="32"/>
      <c r="QUF109" s="32"/>
      <c r="QUG109" s="32"/>
      <c r="QUH109" s="32"/>
      <c r="QUI109" s="32"/>
      <c r="QUJ109" s="32"/>
      <c r="QUK109" s="32"/>
      <c r="QUL109" s="32"/>
      <c r="QUM109" s="32"/>
      <c r="QUN109" s="32"/>
      <c r="QUO109" s="32"/>
      <c r="QUP109" s="32"/>
      <c r="QUQ109" s="32"/>
      <c r="QUR109" s="32"/>
      <c r="QUS109" s="32"/>
      <c r="QUT109" s="32"/>
      <c r="QUU109" s="32"/>
      <c r="QUV109" s="32"/>
      <c r="QUW109" s="32"/>
      <c r="QUX109" s="32"/>
      <c r="QUY109" s="32"/>
      <c r="QUZ109" s="32"/>
      <c r="QVA109" s="32"/>
      <c r="QVB109" s="32"/>
      <c r="QVC109" s="32"/>
      <c r="QVD109" s="32"/>
      <c r="QVE109" s="32"/>
      <c r="QVF109" s="32"/>
      <c r="QVG109" s="32"/>
      <c r="QVH109" s="32"/>
      <c r="QVI109" s="32"/>
      <c r="QVJ109" s="32"/>
      <c r="QVK109" s="32"/>
      <c r="QVL109" s="32"/>
      <c r="QVM109" s="32"/>
      <c r="QVN109" s="32"/>
      <c r="QVO109" s="32"/>
      <c r="QVP109" s="32"/>
      <c r="QVQ109" s="32"/>
      <c r="QVR109" s="32"/>
      <c r="QVS109" s="32"/>
      <c r="QVT109" s="32"/>
      <c r="QVU109" s="32"/>
      <c r="QVV109" s="32"/>
      <c r="QVW109" s="32"/>
      <c r="QVX109" s="32"/>
      <c r="QVY109" s="32"/>
      <c r="QVZ109" s="32"/>
      <c r="QWA109" s="32"/>
      <c r="QWB109" s="32"/>
      <c r="QWC109" s="32"/>
      <c r="QWD109" s="32"/>
      <c r="QWE109" s="32"/>
      <c r="QWF109" s="32"/>
      <c r="QWG109" s="32"/>
      <c r="QWH109" s="32"/>
      <c r="QWI109" s="32"/>
      <c r="QWJ109" s="32"/>
      <c r="QWK109" s="32"/>
      <c r="QWL109" s="32"/>
      <c r="QWM109" s="32"/>
      <c r="QWN109" s="32"/>
      <c r="QWO109" s="32"/>
      <c r="QWP109" s="32"/>
      <c r="QWQ109" s="32"/>
      <c r="QWR109" s="32"/>
      <c r="QWS109" s="32"/>
      <c r="QWT109" s="32"/>
      <c r="QWU109" s="32"/>
      <c r="QWV109" s="32"/>
      <c r="QWW109" s="32"/>
      <c r="QWX109" s="32"/>
      <c r="QWY109" s="32"/>
      <c r="QWZ109" s="32"/>
      <c r="QXA109" s="32"/>
      <c r="QXB109" s="32"/>
      <c r="QXC109" s="32"/>
      <c r="QXD109" s="32"/>
      <c r="QXE109" s="32"/>
      <c r="QXF109" s="32"/>
      <c r="QXG109" s="32"/>
      <c r="QXH109" s="32"/>
      <c r="QXI109" s="32"/>
      <c r="QXJ109" s="32"/>
      <c r="QXK109" s="32"/>
      <c r="QXL109" s="32"/>
      <c r="QXM109" s="32"/>
      <c r="QXN109" s="32"/>
      <c r="QXO109" s="32"/>
      <c r="QXP109" s="32"/>
      <c r="QXQ109" s="32"/>
      <c r="QXR109" s="32"/>
      <c r="QXS109" s="32"/>
      <c r="QXT109" s="32"/>
      <c r="QXU109" s="32"/>
      <c r="QXV109" s="32"/>
      <c r="QXW109" s="32"/>
      <c r="QXX109" s="32"/>
      <c r="QXY109" s="32"/>
      <c r="QXZ109" s="32"/>
      <c r="QYA109" s="32"/>
      <c r="QYB109" s="32"/>
      <c r="QYC109" s="32"/>
      <c r="QYD109" s="32"/>
      <c r="QYE109" s="32"/>
      <c r="QYF109" s="32"/>
      <c r="QYG109" s="32"/>
      <c r="QYH109" s="32"/>
      <c r="QYI109" s="32"/>
      <c r="QYJ109" s="32"/>
      <c r="QYK109" s="32"/>
      <c r="QYL109" s="32"/>
      <c r="QYM109" s="32"/>
      <c r="QYN109" s="32"/>
      <c r="QYO109" s="32"/>
      <c r="QYP109" s="32"/>
      <c r="QYQ109" s="32"/>
      <c r="QYR109" s="32"/>
      <c r="QYS109" s="32"/>
      <c r="QYT109" s="32"/>
      <c r="QYU109" s="32"/>
      <c r="QYV109" s="32"/>
      <c r="QYW109" s="32"/>
      <c r="QYX109" s="32"/>
      <c r="QYY109" s="32"/>
      <c r="QYZ109" s="32"/>
      <c r="QZA109" s="32"/>
      <c r="QZB109" s="32"/>
      <c r="QZC109" s="32"/>
      <c r="QZD109" s="32"/>
      <c r="QZE109" s="32"/>
      <c r="QZF109" s="32"/>
      <c r="QZG109" s="32"/>
      <c r="QZH109" s="32"/>
      <c r="QZI109" s="32"/>
      <c r="QZJ109" s="32"/>
      <c r="QZK109" s="32"/>
      <c r="QZL109" s="32"/>
      <c r="QZM109" s="32"/>
      <c r="QZN109" s="32"/>
      <c r="QZO109" s="32"/>
      <c r="QZP109" s="32"/>
      <c r="QZQ109" s="32"/>
      <c r="QZR109" s="32"/>
      <c r="QZS109" s="32"/>
      <c r="QZT109" s="32"/>
      <c r="QZU109" s="32"/>
      <c r="QZV109" s="32"/>
      <c r="QZW109" s="32"/>
      <c r="QZX109" s="32"/>
      <c r="QZY109" s="32"/>
      <c r="QZZ109" s="32"/>
      <c r="RAA109" s="32"/>
      <c r="RAB109" s="32"/>
      <c r="RAC109" s="32"/>
      <c r="RAD109" s="32"/>
      <c r="RAE109" s="32"/>
      <c r="RAF109" s="32"/>
      <c r="RAG109" s="32"/>
      <c r="RAH109" s="32"/>
      <c r="RAI109" s="32"/>
      <c r="RAJ109" s="32"/>
      <c r="RAK109" s="32"/>
      <c r="RAL109" s="32"/>
      <c r="RAM109" s="32"/>
      <c r="RAN109" s="32"/>
      <c r="RAO109" s="32"/>
      <c r="RAP109" s="32"/>
      <c r="RAQ109" s="32"/>
      <c r="RAR109" s="32"/>
      <c r="RAS109" s="32"/>
      <c r="RAT109" s="32"/>
      <c r="RAU109" s="32"/>
      <c r="RAV109" s="32"/>
      <c r="RAW109" s="32"/>
      <c r="RAX109" s="32"/>
      <c r="RAY109" s="32"/>
      <c r="RAZ109" s="32"/>
      <c r="RBA109" s="32"/>
      <c r="RBB109" s="32"/>
      <c r="RBC109" s="32"/>
      <c r="RBD109" s="32"/>
      <c r="RBE109" s="32"/>
      <c r="RBF109" s="32"/>
      <c r="RBG109" s="32"/>
      <c r="RBH109" s="32"/>
      <c r="RBI109" s="32"/>
      <c r="RBJ109" s="32"/>
      <c r="RBK109" s="32"/>
      <c r="RBL109" s="32"/>
      <c r="RBM109" s="32"/>
      <c r="RBN109" s="32"/>
      <c r="RBO109" s="32"/>
      <c r="RBP109" s="32"/>
      <c r="RBQ109" s="32"/>
      <c r="RBR109" s="32"/>
      <c r="RBS109" s="32"/>
      <c r="RBT109" s="32"/>
      <c r="RBU109" s="32"/>
      <c r="RBV109" s="32"/>
      <c r="RBW109" s="32"/>
      <c r="RBX109" s="32"/>
      <c r="RBY109" s="32"/>
      <c r="RBZ109" s="32"/>
      <c r="RCA109" s="32"/>
      <c r="RCB109" s="32"/>
      <c r="RCC109" s="32"/>
      <c r="RCD109" s="32"/>
      <c r="RCE109" s="32"/>
      <c r="RCF109" s="32"/>
      <c r="RCG109" s="32"/>
      <c r="RCH109" s="32"/>
      <c r="RCI109" s="32"/>
      <c r="RCJ109" s="32"/>
      <c r="RCK109" s="32"/>
      <c r="RCL109" s="32"/>
      <c r="RCM109" s="32"/>
      <c r="RCN109" s="32"/>
      <c r="RCO109" s="32"/>
      <c r="RCP109" s="32"/>
      <c r="RCQ109" s="32"/>
      <c r="RCR109" s="32"/>
      <c r="RCS109" s="32"/>
      <c r="RCT109" s="32"/>
      <c r="RCU109" s="32"/>
      <c r="RCV109" s="32"/>
      <c r="RCW109" s="32"/>
      <c r="RCX109" s="32"/>
      <c r="RCY109" s="32"/>
      <c r="RCZ109" s="32"/>
      <c r="RDA109" s="32"/>
      <c r="RDB109" s="32"/>
      <c r="RDC109" s="32"/>
      <c r="RDD109" s="32"/>
      <c r="RDE109" s="32"/>
      <c r="RDF109" s="32"/>
      <c r="RDG109" s="32"/>
      <c r="RDH109" s="32"/>
      <c r="RDI109" s="32"/>
      <c r="RDJ109" s="32"/>
      <c r="RDK109" s="32"/>
      <c r="RDL109" s="32"/>
      <c r="RDM109" s="32"/>
      <c r="RDN109" s="32"/>
      <c r="RDO109" s="32"/>
      <c r="RDP109" s="32"/>
      <c r="RDQ109" s="32"/>
      <c r="RDR109" s="32"/>
      <c r="RDS109" s="32"/>
      <c r="RDT109" s="32"/>
      <c r="RDU109" s="32"/>
      <c r="RDV109" s="32"/>
      <c r="RDW109" s="32"/>
      <c r="RDX109" s="32"/>
      <c r="RDY109" s="32"/>
      <c r="RDZ109" s="32"/>
      <c r="REA109" s="32"/>
      <c r="REB109" s="32"/>
      <c r="REC109" s="32"/>
      <c r="RED109" s="32"/>
      <c r="REE109" s="32"/>
      <c r="REF109" s="32"/>
      <c r="REG109" s="32"/>
      <c r="REH109" s="32"/>
      <c r="REI109" s="32"/>
      <c r="REJ109" s="32"/>
      <c r="REK109" s="32"/>
      <c r="REL109" s="32"/>
      <c r="REM109" s="32"/>
      <c r="REN109" s="32"/>
      <c r="REO109" s="32"/>
      <c r="REP109" s="32"/>
      <c r="REQ109" s="32"/>
      <c r="RER109" s="32"/>
      <c r="RES109" s="32"/>
      <c r="RET109" s="32"/>
      <c r="REU109" s="32"/>
      <c r="REV109" s="32"/>
      <c r="REW109" s="32"/>
      <c r="REX109" s="32"/>
      <c r="REY109" s="32"/>
      <c r="REZ109" s="32"/>
      <c r="RFA109" s="32"/>
      <c r="RFB109" s="32"/>
      <c r="RFC109" s="32"/>
      <c r="RFD109" s="32"/>
      <c r="RFE109" s="32"/>
      <c r="RFF109" s="32"/>
      <c r="RFG109" s="32"/>
      <c r="RFH109" s="32"/>
      <c r="RFI109" s="32"/>
      <c r="RFJ109" s="32"/>
      <c r="RFK109" s="32"/>
      <c r="RFL109" s="32"/>
      <c r="RFM109" s="32"/>
      <c r="RFN109" s="32"/>
      <c r="RFO109" s="32"/>
      <c r="RFP109" s="32"/>
      <c r="RFQ109" s="32"/>
      <c r="RFR109" s="32"/>
      <c r="RFS109" s="32"/>
      <c r="RFT109" s="32"/>
      <c r="RFU109" s="32"/>
      <c r="RFV109" s="32"/>
      <c r="RFW109" s="32"/>
      <c r="RFX109" s="32"/>
      <c r="RFY109" s="32"/>
      <c r="RFZ109" s="32"/>
      <c r="RGA109" s="32"/>
      <c r="RGB109" s="32"/>
      <c r="RGC109" s="32"/>
      <c r="RGD109" s="32"/>
      <c r="RGE109" s="32"/>
      <c r="RGF109" s="32"/>
      <c r="RGG109" s="32"/>
      <c r="RGH109" s="32"/>
      <c r="RGI109" s="32"/>
      <c r="RGJ109" s="32"/>
      <c r="RGK109" s="32"/>
      <c r="RGL109" s="32"/>
      <c r="RGM109" s="32"/>
      <c r="RGN109" s="32"/>
      <c r="RGO109" s="32"/>
      <c r="RGP109" s="32"/>
      <c r="RGQ109" s="32"/>
      <c r="RGR109" s="32"/>
      <c r="RGS109" s="32"/>
      <c r="RGT109" s="32"/>
      <c r="RGU109" s="32"/>
      <c r="RGV109" s="32"/>
      <c r="RGW109" s="32"/>
      <c r="RGX109" s="32"/>
      <c r="RGY109" s="32"/>
      <c r="RGZ109" s="32"/>
      <c r="RHA109" s="32"/>
      <c r="RHB109" s="32"/>
      <c r="RHC109" s="32"/>
      <c r="RHD109" s="32"/>
      <c r="RHE109" s="32"/>
      <c r="RHF109" s="32"/>
      <c r="RHG109" s="32"/>
      <c r="RHH109" s="32"/>
      <c r="RHI109" s="32"/>
      <c r="RHJ109" s="32"/>
      <c r="RHK109" s="32"/>
      <c r="RHL109" s="32"/>
      <c r="RHM109" s="32"/>
      <c r="RHN109" s="32"/>
      <c r="RHO109" s="32"/>
      <c r="RHP109" s="32"/>
      <c r="RHQ109" s="32"/>
      <c r="RHR109" s="32"/>
      <c r="RHS109" s="32"/>
      <c r="RHT109" s="32"/>
      <c r="RHU109" s="32"/>
      <c r="RHV109" s="32"/>
      <c r="RHW109" s="32"/>
      <c r="RHX109" s="32"/>
      <c r="RHY109" s="32"/>
      <c r="RHZ109" s="32"/>
      <c r="RIA109" s="32"/>
      <c r="RIB109" s="32"/>
      <c r="RIC109" s="32"/>
      <c r="RID109" s="32"/>
      <c r="RIE109" s="32"/>
      <c r="RIF109" s="32"/>
      <c r="RIG109" s="32"/>
      <c r="RIH109" s="32"/>
      <c r="RII109" s="32"/>
      <c r="RIJ109" s="32"/>
      <c r="RIK109" s="32"/>
      <c r="RIL109" s="32"/>
      <c r="RIM109" s="32"/>
      <c r="RIN109" s="32"/>
      <c r="RIO109" s="32"/>
      <c r="RIP109" s="32"/>
      <c r="RIQ109" s="32"/>
      <c r="RIR109" s="32"/>
      <c r="RIS109" s="32"/>
      <c r="RIT109" s="32"/>
      <c r="RIU109" s="32"/>
      <c r="RIV109" s="32"/>
      <c r="RIW109" s="32"/>
      <c r="RIX109" s="32"/>
      <c r="RIY109" s="32"/>
      <c r="RIZ109" s="32"/>
      <c r="RJA109" s="32"/>
      <c r="RJB109" s="32"/>
      <c r="RJC109" s="32"/>
      <c r="RJD109" s="32"/>
      <c r="RJE109" s="32"/>
      <c r="RJF109" s="32"/>
      <c r="RJG109" s="32"/>
      <c r="RJH109" s="32"/>
      <c r="RJI109" s="32"/>
      <c r="RJJ109" s="32"/>
      <c r="RJK109" s="32"/>
      <c r="RJL109" s="32"/>
      <c r="RJM109" s="32"/>
      <c r="RJN109" s="32"/>
      <c r="RJO109" s="32"/>
      <c r="RJP109" s="32"/>
      <c r="RJQ109" s="32"/>
      <c r="RJR109" s="32"/>
      <c r="RJS109" s="32"/>
      <c r="RJT109" s="32"/>
      <c r="RJU109" s="32"/>
      <c r="RJV109" s="32"/>
      <c r="RJW109" s="32"/>
      <c r="RJX109" s="32"/>
      <c r="RJY109" s="32"/>
      <c r="RJZ109" s="32"/>
      <c r="RKA109" s="32"/>
      <c r="RKB109" s="32"/>
      <c r="RKC109" s="32"/>
      <c r="RKD109" s="32"/>
      <c r="RKE109" s="32"/>
      <c r="RKF109" s="32"/>
      <c r="RKG109" s="32"/>
      <c r="RKH109" s="32"/>
      <c r="RKI109" s="32"/>
      <c r="RKJ109" s="32"/>
      <c r="RKK109" s="32"/>
      <c r="RKL109" s="32"/>
      <c r="RKM109" s="32"/>
      <c r="RKN109" s="32"/>
      <c r="RKO109" s="32"/>
      <c r="RKP109" s="32"/>
      <c r="RKQ109" s="32"/>
      <c r="RKR109" s="32"/>
      <c r="RKS109" s="32"/>
      <c r="RKT109" s="32"/>
      <c r="RKU109" s="32"/>
      <c r="RKV109" s="32"/>
      <c r="RKW109" s="32"/>
      <c r="RKX109" s="32"/>
      <c r="RKY109" s="32"/>
      <c r="RKZ109" s="32"/>
      <c r="RLA109" s="32"/>
      <c r="RLB109" s="32"/>
      <c r="RLC109" s="32"/>
      <c r="RLD109" s="32"/>
      <c r="RLE109" s="32"/>
      <c r="RLF109" s="32"/>
      <c r="RLG109" s="32"/>
      <c r="RLH109" s="32"/>
      <c r="RLI109" s="32"/>
      <c r="RLJ109" s="32"/>
      <c r="RLK109" s="32"/>
      <c r="RLL109" s="32"/>
      <c r="RLM109" s="32"/>
      <c r="RLN109" s="32"/>
      <c r="RLO109" s="32"/>
      <c r="RLP109" s="32"/>
      <c r="RLQ109" s="32"/>
      <c r="RLR109" s="32"/>
      <c r="RLS109" s="32"/>
      <c r="RLT109" s="32"/>
      <c r="RLU109" s="32"/>
      <c r="RLV109" s="32"/>
      <c r="RLW109" s="32"/>
      <c r="RLX109" s="32"/>
      <c r="RLY109" s="32"/>
      <c r="RLZ109" s="32"/>
      <c r="RMA109" s="32"/>
      <c r="RMB109" s="32"/>
      <c r="RMC109" s="32"/>
      <c r="RMD109" s="32"/>
      <c r="RME109" s="32"/>
      <c r="RMF109" s="32"/>
      <c r="RMG109" s="32"/>
      <c r="RMH109" s="32"/>
      <c r="RMI109" s="32"/>
      <c r="RMJ109" s="32"/>
      <c r="RMK109" s="32"/>
      <c r="RML109" s="32"/>
      <c r="RMM109" s="32"/>
      <c r="RMN109" s="32"/>
      <c r="RMO109" s="32"/>
      <c r="RMP109" s="32"/>
      <c r="RMQ109" s="32"/>
      <c r="RMR109" s="32"/>
      <c r="RMS109" s="32"/>
      <c r="RMT109" s="32"/>
      <c r="RMU109" s="32"/>
      <c r="RMV109" s="32"/>
      <c r="RMW109" s="32"/>
      <c r="RMX109" s="32"/>
      <c r="RMY109" s="32"/>
      <c r="RMZ109" s="32"/>
      <c r="RNA109" s="32"/>
      <c r="RNB109" s="32"/>
      <c r="RNC109" s="32"/>
      <c r="RND109" s="32"/>
      <c r="RNE109" s="32"/>
      <c r="RNF109" s="32"/>
      <c r="RNG109" s="32"/>
      <c r="RNH109" s="32"/>
      <c r="RNI109" s="32"/>
      <c r="RNJ109" s="32"/>
      <c r="RNK109" s="32"/>
      <c r="RNL109" s="32"/>
      <c r="RNM109" s="32"/>
      <c r="RNN109" s="32"/>
      <c r="RNO109" s="32"/>
      <c r="RNP109" s="32"/>
      <c r="RNQ109" s="32"/>
      <c r="RNR109" s="32"/>
      <c r="RNS109" s="32"/>
      <c r="RNT109" s="32"/>
      <c r="RNU109" s="32"/>
      <c r="RNV109" s="32"/>
      <c r="RNW109" s="32"/>
      <c r="RNX109" s="32"/>
      <c r="RNY109" s="32"/>
      <c r="RNZ109" s="32"/>
      <c r="ROA109" s="32"/>
      <c r="ROB109" s="32"/>
      <c r="ROC109" s="32"/>
      <c r="ROD109" s="32"/>
      <c r="ROE109" s="32"/>
      <c r="ROF109" s="32"/>
      <c r="ROG109" s="32"/>
      <c r="ROH109" s="32"/>
      <c r="ROI109" s="32"/>
      <c r="ROJ109" s="32"/>
      <c r="ROK109" s="32"/>
      <c r="ROL109" s="32"/>
      <c r="ROM109" s="32"/>
      <c r="RON109" s="32"/>
      <c r="ROO109" s="32"/>
      <c r="ROP109" s="32"/>
      <c r="ROQ109" s="32"/>
      <c r="ROR109" s="32"/>
      <c r="ROS109" s="32"/>
      <c r="ROT109" s="32"/>
      <c r="ROU109" s="32"/>
      <c r="ROV109" s="32"/>
      <c r="ROW109" s="32"/>
      <c r="ROX109" s="32"/>
      <c r="ROY109" s="32"/>
      <c r="ROZ109" s="32"/>
      <c r="RPA109" s="32"/>
      <c r="RPB109" s="32"/>
      <c r="RPC109" s="32"/>
      <c r="RPD109" s="32"/>
      <c r="RPE109" s="32"/>
      <c r="RPF109" s="32"/>
      <c r="RPG109" s="32"/>
      <c r="RPH109" s="32"/>
      <c r="RPI109" s="32"/>
      <c r="RPJ109" s="32"/>
      <c r="RPK109" s="32"/>
      <c r="RPL109" s="32"/>
      <c r="RPM109" s="32"/>
      <c r="RPN109" s="32"/>
      <c r="RPO109" s="32"/>
      <c r="RPP109" s="32"/>
      <c r="RPQ109" s="32"/>
      <c r="RPR109" s="32"/>
      <c r="RPS109" s="32"/>
      <c r="RPT109" s="32"/>
      <c r="RPU109" s="32"/>
      <c r="RPV109" s="32"/>
      <c r="RPW109" s="32"/>
      <c r="RPX109" s="32"/>
      <c r="RPY109" s="32"/>
      <c r="RPZ109" s="32"/>
      <c r="RQA109" s="32"/>
      <c r="RQB109" s="32"/>
      <c r="RQC109" s="32"/>
      <c r="RQD109" s="32"/>
      <c r="RQE109" s="32"/>
      <c r="RQF109" s="32"/>
      <c r="RQG109" s="32"/>
      <c r="RQH109" s="32"/>
      <c r="RQI109" s="32"/>
      <c r="RQJ109" s="32"/>
      <c r="RQK109" s="32"/>
      <c r="RQL109" s="32"/>
      <c r="RQM109" s="32"/>
      <c r="RQN109" s="32"/>
      <c r="RQO109" s="32"/>
      <c r="RQP109" s="32"/>
      <c r="RQQ109" s="32"/>
      <c r="RQR109" s="32"/>
      <c r="RQS109" s="32"/>
      <c r="RQT109" s="32"/>
      <c r="RQU109" s="32"/>
      <c r="RQV109" s="32"/>
      <c r="RQW109" s="32"/>
      <c r="RQX109" s="32"/>
      <c r="RQY109" s="32"/>
      <c r="RQZ109" s="32"/>
      <c r="RRA109" s="32"/>
      <c r="RRB109" s="32"/>
      <c r="RRC109" s="32"/>
      <c r="RRD109" s="32"/>
      <c r="RRE109" s="32"/>
      <c r="RRF109" s="32"/>
      <c r="RRG109" s="32"/>
      <c r="RRH109" s="32"/>
      <c r="RRI109" s="32"/>
      <c r="RRJ109" s="32"/>
      <c r="RRK109" s="32"/>
      <c r="RRL109" s="32"/>
      <c r="RRM109" s="32"/>
      <c r="RRN109" s="32"/>
      <c r="RRO109" s="32"/>
      <c r="RRP109" s="32"/>
      <c r="RRQ109" s="32"/>
      <c r="RRR109" s="32"/>
      <c r="RRS109" s="32"/>
      <c r="RRT109" s="32"/>
      <c r="RRU109" s="32"/>
      <c r="RRV109" s="32"/>
      <c r="RRW109" s="32"/>
      <c r="RRX109" s="32"/>
      <c r="RRY109" s="32"/>
      <c r="RRZ109" s="32"/>
      <c r="RSA109" s="32"/>
      <c r="RSB109" s="32"/>
      <c r="RSC109" s="32"/>
      <c r="RSD109" s="32"/>
      <c r="RSE109" s="32"/>
      <c r="RSF109" s="32"/>
      <c r="RSG109" s="32"/>
      <c r="RSH109" s="32"/>
      <c r="RSI109" s="32"/>
      <c r="RSJ109" s="32"/>
      <c r="RSK109" s="32"/>
      <c r="RSL109" s="32"/>
      <c r="RSM109" s="32"/>
      <c r="RSN109" s="32"/>
      <c r="RSO109" s="32"/>
      <c r="RSP109" s="32"/>
      <c r="RSQ109" s="32"/>
      <c r="RSR109" s="32"/>
      <c r="RSS109" s="32"/>
      <c r="RST109" s="32"/>
      <c r="RSU109" s="32"/>
      <c r="RSV109" s="32"/>
      <c r="RSW109" s="32"/>
      <c r="RSX109" s="32"/>
      <c r="RSY109" s="32"/>
      <c r="RSZ109" s="32"/>
      <c r="RTA109" s="32"/>
      <c r="RTB109" s="32"/>
      <c r="RTC109" s="32"/>
      <c r="RTD109" s="32"/>
      <c r="RTE109" s="32"/>
      <c r="RTF109" s="32"/>
      <c r="RTG109" s="32"/>
      <c r="RTH109" s="32"/>
      <c r="RTI109" s="32"/>
      <c r="RTJ109" s="32"/>
      <c r="RTK109" s="32"/>
      <c r="RTL109" s="32"/>
      <c r="RTM109" s="32"/>
      <c r="RTN109" s="32"/>
      <c r="RTO109" s="32"/>
      <c r="RTP109" s="32"/>
      <c r="RTQ109" s="32"/>
      <c r="RTR109" s="32"/>
      <c r="RTS109" s="32"/>
      <c r="RTT109" s="32"/>
      <c r="RTU109" s="32"/>
      <c r="RTV109" s="32"/>
      <c r="RTW109" s="32"/>
      <c r="RTX109" s="32"/>
      <c r="RTY109" s="32"/>
      <c r="RTZ109" s="32"/>
      <c r="RUA109" s="32"/>
      <c r="RUB109" s="32"/>
      <c r="RUC109" s="32"/>
      <c r="RUD109" s="32"/>
      <c r="RUE109" s="32"/>
      <c r="RUF109" s="32"/>
      <c r="RUG109" s="32"/>
      <c r="RUH109" s="32"/>
      <c r="RUI109" s="32"/>
      <c r="RUJ109" s="32"/>
      <c r="RUK109" s="32"/>
      <c r="RUL109" s="32"/>
      <c r="RUM109" s="32"/>
      <c r="RUN109" s="32"/>
      <c r="RUO109" s="32"/>
      <c r="RUP109" s="32"/>
      <c r="RUQ109" s="32"/>
      <c r="RUR109" s="32"/>
      <c r="RUS109" s="32"/>
      <c r="RUT109" s="32"/>
      <c r="RUU109" s="32"/>
      <c r="RUV109" s="32"/>
      <c r="RUW109" s="32"/>
      <c r="RUX109" s="32"/>
      <c r="RUY109" s="32"/>
      <c r="RUZ109" s="32"/>
      <c r="RVA109" s="32"/>
      <c r="RVB109" s="32"/>
      <c r="RVC109" s="32"/>
      <c r="RVD109" s="32"/>
      <c r="RVE109" s="32"/>
      <c r="RVF109" s="32"/>
      <c r="RVG109" s="32"/>
      <c r="RVH109" s="32"/>
      <c r="RVI109" s="32"/>
      <c r="RVJ109" s="32"/>
      <c r="RVK109" s="32"/>
      <c r="RVL109" s="32"/>
      <c r="RVM109" s="32"/>
      <c r="RVN109" s="32"/>
      <c r="RVO109" s="32"/>
      <c r="RVP109" s="32"/>
      <c r="RVQ109" s="32"/>
      <c r="RVR109" s="32"/>
      <c r="RVS109" s="32"/>
      <c r="RVT109" s="32"/>
      <c r="RVU109" s="32"/>
      <c r="RVV109" s="32"/>
      <c r="RVW109" s="32"/>
      <c r="RVX109" s="32"/>
      <c r="RVY109" s="32"/>
      <c r="RVZ109" s="32"/>
      <c r="RWA109" s="32"/>
      <c r="RWB109" s="32"/>
      <c r="RWC109" s="32"/>
      <c r="RWD109" s="32"/>
      <c r="RWE109" s="32"/>
      <c r="RWF109" s="32"/>
      <c r="RWG109" s="32"/>
      <c r="RWH109" s="32"/>
      <c r="RWI109" s="32"/>
      <c r="RWJ109" s="32"/>
      <c r="RWK109" s="32"/>
      <c r="RWL109" s="32"/>
      <c r="RWM109" s="32"/>
      <c r="RWN109" s="32"/>
      <c r="RWO109" s="32"/>
      <c r="RWP109" s="32"/>
      <c r="RWQ109" s="32"/>
      <c r="RWR109" s="32"/>
      <c r="RWS109" s="32"/>
      <c r="RWT109" s="32"/>
      <c r="RWU109" s="32"/>
      <c r="RWV109" s="32"/>
      <c r="RWW109" s="32"/>
      <c r="RWX109" s="32"/>
      <c r="RWY109" s="32"/>
      <c r="RWZ109" s="32"/>
      <c r="RXA109" s="32"/>
      <c r="RXB109" s="32"/>
      <c r="RXC109" s="32"/>
      <c r="RXD109" s="32"/>
      <c r="RXE109" s="32"/>
      <c r="RXF109" s="32"/>
      <c r="RXG109" s="32"/>
      <c r="RXH109" s="32"/>
      <c r="RXI109" s="32"/>
      <c r="RXJ109" s="32"/>
      <c r="RXK109" s="32"/>
      <c r="RXL109" s="32"/>
      <c r="RXM109" s="32"/>
      <c r="RXN109" s="32"/>
      <c r="RXO109" s="32"/>
      <c r="RXP109" s="32"/>
      <c r="RXQ109" s="32"/>
      <c r="RXR109" s="32"/>
      <c r="RXS109" s="32"/>
      <c r="RXT109" s="32"/>
      <c r="RXU109" s="32"/>
      <c r="RXV109" s="32"/>
      <c r="RXW109" s="32"/>
      <c r="RXX109" s="32"/>
      <c r="RXY109" s="32"/>
      <c r="RXZ109" s="32"/>
      <c r="RYA109" s="32"/>
      <c r="RYB109" s="32"/>
      <c r="RYC109" s="32"/>
      <c r="RYD109" s="32"/>
      <c r="RYE109" s="32"/>
      <c r="RYF109" s="32"/>
      <c r="RYG109" s="32"/>
      <c r="RYH109" s="32"/>
      <c r="RYI109" s="32"/>
      <c r="RYJ109" s="32"/>
      <c r="RYK109" s="32"/>
      <c r="RYL109" s="32"/>
      <c r="RYM109" s="32"/>
      <c r="RYN109" s="32"/>
      <c r="RYO109" s="32"/>
      <c r="RYP109" s="32"/>
      <c r="RYQ109" s="32"/>
      <c r="RYR109" s="32"/>
      <c r="RYS109" s="32"/>
      <c r="RYT109" s="32"/>
      <c r="RYU109" s="32"/>
      <c r="RYV109" s="32"/>
      <c r="RYW109" s="32"/>
      <c r="RYX109" s="32"/>
      <c r="RYY109" s="32"/>
      <c r="RYZ109" s="32"/>
      <c r="RZA109" s="32"/>
      <c r="RZB109" s="32"/>
      <c r="RZC109" s="32"/>
      <c r="RZD109" s="32"/>
      <c r="RZE109" s="32"/>
      <c r="RZF109" s="32"/>
      <c r="RZG109" s="32"/>
      <c r="RZH109" s="32"/>
      <c r="RZI109" s="32"/>
      <c r="RZJ109" s="32"/>
      <c r="RZK109" s="32"/>
      <c r="RZL109" s="32"/>
      <c r="RZM109" s="32"/>
      <c r="RZN109" s="32"/>
      <c r="RZO109" s="32"/>
      <c r="RZP109" s="32"/>
      <c r="RZQ109" s="32"/>
      <c r="RZR109" s="32"/>
      <c r="RZS109" s="32"/>
      <c r="RZT109" s="32"/>
      <c r="RZU109" s="32"/>
      <c r="RZV109" s="32"/>
      <c r="RZW109" s="32"/>
      <c r="RZX109" s="32"/>
      <c r="RZY109" s="32"/>
      <c r="RZZ109" s="32"/>
      <c r="SAA109" s="32"/>
      <c r="SAB109" s="32"/>
      <c r="SAC109" s="32"/>
      <c r="SAD109" s="32"/>
      <c r="SAE109" s="32"/>
      <c r="SAF109" s="32"/>
      <c r="SAG109" s="32"/>
      <c r="SAH109" s="32"/>
      <c r="SAI109" s="32"/>
      <c r="SAJ109" s="32"/>
      <c r="SAK109" s="32"/>
      <c r="SAL109" s="32"/>
      <c r="SAM109" s="32"/>
      <c r="SAN109" s="32"/>
      <c r="SAO109" s="32"/>
      <c r="SAP109" s="32"/>
      <c r="SAQ109" s="32"/>
      <c r="SAR109" s="32"/>
      <c r="SAS109" s="32"/>
      <c r="SAT109" s="32"/>
      <c r="SAU109" s="32"/>
      <c r="SAV109" s="32"/>
      <c r="SAW109" s="32"/>
      <c r="SAX109" s="32"/>
      <c r="SAY109" s="32"/>
      <c r="SAZ109" s="32"/>
      <c r="SBA109" s="32"/>
      <c r="SBB109" s="32"/>
      <c r="SBC109" s="32"/>
      <c r="SBD109" s="32"/>
      <c r="SBE109" s="32"/>
      <c r="SBF109" s="32"/>
      <c r="SBG109" s="32"/>
      <c r="SBH109" s="32"/>
      <c r="SBI109" s="32"/>
      <c r="SBJ109" s="32"/>
      <c r="SBK109" s="32"/>
      <c r="SBL109" s="32"/>
      <c r="SBM109" s="32"/>
      <c r="SBN109" s="32"/>
      <c r="SBO109" s="32"/>
      <c r="SBP109" s="32"/>
      <c r="SBQ109" s="32"/>
      <c r="SBR109" s="32"/>
      <c r="SBS109" s="32"/>
      <c r="SBT109" s="32"/>
      <c r="SBU109" s="32"/>
      <c r="SBV109" s="32"/>
      <c r="SBW109" s="32"/>
      <c r="SBX109" s="32"/>
      <c r="SBY109" s="32"/>
      <c r="SBZ109" s="32"/>
      <c r="SCA109" s="32"/>
      <c r="SCB109" s="32"/>
      <c r="SCC109" s="32"/>
      <c r="SCD109" s="32"/>
      <c r="SCE109" s="32"/>
      <c r="SCF109" s="32"/>
      <c r="SCG109" s="32"/>
      <c r="SCH109" s="32"/>
      <c r="SCI109" s="32"/>
      <c r="SCJ109" s="32"/>
      <c r="SCK109" s="32"/>
      <c r="SCL109" s="32"/>
      <c r="SCM109" s="32"/>
      <c r="SCN109" s="32"/>
      <c r="SCO109" s="32"/>
      <c r="SCP109" s="32"/>
      <c r="SCQ109" s="32"/>
      <c r="SCR109" s="32"/>
      <c r="SCS109" s="32"/>
      <c r="SCT109" s="32"/>
      <c r="SCU109" s="32"/>
      <c r="SCV109" s="32"/>
      <c r="SCW109" s="32"/>
      <c r="SCX109" s="32"/>
      <c r="SCY109" s="32"/>
      <c r="SCZ109" s="32"/>
      <c r="SDA109" s="32"/>
      <c r="SDB109" s="32"/>
      <c r="SDC109" s="32"/>
      <c r="SDD109" s="32"/>
      <c r="SDE109" s="32"/>
      <c r="SDF109" s="32"/>
      <c r="SDG109" s="32"/>
      <c r="SDH109" s="32"/>
      <c r="SDI109" s="32"/>
      <c r="SDJ109" s="32"/>
      <c r="SDK109" s="32"/>
      <c r="SDL109" s="32"/>
      <c r="SDM109" s="32"/>
      <c r="SDN109" s="32"/>
      <c r="SDO109" s="32"/>
      <c r="SDP109" s="32"/>
      <c r="SDQ109" s="32"/>
      <c r="SDR109" s="32"/>
      <c r="SDS109" s="32"/>
      <c r="SDT109" s="32"/>
      <c r="SDU109" s="32"/>
      <c r="SDV109" s="32"/>
      <c r="SDW109" s="32"/>
      <c r="SDX109" s="32"/>
      <c r="SDY109" s="32"/>
      <c r="SDZ109" s="32"/>
      <c r="SEA109" s="32"/>
      <c r="SEB109" s="32"/>
      <c r="SEC109" s="32"/>
      <c r="SED109" s="32"/>
      <c r="SEE109" s="32"/>
      <c r="SEF109" s="32"/>
      <c r="SEG109" s="32"/>
      <c r="SEH109" s="32"/>
      <c r="SEI109" s="32"/>
      <c r="SEJ109" s="32"/>
      <c r="SEK109" s="32"/>
      <c r="SEL109" s="32"/>
      <c r="SEM109" s="32"/>
      <c r="SEN109" s="32"/>
      <c r="SEO109" s="32"/>
      <c r="SEP109" s="32"/>
      <c r="SEQ109" s="32"/>
      <c r="SER109" s="32"/>
      <c r="SES109" s="32"/>
      <c r="SET109" s="32"/>
      <c r="SEU109" s="32"/>
      <c r="SEV109" s="32"/>
      <c r="SEW109" s="32"/>
      <c r="SEX109" s="32"/>
      <c r="SEY109" s="32"/>
      <c r="SEZ109" s="32"/>
      <c r="SFA109" s="32"/>
      <c r="SFB109" s="32"/>
      <c r="SFC109" s="32"/>
      <c r="SFD109" s="32"/>
      <c r="SFE109" s="32"/>
      <c r="SFF109" s="32"/>
      <c r="SFG109" s="32"/>
      <c r="SFH109" s="32"/>
      <c r="SFI109" s="32"/>
      <c r="SFJ109" s="32"/>
      <c r="SFK109" s="32"/>
      <c r="SFL109" s="32"/>
      <c r="SFM109" s="32"/>
      <c r="SFN109" s="32"/>
      <c r="SFO109" s="32"/>
      <c r="SFP109" s="32"/>
      <c r="SFQ109" s="32"/>
      <c r="SFR109" s="32"/>
      <c r="SFS109" s="32"/>
      <c r="SFT109" s="32"/>
      <c r="SFU109" s="32"/>
      <c r="SFV109" s="32"/>
      <c r="SFW109" s="32"/>
      <c r="SFX109" s="32"/>
      <c r="SFY109" s="32"/>
      <c r="SFZ109" s="32"/>
      <c r="SGA109" s="32"/>
      <c r="SGB109" s="32"/>
      <c r="SGC109" s="32"/>
      <c r="SGD109" s="32"/>
      <c r="SGE109" s="32"/>
      <c r="SGF109" s="32"/>
      <c r="SGG109" s="32"/>
      <c r="SGH109" s="32"/>
      <c r="SGI109" s="32"/>
      <c r="SGJ109" s="32"/>
      <c r="SGK109" s="32"/>
      <c r="SGL109" s="32"/>
      <c r="SGM109" s="32"/>
      <c r="SGN109" s="32"/>
      <c r="SGO109" s="32"/>
      <c r="SGP109" s="32"/>
      <c r="SGQ109" s="32"/>
      <c r="SGR109" s="32"/>
      <c r="SGS109" s="32"/>
      <c r="SGT109" s="32"/>
      <c r="SGU109" s="32"/>
      <c r="SGV109" s="32"/>
      <c r="SGW109" s="32"/>
      <c r="SGX109" s="32"/>
      <c r="SGY109" s="32"/>
      <c r="SGZ109" s="32"/>
      <c r="SHA109" s="32"/>
      <c r="SHB109" s="32"/>
      <c r="SHC109" s="32"/>
      <c r="SHD109" s="32"/>
      <c r="SHE109" s="32"/>
      <c r="SHF109" s="32"/>
      <c r="SHG109" s="32"/>
      <c r="SHH109" s="32"/>
      <c r="SHI109" s="32"/>
      <c r="SHJ109" s="32"/>
      <c r="SHK109" s="32"/>
      <c r="SHL109" s="32"/>
      <c r="SHM109" s="32"/>
      <c r="SHN109" s="32"/>
      <c r="SHO109" s="32"/>
      <c r="SHP109" s="32"/>
      <c r="SHQ109" s="32"/>
      <c r="SHR109" s="32"/>
      <c r="SHS109" s="32"/>
      <c r="SHT109" s="32"/>
      <c r="SHU109" s="32"/>
      <c r="SHV109" s="32"/>
      <c r="SHW109" s="32"/>
      <c r="SHX109" s="32"/>
      <c r="SHY109" s="32"/>
      <c r="SHZ109" s="32"/>
      <c r="SIA109" s="32"/>
      <c r="SIB109" s="32"/>
      <c r="SIC109" s="32"/>
      <c r="SID109" s="32"/>
      <c r="SIE109" s="32"/>
      <c r="SIF109" s="32"/>
      <c r="SIG109" s="32"/>
      <c r="SIH109" s="32"/>
      <c r="SII109" s="32"/>
      <c r="SIJ109" s="32"/>
      <c r="SIK109" s="32"/>
      <c r="SIL109" s="32"/>
      <c r="SIM109" s="32"/>
      <c r="SIN109" s="32"/>
      <c r="SIO109" s="32"/>
      <c r="SIP109" s="32"/>
      <c r="SIQ109" s="32"/>
      <c r="SIR109" s="32"/>
      <c r="SIS109" s="32"/>
      <c r="SIT109" s="32"/>
      <c r="SIU109" s="32"/>
      <c r="SIV109" s="32"/>
      <c r="SIW109" s="32"/>
      <c r="SIX109" s="32"/>
      <c r="SIY109" s="32"/>
      <c r="SIZ109" s="32"/>
      <c r="SJA109" s="32"/>
      <c r="SJB109" s="32"/>
      <c r="SJC109" s="32"/>
      <c r="SJD109" s="32"/>
      <c r="SJE109" s="32"/>
      <c r="SJF109" s="32"/>
      <c r="SJG109" s="32"/>
      <c r="SJH109" s="32"/>
      <c r="SJI109" s="32"/>
      <c r="SJJ109" s="32"/>
      <c r="SJK109" s="32"/>
      <c r="SJL109" s="32"/>
      <c r="SJM109" s="32"/>
      <c r="SJN109" s="32"/>
      <c r="SJO109" s="32"/>
      <c r="SJP109" s="32"/>
      <c r="SJQ109" s="32"/>
      <c r="SJR109" s="32"/>
      <c r="SJS109" s="32"/>
      <c r="SJT109" s="32"/>
      <c r="SJU109" s="32"/>
      <c r="SJV109" s="32"/>
      <c r="SJW109" s="32"/>
      <c r="SJX109" s="32"/>
      <c r="SJY109" s="32"/>
      <c r="SJZ109" s="32"/>
      <c r="SKA109" s="32"/>
      <c r="SKB109" s="32"/>
      <c r="SKC109" s="32"/>
      <c r="SKD109" s="32"/>
      <c r="SKE109" s="32"/>
      <c r="SKF109" s="32"/>
      <c r="SKG109" s="32"/>
      <c r="SKH109" s="32"/>
      <c r="SKI109" s="32"/>
      <c r="SKJ109" s="32"/>
      <c r="SKK109" s="32"/>
      <c r="SKL109" s="32"/>
      <c r="SKM109" s="32"/>
      <c r="SKN109" s="32"/>
      <c r="SKO109" s="32"/>
      <c r="SKP109" s="32"/>
      <c r="SKQ109" s="32"/>
      <c r="SKR109" s="32"/>
      <c r="SKS109" s="32"/>
      <c r="SKT109" s="32"/>
      <c r="SKU109" s="32"/>
      <c r="SKV109" s="32"/>
      <c r="SKW109" s="32"/>
      <c r="SKX109" s="32"/>
      <c r="SKY109" s="32"/>
      <c r="SKZ109" s="32"/>
      <c r="SLA109" s="32"/>
      <c r="SLB109" s="32"/>
      <c r="SLC109" s="32"/>
      <c r="SLD109" s="32"/>
      <c r="SLE109" s="32"/>
      <c r="SLF109" s="32"/>
      <c r="SLG109" s="32"/>
      <c r="SLH109" s="32"/>
      <c r="SLI109" s="32"/>
      <c r="SLJ109" s="32"/>
      <c r="SLK109" s="32"/>
      <c r="SLL109" s="32"/>
      <c r="SLM109" s="32"/>
      <c r="SLN109" s="32"/>
      <c r="SLO109" s="32"/>
      <c r="SLP109" s="32"/>
      <c r="SLQ109" s="32"/>
      <c r="SLR109" s="32"/>
      <c r="SLS109" s="32"/>
      <c r="SLT109" s="32"/>
      <c r="SLU109" s="32"/>
      <c r="SLV109" s="32"/>
      <c r="SLW109" s="32"/>
      <c r="SLX109" s="32"/>
      <c r="SLY109" s="32"/>
      <c r="SLZ109" s="32"/>
      <c r="SMA109" s="32"/>
      <c r="SMB109" s="32"/>
      <c r="SMC109" s="32"/>
      <c r="SMD109" s="32"/>
      <c r="SME109" s="32"/>
      <c r="SMF109" s="32"/>
      <c r="SMG109" s="32"/>
      <c r="SMH109" s="32"/>
      <c r="SMI109" s="32"/>
      <c r="SMJ109" s="32"/>
      <c r="SMK109" s="32"/>
      <c r="SML109" s="32"/>
      <c r="SMM109" s="32"/>
      <c r="SMN109" s="32"/>
      <c r="SMO109" s="32"/>
      <c r="SMP109" s="32"/>
      <c r="SMQ109" s="32"/>
      <c r="SMR109" s="32"/>
      <c r="SMS109" s="32"/>
      <c r="SMT109" s="32"/>
      <c r="SMU109" s="32"/>
      <c r="SMV109" s="32"/>
      <c r="SMW109" s="32"/>
      <c r="SMX109" s="32"/>
      <c r="SMY109" s="32"/>
      <c r="SMZ109" s="32"/>
      <c r="SNA109" s="32"/>
      <c r="SNB109" s="32"/>
      <c r="SNC109" s="32"/>
      <c r="SND109" s="32"/>
      <c r="SNE109" s="32"/>
      <c r="SNF109" s="32"/>
      <c r="SNG109" s="32"/>
      <c r="SNH109" s="32"/>
      <c r="SNI109" s="32"/>
      <c r="SNJ109" s="32"/>
      <c r="SNK109" s="32"/>
      <c r="SNL109" s="32"/>
      <c r="SNM109" s="32"/>
      <c r="SNN109" s="32"/>
      <c r="SNO109" s="32"/>
      <c r="SNP109" s="32"/>
      <c r="SNQ109" s="32"/>
      <c r="SNR109" s="32"/>
      <c r="SNS109" s="32"/>
      <c r="SNT109" s="32"/>
      <c r="SNU109" s="32"/>
      <c r="SNV109" s="32"/>
      <c r="SNW109" s="32"/>
      <c r="SNX109" s="32"/>
      <c r="SNY109" s="32"/>
      <c r="SNZ109" s="32"/>
      <c r="SOA109" s="32"/>
      <c r="SOB109" s="32"/>
      <c r="SOC109" s="32"/>
      <c r="SOD109" s="32"/>
      <c r="SOE109" s="32"/>
      <c r="SOF109" s="32"/>
      <c r="SOG109" s="32"/>
      <c r="SOH109" s="32"/>
      <c r="SOI109" s="32"/>
      <c r="SOJ109" s="32"/>
      <c r="SOK109" s="32"/>
      <c r="SOL109" s="32"/>
      <c r="SOM109" s="32"/>
      <c r="SON109" s="32"/>
      <c r="SOO109" s="32"/>
      <c r="SOP109" s="32"/>
      <c r="SOQ109" s="32"/>
      <c r="SOR109" s="32"/>
      <c r="SOS109" s="32"/>
      <c r="SOT109" s="32"/>
      <c r="SOU109" s="32"/>
      <c r="SOV109" s="32"/>
      <c r="SOW109" s="32"/>
      <c r="SOX109" s="32"/>
      <c r="SOY109" s="32"/>
      <c r="SOZ109" s="32"/>
      <c r="SPA109" s="32"/>
      <c r="SPB109" s="32"/>
      <c r="SPC109" s="32"/>
      <c r="SPD109" s="32"/>
      <c r="SPE109" s="32"/>
      <c r="SPF109" s="32"/>
      <c r="SPG109" s="32"/>
      <c r="SPH109" s="32"/>
      <c r="SPI109" s="32"/>
      <c r="SPJ109" s="32"/>
      <c r="SPK109" s="32"/>
      <c r="SPL109" s="32"/>
      <c r="SPM109" s="32"/>
      <c r="SPN109" s="32"/>
      <c r="SPO109" s="32"/>
      <c r="SPP109" s="32"/>
      <c r="SPQ109" s="32"/>
      <c r="SPR109" s="32"/>
      <c r="SPS109" s="32"/>
      <c r="SPT109" s="32"/>
      <c r="SPU109" s="32"/>
      <c r="SPV109" s="32"/>
      <c r="SPW109" s="32"/>
      <c r="SPX109" s="32"/>
      <c r="SPY109" s="32"/>
      <c r="SPZ109" s="32"/>
      <c r="SQA109" s="32"/>
      <c r="SQB109" s="32"/>
      <c r="SQC109" s="32"/>
      <c r="SQD109" s="32"/>
      <c r="SQE109" s="32"/>
      <c r="SQF109" s="32"/>
      <c r="SQG109" s="32"/>
      <c r="SQH109" s="32"/>
      <c r="SQI109" s="32"/>
      <c r="SQJ109" s="32"/>
      <c r="SQK109" s="32"/>
      <c r="SQL109" s="32"/>
      <c r="SQM109" s="32"/>
      <c r="SQN109" s="32"/>
      <c r="SQO109" s="32"/>
      <c r="SQP109" s="32"/>
      <c r="SQQ109" s="32"/>
      <c r="SQR109" s="32"/>
      <c r="SQS109" s="32"/>
      <c r="SQT109" s="32"/>
      <c r="SQU109" s="32"/>
      <c r="SQV109" s="32"/>
      <c r="SQW109" s="32"/>
      <c r="SQX109" s="32"/>
      <c r="SQY109" s="32"/>
      <c r="SQZ109" s="32"/>
      <c r="SRA109" s="32"/>
      <c r="SRB109" s="32"/>
      <c r="SRC109" s="32"/>
      <c r="SRD109" s="32"/>
      <c r="SRE109" s="32"/>
      <c r="SRF109" s="32"/>
      <c r="SRG109" s="32"/>
      <c r="SRH109" s="32"/>
      <c r="SRI109" s="32"/>
      <c r="SRJ109" s="32"/>
      <c r="SRK109" s="32"/>
      <c r="SRL109" s="32"/>
      <c r="SRM109" s="32"/>
      <c r="SRN109" s="32"/>
      <c r="SRO109" s="32"/>
      <c r="SRP109" s="32"/>
      <c r="SRQ109" s="32"/>
      <c r="SRR109" s="32"/>
      <c r="SRS109" s="32"/>
      <c r="SRT109" s="32"/>
      <c r="SRU109" s="32"/>
      <c r="SRV109" s="32"/>
      <c r="SRW109" s="32"/>
      <c r="SRX109" s="32"/>
      <c r="SRY109" s="32"/>
      <c r="SRZ109" s="32"/>
      <c r="SSA109" s="32"/>
      <c r="SSB109" s="32"/>
      <c r="SSC109" s="32"/>
      <c r="SSD109" s="32"/>
      <c r="SSE109" s="32"/>
      <c r="SSF109" s="32"/>
      <c r="SSG109" s="32"/>
      <c r="SSH109" s="32"/>
      <c r="SSI109" s="32"/>
      <c r="SSJ109" s="32"/>
      <c r="SSK109" s="32"/>
      <c r="SSL109" s="32"/>
      <c r="SSM109" s="32"/>
      <c r="SSN109" s="32"/>
      <c r="SSO109" s="32"/>
      <c r="SSP109" s="32"/>
      <c r="SSQ109" s="32"/>
      <c r="SSR109" s="32"/>
      <c r="SSS109" s="32"/>
      <c r="SST109" s="32"/>
      <c r="SSU109" s="32"/>
      <c r="SSV109" s="32"/>
      <c r="SSW109" s="32"/>
      <c r="SSX109" s="32"/>
      <c r="SSY109" s="32"/>
      <c r="SSZ109" s="32"/>
      <c r="STA109" s="32"/>
      <c r="STB109" s="32"/>
      <c r="STC109" s="32"/>
      <c r="STD109" s="32"/>
      <c r="STE109" s="32"/>
      <c r="STF109" s="32"/>
      <c r="STG109" s="32"/>
      <c r="STH109" s="32"/>
      <c r="STI109" s="32"/>
      <c r="STJ109" s="32"/>
      <c r="STK109" s="32"/>
      <c r="STL109" s="32"/>
      <c r="STM109" s="32"/>
      <c r="STN109" s="32"/>
      <c r="STO109" s="32"/>
      <c r="STP109" s="32"/>
      <c r="STQ109" s="32"/>
      <c r="STR109" s="32"/>
      <c r="STS109" s="32"/>
      <c r="STT109" s="32"/>
      <c r="STU109" s="32"/>
      <c r="STV109" s="32"/>
      <c r="STW109" s="32"/>
      <c r="STX109" s="32"/>
      <c r="STY109" s="32"/>
      <c r="STZ109" s="32"/>
      <c r="SUA109" s="32"/>
      <c r="SUB109" s="32"/>
      <c r="SUC109" s="32"/>
      <c r="SUD109" s="32"/>
      <c r="SUE109" s="32"/>
      <c r="SUF109" s="32"/>
      <c r="SUG109" s="32"/>
      <c r="SUH109" s="32"/>
      <c r="SUI109" s="32"/>
      <c r="SUJ109" s="32"/>
      <c r="SUK109" s="32"/>
      <c r="SUL109" s="32"/>
      <c r="SUM109" s="32"/>
      <c r="SUN109" s="32"/>
      <c r="SUO109" s="32"/>
      <c r="SUP109" s="32"/>
      <c r="SUQ109" s="32"/>
      <c r="SUR109" s="32"/>
      <c r="SUS109" s="32"/>
      <c r="SUT109" s="32"/>
      <c r="SUU109" s="32"/>
      <c r="SUV109" s="32"/>
      <c r="SUW109" s="32"/>
      <c r="SUX109" s="32"/>
      <c r="SUY109" s="32"/>
      <c r="SUZ109" s="32"/>
      <c r="SVA109" s="32"/>
      <c r="SVB109" s="32"/>
      <c r="SVC109" s="32"/>
      <c r="SVD109" s="32"/>
      <c r="SVE109" s="32"/>
      <c r="SVF109" s="32"/>
      <c r="SVG109" s="32"/>
      <c r="SVH109" s="32"/>
      <c r="SVI109" s="32"/>
      <c r="SVJ109" s="32"/>
      <c r="SVK109" s="32"/>
      <c r="SVL109" s="32"/>
      <c r="SVM109" s="32"/>
      <c r="SVN109" s="32"/>
      <c r="SVO109" s="32"/>
      <c r="SVP109" s="32"/>
      <c r="SVQ109" s="32"/>
      <c r="SVR109" s="32"/>
      <c r="SVS109" s="32"/>
      <c r="SVT109" s="32"/>
      <c r="SVU109" s="32"/>
      <c r="SVV109" s="32"/>
      <c r="SVW109" s="32"/>
      <c r="SVX109" s="32"/>
      <c r="SVY109" s="32"/>
      <c r="SVZ109" s="32"/>
      <c r="SWA109" s="32"/>
      <c r="SWB109" s="32"/>
      <c r="SWC109" s="32"/>
      <c r="SWD109" s="32"/>
      <c r="SWE109" s="32"/>
      <c r="SWF109" s="32"/>
      <c r="SWG109" s="32"/>
      <c r="SWH109" s="32"/>
      <c r="SWI109" s="32"/>
      <c r="SWJ109" s="32"/>
      <c r="SWK109" s="32"/>
      <c r="SWL109" s="32"/>
      <c r="SWM109" s="32"/>
      <c r="SWN109" s="32"/>
      <c r="SWO109" s="32"/>
      <c r="SWP109" s="32"/>
      <c r="SWQ109" s="32"/>
      <c r="SWR109" s="32"/>
      <c r="SWS109" s="32"/>
      <c r="SWT109" s="32"/>
      <c r="SWU109" s="32"/>
      <c r="SWV109" s="32"/>
      <c r="SWW109" s="32"/>
      <c r="SWX109" s="32"/>
      <c r="SWY109" s="32"/>
      <c r="SWZ109" s="32"/>
      <c r="SXA109" s="32"/>
      <c r="SXB109" s="32"/>
      <c r="SXC109" s="32"/>
      <c r="SXD109" s="32"/>
      <c r="SXE109" s="32"/>
      <c r="SXF109" s="32"/>
      <c r="SXG109" s="32"/>
      <c r="SXH109" s="32"/>
      <c r="SXI109" s="32"/>
      <c r="SXJ109" s="32"/>
      <c r="SXK109" s="32"/>
      <c r="SXL109" s="32"/>
      <c r="SXM109" s="32"/>
      <c r="SXN109" s="32"/>
      <c r="SXO109" s="32"/>
      <c r="SXP109" s="32"/>
      <c r="SXQ109" s="32"/>
      <c r="SXR109" s="32"/>
      <c r="SXS109" s="32"/>
      <c r="SXT109" s="32"/>
      <c r="SXU109" s="32"/>
      <c r="SXV109" s="32"/>
      <c r="SXW109" s="32"/>
      <c r="SXX109" s="32"/>
      <c r="SXY109" s="32"/>
      <c r="SXZ109" s="32"/>
      <c r="SYA109" s="32"/>
      <c r="SYB109" s="32"/>
      <c r="SYC109" s="32"/>
      <c r="SYD109" s="32"/>
      <c r="SYE109" s="32"/>
      <c r="SYF109" s="32"/>
      <c r="SYG109" s="32"/>
      <c r="SYH109" s="32"/>
      <c r="SYI109" s="32"/>
      <c r="SYJ109" s="32"/>
      <c r="SYK109" s="32"/>
      <c r="SYL109" s="32"/>
      <c r="SYM109" s="32"/>
      <c r="SYN109" s="32"/>
      <c r="SYO109" s="32"/>
      <c r="SYP109" s="32"/>
      <c r="SYQ109" s="32"/>
      <c r="SYR109" s="32"/>
      <c r="SYS109" s="32"/>
      <c r="SYT109" s="32"/>
      <c r="SYU109" s="32"/>
      <c r="SYV109" s="32"/>
      <c r="SYW109" s="32"/>
      <c r="SYX109" s="32"/>
      <c r="SYY109" s="32"/>
      <c r="SYZ109" s="32"/>
      <c r="SZA109" s="32"/>
      <c r="SZB109" s="32"/>
      <c r="SZC109" s="32"/>
      <c r="SZD109" s="32"/>
      <c r="SZE109" s="32"/>
      <c r="SZF109" s="32"/>
      <c r="SZG109" s="32"/>
      <c r="SZH109" s="32"/>
      <c r="SZI109" s="32"/>
      <c r="SZJ109" s="32"/>
      <c r="SZK109" s="32"/>
      <c r="SZL109" s="32"/>
      <c r="SZM109" s="32"/>
      <c r="SZN109" s="32"/>
      <c r="SZO109" s="32"/>
      <c r="SZP109" s="32"/>
      <c r="SZQ109" s="32"/>
      <c r="SZR109" s="32"/>
      <c r="SZS109" s="32"/>
      <c r="SZT109" s="32"/>
      <c r="SZU109" s="32"/>
      <c r="SZV109" s="32"/>
      <c r="SZW109" s="32"/>
      <c r="SZX109" s="32"/>
      <c r="SZY109" s="32"/>
      <c r="SZZ109" s="32"/>
      <c r="TAA109" s="32"/>
      <c r="TAB109" s="32"/>
      <c r="TAC109" s="32"/>
      <c r="TAD109" s="32"/>
      <c r="TAE109" s="32"/>
      <c r="TAF109" s="32"/>
      <c r="TAG109" s="32"/>
      <c r="TAH109" s="32"/>
      <c r="TAI109" s="32"/>
      <c r="TAJ109" s="32"/>
      <c r="TAK109" s="32"/>
      <c r="TAL109" s="32"/>
      <c r="TAM109" s="32"/>
      <c r="TAN109" s="32"/>
      <c r="TAO109" s="32"/>
      <c r="TAP109" s="32"/>
      <c r="TAQ109" s="32"/>
      <c r="TAR109" s="32"/>
      <c r="TAS109" s="32"/>
      <c r="TAT109" s="32"/>
      <c r="TAU109" s="32"/>
      <c r="TAV109" s="32"/>
      <c r="TAW109" s="32"/>
      <c r="TAX109" s="32"/>
      <c r="TAY109" s="32"/>
      <c r="TAZ109" s="32"/>
      <c r="TBA109" s="32"/>
      <c r="TBB109" s="32"/>
      <c r="TBC109" s="32"/>
      <c r="TBD109" s="32"/>
      <c r="TBE109" s="32"/>
      <c r="TBF109" s="32"/>
      <c r="TBG109" s="32"/>
      <c r="TBH109" s="32"/>
      <c r="TBI109" s="32"/>
      <c r="TBJ109" s="32"/>
      <c r="TBK109" s="32"/>
      <c r="TBL109" s="32"/>
      <c r="TBM109" s="32"/>
      <c r="TBN109" s="32"/>
      <c r="TBO109" s="32"/>
      <c r="TBP109" s="32"/>
      <c r="TBQ109" s="32"/>
      <c r="TBR109" s="32"/>
      <c r="TBS109" s="32"/>
      <c r="TBT109" s="32"/>
      <c r="TBU109" s="32"/>
      <c r="TBV109" s="32"/>
      <c r="TBW109" s="32"/>
      <c r="TBX109" s="32"/>
      <c r="TBY109" s="32"/>
      <c r="TBZ109" s="32"/>
      <c r="TCA109" s="32"/>
      <c r="TCB109" s="32"/>
      <c r="TCC109" s="32"/>
      <c r="TCD109" s="32"/>
      <c r="TCE109" s="32"/>
      <c r="TCF109" s="32"/>
      <c r="TCG109" s="32"/>
      <c r="TCH109" s="32"/>
      <c r="TCI109" s="32"/>
      <c r="TCJ109" s="32"/>
      <c r="TCK109" s="32"/>
      <c r="TCL109" s="32"/>
      <c r="TCM109" s="32"/>
      <c r="TCN109" s="32"/>
      <c r="TCO109" s="32"/>
      <c r="TCP109" s="32"/>
      <c r="TCQ109" s="32"/>
      <c r="TCR109" s="32"/>
      <c r="TCS109" s="32"/>
      <c r="TCT109" s="32"/>
      <c r="TCU109" s="32"/>
      <c r="TCV109" s="32"/>
      <c r="TCW109" s="32"/>
      <c r="TCX109" s="32"/>
      <c r="TCY109" s="32"/>
      <c r="TCZ109" s="32"/>
      <c r="TDA109" s="32"/>
      <c r="TDB109" s="32"/>
      <c r="TDC109" s="32"/>
      <c r="TDD109" s="32"/>
      <c r="TDE109" s="32"/>
      <c r="TDF109" s="32"/>
      <c r="TDG109" s="32"/>
      <c r="TDH109" s="32"/>
      <c r="TDI109" s="32"/>
      <c r="TDJ109" s="32"/>
      <c r="TDK109" s="32"/>
      <c r="TDL109" s="32"/>
      <c r="TDM109" s="32"/>
      <c r="TDN109" s="32"/>
      <c r="TDO109" s="32"/>
      <c r="TDP109" s="32"/>
      <c r="TDQ109" s="32"/>
      <c r="TDR109" s="32"/>
      <c r="TDS109" s="32"/>
      <c r="TDT109" s="32"/>
      <c r="TDU109" s="32"/>
      <c r="TDV109" s="32"/>
      <c r="TDW109" s="32"/>
      <c r="TDX109" s="32"/>
      <c r="TDY109" s="32"/>
      <c r="TDZ109" s="32"/>
      <c r="TEA109" s="32"/>
      <c r="TEB109" s="32"/>
      <c r="TEC109" s="32"/>
      <c r="TED109" s="32"/>
      <c r="TEE109" s="32"/>
      <c r="TEF109" s="32"/>
      <c r="TEG109" s="32"/>
      <c r="TEH109" s="32"/>
      <c r="TEI109" s="32"/>
      <c r="TEJ109" s="32"/>
      <c r="TEK109" s="32"/>
      <c r="TEL109" s="32"/>
      <c r="TEM109" s="32"/>
      <c r="TEN109" s="32"/>
      <c r="TEO109" s="32"/>
      <c r="TEP109" s="32"/>
      <c r="TEQ109" s="32"/>
      <c r="TER109" s="32"/>
      <c r="TES109" s="32"/>
      <c r="TET109" s="32"/>
      <c r="TEU109" s="32"/>
      <c r="TEV109" s="32"/>
      <c r="TEW109" s="32"/>
      <c r="TEX109" s="32"/>
      <c r="TEY109" s="32"/>
      <c r="TEZ109" s="32"/>
      <c r="TFA109" s="32"/>
      <c r="TFB109" s="32"/>
      <c r="TFC109" s="32"/>
      <c r="TFD109" s="32"/>
      <c r="TFE109" s="32"/>
      <c r="TFF109" s="32"/>
      <c r="TFG109" s="32"/>
      <c r="TFH109" s="32"/>
      <c r="TFI109" s="32"/>
      <c r="TFJ109" s="32"/>
      <c r="TFK109" s="32"/>
      <c r="TFL109" s="32"/>
      <c r="TFM109" s="32"/>
      <c r="TFN109" s="32"/>
      <c r="TFO109" s="32"/>
      <c r="TFP109" s="32"/>
      <c r="TFQ109" s="32"/>
      <c r="TFR109" s="32"/>
      <c r="TFS109" s="32"/>
      <c r="TFT109" s="32"/>
      <c r="TFU109" s="32"/>
      <c r="TFV109" s="32"/>
      <c r="TFW109" s="32"/>
      <c r="TFX109" s="32"/>
      <c r="TFY109" s="32"/>
      <c r="TFZ109" s="32"/>
      <c r="TGA109" s="32"/>
      <c r="TGB109" s="32"/>
      <c r="TGC109" s="32"/>
      <c r="TGD109" s="32"/>
      <c r="TGE109" s="32"/>
      <c r="TGF109" s="32"/>
      <c r="TGG109" s="32"/>
      <c r="TGH109" s="32"/>
      <c r="TGI109" s="32"/>
      <c r="TGJ109" s="32"/>
      <c r="TGK109" s="32"/>
      <c r="TGL109" s="32"/>
      <c r="TGM109" s="32"/>
      <c r="TGN109" s="32"/>
      <c r="TGO109" s="32"/>
      <c r="TGP109" s="32"/>
      <c r="TGQ109" s="32"/>
      <c r="TGR109" s="32"/>
      <c r="TGS109" s="32"/>
      <c r="TGT109" s="32"/>
      <c r="TGU109" s="32"/>
      <c r="TGV109" s="32"/>
      <c r="TGW109" s="32"/>
      <c r="TGX109" s="32"/>
      <c r="TGY109" s="32"/>
      <c r="TGZ109" s="32"/>
      <c r="THA109" s="32"/>
      <c r="THB109" s="32"/>
      <c r="THC109" s="32"/>
      <c r="THD109" s="32"/>
      <c r="THE109" s="32"/>
      <c r="THF109" s="32"/>
      <c r="THG109" s="32"/>
      <c r="THH109" s="32"/>
      <c r="THI109" s="32"/>
      <c r="THJ109" s="32"/>
      <c r="THK109" s="32"/>
      <c r="THL109" s="32"/>
      <c r="THM109" s="32"/>
      <c r="THN109" s="32"/>
      <c r="THO109" s="32"/>
      <c r="THP109" s="32"/>
      <c r="THQ109" s="32"/>
      <c r="THR109" s="32"/>
      <c r="THS109" s="32"/>
      <c r="THT109" s="32"/>
      <c r="THU109" s="32"/>
      <c r="THV109" s="32"/>
      <c r="THW109" s="32"/>
      <c r="THX109" s="32"/>
      <c r="THY109" s="32"/>
      <c r="THZ109" s="32"/>
      <c r="TIA109" s="32"/>
      <c r="TIB109" s="32"/>
      <c r="TIC109" s="32"/>
      <c r="TID109" s="32"/>
      <c r="TIE109" s="32"/>
      <c r="TIF109" s="32"/>
      <c r="TIG109" s="32"/>
      <c r="TIH109" s="32"/>
      <c r="TII109" s="32"/>
      <c r="TIJ109" s="32"/>
      <c r="TIK109" s="32"/>
      <c r="TIL109" s="32"/>
      <c r="TIM109" s="32"/>
      <c r="TIN109" s="32"/>
      <c r="TIO109" s="32"/>
      <c r="TIP109" s="32"/>
      <c r="TIQ109" s="32"/>
      <c r="TIR109" s="32"/>
      <c r="TIS109" s="32"/>
      <c r="TIT109" s="32"/>
      <c r="TIU109" s="32"/>
      <c r="TIV109" s="32"/>
      <c r="TIW109" s="32"/>
      <c r="TIX109" s="32"/>
      <c r="TIY109" s="32"/>
      <c r="TIZ109" s="32"/>
      <c r="TJA109" s="32"/>
      <c r="TJB109" s="32"/>
      <c r="TJC109" s="32"/>
      <c r="TJD109" s="32"/>
      <c r="TJE109" s="32"/>
      <c r="TJF109" s="32"/>
      <c r="TJG109" s="32"/>
      <c r="TJH109" s="32"/>
      <c r="TJI109" s="32"/>
      <c r="TJJ109" s="32"/>
      <c r="TJK109" s="32"/>
      <c r="TJL109" s="32"/>
      <c r="TJM109" s="32"/>
      <c r="TJN109" s="32"/>
      <c r="TJO109" s="32"/>
      <c r="TJP109" s="32"/>
      <c r="TJQ109" s="32"/>
      <c r="TJR109" s="32"/>
      <c r="TJS109" s="32"/>
      <c r="TJT109" s="32"/>
      <c r="TJU109" s="32"/>
      <c r="TJV109" s="32"/>
      <c r="TJW109" s="32"/>
      <c r="TJX109" s="32"/>
      <c r="TJY109" s="32"/>
      <c r="TJZ109" s="32"/>
      <c r="TKA109" s="32"/>
      <c r="TKB109" s="32"/>
      <c r="TKC109" s="32"/>
      <c r="TKD109" s="32"/>
      <c r="TKE109" s="32"/>
      <c r="TKF109" s="32"/>
      <c r="TKG109" s="32"/>
      <c r="TKH109" s="32"/>
      <c r="TKI109" s="32"/>
      <c r="TKJ109" s="32"/>
      <c r="TKK109" s="32"/>
      <c r="TKL109" s="32"/>
      <c r="TKM109" s="32"/>
      <c r="TKN109" s="32"/>
      <c r="TKO109" s="32"/>
      <c r="TKP109" s="32"/>
      <c r="TKQ109" s="32"/>
      <c r="TKR109" s="32"/>
      <c r="TKS109" s="32"/>
      <c r="TKT109" s="32"/>
      <c r="TKU109" s="32"/>
      <c r="TKV109" s="32"/>
      <c r="TKW109" s="32"/>
      <c r="TKX109" s="32"/>
      <c r="TKY109" s="32"/>
      <c r="TKZ109" s="32"/>
      <c r="TLA109" s="32"/>
      <c r="TLB109" s="32"/>
      <c r="TLC109" s="32"/>
      <c r="TLD109" s="32"/>
      <c r="TLE109" s="32"/>
      <c r="TLF109" s="32"/>
      <c r="TLG109" s="32"/>
      <c r="TLH109" s="32"/>
      <c r="TLI109" s="32"/>
      <c r="TLJ109" s="32"/>
      <c r="TLK109" s="32"/>
      <c r="TLL109" s="32"/>
      <c r="TLM109" s="32"/>
      <c r="TLN109" s="32"/>
      <c r="TLO109" s="32"/>
      <c r="TLP109" s="32"/>
      <c r="TLQ109" s="32"/>
      <c r="TLR109" s="32"/>
      <c r="TLS109" s="32"/>
      <c r="TLT109" s="32"/>
      <c r="TLU109" s="32"/>
      <c r="TLV109" s="32"/>
      <c r="TLW109" s="32"/>
      <c r="TLX109" s="32"/>
      <c r="TLY109" s="32"/>
      <c r="TLZ109" s="32"/>
      <c r="TMA109" s="32"/>
      <c r="TMB109" s="32"/>
      <c r="TMC109" s="32"/>
      <c r="TMD109" s="32"/>
      <c r="TME109" s="32"/>
      <c r="TMF109" s="32"/>
      <c r="TMG109" s="32"/>
      <c r="TMH109" s="32"/>
      <c r="TMI109" s="32"/>
      <c r="TMJ109" s="32"/>
      <c r="TMK109" s="32"/>
      <c r="TML109" s="32"/>
      <c r="TMM109" s="32"/>
      <c r="TMN109" s="32"/>
      <c r="TMO109" s="32"/>
      <c r="TMP109" s="32"/>
      <c r="TMQ109" s="32"/>
      <c r="TMR109" s="32"/>
      <c r="TMS109" s="32"/>
      <c r="TMT109" s="32"/>
      <c r="TMU109" s="32"/>
      <c r="TMV109" s="32"/>
      <c r="TMW109" s="32"/>
      <c r="TMX109" s="32"/>
      <c r="TMY109" s="32"/>
      <c r="TMZ109" s="32"/>
      <c r="TNA109" s="32"/>
      <c r="TNB109" s="32"/>
      <c r="TNC109" s="32"/>
      <c r="TND109" s="32"/>
      <c r="TNE109" s="32"/>
      <c r="TNF109" s="32"/>
      <c r="TNG109" s="32"/>
      <c r="TNH109" s="32"/>
      <c r="TNI109" s="32"/>
      <c r="TNJ109" s="32"/>
      <c r="TNK109" s="32"/>
      <c r="TNL109" s="32"/>
      <c r="TNM109" s="32"/>
      <c r="TNN109" s="32"/>
      <c r="TNO109" s="32"/>
      <c r="TNP109" s="32"/>
      <c r="TNQ109" s="32"/>
      <c r="TNR109" s="32"/>
      <c r="TNS109" s="32"/>
      <c r="TNT109" s="32"/>
      <c r="TNU109" s="32"/>
      <c r="TNV109" s="32"/>
      <c r="TNW109" s="32"/>
      <c r="TNX109" s="32"/>
      <c r="TNY109" s="32"/>
      <c r="TNZ109" s="32"/>
      <c r="TOA109" s="32"/>
      <c r="TOB109" s="32"/>
      <c r="TOC109" s="32"/>
      <c r="TOD109" s="32"/>
      <c r="TOE109" s="32"/>
      <c r="TOF109" s="32"/>
      <c r="TOG109" s="32"/>
      <c r="TOH109" s="32"/>
      <c r="TOI109" s="32"/>
      <c r="TOJ109" s="32"/>
      <c r="TOK109" s="32"/>
      <c r="TOL109" s="32"/>
      <c r="TOM109" s="32"/>
      <c r="TON109" s="32"/>
      <c r="TOO109" s="32"/>
      <c r="TOP109" s="32"/>
      <c r="TOQ109" s="32"/>
      <c r="TOR109" s="32"/>
      <c r="TOS109" s="32"/>
      <c r="TOT109" s="32"/>
      <c r="TOU109" s="32"/>
      <c r="TOV109" s="32"/>
      <c r="TOW109" s="32"/>
      <c r="TOX109" s="32"/>
      <c r="TOY109" s="32"/>
      <c r="TOZ109" s="32"/>
      <c r="TPA109" s="32"/>
      <c r="TPB109" s="32"/>
      <c r="TPC109" s="32"/>
      <c r="TPD109" s="32"/>
      <c r="TPE109" s="32"/>
      <c r="TPF109" s="32"/>
      <c r="TPG109" s="32"/>
      <c r="TPH109" s="32"/>
      <c r="TPI109" s="32"/>
      <c r="TPJ109" s="32"/>
      <c r="TPK109" s="32"/>
      <c r="TPL109" s="32"/>
      <c r="TPM109" s="32"/>
      <c r="TPN109" s="32"/>
      <c r="TPO109" s="32"/>
      <c r="TPP109" s="32"/>
      <c r="TPQ109" s="32"/>
      <c r="TPR109" s="32"/>
      <c r="TPS109" s="32"/>
      <c r="TPT109" s="32"/>
      <c r="TPU109" s="32"/>
      <c r="TPV109" s="32"/>
      <c r="TPW109" s="32"/>
      <c r="TPX109" s="32"/>
      <c r="TPY109" s="32"/>
      <c r="TPZ109" s="32"/>
      <c r="TQA109" s="32"/>
      <c r="TQB109" s="32"/>
      <c r="TQC109" s="32"/>
      <c r="TQD109" s="32"/>
      <c r="TQE109" s="32"/>
      <c r="TQF109" s="32"/>
      <c r="TQG109" s="32"/>
      <c r="TQH109" s="32"/>
      <c r="TQI109" s="32"/>
      <c r="TQJ109" s="32"/>
      <c r="TQK109" s="32"/>
      <c r="TQL109" s="32"/>
      <c r="TQM109" s="32"/>
      <c r="TQN109" s="32"/>
      <c r="TQO109" s="32"/>
      <c r="TQP109" s="32"/>
      <c r="TQQ109" s="32"/>
      <c r="TQR109" s="32"/>
      <c r="TQS109" s="32"/>
      <c r="TQT109" s="32"/>
      <c r="TQU109" s="32"/>
      <c r="TQV109" s="32"/>
      <c r="TQW109" s="32"/>
      <c r="TQX109" s="32"/>
      <c r="TQY109" s="32"/>
      <c r="TQZ109" s="32"/>
      <c r="TRA109" s="32"/>
      <c r="TRB109" s="32"/>
      <c r="TRC109" s="32"/>
      <c r="TRD109" s="32"/>
      <c r="TRE109" s="32"/>
      <c r="TRF109" s="32"/>
      <c r="TRG109" s="32"/>
      <c r="TRH109" s="32"/>
      <c r="TRI109" s="32"/>
      <c r="TRJ109" s="32"/>
      <c r="TRK109" s="32"/>
      <c r="TRL109" s="32"/>
      <c r="TRM109" s="32"/>
      <c r="TRN109" s="32"/>
      <c r="TRO109" s="32"/>
      <c r="TRP109" s="32"/>
      <c r="TRQ109" s="32"/>
      <c r="TRR109" s="32"/>
      <c r="TRS109" s="32"/>
      <c r="TRT109" s="32"/>
      <c r="TRU109" s="32"/>
      <c r="TRV109" s="32"/>
      <c r="TRW109" s="32"/>
      <c r="TRX109" s="32"/>
      <c r="TRY109" s="32"/>
      <c r="TRZ109" s="32"/>
      <c r="TSA109" s="32"/>
      <c r="TSB109" s="32"/>
      <c r="TSC109" s="32"/>
      <c r="TSD109" s="32"/>
      <c r="TSE109" s="32"/>
      <c r="TSF109" s="32"/>
      <c r="TSG109" s="32"/>
      <c r="TSH109" s="32"/>
      <c r="TSI109" s="32"/>
      <c r="TSJ109" s="32"/>
      <c r="TSK109" s="32"/>
      <c r="TSL109" s="32"/>
      <c r="TSM109" s="32"/>
      <c r="TSN109" s="32"/>
      <c r="TSO109" s="32"/>
      <c r="TSP109" s="32"/>
      <c r="TSQ109" s="32"/>
      <c r="TSR109" s="32"/>
      <c r="TSS109" s="32"/>
      <c r="TST109" s="32"/>
      <c r="TSU109" s="32"/>
      <c r="TSV109" s="32"/>
      <c r="TSW109" s="32"/>
      <c r="TSX109" s="32"/>
      <c r="TSY109" s="32"/>
      <c r="TSZ109" s="32"/>
      <c r="TTA109" s="32"/>
      <c r="TTB109" s="32"/>
      <c r="TTC109" s="32"/>
      <c r="TTD109" s="32"/>
      <c r="TTE109" s="32"/>
      <c r="TTF109" s="32"/>
      <c r="TTG109" s="32"/>
      <c r="TTH109" s="32"/>
      <c r="TTI109" s="32"/>
      <c r="TTJ109" s="32"/>
      <c r="TTK109" s="32"/>
      <c r="TTL109" s="32"/>
      <c r="TTM109" s="32"/>
      <c r="TTN109" s="32"/>
      <c r="TTO109" s="32"/>
      <c r="TTP109" s="32"/>
      <c r="TTQ109" s="32"/>
      <c r="TTR109" s="32"/>
      <c r="TTS109" s="32"/>
      <c r="TTT109" s="32"/>
      <c r="TTU109" s="32"/>
      <c r="TTV109" s="32"/>
      <c r="TTW109" s="32"/>
      <c r="TTX109" s="32"/>
      <c r="TTY109" s="32"/>
      <c r="TTZ109" s="32"/>
      <c r="TUA109" s="32"/>
      <c r="TUB109" s="32"/>
      <c r="TUC109" s="32"/>
      <c r="TUD109" s="32"/>
      <c r="TUE109" s="32"/>
      <c r="TUF109" s="32"/>
      <c r="TUG109" s="32"/>
      <c r="TUH109" s="32"/>
      <c r="TUI109" s="32"/>
      <c r="TUJ109" s="32"/>
      <c r="TUK109" s="32"/>
      <c r="TUL109" s="32"/>
      <c r="TUM109" s="32"/>
      <c r="TUN109" s="32"/>
      <c r="TUO109" s="32"/>
      <c r="TUP109" s="32"/>
      <c r="TUQ109" s="32"/>
      <c r="TUR109" s="32"/>
      <c r="TUS109" s="32"/>
      <c r="TUT109" s="32"/>
      <c r="TUU109" s="32"/>
      <c r="TUV109" s="32"/>
      <c r="TUW109" s="32"/>
      <c r="TUX109" s="32"/>
      <c r="TUY109" s="32"/>
      <c r="TUZ109" s="32"/>
      <c r="TVA109" s="32"/>
      <c r="TVB109" s="32"/>
      <c r="TVC109" s="32"/>
      <c r="TVD109" s="32"/>
      <c r="TVE109" s="32"/>
      <c r="TVF109" s="32"/>
      <c r="TVG109" s="32"/>
      <c r="TVH109" s="32"/>
      <c r="TVI109" s="32"/>
      <c r="TVJ109" s="32"/>
      <c r="TVK109" s="32"/>
      <c r="TVL109" s="32"/>
      <c r="TVM109" s="32"/>
      <c r="TVN109" s="32"/>
      <c r="TVO109" s="32"/>
      <c r="TVP109" s="32"/>
      <c r="TVQ109" s="32"/>
      <c r="TVR109" s="32"/>
      <c r="TVS109" s="32"/>
      <c r="TVT109" s="32"/>
      <c r="TVU109" s="32"/>
      <c r="TVV109" s="32"/>
      <c r="TVW109" s="32"/>
      <c r="TVX109" s="32"/>
      <c r="TVY109" s="32"/>
      <c r="TVZ109" s="32"/>
      <c r="TWA109" s="32"/>
      <c r="TWB109" s="32"/>
      <c r="TWC109" s="32"/>
      <c r="TWD109" s="32"/>
      <c r="TWE109" s="32"/>
      <c r="TWF109" s="32"/>
      <c r="TWG109" s="32"/>
      <c r="TWH109" s="32"/>
      <c r="TWI109" s="32"/>
      <c r="TWJ109" s="32"/>
      <c r="TWK109" s="32"/>
      <c r="TWL109" s="32"/>
      <c r="TWM109" s="32"/>
      <c r="TWN109" s="32"/>
      <c r="TWO109" s="32"/>
      <c r="TWP109" s="32"/>
      <c r="TWQ109" s="32"/>
      <c r="TWR109" s="32"/>
      <c r="TWS109" s="32"/>
      <c r="TWT109" s="32"/>
      <c r="TWU109" s="32"/>
      <c r="TWV109" s="32"/>
      <c r="TWW109" s="32"/>
      <c r="TWX109" s="32"/>
      <c r="TWY109" s="32"/>
      <c r="TWZ109" s="32"/>
      <c r="TXA109" s="32"/>
      <c r="TXB109" s="32"/>
      <c r="TXC109" s="32"/>
      <c r="TXD109" s="32"/>
      <c r="TXE109" s="32"/>
      <c r="TXF109" s="32"/>
      <c r="TXG109" s="32"/>
      <c r="TXH109" s="32"/>
      <c r="TXI109" s="32"/>
      <c r="TXJ109" s="32"/>
      <c r="TXK109" s="32"/>
      <c r="TXL109" s="32"/>
      <c r="TXM109" s="32"/>
      <c r="TXN109" s="32"/>
      <c r="TXO109" s="32"/>
      <c r="TXP109" s="32"/>
      <c r="TXQ109" s="32"/>
      <c r="TXR109" s="32"/>
      <c r="TXS109" s="32"/>
      <c r="TXT109" s="32"/>
      <c r="TXU109" s="32"/>
      <c r="TXV109" s="32"/>
      <c r="TXW109" s="32"/>
      <c r="TXX109" s="32"/>
      <c r="TXY109" s="32"/>
      <c r="TXZ109" s="32"/>
      <c r="TYA109" s="32"/>
      <c r="TYB109" s="32"/>
      <c r="TYC109" s="32"/>
      <c r="TYD109" s="32"/>
      <c r="TYE109" s="32"/>
      <c r="TYF109" s="32"/>
      <c r="TYG109" s="32"/>
      <c r="TYH109" s="32"/>
      <c r="TYI109" s="32"/>
      <c r="TYJ109" s="32"/>
      <c r="TYK109" s="32"/>
      <c r="TYL109" s="32"/>
      <c r="TYM109" s="32"/>
      <c r="TYN109" s="32"/>
      <c r="TYO109" s="32"/>
      <c r="TYP109" s="32"/>
      <c r="TYQ109" s="32"/>
      <c r="TYR109" s="32"/>
      <c r="TYS109" s="32"/>
      <c r="TYT109" s="32"/>
      <c r="TYU109" s="32"/>
      <c r="TYV109" s="32"/>
      <c r="TYW109" s="32"/>
      <c r="TYX109" s="32"/>
      <c r="TYY109" s="32"/>
      <c r="TYZ109" s="32"/>
      <c r="TZA109" s="32"/>
      <c r="TZB109" s="32"/>
      <c r="TZC109" s="32"/>
      <c r="TZD109" s="32"/>
      <c r="TZE109" s="32"/>
      <c r="TZF109" s="32"/>
      <c r="TZG109" s="32"/>
      <c r="TZH109" s="32"/>
      <c r="TZI109" s="32"/>
      <c r="TZJ109" s="32"/>
      <c r="TZK109" s="32"/>
      <c r="TZL109" s="32"/>
      <c r="TZM109" s="32"/>
      <c r="TZN109" s="32"/>
      <c r="TZO109" s="32"/>
      <c r="TZP109" s="32"/>
      <c r="TZQ109" s="32"/>
      <c r="TZR109" s="32"/>
      <c r="TZS109" s="32"/>
      <c r="TZT109" s="32"/>
      <c r="TZU109" s="32"/>
      <c r="TZV109" s="32"/>
      <c r="TZW109" s="32"/>
      <c r="TZX109" s="32"/>
      <c r="TZY109" s="32"/>
      <c r="TZZ109" s="32"/>
      <c r="UAA109" s="32"/>
      <c r="UAB109" s="32"/>
      <c r="UAC109" s="32"/>
      <c r="UAD109" s="32"/>
      <c r="UAE109" s="32"/>
      <c r="UAF109" s="32"/>
      <c r="UAG109" s="32"/>
      <c r="UAH109" s="32"/>
      <c r="UAI109" s="32"/>
      <c r="UAJ109" s="32"/>
      <c r="UAK109" s="32"/>
      <c r="UAL109" s="32"/>
      <c r="UAM109" s="32"/>
      <c r="UAN109" s="32"/>
      <c r="UAO109" s="32"/>
      <c r="UAP109" s="32"/>
      <c r="UAQ109" s="32"/>
      <c r="UAR109" s="32"/>
      <c r="UAS109" s="32"/>
      <c r="UAT109" s="32"/>
      <c r="UAU109" s="32"/>
      <c r="UAV109" s="32"/>
      <c r="UAW109" s="32"/>
      <c r="UAX109" s="32"/>
      <c r="UAY109" s="32"/>
      <c r="UAZ109" s="32"/>
      <c r="UBA109" s="32"/>
      <c r="UBB109" s="32"/>
      <c r="UBC109" s="32"/>
      <c r="UBD109" s="32"/>
      <c r="UBE109" s="32"/>
      <c r="UBF109" s="32"/>
      <c r="UBG109" s="32"/>
      <c r="UBH109" s="32"/>
      <c r="UBI109" s="32"/>
      <c r="UBJ109" s="32"/>
      <c r="UBK109" s="32"/>
      <c r="UBL109" s="32"/>
      <c r="UBM109" s="32"/>
      <c r="UBN109" s="32"/>
      <c r="UBO109" s="32"/>
      <c r="UBP109" s="32"/>
      <c r="UBQ109" s="32"/>
      <c r="UBR109" s="32"/>
      <c r="UBS109" s="32"/>
      <c r="UBT109" s="32"/>
      <c r="UBU109" s="32"/>
      <c r="UBV109" s="32"/>
      <c r="UBW109" s="32"/>
      <c r="UBX109" s="32"/>
      <c r="UBY109" s="32"/>
      <c r="UBZ109" s="32"/>
      <c r="UCA109" s="32"/>
      <c r="UCB109" s="32"/>
      <c r="UCC109" s="32"/>
      <c r="UCD109" s="32"/>
      <c r="UCE109" s="32"/>
      <c r="UCF109" s="32"/>
      <c r="UCG109" s="32"/>
      <c r="UCH109" s="32"/>
      <c r="UCI109" s="32"/>
      <c r="UCJ109" s="32"/>
      <c r="UCK109" s="32"/>
      <c r="UCL109" s="32"/>
      <c r="UCM109" s="32"/>
      <c r="UCN109" s="32"/>
      <c r="UCO109" s="32"/>
      <c r="UCP109" s="32"/>
      <c r="UCQ109" s="32"/>
      <c r="UCR109" s="32"/>
      <c r="UCS109" s="32"/>
      <c r="UCT109" s="32"/>
      <c r="UCU109" s="32"/>
      <c r="UCV109" s="32"/>
      <c r="UCW109" s="32"/>
      <c r="UCX109" s="32"/>
      <c r="UCY109" s="32"/>
      <c r="UCZ109" s="32"/>
      <c r="UDA109" s="32"/>
      <c r="UDB109" s="32"/>
      <c r="UDC109" s="32"/>
      <c r="UDD109" s="32"/>
      <c r="UDE109" s="32"/>
      <c r="UDF109" s="32"/>
      <c r="UDG109" s="32"/>
      <c r="UDH109" s="32"/>
      <c r="UDI109" s="32"/>
      <c r="UDJ109" s="32"/>
      <c r="UDK109" s="32"/>
      <c r="UDL109" s="32"/>
      <c r="UDM109" s="32"/>
      <c r="UDN109" s="32"/>
      <c r="UDO109" s="32"/>
      <c r="UDP109" s="32"/>
      <c r="UDQ109" s="32"/>
      <c r="UDR109" s="32"/>
      <c r="UDS109" s="32"/>
      <c r="UDT109" s="32"/>
      <c r="UDU109" s="32"/>
      <c r="UDV109" s="32"/>
      <c r="UDW109" s="32"/>
      <c r="UDX109" s="32"/>
      <c r="UDY109" s="32"/>
      <c r="UDZ109" s="32"/>
      <c r="UEA109" s="32"/>
      <c r="UEB109" s="32"/>
      <c r="UEC109" s="32"/>
      <c r="UED109" s="32"/>
      <c r="UEE109" s="32"/>
      <c r="UEF109" s="32"/>
      <c r="UEG109" s="32"/>
      <c r="UEH109" s="32"/>
      <c r="UEI109" s="32"/>
      <c r="UEJ109" s="32"/>
      <c r="UEK109" s="32"/>
      <c r="UEL109" s="32"/>
      <c r="UEM109" s="32"/>
      <c r="UEN109" s="32"/>
      <c r="UEO109" s="32"/>
      <c r="UEP109" s="32"/>
      <c r="UEQ109" s="32"/>
      <c r="UER109" s="32"/>
      <c r="UES109" s="32"/>
      <c r="UET109" s="32"/>
      <c r="UEU109" s="32"/>
      <c r="UEV109" s="32"/>
      <c r="UEW109" s="32"/>
      <c r="UEX109" s="32"/>
      <c r="UEY109" s="32"/>
      <c r="UEZ109" s="32"/>
      <c r="UFA109" s="32"/>
      <c r="UFB109" s="32"/>
      <c r="UFC109" s="32"/>
      <c r="UFD109" s="32"/>
      <c r="UFE109" s="32"/>
      <c r="UFF109" s="32"/>
      <c r="UFG109" s="32"/>
      <c r="UFH109" s="32"/>
      <c r="UFI109" s="32"/>
      <c r="UFJ109" s="32"/>
      <c r="UFK109" s="32"/>
      <c r="UFL109" s="32"/>
      <c r="UFM109" s="32"/>
      <c r="UFN109" s="32"/>
      <c r="UFO109" s="32"/>
      <c r="UFP109" s="32"/>
      <c r="UFQ109" s="32"/>
      <c r="UFR109" s="32"/>
      <c r="UFS109" s="32"/>
      <c r="UFT109" s="32"/>
      <c r="UFU109" s="32"/>
      <c r="UFV109" s="32"/>
      <c r="UFW109" s="32"/>
      <c r="UFX109" s="32"/>
      <c r="UFY109" s="32"/>
      <c r="UFZ109" s="32"/>
      <c r="UGA109" s="32"/>
      <c r="UGB109" s="32"/>
      <c r="UGC109" s="32"/>
      <c r="UGD109" s="32"/>
      <c r="UGE109" s="32"/>
      <c r="UGF109" s="32"/>
      <c r="UGG109" s="32"/>
      <c r="UGH109" s="32"/>
      <c r="UGI109" s="32"/>
      <c r="UGJ109" s="32"/>
      <c r="UGK109" s="32"/>
      <c r="UGL109" s="32"/>
      <c r="UGM109" s="32"/>
      <c r="UGN109" s="32"/>
      <c r="UGO109" s="32"/>
      <c r="UGP109" s="32"/>
      <c r="UGQ109" s="32"/>
      <c r="UGR109" s="32"/>
      <c r="UGS109" s="32"/>
      <c r="UGT109" s="32"/>
      <c r="UGU109" s="32"/>
      <c r="UGV109" s="32"/>
      <c r="UGW109" s="32"/>
      <c r="UGX109" s="32"/>
      <c r="UGY109" s="32"/>
      <c r="UGZ109" s="32"/>
      <c r="UHA109" s="32"/>
      <c r="UHB109" s="32"/>
      <c r="UHC109" s="32"/>
      <c r="UHD109" s="32"/>
      <c r="UHE109" s="32"/>
      <c r="UHF109" s="32"/>
      <c r="UHG109" s="32"/>
      <c r="UHH109" s="32"/>
      <c r="UHI109" s="32"/>
      <c r="UHJ109" s="32"/>
      <c r="UHK109" s="32"/>
      <c r="UHL109" s="32"/>
      <c r="UHM109" s="32"/>
      <c r="UHN109" s="32"/>
      <c r="UHO109" s="32"/>
      <c r="UHP109" s="32"/>
      <c r="UHQ109" s="32"/>
      <c r="UHR109" s="32"/>
      <c r="UHS109" s="32"/>
      <c r="UHT109" s="32"/>
      <c r="UHU109" s="32"/>
      <c r="UHV109" s="32"/>
      <c r="UHW109" s="32"/>
      <c r="UHX109" s="32"/>
      <c r="UHY109" s="32"/>
      <c r="UHZ109" s="32"/>
      <c r="UIA109" s="32"/>
      <c r="UIB109" s="32"/>
      <c r="UIC109" s="32"/>
      <c r="UID109" s="32"/>
      <c r="UIE109" s="32"/>
      <c r="UIF109" s="32"/>
      <c r="UIG109" s="32"/>
      <c r="UIH109" s="32"/>
      <c r="UII109" s="32"/>
      <c r="UIJ109" s="32"/>
      <c r="UIK109" s="32"/>
      <c r="UIL109" s="32"/>
      <c r="UIM109" s="32"/>
      <c r="UIN109" s="32"/>
      <c r="UIO109" s="32"/>
      <c r="UIP109" s="32"/>
      <c r="UIQ109" s="32"/>
      <c r="UIR109" s="32"/>
      <c r="UIS109" s="32"/>
      <c r="UIT109" s="32"/>
      <c r="UIU109" s="32"/>
      <c r="UIV109" s="32"/>
      <c r="UIW109" s="32"/>
      <c r="UIX109" s="32"/>
      <c r="UIY109" s="32"/>
      <c r="UIZ109" s="32"/>
      <c r="UJA109" s="32"/>
      <c r="UJB109" s="32"/>
      <c r="UJC109" s="32"/>
      <c r="UJD109" s="32"/>
      <c r="UJE109" s="32"/>
      <c r="UJF109" s="32"/>
      <c r="UJG109" s="32"/>
      <c r="UJH109" s="32"/>
      <c r="UJI109" s="32"/>
      <c r="UJJ109" s="32"/>
      <c r="UJK109" s="32"/>
      <c r="UJL109" s="32"/>
      <c r="UJM109" s="32"/>
      <c r="UJN109" s="32"/>
      <c r="UJO109" s="32"/>
      <c r="UJP109" s="32"/>
      <c r="UJQ109" s="32"/>
      <c r="UJR109" s="32"/>
      <c r="UJS109" s="32"/>
      <c r="UJT109" s="32"/>
      <c r="UJU109" s="32"/>
      <c r="UJV109" s="32"/>
      <c r="UJW109" s="32"/>
      <c r="UJX109" s="32"/>
      <c r="UJY109" s="32"/>
      <c r="UJZ109" s="32"/>
      <c r="UKA109" s="32"/>
      <c r="UKB109" s="32"/>
      <c r="UKC109" s="32"/>
      <c r="UKD109" s="32"/>
      <c r="UKE109" s="32"/>
      <c r="UKF109" s="32"/>
      <c r="UKG109" s="32"/>
      <c r="UKH109" s="32"/>
      <c r="UKI109" s="32"/>
      <c r="UKJ109" s="32"/>
      <c r="UKK109" s="32"/>
      <c r="UKL109" s="32"/>
      <c r="UKM109" s="32"/>
      <c r="UKN109" s="32"/>
      <c r="UKO109" s="32"/>
      <c r="UKP109" s="32"/>
      <c r="UKQ109" s="32"/>
      <c r="UKR109" s="32"/>
      <c r="UKS109" s="32"/>
      <c r="UKT109" s="32"/>
      <c r="UKU109" s="32"/>
      <c r="UKV109" s="32"/>
      <c r="UKW109" s="32"/>
      <c r="UKX109" s="32"/>
      <c r="UKY109" s="32"/>
      <c r="UKZ109" s="32"/>
      <c r="ULA109" s="32"/>
      <c r="ULB109" s="32"/>
      <c r="ULC109" s="32"/>
      <c r="ULD109" s="32"/>
      <c r="ULE109" s="32"/>
      <c r="ULF109" s="32"/>
      <c r="ULG109" s="32"/>
      <c r="ULH109" s="32"/>
      <c r="ULI109" s="32"/>
      <c r="ULJ109" s="32"/>
      <c r="ULK109" s="32"/>
      <c r="ULL109" s="32"/>
      <c r="ULM109" s="32"/>
      <c r="ULN109" s="32"/>
      <c r="ULO109" s="32"/>
      <c r="ULP109" s="32"/>
      <c r="ULQ109" s="32"/>
      <c r="ULR109" s="32"/>
      <c r="ULS109" s="32"/>
      <c r="ULT109" s="32"/>
      <c r="ULU109" s="32"/>
      <c r="ULV109" s="32"/>
      <c r="ULW109" s="32"/>
      <c r="ULX109" s="32"/>
      <c r="ULY109" s="32"/>
      <c r="ULZ109" s="32"/>
      <c r="UMA109" s="32"/>
      <c r="UMB109" s="32"/>
      <c r="UMC109" s="32"/>
      <c r="UMD109" s="32"/>
      <c r="UME109" s="32"/>
      <c r="UMF109" s="32"/>
      <c r="UMG109" s="32"/>
      <c r="UMH109" s="32"/>
      <c r="UMI109" s="32"/>
      <c r="UMJ109" s="32"/>
      <c r="UMK109" s="32"/>
      <c r="UML109" s="32"/>
      <c r="UMM109" s="32"/>
      <c r="UMN109" s="32"/>
      <c r="UMO109" s="32"/>
      <c r="UMP109" s="32"/>
      <c r="UMQ109" s="32"/>
      <c r="UMR109" s="32"/>
      <c r="UMS109" s="32"/>
      <c r="UMT109" s="32"/>
      <c r="UMU109" s="32"/>
      <c r="UMV109" s="32"/>
      <c r="UMW109" s="32"/>
      <c r="UMX109" s="32"/>
      <c r="UMY109" s="32"/>
      <c r="UMZ109" s="32"/>
      <c r="UNA109" s="32"/>
      <c r="UNB109" s="32"/>
      <c r="UNC109" s="32"/>
      <c r="UND109" s="32"/>
      <c r="UNE109" s="32"/>
      <c r="UNF109" s="32"/>
      <c r="UNG109" s="32"/>
      <c r="UNH109" s="32"/>
      <c r="UNI109" s="32"/>
      <c r="UNJ109" s="32"/>
      <c r="UNK109" s="32"/>
      <c r="UNL109" s="32"/>
      <c r="UNM109" s="32"/>
      <c r="UNN109" s="32"/>
      <c r="UNO109" s="32"/>
      <c r="UNP109" s="32"/>
      <c r="UNQ109" s="32"/>
      <c r="UNR109" s="32"/>
      <c r="UNS109" s="32"/>
      <c r="UNT109" s="32"/>
      <c r="UNU109" s="32"/>
      <c r="UNV109" s="32"/>
      <c r="UNW109" s="32"/>
      <c r="UNX109" s="32"/>
      <c r="UNY109" s="32"/>
      <c r="UNZ109" s="32"/>
      <c r="UOA109" s="32"/>
      <c r="UOB109" s="32"/>
      <c r="UOC109" s="32"/>
      <c r="UOD109" s="32"/>
      <c r="UOE109" s="32"/>
      <c r="UOF109" s="32"/>
      <c r="UOG109" s="32"/>
      <c r="UOH109" s="32"/>
      <c r="UOI109" s="32"/>
      <c r="UOJ109" s="32"/>
      <c r="UOK109" s="32"/>
      <c r="UOL109" s="32"/>
      <c r="UOM109" s="32"/>
      <c r="UON109" s="32"/>
      <c r="UOO109" s="32"/>
      <c r="UOP109" s="32"/>
      <c r="UOQ109" s="32"/>
      <c r="UOR109" s="32"/>
      <c r="UOS109" s="32"/>
      <c r="UOT109" s="32"/>
      <c r="UOU109" s="32"/>
      <c r="UOV109" s="32"/>
      <c r="UOW109" s="32"/>
      <c r="UOX109" s="32"/>
      <c r="UOY109" s="32"/>
      <c r="UOZ109" s="32"/>
      <c r="UPA109" s="32"/>
      <c r="UPB109" s="32"/>
      <c r="UPC109" s="32"/>
      <c r="UPD109" s="32"/>
      <c r="UPE109" s="32"/>
      <c r="UPF109" s="32"/>
      <c r="UPG109" s="32"/>
      <c r="UPH109" s="32"/>
      <c r="UPI109" s="32"/>
      <c r="UPJ109" s="32"/>
      <c r="UPK109" s="32"/>
      <c r="UPL109" s="32"/>
      <c r="UPM109" s="32"/>
      <c r="UPN109" s="32"/>
      <c r="UPO109" s="32"/>
      <c r="UPP109" s="32"/>
      <c r="UPQ109" s="32"/>
      <c r="UPR109" s="32"/>
      <c r="UPS109" s="32"/>
      <c r="UPT109" s="32"/>
      <c r="UPU109" s="32"/>
      <c r="UPV109" s="32"/>
      <c r="UPW109" s="32"/>
      <c r="UPX109" s="32"/>
      <c r="UPY109" s="32"/>
      <c r="UPZ109" s="32"/>
      <c r="UQA109" s="32"/>
      <c r="UQB109" s="32"/>
      <c r="UQC109" s="32"/>
      <c r="UQD109" s="32"/>
      <c r="UQE109" s="32"/>
      <c r="UQF109" s="32"/>
      <c r="UQG109" s="32"/>
      <c r="UQH109" s="32"/>
      <c r="UQI109" s="32"/>
      <c r="UQJ109" s="32"/>
      <c r="UQK109" s="32"/>
      <c r="UQL109" s="32"/>
      <c r="UQM109" s="32"/>
      <c r="UQN109" s="32"/>
      <c r="UQO109" s="32"/>
      <c r="UQP109" s="32"/>
      <c r="UQQ109" s="32"/>
      <c r="UQR109" s="32"/>
      <c r="UQS109" s="32"/>
      <c r="UQT109" s="32"/>
      <c r="UQU109" s="32"/>
      <c r="UQV109" s="32"/>
      <c r="UQW109" s="32"/>
      <c r="UQX109" s="32"/>
      <c r="UQY109" s="32"/>
      <c r="UQZ109" s="32"/>
      <c r="URA109" s="32"/>
      <c r="URB109" s="32"/>
      <c r="URC109" s="32"/>
      <c r="URD109" s="32"/>
      <c r="URE109" s="32"/>
      <c r="URF109" s="32"/>
      <c r="URG109" s="32"/>
      <c r="URH109" s="32"/>
      <c r="URI109" s="32"/>
      <c r="URJ109" s="32"/>
      <c r="URK109" s="32"/>
      <c r="URL109" s="32"/>
      <c r="URM109" s="32"/>
      <c r="URN109" s="32"/>
      <c r="URO109" s="32"/>
      <c r="URP109" s="32"/>
      <c r="URQ109" s="32"/>
      <c r="URR109" s="32"/>
      <c r="URS109" s="32"/>
      <c r="URT109" s="32"/>
      <c r="URU109" s="32"/>
      <c r="URV109" s="32"/>
      <c r="URW109" s="32"/>
      <c r="URX109" s="32"/>
      <c r="URY109" s="32"/>
      <c r="URZ109" s="32"/>
      <c r="USA109" s="32"/>
      <c r="USB109" s="32"/>
      <c r="USC109" s="32"/>
      <c r="USD109" s="32"/>
      <c r="USE109" s="32"/>
      <c r="USF109" s="32"/>
      <c r="USG109" s="32"/>
      <c r="USH109" s="32"/>
      <c r="USI109" s="32"/>
      <c r="USJ109" s="32"/>
      <c r="USK109" s="32"/>
      <c r="USL109" s="32"/>
      <c r="USM109" s="32"/>
      <c r="USN109" s="32"/>
      <c r="USO109" s="32"/>
      <c r="USP109" s="32"/>
      <c r="USQ109" s="32"/>
      <c r="USR109" s="32"/>
      <c r="USS109" s="32"/>
      <c r="UST109" s="32"/>
      <c r="USU109" s="32"/>
      <c r="USV109" s="32"/>
      <c r="USW109" s="32"/>
      <c r="USX109" s="32"/>
      <c r="USY109" s="32"/>
      <c r="USZ109" s="32"/>
      <c r="UTA109" s="32"/>
      <c r="UTB109" s="32"/>
      <c r="UTC109" s="32"/>
      <c r="UTD109" s="32"/>
      <c r="UTE109" s="32"/>
      <c r="UTF109" s="32"/>
      <c r="UTG109" s="32"/>
      <c r="UTH109" s="32"/>
      <c r="UTI109" s="32"/>
      <c r="UTJ109" s="32"/>
      <c r="UTK109" s="32"/>
      <c r="UTL109" s="32"/>
      <c r="UTM109" s="32"/>
      <c r="UTN109" s="32"/>
      <c r="UTO109" s="32"/>
      <c r="UTP109" s="32"/>
      <c r="UTQ109" s="32"/>
      <c r="UTR109" s="32"/>
      <c r="UTS109" s="32"/>
      <c r="UTT109" s="32"/>
      <c r="UTU109" s="32"/>
      <c r="UTV109" s="32"/>
      <c r="UTW109" s="32"/>
      <c r="UTX109" s="32"/>
      <c r="UTY109" s="32"/>
      <c r="UTZ109" s="32"/>
      <c r="UUA109" s="32"/>
      <c r="UUB109" s="32"/>
      <c r="UUC109" s="32"/>
      <c r="UUD109" s="32"/>
      <c r="UUE109" s="32"/>
      <c r="UUF109" s="32"/>
      <c r="UUG109" s="32"/>
      <c r="UUH109" s="32"/>
      <c r="UUI109" s="32"/>
      <c r="UUJ109" s="32"/>
      <c r="UUK109" s="32"/>
      <c r="UUL109" s="32"/>
      <c r="UUM109" s="32"/>
      <c r="UUN109" s="32"/>
      <c r="UUO109" s="32"/>
      <c r="UUP109" s="32"/>
      <c r="UUQ109" s="32"/>
      <c r="UUR109" s="32"/>
      <c r="UUS109" s="32"/>
      <c r="UUT109" s="32"/>
      <c r="UUU109" s="32"/>
      <c r="UUV109" s="32"/>
      <c r="UUW109" s="32"/>
      <c r="UUX109" s="32"/>
      <c r="UUY109" s="32"/>
      <c r="UUZ109" s="32"/>
      <c r="UVA109" s="32"/>
      <c r="UVB109" s="32"/>
      <c r="UVC109" s="32"/>
      <c r="UVD109" s="32"/>
      <c r="UVE109" s="32"/>
      <c r="UVF109" s="32"/>
      <c r="UVG109" s="32"/>
      <c r="UVH109" s="32"/>
      <c r="UVI109" s="32"/>
      <c r="UVJ109" s="32"/>
      <c r="UVK109" s="32"/>
      <c r="UVL109" s="32"/>
      <c r="UVM109" s="32"/>
      <c r="UVN109" s="32"/>
      <c r="UVO109" s="32"/>
      <c r="UVP109" s="32"/>
      <c r="UVQ109" s="32"/>
      <c r="UVR109" s="32"/>
      <c r="UVS109" s="32"/>
      <c r="UVT109" s="32"/>
      <c r="UVU109" s="32"/>
      <c r="UVV109" s="32"/>
      <c r="UVW109" s="32"/>
      <c r="UVX109" s="32"/>
      <c r="UVY109" s="32"/>
      <c r="UVZ109" s="32"/>
      <c r="UWA109" s="32"/>
      <c r="UWB109" s="32"/>
      <c r="UWC109" s="32"/>
      <c r="UWD109" s="32"/>
      <c r="UWE109" s="32"/>
      <c r="UWF109" s="32"/>
      <c r="UWG109" s="32"/>
      <c r="UWH109" s="32"/>
      <c r="UWI109" s="32"/>
      <c r="UWJ109" s="32"/>
      <c r="UWK109" s="32"/>
      <c r="UWL109" s="32"/>
      <c r="UWM109" s="32"/>
      <c r="UWN109" s="32"/>
      <c r="UWO109" s="32"/>
      <c r="UWP109" s="32"/>
      <c r="UWQ109" s="32"/>
      <c r="UWR109" s="32"/>
      <c r="UWS109" s="32"/>
      <c r="UWT109" s="32"/>
      <c r="UWU109" s="32"/>
      <c r="UWV109" s="32"/>
      <c r="UWW109" s="32"/>
      <c r="UWX109" s="32"/>
      <c r="UWY109" s="32"/>
      <c r="UWZ109" s="32"/>
      <c r="UXA109" s="32"/>
      <c r="UXB109" s="32"/>
      <c r="UXC109" s="32"/>
      <c r="UXD109" s="32"/>
      <c r="UXE109" s="32"/>
      <c r="UXF109" s="32"/>
      <c r="UXG109" s="32"/>
      <c r="UXH109" s="32"/>
      <c r="UXI109" s="32"/>
      <c r="UXJ109" s="32"/>
      <c r="UXK109" s="32"/>
      <c r="UXL109" s="32"/>
      <c r="UXM109" s="32"/>
      <c r="UXN109" s="32"/>
      <c r="UXO109" s="32"/>
      <c r="UXP109" s="32"/>
      <c r="UXQ109" s="32"/>
      <c r="UXR109" s="32"/>
      <c r="UXS109" s="32"/>
      <c r="UXT109" s="32"/>
      <c r="UXU109" s="32"/>
      <c r="UXV109" s="32"/>
      <c r="UXW109" s="32"/>
      <c r="UXX109" s="32"/>
      <c r="UXY109" s="32"/>
      <c r="UXZ109" s="32"/>
      <c r="UYA109" s="32"/>
      <c r="UYB109" s="32"/>
      <c r="UYC109" s="32"/>
      <c r="UYD109" s="32"/>
      <c r="UYE109" s="32"/>
      <c r="UYF109" s="32"/>
      <c r="UYG109" s="32"/>
      <c r="UYH109" s="32"/>
      <c r="UYI109" s="32"/>
      <c r="UYJ109" s="32"/>
      <c r="UYK109" s="32"/>
      <c r="UYL109" s="32"/>
      <c r="UYM109" s="32"/>
      <c r="UYN109" s="32"/>
      <c r="UYO109" s="32"/>
      <c r="UYP109" s="32"/>
      <c r="UYQ109" s="32"/>
      <c r="UYR109" s="32"/>
      <c r="UYS109" s="32"/>
      <c r="UYT109" s="32"/>
      <c r="UYU109" s="32"/>
      <c r="UYV109" s="32"/>
      <c r="UYW109" s="32"/>
      <c r="UYX109" s="32"/>
      <c r="UYY109" s="32"/>
      <c r="UYZ109" s="32"/>
      <c r="UZA109" s="32"/>
      <c r="UZB109" s="32"/>
      <c r="UZC109" s="32"/>
      <c r="UZD109" s="32"/>
      <c r="UZE109" s="32"/>
      <c r="UZF109" s="32"/>
      <c r="UZG109" s="32"/>
      <c r="UZH109" s="32"/>
      <c r="UZI109" s="32"/>
      <c r="UZJ109" s="32"/>
      <c r="UZK109" s="32"/>
      <c r="UZL109" s="32"/>
      <c r="UZM109" s="32"/>
      <c r="UZN109" s="32"/>
      <c r="UZO109" s="32"/>
      <c r="UZP109" s="32"/>
      <c r="UZQ109" s="32"/>
      <c r="UZR109" s="32"/>
      <c r="UZS109" s="32"/>
      <c r="UZT109" s="32"/>
      <c r="UZU109" s="32"/>
      <c r="UZV109" s="32"/>
      <c r="UZW109" s="32"/>
      <c r="UZX109" s="32"/>
      <c r="UZY109" s="32"/>
      <c r="UZZ109" s="32"/>
      <c r="VAA109" s="32"/>
      <c r="VAB109" s="32"/>
      <c r="VAC109" s="32"/>
      <c r="VAD109" s="32"/>
      <c r="VAE109" s="32"/>
      <c r="VAF109" s="32"/>
      <c r="VAG109" s="32"/>
      <c r="VAH109" s="32"/>
      <c r="VAI109" s="32"/>
      <c r="VAJ109" s="32"/>
      <c r="VAK109" s="32"/>
      <c r="VAL109" s="32"/>
      <c r="VAM109" s="32"/>
      <c r="VAN109" s="32"/>
      <c r="VAO109" s="32"/>
      <c r="VAP109" s="32"/>
      <c r="VAQ109" s="32"/>
      <c r="VAR109" s="32"/>
      <c r="VAS109" s="32"/>
      <c r="VAT109" s="32"/>
      <c r="VAU109" s="32"/>
      <c r="VAV109" s="32"/>
      <c r="VAW109" s="32"/>
      <c r="VAX109" s="32"/>
      <c r="VAY109" s="32"/>
      <c r="VAZ109" s="32"/>
      <c r="VBA109" s="32"/>
      <c r="VBB109" s="32"/>
      <c r="VBC109" s="32"/>
      <c r="VBD109" s="32"/>
      <c r="VBE109" s="32"/>
      <c r="VBF109" s="32"/>
      <c r="VBG109" s="32"/>
      <c r="VBH109" s="32"/>
      <c r="VBI109" s="32"/>
      <c r="VBJ109" s="32"/>
      <c r="VBK109" s="32"/>
      <c r="VBL109" s="32"/>
      <c r="VBM109" s="32"/>
      <c r="VBN109" s="32"/>
      <c r="VBO109" s="32"/>
      <c r="VBP109" s="32"/>
      <c r="VBQ109" s="32"/>
      <c r="VBR109" s="32"/>
      <c r="VBS109" s="32"/>
      <c r="VBT109" s="32"/>
      <c r="VBU109" s="32"/>
      <c r="VBV109" s="32"/>
      <c r="VBW109" s="32"/>
      <c r="VBX109" s="32"/>
      <c r="VBY109" s="32"/>
      <c r="VBZ109" s="32"/>
      <c r="VCA109" s="32"/>
      <c r="VCB109" s="32"/>
      <c r="VCC109" s="32"/>
      <c r="VCD109" s="32"/>
      <c r="VCE109" s="32"/>
      <c r="VCF109" s="32"/>
      <c r="VCG109" s="32"/>
      <c r="VCH109" s="32"/>
      <c r="VCI109" s="32"/>
      <c r="VCJ109" s="32"/>
      <c r="VCK109" s="32"/>
      <c r="VCL109" s="32"/>
      <c r="VCM109" s="32"/>
      <c r="VCN109" s="32"/>
      <c r="VCO109" s="32"/>
      <c r="VCP109" s="32"/>
      <c r="VCQ109" s="32"/>
      <c r="VCR109" s="32"/>
      <c r="VCS109" s="32"/>
      <c r="VCT109" s="32"/>
      <c r="VCU109" s="32"/>
      <c r="VCV109" s="32"/>
      <c r="VCW109" s="32"/>
      <c r="VCX109" s="32"/>
      <c r="VCY109" s="32"/>
      <c r="VCZ109" s="32"/>
      <c r="VDA109" s="32"/>
      <c r="VDB109" s="32"/>
      <c r="VDC109" s="32"/>
      <c r="VDD109" s="32"/>
      <c r="VDE109" s="32"/>
      <c r="VDF109" s="32"/>
      <c r="VDG109" s="32"/>
      <c r="VDH109" s="32"/>
      <c r="VDI109" s="32"/>
      <c r="VDJ109" s="32"/>
      <c r="VDK109" s="32"/>
      <c r="VDL109" s="32"/>
      <c r="VDM109" s="32"/>
      <c r="VDN109" s="32"/>
      <c r="VDO109" s="32"/>
      <c r="VDP109" s="32"/>
      <c r="VDQ109" s="32"/>
      <c r="VDR109" s="32"/>
      <c r="VDS109" s="32"/>
      <c r="VDT109" s="32"/>
      <c r="VDU109" s="32"/>
      <c r="VDV109" s="32"/>
      <c r="VDW109" s="32"/>
      <c r="VDX109" s="32"/>
      <c r="VDY109" s="32"/>
      <c r="VDZ109" s="32"/>
      <c r="VEA109" s="32"/>
      <c r="VEB109" s="32"/>
      <c r="VEC109" s="32"/>
      <c r="VED109" s="32"/>
      <c r="VEE109" s="32"/>
      <c r="VEF109" s="32"/>
      <c r="VEG109" s="32"/>
      <c r="VEH109" s="32"/>
      <c r="VEI109" s="32"/>
      <c r="VEJ109" s="32"/>
      <c r="VEK109" s="32"/>
      <c r="VEL109" s="32"/>
      <c r="VEM109" s="32"/>
      <c r="VEN109" s="32"/>
      <c r="VEO109" s="32"/>
      <c r="VEP109" s="32"/>
      <c r="VEQ109" s="32"/>
      <c r="VER109" s="32"/>
      <c r="VES109" s="32"/>
      <c r="VET109" s="32"/>
      <c r="VEU109" s="32"/>
      <c r="VEV109" s="32"/>
      <c r="VEW109" s="32"/>
      <c r="VEX109" s="32"/>
      <c r="VEY109" s="32"/>
      <c r="VEZ109" s="32"/>
      <c r="VFA109" s="32"/>
      <c r="VFB109" s="32"/>
      <c r="VFC109" s="32"/>
      <c r="VFD109" s="32"/>
      <c r="VFE109" s="32"/>
      <c r="VFF109" s="32"/>
      <c r="VFG109" s="32"/>
      <c r="VFH109" s="32"/>
      <c r="VFI109" s="32"/>
      <c r="VFJ109" s="32"/>
      <c r="VFK109" s="32"/>
      <c r="VFL109" s="32"/>
      <c r="VFM109" s="32"/>
      <c r="VFN109" s="32"/>
      <c r="VFO109" s="32"/>
      <c r="VFP109" s="32"/>
      <c r="VFQ109" s="32"/>
      <c r="VFR109" s="32"/>
      <c r="VFS109" s="32"/>
      <c r="VFT109" s="32"/>
      <c r="VFU109" s="32"/>
      <c r="VFV109" s="32"/>
      <c r="VFW109" s="32"/>
      <c r="VFX109" s="32"/>
      <c r="VFY109" s="32"/>
      <c r="VFZ109" s="32"/>
      <c r="VGA109" s="32"/>
      <c r="VGB109" s="32"/>
      <c r="VGC109" s="32"/>
      <c r="VGD109" s="32"/>
      <c r="VGE109" s="32"/>
      <c r="VGF109" s="32"/>
      <c r="VGG109" s="32"/>
      <c r="VGH109" s="32"/>
      <c r="VGI109" s="32"/>
      <c r="VGJ109" s="32"/>
      <c r="VGK109" s="32"/>
      <c r="VGL109" s="32"/>
      <c r="VGM109" s="32"/>
      <c r="VGN109" s="32"/>
      <c r="VGO109" s="32"/>
      <c r="VGP109" s="32"/>
      <c r="VGQ109" s="32"/>
      <c r="VGR109" s="32"/>
      <c r="VGS109" s="32"/>
      <c r="VGT109" s="32"/>
      <c r="VGU109" s="32"/>
      <c r="VGV109" s="32"/>
      <c r="VGW109" s="32"/>
      <c r="VGX109" s="32"/>
      <c r="VGY109" s="32"/>
      <c r="VGZ109" s="32"/>
      <c r="VHA109" s="32"/>
      <c r="VHB109" s="32"/>
      <c r="VHC109" s="32"/>
      <c r="VHD109" s="32"/>
      <c r="VHE109" s="32"/>
      <c r="VHF109" s="32"/>
      <c r="VHG109" s="32"/>
      <c r="VHH109" s="32"/>
      <c r="VHI109" s="32"/>
      <c r="VHJ109" s="32"/>
      <c r="VHK109" s="32"/>
      <c r="VHL109" s="32"/>
      <c r="VHM109" s="32"/>
      <c r="VHN109" s="32"/>
      <c r="VHO109" s="32"/>
      <c r="VHP109" s="32"/>
      <c r="VHQ109" s="32"/>
      <c r="VHR109" s="32"/>
      <c r="VHS109" s="32"/>
      <c r="VHT109" s="32"/>
      <c r="VHU109" s="32"/>
      <c r="VHV109" s="32"/>
      <c r="VHW109" s="32"/>
      <c r="VHX109" s="32"/>
      <c r="VHY109" s="32"/>
      <c r="VHZ109" s="32"/>
      <c r="VIA109" s="32"/>
      <c r="VIB109" s="32"/>
      <c r="VIC109" s="32"/>
      <c r="VID109" s="32"/>
      <c r="VIE109" s="32"/>
      <c r="VIF109" s="32"/>
      <c r="VIG109" s="32"/>
      <c r="VIH109" s="32"/>
      <c r="VII109" s="32"/>
      <c r="VIJ109" s="32"/>
      <c r="VIK109" s="32"/>
      <c r="VIL109" s="32"/>
      <c r="VIM109" s="32"/>
      <c r="VIN109" s="32"/>
      <c r="VIO109" s="32"/>
      <c r="VIP109" s="32"/>
      <c r="VIQ109" s="32"/>
      <c r="VIR109" s="32"/>
      <c r="VIS109" s="32"/>
      <c r="VIT109" s="32"/>
      <c r="VIU109" s="32"/>
      <c r="VIV109" s="32"/>
      <c r="VIW109" s="32"/>
      <c r="VIX109" s="32"/>
      <c r="VIY109" s="32"/>
      <c r="VIZ109" s="32"/>
      <c r="VJA109" s="32"/>
      <c r="VJB109" s="32"/>
      <c r="VJC109" s="32"/>
      <c r="VJD109" s="32"/>
      <c r="VJE109" s="32"/>
      <c r="VJF109" s="32"/>
      <c r="VJG109" s="32"/>
      <c r="VJH109" s="32"/>
      <c r="VJI109" s="32"/>
      <c r="VJJ109" s="32"/>
      <c r="VJK109" s="32"/>
      <c r="VJL109" s="32"/>
      <c r="VJM109" s="32"/>
      <c r="VJN109" s="32"/>
      <c r="VJO109" s="32"/>
      <c r="VJP109" s="32"/>
      <c r="VJQ109" s="32"/>
      <c r="VJR109" s="32"/>
      <c r="VJS109" s="32"/>
      <c r="VJT109" s="32"/>
      <c r="VJU109" s="32"/>
      <c r="VJV109" s="32"/>
      <c r="VJW109" s="32"/>
      <c r="VJX109" s="32"/>
      <c r="VJY109" s="32"/>
      <c r="VJZ109" s="32"/>
      <c r="VKA109" s="32"/>
      <c r="VKB109" s="32"/>
      <c r="VKC109" s="32"/>
      <c r="VKD109" s="32"/>
      <c r="VKE109" s="32"/>
      <c r="VKF109" s="32"/>
      <c r="VKG109" s="32"/>
      <c r="VKH109" s="32"/>
      <c r="VKI109" s="32"/>
      <c r="VKJ109" s="32"/>
      <c r="VKK109" s="32"/>
      <c r="VKL109" s="32"/>
      <c r="VKM109" s="32"/>
      <c r="VKN109" s="32"/>
      <c r="VKO109" s="32"/>
      <c r="VKP109" s="32"/>
      <c r="VKQ109" s="32"/>
      <c r="VKR109" s="32"/>
      <c r="VKS109" s="32"/>
      <c r="VKT109" s="32"/>
      <c r="VKU109" s="32"/>
      <c r="VKV109" s="32"/>
      <c r="VKW109" s="32"/>
      <c r="VKX109" s="32"/>
      <c r="VKY109" s="32"/>
      <c r="VKZ109" s="32"/>
      <c r="VLA109" s="32"/>
      <c r="VLB109" s="32"/>
      <c r="VLC109" s="32"/>
      <c r="VLD109" s="32"/>
      <c r="VLE109" s="32"/>
      <c r="VLF109" s="32"/>
      <c r="VLG109" s="32"/>
      <c r="VLH109" s="32"/>
      <c r="VLI109" s="32"/>
      <c r="VLJ109" s="32"/>
      <c r="VLK109" s="32"/>
      <c r="VLL109" s="32"/>
      <c r="VLM109" s="32"/>
      <c r="VLN109" s="32"/>
      <c r="VLO109" s="32"/>
      <c r="VLP109" s="32"/>
      <c r="VLQ109" s="32"/>
      <c r="VLR109" s="32"/>
      <c r="VLS109" s="32"/>
      <c r="VLT109" s="32"/>
      <c r="VLU109" s="32"/>
      <c r="VLV109" s="32"/>
      <c r="VLW109" s="32"/>
      <c r="VLX109" s="32"/>
      <c r="VLY109" s="32"/>
      <c r="VLZ109" s="32"/>
      <c r="VMA109" s="32"/>
      <c r="VMB109" s="32"/>
      <c r="VMC109" s="32"/>
      <c r="VMD109" s="32"/>
      <c r="VME109" s="32"/>
      <c r="VMF109" s="32"/>
      <c r="VMG109" s="32"/>
      <c r="VMH109" s="32"/>
      <c r="VMI109" s="32"/>
      <c r="VMJ109" s="32"/>
      <c r="VMK109" s="32"/>
      <c r="VML109" s="32"/>
      <c r="VMM109" s="32"/>
      <c r="VMN109" s="32"/>
      <c r="VMO109" s="32"/>
      <c r="VMP109" s="32"/>
      <c r="VMQ109" s="32"/>
      <c r="VMR109" s="32"/>
      <c r="VMS109" s="32"/>
      <c r="VMT109" s="32"/>
      <c r="VMU109" s="32"/>
      <c r="VMV109" s="32"/>
      <c r="VMW109" s="32"/>
      <c r="VMX109" s="32"/>
      <c r="VMY109" s="32"/>
      <c r="VMZ109" s="32"/>
      <c r="VNA109" s="32"/>
      <c r="VNB109" s="32"/>
      <c r="VNC109" s="32"/>
      <c r="VND109" s="32"/>
      <c r="VNE109" s="32"/>
      <c r="VNF109" s="32"/>
      <c r="VNG109" s="32"/>
      <c r="VNH109" s="32"/>
      <c r="VNI109" s="32"/>
      <c r="VNJ109" s="32"/>
      <c r="VNK109" s="32"/>
      <c r="VNL109" s="32"/>
      <c r="VNM109" s="32"/>
      <c r="VNN109" s="32"/>
      <c r="VNO109" s="32"/>
      <c r="VNP109" s="32"/>
      <c r="VNQ109" s="32"/>
      <c r="VNR109" s="32"/>
      <c r="VNS109" s="32"/>
      <c r="VNT109" s="32"/>
      <c r="VNU109" s="32"/>
      <c r="VNV109" s="32"/>
      <c r="VNW109" s="32"/>
      <c r="VNX109" s="32"/>
      <c r="VNY109" s="32"/>
      <c r="VNZ109" s="32"/>
      <c r="VOA109" s="32"/>
      <c r="VOB109" s="32"/>
      <c r="VOC109" s="32"/>
      <c r="VOD109" s="32"/>
      <c r="VOE109" s="32"/>
      <c r="VOF109" s="32"/>
      <c r="VOG109" s="32"/>
      <c r="VOH109" s="32"/>
      <c r="VOI109" s="32"/>
      <c r="VOJ109" s="32"/>
      <c r="VOK109" s="32"/>
      <c r="VOL109" s="32"/>
      <c r="VOM109" s="32"/>
      <c r="VON109" s="32"/>
      <c r="VOO109" s="32"/>
      <c r="VOP109" s="32"/>
      <c r="VOQ109" s="32"/>
      <c r="VOR109" s="32"/>
      <c r="VOS109" s="32"/>
      <c r="VOT109" s="32"/>
      <c r="VOU109" s="32"/>
      <c r="VOV109" s="32"/>
      <c r="VOW109" s="32"/>
      <c r="VOX109" s="32"/>
      <c r="VOY109" s="32"/>
      <c r="VOZ109" s="32"/>
      <c r="VPA109" s="32"/>
      <c r="VPB109" s="32"/>
      <c r="VPC109" s="32"/>
      <c r="VPD109" s="32"/>
      <c r="VPE109" s="32"/>
      <c r="VPF109" s="32"/>
      <c r="VPG109" s="32"/>
      <c r="VPH109" s="32"/>
      <c r="VPI109" s="32"/>
      <c r="VPJ109" s="32"/>
      <c r="VPK109" s="32"/>
      <c r="VPL109" s="32"/>
      <c r="VPM109" s="32"/>
      <c r="VPN109" s="32"/>
      <c r="VPO109" s="32"/>
      <c r="VPP109" s="32"/>
      <c r="VPQ109" s="32"/>
      <c r="VPR109" s="32"/>
      <c r="VPS109" s="32"/>
      <c r="VPT109" s="32"/>
      <c r="VPU109" s="32"/>
      <c r="VPV109" s="32"/>
      <c r="VPW109" s="32"/>
      <c r="VPX109" s="32"/>
      <c r="VPY109" s="32"/>
      <c r="VPZ109" s="32"/>
      <c r="VQA109" s="32"/>
      <c r="VQB109" s="32"/>
      <c r="VQC109" s="32"/>
      <c r="VQD109" s="32"/>
      <c r="VQE109" s="32"/>
      <c r="VQF109" s="32"/>
      <c r="VQG109" s="32"/>
      <c r="VQH109" s="32"/>
      <c r="VQI109" s="32"/>
      <c r="VQJ109" s="32"/>
      <c r="VQK109" s="32"/>
      <c r="VQL109" s="32"/>
      <c r="VQM109" s="32"/>
      <c r="VQN109" s="32"/>
      <c r="VQO109" s="32"/>
      <c r="VQP109" s="32"/>
      <c r="VQQ109" s="32"/>
      <c r="VQR109" s="32"/>
      <c r="VQS109" s="32"/>
      <c r="VQT109" s="32"/>
      <c r="VQU109" s="32"/>
      <c r="VQV109" s="32"/>
      <c r="VQW109" s="32"/>
      <c r="VQX109" s="32"/>
      <c r="VQY109" s="32"/>
      <c r="VQZ109" s="32"/>
      <c r="VRA109" s="32"/>
      <c r="VRB109" s="32"/>
      <c r="VRC109" s="32"/>
      <c r="VRD109" s="32"/>
      <c r="VRE109" s="32"/>
      <c r="VRF109" s="32"/>
      <c r="VRG109" s="32"/>
      <c r="VRH109" s="32"/>
      <c r="VRI109" s="32"/>
      <c r="VRJ109" s="32"/>
      <c r="VRK109" s="32"/>
      <c r="VRL109" s="32"/>
      <c r="VRM109" s="32"/>
      <c r="VRN109" s="32"/>
      <c r="VRO109" s="32"/>
      <c r="VRP109" s="32"/>
      <c r="VRQ109" s="32"/>
      <c r="VRR109" s="32"/>
      <c r="VRS109" s="32"/>
      <c r="VRT109" s="32"/>
      <c r="VRU109" s="32"/>
      <c r="VRV109" s="32"/>
      <c r="VRW109" s="32"/>
      <c r="VRX109" s="32"/>
      <c r="VRY109" s="32"/>
      <c r="VRZ109" s="32"/>
      <c r="VSA109" s="32"/>
      <c r="VSB109" s="32"/>
      <c r="VSC109" s="32"/>
      <c r="VSD109" s="32"/>
      <c r="VSE109" s="32"/>
      <c r="VSF109" s="32"/>
      <c r="VSG109" s="32"/>
      <c r="VSH109" s="32"/>
      <c r="VSI109" s="32"/>
      <c r="VSJ109" s="32"/>
      <c r="VSK109" s="32"/>
      <c r="VSL109" s="32"/>
      <c r="VSM109" s="32"/>
      <c r="VSN109" s="32"/>
      <c r="VSO109" s="32"/>
      <c r="VSP109" s="32"/>
      <c r="VSQ109" s="32"/>
      <c r="VSR109" s="32"/>
      <c r="VSS109" s="32"/>
      <c r="VST109" s="32"/>
      <c r="VSU109" s="32"/>
      <c r="VSV109" s="32"/>
      <c r="VSW109" s="32"/>
      <c r="VSX109" s="32"/>
      <c r="VSY109" s="32"/>
      <c r="VSZ109" s="32"/>
      <c r="VTA109" s="32"/>
      <c r="VTB109" s="32"/>
      <c r="VTC109" s="32"/>
      <c r="VTD109" s="32"/>
      <c r="VTE109" s="32"/>
      <c r="VTF109" s="32"/>
      <c r="VTG109" s="32"/>
      <c r="VTH109" s="32"/>
      <c r="VTI109" s="32"/>
      <c r="VTJ109" s="32"/>
      <c r="VTK109" s="32"/>
      <c r="VTL109" s="32"/>
      <c r="VTM109" s="32"/>
      <c r="VTN109" s="32"/>
      <c r="VTO109" s="32"/>
      <c r="VTP109" s="32"/>
      <c r="VTQ109" s="32"/>
      <c r="VTR109" s="32"/>
      <c r="VTS109" s="32"/>
      <c r="VTT109" s="32"/>
      <c r="VTU109" s="32"/>
      <c r="VTV109" s="32"/>
      <c r="VTW109" s="32"/>
      <c r="VTX109" s="32"/>
      <c r="VTY109" s="32"/>
      <c r="VTZ109" s="32"/>
      <c r="VUA109" s="32"/>
      <c r="VUB109" s="32"/>
      <c r="VUC109" s="32"/>
      <c r="VUD109" s="32"/>
      <c r="VUE109" s="32"/>
      <c r="VUF109" s="32"/>
      <c r="VUG109" s="32"/>
      <c r="VUH109" s="32"/>
      <c r="VUI109" s="32"/>
      <c r="VUJ109" s="32"/>
      <c r="VUK109" s="32"/>
      <c r="VUL109" s="32"/>
      <c r="VUM109" s="32"/>
      <c r="VUN109" s="32"/>
      <c r="VUO109" s="32"/>
      <c r="VUP109" s="32"/>
      <c r="VUQ109" s="32"/>
      <c r="VUR109" s="32"/>
      <c r="VUS109" s="32"/>
      <c r="VUT109" s="32"/>
      <c r="VUU109" s="32"/>
      <c r="VUV109" s="32"/>
      <c r="VUW109" s="32"/>
      <c r="VUX109" s="32"/>
      <c r="VUY109" s="32"/>
      <c r="VUZ109" s="32"/>
      <c r="VVA109" s="32"/>
      <c r="VVB109" s="32"/>
      <c r="VVC109" s="32"/>
      <c r="VVD109" s="32"/>
      <c r="VVE109" s="32"/>
      <c r="VVF109" s="32"/>
      <c r="VVG109" s="32"/>
      <c r="VVH109" s="32"/>
      <c r="VVI109" s="32"/>
      <c r="VVJ109" s="32"/>
      <c r="VVK109" s="32"/>
      <c r="VVL109" s="32"/>
      <c r="VVM109" s="32"/>
      <c r="VVN109" s="32"/>
      <c r="VVO109" s="32"/>
      <c r="VVP109" s="32"/>
      <c r="VVQ109" s="32"/>
      <c r="VVR109" s="32"/>
      <c r="VVS109" s="32"/>
      <c r="VVT109" s="32"/>
      <c r="VVU109" s="32"/>
      <c r="VVV109" s="32"/>
      <c r="VVW109" s="32"/>
      <c r="VVX109" s="32"/>
      <c r="VVY109" s="32"/>
      <c r="VVZ109" s="32"/>
      <c r="VWA109" s="32"/>
      <c r="VWB109" s="32"/>
      <c r="VWC109" s="32"/>
      <c r="VWD109" s="32"/>
      <c r="VWE109" s="32"/>
      <c r="VWF109" s="32"/>
      <c r="VWG109" s="32"/>
      <c r="VWH109" s="32"/>
      <c r="VWI109" s="32"/>
      <c r="VWJ109" s="32"/>
      <c r="VWK109" s="32"/>
      <c r="VWL109" s="32"/>
      <c r="VWM109" s="32"/>
      <c r="VWN109" s="32"/>
      <c r="VWO109" s="32"/>
      <c r="VWP109" s="32"/>
      <c r="VWQ109" s="32"/>
      <c r="VWR109" s="32"/>
      <c r="VWS109" s="32"/>
      <c r="VWT109" s="32"/>
      <c r="VWU109" s="32"/>
      <c r="VWV109" s="32"/>
      <c r="VWW109" s="32"/>
      <c r="VWX109" s="32"/>
      <c r="VWY109" s="32"/>
      <c r="VWZ109" s="32"/>
      <c r="VXA109" s="32"/>
      <c r="VXB109" s="32"/>
      <c r="VXC109" s="32"/>
      <c r="VXD109" s="32"/>
      <c r="VXE109" s="32"/>
      <c r="VXF109" s="32"/>
      <c r="VXG109" s="32"/>
      <c r="VXH109" s="32"/>
      <c r="VXI109" s="32"/>
      <c r="VXJ109" s="32"/>
      <c r="VXK109" s="32"/>
      <c r="VXL109" s="32"/>
      <c r="VXM109" s="32"/>
      <c r="VXN109" s="32"/>
      <c r="VXO109" s="32"/>
      <c r="VXP109" s="32"/>
      <c r="VXQ109" s="32"/>
      <c r="VXR109" s="32"/>
      <c r="VXS109" s="32"/>
      <c r="VXT109" s="32"/>
      <c r="VXU109" s="32"/>
      <c r="VXV109" s="32"/>
      <c r="VXW109" s="32"/>
      <c r="VXX109" s="32"/>
      <c r="VXY109" s="32"/>
      <c r="VXZ109" s="32"/>
      <c r="VYA109" s="32"/>
      <c r="VYB109" s="32"/>
      <c r="VYC109" s="32"/>
      <c r="VYD109" s="32"/>
      <c r="VYE109" s="32"/>
      <c r="VYF109" s="32"/>
      <c r="VYG109" s="32"/>
      <c r="VYH109" s="32"/>
      <c r="VYI109" s="32"/>
      <c r="VYJ109" s="32"/>
      <c r="VYK109" s="32"/>
      <c r="VYL109" s="32"/>
      <c r="VYM109" s="32"/>
      <c r="VYN109" s="32"/>
      <c r="VYO109" s="32"/>
      <c r="VYP109" s="32"/>
      <c r="VYQ109" s="32"/>
      <c r="VYR109" s="32"/>
      <c r="VYS109" s="32"/>
      <c r="VYT109" s="32"/>
      <c r="VYU109" s="32"/>
      <c r="VYV109" s="32"/>
      <c r="VYW109" s="32"/>
      <c r="VYX109" s="32"/>
      <c r="VYY109" s="32"/>
      <c r="VYZ109" s="32"/>
      <c r="VZA109" s="32"/>
      <c r="VZB109" s="32"/>
      <c r="VZC109" s="32"/>
      <c r="VZD109" s="32"/>
      <c r="VZE109" s="32"/>
      <c r="VZF109" s="32"/>
      <c r="VZG109" s="32"/>
      <c r="VZH109" s="32"/>
      <c r="VZI109" s="32"/>
      <c r="VZJ109" s="32"/>
      <c r="VZK109" s="32"/>
      <c r="VZL109" s="32"/>
      <c r="VZM109" s="32"/>
      <c r="VZN109" s="32"/>
      <c r="VZO109" s="32"/>
      <c r="VZP109" s="32"/>
      <c r="VZQ109" s="32"/>
      <c r="VZR109" s="32"/>
      <c r="VZS109" s="32"/>
      <c r="VZT109" s="32"/>
      <c r="VZU109" s="32"/>
      <c r="VZV109" s="32"/>
      <c r="VZW109" s="32"/>
      <c r="VZX109" s="32"/>
      <c r="VZY109" s="32"/>
      <c r="VZZ109" s="32"/>
      <c r="WAA109" s="32"/>
      <c r="WAB109" s="32"/>
      <c r="WAC109" s="32"/>
      <c r="WAD109" s="32"/>
      <c r="WAE109" s="32"/>
      <c r="WAF109" s="32"/>
      <c r="WAG109" s="32"/>
      <c r="WAH109" s="32"/>
      <c r="WAI109" s="32"/>
      <c r="WAJ109" s="32"/>
      <c r="WAK109" s="32"/>
      <c r="WAL109" s="32"/>
      <c r="WAM109" s="32"/>
      <c r="WAN109" s="32"/>
      <c r="WAO109" s="32"/>
      <c r="WAP109" s="32"/>
      <c r="WAQ109" s="32"/>
      <c r="WAR109" s="32"/>
      <c r="WAS109" s="32"/>
      <c r="WAT109" s="32"/>
      <c r="WAU109" s="32"/>
      <c r="WAV109" s="32"/>
      <c r="WAW109" s="32"/>
      <c r="WAX109" s="32"/>
      <c r="WAY109" s="32"/>
      <c r="WAZ109" s="32"/>
      <c r="WBA109" s="32"/>
      <c r="WBB109" s="32"/>
      <c r="WBC109" s="32"/>
      <c r="WBD109" s="32"/>
      <c r="WBE109" s="32"/>
      <c r="WBF109" s="32"/>
      <c r="WBG109" s="32"/>
      <c r="WBH109" s="32"/>
      <c r="WBI109" s="32"/>
      <c r="WBJ109" s="32"/>
      <c r="WBK109" s="32"/>
      <c r="WBL109" s="32"/>
      <c r="WBM109" s="32"/>
      <c r="WBN109" s="32"/>
      <c r="WBO109" s="32"/>
      <c r="WBP109" s="32"/>
      <c r="WBQ109" s="32"/>
      <c r="WBR109" s="32"/>
      <c r="WBS109" s="32"/>
      <c r="WBT109" s="32"/>
      <c r="WBU109" s="32"/>
      <c r="WBV109" s="32"/>
      <c r="WBW109" s="32"/>
      <c r="WBX109" s="32"/>
      <c r="WBY109" s="32"/>
      <c r="WBZ109" s="32"/>
      <c r="WCA109" s="32"/>
      <c r="WCB109" s="32"/>
      <c r="WCC109" s="32"/>
      <c r="WCD109" s="32"/>
      <c r="WCE109" s="32"/>
      <c r="WCF109" s="32"/>
      <c r="WCG109" s="32"/>
      <c r="WCH109" s="32"/>
      <c r="WCI109" s="32"/>
      <c r="WCJ109" s="32"/>
      <c r="WCK109" s="32"/>
      <c r="WCL109" s="32"/>
      <c r="WCM109" s="32"/>
      <c r="WCN109" s="32"/>
      <c r="WCO109" s="32"/>
      <c r="WCP109" s="32"/>
      <c r="WCQ109" s="32"/>
      <c r="WCR109" s="32"/>
      <c r="WCS109" s="32"/>
      <c r="WCT109" s="32"/>
      <c r="WCU109" s="32"/>
      <c r="WCV109" s="32"/>
      <c r="WCW109" s="32"/>
      <c r="WCX109" s="32"/>
      <c r="WCY109" s="32"/>
      <c r="WCZ109" s="32"/>
      <c r="WDA109" s="32"/>
      <c r="WDB109" s="32"/>
      <c r="WDC109" s="32"/>
      <c r="WDD109" s="32"/>
      <c r="WDE109" s="32"/>
      <c r="WDF109" s="32"/>
      <c r="WDG109" s="32"/>
      <c r="WDH109" s="32"/>
      <c r="WDI109" s="32"/>
      <c r="WDJ109" s="32"/>
      <c r="WDK109" s="32"/>
      <c r="WDL109" s="32"/>
      <c r="WDM109" s="32"/>
      <c r="WDN109" s="32"/>
      <c r="WDO109" s="32"/>
      <c r="WDP109" s="32"/>
      <c r="WDQ109" s="32"/>
      <c r="WDR109" s="32"/>
      <c r="WDS109" s="32"/>
      <c r="WDT109" s="32"/>
      <c r="WDU109" s="32"/>
      <c r="WDV109" s="32"/>
      <c r="WDW109" s="32"/>
      <c r="WDX109" s="32"/>
      <c r="WDY109" s="32"/>
      <c r="WDZ109" s="32"/>
      <c r="WEA109" s="32"/>
      <c r="WEB109" s="32"/>
      <c r="WEC109" s="32"/>
      <c r="WED109" s="32"/>
      <c r="WEE109" s="32"/>
      <c r="WEF109" s="32"/>
      <c r="WEG109" s="32"/>
      <c r="WEH109" s="32"/>
      <c r="WEI109" s="32"/>
      <c r="WEJ109" s="32"/>
      <c r="WEK109" s="32"/>
      <c r="WEL109" s="32"/>
      <c r="WEM109" s="32"/>
      <c r="WEN109" s="32"/>
      <c r="WEO109" s="32"/>
      <c r="WEP109" s="32"/>
      <c r="WEQ109" s="32"/>
      <c r="WER109" s="32"/>
      <c r="WES109" s="32"/>
      <c r="WET109" s="32"/>
      <c r="WEU109" s="32"/>
      <c r="WEV109" s="32"/>
      <c r="WEW109" s="32"/>
      <c r="WEX109" s="32"/>
      <c r="WEY109" s="32"/>
      <c r="WEZ109" s="32"/>
      <c r="WFA109" s="32"/>
      <c r="WFB109" s="32"/>
      <c r="WFC109" s="32"/>
      <c r="WFD109" s="32"/>
      <c r="WFE109" s="32"/>
      <c r="WFF109" s="32"/>
      <c r="WFG109" s="32"/>
      <c r="WFH109" s="32"/>
      <c r="WFI109" s="32"/>
      <c r="WFJ109" s="32"/>
      <c r="WFK109" s="32"/>
      <c r="WFL109" s="32"/>
      <c r="WFM109" s="32"/>
      <c r="WFN109" s="32"/>
      <c r="WFO109" s="32"/>
      <c r="WFP109" s="32"/>
      <c r="WFQ109" s="32"/>
      <c r="WFR109" s="32"/>
      <c r="WFS109" s="32"/>
      <c r="WFT109" s="32"/>
      <c r="WFU109" s="32"/>
      <c r="WFV109" s="32"/>
      <c r="WFW109" s="32"/>
      <c r="WFX109" s="32"/>
      <c r="WFY109" s="32"/>
      <c r="WFZ109" s="32"/>
      <c r="WGA109" s="32"/>
      <c r="WGB109" s="32"/>
      <c r="WGC109" s="32"/>
      <c r="WGD109" s="32"/>
      <c r="WGE109" s="32"/>
      <c r="WGF109" s="32"/>
      <c r="WGG109" s="32"/>
      <c r="WGH109" s="32"/>
      <c r="WGI109" s="32"/>
      <c r="WGJ109" s="32"/>
      <c r="WGK109" s="32"/>
      <c r="WGL109" s="32"/>
      <c r="WGM109" s="32"/>
      <c r="WGN109" s="32"/>
      <c r="WGO109" s="32"/>
      <c r="WGP109" s="32"/>
      <c r="WGQ109" s="32"/>
      <c r="WGR109" s="32"/>
      <c r="WGS109" s="32"/>
      <c r="WGT109" s="32"/>
      <c r="WGU109" s="32"/>
      <c r="WGV109" s="32"/>
      <c r="WGW109" s="32"/>
      <c r="WGX109" s="32"/>
      <c r="WGY109" s="32"/>
      <c r="WGZ109" s="32"/>
      <c r="WHA109" s="32"/>
      <c r="WHB109" s="32"/>
      <c r="WHC109" s="32"/>
      <c r="WHD109" s="32"/>
      <c r="WHE109" s="32"/>
      <c r="WHF109" s="32"/>
      <c r="WHG109" s="32"/>
      <c r="WHH109" s="32"/>
      <c r="WHI109" s="32"/>
      <c r="WHJ109" s="32"/>
      <c r="WHK109" s="32"/>
      <c r="WHL109" s="32"/>
      <c r="WHM109" s="32"/>
      <c r="WHN109" s="32"/>
      <c r="WHO109" s="32"/>
      <c r="WHP109" s="32"/>
      <c r="WHQ109" s="32"/>
      <c r="WHR109" s="32"/>
      <c r="WHS109" s="32"/>
      <c r="WHT109" s="32"/>
      <c r="WHU109" s="32"/>
      <c r="WHV109" s="32"/>
      <c r="WHW109" s="32"/>
      <c r="WHX109" s="32"/>
      <c r="WHY109" s="32"/>
      <c r="WHZ109" s="32"/>
      <c r="WIA109" s="32"/>
      <c r="WIB109" s="32"/>
      <c r="WIC109" s="32"/>
      <c r="WID109" s="32"/>
      <c r="WIE109" s="32"/>
      <c r="WIF109" s="32"/>
      <c r="WIG109" s="32"/>
      <c r="WIH109" s="32"/>
      <c r="WII109" s="32"/>
      <c r="WIJ109" s="32"/>
      <c r="WIK109" s="32"/>
      <c r="WIL109" s="32"/>
      <c r="WIM109" s="32"/>
      <c r="WIN109" s="32"/>
      <c r="WIO109" s="32"/>
      <c r="WIP109" s="32"/>
      <c r="WIQ109" s="32"/>
      <c r="WIR109" s="32"/>
      <c r="WIS109" s="32"/>
      <c r="WIT109" s="32"/>
      <c r="WIU109" s="32"/>
      <c r="WIV109" s="32"/>
      <c r="WIW109" s="32"/>
      <c r="WIX109" s="32"/>
      <c r="WIY109" s="32"/>
      <c r="WIZ109" s="32"/>
      <c r="WJA109" s="32"/>
      <c r="WJB109" s="32"/>
      <c r="WJC109" s="32"/>
      <c r="WJD109" s="32"/>
      <c r="WJE109" s="32"/>
      <c r="WJF109" s="32"/>
      <c r="WJG109" s="32"/>
      <c r="WJH109" s="32"/>
      <c r="WJI109" s="32"/>
      <c r="WJJ109" s="32"/>
      <c r="WJK109" s="32"/>
      <c r="WJL109" s="32"/>
      <c r="WJM109" s="32"/>
      <c r="WJN109" s="32"/>
      <c r="WJO109" s="32"/>
      <c r="WJP109" s="32"/>
      <c r="WJQ109" s="32"/>
      <c r="WJR109" s="32"/>
      <c r="WJS109" s="32"/>
      <c r="WJT109" s="32"/>
      <c r="WJU109" s="32"/>
      <c r="WJV109" s="32"/>
      <c r="WJW109" s="32"/>
      <c r="WJX109" s="32"/>
      <c r="WJY109" s="32"/>
      <c r="WJZ109" s="32"/>
      <c r="WKA109" s="32"/>
      <c r="WKB109" s="32"/>
      <c r="WKC109" s="32"/>
      <c r="WKD109" s="32"/>
      <c r="WKE109" s="32"/>
      <c r="WKF109" s="32"/>
      <c r="WKG109" s="32"/>
      <c r="WKH109" s="32"/>
      <c r="WKI109" s="32"/>
      <c r="WKJ109" s="32"/>
      <c r="WKK109" s="32"/>
      <c r="WKL109" s="32"/>
      <c r="WKM109" s="32"/>
      <c r="WKN109" s="32"/>
      <c r="WKO109" s="32"/>
      <c r="WKP109" s="32"/>
      <c r="WKQ109" s="32"/>
      <c r="WKR109" s="32"/>
      <c r="WKS109" s="32"/>
      <c r="WKT109" s="32"/>
      <c r="WKU109" s="32"/>
      <c r="WKV109" s="32"/>
      <c r="WKW109" s="32"/>
      <c r="WKX109" s="32"/>
      <c r="WKY109" s="32"/>
      <c r="WKZ109" s="32"/>
      <c r="WLA109" s="32"/>
      <c r="WLB109" s="32"/>
      <c r="WLC109" s="32"/>
      <c r="WLD109" s="32"/>
      <c r="WLE109" s="32"/>
      <c r="WLF109" s="32"/>
      <c r="WLG109" s="32"/>
      <c r="WLH109" s="32"/>
      <c r="WLI109" s="32"/>
      <c r="WLJ109" s="32"/>
      <c r="WLK109" s="32"/>
      <c r="WLL109" s="32"/>
      <c r="WLM109" s="32"/>
      <c r="WLN109" s="32"/>
      <c r="WLO109" s="32"/>
      <c r="WLP109" s="32"/>
      <c r="WLQ109" s="32"/>
      <c r="WLR109" s="32"/>
      <c r="WLS109" s="32"/>
      <c r="WLT109" s="32"/>
      <c r="WLU109" s="32"/>
      <c r="WLV109" s="32"/>
      <c r="WLW109" s="32"/>
      <c r="WLX109" s="32"/>
      <c r="WLY109" s="32"/>
      <c r="WLZ109" s="32"/>
      <c r="WMA109" s="32"/>
      <c r="WMB109" s="32"/>
      <c r="WMC109" s="32"/>
      <c r="WMD109" s="32"/>
      <c r="WME109" s="32"/>
      <c r="WMF109" s="32"/>
      <c r="WMG109" s="32"/>
      <c r="WMH109" s="32"/>
      <c r="WMI109" s="32"/>
      <c r="WMJ109" s="32"/>
      <c r="WMK109" s="32"/>
      <c r="WML109" s="32"/>
      <c r="WMM109" s="32"/>
      <c r="WMN109" s="32"/>
      <c r="WMO109" s="32"/>
      <c r="WMP109" s="32"/>
      <c r="WMQ109" s="32"/>
      <c r="WMR109" s="32"/>
      <c r="WMS109" s="32"/>
      <c r="WMT109" s="32"/>
      <c r="WMU109" s="32"/>
      <c r="WMV109" s="32"/>
      <c r="WMW109" s="32"/>
      <c r="WMX109" s="32"/>
      <c r="WMY109" s="32"/>
      <c r="WMZ109" s="32"/>
      <c r="WNA109" s="32"/>
      <c r="WNB109" s="32"/>
      <c r="WNC109" s="32"/>
      <c r="WND109" s="32"/>
      <c r="WNE109" s="32"/>
      <c r="WNF109" s="32"/>
      <c r="WNG109" s="32"/>
      <c r="WNH109" s="32"/>
      <c r="WNI109" s="32"/>
      <c r="WNJ109" s="32"/>
      <c r="WNK109" s="32"/>
      <c r="WNL109" s="32"/>
      <c r="WNM109" s="32"/>
      <c r="WNN109" s="32"/>
      <c r="WNO109" s="32"/>
      <c r="WNP109" s="32"/>
      <c r="WNQ109" s="32"/>
      <c r="WNR109" s="32"/>
      <c r="WNS109" s="32"/>
      <c r="WNT109" s="32"/>
      <c r="WNU109" s="32"/>
      <c r="WNV109" s="32"/>
      <c r="WNW109" s="32"/>
      <c r="WNX109" s="32"/>
      <c r="WNY109" s="32"/>
      <c r="WNZ109" s="32"/>
      <c r="WOA109" s="32"/>
      <c r="WOB109" s="32"/>
      <c r="WOC109" s="32"/>
      <c r="WOD109" s="32"/>
      <c r="WOE109" s="32"/>
      <c r="WOF109" s="32"/>
      <c r="WOG109" s="32"/>
      <c r="WOH109" s="32"/>
      <c r="WOI109" s="32"/>
      <c r="WOJ109" s="32"/>
      <c r="WOK109" s="32"/>
      <c r="WOL109" s="32"/>
      <c r="WOM109" s="32"/>
      <c r="WON109" s="32"/>
      <c r="WOO109" s="32"/>
      <c r="WOP109" s="32"/>
      <c r="WOQ109" s="32"/>
      <c r="WOR109" s="32"/>
      <c r="WOS109" s="32"/>
      <c r="WOT109" s="32"/>
      <c r="WOU109" s="32"/>
      <c r="WOV109" s="32"/>
      <c r="WOW109" s="32"/>
      <c r="WOX109" s="32"/>
      <c r="WOY109" s="32"/>
      <c r="WOZ109" s="32"/>
      <c r="WPA109" s="32"/>
      <c r="WPB109" s="32"/>
      <c r="WPC109" s="32"/>
      <c r="WPD109" s="32"/>
      <c r="WPE109" s="32"/>
      <c r="WPF109" s="32"/>
      <c r="WPG109" s="32"/>
      <c r="WPH109" s="32"/>
      <c r="WPI109" s="32"/>
      <c r="WPJ109" s="32"/>
      <c r="WPK109" s="32"/>
      <c r="WPL109" s="32"/>
      <c r="WPM109" s="32"/>
      <c r="WPN109" s="32"/>
      <c r="WPO109" s="32"/>
      <c r="WPP109" s="32"/>
      <c r="WPQ109" s="32"/>
      <c r="WPR109" s="32"/>
      <c r="WPS109" s="32"/>
      <c r="WPT109" s="32"/>
      <c r="WPU109" s="32"/>
      <c r="WPV109" s="32"/>
      <c r="WPW109" s="32"/>
      <c r="WPX109" s="32"/>
      <c r="WPY109" s="32"/>
      <c r="WPZ109" s="32"/>
      <c r="WQA109" s="32"/>
      <c r="WQB109" s="32"/>
      <c r="WQC109" s="32"/>
      <c r="WQD109" s="32"/>
      <c r="WQE109" s="32"/>
      <c r="WQF109" s="32"/>
      <c r="WQG109" s="32"/>
      <c r="WQH109" s="32"/>
      <c r="WQI109" s="32"/>
      <c r="WQJ109" s="32"/>
      <c r="WQK109" s="32"/>
      <c r="WQL109" s="32"/>
      <c r="WQM109" s="32"/>
      <c r="WQN109" s="32"/>
      <c r="WQO109" s="32"/>
      <c r="WQP109" s="32"/>
      <c r="WQQ109" s="32"/>
      <c r="WQR109" s="32"/>
      <c r="WQS109" s="32"/>
      <c r="WQT109" s="32"/>
      <c r="WQU109" s="32"/>
      <c r="WQV109" s="32"/>
      <c r="WQW109" s="32"/>
      <c r="WQX109" s="32"/>
      <c r="WQY109" s="32"/>
      <c r="WQZ109" s="32"/>
      <c r="WRA109" s="32"/>
      <c r="WRB109" s="32"/>
      <c r="WRC109" s="32"/>
      <c r="WRD109" s="32"/>
      <c r="WRE109" s="32"/>
      <c r="WRF109" s="32"/>
      <c r="WRG109" s="32"/>
      <c r="WRH109" s="32"/>
      <c r="WRI109" s="32"/>
      <c r="WRJ109" s="32"/>
      <c r="WRK109" s="32"/>
      <c r="WRL109" s="32"/>
      <c r="WRM109" s="32"/>
      <c r="WRN109" s="32"/>
      <c r="WRO109" s="32"/>
      <c r="WRP109" s="32"/>
      <c r="WRQ109" s="32"/>
      <c r="WRR109" s="32"/>
      <c r="WRS109" s="32"/>
      <c r="WRT109" s="32"/>
      <c r="WRU109" s="32"/>
      <c r="WRV109" s="32"/>
      <c r="WRW109" s="32"/>
      <c r="WRX109" s="32"/>
      <c r="WRY109" s="32"/>
      <c r="WRZ109" s="32"/>
      <c r="WSA109" s="32"/>
      <c r="WSB109" s="32"/>
      <c r="WSC109" s="32"/>
      <c r="WSD109" s="32"/>
      <c r="WSE109" s="32"/>
      <c r="WSF109" s="32"/>
      <c r="WSG109" s="32"/>
      <c r="WSH109" s="32"/>
      <c r="WSI109" s="32"/>
      <c r="WSJ109" s="32"/>
      <c r="WSK109" s="32"/>
      <c r="WSL109" s="32"/>
      <c r="WSM109" s="32"/>
      <c r="WSN109" s="32"/>
      <c r="WSO109" s="32"/>
      <c r="WSP109" s="32"/>
      <c r="WSQ109" s="32"/>
      <c r="WSR109" s="32"/>
      <c r="WSS109" s="32"/>
      <c r="WST109" s="32"/>
      <c r="WSU109" s="32"/>
      <c r="WSV109" s="32"/>
      <c r="WSW109" s="32"/>
      <c r="WSX109" s="32"/>
      <c r="WSY109" s="32"/>
      <c r="WSZ109" s="32"/>
      <c r="WTA109" s="32"/>
      <c r="WTB109" s="32"/>
      <c r="WTC109" s="32"/>
      <c r="WTD109" s="32"/>
      <c r="WTE109" s="32"/>
      <c r="WTF109" s="32"/>
      <c r="WTG109" s="32"/>
      <c r="WTH109" s="32"/>
      <c r="WTI109" s="32"/>
      <c r="WTJ109" s="32"/>
      <c r="WTK109" s="32"/>
      <c r="WTL109" s="32"/>
      <c r="WTM109" s="32"/>
      <c r="WTN109" s="32"/>
      <c r="WTO109" s="32"/>
      <c r="WTP109" s="32"/>
      <c r="WTQ109" s="32"/>
      <c r="WTR109" s="32"/>
      <c r="WTS109" s="32"/>
      <c r="WTT109" s="32"/>
      <c r="WTU109" s="32"/>
      <c r="WTV109" s="32"/>
      <c r="WTW109" s="32"/>
      <c r="WTX109" s="32"/>
      <c r="WTY109" s="32"/>
      <c r="WTZ109" s="32"/>
      <c r="WUA109" s="32"/>
      <c r="WUB109" s="32"/>
      <c r="WUC109" s="32"/>
      <c r="WUD109" s="32"/>
      <c r="WUE109" s="32"/>
      <c r="WUF109" s="32"/>
      <c r="WUG109" s="32"/>
      <c r="WUH109" s="32"/>
      <c r="WUI109" s="32"/>
      <c r="WUJ109" s="32"/>
      <c r="WUK109" s="32"/>
      <c r="WUL109" s="32"/>
      <c r="WUM109" s="32"/>
      <c r="WUN109" s="32"/>
      <c r="WUO109" s="32"/>
      <c r="WUP109" s="32"/>
      <c r="WUQ109" s="32"/>
      <c r="WUR109" s="32"/>
      <c r="WUS109" s="32"/>
      <c r="WUT109" s="32"/>
      <c r="WUU109" s="32"/>
      <c r="WUV109" s="32"/>
      <c r="WUW109" s="32"/>
      <c r="WUX109" s="32"/>
      <c r="WUY109" s="32"/>
      <c r="WUZ109" s="32"/>
      <c r="WVA109" s="32"/>
      <c r="WVB109" s="32"/>
      <c r="WVC109" s="32"/>
      <c r="WVD109" s="32"/>
      <c r="WVE109" s="32"/>
      <c r="WVF109" s="32"/>
      <c r="WVG109" s="32"/>
      <c r="WVH109" s="32"/>
      <c r="WVI109" s="32"/>
      <c r="WVJ109" s="32"/>
      <c r="WVK109" s="32"/>
      <c r="WVL109" s="32"/>
      <c r="WVM109" s="32"/>
      <c r="WVN109" s="32"/>
      <c r="WVO109" s="32"/>
      <c r="WVP109" s="32"/>
      <c r="WVQ109" s="32"/>
      <c r="WVR109" s="32"/>
      <c r="WVS109" s="32"/>
      <c r="WVT109" s="32"/>
      <c r="WVU109" s="32"/>
      <c r="WVV109" s="32"/>
      <c r="WVW109" s="32"/>
      <c r="WVX109" s="32"/>
      <c r="WVY109" s="32"/>
      <c r="WVZ109" s="32"/>
      <c r="WWA109" s="32"/>
      <c r="WWB109" s="32"/>
      <c r="WWC109" s="32"/>
      <c r="WWD109" s="32"/>
      <c r="WWE109" s="32"/>
      <c r="WWF109" s="32"/>
      <c r="WWG109" s="32"/>
      <c r="WWH109" s="32"/>
      <c r="WWI109" s="32"/>
      <c r="WWJ109" s="32"/>
      <c r="WWK109" s="32"/>
      <c r="WWL109" s="32"/>
      <c r="WWM109" s="32"/>
      <c r="WWN109" s="32"/>
      <c r="WWO109" s="32"/>
      <c r="WWP109" s="32"/>
      <c r="WWQ109" s="32"/>
      <c r="WWR109" s="32"/>
      <c r="WWS109" s="32"/>
      <c r="WWT109" s="32"/>
      <c r="WWU109" s="32"/>
      <c r="WWV109" s="32"/>
      <c r="WWW109" s="32"/>
      <c r="WWX109" s="32"/>
      <c r="WWY109" s="32"/>
      <c r="WWZ109" s="32"/>
      <c r="WXA109" s="32"/>
      <c r="WXB109" s="32"/>
      <c r="WXC109" s="32"/>
      <c r="WXD109" s="32"/>
      <c r="WXE109" s="32"/>
      <c r="WXF109" s="32"/>
      <c r="WXG109" s="32"/>
      <c r="WXH109" s="32"/>
      <c r="WXI109" s="32"/>
      <c r="WXJ109" s="32"/>
      <c r="WXK109" s="32"/>
      <c r="WXL109" s="32"/>
      <c r="WXM109" s="32"/>
      <c r="WXN109" s="32"/>
      <c r="WXO109" s="32"/>
      <c r="WXP109" s="32"/>
      <c r="WXQ109" s="32"/>
      <c r="WXR109" s="32"/>
      <c r="WXS109" s="32"/>
      <c r="WXT109" s="32"/>
      <c r="WXU109" s="32"/>
      <c r="WXV109" s="32"/>
      <c r="WXW109" s="32"/>
      <c r="WXX109" s="32"/>
      <c r="WXY109" s="32"/>
      <c r="WXZ109" s="32"/>
      <c r="WYA109" s="32"/>
      <c r="WYB109" s="32"/>
      <c r="WYC109" s="32"/>
      <c r="WYD109" s="32"/>
      <c r="WYE109" s="32"/>
      <c r="WYF109" s="32"/>
      <c r="WYG109" s="32"/>
      <c r="WYH109" s="32"/>
      <c r="WYI109" s="32"/>
      <c r="WYJ109" s="32"/>
      <c r="WYK109" s="32"/>
      <c r="WYL109" s="32"/>
      <c r="WYM109" s="32"/>
      <c r="WYN109" s="32"/>
      <c r="WYO109" s="32"/>
      <c r="WYP109" s="32"/>
      <c r="WYQ109" s="32"/>
      <c r="WYR109" s="32"/>
      <c r="WYS109" s="32"/>
      <c r="WYT109" s="32"/>
      <c r="WYU109" s="32"/>
      <c r="WYV109" s="32"/>
      <c r="WYW109" s="32"/>
      <c r="WYX109" s="32"/>
      <c r="WYY109" s="32"/>
      <c r="WYZ109" s="32"/>
      <c r="WZA109" s="32"/>
      <c r="WZB109" s="32"/>
      <c r="WZC109" s="32"/>
      <c r="WZD109" s="32"/>
      <c r="WZE109" s="32"/>
      <c r="WZF109" s="32"/>
      <c r="WZG109" s="32"/>
      <c r="WZH109" s="32"/>
      <c r="WZI109" s="32"/>
      <c r="WZJ109" s="32"/>
      <c r="WZK109" s="32"/>
      <c r="WZL109" s="32"/>
      <c r="WZM109" s="32"/>
      <c r="WZN109" s="32"/>
      <c r="WZO109" s="32"/>
      <c r="WZP109" s="32"/>
      <c r="WZQ109" s="32"/>
      <c r="WZR109" s="32"/>
      <c r="WZS109" s="32"/>
      <c r="WZT109" s="32"/>
      <c r="WZU109" s="32"/>
      <c r="WZV109" s="32"/>
      <c r="WZW109" s="32"/>
      <c r="WZX109" s="32"/>
      <c r="WZY109" s="32"/>
      <c r="WZZ109" s="32"/>
      <c r="XAA109" s="32"/>
      <c r="XAB109" s="32"/>
      <c r="XAC109" s="32"/>
      <c r="XAD109" s="32"/>
      <c r="XAE109" s="32"/>
      <c r="XAF109" s="32"/>
      <c r="XAG109" s="32"/>
      <c r="XAH109" s="32"/>
      <c r="XAI109" s="32"/>
      <c r="XAJ109" s="32"/>
      <c r="XAK109" s="32"/>
      <c r="XAL109" s="32"/>
      <c r="XAM109" s="32"/>
      <c r="XAN109" s="32"/>
      <c r="XAO109" s="32"/>
      <c r="XAP109" s="32"/>
      <c r="XAQ109" s="32"/>
      <c r="XAR109" s="32"/>
      <c r="XAS109" s="32"/>
      <c r="XAT109" s="32"/>
      <c r="XAU109" s="32"/>
      <c r="XAV109" s="32"/>
      <c r="XAW109" s="32"/>
      <c r="XAX109" s="32"/>
      <c r="XAY109" s="32"/>
      <c r="XAZ109" s="32"/>
      <c r="XBA109" s="32"/>
      <c r="XBB109" s="32"/>
      <c r="XBC109" s="32"/>
      <c r="XBD109" s="32"/>
      <c r="XBE109" s="32"/>
      <c r="XBF109" s="32"/>
      <c r="XBG109" s="32"/>
      <c r="XBH109" s="32"/>
      <c r="XBI109" s="32"/>
      <c r="XBJ109" s="32"/>
      <c r="XBK109" s="32"/>
      <c r="XBL109" s="32"/>
      <c r="XBM109" s="32"/>
      <c r="XBN109" s="32"/>
      <c r="XBO109" s="32"/>
      <c r="XBP109" s="32"/>
      <c r="XBQ109" s="32"/>
      <c r="XBR109" s="32"/>
      <c r="XBS109" s="32"/>
      <c r="XBT109" s="32"/>
      <c r="XBU109" s="32"/>
      <c r="XBV109" s="32"/>
      <c r="XBW109" s="32"/>
      <c r="XBX109" s="32"/>
      <c r="XBY109" s="32"/>
      <c r="XBZ109" s="32"/>
      <c r="XCA109" s="32"/>
      <c r="XCB109" s="32"/>
      <c r="XCC109" s="32"/>
      <c r="XCD109" s="32"/>
      <c r="XCE109" s="32"/>
      <c r="XCF109" s="32"/>
      <c r="XCG109" s="32"/>
      <c r="XCH109" s="32"/>
      <c r="XCI109" s="32"/>
      <c r="XCJ109" s="32"/>
      <c r="XCK109" s="32"/>
      <c r="XCL109" s="32"/>
      <c r="XCM109" s="32"/>
      <c r="XCN109" s="32"/>
      <c r="XCO109" s="32"/>
      <c r="XCP109" s="32"/>
      <c r="XCQ109" s="32"/>
      <c r="XCR109" s="32"/>
      <c r="XCS109" s="32"/>
      <c r="XCT109" s="32"/>
      <c r="XCU109" s="32"/>
      <c r="XCV109" s="32"/>
      <c r="XCW109" s="32"/>
      <c r="XCX109" s="32"/>
      <c r="XCY109" s="32"/>
      <c r="XCZ109" s="32"/>
      <c r="XDA109" s="32"/>
      <c r="XDB109" s="32"/>
      <c r="XDC109" s="32"/>
      <c r="XDD109" s="32"/>
      <c r="XDE109" s="32"/>
      <c r="XDF109" s="32"/>
      <c r="XDG109" s="32"/>
      <c r="XDH109" s="32"/>
      <c r="XDI109" s="32"/>
      <c r="XDJ109" s="32"/>
      <c r="XDK109" s="32"/>
      <c r="XDL109" s="32"/>
      <c r="XDM109" s="32"/>
      <c r="XDN109" s="32"/>
      <c r="XDO109" s="32"/>
      <c r="XDP109" s="32"/>
      <c r="XDQ109" s="32"/>
      <c r="XDR109" s="32"/>
      <c r="XDS109" s="32"/>
      <c r="XDT109" s="32"/>
      <c r="XDU109" s="32"/>
      <c r="XDV109" s="32"/>
      <c r="XDW109" s="32"/>
      <c r="XDX109" s="32"/>
      <c r="XDY109" s="32"/>
      <c r="XDZ109" s="32"/>
      <c r="XEA109" s="32"/>
      <c r="XEB109" s="32"/>
      <c r="XEC109" s="32"/>
      <c r="XED109" s="32"/>
      <c r="XEE109" s="32"/>
      <c r="XEF109" s="32"/>
      <c r="XEG109" s="32"/>
      <c r="XEH109" s="32"/>
      <c r="XEI109" s="32"/>
      <c r="XEJ109" s="32"/>
      <c r="XEK109" s="32"/>
      <c r="XEL109" s="32"/>
      <c r="XEM109" s="32"/>
      <c r="XEN109" s="32"/>
      <c r="XEO109" s="32"/>
      <c r="XEP109" s="32"/>
      <c r="XEQ109" s="32"/>
      <c r="XER109" s="32"/>
      <c r="XES109" s="32"/>
      <c r="XET109" s="32"/>
      <c r="XEU109" s="32"/>
      <c r="XEV109" s="32"/>
      <c r="XEW109" s="32"/>
      <c r="XEX109" s="32"/>
      <c r="XEY109" s="32"/>
      <c r="XEZ109" s="32"/>
      <c r="XFA109" s="32"/>
      <c r="XFB109" s="32"/>
    </row>
    <row r="110" spans="1:16382" s="144" customFormat="1" ht="50.15" customHeight="1" thickBot="1">
      <c r="A110" s="755" t="s">
        <v>1023</v>
      </c>
      <c r="B110" s="755"/>
      <c r="C110" s="57"/>
      <c r="D110" s="57"/>
      <c r="E110" s="57"/>
      <c r="F110" s="57"/>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c r="BY110" s="21"/>
      <c r="BZ110" s="21"/>
      <c r="CA110" s="21"/>
      <c r="CB110" s="21"/>
      <c r="CC110" s="21"/>
      <c r="CD110" s="21"/>
      <c r="CE110" s="21"/>
      <c r="CF110" s="21"/>
      <c r="CG110" s="21"/>
      <c r="CH110" s="21"/>
      <c r="CI110" s="21"/>
      <c r="CJ110" s="21"/>
      <c r="CK110" s="21"/>
      <c r="CL110" s="21"/>
      <c r="CM110" s="21"/>
      <c r="CN110" s="21"/>
      <c r="CO110" s="21"/>
      <c r="CP110" s="21"/>
      <c r="CQ110" s="21"/>
      <c r="CR110" s="21"/>
      <c r="CS110" s="21"/>
      <c r="CT110" s="21"/>
      <c r="CU110" s="21"/>
      <c r="CV110" s="21"/>
      <c r="CW110" s="21"/>
      <c r="CX110" s="21"/>
      <c r="CY110" s="21"/>
      <c r="CZ110" s="21"/>
      <c r="DA110" s="21"/>
      <c r="DB110" s="21"/>
      <c r="DC110" s="21"/>
      <c r="DD110" s="21"/>
      <c r="DE110" s="21"/>
      <c r="DF110" s="21"/>
      <c r="DG110" s="21"/>
      <c r="DH110" s="21"/>
      <c r="DI110" s="21"/>
      <c r="DJ110" s="21"/>
      <c r="DK110" s="21"/>
      <c r="DL110" s="21"/>
      <c r="DM110" s="21"/>
      <c r="DN110" s="21"/>
      <c r="DO110" s="21"/>
      <c r="DP110" s="21"/>
      <c r="DQ110" s="21"/>
      <c r="DR110" s="21"/>
      <c r="DS110" s="21"/>
      <c r="DT110" s="21"/>
      <c r="DU110" s="21"/>
      <c r="DV110" s="21"/>
      <c r="DW110" s="21"/>
      <c r="DX110" s="21"/>
      <c r="DY110" s="21"/>
      <c r="DZ110" s="21"/>
      <c r="EA110" s="21"/>
      <c r="EB110" s="21"/>
      <c r="EC110" s="21"/>
      <c r="ED110" s="21"/>
      <c r="EE110" s="21"/>
      <c r="EF110" s="21"/>
      <c r="EG110" s="21"/>
      <c r="EH110" s="21"/>
      <c r="EI110" s="21"/>
      <c r="EJ110" s="21"/>
      <c r="EK110" s="21"/>
      <c r="EL110" s="21"/>
      <c r="EM110" s="21"/>
      <c r="EN110" s="21"/>
      <c r="EO110" s="21"/>
      <c r="EP110" s="21"/>
      <c r="EQ110" s="21"/>
      <c r="ER110" s="21"/>
      <c r="ES110" s="21"/>
      <c r="ET110" s="21"/>
      <c r="EU110" s="21"/>
      <c r="EV110" s="21"/>
      <c r="EW110" s="21"/>
      <c r="EX110" s="21"/>
      <c r="EY110" s="21"/>
      <c r="EZ110" s="21"/>
      <c r="FA110" s="21"/>
      <c r="FB110" s="21"/>
      <c r="FC110" s="21"/>
      <c r="FD110" s="21"/>
      <c r="FE110" s="21"/>
      <c r="FF110" s="21"/>
      <c r="FG110" s="21"/>
      <c r="FH110" s="21"/>
      <c r="FI110" s="21"/>
      <c r="FJ110" s="21"/>
      <c r="FK110" s="21"/>
      <c r="FL110" s="21"/>
      <c r="FM110" s="21"/>
      <c r="FN110" s="21"/>
      <c r="FO110" s="21"/>
      <c r="FP110" s="21"/>
      <c r="FQ110" s="21"/>
      <c r="FR110" s="21"/>
      <c r="FS110" s="21"/>
      <c r="FT110" s="21"/>
      <c r="FU110" s="21"/>
      <c r="FV110" s="21"/>
      <c r="FW110" s="21"/>
      <c r="FX110" s="21"/>
      <c r="FY110" s="21"/>
      <c r="FZ110" s="21"/>
      <c r="GA110" s="21"/>
      <c r="GB110" s="21"/>
      <c r="GC110" s="21"/>
      <c r="GD110" s="21"/>
      <c r="GE110" s="21"/>
      <c r="GF110" s="21"/>
      <c r="GG110" s="21"/>
      <c r="GH110" s="21"/>
      <c r="GI110" s="21"/>
      <c r="GJ110" s="21"/>
      <c r="GK110" s="21"/>
      <c r="GL110" s="21"/>
      <c r="GM110" s="21"/>
      <c r="GN110" s="21"/>
      <c r="GO110" s="21"/>
      <c r="GP110" s="21"/>
      <c r="GQ110" s="21"/>
      <c r="GR110" s="21"/>
      <c r="GS110" s="21"/>
      <c r="GT110" s="21"/>
      <c r="GU110" s="21"/>
      <c r="GV110" s="21"/>
      <c r="GW110" s="21"/>
      <c r="GX110" s="21"/>
      <c r="GY110" s="21"/>
      <c r="GZ110" s="21"/>
      <c r="HA110" s="21"/>
      <c r="HB110" s="21"/>
      <c r="HC110" s="21"/>
      <c r="HD110" s="21"/>
      <c r="HE110" s="21"/>
      <c r="HF110" s="21"/>
      <c r="HG110" s="21"/>
      <c r="HH110" s="21"/>
      <c r="HI110" s="21"/>
      <c r="HJ110" s="21"/>
      <c r="HK110" s="21"/>
      <c r="HL110" s="21"/>
      <c r="HM110" s="21"/>
      <c r="HN110" s="21"/>
      <c r="HO110" s="21"/>
      <c r="HP110" s="21"/>
      <c r="HQ110" s="21"/>
      <c r="HR110" s="21"/>
      <c r="HS110" s="21"/>
      <c r="HT110" s="21"/>
      <c r="HU110" s="21"/>
      <c r="HV110" s="21"/>
      <c r="HW110" s="21"/>
      <c r="HX110" s="21"/>
      <c r="HY110" s="21"/>
      <c r="HZ110" s="21"/>
      <c r="IA110" s="21"/>
      <c r="IB110" s="21"/>
      <c r="IC110" s="21"/>
      <c r="ID110" s="21"/>
      <c r="IE110" s="21"/>
      <c r="IF110" s="21"/>
      <c r="IG110" s="21"/>
      <c r="IH110" s="21"/>
      <c r="II110" s="21"/>
      <c r="IJ110" s="21"/>
      <c r="IK110" s="21"/>
      <c r="IL110" s="21"/>
      <c r="IM110" s="21"/>
      <c r="IN110" s="21"/>
      <c r="IO110" s="21"/>
      <c r="IP110" s="21"/>
      <c r="IQ110" s="21"/>
      <c r="IR110" s="21"/>
      <c r="IS110" s="21"/>
      <c r="IT110" s="21"/>
      <c r="IU110" s="21"/>
      <c r="IV110" s="21"/>
      <c r="IW110" s="21"/>
      <c r="IX110" s="21"/>
      <c r="IY110" s="21"/>
      <c r="IZ110" s="21"/>
      <c r="JA110" s="21"/>
      <c r="JB110" s="21"/>
      <c r="JC110" s="21"/>
      <c r="JD110" s="21"/>
      <c r="JE110" s="21"/>
      <c r="JF110" s="21"/>
      <c r="JG110" s="21"/>
      <c r="JH110" s="21"/>
      <c r="JI110" s="21"/>
      <c r="JJ110" s="21"/>
      <c r="JK110" s="21"/>
      <c r="JL110" s="21"/>
      <c r="JM110" s="21"/>
      <c r="JN110" s="21"/>
      <c r="JO110" s="21"/>
      <c r="JP110" s="21"/>
      <c r="JQ110" s="21"/>
      <c r="JR110" s="21"/>
      <c r="JS110" s="21"/>
      <c r="JT110" s="21"/>
      <c r="JU110" s="21"/>
      <c r="JV110" s="21"/>
      <c r="JW110" s="21"/>
      <c r="JX110" s="21"/>
      <c r="JY110" s="21"/>
      <c r="JZ110" s="21"/>
      <c r="KA110" s="21"/>
      <c r="KB110" s="21"/>
      <c r="KC110" s="21"/>
      <c r="KD110" s="21"/>
      <c r="KE110" s="21"/>
      <c r="KF110" s="21"/>
      <c r="KG110" s="21"/>
      <c r="KH110" s="21"/>
      <c r="KI110" s="21"/>
      <c r="KJ110" s="21"/>
      <c r="KK110" s="21"/>
      <c r="KL110" s="21"/>
      <c r="KM110" s="21"/>
      <c r="KN110" s="21"/>
      <c r="KO110" s="21"/>
      <c r="KP110" s="21"/>
      <c r="KQ110" s="21"/>
      <c r="KR110" s="21"/>
      <c r="KS110" s="21"/>
      <c r="KT110" s="21"/>
      <c r="KU110" s="21"/>
      <c r="KV110" s="21"/>
      <c r="KW110" s="21"/>
      <c r="KX110" s="21"/>
      <c r="KY110" s="21"/>
      <c r="KZ110" s="21"/>
      <c r="LA110" s="21"/>
      <c r="LB110" s="21"/>
      <c r="LC110" s="21"/>
      <c r="LD110" s="21"/>
      <c r="LE110" s="21"/>
      <c r="LF110" s="21"/>
      <c r="LG110" s="21"/>
      <c r="LH110" s="21"/>
      <c r="LI110" s="21"/>
      <c r="LJ110" s="21"/>
      <c r="LK110" s="21"/>
      <c r="LL110" s="21"/>
      <c r="LM110" s="21"/>
      <c r="LN110" s="21"/>
      <c r="LO110" s="21"/>
      <c r="LP110" s="21"/>
      <c r="LQ110" s="21"/>
      <c r="LR110" s="21"/>
      <c r="LS110" s="21"/>
      <c r="LT110" s="21"/>
      <c r="LU110" s="21"/>
      <c r="LV110" s="21"/>
      <c r="LW110" s="21"/>
      <c r="LX110" s="21"/>
      <c r="LY110" s="21"/>
      <c r="LZ110" s="21"/>
      <c r="MA110" s="21"/>
      <c r="MB110" s="21"/>
      <c r="MC110" s="21"/>
      <c r="MD110" s="21"/>
      <c r="ME110" s="21"/>
      <c r="MF110" s="21"/>
      <c r="MG110" s="21"/>
      <c r="MH110" s="21"/>
      <c r="MI110" s="21"/>
      <c r="MJ110" s="21"/>
      <c r="MK110" s="21"/>
      <c r="ML110" s="21"/>
      <c r="MM110" s="21"/>
      <c r="MN110" s="21"/>
      <c r="MO110" s="21"/>
      <c r="MP110" s="21"/>
      <c r="MQ110" s="21"/>
      <c r="MR110" s="21"/>
      <c r="MS110" s="21"/>
      <c r="MT110" s="21"/>
      <c r="MU110" s="21"/>
      <c r="MV110" s="21"/>
      <c r="MW110" s="21"/>
      <c r="MX110" s="21"/>
      <c r="MY110" s="21"/>
      <c r="MZ110" s="21"/>
      <c r="NA110" s="21"/>
      <c r="NB110" s="21"/>
      <c r="NC110" s="21"/>
      <c r="ND110" s="21"/>
      <c r="NE110" s="21"/>
      <c r="NF110" s="21"/>
      <c r="NG110" s="21"/>
      <c r="NH110" s="21"/>
      <c r="NI110" s="21"/>
      <c r="NJ110" s="21"/>
      <c r="NK110" s="21"/>
      <c r="NL110" s="21"/>
      <c r="NM110" s="21"/>
      <c r="NN110" s="21"/>
      <c r="NO110" s="21"/>
      <c r="NP110" s="21"/>
      <c r="NQ110" s="21"/>
      <c r="NR110" s="21"/>
      <c r="NS110" s="21"/>
      <c r="NT110" s="21"/>
      <c r="NU110" s="21"/>
      <c r="NV110" s="21"/>
      <c r="NW110" s="21"/>
      <c r="NX110" s="21"/>
      <c r="NY110" s="21"/>
      <c r="NZ110" s="21"/>
      <c r="OA110" s="21"/>
      <c r="OB110" s="21"/>
      <c r="OC110" s="21"/>
      <c r="OD110" s="21"/>
      <c r="OE110" s="21"/>
      <c r="OF110" s="21"/>
      <c r="OG110" s="21"/>
      <c r="OH110" s="21"/>
      <c r="OI110" s="21"/>
      <c r="OJ110" s="21"/>
      <c r="OK110" s="21"/>
      <c r="OL110" s="21"/>
      <c r="OM110" s="21"/>
      <c r="ON110" s="21"/>
      <c r="OO110" s="21"/>
      <c r="OP110" s="21"/>
      <c r="OQ110" s="21"/>
      <c r="OR110" s="21"/>
      <c r="OS110" s="21"/>
      <c r="OT110" s="21"/>
      <c r="OU110" s="21"/>
      <c r="OV110" s="21"/>
      <c r="OW110" s="21"/>
      <c r="OX110" s="21"/>
      <c r="OY110" s="21"/>
      <c r="OZ110" s="21"/>
      <c r="PA110" s="21"/>
      <c r="PB110" s="21"/>
      <c r="PC110" s="21"/>
      <c r="PD110" s="21"/>
      <c r="PE110" s="21"/>
      <c r="PF110" s="21"/>
      <c r="PG110" s="21"/>
      <c r="PH110" s="21"/>
      <c r="PI110" s="21"/>
      <c r="PJ110" s="21"/>
      <c r="PK110" s="21"/>
      <c r="PL110" s="21"/>
      <c r="PM110" s="21"/>
      <c r="PN110" s="21"/>
      <c r="PO110" s="21"/>
      <c r="PP110" s="21"/>
      <c r="PQ110" s="21"/>
      <c r="PR110" s="21"/>
      <c r="PS110" s="21"/>
      <c r="PT110" s="21"/>
      <c r="PU110" s="21"/>
      <c r="PV110" s="21"/>
      <c r="PW110" s="21"/>
      <c r="PX110" s="21"/>
      <c r="PY110" s="21"/>
      <c r="PZ110" s="21"/>
      <c r="QA110" s="21"/>
      <c r="QB110" s="21"/>
      <c r="QC110" s="21"/>
      <c r="QD110" s="21"/>
      <c r="QE110" s="21"/>
      <c r="QF110" s="21"/>
      <c r="QG110" s="21"/>
      <c r="QH110" s="21"/>
      <c r="QI110" s="21"/>
      <c r="QJ110" s="21"/>
      <c r="QK110" s="21"/>
      <c r="QL110" s="21"/>
      <c r="QM110" s="21"/>
      <c r="QN110" s="21"/>
      <c r="QO110" s="21"/>
      <c r="QP110" s="21"/>
      <c r="QQ110" s="21"/>
      <c r="QR110" s="21"/>
      <c r="QS110" s="21"/>
      <c r="QT110" s="21"/>
      <c r="QU110" s="21"/>
      <c r="QV110" s="21"/>
      <c r="QW110" s="21"/>
      <c r="QX110" s="21"/>
      <c r="QY110" s="21"/>
      <c r="QZ110" s="21"/>
      <c r="RA110" s="21"/>
      <c r="RB110" s="21"/>
      <c r="RC110" s="21"/>
      <c r="RD110" s="21"/>
      <c r="RE110" s="21"/>
      <c r="RF110" s="21"/>
      <c r="RG110" s="21"/>
      <c r="RH110" s="21"/>
      <c r="RI110" s="21"/>
      <c r="RJ110" s="21"/>
      <c r="RK110" s="21"/>
      <c r="RL110" s="21"/>
      <c r="RM110" s="21"/>
      <c r="RN110" s="21"/>
      <c r="RO110" s="21"/>
      <c r="RP110" s="21"/>
      <c r="RQ110" s="21"/>
      <c r="RR110" s="21"/>
      <c r="RS110" s="21"/>
      <c r="RT110" s="21"/>
      <c r="RU110" s="21"/>
      <c r="RV110" s="21"/>
      <c r="RW110" s="21"/>
      <c r="RX110" s="21"/>
      <c r="RY110" s="21"/>
      <c r="RZ110" s="21"/>
      <c r="SA110" s="21"/>
      <c r="SB110" s="21"/>
      <c r="SC110" s="21"/>
      <c r="SD110" s="21"/>
      <c r="SE110" s="21"/>
      <c r="SF110" s="21"/>
      <c r="SG110" s="21"/>
      <c r="SH110" s="21"/>
      <c r="SI110" s="21"/>
      <c r="SJ110" s="21"/>
      <c r="SK110" s="21"/>
      <c r="SL110" s="21"/>
      <c r="SM110" s="21"/>
      <c r="SN110" s="21"/>
      <c r="SO110" s="21"/>
      <c r="SP110" s="21"/>
      <c r="SQ110" s="21"/>
      <c r="SR110" s="21"/>
      <c r="SS110" s="21"/>
      <c r="ST110" s="21"/>
      <c r="SU110" s="21"/>
      <c r="SV110" s="21"/>
      <c r="SW110" s="21"/>
      <c r="SX110" s="21"/>
      <c r="SY110" s="21"/>
      <c r="SZ110" s="21"/>
      <c r="TA110" s="21"/>
      <c r="TB110" s="21"/>
      <c r="TC110" s="21"/>
      <c r="TD110" s="21"/>
      <c r="TE110" s="21"/>
      <c r="TF110" s="21"/>
      <c r="TG110" s="21"/>
      <c r="TH110" s="21"/>
      <c r="TI110" s="21"/>
      <c r="TJ110" s="21"/>
      <c r="TK110" s="21"/>
      <c r="TL110" s="21"/>
      <c r="TM110" s="21"/>
      <c r="TN110" s="21"/>
      <c r="TO110" s="21"/>
      <c r="TP110" s="21"/>
      <c r="TQ110" s="21"/>
      <c r="TR110" s="21"/>
      <c r="TS110" s="21"/>
      <c r="TT110" s="21"/>
      <c r="TU110" s="21"/>
      <c r="TV110" s="21"/>
      <c r="TW110" s="21"/>
      <c r="TX110" s="21"/>
      <c r="TY110" s="21"/>
      <c r="TZ110" s="21"/>
      <c r="UA110" s="21"/>
      <c r="UB110" s="21"/>
      <c r="UC110" s="21"/>
      <c r="UD110" s="21"/>
      <c r="UE110" s="21"/>
      <c r="UF110" s="21"/>
      <c r="UG110" s="21"/>
      <c r="UH110" s="21"/>
      <c r="UI110" s="21"/>
      <c r="UJ110" s="21"/>
      <c r="UK110" s="21"/>
      <c r="UL110" s="21"/>
      <c r="UM110" s="21"/>
      <c r="UN110" s="21"/>
      <c r="UO110" s="21"/>
      <c r="UP110" s="21"/>
      <c r="UQ110" s="21"/>
      <c r="UR110" s="21"/>
      <c r="US110" s="21"/>
      <c r="UT110" s="21"/>
      <c r="UU110" s="21"/>
      <c r="UV110" s="21"/>
      <c r="UW110" s="21"/>
      <c r="UX110" s="21"/>
      <c r="UY110" s="21"/>
      <c r="UZ110" s="21"/>
      <c r="VA110" s="21"/>
      <c r="VB110" s="21"/>
      <c r="VC110" s="21"/>
      <c r="VD110" s="21"/>
      <c r="VE110" s="21"/>
      <c r="VF110" s="21"/>
      <c r="VG110" s="21"/>
      <c r="VH110" s="21"/>
      <c r="VI110" s="21"/>
      <c r="VJ110" s="21"/>
      <c r="VK110" s="21"/>
      <c r="VL110" s="21"/>
      <c r="VM110" s="21"/>
      <c r="VN110" s="21"/>
      <c r="VO110" s="21"/>
      <c r="VP110" s="21"/>
      <c r="VQ110" s="21"/>
      <c r="VR110" s="21"/>
      <c r="VS110" s="21"/>
      <c r="VT110" s="21"/>
      <c r="VU110" s="21"/>
      <c r="VV110" s="21"/>
      <c r="VW110" s="21"/>
      <c r="VX110" s="21"/>
      <c r="VY110" s="21"/>
      <c r="VZ110" s="21"/>
      <c r="WA110" s="21"/>
      <c r="WB110" s="21"/>
      <c r="WC110" s="21"/>
      <c r="WD110" s="21"/>
      <c r="WE110" s="21"/>
      <c r="WF110" s="21"/>
      <c r="WG110" s="21"/>
      <c r="WH110" s="21"/>
      <c r="WI110" s="21"/>
      <c r="WJ110" s="21"/>
      <c r="WK110" s="21"/>
      <c r="WL110" s="21"/>
      <c r="WM110" s="21"/>
      <c r="WN110" s="21"/>
      <c r="WO110" s="21"/>
      <c r="WP110" s="21"/>
      <c r="WQ110" s="21"/>
      <c r="WR110" s="21"/>
      <c r="WS110" s="21"/>
      <c r="WT110" s="21"/>
      <c r="WU110" s="21"/>
      <c r="WV110" s="21"/>
      <c r="WW110" s="21"/>
      <c r="WX110" s="21"/>
      <c r="WY110" s="21"/>
      <c r="WZ110" s="21"/>
      <c r="XA110" s="21"/>
      <c r="XB110" s="21"/>
      <c r="XC110" s="21"/>
      <c r="XD110" s="21"/>
      <c r="XE110" s="21"/>
      <c r="XF110" s="21"/>
      <c r="XG110" s="21"/>
      <c r="XH110" s="21"/>
      <c r="XI110" s="21"/>
      <c r="XJ110" s="21"/>
      <c r="XK110" s="21"/>
      <c r="XL110" s="21"/>
      <c r="XM110" s="21"/>
      <c r="XN110" s="21"/>
      <c r="XO110" s="21"/>
      <c r="XP110" s="21"/>
      <c r="XQ110" s="21"/>
      <c r="XR110" s="21"/>
      <c r="XS110" s="21"/>
      <c r="XT110" s="21"/>
      <c r="XU110" s="21"/>
      <c r="XV110" s="21"/>
      <c r="XW110" s="21"/>
      <c r="XX110" s="21"/>
      <c r="XY110" s="21"/>
      <c r="XZ110" s="21"/>
      <c r="YA110" s="21"/>
      <c r="YB110" s="21"/>
      <c r="YC110" s="21"/>
      <c r="YD110" s="21"/>
      <c r="YE110" s="21"/>
      <c r="YF110" s="21"/>
      <c r="YG110" s="21"/>
      <c r="YH110" s="21"/>
      <c r="YI110" s="21"/>
      <c r="YJ110" s="21"/>
      <c r="YK110" s="21"/>
      <c r="YL110" s="21"/>
      <c r="YM110" s="21"/>
      <c r="YN110" s="21"/>
      <c r="YO110" s="21"/>
      <c r="YP110" s="21"/>
      <c r="YQ110" s="21"/>
      <c r="YR110" s="21"/>
      <c r="YS110" s="21"/>
      <c r="YT110" s="21"/>
      <c r="YU110" s="21"/>
      <c r="YV110" s="21"/>
      <c r="YW110" s="21"/>
      <c r="YX110" s="21"/>
      <c r="YY110" s="21"/>
      <c r="YZ110" s="21"/>
      <c r="ZA110" s="21"/>
      <c r="ZB110" s="21"/>
      <c r="ZC110" s="21"/>
      <c r="ZD110" s="21"/>
      <c r="ZE110" s="21"/>
      <c r="ZF110" s="21"/>
      <c r="ZG110" s="21"/>
      <c r="ZH110" s="21"/>
      <c r="ZI110" s="21"/>
      <c r="ZJ110" s="21"/>
      <c r="ZK110" s="21"/>
      <c r="ZL110" s="21"/>
      <c r="ZM110" s="21"/>
      <c r="ZN110" s="21"/>
      <c r="ZO110" s="21"/>
      <c r="ZP110" s="21"/>
      <c r="ZQ110" s="21"/>
      <c r="ZR110" s="21"/>
      <c r="ZS110" s="21"/>
      <c r="ZT110" s="21"/>
      <c r="ZU110" s="21"/>
      <c r="ZV110" s="21"/>
      <c r="ZW110" s="21"/>
      <c r="ZX110" s="21"/>
      <c r="ZY110" s="21"/>
      <c r="ZZ110" s="21"/>
      <c r="AAA110" s="21"/>
      <c r="AAB110" s="21"/>
      <c r="AAC110" s="21"/>
      <c r="AAD110" s="21"/>
      <c r="AAE110" s="21"/>
      <c r="AAF110" s="21"/>
      <c r="AAG110" s="21"/>
      <c r="AAH110" s="21"/>
      <c r="AAI110" s="21"/>
      <c r="AAJ110" s="21"/>
      <c r="AAK110" s="21"/>
      <c r="AAL110" s="21"/>
      <c r="AAM110" s="21"/>
      <c r="AAN110" s="21"/>
      <c r="AAO110" s="21"/>
      <c r="AAP110" s="21"/>
      <c r="AAQ110" s="21"/>
      <c r="AAR110" s="21"/>
      <c r="AAS110" s="21"/>
      <c r="AAT110" s="21"/>
      <c r="AAU110" s="21"/>
      <c r="AAV110" s="21"/>
      <c r="AAW110" s="21"/>
      <c r="AAX110" s="21"/>
      <c r="AAY110" s="21"/>
      <c r="AAZ110" s="21"/>
      <c r="ABA110" s="21"/>
      <c r="ABB110" s="21"/>
      <c r="ABC110" s="21"/>
      <c r="ABD110" s="21"/>
      <c r="ABE110" s="21"/>
      <c r="ABF110" s="21"/>
      <c r="ABG110" s="21"/>
      <c r="ABH110" s="21"/>
      <c r="ABI110" s="21"/>
      <c r="ABJ110" s="21"/>
      <c r="ABK110" s="21"/>
      <c r="ABL110" s="21"/>
      <c r="ABM110" s="21"/>
      <c r="ABN110" s="21"/>
      <c r="ABO110" s="21"/>
      <c r="ABP110" s="21"/>
      <c r="ABQ110" s="21"/>
      <c r="ABR110" s="21"/>
      <c r="ABS110" s="21"/>
      <c r="ABT110" s="21"/>
      <c r="ABU110" s="21"/>
      <c r="ABV110" s="21"/>
      <c r="ABW110" s="21"/>
      <c r="ABX110" s="21"/>
      <c r="ABY110" s="21"/>
      <c r="ABZ110" s="21"/>
      <c r="ACA110" s="21"/>
      <c r="ACB110" s="21"/>
      <c r="ACC110" s="21"/>
      <c r="ACD110" s="21"/>
      <c r="ACE110" s="21"/>
      <c r="ACF110" s="21"/>
      <c r="ACG110" s="21"/>
      <c r="ACH110" s="21"/>
      <c r="ACI110" s="21"/>
      <c r="ACJ110" s="21"/>
      <c r="ACK110" s="21"/>
      <c r="ACL110" s="21"/>
      <c r="ACM110" s="21"/>
      <c r="ACN110" s="21"/>
      <c r="ACO110" s="21"/>
      <c r="ACP110" s="21"/>
      <c r="ACQ110" s="21"/>
      <c r="ACR110" s="21"/>
      <c r="ACS110" s="21"/>
      <c r="ACT110" s="21"/>
      <c r="ACU110" s="21"/>
      <c r="ACV110" s="21"/>
      <c r="ACW110" s="21"/>
      <c r="ACX110" s="21"/>
      <c r="ACY110" s="21"/>
      <c r="ACZ110" s="21"/>
      <c r="ADA110" s="21"/>
      <c r="ADB110" s="21"/>
      <c r="ADC110" s="21"/>
      <c r="ADD110" s="21"/>
      <c r="ADE110" s="21"/>
      <c r="ADF110" s="21"/>
      <c r="ADG110" s="21"/>
      <c r="ADH110" s="21"/>
      <c r="ADI110" s="21"/>
      <c r="ADJ110" s="21"/>
      <c r="ADK110" s="21"/>
      <c r="ADL110" s="21"/>
      <c r="ADM110" s="21"/>
      <c r="ADN110" s="21"/>
      <c r="ADO110" s="21"/>
      <c r="ADP110" s="21"/>
      <c r="ADQ110" s="21"/>
      <c r="ADR110" s="21"/>
      <c r="ADS110" s="21"/>
      <c r="ADT110" s="21"/>
      <c r="ADU110" s="21"/>
      <c r="ADV110" s="21"/>
      <c r="ADW110" s="21"/>
      <c r="ADX110" s="21"/>
      <c r="ADY110" s="21"/>
      <c r="ADZ110" s="21"/>
      <c r="AEA110" s="21"/>
      <c r="AEB110" s="21"/>
      <c r="AEC110" s="21"/>
      <c r="AED110" s="21"/>
      <c r="AEE110" s="21"/>
      <c r="AEF110" s="21"/>
      <c r="AEG110" s="21"/>
      <c r="AEH110" s="21"/>
      <c r="AEI110" s="21"/>
      <c r="AEJ110" s="21"/>
      <c r="AEK110" s="21"/>
      <c r="AEL110" s="21"/>
      <c r="AEM110" s="21"/>
      <c r="AEN110" s="21"/>
      <c r="AEO110" s="21"/>
      <c r="AEP110" s="21"/>
      <c r="AEQ110" s="21"/>
      <c r="AER110" s="21"/>
      <c r="AES110" s="21"/>
      <c r="AET110" s="21"/>
      <c r="AEU110" s="21"/>
      <c r="AEV110" s="21"/>
      <c r="AEW110" s="21"/>
      <c r="AEX110" s="21"/>
      <c r="AEY110" s="21"/>
      <c r="AEZ110" s="21"/>
      <c r="AFA110" s="21"/>
      <c r="AFB110" s="21"/>
      <c r="AFC110" s="21"/>
      <c r="AFD110" s="21"/>
      <c r="AFE110" s="21"/>
      <c r="AFF110" s="21"/>
      <c r="AFG110" s="21"/>
      <c r="AFH110" s="21"/>
      <c r="AFI110" s="21"/>
      <c r="AFJ110" s="21"/>
      <c r="AFK110" s="21"/>
      <c r="AFL110" s="21"/>
      <c r="AFM110" s="21"/>
      <c r="AFN110" s="21"/>
      <c r="AFO110" s="21"/>
      <c r="AFP110" s="21"/>
      <c r="AFQ110" s="21"/>
      <c r="AFR110" s="21"/>
      <c r="AFS110" s="21"/>
      <c r="AFT110" s="21"/>
      <c r="AFU110" s="21"/>
      <c r="AFV110" s="21"/>
      <c r="AFW110" s="21"/>
      <c r="AFX110" s="21"/>
      <c r="AFY110" s="21"/>
      <c r="AFZ110" s="21"/>
      <c r="AGA110" s="21"/>
      <c r="AGB110" s="21"/>
      <c r="AGC110" s="21"/>
      <c r="AGD110" s="21"/>
      <c r="AGE110" s="21"/>
      <c r="AGF110" s="21"/>
      <c r="AGG110" s="21"/>
      <c r="AGH110" s="21"/>
      <c r="AGI110" s="21"/>
      <c r="AGJ110" s="21"/>
      <c r="AGK110" s="21"/>
      <c r="AGL110" s="21"/>
      <c r="AGM110" s="21"/>
      <c r="AGN110" s="21"/>
      <c r="AGO110" s="21"/>
      <c r="AGP110" s="21"/>
      <c r="AGQ110" s="21"/>
      <c r="AGR110" s="21"/>
      <c r="AGS110" s="21"/>
      <c r="AGT110" s="21"/>
      <c r="AGU110" s="21"/>
      <c r="AGV110" s="21"/>
      <c r="AGW110" s="21"/>
      <c r="AGX110" s="21"/>
      <c r="AGY110" s="21"/>
      <c r="AGZ110" s="21"/>
      <c r="AHA110" s="21"/>
      <c r="AHB110" s="21"/>
      <c r="AHC110" s="21"/>
      <c r="AHD110" s="21"/>
      <c r="AHE110" s="21"/>
      <c r="AHF110" s="21"/>
      <c r="AHG110" s="21"/>
      <c r="AHH110" s="21"/>
      <c r="AHI110" s="21"/>
      <c r="AHJ110" s="21"/>
      <c r="AHK110" s="21"/>
      <c r="AHL110" s="21"/>
      <c r="AHM110" s="21"/>
      <c r="AHN110" s="21"/>
      <c r="AHO110" s="21"/>
      <c r="AHP110" s="21"/>
      <c r="AHQ110" s="21"/>
      <c r="AHR110" s="21"/>
      <c r="AHS110" s="21"/>
      <c r="AHT110" s="21"/>
      <c r="AHU110" s="21"/>
      <c r="AHV110" s="21"/>
      <c r="AHW110" s="21"/>
      <c r="AHX110" s="21"/>
      <c r="AHY110" s="21"/>
      <c r="AHZ110" s="21"/>
      <c r="AIA110" s="21"/>
      <c r="AIB110" s="21"/>
      <c r="AIC110" s="21"/>
      <c r="AID110" s="21"/>
      <c r="AIE110" s="21"/>
      <c r="AIF110" s="21"/>
      <c r="AIG110" s="21"/>
      <c r="AIH110" s="21"/>
      <c r="AII110" s="21"/>
      <c r="AIJ110" s="21"/>
      <c r="AIK110" s="21"/>
      <c r="AIL110" s="21"/>
      <c r="AIM110" s="21"/>
      <c r="AIN110" s="21"/>
      <c r="AIO110" s="21"/>
      <c r="AIP110" s="21"/>
      <c r="AIQ110" s="21"/>
      <c r="AIR110" s="21"/>
      <c r="AIS110" s="21"/>
      <c r="AIT110" s="21"/>
      <c r="AIU110" s="21"/>
      <c r="AIV110" s="21"/>
      <c r="AIW110" s="21"/>
      <c r="AIX110" s="21"/>
      <c r="AIY110" s="21"/>
      <c r="AIZ110" s="21"/>
      <c r="AJA110" s="21"/>
      <c r="AJB110" s="21"/>
      <c r="AJC110" s="21"/>
      <c r="AJD110" s="21"/>
      <c r="AJE110" s="21"/>
      <c r="AJF110" s="21"/>
      <c r="AJG110" s="21"/>
      <c r="AJH110" s="21"/>
      <c r="AJI110" s="21"/>
      <c r="AJJ110" s="21"/>
      <c r="AJK110" s="21"/>
      <c r="AJL110" s="21"/>
      <c r="AJM110" s="21"/>
      <c r="AJN110" s="21"/>
      <c r="AJO110" s="21"/>
      <c r="AJP110" s="21"/>
      <c r="AJQ110" s="21"/>
      <c r="AJR110" s="21"/>
      <c r="AJS110" s="21"/>
      <c r="AJT110" s="21"/>
      <c r="AJU110" s="21"/>
      <c r="AJV110" s="21"/>
      <c r="AJW110" s="21"/>
      <c r="AJX110" s="21"/>
      <c r="AJY110" s="21"/>
      <c r="AJZ110" s="21"/>
      <c r="AKA110" s="21"/>
      <c r="AKB110" s="21"/>
      <c r="AKC110" s="21"/>
      <c r="AKD110" s="21"/>
      <c r="AKE110" s="21"/>
      <c r="AKF110" s="21"/>
      <c r="AKG110" s="21"/>
      <c r="AKH110" s="21"/>
      <c r="AKI110" s="21"/>
      <c r="AKJ110" s="21"/>
      <c r="AKK110" s="21"/>
      <c r="AKL110" s="21"/>
      <c r="AKM110" s="21"/>
      <c r="AKN110" s="21"/>
      <c r="AKO110" s="21"/>
      <c r="AKP110" s="21"/>
      <c r="AKQ110" s="21"/>
      <c r="AKR110" s="21"/>
      <c r="AKS110" s="21"/>
      <c r="AKT110" s="21"/>
      <c r="AKU110" s="21"/>
      <c r="AKV110" s="21"/>
      <c r="AKW110" s="21"/>
      <c r="AKX110" s="21"/>
      <c r="AKY110" s="21"/>
      <c r="AKZ110" s="21"/>
      <c r="ALA110" s="21"/>
      <c r="ALB110" s="21"/>
      <c r="ALC110" s="21"/>
      <c r="ALD110" s="21"/>
      <c r="ALE110" s="21"/>
      <c r="ALF110" s="21"/>
      <c r="ALG110" s="21"/>
      <c r="ALH110" s="21"/>
      <c r="ALI110" s="21"/>
      <c r="ALJ110" s="21"/>
      <c r="ALK110" s="21"/>
      <c r="ALL110" s="21"/>
      <c r="ALM110" s="21"/>
      <c r="ALN110" s="21"/>
      <c r="ALO110" s="21"/>
      <c r="ALP110" s="21"/>
      <c r="ALQ110" s="21"/>
      <c r="ALR110" s="21"/>
      <c r="ALS110" s="21"/>
      <c r="ALT110" s="21"/>
      <c r="ALU110" s="21"/>
      <c r="ALV110" s="21"/>
      <c r="ALW110" s="21"/>
      <c r="ALX110" s="21"/>
      <c r="ALY110" s="21"/>
      <c r="ALZ110" s="21"/>
      <c r="AMA110" s="21"/>
      <c r="AMB110" s="21"/>
      <c r="AMC110" s="21"/>
      <c r="AMD110" s="21"/>
      <c r="AME110" s="21"/>
      <c r="AMF110" s="21"/>
      <c r="AMG110" s="21"/>
      <c r="AMH110" s="21"/>
      <c r="AMI110" s="21"/>
      <c r="AMJ110" s="21"/>
      <c r="AMK110" s="21"/>
      <c r="AML110" s="21"/>
      <c r="AMM110" s="21"/>
      <c r="AMN110" s="21"/>
      <c r="AMO110" s="21"/>
      <c r="AMP110" s="21"/>
      <c r="AMQ110" s="21"/>
      <c r="AMR110" s="21"/>
      <c r="AMS110" s="21"/>
      <c r="AMT110" s="21"/>
      <c r="AMU110" s="21"/>
      <c r="AMV110" s="21"/>
      <c r="AMW110" s="21"/>
      <c r="AMX110" s="21"/>
      <c r="AMY110" s="21"/>
      <c r="AMZ110" s="21"/>
      <c r="ANA110" s="21"/>
      <c r="ANB110" s="21"/>
      <c r="ANC110" s="21"/>
      <c r="AND110" s="21"/>
      <c r="ANE110" s="21"/>
      <c r="ANF110" s="21"/>
      <c r="ANG110" s="21"/>
      <c r="ANH110" s="21"/>
      <c r="ANI110" s="21"/>
      <c r="ANJ110" s="21"/>
      <c r="ANK110" s="21"/>
      <c r="ANL110" s="21"/>
      <c r="ANM110" s="21"/>
      <c r="ANN110" s="21"/>
      <c r="ANO110" s="21"/>
      <c r="ANP110" s="21"/>
      <c r="ANQ110" s="21"/>
      <c r="ANR110" s="21"/>
      <c r="ANS110" s="21"/>
      <c r="ANT110" s="21"/>
      <c r="ANU110" s="21"/>
      <c r="ANV110" s="21"/>
      <c r="ANW110" s="21"/>
      <c r="ANX110" s="21"/>
      <c r="ANY110" s="21"/>
      <c r="ANZ110" s="21"/>
      <c r="AOA110" s="21"/>
      <c r="AOB110" s="21"/>
      <c r="AOC110" s="21"/>
      <c r="AOD110" s="21"/>
      <c r="AOE110" s="21"/>
      <c r="AOF110" s="21"/>
      <c r="AOG110" s="21"/>
      <c r="AOH110" s="21"/>
      <c r="AOI110" s="21"/>
      <c r="AOJ110" s="21"/>
      <c r="AOK110" s="21"/>
      <c r="AOL110" s="21"/>
      <c r="AOM110" s="21"/>
      <c r="AON110" s="21"/>
      <c r="AOO110" s="21"/>
      <c r="AOP110" s="21"/>
      <c r="AOQ110" s="21"/>
      <c r="AOR110" s="21"/>
      <c r="AOS110" s="21"/>
      <c r="AOT110" s="21"/>
      <c r="AOU110" s="21"/>
      <c r="AOV110" s="21"/>
      <c r="AOW110" s="21"/>
      <c r="AOX110" s="21"/>
      <c r="AOY110" s="21"/>
      <c r="AOZ110" s="21"/>
      <c r="APA110" s="21"/>
      <c r="APB110" s="21"/>
      <c r="APC110" s="21"/>
      <c r="APD110" s="21"/>
      <c r="APE110" s="21"/>
      <c r="APF110" s="21"/>
      <c r="APG110" s="21"/>
      <c r="APH110" s="21"/>
      <c r="API110" s="21"/>
      <c r="APJ110" s="21"/>
      <c r="APK110" s="21"/>
      <c r="APL110" s="21"/>
      <c r="APM110" s="21"/>
      <c r="APN110" s="21"/>
      <c r="APO110" s="21"/>
      <c r="APP110" s="21"/>
      <c r="APQ110" s="21"/>
      <c r="APR110" s="21"/>
      <c r="APS110" s="21"/>
      <c r="APT110" s="21"/>
      <c r="APU110" s="21"/>
      <c r="APV110" s="21"/>
      <c r="APW110" s="21"/>
      <c r="APX110" s="21"/>
      <c r="APY110" s="21"/>
      <c r="APZ110" s="21"/>
      <c r="AQA110" s="21"/>
      <c r="AQB110" s="21"/>
      <c r="AQC110" s="21"/>
      <c r="AQD110" s="21"/>
      <c r="AQE110" s="21"/>
      <c r="AQF110" s="21"/>
      <c r="AQG110" s="21"/>
      <c r="AQH110" s="21"/>
      <c r="AQI110" s="21"/>
      <c r="AQJ110" s="21"/>
      <c r="AQK110" s="21"/>
      <c r="AQL110" s="21"/>
      <c r="AQM110" s="21"/>
      <c r="AQN110" s="21"/>
      <c r="AQO110" s="21"/>
      <c r="AQP110" s="21"/>
      <c r="AQQ110" s="21"/>
      <c r="AQR110" s="21"/>
      <c r="AQS110" s="21"/>
      <c r="AQT110" s="21"/>
      <c r="AQU110" s="21"/>
      <c r="AQV110" s="21"/>
      <c r="AQW110" s="21"/>
      <c r="AQX110" s="21"/>
      <c r="AQY110" s="21"/>
      <c r="AQZ110" s="21"/>
      <c r="ARA110" s="21"/>
      <c r="ARB110" s="21"/>
      <c r="ARC110" s="21"/>
      <c r="ARD110" s="21"/>
      <c r="ARE110" s="21"/>
      <c r="ARF110" s="21"/>
      <c r="ARG110" s="21"/>
      <c r="ARH110" s="21"/>
      <c r="ARI110" s="21"/>
      <c r="ARJ110" s="21"/>
      <c r="ARK110" s="21"/>
      <c r="ARL110" s="21"/>
      <c r="ARM110" s="21"/>
      <c r="ARN110" s="21"/>
      <c r="ARO110" s="21"/>
      <c r="ARP110" s="21"/>
      <c r="ARQ110" s="21"/>
      <c r="ARR110" s="21"/>
      <c r="ARS110" s="21"/>
      <c r="ART110" s="21"/>
      <c r="ARU110" s="21"/>
      <c r="ARV110" s="21"/>
      <c r="ARW110" s="21"/>
      <c r="ARX110" s="21"/>
      <c r="ARY110" s="21"/>
      <c r="ARZ110" s="21"/>
      <c r="ASA110" s="21"/>
      <c r="ASB110" s="21"/>
      <c r="ASC110" s="21"/>
      <c r="ASD110" s="21"/>
      <c r="ASE110" s="21"/>
      <c r="ASF110" s="21"/>
      <c r="ASG110" s="21"/>
      <c r="ASH110" s="21"/>
      <c r="ASI110" s="21"/>
      <c r="ASJ110" s="21"/>
      <c r="ASK110" s="21"/>
      <c r="ASL110" s="21"/>
      <c r="ASM110" s="21"/>
      <c r="ASN110" s="21"/>
      <c r="ASO110" s="21"/>
      <c r="ASP110" s="21"/>
      <c r="ASQ110" s="21"/>
      <c r="ASR110" s="21"/>
      <c r="ASS110" s="21"/>
      <c r="AST110" s="21"/>
      <c r="ASU110" s="21"/>
      <c r="ASV110" s="21"/>
      <c r="ASW110" s="21"/>
      <c r="ASX110" s="21"/>
      <c r="ASY110" s="21"/>
      <c r="ASZ110" s="21"/>
      <c r="ATA110" s="21"/>
      <c r="ATB110" s="21"/>
      <c r="ATC110" s="21"/>
      <c r="ATD110" s="21"/>
      <c r="ATE110" s="21"/>
      <c r="ATF110" s="21"/>
      <c r="ATG110" s="21"/>
      <c r="ATH110" s="21"/>
      <c r="ATI110" s="21"/>
      <c r="ATJ110" s="21"/>
      <c r="ATK110" s="21"/>
      <c r="ATL110" s="21"/>
      <c r="ATM110" s="21"/>
      <c r="ATN110" s="21"/>
      <c r="ATO110" s="21"/>
      <c r="ATP110" s="21"/>
      <c r="ATQ110" s="21"/>
      <c r="ATR110" s="21"/>
      <c r="ATS110" s="21"/>
      <c r="ATT110" s="21"/>
      <c r="ATU110" s="21"/>
      <c r="ATV110" s="21"/>
      <c r="ATW110" s="21"/>
      <c r="ATX110" s="21"/>
      <c r="ATY110" s="21"/>
      <c r="ATZ110" s="21"/>
      <c r="AUA110" s="21"/>
      <c r="AUB110" s="21"/>
      <c r="AUC110" s="21"/>
      <c r="AUD110" s="21"/>
      <c r="AUE110" s="21"/>
      <c r="AUF110" s="21"/>
      <c r="AUG110" s="21"/>
      <c r="AUH110" s="21"/>
      <c r="AUI110" s="21"/>
      <c r="AUJ110" s="21"/>
      <c r="AUK110" s="21"/>
      <c r="AUL110" s="21"/>
      <c r="AUM110" s="21"/>
      <c r="AUN110" s="21"/>
      <c r="AUO110" s="21"/>
      <c r="AUP110" s="21"/>
      <c r="AUQ110" s="21"/>
      <c r="AUR110" s="21"/>
      <c r="AUS110" s="21"/>
      <c r="AUT110" s="21"/>
      <c r="AUU110" s="21"/>
      <c r="AUV110" s="21"/>
      <c r="AUW110" s="21"/>
      <c r="AUX110" s="21"/>
      <c r="AUY110" s="21"/>
      <c r="AUZ110" s="21"/>
      <c r="AVA110" s="21"/>
      <c r="AVB110" s="21"/>
      <c r="AVC110" s="21"/>
      <c r="AVD110" s="21"/>
      <c r="AVE110" s="21"/>
      <c r="AVF110" s="21"/>
      <c r="AVG110" s="21"/>
      <c r="AVH110" s="21"/>
      <c r="AVI110" s="21"/>
      <c r="AVJ110" s="21"/>
      <c r="AVK110" s="21"/>
      <c r="AVL110" s="21"/>
      <c r="AVM110" s="21"/>
      <c r="AVN110" s="21"/>
      <c r="AVO110" s="21"/>
      <c r="AVP110" s="21"/>
      <c r="AVQ110" s="21"/>
      <c r="AVR110" s="21"/>
      <c r="AVS110" s="21"/>
      <c r="AVT110" s="21"/>
      <c r="AVU110" s="21"/>
      <c r="AVV110" s="21"/>
      <c r="AVW110" s="21"/>
      <c r="AVX110" s="21"/>
      <c r="AVY110" s="21"/>
      <c r="AVZ110" s="21"/>
      <c r="AWA110" s="21"/>
      <c r="AWB110" s="21"/>
      <c r="AWC110" s="21"/>
      <c r="AWD110" s="21"/>
      <c r="AWE110" s="21"/>
      <c r="AWF110" s="21"/>
      <c r="AWG110" s="21"/>
      <c r="AWH110" s="21"/>
      <c r="AWI110" s="21"/>
      <c r="AWJ110" s="21"/>
      <c r="AWK110" s="21"/>
      <c r="AWL110" s="21"/>
      <c r="AWM110" s="21"/>
      <c r="AWN110" s="21"/>
      <c r="AWO110" s="21"/>
      <c r="AWP110" s="21"/>
      <c r="AWQ110" s="21"/>
      <c r="AWR110" s="21"/>
      <c r="AWS110" s="21"/>
      <c r="AWT110" s="21"/>
      <c r="AWU110" s="21"/>
      <c r="AWV110" s="21"/>
      <c r="AWW110" s="21"/>
      <c r="AWX110" s="21"/>
      <c r="AWY110" s="21"/>
      <c r="AWZ110" s="21"/>
      <c r="AXA110" s="21"/>
      <c r="AXB110" s="21"/>
      <c r="AXC110" s="21"/>
      <c r="AXD110" s="21"/>
      <c r="AXE110" s="21"/>
      <c r="AXF110" s="21"/>
      <c r="AXG110" s="21"/>
      <c r="AXH110" s="21"/>
      <c r="AXI110" s="21"/>
      <c r="AXJ110" s="21"/>
      <c r="AXK110" s="21"/>
      <c r="AXL110" s="21"/>
      <c r="AXM110" s="21"/>
      <c r="AXN110" s="21"/>
      <c r="AXO110" s="21"/>
      <c r="AXP110" s="21"/>
      <c r="AXQ110" s="21"/>
      <c r="AXR110" s="21"/>
      <c r="AXS110" s="21"/>
      <c r="AXT110" s="21"/>
      <c r="AXU110" s="21"/>
      <c r="AXV110" s="21"/>
      <c r="AXW110" s="21"/>
      <c r="AXX110" s="21"/>
      <c r="AXY110" s="21"/>
      <c r="AXZ110" s="21"/>
      <c r="AYA110" s="21"/>
      <c r="AYB110" s="21"/>
      <c r="AYC110" s="21"/>
      <c r="AYD110" s="21"/>
      <c r="AYE110" s="21"/>
      <c r="AYF110" s="21"/>
      <c r="AYG110" s="21"/>
      <c r="AYH110" s="21"/>
      <c r="AYI110" s="21"/>
      <c r="AYJ110" s="21"/>
      <c r="AYK110" s="21"/>
      <c r="AYL110" s="21"/>
      <c r="AYM110" s="21"/>
      <c r="AYN110" s="21"/>
      <c r="AYO110" s="21"/>
      <c r="AYP110" s="21"/>
      <c r="AYQ110" s="21"/>
      <c r="AYR110" s="21"/>
      <c r="AYS110" s="21"/>
      <c r="AYT110" s="21"/>
      <c r="AYU110" s="21"/>
      <c r="AYV110" s="21"/>
      <c r="AYW110" s="21"/>
      <c r="AYX110" s="21"/>
      <c r="AYY110" s="21"/>
      <c r="AYZ110" s="21"/>
      <c r="AZA110" s="21"/>
      <c r="AZB110" s="21"/>
      <c r="AZC110" s="21"/>
      <c r="AZD110" s="21"/>
      <c r="AZE110" s="21"/>
      <c r="AZF110" s="21"/>
      <c r="AZG110" s="21"/>
      <c r="AZH110" s="21"/>
      <c r="AZI110" s="21"/>
      <c r="AZJ110" s="21"/>
      <c r="AZK110" s="21"/>
      <c r="AZL110" s="21"/>
      <c r="AZM110" s="21"/>
      <c r="AZN110" s="21"/>
      <c r="AZO110" s="21"/>
      <c r="AZP110" s="21"/>
      <c r="AZQ110" s="21"/>
      <c r="AZR110" s="21"/>
      <c r="AZS110" s="21"/>
      <c r="AZT110" s="21"/>
      <c r="AZU110" s="21"/>
      <c r="AZV110" s="21"/>
      <c r="AZW110" s="21"/>
      <c r="AZX110" s="21"/>
      <c r="AZY110" s="21"/>
      <c r="AZZ110" s="21"/>
      <c r="BAA110" s="21"/>
      <c r="BAB110" s="21"/>
      <c r="BAC110" s="21"/>
      <c r="BAD110" s="21"/>
      <c r="BAE110" s="21"/>
      <c r="BAF110" s="21"/>
      <c r="BAG110" s="21"/>
      <c r="BAH110" s="21"/>
      <c r="BAI110" s="21"/>
      <c r="BAJ110" s="21"/>
      <c r="BAK110" s="21"/>
      <c r="BAL110" s="21"/>
      <c r="BAM110" s="21"/>
      <c r="BAN110" s="21"/>
      <c r="BAO110" s="21"/>
      <c r="BAP110" s="21"/>
      <c r="BAQ110" s="21"/>
      <c r="BAR110" s="21"/>
      <c r="BAS110" s="21"/>
      <c r="BAT110" s="21"/>
      <c r="BAU110" s="21"/>
      <c r="BAV110" s="21"/>
      <c r="BAW110" s="21"/>
      <c r="BAX110" s="21"/>
      <c r="BAY110" s="21"/>
      <c r="BAZ110" s="21"/>
      <c r="BBA110" s="21"/>
      <c r="BBB110" s="21"/>
      <c r="BBC110" s="21"/>
      <c r="BBD110" s="21"/>
      <c r="BBE110" s="21"/>
      <c r="BBF110" s="21"/>
      <c r="BBG110" s="21"/>
      <c r="BBH110" s="21"/>
      <c r="BBI110" s="21"/>
      <c r="BBJ110" s="21"/>
      <c r="BBK110" s="21"/>
      <c r="BBL110" s="21"/>
      <c r="BBM110" s="21"/>
      <c r="BBN110" s="21"/>
      <c r="BBO110" s="21"/>
      <c r="BBP110" s="21"/>
      <c r="BBQ110" s="21"/>
      <c r="BBR110" s="21"/>
      <c r="BBS110" s="21"/>
      <c r="BBT110" s="21"/>
      <c r="BBU110" s="21"/>
      <c r="BBV110" s="21"/>
      <c r="BBW110" s="21"/>
      <c r="BBX110" s="21"/>
      <c r="BBY110" s="21"/>
      <c r="BBZ110" s="21"/>
      <c r="BCA110" s="21"/>
      <c r="BCB110" s="21"/>
      <c r="BCC110" s="21"/>
      <c r="BCD110" s="21"/>
      <c r="BCE110" s="21"/>
      <c r="BCF110" s="21"/>
      <c r="BCG110" s="21"/>
      <c r="BCH110" s="21"/>
      <c r="BCI110" s="21"/>
      <c r="BCJ110" s="21"/>
      <c r="BCK110" s="21"/>
      <c r="BCL110" s="21"/>
      <c r="BCM110" s="21"/>
      <c r="BCN110" s="21"/>
      <c r="BCO110" s="21"/>
      <c r="BCP110" s="21"/>
      <c r="BCQ110" s="21"/>
      <c r="BCR110" s="21"/>
      <c r="BCS110" s="21"/>
      <c r="BCT110" s="21"/>
      <c r="BCU110" s="21"/>
      <c r="BCV110" s="21"/>
      <c r="BCW110" s="21"/>
      <c r="BCX110" s="21"/>
      <c r="BCY110" s="21"/>
      <c r="BCZ110" s="21"/>
      <c r="BDA110" s="21"/>
      <c r="BDB110" s="21"/>
      <c r="BDC110" s="21"/>
      <c r="BDD110" s="21"/>
      <c r="BDE110" s="21"/>
      <c r="BDF110" s="21"/>
      <c r="BDG110" s="21"/>
      <c r="BDH110" s="21"/>
      <c r="BDI110" s="21"/>
      <c r="BDJ110" s="21"/>
      <c r="BDK110" s="21"/>
      <c r="BDL110" s="21"/>
      <c r="BDM110" s="21"/>
      <c r="BDN110" s="21"/>
      <c r="BDO110" s="21"/>
      <c r="BDP110" s="21"/>
      <c r="BDQ110" s="21"/>
      <c r="BDR110" s="21"/>
      <c r="BDS110" s="21"/>
      <c r="BDT110" s="21"/>
      <c r="BDU110" s="21"/>
      <c r="BDV110" s="21"/>
      <c r="BDW110" s="21"/>
      <c r="BDX110" s="21"/>
      <c r="BDY110" s="21"/>
      <c r="BDZ110" s="21"/>
      <c r="BEA110" s="21"/>
      <c r="BEB110" s="21"/>
      <c r="BEC110" s="21"/>
      <c r="BED110" s="21"/>
      <c r="BEE110" s="21"/>
      <c r="BEF110" s="21"/>
      <c r="BEG110" s="21"/>
      <c r="BEH110" s="21"/>
      <c r="BEI110" s="21"/>
      <c r="BEJ110" s="21"/>
      <c r="BEK110" s="21"/>
      <c r="BEL110" s="21"/>
      <c r="BEM110" s="21"/>
      <c r="BEN110" s="21"/>
      <c r="BEO110" s="21"/>
      <c r="BEP110" s="21"/>
      <c r="BEQ110" s="21"/>
      <c r="BER110" s="21"/>
      <c r="BES110" s="21"/>
      <c r="BET110" s="21"/>
      <c r="BEU110" s="21"/>
      <c r="BEV110" s="21"/>
      <c r="BEW110" s="21"/>
      <c r="BEX110" s="21"/>
      <c r="BEY110" s="21"/>
      <c r="BEZ110" s="21"/>
      <c r="BFA110" s="21"/>
      <c r="BFB110" s="21"/>
      <c r="BFC110" s="21"/>
      <c r="BFD110" s="21"/>
      <c r="BFE110" s="21"/>
      <c r="BFF110" s="21"/>
      <c r="BFG110" s="21"/>
      <c r="BFH110" s="21"/>
      <c r="BFI110" s="21"/>
      <c r="BFJ110" s="21"/>
      <c r="BFK110" s="21"/>
      <c r="BFL110" s="21"/>
      <c r="BFM110" s="21"/>
      <c r="BFN110" s="21"/>
      <c r="BFO110" s="21"/>
      <c r="BFP110" s="21"/>
      <c r="BFQ110" s="21"/>
      <c r="BFR110" s="21"/>
      <c r="BFS110" s="21"/>
      <c r="BFT110" s="21"/>
      <c r="BFU110" s="21"/>
      <c r="BFV110" s="21"/>
      <c r="BFW110" s="21"/>
      <c r="BFX110" s="21"/>
      <c r="BFY110" s="21"/>
      <c r="BFZ110" s="21"/>
      <c r="BGA110" s="21"/>
      <c r="BGB110" s="21"/>
      <c r="BGC110" s="21"/>
      <c r="BGD110" s="21"/>
      <c r="BGE110" s="21"/>
      <c r="BGF110" s="21"/>
      <c r="BGG110" s="21"/>
      <c r="BGH110" s="21"/>
      <c r="BGI110" s="21"/>
      <c r="BGJ110" s="21"/>
      <c r="BGK110" s="21"/>
      <c r="BGL110" s="21"/>
      <c r="BGM110" s="21"/>
      <c r="BGN110" s="21"/>
      <c r="BGO110" s="21"/>
      <c r="BGP110" s="21"/>
      <c r="BGQ110" s="21"/>
      <c r="BGR110" s="21"/>
      <c r="BGS110" s="21"/>
      <c r="BGT110" s="21"/>
      <c r="BGU110" s="21"/>
      <c r="BGV110" s="21"/>
      <c r="BGW110" s="21"/>
      <c r="BGX110" s="21"/>
      <c r="BGY110" s="21"/>
      <c r="BGZ110" s="21"/>
      <c r="BHA110" s="21"/>
      <c r="BHB110" s="21"/>
      <c r="BHC110" s="21"/>
      <c r="BHD110" s="21"/>
      <c r="BHE110" s="21"/>
      <c r="BHF110" s="21"/>
      <c r="BHG110" s="21"/>
      <c r="BHH110" s="21"/>
      <c r="BHI110" s="21"/>
      <c r="BHJ110" s="21"/>
      <c r="BHK110" s="21"/>
      <c r="BHL110" s="21"/>
      <c r="BHM110" s="21"/>
      <c r="BHN110" s="21"/>
      <c r="BHO110" s="21"/>
      <c r="BHP110" s="21"/>
      <c r="BHQ110" s="21"/>
      <c r="BHR110" s="21"/>
      <c r="BHS110" s="21"/>
      <c r="BHT110" s="21"/>
      <c r="BHU110" s="21"/>
      <c r="BHV110" s="21"/>
      <c r="BHW110" s="21"/>
      <c r="BHX110" s="21"/>
      <c r="BHY110" s="21"/>
      <c r="BHZ110" s="21"/>
      <c r="BIA110" s="21"/>
      <c r="BIB110" s="21"/>
      <c r="BIC110" s="21"/>
      <c r="BID110" s="21"/>
      <c r="BIE110" s="21"/>
      <c r="BIF110" s="21"/>
      <c r="BIG110" s="21"/>
      <c r="BIH110" s="21"/>
      <c r="BII110" s="21"/>
      <c r="BIJ110" s="21"/>
      <c r="BIK110" s="21"/>
      <c r="BIL110" s="21"/>
      <c r="BIM110" s="21"/>
      <c r="BIN110" s="21"/>
      <c r="BIO110" s="21"/>
      <c r="BIP110" s="21"/>
      <c r="BIQ110" s="21"/>
      <c r="BIR110" s="21"/>
      <c r="BIS110" s="21"/>
      <c r="BIT110" s="21"/>
      <c r="BIU110" s="21"/>
      <c r="BIV110" s="21"/>
      <c r="BIW110" s="21"/>
      <c r="BIX110" s="21"/>
      <c r="BIY110" s="21"/>
      <c r="BIZ110" s="21"/>
      <c r="BJA110" s="21"/>
      <c r="BJB110" s="21"/>
      <c r="BJC110" s="21"/>
      <c r="BJD110" s="21"/>
      <c r="BJE110" s="21"/>
      <c r="BJF110" s="21"/>
      <c r="BJG110" s="21"/>
      <c r="BJH110" s="21"/>
      <c r="BJI110" s="21"/>
      <c r="BJJ110" s="21"/>
      <c r="BJK110" s="21"/>
      <c r="BJL110" s="21"/>
      <c r="BJM110" s="21"/>
      <c r="BJN110" s="21"/>
      <c r="BJO110" s="21"/>
      <c r="BJP110" s="21"/>
      <c r="BJQ110" s="21"/>
      <c r="BJR110" s="21"/>
      <c r="BJS110" s="21"/>
      <c r="BJT110" s="21"/>
      <c r="BJU110" s="21"/>
      <c r="BJV110" s="21"/>
      <c r="BJW110" s="21"/>
      <c r="BJX110" s="21"/>
      <c r="BJY110" s="21"/>
      <c r="BJZ110" s="21"/>
      <c r="BKA110" s="21"/>
      <c r="BKB110" s="21"/>
      <c r="BKC110" s="21"/>
      <c r="BKD110" s="21"/>
      <c r="BKE110" s="21"/>
      <c r="BKF110" s="21"/>
      <c r="BKG110" s="21"/>
      <c r="BKH110" s="21"/>
      <c r="BKI110" s="21"/>
      <c r="BKJ110" s="21"/>
      <c r="BKK110" s="21"/>
      <c r="BKL110" s="21"/>
      <c r="BKM110" s="21"/>
      <c r="BKN110" s="21"/>
      <c r="BKO110" s="21"/>
      <c r="BKP110" s="21"/>
      <c r="BKQ110" s="21"/>
      <c r="BKR110" s="21"/>
      <c r="BKS110" s="21"/>
      <c r="BKT110" s="21"/>
      <c r="BKU110" s="21"/>
      <c r="BKV110" s="21"/>
      <c r="BKW110" s="21"/>
      <c r="BKX110" s="21"/>
      <c r="BKY110" s="21"/>
      <c r="BKZ110" s="21"/>
      <c r="BLA110" s="21"/>
      <c r="BLB110" s="21"/>
      <c r="BLC110" s="21"/>
      <c r="BLD110" s="21"/>
      <c r="BLE110" s="21"/>
      <c r="BLF110" s="21"/>
      <c r="BLG110" s="21"/>
      <c r="BLH110" s="21"/>
      <c r="BLI110" s="21"/>
      <c r="BLJ110" s="21"/>
      <c r="BLK110" s="21"/>
      <c r="BLL110" s="21"/>
      <c r="BLM110" s="21"/>
      <c r="BLN110" s="21"/>
      <c r="BLO110" s="21"/>
      <c r="BLP110" s="21"/>
      <c r="BLQ110" s="21"/>
      <c r="BLR110" s="21"/>
      <c r="BLS110" s="21"/>
      <c r="BLT110" s="21"/>
      <c r="BLU110" s="21"/>
      <c r="BLV110" s="21"/>
      <c r="BLW110" s="21"/>
      <c r="BLX110" s="21"/>
      <c r="BLY110" s="21"/>
      <c r="BLZ110" s="21"/>
      <c r="BMA110" s="21"/>
      <c r="BMB110" s="21"/>
      <c r="BMC110" s="21"/>
      <c r="BMD110" s="21"/>
      <c r="BME110" s="21"/>
      <c r="BMF110" s="21"/>
      <c r="BMG110" s="21"/>
      <c r="BMH110" s="21"/>
      <c r="BMI110" s="21"/>
      <c r="BMJ110" s="21"/>
      <c r="BMK110" s="21"/>
      <c r="BML110" s="21"/>
      <c r="BMM110" s="21"/>
      <c r="BMN110" s="21"/>
      <c r="BMO110" s="21"/>
      <c r="BMP110" s="21"/>
      <c r="BMQ110" s="21"/>
      <c r="BMR110" s="21"/>
      <c r="BMS110" s="21"/>
      <c r="BMT110" s="21"/>
      <c r="BMU110" s="21"/>
      <c r="BMV110" s="21"/>
      <c r="BMW110" s="21"/>
      <c r="BMX110" s="21"/>
      <c r="BMY110" s="21"/>
      <c r="BMZ110" s="21"/>
      <c r="BNA110" s="21"/>
      <c r="BNB110" s="21"/>
      <c r="BNC110" s="21"/>
      <c r="BND110" s="21"/>
      <c r="BNE110" s="21"/>
      <c r="BNF110" s="21"/>
      <c r="BNG110" s="21"/>
      <c r="BNH110" s="21"/>
      <c r="BNI110" s="21"/>
      <c r="BNJ110" s="21"/>
      <c r="BNK110" s="21"/>
      <c r="BNL110" s="21"/>
      <c r="BNM110" s="21"/>
      <c r="BNN110" s="21"/>
      <c r="BNO110" s="21"/>
      <c r="BNP110" s="21"/>
      <c r="BNQ110" s="21"/>
      <c r="BNR110" s="21"/>
      <c r="BNS110" s="21"/>
      <c r="BNT110" s="21"/>
      <c r="BNU110" s="21"/>
      <c r="BNV110" s="21"/>
      <c r="BNW110" s="21"/>
      <c r="BNX110" s="21"/>
      <c r="BNY110" s="21"/>
      <c r="BNZ110" s="21"/>
      <c r="BOA110" s="21"/>
      <c r="BOB110" s="21"/>
      <c r="BOC110" s="21"/>
      <c r="BOD110" s="21"/>
      <c r="BOE110" s="21"/>
      <c r="BOF110" s="21"/>
      <c r="BOG110" s="21"/>
      <c r="BOH110" s="21"/>
      <c r="BOI110" s="21"/>
      <c r="BOJ110" s="21"/>
      <c r="BOK110" s="21"/>
      <c r="BOL110" s="21"/>
      <c r="BOM110" s="21"/>
      <c r="BON110" s="21"/>
      <c r="BOO110" s="21"/>
      <c r="BOP110" s="21"/>
      <c r="BOQ110" s="21"/>
      <c r="BOR110" s="21"/>
      <c r="BOS110" s="21"/>
      <c r="BOT110" s="21"/>
      <c r="BOU110" s="21"/>
      <c r="BOV110" s="21"/>
      <c r="BOW110" s="21"/>
      <c r="BOX110" s="21"/>
      <c r="BOY110" s="21"/>
      <c r="BOZ110" s="21"/>
      <c r="BPA110" s="21"/>
      <c r="BPB110" s="21"/>
      <c r="BPC110" s="21"/>
      <c r="BPD110" s="21"/>
      <c r="BPE110" s="21"/>
      <c r="BPF110" s="21"/>
      <c r="BPG110" s="21"/>
      <c r="BPH110" s="21"/>
      <c r="BPI110" s="21"/>
      <c r="BPJ110" s="21"/>
      <c r="BPK110" s="21"/>
      <c r="BPL110" s="21"/>
      <c r="BPM110" s="21"/>
      <c r="BPN110" s="21"/>
      <c r="BPO110" s="21"/>
      <c r="BPP110" s="21"/>
      <c r="BPQ110" s="21"/>
      <c r="BPR110" s="21"/>
      <c r="BPS110" s="21"/>
      <c r="BPT110" s="21"/>
      <c r="BPU110" s="21"/>
      <c r="BPV110" s="21"/>
      <c r="BPW110" s="21"/>
      <c r="BPX110" s="21"/>
      <c r="BPY110" s="21"/>
      <c r="BPZ110" s="21"/>
      <c r="BQA110" s="21"/>
      <c r="BQB110" s="21"/>
      <c r="BQC110" s="21"/>
      <c r="BQD110" s="21"/>
      <c r="BQE110" s="21"/>
      <c r="BQF110" s="21"/>
      <c r="BQG110" s="21"/>
      <c r="BQH110" s="21"/>
      <c r="BQI110" s="21"/>
      <c r="BQJ110" s="21"/>
      <c r="BQK110" s="21"/>
      <c r="BQL110" s="21"/>
      <c r="BQM110" s="21"/>
      <c r="BQN110" s="21"/>
      <c r="BQO110" s="21"/>
      <c r="BQP110" s="21"/>
      <c r="BQQ110" s="21"/>
      <c r="BQR110" s="21"/>
      <c r="BQS110" s="21"/>
      <c r="BQT110" s="21"/>
      <c r="BQU110" s="21"/>
      <c r="BQV110" s="21"/>
      <c r="BQW110" s="21"/>
      <c r="BQX110" s="21"/>
      <c r="BQY110" s="21"/>
      <c r="BQZ110" s="21"/>
      <c r="BRA110" s="21"/>
      <c r="BRB110" s="21"/>
      <c r="BRC110" s="21"/>
      <c r="BRD110" s="21"/>
      <c r="BRE110" s="21"/>
      <c r="BRF110" s="21"/>
      <c r="BRG110" s="21"/>
      <c r="BRH110" s="21"/>
      <c r="BRI110" s="21"/>
      <c r="BRJ110" s="21"/>
      <c r="BRK110" s="21"/>
      <c r="BRL110" s="21"/>
      <c r="BRM110" s="21"/>
      <c r="BRN110" s="21"/>
      <c r="BRO110" s="21"/>
      <c r="BRP110" s="21"/>
      <c r="BRQ110" s="21"/>
      <c r="BRR110" s="21"/>
      <c r="BRS110" s="21"/>
      <c r="BRT110" s="21"/>
      <c r="BRU110" s="21"/>
      <c r="BRV110" s="21"/>
      <c r="BRW110" s="21"/>
      <c r="BRX110" s="21"/>
      <c r="BRY110" s="21"/>
      <c r="BRZ110" s="21"/>
      <c r="BSA110" s="21"/>
      <c r="BSB110" s="21"/>
      <c r="BSC110" s="21"/>
      <c r="BSD110" s="21"/>
      <c r="BSE110" s="21"/>
      <c r="BSF110" s="21"/>
      <c r="BSG110" s="21"/>
      <c r="BSH110" s="21"/>
      <c r="BSI110" s="21"/>
      <c r="BSJ110" s="21"/>
      <c r="BSK110" s="21"/>
      <c r="BSL110" s="21"/>
      <c r="BSM110" s="21"/>
      <c r="BSN110" s="21"/>
      <c r="BSO110" s="21"/>
      <c r="BSP110" s="21"/>
      <c r="BSQ110" s="21"/>
      <c r="BSR110" s="21"/>
      <c r="BSS110" s="21"/>
      <c r="BST110" s="21"/>
      <c r="BSU110" s="21"/>
      <c r="BSV110" s="21"/>
      <c r="BSW110" s="21"/>
      <c r="BSX110" s="21"/>
      <c r="BSY110" s="21"/>
      <c r="BSZ110" s="21"/>
      <c r="BTA110" s="21"/>
      <c r="BTB110" s="21"/>
      <c r="BTC110" s="21"/>
      <c r="BTD110" s="21"/>
      <c r="BTE110" s="21"/>
      <c r="BTF110" s="21"/>
      <c r="BTG110" s="21"/>
      <c r="BTH110" s="21"/>
      <c r="BTI110" s="21"/>
      <c r="BTJ110" s="21"/>
      <c r="BTK110" s="21"/>
      <c r="BTL110" s="21"/>
      <c r="BTM110" s="21"/>
      <c r="BTN110" s="21"/>
      <c r="BTO110" s="21"/>
      <c r="BTP110" s="21"/>
      <c r="BTQ110" s="21"/>
      <c r="BTR110" s="21"/>
      <c r="BTS110" s="21"/>
      <c r="BTT110" s="21"/>
      <c r="BTU110" s="21"/>
      <c r="BTV110" s="21"/>
      <c r="BTW110" s="21"/>
      <c r="BTX110" s="21"/>
      <c r="BTY110" s="21"/>
      <c r="BTZ110" s="21"/>
      <c r="BUA110" s="21"/>
      <c r="BUB110" s="21"/>
      <c r="BUC110" s="21"/>
      <c r="BUD110" s="21"/>
      <c r="BUE110" s="21"/>
      <c r="BUF110" s="21"/>
      <c r="BUG110" s="21"/>
      <c r="BUH110" s="21"/>
      <c r="BUI110" s="21"/>
      <c r="BUJ110" s="21"/>
      <c r="BUK110" s="21"/>
      <c r="BUL110" s="21"/>
      <c r="BUM110" s="21"/>
      <c r="BUN110" s="21"/>
      <c r="BUO110" s="21"/>
      <c r="BUP110" s="21"/>
      <c r="BUQ110" s="21"/>
      <c r="BUR110" s="21"/>
      <c r="BUS110" s="21"/>
      <c r="BUT110" s="21"/>
      <c r="BUU110" s="21"/>
      <c r="BUV110" s="21"/>
      <c r="BUW110" s="21"/>
      <c r="BUX110" s="21"/>
      <c r="BUY110" s="21"/>
      <c r="BUZ110" s="21"/>
      <c r="BVA110" s="21"/>
      <c r="BVB110" s="21"/>
      <c r="BVC110" s="21"/>
      <c r="BVD110" s="21"/>
      <c r="BVE110" s="21"/>
      <c r="BVF110" s="21"/>
      <c r="BVG110" s="21"/>
      <c r="BVH110" s="21"/>
      <c r="BVI110" s="21"/>
      <c r="BVJ110" s="21"/>
      <c r="BVK110" s="21"/>
      <c r="BVL110" s="21"/>
      <c r="BVM110" s="21"/>
      <c r="BVN110" s="21"/>
      <c r="BVO110" s="21"/>
      <c r="BVP110" s="21"/>
      <c r="BVQ110" s="21"/>
      <c r="BVR110" s="21"/>
      <c r="BVS110" s="21"/>
      <c r="BVT110" s="21"/>
      <c r="BVU110" s="21"/>
      <c r="BVV110" s="21"/>
      <c r="BVW110" s="21"/>
      <c r="BVX110" s="21"/>
      <c r="BVY110" s="21"/>
      <c r="BVZ110" s="21"/>
      <c r="BWA110" s="21"/>
      <c r="BWB110" s="21"/>
      <c r="BWC110" s="21"/>
      <c r="BWD110" s="21"/>
      <c r="BWE110" s="21"/>
      <c r="BWF110" s="21"/>
      <c r="BWG110" s="21"/>
      <c r="BWH110" s="21"/>
      <c r="BWI110" s="21"/>
      <c r="BWJ110" s="21"/>
      <c r="BWK110" s="21"/>
      <c r="BWL110" s="21"/>
      <c r="BWM110" s="21"/>
      <c r="BWN110" s="21"/>
      <c r="BWO110" s="21"/>
      <c r="BWP110" s="21"/>
      <c r="BWQ110" s="21"/>
      <c r="BWR110" s="21"/>
      <c r="BWS110" s="21"/>
      <c r="BWT110" s="21"/>
      <c r="BWU110" s="21"/>
      <c r="BWV110" s="21"/>
      <c r="BWW110" s="21"/>
      <c r="BWX110" s="21"/>
      <c r="BWY110" s="21"/>
      <c r="BWZ110" s="21"/>
      <c r="BXA110" s="21"/>
      <c r="BXB110" s="21"/>
      <c r="BXC110" s="21"/>
      <c r="BXD110" s="21"/>
      <c r="BXE110" s="21"/>
      <c r="BXF110" s="21"/>
      <c r="BXG110" s="21"/>
      <c r="BXH110" s="21"/>
      <c r="BXI110" s="21"/>
      <c r="BXJ110" s="21"/>
      <c r="BXK110" s="21"/>
      <c r="BXL110" s="21"/>
      <c r="BXM110" s="21"/>
      <c r="BXN110" s="21"/>
      <c r="BXO110" s="21"/>
      <c r="BXP110" s="21"/>
      <c r="BXQ110" s="21"/>
      <c r="BXR110" s="21"/>
      <c r="BXS110" s="21"/>
      <c r="BXT110" s="21"/>
      <c r="BXU110" s="21"/>
      <c r="BXV110" s="21"/>
      <c r="BXW110" s="21"/>
      <c r="BXX110" s="21"/>
      <c r="BXY110" s="21"/>
      <c r="BXZ110" s="21"/>
      <c r="BYA110" s="21"/>
      <c r="BYB110" s="21"/>
      <c r="BYC110" s="21"/>
      <c r="BYD110" s="21"/>
      <c r="BYE110" s="21"/>
      <c r="BYF110" s="21"/>
      <c r="BYG110" s="21"/>
      <c r="BYH110" s="21"/>
      <c r="BYI110" s="21"/>
      <c r="BYJ110" s="21"/>
      <c r="BYK110" s="21"/>
      <c r="BYL110" s="21"/>
      <c r="BYM110" s="21"/>
      <c r="BYN110" s="21"/>
      <c r="BYO110" s="21"/>
      <c r="BYP110" s="21"/>
      <c r="BYQ110" s="21"/>
      <c r="BYR110" s="21"/>
      <c r="BYS110" s="21"/>
      <c r="BYT110" s="21"/>
      <c r="BYU110" s="21"/>
      <c r="BYV110" s="21"/>
      <c r="BYW110" s="21"/>
      <c r="BYX110" s="21"/>
      <c r="BYY110" s="21"/>
      <c r="BYZ110" s="21"/>
      <c r="BZA110" s="21"/>
      <c r="BZB110" s="21"/>
      <c r="BZC110" s="21"/>
      <c r="BZD110" s="21"/>
      <c r="BZE110" s="21"/>
      <c r="BZF110" s="21"/>
      <c r="BZG110" s="21"/>
      <c r="BZH110" s="21"/>
      <c r="BZI110" s="21"/>
      <c r="BZJ110" s="21"/>
      <c r="BZK110" s="21"/>
      <c r="BZL110" s="21"/>
      <c r="BZM110" s="21"/>
      <c r="BZN110" s="21"/>
      <c r="BZO110" s="21"/>
      <c r="BZP110" s="21"/>
      <c r="BZQ110" s="21"/>
      <c r="BZR110" s="21"/>
      <c r="BZS110" s="21"/>
      <c r="BZT110" s="21"/>
      <c r="BZU110" s="21"/>
      <c r="BZV110" s="21"/>
      <c r="BZW110" s="21"/>
      <c r="BZX110" s="21"/>
      <c r="BZY110" s="21"/>
      <c r="BZZ110" s="21"/>
      <c r="CAA110" s="21"/>
      <c r="CAB110" s="21"/>
      <c r="CAC110" s="21"/>
      <c r="CAD110" s="21"/>
      <c r="CAE110" s="21"/>
      <c r="CAF110" s="21"/>
      <c r="CAG110" s="21"/>
      <c r="CAH110" s="21"/>
      <c r="CAI110" s="21"/>
      <c r="CAJ110" s="21"/>
      <c r="CAK110" s="21"/>
      <c r="CAL110" s="21"/>
      <c r="CAM110" s="21"/>
      <c r="CAN110" s="21"/>
      <c r="CAO110" s="21"/>
      <c r="CAP110" s="21"/>
      <c r="CAQ110" s="21"/>
      <c r="CAR110" s="21"/>
      <c r="CAS110" s="21"/>
      <c r="CAT110" s="21"/>
      <c r="CAU110" s="21"/>
      <c r="CAV110" s="21"/>
      <c r="CAW110" s="21"/>
      <c r="CAX110" s="21"/>
      <c r="CAY110" s="21"/>
      <c r="CAZ110" s="21"/>
      <c r="CBA110" s="21"/>
      <c r="CBB110" s="21"/>
      <c r="CBC110" s="21"/>
      <c r="CBD110" s="21"/>
      <c r="CBE110" s="21"/>
      <c r="CBF110" s="21"/>
      <c r="CBG110" s="21"/>
      <c r="CBH110" s="21"/>
      <c r="CBI110" s="21"/>
      <c r="CBJ110" s="21"/>
      <c r="CBK110" s="21"/>
      <c r="CBL110" s="21"/>
      <c r="CBM110" s="21"/>
      <c r="CBN110" s="21"/>
      <c r="CBO110" s="21"/>
      <c r="CBP110" s="21"/>
      <c r="CBQ110" s="21"/>
      <c r="CBR110" s="21"/>
      <c r="CBS110" s="21"/>
      <c r="CBT110" s="21"/>
      <c r="CBU110" s="21"/>
      <c r="CBV110" s="21"/>
      <c r="CBW110" s="21"/>
      <c r="CBX110" s="21"/>
      <c r="CBY110" s="21"/>
      <c r="CBZ110" s="21"/>
      <c r="CCA110" s="21"/>
      <c r="CCB110" s="21"/>
      <c r="CCC110" s="21"/>
      <c r="CCD110" s="21"/>
      <c r="CCE110" s="21"/>
      <c r="CCF110" s="21"/>
      <c r="CCG110" s="21"/>
      <c r="CCH110" s="21"/>
      <c r="CCI110" s="21"/>
      <c r="CCJ110" s="21"/>
      <c r="CCK110" s="21"/>
      <c r="CCL110" s="21"/>
      <c r="CCM110" s="21"/>
      <c r="CCN110" s="21"/>
      <c r="CCO110" s="21"/>
      <c r="CCP110" s="21"/>
      <c r="CCQ110" s="21"/>
      <c r="CCR110" s="21"/>
      <c r="CCS110" s="21"/>
      <c r="CCT110" s="21"/>
      <c r="CCU110" s="21"/>
      <c r="CCV110" s="21"/>
      <c r="CCW110" s="21"/>
      <c r="CCX110" s="21"/>
      <c r="CCY110" s="21"/>
      <c r="CCZ110" s="21"/>
      <c r="CDA110" s="21"/>
      <c r="CDB110" s="21"/>
      <c r="CDC110" s="21"/>
      <c r="CDD110" s="21"/>
      <c r="CDE110" s="21"/>
      <c r="CDF110" s="21"/>
      <c r="CDG110" s="21"/>
      <c r="CDH110" s="21"/>
      <c r="CDI110" s="21"/>
      <c r="CDJ110" s="21"/>
      <c r="CDK110" s="21"/>
      <c r="CDL110" s="21"/>
      <c r="CDM110" s="21"/>
      <c r="CDN110" s="21"/>
      <c r="CDO110" s="21"/>
      <c r="CDP110" s="21"/>
      <c r="CDQ110" s="21"/>
      <c r="CDR110" s="21"/>
      <c r="CDS110" s="21"/>
      <c r="CDT110" s="21"/>
      <c r="CDU110" s="21"/>
      <c r="CDV110" s="21"/>
      <c r="CDW110" s="21"/>
      <c r="CDX110" s="21"/>
      <c r="CDY110" s="21"/>
      <c r="CDZ110" s="21"/>
      <c r="CEA110" s="21"/>
      <c r="CEB110" s="21"/>
      <c r="CEC110" s="21"/>
      <c r="CED110" s="21"/>
      <c r="CEE110" s="21"/>
      <c r="CEF110" s="21"/>
      <c r="CEG110" s="21"/>
      <c r="CEH110" s="21"/>
      <c r="CEI110" s="21"/>
      <c r="CEJ110" s="21"/>
      <c r="CEK110" s="21"/>
      <c r="CEL110" s="21"/>
      <c r="CEM110" s="21"/>
      <c r="CEN110" s="21"/>
      <c r="CEO110" s="21"/>
      <c r="CEP110" s="21"/>
      <c r="CEQ110" s="21"/>
      <c r="CER110" s="21"/>
      <c r="CES110" s="21"/>
      <c r="CET110" s="21"/>
      <c r="CEU110" s="21"/>
      <c r="CEV110" s="21"/>
      <c r="CEW110" s="21"/>
      <c r="CEX110" s="21"/>
      <c r="CEY110" s="21"/>
      <c r="CEZ110" s="21"/>
      <c r="CFA110" s="21"/>
      <c r="CFB110" s="21"/>
      <c r="CFC110" s="21"/>
      <c r="CFD110" s="21"/>
      <c r="CFE110" s="21"/>
      <c r="CFF110" s="21"/>
      <c r="CFG110" s="21"/>
      <c r="CFH110" s="21"/>
      <c r="CFI110" s="21"/>
      <c r="CFJ110" s="21"/>
      <c r="CFK110" s="21"/>
      <c r="CFL110" s="21"/>
      <c r="CFM110" s="21"/>
      <c r="CFN110" s="21"/>
      <c r="CFO110" s="21"/>
      <c r="CFP110" s="21"/>
      <c r="CFQ110" s="21"/>
      <c r="CFR110" s="21"/>
      <c r="CFS110" s="21"/>
      <c r="CFT110" s="21"/>
      <c r="CFU110" s="21"/>
      <c r="CFV110" s="21"/>
      <c r="CFW110" s="21"/>
      <c r="CFX110" s="21"/>
      <c r="CFY110" s="21"/>
      <c r="CFZ110" s="21"/>
      <c r="CGA110" s="21"/>
      <c r="CGB110" s="21"/>
      <c r="CGC110" s="21"/>
      <c r="CGD110" s="21"/>
      <c r="CGE110" s="21"/>
      <c r="CGF110" s="21"/>
      <c r="CGG110" s="21"/>
      <c r="CGH110" s="21"/>
      <c r="CGI110" s="21"/>
      <c r="CGJ110" s="21"/>
      <c r="CGK110" s="21"/>
      <c r="CGL110" s="21"/>
      <c r="CGM110" s="21"/>
      <c r="CGN110" s="21"/>
      <c r="CGO110" s="21"/>
      <c r="CGP110" s="21"/>
      <c r="CGQ110" s="21"/>
      <c r="CGR110" s="21"/>
      <c r="CGS110" s="21"/>
      <c r="CGT110" s="21"/>
      <c r="CGU110" s="21"/>
      <c r="CGV110" s="21"/>
      <c r="CGW110" s="21"/>
      <c r="CGX110" s="21"/>
      <c r="CGY110" s="21"/>
      <c r="CGZ110" s="21"/>
      <c r="CHA110" s="21"/>
      <c r="CHB110" s="21"/>
      <c r="CHC110" s="21"/>
      <c r="CHD110" s="21"/>
      <c r="CHE110" s="21"/>
      <c r="CHF110" s="21"/>
      <c r="CHG110" s="21"/>
      <c r="CHH110" s="21"/>
      <c r="CHI110" s="21"/>
      <c r="CHJ110" s="21"/>
      <c r="CHK110" s="21"/>
      <c r="CHL110" s="21"/>
      <c r="CHM110" s="21"/>
      <c r="CHN110" s="21"/>
      <c r="CHO110" s="21"/>
      <c r="CHP110" s="21"/>
      <c r="CHQ110" s="21"/>
      <c r="CHR110" s="21"/>
      <c r="CHS110" s="21"/>
      <c r="CHT110" s="21"/>
      <c r="CHU110" s="21"/>
      <c r="CHV110" s="21"/>
      <c r="CHW110" s="21"/>
      <c r="CHX110" s="21"/>
      <c r="CHY110" s="21"/>
      <c r="CHZ110" s="21"/>
      <c r="CIA110" s="21"/>
      <c r="CIB110" s="21"/>
      <c r="CIC110" s="21"/>
      <c r="CID110" s="21"/>
      <c r="CIE110" s="21"/>
      <c r="CIF110" s="21"/>
      <c r="CIG110" s="21"/>
      <c r="CIH110" s="21"/>
      <c r="CII110" s="21"/>
      <c r="CIJ110" s="21"/>
      <c r="CIK110" s="21"/>
      <c r="CIL110" s="21"/>
      <c r="CIM110" s="21"/>
      <c r="CIN110" s="21"/>
      <c r="CIO110" s="21"/>
      <c r="CIP110" s="21"/>
      <c r="CIQ110" s="21"/>
      <c r="CIR110" s="21"/>
      <c r="CIS110" s="21"/>
      <c r="CIT110" s="21"/>
      <c r="CIU110" s="21"/>
      <c r="CIV110" s="21"/>
      <c r="CIW110" s="21"/>
      <c r="CIX110" s="21"/>
      <c r="CIY110" s="21"/>
      <c r="CIZ110" s="21"/>
      <c r="CJA110" s="21"/>
      <c r="CJB110" s="21"/>
      <c r="CJC110" s="21"/>
      <c r="CJD110" s="21"/>
      <c r="CJE110" s="21"/>
      <c r="CJF110" s="21"/>
      <c r="CJG110" s="21"/>
      <c r="CJH110" s="21"/>
      <c r="CJI110" s="21"/>
      <c r="CJJ110" s="21"/>
      <c r="CJK110" s="21"/>
      <c r="CJL110" s="21"/>
      <c r="CJM110" s="21"/>
      <c r="CJN110" s="21"/>
      <c r="CJO110" s="21"/>
      <c r="CJP110" s="21"/>
      <c r="CJQ110" s="21"/>
      <c r="CJR110" s="21"/>
      <c r="CJS110" s="21"/>
      <c r="CJT110" s="21"/>
      <c r="CJU110" s="21"/>
      <c r="CJV110" s="21"/>
      <c r="CJW110" s="21"/>
      <c r="CJX110" s="21"/>
      <c r="CJY110" s="21"/>
      <c r="CJZ110" s="21"/>
      <c r="CKA110" s="21"/>
      <c r="CKB110" s="21"/>
      <c r="CKC110" s="21"/>
      <c r="CKD110" s="21"/>
      <c r="CKE110" s="21"/>
      <c r="CKF110" s="21"/>
      <c r="CKG110" s="21"/>
      <c r="CKH110" s="21"/>
      <c r="CKI110" s="21"/>
      <c r="CKJ110" s="21"/>
      <c r="CKK110" s="21"/>
      <c r="CKL110" s="21"/>
      <c r="CKM110" s="21"/>
      <c r="CKN110" s="21"/>
      <c r="CKO110" s="21"/>
      <c r="CKP110" s="21"/>
      <c r="CKQ110" s="21"/>
      <c r="CKR110" s="21"/>
      <c r="CKS110" s="21"/>
      <c r="CKT110" s="21"/>
      <c r="CKU110" s="21"/>
      <c r="CKV110" s="21"/>
      <c r="CKW110" s="21"/>
      <c r="CKX110" s="21"/>
      <c r="CKY110" s="21"/>
      <c r="CKZ110" s="21"/>
      <c r="CLA110" s="21"/>
      <c r="CLB110" s="21"/>
      <c r="CLC110" s="21"/>
      <c r="CLD110" s="21"/>
      <c r="CLE110" s="21"/>
      <c r="CLF110" s="21"/>
      <c r="CLG110" s="21"/>
      <c r="CLH110" s="21"/>
      <c r="CLI110" s="21"/>
      <c r="CLJ110" s="21"/>
      <c r="CLK110" s="21"/>
      <c r="CLL110" s="21"/>
      <c r="CLM110" s="21"/>
      <c r="CLN110" s="21"/>
      <c r="CLO110" s="21"/>
      <c r="CLP110" s="21"/>
      <c r="CLQ110" s="21"/>
      <c r="CLR110" s="21"/>
      <c r="CLS110" s="21"/>
      <c r="CLT110" s="21"/>
      <c r="CLU110" s="21"/>
      <c r="CLV110" s="21"/>
      <c r="CLW110" s="21"/>
      <c r="CLX110" s="21"/>
      <c r="CLY110" s="21"/>
      <c r="CLZ110" s="21"/>
      <c r="CMA110" s="21"/>
      <c r="CMB110" s="21"/>
      <c r="CMC110" s="21"/>
      <c r="CMD110" s="21"/>
      <c r="CME110" s="21"/>
      <c r="CMF110" s="21"/>
      <c r="CMG110" s="21"/>
      <c r="CMH110" s="21"/>
      <c r="CMI110" s="21"/>
      <c r="CMJ110" s="21"/>
      <c r="CMK110" s="21"/>
      <c r="CML110" s="21"/>
      <c r="CMM110" s="21"/>
      <c r="CMN110" s="21"/>
      <c r="CMO110" s="21"/>
      <c r="CMP110" s="21"/>
      <c r="CMQ110" s="21"/>
      <c r="CMR110" s="21"/>
      <c r="CMS110" s="21"/>
      <c r="CMT110" s="21"/>
      <c r="CMU110" s="21"/>
      <c r="CMV110" s="21"/>
      <c r="CMW110" s="21"/>
      <c r="CMX110" s="21"/>
      <c r="CMY110" s="21"/>
      <c r="CMZ110" s="21"/>
      <c r="CNA110" s="21"/>
      <c r="CNB110" s="21"/>
      <c r="CNC110" s="21"/>
      <c r="CND110" s="21"/>
      <c r="CNE110" s="21"/>
      <c r="CNF110" s="21"/>
      <c r="CNG110" s="21"/>
      <c r="CNH110" s="21"/>
      <c r="CNI110" s="21"/>
      <c r="CNJ110" s="21"/>
      <c r="CNK110" s="21"/>
      <c r="CNL110" s="21"/>
      <c r="CNM110" s="21"/>
      <c r="CNN110" s="21"/>
      <c r="CNO110" s="21"/>
      <c r="CNP110" s="21"/>
      <c r="CNQ110" s="21"/>
      <c r="CNR110" s="21"/>
      <c r="CNS110" s="21"/>
      <c r="CNT110" s="21"/>
      <c r="CNU110" s="21"/>
      <c r="CNV110" s="21"/>
      <c r="CNW110" s="21"/>
      <c r="CNX110" s="21"/>
      <c r="CNY110" s="21"/>
      <c r="CNZ110" s="21"/>
      <c r="COA110" s="21"/>
      <c r="COB110" s="21"/>
      <c r="COC110" s="21"/>
      <c r="COD110" s="21"/>
      <c r="COE110" s="21"/>
      <c r="COF110" s="21"/>
      <c r="COG110" s="21"/>
      <c r="COH110" s="21"/>
      <c r="COI110" s="21"/>
      <c r="COJ110" s="21"/>
      <c r="COK110" s="21"/>
      <c r="COL110" s="21"/>
      <c r="COM110" s="21"/>
      <c r="CON110" s="21"/>
      <c r="COO110" s="21"/>
      <c r="COP110" s="21"/>
      <c r="COQ110" s="21"/>
      <c r="COR110" s="21"/>
      <c r="COS110" s="21"/>
      <c r="COT110" s="21"/>
      <c r="COU110" s="21"/>
      <c r="COV110" s="21"/>
      <c r="COW110" s="21"/>
      <c r="COX110" s="21"/>
      <c r="COY110" s="21"/>
      <c r="COZ110" s="21"/>
      <c r="CPA110" s="21"/>
      <c r="CPB110" s="21"/>
      <c r="CPC110" s="21"/>
      <c r="CPD110" s="21"/>
      <c r="CPE110" s="21"/>
      <c r="CPF110" s="21"/>
      <c r="CPG110" s="21"/>
      <c r="CPH110" s="21"/>
      <c r="CPI110" s="21"/>
      <c r="CPJ110" s="21"/>
      <c r="CPK110" s="21"/>
      <c r="CPL110" s="21"/>
      <c r="CPM110" s="21"/>
      <c r="CPN110" s="21"/>
      <c r="CPO110" s="21"/>
      <c r="CPP110" s="21"/>
      <c r="CPQ110" s="21"/>
      <c r="CPR110" s="21"/>
      <c r="CPS110" s="21"/>
      <c r="CPT110" s="21"/>
      <c r="CPU110" s="21"/>
      <c r="CPV110" s="21"/>
      <c r="CPW110" s="21"/>
      <c r="CPX110" s="21"/>
      <c r="CPY110" s="21"/>
      <c r="CPZ110" s="21"/>
      <c r="CQA110" s="21"/>
      <c r="CQB110" s="21"/>
      <c r="CQC110" s="21"/>
      <c r="CQD110" s="21"/>
      <c r="CQE110" s="21"/>
      <c r="CQF110" s="21"/>
      <c r="CQG110" s="21"/>
      <c r="CQH110" s="21"/>
      <c r="CQI110" s="21"/>
      <c r="CQJ110" s="21"/>
      <c r="CQK110" s="21"/>
      <c r="CQL110" s="21"/>
      <c r="CQM110" s="21"/>
      <c r="CQN110" s="21"/>
      <c r="CQO110" s="21"/>
      <c r="CQP110" s="21"/>
      <c r="CQQ110" s="21"/>
      <c r="CQR110" s="21"/>
      <c r="CQS110" s="21"/>
      <c r="CQT110" s="21"/>
      <c r="CQU110" s="21"/>
      <c r="CQV110" s="21"/>
      <c r="CQW110" s="21"/>
      <c r="CQX110" s="21"/>
      <c r="CQY110" s="21"/>
      <c r="CQZ110" s="21"/>
      <c r="CRA110" s="21"/>
      <c r="CRB110" s="21"/>
      <c r="CRC110" s="21"/>
      <c r="CRD110" s="21"/>
      <c r="CRE110" s="21"/>
      <c r="CRF110" s="21"/>
      <c r="CRG110" s="21"/>
      <c r="CRH110" s="21"/>
      <c r="CRI110" s="21"/>
      <c r="CRJ110" s="21"/>
      <c r="CRK110" s="21"/>
      <c r="CRL110" s="21"/>
      <c r="CRM110" s="21"/>
      <c r="CRN110" s="21"/>
      <c r="CRO110" s="21"/>
      <c r="CRP110" s="21"/>
      <c r="CRQ110" s="21"/>
      <c r="CRR110" s="21"/>
      <c r="CRS110" s="21"/>
      <c r="CRT110" s="21"/>
      <c r="CRU110" s="21"/>
      <c r="CRV110" s="21"/>
      <c r="CRW110" s="21"/>
      <c r="CRX110" s="21"/>
      <c r="CRY110" s="21"/>
      <c r="CRZ110" s="21"/>
      <c r="CSA110" s="21"/>
      <c r="CSB110" s="21"/>
      <c r="CSC110" s="21"/>
      <c r="CSD110" s="21"/>
      <c r="CSE110" s="21"/>
      <c r="CSF110" s="21"/>
      <c r="CSG110" s="21"/>
      <c r="CSH110" s="21"/>
      <c r="CSI110" s="21"/>
      <c r="CSJ110" s="21"/>
      <c r="CSK110" s="21"/>
      <c r="CSL110" s="21"/>
      <c r="CSM110" s="21"/>
      <c r="CSN110" s="21"/>
      <c r="CSO110" s="21"/>
      <c r="CSP110" s="21"/>
      <c r="CSQ110" s="21"/>
      <c r="CSR110" s="21"/>
      <c r="CSS110" s="21"/>
      <c r="CST110" s="21"/>
      <c r="CSU110" s="21"/>
      <c r="CSV110" s="21"/>
      <c r="CSW110" s="21"/>
      <c r="CSX110" s="21"/>
      <c r="CSY110" s="21"/>
      <c r="CSZ110" s="21"/>
      <c r="CTA110" s="21"/>
      <c r="CTB110" s="21"/>
      <c r="CTC110" s="21"/>
      <c r="CTD110" s="21"/>
      <c r="CTE110" s="21"/>
      <c r="CTF110" s="21"/>
      <c r="CTG110" s="21"/>
      <c r="CTH110" s="21"/>
      <c r="CTI110" s="21"/>
      <c r="CTJ110" s="21"/>
      <c r="CTK110" s="21"/>
      <c r="CTL110" s="21"/>
      <c r="CTM110" s="21"/>
      <c r="CTN110" s="21"/>
      <c r="CTO110" s="21"/>
      <c r="CTP110" s="21"/>
      <c r="CTQ110" s="21"/>
      <c r="CTR110" s="21"/>
      <c r="CTS110" s="21"/>
      <c r="CTT110" s="21"/>
      <c r="CTU110" s="21"/>
      <c r="CTV110" s="21"/>
      <c r="CTW110" s="21"/>
      <c r="CTX110" s="21"/>
      <c r="CTY110" s="21"/>
      <c r="CTZ110" s="21"/>
      <c r="CUA110" s="21"/>
      <c r="CUB110" s="21"/>
      <c r="CUC110" s="21"/>
      <c r="CUD110" s="21"/>
      <c r="CUE110" s="21"/>
      <c r="CUF110" s="21"/>
      <c r="CUG110" s="21"/>
      <c r="CUH110" s="21"/>
      <c r="CUI110" s="21"/>
      <c r="CUJ110" s="21"/>
      <c r="CUK110" s="21"/>
      <c r="CUL110" s="21"/>
      <c r="CUM110" s="21"/>
      <c r="CUN110" s="21"/>
      <c r="CUO110" s="21"/>
      <c r="CUP110" s="21"/>
      <c r="CUQ110" s="21"/>
      <c r="CUR110" s="21"/>
      <c r="CUS110" s="21"/>
      <c r="CUT110" s="21"/>
      <c r="CUU110" s="21"/>
      <c r="CUV110" s="21"/>
      <c r="CUW110" s="21"/>
      <c r="CUX110" s="21"/>
      <c r="CUY110" s="21"/>
      <c r="CUZ110" s="21"/>
      <c r="CVA110" s="21"/>
      <c r="CVB110" s="21"/>
      <c r="CVC110" s="21"/>
      <c r="CVD110" s="21"/>
      <c r="CVE110" s="21"/>
      <c r="CVF110" s="21"/>
      <c r="CVG110" s="21"/>
      <c r="CVH110" s="21"/>
      <c r="CVI110" s="21"/>
      <c r="CVJ110" s="21"/>
      <c r="CVK110" s="21"/>
      <c r="CVL110" s="21"/>
      <c r="CVM110" s="21"/>
      <c r="CVN110" s="21"/>
      <c r="CVO110" s="21"/>
      <c r="CVP110" s="21"/>
      <c r="CVQ110" s="21"/>
      <c r="CVR110" s="21"/>
      <c r="CVS110" s="21"/>
      <c r="CVT110" s="21"/>
      <c r="CVU110" s="21"/>
      <c r="CVV110" s="21"/>
      <c r="CVW110" s="21"/>
      <c r="CVX110" s="21"/>
      <c r="CVY110" s="21"/>
      <c r="CVZ110" s="21"/>
      <c r="CWA110" s="21"/>
      <c r="CWB110" s="21"/>
      <c r="CWC110" s="21"/>
      <c r="CWD110" s="21"/>
      <c r="CWE110" s="21"/>
      <c r="CWF110" s="21"/>
      <c r="CWG110" s="21"/>
      <c r="CWH110" s="21"/>
      <c r="CWI110" s="21"/>
      <c r="CWJ110" s="21"/>
      <c r="CWK110" s="21"/>
      <c r="CWL110" s="21"/>
      <c r="CWM110" s="21"/>
      <c r="CWN110" s="21"/>
      <c r="CWO110" s="21"/>
      <c r="CWP110" s="21"/>
      <c r="CWQ110" s="21"/>
      <c r="CWR110" s="21"/>
      <c r="CWS110" s="21"/>
      <c r="CWT110" s="21"/>
      <c r="CWU110" s="21"/>
      <c r="CWV110" s="21"/>
      <c r="CWW110" s="21"/>
      <c r="CWX110" s="21"/>
      <c r="CWY110" s="21"/>
      <c r="CWZ110" s="21"/>
      <c r="CXA110" s="21"/>
      <c r="CXB110" s="21"/>
      <c r="CXC110" s="21"/>
      <c r="CXD110" s="21"/>
      <c r="CXE110" s="21"/>
      <c r="CXF110" s="21"/>
      <c r="CXG110" s="21"/>
      <c r="CXH110" s="21"/>
      <c r="CXI110" s="21"/>
      <c r="CXJ110" s="21"/>
      <c r="CXK110" s="21"/>
      <c r="CXL110" s="21"/>
      <c r="CXM110" s="21"/>
      <c r="CXN110" s="21"/>
      <c r="CXO110" s="21"/>
      <c r="CXP110" s="21"/>
      <c r="CXQ110" s="21"/>
      <c r="CXR110" s="21"/>
      <c r="CXS110" s="21"/>
      <c r="CXT110" s="21"/>
      <c r="CXU110" s="21"/>
      <c r="CXV110" s="21"/>
      <c r="CXW110" s="21"/>
      <c r="CXX110" s="21"/>
      <c r="CXY110" s="21"/>
      <c r="CXZ110" s="21"/>
      <c r="CYA110" s="21"/>
      <c r="CYB110" s="21"/>
      <c r="CYC110" s="21"/>
      <c r="CYD110" s="21"/>
      <c r="CYE110" s="21"/>
      <c r="CYF110" s="21"/>
      <c r="CYG110" s="21"/>
      <c r="CYH110" s="21"/>
      <c r="CYI110" s="21"/>
      <c r="CYJ110" s="21"/>
      <c r="CYK110" s="21"/>
      <c r="CYL110" s="21"/>
      <c r="CYM110" s="21"/>
      <c r="CYN110" s="21"/>
      <c r="CYO110" s="21"/>
      <c r="CYP110" s="21"/>
      <c r="CYQ110" s="21"/>
      <c r="CYR110" s="21"/>
      <c r="CYS110" s="21"/>
      <c r="CYT110" s="21"/>
      <c r="CYU110" s="21"/>
      <c r="CYV110" s="21"/>
      <c r="CYW110" s="21"/>
      <c r="CYX110" s="21"/>
      <c r="CYY110" s="21"/>
      <c r="CYZ110" s="21"/>
      <c r="CZA110" s="21"/>
      <c r="CZB110" s="21"/>
      <c r="CZC110" s="21"/>
      <c r="CZD110" s="21"/>
      <c r="CZE110" s="21"/>
      <c r="CZF110" s="21"/>
      <c r="CZG110" s="21"/>
      <c r="CZH110" s="21"/>
      <c r="CZI110" s="21"/>
      <c r="CZJ110" s="21"/>
      <c r="CZK110" s="21"/>
      <c r="CZL110" s="21"/>
      <c r="CZM110" s="21"/>
      <c r="CZN110" s="21"/>
      <c r="CZO110" s="21"/>
      <c r="CZP110" s="21"/>
      <c r="CZQ110" s="21"/>
      <c r="CZR110" s="21"/>
      <c r="CZS110" s="21"/>
      <c r="CZT110" s="21"/>
      <c r="CZU110" s="21"/>
      <c r="CZV110" s="21"/>
      <c r="CZW110" s="21"/>
      <c r="CZX110" s="21"/>
      <c r="CZY110" s="21"/>
      <c r="CZZ110" s="21"/>
      <c r="DAA110" s="21"/>
      <c r="DAB110" s="21"/>
      <c r="DAC110" s="21"/>
      <c r="DAD110" s="21"/>
      <c r="DAE110" s="21"/>
      <c r="DAF110" s="21"/>
      <c r="DAG110" s="21"/>
      <c r="DAH110" s="21"/>
      <c r="DAI110" s="21"/>
      <c r="DAJ110" s="21"/>
      <c r="DAK110" s="21"/>
      <c r="DAL110" s="21"/>
      <c r="DAM110" s="21"/>
      <c r="DAN110" s="21"/>
      <c r="DAO110" s="21"/>
      <c r="DAP110" s="21"/>
      <c r="DAQ110" s="21"/>
      <c r="DAR110" s="21"/>
      <c r="DAS110" s="21"/>
      <c r="DAT110" s="21"/>
      <c r="DAU110" s="21"/>
      <c r="DAV110" s="21"/>
      <c r="DAW110" s="21"/>
      <c r="DAX110" s="21"/>
      <c r="DAY110" s="21"/>
      <c r="DAZ110" s="21"/>
      <c r="DBA110" s="21"/>
      <c r="DBB110" s="21"/>
      <c r="DBC110" s="21"/>
      <c r="DBD110" s="21"/>
      <c r="DBE110" s="21"/>
      <c r="DBF110" s="21"/>
      <c r="DBG110" s="21"/>
      <c r="DBH110" s="21"/>
      <c r="DBI110" s="21"/>
      <c r="DBJ110" s="21"/>
      <c r="DBK110" s="21"/>
      <c r="DBL110" s="21"/>
      <c r="DBM110" s="21"/>
      <c r="DBN110" s="21"/>
      <c r="DBO110" s="21"/>
      <c r="DBP110" s="21"/>
      <c r="DBQ110" s="21"/>
      <c r="DBR110" s="21"/>
      <c r="DBS110" s="21"/>
      <c r="DBT110" s="21"/>
      <c r="DBU110" s="21"/>
      <c r="DBV110" s="21"/>
      <c r="DBW110" s="21"/>
      <c r="DBX110" s="21"/>
      <c r="DBY110" s="21"/>
      <c r="DBZ110" s="21"/>
      <c r="DCA110" s="21"/>
      <c r="DCB110" s="21"/>
      <c r="DCC110" s="21"/>
      <c r="DCD110" s="21"/>
      <c r="DCE110" s="21"/>
      <c r="DCF110" s="21"/>
      <c r="DCG110" s="21"/>
      <c r="DCH110" s="21"/>
      <c r="DCI110" s="21"/>
      <c r="DCJ110" s="21"/>
      <c r="DCK110" s="21"/>
      <c r="DCL110" s="21"/>
      <c r="DCM110" s="21"/>
      <c r="DCN110" s="21"/>
      <c r="DCO110" s="21"/>
      <c r="DCP110" s="21"/>
      <c r="DCQ110" s="21"/>
      <c r="DCR110" s="21"/>
      <c r="DCS110" s="21"/>
      <c r="DCT110" s="21"/>
      <c r="DCU110" s="21"/>
      <c r="DCV110" s="21"/>
      <c r="DCW110" s="21"/>
      <c r="DCX110" s="21"/>
      <c r="DCY110" s="21"/>
      <c r="DCZ110" s="21"/>
      <c r="DDA110" s="21"/>
      <c r="DDB110" s="21"/>
      <c r="DDC110" s="21"/>
      <c r="DDD110" s="21"/>
      <c r="DDE110" s="21"/>
      <c r="DDF110" s="21"/>
      <c r="DDG110" s="21"/>
      <c r="DDH110" s="21"/>
      <c r="DDI110" s="21"/>
      <c r="DDJ110" s="21"/>
      <c r="DDK110" s="21"/>
      <c r="DDL110" s="21"/>
      <c r="DDM110" s="21"/>
      <c r="DDN110" s="21"/>
      <c r="DDO110" s="21"/>
      <c r="DDP110" s="21"/>
      <c r="DDQ110" s="21"/>
      <c r="DDR110" s="21"/>
      <c r="DDS110" s="21"/>
      <c r="DDT110" s="21"/>
      <c r="DDU110" s="21"/>
      <c r="DDV110" s="21"/>
      <c r="DDW110" s="21"/>
      <c r="DDX110" s="21"/>
      <c r="DDY110" s="21"/>
      <c r="DDZ110" s="21"/>
      <c r="DEA110" s="21"/>
      <c r="DEB110" s="21"/>
      <c r="DEC110" s="21"/>
      <c r="DED110" s="21"/>
      <c r="DEE110" s="21"/>
      <c r="DEF110" s="21"/>
      <c r="DEG110" s="21"/>
      <c r="DEH110" s="21"/>
      <c r="DEI110" s="21"/>
      <c r="DEJ110" s="21"/>
      <c r="DEK110" s="21"/>
      <c r="DEL110" s="21"/>
      <c r="DEM110" s="21"/>
      <c r="DEN110" s="21"/>
      <c r="DEO110" s="21"/>
      <c r="DEP110" s="21"/>
      <c r="DEQ110" s="21"/>
      <c r="DER110" s="21"/>
      <c r="DES110" s="21"/>
      <c r="DET110" s="21"/>
      <c r="DEU110" s="21"/>
      <c r="DEV110" s="21"/>
      <c r="DEW110" s="21"/>
      <c r="DEX110" s="21"/>
      <c r="DEY110" s="21"/>
      <c r="DEZ110" s="21"/>
      <c r="DFA110" s="21"/>
      <c r="DFB110" s="21"/>
      <c r="DFC110" s="21"/>
      <c r="DFD110" s="21"/>
      <c r="DFE110" s="21"/>
      <c r="DFF110" s="21"/>
      <c r="DFG110" s="21"/>
      <c r="DFH110" s="21"/>
      <c r="DFI110" s="21"/>
      <c r="DFJ110" s="21"/>
      <c r="DFK110" s="21"/>
      <c r="DFL110" s="21"/>
      <c r="DFM110" s="21"/>
      <c r="DFN110" s="21"/>
      <c r="DFO110" s="21"/>
      <c r="DFP110" s="21"/>
      <c r="DFQ110" s="21"/>
      <c r="DFR110" s="21"/>
      <c r="DFS110" s="21"/>
      <c r="DFT110" s="21"/>
      <c r="DFU110" s="21"/>
      <c r="DFV110" s="21"/>
      <c r="DFW110" s="21"/>
      <c r="DFX110" s="21"/>
      <c r="DFY110" s="21"/>
      <c r="DFZ110" s="21"/>
      <c r="DGA110" s="21"/>
      <c r="DGB110" s="21"/>
      <c r="DGC110" s="21"/>
      <c r="DGD110" s="21"/>
      <c r="DGE110" s="21"/>
      <c r="DGF110" s="21"/>
      <c r="DGG110" s="21"/>
      <c r="DGH110" s="21"/>
      <c r="DGI110" s="21"/>
      <c r="DGJ110" s="21"/>
      <c r="DGK110" s="21"/>
      <c r="DGL110" s="21"/>
      <c r="DGM110" s="21"/>
      <c r="DGN110" s="21"/>
      <c r="DGO110" s="21"/>
      <c r="DGP110" s="21"/>
      <c r="DGQ110" s="21"/>
      <c r="DGR110" s="21"/>
      <c r="DGS110" s="21"/>
      <c r="DGT110" s="21"/>
      <c r="DGU110" s="21"/>
      <c r="DGV110" s="21"/>
      <c r="DGW110" s="21"/>
      <c r="DGX110" s="21"/>
      <c r="DGY110" s="21"/>
      <c r="DGZ110" s="21"/>
      <c r="DHA110" s="21"/>
      <c r="DHB110" s="21"/>
      <c r="DHC110" s="21"/>
      <c r="DHD110" s="21"/>
      <c r="DHE110" s="21"/>
      <c r="DHF110" s="21"/>
      <c r="DHG110" s="21"/>
      <c r="DHH110" s="21"/>
      <c r="DHI110" s="21"/>
      <c r="DHJ110" s="21"/>
      <c r="DHK110" s="21"/>
      <c r="DHL110" s="21"/>
      <c r="DHM110" s="21"/>
      <c r="DHN110" s="21"/>
      <c r="DHO110" s="21"/>
      <c r="DHP110" s="21"/>
      <c r="DHQ110" s="21"/>
      <c r="DHR110" s="21"/>
      <c r="DHS110" s="21"/>
      <c r="DHT110" s="21"/>
      <c r="DHU110" s="21"/>
      <c r="DHV110" s="21"/>
      <c r="DHW110" s="21"/>
      <c r="DHX110" s="21"/>
      <c r="DHY110" s="21"/>
      <c r="DHZ110" s="21"/>
      <c r="DIA110" s="21"/>
      <c r="DIB110" s="21"/>
      <c r="DIC110" s="21"/>
      <c r="DID110" s="21"/>
      <c r="DIE110" s="21"/>
      <c r="DIF110" s="21"/>
      <c r="DIG110" s="21"/>
      <c r="DIH110" s="21"/>
      <c r="DII110" s="21"/>
      <c r="DIJ110" s="21"/>
      <c r="DIK110" s="21"/>
      <c r="DIL110" s="21"/>
      <c r="DIM110" s="21"/>
      <c r="DIN110" s="21"/>
      <c r="DIO110" s="21"/>
      <c r="DIP110" s="21"/>
      <c r="DIQ110" s="21"/>
      <c r="DIR110" s="21"/>
      <c r="DIS110" s="21"/>
      <c r="DIT110" s="21"/>
      <c r="DIU110" s="21"/>
      <c r="DIV110" s="21"/>
      <c r="DIW110" s="21"/>
      <c r="DIX110" s="21"/>
      <c r="DIY110" s="21"/>
      <c r="DIZ110" s="21"/>
      <c r="DJA110" s="21"/>
      <c r="DJB110" s="21"/>
      <c r="DJC110" s="21"/>
      <c r="DJD110" s="21"/>
      <c r="DJE110" s="21"/>
      <c r="DJF110" s="21"/>
      <c r="DJG110" s="21"/>
      <c r="DJH110" s="21"/>
      <c r="DJI110" s="21"/>
      <c r="DJJ110" s="21"/>
      <c r="DJK110" s="21"/>
      <c r="DJL110" s="21"/>
      <c r="DJM110" s="21"/>
      <c r="DJN110" s="21"/>
      <c r="DJO110" s="21"/>
      <c r="DJP110" s="21"/>
      <c r="DJQ110" s="21"/>
      <c r="DJR110" s="21"/>
      <c r="DJS110" s="21"/>
      <c r="DJT110" s="21"/>
      <c r="DJU110" s="21"/>
      <c r="DJV110" s="21"/>
      <c r="DJW110" s="21"/>
      <c r="DJX110" s="21"/>
      <c r="DJY110" s="21"/>
      <c r="DJZ110" s="21"/>
      <c r="DKA110" s="21"/>
      <c r="DKB110" s="21"/>
      <c r="DKC110" s="21"/>
      <c r="DKD110" s="21"/>
      <c r="DKE110" s="21"/>
      <c r="DKF110" s="21"/>
      <c r="DKG110" s="21"/>
      <c r="DKH110" s="21"/>
      <c r="DKI110" s="21"/>
      <c r="DKJ110" s="21"/>
      <c r="DKK110" s="21"/>
      <c r="DKL110" s="21"/>
      <c r="DKM110" s="21"/>
      <c r="DKN110" s="21"/>
      <c r="DKO110" s="21"/>
      <c r="DKP110" s="21"/>
      <c r="DKQ110" s="21"/>
      <c r="DKR110" s="21"/>
      <c r="DKS110" s="21"/>
      <c r="DKT110" s="21"/>
      <c r="DKU110" s="21"/>
      <c r="DKV110" s="21"/>
      <c r="DKW110" s="21"/>
      <c r="DKX110" s="21"/>
      <c r="DKY110" s="21"/>
      <c r="DKZ110" s="21"/>
      <c r="DLA110" s="21"/>
      <c r="DLB110" s="21"/>
      <c r="DLC110" s="21"/>
      <c r="DLD110" s="21"/>
      <c r="DLE110" s="21"/>
      <c r="DLF110" s="21"/>
      <c r="DLG110" s="21"/>
      <c r="DLH110" s="21"/>
      <c r="DLI110" s="21"/>
      <c r="DLJ110" s="21"/>
      <c r="DLK110" s="21"/>
      <c r="DLL110" s="21"/>
      <c r="DLM110" s="21"/>
      <c r="DLN110" s="21"/>
      <c r="DLO110" s="21"/>
      <c r="DLP110" s="21"/>
      <c r="DLQ110" s="21"/>
      <c r="DLR110" s="21"/>
      <c r="DLS110" s="21"/>
      <c r="DLT110" s="21"/>
      <c r="DLU110" s="21"/>
      <c r="DLV110" s="21"/>
      <c r="DLW110" s="21"/>
      <c r="DLX110" s="21"/>
      <c r="DLY110" s="21"/>
      <c r="DLZ110" s="21"/>
      <c r="DMA110" s="21"/>
      <c r="DMB110" s="21"/>
      <c r="DMC110" s="21"/>
      <c r="DMD110" s="21"/>
      <c r="DME110" s="21"/>
      <c r="DMF110" s="21"/>
      <c r="DMG110" s="21"/>
      <c r="DMH110" s="21"/>
      <c r="DMI110" s="21"/>
      <c r="DMJ110" s="21"/>
      <c r="DMK110" s="21"/>
      <c r="DML110" s="21"/>
      <c r="DMM110" s="21"/>
      <c r="DMN110" s="21"/>
      <c r="DMO110" s="21"/>
      <c r="DMP110" s="21"/>
      <c r="DMQ110" s="21"/>
      <c r="DMR110" s="21"/>
      <c r="DMS110" s="21"/>
      <c r="DMT110" s="21"/>
      <c r="DMU110" s="21"/>
      <c r="DMV110" s="21"/>
      <c r="DMW110" s="21"/>
      <c r="DMX110" s="21"/>
      <c r="DMY110" s="21"/>
      <c r="DMZ110" s="21"/>
      <c r="DNA110" s="21"/>
      <c r="DNB110" s="21"/>
      <c r="DNC110" s="21"/>
      <c r="DND110" s="21"/>
      <c r="DNE110" s="21"/>
      <c r="DNF110" s="21"/>
      <c r="DNG110" s="21"/>
      <c r="DNH110" s="21"/>
      <c r="DNI110" s="21"/>
      <c r="DNJ110" s="21"/>
      <c r="DNK110" s="21"/>
      <c r="DNL110" s="21"/>
      <c r="DNM110" s="21"/>
      <c r="DNN110" s="21"/>
      <c r="DNO110" s="21"/>
      <c r="DNP110" s="21"/>
      <c r="DNQ110" s="21"/>
      <c r="DNR110" s="21"/>
      <c r="DNS110" s="21"/>
      <c r="DNT110" s="21"/>
      <c r="DNU110" s="21"/>
      <c r="DNV110" s="21"/>
      <c r="DNW110" s="21"/>
      <c r="DNX110" s="21"/>
      <c r="DNY110" s="21"/>
      <c r="DNZ110" s="21"/>
      <c r="DOA110" s="21"/>
      <c r="DOB110" s="21"/>
      <c r="DOC110" s="21"/>
      <c r="DOD110" s="21"/>
      <c r="DOE110" s="21"/>
      <c r="DOF110" s="21"/>
      <c r="DOG110" s="21"/>
      <c r="DOH110" s="21"/>
      <c r="DOI110" s="21"/>
      <c r="DOJ110" s="21"/>
      <c r="DOK110" s="21"/>
      <c r="DOL110" s="21"/>
      <c r="DOM110" s="21"/>
      <c r="DON110" s="21"/>
      <c r="DOO110" s="21"/>
      <c r="DOP110" s="21"/>
      <c r="DOQ110" s="21"/>
      <c r="DOR110" s="21"/>
      <c r="DOS110" s="21"/>
      <c r="DOT110" s="21"/>
      <c r="DOU110" s="21"/>
      <c r="DOV110" s="21"/>
      <c r="DOW110" s="21"/>
      <c r="DOX110" s="21"/>
      <c r="DOY110" s="21"/>
      <c r="DOZ110" s="21"/>
      <c r="DPA110" s="21"/>
      <c r="DPB110" s="21"/>
      <c r="DPC110" s="21"/>
      <c r="DPD110" s="21"/>
      <c r="DPE110" s="21"/>
      <c r="DPF110" s="21"/>
      <c r="DPG110" s="21"/>
      <c r="DPH110" s="21"/>
      <c r="DPI110" s="21"/>
      <c r="DPJ110" s="21"/>
      <c r="DPK110" s="21"/>
      <c r="DPL110" s="21"/>
      <c r="DPM110" s="21"/>
      <c r="DPN110" s="21"/>
      <c r="DPO110" s="21"/>
      <c r="DPP110" s="21"/>
      <c r="DPQ110" s="21"/>
      <c r="DPR110" s="21"/>
      <c r="DPS110" s="21"/>
      <c r="DPT110" s="21"/>
      <c r="DPU110" s="21"/>
      <c r="DPV110" s="21"/>
      <c r="DPW110" s="21"/>
      <c r="DPX110" s="21"/>
      <c r="DPY110" s="21"/>
      <c r="DPZ110" s="21"/>
      <c r="DQA110" s="21"/>
      <c r="DQB110" s="21"/>
      <c r="DQC110" s="21"/>
      <c r="DQD110" s="21"/>
      <c r="DQE110" s="21"/>
      <c r="DQF110" s="21"/>
      <c r="DQG110" s="21"/>
      <c r="DQH110" s="21"/>
      <c r="DQI110" s="21"/>
      <c r="DQJ110" s="21"/>
      <c r="DQK110" s="21"/>
      <c r="DQL110" s="21"/>
      <c r="DQM110" s="21"/>
      <c r="DQN110" s="21"/>
      <c r="DQO110" s="21"/>
      <c r="DQP110" s="21"/>
      <c r="DQQ110" s="21"/>
      <c r="DQR110" s="21"/>
      <c r="DQS110" s="21"/>
      <c r="DQT110" s="21"/>
      <c r="DQU110" s="21"/>
      <c r="DQV110" s="21"/>
      <c r="DQW110" s="21"/>
      <c r="DQX110" s="21"/>
      <c r="DQY110" s="21"/>
      <c r="DQZ110" s="21"/>
      <c r="DRA110" s="21"/>
      <c r="DRB110" s="21"/>
      <c r="DRC110" s="21"/>
      <c r="DRD110" s="21"/>
      <c r="DRE110" s="21"/>
      <c r="DRF110" s="21"/>
      <c r="DRG110" s="21"/>
      <c r="DRH110" s="21"/>
      <c r="DRI110" s="21"/>
      <c r="DRJ110" s="21"/>
      <c r="DRK110" s="21"/>
      <c r="DRL110" s="21"/>
      <c r="DRM110" s="21"/>
      <c r="DRN110" s="21"/>
      <c r="DRO110" s="21"/>
      <c r="DRP110" s="21"/>
      <c r="DRQ110" s="21"/>
      <c r="DRR110" s="21"/>
      <c r="DRS110" s="21"/>
      <c r="DRT110" s="21"/>
      <c r="DRU110" s="21"/>
      <c r="DRV110" s="21"/>
      <c r="DRW110" s="21"/>
      <c r="DRX110" s="21"/>
      <c r="DRY110" s="21"/>
      <c r="DRZ110" s="21"/>
      <c r="DSA110" s="21"/>
      <c r="DSB110" s="21"/>
      <c r="DSC110" s="21"/>
      <c r="DSD110" s="21"/>
      <c r="DSE110" s="21"/>
      <c r="DSF110" s="21"/>
      <c r="DSG110" s="21"/>
      <c r="DSH110" s="21"/>
      <c r="DSI110" s="21"/>
      <c r="DSJ110" s="21"/>
      <c r="DSK110" s="21"/>
      <c r="DSL110" s="21"/>
      <c r="DSM110" s="21"/>
      <c r="DSN110" s="21"/>
      <c r="DSO110" s="21"/>
      <c r="DSP110" s="21"/>
      <c r="DSQ110" s="21"/>
      <c r="DSR110" s="21"/>
      <c r="DSS110" s="21"/>
      <c r="DST110" s="21"/>
      <c r="DSU110" s="21"/>
      <c r="DSV110" s="21"/>
      <c r="DSW110" s="21"/>
      <c r="DSX110" s="21"/>
      <c r="DSY110" s="21"/>
      <c r="DSZ110" s="21"/>
      <c r="DTA110" s="21"/>
      <c r="DTB110" s="21"/>
      <c r="DTC110" s="21"/>
      <c r="DTD110" s="21"/>
      <c r="DTE110" s="21"/>
      <c r="DTF110" s="21"/>
      <c r="DTG110" s="21"/>
      <c r="DTH110" s="21"/>
      <c r="DTI110" s="21"/>
      <c r="DTJ110" s="21"/>
      <c r="DTK110" s="21"/>
      <c r="DTL110" s="21"/>
      <c r="DTM110" s="21"/>
      <c r="DTN110" s="21"/>
      <c r="DTO110" s="21"/>
      <c r="DTP110" s="21"/>
      <c r="DTQ110" s="21"/>
      <c r="DTR110" s="21"/>
      <c r="DTS110" s="21"/>
      <c r="DTT110" s="21"/>
      <c r="DTU110" s="21"/>
      <c r="DTV110" s="21"/>
      <c r="DTW110" s="21"/>
      <c r="DTX110" s="21"/>
      <c r="DTY110" s="21"/>
      <c r="DTZ110" s="21"/>
      <c r="DUA110" s="21"/>
      <c r="DUB110" s="21"/>
      <c r="DUC110" s="21"/>
      <c r="DUD110" s="21"/>
      <c r="DUE110" s="21"/>
      <c r="DUF110" s="21"/>
      <c r="DUG110" s="21"/>
      <c r="DUH110" s="21"/>
      <c r="DUI110" s="21"/>
      <c r="DUJ110" s="21"/>
      <c r="DUK110" s="21"/>
      <c r="DUL110" s="21"/>
      <c r="DUM110" s="21"/>
      <c r="DUN110" s="21"/>
      <c r="DUO110" s="21"/>
      <c r="DUP110" s="21"/>
      <c r="DUQ110" s="21"/>
      <c r="DUR110" s="21"/>
      <c r="DUS110" s="21"/>
      <c r="DUT110" s="21"/>
      <c r="DUU110" s="21"/>
      <c r="DUV110" s="21"/>
      <c r="DUW110" s="21"/>
      <c r="DUX110" s="21"/>
      <c r="DUY110" s="21"/>
      <c r="DUZ110" s="21"/>
      <c r="DVA110" s="21"/>
      <c r="DVB110" s="21"/>
      <c r="DVC110" s="21"/>
      <c r="DVD110" s="21"/>
      <c r="DVE110" s="21"/>
      <c r="DVF110" s="21"/>
      <c r="DVG110" s="21"/>
      <c r="DVH110" s="21"/>
      <c r="DVI110" s="21"/>
      <c r="DVJ110" s="21"/>
      <c r="DVK110" s="21"/>
      <c r="DVL110" s="21"/>
      <c r="DVM110" s="21"/>
      <c r="DVN110" s="21"/>
      <c r="DVO110" s="21"/>
      <c r="DVP110" s="21"/>
      <c r="DVQ110" s="21"/>
      <c r="DVR110" s="21"/>
      <c r="DVS110" s="21"/>
      <c r="DVT110" s="21"/>
      <c r="DVU110" s="21"/>
      <c r="DVV110" s="21"/>
      <c r="DVW110" s="21"/>
      <c r="DVX110" s="21"/>
      <c r="DVY110" s="21"/>
      <c r="DVZ110" s="21"/>
      <c r="DWA110" s="21"/>
      <c r="DWB110" s="21"/>
      <c r="DWC110" s="21"/>
      <c r="DWD110" s="21"/>
      <c r="DWE110" s="21"/>
      <c r="DWF110" s="21"/>
      <c r="DWG110" s="21"/>
      <c r="DWH110" s="21"/>
      <c r="DWI110" s="21"/>
      <c r="DWJ110" s="21"/>
      <c r="DWK110" s="21"/>
      <c r="DWL110" s="21"/>
      <c r="DWM110" s="21"/>
      <c r="DWN110" s="21"/>
      <c r="DWO110" s="21"/>
      <c r="DWP110" s="21"/>
      <c r="DWQ110" s="21"/>
      <c r="DWR110" s="21"/>
      <c r="DWS110" s="21"/>
      <c r="DWT110" s="21"/>
      <c r="DWU110" s="21"/>
      <c r="DWV110" s="21"/>
      <c r="DWW110" s="21"/>
      <c r="DWX110" s="21"/>
      <c r="DWY110" s="21"/>
      <c r="DWZ110" s="21"/>
      <c r="DXA110" s="21"/>
      <c r="DXB110" s="21"/>
      <c r="DXC110" s="21"/>
      <c r="DXD110" s="21"/>
      <c r="DXE110" s="21"/>
      <c r="DXF110" s="21"/>
      <c r="DXG110" s="21"/>
      <c r="DXH110" s="21"/>
      <c r="DXI110" s="21"/>
      <c r="DXJ110" s="21"/>
      <c r="DXK110" s="21"/>
      <c r="DXL110" s="21"/>
      <c r="DXM110" s="21"/>
      <c r="DXN110" s="21"/>
      <c r="DXO110" s="21"/>
      <c r="DXP110" s="21"/>
      <c r="DXQ110" s="21"/>
      <c r="DXR110" s="21"/>
      <c r="DXS110" s="21"/>
      <c r="DXT110" s="21"/>
      <c r="DXU110" s="21"/>
      <c r="DXV110" s="21"/>
      <c r="DXW110" s="21"/>
      <c r="DXX110" s="21"/>
      <c r="DXY110" s="21"/>
      <c r="DXZ110" s="21"/>
      <c r="DYA110" s="21"/>
      <c r="DYB110" s="21"/>
      <c r="DYC110" s="21"/>
      <c r="DYD110" s="21"/>
      <c r="DYE110" s="21"/>
      <c r="DYF110" s="21"/>
      <c r="DYG110" s="21"/>
      <c r="DYH110" s="21"/>
      <c r="DYI110" s="21"/>
      <c r="DYJ110" s="21"/>
      <c r="DYK110" s="21"/>
      <c r="DYL110" s="21"/>
      <c r="DYM110" s="21"/>
      <c r="DYN110" s="21"/>
      <c r="DYO110" s="21"/>
      <c r="DYP110" s="21"/>
      <c r="DYQ110" s="21"/>
      <c r="DYR110" s="21"/>
      <c r="DYS110" s="21"/>
      <c r="DYT110" s="21"/>
      <c r="DYU110" s="21"/>
      <c r="DYV110" s="21"/>
      <c r="DYW110" s="21"/>
      <c r="DYX110" s="21"/>
      <c r="DYY110" s="21"/>
      <c r="DYZ110" s="21"/>
      <c r="DZA110" s="21"/>
      <c r="DZB110" s="21"/>
      <c r="DZC110" s="21"/>
      <c r="DZD110" s="21"/>
      <c r="DZE110" s="21"/>
      <c r="DZF110" s="21"/>
      <c r="DZG110" s="21"/>
      <c r="DZH110" s="21"/>
      <c r="DZI110" s="21"/>
      <c r="DZJ110" s="21"/>
      <c r="DZK110" s="21"/>
      <c r="DZL110" s="21"/>
      <c r="DZM110" s="21"/>
      <c r="DZN110" s="21"/>
      <c r="DZO110" s="21"/>
      <c r="DZP110" s="21"/>
      <c r="DZQ110" s="21"/>
      <c r="DZR110" s="21"/>
      <c r="DZS110" s="21"/>
      <c r="DZT110" s="21"/>
      <c r="DZU110" s="21"/>
      <c r="DZV110" s="21"/>
      <c r="DZW110" s="21"/>
      <c r="DZX110" s="21"/>
      <c r="DZY110" s="21"/>
      <c r="DZZ110" s="21"/>
      <c r="EAA110" s="21"/>
      <c r="EAB110" s="21"/>
      <c r="EAC110" s="21"/>
      <c r="EAD110" s="21"/>
      <c r="EAE110" s="21"/>
      <c r="EAF110" s="21"/>
      <c r="EAG110" s="21"/>
      <c r="EAH110" s="21"/>
      <c r="EAI110" s="21"/>
      <c r="EAJ110" s="21"/>
      <c r="EAK110" s="21"/>
      <c r="EAL110" s="21"/>
      <c r="EAM110" s="21"/>
      <c r="EAN110" s="21"/>
      <c r="EAO110" s="21"/>
      <c r="EAP110" s="21"/>
      <c r="EAQ110" s="21"/>
      <c r="EAR110" s="21"/>
      <c r="EAS110" s="21"/>
      <c r="EAT110" s="21"/>
      <c r="EAU110" s="21"/>
      <c r="EAV110" s="21"/>
      <c r="EAW110" s="21"/>
      <c r="EAX110" s="21"/>
      <c r="EAY110" s="21"/>
      <c r="EAZ110" s="21"/>
      <c r="EBA110" s="21"/>
      <c r="EBB110" s="21"/>
      <c r="EBC110" s="21"/>
      <c r="EBD110" s="21"/>
      <c r="EBE110" s="21"/>
      <c r="EBF110" s="21"/>
      <c r="EBG110" s="21"/>
      <c r="EBH110" s="21"/>
      <c r="EBI110" s="21"/>
      <c r="EBJ110" s="21"/>
      <c r="EBK110" s="21"/>
      <c r="EBL110" s="21"/>
      <c r="EBM110" s="21"/>
      <c r="EBN110" s="21"/>
      <c r="EBO110" s="21"/>
      <c r="EBP110" s="21"/>
      <c r="EBQ110" s="21"/>
      <c r="EBR110" s="21"/>
      <c r="EBS110" s="21"/>
      <c r="EBT110" s="21"/>
      <c r="EBU110" s="21"/>
      <c r="EBV110" s="21"/>
      <c r="EBW110" s="21"/>
      <c r="EBX110" s="21"/>
      <c r="EBY110" s="21"/>
      <c r="EBZ110" s="21"/>
      <c r="ECA110" s="21"/>
      <c r="ECB110" s="21"/>
      <c r="ECC110" s="21"/>
      <c r="ECD110" s="21"/>
      <c r="ECE110" s="21"/>
      <c r="ECF110" s="21"/>
      <c r="ECG110" s="21"/>
      <c r="ECH110" s="21"/>
      <c r="ECI110" s="21"/>
      <c r="ECJ110" s="21"/>
      <c r="ECK110" s="21"/>
      <c r="ECL110" s="21"/>
      <c r="ECM110" s="21"/>
      <c r="ECN110" s="21"/>
      <c r="ECO110" s="21"/>
      <c r="ECP110" s="21"/>
      <c r="ECQ110" s="21"/>
      <c r="ECR110" s="21"/>
      <c r="ECS110" s="21"/>
      <c r="ECT110" s="21"/>
      <c r="ECU110" s="21"/>
      <c r="ECV110" s="21"/>
      <c r="ECW110" s="21"/>
      <c r="ECX110" s="21"/>
      <c r="ECY110" s="21"/>
      <c r="ECZ110" s="21"/>
      <c r="EDA110" s="21"/>
      <c r="EDB110" s="21"/>
      <c r="EDC110" s="21"/>
      <c r="EDD110" s="21"/>
      <c r="EDE110" s="21"/>
      <c r="EDF110" s="21"/>
      <c r="EDG110" s="21"/>
      <c r="EDH110" s="21"/>
      <c r="EDI110" s="21"/>
      <c r="EDJ110" s="21"/>
      <c r="EDK110" s="21"/>
      <c r="EDL110" s="21"/>
      <c r="EDM110" s="21"/>
      <c r="EDN110" s="21"/>
      <c r="EDO110" s="21"/>
      <c r="EDP110" s="21"/>
      <c r="EDQ110" s="21"/>
      <c r="EDR110" s="21"/>
      <c r="EDS110" s="21"/>
      <c r="EDT110" s="21"/>
      <c r="EDU110" s="21"/>
      <c r="EDV110" s="21"/>
      <c r="EDW110" s="21"/>
      <c r="EDX110" s="21"/>
      <c r="EDY110" s="21"/>
      <c r="EDZ110" s="21"/>
      <c r="EEA110" s="21"/>
      <c r="EEB110" s="21"/>
      <c r="EEC110" s="21"/>
      <c r="EED110" s="21"/>
      <c r="EEE110" s="21"/>
      <c r="EEF110" s="21"/>
      <c r="EEG110" s="21"/>
      <c r="EEH110" s="21"/>
      <c r="EEI110" s="21"/>
      <c r="EEJ110" s="21"/>
      <c r="EEK110" s="21"/>
      <c r="EEL110" s="21"/>
      <c r="EEM110" s="21"/>
      <c r="EEN110" s="21"/>
      <c r="EEO110" s="21"/>
      <c r="EEP110" s="21"/>
      <c r="EEQ110" s="21"/>
      <c r="EER110" s="21"/>
      <c r="EES110" s="21"/>
      <c r="EET110" s="21"/>
      <c r="EEU110" s="21"/>
      <c r="EEV110" s="21"/>
      <c r="EEW110" s="21"/>
      <c r="EEX110" s="21"/>
      <c r="EEY110" s="21"/>
      <c r="EEZ110" s="21"/>
      <c r="EFA110" s="21"/>
      <c r="EFB110" s="21"/>
      <c r="EFC110" s="21"/>
      <c r="EFD110" s="21"/>
      <c r="EFE110" s="21"/>
      <c r="EFF110" s="21"/>
      <c r="EFG110" s="21"/>
      <c r="EFH110" s="21"/>
      <c r="EFI110" s="21"/>
      <c r="EFJ110" s="21"/>
      <c r="EFK110" s="21"/>
      <c r="EFL110" s="21"/>
      <c r="EFM110" s="21"/>
      <c r="EFN110" s="21"/>
      <c r="EFO110" s="21"/>
      <c r="EFP110" s="21"/>
      <c r="EFQ110" s="21"/>
      <c r="EFR110" s="21"/>
      <c r="EFS110" s="21"/>
      <c r="EFT110" s="21"/>
      <c r="EFU110" s="21"/>
      <c r="EFV110" s="21"/>
      <c r="EFW110" s="21"/>
      <c r="EFX110" s="21"/>
      <c r="EFY110" s="21"/>
      <c r="EFZ110" s="21"/>
      <c r="EGA110" s="21"/>
      <c r="EGB110" s="21"/>
      <c r="EGC110" s="21"/>
      <c r="EGD110" s="21"/>
      <c r="EGE110" s="21"/>
      <c r="EGF110" s="21"/>
      <c r="EGG110" s="21"/>
      <c r="EGH110" s="21"/>
      <c r="EGI110" s="21"/>
      <c r="EGJ110" s="21"/>
      <c r="EGK110" s="21"/>
      <c r="EGL110" s="21"/>
      <c r="EGM110" s="21"/>
      <c r="EGN110" s="21"/>
      <c r="EGO110" s="21"/>
      <c r="EGP110" s="21"/>
      <c r="EGQ110" s="21"/>
      <c r="EGR110" s="21"/>
      <c r="EGS110" s="21"/>
      <c r="EGT110" s="21"/>
      <c r="EGU110" s="21"/>
      <c r="EGV110" s="21"/>
      <c r="EGW110" s="21"/>
      <c r="EGX110" s="21"/>
      <c r="EGY110" s="21"/>
      <c r="EGZ110" s="21"/>
      <c r="EHA110" s="21"/>
      <c r="EHB110" s="21"/>
      <c r="EHC110" s="21"/>
      <c r="EHD110" s="21"/>
      <c r="EHE110" s="21"/>
      <c r="EHF110" s="21"/>
      <c r="EHG110" s="21"/>
      <c r="EHH110" s="21"/>
      <c r="EHI110" s="21"/>
      <c r="EHJ110" s="21"/>
      <c r="EHK110" s="21"/>
      <c r="EHL110" s="21"/>
      <c r="EHM110" s="21"/>
      <c r="EHN110" s="21"/>
      <c r="EHO110" s="21"/>
      <c r="EHP110" s="21"/>
      <c r="EHQ110" s="21"/>
      <c r="EHR110" s="21"/>
      <c r="EHS110" s="21"/>
      <c r="EHT110" s="21"/>
      <c r="EHU110" s="21"/>
      <c r="EHV110" s="21"/>
      <c r="EHW110" s="21"/>
      <c r="EHX110" s="21"/>
      <c r="EHY110" s="21"/>
      <c r="EHZ110" s="21"/>
      <c r="EIA110" s="21"/>
      <c r="EIB110" s="21"/>
      <c r="EIC110" s="21"/>
      <c r="EID110" s="21"/>
      <c r="EIE110" s="21"/>
      <c r="EIF110" s="21"/>
      <c r="EIG110" s="21"/>
      <c r="EIH110" s="21"/>
      <c r="EII110" s="21"/>
      <c r="EIJ110" s="21"/>
      <c r="EIK110" s="21"/>
      <c r="EIL110" s="21"/>
      <c r="EIM110" s="21"/>
      <c r="EIN110" s="21"/>
      <c r="EIO110" s="21"/>
      <c r="EIP110" s="21"/>
      <c r="EIQ110" s="21"/>
      <c r="EIR110" s="21"/>
      <c r="EIS110" s="21"/>
      <c r="EIT110" s="21"/>
      <c r="EIU110" s="21"/>
      <c r="EIV110" s="21"/>
      <c r="EIW110" s="21"/>
      <c r="EIX110" s="21"/>
      <c r="EIY110" s="21"/>
      <c r="EIZ110" s="21"/>
      <c r="EJA110" s="21"/>
      <c r="EJB110" s="21"/>
      <c r="EJC110" s="21"/>
      <c r="EJD110" s="21"/>
      <c r="EJE110" s="21"/>
      <c r="EJF110" s="21"/>
      <c r="EJG110" s="21"/>
      <c r="EJH110" s="21"/>
      <c r="EJI110" s="21"/>
      <c r="EJJ110" s="21"/>
      <c r="EJK110" s="21"/>
      <c r="EJL110" s="21"/>
      <c r="EJM110" s="21"/>
      <c r="EJN110" s="21"/>
      <c r="EJO110" s="21"/>
      <c r="EJP110" s="21"/>
      <c r="EJQ110" s="21"/>
      <c r="EJR110" s="21"/>
      <c r="EJS110" s="21"/>
      <c r="EJT110" s="21"/>
      <c r="EJU110" s="21"/>
      <c r="EJV110" s="21"/>
      <c r="EJW110" s="21"/>
      <c r="EJX110" s="21"/>
      <c r="EJY110" s="21"/>
      <c r="EJZ110" s="21"/>
      <c r="EKA110" s="21"/>
      <c r="EKB110" s="21"/>
      <c r="EKC110" s="21"/>
      <c r="EKD110" s="21"/>
      <c r="EKE110" s="21"/>
      <c r="EKF110" s="21"/>
      <c r="EKG110" s="21"/>
      <c r="EKH110" s="21"/>
      <c r="EKI110" s="21"/>
      <c r="EKJ110" s="21"/>
      <c r="EKK110" s="21"/>
      <c r="EKL110" s="21"/>
      <c r="EKM110" s="21"/>
      <c r="EKN110" s="21"/>
      <c r="EKO110" s="21"/>
      <c r="EKP110" s="21"/>
      <c r="EKQ110" s="21"/>
      <c r="EKR110" s="21"/>
      <c r="EKS110" s="21"/>
      <c r="EKT110" s="21"/>
      <c r="EKU110" s="21"/>
      <c r="EKV110" s="21"/>
      <c r="EKW110" s="21"/>
      <c r="EKX110" s="21"/>
      <c r="EKY110" s="21"/>
      <c r="EKZ110" s="21"/>
      <c r="ELA110" s="21"/>
      <c r="ELB110" s="21"/>
      <c r="ELC110" s="21"/>
      <c r="ELD110" s="21"/>
      <c r="ELE110" s="21"/>
      <c r="ELF110" s="21"/>
      <c r="ELG110" s="21"/>
      <c r="ELH110" s="21"/>
      <c r="ELI110" s="21"/>
      <c r="ELJ110" s="21"/>
      <c r="ELK110" s="21"/>
      <c r="ELL110" s="21"/>
      <c r="ELM110" s="21"/>
      <c r="ELN110" s="21"/>
      <c r="ELO110" s="21"/>
      <c r="ELP110" s="21"/>
      <c r="ELQ110" s="21"/>
      <c r="ELR110" s="21"/>
      <c r="ELS110" s="21"/>
      <c r="ELT110" s="21"/>
      <c r="ELU110" s="21"/>
      <c r="ELV110" s="21"/>
      <c r="ELW110" s="21"/>
      <c r="ELX110" s="21"/>
      <c r="ELY110" s="21"/>
      <c r="ELZ110" s="21"/>
      <c r="EMA110" s="21"/>
      <c r="EMB110" s="21"/>
      <c r="EMC110" s="21"/>
      <c r="EMD110" s="21"/>
      <c r="EME110" s="21"/>
      <c r="EMF110" s="21"/>
      <c r="EMG110" s="21"/>
      <c r="EMH110" s="21"/>
      <c r="EMI110" s="21"/>
      <c r="EMJ110" s="21"/>
      <c r="EMK110" s="21"/>
      <c r="EML110" s="21"/>
      <c r="EMM110" s="21"/>
      <c r="EMN110" s="21"/>
      <c r="EMO110" s="21"/>
      <c r="EMP110" s="21"/>
      <c r="EMQ110" s="21"/>
      <c r="EMR110" s="21"/>
      <c r="EMS110" s="21"/>
      <c r="EMT110" s="21"/>
      <c r="EMU110" s="21"/>
      <c r="EMV110" s="21"/>
      <c r="EMW110" s="21"/>
      <c r="EMX110" s="21"/>
      <c r="EMY110" s="21"/>
      <c r="EMZ110" s="21"/>
      <c r="ENA110" s="21"/>
      <c r="ENB110" s="21"/>
      <c r="ENC110" s="21"/>
      <c r="END110" s="21"/>
      <c r="ENE110" s="21"/>
      <c r="ENF110" s="21"/>
      <c r="ENG110" s="21"/>
      <c r="ENH110" s="21"/>
      <c r="ENI110" s="21"/>
      <c r="ENJ110" s="21"/>
      <c r="ENK110" s="21"/>
      <c r="ENL110" s="21"/>
      <c r="ENM110" s="21"/>
      <c r="ENN110" s="21"/>
      <c r="ENO110" s="21"/>
      <c r="ENP110" s="21"/>
      <c r="ENQ110" s="21"/>
      <c r="ENR110" s="21"/>
      <c r="ENS110" s="21"/>
      <c r="ENT110" s="21"/>
      <c r="ENU110" s="21"/>
      <c r="ENV110" s="21"/>
      <c r="ENW110" s="21"/>
      <c r="ENX110" s="21"/>
      <c r="ENY110" s="21"/>
      <c r="ENZ110" s="21"/>
      <c r="EOA110" s="21"/>
      <c r="EOB110" s="21"/>
      <c r="EOC110" s="21"/>
      <c r="EOD110" s="21"/>
      <c r="EOE110" s="21"/>
      <c r="EOF110" s="21"/>
      <c r="EOG110" s="21"/>
      <c r="EOH110" s="21"/>
      <c r="EOI110" s="21"/>
      <c r="EOJ110" s="21"/>
      <c r="EOK110" s="21"/>
      <c r="EOL110" s="21"/>
      <c r="EOM110" s="21"/>
      <c r="EON110" s="21"/>
      <c r="EOO110" s="21"/>
      <c r="EOP110" s="21"/>
      <c r="EOQ110" s="21"/>
      <c r="EOR110" s="21"/>
      <c r="EOS110" s="21"/>
      <c r="EOT110" s="21"/>
      <c r="EOU110" s="21"/>
      <c r="EOV110" s="21"/>
      <c r="EOW110" s="21"/>
      <c r="EOX110" s="21"/>
      <c r="EOY110" s="21"/>
      <c r="EOZ110" s="21"/>
      <c r="EPA110" s="21"/>
      <c r="EPB110" s="21"/>
      <c r="EPC110" s="21"/>
      <c r="EPD110" s="21"/>
      <c r="EPE110" s="21"/>
      <c r="EPF110" s="21"/>
      <c r="EPG110" s="21"/>
      <c r="EPH110" s="21"/>
      <c r="EPI110" s="21"/>
      <c r="EPJ110" s="21"/>
      <c r="EPK110" s="21"/>
      <c r="EPL110" s="21"/>
      <c r="EPM110" s="21"/>
      <c r="EPN110" s="21"/>
      <c r="EPO110" s="21"/>
      <c r="EPP110" s="21"/>
      <c r="EPQ110" s="21"/>
      <c r="EPR110" s="21"/>
      <c r="EPS110" s="21"/>
      <c r="EPT110" s="21"/>
      <c r="EPU110" s="21"/>
      <c r="EPV110" s="21"/>
      <c r="EPW110" s="21"/>
      <c r="EPX110" s="21"/>
      <c r="EPY110" s="21"/>
      <c r="EPZ110" s="21"/>
      <c r="EQA110" s="21"/>
      <c r="EQB110" s="21"/>
      <c r="EQC110" s="21"/>
      <c r="EQD110" s="21"/>
      <c r="EQE110" s="21"/>
      <c r="EQF110" s="21"/>
      <c r="EQG110" s="21"/>
      <c r="EQH110" s="21"/>
      <c r="EQI110" s="21"/>
      <c r="EQJ110" s="21"/>
      <c r="EQK110" s="21"/>
      <c r="EQL110" s="21"/>
      <c r="EQM110" s="21"/>
      <c r="EQN110" s="21"/>
      <c r="EQO110" s="21"/>
      <c r="EQP110" s="21"/>
      <c r="EQQ110" s="21"/>
      <c r="EQR110" s="21"/>
      <c r="EQS110" s="21"/>
      <c r="EQT110" s="21"/>
      <c r="EQU110" s="21"/>
      <c r="EQV110" s="21"/>
      <c r="EQW110" s="21"/>
      <c r="EQX110" s="21"/>
      <c r="EQY110" s="21"/>
      <c r="EQZ110" s="21"/>
      <c r="ERA110" s="21"/>
      <c r="ERB110" s="21"/>
      <c r="ERC110" s="21"/>
      <c r="ERD110" s="21"/>
      <c r="ERE110" s="21"/>
      <c r="ERF110" s="21"/>
      <c r="ERG110" s="21"/>
      <c r="ERH110" s="21"/>
      <c r="ERI110" s="21"/>
      <c r="ERJ110" s="21"/>
      <c r="ERK110" s="21"/>
      <c r="ERL110" s="21"/>
      <c r="ERM110" s="21"/>
      <c r="ERN110" s="21"/>
      <c r="ERO110" s="21"/>
      <c r="ERP110" s="21"/>
      <c r="ERQ110" s="21"/>
      <c r="ERR110" s="21"/>
      <c r="ERS110" s="21"/>
      <c r="ERT110" s="21"/>
      <c r="ERU110" s="21"/>
      <c r="ERV110" s="21"/>
      <c r="ERW110" s="21"/>
      <c r="ERX110" s="21"/>
      <c r="ERY110" s="21"/>
      <c r="ERZ110" s="21"/>
      <c r="ESA110" s="21"/>
      <c r="ESB110" s="21"/>
      <c r="ESC110" s="21"/>
      <c r="ESD110" s="21"/>
      <c r="ESE110" s="21"/>
      <c r="ESF110" s="21"/>
      <c r="ESG110" s="21"/>
      <c r="ESH110" s="21"/>
      <c r="ESI110" s="21"/>
      <c r="ESJ110" s="21"/>
      <c r="ESK110" s="21"/>
      <c r="ESL110" s="21"/>
      <c r="ESM110" s="21"/>
      <c r="ESN110" s="21"/>
      <c r="ESO110" s="21"/>
      <c r="ESP110" s="21"/>
      <c r="ESQ110" s="21"/>
      <c r="ESR110" s="21"/>
      <c r="ESS110" s="21"/>
      <c r="EST110" s="21"/>
      <c r="ESU110" s="21"/>
      <c r="ESV110" s="21"/>
      <c r="ESW110" s="21"/>
      <c r="ESX110" s="21"/>
      <c r="ESY110" s="21"/>
      <c r="ESZ110" s="21"/>
      <c r="ETA110" s="21"/>
      <c r="ETB110" s="21"/>
      <c r="ETC110" s="21"/>
      <c r="ETD110" s="21"/>
      <c r="ETE110" s="21"/>
      <c r="ETF110" s="21"/>
      <c r="ETG110" s="21"/>
      <c r="ETH110" s="21"/>
      <c r="ETI110" s="21"/>
      <c r="ETJ110" s="21"/>
      <c r="ETK110" s="21"/>
      <c r="ETL110" s="21"/>
      <c r="ETM110" s="21"/>
      <c r="ETN110" s="21"/>
      <c r="ETO110" s="21"/>
      <c r="ETP110" s="21"/>
      <c r="ETQ110" s="21"/>
      <c r="ETR110" s="21"/>
      <c r="ETS110" s="21"/>
      <c r="ETT110" s="21"/>
      <c r="ETU110" s="21"/>
      <c r="ETV110" s="21"/>
      <c r="ETW110" s="21"/>
      <c r="ETX110" s="21"/>
      <c r="ETY110" s="21"/>
      <c r="ETZ110" s="21"/>
      <c r="EUA110" s="21"/>
      <c r="EUB110" s="21"/>
      <c r="EUC110" s="21"/>
      <c r="EUD110" s="21"/>
      <c r="EUE110" s="21"/>
      <c r="EUF110" s="21"/>
      <c r="EUG110" s="21"/>
      <c r="EUH110" s="21"/>
      <c r="EUI110" s="21"/>
      <c r="EUJ110" s="21"/>
      <c r="EUK110" s="21"/>
      <c r="EUL110" s="21"/>
      <c r="EUM110" s="21"/>
      <c r="EUN110" s="21"/>
      <c r="EUO110" s="21"/>
      <c r="EUP110" s="21"/>
      <c r="EUQ110" s="21"/>
      <c r="EUR110" s="21"/>
      <c r="EUS110" s="21"/>
      <c r="EUT110" s="21"/>
      <c r="EUU110" s="21"/>
      <c r="EUV110" s="21"/>
      <c r="EUW110" s="21"/>
      <c r="EUX110" s="21"/>
      <c r="EUY110" s="21"/>
      <c r="EUZ110" s="21"/>
      <c r="EVA110" s="21"/>
      <c r="EVB110" s="21"/>
      <c r="EVC110" s="21"/>
      <c r="EVD110" s="21"/>
      <c r="EVE110" s="21"/>
      <c r="EVF110" s="21"/>
      <c r="EVG110" s="21"/>
      <c r="EVH110" s="21"/>
      <c r="EVI110" s="21"/>
      <c r="EVJ110" s="21"/>
      <c r="EVK110" s="21"/>
      <c r="EVL110" s="21"/>
      <c r="EVM110" s="21"/>
      <c r="EVN110" s="21"/>
      <c r="EVO110" s="21"/>
      <c r="EVP110" s="21"/>
      <c r="EVQ110" s="21"/>
      <c r="EVR110" s="21"/>
      <c r="EVS110" s="21"/>
      <c r="EVT110" s="21"/>
      <c r="EVU110" s="21"/>
      <c r="EVV110" s="21"/>
      <c r="EVW110" s="21"/>
      <c r="EVX110" s="21"/>
      <c r="EVY110" s="21"/>
      <c r="EVZ110" s="21"/>
      <c r="EWA110" s="21"/>
      <c r="EWB110" s="21"/>
      <c r="EWC110" s="21"/>
      <c r="EWD110" s="21"/>
      <c r="EWE110" s="21"/>
      <c r="EWF110" s="21"/>
      <c r="EWG110" s="21"/>
      <c r="EWH110" s="21"/>
      <c r="EWI110" s="21"/>
      <c r="EWJ110" s="21"/>
      <c r="EWK110" s="21"/>
      <c r="EWL110" s="21"/>
      <c r="EWM110" s="21"/>
      <c r="EWN110" s="21"/>
      <c r="EWO110" s="21"/>
      <c r="EWP110" s="21"/>
      <c r="EWQ110" s="21"/>
      <c r="EWR110" s="21"/>
      <c r="EWS110" s="21"/>
      <c r="EWT110" s="21"/>
      <c r="EWU110" s="21"/>
      <c r="EWV110" s="21"/>
      <c r="EWW110" s="21"/>
      <c r="EWX110" s="21"/>
      <c r="EWY110" s="21"/>
      <c r="EWZ110" s="21"/>
      <c r="EXA110" s="21"/>
      <c r="EXB110" s="21"/>
      <c r="EXC110" s="21"/>
      <c r="EXD110" s="21"/>
      <c r="EXE110" s="21"/>
      <c r="EXF110" s="21"/>
      <c r="EXG110" s="21"/>
      <c r="EXH110" s="21"/>
      <c r="EXI110" s="21"/>
      <c r="EXJ110" s="21"/>
      <c r="EXK110" s="21"/>
      <c r="EXL110" s="21"/>
      <c r="EXM110" s="21"/>
      <c r="EXN110" s="21"/>
      <c r="EXO110" s="21"/>
      <c r="EXP110" s="21"/>
      <c r="EXQ110" s="21"/>
      <c r="EXR110" s="21"/>
      <c r="EXS110" s="21"/>
      <c r="EXT110" s="21"/>
      <c r="EXU110" s="21"/>
      <c r="EXV110" s="21"/>
      <c r="EXW110" s="21"/>
      <c r="EXX110" s="21"/>
      <c r="EXY110" s="21"/>
      <c r="EXZ110" s="21"/>
      <c r="EYA110" s="21"/>
      <c r="EYB110" s="21"/>
      <c r="EYC110" s="21"/>
      <c r="EYD110" s="21"/>
      <c r="EYE110" s="21"/>
      <c r="EYF110" s="21"/>
      <c r="EYG110" s="21"/>
      <c r="EYH110" s="21"/>
      <c r="EYI110" s="21"/>
      <c r="EYJ110" s="21"/>
      <c r="EYK110" s="21"/>
      <c r="EYL110" s="21"/>
      <c r="EYM110" s="21"/>
      <c r="EYN110" s="21"/>
      <c r="EYO110" s="21"/>
      <c r="EYP110" s="21"/>
      <c r="EYQ110" s="21"/>
      <c r="EYR110" s="21"/>
      <c r="EYS110" s="21"/>
      <c r="EYT110" s="21"/>
      <c r="EYU110" s="21"/>
      <c r="EYV110" s="21"/>
      <c r="EYW110" s="21"/>
      <c r="EYX110" s="21"/>
      <c r="EYY110" s="21"/>
      <c r="EYZ110" s="21"/>
      <c r="EZA110" s="21"/>
      <c r="EZB110" s="21"/>
      <c r="EZC110" s="21"/>
      <c r="EZD110" s="21"/>
      <c r="EZE110" s="21"/>
      <c r="EZF110" s="21"/>
      <c r="EZG110" s="21"/>
      <c r="EZH110" s="21"/>
      <c r="EZI110" s="21"/>
      <c r="EZJ110" s="21"/>
      <c r="EZK110" s="21"/>
      <c r="EZL110" s="21"/>
      <c r="EZM110" s="21"/>
      <c r="EZN110" s="21"/>
      <c r="EZO110" s="21"/>
      <c r="EZP110" s="21"/>
      <c r="EZQ110" s="21"/>
      <c r="EZR110" s="21"/>
      <c r="EZS110" s="21"/>
      <c r="EZT110" s="21"/>
      <c r="EZU110" s="21"/>
      <c r="EZV110" s="21"/>
      <c r="EZW110" s="21"/>
      <c r="EZX110" s="21"/>
      <c r="EZY110" s="21"/>
      <c r="EZZ110" s="21"/>
      <c r="FAA110" s="21"/>
      <c r="FAB110" s="21"/>
      <c r="FAC110" s="21"/>
      <c r="FAD110" s="21"/>
      <c r="FAE110" s="21"/>
      <c r="FAF110" s="21"/>
      <c r="FAG110" s="21"/>
      <c r="FAH110" s="21"/>
      <c r="FAI110" s="21"/>
      <c r="FAJ110" s="21"/>
      <c r="FAK110" s="21"/>
      <c r="FAL110" s="21"/>
      <c r="FAM110" s="21"/>
      <c r="FAN110" s="21"/>
      <c r="FAO110" s="21"/>
      <c r="FAP110" s="21"/>
      <c r="FAQ110" s="21"/>
      <c r="FAR110" s="21"/>
      <c r="FAS110" s="21"/>
      <c r="FAT110" s="21"/>
      <c r="FAU110" s="21"/>
      <c r="FAV110" s="21"/>
      <c r="FAW110" s="21"/>
      <c r="FAX110" s="21"/>
      <c r="FAY110" s="21"/>
      <c r="FAZ110" s="21"/>
      <c r="FBA110" s="21"/>
      <c r="FBB110" s="21"/>
      <c r="FBC110" s="21"/>
      <c r="FBD110" s="21"/>
      <c r="FBE110" s="21"/>
      <c r="FBF110" s="21"/>
      <c r="FBG110" s="21"/>
      <c r="FBH110" s="21"/>
      <c r="FBI110" s="21"/>
      <c r="FBJ110" s="21"/>
      <c r="FBK110" s="21"/>
      <c r="FBL110" s="21"/>
      <c r="FBM110" s="21"/>
      <c r="FBN110" s="21"/>
      <c r="FBO110" s="21"/>
      <c r="FBP110" s="21"/>
      <c r="FBQ110" s="21"/>
      <c r="FBR110" s="21"/>
      <c r="FBS110" s="21"/>
      <c r="FBT110" s="21"/>
      <c r="FBU110" s="21"/>
      <c r="FBV110" s="21"/>
      <c r="FBW110" s="21"/>
      <c r="FBX110" s="21"/>
      <c r="FBY110" s="21"/>
      <c r="FBZ110" s="21"/>
      <c r="FCA110" s="21"/>
      <c r="FCB110" s="21"/>
      <c r="FCC110" s="21"/>
      <c r="FCD110" s="21"/>
      <c r="FCE110" s="21"/>
      <c r="FCF110" s="21"/>
      <c r="FCG110" s="21"/>
      <c r="FCH110" s="21"/>
      <c r="FCI110" s="21"/>
      <c r="FCJ110" s="21"/>
      <c r="FCK110" s="21"/>
      <c r="FCL110" s="21"/>
      <c r="FCM110" s="21"/>
      <c r="FCN110" s="21"/>
      <c r="FCO110" s="21"/>
      <c r="FCP110" s="21"/>
      <c r="FCQ110" s="21"/>
      <c r="FCR110" s="21"/>
      <c r="FCS110" s="21"/>
      <c r="FCT110" s="21"/>
      <c r="FCU110" s="21"/>
      <c r="FCV110" s="21"/>
      <c r="FCW110" s="21"/>
      <c r="FCX110" s="21"/>
      <c r="FCY110" s="21"/>
      <c r="FCZ110" s="21"/>
      <c r="FDA110" s="21"/>
      <c r="FDB110" s="21"/>
      <c r="FDC110" s="21"/>
      <c r="FDD110" s="21"/>
      <c r="FDE110" s="21"/>
      <c r="FDF110" s="21"/>
      <c r="FDG110" s="21"/>
      <c r="FDH110" s="21"/>
      <c r="FDI110" s="21"/>
      <c r="FDJ110" s="21"/>
      <c r="FDK110" s="21"/>
      <c r="FDL110" s="21"/>
      <c r="FDM110" s="21"/>
      <c r="FDN110" s="21"/>
      <c r="FDO110" s="21"/>
      <c r="FDP110" s="21"/>
      <c r="FDQ110" s="21"/>
      <c r="FDR110" s="21"/>
      <c r="FDS110" s="21"/>
      <c r="FDT110" s="21"/>
      <c r="FDU110" s="21"/>
      <c r="FDV110" s="21"/>
      <c r="FDW110" s="21"/>
      <c r="FDX110" s="21"/>
      <c r="FDY110" s="21"/>
      <c r="FDZ110" s="21"/>
      <c r="FEA110" s="21"/>
      <c r="FEB110" s="21"/>
      <c r="FEC110" s="21"/>
      <c r="FED110" s="21"/>
      <c r="FEE110" s="21"/>
      <c r="FEF110" s="21"/>
      <c r="FEG110" s="21"/>
      <c r="FEH110" s="21"/>
      <c r="FEI110" s="21"/>
      <c r="FEJ110" s="21"/>
      <c r="FEK110" s="21"/>
      <c r="FEL110" s="21"/>
      <c r="FEM110" s="21"/>
      <c r="FEN110" s="21"/>
      <c r="FEO110" s="21"/>
      <c r="FEP110" s="21"/>
      <c r="FEQ110" s="21"/>
      <c r="FER110" s="21"/>
      <c r="FES110" s="21"/>
      <c r="FET110" s="21"/>
      <c r="FEU110" s="21"/>
      <c r="FEV110" s="21"/>
      <c r="FEW110" s="21"/>
      <c r="FEX110" s="21"/>
      <c r="FEY110" s="21"/>
      <c r="FEZ110" s="21"/>
      <c r="FFA110" s="21"/>
      <c r="FFB110" s="21"/>
      <c r="FFC110" s="21"/>
      <c r="FFD110" s="21"/>
      <c r="FFE110" s="21"/>
      <c r="FFF110" s="21"/>
      <c r="FFG110" s="21"/>
      <c r="FFH110" s="21"/>
      <c r="FFI110" s="21"/>
      <c r="FFJ110" s="21"/>
      <c r="FFK110" s="21"/>
      <c r="FFL110" s="21"/>
      <c r="FFM110" s="21"/>
      <c r="FFN110" s="21"/>
      <c r="FFO110" s="21"/>
      <c r="FFP110" s="21"/>
      <c r="FFQ110" s="21"/>
      <c r="FFR110" s="21"/>
      <c r="FFS110" s="21"/>
      <c r="FFT110" s="21"/>
      <c r="FFU110" s="21"/>
      <c r="FFV110" s="21"/>
      <c r="FFW110" s="21"/>
      <c r="FFX110" s="21"/>
      <c r="FFY110" s="21"/>
      <c r="FFZ110" s="21"/>
      <c r="FGA110" s="21"/>
      <c r="FGB110" s="21"/>
      <c r="FGC110" s="21"/>
      <c r="FGD110" s="21"/>
      <c r="FGE110" s="21"/>
      <c r="FGF110" s="21"/>
      <c r="FGG110" s="21"/>
      <c r="FGH110" s="21"/>
      <c r="FGI110" s="21"/>
      <c r="FGJ110" s="21"/>
      <c r="FGK110" s="21"/>
      <c r="FGL110" s="21"/>
      <c r="FGM110" s="21"/>
      <c r="FGN110" s="21"/>
      <c r="FGO110" s="21"/>
      <c r="FGP110" s="21"/>
      <c r="FGQ110" s="21"/>
      <c r="FGR110" s="21"/>
      <c r="FGS110" s="21"/>
      <c r="FGT110" s="21"/>
      <c r="FGU110" s="21"/>
      <c r="FGV110" s="21"/>
      <c r="FGW110" s="21"/>
      <c r="FGX110" s="21"/>
      <c r="FGY110" s="21"/>
      <c r="FGZ110" s="21"/>
      <c r="FHA110" s="21"/>
      <c r="FHB110" s="21"/>
      <c r="FHC110" s="21"/>
      <c r="FHD110" s="21"/>
      <c r="FHE110" s="21"/>
      <c r="FHF110" s="21"/>
      <c r="FHG110" s="21"/>
      <c r="FHH110" s="21"/>
      <c r="FHI110" s="21"/>
      <c r="FHJ110" s="21"/>
      <c r="FHK110" s="21"/>
      <c r="FHL110" s="21"/>
      <c r="FHM110" s="21"/>
      <c r="FHN110" s="21"/>
      <c r="FHO110" s="21"/>
      <c r="FHP110" s="21"/>
      <c r="FHQ110" s="21"/>
      <c r="FHR110" s="21"/>
      <c r="FHS110" s="21"/>
      <c r="FHT110" s="21"/>
      <c r="FHU110" s="21"/>
      <c r="FHV110" s="21"/>
      <c r="FHW110" s="21"/>
      <c r="FHX110" s="21"/>
      <c r="FHY110" s="21"/>
      <c r="FHZ110" s="21"/>
      <c r="FIA110" s="21"/>
      <c r="FIB110" s="21"/>
      <c r="FIC110" s="21"/>
      <c r="FID110" s="21"/>
      <c r="FIE110" s="21"/>
      <c r="FIF110" s="21"/>
      <c r="FIG110" s="21"/>
      <c r="FIH110" s="21"/>
      <c r="FII110" s="21"/>
      <c r="FIJ110" s="21"/>
      <c r="FIK110" s="21"/>
      <c r="FIL110" s="21"/>
      <c r="FIM110" s="21"/>
      <c r="FIN110" s="21"/>
      <c r="FIO110" s="21"/>
      <c r="FIP110" s="21"/>
      <c r="FIQ110" s="21"/>
      <c r="FIR110" s="21"/>
      <c r="FIS110" s="21"/>
      <c r="FIT110" s="21"/>
      <c r="FIU110" s="21"/>
      <c r="FIV110" s="21"/>
      <c r="FIW110" s="21"/>
      <c r="FIX110" s="21"/>
      <c r="FIY110" s="21"/>
      <c r="FIZ110" s="21"/>
      <c r="FJA110" s="21"/>
      <c r="FJB110" s="21"/>
      <c r="FJC110" s="21"/>
      <c r="FJD110" s="21"/>
      <c r="FJE110" s="21"/>
      <c r="FJF110" s="21"/>
      <c r="FJG110" s="21"/>
      <c r="FJH110" s="21"/>
      <c r="FJI110" s="21"/>
      <c r="FJJ110" s="21"/>
      <c r="FJK110" s="21"/>
      <c r="FJL110" s="21"/>
      <c r="FJM110" s="21"/>
      <c r="FJN110" s="21"/>
      <c r="FJO110" s="21"/>
      <c r="FJP110" s="21"/>
      <c r="FJQ110" s="21"/>
      <c r="FJR110" s="21"/>
      <c r="FJS110" s="21"/>
      <c r="FJT110" s="21"/>
      <c r="FJU110" s="21"/>
      <c r="FJV110" s="21"/>
      <c r="FJW110" s="21"/>
      <c r="FJX110" s="21"/>
      <c r="FJY110" s="21"/>
      <c r="FJZ110" s="21"/>
      <c r="FKA110" s="21"/>
      <c r="FKB110" s="21"/>
      <c r="FKC110" s="21"/>
      <c r="FKD110" s="21"/>
      <c r="FKE110" s="21"/>
      <c r="FKF110" s="21"/>
      <c r="FKG110" s="21"/>
      <c r="FKH110" s="21"/>
      <c r="FKI110" s="21"/>
      <c r="FKJ110" s="21"/>
      <c r="FKK110" s="21"/>
      <c r="FKL110" s="21"/>
      <c r="FKM110" s="21"/>
      <c r="FKN110" s="21"/>
      <c r="FKO110" s="21"/>
      <c r="FKP110" s="21"/>
      <c r="FKQ110" s="21"/>
      <c r="FKR110" s="21"/>
      <c r="FKS110" s="21"/>
      <c r="FKT110" s="21"/>
      <c r="FKU110" s="21"/>
      <c r="FKV110" s="21"/>
      <c r="FKW110" s="21"/>
      <c r="FKX110" s="21"/>
      <c r="FKY110" s="21"/>
      <c r="FKZ110" s="21"/>
      <c r="FLA110" s="21"/>
      <c r="FLB110" s="21"/>
      <c r="FLC110" s="21"/>
      <c r="FLD110" s="21"/>
      <c r="FLE110" s="21"/>
      <c r="FLF110" s="21"/>
      <c r="FLG110" s="21"/>
      <c r="FLH110" s="21"/>
      <c r="FLI110" s="21"/>
      <c r="FLJ110" s="21"/>
      <c r="FLK110" s="21"/>
      <c r="FLL110" s="21"/>
      <c r="FLM110" s="21"/>
      <c r="FLN110" s="21"/>
      <c r="FLO110" s="21"/>
      <c r="FLP110" s="21"/>
      <c r="FLQ110" s="21"/>
      <c r="FLR110" s="21"/>
      <c r="FLS110" s="21"/>
      <c r="FLT110" s="21"/>
      <c r="FLU110" s="21"/>
      <c r="FLV110" s="21"/>
      <c r="FLW110" s="21"/>
      <c r="FLX110" s="21"/>
      <c r="FLY110" s="21"/>
      <c r="FLZ110" s="21"/>
      <c r="FMA110" s="21"/>
      <c r="FMB110" s="21"/>
      <c r="FMC110" s="21"/>
      <c r="FMD110" s="21"/>
      <c r="FME110" s="21"/>
      <c r="FMF110" s="21"/>
      <c r="FMG110" s="21"/>
      <c r="FMH110" s="21"/>
      <c r="FMI110" s="21"/>
      <c r="FMJ110" s="21"/>
      <c r="FMK110" s="21"/>
      <c r="FML110" s="21"/>
      <c r="FMM110" s="21"/>
      <c r="FMN110" s="21"/>
      <c r="FMO110" s="21"/>
      <c r="FMP110" s="21"/>
      <c r="FMQ110" s="21"/>
      <c r="FMR110" s="21"/>
      <c r="FMS110" s="21"/>
      <c r="FMT110" s="21"/>
      <c r="FMU110" s="21"/>
      <c r="FMV110" s="21"/>
      <c r="FMW110" s="21"/>
      <c r="FMX110" s="21"/>
      <c r="FMY110" s="21"/>
      <c r="FMZ110" s="21"/>
      <c r="FNA110" s="21"/>
      <c r="FNB110" s="21"/>
      <c r="FNC110" s="21"/>
      <c r="FND110" s="21"/>
      <c r="FNE110" s="21"/>
      <c r="FNF110" s="21"/>
      <c r="FNG110" s="21"/>
      <c r="FNH110" s="21"/>
      <c r="FNI110" s="21"/>
      <c r="FNJ110" s="21"/>
      <c r="FNK110" s="21"/>
      <c r="FNL110" s="21"/>
      <c r="FNM110" s="21"/>
      <c r="FNN110" s="21"/>
      <c r="FNO110" s="21"/>
      <c r="FNP110" s="21"/>
      <c r="FNQ110" s="21"/>
      <c r="FNR110" s="21"/>
      <c r="FNS110" s="21"/>
      <c r="FNT110" s="21"/>
      <c r="FNU110" s="21"/>
      <c r="FNV110" s="21"/>
      <c r="FNW110" s="21"/>
      <c r="FNX110" s="21"/>
      <c r="FNY110" s="21"/>
      <c r="FNZ110" s="21"/>
      <c r="FOA110" s="21"/>
      <c r="FOB110" s="21"/>
      <c r="FOC110" s="21"/>
      <c r="FOD110" s="21"/>
      <c r="FOE110" s="21"/>
      <c r="FOF110" s="21"/>
      <c r="FOG110" s="21"/>
      <c r="FOH110" s="21"/>
      <c r="FOI110" s="21"/>
      <c r="FOJ110" s="21"/>
      <c r="FOK110" s="21"/>
      <c r="FOL110" s="21"/>
      <c r="FOM110" s="21"/>
      <c r="FON110" s="21"/>
      <c r="FOO110" s="21"/>
      <c r="FOP110" s="21"/>
      <c r="FOQ110" s="21"/>
      <c r="FOR110" s="21"/>
      <c r="FOS110" s="21"/>
      <c r="FOT110" s="21"/>
      <c r="FOU110" s="21"/>
      <c r="FOV110" s="21"/>
      <c r="FOW110" s="21"/>
      <c r="FOX110" s="21"/>
      <c r="FOY110" s="21"/>
      <c r="FOZ110" s="21"/>
      <c r="FPA110" s="21"/>
      <c r="FPB110" s="21"/>
      <c r="FPC110" s="21"/>
      <c r="FPD110" s="21"/>
      <c r="FPE110" s="21"/>
      <c r="FPF110" s="21"/>
      <c r="FPG110" s="21"/>
      <c r="FPH110" s="21"/>
      <c r="FPI110" s="21"/>
      <c r="FPJ110" s="21"/>
      <c r="FPK110" s="21"/>
      <c r="FPL110" s="21"/>
      <c r="FPM110" s="21"/>
      <c r="FPN110" s="21"/>
      <c r="FPO110" s="21"/>
      <c r="FPP110" s="21"/>
      <c r="FPQ110" s="21"/>
      <c r="FPR110" s="21"/>
      <c r="FPS110" s="21"/>
      <c r="FPT110" s="21"/>
      <c r="FPU110" s="21"/>
      <c r="FPV110" s="21"/>
      <c r="FPW110" s="21"/>
      <c r="FPX110" s="21"/>
      <c r="FPY110" s="21"/>
      <c r="FPZ110" s="21"/>
      <c r="FQA110" s="21"/>
      <c r="FQB110" s="21"/>
      <c r="FQC110" s="21"/>
      <c r="FQD110" s="21"/>
      <c r="FQE110" s="21"/>
      <c r="FQF110" s="21"/>
      <c r="FQG110" s="21"/>
      <c r="FQH110" s="21"/>
      <c r="FQI110" s="21"/>
      <c r="FQJ110" s="21"/>
      <c r="FQK110" s="21"/>
      <c r="FQL110" s="21"/>
      <c r="FQM110" s="21"/>
      <c r="FQN110" s="21"/>
      <c r="FQO110" s="21"/>
      <c r="FQP110" s="21"/>
      <c r="FQQ110" s="21"/>
      <c r="FQR110" s="21"/>
      <c r="FQS110" s="21"/>
      <c r="FQT110" s="21"/>
      <c r="FQU110" s="21"/>
      <c r="FQV110" s="21"/>
      <c r="FQW110" s="21"/>
      <c r="FQX110" s="21"/>
      <c r="FQY110" s="21"/>
      <c r="FQZ110" s="21"/>
      <c r="FRA110" s="21"/>
      <c r="FRB110" s="21"/>
      <c r="FRC110" s="21"/>
      <c r="FRD110" s="21"/>
      <c r="FRE110" s="21"/>
      <c r="FRF110" s="21"/>
      <c r="FRG110" s="21"/>
      <c r="FRH110" s="21"/>
      <c r="FRI110" s="21"/>
      <c r="FRJ110" s="21"/>
      <c r="FRK110" s="21"/>
      <c r="FRL110" s="21"/>
      <c r="FRM110" s="21"/>
      <c r="FRN110" s="21"/>
      <c r="FRO110" s="21"/>
      <c r="FRP110" s="21"/>
      <c r="FRQ110" s="21"/>
      <c r="FRR110" s="21"/>
      <c r="FRS110" s="21"/>
      <c r="FRT110" s="21"/>
      <c r="FRU110" s="21"/>
      <c r="FRV110" s="21"/>
      <c r="FRW110" s="21"/>
      <c r="FRX110" s="21"/>
      <c r="FRY110" s="21"/>
      <c r="FRZ110" s="21"/>
      <c r="FSA110" s="21"/>
      <c r="FSB110" s="21"/>
      <c r="FSC110" s="21"/>
      <c r="FSD110" s="21"/>
      <c r="FSE110" s="21"/>
      <c r="FSF110" s="21"/>
      <c r="FSG110" s="21"/>
      <c r="FSH110" s="21"/>
      <c r="FSI110" s="21"/>
      <c r="FSJ110" s="21"/>
      <c r="FSK110" s="21"/>
      <c r="FSL110" s="21"/>
      <c r="FSM110" s="21"/>
      <c r="FSN110" s="21"/>
      <c r="FSO110" s="21"/>
      <c r="FSP110" s="21"/>
      <c r="FSQ110" s="21"/>
      <c r="FSR110" s="21"/>
      <c r="FSS110" s="21"/>
      <c r="FST110" s="21"/>
      <c r="FSU110" s="21"/>
      <c r="FSV110" s="21"/>
      <c r="FSW110" s="21"/>
      <c r="FSX110" s="21"/>
      <c r="FSY110" s="21"/>
      <c r="FSZ110" s="21"/>
      <c r="FTA110" s="21"/>
      <c r="FTB110" s="21"/>
      <c r="FTC110" s="21"/>
      <c r="FTD110" s="21"/>
      <c r="FTE110" s="21"/>
      <c r="FTF110" s="21"/>
      <c r="FTG110" s="21"/>
      <c r="FTH110" s="21"/>
      <c r="FTI110" s="21"/>
      <c r="FTJ110" s="21"/>
      <c r="FTK110" s="21"/>
      <c r="FTL110" s="21"/>
      <c r="FTM110" s="21"/>
      <c r="FTN110" s="21"/>
      <c r="FTO110" s="21"/>
      <c r="FTP110" s="21"/>
      <c r="FTQ110" s="21"/>
      <c r="FTR110" s="21"/>
      <c r="FTS110" s="21"/>
      <c r="FTT110" s="21"/>
      <c r="FTU110" s="21"/>
      <c r="FTV110" s="21"/>
      <c r="FTW110" s="21"/>
      <c r="FTX110" s="21"/>
      <c r="FTY110" s="21"/>
      <c r="FTZ110" s="21"/>
      <c r="FUA110" s="21"/>
      <c r="FUB110" s="21"/>
      <c r="FUC110" s="21"/>
      <c r="FUD110" s="21"/>
      <c r="FUE110" s="21"/>
      <c r="FUF110" s="21"/>
      <c r="FUG110" s="21"/>
      <c r="FUH110" s="21"/>
      <c r="FUI110" s="21"/>
      <c r="FUJ110" s="21"/>
      <c r="FUK110" s="21"/>
      <c r="FUL110" s="21"/>
      <c r="FUM110" s="21"/>
      <c r="FUN110" s="21"/>
      <c r="FUO110" s="21"/>
      <c r="FUP110" s="21"/>
      <c r="FUQ110" s="21"/>
      <c r="FUR110" s="21"/>
      <c r="FUS110" s="21"/>
      <c r="FUT110" s="21"/>
      <c r="FUU110" s="21"/>
      <c r="FUV110" s="21"/>
      <c r="FUW110" s="21"/>
      <c r="FUX110" s="21"/>
      <c r="FUY110" s="21"/>
      <c r="FUZ110" s="21"/>
      <c r="FVA110" s="21"/>
      <c r="FVB110" s="21"/>
      <c r="FVC110" s="21"/>
      <c r="FVD110" s="21"/>
      <c r="FVE110" s="21"/>
      <c r="FVF110" s="21"/>
      <c r="FVG110" s="21"/>
      <c r="FVH110" s="21"/>
      <c r="FVI110" s="21"/>
      <c r="FVJ110" s="21"/>
      <c r="FVK110" s="21"/>
      <c r="FVL110" s="21"/>
      <c r="FVM110" s="21"/>
      <c r="FVN110" s="21"/>
      <c r="FVO110" s="21"/>
      <c r="FVP110" s="21"/>
      <c r="FVQ110" s="21"/>
      <c r="FVR110" s="21"/>
      <c r="FVS110" s="21"/>
      <c r="FVT110" s="21"/>
      <c r="FVU110" s="21"/>
      <c r="FVV110" s="21"/>
      <c r="FVW110" s="21"/>
      <c r="FVX110" s="21"/>
      <c r="FVY110" s="21"/>
      <c r="FVZ110" s="21"/>
      <c r="FWA110" s="21"/>
      <c r="FWB110" s="21"/>
      <c r="FWC110" s="21"/>
      <c r="FWD110" s="21"/>
      <c r="FWE110" s="21"/>
      <c r="FWF110" s="21"/>
      <c r="FWG110" s="21"/>
      <c r="FWH110" s="21"/>
      <c r="FWI110" s="21"/>
      <c r="FWJ110" s="21"/>
      <c r="FWK110" s="21"/>
      <c r="FWL110" s="21"/>
      <c r="FWM110" s="21"/>
      <c r="FWN110" s="21"/>
      <c r="FWO110" s="21"/>
      <c r="FWP110" s="21"/>
      <c r="FWQ110" s="21"/>
      <c r="FWR110" s="21"/>
      <c r="FWS110" s="21"/>
      <c r="FWT110" s="21"/>
      <c r="FWU110" s="21"/>
      <c r="FWV110" s="21"/>
      <c r="FWW110" s="21"/>
      <c r="FWX110" s="21"/>
      <c r="FWY110" s="21"/>
      <c r="FWZ110" s="21"/>
      <c r="FXA110" s="21"/>
      <c r="FXB110" s="21"/>
      <c r="FXC110" s="21"/>
      <c r="FXD110" s="21"/>
      <c r="FXE110" s="21"/>
      <c r="FXF110" s="21"/>
      <c r="FXG110" s="21"/>
      <c r="FXH110" s="21"/>
      <c r="FXI110" s="21"/>
      <c r="FXJ110" s="21"/>
      <c r="FXK110" s="21"/>
      <c r="FXL110" s="21"/>
      <c r="FXM110" s="21"/>
      <c r="FXN110" s="21"/>
      <c r="FXO110" s="21"/>
      <c r="FXP110" s="21"/>
      <c r="FXQ110" s="21"/>
      <c r="FXR110" s="21"/>
      <c r="FXS110" s="21"/>
      <c r="FXT110" s="21"/>
      <c r="FXU110" s="21"/>
      <c r="FXV110" s="21"/>
      <c r="FXW110" s="21"/>
      <c r="FXX110" s="21"/>
      <c r="FXY110" s="21"/>
      <c r="FXZ110" s="21"/>
      <c r="FYA110" s="21"/>
      <c r="FYB110" s="21"/>
      <c r="FYC110" s="21"/>
      <c r="FYD110" s="21"/>
      <c r="FYE110" s="21"/>
      <c r="FYF110" s="21"/>
      <c r="FYG110" s="21"/>
      <c r="FYH110" s="21"/>
      <c r="FYI110" s="21"/>
      <c r="FYJ110" s="21"/>
      <c r="FYK110" s="21"/>
      <c r="FYL110" s="21"/>
      <c r="FYM110" s="21"/>
      <c r="FYN110" s="21"/>
      <c r="FYO110" s="21"/>
      <c r="FYP110" s="21"/>
      <c r="FYQ110" s="21"/>
      <c r="FYR110" s="21"/>
      <c r="FYS110" s="21"/>
      <c r="FYT110" s="21"/>
      <c r="FYU110" s="21"/>
      <c r="FYV110" s="21"/>
      <c r="FYW110" s="21"/>
      <c r="FYX110" s="21"/>
      <c r="FYY110" s="21"/>
      <c r="FYZ110" s="21"/>
      <c r="FZA110" s="21"/>
      <c r="FZB110" s="21"/>
      <c r="FZC110" s="21"/>
      <c r="FZD110" s="21"/>
      <c r="FZE110" s="21"/>
      <c r="FZF110" s="21"/>
      <c r="FZG110" s="21"/>
      <c r="FZH110" s="21"/>
      <c r="FZI110" s="21"/>
      <c r="FZJ110" s="21"/>
      <c r="FZK110" s="21"/>
      <c r="FZL110" s="21"/>
      <c r="FZM110" s="21"/>
      <c r="FZN110" s="21"/>
      <c r="FZO110" s="21"/>
      <c r="FZP110" s="21"/>
      <c r="FZQ110" s="21"/>
      <c r="FZR110" s="21"/>
      <c r="FZS110" s="21"/>
      <c r="FZT110" s="21"/>
      <c r="FZU110" s="21"/>
      <c r="FZV110" s="21"/>
      <c r="FZW110" s="21"/>
      <c r="FZX110" s="21"/>
      <c r="FZY110" s="21"/>
      <c r="FZZ110" s="21"/>
      <c r="GAA110" s="21"/>
      <c r="GAB110" s="21"/>
      <c r="GAC110" s="21"/>
      <c r="GAD110" s="21"/>
      <c r="GAE110" s="21"/>
      <c r="GAF110" s="21"/>
      <c r="GAG110" s="21"/>
      <c r="GAH110" s="21"/>
      <c r="GAI110" s="21"/>
      <c r="GAJ110" s="21"/>
      <c r="GAK110" s="21"/>
      <c r="GAL110" s="21"/>
      <c r="GAM110" s="21"/>
      <c r="GAN110" s="21"/>
      <c r="GAO110" s="21"/>
      <c r="GAP110" s="21"/>
      <c r="GAQ110" s="21"/>
      <c r="GAR110" s="21"/>
      <c r="GAS110" s="21"/>
      <c r="GAT110" s="21"/>
      <c r="GAU110" s="21"/>
      <c r="GAV110" s="21"/>
      <c r="GAW110" s="21"/>
      <c r="GAX110" s="21"/>
      <c r="GAY110" s="21"/>
      <c r="GAZ110" s="21"/>
      <c r="GBA110" s="21"/>
      <c r="GBB110" s="21"/>
      <c r="GBC110" s="21"/>
      <c r="GBD110" s="21"/>
      <c r="GBE110" s="21"/>
      <c r="GBF110" s="21"/>
      <c r="GBG110" s="21"/>
      <c r="GBH110" s="21"/>
      <c r="GBI110" s="21"/>
      <c r="GBJ110" s="21"/>
      <c r="GBK110" s="21"/>
      <c r="GBL110" s="21"/>
      <c r="GBM110" s="21"/>
      <c r="GBN110" s="21"/>
      <c r="GBO110" s="21"/>
      <c r="GBP110" s="21"/>
      <c r="GBQ110" s="21"/>
      <c r="GBR110" s="21"/>
      <c r="GBS110" s="21"/>
      <c r="GBT110" s="21"/>
      <c r="GBU110" s="21"/>
      <c r="GBV110" s="21"/>
      <c r="GBW110" s="21"/>
      <c r="GBX110" s="21"/>
      <c r="GBY110" s="21"/>
      <c r="GBZ110" s="21"/>
      <c r="GCA110" s="21"/>
      <c r="GCB110" s="21"/>
      <c r="GCC110" s="21"/>
      <c r="GCD110" s="21"/>
      <c r="GCE110" s="21"/>
      <c r="GCF110" s="21"/>
      <c r="GCG110" s="21"/>
      <c r="GCH110" s="21"/>
      <c r="GCI110" s="21"/>
      <c r="GCJ110" s="21"/>
      <c r="GCK110" s="21"/>
      <c r="GCL110" s="21"/>
      <c r="GCM110" s="21"/>
      <c r="GCN110" s="21"/>
      <c r="GCO110" s="21"/>
      <c r="GCP110" s="21"/>
      <c r="GCQ110" s="21"/>
      <c r="GCR110" s="21"/>
      <c r="GCS110" s="21"/>
      <c r="GCT110" s="21"/>
      <c r="GCU110" s="21"/>
      <c r="GCV110" s="21"/>
      <c r="GCW110" s="21"/>
      <c r="GCX110" s="21"/>
      <c r="GCY110" s="21"/>
      <c r="GCZ110" s="21"/>
      <c r="GDA110" s="21"/>
      <c r="GDB110" s="21"/>
      <c r="GDC110" s="21"/>
      <c r="GDD110" s="21"/>
      <c r="GDE110" s="21"/>
      <c r="GDF110" s="21"/>
      <c r="GDG110" s="21"/>
      <c r="GDH110" s="21"/>
      <c r="GDI110" s="21"/>
      <c r="GDJ110" s="21"/>
      <c r="GDK110" s="21"/>
      <c r="GDL110" s="21"/>
      <c r="GDM110" s="21"/>
      <c r="GDN110" s="21"/>
      <c r="GDO110" s="21"/>
      <c r="GDP110" s="21"/>
      <c r="GDQ110" s="21"/>
      <c r="GDR110" s="21"/>
      <c r="GDS110" s="21"/>
      <c r="GDT110" s="21"/>
      <c r="GDU110" s="21"/>
      <c r="GDV110" s="21"/>
      <c r="GDW110" s="21"/>
      <c r="GDX110" s="21"/>
      <c r="GDY110" s="21"/>
      <c r="GDZ110" s="21"/>
      <c r="GEA110" s="21"/>
      <c r="GEB110" s="21"/>
      <c r="GEC110" s="21"/>
      <c r="GED110" s="21"/>
      <c r="GEE110" s="21"/>
      <c r="GEF110" s="21"/>
      <c r="GEG110" s="21"/>
      <c r="GEH110" s="21"/>
      <c r="GEI110" s="21"/>
      <c r="GEJ110" s="21"/>
      <c r="GEK110" s="21"/>
      <c r="GEL110" s="21"/>
      <c r="GEM110" s="21"/>
      <c r="GEN110" s="21"/>
      <c r="GEO110" s="21"/>
      <c r="GEP110" s="21"/>
      <c r="GEQ110" s="21"/>
      <c r="GER110" s="21"/>
      <c r="GES110" s="21"/>
      <c r="GET110" s="21"/>
      <c r="GEU110" s="21"/>
      <c r="GEV110" s="21"/>
      <c r="GEW110" s="21"/>
      <c r="GEX110" s="21"/>
      <c r="GEY110" s="21"/>
      <c r="GEZ110" s="21"/>
      <c r="GFA110" s="21"/>
      <c r="GFB110" s="21"/>
      <c r="GFC110" s="21"/>
      <c r="GFD110" s="21"/>
      <c r="GFE110" s="21"/>
      <c r="GFF110" s="21"/>
      <c r="GFG110" s="21"/>
      <c r="GFH110" s="21"/>
      <c r="GFI110" s="21"/>
      <c r="GFJ110" s="21"/>
      <c r="GFK110" s="21"/>
      <c r="GFL110" s="21"/>
      <c r="GFM110" s="21"/>
      <c r="GFN110" s="21"/>
      <c r="GFO110" s="21"/>
      <c r="GFP110" s="21"/>
      <c r="GFQ110" s="21"/>
      <c r="GFR110" s="21"/>
      <c r="GFS110" s="21"/>
      <c r="GFT110" s="21"/>
      <c r="GFU110" s="21"/>
      <c r="GFV110" s="21"/>
      <c r="GFW110" s="21"/>
      <c r="GFX110" s="21"/>
      <c r="GFY110" s="21"/>
      <c r="GFZ110" s="21"/>
      <c r="GGA110" s="21"/>
      <c r="GGB110" s="21"/>
      <c r="GGC110" s="21"/>
      <c r="GGD110" s="21"/>
      <c r="GGE110" s="21"/>
      <c r="GGF110" s="21"/>
      <c r="GGG110" s="21"/>
      <c r="GGH110" s="21"/>
      <c r="GGI110" s="21"/>
      <c r="GGJ110" s="21"/>
      <c r="GGK110" s="21"/>
      <c r="GGL110" s="21"/>
      <c r="GGM110" s="21"/>
      <c r="GGN110" s="21"/>
      <c r="GGO110" s="21"/>
      <c r="GGP110" s="21"/>
      <c r="GGQ110" s="21"/>
      <c r="GGR110" s="21"/>
      <c r="GGS110" s="21"/>
      <c r="GGT110" s="21"/>
      <c r="GGU110" s="21"/>
      <c r="GGV110" s="21"/>
      <c r="GGW110" s="21"/>
      <c r="GGX110" s="21"/>
      <c r="GGY110" s="21"/>
      <c r="GGZ110" s="21"/>
      <c r="GHA110" s="21"/>
      <c r="GHB110" s="21"/>
      <c r="GHC110" s="21"/>
      <c r="GHD110" s="21"/>
      <c r="GHE110" s="21"/>
      <c r="GHF110" s="21"/>
      <c r="GHG110" s="21"/>
      <c r="GHH110" s="21"/>
      <c r="GHI110" s="21"/>
      <c r="GHJ110" s="21"/>
      <c r="GHK110" s="21"/>
      <c r="GHL110" s="21"/>
      <c r="GHM110" s="21"/>
      <c r="GHN110" s="21"/>
      <c r="GHO110" s="21"/>
      <c r="GHP110" s="21"/>
      <c r="GHQ110" s="21"/>
      <c r="GHR110" s="21"/>
      <c r="GHS110" s="21"/>
      <c r="GHT110" s="21"/>
      <c r="GHU110" s="21"/>
      <c r="GHV110" s="21"/>
      <c r="GHW110" s="21"/>
      <c r="GHX110" s="21"/>
      <c r="GHY110" s="21"/>
      <c r="GHZ110" s="21"/>
      <c r="GIA110" s="21"/>
      <c r="GIB110" s="21"/>
      <c r="GIC110" s="21"/>
      <c r="GID110" s="21"/>
      <c r="GIE110" s="21"/>
      <c r="GIF110" s="21"/>
      <c r="GIG110" s="21"/>
      <c r="GIH110" s="21"/>
      <c r="GII110" s="21"/>
      <c r="GIJ110" s="21"/>
      <c r="GIK110" s="21"/>
      <c r="GIL110" s="21"/>
      <c r="GIM110" s="21"/>
      <c r="GIN110" s="21"/>
      <c r="GIO110" s="21"/>
      <c r="GIP110" s="21"/>
      <c r="GIQ110" s="21"/>
      <c r="GIR110" s="21"/>
      <c r="GIS110" s="21"/>
      <c r="GIT110" s="21"/>
      <c r="GIU110" s="21"/>
      <c r="GIV110" s="21"/>
      <c r="GIW110" s="21"/>
      <c r="GIX110" s="21"/>
      <c r="GIY110" s="21"/>
      <c r="GIZ110" s="21"/>
      <c r="GJA110" s="21"/>
      <c r="GJB110" s="21"/>
      <c r="GJC110" s="21"/>
      <c r="GJD110" s="21"/>
      <c r="GJE110" s="21"/>
      <c r="GJF110" s="21"/>
      <c r="GJG110" s="21"/>
      <c r="GJH110" s="21"/>
      <c r="GJI110" s="21"/>
      <c r="GJJ110" s="21"/>
      <c r="GJK110" s="21"/>
      <c r="GJL110" s="21"/>
      <c r="GJM110" s="21"/>
      <c r="GJN110" s="21"/>
      <c r="GJO110" s="21"/>
      <c r="GJP110" s="21"/>
      <c r="GJQ110" s="21"/>
      <c r="GJR110" s="21"/>
      <c r="GJS110" s="21"/>
      <c r="GJT110" s="21"/>
      <c r="GJU110" s="21"/>
      <c r="GJV110" s="21"/>
      <c r="GJW110" s="21"/>
      <c r="GJX110" s="21"/>
      <c r="GJY110" s="21"/>
      <c r="GJZ110" s="21"/>
      <c r="GKA110" s="21"/>
      <c r="GKB110" s="21"/>
      <c r="GKC110" s="21"/>
      <c r="GKD110" s="21"/>
      <c r="GKE110" s="21"/>
      <c r="GKF110" s="21"/>
      <c r="GKG110" s="21"/>
      <c r="GKH110" s="21"/>
      <c r="GKI110" s="21"/>
      <c r="GKJ110" s="21"/>
      <c r="GKK110" s="21"/>
      <c r="GKL110" s="21"/>
      <c r="GKM110" s="21"/>
      <c r="GKN110" s="21"/>
      <c r="GKO110" s="21"/>
      <c r="GKP110" s="21"/>
      <c r="GKQ110" s="21"/>
      <c r="GKR110" s="21"/>
      <c r="GKS110" s="21"/>
      <c r="GKT110" s="21"/>
      <c r="GKU110" s="21"/>
      <c r="GKV110" s="21"/>
      <c r="GKW110" s="21"/>
      <c r="GKX110" s="21"/>
      <c r="GKY110" s="21"/>
      <c r="GKZ110" s="21"/>
      <c r="GLA110" s="21"/>
      <c r="GLB110" s="21"/>
      <c r="GLC110" s="21"/>
      <c r="GLD110" s="21"/>
      <c r="GLE110" s="21"/>
      <c r="GLF110" s="21"/>
      <c r="GLG110" s="21"/>
      <c r="GLH110" s="21"/>
      <c r="GLI110" s="21"/>
      <c r="GLJ110" s="21"/>
      <c r="GLK110" s="21"/>
      <c r="GLL110" s="21"/>
      <c r="GLM110" s="21"/>
      <c r="GLN110" s="21"/>
      <c r="GLO110" s="21"/>
      <c r="GLP110" s="21"/>
      <c r="GLQ110" s="21"/>
      <c r="GLR110" s="21"/>
      <c r="GLS110" s="21"/>
      <c r="GLT110" s="21"/>
      <c r="GLU110" s="21"/>
      <c r="GLV110" s="21"/>
      <c r="GLW110" s="21"/>
      <c r="GLX110" s="21"/>
      <c r="GLY110" s="21"/>
      <c r="GLZ110" s="21"/>
      <c r="GMA110" s="21"/>
      <c r="GMB110" s="21"/>
      <c r="GMC110" s="21"/>
      <c r="GMD110" s="21"/>
      <c r="GME110" s="21"/>
      <c r="GMF110" s="21"/>
      <c r="GMG110" s="21"/>
      <c r="GMH110" s="21"/>
      <c r="GMI110" s="21"/>
      <c r="GMJ110" s="21"/>
      <c r="GMK110" s="21"/>
      <c r="GML110" s="21"/>
      <c r="GMM110" s="21"/>
      <c r="GMN110" s="21"/>
      <c r="GMO110" s="21"/>
      <c r="GMP110" s="21"/>
      <c r="GMQ110" s="21"/>
      <c r="GMR110" s="21"/>
      <c r="GMS110" s="21"/>
      <c r="GMT110" s="21"/>
      <c r="GMU110" s="21"/>
      <c r="GMV110" s="21"/>
      <c r="GMW110" s="21"/>
      <c r="GMX110" s="21"/>
      <c r="GMY110" s="21"/>
      <c r="GMZ110" s="21"/>
      <c r="GNA110" s="21"/>
      <c r="GNB110" s="21"/>
      <c r="GNC110" s="21"/>
      <c r="GND110" s="21"/>
      <c r="GNE110" s="21"/>
      <c r="GNF110" s="21"/>
      <c r="GNG110" s="21"/>
      <c r="GNH110" s="21"/>
      <c r="GNI110" s="21"/>
      <c r="GNJ110" s="21"/>
      <c r="GNK110" s="21"/>
      <c r="GNL110" s="21"/>
      <c r="GNM110" s="21"/>
      <c r="GNN110" s="21"/>
      <c r="GNO110" s="21"/>
      <c r="GNP110" s="21"/>
      <c r="GNQ110" s="21"/>
      <c r="GNR110" s="21"/>
      <c r="GNS110" s="21"/>
      <c r="GNT110" s="21"/>
      <c r="GNU110" s="21"/>
      <c r="GNV110" s="21"/>
      <c r="GNW110" s="21"/>
      <c r="GNX110" s="21"/>
      <c r="GNY110" s="21"/>
      <c r="GNZ110" s="21"/>
      <c r="GOA110" s="21"/>
      <c r="GOB110" s="21"/>
      <c r="GOC110" s="21"/>
      <c r="GOD110" s="21"/>
      <c r="GOE110" s="21"/>
      <c r="GOF110" s="21"/>
      <c r="GOG110" s="21"/>
      <c r="GOH110" s="21"/>
      <c r="GOI110" s="21"/>
      <c r="GOJ110" s="21"/>
      <c r="GOK110" s="21"/>
      <c r="GOL110" s="21"/>
      <c r="GOM110" s="21"/>
      <c r="GON110" s="21"/>
      <c r="GOO110" s="21"/>
      <c r="GOP110" s="21"/>
      <c r="GOQ110" s="21"/>
      <c r="GOR110" s="21"/>
      <c r="GOS110" s="21"/>
      <c r="GOT110" s="21"/>
      <c r="GOU110" s="21"/>
      <c r="GOV110" s="21"/>
      <c r="GOW110" s="21"/>
      <c r="GOX110" s="21"/>
      <c r="GOY110" s="21"/>
      <c r="GOZ110" s="21"/>
      <c r="GPA110" s="21"/>
      <c r="GPB110" s="21"/>
      <c r="GPC110" s="21"/>
      <c r="GPD110" s="21"/>
      <c r="GPE110" s="21"/>
      <c r="GPF110" s="21"/>
      <c r="GPG110" s="21"/>
      <c r="GPH110" s="21"/>
      <c r="GPI110" s="21"/>
      <c r="GPJ110" s="21"/>
      <c r="GPK110" s="21"/>
      <c r="GPL110" s="21"/>
      <c r="GPM110" s="21"/>
      <c r="GPN110" s="21"/>
      <c r="GPO110" s="21"/>
      <c r="GPP110" s="21"/>
      <c r="GPQ110" s="21"/>
      <c r="GPR110" s="21"/>
      <c r="GPS110" s="21"/>
      <c r="GPT110" s="21"/>
      <c r="GPU110" s="21"/>
      <c r="GPV110" s="21"/>
      <c r="GPW110" s="21"/>
      <c r="GPX110" s="21"/>
      <c r="GPY110" s="21"/>
      <c r="GPZ110" s="21"/>
      <c r="GQA110" s="21"/>
      <c r="GQB110" s="21"/>
      <c r="GQC110" s="21"/>
      <c r="GQD110" s="21"/>
      <c r="GQE110" s="21"/>
      <c r="GQF110" s="21"/>
      <c r="GQG110" s="21"/>
      <c r="GQH110" s="21"/>
      <c r="GQI110" s="21"/>
      <c r="GQJ110" s="21"/>
      <c r="GQK110" s="21"/>
      <c r="GQL110" s="21"/>
      <c r="GQM110" s="21"/>
      <c r="GQN110" s="21"/>
      <c r="GQO110" s="21"/>
      <c r="GQP110" s="21"/>
      <c r="GQQ110" s="21"/>
      <c r="GQR110" s="21"/>
      <c r="GQS110" s="21"/>
      <c r="GQT110" s="21"/>
      <c r="GQU110" s="21"/>
      <c r="GQV110" s="21"/>
      <c r="GQW110" s="21"/>
      <c r="GQX110" s="21"/>
      <c r="GQY110" s="21"/>
      <c r="GQZ110" s="21"/>
      <c r="GRA110" s="21"/>
      <c r="GRB110" s="21"/>
      <c r="GRC110" s="21"/>
      <c r="GRD110" s="21"/>
      <c r="GRE110" s="21"/>
      <c r="GRF110" s="21"/>
      <c r="GRG110" s="21"/>
      <c r="GRH110" s="21"/>
      <c r="GRI110" s="21"/>
      <c r="GRJ110" s="21"/>
      <c r="GRK110" s="21"/>
      <c r="GRL110" s="21"/>
      <c r="GRM110" s="21"/>
      <c r="GRN110" s="21"/>
      <c r="GRO110" s="21"/>
      <c r="GRP110" s="21"/>
      <c r="GRQ110" s="21"/>
      <c r="GRR110" s="21"/>
      <c r="GRS110" s="21"/>
      <c r="GRT110" s="21"/>
      <c r="GRU110" s="21"/>
      <c r="GRV110" s="21"/>
      <c r="GRW110" s="21"/>
      <c r="GRX110" s="21"/>
      <c r="GRY110" s="21"/>
      <c r="GRZ110" s="21"/>
      <c r="GSA110" s="21"/>
      <c r="GSB110" s="21"/>
      <c r="GSC110" s="21"/>
      <c r="GSD110" s="21"/>
      <c r="GSE110" s="21"/>
      <c r="GSF110" s="21"/>
      <c r="GSG110" s="21"/>
      <c r="GSH110" s="21"/>
      <c r="GSI110" s="21"/>
      <c r="GSJ110" s="21"/>
      <c r="GSK110" s="21"/>
      <c r="GSL110" s="21"/>
      <c r="GSM110" s="21"/>
      <c r="GSN110" s="21"/>
      <c r="GSO110" s="21"/>
      <c r="GSP110" s="21"/>
      <c r="GSQ110" s="21"/>
      <c r="GSR110" s="21"/>
      <c r="GSS110" s="21"/>
      <c r="GST110" s="21"/>
      <c r="GSU110" s="21"/>
      <c r="GSV110" s="21"/>
      <c r="GSW110" s="21"/>
      <c r="GSX110" s="21"/>
      <c r="GSY110" s="21"/>
      <c r="GSZ110" s="21"/>
      <c r="GTA110" s="21"/>
      <c r="GTB110" s="21"/>
      <c r="GTC110" s="21"/>
      <c r="GTD110" s="21"/>
      <c r="GTE110" s="21"/>
      <c r="GTF110" s="21"/>
      <c r="GTG110" s="21"/>
      <c r="GTH110" s="21"/>
      <c r="GTI110" s="21"/>
      <c r="GTJ110" s="21"/>
      <c r="GTK110" s="21"/>
      <c r="GTL110" s="21"/>
      <c r="GTM110" s="21"/>
      <c r="GTN110" s="21"/>
      <c r="GTO110" s="21"/>
      <c r="GTP110" s="21"/>
      <c r="GTQ110" s="21"/>
      <c r="GTR110" s="21"/>
      <c r="GTS110" s="21"/>
      <c r="GTT110" s="21"/>
      <c r="GTU110" s="21"/>
      <c r="GTV110" s="21"/>
      <c r="GTW110" s="21"/>
      <c r="GTX110" s="21"/>
      <c r="GTY110" s="21"/>
      <c r="GTZ110" s="21"/>
      <c r="GUA110" s="21"/>
      <c r="GUB110" s="21"/>
      <c r="GUC110" s="21"/>
      <c r="GUD110" s="21"/>
      <c r="GUE110" s="21"/>
      <c r="GUF110" s="21"/>
      <c r="GUG110" s="21"/>
      <c r="GUH110" s="21"/>
      <c r="GUI110" s="21"/>
      <c r="GUJ110" s="21"/>
      <c r="GUK110" s="21"/>
      <c r="GUL110" s="21"/>
      <c r="GUM110" s="21"/>
      <c r="GUN110" s="21"/>
      <c r="GUO110" s="21"/>
      <c r="GUP110" s="21"/>
      <c r="GUQ110" s="21"/>
      <c r="GUR110" s="21"/>
      <c r="GUS110" s="21"/>
      <c r="GUT110" s="21"/>
      <c r="GUU110" s="21"/>
      <c r="GUV110" s="21"/>
      <c r="GUW110" s="21"/>
      <c r="GUX110" s="21"/>
      <c r="GUY110" s="21"/>
      <c r="GUZ110" s="21"/>
      <c r="GVA110" s="21"/>
      <c r="GVB110" s="21"/>
      <c r="GVC110" s="21"/>
      <c r="GVD110" s="21"/>
      <c r="GVE110" s="21"/>
      <c r="GVF110" s="21"/>
      <c r="GVG110" s="21"/>
      <c r="GVH110" s="21"/>
      <c r="GVI110" s="21"/>
      <c r="GVJ110" s="21"/>
      <c r="GVK110" s="21"/>
      <c r="GVL110" s="21"/>
      <c r="GVM110" s="21"/>
      <c r="GVN110" s="21"/>
      <c r="GVO110" s="21"/>
      <c r="GVP110" s="21"/>
      <c r="GVQ110" s="21"/>
      <c r="GVR110" s="21"/>
      <c r="GVS110" s="21"/>
      <c r="GVT110" s="21"/>
      <c r="GVU110" s="21"/>
      <c r="GVV110" s="21"/>
      <c r="GVW110" s="21"/>
      <c r="GVX110" s="21"/>
      <c r="GVY110" s="21"/>
      <c r="GVZ110" s="21"/>
      <c r="GWA110" s="21"/>
      <c r="GWB110" s="21"/>
      <c r="GWC110" s="21"/>
      <c r="GWD110" s="21"/>
      <c r="GWE110" s="21"/>
      <c r="GWF110" s="21"/>
      <c r="GWG110" s="21"/>
      <c r="GWH110" s="21"/>
      <c r="GWI110" s="21"/>
      <c r="GWJ110" s="21"/>
      <c r="GWK110" s="21"/>
      <c r="GWL110" s="21"/>
      <c r="GWM110" s="21"/>
      <c r="GWN110" s="21"/>
      <c r="GWO110" s="21"/>
      <c r="GWP110" s="21"/>
      <c r="GWQ110" s="21"/>
      <c r="GWR110" s="21"/>
      <c r="GWS110" s="21"/>
      <c r="GWT110" s="21"/>
      <c r="GWU110" s="21"/>
      <c r="GWV110" s="21"/>
      <c r="GWW110" s="21"/>
      <c r="GWX110" s="21"/>
      <c r="GWY110" s="21"/>
      <c r="GWZ110" s="21"/>
      <c r="GXA110" s="21"/>
      <c r="GXB110" s="21"/>
      <c r="GXC110" s="21"/>
      <c r="GXD110" s="21"/>
      <c r="GXE110" s="21"/>
      <c r="GXF110" s="21"/>
      <c r="GXG110" s="21"/>
      <c r="GXH110" s="21"/>
      <c r="GXI110" s="21"/>
      <c r="GXJ110" s="21"/>
      <c r="GXK110" s="21"/>
      <c r="GXL110" s="21"/>
      <c r="GXM110" s="21"/>
      <c r="GXN110" s="21"/>
      <c r="GXO110" s="21"/>
      <c r="GXP110" s="21"/>
      <c r="GXQ110" s="21"/>
      <c r="GXR110" s="21"/>
      <c r="GXS110" s="21"/>
      <c r="GXT110" s="21"/>
      <c r="GXU110" s="21"/>
      <c r="GXV110" s="21"/>
      <c r="GXW110" s="21"/>
      <c r="GXX110" s="21"/>
      <c r="GXY110" s="21"/>
      <c r="GXZ110" s="21"/>
      <c r="GYA110" s="21"/>
      <c r="GYB110" s="21"/>
      <c r="GYC110" s="21"/>
      <c r="GYD110" s="21"/>
      <c r="GYE110" s="21"/>
      <c r="GYF110" s="21"/>
      <c r="GYG110" s="21"/>
      <c r="GYH110" s="21"/>
      <c r="GYI110" s="21"/>
      <c r="GYJ110" s="21"/>
      <c r="GYK110" s="21"/>
      <c r="GYL110" s="21"/>
      <c r="GYM110" s="21"/>
      <c r="GYN110" s="21"/>
      <c r="GYO110" s="21"/>
      <c r="GYP110" s="21"/>
      <c r="GYQ110" s="21"/>
      <c r="GYR110" s="21"/>
      <c r="GYS110" s="21"/>
      <c r="GYT110" s="21"/>
      <c r="GYU110" s="21"/>
      <c r="GYV110" s="21"/>
      <c r="GYW110" s="21"/>
      <c r="GYX110" s="21"/>
      <c r="GYY110" s="21"/>
      <c r="GYZ110" s="21"/>
      <c r="GZA110" s="21"/>
      <c r="GZB110" s="21"/>
      <c r="GZC110" s="21"/>
      <c r="GZD110" s="21"/>
      <c r="GZE110" s="21"/>
      <c r="GZF110" s="21"/>
      <c r="GZG110" s="21"/>
      <c r="GZH110" s="21"/>
      <c r="GZI110" s="21"/>
      <c r="GZJ110" s="21"/>
      <c r="GZK110" s="21"/>
      <c r="GZL110" s="21"/>
      <c r="GZM110" s="21"/>
      <c r="GZN110" s="21"/>
      <c r="GZO110" s="21"/>
      <c r="GZP110" s="21"/>
      <c r="GZQ110" s="21"/>
      <c r="GZR110" s="21"/>
      <c r="GZS110" s="21"/>
      <c r="GZT110" s="21"/>
      <c r="GZU110" s="21"/>
      <c r="GZV110" s="21"/>
      <c r="GZW110" s="21"/>
      <c r="GZX110" s="21"/>
      <c r="GZY110" s="21"/>
      <c r="GZZ110" s="21"/>
      <c r="HAA110" s="21"/>
      <c r="HAB110" s="21"/>
      <c r="HAC110" s="21"/>
      <c r="HAD110" s="21"/>
      <c r="HAE110" s="21"/>
      <c r="HAF110" s="21"/>
      <c r="HAG110" s="21"/>
      <c r="HAH110" s="21"/>
      <c r="HAI110" s="21"/>
      <c r="HAJ110" s="21"/>
      <c r="HAK110" s="21"/>
      <c r="HAL110" s="21"/>
      <c r="HAM110" s="21"/>
      <c r="HAN110" s="21"/>
      <c r="HAO110" s="21"/>
      <c r="HAP110" s="21"/>
      <c r="HAQ110" s="21"/>
      <c r="HAR110" s="21"/>
      <c r="HAS110" s="21"/>
      <c r="HAT110" s="21"/>
      <c r="HAU110" s="21"/>
      <c r="HAV110" s="21"/>
      <c r="HAW110" s="21"/>
      <c r="HAX110" s="21"/>
      <c r="HAY110" s="21"/>
      <c r="HAZ110" s="21"/>
      <c r="HBA110" s="21"/>
      <c r="HBB110" s="21"/>
      <c r="HBC110" s="21"/>
      <c r="HBD110" s="21"/>
      <c r="HBE110" s="21"/>
      <c r="HBF110" s="21"/>
      <c r="HBG110" s="21"/>
      <c r="HBH110" s="21"/>
      <c r="HBI110" s="21"/>
      <c r="HBJ110" s="21"/>
      <c r="HBK110" s="21"/>
      <c r="HBL110" s="21"/>
      <c r="HBM110" s="21"/>
      <c r="HBN110" s="21"/>
      <c r="HBO110" s="21"/>
      <c r="HBP110" s="21"/>
      <c r="HBQ110" s="21"/>
      <c r="HBR110" s="21"/>
      <c r="HBS110" s="21"/>
      <c r="HBT110" s="21"/>
      <c r="HBU110" s="21"/>
      <c r="HBV110" s="21"/>
      <c r="HBW110" s="21"/>
      <c r="HBX110" s="21"/>
      <c r="HBY110" s="21"/>
      <c r="HBZ110" s="21"/>
      <c r="HCA110" s="21"/>
      <c r="HCB110" s="21"/>
      <c r="HCC110" s="21"/>
      <c r="HCD110" s="21"/>
      <c r="HCE110" s="21"/>
      <c r="HCF110" s="21"/>
      <c r="HCG110" s="21"/>
      <c r="HCH110" s="21"/>
      <c r="HCI110" s="21"/>
      <c r="HCJ110" s="21"/>
      <c r="HCK110" s="21"/>
      <c r="HCL110" s="21"/>
      <c r="HCM110" s="21"/>
      <c r="HCN110" s="21"/>
      <c r="HCO110" s="21"/>
      <c r="HCP110" s="21"/>
      <c r="HCQ110" s="21"/>
      <c r="HCR110" s="21"/>
      <c r="HCS110" s="21"/>
      <c r="HCT110" s="21"/>
      <c r="HCU110" s="21"/>
      <c r="HCV110" s="21"/>
      <c r="HCW110" s="21"/>
      <c r="HCX110" s="21"/>
      <c r="HCY110" s="21"/>
      <c r="HCZ110" s="21"/>
      <c r="HDA110" s="21"/>
      <c r="HDB110" s="21"/>
      <c r="HDC110" s="21"/>
      <c r="HDD110" s="21"/>
      <c r="HDE110" s="21"/>
      <c r="HDF110" s="21"/>
      <c r="HDG110" s="21"/>
      <c r="HDH110" s="21"/>
      <c r="HDI110" s="21"/>
      <c r="HDJ110" s="21"/>
      <c r="HDK110" s="21"/>
      <c r="HDL110" s="21"/>
      <c r="HDM110" s="21"/>
      <c r="HDN110" s="21"/>
      <c r="HDO110" s="21"/>
      <c r="HDP110" s="21"/>
      <c r="HDQ110" s="21"/>
      <c r="HDR110" s="21"/>
      <c r="HDS110" s="21"/>
      <c r="HDT110" s="21"/>
      <c r="HDU110" s="21"/>
      <c r="HDV110" s="21"/>
      <c r="HDW110" s="21"/>
      <c r="HDX110" s="21"/>
      <c r="HDY110" s="21"/>
      <c r="HDZ110" s="21"/>
      <c r="HEA110" s="21"/>
      <c r="HEB110" s="21"/>
      <c r="HEC110" s="21"/>
      <c r="HED110" s="21"/>
      <c r="HEE110" s="21"/>
      <c r="HEF110" s="21"/>
      <c r="HEG110" s="21"/>
      <c r="HEH110" s="21"/>
      <c r="HEI110" s="21"/>
      <c r="HEJ110" s="21"/>
      <c r="HEK110" s="21"/>
      <c r="HEL110" s="21"/>
      <c r="HEM110" s="21"/>
      <c r="HEN110" s="21"/>
      <c r="HEO110" s="21"/>
      <c r="HEP110" s="21"/>
      <c r="HEQ110" s="21"/>
      <c r="HER110" s="21"/>
      <c r="HES110" s="21"/>
      <c r="HET110" s="21"/>
      <c r="HEU110" s="21"/>
      <c r="HEV110" s="21"/>
      <c r="HEW110" s="21"/>
      <c r="HEX110" s="21"/>
      <c r="HEY110" s="21"/>
      <c r="HEZ110" s="21"/>
      <c r="HFA110" s="21"/>
      <c r="HFB110" s="21"/>
      <c r="HFC110" s="21"/>
      <c r="HFD110" s="21"/>
      <c r="HFE110" s="21"/>
      <c r="HFF110" s="21"/>
      <c r="HFG110" s="21"/>
      <c r="HFH110" s="21"/>
      <c r="HFI110" s="21"/>
      <c r="HFJ110" s="21"/>
      <c r="HFK110" s="21"/>
      <c r="HFL110" s="21"/>
      <c r="HFM110" s="21"/>
      <c r="HFN110" s="21"/>
      <c r="HFO110" s="21"/>
      <c r="HFP110" s="21"/>
      <c r="HFQ110" s="21"/>
      <c r="HFR110" s="21"/>
      <c r="HFS110" s="21"/>
      <c r="HFT110" s="21"/>
      <c r="HFU110" s="21"/>
      <c r="HFV110" s="21"/>
      <c r="HFW110" s="21"/>
      <c r="HFX110" s="21"/>
      <c r="HFY110" s="21"/>
      <c r="HFZ110" s="21"/>
      <c r="HGA110" s="21"/>
      <c r="HGB110" s="21"/>
      <c r="HGC110" s="21"/>
      <c r="HGD110" s="21"/>
      <c r="HGE110" s="21"/>
      <c r="HGF110" s="21"/>
      <c r="HGG110" s="21"/>
      <c r="HGH110" s="21"/>
      <c r="HGI110" s="21"/>
      <c r="HGJ110" s="21"/>
      <c r="HGK110" s="21"/>
      <c r="HGL110" s="21"/>
      <c r="HGM110" s="21"/>
      <c r="HGN110" s="21"/>
      <c r="HGO110" s="21"/>
      <c r="HGP110" s="21"/>
      <c r="HGQ110" s="21"/>
      <c r="HGR110" s="21"/>
      <c r="HGS110" s="21"/>
      <c r="HGT110" s="21"/>
      <c r="HGU110" s="21"/>
      <c r="HGV110" s="21"/>
      <c r="HGW110" s="21"/>
      <c r="HGX110" s="21"/>
      <c r="HGY110" s="21"/>
      <c r="HGZ110" s="21"/>
      <c r="HHA110" s="21"/>
      <c r="HHB110" s="21"/>
      <c r="HHC110" s="21"/>
      <c r="HHD110" s="21"/>
      <c r="HHE110" s="21"/>
      <c r="HHF110" s="21"/>
      <c r="HHG110" s="21"/>
      <c r="HHH110" s="21"/>
      <c r="HHI110" s="21"/>
      <c r="HHJ110" s="21"/>
      <c r="HHK110" s="21"/>
      <c r="HHL110" s="21"/>
      <c r="HHM110" s="21"/>
      <c r="HHN110" s="21"/>
      <c r="HHO110" s="21"/>
      <c r="HHP110" s="21"/>
      <c r="HHQ110" s="21"/>
      <c r="HHR110" s="21"/>
      <c r="HHS110" s="21"/>
      <c r="HHT110" s="21"/>
      <c r="HHU110" s="21"/>
      <c r="HHV110" s="21"/>
      <c r="HHW110" s="21"/>
      <c r="HHX110" s="21"/>
      <c r="HHY110" s="21"/>
      <c r="HHZ110" s="21"/>
      <c r="HIA110" s="21"/>
      <c r="HIB110" s="21"/>
      <c r="HIC110" s="21"/>
      <c r="HID110" s="21"/>
      <c r="HIE110" s="21"/>
      <c r="HIF110" s="21"/>
      <c r="HIG110" s="21"/>
      <c r="HIH110" s="21"/>
      <c r="HII110" s="21"/>
      <c r="HIJ110" s="21"/>
      <c r="HIK110" s="21"/>
      <c r="HIL110" s="21"/>
      <c r="HIM110" s="21"/>
      <c r="HIN110" s="21"/>
      <c r="HIO110" s="21"/>
      <c r="HIP110" s="21"/>
      <c r="HIQ110" s="21"/>
      <c r="HIR110" s="21"/>
      <c r="HIS110" s="21"/>
      <c r="HIT110" s="21"/>
      <c r="HIU110" s="21"/>
      <c r="HIV110" s="21"/>
      <c r="HIW110" s="21"/>
      <c r="HIX110" s="21"/>
      <c r="HIY110" s="21"/>
      <c r="HIZ110" s="21"/>
      <c r="HJA110" s="21"/>
      <c r="HJB110" s="21"/>
      <c r="HJC110" s="21"/>
      <c r="HJD110" s="21"/>
      <c r="HJE110" s="21"/>
      <c r="HJF110" s="21"/>
      <c r="HJG110" s="21"/>
      <c r="HJH110" s="21"/>
      <c r="HJI110" s="21"/>
      <c r="HJJ110" s="21"/>
      <c r="HJK110" s="21"/>
      <c r="HJL110" s="21"/>
      <c r="HJM110" s="21"/>
      <c r="HJN110" s="21"/>
      <c r="HJO110" s="21"/>
      <c r="HJP110" s="21"/>
      <c r="HJQ110" s="21"/>
      <c r="HJR110" s="21"/>
      <c r="HJS110" s="21"/>
      <c r="HJT110" s="21"/>
      <c r="HJU110" s="21"/>
      <c r="HJV110" s="21"/>
      <c r="HJW110" s="21"/>
      <c r="HJX110" s="21"/>
      <c r="HJY110" s="21"/>
      <c r="HJZ110" s="21"/>
      <c r="HKA110" s="21"/>
      <c r="HKB110" s="21"/>
      <c r="HKC110" s="21"/>
      <c r="HKD110" s="21"/>
      <c r="HKE110" s="21"/>
      <c r="HKF110" s="21"/>
      <c r="HKG110" s="21"/>
      <c r="HKH110" s="21"/>
      <c r="HKI110" s="21"/>
      <c r="HKJ110" s="21"/>
      <c r="HKK110" s="21"/>
      <c r="HKL110" s="21"/>
      <c r="HKM110" s="21"/>
      <c r="HKN110" s="21"/>
      <c r="HKO110" s="21"/>
      <c r="HKP110" s="21"/>
      <c r="HKQ110" s="21"/>
      <c r="HKR110" s="21"/>
      <c r="HKS110" s="21"/>
      <c r="HKT110" s="21"/>
      <c r="HKU110" s="21"/>
      <c r="HKV110" s="21"/>
      <c r="HKW110" s="21"/>
      <c r="HKX110" s="21"/>
      <c r="HKY110" s="21"/>
      <c r="HKZ110" s="21"/>
      <c r="HLA110" s="21"/>
      <c r="HLB110" s="21"/>
      <c r="HLC110" s="21"/>
      <c r="HLD110" s="21"/>
      <c r="HLE110" s="21"/>
      <c r="HLF110" s="21"/>
      <c r="HLG110" s="21"/>
      <c r="HLH110" s="21"/>
      <c r="HLI110" s="21"/>
      <c r="HLJ110" s="21"/>
      <c r="HLK110" s="21"/>
      <c r="HLL110" s="21"/>
      <c r="HLM110" s="21"/>
      <c r="HLN110" s="21"/>
      <c r="HLO110" s="21"/>
      <c r="HLP110" s="21"/>
      <c r="HLQ110" s="21"/>
      <c r="HLR110" s="21"/>
      <c r="HLS110" s="21"/>
      <c r="HLT110" s="21"/>
      <c r="HLU110" s="21"/>
      <c r="HLV110" s="21"/>
      <c r="HLW110" s="21"/>
      <c r="HLX110" s="21"/>
      <c r="HLY110" s="21"/>
      <c r="HLZ110" s="21"/>
      <c r="HMA110" s="21"/>
      <c r="HMB110" s="21"/>
      <c r="HMC110" s="21"/>
      <c r="HMD110" s="21"/>
      <c r="HME110" s="21"/>
      <c r="HMF110" s="21"/>
      <c r="HMG110" s="21"/>
      <c r="HMH110" s="21"/>
      <c r="HMI110" s="21"/>
      <c r="HMJ110" s="21"/>
      <c r="HMK110" s="21"/>
      <c r="HML110" s="21"/>
      <c r="HMM110" s="21"/>
      <c r="HMN110" s="21"/>
      <c r="HMO110" s="21"/>
      <c r="HMP110" s="21"/>
      <c r="HMQ110" s="21"/>
      <c r="HMR110" s="21"/>
      <c r="HMS110" s="21"/>
      <c r="HMT110" s="21"/>
      <c r="HMU110" s="21"/>
      <c r="HMV110" s="21"/>
      <c r="HMW110" s="21"/>
      <c r="HMX110" s="21"/>
      <c r="HMY110" s="21"/>
      <c r="HMZ110" s="21"/>
      <c r="HNA110" s="21"/>
      <c r="HNB110" s="21"/>
      <c r="HNC110" s="21"/>
      <c r="HND110" s="21"/>
      <c r="HNE110" s="21"/>
      <c r="HNF110" s="21"/>
      <c r="HNG110" s="21"/>
      <c r="HNH110" s="21"/>
      <c r="HNI110" s="21"/>
      <c r="HNJ110" s="21"/>
      <c r="HNK110" s="21"/>
      <c r="HNL110" s="21"/>
      <c r="HNM110" s="21"/>
      <c r="HNN110" s="21"/>
      <c r="HNO110" s="21"/>
      <c r="HNP110" s="21"/>
      <c r="HNQ110" s="21"/>
      <c r="HNR110" s="21"/>
      <c r="HNS110" s="21"/>
      <c r="HNT110" s="21"/>
      <c r="HNU110" s="21"/>
      <c r="HNV110" s="21"/>
      <c r="HNW110" s="21"/>
      <c r="HNX110" s="21"/>
      <c r="HNY110" s="21"/>
      <c r="HNZ110" s="21"/>
      <c r="HOA110" s="21"/>
      <c r="HOB110" s="21"/>
      <c r="HOC110" s="21"/>
      <c r="HOD110" s="21"/>
      <c r="HOE110" s="21"/>
      <c r="HOF110" s="21"/>
      <c r="HOG110" s="21"/>
      <c r="HOH110" s="21"/>
      <c r="HOI110" s="21"/>
      <c r="HOJ110" s="21"/>
      <c r="HOK110" s="21"/>
      <c r="HOL110" s="21"/>
      <c r="HOM110" s="21"/>
      <c r="HON110" s="21"/>
      <c r="HOO110" s="21"/>
      <c r="HOP110" s="21"/>
      <c r="HOQ110" s="21"/>
      <c r="HOR110" s="21"/>
      <c r="HOS110" s="21"/>
      <c r="HOT110" s="21"/>
      <c r="HOU110" s="21"/>
      <c r="HOV110" s="21"/>
      <c r="HOW110" s="21"/>
      <c r="HOX110" s="21"/>
      <c r="HOY110" s="21"/>
      <c r="HOZ110" s="21"/>
      <c r="HPA110" s="21"/>
      <c r="HPB110" s="21"/>
      <c r="HPC110" s="21"/>
      <c r="HPD110" s="21"/>
      <c r="HPE110" s="21"/>
      <c r="HPF110" s="21"/>
      <c r="HPG110" s="21"/>
      <c r="HPH110" s="21"/>
      <c r="HPI110" s="21"/>
      <c r="HPJ110" s="21"/>
      <c r="HPK110" s="21"/>
      <c r="HPL110" s="21"/>
      <c r="HPM110" s="21"/>
      <c r="HPN110" s="21"/>
      <c r="HPO110" s="21"/>
      <c r="HPP110" s="21"/>
      <c r="HPQ110" s="21"/>
      <c r="HPR110" s="21"/>
      <c r="HPS110" s="21"/>
      <c r="HPT110" s="21"/>
      <c r="HPU110" s="21"/>
      <c r="HPV110" s="21"/>
      <c r="HPW110" s="21"/>
      <c r="HPX110" s="21"/>
      <c r="HPY110" s="21"/>
      <c r="HPZ110" s="21"/>
      <c r="HQA110" s="21"/>
      <c r="HQB110" s="21"/>
      <c r="HQC110" s="21"/>
      <c r="HQD110" s="21"/>
      <c r="HQE110" s="21"/>
      <c r="HQF110" s="21"/>
      <c r="HQG110" s="21"/>
      <c r="HQH110" s="21"/>
      <c r="HQI110" s="21"/>
      <c r="HQJ110" s="21"/>
      <c r="HQK110" s="21"/>
      <c r="HQL110" s="21"/>
      <c r="HQM110" s="21"/>
      <c r="HQN110" s="21"/>
      <c r="HQO110" s="21"/>
      <c r="HQP110" s="21"/>
      <c r="HQQ110" s="21"/>
      <c r="HQR110" s="21"/>
      <c r="HQS110" s="21"/>
      <c r="HQT110" s="21"/>
      <c r="HQU110" s="21"/>
      <c r="HQV110" s="21"/>
      <c r="HQW110" s="21"/>
      <c r="HQX110" s="21"/>
      <c r="HQY110" s="21"/>
      <c r="HQZ110" s="21"/>
      <c r="HRA110" s="21"/>
      <c r="HRB110" s="21"/>
      <c r="HRC110" s="21"/>
      <c r="HRD110" s="21"/>
      <c r="HRE110" s="21"/>
      <c r="HRF110" s="21"/>
      <c r="HRG110" s="21"/>
      <c r="HRH110" s="21"/>
      <c r="HRI110" s="21"/>
      <c r="HRJ110" s="21"/>
      <c r="HRK110" s="21"/>
      <c r="HRL110" s="21"/>
      <c r="HRM110" s="21"/>
      <c r="HRN110" s="21"/>
      <c r="HRO110" s="21"/>
      <c r="HRP110" s="21"/>
      <c r="HRQ110" s="21"/>
      <c r="HRR110" s="21"/>
      <c r="HRS110" s="21"/>
      <c r="HRT110" s="21"/>
      <c r="HRU110" s="21"/>
      <c r="HRV110" s="21"/>
      <c r="HRW110" s="21"/>
      <c r="HRX110" s="21"/>
      <c r="HRY110" s="21"/>
      <c r="HRZ110" s="21"/>
      <c r="HSA110" s="21"/>
      <c r="HSB110" s="21"/>
      <c r="HSC110" s="21"/>
      <c r="HSD110" s="21"/>
      <c r="HSE110" s="21"/>
      <c r="HSF110" s="21"/>
      <c r="HSG110" s="21"/>
      <c r="HSH110" s="21"/>
      <c r="HSI110" s="21"/>
      <c r="HSJ110" s="21"/>
      <c r="HSK110" s="21"/>
      <c r="HSL110" s="21"/>
      <c r="HSM110" s="21"/>
      <c r="HSN110" s="21"/>
      <c r="HSO110" s="21"/>
      <c r="HSP110" s="21"/>
      <c r="HSQ110" s="21"/>
      <c r="HSR110" s="21"/>
      <c r="HSS110" s="21"/>
      <c r="HST110" s="21"/>
      <c r="HSU110" s="21"/>
      <c r="HSV110" s="21"/>
      <c r="HSW110" s="21"/>
      <c r="HSX110" s="21"/>
      <c r="HSY110" s="21"/>
      <c r="HSZ110" s="21"/>
      <c r="HTA110" s="21"/>
      <c r="HTB110" s="21"/>
      <c r="HTC110" s="21"/>
      <c r="HTD110" s="21"/>
      <c r="HTE110" s="21"/>
      <c r="HTF110" s="21"/>
      <c r="HTG110" s="21"/>
      <c r="HTH110" s="21"/>
      <c r="HTI110" s="21"/>
      <c r="HTJ110" s="21"/>
      <c r="HTK110" s="21"/>
      <c r="HTL110" s="21"/>
      <c r="HTM110" s="21"/>
      <c r="HTN110" s="21"/>
      <c r="HTO110" s="21"/>
      <c r="HTP110" s="21"/>
      <c r="HTQ110" s="21"/>
      <c r="HTR110" s="21"/>
      <c r="HTS110" s="21"/>
      <c r="HTT110" s="21"/>
      <c r="HTU110" s="21"/>
      <c r="HTV110" s="21"/>
      <c r="HTW110" s="21"/>
      <c r="HTX110" s="21"/>
      <c r="HTY110" s="21"/>
      <c r="HTZ110" s="21"/>
      <c r="HUA110" s="21"/>
      <c r="HUB110" s="21"/>
      <c r="HUC110" s="21"/>
      <c r="HUD110" s="21"/>
      <c r="HUE110" s="21"/>
      <c r="HUF110" s="21"/>
      <c r="HUG110" s="21"/>
      <c r="HUH110" s="21"/>
      <c r="HUI110" s="21"/>
      <c r="HUJ110" s="21"/>
      <c r="HUK110" s="21"/>
      <c r="HUL110" s="21"/>
      <c r="HUM110" s="21"/>
      <c r="HUN110" s="21"/>
      <c r="HUO110" s="21"/>
      <c r="HUP110" s="21"/>
      <c r="HUQ110" s="21"/>
      <c r="HUR110" s="21"/>
      <c r="HUS110" s="21"/>
      <c r="HUT110" s="21"/>
      <c r="HUU110" s="21"/>
      <c r="HUV110" s="21"/>
      <c r="HUW110" s="21"/>
      <c r="HUX110" s="21"/>
      <c r="HUY110" s="21"/>
      <c r="HUZ110" s="21"/>
      <c r="HVA110" s="21"/>
      <c r="HVB110" s="21"/>
      <c r="HVC110" s="21"/>
      <c r="HVD110" s="21"/>
      <c r="HVE110" s="21"/>
      <c r="HVF110" s="21"/>
      <c r="HVG110" s="21"/>
      <c r="HVH110" s="21"/>
      <c r="HVI110" s="21"/>
      <c r="HVJ110" s="21"/>
      <c r="HVK110" s="21"/>
      <c r="HVL110" s="21"/>
      <c r="HVM110" s="21"/>
      <c r="HVN110" s="21"/>
      <c r="HVO110" s="21"/>
      <c r="HVP110" s="21"/>
      <c r="HVQ110" s="21"/>
      <c r="HVR110" s="21"/>
      <c r="HVS110" s="21"/>
      <c r="HVT110" s="21"/>
      <c r="HVU110" s="21"/>
      <c r="HVV110" s="21"/>
      <c r="HVW110" s="21"/>
      <c r="HVX110" s="21"/>
      <c r="HVY110" s="21"/>
      <c r="HVZ110" s="21"/>
      <c r="HWA110" s="21"/>
      <c r="HWB110" s="21"/>
      <c r="HWC110" s="21"/>
      <c r="HWD110" s="21"/>
      <c r="HWE110" s="21"/>
      <c r="HWF110" s="21"/>
      <c r="HWG110" s="21"/>
      <c r="HWH110" s="21"/>
      <c r="HWI110" s="21"/>
      <c r="HWJ110" s="21"/>
      <c r="HWK110" s="21"/>
      <c r="HWL110" s="21"/>
      <c r="HWM110" s="21"/>
      <c r="HWN110" s="21"/>
      <c r="HWO110" s="21"/>
      <c r="HWP110" s="21"/>
      <c r="HWQ110" s="21"/>
      <c r="HWR110" s="21"/>
      <c r="HWS110" s="21"/>
      <c r="HWT110" s="21"/>
      <c r="HWU110" s="21"/>
      <c r="HWV110" s="21"/>
      <c r="HWW110" s="21"/>
      <c r="HWX110" s="21"/>
      <c r="HWY110" s="21"/>
      <c r="HWZ110" s="21"/>
      <c r="HXA110" s="21"/>
      <c r="HXB110" s="21"/>
      <c r="HXC110" s="21"/>
      <c r="HXD110" s="21"/>
      <c r="HXE110" s="21"/>
      <c r="HXF110" s="21"/>
      <c r="HXG110" s="21"/>
      <c r="HXH110" s="21"/>
      <c r="HXI110" s="21"/>
      <c r="HXJ110" s="21"/>
      <c r="HXK110" s="21"/>
      <c r="HXL110" s="21"/>
      <c r="HXM110" s="21"/>
      <c r="HXN110" s="21"/>
      <c r="HXO110" s="21"/>
      <c r="HXP110" s="21"/>
      <c r="HXQ110" s="21"/>
      <c r="HXR110" s="21"/>
      <c r="HXS110" s="21"/>
      <c r="HXT110" s="21"/>
      <c r="HXU110" s="21"/>
      <c r="HXV110" s="21"/>
      <c r="HXW110" s="21"/>
      <c r="HXX110" s="21"/>
      <c r="HXY110" s="21"/>
      <c r="HXZ110" s="21"/>
      <c r="HYA110" s="21"/>
      <c r="HYB110" s="21"/>
      <c r="HYC110" s="21"/>
      <c r="HYD110" s="21"/>
      <c r="HYE110" s="21"/>
      <c r="HYF110" s="21"/>
      <c r="HYG110" s="21"/>
      <c r="HYH110" s="21"/>
      <c r="HYI110" s="21"/>
      <c r="HYJ110" s="21"/>
      <c r="HYK110" s="21"/>
      <c r="HYL110" s="21"/>
      <c r="HYM110" s="21"/>
      <c r="HYN110" s="21"/>
      <c r="HYO110" s="21"/>
      <c r="HYP110" s="21"/>
      <c r="HYQ110" s="21"/>
      <c r="HYR110" s="21"/>
      <c r="HYS110" s="21"/>
      <c r="HYT110" s="21"/>
      <c r="HYU110" s="21"/>
      <c r="HYV110" s="21"/>
      <c r="HYW110" s="21"/>
      <c r="HYX110" s="21"/>
      <c r="HYY110" s="21"/>
      <c r="HYZ110" s="21"/>
      <c r="HZA110" s="21"/>
      <c r="HZB110" s="21"/>
      <c r="HZC110" s="21"/>
      <c r="HZD110" s="21"/>
      <c r="HZE110" s="21"/>
      <c r="HZF110" s="21"/>
      <c r="HZG110" s="21"/>
      <c r="HZH110" s="21"/>
      <c r="HZI110" s="21"/>
      <c r="HZJ110" s="21"/>
      <c r="HZK110" s="21"/>
      <c r="HZL110" s="21"/>
      <c r="HZM110" s="21"/>
      <c r="HZN110" s="21"/>
      <c r="HZO110" s="21"/>
      <c r="HZP110" s="21"/>
      <c r="HZQ110" s="21"/>
      <c r="HZR110" s="21"/>
      <c r="HZS110" s="21"/>
      <c r="HZT110" s="21"/>
      <c r="HZU110" s="21"/>
      <c r="HZV110" s="21"/>
      <c r="HZW110" s="21"/>
      <c r="HZX110" s="21"/>
      <c r="HZY110" s="21"/>
      <c r="HZZ110" s="21"/>
      <c r="IAA110" s="21"/>
      <c r="IAB110" s="21"/>
      <c r="IAC110" s="21"/>
      <c r="IAD110" s="21"/>
      <c r="IAE110" s="21"/>
      <c r="IAF110" s="21"/>
      <c r="IAG110" s="21"/>
      <c r="IAH110" s="21"/>
      <c r="IAI110" s="21"/>
      <c r="IAJ110" s="21"/>
      <c r="IAK110" s="21"/>
      <c r="IAL110" s="21"/>
      <c r="IAM110" s="21"/>
      <c r="IAN110" s="21"/>
      <c r="IAO110" s="21"/>
      <c r="IAP110" s="21"/>
      <c r="IAQ110" s="21"/>
      <c r="IAR110" s="21"/>
      <c r="IAS110" s="21"/>
      <c r="IAT110" s="21"/>
      <c r="IAU110" s="21"/>
      <c r="IAV110" s="21"/>
      <c r="IAW110" s="21"/>
      <c r="IAX110" s="21"/>
      <c r="IAY110" s="21"/>
      <c r="IAZ110" s="21"/>
      <c r="IBA110" s="21"/>
      <c r="IBB110" s="21"/>
      <c r="IBC110" s="21"/>
      <c r="IBD110" s="21"/>
      <c r="IBE110" s="21"/>
      <c r="IBF110" s="21"/>
      <c r="IBG110" s="21"/>
      <c r="IBH110" s="21"/>
      <c r="IBI110" s="21"/>
      <c r="IBJ110" s="21"/>
      <c r="IBK110" s="21"/>
      <c r="IBL110" s="21"/>
      <c r="IBM110" s="21"/>
      <c r="IBN110" s="21"/>
      <c r="IBO110" s="21"/>
      <c r="IBP110" s="21"/>
      <c r="IBQ110" s="21"/>
      <c r="IBR110" s="21"/>
      <c r="IBS110" s="21"/>
      <c r="IBT110" s="21"/>
      <c r="IBU110" s="21"/>
      <c r="IBV110" s="21"/>
      <c r="IBW110" s="21"/>
      <c r="IBX110" s="21"/>
      <c r="IBY110" s="21"/>
      <c r="IBZ110" s="21"/>
      <c r="ICA110" s="21"/>
      <c r="ICB110" s="21"/>
      <c r="ICC110" s="21"/>
      <c r="ICD110" s="21"/>
      <c r="ICE110" s="21"/>
      <c r="ICF110" s="21"/>
      <c r="ICG110" s="21"/>
      <c r="ICH110" s="21"/>
      <c r="ICI110" s="21"/>
      <c r="ICJ110" s="21"/>
      <c r="ICK110" s="21"/>
      <c r="ICL110" s="21"/>
      <c r="ICM110" s="21"/>
      <c r="ICN110" s="21"/>
      <c r="ICO110" s="21"/>
      <c r="ICP110" s="21"/>
      <c r="ICQ110" s="21"/>
      <c r="ICR110" s="21"/>
      <c r="ICS110" s="21"/>
      <c r="ICT110" s="21"/>
      <c r="ICU110" s="21"/>
      <c r="ICV110" s="21"/>
      <c r="ICW110" s="21"/>
      <c r="ICX110" s="21"/>
      <c r="ICY110" s="21"/>
      <c r="ICZ110" s="21"/>
      <c r="IDA110" s="21"/>
      <c r="IDB110" s="21"/>
      <c r="IDC110" s="21"/>
      <c r="IDD110" s="21"/>
      <c r="IDE110" s="21"/>
      <c r="IDF110" s="21"/>
      <c r="IDG110" s="21"/>
      <c r="IDH110" s="21"/>
      <c r="IDI110" s="21"/>
      <c r="IDJ110" s="21"/>
      <c r="IDK110" s="21"/>
      <c r="IDL110" s="21"/>
      <c r="IDM110" s="21"/>
      <c r="IDN110" s="21"/>
      <c r="IDO110" s="21"/>
      <c r="IDP110" s="21"/>
      <c r="IDQ110" s="21"/>
      <c r="IDR110" s="21"/>
      <c r="IDS110" s="21"/>
      <c r="IDT110" s="21"/>
      <c r="IDU110" s="21"/>
      <c r="IDV110" s="21"/>
      <c r="IDW110" s="21"/>
      <c r="IDX110" s="21"/>
      <c r="IDY110" s="21"/>
      <c r="IDZ110" s="21"/>
      <c r="IEA110" s="21"/>
      <c r="IEB110" s="21"/>
      <c r="IEC110" s="21"/>
      <c r="IED110" s="21"/>
      <c r="IEE110" s="21"/>
      <c r="IEF110" s="21"/>
      <c r="IEG110" s="21"/>
      <c r="IEH110" s="21"/>
      <c r="IEI110" s="21"/>
      <c r="IEJ110" s="21"/>
      <c r="IEK110" s="21"/>
      <c r="IEL110" s="21"/>
      <c r="IEM110" s="21"/>
      <c r="IEN110" s="21"/>
      <c r="IEO110" s="21"/>
      <c r="IEP110" s="21"/>
      <c r="IEQ110" s="21"/>
      <c r="IER110" s="21"/>
      <c r="IES110" s="21"/>
      <c r="IET110" s="21"/>
      <c r="IEU110" s="21"/>
      <c r="IEV110" s="21"/>
      <c r="IEW110" s="21"/>
      <c r="IEX110" s="21"/>
      <c r="IEY110" s="21"/>
      <c r="IEZ110" s="21"/>
      <c r="IFA110" s="21"/>
      <c r="IFB110" s="21"/>
      <c r="IFC110" s="21"/>
      <c r="IFD110" s="21"/>
      <c r="IFE110" s="21"/>
      <c r="IFF110" s="21"/>
      <c r="IFG110" s="21"/>
      <c r="IFH110" s="21"/>
      <c r="IFI110" s="21"/>
      <c r="IFJ110" s="21"/>
      <c r="IFK110" s="21"/>
      <c r="IFL110" s="21"/>
      <c r="IFM110" s="21"/>
      <c r="IFN110" s="21"/>
      <c r="IFO110" s="21"/>
      <c r="IFP110" s="21"/>
      <c r="IFQ110" s="21"/>
      <c r="IFR110" s="21"/>
      <c r="IFS110" s="21"/>
      <c r="IFT110" s="21"/>
      <c r="IFU110" s="21"/>
      <c r="IFV110" s="21"/>
      <c r="IFW110" s="21"/>
      <c r="IFX110" s="21"/>
      <c r="IFY110" s="21"/>
      <c r="IFZ110" s="21"/>
      <c r="IGA110" s="21"/>
      <c r="IGB110" s="21"/>
      <c r="IGC110" s="21"/>
      <c r="IGD110" s="21"/>
      <c r="IGE110" s="21"/>
      <c r="IGF110" s="21"/>
      <c r="IGG110" s="21"/>
      <c r="IGH110" s="21"/>
      <c r="IGI110" s="21"/>
      <c r="IGJ110" s="21"/>
      <c r="IGK110" s="21"/>
      <c r="IGL110" s="21"/>
      <c r="IGM110" s="21"/>
      <c r="IGN110" s="21"/>
      <c r="IGO110" s="21"/>
      <c r="IGP110" s="21"/>
      <c r="IGQ110" s="21"/>
      <c r="IGR110" s="21"/>
      <c r="IGS110" s="21"/>
      <c r="IGT110" s="21"/>
      <c r="IGU110" s="21"/>
      <c r="IGV110" s="21"/>
      <c r="IGW110" s="21"/>
      <c r="IGX110" s="21"/>
      <c r="IGY110" s="21"/>
      <c r="IGZ110" s="21"/>
      <c r="IHA110" s="21"/>
      <c r="IHB110" s="21"/>
      <c r="IHC110" s="21"/>
      <c r="IHD110" s="21"/>
      <c r="IHE110" s="21"/>
      <c r="IHF110" s="21"/>
      <c r="IHG110" s="21"/>
      <c r="IHH110" s="21"/>
      <c r="IHI110" s="21"/>
      <c r="IHJ110" s="21"/>
      <c r="IHK110" s="21"/>
      <c r="IHL110" s="21"/>
      <c r="IHM110" s="21"/>
      <c r="IHN110" s="21"/>
      <c r="IHO110" s="21"/>
      <c r="IHP110" s="21"/>
      <c r="IHQ110" s="21"/>
      <c r="IHR110" s="21"/>
      <c r="IHS110" s="21"/>
      <c r="IHT110" s="21"/>
      <c r="IHU110" s="21"/>
      <c r="IHV110" s="21"/>
      <c r="IHW110" s="21"/>
      <c r="IHX110" s="21"/>
      <c r="IHY110" s="21"/>
      <c r="IHZ110" s="21"/>
      <c r="IIA110" s="21"/>
      <c r="IIB110" s="21"/>
      <c r="IIC110" s="21"/>
      <c r="IID110" s="21"/>
      <c r="IIE110" s="21"/>
      <c r="IIF110" s="21"/>
      <c r="IIG110" s="21"/>
      <c r="IIH110" s="21"/>
      <c r="III110" s="21"/>
      <c r="IIJ110" s="21"/>
      <c r="IIK110" s="21"/>
      <c r="IIL110" s="21"/>
      <c r="IIM110" s="21"/>
      <c r="IIN110" s="21"/>
      <c r="IIO110" s="21"/>
      <c r="IIP110" s="21"/>
      <c r="IIQ110" s="21"/>
      <c r="IIR110" s="21"/>
      <c r="IIS110" s="21"/>
      <c r="IIT110" s="21"/>
      <c r="IIU110" s="21"/>
      <c r="IIV110" s="21"/>
      <c r="IIW110" s="21"/>
      <c r="IIX110" s="21"/>
      <c r="IIY110" s="21"/>
      <c r="IIZ110" s="21"/>
      <c r="IJA110" s="21"/>
      <c r="IJB110" s="21"/>
      <c r="IJC110" s="21"/>
      <c r="IJD110" s="21"/>
      <c r="IJE110" s="21"/>
      <c r="IJF110" s="21"/>
      <c r="IJG110" s="21"/>
      <c r="IJH110" s="21"/>
      <c r="IJI110" s="21"/>
      <c r="IJJ110" s="21"/>
      <c r="IJK110" s="21"/>
      <c r="IJL110" s="21"/>
      <c r="IJM110" s="21"/>
      <c r="IJN110" s="21"/>
      <c r="IJO110" s="21"/>
      <c r="IJP110" s="21"/>
      <c r="IJQ110" s="21"/>
      <c r="IJR110" s="21"/>
      <c r="IJS110" s="21"/>
      <c r="IJT110" s="21"/>
      <c r="IJU110" s="21"/>
      <c r="IJV110" s="21"/>
      <c r="IJW110" s="21"/>
      <c r="IJX110" s="21"/>
      <c r="IJY110" s="21"/>
      <c r="IJZ110" s="21"/>
      <c r="IKA110" s="21"/>
      <c r="IKB110" s="21"/>
      <c r="IKC110" s="21"/>
      <c r="IKD110" s="21"/>
      <c r="IKE110" s="21"/>
      <c r="IKF110" s="21"/>
      <c r="IKG110" s="21"/>
      <c r="IKH110" s="21"/>
      <c r="IKI110" s="21"/>
      <c r="IKJ110" s="21"/>
      <c r="IKK110" s="21"/>
      <c r="IKL110" s="21"/>
      <c r="IKM110" s="21"/>
      <c r="IKN110" s="21"/>
      <c r="IKO110" s="21"/>
      <c r="IKP110" s="21"/>
      <c r="IKQ110" s="21"/>
      <c r="IKR110" s="21"/>
      <c r="IKS110" s="21"/>
      <c r="IKT110" s="21"/>
      <c r="IKU110" s="21"/>
      <c r="IKV110" s="21"/>
      <c r="IKW110" s="21"/>
      <c r="IKX110" s="21"/>
      <c r="IKY110" s="21"/>
      <c r="IKZ110" s="21"/>
      <c r="ILA110" s="21"/>
      <c r="ILB110" s="21"/>
      <c r="ILC110" s="21"/>
      <c r="ILD110" s="21"/>
      <c r="ILE110" s="21"/>
      <c r="ILF110" s="21"/>
      <c r="ILG110" s="21"/>
      <c r="ILH110" s="21"/>
      <c r="ILI110" s="21"/>
      <c r="ILJ110" s="21"/>
      <c r="ILK110" s="21"/>
      <c r="ILL110" s="21"/>
      <c r="ILM110" s="21"/>
      <c r="ILN110" s="21"/>
      <c r="ILO110" s="21"/>
      <c r="ILP110" s="21"/>
      <c r="ILQ110" s="21"/>
      <c r="ILR110" s="21"/>
      <c r="ILS110" s="21"/>
      <c r="ILT110" s="21"/>
      <c r="ILU110" s="21"/>
      <c r="ILV110" s="21"/>
      <c r="ILW110" s="21"/>
      <c r="ILX110" s="21"/>
      <c r="ILY110" s="21"/>
      <c r="ILZ110" s="21"/>
      <c r="IMA110" s="21"/>
      <c r="IMB110" s="21"/>
      <c r="IMC110" s="21"/>
      <c r="IMD110" s="21"/>
      <c r="IME110" s="21"/>
      <c r="IMF110" s="21"/>
      <c r="IMG110" s="21"/>
      <c r="IMH110" s="21"/>
      <c r="IMI110" s="21"/>
      <c r="IMJ110" s="21"/>
      <c r="IMK110" s="21"/>
      <c r="IML110" s="21"/>
      <c r="IMM110" s="21"/>
      <c r="IMN110" s="21"/>
      <c r="IMO110" s="21"/>
      <c r="IMP110" s="21"/>
      <c r="IMQ110" s="21"/>
      <c r="IMR110" s="21"/>
      <c r="IMS110" s="21"/>
      <c r="IMT110" s="21"/>
      <c r="IMU110" s="21"/>
      <c r="IMV110" s="21"/>
      <c r="IMW110" s="21"/>
      <c r="IMX110" s="21"/>
      <c r="IMY110" s="21"/>
      <c r="IMZ110" s="21"/>
      <c r="INA110" s="21"/>
      <c r="INB110" s="21"/>
      <c r="INC110" s="21"/>
      <c r="IND110" s="21"/>
      <c r="INE110" s="21"/>
      <c r="INF110" s="21"/>
      <c r="ING110" s="21"/>
      <c r="INH110" s="21"/>
      <c r="INI110" s="21"/>
      <c r="INJ110" s="21"/>
      <c r="INK110" s="21"/>
      <c r="INL110" s="21"/>
      <c r="INM110" s="21"/>
      <c r="INN110" s="21"/>
      <c r="INO110" s="21"/>
      <c r="INP110" s="21"/>
      <c r="INQ110" s="21"/>
      <c r="INR110" s="21"/>
      <c r="INS110" s="21"/>
      <c r="INT110" s="21"/>
      <c r="INU110" s="21"/>
      <c r="INV110" s="21"/>
      <c r="INW110" s="21"/>
      <c r="INX110" s="21"/>
      <c r="INY110" s="21"/>
      <c r="INZ110" s="21"/>
      <c r="IOA110" s="21"/>
      <c r="IOB110" s="21"/>
      <c r="IOC110" s="21"/>
      <c r="IOD110" s="21"/>
      <c r="IOE110" s="21"/>
      <c r="IOF110" s="21"/>
      <c r="IOG110" s="21"/>
      <c r="IOH110" s="21"/>
      <c r="IOI110" s="21"/>
      <c r="IOJ110" s="21"/>
      <c r="IOK110" s="21"/>
      <c r="IOL110" s="21"/>
      <c r="IOM110" s="21"/>
      <c r="ION110" s="21"/>
      <c r="IOO110" s="21"/>
      <c r="IOP110" s="21"/>
      <c r="IOQ110" s="21"/>
      <c r="IOR110" s="21"/>
      <c r="IOS110" s="21"/>
      <c r="IOT110" s="21"/>
      <c r="IOU110" s="21"/>
      <c r="IOV110" s="21"/>
      <c r="IOW110" s="21"/>
      <c r="IOX110" s="21"/>
      <c r="IOY110" s="21"/>
      <c r="IOZ110" s="21"/>
      <c r="IPA110" s="21"/>
      <c r="IPB110" s="21"/>
      <c r="IPC110" s="21"/>
      <c r="IPD110" s="21"/>
      <c r="IPE110" s="21"/>
      <c r="IPF110" s="21"/>
      <c r="IPG110" s="21"/>
      <c r="IPH110" s="21"/>
      <c r="IPI110" s="21"/>
      <c r="IPJ110" s="21"/>
      <c r="IPK110" s="21"/>
      <c r="IPL110" s="21"/>
      <c r="IPM110" s="21"/>
      <c r="IPN110" s="21"/>
      <c r="IPO110" s="21"/>
      <c r="IPP110" s="21"/>
      <c r="IPQ110" s="21"/>
      <c r="IPR110" s="21"/>
      <c r="IPS110" s="21"/>
      <c r="IPT110" s="21"/>
      <c r="IPU110" s="21"/>
      <c r="IPV110" s="21"/>
      <c r="IPW110" s="21"/>
      <c r="IPX110" s="21"/>
      <c r="IPY110" s="21"/>
      <c r="IPZ110" s="21"/>
      <c r="IQA110" s="21"/>
      <c r="IQB110" s="21"/>
      <c r="IQC110" s="21"/>
      <c r="IQD110" s="21"/>
      <c r="IQE110" s="21"/>
      <c r="IQF110" s="21"/>
      <c r="IQG110" s="21"/>
      <c r="IQH110" s="21"/>
      <c r="IQI110" s="21"/>
      <c r="IQJ110" s="21"/>
      <c r="IQK110" s="21"/>
      <c r="IQL110" s="21"/>
      <c r="IQM110" s="21"/>
      <c r="IQN110" s="21"/>
      <c r="IQO110" s="21"/>
      <c r="IQP110" s="21"/>
      <c r="IQQ110" s="21"/>
      <c r="IQR110" s="21"/>
      <c r="IQS110" s="21"/>
      <c r="IQT110" s="21"/>
      <c r="IQU110" s="21"/>
      <c r="IQV110" s="21"/>
      <c r="IQW110" s="21"/>
      <c r="IQX110" s="21"/>
      <c r="IQY110" s="21"/>
      <c r="IQZ110" s="21"/>
      <c r="IRA110" s="21"/>
      <c r="IRB110" s="21"/>
      <c r="IRC110" s="21"/>
      <c r="IRD110" s="21"/>
      <c r="IRE110" s="21"/>
      <c r="IRF110" s="21"/>
      <c r="IRG110" s="21"/>
      <c r="IRH110" s="21"/>
      <c r="IRI110" s="21"/>
      <c r="IRJ110" s="21"/>
      <c r="IRK110" s="21"/>
      <c r="IRL110" s="21"/>
      <c r="IRM110" s="21"/>
      <c r="IRN110" s="21"/>
      <c r="IRO110" s="21"/>
      <c r="IRP110" s="21"/>
      <c r="IRQ110" s="21"/>
      <c r="IRR110" s="21"/>
      <c r="IRS110" s="21"/>
      <c r="IRT110" s="21"/>
      <c r="IRU110" s="21"/>
      <c r="IRV110" s="21"/>
      <c r="IRW110" s="21"/>
      <c r="IRX110" s="21"/>
      <c r="IRY110" s="21"/>
      <c r="IRZ110" s="21"/>
      <c r="ISA110" s="21"/>
      <c r="ISB110" s="21"/>
      <c r="ISC110" s="21"/>
      <c r="ISD110" s="21"/>
      <c r="ISE110" s="21"/>
      <c r="ISF110" s="21"/>
      <c r="ISG110" s="21"/>
      <c r="ISH110" s="21"/>
      <c r="ISI110" s="21"/>
      <c r="ISJ110" s="21"/>
      <c r="ISK110" s="21"/>
      <c r="ISL110" s="21"/>
      <c r="ISM110" s="21"/>
      <c r="ISN110" s="21"/>
      <c r="ISO110" s="21"/>
      <c r="ISP110" s="21"/>
      <c r="ISQ110" s="21"/>
      <c r="ISR110" s="21"/>
      <c r="ISS110" s="21"/>
      <c r="IST110" s="21"/>
      <c r="ISU110" s="21"/>
      <c r="ISV110" s="21"/>
      <c r="ISW110" s="21"/>
      <c r="ISX110" s="21"/>
      <c r="ISY110" s="21"/>
      <c r="ISZ110" s="21"/>
      <c r="ITA110" s="21"/>
      <c r="ITB110" s="21"/>
      <c r="ITC110" s="21"/>
      <c r="ITD110" s="21"/>
      <c r="ITE110" s="21"/>
      <c r="ITF110" s="21"/>
      <c r="ITG110" s="21"/>
      <c r="ITH110" s="21"/>
      <c r="ITI110" s="21"/>
      <c r="ITJ110" s="21"/>
      <c r="ITK110" s="21"/>
      <c r="ITL110" s="21"/>
      <c r="ITM110" s="21"/>
      <c r="ITN110" s="21"/>
      <c r="ITO110" s="21"/>
      <c r="ITP110" s="21"/>
      <c r="ITQ110" s="21"/>
      <c r="ITR110" s="21"/>
      <c r="ITS110" s="21"/>
      <c r="ITT110" s="21"/>
      <c r="ITU110" s="21"/>
      <c r="ITV110" s="21"/>
      <c r="ITW110" s="21"/>
      <c r="ITX110" s="21"/>
      <c r="ITY110" s="21"/>
      <c r="ITZ110" s="21"/>
      <c r="IUA110" s="21"/>
      <c r="IUB110" s="21"/>
      <c r="IUC110" s="21"/>
      <c r="IUD110" s="21"/>
      <c r="IUE110" s="21"/>
      <c r="IUF110" s="21"/>
      <c r="IUG110" s="21"/>
      <c r="IUH110" s="21"/>
      <c r="IUI110" s="21"/>
      <c r="IUJ110" s="21"/>
      <c r="IUK110" s="21"/>
      <c r="IUL110" s="21"/>
      <c r="IUM110" s="21"/>
      <c r="IUN110" s="21"/>
      <c r="IUO110" s="21"/>
      <c r="IUP110" s="21"/>
      <c r="IUQ110" s="21"/>
      <c r="IUR110" s="21"/>
      <c r="IUS110" s="21"/>
      <c r="IUT110" s="21"/>
      <c r="IUU110" s="21"/>
      <c r="IUV110" s="21"/>
      <c r="IUW110" s="21"/>
      <c r="IUX110" s="21"/>
      <c r="IUY110" s="21"/>
      <c r="IUZ110" s="21"/>
      <c r="IVA110" s="21"/>
      <c r="IVB110" s="21"/>
      <c r="IVC110" s="21"/>
      <c r="IVD110" s="21"/>
      <c r="IVE110" s="21"/>
      <c r="IVF110" s="21"/>
      <c r="IVG110" s="21"/>
      <c r="IVH110" s="21"/>
      <c r="IVI110" s="21"/>
      <c r="IVJ110" s="21"/>
      <c r="IVK110" s="21"/>
      <c r="IVL110" s="21"/>
      <c r="IVM110" s="21"/>
      <c r="IVN110" s="21"/>
      <c r="IVO110" s="21"/>
      <c r="IVP110" s="21"/>
      <c r="IVQ110" s="21"/>
      <c r="IVR110" s="21"/>
      <c r="IVS110" s="21"/>
      <c r="IVT110" s="21"/>
      <c r="IVU110" s="21"/>
      <c r="IVV110" s="21"/>
      <c r="IVW110" s="21"/>
      <c r="IVX110" s="21"/>
      <c r="IVY110" s="21"/>
      <c r="IVZ110" s="21"/>
      <c r="IWA110" s="21"/>
      <c r="IWB110" s="21"/>
      <c r="IWC110" s="21"/>
      <c r="IWD110" s="21"/>
      <c r="IWE110" s="21"/>
      <c r="IWF110" s="21"/>
      <c r="IWG110" s="21"/>
      <c r="IWH110" s="21"/>
      <c r="IWI110" s="21"/>
      <c r="IWJ110" s="21"/>
      <c r="IWK110" s="21"/>
      <c r="IWL110" s="21"/>
      <c r="IWM110" s="21"/>
      <c r="IWN110" s="21"/>
      <c r="IWO110" s="21"/>
      <c r="IWP110" s="21"/>
      <c r="IWQ110" s="21"/>
      <c r="IWR110" s="21"/>
      <c r="IWS110" s="21"/>
      <c r="IWT110" s="21"/>
      <c r="IWU110" s="21"/>
      <c r="IWV110" s="21"/>
      <c r="IWW110" s="21"/>
      <c r="IWX110" s="21"/>
      <c r="IWY110" s="21"/>
      <c r="IWZ110" s="21"/>
      <c r="IXA110" s="21"/>
      <c r="IXB110" s="21"/>
      <c r="IXC110" s="21"/>
      <c r="IXD110" s="21"/>
      <c r="IXE110" s="21"/>
      <c r="IXF110" s="21"/>
      <c r="IXG110" s="21"/>
      <c r="IXH110" s="21"/>
      <c r="IXI110" s="21"/>
      <c r="IXJ110" s="21"/>
      <c r="IXK110" s="21"/>
      <c r="IXL110" s="21"/>
      <c r="IXM110" s="21"/>
      <c r="IXN110" s="21"/>
      <c r="IXO110" s="21"/>
      <c r="IXP110" s="21"/>
      <c r="IXQ110" s="21"/>
      <c r="IXR110" s="21"/>
      <c r="IXS110" s="21"/>
      <c r="IXT110" s="21"/>
      <c r="IXU110" s="21"/>
      <c r="IXV110" s="21"/>
      <c r="IXW110" s="21"/>
      <c r="IXX110" s="21"/>
      <c r="IXY110" s="21"/>
      <c r="IXZ110" s="21"/>
      <c r="IYA110" s="21"/>
      <c r="IYB110" s="21"/>
      <c r="IYC110" s="21"/>
      <c r="IYD110" s="21"/>
      <c r="IYE110" s="21"/>
      <c r="IYF110" s="21"/>
      <c r="IYG110" s="21"/>
      <c r="IYH110" s="21"/>
      <c r="IYI110" s="21"/>
      <c r="IYJ110" s="21"/>
      <c r="IYK110" s="21"/>
      <c r="IYL110" s="21"/>
      <c r="IYM110" s="21"/>
      <c r="IYN110" s="21"/>
      <c r="IYO110" s="21"/>
      <c r="IYP110" s="21"/>
      <c r="IYQ110" s="21"/>
      <c r="IYR110" s="21"/>
      <c r="IYS110" s="21"/>
      <c r="IYT110" s="21"/>
      <c r="IYU110" s="21"/>
      <c r="IYV110" s="21"/>
      <c r="IYW110" s="21"/>
      <c r="IYX110" s="21"/>
      <c r="IYY110" s="21"/>
      <c r="IYZ110" s="21"/>
      <c r="IZA110" s="21"/>
      <c r="IZB110" s="21"/>
      <c r="IZC110" s="21"/>
      <c r="IZD110" s="21"/>
      <c r="IZE110" s="21"/>
      <c r="IZF110" s="21"/>
      <c r="IZG110" s="21"/>
      <c r="IZH110" s="21"/>
      <c r="IZI110" s="21"/>
      <c r="IZJ110" s="21"/>
      <c r="IZK110" s="21"/>
      <c r="IZL110" s="21"/>
      <c r="IZM110" s="21"/>
      <c r="IZN110" s="21"/>
      <c r="IZO110" s="21"/>
      <c r="IZP110" s="21"/>
      <c r="IZQ110" s="21"/>
      <c r="IZR110" s="21"/>
      <c r="IZS110" s="21"/>
      <c r="IZT110" s="21"/>
      <c r="IZU110" s="21"/>
      <c r="IZV110" s="21"/>
      <c r="IZW110" s="21"/>
      <c r="IZX110" s="21"/>
      <c r="IZY110" s="21"/>
      <c r="IZZ110" s="21"/>
      <c r="JAA110" s="21"/>
      <c r="JAB110" s="21"/>
      <c r="JAC110" s="21"/>
      <c r="JAD110" s="21"/>
      <c r="JAE110" s="21"/>
      <c r="JAF110" s="21"/>
      <c r="JAG110" s="21"/>
      <c r="JAH110" s="21"/>
      <c r="JAI110" s="21"/>
      <c r="JAJ110" s="21"/>
      <c r="JAK110" s="21"/>
      <c r="JAL110" s="21"/>
      <c r="JAM110" s="21"/>
      <c r="JAN110" s="21"/>
      <c r="JAO110" s="21"/>
      <c r="JAP110" s="21"/>
      <c r="JAQ110" s="21"/>
      <c r="JAR110" s="21"/>
      <c r="JAS110" s="21"/>
      <c r="JAT110" s="21"/>
      <c r="JAU110" s="21"/>
      <c r="JAV110" s="21"/>
      <c r="JAW110" s="21"/>
      <c r="JAX110" s="21"/>
      <c r="JAY110" s="21"/>
      <c r="JAZ110" s="21"/>
      <c r="JBA110" s="21"/>
      <c r="JBB110" s="21"/>
      <c r="JBC110" s="21"/>
      <c r="JBD110" s="21"/>
      <c r="JBE110" s="21"/>
      <c r="JBF110" s="21"/>
      <c r="JBG110" s="21"/>
      <c r="JBH110" s="21"/>
      <c r="JBI110" s="21"/>
      <c r="JBJ110" s="21"/>
      <c r="JBK110" s="21"/>
      <c r="JBL110" s="21"/>
      <c r="JBM110" s="21"/>
      <c r="JBN110" s="21"/>
      <c r="JBO110" s="21"/>
      <c r="JBP110" s="21"/>
      <c r="JBQ110" s="21"/>
      <c r="JBR110" s="21"/>
      <c r="JBS110" s="21"/>
      <c r="JBT110" s="21"/>
      <c r="JBU110" s="21"/>
      <c r="JBV110" s="21"/>
      <c r="JBW110" s="21"/>
      <c r="JBX110" s="21"/>
      <c r="JBY110" s="21"/>
      <c r="JBZ110" s="21"/>
      <c r="JCA110" s="21"/>
      <c r="JCB110" s="21"/>
      <c r="JCC110" s="21"/>
      <c r="JCD110" s="21"/>
      <c r="JCE110" s="21"/>
      <c r="JCF110" s="21"/>
      <c r="JCG110" s="21"/>
      <c r="JCH110" s="21"/>
      <c r="JCI110" s="21"/>
      <c r="JCJ110" s="21"/>
      <c r="JCK110" s="21"/>
      <c r="JCL110" s="21"/>
      <c r="JCM110" s="21"/>
      <c r="JCN110" s="21"/>
      <c r="JCO110" s="21"/>
      <c r="JCP110" s="21"/>
      <c r="JCQ110" s="21"/>
      <c r="JCR110" s="21"/>
      <c r="JCS110" s="21"/>
      <c r="JCT110" s="21"/>
      <c r="JCU110" s="21"/>
      <c r="JCV110" s="21"/>
      <c r="JCW110" s="21"/>
      <c r="JCX110" s="21"/>
      <c r="JCY110" s="21"/>
      <c r="JCZ110" s="21"/>
      <c r="JDA110" s="21"/>
      <c r="JDB110" s="21"/>
      <c r="JDC110" s="21"/>
      <c r="JDD110" s="21"/>
      <c r="JDE110" s="21"/>
      <c r="JDF110" s="21"/>
      <c r="JDG110" s="21"/>
      <c r="JDH110" s="21"/>
      <c r="JDI110" s="21"/>
      <c r="JDJ110" s="21"/>
      <c r="JDK110" s="21"/>
      <c r="JDL110" s="21"/>
      <c r="JDM110" s="21"/>
      <c r="JDN110" s="21"/>
      <c r="JDO110" s="21"/>
      <c r="JDP110" s="21"/>
      <c r="JDQ110" s="21"/>
      <c r="JDR110" s="21"/>
      <c r="JDS110" s="21"/>
      <c r="JDT110" s="21"/>
      <c r="JDU110" s="21"/>
      <c r="JDV110" s="21"/>
      <c r="JDW110" s="21"/>
      <c r="JDX110" s="21"/>
      <c r="JDY110" s="21"/>
      <c r="JDZ110" s="21"/>
      <c r="JEA110" s="21"/>
      <c r="JEB110" s="21"/>
      <c r="JEC110" s="21"/>
      <c r="JED110" s="21"/>
      <c r="JEE110" s="21"/>
      <c r="JEF110" s="21"/>
      <c r="JEG110" s="21"/>
      <c r="JEH110" s="21"/>
      <c r="JEI110" s="21"/>
      <c r="JEJ110" s="21"/>
      <c r="JEK110" s="21"/>
      <c r="JEL110" s="21"/>
      <c r="JEM110" s="21"/>
      <c r="JEN110" s="21"/>
      <c r="JEO110" s="21"/>
      <c r="JEP110" s="21"/>
      <c r="JEQ110" s="21"/>
      <c r="JER110" s="21"/>
      <c r="JES110" s="21"/>
      <c r="JET110" s="21"/>
      <c r="JEU110" s="21"/>
      <c r="JEV110" s="21"/>
      <c r="JEW110" s="21"/>
      <c r="JEX110" s="21"/>
      <c r="JEY110" s="21"/>
      <c r="JEZ110" s="21"/>
      <c r="JFA110" s="21"/>
      <c r="JFB110" s="21"/>
      <c r="JFC110" s="21"/>
      <c r="JFD110" s="21"/>
      <c r="JFE110" s="21"/>
      <c r="JFF110" s="21"/>
      <c r="JFG110" s="21"/>
      <c r="JFH110" s="21"/>
      <c r="JFI110" s="21"/>
      <c r="JFJ110" s="21"/>
      <c r="JFK110" s="21"/>
      <c r="JFL110" s="21"/>
      <c r="JFM110" s="21"/>
      <c r="JFN110" s="21"/>
      <c r="JFO110" s="21"/>
      <c r="JFP110" s="21"/>
      <c r="JFQ110" s="21"/>
      <c r="JFR110" s="21"/>
      <c r="JFS110" s="21"/>
      <c r="JFT110" s="21"/>
      <c r="JFU110" s="21"/>
      <c r="JFV110" s="21"/>
      <c r="JFW110" s="21"/>
      <c r="JFX110" s="21"/>
      <c r="JFY110" s="21"/>
      <c r="JFZ110" s="21"/>
      <c r="JGA110" s="21"/>
      <c r="JGB110" s="21"/>
      <c r="JGC110" s="21"/>
      <c r="JGD110" s="21"/>
      <c r="JGE110" s="21"/>
      <c r="JGF110" s="21"/>
      <c r="JGG110" s="21"/>
      <c r="JGH110" s="21"/>
      <c r="JGI110" s="21"/>
      <c r="JGJ110" s="21"/>
      <c r="JGK110" s="21"/>
      <c r="JGL110" s="21"/>
      <c r="JGM110" s="21"/>
      <c r="JGN110" s="21"/>
      <c r="JGO110" s="21"/>
      <c r="JGP110" s="21"/>
      <c r="JGQ110" s="21"/>
      <c r="JGR110" s="21"/>
      <c r="JGS110" s="21"/>
      <c r="JGT110" s="21"/>
      <c r="JGU110" s="21"/>
      <c r="JGV110" s="21"/>
      <c r="JGW110" s="21"/>
      <c r="JGX110" s="21"/>
      <c r="JGY110" s="21"/>
      <c r="JGZ110" s="21"/>
      <c r="JHA110" s="21"/>
      <c r="JHB110" s="21"/>
      <c r="JHC110" s="21"/>
      <c r="JHD110" s="21"/>
      <c r="JHE110" s="21"/>
      <c r="JHF110" s="21"/>
      <c r="JHG110" s="21"/>
      <c r="JHH110" s="21"/>
      <c r="JHI110" s="21"/>
      <c r="JHJ110" s="21"/>
      <c r="JHK110" s="21"/>
      <c r="JHL110" s="21"/>
      <c r="JHM110" s="21"/>
      <c r="JHN110" s="21"/>
      <c r="JHO110" s="21"/>
      <c r="JHP110" s="21"/>
      <c r="JHQ110" s="21"/>
      <c r="JHR110" s="21"/>
      <c r="JHS110" s="21"/>
      <c r="JHT110" s="21"/>
      <c r="JHU110" s="21"/>
      <c r="JHV110" s="21"/>
      <c r="JHW110" s="21"/>
      <c r="JHX110" s="21"/>
      <c r="JHY110" s="21"/>
      <c r="JHZ110" s="21"/>
      <c r="JIA110" s="21"/>
      <c r="JIB110" s="21"/>
      <c r="JIC110" s="21"/>
      <c r="JID110" s="21"/>
      <c r="JIE110" s="21"/>
      <c r="JIF110" s="21"/>
      <c r="JIG110" s="21"/>
      <c r="JIH110" s="21"/>
      <c r="JII110" s="21"/>
      <c r="JIJ110" s="21"/>
      <c r="JIK110" s="21"/>
      <c r="JIL110" s="21"/>
      <c r="JIM110" s="21"/>
      <c r="JIN110" s="21"/>
      <c r="JIO110" s="21"/>
      <c r="JIP110" s="21"/>
      <c r="JIQ110" s="21"/>
      <c r="JIR110" s="21"/>
      <c r="JIS110" s="21"/>
      <c r="JIT110" s="21"/>
      <c r="JIU110" s="21"/>
      <c r="JIV110" s="21"/>
      <c r="JIW110" s="21"/>
      <c r="JIX110" s="21"/>
      <c r="JIY110" s="21"/>
      <c r="JIZ110" s="21"/>
      <c r="JJA110" s="21"/>
      <c r="JJB110" s="21"/>
      <c r="JJC110" s="21"/>
      <c r="JJD110" s="21"/>
      <c r="JJE110" s="21"/>
      <c r="JJF110" s="21"/>
      <c r="JJG110" s="21"/>
      <c r="JJH110" s="21"/>
      <c r="JJI110" s="21"/>
      <c r="JJJ110" s="21"/>
      <c r="JJK110" s="21"/>
      <c r="JJL110" s="21"/>
      <c r="JJM110" s="21"/>
      <c r="JJN110" s="21"/>
      <c r="JJO110" s="21"/>
      <c r="JJP110" s="21"/>
      <c r="JJQ110" s="21"/>
      <c r="JJR110" s="21"/>
      <c r="JJS110" s="21"/>
      <c r="JJT110" s="21"/>
      <c r="JJU110" s="21"/>
      <c r="JJV110" s="21"/>
      <c r="JJW110" s="21"/>
      <c r="JJX110" s="21"/>
      <c r="JJY110" s="21"/>
      <c r="JJZ110" s="21"/>
      <c r="JKA110" s="21"/>
      <c r="JKB110" s="21"/>
      <c r="JKC110" s="21"/>
      <c r="JKD110" s="21"/>
      <c r="JKE110" s="21"/>
      <c r="JKF110" s="21"/>
      <c r="JKG110" s="21"/>
      <c r="JKH110" s="21"/>
      <c r="JKI110" s="21"/>
      <c r="JKJ110" s="21"/>
      <c r="JKK110" s="21"/>
      <c r="JKL110" s="21"/>
      <c r="JKM110" s="21"/>
      <c r="JKN110" s="21"/>
      <c r="JKO110" s="21"/>
      <c r="JKP110" s="21"/>
      <c r="JKQ110" s="21"/>
      <c r="JKR110" s="21"/>
      <c r="JKS110" s="21"/>
      <c r="JKT110" s="21"/>
      <c r="JKU110" s="21"/>
      <c r="JKV110" s="21"/>
      <c r="JKW110" s="21"/>
      <c r="JKX110" s="21"/>
      <c r="JKY110" s="21"/>
      <c r="JKZ110" s="21"/>
      <c r="JLA110" s="21"/>
      <c r="JLB110" s="21"/>
      <c r="JLC110" s="21"/>
      <c r="JLD110" s="21"/>
      <c r="JLE110" s="21"/>
      <c r="JLF110" s="21"/>
      <c r="JLG110" s="21"/>
      <c r="JLH110" s="21"/>
      <c r="JLI110" s="21"/>
      <c r="JLJ110" s="21"/>
      <c r="JLK110" s="21"/>
      <c r="JLL110" s="21"/>
      <c r="JLM110" s="21"/>
      <c r="JLN110" s="21"/>
      <c r="JLO110" s="21"/>
      <c r="JLP110" s="21"/>
      <c r="JLQ110" s="21"/>
      <c r="JLR110" s="21"/>
      <c r="JLS110" s="21"/>
      <c r="JLT110" s="21"/>
      <c r="JLU110" s="21"/>
      <c r="JLV110" s="21"/>
      <c r="JLW110" s="21"/>
      <c r="JLX110" s="21"/>
      <c r="JLY110" s="21"/>
      <c r="JLZ110" s="21"/>
      <c r="JMA110" s="21"/>
      <c r="JMB110" s="21"/>
      <c r="JMC110" s="21"/>
      <c r="JMD110" s="21"/>
      <c r="JME110" s="21"/>
      <c r="JMF110" s="21"/>
      <c r="JMG110" s="21"/>
      <c r="JMH110" s="21"/>
      <c r="JMI110" s="21"/>
      <c r="JMJ110" s="21"/>
      <c r="JMK110" s="21"/>
      <c r="JML110" s="21"/>
      <c r="JMM110" s="21"/>
      <c r="JMN110" s="21"/>
      <c r="JMO110" s="21"/>
      <c r="JMP110" s="21"/>
      <c r="JMQ110" s="21"/>
      <c r="JMR110" s="21"/>
      <c r="JMS110" s="21"/>
      <c r="JMT110" s="21"/>
      <c r="JMU110" s="21"/>
      <c r="JMV110" s="21"/>
      <c r="JMW110" s="21"/>
      <c r="JMX110" s="21"/>
      <c r="JMY110" s="21"/>
      <c r="JMZ110" s="21"/>
      <c r="JNA110" s="21"/>
      <c r="JNB110" s="21"/>
      <c r="JNC110" s="21"/>
      <c r="JND110" s="21"/>
      <c r="JNE110" s="21"/>
      <c r="JNF110" s="21"/>
      <c r="JNG110" s="21"/>
      <c r="JNH110" s="21"/>
      <c r="JNI110" s="21"/>
      <c r="JNJ110" s="21"/>
      <c r="JNK110" s="21"/>
      <c r="JNL110" s="21"/>
      <c r="JNM110" s="21"/>
      <c r="JNN110" s="21"/>
      <c r="JNO110" s="21"/>
      <c r="JNP110" s="21"/>
      <c r="JNQ110" s="21"/>
      <c r="JNR110" s="21"/>
      <c r="JNS110" s="21"/>
      <c r="JNT110" s="21"/>
      <c r="JNU110" s="21"/>
      <c r="JNV110" s="21"/>
      <c r="JNW110" s="21"/>
      <c r="JNX110" s="21"/>
      <c r="JNY110" s="21"/>
      <c r="JNZ110" s="21"/>
      <c r="JOA110" s="21"/>
      <c r="JOB110" s="21"/>
      <c r="JOC110" s="21"/>
      <c r="JOD110" s="21"/>
      <c r="JOE110" s="21"/>
      <c r="JOF110" s="21"/>
      <c r="JOG110" s="21"/>
      <c r="JOH110" s="21"/>
      <c r="JOI110" s="21"/>
      <c r="JOJ110" s="21"/>
      <c r="JOK110" s="21"/>
      <c r="JOL110" s="21"/>
      <c r="JOM110" s="21"/>
      <c r="JON110" s="21"/>
      <c r="JOO110" s="21"/>
      <c r="JOP110" s="21"/>
      <c r="JOQ110" s="21"/>
      <c r="JOR110" s="21"/>
      <c r="JOS110" s="21"/>
      <c r="JOT110" s="21"/>
      <c r="JOU110" s="21"/>
      <c r="JOV110" s="21"/>
      <c r="JOW110" s="21"/>
      <c r="JOX110" s="21"/>
      <c r="JOY110" s="21"/>
      <c r="JOZ110" s="21"/>
      <c r="JPA110" s="21"/>
      <c r="JPB110" s="21"/>
      <c r="JPC110" s="21"/>
      <c r="JPD110" s="21"/>
      <c r="JPE110" s="21"/>
      <c r="JPF110" s="21"/>
      <c r="JPG110" s="21"/>
      <c r="JPH110" s="21"/>
      <c r="JPI110" s="21"/>
      <c r="JPJ110" s="21"/>
      <c r="JPK110" s="21"/>
      <c r="JPL110" s="21"/>
      <c r="JPM110" s="21"/>
      <c r="JPN110" s="21"/>
      <c r="JPO110" s="21"/>
      <c r="JPP110" s="21"/>
      <c r="JPQ110" s="21"/>
      <c r="JPR110" s="21"/>
      <c r="JPS110" s="21"/>
      <c r="JPT110" s="21"/>
      <c r="JPU110" s="21"/>
      <c r="JPV110" s="21"/>
      <c r="JPW110" s="21"/>
      <c r="JPX110" s="21"/>
      <c r="JPY110" s="21"/>
      <c r="JPZ110" s="21"/>
      <c r="JQA110" s="21"/>
      <c r="JQB110" s="21"/>
      <c r="JQC110" s="21"/>
      <c r="JQD110" s="21"/>
      <c r="JQE110" s="21"/>
      <c r="JQF110" s="21"/>
      <c r="JQG110" s="21"/>
      <c r="JQH110" s="21"/>
      <c r="JQI110" s="21"/>
      <c r="JQJ110" s="21"/>
      <c r="JQK110" s="21"/>
      <c r="JQL110" s="21"/>
      <c r="JQM110" s="21"/>
      <c r="JQN110" s="21"/>
      <c r="JQO110" s="21"/>
      <c r="JQP110" s="21"/>
      <c r="JQQ110" s="21"/>
      <c r="JQR110" s="21"/>
      <c r="JQS110" s="21"/>
      <c r="JQT110" s="21"/>
      <c r="JQU110" s="21"/>
      <c r="JQV110" s="21"/>
      <c r="JQW110" s="21"/>
      <c r="JQX110" s="21"/>
      <c r="JQY110" s="21"/>
      <c r="JQZ110" s="21"/>
      <c r="JRA110" s="21"/>
      <c r="JRB110" s="21"/>
      <c r="JRC110" s="21"/>
      <c r="JRD110" s="21"/>
      <c r="JRE110" s="21"/>
      <c r="JRF110" s="21"/>
      <c r="JRG110" s="21"/>
      <c r="JRH110" s="21"/>
      <c r="JRI110" s="21"/>
      <c r="JRJ110" s="21"/>
      <c r="JRK110" s="21"/>
      <c r="JRL110" s="21"/>
      <c r="JRM110" s="21"/>
      <c r="JRN110" s="21"/>
      <c r="JRO110" s="21"/>
      <c r="JRP110" s="21"/>
      <c r="JRQ110" s="21"/>
      <c r="JRR110" s="21"/>
      <c r="JRS110" s="21"/>
      <c r="JRT110" s="21"/>
      <c r="JRU110" s="21"/>
      <c r="JRV110" s="21"/>
      <c r="JRW110" s="21"/>
      <c r="JRX110" s="21"/>
      <c r="JRY110" s="21"/>
      <c r="JRZ110" s="21"/>
      <c r="JSA110" s="21"/>
      <c r="JSB110" s="21"/>
      <c r="JSC110" s="21"/>
      <c r="JSD110" s="21"/>
      <c r="JSE110" s="21"/>
      <c r="JSF110" s="21"/>
      <c r="JSG110" s="21"/>
      <c r="JSH110" s="21"/>
      <c r="JSI110" s="21"/>
      <c r="JSJ110" s="21"/>
      <c r="JSK110" s="21"/>
      <c r="JSL110" s="21"/>
      <c r="JSM110" s="21"/>
      <c r="JSN110" s="21"/>
      <c r="JSO110" s="21"/>
      <c r="JSP110" s="21"/>
      <c r="JSQ110" s="21"/>
      <c r="JSR110" s="21"/>
      <c r="JSS110" s="21"/>
      <c r="JST110" s="21"/>
      <c r="JSU110" s="21"/>
      <c r="JSV110" s="21"/>
      <c r="JSW110" s="21"/>
      <c r="JSX110" s="21"/>
      <c r="JSY110" s="21"/>
      <c r="JSZ110" s="21"/>
      <c r="JTA110" s="21"/>
      <c r="JTB110" s="21"/>
      <c r="JTC110" s="21"/>
      <c r="JTD110" s="21"/>
      <c r="JTE110" s="21"/>
      <c r="JTF110" s="21"/>
      <c r="JTG110" s="21"/>
      <c r="JTH110" s="21"/>
      <c r="JTI110" s="21"/>
      <c r="JTJ110" s="21"/>
      <c r="JTK110" s="21"/>
      <c r="JTL110" s="21"/>
      <c r="JTM110" s="21"/>
      <c r="JTN110" s="21"/>
      <c r="JTO110" s="21"/>
      <c r="JTP110" s="21"/>
      <c r="JTQ110" s="21"/>
      <c r="JTR110" s="21"/>
      <c r="JTS110" s="21"/>
      <c r="JTT110" s="21"/>
      <c r="JTU110" s="21"/>
      <c r="JTV110" s="21"/>
      <c r="JTW110" s="21"/>
      <c r="JTX110" s="21"/>
      <c r="JTY110" s="21"/>
      <c r="JTZ110" s="21"/>
      <c r="JUA110" s="21"/>
      <c r="JUB110" s="21"/>
      <c r="JUC110" s="21"/>
      <c r="JUD110" s="21"/>
      <c r="JUE110" s="21"/>
      <c r="JUF110" s="21"/>
      <c r="JUG110" s="21"/>
      <c r="JUH110" s="21"/>
      <c r="JUI110" s="21"/>
      <c r="JUJ110" s="21"/>
      <c r="JUK110" s="21"/>
      <c r="JUL110" s="21"/>
      <c r="JUM110" s="21"/>
      <c r="JUN110" s="21"/>
      <c r="JUO110" s="21"/>
      <c r="JUP110" s="21"/>
      <c r="JUQ110" s="21"/>
      <c r="JUR110" s="21"/>
      <c r="JUS110" s="21"/>
      <c r="JUT110" s="21"/>
      <c r="JUU110" s="21"/>
      <c r="JUV110" s="21"/>
      <c r="JUW110" s="21"/>
      <c r="JUX110" s="21"/>
      <c r="JUY110" s="21"/>
      <c r="JUZ110" s="21"/>
      <c r="JVA110" s="21"/>
      <c r="JVB110" s="21"/>
      <c r="JVC110" s="21"/>
      <c r="JVD110" s="21"/>
      <c r="JVE110" s="21"/>
      <c r="JVF110" s="21"/>
      <c r="JVG110" s="21"/>
      <c r="JVH110" s="21"/>
      <c r="JVI110" s="21"/>
      <c r="JVJ110" s="21"/>
      <c r="JVK110" s="21"/>
      <c r="JVL110" s="21"/>
      <c r="JVM110" s="21"/>
      <c r="JVN110" s="21"/>
      <c r="JVO110" s="21"/>
      <c r="JVP110" s="21"/>
      <c r="JVQ110" s="21"/>
      <c r="JVR110" s="21"/>
      <c r="JVS110" s="21"/>
      <c r="JVT110" s="21"/>
      <c r="JVU110" s="21"/>
      <c r="JVV110" s="21"/>
      <c r="JVW110" s="21"/>
      <c r="JVX110" s="21"/>
      <c r="JVY110" s="21"/>
      <c r="JVZ110" s="21"/>
      <c r="JWA110" s="21"/>
      <c r="JWB110" s="21"/>
      <c r="JWC110" s="21"/>
      <c r="JWD110" s="21"/>
      <c r="JWE110" s="21"/>
      <c r="JWF110" s="21"/>
      <c r="JWG110" s="21"/>
      <c r="JWH110" s="21"/>
      <c r="JWI110" s="21"/>
      <c r="JWJ110" s="21"/>
      <c r="JWK110" s="21"/>
      <c r="JWL110" s="21"/>
      <c r="JWM110" s="21"/>
      <c r="JWN110" s="21"/>
      <c r="JWO110" s="21"/>
      <c r="JWP110" s="21"/>
      <c r="JWQ110" s="21"/>
      <c r="JWR110" s="21"/>
      <c r="JWS110" s="21"/>
      <c r="JWT110" s="21"/>
      <c r="JWU110" s="21"/>
      <c r="JWV110" s="21"/>
      <c r="JWW110" s="21"/>
      <c r="JWX110" s="21"/>
      <c r="JWY110" s="21"/>
      <c r="JWZ110" s="21"/>
      <c r="JXA110" s="21"/>
      <c r="JXB110" s="21"/>
      <c r="JXC110" s="21"/>
      <c r="JXD110" s="21"/>
      <c r="JXE110" s="21"/>
      <c r="JXF110" s="21"/>
      <c r="JXG110" s="21"/>
      <c r="JXH110" s="21"/>
      <c r="JXI110" s="21"/>
      <c r="JXJ110" s="21"/>
      <c r="JXK110" s="21"/>
      <c r="JXL110" s="21"/>
      <c r="JXM110" s="21"/>
      <c r="JXN110" s="21"/>
      <c r="JXO110" s="21"/>
      <c r="JXP110" s="21"/>
      <c r="JXQ110" s="21"/>
      <c r="JXR110" s="21"/>
      <c r="JXS110" s="21"/>
      <c r="JXT110" s="21"/>
      <c r="JXU110" s="21"/>
      <c r="JXV110" s="21"/>
      <c r="JXW110" s="21"/>
      <c r="JXX110" s="21"/>
      <c r="JXY110" s="21"/>
      <c r="JXZ110" s="21"/>
      <c r="JYA110" s="21"/>
      <c r="JYB110" s="21"/>
      <c r="JYC110" s="21"/>
      <c r="JYD110" s="21"/>
      <c r="JYE110" s="21"/>
      <c r="JYF110" s="21"/>
      <c r="JYG110" s="21"/>
      <c r="JYH110" s="21"/>
      <c r="JYI110" s="21"/>
      <c r="JYJ110" s="21"/>
      <c r="JYK110" s="21"/>
      <c r="JYL110" s="21"/>
      <c r="JYM110" s="21"/>
      <c r="JYN110" s="21"/>
      <c r="JYO110" s="21"/>
      <c r="JYP110" s="21"/>
      <c r="JYQ110" s="21"/>
      <c r="JYR110" s="21"/>
      <c r="JYS110" s="21"/>
      <c r="JYT110" s="21"/>
      <c r="JYU110" s="21"/>
      <c r="JYV110" s="21"/>
      <c r="JYW110" s="21"/>
      <c r="JYX110" s="21"/>
      <c r="JYY110" s="21"/>
      <c r="JYZ110" s="21"/>
      <c r="JZA110" s="21"/>
      <c r="JZB110" s="21"/>
      <c r="JZC110" s="21"/>
      <c r="JZD110" s="21"/>
      <c r="JZE110" s="21"/>
      <c r="JZF110" s="21"/>
      <c r="JZG110" s="21"/>
      <c r="JZH110" s="21"/>
      <c r="JZI110" s="21"/>
      <c r="JZJ110" s="21"/>
      <c r="JZK110" s="21"/>
      <c r="JZL110" s="21"/>
      <c r="JZM110" s="21"/>
      <c r="JZN110" s="21"/>
      <c r="JZO110" s="21"/>
      <c r="JZP110" s="21"/>
      <c r="JZQ110" s="21"/>
      <c r="JZR110" s="21"/>
      <c r="JZS110" s="21"/>
      <c r="JZT110" s="21"/>
      <c r="JZU110" s="21"/>
      <c r="JZV110" s="21"/>
      <c r="JZW110" s="21"/>
      <c r="JZX110" s="21"/>
      <c r="JZY110" s="21"/>
      <c r="JZZ110" s="21"/>
      <c r="KAA110" s="21"/>
      <c r="KAB110" s="21"/>
      <c r="KAC110" s="21"/>
      <c r="KAD110" s="21"/>
      <c r="KAE110" s="21"/>
      <c r="KAF110" s="21"/>
      <c r="KAG110" s="21"/>
      <c r="KAH110" s="21"/>
      <c r="KAI110" s="21"/>
      <c r="KAJ110" s="21"/>
      <c r="KAK110" s="21"/>
      <c r="KAL110" s="21"/>
      <c r="KAM110" s="21"/>
      <c r="KAN110" s="21"/>
      <c r="KAO110" s="21"/>
      <c r="KAP110" s="21"/>
      <c r="KAQ110" s="21"/>
      <c r="KAR110" s="21"/>
      <c r="KAS110" s="21"/>
      <c r="KAT110" s="21"/>
      <c r="KAU110" s="21"/>
      <c r="KAV110" s="21"/>
      <c r="KAW110" s="21"/>
      <c r="KAX110" s="21"/>
      <c r="KAY110" s="21"/>
      <c r="KAZ110" s="21"/>
      <c r="KBA110" s="21"/>
      <c r="KBB110" s="21"/>
      <c r="KBC110" s="21"/>
      <c r="KBD110" s="21"/>
      <c r="KBE110" s="21"/>
      <c r="KBF110" s="21"/>
      <c r="KBG110" s="21"/>
      <c r="KBH110" s="21"/>
      <c r="KBI110" s="21"/>
      <c r="KBJ110" s="21"/>
      <c r="KBK110" s="21"/>
      <c r="KBL110" s="21"/>
      <c r="KBM110" s="21"/>
      <c r="KBN110" s="21"/>
      <c r="KBO110" s="21"/>
      <c r="KBP110" s="21"/>
      <c r="KBQ110" s="21"/>
      <c r="KBR110" s="21"/>
      <c r="KBS110" s="21"/>
      <c r="KBT110" s="21"/>
      <c r="KBU110" s="21"/>
      <c r="KBV110" s="21"/>
      <c r="KBW110" s="21"/>
      <c r="KBX110" s="21"/>
      <c r="KBY110" s="21"/>
      <c r="KBZ110" s="21"/>
      <c r="KCA110" s="21"/>
      <c r="KCB110" s="21"/>
      <c r="KCC110" s="21"/>
      <c r="KCD110" s="21"/>
      <c r="KCE110" s="21"/>
      <c r="KCF110" s="21"/>
      <c r="KCG110" s="21"/>
      <c r="KCH110" s="21"/>
      <c r="KCI110" s="21"/>
      <c r="KCJ110" s="21"/>
      <c r="KCK110" s="21"/>
      <c r="KCL110" s="21"/>
      <c r="KCM110" s="21"/>
      <c r="KCN110" s="21"/>
      <c r="KCO110" s="21"/>
      <c r="KCP110" s="21"/>
      <c r="KCQ110" s="21"/>
      <c r="KCR110" s="21"/>
      <c r="KCS110" s="21"/>
      <c r="KCT110" s="21"/>
      <c r="KCU110" s="21"/>
      <c r="KCV110" s="21"/>
      <c r="KCW110" s="21"/>
      <c r="KCX110" s="21"/>
      <c r="KCY110" s="21"/>
      <c r="KCZ110" s="21"/>
      <c r="KDA110" s="21"/>
      <c r="KDB110" s="21"/>
      <c r="KDC110" s="21"/>
      <c r="KDD110" s="21"/>
      <c r="KDE110" s="21"/>
      <c r="KDF110" s="21"/>
      <c r="KDG110" s="21"/>
      <c r="KDH110" s="21"/>
      <c r="KDI110" s="21"/>
      <c r="KDJ110" s="21"/>
      <c r="KDK110" s="21"/>
      <c r="KDL110" s="21"/>
      <c r="KDM110" s="21"/>
      <c r="KDN110" s="21"/>
      <c r="KDO110" s="21"/>
      <c r="KDP110" s="21"/>
      <c r="KDQ110" s="21"/>
      <c r="KDR110" s="21"/>
      <c r="KDS110" s="21"/>
      <c r="KDT110" s="21"/>
      <c r="KDU110" s="21"/>
      <c r="KDV110" s="21"/>
      <c r="KDW110" s="21"/>
      <c r="KDX110" s="21"/>
      <c r="KDY110" s="21"/>
      <c r="KDZ110" s="21"/>
      <c r="KEA110" s="21"/>
      <c r="KEB110" s="21"/>
      <c r="KEC110" s="21"/>
      <c r="KED110" s="21"/>
      <c r="KEE110" s="21"/>
      <c r="KEF110" s="21"/>
      <c r="KEG110" s="21"/>
      <c r="KEH110" s="21"/>
      <c r="KEI110" s="21"/>
      <c r="KEJ110" s="21"/>
      <c r="KEK110" s="21"/>
      <c r="KEL110" s="21"/>
      <c r="KEM110" s="21"/>
      <c r="KEN110" s="21"/>
      <c r="KEO110" s="21"/>
      <c r="KEP110" s="21"/>
      <c r="KEQ110" s="21"/>
      <c r="KER110" s="21"/>
      <c r="KES110" s="21"/>
      <c r="KET110" s="21"/>
      <c r="KEU110" s="21"/>
      <c r="KEV110" s="21"/>
      <c r="KEW110" s="21"/>
      <c r="KEX110" s="21"/>
      <c r="KEY110" s="21"/>
      <c r="KEZ110" s="21"/>
      <c r="KFA110" s="21"/>
      <c r="KFB110" s="21"/>
      <c r="KFC110" s="21"/>
      <c r="KFD110" s="21"/>
      <c r="KFE110" s="21"/>
      <c r="KFF110" s="21"/>
      <c r="KFG110" s="21"/>
      <c r="KFH110" s="21"/>
      <c r="KFI110" s="21"/>
      <c r="KFJ110" s="21"/>
      <c r="KFK110" s="21"/>
      <c r="KFL110" s="21"/>
      <c r="KFM110" s="21"/>
      <c r="KFN110" s="21"/>
      <c r="KFO110" s="21"/>
      <c r="KFP110" s="21"/>
      <c r="KFQ110" s="21"/>
      <c r="KFR110" s="21"/>
      <c r="KFS110" s="21"/>
      <c r="KFT110" s="21"/>
      <c r="KFU110" s="21"/>
      <c r="KFV110" s="21"/>
      <c r="KFW110" s="21"/>
      <c r="KFX110" s="21"/>
      <c r="KFY110" s="21"/>
      <c r="KFZ110" s="21"/>
      <c r="KGA110" s="21"/>
      <c r="KGB110" s="21"/>
      <c r="KGC110" s="21"/>
      <c r="KGD110" s="21"/>
      <c r="KGE110" s="21"/>
      <c r="KGF110" s="21"/>
      <c r="KGG110" s="21"/>
      <c r="KGH110" s="21"/>
      <c r="KGI110" s="21"/>
      <c r="KGJ110" s="21"/>
      <c r="KGK110" s="21"/>
      <c r="KGL110" s="21"/>
      <c r="KGM110" s="21"/>
      <c r="KGN110" s="21"/>
      <c r="KGO110" s="21"/>
      <c r="KGP110" s="21"/>
      <c r="KGQ110" s="21"/>
      <c r="KGR110" s="21"/>
      <c r="KGS110" s="21"/>
      <c r="KGT110" s="21"/>
      <c r="KGU110" s="21"/>
      <c r="KGV110" s="21"/>
      <c r="KGW110" s="21"/>
      <c r="KGX110" s="21"/>
      <c r="KGY110" s="21"/>
      <c r="KGZ110" s="21"/>
      <c r="KHA110" s="21"/>
      <c r="KHB110" s="21"/>
      <c r="KHC110" s="21"/>
      <c r="KHD110" s="21"/>
      <c r="KHE110" s="21"/>
      <c r="KHF110" s="21"/>
      <c r="KHG110" s="21"/>
      <c r="KHH110" s="21"/>
      <c r="KHI110" s="21"/>
      <c r="KHJ110" s="21"/>
      <c r="KHK110" s="21"/>
      <c r="KHL110" s="21"/>
      <c r="KHM110" s="21"/>
      <c r="KHN110" s="21"/>
      <c r="KHO110" s="21"/>
      <c r="KHP110" s="21"/>
      <c r="KHQ110" s="21"/>
      <c r="KHR110" s="21"/>
      <c r="KHS110" s="21"/>
      <c r="KHT110" s="21"/>
      <c r="KHU110" s="21"/>
      <c r="KHV110" s="21"/>
      <c r="KHW110" s="21"/>
      <c r="KHX110" s="21"/>
      <c r="KHY110" s="21"/>
      <c r="KHZ110" s="21"/>
      <c r="KIA110" s="21"/>
      <c r="KIB110" s="21"/>
      <c r="KIC110" s="21"/>
      <c r="KID110" s="21"/>
      <c r="KIE110" s="21"/>
      <c r="KIF110" s="21"/>
      <c r="KIG110" s="21"/>
      <c r="KIH110" s="21"/>
      <c r="KII110" s="21"/>
      <c r="KIJ110" s="21"/>
      <c r="KIK110" s="21"/>
      <c r="KIL110" s="21"/>
      <c r="KIM110" s="21"/>
      <c r="KIN110" s="21"/>
      <c r="KIO110" s="21"/>
      <c r="KIP110" s="21"/>
      <c r="KIQ110" s="21"/>
      <c r="KIR110" s="21"/>
      <c r="KIS110" s="21"/>
      <c r="KIT110" s="21"/>
      <c r="KIU110" s="21"/>
      <c r="KIV110" s="21"/>
      <c r="KIW110" s="21"/>
      <c r="KIX110" s="21"/>
      <c r="KIY110" s="21"/>
      <c r="KIZ110" s="21"/>
      <c r="KJA110" s="21"/>
      <c r="KJB110" s="21"/>
      <c r="KJC110" s="21"/>
      <c r="KJD110" s="21"/>
      <c r="KJE110" s="21"/>
      <c r="KJF110" s="21"/>
      <c r="KJG110" s="21"/>
      <c r="KJH110" s="21"/>
      <c r="KJI110" s="21"/>
      <c r="KJJ110" s="21"/>
      <c r="KJK110" s="21"/>
      <c r="KJL110" s="21"/>
      <c r="KJM110" s="21"/>
      <c r="KJN110" s="21"/>
      <c r="KJO110" s="21"/>
      <c r="KJP110" s="21"/>
      <c r="KJQ110" s="21"/>
      <c r="KJR110" s="21"/>
      <c r="KJS110" s="21"/>
      <c r="KJT110" s="21"/>
      <c r="KJU110" s="21"/>
      <c r="KJV110" s="21"/>
      <c r="KJW110" s="21"/>
      <c r="KJX110" s="21"/>
      <c r="KJY110" s="21"/>
      <c r="KJZ110" s="21"/>
      <c r="KKA110" s="21"/>
      <c r="KKB110" s="21"/>
      <c r="KKC110" s="21"/>
      <c r="KKD110" s="21"/>
      <c r="KKE110" s="21"/>
      <c r="KKF110" s="21"/>
      <c r="KKG110" s="21"/>
      <c r="KKH110" s="21"/>
      <c r="KKI110" s="21"/>
      <c r="KKJ110" s="21"/>
      <c r="KKK110" s="21"/>
      <c r="KKL110" s="21"/>
      <c r="KKM110" s="21"/>
      <c r="KKN110" s="21"/>
      <c r="KKO110" s="21"/>
      <c r="KKP110" s="21"/>
      <c r="KKQ110" s="21"/>
      <c r="KKR110" s="21"/>
      <c r="KKS110" s="21"/>
      <c r="KKT110" s="21"/>
      <c r="KKU110" s="21"/>
      <c r="KKV110" s="21"/>
      <c r="KKW110" s="21"/>
      <c r="KKX110" s="21"/>
      <c r="KKY110" s="21"/>
      <c r="KKZ110" s="21"/>
      <c r="KLA110" s="21"/>
      <c r="KLB110" s="21"/>
      <c r="KLC110" s="21"/>
      <c r="KLD110" s="21"/>
      <c r="KLE110" s="21"/>
      <c r="KLF110" s="21"/>
      <c r="KLG110" s="21"/>
      <c r="KLH110" s="21"/>
      <c r="KLI110" s="21"/>
      <c r="KLJ110" s="21"/>
      <c r="KLK110" s="21"/>
      <c r="KLL110" s="21"/>
      <c r="KLM110" s="21"/>
      <c r="KLN110" s="21"/>
      <c r="KLO110" s="21"/>
      <c r="KLP110" s="21"/>
      <c r="KLQ110" s="21"/>
      <c r="KLR110" s="21"/>
      <c r="KLS110" s="21"/>
      <c r="KLT110" s="21"/>
      <c r="KLU110" s="21"/>
      <c r="KLV110" s="21"/>
      <c r="KLW110" s="21"/>
      <c r="KLX110" s="21"/>
      <c r="KLY110" s="21"/>
      <c r="KLZ110" s="21"/>
      <c r="KMA110" s="21"/>
      <c r="KMB110" s="21"/>
      <c r="KMC110" s="21"/>
      <c r="KMD110" s="21"/>
      <c r="KME110" s="21"/>
      <c r="KMF110" s="21"/>
      <c r="KMG110" s="21"/>
      <c r="KMH110" s="21"/>
      <c r="KMI110" s="21"/>
      <c r="KMJ110" s="21"/>
      <c r="KMK110" s="21"/>
      <c r="KML110" s="21"/>
      <c r="KMM110" s="21"/>
      <c r="KMN110" s="21"/>
      <c r="KMO110" s="21"/>
      <c r="KMP110" s="21"/>
      <c r="KMQ110" s="21"/>
      <c r="KMR110" s="21"/>
      <c r="KMS110" s="21"/>
      <c r="KMT110" s="21"/>
      <c r="KMU110" s="21"/>
      <c r="KMV110" s="21"/>
      <c r="KMW110" s="21"/>
      <c r="KMX110" s="21"/>
      <c r="KMY110" s="21"/>
      <c r="KMZ110" s="21"/>
      <c r="KNA110" s="21"/>
      <c r="KNB110" s="21"/>
      <c r="KNC110" s="21"/>
      <c r="KND110" s="21"/>
      <c r="KNE110" s="21"/>
      <c r="KNF110" s="21"/>
      <c r="KNG110" s="21"/>
      <c r="KNH110" s="21"/>
      <c r="KNI110" s="21"/>
      <c r="KNJ110" s="21"/>
      <c r="KNK110" s="21"/>
      <c r="KNL110" s="21"/>
      <c r="KNM110" s="21"/>
      <c r="KNN110" s="21"/>
      <c r="KNO110" s="21"/>
      <c r="KNP110" s="21"/>
      <c r="KNQ110" s="21"/>
      <c r="KNR110" s="21"/>
      <c r="KNS110" s="21"/>
      <c r="KNT110" s="21"/>
      <c r="KNU110" s="21"/>
      <c r="KNV110" s="21"/>
      <c r="KNW110" s="21"/>
      <c r="KNX110" s="21"/>
      <c r="KNY110" s="21"/>
      <c r="KNZ110" s="21"/>
      <c r="KOA110" s="21"/>
      <c r="KOB110" s="21"/>
      <c r="KOC110" s="21"/>
      <c r="KOD110" s="21"/>
      <c r="KOE110" s="21"/>
      <c r="KOF110" s="21"/>
      <c r="KOG110" s="21"/>
      <c r="KOH110" s="21"/>
      <c r="KOI110" s="21"/>
      <c r="KOJ110" s="21"/>
      <c r="KOK110" s="21"/>
      <c r="KOL110" s="21"/>
      <c r="KOM110" s="21"/>
      <c r="KON110" s="21"/>
      <c r="KOO110" s="21"/>
      <c r="KOP110" s="21"/>
      <c r="KOQ110" s="21"/>
      <c r="KOR110" s="21"/>
      <c r="KOS110" s="21"/>
      <c r="KOT110" s="21"/>
      <c r="KOU110" s="21"/>
      <c r="KOV110" s="21"/>
      <c r="KOW110" s="21"/>
      <c r="KOX110" s="21"/>
      <c r="KOY110" s="21"/>
      <c r="KOZ110" s="21"/>
      <c r="KPA110" s="21"/>
      <c r="KPB110" s="21"/>
      <c r="KPC110" s="21"/>
      <c r="KPD110" s="21"/>
      <c r="KPE110" s="21"/>
      <c r="KPF110" s="21"/>
      <c r="KPG110" s="21"/>
      <c r="KPH110" s="21"/>
      <c r="KPI110" s="21"/>
      <c r="KPJ110" s="21"/>
      <c r="KPK110" s="21"/>
      <c r="KPL110" s="21"/>
      <c r="KPM110" s="21"/>
      <c r="KPN110" s="21"/>
      <c r="KPO110" s="21"/>
      <c r="KPP110" s="21"/>
      <c r="KPQ110" s="21"/>
      <c r="KPR110" s="21"/>
      <c r="KPS110" s="21"/>
      <c r="KPT110" s="21"/>
      <c r="KPU110" s="21"/>
      <c r="KPV110" s="21"/>
      <c r="KPW110" s="21"/>
      <c r="KPX110" s="21"/>
      <c r="KPY110" s="21"/>
      <c r="KPZ110" s="21"/>
      <c r="KQA110" s="21"/>
      <c r="KQB110" s="21"/>
      <c r="KQC110" s="21"/>
      <c r="KQD110" s="21"/>
      <c r="KQE110" s="21"/>
      <c r="KQF110" s="21"/>
      <c r="KQG110" s="21"/>
      <c r="KQH110" s="21"/>
      <c r="KQI110" s="21"/>
      <c r="KQJ110" s="21"/>
      <c r="KQK110" s="21"/>
      <c r="KQL110" s="21"/>
      <c r="KQM110" s="21"/>
      <c r="KQN110" s="21"/>
      <c r="KQO110" s="21"/>
      <c r="KQP110" s="21"/>
      <c r="KQQ110" s="21"/>
      <c r="KQR110" s="21"/>
      <c r="KQS110" s="21"/>
      <c r="KQT110" s="21"/>
      <c r="KQU110" s="21"/>
      <c r="KQV110" s="21"/>
      <c r="KQW110" s="21"/>
      <c r="KQX110" s="21"/>
      <c r="KQY110" s="21"/>
      <c r="KQZ110" s="21"/>
      <c r="KRA110" s="21"/>
      <c r="KRB110" s="21"/>
      <c r="KRC110" s="21"/>
      <c r="KRD110" s="21"/>
      <c r="KRE110" s="21"/>
      <c r="KRF110" s="21"/>
      <c r="KRG110" s="21"/>
      <c r="KRH110" s="21"/>
      <c r="KRI110" s="21"/>
      <c r="KRJ110" s="21"/>
      <c r="KRK110" s="21"/>
      <c r="KRL110" s="21"/>
      <c r="KRM110" s="21"/>
      <c r="KRN110" s="21"/>
      <c r="KRO110" s="21"/>
      <c r="KRP110" s="21"/>
      <c r="KRQ110" s="21"/>
      <c r="KRR110" s="21"/>
      <c r="KRS110" s="21"/>
      <c r="KRT110" s="21"/>
      <c r="KRU110" s="21"/>
      <c r="KRV110" s="21"/>
      <c r="KRW110" s="21"/>
      <c r="KRX110" s="21"/>
      <c r="KRY110" s="21"/>
      <c r="KRZ110" s="21"/>
      <c r="KSA110" s="21"/>
      <c r="KSB110" s="21"/>
      <c r="KSC110" s="21"/>
      <c r="KSD110" s="21"/>
      <c r="KSE110" s="21"/>
      <c r="KSF110" s="21"/>
      <c r="KSG110" s="21"/>
      <c r="KSH110" s="21"/>
      <c r="KSI110" s="21"/>
      <c r="KSJ110" s="21"/>
      <c r="KSK110" s="21"/>
      <c r="KSL110" s="21"/>
      <c r="KSM110" s="21"/>
      <c r="KSN110" s="21"/>
      <c r="KSO110" s="21"/>
      <c r="KSP110" s="21"/>
      <c r="KSQ110" s="21"/>
      <c r="KSR110" s="21"/>
      <c r="KSS110" s="21"/>
      <c r="KST110" s="21"/>
      <c r="KSU110" s="21"/>
      <c r="KSV110" s="21"/>
      <c r="KSW110" s="21"/>
      <c r="KSX110" s="21"/>
      <c r="KSY110" s="21"/>
      <c r="KSZ110" s="21"/>
      <c r="KTA110" s="21"/>
      <c r="KTB110" s="21"/>
      <c r="KTC110" s="21"/>
      <c r="KTD110" s="21"/>
      <c r="KTE110" s="21"/>
      <c r="KTF110" s="21"/>
      <c r="KTG110" s="21"/>
      <c r="KTH110" s="21"/>
      <c r="KTI110" s="21"/>
      <c r="KTJ110" s="21"/>
      <c r="KTK110" s="21"/>
      <c r="KTL110" s="21"/>
      <c r="KTM110" s="21"/>
      <c r="KTN110" s="21"/>
      <c r="KTO110" s="21"/>
      <c r="KTP110" s="21"/>
      <c r="KTQ110" s="21"/>
      <c r="KTR110" s="21"/>
      <c r="KTS110" s="21"/>
      <c r="KTT110" s="21"/>
      <c r="KTU110" s="21"/>
      <c r="KTV110" s="21"/>
      <c r="KTW110" s="21"/>
      <c r="KTX110" s="21"/>
      <c r="KTY110" s="21"/>
      <c r="KTZ110" s="21"/>
      <c r="KUA110" s="21"/>
      <c r="KUB110" s="21"/>
      <c r="KUC110" s="21"/>
      <c r="KUD110" s="21"/>
      <c r="KUE110" s="21"/>
      <c r="KUF110" s="21"/>
      <c r="KUG110" s="21"/>
      <c r="KUH110" s="21"/>
      <c r="KUI110" s="21"/>
      <c r="KUJ110" s="21"/>
      <c r="KUK110" s="21"/>
      <c r="KUL110" s="21"/>
      <c r="KUM110" s="21"/>
      <c r="KUN110" s="21"/>
      <c r="KUO110" s="21"/>
      <c r="KUP110" s="21"/>
      <c r="KUQ110" s="21"/>
      <c r="KUR110" s="21"/>
      <c r="KUS110" s="21"/>
      <c r="KUT110" s="21"/>
      <c r="KUU110" s="21"/>
      <c r="KUV110" s="21"/>
      <c r="KUW110" s="21"/>
      <c r="KUX110" s="21"/>
      <c r="KUY110" s="21"/>
      <c r="KUZ110" s="21"/>
      <c r="KVA110" s="21"/>
      <c r="KVB110" s="21"/>
      <c r="KVC110" s="21"/>
      <c r="KVD110" s="21"/>
      <c r="KVE110" s="21"/>
      <c r="KVF110" s="21"/>
      <c r="KVG110" s="21"/>
      <c r="KVH110" s="21"/>
      <c r="KVI110" s="21"/>
      <c r="KVJ110" s="21"/>
      <c r="KVK110" s="21"/>
      <c r="KVL110" s="21"/>
      <c r="KVM110" s="21"/>
      <c r="KVN110" s="21"/>
      <c r="KVO110" s="21"/>
      <c r="KVP110" s="21"/>
      <c r="KVQ110" s="21"/>
      <c r="KVR110" s="21"/>
      <c r="KVS110" s="21"/>
      <c r="KVT110" s="21"/>
      <c r="KVU110" s="21"/>
      <c r="KVV110" s="21"/>
      <c r="KVW110" s="21"/>
      <c r="KVX110" s="21"/>
      <c r="KVY110" s="21"/>
      <c r="KVZ110" s="21"/>
      <c r="KWA110" s="21"/>
      <c r="KWB110" s="21"/>
      <c r="KWC110" s="21"/>
      <c r="KWD110" s="21"/>
      <c r="KWE110" s="21"/>
      <c r="KWF110" s="21"/>
      <c r="KWG110" s="21"/>
      <c r="KWH110" s="21"/>
      <c r="KWI110" s="21"/>
      <c r="KWJ110" s="21"/>
      <c r="KWK110" s="21"/>
      <c r="KWL110" s="21"/>
      <c r="KWM110" s="21"/>
      <c r="KWN110" s="21"/>
      <c r="KWO110" s="21"/>
      <c r="KWP110" s="21"/>
      <c r="KWQ110" s="21"/>
      <c r="KWR110" s="21"/>
      <c r="KWS110" s="21"/>
      <c r="KWT110" s="21"/>
      <c r="KWU110" s="21"/>
      <c r="KWV110" s="21"/>
      <c r="KWW110" s="21"/>
      <c r="KWX110" s="21"/>
      <c r="KWY110" s="21"/>
      <c r="KWZ110" s="21"/>
      <c r="KXA110" s="21"/>
      <c r="KXB110" s="21"/>
      <c r="KXC110" s="21"/>
      <c r="KXD110" s="21"/>
      <c r="KXE110" s="21"/>
      <c r="KXF110" s="21"/>
      <c r="KXG110" s="21"/>
      <c r="KXH110" s="21"/>
      <c r="KXI110" s="21"/>
      <c r="KXJ110" s="21"/>
      <c r="KXK110" s="21"/>
      <c r="KXL110" s="21"/>
      <c r="KXM110" s="21"/>
      <c r="KXN110" s="21"/>
      <c r="KXO110" s="21"/>
      <c r="KXP110" s="21"/>
      <c r="KXQ110" s="21"/>
      <c r="KXR110" s="21"/>
      <c r="KXS110" s="21"/>
      <c r="KXT110" s="21"/>
      <c r="KXU110" s="21"/>
      <c r="KXV110" s="21"/>
      <c r="KXW110" s="21"/>
      <c r="KXX110" s="21"/>
      <c r="KXY110" s="21"/>
      <c r="KXZ110" s="21"/>
      <c r="KYA110" s="21"/>
      <c r="KYB110" s="21"/>
      <c r="KYC110" s="21"/>
      <c r="KYD110" s="21"/>
      <c r="KYE110" s="21"/>
      <c r="KYF110" s="21"/>
      <c r="KYG110" s="21"/>
      <c r="KYH110" s="21"/>
      <c r="KYI110" s="21"/>
      <c r="KYJ110" s="21"/>
      <c r="KYK110" s="21"/>
      <c r="KYL110" s="21"/>
      <c r="KYM110" s="21"/>
      <c r="KYN110" s="21"/>
      <c r="KYO110" s="21"/>
      <c r="KYP110" s="21"/>
      <c r="KYQ110" s="21"/>
      <c r="KYR110" s="21"/>
      <c r="KYS110" s="21"/>
      <c r="KYT110" s="21"/>
      <c r="KYU110" s="21"/>
      <c r="KYV110" s="21"/>
      <c r="KYW110" s="21"/>
      <c r="KYX110" s="21"/>
      <c r="KYY110" s="21"/>
      <c r="KYZ110" s="21"/>
      <c r="KZA110" s="21"/>
      <c r="KZB110" s="21"/>
      <c r="KZC110" s="21"/>
      <c r="KZD110" s="21"/>
      <c r="KZE110" s="21"/>
      <c r="KZF110" s="21"/>
      <c r="KZG110" s="21"/>
      <c r="KZH110" s="21"/>
      <c r="KZI110" s="21"/>
      <c r="KZJ110" s="21"/>
      <c r="KZK110" s="21"/>
      <c r="KZL110" s="21"/>
      <c r="KZM110" s="21"/>
      <c r="KZN110" s="21"/>
      <c r="KZO110" s="21"/>
      <c r="KZP110" s="21"/>
      <c r="KZQ110" s="21"/>
      <c r="KZR110" s="21"/>
      <c r="KZS110" s="21"/>
      <c r="KZT110" s="21"/>
      <c r="KZU110" s="21"/>
      <c r="KZV110" s="21"/>
      <c r="KZW110" s="21"/>
      <c r="KZX110" s="21"/>
      <c r="KZY110" s="21"/>
      <c r="KZZ110" s="21"/>
      <c r="LAA110" s="21"/>
      <c r="LAB110" s="21"/>
      <c r="LAC110" s="21"/>
      <c r="LAD110" s="21"/>
      <c r="LAE110" s="21"/>
      <c r="LAF110" s="21"/>
      <c r="LAG110" s="21"/>
      <c r="LAH110" s="21"/>
      <c r="LAI110" s="21"/>
      <c r="LAJ110" s="21"/>
      <c r="LAK110" s="21"/>
      <c r="LAL110" s="21"/>
      <c r="LAM110" s="21"/>
      <c r="LAN110" s="21"/>
      <c r="LAO110" s="21"/>
      <c r="LAP110" s="21"/>
      <c r="LAQ110" s="21"/>
      <c r="LAR110" s="21"/>
      <c r="LAS110" s="21"/>
      <c r="LAT110" s="21"/>
      <c r="LAU110" s="21"/>
      <c r="LAV110" s="21"/>
      <c r="LAW110" s="21"/>
      <c r="LAX110" s="21"/>
      <c r="LAY110" s="21"/>
      <c r="LAZ110" s="21"/>
      <c r="LBA110" s="21"/>
      <c r="LBB110" s="21"/>
      <c r="LBC110" s="21"/>
      <c r="LBD110" s="21"/>
      <c r="LBE110" s="21"/>
      <c r="LBF110" s="21"/>
      <c r="LBG110" s="21"/>
      <c r="LBH110" s="21"/>
      <c r="LBI110" s="21"/>
      <c r="LBJ110" s="21"/>
      <c r="LBK110" s="21"/>
      <c r="LBL110" s="21"/>
      <c r="LBM110" s="21"/>
      <c r="LBN110" s="21"/>
      <c r="LBO110" s="21"/>
      <c r="LBP110" s="21"/>
      <c r="LBQ110" s="21"/>
      <c r="LBR110" s="21"/>
      <c r="LBS110" s="21"/>
      <c r="LBT110" s="21"/>
      <c r="LBU110" s="21"/>
      <c r="LBV110" s="21"/>
      <c r="LBW110" s="21"/>
      <c r="LBX110" s="21"/>
      <c r="LBY110" s="21"/>
      <c r="LBZ110" s="21"/>
      <c r="LCA110" s="21"/>
      <c r="LCB110" s="21"/>
      <c r="LCC110" s="21"/>
      <c r="LCD110" s="21"/>
      <c r="LCE110" s="21"/>
      <c r="LCF110" s="21"/>
      <c r="LCG110" s="21"/>
      <c r="LCH110" s="21"/>
      <c r="LCI110" s="21"/>
      <c r="LCJ110" s="21"/>
      <c r="LCK110" s="21"/>
      <c r="LCL110" s="21"/>
      <c r="LCM110" s="21"/>
      <c r="LCN110" s="21"/>
      <c r="LCO110" s="21"/>
      <c r="LCP110" s="21"/>
      <c r="LCQ110" s="21"/>
      <c r="LCR110" s="21"/>
      <c r="LCS110" s="21"/>
      <c r="LCT110" s="21"/>
      <c r="LCU110" s="21"/>
      <c r="LCV110" s="21"/>
      <c r="LCW110" s="21"/>
      <c r="LCX110" s="21"/>
      <c r="LCY110" s="21"/>
      <c r="LCZ110" s="21"/>
      <c r="LDA110" s="21"/>
      <c r="LDB110" s="21"/>
      <c r="LDC110" s="21"/>
      <c r="LDD110" s="21"/>
      <c r="LDE110" s="21"/>
      <c r="LDF110" s="21"/>
      <c r="LDG110" s="21"/>
      <c r="LDH110" s="21"/>
      <c r="LDI110" s="21"/>
      <c r="LDJ110" s="21"/>
      <c r="LDK110" s="21"/>
      <c r="LDL110" s="21"/>
      <c r="LDM110" s="21"/>
      <c r="LDN110" s="21"/>
      <c r="LDO110" s="21"/>
      <c r="LDP110" s="21"/>
      <c r="LDQ110" s="21"/>
      <c r="LDR110" s="21"/>
      <c r="LDS110" s="21"/>
      <c r="LDT110" s="21"/>
      <c r="LDU110" s="21"/>
      <c r="LDV110" s="21"/>
      <c r="LDW110" s="21"/>
      <c r="LDX110" s="21"/>
      <c r="LDY110" s="21"/>
      <c r="LDZ110" s="21"/>
      <c r="LEA110" s="21"/>
      <c r="LEB110" s="21"/>
      <c r="LEC110" s="21"/>
      <c r="LED110" s="21"/>
      <c r="LEE110" s="21"/>
      <c r="LEF110" s="21"/>
      <c r="LEG110" s="21"/>
      <c r="LEH110" s="21"/>
      <c r="LEI110" s="21"/>
      <c r="LEJ110" s="21"/>
      <c r="LEK110" s="21"/>
      <c r="LEL110" s="21"/>
      <c r="LEM110" s="21"/>
      <c r="LEN110" s="21"/>
      <c r="LEO110" s="21"/>
      <c r="LEP110" s="21"/>
      <c r="LEQ110" s="21"/>
      <c r="LER110" s="21"/>
      <c r="LES110" s="21"/>
      <c r="LET110" s="21"/>
      <c r="LEU110" s="21"/>
      <c r="LEV110" s="21"/>
      <c r="LEW110" s="21"/>
      <c r="LEX110" s="21"/>
      <c r="LEY110" s="21"/>
      <c r="LEZ110" s="21"/>
      <c r="LFA110" s="21"/>
      <c r="LFB110" s="21"/>
      <c r="LFC110" s="21"/>
      <c r="LFD110" s="21"/>
      <c r="LFE110" s="21"/>
      <c r="LFF110" s="21"/>
      <c r="LFG110" s="21"/>
      <c r="LFH110" s="21"/>
      <c r="LFI110" s="21"/>
      <c r="LFJ110" s="21"/>
      <c r="LFK110" s="21"/>
      <c r="LFL110" s="21"/>
      <c r="LFM110" s="21"/>
      <c r="LFN110" s="21"/>
      <c r="LFO110" s="21"/>
      <c r="LFP110" s="21"/>
      <c r="LFQ110" s="21"/>
      <c r="LFR110" s="21"/>
      <c r="LFS110" s="21"/>
      <c r="LFT110" s="21"/>
      <c r="LFU110" s="21"/>
      <c r="LFV110" s="21"/>
      <c r="LFW110" s="21"/>
      <c r="LFX110" s="21"/>
      <c r="LFY110" s="21"/>
      <c r="LFZ110" s="21"/>
      <c r="LGA110" s="21"/>
      <c r="LGB110" s="21"/>
      <c r="LGC110" s="21"/>
      <c r="LGD110" s="21"/>
      <c r="LGE110" s="21"/>
      <c r="LGF110" s="21"/>
      <c r="LGG110" s="21"/>
      <c r="LGH110" s="21"/>
      <c r="LGI110" s="21"/>
      <c r="LGJ110" s="21"/>
      <c r="LGK110" s="21"/>
      <c r="LGL110" s="21"/>
      <c r="LGM110" s="21"/>
      <c r="LGN110" s="21"/>
      <c r="LGO110" s="21"/>
      <c r="LGP110" s="21"/>
      <c r="LGQ110" s="21"/>
      <c r="LGR110" s="21"/>
      <c r="LGS110" s="21"/>
      <c r="LGT110" s="21"/>
      <c r="LGU110" s="21"/>
      <c r="LGV110" s="21"/>
      <c r="LGW110" s="21"/>
      <c r="LGX110" s="21"/>
      <c r="LGY110" s="21"/>
      <c r="LGZ110" s="21"/>
      <c r="LHA110" s="21"/>
      <c r="LHB110" s="21"/>
      <c r="LHC110" s="21"/>
      <c r="LHD110" s="21"/>
      <c r="LHE110" s="21"/>
      <c r="LHF110" s="21"/>
      <c r="LHG110" s="21"/>
      <c r="LHH110" s="21"/>
      <c r="LHI110" s="21"/>
      <c r="LHJ110" s="21"/>
      <c r="LHK110" s="21"/>
      <c r="LHL110" s="21"/>
      <c r="LHM110" s="21"/>
      <c r="LHN110" s="21"/>
      <c r="LHO110" s="21"/>
      <c r="LHP110" s="21"/>
      <c r="LHQ110" s="21"/>
      <c r="LHR110" s="21"/>
      <c r="LHS110" s="21"/>
      <c r="LHT110" s="21"/>
      <c r="LHU110" s="21"/>
      <c r="LHV110" s="21"/>
      <c r="LHW110" s="21"/>
      <c r="LHX110" s="21"/>
      <c r="LHY110" s="21"/>
      <c r="LHZ110" s="21"/>
      <c r="LIA110" s="21"/>
      <c r="LIB110" s="21"/>
      <c r="LIC110" s="21"/>
      <c r="LID110" s="21"/>
      <c r="LIE110" s="21"/>
      <c r="LIF110" s="21"/>
      <c r="LIG110" s="21"/>
      <c r="LIH110" s="21"/>
      <c r="LII110" s="21"/>
      <c r="LIJ110" s="21"/>
      <c r="LIK110" s="21"/>
      <c r="LIL110" s="21"/>
      <c r="LIM110" s="21"/>
      <c r="LIN110" s="21"/>
      <c r="LIO110" s="21"/>
      <c r="LIP110" s="21"/>
      <c r="LIQ110" s="21"/>
      <c r="LIR110" s="21"/>
      <c r="LIS110" s="21"/>
      <c r="LIT110" s="21"/>
      <c r="LIU110" s="21"/>
      <c r="LIV110" s="21"/>
      <c r="LIW110" s="21"/>
      <c r="LIX110" s="21"/>
      <c r="LIY110" s="21"/>
      <c r="LIZ110" s="21"/>
      <c r="LJA110" s="21"/>
      <c r="LJB110" s="21"/>
      <c r="LJC110" s="21"/>
      <c r="LJD110" s="21"/>
      <c r="LJE110" s="21"/>
      <c r="LJF110" s="21"/>
      <c r="LJG110" s="21"/>
      <c r="LJH110" s="21"/>
      <c r="LJI110" s="21"/>
      <c r="LJJ110" s="21"/>
      <c r="LJK110" s="21"/>
      <c r="LJL110" s="21"/>
      <c r="LJM110" s="21"/>
      <c r="LJN110" s="21"/>
      <c r="LJO110" s="21"/>
      <c r="LJP110" s="21"/>
      <c r="LJQ110" s="21"/>
      <c r="LJR110" s="21"/>
      <c r="LJS110" s="21"/>
      <c r="LJT110" s="21"/>
      <c r="LJU110" s="21"/>
      <c r="LJV110" s="21"/>
      <c r="LJW110" s="21"/>
      <c r="LJX110" s="21"/>
      <c r="LJY110" s="21"/>
      <c r="LJZ110" s="21"/>
      <c r="LKA110" s="21"/>
      <c r="LKB110" s="21"/>
      <c r="LKC110" s="21"/>
      <c r="LKD110" s="21"/>
      <c r="LKE110" s="21"/>
      <c r="LKF110" s="21"/>
      <c r="LKG110" s="21"/>
      <c r="LKH110" s="21"/>
      <c r="LKI110" s="21"/>
      <c r="LKJ110" s="21"/>
      <c r="LKK110" s="21"/>
      <c r="LKL110" s="21"/>
      <c r="LKM110" s="21"/>
      <c r="LKN110" s="21"/>
      <c r="LKO110" s="21"/>
      <c r="LKP110" s="21"/>
      <c r="LKQ110" s="21"/>
      <c r="LKR110" s="21"/>
      <c r="LKS110" s="21"/>
      <c r="LKT110" s="21"/>
      <c r="LKU110" s="21"/>
      <c r="LKV110" s="21"/>
      <c r="LKW110" s="21"/>
      <c r="LKX110" s="21"/>
      <c r="LKY110" s="21"/>
      <c r="LKZ110" s="21"/>
      <c r="LLA110" s="21"/>
      <c r="LLB110" s="21"/>
      <c r="LLC110" s="21"/>
      <c r="LLD110" s="21"/>
      <c r="LLE110" s="21"/>
      <c r="LLF110" s="21"/>
      <c r="LLG110" s="21"/>
      <c r="LLH110" s="21"/>
      <c r="LLI110" s="21"/>
      <c r="LLJ110" s="21"/>
      <c r="LLK110" s="21"/>
      <c r="LLL110" s="21"/>
      <c r="LLM110" s="21"/>
      <c r="LLN110" s="21"/>
      <c r="LLO110" s="21"/>
      <c r="LLP110" s="21"/>
      <c r="LLQ110" s="21"/>
      <c r="LLR110" s="21"/>
      <c r="LLS110" s="21"/>
      <c r="LLT110" s="21"/>
      <c r="LLU110" s="21"/>
      <c r="LLV110" s="21"/>
      <c r="LLW110" s="21"/>
      <c r="LLX110" s="21"/>
      <c r="LLY110" s="21"/>
      <c r="LLZ110" s="21"/>
      <c r="LMA110" s="21"/>
      <c r="LMB110" s="21"/>
      <c r="LMC110" s="21"/>
      <c r="LMD110" s="21"/>
      <c r="LME110" s="21"/>
      <c r="LMF110" s="21"/>
      <c r="LMG110" s="21"/>
      <c r="LMH110" s="21"/>
      <c r="LMI110" s="21"/>
      <c r="LMJ110" s="21"/>
      <c r="LMK110" s="21"/>
      <c r="LML110" s="21"/>
      <c r="LMM110" s="21"/>
      <c r="LMN110" s="21"/>
      <c r="LMO110" s="21"/>
      <c r="LMP110" s="21"/>
      <c r="LMQ110" s="21"/>
      <c r="LMR110" s="21"/>
      <c r="LMS110" s="21"/>
      <c r="LMT110" s="21"/>
      <c r="LMU110" s="21"/>
      <c r="LMV110" s="21"/>
      <c r="LMW110" s="21"/>
      <c r="LMX110" s="21"/>
      <c r="LMY110" s="21"/>
      <c r="LMZ110" s="21"/>
      <c r="LNA110" s="21"/>
      <c r="LNB110" s="21"/>
      <c r="LNC110" s="21"/>
      <c r="LND110" s="21"/>
      <c r="LNE110" s="21"/>
      <c r="LNF110" s="21"/>
      <c r="LNG110" s="21"/>
      <c r="LNH110" s="21"/>
      <c r="LNI110" s="21"/>
      <c r="LNJ110" s="21"/>
      <c r="LNK110" s="21"/>
      <c r="LNL110" s="21"/>
      <c r="LNM110" s="21"/>
      <c r="LNN110" s="21"/>
      <c r="LNO110" s="21"/>
      <c r="LNP110" s="21"/>
      <c r="LNQ110" s="21"/>
      <c r="LNR110" s="21"/>
      <c r="LNS110" s="21"/>
      <c r="LNT110" s="21"/>
      <c r="LNU110" s="21"/>
      <c r="LNV110" s="21"/>
      <c r="LNW110" s="21"/>
      <c r="LNX110" s="21"/>
      <c r="LNY110" s="21"/>
      <c r="LNZ110" s="21"/>
      <c r="LOA110" s="21"/>
      <c r="LOB110" s="21"/>
      <c r="LOC110" s="21"/>
      <c r="LOD110" s="21"/>
      <c r="LOE110" s="21"/>
      <c r="LOF110" s="21"/>
      <c r="LOG110" s="21"/>
      <c r="LOH110" s="21"/>
      <c r="LOI110" s="21"/>
      <c r="LOJ110" s="21"/>
      <c r="LOK110" s="21"/>
      <c r="LOL110" s="21"/>
      <c r="LOM110" s="21"/>
      <c r="LON110" s="21"/>
      <c r="LOO110" s="21"/>
      <c r="LOP110" s="21"/>
      <c r="LOQ110" s="21"/>
      <c r="LOR110" s="21"/>
      <c r="LOS110" s="21"/>
      <c r="LOT110" s="21"/>
      <c r="LOU110" s="21"/>
      <c r="LOV110" s="21"/>
      <c r="LOW110" s="21"/>
      <c r="LOX110" s="21"/>
      <c r="LOY110" s="21"/>
      <c r="LOZ110" s="21"/>
      <c r="LPA110" s="21"/>
      <c r="LPB110" s="21"/>
      <c r="LPC110" s="21"/>
      <c r="LPD110" s="21"/>
      <c r="LPE110" s="21"/>
      <c r="LPF110" s="21"/>
      <c r="LPG110" s="21"/>
      <c r="LPH110" s="21"/>
      <c r="LPI110" s="21"/>
      <c r="LPJ110" s="21"/>
      <c r="LPK110" s="21"/>
      <c r="LPL110" s="21"/>
      <c r="LPM110" s="21"/>
      <c r="LPN110" s="21"/>
      <c r="LPO110" s="21"/>
      <c r="LPP110" s="21"/>
      <c r="LPQ110" s="21"/>
      <c r="LPR110" s="21"/>
      <c r="LPS110" s="21"/>
      <c r="LPT110" s="21"/>
      <c r="LPU110" s="21"/>
      <c r="LPV110" s="21"/>
      <c r="LPW110" s="21"/>
      <c r="LPX110" s="21"/>
      <c r="LPY110" s="21"/>
      <c r="LPZ110" s="21"/>
      <c r="LQA110" s="21"/>
      <c r="LQB110" s="21"/>
      <c r="LQC110" s="21"/>
      <c r="LQD110" s="21"/>
      <c r="LQE110" s="21"/>
      <c r="LQF110" s="21"/>
      <c r="LQG110" s="21"/>
      <c r="LQH110" s="21"/>
      <c r="LQI110" s="21"/>
      <c r="LQJ110" s="21"/>
      <c r="LQK110" s="21"/>
      <c r="LQL110" s="21"/>
      <c r="LQM110" s="21"/>
      <c r="LQN110" s="21"/>
      <c r="LQO110" s="21"/>
      <c r="LQP110" s="21"/>
      <c r="LQQ110" s="21"/>
      <c r="LQR110" s="21"/>
      <c r="LQS110" s="21"/>
      <c r="LQT110" s="21"/>
      <c r="LQU110" s="21"/>
      <c r="LQV110" s="21"/>
      <c r="LQW110" s="21"/>
      <c r="LQX110" s="21"/>
      <c r="LQY110" s="21"/>
      <c r="LQZ110" s="21"/>
      <c r="LRA110" s="21"/>
      <c r="LRB110" s="21"/>
      <c r="LRC110" s="21"/>
      <c r="LRD110" s="21"/>
      <c r="LRE110" s="21"/>
      <c r="LRF110" s="21"/>
      <c r="LRG110" s="21"/>
      <c r="LRH110" s="21"/>
      <c r="LRI110" s="21"/>
      <c r="LRJ110" s="21"/>
      <c r="LRK110" s="21"/>
      <c r="LRL110" s="21"/>
      <c r="LRM110" s="21"/>
      <c r="LRN110" s="21"/>
      <c r="LRO110" s="21"/>
      <c r="LRP110" s="21"/>
      <c r="LRQ110" s="21"/>
      <c r="LRR110" s="21"/>
      <c r="LRS110" s="21"/>
      <c r="LRT110" s="21"/>
      <c r="LRU110" s="21"/>
      <c r="LRV110" s="21"/>
      <c r="LRW110" s="21"/>
      <c r="LRX110" s="21"/>
      <c r="LRY110" s="21"/>
      <c r="LRZ110" s="21"/>
      <c r="LSA110" s="21"/>
      <c r="LSB110" s="21"/>
      <c r="LSC110" s="21"/>
      <c r="LSD110" s="21"/>
      <c r="LSE110" s="21"/>
      <c r="LSF110" s="21"/>
      <c r="LSG110" s="21"/>
      <c r="LSH110" s="21"/>
      <c r="LSI110" s="21"/>
      <c r="LSJ110" s="21"/>
      <c r="LSK110" s="21"/>
      <c r="LSL110" s="21"/>
      <c r="LSM110" s="21"/>
      <c r="LSN110" s="21"/>
      <c r="LSO110" s="21"/>
      <c r="LSP110" s="21"/>
      <c r="LSQ110" s="21"/>
      <c r="LSR110" s="21"/>
      <c r="LSS110" s="21"/>
      <c r="LST110" s="21"/>
      <c r="LSU110" s="21"/>
      <c r="LSV110" s="21"/>
      <c r="LSW110" s="21"/>
      <c r="LSX110" s="21"/>
      <c r="LSY110" s="21"/>
      <c r="LSZ110" s="21"/>
      <c r="LTA110" s="21"/>
      <c r="LTB110" s="21"/>
      <c r="LTC110" s="21"/>
      <c r="LTD110" s="21"/>
      <c r="LTE110" s="21"/>
      <c r="LTF110" s="21"/>
      <c r="LTG110" s="21"/>
      <c r="LTH110" s="21"/>
      <c r="LTI110" s="21"/>
      <c r="LTJ110" s="21"/>
      <c r="LTK110" s="21"/>
      <c r="LTL110" s="21"/>
      <c r="LTM110" s="21"/>
      <c r="LTN110" s="21"/>
      <c r="LTO110" s="21"/>
      <c r="LTP110" s="21"/>
      <c r="LTQ110" s="21"/>
      <c r="LTR110" s="21"/>
      <c r="LTS110" s="21"/>
      <c r="LTT110" s="21"/>
      <c r="LTU110" s="21"/>
      <c r="LTV110" s="21"/>
      <c r="LTW110" s="21"/>
      <c r="LTX110" s="21"/>
      <c r="LTY110" s="21"/>
      <c r="LTZ110" s="21"/>
      <c r="LUA110" s="21"/>
      <c r="LUB110" s="21"/>
      <c r="LUC110" s="21"/>
      <c r="LUD110" s="21"/>
      <c r="LUE110" s="21"/>
      <c r="LUF110" s="21"/>
      <c r="LUG110" s="21"/>
      <c r="LUH110" s="21"/>
      <c r="LUI110" s="21"/>
      <c r="LUJ110" s="21"/>
      <c r="LUK110" s="21"/>
      <c r="LUL110" s="21"/>
      <c r="LUM110" s="21"/>
      <c r="LUN110" s="21"/>
      <c r="LUO110" s="21"/>
      <c r="LUP110" s="21"/>
      <c r="LUQ110" s="21"/>
      <c r="LUR110" s="21"/>
      <c r="LUS110" s="21"/>
      <c r="LUT110" s="21"/>
      <c r="LUU110" s="21"/>
      <c r="LUV110" s="21"/>
      <c r="LUW110" s="21"/>
      <c r="LUX110" s="21"/>
      <c r="LUY110" s="21"/>
      <c r="LUZ110" s="21"/>
      <c r="LVA110" s="21"/>
      <c r="LVB110" s="21"/>
      <c r="LVC110" s="21"/>
      <c r="LVD110" s="21"/>
      <c r="LVE110" s="21"/>
      <c r="LVF110" s="21"/>
      <c r="LVG110" s="21"/>
      <c r="LVH110" s="21"/>
      <c r="LVI110" s="21"/>
      <c r="LVJ110" s="21"/>
      <c r="LVK110" s="21"/>
      <c r="LVL110" s="21"/>
      <c r="LVM110" s="21"/>
      <c r="LVN110" s="21"/>
      <c r="LVO110" s="21"/>
      <c r="LVP110" s="21"/>
      <c r="LVQ110" s="21"/>
      <c r="LVR110" s="21"/>
      <c r="LVS110" s="21"/>
      <c r="LVT110" s="21"/>
      <c r="LVU110" s="21"/>
      <c r="LVV110" s="21"/>
      <c r="LVW110" s="21"/>
      <c r="LVX110" s="21"/>
      <c r="LVY110" s="21"/>
      <c r="LVZ110" s="21"/>
      <c r="LWA110" s="21"/>
      <c r="LWB110" s="21"/>
      <c r="LWC110" s="21"/>
      <c r="LWD110" s="21"/>
      <c r="LWE110" s="21"/>
      <c r="LWF110" s="21"/>
      <c r="LWG110" s="21"/>
      <c r="LWH110" s="21"/>
      <c r="LWI110" s="21"/>
      <c r="LWJ110" s="21"/>
      <c r="LWK110" s="21"/>
      <c r="LWL110" s="21"/>
      <c r="LWM110" s="21"/>
      <c r="LWN110" s="21"/>
      <c r="LWO110" s="21"/>
      <c r="LWP110" s="21"/>
      <c r="LWQ110" s="21"/>
      <c r="LWR110" s="21"/>
      <c r="LWS110" s="21"/>
      <c r="LWT110" s="21"/>
      <c r="LWU110" s="21"/>
      <c r="LWV110" s="21"/>
      <c r="LWW110" s="21"/>
      <c r="LWX110" s="21"/>
      <c r="LWY110" s="21"/>
      <c r="LWZ110" s="21"/>
      <c r="LXA110" s="21"/>
      <c r="LXB110" s="21"/>
      <c r="LXC110" s="21"/>
      <c r="LXD110" s="21"/>
      <c r="LXE110" s="21"/>
      <c r="LXF110" s="21"/>
      <c r="LXG110" s="21"/>
      <c r="LXH110" s="21"/>
      <c r="LXI110" s="21"/>
      <c r="LXJ110" s="21"/>
      <c r="LXK110" s="21"/>
      <c r="LXL110" s="21"/>
      <c r="LXM110" s="21"/>
      <c r="LXN110" s="21"/>
      <c r="LXO110" s="21"/>
      <c r="LXP110" s="21"/>
      <c r="LXQ110" s="21"/>
      <c r="LXR110" s="21"/>
      <c r="LXS110" s="21"/>
      <c r="LXT110" s="21"/>
      <c r="LXU110" s="21"/>
      <c r="LXV110" s="21"/>
      <c r="LXW110" s="21"/>
      <c r="LXX110" s="21"/>
      <c r="LXY110" s="21"/>
      <c r="LXZ110" s="21"/>
      <c r="LYA110" s="21"/>
      <c r="LYB110" s="21"/>
      <c r="LYC110" s="21"/>
      <c r="LYD110" s="21"/>
      <c r="LYE110" s="21"/>
      <c r="LYF110" s="21"/>
      <c r="LYG110" s="21"/>
      <c r="LYH110" s="21"/>
      <c r="LYI110" s="21"/>
      <c r="LYJ110" s="21"/>
      <c r="LYK110" s="21"/>
      <c r="LYL110" s="21"/>
      <c r="LYM110" s="21"/>
      <c r="LYN110" s="21"/>
      <c r="LYO110" s="21"/>
      <c r="LYP110" s="21"/>
      <c r="LYQ110" s="21"/>
      <c r="LYR110" s="21"/>
      <c r="LYS110" s="21"/>
      <c r="LYT110" s="21"/>
      <c r="LYU110" s="21"/>
      <c r="LYV110" s="21"/>
      <c r="LYW110" s="21"/>
      <c r="LYX110" s="21"/>
      <c r="LYY110" s="21"/>
      <c r="LYZ110" s="21"/>
      <c r="LZA110" s="21"/>
      <c r="LZB110" s="21"/>
      <c r="LZC110" s="21"/>
      <c r="LZD110" s="21"/>
      <c r="LZE110" s="21"/>
      <c r="LZF110" s="21"/>
      <c r="LZG110" s="21"/>
      <c r="LZH110" s="21"/>
      <c r="LZI110" s="21"/>
      <c r="LZJ110" s="21"/>
      <c r="LZK110" s="21"/>
      <c r="LZL110" s="21"/>
      <c r="LZM110" s="21"/>
      <c r="LZN110" s="21"/>
      <c r="LZO110" s="21"/>
      <c r="LZP110" s="21"/>
      <c r="LZQ110" s="21"/>
      <c r="LZR110" s="21"/>
      <c r="LZS110" s="21"/>
      <c r="LZT110" s="21"/>
      <c r="LZU110" s="21"/>
      <c r="LZV110" s="21"/>
      <c r="LZW110" s="21"/>
      <c r="LZX110" s="21"/>
      <c r="LZY110" s="21"/>
      <c r="LZZ110" s="21"/>
      <c r="MAA110" s="21"/>
      <c r="MAB110" s="21"/>
      <c r="MAC110" s="21"/>
      <c r="MAD110" s="21"/>
      <c r="MAE110" s="21"/>
      <c r="MAF110" s="21"/>
      <c r="MAG110" s="21"/>
      <c r="MAH110" s="21"/>
      <c r="MAI110" s="21"/>
      <c r="MAJ110" s="21"/>
      <c r="MAK110" s="21"/>
      <c r="MAL110" s="21"/>
      <c r="MAM110" s="21"/>
      <c r="MAN110" s="21"/>
      <c r="MAO110" s="21"/>
      <c r="MAP110" s="21"/>
      <c r="MAQ110" s="21"/>
      <c r="MAR110" s="21"/>
      <c r="MAS110" s="21"/>
      <c r="MAT110" s="21"/>
      <c r="MAU110" s="21"/>
      <c r="MAV110" s="21"/>
      <c r="MAW110" s="21"/>
      <c r="MAX110" s="21"/>
      <c r="MAY110" s="21"/>
      <c r="MAZ110" s="21"/>
      <c r="MBA110" s="21"/>
      <c r="MBB110" s="21"/>
      <c r="MBC110" s="21"/>
      <c r="MBD110" s="21"/>
      <c r="MBE110" s="21"/>
      <c r="MBF110" s="21"/>
      <c r="MBG110" s="21"/>
      <c r="MBH110" s="21"/>
      <c r="MBI110" s="21"/>
      <c r="MBJ110" s="21"/>
      <c r="MBK110" s="21"/>
      <c r="MBL110" s="21"/>
      <c r="MBM110" s="21"/>
      <c r="MBN110" s="21"/>
      <c r="MBO110" s="21"/>
      <c r="MBP110" s="21"/>
      <c r="MBQ110" s="21"/>
      <c r="MBR110" s="21"/>
      <c r="MBS110" s="21"/>
      <c r="MBT110" s="21"/>
      <c r="MBU110" s="21"/>
      <c r="MBV110" s="21"/>
      <c r="MBW110" s="21"/>
      <c r="MBX110" s="21"/>
      <c r="MBY110" s="21"/>
      <c r="MBZ110" s="21"/>
      <c r="MCA110" s="21"/>
      <c r="MCB110" s="21"/>
      <c r="MCC110" s="21"/>
      <c r="MCD110" s="21"/>
      <c r="MCE110" s="21"/>
      <c r="MCF110" s="21"/>
      <c r="MCG110" s="21"/>
      <c r="MCH110" s="21"/>
      <c r="MCI110" s="21"/>
      <c r="MCJ110" s="21"/>
      <c r="MCK110" s="21"/>
      <c r="MCL110" s="21"/>
      <c r="MCM110" s="21"/>
      <c r="MCN110" s="21"/>
      <c r="MCO110" s="21"/>
      <c r="MCP110" s="21"/>
      <c r="MCQ110" s="21"/>
      <c r="MCR110" s="21"/>
      <c r="MCS110" s="21"/>
      <c r="MCT110" s="21"/>
      <c r="MCU110" s="21"/>
      <c r="MCV110" s="21"/>
      <c r="MCW110" s="21"/>
      <c r="MCX110" s="21"/>
      <c r="MCY110" s="21"/>
      <c r="MCZ110" s="21"/>
      <c r="MDA110" s="21"/>
      <c r="MDB110" s="21"/>
      <c r="MDC110" s="21"/>
      <c r="MDD110" s="21"/>
      <c r="MDE110" s="21"/>
      <c r="MDF110" s="21"/>
      <c r="MDG110" s="21"/>
      <c r="MDH110" s="21"/>
      <c r="MDI110" s="21"/>
      <c r="MDJ110" s="21"/>
      <c r="MDK110" s="21"/>
      <c r="MDL110" s="21"/>
      <c r="MDM110" s="21"/>
      <c r="MDN110" s="21"/>
      <c r="MDO110" s="21"/>
      <c r="MDP110" s="21"/>
      <c r="MDQ110" s="21"/>
      <c r="MDR110" s="21"/>
      <c r="MDS110" s="21"/>
      <c r="MDT110" s="21"/>
      <c r="MDU110" s="21"/>
      <c r="MDV110" s="21"/>
      <c r="MDW110" s="21"/>
      <c r="MDX110" s="21"/>
      <c r="MDY110" s="21"/>
      <c r="MDZ110" s="21"/>
      <c r="MEA110" s="21"/>
      <c r="MEB110" s="21"/>
      <c r="MEC110" s="21"/>
      <c r="MED110" s="21"/>
      <c r="MEE110" s="21"/>
      <c r="MEF110" s="21"/>
      <c r="MEG110" s="21"/>
      <c r="MEH110" s="21"/>
      <c r="MEI110" s="21"/>
      <c r="MEJ110" s="21"/>
      <c r="MEK110" s="21"/>
      <c r="MEL110" s="21"/>
      <c r="MEM110" s="21"/>
      <c r="MEN110" s="21"/>
      <c r="MEO110" s="21"/>
      <c r="MEP110" s="21"/>
      <c r="MEQ110" s="21"/>
      <c r="MER110" s="21"/>
      <c r="MES110" s="21"/>
      <c r="MET110" s="21"/>
      <c r="MEU110" s="21"/>
      <c r="MEV110" s="21"/>
      <c r="MEW110" s="21"/>
      <c r="MEX110" s="21"/>
      <c r="MEY110" s="21"/>
      <c r="MEZ110" s="21"/>
      <c r="MFA110" s="21"/>
      <c r="MFB110" s="21"/>
      <c r="MFC110" s="21"/>
      <c r="MFD110" s="21"/>
      <c r="MFE110" s="21"/>
      <c r="MFF110" s="21"/>
      <c r="MFG110" s="21"/>
      <c r="MFH110" s="21"/>
      <c r="MFI110" s="21"/>
      <c r="MFJ110" s="21"/>
      <c r="MFK110" s="21"/>
      <c r="MFL110" s="21"/>
      <c r="MFM110" s="21"/>
      <c r="MFN110" s="21"/>
      <c r="MFO110" s="21"/>
      <c r="MFP110" s="21"/>
      <c r="MFQ110" s="21"/>
      <c r="MFR110" s="21"/>
      <c r="MFS110" s="21"/>
      <c r="MFT110" s="21"/>
      <c r="MFU110" s="21"/>
      <c r="MFV110" s="21"/>
      <c r="MFW110" s="21"/>
      <c r="MFX110" s="21"/>
      <c r="MFY110" s="21"/>
      <c r="MFZ110" s="21"/>
      <c r="MGA110" s="21"/>
      <c r="MGB110" s="21"/>
      <c r="MGC110" s="21"/>
      <c r="MGD110" s="21"/>
      <c r="MGE110" s="21"/>
      <c r="MGF110" s="21"/>
      <c r="MGG110" s="21"/>
      <c r="MGH110" s="21"/>
      <c r="MGI110" s="21"/>
      <c r="MGJ110" s="21"/>
      <c r="MGK110" s="21"/>
      <c r="MGL110" s="21"/>
      <c r="MGM110" s="21"/>
      <c r="MGN110" s="21"/>
      <c r="MGO110" s="21"/>
      <c r="MGP110" s="21"/>
      <c r="MGQ110" s="21"/>
      <c r="MGR110" s="21"/>
      <c r="MGS110" s="21"/>
      <c r="MGT110" s="21"/>
      <c r="MGU110" s="21"/>
      <c r="MGV110" s="21"/>
      <c r="MGW110" s="21"/>
      <c r="MGX110" s="21"/>
      <c r="MGY110" s="21"/>
      <c r="MGZ110" s="21"/>
      <c r="MHA110" s="21"/>
      <c r="MHB110" s="21"/>
      <c r="MHC110" s="21"/>
      <c r="MHD110" s="21"/>
      <c r="MHE110" s="21"/>
      <c r="MHF110" s="21"/>
      <c r="MHG110" s="21"/>
      <c r="MHH110" s="21"/>
      <c r="MHI110" s="21"/>
      <c r="MHJ110" s="21"/>
      <c r="MHK110" s="21"/>
      <c r="MHL110" s="21"/>
      <c r="MHM110" s="21"/>
      <c r="MHN110" s="21"/>
      <c r="MHO110" s="21"/>
      <c r="MHP110" s="21"/>
      <c r="MHQ110" s="21"/>
      <c r="MHR110" s="21"/>
      <c r="MHS110" s="21"/>
      <c r="MHT110" s="21"/>
      <c r="MHU110" s="21"/>
      <c r="MHV110" s="21"/>
      <c r="MHW110" s="21"/>
      <c r="MHX110" s="21"/>
      <c r="MHY110" s="21"/>
      <c r="MHZ110" s="21"/>
      <c r="MIA110" s="21"/>
      <c r="MIB110" s="21"/>
      <c r="MIC110" s="21"/>
      <c r="MID110" s="21"/>
      <c r="MIE110" s="21"/>
      <c r="MIF110" s="21"/>
      <c r="MIG110" s="21"/>
      <c r="MIH110" s="21"/>
      <c r="MII110" s="21"/>
      <c r="MIJ110" s="21"/>
      <c r="MIK110" s="21"/>
      <c r="MIL110" s="21"/>
      <c r="MIM110" s="21"/>
      <c r="MIN110" s="21"/>
      <c r="MIO110" s="21"/>
      <c r="MIP110" s="21"/>
      <c r="MIQ110" s="21"/>
      <c r="MIR110" s="21"/>
      <c r="MIS110" s="21"/>
      <c r="MIT110" s="21"/>
      <c r="MIU110" s="21"/>
      <c r="MIV110" s="21"/>
      <c r="MIW110" s="21"/>
      <c r="MIX110" s="21"/>
      <c r="MIY110" s="21"/>
      <c r="MIZ110" s="21"/>
      <c r="MJA110" s="21"/>
      <c r="MJB110" s="21"/>
      <c r="MJC110" s="21"/>
      <c r="MJD110" s="21"/>
      <c r="MJE110" s="21"/>
      <c r="MJF110" s="21"/>
      <c r="MJG110" s="21"/>
      <c r="MJH110" s="21"/>
      <c r="MJI110" s="21"/>
      <c r="MJJ110" s="21"/>
      <c r="MJK110" s="21"/>
      <c r="MJL110" s="21"/>
      <c r="MJM110" s="21"/>
      <c r="MJN110" s="21"/>
      <c r="MJO110" s="21"/>
      <c r="MJP110" s="21"/>
      <c r="MJQ110" s="21"/>
      <c r="MJR110" s="21"/>
      <c r="MJS110" s="21"/>
      <c r="MJT110" s="21"/>
      <c r="MJU110" s="21"/>
      <c r="MJV110" s="21"/>
      <c r="MJW110" s="21"/>
      <c r="MJX110" s="21"/>
      <c r="MJY110" s="21"/>
      <c r="MJZ110" s="21"/>
      <c r="MKA110" s="21"/>
      <c r="MKB110" s="21"/>
      <c r="MKC110" s="21"/>
      <c r="MKD110" s="21"/>
      <c r="MKE110" s="21"/>
      <c r="MKF110" s="21"/>
      <c r="MKG110" s="21"/>
      <c r="MKH110" s="21"/>
      <c r="MKI110" s="21"/>
      <c r="MKJ110" s="21"/>
      <c r="MKK110" s="21"/>
      <c r="MKL110" s="21"/>
      <c r="MKM110" s="21"/>
      <c r="MKN110" s="21"/>
      <c r="MKO110" s="21"/>
      <c r="MKP110" s="21"/>
      <c r="MKQ110" s="21"/>
      <c r="MKR110" s="21"/>
      <c r="MKS110" s="21"/>
      <c r="MKT110" s="21"/>
      <c r="MKU110" s="21"/>
      <c r="MKV110" s="21"/>
      <c r="MKW110" s="21"/>
      <c r="MKX110" s="21"/>
      <c r="MKY110" s="21"/>
      <c r="MKZ110" s="21"/>
      <c r="MLA110" s="21"/>
      <c r="MLB110" s="21"/>
      <c r="MLC110" s="21"/>
      <c r="MLD110" s="21"/>
      <c r="MLE110" s="21"/>
      <c r="MLF110" s="21"/>
      <c r="MLG110" s="21"/>
      <c r="MLH110" s="21"/>
      <c r="MLI110" s="21"/>
      <c r="MLJ110" s="21"/>
      <c r="MLK110" s="21"/>
      <c r="MLL110" s="21"/>
      <c r="MLM110" s="21"/>
      <c r="MLN110" s="21"/>
      <c r="MLO110" s="21"/>
      <c r="MLP110" s="21"/>
      <c r="MLQ110" s="21"/>
      <c r="MLR110" s="21"/>
      <c r="MLS110" s="21"/>
      <c r="MLT110" s="21"/>
      <c r="MLU110" s="21"/>
      <c r="MLV110" s="21"/>
      <c r="MLW110" s="21"/>
      <c r="MLX110" s="21"/>
      <c r="MLY110" s="21"/>
      <c r="MLZ110" s="21"/>
      <c r="MMA110" s="21"/>
      <c r="MMB110" s="21"/>
      <c r="MMC110" s="21"/>
      <c r="MMD110" s="21"/>
      <c r="MME110" s="21"/>
      <c r="MMF110" s="21"/>
      <c r="MMG110" s="21"/>
      <c r="MMH110" s="21"/>
      <c r="MMI110" s="21"/>
      <c r="MMJ110" s="21"/>
      <c r="MMK110" s="21"/>
      <c r="MML110" s="21"/>
      <c r="MMM110" s="21"/>
      <c r="MMN110" s="21"/>
      <c r="MMO110" s="21"/>
      <c r="MMP110" s="21"/>
      <c r="MMQ110" s="21"/>
      <c r="MMR110" s="21"/>
      <c r="MMS110" s="21"/>
      <c r="MMT110" s="21"/>
      <c r="MMU110" s="21"/>
      <c r="MMV110" s="21"/>
      <c r="MMW110" s="21"/>
      <c r="MMX110" s="21"/>
      <c r="MMY110" s="21"/>
      <c r="MMZ110" s="21"/>
      <c r="MNA110" s="21"/>
      <c r="MNB110" s="21"/>
      <c r="MNC110" s="21"/>
      <c r="MND110" s="21"/>
      <c r="MNE110" s="21"/>
      <c r="MNF110" s="21"/>
      <c r="MNG110" s="21"/>
      <c r="MNH110" s="21"/>
      <c r="MNI110" s="21"/>
      <c r="MNJ110" s="21"/>
      <c r="MNK110" s="21"/>
      <c r="MNL110" s="21"/>
      <c r="MNM110" s="21"/>
      <c r="MNN110" s="21"/>
      <c r="MNO110" s="21"/>
      <c r="MNP110" s="21"/>
      <c r="MNQ110" s="21"/>
      <c r="MNR110" s="21"/>
      <c r="MNS110" s="21"/>
      <c r="MNT110" s="21"/>
      <c r="MNU110" s="21"/>
      <c r="MNV110" s="21"/>
      <c r="MNW110" s="21"/>
      <c r="MNX110" s="21"/>
      <c r="MNY110" s="21"/>
      <c r="MNZ110" s="21"/>
      <c r="MOA110" s="21"/>
      <c r="MOB110" s="21"/>
      <c r="MOC110" s="21"/>
      <c r="MOD110" s="21"/>
      <c r="MOE110" s="21"/>
      <c r="MOF110" s="21"/>
      <c r="MOG110" s="21"/>
      <c r="MOH110" s="21"/>
      <c r="MOI110" s="21"/>
      <c r="MOJ110" s="21"/>
      <c r="MOK110" s="21"/>
      <c r="MOL110" s="21"/>
      <c r="MOM110" s="21"/>
      <c r="MON110" s="21"/>
      <c r="MOO110" s="21"/>
      <c r="MOP110" s="21"/>
      <c r="MOQ110" s="21"/>
      <c r="MOR110" s="21"/>
      <c r="MOS110" s="21"/>
      <c r="MOT110" s="21"/>
      <c r="MOU110" s="21"/>
      <c r="MOV110" s="21"/>
      <c r="MOW110" s="21"/>
      <c r="MOX110" s="21"/>
      <c r="MOY110" s="21"/>
      <c r="MOZ110" s="21"/>
      <c r="MPA110" s="21"/>
      <c r="MPB110" s="21"/>
      <c r="MPC110" s="21"/>
      <c r="MPD110" s="21"/>
      <c r="MPE110" s="21"/>
      <c r="MPF110" s="21"/>
      <c r="MPG110" s="21"/>
      <c r="MPH110" s="21"/>
      <c r="MPI110" s="21"/>
      <c r="MPJ110" s="21"/>
      <c r="MPK110" s="21"/>
      <c r="MPL110" s="21"/>
      <c r="MPM110" s="21"/>
      <c r="MPN110" s="21"/>
      <c r="MPO110" s="21"/>
      <c r="MPP110" s="21"/>
      <c r="MPQ110" s="21"/>
      <c r="MPR110" s="21"/>
      <c r="MPS110" s="21"/>
      <c r="MPT110" s="21"/>
      <c r="MPU110" s="21"/>
      <c r="MPV110" s="21"/>
      <c r="MPW110" s="21"/>
      <c r="MPX110" s="21"/>
      <c r="MPY110" s="21"/>
      <c r="MPZ110" s="21"/>
      <c r="MQA110" s="21"/>
      <c r="MQB110" s="21"/>
      <c r="MQC110" s="21"/>
      <c r="MQD110" s="21"/>
      <c r="MQE110" s="21"/>
      <c r="MQF110" s="21"/>
      <c r="MQG110" s="21"/>
      <c r="MQH110" s="21"/>
      <c r="MQI110" s="21"/>
      <c r="MQJ110" s="21"/>
      <c r="MQK110" s="21"/>
      <c r="MQL110" s="21"/>
      <c r="MQM110" s="21"/>
      <c r="MQN110" s="21"/>
      <c r="MQO110" s="21"/>
      <c r="MQP110" s="21"/>
      <c r="MQQ110" s="21"/>
      <c r="MQR110" s="21"/>
      <c r="MQS110" s="21"/>
      <c r="MQT110" s="21"/>
      <c r="MQU110" s="21"/>
      <c r="MQV110" s="21"/>
      <c r="MQW110" s="21"/>
      <c r="MQX110" s="21"/>
      <c r="MQY110" s="21"/>
      <c r="MQZ110" s="21"/>
      <c r="MRA110" s="21"/>
      <c r="MRB110" s="21"/>
      <c r="MRC110" s="21"/>
      <c r="MRD110" s="21"/>
      <c r="MRE110" s="21"/>
      <c r="MRF110" s="21"/>
      <c r="MRG110" s="21"/>
      <c r="MRH110" s="21"/>
      <c r="MRI110" s="21"/>
      <c r="MRJ110" s="21"/>
      <c r="MRK110" s="21"/>
      <c r="MRL110" s="21"/>
      <c r="MRM110" s="21"/>
      <c r="MRN110" s="21"/>
      <c r="MRO110" s="21"/>
      <c r="MRP110" s="21"/>
      <c r="MRQ110" s="21"/>
      <c r="MRR110" s="21"/>
      <c r="MRS110" s="21"/>
      <c r="MRT110" s="21"/>
      <c r="MRU110" s="21"/>
      <c r="MRV110" s="21"/>
      <c r="MRW110" s="21"/>
      <c r="MRX110" s="21"/>
      <c r="MRY110" s="21"/>
      <c r="MRZ110" s="21"/>
      <c r="MSA110" s="21"/>
      <c r="MSB110" s="21"/>
      <c r="MSC110" s="21"/>
      <c r="MSD110" s="21"/>
      <c r="MSE110" s="21"/>
      <c r="MSF110" s="21"/>
      <c r="MSG110" s="21"/>
      <c r="MSH110" s="21"/>
      <c r="MSI110" s="21"/>
      <c r="MSJ110" s="21"/>
      <c r="MSK110" s="21"/>
      <c r="MSL110" s="21"/>
      <c r="MSM110" s="21"/>
      <c r="MSN110" s="21"/>
      <c r="MSO110" s="21"/>
      <c r="MSP110" s="21"/>
      <c r="MSQ110" s="21"/>
      <c r="MSR110" s="21"/>
      <c r="MSS110" s="21"/>
      <c r="MST110" s="21"/>
      <c r="MSU110" s="21"/>
      <c r="MSV110" s="21"/>
      <c r="MSW110" s="21"/>
      <c r="MSX110" s="21"/>
      <c r="MSY110" s="21"/>
      <c r="MSZ110" s="21"/>
      <c r="MTA110" s="21"/>
      <c r="MTB110" s="21"/>
      <c r="MTC110" s="21"/>
      <c r="MTD110" s="21"/>
      <c r="MTE110" s="21"/>
      <c r="MTF110" s="21"/>
      <c r="MTG110" s="21"/>
      <c r="MTH110" s="21"/>
      <c r="MTI110" s="21"/>
      <c r="MTJ110" s="21"/>
      <c r="MTK110" s="21"/>
      <c r="MTL110" s="21"/>
      <c r="MTM110" s="21"/>
      <c r="MTN110" s="21"/>
      <c r="MTO110" s="21"/>
      <c r="MTP110" s="21"/>
      <c r="MTQ110" s="21"/>
      <c r="MTR110" s="21"/>
      <c r="MTS110" s="21"/>
      <c r="MTT110" s="21"/>
      <c r="MTU110" s="21"/>
      <c r="MTV110" s="21"/>
      <c r="MTW110" s="21"/>
      <c r="MTX110" s="21"/>
      <c r="MTY110" s="21"/>
      <c r="MTZ110" s="21"/>
      <c r="MUA110" s="21"/>
      <c r="MUB110" s="21"/>
      <c r="MUC110" s="21"/>
      <c r="MUD110" s="21"/>
      <c r="MUE110" s="21"/>
      <c r="MUF110" s="21"/>
      <c r="MUG110" s="21"/>
      <c r="MUH110" s="21"/>
      <c r="MUI110" s="21"/>
      <c r="MUJ110" s="21"/>
      <c r="MUK110" s="21"/>
      <c r="MUL110" s="21"/>
      <c r="MUM110" s="21"/>
      <c r="MUN110" s="21"/>
      <c r="MUO110" s="21"/>
      <c r="MUP110" s="21"/>
      <c r="MUQ110" s="21"/>
      <c r="MUR110" s="21"/>
      <c r="MUS110" s="21"/>
      <c r="MUT110" s="21"/>
      <c r="MUU110" s="21"/>
      <c r="MUV110" s="21"/>
      <c r="MUW110" s="21"/>
      <c r="MUX110" s="21"/>
      <c r="MUY110" s="21"/>
      <c r="MUZ110" s="21"/>
      <c r="MVA110" s="21"/>
      <c r="MVB110" s="21"/>
      <c r="MVC110" s="21"/>
      <c r="MVD110" s="21"/>
      <c r="MVE110" s="21"/>
      <c r="MVF110" s="21"/>
      <c r="MVG110" s="21"/>
      <c r="MVH110" s="21"/>
      <c r="MVI110" s="21"/>
      <c r="MVJ110" s="21"/>
      <c r="MVK110" s="21"/>
      <c r="MVL110" s="21"/>
      <c r="MVM110" s="21"/>
      <c r="MVN110" s="21"/>
      <c r="MVO110" s="21"/>
      <c r="MVP110" s="21"/>
      <c r="MVQ110" s="21"/>
      <c r="MVR110" s="21"/>
      <c r="MVS110" s="21"/>
      <c r="MVT110" s="21"/>
      <c r="MVU110" s="21"/>
      <c r="MVV110" s="21"/>
      <c r="MVW110" s="21"/>
      <c r="MVX110" s="21"/>
      <c r="MVY110" s="21"/>
      <c r="MVZ110" s="21"/>
      <c r="MWA110" s="21"/>
      <c r="MWB110" s="21"/>
      <c r="MWC110" s="21"/>
      <c r="MWD110" s="21"/>
      <c r="MWE110" s="21"/>
      <c r="MWF110" s="21"/>
      <c r="MWG110" s="21"/>
      <c r="MWH110" s="21"/>
      <c r="MWI110" s="21"/>
      <c r="MWJ110" s="21"/>
      <c r="MWK110" s="21"/>
      <c r="MWL110" s="21"/>
      <c r="MWM110" s="21"/>
      <c r="MWN110" s="21"/>
      <c r="MWO110" s="21"/>
      <c r="MWP110" s="21"/>
      <c r="MWQ110" s="21"/>
      <c r="MWR110" s="21"/>
      <c r="MWS110" s="21"/>
      <c r="MWT110" s="21"/>
      <c r="MWU110" s="21"/>
      <c r="MWV110" s="21"/>
      <c r="MWW110" s="21"/>
      <c r="MWX110" s="21"/>
      <c r="MWY110" s="21"/>
      <c r="MWZ110" s="21"/>
      <c r="MXA110" s="21"/>
      <c r="MXB110" s="21"/>
      <c r="MXC110" s="21"/>
      <c r="MXD110" s="21"/>
      <c r="MXE110" s="21"/>
      <c r="MXF110" s="21"/>
      <c r="MXG110" s="21"/>
      <c r="MXH110" s="21"/>
      <c r="MXI110" s="21"/>
      <c r="MXJ110" s="21"/>
      <c r="MXK110" s="21"/>
      <c r="MXL110" s="21"/>
      <c r="MXM110" s="21"/>
      <c r="MXN110" s="21"/>
      <c r="MXO110" s="21"/>
      <c r="MXP110" s="21"/>
      <c r="MXQ110" s="21"/>
      <c r="MXR110" s="21"/>
      <c r="MXS110" s="21"/>
      <c r="MXT110" s="21"/>
      <c r="MXU110" s="21"/>
      <c r="MXV110" s="21"/>
      <c r="MXW110" s="21"/>
      <c r="MXX110" s="21"/>
      <c r="MXY110" s="21"/>
      <c r="MXZ110" s="21"/>
      <c r="MYA110" s="21"/>
      <c r="MYB110" s="21"/>
      <c r="MYC110" s="21"/>
      <c r="MYD110" s="21"/>
      <c r="MYE110" s="21"/>
      <c r="MYF110" s="21"/>
      <c r="MYG110" s="21"/>
      <c r="MYH110" s="21"/>
      <c r="MYI110" s="21"/>
      <c r="MYJ110" s="21"/>
      <c r="MYK110" s="21"/>
      <c r="MYL110" s="21"/>
      <c r="MYM110" s="21"/>
      <c r="MYN110" s="21"/>
      <c r="MYO110" s="21"/>
      <c r="MYP110" s="21"/>
      <c r="MYQ110" s="21"/>
      <c r="MYR110" s="21"/>
      <c r="MYS110" s="21"/>
      <c r="MYT110" s="21"/>
      <c r="MYU110" s="21"/>
      <c r="MYV110" s="21"/>
      <c r="MYW110" s="21"/>
      <c r="MYX110" s="21"/>
      <c r="MYY110" s="21"/>
      <c r="MYZ110" s="21"/>
      <c r="MZA110" s="21"/>
      <c r="MZB110" s="21"/>
      <c r="MZC110" s="21"/>
      <c r="MZD110" s="21"/>
      <c r="MZE110" s="21"/>
      <c r="MZF110" s="21"/>
      <c r="MZG110" s="21"/>
      <c r="MZH110" s="21"/>
      <c r="MZI110" s="21"/>
      <c r="MZJ110" s="21"/>
      <c r="MZK110" s="21"/>
      <c r="MZL110" s="21"/>
      <c r="MZM110" s="21"/>
      <c r="MZN110" s="21"/>
      <c r="MZO110" s="21"/>
      <c r="MZP110" s="21"/>
      <c r="MZQ110" s="21"/>
      <c r="MZR110" s="21"/>
      <c r="MZS110" s="21"/>
      <c r="MZT110" s="21"/>
      <c r="MZU110" s="21"/>
      <c r="MZV110" s="21"/>
      <c r="MZW110" s="21"/>
      <c r="MZX110" s="21"/>
      <c r="MZY110" s="21"/>
      <c r="MZZ110" s="21"/>
      <c r="NAA110" s="21"/>
      <c r="NAB110" s="21"/>
      <c r="NAC110" s="21"/>
      <c r="NAD110" s="21"/>
      <c r="NAE110" s="21"/>
      <c r="NAF110" s="21"/>
      <c r="NAG110" s="21"/>
      <c r="NAH110" s="21"/>
      <c r="NAI110" s="21"/>
      <c r="NAJ110" s="21"/>
      <c r="NAK110" s="21"/>
      <c r="NAL110" s="21"/>
      <c r="NAM110" s="21"/>
      <c r="NAN110" s="21"/>
      <c r="NAO110" s="21"/>
      <c r="NAP110" s="21"/>
      <c r="NAQ110" s="21"/>
      <c r="NAR110" s="21"/>
      <c r="NAS110" s="21"/>
      <c r="NAT110" s="21"/>
      <c r="NAU110" s="21"/>
      <c r="NAV110" s="21"/>
      <c r="NAW110" s="21"/>
      <c r="NAX110" s="21"/>
      <c r="NAY110" s="21"/>
      <c r="NAZ110" s="21"/>
      <c r="NBA110" s="21"/>
      <c r="NBB110" s="21"/>
      <c r="NBC110" s="21"/>
      <c r="NBD110" s="21"/>
      <c r="NBE110" s="21"/>
      <c r="NBF110" s="21"/>
      <c r="NBG110" s="21"/>
      <c r="NBH110" s="21"/>
      <c r="NBI110" s="21"/>
      <c r="NBJ110" s="21"/>
      <c r="NBK110" s="21"/>
      <c r="NBL110" s="21"/>
      <c r="NBM110" s="21"/>
      <c r="NBN110" s="21"/>
      <c r="NBO110" s="21"/>
      <c r="NBP110" s="21"/>
      <c r="NBQ110" s="21"/>
      <c r="NBR110" s="21"/>
      <c r="NBS110" s="21"/>
      <c r="NBT110" s="21"/>
      <c r="NBU110" s="21"/>
      <c r="NBV110" s="21"/>
      <c r="NBW110" s="21"/>
      <c r="NBX110" s="21"/>
      <c r="NBY110" s="21"/>
      <c r="NBZ110" s="21"/>
      <c r="NCA110" s="21"/>
      <c r="NCB110" s="21"/>
      <c r="NCC110" s="21"/>
      <c r="NCD110" s="21"/>
      <c r="NCE110" s="21"/>
      <c r="NCF110" s="21"/>
      <c r="NCG110" s="21"/>
      <c r="NCH110" s="21"/>
      <c r="NCI110" s="21"/>
      <c r="NCJ110" s="21"/>
      <c r="NCK110" s="21"/>
      <c r="NCL110" s="21"/>
      <c r="NCM110" s="21"/>
      <c r="NCN110" s="21"/>
      <c r="NCO110" s="21"/>
      <c r="NCP110" s="21"/>
      <c r="NCQ110" s="21"/>
      <c r="NCR110" s="21"/>
      <c r="NCS110" s="21"/>
      <c r="NCT110" s="21"/>
      <c r="NCU110" s="21"/>
      <c r="NCV110" s="21"/>
      <c r="NCW110" s="21"/>
      <c r="NCX110" s="21"/>
      <c r="NCY110" s="21"/>
      <c r="NCZ110" s="21"/>
      <c r="NDA110" s="21"/>
      <c r="NDB110" s="21"/>
      <c r="NDC110" s="21"/>
      <c r="NDD110" s="21"/>
      <c r="NDE110" s="21"/>
      <c r="NDF110" s="21"/>
      <c r="NDG110" s="21"/>
      <c r="NDH110" s="21"/>
      <c r="NDI110" s="21"/>
      <c r="NDJ110" s="21"/>
      <c r="NDK110" s="21"/>
      <c r="NDL110" s="21"/>
      <c r="NDM110" s="21"/>
      <c r="NDN110" s="21"/>
      <c r="NDO110" s="21"/>
      <c r="NDP110" s="21"/>
      <c r="NDQ110" s="21"/>
      <c r="NDR110" s="21"/>
      <c r="NDS110" s="21"/>
      <c r="NDT110" s="21"/>
      <c r="NDU110" s="21"/>
      <c r="NDV110" s="21"/>
      <c r="NDW110" s="21"/>
      <c r="NDX110" s="21"/>
      <c r="NDY110" s="21"/>
      <c r="NDZ110" s="21"/>
      <c r="NEA110" s="21"/>
      <c r="NEB110" s="21"/>
      <c r="NEC110" s="21"/>
      <c r="NED110" s="21"/>
      <c r="NEE110" s="21"/>
      <c r="NEF110" s="21"/>
      <c r="NEG110" s="21"/>
      <c r="NEH110" s="21"/>
      <c r="NEI110" s="21"/>
      <c r="NEJ110" s="21"/>
      <c r="NEK110" s="21"/>
      <c r="NEL110" s="21"/>
      <c r="NEM110" s="21"/>
      <c r="NEN110" s="21"/>
      <c r="NEO110" s="21"/>
      <c r="NEP110" s="21"/>
      <c r="NEQ110" s="21"/>
      <c r="NER110" s="21"/>
      <c r="NES110" s="21"/>
      <c r="NET110" s="21"/>
      <c r="NEU110" s="21"/>
      <c r="NEV110" s="21"/>
      <c r="NEW110" s="21"/>
      <c r="NEX110" s="21"/>
      <c r="NEY110" s="21"/>
      <c r="NEZ110" s="21"/>
      <c r="NFA110" s="21"/>
      <c r="NFB110" s="21"/>
      <c r="NFC110" s="21"/>
      <c r="NFD110" s="21"/>
      <c r="NFE110" s="21"/>
      <c r="NFF110" s="21"/>
      <c r="NFG110" s="21"/>
      <c r="NFH110" s="21"/>
      <c r="NFI110" s="21"/>
      <c r="NFJ110" s="21"/>
      <c r="NFK110" s="21"/>
      <c r="NFL110" s="21"/>
      <c r="NFM110" s="21"/>
      <c r="NFN110" s="21"/>
      <c r="NFO110" s="21"/>
      <c r="NFP110" s="21"/>
      <c r="NFQ110" s="21"/>
      <c r="NFR110" s="21"/>
      <c r="NFS110" s="21"/>
      <c r="NFT110" s="21"/>
      <c r="NFU110" s="21"/>
      <c r="NFV110" s="21"/>
      <c r="NFW110" s="21"/>
      <c r="NFX110" s="21"/>
      <c r="NFY110" s="21"/>
      <c r="NFZ110" s="21"/>
      <c r="NGA110" s="21"/>
      <c r="NGB110" s="21"/>
      <c r="NGC110" s="21"/>
      <c r="NGD110" s="21"/>
      <c r="NGE110" s="21"/>
      <c r="NGF110" s="21"/>
      <c r="NGG110" s="21"/>
      <c r="NGH110" s="21"/>
      <c r="NGI110" s="21"/>
      <c r="NGJ110" s="21"/>
      <c r="NGK110" s="21"/>
      <c r="NGL110" s="21"/>
      <c r="NGM110" s="21"/>
      <c r="NGN110" s="21"/>
      <c r="NGO110" s="21"/>
      <c r="NGP110" s="21"/>
      <c r="NGQ110" s="21"/>
      <c r="NGR110" s="21"/>
      <c r="NGS110" s="21"/>
      <c r="NGT110" s="21"/>
      <c r="NGU110" s="21"/>
      <c r="NGV110" s="21"/>
      <c r="NGW110" s="21"/>
      <c r="NGX110" s="21"/>
      <c r="NGY110" s="21"/>
      <c r="NGZ110" s="21"/>
      <c r="NHA110" s="21"/>
      <c r="NHB110" s="21"/>
      <c r="NHC110" s="21"/>
      <c r="NHD110" s="21"/>
      <c r="NHE110" s="21"/>
      <c r="NHF110" s="21"/>
      <c r="NHG110" s="21"/>
      <c r="NHH110" s="21"/>
      <c r="NHI110" s="21"/>
      <c r="NHJ110" s="21"/>
      <c r="NHK110" s="21"/>
      <c r="NHL110" s="21"/>
      <c r="NHM110" s="21"/>
      <c r="NHN110" s="21"/>
      <c r="NHO110" s="21"/>
      <c r="NHP110" s="21"/>
      <c r="NHQ110" s="21"/>
      <c r="NHR110" s="21"/>
      <c r="NHS110" s="21"/>
      <c r="NHT110" s="21"/>
      <c r="NHU110" s="21"/>
      <c r="NHV110" s="21"/>
      <c r="NHW110" s="21"/>
      <c r="NHX110" s="21"/>
      <c r="NHY110" s="21"/>
      <c r="NHZ110" s="21"/>
      <c r="NIA110" s="21"/>
      <c r="NIB110" s="21"/>
      <c r="NIC110" s="21"/>
      <c r="NID110" s="21"/>
      <c r="NIE110" s="21"/>
      <c r="NIF110" s="21"/>
      <c r="NIG110" s="21"/>
      <c r="NIH110" s="21"/>
      <c r="NII110" s="21"/>
      <c r="NIJ110" s="21"/>
      <c r="NIK110" s="21"/>
      <c r="NIL110" s="21"/>
      <c r="NIM110" s="21"/>
      <c r="NIN110" s="21"/>
      <c r="NIO110" s="21"/>
      <c r="NIP110" s="21"/>
      <c r="NIQ110" s="21"/>
      <c r="NIR110" s="21"/>
      <c r="NIS110" s="21"/>
      <c r="NIT110" s="21"/>
      <c r="NIU110" s="21"/>
      <c r="NIV110" s="21"/>
      <c r="NIW110" s="21"/>
      <c r="NIX110" s="21"/>
      <c r="NIY110" s="21"/>
      <c r="NIZ110" s="21"/>
      <c r="NJA110" s="21"/>
      <c r="NJB110" s="21"/>
      <c r="NJC110" s="21"/>
      <c r="NJD110" s="21"/>
      <c r="NJE110" s="21"/>
      <c r="NJF110" s="21"/>
      <c r="NJG110" s="21"/>
      <c r="NJH110" s="21"/>
      <c r="NJI110" s="21"/>
      <c r="NJJ110" s="21"/>
      <c r="NJK110" s="21"/>
      <c r="NJL110" s="21"/>
      <c r="NJM110" s="21"/>
      <c r="NJN110" s="21"/>
      <c r="NJO110" s="21"/>
      <c r="NJP110" s="21"/>
      <c r="NJQ110" s="21"/>
      <c r="NJR110" s="21"/>
      <c r="NJS110" s="21"/>
      <c r="NJT110" s="21"/>
      <c r="NJU110" s="21"/>
      <c r="NJV110" s="21"/>
      <c r="NJW110" s="21"/>
      <c r="NJX110" s="21"/>
      <c r="NJY110" s="21"/>
      <c r="NJZ110" s="21"/>
      <c r="NKA110" s="21"/>
      <c r="NKB110" s="21"/>
      <c r="NKC110" s="21"/>
      <c r="NKD110" s="21"/>
      <c r="NKE110" s="21"/>
      <c r="NKF110" s="21"/>
      <c r="NKG110" s="21"/>
      <c r="NKH110" s="21"/>
      <c r="NKI110" s="21"/>
      <c r="NKJ110" s="21"/>
      <c r="NKK110" s="21"/>
      <c r="NKL110" s="21"/>
      <c r="NKM110" s="21"/>
      <c r="NKN110" s="21"/>
      <c r="NKO110" s="21"/>
      <c r="NKP110" s="21"/>
      <c r="NKQ110" s="21"/>
      <c r="NKR110" s="21"/>
      <c r="NKS110" s="21"/>
      <c r="NKT110" s="21"/>
      <c r="NKU110" s="21"/>
      <c r="NKV110" s="21"/>
      <c r="NKW110" s="21"/>
      <c r="NKX110" s="21"/>
      <c r="NKY110" s="21"/>
      <c r="NKZ110" s="21"/>
      <c r="NLA110" s="21"/>
      <c r="NLB110" s="21"/>
      <c r="NLC110" s="21"/>
      <c r="NLD110" s="21"/>
      <c r="NLE110" s="21"/>
      <c r="NLF110" s="21"/>
      <c r="NLG110" s="21"/>
      <c r="NLH110" s="21"/>
      <c r="NLI110" s="21"/>
      <c r="NLJ110" s="21"/>
      <c r="NLK110" s="21"/>
      <c r="NLL110" s="21"/>
      <c r="NLM110" s="21"/>
      <c r="NLN110" s="21"/>
      <c r="NLO110" s="21"/>
      <c r="NLP110" s="21"/>
      <c r="NLQ110" s="21"/>
      <c r="NLR110" s="21"/>
      <c r="NLS110" s="21"/>
      <c r="NLT110" s="21"/>
      <c r="NLU110" s="21"/>
      <c r="NLV110" s="21"/>
      <c r="NLW110" s="21"/>
      <c r="NLX110" s="21"/>
      <c r="NLY110" s="21"/>
      <c r="NLZ110" s="21"/>
      <c r="NMA110" s="21"/>
      <c r="NMB110" s="21"/>
      <c r="NMC110" s="21"/>
      <c r="NMD110" s="21"/>
      <c r="NME110" s="21"/>
      <c r="NMF110" s="21"/>
      <c r="NMG110" s="21"/>
      <c r="NMH110" s="21"/>
      <c r="NMI110" s="21"/>
      <c r="NMJ110" s="21"/>
      <c r="NMK110" s="21"/>
      <c r="NML110" s="21"/>
      <c r="NMM110" s="21"/>
      <c r="NMN110" s="21"/>
      <c r="NMO110" s="21"/>
      <c r="NMP110" s="21"/>
      <c r="NMQ110" s="21"/>
      <c r="NMR110" s="21"/>
      <c r="NMS110" s="21"/>
      <c r="NMT110" s="21"/>
      <c r="NMU110" s="21"/>
      <c r="NMV110" s="21"/>
      <c r="NMW110" s="21"/>
      <c r="NMX110" s="21"/>
      <c r="NMY110" s="21"/>
      <c r="NMZ110" s="21"/>
      <c r="NNA110" s="21"/>
      <c r="NNB110" s="21"/>
      <c r="NNC110" s="21"/>
      <c r="NND110" s="21"/>
      <c r="NNE110" s="21"/>
      <c r="NNF110" s="21"/>
      <c r="NNG110" s="21"/>
      <c r="NNH110" s="21"/>
      <c r="NNI110" s="21"/>
      <c r="NNJ110" s="21"/>
      <c r="NNK110" s="21"/>
      <c r="NNL110" s="21"/>
      <c r="NNM110" s="21"/>
      <c r="NNN110" s="21"/>
      <c r="NNO110" s="21"/>
      <c r="NNP110" s="21"/>
      <c r="NNQ110" s="21"/>
      <c r="NNR110" s="21"/>
      <c r="NNS110" s="21"/>
      <c r="NNT110" s="21"/>
      <c r="NNU110" s="21"/>
      <c r="NNV110" s="21"/>
      <c r="NNW110" s="21"/>
      <c r="NNX110" s="21"/>
      <c r="NNY110" s="21"/>
      <c r="NNZ110" s="21"/>
      <c r="NOA110" s="21"/>
      <c r="NOB110" s="21"/>
      <c r="NOC110" s="21"/>
      <c r="NOD110" s="21"/>
      <c r="NOE110" s="21"/>
      <c r="NOF110" s="21"/>
      <c r="NOG110" s="21"/>
      <c r="NOH110" s="21"/>
      <c r="NOI110" s="21"/>
      <c r="NOJ110" s="21"/>
      <c r="NOK110" s="21"/>
      <c r="NOL110" s="21"/>
      <c r="NOM110" s="21"/>
      <c r="NON110" s="21"/>
      <c r="NOO110" s="21"/>
      <c r="NOP110" s="21"/>
      <c r="NOQ110" s="21"/>
      <c r="NOR110" s="21"/>
      <c r="NOS110" s="21"/>
      <c r="NOT110" s="21"/>
      <c r="NOU110" s="21"/>
      <c r="NOV110" s="21"/>
      <c r="NOW110" s="21"/>
      <c r="NOX110" s="21"/>
      <c r="NOY110" s="21"/>
      <c r="NOZ110" s="21"/>
      <c r="NPA110" s="21"/>
      <c r="NPB110" s="21"/>
      <c r="NPC110" s="21"/>
      <c r="NPD110" s="21"/>
      <c r="NPE110" s="21"/>
      <c r="NPF110" s="21"/>
      <c r="NPG110" s="21"/>
      <c r="NPH110" s="21"/>
      <c r="NPI110" s="21"/>
      <c r="NPJ110" s="21"/>
      <c r="NPK110" s="21"/>
      <c r="NPL110" s="21"/>
      <c r="NPM110" s="21"/>
      <c r="NPN110" s="21"/>
      <c r="NPO110" s="21"/>
      <c r="NPP110" s="21"/>
      <c r="NPQ110" s="21"/>
      <c r="NPR110" s="21"/>
      <c r="NPS110" s="21"/>
      <c r="NPT110" s="21"/>
      <c r="NPU110" s="21"/>
      <c r="NPV110" s="21"/>
      <c r="NPW110" s="21"/>
      <c r="NPX110" s="21"/>
      <c r="NPY110" s="21"/>
      <c r="NPZ110" s="21"/>
      <c r="NQA110" s="21"/>
      <c r="NQB110" s="21"/>
      <c r="NQC110" s="21"/>
      <c r="NQD110" s="21"/>
      <c r="NQE110" s="21"/>
      <c r="NQF110" s="21"/>
      <c r="NQG110" s="21"/>
      <c r="NQH110" s="21"/>
      <c r="NQI110" s="21"/>
      <c r="NQJ110" s="21"/>
      <c r="NQK110" s="21"/>
      <c r="NQL110" s="21"/>
      <c r="NQM110" s="21"/>
      <c r="NQN110" s="21"/>
      <c r="NQO110" s="21"/>
      <c r="NQP110" s="21"/>
      <c r="NQQ110" s="21"/>
      <c r="NQR110" s="21"/>
      <c r="NQS110" s="21"/>
      <c r="NQT110" s="21"/>
      <c r="NQU110" s="21"/>
      <c r="NQV110" s="21"/>
      <c r="NQW110" s="21"/>
      <c r="NQX110" s="21"/>
      <c r="NQY110" s="21"/>
      <c r="NQZ110" s="21"/>
      <c r="NRA110" s="21"/>
      <c r="NRB110" s="21"/>
      <c r="NRC110" s="21"/>
      <c r="NRD110" s="21"/>
      <c r="NRE110" s="21"/>
      <c r="NRF110" s="21"/>
      <c r="NRG110" s="21"/>
      <c r="NRH110" s="21"/>
      <c r="NRI110" s="21"/>
      <c r="NRJ110" s="21"/>
      <c r="NRK110" s="21"/>
      <c r="NRL110" s="21"/>
      <c r="NRM110" s="21"/>
      <c r="NRN110" s="21"/>
      <c r="NRO110" s="21"/>
      <c r="NRP110" s="21"/>
      <c r="NRQ110" s="21"/>
      <c r="NRR110" s="21"/>
      <c r="NRS110" s="21"/>
      <c r="NRT110" s="21"/>
      <c r="NRU110" s="21"/>
      <c r="NRV110" s="21"/>
      <c r="NRW110" s="21"/>
      <c r="NRX110" s="21"/>
      <c r="NRY110" s="21"/>
      <c r="NRZ110" s="21"/>
      <c r="NSA110" s="21"/>
      <c r="NSB110" s="21"/>
      <c r="NSC110" s="21"/>
      <c r="NSD110" s="21"/>
      <c r="NSE110" s="21"/>
      <c r="NSF110" s="21"/>
      <c r="NSG110" s="21"/>
      <c r="NSH110" s="21"/>
      <c r="NSI110" s="21"/>
      <c r="NSJ110" s="21"/>
      <c r="NSK110" s="21"/>
      <c r="NSL110" s="21"/>
      <c r="NSM110" s="21"/>
      <c r="NSN110" s="21"/>
      <c r="NSO110" s="21"/>
      <c r="NSP110" s="21"/>
      <c r="NSQ110" s="21"/>
      <c r="NSR110" s="21"/>
      <c r="NSS110" s="21"/>
      <c r="NST110" s="21"/>
      <c r="NSU110" s="21"/>
      <c r="NSV110" s="21"/>
      <c r="NSW110" s="21"/>
      <c r="NSX110" s="21"/>
      <c r="NSY110" s="21"/>
      <c r="NSZ110" s="21"/>
      <c r="NTA110" s="21"/>
      <c r="NTB110" s="21"/>
      <c r="NTC110" s="21"/>
      <c r="NTD110" s="21"/>
      <c r="NTE110" s="21"/>
      <c r="NTF110" s="21"/>
      <c r="NTG110" s="21"/>
      <c r="NTH110" s="21"/>
      <c r="NTI110" s="21"/>
      <c r="NTJ110" s="21"/>
      <c r="NTK110" s="21"/>
      <c r="NTL110" s="21"/>
      <c r="NTM110" s="21"/>
      <c r="NTN110" s="21"/>
      <c r="NTO110" s="21"/>
      <c r="NTP110" s="21"/>
      <c r="NTQ110" s="21"/>
      <c r="NTR110" s="21"/>
      <c r="NTS110" s="21"/>
      <c r="NTT110" s="21"/>
      <c r="NTU110" s="21"/>
      <c r="NTV110" s="21"/>
      <c r="NTW110" s="21"/>
      <c r="NTX110" s="21"/>
      <c r="NTY110" s="21"/>
      <c r="NTZ110" s="21"/>
      <c r="NUA110" s="21"/>
      <c r="NUB110" s="21"/>
      <c r="NUC110" s="21"/>
      <c r="NUD110" s="21"/>
      <c r="NUE110" s="21"/>
      <c r="NUF110" s="21"/>
      <c r="NUG110" s="21"/>
      <c r="NUH110" s="21"/>
      <c r="NUI110" s="21"/>
      <c r="NUJ110" s="21"/>
      <c r="NUK110" s="21"/>
      <c r="NUL110" s="21"/>
      <c r="NUM110" s="21"/>
      <c r="NUN110" s="21"/>
      <c r="NUO110" s="21"/>
      <c r="NUP110" s="21"/>
      <c r="NUQ110" s="21"/>
      <c r="NUR110" s="21"/>
      <c r="NUS110" s="21"/>
      <c r="NUT110" s="21"/>
      <c r="NUU110" s="21"/>
      <c r="NUV110" s="21"/>
      <c r="NUW110" s="21"/>
      <c r="NUX110" s="21"/>
      <c r="NUY110" s="21"/>
      <c r="NUZ110" s="21"/>
      <c r="NVA110" s="21"/>
      <c r="NVB110" s="21"/>
      <c r="NVC110" s="21"/>
      <c r="NVD110" s="21"/>
      <c r="NVE110" s="21"/>
      <c r="NVF110" s="21"/>
      <c r="NVG110" s="21"/>
      <c r="NVH110" s="21"/>
      <c r="NVI110" s="21"/>
      <c r="NVJ110" s="21"/>
      <c r="NVK110" s="21"/>
      <c r="NVL110" s="21"/>
      <c r="NVM110" s="21"/>
      <c r="NVN110" s="21"/>
      <c r="NVO110" s="21"/>
      <c r="NVP110" s="21"/>
      <c r="NVQ110" s="21"/>
      <c r="NVR110" s="21"/>
      <c r="NVS110" s="21"/>
      <c r="NVT110" s="21"/>
      <c r="NVU110" s="21"/>
      <c r="NVV110" s="21"/>
      <c r="NVW110" s="21"/>
      <c r="NVX110" s="21"/>
      <c r="NVY110" s="21"/>
      <c r="NVZ110" s="21"/>
      <c r="NWA110" s="21"/>
      <c r="NWB110" s="21"/>
      <c r="NWC110" s="21"/>
      <c r="NWD110" s="21"/>
      <c r="NWE110" s="21"/>
      <c r="NWF110" s="21"/>
      <c r="NWG110" s="21"/>
      <c r="NWH110" s="21"/>
      <c r="NWI110" s="21"/>
      <c r="NWJ110" s="21"/>
      <c r="NWK110" s="21"/>
      <c r="NWL110" s="21"/>
      <c r="NWM110" s="21"/>
      <c r="NWN110" s="21"/>
      <c r="NWO110" s="21"/>
      <c r="NWP110" s="21"/>
      <c r="NWQ110" s="21"/>
      <c r="NWR110" s="21"/>
      <c r="NWS110" s="21"/>
      <c r="NWT110" s="21"/>
      <c r="NWU110" s="21"/>
      <c r="NWV110" s="21"/>
      <c r="NWW110" s="21"/>
      <c r="NWX110" s="21"/>
      <c r="NWY110" s="21"/>
      <c r="NWZ110" s="21"/>
      <c r="NXA110" s="21"/>
      <c r="NXB110" s="21"/>
      <c r="NXC110" s="21"/>
      <c r="NXD110" s="21"/>
      <c r="NXE110" s="21"/>
      <c r="NXF110" s="21"/>
      <c r="NXG110" s="21"/>
      <c r="NXH110" s="21"/>
      <c r="NXI110" s="21"/>
      <c r="NXJ110" s="21"/>
      <c r="NXK110" s="21"/>
      <c r="NXL110" s="21"/>
      <c r="NXM110" s="21"/>
      <c r="NXN110" s="21"/>
      <c r="NXO110" s="21"/>
      <c r="NXP110" s="21"/>
      <c r="NXQ110" s="21"/>
      <c r="NXR110" s="21"/>
      <c r="NXS110" s="21"/>
      <c r="NXT110" s="21"/>
      <c r="NXU110" s="21"/>
      <c r="NXV110" s="21"/>
      <c r="NXW110" s="21"/>
      <c r="NXX110" s="21"/>
      <c r="NXY110" s="21"/>
      <c r="NXZ110" s="21"/>
      <c r="NYA110" s="21"/>
      <c r="NYB110" s="21"/>
      <c r="NYC110" s="21"/>
      <c r="NYD110" s="21"/>
      <c r="NYE110" s="21"/>
      <c r="NYF110" s="21"/>
      <c r="NYG110" s="21"/>
      <c r="NYH110" s="21"/>
      <c r="NYI110" s="21"/>
      <c r="NYJ110" s="21"/>
      <c r="NYK110" s="21"/>
      <c r="NYL110" s="21"/>
      <c r="NYM110" s="21"/>
      <c r="NYN110" s="21"/>
      <c r="NYO110" s="21"/>
      <c r="NYP110" s="21"/>
      <c r="NYQ110" s="21"/>
      <c r="NYR110" s="21"/>
      <c r="NYS110" s="21"/>
      <c r="NYT110" s="21"/>
      <c r="NYU110" s="21"/>
      <c r="NYV110" s="21"/>
      <c r="NYW110" s="21"/>
      <c r="NYX110" s="21"/>
      <c r="NYY110" s="21"/>
      <c r="NYZ110" s="21"/>
      <c r="NZA110" s="21"/>
      <c r="NZB110" s="21"/>
      <c r="NZC110" s="21"/>
      <c r="NZD110" s="21"/>
      <c r="NZE110" s="21"/>
      <c r="NZF110" s="21"/>
      <c r="NZG110" s="21"/>
      <c r="NZH110" s="21"/>
      <c r="NZI110" s="21"/>
      <c r="NZJ110" s="21"/>
      <c r="NZK110" s="21"/>
      <c r="NZL110" s="21"/>
      <c r="NZM110" s="21"/>
      <c r="NZN110" s="21"/>
      <c r="NZO110" s="21"/>
      <c r="NZP110" s="21"/>
      <c r="NZQ110" s="21"/>
      <c r="NZR110" s="21"/>
      <c r="NZS110" s="21"/>
      <c r="NZT110" s="21"/>
      <c r="NZU110" s="21"/>
      <c r="NZV110" s="21"/>
      <c r="NZW110" s="21"/>
      <c r="NZX110" s="21"/>
      <c r="NZY110" s="21"/>
      <c r="NZZ110" s="21"/>
      <c r="OAA110" s="21"/>
      <c r="OAB110" s="21"/>
      <c r="OAC110" s="21"/>
      <c r="OAD110" s="21"/>
      <c r="OAE110" s="21"/>
      <c r="OAF110" s="21"/>
      <c r="OAG110" s="21"/>
      <c r="OAH110" s="21"/>
      <c r="OAI110" s="21"/>
      <c r="OAJ110" s="21"/>
      <c r="OAK110" s="21"/>
      <c r="OAL110" s="21"/>
      <c r="OAM110" s="21"/>
      <c r="OAN110" s="21"/>
      <c r="OAO110" s="21"/>
      <c r="OAP110" s="21"/>
      <c r="OAQ110" s="21"/>
      <c r="OAR110" s="21"/>
      <c r="OAS110" s="21"/>
      <c r="OAT110" s="21"/>
      <c r="OAU110" s="21"/>
      <c r="OAV110" s="21"/>
      <c r="OAW110" s="21"/>
      <c r="OAX110" s="21"/>
      <c r="OAY110" s="21"/>
      <c r="OAZ110" s="21"/>
      <c r="OBA110" s="21"/>
      <c r="OBB110" s="21"/>
      <c r="OBC110" s="21"/>
      <c r="OBD110" s="21"/>
      <c r="OBE110" s="21"/>
      <c r="OBF110" s="21"/>
      <c r="OBG110" s="21"/>
      <c r="OBH110" s="21"/>
      <c r="OBI110" s="21"/>
      <c r="OBJ110" s="21"/>
      <c r="OBK110" s="21"/>
      <c r="OBL110" s="21"/>
      <c r="OBM110" s="21"/>
      <c r="OBN110" s="21"/>
      <c r="OBO110" s="21"/>
      <c r="OBP110" s="21"/>
      <c r="OBQ110" s="21"/>
      <c r="OBR110" s="21"/>
      <c r="OBS110" s="21"/>
      <c r="OBT110" s="21"/>
      <c r="OBU110" s="21"/>
      <c r="OBV110" s="21"/>
      <c r="OBW110" s="21"/>
      <c r="OBX110" s="21"/>
      <c r="OBY110" s="21"/>
      <c r="OBZ110" s="21"/>
      <c r="OCA110" s="21"/>
      <c r="OCB110" s="21"/>
      <c r="OCC110" s="21"/>
      <c r="OCD110" s="21"/>
      <c r="OCE110" s="21"/>
      <c r="OCF110" s="21"/>
      <c r="OCG110" s="21"/>
      <c r="OCH110" s="21"/>
      <c r="OCI110" s="21"/>
      <c r="OCJ110" s="21"/>
      <c r="OCK110" s="21"/>
      <c r="OCL110" s="21"/>
      <c r="OCM110" s="21"/>
      <c r="OCN110" s="21"/>
      <c r="OCO110" s="21"/>
      <c r="OCP110" s="21"/>
      <c r="OCQ110" s="21"/>
      <c r="OCR110" s="21"/>
      <c r="OCS110" s="21"/>
      <c r="OCT110" s="21"/>
      <c r="OCU110" s="21"/>
      <c r="OCV110" s="21"/>
      <c r="OCW110" s="21"/>
      <c r="OCX110" s="21"/>
      <c r="OCY110" s="21"/>
      <c r="OCZ110" s="21"/>
      <c r="ODA110" s="21"/>
      <c r="ODB110" s="21"/>
      <c r="ODC110" s="21"/>
      <c r="ODD110" s="21"/>
      <c r="ODE110" s="21"/>
      <c r="ODF110" s="21"/>
      <c r="ODG110" s="21"/>
      <c r="ODH110" s="21"/>
      <c r="ODI110" s="21"/>
      <c r="ODJ110" s="21"/>
      <c r="ODK110" s="21"/>
      <c r="ODL110" s="21"/>
      <c r="ODM110" s="21"/>
      <c r="ODN110" s="21"/>
      <c r="ODO110" s="21"/>
      <c r="ODP110" s="21"/>
      <c r="ODQ110" s="21"/>
      <c r="ODR110" s="21"/>
      <c r="ODS110" s="21"/>
      <c r="ODT110" s="21"/>
      <c r="ODU110" s="21"/>
      <c r="ODV110" s="21"/>
      <c r="ODW110" s="21"/>
      <c r="ODX110" s="21"/>
      <c r="ODY110" s="21"/>
      <c r="ODZ110" s="21"/>
      <c r="OEA110" s="21"/>
      <c r="OEB110" s="21"/>
      <c r="OEC110" s="21"/>
      <c r="OED110" s="21"/>
      <c r="OEE110" s="21"/>
      <c r="OEF110" s="21"/>
      <c r="OEG110" s="21"/>
      <c r="OEH110" s="21"/>
      <c r="OEI110" s="21"/>
      <c r="OEJ110" s="21"/>
      <c r="OEK110" s="21"/>
      <c r="OEL110" s="21"/>
      <c r="OEM110" s="21"/>
      <c r="OEN110" s="21"/>
      <c r="OEO110" s="21"/>
      <c r="OEP110" s="21"/>
      <c r="OEQ110" s="21"/>
      <c r="OER110" s="21"/>
      <c r="OES110" s="21"/>
      <c r="OET110" s="21"/>
      <c r="OEU110" s="21"/>
      <c r="OEV110" s="21"/>
      <c r="OEW110" s="21"/>
      <c r="OEX110" s="21"/>
      <c r="OEY110" s="21"/>
      <c r="OEZ110" s="21"/>
      <c r="OFA110" s="21"/>
      <c r="OFB110" s="21"/>
      <c r="OFC110" s="21"/>
      <c r="OFD110" s="21"/>
      <c r="OFE110" s="21"/>
      <c r="OFF110" s="21"/>
      <c r="OFG110" s="21"/>
      <c r="OFH110" s="21"/>
      <c r="OFI110" s="21"/>
      <c r="OFJ110" s="21"/>
      <c r="OFK110" s="21"/>
      <c r="OFL110" s="21"/>
      <c r="OFM110" s="21"/>
      <c r="OFN110" s="21"/>
      <c r="OFO110" s="21"/>
      <c r="OFP110" s="21"/>
      <c r="OFQ110" s="21"/>
      <c r="OFR110" s="21"/>
      <c r="OFS110" s="21"/>
      <c r="OFT110" s="21"/>
      <c r="OFU110" s="21"/>
      <c r="OFV110" s="21"/>
      <c r="OFW110" s="21"/>
      <c r="OFX110" s="21"/>
      <c r="OFY110" s="21"/>
      <c r="OFZ110" s="21"/>
      <c r="OGA110" s="21"/>
      <c r="OGB110" s="21"/>
      <c r="OGC110" s="21"/>
      <c r="OGD110" s="21"/>
      <c r="OGE110" s="21"/>
      <c r="OGF110" s="21"/>
      <c r="OGG110" s="21"/>
      <c r="OGH110" s="21"/>
      <c r="OGI110" s="21"/>
      <c r="OGJ110" s="21"/>
      <c r="OGK110" s="21"/>
      <c r="OGL110" s="21"/>
      <c r="OGM110" s="21"/>
      <c r="OGN110" s="21"/>
      <c r="OGO110" s="21"/>
      <c r="OGP110" s="21"/>
      <c r="OGQ110" s="21"/>
      <c r="OGR110" s="21"/>
      <c r="OGS110" s="21"/>
      <c r="OGT110" s="21"/>
      <c r="OGU110" s="21"/>
      <c r="OGV110" s="21"/>
      <c r="OGW110" s="21"/>
      <c r="OGX110" s="21"/>
      <c r="OGY110" s="21"/>
      <c r="OGZ110" s="21"/>
      <c r="OHA110" s="21"/>
      <c r="OHB110" s="21"/>
      <c r="OHC110" s="21"/>
      <c r="OHD110" s="21"/>
      <c r="OHE110" s="21"/>
      <c r="OHF110" s="21"/>
      <c r="OHG110" s="21"/>
      <c r="OHH110" s="21"/>
      <c r="OHI110" s="21"/>
      <c r="OHJ110" s="21"/>
      <c r="OHK110" s="21"/>
      <c r="OHL110" s="21"/>
      <c r="OHM110" s="21"/>
      <c r="OHN110" s="21"/>
      <c r="OHO110" s="21"/>
      <c r="OHP110" s="21"/>
      <c r="OHQ110" s="21"/>
      <c r="OHR110" s="21"/>
      <c r="OHS110" s="21"/>
      <c r="OHT110" s="21"/>
      <c r="OHU110" s="21"/>
      <c r="OHV110" s="21"/>
      <c r="OHW110" s="21"/>
      <c r="OHX110" s="21"/>
      <c r="OHY110" s="21"/>
      <c r="OHZ110" s="21"/>
      <c r="OIA110" s="21"/>
      <c r="OIB110" s="21"/>
      <c r="OIC110" s="21"/>
      <c r="OID110" s="21"/>
      <c r="OIE110" s="21"/>
      <c r="OIF110" s="21"/>
      <c r="OIG110" s="21"/>
      <c r="OIH110" s="21"/>
      <c r="OII110" s="21"/>
      <c r="OIJ110" s="21"/>
      <c r="OIK110" s="21"/>
      <c r="OIL110" s="21"/>
      <c r="OIM110" s="21"/>
      <c r="OIN110" s="21"/>
      <c r="OIO110" s="21"/>
      <c r="OIP110" s="21"/>
      <c r="OIQ110" s="21"/>
      <c r="OIR110" s="21"/>
      <c r="OIS110" s="21"/>
      <c r="OIT110" s="21"/>
      <c r="OIU110" s="21"/>
      <c r="OIV110" s="21"/>
      <c r="OIW110" s="21"/>
      <c r="OIX110" s="21"/>
      <c r="OIY110" s="21"/>
      <c r="OIZ110" s="21"/>
      <c r="OJA110" s="21"/>
      <c r="OJB110" s="21"/>
      <c r="OJC110" s="21"/>
      <c r="OJD110" s="21"/>
      <c r="OJE110" s="21"/>
      <c r="OJF110" s="21"/>
      <c r="OJG110" s="21"/>
      <c r="OJH110" s="21"/>
      <c r="OJI110" s="21"/>
      <c r="OJJ110" s="21"/>
      <c r="OJK110" s="21"/>
      <c r="OJL110" s="21"/>
      <c r="OJM110" s="21"/>
      <c r="OJN110" s="21"/>
      <c r="OJO110" s="21"/>
      <c r="OJP110" s="21"/>
      <c r="OJQ110" s="21"/>
      <c r="OJR110" s="21"/>
      <c r="OJS110" s="21"/>
      <c r="OJT110" s="21"/>
      <c r="OJU110" s="21"/>
      <c r="OJV110" s="21"/>
      <c r="OJW110" s="21"/>
      <c r="OJX110" s="21"/>
      <c r="OJY110" s="21"/>
      <c r="OJZ110" s="21"/>
      <c r="OKA110" s="21"/>
      <c r="OKB110" s="21"/>
      <c r="OKC110" s="21"/>
      <c r="OKD110" s="21"/>
      <c r="OKE110" s="21"/>
      <c r="OKF110" s="21"/>
      <c r="OKG110" s="21"/>
      <c r="OKH110" s="21"/>
      <c r="OKI110" s="21"/>
      <c r="OKJ110" s="21"/>
      <c r="OKK110" s="21"/>
      <c r="OKL110" s="21"/>
      <c r="OKM110" s="21"/>
      <c r="OKN110" s="21"/>
      <c r="OKO110" s="21"/>
      <c r="OKP110" s="21"/>
      <c r="OKQ110" s="21"/>
      <c r="OKR110" s="21"/>
      <c r="OKS110" s="21"/>
      <c r="OKT110" s="21"/>
      <c r="OKU110" s="21"/>
      <c r="OKV110" s="21"/>
      <c r="OKW110" s="21"/>
      <c r="OKX110" s="21"/>
      <c r="OKY110" s="21"/>
      <c r="OKZ110" s="21"/>
      <c r="OLA110" s="21"/>
      <c r="OLB110" s="21"/>
      <c r="OLC110" s="21"/>
      <c r="OLD110" s="21"/>
      <c r="OLE110" s="21"/>
      <c r="OLF110" s="21"/>
      <c r="OLG110" s="21"/>
      <c r="OLH110" s="21"/>
      <c r="OLI110" s="21"/>
      <c r="OLJ110" s="21"/>
      <c r="OLK110" s="21"/>
      <c r="OLL110" s="21"/>
      <c r="OLM110" s="21"/>
      <c r="OLN110" s="21"/>
      <c r="OLO110" s="21"/>
      <c r="OLP110" s="21"/>
      <c r="OLQ110" s="21"/>
      <c r="OLR110" s="21"/>
      <c r="OLS110" s="21"/>
      <c r="OLT110" s="21"/>
      <c r="OLU110" s="21"/>
      <c r="OLV110" s="21"/>
      <c r="OLW110" s="21"/>
      <c r="OLX110" s="21"/>
      <c r="OLY110" s="21"/>
      <c r="OLZ110" s="21"/>
      <c r="OMA110" s="21"/>
      <c r="OMB110" s="21"/>
      <c r="OMC110" s="21"/>
      <c r="OMD110" s="21"/>
      <c r="OME110" s="21"/>
      <c r="OMF110" s="21"/>
      <c r="OMG110" s="21"/>
      <c r="OMH110" s="21"/>
      <c r="OMI110" s="21"/>
      <c r="OMJ110" s="21"/>
      <c r="OMK110" s="21"/>
      <c r="OML110" s="21"/>
      <c r="OMM110" s="21"/>
      <c r="OMN110" s="21"/>
      <c r="OMO110" s="21"/>
      <c r="OMP110" s="21"/>
      <c r="OMQ110" s="21"/>
      <c r="OMR110" s="21"/>
      <c r="OMS110" s="21"/>
      <c r="OMT110" s="21"/>
      <c r="OMU110" s="21"/>
      <c r="OMV110" s="21"/>
      <c r="OMW110" s="21"/>
      <c r="OMX110" s="21"/>
      <c r="OMY110" s="21"/>
      <c r="OMZ110" s="21"/>
      <c r="ONA110" s="21"/>
      <c r="ONB110" s="21"/>
      <c r="ONC110" s="21"/>
      <c r="OND110" s="21"/>
      <c r="ONE110" s="21"/>
      <c r="ONF110" s="21"/>
      <c r="ONG110" s="21"/>
      <c r="ONH110" s="21"/>
      <c r="ONI110" s="21"/>
      <c r="ONJ110" s="21"/>
      <c r="ONK110" s="21"/>
      <c r="ONL110" s="21"/>
      <c r="ONM110" s="21"/>
      <c r="ONN110" s="21"/>
      <c r="ONO110" s="21"/>
      <c r="ONP110" s="21"/>
      <c r="ONQ110" s="21"/>
      <c r="ONR110" s="21"/>
      <c r="ONS110" s="21"/>
      <c r="ONT110" s="21"/>
      <c r="ONU110" s="21"/>
      <c r="ONV110" s="21"/>
      <c r="ONW110" s="21"/>
      <c r="ONX110" s="21"/>
      <c r="ONY110" s="21"/>
      <c r="ONZ110" s="21"/>
      <c r="OOA110" s="21"/>
      <c r="OOB110" s="21"/>
      <c r="OOC110" s="21"/>
      <c r="OOD110" s="21"/>
      <c r="OOE110" s="21"/>
      <c r="OOF110" s="21"/>
      <c r="OOG110" s="21"/>
      <c r="OOH110" s="21"/>
      <c r="OOI110" s="21"/>
      <c r="OOJ110" s="21"/>
      <c r="OOK110" s="21"/>
      <c r="OOL110" s="21"/>
      <c r="OOM110" s="21"/>
      <c r="OON110" s="21"/>
      <c r="OOO110" s="21"/>
      <c r="OOP110" s="21"/>
      <c r="OOQ110" s="21"/>
      <c r="OOR110" s="21"/>
      <c r="OOS110" s="21"/>
      <c r="OOT110" s="21"/>
      <c r="OOU110" s="21"/>
      <c r="OOV110" s="21"/>
      <c r="OOW110" s="21"/>
      <c r="OOX110" s="21"/>
      <c r="OOY110" s="21"/>
      <c r="OOZ110" s="21"/>
      <c r="OPA110" s="21"/>
      <c r="OPB110" s="21"/>
      <c r="OPC110" s="21"/>
      <c r="OPD110" s="21"/>
      <c r="OPE110" s="21"/>
      <c r="OPF110" s="21"/>
      <c r="OPG110" s="21"/>
      <c r="OPH110" s="21"/>
      <c r="OPI110" s="21"/>
      <c r="OPJ110" s="21"/>
      <c r="OPK110" s="21"/>
      <c r="OPL110" s="21"/>
      <c r="OPM110" s="21"/>
      <c r="OPN110" s="21"/>
      <c r="OPO110" s="21"/>
      <c r="OPP110" s="21"/>
      <c r="OPQ110" s="21"/>
      <c r="OPR110" s="21"/>
      <c r="OPS110" s="21"/>
      <c r="OPT110" s="21"/>
      <c r="OPU110" s="21"/>
      <c r="OPV110" s="21"/>
      <c r="OPW110" s="21"/>
      <c r="OPX110" s="21"/>
      <c r="OPY110" s="21"/>
      <c r="OPZ110" s="21"/>
      <c r="OQA110" s="21"/>
      <c r="OQB110" s="21"/>
      <c r="OQC110" s="21"/>
      <c r="OQD110" s="21"/>
      <c r="OQE110" s="21"/>
      <c r="OQF110" s="21"/>
      <c r="OQG110" s="21"/>
      <c r="OQH110" s="21"/>
      <c r="OQI110" s="21"/>
      <c r="OQJ110" s="21"/>
      <c r="OQK110" s="21"/>
      <c r="OQL110" s="21"/>
      <c r="OQM110" s="21"/>
      <c r="OQN110" s="21"/>
      <c r="OQO110" s="21"/>
      <c r="OQP110" s="21"/>
      <c r="OQQ110" s="21"/>
      <c r="OQR110" s="21"/>
      <c r="OQS110" s="21"/>
      <c r="OQT110" s="21"/>
      <c r="OQU110" s="21"/>
      <c r="OQV110" s="21"/>
      <c r="OQW110" s="21"/>
      <c r="OQX110" s="21"/>
      <c r="OQY110" s="21"/>
      <c r="OQZ110" s="21"/>
      <c r="ORA110" s="21"/>
      <c r="ORB110" s="21"/>
      <c r="ORC110" s="21"/>
      <c r="ORD110" s="21"/>
      <c r="ORE110" s="21"/>
      <c r="ORF110" s="21"/>
      <c r="ORG110" s="21"/>
      <c r="ORH110" s="21"/>
      <c r="ORI110" s="21"/>
      <c r="ORJ110" s="21"/>
      <c r="ORK110" s="21"/>
      <c r="ORL110" s="21"/>
      <c r="ORM110" s="21"/>
      <c r="ORN110" s="21"/>
      <c r="ORO110" s="21"/>
      <c r="ORP110" s="21"/>
      <c r="ORQ110" s="21"/>
      <c r="ORR110" s="21"/>
      <c r="ORS110" s="21"/>
      <c r="ORT110" s="21"/>
      <c r="ORU110" s="21"/>
      <c r="ORV110" s="21"/>
      <c r="ORW110" s="21"/>
      <c r="ORX110" s="21"/>
      <c r="ORY110" s="21"/>
      <c r="ORZ110" s="21"/>
      <c r="OSA110" s="21"/>
      <c r="OSB110" s="21"/>
      <c r="OSC110" s="21"/>
      <c r="OSD110" s="21"/>
      <c r="OSE110" s="21"/>
      <c r="OSF110" s="21"/>
      <c r="OSG110" s="21"/>
      <c r="OSH110" s="21"/>
      <c r="OSI110" s="21"/>
      <c r="OSJ110" s="21"/>
      <c r="OSK110" s="21"/>
      <c r="OSL110" s="21"/>
      <c r="OSM110" s="21"/>
      <c r="OSN110" s="21"/>
      <c r="OSO110" s="21"/>
      <c r="OSP110" s="21"/>
      <c r="OSQ110" s="21"/>
      <c r="OSR110" s="21"/>
      <c r="OSS110" s="21"/>
      <c r="OST110" s="21"/>
      <c r="OSU110" s="21"/>
      <c r="OSV110" s="21"/>
      <c r="OSW110" s="21"/>
      <c r="OSX110" s="21"/>
      <c r="OSY110" s="21"/>
      <c r="OSZ110" s="21"/>
      <c r="OTA110" s="21"/>
      <c r="OTB110" s="21"/>
      <c r="OTC110" s="21"/>
      <c r="OTD110" s="21"/>
      <c r="OTE110" s="21"/>
      <c r="OTF110" s="21"/>
      <c r="OTG110" s="21"/>
      <c r="OTH110" s="21"/>
      <c r="OTI110" s="21"/>
      <c r="OTJ110" s="21"/>
      <c r="OTK110" s="21"/>
      <c r="OTL110" s="21"/>
      <c r="OTM110" s="21"/>
      <c r="OTN110" s="21"/>
      <c r="OTO110" s="21"/>
      <c r="OTP110" s="21"/>
      <c r="OTQ110" s="21"/>
      <c r="OTR110" s="21"/>
      <c r="OTS110" s="21"/>
      <c r="OTT110" s="21"/>
      <c r="OTU110" s="21"/>
      <c r="OTV110" s="21"/>
      <c r="OTW110" s="21"/>
      <c r="OTX110" s="21"/>
      <c r="OTY110" s="21"/>
      <c r="OTZ110" s="21"/>
      <c r="OUA110" s="21"/>
      <c r="OUB110" s="21"/>
      <c r="OUC110" s="21"/>
      <c r="OUD110" s="21"/>
      <c r="OUE110" s="21"/>
      <c r="OUF110" s="21"/>
      <c r="OUG110" s="21"/>
      <c r="OUH110" s="21"/>
      <c r="OUI110" s="21"/>
      <c r="OUJ110" s="21"/>
      <c r="OUK110" s="21"/>
      <c r="OUL110" s="21"/>
      <c r="OUM110" s="21"/>
      <c r="OUN110" s="21"/>
      <c r="OUO110" s="21"/>
      <c r="OUP110" s="21"/>
      <c r="OUQ110" s="21"/>
      <c r="OUR110" s="21"/>
      <c r="OUS110" s="21"/>
      <c r="OUT110" s="21"/>
      <c r="OUU110" s="21"/>
      <c r="OUV110" s="21"/>
      <c r="OUW110" s="21"/>
      <c r="OUX110" s="21"/>
      <c r="OUY110" s="21"/>
      <c r="OUZ110" s="21"/>
      <c r="OVA110" s="21"/>
      <c r="OVB110" s="21"/>
      <c r="OVC110" s="21"/>
      <c r="OVD110" s="21"/>
      <c r="OVE110" s="21"/>
      <c r="OVF110" s="21"/>
      <c r="OVG110" s="21"/>
      <c r="OVH110" s="21"/>
      <c r="OVI110" s="21"/>
      <c r="OVJ110" s="21"/>
      <c r="OVK110" s="21"/>
      <c r="OVL110" s="21"/>
      <c r="OVM110" s="21"/>
      <c r="OVN110" s="21"/>
      <c r="OVO110" s="21"/>
      <c r="OVP110" s="21"/>
      <c r="OVQ110" s="21"/>
      <c r="OVR110" s="21"/>
      <c r="OVS110" s="21"/>
      <c r="OVT110" s="21"/>
      <c r="OVU110" s="21"/>
      <c r="OVV110" s="21"/>
      <c r="OVW110" s="21"/>
      <c r="OVX110" s="21"/>
      <c r="OVY110" s="21"/>
      <c r="OVZ110" s="21"/>
      <c r="OWA110" s="21"/>
      <c r="OWB110" s="21"/>
      <c r="OWC110" s="21"/>
      <c r="OWD110" s="21"/>
      <c r="OWE110" s="21"/>
      <c r="OWF110" s="21"/>
      <c r="OWG110" s="21"/>
      <c r="OWH110" s="21"/>
      <c r="OWI110" s="21"/>
      <c r="OWJ110" s="21"/>
      <c r="OWK110" s="21"/>
      <c r="OWL110" s="21"/>
      <c r="OWM110" s="21"/>
      <c r="OWN110" s="21"/>
      <c r="OWO110" s="21"/>
      <c r="OWP110" s="21"/>
      <c r="OWQ110" s="21"/>
      <c r="OWR110" s="21"/>
      <c r="OWS110" s="21"/>
      <c r="OWT110" s="21"/>
      <c r="OWU110" s="21"/>
      <c r="OWV110" s="21"/>
      <c r="OWW110" s="21"/>
      <c r="OWX110" s="21"/>
      <c r="OWY110" s="21"/>
      <c r="OWZ110" s="21"/>
      <c r="OXA110" s="21"/>
      <c r="OXB110" s="21"/>
      <c r="OXC110" s="21"/>
      <c r="OXD110" s="21"/>
      <c r="OXE110" s="21"/>
      <c r="OXF110" s="21"/>
      <c r="OXG110" s="21"/>
      <c r="OXH110" s="21"/>
      <c r="OXI110" s="21"/>
      <c r="OXJ110" s="21"/>
      <c r="OXK110" s="21"/>
      <c r="OXL110" s="21"/>
      <c r="OXM110" s="21"/>
      <c r="OXN110" s="21"/>
      <c r="OXO110" s="21"/>
      <c r="OXP110" s="21"/>
      <c r="OXQ110" s="21"/>
      <c r="OXR110" s="21"/>
      <c r="OXS110" s="21"/>
      <c r="OXT110" s="21"/>
      <c r="OXU110" s="21"/>
      <c r="OXV110" s="21"/>
      <c r="OXW110" s="21"/>
      <c r="OXX110" s="21"/>
      <c r="OXY110" s="21"/>
      <c r="OXZ110" s="21"/>
      <c r="OYA110" s="21"/>
      <c r="OYB110" s="21"/>
      <c r="OYC110" s="21"/>
      <c r="OYD110" s="21"/>
      <c r="OYE110" s="21"/>
      <c r="OYF110" s="21"/>
      <c r="OYG110" s="21"/>
      <c r="OYH110" s="21"/>
      <c r="OYI110" s="21"/>
      <c r="OYJ110" s="21"/>
      <c r="OYK110" s="21"/>
      <c r="OYL110" s="21"/>
      <c r="OYM110" s="21"/>
      <c r="OYN110" s="21"/>
      <c r="OYO110" s="21"/>
      <c r="OYP110" s="21"/>
      <c r="OYQ110" s="21"/>
      <c r="OYR110" s="21"/>
      <c r="OYS110" s="21"/>
      <c r="OYT110" s="21"/>
      <c r="OYU110" s="21"/>
      <c r="OYV110" s="21"/>
      <c r="OYW110" s="21"/>
      <c r="OYX110" s="21"/>
      <c r="OYY110" s="21"/>
      <c r="OYZ110" s="21"/>
      <c r="OZA110" s="21"/>
      <c r="OZB110" s="21"/>
      <c r="OZC110" s="21"/>
      <c r="OZD110" s="21"/>
      <c r="OZE110" s="21"/>
      <c r="OZF110" s="21"/>
      <c r="OZG110" s="21"/>
      <c r="OZH110" s="21"/>
      <c r="OZI110" s="21"/>
      <c r="OZJ110" s="21"/>
      <c r="OZK110" s="21"/>
      <c r="OZL110" s="21"/>
      <c r="OZM110" s="21"/>
      <c r="OZN110" s="21"/>
      <c r="OZO110" s="21"/>
      <c r="OZP110" s="21"/>
      <c r="OZQ110" s="21"/>
      <c r="OZR110" s="21"/>
      <c r="OZS110" s="21"/>
      <c r="OZT110" s="21"/>
      <c r="OZU110" s="21"/>
      <c r="OZV110" s="21"/>
      <c r="OZW110" s="21"/>
      <c r="OZX110" s="21"/>
      <c r="OZY110" s="21"/>
      <c r="OZZ110" s="21"/>
      <c r="PAA110" s="21"/>
      <c r="PAB110" s="21"/>
      <c r="PAC110" s="21"/>
      <c r="PAD110" s="21"/>
      <c r="PAE110" s="21"/>
      <c r="PAF110" s="21"/>
      <c r="PAG110" s="21"/>
      <c r="PAH110" s="21"/>
      <c r="PAI110" s="21"/>
      <c r="PAJ110" s="21"/>
      <c r="PAK110" s="21"/>
      <c r="PAL110" s="21"/>
      <c r="PAM110" s="21"/>
      <c r="PAN110" s="21"/>
      <c r="PAO110" s="21"/>
      <c r="PAP110" s="21"/>
      <c r="PAQ110" s="21"/>
      <c r="PAR110" s="21"/>
      <c r="PAS110" s="21"/>
      <c r="PAT110" s="21"/>
      <c r="PAU110" s="21"/>
      <c r="PAV110" s="21"/>
      <c r="PAW110" s="21"/>
      <c r="PAX110" s="21"/>
      <c r="PAY110" s="21"/>
      <c r="PAZ110" s="21"/>
      <c r="PBA110" s="21"/>
      <c r="PBB110" s="21"/>
      <c r="PBC110" s="21"/>
      <c r="PBD110" s="21"/>
      <c r="PBE110" s="21"/>
      <c r="PBF110" s="21"/>
      <c r="PBG110" s="21"/>
      <c r="PBH110" s="21"/>
      <c r="PBI110" s="21"/>
      <c r="PBJ110" s="21"/>
      <c r="PBK110" s="21"/>
      <c r="PBL110" s="21"/>
      <c r="PBM110" s="21"/>
      <c r="PBN110" s="21"/>
      <c r="PBO110" s="21"/>
      <c r="PBP110" s="21"/>
      <c r="PBQ110" s="21"/>
      <c r="PBR110" s="21"/>
      <c r="PBS110" s="21"/>
      <c r="PBT110" s="21"/>
      <c r="PBU110" s="21"/>
      <c r="PBV110" s="21"/>
      <c r="PBW110" s="21"/>
      <c r="PBX110" s="21"/>
      <c r="PBY110" s="21"/>
      <c r="PBZ110" s="21"/>
      <c r="PCA110" s="21"/>
      <c r="PCB110" s="21"/>
      <c r="PCC110" s="21"/>
      <c r="PCD110" s="21"/>
      <c r="PCE110" s="21"/>
      <c r="PCF110" s="21"/>
      <c r="PCG110" s="21"/>
      <c r="PCH110" s="21"/>
      <c r="PCI110" s="21"/>
      <c r="PCJ110" s="21"/>
      <c r="PCK110" s="21"/>
      <c r="PCL110" s="21"/>
      <c r="PCM110" s="21"/>
      <c r="PCN110" s="21"/>
      <c r="PCO110" s="21"/>
      <c r="PCP110" s="21"/>
      <c r="PCQ110" s="21"/>
      <c r="PCR110" s="21"/>
      <c r="PCS110" s="21"/>
      <c r="PCT110" s="21"/>
      <c r="PCU110" s="21"/>
      <c r="PCV110" s="21"/>
      <c r="PCW110" s="21"/>
      <c r="PCX110" s="21"/>
      <c r="PCY110" s="21"/>
      <c r="PCZ110" s="21"/>
      <c r="PDA110" s="21"/>
      <c r="PDB110" s="21"/>
      <c r="PDC110" s="21"/>
      <c r="PDD110" s="21"/>
      <c r="PDE110" s="21"/>
      <c r="PDF110" s="21"/>
      <c r="PDG110" s="21"/>
      <c r="PDH110" s="21"/>
      <c r="PDI110" s="21"/>
      <c r="PDJ110" s="21"/>
      <c r="PDK110" s="21"/>
      <c r="PDL110" s="21"/>
      <c r="PDM110" s="21"/>
      <c r="PDN110" s="21"/>
      <c r="PDO110" s="21"/>
      <c r="PDP110" s="21"/>
      <c r="PDQ110" s="21"/>
      <c r="PDR110" s="21"/>
      <c r="PDS110" s="21"/>
      <c r="PDT110" s="21"/>
      <c r="PDU110" s="21"/>
      <c r="PDV110" s="21"/>
      <c r="PDW110" s="21"/>
      <c r="PDX110" s="21"/>
      <c r="PDY110" s="21"/>
      <c r="PDZ110" s="21"/>
      <c r="PEA110" s="21"/>
      <c r="PEB110" s="21"/>
      <c r="PEC110" s="21"/>
      <c r="PED110" s="21"/>
      <c r="PEE110" s="21"/>
      <c r="PEF110" s="21"/>
      <c r="PEG110" s="21"/>
      <c r="PEH110" s="21"/>
      <c r="PEI110" s="21"/>
      <c r="PEJ110" s="21"/>
      <c r="PEK110" s="21"/>
      <c r="PEL110" s="21"/>
      <c r="PEM110" s="21"/>
      <c r="PEN110" s="21"/>
      <c r="PEO110" s="21"/>
      <c r="PEP110" s="21"/>
      <c r="PEQ110" s="21"/>
      <c r="PER110" s="21"/>
      <c r="PES110" s="21"/>
      <c r="PET110" s="21"/>
      <c r="PEU110" s="21"/>
      <c r="PEV110" s="21"/>
      <c r="PEW110" s="21"/>
      <c r="PEX110" s="21"/>
      <c r="PEY110" s="21"/>
      <c r="PEZ110" s="21"/>
      <c r="PFA110" s="21"/>
      <c r="PFB110" s="21"/>
      <c r="PFC110" s="21"/>
      <c r="PFD110" s="21"/>
      <c r="PFE110" s="21"/>
      <c r="PFF110" s="21"/>
      <c r="PFG110" s="21"/>
      <c r="PFH110" s="21"/>
      <c r="PFI110" s="21"/>
      <c r="PFJ110" s="21"/>
      <c r="PFK110" s="21"/>
      <c r="PFL110" s="21"/>
      <c r="PFM110" s="21"/>
      <c r="PFN110" s="21"/>
      <c r="PFO110" s="21"/>
      <c r="PFP110" s="21"/>
      <c r="PFQ110" s="21"/>
      <c r="PFR110" s="21"/>
      <c r="PFS110" s="21"/>
      <c r="PFT110" s="21"/>
      <c r="PFU110" s="21"/>
      <c r="PFV110" s="21"/>
      <c r="PFW110" s="21"/>
      <c r="PFX110" s="21"/>
      <c r="PFY110" s="21"/>
      <c r="PFZ110" s="21"/>
      <c r="PGA110" s="21"/>
      <c r="PGB110" s="21"/>
      <c r="PGC110" s="21"/>
      <c r="PGD110" s="21"/>
      <c r="PGE110" s="21"/>
      <c r="PGF110" s="21"/>
      <c r="PGG110" s="21"/>
      <c r="PGH110" s="21"/>
      <c r="PGI110" s="21"/>
      <c r="PGJ110" s="21"/>
      <c r="PGK110" s="21"/>
      <c r="PGL110" s="21"/>
      <c r="PGM110" s="21"/>
      <c r="PGN110" s="21"/>
      <c r="PGO110" s="21"/>
      <c r="PGP110" s="21"/>
      <c r="PGQ110" s="21"/>
      <c r="PGR110" s="21"/>
      <c r="PGS110" s="21"/>
      <c r="PGT110" s="21"/>
      <c r="PGU110" s="21"/>
      <c r="PGV110" s="21"/>
      <c r="PGW110" s="21"/>
      <c r="PGX110" s="21"/>
      <c r="PGY110" s="21"/>
      <c r="PGZ110" s="21"/>
      <c r="PHA110" s="21"/>
      <c r="PHB110" s="21"/>
      <c r="PHC110" s="21"/>
      <c r="PHD110" s="21"/>
      <c r="PHE110" s="21"/>
      <c r="PHF110" s="21"/>
      <c r="PHG110" s="21"/>
      <c r="PHH110" s="21"/>
      <c r="PHI110" s="21"/>
      <c r="PHJ110" s="21"/>
      <c r="PHK110" s="21"/>
      <c r="PHL110" s="21"/>
      <c r="PHM110" s="21"/>
      <c r="PHN110" s="21"/>
      <c r="PHO110" s="21"/>
      <c r="PHP110" s="21"/>
      <c r="PHQ110" s="21"/>
      <c r="PHR110" s="21"/>
      <c r="PHS110" s="21"/>
      <c r="PHT110" s="21"/>
      <c r="PHU110" s="21"/>
      <c r="PHV110" s="21"/>
      <c r="PHW110" s="21"/>
      <c r="PHX110" s="21"/>
      <c r="PHY110" s="21"/>
      <c r="PHZ110" s="21"/>
      <c r="PIA110" s="21"/>
      <c r="PIB110" s="21"/>
      <c r="PIC110" s="21"/>
      <c r="PID110" s="21"/>
      <c r="PIE110" s="21"/>
      <c r="PIF110" s="21"/>
      <c r="PIG110" s="21"/>
      <c r="PIH110" s="21"/>
      <c r="PII110" s="21"/>
      <c r="PIJ110" s="21"/>
      <c r="PIK110" s="21"/>
      <c r="PIL110" s="21"/>
      <c r="PIM110" s="21"/>
      <c r="PIN110" s="21"/>
      <c r="PIO110" s="21"/>
      <c r="PIP110" s="21"/>
      <c r="PIQ110" s="21"/>
      <c r="PIR110" s="21"/>
      <c r="PIS110" s="21"/>
      <c r="PIT110" s="21"/>
      <c r="PIU110" s="21"/>
      <c r="PIV110" s="21"/>
      <c r="PIW110" s="21"/>
      <c r="PIX110" s="21"/>
      <c r="PIY110" s="21"/>
      <c r="PIZ110" s="21"/>
      <c r="PJA110" s="21"/>
      <c r="PJB110" s="21"/>
      <c r="PJC110" s="21"/>
      <c r="PJD110" s="21"/>
      <c r="PJE110" s="21"/>
      <c r="PJF110" s="21"/>
      <c r="PJG110" s="21"/>
      <c r="PJH110" s="21"/>
      <c r="PJI110" s="21"/>
      <c r="PJJ110" s="21"/>
      <c r="PJK110" s="21"/>
      <c r="PJL110" s="21"/>
      <c r="PJM110" s="21"/>
      <c r="PJN110" s="21"/>
      <c r="PJO110" s="21"/>
      <c r="PJP110" s="21"/>
      <c r="PJQ110" s="21"/>
      <c r="PJR110" s="21"/>
      <c r="PJS110" s="21"/>
      <c r="PJT110" s="21"/>
      <c r="PJU110" s="21"/>
      <c r="PJV110" s="21"/>
      <c r="PJW110" s="21"/>
      <c r="PJX110" s="21"/>
      <c r="PJY110" s="21"/>
      <c r="PJZ110" s="21"/>
      <c r="PKA110" s="21"/>
      <c r="PKB110" s="21"/>
      <c r="PKC110" s="21"/>
      <c r="PKD110" s="21"/>
      <c r="PKE110" s="21"/>
      <c r="PKF110" s="21"/>
      <c r="PKG110" s="21"/>
      <c r="PKH110" s="21"/>
      <c r="PKI110" s="21"/>
      <c r="PKJ110" s="21"/>
      <c r="PKK110" s="21"/>
      <c r="PKL110" s="21"/>
      <c r="PKM110" s="21"/>
      <c r="PKN110" s="21"/>
      <c r="PKO110" s="21"/>
      <c r="PKP110" s="21"/>
      <c r="PKQ110" s="21"/>
      <c r="PKR110" s="21"/>
      <c r="PKS110" s="21"/>
      <c r="PKT110" s="21"/>
      <c r="PKU110" s="21"/>
      <c r="PKV110" s="21"/>
      <c r="PKW110" s="21"/>
      <c r="PKX110" s="21"/>
      <c r="PKY110" s="21"/>
      <c r="PKZ110" s="21"/>
      <c r="PLA110" s="21"/>
      <c r="PLB110" s="21"/>
      <c r="PLC110" s="21"/>
      <c r="PLD110" s="21"/>
      <c r="PLE110" s="21"/>
      <c r="PLF110" s="21"/>
      <c r="PLG110" s="21"/>
      <c r="PLH110" s="21"/>
      <c r="PLI110" s="21"/>
      <c r="PLJ110" s="21"/>
      <c r="PLK110" s="21"/>
      <c r="PLL110" s="21"/>
      <c r="PLM110" s="21"/>
      <c r="PLN110" s="21"/>
      <c r="PLO110" s="21"/>
      <c r="PLP110" s="21"/>
      <c r="PLQ110" s="21"/>
      <c r="PLR110" s="21"/>
      <c r="PLS110" s="21"/>
      <c r="PLT110" s="21"/>
      <c r="PLU110" s="21"/>
      <c r="PLV110" s="21"/>
      <c r="PLW110" s="21"/>
      <c r="PLX110" s="21"/>
      <c r="PLY110" s="21"/>
      <c r="PLZ110" s="21"/>
      <c r="PMA110" s="21"/>
      <c r="PMB110" s="21"/>
      <c r="PMC110" s="21"/>
      <c r="PMD110" s="21"/>
      <c r="PME110" s="21"/>
      <c r="PMF110" s="21"/>
      <c r="PMG110" s="21"/>
      <c r="PMH110" s="21"/>
      <c r="PMI110" s="21"/>
      <c r="PMJ110" s="21"/>
      <c r="PMK110" s="21"/>
      <c r="PML110" s="21"/>
      <c r="PMM110" s="21"/>
      <c r="PMN110" s="21"/>
      <c r="PMO110" s="21"/>
      <c r="PMP110" s="21"/>
      <c r="PMQ110" s="21"/>
      <c r="PMR110" s="21"/>
      <c r="PMS110" s="21"/>
      <c r="PMT110" s="21"/>
      <c r="PMU110" s="21"/>
      <c r="PMV110" s="21"/>
      <c r="PMW110" s="21"/>
      <c r="PMX110" s="21"/>
      <c r="PMY110" s="21"/>
      <c r="PMZ110" s="21"/>
      <c r="PNA110" s="21"/>
      <c r="PNB110" s="21"/>
      <c r="PNC110" s="21"/>
      <c r="PND110" s="21"/>
      <c r="PNE110" s="21"/>
      <c r="PNF110" s="21"/>
      <c r="PNG110" s="21"/>
      <c r="PNH110" s="21"/>
      <c r="PNI110" s="21"/>
      <c r="PNJ110" s="21"/>
      <c r="PNK110" s="21"/>
      <c r="PNL110" s="21"/>
      <c r="PNM110" s="21"/>
      <c r="PNN110" s="21"/>
      <c r="PNO110" s="21"/>
      <c r="PNP110" s="21"/>
      <c r="PNQ110" s="21"/>
      <c r="PNR110" s="21"/>
      <c r="PNS110" s="21"/>
      <c r="PNT110" s="21"/>
      <c r="PNU110" s="21"/>
      <c r="PNV110" s="21"/>
      <c r="PNW110" s="21"/>
      <c r="PNX110" s="21"/>
      <c r="PNY110" s="21"/>
      <c r="PNZ110" s="21"/>
      <c r="POA110" s="21"/>
      <c r="POB110" s="21"/>
      <c r="POC110" s="21"/>
      <c r="POD110" s="21"/>
      <c r="POE110" s="21"/>
      <c r="POF110" s="21"/>
      <c r="POG110" s="21"/>
      <c r="POH110" s="21"/>
      <c r="POI110" s="21"/>
      <c r="POJ110" s="21"/>
      <c r="POK110" s="21"/>
      <c r="POL110" s="21"/>
      <c r="POM110" s="21"/>
      <c r="PON110" s="21"/>
      <c r="POO110" s="21"/>
      <c r="POP110" s="21"/>
      <c r="POQ110" s="21"/>
      <c r="POR110" s="21"/>
      <c r="POS110" s="21"/>
      <c r="POT110" s="21"/>
      <c r="POU110" s="21"/>
      <c r="POV110" s="21"/>
      <c r="POW110" s="21"/>
      <c r="POX110" s="21"/>
      <c r="POY110" s="21"/>
      <c r="POZ110" s="21"/>
      <c r="PPA110" s="21"/>
      <c r="PPB110" s="21"/>
      <c r="PPC110" s="21"/>
      <c r="PPD110" s="21"/>
      <c r="PPE110" s="21"/>
      <c r="PPF110" s="21"/>
      <c r="PPG110" s="21"/>
      <c r="PPH110" s="21"/>
      <c r="PPI110" s="21"/>
      <c r="PPJ110" s="21"/>
      <c r="PPK110" s="21"/>
      <c r="PPL110" s="21"/>
      <c r="PPM110" s="21"/>
      <c r="PPN110" s="21"/>
      <c r="PPO110" s="21"/>
      <c r="PPP110" s="21"/>
      <c r="PPQ110" s="21"/>
      <c r="PPR110" s="21"/>
      <c r="PPS110" s="21"/>
      <c r="PPT110" s="21"/>
      <c r="PPU110" s="21"/>
      <c r="PPV110" s="21"/>
      <c r="PPW110" s="21"/>
      <c r="PPX110" s="21"/>
      <c r="PPY110" s="21"/>
      <c r="PPZ110" s="21"/>
      <c r="PQA110" s="21"/>
      <c r="PQB110" s="21"/>
      <c r="PQC110" s="21"/>
      <c r="PQD110" s="21"/>
      <c r="PQE110" s="21"/>
      <c r="PQF110" s="21"/>
      <c r="PQG110" s="21"/>
      <c r="PQH110" s="21"/>
      <c r="PQI110" s="21"/>
      <c r="PQJ110" s="21"/>
      <c r="PQK110" s="21"/>
      <c r="PQL110" s="21"/>
      <c r="PQM110" s="21"/>
      <c r="PQN110" s="21"/>
      <c r="PQO110" s="21"/>
      <c r="PQP110" s="21"/>
      <c r="PQQ110" s="21"/>
      <c r="PQR110" s="21"/>
      <c r="PQS110" s="21"/>
      <c r="PQT110" s="21"/>
      <c r="PQU110" s="21"/>
      <c r="PQV110" s="21"/>
      <c r="PQW110" s="21"/>
      <c r="PQX110" s="21"/>
      <c r="PQY110" s="21"/>
      <c r="PQZ110" s="21"/>
      <c r="PRA110" s="21"/>
      <c r="PRB110" s="21"/>
      <c r="PRC110" s="21"/>
      <c r="PRD110" s="21"/>
      <c r="PRE110" s="21"/>
      <c r="PRF110" s="21"/>
      <c r="PRG110" s="21"/>
      <c r="PRH110" s="21"/>
      <c r="PRI110" s="21"/>
      <c r="PRJ110" s="21"/>
      <c r="PRK110" s="21"/>
      <c r="PRL110" s="21"/>
      <c r="PRM110" s="21"/>
      <c r="PRN110" s="21"/>
      <c r="PRO110" s="21"/>
      <c r="PRP110" s="21"/>
      <c r="PRQ110" s="21"/>
      <c r="PRR110" s="21"/>
      <c r="PRS110" s="21"/>
      <c r="PRT110" s="21"/>
      <c r="PRU110" s="21"/>
      <c r="PRV110" s="21"/>
      <c r="PRW110" s="21"/>
      <c r="PRX110" s="21"/>
      <c r="PRY110" s="21"/>
      <c r="PRZ110" s="21"/>
      <c r="PSA110" s="21"/>
      <c r="PSB110" s="21"/>
      <c r="PSC110" s="21"/>
      <c r="PSD110" s="21"/>
      <c r="PSE110" s="21"/>
      <c r="PSF110" s="21"/>
      <c r="PSG110" s="21"/>
      <c r="PSH110" s="21"/>
      <c r="PSI110" s="21"/>
      <c r="PSJ110" s="21"/>
      <c r="PSK110" s="21"/>
      <c r="PSL110" s="21"/>
      <c r="PSM110" s="21"/>
      <c r="PSN110" s="21"/>
      <c r="PSO110" s="21"/>
      <c r="PSP110" s="21"/>
      <c r="PSQ110" s="21"/>
      <c r="PSR110" s="21"/>
      <c r="PSS110" s="21"/>
      <c r="PST110" s="21"/>
      <c r="PSU110" s="21"/>
      <c r="PSV110" s="21"/>
      <c r="PSW110" s="21"/>
      <c r="PSX110" s="21"/>
      <c r="PSY110" s="21"/>
      <c r="PSZ110" s="21"/>
      <c r="PTA110" s="21"/>
      <c r="PTB110" s="21"/>
      <c r="PTC110" s="21"/>
      <c r="PTD110" s="21"/>
      <c r="PTE110" s="21"/>
      <c r="PTF110" s="21"/>
      <c r="PTG110" s="21"/>
      <c r="PTH110" s="21"/>
      <c r="PTI110" s="21"/>
      <c r="PTJ110" s="21"/>
      <c r="PTK110" s="21"/>
      <c r="PTL110" s="21"/>
      <c r="PTM110" s="21"/>
      <c r="PTN110" s="21"/>
      <c r="PTO110" s="21"/>
      <c r="PTP110" s="21"/>
      <c r="PTQ110" s="21"/>
      <c r="PTR110" s="21"/>
      <c r="PTS110" s="21"/>
      <c r="PTT110" s="21"/>
      <c r="PTU110" s="21"/>
      <c r="PTV110" s="21"/>
      <c r="PTW110" s="21"/>
      <c r="PTX110" s="21"/>
      <c r="PTY110" s="21"/>
      <c r="PTZ110" s="21"/>
      <c r="PUA110" s="21"/>
      <c r="PUB110" s="21"/>
      <c r="PUC110" s="21"/>
      <c r="PUD110" s="21"/>
      <c r="PUE110" s="21"/>
      <c r="PUF110" s="21"/>
      <c r="PUG110" s="21"/>
      <c r="PUH110" s="21"/>
      <c r="PUI110" s="21"/>
      <c r="PUJ110" s="21"/>
      <c r="PUK110" s="21"/>
      <c r="PUL110" s="21"/>
      <c r="PUM110" s="21"/>
      <c r="PUN110" s="21"/>
      <c r="PUO110" s="21"/>
      <c r="PUP110" s="21"/>
      <c r="PUQ110" s="21"/>
      <c r="PUR110" s="21"/>
      <c r="PUS110" s="21"/>
      <c r="PUT110" s="21"/>
      <c r="PUU110" s="21"/>
      <c r="PUV110" s="21"/>
      <c r="PUW110" s="21"/>
      <c r="PUX110" s="21"/>
      <c r="PUY110" s="21"/>
      <c r="PUZ110" s="21"/>
      <c r="PVA110" s="21"/>
      <c r="PVB110" s="21"/>
      <c r="PVC110" s="21"/>
      <c r="PVD110" s="21"/>
      <c r="PVE110" s="21"/>
      <c r="PVF110" s="21"/>
      <c r="PVG110" s="21"/>
      <c r="PVH110" s="21"/>
      <c r="PVI110" s="21"/>
      <c r="PVJ110" s="21"/>
      <c r="PVK110" s="21"/>
      <c r="PVL110" s="21"/>
      <c r="PVM110" s="21"/>
      <c r="PVN110" s="21"/>
      <c r="PVO110" s="21"/>
      <c r="PVP110" s="21"/>
      <c r="PVQ110" s="21"/>
      <c r="PVR110" s="21"/>
      <c r="PVS110" s="21"/>
      <c r="PVT110" s="21"/>
      <c r="PVU110" s="21"/>
      <c r="PVV110" s="21"/>
      <c r="PVW110" s="21"/>
      <c r="PVX110" s="21"/>
      <c r="PVY110" s="21"/>
      <c r="PVZ110" s="21"/>
      <c r="PWA110" s="21"/>
      <c r="PWB110" s="21"/>
      <c r="PWC110" s="21"/>
      <c r="PWD110" s="21"/>
      <c r="PWE110" s="21"/>
      <c r="PWF110" s="21"/>
      <c r="PWG110" s="21"/>
      <c r="PWH110" s="21"/>
      <c r="PWI110" s="21"/>
      <c r="PWJ110" s="21"/>
      <c r="PWK110" s="21"/>
      <c r="PWL110" s="21"/>
      <c r="PWM110" s="21"/>
      <c r="PWN110" s="21"/>
      <c r="PWO110" s="21"/>
      <c r="PWP110" s="21"/>
      <c r="PWQ110" s="21"/>
      <c r="PWR110" s="21"/>
      <c r="PWS110" s="21"/>
      <c r="PWT110" s="21"/>
      <c r="PWU110" s="21"/>
      <c r="PWV110" s="21"/>
      <c r="PWW110" s="21"/>
      <c r="PWX110" s="21"/>
      <c r="PWY110" s="21"/>
      <c r="PWZ110" s="21"/>
      <c r="PXA110" s="21"/>
      <c r="PXB110" s="21"/>
      <c r="PXC110" s="21"/>
      <c r="PXD110" s="21"/>
      <c r="PXE110" s="21"/>
      <c r="PXF110" s="21"/>
      <c r="PXG110" s="21"/>
      <c r="PXH110" s="21"/>
      <c r="PXI110" s="21"/>
      <c r="PXJ110" s="21"/>
      <c r="PXK110" s="21"/>
      <c r="PXL110" s="21"/>
      <c r="PXM110" s="21"/>
      <c r="PXN110" s="21"/>
      <c r="PXO110" s="21"/>
      <c r="PXP110" s="21"/>
      <c r="PXQ110" s="21"/>
      <c r="PXR110" s="21"/>
      <c r="PXS110" s="21"/>
      <c r="PXT110" s="21"/>
      <c r="PXU110" s="21"/>
      <c r="PXV110" s="21"/>
      <c r="PXW110" s="21"/>
      <c r="PXX110" s="21"/>
      <c r="PXY110" s="21"/>
      <c r="PXZ110" s="21"/>
      <c r="PYA110" s="21"/>
      <c r="PYB110" s="21"/>
      <c r="PYC110" s="21"/>
      <c r="PYD110" s="21"/>
      <c r="PYE110" s="21"/>
      <c r="PYF110" s="21"/>
      <c r="PYG110" s="21"/>
      <c r="PYH110" s="21"/>
      <c r="PYI110" s="21"/>
      <c r="PYJ110" s="21"/>
      <c r="PYK110" s="21"/>
      <c r="PYL110" s="21"/>
      <c r="PYM110" s="21"/>
      <c r="PYN110" s="21"/>
      <c r="PYO110" s="21"/>
      <c r="PYP110" s="21"/>
      <c r="PYQ110" s="21"/>
      <c r="PYR110" s="21"/>
      <c r="PYS110" s="21"/>
      <c r="PYT110" s="21"/>
      <c r="PYU110" s="21"/>
      <c r="PYV110" s="21"/>
      <c r="PYW110" s="21"/>
      <c r="PYX110" s="21"/>
      <c r="PYY110" s="21"/>
      <c r="PYZ110" s="21"/>
      <c r="PZA110" s="21"/>
      <c r="PZB110" s="21"/>
      <c r="PZC110" s="21"/>
      <c r="PZD110" s="21"/>
      <c r="PZE110" s="21"/>
      <c r="PZF110" s="21"/>
      <c r="PZG110" s="21"/>
      <c r="PZH110" s="21"/>
      <c r="PZI110" s="21"/>
      <c r="PZJ110" s="21"/>
      <c r="PZK110" s="21"/>
      <c r="PZL110" s="21"/>
      <c r="PZM110" s="21"/>
      <c r="PZN110" s="21"/>
      <c r="PZO110" s="21"/>
      <c r="PZP110" s="21"/>
      <c r="PZQ110" s="21"/>
      <c r="PZR110" s="21"/>
      <c r="PZS110" s="21"/>
      <c r="PZT110" s="21"/>
      <c r="PZU110" s="21"/>
      <c r="PZV110" s="21"/>
      <c r="PZW110" s="21"/>
      <c r="PZX110" s="21"/>
      <c r="PZY110" s="21"/>
      <c r="PZZ110" s="21"/>
      <c r="QAA110" s="21"/>
      <c r="QAB110" s="21"/>
      <c r="QAC110" s="21"/>
      <c r="QAD110" s="21"/>
      <c r="QAE110" s="21"/>
      <c r="QAF110" s="21"/>
      <c r="QAG110" s="21"/>
      <c r="QAH110" s="21"/>
      <c r="QAI110" s="21"/>
      <c r="QAJ110" s="21"/>
      <c r="QAK110" s="21"/>
      <c r="QAL110" s="21"/>
      <c r="QAM110" s="21"/>
      <c r="QAN110" s="21"/>
      <c r="QAO110" s="21"/>
      <c r="QAP110" s="21"/>
      <c r="QAQ110" s="21"/>
      <c r="QAR110" s="21"/>
      <c r="QAS110" s="21"/>
      <c r="QAT110" s="21"/>
      <c r="QAU110" s="21"/>
      <c r="QAV110" s="21"/>
      <c r="QAW110" s="21"/>
      <c r="QAX110" s="21"/>
      <c r="QAY110" s="21"/>
      <c r="QAZ110" s="21"/>
      <c r="QBA110" s="21"/>
      <c r="QBB110" s="21"/>
      <c r="QBC110" s="21"/>
      <c r="QBD110" s="21"/>
      <c r="QBE110" s="21"/>
      <c r="QBF110" s="21"/>
      <c r="QBG110" s="21"/>
      <c r="QBH110" s="21"/>
      <c r="QBI110" s="21"/>
      <c r="QBJ110" s="21"/>
      <c r="QBK110" s="21"/>
      <c r="QBL110" s="21"/>
      <c r="QBM110" s="21"/>
      <c r="QBN110" s="21"/>
      <c r="QBO110" s="21"/>
      <c r="QBP110" s="21"/>
      <c r="QBQ110" s="21"/>
      <c r="QBR110" s="21"/>
      <c r="QBS110" s="21"/>
      <c r="QBT110" s="21"/>
      <c r="QBU110" s="21"/>
      <c r="QBV110" s="21"/>
      <c r="QBW110" s="21"/>
      <c r="QBX110" s="21"/>
      <c r="QBY110" s="21"/>
      <c r="QBZ110" s="21"/>
      <c r="QCA110" s="21"/>
      <c r="QCB110" s="21"/>
      <c r="QCC110" s="21"/>
      <c r="QCD110" s="21"/>
      <c r="QCE110" s="21"/>
      <c r="QCF110" s="21"/>
      <c r="QCG110" s="21"/>
      <c r="QCH110" s="21"/>
      <c r="QCI110" s="21"/>
      <c r="QCJ110" s="21"/>
      <c r="QCK110" s="21"/>
      <c r="QCL110" s="21"/>
      <c r="QCM110" s="21"/>
      <c r="QCN110" s="21"/>
      <c r="QCO110" s="21"/>
      <c r="QCP110" s="21"/>
      <c r="QCQ110" s="21"/>
      <c r="QCR110" s="21"/>
      <c r="QCS110" s="21"/>
      <c r="QCT110" s="21"/>
      <c r="QCU110" s="21"/>
      <c r="QCV110" s="21"/>
      <c r="QCW110" s="21"/>
      <c r="QCX110" s="21"/>
      <c r="QCY110" s="21"/>
      <c r="QCZ110" s="21"/>
      <c r="QDA110" s="21"/>
      <c r="QDB110" s="21"/>
      <c r="QDC110" s="21"/>
      <c r="QDD110" s="21"/>
      <c r="QDE110" s="21"/>
      <c r="QDF110" s="21"/>
      <c r="QDG110" s="21"/>
      <c r="QDH110" s="21"/>
      <c r="QDI110" s="21"/>
      <c r="QDJ110" s="21"/>
      <c r="QDK110" s="21"/>
      <c r="QDL110" s="21"/>
      <c r="QDM110" s="21"/>
      <c r="QDN110" s="21"/>
      <c r="QDO110" s="21"/>
      <c r="QDP110" s="21"/>
      <c r="QDQ110" s="21"/>
      <c r="QDR110" s="21"/>
      <c r="QDS110" s="21"/>
      <c r="QDT110" s="21"/>
      <c r="QDU110" s="21"/>
      <c r="QDV110" s="21"/>
      <c r="QDW110" s="21"/>
      <c r="QDX110" s="21"/>
      <c r="QDY110" s="21"/>
      <c r="QDZ110" s="21"/>
      <c r="QEA110" s="21"/>
      <c r="QEB110" s="21"/>
      <c r="QEC110" s="21"/>
      <c r="QED110" s="21"/>
      <c r="QEE110" s="21"/>
      <c r="QEF110" s="21"/>
      <c r="QEG110" s="21"/>
      <c r="QEH110" s="21"/>
      <c r="QEI110" s="21"/>
      <c r="QEJ110" s="21"/>
      <c r="QEK110" s="21"/>
      <c r="QEL110" s="21"/>
      <c r="QEM110" s="21"/>
      <c r="QEN110" s="21"/>
      <c r="QEO110" s="21"/>
      <c r="QEP110" s="21"/>
      <c r="QEQ110" s="21"/>
      <c r="QER110" s="21"/>
      <c r="QES110" s="21"/>
      <c r="QET110" s="21"/>
      <c r="QEU110" s="21"/>
      <c r="QEV110" s="21"/>
      <c r="QEW110" s="21"/>
      <c r="QEX110" s="21"/>
      <c r="QEY110" s="21"/>
      <c r="QEZ110" s="21"/>
      <c r="QFA110" s="21"/>
      <c r="QFB110" s="21"/>
      <c r="QFC110" s="21"/>
      <c r="QFD110" s="21"/>
      <c r="QFE110" s="21"/>
      <c r="QFF110" s="21"/>
      <c r="QFG110" s="21"/>
      <c r="QFH110" s="21"/>
      <c r="QFI110" s="21"/>
      <c r="QFJ110" s="21"/>
      <c r="QFK110" s="21"/>
      <c r="QFL110" s="21"/>
      <c r="QFM110" s="21"/>
      <c r="QFN110" s="21"/>
      <c r="QFO110" s="21"/>
      <c r="QFP110" s="21"/>
      <c r="QFQ110" s="21"/>
      <c r="QFR110" s="21"/>
      <c r="QFS110" s="21"/>
      <c r="QFT110" s="21"/>
      <c r="QFU110" s="21"/>
      <c r="QFV110" s="21"/>
      <c r="QFW110" s="21"/>
      <c r="QFX110" s="21"/>
      <c r="QFY110" s="21"/>
      <c r="QFZ110" s="21"/>
      <c r="QGA110" s="21"/>
      <c r="QGB110" s="21"/>
      <c r="QGC110" s="21"/>
      <c r="QGD110" s="21"/>
      <c r="QGE110" s="21"/>
      <c r="QGF110" s="21"/>
      <c r="QGG110" s="21"/>
      <c r="QGH110" s="21"/>
      <c r="QGI110" s="21"/>
      <c r="QGJ110" s="21"/>
      <c r="QGK110" s="21"/>
      <c r="QGL110" s="21"/>
      <c r="QGM110" s="21"/>
      <c r="QGN110" s="21"/>
      <c r="QGO110" s="21"/>
      <c r="QGP110" s="21"/>
      <c r="QGQ110" s="21"/>
      <c r="QGR110" s="21"/>
      <c r="QGS110" s="21"/>
      <c r="QGT110" s="21"/>
      <c r="QGU110" s="21"/>
      <c r="QGV110" s="21"/>
      <c r="QGW110" s="21"/>
      <c r="QGX110" s="21"/>
      <c r="QGY110" s="21"/>
      <c r="QGZ110" s="21"/>
      <c r="QHA110" s="21"/>
      <c r="QHB110" s="21"/>
      <c r="QHC110" s="21"/>
      <c r="QHD110" s="21"/>
      <c r="QHE110" s="21"/>
      <c r="QHF110" s="21"/>
      <c r="QHG110" s="21"/>
      <c r="QHH110" s="21"/>
      <c r="QHI110" s="21"/>
      <c r="QHJ110" s="21"/>
      <c r="QHK110" s="21"/>
      <c r="QHL110" s="21"/>
      <c r="QHM110" s="21"/>
      <c r="QHN110" s="21"/>
      <c r="QHO110" s="21"/>
      <c r="QHP110" s="21"/>
      <c r="QHQ110" s="21"/>
      <c r="QHR110" s="21"/>
      <c r="QHS110" s="21"/>
      <c r="QHT110" s="21"/>
      <c r="QHU110" s="21"/>
      <c r="QHV110" s="21"/>
      <c r="QHW110" s="21"/>
      <c r="QHX110" s="21"/>
      <c r="QHY110" s="21"/>
      <c r="QHZ110" s="21"/>
      <c r="QIA110" s="21"/>
      <c r="QIB110" s="21"/>
      <c r="QIC110" s="21"/>
      <c r="QID110" s="21"/>
      <c r="QIE110" s="21"/>
      <c r="QIF110" s="21"/>
      <c r="QIG110" s="21"/>
      <c r="QIH110" s="21"/>
      <c r="QII110" s="21"/>
      <c r="QIJ110" s="21"/>
      <c r="QIK110" s="21"/>
      <c r="QIL110" s="21"/>
      <c r="QIM110" s="21"/>
      <c r="QIN110" s="21"/>
      <c r="QIO110" s="21"/>
      <c r="QIP110" s="21"/>
      <c r="QIQ110" s="21"/>
      <c r="QIR110" s="21"/>
      <c r="QIS110" s="21"/>
      <c r="QIT110" s="21"/>
      <c r="QIU110" s="21"/>
      <c r="QIV110" s="21"/>
      <c r="QIW110" s="21"/>
      <c r="QIX110" s="21"/>
      <c r="QIY110" s="21"/>
      <c r="QIZ110" s="21"/>
      <c r="QJA110" s="21"/>
      <c r="QJB110" s="21"/>
      <c r="QJC110" s="21"/>
      <c r="QJD110" s="21"/>
      <c r="QJE110" s="21"/>
      <c r="QJF110" s="21"/>
      <c r="QJG110" s="21"/>
      <c r="QJH110" s="21"/>
      <c r="QJI110" s="21"/>
      <c r="QJJ110" s="21"/>
      <c r="QJK110" s="21"/>
      <c r="QJL110" s="21"/>
      <c r="QJM110" s="21"/>
      <c r="QJN110" s="21"/>
      <c r="QJO110" s="21"/>
      <c r="QJP110" s="21"/>
      <c r="QJQ110" s="21"/>
      <c r="QJR110" s="21"/>
      <c r="QJS110" s="21"/>
      <c r="QJT110" s="21"/>
      <c r="QJU110" s="21"/>
      <c r="QJV110" s="21"/>
      <c r="QJW110" s="21"/>
      <c r="QJX110" s="21"/>
      <c r="QJY110" s="21"/>
      <c r="QJZ110" s="21"/>
      <c r="QKA110" s="21"/>
      <c r="QKB110" s="21"/>
      <c r="QKC110" s="21"/>
      <c r="QKD110" s="21"/>
      <c r="QKE110" s="21"/>
      <c r="QKF110" s="21"/>
      <c r="QKG110" s="21"/>
      <c r="QKH110" s="21"/>
      <c r="QKI110" s="21"/>
      <c r="QKJ110" s="21"/>
      <c r="QKK110" s="21"/>
      <c r="QKL110" s="21"/>
      <c r="QKM110" s="21"/>
      <c r="QKN110" s="21"/>
      <c r="QKO110" s="21"/>
      <c r="QKP110" s="21"/>
      <c r="QKQ110" s="21"/>
      <c r="QKR110" s="21"/>
      <c r="QKS110" s="21"/>
      <c r="QKT110" s="21"/>
      <c r="QKU110" s="21"/>
      <c r="QKV110" s="21"/>
      <c r="QKW110" s="21"/>
      <c r="QKX110" s="21"/>
      <c r="QKY110" s="21"/>
      <c r="QKZ110" s="21"/>
      <c r="QLA110" s="21"/>
      <c r="QLB110" s="21"/>
      <c r="QLC110" s="21"/>
      <c r="QLD110" s="21"/>
      <c r="QLE110" s="21"/>
      <c r="QLF110" s="21"/>
      <c r="QLG110" s="21"/>
      <c r="QLH110" s="21"/>
      <c r="QLI110" s="21"/>
      <c r="QLJ110" s="21"/>
      <c r="QLK110" s="21"/>
      <c r="QLL110" s="21"/>
      <c r="QLM110" s="21"/>
      <c r="QLN110" s="21"/>
      <c r="QLO110" s="21"/>
      <c r="QLP110" s="21"/>
      <c r="QLQ110" s="21"/>
      <c r="QLR110" s="21"/>
      <c r="QLS110" s="21"/>
      <c r="QLT110" s="21"/>
      <c r="QLU110" s="21"/>
      <c r="QLV110" s="21"/>
      <c r="QLW110" s="21"/>
      <c r="QLX110" s="21"/>
      <c r="QLY110" s="21"/>
      <c r="QLZ110" s="21"/>
      <c r="QMA110" s="21"/>
      <c r="QMB110" s="21"/>
      <c r="QMC110" s="21"/>
      <c r="QMD110" s="21"/>
      <c r="QME110" s="21"/>
      <c r="QMF110" s="21"/>
      <c r="QMG110" s="21"/>
      <c r="QMH110" s="21"/>
      <c r="QMI110" s="21"/>
      <c r="QMJ110" s="21"/>
      <c r="QMK110" s="21"/>
      <c r="QML110" s="21"/>
      <c r="QMM110" s="21"/>
      <c r="QMN110" s="21"/>
      <c r="QMO110" s="21"/>
      <c r="QMP110" s="21"/>
      <c r="QMQ110" s="21"/>
      <c r="QMR110" s="21"/>
      <c r="QMS110" s="21"/>
      <c r="QMT110" s="21"/>
      <c r="QMU110" s="21"/>
      <c r="QMV110" s="21"/>
      <c r="QMW110" s="21"/>
      <c r="QMX110" s="21"/>
      <c r="QMY110" s="21"/>
      <c r="QMZ110" s="21"/>
      <c r="QNA110" s="21"/>
      <c r="QNB110" s="21"/>
      <c r="QNC110" s="21"/>
      <c r="QND110" s="21"/>
      <c r="QNE110" s="21"/>
      <c r="QNF110" s="21"/>
      <c r="QNG110" s="21"/>
      <c r="QNH110" s="21"/>
      <c r="QNI110" s="21"/>
      <c r="QNJ110" s="21"/>
      <c r="QNK110" s="21"/>
      <c r="QNL110" s="21"/>
      <c r="QNM110" s="21"/>
      <c r="QNN110" s="21"/>
      <c r="QNO110" s="21"/>
      <c r="QNP110" s="21"/>
      <c r="QNQ110" s="21"/>
      <c r="QNR110" s="21"/>
      <c r="QNS110" s="21"/>
      <c r="QNT110" s="21"/>
      <c r="QNU110" s="21"/>
      <c r="QNV110" s="21"/>
      <c r="QNW110" s="21"/>
      <c r="QNX110" s="21"/>
      <c r="QNY110" s="21"/>
      <c r="QNZ110" s="21"/>
      <c r="QOA110" s="21"/>
      <c r="QOB110" s="21"/>
      <c r="QOC110" s="21"/>
      <c r="QOD110" s="21"/>
      <c r="QOE110" s="21"/>
      <c r="QOF110" s="21"/>
      <c r="QOG110" s="21"/>
      <c r="QOH110" s="21"/>
      <c r="QOI110" s="21"/>
      <c r="QOJ110" s="21"/>
      <c r="QOK110" s="21"/>
      <c r="QOL110" s="21"/>
      <c r="QOM110" s="21"/>
      <c r="QON110" s="21"/>
      <c r="QOO110" s="21"/>
      <c r="QOP110" s="21"/>
      <c r="QOQ110" s="21"/>
      <c r="QOR110" s="21"/>
      <c r="QOS110" s="21"/>
      <c r="QOT110" s="21"/>
      <c r="QOU110" s="21"/>
      <c r="QOV110" s="21"/>
      <c r="QOW110" s="21"/>
      <c r="QOX110" s="21"/>
      <c r="QOY110" s="21"/>
      <c r="QOZ110" s="21"/>
      <c r="QPA110" s="21"/>
      <c r="QPB110" s="21"/>
      <c r="QPC110" s="21"/>
      <c r="QPD110" s="21"/>
      <c r="QPE110" s="21"/>
      <c r="QPF110" s="21"/>
      <c r="QPG110" s="21"/>
      <c r="QPH110" s="21"/>
      <c r="QPI110" s="21"/>
      <c r="QPJ110" s="21"/>
      <c r="QPK110" s="21"/>
      <c r="QPL110" s="21"/>
      <c r="QPM110" s="21"/>
      <c r="QPN110" s="21"/>
      <c r="QPO110" s="21"/>
      <c r="QPP110" s="21"/>
      <c r="QPQ110" s="21"/>
      <c r="QPR110" s="21"/>
      <c r="QPS110" s="21"/>
      <c r="QPT110" s="21"/>
      <c r="QPU110" s="21"/>
      <c r="QPV110" s="21"/>
      <c r="QPW110" s="21"/>
      <c r="QPX110" s="21"/>
      <c r="QPY110" s="21"/>
      <c r="QPZ110" s="21"/>
      <c r="QQA110" s="21"/>
      <c r="QQB110" s="21"/>
      <c r="QQC110" s="21"/>
      <c r="QQD110" s="21"/>
      <c r="QQE110" s="21"/>
      <c r="QQF110" s="21"/>
      <c r="QQG110" s="21"/>
      <c r="QQH110" s="21"/>
      <c r="QQI110" s="21"/>
      <c r="QQJ110" s="21"/>
      <c r="QQK110" s="21"/>
      <c r="QQL110" s="21"/>
      <c r="QQM110" s="21"/>
      <c r="QQN110" s="21"/>
      <c r="QQO110" s="21"/>
      <c r="QQP110" s="21"/>
      <c r="QQQ110" s="21"/>
      <c r="QQR110" s="21"/>
      <c r="QQS110" s="21"/>
      <c r="QQT110" s="21"/>
      <c r="QQU110" s="21"/>
      <c r="QQV110" s="21"/>
      <c r="QQW110" s="21"/>
      <c r="QQX110" s="21"/>
      <c r="QQY110" s="21"/>
      <c r="QQZ110" s="21"/>
      <c r="QRA110" s="21"/>
      <c r="QRB110" s="21"/>
      <c r="QRC110" s="21"/>
      <c r="QRD110" s="21"/>
      <c r="QRE110" s="21"/>
      <c r="QRF110" s="21"/>
      <c r="QRG110" s="21"/>
      <c r="QRH110" s="21"/>
      <c r="QRI110" s="21"/>
      <c r="QRJ110" s="21"/>
      <c r="QRK110" s="21"/>
      <c r="QRL110" s="21"/>
      <c r="QRM110" s="21"/>
      <c r="QRN110" s="21"/>
      <c r="QRO110" s="21"/>
      <c r="QRP110" s="21"/>
      <c r="QRQ110" s="21"/>
      <c r="QRR110" s="21"/>
      <c r="QRS110" s="21"/>
      <c r="QRT110" s="21"/>
      <c r="QRU110" s="21"/>
      <c r="QRV110" s="21"/>
      <c r="QRW110" s="21"/>
      <c r="QRX110" s="21"/>
      <c r="QRY110" s="21"/>
      <c r="QRZ110" s="21"/>
      <c r="QSA110" s="21"/>
      <c r="QSB110" s="21"/>
      <c r="QSC110" s="21"/>
      <c r="QSD110" s="21"/>
      <c r="QSE110" s="21"/>
      <c r="QSF110" s="21"/>
      <c r="QSG110" s="21"/>
      <c r="QSH110" s="21"/>
      <c r="QSI110" s="21"/>
      <c r="QSJ110" s="21"/>
      <c r="QSK110" s="21"/>
      <c r="QSL110" s="21"/>
      <c r="QSM110" s="21"/>
      <c r="QSN110" s="21"/>
      <c r="QSO110" s="21"/>
      <c r="QSP110" s="21"/>
      <c r="QSQ110" s="21"/>
      <c r="QSR110" s="21"/>
      <c r="QSS110" s="21"/>
      <c r="QST110" s="21"/>
      <c r="QSU110" s="21"/>
      <c r="QSV110" s="21"/>
      <c r="QSW110" s="21"/>
      <c r="QSX110" s="21"/>
      <c r="QSY110" s="21"/>
      <c r="QSZ110" s="21"/>
      <c r="QTA110" s="21"/>
      <c r="QTB110" s="21"/>
      <c r="QTC110" s="21"/>
      <c r="QTD110" s="21"/>
      <c r="QTE110" s="21"/>
      <c r="QTF110" s="21"/>
      <c r="QTG110" s="21"/>
      <c r="QTH110" s="21"/>
      <c r="QTI110" s="21"/>
      <c r="QTJ110" s="21"/>
      <c r="QTK110" s="21"/>
      <c r="QTL110" s="21"/>
      <c r="QTM110" s="21"/>
      <c r="QTN110" s="21"/>
      <c r="QTO110" s="21"/>
      <c r="QTP110" s="21"/>
      <c r="QTQ110" s="21"/>
      <c r="QTR110" s="21"/>
      <c r="QTS110" s="21"/>
      <c r="QTT110" s="21"/>
      <c r="QTU110" s="21"/>
      <c r="QTV110" s="21"/>
      <c r="QTW110" s="21"/>
      <c r="QTX110" s="21"/>
      <c r="QTY110" s="21"/>
      <c r="QTZ110" s="21"/>
      <c r="QUA110" s="21"/>
      <c r="QUB110" s="21"/>
      <c r="QUC110" s="21"/>
      <c r="QUD110" s="21"/>
      <c r="QUE110" s="21"/>
      <c r="QUF110" s="21"/>
      <c r="QUG110" s="21"/>
      <c r="QUH110" s="21"/>
      <c r="QUI110" s="21"/>
      <c r="QUJ110" s="21"/>
      <c r="QUK110" s="21"/>
      <c r="QUL110" s="21"/>
      <c r="QUM110" s="21"/>
      <c r="QUN110" s="21"/>
      <c r="QUO110" s="21"/>
      <c r="QUP110" s="21"/>
      <c r="QUQ110" s="21"/>
      <c r="QUR110" s="21"/>
      <c r="QUS110" s="21"/>
      <c r="QUT110" s="21"/>
      <c r="QUU110" s="21"/>
      <c r="QUV110" s="21"/>
      <c r="QUW110" s="21"/>
      <c r="QUX110" s="21"/>
      <c r="QUY110" s="21"/>
      <c r="QUZ110" s="21"/>
      <c r="QVA110" s="21"/>
      <c r="QVB110" s="21"/>
      <c r="QVC110" s="21"/>
      <c r="QVD110" s="21"/>
      <c r="QVE110" s="21"/>
      <c r="QVF110" s="21"/>
      <c r="QVG110" s="21"/>
      <c r="QVH110" s="21"/>
      <c r="QVI110" s="21"/>
      <c r="QVJ110" s="21"/>
      <c r="QVK110" s="21"/>
      <c r="QVL110" s="21"/>
      <c r="QVM110" s="21"/>
      <c r="QVN110" s="21"/>
      <c r="QVO110" s="21"/>
      <c r="QVP110" s="21"/>
      <c r="QVQ110" s="21"/>
      <c r="QVR110" s="21"/>
      <c r="QVS110" s="21"/>
      <c r="QVT110" s="21"/>
      <c r="QVU110" s="21"/>
      <c r="QVV110" s="21"/>
      <c r="QVW110" s="21"/>
      <c r="QVX110" s="21"/>
      <c r="QVY110" s="21"/>
      <c r="QVZ110" s="21"/>
      <c r="QWA110" s="21"/>
      <c r="QWB110" s="21"/>
      <c r="QWC110" s="21"/>
      <c r="QWD110" s="21"/>
      <c r="QWE110" s="21"/>
      <c r="QWF110" s="21"/>
      <c r="QWG110" s="21"/>
      <c r="QWH110" s="21"/>
      <c r="QWI110" s="21"/>
      <c r="QWJ110" s="21"/>
      <c r="QWK110" s="21"/>
      <c r="QWL110" s="21"/>
      <c r="QWM110" s="21"/>
      <c r="QWN110" s="21"/>
      <c r="QWO110" s="21"/>
      <c r="QWP110" s="21"/>
      <c r="QWQ110" s="21"/>
      <c r="QWR110" s="21"/>
      <c r="QWS110" s="21"/>
      <c r="QWT110" s="21"/>
      <c r="QWU110" s="21"/>
      <c r="QWV110" s="21"/>
      <c r="QWW110" s="21"/>
      <c r="QWX110" s="21"/>
      <c r="QWY110" s="21"/>
      <c r="QWZ110" s="21"/>
      <c r="QXA110" s="21"/>
      <c r="QXB110" s="21"/>
      <c r="QXC110" s="21"/>
      <c r="QXD110" s="21"/>
      <c r="QXE110" s="21"/>
      <c r="QXF110" s="21"/>
      <c r="QXG110" s="21"/>
      <c r="QXH110" s="21"/>
      <c r="QXI110" s="21"/>
      <c r="QXJ110" s="21"/>
      <c r="QXK110" s="21"/>
      <c r="QXL110" s="21"/>
      <c r="QXM110" s="21"/>
      <c r="QXN110" s="21"/>
      <c r="QXO110" s="21"/>
      <c r="QXP110" s="21"/>
      <c r="QXQ110" s="21"/>
      <c r="QXR110" s="21"/>
      <c r="QXS110" s="21"/>
      <c r="QXT110" s="21"/>
      <c r="QXU110" s="21"/>
      <c r="QXV110" s="21"/>
      <c r="QXW110" s="21"/>
      <c r="QXX110" s="21"/>
      <c r="QXY110" s="21"/>
      <c r="QXZ110" s="21"/>
      <c r="QYA110" s="21"/>
      <c r="QYB110" s="21"/>
      <c r="QYC110" s="21"/>
      <c r="QYD110" s="21"/>
      <c r="QYE110" s="21"/>
      <c r="QYF110" s="21"/>
      <c r="QYG110" s="21"/>
      <c r="QYH110" s="21"/>
      <c r="QYI110" s="21"/>
      <c r="QYJ110" s="21"/>
      <c r="QYK110" s="21"/>
      <c r="QYL110" s="21"/>
      <c r="QYM110" s="21"/>
      <c r="QYN110" s="21"/>
      <c r="QYO110" s="21"/>
      <c r="QYP110" s="21"/>
      <c r="QYQ110" s="21"/>
      <c r="QYR110" s="21"/>
      <c r="QYS110" s="21"/>
      <c r="QYT110" s="21"/>
      <c r="QYU110" s="21"/>
      <c r="QYV110" s="21"/>
      <c r="QYW110" s="21"/>
      <c r="QYX110" s="21"/>
      <c r="QYY110" s="21"/>
      <c r="QYZ110" s="21"/>
      <c r="QZA110" s="21"/>
      <c r="QZB110" s="21"/>
      <c r="QZC110" s="21"/>
      <c r="QZD110" s="21"/>
      <c r="QZE110" s="21"/>
      <c r="QZF110" s="21"/>
      <c r="QZG110" s="21"/>
      <c r="QZH110" s="21"/>
      <c r="QZI110" s="21"/>
      <c r="QZJ110" s="21"/>
      <c r="QZK110" s="21"/>
      <c r="QZL110" s="21"/>
      <c r="QZM110" s="21"/>
      <c r="QZN110" s="21"/>
      <c r="QZO110" s="21"/>
      <c r="QZP110" s="21"/>
      <c r="QZQ110" s="21"/>
      <c r="QZR110" s="21"/>
      <c r="QZS110" s="21"/>
      <c r="QZT110" s="21"/>
      <c r="QZU110" s="21"/>
      <c r="QZV110" s="21"/>
      <c r="QZW110" s="21"/>
      <c r="QZX110" s="21"/>
      <c r="QZY110" s="21"/>
      <c r="QZZ110" s="21"/>
      <c r="RAA110" s="21"/>
      <c r="RAB110" s="21"/>
      <c r="RAC110" s="21"/>
      <c r="RAD110" s="21"/>
      <c r="RAE110" s="21"/>
      <c r="RAF110" s="21"/>
      <c r="RAG110" s="21"/>
      <c r="RAH110" s="21"/>
      <c r="RAI110" s="21"/>
      <c r="RAJ110" s="21"/>
      <c r="RAK110" s="21"/>
      <c r="RAL110" s="21"/>
      <c r="RAM110" s="21"/>
      <c r="RAN110" s="21"/>
      <c r="RAO110" s="21"/>
      <c r="RAP110" s="21"/>
      <c r="RAQ110" s="21"/>
      <c r="RAR110" s="21"/>
      <c r="RAS110" s="21"/>
      <c r="RAT110" s="21"/>
      <c r="RAU110" s="21"/>
      <c r="RAV110" s="21"/>
      <c r="RAW110" s="21"/>
      <c r="RAX110" s="21"/>
      <c r="RAY110" s="21"/>
      <c r="RAZ110" s="21"/>
      <c r="RBA110" s="21"/>
      <c r="RBB110" s="21"/>
      <c r="RBC110" s="21"/>
      <c r="RBD110" s="21"/>
      <c r="RBE110" s="21"/>
      <c r="RBF110" s="21"/>
      <c r="RBG110" s="21"/>
      <c r="RBH110" s="21"/>
      <c r="RBI110" s="21"/>
      <c r="RBJ110" s="21"/>
      <c r="RBK110" s="21"/>
      <c r="RBL110" s="21"/>
      <c r="RBM110" s="21"/>
      <c r="RBN110" s="21"/>
      <c r="RBO110" s="21"/>
      <c r="RBP110" s="21"/>
      <c r="RBQ110" s="21"/>
      <c r="RBR110" s="21"/>
      <c r="RBS110" s="21"/>
      <c r="RBT110" s="21"/>
      <c r="RBU110" s="21"/>
      <c r="RBV110" s="21"/>
      <c r="RBW110" s="21"/>
      <c r="RBX110" s="21"/>
      <c r="RBY110" s="21"/>
      <c r="RBZ110" s="21"/>
      <c r="RCA110" s="21"/>
      <c r="RCB110" s="21"/>
      <c r="RCC110" s="21"/>
      <c r="RCD110" s="21"/>
      <c r="RCE110" s="21"/>
      <c r="RCF110" s="21"/>
      <c r="RCG110" s="21"/>
      <c r="RCH110" s="21"/>
      <c r="RCI110" s="21"/>
      <c r="RCJ110" s="21"/>
      <c r="RCK110" s="21"/>
      <c r="RCL110" s="21"/>
      <c r="RCM110" s="21"/>
      <c r="RCN110" s="21"/>
      <c r="RCO110" s="21"/>
      <c r="RCP110" s="21"/>
      <c r="RCQ110" s="21"/>
      <c r="RCR110" s="21"/>
      <c r="RCS110" s="21"/>
      <c r="RCT110" s="21"/>
      <c r="RCU110" s="21"/>
      <c r="RCV110" s="21"/>
      <c r="RCW110" s="21"/>
      <c r="RCX110" s="21"/>
      <c r="RCY110" s="21"/>
      <c r="RCZ110" s="21"/>
      <c r="RDA110" s="21"/>
      <c r="RDB110" s="21"/>
      <c r="RDC110" s="21"/>
      <c r="RDD110" s="21"/>
      <c r="RDE110" s="21"/>
      <c r="RDF110" s="21"/>
      <c r="RDG110" s="21"/>
      <c r="RDH110" s="21"/>
      <c r="RDI110" s="21"/>
      <c r="RDJ110" s="21"/>
      <c r="RDK110" s="21"/>
      <c r="RDL110" s="21"/>
      <c r="RDM110" s="21"/>
      <c r="RDN110" s="21"/>
      <c r="RDO110" s="21"/>
      <c r="RDP110" s="21"/>
      <c r="RDQ110" s="21"/>
      <c r="RDR110" s="21"/>
      <c r="RDS110" s="21"/>
      <c r="RDT110" s="21"/>
      <c r="RDU110" s="21"/>
      <c r="RDV110" s="21"/>
      <c r="RDW110" s="21"/>
      <c r="RDX110" s="21"/>
      <c r="RDY110" s="21"/>
      <c r="RDZ110" s="21"/>
      <c r="REA110" s="21"/>
      <c r="REB110" s="21"/>
      <c r="REC110" s="21"/>
      <c r="RED110" s="21"/>
      <c r="REE110" s="21"/>
      <c r="REF110" s="21"/>
      <c r="REG110" s="21"/>
      <c r="REH110" s="21"/>
      <c r="REI110" s="21"/>
      <c r="REJ110" s="21"/>
      <c r="REK110" s="21"/>
      <c r="REL110" s="21"/>
      <c r="REM110" s="21"/>
      <c r="REN110" s="21"/>
      <c r="REO110" s="21"/>
      <c r="REP110" s="21"/>
      <c r="REQ110" s="21"/>
      <c r="RER110" s="21"/>
      <c r="RES110" s="21"/>
      <c r="RET110" s="21"/>
      <c r="REU110" s="21"/>
      <c r="REV110" s="21"/>
      <c r="REW110" s="21"/>
      <c r="REX110" s="21"/>
      <c r="REY110" s="21"/>
      <c r="REZ110" s="21"/>
      <c r="RFA110" s="21"/>
      <c r="RFB110" s="21"/>
      <c r="RFC110" s="21"/>
      <c r="RFD110" s="21"/>
      <c r="RFE110" s="21"/>
      <c r="RFF110" s="21"/>
      <c r="RFG110" s="21"/>
      <c r="RFH110" s="21"/>
      <c r="RFI110" s="21"/>
      <c r="RFJ110" s="21"/>
      <c r="RFK110" s="21"/>
      <c r="RFL110" s="21"/>
      <c r="RFM110" s="21"/>
      <c r="RFN110" s="21"/>
      <c r="RFO110" s="21"/>
      <c r="RFP110" s="21"/>
      <c r="RFQ110" s="21"/>
      <c r="RFR110" s="21"/>
      <c r="RFS110" s="21"/>
      <c r="RFT110" s="21"/>
      <c r="RFU110" s="21"/>
      <c r="RFV110" s="21"/>
      <c r="RFW110" s="21"/>
      <c r="RFX110" s="21"/>
      <c r="RFY110" s="21"/>
      <c r="RFZ110" s="21"/>
      <c r="RGA110" s="21"/>
      <c r="RGB110" s="21"/>
      <c r="RGC110" s="21"/>
      <c r="RGD110" s="21"/>
      <c r="RGE110" s="21"/>
      <c r="RGF110" s="21"/>
      <c r="RGG110" s="21"/>
      <c r="RGH110" s="21"/>
      <c r="RGI110" s="21"/>
      <c r="RGJ110" s="21"/>
      <c r="RGK110" s="21"/>
      <c r="RGL110" s="21"/>
      <c r="RGM110" s="21"/>
      <c r="RGN110" s="21"/>
      <c r="RGO110" s="21"/>
      <c r="RGP110" s="21"/>
      <c r="RGQ110" s="21"/>
      <c r="RGR110" s="21"/>
      <c r="RGS110" s="21"/>
      <c r="RGT110" s="21"/>
      <c r="RGU110" s="21"/>
      <c r="RGV110" s="21"/>
      <c r="RGW110" s="21"/>
      <c r="RGX110" s="21"/>
      <c r="RGY110" s="21"/>
      <c r="RGZ110" s="21"/>
      <c r="RHA110" s="21"/>
      <c r="RHB110" s="21"/>
      <c r="RHC110" s="21"/>
      <c r="RHD110" s="21"/>
      <c r="RHE110" s="21"/>
      <c r="RHF110" s="21"/>
      <c r="RHG110" s="21"/>
      <c r="RHH110" s="21"/>
      <c r="RHI110" s="21"/>
      <c r="RHJ110" s="21"/>
      <c r="RHK110" s="21"/>
      <c r="RHL110" s="21"/>
      <c r="RHM110" s="21"/>
      <c r="RHN110" s="21"/>
      <c r="RHO110" s="21"/>
      <c r="RHP110" s="21"/>
      <c r="RHQ110" s="21"/>
      <c r="RHR110" s="21"/>
      <c r="RHS110" s="21"/>
      <c r="RHT110" s="21"/>
      <c r="RHU110" s="21"/>
      <c r="RHV110" s="21"/>
      <c r="RHW110" s="21"/>
      <c r="RHX110" s="21"/>
      <c r="RHY110" s="21"/>
      <c r="RHZ110" s="21"/>
      <c r="RIA110" s="21"/>
      <c r="RIB110" s="21"/>
      <c r="RIC110" s="21"/>
      <c r="RID110" s="21"/>
      <c r="RIE110" s="21"/>
      <c r="RIF110" s="21"/>
      <c r="RIG110" s="21"/>
      <c r="RIH110" s="21"/>
      <c r="RII110" s="21"/>
      <c r="RIJ110" s="21"/>
      <c r="RIK110" s="21"/>
      <c r="RIL110" s="21"/>
      <c r="RIM110" s="21"/>
      <c r="RIN110" s="21"/>
      <c r="RIO110" s="21"/>
      <c r="RIP110" s="21"/>
      <c r="RIQ110" s="21"/>
      <c r="RIR110" s="21"/>
      <c r="RIS110" s="21"/>
      <c r="RIT110" s="21"/>
      <c r="RIU110" s="21"/>
      <c r="RIV110" s="21"/>
      <c r="RIW110" s="21"/>
      <c r="RIX110" s="21"/>
      <c r="RIY110" s="21"/>
      <c r="RIZ110" s="21"/>
      <c r="RJA110" s="21"/>
      <c r="RJB110" s="21"/>
      <c r="RJC110" s="21"/>
      <c r="RJD110" s="21"/>
      <c r="RJE110" s="21"/>
      <c r="RJF110" s="21"/>
      <c r="RJG110" s="21"/>
      <c r="RJH110" s="21"/>
      <c r="RJI110" s="21"/>
      <c r="RJJ110" s="21"/>
      <c r="RJK110" s="21"/>
      <c r="RJL110" s="21"/>
      <c r="RJM110" s="21"/>
      <c r="RJN110" s="21"/>
      <c r="RJO110" s="21"/>
      <c r="RJP110" s="21"/>
      <c r="RJQ110" s="21"/>
      <c r="RJR110" s="21"/>
      <c r="RJS110" s="21"/>
      <c r="RJT110" s="21"/>
      <c r="RJU110" s="21"/>
      <c r="RJV110" s="21"/>
      <c r="RJW110" s="21"/>
      <c r="RJX110" s="21"/>
      <c r="RJY110" s="21"/>
      <c r="RJZ110" s="21"/>
      <c r="RKA110" s="21"/>
      <c r="RKB110" s="21"/>
      <c r="RKC110" s="21"/>
      <c r="RKD110" s="21"/>
      <c r="RKE110" s="21"/>
      <c r="RKF110" s="21"/>
      <c r="RKG110" s="21"/>
      <c r="RKH110" s="21"/>
      <c r="RKI110" s="21"/>
      <c r="RKJ110" s="21"/>
      <c r="RKK110" s="21"/>
      <c r="RKL110" s="21"/>
      <c r="RKM110" s="21"/>
      <c r="RKN110" s="21"/>
      <c r="RKO110" s="21"/>
      <c r="RKP110" s="21"/>
      <c r="RKQ110" s="21"/>
      <c r="RKR110" s="21"/>
      <c r="RKS110" s="21"/>
      <c r="RKT110" s="21"/>
      <c r="RKU110" s="21"/>
      <c r="RKV110" s="21"/>
      <c r="RKW110" s="21"/>
      <c r="RKX110" s="21"/>
      <c r="RKY110" s="21"/>
      <c r="RKZ110" s="21"/>
      <c r="RLA110" s="21"/>
      <c r="RLB110" s="21"/>
      <c r="RLC110" s="21"/>
      <c r="RLD110" s="21"/>
      <c r="RLE110" s="21"/>
      <c r="RLF110" s="21"/>
      <c r="RLG110" s="21"/>
      <c r="RLH110" s="21"/>
      <c r="RLI110" s="21"/>
      <c r="RLJ110" s="21"/>
      <c r="RLK110" s="21"/>
      <c r="RLL110" s="21"/>
      <c r="RLM110" s="21"/>
      <c r="RLN110" s="21"/>
      <c r="RLO110" s="21"/>
      <c r="RLP110" s="21"/>
      <c r="RLQ110" s="21"/>
      <c r="RLR110" s="21"/>
      <c r="RLS110" s="21"/>
      <c r="RLT110" s="21"/>
      <c r="RLU110" s="21"/>
      <c r="RLV110" s="21"/>
      <c r="RLW110" s="21"/>
      <c r="RLX110" s="21"/>
      <c r="RLY110" s="21"/>
      <c r="RLZ110" s="21"/>
      <c r="RMA110" s="21"/>
      <c r="RMB110" s="21"/>
      <c r="RMC110" s="21"/>
      <c r="RMD110" s="21"/>
      <c r="RME110" s="21"/>
      <c r="RMF110" s="21"/>
      <c r="RMG110" s="21"/>
      <c r="RMH110" s="21"/>
      <c r="RMI110" s="21"/>
      <c r="RMJ110" s="21"/>
      <c r="RMK110" s="21"/>
      <c r="RML110" s="21"/>
      <c r="RMM110" s="21"/>
      <c r="RMN110" s="21"/>
      <c r="RMO110" s="21"/>
      <c r="RMP110" s="21"/>
      <c r="RMQ110" s="21"/>
      <c r="RMR110" s="21"/>
      <c r="RMS110" s="21"/>
      <c r="RMT110" s="21"/>
      <c r="RMU110" s="21"/>
      <c r="RMV110" s="21"/>
      <c r="RMW110" s="21"/>
      <c r="RMX110" s="21"/>
      <c r="RMY110" s="21"/>
      <c r="RMZ110" s="21"/>
      <c r="RNA110" s="21"/>
      <c r="RNB110" s="21"/>
      <c r="RNC110" s="21"/>
      <c r="RND110" s="21"/>
      <c r="RNE110" s="21"/>
      <c r="RNF110" s="21"/>
      <c r="RNG110" s="21"/>
      <c r="RNH110" s="21"/>
      <c r="RNI110" s="21"/>
      <c r="RNJ110" s="21"/>
      <c r="RNK110" s="21"/>
      <c r="RNL110" s="21"/>
      <c r="RNM110" s="21"/>
      <c r="RNN110" s="21"/>
      <c r="RNO110" s="21"/>
      <c r="RNP110" s="21"/>
      <c r="RNQ110" s="21"/>
      <c r="RNR110" s="21"/>
      <c r="RNS110" s="21"/>
      <c r="RNT110" s="21"/>
      <c r="RNU110" s="21"/>
      <c r="RNV110" s="21"/>
      <c r="RNW110" s="21"/>
      <c r="RNX110" s="21"/>
      <c r="RNY110" s="21"/>
      <c r="RNZ110" s="21"/>
      <c r="ROA110" s="21"/>
      <c r="ROB110" s="21"/>
      <c r="ROC110" s="21"/>
      <c r="ROD110" s="21"/>
      <c r="ROE110" s="21"/>
      <c r="ROF110" s="21"/>
      <c r="ROG110" s="21"/>
      <c r="ROH110" s="21"/>
      <c r="ROI110" s="21"/>
      <c r="ROJ110" s="21"/>
      <c r="ROK110" s="21"/>
      <c r="ROL110" s="21"/>
      <c r="ROM110" s="21"/>
      <c r="RON110" s="21"/>
      <c r="ROO110" s="21"/>
      <c r="ROP110" s="21"/>
      <c r="ROQ110" s="21"/>
      <c r="ROR110" s="21"/>
      <c r="ROS110" s="21"/>
      <c r="ROT110" s="21"/>
      <c r="ROU110" s="21"/>
      <c r="ROV110" s="21"/>
      <c r="ROW110" s="21"/>
      <c r="ROX110" s="21"/>
      <c r="ROY110" s="21"/>
      <c r="ROZ110" s="21"/>
      <c r="RPA110" s="21"/>
      <c r="RPB110" s="21"/>
      <c r="RPC110" s="21"/>
      <c r="RPD110" s="21"/>
      <c r="RPE110" s="21"/>
      <c r="RPF110" s="21"/>
      <c r="RPG110" s="21"/>
      <c r="RPH110" s="21"/>
      <c r="RPI110" s="21"/>
      <c r="RPJ110" s="21"/>
      <c r="RPK110" s="21"/>
      <c r="RPL110" s="21"/>
      <c r="RPM110" s="21"/>
      <c r="RPN110" s="21"/>
      <c r="RPO110" s="21"/>
      <c r="RPP110" s="21"/>
      <c r="RPQ110" s="21"/>
      <c r="RPR110" s="21"/>
      <c r="RPS110" s="21"/>
      <c r="RPT110" s="21"/>
      <c r="RPU110" s="21"/>
      <c r="RPV110" s="21"/>
      <c r="RPW110" s="21"/>
      <c r="RPX110" s="21"/>
      <c r="RPY110" s="21"/>
      <c r="RPZ110" s="21"/>
      <c r="RQA110" s="21"/>
      <c r="RQB110" s="21"/>
      <c r="RQC110" s="21"/>
      <c r="RQD110" s="21"/>
      <c r="RQE110" s="21"/>
      <c r="RQF110" s="21"/>
      <c r="RQG110" s="21"/>
      <c r="RQH110" s="21"/>
      <c r="RQI110" s="21"/>
      <c r="RQJ110" s="21"/>
      <c r="RQK110" s="21"/>
      <c r="RQL110" s="21"/>
      <c r="RQM110" s="21"/>
      <c r="RQN110" s="21"/>
      <c r="RQO110" s="21"/>
      <c r="RQP110" s="21"/>
      <c r="RQQ110" s="21"/>
      <c r="RQR110" s="21"/>
      <c r="RQS110" s="21"/>
      <c r="RQT110" s="21"/>
      <c r="RQU110" s="21"/>
      <c r="RQV110" s="21"/>
      <c r="RQW110" s="21"/>
      <c r="RQX110" s="21"/>
      <c r="RQY110" s="21"/>
      <c r="RQZ110" s="21"/>
      <c r="RRA110" s="21"/>
      <c r="RRB110" s="21"/>
      <c r="RRC110" s="21"/>
      <c r="RRD110" s="21"/>
      <c r="RRE110" s="21"/>
      <c r="RRF110" s="21"/>
      <c r="RRG110" s="21"/>
      <c r="RRH110" s="21"/>
      <c r="RRI110" s="21"/>
      <c r="RRJ110" s="21"/>
      <c r="RRK110" s="21"/>
      <c r="RRL110" s="21"/>
      <c r="RRM110" s="21"/>
      <c r="RRN110" s="21"/>
      <c r="RRO110" s="21"/>
      <c r="RRP110" s="21"/>
      <c r="RRQ110" s="21"/>
      <c r="RRR110" s="21"/>
      <c r="RRS110" s="21"/>
      <c r="RRT110" s="21"/>
      <c r="RRU110" s="21"/>
      <c r="RRV110" s="21"/>
      <c r="RRW110" s="21"/>
      <c r="RRX110" s="21"/>
      <c r="RRY110" s="21"/>
      <c r="RRZ110" s="21"/>
      <c r="RSA110" s="21"/>
      <c r="RSB110" s="21"/>
      <c r="RSC110" s="21"/>
      <c r="RSD110" s="21"/>
      <c r="RSE110" s="21"/>
      <c r="RSF110" s="21"/>
      <c r="RSG110" s="21"/>
      <c r="RSH110" s="21"/>
      <c r="RSI110" s="21"/>
      <c r="RSJ110" s="21"/>
      <c r="RSK110" s="21"/>
      <c r="RSL110" s="21"/>
      <c r="RSM110" s="21"/>
      <c r="RSN110" s="21"/>
      <c r="RSO110" s="21"/>
      <c r="RSP110" s="21"/>
      <c r="RSQ110" s="21"/>
      <c r="RSR110" s="21"/>
      <c r="RSS110" s="21"/>
      <c r="RST110" s="21"/>
      <c r="RSU110" s="21"/>
      <c r="RSV110" s="21"/>
      <c r="RSW110" s="21"/>
      <c r="RSX110" s="21"/>
      <c r="RSY110" s="21"/>
      <c r="RSZ110" s="21"/>
      <c r="RTA110" s="21"/>
      <c r="RTB110" s="21"/>
      <c r="RTC110" s="21"/>
      <c r="RTD110" s="21"/>
      <c r="RTE110" s="21"/>
      <c r="RTF110" s="21"/>
      <c r="RTG110" s="21"/>
      <c r="RTH110" s="21"/>
      <c r="RTI110" s="21"/>
      <c r="RTJ110" s="21"/>
      <c r="RTK110" s="21"/>
      <c r="RTL110" s="21"/>
      <c r="RTM110" s="21"/>
      <c r="RTN110" s="21"/>
      <c r="RTO110" s="21"/>
      <c r="RTP110" s="21"/>
      <c r="RTQ110" s="21"/>
      <c r="RTR110" s="21"/>
      <c r="RTS110" s="21"/>
      <c r="RTT110" s="21"/>
      <c r="RTU110" s="21"/>
      <c r="RTV110" s="21"/>
      <c r="RTW110" s="21"/>
      <c r="RTX110" s="21"/>
      <c r="RTY110" s="21"/>
      <c r="RTZ110" s="21"/>
      <c r="RUA110" s="21"/>
      <c r="RUB110" s="21"/>
      <c r="RUC110" s="21"/>
      <c r="RUD110" s="21"/>
      <c r="RUE110" s="21"/>
      <c r="RUF110" s="21"/>
      <c r="RUG110" s="21"/>
      <c r="RUH110" s="21"/>
      <c r="RUI110" s="21"/>
      <c r="RUJ110" s="21"/>
      <c r="RUK110" s="21"/>
      <c r="RUL110" s="21"/>
      <c r="RUM110" s="21"/>
      <c r="RUN110" s="21"/>
      <c r="RUO110" s="21"/>
      <c r="RUP110" s="21"/>
      <c r="RUQ110" s="21"/>
      <c r="RUR110" s="21"/>
      <c r="RUS110" s="21"/>
      <c r="RUT110" s="21"/>
      <c r="RUU110" s="21"/>
      <c r="RUV110" s="21"/>
      <c r="RUW110" s="21"/>
      <c r="RUX110" s="21"/>
      <c r="RUY110" s="21"/>
      <c r="RUZ110" s="21"/>
      <c r="RVA110" s="21"/>
      <c r="RVB110" s="21"/>
      <c r="RVC110" s="21"/>
      <c r="RVD110" s="21"/>
      <c r="RVE110" s="21"/>
      <c r="RVF110" s="21"/>
      <c r="RVG110" s="21"/>
      <c r="RVH110" s="21"/>
      <c r="RVI110" s="21"/>
      <c r="RVJ110" s="21"/>
      <c r="RVK110" s="21"/>
      <c r="RVL110" s="21"/>
      <c r="RVM110" s="21"/>
      <c r="RVN110" s="21"/>
      <c r="RVO110" s="21"/>
      <c r="RVP110" s="21"/>
      <c r="RVQ110" s="21"/>
      <c r="RVR110" s="21"/>
      <c r="RVS110" s="21"/>
      <c r="RVT110" s="21"/>
      <c r="RVU110" s="21"/>
      <c r="RVV110" s="21"/>
      <c r="RVW110" s="21"/>
      <c r="RVX110" s="21"/>
      <c r="RVY110" s="21"/>
      <c r="RVZ110" s="21"/>
      <c r="RWA110" s="21"/>
      <c r="RWB110" s="21"/>
      <c r="RWC110" s="21"/>
      <c r="RWD110" s="21"/>
      <c r="RWE110" s="21"/>
      <c r="RWF110" s="21"/>
      <c r="RWG110" s="21"/>
      <c r="RWH110" s="21"/>
      <c r="RWI110" s="21"/>
      <c r="RWJ110" s="21"/>
      <c r="RWK110" s="21"/>
      <c r="RWL110" s="21"/>
      <c r="RWM110" s="21"/>
      <c r="RWN110" s="21"/>
      <c r="RWO110" s="21"/>
      <c r="RWP110" s="21"/>
      <c r="RWQ110" s="21"/>
      <c r="RWR110" s="21"/>
      <c r="RWS110" s="21"/>
      <c r="RWT110" s="21"/>
      <c r="RWU110" s="21"/>
      <c r="RWV110" s="21"/>
      <c r="RWW110" s="21"/>
      <c r="RWX110" s="21"/>
      <c r="RWY110" s="21"/>
      <c r="RWZ110" s="21"/>
      <c r="RXA110" s="21"/>
      <c r="RXB110" s="21"/>
      <c r="RXC110" s="21"/>
      <c r="RXD110" s="21"/>
      <c r="RXE110" s="21"/>
      <c r="RXF110" s="21"/>
      <c r="RXG110" s="21"/>
      <c r="RXH110" s="21"/>
      <c r="RXI110" s="21"/>
      <c r="RXJ110" s="21"/>
      <c r="RXK110" s="21"/>
      <c r="RXL110" s="21"/>
      <c r="RXM110" s="21"/>
      <c r="RXN110" s="21"/>
      <c r="RXO110" s="21"/>
      <c r="RXP110" s="21"/>
      <c r="RXQ110" s="21"/>
      <c r="RXR110" s="21"/>
      <c r="RXS110" s="21"/>
      <c r="RXT110" s="21"/>
      <c r="RXU110" s="21"/>
      <c r="RXV110" s="21"/>
      <c r="RXW110" s="21"/>
      <c r="RXX110" s="21"/>
      <c r="RXY110" s="21"/>
      <c r="RXZ110" s="21"/>
      <c r="RYA110" s="21"/>
      <c r="RYB110" s="21"/>
      <c r="RYC110" s="21"/>
      <c r="RYD110" s="21"/>
      <c r="RYE110" s="21"/>
      <c r="RYF110" s="21"/>
      <c r="RYG110" s="21"/>
      <c r="RYH110" s="21"/>
      <c r="RYI110" s="21"/>
      <c r="RYJ110" s="21"/>
      <c r="RYK110" s="21"/>
      <c r="RYL110" s="21"/>
      <c r="RYM110" s="21"/>
      <c r="RYN110" s="21"/>
      <c r="RYO110" s="21"/>
      <c r="RYP110" s="21"/>
      <c r="RYQ110" s="21"/>
      <c r="RYR110" s="21"/>
      <c r="RYS110" s="21"/>
      <c r="RYT110" s="21"/>
      <c r="RYU110" s="21"/>
      <c r="RYV110" s="21"/>
      <c r="RYW110" s="21"/>
      <c r="RYX110" s="21"/>
      <c r="RYY110" s="21"/>
      <c r="RYZ110" s="21"/>
      <c r="RZA110" s="21"/>
      <c r="RZB110" s="21"/>
      <c r="RZC110" s="21"/>
      <c r="RZD110" s="21"/>
      <c r="RZE110" s="21"/>
      <c r="RZF110" s="21"/>
      <c r="RZG110" s="21"/>
      <c r="RZH110" s="21"/>
      <c r="RZI110" s="21"/>
      <c r="RZJ110" s="21"/>
      <c r="RZK110" s="21"/>
      <c r="RZL110" s="21"/>
      <c r="RZM110" s="21"/>
      <c r="RZN110" s="21"/>
      <c r="RZO110" s="21"/>
      <c r="RZP110" s="21"/>
      <c r="RZQ110" s="21"/>
      <c r="RZR110" s="21"/>
      <c r="RZS110" s="21"/>
      <c r="RZT110" s="21"/>
      <c r="RZU110" s="21"/>
      <c r="RZV110" s="21"/>
      <c r="RZW110" s="21"/>
      <c r="RZX110" s="21"/>
      <c r="RZY110" s="21"/>
      <c r="RZZ110" s="21"/>
      <c r="SAA110" s="21"/>
      <c r="SAB110" s="21"/>
      <c r="SAC110" s="21"/>
      <c r="SAD110" s="21"/>
      <c r="SAE110" s="21"/>
      <c r="SAF110" s="21"/>
      <c r="SAG110" s="21"/>
      <c r="SAH110" s="21"/>
      <c r="SAI110" s="21"/>
      <c r="SAJ110" s="21"/>
      <c r="SAK110" s="21"/>
      <c r="SAL110" s="21"/>
      <c r="SAM110" s="21"/>
      <c r="SAN110" s="21"/>
      <c r="SAO110" s="21"/>
      <c r="SAP110" s="21"/>
      <c r="SAQ110" s="21"/>
      <c r="SAR110" s="21"/>
      <c r="SAS110" s="21"/>
      <c r="SAT110" s="21"/>
      <c r="SAU110" s="21"/>
      <c r="SAV110" s="21"/>
      <c r="SAW110" s="21"/>
      <c r="SAX110" s="21"/>
      <c r="SAY110" s="21"/>
      <c r="SAZ110" s="21"/>
      <c r="SBA110" s="21"/>
      <c r="SBB110" s="21"/>
      <c r="SBC110" s="21"/>
      <c r="SBD110" s="21"/>
      <c r="SBE110" s="21"/>
      <c r="SBF110" s="21"/>
      <c r="SBG110" s="21"/>
      <c r="SBH110" s="21"/>
      <c r="SBI110" s="21"/>
      <c r="SBJ110" s="21"/>
      <c r="SBK110" s="21"/>
      <c r="SBL110" s="21"/>
      <c r="SBM110" s="21"/>
      <c r="SBN110" s="21"/>
      <c r="SBO110" s="21"/>
      <c r="SBP110" s="21"/>
      <c r="SBQ110" s="21"/>
      <c r="SBR110" s="21"/>
      <c r="SBS110" s="21"/>
      <c r="SBT110" s="21"/>
      <c r="SBU110" s="21"/>
      <c r="SBV110" s="21"/>
      <c r="SBW110" s="21"/>
      <c r="SBX110" s="21"/>
      <c r="SBY110" s="21"/>
      <c r="SBZ110" s="21"/>
      <c r="SCA110" s="21"/>
      <c r="SCB110" s="21"/>
      <c r="SCC110" s="21"/>
      <c r="SCD110" s="21"/>
      <c r="SCE110" s="21"/>
      <c r="SCF110" s="21"/>
      <c r="SCG110" s="21"/>
      <c r="SCH110" s="21"/>
      <c r="SCI110" s="21"/>
      <c r="SCJ110" s="21"/>
      <c r="SCK110" s="21"/>
      <c r="SCL110" s="21"/>
      <c r="SCM110" s="21"/>
      <c r="SCN110" s="21"/>
      <c r="SCO110" s="21"/>
      <c r="SCP110" s="21"/>
      <c r="SCQ110" s="21"/>
      <c r="SCR110" s="21"/>
      <c r="SCS110" s="21"/>
      <c r="SCT110" s="21"/>
      <c r="SCU110" s="21"/>
      <c r="SCV110" s="21"/>
      <c r="SCW110" s="21"/>
      <c r="SCX110" s="21"/>
      <c r="SCY110" s="21"/>
      <c r="SCZ110" s="21"/>
      <c r="SDA110" s="21"/>
      <c r="SDB110" s="21"/>
      <c r="SDC110" s="21"/>
      <c r="SDD110" s="21"/>
      <c r="SDE110" s="21"/>
      <c r="SDF110" s="21"/>
      <c r="SDG110" s="21"/>
      <c r="SDH110" s="21"/>
      <c r="SDI110" s="21"/>
      <c r="SDJ110" s="21"/>
      <c r="SDK110" s="21"/>
      <c r="SDL110" s="21"/>
      <c r="SDM110" s="21"/>
      <c r="SDN110" s="21"/>
      <c r="SDO110" s="21"/>
      <c r="SDP110" s="21"/>
      <c r="SDQ110" s="21"/>
      <c r="SDR110" s="21"/>
      <c r="SDS110" s="21"/>
      <c r="SDT110" s="21"/>
      <c r="SDU110" s="21"/>
      <c r="SDV110" s="21"/>
      <c r="SDW110" s="21"/>
      <c r="SDX110" s="21"/>
      <c r="SDY110" s="21"/>
      <c r="SDZ110" s="21"/>
      <c r="SEA110" s="21"/>
      <c r="SEB110" s="21"/>
      <c r="SEC110" s="21"/>
      <c r="SED110" s="21"/>
      <c r="SEE110" s="21"/>
      <c r="SEF110" s="21"/>
      <c r="SEG110" s="21"/>
      <c r="SEH110" s="21"/>
      <c r="SEI110" s="21"/>
      <c r="SEJ110" s="21"/>
      <c r="SEK110" s="21"/>
      <c r="SEL110" s="21"/>
      <c r="SEM110" s="21"/>
      <c r="SEN110" s="21"/>
      <c r="SEO110" s="21"/>
      <c r="SEP110" s="21"/>
      <c r="SEQ110" s="21"/>
      <c r="SER110" s="21"/>
      <c r="SES110" s="21"/>
      <c r="SET110" s="21"/>
      <c r="SEU110" s="21"/>
      <c r="SEV110" s="21"/>
      <c r="SEW110" s="21"/>
      <c r="SEX110" s="21"/>
      <c r="SEY110" s="21"/>
      <c r="SEZ110" s="21"/>
      <c r="SFA110" s="21"/>
      <c r="SFB110" s="21"/>
      <c r="SFC110" s="21"/>
      <c r="SFD110" s="21"/>
      <c r="SFE110" s="21"/>
      <c r="SFF110" s="21"/>
      <c r="SFG110" s="21"/>
      <c r="SFH110" s="21"/>
      <c r="SFI110" s="21"/>
      <c r="SFJ110" s="21"/>
      <c r="SFK110" s="21"/>
      <c r="SFL110" s="21"/>
      <c r="SFM110" s="21"/>
      <c r="SFN110" s="21"/>
      <c r="SFO110" s="21"/>
      <c r="SFP110" s="21"/>
      <c r="SFQ110" s="21"/>
      <c r="SFR110" s="21"/>
      <c r="SFS110" s="21"/>
      <c r="SFT110" s="21"/>
      <c r="SFU110" s="21"/>
      <c r="SFV110" s="21"/>
      <c r="SFW110" s="21"/>
      <c r="SFX110" s="21"/>
      <c r="SFY110" s="21"/>
      <c r="SFZ110" s="21"/>
      <c r="SGA110" s="21"/>
      <c r="SGB110" s="21"/>
      <c r="SGC110" s="21"/>
      <c r="SGD110" s="21"/>
      <c r="SGE110" s="21"/>
      <c r="SGF110" s="21"/>
      <c r="SGG110" s="21"/>
      <c r="SGH110" s="21"/>
      <c r="SGI110" s="21"/>
      <c r="SGJ110" s="21"/>
      <c r="SGK110" s="21"/>
      <c r="SGL110" s="21"/>
      <c r="SGM110" s="21"/>
      <c r="SGN110" s="21"/>
      <c r="SGO110" s="21"/>
      <c r="SGP110" s="21"/>
      <c r="SGQ110" s="21"/>
      <c r="SGR110" s="21"/>
      <c r="SGS110" s="21"/>
      <c r="SGT110" s="21"/>
      <c r="SGU110" s="21"/>
      <c r="SGV110" s="21"/>
      <c r="SGW110" s="21"/>
      <c r="SGX110" s="21"/>
      <c r="SGY110" s="21"/>
      <c r="SGZ110" s="21"/>
      <c r="SHA110" s="21"/>
      <c r="SHB110" s="21"/>
      <c r="SHC110" s="21"/>
      <c r="SHD110" s="21"/>
      <c r="SHE110" s="21"/>
      <c r="SHF110" s="21"/>
      <c r="SHG110" s="21"/>
      <c r="SHH110" s="21"/>
      <c r="SHI110" s="21"/>
      <c r="SHJ110" s="21"/>
      <c r="SHK110" s="21"/>
      <c r="SHL110" s="21"/>
      <c r="SHM110" s="21"/>
      <c r="SHN110" s="21"/>
      <c r="SHO110" s="21"/>
      <c r="SHP110" s="21"/>
      <c r="SHQ110" s="21"/>
      <c r="SHR110" s="21"/>
      <c r="SHS110" s="21"/>
      <c r="SHT110" s="21"/>
      <c r="SHU110" s="21"/>
      <c r="SHV110" s="21"/>
      <c r="SHW110" s="21"/>
      <c r="SHX110" s="21"/>
      <c r="SHY110" s="21"/>
      <c r="SHZ110" s="21"/>
      <c r="SIA110" s="21"/>
      <c r="SIB110" s="21"/>
      <c r="SIC110" s="21"/>
      <c r="SID110" s="21"/>
      <c r="SIE110" s="21"/>
      <c r="SIF110" s="21"/>
      <c r="SIG110" s="21"/>
      <c r="SIH110" s="21"/>
      <c r="SII110" s="21"/>
      <c r="SIJ110" s="21"/>
      <c r="SIK110" s="21"/>
      <c r="SIL110" s="21"/>
      <c r="SIM110" s="21"/>
      <c r="SIN110" s="21"/>
      <c r="SIO110" s="21"/>
      <c r="SIP110" s="21"/>
      <c r="SIQ110" s="21"/>
      <c r="SIR110" s="21"/>
      <c r="SIS110" s="21"/>
      <c r="SIT110" s="21"/>
      <c r="SIU110" s="21"/>
      <c r="SIV110" s="21"/>
      <c r="SIW110" s="21"/>
      <c r="SIX110" s="21"/>
      <c r="SIY110" s="21"/>
      <c r="SIZ110" s="21"/>
      <c r="SJA110" s="21"/>
      <c r="SJB110" s="21"/>
      <c r="SJC110" s="21"/>
      <c r="SJD110" s="21"/>
      <c r="SJE110" s="21"/>
      <c r="SJF110" s="21"/>
      <c r="SJG110" s="21"/>
      <c r="SJH110" s="21"/>
      <c r="SJI110" s="21"/>
      <c r="SJJ110" s="21"/>
      <c r="SJK110" s="21"/>
      <c r="SJL110" s="21"/>
      <c r="SJM110" s="21"/>
      <c r="SJN110" s="21"/>
      <c r="SJO110" s="21"/>
      <c r="SJP110" s="21"/>
      <c r="SJQ110" s="21"/>
      <c r="SJR110" s="21"/>
      <c r="SJS110" s="21"/>
      <c r="SJT110" s="21"/>
      <c r="SJU110" s="21"/>
      <c r="SJV110" s="21"/>
      <c r="SJW110" s="21"/>
      <c r="SJX110" s="21"/>
      <c r="SJY110" s="21"/>
      <c r="SJZ110" s="21"/>
      <c r="SKA110" s="21"/>
      <c r="SKB110" s="21"/>
      <c r="SKC110" s="21"/>
      <c r="SKD110" s="21"/>
      <c r="SKE110" s="21"/>
      <c r="SKF110" s="21"/>
      <c r="SKG110" s="21"/>
      <c r="SKH110" s="21"/>
      <c r="SKI110" s="21"/>
      <c r="SKJ110" s="21"/>
      <c r="SKK110" s="21"/>
      <c r="SKL110" s="21"/>
      <c r="SKM110" s="21"/>
      <c r="SKN110" s="21"/>
      <c r="SKO110" s="21"/>
      <c r="SKP110" s="21"/>
      <c r="SKQ110" s="21"/>
      <c r="SKR110" s="21"/>
      <c r="SKS110" s="21"/>
      <c r="SKT110" s="21"/>
      <c r="SKU110" s="21"/>
      <c r="SKV110" s="21"/>
      <c r="SKW110" s="21"/>
      <c r="SKX110" s="21"/>
      <c r="SKY110" s="21"/>
      <c r="SKZ110" s="21"/>
      <c r="SLA110" s="21"/>
      <c r="SLB110" s="21"/>
      <c r="SLC110" s="21"/>
      <c r="SLD110" s="21"/>
      <c r="SLE110" s="21"/>
      <c r="SLF110" s="21"/>
      <c r="SLG110" s="21"/>
      <c r="SLH110" s="21"/>
      <c r="SLI110" s="21"/>
      <c r="SLJ110" s="21"/>
      <c r="SLK110" s="21"/>
      <c r="SLL110" s="21"/>
      <c r="SLM110" s="21"/>
      <c r="SLN110" s="21"/>
      <c r="SLO110" s="21"/>
      <c r="SLP110" s="21"/>
      <c r="SLQ110" s="21"/>
      <c r="SLR110" s="21"/>
      <c r="SLS110" s="21"/>
      <c r="SLT110" s="21"/>
      <c r="SLU110" s="21"/>
      <c r="SLV110" s="21"/>
      <c r="SLW110" s="21"/>
      <c r="SLX110" s="21"/>
      <c r="SLY110" s="21"/>
      <c r="SLZ110" s="21"/>
      <c r="SMA110" s="21"/>
      <c r="SMB110" s="21"/>
      <c r="SMC110" s="21"/>
      <c r="SMD110" s="21"/>
      <c r="SME110" s="21"/>
      <c r="SMF110" s="21"/>
      <c r="SMG110" s="21"/>
      <c r="SMH110" s="21"/>
      <c r="SMI110" s="21"/>
      <c r="SMJ110" s="21"/>
      <c r="SMK110" s="21"/>
      <c r="SML110" s="21"/>
      <c r="SMM110" s="21"/>
      <c r="SMN110" s="21"/>
      <c r="SMO110" s="21"/>
      <c r="SMP110" s="21"/>
      <c r="SMQ110" s="21"/>
      <c r="SMR110" s="21"/>
      <c r="SMS110" s="21"/>
      <c r="SMT110" s="21"/>
      <c r="SMU110" s="21"/>
      <c r="SMV110" s="21"/>
      <c r="SMW110" s="21"/>
      <c r="SMX110" s="21"/>
      <c r="SMY110" s="21"/>
      <c r="SMZ110" s="21"/>
      <c r="SNA110" s="21"/>
      <c r="SNB110" s="21"/>
      <c r="SNC110" s="21"/>
      <c r="SND110" s="21"/>
      <c r="SNE110" s="21"/>
      <c r="SNF110" s="21"/>
      <c r="SNG110" s="21"/>
      <c r="SNH110" s="21"/>
      <c r="SNI110" s="21"/>
      <c r="SNJ110" s="21"/>
      <c r="SNK110" s="21"/>
      <c r="SNL110" s="21"/>
      <c r="SNM110" s="21"/>
      <c r="SNN110" s="21"/>
      <c r="SNO110" s="21"/>
      <c r="SNP110" s="21"/>
      <c r="SNQ110" s="21"/>
      <c r="SNR110" s="21"/>
      <c r="SNS110" s="21"/>
      <c r="SNT110" s="21"/>
      <c r="SNU110" s="21"/>
      <c r="SNV110" s="21"/>
      <c r="SNW110" s="21"/>
      <c r="SNX110" s="21"/>
      <c r="SNY110" s="21"/>
      <c r="SNZ110" s="21"/>
      <c r="SOA110" s="21"/>
      <c r="SOB110" s="21"/>
      <c r="SOC110" s="21"/>
      <c r="SOD110" s="21"/>
      <c r="SOE110" s="21"/>
      <c r="SOF110" s="21"/>
      <c r="SOG110" s="21"/>
      <c r="SOH110" s="21"/>
      <c r="SOI110" s="21"/>
      <c r="SOJ110" s="21"/>
      <c r="SOK110" s="21"/>
      <c r="SOL110" s="21"/>
      <c r="SOM110" s="21"/>
      <c r="SON110" s="21"/>
      <c r="SOO110" s="21"/>
      <c r="SOP110" s="21"/>
      <c r="SOQ110" s="21"/>
      <c r="SOR110" s="21"/>
      <c r="SOS110" s="21"/>
      <c r="SOT110" s="21"/>
      <c r="SOU110" s="21"/>
      <c r="SOV110" s="21"/>
      <c r="SOW110" s="21"/>
      <c r="SOX110" s="21"/>
      <c r="SOY110" s="21"/>
      <c r="SOZ110" s="21"/>
      <c r="SPA110" s="21"/>
      <c r="SPB110" s="21"/>
      <c r="SPC110" s="21"/>
      <c r="SPD110" s="21"/>
      <c r="SPE110" s="21"/>
      <c r="SPF110" s="21"/>
      <c r="SPG110" s="21"/>
      <c r="SPH110" s="21"/>
      <c r="SPI110" s="21"/>
      <c r="SPJ110" s="21"/>
      <c r="SPK110" s="21"/>
      <c r="SPL110" s="21"/>
      <c r="SPM110" s="21"/>
      <c r="SPN110" s="21"/>
      <c r="SPO110" s="21"/>
      <c r="SPP110" s="21"/>
      <c r="SPQ110" s="21"/>
      <c r="SPR110" s="21"/>
      <c r="SPS110" s="21"/>
      <c r="SPT110" s="21"/>
      <c r="SPU110" s="21"/>
      <c r="SPV110" s="21"/>
      <c r="SPW110" s="21"/>
      <c r="SPX110" s="21"/>
      <c r="SPY110" s="21"/>
      <c r="SPZ110" s="21"/>
      <c r="SQA110" s="21"/>
      <c r="SQB110" s="21"/>
      <c r="SQC110" s="21"/>
      <c r="SQD110" s="21"/>
      <c r="SQE110" s="21"/>
      <c r="SQF110" s="21"/>
      <c r="SQG110" s="21"/>
      <c r="SQH110" s="21"/>
      <c r="SQI110" s="21"/>
      <c r="SQJ110" s="21"/>
      <c r="SQK110" s="21"/>
      <c r="SQL110" s="21"/>
      <c r="SQM110" s="21"/>
      <c r="SQN110" s="21"/>
      <c r="SQO110" s="21"/>
      <c r="SQP110" s="21"/>
      <c r="SQQ110" s="21"/>
      <c r="SQR110" s="21"/>
      <c r="SQS110" s="21"/>
      <c r="SQT110" s="21"/>
      <c r="SQU110" s="21"/>
      <c r="SQV110" s="21"/>
      <c r="SQW110" s="21"/>
      <c r="SQX110" s="21"/>
      <c r="SQY110" s="21"/>
      <c r="SQZ110" s="21"/>
      <c r="SRA110" s="21"/>
      <c r="SRB110" s="21"/>
      <c r="SRC110" s="21"/>
      <c r="SRD110" s="21"/>
      <c r="SRE110" s="21"/>
      <c r="SRF110" s="21"/>
      <c r="SRG110" s="21"/>
      <c r="SRH110" s="21"/>
      <c r="SRI110" s="21"/>
      <c r="SRJ110" s="21"/>
      <c r="SRK110" s="21"/>
      <c r="SRL110" s="21"/>
      <c r="SRM110" s="21"/>
      <c r="SRN110" s="21"/>
      <c r="SRO110" s="21"/>
      <c r="SRP110" s="21"/>
      <c r="SRQ110" s="21"/>
      <c r="SRR110" s="21"/>
      <c r="SRS110" s="21"/>
      <c r="SRT110" s="21"/>
      <c r="SRU110" s="21"/>
      <c r="SRV110" s="21"/>
      <c r="SRW110" s="21"/>
      <c r="SRX110" s="21"/>
      <c r="SRY110" s="21"/>
      <c r="SRZ110" s="21"/>
      <c r="SSA110" s="21"/>
      <c r="SSB110" s="21"/>
      <c r="SSC110" s="21"/>
      <c r="SSD110" s="21"/>
      <c r="SSE110" s="21"/>
      <c r="SSF110" s="21"/>
      <c r="SSG110" s="21"/>
      <c r="SSH110" s="21"/>
      <c r="SSI110" s="21"/>
      <c r="SSJ110" s="21"/>
      <c r="SSK110" s="21"/>
      <c r="SSL110" s="21"/>
      <c r="SSM110" s="21"/>
      <c r="SSN110" s="21"/>
      <c r="SSO110" s="21"/>
      <c r="SSP110" s="21"/>
      <c r="SSQ110" s="21"/>
      <c r="SSR110" s="21"/>
      <c r="SSS110" s="21"/>
      <c r="SST110" s="21"/>
      <c r="SSU110" s="21"/>
      <c r="SSV110" s="21"/>
      <c r="SSW110" s="21"/>
      <c r="SSX110" s="21"/>
      <c r="SSY110" s="21"/>
      <c r="SSZ110" s="21"/>
      <c r="STA110" s="21"/>
      <c r="STB110" s="21"/>
      <c r="STC110" s="21"/>
      <c r="STD110" s="21"/>
      <c r="STE110" s="21"/>
      <c r="STF110" s="21"/>
      <c r="STG110" s="21"/>
      <c r="STH110" s="21"/>
      <c r="STI110" s="21"/>
      <c r="STJ110" s="21"/>
      <c r="STK110" s="21"/>
      <c r="STL110" s="21"/>
      <c r="STM110" s="21"/>
      <c r="STN110" s="21"/>
      <c r="STO110" s="21"/>
      <c r="STP110" s="21"/>
      <c r="STQ110" s="21"/>
      <c r="STR110" s="21"/>
      <c r="STS110" s="21"/>
      <c r="STT110" s="21"/>
      <c r="STU110" s="21"/>
      <c r="STV110" s="21"/>
      <c r="STW110" s="21"/>
      <c r="STX110" s="21"/>
      <c r="STY110" s="21"/>
      <c r="STZ110" s="21"/>
      <c r="SUA110" s="21"/>
      <c r="SUB110" s="21"/>
      <c r="SUC110" s="21"/>
      <c r="SUD110" s="21"/>
      <c r="SUE110" s="21"/>
      <c r="SUF110" s="21"/>
      <c r="SUG110" s="21"/>
      <c r="SUH110" s="21"/>
      <c r="SUI110" s="21"/>
      <c r="SUJ110" s="21"/>
      <c r="SUK110" s="21"/>
      <c r="SUL110" s="21"/>
      <c r="SUM110" s="21"/>
      <c r="SUN110" s="21"/>
      <c r="SUO110" s="21"/>
      <c r="SUP110" s="21"/>
      <c r="SUQ110" s="21"/>
      <c r="SUR110" s="21"/>
      <c r="SUS110" s="21"/>
      <c r="SUT110" s="21"/>
      <c r="SUU110" s="21"/>
      <c r="SUV110" s="21"/>
      <c r="SUW110" s="21"/>
      <c r="SUX110" s="21"/>
      <c r="SUY110" s="21"/>
      <c r="SUZ110" s="21"/>
      <c r="SVA110" s="21"/>
      <c r="SVB110" s="21"/>
      <c r="SVC110" s="21"/>
      <c r="SVD110" s="21"/>
      <c r="SVE110" s="21"/>
      <c r="SVF110" s="21"/>
      <c r="SVG110" s="21"/>
      <c r="SVH110" s="21"/>
      <c r="SVI110" s="21"/>
      <c r="SVJ110" s="21"/>
      <c r="SVK110" s="21"/>
      <c r="SVL110" s="21"/>
      <c r="SVM110" s="21"/>
      <c r="SVN110" s="21"/>
      <c r="SVO110" s="21"/>
      <c r="SVP110" s="21"/>
      <c r="SVQ110" s="21"/>
      <c r="SVR110" s="21"/>
      <c r="SVS110" s="21"/>
      <c r="SVT110" s="21"/>
      <c r="SVU110" s="21"/>
      <c r="SVV110" s="21"/>
      <c r="SVW110" s="21"/>
      <c r="SVX110" s="21"/>
      <c r="SVY110" s="21"/>
      <c r="SVZ110" s="21"/>
      <c r="SWA110" s="21"/>
      <c r="SWB110" s="21"/>
      <c r="SWC110" s="21"/>
      <c r="SWD110" s="21"/>
      <c r="SWE110" s="21"/>
      <c r="SWF110" s="21"/>
      <c r="SWG110" s="21"/>
      <c r="SWH110" s="21"/>
      <c r="SWI110" s="21"/>
      <c r="SWJ110" s="21"/>
      <c r="SWK110" s="21"/>
      <c r="SWL110" s="21"/>
      <c r="SWM110" s="21"/>
      <c r="SWN110" s="21"/>
      <c r="SWO110" s="21"/>
      <c r="SWP110" s="21"/>
      <c r="SWQ110" s="21"/>
      <c r="SWR110" s="21"/>
      <c r="SWS110" s="21"/>
      <c r="SWT110" s="21"/>
      <c r="SWU110" s="21"/>
      <c r="SWV110" s="21"/>
      <c r="SWW110" s="21"/>
      <c r="SWX110" s="21"/>
      <c r="SWY110" s="21"/>
      <c r="SWZ110" s="21"/>
      <c r="SXA110" s="21"/>
      <c r="SXB110" s="21"/>
      <c r="SXC110" s="21"/>
      <c r="SXD110" s="21"/>
      <c r="SXE110" s="21"/>
      <c r="SXF110" s="21"/>
      <c r="SXG110" s="21"/>
      <c r="SXH110" s="21"/>
      <c r="SXI110" s="21"/>
      <c r="SXJ110" s="21"/>
      <c r="SXK110" s="21"/>
      <c r="SXL110" s="21"/>
      <c r="SXM110" s="21"/>
      <c r="SXN110" s="21"/>
      <c r="SXO110" s="21"/>
      <c r="SXP110" s="21"/>
      <c r="SXQ110" s="21"/>
      <c r="SXR110" s="21"/>
      <c r="SXS110" s="21"/>
      <c r="SXT110" s="21"/>
      <c r="SXU110" s="21"/>
      <c r="SXV110" s="21"/>
      <c r="SXW110" s="21"/>
      <c r="SXX110" s="21"/>
      <c r="SXY110" s="21"/>
      <c r="SXZ110" s="21"/>
      <c r="SYA110" s="21"/>
      <c r="SYB110" s="21"/>
      <c r="SYC110" s="21"/>
      <c r="SYD110" s="21"/>
      <c r="SYE110" s="21"/>
      <c r="SYF110" s="21"/>
      <c r="SYG110" s="21"/>
      <c r="SYH110" s="21"/>
      <c r="SYI110" s="21"/>
      <c r="SYJ110" s="21"/>
      <c r="SYK110" s="21"/>
      <c r="SYL110" s="21"/>
      <c r="SYM110" s="21"/>
      <c r="SYN110" s="21"/>
      <c r="SYO110" s="21"/>
      <c r="SYP110" s="21"/>
      <c r="SYQ110" s="21"/>
      <c r="SYR110" s="21"/>
      <c r="SYS110" s="21"/>
      <c r="SYT110" s="21"/>
      <c r="SYU110" s="21"/>
      <c r="SYV110" s="21"/>
      <c r="SYW110" s="21"/>
      <c r="SYX110" s="21"/>
      <c r="SYY110" s="21"/>
      <c r="SYZ110" s="21"/>
      <c r="SZA110" s="21"/>
      <c r="SZB110" s="21"/>
      <c r="SZC110" s="21"/>
      <c r="SZD110" s="21"/>
      <c r="SZE110" s="21"/>
      <c r="SZF110" s="21"/>
      <c r="SZG110" s="21"/>
      <c r="SZH110" s="21"/>
      <c r="SZI110" s="21"/>
      <c r="SZJ110" s="21"/>
      <c r="SZK110" s="21"/>
      <c r="SZL110" s="21"/>
      <c r="SZM110" s="21"/>
      <c r="SZN110" s="21"/>
      <c r="SZO110" s="21"/>
      <c r="SZP110" s="21"/>
      <c r="SZQ110" s="21"/>
      <c r="SZR110" s="21"/>
      <c r="SZS110" s="21"/>
      <c r="SZT110" s="21"/>
      <c r="SZU110" s="21"/>
      <c r="SZV110" s="21"/>
      <c r="SZW110" s="21"/>
      <c r="SZX110" s="21"/>
      <c r="SZY110" s="21"/>
      <c r="SZZ110" s="21"/>
      <c r="TAA110" s="21"/>
      <c r="TAB110" s="21"/>
      <c r="TAC110" s="21"/>
      <c r="TAD110" s="21"/>
      <c r="TAE110" s="21"/>
      <c r="TAF110" s="21"/>
      <c r="TAG110" s="21"/>
      <c r="TAH110" s="21"/>
      <c r="TAI110" s="21"/>
      <c r="TAJ110" s="21"/>
      <c r="TAK110" s="21"/>
      <c r="TAL110" s="21"/>
      <c r="TAM110" s="21"/>
      <c r="TAN110" s="21"/>
      <c r="TAO110" s="21"/>
      <c r="TAP110" s="21"/>
      <c r="TAQ110" s="21"/>
      <c r="TAR110" s="21"/>
      <c r="TAS110" s="21"/>
      <c r="TAT110" s="21"/>
      <c r="TAU110" s="21"/>
      <c r="TAV110" s="21"/>
      <c r="TAW110" s="21"/>
      <c r="TAX110" s="21"/>
      <c r="TAY110" s="21"/>
      <c r="TAZ110" s="21"/>
      <c r="TBA110" s="21"/>
      <c r="TBB110" s="21"/>
      <c r="TBC110" s="21"/>
      <c r="TBD110" s="21"/>
      <c r="TBE110" s="21"/>
      <c r="TBF110" s="21"/>
      <c r="TBG110" s="21"/>
      <c r="TBH110" s="21"/>
      <c r="TBI110" s="21"/>
      <c r="TBJ110" s="21"/>
      <c r="TBK110" s="21"/>
      <c r="TBL110" s="21"/>
      <c r="TBM110" s="21"/>
      <c r="TBN110" s="21"/>
      <c r="TBO110" s="21"/>
      <c r="TBP110" s="21"/>
      <c r="TBQ110" s="21"/>
      <c r="TBR110" s="21"/>
      <c r="TBS110" s="21"/>
      <c r="TBT110" s="21"/>
      <c r="TBU110" s="21"/>
      <c r="TBV110" s="21"/>
      <c r="TBW110" s="21"/>
      <c r="TBX110" s="21"/>
      <c r="TBY110" s="21"/>
      <c r="TBZ110" s="21"/>
      <c r="TCA110" s="21"/>
      <c r="TCB110" s="21"/>
      <c r="TCC110" s="21"/>
      <c r="TCD110" s="21"/>
      <c r="TCE110" s="21"/>
      <c r="TCF110" s="21"/>
      <c r="TCG110" s="21"/>
      <c r="TCH110" s="21"/>
      <c r="TCI110" s="21"/>
      <c r="TCJ110" s="21"/>
      <c r="TCK110" s="21"/>
      <c r="TCL110" s="21"/>
      <c r="TCM110" s="21"/>
      <c r="TCN110" s="21"/>
      <c r="TCO110" s="21"/>
      <c r="TCP110" s="21"/>
      <c r="TCQ110" s="21"/>
      <c r="TCR110" s="21"/>
      <c r="TCS110" s="21"/>
      <c r="TCT110" s="21"/>
      <c r="TCU110" s="21"/>
      <c r="TCV110" s="21"/>
      <c r="TCW110" s="21"/>
      <c r="TCX110" s="21"/>
      <c r="TCY110" s="21"/>
      <c r="TCZ110" s="21"/>
      <c r="TDA110" s="21"/>
      <c r="TDB110" s="21"/>
      <c r="TDC110" s="21"/>
      <c r="TDD110" s="21"/>
      <c r="TDE110" s="21"/>
      <c r="TDF110" s="21"/>
      <c r="TDG110" s="21"/>
      <c r="TDH110" s="21"/>
      <c r="TDI110" s="21"/>
      <c r="TDJ110" s="21"/>
      <c r="TDK110" s="21"/>
      <c r="TDL110" s="21"/>
      <c r="TDM110" s="21"/>
      <c r="TDN110" s="21"/>
      <c r="TDO110" s="21"/>
      <c r="TDP110" s="21"/>
      <c r="TDQ110" s="21"/>
      <c r="TDR110" s="21"/>
      <c r="TDS110" s="21"/>
      <c r="TDT110" s="21"/>
      <c r="TDU110" s="21"/>
      <c r="TDV110" s="21"/>
      <c r="TDW110" s="21"/>
      <c r="TDX110" s="21"/>
      <c r="TDY110" s="21"/>
      <c r="TDZ110" s="21"/>
      <c r="TEA110" s="21"/>
      <c r="TEB110" s="21"/>
      <c r="TEC110" s="21"/>
      <c r="TED110" s="21"/>
      <c r="TEE110" s="21"/>
      <c r="TEF110" s="21"/>
      <c r="TEG110" s="21"/>
      <c r="TEH110" s="21"/>
      <c r="TEI110" s="21"/>
      <c r="TEJ110" s="21"/>
      <c r="TEK110" s="21"/>
      <c r="TEL110" s="21"/>
      <c r="TEM110" s="21"/>
      <c r="TEN110" s="21"/>
      <c r="TEO110" s="21"/>
      <c r="TEP110" s="21"/>
      <c r="TEQ110" s="21"/>
      <c r="TER110" s="21"/>
      <c r="TES110" s="21"/>
      <c r="TET110" s="21"/>
      <c r="TEU110" s="21"/>
      <c r="TEV110" s="21"/>
      <c r="TEW110" s="21"/>
      <c r="TEX110" s="21"/>
      <c r="TEY110" s="21"/>
      <c r="TEZ110" s="21"/>
      <c r="TFA110" s="21"/>
      <c r="TFB110" s="21"/>
      <c r="TFC110" s="21"/>
      <c r="TFD110" s="21"/>
      <c r="TFE110" s="21"/>
      <c r="TFF110" s="21"/>
      <c r="TFG110" s="21"/>
      <c r="TFH110" s="21"/>
      <c r="TFI110" s="21"/>
      <c r="TFJ110" s="21"/>
      <c r="TFK110" s="21"/>
      <c r="TFL110" s="21"/>
      <c r="TFM110" s="21"/>
      <c r="TFN110" s="21"/>
      <c r="TFO110" s="21"/>
      <c r="TFP110" s="21"/>
      <c r="TFQ110" s="21"/>
      <c r="TFR110" s="21"/>
      <c r="TFS110" s="21"/>
      <c r="TFT110" s="21"/>
      <c r="TFU110" s="21"/>
      <c r="TFV110" s="21"/>
      <c r="TFW110" s="21"/>
      <c r="TFX110" s="21"/>
      <c r="TFY110" s="21"/>
      <c r="TFZ110" s="21"/>
      <c r="TGA110" s="21"/>
      <c r="TGB110" s="21"/>
      <c r="TGC110" s="21"/>
      <c r="TGD110" s="21"/>
      <c r="TGE110" s="21"/>
      <c r="TGF110" s="21"/>
      <c r="TGG110" s="21"/>
      <c r="TGH110" s="21"/>
      <c r="TGI110" s="21"/>
      <c r="TGJ110" s="21"/>
      <c r="TGK110" s="21"/>
      <c r="TGL110" s="21"/>
      <c r="TGM110" s="21"/>
      <c r="TGN110" s="21"/>
      <c r="TGO110" s="21"/>
      <c r="TGP110" s="21"/>
      <c r="TGQ110" s="21"/>
      <c r="TGR110" s="21"/>
      <c r="TGS110" s="21"/>
      <c r="TGT110" s="21"/>
      <c r="TGU110" s="21"/>
      <c r="TGV110" s="21"/>
      <c r="TGW110" s="21"/>
      <c r="TGX110" s="21"/>
      <c r="TGY110" s="21"/>
      <c r="TGZ110" s="21"/>
      <c r="THA110" s="21"/>
      <c r="THB110" s="21"/>
      <c r="THC110" s="21"/>
      <c r="THD110" s="21"/>
      <c r="THE110" s="21"/>
      <c r="THF110" s="21"/>
      <c r="THG110" s="21"/>
      <c r="THH110" s="21"/>
      <c r="THI110" s="21"/>
      <c r="THJ110" s="21"/>
      <c r="THK110" s="21"/>
      <c r="THL110" s="21"/>
      <c r="THM110" s="21"/>
      <c r="THN110" s="21"/>
      <c r="THO110" s="21"/>
      <c r="THP110" s="21"/>
      <c r="THQ110" s="21"/>
      <c r="THR110" s="21"/>
      <c r="THS110" s="21"/>
      <c r="THT110" s="21"/>
      <c r="THU110" s="21"/>
      <c r="THV110" s="21"/>
      <c r="THW110" s="21"/>
      <c r="THX110" s="21"/>
      <c r="THY110" s="21"/>
      <c r="THZ110" s="21"/>
      <c r="TIA110" s="21"/>
      <c r="TIB110" s="21"/>
      <c r="TIC110" s="21"/>
      <c r="TID110" s="21"/>
      <c r="TIE110" s="21"/>
      <c r="TIF110" s="21"/>
      <c r="TIG110" s="21"/>
      <c r="TIH110" s="21"/>
      <c r="TII110" s="21"/>
      <c r="TIJ110" s="21"/>
      <c r="TIK110" s="21"/>
      <c r="TIL110" s="21"/>
      <c r="TIM110" s="21"/>
      <c r="TIN110" s="21"/>
      <c r="TIO110" s="21"/>
      <c r="TIP110" s="21"/>
      <c r="TIQ110" s="21"/>
      <c r="TIR110" s="21"/>
      <c r="TIS110" s="21"/>
      <c r="TIT110" s="21"/>
      <c r="TIU110" s="21"/>
      <c r="TIV110" s="21"/>
      <c r="TIW110" s="21"/>
      <c r="TIX110" s="21"/>
      <c r="TIY110" s="21"/>
      <c r="TIZ110" s="21"/>
      <c r="TJA110" s="21"/>
      <c r="TJB110" s="21"/>
      <c r="TJC110" s="21"/>
      <c r="TJD110" s="21"/>
      <c r="TJE110" s="21"/>
      <c r="TJF110" s="21"/>
      <c r="TJG110" s="21"/>
      <c r="TJH110" s="21"/>
      <c r="TJI110" s="21"/>
      <c r="TJJ110" s="21"/>
      <c r="TJK110" s="21"/>
      <c r="TJL110" s="21"/>
      <c r="TJM110" s="21"/>
      <c r="TJN110" s="21"/>
      <c r="TJO110" s="21"/>
      <c r="TJP110" s="21"/>
      <c r="TJQ110" s="21"/>
      <c r="TJR110" s="21"/>
      <c r="TJS110" s="21"/>
      <c r="TJT110" s="21"/>
      <c r="TJU110" s="21"/>
      <c r="TJV110" s="21"/>
      <c r="TJW110" s="21"/>
      <c r="TJX110" s="21"/>
      <c r="TJY110" s="21"/>
      <c r="TJZ110" s="21"/>
      <c r="TKA110" s="21"/>
      <c r="TKB110" s="21"/>
      <c r="TKC110" s="21"/>
      <c r="TKD110" s="21"/>
      <c r="TKE110" s="21"/>
      <c r="TKF110" s="21"/>
      <c r="TKG110" s="21"/>
      <c r="TKH110" s="21"/>
      <c r="TKI110" s="21"/>
      <c r="TKJ110" s="21"/>
      <c r="TKK110" s="21"/>
      <c r="TKL110" s="21"/>
      <c r="TKM110" s="21"/>
      <c r="TKN110" s="21"/>
      <c r="TKO110" s="21"/>
      <c r="TKP110" s="21"/>
      <c r="TKQ110" s="21"/>
      <c r="TKR110" s="21"/>
      <c r="TKS110" s="21"/>
      <c r="TKT110" s="21"/>
      <c r="TKU110" s="21"/>
      <c r="TKV110" s="21"/>
      <c r="TKW110" s="21"/>
      <c r="TKX110" s="21"/>
      <c r="TKY110" s="21"/>
      <c r="TKZ110" s="21"/>
      <c r="TLA110" s="21"/>
      <c r="TLB110" s="21"/>
      <c r="TLC110" s="21"/>
      <c r="TLD110" s="21"/>
      <c r="TLE110" s="21"/>
      <c r="TLF110" s="21"/>
      <c r="TLG110" s="21"/>
      <c r="TLH110" s="21"/>
      <c r="TLI110" s="21"/>
      <c r="TLJ110" s="21"/>
      <c r="TLK110" s="21"/>
      <c r="TLL110" s="21"/>
      <c r="TLM110" s="21"/>
      <c r="TLN110" s="21"/>
      <c r="TLO110" s="21"/>
      <c r="TLP110" s="21"/>
      <c r="TLQ110" s="21"/>
      <c r="TLR110" s="21"/>
      <c r="TLS110" s="21"/>
      <c r="TLT110" s="21"/>
      <c r="TLU110" s="21"/>
      <c r="TLV110" s="21"/>
      <c r="TLW110" s="21"/>
      <c r="TLX110" s="21"/>
      <c r="TLY110" s="21"/>
      <c r="TLZ110" s="21"/>
      <c r="TMA110" s="21"/>
      <c r="TMB110" s="21"/>
      <c r="TMC110" s="21"/>
      <c r="TMD110" s="21"/>
      <c r="TME110" s="21"/>
      <c r="TMF110" s="21"/>
      <c r="TMG110" s="21"/>
      <c r="TMH110" s="21"/>
      <c r="TMI110" s="21"/>
      <c r="TMJ110" s="21"/>
      <c r="TMK110" s="21"/>
      <c r="TML110" s="21"/>
      <c r="TMM110" s="21"/>
      <c r="TMN110" s="21"/>
      <c r="TMO110" s="21"/>
      <c r="TMP110" s="21"/>
      <c r="TMQ110" s="21"/>
      <c r="TMR110" s="21"/>
      <c r="TMS110" s="21"/>
      <c r="TMT110" s="21"/>
      <c r="TMU110" s="21"/>
      <c r="TMV110" s="21"/>
      <c r="TMW110" s="21"/>
      <c r="TMX110" s="21"/>
      <c r="TMY110" s="21"/>
      <c r="TMZ110" s="21"/>
      <c r="TNA110" s="21"/>
      <c r="TNB110" s="21"/>
      <c r="TNC110" s="21"/>
      <c r="TND110" s="21"/>
      <c r="TNE110" s="21"/>
      <c r="TNF110" s="21"/>
      <c r="TNG110" s="21"/>
      <c r="TNH110" s="21"/>
      <c r="TNI110" s="21"/>
      <c r="TNJ110" s="21"/>
      <c r="TNK110" s="21"/>
      <c r="TNL110" s="21"/>
      <c r="TNM110" s="21"/>
      <c r="TNN110" s="21"/>
      <c r="TNO110" s="21"/>
      <c r="TNP110" s="21"/>
      <c r="TNQ110" s="21"/>
      <c r="TNR110" s="21"/>
      <c r="TNS110" s="21"/>
      <c r="TNT110" s="21"/>
      <c r="TNU110" s="21"/>
      <c r="TNV110" s="21"/>
      <c r="TNW110" s="21"/>
      <c r="TNX110" s="21"/>
      <c r="TNY110" s="21"/>
      <c r="TNZ110" s="21"/>
      <c r="TOA110" s="21"/>
      <c r="TOB110" s="21"/>
      <c r="TOC110" s="21"/>
      <c r="TOD110" s="21"/>
      <c r="TOE110" s="21"/>
      <c r="TOF110" s="21"/>
      <c r="TOG110" s="21"/>
      <c r="TOH110" s="21"/>
      <c r="TOI110" s="21"/>
      <c r="TOJ110" s="21"/>
      <c r="TOK110" s="21"/>
      <c r="TOL110" s="21"/>
      <c r="TOM110" s="21"/>
      <c r="TON110" s="21"/>
      <c r="TOO110" s="21"/>
      <c r="TOP110" s="21"/>
      <c r="TOQ110" s="21"/>
      <c r="TOR110" s="21"/>
      <c r="TOS110" s="21"/>
      <c r="TOT110" s="21"/>
      <c r="TOU110" s="21"/>
      <c r="TOV110" s="21"/>
      <c r="TOW110" s="21"/>
      <c r="TOX110" s="21"/>
      <c r="TOY110" s="21"/>
      <c r="TOZ110" s="21"/>
      <c r="TPA110" s="21"/>
      <c r="TPB110" s="21"/>
      <c r="TPC110" s="21"/>
      <c r="TPD110" s="21"/>
      <c r="TPE110" s="21"/>
      <c r="TPF110" s="21"/>
      <c r="TPG110" s="21"/>
      <c r="TPH110" s="21"/>
      <c r="TPI110" s="21"/>
      <c r="TPJ110" s="21"/>
      <c r="TPK110" s="21"/>
      <c r="TPL110" s="21"/>
      <c r="TPM110" s="21"/>
      <c r="TPN110" s="21"/>
      <c r="TPO110" s="21"/>
      <c r="TPP110" s="21"/>
      <c r="TPQ110" s="21"/>
      <c r="TPR110" s="21"/>
      <c r="TPS110" s="21"/>
      <c r="TPT110" s="21"/>
      <c r="TPU110" s="21"/>
      <c r="TPV110" s="21"/>
      <c r="TPW110" s="21"/>
      <c r="TPX110" s="21"/>
      <c r="TPY110" s="21"/>
      <c r="TPZ110" s="21"/>
      <c r="TQA110" s="21"/>
      <c r="TQB110" s="21"/>
      <c r="TQC110" s="21"/>
      <c r="TQD110" s="21"/>
      <c r="TQE110" s="21"/>
      <c r="TQF110" s="21"/>
      <c r="TQG110" s="21"/>
      <c r="TQH110" s="21"/>
      <c r="TQI110" s="21"/>
      <c r="TQJ110" s="21"/>
      <c r="TQK110" s="21"/>
      <c r="TQL110" s="21"/>
      <c r="TQM110" s="21"/>
      <c r="TQN110" s="21"/>
      <c r="TQO110" s="21"/>
      <c r="TQP110" s="21"/>
      <c r="TQQ110" s="21"/>
      <c r="TQR110" s="21"/>
      <c r="TQS110" s="21"/>
      <c r="TQT110" s="21"/>
      <c r="TQU110" s="21"/>
      <c r="TQV110" s="21"/>
      <c r="TQW110" s="21"/>
      <c r="TQX110" s="21"/>
      <c r="TQY110" s="21"/>
      <c r="TQZ110" s="21"/>
      <c r="TRA110" s="21"/>
      <c r="TRB110" s="21"/>
      <c r="TRC110" s="21"/>
      <c r="TRD110" s="21"/>
      <c r="TRE110" s="21"/>
      <c r="TRF110" s="21"/>
      <c r="TRG110" s="21"/>
      <c r="TRH110" s="21"/>
      <c r="TRI110" s="21"/>
      <c r="TRJ110" s="21"/>
      <c r="TRK110" s="21"/>
      <c r="TRL110" s="21"/>
      <c r="TRM110" s="21"/>
      <c r="TRN110" s="21"/>
      <c r="TRO110" s="21"/>
      <c r="TRP110" s="21"/>
      <c r="TRQ110" s="21"/>
      <c r="TRR110" s="21"/>
      <c r="TRS110" s="21"/>
      <c r="TRT110" s="21"/>
      <c r="TRU110" s="21"/>
      <c r="TRV110" s="21"/>
      <c r="TRW110" s="21"/>
      <c r="TRX110" s="21"/>
      <c r="TRY110" s="21"/>
      <c r="TRZ110" s="21"/>
      <c r="TSA110" s="21"/>
      <c r="TSB110" s="21"/>
      <c r="TSC110" s="21"/>
      <c r="TSD110" s="21"/>
      <c r="TSE110" s="21"/>
      <c r="TSF110" s="21"/>
      <c r="TSG110" s="21"/>
      <c r="TSH110" s="21"/>
      <c r="TSI110" s="21"/>
      <c r="TSJ110" s="21"/>
      <c r="TSK110" s="21"/>
      <c r="TSL110" s="21"/>
      <c r="TSM110" s="21"/>
      <c r="TSN110" s="21"/>
      <c r="TSO110" s="21"/>
      <c r="TSP110" s="21"/>
      <c r="TSQ110" s="21"/>
      <c r="TSR110" s="21"/>
      <c r="TSS110" s="21"/>
      <c r="TST110" s="21"/>
      <c r="TSU110" s="21"/>
      <c r="TSV110" s="21"/>
      <c r="TSW110" s="21"/>
      <c r="TSX110" s="21"/>
      <c r="TSY110" s="21"/>
      <c r="TSZ110" s="21"/>
      <c r="TTA110" s="21"/>
      <c r="TTB110" s="21"/>
      <c r="TTC110" s="21"/>
      <c r="TTD110" s="21"/>
      <c r="TTE110" s="21"/>
      <c r="TTF110" s="21"/>
      <c r="TTG110" s="21"/>
      <c r="TTH110" s="21"/>
      <c r="TTI110" s="21"/>
      <c r="TTJ110" s="21"/>
      <c r="TTK110" s="21"/>
      <c r="TTL110" s="21"/>
      <c r="TTM110" s="21"/>
      <c r="TTN110" s="21"/>
      <c r="TTO110" s="21"/>
      <c r="TTP110" s="21"/>
      <c r="TTQ110" s="21"/>
      <c r="TTR110" s="21"/>
      <c r="TTS110" s="21"/>
      <c r="TTT110" s="21"/>
      <c r="TTU110" s="21"/>
      <c r="TTV110" s="21"/>
      <c r="TTW110" s="21"/>
      <c r="TTX110" s="21"/>
      <c r="TTY110" s="21"/>
      <c r="TTZ110" s="21"/>
      <c r="TUA110" s="21"/>
      <c r="TUB110" s="21"/>
      <c r="TUC110" s="21"/>
      <c r="TUD110" s="21"/>
      <c r="TUE110" s="21"/>
      <c r="TUF110" s="21"/>
      <c r="TUG110" s="21"/>
      <c r="TUH110" s="21"/>
      <c r="TUI110" s="21"/>
      <c r="TUJ110" s="21"/>
      <c r="TUK110" s="21"/>
      <c r="TUL110" s="21"/>
      <c r="TUM110" s="21"/>
      <c r="TUN110" s="21"/>
      <c r="TUO110" s="21"/>
      <c r="TUP110" s="21"/>
      <c r="TUQ110" s="21"/>
      <c r="TUR110" s="21"/>
      <c r="TUS110" s="21"/>
      <c r="TUT110" s="21"/>
      <c r="TUU110" s="21"/>
      <c r="TUV110" s="21"/>
      <c r="TUW110" s="21"/>
      <c r="TUX110" s="21"/>
      <c r="TUY110" s="21"/>
      <c r="TUZ110" s="21"/>
      <c r="TVA110" s="21"/>
      <c r="TVB110" s="21"/>
      <c r="TVC110" s="21"/>
      <c r="TVD110" s="21"/>
      <c r="TVE110" s="21"/>
      <c r="TVF110" s="21"/>
      <c r="TVG110" s="21"/>
      <c r="TVH110" s="21"/>
      <c r="TVI110" s="21"/>
      <c r="TVJ110" s="21"/>
      <c r="TVK110" s="21"/>
      <c r="TVL110" s="21"/>
      <c r="TVM110" s="21"/>
      <c r="TVN110" s="21"/>
      <c r="TVO110" s="21"/>
      <c r="TVP110" s="21"/>
      <c r="TVQ110" s="21"/>
      <c r="TVR110" s="21"/>
      <c r="TVS110" s="21"/>
      <c r="TVT110" s="21"/>
      <c r="TVU110" s="21"/>
      <c r="TVV110" s="21"/>
      <c r="TVW110" s="21"/>
      <c r="TVX110" s="21"/>
      <c r="TVY110" s="21"/>
      <c r="TVZ110" s="21"/>
      <c r="TWA110" s="21"/>
      <c r="TWB110" s="21"/>
      <c r="TWC110" s="21"/>
      <c r="TWD110" s="21"/>
      <c r="TWE110" s="21"/>
      <c r="TWF110" s="21"/>
      <c r="TWG110" s="21"/>
      <c r="TWH110" s="21"/>
      <c r="TWI110" s="21"/>
      <c r="TWJ110" s="21"/>
      <c r="TWK110" s="21"/>
      <c r="TWL110" s="21"/>
      <c r="TWM110" s="21"/>
      <c r="TWN110" s="21"/>
      <c r="TWO110" s="21"/>
      <c r="TWP110" s="21"/>
      <c r="TWQ110" s="21"/>
      <c r="TWR110" s="21"/>
      <c r="TWS110" s="21"/>
      <c r="TWT110" s="21"/>
      <c r="TWU110" s="21"/>
      <c r="TWV110" s="21"/>
      <c r="TWW110" s="21"/>
      <c r="TWX110" s="21"/>
      <c r="TWY110" s="21"/>
      <c r="TWZ110" s="21"/>
      <c r="TXA110" s="21"/>
      <c r="TXB110" s="21"/>
      <c r="TXC110" s="21"/>
      <c r="TXD110" s="21"/>
      <c r="TXE110" s="21"/>
      <c r="TXF110" s="21"/>
      <c r="TXG110" s="21"/>
      <c r="TXH110" s="21"/>
      <c r="TXI110" s="21"/>
      <c r="TXJ110" s="21"/>
      <c r="TXK110" s="21"/>
      <c r="TXL110" s="21"/>
      <c r="TXM110" s="21"/>
      <c r="TXN110" s="21"/>
      <c r="TXO110" s="21"/>
      <c r="TXP110" s="21"/>
      <c r="TXQ110" s="21"/>
      <c r="TXR110" s="21"/>
      <c r="TXS110" s="21"/>
      <c r="TXT110" s="21"/>
      <c r="TXU110" s="21"/>
      <c r="TXV110" s="21"/>
      <c r="TXW110" s="21"/>
      <c r="TXX110" s="21"/>
      <c r="TXY110" s="21"/>
      <c r="TXZ110" s="21"/>
      <c r="TYA110" s="21"/>
      <c r="TYB110" s="21"/>
      <c r="TYC110" s="21"/>
      <c r="TYD110" s="21"/>
      <c r="TYE110" s="21"/>
      <c r="TYF110" s="21"/>
      <c r="TYG110" s="21"/>
      <c r="TYH110" s="21"/>
      <c r="TYI110" s="21"/>
      <c r="TYJ110" s="21"/>
      <c r="TYK110" s="21"/>
      <c r="TYL110" s="21"/>
      <c r="TYM110" s="21"/>
      <c r="TYN110" s="21"/>
      <c r="TYO110" s="21"/>
      <c r="TYP110" s="21"/>
      <c r="TYQ110" s="21"/>
      <c r="TYR110" s="21"/>
      <c r="TYS110" s="21"/>
      <c r="TYT110" s="21"/>
      <c r="TYU110" s="21"/>
      <c r="TYV110" s="21"/>
      <c r="TYW110" s="21"/>
      <c r="TYX110" s="21"/>
      <c r="TYY110" s="21"/>
      <c r="TYZ110" s="21"/>
      <c r="TZA110" s="21"/>
      <c r="TZB110" s="21"/>
      <c r="TZC110" s="21"/>
      <c r="TZD110" s="21"/>
      <c r="TZE110" s="21"/>
      <c r="TZF110" s="21"/>
      <c r="TZG110" s="21"/>
      <c r="TZH110" s="21"/>
      <c r="TZI110" s="21"/>
      <c r="TZJ110" s="21"/>
      <c r="TZK110" s="21"/>
      <c r="TZL110" s="21"/>
      <c r="TZM110" s="21"/>
      <c r="TZN110" s="21"/>
      <c r="TZO110" s="21"/>
      <c r="TZP110" s="21"/>
      <c r="TZQ110" s="21"/>
      <c r="TZR110" s="21"/>
      <c r="TZS110" s="21"/>
      <c r="TZT110" s="21"/>
      <c r="TZU110" s="21"/>
      <c r="TZV110" s="21"/>
      <c r="TZW110" s="21"/>
      <c r="TZX110" s="21"/>
      <c r="TZY110" s="21"/>
      <c r="TZZ110" s="21"/>
      <c r="UAA110" s="21"/>
      <c r="UAB110" s="21"/>
      <c r="UAC110" s="21"/>
      <c r="UAD110" s="21"/>
      <c r="UAE110" s="21"/>
      <c r="UAF110" s="21"/>
      <c r="UAG110" s="21"/>
      <c r="UAH110" s="21"/>
      <c r="UAI110" s="21"/>
      <c r="UAJ110" s="21"/>
      <c r="UAK110" s="21"/>
      <c r="UAL110" s="21"/>
      <c r="UAM110" s="21"/>
      <c r="UAN110" s="21"/>
      <c r="UAO110" s="21"/>
      <c r="UAP110" s="21"/>
      <c r="UAQ110" s="21"/>
      <c r="UAR110" s="21"/>
      <c r="UAS110" s="21"/>
      <c r="UAT110" s="21"/>
      <c r="UAU110" s="21"/>
      <c r="UAV110" s="21"/>
      <c r="UAW110" s="21"/>
      <c r="UAX110" s="21"/>
      <c r="UAY110" s="21"/>
      <c r="UAZ110" s="21"/>
      <c r="UBA110" s="21"/>
      <c r="UBB110" s="21"/>
      <c r="UBC110" s="21"/>
      <c r="UBD110" s="21"/>
      <c r="UBE110" s="21"/>
      <c r="UBF110" s="21"/>
      <c r="UBG110" s="21"/>
      <c r="UBH110" s="21"/>
      <c r="UBI110" s="21"/>
      <c r="UBJ110" s="21"/>
      <c r="UBK110" s="21"/>
      <c r="UBL110" s="21"/>
      <c r="UBM110" s="21"/>
      <c r="UBN110" s="21"/>
      <c r="UBO110" s="21"/>
      <c r="UBP110" s="21"/>
      <c r="UBQ110" s="21"/>
      <c r="UBR110" s="21"/>
      <c r="UBS110" s="21"/>
      <c r="UBT110" s="21"/>
      <c r="UBU110" s="21"/>
      <c r="UBV110" s="21"/>
      <c r="UBW110" s="21"/>
      <c r="UBX110" s="21"/>
      <c r="UBY110" s="21"/>
      <c r="UBZ110" s="21"/>
      <c r="UCA110" s="21"/>
      <c r="UCB110" s="21"/>
      <c r="UCC110" s="21"/>
      <c r="UCD110" s="21"/>
      <c r="UCE110" s="21"/>
      <c r="UCF110" s="21"/>
      <c r="UCG110" s="21"/>
      <c r="UCH110" s="21"/>
      <c r="UCI110" s="21"/>
      <c r="UCJ110" s="21"/>
      <c r="UCK110" s="21"/>
      <c r="UCL110" s="21"/>
      <c r="UCM110" s="21"/>
      <c r="UCN110" s="21"/>
      <c r="UCO110" s="21"/>
      <c r="UCP110" s="21"/>
      <c r="UCQ110" s="21"/>
      <c r="UCR110" s="21"/>
      <c r="UCS110" s="21"/>
      <c r="UCT110" s="21"/>
      <c r="UCU110" s="21"/>
      <c r="UCV110" s="21"/>
      <c r="UCW110" s="21"/>
      <c r="UCX110" s="21"/>
      <c r="UCY110" s="21"/>
      <c r="UCZ110" s="21"/>
      <c r="UDA110" s="21"/>
      <c r="UDB110" s="21"/>
      <c r="UDC110" s="21"/>
      <c r="UDD110" s="21"/>
      <c r="UDE110" s="21"/>
      <c r="UDF110" s="21"/>
      <c r="UDG110" s="21"/>
      <c r="UDH110" s="21"/>
      <c r="UDI110" s="21"/>
      <c r="UDJ110" s="21"/>
      <c r="UDK110" s="21"/>
      <c r="UDL110" s="21"/>
      <c r="UDM110" s="21"/>
      <c r="UDN110" s="21"/>
      <c r="UDO110" s="21"/>
      <c r="UDP110" s="21"/>
      <c r="UDQ110" s="21"/>
      <c r="UDR110" s="21"/>
      <c r="UDS110" s="21"/>
      <c r="UDT110" s="21"/>
      <c r="UDU110" s="21"/>
      <c r="UDV110" s="21"/>
      <c r="UDW110" s="21"/>
      <c r="UDX110" s="21"/>
      <c r="UDY110" s="21"/>
      <c r="UDZ110" s="21"/>
      <c r="UEA110" s="21"/>
      <c r="UEB110" s="21"/>
      <c r="UEC110" s="21"/>
      <c r="UED110" s="21"/>
      <c r="UEE110" s="21"/>
      <c r="UEF110" s="21"/>
      <c r="UEG110" s="21"/>
      <c r="UEH110" s="21"/>
      <c r="UEI110" s="21"/>
      <c r="UEJ110" s="21"/>
      <c r="UEK110" s="21"/>
      <c r="UEL110" s="21"/>
      <c r="UEM110" s="21"/>
      <c r="UEN110" s="21"/>
      <c r="UEO110" s="21"/>
      <c r="UEP110" s="21"/>
      <c r="UEQ110" s="21"/>
      <c r="UER110" s="21"/>
      <c r="UES110" s="21"/>
      <c r="UET110" s="21"/>
      <c r="UEU110" s="21"/>
      <c r="UEV110" s="21"/>
      <c r="UEW110" s="21"/>
      <c r="UEX110" s="21"/>
      <c r="UEY110" s="21"/>
      <c r="UEZ110" s="21"/>
      <c r="UFA110" s="21"/>
      <c r="UFB110" s="21"/>
      <c r="UFC110" s="21"/>
      <c r="UFD110" s="21"/>
      <c r="UFE110" s="21"/>
      <c r="UFF110" s="21"/>
      <c r="UFG110" s="21"/>
      <c r="UFH110" s="21"/>
      <c r="UFI110" s="21"/>
      <c r="UFJ110" s="21"/>
      <c r="UFK110" s="21"/>
      <c r="UFL110" s="21"/>
      <c r="UFM110" s="21"/>
      <c r="UFN110" s="21"/>
      <c r="UFO110" s="21"/>
      <c r="UFP110" s="21"/>
      <c r="UFQ110" s="21"/>
      <c r="UFR110" s="21"/>
      <c r="UFS110" s="21"/>
      <c r="UFT110" s="21"/>
      <c r="UFU110" s="21"/>
      <c r="UFV110" s="21"/>
      <c r="UFW110" s="21"/>
      <c r="UFX110" s="21"/>
      <c r="UFY110" s="21"/>
      <c r="UFZ110" s="21"/>
      <c r="UGA110" s="21"/>
      <c r="UGB110" s="21"/>
      <c r="UGC110" s="21"/>
      <c r="UGD110" s="21"/>
      <c r="UGE110" s="21"/>
      <c r="UGF110" s="21"/>
      <c r="UGG110" s="21"/>
      <c r="UGH110" s="21"/>
      <c r="UGI110" s="21"/>
      <c r="UGJ110" s="21"/>
      <c r="UGK110" s="21"/>
      <c r="UGL110" s="21"/>
      <c r="UGM110" s="21"/>
      <c r="UGN110" s="21"/>
      <c r="UGO110" s="21"/>
      <c r="UGP110" s="21"/>
      <c r="UGQ110" s="21"/>
      <c r="UGR110" s="21"/>
      <c r="UGS110" s="21"/>
      <c r="UGT110" s="21"/>
      <c r="UGU110" s="21"/>
      <c r="UGV110" s="21"/>
      <c r="UGW110" s="21"/>
      <c r="UGX110" s="21"/>
      <c r="UGY110" s="21"/>
      <c r="UGZ110" s="21"/>
      <c r="UHA110" s="21"/>
      <c r="UHB110" s="21"/>
      <c r="UHC110" s="21"/>
      <c r="UHD110" s="21"/>
      <c r="UHE110" s="21"/>
      <c r="UHF110" s="21"/>
      <c r="UHG110" s="21"/>
      <c r="UHH110" s="21"/>
      <c r="UHI110" s="21"/>
      <c r="UHJ110" s="21"/>
      <c r="UHK110" s="21"/>
      <c r="UHL110" s="21"/>
      <c r="UHM110" s="21"/>
      <c r="UHN110" s="21"/>
      <c r="UHO110" s="21"/>
      <c r="UHP110" s="21"/>
      <c r="UHQ110" s="21"/>
      <c r="UHR110" s="21"/>
      <c r="UHS110" s="21"/>
      <c r="UHT110" s="21"/>
      <c r="UHU110" s="21"/>
      <c r="UHV110" s="21"/>
      <c r="UHW110" s="21"/>
      <c r="UHX110" s="21"/>
      <c r="UHY110" s="21"/>
      <c r="UHZ110" s="21"/>
      <c r="UIA110" s="21"/>
      <c r="UIB110" s="21"/>
      <c r="UIC110" s="21"/>
      <c r="UID110" s="21"/>
      <c r="UIE110" s="21"/>
      <c r="UIF110" s="21"/>
      <c r="UIG110" s="21"/>
      <c r="UIH110" s="21"/>
      <c r="UII110" s="21"/>
      <c r="UIJ110" s="21"/>
      <c r="UIK110" s="21"/>
      <c r="UIL110" s="21"/>
      <c r="UIM110" s="21"/>
      <c r="UIN110" s="21"/>
      <c r="UIO110" s="21"/>
      <c r="UIP110" s="21"/>
      <c r="UIQ110" s="21"/>
      <c r="UIR110" s="21"/>
      <c r="UIS110" s="21"/>
      <c r="UIT110" s="21"/>
      <c r="UIU110" s="21"/>
      <c r="UIV110" s="21"/>
      <c r="UIW110" s="21"/>
      <c r="UIX110" s="21"/>
      <c r="UIY110" s="21"/>
      <c r="UIZ110" s="21"/>
      <c r="UJA110" s="21"/>
      <c r="UJB110" s="21"/>
      <c r="UJC110" s="21"/>
      <c r="UJD110" s="21"/>
      <c r="UJE110" s="21"/>
      <c r="UJF110" s="21"/>
      <c r="UJG110" s="21"/>
      <c r="UJH110" s="21"/>
      <c r="UJI110" s="21"/>
      <c r="UJJ110" s="21"/>
      <c r="UJK110" s="21"/>
      <c r="UJL110" s="21"/>
      <c r="UJM110" s="21"/>
      <c r="UJN110" s="21"/>
      <c r="UJO110" s="21"/>
      <c r="UJP110" s="21"/>
      <c r="UJQ110" s="21"/>
      <c r="UJR110" s="21"/>
      <c r="UJS110" s="21"/>
      <c r="UJT110" s="21"/>
      <c r="UJU110" s="21"/>
      <c r="UJV110" s="21"/>
      <c r="UJW110" s="21"/>
      <c r="UJX110" s="21"/>
      <c r="UJY110" s="21"/>
      <c r="UJZ110" s="21"/>
      <c r="UKA110" s="21"/>
      <c r="UKB110" s="21"/>
      <c r="UKC110" s="21"/>
      <c r="UKD110" s="21"/>
      <c r="UKE110" s="21"/>
      <c r="UKF110" s="21"/>
      <c r="UKG110" s="21"/>
      <c r="UKH110" s="21"/>
      <c r="UKI110" s="21"/>
      <c r="UKJ110" s="21"/>
      <c r="UKK110" s="21"/>
      <c r="UKL110" s="21"/>
      <c r="UKM110" s="21"/>
      <c r="UKN110" s="21"/>
      <c r="UKO110" s="21"/>
      <c r="UKP110" s="21"/>
      <c r="UKQ110" s="21"/>
      <c r="UKR110" s="21"/>
      <c r="UKS110" s="21"/>
      <c r="UKT110" s="21"/>
      <c r="UKU110" s="21"/>
      <c r="UKV110" s="21"/>
      <c r="UKW110" s="21"/>
      <c r="UKX110" s="21"/>
      <c r="UKY110" s="21"/>
      <c r="UKZ110" s="21"/>
      <c r="ULA110" s="21"/>
      <c r="ULB110" s="21"/>
      <c r="ULC110" s="21"/>
      <c r="ULD110" s="21"/>
      <c r="ULE110" s="21"/>
      <c r="ULF110" s="21"/>
      <c r="ULG110" s="21"/>
      <c r="ULH110" s="21"/>
      <c r="ULI110" s="21"/>
      <c r="ULJ110" s="21"/>
      <c r="ULK110" s="21"/>
      <c r="ULL110" s="21"/>
      <c r="ULM110" s="21"/>
      <c r="ULN110" s="21"/>
      <c r="ULO110" s="21"/>
      <c r="ULP110" s="21"/>
      <c r="ULQ110" s="21"/>
      <c r="ULR110" s="21"/>
      <c r="ULS110" s="21"/>
      <c r="ULT110" s="21"/>
      <c r="ULU110" s="21"/>
      <c r="ULV110" s="21"/>
      <c r="ULW110" s="21"/>
      <c r="ULX110" s="21"/>
      <c r="ULY110" s="21"/>
      <c r="ULZ110" s="21"/>
      <c r="UMA110" s="21"/>
      <c r="UMB110" s="21"/>
      <c r="UMC110" s="21"/>
      <c r="UMD110" s="21"/>
      <c r="UME110" s="21"/>
      <c r="UMF110" s="21"/>
      <c r="UMG110" s="21"/>
      <c r="UMH110" s="21"/>
      <c r="UMI110" s="21"/>
      <c r="UMJ110" s="21"/>
      <c r="UMK110" s="21"/>
      <c r="UML110" s="21"/>
      <c r="UMM110" s="21"/>
      <c r="UMN110" s="21"/>
      <c r="UMO110" s="21"/>
      <c r="UMP110" s="21"/>
      <c r="UMQ110" s="21"/>
      <c r="UMR110" s="21"/>
      <c r="UMS110" s="21"/>
      <c r="UMT110" s="21"/>
      <c r="UMU110" s="21"/>
      <c r="UMV110" s="21"/>
      <c r="UMW110" s="21"/>
      <c r="UMX110" s="21"/>
      <c r="UMY110" s="21"/>
      <c r="UMZ110" s="21"/>
      <c r="UNA110" s="21"/>
      <c r="UNB110" s="21"/>
      <c r="UNC110" s="21"/>
      <c r="UND110" s="21"/>
      <c r="UNE110" s="21"/>
      <c r="UNF110" s="21"/>
      <c r="UNG110" s="21"/>
      <c r="UNH110" s="21"/>
      <c r="UNI110" s="21"/>
      <c r="UNJ110" s="21"/>
      <c r="UNK110" s="21"/>
      <c r="UNL110" s="21"/>
      <c r="UNM110" s="21"/>
      <c r="UNN110" s="21"/>
      <c r="UNO110" s="21"/>
      <c r="UNP110" s="21"/>
      <c r="UNQ110" s="21"/>
      <c r="UNR110" s="21"/>
      <c r="UNS110" s="21"/>
      <c r="UNT110" s="21"/>
      <c r="UNU110" s="21"/>
      <c r="UNV110" s="21"/>
      <c r="UNW110" s="21"/>
      <c r="UNX110" s="21"/>
      <c r="UNY110" s="21"/>
      <c r="UNZ110" s="21"/>
      <c r="UOA110" s="21"/>
      <c r="UOB110" s="21"/>
      <c r="UOC110" s="21"/>
      <c r="UOD110" s="21"/>
      <c r="UOE110" s="21"/>
      <c r="UOF110" s="21"/>
      <c r="UOG110" s="21"/>
      <c r="UOH110" s="21"/>
      <c r="UOI110" s="21"/>
      <c r="UOJ110" s="21"/>
      <c r="UOK110" s="21"/>
      <c r="UOL110" s="21"/>
      <c r="UOM110" s="21"/>
      <c r="UON110" s="21"/>
      <c r="UOO110" s="21"/>
      <c r="UOP110" s="21"/>
      <c r="UOQ110" s="21"/>
      <c r="UOR110" s="21"/>
      <c r="UOS110" s="21"/>
      <c r="UOT110" s="21"/>
      <c r="UOU110" s="21"/>
      <c r="UOV110" s="21"/>
      <c r="UOW110" s="21"/>
      <c r="UOX110" s="21"/>
      <c r="UOY110" s="21"/>
      <c r="UOZ110" s="21"/>
      <c r="UPA110" s="21"/>
      <c r="UPB110" s="21"/>
      <c r="UPC110" s="21"/>
      <c r="UPD110" s="21"/>
      <c r="UPE110" s="21"/>
      <c r="UPF110" s="21"/>
      <c r="UPG110" s="21"/>
      <c r="UPH110" s="21"/>
      <c r="UPI110" s="21"/>
      <c r="UPJ110" s="21"/>
      <c r="UPK110" s="21"/>
      <c r="UPL110" s="21"/>
      <c r="UPM110" s="21"/>
      <c r="UPN110" s="21"/>
      <c r="UPO110" s="21"/>
      <c r="UPP110" s="21"/>
      <c r="UPQ110" s="21"/>
      <c r="UPR110" s="21"/>
      <c r="UPS110" s="21"/>
      <c r="UPT110" s="21"/>
      <c r="UPU110" s="21"/>
      <c r="UPV110" s="21"/>
      <c r="UPW110" s="21"/>
      <c r="UPX110" s="21"/>
      <c r="UPY110" s="21"/>
      <c r="UPZ110" s="21"/>
      <c r="UQA110" s="21"/>
      <c r="UQB110" s="21"/>
      <c r="UQC110" s="21"/>
      <c r="UQD110" s="21"/>
      <c r="UQE110" s="21"/>
      <c r="UQF110" s="21"/>
      <c r="UQG110" s="21"/>
      <c r="UQH110" s="21"/>
      <c r="UQI110" s="21"/>
      <c r="UQJ110" s="21"/>
      <c r="UQK110" s="21"/>
      <c r="UQL110" s="21"/>
      <c r="UQM110" s="21"/>
      <c r="UQN110" s="21"/>
      <c r="UQO110" s="21"/>
      <c r="UQP110" s="21"/>
      <c r="UQQ110" s="21"/>
      <c r="UQR110" s="21"/>
      <c r="UQS110" s="21"/>
      <c r="UQT110" s="21"/>
      <c r="UQU110" s="21"/>
      <c r="UQV110" s="21"/>
      <c r="UQW110" s="21"/>
      <c r="UQX110" s="21"/>
      <c r="UQY110" s="21"/>
      <c r="UQZ110" s="21"/>
      <c r="URA110" s="21"/>
      <c r="URB110" s="21"/>
      <c r="URC110" s="21"/>
      <c r="URD110" s="21"/>
      <c r="URE110" s="21"/>
      <c r="URF110" s="21"/>
      <c r="URG110" s="21"/>
      <c r="URH110" s="21"/>
      <c r="URI110" s="21"/>
      <c r="URJ110" s="21"/>
      <c r="URK110" s="21"/>
      <c r="URL110" s="21"/>
      <c r="URM110" s="21"/>
      <c r="URN110" s="21"/>
      <c r="URO110" s="21"/>
      <c r="URP110" s="21"/>
      <c r="URQ110" s="21"/>
      <c r="URR110" s="21"/>
      <c r="URS110" s="21"/>
      <c r="URT110" s="21"/>
      <c r="URU110" s="21"/>
      <c r="URV110" s="21"/>
      <c r="URW110" s="21"/>
      <c r="URX110" s="21"/>
      <c r="URY110" s="21"/>
      <c r="URZ110" s="21"/>
      <c r="USA110" s="21"/>
      <c r="USB110" s="21"/>
      <c r="USC110" s="21"/>
      <c r="USD110" s="21"/>
      <c r="USE110" s="21"/>
      <c r="USF110" s="21"/>
      <c r="USG110" s="21"/>
      <c r="USH110" s="21"/>
      <c r="USI110" s="21"/>
      <c r="USJ110" s="21"/>
      <c r="USK110" s="21"/>
      <c r="USL110" s="21"/>
      <c r="USM110" s="21"/>
      <c r="USN110" s="21"/>
      <c r="USO110" s="21"/>
      <c r="USP110" s="21"/>
      <c r="USQ110" s="21"/>
      <c r="USR110" s="21"/>
      <c r="USS110" s="21"/>
      <c r="UST110" s="21"/>
      <c r="USU110" s="21"/>
      <c r="USV110" s="21"/>
      <c r="USW110" s="21"/>
      <c r="USX110" s="21"/>
      <c r="USY110" s="21"/>
      <c r="USZ110" s="21"/>
      <c r="UTA110" s="21"/>
      <c r="UTB110" s="21"/>
      <c r="UTC110" s="21"/>
      <c r="UTD110" s="21"/>
      <c r="UTE110" s="21"/>
      <c r="UTF110" s="21"/>
      <c r="UTG110" s="21"/>
      <c r="UTH110" s="21"/>
      <c r="UTI110" s="21"/>
      <c r="UTJ110" s="21"/>
      <c r="UTK110" s="21"/>
      <c r="UTL110" s="21"/>
      <c r="UTM110" s="21"/>
      <c r="UTN110" s="21"/>
      <c r="UTO110" s="21"/>
      <c r="UTP110" s="21"/>
      <c r="UTQ110" s="21"/>
      <c r="UTR110" s="21"/>
      <c r="UTS110" s="21"/>
      <c r="UTT110" s="21"/>
      <c r="UTU110" s="21"/>
      <c r="UTV110" s="21"/>
      <c r="UTW110" s="21"/>
      <c r="UTX110" s="21"/>
      <c r="UTY110" s="21"/>
      <c r="UTZ110" s="21"/>
      <c r="UUA110" s="21"/>
      <c r="UUB110" s="21"/>
      <c r="UUC110" s="21"/>
      <c r="UUD110" s="21"/>
      <c r="UUE110" s="21"/>
      <c r="UUF110" s="21"/>
      <c r="UUG110" s="21"/>
      <c r="UUH110" s="21"/>
      <c r="UUI110" s="21"/>
      <c r="UUJ110" s="21"/>
      <c r="UUK110" s="21"/>
      <c r="UUL110" s="21"/>
      <c r="UUM110" s="21"/>
      <c r="UUN110" s="21"/>
      <c r="UUO110" s="21"/>
      <c r="UUP110" s="21"/>
      <c r="UUQ110" s="21"/>
      <c r="UUR110" s="21"/>
      <c r="UUS110" s="21"/>
      <c r="UUT110" s="21"/>
      <c r="UUU110" s="21"/>
      <c r="UUV110" s="21"/>
      <c r="UUW110" s="21"/>
      <c r="UUX110" s="21"/>
      <c r="UUY110" s="21"/>
      <c r="UUZ110" s="21"/>
      <c r="UVA110" s="21"/>
      <c r="UVB110" s="21"/>
      <c r="UVC110" s="21"/>
      <c r="UVD110" s="21"/>
      <c r="UVE110" s="21"/>
      <c r="UVF110" s="21"/>
      <c r="UVG110" s="21"/>
      <c r="UVH110" s="21"/>
      <c r="UVI110" s="21"/>
      <c r="UVJ110" s="21"/>
      <c r="UVK110" s="21"/>
      <c r="UVL110" s="21"/>
      <c r="UVM110" s="21"/>
      <c r="UVN110" s="21"/>
      <c r="UVO110" s="21"/>
      <c r="UVP110" s="21"/>
      <c r="UVQ110" s="21"/>
      <c r="UVR110" s="21"/>
      <c r="UVS110" s="21"/>
      <c r="UVT110" s="21"/>
      <c r="UVU110" s="21"/>
      <c r="UVV110" s="21"/>
      <c r="UVW110" s="21"/>
      <c r="UVX110" s="21"/>
      <c r="UVY110" s="21"/>
      <c r="UVZ110" s="21"/>
      <c r="UWA110" s="21"/>
      <c r="UWB110" s="21"/>
      <c r="UWC110" s="21"/>
      <c r="UWD110" s="21"/>
      <c r="UWE110" s="21"/>
      <c r="UWF110" s="21"/>
      <c r="UWG110" s="21"/>
      <c r="UWH110" s="21"/>
      <c r="UWI110" s="21"/>
      <c r="UWJ110" s="21"/>
      <c r="UWK110" s="21"/>
      <c r="UWL110" s="21"/>
      <c r="UWM110" s="21"/>
      <c r="UWN110" s="21"/>
      <c r="UWO110" s="21"/>
      <c r="UWP110" s="21"/>
      <c r="UWQ110" s="21"/>
      <c r="UWR110" s="21"/>
      <c r="UWS110" s="21"/>
      <c r="UWT110" s="21"/>
      <c r="UWU110" s="21"/>
      <c r="UWV110" s="21"/>
      <c r="UWW110" s="21"/>
      <c r="UWX110" s="21"/>
      <c r="UWY110" s="21"/>
      <c r="UWZ110" s="21"/>
      <c r="UXA110" s="21"/>
      <c r="UXB110" s="21"/>
      <c r="UXC110" s="21"/>
      <c r="UXD110" s="21"/>
      <c r="UXE110" s="21"/>
      <c r="UXF110" s="21"/>
      <c r="UXG110" s="21"/>
      <c r="UXH110" s="21"/>
      <c r="UXI110" s="21"/>
      <c r="UXJ110" s="21"/>
      <c r="UXK110" s="21"/>
      <c r="UXL110" s="21"/>
      <c r="UXM110" s="21"/>
      <c r="UXN110" s="21"/>
      <c r="UXO110" s="21"/>
      <c r="UXP110" s="21"/>
      <c r="UXQ110" s="21"/>
      <c r="UXR110" s="21"/>
      <c r="UXS110" s="21"/>
      <c r="UXT110" s="21"/>
      <c r="UXU110" s="21"/>
      <c r="UXV110" s="21"/>
      <c r="UXW110" s="21"/>
      <c r="UXX110" s="21"/>
      <c r="UXY110" s="21"/>
      <c r="UXZ110" s="21"/>
      <c r="UYA110" s="21"/>
      <c r="UYB110" s="21"/>
      <c r="UYC110" s="21"/>
      <c r="UYD110" s="21"/>
      <c r="UYE110" s="21"/>
      <c r="UYF110" s="21"/>
      <c r="UYG110" s="21"/>
      <c r="UYH110" s="21"/>
      <c r="UYI110" s="21"/>
      <c r="UYJ110" s="21"/>
      <c r="UYK110" s="21"/>
      <c r="UYL110" s="21"/>
      <c r="UYM110" s="21"/>
      <c r="UYN110" s="21"/>
      <c r="UYO110" s="21"/>
      <c r="UYP110" s="21"/>
      <c r="UYQ110" s="21"/>
      <c r="UYR110" s="21"/>
      <c r="UYS110" s="21"/>
      <c r="UYT110" s="21"/>
      <c r="UYU110" s="21"/>
      <c r="UYV110" s="21"/>
      <c r="UYW110" s="21"/>
      <c r="UYX110" s="21"/>
      <c r="UYY110" s="21"/>
      <c r="UYZ110" s="21"/>
      <c r="UZA110" s="21"/>
      <c r="UZB110" s="21"/>
      <c r="UZC110" s="21"/>
      <c r="UZD110" s="21"/>
      <c r="UZE110" s="21"/>
      <c r="UZF110" s="21"/>
      <c r="UZG110" s="21"/>
      <c r="UZH110" s="21"/>
      <c r="UZI110" s="21"/>
      <c r="UZJ110" s="21"/>
      <c r="UZK110" s="21"/>
      <c r="UZL110" s="21"/>
      <c r="UZM110" s="21"/>
      <c r="UZN110" s="21"/>
      <c r="UZO110" s="21"/>
      <c r="UZP110" s="21"/>
      <c r="UZQ110" s="21"/>
      <c r="UZR110" s="21"/>
      <c r="UZS110" s="21"/>
      <c r="UZT110" s="21"/>
      <c r="UZU110" s="21"/>
      <c r="UZV110" s="21"/>
      <c r="UZW110" s="21"/>
      <c r="UZX110" s="21"/>
      <c r="UZY110" s="21"/>
      <c r="UZZ110" s="21"/>
      <c r="VAA110" s="21"/>
      <c r="VAB110" s="21"/>
      <c r="VAC110" s="21"/>
      <c r="VAD110" s="21"/>
      <c r="VAE110" s="21"/>
      <c r="VAF110" s="21"/>
      <c r="VAG110" s="21"/>
      <c r="VAH110" s="21"/>
      <c r="VAI110" s="21"/>
      <c r="VAJ110" s="21"/>
      <c r="VAK110" s="21"/>
      <c r="VAL110" s="21"/>
      <c r="VAM110" s="21"/>
      <c r="VAN110" s="21"/>
      <c r="VAO110" s="21"/>
      <c r="VAP110" s="21"/>
      <c r="VAQ110" s="21"/>
      <c r="VAR110" s="21"/>
      <c r="VAS110" s="21"/>
      <c r="VAT110" s="21"/>
      <c r="VAU110" s="21"/>
      <c r="VAV110" s="21"/>
      <c r="VAW110" s="21"/>
      <c r="VAX110" s="21"/>
      <c r="VAY110" s="21"/>
      <c r="VAZ110" s="21"/>
      <c r="VBA110" s="21"/>
      <c r="VBB110" s="21"/>
      <c r="VBC110" s="21"/>
      <c r="VBD110" s="21"/>
      <c r="VBE110" s="21"/>
      <c r="VBF110" s="21"/>
      <c r="VBG110" s="21"/>
      <c r="VBH110" s="21"/>
      <c r="VBI110" s="21"/>
      <c r="VBJ110" s="21"/>
      <c r="VBK110" s="21"/>
      <c r="VBL110" s="21"/>
      <c r="VBM110" s="21"/>
      <c r="VBN110" s="21"/>
      <c r="VBO110" s="21"/>
      <c r="VBP110" s="21"/>
      <c r="VBQ110" s="21"/>
      <c r="VBR110" s="21"/>
      <c r="VBS110" s="21"/>
      <c r="VBT110" s="21"/>
      <c r="VBU110" s="21"/>
      <c r="VBV110" s="21"/>
      <c r="VBW110" s="21"/>
      <c r="VBX110" s="21"/>
      <c r="VBY110" s="21"/>
      <c r="VBZ110" s="21"/>
      <c r="VCA110" s="21"/>
      <c r="VCB110" s="21"/>
      <c r="VCC110" s="21"/>
      <c r="VCD110" s="21"/>
      <c r="VCE110" s="21"/>
      <c r="VCF110" s="21"/>
      <c r="VCG110" s="21"/>
      <c r="VCH110" s="21"/>
      <c r="VCI110" s="21"/>
      <c r="VCJ110" s="21"/>
      <c r="VCK110" s="21"/>
      <c r="VCL110" s="21"/>
      <c r="VCM110" s="21"/>
      <c r="VCN110" s="21"/>
      <c r="VCO110" s="21"/>
      <c r="VCP110" s="21"/>
      <c r="VCQ110" s="21"/>
      <c r="VCR110" s="21"/>
      <c r="VCS110" s="21"/>
      <c r="VCT110" s="21"/>
      <c r="VCU110" s="21"/>
      <c r="VCV110" s="21"/>
      <c r="VCW110" s="21"/>
      <c r="VCX110" s="21"/>
      <c r="VCY110" s="21"/>
      <c r="VCZ110" s="21"/>
      <c r="VDA110" s="21"/>
      <c r="VDB110" s="21"/>
      <c r="VDC110" s="21"/>
      <c r="VDD110" s="21"/>
      <c r="VDE110" s="21"/>
      <c r="VDF110" s="21"/>
      <c r="VDG110" s="21"/>
      <c r="VDH110" s="21"/>
      <c r="VDI110" s="21"/>
      <c r="VDJ110" s="21"/>
      <c r="VDK110" s="21"/>
      <c r="VDL110" s="21"/>
      <c r="VDM110" s="21"/>
      <c r="VDN110" s="21"/>
      <c r="VDO110" s="21"/>
      <c r="VDP110" s="21"/>
      <c r="VDQ110" s="21"/>
      <c r="VDR110" s="21"/>
      <c r="VDS110" s="21"/>
      <c r="VDT110" s="21"/>
      <c r="VDU110" s="21"/>
      <c r="VDV110" s="21"/>
      <c r="VDW110" s="21"/>
      <c r="VDX110" s="21"/>
      <c r="VDY110" s="21"/>
      <c r="VDZ110" s="21"/>
      <c r="VEA110" s="21"/>
      <c r="VEB110" s="21"/>
      <c r="VEC110" s="21"/>
      <c r="VED110" s="21"/>
      <c r="VEE110" s="21"/>
      <c r="VEF110" s="21"/>
      <c r="VEG110" s="21"/>
      <c r="VEH110" s="21"/>
      <c r="VEI110" s="21"/>
      <c r="VEJ110" s="21"/>
      <c r="VEK110" s="21"/>
      <c r="VEL110" s="21"/>
      <c r="VEM110" s="21"/>
      <c r="VEN110" s="21"/>
      <c r="VEO110" s="21"/>
      <c r="VEP110" s="21"/>
      <c r="VEQ110" s="21"/>
      <c r="VER110" s="21"/>
      <c r="VES110" s="21"/>
      <c r="VET110" s="21"/>
      <c r="VEU110" s="21"/>
      <c r="VEV110" s="21"/>
      <c r="VEW110" s="21"/>
      <c r="VEX110" s="21"/>
      <c r="VEY110" s="21"/>
      <c r="VEZ110" s="21"/>
      <c r="VFA110" s="21"/>
      <c r="VFB110" s="21"/>
      <c r="VFC110" s="21"/>
      <c r="VFD110" s="21"/>
      <c r="VFE110" s="21"/>
      <c r="VFF110" s="21"/>
      <c r="VFG110" s="21"/>
      <c r="VFH110" s="21"/>
      <c r="VFI110" s="21"/>
      <c r="VFJ110" s="21"/>
      <c r="VFK110" s="21"/>
      <c r="VFL110" s="21"/>
      <c r="VFM110" s="21"/>
      <c r="VFN110" s="21"/>
      <c r="VFO110" s="21"/>
      <c r="VFP110" s="21"/>
      <c r="VFQ110" s="21"/>
      <c r="VFR110" s="21"/>
      <c r="VFS110" s="21"/>
      <c r="VFT110" s="21"/>
      <c r="VFU110" s="21"/>
      <c r="VFV110" s="21"/>
      <c r="VFW110" s="21"/>
      <c r="VFX110" s="21"/>
      <c r="VFY110" s="21"/>
      <c r="VFZ110" s="21"/>
      <c r="VGA110" s="21"/>
      <c r="VGB110" s="21"/>
      <c r="VGC110" s="21"/>
      <c r="VGD110" s="21"/>
      <c r="VGE110" s="21"/>
      <c r="VGF110" s="21"/>
      <c r="VGG110" s="21"/>
      <c r="VGH110" s="21"/>
      <c r="VGI110" s="21"/>
      <c r="VGJ110" s="21"/>
      <c r="VGK110" s="21"/>
      <c r="VGL110" s="21"/>
      <c r="VGM110" s="21"/>
      <c r="VGN110" s="21"/>
      <c r="VGO110" s="21"/>
      <c r="VGP110" s="21"/>
      <c r="VGQ110" s="21"/>
      <c r="VGR110" s="21"/>
      <c r="VGS110" s="21"/>
      <c r="VGT110" s="21"/>
      <c r="VGU110" s="21"/>
      <c r="VGV110" s="21"/>
      <c r="VGW110" s="21"/>
      <c r="VGX110" s="21"/>
      <c r="VGY110" s="21"/>
      <c r="VGZ110" s="21"/>
      <c r="VHA110" s="21"/>
      <c r="VHB110" s="21"/>
      <c r="VHC110" s="21"/>
      <c r="VHD110" s="21"/>
      <c r="VHE110" s="21"/>
      <c r="VHF110" s="21"/>
      <c r="VHG110" s="21"/>
      <c r="VHH110" s="21"/>
      <c r="VHI110" s="21"/>
      <c r="VHJ110" s="21"/>
      <c r="VHK110" s="21"/>
      <c r="VHL110" s="21"/>
      <c r="VHM110" s="21"/>
      <c r="VHN110" s="21"/>
      <c r="VHO110" s="21"/>
      <c r="VHP110" s="21"/>
      <c r="VHQ110" s="21"/>
      <c r="VHR110" s="21"/>
      <c r="VHS110" s="21"/>
      <c r="VHT110" s="21"/>
      <c r="VHU110" s="21"/>
      <c r="VHV110" s="21"/>
      <c r="VHW110" s="21"/>
      <c r="VHX110" s="21"/>
      <c r="VHY110" s="21"/>
      <c r="VHZ110" s="21"/>
      <c r="VIA110" s="21"/>
      <c r="VIB110" s="21"/>
      <c r="VIC110" s="21"/>
      <c r="VID110" s="21"/>
      <c r="VIE110" s="21"/>
      <c r="VIF110" s="21"/>
      <c r="VIG110" s="21"/>
      <c r="VIH110" s="21"/>
      <c r="VII110" s="21"/>
      <c r="VIJ110" s="21"/>
      <c r="VIK110" s="21"/>
      <c r="VIL110" s="21"/>
      <c r="VIM110" s="21"/>
      <c r="VIN110" s="21"/>
      <c r="VIO110" s="21"/>
      <c r="VIP110" s="21"/>
      <c r="VIQ110" s="21"/>
      <c r="VIR110" s="21"/>
      <c r="VIS110" s="21"/>
      <c r="VIT110" s="21"/>
      <c r="VIU110" s="21"/>
      <c r="VIV110" s="21"/>
      <c r="VIW110" s="21"/>
      <c r="VIX110" s="21"/>
      <c r="VIY110" s="21"/>
      <c r="VIZ110" s="21"/>
      <c r="VJA110" s="21"/>
      <c r="VJB110" s="21"/>
      <c r="VJC110" s="21"/>
      <c r="VJD110" s="21"/>
      <c r="VJE110" s="21"/>
      <c r="VJF110" s="21"/>
      <c r="VJG110" s="21"/>
      <c r="VJH110" s="21"/>
      <c r="VJI110" s="21"/>
      <c r="VJJ110" s="21"/>
      <c r="VJK110" s="21"/>
      <c r="VJL110" s="21"/>
      <c r="VJM110" s="21"/>
      <c r="VJN110" s="21"/>
      <c r="VJO110" s="21"/>
      <c r="VJP110" s="21"/>
      <c r="VJQ110" s="21"/>
      <c r="VJR110" s="21"/>
      <c r="VJS110" s="21"/>
      <c r="VJT110" s="21"/>
      <c r="VJU110" s="21"/>
      <c r="VJV110" s="21"/>
      <c r="VJW110" s="21"/>
      <c r="VJX110" s="21"/>
      <c r="VJY110" s="21"/>
      <c r="VJZ110" s="21"/>
      <c r="VKA110" s="21"/>
      <c r="VKB110" s="21"/>
      <c r="VKC110" s="21"/>
      <c r="VKD110" s="21"/>
      <c r="VKE110" s="21"/>
      <c r="VKF110" s="21"/>
      <c r="VKG110" s="21"/>
      <c r="VKH110" s="21"/>
      <c r="VKI110" s="21"/>
      <c r="VKJ110" s="21"/>
      <c r="VKK110" s="21"/>
      <c r="VKL110" s="21"/>
      <c r="VKM110" s="21"/>
      <c r="VKN110" s="21"/>
      <c r="VKO110" s="21"/>
      <c r="VKP110" s="21"/>
      <c r="VKQ110" s="21"/>
      <c r="VKR110" s="21"/>
      <c r="VKS110" s="21"/>
      <c r="VKT110" s="21"/>
      <c r="VKU110" s="21"/>
      <c r="VKV110" s="21"/>
      <c r="VKW110" s="21"/>
      <c r="VKX110" s="21"/>
      <c r="VKY110" s="21"/>
      <c r="VKZ110" s="21"/>
      <c r="VLA110" s="21"/>
      <c r="VLB110" s="21"/>
      <c r="VLC110" s="21"/>
      <c r="VLD110" s="21"/>
      <c r="VLE110" s="21"/>
      <c r="VLF110" s="21"/>
      <c r="VLG110" s="21"/>
      <c r="VLH110" s="21"/>
      <c r="VLI110" s="21"/>
      <c r="VLJ110" s="21"/>
      <c r="VLK110" s="21"/>
      <c r="VLL110" s="21"/>
      <c r="VLM110" s="21"/>
      <c r="VLN110" s="21"/>
      <c r="VLO110" s="21"/>
      <c r="VLP110" s="21"/>
      <c r="VLQ110" s="21"/>
      <c r="VLR110" s="21"/>
      <c r="VLS110" s="21"/>
      <c r="VLT110" s="21"/>
      <c r="VLU110" s="21"/>
      <c r="VLV110" s="21"/>
      <c r="VLW110" s="21"/>
      <c r="VLX110" s="21"/>
      <c r="VLY110" s="21"/>
      <c r="VLZ110" s="21"/>
      <c r="VMA110" s="21"/>
      <c r="VMB110" s="21"/>
      <c r="VMC110" s="21"/>
      <c r="VMD110" s="21"/>
      <c r="VME110" s="21"/>
      <c r="VMF110" s="21"/>
      <c r="VMG110" s="21"/>
      <c r="VMH110" s="21"/>
      <c r="VMI110" s="21"/>
      <c r="VMJ110" s="21"/>
      <c r="VMK110" s="21"/>
      <c r="VML110" s="21"/>
      <c r="VMM110" s="21"/>
      <c r="VMN110" s="21"/>
      <c r="VMO110" s="21"/>
      <c r="VMP110" s="21"/>
      <c r="VMQ110" s="21"/>
      <c r="VMR110" s="21"/>
      <c r="VMS110" s="21"/>
      <c r="VMT110" s="21"/>
      <c r="VMU110" s="21"/>
      <c r="VMV110" s="21"/>
      <c r="VMW110" s="21"/>
      <c r="VMX110" s="21"/>
      <c r="VMY110" s="21"/>
      <c r="VMZ110" s="21"/>
      <c r="VNA110" s="21"/>
      <c r="VNB110" s="21"/>
      <c r="VNC110" s="21"/>
      <c r="VND110" s="21"/>
      <c r="VNE110" s="21"/>
      <c r="VNF110" s="21"/>
      <c r="VNG110" s="21"/>
      <c r="VNH110" s="21"/>
      <c r="VNI110" s="21"/>
      <c r="VNJ110" s="21"/>
      <c r="VNK110" s="21"/>
      <c r="VNL110" s="21"/>
      <c r="VNM110" s="21"/>
      <c r="VNN110" s="21"/>
      <c r="VNO110" s="21"/>
      <c r="VNP110" s="21"/>
      <c r="VNQ110" s="21"/>
      <c r="VNR110" s="21"/>
      <c r="VNS110" s="21"/>
      <c r="VNT110" s="21"/>
      <c r="VNU110" s="21"/>
      <c r="VNV110" s="21"/>
      <c r="VNW110" s="21"/>
      <c r="VNX110" s="21"/>
      <c r="VNY110" s="21"/>
      <c r="VNZ110" s="21"/>
      <c r="VOA110" s="21"/>
      <c r="VOB110" s="21"/>
      <c r="VOC110" s="21"/>
      <c r="VOD110" s="21"/>
      <c r="VOE110" s="21"/>
      <c r="VOF110" s="21"/>
      <c r="VOG110" s="21"/>
      <c r="VOH110" s="21"/>
      <c r="VOI110" s="21"/>
      <c r="VOJ110" s="21"/>
      <c r="VOK110" s="21"/>
      <c r="VOL110" s="21"/>
      <c r="VOM110" s="21"/>
      <c r="VON110" s="21"/>
      <c r="VOO110" s="21"/>
      <c r="VOP110" s="21"/>
      <c r="VOQ110" s="21"/>
      <c r="VOR110" s="21"/>
      <c r="VOS110" s="21"/>
      <c r="VOT110" s="21"/>
      <c r="VOU110" s="21"/>
      <c r="VOV110" s="21"/>
      <c r="VOW110" s="21"/>
      <c r="VOX110" s="21"/>
      <c r="VOY110" s="21"/>
      <c r="VOZ110" s="21"/>
      <c r="VPA110" s="21"/>
      <c r="VPB110" s="21"/>
      <c r="VPC110" s="21"/>
      <c r="VPD110" s="21"/>
      <c r="VPE110" s="21"/>
      <c r="VPF110" s="21"/>
      <c r="VPG110" s="21"/>
      <c r="VPH110" s="21"/>
      <c r="VPI110" s="21"/>
      <c r="VPJ110" s="21"/>
      <c r="VPK110" s="21"/>
      <c r="VPL110" s="21"/>
      <c r="VPM110" s="21"/>
      <c r="VPN110" s="21"/>
      <c r="VPO110" s="21"/>
      <c r="VPP110" s="21"/>
      <c r="VPQ110" s="21"/>
      <c r="VPR110" s="21"/>
      <c r="VPS110" s="21"/>
      <c r="VPT110" s="21"/>
      <c r="VPU110" s="21"/>
      <c r="VPV110" s="21"/>
      <c r="VPW110" s="21"/>
      <c r="VPX110" s="21"/>
      <c r="VPY110" s="21"/>
      <c r="VPZ110" s="21"/>
      <c r="VQA110" s="21"/>
      <c r="VQB110" s="21"/>
      <c r="VQC110" s="21"/>
      <c r="VQD110" s="21"/>
      <c r="VQE110" s="21"/>
      <c r="VQF110" s="21"/>
      <c r="VQG110" s="21"/>
      <c r="VQH110" s="21"/>
      <c r="VQI110" s="21"/>
      <c r="VQJ110" s="21"/>
      <c r="VQK110" s="21"/>
      <c r="VQL110" s="21"/>
      <c r="VQM110" s="21"/>
      <c r="VQN110" s="21"/>
      <c r="VQO110" s="21"/>
      <c r="VQP110" s="21"/>
      <c r="VQQ110" s="21"/>
      <c r="VQR110" s="21"/>
      <c r="VQS110" s="21"/>
      <c r="VQT110" s="21"/>
      <c r="VQU110" s="21"/>
      <c r="VQV110" s="21"/>
      <c r="VQW110" s="21"/>
      <c r="VQX110" s="21"/>
      <c r="VQY110" s="21"/>
      <c r="VQZ110" s="21"/>
      <c r="VRA110" s="21"/>
      <c r="VRB110" s="21"/>
      <c r="VRC110" s="21"/>
      <c r="VRD110" s="21"/>
      <c r="VRE110" s="21"/>
      <c r="VRF110" s="21"/>
      <c r="VRG110" s="21"/>
      <c r="VRH110" s="21"/>
      <c r="VRI110" s="21"/>
      <c r="VRJ110" s="21"/>
      <c r="VRK110" s="21"/>
      <c r="VRL110" s="21"/>
      <c r="VRM110" s="21"/>
      <c r="VRN110" s="21"/>
      <c r="VRO110" s="21"/>
      <c r="VRP110" s="21"/>
      <c r="VRQ110" s="21"/>
      <c r="VRR110" s="21"/>
      <c r="VRS110" s="21"/>
      <c r="VRT110" s="21"/>
      <c r="VRU110" s="21"/>
      <c r="VRV110" s="21"/>
      <c r="VRW110" s="21"/>
      <c r="VRX110" s="21"/>
      <c r="VRY110" s="21"/>
      <c r="VRZ110" s="21"/>
      <c r="VSA110" s="21"/>
      <c r="VSB110" s="21"/>
      <c r="VSC110" s="21"/>
      <c r="VSD110" s="21"/>
      <c r="VSE110" s="21"/>
      <c r="VSF110" s="21"/>
      <c r="VSG110" s="21"/>
      <c r="VSH110" s="21"/>
      <c r="VSI110" s="21"/>
      <c r="VSJ110" s="21"/>
      <c r="VSK110" s="21"/>
      <c r="VSL110" s="21"/>
      <c r="VSM110" s="21"/>
      <c r="VSN110" s="21"/>
      <c r="VSO110" s="21"/>
      <c r="VSP110" s="21"/>
      <c r="VSQ110" s="21"/>
      <c r="VSR110" s="21"/>
      <c r="VSS110" s="21"/>
      <c r="VST110" s="21"/>
      <c r="VSU110" s="21"/>
      <c r="VSV110" s="21"/>
      <c r="VSW110" s="21"/>
      <c r="VSX110" s="21"/>
      <c r="VSY110" s="21"/>
      <c r="VSZ110" s="21"/>
      <c r="VTA110" s="21"/>
      <c r="VTB110" s="21"/>
      <c r="VTC110" s="21"/>
      <c r="VTD110" s="21"/>
      <c r="VTE110" s="21"/>
      <c r="VTF110" s="21"/>
      <c r="VTG110" s="21"/>
      <c r="VTH110" s="21"/>
      <c r="VTI110" s="21"/>
      <c r="VTJ110" s="21"/>
      <c r="VTK110" s="21"/>
      <c r="VTL110" s="21"/>
      <c r="VTM110" s="21"/>
      <c r="VTN110" s="21"/>
      <c r="VTO110" s="21"/>
      <c r="VTP110" s="21"/>
      <c r="VTQ110" s="21"/>
      <c r="VTR110" s="21"/>
      <c r="VTS110" s="21"/>
      <c r="VTT110" s="21"/>
      <c r="VTU110" s="21"/>
      <c r="VTV110" s="21"/>
      <c r="VTW110" s="21"/>
      <c r="VTX110" s="21"/>
      <c r="VTY110" s="21"/>
      <c r="VTZ110" s="21"/>
      <c r="VUA110" s="21"/>
      <c r="VUB110" s="21"/>
      <c r="VUC110" s="21"/>
      <c r="VUD110" s="21"/>
      <c r="VUE110" s="21"/>
      <c r="VUF110" s="21"/>
      <c r="VUG110" s="21"/>
      <c r="VUH110" s="21"/>
      <c r="VUI110" s="21"/>
      <c r="VUJ110" s="21"/>
      <c r="VUK110" s="21"/>
      <c r="VUL110" s="21"/>
      <c r="VUM110" s="21"/>
      <c r="VUN110" s="21"/>
      <c r="VUO110" s="21"/>
      <c r="VUP110" s="21"/>
      <c r="VUQ110" s="21"/>
      <c r="VUR110" s="21"/>
      <c r="VUS110" s="21"/>
      <c r="VUT110" s="21"/>
      <c r="VUU110" s="21"/>
      <c r="VUV110" s="21"/>
      <c r="VUW110" s="21"/>
      <c r="VUX110" s="21"/>
      <c r="VUY110" s="21"/>
      <c r="VUZ110" s="21"/>
      <c r="VVA110" s="21"/>
      <c r="VVB110" s="21"/>
      <c r="VVC110" s="21"/>
      <c r="VVD110" s="21"/>
      <c r="VVE110" s="21"/>
      <c r="VVF110" s="21"/>
      <c r="VVG110" s="21"/>
      <c r="VVH110" s="21"/>
      <c r="VVI110" s="21"/>
      <c r="VVJ110" s="21"/>
      <c r="VVK110" s="21"/>
      <c r="VVL110" s="21"/>
      <c r="VVM110" s="21"/>
      <c r="VVN110" s="21"/>
      <c r="VVO110" s="21"/>
      <c r="VVP110" s="21"/>
      <c r="VVQ110" s="21"/>
      <c r="VVR110" s="21"/>
      <c r="VVS110" s="21"/>
      <c r="VVT110" s="21"/>
      <c r="VVU110" s="21"/>
      <c r="VVV110" s="21"/>
      <c r="VVW110" s="21"/>
      <c r="VVX110" s="21"/>
      <c r="VVY110" s="21"/>
      <c r="VVZ110" s="21"/>
      <c r="VWA110" s="21"/>
      <c r="VWB110" s="21"/>
      <c r="VWC110" s="21"/>
      <c r="VWD110" s="21"/>
      <c r="VWE110" s="21"/>
      <c r="VWF110" s="21"/>
      <c r="VWG110" s="21"/>
      <c r="VWH110" s="21"/>
      <c r="VWI110" s="21"/>
      <c r="VWJ110" s="21"/>
      <c r="VWK110" s="21"/>
      <c r="VWL110" s="21"/>
      <c r="VWM110" s="21"/>
      <c r="VWN110" s="21"/>
      <c r="VWO110" s="21"/>
      <c r="VWP110" s="21"/>
      <c r="VWQ110" s="21"/>
      <c r="VWR110" s="21"/>
      <c r="VWS110" s="21"/>
      <c r="VWT110" s="21"/>
      <c r="VWU110" s="21"/>
      <c r="VWV110" s="21"/>
      <c r="VWW110" s="21"/>
      <c r="VWX110" s="21"/>
      <c r="VWY110" s="21"/>
      <c r="VWZ110" s="21"/>
      <c r="VXA110" s="21"/>
      <c r="VXB110" s="21"/>
      <c r="VXC110" s="21"/>
      <c r="VXD110" s="21"/>
      <c r="VXE110" s="21"/>
      <c r="VXF110" s="21"/>
      <c r="VXG110" s="21"/>
      <c r="VXH110" s="21"/>
      <c r="VXI110" s="21"/>
      <c r="VXJ110" s="21"/>
      <c r="VXK110" s="21"/>
      <c r="VXL110" s="21"/>
      <c r="VXM110" s="21"/>
      <c r="VXN110" s="21"/>
      <c r="VXO110" s="21"/>
      <c r="VXP110" s="21"/>
      <c r="VXQ110" s="21"/>
      <c r="VXR110" s="21"/>
      <c r="VXS110" s="21"/>
      <c r="VXT110" s="21"/>
      <c r="VXU110" s="21"/>
      <c r="VXV110" s="21"/>
      <c r="VXW110" s="21"/>
      <c r="VXX110" s="21"/>
      <c r="VXY110" s="21"/>
      <c r="VXZ110" s="21"/>
      <c r="VYA110" s="21"/>
      <c r="VYB110" s="21"/>
      <c r="VYC110" s="21"/>
      <c r="VYD110" s="21"/>
      <c r="VYE110" s="21"/>
      <c r="VYF110" s="21"/>
      <c r="VYG110" s="21"/>
      <c r="VYH110" s="21"/>
      <c r="VYI110" s="21"/>
      <c r="VYJ110" s="21"/>
      <c r="VYK110" s="21"/>
      <c r="VYL110" s="21"/>
      <c r="VYM110" s="21"/>
      <c r="VYN110" s="21"/>
      <c r="VYO110" s="21"/>
      <c r="VYP110" s="21"/>
      <c r="VYQ110" s="21"/>
      <c r="VYR110" s="21"/>
      <c r="VYS110" s="21"/>
      <c r="VYT110" s="21"/>
      <c r="VYU110" s="21"/>
      <c r="VYV110" s="21"/>
      <c r="VYW110" s="21"/>
      <c r="VYX110" s="21"/>
      <c r="VYY110" s="21"/>
      <c r="VYZ110" s="21"/>
      <c r="VZA110" s="21"/>
      <c r="VZB110" s="21"/>
      <c r="VZC110" s="21"/>
      <c r="VZD110" s="21"/>
      <c r="VZE110" s="21"/>
      <c r="VZF110" s="21"/>
      <c r="VZG110" s="21"/>
      <c r="VZH110" s="21"/>
      <c r="VZI110" s="21"/>
      <c r="VZJ110" s="21"/>
      <c r="VZK110" s="21"/>
      <c r="VZL110" s="21"/>
      <c r="VZM110" s="21"/>
      <c r="VZN110" s="21"/>
      <c r="VZO110" s="21"/>
      <c r="VZP110" s="21"/>
      <c r="VZQ110" s="21"/>
      <c r="VZR110" s="21"/>
      <c r="VZS110" s="21"/>
      <c r="VZT110" s="21"/>
      <c r="VZU110" s="21"/>
      <c r="VZV110" s="21"/>
      <c r="VZW110" s="21"/>
      <c r="VZX110" s="21"/>
      <c r="VZY110" s="21"/>
      <c r="VZZ110" s="21"/>
      <c r="WAA110" s="21"/>
      <c r="WAB110" s="21"/>
      <c r="WAC110" s="21"/>
      <c r="WAD110" s="21"/>
      <c r="WAE110" s="21"/>
      <c r="WAF110" s="21"/>
      <c r="WAG110" s="21"/>
      <c r="WAH110" s="21"/>
      <c r="WAI110" s="21"/>
      <c r="WAJ110" s="21"/>
      <c r="WAK110" s="21"/>
      <c r="WAL110" s="21"/>
      <c r="WAM110" s="21"/>
      <c r="WAN110" s="21"/>
      <c r="WAO110" s="21"/>
      <c r="WAP110" s="21"/>
      <c r="WAQ110" s="21"/>
      <c r="WAR110" s="21"/>
      <c r="WAS110" s="21"/>
      <c r="WAT110" s="21"/>
      <c r="WAU110" s="21"/>
      <c r="WAV110" s="21"/>
      <c r="WAW110" s="21"/>
      <c r="WAX110" s="21"/>
      <c r="WAY110" s="21"/>
      <c r="WAZ110" s="21"/>
      <c r="WBA110" s="21"/>
      <c r="WBB110" s="21"/>
      <c r="WBC110" s="21"/>
      <c r="WBD110" s="21"/>
      <c r="WBE110" s="21"/>
      <c r="WBF110" s="21"/>
      <c r="WBG110" s="21"/>
      <c r="WBH110" s="21"/>
      <c r="WBI110" s="21"/>
      <c r="WBJ110" s="21"/>
      <c r="WBK110" s="21"/>
      <c r="WBL110" s="21"/>
      <c r="WBM110" s="21"/>
      <c r="WBN110" s="21"/>
      <c r="WBO110" s="21"/>
      <c r="WBP110" s="21"/>
      <c r="WBQ110" s="21"/>
      <c r="WBR110" s="21"/>
      <c r="WBS110" s="21"/>
      <c r="WBT110" s="21"/>
      <c r="WBU110" s="21"/>
      <c r="WBV110" s="21"/>
      <c r="WBW110" s="21"/>
      <c r="WBX110" s="21"/>
      <c r="WBY110" s="21"/>
      <c r="WBZ110" s="21"/>
      <c r="WCA110" s="21"/>
      <c r="WCB110" s="21"/>
      <c r="WCC110" s="21"/>
      <c r="WCD110" s="21"/>
      <c r="WCE110" s="21"/>
      <c r="WCF110" s="21"/>
      <c r="WCG110" s="21"/>
      <c r="WCH110" s="21"/>
      <c r="WCI110" s="21"/>
      <c r="WCJ110" s="21"/>
      <c r="WCK110" s="21"/>
      <c r="WCL110" s="21"/>
      <c r="WCM110" s="21"/>
      <c r="WCN110" s="21"/>
      <c r="WCO110" s="21"/>
      <c r="WCP110" s="21"/>
      <c r="WCQ110" s="21"/>
      <c r="WCR110" s="21"/>
      <c r="WCS110" s="21"/>
      <c r="WCT110" s="21"/>
      <c r="WCU110" s="21"/>
      <c r="WCV110" s="21"/>
      <c r="WCW110" s="21"/>
      <c r="WCX110" s="21"/>
      <c r="WCY110" s="21"/>
      <c r="WCZ110" s="21"/>
      <c r="WDA110" s="21"/>
      <c r="WDB110" s="21"/>
      <c r="WDC110" s="21"/>
      <c r="WDD110" s="21"/>
      <c r="WDE110" s="21"/>
      <c r="WDF110" s="21"/>
      <c r="WDG110" s="21"/>
      <c r="WDH110" s="21"/>
      <c r="WDI110" s="21"/>
      <c r="WDJ110" s="21"/>
      <c r="WDK110" s="21"/>
      <c r="WDL110" s="21"/>
      <c r="WDM110" s="21"/>
      <c r="WDN110" s="21"/>
      <c r="WDO110" s="21"/>
      <c r="WDP110" s="21"/>
      <c r="WDQ110" s="21"/>
      <c r="WDR110" s="21"/>
      <c r="WDS110" s="21"/>
      <c r="WDT110" s="21"/>
      <c r="WDU110" s="21"/>
      <c r="WDV110" s="21"/>
      <c r="WDW110" s="21"/>
      <c r="WDX110" s="21"/>
      <c r="WDY110" s="21"/>
      <c r="WDZ110" s="21"/>
      <c r="WEA110" s="21"/>
      <c r="WEB110" s="21"/>
      <c r="WEC110" s="21"/>
      <c r="WED110" s="21"/>
      <c r="WEE110" s="21"/>
      <c r="WEF110" s="21"/>
      <c r="WEG110" s="21"/>
      <c r="WEH110" s="21"/>
      <c r="WEI110" s="21"/>
      <c r="WEJ110" s="21"/>
      <c r="WEK110" s="21"/>
      <c r="WEL110" s="21"/>
      <c r="WEM110" s="21"/>
      <c r="WEN110" s="21"/>
      <c r="WEO110" s="21"/>
      <c r="WEP110" s="21"/>
      <c r="WEQ110" s="21"/>
      <c r="WER110" s="21"/>
      <c r="WES110" s="21"/>
      <c r="WET110" s="21"/>
      <c r="WEU110" s="21"/>
      <c r="WEV110" s="21"/>
      <c r="WEW110" s="21"/>
      <c r="WEX110" s="21"/>
      <c r="WEY110" s="21"/>
      <c r="WEZ110" s="21"/>
      <c r="WFA110" s="21"/>
      <c r="WFB110" s="21"/>
      <c r="WFC110" s="21"/>
      <c r="WFD110" s="21"/>
      <c r="WFE110" s="21"/>
      <c r="WFF110" s="21"/>
      <c r="WFG110" s="21"/>
      <c r="WFH110" s="21"/>
      <c r="WFI110" s="21"/>
      <c r="WFJ110" s="21"/>
      <c r="WFK110" s="21"/>
      <c r="WFL110" s="21"/>
      <c r="WFM110" s="21"/>
      <c r="WFN110" s="21"/>
      <c r="WFO110" s="21"/>
      <c r="WFP110" s="21"/>
      <c r="WFQ110" s="21"/>
      <c r="WFR110" s="21"/>
      <c r="WFS110" s="21"/>
      <c r="WFT110" s="21"/>
      <c r="WFU110" s="21"/>
      <c r="WFV110" s="21"/>
      <c r="WFW110" s="21"/>
      <c r="WFX110" s="21"/>
      <c r="WFY110" s="21"/>
      <c r="WFZ110" s="21"/>
      <c r="WGA110" s="21"/>
      <c r="WGB110" s="21"/>
      <c r="WGC110" s="21"/>
      <c r="WGD110" s="21"/>
      <c r="WGE110" s="21"/>
      <c r="WGF110" s="21"/>
      <c r="WGG110" s="21"/>
      <c r="WGH110" s="21"/>
      <c r="WGI110" s="21"/>
      <c r="WGJ110" s="21"/>
      <c r="WGK110" s="21"/>
      <c r="WGL110" s="21"/>
      <c r="WGM110" s="21"/>
      <c r="WGN110" s="21"/>
      <c r="WGO110" s="21"/>
      <c r="WGP110" s="21"/>
      <c r="WGQ110" s="21"/>
      <c r="WGR110" s="21"/>
      <c r="WGS110" s="21"/>
      <c r="WGT110" s="21"/>
      <c r="WGU110" s="21"/>
      <c r="WGV110" s="21"/>
      <c r="WGW110" s="21"/>
      <c r="WGX110" s="21"/>
      <c r="WGY110" s="21"/>
      <c r="WGZ110" s="21"/>
      <c r="WHA110" s="21"/>
      <c r="WHB110" s="21"/>
      <c r="WHC110" s="21"/>
      <c r="WHD110" s="21"/>
      <c r="WHE110" s="21"/>
      <c r="WHF110" s="21"/>
      <c r="WHG110" s="21"/>
      <c r="WHH110" s="21"/>
      <c r="WHI110" s="21"/>
      <c r="WHJ110" s="21"/>
      <c r="WHK110" s="21"/>
      <c r="WHL110" s="21"/>
      <c r="WHM110" s="21"/>
      <c r="WHN110" s="21"/>
      <c r="WHO110" s="21"/>
      <c r="WHP110" s="21"/>
      <c r="WHQ110" s="21"/>
      <c r="WHR110" s="21"/>
      <c r="WHS110" s="21"/>
      <c r="WHT110" s="21"/>
      <c r="WHU110" s="21"/>
      <c r="WHV110" s="21"/>
      <c r="WHW110" s="21"/>
      <c r="WHX110" s="21"/>
      <c r="WHY110" s="21"/>
      <c r="WHZ110" s="21"/>
      <c r="WIA110" s="21"/>
      <c r="WIB110" s="21"/>
      <c r="WIC110" s="21"/>
      <c r="WID110" s="21"/>
      <c r="WIE110" s="21"/>
      <c r="WIF110" s="21"/>
      <c r="WIG110" s="21"/>
      <c r="WIH110" s="21"/>
      <c r="WII110" s="21"/>
      <c r="WIJ110" s="21"/>
      <c r="WIK110" s="21"/>
      <c r="WIL110" s="21"/>
      <c r="WIM110" s="21"/>
      <c r="WIN110" s="21"/>
      <c r="WIO110" s="21"/>
      <c r="WIP110" s="21"/>
      <c r="WIQ110" s="21"/>
      <c r="WIR110" s="21"/>
      <c r="WIS110" s="21"/>
      <c r="WIT110" s="21"/>
      <c r="WIU110" s="21"/>
      <c r="WIV110" s="21"/>
      <c r="WIW110" s="21"/>
      <c r="WIX110" s="21"/>
      <c r="WIY110" s="21"/>
      <c r="WIZ110" s="21"/>
      <c r="WJA110" s="21"/>
      <c r="WJB110" s="21"/>
      <c r="WJC110" s="21"/>
      <c r="WJD110" s="21"/>
      <c r="WJE110" s="21"/>
      <c r="WJF110" s="21"/>
      <c r="WJG110" s="21"/>
      <c r="WJH110" s="21"/>
      <c r="WJI110" s="21"/>
      <c r="WJJ110" s="21"/>
      <c r="WJK110" s="21"/>
      <c r="WJL110" s="21"/>
      <c r="WJM110" s="21"/>
      <c r="WJN110" s="21"/>
      <c r="WJO110" s="21"/>
      <c r="WJP110" s="21"/>
      <c r="WJQ110" s="21"/>
      <c r="WJR110" s="21"/>
      <c r="WJS110" s="21"/>
      <c r="WJT110" s="21"/>
      <c r="WJU110" s="21"/>
      <c r="WJV110" s="21"/>
      <c r="WJW110" s="21"/>
      <c r="WJX110" s="21"/>
      <c r="WJY110" s="21"/>
      <c r="WJZ110" s="21"/>
      <c r="WKA110" s="21"/>
      <c r="WKB110" s="21"/>
      <c r="WKC110" s="21"/>
      <c r="WKD110" s="21"/>
      <c r="WKE110" s="21"/>
      <c r="WKF110" s="21"/>
      <c r="WKG110" s="21"/>
      <c r="WKH110" s="21"/>
      <c r="WKI110" s="21"/>
      <c r="WKJ110" s="21"/>
      <c r="WKK110" s="21"/>
      <c r="WKL110" s="21"/>
      <c r="WKM110" s="21"/>
      <c r="WKN110" s="21"/>
      <c r="WKO110" s="21"/>
      <c r="WKP110" s="21"/>
      <c r="WKQ110" s="21"/>
      <c r="WKR110" s="21"/>
      <c r="WKS110" s="21"/>
      <c r="WKT110" s="21"/>
      <c r="WKU110" s="21"/>
      <c r="WKV110" s="21"/>
      <c r="WKW110" s="21"/>
      <c r="WKX110" s="21"/>
      <c r="WKY110" s="21"/>
      <c r="WKZ110" s="21"/>
      <c r="WLA110" s="21"/>
      <c r="WLB110" s="21"/>
      <c r="WLC110" s="21"/>
      <c r="WLD110" s="21"/>
      <c r="WLE110" s="21"/>
      <c r="WLF110" s="21"/>
      <c r="WLG110" s="21"/>
      <c r="WLH110" s="21"/>
      <c r="WLI110" s="21"/>
      <c r="WLJ110" s="21"/>
      <c r="WLK110" s="21"/>
      <c r="WLL110" s="21"/>
      <c r="WLM110" s="21"/>
      <c r="WLN110" s="21"/>
      <c r="WLO110" s="21"/>
      <c r="WLP110" s="21"/>
      <c r="WLQ110" s="21"/>
      <c r="WLR110" s="21"/>
      <c r="WLS110" s="21"/>
      <c r="WLT110" s="21"/>
      <c r="WLU110" s="21"/>
      <c r="WLV110" s="21"/>
      <c r="WLW110" s="21"/>
      <c r="WLX110" s="21"/>
      <c r="WLY110" s="21"/>
      <c r="WLZ110" s="21"/>
      <c r="WMA110" s="21"/>
      <c r="WMB110" s="21"/>
      <c r="WMC110" s="21"/>
      <c r="WMD110" s="21"/>
      <c r="WME110" s="21"/>
      <c r="WMF110" s="21"/>
      <c r="WMG110" s="21"/>
      <c r="WMH110" s="21"/>
      <c r="WMI110" s="21"/>
      <c r="WMJ110" s="21"/>
      <c r="WMK110" s="21"/>
      <c r="WML110" s="21"/>
      <c r="WMM110" s="21"/>
      <c r="WMN110" s="21"/>
      <c r="WMO110" s="21"/>
      <c r="WMP110" s="21"/>
      <c r="WMQ110" s="21"/>
      <c r="WMR110" s="21"/>
      <c r="WMS110" s="21"/>
      <c r="WMT110" s="21"/>
      <c r="WMU110" s="21"/>
      <c r="WMV110" s="21"/>
      <c r="WMW110" s="21"/>
      <c r="WMX110" s="21"/>
      <c r="WMY110" s="21"/>
      <c r="WMZ110" s="21"/>
      <c r="WNA110" s="21"/>
      <c r="WNB110" s="21"/>
      <c r="WNC110" s="21"/>
      <c r="WND110" s="21"/>
      <c r="WNE110" s="21"/>
      <c r="WNF110" s="21"/>
      <c r="WNG110" s="21"/>
      <c r="WNH110" s="21"/>
      <c r="WNI110" s="21"/>
      <c r="WNJ110" s="21"/>
      <c r="WNK110" s="21"/>
      <c r="WNL110" s="21"/>
      <c r="WNM110" s="21"/>
      <c r="WNN110" s="21"/>
      <c r="WNO110" s="21"/>
      <c r="WNP110" s="21"/>
      <c r="WNQ110" s="21"/>
      <c r="WNR110" s="21"/>
      <c r="WNS110" s="21"/>
      <c r="WNT110" s="21"/>
      <c r="WNU110" s="21"/>
      <c r="WNV110" s="21"/>
      <c r="WNW110" s="21"/>
      <c r="WNX110" s="21"/>
      <c r="WNY110" s="21"/>
      <c r="WNZ110" s="21"/>
      <c r="WOA110" s="21"/>
      <c r="WOB110" s="21"/>
      <c r="WOC110" s="21"/>
      <c r="WOD110" s="21"/>
      <c r="WOE110" s="21"/>
      <c r="WOF110" s="21"/>
      <c r="WOG110" s="21"/>
      <c r="WOH110" s="21"/>
      <c r="WOI110" s="21"/>
      <c r="WOJ110" s="21"/>
      <c r="WOK110" s="21"/>
      <c r="WOL110" s="21"/>
      <c r="WOM110" s="21"/>
      <c r="WON110" s="21"/>
      <c r="WOO110" s="21"/>
      <c r="WOP110" s="21"/>
      <c r="WOQ110" s="21"/>
      <c r="WOR110" s="21"/>
      <c r="WOS110" s="21"/>
      <c r="WOT110" s="21"/>
      <c r="WOU110" s="21"/>
      <c r="WOV110" s="21"/>
      <c r="WOW110" s="21"/>
      <c r="WOX110" s="21"/>
      <c r="WOY110" s="21"/>
      <c r="WOZ110" s="21"/>
      <c r="WPA110" s="21"/>
      <c r="WPB110" s="21"/>
      <c r="WPC110" s="21"/>
      <c r="WPD110" s="21"/>
      <c r="WPE110" s="21"/>
      <c r="WPF110" s="21"/>
      <c r="WPG110" s="21"/>
      <c r="WPH110" s="21"/>
      <c r="WPI110" s="21"/>
      <c r="WPJ110" s="21"/>
      <c r="WPK110" s="21"/>
      <c r="WPL110" s="21"/>
      <c r="WPM110" s="21"/>
      <c r="WPN110" s="21"/>
      <c r="WPO110" s="21"/>
      <c r="WPP110" s="21"/>
      <c r="WPQ110" s="21"/>
      <c r="WPR110" s="21"/>
      <c r="WPS110" s="21"/>
      <c r="WPT110" s="21"/>
      <c r="WPU110" s="21"/>
      <c r="WPV110" s="21"/>
      <c r="WPW110" s="21"/>
      <c r="WPX110" s="21"/>
      <c r="WPY110" s="21"/>
      <c r="WPZ110" s="21"/>
      <c r="WQA110" s="21"/>
      <c r="WQB110" s="21"/>
      <c r="WQC110" s="21"/>
      <c r="WQD110" s="21"/>
      <c r="WQE110" s="21"/>
      <c r="WQF110" s="21"/>
      <c r="WQG110" s="21"/>
      <c r="WQH110" s="21"/>
      <c r="WQI110" s="21"/>
      <c r="WQJ110" s="21"/>
      <c r="WQK110" s="21"/>
      <c r="WQL110" s="21"/>
      <c r="WQM110" s="21"/>
      <c r="WQN110" s="21"/>
      <c r="WQO110" s="21"/>
      <c r="WQP110" s="21"/>
      <c r="WQQ110" s="21"/>
      <c r="WQR110" s="21"/>
      <c r="WQS110" s="21"/>
      <c r="WQT110" s="21"/>
      <c r="WQU110" s="21"/>
      <c r="WQV110" s="21"/>
      <c r="WQW110" s="21"/>
      <c r="WQX110" s="21"/>
      <c r="WQY110" s="21"/>
      <c r="WQZ110" s="21"/>
      <c r="WRA110" s="21"/>
      <c r="WRB110" s="21"/>
      <c r="WRC110" s="21"/>
      <c r="WRD110" s="21"/>
      <c r="WRE110" s="21"/>
      <c r="WRF110" s="21"/>
      <c r="WRG110" s="21"/>
      <c r="WRH110" s="21"/>
      <c r="WRI110" s="21"/>
      <c r="WRJ110" s="21"/>
      <c r="WRK110" s="21"/>
      <c r="WRL110" s="21"/>
      <c r="WRM110" s="21"/>
      <c r="WRN110" s="21"/>
      <c r="WRO110" s="21"/>
      <c r="WRP110" s="21"/>
      <c r="WRQ110" s="21"/>
      <c r="WRR110" s="21"/>
      <c r="WRS110" s="21"/>
      <c r="WRT110" s="21"/>
      <c r="WRU110" s="21"/>
      <c r="WRV110" s="21"/>
      <c r="WRW110" s="21"/>
      <c r="WRX110" s="21"/>
      <c r="WRY110" s="21"/>
      <c r="WRZ110" s="21"/>
      <c r="WSA110" s="21"/>
      <c r="WSB110" s="21"/>
      <c r="WSC110" s="21"/>
      <c r="WSD110" s="21"/>
      <c r="WSE110" s="21"/>
      <c r="WSF110" s="21"/>
      <c r="WSG110" s="21"/>
      <c r="WSH110" s="21"/>
      <c r="WSI110" s="21"/>
      <c r="WSJ110" s="21"/>
      <c r="WSK110" s="21"/>
      <c r="WSL110" s="21"/>
      <c r="WSM110" s="21"/>
      <c r="WSN110" s="21"/>
      <c r="WSO110" s="21"/>
      <c r="WSP110" s="21"/>
      <c r="WSQ110" s="21"/>
      <c r="WSR110" s="21"/>
      <c r="WSS110" s="21"/>
      <c r="WST110" s="21"/>
      <c r="WSU110" s="21"/>
      <c r="WSV110" s="21"/>
      <c r="WSW110" s="21"/>
      <c r="WSX110" s="21"/>
      <c r="WSY110" s="21"/>
      <c r="WSZ110" s="21"/>
      <c r="WTA110" s="21"/>
      <c r="WTB110" s="21"/>
      <c r="WTC110" s="21"/>
      <c r="WTD110" s="21"/>
      <c r="WTE110" s="21"/>
      <c r="WTF110" s="21"/>
      <c r="WTG110" s="21"/>
      <c r="WTH110" s="21"/>
      <c r="WTI110" s="21"/>
      <c r="WTJ110" s="21"/>
      <c r="WTK110" s="21"/>
      <c r="WTL110" s="21"/>
      <c r="WTM110" s="21"/>
      <c r="WTN110" s="21"/>
      <c r="WTO110" s="21"/>
      <c r="WTP110" s="21"/>
      <c r="WTQ110" s="21"/>
      <c r="WTR110" s="21"/>
      <c r="WTS110" s="21"/>
      <c r="WTT110" s="21"/>
      <c r="WTU110" s="21"/>
      <c r="WTV110" s="21"/>
      <c r="WTW110" s="21"/>
      <c r="WTX110" s="21"/>
      <c r="WTY110" s="21"/>
      <c r="WTZ110" s="21"/>
      <c r="WUA110" s="21"/>
      <c r="WUB110" s="21"/>
      <c r="WUC110" s="21"/>
      <c r="WUD110" s="21"/>
      <c r="WUE110" s="21"/>
      <c r="WUF110" s="21"/>
      <c r="WUG110" s="21"/>
      <c r="WUH110" s="21"/>
      <c r="WUI110" s="21"/>
      <c r="WUJ110" s="21"/>
      <c r="WUK110" s="21"/>
      <c r="WUL110" s="21"/>
      <c r="WUM110" s="21"/>
      <c r="WUN110" s="21"/>
      <c r="WUO110" s="21"/>
      <c r="WUP110" s="21"/>
      <c r="WUQ110" s="21"/>
      <c r="WUR110" s="21"/>
      <c r="WUS110" s="21"/>
      <c r="WUT110" s="21"/>
      <c r="WUU110" s="21"/>
      <c r="WUV110" s="21"/>
      <c r="WUW110" s="21"/>
      <c r="WUX110" s="21"/>
      <c r="WUY110" s="21"/>
      <c r="WUZ110" s="21"/>
      <c r="WVA110" s="21"/>
      <c r="WVB110" s="21"/>
      <c r="WVC110" s="21"/>
      <c r="WVD110" s="21"/>
      <c r="WVE110" s="21"/>
      <c r="WVF110" s="21"/>
      <c r="WVG110" s="21"/>
      <c r="WVH110" s="21"/>
      <c r="WVI110" s="21"/>
      <c r="WVJ110" s="21"/>
      <c r="WVK110" s="21"/>
      <c r="WVL110" s="21"/>
      <c r="WVM110" s="21"/>
      <c r="WVN110" s="21"/>
      <c r="WVO110" s="21"/>
      <c r="WVP110" s="21"/>
      <c r="WVQ110" s="21"/>
      <c r="WVR110" s="21"/>
      <c r="WVS110" s="21"/>
      <c r="WVT110" s="21"/>
      <c r="WVU110" s="21"/>
      <c r="WVV110" s="21"/>
      <c r="WVW110" s="21"/>
      <c r="WVX110" s="21"/>
      <c r="WVY110" s="21"/>
      <c r="WVZ110" s="21"/>
      <c r="WWA110" s="21"/>
      <c r="WWB110" s="21"/>
      <c r="WWC110" s="21"/>
      <c r="WWD110" s="21"/>
      <c r="WWE110" s="21"/>
      <c r="WWF110" s="21"/>
      <c r="WWG110" s="21"/>
      <c r="WWH110" s="21"/>
      <c r="WWI110" s="21"/>
      <c r="WWJ110" s="21"/>
      <c r="WWK110" s="21"/>
      <c r="WWL110" s="21"/>
      <c r="WWM110" s="21"/>
      <c r="WWN110" s="21"/>
      <c r="WWO110" s="21"/>
      <c r="WWP110" s="21"/>
      <c r="WWQ110" s="21"/>
      <c r="WWR110" s="21"/>
      <c r="WWS110" s="21"/>
      <c r="WWT110" s="21"/>
      <c r="WWU110" s="21"/>
      <c r="WWV110" s="21"/>
      <c r="WWW110" s="21"/>
      <c r="WWX110" s="21"/>
      <c r="WWY110" s="21"/>
      <c r="WWZ110" s="21"/>
      <c r="WXA110" s="21"/>
      <c r="WXB110" s="21"/>
      <c r="WXC110" s="21"/>
      <c r="WXD110" s="21"/>
      <c r="WXE110" s="21"/>
      <c r="WXF110" s="21"/>
      <c r="WXG110" s="21"/>
      <c r="WXH110" s="21"/>
      <c r="WXI110" s="21"/>
      <c r="WXJ110" s="21"/>
      <c r="WXK110" s="21"/>
      <c r="WXL110" s="21"/>
      <c r="WXM110" s="21"/>
      <c r="WXN110" s="21"/>
      <c r="WXO110" s="21"/>
      <c r="WXP110" s="21"/>
      <c r="WXQ110" s="21"/>
      <c r="WXR110" s="21"/>
      <c r="WXS110" s="21"/>
      <c r="WXT110" s="21"/>
      <c r="WXU110" s="21"/>
      <c r="WXV110" s="21"/>
      <c r="WXW110" s="21"/>
      <c r="WXX110" s="21"/>
      <c r="WXY110" s="21"/>
      <c r="WXZ110" s="21"/>
      <c r="WYA110" s="21"/>
      <c r="WYB110" s="21"/>
      <c r="WYC110" s="21"/>
      <c r="WYD110" s="21"/>
      <c r="WYE110" s="21"/>
      <c r="WYF110" s="21"/>
      <c r="WYG110" s="21"/>
      <c r="WYH110" s="21"/>
      <c r="WYI110" s="21"/>
      <c r="WYJ110" s="21"/>
      <c r="WYK110" s="21"/>
      <c r="WYL110" s="21"/>
      <c r="WYM110" s="21"/>
      <c r="WYN110" s="21"/>
      <c r="WYO110" s="21"/>
      <c r="WYP110" s="21"/>
      <c r="WYQ110" s="21"/>
      <c r="WYR110" s="21"/>
      <c r="WYS110" s="21"/>
      <c r="WYT110" s="21"/>
      <c r="WYU110" s="21"/>
      <c r="WYV110" s="21"/>
      <c r="WYW110" s="21"/>
      <c r="WYX110" s="21"/>
      <c r="WYY110" s="21"/>
      <c r="WYZ110" s="21"/>
      <c r="WZA110" s="21"/>
      <c r="WZB110" s="21"/>
      <c r="WZC110" s="21"/>
      <c r="WZD110" s="21"/>
      <c r="WZE110" s="21"/>
      <c r="WZF110" s="21"/>
      <c r="WZG110" s="21"/>
      <c r="WZH110" s="21"/>
      <c r="WZI110" s="21"/>
      <c r="WZJ110" s="21"/>
      <c r="WZK110" s="21"/>
      <c r="WZL110" s="21"/>
      <c r="WZM110" s="21"/>
      <c r="WZN110" s="21"/>
      <c r="WZO110" s="21"/>
      <c r="WZP110" s="21"/>
      <c r="WZQ110" s="21"/>
      <c r="WZR110" s="21"/>
      <c r="WZS110" s="21"/>
      <c r="WZT110" s="21"/>
      <c r="WZU110" s="21"/>
      <c r="WZV110" s="21"/>
      <c r="WZW110" s="21"/>
      <c r="WZX110" s="21"/>
      <c r="WZY110" s="21"/>
      <c r="WZZ110" s="21"/>
      <c r="XAA110" s="21"/>
      <c r="XAB110" s="21"/>
      <c r="XAC110" s="21"/>
      <c r="XAD110" s="21"/>
      <c r="XAE110" s="21"/>
      <c r="XAF110" s="21"/>
      <c r="XAG110" s="21"/>
      <c r="XAH110" s="21"/>
      <c r="XAI110" s="21"/>
      <c r="XAJ110" s="21"/>
      <c r="XAK110" s="21"/>
      <c r="XAL110" s="21"/>
      <c r="XAM110" s="21"/>
      <c r="XAN110" s="21"/>
      <c r="XAO110" s="21"/>
      <c r="XAP110" s="21"/>
      <c r="XAQ110" s="21"/>
      <c r="XAR110" s="21"/>
      <c r="XAS110" s="21"/>
      <c r="XAT110" s="21"/>
      <c r="XAU110" s="21"/>
      <c r="XAV110" s="21"/>
      <c r="XAW110" s="21"/>
      <c r="XAX110" s="21"/>
      <c r="XAY110" s="21"/>
      <c r="XAZ110" s="21"/>
      <c r="XBA110" s="21"/>
      <c r="XBB110" s="21"/>
      <c r="XBC110" s="21"/>
      <c r="XBD110" s="21"/>
      <c r="XBE110" s="21"/>
      <c r="XBF110" s="21"/>
      <c r="XBG110" s="21"/>
      <c r="XBH110" s="21"/>
      <c r="XBI110" s="21"/>
      <c r="XBJ110" s="21"/>
      <c r="XBK110" s="21"/>
      <c r="XBL110" s="21"/>
      <c r="XBM110" s="21"/>
      <c r="XBN110" s="21"/>
      <c r="XBO110" s="21"/>
      <c r="XBP110" s="21"/>
      <c r="XBQ110" s="21"/>
      <c r="XBR110" s="21"/>
      <c r="XBS110" s="21"/>
      <c r="XBT110" s="21"/>
      <c r="XBU110" s="21"/>
      <c r="XBV110" s="21"/>
      <c r="XBW110" s="21"/>
      <c r="XBX110" s="21"/>
      <c r="XBY110" s="21"/>
      <c r="XBZ110" s="21"/>
      <c r="XCA110" s="21"/>
      <c r="XCB110" s="21"/>
      <c r="XCC110" s="21"/>
      <c r="XCD110" s="21"/>
      <c r="XCE110" s="21"/>
      <c r="XCF110" s="21"/>
      <c r="XCG110" s="21"/>
      <c r="XCH110" s="21"/>
      <c r="XCI110" s="21"/>
      <c r="XCJ110" s="21"/>
      <c r="XCK110" s="21"/>
      <c r="XCL110" s="21"/>
      <c r="XCM110" s="21"/>
      <c r="XCN110" s="21"/>
      <c r="XCO110" s="21"/>
      <c r="XCP110" s="21"/>
      <c r="XCQ110" s="21"/>
      <c r="XCR110" s="21"/>
      <c r="XCS110" s="21"/>
      <c r="XCT110" s="21"/>
      <c r="XCU110" s="21"/>
      <c r="XCV110" s="21"/>
      <c r="XCW110" s="21"/>
      <c r="XCX110" s="21"/>
      <c r="XCY110" s="21"/>
      <c r="XCZ110" s="21"/>
      <c r="XDA110" s="21"/>
      <c r="XDB110" s="21"/>
      <c r="XDC110" s="21"/>
      <c r="XDD110" s="21"/>
      <c r="XDE110" s="21"/>
      <c r="XDF110" s="21"/>
      <c r="XDG110" s="21"/>
      <c r="XDH110" s="21"/>
      <c r="XDI110" s="21"/>
      <c r="XDJ110" s="21"/>
      <c r="XDK110" s="21"/>
      <c r="XDL110" s="21"/>
      <c r="XDM110" s="21"/>
      <c r="XDN110" s="21"/>
      <c r="XDO110" s="21"/>
      <c r="XDP110" s="21"/>
      <c r="XDQ110" s="21"/>
      <c r="XDR110" s="21"/>
      <c r="XDS110" s="21"/>
      <c r="XDT110" s="21"/>
      <c r="XDU110" s="21"/>
      <c r="XDV110" s="21"/>
      <c r="XDW110" s="21"/>
      <c r="XDX110" s="21"/>
      <c r="XDY110" s="21"/>
      <c r="XDZ110" s="21"/>
      <c r="XEA110" s="21"/>
      <c r="XEB110" s="21"/>
      <c r="XEC110" s="21"/>
      <c r="XED110" s="21"/>
      <c r="XEE110" s="21"/>
      <c r="XEF110" s="21"/>
      <c r="XEG110" s="21"/>
      <c r="XEH110" s="21"/>
      <c r="XEI110" s="21"/>
      <c r="XEJ110" s="21"/>
      <c r="XEK110" s="21"/>
      <c r="XEL110" s="21"/>
      <c r="XEM110" s="21"/>
      <c r="XEN110" s="21"/>
      <c r="XEO110" s="21"/>
      <c r="XEP110" s="21"/>
      <c r="XEQ110" s="21"/>
      <c r="XER110" s="21"/>
      <c r="XES110" s="21"/>
      <c r="XET110" s="21"/>
      <c r="XEU110" s="21"/>
      <c r="XEV110" s="21"/>
      <c r="XEW110" s="21"/>
      <c r="XEX110" s="21"/>
      <c r="XEY110" s="21"/>
      <c r="XEZ110" s="21"/>
      <c r="XFA110" s="21"/>
      <c r="XFB110" s="21"/>
    </row>
    <row r="111" spans="1:16382" s="47" customFormat="1" ht="36" customHeight="1" thickTop="1" thickBot="1">
      <c r="A111" s="8" t="s">
        <v>89</v>
      </c>
      <c r="B111" s="8" t="s">
        <v>90</v>
      </c>
      <c r="C111" s="8" t="s">
        <v>91</v>
      </c>
      <c r="D111" s="8" t="s">
        <v>92</v>
      </c>
      <c r="E111" s="199" t="s">
        <v>104</v>
      </c>
      <c r="F111" s="199" t="s">
        <v>93</v>
      </c>
      <c r="G111" s="17"/>
    </row>
    <row r="112" spans="1:16382" ht="78" customHeight="1" thickTop="1" thickBot="1">
      <c r="A112" s="27" t="s">
        <v>1203</v>
      </c>
      <c r="B112" s="121" t="str">
        <f>Questions!$C$333</f>
        <v xml:space="preserve">
No answer required
Participating employer insolvency
</v>
      </c>
      <c r="C112" s="187"/>
      <c r="D112" s="372" t="str">
        <f ca="1">'Reconciliation report'!$D780</f>
        <v/>
      </c>
      <c r="E112" s="122" t="str">
        <f>Guidance!$B$228</f>
        <v xml:space="preserve">
If insolvency of a participating employer is a circumstance in which the trustees may seek to enforce the security provided under the terms of the agreement.
</v>
      </c>
      <c r="F112" s="227"/>
    </row>
    <row r="113" spans="1:8" ht="78" customHeight="1" thickBot="1">
      <c r="A113" s="27" t="s">
        <v>1205</v>
      </c>
      <c r="B113" s="121" t="str">
        <f>Questions!$C$334</f>
        <v xml:space="preserve">
No answer required
Insolvency of associated company
</v>
      </c>
      <c r="C113" s="343"/>
      <c r="D113" s="372" t="str">
        <f ca="1">'Reconciliation report'!$D781</f>
        <v/>
      </c>
      <c r="E113" s="122" t="str">
        <f>Guidance!$B$229</f>
        <v xml:space="preserve">
If insolvency of an associated company is a circumstance in which the trustees may seek to enforce the security provided under the terms of the agreement.
</v>
      </c>
      <c r="F113" s="227"/>
    </row>
    <row r="114" spans="1:8" ht="78" customHeight="1" thickBot="1">
      <c r="A114" s="27" t="s">
        <v>1207</v>
      </c>
      <c r="B114" s="121" t="str">
        <f>Questions!$C$335</f>
        <v xml:space="preserve">
No answer required
Non payment of contributions
</v>
      </c>
      <c r="C114" s="343"/>
      <c r="D114" s="372" t="str">
        <f ca="1">'Reconciliation report'!$D782</f>
        <v/>
      </c>
      <c r="E114" s="122" t="str">
        <f>Guidance!$B$230</f>
        <v xml:space="preserve">
If non-payment of contributions is a circumstance in which the trustees may seek to enforce the security provided under the terms of the agreement.
</v>
      </c>
      <c r="F114" s="227"/>
    </row>
    <row r="115" spans="1:8" ht="78" customHeight="1" thickBot="1">
      <c r="A115" s="27" t="s">
        <v>1209</v>
      </c>
      <c r="B115" s="121" t="str">
        <f>Questions!$C$336</f>
        <v xml:space="preserve">
No answer required
Crystallisation of investment risk
</v>
      </c>
      <c r="C115" s="343"/>
      <c r="D115" s="372" t="str">
        <f ca="1">'Reconciliation report'!$D783</f>
        <v/>
      </c>
      <c r="E115" s="122" t="str">
        <f>Guidance!$B$231</f>
        <v xml:space="preserve">
If crystallisation of investment risk is a circumstance in which the trustees may seek to enforce the security provided under the terms of the agreement.
</v>
      </c>
      <c r="F115" s="227"/>
    </row>
    <row r="116" spans="1:8" ht="78" customHeight="1" thickBot="1">
      <c r="A116" s="27" t="s">
        <v>1211</v>
      </c>
      <c r="B116" s="121" t="str">
        <f>Questions!$C$337</f>
        <v xml:space="preserve">
No answer required
Other
</v>
      </c>
      <c r="C116" s="343"/>
      <c r="D116" s="372" t="str">
        <f ca="1">'Reconciliation report'!$D784</f>
        <v/>
      </c>
      <c r="E116" s="122" t="str">
        <f>Guidance!$B$232</f>
        <v xml:space="preserve">
If there are other circumstances in which the trustees may seek to enforce the security provided under the terms of the agreement.
</v>
      </c>
      <c r="F116" s="227"/>
    </row>
    <row r="117" spans="1:8" ht="93" customHeight="1">
      <c r="A117" s="27" t="s">
        <v>1213</v>
      </c>
      <c r="B117" s="118" t="str">
        <f>Questions!$C$338</f>
        <v xml:space="preserve">
No answer required
Describe the other triggers for access to value
</v>
      </c>
      <c r="C117" s="519"/>
      <c r="D117" s="361" t="str">
        <f ca="1">'Reconciliation report'!$D785</f>
        <v/>
      </c>
      <c r="E117" s="122" t="str">
        <f>Guidance!$B$233</f>
        <v xml:space="preserve">
Specific description of the 'other' circumstances in which the trustees may seek to enforce the security provided under the terms of the agreement.
</v>
      </c>
      <c r="F117" s="128"/>
    </row>
    <row r="118" spans="1:8" ht="78" thickBot="1">
      <c r="A118" s="246" t="s">
        <v>1215</v>
      </c>
      <c r="B118" s="172" t="str">
        <f>Questions!$C$339</f>
        <v xml:space="preserve">
No answer required
Triggers for termination
</v>
      </c>
      <c r="C118" s="520"/>
      <c r="D118" s="362" t="str">
        <f ca="1">'Reconciliation report'!$D786</f>
        <v/>
      </c>
      <c r="E118" s="132" t="str">
        <f>Guidance!$B$234</f>
        <v xml:space="preserve">
The circumstances specified in the security agreement under which the agreement will be terminated or will cease to have effect.
</v>
      </c>
      <c r="F118" s="224"/>
    </row>
    <row r="119" spans="1:8" ht="20.149999999999999" hidden="1" customHeight="1" thickBot="1">
      <c r="A119" s="75"/>
      <c r="B119" s="75"/>
      <c r="C119" s="75" t="s">
        <v>23</v>
      </c>
      <c r="D119" s="99"/>
      <c r="E119" s="200"/>
      <c r="F119" s="200"/>
      <c r="G119" s="200"/>
    </row>
    <row r="120" spans="1:8" ht="50.15" hidden="1" customHeight="1" thickBot="1">
      <c r="A120" s="750" t="s">
        <v>117</v>
      </c>
      <c r="B120" s="751"/>
      <c r="C120" s="57"/>
      <c r="D120" s="57"/>
      <c r="E120" s="57"/>
      <c r="F120" s="57"/>
      <c r="G120" s="57"/>
    </row>
    <row r="121" spans="1:8" s="47" customFormat="1" ht="36" hidden="1" customHeight="1" thickTop="1" thickBot="1">
      <c r="A121" s="752" t="s">
        <v>90</v>
      </c>
      <c r="B121" s="753"/>
      <c r="C121" s="668" t="s">
        <v>91</v>
      </c>
      <c r="D121" s="669"/>
      <c r="E121" s="667"/>
      <c r="F121" s="667"/>
      <c r="G121" s="667"/>
      <c r="H121" s="17"/>
    </row>
    <row r="122" spans="1:8" ht="86" hidden="1" customHeight="1" thickTop="1" thickBot="1">
      <c r="A122" s="744" t="s">
        <v>118</v>
      </c>
      <c r="B122" s="754"/>
      <c r="C122" s="683"/>
      <c r="D122" s="62"/>
      <c r="E122" s="667"/>
      <c r="F122" s="667"/>
      <c r="G122" s="196"/>
    </row>
    <row r="123" spans="1:8" s="47" customFormat="1" ht="50.25" customHeight="1">
      <c r="A123" s="439"/>
      <c r="B123" s="255"/>
      <c r="C123" s="439"/>
      <c r="D123" s="439"/>
      <c r="E123" s="439"/>
      <c r="F123" s="439"/>
    </row>
  </sheetData>
  <sheetProtection algorithmName="SHA-512" hashValue="VfE6hJVkJYxRJgPoOp1N1MIFQa+VIT1oJphPWDVNl5Zk1uqj4UfffCsqajR56+FKQfuOvD3JDE2Zqkf6eSIiAA==" saltValue="gGlOzUS16dfxbImoOY52sw==" spinCount="100000" sheet="1" objects="1" scenarios="1" sort="0" autoFilter="0"/>
  <mergeCells count="16">
    <mergeCell ref="A120:B120"/>
    <mergeCell ref="A121:B121"/>
    <mergeCell ref="A122:B122"/>
    <mergeCell ref="A1:B1"/>
    <mergeCell ref="A2:B2"/>
    <mergeCell ref="A3:B3"/>
    <mergeCell ref="A5:B5"/>
    <mergeCell ref="A18:B18"/>
    <mergeCell ref="A87:B87"/>
    <mergeCell ref="A97:B97"/>
    <mergeCell ref="A110:B110"/>
    <mergeCell ref="A28:B28"/>
    <mergeCell ref="A41:B41"/>
    <mergeCell ref="A51:B51"/>
    <mergeCell ref="A64:B64"/>
    <mergeCell ref="A74:B74"/>
  </mergeCells>
  <conditionalFormatting sqref="C122">
    <cfRule type="expression" dxfId="213" priority="1">
      <formula>$C$122=""</formula>
    </cfRule>
  </conditionalFormatting>
  <conditionalFormatting sqref="D7:D16 D20:D26 D30:D39 D43:D49 D53:D62 D66:D72 D76:D85 D89:D95 D99:D108 D112:D118">
    <cfRule type="notContainsBlanks" dxfId="211" priority="13">
      <formula>LEN(TRIM(D7))&gt;0</formula>
    </cfRule>
  </conditionalFormatting>
  <dataValidations count="4">
    <dataValidation type="textLength" operator="lessThan" allowBlank="1" showInputMessage="1" showErrorMessage="1" errorTitle="There is a problem" error="Your answer must not exceed 4000 characters." promptTitle="Add your answer" prompt="Answer this question in 4000 characters or less" sqref="C11 C100 C25:C26 C8 C34 C15 C48:C49 C31 C57 C84 C71:C72 C54 C80 C38 C94:C95 C77 C103 C61 C117:C118 C107" xr:uid="{1D9937E1-D732-4BAE-B4B1-4AEF8ED4F77E}">
      <formula1>4000</formula1>
    </dataValidation>
    <dataValidation type="custom" allowBlank="1" showInputMessage="1" showErrorMessage="1" errorTitle="There is a problem" error="You must enter a number greater than or equal to 0.00 and less than 1,000,000,000,000 (1 trillion) with up to two decimal places." promptTitle="Enter a value" prompt="Enter a number (£)" sqref="C12 C35 C58 C81 C104 C16 C39 C62 C85 C108" xr:uid="{FF3299BE-EF86-4879-802A-5BE0E37BA54F}">
      <formula1>AND(ISNUMBER(VALUE(C12)), VALUE(C12)&gt;=0, VALUE(C12)&lt;=999999999999.99, IF(ISERROR(FIND(".", C12)), VALUE(C12)=INT(VALUE(C12)), LEN(C12)-FIND(".", C12)&lt;=2))</formula1>
    </dataValidation>
    <dataValidation type="date" operator="lessThanOrEqual" allowBlank="1" showInputMessage="1" showErrorMessage="1" errorTitle="There is a problem" error="Enter a date in the format dd/mm/yyyy. " promptTitle="Enter a date" prompt="Enter a date (dd/mm/yyyy)" sqref="C13 C36 C105 C59 C82" xr:uid="{DA8E8980-DB72-4D58-9D1D-14FDEB0CB3A9}">
      <formula1>TODAY()</formula1>
    </dataValidation>
    <dataValidation allowBlank="1" showInputMessage="1" showErrorMessage="1" error="Select from the list." sqref="C123" xr:uid="{B97CF26F-7A87-4990-946A-35319621C40E}"/>
  </dataValidations>
  <pageMargins left="0.70000000000000007" right="0.70000000000000007" top="0.75" bottom="0.75" header="0.30000000000000004" footer="0.30000000000000004"/>
  <pageSetup paperSize="9" fitToWidth="0"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934" id="{09DDF664-259D-4A53-853E-C378F6B68353}">
            <xm:f>SEARCH(RefData!$B$2,$B$7)</xm:f>
            <x14:dxf>
              <fill>
                <patternFill>
                  <bgColor theme="0" tint="-0.14996795556505021"/>
                </patternFill>
              </fill>
            </x14:dxf>
          </x14:cfRule>
          <xm:sqref>A7:F7</xm:sqref>
        </x14:conditionalFormatting>
        <x14:conditionalFormatting xmlns:xm="http://schemas.microsoft.com/office/excel/2006/main">
          <x14:cfRule type="expression" priority="935" id="{D3363AEE-1ECD-4345-A2E7-24018D1FFB99}">
            <xm:f>SEARCH(RefData!$B$2,$B$8)</xm:f>
            <x14:dxf>
              <fill>
                <patternFill>
                  <bgColor theme="0" tint="-0.14996795556505021"/>
                </patternFill>
              </fill>
            </x14:dxf>
          </x14:cfRule>
          <xm:sqref>A8:F8</xm:sqref>
        </x14:conditionalFormatting>
        <x14:conditionalFormatting xmlns:xm="http://schemas.microsoft.com/office/excel/2006/main">
          <x14:cfRule type="expression" priority="936" id="{1A505E4A-FB29-4336-8A9A-9A81009641AC}">
            <xm:f>SEARCH(RefData!$B$2,$B$9)</xm:f>
            <x14:dxf>
              <fill>
                <patternFill>
                  <bgColor theme="0" tint="-0.14996795556505021"/>
                </patternFill>
              </fill>
            </x14:dxf>
          </x14:cfRule>
          <xm:sqref>A9:F9</xm:sqref>
        </x14:conditionalFormatting>
        <x14:conditionalFormatting xmlns:xm="http://schemas.microsoft.com/office/excel/2006/main">
          <x14:cfRule type="expression" priority="937" id="{1E9E46B4-C0D8-45D0-BDFA-EFAEFBB6161A}">
            <xm:f>SEARCH(RefData!$B$2,$B$10)</xm:f>
            <x14:dxf>
              <fill>
                <patternFill>
                  <bgColor theme="0" tint="-0.14996795556505021"/>
                </patternFill>
              </fill>
            </x14:dxf>
          </x14:cfRule>
          <xm:sqref>A10:F10</xm:sqref>
        </x14:conditionalFormatting>
        <x14:conditionalFormatting xmlns:xm="http://schemas.microsoft.com/office/excel/2006/main">
          <x14:cfRule type="expression" priority="938" id="{E3152873-CAC7-47C2-9F05-0251985E998A}">
            <xm:f>SEARCH(RefData!$B$2,$B$11)</xm:f>
            <x14:dxf>
              <fill>
                <patternFill>
                  <bgColor theme="0" tint="-0.14996795556505021"/>
                </patternFill>
              </fill>
            </x14:dxf>
          </x14:cfRule>
          <xm:sqref>A11:F11</xm:sqref>
        </x14:conditionalFormatting>
        <x14:conditionalFormatting xmlns:xm="http://schemas.microsoft.com/office/excel/2006/main">
          <x14:cfRule type="expression" priority="939" id="{270E9378-AEC7-4A3D-B12D-C6014B5CFCF3}">
            <xm:f>SEARCH(RefData!$B$2,$B$12)</xm:f>
            <x14:dxf>
              <fill>
                <patternFill>
                  <bgColor theme="0" tint="-0.14996795556505021"/>
                </patternFill>
              </fill>
            </x14:dxf>
          </x14:cfRule>
          <xm:sqref>A12:F12</xm:sqref>
        </x14:conditionalFormatting>
        <x14:conditionalFormatting xmlns:xm="http://schemas.microsoft.com/office/excel/2006/main">
          <x14:cfRule type="expression" priority="940" id="{16E8A664-5ADB-420B-9421-F6064165765C}">
            <xm:f>SEARCH(RefData!$B$2,$B$13)</xm:f>
            <x14:dxf>
              <fill>
                <patternFill>
                  <bgColor theme="0" tint="-0.14996795556505021"/>
                </patternFill>
              </fill>
            </x14:dxf>
          </x14:cfRule>
          <xm:sqref>A13:F13</xm:sqref>
        </x14:conditionalFormatting>
        <x14:conditionalFormatting xmlns:xm="http://schemas.microsoft.com/office/excel/2006/main">
          <x14:cfRule type="expression" priority="941" id="{085DF80F-AF11-4AA4-9210-CA9B2D052401}">
            <xm:f>SEARCH(RefData!$B$2,$B$14)</xm:f>
            <x14:dxf>
              <fill>
                <patternFill>
                  <bgColor theme="0" tint="-0.14996795556505021"/>
                </patternFill>
              </fill>
            </x14:dxf>
          </x14:cfRule>
          <xm:sqref>A14:F14</xm:sqref>
        </x14:conditionalFormatting>
        <x14:conditionalFormatting xmlns:xm="http://schemas.microsoft.com/office/excel/2006/main">
          <x14:cfRule type="expression" priority="942" id="{69EECE8D-6589-4FE4-A5D7-6C0FC3BD39D3}">
            <xm:f>SEARCH(RefData!$B$2,$B$15)</xm:f>
            <x14:dxf>
              <fill>
                <patternFill>
                  <bgColor theme="0" tint="-0.14996795556505021"/>
                </patternFill>
              </fill>
            </x14:dxf>
          </x14:cfRule>
          <xm:sqref>A15:F15</xm:sqref>
        </x14:conditionalFormatting>
        <x14:conditionalFormatting xmlns:xm="http://schemas.microsoft.com/office/excel/2006/main">
          <x14:cfRule type="expression" priority="943" id="{CA14B407-4B9C-45F5-9A73-CCBA5DABC06A}">
            <xm:f>SEARCH(RefData!$B$2,$B$16)</xm:f>
            <x14:dxf>
              <fill>
                <patternFill>
                  <bgColor theme="0" tint="-0.14996795556505021"/>
                </patternFill>
              </fill>
            </x14:dxf>
          </x14:cfRule>
          <xm:sqref>A16:F16</xm:sqref>
        </x14:conditionalFormatting>
        <x14:conditionalFormatting xmlns:xm="http://schemas.microsoft.com/office/excel/2006/main">
          <x14:cfRule type="expression" priority="944" id="{DB273F00-FE78-4C4B-B847-F22CCC2CAC8F}">
            <xm:f>SEARCH(RefData!$B$2,$B$20)</xm:f>
            <x14:dxf>
              <fill>
                <patternFill>
                  <bgColor theme="0" tint="-0.14996795556505021"/>
                </patternFill>
              </fill>
            </x14:dxf>
          </x14:cfRule>
          <xm:sqref>A20:F20</xm:sqref>
        </x14:conditionalFormatting>
        <x14:conditionalFormatting xmlns:xm="http://schemas.microsoft.com/office/excel/2006/main">
          <x14:cfRule type="expression" priority="945" id="{6331415F-7F28-4D8D-8F66-ACF603B5BE40}">
            <xm:f>SEARCH(RefData!$B$2,$B$21)</xm:f>
            <x14:dxf>
              <fill>
                <patternFill>
                  <bgColor theme="0" tint="-0.14996795556505021"/>
                </patternFill>
              </fill>
            </x14:dxf>
          </x14:cfRule>
          <xm:sqref>A21:F21</xm:sqref>
        </x14:conditionalFormatting>
        <x14:conditionalFormatting xmlns:xm="http://schemas.microsoft.com/office/excel/2006/main">
          <x14:cfRule type="expression" priority="946" id="{610D7B8A-0EC4-495C-8B2C-541A5BB34AF4}">
            <xm:f>SEARCH(RefData!$B$2,$B$22)</xm:f>
            <x14:dxf>
              <fill>
                <patternFill>
                  <bgColor theme="0" tint="-0.14996795556505021"/>
                </patternFill>
              </fill>
            </x14:dxf>
          </x14:cfRule>
          <xm:sqref>A22:F22</xm:sqref>
        </x14:conditionalFormatting>
        <x14:conditionalFormatting xmlns:xm="http://schemas.microsoft.com/office/excel/2006/main">
          <x14:cfRule type="expression" priority="947" id="{CDC6A107-529C-40FE-914F-9DD49277A30E}">
            <xm:f>SEARCH(RefData!$B$2,$B$23)</xm:f>
            <x14:dxf>
              <fill>
                <patternFill>
                  <bgColor theme="0" tint="-0.14996795556505021"/>
                </patternFill>
              </fill>
            </x14:dxf>
          </x14:cfRule>
          <xm:sqref>A23:F23</xm:sqref>
        </x14:conditionalFormatting>
        <x14:conditionalFormatting xmlns:xm="http://schemas.microsoft.com/office/excel/2006/main">
          <x14:cfRule type="expression" priority="948" id="{70C21E39-57D5-4866-B52F-127098560F36}">
            <xm:f>SEARCH(RefData!$B$2,$B$24)</xm:f>
            <x14:dxf>
              <fill>
                <patternFill>
                  <bgColor theme="0" tint="-0.14996795556505021"/>
                </patternFill>
              </fill>
            </x14:dxf>
          </x14:cfRule>
          <xm:sqref>A24:F24</xm:sqref>
        </x14:conditionalFormatting>
        <x14:conditionalFormatting xmlns:xm="http://schemas.microsoft.com/office/excel/2006/main">
          <x14:cfRule type="expression" priority="949" id="{45275E23-0E1B-49D2-A027-B58663CFABC9}">
            <xm:f>SEARCH(RefData!$B$2,$B$25)</xm:f>
            <x14:dxf>
              <fill>
                <patternFill>
                  <bgColor theme="0" tint="-0.14996795556505021"/>
                </patternFill>
              </fill>
            </x14:dxf>
          </x14:cfRule>
          <xm:sqref>A25:F25</xm:sqref>
        </x14:conditionalFormatting>
        <x14:conditionalFormatting xmlns:xm="http://schemas.microsoft.com/office/excel/2006/main">
          <x14:cfRule type="expression" priority="950" id="{EEAEEE4D-56CA-41BC-A873-9471691A4298}">
            <xm:f>SEARCH(RefData!$B$2,$B$26)</xm:f>
            <x14:dxf>
              <fill>
                <patternFill>
                  <bgColor theme="0" tint="-0.14996795556505021"/>
                </patternFill>
              </fill>
            </x14:dxf>
          </x14:cfRule>
          <xm:sqref>A26:F26</xm:sqref>
        </x14:conditionalFormatting>
        <x14:conditionalFormatting xmlns:xm="http://schemas.microsoft.com/office/excel/2006/main">
          <x14:cfRule type="expression" priority="951" id="{EE569998-03CF-4F8A-A5E4-085ED6C2FE6F}">
            <xm:f>SEARCH(RefData!$B$2,$B$30)</xm:f>
            <x14:dxf>
              <fill>
                <patternFill>
                  <bgColor theme="0" tint="-0.14996795556505021"/>
                </patternFill>
              </fill>
            </x14:dxf>
          </x14:cfRule>
          <xm:sqref>A30:F30</xm:sqref>
        </x14:conditionalFormatting>
        <x14:conditionalFormatting xmlns:xm="http://schemas.microsoft.com/office/excel/2006/main">
          <x14:cfRule type="expression" priority="952" id="{A6E56751-5AD5-43E7-9045-A4989CD90A62}">
            <xm:f>SEARCH(RefData!$B$2,$B$31)</xm:f>
            <x14:dxf>
              <fill>
                <patternFill>
                  <bgColor theme="0" tint="-0.14996795556505021"/>
                </patternFill>
              </fill>
            </x14:dxf>
          </x14:cfRule>
          <xm:sqref>A31:F31</xm:sqref>
        </x14:conditionalFormatting>
        <x14:conditionalFormatting xmlns:xm="http://schemas.microsoft.com/office/excel/2006/main">
          <x14:cfRule type="expression" priority="953" id="{D25F9777-00BC-4ED2-869F-E6BAAAA2863B}">
            <xm:f>SEARCH(RefData!$B$2,$B$32)</xm:f>
            <x14:dxf>
              <fill>
                <patternFill>
                  <bgColor theme="0" tint="-0.14996795556505021"/>
                </patternFill>
              </fill>
            </x14:dxf>
          </x14:cfRule>
          <xm:sqref>A32:F32</xm:sqref>
        </x14:conditionalFormatting>
        <x14:conditionalFormatting xmlns:xm="http://schemas.microsoft.com/office/excel/2006/main">
          <x14:cfRule type="expression" priority="954" id="{3B253EFD-F32A-44C1-A065-89D7CD9C9ACD}">
            <xm:f>SEARCH(RefData!$B$2,$B$33)</xm:f>
            <x14:dxf>
              <fill>
                <patternFill>
                  <bgColor theme="0" tint="-0.14996795556505021"/>
                </patternFill>
              </fill>
            </x14:dxf>
          </x14:cfRule>
          <xm:sqref>A33:F33</xm:sqref>
        </x14:conditionalFormatting>
        <x14:conditionalFormatting xmlns:xm="http://schemas.microsoft.com/office/excel/2006/main">
          <x14:cfRule type="expression" priority="955" id="{0927C891-34E5-4952-AC43-FAFE3A55FDD7}">
            <xm:f>SEARCH(RefData!$B$2,$B$34)</xm:f>
            <x14:dxf>
              <fill>
                <patternFill>
                  <bgColor theme="0" tint="-0.14996795556505021"/>
                </patternFill>
              </fill>
            </x14:dxf>
          </x14:cfRule>
          <xm:sqref>A34:F34</xm:sqref>
        </x14:conditionalFormatting>
        <x14:conditionalFormatting xmlns:xm="http://schemas.microsoft.com/office/excel/2006/main">
          <x14:cfRule type="expression" priority="956" id="{61DD5CDF-BF9A-4DB2-A745-F6249E18F4F5}">
            <xm:f>SEARCH(RefData!$B$2,$B$35)</xm:f>
            <x14:dxf>
              <fill>
                <patternFill>
                  <bgColor theme="0" tint="-0.14996795556505021"/>
                </patternFill>
              </fill>
            </x14:dxf>
          </x14:cfRule>
          <xm:sqref>A35:F35</xm:sqref>
        </x14:conditionalFormatting>
        <x14:conditionalFormatting xmlns:xm="http://schemas.microsoft.com/office/excel/2006/main">
          <x14:cfRule type="expression" priority="957" id="{140A6912-9A85-41C8-95F6-DE1747979E71}">
            <xm:f>SEARCH(RefData!$B$2,$B$36)</xm:f>
            <x14:dxf>
              <fill>
                <patternFill>
                  <bgColor theme="0" tint="-0.14996795556505021"/>
                </patternFill>
              </fill>
            </x14:dxf>
          </x14:cfRule>
          <xm:sqref>A36:F36</xm:sqref>
        </x14:conditionalFormatting>
        <x14:conditionalFormatting xmlns:xm="http://schemas.microsoft.com/office/excel/2006/main">
          <x14:cfRule type="expression" priority="958" id="{89F2AB94-FC9D-42DF-9CFF-D5CBAC12B6A1}">
            <xm:f>SEARCH(RefData!$B$2,$B$37)</xm:f>
            <x14:dxf>
              <fill>
                <patternFill>
                  <bgColor theme="0" tint="-0.14996795556505021"/>
                </patternFill>
              </fill>
            </x14:dxf>
          </x14:cfRule>
          <xm:sqref>A37:F37</xm:sqref>
        </x14:conditionalFormatting>
        <x14:conditionalFormatting xmlns:xm="http://schemas.microsoft.com/office/excel/2006/main">
          <x14:cfRule type="expression" priority="959" id="{FC382872-9FA1-490C-9E6A-C43B30CE49A2}">
            <xm:f>SEARCH(RefData!$B$2,$B$38)</xm:f>
            <x14:dxf>
              <fill>
                <patternFill>
                  <bgColor theme="0" tint="-0.14996795556505021"/>
                </patternFill>
              </fill>
            </x14:dxf>
          </x14:cfRule>
          <xm:sqref>A38:F38</xm:sqref>
        </x14:conditionalFormatting>
        <x14:conditionalFormatting xmlns:xm="http://schemas.microsoft.com/office/excel/2006/main">
          <x14:cfRule type="expression" priority="960" id="{98EEB732-F51D-4770-8612-F0BDC6C06262}">
            <xm:f>SEARCH(RefData!$B$2,$B$39)</xm:f>
            <x14:dxf>
              <fill>
                <patternFill>
                  <bgColor theme="0" tint="-0.14996795556505021"/>
                </patternFill>
              </fill>
            </x14:dxf>
          </x14:cfRule>
          <xm:sqref>A39:F39</xm:sqref>
        </x14:conditionalFormatting>
        <x14:conditionalFormatting xmlns:xm="http://schemas.microsoft.com/office/excel/2006/main">
          <x14:cfRule type="expression" priority="961" id="{4FB2A6EA-0C0D-4379-9704-3A32229853B5}">
            <xm:f>SEARCH(RefData!$B$2,$B$43)</xm:f>
            <x14:dxf>
              <fill>
                <patternFill>
                  <bgColor theme="0" tint="-0.14996795556505021"/>
                </patternFill>
              </fill>
            </x14:dxf>
          </x14:cfRule>
          <xm:sqref>A43:F43</xm:sqref>
        </x14:conditionalFormatting>
        <x14:conditionalFormatting xmlns:xm="http://schemas.microsoft.com/office/excel/2006/main">
          <x14:cfRule type="expression" priority="962" id="{D5806ED9-6B27-44E8-92AF-59DDCEE658F7}">
            <xm:f>SEARCH(RefData!$B$2,$B$44)</xm:f>
            <x14:dxf>
              <fill>
                <patternFill>
                  <bgColor theme="0" tint="-0.14996795556505021"/>
                </patternFill>
              </fill>
            </x14:dxf>
          </x14:cfRule>
          <xm:sqref>A44:F44</xm:sqref>
        </x14:conditionalFormatting>
        <x14:conditionalFormatting xmlns:xm="http://schemas.microsoft.com/office/excel/2006/main">
          <x14:cfRule type="expression" priority="963" id="{3E801D53-6ABA-44BA-B2A0-C22882144E72}">
            <xm:f>SEARCH(RefData!$B$2,$B$45)</xm:f>
            <x14:dxf>
              <fill>
                <patternFill>
                  <bgColor theme="0" tint="-0.14996795556505021"/>
                </patternFill>
              </fill>
            </x14:dxf>
          </x14:cfRule>
          <xm:sqref>A45:F45</xm:sqref>
        </x14:conditionalFormatting>
        <x14:conditionalFormatting xmlns:xm="http://schemas.microsoft.com/office/excel/2006/main">
          <x14:cfRule type="expression" priority="964" id="{F5A805EC-2F1E-42DE-885E-205406EFE3B9}">
            <xm:f>SEARCH(RefData!$B$2,$B$46)</xm:f>
            <x14:dxf>
              <fill>
                <patternFill>
                  <bgColor theme="0" tint="-0.14996795556505021"/>
                </patternFill>
              </fill>
            </x14:dxf>
          </x14:cfRule>
          <xm:sqref>A46:F46</xm:sqref>
        </x14:conditionalFormatting>
        <x14:conditionalFormatting xmlns:xm="http://schemas.microsoft.com/office/excel/2006/main">
          <x14:cfRule type="expression" priority="965" id="{BEF17790-73CA-4FF6-9B0C-5F56E9FF9364}">
            <xm:f>SEARCH(RefData!$B$2,$B$47)</xm:f>
            <x14:dxf>
              <fill>
                <patternFill>
                  <bgColor theme="0" tint="-0.14996795556505021"/>
                </patternFill>
              </fill>
            </x14:dxf>
          </x14:cfRule>
          <xm:sqref>A47:F47</xm:sqref>
        </x14:conditionalFormatting>
        <x14:conditionalFormatting xmlns:xm="http://schemas.microsoft.com/office/excel/2006/main">
          <x14:cfRule type="expression" priority="966" id="{36E36ABC-45E1-459C-9AF5-BE95BC037875}">
            <xm:f>SEARCH(RefData!$B$2,$B$48)</xm:f>
            <x14:dxf>
              <fill>
                <patternFill>
                  <bgColor theme="0" tint="-0.14996795556505021"/>
                </patternFill>
              </fill>
            </x14:dxf>
          </x14:cfRule>
          <xm:sqref>A48:F48</xm:sqref>
        </x14:conditionalFormatting>
        <x14:conditionalFormatting xmlns:xm="http://schemas.microsoft.com/office/excel/2006/main">
          <x14:cfRule type="expression" priority="967" id="{A4C4B2BE-C7BD-46A4-BF51-AEDE9A6E69B5}">
            <xm:f>SEARCH(RefData!$B$2,$B$49)</xm:f>
            <x14:dxf>
              <fill>
                <patternFill>
                  <bgColor theme="0" tint="-0.14996795556505021"/>
                </patternFill>
              </fill>
            </x14:dxf>
          </x14:cfRule>
          <xm:sqref>A49:F49</xm:sqref>
        </x14:conditionalFormatting>
        <x14:conditionalFormatting xmlns:xm="http://schemas.microsoft.com/office/excel/2006/main">
          <x14:cfRule type="expression" priority="968" id="{00DA834C-4414-41A1-9E80-25321735528E}">
            <xm:f>SEARCH(RefData!$B$2,$B$53)</xm:f>
            <x14:dxf>
              <fill>
                <patternFill>
                  <bgColor theme="0" tint="-0.14996795556505021"/>
                </patternFill>
              </fill>
            </x14:dxf>
          </x14:cfRule>
          <xm:sqref>A53:F53</xm:sqref>
        </x14:conditionalFormatting>
        <x14:conditionalFormatting xmlns:xm="http://schemas.microsoft.com/office/excel/2006/main">
          <x14:cfRule type="expression" priority="969" id="{B88AA156-F1C2-4094-9432-0CBACFD31EEC}">
            <xm:f>SEARCH(RefData!$B$2,$B$54)</xm:f>
            <x14:dxf>
              <fill>
                <patternFill>
                  <bgColor theme="0" tint="-0.14996795556505021"/>
                </patternFill>
              </fill>
            </x14:dxf>
          </x14:cfRule>
          <xm:sqref>A54:F54</xm:sqref>
        </x14:conditionalFormatting>
        <x14:conditionalFormatting xmlns:xm="http://schemas.microsoft.com/office/excel/2006/main">
          <x14:cfRule type="expression" priority="970" id="{18C426A0-FE58-4569-A91D-BEE206702CCA}">
            <xm:f>SEARCH(RefData!$B$2,$B$55)</xm:f>
            <x14:dxf>
              <fill>
                <patternFill>
                  <bgColor theme="0" tint="-0.14996795556505021"/>
                </patternFill>
              </fill>
            </x14:dxf>
          </x14:cfRule>
          <xm:sqref>A55:F55</xm:sqref>
        </x14:conditionalFormatting>
        <x14:conditionalFormatting xmlns:xm="http://schemas.microsoft.com/office/excel/2006/main">
          <x14:cfRule type="expression" priority="971" id="{745E3F60-5904-4DC4-AB90-13AA28FCCFCA}">
            <xm:f>SEARCH(RefData!$B$2,$B$56)</xm:f>
            <x14:dxf>
              <fill>
                <patternFill>
                  <bgColor theme="0" tint="-0.14996795556505021"/>
                </patternFill>
              </fill>
            </x14:dxf>
          </x14:cfRule>
          <xm:sqref>A56:F56</xm:sqref>
        </x14:conditionalFormatting>
        <x14:conditionalFormatting xmlns:xm="http://schemas.microsoft.com/office/excel/2006/main">
          <x14:cfRule type="expression" priority="972" id="{7E9A1777-0215-4CEA-A571-1C7E104E2268}">
            <xm:f>SEARCH(RefData!$B$2,$B$57)</xm:f>
            <x14:dxf>
              <fill>
                <patternFill>
                  <bgColor theme="0" tint="-0.14996795556505021"/>
                </patternFill>
              </fill>
            </x14:dxf>
          </x14:cfRule>
          <xm:sqref>A57:F57</xm:sqref>
        </x14:conditionalFormatting>
        <x14:conditionalFormatting xmlns:xm="http://schemas.microsoft.com/office/excel/2006/main">
          <x14:cfRule type="expression" priority="973" id="{47FF77FF-4CEA-4F6D-808B-41FDA005A0B4}">
            <xm:f>SEARCH(RefData!$B$2,$B$58)</xm:f>
            <x14:dxf>
              <fill>
                <patternFill>
                  <bgColor theme="0" tint="-0.14996795556505021"/>
                </patternFill>
              </fill>
            </x14:dxf>
          </x14:cfRule>
          <xm:sqref>A58:F58</xm:sqref>
        </x14:conditionalFormatting>
        <x14:conditionalFormatting xmlns:xm="http://schemas.microsoft.com/office/excel/2006/main">
          <x14:cfRule type="expression" priority="974" id="{ECA5E063-DB95-4524-AE00-EFCE7AE90681}">
            <xm:f>SEARCH(RefData!$B$2,$B$59)</xm:f>
            <x14:dxf>
              <fill>
                <patternFill>
                  <bgColor theme="0" tint="-0.14996795556505021"/>
                </patternFill>
              </fill>
            </x14:dxf>
          </x14:cfRule>
          <xm:sqref>A59:F59</xm:sqref>
        </x14:conditionalFormatting>
        <x14:conditionalFormatting xmlns:xm="http://schemas.microsoft.com/office/excel/2006/main">
          <x14:cfRule type="expression" priority="975" id="{527401FA-C63D-4EA1-9AFC-9EC912C2A26F}">
            <xm:f>SEARCH(RefData!$B$2,$B$60)</xm:f>
            <x14:dxf>
              <fill>
                <patternFill>
                  <bgColor theme="0" tint="-0.14996795556505021"/>
                </patternFill>
              </fill>
            </x14:dxf>
          </x14:cfRule>
          <xm:sqref>A60:F60</xm:sqref>
        </x14:conditionalFormatting>
        <x14:conditionalFormatting xmlns:xm="http://schemas.microsoft.com/office/excel/2006/main">
          <x14:cfRule type="expression" priority="976" id="{89E294D6-BD07-47D3-BF54-4D7F56975615}">
            <xm:f>SEARCH(RefData!$B$2,$B$61)</xm:f>
            <x14:dxf>
              <fill>
                <patternFill>
                  <bgColor theme="0" tint="-0.14996795556505021"/>
                </patternFill>
              </fill>
            </x14:dxf>
          </x14:cfRule>
          <xm:sqref>A61:F61</xm:sqref>
        </x14:conditionalFormatting>
        <x14:conditionalFormatting xmlns:xm="http://schemas.microsoft.com/office/excel/2006/main">
          <x14:cfRule type="expression" priority="977" id="{ABD0E9F4-E5B8-4289-B7C7-5A0696483A2B}">
            <xm:f>SEARCH(RefData!$B$2,$B$62)</xm:f>
            <x14:dxf>
              <fill>
                <patternFill>
                  <bgColor theme="0" tint="-0.14996795556505021"/>
                </patternFill>
              </fill>
            </x14:dxf>
          </x14:cfRule>
          <xm:sqref>A62:F62</xm:sqref>
        </x14:conditionalFormatting>
        <x14:conditionalFormatting xmlns:xm="http://schemas.microsoft.com/office/excel/2006/main">
          <x14:cfRule type="expression" priority="978" id="{2F6E257E-B056-4278-8472-9311FFE8DC59}">
            <xm:f>SEARCH(RefData!$B$2,$B$66)</xm:f>
            <x14:dxf>
              <fill>
                <patternFill>
                  <bgColor theme="0" tint="-0.14996795556505021"/>
                </patternFill>
              </fill>
            </x14:dxf>
          </x14:cfRule>
          <xm:sqref>A66:F66</xm:sqref>
        </x14:conditionalFormatting>
        <x14:conditionalFormatting xmlns:xm="http://schemas.microsoft.com/office/excel/2006/main">
          <x14:cfRule type="expression" priority="979" id="{ACB7A6CF-697F-44E4-9701-C7AA4D352F5F}">
            <xm:f>SEARCH(RefData!$B$2,$B$67)</xm:f>
            <x14:dxf>
              <fill>
                <patternFill>
                  <bgColor theme="0" tint="-0.14996795556505021"/>
                </patternFill>
              </fill>
            </x14:dxf>
          </x14:cfRule>
          <xm:sqref>A67:F67</xm:sqref>
        </x14:conditionalFormatting>
        <x14:conditionalFormatting xmlns:xm="http://schemas.microsoft.com/office/excel/2006/main">
          <x14:cfRule type="expression" priority="980" id="{34931951-8F84-49F4-BC07-7E0E32EB1885}">
            <xm:f>SEARCH(RefData!$B$2,$B$68)</xm:f>
            <x14:dxf>
              <fill>
                <patternFill>
                  <bgColor theme="0" tint="-0.14996795556505021"/>
                </patternFill>
              </fill>
            </x14:dxf>
          </x14:cfRule>
          <xm:sqref>A68:F68</xm:sqref>
        </x14:conditionalFormatting>
        <x14:conditionalFormatting xmlns:xm="http://schemas.microsoft.com/office/excel/2006/main">
          <x14:cfRule type="expression" priority="981" id="{225D9641-B5F7-4788-A575-9EE3473D7424}">
            <xm:f>SEARCH(RefData!$B$2,$B$69)</xm:f>
            <x14:dxf>
              <fill>
                <patternFill>
                  <bgColor theme="0" tint="-0.14996795556505021"/>
                </patternFill>
              </fill>
            </x14:dxf>
          </x14:cfRule>
          <xm:sqref>A69:F69</xm:sqref>
        </x14:conditionalFormatting>
        <x14:conditionalFormatting xmlns:xm="http://schemas.microsoft.com/office/excel/2006/main">
          <x14:cfRule type="expression" priority="982" id="{F568EBB5-6F9B-490A-829E-2E24BDE96B19}">
            <xm:f>SEARCH(RefData!$B$2,$B$70)</xm:f>
            <x14:dxf>
              <fill>
                <patternFill>
                  <bgColor theme="0" tint="-0.14996795556505021"/>
                </patternFill>
              </fill>
            </x14:dxf>
          </x14:cfRule>
          <xm:sqref>A70:F70</xm:sqref>
        </x14:conditionalFormatting>
        <x14:conditionalFormatting xmlns:xm="http://schemas.microsoft.com/office/excel/2006/main">
          <x14:cfRule type="expression" priority="983" id="{EF530855-480D-46C8-9F6D-8BDB46DBDE8C}">
            <xm:f>SEARCH(RefData!$B$2,$B$71)</xm:f>
            <x14:dxf>
              <fill>
                <patternFill>
                  <bgColor theme="0" tint="-0.14996795556505021"/>
                </patternFill>
              </fill>
            </x14:dxf>
          </x14:cfRule>
          <xm:sqref>A71:F71</xm:sqref>
        </x14:conditionalFormatting>
        <x14:conditionalFormatting xmlns:xm="http://schemas.microsoft.com/office/excel/2006/main">
          <x14:cfRule type="expression" priority="984" id="{F1DE1556-80B5-44D9-A723-0FA2F3FE9FC2}">
            <xm:f>SEARCH(RefData!$B$2,$B$72)</xm:f>
            <x14:dxf>
              <fill>
                <patternFill>
                  <bgColor theme="0" tint="-0.14996795556505021"/>
                </patternFill>
              </fill>
            </x14:dxf>
          </x14:cfRule>
          <xm:sqref>A72:F72</xm:sqref>
        </x14:conditionalFormatting>
        <x14:conditionalFormatting xmlns:xm="http://schemas.microsoft.com/office/excel/2006/main">
          <x14:cfRule type="expression" priority="985" id="{1F489368-49B6-46DE-8525-77EF18B9C21C}">
            <xm:f>SEARCH(RefData!$B$2,$B$76)</xm:f>
            <x14:dxf>
              <fill>
                <patternFill>
                  <bgColor theme="0" tint="-0.14996795556505021"/>
                </patternFill>
              </fill>
            </x14:dxf>
          </x14:cfRule>
          <xm:sqref>A76:F76</xm:sqref>
        </x14:conditionalFormatting>
        <x14:conditionalFormatting xmlns:xm="http://schemas.microsoft.com/office/excel/2006/main">
          <x14:cfRule type="expression" priority="986" id="{284C41A4-C9D5-40E7-BE56-50AA5D8E977E}">
            <xm:f>SEARCH(RefData!$B$2,$B$77)</xm:f>
            <x14:dxf>
              <fill>
                <patternFill>
                  <bgColor theme="0" tint="-0.14996795556505021"/>
                </patternFill>
              </fill>
            </x14:dxf>
          </x14:cfRule>
          <xm:sqref>A77:F77</xm:sqref>
        </x14:conditionalFormatting>
        <x14:conditionalFormatting xmlns:xm="http://schemas.microsoft.com/office/excel/2006/main">
          <x14:cfRule type="expression" priority="987" id="{79BBBEF2-5A51-4267-AE89-C7357E94F2E6}">
            <xm:f>SEARCH(RefData!$B$2,$B$78)</xm:f>
            <x14:dxf>
              <fill>
                <patternFill>
                  <bgColor theme="0" tint="-0.14996795556505021"/>
                </patternFill>
              </fill>
            </x14:dxf>
          </x14:cfRule>
          <xm:sqref>A78:F78</xm:sqref>
        </x14:conditionalFormatting>
        <x14:conditionalFormatting xmlns:xm="http://schemas.microsoft.com/office/excel/2006/main">
          <x14:cfRule type="expression" priority="988" id="{8EA0A02D-2205-4CAB-921D-86F6DA074E66}">
            <xm:f>SEARCH(RefData!$B$2,$B$79)</xm:f>
            <x14:dxf>
              <fill>
                <patternFill>
                  <bgColor theme="0" tint="-0.14996795556505021"/>
                </patternFill>
              </fill>
            </x14:dxf>
          </x14:cfRule>
          <xm:sqref>A79:F79</xm:sqref>
        </x14:conditionalFormatting>
        <x14:conditionalFormatting xmlns:xm="http://schemas.microsoft.com/office/excel/2006/main">
          <x14:cfRule type="expression" priority="989" id="{49C5808C-8F15-4B0D-BCAC-FA6B0C0EB595}">
            <xm:f>SEARCH(RefData!$B$2,$B$80)</xm:f>
            <x14:dxf>
              <fill>
                <patternFill>
                  <bgColor theme="0" tint="-0.14996795556505021"/>
                </patternFill>
              </fill>
            </x14:dxf>
          </x14:cfRule>
          <xm:sqref>A80:F80</xm:sqref>
        </x14:conditionalFormatting>
        <x14:conditionalFormatting xmlns:xm="http://schemas.microsoft.com/office/excel/2006/main">
          <x14:cfRule type="expression" priority="990" id="{E5933329-8924-4B92-9DC3-B7EC81B950B3}">
            <xm:f>SEARCH(RefData!$B$2,$B$81)</xm:f>
            <x14:dxf>
              <fill>
                <patternFill>
                  <bgColor theme="0" tint="-0.14996795556505021"/>
                </patternFill>
              </fill>
            </x14:dxf>
          </x14:cfRule>
          <xm:sqref>A81:F81</xm:sqref>
        </x14:conditionalFormatting>
        <x14:conditionalFormatting xmlns:xm="http://schemas.microsoft.com/office/excel/2006/main">
          <x14:cfRule type="expression" priority="991" id="{93653E1E-B15D-42C8-A0F8-6AC49A44D757}">
            <xm:f>SEARCH(RefData!$B$2,$B$82)</xm:f>
            <x14:dxf>
              <fill>
                <patternFill>
                  <bgColor theme="0" tint="-0.14996795556505021"/>
                </patternFill>
              </fill>
            </x14:dxf>
          </x14:cfRule>
          <xm:sqref>A82:F82</xm:sqref>
        </x14:conditionalFormatting>
        <x14:conditionalFormatting xmlns:xm="http://schemas.microsoft.com/office/excel/2006/main">
          <x14:cfRule type="expression" priority="992" id="{B74CA420-A2D9-4D88-93EA-2FAABA6EE2C1}">
            <xm:f>SEARCH(RefData!$B$2,$B$83)</xm:f>
            <x14:dxf>
              <fill>
                <patternFill>
                  <bgColor theme="0" tint="-0.14996795556505021"/>
                </patternFill>
              </fill>
            </x14:dxf>
          </x14:cfRule>
          <xm:sqref>A83:F83</xm:sqref>
        </x14:conditionalFormatting>
        <x14:conditionalFormatting xmlns:xm="http://schemas.microsoft.com/office/excel/2006/main">
          <x14:cfRule type="expression" priority="993" id="{D290AF5D-5782-4FAF-9016-2C83779A9E96}">
            <xm:f>SEARCH(RefData!$B$2,$B$84)</xm:f>
            <x14:dxf>
              <fill>
                <patternFill>
                  <bgColor theme="0" tint="-0.14996795556505021"/>
                </patternFill>
              </fill>
            </x14:dxf>
          </x14:cfRule>
          <xm:sqref>A84:F84</xm:sqref>
        </x14:conditionalFormatting>
        <x14:conditionalFormatting xmlns:xm="http://schemas.microsoft.com/office/excel/2006/main">
          <x14:cfRule type="expression" priority="994" id="{E12C4693-2A97-422D-BE73-5568C2086F4C}">
            <xm:f>SEARCH(RefData!$B$2,$B$85)</xm:f>
            <x14:dxf>
              <fill>
                <patternFill>
                  <bgColor theme="0" tint="-0.14996795556505021"/>
                </patternFill>
              </fill>
            </x14:dxf>
          </x14:cfRule>
          <xm:sqref>A85:F85</xm:sqref>
        </x14:conditionalFormatting>
        <x14:conditionalFormatting xmlns:xm="http://schemas.microsoft.com/office/excel/2006/main">
          <x14:cfRule type="expression" priority="995" id="{57B07776-5042-4EB8-AA5A-47E560B55364}">
            <xm:f>SEARCH(RefData!$B$2,$B$89)</xm:f>
            <x14:dxf>
              <fill>
                <patternFill>
                  <bgColor theme="0" tint="-0.14996795556505021"/>
                </patternFill>
              </fill>
            </x14:dxf>
          </x14:cfRule>
          <xm:sqref>A89:F89</xm:sqref>
        </x14:conditionalFormatting>
        <x14:conditionalFormatting xmlns:xm="http://schemas.microsoft.com/office/excel/2006/main">
          <x14:cfRule type="expression" priority="996" id="{5D887F2C-ADBC-4C70-ACA6-6A7BE7703B0A}">
            <xm:f>SEARCH(RefData!$B$2,$B$90)</xm:f>
            <x14:dxf>
              <fill>
                <patternFill>
                  <bgColor theme="0" tint="-0.14996795556505021"/>
                </patternFill>
              </fill>
            </x14:dxf>
          </x14:cfRule>
          <xm:sqref>A90:F90</xm:sqref>
        </x14:conditionalFormatting>
        <x14:conditionalFormatting xmlns:xm="http://schemas.microsoft.com/office/excel/2006/main">
          <x14:cfRule type="expression" priority="997" id="{6B24A8AF-19A9-4C36-ABBF-5C1C6DFF9F77}">
            <xm:f>SEARCH(RefData!$B$2,$B$91)</xm:f>
            <x14:dxf>
              <fill>
                <patternFill>
                  <bgColor theme="0" tint="-0.14996795556505021"/>
                </patternFill>
              </fill>
            </x14:dxf>
          </x14:cfRule>
          <xm:sqref>A91:F91</xm:sqref>
        </x14:conditionalFormatting>
        <x14:conditionalFormatting xmlns:xm="http://schemas.microsoft.com/office/excel/2006/main">
          <x14:cfRule type="expression" priority="998" id="{AF7DE442-0506-424D-A7DB-2A2202C23619}">
            <xm:f>SEARCH(RefData!$B$2,$B$92)</xm:f>
            <x14:dxf>
              <fill>
                <patternFill>
                  <bgColor theme="0" tint="-0.14996795556505021"/>
                </patternFill>
              </fill>
            </x14:dxf>
          </x14:cfRule>
          <xm:sqref>A92:F92</xm:sqref>
        </x14:conditionalFormatting>
        <x14:conditionalFormatting xmlns:xm="http://schemas.microsoft.com/office/excel/2006/main">
          <x14:cfRule type="expression" priority="999" id="{C8A94952-021C-4027-AF3C-51CE54BF04B3}">
            <xm:f>SEARCH(RefData!$B$2,$B$93)</xm:f>
            <x14:dxf>
              <fill>
                <patternFill>
                  <bgColor theme="0" tint="-0.14996795556505021"/>
                </patternFill>
              </fill>
            </x14:dxf>
          </x14:cfRule>
          <xm:sqref>A93:F93</xm:sqref>
        </x14:conditionalFormatting>
        <x14:conditionalFormatting xmlns:xm="http://schemas.microsoft.com/office/excel/2006/main">
          <x14:cfRule type="expression" priority="1000" id="{DE5BD317-CC3A-4AF7-BF68-6867827D95B8}">
            <xm:f>SEARCH(RefData!$B$2,$B$94)</xm:f>
            <x14:dxf>
              <fill>
                <patternFill>
                  <bgColor theme="0" tint="-0.14996795556505021"/>
                </patternFill>
              </fill>
            </x14:dxf>
          </x14:cfRule>
          <xm:sqref>A94:F94</xm:sqref>
        </x14:conditionalFormatting>
        <x14:conditionalFormatting xmlns:xm="http://schemas.microsoft.com/office/excel/2006/main">
          <x14:cfRule type="expression" priority="1001" id="{6958670C-9554-4285-9A9E-478F34EE74B9}">
            <xm:f>SEARCH(RefData!$B$2,$B$95)</xm:f>
            <x14:dxf>
              <fill>
                <patternFill>
                  <bgColor theme="0" tint="-0.14996795556505021"/>
                </patternFill>
              </fill>
            </x14:dxf>
          </x14:cfRule>
          <xm:sqref>A95:F95</xm:sqref>
        </x14:conditionalFormatting>
        <x14:conditionalFormatting xmlns:xm="http://schemas.microsoft.com/office/excel/2006/main">
          <x14:cfRule type="expression" priority="1002" id="{86CDEB2C-1AB9-48DD-99A3-E0BF3E6FE7B0}">
            <xm:f>SEARCH(RefData!$B$2,$B$99)</xm:f>
            <x14:dxf>
              <fill>
                <patternFill>
                  <bgColor theme="0" tint="-0.14996795556505021"/>
                </patternFill>
              </fill>
            </x14:dxf>
          </x14:cfRule>
          <xm:sqref>A99:F99</xm:sqref>
        </x14:conditionalFormatting>
        <x14:conditionalFormatting xmlns:xm="http://schemas.microsoft.com/office/excel/2006/main">
          <x14:cfRule type="expression" priority="1003" id="{604352AD-6175-41A2-9525-91D210A0464D}">
            <xm:f>SEARCH(RefData!$B$2,$B$100)</xm:f>
            <x14:dxf>
              <fill>
                <patternFill>
                  <bgColor theme="0" tint="-0.14996795556505021"/>
                </patternFill>
              </fill>
            </x14:dxf>
          </x14:cfRule>
          <xm:sqref>A100:F100</xm:sqref>
        </x14:conditionalFormatting>
        <x14:conditionalFormatting xmlns:xm="http://schemas.microsoft.com/office/excel/2006/main">
          <x14:cfRule type="expression" priority="1004" id="{44601274-233A-4CC4-80CA-8A8BDE10C56E}">
            <xm:f>SEARCH(RefData!$B$2,$B$101)</xm:f>
            <x14:dxf>
              <fill>
                <patternFill>
                  <bgColor theme="0" tint="-0.14996795556505021"/>
                </patternFill>
              </fill>
            </x14:dxf>
          </x14:cfRule>
          <xm:sqref>A101:F101</xm:sqref>
        </x14:conditionalFormatting>
        <x14:conditionalFormatting xmlns:xm="http://schemas.microsoft.com/office/excel/2006/main">
          <x14:cfRule type="expression" priority="1005" id="{0267D730-29E8-4BC6-8507-A6693BDD9E1B}">
            <xm:f>SEARCH(RefData!$B$2,$B$102)</xm:f>
            <x14:dxf>
              <fill>
                <patternFill>
                  <bgColor theme="0" tint="-0.14996795556505021"/>
                </patternFill>
              </fill>
            </x14:dxf>
          </x14:cfRule>
          <xm:sqref>A102:F102</xm:sqref>
        </x14:conditionalFormatting>
        <x14:conditionalFormatting xmlns:xm="http://schemas.microsoft.com/office/excel/2006/main">
          <x14:cfRule type="expression" priority="1006" id="{EF544CC3-0DA6-40C3-BA8F-8D00FFC4B81B}">
            <xm:f>SEARCH(RefData!$B$2,$B$103)</xm:f>
            <x14:dxf>
              <fill>
                <patternFill>
                  <bgColor theme="0" tint="-0.14996795556505021"/>
                </patternFill>
              </fill>
            </x14:dxf>
          </x14:cfRule>
          <xm:sqref>A103:F103</xm:sqref>
        </x14:conditionalFormatting>
        <x14:conditionalFormatting xmlns:xm="http://schemas.microsoft.com/office/excel/2006/main">
          <x14:cfRule type="expression" priority="1007" id="{ADD15A77-714B-4535-88B9-7B602D20E196}">
            <xm:f>SEARCH(RefData!$B$2,$B$104)</xm:f>
            <x14:dxf>
              <fill>
                <patternFill>
                  <bgColor theme="0" tint="-0.14996795556505021"/>
                </patternFill>
              </fill>
            </x14:dxf>
          </x14:cfRule>
          <xm:sqref>A104:F104</xm:sqref>
        </x14:conditionalFormatting>
        <x14:conditionalFormatting xmlns:xm="http://schemas.microsoft.com/office/excel/2006/main">
          <x14:cfRule type="expression" priority="1008" id="{0FF4C5CB-A6F7-44EB-9438-84F5E70C06E0}">
            <xm:f>SEARCH(RefData!$B$2,$B$105)</xm:f>
            <x14:dxf>
              <fill>
                <patternFill>
                  <bgColor theme="0" tint="-0.14996795556505021"/>
                </patternFill>
              </fill>
            </x14:dxf>
          </x14:cfRule>
          <xm:sqref>A105:F105</xm:sqref>
        </x14:conditionalFormatting>
        <x14:conditionalFormatting xmlns:xm="http://schemas.microsoft.com/office/excel/2006/main">
          <x14:cfRule type="expression" priority="1009" id="{4358B891-A964-43B2-B5DC-13BD244578CE}">
            <xm:f>SEARCH(RefData!$B$2,$B$106)</xm:f>
            <x14:dxf>
              <fill>
                <patternFill>
                  <bgColor theme="0" tint="-0.14996795556505021"/>
                </patternFill>
              </fill>
            </x14:dxf>
          </x14:cfRule>
          <xm:sqref>A106:F106</xm:sqref>
        </x14:conditionalFormatting>
        <x14:conditionalFormatting xmlns:xm="http://schemas.microsoft.com/office/excel/2006/main">
          <x14:cfRule type="expression" priority="1010" id="{D2D9F251-AB70-41A3-8CF8-C530A370E02C}">
            <xm:f>SEARCH(RefData!$B$2,$B$107)</xm:f>
            <x14:dxf>
              <fill>
                <patternFill>
                  <bgColor theme="0" tint="-0.14996795556505021"/>
                </patternFill>
              </fill>
            </x14:dxf>
          </x14:cfRule>
          <xm:sqref>A107:F107</xm:sqref>
        </x14:conditionalFormatting>
        <x14:conditionalFormatting xmlns:xm="http://schemas.microsoft.com/office/excel/2006/main">
          <x14:cfRule type="expression" priority="1011" id="{0B470534-055D-47C8-AE8D-EE55B02B9768}">
            <xm:f>SEARCH(RefData!$B$2,$B$108)</xm:f>
            <x14:dxf>
              <fill>
                <patternFill>
                  <bgColor theme="0" tint="-0.14996795556505021"/>
                </patternFill>
              </fill>
            </x14:dxf>
          </x14:cfRule>
          <xm:sqref>A108:F108</xm:sqref>
        </x14:conditionalFormatting>
        <x14:conditionalFormatting xmlns:xm="http://schemas.microsoft.com/office/excel/2006/main">
          <x14:cfRule type="expression" priority="1012" id="{37D99238-1F1E-44D7-AC62-DD562801867D}">
            <xm:f>SEARCH(RefData!$B$2,$B$112)</xm:f>
            <x14:dxf>
              <fill>
                <patternFill>
                  <bgColor theme="0" tint="-0.14996795556505021"/>
                </patternFill>
              </fill>
            </x14:dxf>
          </x14:cfRule>
          <xm:sqref>A112:F112</xm:sqref>
        </x14:conditionalFormatting>
        <x14:conditionalFormatting xmlns:xm="http://schemas.microsoft.com/office/excel/2006/main">
          <x14:cfRule type="expression" priority="1013" id="{6734E0D7-B496-4656-9A0E-2A16A8218500}">
            <xm:f>SEARCH(RefData!$B$2,$B$113)</xm:f>
            <x14:dxf>
              <fill>
                <patternFill>
                  <bgColor theme="0" tint="-0.14996795556505021"/>
                </patternFill>
              </fill>
            </x14:dxf>
          </x14:cfRule>
          <xm:sqref>A113:F113</xm:sqref>
        </x14:conditionalFormatting>
        <x14:conditionalFormatting xmlns:xm="http://schemas.microsoft.com/office/excel/2006/main">
          <x14:cfRule type="expression" priority="1014" id="{3B296E5F-3134-4F31-B3FC-FA55C04244AC}">
            <xm:f>SEARCH(RefData!$B$2,$B$114)</xm:f>
            <x14:dxf>
              <fill>
                <patternFill>
                  <bgColor theme="0" tint="-0.14996795556505021"/>
                </patternFill>
              </fill>
            </x14:dxf>
          </x14:cfRule>
          <xm:sqref>A114:F114</xm:sqref>
        </x14:conditionalFormatting>
        <x14:conditionalFormatting xmlns:xm="http://schemas.microsoft.com/office/excel/2006/main">
          <x14:cfRule type="expression" priority="1015" id="{52243438-5814-4CFB-B45C-DB3D32593C54}">
            <xm:f>SEARCH(RefData!$B$2,$B$115)</xm:f>
            <x14:dxf>
              <fill>
                <patternFill>
                  <bgColor theme="0" tint="-0.14996795556505021"/>
                </patternFill>
              </fill>
            </x14:dxf>
          </x14:cfRule>
          <xm:sqref>A115:F115</xm:sqref>
        </x14:conditionalFormatting>
        <x14:conditionalFormatting xmlns:xm="http://schemas.microsoft.com/office/excel/2006/main">
          <x14:cfRule type="expression" priority="1016" id="{FABC0DC4-0A1B-4ABF-B25A-D20BD761B348}">
            <xm:f>SEARCH(RefData!$B$2,$B$116)</xm:f>
            <x14:dxf>
              <fill>
                <patternFill>
                  <bgColor theme="0" tint="-0.14996795556505021"/>
                </patternFill>
              </fill>
            </x14:dxf>
          </x14:cfRule>
          <xm:sqref>A116:F116</xm:sqref>
        </x14:conditionalFormatting>
        <x14:conditionalFormatting xmlns:xm="http://schemas.microsoft.com/office/excel/2006/main">
          <x14:cfRule type="expression" priority="1017" id="{8001E15F-FDF4-49DA-9026-9E49231249E0}">
            <xm:f>SEARCH(RefData!$B$2,$B$117)</xm:f>
            <x14:dxf>
              <fill>
                <patternFill>
                  <bgColor theme="0" tint="-0.14996795556505021"/>
                </patternFill>
              </fill>
            </x14:dxf>
          </x14:cfRule>
          <xm:sqref>A117:F117</xm:sqref>
        </x14:conditionalFormatting>
        <x14:conditionalFormatting xmlns:xm="http://schemas.microsoft.com/office/excel/2006/main">
          <x14:cfRule type="expression" priority="1018" id="{5C00D223-68E7-4F8C-9D14-5E7116AD0298}">
            <xm:f>SEARCH(RefData!$B$2,$B$118)</xm:f>
            <x14:dxf>
              <fill>
                <patternFill>
                  <bgColor theme="0" tint="-0.14996795556505021"/>
                </patternFill>
              </fill>
            </x14:dxf>
          </x14:cfRule>
          <xm:sqref>A118:F118</xm:sqref>
        </x14:conditionalFormatting>
        <x14:conditionalFormatting xmlns:xm="http://schemas.microsoft.com/office/excel/2006/main">
          <x14:cfRule type="expression" priority="3" id="{B34EF504-D400-46CF-8597-84FF234A929F}">
            <xm:f>$C$122=RefData!$B$434</xm:f>
            <x14:dxf>
              <fill>
                <patternFill>
                  <bgColor rgb="FFEFF5FA"/>
                </patternFill>
              </fill>
            </x14:dxf>
          </x14:cfRule>
          <x14:cfRule type="expression" priority="2" id="{8E1E2B0B-86EB-4E7E-8134-228F49C40B1E}">
            <xm:f>$C$122=RefData!$B$433</xm:f>
            <x14:dxf>
              <fill>
                <patternFill>
                  <bgColor rgb="FFEFF5FA"/>
                </patternFill>
              </fill>
            </x14:dxf>
          </x14:cfRule>
          <xm:sqref>C122</xm:sqref>
        </x14:conditionalFormatting>
      </x14:conditionalFormattings>
    </ext>
    <ext xmlns:x14="http://schemas.microsoft.com/office/spreadsheetml/2009/9/main" uri="{CCE6A557-97BC-4b89-ADB6-D9C93CAAB3DF}">
      <x14:dataValidations xmlns:xm="http://schemas.microsoft.com/office/excel/2006/main" count="6">
        <x14:dataValidation type="date" operator="greaterThan" allowBlank="1" showInputMessage="1" showErrorMessage="1" errorTitle="There is a problem" error="Enter a date later in the format dd/mm/yyyy" promptTitle="Enter a date" prompt="Enter a date (dd/mm/yyyy)" xr:uid="{CF10F6F7-B5D5-4E20-9EBE-592F5D30214C}">
          <x14:formula1>
            <xm:f>'Start here'!$C$21</xm:f>
          </x14:formula1>
          <xm:sqref>C56 C10 C33 C102 C79</xm:sqref>
        </x14:dataValidation>
        <x14:dataValidation type="list" allowBlank="1" showInputMessage="1" showErrorMessage="1" errorTitle="There is a problem" error="You must select your answer from the drop-down list." promptTitle="Select an answer" prompt="Choose from the list provided." xr:uid="{223A4312-9D6A-4942-BF4C-45720B810AD5}">
          <x14:formula1>
            <xm:f>RefData!$B$142:$B$148</xm:f>
          </x14:formula1>
          <xm:sqref>C7 C99 C76 C53 C30</xm:sqref>
        </x14:dataValidation>
        <x14:dataValidation type="list" allowBlank="1" showInputMessage="1" showErrorMessage="1" errorTitle="There is a problem" error="You must select your answer from the drop-down list." promptTitle="Select an answer" prompt="Choose from the list provided." xr:uid="{7066F447-2252-40AF-AC74-D281214347FB}">
          <x14:formula1>
            <xm:f>RefData!$B$149:$B$151</xm:f>
          </x14:formula1>
          <xm:sqref>C9 C101 C78 C55 C32</xm:sqref>
        </x14:dataValidation>
        <x14:dataValidation type="list" allowBlank="1" showInputMessage="1" showErrorMessage="1" errorTitle="There is a problem" error="You must select 'Yes' or 'No' from the drop-down list." promptTitle="Select an answer" prompt="Choose from the list provided." xr:uid="{6F4A35A4-AFD8-4FA7-BEDD-AE58EFB37335}">
          <x14:formula1>
            <xm:f>RefData!$B$159:$B$160</xm:f>
          </x14:formula1>
          <xm:sqref>C20:C24 C112:C116 C89:C93 C66:C70 C43:C47</xm:sqref>
        </x14:dataValidation>
        <x14:dataValidation type="list" allowBlank="1" showInputMessage="1" showErrorMessage="1" errorTitle="There is a problem" error="You must select your answer from the drop-down list." promptTitle="Select an answer" prompt="Choose from the list provided." xr:uid="{438B8329-0392-4DBC-ABEB-4104E027591D}">
          <x14:formula1>
            <xm:f>RefData!$B$152:$B$158</xm:f>
          </x14:formula1>
          <xm:sqref>C14 C106 C83 C37 C60</xm:sqref>
        </x14:dataValidation>
        <x14:dataValidation type="list" allowBlank="1" showInputMessage="1" showErrorMessage="1" xr:uid="{500389C0-D979-4D79-81C1-134FFA8B1ACE}">
          <x14:formula1>
            <xm:f>RefData!$B$433:$B$435</xm:f>
          </x14:formula1>
          <xm:sqref>C122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2DA35-7D62-40F4-ABD7-7F472364B7B2}">
  <sheetPr codeName="Sheet27"/>
  <dimension ref="A1:N119"/>
  <sheetViews>
    <sheetView zoomScaleNormal="100" workbookViewId="0">
      <selection sqref="A1:B1"/>
    </sheetView>
  </sheetViews>
  <sheetFormatPr defaultColWidth="0" defaultRowHeight="0" customHeight="1" zeroHeight="1"/>
  <cols>
    <col min="1" max="1" width="14.69140625" style="20" customWidth="1"/>
    <col min="2" max="2" width="62.69140625" style="20" customWidth="1"/>
    <col min="3" max="3" width="28.69140625" style="20" customWidth="1"/>
    <col min="4" max="6" width="62.69140625" style="20" customWidth="1"/>
    <col min="7" max="14" width="33.69140625" style="20" hidden="1" customWidth="1"/>
    <col min="15" max="16384" width="8.69140625" style="20" hidden="1"/>
  </cols>
  <sheetData>
    <row r="1" spans="1:7" s="138" customFormat="1" ht="50.15" customHeight="1" thickBot="1">
      <c r="A1" s="747" t="s">
        <v>1216</v>
      </c>
      <c r="B1" s="748"/>
      <c r="C1" s="245"/>
      <c r="D1" s="245"/>
      <c r="E1" s="245"/>
      <c r="F1" s="245"/>
      <c r="G1" s="27"/>
    </row>
    <row r="2" spans="1:7" s="138" customFormat="1" ht="50.15" customHeight="1" thickTop="1" thickBot="1">
      <c r="A2" s="742" t="s">
        <v>85</v>
      </c>
      <c r="B2" s="742"/>
      <c r="C2" s="57"/>
      <c r="D2" s="57"/>
      <c r="E2" s="57"/>
      <c r="F2" s="57"/>
      <c r="G2" s="27"/>
    </row>
    <row r="3" spans="1:7" s="138" customFormat="1" ht="409.5" customHeight="1" thickTop="1" thickBot="1">
      <c r="A3" s="766" t="s">
        <v>1217</v>
      </c>
      <c r="B3" s="787"/>
      <c r="C3" s="25"/>
      <c r="D3" s="26"/>
      <c r="E3" s="26"/>
      <c r="F3" s="26"/>
      <c r="G3" s="27"/>
    </row>
    <row r="4" spans="1:7" s="143" customFormat="1" ht="20.149999999999999" customHeight="1" thickBot="1">
      <c r="A4" s="69"/>
      <c r="B4" s="69"/>
      <c r="C4" s="69" t="s">
        <v>23</v>
      </c>
      <c r="D4" s="68"/>
      <c r="E4" s="68"/>
      <c r="F4" s="68"/>
      <c r="G4" s="32"/>
    </row>
    <row r="5" spans="1:7" s="139" customFormat="1" ht="50.15" customHeight="1" thickBot="1">
      <c r="A5" s="755" t="s">
        <v>1218</v>
      </c>
      <c r="B5" s="755"/>
      <c r="C5" s="57"/>
      <c r="D5" s="57"/>
      <c r="E5" s="57"/>
      <c r="F5" s="57"/>
      <c r="G5" s="21"/>
    </row>
    <row r="6" spans="1:7" s="47" customFormat="1" ht="36" customHeight="1" thickTop="1" thickBot="1">
      <c r="A6" s="8" t="s">
        <v>89</v>
      </c>
      <c r="B6" s="8" t="s">
        <v>90</v>
      </c>
      <c r="C6" s="8" t="s">
        <v>91</v>
      </c>
      <c r="D6" s="8" t="s">
        <v>92</v>
      </c>
      <c r="E6" s="199" t="s">
        <v>104</v>
      </c>
      <c r="F6" s="199" t="s">
        <v>93</v>
      </c>
      <c r="G6" s="17"/>
    </row>
    <row r="7" spans="1:7" ht="78.5" thickTop="1" thickBot="1">
      <c r="A7" s="27" t="s">
        <v>1220</v>
      </c>
      <c r="B7" s="121" t="str">
        <f>Questions!$C$540</f>
        <v xml:space="preserve">
No answer required
What is the type of contingent asset?
</v>
      </c>
      <c r="C7" s="343"/>
      <c r="D7" s="372" t="str">
        <f ca="1">'Reconciliation report'!$D$787</f>
        <v/>
      </c>
      <c r="E7" s="122" t="str">
        <f>Guidance!$B$193</f>
        <v xml:space="preserve">
Any other type of contingent asset that has been provided to the scheme.
</v>
      </c>
      <c r="F7" s="227"/>
    </row>
    <row r="8" spans="1:7" s="138" customFormat="1" ht="78" thickBot="1">
      <c r="A8" s="27" t="s">
        <v>1222</v>
      </c>
      <c r="B8" s="147" t="str">
        <f>Questions!$C$541</f>
        <v xml:space="preserve">
No answer required
Provide specific details of the contingent asset
</v>
      </c>
      <c r="C8" s="521"/>
      <c r="D8" s="361" t="str">
        <f ca="1">'Reconciliation report'!$D$788</f>
        <v/>
      </c>
      <c r="E8" s="148" t="str">
        <f>Guidance!$B$194</f>
        <v xml:space="preserve">
Specific description of the contingent asset provided to the scheme, including the name of the entity providing it.
</v>
      </c>
      <c r="F8" s="247"/>
      <c r="G8" s="27"/>
    </row>
    <row r="9" spans="1:7" ht="124.5" customHeight="1" thickBot="1">
      <c r="A9" s="27" t="s">
        <v>1224</v>
      </c>
      <c r="B9" s="121" t="str">
        <f>Questions!$C$542</f>
        <v xml:space="preserve">
No answer required
Maturity type
</v>
      </c>
      <c r="C9" s="343"/>
      <c r="D9" s="372" t="str">
        <f ca="1">'Reconciliation report'!$D$789</f>
        <v/>
      </c>
      <c r="E9" s="122" t="str">
        <f>Guidance!$B$195</f>
        <v xml:space="preserve">
Multiple choice answer setting out details regarding the maturity date of the asset. Select 'Evergreen' when there is no fixed expiry date. Otherwise, provide the date of maturity, which is when the scheme's legal access to the contingent asset or the term of the contingent asset agreement is due to end. If neither of these options apply, select 'Other'.
</v>
      </c>
      <c r="F9" s="227"/>
    </row>
    <row r="10" spans="1:7" ht="108.65" customHeight="1">
      <c r="A10" s="27" t="s">
        <v>1227</v>
      </c>
      <c r="B10" s="121" t="str">
        <f>Questions!$C$543</f>
        <v xml:space="preserve">
No answer required
Date of Maturity
</v>
      </c>
      <c r="C10" s="430"/>
      <c r="D10" s="361" t="str">
        <f ca="1">'Reconciliation report'!$D$790</f>
        <v/>
      </c>
      <c r="E10" s="122" t="str">
        <f>Guidance!B287</f>
        <v>Guidance is not required for this question.</v>
      </c>
      <c r="F10" s="227"/>
    </row>
    <row r="11" spans="1:7" ht="93" customHeight="1">
      <c r="A11" s="27" t="s">
        <v>1229</v>
      </c>
      <c r="B11" s="121" t="str">
        <f>Questions!$C$544</f>
        <v xml:space="preserve">
No answer required
Maturity date narrative
</v>
      </c>
      <c r="C11" s="522"/>
      <c r="D11" s="361" t="str">
        <f ca="1">'Reconciliation report'!$D$791</f>
        <v/>
      </c>
      <c r="E11" s="122" t="str">
        <f>Guidance!$B$197</f>
        <v xml:space="preserve">
If the answer to the maturity type question above is 'Other', describe the maturity date (for example, what drives the maturity).
</v>
      </c>
      <c r="F11" s="227"/>
    </row>
    <row r="12" spans="1:7" ht="108.65" customHeight="1">
      <c r="A12" s="27" t="s">
        <v>1231</v>
      </c>
      <c r="B12" s="121" t="str">
        <f>Questions!$C$545</f>
        <v xml:space="preserve">
No answer required
Value ascribed (£)
</v>
      </c>
      <c r="C12" s="423"/>
      <c r="D12" s="361" t="str">
        <f ca="1">'Reconciliation report'!$D$792</f>
        <v/>
      </c>
      <c r="E12" s="122" t="str">
        <f>Guidance!$B$198</f>
        <v xml:space="preserve">
The amount expected to be realisable from the contingent asset. This can be in terms of 'equal to or at least'. This should take into account of the scenarios the contingent asset is intended to address. For example, if the security is triggered on an employer's insolvency, this is the amount expected to be recovered in that scenario.
</v>
      </c>
      <c r="F12" s="227"/>
    </row>
    <row r="13" spans="1:7" ht="78" customHeight="1" thickBot="1">
      <c r="A13" s="27" t="s">
        <v>1233</v>
      </c>
      <c r="B13" s="121" t="str">
        <f>Questions!$C$546</f>
        <v xml:space="preserve">
No answer required
Date of valuation
</v>
      </c>
      <c r="C13" s="432"/>
      <c r="D13" s="361" t="str">
        <f ca="1">'Reconciliation report'!$D$793</f>
        <v/>
      </c>
      <c r="E13" s="122" t="str">
        <f>Guidance!$B$199</f>
        <v xml:space="preserve">
The date as at which the contingent asset was valued.
</v>
      </c>
      <c r="F13" s="227"/>
    </row>
    <row r="14" spans="1:7" ht="171" customHeight="1" thickBot="1">
      <c r="A14" s="27" t="s">
        <v>1235</v>
      </c>
      <c r="B14" s="140" t="str">
        <f>Questions!$C$547</f>
        <v xml:space="preserve">
No answer required
Value cap
</v>
      </c>
      <c r="C14" s="343"/>
      <c r="D14" s="372" t="str">
        <f ca="1">'Reconciliation report'!$D$794</f>
        <v/>
      </c>
      <c r="E14" s="122" t="str">
        <f>Guidance!$B$200</f>
        <v xml:space="preserve">
The maximum amount payable to the scheme pursuant to the terms of the contingent asset agreement.
</v>
      </c>
      <c r="F14" s="227"/>
    </row>
    <row r="15" spans="1:7" ht="94.5" customHeight="1">
      <c r="A15" s="27" t="s">
        <v>1237</v>
      </c>
      <c r="B15" s="118" t="str">
        <f>Questions!$C$548</f>
        <v xml:space="preserve">
No answer required
Narrative regarding value cap
</v>
      </c>
      <c r="C15" s="517"/>
      <c r="D15" s="361" t="str">
        <f ca="1">'Reconciliation report'!$D$795</f>
        <v/>
      </c>
      <c r="E15" s="122" t="str">
        <f>Guidance!$B$201</f>
        <v xml:space="preserve">
If the answer to the value cap question above is 'Other', describe the value cap.
</v>
      </c>
      <c r="F15" s="227"/>
    </row>
    <row r="16" spans="1:7" ht="78" customHeight="1" thickBot="1">
      <c r="A16" s="334" t="s">
        <v>1239</v>
      </c>
      <c r="B16" s="125" t="str">
        <f>Questions!$C$549</f>
        <v xml:space="preserve">
No answer required
Fixed cap amount (£)
</v>
      </c>
      <c r="C16" s="417"/>
      <c r="D16" s="362" t="str">
        <f ca="1">'Reconciliation report'!$D$796</f>
        <v/>
      </c>
      <c r="E16" s="126" t="str">
        <f>Guidance!$B$287</f>
        <v>Guidance is not required for this question.</v>
      </c>
      <c r="F16" s="309"/>
    </row>
    <row r="17" spans="1:13" s="143" customFormat="1" ht="20.149999999999999" customHeight="1" thickBot="1">
      <c r="A17" s="69"/>
      <c r="B17" s="69"/>
      <c r="C17" s="69" t="s">
        <v>23</v>
      </c>
      <c r="D17" s="68"/>
      <c r="E17" s="68"/>
      <c r="F17" s="68"/>
      <c r="G17" s="32"/>
      <c r="H17" s="32"/>
      <c r="I17" s="32"/>
      <c r="J17" s="32"/>
      <c r="K17" s="32"/>
      <c r="L17" s="32"/>
      <c r="M17" s="32"/>
    </row>
    <row r="18" spans="1:13" s="144" customFormat="1" ht="50.15" customHeight="1" thickBot="1">
      <c r="A18" s="755" t="s">
        <v>785</v>
      </c>
      <c r="B18" s="755"/>
      <c r="C18" s="57"/>
      <c r="D18" s="57"/>
      <c r="E18" s="57"/>
      <c r="F18" s="57"/>
      <c r="G18" s="21"/>
      <c r="H18" s="21"/>
      <c r="I18" s="21"/>
      <c r="J18" s="21"/>
      <c r="K18" s="21"/>
      <c r="L18" s="21"/>
      <c r="M18" s="21"/>
    </row>
    <row r="19" spans="1:13" s="47" customFormat="1" ht="36" customHeight="1" thickTop="1" thickBot="1">
      <c r="A19" s="8" t="s">
        <v>89</v>
      </c>
      <c r="B19" s="8" t="s">
        <v>90</v>
      </c>
      <c r="C19" s="8" t="s">
        <v>91</v>
      </c>
      <c r="D19" s="8" t="s">
        <v>92</v>
      </c>
      <c r="E19" s="199" t="s">
        <v>104</v>
      </c>
      <c r="F19" s="199" t="s">
        <v>93</v>
      </c>
      <c r="G19" s="17"/>
    </row>
    <row r="20" spans="1:13" ht="78" customHeight="1" thickTop="1" thickBot="1">
      <c r="A20" s="27" t="s">
        <v>1241</v>
      </c>
      <c r="B20" s="121" t="str">
        <f>Questions!$C$550</f>
        <v xml:space="preserve">
No answer required
Participating employer insolvency
</v>
      </c>
      <c r="C20" s="187"/>
      <c r="D20" s="372" t="str">
        <f ca="1">'Reconciliation report'!$D$797</f>
        <v/>
      </c>
      <c r="E20" s="122" t="str">
        <f>Guidance!$B$202</f>
        <v xml:space="preserve">
If insolvency of a participating employer is a circumstance in which the trustees may seek payment under the terms of the contingent asset agreement.
</v>
      </c>
      <c r="F20" s="227"/>
    </row>
    <row r="21" spans="1:13" ht="78" customHeight="1" thickBot="1">
      <c r="A21" s="27" t="s">
        <v>1243</v>
      </c>
      <c r="B21" s="121" t="str">
        <f>Questions!$C$551</f>
        <v xml:space="preserve">
No answer required
Insolvency of associated company
</v>
      </c>
      <c r="C21" s="343"/>
      <c r="D21" s="372" t="str">
        <f ca="1">'Reconciliation report'!$D$798</f>
        <v/>
      </c>
      <c r="E21" s="122" t="str">
        <f>Guidance!$B$203</f>
        <v xml:space="preserve">
If insolvency of an associated company is a circumstance in which the trustees may seek payment under the terms of the contingent asset agreement.
</v>
      </c>
      <c r="F21" s="227"/>
    </row>
    <row r="22" spans="1:13" ht="78" customHeight="1" thickBot="1">
      <c r="A22" s="27" t="s">
        <v>1245</v>
      </c>
      <c r="B22" s="121" t="str">
        <f>Questions!$C$552</f>
        <v xml:space="preserve">
No answer required
Non payment of contributions
</v>
      </c>
      <c r="C22" s="343"/>
      <c r="D22" s="372" t="str">
        <f ca="1">'Reconciliation report'!$D$799</f>
        <v/>
      </c>
      <c r="E22" s="122" t="str">
        <f>Guidance!$B$204</f>
        <v xml:space="preserve">
If non-payment of contributions is a circumstance in which the trustees may seek payment under the terms of the contingent asset agreement.
</v>
      </c>
      <c r="F22" s="227"/>
    </row>
    <row r="23" spans="1:13" ht="78" customHeight="1" thickBot="1">
      <c r="A23" s="27" t="s">
        <v>1247</v>
      </c>
      <c r="B23" s="121" t="str">
        <f>Questions!$C$553</f>
        <v xml:space="preserve">
No answer required
Crystallisation of investment risk
</v>
      </c>
      <c r="C23" s="343"/>
      <c r="D23" s="372" t="str">
        <f ca="1">'Reconciliation report'!$D$800</f>
        <v/>
      </c>
      <c r="E23" s="122" t="str">
        <f>Guidance!$B$205</f>
        <v xml:space="preserve">
If crystallisation of investment risk is a circumstance in which the trustees may seek payment under the terms of the contingent asset agreement.
</v>
      </c>
      <c r="F23" s="227"/>
    </row>
    <row r="24" spans="1:13" ht="78" customHeight="1" thickBot="1">
      <c r="A24" s="27" t="s">
        <v>1249</v>
      </c>
      <c r="B24" s="121" t="str">
        <f>Questions!$C$554</f>
        <v xml:space="preserve">
No answer required
Other
</v>
      </c>
      <c r="C24" s="343"/>
      <c r="D24" s="372" t="str">
        <f ca="1">'Reconciliation report'!$D$801</f>
        <v/>
      </c>
      <c r="E24" s="122" t="str">
        <f>Guidance!$B$206</f>
        <v xml:space="preserve">
If there are other circumstances in which the trustees may seek payment under the terms of the contingent asset agreement.
</v>
      </c>
      <c r="F24" s="227"/>
    </row>
    <row r="25" spans="1:13" ht="93" customHeight="1">
      <c r="A25" s="27" t="s">
        <v>1251</v>
      </c>
      <c r="B25" s="121" t="str">
        <f>Questions!$C$555</f>
        <v xml:space="preserve">
No answer required
Narrative regarding triggers for access to value
</v>
      </c>
      <c r="C25" s="523"/>
      <c r="D25" s="361" t="str">
        <f ca="1">'Reconciliation report'!$D$802</f>
        <v/>
      </c>
      <c r="E25" s="122" t="str">
        <f>Guidance!$B$207</f>
        <v xml:space="preserve">
Specific description of the 'other' circumstances in which the trustees may seek payment under the terms of the contingent asset agreement.
</v>
      </c>
      <c r="F25" s="227"/>
    </row>
    <row r="26" spans="1:13" ht="78" customHeight="1" thickBot="1">
      <c r="A26" s="246" t="s">
        <v>1253</v>
      </c>
      <c r="B26" s="125" t="str">
        <f>Questions!$C$556</f>
        <v xml:space="preserve">
No answer required
Triggers for termination
</v>
      </c>
      <c r="C26" s="379"/>
      <c r="D26" s="362" t="str">
        <f ca="1">'Reconciliation report'!$D$803</f>
        <v/>
      </c>
      <c r="E26" s="378" t="str">
        <f>Guidance!$B$208</f>
        <v xml:space="preserve">
The circumstances specified in the contingent asset agreement under which the agreement will terminate or cease to have effect.
</v>
      </c>
      <c r="F26" s="248"/>
    </row>
    <row r="27" spans="1:13" s="143" customFormat="1" ht="20.149999999999999" customHeight="1" thickBot="1">
      <c r="A27" s="69"/>
      <c r="B27" s="69"/>
      <c r="C27" s="69" t="s">
        <v>23</v>
      </c>
      <c r="D27" s="68"/>
      <c r="E27" s="68"/>
      <c r="F27" s="68"/>
      <c r="G27" s="32"/>
      <c r="H27" s="32"/>
      <c r="I27" s="32"/>
      <c r="J27" s="32"/>
      <c r="K27" s="32"/>
      <c r="L27" s="32"/>
      <c r="M27" s="32"/>
    </row>
    <row r="28" spans="1:13" ht="50.15" customHeight="1" thickBot="1">
      <c r="A28" s="750" t="s">
        <v>1254</v>
      </c>
      <c r="B28" s="750"/>
      <c r="C28" s="57"/>
      <c r="D28" s="57"/>
      <c r="E28" s="57"/>
      <c r="F28" s="57"/>
    </row>
    <row r="29" spans="1:13" ht="36" customHeight="1" thickTop="1" thickBot="1">
      <c r="A29" s="8" t="s">
        <v>89</v>
      </c>
      <c r="B29" s="8" t="s">
        <v>90</v>
      </c>
      <c r="C29" s="8" t="s">
        <v>91</v>
      </c>
      <c r="D29" s="8" t="s">
        <v>92</v>
      </c>
      <c r="E29" s="199" t="s">
        <v>104</v>
      </c>
      <c r="F29" s="199" t="s">
        <v>93</v>
      </c>
    </row>
    <row r="30" spans="1:13" ht="78.5" thickTop="1" thickBot="1">
      <c r="A30" s="27" t="s">
        <v>1256</v>
      </c>
      <c r="B30" s="121" t="str">
        <f>Questions!$C$557</f>
        <v xml:space="preserve">
No answer required
What is the type of contingent asset?
</v>
      </c>
      <c r="C30" s="343"/>
      <c r="D30" s="372" t="str">
        <f ca="1">'Reconciliation report'!$D$804</f>
        <v/>
      </c>
      <c r="E30" s="122" t="str">
        <f>Guidance!$B$193</f>
        <v xml:space="preserve">
Any other type of contingent asset that has been provided to the scheme.
</v>
      </c>
      <c r="F30" s="227"/>
    </row>
    <row r="31" spans="1:13" ht="93.65" customHeight="1" thickBot="1">
      <c r="A31" s="27" t="s">
        <v>1259</v>
      </c>
      <c r="B31" s="333" t="str">
        <f>Questions!$C$558</f>
        <v xml:space="preserve">
No answer required
Provide specific details of the contingent asset
</v>
      </c>
      <c r="C31" s="521"/>
      <c r="D31" s="361" t="str">
        <f ca="1">'Reconciliation report'!$D$805</f>
        <v/>
      </c>
      <c r="E31" s="148" t="str">
        <f>Guidance!$B$194</f>
        <v xml:space="preserve">
Specific description of the contingent asset provided to the scheme, including the name of the entity providing it.
</v>
      </c>
      <c r="F31" s="247"/>
    </row>
    <row r="32" spans="1:13" ht="124.5" customHeight="1" thickBot="1">
      <c r="A32" s="27" t="s">
        <v>1261</v>
      </c>
      <c r="B32" s="121" t="str">
        <f>Questions!$C$559</f>
        <v xml:space="preserve">
No answer required
Maturity type
</v>
      </c>
      <c r="C32" s="343"/>
      <c r="D32" s="372" t="str">
        <f ca="1">'Reconciliation report'!$D$806</f>
        <v/>
      </c>
      <c r="E32" s="122" t="str">
        <f>Guidance!$B$195</f>
        <v xml:space="preserve">
Multiple choice answer setting out details regarding the maturity date of the asset. Select 'Evergreen' when there is no fixed expiry date. Otherwise, provide the date of maturity, which is when the scheme's legal access to the contingent asset or the term of the contingent asset agreement is due to end. If neither of these options apply, select 'Other'.
</v>
      </c>
      <c r="F32" s="227"/>
    </row>
    <row r="33" spans="1:13" ht="93" customHeight="1">
      <c r="A33" s="27" t="s">
        <v>1263</v>
      </c>
      <c r="B33" s="121" t="str">
        <f>Questions!$C$560</f>
        <v xml:space="preserve">
No answer required
Date of Maturity
</v>
      </c>
      <c r="C33" s="430"/>
      <c r="D33" s="361" t="str">
        <f ca="1">'Reconciliation report'!$D$807</f>
        <v/>
      </c>
      <c r="E33" s="122" t="str">
        <f>Guidance!B287</f>
        <v>Guidance is not required for this question.</v>
      </c>
      <c r="F33" s="227"/>
    </row>
    <row r="34" spans="1:13" ht="93" customHeight="1">
      <c r="A34" s="27" t="s">
        <v>1265</v>
      </c>
      <c r="B34" s="121" t="str">
        <f>Questions!$C$561</f>
        <v xml:space="preserve">
No answer required
Maturity date narrative
</v>
      </c>
      <c r="C34" s="522"/>
      <c r="D34" s="361" t="str">
        <f ca="1">'Reconciliation report'!$D$808</f>
        <v/>
      </c>
      <c r="E34" s="122" t="str">
        <f>Guidance!$B$197</f>
        <v xml:space="preserve">
If the answer to the maturity type question above is 'Other', describe the maturity date (for example, what drives the maturity).
</v>
      </c>
      <c r="F34" s="227"/>
    </row>
    <row r="35" spans="1:13" ht="108.65" customHeight="1">
      <c r="A35" s="27" t="s">
        <v>1267</v>
      </c>
      <c r="B35" s="121" t="str">
        <f>Questions!$C$562</f>
        <v xml:space="preserve">
No answer required
Value ascribed (£)
</v>
      </c>
      <c r="C35" s="423"/>
      <c r="D35" s="361" t="str">
        <f ca="1">'Reconciliation report'!$D$809</f>
        <v/>
      </c>
      <c r="E35" s="122" t="str">
        <f>Guidance!$B$198</f>
        <v xml:space="preserve">
The amount expected to be realisable from the contingent asset. This can be in terms of 'equal to or at least'. This should take into account of the scenarios the contingent asset is intended to address. For example, if the security is triggered on an employer's insolvency, this is the amount expected to be recovered in that scenario.
</v>
      </c>
      <c r="F35" s="227"/>
    </row>
    <row r="36" spans="1:13" ht="78" thickBot="1">
      <c r="A36" s="27" t="s">
        <v>1269</v>
      </c>
      <c r="B36" s="121" t="str">
        <f>Questions!$C$563</f>
        <v xml:space="preserve">
No answer required
Date of valuation
</v>
      </c>
      <c r="C36" s="432"/>
      <c r="D36" s="361" t="str">
        <f ca="1">'Reconciliation report'!$D$810</f>
        <v/>
      </c>
      <c r="E36" s="122" t="str">
        <f>Guidance!$B$199</f>
        <v xml:space="preserve">
The date as at which the contingent asset was valued.
</v>
      </c>
      <c r="F36" s="227"/>
    </row>
    <row r="37" spans="1:13" ht="171" customHeight="1" thickBot="1">
      <c r="A37" s="27" t="s">
        <v>1271</v>
      </c>
      <c r="B37" s="121" t="str">
        <f>Questions!$C$564</f>
        <v xml:space="preserve">
No answer required
Value cap
</v>
      </c>
      <c r="C37" s="343"/>
      <c r="D37" s="372" t="str">
        <f ca="1">'Reconciliation report'!$D$811</f>
        <v/>
      </c>
      <c r="E37" s="122" t="str">
        <f>Guidance!$B$200</f>
        <v xml:space="preserve">
The maximum amount payable to the scheme pursuant to the terms of the contingent asset agreement.
</v>
      </c>
      <c r="F37" s="227"/>
    </row>
    <row r="38" spans="1:13" ht="108.65" customHeight="1">
      <c r="A38" s="27" t="s">
        <v>1273</v>
      </c>
      <c r="B38" s="121" t="str">
        <f>Questions!$C$565</f>
        <v xml:space="preserve">
No answer required
Narrative regarding value cap
</v>
      </c>
      <c r="C38" s="524"/>
      <c r="D38" s="361" t="str">
        <f ca="1">'Reconciliation report'!$D$812</f>
        <v/>
      </c>
      <c r="E38" s="122" t="str">
        <f>Guidance!$B$201</f>
        <v xml:space="preserve">
If the answer to the value cap question above is 'Other', describe the value cap.
</v>
      </c>
      <c r="F38" s="227"/>
    </row>
    <row r="39" spans="1:13" ht="78" customHeight="1" thickBot="1">
      <c r="A39" s="323" t="s">
        <v>1275</v>
      </c>
      <c r="B39" s="125" t="str">
        <f>Questions!$C$566</f>
        <v xml:space="preserve">
No answer required
Fixed cap amount (£)
</v>
      </c>
      <c r="C39" s="418"/>
      <c r="D39" s="362" t="str">
        <f ca="1">'Reconciliation report'!$D$813</f>
        <v/>
      </c>
      <c r="E39" s="126" t="str">
        <f>Guidance!$B$287</f>
        <v>Guidance is not required for this question.</v>
      </c>
      <c r="F39" s="309"/>
    </row>
    <row r="40" spans="1:13" s="143" customFormat="1" ht="20.149999999999999" customHeight="1" thickBot="1">
      <c r="A40" s="69"/>
      <c r="B40" s="69"/>
      <c r="C40" s="69" t="s">
        <v>23</v>
      </c>
      <c r="D40" s="68"/>
      <c r="E40" s="68"/>
      <c r="F40" s="68"/>
      <c r="G40" s="32"/>
      <c r="H40" s="32"/>
      <c r="I40" s="32"/>
      <c r="J40" s="32"/>
      <c r="K40" s="32"/>
      <c r="L40" s="32"/>
      <c r="M40" s="32"/>
    </row>
    <row r="41" spans="1:13" s="144" customFormat="1" ht="50.15" customHeight="1" thickBot="1">
      <c r="A41" s="755" t="s">
        <v>847</v>
      </c>
      <c r="B41" s="755"/>
      <c r="C41" s="57"/>
      <c r="D41" s="57"/>
      <c r="E41" s="57"/>
      <c r="F41" s="57"/>
      <c r="G41" s="21"/>
      <c r="H41" s="21"/>
      <c r="I41" s="21"/>
      <c r="J41" s="21"/>
      <c r="K41" s="21"/>
      <c r="L41" s="21"/>
      <c r="M41" s="21"/>
    </row>
    <row r="42" spans="1:13" s="47" customFormat="1" ht="36" customHeight="1" thickTop="1" thickBot="1">
      <c r="A42" s="8" t="s">
        <v>89</v>
      </c>
      <c r="B42" s="8" t="s">
        <v>90</v>
      </c>
      <c r="C42" s="8" t="s">
        <v>91</v>
      </c>
      <c r="D42" s="8" t="s">
        <v>92</v>
      </c>
      <c r="E42" s="199" t="s">
        <v>104</v>
      </c>
      <c r="F42" s="199" t="s">
        <v>93</v>
      </c>
      <c r="G42" s="17"/>
    </row>
    <row r="43" spans="1:13" ht="78.650000000000006" customHeight="1" thickTop="1" thickBot="1">
      <c r="A43" s="27" t="s">
        <v>1277</v>
      </c>
      <c r="B43" s="121" t="str">
        <f>Questions!$C$567</f>
        <v xml:space="preserve">
No answer required
Participating employer insolvency
</v>
      </c>
      <c r="C43" s="187"/>
      <c r="D43" s="372" t="str">
        <f ca="1">'Reconciliation report'!$D$814</f>
        <v/>
      </c>
      <c r="E43" s="122" t="str">
        <f>Guidance!$B$202</f>
        <v xml:space="preserve">
If insolvency of a participating employer is a circumstance in which the trustees may seek payment under the terms of the contingent asset agreement.
</v>
      </c>
      <c r="F43" s="227"/>
    </row>
    <row r="44" spans="1:13" ht="93.65" customHeight="1" thickBot="1">
      <c r="A44" s="27" t="s">
        <v>1279</v>
      </c>
      <c r="B44" s="121" t="str">
        <f>Questions!$C$568</f>
        <v xml:space="preserve">
No answer required
Insolvency of associated company
</v>
      </c>
      <c r="C44" s="343"/>
      <c r="D44" s="372" t="str">
        <f ca="1">'Reconciliation report'!$D$815</f>
        <v/>
      </c>
      <c r="E44" s="122" t="str">
        <f>Guidance!$B$203</f>
        <v xml:space="preserve">
If insolvency of an associated company is a circumstance in which the trustees may seek payment under the terms of the contingent asset agreement.
</v>
      </c>
      <c r="F44" s="227"/>
    </row>
    <row r="45" spans="1:13" ht="78" customHeight="1" thickBot="1">
      <c r="A45" s="27" t="s">
        <v>1281</v>
      </c>
      <c r="B45" s="121" t="str">
        <f>Questions!$C$569</f>
        <v xml:space="preserve">
No answer required
Non payment of contributions
</v>
      </c>
      <c r="C45" s="343"/>
      <c r="D45" s="372" t="str">
        <f ca="1">'Reconciliation report'!$D$816</f>
        <v/>
      </c>
      <c r="E45" s="122" t="str">
        <f>Guidance!$B$204</f>
        <v xml:space="preserve">
If non-payment of contributions is a circumstance in which the trustees may seek payment under the terms of the contingent asset agreement.
</v>
      </c>
      <c r="F45" s="227"/>
    </row>
    <row r="46" spans="1:13" ht="78" customHeight="1" thickBot="1">
      <c r="A46" s="27" t="s">
        <v>1283</v>
      </c>
      <c r="B46" s="121" t="str">
        <f>Questions!$C$570</f>
        <v xml:space="preserve">
No answer required
Crystallisation of investment risk
</v>
      </c>
      <c r="C46" s="343"/>
      <c r="D46" s="372" t="str">
        <f ca="1">'Reconciliation report'!$D$817</f>
        <v/>
      </c>
      <c r="E46" s="122" t="str">
        <f>Guidance!$B$205</f>
        <v xml:space="preserve">
If crystallisation of investment risk is a circumstance in which the trustees may seek payment under the terms of the contingent asset agreement.
</v>
      </c>
      <c r="F46" s="227"/>
    </row>
    <row r="47" spans="1:13" ht="78" customHeight="1" thickBot="1">
      <c r="A47" s="27" t="s">
        <v>1285</v>
      </c>
      <c r="B47" s="121" t="str">
        <f>Questions!$C$571</f>
        <v xml:space="preserve">
No answer required
Other
</v>
      </c>
      <c r="C47" s="343"/>
      <c r="D47" s="372" t="str">
        <f ca="1">'Reconciliation report'!$D$818</f>
        <v/>
      </c>
      <c r="E47" s="122" t="str">
        <f>Guidance!$B$206</f>
        <v xml:space="preserve">
If there are other circumstances in which the trustees may seek payment under the terms of the contingent asset agreement.
</v>
      </c>
      <c r="F47" s="227"/>
    </row>
    <row r="48" spans="1:13" ht="93" customHeight="1">
      <c r="A48" s="27" t="s">
        <v>1287</v>
      </c>
      <c r="B48" s="121" t="str">
        <f>Questions!$C$572</f>
        <v xml:space="preserve">
No answer required
Narrative regarding triggers for access to value
</v>
      </c>
      <c r="C48" s="523"/>
      <c r="D48" s="361" t="str">
        <f ca="1">'Reconciliation report'!$D$819</f>
        <v/>
      </c>
      <c r="E48" s="122" t="str">
        <f>Guidance!$B$207</f>
        <v xml:space="preserve">
Specific description of the 'other' circumstances in which the trustees may seek payment under the terms of the contingent asset agreement.
</v>
      </c>
      <c r="F48" s="227"/>
    </row>
    <row r="49" spans="1:13" ht="78" customHeight="1" thickBot="1">
      <c r="A49" s="246" t="s">
        <v>1289</v>
      </c>
      <c r="B49" s="125" t="str">
        <f>Questions!$C$573</f>
        <v xml:space="preserve">
No answer required
Triggers for termination
</v>
      </c>
      <c r="C49" s="379"/>
      <c r="D49" s="362" t="str">
        <f ca="1">'Reconciliation report'!$D$820</f>
        <v/>
      </c>
      <c r="E49" s="378" t="str">
        <f>Guidance!$B$208</f>
        <v xml:space="preserve">
The circumstances specified in the contingent asset agreement under which the agreement will terminate or cease to have effect.
</v>
      </c>
      <c r="F49" s="248"/>
    </row>
    <row r="50" spans="1:13" ht="20.149999999999999" customHeight="1" thickBot="1">
      <c r="A50" s="69"/>
      <c r="B50" s="69"/>
      <c r="C50" s="69" t="s">
        <v>23</v>
      </c>
      <c r="D50" s="68"/>
      <c r="E50" s="68"/>
      <c r="F50" s="68"/>
    </row>
    <row r="51" spans="1:13" ht="50.15" customHeight="1" thickBot="1">
      <c r="A51" s="755" t="s">
        <v>1290</v>
      </c>
      <c r="B51" s="755"/>
      <c r="C51" s="57"/>
      <c r="D51" s="57"/>
      <c r="E51" s="57"/>
      <c r="F51" s="57"/>
    </row>
    <row r="52" spans="1:13" ht="36" customHeight="1" thickTop="1" thickBot="1">
      <c r="A52" s="8" t="s">
        <v>89</v>
      </c>
      <c r="B52" s="8" t="s">
        <v>90</v>
      </c>
      <c r="C52" s="8" t="s">
        <v>91</v>
      </c>
      <c r="D52" s="8" t="s">
        <v>92</v>
      </c>
      <c r="E52" s="199" t="s">
        <v>104</v>
      </c>
      <c r="F52" s="199" t="s">
        <v>93</v>
      </c>
    </row>
    <row r="53" spans="1:13" ht="126" customHeight="1" thickTop="1" thickBot="1">
      <c r="A53" s="27" t="s">
        <v>1292</v>
      </c>
      <c r="B53" s="121" t="str">
        <f>Questions!$C$574</f>
        <v xml:space="preserve">
No answer required
What is the type of contingent asset?
</v>
      </c>
      <c r="C53" s="343"/>
      <c r="D53" s="372" t="str">
        <f ca="1">'Reconciliation report'!D821</f>
        <v/>
      </c>
      <c r="E53" s="122" t="str">
        <f>Guidance!$B$193</f>
        <v xml:space="preserve">
Any other type of contingent asset that has been provided to the scheme.
</v>
      </c>
      <c r="F53" s="227"/>
    </row>
    <row r="54" spans="1:13" ht="93.65" customHeight="1" thickBot="1">
      <c r="A54" s="27" t="s">
        <v>1295</v>
      </c>
      <c r="B54" s="147" t="str">
        <f>Questions!$C$575</f>
        <v xml:space="preserve">
No answer required
Provide specific details of the contingent asset
</v>
      </c>
      <c r="C54" s="521"/>
      <c r="D54" s="361" t="str">
        <f ca="1">'Reconciliation report'!D822</f>
        <v/>
      </c>
      <c r="E54" s="148" t="str">
        <f>Guidance!$B$194</f>
        <v xml:space="preserve">
Specific description of the contingent asset provided to the scheme, including the name of the entity providing it.
</v>
      </c>
      <c r="F54" s="247"/>
    </row>
    <row r="55" spans="1:13" ht="124.5" customHeight="1" thickBot="1">
      <c r="A55" s="27" t="s">
        <v>1297</v>
      </c>
      <c r="B55" s="121" t="str">
        <f>Questions!$C$576</f>
        <v xml:space="preserve">
No answer required
Maturity type
</v>
      </c>
      <c r="C55" s="343"/>
      <c r="D55" s="372" t="str">
        <f ca="1">'Reconciliation report'!D823</f>
        <v/>
      </c>
      <c r="E55" s="122" t="str">
        <f>Guidance!$B$195</f>
        <v xml:space="preserve">
Multiple choice answer setting out details regarding the maturity date of the asset. Select 'Evergreen' when there is no fixed expiry date. Otherwise, provide the date of maturity, which is when the scheme's legal access to the contingent asset or the term of the contingent asset agreement is due to end. If neither of these options apply, select 'Other'.
</v>
      </c>
      <c r="F55" s="227"/>
    </row>
    <row r="56" spans="1:13" ht="93" customHeight="1">
      <c r="A56" s="27" t="s">
        <v>1299</v>
      </c>
      <c r="B56" s="121" t="str">
        <f>Questions!$C$577</f>
        <v xml:space="preserve">
No answer required
Date of Maturity
</v>
      </c>
      <c r="C56" s="430"/>
      <c r="D56" s="361" t="str">
        <f ca="1">'Reconciliation report'!D824</f>
        <v/>
      </c>
      <c r="E56" s="122" t="str">
        <f>Guidance!B287</f>
        <v>Guidance is not required for this question.</v>
      </c>
      <c r="F56" s="227"/>
    </row>
    <row r="57" spans="1:13" ht="93" customHeight="1">
      <c r="A57" s="27" t="s">
        <v>1301</v>
      </c>
      <c r="B57" s="121" t="str">
        <f>Questions!$C$578</f>
        <v xml:space="preserve">
No answer required
Maturity date narrative
</v>
      </c>
      <c r="C57" s="522"/>
      <c r="D57" s="361" t="str">
        <f ca="1">'Reconciliation report'!D825</f>
        <v/>
      </c>
      <c r="E57" s="122" t="str">
        <f>Guidance!$B$197</f>
        <v xml:space="preserve">
If the answer to the maturity type question above is 'Other', describe the maturity date (for example, what drives the maturity).
</v>
      </c>
      <c r="F57" s="227"/>
    </row>
    <row r="58" spans="1:13" ht="108.65" customHeight="1">
      <c r="A58" s="27" t="s">
        <v>1303</v>
      </c>
      <c r="B58" s="121" t="str">
        <f>Questions!$C$579</f>
        <v xml:space="preserve">
No answer required
Value ascribed (£)
</v>
      </c>
      <c r="C58" s="423"/>
      <c r="D58" s="361" t="str">
        <f ca="1">'Reconciliation report'!D826</f>
        <v/>
      </c>
      <c r="E58" s="122" t="str">
        <f>Guidance!$B$198</f>
        <v xml:space="preserve">
The amount expected to be realisable from the contingent asset. This can be in terms of 'equal to or at least'. This should take into account of the scenarios the contingent asset is intended to address. For example, if the security is triggered on an employer's insolvency, this is the amount expected to be recovered in that scenario.
</v>
      </c>
      <c r="F58" s="227"/>
    </row>
    <row r="59" spans="1:13" ht="78" thickBot="1">
      <c r="A59" s="27" t="s">
        <v>1305</v>
      </c>
      <c r="B59" s="121" t="str">
        <f>Questions!$C$580</f>
        <v xml:space="preserve">
No answer required
Date of valuation
</v>
      </c>
      <c r="C59" s="432"/>
      <c r="D59" s="361" t="str">
        <f ca="1">'Reconciliation report'!D827</f>
        <v/>
      </c>
      <c r="E59" s="122" t="str">
        <f>Guidance!$B$199</f>
        <v xml:space="preserve">
The date as at which the contingent asset was valued.
</v>
      </c>
      <c r="F59" s="227"/>
    </row>
    <row r="60" spans="1:13" ht="78" customHeight="1" thickBot="1">
      <c r="A60" s="27" t="s">
        <v>1307</v>
      </c>
      <c r="B60" s="121" t="str">
        <f>Questions!$C$581</f>
        <v xml:space="preserve">
No answer required
Value cap
</v>
      </c>
      <c r="C60" s="343"/>
      <c r="D60" s="372" t="str">
        <f ca="1">'Reconciliation report'!D828</f>
        <v/>
      </c>
      <c r="E60" s="122" t="str">
        <f>Guidance!$B$200</f>
        <v xml:space="preserve">
The maximum amount payable to the scheme pursuant to the terms of the contingent asset agreement.
</v>
      </c>
      <c r="F60" s="227"/>
    </row>
    <row r="61" spans="1:13" ht="108.65" customHeight="1">
      <c r="A61" s="27" t="s">
        <v>1309</v>
      </c>
      <c r="B61" s="118" t="str">
        <f>Questions!$C$582</f>
        <v xml:space="preserve">
No answer required
Narrative regarding value cap
</v>
      </c>
      <c r="C61" s="517"/>
      <c r="D61" s="361" t="str">
        <f ca="1">'Reconciliation report'!D829</f>
        <v/>
      </c>
      <c r="E61" s="122" t="str">
        <f>Guidance!$B$201</f>
        <v xml:space="preserve">
If the answer to the value cap question above is 'Other', describe the value cap.
</v>
      </c>
      <c r="F61" s="227"/>
    </row>
    <row r="62" spans="1:13" ht="78" customHeight="1" thickBot="1">
      <c r="A62" s="323" t="s">
        <v>1311</v>
      </c>
      <c r="B62" s="125" t="str">
        <f>Questions!$C$583</f>
        <v xml:space="preserve">
No answer required
Fixed cap amount (£)
</v>
      </c>
      <c r="C62" s="417"/>
      <c r="D62" s="362" t="str">
        <f ca="1">'Reconciliation report'!D830</f>
        <v/>
      </c>
      <c r="E62" s="126" t="str">
        <f>Guidance!$B$287</f>
        <v>Guidance is not required for this question.</v>
      </c>
      <c r="F62" s="309"/>
    </row>
    <row r="63" spans="1:13" s="143" customFormat="1" ht="20.149999999999999" customHeight="1" thickBot="1">
      <c r="A63" s="69"/>
      <c r="B63" s="69"/>
      <c r="C63" s="69" t="s">
        <v>23</v>
      </c>
      <c r="D63" s="68"/>
      <c r="E63" s="68"/>
      <c r="F63" s="68"/>
      <c r="G63" s="32"/>
      <c r="H63" s="32"/>
      <c r="I63" s="32"/>
      <c r="J63" s="32"/>
      <c r="K63" s="32"/>
      <c r="L63" s="32"/>
      <c r="M63" s="32"/>
    </row>
    <row r="64" spans="1:13" s="144" customFormat="1" ht="50.15" customHeight="1" thickBot="1">
      <c r="A64" s="755" t="s">
        <v>906</v>
      </c>
      <c r="B64" s="755"/>
      <c r="C64" s="57"/>
      <c r="D64" s="57"/>
      <c r="E64" s="57"/>
      <c r="F64" s="57"/>
      <c r="G64" s="21"/>
      <c r="H64" s="21"/>
      <c r="I64" s="21"/>
      <c r="J64" s="21"/>
      <c r="K64" s="21"/>
      <c r="L64" s="21"/>
      <c r="M64" s="21"/>
    </row>
    <row r="65" spans="1:7" s="47" customFormat="1" ht="36" customHeight="1" thickTop="1" thickBot="1">
      <c r="A65" s="8" t="s">
        <v>89</v>
      </c>
      <c r="B65" s="8" t="s">
        <v>90</v>
      </c>
      <c r="C65" s="8" t="s">
        <v>91</v>
      </c>
      <c r="D65" s="8" t="s">
        <v>92</v>
      </c>
      <c r="E65" s="199" t="s">
        <v>104</v>
      </c>
      <c r="F65" s="199" t="s">
        <v>93</v>
      </c>
      <c r="G65" s="17"/>
    </row>
    <row r="66" spans="1:7" ht="78.650000000000006" customHeight="1" thickTop="1" thickBot="1">
      <c r="A66" s="27" t="s">
        <v>1313</v>
      </c>
      <c r="B66" s="121" t="str">
        <f>Questions!$C$584</f>
        <v xml:space="preserve">
No answer required
Participating employer insolvency
</v>
      </c>
      <c r="C66" s="187"/>
      <c r="D66" s="372" t="str">
        <f ca="1">'Reconciliation report'!D831</f>
        <v/>
      </c>
      <c r="E66" s="122" t="str">
        <f>Guidance!$B$202</f>
        <v xml:space="preserve">
If insolvency of a participating employer is a circumstance in which the trustees may seek payment under the terms of the contingent asset agreement.
</v>
      </c>
      <c r="F66" s="227"/>
    </row>
    <row r="67" spans="1:7" ht="93.65" customHeight="1" thickBot="1">
      <c r="A67" s="27" t="s">
        <v>1315</v>
      </c>
      <c r="B67" s="121" t="str">
        <f>Questions!$C$585</f>
        <v xml:space="preserve">
No answer required
Insolvency of associated company
</v>
      </c>
      <c r="C67" s="343"/>
      <c r="D67" s="372" t="str">
        <f ca="1">'Reconciliation report'!D832</f>
        <v/>
      </c>
      <c r="E67" s="122" t="str">
        <f>Guidance!$B$203</f>
        <v xml:space="preserve">
If insolvency of an associated company is a circumstance in which the trustees may seek payment under the terms of the contingent asset agreement.
</v>
      </c>
      <c r="F67" s="227"/>
    </row>
    <row r="68" spans="1:7" ht="98.75" customHeight="1" thickBot="1">
      <c r="A68" s="27" t="s">
        <v>1317</v>
      </c>
      <c r="B68" s="121" t="str">
        <f>Questions!$C$586</f>
        <v xml:space="preserve">
No answer required
Non payment of contributions
</v>
      </c>
      <c r="C68" s="343"/>
      <c r="D68" s="372" t="str">
        <f ca="1">'Reconciliation report'!D833</f>
        <v/>
      </c>
      <c r="E68" s="122" t="str">
        <f>Guidance!$B$204</f>
        <v xml:space="preserve">
If non-payment of contributions is a circumstance in which the trustees may seek payment under the terms of the contingent asset agreement.
</v>
      </c>
      <c r="F68" s="227"/>
    </row>
    <row r="69" spans="1:7" ht="99" customHeight="1" thickBot="1">
      <c r="A69" s="27" t="s">
        <v>1319</v>
      </c>
      <c r="B69" s="121" t="str">
        <f>Questions!$C$587</f>
        <v xml:space="preserve">
No answer required
Crystallisation of investment risk
</v>
      </c>
      <c r="C69" s="343"/>
      <c r="D69" s="372" t="str">
        <f ca="1">'Reconciliation report'!D834</f>
        <v/>
      </c>
      <c r="E69" s="122" t="str">
        <f>Guidance!$B$205</f>
        <v xml:space="preserve">
If crystallisation of investment risk is a circumstance in which the trustees may seek payment under the terms of the contingent asset agreement.
</v>
      </c>
      <c r="F69" s="227"/>
    </row>
    <row r="70" spans="1:7" ht="78" customHeight="1" thickBot="1">
      <c r="A70" s="27" t="s">
        <v>1321</v>
      </c>
      <c r="B70" s="121" t="str">
        <f>Questions!$C$588</f>
        <v xml:space="preserve">
No answer required
Other
</v>
      </c>
      <c r="C70" s="343"/>
      <c r="D70" s="372" t="str">
        <f ca="1">'Reconciliation report'!D835</f>
        <v/>
      </c>
      <c r="E70" s="122" t="str">
        <f>Guidance!$B$206</f>
        <v xml:space="preserve">
If there are other circumstances in which the trustees may seek payment under the terms of the contingent asset agreement.
</v>
      </c>
      <c r="F70" s="227"/>
    </row>
    <row r="71" spans="1:7" ht="93" customHeight="1">
      <c r="A71" s="27" t="s">
        <v>1323</v>
      </c>
      <c r="B71" s="121" t="str">
        <f>Questions!$C$589</f>
        <v xml:space="preserve">
No answer required
Narrative regarding triggers for access to value
</v>
      </c>
      <c r="C71" s="523"/>
      <c r="D71" s="361" t="str">
        <f ca="1">'Reconciliation report'!D836</f>
        <v/>
      </c>
      <c r="E71" s="122" t="str">
        <f>Guidance!$B$207</f>
        <v xml:space="preserve">
Specific description of the 'other' circumstances in which the trustees may seek payment under the terms of the contingent asset agreement.
</v>
      </c>
      <c r="F71" s="227"/>
    </row>
    <row r="72" spans="1:7" ht="106.5" customHeight="1" thickBot="1">
      <c r="A72" s="246" t="s">
        <v>1325</v>
      </c>
      <c r="B72" s="125" t="str">
        <f>Questions!$C$590</f>
        <v xml:space="preserve">
No answer required
Triggers for termination
</v>
      </c>
      <c r="C72" s="379"/>
      <c r="D72" s="362" t="str">
        <f ca="1">'Reconciliation report'!D837</f>
        <v/>
      </c>
      <c r="E72" s="378" t="str">
        <f>Guidance!$B$208</f>
        <v xml:space="preserve">
The circumstances specified in the contingent asset agreement under which the agreement will terminate or cease to have effect.
</v>
      </c>
      <c r="F72" s="248"/>
    </row>
    <row r="73" spans="1:7" ht="20.149999999999999" customHeight="1" thickBot="1">
      <c r="A73" s="69"/>
      <c r="B73" s="69"/>
      <c r="C73" s="69" t="s">
        <v>23</v>
      </c>
      <c r="D73" s="68"/>
      <c r="E73" s="68"/>
      <c r="F73" s="68"/>
    </row>
    <row r="74" spans="1:7" ht="50.15" customHeight="1" thickBot="1">
      <c r="A74" s="755" t="s">
        <v>1326</v>
      </c>
      <c r="B74" s="755"/>
      <c r="C74" s="57"/>
      <c r="D74" s="57"/>
      <c r="E74" s="57"/>
      <c r="F74" s="57"/>
    </row>
    <row r="75" spans="1:7" ht="36" customHeight="1" thickTop="1" thickBot="1">
      <c r="A75" s="8" t="s">
        <v>89</v>
      </c>
      <c r="B75" s="8" t="s">
        <v>90</v>
      </c>
      <c r="C75" s="8" t="s">
        <v>91</v>
      </c>
      <c r="D75" s="8" t="s">
        <v>92</v>
      </c>
      <c r="E75" s="199" t="s">
        <v>104</v>
      </c>
      <c r="F75" s="199" t="s">
        <v>93</v>
      </c>
    </row>
    <row r="76" spans="1:7" ht="126" customHeight="1" thickTop="1" thickBot="1">
      <c r="A76" s="27" t="s">
        <v>1328</v>
      </c>
      <c r="B76" s="121" t="str">
        <f>Questions!$C$591</f>
        <v xml:space="preserve">
No answer required
What is the type of contingent asset?
</v>
      </c>
      <c r="C76" s="343"/>
      <c r="D76" s="372" t="str">
        <f ca="1">'Reconciliation report'!D838</f>
        <v/>
      </c>
      <c r="E76" s="122" t="str">
        <f>Guidance!$B$193</f>
        <v xml:space="preserve">
Any other type of contingent asset that has been provided to the scheme.
</v>
      </c>
      <c r="F76" s="227"/>
    </row>
    <row r="77" spans="1:7" ht="93.65" customHeight="1" thickBot="1">
      <c r="A77" s="27" t="s">
        <v>1331</v>
      </c>
      <c r="B77" s="147" t="str">
        <f>Questions!$C$592</f>
        <v xml:space="preserve">
No answer required
Provide specific details of the contingent asset
</v>
      </c>
      <c r="C77" s="521"/>
      <c r="D77" s="361" t="str">
        <f ca="1">'Reconciliation report'!D839</f>
        <v/>
      </c>
      <c r="E77" s="148" t="str">
        <f>Guidance!$B$194</f>
        <v xml:space="preserve">
Specific description of the contingent asset provided to the scheme, including the name of the entity providing it.
</v>
      </c>
      <c r="F77" s="247"/>
    </row>
    <row r="78" spans="1:7" ht="124.5" customHeight="1" thickBot="1">
      <c r="A78" s="27" t="s">
        <v>1333</v>
      </c>
      <c r="B78" s="121" t="str">
        <f>Questions!$C$593</f>
        <v xml:space="preserve">
No answer required
Maturity type
</v>
      </c>
      <c r="C78" s="343"/>
      <c r="D78" s="372" t="str">
        <f ca="1">'Reconciliation report'!D840</f>
        <v/>
      </c>
      <c r="E78" s="122" t="str">
        <f>Guidance!$B$195</f>
        <v xml:space="preserve">
Multiple choice answer setting out details regarding the maturity date of the asset. Select 'Evergreen' when there is no fixed expiry date. Otherwise, provide the date of maturity, which is when the scheme's legal access to the contingent asset or the term of the contingent asset agreement is due to end. If neither of these options apply, select 'Other'.
</v>
      </c>
      <c r="F78" s="227"/>
    </row>
    <row r="79" spans="1:7" ht="93" customHeight="1">
      <c r="A79" s="27" t="s">
        <v>1335</v>
      </c>
      <c r="B79" s="121" t="str">
        <f>Questions!$C$594</f>
        <v xml:space="preserve">
No answer required
Date of Maturity
</v>
      </c>
      <c r="C79" s="430"/>
      <c r="D79" s="361" t="str">
        <f ca="1">'Reconciliation report'!D841</f>
        <v/>
      </c>
      <c r="E79" s="122" t="str">
        <f>Guidance!B287</f>
        <v>Guidance is not required for this question.</v>
      </c>
      <c r="F79" s="227"/>
    </row>
    <row r="80" spans="1:7" ht="93" customHeight="1">
      <c r="A80" s="27" t="s">
        <v>1337</v>
      </c>
      <c r="B80" s="121" t="str">
        <f>Questions!$C$595</f>
        <v xml:space="preserve">
No answer required
Maturity date narrative
</v>
      </c>
      <c r="C80" s="522"/>
      <c r="D80" s="361" t="str">
        <f ca="1">'Reconciliation report'!D842</f>
        <v/>
      </c>
      <c r="E80" s="122" t="str">
        <f>Guidance!$B$197</f>
        <v xml:space="preserve">
If the answer to the maturity type question above is 'Other', describe the maturity date (for example, what drives the maturity).
</v>
      </c>
      <c r="F80" s="227"/>
    </row>
    <row r="81" spans="1:13" ht="108.5">
      <c r="A81" s="27" t="s">
        <v>1339</v>
      </c>
      <c r="B81" s="121" t="str">
        <f>Questions!$C$596</f>
        <v xml:space="preserve">
No answer required
Value ascribed (£)
</v>
      </c>
      <c r="C81" s="423"/>
      <c r="D81" s="361" t="str">
        <f ca="1">'Reconciliation report'!D843</f>
        <v/>
      </c>
      <c r="E81" s="122" t="str">
        <f>Guidance!$B$198</f>
        <v xml:space="preserve">
The amount expected to be realisable from the contingent asset. This can be in terms of 'equal to or at least'. This should take into account of the scenarios the contingent asset is intended to address. For example, if the security is triggered on an employer's insolvency, this is the amount expected to be recovered in that scenario.
</v>
      </c>
      <c r="F81" s="227"/>
    </row>
    <row r="82" spans="1:13" ht="78" thickBot="1">
      <c r="A82" s="27" t="s">
        <v>1341</v>
      </c>
      <c r="B82" s="121" t="str">
        <f>Questions!$C$597</f>
        <v xml:space="preserve">
No answer required
Date of valuation
</v>
      </c>
      <c r="C82" s="432"/>
      <c r="D82" s="361" t="str">
        <f ca="1">'Reconciliation report'!D844</f>
        <v/>
      </c>
      <c r="E82" s="122" t="str">
        <f>Guidance!$B$199</f>
        <v xml:space="preserve">
The date as at which the contingent asset was valued.
</v>
      </c>
      <c r="F82" s="227"/>
    </row>
    <row r="83" spans="1:13" ht="170.75" customHeight="1" thickBot="1">
      <c r="A83" s="27" t="s">
        <v>1343</v>
      </c>
      <c r="B83" s="121" t="str">
        <f>Questions!$C$598</f>
        <v xml:space="preserve">
No answer required
Value cap
</v>
      </c>
      <c r="C83" s="343"/>
      <c r="D83" s="372" t="str">
        <f ca="1">'Reconciliation report'!D845</f>
        <v/>
      </c>
      <c r="E83" s="122" t="str">
        <f>Guidance!$B$200</f>
        <v xml:space="preserve">
The maximum amount payable to the scheme pursuant to the terms of the contingent asset agreement.
</v>
      </c>
      <c r="F83" s="227"/>
    </row>
    <row r="84" spans="1:13" ht="116.15" customHeight="1">
      <c r="A84" s="27" t="s">
        <v>1345</v>
      </c>
      <c r="B84" s="118" t="str">
        <f>Questions!$C$599</f>
        <v xml:space="preserve">
No answer required
Narrative regarding value cap
</v>
      </c>
      <c r="C84" s="517"/>
      <c r="D84" s="361" t="str">
        <f ca="1">'Reconciliation report'!D846</f>
        <v/>
      </c>
      <c r="E84" s="122" t="str">
        <f>Guidance!$B$201</f>
        <v xml:space="preserve">
If the answer to the value cap question above is 'Other', describe the value cap.
</v>
      </c>
      <c r="F84" s="227"/>
    </row>
    <row r="85" spans="1:13" ht="45.65" customHeight="1" thickBot="1">
      <c r="A85" s="323" t="s">
        <v>1347</v>
      </c>
      <c r="B85" s="172" t="str">
        <f>Questions!$C$600</f>
        <v xml:space="preserve">
No answer required
Fixed cap amount (£)
</v>
      </c>
      <c r="C85" s="419"/>
      <c r="D85" s="362" t="str">
        <f ca="1">'Reconciliation report'!D847</f>
        <v/>
      </c>
      <c r="E85" s="126" t="str">
        <f>Guidance!$B$287</f>
        <v>Guidance is not required for this question.</v>
      </c>
      <c r="F85" s="309"/>
    </row>
    <row r="86" spans="1:13" s="143" customFormat="1" ht="20.149999999999999" customHeight="1" thickBot="1">
      <c r="A86" s="69"/>
      <c r="B86" s="69"/>
      <c r="C86" s="69" t="s">
        <v>23</v>
      </c>
      <c r="D86" s="68"/>
      <c r="E86" s="68"/>
      <c r="F86" s="68"/>
      <c r="G86" s="32"/>
      <c r="H86" s="32"/>
      <c r="I86" s="32"/>
      <c r="J86" s="32"/>
      <c r="K86" s="32"/>
      <c r="L86" s="32"/>
      <c r="M86" s="32"/>
    </row>
    <row r="87" spans="1:13" s="144" customFormat="1" ht="50.15" customHeight="1" thickBot="1">
      <c r="A87" s="755" t="s">
        <v>965</v>
      </c>
      <c r="B87" s="755"/>
      <c r="C87" s="57"/>
      <c r="D87" s="57"/>
      <c r="E87" s="57"/>
      <c r="F87" s="57"/>
      <c r="G87" s="21"/>
      <c r="H87" s="21"/>
      <c r="I87" s="21"/>
      <c r="J87" s="21"/>
      <c r="K87" s="21"/>
      <c r="L87" s="21"/>
      <c r="M87" s="21"/>
    </row>
    <row r="88" spans="1:13" s="47" customFormat="1" ht="36" customHeight="1" thickTop="1" thickBot="1">
      <c r="A88" s="8" t="s">
        <v>89</v>
      </c>
      <c r="B88" s="8" t="s">
        <v>90</v>
      </c>
      <c r="C88" s="8" t="s">
        <v>91</v>
      </c>
      <c r="D88" s="8" t="s">
        <v>92</v>
      </c>
      <c r="E88" s="199" t="s">
        <v>104</v>
      </c>
      <c r="F88" s="199" t="s">
        <v>93</v>
      </c>
      <c r="G88" s="17"/>
    </row>
    <row r="89" spans="1:13" ht="78.650000000000006" customHeight="1" thickTop="1" thickBot="1">
      <c r="A89" s="27" t="s">
        <v>1349</v>
      </c>
      <c r="B89" s="121" t="str">
        <f>Questions!$C$601</f>
        <v xml:space="preserve">
No answer required
Participating employer insolvency
</v>
      </c>
      <c r="C89" s="187"/>
      <c r="D89" s="372" t="str">
        <f ca="1">'Reconciliation report'!D848</f>
        <v/>
      </c>
      <c r="E89" s="122" t="str">
        <f>Guidance!$B$202</f>
        <v xml:space="preserve">
If insolvency of a participating employer is a circumstance in which the trustees may seek payment under the terms of the contingent asset agreement.
</v>
      </c>
      <c r="F89" s="227"/>
    </row>
    <row r="90" spans="1:13" ht="93.65" customHeight="1" thickBot="1">
      <c r="A90" s="27" t="s">
        <v>1351</v>
      </c>
      <c r="B90" s="121" t="str">
        <f>Questions!$C$602</f>
        <v xml:space="preserve">
No answer required
Insolvency of associated company
</v>
      </c>
      <c r="C90" s="343"/>
      <c r="D90" s="372" t="str">
        <f ca="1">'Reconciliation report'!D849</f>
        <v/>
      </c>
      <c r="E90" s="122" t="str">
        <f>Guidance!$B$203</f>
        <v xml:space="preserve">
If insolvency of an associated company is a circumstance in which the trustees may seek payment under the terms of the contingent asset agreement.
</v>
      </c>
      <c r="F90" s="227"/>
    </row>
    <row r="91" spans="1:13" ht="78" customHeight="1" thickBot="1">
      <c r="A91" s="27" t="s">
        <v>1353</v>
      </c>
      <c r="B91" s="121" t="str">
        <f>Questions!$C$603</f>
        <v xml:space="preserve">
No answer required
Non payment of contributions
</v>
      </c>
      <c r="C91" s="343"/>
      <c r="D91" s="372" t="str">
        <f ca="1">'Reconciliation report'!D850</f>
        <v/>
      </c>
      <c r="E91" s="122" t="str">
        <f>Guidance!$B$204</f>
        <v xml:space="preserve">
If non-payment of contributions is a circumstance in which the trustees may seek payment under the terms of the contingent asset agreement.
</v>
      </c>
      <c r="F91" s="227"/>
    </row>
    <row r="92" spans="1:13" ht="78" customHeight="1" thickBot="1">
      <c r="A92" s="27" t="s">
        <v>1355</v>
      </c>
      <c r="B92" s="121" t="str">
        <f>Questions!$C$604</f>
        <v xml:space="preserve">
No answer required
Crystallisation of investment risk
</v>
      </c>
      <c r="C92" s="343"/>
      <c r="D92" s="372" t="str">
        <f ca="1">'Reconciliation report'!D851</f>
        <v/>
      </c>
      <c r="E92" s="122" t="str">
        <f>Guidance!$B$205</f>
        <v xml:space="preserve">
If crystallisation of investment risk is a circumstance in which the trustees may seek payment under the terms of the contingent asset agreement.
</v>
      </c>
      <c r="F92" s="227"/>
    </row>
    <row r="93" spans="1:13" ht="78" customHeight="1" thickBot="1">
      <c r="A93" s="27" t="s">
        <v>1357</v>
      </c>
      <c r="B93" s="121" t="str">
        <f>Questions!$C$605</f>
        <v xml:space="preserve">
No answer required
Other
</v>
      </c>
      <c r="C93" s="343"/>
      <c r="D93" s="372" t="str">
        <f ca="1">'Reconciliation report'!D852</f>
        <v/>
      </c>
      <c r="E93" s="122" t="str">
        <f>Guidance!$B$206</f>
        <v xml:space="preserve">
If there are other circumstances in which the trustees may seek payment under the terms of the contingent asset agreement.
</v>
      </c>
      <c r="F93" s="227"/>
    </row>
    <row r="94" spans="1:13" ht="93" customHeight="1">
      <c r="A94" s="27" t="s">
        <v>1359</v>
      </c>
      <c r="B94" s="121" t="str">
        <f>Questions!$C$606</f>
        <v xml:space="preserve">
No answer required
Narrative regarding triggers for access to value
</v>
      </c>
      <c r="C94" s="523"/>
      <c r="D94" s="361" t="str">
        <f ca="1">'Reconciliation report'!D853</f>
        <v/>
      </c>
      <c r="E94" s="122" t="str">
        <f>Guidance!$B$207</f>
        <v xml:space="preserve">
Specific description of the 'other' circumstances in which the trustees may seek payment under the terms of the contingent asset agreement.
</v>
      </c>
      <c r="F94" s="227"/>
    </row>
    <row r="95" spans="1:13" ht="78" customHeight="1" thickBot="1">
      <c r="A95" s="246" t="s">
        <v>1361</v>
      </c>
      <c r="B95" s="125" t="str">
        <f>Questions!$C$607</f>
        <v xml:space="preserve">
No answer required
Triggers for termination
</v>
      </c>
      <c r="C95" s="379"/>
      <c r="D95" s="362" t="str">
        <f ca="1">'Reconciliation report'!D854</f>
        <v/>
      </c>
      <c r="E95" s="378" t="str">
        <f>Guidance!$B$208</f>
        <v xml:space="preserve">
The circumstances specified in the contingent asset agreement under which the agreement will terminate or cease to have effect.
</v>
      </c>
      <c r="F95" s="248"/>
    </row>
    <row r="96" spans="1:13" ht="20.149999999999999" customHeight="1" thickBot="1">
      <c r="A96" s="69"/>
      <c r="B96" s="69"/>
      <c r="C96" s="69" t="s">
        <v>23</v>
      </c>
      <c r="D96" s="68"/>
      <c r="E96" s="68"/>
      <c r="F96" s="68"/>
    </row>
    <row r="97" spans="1:13" ht="50.15" customHeight="1" thickBot="1">
      <c r="A97" s="755" t="s">
        <v>1362</v>
      </c>
      <c r="B97" s="755"/>
      <c r="C97" s="57"/>
      <c r="D97" s="57"/>
      <c r="E97" s="57"/>
      <c r="F97" s="57"/>
    </row>
    <row r="98" spans="1:13" ht="36" customHeight="1" thickTop="1" thickBot="1">
      <c r="A98" s="8" t="s">
        <v>89</v>
      </c>
      <c r="B98" s="8" t="s">
        <v>90</v>
      </c>
      <c r="C98" s="8" t="s">
        <v>91</v>
      </c>
      <c r="D98" s="8" t="s">
        <v>92</v>
      </c>
      <c r="E98" s="199" t="s">
        <v>104</v>
      </c>
      <c r="F98" s="199" t="s">
        <v>93</v>
      </c>
    </row>
    <row r="99" spans="1:13" ht="126" customHeight="1" thickTop="1" thickBot="1">
      <c r="A99" s="27" t="s">
        <v>1364</v>
      </c>
      <c r="B99" s="121" t="str">
        <f>Questions!$C$608</f>
        <v xml:space="preserve">
No answer required
What is the type of contingent asset?
</v>
      </c>
      <c r="C99" s="343"/>
      <c r="D99" s="372" t="str">
        <f ca="1">'Reconciliation report'!D855</f>
        <v/>
      </c>
      <c r="E99" s="122" t="str">
        <f>Guidance!$B$193</f>
        <v xml:space="preserve">
Any other type of contingent asset that has been provided to the scheme.
</v>
      </c>
      <c r="F99" s="227"/>
    </row>
    <row r="100" spans="1:13" ht="93.65" customHeight="1" thickBot="1">
      <c r="A100" s="27" t="s">
        <v>1366</v>
      </c>
      <c r="B100" s="333" t="str">
        <f>Questions!$C$609</f>
        <v xml:space="preserve">
No answer required
Provide specific details of the contingent asset
</v>
      </c>
      <c r="C100" s="521"/>
      <c r="D100" s="361" t="str">
        <f ca="1">'Reconciliation report'!D856</f>
        <v/>
      </c>
      <c r="E100" s="148" t="str">
        <f>Guidance!$B$194</f>
        <v xml:space="preserve">
Specific description of the contingent asset provided to the scheme, including the name of the entity providing it.
</v>
      </c>
      <c r="F100" s="247"/>
    </row>
    <row r="101" spans="1:13" ht="124.5" customHeight="1" thickBot="1">
      <c r="A101" s="27" t="s">
        <v>1368</v>
      </c>
      <c r="B101" s="121" t="str">
        <f>Questions!$C$610</f>
        <v xml:space="preserve">
No answer required
Maturity type
</v>
      </c>
      <c r="C101" s="343"/>
      <c r="D101" s="372" t="str">
        <f ca="1">'Reconciliation report'!D857</f>
        <v/>
      </c>
      <c r="E101" s="122" t="str">
        <f>Guidance!$B$195</f>
        <v xml:space="preserve">
Multiple choice answer setting out details regarding the maturity date of the asset. Select 'Evergreen' when there is no fixed expiry date. Otherwise, provide the date of maturity, which is when the scheme's legal access to the contingent asset or the term of the contingent asset agreement is due to end. If neither of these options apply, select 'Other'.
</v>
      </c>
      <c r="F101" s="227"/>
    </row>
    <row r="102" spans="1:13" ht="93" customHeight="1">
      <c r="A102" s="27" t="s">
        <v>1370</v>
      </c>
      <c r="B102" s="121" t="str">
        <f>Questions!$C$611</f>
        <v xml:space="preserve">
No answer required
Date of Maturity
</v>
      </c>
      <c r="C102" s="430"/>
      <c r="D102" s="361" t="str">
        <f ca="1">'Reconciliation report'!D858</f>
        <v/>
      </c>
      <c r="E102" s="122" t="str">
        <f>Guidance!B287</f>
        <v>Guidance is not required for this question.</v>
      </c>
      <c r="F102" s="227"/>
    </row>
    <row r="103" spans="1:13" ht="93" customHeight="1">
      <c r="A103" s="27" t="s">
        <v>1372</v>
      </c>
      <c r="B103" s="121" t="str">
        <f>Questions!$C$612</f>
        <v xml:space="preserve">
No answer required
Maturity date narrative
</v>
      </c>
      <c r="C103" s="522"/>
      <c r="D103" s="361" t="str">
        <f ca="1">'Reconciliation report'!D859</f>
        <v/>
      </c>
      <c r="E103" s="122" t="str">
        <f>Guidance!$B$197</f>
        <v xml:space="preserve">
If the answer to the maturity type question above is 'Other', describe the maturity date (for example, what drives the maturity).
</v>
      </c>
      <c r="F103" s="227"/>
    </row>
    <row r="104" spans="1:13" ht="108.65" customHeight="1">
      <c r="A104" s="27" t="s">
        <v>1374</v>
      </c>
      <c r="B104" s="121" t="str">
        <f>Questions!$C$613</f>
        <v xml:space="preserve">
No answer required
Value ascribed (£)
</v>
      </c>
      <c r="C104" s="423"/>
      <c r="D104" s="361" t="str">
        <f ca="1">'Reconciliation report'!D860</f>
        <v/>
      </c>
      <c r="E104" s="122" t="str">
        <f>Guidance!$B$198</f>
        <v xml:space="preserve">
The amount expected to be realisable from the contingent asset. This can be in terms of 'equal to or at least'. This should take into account of the scenarios the contingent asset is intended to address. For example, if the security is triggered on an employer's insolvency, this is the amount expected to be recovered in that scenario.
</v>
      </c>
      <c r="F104" s="227"/>
    </row>
    <row r="105" spans="1:13" ht="78" customHeight="1" thickBot="1">
      <c r="A105" s="27" t="s">
        <v>1376</v>
      </c>
      <c r="B105" s="121" t="str">
        <f>Questions!$C$614</f>
        <v xml:space="preserve">
No answer required
Date of valuation
</v>
      </c>
      <c r="C105" s="432"/>
      <c r="D105" s="361" t="str">
        <f ca="1">'Reconciliation report'!D861</f>
        <v/>
      </c>
      <c r="E105" s="122" t="str">
        <f>Guidance!$B$199</f>
        <v xml:space="preserve">
The date as at which the contingent asset was valued.
</v>
      </c>
      <c r="F105" s="227"/>
    </row>
    <row r="106" spans="1:13" ht="170.75" customHeight="1" thickBot="1">
      <c r="A106" s="27" t="s">
        <v>1378</v>
      </c>
      <c r="B106" s="121" t="str">
        <f>Questions!$C$615</f>
        <v xml:space="preserve">
No answer required
Value cap
</v>
      </c>
      <c r="C106" s="343"/>
      <c r="D106" s="372" t="str">
        <f ca="1">'Reconciliation report'!D862</f>
        <v/>
      </c>
      <c r="E106" s="122" t="str">
        <f>Guidance!$B$200</f>
        <v xml:space="preserve">
The maximum amount payable to the scheme pursuant to the terms of the contingent asset agreement.
</v>
      </c>
      <c r="F106" s="227"/>
    </row>
    <row r="107" spans="1:13" ht="108.65" customHeight="1">
      <c r="A107" s="27" t="s">
        <v>1380</v>
      </c>
      <c r="B107" s="121" t="str">
        <f>Questions!$C$616</f>
        <v xml:space="preserve">
No answer required
Narrative regarding value cap
</v>
      </c>
      <c r="C107" s="525"/>
      <c r="D107" s="361" t="str">
        <f ca="1">'Reconciliation report'!D863</f>
        <v/>
      </c>
      <c r="E107" s="122" t="str">
        <f>Guidance!$B$201</f>
        <v xml:space="preserve">
If the answer to the value cap question above is 'Other', describe the value cap.
</v>
      </c>
      <c r="F107" s="227"/>
    </row>
    <row r="108" spans="1:13" ht="78" customHeight="1" thickBot="1">
      <c r="A108" s="323" t="s">
        <v>1382</v>
      </c>
      <c r="B108" s="172" t="str">
        <f>Questions!$C$617</f>
        <v xml:space="preserve">
No answer required
Fixed cap amount (£)
</v>
      </c>
      <c r="C108" s="408"/>
      <c r="D108" s="362" t="str">
        <f ca="1">'Reconciliation report'!D864</f>
        <v/>
      </c>
      <c r="E108" s="126" t="str">
        <f>Guidance!$B$287</f>
        <v>Guidance is not required for this question.</v>
      </c>
      <c r="F108" s="309"/>
    </row>
    <row r="109" spans="1:13" s="143" customFormat="1" ht="20.149999999999999" customHeight="1" thickBot="1">
      <c r="A109" s="69"/>
      <c r="B109" s="69"/>
      <c r="C109" s="69" t="s">
        <v>23</v>
      </c>
      <c r="D109" s="68"/>
      <c r="E109" s="68"/>
      <c r="F109" s="68"/>
      <c r="G109" s="32"/>
      <c r="H109" s="32"/>
      <c r="I109" s="32"/>
      <c r="J109" s="32"/>
      <c r="K109" s="32"/>
      <c r="L109" s="32"/>
      <c r="M109" s="32"/>
    </row>
    <row r="110" spans="1:13" s="144" customFormat="1" ht="50.15" customHeight="1" thickBot="1">
      <c r="A110" s="755" t="s">
        <v>1023</v>
      </c>
      <c r="B110" s="755"/>
      <c r="C110" s="57"/>
      <c r="D110" s="57"/>
      <c r="E110" s="57"/>
      <c r="F110" s="57"/>
      <c r="G110" s="21"/>
      <c r="H110" s="21"/>
      <c r="I110" s="21"/>
      <c r="J110" s="21"/>
      <c r="K110" s="21"/>
      <c r="L110" s="21"/>
      <c r="M110" s="21"/>
    </row>
    <row r="111" spans="1:13" s="47" customFormat="1" ht="36" customHeight="1" thickTop="1" thickBot="1">
      <c r="A111" s="8" t="s">
        <v>89</v>
      </c>
      <c r="B111" s="8" t="s">
        <v>90</v>
      </c>
      <c r="C111" s="8" t="s">
        <v>91</v>
      </c>
      <c r="D111" s="8" t="s">
        <v>92</v>
      </c>
      <c r="E111" s="199" t="s">
        <v>104</v>
      </c>
      <c r="F111" s="199" t="s">
        <v>93</v>
      </c>
      <c r="G111" s="17"/>
    </row>
    <row r="112" spans="1:13" ht="78.650000000000006" customHeight="1" thickTop="1" thickBot="1">
      <c r="A112" s="27" t="s">
        <v>1384</v>
      </c>
      <c r="B112" s="121" t="str">
        <f>Questions!$C$618</f>
        <v xml:space="preserve">
No answer required
Participating employer insolvency
</v>
      </c>
      <c r="C112" s="187"/>
      <c r="D112" s="372" t="str">
        <f ca="1">'Reconciliation report'!D865</f>
        <v/>
      </c>
      <c r="E112" s="122" t="str">
        <f>Guidance!$B$202</f>
        <v xml:space="preserve">
If insolvency of a participating employer is a circumstance in which the trustees may seek payment under the terms of the contingent asset agreement.
</v>
      </c>
      <c r="F112" s="227"/>
    </row>
    <row r="113" spans="1:6" ht="93.65" customHeight="1" thickBot="1">
      <c r="A113" s="27" t="s">
        <v>1386</v>
      </c>
      <c r="B113" s="121" t="str">
        <f>Questions!$C$619</f>
        <v xml:space="preserve">
No answer required
Insolvency of associated company
</v>
      </c>
      <c r="C113" s="343"/>
      <c r="D113" s="372" t="str">
        <f ca="1">'Reconciliation report'!D866</f>
        <v/>
      </c>
      <c r="E113" s="122" t="str">
        <f>Guidance!$B$203</f>
        <v xml:space="preserve">
If insolvency of an associated company is a circumstance in which the trustees may seek payment under the terms of the contingent asset agreement.
</v>
      </c>
      <c r="F113" s="227"/>
    </row>
    <row r="114" spans="1:6" ht="78" customHeight="1" thickBot="1">
      <c r="A114" s="27" t="s">
        <v>1388</v>
      </c>
      <c r="B114" s="121" t="str">
        <f>Questions!$C$620</f>
        <v xml:space="preserve">
No answer required
Non payment of contributions
</v>
      </c>
      <c r="C114" s="343"/>
      <c r="D114" s="372" t="str">
        <f ca="1">'Reconciliation report'!D867</f>
        <v/>
      </c>
      <c r="E114" s="122" t="str">
        <f>Guidance!$B$204</f>
        <v xml:space="preserve">
If non-payment of contributions is a circumstance in which the trustees may seek payment under the terms of the contingent asset agreement.
</v>
      </c>
      <c r="F114" s="227"/>
    </row>
    <row r="115" spans="1:6" ht="78" customHeight="1" thickBot="1">
      <c r="A115" s="27" t="s">
        <v>1390</v>
      </c>
      <c r="B115" s="121" t="str">
        <f>Questions!$C$621</f>
        <v xml:space="preserve">
No answer required
Crystallisation of investment risk
</v>
      </c>
      <c r="C115" s="343"/>
      <c r="D115" s="372" t="str">
        <f ca="1">'Reconciliation report'!D868</f>
        <v/>
      </c>
      <c r="E115" s="122" t="str">
        <f>Guidance!$B$205</f>
        <v xml:space="preserve">
If crystallisation of investment risk is a circumstance in which the trustees may seek payment under the terms of the contingent asset agreement.
</v>
      </c>
      <c r="F115" s="227"/>
    </row>
    <row r="116" spans="1:6" ht="78" customHeight="1" thickBot="1">
      <c r="A116" s="27" t="s">
        <v>1392</v>
      </c>
      <c r="B116" s="121" t="str">
        <f>Questions!$C$622</f>
        <v xml:space="preserve">
No answer required
Other
</v>
      </c>
      <c r="C116" s="343"/>
      <c r="D116" s="372" t="str">
        <f ca="1">'Reconciliation report'!D869</f>
        <v/>
      </c>
      <c r="E116" s="122" t="str">
        <f>Guidance!$B$206</f>
        <v xml:space="preserve">
If there are other circumstances in which the trustees may seek payment under the terms of the contingent asset agreement.
</v>
      </c>
      <c r="F116" s="227"/>
    </row>
    <row r="117" spans="1:6" ht="93" customHeight="1">
      <c r="A117" s="27" t="s">
        <v>1394</v>
      </c>
      <c r="B117" s="121" t="str">
        <f>Questions!$C$623</f>
        <v xml:space="preserve">
No answer required
Narrative regarding triggers for access to value
</v>
      </c>
      <c r="C117" s="523"/>
      <c r="D117" s="361" t="str">
        <f ca="1">'Reconciliation report'!D870</f>
        <v/>
      </c>
      <c r="E117" s="122" t="str">
        <f>Guidance!$B$207</f>
        <v xml:space="preserve">
Specific description of the 'other' circumstances in which the trustees may seek payment under the terms of the contingent asset agreement.
</v>
      </c>
      <c r="F117" s="227"/>
    </row>
    <row r="118" spans="1:6" ht="78" thickBot="1">
      <c r="A118" s="659" t="s">
        <v>1396</v>
      </c>
      <c r="B118" s="140" t="str">
        <f>Questions!$C$624</f>
        <v xml:space="preserve">
No answer required
Triggers for termination
</v>
      </c>
      <c r="C118" s="690"/>
      <c r="D118" s="691" t="str">
        <f ca="1">'Reconciliation report'!D871</f>
        <v/>
      </c>
      <c r="E118" s="692" t="str">
        <f>Guidance!$B$208</f>
        <v xml:space="preserve">
The circumstances specified in the contingent asset agreement under which the agreement will terminate or cease to have effect.
</v>
      </c>
      <c r="F118" s="693"/>
    </row>
    <row r="119" spans="1:6" s="439" customFormat="1" ht="50.25" customHeight="1">
      <c r="B119" s="255"/>
    </row>
  </sheetData>
  <sheetProtection algorithmName="SHA-512" hashValue="hOQ6gdA+ZYIBz39QTtYcDmFfB8UaR83Z+r6AT8kn+aCsPwreSvZS4Hy2ux7QJcvvOLL/jNfk3UEWyHk/H/cHCA==" saltValue="o/xwULOHSKFKPloQemKIBg==" spinCount="100000" sheet="1" objects="1" scenarios="1" sort="0" autoFilter="0"/>
  <mergeCells count="13">
    <mergeCell ref="A87:B87"/>
    <mergeCell ref="A97:B97"/>
    <mergeCell ref="A110:B110"/>
    <mergeCell ref="A28:B28"/>
    <mergeCell ref="A41:B41"/>
    <mergeCell ref="A51:B51"/>
    <mergeCell ref="A64:B64"/>
    <mergeCell ref="A74:B74"/>
    <mergeCell ref="A1:B1"/>
    <mergeCell ref="A2:B2"/>
    <mergeCell ref="A3:B3"/>
    <mergeCell ref="A5:B5"/>
    <mergeCell ref="A18:B18"/>
  </mergeCells>
  <conditionalFormatting sqref="D7:D16 D20:D26 D30:D39 D43:D49 D53:D62 D66:D72 D76:D85 D89:D95 D99:D108 D112:D118">
    <cfRule type="notContainsBlanks" dxfId="124" priority="20">
      <formula>LEN(TRIM(D7))&gt;0</formula>
    </cfRule>
  </conditionalFormatting>
  <dataValidations xWindow="764" yWindow="427" count="5">
    <dataValidation type="textLength" operator="lessThanOrEqual" allowBlank="1" showInputMessage="1" showErrorMessage="1" errorTitle="There is a problem" error="Your answer must not exceed 4000 characters" promptTitle="Add your answer" prompt="Answer this question in 4000 characters or less" sqref="C11 C25:C26 C8 C34 C48:C49 C31 C57 C71:C72 C54 C80 C94:C95 C77 C103 C117:C118 C100 C38 C107 C84 C61" xr:uid="{432852A9-A3E9-4837-99AD-B8D9B2574D6A}">
      <formula1>4000</formula1>
    </dataValidation>
    <dataValidation type="textLength" operator="lessThanOrEqual" allowBlank="1" showInputMessage="1" showErrorMessage="1" errorTitle="There is a problem" error="Your answer must not exceed 4000 characters." promptTitle="Add your answer" prompt="Answer this question in 4000 characters or less" sqref="C15" xr:uid="{4CB0F8E7-F692-417E-8C7B-04E7EA493945}">
      <formula1>4000</formula1>
    </dataValidation>
    <dataValidation type="custom" allowBlank="1" showInputMessage="1" showErrorMessage="1" errorTitle="There is a problem" error="You must enter a number greater than or equal to 0.00 and less than 1,000,000,000,000 (1 trillion) with up to two decimal places." promptTitle="Enter a value" prompt="Enter a number (£)" sqref="C108 C12 C35 C58 C81 C16 C39 C62 C85 C104" xr:uid="{14EB5655-DE1D-4664-8F9B-8E8EE1089093}">
      <formula1>AND(ISNUMBER(VALUE(C12)), VALUE(C12)&gt;=0, VALUE(C12)&lt;=999999999999.99, IF(ISERROR(FIND(".", C12)), VALUE(C12)=INT(VALUE(C12)), LEN(C12)-FIND(".", C12)&lt;=2))</formula1>
    </dataValidation>
    <dataValidation type="date" operator="lessThanOrEqual" allowBlank="1" showInputMessage="1" showErrorMessage="1" errorTitle="There is a problem" error="Enter a date in the format dd/mm/yyyy" promptTitle="Enter a date" prompt="Enter a date (dd/mm/yyyy)" sqref="C13 C36 C59 C105 C82" xr:uid="{7EAC7974-BA57-40A0-84BA-A4D60776F365}">
      <formula1>TODAY()</formula1>
    </dataValidation>
    <dataValidation allowBlank="1" showInputMessage="1" showErrorMessage="1" error="Select from the list." sqref="C119" xr:uid="{EC82310D-DE35-4A14-B725-F9B29F1F0491}"/>
  </dataValidations>
  <pageMargins left="0.70000000000000007" right="0.70000000000000007" top="0.75" bottom="0.75" header="0.30000000000000004" footer="0.30000000000000004"/>
  <pageSetup paperSize="9" fitToWidth="0"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80" id="{1B31834A-29CB-4CDA-B963-562BD06F54AF}">
            <xm:f>SEARCH(RefData!$B$2,$B$39)</xm:f>
            <x14:dxf>
              <fill>
                <patternFill>
                  <bgColor theme="0" tint="-0.14996795556505021"/>
                </patternFill>
              </fill>
            </x14:dxf>
          </x14:cfRule>
          <xm:sqref>A39:D39 F39</xm:sqref>
        </x14:conditionalFormatting>
        <x14:conditionalFormatting xmlns:xm="http://schemas.microsoft.com/office/excel/2006/main">
          <x14:cfRule type="expression" priority="62" id="{D1FD84D3-3C21-446D-B940-F5DE0E9B07F8}">
            <xm:f>SEARCH(RefData!$B$2,$B$62)</xm:f>
            <x14:dxf>
              <fill>
                <patternFill>
                  <bgColor theme="0" tint="-0.14996795556505021"/>
                </patternFill>
              </fill>
            </x14:dxf>
          </x14:cfRule>
          <xm:sqref>A62:D62 F62</xm:sqref>
        </x14:conditionalFormatting>
        <x14:conditionalFormatting xmlns:xm="http://schemas.microsoft.com/office/excel/2006/main">
          <x14:cfRule type="expression" priority="45" id="{C431C578-205C-4454-B70A-DFE051AB2210}">
            <xm:f>SEARCH(RefData!$B$2,$B$85)</xm:f>
            <x14:dxf>
              <fill>
                <patternFill>
                  <bgColor theme="0" tint="-0.14996795556505021"/>
                </patternFill>
              </fill>
            </x14:dxf>
          </x14:cfRule>
          <xm:sqref>A85:D85 F85</xm:sqref>
        </x14:conditionalFormatting>
        <x14:conditionalFormatting xmlns:xm="http://schemas.microsoft.com/office/excel/2006/main">
          <x14:cfRule type="expression" priority="28" id="{1A4B15BC-876B-433A-96D8-AAC05E13C51B}">
            <xm:f>SEARCH(RefData!$B$2,$B$108)</xm:f>
            <x14:dxf>
              <fill>
                <patternFill>
                  <bgColor theme="0" tint="-0.14996795556505021"/>
                </patternFill>
              </fill>
            </x14:dxf>
          </x14:cfRule>
          <xm:sqref>A108:D108 F108</xm:sqref>
        </x14:conditionalFormatting>
        <x14:conditionalFormatting xmlns:xm="http://schemas.microsoft.com/office/excel/2006/main">
          <x14:cfRule type="expression" priority="1023" id="{A72ECD32-838C-4233-8734-08B969F05DEF}">
            <xm:f>SEARCH(RefData!$B$2,$B$35)</xm:f>
            <x14:dxf>
              <fill>
                <patternFill>
                  <bgColor theme="0" tint="-0.14996795556505021"/>
                </patternFill>
              </fill>
            </x14:dxf>
          </x14:cfRule>
          <xm:sqref>A35:E35</xm:sqref>
        </x14:conditionalFormatting>
        <x14:conditionalFormatting xmlns:xm="http://schemas.microsoft.com/office/excel/2006/main">
          <x14:cfRule type="expression" priority="1024" id="{1430C192-6331-4F9E-A85B-8479EFFA320B}">
            <xm:f>SEARCH(RefData!$B$2,$B$58)</xm:f>
            <x14:dxf>
              <fill>
                <patternFill>
                  <bgColor theme="0" tint="-0.14996795556505021"/>
                </patternFill>
              </fill>
            </x14:dxf>
          </x14:cfRule>
          <xm:sqref>A58:E58</xm:sqref>
        </x14:conditionalFormatting>
        <x14:conditionalFormatting xmlns:xm="http://schemas.microsoft.com/office/excel/2006/main">
          <x14:cfRule type="expression" priority="1025" id="{C9929091-501F-4AC8-86E7-2E7CB6CAAF99}">
            <xm:f>SEARCH(RefData!$B$2,$B$81)</xm:f>
            <x14:dxf>
              <fill>
                <patternFill>
                  <bgColor theme="0" tint="-0.14996795556505021"/>
                </patternFill>
              </fill>
            </x14:dxf>
          </x14:cfRule>
          <xm:sqref>A81:E81</xm:sqref>
        </x14:conditionalFormatting>
        <x14:conditionalFormatting xmlns:xm="http://schemas.microsoft.com/office/excel/2006/main">
          <x14:cfRule type="expression" priority="1026" id="{F64F2258-043B-429E-931D-4B634E9876A4}">
            <xm:f>SEARCH(RefData!$B$2,$B$104)</xm:f>
            <x14:dxf>
              <fill>
                <patternFill>
                  <bgColor theme="0" tint="-0.14996795556505021"/>
                </patternFill>
              </fill>
            </x14:dxf>
          </x14:cfRule>
          <xm:sqref>A104:E104</xm:sqref>
        </x14:conditionalFormatting>
        <x14:conditionalFormatting xmlns:xm="http://schemas.microsoft.com/office/excel/2006/main">
          <x14:cfRule type="expression" priority="1027" id="{E07DCCB2-DB8D-4772-9396-291624C2B89A}">
            <xm:f>SEARCH(RefData!$B$2,$B$7)</xm:f>
            <x14:dxf>
              <fill>
                <patternFill>
                  <bgColor theme="0" tint="-0.14996795556505021"/>
                </patternFill>
              </fill>
            </x14:dxf>
          </x14:cfRule>
          <xm:sqref>A7:F7</xm:sqref>
        </x14:conditionalFormatting>
        <x14:conditionalFormatting xmlns:xm="http://schemas.microsoft.com/office/excel/2006/main">
          <x14:cfRule type="expression" priority="1028" id="{E5E63133-3BF9-4707-8603-39CD12AF105F}">
            <xm:f>SEARCH(RefData!$B$2,$B$8)</xm:f>
            <x14:dxf>
              <fill>
                <patternFill>
                  <bgColor theme="0" tint="-0.14996795556505021"/>
                </patternFill>
              </fill>
            </x14:dxf>
          </x14:cfRule>
          <xm:sqref>A8:F8</xm:sqref>
        </x14:conditionalFormatting>
        <x14:conditionalFormatting xmlns:xm="http://schemas.microsoft.com/office/excel/2006/main">
          <x14:cfRule type="expression" priority="1029" id="{31860C16-4057-41D4-9DC5-C516CA7E7949}">
            <xm:f>SEARCH(RefData!$B$2,$B$9)</xm:f>
            <x14:dxf>
              <fill>
                <patternFill>
                  <bgColor theme="0" tint="-0.14996795556505021"/>
                </patternFill>
              </fill>
            </x14:dxf>
          </x14:cfRule>
          <xm:sqref>A9:F9</xm:sqref>
        </x14:conditionalFormatting>
        <x14:conditionalFormatting xmlns:xm="http://schemas.microsoft.com/office/excel/2006/main">
          <x14:cfRule type="expression" priority="1030" id="{817B3E89-5D72-4309-B655-56CC780C503F}">
            <xm:f>SEARCH(RefData!$B$2,$B$10)</xm:f>
            <x14:dxf>
              <fill>
                <patternFill>
                  <bgColor theme="0" tint="-0.14996795556505021"/>
                </patternFill>
              </fill>
            </x14:dxf>
          </x14:cfRule>
          <xm:sqref>A10:F10</xm:sqref>
        </x14:conditionalFormatting>
        <x14:conditionalFormatting xmlns:xm="http://schemas.microsoft.com/office/excel/2006/main">
          <x14:cfRule type="expression" priority="1031" id="{E6835DC0-611F-4B6D-9D11-ACBE98E56E17}">
            <xm:f>SEARCH(RefData!$B$2,$B$11)</xm:f>
            <x14:dxf>
              <fill>
                <patternFill>
                  <bgColor theme="0" tint="-0.14996795556505021"/>
                </patternFill>
              </fill>
            </x14:dxf>
          </x14:cfRule>
          <xm:sqref>A11:F11</xm:sqref>
        </x14:conditionalFormatting>
        <x14:conditionalFormatting xmlns:xm="http://schemas.microsoft.com/office/excel/2006/main">
          <x14:cfRule type="expression" priority="14" id="{EDC6548E-0E5D-443A-A638-01A7309E3F61}">
            <xm:f>SEARCH(RefData!$B$2,$B$12)</xm:f>
            <x14:dxf>
              <fill>
                <patternFill>
                  <bgColor theme="0" tint="-0.14996795556505021"/>
                </patternFill>
              </fill>
            </x14:dxf>
          </x14:cfRule>
          <xm:sqref>A12:F12 F35</xm:sqref>
        </x14:conditionalFormatting>
        <x14:conditionalFormatting xmlns:xm="http://schemas.microsoft.com/office/excel/2006/main">
          <x14:cfRule type="expression" priority="1033" id="{D2B301DD-E98D-47E0-92BC-2A07EB49FD13}">
            <xm:f>SEARCH(RefData!$B$2,$B$13)</xm:f>
            <x14:dxf>
              <fill>
                <patternFill>
                  <bgColor theme="0" tint="-0.14996795556505021"/>
                </patternFill>
              </fill>
            </x14:dxf>
          </x14:cfRule>
          <xm:sqref>A13:F13</xm:sqref>
        </x14:conditionalFormatting>
        <x14:conditionalFormatting xmlns:xm="http://schemas.microsoft.com/office/excel/2006/main">
          <x14:cfRule type="expression" priority="1034" id="{01E14256-74B1-4EDC-A102-3B9A76AC9C49}">
            <xm:f>SEARCH(RefData!$B$2,$B$14)</xm:f>
            <x14:dxf>
              <fill>
                <patternFill>
                  <bgColor theme="0" tint="-0.14996795556505021"/>
                </patternFill>
              </fill>
            </x14:dxf>
          </x14:cfRule>
          <xm:sqref>A14:F14</xm:sqref>
        </x14:conditionalFormatting>
        <x14:conditionalFormatting xmlns:xm="http://schemas.microsoft.com/office/excel/2006/main">
          <x14:cfRule type="expression" priority="1035" id="{4A884CE9-4C8D-4787-9C55-9470AD49241D}">
            <xm:f>SEARCH(RefData!$B$2,$B$15)</xm:f>
            <x14:dxf>
              <fill>
                <patternFill>
                  <bgColor theme="0" tint="-0.14996795556505021"/>
                </patternFill>
              </fill>
            </x14:dxf>
          </x14:cfRule>
          <xm:sqref>A15:F15</xm:sqref>
        </x14:conditionalFormatting>
        <x14:conditionalFormatting xmlns:xm="http://schemas.microsoft.com/office/excel/2006/main">
          <x14:cfRule type="expression" priority="10" id="{2E2564D9-4774-4503-8839-0FE17227684C}">
            <xm:f>SEARCH(RefData!$B$2,$B$16)</xm:f>
            <x14:dxf>
              <fill>
                <patternFill>
                  <bgColor theme="0" tint="-0.14996795556505021"/>
                </patternFill>
              </fill>
            </x14:dxf>
          </x14:cfRule>
          <xm:sqref>A16:F16 E39</xm:sqref>
        </x14:conditionalFormatting>
        <x14:conditionalFormatting xmlns:xm="http://schemas.microsoft.com/office/excel/2006/main">
          <x14:cfRule type="expression" priority="1037" id="{51EAB8E8-CD90-402F-ADCD-FD507A489171}">
            <xm:f>SEARCH(RefData!$B$2,$B$20)</xm:f>
            <x14:dxf>
              <fill>
                <patternFill>
                  <bgColor theme="0" tint="-0.14996795556505021"/>
                </patternFill>
              </fill>
            </x14:dxf>
          </x14:cfRule>
          <xm:sqref>A20:F20</xm:sqref>
        </x14:conditionalFormatting>
        <x14:conditionalFormatting xmlns:xm="http://schemas.microsoft.com/office/excel/2006/main">
          <x14:cfRule type="expression" priority="1038" id="{CA50F061-E141-481E-B145-ABB6423696C1}">
            <xm:f>SEARCH(RefData!$B$2,$B$21)</xm:f>
            <x14:dxf>
              <fill>
                <patternFill>
                  <bgColor theme="0" tint="-0.14996795556505021"/>
                </patternFill>
              </fill>
            </x14:dxf>
          </x14:cfRule>
          <xm:sqref>A21:F21</xm:sqref>
        </x14:conditionalFormatting>
        <x14:conditionalFormatting xmlns:xm="http://schemas.microsoft.com/office/excel/2006/main">
          <x14:cfRule type="expression" priority="1039" id="{839155A6-4F49-4807-8D62-26DA23F6B92E}">
            <xm:f>SEARCH(RefData!$B$2,$B$22)</xm:f>
            <x14:dxf>
              <fill>
                <patternFill>
                  <bgColor theme="0" tint="-0.14996795556505021"/>
                </patternFill>
              </fill>
            </x14:dxf>
          </x14:cfRule>
          <xm:sqref>A22:F22</xm:sqref>
        </x14:conditionalFormatting>
        <x14:conditionalFormatting xmlns:xm="http://schemas.microsoft.com/office/excel/2006/main">
          <x14:cfRule type="expression" priority="1040" id="{8A6EE3B6-A62D-4638-AFE9-AE2E59CD0062}">
            <xm:f>SEARCH(RefData!$B$2,$B$23)</xm:f>
            <x14:dxf>
              <fill>
                <patternFill>
                  <bgColor theme="0" tint="-0.14996795556505021"/>
                </patternFill>
              </fill>
            </x14:dxf>
          </x14:cfRule>
          <xm:sqref>A23:F23</xm:sqref>
        </x14:conditionalFormatting>
        <x14:conditionalFormatting xmlns:xm="http://schemas.microsoft.com/office/excel/2006/main">
          <x14:cfRule type="expression" priority="1041" id="{9B3C7D06-1C78-4A9C-B3F9-834D2BD3F41E}">
            <xm:f>SEARCH(RefData!$B$2,$B$24)</xm:f>
            <x14:dxf>
              <fill>
                <patternFill>
                  <bgColor theme="0" tint="-0.14996795556505021"/>
                </patternFill>
              </fill>
            </x14:dxf>
          </x14:cfRule>
          <xm:sqref>A24:F24</xm:sqref>
        </x14:conditionalFormatting>
        <x14:conditionalFormatting xmlns:xm="http://schemas.microsoft.com/office/excel/2006/main">
          <x14:cfRule type="expression" priority="1042" id="{C8C1C1A5-DF22-4EA1-96A3-15DD8EEDA671}">
            <xm:f>SEARCH(RefData!$B$2,$B$25)</xm:f>
            <x14:dxf>
              <fill>
                <patternFill>
                  <bgColor theme="0" tint="-0.14996795556505021"/>
                </patternFill>
              </fill>
            </x14:dxf>
          </x14:cfRule>
          <xm:sqref>A25:F25</xm:sqref>
        </x14:conditionalFormatting>
        <x14:conditionalFormatting xmlns:xm="http://schemas.microsoft.com/office/excel/2006/main">
          <x14:cfRule type="expression" priority="1043" id="{ED29B746-19AA-4869-9AC1-E186DFBDB5D9}">
            <xm:f>SEARCH(RefData!$B$2,$B$26)</xm:f>
            <x14:dxf>
              <fill>
                <patternFill>
                  <bgColor theme="0" tint="-0.14996795556505021"/>
                </patternFill>
              </fill>
            </x14:dxf>
          </x14:cfRule>
          <xm:sqref>A26:F26</xm:sqref>
        </x14:conditionalFormatting>
        <x14:conditionalFormatting xmlns:xm="http://schemas.microsoft.com/office/excel/2006/main">
          <x14:cfRule type="expression" priority="1044" id="{BCD7EDE2-FD2C-4AA5-9BFA-A2E0DA71F067}">
            <xm:f>SEARCH(RefData!$B$2,$B$30)</xm:f>
            <x14:dxf>
              <fill>
                <patternFill>
                  <bgColor theme="0" tint="-0.14996795556505021"/>
                </patternFill>
              </fill>
            </x14:dxf>
          </x14:cfRule>
          <xm:sqref>A30:F30</xm:sqref>
        </x14:conditionalFormatting>
        <x14:conditionalFormatting xmlns:xm="http://schemas.microsoft.com/office/excel/2006/main">
          <x14:cfRule type="expression" priority="1045" id="{8463E28B-B05E-4CD4-845A-5EF88383C705}">
            <xm:f>SEARCH(RefData!$B$2,$B$31)</xm:f>
            <x14:dxf>
              <fill>
                <patternFill>
                  <bgColor theme="0" tint="-0.14996795556505021"/>
                </patternFill>
              </fill>
            </x14:dxf>
          </x14:cfRule>
          <xm:sqref>A31:F31</xm:sqref>
        </x14:conditionalFormatting>
        <x14:conditionalFormatting xmlns:xm="http://schemas.microsoft.com/office/excel/2006/main">
          <x14:cfRule type="expression" priority="1046" id="{AB46D57D-8121-49D1-BC69-7F8F033168EE}">
            <xm:f>SEARCH(RefData!$B$2,$B$32)</xm:f>
            <x14:dxf>
              <fill>
                <patternFill>
                  <bgColor theme="0" tint="-0.14996795556505021"/>
                </patternFill>
              </fill>
            </x14:dxf>
          </x14:cfRule>
          <xm:sqref>A32:F32</xm:sqref>
        </x14:conditionalFormatting>
        <x14:conditionalFormatting xmlns:xm="http://schemas.microsoft.com/office/excel/2006/main">
          <x14:cfRule type="expression" priority="1047" id="{B86D2853-6EE4-4CDE-A366-A578707852B9}">
            <xm:f>SEARCH(RefData!$B$2,$B$33)</xm:f>
            <x14:dxf>
              <fill>
                <patternFill>
                  <bgColor theme="0" tint="-0.14996795556505021"/>
                </patternFill>
              </fill>
            </x14:dxf>
          </x14:cfRule>
          <xm:sqref>A33:F33</xm:sqref>
        </x14:conditionalFormatting>
        <x14:conditionalFormatting xmlns:xm="http://schemas.microsoft.com/office/excel/2006/main">
          <x14:cfRule type="expression" priority="1048" id="{D798AC34-D051-41B2-A059-8FB3F51875C3}">
            <xm:f>SEARCH(RefData!$B$2,$B$34)</xm:f>
            <x14:dxf>
              <fill>
                <patternFill>
                  <bgColor theme="0" tint="-0.14996795556505021"/>
                </patternFill>
              </fill>
            </x14:dxf>
          </x14:cfRule>
          <xm:sqref>A34:F34</xm:sqref>
        </x14:conditionalFormatting>
        <x14:conditionalFormatting xmlns:xm="http://schemas.microsoft.com/office/excel/2006/main">
          <x14:cfRule type="expression" priority="1049" id="{8CCC38C0-058B-40A1-9020-FE96D8952EA0}">
            <xm:f>SEARCH(RefData!$B$2,$B$36)</xm:f>
            <x14:dxf>
              <fill>
                <patternFill>
                  <bgColor theme="0" tint="-0.14996795556505021"/>
                </patternFill>
              </fill>
            </x14:dxf>
          </x14:cfRule>
          <xm:sqref>A36:F36</xm:sqref>
        </x14:conditionalFormatting>
        <x14:conditionalFormatting xmlns:xm="http://schemas.microsoft.com/office/excel/2006/main">
          <x14:cfRule type="expression" priority="1050" id="{CD351745-0D9F-406F-8C0E-E8DB38E39EC1}">
            <xm:f>SEARCH(RefData!$B$2,$B$37)</xm:f>
            <x14:dxf>
              <fill>
                <patternFill>
                  <bgColor theme="0" tint="-0.14996795556505021"/>
                </patternFill>
              </fill>
            </x14:dxf>
          </x14:cfRule>
          <xm:sqref>A37:F37</xm:sqref>
        </x14:conditionalFormatting>
        <x14:conditionalFormatting xmlns:xm="http://schemas.microsoft.com/office/excel/2006/main">
          <x14:cfRule type="expression" priority="1051" id="{0BC7B825-DE08-4B59-B3C0-0573FB86E979}">
            <xm:f>SEARCH(RefData!$B$2,$B$38)</xm:f>
            <x14:dxf>
              <fill>
                <patternFill>
                  <bgColor theme="0" tint="-0.14996795556505021"/>
                </patternFill>
              </fill>
            </x14:dxf>
          </x14:cfRule>
          <xm:sqref>A38:F38</xm:sqref>
        </x14:conditionalFormatting>
        <x14:conditionalFormatting xmlns:xm="http://schemas.microsoft.com/office/excel/2006/main">
          <x14:cfRule type="expression" priority="1052" id="{DEAB737B-5340-4885-8E49-48B9C830362C}">
            <xm:f>SEARCH(RefData!$B$2,$B$42)</xm:f>
            <x14:dxf>
              <fill>
                <patternFill>
                  <bgColor theme="0" tint="-0.14996795556505021"/>
                </patternFill>
              </fill>
            </x14:dxf>
          </x14:cfRule>
          <xm:sqref>A42:F42</xm:sqref>
        </x14:conditionalFormatting>
        <x14:conditionalFormatting xmlns:xm="http://schemas.microsoft.com/office/excel/2006/main">
          <x14:cfRule type="expression" priority="1053" id="{055C972E-A31B-458E-910E-BEBD4BE0E5C0}">
            <xm:f>SEARCH(RefData!$B$2,$B$43)</xm:f>
            <x14:dxf>
              <fill>
                <patternFill>
                  <bgColor theme="0" tint="-0.14996795556505021"/>
                </patternFill>
              </fill>
            </x14:dxf>
          </x14:cfRule>
          <xm:sqref>A43:F43</xm:sqref>
        </x14:conditionalFormatting>
        <x14:conditionalFormatting xmlns:xm="http://schemas.microsoft.com/office/excel/2006/main">
          <x14:cfRule type="expression" priority="1054" id="{20A768F0-ED92-4E8D-9916-8BBBD8E6E992}">
            <xm:f>SEARCH(RefData!$B$2,$B$44)</xm:f>
            <x14:dxf>
              <fill>
                <patternFill>
                  <bgColor theme="0" tint="-0.14996795556505021"/>
                </patternFill>
              </fill>
            </x14:dxf>
          </x14:cfRule>
          <xm:sqref>A44:F44</xm:sqref>
        </x14:conditionalFormatting>
        <x14:conditionalFormatting xmlns:xm="http://schemas.microsoft.com/office/excel/2006/main">
          <x14:cfRule type="expression" priority="1055" id="{2EED99A3-D067-4423-AB9E-014C445BC91C}">
            <xm:f>SEARCH(RefData!$B$2,$B$45)</xm:f>
            <x14:dxf>
              <fill>
                <patternFill>
                  <bgColor theme="0" tint="-0.14996795556505021"/>
                </patternFill>
              </fill>
            </x14:dxf>
          </x14:cfRule>
          <xm:sqref>A45:F45</xm:sqref>
        </x14:conditionalFormatting>
        <x14:conditionalFormatting xmlns:xm="http://schemas.microsoft.com/office/excel/2006/main">
          <x14:cfRule type="expression" priority="1056" id="{05228047-FF49-4848-84BB-4D6B7AEFED95}">
            <xm:f>SEARCH(RefData!$B$2,$B$46)</xm:f>
            <x14:dxf>
              <fill>
                <patternFill>
                  <bgColor theme="0" tint="-0.14996795556505021"/>
                </patternFill>
              </fill>
            </x14:dxf>
          </x14:cfRule>
          <xm:sqref>A46:F46</xm:sqref>
        </x14:conditionalFormatting>
        <x14:conditionalFormatting xmlns:xm="http://schemas.microsoft.com/office/excel/2006/main">
          <x14:cfRule type="expression" priority="1057" id="{87081FEF-A559-4CDA-A731-051D4FC1C3DD}">
            <xm:f>SEARCH(RefData!$B$2,$B$47)</xm:f>
            <x14:dxf>
              <fill>
                <patternFill>
                  <bgColor theme="0" tint="-0.14996795556505021"/>
                </patternFill>
              </fill>
            </x14:dxf>
          </x14:cfRule>
          <xm:sqref>A47:F47</xm:sqref>
        </x14:conditionalFormatting>
        <x14:conditionalFormatting xmlns:xm="http://schemas.microsoft.com/office/excel/2006/main">
          <x14:cfRule type="expression" priority="1058" id="{8368CE65-E2CF-42CF-BA30-6341CB55B305}">
            <xm:f>SEARCH(RefData!$B$2,$B$48)</xm:f>
            <x14:dxf>
              <fill>
                <patternFill>
                  <bgColor theme="0" tint="-0.14996795556505021"/>
                </patternFill>
              </fill>
            </x14:dxf>
          </x14:cfRule>
          <xm:sqref>A48:F48</xm:sqref>
        </x14:conditionalFormatting>
        <x14:conditionalFormatting xmlns:xm="http://schemas.microsoft.com/office/excel/2006/main">
          <x14:cfRule type="expression" priority="1059" id="{E004FEA5-3807-444A-92BA-A6653800D589}">
            <xm:f>SEARCH(RefData!$B$2,$B$49)</xm:f>
            <x14:dxf>
              <fill>
                <patternFill>
                  <bgColor theme="0" tint="-0.14996795556505021"/>
                </patternFill>
              </fill>
            </x14:dxf>
          </x14:cfRule>
          <xm:sqref>A49:F49</xm:sqref>
        </x14:conditionalFormatting>
        <x14:conditionalFormatting xmlns:xm="http://schemas.microsoft.com/office/excel/2006/main">
          <x14:cfRule type="expression" priority="1060" id="{95F5B58C-7D28-4D36-8C3C-CD36C984050E}">
            <xm:f>SEARCH(RefData!$B$2,$B$53)</xm:f>
            <x14:dxf>
              <fill>
                <patternFill>
                  <bgColor theme="0" tint="-0.14996795556505021"/>
                </patternFill>
              </fill>
            </x14:dxf>
          </x14:cfRule>
          <xm:sqref>A53:F53</xm:sqref>
        </x14:conditionalFormatting>
        <x14:conditionalFormatting xmlns:xm="http://schemas.microsoft.com/office/excel/2006/main">
          <x14:cfRule type="expression" priority="1061" id="{36B70F4C-1C58-42B0-8E57-FD7772E27772}">
            <xm:f>SEARCH(RefData!$B$2,$B$54)</xm:f>
            <x14:dxf>
              <fill>
                <patternFill>
                  <bgColor theme="0" tint="-0.14996795556505021"/>
                </patternFill>
              </fill>
            </x14:dxf>
          </x14:cfRule>
          <xm:sqref>A54:F54</xm:sqref>
        </x14:conditionalFormatting>
        <x14:conditionalFormatting xmlns:xm="http://schemas.microsoft.com/office/excel/2006/main">
          <x14:cfRule type="expression" priority="1062" id="{20CA249D-D5C3-46FF-9821-09E9D95B08EE}">
            <xm:f>SEARCH(RefData!$B$2,$B$55)</xm:f>
            <x14:dxf>
              <fill>
                <patternFill>
                  <bgColor theme="0" tint="-0.14996795556505021"/>
                </patternFill>
              </fill>
            </x14:dxf>
          </x14:cfRule>
          <xm:sqref>A55:F55</xm:sqref>
        </x14:conditionalFormatting>
        <x14:conditionalFormatting xmlns:xm="http://schemas.microsoft.com/office/excel/2006/main">
          <x14:cfRule type="expression" priority="1063" id="{88777D3E-9049-4FA6-B002-F947BD4C5589}">
            <xm:f>SEARCH(RefData!$B$2,$B$56)</xm:f>
            <x14:dxf>
              <fill>
                <patternFill>
                  <bgColor theme="0" tint="-0.14996795556505021"/>
                </patternFill>
              </fill>
            </x14:dxf>
          </x14:cfRule>
          <xm:sqref>A56:F56</xm:sqref>
        </x14:conditionalFormatting>
        <x14:conditionalFormatting xmlns:xm="http://schemas.microsoft.com/office/excel/2006/main">
          <x14:cfRule type="expression" priority="1064" id="{352ED2F1-2FBD-41FE-A759-52A2D7B9E3CE}">
            <xm:f>SEARCH(RefData!$B$2,$B$57)</xm:f>
            <x14:dxf>
              <fill>
                <patternFill>
                  <bgColor theme="0" tint="-0.14996795556505021"/>
                </patternFill>
              </fill>
            </x14:dxf>
          </x14:cfRule>
          <xm:sqref>A57:F57</xm:sqref>
        </x14:conditionalFormatting>
        <x14:conditionalFormatting xmlns:xm="http://schemas.microsoft.com/office/excel/2006/main">
          <x14:cfRule type="expression" priority="1065" id="{AE59E3C5-5379-4D3B-A19C-228144FCCCD6}">
            <xm:f>SEARCH(RefData!$B$2,$B$59)</xm:f>
            <x14:dxf>
              <fill>
                <patternFill>
                  <bgColor theme="0" tint="-0.14996795556505021"/>
                </patternFill>
              </fill>
            </x14:dxf>
          </x14:cfRule>
          <xm:sqref>A59:F59</xm:sqref>
        </x14:conditionalFormatting>
        <x14:conditionalFormatting xmlns:xm="http://schemas.microsoft.com/office/excel/2006/main">
          <x14:cfRule type="expression" priority="1066" id="{9ECA503F-E54F-4C9E-8F26-0A1D97D767F9}">
            <xm:f>SEARCH(RefData!$B$2,$B$60)</xm:f>
            <x14:dxf>
              <fill>
                <patternFill>
                  <bgColor theme="0" tint="-0.14996795556505021"/>
                </patternFill>
              </fill>
            </x14:dxf>
          </x14:cfRule>
          <xm:sqref>A60:F60</xm:sqref>
        </x14:conditionalFormatting>
        <x14:conditionalFormatting xmlns:xm="http://schemas.microsoft.com/office/excel/2006/main">
          <x14:cfRule type="expression" priority="1067" id="{EFA75F83-F7AE-4E61-8C46-E19D83B6C12B}">
            <xm:f>SEARCH(RefData!$B$2,$B$61)</xm:f>
            <x14:dxf>
              <fill>
                <patternFill>
                  <bgColor theme="0" tint="-0.14996795556505021"/>
                </patternFill>
              </fill>
            </x14:dxf>
          </x14:cfRule>
          <xm:sqref>A61:F61</xm:sqref>
        </x14:conditionalFormatting>
        <x14:conditionalFormatting xmlns:xm="http://schemas.microsoft.com/office/excel/2006/main">
          <x14:cfRule type="expression" priority="1068" id="{28115870-6E8D-46D9-98C8-3C8D684E759C}">
            <xm:f>SEARCH(RefData!$B$2,$B$66)</xm:f>
            <x14:dxf>
              <fill>
                <patternFill>
                  <bgColor theme="0" tint="-0.14996795556505021"/>
                </patternFill>
              </fill>
            </x14:dxf>
          </x14:cfRule>
          <xm:sqref>A66:F66</xm:sqref>
        </x14:conditionalFormatting>
        <x14:conditionalFormatting xmlns:xm="http://schemas.microsoft.com/office/excel/2006/main">
          <x14:cfRule type="expression" priority="1069" id="{0AA65B50-D552-4283-9977-3D5A86AE13A9}">
            <xm:f>SEARCH(RefData!$B$2,$B$67)</xm:f>
            <x14:dxf>
              <fill>
                <patternFill>
                  <bgColor theme="0" tint="-0.14996795556505021"/>
                </patternFill>
              </fill>
            </x14:dxf>
          </x14:cfRule>
          <xm:sqref>A67:F67</xm:sqref>
        </x14:conditionalFormatting>
        <x14:conditionalFormatting xmlns:xm="http://schemas.microsoft.com/office/excel/2006/main">
          <x14:cfRule type="expression" priority="1070" id="{E09E93A9-64B5-460D-97E1-D22FE6149B4C}">
            <xm:f>SEARCH(RefData!$B$2,$B$68)</xm:f>
            <x14:dxf>
              <fill>
                <patternFill>
                  <bgColor theme="0" tint="-0.14996795556505021"/>
                </patternFill>
              </fill>
            </x14:dxf>
          </x14:cfRule>
          <xm:sqref>A68:F68</xm:sqref>
        </x14:conditionalFormatting>
        <x14:conditionalFormatting xmlns:xm="http://schemas.microsoft.com/office/excel/2006/main">
          <x14:cfRule type="expression" priority="1071" id="{57551CFC-D958-48E1-8CED-37268B72276B}">
            <xm:f>SEARCH(RefData!$B$2,$B$69)</xm:f>
            <x14:dxf>
              <fill>
                <patternFill>
                  <bgColor theme="0" tint="-0.14996795556505021"/>
                </patternFill>
              </fill>
            </x14:dxf>
          </x14:cfRule>
          <xm:sqref>A69:F69</xm:sqref>
        </x14:conditionalFormatting>
        <x14:conditionalFormatting xmlns:xm="http://schemas.microsoft.com/office/excel/2006/main">
          <x14:cfRule type="expression" priority="1072" id="{4EB6A4BA-2AF3-496A-8E4D-4FD10B2E21A8}">
            <xm:f>SEARCH(RefData!$B$2,$B$70)</xm:f>
            <x14:dxf>
              <fill>
                <patternFill>
                  <bgColor theme="0" tint="-0.14996795556505021"/>
                </patternFill>
              </fill>
            </x14:dxf>
          </x14:cfRule>
          <xm:sqref>A70:F70</xm:sqref>
        </x14:conditionalFormatting>
        <x14:conditionalFormatting xmlns:xm="http://schemas.microsoft.com/office/excel/2006/main">
          <x14:cfRule type="expression" priority="1073" id="{B22E0F9F-4D09-4338-9E09-98718589A11E}">
            <xm:f>SEARCH(RefData!$B$2,$B$71)</xm:f>
            <x14:dxf>
              <fill>
                <patternFill>
                  <bgColor theme="0" tint="-0.14996795556505021"/>
                </patternFill>
              </fill>
            </x14:dxf>
          </x14:cfRule>
          <xm:sqref>A71:F71</xm:sqref>
        </x14:conditionalFormatting>
        <x14:conditionalFormatting xmlns:xm="http://schemas.microsoft.com/office/excel/2006/main">
          <x14:cfRule type="expression" priority="1074" id="{7AE9FF83-1050-4FF7-9A48-4E3B3BC7128F}">
            <xm:f>SEARCH(RefData!$B$2,$B$72)</xm:f>
            <x14:dxf>
              <fill>
                <patternFill>
                  <bgColor theme="0" tint="-0.14996795556505021"/>
                </patternFill>
              </fill>
            </x14:dxf>
          </x14:cfRule>
          <xm:sqref>A72:F72</xm:sqref>
        </x14:conditionalFormatting>
        <x14:conditionalFormatting xmlns:xm="http://schemas.microsoft.com/office/excel/2006/main">
          <x14:cfRule type="expression" priority="1075" id="{8B78228A-35DD-4635-B50C-115726DFD1E1}">
            <xm:f>SEARCH(RefData!$B$2,$B$76)</xm:f>
            <x14:dxf>
              <fill>
                <patternFill>
                  <bgColor theme="0" tint="-0.14996795556505021"/>
                </patternFill>
              </fill>
            </x14:dxf>
          </x14:cfRule>
          <xm:sqref>A76:F76</xm:sqref>
        </x14:conditionalFormatting>
        <x14:conditionalFormatting xmlns:xm="http://schemas.microsoft.com/office/excel/2006/main">
          <x14:cfRule type="expression" priority="1076" id="{7AEA561D-7859-4296-850A-42AFAAA0CA93}">
            <xm:f>SEARCH(RefData!$B$2,$B$77)</xm:f>
            <x14:dxf>
              <fill>
                <patternFill>
                  <bgColor theme="0" tint="-0.14996795556505021"/>
                </patternFill>
              </fill>
            </x14:dxf>
          </x14:cfRule>
          <xm:sqref>A77:F77</xm:sqref>
        </x14:conditionalFormatting>
        <x14:conditionalFormatting xmlns:xm="http://schemas.microsoft.com/office/excel/2006/main">
          <x14:cfRule type="expression" priority="1077" id="{104679E9-A6BF-45C5-8561-FEDCB66CABEF}">
            <xm:f>SEARCH(RefData!$B$2,$B$78)</xm:f>
            <x14:dxf>
              <fill>
                <patternFill>
                  <bgColor theme="0" tint="-0.14996795556505021"/>
                </patternFill>
              </fill>
            </x14:dxf>
          </x14:cfRule>
          <xm:sqref>A78:F78</xm:sqref>
        </x14:conditionalFormatting>
        <x14:conditionalFormatting xmlns:xm="http://schemas.microsoft.com/office/excel/2006/main">
          <x14:cfRule type="expression" priority="1078" id="{7E41BEB0-D53F-4428-A7E3-889FCAC9A13C}">
            <xm:f>SEARCH(RefData!$B$2,$B$79)</xm:f>
            <x14:dxf>
              <fill>
                <patternFill>
                  <bgColor theme="0" tint="-0.14996795556505021"/>
                </patternFill>
              </fill>
            </x14:dxf>
          </x14:cfRule>
          <xm:sqref>A79:F79</xm:sqref>
        </x14:conditionalFormatting>
        <x14:conditionalFormatting xmlns:xm="http://schemas.microsoft.com/office/excel/2006/main">
          <x14:cfRule type="expression" priority="1079" id="{56AAE1E8-A108-4675-BBD4-AAD5B9442142}">
            <xm:f>SEARCH(RefData!$B$2,$B$80)</xm:f>
            <x14:dxf>
              <fill>
                <patternFill>
                  <bgColor theme="0" tint="-0.14996795556505021"/>
                </patternFill>
              </fill>
            </x14:dxf>
          </x14:cfRule>
          <xm:sqref>A80:F80</xm:sqref>
        </x14:conditionalFormatting>
        <x14:conditionalFormatting xmlns:xm="http://schemas.microsoft.com/office/excel/2006/main">
          <x14:cfRule type="expression" priority="1080" id="{7CD02A5F-EE84-483E-BDDE-C9A675A78509}">
            <xm:f>SEARCH(RefData!$B$2,$B$82)</xm:f>
            <x14:dxf>
              <fill>
                <patternFill>
                  <bgColor theme="0" tint="-0.14996795556505021"/>
                </patternFill>
              </fill>
            </x14:dxf>
          </x14:cfRule>
          <xm:sqref>A82:F82</xm:sqref>
        </x14:conditionalFormatting>
        <x14:conditionalFormatting xmlns:xm="http://schemas.microsoft.com/office/excel/2006/main">
          <x14:cfRule type="expression" priority="1081" id="{4358CE87-A29F-469E-9BE8-98DDF6E3ED55}">
            <xm:f>SEARCH(RefData!$B$2,$B$83)</xm:f>
            <x14:dxf>
              <fill>
                <patternFill>
                  <bgColor theme="0" tint="-0.14996795556505021"/>
                </patternFill>
              </fill>
            </x14:dxf>
          </x14:cfRule>
          <xm:sqref>A83:F83</xm:sqref>
        </x14:conditionalFormatting>
        <x14:conditionalFormatting xmlns:xm="http://schemas.microsoft.com/office/excel/2006/main">
          <x14:cfRule type="expression" priority="1082" id="{F3E0D078-97D8-40DC-8754-A2AAF1CE2EC8}">
            <xm:f>SEARCH(RefData!$B$2,$B$84)</xm:f>
            <x14:dxf>
              <fill>
                <patternFill>
                  <bgColor theme="0" tint="-0.14996795556505021"/>
                </patternFill>
              </fill>
            </x14:dxf>
          </x14:cfRule>
          <xm:sqref>A84:F84</xm:sqref>
        </x14:conditionalFormatting>
        <x14:conditionalFormatting xmlns:xm="http://schemas.microsoft.com/office/excel/2006/main">
          <x14:cfRule type="expression" priority="1083" id="{3100D31B-CEA7-4184-BABF-00C77C081539}">
            <xm:f>SEARCH(RefData!$B$2,$B$89)</xm:f>
            <x14:dxf>
              <fill>
                <patternFill>
                  <bgColor theme="0" tint="-0.14996795556505021"/>
                </patternFill>
              </fill>
            </x14:dxf>
          </x14:cfRule>
          <xm:sqref>A89:F89</xm:sqref>
        </x14:conditionalFormatting>
        <x14:conditionalFormatting xmlns:xm="http://schemas.microsoft.com/office/excel/2006/main">
          <x14:cfRule type="expression" priority="1084" id="{B36AD912-4289-414F-AF09-79B570E28D4F}">
            <xm:f>SEARCH(RefData!$B$2,$B$90)</xm:f>
            <x14:dxf>
              <fill>
                <patternFill>
                  <bgColor theme="0" tint="-0.14996795556505021"/>
                </patternFill>
              </fill>
            </x14:dxf>
          </x14:cfRule>
          <xm:sqref>A90:F90</xm:sqref>
        </x14:conditionalFormatting>
        <x14:conditionalFormatting xmlns:xm="http://schemas.microsoft.com/office/excel/2006/main">
          <x14:cfRule type="expression" priority="1085" id="{5CBE7B91-CA2C-44C0-9E05-57CA55C0448F}">
            <xm:f>SEARCH(RefData!$B$2,$B$91)</xm:f>
            <x14:dxf>
              <fill>
                <patternFill>
                  <bgColor theme="0" tint="-0.14996795556505021"/>
                </patternFill>
              </fill>
            </x14:dxf>
          </x14:cfRule>
          <xm:sqref>A91:F91</xm:sqref>
        </x14:conditionalFormatting>
        <x14:conditionalFormatting xmlns:xm="http://schemas.microsoft.com/office/excel/2006/main">
          <x14:cfRule type="expression" priority="1086" id="{CEE81DC1-4A49-4F02-A42B-01F0469C4C17}">
            <xm:f>SEARCH(RefData!$B$2,$B$92)</xm:f>
            <x14:dxf>
              <fill>
                <patternFill>
                  <bgColor theme="0" tint="-0.14996795556505021"/>
                </patternFill>
              </fill>
            </x14:dxf>
          </x14:cfRule>
          <xm:sqref>A92:F92</xm:sqref>
        </x14:conditionalFormatting>
        <x14:conditionalFormatting xmlns:xm="http://schemas.microsoft.com/office/excel/2006/main">
          <x14:cfRule type="expression" priority="1087" id="{A6330EEB-1665-4692-858E-1E93C90A856C}">
            <xm:f>SEARCH(RefData!$B$2,$B$93)</xm:f>
            <x14:dxf>
              <fill>
                <patternFill>
                  <bgColor theme="0" tint="-0.14996795556505021"/>
                </patternFill>
              </fill>
            </x14:dxf>
          </x14:cfRule>
          <xm:sqref>A93:F93</xm:sqref>
        </x14:conditionalFormatting>
        <x14:conditionalFormatting xmlns:xm="http://schemas.microsoft.com/office/excel/2006/main">
          <x14:cfRule type="expression" priority="1088" id="{58BBF137-F276-4491-A739-0DCB85969888}">
            <xm:f>SEARCH(RefData!$B$2,$B$94)</xm:f>
            <x14:dxf>
              <fill>
                <patternFill>
                  <bgColor theme="0" tint="-0.14996795556505021"/>
                </patternFill>
              </fill>
            </x14:dxf>
          </x14:cfRule>
          <xm:sqref>A94:F94</xm:sqref>
        </x14:conditionalFormatting>
        <x14:conditionalFormatting xmlns:xm="http://schemas.microsoft.com/office/excel/2006/main">
          <x14:cfRule type="expression" priority="1089" id="{42C143FE-E22B-44F9-B355-4F5CA5B1E506}">
            <xm:f>SEARCH(RefData!$B$2,$B$95)</xm:f>
            <x14:dxf>
              <fill>
                <patternFill>
                  <bgColor theme="0" tint="-0.14996795556505021"/>
                </patternFill>
              </fill>
            </x14:dxf>
          </x14:cfRule>
          <xm:sqref>A95:F95</xm:sqref>
        </x14:conditionalFormatting>
        <x14:conditionalFormatting xmlns:xm="http://schemas.microsoft.com/office/excel/2006/main">
          <x14:cfRule type="expression" priority="1090" id="{52C1B49F-A318-445D-B592-DDB14D72207A}">
            <xm:f>SEARCH(RefData!$B$2,$B$99)</xm:f>
            <x14:dxf>
              <fill>
                <patternFill>
                  <bgColor theme="0" tint="-0.14996795556505021"/>
                </patternFill>
              </fill>
            </x14:dxf>
          </x14:cfRule>
          <xm:sqref>A99:F99</xm:sqref>
        </x14:conditionalFormatting>
        <x14:conditionalFormatting xmlns:xm="http://schemas.microsoft.com/office/excel/2006/main">
          <x14:cfRule type="expression" priority="1091" id="{CB15D16A-C336-4F8C-8943-9E2042FB9068}">
            <xm:f>SEARCH(RefData!$B$2,$B$100)</xm:f>
            <x14:dxf>
              <fill>
                <patternFill>
                  <bgColor theme="0" tint="-0.14996795556505021"/>
                </patternFill>
              </fill>
            </x14:dxf>
          </x14:cfRule>
          <xm:sqref>A100:F100</xm:sqref>
        </x14:conditionalFormatting>
        <x14:conditionalFormatting xmlns:xm="http://schemas.microsoft.com/office/excel/2006/main">
          <x14:cfRule type="expression" priority="1092" id="{1B255E38-EA4E-4E9B-B533-959D2090796D}">
            <xm:f>SEARCH(RefData!$B$2,$B$101)</xm:f>
            <x14:dxf>
              <fill>
                <patternFill>
                  <bgColor theme="0" tint="-0.14996795556505021"/>
                </patternFill>
              </fill>
            </x14:dxf>
          </x14:cfRule>
          <xm:sqref>A101:F101</xm:sqref>
        </x14:conditionalFormatting>
        <x14:conditionalFormatting xmlns:xm="http://schemas.microsoft.com/office/excel/2006/main">
          <x14:cfRule type="expression" priority="1093" id="{BECDAA65-36F8-4BD3-B97E-A10337012284}">
            <xm:f>SEARCH(RefData!$B$2,$B$102)</xm:f>
            <x14:dxf>
              <fill>
                <patternFill>
                  <bgColor theme="0" tint="-0.14996795556505021"/>
                </patternFill>
              </fill>
            </x14:dxf>
          </x14:cfRule>
          <xm:sqref>A102:F102</xm:sqref>
        </x14:conditionalFormatting>
        <x14:conditionalFormatting xmlns:xm="http://schemas.microsoft.com/office/excel/2006/main">
          <x14:cfRule type="expression" priority="1094" id="{CE176B80-AE31-43D2-A7D5-DBEF22BA1D41}">
            <xm:f>SEARCH(RefData!$B$2,$B$103)</xm:f>
            <x14:dxf>
              <fill>
                <patternFill>
                  <bgColor theme="0" tint="-0.14996795556505021"/>
                </patternFill>
              </fill>
            </x14:dxf>
          </x14:cfRule>
          <xm:sqref>A103:F103</xm:sqref>
        </x14:conditionalFormatting>
        <x14:conditionalFormatting xmlns:xm="http://schemas.microsoft.com/office/excel/2006/main">
          <x14:cfRule type="expression" priority="1095" id="{98D71662-56AA-4FDB-A34C-7593A6D1FF13}">
            <xm:f>SEARCH(RefData!$B$2,$B$105)</xm:f>
            <x14:dxf>
              <fill>
                <patternFill>
                  <bgColor theme="0" tint="-0.14996795556505021"/>
                </patternFill>
              </fill>
            </x14:dxf>
          </x14:cfRule>
          <xm:sqref>A105:F105</xm:sqref>
        </x14:conditionalFormatting>
        <x14:conditionalFormatting xmlns:xm="http://schemas.microsoft.com/office/excel/2006/main">
          <x14:cfRule type="expression" priority="1096" id="{4F33D878-672C-4AD5-9313-C391AC508958}">
            <xm:f>SEARCH(RefData!$B$2,$B$106)</xm:f>
            <x14:dxf>
              <fill>
                <patternFill>
                  <bgColor theme="0" tint="-0.14996795556505021"/>
                </patternFill>
              </fill>
            </x14:dxf>
          </x14:cfRule>
          <xm:sqref>A106:F106</xm:sqref>
        </x14:conditionalFormatting>
        <x14:conditionalFormatting xmlns:xm="http://schemas.microsoft.com/office/excel/2006/main">
          <x14:cfRule type="expression" priority="1097" id="{A37DB718-6AFD-4E66-BB8B-D4542BE7117B}">
            <xm:f>SEARCH(RefData!$B$2,$B$107)</xm:f>
            <x14:dxf>
              <fill>
                <patternFill>
                  <bgColor theme="0" tint="-0.14996795556505021"/>
                </patternFill>
              </fill>
            </x14:dxf>
          </x14:cfRule>
          <xm:sqref>A107:F107</xm:sqref>
        </x14:conditionalFormatting>
        <x14:conditionalFormatting xmlns:xm="http://schemas.microsoft.com/office/excel/2006/main">
          <x14:cfRule type="expression" priority="1098" id="{2A7E4A83-8109-4F80-A30A-19560E08AE15}">
            <xm:f>SEARCH(RefData!$B$2,$B$112)</xm:f>
            <x14:dxf>
              <fill>
                <patternFill>
                  <bgColor theme="0" tint="-0.14996795556505021"/>
                </patternFill>
              </fill>
            </x14:dxf>
          </x14:cfRule>
          <xm:sqref>A112:F112</xm:sqref>
        </x14:conditionalFormatting>
        <x14:conditionalFormatting xmlns:xm="http://schemas.microsoft.com/office/excel/2006/main">
          <x14:cfRule type="expression" priority="1099" id="{F73402BD-B073-41DB-9A4C-F2ACB5432FE2}">
            <xm:f>SEARCH(RefData!$B$2,$B$113)</xm:f>
            <x14:dxf>
              <fill>
                <patternFill>
                  <bgColor theme="0" tint="-0.14996795556505021"/>
                </patternFill>
              </fill>
            </x14:dxf>
          </x14:cfRule>
          <xm:sqref>A113:F113</xm:sqref>
        </x14:conditionalFormatting>
        <x14:conditionalFormatting xmlns:xm="http://schemas.microsoft.com/office/excel/2006/main">
          <x14:cfRule type="expression" priority="1100" id="{CFB71C25-60A4-44AF-9660-2285F0A047DB}">
            <xm:f>SEARCH(RefData!$B$2,$B$114)</xm:f>
            <x14:dxf>
              <fill>
                <patternFill>
                  <bgColor theme="0" tint="-0.14996795556505021"/>
                </patternFill>
              </fill>
            </x14:dxf>
          </x14:cfRule>
          <xm:sqref>A114:F114</xm:sqref>
        </x14:conditionalFormatting>
        <x14:conditionalFormatting xmlns:xm="http://schemas.microsoft.com/office/excel/2006/main">
          <x14:cfRule type="expression" priority="1101" id="{EF445618-9095-4D8A-8A7A-26FF4DD2C652}">
            <xm:f>SEARCH(RefData!$B$2,$B$115)</xm:f>
            <x14:dxf>
              <fill>
                <patternFill>
                  <bgColor theme="0" tint="-0.14996795556505021"/>
                </patternFill>
              </fill>
            </x14:dxf>
          </x14:cfRule>
          <xm:sqref>A115:F115</xm:sqref>
        </x14:conditionalFormatting>
        <x14:conditionalFormatting xmlns:xm="http://schemas.microsoft.com/office/excel/2006/main">
          <x14:cfRule type="expression" priority="1102" id="{190D1770-C27B-4D49-94CF-C7D2DFDF166A}">
            <xm:f>SEARCH(RefData!$B$2,$B$116)</xm:f>
            <x14:dxf>
              <fill>
                <patternFill>
                  <bgColor theme="0" tint="-0.14996795556505021"/>
                </patternFill>
              </fill>
            </x14:dxf>
          </x14:cfRule>
          <xm:sqref>A116:F116</xm:sqref>
        </x14:conditionalFormatting>
        <x14:conditionalFormatting xmlns:xm="http://schemas.microsoft.com/office/excel/2006/main">
          <x14:cfRule type="expression" priority="1103" id="{F7389A02-A2B9-49FE-B03C-9AFAA1472666}">
            <xm:f>SEARCH(RefData!$B$2,$B$117)</xm:f>
            <x14:dxf>
              <fill>
                <patternFill>
                  <bgColor theme="0" tint="-0.14996795556505021"/>
                </patternFill>
              </fill>
            </x14:dxf>
          </x14:cfRule>
          <xm:sqref>A117:F117</xm:sqref>
        </x14:conditionalFormatting>
        <x14:conditionalFormatting xmlns:xm="http://schemas.microsoft.com/office/excel/2006/main">
          <x14:cfRule type="expression" priority="1104" id="{A1857919-0D5E-4EBC-89A8-FDDC9096B82A}">
            <xm:f>SEARCH(RefData!$B$2,$B$118)</xm:f>
            <x14:dxf>
              <fill>
                <patternFill>
                  <bgColor theme="0" tint="-0.14996795556505021"/>
                </patternFill>
              </fill>
            </x14:dxf>
          </x14:cfRule>
          <xm:sqref>A118:F118</xm:sqref>
        </x14:conditionalFormatting>
        <x14:conditionalFormatting xmlns:xm="http://schemas.microsoft.com/office/excel/2006/main">
          <x14:cfRule type="expression" priority="9" id="{3CC37484-D198-439A-A0FE-076DA4395A17}">
            <xm:f>SEARCH(RefData!$B$2,$B$16)</xm:f>
            <x14:dxf>
              <fill>
                <patternFill>
                  <bgColor theme="0" tint="-0.14996795556505021"/>
                </patternFill>
              </fill>
            </x14:dxf>
          </x14:cfRule>
          <xm:sqref>E62</xm:sqref>
        </x14:conditionalFormatting>
        <x14:conditionalFormatting xmlns:xm="http://schemas.microsoft.com/office/excel/2006/main">
          <x14:cfRule type="expression" priority="8" id="{A01FAD5B-E27E-4726-A253-175E1FD784C2}">
            <xm:f>SEARCH(RefData!$B$2,$B$16)</xm:f>
            <x14:dxf>
              <fill>
                <patternFill>
                  <bgColor theme="0" tint="-0.14996795556505021"/>
                </patternFill>
              </fill>
            </x14:dxf>
          </x14:cfRule>
          <xm:sqref>E85</xm:sqref>
        </x14:conditionalFormatting>
        <x14:conditionalFormatting xmlns:xm="http://schemas.microsoft.com/office/excel/2006/main">
          <x14:cfRule type="expression" priority="7" id="{C3DBD8B7-77C3-470F-B129-A130A925CFD5}">
            <xm:f>SEARCH(RefData!$B$2,$B$16)</xm:f>
            <x14:dxf>
              <fill>
                <patternFill>
                  <bgColor theme="0" tint="-0.14996795556505021"/>
                </patternFill>
              </fill>
            </x14:dxf>
          </x14:cfRule>
          <xm:sqref>E108</xm:sqref>
        </x14:conditionalFormatting>
        <x14:conditionalFormatting xmlns:xm="http://schemas.microsoft.com/office/excel/2006/main">
          <x14:cfRule type="expression" priority="13" id="{EAF0A7BB-223E-4A52-83A6-5D5EB0723EA1}">
            <xm:f>SEARCH(RefData!$B$2,$B$12)</xm:f>
            <x14:dxf>
              <fill>
                <patternFill>
                  <bgColor theme="0" tint="-0.14996795556505021"/>
                </patternFill>
              </fill>
            </x14:dxf>
          </x14:cfRule>
          <xm:sqref>F58</xm:sqref>
        </x14:conditionalFormatting>
        <x14:conditionalFormatting xmlns:xm="http://schemas.microsoft.com/office/excel/2006/main">
          <x14:cfRule type="expression" priority="12" id="{A2E4C598-9D08-4538-8F75-AF8379F8FFEE}">
            <xm:f>SEARCH(RefData!$B$2,$B$12)</xm:f>
            <x14:dxf>
              <fill>
                <patternFill>
                  <bgColor theme="0" tint="-0.14996795556505021"/>
                </patternFill>
              </fill>
            </x14:dxf>
          </x14:cfRule>
          <xm:sqref>F81</xm:sqref>
        </x14:conditionalFormatting>
        <x14:conditionalFormatting xmlns:xm="http://schemas.microsoft.com/office/excel/2006/main">
          <x14:cfRule type="expression" priority="11" id="{685AD70D-502F-42D3-AD05-FF411E25E880}">
            <xm:f>SEARCH(RefData!$B$2,$B$12)</xm:f>
            <x14:dxf>
              <fill>
                <patternFill>
                  <bgColor theme="0" tint="-0.14996795556505021"/>
                </patternFill>
              </fill>
            </x14:dxf>
          </x14:cfRule>
          <xm:sqref>F104</xm:sqref>
        </x14:conditionalFormatting>
      </x14:conditionalFormattings>
    </ext>
    <ext xmlns:x14="http://schemas.microsoft.com/office/spreadsheetml/2009/9/main" uri="{CCE6A557-97BC-4b89-ADB6-D9C93CAAB3DF}">
      <x14:dataValidations xmlns:xm="http://schemas.microsoft.com/office/excel/2006/main" xWindow="764" yWindow="427" count="5">
        <x14:dataValidation type="date" operator="greaterThan" allowBlank="1" showInputMessage="1" showErrorMessage="1" errorTitle="There is a problem" error="Enter a date in the format dd/mm/yyyy" promptTitle="Enter a date" prompt="Enter a date (dd/mm/yyyy)" xr:uid="{673CF555-7F36-4074-B481-9B3661472EC1}">
          <x14:formula1>
            <xm:f>'Start here'!$C$21</xm:f>
          </x14:formula1>
          <xm:sqref>C102 C10 C33 C56 C79</xm:sqref>
        </x14:dataValidation>
        <x14:dataValidation type="list" allowBlank="1" showInputMessage="1" showErrorMessage="1" errorTitle="There is a problem" error="You must select your answer from the drop-down list." promptTitle="Select an answer" prompt="Choose from the list provided" xr:uid="{52E0E572-ADFD-429D-8892-43504132F81B}">
          <x14:formula1>
            <xm:f>RefData!$B$161:$B$165</xm:f>
          </x14:formula1>
          <xm:sqref>C99 C7 C30 C53 C76</xm:sqref>
        </x14:dataValidation>
        <x14:dataValidation type="list" allowBlank="1" showInputMessage="1" showErrorMessage="1" errorTitle="There is a problem" error="You must select your answer from the drop-down list." promptTitle="Select an answer" prompt="Choose from a list provided" xr:uid="{49FCC05D-D4B7-44A1-847C-7A81F7BE61A8}">
          <x14:formula1>
            <xm:f>RefData!$B$166:$B$168</xm:f>
          </x14:formula1>
          <xm:sqref>C9 C101 C78 C55 C32</xm:sqref>
        </x14:dataValidation>
        <x14:dataValidation type="list" allowBlank="1" showInputMessage="1" showErrorMessage="1" errorTitle="There is a problem" error="You must select your answer from the drop-down list" promptTitle="Select an answer" prompt="Choose from the list provided" xr:uid="{E6E9C0BF-B4EA-4585-9836-17D936743783}">
          <x14:formula1>
            <xm:f>RefData!$B$169:$B$175</xm:f>
          </x14:formula1>
          <xm:sqref>C14 C106 C83 C60 C37</xm:sqref>
        </x14:dataValidation>
        <x14:dataValidation type="list" allowBlank="1" showInputMessage="1" showErrorMessage="1" errorTitle="There is a problem" error="You must select 'Yes' or 'No' from the drop-down list" promptTitle="Select an answer" prompt="Choose from the list provided" xr:uid="{87526439-757A-469B-9735-21EF493AF4B4}">
          <x14:formula1>
            <xm:f>RefData!$B$204:$B$205</xm:f>
          </x14:formula1>
          <xm:sqref>C20:C24 C112:C116 C89:C93 C66:C70 C43:C47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E20DB-EF95-415A-906A-A838D516E29E}">
  <sheetPr codeName="Sheet28"/>
  <dimension ref="A1:XFC78"/>
  <sheetViews>
    <sheetView zoomScaleNormal="100" workbookViewId="0">
      <selection sqref="A1:B1"/>
    </sheetView>
  </sheetViews>
  <sheetFormatPr defaultColWidth="0" defaultRowHeight="0" customHeight="1" zeroHeight="1"/>
  <cols>
    <col min="1" max="1" width="14.69140625" style="20" customWidth="1"/>
    <col min="2" max="2" width="62.69140625" style="20" customWidth="1"/>
    <col min="3" max="3" width="28.69140625" style="36" customWidth="1"/>
    <col min="4" max="6" width="62.69140625" style="20" customWidth="1"/>
    <col min="7" max="13" width="33.69140625" style="20" hidden="1" customWidth="1"/>
    <col min="14" max="16383" width="8.69140625" style="20" hidden="1"/>
    <col min="16384" max="16384" width="18" style="20" hidden="1"/>
  </cols>
  <sheetData>
    <row r="1" spans="1:13" s="142" customFormat="1" ht="50.15" customHeight="1" thickBot="1">
      <c r="A1" s="747" t="s">
        <v>1397</v>
      </c>
      <c r="B1" s="748"/>
      <c r="C1" s="240"/>
      <c r="D1" s="13"/>
      <c r="E1" s="13"/>
      <c r="F1" s="13"/>
      <c r="G1" s="27"/>
      <c r="H1" s="27"/>
      <c r="I1" s="27"/>
      <c r="J1" s="27"/>
      <c r="K1" s="27"/>
      <c r="L1" s="27"/>
      <c r="M1" s="27"/>
    </row>
    <row r="2" spans="1:13" s="142" customFormat="1" ht="50.15" customHeight="1" thickTop="1" thickBot="1">
      <c r="A2" s="742" t="s">
        <v>85</v>
      </c>
      <c r="B2" s="742"/>
      <c r="C2" s="241"/>
      <c r="D2" s="57"/>
      <c r="E2" s="57"/>
      <c r="F2" s="57"/>
      <c r="G2" s="27"/>
      <c r="H2" s="27"/>
      <c r="I2" s="27"/>
      <c r="J2" s="27"/>
      <c r="K2" s="27"/>
      <c r="L2" s="27"/>
      <c r="M2" s="27"/>
    </row>
    <row r="3" spans="1:13" s="142" customFormat="1" ht="355.5" customHeight="1" thickTop="1" thickBot="1">
      <c r="A3" s="766" t="s">
        <v>1398</v>
      </c>
      <c r="B3" s="787"/>
      <c r="C3" s="242"/>
      <c r="D3" s="26"/>
      <c r="E3" s="26"/>
      <c r="F3" s="26"/>
      <c r="G3" s="27"/>
      <c r="H3" s="27"/>
      <c r="I3" s="27"/>
      <c r="J3" s="27"/>
      <c r="K3" s="27"/>
      <c r="L3" s="27"/>
      <c r="M3" s="27"/>
    </row>
    <row r="4" spans="1:13" s="143" customFormat="1" ht="20.149999999999999" customHeight="1" thickBot="1">
      <c r="A4" s="69"/>
      <c r="B4" s="69"/>
      <c r="C4" s="69" t="s">
        <v>23</v>
      </c>
      <c r="D4" s="68"/>
      <c r="E4" s="68"/>
      <c r="F4" s="68"/>
      <c r="G4" s="32"/>
      <c r="H4" s="32"/>
      <c r="I4" s="32"/>
      <c r="J4" s="32"/>
      <c r="K4" s="32"/>
      <c r="L4" s="32"/>
      <c r="M4" s="32"/>
    </row>
    <row r="5" spans="1:13" s="144" customFormat="1" ht="50.15" customHeight="1" thickBot="1">
      <c r="A5" s="755" t="s">
        <v>1399</v>
      </c>
      <c r="B5" s="755"/>
      <c r="C5" s="241"/>
      <c r="D5" s="57"/>
      <c r="E5" s="57"/>
      <c r="F5" s="57"/>
      <c r="G5" s="21"/>
      <c r="H5" s="21"/>
      <c r="I5" s="21"/>
      <c r="J5" s="21"/>
      <c r="K5" s="21"/>
      <c r="L5" s="21"/>
      <c r="M5" s="21"/>
    </row>
    <row r="6" spans="1:13" s="47" customFormat="1" ht="36" customHeight="1" thickTop="1" thickBot="1">
      <c r="A6" s="8" t="s">
        <v>89</v>
      </c>
      <c r="B6" s="8" t="s">
        <v>90</v>
      </c>
      <c r="C6" s="8" t="s">
        <v>91</v>
      </c>
      <c r="D6" s="199" t="s">
        <v>92</v>
      </c>
      <c r="E6" s="199" t="s">
        <v>104</v>
      </c>
      <c r="F6" s="199" t="s">
        <v>93</v>
      </c>
      <c r="G6" s="17"/>
    </row>
    <row r="7" spans="1:13" s="142" customFormat="1" ht="63" thickTop="1" thickBot="1">
      <c r="A7" s="5" t="s">
        <v>1400</v>
      </c>
      <c r="B7" s="121" t="str">
        <f>Questions!$B$240</f>
        <v xml:space="preserve">
How many asset-backed contribution (ABC) arrangements do the trustees wish to include details about?
</v>
      </c>
      <c r="C7" s="407"/>
      <c r="D7" s="390" t="str">
        <f ca="1">'Reconciliation report'!$D$872</f>
        <v xml:space="preserve">
Enter a whole number greater than or equal to 0.
</v>
      </c>
      <c r="E7" s="148" t="str">
        <f>Guidance!$B$287</f>
        <v>Guidance is not required for this question.</v>
      </c>
      <c r="F7" s="316"/>
      <c r="G7" s="27"/>
      <c r="H7" s="27"/>
      <c r="I7" s="27"/>
      <c r="J7" s="27"/>
      <c r="K7" s="27"/>
      <c r="L7" s="27"/>
      <c r="M7" s="27"/>
    </row>
    <row r="8" spans="1:13" ht="124.5" customHeight="1" thickBot="1">
      <c r="A8" s="5" t="s">
        <v>1401</v>
      </c>
      <c r="B8" s="140" t="str">
        <f>Questions!$C$242</f>
        <v xml:space="preserve">No answer required
What is the total value of scheme's interest in any ABC (also known as net present value)? (£)
</v>
      </c>
      <c r="C8" s="33"/>
      <c r="D8" s="362" t="str">
        <f ca="1">'Reconciliation report'!$D$873</f>
        <v/>
      </c>
      <c r="E8" s="141" t="str">
        <f>Guidance!$B$163</f>
        <v xml:space="preserve">
This is the total net present value of any ABC(s).
</v>
      </c>
      <c r="F8" s="317"/>
    </row>
    <row r="9" spans="1:13" s="143" customFormat="1" ht="20.149999999999999" customHeight="1" thickBot="1">
      <c r="A9" s="75"/>
      <c r="B9" s="75"/>
      <c r="C9" s="75" t="s">
        <v>23</v>
      </c>
      <c r="D9" s="68"/>
      <c r="E9" s="99"/>
      <c r="F9" s="99"/>
      <c r="G9" s="32"/>
      <c r="H9" s="32"/>
      <c r="I9" s="32"/>
      <c r="J9" s="32"/>
      <c r="K9" s="32"/>
      <c r="L9" s="32"/>
      <c r="M9" s="32"/>
    </row>
    <row r="10" spans="1:13" s="144" customFormat="1" ht="50.15" customHeight="1" thickBot="1">
      <c r="A10" s="755" t="s">
        <v>1402</v>
      </c>
      <c r="B10" s="755"/>
      <c r="C10" s="241"/>
      <c r="D10" s="57"/>
      <c r="E10" s="57"/>
      <c r="F10" s="57"/>
      <c r="G10" s="21"/>
      <c r="H10" s="21"/>
      <c r="I10" s="21"/>
      <c r="J10" s="21"/>
      <c r="K10" s="21"/>
      <c r="L10" s="21"/>
      <c r="M10" s="21"/>
    </row>
    <row r="11" spans="1:13" s="47" customFormat="1" ht="36" customHeight="1" thickTop="1" thickBot="1">
      <c r="A11" s="8" t="s">
        <v>89</v>
      </c>
      <c r="B11" s="8" t="s">
        <v>90</v>
      </c>
      <c r="C11" s="199" t="s">
        <v>91</v>
      </c>
      <c r="D11" s="199" t="s">
        <v>92</v>
      </c>
      <c r="E11" s="199" t="s">
        <v>104</v>
      </c>
      <c r="F11" s="199" t="s">
        <v>93</v>
      </c>
      <c r="G11" s="17"/>
    </row>
    <row r="12" spans="1:13" ht="94.25" customHeight="1" thickTop="1" thickBot="1">
      <c r="A12" s="18" t="s">
        <v>1403</v>
      </c>
      <c r="B12" s="121" t="str">
        <f>Questions!$C$675</f>
        <v xml:space="preserve">
No answer required
What is the type of security underlying the asset backed contribution arrangement?
</v>
      </c>
      <c r="C12" s="343"/>
      <c r="D12" s="372" t="str">
        <f ca="1">'Reconciliation report'!$D$874</f>
        <v/>
      </c>
      <c r="E12" s="122" t="str">
        <f>Guidance!$B$209</f>
        <v xml:space="preserve">
The type of asset underlying the ABC arrangement.
</v>
      </c>
      <c r="F12" s="227"/>
    </row>
    <row r="13" spans="1:13" ht="94.25" customHeight="1" thickBot="1">
      <c r="A13" s="18" t="s">
        <v>1404</v>
      </c>
      <c r="B13" s="121" t="str">
        <f>Questions!$C$676</f>
        <v xml:space="preserve">
No answer required
A summary of the underlying asset
</v>
      </c>
      <c r="C13" s="481"/>
      <c r="D13" s="361" t="str">
        <f ca="1">'Reconciliation report'!$D$875</f>
        <v/>
      </c>
      <c r="E13" s="122" t="str">
        <f>Guidance!$B$210</f>
        <v xml:space="preserve">
Specific details of the asset underlying the ABC arrangement.
</v>
      </c>
      <c r="F13" s="227"/>
    </row>
    <row r="14" spans="1:13" ht="94.25" customHeight="1" thickBot="1">
      <c r="A14" s="18" t="s">
        <v>1405</v>
      </c>
      <c r="B14" s="121" t="str">
        <f>Questions!$C$677</f>
        <v xml:space="preserve">
No answer required
Maturity type
</v>
      </c>
      <c r="C14" s="343"/>
      <c r="D14" s="372" t="str">
        <f ca="1">'Reconciliation report'!$D$876</f>
        <v/>
      </c>
      <c r="E14" s="122" t="str">
        <f>Guidance!$B$211</f>
        <v xml:space="preserve">
Confirm the form in which the term of the ABC arrangement will come to an l end. If it doesn't have a fixed end date then, select 'other'.
</v>
      </c>
      <c r="F14" s="227"/>
    </row>
    <row r="15" spans="1:13" ht="94.25" customHeight="1">
      <c r="A15" s="18" t="s">
        <v>1406</v>
      </c>
      <c r="B15" s="121" t="str">
        <f>Questions!$C$678</f>
        <v xml:space="preserve">
No answer required
Date of maturity
</v>
      </c>
      <c r="C15" s="430"/>
      <c r="D15" s="361" t="str">
        <f ca="1">'Reconciliation report'!$D$877</f>
        <v/>
      </c>
      <c r="E15" s="122" t="str">
        <f>Guidance!$B$212</f>
        <v xml:space="preserve">
This is the date as at which the ABC arrangement is due to end.
</v>
      </c>
      <c r="F15" s="227"/>
    </row>
    <row r="16" spans="1:13" ht="94.25" customHeight="1">
      <c r="A16" s="18" t="s">
        <v>1407</v>
      </c>
      <c r="B16" s="121" t="str">
        <f>Questions!$C$679</f>
        <v xml:space="preserve">
No answer required
Maturity date narrative
</v>
      </c>
      <c r="C16" s="522"/>
      <c r="D16" s="361" t="str">
        <f ca="1">'Reconciliation report'!$D$878</f>
        <v/>
      </c>
      <c r="E16" s="122" t="str">
        <f>Guidance!B197</f>
        <v xml:space="preserve">
If the answer to the maturity type question above is 'Other', describe the maturity date (for example, what drives the maturity).
</v>
      </c>
      <c r="F16" s="227"/>
    </row>
    <row r="17" spans="1:13" ht="94.25" customHeight="1">
      <c r="A17" s="18" t="s">
        <v>1408</v>
      </c>
      <c r="B17" s="121" t="str">
        <f>Questions!$C$680</f>
        <v xml:space="preserve">
No answer required
Net present value (NPV) (£)
</v>
      </c>
      <c r="C17" s="33"/>
      <c r="D17" s="361" t="str">
        <f ca="1">'Reconciliation report'!$D$879</f>
        <v/>
      </c>
      <c r="E17" s="122" t="str">
        <f>Guidance!$B$214</f>
        <v xml:space="preserve">
The value that has been attributed to the ABC in the assets reported in the scheme report and accounts as at the effective date of the valuation.  If the scheme report and accounts does not include the value of the ABC, please provide the latest valuation of the ABC.
</v>
      </c>
      <c r="F17" s="227"/>
    </row>
    <row r="18" spans="1:13" ht="94.25" customHeight="1">
      <c r="A18" s="18" t="s">
        <v>1409</v>
      </c>
      <c r="B18" s="121" t="str">
        <f>Questions!$C$681</f>
        <v xml:space="preserve">
No answer required
Date NPV calculated
</v>
      </c>
      <c r="C18" s="431"/>
      <c r="D18" s="361" t="str">
        <f ca="1">'Reconciliation report'!$D$880</f>
        <v/>
      </c>
      <c r="E18" s="122" t="str">
        <f>Guidance!$B$215</f>
        <v xml:space="preserve">
Date as at which the net present value (NPV) of the income stream to the scheme has been calculated.
</v>
      </c>
      <c r="F18" s="227"/>
    </row>
    <row r="19" spans="1:13" ht="94.25" customHeight="1">
      <c r="A19" s="18" t="s">
        <v>1410</v>
      </c>
      <c r="B19" s="140" t="str">
        <f>Questions!$C$682</f>
        <v xml:space="preserve">
No answer required
Value of underlying asset (£) (optional)
</v>
      </c>
      <c r="C19" s="33"/>
      <c r="D19" s="361" t="str">
        <f ca="1">'Reconciliation report'!$D$881</f>
        <v/>
      </c>
      <c r="E19" s="141" t="str">
        <f>Guidance!$B$216</f>
        <v xml:space="preserve">
The estimated value of the asset underlying the ABC arrangement in an insolvency scenario. This can be in terms of 'equal to or at least'.
</v>
      </c>
      <c r="F19" s="317"/>
    </row>
    <row r="20" spans="1:13" ht="94.25" customHeight="1">
      <c r="A20" s="18" t="s">
        <v>1411</v>
      </c>
      <c r="B20" s="121" t="str">
        <f>Questions!$C$683</f>
        <v xml:space="preserve">
No answer required
Date of valuation of underlying asset (optional)
</v>
      </c>
      <c r="C20" s="432"/>
      <c r="D20" s="361" t="str">
        <f ca="1">'Reconciliation report'!$D$882</f>
        <v/>
      </c>
      <c r="E20" s="122" t="str">
        <f>Guidance!$B$217</f>
        <v xml:space="preserve">
The date as at which the value of the asset underlying the ABC was assessed. This can be in terms of 'equal to or at least'.
</v>
      </c>
      <c r="F20" s="227"/>
    </row>
    <row r="21" spans="1:13" ht="94.25" customHeight="1" thickBot="1">
      <c r="A21" s="18" t="s">
        <v>1412</v>
      </c>
      <c r="B21" s="125" t="str">
        <f>Questions!$C$684</f>
        <v xml:space="preserve">
Triggers for any cessation of payment schedule, or for termination of ABC
</v>
      </c>
      <c r="C21" s="379"/>
      <c r="D21" s="362" t="str">
        <f ca="1">'Reconciliation report'!$D$883</f>
        <v/>
      </c>
      <c r="E21" s="126" t="str">
        <f>Guidance!$B$218</f>
        <v xml:space="preserve">
The expected income stream expected to be received annually by the scheme from the ABC arrangement, starting from the effective date of the actuarial valuation to which the statement of strategy relates.
</v>
      </c>
      <c r="F21" s="309"/>
    </row>
    <row r="22" spans="1:13" s="143" customFormat="1" ht="20.149999999999999" customHeight="1" thickBot="1">
      <c r="A22" s="75"/>
      <c r="B22" s="69"/>
      <c r="C22" s="75" t="s">
        <v>23</v>
      </c>
      <c r="D22" s="68"/>
      <c r="E22" s="68"/>
      <c r="F22" s="68"/>
      <c r="G22" s="32"/>
      <c r="H22" s="32"/>
      <c r="I22" s="32"/>
      <c r="J22" s="32"/>
      <c r="K22" s="32"/>
      <c r="L22" s="32"/>
      <c r="M22" s="32"/>
    </row>
    <row r="23" spans="1:13" s="144" customFormat="1" ht="50.15" customHeight="1" thickBot="1">
      <c r="A23" s="755" t="s">
        <v>1413</v>
      </c>
      <c r="B23" s="755"/>
      <c r="C23" s="241"/>
      <c r="D23" s="57"/>
      <c r="E23" s="57"/>
      <c r="F23" s="57"/>
      <c r="G23" s="21"/>
      <c r="H23" s="21"/>
      <c r="I23" s="21"/>
      <c r="J23" s="21"/>
      <c r="K23" s="21"/>
      <c r="L23" s="21"/>
      <c r="M23" s="21"/>
    </row>
    <row r="24" spans="1:13" s="47" customFormat="1" ht="36" customHeight="1" thickTop="1" thickBot="1">
      <c r="A24" s="8" t="s">
        <v>89</v>
      </c>
      <c r="B24" s="8" t="s">
        <v>90</v>
      </c>
      <c r="C24" s="199" t="s">
        <v>91</v>
      </c>
      <c r="D24" s="199" t="s">
        <v>92</v>
      </c>
      <c r="E24" s="199" t="s">
        <v>104</v>
      </c>
      <c r="F24" s="199" t="s">
        <v>93</v>
      </c>
      <c r="G24" s="17"/>
    </row>
    <row r="25" spans="1:13" ht="94.25" customHeight="1" thickTop="1" thickBot="1">
      <c r="A25" s="18" t="s">
        <v>1414</v>
      </c>
      <c r="B25" s="121" t="str">
        <f>Questions!$C685</f>
        <v xml:space="preserve">
No answer required
What is the type of security underlying the asset backed contribution arrangement?
</v>
      </c>
      <c r="C25" s="343"/>
      <c r="D25" s="372" t="str">
        <f ca="1">'Reconciliation report'!$D884</f>
        <v/>
      </c>
      <c r="E25" s="122" t="str">
        <f>Guidance!$B$209</f>
        <v xml:space="preserve">
The type of asset underlying the ABC arrangement.
</v>
      </c>
      <c r="F25" s="227"/>
    </row>
    <row r="26" spans="1:13" ht="94.25" customHeight="1" thickBot="1">
      <c r="A26" s="18" t="s">
        <v>1416</v>
      </c>
      <c r="B26" s="121" t="str">
        <f>Questions!$C686</f>
        <v xml:space="preserve">
No answer required
A summary of the underlying asset
</v>
      </c>
      <c r="C26" s="481"/>
      <c r="D26" s="361" t="str">
        <f ca="1">'Reconciliation report'!$D885</f>
        <v/>
      </c>
      <c r="E26" s="122" t="str">
        <f>Guidance!$B$210</f>
        <v xml:space="preserve">
Specific details of the asset underlying the ABC arrangement.
</v>
      </c>
      <c r="F26" s="227"/>
    </row>
    <row r="27" spans="1:13" ht="94.25" customHeight="1" thickBot="1">
      <c r="A27" s="18" t="s">
        <v>1417</v>
      </c>
      <c r="B27" s="121" t="str">
        <f>Questions!$C687</f>
        <v xml:space="preserve">
No answer required
Maturity type
</v>
      </c>
      <c r="C27" s="343"/>
      <c r="D27" s="372" t="str">
        <f ca="1">'Reconciliation report'!$D886</f>
        <v/>
      </c>
      <c r="E27" s="122" t="str">
        <f>Guidance!$B$211</f>
        <v xml:space="preserve">
Confirm the form in which the term of the ABC arrangement will come to an l end. If it doesn't have a fixed end date then, select 'other'.
</v>
      </c>
      <c r="F27" s="227"/>
    </row>
    <row r="28" spans="1:13" ht="94.25" customHeight="1">
      <c r="A28" s="18" t="s">
        <v>1418</v>
      </c>
      <c r="B28" s="121" t="str">
        <f>Questions!$C688</f>
        <v xml:space="preserve">
No answer required
Date of maturity
</v>
      </c>
      <c r="C28" s="430"/>
      <c r="D28" s="361" t="str">
        <f ca="1">'Reconciliation report'!$D887</f>
        <v/>
      </c>
      <c r="E28" s="122" t="str">
        <f>Guidance!$B$212</f>
        <v xml:space="preserve">
This is the date as at which the ABC arrangement is due to end.
</v>
      </c>
      <c r="F28" s="227"/>
    </row>
    <row r="29" spans="1:13" ht="94.25" customHeight="1">
      <c r="A29" s="18" t="s">
        <v>1419</v>
      </c>
      <c r="B29" s="121" t="str">
        <f>Questions!$C689</f>
        <v xml:space="preserve">
No answer required
Maturity date narrative
</v>
      </c>
      <c r="C29" s="522"/>
      <c r="D29" s="361" t="str">
        <f ca="1">'Reconciliation report'!$D888</f>
        <v/>
      </c>
      <c r="E29" s="122" t="str">
        <f>Guidance!B197</f>
        <v xml:space="preserve">
If the answer to the maturity type question above is 'Other', describe the maturity date (for example, what drives the maturity).
</v>
      </c>
      <c r="F29" s="227"/>
    </row>
    <row r="30" spans="1:13" ht="94.25" customHeight="1">
      <c r="A30" s="18" t="s">
        <v>1420</v>
      </c>
      <c r="B30" s="121" t="str">
        <f>Questions!$C690</f>
        <v xml:space="preserve">
No answer required
Net present value (NPV) (£)
</v>
      </c>
      <c r="C30" s="33"/>
      <c r="D30" s="361" t="str">
        <f ca="1">'Reconciliation report'!$D889</f>
        <v/>
      </c>
      <c r="E30" s="122" t="str">
        <f>Guidance!$B$214</f>
        <v xml:space="preserve">
The value that has been attributed to the ABC in the assets reported in the scheme report and accounts as at the effective date of the valuation.  If the scheme report and accounts does not include the value of the ABC, please provide the latest valuation of the ABC.
</v>
      </c>
      <c r="F30" s="227"/>
    </row>
    <row r="31" spans="1:13" ht="94.25" customHeight="1">
      <c r="A31" s="18" t="s">
        <v>1421</v>
      </c>
      <c r="B31" s="121" t="str">
        <f>Questions!$C691</f>
        <v xml:space="preserve">
No answer required
Date NPV calculated
</v>
      </c>
      <c r="C31" s="431"/>
      <c r="D31" s="361" t="str">
        <f ca="1">'Reconciliation report'!$D890</f>
        <v/>
      </c>
      <c r="E31" s="122" t="str">
        <f>Guidance!$B$215</f>
        <v xml:space="preserve">
Date as at which the net present value (NPV) of the income stream to the scheme has been calculated.
</v>
      </c>
      <c r="F31" s="227"/>
    </row>
    <row r="32" spans="1:13" ht="94.25" customHeight="1">
      <c r="A32" s="18" t="s">
        <v>1422</v>
      </c>
      <c r="B32" s="121" t="str">
        <f>Questions!$C692</f>
        <v xml:space="preserve">
No answer required
Value of underlying asset (£) (optional)
</v>
      </c>
      <c r="C32" s="33"/>
      <c r="D32" s="361" t="str">
        <f ca="1">'Reconciliation report'!$D891</f>
        <v/>
      </c>
      <c r="E32" s="141" t="str">
        <f>Guidance!$B$216</f>
        <v xml:space="preserve">
The estimated value of the asset underlying the ABC arrangement in an insolvency scenario. This can be in terms of 'equal to or at least'.
</v>
      </c>
      <c r="F32" s="317"/>
    </row>
    <row r="33" spans="1:13" ht="94.25" customHeight="1">
      <c r="A33" s="18" t="s">
        <v>1423</v>
      </c>
      <c r="B33" s="121" t="str">
        <f>Questions!$C693</f>
        <v xml:space="preserve">
No answer required
Date of valuation of underlying asset (optional)
</v>
      </c>
      <c r="C33" s="432"/>
      <c r="D33" s="361" t="str">
        <f ca="1">'Reconciliation report'!$D892</f>
        <v/>
      </c>
      <c r="E33" s="122" t="str">
        <f>Guidance!$B$217</f>
        <v xml:space="preserve">
The date as at which the value of the asset underlying the ABC was assessed. This can be in terms of 'equal to or at least'.
</v>
      </c>
      <c r="F33" s="227"/>
    </row>
    <row r="34" spans="1:13" ht="94.25" customHeight="1" thickBot="1">
      <c r="A34" s="18" t="s">
        <v>1424</v>
      </c>
      <c r="B34" s="393" t="str">
        <f>Questions!$C694</f>
        <v xml:space="preserve">
Triggers for any cessation of payment schedule, or for termination of ABC
</v>
      </c>
      <c r="C34" s="379"/>
      <c r="D34" s="362" t="str">
        <f ca="1">'Reconciliation report'!$D893</f>
        <v/>
      </c>
      <c r="E34" s="126" t="str">
        <f>Guidance!$B$218</f>
        <v xml:space="preserve">
The expected income stream expected to be received annually by the scheme from the ABC arrangement, starting from the effective date of the actuarial valuation to which the statement of strategy relates.
</v>
      </c>
      <c r="F34" s="309"/>
    </row>
    <row r="35" spans="1:13" s="143" customFormat="1" ht="20.149999999999999" customHeight="1" thickBot="1">
      <c r="A35" s="75"/>
      <c r="B35" s="69"/>
      <c r="C35" s="75" t="s">
        <v>23</v>
      </c>
      <c r="D35" s="68"/>
      <c r="E35" s="68"/>
      <c r="F35" s="68"/>
      <c r="G35" s="32"/>
      <c r="H35" s="32"/>
      <c r="I35" s="32"/>
      <c r="J35" s="32"/>
      <c r="K35" s="32"/>
      <c r="L35" s="32"/>
      <c r="M35" s="32"/>
    </row>
    <row r="36" spans="1:13" s="144" customFormat="1" ht="50.15" customHeight="1" thickBot="1">
      <c r="A36" s="755" t="s">
        <v>1425</v>
      </c>
      <c r="B36" s="755"/>
      <c r="C36" s="241"/>
      <c r="D36" s="57"/>
      <c r="E36" s="57"/>
      <c r="F36" s="57"/>
      <c r="G36" s="21"/>
      <c r="H36" s="21"/>
      <c r="I36" s="21"/>
      <c r="J36" s="21"/>
      <c r="K36" s="21"/>
      <c r="L36" s="21"/>
      <c r="M36" s="21"/>
    </row>
    <row r="37" spans="1:13" s="47" customFormat="1" ht="36" customHeight="1" thickTop="1" thickBot="1">
      <c r="A37" s="8" t="s">
        <v>89</v>
      </c>
      <c r="B37" s="8" t="s">
        <v>90</v>
      </c>
      <c r="C37" s="199" t="s">
        <v>91</v>
      </c>
      <c r="D37" s="199" t="s">
        <v>92</v>
      </c>
      <c r="E37" s="199" t="s">
        <v>104</v>
      </c>
      <c r="F37" s="199" t="s">
        <v>93</v>
      </c>
      <c r="G37" s="17"/>
    </row>
    <row r="38" spans="1:13" ht="94.25" customHeight="1" thickTop="1" thickBot="1">
      <c r="A38" s="18" t="s">
        <v>1426</v>
      </c>
      <c r="B38" s="121" t="str">
        <f>Questions!$C695</f>
        <v xml:space="preserve">
No answer required
What is the type of security underlying the asset backed contribution arrangement?
</v>
      </c>
      <c r="C38" s="343"/>
      <c r="D38" s="372" t="str">
        <f ca="1">'Reconciliation report'!$D894</f>
        <v/>
      </c>
      <c r="E38" s="122" t="str">
        <f>Guidance!$B$209</f>
        <v xml:space="preserve">
The type of asset underlying the ABC arrangement.
</v>
      </c>
      <c r="F38" s="227"/>
    </row>
    <row r="39" spans="1:13" ht="94.25" customHeight="1" thickBot="1">
      <c r="A39" s="18" t="s">
        <v>1428</v>
      </c>
      <c r="B39" s="121" t="str">
        <f>Questions!$C696</f>
        <v xml:space="preserve">
No answer required
A summary of the underlying asset
</v>
      </c>
      <c r="C39" s="481"/>
      <c r="D39" s="361" t="str">
        <f ca="1">'Reconciliation report'!$D895</f>
        <v/>
      </c>
      <c r="E39" s="122" t="str">
        <f>Guidance!$B$210</f>
        <v xml:space="preserve">
Specific details of the asset underlying the ABC arrangement.
</v>
      </c>
      <c r="F39" s="227"/>
    </row>
    <row r="40" spans="1:13" ht="94.25" customHeight="1" thickBot="1">
      <c r="A40" s="18" t="s">
        <v>1429</v>
      </c>
      <c r="B40" s="121" t="str">
        <f>Questions!$C697</f>
        <v xml:space="preserve">
No answer required
Maturity type
</v>
      </c>
      <c r="C40" s="343"/>
      <c r="D40" s="372" t="str">
        <f ca="1">'Reconciliation report'!$D896</f>
        <v/>
      </c>
      <c r="E40" s="122" t="str">
        <f>Guidance!$B$211</f>
        <v xml:space="preserve">
Confirm the form in which the term of the ABC arrangement will come to an l end. If it doesn't have a fixed end date then, select 'other'.
</v>
      </c>
      <c r="F40" s="227"/>
    </row>
    <row r="41" spans="1:13" ht="94.25" customHeight="1">
      <c r="A41" s="18" t="s">
        <v>1430</v>
      </c>
      <c r="B41" s="121" t="str">
        <f>Questions!$C698</f>
        <v xml:space="preserve">
No answer required
Date of maturity
</v>
      </c>
      <c r="C41" s="430"/>
      <c r="D41" s="361" t="str">
        <f ca="1">'Reconciliation report'!$D897</f>
        <v/>
      </c>
      <c r="E41" s="122" t="str">
        <f>Guidance!$B$212</f>
        <v xml:space="preserve">
This is the date as at which the ABC arrangement is due to end.
</v>
      </c>
      <c r="F41" s="227"/>
    </row>
    <row r="42" spans="1:13" ht="94.25" customHeight="1">
      <c r="A42" s="18" t="s">
        <v>1431</v>
      </c>
      <c r="B42" s="121" t="str">
        <f>Questions!$C699</f>
        <v xml:space="preserve">
No answer required
Maturity date narrative
</v>
      </c>
      <c r="C42" s="522"/>
      <c r="D42" s="361" t="str">
        <f ca="1">'Reconciliation report'!$D898</f>
        <v/>
      </c>
      <c r="E42" s="122" t="str">
        <f>Guidance!B197</f>
        <v xml:space="preserve">
If the answer to the maturity type question above is 'Other', describe the maturity date (for example, what drives the maturity).
</v>
      </c>
      <c r="F42" s="227"/>
    </row>
    <row r="43" spans="1:13" ht="94.25" customHeight="1">
      <c r="A43" s="18" t="s">
        <v>1432</v>
      </c>
      <c r="B43" s="121" t="str">
        <f>Questions!$C700</f>
        <v xml:space="preserve">
No answer required
Net present value (NPV) (£)
</v>
      </c>
      <c r="C43" s="33"/>
      <c r="D43" s="361" t="str">
        <f ca="1">'Reconciliation report'!$D899</f>
        <v/>
      </c>
      <c r="E43" s="122" t="str">
        <f>Guidance!$B$214</f>
        <v xml:space="preserve">
The value that has been attributed to the ABC in the assets reported in the scheme report and accounts as at the effective date of the valuation.  If the scheme report and accounts does not include the value of the ABC, please provide the latest valuation of the ABC.
</v>
      </c>
      <c r="F43" s="227"/>
    </row>
    <row r="44" spans="1:13" ht="94.25" customHeight="1">
      <c r="A44" s="18" t="s">
        <v>1433</v>
      </c>
      <c r="B44" s="121" t="str">
        <f>Questions!$C701</f>
        <v xml:space="preserve">
No answer required
Date NPV calculated
</v>
      </c>
      <c r="C44" s="431"/>
      <c r="D44" s="361" t="str">
        <f ca="1">'Reconciliation report'!$D900</f>
        <v/>
      </c>
      <c r="E44" s="122" t="str">
        <f>Guidance!$B$215</f>
        <v xml:space="preserve">
Date as at which the net present value (NPV) of the income stream to the scheme has been calculated.
</v>
      </c>
      <c r="F44" s="227"/>
    </row>
    <row r="45" spans="1:13" ht="94.25" customHeight="1">
      <c r="A45" s="18" t="s">
        <v>1434</v>
      </c>
      <c r="B45" s="121" t="str">
        <f>Questions!$C702</f>
        <v xml:space="preserve">
No answer required
Value of underlying asset (£) (optional)
</v>
      </c>
      <c r="C45" s="33"/>
      <c r="D45" s="361" t="str">
        <f ca="1">'Reconciliation report'!$D901</f>
        <v/>
      </c>
      <c r="E45" s="141" t="str">
        <f>Guidance!$B$216</f>
        <v xml:space="preserve">
The estimated value of the asset underlying the ABC arrangement in an insolvency scenario. This can be in terms of 'equal to or at least'.
</v>
      </c>
      <c r="F45" s="317"/>
    </row>
    <row r="46" spans="1:13" ht="94.25" customHeight="1">
      <c r="A46" s="18" t="s">
        <v>1435</v>
      </c>
      <c r="B46" s="121" t="str">
        <f>Questions!$C703</f>
        <v xml:space="preserve">
No answer required
Date of valuation of underlying asset (optional)
</v>
      </c>
      <c r="C46" s="432"/>
      <c r="D46" s="361" t="str">
        <f ca="1">'Reconciliation report'!$D902</f>
        <v/>
      </c>
      <c r="E46" s="122" t="str">
        <f>Guidance!$B$217</f>
        <v xml:space="preserve">
The date as at which the value of the asset underlying the ABC was assessed. This can be in terms of 'equal to or at least'.
</v>
      </c>
      <c r="F46" s="227"/>
    </row>
    <row r="47" spans="1:13" ht="94.25" customHeight="1" thickBot="1">
      <c r="A47" s="18" t="s">
        <v>1436</v>
      </c>
      <c r="B47" s="393" t="str">
        <f>Questions!$C704</f>
        <v xml:space="preserve">
Triggers for any cessation of payment schedule, or for termination of ABC
</v>
      </c>
      <c r="C47" s="379"/>
      <c r="D47" s="362" t="str">
        <f ca="1">'Reconciliation report'!$D903</f>
        <v/>
      </c>
      <c r="E47" s="126" t="str">
        <f>Guidance!$B$218</f>
        <v xml:space="preserve">
The expected income stream expected to be received annually by the scheme from the ABC arrangement, starting from the effective date of the actuarial valuation to which the statement of strategy relates.
</v>
      </c>
      <c r="F47" s="309"/>
    </row>
    <row r="48" spans="1:13" s="143" customFormat="1" ht="20.149999999999999" customHeight="1" thickBot="1">
      <c r="A48" s="75"/>
      <c r="B48" s="69"/>
      <c r="C48" s="75" t="s">
        <v>23</v>
      </c>
      <c r="D48" s="68"/>
      <c r="E48" s="68"/>
      <c r="F48" s="68"/>
      <c r="G48" s="32"/>
      <c r="H48" s="32"/>
      <c r="I48" s="32"/>
      <c r="J48" s="32"/>
      <c r="K48" s="32"/>
      <c r="L48" s="32"/>
      <c r="M48" s="32"/>
    </row>
    <row r="49" spans="1:13" s="144" customFormat="1" ht="50.15" customHeight="1" thickBot="1">
      <c r="A49" s="755" t="s">
        <v>1437</v>
      </c>
      <c r="B49" s="755"/>
      <c r="C49" s="241"/>
      <c r="D49" s="57"/>
      <c r="E49" s="57"/>
      <c r="F49" s="57"/>
      <c r="G49" s="21"/>
      <c r="H49" s="21"/>
      <c r="I49" s="21"/>
      <c r="J49" s="21"/>
      <c r="K49" s="21"/>
      <c r="L49" s="21"/>
      <c r="M49" s="21"/>
    </row>
    <row r="50" spans="1:13" s="47" customFormat="1" ht="36" customHeight="1" thickTop="1" thickBot="1">
      <c r="A50" s="8" t="s">
        <v>89</v>
      </c>
      <c r="B50" s="8" t="s">
        <v>90</v>
      </c>
      <c r="C50" s="199" t="s">
        <v>91</v>
      </c>
      <c r="D50" s="199" t="s">
        <v>92</v>
      </c>
      <c r="E50" s="199" t="s">
        <v>104</v>
      </c>
      <c r="F50" s="199" t="s">
        <v>93</v>
      </c>
      <c r="G50" s="17"/>
    </row>
    <row r="51" spans="1:13" ht="94.25" customHeight="1" thickTop="1" thickBot="1">
      <c r="A51" s="18" t="s">
        <v>1438</v>
      </c>
      <c r="B51" s="121" t="str">
        <f>Questions!$C705</f>
        <v xml:space="preserve">
No answer required
What is the type of security underlying the asset backed contribution arrangement?
</v>
      </c>
      <c r="C51" s="343"/>
      <c r="D51" s="372" t="str">
        <f ca="1">'Reconciliation report'!$D904</f>
        <v/>
      </c>
      <c r="E51" s="122" t="str">
        <f>Guidance!$B$209</f>
        <v xml:space="preserve">
The type of asset underlying the ABC arrangement.
</v>
      </c>
      <c r="F51" s="227"/>
    </row>
    <row r="52" spans="1:13" ht="94.25" customHeight="1" thickBot="1">
      <c r="A52" s="18" t="s">
        <v>1439</v>
      </c>
      <c r="B52" s="121" t="str">
        <f>Questions!$C706</f>
        <v xml:space="preserve">
No answer required
A summary of the underlying asset
</v>
      </c>
      <c r="C52" s="481"/>
      <c r="D52" s="361" t="str">
        <f ca="1">'Reconciliation report'!$D905</f>
        <v/>
      </c>
      <c r="E52" s="122" t="str">
        <f>Guidance!$B$210</f>
        <v xml:space="preserve">
Specific details of the asset underlying the ABC arrangement.
</v>
      </c>
      <c r="F52" s="227"/>
    </row>
    <row r="53" spans="1:13" ht="94.25" customHeight="1" thickBot="1">
      <c r="A53" s="18" t="s">
        <v>1440</v>
      </c>
      <c r="B53" s="121" t="str">
        <f>Questions!$C707</f>
        <v xml:space="preserve">
No answer required
Maturity type
</v>
      </c>
      <c r="C53" s="343"/>
      <c r="D53" s="372" t="str">
        <f ca="1">'Reconciliation report'!$D906</f>
        <v/>
      </c>
      <c r="E53" s="122" t="str">
        <f>Guidance!$B$211</f>
        <v xml:space="preserve">
Confirm the form in which the term of the ABC arrangement will come to an l end. If it doesn't have a fixed end date then, select 'other'.
</v>
      </c>
      <c r="F53" s="227"/>
    </row>
    <row r="54" spans="1:13" ht="94.25" customHeight="1">
      <c r="A54" s="18" t="s">
        <v>1441</v>
      </c>
      <c r="B54" s="121" t="str">
        <f>Questions!$C708</f>
        <v xml:space="preserve">
No answer required
Date of maturity
</v>
      </c>
      <c r="C54" s="430"/>
      <c r="D54" s="361" t="str">
        <f ca="1">'Reconciliation report'!$D907</f>
        <v/>
      </c>
      <c r="E54" s="122" t="str">
        <f>Guidance!$B$212</f>
        <v xml:space="preserve">
This is the date as at which the ABC arrangement is due to end.
</v>
      </c>
      <c r="F54" s="227"/>
    </row>
    <row r="55" spans="1:13" ht="94.25" customHeight="1">
      <c r="A55" s="18" t="s">
        <v>1442</v>
      </c>
      <c r="B55" s="121" t="str">
        <f>Questions!$C709</f>
        <v xml:space="preserve">
No answer required
Maturity date narrative
</v>
      </c>
      <c r="C55" s="522"/>
      <c r="D55" s="361" t="str">
        <f ca="1">'Reconciliation report'!$D908</f>
        <v/>
      </c>
      <c r="E55" s="122" t="str">
        <f>Guidance!B197</f>
        <v xml:space="preserve">
If the answer to the maturity type question above is 'Other', describe the maturity date (for example, what drives the maturity).
</v>
      </c>
      <c r="F55" s="227"/>
    </row>
    <row r="56" spans="1:13" ht="94.25" customHeight="1">
      <c r="A56" s="18" t="s">
        <v>1443</v>
      </c>
      <c r="B56" s="121" t="str">
        <f>Questions!$C710</f>
        <v xml:space="preserve">
No answer required
Net present value (NPV) (£)
</v>
      </c>
      <c r="C56" s="33"/>
      <c r="D56" s="361" t="str">
        <f ca="1">'Reconciliation report'!$D909</f>
        <v/>
      </c>
      <c r="E56" s="122" t="str">
        <f>Guidance!$B$214</f>
        <v xml:space="preserve">
The value that has been attributed to the ABC in the assets reported in the scheme report and accounts as at the effective date of the valuation.  If the scheme report and accounts does not include the value of the ABC, please provide the latest valuation of the ABC.
</v>
      </c>
      <c r="F56" s="227"/>
    </row>
    <row r="57" spans="1:13" ht="94.25" customHeight="1">
      <c r="A57" s="18" t="s">
        <v>1444</v>
      </c>
      <c r="B57" s="121" t="str">
        <f>Questions!$C711</f>
        <v xml:space="preserve">
No answer required
Date NPV calculated
</v>
      </c>
      <c r="C57" s="431"/>
      <c r="D57" s="361" t="str">
        <f ca="1">'Reconciliation report'!$D910</f>
        <v/>
      </c>
      <c r="E57" s="122" t="str">
        <f>Guidance!$B$215</f>
        <v xml:space="preserve">
Date as at which the net present value (NPV) of the income stream to the scheme has been calculated.
</v>
      </c>
      <c r="F57" s="227"/>
    </row>
    <row r="58" spans="1:13" ht="94.25" customHeight="1">
      <c r="A58" s="18" t="s">
        <v>1445</v>
      </c>
      <c r="B58" s="121" t="str">
        <f>Questions!$C712</f>
        <v xml:space="preserve">
No answer required
Value of underlying asset (£) (optional)
</v>
      </c>
      <c r="C58" s="33"/>
      <c r="D58" s="361" t="str">
        <f ca="1">'Reconciliation report'!$D911</f>
        <v/>
      </c>
      <c r="E58" s="141" t="str">
        <f>Guidance!$B$216</f>
        <v xml:space="preserve">
The estimated value of the asset underlying the ABC arrangement in an insolvency scenario. This can be in terms of 'equal to or at least'.
</v>
      </c>
      <c r="F58" s="317"/>
    </row>
    <row r="59" spans="1:13" ht="94.25" customHeight="1">
      <c r="A59" s="18" t="s">
        <v>1446</v>
      </c>
      <c r="B59" s="121" t="str">
        <f>Questions!$C713</f>
        <v xml:space="preserve">
No answer required
Date of valuation of underlying asset (optional)
</v>
      </c>
      <c r="C59" s="432"/>
      <c r="D59" s="361" t="str">
        <f ca="1">'Reconciliation report'!$D912</f>
        <v/>
      </c>
      <c r="E59" s="122" t="str">
        <f>Guidance!$B$217</f>
        <v xml:space="preserve">
The date as at which the value of the asset underlying the ABC was assessed. This can be in terms of 'equal to or at least'.
</v>
      </c>
      <c r="F59" s="227"/>
    </row>
    <row r="60" spans="1:13" ht="94.25" customHeight="1" thickBot="1">
      <c r="A60" s="18" t="s">
        <v>1447</v>
      </c>
      <c r="B60" s="393" t="str">
        <f>Questions!$C714</f>
        <v xml:space="preserve">
Triggers for any cessation of payment schedule, or for termination of ABC
</v>
      </c>
      <c r="C60" s="379"/>
      <c r="D60" s="362" t="str">
        <f ca="1">'Reconciliation report'!$D913</f>
        <v/>
      </c>
      <c r="E60" s="126" t="str">
        <f>Guidance!$B$218</f>
        <v xml:space="preserve">
The expected income stream expected to be received annually by the scheme from the ABC arrangement, starting from the effective date of the actuarial valuation to which the statement of strategy relates.
</v>
      </c>
      <c r="F60" s="309"/>
    </row>
    <row r="61" spans="1:13" s="143" customFormat="1" ht="20.149999999999999" customHeight="1" thickBot="1">
      <c r="A61" s="75"/>
      <c r="B61" s="69"/>
      <c r="C61" s="75" t="s">
        <v>23</v>
      </c>
      <c r="D61" s="68"/>
      <c r="E61" s="68"/>
      <c r="F61" s="68"/>
      <c r="G61" s="32"/>
      <c r="H61" s="32"/>
      <c r="I61" s="32"/>
      <c r="J61" s="32"/>
      <c r="K61" s="32"/>
      <c r="L61" s="32"/>
      <c r="M61" s="32"/>
    </row>
    <row r="62" spans="1:13" s="144" customFormat="1" ht="50.15" customHeight="1" thickBot="1">
      <c r="A62" s="755" t="s">
        <v>1448</v>
      </c>
      <c r="B62" s="755"/>
      <c r="C62" s="241"/>
      <c r="D62" s="57"/>
      <c r="E62" s="57"/>
      <c r="F62" s="57"/>
      <c r="G62" s="21"/>
      <c r="H62" s="21"/>
      <c r="I62" s="21"/>
      <c r="J62" s="21"/>
      <c r="K62" s="21"/>
      <c r="L62" s="21"/>
      <c r="M62" s="21"/>
    </row>
    <row r="63" spans="1:13" s="47" customFormat="1" ht="36" customHeight="1" thickTop="1" thickBot="1">
      <c r="A63" s="8" t="s">
        <v>89</v>
      </c>
      <c r="B63" s="8" t="s">
        <v>90</v>
      </c>
      <c r="C63" s="199" t="s">
        <v>91</v>
      </c>
      <c r="D63" s="199" t="s">
        <v>92</v>
      </c>
      <c r="E63" s="199" t="s">
        <v>104</v>
      </c>
      <c r="F63" s="199" t="s">
        <v>93</v>
      </c>
      <c r="G63" s="17"/>
    </row>
    <row r="64" spans="1:13" ht="94.25" customHeight="1" thickTop="1" thickBot="1">
      <c r="A64" s="18" t="s">
        <v>1449</v>
      </c>
      <c r="B64" s="121" t="str">
        <f>Questions!$C715</f>
        <v xml:space="preserve">
No answer required
What is the type of security underlying the asset backed contribution arrangement?
</v>
      </c>
      <c r="C64" s="343"/>
      <c r="D64" s="372" t="str">
        <f ca="1">'Reconciliation report'!$D914</f>
        <v/>
      </c>
      <c r="E64" s="122" t="str">
        <f>Guidance!$B$209</f>
        <v xml:space="preserve">
The type of asset underlying the ABC arrangement.
</v>
      </c>
      <c r="F64" s="227"/>
    </row>
    <row r="65" spans="1:8" ht="94.25" customHeight="1" thickBot="1">
      <c r="A65" s="18" t="s">
        <v>1451</v>
      </c>
      <c r="B65" s="121" t="str">
        <f>Questions!$C716</f>
        <v xml:space="preserve">
No answer required
A summary of the underlying asset
</v>
      </c>
      <c r="C65" s="481"/>
      <c r="D65" s="361" t="str">
        <f ca="1">'Reconciliation report'!$D915</f>
        <v/>
      </c>
      <c r="E65" s="122" t="str">
        <f>Guidance!$B$210</f>
        <v xml:space="preserve">
Specific details of the asset underlying the ABC arrangement.
</v>
      </c>
      <c r="F65" s="227"/>
    </row>
    <row r="66" spans="1:8" ht="94.25" customHeight="1" thickBot="1">
      <c r="A66" s="18" t="s">
        <v>1452</v>
      </c>
      <c r="B66" s="121" t="str">
        <f>Questions!$C717</f>
        <v xml:space="preserve">
No answer required
Maturity type
</v>
      </c>
      <c r="C66" s="343"/>
      <c r="D66" s="372" t="str">
        <f ca="1">'Reconciliation report'!$D916</f>
        <v/>
      </c>
      <c r="E66" s="122" t="str">
        <f>Guidance!$B$211</f>
        <v xml:space="preserve">
Confirm the form in which the term of the ABC arrangement will come to an l end. If it doesn't have a fixed end date then, select 'other'.
</v>
      </c>
      <c r="F66" s="227"/>
    </row>
    <row r="67" spans="1:8" ht="94.25" customHeight="1">
      <c r="A67" s="18" t="s">
        <v>1453</v>
      </c>
      <c r="B67" s="121" t="str">
        <f>Questions!$C718</f>
        <v xml:space="preserve">
No answer required
Date of maturity
</v>
      </c>
      <c r="C67" s="430"/>
      <c r="D67" s="361" t="str">
        <f ca="1">'Reconciliation report'!$D917</f>
        <v/>
      </c>
      <c r="E67" s="122" t="str">
        <f>Guidance!$B$212</f>
        <v xml:space="preserve">
This is the date as at which the ABC arrangement is due to end.
</v>
      </c>
      <c r="F67" s="227"/>
    </row>
    <row r="68" spans="1:8" ht="94.25" customHeight="1">
      <c r="A68" s="18" t="s">
        <v>1454</v>
      </c>
      <c r="B68" s="121" t="str">
        <f>Questions!$C719</f>
        <v xml:space="preserve">
No answer required
Maturity date narrative
</v>
      </c>
      <c r="C68" s="522"/>
      <c r="D68" s="361" t="str">
        <f ca="1">'Reconciliation report'!$D918</f>
        <v/>
      </c>
      <c r="E68" s="122" t="str">
        <f>Guidance!B197</f>
        <v xml:space="preserve">
If the answer to the maturity type question above is 'Other', describe the maturity date (for example, what drives the maturity).
</v>
      </c>
      <c r="F68" s="227"/>
    </row>
    <row r="69" spans="1:8" ht="94.25" customHeight="1">
      <c r="A69" s="18" t="s">
        <v>1455</v>
      </c>
      <c r="B69" s="121" t="str">
        <f>Questions!$C720</f>
        <v xml:space="preserve">
No answer required
Net present value (NPV) (£)
</v>
      </c>
      <c r="C69" s="33"/>
      <c r="D69" s="361" t="str">
        <f ca="1">'Reconciliation report'!$D919</f>
        <v/>
      </c>
      <c r="E69" s="122" t="str">
        <f>Guidance!$B$214</f>
        <v xml:space="preserve">
The value that has been attributed to the ABC in the assets reported in the scheme report and accounts as at the effective date of the valuation.  If the scheme report and accounts does not include the value of the ABC, please provide the latest valuation of the ABC.
</v>
      </c>
      <c r="F69" s="227"/>
    </row>
    <row r="70" spans="1:8" ht="94.25" customHeight="1">
      <c r="A70" s="18" t="s">
        <v>1456</v>
      </c>
      <c r="B70" s="121" t="str">
        <f>Questions!$C721</f>
        <v xml:space="preserve">
No answer required
Date NPV calculated
</v>
      </c>
      <c r="C70" s="431"/>
      <c r="D70" s="361" t="str">
        <f ca="1">'Reconciliation report'!$D920</f>
        <v/>
      </c>
      <c r="E70" s="122" t="str">
        <f>Guidance!$B$215</f>
        <v xml:space="preserve">
Date as at which the net present value (NPV) of the income stream to the scheme has been calculated.
</v>
      </c>
      <c r="F70" s="227"/>
    </row>
    <row r="71" spans="1:8" ht="94.25" customHeight="1">
      <c r="A71" s="18" t="s">
        <v>1457</v>
      </c>
      <c r="B71" s="121" t="str">
        <f>Questions!$C722</f>
        <v xml:space="preserve">
No answer required
Value of underlying asset (£) (optional)
</v>
      </c>
      <c r="C71" s="33"/>
      <c r="D71" s="361" t="str">
        <f ca="1">'Reconciliation report'!$D921</f>
        <v/>
      </c>
      <c r="E71" s="141" t="str">
        <f>Guidance!$B$216</f>
        <v xml:space="preserve">
The estimated value of the asset underlying the ABC arrangement in an insolvency scenario. This can be in terms of 'equal to or at least'.
</v>
      </c>
      <c r="F71" s="317"/>
    </row>
    <row r="72" spans="1:8" ht="94.25" customHeight="1">
      <c r="A72" s="18" t="s">
        <v>1458</v>
      </c>
      <c r="B72" s="121" t="str">
        <f>Questions!$C723</f>
        <v xml:space="preserve">
No answer required
Date of valuation of underlying asset (optional)
</v>
      </c>
      <c r="C72" s="432"/>
      <c r="D72" s="361" t="str">
        <f ca="1">'Reconciliation report'!$D922</f>
        <v/>
      </c>
      <c r="E72" s="122" t="str">
        <f>Guidance!$B$217</f>
        <v xml:space="preserve">
The date as at which the value of the asset underlying the ABC was assessed. This can be in terms of 'equal to or at least'.
</v>
      </c>
      <c r="F72" s="227"/>
    </row>
    <row r="73" spans="1:8" ht="94.25" customHeight="1" thickBot="1">
      <c r="A73" s="18" t="s">
        <v>1459</v>
      </c>
      <c r="B73" s="393" t="str">
        <f>Questions!$C724</f>
        <v xml:space="preserve">
Triggers for any cessation of payment schedule, or for termination of ABC
</v>
      </c>
      <c r="C73" s="379"/>
      <c r="D73" s="362" t="str">
        <f ca="1">'Reconciliation report'!$D923</f>
        <v/>
      </c>
      <c r="E73" s="126" t="str">
        <f>Guidance!$B$218</f>
        <v xml:space="preserve">
The expected income stream expected to be received annually by the scheme from the ABC arrangement, starting from the effective date of the actuarial valuation to which the statement of strategy relates.
</v>
      </c>
      <c r="F73" s="309"/>
    </row>
    <row r="74" spans="1:8" ht="20.149999999999999" hidden="1" customHeight="1" thickBot="1">
      <c r="A74" s="75"/>
      <c r="B74" s="75"/>
      <c r="C74" s="75" t="s">
        <v>23</v>
      </c>
      <c r="D74" s="99"/>
      <c r="E74" s="200"/>
      <c r="F74" s="200"/>
      <c r="G74" s="200"/>
    </row>
    <row r="75" spans="1:8" ht="50.15" hidden="1" customHeight="1" thickBot="1">
      <c r="A75" s="750" t="s">
        <v>117</v>
      </c>
      <c r="B75" s="751"/>
      <c r="C75" s="57"/>
      <c r="D75" s="57"/>
      <c r="E75" s="57"/>
      <c r="F75" s="57"/>
      <c r="G75" s="57"/>
    </row>
    <row r="76" spans="1:8" s="47" customFormat="1" ht="36" hidden="1" customHeight="1" thickTop="1" thickBot="1">
      <c r="A76" s="752" t="s">
        <v>90</v>
      </c>
      <c r="B76" s="753"/>
      <c r="C76" s="668" t="s">
        <v>91</v>
      </c>
      <c r="D76" s="669"/>
      <c r="E76" s="667"/>
      <c r="F76" s="667"/>
      <c r="G76" s="667"/>
      <c r="H76" s="17"/>
    </row>
    <row r="77" spans="1:8" ht="86" hidden="1" customHeight="1" thickTop="1" thickBot="1">
      <c r="A77" s="744" t="s">
        <v>118</v>
      </c>
      <c r="B77" s="754"/>
      <c r="C77" s="683"/>
      <c r="D77" s="62"/>
      <c r="E77" s="667"/>
      <c r="F77" s="667"/>
      <c r="G77" s="196"/>
    </row>
    <row r="78" spans="1:8" s="47" customFormat="1" ht="50.25" customHeight="1">
      <c r="A78" s="439"/>
      <c r="B78" s="255"/>
      <c r="C78" s="439"/>
      <c r="D78" s="439"/>
      <c r="E78" s="439"/>
      <c r="F78" s="439"/>
    </row>
  </sheetData>
  <sheetProtection algorithmName="SHA-512" hashValue="vae+m2DRD4WJXrGuIr62ncuWOB73VqWF/edCafYRYYWFVrZbTnXeOXEcvBp9mhoOtJtlgV28vcKOH6y6GqVkaA==" saltValue="skJjVXZ5ZWfWBQk8pm/4vA==" spinCount="100000" sheet="1" objects="1" scenarios="1" sort="0" autoFilter="0"/>
  <mergeCells count="12">
    <mergeCell ref="A75:B75"/>
    <mergeCell ref="A76:B76"/>
    <mergeCell ref="A77:B77"/>
    <mergeCell ref="A23:B23"/>
    <mergeCell ref="A36:B36"/>
    <mergeCell ref="A49:B49"/>
    <mergeCell ref="A62:B62"/>
    <mergeCell ref="A1:B1"/>
    <mergeCell ref="A2:B2"/>
    <mergeCell ref="A3:B3"/>
    <mergeCell ref="A10:B10"/>
    <mergeCell ref="A5:B5"/>
  </mergeCells>
  <conditionalFormatting sqref="C77">
    <cfRule type="expression" dxfId="63" priority="1">
      <formula>$C$77=""</formula>
    </cfRule>
  </conditionalFormatting>
  <conditionalFormatting sqref="D7:D8 D12:D21">
    <cfRule type="notContainsBlanks" dxfId="62" priority="48">
      <formula>LEN(TRIM(D7))&gt;0</formula>
    </cfRule>
  </conditionalFormatting>
  <conditionalFormatting sqref="D25:D34">
    <cfRule type="notContainsBlanks" dxfId="61" priority="37">
      <formula>LEN(TRIM(D25))&gt;0</formula>
    </cfRule>
  </conditionalFormatting>
  <conditionalFormatting sqref="D38:D47">
    <cfRule type="notContainsBlanks" dxfId="60" priority="26">
      <formula>LEN(TRIM(D38))&gt;0</formula>
    </cfRule>
  </conditionalFormatting>
  <conditionalFormatting sqref="D51:D60">
    <cfRule type="notContainsBlanks" dxfId="59" priority="15">
      <formula>LEN(TRIM(D51))&gt;0</formula>
    </cfRule>
  </conditionalFormatting>
  <conditionalFormatting sqref="D64:D73">
    <cfRule type="notContainsBlanks" dxfId="58" priority="4">
      <formula>LEN(TRIM(D64))&gt;0</formula>
    </cfRule>
  </conditionalFormatting>
  <dataValidations count="6">
    <dataValidation type="list" operator="greaterThanOrEqual" allowBlank="1" showInputMessage="1" showErrorMessage="1" errorTitle="There is a problem" error="You must enter a whole number greater than or equal to 0." promptTitle="Enter a value" prompt="Enter a number" sqref="C7" xr:uid="{A006F0CE-B831-40DA-B098-72D11277A1FE}">
      <formula1>"0, 1, 2, 3, 4, 5"</formula1>
    </dataValidation>
    <dataValidation type="textLength" operator="lessThanOrEqual" allowBlank="1" showInputMessage="1" showErrorMessage="1" errorTitle="There is a problem" error="Your answer must not exceed 4000 characters." promptTitle="Add your answer" prompt="Answer this question in 4000 characters or less" sqref="C13 C26 C39 C52 C65" xr:uid="{6F0D4808-1E8B-4092-839C-8D6847F6507A}">
      <formula1>4000</formula1>
    </dataValidation>
    <dataValidation type="textLength" operator="lessThanOrEqual" allowBlank="1" showInputMessage="1" showErrorMessage="1" errorTitle="There is a problem" error="Your answer must not exceed 4000 characters." promptTitle="Add your answer " prompt="Answer this question in 4000 characters or less" sqref="C21 C16 C34 C29 C47 C42 C60 C55 C73 C68" xr:uid="{39E0F2CC-BA4F-4440-8AD8-1029F553E5E7}">
      <formula1>4000</formula1>
    </dataValidation>
    <dataValidation type="date" operator="lessThanOrEqual" allowBlank="1" showInputMessage="1" showErrorMessage="1" errorTitle="There is a problem" error="Enter a date in the the format dd/mm/yyyy." promptTitle="Enter a date" prompt="Enter a date (dd/mm/yyyy)" sqref="C20 C18 C33 C31 C46 C44 C59 C57 C72 C70" xr:uid="{1D6EF6DB-32CE-45AE-B15D-07386F36AF8A}">
      <formula1>TODAY()</formula1>
    </dataValidation>
    <dataValidation type="custom" allowBlank="1" showInputMessage="1" showErrorMessage="1" errorTitle="There is a problem" error="You must enter a number greater than or equal to 0.00 and less than 1,000,000,000,000 (1 trillion) with up to two decimal places." promptTitle="Enter a value" prompt="Enter a number (£)" sqref="C8 C19 C32 C45 C58 C71 C17 C30 C43 C56 C69" xr:uid="{15BF378B-BF1E-4AA5-9785-4A855D1FE184}">
      <formula1>AND(ISNUMBER(VALUE(C8)), VALUE(C8)&gt;=0, VALUE(C8)&lt;=999999999999.99, IF(ISERROR(FIND(".", C8)), VALUE(C8)=INT(VALUE(C8)), LEN(C8)-FIND(".", C8)&lt;=2))</formula1>
    </dataValidation>
    <dataValidation allowBlank="1" showInputMessage="1" showErrorMessage="1" error="Select from the list." sqref="C78" xr:uid="{445CA24D-1453-4582-AEE4-A88724656736}"/>
  </dataValidations>
  <pageMargins left="0.70000000000000007" right="0.70000000000000007" top="0.75" bottom="0.75" header="0.30000000000000004" footer="0.30000000000000004"/>
  <pageSetup paperSize="9" fitToWidth="0"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1105" id="{EA48D8F1-22BF-4CE5-B6E1-F39CB6B710F6}">
            <xm:f>SEARCH(RefData!$B$2,$B$7)</xm:f>
            <x14:dxf>
              <font>
                <color rgb="FF5F5F5F"/>
              </font>
              <fill>
                <patternFill>
                  <bgColor theme="0" tint="-0.14996795556505021"/>
                </patternFill>
              </fill>
            </x14:dxf>
          </x14:cfRule>
          <xm:sqref>A7:F7</xm:sqref>
        </x14:conditionalFormatting>
        <x14:conditionalFormatting xmlns:xm="http://schemas.microsoft.com/office/excel/2006/main">
          <x14:cfRule type="expression" priority="1106" id="{21CF935B-6E5D-444A-84D6-91682A482BD5}">
            <xm:f>SEARCH(RefData!$B$2,$B$8)</xm:f>
            <x14:dxf>
              <font>
                <color rgb="FF5F5F5F"/>
              </font>
              <fill>
                <patternFill>
                  <bgColor theme="0" tint="-0.14996795556505021"/>
                </patternFill>
              </fill>
            </x14:dxf>
          </x14:cfRule>
          <xm:sqref>A8:F8</xm:sqref>
        </x14:conditionalFormatting>
        <x14:conditionalFormatting xmlns:xm="http://schemas.microsoft.com/office/excel/2006/main">
          <x14:cfRule type="expression" priority="1107" id="{D0E708E9-B118-47D9-BEC6-B0FE4D8389E7}">
            <xm:f>SEARCH(RefData!$B$2,$B$12)</xm:f>
            <x14:dxf>
              <font>
                <color rgb="FF5F5F5F"/>
              </font>
              <fill>
                <patternFill>
                  <bgColor theme="0" tint="-0.14996795556505021"/>
                </patternFill>
              </fill>
            </x14:dxf>
          </x14:cfRule>
          <xm:sqref>A12:F12</xm:sqref>
        </x14:conditionalFormatting>
        <x14:conditionalFormatting xmlns:xm="http://schemas.microsoft.com/office/excel/2006/main">
          <x14:cfRule type="expression" priority="1108" id="{AB6B6CB4-65D9-4EE0-9586-0D80A559ED99}">
            <xm:f>SEARCH(RefData!$B$2,$B$13)</xm:f>
            <x14:dxf>
              <font>
                <color rgb="FF5F5F5F"/>
              </font>
              <fill>
                <patternFill>
                  <bgColor theme="0" tint="-0.14996795556505021"/>
                </patternFill>
              </fill>
            </x14:dxf>
          </x14:cfRule>
          <xm:sqref>A13:F13</xm:sqref>
        </x14:conditionalFormatting>
        <x14:conditionalFormatting xmlns:xm="http://schemas.microsoft.com/office/excel/2006/main">
          <x14:cfRule type="expression" priority="1109" id="{15A93BD1-B3A0-4079-8212-6BDD3178BE52}">
            <xm:f>SEARCH(RefData!$B$2,$B$14)</xm:f>
            <x14:dxf>
              <font>
                <color rgb="FF5F5F5F"/>
              </font>
              <fill>
                <patternFill>
                  <bgColor theme="0" tint="-0.14996795556505021"/>
                </patternFill>
              </fill>
            </x14:dxf>
          </x14:cfRule>
          <xm:sqref>A14:F14</xm:sqref>
        </x14:conditionalFormatting>
        <x14:conditionalFormatting xmlns:xm="http://schemas.microsoft.com/office/excel/2006/main">
          <x14:cfRule type="expression" priority="1110" id="{41BA0496-16B2-41DC-8692-A5005A67FD8C}">
            <xm:f>SEARCH(RefData!$B$2,$B$15)</xm:f>
            <x14:dxf>
              <font>
                <color rgb="FF5F5F5F"/>
              </font>
              <fill>
                <patternFill>
                  <bgColor theme="0" tint="-0.14996795556505021"/>
                </patternFill>
              </fill>
            </x14:dxf>
          </x14:cfRule>
          <xm:sqref>A15:F15</xm:sqref>
        </x14:conditionalFormatting>
        <x14:conditionalFormatting xmlns:xm="http://schemas.microsoft.com/office/excel/2006/main">
          <x14:cfRule type="expression" priority="1111" id="{4F70F874-58B9-496A-9777-9A4F1D1D5E2A}">
            <xm:f>SEARCH(RefData!$B$2,$B$16)</xm:f>
            <x14:dxf>
              <font>
                <color rgb="FF5F5F5F"/>
              </font>
              <fill>
                <patternFill>
                  <bgColor theme="0" tint="-0.14996795556505021"/>
                </patternFill>
              </fill>
            </x14:dxf>
          </x14:cfRule>
          <xm:sqref>A16:F16</xm:sqref>
        </x14:conditionalFormatting>
        <x14:conditionalFormatting xmlns:xm="http://schemas.microsoft.com/office/excel/2006/main">
          <x14:cfRule type="expression" priority="1112" id="{0F55848B-A07D-4348-B0E3-72D7620F1F77}">
            <xm:f>SEARCH(RefData!$B$2,$B$17)</xm:f>
            <x14:dxf>
              <font>
                <color rgb="FF5F5F5F"/>
              </font>
              <fill>
                <patternFill>
                  <bgColor theme="0" tint="-0.14996795556505021"/>
                </patternFill>
              </fill>
            </x14:dxf>
          </x14:cfRule>
          <xm:sqref>A17:F17</xm:sqref>
        </x14:conditionalFormatting>
        <x14:conditionalFormatting xmlns:xm="http://schemas.microsoft.com/office/excel/2006/main">
          <x14:cfRule type="expression" priority="1113" id="{D98F086E-CEC1-4014-8C15-9C4A1B895153}">
            <xm:f>SEARCH(RefData!$B$2,$B$18)</xm:f>
            <x14:dxf>
              <font>
                <color rgb="FF5F5F5F"/>
              </font>
              <fill>
                <patternFill>
                  <bgColor theme="0" tint="-0.14996795556505021"/>
                </patternFill>
              </fill>
            </x14:dxf>
          </x14:cfRule>
          <xm:sqref>A18:F18</xm:sqref>
        </x14:conditionalFormatting>
        <x14:conditionalFormatting xmlns:xm="http://schemas.microsoft.com/office/excel/2006/main">
          <x14:cfRule type="expression" priority="1114" id="{7F7C04E0-2772-4A9F-AB32-341B2E2EDF4E}">
            <xm:f>SEARCH(RefData!$B$2,$B$19)</xm:f>
            <x14:dxf>
              <font>
                <color rgb="FF5F5F5F"/>
              </font>
              <fill>
                <patternFill>
                  <bgColor theme="0" tint="-0.14996795556505021"/>
                </patternFill>
              </fill>
            </x14:dxf>
          </x14:cfRule>
          <xm:sqref>A19:F19</xm:sqref>
        </x14:conditionalFormatting>
        <x14:conditionalFormatting xmlns:xm="http://schemas.microsoft.com/office/excel/2006/main">
          <x14:cfRule type="expression" priority="1115" id="{DEB80462-17F8-4978-BE8E-B26EFFA752A6}">
            <xm:f>SEARCH(RefData!$B$2,$B$20)</xm:f>
            <x14:dxf>
              <font>
                <color rgb="FF5F5F5F"/>
              </font>
              <fill>
                <patternFill>
                  <bgColor theme="0" tint="-0.14996795556505021"/>
                </patternFill>
              </fill>
            </x14:dxf>
          </x14:cfRule>
          <xm:sqref>A20:F20</xm:sqref>
        </x14:conditionalFormatting>
        <x14:conditionalFormatting xmlns:xm="http://schemas.microsoft.com/office/excel/2006/main">
          <x14:cfRule type="expression" priority="1116" id="{CF984AA4-F3F3-4E02-9761-CDA0A6A973A2}">
            <xm:f>SEARCH(RefData!$B$2,$B$21)</xm:f>
            <x14:dxf>
              <font>
                <color rgb="FF5F5F5F"/>
              </font>
              <fill>
                <patternFill>
                  <bgColor theme="0" tint="-0.14996795556505021"/>
                </patternFill>
              </fill>
            </x14:dxf>
          </x14:cfRule>
          <xm:sqref>A21:F21</xm:sqref>
        </x14:conditionalFormatting>
        <x14:conditionalFormatting xmlns:xm="http://schemas.microsoft.com/office/excel/2006/main">
          <x14:cfRule type="expression" priority="1117" id="{DF8F3698-1178-4510-8495-09BC13281740}">
            <xm:f>SEARCH(RefData!$B$2,$B$25)</xm:f>
            <x14:dxf>
              <font>
                <color rgb="FF5F5F5F"/>
              </font>
              <fill>
                <patternFill>
                  <bgColor theme="0" tint="-0.14996795556505021"/>
                </patternFill>
              </fill>
            </x14:dxf>
          </x14:cfRule>
          <xm:sqref>A25:F25</xm:sqref>
        </x14:conditionalFormatting>
        <x14:conditionalFormatting xmlns:xm="http://schemas.microsoft.com/office/excel/2006/main">
          <x14:cfRule type="expression" priority="1118" id="{90F34749-FABB-4B61-95FC-00F78EBDE153}">
            <xm:f>SEARCH(RefData!$B$2,$B$26)</xm:f>
            <x14:dxf>
              <font>
                <color rgb="FF5F5F5F"/>
              </font>
              <fill>
                <patternFill>
                  <bgColor theme="0" tint="-0.14996795556505021"/>
                </patternFill>
              </fill>
            </x14:dxf>
          </x14:cfRule>
          <xm:sqref>A26:F26</xm:sqref>
        </x14:conditionalFormatting>
        <x14:conditionalFormatting xmlns:xm="http://schemas.microsoft.com/office/excel/2006/main">
          <x14:cfRule type="expression" priority="1119" id="{52AF4BD1-E197-402B-9A12-B7596782CEEA}">
            <xm:f>SEARCH(RefData!$B$2,$B$27)</xm:f>
            <x14:dxf>
              <font>
                <color rgb="FF5F5F5F"/>
              </font>
              <fill>
                <patternFill>
                  <bgColor theme="0" tint="-0.14996795556505021"/>
                </patternFill>
              </fill>
            </x14:dxf>
          </x14:cfRule>
          <xm:sqref>A27:F27</xm:sqref>
        </x14:conditionalFormatting>
        <x14:conditionalFormatting xmlns:xm="http://schemas.microsoft.com/office/excel/2006/main">
          <x14:cfRule type="expression" priority="1120" id="{5BAB8421-6F6C-4EC0-B0C3-C1AE2F8734DC}">
            <xm:f>SEARCH(RefData!$B$2,$B$28)</xm:f>
            <x14:dxf>
              <font>
                <color rgb="FF5F5F5F"/>
              </font>
              <fill>
                <patternFill>
                  <bgColor theme="0" tint="-0.14996795556505021"/>
                </patternFill>
              </fill>
            </x14:dxf>
          </x14:cfRule>
          <xm:sqref>A28:F28</xm:sqref>
        </x14:conditionalFormatting>
        <x14:conditionalFormatting xmlns:xm="http://schemas.microsoft.com/office/excel/2006/main">
          <x14:cfRule type="expression" priority="1121" id="{3E1306C9-BBC6-453E-AD98-9DC9B60417A7}">
            <xm:f>SEARCH(RefData!$B$2,$B$29)</xm:f>
            <x14:dxf>
              <font>
                <color rgb="FF5F5F5F"/>
              </font>
              <fill>
                <patternFill>
                  <bgColor theme="0" tint="-0.14996795556505021"/>
                </patternFill>
              </fill>
            </x14:dxf>
          </x14:cfRule>
          <xm:sqref>A29:F29</xm:sqref>
        </x14:conditionalFormatting>
        <x14:conditionalFormatting xmlns:xm="http://schemas.microsoft.com/office/excel/2006/main">
          <x14:cfRule type="expression" priority="1122" id="{4817B8E7-9751-47E4-AD84-58B45C5F982C}">
            <xm:f>SEARCH(RefData!$B$2,$B$30)</xm:f>
            <x14:dxf>
              <font>
                <color rgb="FF5F5F5F"/>
              </font>
              <fill>
                <patternFill>
                  <bgColor theme="0" tint="-0.14996795556505021"/>
                </patternFill>
              </fill>
            </x14:dxf>
          </x14:cfRule>
          <xm:sqref>A30:F30</xm:sqref>
        </x14:conditionalFormatting>
        <x14:conditionalFormatting xmlns:xm="http://schemas.microsoft.com/office/excel/2006/main">
          <x14:cfRule type="expression" priority="1123" id="{B8B23358-A1E5-4727-8980-263DB49A3960}">
            <xm:f>SEARCH(RefData!$B$2,$B$31)</xm:f>
            <x14:dxf>
              <font>
                <color rgb="FF5F5F5F"/>
              </font>
              <fill>
                <patternFill>
                  <bgColor theme="0" tint="-0.14996795556505021"/>
                </patternFill>
              </fill>
            </x14:dxf>
          </x14:cfRule>
          <xm:sqref>A31:F31</xm:sqref>
        </x14:conditionalFormatting>
        <x14:conditionalFormatting xmlns:xm="http://schemas.microsoft.com/office/excel/2006/main">
          <x14:cfRule type="expression" priority="1124" id="{CF150F33-5EDC-4EE7-A3ED-85958C39D706}">
            <xm:f>SEARCH(RefData!$B$2,$B$32)</xm:f>
            <x14:dxf>
              <font>
                <color rgb="FF5F5F5F"/>
              </font>
              <fill>
                <patternFill>
                  <bgColor theme="0" tint="-0.14996795556505021"/>
                </patternFill>
              </fill>
            </x14:dxf>
          </x14:cfRule>
          <xm:sqref>A32:F32</xm:sqref>
        </x14:conditionalFormatting>
        <x14:conditionalFormatting xmlns:xm="http://schemas.microsoft.com/office/excel/2006/main">
          <x14:cfRule type="expression" priority="1125" id="{3843364F-B363-4817-B140-1EAA16BD2A80}">
            <xm:f>SEARCH(RefData!$B$2,$B$33)</xm:f>
            <x14:dxf>
              <font>
                <color rgb="FF5F5F5F"/>
              </font>
              <fill>
                <patternFill>
                  <bgColor theme="0" tint="-0.14996795556505021"/>
                </patternFill>
              </fill>
            </x14:dxf>
          </x14:cfRule>
          <xm:sqref>A33:F33</xm:sqref>
        </x14:conditionalFormatting>
        <x14:conditionalFormatting xmlns:xm="http://schemas.microsoft.com/office/excel/2006/main">
          <x14:cfRule type="expression" priority="1126" id="{C4A9330C-9282-4E4D-907D-00C2F7E0BBB5}">
            <xm:f>SEARCH(RefData!$B$2,$B$34)</xm:f>
            <x14:dxf>
              <font>
                <color rgb="FF5F5F5F"/>
              </font>
              <fill>
                <patternFill>
                  <bgColor theme="0" tint="-0.14996795556505021"/>
                </patternFill>
              </fill>
            </x14:dxf>
          </x14:cfRule>
          <xm:sqref>A34:F34</xm:sqref>
        </x14:conditionalFormatting>
        <x14:conditionalFormatting xmlns:xm="http://schemas.microsoft.com/office/excel/2006/main">
          <x14:cfRule type="expression" priority="1127" id="{DFEA2306-E5E7-40F7-865C-D27311AA409C}">
            <xm:f>SEARCH(RefData!$B$2,$B$38)</xm:f>
            <x14:dxf>
              <font>
                <color rgb="FF5F5F5F"/>
              </font>
              <fill>
                <patternFill>
                  <bgColor theme="0" tint="-0.14996795556505021"/>
                </patternFill>
              </fill>
            </x14:dxf>
          </x14:cfRule>
          <xm:sqref>A38:F38</xm:sqref>
        </x14:conditionalFormatting>
        <x14:conditionalFormatting xmlns:xm="http://schemas.microsoft.com/office/excel/2006/main">
          <x14:cfRule type="expression" priority="1128" id="{1A7EC012-EB64-4695-B5D4-B38512372176}">
            <xm:f>SEARCH(RefData!$B$2,$B$39)</xm:f>
            <x14:dxf>
              <font>
                <color rgb="FF5F5F5F"/>
              </font>
              <fill>
                <patternFill>
                  <bgColor theme="0" tint="-0.14996795556505021"/>
                </patternFill>
              </fill>
            </x14:dxf>
          </x14:cfRule>
          <xm:sqref>A39:F39</xm:sqref>
        </x14:conditionalFormatting>
        <x14:conditionalFormatting xmlns:xm="http://schemas.microsoft.com/office/excel/2006/main">
          <x14:cfRule type="expression" priority="1129" id="{8E0EACE9-E334-4A88-8C0E-A96A18B8FB2E}">
            <xm:f>SEARCH(RefData!$B$2,$B$40)</xm:f>
            <x14:dxf>
              <font>
                <color rgb="FF5F5F5F"/>
              </font>
              <fill>
                <patternFill>
                  <bgColor theme="0" tint="-0.14996795556505021"/>
                </patternFill>
              </fill>
            </x14:dxf>
          </x14:cfRule>
          <xm:sqref>A40:F40</xm:sqref>
        </x14:conditionalFormatting>
        <x14:conditionalFormatting xmlns:xm="http://schemas.microsoft.com/office/excel/2006/main">
          <x14:cfRule type="expression" priority="1130" id="{9C078D87-F1B6-424E-9029-216BF042028E}">
            <xm:f>SEARCH(RefData!$B$2,$B$41)</xm:f>
            <x14:dxf>
              <font>
                <color rgb="FF5F5F5F"/>
              </font>
              <fill>
                <patternFill>
                  <bgColor theme="0" tint="-0.14996795556505021"/>
                </patternFill>
              </fill>
            </x14:dxf>
          </x14:cfRule>
          <xm:sqref>A41:F41</xm:sqref>
        </x14:conditionalFormatting>
        <x14:conditionalFormatting xmlns:xm="http://schemas.microsoft.com/office/excel/2006/main">
          <x14:cfRule type="expression" priority="1131" id="{AE772350-BC8B-4026-A27A-58EB56146DDF}">
            <xm:f>SEARCH(RefData!$B$2,$B$42)</xm:f>
            <x14:dxf>
              <font>
                <color rgb="FF5F5F5F"/>
              </font>
              <fill>
                <patternFill>
                  <bgColor theme="0" tint="-0.14996795556505021"/>
                </patternFill>
              </fill>
            </x14:dxf>
          </x14:cfRule>
          <xm:sqref>A42:F42</xm:sqref>
        </x14:conditionalFormatting>
        <x14:conditionalFormatting xmlns:xm="http://schemas.microsoft.com/office/excel/2006/main">
          <x14:cfRule type="expression" priority="1132" id="{927AD13B-9207-4853-A9A9-5817FD2DDEA0}">
            <xm:f>SEARCH(RefData!$B$2,$B$43)</xm:f>
            <x14:dxf>
              <font>
                <color rgb="FF5F5F5F"/>
              </font>
              <fill>
                <patternFill>
                  <bgColor theme="0" tint="-0.14996795556505021"/>
                </patternFill>
              </fill>
            </x14:dxf>
          </x14:cfRule>
          <xm:sqref>A43:F43</xm:sqref>
        </x14:conditionalFormatting>
        <x14:conditionalFormatting xmlns:xm="http://schemas.microsoft.com/office/excel/2006/main">
          <x14:cfRule type="expression" priority="1133" id="{238F6F6D-7BDF-4757-8BA3-DB729F634992}">
            <xm:f>SEARCH(RefData!$B$2,$B$44)</xm:f>
            <x14:dxf>
              <font>
                <color rgb="FF5F5F5F"/>
              </font>
              <fill>
                <patternFill>
                  <bgColor theme="0" tint="-0.14996795556505021"/>
                </patternFill>
              </fill>
            </x14:dxf>
          </x14:cfRule>
          <xm:sqref>A44:F44</xm:sqref>
        </x14:conditionalFormatting>
        <x14:conditionalFormatting xmlns:xm="http://schemas.microsoft.com/office/excel/2006/main">
          <x14:cfRule type="expression" priority="1134" id="{6B78F956-619B-42CA-BA04-26538D9BD011}">
            <xm:f>SEARCH(RefData!$B$2,$B$45)</xm:f>
            <x14:dxf>
              <font>
                <color rgb="FF5F5F5F"/>
              </font>
              <fill>
                <patternFill>
                  <bgColor theme="0" tint="-0.14996795556505021"/>
                </patternFill>
              </fill>
            </x14:dxf>
          </x14:cfRule>
          <xm:sqref>A45:F45</xm:sqref>
        </x14:conditionalFormatting>
        <x14:conditionalFormatting xmlns:xm="http://schemas.microsoft.com/office/excel/2006/main">
          <x14:cfRule type="expression" priority="1135" id="{6768FB8F-6494-42C0-926B-9AA746C0A944}">
            <xm:f>SEARCH(RefData!$B$2,$B$46)</xm:f>
            <x14:dxf>
              <font>
                <color rgb="FF5F5F5F"/>
              </font>
              <fill>
                <patternFill>
                  <bgColor theme="0" tint="-0.14996795556505021"/>
                </patternFill>
              </fill>
            </x14:dxf>
          </x14:cfRule>
          <xm:sqref>A46:F46</xm:sqref>
        </x14:conditionalFormatting>
        <x14:conditionalFormatting xmlns:xm="http://schemas.microsoft.com/office/excel/2006/main">
          <x14:cfRule type="expression" priority="1136" id="{A32E3DDA-144B-4D65-9581-86E897885F67}">
            <xm:f>SEARCH(RefData!$B$2,$B$47)</xm:f>
            <x14:dxf>
              <font>
                <color rgb="FF5F5F5F"/>
              </font>
              <fill>
                <patternFill>
                  <bgColor theme="0" tint="-0.14996795556505021"/>
                </patternFill>
              </fill>
            </x14:dxf>
          </x14:cfRule>
          <xm:sqref>A47:F47</xm:sqref>
        </x14:conditionalFormatting>
        <x14:conditionalFormatting xmlns:xm="http://schemas.microsoft.com/office/excel/2006/main">
          <x14:cfRule type="expression" priority="1137" id="{7527E3BE-E324-479D-A696-C28379967BBA}">
            <xm:f>SEARCH(RefData!$B$2,$B$51)</xm:f>
            <x14:dxf>
              <font>
                <color rgb="FF5F5F5F"/>
              </font>
              <fill>
                <patternFill>
                  <bgColor theme="0" tint="-0.14996795556505021"/>
                </patternFill>
              </fill>
            </x14:dxf>
          </x14:cfRule>
          <xm:sqref>A51:F51</xm:sqref>
        </x14:conditionalFormatting>
        <x14:conditionalFormatting xmlns:xm="http://schemas.microsoft.com/office/excel/2006/main">
          <x14:cfRule type="expression" priority="1138" id="{1A197BAF-8CCD-4094-B0A0-BA42871C6BDC}">
            <xm:f>SEARCH(RefData!$B$2,$B$52)</xm:f>
            <x14:dxf>
              <font>
                <color rgb="FF5F5F5F"/>
              </font>
              <fill>
                <patternFill>
                  <bgColor theme="0" tint="-0.14996795556505021"/>
                </patternFill>
              </fill>
            </x14:dxf>
          </x14:cfRule>
          <xm:sqref>A52:F52</xm:sqref>
        </x14:conditionalFormatting>
        <x14:conditionalFormatting xmlns:xm="http://schemas.microsoft.com/office/excel/2006/main">
          <x14:cfRule type="expression" priority="1139" id="{FC11638E-BA72-4A53-844D-76F68F762E7D}">
            <xm:f>SEARCH(RefData!$B$2,$B$53)</xm:f>
            <x14:dxf>
              <font>
                <color rgb="FF5F5F5F"/>
              </font>
              <fill>
                <patternFill>
                  <bgColor theme="0" tint="-0.14996795556505021"/>
                </patternFill>
              </fill>
            </x14:dxf>
          </x14:cfRule>
          <xm:sqref>A53:F53</xm:sqref>
        </x14:conditionalFormatting>
        <x14:conditionalFormatting xmlns:xm="http://schemas.microsoft.com/office/excel/2006/main">
          <x14:cfRule type="expression" priority="1140" id="{C4B0362F-8101-4AB2-A7D7-75CB1EDA89FA}">
            <xm:f>SEARCH(RefData!$B$2,$B$54)</xm:f>
            <x14:dxf>
              <font>
                <color rgb="FF5F5F5F"/>
              </font>
              <fill>
                <patternFill>
                  <bgColor theme="0" tint="-0.14996795556505021"/>
                </patternFill>
              </fill>
            </x14:dxf>
          </x14:cfRule>
          <xm:sqref>A54:F54</xm:sqref>
        </x14:conditionalFormatting>
        <x14:conditionalFormatting xmlns:xm="http://schemas.microsoft.com/office/excel/2006/main">
          <x14:cfRule type="expression" priority="1141" id="{227D7BDB-0E99-4DF7-A3DF-0FD0AAE02887}">
            <xm:f>SEARCH(RefData!$B$2,$B$55)</xm:f>
            <x14:dxf>
              <font>
                <color rgb="FF5F5F5F"/>
              </font>
              <fill>
                <patternFill>
                  <bgColor theme="0" tint="-0.14996795556505021"/>
                </patternFill>
              </fill>
            </x14:dxf>
          </x14:cfRule>
          <xm:sqref>A55:F55</xm:sqref>
        </x14:conditionalFormatting>
        <x14:conditionalFormatting xmlns:xm="http://schemas.microsoft.com/office/excel/2006/main">
          <x14:cfRule type="expression" priority="1142" id="{EAAB14D9-1FA9-4EC8-8B2E-71EEC544B864}">
            <xm:f>SEARCH(RefData!$B$2,$B$56)</xm:f>
            <x14:dxf>
              <font>
                <color rgb="FF5F5F5F"/>
              </font>
              <fill>
                <patternFill>
                  <bgColor theme="0" tint="-0.14996795556505021"/>
                </patternFill>
              </fill>
            </x14:dxf>
          </x14:cfRule>
          <xm:sqref>A56:F56</xm:sqref>
        </x14:conditionalFormatting>
        <x14:conditionalFormatting xmlns:xm="http://schemas.microsoft.com/office/excel/2006/main">
          <x14:cfRule type="expression" priority="1143" id="{B01D4592-ED61-4988-A4B9-5CAB71E40D97}">
            <xm:f>SEARCH(RefData!$B$2,$B$57)</xm:f>
            <x14:dxf>
              <font>
                <color rgb="FF5F5F5F"/>
              </font>
              <fill>
                <patternFill>
                  <bgColor theme="0" tint="-0.14996795556505021"/>
                </patternFill>
              </fill>
            </x14:dxf>
          </x14:cfRule>
          <xm:sqref>A57:F57</xm:sqref>
        </x14:conditionalFormatting>
        <x14:conditionalFormatting xmlns:xm="http://schemas.microsoft.com/office/excel/2006/main">
          <x14:cfRule type="expression" priority="1144" id="{B38D82B2-DC49-4C18-8059-3131C40FE480}">
            <xm:f>SEARCH(RefData!$B$2,$B$58)</xm:f>
            <x14:dxf>
              <font>
                <color rgb="FF5F5F5F"/>
              </font>
              <fill>
                <patternFill>
                  <bgColor theme="0" tint="-0.14996795556505021"/>
                </patternFill>
              </fill>
            </x14:dxf>
          </x14:cfRule>
          <xm:sqref>A58:F58</xm:sqref>
        </x14:conditionalFormatting>
        <x14:conditionalFormatting xmlns:xm="http://schemas.microsoft.com/office/excel/2006/main">
          <x14:cfRule type="expression" priority="1145" id="{62ACD5C3-D53B-4596-A061-D1EC80F86A2A}">
            <xm:f>SEARCH(RefData!$B$2,$B$59)</xm:f>
            <x14:dxf>
              <font>
                <color rgb="FF5F5F5F"/>
              </font>
              <fill>
                <patternFill>
                  <bgColor theme="0" tint="-0.14996795556505021"/>
                </patternFill>
              </fill>
            </x14:dxf>
          </x14:cfRule>
          <xm:sqref>A59:F59</xm:sqref>
        </x14:conditionalFormatting>
        <x14:conditionalFormatting xmlns:xm="http://schemas.microsoft.com/office/excel/2006/main">
          <x14:cfRule type="expression" priority="1146" id="{36CC309D-3CEA-42AB-B81D-5D71FDA19DA4}">
            <xm:f>SEARCH(RefData!$B$2,$B$60)</xm:f>
            <x14:dxf>
              <font>
                <color rgb="FF5F5F5F"/>
              </font>
              <fill>
                <patternFill>
                  <bgColor theme="0" tint="-0.14996795556505021"/>
                </patternFill>
              </fill>
            </x14:dxf>
          </x14:cfRule>
          <xm:sqref>A60:F60</xm:sqref>
        </x14:conditionalFormatting>
        <x14:conditionalFormatting xmlns:xm="http://schemas.microsoft.com/office/excel/2006/main">
          <x14:cfRule type="expression" priority="1147" id="{33857B09-F3B4-4C9E-94F1-A1096E0C9487}">
            <xm:f>SEARCH(RefData!$B$2,$B$64)</xm:f>
            <x14:dxf>
              <font>
                <color rgb="FF5F5F5F"/>
              </font>
              <fill>
                <patternFill>
                  <bgColor theme="0" tint="-0.14996795556505021"/>
                </patternFill>
              </fill>
            </x14:dxf>
          </x14:cfRule>
          <xm:sqref>A64:F64</xm:sqref>
        </x14:conditionalFormatting>
        <x14:conditionalFormatting xmlns:xm="http://schemas.microsoft.com/office/excel/2006/main">
          <x14:cfRule type="expression" priority="1148" id="{097F3BC9-ABD5-4F37-9212-47E2B0345B5F}">
            <xm:f>SEARCH(RefData!$B$2,$B$65)</xm:f>
            <x14:dxf>
              <font>
                <color rgb="FF5F5F5F"/>
              </font>
              <fill>
                <patternFill>
                  <bgColor theme="0" tint="-0.14996795556505021"/>
                </patternFill>
              </fill>
            </x14:dxf>
          </x14:cfRule>
          <xm:sqref>A65:F65</xm:sqref>
        </x14:conditionalFormatting>
        <x14:conditionalFormatting xmlns:xm="http://schemas.microsoft.com/office/excel/2006/main">
          <x14:cfRule type="expression" priority="1149" id="{905DF874-E60D-4C54-8979-84758B826B2C}">
            <xm:f>SEARCH(RefData!$B$2,$B$66)</xm:f>
            <x14:dxf>
              <font>
                <color rgb="FF5F5F5F"/>
              </font>
              <fill>
                <patternFill>
                  <bgColor theme="0" tint="-0.14996795556505021"/>
                </patternFill>
              </fill>
            </x14:dxf>
          </x14:cfRule>
          <xm:sqref>A66:F66</xm:sqref>
        </x14:conditionalFormatting>
        <x14:conditionalFormatting xmlns:xm="http://schemas.microsoft.com/office/excel/2006/main">
          <x14:cfRule type="expression" priority="1150" id="{5B11DACD-FC82-47D4-B4EE-BBD6804E5D4F}">
            <xm:f>SEARCH(RefData!$B$2,$B$67)</xm:f>
            <x14:dxf>
              <font>
                <color rgb="FF5F5F5F"/>
              </font>
              <fill>
                <patternFill>
                  <bgColor theme="0" tint="-0.14996795556505021"/>
                </patternFill>
              </fill>
            </x14:dxf>
          </x14:cfRule>
          <xm:sqref>A67:F67</xm:sqref>
        </x14:conditionalFormatting>
        <x14:conditionalFormatting xmlns:xm="http://schemas.microsoft.com/office/excel/2006/main">
          <x14:cfRule type="expression" priority="1151" id="{02378479-A327-4BC1-90C3-308C5F227C13}">
            <xm:f>SEARCH(RefData!$B$2,$B$68)</xm:f>
            <x14:dxf>
              <font>
                <color rgb="FF5F5F5F"/>
              </font>
              <fill>
                <patternFill>
                  <bgColor theme="0" tint="-0.14996795556505021"/>
                </patternFill>
              </fill>
            </x14:dxf>
          </x14:cfRule>
          <xm:sqref>A68:F68</xm:sqref>
        </x14:conditionalFormatting>
        <x14:conditionalFormatting xmlns:xm="http://schemas.microsoft.com/office/excel/2006/main">
          <x14:cfRule type="expression" priority="1152" id="{BB2EFE39-B3C9-4608-AE51-447728D5A360}">
            <xm:f>SEARCH(RefData!$B$2,$B$69)</xm:f>
            <x14:dxf>
              <font>
                <color rgb="FF5F5F5F"/>
              </font>
              <fill>
                <patternFill>
                  <bgColor theme="0" tint="-0.14996795556505021"/>
                </patternFill>
              </fill>
            </x14:dxf>
          </x14:cfRule>
          <xm:sqref>A69:F69</xm:sqref>
        </x14:conditionalFormatting>
        <x14:conditionalFormatting xmlns:xm="http://schemas.microsoft.com/office/excel/2006/main">
          <x14:cfRule type="expression" priority="1153" id="{D1605D80-3988-419A-97B4-C90AD16B2A26}">
            <xm:f>SEARCH(RefData!$B$2,$B$70)</xm:f>
            <x14:dxf>
              <font>
                <color rgb="FF5F5F5F"/>
              </font>
              <fill>
                <patternFill>
                  <bgColor theme="0" tint="-0.14996795556505021"/>
                </patternFill>
              </fill>
            </x14:dxf>
          </x14:cfRule>
          <xm:sqref>A70:F70</xm:sqref>
        </x14:conditionalFormatting>
        <x14:conditionalFormatting xmlns:xm="http://schemas.microsoft.com/office/excel/2006/main">
          <x14:cfRule type="expression" priority="1154" id="{A16388A9-1466-46E5-B3F9-9FE09D524AAD}">
            <xm:f>SEARCH(RefData!$B$2,$B$71)</xm:f>
            <x14:dxf>
              <font>
                <color rgb="FF5F5F5F"/>
              </font>
              <fill>
                <patternFill>
                  <bgColor theme="0" tint="-0.14996795556505021"/>
                </patternFill>
              </fill>
            </x14:dxf>
          </x14:cfRule>
          <xm:sqref>A71:F71</xm:sqref>
        </x14:conditionalFormatting>
        <x14:conditionalFormatting xmlns:xm="http://schemas.microsoft.com/office/excel/2006/main">
          <x14:cfRule type="expression" priority="1155" id="{02FB0160-CCD9-4EFC-85A8-7D209EF6AF4D}">
            <xm:f>SEARCH(RefData!$B$2,$B$72)</xm:f>
            <x14:dxf>
              <font>
                <color rgb="FF5F5F5F"/>
              </font>
              <fill>
                <patternFill>
                  <bgColor theme="0" tint="-0.14996795556505021"/>
                </patternFill>
              </fill>
            </x14:dxf>
          </x14:cfRule>
          <xm:sqref>A72:F72</xm:sqref>
        </x14:conditionalFormatting>
        <x14:conditionalFormatting xmlns:xm="http://schemas.microsoft.com/office/excel/2006/main">
          <x14:cfRule type="expression" priority="1156" id="{DFA1D218-3AD4-4BC1-963F-F3C508AC6FE6}">
            <xm:f>SEARCH(RefData!$B$2,$B$73)</xm:f>
            <x14:dxf>
              <font>
                <color rgb="FF5F5F5F"/>
              </font>
              <fill>
                <patternFill>
                  <bgColor theme="0" tint="-0.14996795556505021"/>
                </patternFill>
              </fill>
            </x14:dxf>
          </x14:cfRule>
          <xm:sqref>A73:F73</xm:sqref>
        </x14:conditionalFormatting>
        <x14:conditionalFormatting xmlns:xm="http://schemas.microsoft.com/office/excel/2006/main">
          <x14:cfRule type="expression" priority="3" id="{FEDD2DD6-DF98-4AEE-A0A7-12745EFBE32A}">
            <xm:f>$C$77=RefData!$B$434</xm:f>
            <x14:dxf>
              <fill>
                <patternFill>
                  <bgColor rgb="FFEFF5FA"/>
                </patternFill>
              </fill>
            </x14:dxf>
          </x14:cfRule>
          <x14:cfRule type="expression" priority="2" id="{57A16277-E896-453B-B45B-D1BBD95B225D}">
            <xm:f>$C$77=RefData!$B$433</xm:f>
            <x14:dxf>
              <fill>
                <patternFill>
                  <bgColor rgb="FFEFF5FA"/>
                </patternFill>
              </fill>
            </x14:dxf>
          </x14:cfRule>
          <xm:sqref>C77</xm:sqref>
        </x14:conditionalFormatting>
      </x14:conditionalFormattings>
    </ext>
    <ext xmlns:x14="http://schemas.microsoft.com/office/spreadsheetml/2009/9/main" uri="{CCE6A557-97BC-4b89-ADB6-D9C93CAAB3DF}">
      <x14:dataValidations xmlns:xm="http://schemas.microsoft.com/office/excel/2006/main" count="4">
        <x14:dataValidation type="date" operator="greaterThan" allowBlank="1" showInputMessage="1" showErrorMessage="1" errorTitle="There is a problem" error="Enter a date in the the format dd/mm/yyyy. " promptTitle="Enter a date" prompt="Enter a date (dd/mm/yyyy)" xr:uid="{560308D3-8704-4037-89D1-80433F9358F8}">
          <x14:formula1>
            <xm:f>'Start here'!$C$21</xm:f>
          </x14:formula1>
          <xm:sqref>C67 C15 C28 C54 C41</xm:sqref>
        </x14:dataValidation>
        <x14:dataValidation type="list" allowBlank="1" showInputMessage="1" showErrorMessage="1" errorTitle="There is a problem" error="You must select your answer from the drop-down list." promptTitle="Select an answer" prompt="Choose from the list provided." xr:uid="{5F3C5883-B28B-4A39-9389-710036166B71}">
          <x14:formula1>
            <xm:f>RefData!$B$181:$B$186</xm:f>
          </x14:formula1>
          <xm:sqref>C12 C25 C38 C51 C64</xm:sqref>
        </x14:dataValidation>
        <x14:dataValidation type="list" allowBlank="1" showInputMessage="1" showErrorMessage="1" errorTitle="There is a problem" error="You must select your answer from the drop-down list." promptTitle="Select an answer" prompt="Choose from the list provided." xr:uid="{D9DFD2D0-FF81-434D-B4CC-535E66105F2A}">
          <x14:formula1>
            <xm:f>RefData!$B$187:$B$189</xm:f>
          </x14:formula1>
          <xm:sqref>C14 C27 C40 C53 C66</xm:sqref>
        </x14:dataValidation>
        <x14:dataValidation type="list" allowBlank="1" showInputMessage="1" showErrorMessage="1" xr:uid="{1C5B4FAD-1A47-4FD4-92BD-E8C10783088B}">
          <x14:formula1>
            <xm:f>RefData!$B$433:$B$435</xm:f>
          </x14:formula1>
          <xm:sqref>C77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8EA95-F841-4A2C-997D-83CE08094559}">
  <sheetPr codeName="Sheet29"/>
  <dimension ref="A1:K33"/>
  <sheetViews>
    <sheetView zoomScaleNormal="100" workbookViewId="0">
      <selection sqref="A1:B1"/>
    </sheetView>
  </sheetViews>
  <sheetFormatPr defaultColWidth="0" defaultRowHeight="0" customHeight="1" zeroHeight="1"/>
  <cols>
    <col min="1" max="1" width="14.69140625" style="20" customWidth="1"/>
    <col min="2" max="2" width="42" style="20" bestFit="1" customWidth="1"/>
    <col min="3" max="7" width="28.69140625" style="36" customWidth="1"/>
    <col min="8" max="8" width="62.69140625" style="20" customWidth="1"/>
    <col min="9" max="9" width="46" style="20" customWidth="1"/>
    <col min="10" max="10" width="62.69140625" style="20" customWidth="1"/>
    <col min="11" max="11" width="0" style="20" hidden="1" customWidth="1"/>
    <col min="12" max="16384" width="18" style="20" hidden="1"/>
  </cols>
  <sheetData>
    <row r="1" spans="1:10" s="142" customFormat="1" ht="50.15" customHeight="1" thickBot="1">
      <c r="A1" s="747" t="s">
        <v>1460</v>
      </c>
      <c r="B1" s="748"/>
      <c r="C1" s="240"/>
      <c r="D1" s="240"/>
      <c r="E1" s="240"/>
      <c r="F1" s="240"/>
      <c r="G1" s="240"/>
      <c r="H1" s="13"/>
      <c r="I1" s="13"/>
      <c r="J1" s="13"/>
    </row>
    <row r="2" spans="1:10" s="142" customFormat="1" ht="50.15" customHeight="1" thickTop="1" thickBot="1">
      <c r="A2" s="742" t="s">
        <v>85</v>
      </c>
      <c r="B2" s="742"/>
      <c r="C2" s="241"/>
      <c r="D2" s="241"/>
      <c r="E2" s="241"/>
      <c r="F2" s="241"/>
      <c r="G2" s="241"/>
      <c r="H2" s="57"/>
      <c r="I2" s="57"/>
      <c r="J2" s="57"/>
    </row>
    <row r="3" spans="1:10" s="142" customFormat="1" ht="330" customHeight="1" thickTop="1" thickBot="1">
      <c r="A3" s="766" t="s">
        <v>1461</v>
      </c>
      <c r="B3" s="787"/>
      <c r="C3" s="242"/>
      <c r="D3" s="326"/>
      <c r="E3" s="326"/>
      <c r="F3" s="326"/>
      <c r="G3" s="326"/>
      <c r="H3" s="26"/>
      <c r="I3" s="26"/>
      <c r="J3" s="26"/>
    </row>
    <row r="4" spans="1:10" s="143" customFormat="1" ht="20.149999999999999" customHeight="1" thickBot="1">
      <c r="A4" s="69"/>
      <c r="B4" s="69"/>
      <c r="C4" s="69" t="s">
        <v>23</v>
      </c>
      <c r="D4" s="69" t="s">
        <v>23</v>
      </c>
      <c r="E4" s="69" t="s">
        <v>23</v>
      </c>
      <c r="F4" s="69" t="s">
        <v>23</v>
      </c>
      <c r="G4" s="69" t="s">
        <v>23</v>
      </c>
      <c r="H4" s="68"/>
      <c r="I4" s="68"/>
      <c r="J4" s="68"/>
    </row>
    <row r="5" spans="1:10" ht="33" customHeight="1" thickBot="1">
      <c r="A5" s="755" t="s">
        <v>1462</v>
      </c>
      <c r="B5" s="755"/>
      <c r="C5" s="241"/>
      <c r="D5" s="241"/>
      <c r="E5" s="241"/>
      <c r="F5" s="241"/>
      <c r="G5" s="241"/>
      <c r="H5" s="57"/>
      <c r="I5" s="57"/>
      <c r="J5" s="57"/>
    </row>
    <row r="6" spans="1:10" s="47" customFormat="1" ht="47.5" thickTop="1" thickBot="1">
      <c r="A6" s="8" t="s">
        <v>89</v>
      </c>
      <c r="B6" s="8" t="s">
        <v>90</v>
      </c>
      <c r="C6" s="8" t="s">
        <v>91</v>
      </c>
      <c r="D6" s="243"/>
      <c r="E6" s="243"/>
      <c r="F6" s="243"/>
      <c r="G6" s="243"/>
      <c r="H6" s="199" t="s">
        <v>92</v>
      </c>
      <c r="I6" s="199" t="s">
        <v>104</v>
      </c>
      <c r="J6" s="199" t="s">
        <v>93</v>
      </c>
    </row>
    <row r="7" spans="1:10" ht="140.15" customHeight="1" thickTop="1" thickBot="1">
      <c r="A7" s="8"/>
      <c r="B7" s="8" t="str">
        <f>Questions!$B$254</f>
        <v xml:space="preserve">
What are the expected future income streams from the ABC, split for the first 20 years from the effective date of the valuation, and the total thereafter? (£)
</v>
      </c>
      <c r="C7" s="327" t="s">
        <v>1463</v>
      </c>
      <c r="D7" s="327" t="s">
        <v>1464</v>
      </c>
      <c r="E7" s="327" t="s">
        <v>1465</v>
      </c>
      <c r="F7" s="327" t="s">
        <v>1466</v>
      </c>
      <c r="G7" s="327" t="s">
        <v>1467</v>
      </c>
      <c r="H7" s="327"/>
      <c r="I7" s="249" t="str">
        <f>Guidance!$B$218</f>
        <v xml:space="preserve">
The expected income stream expected to be received annually by the scheme from the ABC arrangement, starting from the effective date of the actuarial valuation to which the statement of strategy relates.
</v>
      </c>
      <c r="J7" s="8"/>
    </row>
    <row r="8" spans="1:10" ht="78" thickTop="1">
      <c r="A8" s="27" t="s">
        <v>1468</v>
      </c>
      <c r="B8" s="145" t="str">
        <f>Questions!$C$343</f>
        <v xml:space="preserve">
No answer required
Year 1
</v>
      </c>
      <c r="C8" s="33"/>
      <c r="D8" s="33"/>
      <c r="E8" s="33"/>
      <c r="F8" s="33"/>
      <c r="G8" s="33"/>
      <c r="H8" s="394" t="str">
        <f ca="1">_xlfn.TEXTJOIN("
",TRUE,
IF('Reconciliation report'!$D924="","",RefData!$B$413&amp;":"&amp;'Reconciliation report'!$D924),
IF('Reconciliation report'!$D945="","",RefData!$B$414&amp;":"&amp;'Reconciliation report'!$D945),
IF('Reconciliation report'!$D966="","",RefData!$B$415&amp;":"&amp;'Reconciliation report'!$D966),
IF('Reconciliation report'!$D987="","",RefData!$B$416&amp;":"&amp;'Reconciliation report'!$D987),
IF('Reconciliation report'!$D1008="","",RefData!$B$417&amp;":"&amp;'Reconciliation report'!$D1008)
)</f>
        <v/>
      </c>
      <c r="I8" s="27"/>
      <c r="J8" s="576"/>
    </row>
    <row r="9" spans="1:10" ht="77.5">
      <c r="A9" s="27" t="s">
        <v>1469</v>
      </c>
      <c r="B9" s="146" t="str">
        <f>Questions!$C$344</f>
        <v xml:space="preserve">
No answer required
Year 2
</v>
      </c>
      <c r="C9" s="33"/>
      <c r="D9" s="33"/>
      <c r="E9" s="33"/>
      <c r="F9" s="33"/>
      <c r="G9" s="33"/>
      <c r="H9" s="394" t="str">
        <f ca="1">_xlfn.TEXTJOIN("
",TRUE,
IF('Reconciliation report'!$D925="","",RefData!$B$413&amp;":"&amp;'Reconciliation report'!$D925),
IF('Reconciliation report'!$D946="","",RefData!$B$414&amp;":"&amp;'Reconciliation report'!$D946),
IF('Reconciliation report'!$D967="","",RefData!$B$415&amp;":"&amp;'Reconciliation report'!$D967),
IF('Reconciliation report'!$D988="","",RefData!$B$416&amp;":"&amp;'Reconciliation report'!$D988),
IF('Reconciliation report'!$D1009="","",RefData!$B$417&amp;":"&amp;'Reconciliation report'!$D1009)
)</f>
        <v/>
      </c>
      <c r="I9" s="27"/>
      <c r="J9" s="576"/>
    </row>
    <row r="10" spans="1:10" ht="77.5">
      <c r="A10" s="27" t="s">
        <v>1470</v>
      </c>
      <c r="B10" s="146" t="str">
        <f>Questions!$C$345</f>
        <v xml:space="preserve">
No answer required
Year 3
</v>
      </c>
      <c r="C10" s="33"/>
      <c r="D10" s="33"/>
      <c r="E10" s="33"/>
      <c r="F10" s="33"/>
      <c r="G10" s="33"/>
      <c r="H10" s="394" t="str">
        <f ca="1">_xlfn.TEXTJOIN("
",TRUE,
IF('Reconciliation report'!$D926="","",RefData!$B$413&amp;":"&amp;'Reconciliation report'!$D926),
IF('Reconciliation report'!$D947="","",RefData!$B$414&amp;":"&amp;'Reconciliation report'!$D947),
IF('Reconciliation report'!$D968="","",RefData!$B$415&amp;":"&amp;'Reconciliation report'!$D968),
IF('Reconciliation report'!$D989="","",RefData!$B$416&amp;":"&amp;'Reconciliation report'!$D989),
IF('Reconciliation report'!$D1010="","",RefData!$B$417&amp;":"&amp;'Reconciliation report'!$D1010)
)</f>
        <v/>
      </c>
      <c r="I10" s="27"/>
      <c r="J10" s="576"/>
    </row>
    <row r="11" spans="1:10" ht="77.5">
      <c r="A11" s="27" t="s">
        <v>1471</v>
      </c>
      <c r="B11" s="146" t="str">
        <f>Questions!$C$346</f>
        <v xml:space="preserve">
No answer required
Year 4
</v>
      </c>
      <c r="C11" s="33"/>
      <c r="D11" s="33"/>
      <c r="E11" s="33"/>
      <c r="F11" s="33"/>
      <c r="G11" s="33"/>
      <c r="H11" s="394" t="str">
        <f ca="1">_xlfn.TEXTJOIN("
",TRUE,
IF('Reconciliation report'!$D927="","",RefData!$B$413&amp;":"&amp;'Reconciliation report'!$D927),
IF('Reconciliation report'!$D948="","",RefData!$B$414&amp;":"&amp;'Reconciliation report'!$D948),
IF('Reconciliation report'!$D969="","",RefData!$B$415&amp;":"&amp;'Reconciliation report'!$D969),
IF('Reconciliation report'!$D990="","",RefData!$B$416&amp;":"&amp;'Reconciliation report'!$D990),
IF('Reconciliation report'!$D1011="","",RefData!$B$417&amp;":"&amp;'Reconciliation report'!$D1011)
)</f>
        <v/>
      </c>
      <c r="I11" s="27"/>
      <c r="J11" s="576"/>
    </row>
    <row r="12" spans="1:10" ht="77.5">
      <c r="A12" s="27" t="s">
        <v>1472</v>
      </c>
      <c r="B12" s="146" t="str">
        <f>Questions!$C$347</f>
        <v xml:space="preserve">
No answer required
Year 5
</v>
      </c>
      <c r="C12" s="33"/>
      <c r="D12" s="33"/>
      <c r="E12" s="33"/>
      <c r="F12" s="33"/>
      <c r="G12" s="33"/>
      <c r="H12" s="394" t="str">
        <f ca="1">_xlfn.TEXTJOIN("
",TRUE,
IF('Reconciliation report'!$D928="","",RefData!$B$413&amp;":"&amp;'Reconciliation report'!$D928),
IF('Reconciliation report'!$D949="","",RefData!$B$414&amp;":"&amp;'Reconciliation report'!$D949),
IF('Reconciliation report'!$D970="","",RefData!$B$415&amp;":"&amp;'Reconciliation report'!$D970),
IF('Reconciliation report'!$D991="","",RefData!$B$416&amp;":"&amp;'Reconciliation report'!$D991),
IF('Reconciliation report'!$D1012="","",RefData!$B$417&amp;":"&amp;'Reconciliation report'!$D1012)
)</f>
        <v/>
      </c>
      <c r="I12" s="27"/>
      <c r="J12" s="576"/>
    </row>
    <row r="13" spans="1:10" ht="77.5">
      <c r="A13" s="27" t="s">
        <v>1473</v>
      </c>
      <c r="B13" s="146" t="str">
        <f>Questions!$C$348</f>
        <v xml:space="preserve">
No answer required
Year 6
</v>
      </c>
      <c r="C13" s="33"/>
      <c r="D13" s="33"/>
      <c r="E13" s="33"/>
      <c r="F13" s="33"/>
      <c r="G13" s="33"/>
      <c r="H13" s="394" t="str">
        <f ca="1">_xlfn.TEXTJOIN("
",TRUE,
IF('Reconciliation report'!$D929="","",RefData!$B$413&amp;":"&amp;'Reconciliation report'!$D929),
IF('Reconciliation report'!$D950="","",RefData!$B$414&amp;":"&amp;'Reconciliation report'!$D950),
IF('Reconciliation report'!$D971="","",RefData!$B$415&amp;":"&amp;'Reconciliation report'!$D971),
IF('Reconciliation report'!$D992="","",RefData!$B$416&amp;":"&amp;'Reconciliation report'!$D992),
IF('Reconciliation report'!$D1013="","",RefData!$B$417&amp;":"&amp;'Reconciliation report'!$D1013)
)</f>
        <v/>
      </c>
      <c r="I13" s="27"/>
      <c r="J13" s="576"/>
    </row>
    <row r="14" spans="1:10" ht="77.5">
      <c r="A14" s="27" t="s">
        <v>1474</v>
      </c>
      <c r="B14" s="146" t="str">
        <f>Questions!$C$349</f>
        <v xml:space="preserve">
No answer required
Year 7
</v>
      </c>
      <c r="C14" s="33"/>
      <c r="D14" s="33"/>
      <c r="E14" s="33"/>
      <c r="F14" s="33"/>
      <c r="G14" s="33"/>
      <c r="H14" s="394" t="str">
        <f ca="1">_xlfn.TEXTJOIN("
",TRUE,
IF('Reconciliation report'!$D930="","",RefData!$B$413&amp;":"&amp;'Reconciliation report'!$D930),
IF('Reconciliation report'!$D951="","",RefData!$B$414&amp;":"&amp;'Reconciliation report'!$D951),
IF('Reconciliation report'!$D972="","",RefData!$B$415&amp;":"&amp;'Reconciliation report'!$D972),
IF('Reconciliation report'!$D993="","",RefData!$B$416&amp;":"&amp;'Reconciliation report'!$D993),
IF('Reconciliation report'!$D1014="","",RefData!$B$417&amp;":"&amp;'Reconciliation report'!$D1014)
)</f>
        <v/>
      </c>
      <c r="I14" s="27"/>
      <c r="J14" s="576"/>
    </row>
    <row r="15" spans="1:10" ht="77.5">
      <c r="A15" s="27" t="s">
        <v>1475</v>
      </c>
      <c r="B15" s="146" t="str">
        <f>Questions!$C$350</f>
        <v xml:space="preserve">
No answer required
Year 8
</v>
      </c>
      <c r="C15" s="33"/>
      <c r="D15" s="33"/>
      <c r="E15" s="33"/>
      <c r="F15" s="33"/>
      <c r="G15" s="33"/>
      <c r="H15" s="394" t="str">
        <f ca="1">_xlfn.TEXTJOIN("
",TRUE,
IF('Reconciliation report'!$D931="","",RefData!$B$413&amp;":"&amp;'Reconciliation report'!$D931),
IF('Reconciliation report'!$D952="","",RefData!$B$414&amp;":"&amp;'Reconciliation report'!$D952),
IF('Reconciliation report'!$D973="","",RefData!$B$415&amp;":"&amp;'Reconciliation report'!$D973),
IF('Reconciliation report'!$D994="","",RefData!$B$416&amp;":"&amp;'Reconciliation report'!$D994),
IF('Reconciliation report'!$D1015="","",RefData!$B$417&amp;":"&amp;'Reconciliation report'!$D1015)
)</f>
        <v/>
      </c>
      <c r="I15" s="27"/>
      <c r="J15" s="576"/>
    </row>
    <row r="16" spans="1:10" ht="77.5">
      <c r="A16" s="27" t="s">
        <v>1476</v>
      </c>
      <c r="B16" s="146" t="str">
        <f>Questions!$C$351</f>
        <v xml:space="preserve">
No answer required
Year 9
</v>
      </c>
      <c r="C16" s="33"/>
      <c r="D16" s="33"/>
      <c r="E16" s="33"/>
      <c r="F16" s="33"/>
      <c r="G16" s="33"/>
      <c r="H16" s="394" t="str">
        <f ca="1">_xlfn.TEXTJOIN("
",TRUE,
IF('Reconciliation report'!$D932="","",RefData!$B$413&amp;":"&amp;'Reconciliation report'!$D932),
IF('Reconciliation report'!$D953="","",RefData!$B$414&amp;":"&amp;'Reconciliation report'!$D953),
IF('Reconciliation report'!$D974="","",RefData!$B$415&amp;":"&amp;'Reconciliation report'!$D974),
IF('Reconciliation report'!$D995="","",RefData!$B$416&amp;":"&amp;'Reconciliation report'!$D995),
IF('Reconciliation report'!$D1016="","",RefData!$B$417&amp;":"&amp;'Reconciliation report'!$D1016)
)</f>
        <v/>
      </c>
      <c r="I16" s="27"/>
      <c r="J16" s="576"/>
    </row>
    <row r="17" spans="1:10" ht="77.5">
      <c r="A17" s="27" t="s">
        <v>1477</v>
      </c>
      <c r="B17" s="146" t="str">
        <f>Questions!$C$352</f>
        <v xml:space="preserve">
No answer required
Year 10
</v>
      </c>
      <c r="C17" s="33"/>
      <c r="D17" s="33"/>
      <c r="E17" s="33"/>
      <c r="F17" s="33"/>
      <c r="G17" s="33"/>
      <c r="H17" s="394" t="str">
        <f ca="1">_xlfn.TEXTJOIN("
",TRUE,
IF('Reconciliation report'!$D933="","",RefData!$B$413&amp;":"&amp;'Reconciliation report'!$D933),
IF('Reconciliation report'!$D954="","",RefData!$B$414&amp;":"&amp;'Reconciliation report'!$D954),
IF('Reconciliation report'!$D975="","",RefData!$B$415&amp;":"&amp;'Reconciliation report'!$D975),
IF('Reconciliation report'!$D996="","",RefData!$B$416&amp;":"&amp;'Reconciliation report'!$D996),
IF('Reconciliation report'!$D1017="","",RefData!$B$417&amp;":"&amp;'Reconciliation report'!$D1017)
)</f>
        <v/>
      </c>
      <c r="I17" s="27"/>
      <c r="J17" s="576"/>
    </row>
    <row r="18" spans="1:10" ht="77.5">
      <c r="A18" s="27" t="s">
        <v>1478</v>
      </c>
      <c r="B18" s="146" t="str">
        <f>Questions!$C$353</f>
        <v xml:space="preserve">
No answer required
Year 11
</v>
      </c>
      <c r="C18" s="33"/>
      <c r="D18" s="33"/>
      <c r="E18" s="33"/>
      <c r="F18" s="33"/>
      <c r="G18" s="33"/>
      <c r="H18" s="394" t="str">
        <f ca="1">_xlfn.TEXTJOIN("
",TRUE,
IF('Reconciliation report'!$D934="","",RefData!$B$413&amp;":"&amp;'Reconciliation report'!$D934),
IF('Reconciliation report'!$D955="","",RefData!$B$414&amp;":"&amp;'Reconciliation report'!$D955),
IF('Reconciliation report'!$D976="","",RefData!$B$415&amp;":"&amp;'Reconciliation report'!$D976),
IF('Reconciliation report'!$D997="","",RefData!$B$416&amp;":"&amp;'Reconciliation report'!$D997),
IF('Reconciliation report'!$D1018="","",RefData!$B$417&amp;":"&amp;'Reconciliation report'!$D1018)
)</f>
        <v/>
      </c>
      <c r="I18" s="27"/>
      <c r="J18" s="576"/>
    </row>
    <row r="19" spans="1:10" ht="77.5">
      <c r="A19" s="27" t="s">
        <v>1479</v>
      </c>
      <c r="B19" s="146" t="str">
        <f>Questions!$C$354</f>
        <v xml:space="preserve">
No answer required
Year 12
</v>
      </c>
      <c r="C19" s="33"/>
      <c r="D19" s="33"/>
      <c r="E19" s="33"/>
      <c r="F19" s="33"/>
      <c r="G19" s="33"/>
      <c r="H19" s="394" t="str">
        <f ca="1">_xlfn.TEXTJOIN("
",TRUE,
IF('Reconciliation report'!$D935="","",RefData!$B$413&amp;":"&amp;'Reconciliation report'!$D935),
IF('Reconciliation report'!$D956="","",RefData!$B$414&amp;":"&amp;'Reconciliation report'!$D956),
IF('Reconciliation report'!$D977="","",RefData!$B$415&amp;":"&amp;'Reconciliation report'!$D977),
IF('Reconciliation report'!$D998="","",RefData!$B$416&amp;":"&amp;'Reconciliation report'!$D998),
IF('Reconciliation report'!$D1019="","",RefData!$B$417&amp;":"&amp;'Reconciliation report'!$D1019)
)</f>
        <v/>
      </c>
      <c r="I19" s="27"/>
      <c r="J19" s="576"/>
    </row>
    <row r="20" spans="1:10" ht="77.5">
      <c r="A20" s="27" t="s">
        <v>1480</v>
      </c>
      <c r="B20" s="146" t="str">
        <f>Questions!$C$355</f>
        <v xml:space="preserve">
No answer required
Year 13
</v>
      </c>
      <c r="C20" s="33"/>
      <c r="D20" s="33"/>
      <c r="E20" s="33"/>
      <c r="F20" s="33"/>
      <c r="G20" s="33"/>
      <c r="H20" s="394" t="str">
        <f ca="1">_xlfn.TEXTJOIN("
",TRUE,
IF('Reconciliation report'!$D936="","",RefData!$B$413&amp;":"&amp;'Reconciliation report'!$D936),
IF('Reconciliation report'!$D957="","",RefData!$B$414&amp;":"&amp;'Reconciliation report'!$D957),
IF('Reconciliation report'!$D978="","",RefData!$B$415&amp;":"&amp;'Reconciliation report'!$D978),
IF('Reconciliation report'!$D999="","",RefData!$B$416&amp;":"&amp;'Reconciliation report'!$D999),
IF('Reconciliation report'!$D1020="","",RefData!$B$417&amp;":"&amp;'Reconciliation report'!$D1020)
)</f>
        <v/>
      </c>
      <c r="I20" s="27"/>
      <c r="J20" s="576"/>
    </row>
    <row r="21" spans="1:10" ht="77.5">
      <c r="A21" s="27" t="s">
        <v>1481</v>
      </c>
      <c r="B21" s="146" t="str">
        <f>Questions!$C$356</f>
        <v xml:space="preserve">
No answer required
Year 14
</v>
      </c>
      <c r="C21" s="33"/>
      <c r="D21" s="33"/>
      <c r="E21" s="33"/>
      <c r="F21" s="33"/>
      <c r="G21" s="33"/>
      <c r="H21" s="394" t="str">
        <f ca="1">_xlfn.TEXTJOIN("
",TRUE,
IF('Reconciliation report'!$D937="","",RefData!$B$413&amp;":"&amp;'Reconciliation report'!$D937),
IF('Reconciliation report'!$D958="","",RefData!$B$414&amp;":"&amp;'Reconciliation report'!$D958),
IF('Reconciliation report'!$D979="","",RefData!$B$415&amp;":"&amp;'Reconciliation report'!$D979),
IF('Reconciliation report'!$D1000="","",RefData!$B$416&amp;":"&amp;'Reconciliation report'!$D1000),
IF('Reconciliation report'!$D1021="","",RefData!$B$417&amp;":"&amp;'Reconciliation report'!$D1021)
)</f>
        <v/>
      </c>
      <c r="I21" s="27"/>
      <c r="J21" s="576"/>
    </row>
    <row r="22" spans="1:10" ht="77.5">
      <c r="A22" s="27" t="s">
        <v>1482</v>
      </c>
      <c r="B22" s="146" t="str">
        <f>Questions!$C$357</f>
        <v xml:space="preserve">
No answer required
Year 15
</v>
      </c>
      <c r="C22" s="33"/>
      <c r="D22" s="33"/>
      <c r="E22" s="33"/>
      <c r="F22" s="33"/>
      <c r="G22" s="33"/>
      <c r="H22" s="394" t="str">
        <f ca="1">_xlfn.TEXTJOIN("
",TRUE,
IF('Reconciliation report'!$D938="","",RefData!$B$413&amp;":"&amp;'Reconciliation report'!$D938),
IF('Reconciliation report'!$D959="","",RefData!$B$414&amp;":"&amp;'Reconciliation report'!$D959),
IF('Reconciliation report'!$D980="","",RefData!$B$415&amp;":"&amp;'Reconciliation report'!$D980),
IF('Reconciliation report'!$D1001="","",RefData!$B$416&amp;":"&amp;'Reconciliation report'!$D1001),
IF('Reconciliation report'!$D1022="","",RefData!$B$417&amp;":"&amp;'Reconciliation report'!$D1022)
)</f>
        <v/>
      </c>
      <c r="I22" s="27"/>
      <c r="J22" s="576"/>
    </row>
    <row r="23" spans="1:10" ht="77.5">
      <c r="A23" s="27" t="s">
        <v>1483</v>
      </c>
      <c r="B23" s="146" t="str">
        <f>Questions!$C$358</f>
        <v xml:space="preserve">
No answer required
Year 16
</v>
      </c>
      <c r="C23" s="33"/>
      <c r="D23" s="33"/>
      <c r="E23" s="33"/>
      <c r="F23" s="33"/>
      <c r="G23" s="33"/>
      <c r="H23" s="394" t="str">
        <f ca="1">_xlfn.TEXTJOIN("
",TRUE,
IF('Reconciliation report'!$D939="","",RefData!$B$413&amp;":"&amp;'Reconciliation report'!$D939),
IF('Reconciliation report'!$D960="","",RefData!$B$414&amp;":"&amp;'Reconciliation report'!$D960),
IF('Reconciliation report'!$D981="","",RefData!$B$415&amp;":"&amp;'Reconciliation report'!$D981),
IF('Reconciliation report'!$D1002="","",RefData!$B$416&amp;":"&amp;'Reconciliation report'!$D1002),
IF('Reconciliation report'!$D1023="","",RefData!$B$417&amp;":"&amp;'Reconciliation report'!$D1023)
)</f>
        <v/>
      </c>
      <c r="I23" s="27"/>
      <c r="J23" s="576"/>
    </row>
    <row r="24" spans="1:10" ht="77.5">
      <c r="A24" s="27" t="s">
        <v>1484</v>
      </c>
      <c r="B24" s="146" t="str">
        <f>Questions!$C$359</f>
        <v xml:space="preserve">
No answer required
Year 17
</v>
      </c>
      <c r="C24" s="33"/>
      <c r="D24" s="33"/>
      <c r="E24" s="33"/>
      <c r="F24" s="33"/>
      <c r="G24" s="33"/>
      <c r="H24" s="394" t="str">
        <f ca="1">_xlfn.TEXTJOIN("
",TRUE,
IF('Reconciliation report'!$D940="","",RefData!$B$413&amp;":"&amp;'Reconciliation report'!$D940),
IF('Reconciliation report'!$D961="","",RefData!$B$414&amp;":"&amp;'Reconciliation report'!$D961),
IF('Reconciliation report'!$D982="","",RefData!$B$415&amp;":"&amp;'Reconciliation report'!$D982),
IF('Reconciliation report'!$D1003="","",RefData!$B$416&amp;":"&amp;'Reconciliation report'!$D1003),
IF('Reconciliation report'!$D1024="","",RefData!$B$417&amp;":"&amp;'Reconciliation report'!$D1024)
)</f>
        <v/>
      </c>
      <c r="I24" s="27"/>
      <c r="J24" s="576"/>
    </row>
    <row r="25" spans="1:10" ht="77.5">
      <c r="A25" s="27" t="s">
        <v>1485</v>
      </c>
      <c r="B25" s="146" t="str">
        <f>Questions!$C$360</f>
        <v xml:space="preserve">
No answer required
Year 18
</v>
      </c>
      <c r="C25" s="33"/>
      <c r="D25" s="33"/>
      <c r="E25" s="33"/>
      <c r="F25" s="33"/>
      <c r="G25" s="33"/>
      <c r="H25" s="394" t="str">
        <f ca="1">_xlfn.TEXTJOIN("
",TRUE,
IF('Reconciliation report'!$D941="","",RefData!$B$413&amp;":"&amp;'Reconciliation report'!$D941),
IF('Reconciliation report'!$D962="","",RefData!$B$414&amp;":"&amp;'Reconciliation report'!$D962),
IF('Reconciliation report'!$D983="","",RefData!$B$415&amp;":"&amp;'Reconciliation report'!$D983),
IF('Reconciliation report'!$D1004="","",RefData!$B$416&amp;":"&amp;'Reconciliation report'!$D1004),
IF('Reconciliation report'!$D1025="","",RefData!$B$417&amp;":"&amp;'Reconciliation report'!$D1025)
)</f>
        <v/>
      </c>
      <c r="I25" s="27"/>
      <c r="J25" s="576"/>
    </row>
    <row r="26" spans="1:10" ht="77.5">
      <c r="A26" s="27" t="s">
        <v>1486</v>
      </c>
      <c r="B26" s="146" t="str">
        <f>Questions!$C$361</f>
        <v xml:space="preserve">
No answer required
Year 19
</v>
      </c>
      <c r="C26" s="33"/>
      <c r="D26" s="33"/>
      <c r="E26" s="33"/>
      <c r="F26" s="33"/>
      <c r="G26" s="33"/>
      <c r="H26" s="394" t="str">
        <f ca="1">_xlfn.TEXTJOIN("
",TRUE,
IF('Reconciliation report'!$D942="","",RefData!$B$413&amp;":"&amp;'Reconciliation report'!$D942),
IF('Reconciliation report'!$D963="","",RefData!$B$414&amp;":"&amp;'Reconciliation report'!$D963),
IF('Reconciliation report'!$D984="","",RefData!$B$415&amp;":"&amp;'Reconciliation report'!$D984),
IF('Reconciliation report'!$D1005="","",RefData!$B$416&amp;":"&amp;'Reconciliation report'!$D1005),
IF('Reconciliation report'!$D1026="","",RefData!$B$417&amp;":"&amp;'Reconciliation report'!$D1026)
)</f>
        <v/>
      </c>
      <c r="I26" s="27"/>
      <c r="J26" s="576"/>
    </row>
    <row r="27" spans="1:10" ht="77.5">
      <c r="A27" s="27" t="s">
        <v>1487</v>
      </c>
      <c r="B27" s="146" t="str">
        <f>Questions!$C$362</f>
        <v xml:space="preserve">
No answer required
Year 20
</v>
      </c>
      <c r="C27" s="33"/>
      <c r="D27" s="33"/>
      <c r="E27" s="33"/>
      <c r="F27" s="33"/>
      <c r="G27" s="33"/>
      <c r="H27" s="394" t="str">
        <f ca="1">_xlfn.TEXTJOIN("
",TRUE,
IF('Reconciliation report'!$D943="","",RefData!$B$413&amp;":"&amp;'Reconciliation report'!$D943),
IF('Reconciliation report'!$D964="","",RefData!$B$414&amp;":"&amp;'Reconciliation report'!$D964),
IF('Reconciliation report'!$D985="","",RefData!$B$415&amp;":"&amp;'Reconciliation report'!$D985),
IF('Reconciliation report'!$D1006="","",RefData!$B$416&amp;":"&amp;'Reconciliation report'!$D1006),
IF('Reconciliation report'!$D1027="","",RefData!$B$417&amp;":"&amp;'Reconciliation report'!$D1027)
)</f>
        <v/>
      </c>
      <c r="I27" s="27"/>
      <c r="J27" s="576"/>
    </row>
    <row r="28" spans="1:10" ht="78" thickBot="1">
      <c r="A28" s="444" t="s">
        <v>1488</v>
      </c>
      <c r="B28" s="445" t="str">
        <f>Questions!$C$363</f>
        <v xml:space="preserve">
No answer required
Year 21+
</v>
      </c>
      <c r="C28" s="33"/>
      <c r="D28" s="33"/>
      <c r="E28" s="33"/>
      <c r="F28" s="33"/>
      <c r="G28" s="33"/>
      <c r="H28" s="446" t="str">
        <f ca="1">_xlfn.TEXTJOIN("
",TRUE,
IF('Reconciliation report'!$D944="","",RefData!$B$413&amp;":"&amp;'Reconciliation report'!$D944),
IF('Reconciliation report'!$D965="","",RefData!$B$414&amp;":"&amp;'Reconciliation report'!$D965),
IF('Reconciliation report'!$D986="","",RefData!$B$415&amp;":"&amp;'Reconciliation report'!$D986),
IF('Reconciliation report'!$D1007="","",RefData!$B$416&amp;":"&amp;'Reconciliation report'!$D1007),
IF('Reconciliation report'!$D1028="","",RefData!$B$417&amp;":"&amp;'Reconciliation report'!$D1028)
)</f>
        <v/>
      </c>
      <c r="I28" s="444"/>
      <c r="J28" s="577"/>
    </row>
    <row r="29" spans="1:10" ht="20.149999999999999" hidden="1" customHeight="1" thickBot="1">
      <c r="A29" s="75"/>
      <c r="B29" s="75"/>
      <c r="C29" s="75" t="s">
        <v>23</v>
      </c>
      <c r="D29" s="99"/>
      <c r="E29" s="200"/>
      <c r="F29" s="200"/>
      <c r="G29" s="200"/>
      <c r="H29" s="200"/>
      <c r="I29" s="200"/>
      <c r="J29" s="200"/>
    </row>
    <row r="30" spans="1:10" ht="50.15" hidden="1" customHeight="1" thickBot="1">
      <c r="A30" s="750" t="s">
        <v>117</v>
      </c>
      <c r="B30" s="751"/>
      <c r="C30" s="57"/>
      <c r="D30" s="57"/>
      <c r="E30" s="57"/>
      <c r="F30" s="57"/>
      <c r="G30" s="57"/>
      <c r="H30" s="57"/>
      <c r="I30" s="57"/>
      <c r="J30" s="57"/>
    </row>
    <row r="31" spans="1:10" s="47" customFormat="1" ht="36" hidden="1" customHeight="1" thickTop="1" thickBot="1">
      <c r="A31" s="752" t="s">
        <v>90</v>
      </c>
      <c r="B31" s="753"/>
      <c r="C31" s="668" t="s">
        <v>91</v>
      </c>
      <c r="D31" s="669"/>
      <c r="E31" s="667"/>
      <c r="F31" s="667"/>
      <c r="G31" s="667"/>
      <c r="H31" s="667"/>
      <c r="I31" s="667"/>
      <c r="J31" s="667"/>
    </row>
    <row r="32" spans="1:10" ht="86" hidden="1" customHeight="1" thickTop="1" thickBot="1">
      <c r="A32" s="744" t="s">
        <v>118</v>
      </c>
      <c r="B32" s="754"/>
      <c r="C32" s="683"/>
      <c r="D32" s="62"/>
      <c r="E32" s="667"/>
      <c r="F32" s="667"/>
      <c r="G32" s="667"/>
      <c r="H32" s="667"/>
      <c r="I32" s="667"/>
      <c r="J32" s="667"/>
    </row>
    <row r="33" spans="1:10" s="47" customFormat="1" ht="50.25" customHeight="1">
      <c r="A33" s="439"/>
      <c r="B33" s="255"/>
      <c r="C33" s="439"/>
      <c r="D33" s="439"/>
      <c r="E33" s="439"/>
      <c r="F33" s="439"/>
      <c r="G33" s="439"/>
      <c r="H33" s="439"/>
      <c r="I33" s="439"/>
      <c r="J33" s="439"/>
    </row>
  </sheetData>
  <sheetProtection algorithmName="SHA-512" hashValue="AOF7kFI1SuhvfPPdjZWt+yNpEIU3ixpIGO36Y7nvkmkDvhaoxnArsgq+lFghCOUg3v+WD5XoU9gVlVDHtRQDng==" saltValue="4XSpxcLixWOuqp2WJ5m+Qg==" spinCount="100000" sheet="1" objects="1" scenarios="1" sort="0" autoFilter="0"/>
  <mergeCells count="7">
    <mergeCell ref="A31:B31"/>
    <mergeCell ref="A32:B32"/>
    <mergeCell ref="A2:B2"/>
    <mergeCell ref="A3:B3"/>
    <mergeCell ref="A1:B1"/>
    <mergeCell ref="A5:B5"/>
    <mergeCell ref="A30:B30"/>
  </mergeCells>
  <phoneticPr fontId="11" type="noConversion"/>
  <conditionalFormatting sqref="C32">
    <cfRule type="expression" dxfId="54" priority="1">
      <formula>$C$32=""</formula>
    </cfRule>
  </conditionalFormatting>
  <conditionalFormatting sqref="H8:H28">
    <cfRule type="notContainsBlanks" dxfId="47" priority="4">
      <formula>LEN(TRIM(H8))&gt;0</formula>
    </cfRule>
  </conditionalFormatting>
  <dataValidations count="2">
    <dataValidation type="custom" allowBlank="1" showInputMessage="1" showErrorMessage="1" errorTitle="There is a problem" error="You must enter a number greater than or equal to 0.00 and less than 1,000,000,000,000 (1 trillion) with up to two decimal places." promptTitle="Enter a value" prompt="Enter a number (£)" sqref="C8:G28" xr:uid="{35F2CD4C-799F-4C20-AD14-9E427BC8468A}">
      <formula1>AND(ISNUMBER(VALUE(C8)), VALUE(C8)&gt;=0, VALUE(C8)&lt;=999999999999.99, IF(ISERROR(FIND(".", C8)), VALUE(C8)=INT(VALUE(C8)), LEN(C8)-FIND(".", C8)&lt;=2))</formula1>
    </dataValidation>
    <dataValidation allowBlank="1" showInputMessage="1" showErrorMessage="1" error="Select from the list." sqref="C33" xr:uid="{1767A154-13C3-4E11-8FDF-ED6D6FE5F6CB}"/>
  </dataValidations>
  <pageMargins left="0.70000000000000007" right="0.70000000000000007" top="0.75" bottom="0.75" header="0.30000000000000004" footer="0.30000000000000004"/>
  <pageSetup paperSize="9" fitToWidth="0"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6" id="{3AE42386-FCEA-44C0-A6DE-015C41DAC5D2}">
            <xm:f>SEARCH(RefData!$B$2,$B$8)</xm:f>
            <x14:dxf>
              <font>
                <color rgb="FF5F5F5F"/>
              </font>
              <fill>
                <patternFill>
                  <bgColor theme="0" tint="-0.14996795556505021"/>
                </patternFill>
              </fill>
            </x14:dxf>
          </x14:cfRule>
          <xm:sqref>A8:J8 H9:H28</xm:sqref>
        </x14:conditionalFormatting>
        <x14:conditionalFormatting xmlns:xm="http://schemas.microsoft.com/office/excel/2006/main">
          <x14:cfRule type="expression" priority="31" id="{37B0DC4B-3C6C-48A2-9AAC-49940785C7DA}">
            <xm:f>SEARCH(RefData!$B$2,$B$9)</xm:f>
            <x14:dxf>
              <font>
                <color rgb="FF5F5F5F"/>
              </font>
              <fill>
                <patternFill>
                  <bgColor theme="0" tint="-0.14996795556505021"/>
                </patternFill>
              </fill>
            </x14:dxf>
          </x14:cfRule>
          <xm:sqref>A9:J9 H9:H28 C10:G28</xm:sqref>
        </x14:conditionalFormatting>
        <x14:conditionalFormatting xmlns:xm="http://schemas.microsoft.com/office/excel/2006/main">
          <x14:cfRule type="expression" priority="11" id="{9E09689C-F34B-49F8-8A43-A4424B8C172C}">
            <xm:f>'Asset-backed contributions'!$C$7&lt;1</xm:f>
            <x14:dxf>
              <fill>
                <patternFill>
                  <bgColor theme="0" tint="-0.14996795556505021"/>
                </patternFill>
              </fill>
            </x14:dxf>
          </x14:cfRule>
          <xm:sqref>C8:C28 D9:G28</xm:sqref>
        </x14:conditionalFormatting>
        <x14:conditionalFormatting xmlns:xm="http://schemas.microsoft.com/office/excel/2006/main">
          <x14:cfRule type="expression" priority="2" id="{EA661042-FFB9-4CEF-BE8E-E93E6381FAE8}">
            <xm:f>$C$32=RefData!$B$433</xm:f>
            <x14:dxf>
              <fill>
                <patternFill>
                  <bgColor rgb="FFEFF5FA"/>
                </patternFill>
              </fill>
            </x14:dxf>
          </x14:cfRule>
          <x14:cfRule type="expression" priority="3" id="{F78CB9B6-AAE7-45E7-994C-453CBE6BEE79}">
            <xm:f>$C$32=RefData!$B$434</xm:f>
            <x14:dxf>
              <fill>
                <patternFill>
                  <bgColor rgb="FFEFF5FA"/>
                </patternFill>
              </fill>
            </x14:dxf>
          </x14:cfRule>
          <xm:sqref>C32</xm:sqref>
        </x14:conditionalFormatting>
        <x14:conditionalFormatting xmlns:xm="http://schemas.microsoft.com/office/excel/2006/main">
          <x14:cfRule type="expression" priority="9" id="{4451B962-84D3-41F1-B02F-D850EBC32376}">
            <xm:f>'Asset-backed contributions'!$C$7&lt;3</xm:f>
            <x14:dxf>
              <fill>
                <patternFill>
                  <bgColor theme="0" tint="-0.14996795556505021"/>
                </patternFill>
              </fill>
            </x14:dxf>
          </x14:cfRule>
          <xm:sqref>E8:E28</xm:sqref>
        </x14:conditionalFormatting>
        <x14:conditionalFormatting xmlns:xm="http://schemas.microsoft.com/office/excel/2006/main">
          <x14:cfRule type="expression" priority="10" id="{4E6B5CC9-FEB3-48C9-B5E8-048E364E3178}">
            <xm:f>'Asset-backed contributions'!$C$7&lt;2</xm:f>
            <x14:dxf>
              <fill>
                <patternFill>
                  <bgColor theme="0" tint="-0.14996795556505021"/>
                </patternFill>
              </fill>
            </x14:dxf>
          </x14:cfRule>
          <xm:sqref>E8:G8 D8:D28</xm:sqref>
        </x14:conditionalFormatting>
        <x14:conditionalFormatting xmlns:xm="http://schemas.microsoft.com/office/excel/2006/main">
          <x14:cfRule type="expression" priority="8" id="{231A31DC-8BEE-4E69-B168-9C92283D6641}">
            <xm:f>'Asset-backed contributions'!$C$7&lt;4</xm:f>
            <x14:dxf>
              <fill>
                <patternFill>
                  <bgColor theme="0" tint="-0.14996795556505021"/>
                </patternFill>
              </fill>
            </x14:dxf>
          </x14:cfRule>
          <xm:sqref>F8:F28</xm:sqref>
        </x14:conditionalFormatting>
        <x14:conditionalFormatting xmlns:xm="http://schemas.microsoft.com/office/excel/2006/main">
          <x14:cfRule type="expression" priority="7" id="{DABB33D1-803B-406B-8597-DE7FD356D7EF}">
            <xm:f>'Asset-backed contributions'!$C$7&lt;5</xm:f>
            <x14:dxf>
              <fill>
                <patternFill>
                  <bgColor theme="0" tint="-0.14996795556505021"/>
                </patternFill>
              </fill>
            </x14:dxf>
          </x14:cfRule>
          <xm:sqref>G8:G28</xm:sqref>
        </x14:conditionalFormatting>
        <x14:conditionalFormatting xmlns:xm="http://schemas.microsoft.com/office/excel/2006/main">
          <x14:cfRule type="expression" priority="30" id="{8081A39A-B7D8-4BD9-8C5A-592AA4BF93FA}">
            <xm:f>SEARCH(RefData!$B$2,$B$10)</xm:f>
            <x14:dxf>
              <font>
                <color rgb="FF5F5F5F"/>
              </font>
              <fill>
                <patternFill>
                  <bgColor theme="0" tint="-0.14996795556505021"/>
                </patternFill>
              </fill>
            </x14:dxf>
          </x14:cfRule>
          <xm:sqref>H10:J10 A10:B10</xm:sqref>
        </x14:conditionalFormatting>
        <x14:conditionalFormatting xmlns:xm="http://schemas.microsoft.com/office/excel/2006/main">
          <x14:cfRule type="expression" priority="29" id="{8E47B589-7EC6-4787-8252-A28087C82018}">
            <xm:f>SEARCH(RefData!$B$2,$B$11)</xm:f>
            <x14:dxf>
              <font>
                <color rgb="FF5F5F5F"/>
              </font>
              <fill>
                <patternFill>
                  <bgColor theme="0" tint="-0.14996795556505021"/>
                </patternFill>
              </fill>
            </x14:dxf>
          </x14:cfRule>
          <xm:sqref>H11:J11 A11:B11</xm:sqref>
        </x14:conditionalFormatting>
        <x14:conditionalFormatting xmlns:xm="http://schemas.microsoft.com/office/excel/2006/main">
          <x14:cfRule type="expression" priority="28" id="{F04D4B81-4E0B-4C09-8E0F-FC6494A2DBB9}">
            <xm:f>SEARCH(RefData!$B$2,$B$12)</xm:f>
            <x14:dxf>
              <font>
                <color rgb="FF5F5F5F"/>
              </font>
              <fill>
                <patternFill>
                  <bgColor theme="0" tint="-0.14996795556505021"/>
                </patternFill>
              </fill>
            </x14:dxf>
          </x14:cfRule>
          <xm:sqref>H12:J12 A12:B12</xm:sqref>
        </x14:conditionalFormatting>
        <x14:conditionalFormatting xmlns:xm="http://schemas.microsoft.com/office/excel/2006/main">
          <x14:cfRule type="expression" priority="27" id="{1B1E814E-C5E7-46A0-8737-007C48CB75B2}">
            <xm:f>SEARCH(RefData!$B$2,$B$13)</xm:f>
            <x14:dxf>
              <font>
                <color rgb="FF5F5F5F"/>
              </font>
              <fill>
                <patternFill>
                  <bgColor theme="0" tint="-0.14996795556505021"/>
                </patternFill>
              </fill>
            </x14:dxf>
          </x14:cfRule>
          <xm:sqref>H13:J13 A13:B13</xm:sqref>
        </x14:conditionalFormatting>
        <x14:conditionalFormatting xmlns:xm="http://schemas.microsoft.com/office/excel/2006/main">
          <x14:cfRule type="expression" priority="26" id="{81003E4A-F36C-410B-9A10-DAAE676EA28B}">
            <xm:f>SEARCH(RefData!$B$2,$B$14)</xm:f>
            <x14:dxf>
              <font>
                <color rgb="FF5F5F5F"/>
              </font>
              <fill>
                <patternFill>
                  <bgColor theme="0" tint="-0.14996795556505021"/>
                </patternFill>
              </fill>
            </x14:dxf>
          </x14:cfRule>
          <xm:sqref>H14:J14 A14:B14</xm:sqref>
        </x14:conditionalFormatting>
        <x14:conditionalFormatting xmlns:xm="http://schemas.microsoft.com/office/excel/2006/main">
          <x14:cfRule type="expression" priority="25" id="{41C22E6F-3A54-422C-A5D9-263627126E6E}">
            <xm:f>SEARCH(RefData!$B$2,$B$15)</xm:f>
            <x14:dxf>
              <font>
                <color rgb="FF5F5F5F"/>
              </font>
              <fill>
                <patternFill>
                  <bgColor theme="0" tint="-0.14996795556505021"/>
                </patternFill>
              </fill>
            </x14:dxf>
          </x14:cfRule>
          <xm:sqref>H15:J15 A15:B15</xm:sqref>
        </x14:conditionalFormatting>
        <x14:conditionalFormatting xmlns:xm="http://schemas.microsoft.com/office/excel/2006/main">
          <x14:cfRule type="expression" priority="24" id="{2D41EB47-9F1C-4A95-91B6-68D6F6772BAC}">
            <xm:f>SEARCH(RefData!$B$2,$B$16)</xm:f>
            <x14:dxf>
              <font>
                <color rgb="FF5F5F5F"/>
              </font>
              <fill>
                <patternFill>
                  <bgColor theme="0" tint="-0.14996795556505021"/>
                </patternFill>
              </fill>
            </x14:dxf>
          </x14:cfRule>
          <xm:sqref>H16:J16 A16:B16</xm:sqref>
        </x14:conditionalFormatting>
        <x14:conditionalFormatting xmlns:xm="http://schemas.microsoft.com/office/excel/2006/main">
          <x14:cfRule type="expression" priority="23" id="{5EFC3433-0356-430A-9CCD-5DD8090AEB3E}">
            <xm:f>SEARCH(RefData!$B$2,$B$17)</xm:f>
            <x14:dxf>
              <font>
                <color rgb="FF5F5F5F"/>
              </font>
              <fill>
                <patternFill>
                  <bgColor theme="0" tint="-0.14996795556505021"/>
                </patternFill>
              </fill>
            </x14:dxf>
          </x14:cfRule>
          <xm:sqref>H17:J17 A17:B17</xm:sqref>
        </x14:conditionalFormatting>
        <x14:conditionalFormatting xmlns:xm="http://schemas.microsoft.com/office/excel/2006/main">
          <x14:cfRule type="expression" priority="22" id="{2FA373C4-A3CE-4BF5-A754-12E3644E15B8}">
            <xm:f>SEARCH(RefData!$B$2,$B$18)</xm:f>
            <x14:dxf>
              <font>
                <color rgb="FF5F5F5F"/>
              </font>
              <fill>
                <patternFill>
                  <bgColor theme="0" tint="-0.14996795556505021"/>
                </patternFill>
              </fill>
            </x14:dxf>
          </x14:cfRule>
          <xm:sqref>H18:J18 A18:B18</xm:sqref>
        </x14:conditionalFormatting>
        <x14:conditionalFormatting xmlns:xm="http://schemas.microsoft.com/office/excel/2006/main">
          <x14:cfRule type="expression" priority="21" id="{6B7B8A0F-81F7-4D27-A9CE-F5C3BFBC8894}">
            <xm:f>SEARCH(RefData!$B$2,$B$19)</xm:f>
            <x14:dxf>
              <font>
                <color rgb="FF5F5F5F"/>
              </font>
              <fill>
                <patternFill>
                  <bgColor theme="0" tint="-0.14996795556505021"/>
                </patternFill>
              </fill>
            </x14:dxf>
          </x14:cfRule>
          <xm:sqref>H19:J19 A19:B19</xm:sqref>
        </x14:conditionalFormatting>
        <x14:conditionalFormatting xmlns:xm="http://schemas.microsoft.com/office/excel/2006/main">
          <x14:cfRule type="expression" priority="20" id="{133ECA7F-C680-444F-9FB4-454092BF9D19}">
            <xm:f>SEARCH(RefData!$B$2,$B$20)</xm:f>
            <x14:dxf>
              <font>
                <color rgb="FF5F5F5F"/>
              </font>
              <fill>
                <patternFill>
                  <bgColor theme="0" tint="-0.14996795556505021"/>
                </patternFill>
              </fill>
            </x14:dxf>
          </x14:cfRule>
          <xm:sqref>H20:J20 A20:B20</xm:sqref>
        </x14:conditionalFormatting>
        <x14:conditionalFormatting xmlns:xm="http://schemas.microsoft.com/office/excel/2006/main">
          <x14:cfRule type="expression" priority="19" id="{827215A0-88A2-4A67-8448-E6FEE5E244D4}">
            <xm:f>SEARCH(RefData!$B$2,$B$21)</xm:f>
            <x14:dxf>
              <font>
                <color rgb="FF5F5F5F"/>
              </font>
              <fill>
                <patternFill>
                  <bgColor theme="0" tint="-0.14996795556505021"/>
                </patternFill>
              </fill>
            </x14:dxf>
          </x14:cfRule>
          <xm:sqref>H21:J21 A21:B21</xm:sqref>
        </x14:conditionalFormatting>
        <x14:conditionalFormatting xmlns:xm="http://schemas.microsoft.com/office/excel/2006/main">
          <x14:cfRule type="expression" priority="18" id="{95A0FF80-384C-4DFD-B2A5-CEECFEB07F60}">
            <xm:f>SEARCH(RefData!$B$2,$B$22)</xm:f>
            <x14:dxf>
              <font>
                <color rgb="FF5F5F5F"/>
              </font>
              <fill>
                <patternFill>
                  <bgColor theme="0" tint="-0.14996795556505021"/>
                </patternFill>
              </fill>
            </x14:dxf>
          </x14:cfRule>
          <xm:sqref>H22:J22 A22:B22</xm:sqref>
        </x14:conditionalFormatting>
        <x14:conditionalFormatting xmlns:xm="http://schemas.microsoft.com/office/excel/2006/main">
          <x14:cfRule type="expression" priority="17" id="{6FD2C9C9-42E0-459E-846F-52EC26D7918D}">
            <xm:f>SEARCH(RefData!$B$2,$B$23)</xm:f>
            <x14:dxf>
              <font>
                <color rgb="FF5F5F5F"/>
              </font>
              <fill>
                <patternFill>
                  <bgColor theme="0" tint="-0.14996795556505021"/>
                </patternFill>
              </fill>
            </x14:dxf>
          </x14:cfRule>
          <xm:sqref>H23:J23 A23:B23</xm:sqref>
        </x14:conditionalFormatting>
        <x14:conditionalFormatting xmlns:xm="http://schemas.microsoft.com/office/excel/2006/main">
          <x14:cfRule type="expression" priority="16" id="{EA83803D-1A5D-4675-8E21-5244C1DD5940}">
            <xm:f>SEARCH(RefData!$B$2,$B$24)</xm:f>
            <x14:dxf>
              <font>
                <color rgb="FF5F5F5F"/>
              </font>
              <fill>
                <patternFill>
                  <bgColor theme="0" tint="-0.14996795556505021"/>
                </patternFill>
              </fill>
            </x14:dxf>
          </x14:cfRule>
          <xm:sqref>H24:J24 A24:B24</xm:sqref>
        </x14:conditionalFormatting>
        <x14:conditionalFormatting xmlns:xm="http://schemas.microsoft.com/office/excel/2006/main">
          <x14:cfRule type="expression" priority="15" id="{E50492FA-D5FE-4F47-991F-6B4D56A4CD7A}">
            <xm:f>SEARCH(RefData!$B$2,$B$25)</xm:f>
            <x14:dxf>
              <font>
                <color rgb="FF5F5F5F"/>
              </font>
              <fill>
                <patternFill>
                  <bgColor theme="0" tint="-0.14996795556505021"/>
                </patternFill>
              </fill>
            </x14:dxf>
          </x14:cfRule>
          <xm:sqref>H25:J25 A25:B25</xm:sqref>
        </x14:conditionalFormatting>
        <x14:conditionalFormatting xmlns:xm="http://schemas.microsoft.com/office/excel/2006/main">
          <x14:cfRule type="expression" priority="14" id="{00DBE178-F2D4-4217-A5D2-EE5DE9C4223E}">
            <xm:f>SEARCH(RefData!$B$2,$B$26)</xm:f>
            <x14:dxf>
              <font>
                <color rgb="FF5F5F5F"/>
              </font>
              <fill>
                <patternFill>
                  <bgColor theme="0" tint="-0.14996795556505021"/>
                </patternFill>
              </fill>
            </x14:dxf>
          </x14:cfRule>
          <xm:sqref>H26:J26 A26:B26</xm:sqref>
        </x14:conditionalFormatting>
        <x14:conditionalFormatting xmlns:xm="http://schemas.microsoft.com/office/excel/2006/main">
          <x14:cfRule type="expression" priority="13" id="{C5F6C7D7-373C-4C0F-B4FE-0B02A6F6C4C7}">
            <xm:f>SEARCH(RefData!$B$2,$B$27)</xm:f>
            <x14:dxf>
              <font>
                <color rgb="FF5F5F5F"/>
              </font>
              <fill>
                <patternFill>
                  <bgColor theme="0" tint="-0.14996795556505021"/>
                </patternFill>
              </fill>
            </x14:dxf>
          </x14:cfRule>
          <xm:sqref>H27:J27 A27:B27</xm:sqref>
        </x14:conditionalFormatting>
        <x14:conditionalFormatting xmlns:xm="http://schemas.microsoft.com/office/excel/2006/main">
          <x14:cfRule type="expression" priority="12" id="{B72F3AB2-AC45-444C-8BBF-8918182D944D}">
            <xm:f>SEARCH(RefData!$B$2,$B$28)</xm:f>
            <x14:dxf>
              <font>
                <color rgb="FF5F5F5F"/>
              </font>
              <fill>
                <patternFill>
                  <bgColor theme="0" tint="-0.14996795556505021"/>
                </patternFill>
              </fill>
            </x14:dxf>
          </x14:cfRule>
          <xm:sqref>H28:J28 A28:B28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48EEA58F-4262-4AF4-9101-CA01DE377699}">
          <x14:formula1>
            <xm:f>RefData!$B$433:$B$435</xm:f>
          </x14:formula1>
          <xm:sqref>C32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18A00-15D9-4F44-9D03-543559DBDCA5}">
  <sheetPr codeName="Sheet36"/>
  <dimension ref="A1:XFC1095"/>
  <sheetViews>
    <sheetView zoomScaleNormal="100" workbookViewId="0">
      <selection activeCell="A8" sqref="A8"/>
    </sheetView>
  </sheetViews>
  <sheetFormatPr defaultColWidth="0" defaultRowHeight="15.5" zeroHeight="1"/>
  <cols>
    <col min="1" max="1" width="14.07421875" customWidth="1"/>
    <col min="2" max="2" width="71.53515625" customWidth="1"/>
    <col min="3" max="3" width="96.07421875" customWidth="1"/>
    <col min="4" max="4" width="14.07421875" hidden="1"/>
    <col min="5" max="16383" width="9.07421875" hidden="1"/>
    <col min="16384" max="16384" width="8.23046875" hidden="1"/>
  </cols>
  <sheetData>
    <row r="1" spans="1:6" s="20" customFormat="1" ht="50.15" customHeight="1" thickBot="1">
      <c r="A1" s="847" t="s">
        <v>1489</v>
      </c>
      <c r="B1" s="848"/>
      <c r="C1" s="634"/>
    </row>
    <row r="2" spans="1:6" s="20" customFormat="1" ht="50.15" customHeight="1" thickTop="1" thickBot="1">
      <c r="A2" s="849" t="s">
        <v>1490</v>
      </c>
      <c r="B2" s="850"/>
      <c r="C2" s="635"/>
    </row>
    <row r="3" spans="1:6" s="20" customFormat="1" ht="50.15" customHeight="1">
      <c r="A3" s="851" t="str">
        <f>"
Use this worksheet to identify any errors on the spreadsheet and for reconciliation. 
"</f>
        <v xml:space="preserve">
Use this worksheet to identify any errors on the spreadsheet and for reconciliation. 
</v>
      </c>
      <c r="B3" s="852"/>
    </row>
    <row r="4" spans="1:6" s="20" customFormat="1" ht="50.25" customHeight="1" thickBot="1">
      <c r="A4" s="636"/>
      <c r="B4" s="636"/>
      <c r="C4" s="636"/>
    </row>
    <row r="5" spans="1:6" s="30" customFormat="1" ht="20.149999999999999" customHeight="1" thickBot="1">
      <c r="A5" s="75" t="s">
        <v>23</v>
      </c>
      <c r="B5" s="75" t="s">
        <v>23</v>
      </c>
      <c r="C5" s="75" t="s">
        <v>23</v>
      </c>
    </row>
    <row r="6" spans="1:6" s="47" customFormat="1" ht="29.75" customHeight="1" thickBot="1">
      <c r="A6" s="656" t="s">
        <v>297</v>
      </c>
      <c r="B6" s="657" t="s">
        <v>90</v>
      </c>
      <c r="C6" s="658" t="s">
        <v>92</v>
      </c>
      <c r="D6" s="386" t="s">
        <v>1491</v>
      </c>
      <c r="E6" s="8"/>
      <c r="F6" s="243"/>
    </row>
    <row r="7" spans="1:6" ht="47" thickTop="1">
      <c r="A7" s="1" t="str">
        <f ca="1">HYPERLINK("#" &amp; 'Reconciliation report'!I2,'Reconciliation report'!F2)</f>
        <v>SH 4.0</v>
      </c>
      <c r="B7" t="str">
        <f ca="1">'Reconciliation report'!C2</f>
        <v xml:space="preserve">
Scheme name
</v>
      </c>
      <c r="C7" s="387" t="str">
        <f ca="1">'Reconciliation report'!D2</f>
        <v xml:space="preserve">
Enter the scheme’s name as recorded on the Pension Scheme Registry (PSR).
</v>
      </c>
      <c r="D7" s="387" t="str">
        <f t="shared" ref="D7:D70" ca="1" si="0">IFERROR(IF(LEN(TRIM(CLEAN(C7))) &gt; 0, "Refresh the error report", ""), "")</f>
        <v>Refresh the error report</v>
      </c>
    </row>
    <row r="8" spans="1:6" ht="46.5">
      <c r="A8" s="1" t="str">
        <f ca="1">HYPERLINK("#" &amp; 'Reconciliation report'!I3,'Reconciliation report'!F3)</f>
        <v>SH 5.0</v>
      </c>
      <c r="B8" t="str">
        <f ca="1">'Reconciliation report'!C3</f>
        <v xml:space="preserve">
Pension Scheme Registration (PSR) number
</v>
      </c>
      <c r="C8" s="387" t="str">
        <f ca="1">'Reconciliation report'!D3</f>
        <v>Enter an eight-digit PSR number beginning with '1'. For example, 12345678.</v>
      </c>
      <c r="D8" s="387" t="str">
        <f t="shared" ca="1" si="0"/>
        <v>Refresh the error report</v>
      </c>
    </row>
    <row r="9" spans="1:6" ht="46.5">
      <c r="A9" s="1" t="str">
        <f ca="1">HYPERLINK("#" &amp; 'Reconciliation report'!I4,'Reconciliation report'!F4)</f>
        <v>SH 6.0</v>
      </c>
      <c r="B9" t="str">
        <f ca="1">'Reconciliation report'!C4</f>
        <v xml:space="preserve">
First name
</v>
      </c>
      <c r="C9" s="387" t="str">
        <f ca="1">'Reconciliation report'!D4</f>
        <v xml:space="preserve">
You must answer the question. The answer must be no more than 100 characters.
</v>
      </c>
      <c r="D9" s="387" t="str">
        <f t="shared" ca="1" si="0"/>
        <v>Refresh the error report</v>
      </c>
    </row>
    <row r="10" spans="1:6" ht="46.5">
      <c r="A10" s="1" t="str">
        <f ca="1">HYPERLINK("#" &amp; 'Reconciliation report'!I5,'Reconciliation report'!F5)</f>
        <v>SH 7.0</v>
      </c>
      <c r="B10" t="str">
        <f ca="1">'Reconciliation report'!C5</f>
        <v xml:space="preserve">	
Last name
</v>
      </c>
      <c r="C10" s="387" t="str">
        <f ca="1">'Reconciliation report'!D5</f>
        <v xml:space="preserve">
You must answer the question. The answer must be no more than 100 characters.
</v>
      </c>
      <c r="D10" s="387" t="str">
        <f t="shared" ca="1" si="0"/>
        <v>Refresh the error report</v>
      </c>
    </row>
    <row r="11" spans="1:6" ht="93">
      <c r="A11" s="1" t="str">
        <f ca="1">HYPERLINK("#" &amp; 'Reconciliation report'!I6,'Reconciliation report'!F6)</f>
        <v>SH 8.0</v>
      </c>
      <c r="B11" t="str">
        <f ca="1">'Reconciliation report'!C6</f>
        <v xml:space="preserve">
What is the effective date of the actuarial valuation this statement of strategy relates to? (dd/mm/yyyy)
</v>
      </c>
      <c r="C11" s="387" t="str">
        <f ca="1">'Reconciliation report'!D6</f>
        <v xml:space="preserve">
Enter a valid date in the format dd/mm/yyyy.
</v>
      </c>
      <c r="D11" s="387" t="str">
        <f t="shared" ca="1" si="0"/>
        <v>Refresh the error report</v>
      </c>
    </row>
    <row r="12" spans="1:6" ht="46.5">
      <c r="A12" s="1" t="str">
        <f ca="1">HYPERLINK("#" &amp; 'Reconciliation report'!I7,'Reconciliation report'!F7)</f>
        <v>SH 9.0</v>
      </c>
      <c r="B12" t="str">
        <f ca="1">'Reconciliation report'!C7</f>
        <v xml:space="preserve">
What is the scheme's relevant date? (dd/mm/yyyy)
</v>
      </c>
      <c r="C12" s="387" t="str">
        <f ca="1">'Reconciliation report'!D7</f>
        <v xml:space="preserve">
Enter a date in the format dd/mm/yyyy.
</v>
      </c>
      <c r="D12" s="387" t="str">
        <f t="shared" ca="1" si="0"/>
        <v>Refresh the error report</v>
      </c>
    </row>
    <row r="13" spans="1:6" ht="77.5">
      <c r="A13" s="1" t="str">
        <f ca="1">HYPERLINK("#" &amp; 'Reconciliation report'!I8,'Reconciliation report'!F8)</f>
        <v>SH 10.0</v>
      </c>
      <c r="B13" t="str">
        <f ca="1">'Reconciliation report'!C8</f>
        <v xml:space="preserve">
Has the scheme reached its relevant date on or before the effective date of the valuation? (The answer has been or will be derived from the answers given to questions SH 8.0 and SH 9.0)
</v>
      </c>
      <c r="C13" s="387" t="str">
        <f ca="1">'Reconciliation report'!D8</f>
        <v>Select ‘Yes' if the scheme has reached its relevant date on or before the effective date of the valuation or 'No' if it has not.</v>
      </c>
      <c r="D13" s="387" t="str">
        <f t="shared" ca="1" si="0"/>
        <v>Refresh the error report</v>
      </c>
    </row>
    <row r="14" spans="1:6" ht="46.5">
      <c r="A14" s="1" t="str">
        <f ca="1">HYPERLINK("#" &amp; 'Reconciliation report'!I9,'Reconciliation report'!F9)</f>
        <v>SH 11.0</v>
      </c>
      <c r="B14" t="str">
        <f ca="1">'Reconciliation report'!C9</f>
        <v xml:space="preserve">
Is the scheme a 'small scheme' on the effective date of the valuation?
</v>
      </c>
      <c r="C14" s="387" t="str">
        <f ca="1">'Reconciliation report'!D9</f>
        <v>Select ‘Yes’ if the scheme meets the 'small scheme' definition on the effective date of the valuation and ‘No’ if it does not.</v>
      </c>
      <c r="D14" s="387" t="str">
        <f t="shared" ca="1" si="0"/>
        <v>Refresh the error report</v>
      </c>
    </row>
    <row r="15" spans="1:6" ht="62">
      <c r="A15" s="1" t="str">
        <f ca="1">HYPERLINK("#" &amp; 'Reconciliation report'!I10,'Reconciliation report'!F10)</f>
        <v>SH 12.0</v>
      </c>
      <c r="B15" t="str">
        <f ca="1">'Reconciliation report'!C10</f>
        <v xml:space="preserve">
Is the scheme in surplus or deficit on a technical provisions (TP) basis at the effective date of valuation?
</v>
      </c>
      <c r="C15" s="387" t="str">
        <f ca="1">'Reconciliation report'!D10</f>
        <v>Select ‘In surplus’ if the scheme is in surplus on a technical provisions basis at the effective date of valuation or ‘In deficit’ if it is in deficit.</v>
      </c>
      <c r="D15" s="387" t="str">
        <f t="shared" ca="1" si="0"/>
        <v>Refresh the error report</v>
      </c>
    </row>
    <row r="16" spans="1:6" ht="46.5">
      <c r="A16" s="1" t="str">
        <f ca="1">HYPERLINK("#" &amp; 'Reconciliation report'!I11,'Reconciliation report'!F11)</f>
        <v>SH 13.0</v>
      </c>
      <c r="B16" t="str">
        <f ca="1">'Reconciliation report'!C11</f>
        <v xml:space="preserve">
Does the scheme follow a Fast Track or Bespoke approach?
</v>
      </c>
      <c r="C16" s="387" t="str">
        <f ca="1">'Reconciliation report'!D11</f>
        <v>Select 'Fast Track' if the scheme follows a Fast Track approach or 'Bespoke' if it follows a Bespoke approach.</v>
      </c>
      <c r="D16" s="387" t="str">
        <f t="shared" ca="1" si="0"/>
        <v>Refresh the error report</v>
      </c>
    </row>
    <row r="17" spans="1:4" ht="46.5" hidden="1">
      <c r="A17" s="1" t="str">
        <f ca="1">HYPERLINK("#" &amp; 'Reconciliation report'!I12,'Reconciliation report'!F12)</f>
        <v>SH 14.0</v>
      </c>
      <c r="B17" t="str">
        <f ca="1">'Reconciliation report'!C12</f>
        <v xml:space="preserve">
Does the scheme meet the 'Bespoke low-risk scheme' requirements?
</v>
      </c>
      <c r="C17" s="387" t="str">
        <f ca="1">'Reconciliation report'!D12</f>
        <v/>
      </c>
      <c r="D17" s="387" t="str">
        <f t="shared" ca="1" si="0"/>
        <v/>
      </c>
    </row>
    <row r="18" spans="1:4" ht="46.5" hidden="1">
      <c r="A18" s="1" t="str">
        <f ca="1">HYPERLINK("#" &amp; 'Reconciliation report'!I13,'Reconciliation report'!F13)</f>
        <v>SH 15.0</v>
      </c>
      <c r="B18" t="str">
        <f ca="1">'Reconciliation report'!C13</f>
        <v xml:space="preserve">
Does the scheme meet the 'Fast Track low-risk scheme' requirements?
</v>
      </c>
      <c r="C18" s="387" t="str">
        <f ca="1">'Reconciliation report'!D13</f>
        <v/>
      </c>
      <c r="D18" s="387" t="str">
        <f t="shared" ca="1" si="0"/>
        <v/>
      </c>
    </row>
    <row r="19" spans="1:4" ht="77.5">
      <c r="A19" s="1" t="str">
        <f ca="1">HYPERLINK("#" &amp; 'Reconciliation report'!I14,'Reconciliation report'!F14)</f>
        <v>FIS 1.0</v>
      </c>
      <c r="B19" t="str">
        <f ca="1">'Reconciliation report'!C14</f>
        <v xml:space="preserve">
For past service benefits only, what is the scheme actuary's estimate of the maturity of the scheme expressed in years of duration as at the effective date of the valuation?
</v>
      </c>
      <c r="C19" s="387" t="str">
        <f ca="1">'Reconciliation report'!D14</f>
        <v xml:space="preserve">
Enter a value greater than 0. It can be accurate to one decimal place.
</v>
      </c>
      <c r="D19" s="387" t="str">
        <f t="shared" ca="1" si="0"/>
        <v>Refresh the error report</v>
      </c>
    </row>
    <row r="20" spans="1:4" ht="46.5">
      <c r="A20" s="1" t="str">
        <f ca="1">HYPERLINK("#" &amp; 'Reconciliation report'!I15,'Reconciliation report'!F15)</f>
        <v>FIS 2.0</v>
      </c>
      <c r="B20" t="str">
        <f ca="1">'Reconciliation report'!C15</f>
        <v xml:space="preserve">
Is the scheme open to accrual?
</v>
      </c>
      <c r="C20" s="387" t="str">
        <f ca="1">'Reconciliation report'!D15</f>
        <v xml:space="preserve">
'Select ‘Yes’ if the scheme is open to accrual and 'No' if it is not.
</v>
      </c>
      <c r="D20" s="387" t="str">
        <f t="shared" ca="1" si="0"/>
        <v>Refresh the error report</v>
      </c>
    </row>
    <row r="21" spans="1:4" ht="62" hidden="1">
      <c r="A21" s="1" t="str">
        <f ca="1">HYPERLINK("#" &amp; 'Reconciliation report'!I16,'Reconciliation report'!F16)</f>
        <v>FIS 3.0</v>
      </c>
      <c r="B21" t="str">
        <f ca="1">'Reconciliation report'!C16</f>
        <v xml:space="preserve">
When estimating the date of significant maturity, what are the number of years included in the allowance for future accrual?
</v>
      </c>
      <c r="C21" s="387" t="str">
        <f ca="1">'Reconciliation report'!D16</f>
        <v/>
      </c>
      <c r="D21" s="387" t="str">
        <f t="shared" ca="1" si="0"/>
        <v/>
      </c>
    </row>
    <row r="22" spans="1:4" ht="62" hidden="1">
      <c r="A22" s="1" t="str">
        <f ca="1">HYPERLINK("#" &amp; 'Reconciliation report'!I17,'Reconciliation report'!F17)</f>
        <v>FIS 4.0</v>
      </c>
      <c r="B22" t="str">
        <f ca="1">'Reconciliation report'!C17</f>
        <v xml:space="preserve">
Including any allowance for future accrual, what is the scheme actuary's estimate of the maturity (duration) of the scheme as at the effective date of the valuation?
</v>
      </c>
      <c r="C22" s="387" t="str">
        <f ca="1">'Reconciliation report'!D17</f>
        <v/>
      </c>
      <c r="D22" s="387" t="str">
        <f t="shared" ca="1" si="0"/>
        <v/>
      </c>
    </row>
    <row r="23" spans="1:4" ht="46.5" hidden="1">
      <c r="A23" s="1" t="str">
        <f ca="1">HYPERLINK("#" &amp; 'Reconciliation report'!I18,'Reconciliation report'!F18)</f>
        <v>FIS 5.0</v>
      </c>
      <c r="B23" t="str">
        <f ca="1">'Reconciliation report'!C18</f>
        <v xml:space="preserve">
What is the expected maturity at the relevant date expressed in years of duration?
</v>
      </c>
      <c r="C23" s="387" t="str">
        <f ca="1">'Reconciliation report'!D18</f>
        <v/>
      </c>
      <c r="D23" s="387" t="str">
        <f t="shared" ca="1" si="0"/>
        <v/>
      </c>
    </row>
    <row r="24" spans="1:4" ht="93" hidden="1">
      <c r="A24" s="1" t="str">
        <f ca="1">HYPERLINK("#" &amp; 'Reconciliation report'!I19,'Reconciliation report'!F19)</f>
        <v>FIS 6.0</v>
      </c>
      <c r="B24" t="str">
        <f ca="1">'Reconciliation report'!C19</f>
        <v xml:space="preserve">
Do all active members belong to both:
- a section that provides cash balance benefits
- a section which is a collective money purchase scheme?
</v>
      </c>
      <c r="C24" s="387" t="str">
        <f ca="1">'Reconciliation report'!D19</f>
        <v/>
      </c>
      <c r="D24" s="387" t="str">
        <f t="shared" ca="1" si="0"/>
        <v/>
      </c>
    </row>
    <row r="25" spans="1:4" ht="46.5" hidden="1">
      <c r="A25" s="1" t="str">
        <f ca="1">HYPERLINK("#" &amp; 'Reconciliation report'!I20,'Reconciliation report'!F20)</f>
        <v>FIS 7.0</v>
      </c>
      <c r="B25" t="str">
        <f ca="1">'Reconciliation report'!C20</f>
        <v xml:space="preserve">
What is the scheme's date of significant maturity?
</v>
      </c>
      <c r="C25" s="387" t="str">
        <f ca="1">'Reconciliation report'!D20</f>
        <v/>
      </c>
      <c r="D25" s="387" t="str">
        <f t="shared" ca="1" si="0"/>
        <v/>
      </c>
    </row>
    <row r="26" spans="1:4" ht="62">
      <c r="A26" s="1" t="str">
        <f ca="1">HYPERLINK("#" &amp; 'Reconciliation report'!I21,'Reconciliation report'!F21)</f>
        <v>FIS 8.0</v>
      </c>
      <c r="B26" t="str">
        <f ca="1">'Reconciliation report'!C21</f>
        <v xml:space="preserve">
What is the funding level which is or was intended to be achieved at the relevant date expressed as a percentage? (%)
</v>
      </c>
      <c r="C26" s="387" t="str">
        <f ca="1">'Reconciliation report'!D21</f>
        <v>Enter a percentage value that is equal to or greater than 100.</v>
      </c>
      <c r="D26" s="387" t="str">
        <f t="shared" ca="1" si="0"/>
        <v>Refresh the error report</v>
      </c>
    </row>
    <row r="27" spans="1:4" ht="62">
      <c r="A27" s="1" t="str">
        <f ca="1">HYPERLINK("#" &amp; 'Reconciliation report'!I22,'Reconciliation report'!F22)</f>
        <v>FIS 9.0</v>
      </c>
      <c r="B27" t="str">
        <f ca="1">'Reconciliation report'!C22</f>
        <v xml:space="preserve">
What is the intended investment allocation to matching assets at the relevant date? (%)
</v>
      </c>
      <c r="C27" s="387" t="str">
        <f ca="1">'Reconciliation report'!D22</f>
        <v xml:space="preserve">
Enter a percentage value between 0 and 100.
</v>
      </c>
      <c r="D27" s="387" t="str">
        <f t="shared" ca="1" si="0"/>
        <v>Refresh the error report</v>
      </c>
    </row>
    <row r="28" spans="1:4" ht="62">
      <c r="A28" s="1" t="str">
        <f ca="1">HYPERLINK("#" &amp; 'Reconciliation report'!I23,'Reconciliation report'!F23)</f>
        <v>FIS 10.0</v>
      </c>
      <c r="B28" t="str">
        <f ca="1">'Reconciliation report'!C23</f>
        <v xml:space="preserve">
What is the intended investment allocation to growth assets at the relevant date? (%)
</v>
      </c>
      <c r="C28" s="387" t="str">
        <f ca="1">'Reconciliation report'!D23</f>
        <v xml:space="preserve">
Enter a percentage value between 0 and 100.
</v>
      </c>
      <c r="D28" s="387" t="str">
        <f t="shared" ca="1" si="0"/>
        <v>Refresh the error report</v>
      </c>
    </row>
    <row r="29" spans="1:4" ht="62">
      <c r="A29" s="1" t="str">
        <f ca="1">HYPERLINK("#" &amp; 'Reconciliation report'!I24,'Reconciliation report'!F24)</f>
        <v>FIS 11.0</v>
      </c>
      <c r="B29" t="str">
        <f ca="1">'Reconciliation report'!C24</f>
        <v xml:space="preserve">
Is there a plan to allocate surplus investments at the relevant date in a different way to those which relate to the minimum funding level?
</v>
      </c>
      <c r="C29" s="387" t="str">
        <f ca="1">'Reconciliation report'!D24</f>
        <v xml:space="preserve">
Select ‘Yes’ if there is a plan to allocate surplus investments at the relevant date in a different way to those that relate to the minimum funding level, or ‘No’ if there is not.
</v>
      </c>
      <c r="D29" s="387" t="str">
        <f t="shared" ca="1" si="0"/>
        <v>Refresh the error report</v>
      </c>
    </row>
    <row r="30" spans="1:4" ht="62" hidden="1">
      <c r="A30" s="1" t="str">
        <f ca="1">HYPERLINK("#" &amp; 'Reconciliation report'!I25,'Reconciliation report'!F25)</f>
        <v>FIS 12.0</v>
      </c>
      <c r="B30" t="str">
        <f ca="1">'Reconciliation report'!C25</f>
        <v xml:space="preserve">
What is the intended investment allocation to growth assets at the relevant date for the surplus allocation? (%) (Optional)
</v>
      </c>
      <c r="C30" s="387" t="str">
        <f ca="1">'Reconciliation report'!D25</f>
        <v/>
      </c>
      <c r="D30" s="387" t="str">
        <f t="shared" ca="1" si="0"/>
        <v/>
      </c>
    </row>
    <row r="31" spans="1:4" ht="62" hidden="1">
      <c r="A31" s="1" t="str">
        <f ca="1">HYPERLINK("#" &amp; 'Reconciliation report'!I26,'Reconciliation report'!F26)</f>
        <v>FIS 13.0</v>
      </c>
      <c r="B31" t="str">
        <f ca="1">'Reconciliation report'!C26</f>
        <v xml:space="preserve">
What is the intended investment allocation to matching assets at the relevant date for the surplus allocation? (%) (Optional)
</v>
      </c>
      <c r="C31" s="387" t="str">
        <f ca="1">'Reconciliation report'!D26</f>
        <v/>
      </c>
      <c r="D31" s="387" t="str">
        <f t="shared" ca="1" si="0"/>
        <v/>
      </c>
    </row>
    <row r="32" spans="1:4" ht="62" hidden="1">
      <c r="A32" s="1" t="str">
        <f ca="1">HYPERLINK("#" &amp; 'Reconciliation report'!I27,'Reconciliation report'!F27)</f>
        <v>FIS 14.0</v>
      </c>
      <c r="B32" t="str">
        <f ca="1">'Reconciliation report'!C27</f>
        <v xml:space="preserve">
Any additional comments on the funding journey plan or long term funding strategy. (Optional)
</v>
      </c>
      <c r="C32" s="387" t="str">
        <f ca="1">'Reconciliation report'!D27</f>
        <v/>
      </c>
      <c r="D32" s="387" t="str">
        <f t="shared" ca="1" si="0"/>
        <v/>
      </c>
    </row>
    <row r="33" spans="1:4" ht="46.5">
      <c r="A33" s="1" t="str">
        <f ca="1">HYPERLINK("#" &amp; 'Reconciliation report'!I28,'Reconciliation report'!F28)</f>
        <v>FIS 15.0</v>
      </c>
      <c r="B33" t="str">
        <f ca="1">'Reconciliation report'!C28</f>
        <v>What is the way the trustees intend benefits to be provided over the long term?</v>
      </c>
      <c r="C33" s="387" t="str">
        <f ca="1">'Reconciliation report'!D28</f>
        <v xml:space="preserve">
The answer must be no more than 4000 characters.
</v>
      </c>
      <c r="D33" s="387" t="str">
        <f t="shared" ca="1" si="0"/>
        <v>Refresh the error report</v>
      </c>
    </row>
    <row r="34" spans="1:4" ht="62">
      <c r="A34" s="1" t="str">
        <f ca="1">HYPERLINK("#" &amp; 'Reconciliation report'!I29,'Reconciliation report'!F29)</f>
        <v>FIS 16.0</v>
      </c>
      <c r="B34" t="str">
        <f ca="1">'Reconciliation report'!C29</f>
        <v xml:space="preserve">
Are the rates of contributions determined unilaterally by the trustees and only the trustees can reduce those rates or suspend payment of contributions?
</v>
      </c>
      <c r="C34" s="387" t="str">
        <f ca="1">'Reconciliation report'!D29</f>
        <v xml:space="preserve">
Select ‘Yes’ if the rates of contributions are determined unilaterally by the trustees and only the trustees can reduce those rates or suspend payment of contributions or ‘No’ if they are not.
</v>
      </c>
      <c r="D34" s="387" t="str">
        <f t="shared" ca="1" si="0"/>
        <v>Refresh the error report</v>
      </c>
    </row>
    <row r="35" spans="1:4" ht="77.5" hidden="1">
      <c r="A35" s="1" t="str">
        <f ca="1">HYPERLINK("#" &amp; 'Reconciliation report'!I30,'Reconciliation report'!F30)</f>
        <v>FIS 17.0</v>
      </c>
      <c r="B35" t="str">
        <f ca="1">'Reconciliation report'!C30</f>
        <v xml:space="preserve">No answer required
To what extent does the funding and investment strategy remain appropriate? Please provide detail about the trustees' conclusion.
</v>
      </c>
      <c r="C35" s="387" t="str">
        <f ca="1">'Reconciliation report'!D30</f>
        <v/>
      </c>
      <c r="D35" s="387" t="str">
        <f t="shared" ca="1" si="0"/>
        <v/>
      </c>
    </row>
    <row r="36" spans="1:4" ht="77.5" hidden="1">
      <c r="A36" s="1" t="str">
        <f ca="1">HYPERLINK("#" &amp; 'Reconciliation report'!I31,'Reconciliation report'!F31)</f>
        <v>FIS 18.0</v>
      </c>
      <c r="B36" t="str">
        <f ca="1">'Reconciliation report'!C31</f>
        <v xml:space="preserve">No answer required
Do the trustees consider that the funding and investment strategy is being successfully implemented in all respects?
</v>
      </c>
      <c r="C36" s="387" t="str">
        <f ca="1">'Reconciliation report'!D31</f>
        <v/>
      </c>
      <c r="D36" s="387" t="str">
        <f t="shared" ca="1" si="0"/>
        <v/>
      </c>
    </row>
    <row r="37" spans="1:4" ht="77.5" hidden="1">
      <c r="A37" s="1" t="str">
        <f ca="1">HYPERLINK("#" &amp; 'Reconciliation report'!I32,'Reconciliation report'!F32)</f>
        <v>FIS 19.0</v>
      </c>
      <c r="B37" t="str">
        <f ca="1">'Reconciliation report'!C32</f>
        <v xml:space="preserve">No answer required
Describe the elements of the funding and investment strategy that are being successfully implemented and those that are not.
</v>
      </c>
      <c r="C37" s="387" t="str">
        <f ca="1">'Reconciliation report'!D32</f>
        <v/>
      </c>
      <c r="D37" s="387" t="str">
        <f t="shared" ca="1" si="0"/>
        <v/>
      </c>
    </row>
    <row r="38" spans="1:4" ht="77.5" hidden="1">
      <c r="A38" s="1" t="str">
        <f ca="1">HYPERLINK("#" &amp; 'Reconciliation report'!I33,'Reconciliation report'!F33)</f>
        <v>FIS 20.0</v>
      </c>
      <c r="B38" t="str">
        <f ca="1">'Reconciliation report'!C33</f>
        <v xml:space="preserve">No answer required
What steps (including timings) do the trustees intend to take to remedy the position?
</v>
      </c>
      <c r="C38" s="387" t="str">
        <f ca="1">'Reconciliation report'!D33</f>
        <v/>
      </c>
      <c r="D38" s="387" t="str">
        <f t="shared" ca="1" si="0"/>
        <v/>
      </c>
    </row>
    <row r="39" spans="1:4" ht="77.5">
      <c r="A39" s="1" t="str">
        <f ca="1">HYPERLINK("#" &amp; 'Reconciliation report'!I34,'Reconciliation report'!F34)</f>
        <v>FIS 21.0</v>
      </c>
      <c r="B39" t="str">
        <f ca="1">'Reconciliation report'!C34</f>
        <v xml:space="preserve">
Describe the main risks faced by the scheme in implementing the funding and investment strategy. Provide details of how the trustees intend to mitigate and/or manage the risks in the event they materialise.
</v>
      </c>
      <c r="C39" s="387" t="str">
        <f ca="1">'Reconciliation report'!D34</f>
        <v xml:space="preserve">
You must answer this question. The answer must be no more than 4000 characters.
</v>
      </c>
      <c r="D39" s="387" t="str">
        <f t="shared" ca="1" si="0"/>
        <v>Refresh the error report</v>
      </c>
    </row>
    <row r="40" spans="1:4" ht="62">
      <c r="A40" s="1" t="str">
        <f ca="1">HYPERLINK("#" &amp; 'Reconciliation report'!I35,'Reconciliation report'!F35)</f>
        <v>FIS 22.0</v>
      </c>
      <c r="B40" t="str">
        <f ca="1">'Reconciliation report'!C35</f>
        <v xml:space="preserve">
Are there any significant past decisions relevant to the funding and investment strategy?
</v>
      </c>
      <c r="C40" s="387" t="str">
        <f ca="1">'Reconciliation report'!D35</f>
        <v xml:space="preserve">
Select ‘Yes’ if there are significant past decisions relevant to the funding and investment strategy, or ‘No’ if there are not.
</v>
      </c>
      <c r="D40" s="387" t="str">
        <f t="shared" ca="1" si="0"/>
        <v>Refresh the error report</v>
      </c>
    </row>
    <row r="41" spans="1:4" ht="62" hidden="1">
      <c r="A41" s="1" t="str">
        <f ca="1">HYPERLINK("#" &amp; 'Reconciliation report'!I36,'Reconciliation report'!F36)</f>
        <v>FIS 23.0</v>
      </c>
      <c r="B41" t="str">
        <f ca="1">'Reconciliation report'!C36</f>
        <v xml:space="preserve">
Describe these significant past decisions. What are the trustees' reflections on them, including any lessons learned that have or may affect other decisions?
</v>
      </c>
      <c r="C41" s="387" t="str">
        <f ca="1">'Reconciliation report'!D36</f>
        <v/>
      </c>
      <c r="D41" s="387" t="str">
        <f t="shared" ca="1" si="0"/>
        <v/>
      </c>
    </row>
    <row r="42" spans="1:4" ht="62">
      <c r="A42" s="1" t="str">
        <f ca="1">HYPERLINK("#" &amp; 'Reconciliation report'!I37,'Reconciliation report'!F37)</f>
        <v>SAV 1.0</v>
      </c>
      <c r="B42" t="str">
        <f ca="1">'Reconciliation report'!C37</f>
        <v xml:space="preserve">
Does the scheme have any defined contributions (DC) liabilities or DC additional voluntary contributions (AVC) that have been included in the actuarial valuation?
</v>
      </c>
      <c r="C42" s="387" t="str">
        <f ca="1">'Reconciliation report'!D37</f>
        <v>Select ‘Yes’ if the scheme has defined contributions (DC) liabilities or DC additional voluntary contributions (AVC) that have been included in the actuarial valuation or ‘No’ if it does not.</v>
      </c>
      <c r="D42" s="387" t="str">
        <f t="shared" ca="1" si="0"/>
        <v>Refresh the error report</v>
      </c>
    </row>
    <row r="43" spans="1:4" ht="46.5">
      <c r="A43" s="1" t="str">
        <f ca="1">HYPERLINK("#" &amp; 'Reconciliation report'!I38,'Reconciliation report'!F38)</f>
        <v>SAV 2.0</v>
      </c>
      <c r="B43" t="str">
        <f ca="1">'Reconciliation report'!C38</f>
        <v xml:space="preserve">
Does the valuation include any cash balance liabilities?
</v>
      </c>
      <c r="C43" s="387" t="str">
        <f ca="1">'Reconciliation report'!D38</f>
        <v xml:space="preserve">
Select ‘Yes' if the valuation includes cash balance liabilities’ or ‘No' if it does not.
</v>
      </c>
      <c r="D43" s="387" t="str">
        <f t="shared" ca="1" si="0"/>
        <v>Refresh the error report</v>
      </c>
    </row>
    <row r="44" spans="1:4" ht="62">
      <c r="A44" s="1" t="str">
        <f ca="1">HYPERLINK("#" &amp; 'Reconciliation report'!I39,'Reconciliation report'!F39)</f>
        <v>SAV 3.0</v>
      </c>
      <c r="B44" t="str">
        <f ca="1">'Reconciliation report'!C39</f>
        <v xml:space="preserve">
Technical provisions basis: total scheme assets (£)
</v>
      </c>
      <c r="C44" s="387" t="str">
        <f ca="1">'Reconciliation report'!D39</f>
        <v xml:space="preserve">
Enter a value equal to or greater than 0 and less than 1,000,000,000,000 (1 trillion). It can be accurate to two decimal places.
</v>
      </c>
      <c r="D44" s="387" t="str">
        <f t="shared" ca="1" si="0"/>
        <v>Refresh the error report</v>
      </c>
    </row>
    <row r="45" spans="1:4" ht="62">
      <c r="A45" s="1" t="str">
        <f ca="1">HYPERLINK("#" &amp; 'Reconciliation report'!I40,'Reconciliation report'!F40)</f>
        <v>SAV 4.0</v>
      </c>
      <c r="B45" t="str">
        <f ca="1">'Reconciliation report'!C40</f>
        <v xml:space="preserve">
Technical provisions basis: active member liabilities (£)
</v>
      </c>
      <c r="C45" s="387" t="str">
        <f ca="1">'Reconciliation report'!D40</f>
        <v xml:space="preserve">
Enter a value equal to or greater than 0 and less than 1,000,000,000,000 (1 trillion). It can be accurate to two decimal places.
</v>
      </c>
      <c r="D45" s="387" t="str">
        <f t="shared" ca="1" si="0"/>
        <v>Refresh the error report</v>
      </c>
    </row>
    <row r="46" spans="1:4" ht="62">
      <c r="A46" s="1" t="str">
        <f ca="1">HYPERLINK("#" &amp; 'Reconciliation report'!I41,'Reconciliation report'!F41)</f>
        <v>SAV 5.0</v>
      </c>
      <c r="B46" t="str">
        <f ca="1">'Reconciliation report'!C41</f>
        <v xml:space="preserve">
Technical provisions basis: deferred member liabilities (£)
</v>
      </c>
      <c r="C46" s="387" t="str">
        <f ca="1">'Reconciliation report'!D41</f>
        <v xml:space="preserve">
Enter a value equal to or greater than 0 and less than 1,000,000,000,000 (1 trillion). It can be accurate to two decimal places.
</v>
      </c>
      <c r="D46" s="387" t="str">
        <f t="shared" ca="1" si="0"/>
        <v>Refresh the error report</v>
      </c>
    </row>
    <row r="47" spans="1:4" ht="62">
      <c r="A47" s="1" t="str">
        <f ca="1">HYPERLINK("#" &amp; 'Reconciliation report'!I42,'Reconciliation report'!F42)</f>
        <v>SAV 6.0</v>
      </c>
      <c r="B47" t="str">
        <f ca="1">'Reconciliation report'!C42</f>
        <v xml:space="preserve">
Technical provisions basis: pensioner member liabilities (£)
</v>
      </c>
      <c r="C47" s="387" t="str">
        <f ca="1">'Reconciliation report'!D42</f>
        <v xml:space="preserve">
Enter a value equal to or greater than 0 and less than 1,000,000,000,000 (1 trillion). It can be accurate to two decimal places.
</v>
      </c>
      <c r="D47" s="387" t="str">
        <f t="shared" ca="1" si="0"/>
        <v>Refresh the error report</v>
      </c>
    </row>
    <row r="48" spans="1:4" ht="62">
      <c r="A48" s="1" t="str">
        <f ca="1">HYPERLINK("#" &amp; 'Reconciliation report'!I43,'Reconciliation report'!F43)</f>
        <v>SAV 7.0</v>
      </c>
      <c r="B48" t="str">
        <f ca="1">'Reconciliation report'!C43</f>
        <v xml:space="preserve">
Technical provisions basis: insured member liabilities (£)
</v>
      </c>
      <c r="C48" s="387" t="str">
        <f ca="1">'Reconciliation report'!D43</f>
        <v xml:space="preserve">
Enter a value equal to or greater than 0 and less than 1,000,000,000,000 (1 trillion). It can be accurate to two decimal places.
</v>
      </c>
      <c r="D48" s="387" t="str">
        <f t="shared" ca="1" si="0"/>
        <v>Refresh the error report</v>
      </c>
    </row>
    <row r="49" spans="1:4" ht="46.5" hidden="1">
      <c r="A49" s="1" t="str">
        <f ca="1">HYPERLINK("#" &amp; 'Reconciliation report'!I44,'Reconciliation report'!F44)</f>
        <v>SAV 8.0</v>
      </c>
      <c r="B49" t="str">
        <f ca="1">'Reconciliation report'!C44</f>
        <v xml:space="preserve">
Technical provisions basis: DC liabilities (£)
</v>
      </c>
      <c r="C49" s="387" t="str">
        <f ca="1">'Reconciliation report'!D44</f>
        <v/>
      </c>
      <c r="D49" s="387" t="str">
        <f t="shared" ca="1" si="0"/>
        <v/>
      </c>
    </row>
    <row r="50" spans="1:4" ht="46.5" hidden="1">
      <c r="A50" s="1" t="str">
        <f ca="1">HYPERLINK("#" &amp; 'Reconciliation report'!I45,'Reconciliation report'!F45)</f>
        <v>SAV 9.0</v>
      </c>
      <c r="B50" t="str">
        <f ca="1">'Reconciliation report'!C45</f>
        <v xml:space="preserve">
Technical Provisions basis: cash balance liabilities (£)
</v>
      </c>
      <c r="C50" s="387" t="str">
        <f ca="1">'Reconciliation report'!D45</f>
        <v/>
      </c>
      <c r="D50" s="387" t="str">
        <f t="shared" ca="1" si="0"/>
        <v/>
      </c>
    </row>
    <row r="51" spans="1:4" ht="62">
      <c r="A51" s="1" t="str">
        <f ca="1">HYPERLINK("#" &amp; 'Reconciliation report'!I46,'Reconciliation report'!F46)</f>
        <v>SAV 10.0</v>
      </c>
      <c r="B51" t="str">
        <f ca="1">'Reconciliation report'!C46</f>
        <v xml:space="preserve">
Technical provisions basis: expense reserves (£)
</v>
      </c>
      <c r="C51" s="387" t="str">
        <f ca="1">'Reconciliation report'!D46</f>
        <v xml:space="preserve">
Enter a value equal to or greater than 0 and less than 1,000,000,000,000 (1 trillion). It can be accurate to two decimal places.
</v>
      </c>
      <c r="D51" s="387" t="str">
        <f t="shared" ca="1" si="0"/>
        <v>Refresh the error report</v>
      </c>
    </row>
    <row r="52" spans="1:4" ht="62">
      <c r="A52" s="1" t="str">
        <f ca="1">HYPERLINK("#" &amp; 'Reconciliation report'!I47,'Reconciliation report'!F47)</f>
        <v>SAV 11.0</v>
      </c>
      <c r="B52" t="str">
        <f ca="1">'Reconciliation report'!C47</f>
        <v xml:space="preserve">
Technical provisions basis: total liabilities (£)
</v>
      </c>
      <c r="C52" s="387" t="str">
        <f ca="1">'Reconciliation report'!D47</f>
        <v xml:space="preserve">
Enter a value equal to or greater than 0 and less than 1,000,000,000,000 (1 trillion). It can be accurate to two decimal places.
</v>
      </c>
      <c r="D52" s="387" t="str">
        <f t="shared" ca="1" si="0"/>
        <v>Refresh the error report</v>
      </c>
    </row>
    <row r="53" spans="1:4" ht="62" hidden="1">
      <c r="A53" s="1" t="str">
        <f ca="1">HYPERLINK("#" &amp; 'Reconciliation report'!I48,'Reconciliation report'!F48)</f>
        <v>SAV 13.0</v>
      </c>
      <c r="B53" t="str">
        <f ca="1">'Reconciliation report'!C48</f>
        <v xml:space="preserve">
What is the future service contribution rate on an ongoing basis as a percentage of pensionable salary? (%)
</v>
      </c>
      <c r="C53" s="387" t="str">
        <f ca="1">'Reconciliation report'!D48</f>
        <v/>
      </c>
      <c r="D53" s="387" t="str">
        <f t="shared" ca="1" si="0"/>
        <v/>
      </c>
    </row>
    <row r="54" spans="1:4" ht="62" hidden="1">
      <c r="A54" s="1" t="str">
        <f ca="1">HYPERLINK("#" &amp; 'Reconciliation report'!I49,'Reconciliation report'!F49)</f>
        <v>SAV 14.0</v>
      </c>
      <c r="B54" t="str">
        <f ca="1">'Reconciliation report'!C49</f>
        <v xml:space="preserve">
What is the total annual pensionable salary at the effective date of the valuation? (£)
</v>
      </c>
      <c r="C54" s="387" t="str">
        <f ca="1">'Reconciliation report'!D49</f>
        <v/>
      </c>
      <c r="D54" s="387" t="str">
        <f t="shared" ca="1" si="0"/>
        <v/>
      </c>
    </row>
    <row r="55" spans="1:4" ht="62">
      <c r="A55" s="1" t="str">
        <f ca="1">HYPERLINK("#" &amp; 'Reconciliation report'!I50,'Reconciliation report'!F50)</f>
        <v>SAV 15.0</v>
      </c>
      <c r="B55" t="str">
        <f ca="1">'Reconciliation report'!C50</f>
        <v xml:space="preserve">
Low dependency basis: total scheme assets (£)
</v>
      </c>
      <c r="C55" s="387" t="str">
        <f ca="1">'Reconciliation report'!D50</f>
        <v xml:space="preserve">
Enter a value equal to or greater than 0 and less than 1,000,000,000,000 (1 trillion). It can be accurate to two decimal places.
</v>
      </c>
      <c r="D55" s="387" t="str">
        <f t="shared" ca="1" si="0"/>
        <v>Refresh the error report</v>
      </c>
    </row>
    <row r="56" spans="1:4" ht="62">
      <c r="A56" s="1" t="str">
        <f ca="1">HYPERLINK("#" &amp; 'Reconciliation report'!I51,'Reconciliation report'!F51)</f>
        <v>SAV 16.0</v>
      </c>
      <c r="B56" t="str">
        <f ca="1">'Reconciliation report'!C51</f>
        <v xml:space="preserve">
Low dependency basis: active member liabilities (£)
</v>
      </c>
      <c r="C56" s="387" t="str">
        <f ca="1">'Reconciliation report'!D51</f>
        <v xml:space="preserve">
Enter a value equal to or greater than 0 and less than 1,000,000,000,000 (1 trillion). It can be accurate to two decimal places.
</v>
      </c>
      <c r="D56" s="387" t="str">
        <f t="shared" ca="1" si="0"/>
        <v>Refresh the error report</v>
      </c>
    </row>
    <row r="57" spans="1:4" ht="62">
      <c r="A57" s="1" t="str">
        <f ca="1">HYPERLINK("#" &amp; 'Reconciliation report'!I52,'Reconciliation report'!F52)</f>
        <v>SAV 17.0</v>
      </c>
      <c r="B57" t="str">
        <f ca="1">'Reconciliation report'!C52</f>
        <v xml:space="preserve">
Low dependency basis: deferred member liabilities (£)
</v>
      </c>
      <c r="C57" s="387" t="str">
        <f ca="1">'Reconciliation report'!D52</f>
        <v xml:space="preserve">
Enter a value equal to or greater than 0 and less than 1,000,000,000,000 (1 trillion). It can be accurate to two decimal places.
</v>
      </c>
      <c r="D57" s="387" t="str">
        <f t="shared" ca="1" si="0"/>
        <v>Refresh the error report</v>
      </c>
    </row>
    <row r="58" spans="1:4" ht="62">
      <c r="A58" s="1" t="str">
        <f ca="1">HYPERLINK("#" &amp; 'Reconciliation report'!I53,'Reconciliation report'!F53)</f>
        <v>SAV 18.0</v>
      </c>
      <c r="B58" t="str">
        <f ca="1">'Reconciliation report'!C53</f>
        <v xml:space="preserve">
Low dependency basis: pensioner member liabilities (£)
</v>
      </c>
      <c r="C58" s="387" t="str">
        <f ca="1">'Reconciliation report'!D53</f>
        <v xml:space="preserve">
Enter a value equal to or greater than 0 and less than 1,000,000,000,000 (1 trillion). It can be accurate to two decimal places.
</v>
      </c>
      <c r="D58" s="387" t="str">
        <f t="shared" ca="1" si="0"/>
        <v>Refresh the error report</v>
      </c>
    </row>
    <row r="59" spans="1:4" ht="62">
      <c r="A59" s="1" t="str">
        <f ca="1">HYPERLINK("#" &amp; 'Reconciliation report'!I54,'Reconciliation report'!F54)</f>
        <v>SAV 19.0</v>
      </c>
      <c r="B59" t="str">
        <f ca="1">'Reconciliation report'!C54</f>
        <v xml:space="preserve">
Low dependency basis: insured member liabilities (£)
</v>
      </c>
      <c r="C59" s="387" t="str">
        <f ca="1">'Reconciliation report'!D54</f>
        <v xml:space="preserve">
Enter a value equal to or greater than 0 and less than 1,000,000,000,000 (1 trillion). It can be accurate to two decimal places.
</v>
      </c>
      <c r="D59" s="387" t="str">
        <f t="shared" ca="1" si="0"/>
        <v>Refresh the error report</v>
      </c>
    </row>
    <row r="60" spans="1:4" ht="46.5" hidden="1">
      <c r="A60" s="1" t="str">
        <f ca="1">HYPERLINK("#" &amp; 'Reconciliation report'!I55,'Reconciliation report'!F55)</f>
        <v>SAV 20.0</v>
      </c>
      <c r="B60" t="str">
        <f ca="1">'Reconciliation report'!C55</f>
        <v xml:space="preserve">
Low dependency basis: DC liabilities (£)
</v>
      </c>
      <c r="C60" s="387" t="str">
        <f ca="1">'Reconciliation report'!D55</f>
        <v/>
      </c>
      <c r="D60" s="387" t="str">
        <f t="shared" ca="1" si="0"/>
        <v/>
      </c>
    </row>
    <row r="61" spans="1:4" ht="46.5" hidden="1">
      <c r="A61" s="1" t="str">
        <f ca="1">HYPERLINK("#" &amp; 'Reconciliation report'!I56,'Reconciliation report'!F56)</f>
        <v>SAV 21.0</v>
      </c>
      <c r="B61" t="str">
        <f ca="1">'Reconciliation report'!C56</f>
        <v xml:space="preserve">
Low dependency basis: cash balance liabilities (£)
</v>
      </c>
      <c r="C61" s="387" t="str">
        <f ca="1">'Reconciliation report'!D56</f>
        <v/>
      </c>
      <c r="D61" s="387" t="str">
        <f t="shared" ca="1" si="0"/>
        <v/>
      </c>
    </row>
    <row r="62" spans="1:4" ht="46.5">
      <c r="A62" s="1" t="str">
        <f ca="1">HYPERLINK("#" &amp; 'Reconciliation report'!I57,'Reconciliation report'!F57)</f>
        <v>SAV 22.0</v>
      </c>
      <c r="B62" t="str">
        <f ca="1">'Reconciliation report'!C57</f>
        <v xml:space="preserve">
Low dependency basis: expense reserves (£)
</v>
      </c>
      <c r="C62" s="387" t="str">
        <f ca="1">'Reconciliation report'!D57</f>
        <v xml:space="preserve">
Enter a value between 0 and 1,000,000,000,000 (1 trillion). It can be accurate to two decimal places.
</v>
      </c>
      <c r="D62" s="387" t="str">
        <f t="shared" ca="1" si="0"/>
        <v>Refresh the error report</v>
      </c>
    </row>
    <row r="63" spans="1:4" ht="46.5">
      <c r="A63" s="1" t="str">
        <f ca="1">HYPERLINK("#" &amp; 'Reconciliation report'!I58,'Reconciliation report'!F58)</f>
        <v>SAV 23.0</v>
      </c>
      <c r="B63" t="str">
        <f ca="1">'Reconciliation report'!C58</f>
        <v xml:space="preserve">
Low dependency basis: total liabilities (£)
</v>
      </c>
      <c r="C63" s="387" t="str">
        <f ca="1">'Reconciliation report'!D58</f>
        <v xml:space="preserve">
Enter a value between 0 and 1,000,000,000,000 (1 trillion). It can be accurate to two decimal places.
</v>
      </c>
      <c r="D63" s="387" t="str">
        <f t="shared" ca="1" si="0"/>
        <v>Refresh the error report</v>
      </c>
    </row>
    <row r="64" spans="1:4" ht="62">
      <c r="A64" s="1" t="str">
        <f ca="1">HYPERLINK("#" &amp; 'Reconciliation report'!I59,'Reconciliation report'!F59)</f>
        <v>SAV 24.0</v>
      </c>
      <c r="B64" t="str">
        <f ca="1">'Reconciliation report'!C59</f>
        <v xml:space="preserve">
What is the low dependency funding level at the effective date of the actuarial valuation? (%)
</v>
      </c>
      <c r="C64" s="387" t="str">
        <f ca="1">'Reconciliation report'!D59</f>
        <v xml:space="preserve">
Enter a percentage value that is equal to or greater than 0.
</v>
      </c>
      <c r="D64" s="387" t="str">
        <f t="shared" ca="1" si="0"/>
        <v>Refresh the error report</v>
      </c>
    </row>
    <row r="65" spans="1:4" ht="62">
      <c r="A65" s="1" t="str">
        <f ca="1">HYPERLINK("#" &amp; 'Reconciliation report'!I60,'Reconciliation report'!F60)</f>
        <v>SAV 12.0</v>
      </c>
      <c r="B65" t="str">
        <f ca="1">'Reconciliation report'!C60</f>
        <v xml:space="preserve">
What is the technical provisions funding level at the effective date of the actuarial valuation? (%)
</v>
      </c>
      <c r="C65" s="387" t="str">
        <f ca="1">'Reconciliation report'!D60</f>
        <v xml:space="preserve">
Enter a percentage value that is greater than or equal to 0. It can be accurate to two decimal places.
</v>
      </c>
      <c r="D65" s="387" t="str">
        <f t="shared" ca="1" si="0"/>
        <v>Refresh the error report</v>
      </c>
    </row>
    <row r="66" spans="1:4" ht="62">
      <c r="A66" s="1" t="str">
        <f ca="1">HYPERLINK("#" &amp; 'Reconciliation report'!I61,'Reconciliation report'!F61)</f>
        <v>SAV 25.0</v>
      </c>
      <c r="B66" t="str">
        <f ca="1">'Reconciliation report'!C61</f>
        <v xml:space="preserve">
Solvency basis: total scheme assets (£)
</v>
      </c>
      <c r="C66" s="387" t="str">
        <f ca="1">'Reconciliation report'!D61</f>
        <v xml:space="preserve">
Enter a value equal to or greater than 0 and less than 1,000,000,000,000 (1 trillion). It can be accurate to two decimal places.
</v>
      </c>
      <c r="D66" s="387" t="str">
        <f t="shared" ca="1" si="0"/>
        <v>Refresh the error report</v>
      </c>
    </row>
    <row r="67" spans="1:4" ht="62">
      <c r="A67" s="1" t="str">
        <f ca="1">HYPERLINK("#" &amp; 'Reconciliation report'!I62,'Reconciliation report'!F62)</f>
        <v>SAV 26.0</v>
      </c>
      <c r="B67" t="str">
        <f ca="1">'Reconciliation report'!C62</f>
        <v xml:space="preserve">
Solvency basis: active member liabilities (£)
</v>
      </c>
      <c r="C67" s="387" t="str">
        <f ca="1">'Reconciliation report'!D62</f>
        <v xml:space="preserve">
Enter a value equal to or greater than 0 and less than 1,000,000,000,000 (1 trillion). It can be accurate to two decimal places.
</v>
      </c>
      <c r="D67" s="387" t="str">
        <f t="shared" ca="1" si="0"/>
        <v>Refresh the error report</v>
      </c>
    </row>
    <row r="68" spans="1:4" ht="62">
      <c r="A68" s="1" t="str">
        <f ca="1">HYPERLINK("#" &amp; 'Reconciliation report'!I63,'Reconciliation report'!F63)</f>
        <v>SAV 27.0</v>
      </c>
      <c r="B68" t="str">
        <f ca="1">'Reconciliation report'!C63</f>
        <v xml:space="preserve">
Solvency basis: deferred member liabilities (£)
</v>
      </c>
      <c r="C68" s="387" t="str">
        <f ca="1">'Reconciliation report'!D63</f>
        <v xml:space="preserve">
Enter a value equal to or greater than 0 and less than 1,000,000,000,000 (1 trillion). It can be accurate to two decimal places.
</v>
      </c>
      <c r="D68" s="387" t="str">
        <f t="shared" ca="1" si="0"/>
        <v>Refresh the error report</v>
      </c>
    </row>
    <row r="69" spans="1:4" ht="62">
      <c r="A69" s="1" t="str">
        <f ca="1">HYPERLINK("#" &amp; 'Reconciliation report'!I64,'Reconciliation report'!F64)</f>
        <v>SAV 28.0</v>
      </c>
      <c r="B69" t="str">
        <f ca="1">'Reconciliation report'!C64</f>
        <v xml:space="preserve">
Solvency basis: pensioner member liabilities (£)
</v>
      </c>
      <c r="C69" s="387" t="str">
        <f ca="1">'Reconciliation report'!D64</f>
        <v xml:space="preserve">
Enter a value equal to or greater than 0 and less than 1,000,000,000,000 (1 trillion). It can be accurate to two decimal places.
</v>
      </c>
      <c r="D69" s="387" t="str">
        <f t="shared" ca="1" si="0"/>
        <v>Refresh the error report</v>
      </c>
    </row>
    <row r="70" spans="1:4" ht="62">
      <c r="A70" s="1" t="str">
        <f ca="1">HYPERLINK("#" &amp; 'Reconciliation report'!I65,'Reconciliation report'!F65)</f>
        <v>SAV 29.0</v>
      </c>
      <c r="B70" t="str">
        <f ca="1">'Reconciliation report'!C65</f>
        <v xml:space="preserve">
Solvency basis: insured member liabilities (£)
</v>
      </c>
      <c r="C70" s="387" t="str">
        <f ca="1">'Reconciliation report'!D65</f>
        <v xml:space="preserve">
Enter a value equal to or greater than 0 and less than 1,000,000,000,000 (1 trillion). It can be accurate to two decimal places.
</v>
      </c>
      <c r="D70" s="387" t="str">
        <f t="shared" ca="1" si="0"/>
        <v>Refresh the error report</v>
      </c>
    </row>
    <row r="71" spans="1:4" ht="46.5" hidden="1">
      <c r="A71" s="1" t="str">
        <f ca="1">HYPERLINK("#" &amp; 'Reconciliation report'!I66,'Reconciliation report'!F66)</f>
        <v>SAV 30.0</v>
      </c>
      <c r="B71" t="str">
        <f ca="1">'Reconciliation report'!C66</f>
        <v xml:space="preserve">
Solvency basis: DC liabilities (£)
</v>
      </c>
      <c r="C71" s="387" t="str">
        <f ca="1">'Reconciliation report'!D66</f>
        <v/>
      </c>
      <c r="D71" s="387" t="str">
        <f t="shared" ref="D71:D134" ca="1" si="1">IFERROR(IF(LEN(TRIM(CLEAN(C71))) &gt; 0, "Refresh the error report", ""), "")</f>
        <v/>
      </c>
    </row>
    <row r="72" spans="1:4" ht="46.5" hidden="1">
      <c r="A72" s="1" t="str">
        <f ca="1">HYPERLINK("#" &amp; 'Reconciliation report'!I67,'Reconciliation report'!F67)</f>
        <v>SAV 31.0</v>
      </c>
      <c r="B72" t="str">
        <f ca="1">'Reconciliation report'!C67</f>
        <v xml:space="preserve">
Solvency basis: cash balance liabilities (£)
</v>
      </c>
      <c r="C72" s="387" t="str">
        <f ca="1">'Reconciliation report'!D67</f>
        <v/>
      </c>
      <c r="D72" s="387" t="str">
        <f t="shared" ca="1" si="1"/>
        <v/>
      </c>
    </row>
    <row r="73" spans="1:4" ht="62">
      <c r="A73" s="1" t="str">
        <f ca="1">HYPERLINK("#" &amp; 'Reconciliation report'!I68,'Reconciliation report'!F68)</f>
        <v>SAV 32.0</v>
      </c>
      <c r="B73" t="str">
        <f ca="1">'Reconciliation report'!C68</f>
        <v xml:space="preserve">
Solvency basis: expense reserve (£)
</v>
      </c>
      <c r="C73" s="387" t="str">
        <f ca="1">'Reconciliation report'!D68</f>
        <v xml:space="preserve">
Enter a value equal to or greater than 0 and less than 1,000,000,000,000 (1 trillion). It can be accurate to two decimal places.
</v>
      </c>
      <c r="D73" s="387" t="str">
        <f t="shared" ca="1" si="1"/>
        <v>Refresh the error report</v>
      </c>
    </row>
    <row r="74" spans="1:4" ht="62">
      <c r="A74" s="1" t="str">
        <f ca="1">HYPERLINK("#" &amp; 'Reconciliation report'!I69,'Reconciliation report'!F69)</f>
        <v>SAV 33.0</v>
      </c>
      <c r="B74" t="str">
        <f ca="1">'Reconciliation report'!C69</f>
        <v xml:space="preserve">
Solvency basis: total liabilities (£)
</v>
      </c>
      <c r="C74" s="387" t="str">
        <f ca="1">'Reconciliation report'!D69</f>
        <v xml:space="preserve">
Enter a value equal to or greater than 0 and less than 1,000,000,000,000 (1 trillion). It can be accurate to two decimal places.
</v>
      </c>
      <c r="D74" s="387" t="str">
        <f t="shared" ca="1" si="1"/>
        <v>Refresh the error report</v>
      </c>
    </row>
    <row r="75" spans="1:4" ht="46.5">
      <c r="A75" s="1" t="str">
        <f ca="1">HYPERLINK("#" &amp; 'Reconciliation report'!I70,'Reconciliation report'!F70)</f>
        <v>SAV 34.0</v>
      </c>
      <c r="B75" t="str">
        <f ca="1">'Reconciliation report'!C70</f>
        <v xml:space="preserve">
Solvency basis: funding level (%)
</v>
      </c>
      <c r="C75" s="387" t="str">
        <f ca="1">'Reconciliation report'!D70</f>
        <v xml:space="preserve">
Enter a percentage value that is equal to or greater than 0. 
</v>
      </c>
      <c r="D75" s="387" t="str">
        <f t="shared" ca="1" si="1"/>
        <v>Refresh the error report</v>
      </c>
    </row>
    <row r="76" spans="1:4" ht="62" hidden="1">
      <c r="A76" s="1" t="str">
        <f ca="1">HYPERLINK("#" &amp; 'Reconciliation report'!I71,'Reconciliation report'!F71)</f>
        <v>SAV 35.0</v>
      </c>
      <c r="B76" t="str">
        <f ca="1">'Reconciliation report'!C71</f>
        <v xml:space="preserve">
Any additional comments the trustees have in relation to expense reserves (optional)
</v>
      </c>
      <c r="C76" s="387" t="str">
        <f ca="1">'Reconciliation report'!D71</f>
        <v/>
      </c>
      <c r="D76" s="387" t="str">
        <f t="shared" ca="1" si="1"/>
        <v/>
      </c>
    </row>
    <row r="77" spans="1:4" ht="62">
      <c r="A77" s="1" t="str">
        <f ca="1">HYPERLINK("#" &amp; 'Reconciliation report'!I72,'Reconciliation report'!F72)</f>
        <v>SAV 36.0</v>
      </c>
      <c r="B77" t="str">
        <f ca="1">'Reconciliation report'!C72</f>
        <v xml:space="preserve">
What proportion of the liabilities on a low dependency basis are linked to inflation? (%)
</v>
      </c>
      <c r="C77" s="387" t="str">
        <f ca="1">'Reconciliation report'!D72</f>
        <v xml:space="preserve">
Enter a percentage value between 0 and 100.
</v>
      </c>
      <c r="D77" s="387" t="str">
        <f t="shared" ca="1" si="1"/>
        <v>Refresh the error report</v>
      </c>
    </row>
    <row r="78" spans="1:4" ht="77.5">
      <c r="A78" s="1" t="str">
        <f ca="1">HYPERLINK("#" &amp; 'Reconciliation report'!I73,'Reconciliation report'!F73)</f>
        <v>SAV 37.0</v>
      </c>
      <c r="B78" t="str">
        <f ca="1">'Reconciliation report'!C73</f>
        <v xml:space="preserve">
What is the assumed change in retail price index (RPI) and consumer price index (CPI) – underpinning the related assumptions – for the inflation rate sensitivity? (Basis points)
</v>
      </c>
      <c r="C78" s="387" t="str">
        <f ca="1">'Reconciliation report'!D73</f>
        <v xml:space="preserve">
Enter a basis point value between -25 and 25.
</v>
      </c>
      <c r="D78" s="387" t="str">
        <f t="shared" ca="1" si="1"/>
        <v>Refresh the error report</v>
      </c>
    </row>
    <row r="79" spans="1:4" ht="62">
      <c r="A79" s="1" t="str">
        <f ca="1">HYPERLINK("#" &amp; 'Reconciliation report'!I74,'Reconciliation report'!F74)</f>
        <v>SAV 38.0</v>
      </c>
      <c r="B79" t="str">
        <f ca="1">'Reconciliation report'!C74</f>
        <v xml:space="preserve">
What is the change in the technical provisions liabilities given this inflation sensitivity? (£)
</v>
      </c>
      <c r="C79" s="387" t="str">
        <f ca="1">'Reconciliation report'!D74</f>
        <v xml:space="preserve">
You must enter a number greater than -1,000,000,000,000 (minus 1 trillion) and less than ​1,000,000,000,000 (1 trillion). It can be accurate to two decimal places. 
</v>
      </c>
      <c r="D79" s="387" t="str">
        <f t="shared" ca="1" si="1"/>
        <v>Refresh the error report</v>
      </c>
    </row>
    <row r="80" spans="1:4" ht="46.5" hidden="1">
      <c r="A80" s="1" t="str">
        <f ca="1">HYPERLINK("#" &amp; 'Reconciliation report'!I75,'Reconciliation report'!F75)</f>
        <v>SRP 1.0</v>
      </c>
      <c r="B80" t="str">
        <f ca="1">'Reconciliation report'!C75</f>
        <v xml:space="preserve">
Recovery plan commencement date
</v>
      </c>
      <c r="C80" s="387" t="str">
        <f ca="1">'Reconciliation report'!D75</f>
        <v/>
      </c>
      <c r="D80" s="387" t="str">
        <f t="shared" ca="1" si="1"/>
        <v/>
      </c>
    </row>
    <row r="81" spans="1:4" ht="46.5" hidden="1">
      <c r="A81" s="1" t="str">
        <f ca="1">HYPERLINK("#" &amp; 'Reconciliation report'!I76,'Reconciliation report'!F76)</f>
        <v>SRP 2.0</v>
      </c>
      <c r="B81" t="str">
        <f ca="1">'Reconciliation report'!C76</f>
        <v xml:space="preserve">
Recovery plan end date
</v>
      </c>
      <c r="C81" s="387" t="str">
        <f ca="1">'Reconciliation report'!D76</f>
        <v/>
      </c>
      <c r="D81" s="387" t="str">
        <f t="shared" ca="1" si="1"/>
        <v/>
      </c>
    </row>
    <row r="82" spans="1:4" ht="46.5" hidden="1">
      <c r="A82" s="1" t="str">
        <f ca="1">HYPERLINK("#" &amp; 'Reconciliation report'!I77,'Reconciliation report'!F77)</f>
        <v>SRP 3.0</v>
      </c>
      <c r="B82" t="str">
        <f ca="1">'Reconciliation report'!C77</f>
        <v xml:space="preserve">
What is the technical provision deficit at the valuation date? (£)
</v>
      </c>
      <c r="C82" s="387" t="str">
        <f ca="1">'Reconciliation report'!D77</f>
        <v/>
      </c>
      <c r="D82" s="387" t="str">
        <f t="shared" ca="1" si="1"/>
        <v/>
      </c>
    </row>
    <row r="83" spans="1:4" ht="62" hidden="1">
      <c r="A83" s="1" t="str">
        <f ca="1">HYPERLINK("#" &amp; 'Reconciliation report'!I78,'Reconciliation report'!F78)</f>
        <v>SRP 4.0</v>
      </c>
      <c r="B83" t="str">
        <f ca="1">'Reconciliation report'!C78</f>
        <v xml:space="preserve">
Is the assumed expected return on assets for the purposes of the recovery plan expressed as a nominal value or as a margin over gilts?
</v>
      </c>
      <c r="C83" s="387" t="str">
        <f ca="1">'Reconciliation report'!D78</f>
        <v/>
      </c>
      <c r="D83" s="387" t="str">
        <f t="shared" ca="1" si="1"/>
        <v/>
      </c>
    </row>
    <row r="84" spans="1:4" ht="62" hidden="1">
      <c r="A84" s="1" t="str">
        <f ca="1">HYPERLINK("#" &amp; 'Reconciliation report'!I79,'Reconciliation report'!F79)</f>
        <v>SRP 5.0</v>
      </c>
      <c r="B84" t="str">
        <f ca="1">'Reconciliation report'!C79</f>
        <v xml:space="preserve">
What is the assumed investment return over recovery plan expressed as a margin over gilts? (%)
</v>
      </c>
      <c r="C84" s="387" t="str">
        <f ca="1">'Reconciliation report'!D79</f>
        <v/>
      </c>
      <c r="D84" s="387" t="str">
        <f t="shared" ca="1" si="1"/>
        <v/>
      </c>
    </row>
    <row r="85" spans="1:4" ht="62" hidden="1">
      <c r="A85" s="1" t="str">
        <f ca="1">HYPERLINK("#" &amp; 'Reconciliation report'!I80,'Reconciliation report'!F80)</f>
        <v>SRP 6.0</v>
      </c>
      <c r="B85" t="str">
        <f ca="1">'Reconciliation report'!C80</f>
        <v xml:space="preserve">
What is the assumed investment return over recovery plan expressed as a nominal value? (%)
</v>
      </c>
      <c r="C85" s="387" t="str">
        <f ca="1">'Reconciliation report'!D80</f>
        <v/>
      </c>
      <c r="D85" s="387" t="str">
        <f t="shared" ca="1" si="1"/>
        <v/>
      </c>
    </row>
    <row r="86" spans="1:4" ht="46.5" hidden="1">
      <c r="A86" s="1" t="str">
        <f ca="1">HYPERLINK("#" &amp; 'Reconciliation report'!I81,'Reconciliation report'!F81)</f>
        <v>SRP 7.0</v>
      </c>
      <c r="B86" t="str">
        <f ca="1">'Reconciliation report'!C81</f>
        <v xml:space="preserve">
Has any allowance been made for post-valuation experience?
</v>
      </c>
      <c r="C86" s="387" t="str">
        <f ca="1">'Reconciliation report'!D81</f>
        <v/>
      </c>
      <c r="D86" s="387" t="str">
        <f t="shared" ca="1" si="1"/>
        <v/>
      </c>
    </row>
    <row r="87" spans="1:4" ht="62" hidden="1">
      <c r="A87" s="1" t="str">
        <f ca="1">HYPERLINK("#" &amp; 'Reconciliation report'!I82,'Reconciliation report'!F82)</f>
        <v>SRP 8.0</v>
      </c>
      <c r="B87" t="str">
        <f ca="1">'Reconciliation report'!C82</f>
        <v xml:space="preserve">
What is the estimated technical provisions deficit used for recovery plan purposes? (£)
</v>
      </c>
      <c r="C87" s="387" t="str">
        <f ca="1">'Reconciliation report'!D82</f>
        <v/>
      </c>
      <c r="D87" s="387" t="str">
        <f t="shared" ca="1" si="1"/>
        <v/>
      </c>
    </row>
    <row r="88" spans="1:4" ht="46.5" hidden="1">
      <c r="A88" s="1" t="str">
        <f ca="1">HYPERLINK("#" &amp; 'Reconciliation report'!I83,'Reconciliation report'!F83)</f>
        <v>DRC 1.0</v>
      </c>
      <c r="B88" t="str">
        <f ca="1">'Reconciliation report'!C83</f>
        <v xml:space="preserve">
Year 1
</v>
      </c>
      <c r="C88" s="387" t="str">
        <f ca="1">'Reconciliation report'!D83</f>
        <v/>
      </c>
      <c r="D88" s="387" t="str">
        <f t="shared" ca="1" si="1"/>
        <v/>
      </c>
    </row>
    <row r="89" spans="1:4" ht="46.5" hidden="1">
      <c r="A89" s="1" t="str">
        <f ca="1">HYPERLINK("#" &amp; 'Reconciliation report'!I84,'Reconciliation report'!F84)</f>
        <v>DRC 2.0</v>
      </c>
      <c r="B89" t="str">
        <f ca="1">'Reconciliation report'!C84</f>
        <v xml:space="preserve">
Year 2
</v>
      </c>
      <c r="C89" s="387" t="str">
        <f ca="1">'Reconciliation report'!D84</f>
        <v/>
      </c>
      <c r="D89" s="387" t="str">
        <f t="shared" ca="1" si="1"/>
        <v/>
      </c>
    </row>
    <row r="90" spans="1:4" ht="46.5" hidden="1">
      <c r="A90" s="1" t="str">
        <f ca="1">HYPERLINK("#" &amp; 'Reconciliation report'!I85,'Reconciliation report'!F85)</f>
        <v>DRC 3.0</v>
      </c>
      <c r="B90" t="str">
        <f ca="1">'Reconciliation report'!C85</f>
        <v xml:space="preserve">
Year 3
</v>
      </c>
      <c r="C90" s="387" t="str">
        <f ca="1">'Reconciliation report'!D85</f>
        <v/>
      </c>
      <c r="D90" s="387" t="str">
        <f t="shared" ca="1" si="1"/>
        <v/>
      </c>
    </row>
    <row r="91" spans="1:4" ht="46.5" hidden="1">
      <c r="A91" s="1" t="str">
        <f ca="1">HYPERLINK("#" &amp; 'Reconciliation report'!I86,'Reconciliation report'!F86)</f>
        <v>DRC 4.0</v>
      </c>
      <c r="B91" t="str">
        <f ca="1">'Reconciliation report'!C86</f>
        <v xml:space="preserve">
Year 4
</v>
      </c>
      <c r="C91" s="387" t="str">
        <f ca="1">'Reconciliation report'!D86</f>
        <v/>
      </c>
      <c r="D91" s="387" t="str">
        <f t="shared" ca="1" si="1"/>
        <v/>
      </c>
    </row>
    <row r="92" spans="1:4" ht="46.5" hidden="1">
      <c r="A92" s="1" t="str">
        <f ca="1">HYPERLINK("#" &amp; 'Reconciliation report'!I87,'Reconciliation report'!F87)</f>
        <v>DRC 5.0</v>
      </c>
      <c r="B92" t="str">
        <f ca="1">'Reconciliation report'!C87</f>
        <v xml:space="preserve">
Year 5
</v>
      </c>
      <c r="C92" s="387" t="str">
        <f ca="1">'Reconciliation report'!D87</f>
        <v/>
      </c>
      <c r="D92" s="387" t="str">
        <f t="shared" ca="1" si="1"/>
        <v/>
      </c>
    </row>
    <row r="93" spans="1:4" ht="46.5" hidden="1">
      <c r="A93" s="1" t="str">
        <f ca="1">HYPERLINK("#" &amp; 'Reconciliation report'!I88,'Reconciliation report'!F88)</f>
        <v>DRC 6.0</v>
      </c>
      <c r="B93" t="str">
        <f ca="1">'Reconciliation report'!C88</f>
        <v xml:space="preserve">
Year 6
</v>
      </c>
      <c r="C93" s="387" t="str">
        <f ca="1">'Reconciliation report'!D88</f>
        <v/>
      </c>
      <c r="D93" s="387" t="str">
        <f t="shared" ca="1" si="1"/>
        <v/>
      </c>
    </row>
    <row r="94" spans="1:4" ht="46.5" hidden="1">
      <c r="A94" s="1" t="str">
        <f ca="1">HYPERLINK("#" &amp; 'Reconciliation report'!I89,'Reconciliation report'!F89)</f>
        <v>DRC 7.0</v>
      </c>
      <c r="B94" t="str">
        <f ca="1">'Reconciliation report'!C89</f>
        <v xml:space="preserve">
Year 7
</v>
      </c>
      <c r="C94" s="387" t="str">
        <f ca="1">'Reconciliation report'!D89</f>
        <v/>
      </c>
      <c r="D94" s="387" t="str">
        <f t="shared" ca="1" si="1"/>
        <v/>
      </c>
    </row>
    <row r="95" spans="1:4" ht="46.5" hidden="1">
      <c r="A95" s="1" t="str">
        <f ca="1">HYPERLINK("#" &amp; 'Reconciliation report'!I90,'Reconciliation report'!F90)</f>
        <v>DRC 8.0</v>
      </c>
      <c r="B95" t="str">
        <f ca="1">'Reconciliation report'!C90</f>
        <v xml:space="preserve">
Year 8
</v>
      </c>
      <c r="C95" s="387" t="str">
        <f ca="1">'Reconciliation report'!D90</f>
        <v/>
      </c>
      <c r="D95" s="387" t="str">
        <f t="shared" ca="1" si="1"/>
        <v/>
      </c>
    </row>
    <row r="96" spans="1:4" ht="46.5" hidden="1">
      <c r="A96" s="1" t="str">
        <f ca="1">HYPERLINK("#" &amp; 'Reconciliation report'!I91,'Reconciliation report'!F91)</f>
        <v>DRC 9.0</v>
      </c>
      <c r="B96" t="str">
        <f ca="1">'Reconciliation report'!C91</f>
        <v xml:space="preserve">
Year 9
</v>
      </c>
      <c r="C96" s="387" t="str">
        <f ca="1">'Reconciliation report'!D91</f>
        <v/>
      </c>
      <c r="D96" s="387" t="str">
        <f t="shared" ca="1" si="1"/>
        <v/>
      </c>
    </row>
    <row r="97" spans="1:4" ht="46.5" hidden="1">
      <c r="A97" s="1" t="str">
        <f ca="1">HYPERLINK("#" &amp; 'Reconciliation report'!I92,'Reconciliation report'!F92)</f>
        <v>DRC 10.0</v>
      </c>
      <c r="B97" t="str">
        <f ca="1">'Reconciliation report'!C92</f>
        <v xml:space="preserve">
Year 10
</v>
      </c>
      <c r="C97" s="387" t="str">
        <f ca="1">'Reconciliation report'!D92</f>
        <v/>
      </c>
      <c r="D97" s="387" t="str">
        <f t="shared" ca="1" si="1"/>
        <v/>
      </c>
    </row>
    <row r="98" spans="1:4" ht="46.5" hidden="1">
      <c r="A98" s="1" t="str">
        <f ca="1">HYPERLINK("#" &amp; 'Reconciliation report'!I93,'Reconciliation report'!F93)</f>
        <v>DRC 11.0</v>
      </c>
      <c r="B98" t="str">
        <f ca="1">'Reconciliation report'!C93</f>
        <v xml:space="preserve">
Year 11
</v>
      </c>
      <c r="C98" s="387" t="str">
        <f ca="1">'Reconciliation report'!D93</f>
        <v/>
      </c>
      <c r="D98" s="387" t="str">
        <f t="shared" ca="1" si="1"/>
        <v/>
      </c>
    </row>
    <row r="99" spans="1:4" ht="46.5" hidden="1">
      <c r="A99" s="1" t="str">
        <f ca="1">HYPERLINK("#" &amp; 'Reconciliation report'!I94,'Reconciliation report'!F94)</f>
        <v>DRC 12.0</v>
      </c>
      <c r="B99" t="str">
        <f ca="1">'Reconciliation report'!C94</f>
        <v xml:space="preserve">
Year 12
</v>
      </c>
      <c r="C99" s="387" t="str">
        <f ca="1">'Reconciliation report'!D94</f>
        <v/>
      </c>
      <c r="D99" s="387" t="str">
        <f t="shared" ca="1" si="1"/>
        <v/>
      </c>
    </row>
    <row r="100" spans="1:4" ht="46.5" hidden="1">
      <c r="A100" s="1" t="str">
        <f ca="1">HYPERLINK("#" &amp; 'Reconciliation report'!I95,'Reconciliation report'!F95)</f>
        <v>DRC 13.0</v>
      </c>
      <c r="B100" t="str">
        <f ca="1">'Reconciliation report'!C95</f>
        <v xml:space="preserve">
Year 13
</v>
      </c>
      <c r="C100" s="387" t="str">
        <f ca="1">'Reconciliation report'!D95</f>
        <v/>
      </c>
      <c r="D100" s="387" t="str">
        <f t="shared" ca="1" si="1"/>
        <v/>
      </c>
    </row>
    <row r="101" spans="1:4" ht="46.5" hidden="1">
      <c r="A101" s="1" t="str">
        <f ca="1">HYPERLINK("#" &amp; 'Reconciliation report'!I96,'Reconciliation report'!F96)</f>
        <v>DRC 14.0</v>
      </c>
      <c r="B101" t="str">
        <f ca="1">'Reconciliation report'!C96</f>
        <v xml:space="preserve">
Year 14
</v>
      </c>
      <c r="C101" s="387" t="str">
        <f ca="1">'Reconciliation report'!D96</f>
        <v/>
      </c>
      <c r="D101" s="387" t="str">
        <f t="shared" ca="1" si="1"/>
        <v/>
      </c>
    </row>
    <row r="102" spans="1:4" ht="46.5" hidden="1">
      <c r="A102" s="1" t="str">
        <f ca="1">HYPERLINK("#" &amp; 'Reconciliation report'!I97,'Reconciliation report'!F97)</f>
        <v>DRC 15.0</v>
      </c>
      <c r="B102" t="str">
        <f ca="1">'Reconciliation report'!C97</f>
        <v xml:space="preserve">
Year 15
</v>
      </c>
      <c r="C102" s="387" t="str">
        <f ca="1">'Reconciliation report'!D97</f>
        <v/>
      </c>
      <c r="D102" s="387" t="str">
        <f t="shared" ca="1" si="1"/>
        <v/>
      </c>
    </row>
    <row r="103" spans="1:4" ht="46.5" hidden="1">
      <c r="A103" s="1" t="str">
        <f ca="1">HYPERLINK("#" &amp; 'Reconciliation report'!I98,'Reconciliation report'!F98)</f>
        <v>DRC 16.0</v>
      </c>
      <c r="B103" t="str">
        <f ca="1">'Reconciliation report'!C98</f>
        <v xml:space="preserve">
Year 16
</v>
      </c>
      <c r="C103" s="387" t="str">
        <f ca="1">'Reconciliation report'!D98</f>
        <v/>
      </c>
      <c r="D103" s="387" t="str">
        <f t="shared" ca="1" si="1"/>
        <v/>
      </c>
    </row>
    <row r="104" spans="1:4" ht="46.5" hidden="1">
      <c r="A104" s="1" t="str">
        <f ca="1">HYPERLINK("#" &amp; 'Reconciliation report'!I99,'Reconciliation report'!F99)</f>
        <v>DRC 17.0</v>
      </c>
      <c r="B104" t="str">
        <f ca="1">'Reconciliation report'!C99</f>
        <v xml:space="preserve">
Year 17
</v>
      </c>
      <c r="C104" s="387" t="str">
        <f ca="1">'Reconciliation report'!D99</f>
        <v/>
      </c>
      <c r="D104" s="387" t="str">
        <f t="shared" ca="1" si="1"/>
        <v/>
      </c>
    </row>
    <row r="105" spans="1:4" ht="46.5" hidden="1">
      <c r="A105" s="1" t="str">
        <f ca="1">HYPERLINK("#" &amp; 'Reconciliation report'!I100,'Reconciliation report'!F100)</f>
        <v>DRC 18.0</v>
      </c>
      <c r="B105" t="str">
        <f ca="1">'Reconciliation report'!C100</f>
        <v xml:space="preserve">
Year 18
</v>
      </c>
      <c r="C105" s="387" t="str">
        <f ca="1">'Reconciliation report'!D100</f>
        <v/>
      </c>
      <c r="D105" s="387" t="str">
        <f t="shared" ca="1" si="1"/>
        <v/>
      </c>
    </row>
    <row r="106" spans="1:4" ht="46.5" hidden="1">
      <c r="A106" s="1" t="str">
        <f ca="1">HYPERLINK("#" &amp; 'Reconciliation report'!I101,'Reconciliation report'!F101)</f>
        <v>DRC 19.0</v>
      </c>
      <c r="B106" t="str">
        <f ca="1">'Reconciliation report'!C101</f>
        <v xml:space="preserve">
Year 19
</v>
      </c>
      <c r="C106" s="387" t="str">
        <f ca="1">'Reconciliation report'!D101</f>
        <v/>
      </c>
      <c r="D106" s="387" t="str">
        <f t="shared" ca="1" si="1"/>
        <v/>
      </c>
    </row>
    <row r="107" spans="1:4" ht="46.5" hidden="1">
      <c r="A107" s="1" t="str">
        <f ca="1">HYPERLINK("#" &amp; 'Reconciliation report'!I102,'Reconciliation report'!F102)</f>
        <v>DRC 20.0</v>
      </c>
      <c r="B107" t="str">
        <f ca="1">'Reconciliation report'!C102</f>
        <v xml:space="preserve">
Year 20
</v>
      </c>
      <c r="C107" s="387" t="str">
        <f ca="1">'Reconciliation report'!D102</f>
        <v/>
      </c>
      <c r="D107" s="387" t="str">
        <f t="shared" ca="1" si="1"/>
        <v/>
      </c>
    </row>
    <row r="108" spans="1:4" ht="46.5" hidden="1">
      <c r="A108" s="1" t="str">
        <f ca="1">HYPERLINK("#" &amp; 'Reconciliation report'!I103,'Reconciliation report'!F103)</f>
        <v>DRC 21.0</v>
      </c>
      <c r="B108" t="str">
        <f ca="1">'Reconciliation report'!C103</f>
        <v xml:space="preserve">
Year 21+
</v>
      </c>
      <c r="C108" s="387" t="str">
        <f ca="1">'Reconciliation report'!D103</f>
        <v/>
      </c>
      <c r="D108" s="387" t="str">
        <f t="shared" ca="1" si="1"/>
        <v/>
      </c>
    </row>
    <row r="109" spans="1:4" ht="46.5" hidden="1">
      <c r="A109" s="1" t="str">
        <f ca="1">HYPERLINK("#" &amp; 'Reconciliation report'!I104,'Reconciliation report'!F104)</f>
        <v>DR 1.0</v>
      </c>
      <c r="B109" t="str">
        <f ca="1">'Reconciliation report'!C104</f>
        <v xml:space="preserve">
Are you providing yield curve information or a spot rate?
</v>
      </c>
      <c r="C109" s="387" t="str">
        <f ca="1">'Reconciliation report'!D104</f>
        <v/>
      </c>
      <c r="D109" s="387" t="str">
        <f t="shared" ca="1" si="1"/>
        <v/>
      </c>
    </row>
    <row r="110" spans="1:4" ht="139.5">
      <c r="A110" s="1" t="str">
        <f ca="1">HYPERLINK("#" &amp; 'Reconciliation report'!I105,'Reconciliation report'!F105)</f>
        <v>DR 2.0</v>
      </c>
      <c r="B110" t="str">
        <f ca="1">'Reconciliation report'!C105</f>
        <v xml:space="preserve">
What is the discount rate methodology used to calculate the technical provisions?
</v>
      </c>
      <c r="C110" s="387" t="str">
        <f ca="1">'Reconciliation report'!D105</f>
        <v xml:space="preserve">
Select one of the following options from the drop-down list.
- Pre and post retirement
- Horizon method
- Multiple horizon
- Dynamic
- Constant addition
- Other
</v>
      </c>
      <c r="D110" s="387" t="str">
        <f t="shared" ca="1" si="1"/>
        <v>Refresh the error report</v>
      </c>
    </row>
    <row r="111" spans="1:4" ht="62" hidden="1">
      <c r="A111" s="1" t="str">
        <f ca="1">HYPERLINK("#" &amp; 'Reconciliation report'!I106,'Reconciliation report'!F106)</f>
        <v>DR 3.0</v>
      </c>
      <c r="B111" t="str">
        <f ca="1">'Reconciliation report'!C106</f>
        <v xml:space="preserve">No answer required
Describe the discount rate methodology used.
</v>
      </c>
      <c r="C111" s="387" t="str">
        <f ca="1">'Reconciliation report'!D106</f>
        <v/>
      </c>
      <c r="D111" s="387" t="str">
        <f t="shared" ca="1" si="1"/>
        <v/>
      </c>
    </row>
    <row r="112" spans="1:4" ht="46.5" hidden="1">
      <c r="A112" s="1" t="str">
        <f ca="1">HYPERLINK("#" &amp; 'Reconciliation report'!I107,'Reconciliation report'!F107)</f>
        <v>DR 4.0</v>
      </c>
      <c r="B112" t="str">
        <f ca="1">'Reconciliation report'!C107</f>
        <v xml:space="preserve">
Briefly explain how the trustees expect the discount rate to change over time?
</v>
      </c>
      <c r="C112" s="387" t="str">
        <f ca="1">'Reconciliation report'!D107</f>
        <v/>
      </c>
      <c r="D112" s="387" t="str">
        <f t="shared" ca="1" si="1"/>
        <v/>
      </c>
    </row>
    <row r="113" spans="1:4" ht="139.5">
      <c r="A113" s="1" t="str">
        <f ca="1">HYPERLINK("#" &amp; 'Reconciliation report'!I108,'Reconciliation report'!F108)</f>
        <v>DR 5.0</v>
      </c>
      <c r="B113" t="str">
        <f ca="1">'Reconciliation report'!C108</f>
        <v xml:space="preserve">
How is the discount rate derived?
</v>
      </c>
      <c r="C113" s="387" t="str">
        <f ca="1">'Reconciliation report'!D108</f>
        <v xml:space="preserve">
Select one of the following options from the dropdown list.
• Applying a premium to gilt yields
• Applying a premium to swap yields
• Applying a premium to inflation yields
• Applying a premium to composite yields
• Other
</v>
      </c>
      <c r="D113" s="387" t="str">
        <f t="shared" ca="1" si="1"/>
        <v>Refresh the error report</v>
      </c>
    </row>
    <row r="114" spans="1:4" ht="62" hidden="1">
      <c r="A114" s="1" t="str">
        <f ca="1">HYPERLINK("#" &amp; 'Reconciliation report'!I109,'Reconciliation report'!F109)</f>
        <v>DR 6.0</v>
      </c>
      <c r="B114" t="str">
        <f ca="1">'Reconciliation report'!C109</f>
        <v xml:space="preserve">No answer required
Describe how the discount rate is derived
</v>
      </c>
      <c r="C114" s="387" t="str">
        <f ca="1">'Reconciliation report'!D109</f>
        <v/>
      </c>
      <c r="D114" s="387" t="str">
        <f t="shared" ca="1" si="1"/>
        <v/>
      </c>
    </row>
    <row r="115" spans="1:4" ht="77.5" hidden="1">
      <c r="A115" s="1" t="str">
        <f ca="1">HYPERLINK("#" &amp; 'Reconciliation report'!I110,'Reconciliation report'!F110)</f>
        <v>DR 7.0</v>
      </c>
      <c r="B115" t="str">
        <f ca="1">'Reconciliation report'!C110</f>
        <v xml:space="preserve">
No answer required
What is the spot rate associated with the underlying yield curve? (%)
</v>
      </c>
      <c r="C115" s="387" t="str">
        <f ca="1">'Reconciliation report'!D110</f>
        <v/>
      </c>
      <c r="D115" s="387" t="str">
        <f t="shared" ca="1" si="1"/>
        <v/>
      </c>
    </row>
    <row r="116" spans="1:4" ht="77.5" hidden="1">
      <c r="A116" s="1" t="str">
        <f ca="1">HYPERLINK("#" &amp; 'Reconciliation report'!I111,'Reconciliation report'!F111)</f>
        <v>DR 8.0</v>
      </c>
      <c r="B116" t="str">
        <f ca="1">'Reconciliation report'!C111</f>
        <v xml:space="preserve">
No answer required
At what date does the discount rate premium apply under a horizon method?
</v>
      </c>
      <c r="C116" s="387" t="str">
        <f ca="1">'Reconciliation report'!D111</f>
        <v/>
      </c>
      <c r="D116" s="387" t="str">
        <f t="shared" ca="1" si="1"/>
        <v/>
      </c>
    </row>
    <row r="117" spans="1:4" ht="93" hidden="1">
      <c r="A117" s="1" t="str">
        <f ca="1">HYPERLINK("#" &amp; 'Reconciliation report'!I112,'Reconciliation report'!F112)</f>
        <v>DR 9.0</v>
      </c>
      <c r="B117" t="str">
        <f ca="1">'Reconciliation report'!C112</f>
        <v xml:space="preserve">
No answer required
What are the pre-horizon discount rate premiums on a technical provisions basis? (%)
</v>
      </c>
      <c r="C117" s="387" t="str">
        <f ca="1">'Reconciliation report'!D112</f>
        <v/>
      </c>
      <c r="D117" s="387" t="str">
        <f t="shared" ca="1" si="1"/>
        <v/>
      </c>
    </row>
    <row r="118" spans="1:4" ht="93" hidden="1">
      <c r="A118" s="1" t="str">
        <f ca="1">HYPERLINK("#" &amp; 'Reconciliation report'!I113,'Reconciliation report'!F113)</f>
        <v>DR 10.0</v>
      </c>
      <c r="B118" t="str">
        <f ca="1">'Reconciliation report'!C113</f>
        <v xml:space="preserve">
No answer required
What is the post-horizon date discount rate premium on a technical provisions basis? (%)
</v>
      </c>
      <c r="C118" s="387" t="str">
        <f ca="1">'Reconciliation report'!D113</f>
        <v/>
      </c>
      <c r="D118" s="387" t="str">
        <f t="shared" ca="1" si="1"/>
        <v/>
      </c>
    </row>
    <row r="119" spans="1:4" ht="77.5" hidden="1">
      <c r="A119" s="1" t="str">
        <f ca="1">HYPERLINK("#" &amp; 'Reconciliation report'!I114,'Reconciliation report'!F114)</f>
        <v>DR 11.0</v>
      </c>
      <c r="B119" t="str">
        <f ca="1">'Reconciliation report'!C114</f>
        <v xml:space="preserve">
No answer required
What is the discount rate premium on a low-dependency basis? (%)
</v>
      </c>
      <c r="C119" s="387" t="str">
        <f ca="1">'Reconciliation report'!D114</f>
        <v/>
      </c>
      <c r="D119" s="387" t="str">
        <f t="shared" ca="1" si="1"/>
        <v/>
      </c>
    </row>
    <row r="120" spans="1:4" ht="93" hidden="1">
      <c r="A120" s="1" t="str">
        <f ca="1">HYPERLINK("#" &amp; 'Reconciliation report'!I115,'Reconciliation report'!F115)</f>
        <v>DR 12.0</v>
      </c>
      <c r="B120" t="str">
        <f ca="1">'Reconciliation report'!C115</f>
        <v xml:space="preserve">
No answer required
What is the single equivalent discount rate premium on a technical provisions basis? (%)
</v>
      </c>
      <c r="C120" s="387" t="str">
        <f ca="1">'Reconciliation report'!D115</f>
        <v/>
      </c>
      <c r="D120" s="387" t="str">
        <f t="shared" ca="1" si="1"/>
        <v/>
      </c>
    </row>
    <row r="121" spans="1:4" ht="93" hidden="1">
      <c r="A121" s="1" t="str">
        <f ca="1">HYPERLINK("#" &amp; 'Reconciliation report'!I116,'Reconciliation report'!F116)</f>
        <v>DR 13.0</v>
      </c>
      <c r="B121" t="str">
        <f ca="1">'Reconciliation report'!C116</f>
        <v xml:space="preserve">
No answer required
What is the pre-retirement discount rate premium on a technical provisions basis? (%)
</v>
      </c>
      <c r="C121" s="387" t="str">
        <f ca="1">'Reconciliation report'!D116</f>
        <v/>
      </c>
      <c r="D121" s="387" t="str">
        <f t="shared" ca="1" si="1"/>
        <v/>
      </c>
    </row>
    <row r="122" spans="1:4" ht="93" hidden="1">
      <c r="A122" s="1" t="str">
        <f ca="1">HYPERLINK("#" &amp; 'Reconciliation report'!I117,'Reconciliation report'!F117)</f>
        <v>DR 14.0</v>
      </c>
      <c r="B122" t="str">
        <f ca="1">'Reconciliation report'!C117</f>
        <v xml:space="preserve">
No answer required
What is the post-retirement discount rate premium on a technical provisions basis? (%)
</v>
      </c>
      <c r="C122" s="387" t="str">
        <f ca="1">'Reconciliation report'!D117</f>
        <v/>
      </c>
      <c r="D122" s="387" t="str">
        <f t="shared" ca="1" si="1"/>
        <v/>
      </c>
    </row>
    <row r="123" spans="1:4" ht="93" hidden="1">
      <c r="A123" s="1" t="str">
        <f ca="1">HYPERLINK("#" &amp; 'Reconciliation report'!I118,'Reconciliation report'!F118)</f>
        <v>DR 15.0</v>
      </c>
      <c r="B123" t="str">
        <f ca="1">'Reconciliation report'!C118</f>
        <v xml:space="preserve">
No answer required
What is the current pensioner discount rate premium on a technical provisions basis? (%)
</v>
      </c>
      <c r="C123" s="387" t="str">
        <f ca="1">'Reconciliation report'!D118</f>
        <v/>
      </c>
      <c r="D123" s="387" t="str">
        <f t="shared" ca="1" si="1"/>
        <v/>
      </c>
    </row>
    <row r="124" spans="1:4" ht="62">
      <c r="A124" s="1" t="str">
        <f ca="1">HYPERLINK("#" &amp; 'Reconciliation report'!I119,'Reconciliation report'!F119)</f>
        <v>OAS 1.0</v>
      </c>
      <c r="B124" t="str">
        <f ca="1">'Reconciliation report'!C119</f>
        <v xml:space="preserve">
Is any benefit revaluation or indexation linked to inflation?
</v>
      </c>
      <c r="C124" s="387" t="str">
        <f ca="1">'Reconciliation report'!D119</f>
        <v xml:space="preserve">
Select the option from the drop down list that describes whether any benefit revaluation or indexation is linked to inflation.
</v>
      </c>
      <c r="D124" s="387" t="str">
        <f t="shared" ca="1" si="1"/>
        <v>Refresh the error report</v>
      </c>
    </row>
    <row r="125" spans="1:4" ht="62" hidden="1">
      <c r="A125" s="1" t="str">
        <f ca="1">HYPERLINK("#" &amp; 'Reconciliation report'!I120,'Reconciliation report'!F120)</f>
        <v>OAS 2.0</v>
      </c>
      <c r="B125" t="str">
        <f ca="1">'Reconciliation report'!C120</f>
        <v xml:space="preserve">No answer required
What is the single equivalent RPI assumption?
</v>
      </c>
      <c r="C125" s="387" t="str">
        <f ca="1">'Reconciliation report'!D120</f>
        <v/>
      </c>
      <c r="D125" s="387" t="str">
        <f t="shared" ca="1" si="1"/>
        <v/>
      </c>
    </row>
    <row r="126" spans="1:4" ht="62" hidden="1">
      <c r="A126" s="1" t="str">
        <f ca="1">HYPERLINK("#" &amp; 'Reconciliation report'!I121,'Reconciliation report'!F121)</f>
        <v>OAS 3.0</v>
      </c>
      <c r="B126" t="str">
        <f ca="1">'Reconciliation report'!C121</f>
        <v xml:space="preserve">No answer required
What is the single equivalent CPI assumption?
</v>
      </c>
      <c r="C126" s="387" t="str">
        <f ca="1">'Reconciliation report'!D121</f>
        <v/>
      </c>
      <c r="D126" s="387" t="str">
        <f t="shared" ca="1" si="1"/>
        <v/>
      </c>
    </row>
    <row r="127" spans="1:4" ht="46.5">
      <c r="A127" s="1" t="str">
        <f ca="1">HYPERLINK("#" &amp; 'Reconciliation report'!I122,'Reconciliation report'!F122)</f>
        <v>OAS 4.0</v>
      </c>
      <c r="B127" t="str">
        <f ca="1">'Reconciliation report'!C122</f>
        <v xml:space="preserve">
Do any benefits have a salary link?
</v>
      </c>
      <c r="C127" s="387" t="str">
        <f ca="1">'Reconciliation report'!D122</f>
        <v xml:space="preserve">
Select ‘Yes' if some benefits have a salary link or ‘No' if they do not.
</v>
      </c>
      <c r="D127" s="387" t="str">
        <f t="shared" ca="1" si="1"/>
        <v>Refresh the error report</v>
      </c>
    </row>
    <row r="128" spans="1:4" ht="62" hidden="1">
      <c r="A128" s="1" t="str">
        <f ca="1">HYPERLINK("#" &amp; 'Reconciliation report'!I123,'Reconciliation report'!F123)</f>
        <v>OAS 5.0</v>
      </c>
      <c r="B128" t="str">
        <f ca="1">'Reconciliation report'!C123</f>
        <v xml:space="preserve">No answer required
Pay increases: active members (excluding promotional scale).
</v>
      </c>
      <c r="C128" s="387" t="str">
        <f ca="1">'Reconciliation report'!D123</f>
        <v/>
      </c>
      <c r="D128" s="387" t="str">
        <f t="shared" ca="1" si="1"/>
        <v/>
      </c>
    </row>
    <row r="129" spans="1:4" ht="62">
      <c r="A129" s="1" t="str">
        <f ca="1">HYPERLINK("#" &amp; 'Reconciliation report'!I124,'Reconciliation report'!F124)</f>
        <v>OAS 6.0</v>
      </c>
      <c r="B129" t="str">
        <f ca="1">'Reconciliation report'!C124</f>
        <v xml:space="preserve">
Has allowance been made for pensions to be commuted for tax-free cash on retirement within the calculation of technical provisions?
</v>
      </c>
      <c r="C129" s="387" t="str">
        <f ca="1">'Reconciliation report'!D124</f>
        <v xml:space="preserve">
Select ‘Yes' if allowance has been made for pensions to be commuted for tax-free cash on retirement within the calculation of technical provisions’ or ‘No' if it has not.
</v>
      </c>
      <c r="D129" s="387" t="str">
        <f t="shared" ca="1" si="1"/>
        <v>Refresh the error report</v>
      </c>
    </row>
    <row r="130" spans="1:4" ht="77.5" hidden="1">
      <c r="A130" s="1" t="str">
        <f ca="1">HYPERLINK("#" &amp; 'Reconciliation report'!I125,'Reconciliation report'!F125)</f>
        <v>OAS 7.0</v>
      </c>
      <c r="B130" t="str">
        <f ca="1">'Reconciliation report'!C125</f>
        <v xml:space="preserve">
No answer required
What is the assumed increase in the technical provisions liabilities if there were no allowance for commutation? (£)</v>
      </c>
      <c r="C130" s="387" t="str">
        <f ca="1">'Reconciliation report'!D125</f>
        <v/>
      </c>
      <c r="D130" s="387" t="str">
        <f t="shared" ca="1" si="1"/>
        <v/>
      </c>
    </row>
    <row r="131" spans="1:4" ht="62">
      <c r="A131" s="1" t="str">
        <f ca="1">HYPERLINK("#" &amp; 'Reconciliation report'!I126,'Reconciliation report'!F126)</f>
        <v>OAS 8.0</v>
      </c>
      <c r="B131" t="str">
        <f ca="1">'Reconciliation report'!C126</f>
        <v xml:space="preserve">
What is the male cohort expected age of death, for current pensioners aged 65 at valuation date on a technical provisions basis?
</v>
      </c>
      <c r="C131" s="387" t="str">
        <f ca="1">'Reconciliation report'!D126</f>
        <v xml:space="preserve">
Enter a number between 65 and 125 to 1 decimal place.
</v>
      </c>
      <c r="D131" s="387" t="str">
        <f t="shared" ca="1" si="1"/>
        <v>Refresh the error report</v>
      </c>
    </row>
    <row r="132" spans="1:4" ht="62">
      <c r="A132" s="1" t="str">
        <f ca="1">HYPERLINK("#" &amp; 'Reconciliation report'!I127,'Reconciliation report'!F127)</f>
        <v>OAS 9.0</v>
      </c>
      <c r="B132" t="str">
        <f ca="1">'Reconciliation report'!C127</f>
        <v xml:space="preserve">
What is the female cohort expected age of death, for current pensioners aged 65 at valuation date on a technical provisions basis?
</v>
      </c>
      <c r="C132" s="387" t="str">
        <f ca="1">'Reconciliation report'!D127</f>
        <v xml:space="preserve">
Enter a number between 65 and 125 to 1 decimal place.
</v>
      </c>
      <c r="D132" s="387" t="str">
        <f t="shared" ca="1" si="1"/>
        <v>Refresh the error report</v>
      </c>
    </row>
    <row r="133" spans="1:4" ht="62">
      <c r="A133" s="1" t="str">
        <f ca="1">HYPERLINK("#" &amp; 'Reconciliation report'!I128,'Reconciliation report'!F128)</f>
        <v>OAS 10.0</v>
      </c>
      <c r="B133" t="str">
        <f ca="1">'Reconciliation report'!C128</f>
        <v xml:space="preserve">
What is the male cohort expected age of death, for future pensioners aged 45 at valuation date on a technical provisions basis, assuming they survive to age 65?
</v>
      </c>
      <c r="C133" s="387" t="str">
        <f ca="1">'Reconciliation report'!D128</f>
        <v xml:space="preserve">
Enter a number between 65 and 125 to 1 decimal place.
</v>
      </c>
      <c r="D133" s="387" t="str">
        <f t="shared" ca="1" si="1"/>
        <v>Refresh the error report</v>
      </c>
    </row>
    <row r="134" spans="1:4" ht="62">
      <c r="A134" s="1" t="str">
        <f ca="1">HYPERLINK("#" &amp; 'Reconciliation report'!I129,'Reconciliation report'!F129)</f>
        <v>OAS 11.0</v>
      </c>
      <c r="B134" t="str">
        <f ca="1">'Reconciliation report'!C129</f>
        <v xml:space="preserve">
What is the female cohort expected age of death, for future pensioners aged 45 at valuation date on a technical provisions basis, assuming they survive to age 65?
</v>
      </c>
      <c r="C134" s="387" t="str">
        <f ca="1">'Reconciliation report'!D129</f>
        <v xml:space="preserve">
Enter a number between 65 and 125 to 1 decimal place.
</v>
      </c>
      <c r="D134" s="387" t="str">
        <f t="shared" ca="1" si="1"/>
        <v>Refresh the error report</v>
      </c>
    </row>
    <row r="135" spans="1:4" ht="62">
      <c r="A135" s="1" t="str">
        <f ca="1">HYPERLINK("#" &amp; 'Reconciliation report'!I130,'Reconciliation report'!F130)</f>
        <v>OAS 12.0</v>
      </c>
      <c r="B135" t="str">
        <f ca="1">'Reconciliation report'!C130</f>
        <v xml:space="preserve">
Is the technical provisions basis the same as the low dependency basis in all aspects?
</v>
      </c>
      <c r="C135" s="387" t="str">
        <f ca="1">'Reconciliation report'!D130</f>
        <v xml:space="preserve">
Select ‘Yes' if the technical provisions basis is the same as the low dependency basis in all respects and ‘No' if it is not.
</v>
      </c>
      <c r="D135" s="387" t="str">
        <f t="shared" ref="D135:D198" ca="1" si="2">IFERROR(IF(LEN(TRIM(CLEAN(C135))) &gt; 0, "Refresh the error report", ""), "")</f>
        <v>Refresh the error report</v>
      </c>
    </row>
    <row r="136" spans="1:4" ht="62" hidden="1">
      <c r="A136" s="1" t="str">
        <f ca="1">HYPERLINK("#" &amp; 'Reconciliation report'!I131,'Reconciliation report'!F131)</f>
        <v>OAS 13.0</v>
      </c>
      <c r="B136" t="str">
        <f ca="1">'Reconciliation report'!C131</f>
        <v xml:space="preserve">
Has the same underlying yield curve been used for the low dependency basis and the technical provisions basis?
</v>
      </c>
      <c r="C136" s="387" t="str">
        <f ca="1">'Reconciliation report'!D131</f>
        <v/>
      </c>
      <c r="D136" s="387" t="str">
        <f t="shared" ca="1" si="2"/>
        <v/>
      </c>
    </row>
    <row r="137" spans="1:4" ht="62" hidden="1">
      <c r="A137" s="1" t="str">
        <f ca="1">HYPERLINK("#" &amp; 'Reconciliation report'!I132,'Reconciliation report'!F132)</f>
        <v>OAS 14.0</v>
      </c>
      <c r="B137" t="str">
        <f ca="1">'Reconciliation report'!C132</f>
        <v xml:space="preserve">
Excluding discount rates, is your technical provisions basis the same as your low dependency funding basis?
</v>
      </c>
      <c r="C137" s="387" t="str">
        <f ca="1">'Reconciliation report'!D132</f>
        <v/>
      </c>
      <c r="D137" s="387" t="str">
        <f t="shared" ca="1" si="2"/>
        <v/>
      </c>
    </row>
    <row r="138" spans="1:4" ht="93" hidden="1">
      <c r="A138" s="1" t="str">
        <f ca="1">HYPERLINK("#" &amp; 'Reconciliation report'!I133,'Reconciliation report'!F133)</f>
        <v>OAS 15.0</v>
      </c>
      <c r="B138" t="str">
        <f ca="1">'Reconciliation report'!C133</f>
        <v xml:space="preserve">
No answer required
Explain the differences between the technical provisions assumptions and the low dependency assumptions (with the exception of discount rate premiums).
</v>
      </c>
      <c r="C138" s="387" t="str">
        <f ca="1">'Reconciliation report'!D133</f>
        <v/>
      </c>
      <c r="D138" s="387" t="str">
        <f t="shared" ca="1" si="2"/>
        <v/>
      </c>
    </row>
    <row r="139" spans="1:4" hidden="1">
      <c r="A139" s="1" t="str">
        <f ca="1">HYPERLINK("#" &amp; 'Reconciliation report'!I134,'Reconciliation report'!F134)</f>
        <v>FYA 1.0</v>
      </c>
      <c r="B139" t="str">
        <f ca="1">'Reconciliation report'!C134</f>
        <v>Year 1</v>
      </c>
      <c r="C139" s="387" t="str">
        <f ca="1">'Reconciliation report'!D134</f>
        <v/>
      </c>
      <c r="D139" s="387" t="str">
        <f t="shared" ca="1" si="2"/>
        <v/>
      </c>
    </row>
    <row r="140" spans="1:4" hidden="1">
      <c r="A140" s="1" t="str">
        <f ca="1">HYPERLINK("#" &amp; 'Reconciliation report'!I135,'Reconciliation report'!F135)</f>
        <v>FYA 2.0</v>
      </c>
      <c r="B140" t="str">
        <f ca="1">'Reconciliation report'!C135</f>
        <v>Year 2</v>
      </c>
      <c r="C140" s="387" t="str">
        <f ca="1">'Reconciliation report'!D135</f>
        <v/>
      </c>
      <c r="D140" s="387" t="str">
        <f t="shared" ca="1" si="2"/>
        <v/>
      </c>
    </row>
    <row r="141" spans="1:4" hidden="1">
      <c r="A141" s="1" t="str">
        <f ca="1">HYPERLINK("#" &amp; 'Reconciliation report'!I136,'Reconciliation report'!F136)</f>
        <v>FYA 3.0</v>
      </c>
      <c r="B141" t="str">
        <f ca="1">'Reconciliation report'!C136</f>
        <v>Year 3</v>
      </c>
      <c r="C141" s="387" t="str">
        <f ca="1">'Reconciliation report'!D136</f>
        <v/>
      </c>
      <c r="D141" s="387" t="str">
        <f t="shared" ca="1" si="2"/>
        <v/>
      </c>
    </row>
    <row r="142" spans="1:4" hidden="1">
      <c r="A142" s="1" t="str">
        <f ca="1">HYPERLINK("#" &amp; 'Reconciliation report'!I137,'Reconciliation report'!F137)</f>
        <v>FYA 4.0</v>
      </c>
      <c r="B142" t="str">
        <f ca="1">'Reconciliation report'!C137</f>
        <v>Year 4</v>
      </c>
      <c r="C142" s="387" t="str">
        <f ca="1">'Reconciliation report'!D137</f>
        <v/>
      </c>
      <c r="D142" s="387" t="str">
        <f t="shared" ca="1" si="2"/>
        <v/>
      </c>
    </row>
    <row r="143" spans="1:4" hidden="1">
      <c r="A143" s="1" t="str">
        <f ca="1">HYPERLINK("#" &amp; 'Reconciliation report'!I138,'Reconciliation report'!F138)</f>
        <v>FYA 5.0</v>
      </c>
      <c r="B143" t="str">
        <f ca="1">'Reconciliation report'!C138</f>
        <v>Year 5</v>
      </c>
      <c r="C143" s="387" t="str">
        <f ca="1">'Reconciliation report'!D138</f>
        <v/>
      </c>
      <c r="D143" s="387" t="str">
        <f t="shared" ca="1" si="2"/>
        <v/>
      </c>
    </row>
    <row r="144" spans="1:4" hidden="1">
      <c r="A144" s="1" t="str">
        <f ca="1">HYPERLINK("#" &amp; 'Reconciliation report'!I139,'Reconciliation report'!F139)</f>
        <v>FYA 6.0</v>
      </c>
      <c r="B144" t="str">
        <f ca="1">'Reconciliation report'!C139</f>
        <v>Year 6</v>
      </c>
      <c r="C144" s="387" t="str">
        <f ca="1">'Reconciliation report'!D139</f>
        <v/>
      </c>
      <c r="D144" s="387" t="str">
        <f t="shared" ca="1" si="2"/>
        <v/>
      </c>
    </row>
    <row r="145" spans="1:4" hidden="1">
      <c r="A145" s="1" t="str">
        <f ca="1">HYPERLINK("#" &amp; 'Reconciliation report'!I140,'Reconciliation report'!F140)</f>
        <v>FYA 7.0</v>
      </c>
      <c r="B145" t="str">
        <f ca="1">'Reconciliation report'!C140</f>
        <v>Year 7</v>
      </c>
      <c r="C145" s="387" t="str">
        <f ca="1">'Reconciliation report'!D140</f>
        <v/>
      </c>
      <c r="D145" s="387" t="str">
        <f t="shared" ca="1" si="2"/>
        <v/>
      </c>
    </row>
    <row r="146" spans="1:4" hidden="1">
      <c r="A146" s="1" t="str">
        <f ca="1">HYPERLINK("#" &amp; 'Reconciliation report'!I141,'Reconciliation report'!F141)</f>
        <v>FYA 8.0</v>
      </c>
      <c r="B146" t="str">
        <f ca="1">'Reconciliation report'!C141</f>
        <v>Year 8</v>
      </c>
      <c r="C146" s="387" t="str">
        <f ca="1">'Reconciliation report'!D141</f>
        <v/>
      </c>
      <c r="D146" s="387" t="str">
        <f t="shared" ca="1" si="2"/>
        <v/>
      </c>
    </row>
    <row r="147" spans="1:4" hidden="1">
      <c r="A147" s="1" t="str">
        <f ca="1">HYPERLINK("#" &amp; 'Reconciliation report'!I142,'Reconciliation report'!F142)</f>
        <v>FYA 9.0</v>
      </c>
      <c r="B147" t="str">
        <f ca="1">'Reconciliation report'!C142</f>
        <v>Year 9</v>
      </c>
      <c r="C147" s="387" t="str">
        <f ca="1">'Reconciliation report'!D142</f>
        <v/>
      </c>
      <c r="D147" s="387" t="str">
        <f t="shared" ca="1" si="2"/>
        <v/>
      </c>
    </row>
    <row r="148" spans="1:4" hidden="1">
      <c r="A148" s="1" t="str">
        <f ca="1">HYPERLINK("#" &amp; 'Reconciliation report'!I143,'Reconciliation report'!F143)</f>
        <v>FYA 10.0</v>
      </c>
      <c r="B148" t="str">
        <f ca="1">'Reconciliation report'!C143</f>
        <v>Year 10</v>
      </c>
      <c r="C148" s="387" t="str">
        <f ca="1">'Reconciliation report'!D143</f>
        <v/>
      </c>
      <c r="D148" s="387" t="str">
        <f t="shared" ca="1" si="2"/>
        <v/>
      </c>
    </row>
    <row r="149" spans="1:4" hidden="1">
      <c r="A149" s="1" t="str">
        <f ca="1">HYPERLINK("#" &amp; 'Reconciliation report'!I144,'Reconciliation report'!F144)</f>
        <v>FYA 11.0</v>
      </c>
      <c r="B149" t="str">
        <f ca="1">'Reconciliation report'!C144</f>
        <v>Year 11</v>
      </c>
      <c r="C149" s="387" t="str">
        <f ca="1">'Reconciliation report'!D144</f>
        <v/>
      </c>
      <c r="D149" s="387" t="str">
        <f t="shared" ca="1" si="2"/>
        <v/>
      </c>
    </row>
    <row r="150" spans="1:4" hidden="1">
      <c r="A150" s="1" t="str">
        <f ca="1">HYPERLINK("#" &amp; 'Reconciliation report'!I145,'Reconciliation report'!F145)</f>
        <v>FYA 12.0</v>
      </c>
      <c r="B150" t="str">
        <f ca="1">'Reconciliation report'!C145</f>
        <v>Year 12</v>
      </c>
      <c r="C150" s="387" t="str">
        <f ca="1">'Reconciliation report'!D145</f>
        <v/>
      </c>
      <c r="D150" s="387" t="str">
        <f t="shared" ca="1" si="2"/>
        <v/>
      </c>
    </row>
    <row r="151" spans="1:4" hidden="1">
      <c r="A151" s="1" t="str">
        <f ca="1">HYPERLINK("#" &amp; 'Reconciliation report'!I146,'Reconciliation report'!F146)</f>
        <v>FYA 13.0</v>
      </c>
      <c r="B151" t="str">
        <f ca="1">'Reconciliation report'!C146</f>
        <v>Year 13</v>
      </c>
      <c r="C151" s="387" t="str">
        <f ca="1">'Reconciliation report'!D146</f>
        <v/>
      </c>
      <c r="D151" s="387" t="str">
        <f t="shared" ca="1" si="2"/>
        <v/>
      </c>
    </row>
    <row r="152" spans="1:4" hidden="1">
      <c r="A152" s="1" t="str">
        <f ca="1">HYPERLINK("#" &amp; 'Reconciliation report'!I147,'Reconciliation report'!F147)</f>
        <v>FYA 14.0</v>
      </c>
      <c r="B152" t="str">
        <f ca="1">'Reconciliation report'!C147</f>
        <v>Year 14</v>
      </c>
      <c r="C152" s="387" t="str">
        <f ca="1">'Reconciliation report'!D147</f>
        <v/>
      </c>
      <c r="D152" s="387" t="str">
        <f t="shared" ca="1" si="2"/>
        <v/>
      </c>
    </row>
    <row r="153" spans="1:4" hidden="1">
      <c r="A153" s="1" t="str">
        <f ca="1">HYPERLINK("#" &amp; 'Reconciliation report'!I148,'Reconciliation report'!F148)</f>
        <v>FYA 15.0</v>
      </c>
      <c r="B153" t="str">
        <f ca="1">'Reconciliation report'!C148</f>
        <v>Year 15</v>
      </c>
      <c r="C153" s="387" t="str">
        <f ca="1">'Reconciliation report'!D148</f>
        <v/>
      </c>
      <c r="D153" s="387" t="str">
        <f t="shared" ca="1" si="2"/>
        <v/>
      </c>
    </row>
    <row r="154" spans="1:4" hidden="1">
      <c r="A154" s="1" t="str">
        <f ca="1">HYPERLINK("#" &amp; 'Reconciliation report'!I149,'Reconciliation report'!F149)</f>
        <v>FYA 16.0</v>
      </c>
      <c r="B154" t="str">
        <f ca="1">'Reconciliation report'!C149</f>
        <v>Year 16</v>
      </c>
      <c r="C154" s="387" t="str">
        <f ca="1">'Reconciliation report'!D149</f>
        <v/>
      </c>
      <c r="D154" s="387" t="str">
        <f t="shared" ca="1" si="2"/>
        <v/>
      </c>
    </row>
    <row r="155" spans="1:4" hidden="1">
      <c r="A155" s="1" t="str">
        <f ca="1">HYPERLINK("#" &amp; 'Reconciliation report'!I150,'Reconciliation report'!F150)</f>
        <v>FYA 17.0</v>
      </c>
      <c r="B155" t="str">
        <f ca="1">'Reconciliation report'!C150</f>
        <v>Year 17</v>
      </c>
      <c r="C155" s="387" t="str">
        <f ca="1">'Reconciliation report'!D150</f>
        <v/>
      </c>
      <c r="D155" s="387" t="str">
        <f t="shared" ca="1" si="2"/>
        <v/>
      </c>
    </row>
    <row r="156" spans="1:4" hidden="1">
      <c r="A156" s="1" t="str">
        <f ca="1">HYPERLINK("#" &amp; 'Reconciliation report'!I151,'Reconciliation report'!F151)</f>
        <v>FYA 18.0</v>
      </c>
      <c r="B156" t="str">
        <f ca="1">'Reconciliation report'!C151</f>
        <v>Year 18</v>
      </c>
      <c r="C156" s="387" t="str">
        <f ca="1">'Reconciliation report'!D151</f>
        <v/>
      </c>
      <c r="D156" s="387" t="str">
        <f t="shared" ca="1" si="2"/>
        <v/>
      </c>
    </row>
    <row r="157" spans="1:4" hidden="1">
      <c r="A157" s="1" t="str">
        <f ca="1">HYPERLINK("#" &amp; 'Reconciliation report'!I152,'Reconciliation report'!F152)</f>
        <v>FYA 19.0</v>
      </c>
      <c r="B157" t="str">
        <f ca="1">'Reconciliation report'!C152</f>
        <v>Year 19</v>
      </c>
      <c r="C157" s="387" t="str">
        <f ca="1">'Reconciliation report'!D152</f>
        <v/>
      </c>
      <c r="D157" s="387" t="str">
        <f t="shared" ca="1" si="2"/>
        <v/>
      </c>
    </row>
    <row r="158" spans="1:4" hidden="1">
      <c r="A158" s="1" t="str">
        <f ca="1">HYPERLINK("#" &amp; 'Reconciliation report'!I153,'Reconciliation report'!F153)</f>
        <v>FYA 20.0</v>
      </c>
      <c r="B158" t="str">
        <f ca="1">'Reconciliation report'!C153</f>
        <v>Year 20</v>
      </c>
      <c r="C158" s="387" t="str">
        <f ca="1">'Reconciliation report'!D153</f>
        <v/>
      </c>
      <c r="D158" s="387" t="str">
        <f t="shared" ca="1" si="2"/>
        <v/>
      </c>
    </row>
    <row r="159" spans="1:4" hidden="1">
      <c r="A159" s="1" t="str">
        <f ca="1">HYPERLINK("#" &amp; 'Reconciliation report'!I154,'Reconciliation report'!F154)</f>
        <v>FYA 21.0</v>
      </c>
      <c r="B159" t="str">
        <f ca="1">'Reconciliation report'!C154</f>
        <v>Year 21</v>
      </c>
      <c r="C159" s="387" t="str">
        <f ca="1">'Reconciliation report'!D154</f>
        <v/>
      </c>
      <c r="D159" s="387" t="str">
        <f t="shared" ca="1" si="2"/>
        <v/>
      </c>
    </row>
    <row r="160" spans="1:4" hidden="1">
      <c r="A160" s="1" t="str">
        <f ca="1">HYPERLINK("#" &amp; 'Reconciliation report'!I155,'Reconciliation report'!F155)</f>
        <v>FYA 22.0</v>
      </c>
      <c r="B160" t="str">
        <f ca="1">'Reconciliation report'!C155</f>
        <v>Year 22</v>
      </c>
      <c r="C160" s="387" t="str">
        <f ca="1">'Reconciliation report'!D155</f>
        <v/>
      </c>
      <c r="D160" s="387" t="str">
        <f t="shared" ca="1" si="2"/>
        <v/>
      </c>
    </row>
    <row r="161" spans="1:4" hidden="1">
      <c r="A161" s="1" t="str">
        <f ca="1">HYPERLINK("#" &amp; 'Reconciliation report'!I156,'Reconciliation report'!F156)</f>
        <v>FYA 23.0</v>
      </c>
      <c r="B161" t="str">
        <f ca="1">'Reconciliation report'!C156</f>
        <v>Year 23</v>
      </c>
      <c r="C161" s="387" t="str">
        <f ca="1">'Reconciliation report'!D156</f>
        <v/>
      </c>
      <c r="D161" s="387" t="str">
        <f t="shared" ca="1" si="2"/>
        <v/>
      </c>
    </row>
    <row r="162" spans="1:4" hidden="1">
      <c r="A162" s="1" t="str">
        <f ca="1">HYPERLINK("#" &amp; 'Reconciliation report'!I157,'Reconciliation report'!F157)</f>
        <v>FYA 24.0</v>
      </c>
      <c r="B162" t="str">
        <f ca="1">'Reconciliation report'!C157</f>
        <v>Year 24</v>
      </c>
      <c r="C162" s="387" t="str">
        <f ca="1">'Reconciliation report'!D157</f>
        <v/>
      </c>
      <c r="D162" s="387" t="str">
        <f t="shared" ca="1" si="2"/>
        <v/>
      </c>
    </row>
    <row r="163" spans="1:4" hidden="1">
      <c r="A163" s="1" t="str">
        <f ca="1">HYPERLINK("#" &amp; 'Reconciliation report'!I158,'Reconciliation report'!F158)</f>
        <v>FYA 25.0</v>
      </c>
      <c r="B163" t="str">
        <f ca="1">'Reconciliation report'!C158</f>
        <v>Year 25</v>
      </c>
      <c r="C163" s="387" t="str">
        <f ca="1">'Reconciliation report'!D158</f>
        <v/>
      </c>
      <c r="D163" s="387" t="str">
        <f t="shared" ca="1" si="2"/>
        <v/>
      </c>
    </row>
    <row r="164" spans="1:4" hidden="1">
      <c r="A164" s="1" t="str">
        <f ca="1">HYPERLINK("#" &amp; 'Reconciliation report'!I159,'Reconciliation report'!F159)</f>
        <v>FYA 26.0</v>
      </c>
      <c r="B164" t="str">
        <f ca="1">'Reconciliation report'!C159</f>
        <v>Year 26</v>
      </c>
      <c r="C164" s="387" t="str">
        <f ca="1">'Reconciliation report'!D159</f>
        <v/>
      </c>
      <c r="D164" s="387" t="str">
        <f t="shared" ca="1" si="2"/>
        <v/>
      </c>
    </row>
    <row r="165" spans="1:4" hidden="1">
      <c r="A165" s="1" t="str">
        <f ca="1">HYPERLINK("#" &amp; 'Reconciliation report'!I160,'Reconciliation report'!F160)</f>
        <v>FYA 27.0</v>
      </c>
      <c r="B165" t="str">
        <f ca="1">'Reconciliation report'!C160</f>
        <v>Year 27</v>
      </c>
      <c r="C165" s="387" t="str">
        <f ca="1">'Reconciliation report'!D160</f>
        <v/>
      </c>
      <c r="D165" s="387" t="str">
        <f t="shared" ca="1" si="2"/>
        <v/>
      </c>
    </row>
    <row r="166" spans="1:4" hidden="1">
      <c r="A166" s="1" t="str">
        <f ca="1">HYPERLINK("#" &amp; 'Reconciliation report'!I161,'Reconciliation report'!F161)</f>
        <v>FYA 28.0</v>
      </c>
      <c r="B166" t="str">
        <f ca="1">'Reconciliation report'!C161</f>
        <v>Year 28</v>
      </c>
      <c r="C166" s="387" t="str">
        <f ca="1">'Reconciliation report'!D161</f>
        <v/>
      </c>
      <c r="D166" s="387" t="str">
        <f t="shared" ca="1" si="2"/>
        <v/>
      </c>
    </row>
    <row r="167" spans="1:4" hidden="1">
      <c r="A167" s="1" t="str">
        <f ca="1">HYPERLINK("#" &amp; 'Reconciliation report'!I162,'Reconciliation report'!F162)</f>
        <v>FYA 29.0</v>
      </c>
      <c r="B167" t="str">
        <f ca="1">'Reconciliation report'!C162</f>
        <v>Year 29</v>
      </c>
      <c r="C167" s="387" t="str">
        <f ca="1">'Reconciliation report'!D162</f>
        <v/>
      </c>
      <c r="D167" s="387" t="str">
        <f t="shared" ca="1" si="2"/>
        <v/>
      </c>
    </row>
    <row r="168" spans="1:4" hidden="1">
      <c r="A168" s="1" t="str">
        <f ca="1">HYPERLINK("#" &amp; 'Reconciliation report'!I163,'Reconciliation report'!F163)</f>
        <v>FYA 30.0</v>
      </c>
      <c r="B168" t="str">
        <f ca="1">'Reconciliation report'!C163</f>
        <v>Year 30</v>
      </c>
      <c r="C168" s="387" t="str">
        <f ca="1">'Reconciliation report'!D163</f>
        <v/>
      </c>
      <c r="D168" s="387" t="str">
        <f t="shared" ca="1" si="2"/>
        <v/>
      </c>
    </row>
    <row r="169" spans="1:4" hidden="1">
      <c r="A169" s="1" t="str">
        <f ca="1">HYPERLINK("#" &amp; 'Reconciliation report'!I164,'Reconciliation report'!F164)</f>
        <v>FYA 31.0</v>
      </c>
      <c r="B169" t="str">
        <f ca="1">'Reconciliation report'!C164</f>
        <v>Year 31</v>
      </c>
      <c r="C169" s="387" t="str">
        <f ca="1">'Reconciliation report'!D164</f>
        <v/>
      </c>
      <c r="D169" s="387" t="str">
        <f t="shared" ca="1" si="2"/>
        <v/>
      </c>
    </row>
    <row r="170" spans="1:4" hidden="1">
      <c r="A170" s="1" t="str">
        <f ca="1">HYPERLINK("#" &amp; 'Reconciliation report'!I165,'Reconciliation report'!F165)</f>
        <v>FYA 32.0</v>
      </c>
      <c r="B170" t="str">
        <f ca="1">'Reconciliation report'!C165</f>
        <v>Year 32</v>
      </c>
      <c r="C170" s="387" t="str">
        <f ca="1">'Reconciliation report'!D165</f>
        <v/>
      </c>
      <c r="D170" s="387" t="str">
        <f t="shared" ca="1" si="2"/>
        <v/>
      </c>
    </row>
    <row r="171" spans="1:4" hidden="1">
      <c r="A171" s="1" t="str">
        <f ca="1">HYPERLINK("#" &amp; 'Reconciliation report'!I166,'Reconciliation report'!F166)</f>
        <v>FYA 33.0</v>
      </c>
      <c r="B171" t="str">
        <f ca="1">'Reconciliation report'!C166</f>
        <v>Year 33</v>
      </c>
      <c r="C171" s="387" t="str">
        <f ca="1">'Reconciliation report'!D166</f>
        <v/>
      </c>
      <c r="D171" s="387" t="str">
        <f t="shared" ca="1" si="2"/>
        <v/>
      </c>
    </row>
    <row r="172" spans="1:4" hidden="1">
      <c r="A172" s="1" t="str">
        <f ca="1">HYPERLINK("#" &amp; 'Reconciliation report'!I167,'Reconciliation report'!F167)</f>
        <v>FYA 34.0</v>
      </c>
      <c r="B172" t="str">
        <f ca="1">'Reconciliation report'!C167</f>
        <v>Year 34</v>
      </c>
      <c r="C172" s="387" t="str">
        <f ca="1">'Reconciliation report'!D167</f>
        <v/>
      </c>
      <c r="D172" s="387" t="str">
        <f t="shared" ca="1" si="2"/>
        <v/>
      </c>
    </row>
    <row r="173" spans="1:4" hidden="1">
      <c r="A173" s="1" t="str">
        <f ca="1">HYPERLINK("#" &amp; 'Reconciliation report'!I168,'Reconciliation report'!F168)</f>
        <v>FYA 35.0</v>
      </c>
      <c r="B173" t="str">
        <f ca="1">'Reconciliation report'!C168</f>
        <v>Year 35</v>
      </c>
      <c r="C173" s="387" t="str">
        <f ca="1">'Reconciliation report'!D168</f>
        <v/>
      </c>
      <c r="D173" s="387" t="str">
        <f t="shared" ca="1" si="2"/>
        <v/>
      </c>
    </row>
    <row r="174" spans="1:4" hidden="1">
      <c r="A174" s="1" t="str">
        <f ca="1">HYPERLINK("#" &amp; 'Reconciliation report'!I169,'Reconciliation report'!F169)</f>
        <v>FYA 36.0</v>
      </c>
      <c r="B174" t="str">
        <f ca="1">'Reconciliation report'!C169</f>
        <v>Year 36</v>
      </c>
      <c r="C174" s="387" t="str">
        <f ca="1">'Reconciliation report'!D169</f>
        <v/>
      </c>
      <c r="D174" s="387" t="str">
        <f t="shared" ca="1" si="2"/>
        <v/>
      </c>
    </row>
    <row r="175" spans="1:4" hidden="1">
      <c r="A175" s="1" t="str">
        <f ca="1">HYPERLINK("#" &amp; 'Reconciliation report'!I170,'Reconciliation report'!F170)</f>
        <v>FYA 37.0</v>
      </c>
      <c r="B175" t="str">
        <f ca="1">'Reconciliation report'!C170</f>
        <v>Year 37</v>
      </c>
      <c r="C175" s="387" t="str">
        <f ca="1">'Reconciliation report'!D170</f>
        <v/>
      </c>
      <c r="D175" s="387" t="str">
        <f t="shared" ca="1" si="2"/>
        <v/>
      </c>
    </row>
    <row r="176" spans="1:4" hidden="1">
      <c r="A176" s="1" t="str">
        <f ca="1">HYPERLINK("#" &amp; 'Reconciliation report'!I171,'Reconciliation report'!F171)</f>
        <v>FYA 38.0</v>
      </c>
      <c r="B176" t="str">
        <f ca="1">'Reconciliation report'!C171</f>
        <v>Year 38</v>
      </c>
      <c r="C176" s="387" t="str">
        <f ca="1">'Reconciliation report'!D171</f>
        <v/>
      </c>
      <c r="D176" s="387" t="str">
        <f t="shared" ca="1" si="2"/>
        <v/>
      </c>
    </row>
    <row r="177" spans="1:4" hidden="1">
      <c r="A177" s="1" t="str">
        <f ca="1">HYPERLINK("#" &amp; 'Reconciliation report'!I172,'Reconciliation report'!F172)</f>
        <v>FYA 39.0</v>
      </c>
      <c r="B177" t="str">
        <f ca="1">'Reconciliation report'!C172</f>
        <v>Year 39</v>
      </c>
      <c r="C177" s="387" t="str">
        <f ca="1">'Reconciliation report'!D172</f>
        <v/>
      </c>
      <c r="D177" s="387" t="str">
        <f t="shared" ca="1" si="2"/>
        <v/>
      </c>
    </row>
    <row r="178" spans="1:4" hidden="1">
      <c r="A178" s="1" t="str">
        <f ca="1">HYPERLINK("#" &amp; 'Reconciliation report'!I173,'Reconciliation report'!F173)</f>
        <v>FYA 40.0</v>
      </c>
      <c r="B178" t="str">
        <f ca="1">'Reconciliation report'!C173</f>
        <v>Year 40</v>
      </c>
      <c r="C178" s="387" t="str">
        <f ca="1">'Reconciliation report'!D173</f>
        <v/>
      </c>
      <c r="D178" s="387" t="str">
        <f t="shared" ca="1" si="2"/>
        <v/>
      </c>
    </row>
    <row r="179" spans="1:4" hidden="1">
      <c r="A179" s="1" t="str">
        <f ca="1">HYPERLINK("#" &amp; 'Reconciliation report'!I174,'Reconciliation report'!F174)</f>
        <v>FYA 1.0</v>
      </c>
      <c r="B179" t="str">
        <f ca="1">'Reconciliation report'!C174</f>
        <v>Year 1</v>
      </c>
      <c r="C179" s="387" t="str">
        <f ca="1">'Reconciliation report'!D174</f>
        <v/>
      </c>
      <c r="D179" s="387" t="str">
        <f t="shared" ca="1" si="2"/>
        <v/>
      </c>
    </row>
    <row r="180" spans="1:4" hidden="1">
      <c r="A180" s="1" t="str">
        <f ca="1">HYPERLINK("#" &amp; 'Reconciliation report'!I175,'Reconciliation report'!F175)</f>
        <v>FYA 2.0</v>
      </c>
      <c r="B180" t="str">
        <f ca="1">'Reconciliation report'!C175</f>
        <v>Year 2</v>
      </c>
      <c r="C180" s="387" t="str">
        <f ca="1">'Reconciliation report'!D175</f>
        <v/>
      </c>
      <c r="D180" s="387" t="str">
        <f t="shared" ca="1" si="2"/>
        <v/>
      </c>
    </row>
    <row r="181" spans="1:4" hidden="1">
      <c r="A181" s="1" t="str">
        <f ca="1">HYPERLINK("#" &amp; 'Reconciliation report'!I176,'Reconciliation report'!F176)</f>
        <v>FYA 3.0</v>
      </c>
      <c r="B181" t="str">
        <f ca="1">'Reconciliation report'!C176</f>
        <v>Year 3</v>
      </c>
      <c r="C181" s="387" t="str">
        <f ca="1">'Reconciliation report'!D176</f>
        <v/>
      </c>
      <c r="D181" s="387" t="str">
        <f t="shared" ca="1" si="2"/>
        <v/>
      </c>
    </row>
    <row r="182" spans="1:4" hidden="1">
      <c r="A182" s="1" t="str">
        <f ca="1">HYPERLINK("#" &amp; 'Reconciliation report'!I177,'Reconciliation report'!F177)</f>
        <v>FYA 4.0</v>
      </c>
      <c r="B182" t="str">
        <f ca="1">'Reconciliation report'!C177</f>
        <v>Year 4</v>
      </c>
      <c r="C182" s="387" t="str">
        <f ca="1">'Reconciliation report'!D177</f>
        <v/>
      </c>
      <c r="D182" s="387" t="str">
        <f t="shared" ca="1" si="2"/>
        <v/>
      </c>
    </row>
    <row r="183" spans="1:4" hidden="1">
      <c r="A183" s="1" t="str">
        <f ca="1">HYPERLINK("#" &amp; 'Reconciliation report'!I178,'Reconciliation report'!F178)</f>
        <v>FYA 5.0</v>
      </c>
      <c r="B183" t="str">
        <f ca="1">'Reconciliation report'!C178</f>
        <v>Year 5</v>
      </c>
      <c r="C183" s="387" t="str">
        <f ca="1">'Reconciliation report'!D178</f>
        <v/>
      </c>
      <c r="D183" s="387" t="str">
        <f t="shared" ca="1" si="2"/>
        <v/>
      </c>
    </row>
    <row r="184" spans="1:4" hidden="1">
      <c r="A184" s="1" t="str">
        <f ca="1">HYPERLINK("#" &amp; 'Reconciliation report'!I179,'Reconciliation report'!F179)</f>
        <v>FYA 6.0</v>
      </c>
      <c r="B184" t="str">
        <f ca="1">'Reconciliation report'!C179</f>
        <v>Year 6</v>
      </c>
      <c r="C184" s="387" t="str">
        <f ca="1">'Reconciliation report'!D179</f>
        <v/>
      </c>
      <c r="D184" s="387" t="str">
        <f t="shared" ca="1" si="2"/>
        <v/>
      </c>
    </row>
    <row r="185" spans="1:4" hidden="1">
      <c r="A185" s="1" t="str">
        <f ca="1">HYPERLINK("#" &amp; 'Reconciliation report'!I180,'Reconciliation report'!F180)</f>
        <v>FYA 7.0</v>
      </c>
      <c r="B185" t="str">
        <f ca="1">'Reconciliation report'!C180</f>
        <v>Year 7</v>
      </c>
      <c r="C185" s="387" t="str">
        <f ca="1">'Reconciliation report'!D180</f>
        <v/>
      </c>
      <c r="D185" s="387" t="str">
        <f t="shared" ca="1" si="2"/>
        <v/>
      </c>
    </row>
    <row r="186" spans="1:4" hidden="1">
      <c r="A186" s="1" t="str">
        <f ca="1">HYPERLINK("#" &amp; 'Reconciliation report'!I181,'Reconciliation report'!F181)</f>
        <v>FYA 8.0</v>
      </c>
      <c r="B186" t="str">
        <f ca="1">'Reconciliation report'!C181</f>
        <v>Year 8</v>
      </c>
      <c r="C186" s="387" t="str">
        <f ca="1">'Reconciliation report'!D181</f>
        <v/>
      </c>
      <c r="D186" s="387" t="str">
        <f t="shared" ca="1" si="2"/>
        <v/>
      </c>
    </row>
    <row r="187" spans="1:4" hidden="1">
      <c r="A187" s="1" t="str">
        <f ca="1">HYPERLINK("#" &amp; 'Reconciliation report'!I182,'Reconciliation report'!F182)</f>
        <v>FYA 9.0</v>
      </c>
      <c r="B187" t="str">
        <f ca="1">'Reconciliation report'!C182</f>
        <v>Year 9</v>
      </c>
      <c r="C187" s="387" t="str">
        <f ca="1">'Reconciliation report'!D182</f>
        <v/>
      </c>
      <c r="D187" s="387" t="str">
        <f t="shared" ca="1" si="2"/>
        <v/>
      </c>
    </row>
    <row r="188" spans="1:4" hidden="1">
      <c r="A188" s="1" t="str">
        <f ca="1">HYPERLINK("#" &amp; 'Reconciliation report'!I183,'Reconciliation report'!F183)</f>
        <v>FYA 10.0</v>
      </c>
      <c r="B188" t="str">
        <f ca="1">'Reconciliation report'!C183</f>
        <v>Year 10</v>
      </c>
      <c r="C188" s="387" t="str">
        <f ca="1">'Reconciliation report'!D183</f>
        <v/>
      </c>
      <c r="D188" s="387" t="str">
        <f t="shared" ca="1" si="2"/>
        <v/>
      </c>
    </row>
    <row r="189" spans="1:4" hidden="1">
      <c r="A189" s="1" t="str">
        <f ca="1">HYPERLINK("#" &amp; 'Reconciliation report'!I184,'Reconciliation report'!F184)</f>
        <v>FYA 11.0</v>
      </c>
      <c r="B189" t="str">
        <f ca="1">'Reconciliation report'!C184</f>
        <v>Year 11</v>
      </c>
      <c r="C189" s="387" t="str">
        <f ca="1">'Reconciliation report'!D184</f>
        <v/>
      </c>
      <c r="D189" s="387" t="str">
        <f t="shared" ca="1" si="2"/>
        <v/>
      </c>
    </row>
    <row r="190" spans="1:4" hidden="1">
      <c r="A190" s="1" t="str">
        <f ca="1">HYPERLINK("#" &amp; 'Reconciliation report'!I185,'Reconciliation report'!F185)</f>
        <v>FYA 12.0</v>
      </c>
      <c r="B190" t="str">
        <f ca="1">'Reconciliation report'!C185</f>
        <v>Year 12</v>
      </c>
      <c r="C190" s="387" t="str">
        <f ca="1">'Reconciliation report'!D185</f>
        <v/>
      </c>
      <c r="D190" s="387" t="str">
        <f t="shared" ca="1" si="2"/>
        <v/>
      </c>
    </row>
    <row r="191" spans="1:4" hidden="1">
      <c r="A191" s="1" t="str">
        <f ca="1">HYPERLINK("#" &amp; 'Reconciliation report'!I186,'Reconciliation report'!F186)</f>
        <v>FYA 13.0</v>
      </c>
      <c r="B191" t="str">
        <f ca="1">'Reconciliation report'!C186</f>
        <v>Year 13</v>
      </c>
      <c r="C191" s="387" t="str">
        <f ca="1">'Reconciliation report'!D186</f>
        <v/>
      </c>
      <c r="D191" s="387" t="str">
        <f t="shared" ca="1" si="2"/>
        <v/>
      </c>
    </row>
    <row r="192" spans="1:4" hidden="1">
      <c r="A192" s="1" t="str">
        <f ca="1">HYPERLINK("#" &amp; 'Reconciliation report'!I187,'Reconciliation report'!F187)</f>
        <v>FYA 14.0</v>
      </c>
      <c r="B192" t="str">
        <f ca="1">'Reconciliation report'!C187</f>
        <v>Year 14</v>
      </c>
      <c r="C192" s="387" t="str">
        <f ca="1">'Reconciliation report'!D187</f>
        <v/>
      </c>
      <c r="D192" s="387" t="str">
        <f t="shared" ca="1" si="2"/>
        <v/>
      </c>
    </row>
    <row r="193" spans="1:4" hidden="1">
      <c r="A193" s="1" t="str">
        <f ca="1">HYPERLINK("#" &amp; 'Reconciliation report'!I188,'Reconciliation report'!F188)</f>
        <v>FYA 15.0</v>
      </c>
      <c r="B193" t="str">
        <f ca="1">'Reconciliation report'!C188</f>
        <v>Year 15</v>
      </c>
      <c r="C193" s="387" t="str">
        <f ca="1">'Reconciliation report'!D188</f>
        <v/>
      </c>
      <c r="D193" s="387" t="str">
        <f t="shared" ca="1" si="2"/>
        <v/>
      </c>
    </row>
    <row r="194" spans="1:4" hidden="1">
      <c r="A194" s="1" t="str">
        <f ca="1">HYPERLINK("#" &amp; 'Reconciliation report'!I189,'Reconciliation report'!F189)</f>
        <v>FYA 16.0</v>
      </c>
      <c r="B194" t="str">
        <f ca="1">'Reconciliation report'!C189</f>
        <v>Year 16</v>
      </c>
      <c r="C194" s="387" t="str">
        <f ca="1">'Reconciliation report'!D189</f>
        <v/>
      </c>
      <c r="D194" s="387" t="str">
        <f t="shared" ca="1" si="2"/>
        <v/>
      </c>
    </row>
    <row r="195" spans="1:4" hidden="1">
      <c r="A195" s="1" t="str">
        <f ca="1">HYPERLINK("#" &amp; 'Reconciliation report'!I190,'Reconciliation report'!F190)</f>
        <v>FYA 17.0</v>
      </c>
      <c r="B195" t="str">
        <f ca="1">'Reconciliation report'!C190</f>
        <v>Year 17</v>
      </c>
      <c r="C195" s="387" t="str">
        <f ca="1">'Reconciliation report'!D190</f>
        <v/>
      </c>
      <c r="D195" s="387" t="str">
        <f t="shared" ca="1" si="2"/>
        <v/>
      </c>
    </row>
    <row r="196" spans="1:4" hidden="1">
      <c r="A196" s="1" t="str">
        <f ca="1">HYPERLINK("#" &amp; 'Reconciliation report'!I191,'Reconciliation report'!F191)</f>
        <v>FYA 18.0</v>
      </c>
      <c r="B196" t="str">
        <f ca="1">'Reconciliation report'!C191</f>
        <v>Year 18</v>
      </c>
      <c r="C196" s="387" t="str">
        <f ca="1">'Reconciliation report'!D191</f>
        <v/>
      </c>
      <c r="D196" s="387" t="str">
        <f t="shared" ca="1" si="2"/>
        <v/>
      </c>
    </row>
    <row r="197" spans="1:4" hidden="1">
      <c r="A197" s="1" t="str">
        <f ca="1">HYPERLINK("#" &amp; 'Reconciliation report'!I192,'Reconciliation report'!F192)</f>
        <v>FYA 19.0</v>
      </c>
      <c r="B197" t="str">
        <f ca="1">'Reconciliation report'!C192</f>
        <v>Year 19</v>
      </c>
      <c r="C197" s="387" t="str">
        <f ca="1">'Reconciliation report'!D192</f>
        <v/>
      </c>
      <c r="D197" s="387" t="str">
        <f t="shared" ca="1" si="2"/>
        <v/>
      </c>
    </row>
    <row r="198" spans="1:4" hidden="1">
      <c r="A198" s="1" t="str">
        <f ca="1">HYPERLINK("#" &amp; 'Reconciliation report'!I193,'Reconciliation report'!F193)</f>
        <v>FYA 20.0</v>
      </c>
      <c r="B198" t="str">
        <f ca="1">'Reconciliation report'!C193</f>
        <v>Year 20</v>
      </c>
      <c r="C198" s="387" t="str">
        <f ca="1">'Reconciliation report'!D193</f>
        <v/>
      </c>
      <c r="D198" s="387" t="str">
        <f t="shared" ca="1" si="2"/>
        <v/>
      </c>
    </row>
    <row r="199" spans="1:4" hidden="1">
      <c r="A199" s="1" t="str">
        <f ca="1">HYPERLINK("#" &amp; 'Reconciliation report'!I194,'Reconciliation report'!F194)</f>
        <v>FYA 21.0</v>
      </c>
      <c r="B199" t="str">
        <f ca="1">'Reconciliation report'!C194</f>
        <v>Year 21</v>
      </c>
      <c r="C199" s="387" t="str">
        <f ca="1">'Reconciliation report'!D194</f>
        <v/>
      </c>
      <c r="D199" s="387" t="str">
        <f t="shared" ref="D199:D262" ca="1" si="3">IFERROR(IF(LEN(TRIM(CLEAN(C199))) &gt; 0, "Refresh the error report", ""), "")</f>
        <v/>
      </c>
    </row>
    <row r="200" spans="1:4" hidden="1">
      <c r="A200" s="1" t="str">
        <f ca="1">HYPERLINK("#" &amp; 'Reconciliation report'!I195,'Reconciliation report'!F195)</f>
        <v>FYA 22.0</v>
      </c>
      <c r="B200" t="str">
        <f ca="1">'Reconciliation report'!C195</f>
        <v>Year 22</v>
      </c>
      <c r="C200" s="387" t="str">
        <f ca="1">'Reconciliation report'!D195</f>
        <v/>
      </c>
      <c r="D200" s="387" t="str">
        <f t="shared" ca="1" si="3"/>
        <v/>
      </c>
    </row>
    <row r="201" spans="1:4" hidden="1">
      <c r="A201" s="1" t="str">
        <f ca="1">HYPERLINK("#" &amp; 'Reconciliation report'!I196,'Reconciliation report'!F196)</f>
        <v>FYA 23.0</v>
      </c>
      <c r="B201" t="str">
        <f ca="1">'Reconciliation report'!C196</f>
        <v>Year 23</v>
      </c>
      <c r="C201" s="387" t="str">
        <f ca="1">'Reconciliation report'!D196</f>
        <v/>
      </c>
      <c r="D201" s="387" t="str">
        <f t="shared" ca="1" si="3"/>
        <v/>
      </c>
    </row>
    <row r="202" spans="1:4" hidden="1">
      <c r="A202" s="1" t="str">
        <f ca="1">HYPERLINK("#" &amp; 'Reconciliation report'!I197,'Reconciliation report'!F197)</f>
        <v>FYA 24.0</v>
      </c>
      <c r="B202" t="str">
        <f ca="1">'Reconciliation report'!C197</f>
        <v>Year 24</v>
      </c>
      <c r="C202" s="387" t="str">
        <f ca="1">'Reconciliation report'!D197</f>
        <v/>
      </c>
      <c r="D202" s="387" t="str">
        <f t="shared" ca="1" si="3"/>
        <v/>
      </c>
    </row>
    <row r="203" spans="1:4" hidden="1">
      <c r="A203" s="1" t="str">
        <f ca="1">HYPERLINK("#" &amp; 'Reconciliation report'!I198,'Reconciliation report'!F198)</f>
        <v>FYA 25.0</v>
      </c>
      <c r="B203" t="str">
        <f ca="1">'Reconciliation report'!C198</f>
        <v>Year 25</v>
      </c>
      <c r="C203" s="387" t="str">
        <f ca="1">'Reconciliation report'!D198</f>
        <v/>
      </c>
      <c r="D203" s="387" t="str">
        <f t="shared" ca="1" si="3"/>
        <v/>
      </c>
    </row>
    <row r="204" spans="1:4" hidden="1">
      <c r="A204" s="1" t="str">
        <f ca="1">HYPERLINK("#" &amp; 'Reconciliation report'!I199,'Reconciliation report'!F199)</f>
        <v>FYA 26.0</v>
      </c>
      <c r="B204" t="str">
        <f ca="1">'Reconciliation report'!C199</f>
        <v>Year 26</v>
      </c>
      <c r="C204" s="387" t="str">
        <f ca="1">'Reconciliation report'!D199</f>
        <v/>
      </c>
      <c r="D204" s="387" t="str">
        <f t="shared" ca="1" si="3"/>
        <v/>
      </c>
    </row>
    <row r="205" spans="1:4" hidden="1">
      <c r="A205" s="1" t="str">
        <f ca="1">HYPERLINK("#" &amp; 'Reconciliation report'!I200,'Reconciliation report'!F200)</f>
        <v>FYA 27.0</v>
      </c>
      <c r="B205" t="str">
        <f ca="1">'Reconciliation report'!C200</f>
        <v>Year 27</v>
      </c>
      <c r="C205" s="387" t="str">
        <f ca="1">'Reconciliation report'!D200</f>
        <v/>
      </c>
      <c r="D205" s="387" t="str">
        <f t="shared" ca="1" si="3"/>
        <v/>
      </c>
    </row>
    <row r="206" spans="1:4" hidden="1">
      <c r="A206" s="1" t="str">
        <f ca="1">HYPERLINK("#" &amp; 'Reconciliation report'!I201,'Reconciliation report'!F201)</f>
        <v>FYA 28.0</v>
      </c>
      <c r="B206" t="str">
        <f ca="1">'Reconciliation report'!C201</f>
        <v>Year 28</v>
      </c>
      <c r="C206" s="387" t="str">
        <f ca="1">'Reconciliation report'!D201</f>
        <v/>
      </c>
      <c r="D206" s="387" t="str">
        <f t="shared" ca="1" si="3"/>
        <v/>
      </c>
    </row>
    <row r="207" spans="1:4" hidden="1">
      <c r="A207" s="1" t="str">
        <f ca="1">HYPERLINK("#" &amp; 'Reconciliation report'!I202,'Reconciliation report'!F202)</f>
        <v>FYA 29.0</v>
      </c>
      <c r="B207" t="str">
        <f ca="1">'Reconciliation report'!C202</f>
        <v>Year 29</v>
      </c>
      <c r="C207" s="387" t="str">
        <f ca="1">'Reconciliation report'!D202</f>
        <v/>
      </c>
      <c r="D207" s="387" t="str">
        <f t="shared" ca="1" si="3"/>
        <v/>
      </c>
    </row>
    <row r="208" spans="1:4" hidden="1">
      <c r="A208" s="1" t="str">
        <f ca="1">HYPERLINK("#" &amp; 'Reconciliation report'!I203,'Reconciliation report'!F203)</f>
        <v>FYA 30.0</v>
      </c>
      <c r="B208" t="str">
        <f ca="1">'Reconciliation report'!C203</f>
        <v>Year 30</v>
      </c>
      <c r="C208" s="387" t="str">
        <f ca="1">'Reconciliation report'!D203</f>
        <v/>
      </c>
      <c r="D208" s="387" t="str">
        <f t="shared" ca="1" si="3"/>
        <v/>
      </c>
    </row>
    <row r="209" spans="1:4" hidden="1">
      <c r="A209" s="1" t="str">
        <f ca="1">HYPERLINK("#" &amp; 'Reconciliation report'!I204,'Reconciliation report'!F204)</f>
        <v>FYA 31.0</v>
      </c>
      <c r="B209" t="str">
        <f ca="1">'Reconciliation report'!C204</f>
        <v>Year 31</v>
      </c>
      <c r="C209" s="387" t="str">
        <f ca="1">'Reconciliation report'!D204</f>
        <v/>
      </c>
      <c r="D209" s="387" t="str">
        <f t="shared" ca="1" si="3"/>
        <v/>
      </c>
    </row>
    <row r="210" spans="1:4" hidden="1">
      <c r="A210" s="1" t="str">
        <f ca="1">HYPERLINK("#" &amp; 'Reconciliation report'!I205,'Reconciliation report'!F205)</f>
        <v>FYA 32.0</v>
      </c>
      <c r="B210" t="str">
        <f ca="1">'Reconciliation report'!C205</f>
        <v>Year 32</v>
      </c>
      <c r="C210" s="387" t="str">
        <f ca="1">'Reconciliation report'!D205</f>
        <v/>
      </c>
      <c r="D210" s="387" t="str">
        <f t="shared" ca="1" si="3"/>
        <v/>
      </c>
    </row>
    <row r="211" spans="1:4" hidden="1">
      <c r="A211" s="1" t="str">
        <f ca="1">HYPERLINK("#" &amp; 'Reconciliation report'!I206,'Reconciliation report'!F206)</f>
        <v>FYA 33.0</v>
      </c>
      <c r="B211" t="str">
        <f ca="1">'Reconciliation report'!C206</f>
        <v>Year 33</v>
      </c>
      <c r="C211" s="387" t="str">
        <f ca="1">'Reconciliation report'!D206</f>
        <v/>
      </c>
      <c r="D211" s="387" t="str">
        <f t="shared" ca="1" si="3"/>
        <v/>
      </c>
    </row>
    <row r="212" spans="1:4" hidden="1">
      <c r="A212" s="1" t="str">
        <f ca="1">HYPERLINK("#" &amp; 'Reconciliation report'!I207,'Reconciliation report'!F207)</f>
        <v>FYA 34.0</v>
      </c>
      <c r="B212" t="str">
        <f ca="1">'Reconciliation report'!C207</f>
        <v>Year 34</v>
      </c>
      <c r="C212" s="387" t="str">
        <f ca="1">'Reconciliation report'!D207</f>
        <v/>
      </c>
      <c r="D212" s="387" t="str">
        <f t="shared" ca="1" si="3"/>
        <v/>
      </c>
    </row>
    <row r="213" spans="1:4" hidden="1">
      <c r="A213" s="1" t="str">
        <f ca="1">HYPERLINK("#" &amp; 'Reconciliation report'!I208,'Reconciliation report'!F208)</f>
        <v>FYA 35.0</v>
      </c>
      <c r="B213" t="str">
        <f ca="1">'Reconciliation report'!C208</f>
        <v>Year 35</v>
      </c>
      <c r="C213" s="387" t="str">
        <f ca="1">'Reconciliation report'!D208</f>
        <v/>
      </c>
      <c r="D213" s="387" t="str">
        <f t="shared" ca="1" si="3"/>
        <v/>
      </c>
    </row>
    <row r="214" spans="1:4" hidden="1">
      <c r="A214" s="1" t="str">
        <f ca="1">HYPERLINK("#" &amp; 'Reconciliation report'!I209,'Reconciliation report'!F209)</f>
        <v>FYA 36.0</v>
      </c>
      <c r="B214" t="str">
        <f ca="1">'Reconciliation report'!C209</f>
        <v>Year 36</v>
      </c>
      <c r="C214" s="387" t="str">
        <f ca="1">'Reconciliation report'!D209</f>
        <v/>
      </c>
      <c r="D214" s="387" t="str">
        <f t="shared" ca="1" si="3"/>
        <v/>
      </c>
    </row>
    <row r="215" spans="1:4" hidden="1">
      <c r="A215" s="1" t="str">
        <f ca="1">HYPERLINK("#" &amp; 'Reconciliation report'!I210,'Reconciliation report'!F210)</f>
        <v>FYA 37.0</v>
      </c>
      <c r="B215" t="str">
        <f ca="1">'Reconciliation report'!C210</f>
        <v>Year 37</v>
      </c>
      <c r="C215" s="387" t="str">
        <f ca="1">'Reconciliation report'!D210</f>
        <v/>
      </c>
      <c r="D215" s="387" t="str">
        <f t="shared" ca="1" si="3"/>
        <v/>
      </c>
    </row>
    <row r="216" spans="1:4" hidden="1">
      <c r="A216" s="1" t="str">
        <f ca="1">HYPERLINK("#" &amp; 'Reconciliation report'!I211,'Reconciliation report'!F211)</f>
        <v>FYA 38.0</v>
      </c>
      <c r="B216" t="str">
        <f ca="1">'Reconciliation report'!C211</f>
        <v>Year 38</v>
      </c>
      <c r="C216" s="387" t="str">
        <f ca="1">'Reconciliation report'!D211</f>
        <v/>
      </c>
      <c r="D216" s="387" t="str">
        <f t="shared" ca="1" si="3"/>
        <v/>
      </c>
    </row>
    <row r="217" spans="1:4" hidden="1">
      <c r="A217" s="1" t="str">
        <f ca="1">HYPERLINK("#" &amp; 'Reconciliation report'!I212,'Reconciliation report'!F212)</f>
        <v>FYA 39.0</v>
      </c>
      <c r="B217" t="str">
        <f ca="1">'Reconciliation report'!C212</f>
        <v>Year 39</v>
      </c>
      <c r="C217" s="387" t="str">
        <f ca="1">'Reconciliation report'!D212</f>
        <v/>
      </c>
      <c r="D217" s="387" t="str">
        <f t="shared" ca="1" si="3"/>
        <v/>
      </c>
    </row>
    <row r="218" spans="1:4" hidden="1">
      <c r="A218" s="1" t="str">
        <f ca="1">HYPERLINK("#" &amp; 'Reconciliation report'!I213,'Reconciliation report'!F213)</f>
        <v>FYA 40.0</v>
      </c>
      <c r="B218" t="str">
        <f ca="1">'Reconciliation report'!C213</f>
        <v>Year 40</v>
      </c>
      <c r="C218" s="387" t="str">
        <f ca="1">'Reconciliation report'!D213</f>
        <v/>
      </c>
      <c r="D218" s="387" t="str">
        <f t="shared" ca="1" si="3"/>
        <v/>
      </c>
    </row>
    <row r="219" spans="1:4" hidden="1">
      <c r="A219" s="1" t="str">
        <f ca="1">HYPERLINK("#" &amp; 'Reconciliation report'!I214,'Reconciliation report'!F214)</f>
        <v>FYA 1.0</v>
      </c>
      <c r="B219" t="str">
        <f ca="1">'Reconciliation report'!C214</f>
        <v>Year 1</v>
      </c>
      <c r="C219" s="387" t="str">
        <f ca="1">'Reconciliation report'!D214</f>
        <v/>
      </c>
      <c r="D219" s="387" t="str">
        <f t="shared" ca="1" si="3"/>
        <v/>
      </c>
    </row>
    <row r="220" spans="1:4" hidden="1">
      <c r="A220" s="1" t="str">
        <f ca="1">HYPERLINK("#" &amp; 'Reconciliation report'!I215,'Reconciliation report'!F215)</f>
        <v>FYA 2.0</v>
      </c>
      <c r="B220" t="str">
        <f ca="1">'Reconciliation report'!C215</f>
        <v>Year 2</v>
      </c>
      <c r="C220" s="387" t="str">
        <f ca="1">'Reconciliation report'!D215</f>
        <v/>
      </c>
      <c r="D220" s="387" t="str">
        <f t="shared" ca="1" si="3"/>
        <v/>
      </c>
    </row>
    <row r="221" spans="1:4" hidden="1">
      <c r="A221" s="1" t="str">
        <f ca="1">HYPERLINK("#" &amp; 'Reconciliation report'!I216,'Reconciliation report'!F216)</f>
        <v>FYA 3.0</v>
      </c>
      <c r="B221" t="str">
        <f ca="1">'Reconciliation report'!C216</f>
        <v>Year 3</v>
      </c>
      <c r="C221" s="387" t="str">
        <f ca="1">'Reconciliation report'!D216</f>
        <v/>
      </c>
      <c r="D221" s="387" t="str">
        <f t="shared" ca="1" si="3"/>
        <v/>
      </c>
    </row>
    <row r="222" spans="1:4" hidden="1">
      <c r="A222" s="1" t="str">
        <f ca="1">HYPERLINK("#" &amp; 'Reconciliation report'!I217,'Reconciliation report'!F217)</f>
        <v>FYA 4.0</v>
      </c>
      <c r="B222" t="str">
        <f ca="1">'Reconciliation report'!C217</f>
        <v>Year 4</v>
      </c>
      <c r="C222" s="387" t="str">
        <f ca="1">'Reconciliation report'!D217</f>
        <v/>
      </c>
      <c r="D222" s="387" t="str">
        <f t="shared" ca="1" si="3"/>
        <v/>
      </c>
    </row>
    <row r="223" spans="1:4" hidden="1">
      <c r="A223" s="1" t="str">
        <f ca="1">HYPERLINK("#" &amp; 'Reconciliation report'!I218,'Reconciliation report'!F218)</f>
        <v>FYA 5.0</v>
      </c>
      <c r="B223" t="str">
        <f ca="1">'Reconciliation report'!C218</f>
        <v>Year 5</v>
      </c>
      <c r="C223" s="387" t="str">
        <f ca="1">'Reconciliation report'!D218</f>
        <v/>
      </c>
      <c r="D223" s="387" t="str">
        <f t="shared" ca="1" si="3"/>
        <v/>
      </c>
    </row>
    <row r="224" spans="1:4" hidden="1">
      <c r="A224" s="1" t="str">
        <f ca="1">HYPERLINK("#" &amp; 'Reconciliation report'!I219,'Reconciliation report'!F219)</f>
        <v>FYA 6.0</v>
      </c>
      <c r="B224" t="str">
        <f ca="1">'Reconciliation report'!C219</f>
        <v>Year 6</v>
      </c>
      <c r="C224" s="387" t="str">
        <f ca="1">'Reconciliation report'!D219</f>
        <v/>
      </c>
      <c r="D224" s="387" t="str">
        <f t="shared" ca="1" si="3"/>
        <v/>
      </c>
    </row>
    <row r="225" spans="1:4" hidden="1">
      <c r="A225" s="1" t="str">
        <f ca="1">HYPERLINK("#" &amp; 'Reconciliation report'!I220,'Reconciliation report'!F220)</f>
        <v>FYA 7.0</v>
      </c>
      <c r="B225" t="str">
        <f ca="1">'Reconciliation report'!C220</f>
        <v>Year 7</v>
      </c>
      <c r="C225" s="387" t="str">
        <f ca="1">'Reconciliation report'!D220</f>
        <v/>
      </c>
      <c r="D225" s="387" t="str">
        <f t="shared" ca="1" si="3"/>
        <v/>
      </c>
    </row>
    <row r="226" spans="1:4" hidden="1">
      <c r="A226" s="1" t="str">
        <f ca="1">HYPERLINK("#" &amp; 'Reconciliation report'!I221,'Reconciliation report'!F221)</f>
        <v>FYA 8.0</v>
      </c>
      <c r="B226" t="str">
        <f ca="1">'Reconciliation report'!C221</f>
        <v>Year 8</v>
      </c>
      <c r="C226" s="387" t="str">
        <f ca="1">'Reconciliation report'!D221</f>
        <v/>
      </c>
      <c r="D226" s="387" t="str">
        <f t="shared" ca="1" si="3"/>
        <v/>
      </c>
    </row>
    <row r="227" spans="1:4" hidden="1">
      <c r="A227" s="1" t="str">
        <f ca="1">HYPERLINK("#" &amp; 'Reconciliation report'!I222,'Reconciliation report'!F222)</f>
        <v>FYA 9.0</v>
      </c>
      <c r="B227" t="str">
        <f ca="1">'Reconciliation report'!C222</f>
        <v>Year 9</v>
      </c>
      <c r="C227" s="387" t="str">
        <f ca="1">'Reconciliation report'!D222</f>
        <v/>
      </c>
      <c r="D227" s="387" t="str">
        <f t="shared" ca="1" si="3"/>
        <v/>
      </c>
    </row>
    <row r="228" spans="1:4" hidden="1">
      <c r="A228" s="1" t="str">
        <f ca="1">HYPERLINK("#" &amp; 'Reconciliation report'!I223,'Reconciliation report'!F223)</f>
        <v>FYA 10.0</v>
      </c>
      <c r="B228" t="str">
        <f ca="1">'Reconciliation report'!C223</f>
        <v>Year 10</v>
      </c>
      <c r="C228" s="387" t="str">
        <f ca="1">'Reconciliation report'!D223</f>
        <v/>
      </c>
      <c r="D228" s="387" t="str">
        <f t="shared" ca="1" si="3"/>
        <v/>
      </c>
    </row>
    <row r="229" spans="1:4" hidden="1">
      <c r="A229" s="1" t="str">
        <f ca="1">HYPERLINK("#" &amp; 'Reconciliation report'!I224,'Reconciliation report'!F224)</f>
        <v>FYA 11.0</v>
      </c>
      <c r="B229" t="str">
        <f ca="1">'Reconciliation report'!C224</f>
        <v>Year 11</v>
      </c>
      <c r="C229" s="387" t="str">
        <f ca="1">'Reconciliation report'!D224</f>
        <v/>
      </c>
      <c r="D229" s="387" t="str">
        <f t="shared" ca="1" si="3"/>
        <v/>
      </c>
    </row>
    <row r="230" spans="1:4" hidden="1">
      <c r="A230" s="1" t="str">
        <f ca="1">HYPERLINK("#" &amp; 'Reconciliation report'!I225,'Reconciliation report'!F225)</f>
        <v>FYA 12.0</v>
      </c>
      <c r="B230" t="str">
        <f ca="1">'Reconciliation report'!C225</f>
        <v>Year 12</v>
      </c>
      <c r="C230" s="387" t="str">
        <f ca="1">'Reconciliation report'!D225</f>
        <v/>
      </c>
      <c r="D230" s="387" t="str">
        <f t="shared" ca="1" si="3"/>
        <v/>
      </c>
    </row>
    <row r="231" spans="1:4" hidden="1">
      <c r="A231" s="1" t="str">
        <f ca="1">HYPERLINK("#" &amp; 'Reconciliation report'!I226,'Reconciliation report'!F226)</f>
        <v>FYA 13.0</v>
      </c>
      <c r="B231" t="str">
        <f ca="1">'Reconciliation report'!C226</f>
        <v>Year 13</v>
      </c>
      <c r="C231" s="387" t="str">
        <f ca="1">'Reconciliation report'!D226</f>
        <v/>
      </c>
      <c r="D231" s="387" t="str">
        <f t="shared" ca="1" si="3"/>
        <v/>
      </c>
    </row>
    <row r="232" spans="1:4" hidden="1">
      <c r="A232" s="1" t="str">
        <f ca="1">HYPERLINK("#" &amp; 'Reconciliation report'!I227,'Reconciliation report'!F227)</f>
        <v>FYA 14.0</v>
      </c>
      <c r="B232" t="str">
        <f ca="1">'Reconciliation report'!C227</f>
        <v>Year 14</v>
      </c>
      <c r="C232" s="387" t="str">
        <f ca="1">'Reconciliation report'!D227</f>
        <v/>
      </c>
      <c r="D232" s="387" t="str">
        <f t="shared" ca="1" si="3"/>
        <v/>
      </c>
    </row>
    <row r="233" spans="1:4" hidden="1">
      <c r="A233" s="1" t="str">
        <f ca="1">HYPERLINK("#" &amp; 'Reconciliation report'!I228,'Reconciliation report'!F228)</f>
        <v>FYA 15.0</v>
      </c>
      <c r="B233" t="str">
        <f ca="1">'Reconciliation report'!C228</f>
        <v>Year 15</v>
      </c>
      <c r="C233" s="387" t="str">
        <f ca="1">'Reconciliation report'!D228</f>
        <v/>
      </c>
      <c r="D233" s="387" t="str">
        <f t="shared" ca="1" si="3"/>
        <v/>
      </c>
    </row>
    <row r="234" spans="1:4" hidden="1">
      <c r="A234" s="1" t="str">
        <f ca="1">HYPERLINK("#" &amp; 'Reconciliation report'!I229,'Reconciliation report'!F229)</f>
        <v>FYA 16.0</v>
      </c>
      <c r="B234" t="str">
        <f ca="1">'Reconciliation report'!C229</f>
        <v>Year 16</v>
      </c>
      <c r="C234" s="387" t="str">
        <f ca="1">'Reconciliation report'!D229</f>
        <v/>
      </c>
      <c r="D234" s="387" t="str">
        <f t="shared" ca="1" si="3"/>
        <v/>
      </c>
    </row>
    <row r="235" spans="1:4" hidden="1">
      <c r="A235" s="1" t="str">
        <f ca="1">HYPERLINK("#" &amp; 'Reconciliation report'!I230,'Reconciliation report'!F230)</f>
        <v>FYA 17.0</v>
      </c>
      <c r="B235" t="str">
        <f ca="1">'Reconciliation report'!C230</f>
        <v>Year 17</v>
      </c>
      <c r="C235" s="387" t="str">
        <f ca="1">'Reconciliation report'!D230</f>
        <v/>
      </c>
      <c r="D235" s="387" t="str">
        <f t="shared" ca="1" si="3"/>
        <v/>
      </c>
    </row>
    <row r="236" spans="1:4" hidden="1">
      <c r="A236" s="1" t="str">
        <f ca="1">HYPERLINK("#" &amp; 'Reconciliation report'!I231,'Reconciliation report'!F231)</f>
        <v>FYA 18.0</v>
      </c>
      <c r="B236" t="str">
        <f ca="1">'Reconciliation report'!C231</f>
        <v>Year 18</v>
      </c>
      <c r="C236" s="387" t="str">
        <f ca="1">'Reconciliation report'!D231</f>
        <v/>
      </c>
      <c r="D236" s="387" t="str">
        <f t="shared" ca="1" si="3"/>
        <v/>
      </c>
    </row>
    <row r="237" spans="1:4" hidden="1">
      <c r="A237" s="1" t="str">
        <f ca="1">HYPERLINK("#" &amp; 'Reconciliation report'!I232,'Reconciliation report'!F232)</f>
        <v>FYA 19.0</v>
      </c>
      <c r="B237" t="str">
        <f ca="1">'Reconciliation report'!C232</f>
        <v>Year 19</v>
      </c>
      <c r="C237" s="387" t="str">
        <f ca="1">'Reconciliation report'!D232</f>
        <v/>
      </c>
      <c r="D237" s="387" t="str">
        <f t="shared" ca="1" si="3"/>
        <v/>
      </c>
    </row>
    <row r="238" spans="1:4" hidden="1">
      <c r="A238" s="1" t="str">
        <f ca="1">HYPERLINK("#" &amp; 'Reconciliation report'!I233,'Reconciliation report'!F233)</f>
        <v>FYA 20.0</v>
      </c>
      <c r="B238" t="str">
        <f ca="1">'Reconciliation report'!C233</f>
        <v>Year 20</v>
      </c>
      <c r="C238" s="387" t="str">
        <f ca="1">'Reconciliation report'!D233</f>
        <v/>
      </c>
      <c r="D238" s="387" t="str">
        <f t="shared" ca="1" si="3"/>
        <v/>
      </c>
    </row>
    <row r="239" spans="1:4" hidden="1">
      <c r="A239" s="1" t="str">
        <f ca="1">HYPERLINK("#" &amp; 'Reconciliation report'!I234,'Reconciliation report'!F234)</f>
        <v>FYA 21.0</v>
      </c>
      <c r="B239" t="str">
        <f ca="1">'Reconciliation report'!C234</f>
        <v>Year 21</v>
      </c>
      <c r="C239" s="387" t="str">
        <f ca="1">'Reconciliation report'!D234</f>
        <v/>
      </c>
      <c r="D239" s="387" t="str">
        <f t="shared" ca="1" si="3"/>
        <v/>
      </c>
    </row>
    <row r="240" spans="1:4" hidden="1">
      <c r="A240" s="1" t="str">
        <f ca="1">HYPERLINK("#" &amp; 'Reconciliation report'!I235,'Reconciliation report'!F235)</f>
        <v>FYA 22.0</v>
      </c>
      <c r="B240" t="str">
        <f ca="1">'Reconciliation report'!C235</f>
        <v>Year 22</v>
      </c>
      <c r="C240" s="387" t="str">
        <f ca="1">'Reconciliation report'!D235</f>
        <v/>
      </c>
      <c r="D240" s="387" t="str">
        <f t="shared" ca="1" si="3"/>
        <v/>
      </c>
    </row>
    <row r="241" spans="1:4" hidden="1">
      <c r="A241" s="1" t="str">
        <f ca="1">HYPERLINK("#" &amp; 'Reconciliation report'!I236,'Reconciliation report'!F236)</f>
        <v>FYA 23.0</v>
      </c>
      <c r="B241" t="str">
        <f ca="1">'Reconciliation report'!C236</f>
        <v>Year 23</v>
      </c>
      <c r="C241" s="387" t="str">
        <f ca="1">'Reconciliation report'!D236</f>
        <v/>
      </c>
      <c r="D241" s="387" t="str">
        <f t="shared" ca="1" si="3"/>
        <v/>
      </c>
    </row>
    <row r="242" spans="1:4" hidden="1">
      <c r="A242" s="1" t="str">
        <f ca="1">HYPERLINK("#" &amp; 'Reconciliation report'!I237,'Reconciliation report'!F237)</f>
        <v>FYA 24.0</v>
      </c>
      <c r="B242" t="str">
        <f ca="1">'Reconciliation report'!C237</f>
        <v>Year 24</v>
      </c>
      <c r="C242" s="387" t="str">
        <f ca="1">'Reconciliation report'!D237</f>
        <v/>
      </c>
      <c r="D242" s="387" t="str">
        <f t="shared" ca="1" si="3"/>
        <v/>
      </c>
    </row>
    <row r="243" spans="1:4" hidden="1">
      <c r="A243" s="1" t="str">
        <f ca="1">HYPERLINK("#" &amp; 'Reconciliation report'!I238,'Reconciliation report'!F238)</f>
        <v>FYA 25.0</v>
      </c>
      <c r="B243" t="str">
        <f ca="1">'Reconciliation report'!C238</f>
        <v>Year 25</v>
      </c>
      <c r="C243" s="387" t="str">
        <f ca="1">'Reconciliation report'!D238</f>
        <v/>
      </c>
      <c r="D243" s="387" t="str">
        <f t="shared" ca="1" si="3"/>
        <v/>
      </c>
    </row>
    <row r="244" spans="1:4" hidden="1">
      <c r="A244" s="1" t="str">
        <f ca="1">HYPERLINK("#" &amp; 'Reconciliation report'!I239,'Reconciliation report'!F239)</f>
        <v>FYA 26.0</v>
      </c>
      <c r="B244" t="str">
        <f ca="1">'Reconciliation report'!C239</f>
        <v>Year 26</v>
      </c>
      <c r="C244" s="387" t="str">
        <f ca="1">'Reconciliation report'!D239</f>
        <v/>
      </c>
      <c r="D244" s="387" t="str">
        <f t="shared" ca="1" si="3"/>
        <v/>
      </c>
    </row>
    <row r="245" spans="1:4" hidden="1">
      <c r="A245" s="1" t="str">
        <f ca="1">HYPERLINK("#" &amp; 'Reconciliation report'!I240,'Reconciliation report'!F240)</f>
        <v>FYA 27.0</v>
      </c>
      <c r="B245" t="str">
        <f ca="1">'Reconciliation report'!C240</f>
        <v>Year 27</v>
      </c>
      <c r="C245" s="387" t="str">
        <f ca="1">'Reconciliation report'!D240</f>
        <v/>
      </c>
      <c r="D245" s="387" t="str">
        <f t="shared" ca="1" si="3"/>
        <v/>
      </c>
    </row>
    <row r="246" spans="1:4" hidden="1">
      <c r="A246" s="1" t="str">
        <f ca="1">HYPERLINK("#" &amp; 'Reconciliation report'!I241,'Reconciliation report'!F241)</f>
        <v>FYA 28.0</v>
      </c>
      <c r="B246" t="str">
        <f ca="1">'Reconciliation report'!C241</f>
        <v>Year 28</v>
      </c>
      <c r="C246" s="387" t="str">
        <f ca="1">'Reconciliation report'!D241</f>
        <v/>
      </c>
      <c r="D246" s="387" t="str">
        <f t="shared" ca="1" si="3"/>
        <v/>
      </c>
    </row>
    <row r="247" spans="1:4" hidden="1">
      <c r="A247" s="1" t="str">
        <f ca="1">HYPERLINK("#" &amp; 'Reconciliation report'!I242,'Reconciliation report'!F242)</f>
        <v>FYA 29.0</v>
      </c>
      <c r="B247" t="str">
        <f ca="1">'Reconciliation report'!C242</f>
        <v>Year 29</v>
      </c>
      <c r="C247" s="387" t="str">
        <f ca="1">'Reconciliation report'!D242</f>
        <v/>
      </c>
      <c r="D247" s="387" t="str">
        <f t="shared" ca="1" si="3"/>
        <v/>
      </c>
    </row>
    <row r="248" spans="1:4" hidden="1">
      <c r="A248" s="1" t="str">
        <f ca="1">HYPERLINK("#" &amp; 'Reconciliation report'!I243,'Reconciliation report'!F243)</f>
        <v>FYA 30.0</v>
      </c>
      <c r="B248" t="str">
        <f ca="1">'Reconciliation report'!C243</f>
        <v>Year 30</v>
      </c>
      <c r="C248" s="387" t="str">
        <f ca="1">'Reconciliation report'!D243</f>
        <v/>
      </c>
      <c r="D248" s="387" t="str">
        <f t="shared" ca="1" si="3"/>
        <v/>
      </c>
    </row>
    <row r="249" spans="1:4" hidden="1">
      <c r="A249" s="1" t="str">
        <f ca="1">HYPERLINK("#" &amp; 'Reconciliation report'!I244,'Reconciliation report'!F244)</f>
        <v>FYA 31.0</v>
      </c>
      <c r="B249" t="str">
        <f ca="1">'Reconciliation report'!C244</f>
        <v>Year 31</v>
      </c>
      <c r="C249" s="387" t="str">
        <f ca="1">'Reconciliation report'!D244</f>
        <v/>
      </c>
      <c r="D249" s="387" t="str">
        <f t="shared" ca="1" si="3"/>
        <v/>
      </c>
    </row>
    <row r="250" spans="1:4" hidden="1">
      <c r="A250" s="1" t="str">
        <f ca="1">HYPERLINK("#" &amp; 'Reconciliation report'!I245,'Reconciliation report'!F245)</f>
        <v>FYA 32.0</v>
      </c>
      <c r="B250" t="str">
        <f ca="1">'Reconciliation report'!C245</f>
        <v>Year 32</v>
      </c>
      <c r="C250" s="387" t="str">
        <f ca="1">'Reconciliation report'!D245</f>
        <v/>
      </c>
      <c r="D250" s="387" t="str">
        <f t="shared" ca="1" si="3"/>
        <v/>
      </c>
    </row>
    <row r="251" spans="1:4" hidden="1">
      <c r="A251" s="1" t="str">
        <f ca="1">HYPERLINK("#" &amp; 'Reconciliation report'!I246,'Reconciliation report'!F246)</f>
        <v>FYA 33.0</v>
      </c>
      <c r="B251" t="str">
        <f ca="1">'Reconciliation report'!C246</f>
        <v>Year 33</v>
      </c>
      <c r="C251" s="387" t="str">
        <f ca="1">'Reconciliation report'!D246</f>
        <v/>
      </c>
      <c r="D251" s="387" t="str">
        <f t="shared" ca="1" si="3"/>
        <v/>
      </c>
    </row>
    <row r="252" spans="1:4" hidden="1">
      <c r="A252" s="1" t="str">
        <f ca="1">HYPERLINK("#" &amp; 'Reconciliation report'!I247,'Reconciliation report'!F247)</f>
        <v>FYA 34.0</v>
      </c>
      <c r="B252" t="str">
        <f ca="1">'Reconciliation report'!C247</f>
        <v>Year 34</v>
      </c>
      <c r="C252" s="387" t="str">
        <f ca="1">'Reconciliation report'!D247</f>
        <v/>
      </c>
      <c r="D252" s="387" t="str">
        <f t="shared" ca="1" si="3"/>
        <v/>
      </c>
    </row>
    <row r="253" spans="1:4" hidden="1">
      <c r="A253" s="1" t="str">
        <f ca="1">HYPERLINK("#" &amp; 'Reconciliation report'!I248,'Reconciliation report'!F248)</f>
        <v>FYA 35.0</v>
      </c>
      <c r="B253" t="str">
        <f ca="1">'Reconciliation report'!C248</f>
        <v>Year 35</v>
      </c>
      <c r="C253" s="387" t="str">
        <f ca="1">'Reconciliation report'!D248</f>
        <v/>
      </c>
      <c r="D253" s="387" t="str">
        <f t="shared" ca="1" si="3"/>
        <v/>
      </c>
    </row>
    <row r="254" spans="1:4" hidden="1">
      <c r="A254" s="1" t="str">
        <f ca="1">HYPERLINK("#" &amp; 'Reconciliation report'!I249,'Reconciliation report'!F249)</f>
        <v>FYA 36.0</v>
      </c>
      <c r="B254" t="str">
        <f ca="1">'Reconciliation report'!C249</f>
        <v>Year 36</v>
      </c>
      <c r="C254" s="387" t="str">
        <f ca="1">'Reconciliation report'!D249</f>
        <v/>
      </c>
      <c r="D254" s="387" t="str">
        <f t="shared" ca="1" si="3"/>
        <v/>
      </c>
    </row>
    <row r="255" spans="1:4" hidden="1">
      <c r="A255" s="1" t="str">
        <f ca="1">HYPERLINK("#" &amp; 'Reconciliation report'!I250,'Reconciliation report'!F250)</f>
        <v>FYA 37.0</v>
      </c>
      <c r="B255" t="str">
        <f ca="1">'Reconciliation report'!C250</f>
        <v>Year 37</v>
      </c>
      <c r="C255" s="387" t="str">
        <f ca="1">'Reconciliation report'!D250</f>
        <v/>
      </c>
      <c r="D255" s="387" t="str">
        <f t="shared" ca="1" si="3"/>
        <v/>
      </c>
    </row>
    <row r="256" spans="1:4" hidden="1">
      <c r="A256" s="1" t="str">
        <f ca="1">HYPERLINK("#" &amp; 'Reconciliation report'!I251,'Reconciliation report'!F251)</f>
        <v>FYA 38.0</v>
      </c>
      <c r="B256" t="str">
        <f ca="1">'Reconciliation report'!C251</f>
        <v>Year 38</v>
      </c>
      <c r="C256" s="387" t="str">
        <f ca="1">'Reconciliation report'!D251</f>
        <v/>
      </c>
      <c r="D256" s="387" t="str">
        <f t="shared" ca="1" si="3"/>
        <v/>
      </c>
    </row>
    <row r="257" spans="1:4" hidden="1">
      <c r="A257" s="1" t="str">
        <f ca="1">HYPERLINK("#" &amp; 'Reconciliation report'!I252,'Reconciliation report'!F252)</f>
        <v>FYA 39.0</v>
      </c>
      <c r="B257" t="str">
        <f ca="1">'Reconciliation report'!C252</f>
        <v>Year 39</v>
      </c>
      <c r="C257" s="387" t="str">
        <f ca="1">'Reconciliation report'!D252</f>
        <v/>
      </c>
      <c r="D257" s="387" t="str">
        <f t="shared" ca="1" si="3"/>
        <v/>
      </c>
    </row>
    <row r="258" spans="1:4" hidden="1">
      <c r="A258" s="1" t="str">
        <f ca="1">HYPERLINK("#" &amp; 'Reconciliation report'!I253,'Reconciliation report'!F253)</f>
        <v>FYA 40.0</v>
      </c>
      <c r="B258" t="str">
        <f ca="1">'Reconciliation report'!C253</f>
        <v>Year 40</v>
      </c>
      <c r="C258" s="387" t="str">
        <f ca="1">'Reconciliation report'!D253</f>
        <v/>
      </c>
      <c r="D258" s="387" t="str">
        <f t="shared" ca="1" si="3"/>
        <v/>
      </c>
    </row>
    <row r="259" spans="1:4" hidden="1">
      <c r="A259" s="1" t="str">
        <f ca="1">HYPERLINK("#" &amp; 'Reconciliation report'!I254,'Reconciliation report'!F254)</f>
        <v>FYA 1.0</v>
      </c>
      <c r="B259" t="str">
        <f ca="1">'Reconciliation report'!C254</f>
        <v>Year 1</v>
      </c>
      <c r="C259" s="387" t="str">
        <f ca="1">'Reconciliation report'!D254</f>
        <v/>
      </c>
      <c r="D259" s="387" t="str">
        <f t="shared" ca="1" si="3"/>
        <v/>
      </c>
    </row>
    <row r="260" spans="1:4" hidden="1">
      <c r="A260" s="1" t="str">
        <f ca="1">HYPERLINK("#" &amp; 'Reconciliation report'!I255,'Reconciliation report'!F255)</f>
        <v>FYA 2.0</v>
      </c>
      <c r="B260" t="str">
        <f ca="1">'Reconciliation report'!C255</f>
        <v>Year 2</v>
      </c>
      <c r="C260" s="387" t="str">
        <f ca="1">'Reconciliation report'!D255</f>
        <v/>
      </c>
      <c r="D260" s="387" t="str">
        <f t="shared" ca="1" si="3"/>
        <v/>
      </c>
    </row>
    <row r="261" spans="1:4" hidden="1">
      <c r="A261" s="1" t="str">
        <f ca="1">HYPERLINK("#" &amp; 'Reconciliation report'!I256,'Reconciliation report'!F256)</f>
        <v>FYA 3.0</v>
      </c>
      <c r="B261" t="str">
        <f ca="1">'Reconciliation report'!C256</f>
        <v>Year 3</v>
      </c>
      <c r="C261" s="387" t="str">
        <f ca="1">'Reconciliation report'!D256</f>
        <v/>
      </c>
      <c r="D261" s="387" t="str">
        <f t="shared" ca="1" si="3"/>
        <v/>
      </c>
    </row>
    <row r="262" spans="1:4" hidden="1">
      <c r="A262" s="1" t="str">
        <f ca="1">HYPERLINK("#" &amp; 'Reconciliation report'!I257,'Reconciliation report'!F257)</f>
        <v>FYA 4.0</v>
      </c>
      <c r="B262" t="str">
        <f ca="1">'Reconciliation report'!C257</f>
        <v>Year 4</v>
      </c>
      <c r="C262" s="387" t="str">
        <f ca="1">'Reconciliation report'!D257</f>
        <v/>
      </c>
      <c r="D262" s="387" t="str">
        <f t="shared" ca="1" si="3"/>
        <v/>
      </c>
    </row>
    <row r="263" spans="1:4" hidden="1">
      <c r="A263" s="1" t="str">
        <f ca="1">HYPERLINK("#" &amp; 'Reconciliation report'!I258,'Reconciliation report'!F258)</f>
        <v>FYA 5.0</v>
      </c>
      <c r="B263" t="str">
        <f ca="1">'Reconciliation report'!C258</f>
        <v>Year 5</v>
      </c>
      <c r="C263" s="387" t="str">
        <f ca="1">'Reconciliation report'!D258</f>
        <v/>
      </c>
      <c r="D263" s="387" t="str">
        <f t="shared" ref="D263:D326" ca="1" si="4">IFERROR(IF(LEN(TRIM(CLEAN(C263))) &gt; 0, "Refresh the error report", ""), "")</f>
        <v/>
      </c>
    </row>
    <row r="264" spans="1:4" hidden="1">
      <c r="A264" s="1" t="str">
        <f ca="1">HYPERLINK("#" &amp; 'Reconciliation report'!I259,'Reconciliation report'!F259)</f>
        <v>FYA 6.0</v>
      </c>
      <c r="B264" t="str">
        <f ca="1">'Reconciliation report'!C259</f>
        <v>Year 6</v>
      </c>
      <c r="C264" s="387" t="str">
        <f ca="1">'Reconciliation report'!D259</f>
        <v/>
      </c>
      <c r="D264" s="387" t="str">
        <f t="shared" ca="1" si="4"/>
        <v/>
      </c>
    </row>
    <row r="265" spans="1:4" hidden="1">
      <c r="A265" s="1" t="str">
        <f ca="1">HYPERLINK("#" &amp; 'Reconciliation report'!I260,'Reconciliation report'!F260)</f>
        <v>FYA 7.0</v>
      </c>
      <c r="B265" t="str">
        <f ca="1">'Reconciliation report'!C260</f>
        <v>Year 7</v>
      </c>
      <c r="C265" s="387" t="str">
        <f ca="1">'Reconciliation report'!D260</f>
        <v/>
      </c>
      <c r="D265" s="387" t="str">
        <f t="shared" ca="1" si="4"/>
        <v/>
      </c>
    </row>
    <row r="266" spans="1:4" hidden="1">
      <c r="A266" s="1" t="str">
        <f ca="1">HYPERLINK("#" &amp; 'Reconciliation report'!I261,'Reconciliation report'!F261)</f>
        <v>FYA 8.0</v>
      </c>
      <c r="B266" t="str">
        <f ca="1">'Reconciliation report'!C261</f>
        <v>Year 8</v>
      </c>
      <c r="C266" s="387" t="str">
        <f ca="1">'Reconciliation report'!D261</f>
        <v/>
      </c>
      <c r="D266" s="387" t="str">
        <f t="shared" ca="1" si="4"/>
        <v/>
      </c>
    </row>
    <row r="267" spans="1:4" hidden="1">
      <c r="A267" s="1" t="str">
        <f ca="1">HYPERLINK("#" &amp; 'Reconciliation report'!I262,'Reconciliation report'!F262)</f>
        <v>FYA 9.0</v>
      </c>
      <c r="B267" t="str">
        <f ca="1">'Reconciliation report'!C262</f>
        <v>Year 9</v>
      </c>
      <c r="C267" s="387" t="str">
        <f ca="1">'Reconciliation report'!D262</f>
        <v/>
      </c>
      <c r="D267" s="387" t="str">
        <f t="shared" ca="1" si="4"/>
        <v/>
      </c>
    </row>
    <row r="268" spans="1:4" hidden="1">
      <c r="A268" s="1" t="str">
        <f ca="1">HYPERLINK("#" &amp; 'Reconciliation report'!I263,'Reconciliation report'!F263)</f>
        <v>FYA 10.0</v>
      </c>
      <c r="B268" t="str">
        <f ca="1">'Reconciliation report'!C263</f>
        <v>Year 10</v>
      </c>
      <c r="C268" s="387" t="str">
        <f ca="1">'Reconciliation report'!D263</f>
        <v/>
      </c>
      <c r="D268" s="387" t="str">
        <f t="shared" ca="1" si="4"/>
        <v/>
      </c>
    </row>
    <row r="269" spans="1:4" hidden="1">
      <c r="A269" s="1" t="str">
        <f ca="1">HYPERLINK("#" &amp; 'Reconciliation report'!I264,'Reconciliation report'!F264)</f>
        <v>FYA 11.0</v>
      </c>
      <c r="B269" t="str">
        <f ca="1">'Reconciliation report'!C264</f>
        <v>Year 11</v>
      </c>
      <c r="C269" s="387" t="str">
        <f ca="1">'Reconciliation report'!D264</f>
        <v/>
      </c>
      <c r="D269" s="387" t="str">
        <f t="shared" ca="1" si="4"/>
        <v/>
      </c>
    </row>
    <row r="270" spans="1:4" hidden="1">
      <c r="A270" s="1" t="str">
        <f ca="1">HYPERLINK("#" &amp; 'Reconciliation report'!I265,'Reconciliation report'!F265)</f>
        <v>FYA 12.0</v>
      </c>
      <c r="B270" t="str">
        <f ca="1">'Reconciliation report'!C265</f>
        <v>Year 12</v>
      </c>
      <c r="C270" s="387" t="str">
        <f ca="1">'Reconciliation report'!D265</f>
        <v/>
      </c>
      <c r="D270" s="387" t="str">
        <f t="shared" ca="1" si="4"/>
        <v/>
      </c>
    </row>
    <row r="271" spans="1:4" hidden="1">
      <c r="A271" s="1" t="str">
        <f ca="1">HYPERLINK("#" &amp; 'Reconciliation report'!I266,'Reconciliation report'!F266)</f>
        <v>FYA 13.0</v>
      </c>
      <c r="B271" t="str">
        <f ca="1">'Reconciliation report'!C266</f>
        <v>Year 13</v>
      </c>
      <c r="C271" s="387" t="str">
        <f ca="1">'Reconciliation report'!D266</f>
        <v/>
      </c>
      <c r="D271" s="387" t="str">
        <f t="shared" ca="1" si="4"/>
        <v/>
      </c>
    </row>
    <row r="272" spans="1:4" hidden="1">
      <c r="A272" s="1" t="str">
        <f ca="1">HYPERLINK("#" &amp; 'Reconciliation report'!I267,'Reconciliation report'!F267)</f>
        <v>FYA 14.0</v>
      </c>
      <c r="B272" t="str">
        <f ca="1">'Reconciliation report'!C267</f>
        <v>Year 14</v>
      </c>
      <c r="C272" s="387" t="str">
        <f ca="1">'Reconciliation report'!D267</f>
        <v/>
      </c>
      <c r="D272" s="387" t="str">
        <f t="shared" ca="1" si="4"/>
        <v/>
      </c>
    </row>
    <row r="273" spans="1:4" hidden="1">
      <c r="A273" s="1" t="str">
        <f ca="1">HYPERLINK("#" &amp; 'Reconciliation report'!I268,'Reconciliation report'!F268)</f>
        <v>FYA 15.0</v>
      </c>
      <c r="B273" t="str">
        <f ca="1">'Reconciliation report'!C268</f>
        <v>Year 15</v>
      </c>
      <c r="C273" s="387" t="str">
        <f ca="1">'Reconciliation report'!D268</f>
        <v/>
      </c>
      <c r="D273" s="387" t="str">
        <f t="shared" ca="1" si="4"/>
        <v/>
      </c>
    </row>
    <row r="274" spans="1:4" hidden="1">
      <c r="A274" s="1" t="str">
        <f ca="1">HYPERLINK("#" &amp; 'Reconciliation report'!I269,'Reconciliation report'!F269)</f>
        <v>FYA 16.0</v>
      </c>
      <c r="B274" t="str">
        <f ca="1">'Reconciliation report'!C269</f>
        <v>Year 16</v>
      </c>
      <c r="C274" s="387" t="str">
        <f ca="1">'Reconciliation report'!D269</f>
        <v/>
      </c>
      <c r="D274" s="387" t="str">
        <f t="shared" ca="1" si="4"/>
        <v/>
      </c>
    </row>
    <row r="275" spans="1:4" hidden="1">
      <c r="A275" s="1" t="str">
        <f ca="1">HYPERLINK("#" &amp; 'Reconciliation report'!I270,'Reconciliation report'!F270)</f>
        <v>FYA 17.0</v>
      </c>
      <c r="B275" t="str">
        <f ca="1">'Reconciliation report'!C270</f>
        <v>Year 17</v>
      </c>
      <c r="C275" s="387" t="str">
        <f ca="1">'Reconciliation report'!D270</f>
        <v/>
      </c>
      <c r="D275" s="387" t="str">
        <f t="shared" ca="1" si="4"/>
        <v/>
      </c>
    </row>
    <row r="276" spans="1:4" hidden="1">
      <c r="A276" s="1" t="str">
        <f ca="1">HYPERLINK("#" &amp; 'Reconciliation report'!I271,'Reconciliation report'!F271)</f>
        <v>FYA 18.0</v>
      </c>
      <c r="B276" t="str">
        <f ca="1">'Reconciliation report'!C271</f>
        <v>Year 18</v>
      </c>
      <c r="C276" s="387" t="str">
        <f ca="1">'Reconciliation report'!D271</f>
        <v/>
      </c>
      <c r="D276" s="387" t="str">
        <f t="shared" ca="1" si="4"/>
        <v/>
      </c>
    </row>
    <row r="277" spans="1:4" hidden="1">
      <c r="A277" s="1" t="str">
        <f ca="1">HYPERLINK("#" &amp; 'Reconciliation report'!I272,'Reconciliation report'!F272)</f>
        <v>FYA 19.0</v>
      </c>
      <c r="B277" t="str">
        <f ca="1">'Reconciliation report'!C272</f>
        <v>Year 19</v>
      </c>
      <c r="C277" s="387" t="str">
        <f ca="1">'Reconciliation report'!D272</f>
        <v/>
      </c>
      <c r="D277" s="387" t="str">
        <f t="shared" ca="1" si="4"/>
        <v/>
      </c>
    </row>
    <row r="278" spans="1:4" hidden="1">
      <c r="A278" s="1" t="str">
        <f ca="1">HYPERLINK("#" &amp; 'Reconciliation report'!I273,'Reconciliation report'!F273)</f>
        <v>FYA 20.0</v>
      </c>
      <c r="B278" t="str">
        <f ca="1">'Reconciliation report'!C273</f>
        <v>Year 20</v>
      </c>
      <c r="C278" s="387" t="str">
        <f ca="1">'Reconciliation report'!D273</f>
        <v/>
      </c>
      <c r="D278" s="387" t="str">
        <f t="shared" ca="1" si="4"/>
        <v/>
      </c>
    </row>
    <row r="279" spans="1:4" hidden="1">
      <c r="A279" s="1" t="str">
        <f ca="1">HYPERLINK("#" &amp; 'Reconciliation report'!I274,'Reconciliation report'!F274)</f>
        <v>FYA 21.0</v>
      </c>
      <c r="B279" t="str">
        <f ca="1">'Reconciliation report'!C274</f>
        <v>Year 21</v>
      </c>
      <c r="C279" s="387" t="str">
        <f ca="1">'Reconciliation report'!D274</f>
        <v/>
      </c>
      <c r="D279" s="387" t="str">
        <f t="shared" ca="1" si="4"/>
        <v/>
      </c>
    </row>
    <row r="280" spans="1:4" hidden="1">
      <c r="A280" s="1" t="str">
        <f ca="1">HYPERLINK("#" &amp; 'Reconciliation report'!I275,'Reconciliation report'!F275)</f>
        <v>FYA 22.0</v>
      </c>
      <c r="B280" t="str">
        <f ca="1">'Reconciliation report'!C275</f>
        <v>Year 22</v>
      </c>
      <c r="C280" s="387" t="str">
        <f ca="1">'Reconciliation report'!D275</f>
        <v/>
      </c>
      <c r="D280" s="387" t="str">
        <f t="shared" ca="1" si="4"/>
        <v/>
      </c>
    </row>
    <row r="281" spans="1:4" hidden="1">
      <c r="A281" s="1" t="str">
        <f ca="1">HYPERLINK("#" &amp; 'Reconciliation report'!I276,'Reconciliation report'!F276)</f>
        <v>FYA 23.0</v>
      </c>
      <c r="B281" t="str">
        <f ca="1">'Reconciliation report'!C276</f>
        <v>Year 23</v>
      </c>
      <c r="C281" s="387" t="str">
        <f ca="1">'Reconciliation report'!D276</f>
        <v/>
      </c>
      <c r="D281" s="387" t="str">
        <f t="shared" ca="1" si="4"/>
        <v/>
      </c>
    </row>
    <row r="282" spans="1:4" hidden="1">
      <c r="A282" s="1" t="str">
        <f ca="1">HYPERLINK("#" &amp; 'Reconciliation report'!I277,'Reconciliation report'!F277)</f>
        <v>FYA 24.0</v>
      </c>
      <c r="B282" t="str">
        <f ca="1">'Reconciliation report'!C277</f>
        <v>Year 24</v>
      </c>
      <c r="C282" s="387" t="str">
        <f ca="1">'Reconciliation report'!D277</f>
        <v/>
      </c>
      <c r="D282" s="387" t="str">
        <f t="shared" ca="1" si="4"/>
        <v/>
      </c>
    </row>
    <row r="283" spans="1:4" hidden="1">
      <c r="A283" s="1" t="str">
        <f ca="1">HYPERLINK("#" &amp; 'Reconciliation report'!I278,'Reconciliation report'!F278)</f>
        <v>FYA 25.0</v>
      </c>
      <c r="B283" t="str">
        <f ca="1">'Reconciliation report'!C278</f>
        <v>Year 25</v>
      </c>
      <c r="C283" s="387" t="str">
        <f ca="1">'Reconciliation report'!D278</f>
        <v/>
      </c>
      <c r="D283" s="387" t="str">
        <f t="shared" ca="1" si="4"/>
        <v/>
      </c>
    </row>
    <row r="284" spans="1:4" hidden="1">
      <c r="A284" s="1" t="str">
        <f ca="1">HYPERLINK("#" &amp; 'Reconciliation report'!I279,'Reconciliation report'!F279)</f>
        <v>FYA 26.0</v>
      </c>
      <c r="B284" t="str">
        <f ca="1">'Reconciliation report'!C279</f>
        <v>Year 26</v>
      </c>
      <c r="C284" s="387" t="str">
        <f ca="1">'Reconciliation report'!D279</f>
        <v/>
      </c>
      <c r="D284" s="387" t="str">
        <f t="shared" ca="1" si="4"/>
        <v/>
      </c>
    </row>
    <row r="285" spans="1:4" hidden="1">
      <c r="A285" s="1" t="str">
        <f ca="1">HYPERLINK("#" &amp; 'Reconciliation report'!I280,'Reconciliation report'!F280)</f>
        <v>FYA 27.0</v>
      </c>
      <c r="B285" t="str">
        <f ca="1">'Reconciliation report'!C280</f>
        <v>Year 27</v>
      </c>
      <c r="C285" s="387" t="str">
        <f ca="1">'Reconciliation report'!D280</f>
        <v/>
      </c>
      <c r="D285" s="387" t="str">
        <f t="shared" ca="1" si="4"/>
        <v/>
      </c>
    </row>
    <row r="286" spans="1:4" hidden="1">
      <c r="A286" s="1" t="str">
        <f ca="1">HYPERLINK("#" &amp; 'Reconciliation report'!I281,'Reconciliation report'!F281)</f>
        <v>FYA 28.0</v>
      </c>
      <c r="B286" t="str">
        <f ca="1">'Reconciliation report'!C281</f>
        <v>Year 28</v>
      </c>
      <c r="C286" s="387" t="str">
        <f ca="1">'Reconciliation report'!D281</f>
        <v/>
      </c>
      <c r="D286" s="387" t="str">
        <f t="shared" ca="1" si="4"/>
        <v/>
      </c>
    </row>
    <row r="287" spans="1:4" hidden="1">
      <c r="A287" s="1" t="str">
        <f ca="1">HYPERLINK("#" &amp; 'Reconciliation report'!I282,'Reconciliation report'!F282)</f>
        <v>FYA 29.0</v>
      </c>
      <c r="B287" t="str">
        <f ca="1">'Reconciliation report'!C282</f>
        <v>Year 29</v>
      </c>
      <c r="C287" s="387" t="str">
        <f ca="1">'Reconciliation report'!D282</f>
        <v/>
      </c>
      <c r="D287" s="387" t="str">
        <f t="shared" ca="1" si="4"/>
        <v/>
      </c>
    </row>
    <row r="288" spans="1:4" hidden="1">
      <c r="A288" s="1" t="str">
        <f ca="1">HYPERLINK("#" &amp; 'Reconciliation report'!I283,'Reconciliation report'!F283)</f>
        <v>FYA 30.0</v>
      </c>
      <c r="B288" t="str">
        <f ca="1">'Reconciliation report'!C283</f>
        <v>Year 30</v>
      </c>
      <c r="C288" s="387" t="str">
        <f ca="1">'Reconciliation report'!D283</f>
        <v/>
      </c>
      <c r="D288" s="387" t="str">
        <f t="shared" ca="1" si="4"/>
        <v/>
      </c>
    </row>
    <row r="289" spans="1:4" hidden="1">
      <c r="A289" s="1" t="str">
        <f ca="1">HYPERLINK("#" &amp; 'Reconciliation report'!I284,'Reconciliation report'!F284)</f>
        <v>FYA 31.0</v>
      </c>
      <c r="B289" t="str">
        <f ca="1">'Reconciliation report'!C284</f>
        <v>Year 31</v>
      </c>
      <c r="C289" s="387" t="str">
        <f ca="1">'Reconciliation report'!D284</f>
        <v/>
      </c>
      <c r="D289" s="387" t="str">
        <f t="shared" ca="1" si="4"/>
        <v/>
      </c>
    </row>
    <row r="290" spans="1:4" hidden="1">
      <c r="A290" s="1" t="str">
        <f ca="1">HYPERLINK("#" &amp; 'Reconciliation report'!I285,'Reconciliation report'!F285)</f>
        <v>FYA 32.0</v>
      </c>
      <c r="B290" t="str">
        <f ca="1">'Reconciliation report'!C285</f>
        <v>Year 32</v>
      </c>
      <c r="C290" s="387" t="str">
        <f ca="1">'Reconciliation report'!D285</f>
        <v/>
      </c>
      <c r="D290" s="387" t="str">
        <f t="shared" ca="1" si="4"/>
        <v/>
      </c>
    </row>
    <row r="291" spans="1:4" hidden="1">
      <c r="A291" s="1" t="str">
        <f ca="1">HYPERLINK("#" &amp; 'Reconciliation report'!I286,'Reconciliation report'!F286)</f>
        <v>FYA 33.0</v>
      </c>
      <c r="B291" t="str">
        <f ca="1">'Reconciliation report'!C286</f>
        <v>Year 33</v>
      </c>
      <c r="C291" s="387" t="str">
        <f ca="1">'Reconciliation report'!D286</f>
        <v/>
      </c>
      <c r="D291" s="387" t="str">
        <f t="shared" ca="1" si="4"/>
        <v/>
      </c>
    </row>
    <row r="292" spans="1:4" hidden="1">
      <c r="A292" s="1" t="str">
        <f ca="1">HYPERLINK("#" &amp; 'Reconciliation report'!I287,'Reconciliation report'!F287)</f>
        <v>FYA 34.0</v>
      </c>
      <c r="B292" t="str">
        <f ca="1">'Reconciliation report'!C287</f>
        <v>Year 34</v>
      </c>
      <c r="C292" s="387" t="str">
        <f ca="1">'Reconciliation report'!D287</f>
        <v/>
      </c>
      <c r="D292" s="387" t="str">
        <f t="shared" ca="1" si="4"/>
        <v/>
      </c>
    </row>
    <row r="293" spans="1:4" hidden="1">
      <c r="A293" s="1" t="str">
        <f ca="1">HYPERLINK("#" &amp; 'Reconciliation report'!I288,'Reconciliation report'!F288)</f>
        <v>FYA 35.0</v>
      </c>
      <c r="B293" t="str">
        <f ca="1">'Reconciliation report'!C288</f>
        <v>Year 35</v>
      </c>
      <c r="C293" s="387" t="str">
        <f ca="1">'Reconciliation report'!D288</f>
        <v/>
      </c>
      <c r="D293" s="387" t="str">
        <f t="shared" ca="1" si="4"/>
        <v/>
      </c>
    </row>
    <row r="294" spans="1:4" hidden="1">
      <c r="A294" s="1" t="str">
        <f ca="1">HYPERLINK("#" &amp; 'Reconciliation report'!I289,'Reconciliation report'!F289)</f>
        <v>FYA 36.0</v>
      </c>
      <c r="B294" t="str">
        <f ca="1">'Reconciliation report'!C289</f>
        <v>Year 36</v>
      </c>
      <c r="C294" s="387" t="str">
        <f ca="1">'Reconciliation report'!D289</f>
        <v/>
      </c>
      <c r="D294" s="387" t="str">
        <f t="shared" ca="1" si="4"/>
        <v/>
      </c>
    </row>
    <row r="295" spans="1:4" hidden="1">
      <c r="A295" s="1" t="str">
        <f ca="1">HYPERLINK("#" &amp; 'Reconciliation report'!I290,'Reconciliation report'!F290)</f>
        <v>FYA 37.0</v>
      </c>
      <c r="B295" t="str">
        <f ca="1">'Reconciliation report'!C290</f>
        <v>Year 37</v>
      </c>
      <c r="C295" s="387" t="str">
        <f ca="1">'Reconciliation report'!D290</f>
        <v/>
      </c>
      <c r="D295" s="387" t="str">
        <f t="shared" ca="1" si="4"/>
        <v/>
      </c>
    </row>
    <row r="296" spans="1:4" hidden="1">
      <c r="A296" s="1" t="str">
        <f ca="1">HYPERLINK("#" &amp; 'Reconciliation report'!I291,'Reconciliation report'!F291)</f>
        <v>FYA 38.0</v>
      </c>
      <c r="B296" t="str">
        <f ca="1">'Reconciliation report'!C291</f>
        <v>Year 38</v>
      </c>
      <c r="C296" s="387" t="str">
        <f ca="1">'Reconciliation report'!D291</f>
        <v/>
      </c>
      <c r="D296" s="387" t="str">
        <f t="shared" ca="1" si="4"/>
        <v/>
      </c>
    </row>
    <row r="297" spans="1:4" hidden="1">
      <c r="A297" s="1" t="str">
        <f ca="1">HYPERLINK("#" &amp; 'Reconciliation report'!I292,'Reconciliation report'!F292)</f>
        <v>FYA 39.0</v>
      </c>
      <c r="B297" t="str">
        <f ca="1">'Reconciliation report'!C292</f>
        <v>Year 39</v>
      </c>
      <c r="C297" s="387" t="str">
        <f ca="1">'Reconciliation report'!D292</f>
        <v/>
      </c>
      <c r="D297" s="387" t="str">
        <f t="shared" ca="1" si="4"/>
        <v/>
      </c>
    </row>
    <row r="298" spans="1:4" hidden="1">
      <c r="A298" s="1" t="str">
        <f ca="1">HYPERLINK("#" &amp; 'Reconciliation report'!I293,'Reconciliation report'!F293)</f>
        <v>FYA 40.0</v>
      </c>
      <c r="B298" t="str">
        <f ca="1">'Reconciliation report'!C293</f>
        <v>Year 40</v>
      </c>
      <c r="C298" s="387" t="str">
        <f ca="1">'Reconciliation report'!D293</f>
        <v/>
      </c>
      <c r="D298" s="387" t="str">
        <f t="shared" ca="1" si="4"/>
        <v/>
      </c>
    </row>
    <row r="299" spans="1:4" hidden="1">
      <c r="A299" s="1" t="str">
        <f ca="1">HYPERLINK("#" &amp; 'Reconciliation report'!I294,'Reconciliation report'!F294)</f>
        <v>FYA 1.0</v>
      </c>
      <c r="B299" t="str">
        <f ca="1">'Reconciliation report'!C294</f>
        <v>Year 1</v>
      </c>
      <c r="C299" s="387" t="str">
        <f ca="1">'Reconciliation report'!D294</f>
        <v/>
      </c>
      <c r="D299" s="387" t="str">
        <f t="shared" ca="1" si="4"/>
        <v/>
      </c>
    </row>
    <row r="300" spans="1:4" hidden="1">
      <c r="A300" s="1" t="str">
        <f ca="1">HYPERLINK("#" &amp; 'Reconciliation report'!I295,'Reconciliation report'!F295)</f>
        <v>FYA 2.0</v>
      </c>
      <c r="B300" t="str">
        <f ca="1">'Reconciliation report'!C295</f>
        <v>Year 2</v>
      </c>
      <c r="C300" s="387" t="str">
        <f ca="1">'Reconciliation report'!D295</f>
        <v/>
      </c>
      <c r="D300" s="387" t="str">
        <f t="shared" ca="1" si="4"/>
        <v/>
      </c>
    </row>
    <row r="301" spans="1:4" hidden="1">
      <c r="A301" s="1" t="str">
        <f ca="1">HYPERLINK("#" &amp; 'Reconciliation report'!I296,'Reconciliation report'!F296)</f>
        <v>FYA 3.0</v>
      </c>
      <c r="B301" t="str">
        <f ca="1">'Reconciliation report'!C296</f>
        <v>Year 3</v>
      </c>
      <c r="C301" s="387" t="str">
        <f ca="1">'Reconciliation report'!D296</f>
        <v/>
      </c>
      <c r="D301" s="387" t="str">
        <f t="shared" ca="1" si="4"/>
        <v/>
      </c>
    </row>
    <row r="302" spans="1:4" hidden="1">
      <c r="A302" s="1" t="str">
        <f ca="1">HYPERLINK("#" &amp; 'Reconciliation report'!I297,'Reconciliation report'!F297)</f>
        <v>FYA 4.0</v>
      </c>
      <c r="B302" t="str">
        <f ca="1">'Reconciliation report'!C297</f>
        <v>Year 4</v>
      </c>
      <c r="C302" s="387" t="str">
        <f ca="1">'Reconciliation report'!D297</f>
        <v/>
      </c>
      <c r="D302" s="387" t="str">
        <f t="shared" ca="1" si="4"/>
        <v/>
      </c>
    </row>
    <row r="303" spans="1:4" hidden="1">
      <c r="A303" s="1" t="str">
        <f ca="1">HYPERLINK("#" &amp; 'Reconciliation report'!I298,'Reconciliation report'!F298)</f>
        <v>FYA 5.0</v>
      </c>
      <c r="B303" t="str">
        <f ca="1">'Reconciliation report'!C298</f>
        <v>Year 5</v>
      </c>
      <c r="C303" s="387" t="str">
        <f ca="1">'Reconciliation report'!D298</f>
        <v/>
      </c>
      <c r="D303" s="387" t="str">
        <f t="shared" ca="1" si="4"/>
        <v/>
      </c>
    </row>
    <row r="304" spans="1:4" hidden="1">
      <c r="A304" s="1" t="str">
        <f ca="1">HYPERLINK("#" &amp; 'Reconciliation report'!I299,'Reconciliation report'!F299)</f>
        <v>FYA 6.0</v>
      </c>
      <c r="B304" t="str">
        <f ca="1">'Reconciliation report'!C299</f>
        <v>Year 6</v>
      </c>
      <c r="C304" s="387" t="str">
        <f ca="1">'Reconciliation report'!D299</f>
        <v/>
      </c>
      <c r="D304" s="387" t="str">
        <f t="shared" ca="1" si="4"/>
        <v/>
      </c>
    </row>
    <row r="305" spans="1:4" hidden="1">
      <c r="A305" s="1" t="str">
        <f ca="1">HYPERLINK("#" &amp; 'Reconciliation report'!I300,'Reconciliation report'!F300)</f>
        <v>FYA 7.0</v>
      </c>
      <c r="B305" t="str">
        <f ca="1">'Reconciliation report'!C300</f>
        <v>Year 7</v>
      </c>
      <c r="C305" s="387" t="str">
        <f ca="1">'Reconciliation report'!D300</f>
        <v/>
      </c>
      <c r="D305" s="387" t="str">
        <f t="shared" ca="1" si="4"/>
        <v/>
      </c>
    </row>
    <row r="306" spans="1:4" hidden="1">
      <c r="A306" s="1" t="str">
        <f ca="1">HYPERLINK("#" &amp; 'Reconciliation report'!I301,'Reconciliation report'!F301)</f>
        <v>FYA 8.0</v>
      </c>
      <c r="B306" t="str">
        <f ca="1">'Reconciliation report'!C301</f>
        <v>Year 8</v>
      </c>
      <c r="C306" s="387" t="str">
        <f ca="1">'Reconciliation report'!D301</f>
        <v/>
      </c>
      <c r="D306" s="387" t="str">
        <f t="shared" ca="1" si="4"/>
        <v/>
      </c>
    </row>
    <row r="307" spans="1:4" hidden="1">
      <c r="A307" s="1" t="str">
        <f ca="1">HYPERLINK("#" &amp; 'Reconciliation report'!I302,'Reconciliation report'!F302)</f>
        <v>FYA 9.0</v>
      </c>
      <c r="B307" t="str">
        <f ca="1">'Reconciliation report'!C302</f>
        <v>Year 9</v>
      </c>
      <c r="C307" s="387" t="str">
        <f ca="1">'Reconciliation report'!D302</f>
        <v/>
      </c>
      <c r="D307" s="387" t="str">
        <f t="shared" ca="1" si="4"/>
        <v/>
      </c>
    </row>
    <row r="308" spans="1:4" hidden="1">
      <c r="A308" s="1" t="str">
        <f ca="1">HYPERLINK("#" &amp; 'Reconciliation report'!I303,'Reconciliation report'!F303)</f>
        <v>FYA 10.0</v>
      </c>
      <c r="B308" t="str">
        <f ca="1">'Reconciliation report'!C303</f>
        <v>Year 10</v>
      </c>
      <c r="C308" s="387" t="str">
        <f ca="1">'Reconciliation report'!D303</f>
        <v/>
      </c>
      <c r="D308" s="387" t="str">
        <f t="shared" ca="1" si="4"/>
        <v/>
      </c>
    </row>
    <row r="309" spans="1:4" hidden="1">
      <c r="A309" s="1" t="str">
        <f ca="1">HYPERLINK("#" &amp; 'Reconciliation report'!I304,'Reconciliation report'!F304)</f>
        <v>FYA 11.0</v>
      </c>
      <c r="B309" t="str">
        <f ca="1">'Reconciliation report'!C304</f>
        <v>Year 11</v>
      </c>
      <c r="C309" s="387" t="str">
        <f ca="1">'Reconciliation report'!D304</f>
        <v/>
      </c>
      <c r="D309" s="387" t="str">
        <f t="shared" ca="1" si="4"/>
        <v/>
      </c>
    </row>
    <row r="310" spans="1:4" hidden="1">
      <c r="A310" s="1" t="str">
        <f ca="1">HYPERLINK("#" &amp; 'Reconciliation report'!I305,'Reconciliation report'!F305)</f>
        <v>FYA 12.0</v>
      </c>
      <c r="B310" t="str">
        <f ca="1">'Reconciliation report'!C305</f>
        <v>Year 12</v>
      </c>
      <c r="C310" s="387" t="str">
        <f ca="1">'Reconciliation report'!D305</f>
        <v/>
      </c>
      <c r="D310" s="387" t="str">
        <f t="shared" ca="1" si="4"/>
        <v/>
      </c>
    </row>
    <row r="311" spans="1:4" hidden="1">
      <c r="A311" s="1" t="str">
        <f ca="1">HYPERLINK("#" &amp; 'Reconciliation report'!I306,'Reconciliation report'!F306)</f>
        <v>FYA 13.0</v>
      </c>
      <c r="B311" t="str">
        <f ca="1">'Reconciliation report'!C306</f>
        <v>Year 13</v>
      </c>
      <c r="C311" s="387" t="str">
        <f ca="1">'Reconciliation report'!D306</f>
        <v/>
      </c>
      <c r="D311" s="387" t="str">
        <f t="shared" ca="1" si="4"/>
        <v/>
      </c>
    </row>
    <row r="312" spans="1:4" hidden="1">
      <c r="A312" s="1" t="str">
        <f ca="1">HYPERLINK("#" &amp; 'Reconciliation report'!I307,'Reconciliation report'!F307)</f>
        <v>FYA 14.0</v>
      </c>
      <c r="B312" t="str">
        <f ca="1">'Reconciliation report'!C307</f>
        <v>Year 14</v>
      </c>
      <c r="C312" s="387" t="str">
        <f ca="1">'Reconciliation report'!D307</f>
        <v/>
      </c>
      <c r="D312" s="387" t="str">
        <f t="shared" ca="1" si="4"/>
        <v/>
      </c>
    </row>
    <row r="313" spans="1:4" hidden="1">
      <c r="A313" s="1" t="str">
        <f ca="1">HYPERLINK("#" &amp; 'Reconciliation report'!I308,'Reconciliation report'!F308)</f>
        <v>FYA 15.0</v>
      </c>
      <c r="B313" t="str">
        <f ca="1">'Reconciliation report'!C308</f>
        <v>Year 15</v>
      </c>
      <c r="C313" s="387" t="str">
        <f ca="1">'Reconciliation report'!D308</f>
        <v/>
      </c>
      <c r="D313" s="387" t="str">
        <f t="shared" ca="1" si="4"/>
        <v/>
      </c>
    </row>
    <row r="314" spans="1:4" hidden="1">
      <c r="A314" s="1" t="str">
        <f ca="1">HYPERLINK("#" &amp; 'Reconciliation report'!I309,'Reconciliation report'!F309)</f>
        <v>FYA 16.0</v>
      </c>
      <c r="B314" t="str">
        <f ca="1">'Reconciliation report'!C309</f>
        <v>Year 16</v>
      </c>
      <c r="C314" s="387" t="str">
        <f ca="1">'Reconciliation report'!D309</f>
        <v/>
      </c>
      <c r="D314" s="387" t="str">
        <f t="shared" ca="1" si="4"/>
        <v/>
      </c>
    </row>
    <row r="315" spans="1:4" hidden="1">
      <c r="A315" s="1" t="str">
        <f ca="1">HYPERLINK("#" &amp; 'Reconciliation report'!I310,'Reconciliation report'!F310)</f>
        <v>FYA 17.0</v>
      </c>
      <c r="B315" t="str">
        <f ca="1">'Reconciliation report'!C310</f>
        <v>Year 17</v>
      </c>
      <c r="C315" s="387" t="str">
        <f ca="1">'Reconciliation report'!D310</f>
        <v/>
      </c>
      <c r="D315" s="387" t="str">
        <f t="shared" ca="1" si="4"/>
        <v/>
      </c>
    </row>
    <row r="316" spans="1:4" hidden="1">
      <c r="A316" s="1" t="str">
        <f ca="1">HYPERLINK("#" &amp; 'Reconciliation report'!I311,'Reconciliation report'!F311)</f>
        <v>FYA 18.0</v>
      </c>
      <c r="B316" t="str">
        <f ca="1">'Reconciliation report'!C311</f>
        <v>Year 18</v>
      </c>
      <c r="C316" s="387" t="str">
        <f ca="1">'Reconciliation report'!D311</f>
        <v/>
      </c>
      <c r="D316" s="387" t="str">
        <f t="shared" ca="1" si="4"/>
        <v/>
      </c>
    </row>
    <row r="317" spans="1:4" hidden="1">
      <c r="A317" s="1" t="str">
        <f ca="1">HYPERLINK("#" &amp; 'Reconciliation report'!I312,'Reconciliation report'!F312)</f>
        <v>FYA 19.0</v>
      </c>
      <c r="B317" t="str">
        <f ca="1">'Reconciliation report'!C312</f>
        <v>Year 19</v>
      </c>
      <c r="C317" s="387" t="str">
        <f ca="1">'Reconciliation report'!D312</f>
        <v/>
      </c>
      <c r="D317" s="387" t="str">
        <f t="shared" ca="1" si="4"/>
        <v/>
      </c>
    </row>
    <row r="318" spans="1:4" hidden="1">
      <c r="A318" s="1" t="str">
        <f ca="1">HYPERLINK("#" &amp; 'Reconciliation report'!I313,'Reconciliation report'!F313)</f>
        <v>FYA 20.0</v>
      </c>
      <c r="B318" t="str">
        <f ca="1">'Reconciliation report'!C313</f>
        <v>Year 20</v>
      </c>
      <c r="C318" s="387" t="str">
        <f ca="1">'Reconciliation report'!D313</f>
        <v/>
      </c>
      <c r="D318" s="387" t="str">
        <f t="shared" ca="1" si="4"/>
        <v/>
      </c>
    </row>
    <row r="319" spans="1:4" hidden="1">
      <c r="A319" s="1" t="str">
        <f ca="1">HYPERLINK("#" &amp; 'Reconciliation report'!I314,'Reconciliation report'!F314)</f>
        <v>FYA 21.0</v>
      </c>
      <c r="B319" t="str">
        <f ca="1">'Reconciliation report'!C314</f>
        <v>Year 21</v>
      </c>
      <c r="C319" s="387" t="str">
        <f ca="1">'Reconciliation report'!D314</f>
        <v/>
      </c>
      <c r="D319" s="387" t="str">
        <f t="shared" ca="1" si="4"/>
        <v/>
      </c>
    </row>
    <row r="320" spans="1:4" hidden="1">
      <c r="A320" s="1" t="str">
        <f ca="1">HYPERLINK("#" &amp; 'Reconciliation report'!I315,'Reconciliation report'!F315)</f>
        <v>FYA 22.0</v>
      </c>
      <c r="B320" t="str">
        <f ca="1">'Reconciliation report'!C315</f>
        <v>Year 22</v>
      </c>
      <c r="C320" s="387" t="str">
        <f ca="1">'Reconciliation report'!D315</f>
        <v/>
      </c>
      <c r="D320" s="387" t="str">
        <f t="shared" ca="1" si="4"/>
        <v/>
      </c>
    </row>
    <row r="321" spans="1:4" hidden="1">
      <c r="A321" s="1" t="str">
        <f ca="1">HYPERLINK("#" &amp; 'Reconciliation report'!I316,'Reconciliation report'!F316)</f>
        <v>FYA 23.0</v>
      </c>
      <c r="B321" t="str">
        <f ca="1">'Reconciliation report'!C316</f>
        <v>Year 23</v>
      </c>
      <c r="C321" s="387" t="str">
        <f ca="1">'Reconciliation report'!D316</f>
        <v/>
      </c>
      <c r="D321" s="387" t="str">
        <f t="shared" ca="1" si="4"/>
        <v/>
      </c>
    </row>
    <row r="322" spans="1:4" hidden="1">
      <c r="A322" s="1" t="str">
        <f ca="1">HYPERLINK("#" &amp; 'Reconciliation report'!I317,'Reconciliation report'!F317)</f>
        <v>FYA 24.0</v>
      </c>
      <c r="B322" t="str">
        <f ca="1">'Reconciliation report'!C317</f>
        <v>Year 24</v>
      </c>
      <c r="C322" s="387" t="str">
        <f ca="1">'Reconciliation report'!D317</f>
        <v/>
      </c>
      <c r="D322" s="387" t="str">
        <f t="shared" ca="1" si="4"/>
        <v/>
      </c>
    </row>
    <row r="323" spans="1:4" hidden="1">
      <c r="A323" s="1" t="str">
        <f ca="1">HYPERLINK("#" &amp; 'Reconciliation report'!I318,'Reconciliation report'!F318)</f>
        <v>FYA 25.0</v>
      </c>
      <c r="B323" t="str">
        <f ca="1">'Reconciliation report'!C318</f>
        <v>Year 25</v>
      </c>
      <c r="C323" s="387" t="str">
        <f ca="1">'Reconciliation report'!D318</f>
        <v/>
      </c>
      <c r="D323" s="387" t="str">
        <f t="shared" ca="1" si="4"/>
        <v/>
      </c>
    </row>
    <row r="324" spans="1:4" hidden="1">
      <c r="A324" s="1" t="str">
        <f ca="1">HYPERLINK("#" &amp; 'Reconciliation report'!I319,'Reconciliation report'!F319)</f>
        <v>FYA 26.0</v>
      </c>
      <c r="B324" t="str">
        <f ca="1">'Reconciliation report'!C319</f>
        <v>Year 26</v>
      </c>
      <c r="C324" s="387" t="str">
        <f ca="1">'Reconciliation report'!D319</f>
        <v/>
      </c>
      <c r="D324" s="387" t="str">
        <f t="shared" ca="1" si="4"/>
        <v/>
      </c>
    </row>
    <row r="325" spans="1:4" hidden="1">
      <c r="A325" s="1" t="str">
        <f ca="1">HYPERLINK("#" &amp; 'Reconciliation report'!I320,'Reconciliation report'!F320)</f>
        <v>FYA 27.0</v>
      </c>
      <c r="B325" t="str">
        <f ca="1">'Reconciliation report'!C320</f>
        <v>Year 27</v>
      </c>
      <c r="C325" s="387" t="str">
        <f ca="1">'Reconciliation report'!D320</f>
        <v/>
      </c>
      <c r="D325" s="387" t="str">
        <f t="shared" ca="1" si="4"/>
        <v/>
      </c>
    </row>
    <row r="326" spans="1:4" hidden="1">
      <c r="A326" s="1" t="str">
        <f ca="1">HYPERLINK("#" &amp; 'Reconciliation report'!I321,'Reconciliation report'!F321)</f>
        <v>FYA 28.0</v>
      </c>
      <c r="B326" t="str">
        <f ca="1">'Reconciliation report'!C321</f>
        <v>Year 28</v>
      </c>
      <c r="C326" s="387" t="str">
        <f ca="1">'Reconciliation report'!D321</f>
        <v/>
      </c>
      <c r="D326" s="387" t="str">
        <f t="shared" ca="1" si="4"/>
        <v/>
      </c>
    </row>
    <row r="327" spans="1:4" hidden="1">
      <c r="A327" s="1" t="str">
        <f ca="1">HYPERLINK("#" &amp; 'Reconciliation report'!I322,'Reconciliation report'!F322)</f>
        <v>FYA 29.0</v>
      </c>
      <c r="B327" t="str">
        <f ca="1">'Reconciliation report'!C322</f>
        <v>Year 29</v>
      </c>
      <c r="C327" s="387" t="str">
        <f ca="1">'Reconciliation report'!D322</f>
        <v/>
      </c>
      <c r="D327" s="387" t="str">
        <f t="shared" ref="D327:D390" ca="1" si="5">IFERROR(IF(LEN(TRIM(CLEAN(C327))) &gt; 0, "Refresh the error report", ""), "")</f>
        <v/>
      </c>
    </row>
    <row r="328" spans="1:4" hidden="1">
      <c r="A328" s="1" t="str">
        <f ca="1">HYPERLINK("#" &amp; 'Reconciliation report'!I323,'Reconciliation report'!F323)</f>
        <v>FYA 30.0</v>
      </c>
      <c r="B328" t="str">
        <f ca="1">'Reconciliation report'!C323</f>
        <v>Year 30</v>
      </c>
      <c r="C328" s="387" t="str">
        <f ca="1">'Reconciliation report'!D323</f>
        <v/>
      </c>
      <c r="D328" s="387" t="str">
        <f t="shared" ca="1" si="5"/>
        <v/>
      </c>
    </row>
    <row r="329" spans="1:4" hidden="1">
      <c r="A329" s="1" t="str">
        <f ca="1">HYPERLINK("#" &amp; 'Reconciliation report'!I324,'Reconciliation report'!F324)</f>
        <v>FYA 31.0</v>
      </c>
      <c r="B329" t="str">
        <f ca="1">'Reconciliation report'!C324</f>
        <v>Year 31</v>
      </c>
      <c r="C329" s="387" t="str">
        <f ca="1">'Reconciliation report'!D324</f>
        <v/>
      </c>
      <c r="D329" s="387" t="str">
        <f t="shared" ca="1" si="5"/>
        <v/>
      </c>
    </row>
    <row r="330" spans="1:4" hidden="1">
      <c r="A330" s="1" t="str">
        <f ca="1">HYPERLINK("#" &amp; 'Reconciliation report'!I325,'Reconciliation report'!F325)</f>
        <v>FYA 32.0</v>
      </c>
      <c r="B330" t="str">
        <f ca="1">'Reconciliation report'!C325</f>
        <v>Year 32</v>
      </c>
      <c r="C330" s="387" t="str">
        <f ca="1">'Reconciliation report'!D325</f>
        <v/>
      </c>
      <c r="D330" s="387" t="str">
        <f t="shared" ca="1" si="5"/>
        <v/>
      </c>
    </row>
    <row r="331" spans="1:4" hidden="1">
      <c r="A331" s="1" t="str">
        <f ca="1">HYPERLINK("#" &amp; 'Reconciliation report'!I326,'Reconciliation report'!F326)</f>
        <v>FYA 33.0</v>
      </c>
      <c r="B331" t="str">
        <f ca="1">'Reconciliation report'!C326</f>
        <v>Year 33</v>
      </c>
      <c r="C331" s="387" t="str">
        <f ca="1">'Reconciliation report'!D326</f>
        <v/>
      </c>
      <c r="D331" s="387" t="str">
        <f t="shared" ca="1" si="5"/>
        <v/>
      </c>
    </row>
    <row r="332" spans="1:4" hidden="1">
      <c r="A332" s="1" t="str">
        <f ca="1">HYPERLINK("#" &amp; 'Reconciliation report'!I327,'Reconciliation report'!F327)</f>
        <v>FYA 34.0</v>
      </c>
      <c r="B332" t="str">
        <f ca="1">'Reconciliation report'!C327</f>
        <v>Year 34</v>
      </c>
      <c r="C332" s="387" t="str">
        <f ca="1">'Reconciliation report'!D327</f>
        <v/>
      </c>
      <c r="D332" s="387" t="str">
        <f t="shared" ca="1" si="5"/>
        <v/>
      </c>
    </row>
    <row r="333" spans="1:4" hidden="1">
      <c r="A333" s="1" t="str">
        <f ca="1">HYPERLINK("#" &amp; 'Reconciliation report'!I328,'Reconciliation report'!F328)</f>
        <v>FYA 35.0</v>
      </c>
      <c r="B333" t="str">
        <f ca="1">'Reconciliation report'!C328</f>
        <v>Year 35</v>
      </c>
      <c r="C333" s="387" t="str">
        <f ca="1">'Reconciliation report'!D328</f>
        <v/>
      </c>
      <c r="D333" s="387" t="str">
        <f t="shared" ca="1" si="5"/>
        <v/>
      </c>
    </row>
    <row r="334" spans="1:4" hidden="1">
      <c r="A334" s="1" t="str">
        <f ca="1">HYPERLINK("#" &amp; 'Reconciliation report'!I329,'Reconciliation report'!F329)</f>
        <v>FYA 36.0</v>
      </c>
      <c r="B334" t="str">
        <f ca="1">'Reconciliation report'!C329</f>
        <v>Year 36</v>
      </c>
      <c r="C334" s="387" t="str">
        <f ca="1">'Reconciliation report'!D329</f>
        <v/>
      </c>
      <c r="D334" s="387" t="str">
        <f t="shared" ca="1" si="5"/>
        <v/>
      </c>
    </row>
    <row r="335" spans="1:4" hidden="1">
      <c r="A335" s="1" t="str">
        <f ca="1">HYPERLINK("#" &amp; 'Reconciliation report'!I330,'Reconciliation report'!F330)</f>
        <v>FYA 37.0</v>
      </c>
      <c r="B335" t="str">
        <f ca="1">'Reconciliation report'!C330</f>
        <v>Year 37</v>
      </c>
      <c r="C335" s="387" t="str">
        <f ca="1">'Reconciliation report'!D330</f>
        <v/>
      </c>
      <c r="D335" s="387" t="str">
        <f t="shared" ca="1" si="5"/>
        <v/>
      </c>
    </row>
    <row r="336" spans="1:4" hidden="1">
      <c r="A336" s="1" t="str">
        <f ca="1">HYPERLINK("#" &amp; 'Reconciliation report'!I331,'Reconciliation report'!F331)</f>
        <v>FYA 38.0</v>
      </c>
      <c r="B336" t="str">
        <f ca="1">'Reconciliation report'!C331</f>
        <v>Year 38</v>
      </c>
      <c r="C336" s="387" t="str">
        <f ca="1">'Reconciliation report'!D331</f>
        <v/>
      </c>
      <c r="D336" s="387" t="str">
        <f t="shared" ca="1" si="5"/>
        <v/>
      </c>
    </row>
    <row r="337" spans="1:4" hidden="1">
      <c r="A337" s="1" t="str">
        <f ca="1">HYPERLINK("#" &amp; 'Reconciliation report'!I332,'Reconciliation report'!F332)</f>
        <v>FYA 39.0</v>
      </c>
      <c r="B337" t="str">
        <f ca="1">'Reconciliation report'!C332</f>
        <v>Year 39</v>
      </c>
      <c r="C337" s="387" t="str">
        <f ca="1">'Reconciliation report'!D332</f>
        <v/>
      </c>
      <c r="D337" s="387" t="str">
        <f t="shared" ca="1" si="5"/>
        <v/>
      </c>
    </row>
    <row r="338" spans="1:4" hidden="1">
      <c r="A338" s="1" t="str">
        <f ca="1">HYPERLINK("#" &amp; 'Reconciliation report'!I333,'Reconciliation report'!F333)</f>
        <v>FYA 40.0</v>
      </c>
      <c r="B338" t="str">
        <f ca="1">'Reconciliation report'!C333</f>
        <v>Year 40</v>
      </c>
      <c r="C338" s="387" t="str">
        <f ca="1">'Reconciliation report'!D333</f>
        <v/>
      </c>
      <c r="D338" s="387" t="str">
        <f t="shared" ca="1" si="5"/>
        <v/>
      </c>
    </row>
    <row r="339" spans="1:4" hidden="1">
      <c r="A339" s="1" t="str">
        <f ca="1">HYPERLINK("#" &amp; 'Reconciliation report'!I334,'Reconciliation report'!F334)</f>
        <v>FYA 1.0</v>
      </c>
      <c r="B339" t="str">
        <f ca="1">'Reconciliation report'!C334</f>
        <v>Year 1</v>
      </c>
      <c r="C339" s="387" t="str">
        <f ca="1">'Reconciliation report'!D334</f>
        <v/>
      </c>
      <c r="D339" s="387" t="str">
        <f t="shared" ca="1" si="5"/>
        <v/>
      </c>
    </row>
    <row r="340" spans="1:4" hidden="1">
      <c r="A340" s="1" t="str">
        <f ca="1">HYPERLINK("#" &amp; 'Reconciliation report'!I335,'Reconciliation report'!F335)</f>
        <v>FYA 2.0</v>
      </c>
      <c r="B340" t="str">
        <f ca="1">'Reconciliation report'!C335</f>
        <v>Year 2</v>
      </c>
      <c r="C340" s="387" t="str">
        <f ca="1">'Reconciliation report'!D335</f>
        <v/>
      </c>
      <c r="D340" s="387" t="str">
        <f t="shared" ca="1" si="5"/>
        <v/>
      </c>
    </row>
    <row r="341" spans="1:4" hidden="1">
      <c r="A341" s="1" t="str">
        <f ca="1">HYPERLINK("#" &amp; 'Reconciliation report'!I336,'Reconciliation report'!F336)</f>
        <v>FYA 3.0</v>
      </c>
      <c r="B341" t="str">
        <f ca="1">'Reconciliation report'!C336</f>
        <v>Year 3</v>
      </c>
      <c r="C341" s="387" t="str">
        <f ca="1">'Reconciliation report'!D336</f>
        <v/>
      </c>
      <c r="D341" s="387" t="str">
        <f t="shared" ca="1" si="5"/>
        <v/>
      </c>
    </row>
    <row r="342" spans="1:4" hidden="1">
      <c r="A342" s="1" t="str">
        <f ca="1">HYPERLINK("#" &amp; 'Reconciliation report'!I337,'Reconciliation report'!F337)</f>
        <v>FYA 4.0</v>
      </c>
      <c r="B342" t="str">
        <f ca="1">'Reconciliation report'!C337</f>
        <v>Year 4</v>
      </c>
      <c r="C342" s="387" t="str">
        <f ca="1">'Reconciliation report'!D337</f>
        <v/>
      </c>
      <c r="D342" s="387" t="str">
        <f t="shared" ca="1" si="5"/>
        <v/>
      </c>
    </row>
    <row r="343" spans="1:4" hidden="1">
      <c r="A343" s="1" t="str">
        <f ca="1">HYPERLINK("#" &amp; 'Reconciliation report'!I338,'Reconciliation report'!F338)</f>
        <v>FYA 5.0</v>
      </c>
      <c r="B343" t="str">
        <f ca="1">'Reconciliation report'!C338</f>
        <v>Year 5</v>
      </c>
      <c r="C343" s="387" t="str">
        <f ca="1">'Reconciliation report'!D338</f>
        <v/>
      </c>
      <c r="D343" s="387" t="str">
        <f t="shared" ca="1" si="5"/>
        <v/>
      </c>
    </row>
    <row r="344" spans="1:4" hidden="1">
      <c r="A344" s="1" t="str">
        <f ca="1">HYPERLINK("#" &amp; 'Reconciliation report'!I339,'Reconciliation report'!F339)</f>
        <v>FYA 6.0</v>
      </c>
      <c r="B344" t="str">
        <f ca="1">'Reconciliation report'!C339</f>
        <v>Year 6</v>
      </c>
      <c r="C344" s="387" t="str">
        <f ca="1">'Reconciliation report'!D339</f>
        <v/>
      </c>
      <c r="D344" s="387" t="str">
        <f t="shared" ca="1" si="5"/>
        <v/>
      </c>
    </row>
    <row r="345" spans="1:4" hidden="1">
      <c r="A345" s="1" t="str">
        <f ca="1">HYPERLINK("#" &amp; 'Reconciliation report'!I340,'Reconciliation report'!F340)</f>
        <v>FYA 7.0</v>
      </c>
      <c r="B345" t="str">
        <f ca="1">'Reconciliation report'!C340</f>
        <v>Year 7</v>
      </c>
      <c r="C345" s="387" t="str">
        <f ca="1">'Reconciliation report'!D340</f>
        <v/>
      </c>
      <c r="D345" s="387" t="str">
        <f t="shared" ca="1" si="5"/>
        <v/>
      </c>
    </row>
    <row r="346" spans="1:4" hidden="1">
      <c r="A346" s="1" t="str">
        <f ca="1">HYPERLINK("#" &amp; 'Reconciliation report'!I341,'Reconciliation report'!F341)</f>
        <v>FYA 8.0</v>
      </c>
      <c r="B346" t="str">
        <f ca="1">'Reconciliation report'!C341</f>
        <v>Year 8</v>
      </c>
      <c r="C346" s="387" t="str">
        <f ca="1">'Reconciliation report'!D341</f>
        <v/>
      </c>
      <c r="D346" s="387" t="str">
        <f t="shared" ca="1" si="5"/>
        <v/>
      </c>
    </row>
    <row r="347" spans="1:4" hidden="1">
      <c r="A347" s="1" t="str">
        <f ca="1">HYPERLINK("#" &amp; 'Reconciliation report'!I342,'Reconciliation report'!F342)</f>
        <v>FYA 9.0</v>
      </c>
      <c r="B347" t="str">
        <f ca="1">'Reconciliation report'!C342</f>
        <v>Year 9</v>
      </c>
      <c r="C347" s="387" t="str">
        <f ca="1">'Reconciliation report'!D342</f>
        <v/>
      </c>
      <c r="D347" s="387" t="str">
        <f t="shared" ca="1" si="5"/>
        <v/>
      </c>
    </row>
    <row r="348" spans="1:4" hidden="1">
      <c r="A348" s="1" t="str">
        <f ca="1">HYPERLINK("#" &amp; 'Reconciliation report'!I343,'Reconciliation report'!F343)</f>
        <v>FYA 10.0</v>
      </c>
      <c r="B348" t="str">
        <f ca="1">'Reconciliation report'!C343</f>
        <v>Year 10</v>
      </c>
      <c r="C348" s="387" t="str">
        <f ca="1">'Reconciliation report'!D343</f>
        <v/>
      </c>
      <c r="D348" s="387" t="str">
        <f t="shared" ca="1" si="5"/>
        <v/>
      </c>
    </row>
    <row r="349" spans="1:4" hidden="1">
      <c r="A349" s="1" t="str">
        <f ca="1">HYPERLINK("#" &amp; 'Reconciliation report'!I344,'Reconciliation report'!F344)</f>
        <v>FYA 11.0</v>
      </c>
      <c r="B349" t="str">
        <f ca="1">'Reconciliation report'!C344</f>
        <v>Year 11</v>
      </c>
      <c r="C349" s="387" t="str">
        <f ca="1">'Reconciliation report'!D344</f>
        <v/>
      </c>
      <c r="D349" s="387" t="str">
        <f t="shared" ca="1" si="5"/>
        <v/>
      </c>
    </row>
    <row r="350" spans="1:4" hidden="1">
      <c r="A350" s="1" t="str">
        <f ca="1">HYPERLINK("#" &amp; 'Reconciliation report'!I345,'Reconciliation report'!F345)</f>
        <v>FYA 12.0</v>
      </c>
      <c r="B350" t="str">
        <f ca="1">'Reconciliation report'!C345</f>
        <v>Year 12</v>
      </c>
      <c r="C350" s="387" t="str">
        <f ca="1">'Reconciliation report'!D345</f>
        <v/>
      </c>
      <c r="D350" s="387" t="str">
        <f t="shared" ca="1" si="5"/>
        <v/>
      </c>
    </row>
    <row r="351" spans="1:4" hidden="1">
      <c r="A351" s="1" t="str">
        <f ca="1">HYPERLINK("#" &amp; 'Reconciliation report'!I346,'Reconciliation report'!F346)</f>
        <v>FYA 13.0</v>
      </c>
      <c r="B351" t="str">
        <f ca="1">'Reconciliation report'!C346</f>
        <v>Year 13</v>
      </c>
      <c r="C351" s="387" t="str">
        <f ca="1">'Reconciliation report'!D346</f>
        <v/>
      </c>
      <c r="D351" s="387" t="str">
        <f t="shared" ca="1" si="5"/>
        <v/>
      </c>
    </row>
    <row r="352" spans="1:4" hidden="1">
      <c r="A352" s="1" t="str">
        <f ca="1">HYPERLINK("#" &amp; 'Reconciliation report'!I347,'Reconciliation report'!F347)</f>
        <v>FYA 14.0</v>
      </c>
      <c r="B352" t="str">
        <f ca="1">'Reconciliation report'!C347</f>
        <v>Year 14</v>
      </c>
      <c r="C352" s="387" t="str">
        <f ca="1">'Reconciliation report'!D347</f>
        <v/>
      </c>
      <c r="D352" s="387" t="str">
        <f t="shared" ca="1" si="5"/>
        <v/>
      </c>
    </row>
    <row r="353" spans="1:4" hidden="1">
      <c r="A353" s="1" t="str">
        <f ca="1">HYPERLINK("#" &amp; 'Reconciliation report'!I348,'Reconciliation report'!F348)</f>
        <v>FYA 15.0</v>
      </c>
      <c r="B353" t="str">
        <f ca="1">'Reconciliation report'!C348</f>
        <v>Year 15</v>
      </c>
      <c r="C353" s="387" t="str">
        <f ca="1">'Reconciliation report'!D348</f>
        <v/>
      </c>
      <c r="D353" s="387" t="str">
        <f t="shared" ca="1" si="5"/>
        <v/>
      </c>
    </row>
    <row r="354" spans="1:4" hidden="1">
      <c r="A354" s="1" t="str">
        <f ca="1">HYPERLINK("#" &amp; 'Reconciliation report'!I349,'Reconciliation report'!F349)</f>
        <v>FYA 16.0</v>
      </c>
      <c r="B354" t="str">
        <f ca="1">'Reconciliation report'!C349</f>
        <v>Year 16</v>
      </c>
      <c r="C354" s="387" t="str">
        <f ca="1">'Reconciliation report'!D349</f>
        <v/>
      </c>
      <c r="D354" s="387" t="str">
        <f t="shared" ca="1" si="5"/>
        <v/>
      </c>
    </row>
    <row r="355" spans="1:4" hidden="1">
      <c r="A355" s="1" t="str">
        <f ca="1">HYPERLINK("#" &amp; 'Reconciliation report'!I350,'Reconciliation report'!F350)</f>
        <v>FYA 17.0</v>
      </c>
      <c r="B355" t="str">
        <f ca="1">'Reconciliation report'!C350</f>
        <v>Year 17</v>
      </c>
      <c r="C355" s="387" t="str">
        <f ca="1">'Reconciliation report'!D350</f>
        <v/>
      </c>
      <c r="D355" s="387" t="str">
        <f t="shared" ca="1" si="5"/>
        <v/>
      </c>
    </row>
    <row r="356" spans="1:4" hidden="1">
      <c r="A356" s="1" t="str">
        <f ca="1">HYPERLINK("#" &amp; 'Reconciliation report'!I351,'Reconciliation report'!F351)</f>
        <v>FYA 18.0</v>
      </c>
      <c r="B356" t="str">
        <f ca="1">'Reconciliation report'!C351</f>
        <v>Year 18</v>
      </c>
      <c r="C356" s="387" t="str">
        <f ca="1">'Reconciliation report'!D351</f>
        <v/>
      </c>
      <c r="D356" s="387" t="str">
        <f t="shared" ca="1" si="5"/>
        <v/>
      </c>
    </row>
    <row r="357" spans="1:4" hidden="1">
      <c r="A357" s="1" t="str">
        <f ca="1">HYPERLINK("#" &amp; 'Reconciliation report'!I352,'Reconciliation report'!F352)</f>
        <v>FYA 19.0</v>
      </c>
      <c r="B357" t="str">
        <f ca="1">'Reconciliation report'!C352</f>
        <v>Year 19</v>
      </c>
      <c r="C357" s="387" t="str">
        <f ca="1">'Reconciliation report'!D352</f>
        <v/>
      </c>
      <c r="D357" s="387" t="str">
        <f t="shared" ca="1" si="5"/>
        <v/>
      </c>
    </row>
    <row r="358" spans="1:4" hidden="1">
      <c r="A358" s="1" t="str">
        <f ca="1">HYPERLINK("#" &amp; 'Reconciliation report'!I353,'Reconciliation report'!F353)</f>
        <v>FYA 20.0</v>
      </c>
      <c r="B358" t="str">
        <f ca="1">'Reconciliation report'!C353</f>
        <v>Year 20</v>
      </c>
      <c r="C358" s="387" t="str">
        <f ca="1">'Reconciliation report'!D353</f>
        <v/>
      </c>
      <c r="D358" s="387" t="str">
        <f t="shared" ca="1" si="5"/>
        <v/>
      </c>
    </row>
    <row r="359" spans="1:4" hidden="1">
      <c r="A359" s="1" t="str">
        <f ca="1">HYPERLINK("#" &amp; 'Reconciliation report'!I354,'Reconciliation report'!F354)</f>
        <v>FYA 21.0</v>
      </c>
      <c r="B359" t="str">
        <f ca="1">'Reconciliation report'!C354</f>
        <v>Year 21</v>
      </c>
      <c r="C359" s="387" t="str">
        <f ca="1">'Reconciliation report'!D354</f>
        <v/>
      </c>
      <c r="D359" s="387" t="str">
        <f t="shared" ca="1" si="5"/>
        <v/>
      </c>
    </row>
    <row r="360" spans="1:4" hidden="1">
      <c r="A360" s="1" t="str">
        <f ca="1">HYPERLINK("#" &amp; 'Reconciliation report'!I355,'Reconciliation report'!F355)</f>
        <v>FYA 22.0</v>
      </c>
      <c r="B360" t="str">
        <f ca="1">'Reconciliation report'!C355</f>
        <v>Year 22</v>
      </c>
      <c r="C360" s="387" t="str">
        <f ca="1">'Reconciliation report'!D355</f>
        <v/>
      </c>
      <c r="D360" s="387" t="str">
        <f t="shared" ca="1" si="5"/>
        <v/>
      </c>
    </row>
    <row r="361" spans="1:4" hidden="1">
      <c r="A361" s="1" t="str">
        <f ca="1">HYPERLINK("#" &amp; 'Reconciliation report'!I356,'Reconciliation report'!F356)</f>
        <v>FYA 23.0</v>
      </c>
      <c r="B361" t="str">
        <f ca="1">'Reconciliation report'!C356</f>
        <v>Year 23</v>
      </c>
      <c r="C361" s="387" t="str">
        <f ca="1">'Reconciliation report'!D356</f>
        <v/>
      </c>
      <c r="D361" s="387" t="str">
        <f t="shared" ca="1" si="5"/>
        <v/>
      </c>
    </row>
    <row r="362" spans="1:4" hidden="1">
      <c r="A362" s="1" t="str">
        <f ca="1">HYPERLINK("#" &amp; 'Reconciliation report'!I357,'Reconciliation report'!F357)</f>
        <v>FYA 24.0</v>
      </c>
      <c r="B362" t="str">
        <f ca="1">'Reconciliation report'!C357</f>
        <v>Year 24</v>
      </c>
      <c r="C362" s="387" t="str">
        <f ca="1">'Reconciliation report'!D357</f>
        <v/>
      </c>
      <c r="D362" s="387" t="str">
        <f t="shared" ca="1" si="5"/>
        <v/>
      </c>
    </row>
    <row r="363" spans="1:4" hidden="1">
      <c r="A363" s="1" t="str">
        <f ca="1">HYPERLINK("#" &amp; 'Reconciliation report'!I358,'Reconciliation report'!F358)</f>
        <v>FYA 25.0</v>
      </c>
      <c r="B363" t="str">
        <f ca="1">'Reconciliation report'!C358</f>
        <v>Year 25</v>
      </c>
      <c r="C363" s="387" t="str">
        <f ca="1">'Reconciliation report'!D358</f>
        <v/>
      </c>
      <c r="D363" s="387" t="str">
        <f t="shared" ca="1" si="5"/>
        <v/>
      </c>
    </row>
    <row r="364" spans="1:4" hidden="1">
      <c r="A364" s="1" t="str">
        <f ca="1">HYPERLINK("#" &amp; 'Reconciliation report'!I359,'Reconciliation report'!F359)</f>
        <v>FYA 26.0</v>
      </c>
      <c r="B364" t="str">
        <f ca="1">'Reconciliation report'!C359</f>
        <v>Year 26</v>
      </c>
      <c r="C364" s="387" t="str">
        <f ca="1">'Reconciliation report'!D359</f>
        <v/>
      </c>
      <c r="D364" s="387" t="str">
        <f t="shared" ca="1" si="5"/>
        <v/>
      </c>
    </row>
    <row r="365" spans="1:4" hidden="1">
      <c r="A365" s="1" t="str">
        <f ca="1">HYPERLINK("#" &amp; 'Reconciliation report'!I360,'Reconciliation report'!F360)</f>
        <v>FYA 27.0</v>
      </c>
      <c r="B365" t="str">
        <f ca="1">'Reconciliation report'!C360</f>
        <v>Year 27</v>
      </c>
      <c r="C365" s="387" t="str">
        <f ca="1">'Reconciliation report'!D360</f>
        <v/>
      </c>
      <c r="D365" s="387" t="str">
        <f t="shared" ca="1" si="5"/>
        <v/>
      </c>
    </row>
    <row r="366" spans="1:4" hidden="1">
      <c r="A366" s="1" t="str">
        <f ca="1">HYPERLINK("#" &amp; 'Reconciliation report'!I361,'Reconciliation report'!F361)</f>
        <v>FYA 28.0</v>
      </c>
      <c r="B366" t="str">
        <f ca="1">'Reconciliation report'!C361</f>
        <v>Year 28</v>
      </c>
      <c r="C366" s="387" t="str">
        <f ca="1">'Reconciliation report'!D361</f>
        <v/>
      </c>
      <c r="D366" s="387" t="str">
        <f t="shared" ca="1" si="5"/>
        <v/>
      </c>
    </row>
    <row r="367" spans="1:4" hidden="1">
      <c r="A367" s="1" t="str">
        <f ca="1">HYPERLINK("#" &amp; 'Reconciliation report'!I362,'Reconciliation report'!F362)</f>
        <v>FYA 29.0</v>
      </c>
      <c r="B367" t="str">
        <f ca="1">'Reconciliation report'!C362</f>
        <v>Year 29</v>
      </c>
      <c r="C367" s="387" t="str">
        <f ca="1">'Reconciliation report'!D362</f>
        <v/>
      </c>
      <c r="D367" s="387" t="str">
        <f t="shared" ca="1" si="5"/>
        <v/>
      </c>
    </row>
    <row r="368" spans="1:4" hidden="1">
      <c r="A368" s="1" t="str">
        <f ca="1">HYPERLINK("#" &amp; 'Reconciliation report'!I363,'Reconciliation report'!F363)</f>
        <v>FYA 30.0</v>
      </c>
      <c r="B368" t="str">
        <f ca="1">'Reconciliation report'!C363</f>
        <v>Year 30</v>
      </c>
      <c r="C368" s="387" t="str">
        <f ca="1">'Reconciliation report'!D363</f>
        <v/>
      </c>
      <c r="D368" s="387" t="str">
        <f t="shared" ca="1" si="5"/>
        <v/>
      </c>
    </row>
    <row r="369" spans="1:4" hidden="1">
      <c r="A369" s="1" t="str">
        <f ca="1">HYPERLINK("#" &amp; 'Reconciliation report'!I364,'Reconciliation report'!F364)</f>
        <v>FYA 31.0</v>
      </c>
      <c r="B369" t="str">
        <f ca="1">'Reconciliation report'!C364</f>
        <v>Year 31</v>
      </c>
      <c r="C369" s="387" t="str">
        <f ca="1">'Reconciliation report'!D364</f>
        <v/>
      </c>
      <c r="D369" s="387" t="str">
        <f t="shared" ca="1" si="5"/>
        <v/>
      </c>
    </row>
    <row r="370" spans="1:4" hidden="1">
      <c r="A370" s="1" t="str">
        <f ca="1">HYPERLINK("#" &amp; 'Reconciliation report'!I365,'Reconciliation report'!F365)</f>
        <v>FYA 32.0</v>
      </c>
      <c r="B370" t="str">
        <f ca="1">'Reconciliation report'!C365</f>
        <v>Year 32</v>
      </c>
      <c r="C370" s="387" t="str">
        <f ca="1">'Reconciliation report'!D365</f>
        <v/>
      </c>
      <c r="D370" s="387" t="str">
        <f t="shared" ca="1" si="5"/>
        <v/>
      </c>
    </row>
    <row r="371" spans="1:4" hidden="1">
      <c r="A371" s="1" t="str">
        <f ca="1">HYPERLINK("#" &amp; 'Reconciliation report'!I366,'Reconciliation report'!F366)</f>
        <v>FYA 33.0</v>
      </c>
      <c r="B371" t="str">
        <f ca="1">'Reconciliation report'!C366</f>
        <v>Year 33</v>
      </c>
      <c r="C371" s="387" t="str">
        <f ca="1">'Reconciliation report'!D366</f>
        <v/>
      </c>
      <c r="D371" s="387" t="str">
        <f t="shared" ca="1" si="5"/>
        <v/>
      </c>
    </row>
    <row r="372" spans="1:4" hidden="1">
      <c r="A372" s="1" t="str">
        <f ca="1">HYPERLINK("#" &amp; 'Reconciliation report'!I367,'Reconciliation report'!F367)</f>
        <v>FYA 34.0</v>
      </c>
      <c r="B372" t="str">
        <f ca="1">'Reconciliation report'!C367</f>
        <v>Year 34</v>
      </c>
      <c r="C372" s="387" t="str">
        <f ca="1">'Reconciliation report'!D367</f>
        <v/>
      </c>
      <c r="D372" s="387" t="str">
        <f t="shared" ca="1" si="5"/>
        <v/>
      </c>
    </row>
    <row r="373" spans="1:4" hidden="1">
      <c r="A373" s="1" t="str">
        <f ca="1">HYPERLINK("#" &amp; 'Reconciliation report'!I368,'Reconciliation report'!F368)</f>
        <v>FYA 35.0</v>
      </c>
      <c r="B373" t="str">
        <f ca="1">'Reconciliation report'!C368</f>
        <v>Year 35</v>
      </c>
      <c r="C373" s="387" t="str">
        <f ca="1">'Reconciliation report'!D368</f>
        <v/>
      </c>
      <c r="D373" s="387" t="str">
        <f t="shared" ca="1" si="5"/>
        <v/>
      </c>
    </row>
    <row r="374" spans="1:4" hidden="1">
      <c r="A374" s="1" t="str">
        <f ca="1">HYPERLINK("#" &amp; 'Reconciliation report'!I369,'Reconciliation report'!F369)</f>
        <v>FYA 36.0</v>
      </c>
      <c r="B374" t="str">
        <f ca="1">'Reconciliation report'!C369</f>
        <v>Year 36</v>
      </c>
      <c r="C374" s="387" t="str">
        <f ca="1">'Reconciliation report'!D369</f>
        <v/>
      </c>
      <c r="D374" s="387" t="str">
        <f t="shared" ca="1" si="5"/>
        <v/>
      </c>
    </row>
    <row r="375" spans="1:4" hidden="1">
      <c r="A375" s="1" t="str">
        <f ca="1">HYPERLINK("#" &amp; 'Reconciliation report'!I370,'Reconciliation report'!F370)</f>
        <v>FYA 37.0</v>
      </c>
      <c r="B375" t="str">
        <f ca="1">'Reconciliation report'!C370</f>
        <v>Year 37</v>
      </c>
      <c r="C375" s="387" t="str">
        <f ca="1">'Reconciliation report'!D370</f>
        <v/>
      </c>
      <c r="D375" s="387" t="str">
        <f t="shared" ca="1" si="5"/>
        <v/>
      </c>
    </row>
    <row r="376" spans="1:4" hidden="1">
      <c r="A376" s="1" t="str">
        <f ca="1">HYPERLINK("#" &amp; 'Reconciliation report'!I371,'Reconciliation report'!F371)</f>
        <v>FYA 38.0</v>
      </c>
      <c r="B376" t="str">
        <f ca="1">'Reconciliation report'!C371</f>
        <v>Year 38</v>
      </c>
      <c r="C376" s="387" t="str">
        <f ca="1">'Reconciliation report'!D371</f>
        <v/>
      </c>
      <c r="D376" s="387" t="str">
        <f t="shared" ca="1" si="5"/>
        <v/>
      </c>
    </row>
    <row r="377" spans="1:4" hidden="1">
      <c r="A377" s="1" t="str">
        <f ca="1">HYPERLINK("#" &amp; 'Reconciliation report'!I372,'Reconciliation report'!F372)</f>
        <v>FYA 39.0</v>
      </c>
      <c r="B377" t="str">
        <f ca="1">'Reconciliation report'!C372</f>
        <v>Year 39</v>
      </c>
      <c r="C377" s="387" t="str">
        <f ca="1">'Reconciliation report'!D372</f>
        <v/>
      </c>
      <c r="D377" s="387" t="str">
        <f t="shared" ca="1" si="5"/>
        <v/>
      </c>
    </row>
    <row r="378" spans="1:4" hidden="1">
      <c r="A378" s="1" t="str">
        <f ca="1">HYPERLINK("#" &amp; 'Reconciliation report'!I373,'Reconciliation report'!F373)</f>
        <v>FYA 40.0</v>
      </c>
      <c r="B378" t="str">
        <f ca="1">'Reconciliation report'!C373</f>
        <v>Year 40</v>
      </c>
      <c r="C378" s="387" t="str">
        <f ca="1">'Reconciliation report'!D373</f>
        <v/>
      </c>
      <c r="D378" s="387" t="str">
        <f t="shared" ca="1" si="5"/>
        <v/>
      </c>
    </row>
    <row r="379" spans="1:4" ht="46.5" hidden="1">
      <c r="A379" s="1" t="str">
        <f ca="1">HYPERLINK("#" &amp; 'Reconciliation report'!I374,'Reconciliation report'!F374)</f>
        <v>SBC 1.0</v>
      </c>
      <c r="B379" t="str">
        <f ca="1">'Reconciliation report'!C374</f>
        <v xml:space="preserve">
Are you providing scheme benefit cash flow information?
</v>
      </c>
      <c r="C379" s="387" t="str">
        <f ca="1">'Reconciliation report'!D374</f>
        <v/>
      </c>
      <c r="D379" s="387" t="str">
        <f t="shared" ca="1" si="5"/>
        <v/>
      </c>
    </row>
    <row r="380" spans="1:4" ht="62" hidden="1">
      <c r="A380" s="1" t="str">
        <f ca="1">HYPERLINK("#" &amp; 'Reconciliation report'!I375,'Reconciliation report'!F375)</f>
        <v>SBC 2.0</v>
      </c>
      <c r="B380" t="str">
        <f ca="1">'Reconciliation report'!C375</f>
        <v xml:space="preserve">
Do the cash flows include insured benefits where these are included in the calculation of technical provisions liabilities?
</v>
      </c>
      <c r="C380" s="387" t="str">
        <f ca="1">'Reconciliation report'!D375</f>
        <v/>
      </c>
      <c r="D380" s="387" t="str">
        <f t="shared" ca="1" si="5"/>
        <v/>
      </c>
    </row>
    <row r="381" spans="1:4" ht="46.5" hidden="1">
      <c r="A381" s="1" t="str">
        <f ca="1">HYPERLINK("#" &amp; 'Reconciliation report'!I376,'Reconciliation report'!F376)</f>
        <v>ASC 1.0</v>
      </c>
      <c r="B381" t="str">
        <f ca="1">'Reconciliation report'!C376</f>
        <v xml:space="preserve">
Year 1
</v>
      </c>
      <c r="C381" s="387" t="str">
        <f ca="1">'Reconciliation report'!D376</f>
        <v/>
      </c>
      <c r="D381" s="387" t="str">
        <f t="shared" ca="1" si="5"/>
        <v/>
      </c>
    </row>
    <row r="382" spans="1:4" ht="46.5" hidden="1">
      <c r="A382" s="1" t="str">
        <f ca="1">HYPERLINK("#" &amp; 'Reconciliation report'!I377,'Reconciliation report'!F377)</f>
        <v>ASC 2.0</v>
      </c>
      <c r="B382" t="str">
        <f ca="1">'Reconciliation report'!C377</f>
        <v xml:space="preserve">
Year 2
</v>
      </c>
      <c r="C382" s="387" t="str">
        <f ca="1">'Reconciliation report'!D377</f>
        <v/>
      </c>
      <c r="D382" s="387" t="str">
        <f t="shared" ca="1" si="5"/>
        <v/>
      </c>
    </row>
    <row r="383" spans="1:4" ht="46.5" hidden="1">
      <c r="A383" s="1" t="str">
        <f ca="1">HYPERLINK("#" &amp; 'Reconciliation report'!I378,'Reconciliation report'!F378)</f>
        <v>ASC 3.0</v>
      </c>
      <c r="B383" t="str">
        <f ca="1">'Reconciliation report'!C378</f>
        <v xml:space="preserve">
Year 3
</v>
      </c>
      <c r="C383" s="387" t="str">
        <f ca="1">'Reconciliation report'!D378</f>
        <v/>
      </c>
      <c r="D383" s="387" t="str">
        <f t="shared" ca="1" si="5"/>
        <v/>
      </c>
    </row>
    <row r="384" spans="1:4" ht="46.5" hidden="1">
      <c r="A384" s="1" t="str">
        <f ca="1">HYPERLINK("#" &amp; 'Reconciliation report'!I379,'Reconciliation report'!F379)</f>
        <v>ASC 4.0</v>
      </c>
      <c r="B384" t="str">
        <f ca="1">'Reconciliation report'!C379</f>
        <v xml:space="preserve">
Year 4
</v>
      </c>
      <c r="C384" s="387" t="str">
        <f ca="1">'Reconciliation report'!D379</f>
        <v/>
      </c>
      <c r="D384" s="387" t="str">
        <f t="shared" ca="1" si="5"/>
        <v/>
      </c>
    </row>
    <row r="385" spans="1:4" ht="46.5" hidden="1">
      <c r="A385" s="1" t="str">
        <f ca="1">HYPERLINK("#" &amp; 'Reconciliation report'!I380,'Reconciliation report'!F380)</f>
        <v>ASC 5.0</v>
      </c>
      <c r="B385" t="str">
        <f ca="1">'Reconciliation report'!C380</f>
        <v xml:space="preserve">
Year 5
</v>
      </c>
      <c r="C385" s="387" t="str">
        <f ca="1">'Reconciliation report'!D380</f>
        <v/>
      </c>
      <c r="D385" s="387" t="str">
        <f t="shared" ca="1" si="5"/>
        <v/>
      </c>
    </row>
    <row r="386" spans="1:4" ht="46.5" hidden="1">
      <c r="A386" s="1" t="str">
        <f ca="1">HYPERLINK("#" &amp; 'Reconciliation report'!I381,'Reconciliation report'!F381)</f>
        <v>ASC 6.0</v>
      </c>
      <c r="B386" t="str">
        <f ca="1">'Reconciliation report'!C381</f>
        <v xml:space="preserve">
Year 6
</v>
      </c>
      <c r="C386" s="387" t="str">
        <f ca="1">'Reconciliation report'!D381</f>
        <v/>
      </c>
      <c r="D386" s="387" t="str">
        <f t="shared" ca="1" si="5"/>
        <v/>
      </c>
    </row>
    <row r="387" spans="1:4" ht="46.5" hidden="1">
      <c r="A387" s="1" t="str">
        <f ca="1">HYPERLINK("#" &amp; 'Reconciliation report'!I382,'Reconciliation report'!F382)</f>
        <v>ASC 7.0</v>
      </c>
      <c r="B387" t="str">
        <f ca="1">'Reconciliation report'!C382</f>
        <v xml:space="preserve">
Year 7
</v>
      </c>
      <c r="C387" s="387" t="str">
        <f ca="1">'Reconciliation report'!D382</f>
        <v/>
      </c>
      <c r="D387" s="387" t="str">
        <f t="shared" ca="1" si="5"/>
        <v/>
      </c>
    </row>
    <row r="388" spans="1:4" ht="46.5" hidden="1">
      <c r="A388" s="1" t="str">
        <f ca="1">HYPERLINK("#" &amp; 'Reconciliation report'!I383,'Reconciliation report'!F383)</f>
        <v>ASC 8.0</v>
      </c>
      <c r="B388" t="str">
        <f ca="1">'Reconciliation report'!C383</f>
        <v xml:space="preserve">
Year 8
</v>
      </c>
      <c r="C388" s="387" t="str">
        <f ca="1">'Reconciliation report'!D383</f>
        <v/>
      </c>
      <c r="D388" s="387" t="str">
        <f t="shared" ca="1" si="5"/>
        <v/>
      </c>
    </row>
    <row r="389" spans="1:4" ht="46.5" hidden="1">
      <c r="A389" s="1" t="str">
        <f ca="1">HYPERLINK("#" &amp; 'Reconciliation report'!I384,'Reconciliation report'!F384)</f>
        <v>ASC 9.0</v>
      </c>
      <c r="B389" t="str">
        <f ca="1">'Reconciliation report'!C384</f>
        <v xml:space="preserve">
Year 9
</v>
      </c>
      <c r="C389" s="387" t="str">
        <f ca="1">'Reconciliation report'!D384</f>
        <v/>
      </c>
      <c r="D389" s="387" t="str">
        <f t="shared" ca="1" si="5"/>
        <v/>
      </c>
    </row>
    <row r="390" spans="1:4" ht="46.5" hidden="1">
      <c r="A390" s="1" t="str">
        <f ca="1">HYPERLINK("#" &amp; 'Reconciliation report'!I385,'Reconciliation report'!F385)</f>
        <v>ASC 10.0</v>
      </c>
      <c r="B390" t="str">
        <f ca="1">'Reconciliation report'!C385</f>
        <v xml:space="preserve">
Year 10
</v>
      </c>
      <c r="C390" s="387" t="str">
        <f ca="1">'Reconciliation report'!D385</f>
        <v/>
      </c>
      <c r="D390" s="387" t="str">
        <f t="shared" ca="1" si="5"/>
        <v/>
      </c>
    </row>
    <row r="391" spans="1:4" ht="46.5" hidden="1">
      <c r="A391" s="1" t="str">
        <f ca="1">HYPERLINK("#" &amp; 'Reconciliation report'!I386,'Reconciliation report'!F386)</f>
        <v>ASC 11.0</v>
      </c>
      <c r="B391" t="str">
        <f ca="1">'Reconciliation report'!C386</f>
        <v xml:space="preserve">
Year 11
</v>
      </c>
      <c r="C391" s="387" t="str">
        <f ca="1">'Reconciliation report'!D386</f>
        <v/>
      </c>
      <c r="D391" s="387" t="str">
        <f t="shared" ref="D391:D454" ca="1" si="6">IFERROR(IF(LEN(TRIM(CLEAN(C391))) &gt; 0, "Refresh the error report", ""), "")</f>
        <v/>
      </c>
    </row>
    <row r="392" spans="1:4" ht="46.5" hidden="1">
      <c r="A392" s="1" t="str">
        <f ca="1">HYPERLINK("#" &amp; 'Reconciliation report'!I387,'Reconciliation report'!F387)</f>
        <v>ASC 12.0</v>
      </c>
      <c r="B392" t="str">
        <f ca="1">'Reconciliation report'!C387</f>
        <v xml:space="preserve">
Year 12
</v>
      </c>
      <c r="C392" s="387" t="str">
        <f ca="1">'Reconciliation report'!D387</f>
        <v/>
      </c>
      <c r="D392" s="387" t="str">
        <f t="shared" ca="1" si="6"/>
        <v/>
      </c>
    </row>
    <row r="393" spans="1:4" ht="46.5" hidden="1">
      <c r="A393" s="1" t="str">
        <f ca="1">HYPERLINK("#" &amp; 'Reconciliation report'!I388,'Reconciliation report'!F388)</f>
        <v>ASC 13.0</v>
      </c>
      <c r="B393" t="str">
        <f ca="1">'Reconciliation report'!C388</f>
        <v xml:space="preserve">
Year 13
</v>
      </c>
      <c r="C393" s="387" t="str">
        <f ca="1">'Reconciliation report'!D388</f>
        <v/>
      </c>
      <c r="D393" s="387" t="str">
        <f t="shared" ca="1" si="6"/>
        <v/>
      </c>
    </row>
    <row r="394" spans="1:4" ht="46.5" hidden="1">
      <c r="A394" s="1" t="str">
        <f ca="1">HYPERLINK("#" &amp; 'Reconciliation report'!I389,'Reconciliation report'!F389)</f>
        <v>ASC 14.0</v>
      </c>
      <c r="B394" t="str">
        <f ca="1">'Reconciliation report'!C389</f>
        <v xml:space="preserve">
Year 14
</v>
      </c>
      <c r="C394" s="387" t="str">
        <f ca="1">'Reconciliation report'!D389</f>
        <v/>
      </c>
      <c r="D394" s="387" t="str">
        <f t="shared" ca="1" si="6"/>
        <v/>
      </c>
    </row>
    <row r="395" spans="1:4" ht="46.5" hidden="1">
      <c r="A395" s="1" t="str">
        <f ca="1">HYPERLINK("#" &amp; 'Reconciliation report'!I390,'Reconciliation report'!F390)</f>
        <v>ASC 15.0</v>
      </c>
      <c r="B395" t="str">
        <f ca="1">'Reconciliation report'!C390</f>
        <v xml:space="preserve">
Year 15
</v>
      </c>
      <c r="C395" s="387" t="str">
        <f ca="1">'Reconciliation report'!D390</f>
        <v/>
      </c>
      <c r="D395" s="387" t="str">
        <f t="shared" ca="1" si="6"/>
        <v/>
      </c>
    </row>
    <row r="396" spans="1:4" ht="46.5" hidden="1">
      <c r="A396" s="1" t="str">
        <f ca="1">HYPERLINK("#" &amp; 'Reconciliation report'!I391,'Reconciliation report'!F391)</f>
        <v>ASC 16.0</v>
      </c>
      <c r="B396" t="str">
        <f ca="1">'Reconciliation report'!C391</f>
        <v xml:space="preserve">
Year 16
</v>
      </c>
      <c r="C396" s="387" t="str">
        <f ca="1">'Reconciliation report'!D391</f>
        <v/>
      </c>
      <c r="D396" s="387" t="str">
        <f t="shared" ca="1" si="6"/>
        <v/>
      </c>
    </row>
    <row r="397" spans="1:4" ht="46.5" hidden="1">
      <c r="A397" s="1" t="str">
        <f ca="1">HYPERLINK("#" &amp; 'Reconciliation report'!I392,'Reconciliation report'!F392)</f>
        <v>ASC 17.0</v>
      </c>
      <c r="B397" t="str">
        <f ca="1">'Reconciliation report'!C392</f>
        <v xml:space="preserve">
Year 17
</v>
      </c>
      <c r="C397" s="387" t="str">
        <f ca="1">'Reconciliation report'!D392</f>
        <v/>
      </c>
      <c r="D397" s="387" t="str">
        <f t="shared" ca="1" si="6"/>
        <v/>
      </c>
    </row>
    <row r="398" spans="1:4" ht="46.5" hidden="1">
      <c r="A398" s="1" t="str">
        <f ca="1">HYPERLINK("#" &amp; 'Reconciliation report'!I393,'Reconciliation report'!F393)</f>
        <v>ASC 18.0</v>
      </c>
      <c r="B398" t="str">
        <f ca="1">'Reconciliation report'!C393</f>
        <v xml:space="preserve">
Year 18
</v>
      </c>
      <c r="C398" s="387" t="str">
        <f ca="1">'Reconciliation report'!D393</f>
        <v/>
      </c>
      <c r="D398" s="387" t="str">
        <f t="shared" ca="1" si="6"/>
        <v/>
      </c>
    </row>
    <row r="399" spans="1:4" ht="46.5" hidden="1">
      <c r="A399" s="1" t="str">
        <f ca="1">HYPERLINK("#" &amp; 'Reconciliation report'!I394,'Reconciliation report'!F394)</f>
        <v>ASC 19.0</v>
      </c>
      <c r="B399" t="str">
        <f ca="1">'Reconciliation report'!C394</f>
        <v xml:space="preserve">
Year 19
</v>
      </c>
      <c r="C399" s="387" t="str">
        <f ca="1">'Reconciliation report'!D394</f>
        <v/>
      </c>
      <c r="D399" s="387" t="str">
        <f t="shared" ca="1" si="6"/>
        <v/>
      </c>
    </row>
    <row r="400" spans="1:4" ht="46.5" hidden="1">
      <c r="A400" s="1" t="str">
        <f ca="1">HYPERLINK("#" &amp; 'Reconciliation report'!I395,'Reconciliation report'!F395)</f>
        <v>ASC 20.0</v>
      </c>
      <c r="B400" t="str">
        <f ca="1">'Reconciliation report'!C395</f>
        <v xml:space="preserve">
Year 20
</v>
      </c>
      <c r="C400" s="387" t="str">
        <f ca="1">'Reconciliation report'!D395</f>
        <v/>
      </c>
      <c r="D400" s="387" t="str">
        <f t="shared" ca="1" si="6"/>
        <v/>
      </c>
    </row>
    <row r="401" spans="1:4" ht="46.5" hidden="1">
      <c r="A401" s="1" t="str">
        <f ca="1">HYPERLINK("#" &amp; 'Reconciliation report'!I396,'Reconciliation report'!F396)</f>
        <v>ASC 21.0</v>
      </c>
      <c r="B401" t="str">
        <f ca="1">'Reconciliation report'!C396</f>
        <v xml:space="preserve">
Year 21
</v>
      </c>
      <c r="C401" s="387" t="str">
        <f ca="1">'Reconciliation report'!D396</f>
        <v/>
      </c>
      <c r="D401" s="387" t="str">
        <f t="shared" ca="1" si="6"/>
        <v/>
      </c>
    </row>
    <row r="402" spans="1:4" ht="46.5" hidden="1">
      <c r="A402" s="1" t="str">
        <f ca="1">HYPERLINK("#" &amp; 'Reconciliation report'!I397,'Reconciliation report'!F397)</f>
        <v>ASC 22.0</v>
      </c>
      <c r="B402" t="str">
        <f ca="1">'Reconciliation report'!C397</f>
        <v xml:space="preserve">
Year 22
</v>
      </c>
      <c r="C402" s="387" t="str">
        <f ca="1">'Reconciliation report'!D397</f>
        <v/>
      </c>
      <c r="D402" s="387" t="str">
        <f t="shared" ca="1" si="6"/>
        <v/>
      </c>
    </row>
    <row r="403" spans="1:4" ht="46.5" hidden="1">
      <c r="A403" s="1" t="str">
        <f ca="1">HYPERLINK("#" &amp; 'Reconciliation report'!I398,'Reconciliation report'!F398)</f>
        <v>ASC 23.0</v>
      </c>
      <c r="B403" t="str">
        <f ca="1">'Reconciliation report'!C398</f>
        <v xml:space="preserve">
Year 23
</v>
      </c>
      <c r="C403" s="387" t="str">
        <f ca="1">'Reconciliation report'!D398</f>
        <v/>
      </c>
      <c r="D403" s="387" t="str">
        <f t="shared" ca="1" si="6"/>
        <v/>
      </c>
    </row>
    <row r="404" spans="1:4" ht="46.5" hidden="1">
      <c r="A404" s="1" t="str">
        <f ca="1">HYPERLINK("#" &amp; 'Reconciliation report'!I399,'Reconciliation report'!F399)</f>
        <v>ASC 24.0</v>
      </c>
      <c r="B404" t="str">
        <f ca="1">'Reconciliation report'!C399</f>
        <v xml:space="preserve">
Year 24
</v>
      </c>
      <c r="C404" s="387" t="str">
        <f ca="1">'Reconciliation report'!D399</f>
        <v/>
      </c>
      <c r="D404" s="387" t="str">
        <f t="shared" ca="1" si="6"/>
        <v/>
      </c>
    </row>
    <row r="405" spans="1:4" ht="46.5" hidden="1">
      <c r="A405" s="1" t="str">
        <f ca="1">HYPERLINK("#" &amp; 'Reconciliation report'!I400,'Reconciliation report'!F400)</f>
        <v>ASC 25.0</v>
      </c>
      <c r="B405" t="str">
        <f ca="1">'Reconciliation report'!C400</f>
        <v xml:space="preserve">
Year 25
</v>
      </c>
      <c r="C405" s="387" t="str">
        <f ca="1">'Reconciliation report'!D400</f>
        <v/>
      </c>
      <c r="D405" s="387" t="str">
        <f t="shared" ca="1" si="6"/>
        <v/>
      </c>
    </row>
    <row r="406" spans="1:4" ht="46.5" hidden="1">
      <c r="A406" s="1" t="str">
        <f ca="1">HYPERLINK("#" &amp; 'Reconciliation report'!I401,'Reconciliation report'!F401)</f>
        <v>ASC 26.0</v>
      </c>
      <c r="B406" t="str">
        <f ca="1">'Reconciliation report'!C401</f>
        <v xml:space="preserve">
Year 26
</v>
      </c>
      <c r="C406" s="387" t="str">
        <f ca="1">'Reconciliation report'!D401</f>
        <v/>
      </c>
      <c r="D406" s="387" t="str">
        <f t="shared" ca="1" si="6"/>
        <v/>
      </c>
    </row>
    <row r="407" spans="1:4" ht="46.5" hidden="1">
      <c r="A407" s="1" t="str">
        <f ca="1">HYPERLINK("#" &amp; 'Reconciliation report'!I402,'Reconciliation report'!F402)</f>
        <v>ASC 27.0</v>
      </c>
      <c r="B407" t="str">
        <f ca="1">'Reconciliation report'!C402</f>
        <v xml:space="preserve">
Year 27
</v>
      </c>
      <c r="C407" s="387" t="str">
        <f ca="1">'Reconciliation report'!D402</f>
        <v/>
      </c>
      <c r="D407" s="387" t="str">
        <f t="shared" ca="1" si="6"/>
        <v/>
      </c>
    </row>
    <row r="408" spans="1:4" ht="46.5" hidden="1">
      <c r="A408" s="1" t="str">
        <f ca="1">HYPERLINK("#" &amp; 'Reconciliation report'!I403,'Reconciliation report'!F403)</f>
        <v>ASC 28.0</v>
      </c>
      <c r="B408" t="str">
        <f ca="1">'Reconciliation report'!C403</f>
        <v xml:space="preserve">
Year 28
</v>
      </c>
      <c r="C408" s="387" t="str">
        <f ca="1">'Reconciliation report'!D403</f>
        <v/>
      </c>
      <c r="D408" s="387" t="str">
        <f t="shared" ca="1" si="6"/>
        <v/>
      </c>
    </row>
    <row r="409" spans="1:4" ht="46.5" hidden="1">
      <c r="A409" s="1" t="str">
        <f ca="1">HYPERLINK("#" &amp; 'Reconciliation report'!I404,'Reconciliation report'!F404)</f>
        <v>ASC 29.0</v>
      </c>
      <c r="B409" t="str">
        <f ca="1">'Reconciliation report'!C404</f>
        <v xml:space="preserve">
Year 29
</v>
      </c>
      <c r="C409" s="387" t="str">
        <f ca="1">'Reconciliation report'!D404</f>
        <v/>
      </c>
      <c r="D409" s="387" t="str">
        <f t="shared" ca="1" si="6"/>
        <v/>
      </c>
    </row>
    <row r="410" spans="1:4" ht="46.5" hidden="1">
      <c r="A410" s="1" t="str">
        <f ca="1">HYPERLINK("#" &amp; 'Reconciliation report'!I405,'Reconciliation report'!F405)</f>
        <v>ASC 30.0</v>
      </c>
      <c r="B410" t="str">
        <f ca="1">'Reconciliation report'!C405</f>
        <v xml:space="preserve">
Year 30
</v>
      </c>
      <c r="C410" s="387" t="str">
        <f ca="1">'Reconciliation report'!D405</f>
        <v/>
      </c>
      <c r="D410" s="387" t="str">
        <f t="shared" ca="1" si="6"/>
        <v/>
      </c>
    </row>
    <row r="411" spans="1:4" ht="46.5" hidden="1">
      <c r="A411" s="1" t="str">
        <f ca="1">HYPERLINK("#" &amp; 'Reconciliation report'!I406,'Reconciliation report'!F406)</f>
        <v>ASC 31.0</v>
      </c>
      <c r="B411" t="str">
        <f ca="1">'Reconciliation report'!C406</f>
        <v xml:space="preserve">
Year 31
</v>
      </c>
      <c r="C411" s="387" t="str">
        <f ca="1">'Reconciliation report'!D406</f>
        <v/>
      </c>
      <c r="D411" s="387" t="str">
        <f t="shared" ca="1" si="6"/>
        <v/>
      </c>
    </row>
    <row r="412" spans="1:4" ht="46.5" hidden="1">
      <c r="A412" s="1" t="str">
        <f ca="1">HYPERLINK("#" &amp; 'Reconciliation report'!I407,'Reconciliation report'!F407)</f>
        <v>ASC 32.0</v>
      </c>
      <c r="B412" t="str">
        <f ca="1">'Reconciliation report'!C407</f>
        <v xml:space="preserve">
Year 32
</v>
      </c>
      <c r="C412" s="387" t="str">
        <f ca="1">'Reconciliation report'!D407</f>
        <v/>
      </c>
      <c r="D412" s="387" t="str">
        <f t="shared" ca="1" si="6"/>
        <v/>
      </c>
    </row>
    <row r="413" spans="1:4" ht="46.5" hidden="1">
      <c r="A413" s="1" t="str">
        <f ca="1">HYPERLINK("#" &amp; 'Reconciliation report'!I408,'Reconciliation report'!F408)</f>
        <v>ASC 33.0</v>
      </c>
      <c r="B413" t="str">
        <f ca="1">'Reconciliation report'!C408</f>
        <v xml:space="preserve">
Year 33
</v>
      </c>
      <c r="C413" s="387" t="str">
        <f ca="1">'Reconciliation report'!D408</f>
        <v/>
      </c>
      <c r="D413" s="387" t="str">
        <f t="shared" ca="1" si="6"/>
        <v/>
      </c>
    </row>
    <row r="414" spans="1:4" ht="46.5" hidden="1">
      <c r="A414" s="1" t="str">
        <f ca="1">HYPERLINK("#" &amp; 'Reconciliation report'!I409,'Reconciliation report'!F409)</f>
        <v>ASC 34.0</v>
      </c>
      <c r="B414" t="str">
        <f ca="1">'Reconciliation report'!C409</f>
        <v xml:space="preserve">
Year 34
</v>
      </c>
      <c r="C414" s="387" t="str">
        <f ca="1">'Reconciliation report'!D409</f>
        <v/>
      </c>
      <c r="D414" s="387" t="str">
        <f t="shared" ca="1" si="6"/>
        <v/>
      </c>
    </row>
    <row r="415" spans="1:4" ht="46.5" hidden="1">
      <c r="A415" s="1" t="str">
        <f ca="1">HYPERLINK("#" &amp; 'Reconciliation report'!I410,'Reconciliation report'!F410)</f>
        <v>ASC 35.0</v>
      </c>
      <c r="B415" t="str">
        <f ca="1">'Reconciliation report'!C410</f>
        <v xml:space="preserve">
Year 35
</v>
      </c>
      <c r="C415" s="387" t="str">
        <f ca="1">'Reconciliation report'!D410</f>
        <v/>
      </c>
      <c r="D415" s="387" t="str">
        <f t="shared" ca="1" si="6"/>
        <v/>
      </c>
    </row>
    <row r="416" spans="1:4" ht="46.5" hidden="1">
      <c r="A416" s="1" t="str">
        <f ca="1">HYPERLINK("#" &amp; 'Reconciliation report'!I411,'Reconciliation report'!F411)</f>
        <v>ASC 36.0</v>
      </c>
      <c r="B416" t="str">
        <f ca="1">'Reconciliation report'!C411</f>
        <v xml:space="preserve">
Year 36
</v>
      </c>
      <c r="C416" s="387" t="str">
        <f ca="1">'Reconciliation report'!D411</f>
        <v/>
      </c>
      <c r="D416" s="387" t="str">
        <f t="shared" ca="1" si="6"/>
        <v/>
      </c>
    </row>
    <row r="417" spans="1:4" ht="46.5" hidden="1">
      <c r="A417" s="1" t="str">
        <f ca="1">HYPERLINK("#" &amp; 'Reconciliation report'!I412,'Reconciliation report'!F412)</f>
        <v>ASC 37.0</v>
      </c>
      <c r="B417" t="str">
        <f ca="1">'Reconciliation report'!C412</f>
        <v xml:space="preserve">
Year 37
</v>
      </c>
      <c r="C417" s="387" t="str">
        <f ca="1">'Reconciliation report'!D412</f>
        <v/>
      </c>
      <c r="D417" s="387" t="str">
        <f t="shared" ca="1" si="6"/>
        <v/>
      </c>
    </row>
    <row r="418" spans="1:4" ht="46.5" hidden="1">
      <c r="A418" s="1" t="str">
        <f ca="1">HYPERLINK("#" &amp; 'Reconciliation report'!I413,'Reconciliation report'!F413)</f>
        <v>ASC 38.0</v>
      </c>
      <c r="B418" t="str">
        <f ca="1">'Reconciliation report'!C413</f>
        <v xml:space="preserve">
Year 38
</v>
      </c>
      <c r="C418" s="387" t="str">
        <f ca="1">'Reconciliation report'!D413</f>
        <v/>
      </c>
      <c r="D418" s="387" t="str">
        <f t="shared" ca="1" si="6"/>
        <v/>
      </c>
    </row>
    <row r="419" spans="1:4" ht="46.5" hidden="1">
      <c r="A419" s="1" t="str">
        <f ca="1">HYPERLINK("#" &amp; 'Reconciliation report'!I414,'Reconciliation report'!F414)</f>
        <v>ASC 39.0</v>
      </c>
      <c r="B419" t="str">
        <f ca="1">'Reconciliation report'!C414</f>
        <v xml:space="preserve">
Year 39
</v>
      </c>
      <c r="C419" s="387" t="str">
        <f ca="1">'Reconciliation report'!D414</f>
        <v/>
      </c>
      <c r="D419" s="387" t="str">
        <f t="shared" ca="1" si="6"/>
        <v/>
      </c>
    </row>
    <row r="420" spans="1:4" ht="46.5" hidden="1">
      <c r="A420" s="1" t="str">
        <f ca="1">HYPERLINK("#" &amp; 'Reconciliation report'!I415,'Reconciliation report'!F415)</f>
        <v>ASC 40.0</v>
      </c>
      <c r="B420" t="str">
        <f ca="1">'Reconciliation report'!C415</f>
        <v xml:space="preserve">
Year 40
</v>
      </c>
      <c r="C420" s="387" t="str">
        <f ca="1">'Reconciliation report'!D415</f>
        <v/>
      </c>
      <c r="D420" s="387" t="str">
        <f t="shared" ca="1" si="6"/>
        <v/>
      </c>
    </row>
    <row r="421" spans="1:4" ht="46.5">
      <c r="A421" s="1" t="str">
        <f ca="1">HYPERLINK("#" &amp; 'Reconciliation report'!I416,'Reconciliation report'!F416)</f>
        <v>CSI 1.0</v>
      </c>
      <c r="B421" t="str">
        <f ca="1">'Reconciliation report'!C416</f>
        <v xml:space="preserve">
As at what date have the trustees assessed the employer covenant?
</v>
      </c>
      <c r="C421" s="387" t="str">
        <f ca="1">'Reconciliation report'!D416</f>
        <v xml:space="preserve">
Enter a valid date that is less than or equal to today in the format dd/mm/yyyy.
</v>
      </c>
      <c r="D421" s="387" t="str">
        <f t="shared" ca="1" si="6"/>
        <v>Refresh the error report</v>
      </c>
    </row>
    <row r="422" spans="1:4" ht="46.5" hidden="1">
      <c r="A422" s="1" t="str">
        <f ca="1">HYPERLINK("#" &amp; 'Reconciliation report'!I417,'Reconciliation report'!F417)</f>
        <v>CSI 2.0</v>
      </c>
      <c r="B422" t="str">
        <f ca="1">'Reconciliation report'!C417</f>
        <v xml:space="preserve">
Was professional covenant advice taken for this valuation?
</v>
      </c>
      <c r="C422" s="387" t="str">
        <f ca="1">'Reconciliation report'!D417</f>
        <v/>
      </c>
      <c r="D422" s="387" t="str">
        <f t="shared" ca="1" si="6"/>
        <v/>
      </c>
    </row>
    <row r="423" spans="1:4" ht="62" hidden="1">
      <c r="A423" s="1" t="str">
        <f ca="1">HYPERLINK("#" &amp; 'Reconciliation report'!I418,'Reconciliation report'!F418)</f>
        <v>CSI 3.0</v>
      </c>
      <c r="B423" t="str">
        <f ca="1">'Reconciliation report'!C418</f>
        <v xml:space="preserve">
What experience do the trustees have to enable them to assess covenant without professional covenant advice?
</v>
      </c>
      <c r="C423" s="387" t="str">
        <f ca="1">'Reconciliation report'!D418</f>
        <v/>
      </c>
      <c r="D423" s="387" t="str">
        <f t="shared" ca="1" si="6"/>
        <v/>
      </c>
    </row>
    <row r="424" spans="1:4" ht="46.5" hidden="1">
      <c r="A424" s="1" t="str">
        <f ca="1">HYPERLINK("#" &amp; 'Reconciliation report'!I419,'Reconciliation report'!F419)</f>
        <v>CSI 4.0</v>
      </c>
      <c r="B424" t="str">
        <f ca="1">'Reconciliation report'!C419</f>
        <v xml:space="preserve">
Is the scheme a non-segregated non-associated multi-employer scheme?
</v>
      </c>
      <c r="C424" s="387" t="str">
        <f ca="1">'Reconciliation report'!D419</f>
        <v/>
      </c>
      <c r="D424" s="387" t="str">
        <f t="shared" ca="1" si="6"/>
        <v/>
      </c>
    </row>
    <row r="425" spans="1:4" ht="62" hidden="1">
      <c r="A425" s="1" t="str">
        <f ca="1">HYPERLINK("#" &amp; 'Reconciliation report'!I420,'Reconciliation report'!F420)</f>
        <v>CSI 5.0</v>
      </c>
      <c r="B425" t="str">
        <f ca="1">'Reconciliation report'!C420</f>
        <v xml:space="preserve">
In determining covenant strength, do you place reliance on any entity other than statutory employers and their subsidiaries?
</v>
      </c>
      <c r="C425" s="387" t="str">
        <f ca="1">'Reconciliation report'!D420</f>
        <v/>
      </c>
      <c r="D425" s="387" t="str">
        <f t="shared" ca="1" si="6"/>
        <v/>
      </c>
    </row>
    <row r="426" spans="1:4" ht="62" hidden="1">
      <c r="A426" s="1" t="str">
        <f ca="1">HYPERLINK("#" &amp; 'Reconciliation report'!I421,'Reconciliation report'!F421)</f>
        <v>CSI 6.0</v>
      </c>
      <c r="B426" t="str">
        <f ca="1">'Reconciliation report'!C421</f>
        <v xml:space="preserve">
Upon how many entities other than statutory employers is covenant reliance placed?
</v>
      </c>
      <c r="C426" s="387" t="str">
        <f ca="1">'Reconciliation report'!D421</f>
        <v/>
      </c>
      <c r="D426" s="387" t="str">
        <f t="shared" ca="1" si="6"/>
        <v/>
      </c>
    </row>
    <row r="427" spans="1:4" ht="62" hidden="1">
      <c r="A427" s="1" t="str">
        <f ca="1">HYPERLINK("#" &amp; 'Reconciliation report'!I422,'Reconciliation report'!F422)</f>
        <v>CSI 7.0</v>
      </c>
      <c r="B427" t="str">
        <f ca="1">'Reconciliation report'!C422</f>
        <v xml:space="preserve">
For what reason or reasons is it appropriate to place reliance on the entities (other than statutory employers) on which covenant reliance is placed?
</v>
      </c>
      <c r="C427" s="387" t="str">
        <f ca="1">'Reconciliation report'!D422</f>
        <v/>
      </c>
      <c r="D427" s="387" t="str">
        <f t="shared" ca="1" si="6"/>
        <v/>
      </c>
    </row>
    <row r="428" spans="1:4" ht="77.5" hidden="1">
      <c r="A428" s="1" t="str">
        <f ca="1">HYPERLINK("#" &amp; 'Reconciliation report'!I423,'Reconciliation report'!F423)</f>
        <v>CSI 8.0/1</v>
      </c>
      <c r="B428" t="str">
        <f ca="1">'Reconciliation report'!C423</f>
        <v xml:space="preserve">
No answer required
Legal name
</v>
      </c>
      <c r="C428" s="387" t="str">
        <f ca="1">'Reconciliation report'!D423</f>
        <v/>
      </c>
      <c r="D428" s="387" t="str">
        <f t="shared" ca="1" si="6"/>
        <v/>
      </c>
    </row>
    <row r="429" spans="1:4" ht="77.5" hidden="1">
      <c r="A429" s="1" t="str">
        <f ca="1">HYPERLINK("#" &amp; 'Reconciliation report'!I424,'Reconciliation report'!F424)</f>
        <v>CSI 9.0/1</v>
      </c>
      <c r="B429" t="str">
        <f ca="1">'Reconciliation report'!C424</f>
        <v xml:space="preserve">
No answer required
Companies House number (if applicable)
</v>
      </c>
      <c r="C429" s="387" t="str">
        <f ca="1">'Reconciliation report'!D424</f>
        <v/>
      </c>
      <c r="D429" s="387" t="str">
        <f t="shared" ca="1" si="6"/>
        <v/>
      </c>
    </row>
    <row r="430" spans="1:4" ht="77.5" hidden="1">
      <c r="A430" s="1" t="str">
        <f ca="1">HYPERLINK("#" &amp; 'Reconciliation report'!I425,'Reconciliation report'!F425)</f>
        <v>CSI 10.0/1</v>
      </c>
      <c r="B430" t="str">
        <f ca="1">'Reconciliation report'!C425</f>
        <v xml:space="preserve">
No answer required
Charity number (if applicable)
</v>
      </c>
      <c r="C430" s="387" t="str">
        <f ca="1">'Reconciliation report'!D425</f>
        <v/>
      </c>
      <c r="D430" s="387" t="str">
        <f t="shared" ca="1" si="6"/>
        <v/>
      </c>
    </row>
    <row r="431" spans="1:4" ht="77.5" hidden="1">
      <c r="A431" s="1" t="str">
        <f ca="1">HYPERLINK("#" &amp; 'Reconciliation report'!I426,'Reconciliation report'!F426)</f>
        <v>CSI 11.0/1</v>
      </c>
      <c r="B431" t="str">
        <f ca="1">'Reconciliation report'!C426</f>
        <v xml:space="preserve">
No answer required
Trading name
</v>
      </c>
      <c r="C431" s="387" t="str">
        <f ca="1">'Reconciliation report'!D426</f>
        <v/>
      </c>
      <c r="D431" s="387" t="str">
        <f t="shared" ca="1" si="6"/>
        <v/>
      </c>
    </row>
    <row r="432" spans="1:4" ht="77.5" hidden="1">
      <c r="A432" s="1" t="str">
        <f ca="1">HYPERLINK("#" &amp; 'Reconciliation report'!I427,'Reconciliation report'!F427)</f>
        <v>CSI 12.0/1</v>
      </c>
      <c r="B432" t="str">
        <f ca="1">'Reconciliation report'!C427</f>
        <v xml:space="preserve">
No answer required
Address line 1
</v>
      </c>
      <c r="C432" s="387" t="str">
        <f ca="1">'Reconciliation report'!D427</f>
        <v/>
      </c>
      <c r="D432" s="387" t="str">
        <f t="shared" ca="1" si="6"/>
        <v/>
      </c>
    </row>
    <row r="433" spans="1:4" ht="77.5" hidden="1">
      <c r="A433" s="1" t="str">
        <f ca="1">HYPERLINK("#" &amp; 'Reconciliation report'!I428,'Reconciliation report'!F428)</f>
        <v>CSI 13.0/1</v>
      </c>
      <c r="B433" t="str">
        <f ca="1">'Reconciliation report'!C428</f>
        <v xml:space="preserve">
No answer required
Address line 2 (optional)
</v>
      </c>
      <c r="C433" s="387" t="str">
        <f ca="1">'Reconciliation report'!D428</f>
        <v/>
      </c>
      <c r="D433" s="387" t="str">
        <f t="shared" ca="1" si="6"/>
        <v/>
      </c>
    </row>
    <row r="434" spans="1:4" ht="77.5" hidden="1">
      <c r="A434" s="1" t="str">
        <f ca="1">HYPERLINK("#" &amp; 'Reconciliation report'!I429,'Reconciliation report'!F429)</f>
        <v>CSI 14.0/1</v>
      </c>
      <c r="B434" t="str">
        <f ca="1">'Reconciliation report'!C429</f>
        <v xml:space="preserve">
No answer required
Address line 3 (optional)
</v>
      </c>
      <c r="C434" s="387" t="str">
        <f ca="1">'Reconciliation report'!D429</f>
        <v/>
      </c>
      <c r="D434" s="387" t="str">
        <f t="shared" ca="1" si="6"/>
        <v/>
      </c>
    </row>
    <row r="435" spans="1:4" ht="77.5" hidden="1">
      <c r="A435" s="1" t="str">
        <f ca="1">HYPERLINK("#" &amp; 'Reconciliation report'!I430,'Reconciliation report'!F430)</f>
        <v>CSI 15.0/1</v>
      </c>
      <c r="B435" t="str">
        <f ca="1">'Reconciliation report'!C430</f>
        <v xml:space="preserve">
No answer required
Post town or city
</v>
      </c>
      <c r="C435" s="387" t="str">
        <f ca="1">'Reconciliation report'!D430</f>
        <v/>
      </c>
      <c r="D435" s="387" t="str">
        <f t="shared" ca="1" si="6"/>
        <v/>
      </c>
    </row>
    <row r="436" spans="1:4" ht="77.5" hidden="1">
      <c r="A436" s="1" t="str">
        <f ca="1">HYPERLINK("#" &amp; 'Reconciliation report'!I431,'Reconciliation report'!F431)</f>
        <v>CSI 16.0/1</v>
      </c>
      <c r="B436" t="str">
        <f ca="1">'Reconciliation report'!C431</f>
        <v xml:space="preserve">
No answer required
Country
</v>
      </c>
      <c r="C436" s="387" t="str">
        <f ca="1">'Reconciliation report'!D431</f>
        <v/>
      </c>
      <c r="D436" s="387" t="str">
        <f t="shared" ca="1" si="6"/>
        <v/>
      </c>
    </row>
    <row r="437" spans="1:4" ht="77.5" hidden="1">
      <c r="A437" s="1" t="str">
        <f ca="1">HYPERLINK("#" &amp; 'Reconciliation report'!I432,'Reconciliation report'!F432)</f>
        <v>CSI 17.0/1</v>
      </c>
      <c r="B437" t="str">
        <f ca="1">'Reconciliation report'!C432</f>
        <v xml:space="preserve">
No answer required
Postcode
</v>
      </c>
      <c r="C437" s="387" t="str">
        <f ca="1">'Reconciliation report'!D432</f>
        <v/>
      </c>
      <c r="D437" s="387" t="str">
        <f t="shared" ca="1" si="6"/>
        <v/>
      </c>
    </row>
    <row r="438" spans="1:4" ht="77.5" hidden="1">
      <c r="A438" s="1" t="str">
        <f ca="1">HYPERLINK("#" &amp; 'Reconciliation report'!I433,'Reconciliation report'!F433)</f>
        <v>CSI 8.0/2</v>
      </c>
      <c r="B438" t="str">
        <f ca="1">'Reconciliation report'!C433</f>
        <v xml:space="preserve">
No answer required
Legal name
</v>
      </c>
      <c r="C438" s="387" t="str">
        <f ca="1">'Reconciliation report'!D433</f>
        <v/>
      </c>
      <c r="D438" s="387" t="str">
        <f t="shared" ca="1" si="6"/>
        <v/>
      </c>
    </row>
    <row r="439" spans="1:4" ht="77.5" hidden="1">
      <c r="A439" s="1" t="str">
        <f ca="1">HYPERLINK("#" &amp; 'Reconciliation report'!I434,'Reconciliation report'!F434)</f>
        <v>CSI 9.0/2</v>
      </c>
      <c r="B439" t="str">
        <f ca="1">'Reconciliation report'!C434</f>
        <v xml:space="preserve">
No answer required
Companies House number (if applicable)
</v>
      </c>
      <c r="C439" s="387" t="str">
        <f ca="1">'Reconciliation report'!D434</f>
        <v/>
      </c>
      <c r="D439" s="387" t="str">
        <f t="shared" ca="1" si="6"/>
        <v/>
      </c>
    </row>
    <row r="440" spans="1:4" ht="77.5" hidden="1">
      <c r="A440" s="1" t="str">
        <f ca="1">HYPERLINK("#" &amp; 'Reconciliation report'!I435,'Reconciliation report'!F435)</f>
        <v>CSI 10.0/2</v>
      </c>
      <c r="B440" t="str">
        <f ca="1">'Reconciliation report'!C435</f>
        <v xml:space="preserve">
No answer required
Charity number (if applicable)
</v>
      </c>
      <c r="C440" s="387" t="str">
        <f ca="1">'Reconciliation report'!D435</f>
        <v/>
      </c>
      <c r="D440" s="387" t="str">
        <f t="shared" ca="1" si="6"/>
        <v/>
      </c>
    </row>
    <row r="441" spans="1:4" ht="77.5" hidden="1">
      <c r="A441" s="1" t="str">
        <f ca="1">HYPERLINK("#" &amp; 'Reconciliation report'!I436,'Reconciliation report'!F436)</f>
        <v>CSI 11.0/2</v>
      </c>
      <c r="B441" t="str">
        <f ca="1">'Reconciliation report'!C436</f>
        <v xml:space="preserve">
No answer required
Trading name
</v>
      </c>
      <c r="C441" s="387" t="str">
        <f ca="1">'Reconciliation report'!D436</f>
        <v/>
      </c>
      <c r="D441" s="387" t="str">
        <f t="shared" ca="1" si="6"/>
        <v/>
      </c>
    </row>
    <row r="442" spans="1:4" ht="77.5" hidden="1">
      <c r="A442" s="1" t="str">
        <f ca="1">HYPERLINK("#" &amp; 'Reconciliation report'!I437,'Reconciliation report'!F437)</f>
        <v>CSI 12.0/2</v>
      </c>
      <c r="B442" t="str">
        <f ca="1">'Reconciliation report'!C437</f>
        <v xml:space="preserve">
No answer required
Address line 1
</v>
      </c>
      <c r="C442" s="387" t="str">
        <f ca="1">'Reconciliation report'!D437</f>
        <v/>
      </c>
      <c r="D442" s="387" t="str">
        <f t="shared" ca="1" si="6"/>
        <v/>
      </c>
    </row>
    <row r="443" spans="1:4" ht="77.5" hidden="1">
      <c r="A443" s="1" t="str">
        <f ca="1">HYPERLINK("#" &amp; 'Reconciliation report'!I438,'Reconciliation report'!F438)</f>
        <v>CSI 13.0/2</v>
      </c>
      <c r="B443" t="str">
        <f ca="1">'Reconciliation report'!C438</f>
        <v xml:space="preserve">
No answer required
Address line 2 (optional)
</v>
      </c>
      <c r="C443" s="387" t="str">
        <f ca="1">'Reconciliation report'!D438</f>
        <v/>
      </c>
      <c r="D443" s="387" t="str">
        <f t="shared" ca="1" si="6"/>
        <v/>
      </c>
    </row>
    <row r="444" spans="1:4" ht="77.5" hidden="1">
      <c r="A444" s="1" t="str">
        <f ca="1">HYPERLINK("#" &amp; 'Reconciliation report'!I439,'Reconciliation report'!F439)</f>
        <v>CSI 14.0/2</v>
      </c>
      <c r="B444" t="str">
        <f ca="1">'Reconciliation report'!C439</f>
        <v xml:space="preserve">
No answer required
Address line 3 (optional)
</v>
      </c>
      <c r="C444" s="387" t="str">
        <f ca="1">'Reconciliation report'!D439</f>
        <v/>
      </c>
      <c r="D444" s="387" t="str">
        <f t="shared" ca="1" si="6"/>
        <v/>
      </c>
    </row>
    <row r="445" spans="1:4" ht="77.5" hidden="1">
      <c r="A445" s="1" t="str">
        <f ca="1">HYPERLINK("#" &amp; 'Reconciliation report'!I440,'Reconciliation report'!F440)</f>
        <v>CSI 15.0/2</v>
      </c>
      <c r="B445" t="str">
        <f ca="1">'Reconciliation report'!C440</f>
        <v xml:space="preserve">
No answer required
Post town or city
</v>
      </c>
      <c r="C445" s="387" t="str">
        <f ca="1">'Reconciliation report'!D440</f>
        <v/>
      </c>
      <c r="D445" s="387" t="str">
        <f t="shared" ca="1" si="6"/>
        <v/>
      </c>
    </row>
    <row r="446" spans="1:4" ht="77.5" hidden="1">
      <c r="A446" s="1" t="str">
        <f ca="1">HYPERLINK("#" &amp; 'Reconciliation report'!I441,'Reconciliation report'!F441)</f>
        <v>CSI 16.0/2</v>
      </c>
      <c r="B446" t="str">
        <f ca="1">'Reconciliation report'!C441</f>
        <v xml:space="preserve">
No answer required
Country
</v>
      </c>
      <c r="C446" s="387" t="str">
        <f ca="1">'Reconciliation report'!D441</f>
        <v/>
      </c>
      <c r="D446" s="387" t="str">
        <f t="shared" ca="1" si="6"/>
        <v/>
      </c>
    </row>
    <row r="447" spans="1:4" ht="77.5" hidden="1">
      <c r="A447" s="1" t="str">
        <f ca="1">HYPERLINK("#" &amp; 'Reconciliation report'!I442,'Reconciliation report'!F442)</f>
        <v>CSI 17.0/2</v>
      </c>
      <c r="B447" t="str">
        <f ca="1">'Reconciliation report'!C442</f>
        <v xml:space="preserve">
No answer required
Postcode
</v>
      </c>
      <c r="C447" s="387" t="str">
        <f ca="1">'Reconciliation report'!D442</f>
        <v/>
      </c>
      <c r="D447" s="387" t="str">
        <f t="shared" ca="1" si="6"/>
        <v/>
      </c>
    </row>
    <row r="448" spans="1:4" ht="77.5" hidden="1">
      <c r="A448" s="1" t="str">
        <f ca="1">HYPERLINK("#" &amp; 'Reconciliation report'!I443,'Reconciliation report'!F443)</f>
        <v>CSI 8.0/3</v>
      </c>
      <c r="B448" t="str">
        <f ca="1">'Reconciliation report'!C443</f>
        <v xml:space="preserve">
No answer required
Legal name
</v>
      </c>
      <c r="C448" s="387" t="str">
        <f ca="1">'Reconciliation report'!D443</f>
        <v/>
      </c>
      <c r="D448" s="387" t="str">
        <f t="shared" ca="1" si="6"/>
        <v/>
      </c>
    </row>
    <row r="449" spans="1:4" ht="77.5" hidden="1">
      <c r="A449" s="1" t="str">
        <f ca="1">HYPERLINK("#" &amp; 'Reconciliation report'!I444,'Reconciliation report'!F444)</f>
        <v>CSI 9.0/3</v>
      </c>
      <c r="B449" t="str">
        <f ca="1">'Reconciliation report'!C444</f>
        <v xml:space="preserve">
No answer required
Companies House number (if applicable)
</v>
      </c>
      <c r="C449" s="387" t="str">
        <f ca="1">'Reconciliation report'!D444</f>
        <v/>
      </c>
      <c r="D449" s="387" t="str">
        <f t="shared" ca="1" si="6"/>
        <v/>
      </c>
    </row>
    <row r="450" spans="1:4" ht="77.5" hidden="1">
      <c r="A450" s="1" t="str">
        <f ca="1">HYPERLINK("#" &amp; 'Reconciliation report'!I445,'Reconciliation report'!F445)</f>
        <v>CSI 10.0/3</v>
      </c>
      <c r="B450" t="str">
        <f ca="1">'Reconciliation report'!C445</f>
        <v xml:space="preserve">
No answer required
Charity number (if applicable)
</v>
      </c>
      <c r="C450" s="387" t="str">
        <f ca="1">'Reconciliation report'!D445</f>
        <v/>
      </c>
      <c r="D450" s="387" t="str">
        <f t="shared" ca="1" si="6"/>
        <v/>
      </c>
    </row>
    <row r="451" spans="1:4" ht="77.5" hidden="1">
      <c r="A451" s="1" t="str">
        <f ca="1">HYPERLINK("#" &amp; 'Reconciliation report'!I446,'Reconciliation report'!F446)</f>
        <v>CSI 11.0/3</v>
      </c>
      <c r="B451" t="str">
        <f ca="1">'Reconciliation report'!C446</f>
        <v xml:space="preserve">
No answer required
Trading name
</v>
      </c>
      <c r="C451" s="387" t="str">
        <f ca="1">'Reconciliation report'!D446</f>
        <v/>
      </c>
      <c r="D451" s="387" t="str">
        <f t="shared" ca="1" si="6"/>
        <v/>
      </c>
    </row>
    <row r="452" spans="1:4" ht="77.5" hidden="1">
      <c r="A452" s="1" t="str">
        <f ca="1">HYPERLINK("#" &amp; 'Reconciliation report'!I447,'Reconciliation report'!F447)</f>
        <v>CSI 12.0/3</v>
      </c>
      <c r="B452" t="str">
        <f ca="1">'Reconciliation report'!C447</f>
        <v xml:space="preserve">
No answer required
Address line 1
</v>
      </c>
      <c r="C452" s="387" t="str">
        <f ca="1">'Reconciliation report'!D447</f>
        <v/>
      </c>
      <c r="D452" s="387" t="str">
        <f t="shared" ca="1" si="6"/>
        <v/>
      </c>
    </row>
    <row r="453" spans="1:4" ht="77.5" hidden="1">
      <c r="A453" s="1" t="str">
        <f ca="1">HYPERLINK("#" &amp; 'Reconciliation report'!I448,'Reconciliation report'!F448)</f>
        <v>CSI 13.0/3</v>
      </c>
      <c r="B453" t="str">
        <f ca="1">'Reconciliation report'!C448</f>
        <v xml:space="preserve">
No answer required
Address line 2 (optional)
</v>
      </c>
      <c r="C453" s="387" t="str">
        <f ca="1">'Reconciliation report'!D448</f>
        <v/>
      </c>
      <c r="D453" s="387" t="str">
        <f t="shared" ca="1" si="6"/>
        <v/>
      </c>
    </row>
    <row r="454" spans="1:4" ht="77.5" hidden="1">
      <c r="A454" s="1" t="str">
        <f ca="1">HYPERLINK("#" &amp; 'Reconciliation report'!I449,'Reconciliation report'!F449)</f>
        <v>CSI 14.0/3</v>
      </c>
      <c r="B454" t="str">
        <f ca="1">'Reconciliation report'!C449</f>
        <v xml:space="preserve">
No answer required
Address line 3 (optional)
</v>
      </c>
      <c r="C454" s="387" t="str">
        <f ca="1">'Reconciliation report'!D449</f>
        <v/>
      </c>
      <c r="D454" s="387" t="str">
        <f t="shared" ca="1" si="6"/>
        <v/>
      </c>
    </row>
    <row r="455" spans="1:4" ht="77.5" hidden="1">
      <c r="A455" s="1" t="str">
        <f ca="1">HYPERLINK("#" &amp; 'Reconciliation report'!I450,'Reconciliation report'!F450)</f>
        <v>CSI 15.0/3</v>
      </c>
      <c r="B455" t="str">
        <f ca="1">'Reconciliation report'!C450</f>
        <v xml:space="preserve">
No answer required
Post town or city
</v>
      </c>
      <c r="C455" s="387" t="str">
        <f ca="1">'Reconciliation report'!D450</f>
        <v/>
      </c>
      <c r="D455" s="387" t="str">
        <f t="shared" ref="D455:D518" ca="1" si="7">IFERROR(IF(LEN(TRIM(CLEAN(C455))) &gt; 0, "Refresh the error report", ""), "")</f>
        <v/>
      </c>
    </row>
    <row r="456" spans="1:4" ht="77.5" hidden="1">
      <c r="A456" s="1" t="str">
        <f ca="1">HYPERLINK("#" &amp; 'Reconciliation report'!I451,'Reconciliation report'!F451)</f>
        <v>CSI 16.0/3</v>
      </c>
      <c r="B456" t="str">
        <f ca="1">'Reconciliation report'!C451</f>
        <v xml:space="preserve">
No answer required
Country
</v>
      </c>
      <c r="C456" s="387" t="str">
        <f ca="1">'Reconciliation report'!D451</f>
        <v/>
      </c>
      <c r="D456" s="387" t="str">
        <f t="shared" ca="1" si="7"/>
        <v/>
      </c>
    </row>
    <row r="457" spans="1:4" ht="77.5" hidden="1">
      <c r="A457" s="1" t="str">
        <f ca="1">HYPERLINK("#" &amp; 'Reconciliation report'!I452,'Reconciliation report'!F452)</f>
        <v>CSI 17.0/3</v>
      </c>
      <c r="B457" t="str">
        <f ca="1">'Reconciliation report'!C452</f>
        <v xml:space="preserve">
No answer required
Postcode
</v>
      </c>
      <c r="C457" s="387" t="str">
        <f ca="1">'Reconciliation report'!D452</f>
        <v/>
      </c>
      <c r="D457" s="387" t="str">
        <f t="shared" ca="1" si="7"/>
        <v/>
      </c>
    </row>
    <row r="458" spans="1:4" ht="77.5" hidden="1">
      <c r="A458" s="1" t="str">
        <f ca="1">HYPERLINK("#" &amp; 'Reconciliation report'!I453,'Reconciliation report'!F453)</f>
        <v>CSI 8.0/4</v>
      </c>
      <c r="B458" t="str">
        <f ca="1">'Reconciliation report'!C453</f>
        <v xml:space="preserve">
No answer required
Legal name
</v>
      </c>
      <c r="C458" s="387" t="str">
        <f ca="1">'Reconciliation report'!D453</f>
        <v/>
      </c>
      <c r="D458" s="387" t="str">
        <f t="shared" ca="1" si="7"/>
        <v/>
      </c>
    </row>
    <row r="459" spans="1:4" ht="77.5" hidden="1">
      <c r="A459" s="1" t="str">
        <f ca="1">HYPERLINK("#" &amp; 'Reconciliation report'!I454,'Reconciliation report'!F454)</f>
        <v>CSI 9.0/4</v>
      </c>
      <c r="B459" t="str">
        <f ca="1">'Reconciliation report'!C454</f>
        <v xml:space="preserve">
No answer required
Companies House number (if applicable)
</v>
      </c>
      <c r="C459" s="387" t="str">
        <f ca="1">'Reconciliation report'!D454</f>
        <v/>
      </c>
      <c r="D459" s="387" t="str">
        <f t="shared" ca="1" si="7"/>
        <v/>
      </c>
    </row>
    <row r="460" spans="1:4" ht="77.5" hidden="1">
      <c r="A460" s="1" t="str">
        <f ca="1">HYPERLINK("#" &amp; 'Reconciliation report'!I455,'Reconciliation report'!F455)</f>
        <v>CSI 10.0/4</v>
      </c>
      <c r="B460" t="str">
        <f ca="1">'Reconciliation report'!C455</f>
        <v xml:space="preserve">
No answer required
Charity number (if applicable)
</v>
      </c>
      <c r="C460" s="387" t="str">
        <f ca="1">'Reconciliation report'!D455</f>
        <v/>
      </c>
      <c r="D460" s="387" t="str">
        <f t="shared" ca="1" si="7"/>
        <v/>
      </c>
    </row>
    <row r="461" spans="1:4" ht="77.5" hidden="1">
      <c r="A461" s="1" t="str">
        <f ca="1">HYPERLINK("#" &amp; 'Reconciliation report'!I456,'Reconciliation report'!F456)</f>
        <v>CSI 11.0/4</v>
      </c>
      <c r="B461" t="str">
        <f ca="1">'Reconciliation report'!C456</f>
        <v xml:space="preserve">
No answer required
Trading name
</v>
      </c>
      <c r="C461" s="387" t="str">
        <f ca="1">'Reconciliation report'!D456</f>
        <v/>
      </c>
      <c r="D461" s="387" t="str">
        <f t="shared" ca="1" si="7"/>
        <v/>
      </c>
    </row>
    <row r="462" spans="1:4" ht="77.5" hidden="1">
      <c r="A462" s="1" t="str">
        <f ca="1">HYPERLINK("#" &amp; 'Reconciliation report'!I457,'Reconciliation report'!F457)</f>
        <v>CSI 12.0/4</v>
      </c>
      <c r="B462" t="str">
        <f ca="1">'Reconciliation report'!C457</f>
        <v xml:space="preserve">
No answer required
Address line 1
</v>
      </c>
      <c r="C462" s="387" t="str">
        <f ca="1">'Reconciliation report'!D457</f>
        <v/>
      </c>
      <c r="D462" s="387" t="str">
        <f t="shared" ca="1" si="7"/>
        <v/>
      </c>
    </row>
    <row r="463" spans="1:4" ht="77.5" hidden="1">
      <c r="A463" s="1" t="str">
        <f ca="1">HYPERLINK("#" &amp; 'Reconciliation report'!I458,'Reconciliation report'!F458)</f>
        <v>CSI 13.0/4</v>
      </c>
      <c r="B463" t="str">
        <f ca="1">'Reconciliation report'!C458</f>
        <v xml:space="preserve">
No answer required
Address line 2 (optional)
</v>
      </c>
      <c r="C463" s="387" t="str">
        <f ca="1">'Reconciliation report'!D458</f>
        <v/>
      </c>
      <c r="D463" s="387" t="str">
        <f t="shared" ca="1" si="7"/>
        <v/>
      </c>
    </row>
    <row r="464" spans="1:4" ht="77.5" hidden="1">
      <c r="A464" s="1" t="str">
        <f ca="1">HYPERLINK("#" &amp; 'Reconciliation report'!I459,'Reconciliation report'!F459)</f>
        <v>CSI 14.0/4</v>
      </c>
      <c r="B464" t="str">
        <f ca="1">'Reconciliation report'!C459</f>
        <v xml:space="preserve">
No answer required
Address line 3 (optional)
</v>
      </c>
      <c r="C464" s="387" t="str">
        <f ca="1">'Reconciliation report'!D459</f>
        <v/>
      </c>
      <c r="D464" s="387" t="str">
        <f t="shared" ca="1" si="7"/>
        <v/>
      </c>
    </row>
    <row r="465" spans="1:4" ht="77.5" hidden="1">
      <c r="A465" s="1" t="str">
        <f ca="1">HYPERLINK("#" &amp; 'Reconciliation report'!I460,'Reconciliation report'!F460)</f>
        <v>CSI 15.0/4</v>
      </c>
      <c r="B465" t="str">
        <f ca="1">'Reconciliation report'!C460</f>
        <v xml:space="preserve">
No answer required
Post town or city
</v>
      </c>
      <c r="C465" s="387" t="str">
        <f ca="1">'Reconciliation report'!D460</f>
        <v/>
      </c>
      <c r="D465" s="387" t="str">
        <f t="shared" ca="1" si="7"/>
        <v/>
      </c>
    </row>
    <row r="466" spans="1:4" ht="77.5" hidden="1">
      <c r="A466" s="1" t="str">
        <f ca="1">HYPERLINK("#" &amp; 'Reconciliation report'!I461,'Reconciliation report'!F461)</f>
        <v>CSI 16.0/4</v>
      </c>
      <c r="B466" t="str">
        <f ca="1">'Reconciliation report'!C461</f>
        <v xml:space="preserve">
No answer required
Country
</v>
      </c>
      <c r="C466" s="387" t="str">
        <f ca="1">'Reconciliation report'!D461</f>
        <v/>
      </c>
      <c r="D466" s="387" t="str">
        <f t="shared" ca="1" si="7"/>
        <v/>
      </c>
    </row>
    <row r="467" spans="1:4" ht="77.5" hidden="1">
      <c r="A467" s="1" t="str">
        <f ca="1">HYPERLINK("#" &amp; 'Reconciliation report'!I462,'Reconciliation report'!F462)</f>
        <v>CSI 17.0/4</v>
      </c>
      <c r="B467" t="str">
        <f ca="1">'Reconciliation report'!C462</f>
        <v xml:space="preserve">
No answer required
Postcode
</v>
      </c>
      <c r="C467" s="387" t="str">
        <f ca="1">'Reconciliation report'!D462</f>
        <v/>
      </c>
      <c r="D467" s="387" t="str">
        <f t="shared" ca="1" si="7"/>
        <v/>
      </c>
    </row>
    <row r="468" spans="1:4" ht="77.5" hidden="1">
      <c r="A468" s="1" t="str">
        <f ca="1">HYPERLINK("#" &amp; 'Reconciliation report'!I463,'Reconciliation report'!F463)</f>
        <v>CSI 8.0/5</v>
      </c>
      <c r="B468" t="str">
        <f ca="1">'Reconciliation report'!C463</f>
        <v xml:space="preserve">
No answer required
Legal name
</v>
      </c>
      <c r="C468" s="387" t="str">
        <f ca="1">'Reconciliation report'!D463</f>
        <v/>
      </c>
      <c r="D468" s="387" t="str">
        <f t="shared" ca="1" si="7"/>
        <v/>
      </c>
    </row>
    <row r="469" spans="1:4" ht="77.5" hidden="1">
      <c r="A469" s="1" t="str">
        <f ca="1">HYPERLINK("#" &amp; 'Reconciliation report'!I464,'Reconciliation report'!F464)</f>
        <v>CSI 9.0/5</v>
      </c>
      <c r="B469" t="str">
        <f ca="1">'Reconciliation report'!C464</f>
        <v xml:space="preserve">
No answer required
Companies House number (if applicable)
</v>
      </c>
      <c r="C469" s="387" t="str">
        <f ca="1">'Reconciliation report'!D464</f>
        <v/>
      </c>
      <c r="D469" s="387" t="str">
        <f t="shared" ca="1" si="7"/>
        <v/>
      </c>
    </row>
    <row r="470" spans="1:4" ht="77.5" hidden="1">
      <c r="A470" s="1" t="str">
        <f ca="1">HYPERLINK("#" &amp; 'Reconciliation report'!I465,'Reconciliation report'!F465)</f>
        <v>CSI 10.0/5</v>
      </c>
      <c r="B470" t="str">
        <f ca="1">'Reconciliation report'!C465</f>
        <v xml:space="preserve">
No answer required
Charity number (if applicable)
</v>
      </c>
      <c r="C470" s="387" t="str">
        <f ca="1">'Reconciliation report'!D465</f>
        <v/>
      </c>
      <c r="D470" s="387" t="str">
        <f t="shared" ca="1" si="7"/>
        <v/>
      </c>
    </row>
    <row r="471" spans="1:4" ht="77.5" hidden="1">
      <c r="A471" s="1" t="str">
        <f ca="1">HYPERLINK("#" &amp; 'Reconciliation report'!I466,'Reconciliation report'!F466)</f>
        <v>CSI 11.0/5</v>
      </c>
      <c r="B471" t="str">
        <f ca="1">'Reconciliation report'!C466</f>
        <v xml:space="preserve">
No answer required
Trading name
</v>
      </c>
      <c r="C471" s="387" t="str">
        <f ca="1">'Reconciliation report'!D466</f>
        <v/>
      </c>
      <c r="D471" s="387" t="str">
        <f t="shared" ca="1" si="7"/>
        <v/>
      </c>
    </row>
    <row r="472" spans="1:4" ht="77.5" hidden="1">
      <c r="A472" s="1" t="str">
        <f ca="1">HYPERLINK("#" &amp; 'Reconciliation report'!I467,'Reconciliation report'!F467)</f>
        <v>CSI 12.0/5</v>
      </c>
      <c r="B472" t="str">
        <f ca="1">'Reconciliation report'!C467</f>
        <v xml:space="preserve">
No answer required
Address line 1
</v>
      </c>
      <c r="C472" s="387" t="str">
        <f ca="1">'Reconciliation report'!D467</f>
        <v/>
      </c>
      <c r="D472" s="387" t="str">
        <f t="shared" ca="1" si="7"/>
        <v/>
      </c>
    </row>
    <row r="473" spans="1:4" ht="77.5" hidden="1">
      <c r="A473" s="1" t="str">
        <f ca="1">HYPERLINK("#" &amp; 'Reconciliation report'!I468,'Reconciliation report'!F468)</f>
        <v>CSI 13.0/5</v>
      </c>
      <c r="B473" t="str">
        <f ca="1">'Reconciliation report'!C468</f>
        <v xml:space="preserve">
No answer required
Address line 2 (optional)
</v>
      </c>
      <c r="C473" s="387" t="str">
        <f ca="1">'Reconciliation report'!D468</f>
        <v/>
      </c>
      <c r="D473" s="387" t="str">
        <f t="shared" ca="1" si="7"/>
        <v/>
      </c>
    </row>
    <row r="474" spans="1:4" ht="77.5" hidden="1">
      <c r="A474" s="1" t="str">
        <f ca="1">HYPERLINK("#" &amp; 'Reconciliation report'!I469,'Reconciliation report'!F469)</f>
        <v>CSI 14.0/5</v>
      </c>
      <c r="B474" t="str">
        <f ca="1">'Reconciliation report'!C469</f>
        <v xml:space="preserve">
No answer required
Address line 3 (optional)
</v>
      </c>
      <c r="C474" s="387" t="str">
        <f ca="1">'Reconciliation report'!D469</f>
        <v/>
      </c>
      <c r="D474" s="387" t="str">
        <f t="shared" ca="1" si="7"/>
        <v/>
      </c>
    </row>
    <row r="475" spans="1:4" ht="77.5" hidden="1">
      <c r="A475" s="1" t="str">
        <f ca="1">HYPERLINK("#" &amp; 'Reconciliation report'!I470,'Reconciliation report'!F470)</f>
        <v>CSI 15.0/5</v>
      </c>
      <c r="B475" t="str">
        <f ca="1">'Reconciliation report'!C470</f>
        <v xml:space="preserve">
No answer required
Post town or city
</v>
      </c>
      <c r="C475" s="387" t="str">
        <f ca="1">'Reconciliation report'!D470</f>
        <v/>
      </c>
      <c r="D475" s="387" t="str">
        <f t="shared" ca="1" si="7"/>
        <v/>
      </c>
    </row>
    <row r="476" spans="1:4" ht="77.5" hidden="1">
      <c r="A476" s="1" t="str">
        <f ca="1">HYPERLINK("#" &amp; 'Reconciliation report'!I471,'Reconciliation report'!F471)</f>
        <v>CSI 16.0/5</v>
      </c>
      <c r="B476" t="str">
        <f ca="1">'Reconciliation report'!C471</f>
        <v xml:space="preserve">
No answer required
Country
</v>
      </c>
      <c r="C476" s="387" t="str">
        <f ca="1">'Reconciliation report'!D471</f>
        <v/>
      </c>
      <c r="D476" s="387" t="str">
        <f t="shared" ca="1" si="7"/>
        <v/>
      </c>
    </row>
    <row r="477" spans="1:4" ht="77.5" hidden="1">
      <c r="A477" s="1" t="str">
        <f ca="1">HYPERLINK("#" &amp; 'Reconciliation report'!I472,'Reconciliation report'!F472)</f>
        <v>CSI 17.0/5</v>
      </c>
      <c r="B477" t="str">
        <f ca="1">'Reconciliation report'!C472</f>
        <v xml:space="preserve">
No answer required
Postcode
</v>
      </c>
      <c r="C477" s="387" t="str">
        <f ca="1">'Reconciliation report'!D472</f>
        <v/>
      </c>
      <c r="D477" s="387" t="str">
        <f t="shared" ca="1" si="7"/>
        <v/>
      </c>
    </row>
    <row r="478" spans="1:4" ht="77.5" hidden="1">
      <c r="A478" s="1" t="str">
        <f ca="1">HYPERLINK("#" &amp; 'Reconciliation report'!I473,'Reconciliation report'!F473)</f>
        <v>CSI 18.0</v>
      </c>
      <c r="B478" t="str">
        <f ca="1">'Reconciliation report'!C473</f>
        <v xml:space="preserve">No answer required
Does the scheme rely on contingent assets to take funding and investment risk above what the employer can support?
</v>
      </c>
      <c r="C478" s="387" t="str">
        <f ca="1">'Reconciliation report'!D473</f>
        <v/>
      </c>
      <c r="D478" s="387" t="str">
        <f t="shared" ca="1" si="7"/>
        <v/>
      </c>
    </row>
    <row r="479" spans="1:4" ht="62" hidden="1">
      <c r="A479" s="1" t="str">
        <f ca="1">HYPERLINK("#" &amp; 'Reconciliation report'!I474,'Reconciliation report'!F474)</f>
        <v>CSI 19.0</v>
      </c>
      <c r="B479" t="str">
        <f ca="1">'Reconciliation report'!C474</f>
        <v xml:space="preserve">No answer required
How many guarantees do the trustees wish to include details about?
</v>
      </c>
      <c r="C479" s="387" t="str">
        <f ca="1">'Reconciliation report'!D474</f>
        <v/>
      </c>
      <c r="D479" s="387" t="str">
        <f t="shared" ca="1" si="7"/>
        <v/>
      </c>
    </row>
    <row r="480" spans="1:4" ht="62" hidden="1">
      <c r="A480" s="1" t="str">
        <f ca="1">HYPERLINK("#" &amp; 'Reconciliation report'!I475,'Reconciliation report'!F475)</f>
        <v>CSI 20.0</v>
      </c>
      <c r="B480" t="str">
        <f ca="1">'Reconciliation report'!C475</f>
        <v xml:space="preserve">No answer required
How many securities do the trustees wish to include details about?
</v>
      </c>
      <c r="C480" s="387" t="str">
        <f ca="1">'Reconciliation report'!D475</f>
        <v/>
      </c>
      <c r="D480" s="387" t="str">
        <f t="shared" ca="1" si="7"/>
        <v/>
      </c>
    </row>
    <row r="481" spans="1:4" ht="77.5" hidden="1">
      <c r="A481" s="1" t="str">
        <f ca="1">HYPERLINK("#" &amp; 'Reconciliation report'!I476,'Reconciliation report'!F476)</f>
        <v>CSI 21.0</v>
      </c>
      <c r="B481" t="str">
        <f ca="1">'Reconciliation report'!C476</f>
        <v xml:space="preserve">No answer required
How many other contingent assets do the trustees wish to include details about (excl ABCs)?
</v>
      </c>
      <c r="C481" s="387" t="str">
        <f ca="1">'Reconciliation report'!D476</f>
        <v/>
      </c>
      <c r="D481" s="387" t="str">
        <f t="shared" ca="1" si="7"/>
        <v/>
      </c>
    </row>
    <row r="482" spans="1:4" ht="62" hidden="1">
      <c r="A482" s="1" t="str">
        <f ca="1">HYPERLINK("#" &amp; 'Reconciliation report'!I477,'Reconciliation report'!F477)</f>
        <v>CSI 22.0</v>
      </c>
      <c r="B482" t="str">
        <f ca="1">'Reconciliation report'!C477</f>
        <v xml:space="preserve">No answer required
What is the total value ascribed to contingent assets? (£)
</v>
      </c>
      <c r="C482" s="387" t="str">
        <f ca="1">'Reconciliation report'!D477</f>
        <v/>
      </c>
      <c r="D482" s="387" t="str">
        <f t="shared" ca="1" si="7"/>
        <v/>
      </c>
    </row>
    <row r="483" spans="1:4" ht="46.5" hidden="1">
      <c r="A483" s="1" t="str">
        <f ca="1">HYPERLINK("#" &amp; 'Reconciliation report'!I478,'Reconciliation report'!F478)</f>
        <v>CSI 23.0</v>
      </c>
      <c r="B483" t="str">
        <f ca="1">'Reconciliation report'!C478</f>
        <v xml:space="preserve">
What is the reliability period?
</v>
      </c>
      <c r="C483" s="387" t="str">
        <f ca="1">'Reconciliation report'!D478</f>
        <v/>
      </c>
      <c r="D483" s="387" t="str">
        <f t="shared" ca="1" si="7"/>
        <v/>
      </c>
    </row>
    <row r="484" spans="1:4" ht="46.5" hidden="1">
      <c r="A484" s="1" t="str">
        <f ca="1">HYPERLINK("#" &amp; 'Reconciliation report'!I479,'Reconciliation report'!F479)</f>
        <v>CSI 24.0</v>
      </c>
      <c r="B484" t="str">
        <f ca="1">'Reconciliation report'!C479</f>
        <v xml:space="preserve">
What is the covenant longevity? 
</v>
      </c>
      <c r="C484" s="387" t="str">
        <f ca="1">'Reconciliation report'!D479</f>
        <v/>
      </c>
      <c r="D484" s="387" t="str">
        <f t="shared" ca="1" si="7"/>
        <v/>
      </c>
    </row>
    <row r="485" spans="1:4" ht="62" hidden="1">
      <c r="A485" s="1" t="str">
        <f ca="1">HYPERLINK("#" &amp; 'Reconciliation report'!I480,'Reconciliation report'!F480)</f>
        <v>CSI 25.0</v>
      </c>
      <c r="B485" t="str">
        <f ca="1">'Reconciliation report'!C480</f>
        <v xml:space="preserve">
Add any additional information that will help us understand the trustees' approach to assessing reliability and longevity periods. (Optional)
</v>
      </c>
      <c r="C485" s="387" t="str">
        <f ca="1">'Reconciliation report'!D480</f>
        <v/>
      </c>
      <c r="D485" s="387" t="str">
        <f t="shared" ca="1" si="7"/>
        <v/>
      </c>
    </row>
    <row r="486" spans="1:4" ht="46.5" hidden="1">
      <c r="A486" s="1" t="str">
        <f ca="1">HYPERLINK("#" &amp; 'Reconciliation report'!I481,'Reconciliation report'!F481)</f>
        <v>CSI 26.0</v>
      </c>
      <c r="B486" t="str">
        <f ca="1">'Reconciliation report'!C481</f>
        <v xml:space="preserve">
Is the recovery plan longer than the reliability period or more than 6 years?
</v>
      </c>
      <c r="C486" s="387" t="str">
        <f ca="1">'Reconciliation report'!D481</f>
        <v/>
      </c>
      <c r="D486" s="387" t="str">
        <f t="shared" ca="1" si="7"/>
        <v/>
      </c>
    </row>
    <row r="487" spans="1:4" ht="46.5" hidden="1">
      <c r="A487" s="1" t="str">
        <f ca="1">HYPERLINK("#" &amp; 'Reconciliation report'!I482,'Reconciliation report'!F482)</f>
        <v>CSI 27.0</v>
      </c>
      <c r="B487" t="str">
        <f ca="1">'Reconciliation report'!C482</f>
        <v xml:space="preserve">
Is the recovery plan longer than the reliability period or more than 3 years?
</v>
      </c>
      <c r="C487" s="387" t="str">
        <f ca="1">'Reconciliation report'!D482</f>
        <v/>
      </c>
      <c r="D487" s="387" t="str">
        <f t="shared" ca="1" si="7"/>
        <v/>
      </c>
    </row>
    <row r="488" spans="1:4" ht="93" hidden="1">
      <c r="A488" s="1" t="str">
        <f ca="1">HYPERLINK("#" &amp; 'Reconciliation report'!I483,'Reconciliation report'!F483)</f>
        <v>CSI 28.0</v>
      </c>
      <c r="B488" t="str">
        <f ca="1">'Reconciliation report'!C483</f>
        <v xml:space="preserve">
No answer required
What are the maximum affordable contributions over the reliability period after deficit repair contributions (DRCs)? (£)
</v>
      </c>
      <c r="C488" s="387" t="str">
        <f ca="1">'Reconciliation report'!D483</f>
        <v/>
      </c>
      <c r="D488" s="387" t="str">
        <f t="shared" ca="1" si="7"/>
        <v/>
      </c>
    </row>
    <row r="489" spans="1:4" ht="108.5" hidden="1">
      <c r="A489" s="1" t="str">
        <f ca="1">HYPERLINK("#" &amp; 'Reconciliation report'!I484,'Reconciliation report'!F484)</f>
        <v>CSI 29.0</v>
      </c>
      <c r="B489" t="str">
        <f ca="1">'Reconciliation report'!C484</f>
        <v xml:space="preserve">
No answer required
Add any additional information that will help us understand trustees' approach to assessing employer cash flows or maximum affordable contributions or both. (Optional)
</v>
      </c>
      <c r="C489" s="387" t="str">
        <f ca="1">'Reconciliation report'!D484</f>
        <v/>
      </c>
      <c r="D489" s="387" t="str">
        <f t="shared" ca="1" si="7"/>
        <v/>
      </c>
    </row>
    <row r="490" spans="1:4" ht="93" hidden="1">
      <c r="A490" s="1" t="str">
        <f ca="1">HYPERLINK("#" &amp; 'Reconciliation report'!I485,'Reconciliation report'!F485)</f>
        <v>CSI 30.0</v>
      </c>
      <c r="B490" t="str">
        <f ca="1">'Reconciliation report'!C485</f>
        <v xml:space="preserve">
No answer required
You are required to upload a PDF document showing a summary of the trustees' assessment of supportable risk over the reliability period
</v>
      </c>
      <c r="C490" s="387" t="str">
        <f>'Reconciliation report'!D485</f>
        <v/>
      </c>
      <c r="D490" s="387" t="str">
        <f t="shared" si="7"/>
        <v/>
      </c>
    </row>
    <row r="491" spans="1:4" ht="93" hidden="1">
      <c r="A491" s="1" t="str">
        <f ca="1">HYPERLINK("#" &amp; 'Reconciliation report'!I486,'Reconciliation report'!F486)</f>
        <v>CSI 31.0</v>
      </c>
      <c r="B491" t="str">
        <f ca="1">'Reconciliation report'!C486</f>
        <v xml:space="preserve">
No answer required
You are required to upload a PDF document showing a summary of the trustees' analysis of maximum affordable contributions
</v>
      </c>
      <c r="C491" s="387" t="str">
        <f>'Reconciliation report'!D486</f>
        <v/>
      </c>
      <c r="D491" s="387" t="str">
        <f t="shared" si="7"/>
        <v/>
      </c>
    </row>
    <row r="492" spans="1:4" ht="62">
      <c r="A492" s="1" t="str">
        <f ca="1">HYPERLINK("#" &amp; 'Reconciliation report'!I487,'Reconciliation report'!F487)</f>
        <v>CSI 32.0</v>
      </c>
      <c r="B492" t="str">
        <f ca="1">'Reconciliation report'!C487</f>
        <v xml:space="preserve">
Is the strength of the employer covenant adequate by reference to the actuarial valuation to which the funding and investments strategy relates?
</v>
      </c>
      <c r="C492" s="387" t="str">
        <f ca="1">'Reconciliation report'!D487</f>
        <v xml:space="preserve">
Select ‘Yes’ if the strength of the employer covenant is adequate by reference to the actuarial valuation to which the funding and investment strategy relates, or ‘No’ if it does not.
</v>
      </c>
      <c r="D492" s="387" t="str">
        <f t="shared" ca="1" si="7"/>
        <v>Refresh the error report</v>
      </c>
    </row>
    <row r="493" spans="1:4" ht="77.5" hidden="1">
      <c r="A493" s="1" t="str">
        <f ca="1">HYPERLINK("#" &amp; 'Reconciliation report'!I488,'Reconciliation report'!F488)</f>
        <v>ECI 0.0</v>
      </c>
      <c r="B493" t="str">
        <f ca="1">'Reconciliation report'!C488</f>
        <v xml:space="preserve">No answer required
How many entities have been considered when determining the employer cash flow?
</v>
      </c>
      <c r="C493" s="387" t="str">
        <f ca="1">'Reconciliation report'!D488</f>
        <v/>
      </c>
      <c r="D493" s="387" t="str">
        <f t="shared" ca="1" si="7"/>
        <v/>
      </c>
    </row>
    <row r="494" spans="1:4" ht="77.5" hidden="1">
      <c r="A494" s="1" t="str">
        <f ca="1">HYPERLINK("#" &amp; 'Reconciliation report'!I489,'Reconciliation report'!F489)</f>
        <v>ECI 1.0/1</v>
      </c>
      <c r="B494" t="str">
        <f ca="1">'Reconciliation report'!C489</f>
        <v xml:space="preserve">
No answer required
Legal name
</v>
      </c>
      <c r="C494" s="387" t="str">
        <f ca="1">'Reconciliation report'!D489</f>
        <v/>
      </c>
      <c r="D494" s="387" t="str">
        <f t="shared" ca="1" si="7"/>
        <v/>
      </c>
    </row>
    <row r="495" spans="1:4" ht="77.5" hidden="1">
      <c r="A495" s="1" t="str">
        <f ca="1">HYPERLINK("#" &amp; 'Reconciliation report'!I490,'Reconciliation report'!F490)</f>
        <v>ECI 2.0/1</v>
      </c>
      <c r="B495" t="str">
        <f ca="1">'Reconciliation report'!C490</f>
        <v xml:space="preserve">
No answer required
Companies House number (if applicable)
</v>
      </c>
      <c r="C495" s="387" t="str">
        <f ca="1">'Reconciliation report'!D490</f>
        <v/>
      </c>
      <c r="D495" s="387" t="str">
        <f t="shared" ca="1" si="7"/>
        <v/>
      </c>
    </row>
    <row r="496" spans="1:4" ht="77.5" hidden="1">
      <c r="A496" s="1" t="str">
        <f ca="1">HYPERLINK("#" &amp; 'Reconciliation report'!I491,'Reconciliation report'!F491)</f>
        <v>ECI 3.0/1</v>
      </c>
      <c r="B496" t="str">
        <f ca="1">'Reconciliation report'!C491</f>
        <v xml:space="preserve">
No answer required
Charity number (if applicable)
</v>
      </c>
      <c r="C496" s="387" t="str">
        <f ca="1">'Reconciliation report'!D491</f>
        <v/>
      </c>
      <c r="D496" s="387" t="str">
        <f t="shared" ca="1" si="7"/>
        <v/>
      </c>
    </row>
    <row r="497" spans="1:4" ht="77.5" hidden="1">
      <c r="A497" s="1" t="str">
        <f ca="1">HYPERLINK("#" &amp; 'Reconciliation report'!I492,'Reconciliation report'!F492)</f>
        <v>ECI 4.0/1</v>
      </c>
      <c r="B497" t="str">
        <f ca="1">'Reconciliation report'!C492</f>
        <v xml:space="preserve">
No answer required
Trading name
</v>
      </c>
      <c r="C497" s="387" t="str">
        <f ca="1">'Reconciliation report'!D492</f>
        <v/>
      </c>
      <c r="D497" s="387" t="str">
        <f t="shared" ca="1" si="7"/>
        <v/>
      </c>
    </row>
    <row r="498" spans="1:4" ht="77.5" hidden="1">
      <c r="A498" s="1" t="str">
        <f ca="1">HYPERLINK("#" &amp; 'Reconciliation report'!I493,'Reconciliation report'!F493)</f>
        <v>ECI 5.0/1</v>
      </c>
      <c r="B498" t="str">
        <f ca="1">'Reconciliation report'!C493</f>
        <v xml:space="preserve">
No answer required
Address line 1
</v>
      </c>
      <c r="C498" s="387" t="str">
        <f ca="1">'Reconciliation report'!D493</f>
        <v/>
      </c>
      <c r="D498" s="387" t="str">
        <f t="shared" ca="1" si="7"/>
        <v/>
      </c>
    </row>
    <row r="499" spans="1:4" ht="77.5" hidden="1">
      <c r="A499" s="1" t="str">
        <f ca="1">HYPERLINK("#" &amp; 'Reconciliation report'!I494,'Reconciliation report'!F494)</f>
        <v>ECI 6.0/1</v>
      </c>
      <c r="B499" t="str">
        <f ca="1">'Reconciliation report'!C494</f>
        <v xml:space="preserve">
No answer required
Address line 2 (optional)
</v>
      </c>
      <c r="C499" s="387" t="str">
        <f ca="1">'Reconciliation report'!D494</f>
        <v/>
      </c>
      <c r="D499" s="387" t="str">
        <f t="shared" ca="1" si="7"/>
        <v/>
      </c>
    </row>
    <row r="500" spans="1:4" ht="77.5" hidden="1">
      <c r="A500" s="1" t="str">
        <f ca="1">HYPERLINK("#" &amp; 'Reconciliation report'!I495,'Reconciliation report'!F495)</f>
        <v>ECI 7.0/1</v>
      </c>
      <c r="B500" t="str">
        <f ca="1">'Reconciliation report'!C495</f>
        <v xml:space="preserve">
No answer required
Address line 3 (optional)
</v>
      </c>
      <c r="C500" s="387" t="str">
        <f ca="1">'Reconciliation report'!D495</f>
        <v/>
      </c>
      <c r="D500" s="387" t="str">
        <f t="shared" ca="1" si="7"/>
        <v/>
      </c>
    </row>
    <row r="501" spans="1:4" ht="77.5" hidden="1">
      <c r="A501" s="1" t="str">
        <f ca="1">HYPERLINK("#" &amp; 'Reconciliation report'!I496,'Reconciliation report'!F496)</f>
        <v>ECI 8.0/1</v>
      </c>
      <c r="B501" t="str">
        <f ca="1">'Reconciliation report'!C496</f>
        <v xml:space="preserve">
No answer required
Post town or city
</v>
      </c>
      <c r="C501" s="387" t="str">
        <f ca="1">'Reconciliation report'!D496</f>
        <v/>
      </c>
      <c r="D501" s="387" t="str">
        <f t="shared" ca="1" si="7"/>
        <v/>
      </c>
    </row>
    <row r="502" spans="1:4" ht="77.5" hidden="1">
      <c r="A502" s="1" t="str">
        <f ca="1">HYPERLINK("#" &amp; 'Reconciliation report'!I497,'Reconciliation report'!F497)</f>
        <v>ECI 9.0/1</v>
      </c>
      <c r="B502" t="str">
        <f ca="1">'Reconciliation report'!C497</f>
        <v xml:space="preserve">
No answer required
Country
</v>
      </c>
      <c r="C502" s="387" t="str">
        <f ca="1">'Reconciliation report'!D497</f>
        <v/>
      </c>
      <c r="D502" s="387" t="str">
        <f t="shared" ca="1" si="7"/>
        <v/>
      </c>
    </row>
    <row r="503" spans="1:4" ht="77.5" hidden="1">
      <c r="A503" s="1" t="str">
        <f ca="1">HYPERLINK("#" &amp; 'Reconciliation report'!I498,'Reconciliation report'!F498)</f>
        <v>ECI 10.0/1</v>
      </c>
      <c r="B503" t="str">
        <f ca="1">'Reconciliation report'!C498</f>
        <v xml:space="preserve">
No answer required
Postcode
</v>
      </c>
      <c r="C503" s="387" t="str">
        <f ca="1">'Reconciliation report'!D498</f>
        <v/>
      </c>
      <c r="D503" s="387" t="str">
        <f t="shared" ca="1" si="7"/>
        <v/>
      </c>
    </row>
    <row r="504" spans="1:4" ht="77.5" hidden="1">
      <c r="A504" s="1" t="str">
        <f ca="1">HYPERLINK("#" &amp; 'Reconciliation report'!I499,'Reconciliation report'!F499)</f>
        <v>ECI 1.0/2</v>
      </c>
      <c r="B504" t="str">
        <f ca="1">'Reconciliation report'!C499</f>
        <v xml:space="preserve">
No answer required
Legal name
</v>
      </c>
      <c r="C504" s="387" t="str">
        <f ca="1">'Reconciliation report'!D499</f>
        <v/>
      </c>
      <c r="D504" s="387" t="str">
        <f t="shared" ca="1" si="7"/>
        <v/>
      </c>
    </row>
    <row r="505" spans="1:4" ht="77.5" hidden="1">
      <c r="A505" s="1" t="str">
        <f ca="1">HYPERLINK("#" &amp; 'Reconciliation report'!I500,'Reconciliation report'!F500)</f>
        <v>ECI 2.0/2</v>
      </c>
      <c r="B505" t="str">
        <f ca="1">'Reconciliation report'!C500</f>
        <v xml:space="preserve">
No answer required
Companies House number (if applicable)
</v>
      </c>
      <c r="C505" s="387" t="str">
        <f ca="1">'Reconciliation report'!D500</f>
        <v/>
      </c>
      <c r="D505" s="387" t="str">
        <f t="shared" ca="1" si="7"/>
        <v/>
      </c>
    </row>
    <row r="506" spans="1:4" ht="77.5" hidden="1">
      <c r="A506" s="1" t="str">
        <f ca="1">HYPERLINK("#" &amp; 'Reconciliation report'!I501,'Reconciliation report'!F501)</f>
        <v>ECI 3.0/2</v>
      </c>
      <c r="B506" t="str">
        <f ca="1">'Reconciliation report'!C501</f>
        <v xml:space="preserve">
No answer required
Charity number (if applicable)
</v>
      </c>
      <c r="C506" s="387" t="str">
        <f ca="1">'Reconciliation report'!D501</f>
        <v/>
      </c>
      <c r="D506" s="387" t="str">
        <f t="shared" ca="1" si="7"/>
        <v/>
      </c>
    </row>
    <row r="507" spans="1:4" ht="77.5" hidden="1">
      <c r="A507" s="1" t="str">
        <f ca="1">HYPERLINK("#" &amp; 'Reconciliation report'!I502,'Reconciliation report'!F502)</f>
        <v>ECI 4.0/2</v>
      </c>
      <c r="B507" t="str">
        <f ca="1">'Reconciliation report'!C502</f>
        <v xml:space="preserve">
No answer required
Trading name
</v>
      </c>
      <c r="C507" s="387" t="str">
        <f ca="1">'Reconciliation report'!D502</f>
        <v/>
      </c>
      <c r="D507" s="387" t="str">
        <f t="shared" ca="1" si="7"/>
        <v/>
      </c>
    </row>
    <row r="508" spans="1:4" ht="77.5" hidden="1">
      <c r="A508" s="1" t="str">
        <f ca="1">HYPERLINK("#" &amp; 'Reconciliation report'!I503,'Reconciliation report'!F503)</f>
        <v>ECI 5.0/2</v>
      </c>
      <c r="B508" t="str">
        <f ca="1">'Reconciliation report'!C503</f>
        <v xml:space="preserve">
No answer required
Address line 1
</v>
      </c>
      <c r="C508" s="387" t="str">
        <f ca="1">'Reconciliation report'!D503</f>
        <v/>
      </c>
      <c r="D508" s="387" t="str">
        <f t="shared" ca="1" si="7"/>
        <v/>
      </c>
    </row>
    <row r="509" spans="1:4" ht="77.5" hidden="1">
      <c r="A509" s="1" t="str">
        <f ca="1">HYPERLINK("#" &amp; 'Reconciliation report'!I504,'Reconciliation report'!F504)</f>
        <v>ECI 6.0/2</v>
      </c>
      <c r="B509" t="str">
        <f ca="1">'Reconciliation report'!C504</f>
        <v xml:space="preserve">
No answer required
Address line 2 (optional)
</v>
      </c>
      <c r="C509" s="387" t="str">
        <f ca="1">'Reconciliation report'!D504</f>
        <v/>
      </c>
      <c r="D509" s="387" t="str">
        <f t="shared" ca="1" si="7"/>
        <v/>
      </c>
    </row>
    <row r="510" spans="1:4" ht="77.5" hidden="1">
      <c r="A510" s="1" t="str">
        <f ca="1">HYPERLINK("#" &amp; 'Reconciliation report'!I505,'Reconciliation report'!F505)</f>
        <v>ECI 7.0/2</v>
      </c>
      <c r="B510" t="str">
        <f ca="1">'Reconciliation report'!C505</f>
        <v xml:space="preserve">
No answer required
Address line 3 (optional)
</v>
      </c>
      <c r="C510" s="387" t="str">
        <f ca="1">'Reconciliation report'!D505</f>
        <v/>
      </c>
      <c r="D510" s="387" t="str">
        <f t="shared" ca="1" si="7"/>
        <v/>
      </c>
    </row>
    <row r="511" spans="1:4" ht="77.5" hidden="1">
      <c r="A511" s="1" t="str">
        <f ca="1">HYPERLINK("#" &amp; 'Reconciliation report'!I506,'Reconciliation report'!F506)</f>
        <v>ECI 8.0/2</v>
      </c>
      <c r="B511" t="str">
        <f ca="1">'Reconciliation report'!C506</f>
        <v xml:space="preserve">
No answer required
Post town or city
</v>
      </c>
      <c r="C511" s="387" t="str">
        <f ca="1">'Reconciliation report'!D506</f>
        <v/>
      </c>
      <c r="D511" s="387" t="str">
        <f t="shared" ca="1" si="7"/>
        <v/>
      </c>
    </row>
    <row r="512" spans="1:4" ht="77.5" hidden="1">
      <c r="A512" s="1" t="str">
        <f ca="1">HYPERLINK("#" &amp; 'Reconciliation report'!I507,'Reconciliation report'!F507)</f>
        <v>ECI 9.0/2</v>
      </c>
      <c r="B512" t="str">
        <f ca="1">'Reconciliation report'!C507</f>
        <v xml:space="preserve">
No answer required
Country
</v>
      </c>
      <c r="C512" s="387" t="str">
        <f ca="1">'Reconciliation report'!D507</f>
        <v/>
      </c>
      <c r="D512" s="387" t="str">
        <f t="shared" ca="1" si="7"/>
        <v/>
      </c>
    </row>
    <row r="513" spans="1:4" ht="77.5" hidden="1">
      <c r="A513" s="1" t="str">
        <f ca="1">HYPERLINK("#" &amp; 'Reconciliation report'!I508,'Reconciliation report'!F508)</f>
        <v>ECI 10.0/2</v>
      </c>
      <c r="B513" t="str">
        <f ca="1">'Reconciliation report'!C508</f>
        <v xml:space="preserve">
No answer required
Postcode
</v>
      </c>
      <c r="C513" s="387" t="str">
        <f ca="1">'Reconciliation report'!D508</f>
        <v/>
      </c>
      <c r="D513" s="387" t="str">
        <f t="shared" ca="1" si="7"/>
        <v/>
      </c>
    </row>
    <row r="514" spans="1:4" ht="77.5" hidden="1">
      <c r="A514" s="1" t="str">
        <f ca="1">HYPERLINK("#" &amp; 'Reconciliation report'!I509,'Reconciliation report'!F509)</f>
        <v>ECI 1.0/3</v>
      </c>
      <c r="B514" t="str">
        <f ca="1">'Reconciliation report'!C509</f>
        <v xml:space="preserve">
No answer required
Legal name
</v>
      </c>
      <c r="C514" s="387" t="str">
        <f ca="1">'Reconciliation report'!D509</f>
        <v/>
      </c>
      <c r="D514" s="387" t="str">
        <f t="shared" ca="1" si="7"/>
        <v/>
      </c>
    </row>
    <row r="515" spans="1:4" ht="77.5" hidden="1">
      <c r="A515" s="1" t="str">
        <f ca="1">HYPERLINK("#" &amp; 'Reconciliation report'!I510,'Reconciliation report'!F510)</f>
        <v>ECI 2.0/3</v>
      </c>
      <c r="B515" t="str">
        <f ca="1">'Reconciliation report'!C510</f>
        <v xml:space="preserve">
No answer required
Companies House number (if applicable)
</v>
      </c>
      <c r="C515" s="387" t="str">
        <f ca="1">'Reconciliation report'!D510</f>
        <v/>
      </c>
      <c r="D515" s="387" t="str">
        <f t="shared" ca="1" si="7"/>
        <v/>
      </c>
    </row>
    <row r="516" spans="1:4" ht="77.5" hidden="1">
      <c r="A516" s="1" t="str">
        <f ca="1">HYPERLINK("#" &amp; 'Reconciliation report'!I511,'Reconciliation report'!F511)</f>
        <v>ECI 3.0/3</v>
      </c>
      <c r="B516" t="str">
        <f ca="1">'Reconciliation report'!C511</f>
        <v xml:space="preserve">
No answer required
Charity number (if applicable)
</v>
      </c>
      <c r="C516" s="387" t="str">
        <f ca="1">'Reconciliation report'!D511</f>
        <v/>
      </c>
      <c r="D516" s="387" t="str">
        <f t="shared" ca="1" si="7"/>
        <v/>
      </c>
    </row>
    <row r="517" spans="1:4" ht="77.5" hidden="1">
      <c r="A517" s="1" t="str">
        <f ca="1">HYPERLINK("#" &amp; 'Reconciliation report'!I512,'Reconciliation report'!F512)</f>
        <v>ECI 4.0/3</v>
      </c>
      <c r="B517" t="str">
        <f ca="1">'Reconciliation report'!C512</f>
        <v xml:space="preserve">
No answer required
Trading name
</v>
      </c>
      <c r="C517" s="387" t="str">
        <f ca="1">'Reconciliation report'!D512</f>
        <v/>
      </c>
      <c r="D517" s="387" t="str">
        <f t="shared" ca="1" si="7"/>
        <v/>
      </c>
    </row>
    <row r="518" spans="1:4" ht="77.5" hidden="1">
      <c r="A518" s="1" t="str">
        <f ca="1">HYPERLINK("#" &amp; 'Reconciliation report'!I513,'Reconciliation report'!F513)</f>
        <v>ECI 5.0/3</v>
      </c>
      <c r="B518" t="str">
        <f ca="1">'Reconciliation report'!C513</f>
        <v xml:space="preserve">
No answer required
Address line 1
</v>
      </c>
      <c r="C518" s="387" t="str">
        <f ca="1">'Reconciliation report'!D513</f>
        <v/>
      </c>
      <c r="D518" s="387" t="str">
        <f t="shared" ca="1" si="7"/>
        <v/>
      </c>
    </row>
    <row r="519" spans="1:4" ht="77.5" hidden="1">
      <c r="A519" s="1" t="str">
        <f ca="1">HYPERLINK("#" &amp; 'Reconciliation report'!I514,'Reconciliation report'!F514)</f>
        <v>ECI 6.0/3</v>
      </c>
      <c r="B519" t="str">
        <f ca="1">'Reconciliation report'!C514</f>
        <v xml:space="preserve">
No answer required
Address line 2 (optional)
</v>
      </c>
      <c r="C519" s="387" t="str">
        <f ca="1">'Reconciliation report'!D514</f>
        <v/>
      </c>
      <c r="D519" s="387" t="str">
        <f t="shared" ref="D519:D582" ca="1" si="8">IFERROR(IF(LEN(TRIM(CLEAN(C519))) &gt; 0, "Refresh the error report", ""), "")</f>
        <v/>
      </c>
    </row>
    <row r="520" spans="1:4" ht="77.5" hidden="1">
      <c r="A520" s="1" t="str">
        <f ca="1">HYPERLINK("#" &amp; 'Reconciliation report'!I515,'Reconciliation report'!F515)</f>
        <v>ECI 7.0/3</v>
      </c>
      <c r="B520" t="str">
        <f ca="1">'Reconciliation report'!C515</f>
        <v xml:space="preserve">
No answer required
Address line 3 (optional)
</v>
      </c>
      <c r="C520" s="387" t="str">
        <f ca="1">'Reconciliation report'!D515</f>
        <v/>
      </c>
      <c r="D520" s="387" t="str">
        <f t="shared" ca="1" si="8"/>
        <v/>
      </c>
    </row>
    <row r="521" spans="1:4" ht="77.5" hidden="1">
      <c r="A521" s="1" t="str">
        <f ca="1">HYPERLINK("#" &amp; 'Reconciliation report'!I516,'Reconciliation report'!F516)</f>
        <v>ECI 8.0/3</v>
      </c>
      <c r="B521" t="str">
        <f ca="1">'Reconciliation report'!C516</f>
        <v xml:space="preserve">
No answer required
Post town or city
</v>
      </c>
      <c r="C521" s="387" t="str">
        <f ca="1">'Reconciliation report'!D516</f>
        <v/>
      </c>
      <c r="D521" s="387" t="str">
        <f t="shared" ca="1" si="8"/>
        <v/>
      </c>
    </row>
    <row r="522" spans="1:4" ht="77.5" hidden="1">
      <c r="A522" s="1" t="str">
        <f ca="1">HYPERLINK("#" &amp; 'Reconciliation report'!I517,'Reconciliation report'!F517)</f>
        <v>ECI 9.0/3</v>
      </c>
      <c r="B522" t="str">
        <f ca="1">'Reconciliation report'!C517</f>
        <v xml:space="preserve">
No answer required
Country
</v>
      </c>
      <c r="C522" s="387" t="str">
        <f ca="1">'Reconciliation report'!D517</f>
        <v/>
      </c>
      <c r="D522" s="387" t="str">
        <f t="shared" ca="1" si="8"/>
        <v/>
      </c>
    </row>
    <row r="523" spans="1:4" ht="77.5" hidden="1">
      <c r="A523" s="1" t="str">
        <f ca="1">HYPERLINK("#" &amp; 'Reconciliation report'!I518,'Reconciliation report'!F518)</f>
        <v>ECI 10.0/3</v>
      </c>
      <c r="B523" t="str">
        <f ca="1">'Reconciliation report'!C518</f>
        <v xml:space="preserve">
No answer required
Postcode
</v>
      </c>
      <c r="C523" s="387" t="str">
        <f ca="1">'Reconciliation report'!D518</f>
        <v/>
      </c>
      <c r="D523" s="387" t="str">
        <f t="shared" ca="1" si="8"/>
        <v/>
      </c>
    </row>
    <row r="524" spans="1:4" ht="77.5" hidden="1">
      <c r="A524" s="1" t="str">
        <f ca="1">HYPERLINK("#" &amp; 'Reconciliation report'!I519,'Reconciliation report'!F519)</f>
        <v>ECI 1.0/4</v>
      </c>
      <c r="B524" t="str">
        <f ca="1">'Reconciliation report'!C519</f>
        <v xml:space="preserve">
No answer required
Legal name
</v>
      </c>
      <c r="C524" s="387" t="str">
        <f ca="1">'Reconciliation report'!D519</f>
        <v/>
      </c>
      <c r="D524" s="387" t="str">
        <f t="shared" ca="1" si="8"/>
        <v/>
      </c>
    </row>
    <row r="525" spans="1:4" ht="77.5" hidden="1">
      <c r="A525" s="1" t="str">
        <f ca="1">HYPERLINK("#" &amp; 'Reconciliation report'!I520,'Reconciliation report'!F520)</f>
        <v>ECI 2.0/4</v>
      </c>
      <c r="B525" t="str">
        <f ca="1">'Reconciliation report'!C520</f>
        <v xml:space="preserve">
No answer required
Companies House number (if applicable)
</v>
      </c>
      <c r="C525" s="387" t="str">
        <f ca="1">'Reconciliation report'!D520</f>
        <v/>
      </c>
      <c r="D525" s="387" t="str">
        <f t="shared" ca="1" si="8"/>
        <v/>
      </c>
    </row>
    <row r="526" spans="1:4" ht="77.5" hidden="1">
      <c r="A526" s="1" t="str">
        <f ca="1">HYPERLINK("#" &amp; 'Reconciliation report'!I521,'Reconciliation report'!F521)</f>
        <v>ECI 3.0/4</v>
      </c>
      <c r="B526" t="str">
        <f ca="1">'Reconciliation report'!C521</f>
        <v xml:space="preserve">
No answer required
Charity number (if applicable)
</v>
      </c>
      <c r="C526" s="387" t="str">
        <f ca="1">'Reconciliation report'!D521</f>
        <v/>
      </c>
      <c r="D526" s="387" t="str">
        <f t="shared" ca="1" si="8"/>
        <v/>
      </c>
    </row>
    <row r="527" spans="1:4" ht="77.5" hidden="1">
      <c r="A527" s="1" t="str">
        <f ca="1">HYPERLINK("#" &amp; 'Reconciliation report'!I522,'Reconciliation report'!F522)</f>
        <v>ECI 4.0/4</v>
      </c>
      <c r="B527" t="str">
        <f ca="1">'Reconciliation report'!C522</f>
        <v xml:space="preserve">
No answer required
Trading name
</v>
      </c>
      <c r="C527" s="387" t="str">
        <f ca="1">'Reconciliation report'!D522</f>
        <v/>
      </c>
      <c r="D527" s="387" t="str">
        <f t="shared" ca="1" si="8"/>
        <v/>
      </c>
    </row>
    <row r="528" spans="1:4" ht="77.5" hidden="1">
      <c r="A528" s="1" t="str">
        <f ca="1">HYPERLINK("#" &amp; 'Reconciliation report'!I523,'Reconciliation report'!F523)</f>
        <v>ECI 5.0/4</v>
      </c>
      <c r="B528" t="str">
        <f ca="1">'Reconciliation report'!C523</f>
        <v xml:space="preserve">
No answer required
Address line 1
</v>
      </c>
      <c r="C528" s="387" t="str">
        <f ca="1">'Reconciliation report'!D523</f>
        <v/>
      </c>
      <c r="D528" s="387" t="str">
        <f t="shared" ca="1" si="8"/>
        <v/>
      </c>
    </row>
    <row r="529" spans="1:4" ht="77.5" hidden="1">
      <c r="A529" s="1" t="str">
        <f ca="1">HYPERLINK("#" &amp; 'Reconciliation report'!I524,'Reconciliation report'!F524)</f>
        <v>ECI 6.0/4</v>
      </c>
      <c r="B529" t="str">
        <f ca="1">'Reconciliation report'!C524</f>
        <v xml:space="preserve">
No answer required
Address line 2 (optional)
</v>
      </c>
      <c r="C529" s="387" t="str">
        <f ca="1">'Reconciliation report'!D524</f>
        <v/>
      </c>
      <c r="D529" s="387" t="str">
        <f t="shared" ca="1" si="8"/>
        <v/>
      </c>
    </row>
    <row r="530" spans="1:4" ht="77.5" hidden="1">
      <c r="A530" s="1" t="str">
        <f ca="1">HYPERLINK("#" &amp; 'Reconciliation report'!I525,'Reconciliation report'!F525)</f>
        <v>ECI 7.0/4</v>
      </c>
      <c r="B530" t="str">
        <f ca="1">'Reconciliation report'!C525</f>
        <v xml:space="preserve">
No answer required
Address line 3 (optional)
</v>
      </c>
      <c r="C530" s="387" t="str">
        <f ca="1">'Reconciliation report'!D525</f>
        <v/>
      </c>
      <c r="D530" s="387" t="str">
        <f t="shared" ca="1" si="8"/>
        <v/>
      </c>
    </row>
    <row r="531" spans="1:4" ht="77.5" hidden="1">
      <c r="A531" s="1" t="str">
        <f ca="1">HYPERLINK("#" &amp; 'Reconciliation report'!I526,'Reconciliation report'!F526)</f>
        <v>ECI 8.0/4</v>
      </c>
      <c r="B531" t="str">
        <f ca="1">'Reconciliation report'!C526</f>
        <v xml:space="preserve">
No answer required
Post town or city
</v>
      </c>
      <c r="C531" s="387" t="str">
        <f ca="1">'Reconciliation report'!D526</f>
        <v/>
      </c>
      <c r="D531" s="387" t="str">
        <f t="shared" ca="1" si="8"/>
        <v/>
      </c>
    </row>
    <row r="532" spans="1:4" ht="77.5" hidden="1">
      <c r="A532" s="1" t="str">
        <f ca="1">HYPERLINK("#" &amp; 'Reconciliation report'!I527,'Reconciliation report'!F527)</f>
        <v>ECI 9.0/4</v>
      </c>
      <c r="B532" t="str">
        <f ca="1">'Reconciliation report'!C527</f>
        <v xml:space="preserve">
No answer required
Country
</v>
      </c>
      <c r="C532" s="387" t="str">
        <f ca="1">'Reconciliation report'!D527</f>
        <v/>
      </c>
      <c r="D532" s="387" t="str">
        <f t="shared" ca="1" si="8"/>
        <v/>
      </c>
    </row>
    <row r="533" spans="1:4" ht="77.5" hidden="1">
      <c r="A533" s="1" t="str">
        <f ca="1">HYPERLINK("#" &amp; 'Reconciliation report'!I528,'Reconciliation report'!F528)</f>
        <v>ECI 10.0/4</v>
      </c>
      <c r="B533" t="str">
        <f ca="1">'Reconciliation report'!C528</f>
        <v xml:space="preserve">
No answer required
Postcode
</v>
      </c>
      <c r="C533" s="387" t="str">
        <f ca="1">'Reconciliation report'!D528</f>
        <v/>
      </c>
      <c r="D533" s="387" t="str">
        <f t="shared" ca="1" si="8"/>
        <v/>
      </c>
    </row>
    <row r="534" spans="1:4" ht="77.5" hidden="1">
      <c r="A534" s="1" t="str">
        <f ca="1">HYPERLINK("#" &amp; 'Reconciliation report'!I529,'Reconciliation report'!F529)</f>
        <v>ECI 1.0/5</v>
      </c>
      <c r="B534" t="str">
        <f ca="1">'Reconciliation report'!C529</f>
        <v xml:space="preserve">
No answer required
Legal name
</v>
      </c>
      <c r="C534" s="387" t="str">
        <f ca="1">'Reconciliation report'!D529</f>
        <v/>
      </c>
      <c r="D534" s="387" t="str">
        <f t="shared" ca="1" si="8"/>
        <v/>
      </c>
    </row>
    <row r="535" spans="1:4" ht="77.5" hidden="1">
      <c r="A535" s="1" t="str">
        <f ca="1">HYPERLINK("#" &amp; 'Reconciliation report'!I530,'Reconciliation report'!F530)</f>
        <v>ECI 2.0/5</v>
      </c>
      <c r="B535" t="str">
        <f ca="1">'Reconciliation report'!C530</f>
        <v xml:space="preserve">
No answer required
Companies House number (if applicable)
</v>
      </c>
      <c r="C535" s="387" t="str">
        <f ca="1">'Reconciliation report'!D530</f>
        <v/>
      </c>
      <c r="D535" s="387" t="str">
        <f t="shared" ca="1" si="8"/>
        <v/>
      </c>
    </row>
    <row r="536" spans="1:4" ht="77.5" hidden="1">
      <c r="A536" s="1" t="str">
        <f ca="1">HYPERLINK("#" &amp; 'Reconciliation report'!I531,'Reconciliation report'!F531)</f>
        <v>ECI 3.0/5</v>
      </c>
      <c r="B536" t="str">
        <f ca="1">'Reconciliation report'!C531</f>
        <v xml:space="preserve">
No answer required
Charity number (if applicable)
</v>
      </c>
      <c r="C536" s="387" t="str">
        <f ca="1">'Reconciliation report'!D531</f>
        <v/>
      </c>
      <c r="D536" s="387" t="str">
        <f t="shared" ca="1" si="8"/>
        <v/>
      </c>
    </row>
    <row r="537" spans="1:4" ht="77.5" hidden="1">
      <c r="A537" s="1" t="str">
        <f ca="1">HYPERLINK("#" &amp; 'Reconciliation report'!I532,'Reconciliation report'!F532)</f>
        <v>ECI 4.0/5</v>
      </c>
      <c r="B537" t="str">
        <f ca="1">'Reconciliation report'!C532</f>
        <v xml:space="preserve">
No answer required
Trading name
</v>
      </c>
      <c r="C537" s="387" t="str">
        <f ca="1">'Reconciliation report'!D532</f>
        <v/>
      </c>
      <c r="D537" s="387" t="str">
        <f t="shared" ca="1" si="8"/>
        <v/>
      </c>
    </row>
    <row r="538" spans="1:4" ht="77.5" hidden="1">
      <c r="A538" s="1" t="str">
        <f ca="1">HYPERLINK("#" &amp; 'Reconciliation report'!I533,'Reconciliation report'!F533)</f>
        <v>ECI 5.0/5</v>
      </c>
      <c r="B538" t="str">
        <f ca="1">'Reconciliation report'!C533</f>
        <v xml:space="preserve">
No answer required
Address line 1
</v>
      </c>
      <c r="C538" s="387" t="str">
        <f ca="1">'Reconciliation report'!D533</f>
        <v/>
      </c>
      <c r="D538" s="387" t="str">
        <f t="shared" ca="1" si="8"/>
        <v/>
      </c>
    </row>
    <row r="539" spans="1:4" ht="77.5" hidden="1">
      <c r="A539" s="1" t="str">
        <f ca="1">HYPERLINK("#" &amp; 'Reconciliation report'!I534,'Reconciliation report'!F534)</f>
        <v>ECI 6.0/5</v>
      </c>
      <c r="B539" t="str">
        <f ca="1">'Reconciliation report'!C534</f>
        <v xml:space="preserve">
No answer required
Address line 2 (optional)
</v>
      </c>
      <c r="C539" s="387" t="str">
        <f ca="1">'Reconciliation report'!D534</f>
        <v/>
      </c>
      <c r="D539" s="387" t="str">
        <f t="shared" ca="1" si="8"/>
        <v/>
      </c>
    </row>
    <row r="540" spans="1:4" ht="77.5" hidden="1">
      <c r="A540" s="1" t="str">
        <f ca="1">HYPERLINK("#" &amp; 'Reconciliation report'!I535,'Reconciliation report'!F535)</f>
        <v>ECI 7.0/5</v>
      </c>
      <c r="B540" t="str">
        <f ca="1">'Reconciliation report'!C535</f>
        <v xml:space="preserve">
No answer required
Address line 3 (optional)
</v>
      </c>
      <c r="C540" s="387" t="str">
        <f ca="1">'Reconciliation report'!D535</f>
        <v/>
      </c>
      <c r="D540" s="387" t="str">
        <f t="shared" ca="1" si="8"/>
        <v/>
      </c>
    </row>
    <row r="541" spans="1:4" ht="77.5" hidden="1">
      <c r="A541" s="1" t="str">
        <f ca="1">HYPERLINK("#" &amp; 'Reconciliation report'!I536,'Reconciliation report'!F536)</f>
        <v>ECI 8.0/5</v>
      </c>
      <c r="B541" t="str">
        <f ca="1">'Reconciliation report'!C536</f>
        <v xml:space="preserve">
No answer required
Post town or city
</v>
      </c>
      <c r="C541" s="387" t="str">
        <f ca="1">'Reconciliation report'!D536</f>
        <v/>
      </c>
      <c r="D541" s="387" t="str">
        <f t="shared" ca="1" si="8"/>
        <v/>
      </c>
    </row>
    <row r="542" spans="1:4" ht="77.5" hidden="1">
      <c r="A542" s="1" t="str">
        <f ca="1">HYPERLINK("#" &amp; 'Reconciliation report'!I537,'Reconciliation report'!F537)</f>
        <v>ECI 9.0/5</v>
      </c>
      <c r="B542" t="str">
        <f ca="1">'Reconciliation report'!C537</f>
        <v xml:space="preserve">
No answer required
Country
</v>
      </c>
      <c r="C542" s="387" t="str">
        <f ca="1">'Reconciliation report'!D537</f>
        <v/>
      </c>
      <c r="D542" s="387" t="str">
        <f t="shared" ca="1" si="8"/>
        <v/>
      </c>
    </row>
    <row r="543" spans="1:4" ht="77.5" hidden="1">
      <c r="A543" s="1" t="str">
        <f ca="1">HYPERLINK("#" &amp; 'Reconciliation report'!I538,'Reconciliation report'!F538)</f>
        <v>ECI 10.0/5</v>
      </c>
      <c r="B543" t="str">
        <f ca="1">'Reconciliation report'!C538</f>
        <v xml:space="preserve">
No answer required
Postcode
</v>
      </c>
      <c r="C543" s="387" t="str">
        <f ca="1">'Reconciliation report'!D538</f>
        <v/>
      </c>
      <c r="D543" s="387" t="str">
        <f t="shared" ca="1" si="8"/>
        <v/>
      </c>
    </row>
    <row r="544" spans="1:4" ht="62" hidden="1">
      <c r="A544" s="1" t="str">
        <f ca="1">HYPERLINK("#" &amp; 'Reconciliation report'!I539,'Reconciliation report'!F539)</f>
        <v>ECI 11.0</v>
      </c>
      <c r="B544" t="str">
        <f ca="1">'Reconciliation report'!C539</f>
        <v xml:space="preserve">No answer required
Employer cash flow: basis of assessment
</v>
      </c>
      <c r="C544" s="387" t="str">
        <f ca="1">'Reconciliation report'!D539</f>
        <v/>
      </c>
      <c r="D544" s="387" t="str">
        <f t="shared" ca="1" si="8"/>
        <v/>
      </c>
    </row>
    <row r="545" spans="1:4" ht="62" hidden="1">
      <c r="A545" s="1" t="str">
        <f ca="1">HYPERLINK("#" &amp; 'Reconciliation report'!I540,'Reconciliation report'!F540)</f>
        <v>ECI 12.0</v>
      </c>
      <c r="B545" t="str">
        <f ca="1">'Reconciliation report'!C540</f>
        <v xml:space="preserve">No answer required
Describe the basis of assessment of employer cash flow.
</v>
      </c>
      <c r="C545" s="387" t="str">
        <f ca="1">'Reconciliation report'!D540</f>
        <v/>
      </c>
      <c r="D545" s="387" t="str">
        <f t="shared" ca="1" si="8"/>
        <v/>
      </c>
    </row>
    <row r="546" spans="1:4" ht="62" hidden="1">
      <c r="A546" s="1" t="str">
        <f ca="1">HYPERLINK("#" &amp; 'Reconciliation report'!I541,'Reconciliation report'!F541)</f>
        <v>ECI 13.0</v>
      </c>
      <c r="B546" t="str">
        <f ca="1">'Reconciliation report'!C541</f>
        <v xml:space="preserve">No answer required
Employer free cash flows (FCF)
</v>
      </c>
      <c r="C546" s="387" t="str">
        <f ca="1">'Reconciliation report'!D541</f>
        <v/>
      </c>
      <c r="D546" s="387" t="str">
        <f t="shared" ca="1" si="8"/>
        <v/>
      </c>
    </row>
    <row r="547" spans="1:4" ht="62" hidden="1">
      <c r="A547" s="1" t="str">
        <f ca="1">HYPERLINK("#" &amp; 'Reconciliation report'!I542,'Reconciliation report'!F542)</f>
        <v>ECI 13.0</v>
      </c>
      <c r="B547" t="str">
        <f ca="1">'Reconciliation report'!C542</f>
        <v xml:space="preserve">No answer required
Employer free cash flows (FCF)
</v>
      </c>
      <c r="C547" s="387" t="str">
        <f ca="1">'Reconciliation report'!D542</f>
        <v/>
      </c>
      <c r="D547" s="387" t="str">
        <f t="shared" ca="1" si="8"/>
        <v/>
      </c>
    </row>
    <row r="548" spans="1:4" ht="62" hidden="1">
      <c r="A548" s="1" t="str">
        <f ca="1">HYPERLINK("#" &amp; 'Reconciliation report'!I543,'Reconciliation report'!F543)</f>
        <v>ECI 13.0</v>
      </c>
      <c r="B548" t="str">
        <f ca="1">'Reconciliation report'!C543</f>
        <v xml:space="preserve">No answer required
Employer free cash flows (FCF)
</v>
      </c>
      <c r="C548" s="387" t="str">
        <f ca="1">'Reconciliation report'!D543</f>
        <v/>
      </c>
      <c r="D548" s="387" t="str">
        <f t="shared" ca="1" si="8"/>
        <v/>
      </c>
    </row>
    <row r="549" spans="1:4" ht="62" hidden="1">
      <c r="A549" s="1" t="str">
        <f ca="1">HYPERLINK("#" &amp; 'Reconciliation report'!I544,'Reconciliation report'!F544)</f>
        <v>ECI 14.0</v>
      </c>
      <c r="B549" t="str">
        <f ca="1">'Reconciliation report'!C544</f>
        <v xml:space="preserve">No answer required
Employer Investment in sustainable growth
</v>
      </c>
      <c r="C549" s="387" t="str">
        <f ca="1">'Reconciliation report'!D544</f>
        <v/>
      </c>
      <c r="D549" s="387" t="str">
        <f t="shared" ca="1" si="8"/>
        <v/>
      </c>
    </row>
    <row r="550" spans="1:4" ht="62" hidden="1">
      <c r="A550" s="1" t="str">
        <f ca="1">HYPERLINK("#" &amp; 'Reconciliation report'!I545,'Reconciliation report'!F545)</f>
        <v>ECI 14.0</v>
      </c>
      <c r="B550" t="str">
        <f ca="1">'Reconciliation report'!C545</f>
        <v xml:space="preserve">No answer required
Employer Investment in sustainable growth
</v>
      </c>
      <c r="C550" s="387" t="str">
        <f ca="1">'Reconciliation report'!D545</f>
        <v/>
      </c>
      <c r="D550" s="387" t="str">
        <f t="shared" ca="1" si="8"/>
        <v/>
      </c>
    </row>
    <row r="551" spans="1:4" ht="62" hidden="1">
      <c r="A551" s="1" t="str">
        <f ca="1">HYPERLINK("#" &amp; 'Reconciliation report'!I546,'Reconciliation report'!F546)</f>
        <v>ECI 14.0</v>
      </c>
      <c r="B551" t="str">
        <f ca="1">'Reconciliation report'!C546</f>
        <v xml:space="preserve">No answer required
Employer Investment in sustainable growth
</v>
      </c>
      <c r="C551" s="387" t="str">
        <f ca="1">'Reconciliation report'!D546</f>
        <v/>
      </c>
      <c r="D551" s="387" t="str">
        <f t="shared" ca="1" si="8"/>
        <v/>
      </c>
    </row>
    <row r="552" spans="1:4" ht="62" hidden="1">
      <c r="A552" s="1" t="str">
        <f ca="1">HYPERLINK("#" &amp; 'Reconciliation report'!I547,'Reconciliation report'!F547)</f>
        <v>ECI 15.0</v>
      </c>
      <c r="B552" t="str">
        <f ca="1">'Reconciliation report'!C547</f>
        <v xml:space="preserve">No answer required
Shareholder returns
</v>
      </c>
      <c r="C552" s="387" t="str">
        <f ca="1">'Reconciliation report'!D547</f>
        <v/>
      </c>
      <c r="D552" s="387" t="str">
        <f t="shared" ca="1" si="8"/>
        <v/>
      </c>
    </row>
    <row r="553" spans="1:4" ht="62" hidden="1">
      <c r="A553" s="1" t="str">
        <f ca="1">HYPERLINK("#" &amp; 'Reconciliation report'!I548,'Reconciliation report'!F548)</f>
        <v>ECI 15.0</v>
      </c>
      <c r="B553" t="str">
        <f ca="1">'Reconciliation report'!C548</f>
        <v xml:space="preserve">No answer required
Shareholder returns
</v>
      </c>
      <c r="C553" s="387" t="str">
        <f ca="1">'Reconciliation report'!D548</f>
        <v/>
      </c>
      <c r="D553" s="387" t="str">
        <f t="shared" ca="1" si="8"/>
        <v/>
      </c>
    </row>
    <row r="554" spans="1:4" ht="62" hidden="1">
      <c r="A554" s="1" t="str">
        <f ca="1">HYPERLINK("#" &amp; 'Reconciliation report'!I549,'Reconciliation report'!F549)</f>
        <v>ECI 15.0</v>
      </c>
      <c r="B554" t="str">
        <f ca="1">'Reconciliation report'!C549</f>
        <v xml:space="preserve">No answer required
Shareholder returns
</v>
      </c>
      <c r="C554" s="387" t="str">
        <f ca="1">'Reconciliation report'!D549</f>
        <v/>
      </c>
      <c r="D554" s="387" t="str">
        <f t="shared" ca="1" si="8"/>
        <v/>
      </c>
    </row>
    <row r="555" spans="1:4" ht="62" hidden="1">
      <c r="A555" s="1" t="str">
        <f ca="1">HYPERLINK("#" &amp; 'Reconciliation report'!I550,'Reconciliation report'!F550)</f>
        <v>ECI 16.0</v>
      </c>
      <c r="B555" t="str">
        <f ca="1">'Reconciliation report'!C550</f>
        <v xml:space="preserve">No answer required
Employer payments to other DB schemes
</v>
      </c>
      <c r="C555" s="387" t="str">
        <f ca="1">'Reconciliation report'!D550</f>
        <v/>
      </c>
      <c r="D555" s="387" t="str">
        <f t="shared" ca="1" si="8"/>
        <v/>
      </c>
    </row>
    <row r="556" spans="1:4" ht="62" hidden="1">
      <c r="A556" s="1" t="str">
        <f ca="1">HYPERLINK("#" &amp; 'Reconciliation report'!I551,'Reconciliation report'!F551)</f>
        <v>ECI 16.0</v>
      </c>
      <c r="B556" t="str">
        <f ca="1">'Reconciliation report'!C551</f>
        <v xml:space="preserve">No answer required
Employer payments to other DB schemes
</v>
      </c>
      <c r="C556" s="387" t="str">
        <f ca="1">'Reconciliation report'!D551</f>
        <v/>
      </c>
      <c r="D556" s="387" t="str">
        <f t="shared" ca="1" si="8"/>
        <v/>
      </c>
    </row>
    <row r="557" spans="1:4" ht="62" hidden="1">
      <c r="A557" s="1" t="str">
        <f ca="1">HYPERLINK("#" &amp; 'Reconciliation report'!I552,'Reconciliation report'!F552)</f>
        <v>ECI 16.0</v>
      </c>
      <c r="B557" t="str">
        <f ca="1">'Reconciliation report'!C552</f>
        <v xml:space="preserve">No answer required
Employer payments to other DB schemes
</v>
      </c>
      <c r="C557" s="387" t="str">
        <f ca="1">'Reconciliation report'!D552</f>
        <v/>
      </c>
      <c r="D557" s="387" t="str">
        <f t="shared" ca="1" si="8"/>
        <v/>
      </c>
    </row>
    <row r="558" spans="1:4" ht="62" hidden="1">
      <c r="A558" s="1" t="str">
        <f ca="1">HYPERLINK("#" &amp; 'Reconciliation report'!I553,'Reconciliation report'!F553)</f>
        <v>ECI 17.0</v>
      </c>
      <c r="B558" t="str">
        <f ca="1">'Reconciliation report'!C553</f>
        <v xml:space="preserve">No answer required
Other alternative uses of cash by employer
</v>
      </c>
      <c r="C558" s="387" t="str">
        <f ca="1">'Reconciliation report'!D553</f>
        <v/>
      </c>
      <c r="D558" s="387" t="str">
        <f t="shared" ca="1" si="8"/>
        <v/>
      </c>
    </row>
    <row r="559" spans="1:4" ht="62" hidden="1">
      <c r="A559" s="1" t="str">
        <f ca="1">HYPERLINK("#" &amp; 'Reconciliation report'!I554,'Reconciliation report'!F554)</f>
        <v>ECI 17.0</v>
      </c>
      <c r="B559" t="str">
        <f ca="1">'Reconciliation report'!C554</f>
        <v xml:space="preserve">No answer required
Other alternative uses of cash by employer
</v>
      </c>
      <c r="C559" s="387" t="str">
        <f ca="1">'Reconciliation report'!D554</f>
        <v/>
      </c>
      <c r="D559" s="387" t="str">
        <f t="shared" ca="1" si="8"/>
        <v/>
      </c>
    </row>
    <row r="560" spans="1:4" ht="62" hidden="1">
      <c r="A560" s="1" t="str">
        <f ca="1">HYPERLINK("#" &amp; 'Reconciliation report'!I555,'Reconciliation report'!F555)</f>
        <v>ECI 17.0</v>
      </c>
      <c r="B560" t="str">
        <f ca="1">'Reconciliation report'!C555</f>
        <v xml:space="preserve">No answer required
Other alternative uses of cash by employer
</v>
      </c>
      <c r="C560" s="387" t="str">
        <f ca="1">'Reconciliation report'!D555</f>
        <v/>
      </c>
      <c r="D560" s="387" t="str">
        <f t="shared" ca="1" si="8"/>
        <v/>
      </c>
    </row>
    <row r="561" spans="1:4" ht="77.5" hidden="1">
      <c r="A561" s="1" t="str">
        <f ca="1">HYPERLINK("#" &amp; 'Reconciliation report'!I556,'Reconciliation report'!F556)</f>
        <v>ECI 18.0</v>
      </c>
      <c r="B561" t="str">
        <f ca="1">'Reconciliation report'!C556</f>
        <v xml:space="preserve">No answer required
What is the value of the employer(s) liquid assets at the time of agreeing the recovery plan? (£)
</v>
      </c>
      <c r="C561" s="387" t="str">
        <f ca="1">'Reconciliation report'!D556</f>
        <v/>
      </c>
      <c r="D561" s="387" t="str">
        <f t="shared" ca="1" si="8"/>
        <v/>
      </c>
    </row>
    <row r="562" spans="1:4" ht="77.5" hidden="1">
      <c r="A562" s="1" t="str">
        <f ca="1">HYPERLINK("#" &amp; 'Reconciliation report'!I557,'Reconciliation report'!F557)</f>
        <v>ECI 19.0</v>
      </c>
      <c r="B562" t="str">
        <f ca="1">'Reconciliation report'!C557</f>
        <v xml:space="preserve">No answer required
Provide any further information on the alternative uses of cash and liquid assets. (Optional)
</v>
      </c>
      <c r="C562" s="387" t="str">
        <f ca="1">'Reconciliation report'!D557</f>
        <v/>
      </c>
      <c r="D562" s="387" t="str">
        <f t="shared" ca="1" si="8"/>
        <v/>
      </c>
    </row>
    <row r="563" spans="1:4" ht="62" hidden="1">
      <c r="A563" s="1" t="str">
        <f ca="1">HYPERLINK("#" &amp; 'Reconciliation report'!I558,'Reconciliation report'!F558)</f>
        <v>ECI 20.0</v>
      </c>
      <c r="B563" t="str">
        <f ca="1">'Reconciliation report'!C558</f>
        <v xml:space="preserve">
Provide any further information relevant to covenant not covered elsewhere. (Optional)
</v>
      </c>
      <c r="C563" s="387" t="str">
        <f ca="1">'Reconciliation report'!D558</f>
        <v/>
      </c>
      <c r="D563" s="387" t="str">
        <f t="shared" ca="1" si="8"/>
        <v/>
      </c>
    </row>
    <row r="564" spans="1:4" ht="62">
      <c r="A564" s="1" t="str">
        <f ca="1">HYPERLINK("#" &amp; 'Reconciliation report'!I559,'Reconciliation report'!F559)</f>
        <v>ECI 21.0</v>
      </c>
      <c r="B564" t="str">
        <f ca="1">'Reconciliation report'!C559</f>
        <v xml:space="preserve">
Have the trustees consulted the employer in the preparation or revision of 'Part 2: supplementary matters' of the statement of strategy?
</v>
      </c>
      <c r="C564" s="387" t="str">
        <f ca="1">'Reconciliation report'!D559</f>
        <v xml:space="preserve">
Select 'Yes’ if the trustees have consulted the employer in the preparation or revision of part 2 of the statement of strategy, or ‘No’ if they have not.
</v>
      </c>
      <c r="D564" s="387" t="str">
        <f t="shared" ca="1" si="8"/>
        <v>Refresh the error report</v>
      </c>
    </row>
    <row r="565" spans="1:4" ht="62">
      <c r="A565" s="1" t="str">
        <f ca="1">HYPERLINK("#" &amp; 'Reconciliation report'!I560,'Reconciliation report'!F560)</f>
        <v>ECI 22.0</v>
      </c>
      <c r="B565" t="str">
        <f ca="1">'Reconciliation report'!C560</f>
        <v xml:space="preserve">
Has the employer asked for any comments to be included in the document?
</v>
      </c>
      <c r="C565" s="387" t="str">
        <f ca="1">'Reconciliation report'!D560</f>
        <v xml:space="preserve">
Select ‘Yes’ if the employer has asked for comments to be included in the document, or ‘No’ if they have not.
</v>
      </c>
      <c r="D565" s="387" t="str">
        <f t="shared" ca="1" si="8"/>
        <v>Refresh the error report</v>
      </c>
    </row>
    <row r="566" spans="1:4" ht="46.5" hidden="1">
      <c r="A566" s="1" t="str">
        <f ca="1">HYPERLINK("#" &amp; 'Reconciliation report'!I561,'Reconciliation report'!F561)</f>
        <v>ECI 23.0</v>
      </c>
      <c r="B566" t="str">
        <f ca="1">'Reconciliation report'!C561</f>
        <v xml:space="preserve">
Add the comments the employer has asked to be included.
</v>
      </c>
      <c r="C566" s="387" t="str">
        <f ca="1">'Reconciliation report'!D561</f>
        <v/>
      </c>
      <c r="D566" s="387" t="str">
        <f t="shared" ca="1" si="8"/>
        <v/>
      </c>
    </row>
    <row r="567" spans="1:4" ht="77.5" hidden="1">
      <c r="A567" s="1" t="str">
        <f ca="1">HYPERLINK("#" &amp; 'Reconciliation report'!I562,'Reconciliation report'!F562)</f>
        <v>GTE 1.0/1</v>
      </c>
      <c r="B567" t="str">
        <f ca="1">'Reconciliation report'!C562</f>
        <v xml:space="preserve">
No answer required
Legal name
</v>
      </c>
      <c r="C567" s="387" t="str">
        <f ca="1">'Reconciliation report'!D562</f>
        <v/>
      </c>
      <c r="D567" s="387" t="str">
        <f t="shared" ca="1" si="8"/>
        <v/>
      </c>
    </row>
    <row r="568" spans="1:4" ht="77.5" hidden="1">
      <c r="A568" s="1" t="str">
        <f ca="1">HYPERLINK("#" &amp; 'Reconciliation report'!I563,'Reconciliation report'!F563)</f>
        <v>GTE 2.0/1</v>
      </c>
      <c r="B568" t="str">
        <f ca="1">'Reconciliation report'!C563</f>
        <v xml:space="preserve">
No answer required
Companies House number (if applicable)
</v>
      </c>
      <c r="C568" s="387" t="str">
        <f ca="1">'Reconciliation report'!D563</f>
        <v/>
      </c>
      <c r="D568" s="387" t="str">
        <f t="shared" ca="1" si="8"/>
        <v/>
      </c>
    </row>
    <row r="569" spans="1:4" ht="77.5" hidden="1">
      <c r="A569" s="1" t="str">
        <f ca="1">HYPERLINK("#" &amp; 'Reconciliation report'!I564,'Reconciliation report'!F564)</f>
        <v>GTE 3.0/1</v>
      </c>
      <c r="B569" t="str">
        <f ca="1">'Reconciliation report'!C564</f>
        <v xml:space="preserve">
No answer required
Charity number (if applicable)
</v>
      </c>
      <c r="C569" s="387" t="str">
        <f ca="1">'Reconciliation report'!D564</f>
        <v/>
      </c>
      <c r="D569" s="387" t="str">
        <f t="shared" ca="1" si="8"/>
        <v/>
      </c>
    </row>
    <row r="570" spans="1:4" ht="77.5" hidden="1">
      <c r="A570" s="1" t="str">
        <f ca="1">HYPERLINK("#" &amp; 'Reconciliation report'!I565,'Reconciliation report'!F565)</f>
        <v>GTE 4.0/1</v>
      </c>
      <c r="B570" t="str">
        <f ca="1">'Reconciliation report'!C565</f>
        <v xml:space="preserve">
No answer required
Trading name
</v>
      </c>
      <c r="C570" s="387" t="str">
        <f ca="1">'Reconciliation report'!D565</f>
        <v/>
      </c>
      <c r="D570" s="387" t="str">
        <f t="shared" ca="1" si="8"/>
        <v/>
      </c>
    </row>
    <row r="571" spans="1:4" ht="77.5" hidden="1">
      <c r="A571" s="1" t="str">
        <f ca="1">HYPERLINK("#" &amp; 'Reconciliation report'!I566,'Reconciliation report'!F566)</f>
        <v>GTE 5.0/1</v>
      </c>
      <c r="B571" t="str">
        <f ca="1">'Reconciliation report'!C566</f>
        <v xml:space="preserve">
No answer required
Address line 1
</v>
      </c>
      <c r="C571" s="387" t="str">
        <f ca="1">'Reconciliation report'!D566</f>
        <v/>
      </c>
      <c r="D571" s="387" t="str">
        <f t="shared" ca="1" si="8"/>
        <v/>
      </c>
    </row>
    <row r="572" spans="1:4" ht="77.5" hidden="1">
      <c r="A572" s="1" t="str">
        <f ca="1">HYPERLINK("#" &amp; 'Reconciliation report'!I567,'Reconciliation report'!F567)</f>
        <v>GTE 6.0/1</v>
      </c>
      <c r="B572" t="str">
        <f ca="1">'Reconciliation report'!C567</f>
        <v xml:space="preserve">
No answer required
Address line 2 (optional)
</v>
      </c>
      <c r="C572" s="387" t="str">
        <f ca="1">'Reconciliation report'!D567</f>
        <v/>
      </c>
      <c r="D572" s="387" t="str">
        <f t="shared" ca="1" si="8"/>
        <v/>
      </c>
    </row>
    <row r="573" spans="1:4" ht="77.5" hidden="1">
      <c r="A573" s="1" t="str">
        <f ca="1">HYPERLINK("#" &amp; 'Reconciliation report'!I568,'Reconciliation report'!F568)</f>
        <v>GTE 7.0/1</v>
      </c>
      <c r="B573" t="str">
        <f ca="1">'Reconciliation report'!C568</f>
        <v xml:space="preserve">
No answer required
Address line 3 (optional)
</v>
      </c>
      <c r="C573" s="387" t="str">
        <f ca="1">'Reconciliation report'!D568</f>
        <v/>
      </c>
      <c r="D573" s="387" t="str">
        <f t="shared" ca="1" si="8"/>
        <v/>
      </c>
    </row>
    <row r="574" spans="1:4" ht="77.5" hidden="1">
      <c r="A574" s="1" t="str">
        <f ca="1">HYPERLINK("#" &amp; 'Reconciliation report'!I569,'Reconciliation report'!F569)</f>
        <v>GTE 8.0/1</v>
      </c>
      <c r="B574" t="str">
        <f ca="1">'Reconciliation report'!C569</f>
        <v xml:space="preserve">
No answer required
Post town or city
</v>
      </c>
      <c r="C574" s="387" t="str">
        <f ca="1">'Reconciliation report'!D569</f>
        <v/>
      </c>
      <c r="D574" s="387" t="str">
        <f t="shared" ca="1" si="8"/>
        <v/>
      </c>
    </row>
    <row r="575" spans="1:4" ht="77.5" hidden="1">
      <c r="A575" s="1" t="str">
        <f ca="1">HYPERLINK("#" &amp; 'Reconciliation report'!I570,'Reconciliation report'!F570)</f>
        <v>GTE 9.0/1</v>
      </c>
      <c r="B575" t="str">
        <f ca="1">'Reconciliation report'!C570</f>
        <v xml:space="preserve">
No answer required
Country
</v>
      </c>
      <c r="C575" s="387" t="str">
        <f ca="1">'Reconciliation report'!D570</f>
        <v/>
      </c>
      <c r="D575" s="387" t="str">
        <f t="shared" ca="1" si="8"/>
        <v/>
      </c>
    </row>
    <row r="576" spans="1:4" ht="77.5" hidden="1">
      <c r="A576" s="1" t="str">
        <f ca="1">HYPERLINK("#" &amp; 'Reconciliation report'!I571,'Reconciliation report'!F571)</f>
        <v>GTE 10.0/1</v>
      </c>
      <c r="B576" t="str">
        <f ca="1">'Reconciliation report'!C571</f>
        <v xml:space="preserve">
No answer required
Postcode
</v>
      </c>
      <c r="C576" s="387" t="str">
        <f ca="1">'Reconciliation report'!D571</f>
        <v/>
      </c>
      <c r="D576" s="387" t="str">
        <f t="shared" ca="1" si="8"/>
        <v/>
      </c>
    </row>
    <row r="577" spans="1:4" ht="77.5" hidden="1">
      <c r="A577" s="1" t="str">
        <f ca="1">HYPERLINK("#" &amp; 'Reconciliation report'!I572,'Reconciliation report'!F572)</f>
        <v>GTE 11.0/1</v>
      </c>
      <c r="B577" t="str">
        <f ca="1">'Reconciliation report'!C572</f>
        <v xml:space="preserve">
No answer required
Is the guarantor an associated company?
</v>
      </c>
      <c r="C577" s="387" t="str">
        <f ca="1">'Reconciliation report'!D572</f>
        <v/>
      </c>
      <c r="D577" s="387" t="str">
        <f t="shared" ca="1" si="8"/>
        <v/>
      </c>
    </row>
    <row r="578" spans="1:4" ht="77.5" hidden="1">
      <c r="A578" s="1" t="str">
        <f ca="1">HYPERLINK("#" &amp; 'Reconciliation report'!I573,'Reconciliation report'!F573)</f>
        <v>GTE 12.0/1</v>
      </c>
      <c r="B578" t="str">
        <f ca="1">'Reconciliation report'!C573</f>
        <v xml:space="preserve">
No answer required
What is type of guarantee?
</v>
      </c>
      <c r="C578" s="387" t="str">
        <f ca="1">'Reconciliation report'!D573</f>
        <v/>
      </c>
      <c r="D578" s="387" t="str">
        <f t="shared" ca="1" si="8"/>
        <v/>
      </c>
    </row>
    <row r="579" spans="1:4" ht="77.5" hidden="1">
      <c r="A579" s="1" t="str">
        <f ca="1">HYPERLINK("#" &amp; 'Reconciliation report'!I574,'Reconciliation report'!F574)</f>
        <v>GTE 13.0/1</v>
      </c>
      <c r="B579" t="str">
        <f ca="1">'Reconciliation report'!C574</f>
        <v xml:space="preserve">
No answer required
Describe the other type of guarantee.
</v>
      </c>
      <c r="C579" s="387" t="str">
        <f ca="1">'Reconciliation report'!D574</f>
        <v/>
      </c>
      <c r="D579" s="387" t="str">
        <f t="shared" ca="1" si="8"/>
        <v/>
      </c>
    </row>
    <row r="580" spans="1:4" ht="77.5" hidden="1">
      <c r="A580" s="1" t="str">
        <f ca="1">HYPERLINK("#" &amp; 'Reconciliation report'!I575,'Reconciliation report'!F575)</f>
        <v>GTE 14.0/1</v>
      </c>
      <c r="B580" t="str">
        <f ca="1">'Reconciliation report'!C575</f>
        <v xml:space="preserve">
No answer required
Type of maturity
</v>
      </c>
      <c r="C580" s="387" t="str">
        <f ca="1">'Reconciliation report'!D575</f>
        <v/>
      </c>
      <c r="D580" s="387" t="str">
        <f t="shared" ca="1" si="8"/>
        <v/>
      </c>
    </row>
    <row r="581" spans="1:4" ht="77.5" hidden="1">
      <c r="A581" s="1" t="str">
        <f ca="1">HYPERLINK("#" &amp; 'Reconciliation report'!I576,'Reconciliation report'!F576)</f>
        <v>GTE 15.0/1</v>
      </c>
      <c r="B581" t="str">
        <f ca="1">'Reconciliation report'!C576</f>
        <v xml:space="preserve">
No answer required
Date of maturity
</v>
      </c>
      <c r="C581" s="387" t="str">
        <f ca="1">'Reconciliation report'!D576</f>
        <v/>
      </c>
      <c r="D581" s="387" t="str">
        <f t="shared" ca="1" si="8"/>
        <v/>
      </c>
    </row>
    <row r="582" spans="1:4" ht="77.5" hidden="1">
      <c r="A582" s="1" t="str">
        <f ca="1">HYPERLINK("#" &amp; 'Reconciliation report'!I577,'Reconciliation report'!F577)</f>
        <v>GTE 16.0/1</v>
      </c>
      <c r="B582" t="str">
        <f ca="1">'Reconciliation report'!C577</f>
        <v xml:space="preserve">
No answer required
Maturity date narrative
</v>
      </c>
      <c r="C582" s="387" t="str">
        <f ca="1">'Reconciliation report'!D577</f>
        <v/>
      </c>
      <c r="D582" s="387" t="str">
        <f t="shared" ca="1" si="8"/>
        <v/>
      </c>
    </row>
    <row r="583" spans="1:4" ht="77.5" hidden="1">
      <c r="A583" s="1" t="str">
        <f ca="1">HYPERLINK("#" &amp; 'Reconciliation report'!I578,'Reconciliation report'!F578)</f>
        <v>GTE 17.0/1</v>
      </c>
      <c r="B583" t="str">
        <f ca="1">'Reconciliation report'!C578</f>
        <v xml:space="preserve">
No answer required
Value ascribed (£)
</v>
      </c>
      <c r="C583" s="387" t="str">
        <f ca="1">'Reconciliation report'!D578</f>
        <v/>
      </c>
      <c r="D583" s="387" t="str">
        <f t="shared" ref="D583:D646" ca="1" si="9">IFERROR(IF(LEN(TRIM(CLEAN(C583))) &gt; 0, "Refresh the error report", ""), "")</f>
        <v/>
      </c>
    </row>
    <row r="584" spans="1:4" ht="77.5" hidden="1">
      <c r="A584" s="1" t="str">
        <f ca="1">HYPERLINK("#" &amp; 'Reconciliation report'!I579,'Reconciliation report'!F579)</f>
        <v>GTE 18.0/1</v>
      </c>
      <c r="B584" t="str">
        <f ca="1">'Reconciliation report'!C579</f>
        <v xml:space="preserve">
No answer required
Date of valuation
</v>
      </c>
      <c r="C584" s="387" t="str">
        <f ca="1">'Reconciliation report'!D579</f>
        <v/>
      </c>
      <c r="D584" s="387" t="str">
        <f t="shared" ca="1" si="9"/>
        <v/>
      </c>
    </row>
    <row r="585" spans="1:4" ht="77.5" hidden="1">
      <c r="A585" s="1" t="str">
        <f ca="1">HYPERLINK("#" &amp; 'Reconciliation report'!I580,'Reconciliation report'!F580)</f>
        <v>GTE 19.0/1</v>
      </c>
      <c r="B585" t="str">
        <f ca="1">'Reconciliation report'!C580</f>
        <v xml:space="preserve">
No answer required
Value cap
</v>
      </c>
      <c r="C585" s="387" t="str">
        <f ca="1">'Reconciliation report'!D580</f>
        <v/>
      </c>
      <c r="D585" s="387" t="str">
        <f t="shared" ca="1" si="9"/>
        <v/>
      </c>
    </row>
    <row r="586" spans="1:4" ht="77.5" hidden="1">
      <c r="A586" s="1" t="str">
        <f ca="1">HYPERLINK("#" &amp; 'Reconciliation report'!I581,'Reconciliation report'!F581)</f>
        <v>GTE 20.0/1</v>
      </c>
      <c r="B586" t="str">
        <f ca="1">'Reconciliation report'!C581</f>
        <v xml:space="preserve">
No answer required
Narrative regarding value cap
</v>
      </c>
      <c r="C586" s="387" t="str">
        <f ca="1">'Reconciliation report'!D581</f>
        <v/>
      </c>
      <c r="D586" s="387" t="str">
        <f t="shared" ca="1" si="9"/>
        <v/>
      </c>
    </row>
    <row r="587" spans="1:4" ht="77.5" hidden="1">
      <c r="A587" s="1" t="str">
        <f ca="1">HYPERLINK("#" &amp; 'Reconciliation report'!I582,'Reconciliation report'!F582)</f>
        <v>GTE 21.0/1</v>
      </c>
      <c r="B587" t="str">
        <f ca="1">'Reconciliation report'!C582</f>
        <v xml:space="preserve">
No answer required
Fixed cap amount (£)
</v>
      </c>
      <c r="C587" s="387" t="str">
        <f ca="1">'Reconciliation report'!D582</f>
        <v/>
      </c>
      <c r="D587" s="387" t="str">
        <f t="shared" ca="1" si="9"/>
        <v/>
      </c>
    </row>
    <row r="588" spans="1:4" ht="46.5" hidden="1">
      <c r="A588" s="1" t="str">
        <f ca="1">HYPERLINK("#" &amp; 'Reconciliation report'!I583,'Reconciliation report'!F583)</f>
        <v>GTE 22.0/1</v>
      </c>
      <c r="B588" t="str">
        <f ca="1">'Reconciliation report'!C583</f>
        <v xml:space="preserve">
Participating employer insolvency
</v>
      </c>
      <c r="C588" s="387" t="str">
        <f ca="1">'Reconciliation report'!D583</f>
        <v/>
      </c>
      <c r="D588" s="387" t="str">
        <f t="shared" ca="1" si="9"/>
        <v/>
      </c>
    </row>
    <row r="589" spans="1:4" ht="46.5" hidden="1">
      <c r="A589" s="1" t="str">
        <f ca="1">HYPERLINK("#" &amp; 'Reconciliation report'!I584,'Reconciliation report'!F584)</f>
        <v>GTE 23.0/1</v>
      </c>
      <c r="B589" t="str">
        <f ca="1">'Reconciliation report'!C584</f>
        <v xml:space="preserve">
Insolvency of associated company
</v>
      </c>
      <c r="C589" s="387" t="str">
        <f ca="1">'Reconciliation report'!D584</f>
        <v/>
      </c>
      <c r="D589" s="387" t="str">
        <f t="shared" ca="1" si="9"/>
        <v/>
      </c>
    </row>
    <row r="590" spans="1:4" ht="46.5" hidden="1">
      <c r="A590" s="1" t="str">
        <f ca="1">HYPERLINK("#" &amp; 'Reconciliation report'!I585,'Reconciliation report'!F585)</f>
        <v>GTE 24.0/1</v>
      </c>
      <c r="B590" t="str">
        <f ca="1">'Reconciliation report'!C585</f>
        <v xml:space="preserve">
Non payment of contributions
</v>
      </c>
      <c r="C590" s="387" t="str">
        <f ca="1">'Reconciliation report'!D585</f>
        <v/>
      </c>
      <c r="D590" s="387" t="str">
        <f t="shared" ca="1" si="9"/>
        <v/>
      </c>
    </row>
    <row r="591" spans="1:4" ht="46.5" hidden="1">
      <c r="A591" s="1" t="str">
        <f ca="1">HYPERLINK("#" &amp; 'Reconciliation report'!I586,'Reconciliation report'!F586)</f>
        <v>GTE 25.0/1</v>
      </c>
      <c r="B591" t="str">
        <f ca="1">'Reconciliation report'!C586</f>
        <v xml:space="preserve">
Crystallisation of investment risk
</v>
      </c>
      <c r="C591" s="387" t="str">
        <f ca="1">'Reconciliation report'!D586</f>
        <v/>
      </c>
      <c r="D591" s="387" t="str">
        <f t="shared" ca="1" si="9"/>
        <v/>
      </c>
    </row>
    <row r="592" spans="1:4" ht="46.5" hidden="1">
      <c r="A592" s="1" t="str">
        <f ca="1">HYPERLINK("#" &amp; 'Reconciliation report'!I587,'Reconciliation report'!F587)</f>
        <v>GTE 26.0/1</v>
      </c>
      <c r="B592" t="str">
        <f ca="1">'Reconciliation report'!C587</f>
        <v xml:space="preserve">
Other
</v>
      </c>
      <c r="C592" s="387" t="str">
        <f ca="1">'Reconciliation report'!D587</f>
        <v/>
      </c>
      <c r="D592" s="387" t="str">
        <f t="shared" ca="1" si="9"/>
        <v/>
      </c>
    </row>
    <row r="593" spans="1:4" ht="46.5" hidden="1">
      <c r="A593" s="1" t="str">
        <f ca="1">HYPERLINK("#" &amp; 'Reconciliation report'!I588,'Reconciliation report'!F588)</f>
        <v>GTE 27.0/1</v>
      </c>
      <c r="B593" t="str">
        <f ca="1">'Reconciliation report'!C588</f>
        <v xml:space="preserve">
Describe the other triggers for access to value
</v>
      </c>
      <c r="C593" s="387" t="str">
        <f ca="1">'Reconciliation report'!D588</f>
        <v/>
      </c>
      <c r="D593" s="387" t="str">
        <f t="shared" ca="1" si="9"/>
        <v/>
      </c>
    </row>
    <row r="594" spans="1:4" ht="46.5" hidden="1">
      <c r="A594" s="1" t="str">
        <f ca="1">HYPERLINK("#" &amp; 'Reconciliation report'!I589,'Reconciliation report'!F589)</f>
        <v>GTE 28.0/1</v>
      </c>
      <c r="B594" t="str">
        <f ca="1">'Reconciliation report'!C589</f>
        <v xml:space="preserve">
Triggers for termination
</v>
      </c>
      <c r="C594" s="387" t="str">
        <f ca="1">'Reconciliation report'!D589</f>
        <v/>
      </c>
      <c r="D594" s="387" t="str">
        <f t="shared" ca="1" si="9"/>
        <v/>
      </c>
    </row>
    <row r="595" spans="1:4" ht="77.5" hidden="1">
      <c r="A595" s="1" t="str">
        <f ca="1">HYPERLINK("#" &amp; 'Reconciliation report'!I590,'Reconciliation report'!F590)</f>
        <v>GTE 1.0/2</v>
      </c>
      <c r="B595" t="str">
        <f ca="1">'Reconciliation report'!C590</f>
        <v xml:space="preserve">
No answer required
Legal name
</v>
      </c>
      <c r="C595" s="387" t="str">
        <f ca="1">'Reconciliation report'!D590</f>
        <v/>
      </c>
      <c r="D595" s="387" t="str">
        <f t="shared" ca="1" si="9"/>
        <v/>
      </c>
    </row>
    <row r="596" spans="1:4" ht="77.5" hidden="1">
      <c r="A596" s="1" t="str">
        <f ca="1">HYPERLINK("#" &amp; 'Reconciliation report'!I591,'Reconciliation report'!F591)</f>
        <v>GTE 2.0/2</v>
      </c>
      <c r="B596" t="str">
        <f ca="1">'Reconciliation report'!C591</f>
        <v xml:space="preserve">
No answer required
Companies House number (if applicable)
</v>
      </c>
      <c r="C596" s="387" t="str">
        <f ca="1">'Reconciliation report'!D591</f>
        <v/>
      </c>
      <c r="D596" s="387" t="str">
        <f t="shared" ca="1" si="9"/>
        <v/>
      </c>
    </row>
    <row r="597" spans="1:4" ht="77.5" hidden="1">
      <c r="A597" s="1" t="str">
        <f ca="1">HYPERLINK("#" &amp; 'Reconciliation report'!I592,'Reconciliation report'!F592)</f>
        <v>GTE 3.0/2</v>
      </c>
      <c r="B597" t="str">
        <f ca="1">'Reconciliation report'!C592</f>
        <v xml:space="preserve">
No answer required
Charity number (if applicable)
</v>
      </c>
      <c r="C597" s="387" t="str">
        <f ca="1">'Reconciliation report'!D592</f>
        <v/>
      </c>
      <c r="D597" s="387" t="str">
        <f t="shared" ca="1" si="9"/>
        <v/>
      </c>
    </row>
    <row r="598" spans="1:4" ht="77.5" hidden="1">
      <c r="A598" s="1" t="str">
        <f ca="1">HYPERLINK("#" &amp; 'Reconciliation report'!I593,'Reconciliation report'!F593)</f>
        <v>GTE 4.0/2</v>
      </c>
      <c r="B598" t="str">
        <f ca="1">'Reconciliation report'!C593</f>
        <v xml:space="preserve">
No answer required
Trading name
</v>
      </c>
      <c r="C598" s="387" t="str">
        <f ca="1">'Reconciliation report'!D593</f>
        <v/>
      </c>
      <c r="D598" s="387" t="str">
        <f t="shared" ca="1" si="9"/>
        <v/>
      </c>
    </row>
    <row r="599" spans="1:4" ht="77.5" hidden="1">
      <c r="A599" s="1" t="str">
        <f ca="1">HYPERLINK("#" &amp; 'Reconciliation report'!I594,'Reconciliation report'!F594)</f>
        <v>GTE 5.0/2</v>
      </c>
      <c r="B599" t="str">
        <f ca="1">'Reconciliation report'!C594</f>
        <v xml:space="preserve">
No answer required
Address line 1
</v>
      </c>
      <c r="C599" s="387" t="str">
        <f ca="1">'Reconciliation report'!D594</f>
        <v/>
      </c>
      <c r="D599" s="387" t="str">
        <f t="shared" ca="1" si="9"/>
        <v/>
      </c>
    </row>
    <row r="600" spans="1:4" ht="77.5" hidden="1">
      <c r="A600" s="1" t="str">
        <f ca="1">HYPERLINK("#" &amp; 'Reconciliation report'!I595,'Reconciliation report'!F595)</f>
        <v>GTE 6.0/2</v>
      </c>
      <c r="B600" t="str">
        <f ca="1">'Reconciliation report'!C595</f>
        <v xml:space="preserve">
No answer required
Address line 2 (optional)
</v>
      </c>
      <c r="C600" s="387" t="str">
        <f ca="1">'Reconciliation report'!D595</f>
        <v/>
      </c>
      <c r="D600" s="387" t="str">
        <f t="shared" ca="1" si="9"/>
        <v/>
      </c>
    </row>
    <row r="601" spans="1:4" ht="77.5" hidden="1">
      <c r="A601" s="1" t="str">
        <f ca="1">HYPERLINK("#" &amp; 'Reconciliation report'!I596,'Reconciliation report'!F596)</f>
        <v>GTE 7.0/2</v>
      </c>
      <c r="B601" t="str">
        <f ca="1">'Reconciliation report'!C596</f>
        <v xml:space="preserve">
No answer required
Address line 3 (optional)
</v>
      </c>
      <c r="C601" s="387" t="str">
        <f ca="1">'Reconciliation report'!D596</f>
        <v/>
      </c>
      <c r="D601" s="387" t="str">
        <f t="shared" ca="1" si="9"/>
        <v/>
      </c>
    </row>
    <row r="602" spans="1:4" ht="77.5" hidden="1">
      <c r="A602" s="1" t="str">
        <f ca="1">HYPERLINK("#" &amp; 'Reconciliation report'!I597,'Reconciliation report'!F597)</f>
        <v>GTE 8.0/2</v>
      </c>
      <c r="B602" t="str">
        <f ca="1">'Reconciliation report'!C597</f>
        <v xml:space="preserve">
No answer required
Post town or city
</v>
      </c>
      <c r="C602" s="387" t="str">
        <f ca="1">'Reconciliation report'!D597</f>
        <v/>
      </c>
      <c r="D602" s="387" t="str">
        <f t="shared" ca="1" si="9"/>
        <v/>
      </c>
    </row>
    <row r="603" spans="1:4" ht="77.5" hidden="1">
      <c r="A603" s="1" t="str">
        <f ca="1">HYPERLINK("#" &amp; 'Reconciliation report'!I598,'Reconciliation report'!F598)</f>
        <v>GTE 9.0/2</v>
      </c>
      <c r="B603" t="str">
        <f ca="1">'Reconciliation report'!C598</f>
        <v xml:space="preserve">
No answer required
Country
</v>
      </c>
      <c r="C603" s="387" t="str">
        <f ca="1">'Reconciliation report'!D598</f>
        <v/>
      </c>
      <c r="D603" s="387" t="str">
        <f t="shared" ca="1" si="9"/>
        <v/>
      </c>
    </row>
    <row r="604" spans="1:4" ht="77.5" hidden="1">
      <c r="A604" s="1" t="str">
        <f ca="1">HYPERLINK("#" &amp; 'Reconciliation report'!I599,'Reconciliation report'!F599)</f>
        <v>GTE 10.0/2</v>
      </c>
      <c r="B604" t="str">
        <f ca="1">'Reconciliation report'!C599</f>
        <v xml:space="preserve">
No answer required
Postcode
</v>
      </c>
      <c r="C604" s="387" t="str">
        <f ca="1">'Reconciliation report'!D599</f>
        <v/>
      </c>
      <c r="D604" s="387" t="str">
        <f t="shared" ca="1" si="9"/>
        <v/>
      </c>
    </row>
    <row r="605" spans="1:4" ht="77.5" hidden="1">
      <c r="A605" s="1" t="str">
        <f ca="1">HYPERLINK("#" &amp; 'Reconciliation report'!I600,'Reconciliation report'!F600)</f>
        <v>GTE 11.0/2</v>
      </c>
      <c r="B605" t="str">
        <f ca="1">'Reconciliation report'!C600</f>
        <v xml:space="preserve">
No answer required
Is the guarantor an associated company?
</v>
      </c>
      <c r="C605" s="387" t="str">
        <f ca="1">'Reconciliation report'!D600</f>
        <v/>
      </c>
      <c r="D605" s="387" t="str">
        <f t="shared" ca="1" si="9"/>
        <v/>
      </c>
    </row>
    <row r="606" spans="1:4" ht="77.5" hidden="1">
      <c r="A606" s="1" t="str">
        <f ca="1">HYPERLINK("#" &amp; 'Reconciliation report'!I601,'Reconciliation report'!F601)</f>
        <v>GTE 12.0/2</v>
      </c>
      <c r="B606" t="str">
        <f ca="1">'Reconciliation report'!C601</f>
        <v xml:space="preserve">
No answer required
What is type of guarantee?
</v>
      </c>
      <c r="C606" s="387" t="str">
        <f ca="1">'Reconciliation report'!D601</f>
        <v/>
      </c>
      <c r="D606" s="387" t="str">
        <f t="shared" ca="1" si="9"/>
        <v/>
      </c>
    </row>
    <row r="607" spans="1:4" ht="77.5" hidden="1">
      <c r="A607" s="1" t="str">
        <f ca="1">HYPERLINK("#" &amp; 'Reconciliation report'!I602,'Reconciliation report'!F602)</f>
        <v>GTE 13.0/2</v>
      </c>
      <c r="B607" t="str">
        <f ca="1">'Reconciliation report'!C602</f>
        <v xml:space="preserve">
No answer required
Describe the other type of guarantee.
</v>
      </c>
      <c r="C607" s="387" t="str">
        <f ca="1">'Reconciliation report'!D602</f>
        <v/>
      </c>
      <c r="D607" s="387" t="str">
        <f t="shared" ca="1" si="9"/>
        <v/>
      </c>
    </row>
    <row r="608" spans="1:4" ht="77.5" hidden="1">
      <c r="A608" s="1" t="str">
        <f ca="1">HYPERLINK("#" &amp; 'Reconciliation report'!I603,'Reconciliation report'!F603)</f>
        <v>GTE 14.0/2</v>
      </c>
      <c r="B608" t="str">
        <f ca="1">'Reconciliation report'!C603</f>
        <v xml:space="preserve">
No answer required
Type of maturity
</v>
      </c>
      <c r="C608" s="387" t="str">
        <f ca="1">'Reconciliation report'!D603</f>
        <v/>
      </c>
      <c r="D608" s="387" t="str">
        <f t="shared" ca="1" si="9"/>
        <v/>
      </c>
    </row>
    <row r="609" spans="1:4" ht="77.5" hidden="1">
      <c r="A609" s="1" t="str">
        <f ca="1">HYPERLINK("#" &amp; 'Reconciliation report'!I604,'Reconciliation report'!F604)</f>
        <v>GTE 15.0/2</v>
      </c>
      <c r="B609" t="str">
        <f ca="1">'Reconciliation report'!C604</f>
        <v xml:space="preserve">
No answer required
Date of maturity
</v>
      </c>
      <c r="C609" s="387" t="str">
        <f ca="1">'Reconciliation report'!D604</f>
        <v/>
      </c>
      <c r="D609" s="387" t="str">
        <f t="shared" ca="1" si="9"/>
        <v/>
      </c>
    </row>
    <row r="610" spans="1:4" ht="77.5" hidden="1">
      <c r="A610" s="1" t="str">
        <f ca="1">HYPERLINK("#" &amp; 'Reconciliation report'!I605,'Reconciliation report'!F605)</f>
        <v>GTE 16.0/2</v>
      </c>
      <c r="B610" t="str">
        <f ca="1">'Reconciliation report'!C605</f>
        <v xml:space="preserve">
No answer required
Maturity date narrative
</v>
      </c>
      <c r="C610" s="387" t="str">
        <f ca="1">'Reconciliation report'!D605</f>
        <v/>
      </c>
      <c r="D610" s="387" t="str">
        <f t="shared" ca="1" si="9"/>
        <v/>
      </c>
    </row>
    <row r="611" spans="1:4" ht="77.5" hidden="1">
      <c r="A611" s="1" t="str">
        <f ca="1">HYPERLINK("#" &amp; 'Reconciliation report'!I606,'Reconciliation report'!F606)</f>
        <v>GTE 17.0/2</v>
      </c>
      <c r="B611" t="str">
        <f ca="1">'Reconciliation report'!C606</f>
        <v xml:space="preserve">
No answer required
Value ascribed (£)
</v>
      </c>
      <c r="C611" s="387" t="str">
        <f ca="1">'Reconciliation report'!D606</f>
        <v/>
      </c>
      <c r="D611" s="387" t="str">
        <f t="shared" ca="1" si="9"/>
        <v/>
      </c>
    </row>
    <row r="612" spans="1:4" ht="77.5" hidden="1">
      <c r="A612" s="1" t="str">
        <f ca="1">HYPERLINK("#" &amp; 'Reconciliation report'!I607,'Reconciliation report'!F607)</f>
        <v>GTE 18.0/2</v>
      </c>
      <c r="B612" t="str">
        <f ca="1">'Reconciliation report'!C607</f>
        <v xml:space="preserve">
No answer required
Date of valuation
</v>
      </c>
      <c r="C612" s="387" t="str">
        <f ca="1">'Reconciliation report'!D607</f>
        <v/>
      </c>
      <c r="D612" s="387" t="str">
        <f t="shared" ca="1" si="9"/>
        <v/>
      </c>
    </row>
    <row r="613" spans="1:4" ht="77.5" hidden="1">
      <c r="A613" s="1" t="str">
        <f ca="1">HYPERLINK("#" &amp; 'Reconciliation report'!I608,'Reconciliation report'!F608)</f>
        <v>GTE 19.0/2</v>
      </c>
      <c r="B613" t="str">
        <f ca="1">'Reconciliation report'!C608</f>
        <v xml:space="preserve">
No answer required
Value cap
</v>
      </c>
      <c r="C613" s="387" t="str">
        <f ca="1">'Reconciliation report'!D608</f>
        <v/>
      </c>
      <c r="D613" s="387" t="str">
        <f t="shared" ca="1" si="9"/>
        <v/>
      </c>
    </row>
    <row r="614" spans="1:4" ht="77.5" hidden="1">
      <c r="A614" s="1" t="str">
        <f ca="1">HYPERLINK("#" &amp; 'Reconciliation report'!I609,'Reconciliation report'!F609)</f>
        <v>GTE 20.0/2</v>
      </c>
      <c r="B614" t="str">
        <f ca="1">'Reconciliation report'!C609</f>
        <v xml:space="preserve">
No answer required
Narrative regarding value cap
</v>
      </c>
      <c r="C614" s="387" t="str">
        <f ca="1">'Reconciliation report'!D609</f>
        <v/>
      </c>
      <c r="D614" s="387" t="str">
        <f t="shared" ca="1" si="9"/>
        <v/>
      </c>
    </row>
    <row r="615" spans="1:4" ht="77.5" hidden="1">
      <c r="A615" s="1" t="str">
        <f ca="1">HYPERLINK("#" &amp; 'Reconciliation report'!I610,'Reconciliation report'!F610)</f>
        <v>GTE 21.0/2</v>
      </c>
      <c r="B615" t="str">
        <f ca="1">'Reconciliation report'!C610</f>
        <v xml:space="preserve">
No answer required
Fixed cap amount (£)
</v>
      </c>
      <c r="C615" s="387" t="str">
        <f ca="1">'Reconciliation report'!D610</f>
        <v/>
      </c>
      <c r="D615" s="387" t="str">
        <f t="shared" ca="1" si="9"/>
        <v/>
      </c>
    </row>
    <row r="616" spans="1:4" ht="46.5" hidden="1">
      <c r="A616" s="1" t="str">
        <f ca="1">HYPERLINK("#" &amp; 'Reconciliation report'!I611,'Reconciliation report'!F611)</f>
        <v>GTE 22.0/2</v>
      </c>
      <c r="B616" t="str">
        <f ca="1">'Reconciliation report'!C611</f>
        <v xml:space="preserve">
Participating employer insolvency
</v>
      </c>
      <c r="C616" s="387" t="str">
        <f ca="1">'Reconciliation report'!D611</f>
        <v/>
      </c>
      <c r="D616" s="387" t="str">
        <f t="shared" ca="1" si="9"/>
        <v/>
      </c>
    </row>
    <row r="617" spans="1:4" ht="46.5" hidden="1">
      <c r="A617" s="1" t="str">
        <f ca="1">HYPERLINK("#" &amp; 'Reconciliation report'!I612,'Reconciliation report'!F612)</f>
        <v>GTE 23.0/2</v>
      </c>
      <c r="B617" t="str">
        <f ca="1">'Reconciliation report'!C612</f>
        <v xml:space="preserve">
Insolvency of associated company
</v>
      </c>
      <c r="C617" s="387" t="str">
        <f ca="1">'Reconciliation report'!D612</f>
        <v/>
      </c>
      <c r="D617" s="387" t="str">
        <f t="shared" ca="1" si="9"/>
        <v/>
      </c>
    </row>
    <row r="618" spans="1:4" ht="46.5" hidden="1">
      <c r="A618" s="1" t="str">
        <f ca="1">HYPERLINK("#" &amp; 'Reconciliation report'!I613,'Reconciliation report'!F613)</f>
        <v>GTE 24.0/2</v>
      </c>
      <c r="B618" t="str">
        <f ca="1">'Reconciliation report'!C613</f>
        <v xml:space="preserve">
Non payment of contributions
</v>
      </c>
      <c r="C618" s="387" t="str">
        <f ca="1">'Reconciliation report'!D613</f>
        <v/>
      </c>
      <c r="D618" s="387" t="str">
        <f t="shared" ca="1" si="9"/>
        <v/>
      </c>
    </row>
    <row r="619" spans="1:4" ht="46.5" hidden="1">
      <c r="A619" s="1" t="str">
        <f ca="1">HYPERLINK("#" &amp; 'Reconciliation report'!I614,'Reconciliation report'!F614)</f>
        <v>GTE 25.0/2</v>
      </c>
      <c r="B619" t="str">
        <f ca="1">'Reconciliation report'!C614</f>
        <v xml:space="preserve">
Crystallisation of investment risk
</v>
      </c>
      <c r="C619" s="387" t="str">
        <f ca="1">'Reconciliation report'!D614</f>
        <v/>
      </c>
      <c r="D619" s="387" t="str">
        <f t="shared" ca="1" si="9"/>
        <v/>
      </c>
    </row>
    <row r="620" spans="1:4" ht="46.5" hidden="1">
      <c r="A620" s="1" t="str">
        <f ca="1">HYPERLINK("#" &amp; 'Reconciliation report'!I615,'Reconciliation report'!F615)</f>
        <v>GTE 26.0/2</v>
      </c>
      <c r="B620" t="str">
        <f ca="1">'Reconciliation report'!C615</f>
        <v xml:space="preserve">
Other
</v>
      </c>
      <c r="C620" s="387" t="str">
        <f ca="1">'Reconciliation report'!D615</f>
        <v/>
      </c>
      <c r="D620" s="387" t="str">
        <f t="shared" ca="1" si="9"/>
        <v/>
      </c>
    </row>
    <row r="621" spans="1:4" ht="46.5" hidden="1">
      <c r="A621" s="1" t="str">
        <f ca="1">HYPERLINK("#" &amp; 'Reconciliation report'!I616,'Reconciliation report'!F616)</f>
        <v>GTE 27.0/2</v>
      </c>
      <c r="B621" t="str">
        <f ca="1">'Reconciliation report'!C616</f>
        <v xml:space="preserve">
Describe the other triggers for access to value
</v>
      </c>
      <c r="C621" s="387" t="str">
        <f ca="1">'Reconciliation report'!D616</f>
        <v/>
      </c>
      <c r="D621" s="387" t="str">
        <f t="shared" ca="1" si="9"/>
        <v/>
      </c>
    </row>
    <row r="622" spans="1:4" ht="46.5" hidden="1">
      <c r="A622" s="1" t="str">
        <f ca="1">HYPERLINK("#" &amp; 'Reconciliation report'!I617,'Reconciliation report'!F617)</f>
        <v>GTE 28.0/2</v>
      </c>
      <c r="B622" t="str">
        <f ca="1">'Reconciliation report'!C617</f>
        <v xml:space="preserve">
Triggers for termination
</v>
      </c>
      <c r="C622" s="387" t="str">
        <f ca="1">'Reconciliation report'!D617</f>
        <v/>
      </c>
      <c r="D622" s="387" t="str">
        <f t="shared" ca="1" si="9"/>
        <v/>
      </c>
    </row>
    <row r="623" spans="1:4" ht="77.5" hidden="1">
      <c r="A623" s="1" t="str">
        <f ca="1">HYPERLINK("#" &amp; 'Reconciliation report'!I618,'Reconciliation report'!F618)</f>
        <v>GTE 1.0/3</v>
      </c>
      <c r="B623" t="str">
        <f ca="1">'Reconciliation report'!C618</f>
        <v xml:space="preserve">
No answer required
Legal name
</v>
      </c>
      <c r="C623" s="387" t="str">
        <f ca="1">'Reconciliation report'!D618</f>
        <v/>
      </c>
      <c r="D623" s="387" t="str">
        <f t="shared" ca="1" si="9"/>
        <v/>
      </c>
    </row>
    <row r="624" spans="1:4" ht="77.5" hidden="1">
      <c r="A624" s="1" t="str">
        <f ca="1">HYPERLINK("#" &amp; 'Reconciliation report'!I619,'Reconciliation report'!F619)</f>
        <v>GTE 2.0/3</v>
      </c>
      <c r="B624" t="str">
        <f ca="1">'Reconciliation report'!C619</f>
        <v xml:space="preserve">
No answer required
Companies House number (if applicable)
</v>
      </c>
      <c r="C624" s="387" t="str">
        <f ca="1">'Reconciliation report'!D619</f>
        <v/>
      </c>
      <c r="D624" s="387" t="str">
        <f t="shared" ca="1" si="9"/>
        <v/>
      </c>
    </row>
    <row r="625" spans="1:4" ht="77.5" hidden="1">
      <c r="A625" s="1" t="str">
        <f ca="1">HYPERLINK("#" &amp; 'Reconciliation report'!I620,'Reconciliation report'!F620)</f>
        <v>GTE 3.0/3</v>
      </c>
      <c r="B625" t="str">
        <f ca="1">'Reconciliation report'!C620</f>
        <v xml:space="preserve">
No answer required
Charity number (if applicable)
</v>
      </c>
      <c r="C625" s="387" t="str">
        <f ca="1">'Reconciliation report'!D620</f>
        <v/>
      </c>
      <c r="D625" s="387" t="str">
        <f t="shared" ca="1" si="9"/>
        <v/>
      </c>
    </row>
    <row r="626" spans="1:4" ht="77.5" hidden="1">
      <c r="A626" s="1" t="str">
        <f ca="1">HYPERLINK("#" &amp; 'Reconciliation report'!I621,'Reconciliation report'!F621)</f>
        <v>GTE 4.0/3</v>
      </c>
      <c r="B626" t="str">
        <f ca="1">'Reconciliation report'!C621</f>
        <v xml:space="preserve">
No answer required
Trading name
</v>
      </c>
      <c r="C626" s="387" t="str">
        <f ca="1">'Reconciliation report'!D621</f>
        <v/>
      </c>
      <c r="D626" s="387" t="str">
        <f t="shared" ca="1" si="9"/>
        <v/>
      </c>
    </row>
    <row r="627" spans="1:4" ht="77.5" hidden="1">
      <c r="A627" s="1" t="str">
        <f ca="1">HYPERLINK("#" &amp; 'Reconciliation report'!I622,'Reconciliation report'!F622)</f>
        <v>GTE 5.0/3</v>
      </c>
      <c r="B627" t="str">
        <f ca="1">'Reconciliation report'!C622</f>
        <v xml:space="preserve">
No answer required
Address line 1
</v>
      </c>
      <c r="C627" s="387" t="str">
        <f ca="1">'Reconciliation report'!D622</f>
        <v/>
      </c>
      <c r="D627" s="387" t="str">
        <f t="shared" ca="1" si="9"/>
        <v/>
      </c>
    </row>
    <row r="628" spans="1:4" ht="77.5" hidden="1">
      <c r="A628" s="1" t="str">
        <f ca="1">HYPERLINK("#" &amp; 'Reconciliation report'!I623,'Reconciliation report'!F623)</f>
        <v>GTE 6.0/3</v>
      </c>
      <c r="B628" t="str">
        <f ca="1">'Reconciliation report'!C623</f>
        <v xml:space="preserve">
No answer required
Address line 2 (optional)
</v>
      </c>
      <c r="C628" s="387" t="str">
        <f ca="1">'Reconciliation report'!D623</f>
        <v/>
      </c>
      <c r="D628" s="387" t="str">
        <f t="shared" ca="1" si="9"/>
        <v/>
      </c>
    </row>
    <row r="629" spans="1:4" ht="77.5" hidden="1">
      <c r="A629" s="1" t="str">
        <f ca="1">HYPERLINK("#" &amp; 'Reconciliation report'!I624,'Reconciliation report'!F624)</f>
        <v>GTE 7.0/3</v>
      </c>
      <c r="B629" t="str">
        <f ca="1">'Reconciliation report'!C624</f>
        <v xml:space="preserve">
No answer required
Address line 3 (optional)
</v>
      </c>
      <c r="C629" s="387" t="str">
        <f ca="1">'Reconciliation report'!D624</f>
        <v/>
      </c>
      <c r="D629" s="387" t="str">
        <f t="shared" ca="1" si="9"/>
        <v/>
      </c>
    </row>
    <row r="630" spans="1:4" ht="77.5" hidden="1">
      <c r="A630" s="1" t="str">
        <f ca="1">HYPERLINK("#" &amp; 'Reconciliation report'!I625,'Reconciliation report'!F625)</f>
        <v>GTE 8.0/3</v>
      </c>
      <c r="B630" t="str">
        <f ca="1">'Reconciliation report'!C625</f>
        <v xml:space="preserve">
No answer required
Post town or city
</v>
      </c>
      <c r="C630" s="387" t="str">
        <f ca="1">'Reconciliation report'!D625</f>
        <v/>
      </c>
      <c r="D630" s="387" t="str">
        <f t="shared" ca="1" si="9"/>
        <v/>
      </c>
    </row>
    <row r="631" spans="1:4" ht="77.5" hidden="1">
      <c r="A631" s="1" t="str">
        <f ca="1">HYPERLINK("#" &amp; 'Reconciliation report'!I626,'Reconciliation report'!F626)</f>
        <v>GTE 9.0/3</v>
      </c>
      <c r="B631" t="str">
        <f ca="1">'Reconciliation report'!C626</f>
        <v xml:space="preserve">
No answer required
Country
</v>
      </c>
      <c r="C631" s="387" t="str">
        <f ca="1">'Reconciliation report'!D626</f>
        <v/>
      </c>
      <c r="D631" s="387" t="str">
        <f t="shared" ca="1" si="9"/>
        <v/>
      </c>
    </row>
    <row r="632" spans="1:4" ht="77.5" hidden="1">
      <c r="A632" s="1" t="str">
        <f ca="1">HYPERLINK("#" &amp; 'Reconciliation report'!I627,'Reconciliation report'!F627)</f>
        <v>GTE 10.0/3</v>
      </c>
      <c r="B632" t="str">
        <f ca="1">'Reconciliation report'!C627</f>
        <v xml:space="preserve">
No answer required
Postcode
</v>
      </c>
      <c r="C632" s="387" t="str">
        <f ca="1">'Reconciliation report'!D627</f>
        <v/>
      </c>
      <c r="D632" s="387" t="str">
        <f t="shared" ca="1" si="9"/>
        <v/>
      </c>
    </row>
    <row r="633" spans="1:4" ht="77.5" hidden="1">
      <c r="A633" s="1" t="str">
        <f ca="1">HYPERLINK("#" &amp; 'Reconciliation report'!I628,'Reconciliation report'!F628)</f>
        <v>GTE 11.0/3</v>
      </c>
      <c r="B633" t="str">
        <f ca="1">'Reconciliation report'!C628</f>
        <v xml:space="preserve">
No answer required
Is the guarantor an associated company?
</v>
      </c>
      <c r="C633" s="387" t="str">
        <f ca="1">'Reconciliation report'!D628</f>
        <v/>
      </c>
      <c r="D633" s="387" t="str">
        <f t="shared" ca="1" si="9"/>
        <v/>
      </c>
    </row>
    <row r="634" spans="1:4" ht="77.5" hidden="1">
      <c r="A634" s="1" t="str">
        <f ca="1">HYPERLINK("#" &amp; 'Reconciliation report'!I629,'Reconciliation report'!F629)</f>
        <v>GTE 12.0/3</v>
      </c>
      <c r="B634" t="str">
        <f ca="1">'Reconciliation report'!C629</f>
        <v xml:space="preserve">
No answer required
What is type of guarantee?
</v>
      </c>
      <c r="C634" s="387" t="str">
        <f ca="1">'Reconciliation report'!D629</f>
        <v/>
      </c>
      <c r="D634" s="387" t="str">
        <f t="shared" ca="1" si="9"/>
        <v/>
      </c>
    </row>
    <row r="635" spans="1:4" ht="77.5" hidden="1">
      <c r="A635" s="1" t="str">
        <f ca="1">HYPERLINK("#" &amp; 'Reconciliation report'!I630,'Reconciliation report'!F630)</f>
        <v>GTE 13.0/3</v>
      </c>
      <c r="B635" t="str">
        <f ca="1">'Reconciliation report'!C630</f>
        <v xml:space="preserve">
No answer required
Describe the other type of guarantee.
</v>
      </c>
      <c r="C635" s="387" t="str">
        <f ca="1">'Reconciliation report'!D630</f>
        <v/>
      </c>
      <c r="D635" s="387" t="str">
        <f t="shared" ca="1" si="9"/>
        <v/>
      </c>
    </row>
    <row r="636" spans="1:4" ht="77.5" hidden="1">
      <c r="A636" s="1" t="str">
        <f ca="1">HYPERLINK("#" &amp; 'Reconciliation report'!I631,'Reconciliation report'!F631)</f>
        <v>GTE 14.0/3</v>
      </c>
      <c r="B636" t="str">
        <f ca="1">'Reconciliation report'!C631</f>
        <v xml:space="preserve">
No answer required
Type of maturity
</v>
      </c>
      <c r="C636" s="387" t="str">
        <f ca="1">'Reconciliation report'!D631</f>
        <v/>
      </c>
      <c r="D636" s="387" t="str">
        <f t="shared" ca="1" si="9"/>
        <v/>
      </c>
    </row>
    <row r="637" spans="1:4" ht="77.5" hidden="1">
      <c r="A637" s="1" t="str">
        <f ca="1">HYPERLINK("#" &amp; 'Reconciliation report'!I632,'Reconciliation report'!F632)</f>
        <v>GTE 15.0/3</v>
      </c>
      <c r="B637" t="str">
        <f ca="1">'Reconciliation report'!C632</f>
        <v xml:space="preserve">
No answer required
Date of maturity
</v>
      </c>
      <c r="C637" s="387" t="str">
        <f ca="1">'Reconciliation report'!D632</f>
        <v/>
      </c>
      <c r="D637" s="387" t="str">
        <f t="shared" ca="1" si="9"/>
        <v/>
      </c>
    </row>
    <row r="638" spans="1:4" ht="77.5" hidden="1">
      <c r="A638" s="1" t="str">
        <f ca="1">HYPERLINK("#" &amp; 'Reconciliation report'!I633,'Reconciliation report'!F633)</f>
        <v>GTE 16.0/3</v>
      </c>
      <c r="B638" t="str">
        <f ca="1">'Reconciliation report'!C633</f>
        <v xml:space="preserve">
No answer required
Maturity date narrative
</v>
      </c>
      <c r="C638" s="387" t="str">
        <f ca="1">'Reconciliation report'!D633</f>
        <v/>
      </c>
      <c r="D638" s="387" t="str">
        <f t="shared" ca="1" si="9"/>
        <v/>
      </c>
    </row>
    <row r="639" spans="1:4" ht="77.5" hidden="1">
      <c r="A639" s="1" t="str">
        <f ca="1">HYPERLINK("#" &amp; 'Reconciliation report'!I634,'Reconciliation report'!F634)</f>
        <v>GTE 17.0/3</v>
      </c>
      <c r="B639" t="str">
        <f ca="1">'Reconciliation report'!C634</f>
        <v xml:space="preserve">
No answer required
Value ascribed (£)
</v>
      </c>
      <c r="C639" s="387" t="str">
        <f ca="1">'Reconciliation report'!D634</f>
        <v/>
      </c>
      <c r="D639" s="387" t="str">
        <f t="shared" ca="1" si="9"/>
        <v/>
      </c>
    </row>
    <row r="640" spans="1:4" ht="77.5" hidden="1">
      <c r="A640" s="1" t="str">
        <f ca="1">HYPERLINK("#" &amp; 'Reconciliation report'!I635,'Reconciliation report'!F635)</f>
        <v>GTE 18.0/3</v>
      </c>
      <c r="B640" t="str">
        <f ca="1">'Reconciliation report'!C635</f>
        <v xml:space="preserve">
No answer required
Date of valuation
</v>
      </c>
      <c r="C640" s="387" t="str">
        <f ca="1">'Reconciliation report'!D635</f>
        <v/>
      </c>
      <c r="D640" s="387" t="str">
        <f t="shared" ca="1" si="9"/>
        <v/>
      </c>
    </row>
    <row r="641" spans="1:4" ht="77.5" hidden="1">
      <c r="A641" s="1" t="str">
        <f ca="1">HYPERLINK("#" &amp; 'Reconciliation report'!I636,'Reconciliation report'!F636)</f>
        <v>GTE 19.0/3</v>
      </c>
      <c r="B641" t="str">
        <f ca="1">'Reconciliation report'!C636</f>
        <v xml:space="preserve">
No answer required
Value cap
</v>
      </c>
      <c r="C641" s="387" t="str">
        <f ca="1">'Reconciliation report'!D636</f>
        <v/>
      </c>
      <c r="D641" s="387" t="str">
        <f t="shared" ca="1" si="9"/>
        <v/>
      </c>
    </row>
    <row r="642" spans="1:4" ht="77.5" hidden="1">
      <c r="A642" s="1" t="str">
        <f ca="1">HYPERLINK("#" &amp; 'Reconciliation report'!I637,'Reconciliation report'!F637)</f>
        <v>GTE 20.0/3</v>
      </c>
      <c r="B642" t="str">
        <f ca="1">'Reconciliation report'!C637</f>
        <v xml:space="preserve">
No answer required
Narrative regarding value cap
</v>
      </c>
      <c r="C642" s="387" t="str">
        <f ca="1">'Reconciliation report'!D637</f>
        <v/>
      </c>
      <c r="D642" s="387" t="str">
        <f t="shared" ca="1" si="9"/>
        <v/>
      </c>
    </row>
    <row r="643" spans="1:4" ht="77.5" hidden="1">
      <c r="A643" s="1" t="str">
        <f ca="1">HYPERLINK("#" &amp; 'Reconciliation report'!I638,'Reconciliation report'!F638)</f>
        <v>GTE 21.0/3</v>
      </c>
      <c r="B643" t="str">
        <f ca="1">'Reconciliation report'!C638</f>
        <v xml:space="preserve">
No answer required
Fixed cap amount (£)
</v>
      </c>
      <c r="C643" s="387" t="str">
        <f ca="1">'Reconciliation report'!D638</f>
        <v/>
      </c>
      <c r="D643" s="387" t="str">
        <f t="shared" ca="1" si="9"/>
        <v/>
      </c>
    </row>
    <row r="644" spans="1:4" ht="46.5" hidden="1">
      <c r="A644" s="1" t="str">
        <f ca="1">HYPERLINK("#" &amp; 'Reconciliation report'!I639,'Reconciliation report'!F639)</f>
        <v>GTE 22.0/3</v>
      </c>
      <c r="B644" t="str">
        <f ca="1">'Reconciliation report'!C639</f>
        <v xml:space="preserve">
Participating employer insolvency
</v>
      </c>
      <c r="C644" s="387" t="str">
        <f ca="1">'Reconciliation report'!D639</f>
        <v/>
      </c>
      <c r="D644" s="387" t="str">
        <f t="shared" ca="1" si="9"/>
        <v/>
      </c>
    </row>
    <row r="645" spans="1:4" ht="46.5" hidden="1">
      <c r="A645" s="1" t="str">
        <f ca="1">HYPERLINK("#" &amp; 'Reconciliation report'!I640,'Reconciliation report'!F640)</f>
        <v>GTE 23.0/3</v>
      </c>
      <c r="B645" t="str">
        <f ca="1">'Reconciliation report'!C640</f>
        <v xml:space="preserve">
Insolvency of associated company
</v>
      </c>
      <c r="C645" s="387" t="str">
        <f ca="1">'Reconciliation report'!D640</f>
        <v/>
      </c>
      <c r="D645" s="387" t="str">
        <f t="shared" ca="1" si="9"/>
        <v/>
      </c>
    </row>
    <row r="646" spans="1:4" ht="46.5" hidden="1">
      <c r="A646" s="1" t="str">
        <f ca="1">HYPERLINK("#" &amp; 'Reconciliation report'!I641,'Reconciliation report'!F641)</f>
        <v>GTE 24.0/3</v>
      </c>
      <c r="B646" t="str">
        <f ca="1">'Reconciliation report'!C641</f>
        <v xml:space="preserve">
Non payment of contributions
</v>
      </c>
      <c r="C646" s="387" t="str">
        <f ca="1">'Reconciliation report'!D641</f>
        <v/>
      </c>
      <c r="D646" s="387" t="str">
        <f t="shared" ca="1" si="9"/>
        <v/>
      </c>
    </row>
    <row r="647" spans="1:4" ht="46.5" hidden="1">
      <c r="A647" s="1" t="str">
        <f ca="1">HYPERLINK("#" &amp; 'Reconciliation report'!I642,'Reconciliation report'!F642)</f>
        <v>GTE 25.0/3</v>
      </c>
      <c r="B647" t="str">
        <f ca="1">'Reconciliation report'!C642</f>
        <v xml:space="preserve">
Crystallisation of investment risk
</v>
      </c>
      <c r="C647" s="387" t="str">
        <f ca="1">'Reconciliation report'!D642</f>
        <v/>
      </c>
      <c r="D647" s="387" t="str">
        <f t="shared" ref="D647:D710" ca="1" si="10">IFERROR(IF(LEN(TRIM(CLEAN(C647))) &gt; 0, "Refresh the error report", ""), "")</f>
        <v/>
      </c>
    </row>
    <row r="648" spans="1:4" ht="46.5" hidden="1">
      <c r="A648" s="1" t="str">
        <f ca="1">HYPERLINK("#" &amp; 'Reconciliation report'!I643,'Reconciliation report'!F643)</f>
        <v>GTE 26.0/3</v>
      </c>
      <c r="B648" t="str">
        <f ca="1">'Reconciliation report'!C643</f>
        <v xml:space="preserve">
Other
</v>
      </c>
      <c r="C648" s="387" t="str">
        <f ca="1">'Reconciliation report'!D643</f>
        <v/>
      </c>
      <c r="D648" s="387" t="str">
        <f t="shared" ca="1" si="10"/>
        <v/>
      </c>
    </row>
    <row r="649" spans="1:4" ht="46.5" hidden="1">
      <c r="A649" s="1" t="str">
        <f ca="1">HYPERLINK("#" &amp; 'Reconciliation report'!I644,'Reconciliation report'!F644)</f>
        <v>GTE 27.0/3</v>
      </c>
      <c r="B649" t="str">
        <f ca="1">'Reconciliation report'!C644</f>
        <v xml:space="preserve">
Describe the other triggers for access to value
</v>
      </c>
      <c r="C649" s="387" t="str">
        <f ca="1">'Reconciliation report'!D644</f>
        <v/>
      </c>
      <c r="D649" s="387" t="str">
        <f t="shared" ca="1" si="10"/>
        <v/>
      </c>
    </row>
    <row r="650" spans="1:4" ht="46.5" hidden="1">
      <c r="A650" s="1" t="str">
        <f ca="1">HYPERLINK("#" &amp; 'Reconciliation report'!I645,'Reconciliation report'!F645)</f>
        <v>GTE 28.0/3</v>
      </c>
      <c r="B650" t="str">
        <f ca="1">'Reconciliation report'!C645</f>
        <v xml:space="preserve">
Triggers for termination
</v>
      </c>
      <c r="C650" s="387" t="str">
        <f ca="1">'Reconciliation report'!D645</f>
        <v/>
      </c>
      <c r="D650" s="387" t="str">
        <f t="shared" ca="1" si="10"/>
        <v/>
      </c>
    </row>
    <row r="651" spans="1:4" ht="77.5" hidden="1">
      <c r="A651" s="1" t="str">
        <f ca="1">HYPERLINK("#" &amp; 'Reconciliation report'!I646,'Reconciliation report'!F646)</f>
        <v>GTE 1.0/4</v>
      </c>
      <c r="B651" t="str">
        <f ca="1">'Reconciliation report'!C646</f>
        <v xml:space="preserve">
No answer required
Legal name
</v>
      </c>
      <c r="C651" s="387" t="str">
        <f ca="1">'Reconciliation report'!D646</f>
        <v/>
      </c>
      <c r="D651" s="387" t="str">
        <f t="shared" ca="1" si="10"/>
        <v/>
      </c>
    </row>
    <row r="652" spans="1:4" ht="77.5" hidden="1">
      <c r="A652" s="1" t="str">
        <f ca="1">HYPERLINK("#" &amp; 'Reconciliation report'!I647,'Reconciliation report'!F647)</f>
        <v>GTE 2.0/4</v>
      </c>
      <c r="B652" t="str">
        <f ca="1">'Reconciliation report'!C647</f>
        <v xml:space="preserve">
No answer required
Companies House number (if applicable)
</v>
      </c>
      <c r="C652" s="387" t="str">
        <f ca="1">'Reconciliation report'!D647</f>
        <v/>
      </c>
      <c r="D652" s="387" t="str">
        <f t="shared" ca="1" si="10"/>
        <v/>
      </c>
    </row>
    <row r="653" spans="1:4" ht="77.5" hidden="1">
      <c r="A653" s="1" t="str">
        <f ca="1">HYPERLINK("#" &amp; 'Reconciliation report'!I648,'Reconciliation report'!F648)</f>
        <v>GTE 3.0/4</v>
      </c>
      <c r="B653" t="str">
        <f ca="1">'Reconciliation report'!C648</f>
        <v xml:space="preserve">
No answer required
Charity number (if applicable)
</v>
      </c>
      <c r="C653" s="387" t="str">
        <f ca="1">'Reconciliation report'!D648</f>
        <v/>
      </c>
      <c r="D653" s="387" t="str">
        <f t="shared" ca="1" si="10"/>
        <v/>
      </c>
    </row>
    <row r="654" spans="1:4" ht="77.5" hidden="1">
      <c r="A654" s="1" t="str">
        <f ca="1">HYPERLINK("#" &amp; 'Reconciliation report'!I649,'Reconciliation report'!F649)</f>
        <v>GTE 4.0/4</v>
      </c>
      <c r="B654" t="str">
        <f ca="1">'Reconciliation report'!C649</f>
        <v xml:space="preserve">
No answer required
Trading name
</v>
      </c>
      <c r="C654" s="387" t="str">
        <f ca="1">'Reconciliation report'!D649</f>
        <v/>
      </c>
      <c r="D654" s="387" t="str">
        <f t="shared" ca="1" si="10"/>
        <v/>
      </c>
    </row>
    <row r="655" spans="1:4" ht="77.5" hidden="1">
      <c r="A655" s="1" t="str">
        <f ca="1">HYPERLINK("#" &amp; 'Reconciliation report'!I650,'Reconciliation report'!F650)</f>
        <v>GTE 5.0/4</v>
      </c>
      <c r="B655" t="str">
        <f ca="1">'Reconciliation report'!C650</f>
        <v xml:space="preserve">
No answer required
Address line 1
</v>
      </c>
      <c r="C655" s="387" t="str">
        <f ca="1">'Reconciliation report'!D650</f>
        <v/>
      </c>
      <c r="D655" s="387" t="str">
        <f t="shared" ca="1" si="10"/>
        <v/>
      </c>
    </row>
    <row r="656" spans="1:4" ht="77.5" hidden="1">
      <c r="A656" s="1" t="str">
        <f ca="1">HYPERLINK("#" &amp; 'Reconciliation report'!I651,'Reconciliation report'!F651)</f>
        <v>GTE 6.0/4</v>
      </c>
      <c r="B656" t="str">
        <f ca="1">'Reconciliation report'!C651</f>
        <v xml:space="preserve">
No answer required
Address line 2 (optional)
</v>
      </c>
      <c r="C656" s="387" t="str">
        <f ca="1">'Reconciliation report'!D651</f>
        <v/>
      </c>
      <c r="D656" s="387" t="str">
        <f t="shared" ca="1" si="10"/>
        <v/>
      </c>
    </row>
    <row r="657" spans="1:4" ht="77.5" hidden="1">
      <c r="A657" s="1" t="str">
        <f ca="1">HYPERLINK("#" &amp; 'Reconciliation report'!I652,'Reconciliation report'!F652)</f>
        <v>GTE 7.0/4</v>
      </c>
      <c r="B657" t="str">
        <f ca="1">'Reconciliation report'!C652</f>
        <v xml:space="preserve">
No answer required
Address line 3 (optional)
</v>
      </c>
      <c r="C657" s="387" t="str">
        <f ca="1">'Reconciliation report'!D652</f>
        <v/>
      </c>
      <c r="D657" s="387" t="str">
        <f t="shared" ca="1" si="10"/>
        <v/>
      </c>
    </row>
    <row r="658" spans="1:4" ht="77.5" hidden="1">
      <c r="A658" s="1" t="str">
        <f ca="1">HYPERLINK("#" &amp; 'Reconciliation report'!I653,'Reconciliation report'!F653)</f>
        <v>GTE 8.0/4</v>
      </c>
      <c r="B658" t="str">
        <f ca="1">'Reconciliation report'!C653</f>
        <v xml:space="preserve">
No answer required
Post town or city
</v>
      </c>
      <c r="C658" s="387" t="str">
        <f ca="1">'Reconciliation report'!D653</f>
        <v/>
      </c>
      <c r="D658" s="387" t="str">
        <f t="shared" ca="1" si="10"/>
        <v/>
      </c>
    </row>
    <row r="659" spans="1:4" ht="77.5" hidden="1">
      <c r="A659" s="1" t="str">
        <f ca="1">HYPERLINK("#" &amp; 'Reconciliation report'!I654,'Reconciliation report'!F654)</f>
        <v>GTE 9.0/4</v>
      </c>
      <c r="B659" t="str">
        <f ca="1">'Reconciliation report'!C654</f>
        <v xml:space="preserve">
No answer required
Country
</v>
      </c>
      <c r="C659" s="387" t="str">
        <f ca="1">'Reconciliation report'!D654</f>
        <v/>
      </c>
      <c r="D659" s="387" t="str">
        <f t="shared" ca="1" si="10"/>
        <v/>
      </c>
    </row>
    <row r="660" spans="1:4" ht="77.5" hidden="1">
      <c r="A660" s="1" t="str">
        <f ca="1">HYPERLINK("#" &amp; 'Reconciliation report'!I655,'Reconciliation report'!F655)</f>
        <v>GTE 10.0/4</v>
      </c>
      <c r="B660" t="str">
        <f ca="1">'Reconciliation report'!C655</f>
        <v xml:space="preserve">
No answer required
Postcode
</v>
      </c>
      <c r="C660" s="387" t="str">
        <f ca="1">'Reconciliation report'!D655</f>
        <v/>
      </c>
      <c r="D660" s="387" t="str">
        <f t="shared" ca="1" si="10"/>
        <v/>
      </c>
    </row>
    <row r="661" spans="1:4" ht="77.5" hidden="1">
      <c r="A661" s="1" t="str">
        <f ca="1">HYPERLINK("#" &amp; 'Reconciliation report'!I656,'Reconciliation report'!F656)</f>
        <v>GTE 11.0/4</v>
      </c>
      <c r="B661" t="str">
        <f ca="1">'Reconciliation report'!C656</f>
        <v xml:space="preserve">
No answer required
Is the guarantor an associated company?
</v>
      </c>
      <c r="C661" s="387" t="str">
        <f ca="1">'Reconciliation report'!D656</f>
        <v/>
      </c>
      <c r="D661" s="387" t="str">
        <f t="shared" ca="1" si="10"/>
        <v/>
      </c>
    </row>
    <row r="662" spans="1:4" ht="77.5" hidden="1">
      <c r="A662" s="1" t="str">
        <f ca="1">HYPERLINK("#" &amp; 'Reconciliation report'!I657,'Reconciliation report'!F657)</f>
        <v>GTE 12.0/4</v>
      </c>
      <c r="B662" t="str">
        <f ca="1">'Reconciliation report'!C657</f>
        <v xml:space="preserve">
No answer required
What is type of guarantee?
</v>
      </c>
      <c r="C662" s="387" t="str">
        <f ca="1">'Reconciliation report'!D657</f>
        <v/>
      </c>
      <c r="D662" s="387" t="str">
        <f t="shared" ca="1" si="10"/>
        <v/>
      </c>
    </row>
    <row r="663" spans="1:4" ht="77.5" hidden="1">
      <c r="A663" s="1" t="str">
        <f ca="1">HYPERLINK("#" &amp; 'Reconciliation report'!I658,'Reconciliation report'!F658)</f>
        <v>GTE 13.0/4</v>
      </c>
      <c r="B663" t="str">
        <f ca="1">'Reconciliation report'!C658</f>
        <v xml:space="preserve">
No answer required
Describe the other type of guarantee.
</v>
      </c>
      <c r="C663" s="387" t="str">
        <f ca="1">'Reconciliation report'!D658</f>
        <v/>
      </c>
      <c r="D663" s="387" t="str">
        <f t="shared" ca="1" si="10"/>
        <v/>
      </c>
    </row>
    <row r="664" spans="1:4" ht="77.5" hidden="1">
      <c r="A664" s="1" t="str">
        <f ca="1">HYPERLINK("#" &amp; 'Reconciliation report'!I659,'Reconciliation report'!F659)</f>
        <v>GTE 14.0/4</v>
      </c>
      <c r="B664" t="str">
        <f ca="1">'Reconciliation report'!C659</f>
        <v xml:space="preserve">
No answer required
Type of maturity
</v>
      </c>
      <c r="C664" s="387" t="str">
        <f ca="1">'Reconciliation report'!D659</f>
        <v/>
      </c>
      <c r="D664" s="387" t="str">
        <f t="shared" ca="1" si="10"/>
        <v/>
      </c>
    </row>
    <row r="665" spans="1:4" ht="77.5" hidden="1">
      <c r="A665" s="1" t="str">
        <f ca="1">HYPERLINK("#" &amp; 'Reconciliation report'!I660,'Reconciliation report'!F660)</f>
        <v>GTE 15.0/4</v>
      </c>
      <c r="B665" t="str">
        <f ca="1">'Reconciliation report'!C660</f>
        <v xml:space="preserve">
No answer required
Date of maturity
</v>
      </c>
      <c r="C665" s="387" t="str">
        <f ca="1">'Reconciliation report'!D660</f>
        <v/>
      </c>
      <c r="D665" s="387" t="str">
        <f t="shared" ca="1" si="10"/>
        <v/>
      </c>
    </row>
    <row r="666" spans="1:4" ht="77.5" hidden="1">
      <c r="A666" s="1" t="str">
        <f ca="1">HYPERLINK("#" &amp; 'Reconciliation report'!I661,'Reconciliation report'!F661)</f>
        <v>GTE 16.0/4</v>
      </c>
      <c r="B666" t="str">
        <f ca="1">'Reconciliation report'!C661</f>
        <v xml:space="preserve">
No answer required
Maturity date narrative
</v>
      </c>
      <c r="C666" s="387" t="str">
        <f ca="1">'Reconciliation report'!D661</f>
        <v/>
      </c>
      <c r="D666" s="387" t="str">
        <f t="shared" ca="1" si="10"/>
        <v/>
      </c>
    </row>
    <row r="667" spans="1:4" ht="77.5" hidden="1">
      <c r="A667" s="1" t="str">
        <f ca="1">HYPERLINK("#" &amp; 'Reconciliation report'!I662,'Reconciliation report'!F662)</f>
        <v>GTE 17.0/4</v>
      </c>
      <c r="B667" t="str">
        <f ca="1">'Reconciliation report'!C662</f>
        <v xml:space="preserve">
No answer required
Value ascribed (£)
</v>
      </c>
      <c r="C667" s="387" t="str">
        <f ca="1">'Reconciliation report'!D662</f>
        <v/>
      </c>
      <c r="D667" s="387" t="str">
        <f t="shared" ca="1" si="10"/>
        <v/>
      </c>
    </row>
    <row r="668" spans="1:4" ht="77.5" hidden="1">
      <c r="A668" s="1" t="str">
        <f ca="1">HYPERLINK("#" &amp; 'Reconciliation report'!I663,'Reconciliation report'!F663)</f>
        <v>GTE 18.0/4</v>
      </c>
      <c r="B668" t="str">
        <f ca="1">'Reconciliation report'!C663</f>
        <v xml:space="preserve">
No answer required
Date of valuation
</v>
      </c>
      <c r="C668" s="387" t="str">
        <f ca="1">'Reconciliation report'!D663</f>
        <v/>
      </c>
      <c r="D668" s="387" t="str">
        <f t="shared" ca="1" si="10"/>
        <v/>
      </c>
    </row>
    <row r="669" spans="1:4" ht="77.5" hidden="1">
      <c r="A669" s="1" t="str">
        <f ca="1">HYPERLINK("#" &amp; 'Reconciliation report'!I664,'Reconciliation report'!F664)</f>
        <v>GTE 19.0/4</v>
      </c>
      <c r="B669" t="str">
        <f ca="1">'Reconciliation report'!C664</f>
        <v xml:space="preserve">
No answer required
Value cap
</v>
      </c>
      <c r="C669" s="387" t="str">
        <f ca="1">'Reconciliation report'!D664</f>
        <v/>
      </c>
      <c r="D669" s="387" t="str">
        <f t="shared" ca="1" si="10"/>
        <v/>
      </c>
    </row>
    <row r="670" spans="1:4" ht="77.5" hidden="1">
      <c r="A670" s="1" t="str">
        <f ca="1">HYPERLINK("#" &amp; 'Reconciliation report'!I665,'Reconciliation report'!F665)</f>
        <v>GTE 20.0/4</v>
      </c>
      <c r="B670" t="str">
        <f ca="1">'Reconciliation report'!C665</f>
        <v xml:space="preserve">
No answer required
Narrative regarding value cap
</v>
      </c>
      <c r="C670" s="387" t="str">
        <f ca="1">'Reconciliation report'!D665</f>
        <v/>
      </c>
      <c r="D670" s="387" t="str">
        <f t="shared" ca="1" si="10"/>
        <v/>
      </c>
    </row>
    <row r="671" spans="1:4" ht="77.5" hidden="1">
      <c r="A671" s="1" t="str">
        <f ca="1">HYPERLINK("#" &amp; 'Reconciliation report'!I666,'Reconciliation report'!F666)</f>
        <v>GTE 21.0/4</v>
      </c>
      <c r="B671" t="str">
        <f ca="1">'Reconciliation report'!C666</f>
        <v xml:space="preserve">
No answer required
Fixed cap amount (£)
</v>
      </c>
      <c r="C671" s="387" t="str">
        <f ca="1">'Reconciliation report'!D666</f>
        <v/>
      </c>
      <c r="D671" s="387" t="str">
        <f t="shared" ca="1" si="10"/>
        <v/>
      </c>
    </row>
    <row r="672" spans="1:4" ht="46.5" hidden="1">
      <c r="A672" s="1" t="str">
        <f ca="1">HYPERLINK("#" &amp; 'Reconciliation report'!I667,'Reconciliation report'!F667)</f>
        <v>GTE 22.0/4</v>
      </c>
      <c r="B672" t="str">
        <f ca="1">'Reconciliation report'!C667</f>
        <v xml:space="preserve">
Participating employer insolvency
</v>
      </c>
      <c r="C672" s="387" t="str">
        <f ca="1">'Reconciliation report'!D667</f>
        <v/>
      </c>
      <c r="D672" s="387" t="str">
        <f t="shared" ca="1" si="10"/>
        <v/>
      </c>
    </row>
    <row r="673" spans="1:4" ht="46.5" hidden="1">
      <c r="A673" s="1" t="str">
        <f ca="1">HYPERLINK("#" &amp; 'Reconciliation report'!I668,'Reconciliation report'!F668)</f>
        <v>GTE 23.0/4</v>
      </c>
      <c r="B673" t="str">
        <f ca="1">'Reconciliation report'!C668</f>
        <v xml:space="preserve">
Insolvency of associated company
</v>
      </c>
      <c r="C673" s="387" t="str">
        <f ca="1">'Reconciliation report'!D668</f>
        <v/>
      </c>
      <c r="D673" s="387" t="str">
        <f t="shared" ca="1" si="10"/>
        <v/>
      </c>
    </row>
    <row r="674" spans="1:4" ht="46.5" hidden="1">
      <c r="A674" s="1" t="str">
        <f ca="1">HYPERLINK("#" &amp; 'Reconciliation report'!I669,'Reconciliation report'!F669)</f>
        <v>GTE 24.0/4</v>
      </c>
      <c r="B674" t="str">
        <f ca="1">'Reconciliation report'!C669</f>
        <v xml:space="preserve">
Non payment of contributions
</v>
      </c>
      <c r="C674" s="387" t="str">
        <f ca="1">'Reconciliation report'!D669</f>
        <v/>
      </c>
      <c r="D674" s="387" t="str">
        <f t="shared" ca="1" si="10"/>
        <v/>
      </c>
    </row>
    <row r="675" spans="1:4" ht="46.5" hidden="1">
      <c r="A675" s="1" t="str">
        <f ca="1">HYPERLINK("#" &amp; 'Reconciliation report'!I670,'Reconciliation report'!F670)</f>
        <v>GTE 25.0/4</v>
      </c>
      <c r="B675" t="str">
        <f ca="1">'Reconciliation report'!C670</f>
        <v xml:space="preserve">
Crystallisation of investment risk
</v>
      </c>
      <c r="C675" s="387" t="str">
        <f ca="1">'Reconciliation report'!D670</f>
        <v/>
      </c>
      <c r="D675" s="387" t="str">
        <f t="shared" ca="1" si="10"/>
        <v/>
      </c>
    </row>
    <row r="676" spans="1:4" ht="46.5" hidden="1">
      <c r="A676" s="1" t="str">
        <f ca="1">HYPERLINK("#" &amp; 'Reconciliation report'!I671,'Reconciliation report'!F671)</f>
        <v>GTE 26.0/4</v>
      </c>
      <c r="B676" t="str">
        <f ca="1">'Reconciliation report'!C671</f>
        <v xml:space="preserve">
Other
</v>
      </c>
      <c r="C676" s="387" t="str">
        <f ca="1">'Reconciliation report'!D671</f>
        <v/>
      </c>
      <c r="D676" s="387" t="str">
        <f t="shared" ca="1" si="10"/>
        <v/>
      </c>
    </row>
    <row r="677" spans="1:4" ht="46.5" hidden="1">
      <c r="A677" s="1" t="str">
        <f ca="1">HYPERLINK("#" &amp; 'Reconciliation report'!I672,'Reconciliation report'!F672)</f>
        <v>GTE 27.0/4</v>
      </c>
      <c r="B677" t="str">
        <f ca="1">'Reconciliation report'!C672</f>
        <v xml:space="preserve">
Describe the other triggers for access to value
</v>
      </c>
      <c r="C677" s="387" t="str">
        <f ca="1">'Reconciliation report'!D672</f>
        <v/>
      </c>
      <c r="D677" s="387" t="str">
        <f t="shared" ca="1" si="10"/>
        <v/>
      </c>
    </row>
    <row r="678" spans="1:4" ht="46.5" hidden="1">
      <c r="A678" s="1" t="str">
        <f ca="1">HYPERLINK("#" &amp; 'Reconciliation report'!I673,'Reconciliation report'!F673)</f>
        <v>GTE 28.0/4</v>
      </c>
      <c r="B678" t="str">
        <f ca="1">'Reconciliation report'!C673</f>
        <v xml:space="preserve">
Triggers for termination
</v>
      </c>
      <c r="C678" s="387" t="str">
        <f ca="1">'Reconciliation report'!D673</f>
        <v/>
      </c>
      <c r="D678" s="387" t="str">
        <f t="shared" ca="1" si="10"/>
        <v/>
      </c>
    </row>
    <row r="679" spans="1:4" ht="77.5" hidden="1">
      <c r="A679" s="1" t="str">
        <f ca="1">HYPERLINK("#" &amp; 'Reconciliation report'!I674,'Reconciliation report'!F674)</f>
        <v>GTE 1.0/5</v>
      </c>
      <c r="B679" t="str">
        <f ca="1">'Reconciliation report'!C674</f>
        <v xml:space="preserve">
No answer required
Legal name
</v>
      </c>
      <c r="C679" s="387" t="str">
        <f ca="1">'Reconciliation report'!D674</f>
        <v/>
      </c>
      <c r="D679" s="387" t="str">
        <f t="shared" ca="1" si="10"/>
        <v/>
      </c>
    </row>
    <row r="680" spans="1:4" ht="77.5" hidden="1">
      <c r="A680" s="1" t="str">
        <f ca="1">HYPERLINK("#" &amp; 'Reconciliation report'!I675,'Reconciliation report'!F675)</f>
        <v>GTE 2.0/5</v>
      </c>
      <c r="B680" t="str">
        <f ca="1">'Reconciliation report'!C675</f>
        <v xml:space="preserve">
No answer required
Companies House number (if applicable)
</v>
      </c>
      <c r="C680" s="387" t="str">
        <f ca="1">'Reconciliation report'!D675</f>
        <v/>
      </c>
      <c r="D680" s="387" t="str">
        <f t="shared" ca="1" si="10"/>
        <v/>
      </c>
    </row>
    <row r="681" spans="1:4" ht="77.5" hidden="1">
      <c r="A681" s="1" t="str">
        <f ca="1">HYPERLINK("#" &amp; 'Reconciliation report'!I676,'Reconciliation report'!F676)</f>
        <v>GTE 3.0/5</v>
      </c>
      <c r="B681" t="str">
        <f ca="1">'Reconciliation report'!C676</f>
        <v xml:space="preserve">
No answer required
Charity number (if applicable)
</v>
      </c>
      <c r="C681" s="387" t="str">
        <f ca="1">'Reconciliation report'!D676</f>
        <v/>
      </c>
      <c r="D681" s="387" t="str">
        <f t="shared" ca="1" si="10"/>
        <v/>
      </c>
    </row>
    <row r="682" spans="1:4" ht="77.5" hidden="1">
      <c r="A682" s="1" t="str">
        <f ca="1">HYPERLINK("#" &amp; 'Reconciliation report'!I677,'Reconciliation report'!F677)</f>
        <v>GTE 4.0/5</v>
      </c>
      <c r="B682" t="str">
        <f ca="1">'Reconciliation report'!C677</f>
        <v xml:space="preserve">
No answer required
Trading name
</v>
      </c>
      <c r="C682" s="387" t="str">
        <f ca="1">'Reconciliation report'!D677</f>
        <v/>
      </c>
      <c r="D682" s="387" t="str">
        <f t="shared" ca="1" si="10"/>
        <v/>
      </c>
    </row>
    <row r="683" spans="1:4" ht="77.5" hidden="1">
      <c r="A683" s="1" t="str">
        <f ca="1">HYPERLINK("#" &amp; 'Reconciliation report'!I678,'Reconciliation report'!F678)</f>
        <v>GTE 5.0/5</v>
      </c>
      <c r="B683" t="str">
        <f ca="1">'Reconciliation report'!C678</f>
        <v xml:space="preserve">
No answer required
Address line 1
</v>
      </c>
      <c r="C683" s="387" t="str">
        <f ca="1">'Reconciliation report'!D678</f>
        <v/>
      </c>
      <c r="D683" s="387" t="str">
        <f t="shared" ca="1" si="10"/>
        <v/>
      </c>
    </row>
    <row r="684" spans="1:4" ht="77.5" hidden="1">
      <c r="A684" s="1" t="str">
        <f ca="1">HYPERLINK("#" &amp; 'Reconciliation report'!I679,'Reconciliation report'!F679)</f>
        <v>GTE 6.0/5</v>
      </c>
      <c r="B684" t="str">
        <f ca="1">'Reconciliation report'!C679</f>
        <v xml:space="preserve">
No answer required
Address line 2 (optional)
</v>
      </c>
      <c r="C684" s="387" t="str">
        <f ca="1">'Reconciliation report'!D679</f>
        <v/>
      </c>
      <c r="D684" s="387" t="str">
        <f t="shared" ca="1" si="10"/>
        <v/>
      </c>
    </row>
    <row r="685" spans="1:4" ht="77.5" hidden="1">
      <c r="A685" s="1" t="str">
        <f ca="1">HYPERLINK("#" &amp; 'Reconciliation report'!I680,'Reconciliation report'!F680)</f>
        <v>GTE 7.0/5</v>
      </c>
      <c r="B685" t="str">
        <f ca="1">'Reconciliation report'!C680</f>
        <v xml:space="preserve">
No answer required
Address line 3 (optional)
</v>
      </c>
      <c r="C685" s="387" t="str">
        <f ca="1">'Reconciliation report'!D680</f>
        <v/>
      </c>
      <c r="D685" s="387" t="str">
        <f t="shared" ca="1" si="10"/>
        <v/>
      </c>
    </row>
    <row r="686" spans="1:4" ht="77.5" hidden="1">
      <c r="A686" s="1" t="str">
        <f ca="1">HYPERLINK("#" &amp; 'Reconciliation report'!I681,'Reconciliation report'!F681)</f>
        <v>GTE 8.0/5</v>
      </c>
      <c r="B686" t="str">
        <f ca="1">'Reconciliation report'!C681</f>
        <v xml:space="preserve">
No answer required
Post town or city
</v>
      </c>
      <c r="C686" s="387" t="str">
        <f ca="1">'Reconciliation report'!D681</f>
        <v/>
      </c>
      <c r="D686" s="387" t="str">
        <f t="shared" ca="1" si="10"/>
        <v/>
      </c>
    </row>
    <row r="687" spans="1:4" ht="77.5" hidden="1">
      <c r="A687" s="1" t="str">
        <f ca="1">HYPERLINK("#" &amp; 'Reconciliation report'!I682,'Reconciliation report'!F682)</f>
        <v>GTE 9.0/5</v>
      </c>
      <c r="B687" t="str">
        <f ca="1">'Reconciliation report'!C682</f>
        <v xml:space="preserve">
No answer required
Country
</v>
      </c>
      <c r="C687" s="387" t="str">
        <f ca="1">'Reconciliation report'!D682</f>
        <v/>
      </c>
      <c r="D687" s="387" t="str">
        <f t="shared" ca="1" si="10"/>
        <v/>
      </c>
    </row>
    <row r="688" spans="1:4" ht="77.5" hidden="1">
      <c r="A688" s="1" t="str">
        <f ca="1">HYPERLINK("#" &amp; 'Reconciliation report'!I683,'Reconciliation report'!F683)</f>
        <v>GTE 10.0/5</v>
      </c>
      <c r="B688" t="str">
        <f ca="1">'Reconciliation report'!C683</f>
        <v xml:space="preserve">
No answer required
Postcode
</v>
      </c>
      <c r="C688" s="387" t="str">
        <f ca="1">'Reconciliation report'!D683</f>
        <v/>
      </c>
      <c r="D688" s="387" t="str">
        <f t="shared" ca="1" si="10"/>
        <v/>
      </c>
    </row>
    <row r="689" spans="1:4" ht="77.5" hidden="1">
      <c r="A689" s="1" t="str">
        <f ca="1">HYPERLINK("#" &amp; 'Reconciliation report'!I684,'Reconciliation report'!F684)</f>
        <v>GTE 11.0/5</v>
      </c>
      <c r="B689" t="str">
        <f ca="1">'Reconciliation report'!C684</f>
        <v xml:space="preserve">
No answer required
Is the guarantor an associated company?
</v>
      </c>
      <c r="C689" s="387" t="str">
        <f ca="1">'Reconciliation report'!D684</f>
        <v/>
      </c>
      <c r="D689" s="387" t="str">
        <f t="shared" ca="1" si="10"/>
        <v/>
      </c>
    </row>
    <row r="690" spans="1:4" ht="77.5" hidden="1">
      <c r="A690" s="1" t="str">
        <f ca="1">HYPERLINK("#" &amp; 'Reconciliation report'!I685,'Reconciliation report'!F685)</f>
        <v>GTE 12.0/5</v>
      </c>
      <c r="B690" t="str">
        <f ca="1">'Reconciliation report'!C685</f>
        <v xml:space="preserve">
No answer required
What is type of guarantee?
</v>
      </c>
      <c r="C690" s="387" t="str">
        <f ca="1">'Reconciliation report'!D685</f>
        <v/>
      </c>
      <c r="D690" s="387" t="str">
        <f t="shared" ca="1" si="10"/>
        <v/>
      </c>
    </row>
    <row r="691" spans="1:4" ht="77.5" hidden="1">
      <c r="A691" s="1" t="str">
        <f ca="1">HYPERLINK("#" &amp; 'Reconciliation report'!I686,'Reconciliation report'!F686)</f>
        <v>GTE 13.0/5</v>
      </c>
      <c r="B691" t="str">
        <f ca="1">'Reconciliation report'!C686</f>
        <v xml:space="preserve">
No answer required
Describe the other type of guarantee.
</v>
      </c>
      <c r="C691" s="387" t="str">
        <f ca="1">'Reconciliation report'!D686</f>
        <v/>
      </c>
      <c r="D691" s="387" t="str">
        <f t="shared" ca="1" si="10"/>
        <v/>
      </c>
    </row>
    <row r="692" spans="1:4" ht="77.5" hidden="1">
      <c r="A692" s="1" t="str">
        <f ca="1">HYPERLINK("#" &amp; 'Reconciliation report'!I687,'Reconciliation report'!F687)</f>
        <v>GTE 14.0/5</v>
      </c>
      <c r="B692" t="str">
        <f ca="1">'Reconciliation report'!C687</f>
        <v xml:space="preserve">
No answer required
Type of maturity
</v>
      </c>
      <c r="C692" s="387" t="str">
        <f ca="1">'Reconciliation report'!D687</f>
        <v/>
      </c>
      <c r="D692" s="387" t="str">
        <f t="shared" ca="1" si="10"/>
        <v/>
      </c>
    </row>
    <row r="693" spans="1:4" ht="77.5" hidden="1">
      <c r="A693" s="1" t="str">
        <f ca="1">HYPERLINK("#" &amp; 'Reconciliation report'!I688,'Reconciliation report'!F688)</f>
        <v>GTE 15.0/5</v>
      </c>
      <c r="B693" t="str">
        <f ca="1">'Reconciliation report'!C688</f>
        <v xml:space="preserve">
No answer required
Date of maturity
</v>
      </c>
      <c r="C693" s="387" t="str">
        <f ca="1">'Reconciliation report'!D688</f>
        <v/>
      </c>
      <c r="D693" s="387" t="str">
        <f t="shared" ca="1" si="10"/>
        <v/>
      </c>
    </row>
    <row r="694" spans="1:4" ht="77.5" hidden="1">
      <c r="A694" s="1" t="str">
        <f ca="1">HYPERLINK("#" &amp; 'Reconciliation report'!I689,'Reconciliation report'!F689)</f>
        <v>GTE 16.0/5</v>
      </c>
      <c r="B694" t="str">
        <f ca="1">'Reconciliation report'!C689</f>
        <v xml:space="preserve">
No answer required
Maturity date narrative
</v>
      </c>
      <c r="C694" s="387" t="str">
        <f ca="1">'Reconciliation report'!D689</f>
        <v/>
      </c>
      <c r="D694" s="387" t="str">
        <f t="shared" ca="1" si="10"/>
        <v/>
      </c>
    </row>
    <row r="695" spans="1:4" ht="77.5" hidden="1">
      <c r="A695" s="1" t="str">
        <f ca="1">HYPERLINK("#" &amp; 'Reconciliation report'!I690,'Reconciliation report'!F690)</f>
        <v>GTE 17.0/5</v>
      </c>
      <c r="B695" t="str">
        <f ca="1">'Reconciliation report'!C690</f>
        <v xml:space="preserve">
No answer required
Value ascribed (£)
</v>
      </c>
      <c r="C695" s="387" t="str">
        <f ca="1">'Reconciliation report'!D690</f>
        <v/>
      </c>
      <c r="D695" s="387" t="str">
        <f t="shared" ca="1" si="10"/>
        <v/>
      </c>
    </row>
    <row r="696" spans="1:4" ht="77.5" hidden="1">
      <c r="A696" s="1" t="str">
        <f ca="1">HYPERLINK("#" &amp; 'Reconciliation report'!I691,'Reconciliation report'!F691)</f>
        <v>GTE 18.0/5</v>
      </c>
      <c r="B696" t="str">
        <f ca="1">'Reconciliation report'!C691</f>
        <v xml:space="preserve">
No answer required
Date of valuation
</v>
      </c>
      <c r="C696" s="387" t="str">
        <f ca="1">'Reconciliation report'!D691</f>
        <v/>
      </c>
      <c r="D696" s="387" t="str">
        <f t="shared" ca="1" si="10"/>
        <v/>
      </c>
    </row>
    <row r="697" spans="1:4" ht="77.5" hidden="1">
      <c r="A697" s="1" t="str">
        <f ca="1">HYPERLINK("#" &amp; 'Reconciliation report'!I692,'Reconciliation report'!F692)</f>
        <v>GTE 19.0/5</v>
      </c>
      <c r="B697" t="str">
        <f ca="1">'Reconciliation report'!C692</f>
        <v xml:space="preserve">
No answer required
Value cap
</v>
      </c>
      <c r="C697" s="387" t="str">
        <f ca="1">'Reconciliation report'!D692</f>
        <v/>
      </c>
      <c r="D697" s="387" t="str">
        <f t="shared" ca="1" si="10"/>
        <v/>
      </c>
    </row>
    <row r="698" spans="1:4" ht="77.5" hidden="1">
      <c r="A698" s="1" t="str">
        <f ca="1">HYPERLINK("#" &amp; 'Reconciliation report'!I693,'Reconciliation report'!F693)</f>
        <v>GTE 20.0/5</v>
      </c>
      <c r="B698" t="str">
        <f ca="1">'Reconciliation report'!C693</f>
        <v xml:space="preserve">
No answer required
Narrative regarding value cap
</v>
      </c>
      <c r="C698" s="387" t="str">
        <f ca="1">'Reconciliation report'!D693</f>
        <v/>
      </c>
      <c r="D698" s="387" t="str">
        <f t="shared" ca="1" si="10"/>
        <v/>
      </c>
    </row>
    <row r="699" spans="1:4" ht="77.5" hidden="1">
      <c r="A699" s="1" t="str">
        <f ca="1">HYPERLINK("#" &amp; 'Reconciliation report'!I694,'Reconciliation report'!F694)</f>
        <v>GTE 21.0/5</v>
      </c>
      <c r="B699" t="str">
        <f ca="1">'Reconciliation report'!C694</f>
        <v xml:space="preserve">
No answer required
Fixed cap amount (£)
</v>
      </c>
      <c r="C699" s="387" t="str">
        <f ca="1">'Reconciliation report'!D694</f>
        <v/>
      </c>
      <c r="D699" s="387" t="str">
        <f t="shared" ca="1" si="10"/>
        <v/>
      </c>
    </row>
    <row r="700" spans="1:4" ht="46.5" hidden="1">
      <c r="A700" s="1" t="str">
        <f ca="1">HYPERLINK("#" &amp; 'Reconciliation report'!I695,'Reconciliation report'!F695)</f>
        <v>GTE 22.0/5</v>
      </c>
      <c r="B700" t="str">
        <f ca="1">'Reconciliation report'!C695</f>
        <v xml:space="preserve">
Participating employer insolvency
</v>
      </c>
      <c r="C700" s="387" t="str">
        <f ca="1">'Reconciliation report'!D695</f>
        <v/>
      </c>
      <c r="D700" s="387" t="str">
        <f t="shared" ca="1" si="10"/>
        <v/>
      </c>
    </row>
    <row r="701" spans="1:4" ht="46.5" hidden="1">
      <c r="A701" s="1" t="str">
        <f ca="1">HYPERLINK("#" &amp; 'Reconciliation report'!I696,'Reconciliation report'!F696)</f>
        <v>GTE 23.0/5</v>
      </c>
      <c r="B701" t="str">
        <f ca="1">'Reconciliation report'!C696</f>
        <v xml:space="preserve">
Insolvency of associated company
</v>
      </c>
      <c r="C701" s="387" t="str">
        <f ca="1">'Reconciliation report'!D696</f>
        <v/>
      </c>
      <c r="D701" s="387" t="str">
        <f t="shared" ca="1" si="10"/>
        <v/>
      </c>
    </row>
    <row r="702" spans="1:4" ht="46.5" hidden="1">
      <c r="A702" s="1" t="str">
        <f ca="1">HYPERLINK("#" &amp; 'Reconciliation report'!I697,'Reconciliation report'!F697)</f>
        <v>GTE 24.0/5</v>
      </c>
      <c r="B702" t="str">
        <f ca="1">'Reconciliation report'!C697</f>
        <v xml:space="preserve">
Non payment of contributions
</v>
      </c>
      <c r="C702" s="387" t="str">
        <f ca="1">'Reconciliation report'!D697</f>
        <v/>
      </c>
      <c r="D702" s="387" t="str">
        <f t="shared" ca="1" si="10"/>
        <v/>
      </c>
    </row>
    <row r="703" spans="1:4" ht="46.5" hidden="1">
      <c r="A703" s="1" t="str">
        <f ca="1">HYPERLINK("#" &amp; 'Reconciliation report'!I698,'Reconciliation report'!F698)</f>
        <v>GTE 25.0/5</v>
      </c>
      <c r="B703" t="str">
        <f ca="1">'Reconciliation report'!C698</f>
        <v xml:space="preserve">
Crystallisation of investment risk
</v>
      </c>
      <c r="C703" s="387" t="str">
        <f ca="1">'Reconciliation report'!D698</f>
        <v/>
      </c>
      <c r="D703" s="387" t="str">
        <f t="shared" ca="1" si="10"/>
        <v/>
      </c>
    </row>
    <row r="704" spans="1:4" ht="46.5" hidden="1">
      <c r="A704" s="1" t="str">
        <f ca="1">HYPERLINK("#" &amp; 'Reconciliation report'!I699,'Reconciliation report'!F699)</f>
        <v>GTE 26.0/5</v>
      </c>
      <c r="B704" t="str">
        <f ca="1">'Reconciliation report'!C699</f>
        <v xml:space="preserve">
Other
</v>
      </c>
      <c r="C704" s="387" t="str">
        <f ca="1">'Reconciliation report'!D699</f>
        <v/>
      </c>
      <c r="D704" s="387" t="str">
        <f t="shared" ca="1" si="10"/>
        <v/>
      </c>
    </row>
    <row r="705" spans="1:4" ht="46.5" hidden="1">
      <c r="A705" s="1" t="str">
        <f ca="1">HYPERLINK("#" &amp; 'Reconciliation report'!I700,'Reconciliation report'!F700)</f>
        <v>GTE 27.0/5</v>
      </c>
      <c r="B705" t="str">
        <f ca="1">'Reconciliation report'!C700</f>
        <v xml:space="preserve">
Describe the other triggers for access to value
</v>
      </c>
      <c r="C705" s="387" t="str">
        <f ca="1">'Reconciliation report'!D700</f>
        <v/>
      </c>
      <c r="D705" s="387" t="str">
        <f t="shared" ca="1" si="10"/>
        <v/>
      </c>
    </row>
    <row r="706" spans="1:4" ht="46.5" hidden="1">
      <c r="A706" s="1" t="str">
        <f ca="1">HYPERLINK("#" &amp; 'Reconciliation report'!I701,'Reconciliation report'!F701)</f>
        <v>GTE 28.0/5</v>
      </c>
      <c r="B706" t="str">
        <f ca="1">'Reconciliation report'!C701</f>
        <v xml:space="preserve">
Triggers for termination
</v>
      </c>
      <c r="C706" s="387" t="str">
        <f ca="1">'Reconciliation report'!D701</f>
        <v/>
      </c>
      <c r="D706" s="387" t="str">
        <f t="shared" ca="1" si="10"/>
        <v/>
      </c>
    </row>
    <row r="707" spans="1:4" ht="77.5" hidden="1">
      <c r="A707" s="1" t="str">
        <f ca="1">HYPERLINK("#" &amp; 'Reconciliation report'!I702,'Reconciliation report'!F702)</f>
        <v>SEC 1.0/1</v>
      </c>
      <c r="B707" t="str">
        <f ca="1">'Reconciliation report'!C702</f>
        <v xml:space="preserve">
No answer required
What is the type of underlying asset that the scheme has security over?
</v>
      </c>
      <c r="C707" s="387" t="str">
        <f ca="1">'Reconciliation report'!D702</f>
        <v/>
      </c>
      <c r="D707" s="387" t="str">
        <f t="shared" ca="1" si="10"/>
        <v/>
      </c>
    </row>
    <row r="708" spans="1:4" ht="77.5" hidden="1">
      <c r="A708" s="1" t="str">
        <f ca="1">HYPERLINK("#" &amp; 'Reconciliation report'!I703,'Reconciliation report'!F703)</f>
        <v>SEC 2.0/1</v>
      </c>
      <c r="B708" t="str">
        <f ca="1">'Reconciliation report'!C703</f>
        <v xml:space="preserve">
No answer required
Provide specific details of the underlying asset
</v>
      </c>
      <c r="C708" s="387" t="str">
        <f ca="1">'Reconciliation report'!D703</f>
        <v/>
      </c>
      <c r="D708" s="387" t="str">
        <f t="shared" ca="1" si="10"/>
        <v/>
      </c>
    </row>
    <row r="709" spans="1:4" ht="77.5" hidden="1">
      <c r="A709" s="1" t="str">
        <f ca="1">HYPERLINK("#" &amp; 'Reconciliation report'!I704,'Reconciliation report'!F704)</f>
        <v>SEC 3.0/1</v>
      </c>
      <c r="B709" t="str">
        <f ca="1">'Reconciliation report'!C704</f>
        <v xml:space="preserve">
No answer required
Type of maturity
</v>
      </c>
      <c r="C709" s="387" t="str">
        <f ca="1">'Reconciliation report'!D704</f>
        <v/>
      </c>
      <c r="D709" s="387" t="str">
        <f t="shared" ca="1" si="10"/>
        <v/>
      </c>
    </row>
    <row r="710" spans="1:4" ht="77.5" hidden="1">
      <c r="A710" s="1" t="str">
        <f ca="1">HYPERLINK("#" &amp; 'Reconciliation report'!I705,'Reconciliation report'!F705)</f>
        <v>SEC 4.0/1</v>
      </c>
      <c r="B710" t="str">
        <f ca="1">'Reconciliation report'!C705</f>
        <v xml:space="preserve">
No answer required
Date of maturity
</v>
      </c>
      <c r="C710" s="387" t="str">
        <f ca="1">'Reconciliation report'!D705</f>
        <v/>
      </c>
      <c r="D710" s="387" t="str">
        <f t="shared" ca="1" si="10"/>
        <v/>
      </c>
    </row>
    <row r="711" spans="1:4" ht="77.5" hidden="1">
      <c r="A711" s="1" t="str">
        <f ca="1">HYPERLINK("#" &amp; 'Reconciliation report'!I706,'Reconciliation report'!F706)</f>
        <v>SEC 5.0/1</v>
      </c>
      <c r="B711" t="str">
        <f ca="1">'Reconciliation report'!C706</f>
        <v xml:space="preserve">
No answer required
Maturity date narrative
</v>
      </c>
      <c r="C711" s="387" t="str">
        <f ca="1">'Reconciliation report'!D706</f>
        <v/>
      </c>
      <c r="D711" s="387" t="str">
        <f t="shared" ref="D711:D774" ca="1" si="11">IFERROR(IF(LEN(TRIM(CLEAN(C711))) &gt; 0, "Refresh the error report", ""), "")</f>
        <v/>
      </c>
    </row>
    <row r="712" spans="1:4" ht="77.5" hidden="1">
      <c r="A712" s="1" t="str">
        <f ca="1">HYPERLINK("#" &amp; 'Reconciliation report'!I707,'Reconciliation report'!F707)</f>
        <v>SEC 6.0/1</v>
      </c>
      <c r="B712" t="str">
        <f ca="1">'Reconciliation report'!C707</f>
        <v xml:space="preserve">
No answer required
Value ascribed (£)
</v>
      </c>
      <c r="C712" s="387" t="str">
        <f ca="1">'Reconciliation report'!D707</f>
        <v/>
      </c>
      <c r="D712" s="387" t="str">
        <f t="shared" ca="1" si="11"/>
        <v/>
      </c>
    </row>
    <row r="713" spans="1:4" ht="77.5" hidden="1">
      <c r="A713" s="1" t="str">
        <f ca="1">HYPERLINK("#" &amp; 'Reconciliation report'!I708,'Reconciliation report'!F708)</f>
        <v>SEC 7.0/1</v>
      </c>
      <c r="B713" t="str">
        <f ca="1">'Reconciliation report'!C708</f>
        <v xml:space="preserve">
No answer required
Date of valuation
</v>
      </c>
      <c r="C713" s="387" t="str">
        <f ca="1">'Reconciliation report'!D708</f>
        <v/>
      </c>
      <c r="D713" s="387" t="str">
        <f t="shared" ca="1" si="11"/>
        <v/>
      </c>
    </row>
    <row r="714" spans="1:4" ht="77.5" hidden="1">
      <c r="A714" s="1" t="str">
        <f ca="1">HYPERLINK("#" &amp; 'Reconciliation report'!I709,'Reconciliation report'!F709)</f>
        <v>SEC 8.0/1</v>
      </c>
      <c r="B714" t="str">
        <f ca="1">'Reconciliation report'!C709</f>
        <v xml:space="preserve">
No answer required
Value cap
</v>
      </c>
      <c r="C714" s="387" t="str">
        <f ca="1">'Reconciliation report'!D709</f>
        <v/>
      </c>
      <c r="D714" s="387" t="str">
        <f t="shared" ca="1" si="11"/>
        <v/>
      </c>
    </row>
    <row r="715" spans="1:4" ht="77.5" hidden="1">
      <c r="A715" s="1" t="str">
        <f ca="1">HYPERLINK("#" &amp; 'Reconciliation report'!I710,'Reconciliation report'!F710)</f>
        <v>SEC 9.0/1</v>
      </c>
      <c r="B715" t="str">
        <f ca="1">'Reconciliation report'!C710</f>
        <v xml:space="preserve">
No answer required
Narrative regarding value cap
</v>
      </c>
      <c r="C715" s="387" t="str">
        <f ca="1">'Reconciliation report'!D710</f>
        <v/>
      </c>
      <c r="D715" s="387" t="str">
        <f t="shared" ca="1" si="11"/>
        <v/>
      </c>
    </row>
    <row r="716" spans="1:4" ht="77.5" hidden="1">
      <c r="A716" s="1" t="str">
        <f ca="1">HYPERLINK("#" &amp; 'Reconciliation report'!I711,'Reconciliation report'!F711)</f>
        <v>SEC 10.0/1</v>
      </c>
      <c r="B716" t="str">
        <f ca="1">'Reconciliation report'!C711</f>
        <v xml:space="preserve">
No answer required
Fixed cap amount (£)
</v>
      </c>
      <c r="C716" s="387" t="str">
        <f ca="1">'Reconciliation report'!D711</f>
        <v/>
      </c>
      <c r="D716" s="387" t="str">
        <f t="shared" ca="1" si="11"/>
        <v/>
      </c>
    </row>
    <row r="717" spans="1:4" ht="77.5" hidden="1">
      <c r="A717" s="1" t="str">
        <f ca="1">HYPERLINK("#" &amp; 'Reconciliation report'!I712,'Reconciliation report'!F712)</f>
        <v>SEC 11.0/1</v>
      </c>
      <c r="B717" t="str">
        <f ca="1">'Reconciliation report'!C712</f>
        <v xml:space="preserve">
No answer required
Participating employer insolvency
</v>
      </c>
      <c r="C717" s="387" t="str">
        <f ca="1">'Reconciliation report'!D712</f>
        <v/>
      </c>
      <c r="D717" s="387" t="str">
        <f t="shared" ca="1" si="11"/>
        <v/>
      </c>
    </row>
    <row r="718" spans="1:4" ht="77.5" hidden="1">
      <c r="A718" s="1" t="str">
        <f ca="1">HYPERLINK("#" &amp; 'Reconciliation report'!I713,'Reconciliation report'!F713)</f>
        <v>SEC 12.0/1</v>
      </c>
      <c r="B718" t="str">
        <f ca="1">'Reconciliation report'!C713</f>
        <v xml:space="preserve">
No answer required
Insolvency of associated company
</v>
      </c>
      <c r="C718" s="387" t="str">
        <f ca="1">'Reconciliation report'!D713</f>
        <v/>
      </c>
      <c r="D718" s="387" t="str">
        <f t="shared" ca="1" si="11"/>
        <v/>
      </c>
    </row>
    <row r="719" spans="1:4" ht="77.5" hidden="1">
      <c r="A719" s="1" t="str">
        <f ca="1">HYPERLINK("#" &amp; 'Reconciliation report'!I714,'Reconciliation report'!F714)</f>
        <v>SEC 13.0/1</v>
      </c>
      <c r="B719" t="str">
        <f ca="1">'Reconciliation report'!C714</f>
        <v xml:space="preserve">
No answer required
Non payment of contributions
</v>
      </c>
      <c r="C719" s="387" t="str">
        <f ca="1">'Reconciliation report'!D714</f>
        <v/>
      </c>
      <c r="D719" s="387" t="str">
        <f t="shared" ca="1" si="11"/>
        <v/>
      </c>
    </row>
    <row r="720" spans="1:4" ht="77.5" hidden="1">
      <c r="A720" s="1" t="str">
        <f ca="1">HYPERLINK("#" &amp; 'Reconciliation report'!I715,'Reconciliation report'!F715)</f>
        <v>SEC 14.0/1</v>
      </c>
      <c r="B720" t="str">
        <f ca="1">'Reconciliation report'!C715</f>
        <v xml:space="preserve">
No answer required
Crystallisation of investment risk
</v>
      </c>
      <c r="C720" s="387" t="str">
        <f ca="1">'Reconciliation report'!D715</f>
        <v/>
      </c>
      <c r="D720" s="387" t="str">
        <f t="shared" ca="1" si="11"/>
        <v/>
      </c>
    </row>
    <row r="721" spans="1:4" ht="77.5" hidden="1">
      <c r="A721" s="1" t="str">
        <f ca="1">HYPERLINK("#" &amp; 'Reconciliation report'!I716,'Reconciliation report'!F716)</f>
        <v>SEC 15.0/1</v>
      </c>
      <c r="B721" t="str">
        <f ca="1">'Reconciliation report'!C716</f>
        <v xml:space="preserve">
No answer required
Other
</v>
      </c>
      <c r="C721" s="387" t="str">
        <f ca="1">'Reconciliation report'!D716</f>
        <v/>
      </c>
      <c r="D721" s="387" t="str">
        <f t="shared" ca="1" si="11"/>
        <v/>
      </c>
    </row>
    <row r="722" spans="1:4" ht="77.5" hidden="1">
      <c r="A722" s="1" t="str">
        <f ca="1">HYPERLINK("#" &amp; 'Reconciliation report'!I717,'Reconciliation report'!F717)</f>
        <v>SEC 16.0/1</v>
      </c>
      <c r="B722" t="str">
        <f ca="1">'Reconciliation report'!C717</f>
        <v xml:space="preserve">
No answer required
Describe the other triggers for access to value
</v>
      </c>
      <c r="C722" s="387" t="str">
        <f ca="1">'Reconciliation report'!D717</f>
        <v/>
      </c>
      <c r="D722" s="387" t="str">
        <f t="shared" ca="1" si="11"/>
        <v/>
      </c>
    </row>
    <row r="723" spans="1:4" ht="77.5" hidden="1">
      <c r="A723" s="1" t="str">
        <f ca="1">HYPERLINK("#" &amp; 'Reconciliation report'!I718,'Reconciliation report'!F718)</f>
        <v>SEC 17.0/1</v>
      </c>
      <c r="B723" t="str">
        <f ca="1">'Reconciliation report'!C718</f>
        <v xml:space="preserve">
No answer required
Triggers for termination
</v>
      </c>
      <c r="C723" s="387" t="str">
        <f ca="1">'Reconciliation report'!D718</f>
        <v/>
      </c>
      <c r="D723" s="387" t="str">
        <f t="shared" ca="1" si="11"/>
        <v/>
      </c>
    </row>
    <row r="724" spans="1:4" ht="77.5" hidden="1">
      <c r="A724" s="1" t="str">
        <f ca="1">HYPERLINK("#" &amp; 'Reconciliation report'!I719,'Reconciliation report'!F719)</f>
        <v>SEC 1.0/2</v>
      </c>
      <c r="B724" t="str">
        <f ca="1">'Reconciliation report'!C719</f>
        <v xml:space="preserve">
No answer required
What is the type of underlying asset that the scheme has security over?
</v>
      </c>
      <c r="C724" s="387" t="str">
        <f ca="1">'Reconciliation report'!D719</f>
        <v/>
      </c>
      <c r="D724" s="387" t="str">
        <f t="shared" ca="1" si="11"/>
        <v/>
      </c>
    </row>
    <row r="725" spans="1:4" ht="77.5" hidden="1">
      <c r="A725" s="1" t="str">
        <f ca="1">HYPERLINK("#" &amp; 'Reconciliation report'!I720,'Reconciliation report'!F720)</f>
        <v>SEC 2.0/2</v>
      </c>
      <c r="B725" t="str">
        <f ca="1">'Reconciliation report'!C720</f>
        <v xml:space="preserve">
No answer required
Provide specific details of the underlying asset
</v>
      </c>
      <c r="C725" s="387" t="str">
        <f ca="1">'Reconciliation report'!D720</f>
        <v/>
      </c>
      <c r="D725" s="387" t="str">
        <f t="shared" ca="1" si="11"/>
        <v/>
      </c>
    </row>
    <row r="726" spans="1:4" ht="77.5" hidden="1">
      <c r="A726" s="1" t="str">
        <f ca="1">HYPERLINK("#" &amp; 'Reconciliation report'!I721,'Reconciliation report'!F721)</f>
        <v>SEC 3.0/2</v>
      </c>
      <c r="B726" t="str">
        <f ca="1">'Reconciliation report'!C721</f>
        <v xml:space="preserve">
No answer required
Type of maturity
</v>
      </c>
      <c r="C726" s="387" t="str">
        <f ca="1">'Reconciliation report'!D721</f>
        <v/>
      </c>
      <c r="D726" s="387" t="str">
        <f t="shared" ca="1" si="11"/>
        <v/>
      </c>
    </row>
    <row r="727" spans="1:4" ht="77.5" hidden="1">
      <c r="A727" s="1" t="str">
        <f ca="1">HYPERLINK("#" &amp; 'Reconciliation report'!I722,'Reconciliation report'!F722)</f>
        <v>SEC 4.0/2</v>
      </c>
      <c r="B727" t="str">
        <f ca="1">'Reconciliation report'!C722</f>
        <v xml:space="preserve">
No answer required
Date of maturity
</v>
      </c>
      <c r="C727" s="387" t="str">
        <f ca="1">'Reconciliation report'!D722</f>
        <v/>
      </c>
      <c r="D727" s="387" t="str">
        <f t="shared" ca="1" si="11"/>
        <v/>
      </c>
    </row>
    <row r="728" spans="1:4" ht="77.5" hidden="1">
      <c r="A728" s="1" t="str">
        <f ca="1">HYPERLINK("#" &amp; 'Reconciliation report'!I723,'Reconciliation report'!F723)</f>
        <v>SEC 5.0/2</v>
      </c>
      <c r="B728" t="str">
        <f ca="1">'Reconciliation report'!C723</f>
        <v xml:space="preserve">
No answer required
Maturity date narrative
</v>
      </c>
      <c r="C728" s="387" t="str">
        <f ca="1">'Reconciliation report'!D723</f>
        <v/>
      </c>
      <c r="D728" s="387" t="str">
        <f t="shared" ca="1" si="11"/>
        <v/>
      </c>
    </row>
    <row r="729" spans="1:4" ht="77.5" hidden="1">
      <c r="A729" s="1" t="str">
        <f ca="1">HYPERLINK("#" &amp; 'Reconciliation report'!I724,'Reconciliation report'!F724)</f>
        <v>SEC 6.0/2</v>
      </c>
      <c r="B729" t="str">
        <f ca="1">'Reconciliation report'!C724</f>
        <v xml:space="preserve">
No answer required
Value ascribed (£)
</v>
      </c>
      <c r="C729" s="387" t="str">
        <f ca="1">'Reconciliation report'!D724</f>
        <v/>
      </c>
      <c r="D729" s="387" t="str">
        <f t="shared" ca="1" si="11"/>
        <v/>
      </c>
    </row>
    <row r="730" spans="1:4" ht="77.5" hidden="1">
      <c r="A730" s="1" t="str">
        <f ca="1">HYPERLINK("#" &amp; 'Reconciliation report'!I725,'Reconciliation report'!F725)</f>
        <v>SEC 7.0/2</v>
      </c>
      <c r="B730" t="str">
        <f ca="1">'Reconciliation report'!C725</f>
        <v xml:space="preserve">
No answer required
Date of valuation
</v>
      </c>
      <c r="C730" s="387" t="str">
        <f ca="1">'Reconciliation report'!D725</f>
        <v/>
      </c>
      <c r="D730" s="387" t="str">
        <f t="shared" ca="1" si="11"/>
        <v/>
      </c>
    </row>
    <row r="731" spans="1:4" ht="77.5" hidden="1">
      <c r="A731" s="1" t="str">
        <f ca="1">HYPERLINK("#" &amp; 'Reconciliation report'!I726,'Reconciliation report'!F726)</f>
        <v>SEC 8.0/2</v>
      </c>
      <c r="B731" t="str">
        <f ca="1">'Reconciliation report'!C726</f>
        <v xml:space="preserve">
No answer required
Value cap
</v>
      </c>
      <c r="C731" s="387" t="str">
        <f ca="1">'Reconciliation report'!D726</f>
        <v/>
      </c>
      <c r="D731" s="387" t="str">
        <f t="shared" ca="1" si="11"/>
        <v/>
      </c>
    </row>
    <row r="732" spans="1:4" ht="77.5" hidden="1">
      <c r="A732" s="1" t="str">
        <f ca="1">HYPERLINK("#" &amp; 'Reconciliation report'!I727,'Reconciliation report'!F727)</f>
        <v>SEC 9.0/2</v>
      </c>
      <c r="B732" t="str">
        <f ca="1">'Reconciliation report'!C727</f>
        <v xml:space="preserve">
No answer required
Narrative regarding value cap
</v>
      </c>
      <c r="C732" s="387" t="str">
        <f ca="1">'Reconciliation report'!D727</f>
        <v/>
      </c>
      <c r="D732" s="387" t="str">
        <f t="shared" ca="1" si="11"/>
        <v/>
      </c>
    </row>
    <row r="733" spans="1:4" ht="77.5" hidden="1">
      <c r="A733" s="1" t="str">
        <f ca="1">HYPERLINK("#" &amp; 'Reconciliation report'!I728,'Reconciliation report'!F728)</f>
        <v>SEC 10.0/2</v>
      </c>
      <c r="B733" t="str">
        <f ca="1">'Reconciliation report'!C728</f>
        <v xml:space="preserve">
No answer required
Fixed cap amount (£)
</v>
      </c>
      <c r="C733" s="387" t="str">
        <f ca="1">'Reconciliation report'!D728</f>
        <v/>
      </c>
      <c r="D733" s="387" t="str">
        <f t="shared" ca="1" si="11"/>
        <v/>
      </c>
    </row>
    <row r="734" spans="1:4" ht="77.5" hidden="1">
      <c r="A734" s="1" t="str">
        <f ca="1">HYPERLINK("#" &amp; 'Reconciliation report'!I729,'Reconciliation report'!F729)</f>
        <v>SEC 11.0/2</v>
      </c>
      <c r="B734" t="str">
        <f ca="1">'Reconciliation report'!C729</f>
        <v xml:space="preserve">
No answer required
Participating employer insolvency
</v>
      </c>
      <c r="C734" s="387" t="str">
        <f ca="1">'Reconciliation report'!D729</f>
        <v/>
      </c>
      <c r="D734" s="387" t="str">
        <f t="shared" ca="1" si="11"/>
        <v/>
      </c>
    </row>
    <row r="735" spans="1:4" ht="77.5" hidden="1">
      <c r="A735" s="1" t="str">
        <f ca="1">HYPERLINK("#" &amp; 'Reconciliation report'!I730,'Reconciliation report'!F730)</f>
        <v>SEC 12.0/2</v>
      </c>
      <c r="B735" t="str">
        <f ca="1">'Reconciliation report'!C730</f>
        <v xml:space="preserve">
No answer required
Insolvency of associated company
</v>
      </c>
      <c r="C735" s="387" t="str">
        <f ca="1">'Reconciliation report'!D730</f>
        <v/>
      </c>
      <c r="D735" s="387" t="str">
        <f t="shared" ca="1" si="11"/>
        <v/>
      </c>
    </row>
    <row r="736" spans="1:4" ht="77.5" hidden="1">
      <c r="A736" s="1" t="str">
        <f ca="1">HYPERLINK("#" &amp; 'Reconciliation report'!I731,'Reconciliation report'!F731)</f>
        <v>SEC 13.0/2</v>
      </c>
      <c r="B736" t="str">
        <f ca="1">'Reconciliation report'!C731</f>
        <v xml:space="preserve">
No answer required
Non payment of contributions
</v>
      </c>
      <c r="C736" s="387" t="str">
        <f ca="1">'Reconciliation report'!D731</f>
        <v/>
      </c>
      <c r="D736" s="387" t="str">
        <f t="shared" ca="1" si="11"/>
        <v/>
      </c>
    </row>
    <row r="737" spans="1:4" ht="77.5" hidden="1">
      <c r="A737" s="1" t="str">
        <f ca="1">HYPERLINK("#" &amp; 'Reconciliation report'!I732,'Reconciliation report'!F732)</f>
        <v>SEC 14.0/2</v>
      </c>
      <c r="B737" t="str">
        <f ca="1">'Reconciliation report'!C732</f>
        <v xml:space="preserve">
No answer required
Crystallisation of investment risk
</v>
      </c>
      <c r="C737" s="387" t="str">
        <f ca="1">'Reconciliation report'!D732</f>
        <v/>
      </c>
      <c r="D737" s="387" t="str">
        <f t="shared" ca="1" si="11"/>
        <v/>
      </c>
    </row>
    <row r="738" spans="1:4" ht="77.5" hidden="1">
      <c r="A738" s="1" t="str">
        <f ca="1">HYPERLINK("#" &amp; 'Reconciliation report'!I733,'Reconciliation report'!F733)</f>
        <v>SEC 15.0/2</v>
      </c>
      <c r="B738" t="str">
        <f ca="1">'Reconciliation report'!C733</f>
        <v xml:space="preserve">
No answer required
Other
</v>
      </c>
      <c r="C738" s="387" t="str">
        <f ca="1">'Reconciliation report'!D733</f>
        <v/>
      </c>
      <c r="D738" s="387" t="str">
        <f t="shared" ca="1" si="11"/>
        <v/>
      </c>
    </row>
    <row r="739" spans="1:4" ht="77.5" hidden="1">
      <c r="A739" s="1" t="str">
        <f ca="1">HYPERLINK("#" &amp; 'Reconciliation report'!I734,'Reconciliation report'!F734)</f>
        <v>SEC 16.0/2</v>
      </c>
      <c r="B739" t="str">
        <f ca="1">'Reconciliation report'!C734</f>
        <v xml:space="preserve">
No answer required
Describe the other triggers for access to value
</v>
      </c>
      <c r="C739" s="387" t="str">
        <f ca="1">'Reconciliation report'!D734</f>
        <v/>
      </c>
      <c r="D739" s="387" t="str">
        <f t="shared" ca="1" si="11"/>
        <v/>
      </c>
    </row>
    <row r="740" spans="1:4" ht="77.5" hidden="1">
      <c r="A740" s="1" t="str">
        <f ca="1">HYPERLINK("#" &amp; 'Reconciliation report'!I735,'Reconciliation report'!F735)</f>
        <v>SEC 17.0/2</v>
      </c>
      <c r="B740" t="str">
        <f ca="1">'Reconciliation report'!C735</f>
        <v xml:space="preserve">
No answer required
Triggers for termination
</v>
      </c>
      <c r="C740" s="387" t="str">
        <f ca="1">'Reconciliation report'!D735</f>
        <v/>
      </c>
      <c r="D740" s="387" t="str">
        <f t="shared" ca="1" si="11"/>
        <v/>
      </c>
    </row>
    <row r="741" spans="1:4" ht="77.5" hidden="1">
      <c r="A741" s="1" t="str">
        <f ca="1">HYPERLINK("#" &amp; 'Reconciliation report'!I736,'Reconciliation report'!F736)</f>
        <v>SEC 1.0/3</v>
      </c>
      <c r="B741" t="str">
        <f ca="1">'Reconciliation report'!C736</f>
        <v xml:space="preserve">
No answer required
What is the type of underlying asset that the scheme has security over?
</v>
      </c>
      <c r="C741" s="387" t="str">
        <f ca="1">'Reconciliation report'!D736</f>
        <v/>
      </c>
      <c r="D741" s="387" t="str">
        <f t="shared" ca="1" si="11"/>
        <v/>
      </c>
    </row>
    <row r="742" spans="1:4" ht="77.5" hidden="1">
      <c r="A742" s="1" t="str">
        <f ca="1">HYPERLINK("#" &amp; 'Reconciliation report'!I737,'Reconciliation report'!F737)</f>
        <v>SEC 2.0/3</v>
      </c>
      <c r="B742" t="str">
        <f ca="1">'Reconciliation report'!C737</f>
        <v xml:space="preserve">
No answer required
Provide specific details of the underlying asset
</v>
      </c>
      <c r="C742" s="387" t="str">
        <f ca="1">'Reconciliation report'!D737</f>
        <v/>
      </c>
      <c r="D742" s="387" t="str">
        <f t="shared" ca="1" si="11"/>
        <v/>
      </c>
    </row>
    <row r="743" spans="1:4" ht="77.5" hidden="1">
      <c r="A743" s="1" t="str">
        <f ca="1">HYPERLINK("#" &amp; 'Reconciliation report'!I738,'Reconciliation report'!F738)</f>
        <v>SEC 3.0/3</v>
      </c>
      <c r="B743" t="str">
        <f ca="1">'Reconciliation report'!C738</f>
        <v xml:space="preserve">
No answer required
Type of maturity
</v>
      </c>
      <c r="C743" s="387" t="str">
        <f ca="1">'Reconciliation report'!D738</f>
        <v/>
      </c>
      <c r="D743" s="387" t="str">
        <f t="shared" ca="1" si="11"/>
        <v/>
      </c>
    </row>
    <row r="744" spans="1:4" ht="77.5" hidden="1">
      <c r="A744" s="1" t="str">
        <f ca="1">HYPERLINK("#" &amp; 'Reconciliation report'!I739,'Reconciliation report'!F739)</f>
        <v>SEC 4.0/3</v>
      </c>
      <c r="B744" t="str">
        <f ca="1">'Reconciliation report'!C739</f>
        <v xml:space="preserve">
No answer required
Date of maturity
</v>
      </c>
      <c r="C744" s="387" t="str">
        <f ca="1">'Reconciliation report'!D739</f>
        <v/>
      </c>
      <c r="D744" s="387" t="str">
        <f t="shared" ca="1" si="11"/>
        <v/>
      </c>
    </row>
    <row r="745" spans="1:4" ht="77.5" hidden="1">
      <c r="A745" s="1" t="str">
        <f ca="1">HYPERLINK("#" &amp; 'Reconciliation report'!I740,'Reconciliation report'!F740)</f>
        <v>SEC 5.0/3</v>
      </c>
      <c r="B745" t="str">
        <f ca="1">'Reconciliation report'!C740</f>
        <v xml:space="preserve">
No answer required
Maturity date narrative
</v>
      </c>
      <c r="C745" s="387" t="str">
        <f ca="1">'Reconciliation report'!D740</f>
        <v/>
      </c>
      <c r="D745" s="387" t="str">
        <f t="shared" ca="1" si="11"/>
        <v/>
      </c>
    </row>
    <row r="746" spans="1:4" ht="77.5" hidden="1">
      <c r="A746" s="1" t="str">
        <f ca="1">HYPERLINK("#" &amp; 'Reconciliation report'!I741,'Reconciliation report'!F741)</f>
        <v>SEC 6.0/3</v>
      </c>
      <c r="B746" t="str">
        <f ca="1">'Reconciliation report'!C741</f>
        <v xml:space="preserve">
No answer required
Value ascribed (£)
</v>
      </c>
      <c r="C746" s="387" t="str">
        <f ca="1">'Reconciliation report'!D741</f>
        <v/>
      </c>
      <c r="D746" s="387" t="str">
        <f t="shared" ca="1" si="11"/>
        <v/>
      </c>
    </row>
    <row r="747" spans="1:4" ht="77.5" hidden="1">
      <c r="A747" s="1" t="str">
        <f ca="1">HYPERLINK("#" &amp; 'Reconciliation report'!I742,'Reconciliation report'!F742)</f>
        <v>SEC 7.0/3</v>
      </c>
      <c r="B747" t="str">
        <f ca="1">'Reconciliation report'!C742</f>
        <v xml:space="preserve">
No answer required
Date of valuation
</v>
      </c>
      <c r="C747" s="387" t="str">
        <f ca="1">'Reconciliation report'!D742</f>
        <v/>
      </c>
      <c r="D747" s="387" t="str">
        <f t="shared" ca="1" si="11"/>
        <v/>
      </c>
    </row>
    <row r="748" spans="1:4" ht="77.5" hidden="1">
      <c r="A748" s="1" t="str">
        <f ca="1">HYPERLINK("#" &amp; 'Reconciliation report'!I743,'Reconciliation report'!F743)</f>
        <v>SEC 8.0/3</v>
      </c>
      <c r="B748" t="str">
        <f ca="1">'Reconciliation report'!C743</f>
        <v xml:space="preserve">
No answer required
Value cap
</v>
      </c>
      <c r="C748" s="387" t="str">
        <f ca="1">'Reconciliation report'!D743</f>
        <v/>
      </c>
      <c r="D748" s="387" t="str">
        <f t="shared" ca="1" si="11"/>
        <v/>
      </c>
    </row>
    <row r="749" spans="1:4" ht="77.5" hidden="1">
      <c r="A749" s="1" t="str">
        <f ca="1">HYPERLINK("#" &amp; 'Reconciliation report'!I744,'Reconciliation report'!F744)</f>
        <v>SEC 9.0/3</v>
      </c>
      <c r="B749" t="str">
        <f ca="1">'Reconciliation report'!C744</f>
        <v xml:space="preserve">
No answer required
Narrative regarding value cap
</v>
      </c>
      <c r="C749" s="387" t="str">
        <f ca="1">'Reconciliation report'!D744</f>
        <v/>
      </c>
      <c r="D749" s="387" t="str">
        <f t="shared" ca="1" si="11"/>
        <v/>
      </c>
    </row>
    <row r="750" spans="1:4" ht="77.5" hidden="1">
      <c r="A750" s="1" t="str">
        <f ca="1">HYPERLINK("#" &amp; 'Reconciliation report'!I745,'Reconciliation report'!F745)</f>
        <v>SEC 10.0/3</v>
      </c>
      <c r="B750" t="str">
        <f ca="1">'Reconciliation report'!C745</f>
        <v xml:space="preserve">
No answer required
Fixed cap amount (£)
</v>
      </c>
      <c r="C750" s="387" t="str">
        <f ca="1">'Reconciliation report'!D745</f>
        <v/>
      </c>
      <c r="D750" s="387" t="str">
        <f t="shared" ca="1" si="11"/>
        <v/>
      </c>
    </row>
    <row r="751" spans="1:4" ht="77.5" hidden="1">
      <c r="A751" s="1" t="str">
        <f ca="1">HYPERLINK("#" &amp; 'Reconciliation report'!I746,'Reconciliation report'!F746)</f>
        <v>SEC 11.0/3</v>
      </c>
      <c r="B751" t="str">
        <f ca="1">'Reconciliation report'!C746</f>
        <v xml:space="preserve">
No answer required
Participating employer insolvency
</v>
      </c>
      <c r="C751" s="387" t="str">
        <f ca="1">'Reconciliation report'!D746</f>
        <v/>
      </c>
      <c r="D751" s="387" t="str">
        <f t="shared" ca="1" si="11"/>
        <v/>
      </c>
    </row>
    <row r="752" spans="1:4" ht="77.5" hidden="1">
      <c r="A752" s="1" t="str">
        <f ca="1">HYPERLINK("#" &amp; 'Reconciliation report'!I747,'Reconciliation report'!F747)</f>
        <v>SEC 12.0/3</v>
      </c>
      <c r="B752" t="str">
        <f ca="1">'Reconciliation report'!C747</f>
        <v xml:space="preserve">
No answer required
Insolvency of associated company
</v>
      </c>
      <c r="C752" s="387" t="str">
        <f ca="1">'Reconciliation report'!D747</f>
        <v/>
      </c>
      <c r="D752" s="387" t="str">
        <f t="shared" ca="1" si="11"/>
        <v/>
      </c>
    </row>
    <row r="753" spans="1:4" ht="77.5" hidden="1">
      <c r="A753" s="1" t="str">
        <f ca="1">HYPERLINK("#" &amp; 'Reconciliation report'!I748,'Reconciliation report'!F748)</f>
        <v>SEC 13.0/3</v>
      </c>
      <c r="B753" t="str">
        <f ca="1">'Reconciliation report'!C748</f>
        <v xml:space="preserve">
No answer required
Non payment of contributions
</v>
      </c>
      <c r="C753" s="387" t="str">
        <f ca="1">'Reconciliation report'!D748</f>
        <v/>
      </c>
      <c r="D753" s="387" t="str">
        <f t="shared" ca="1" si="11"/>
        <v/>
      </c>
    </row>
    <row r="754" spans="1:4" ht="77.5" hidden="1">
      <c r="A754" s="1" t="str">
        <f ca="1">HYPERLINK("#" &amp; 'Reconciliation report'!I749,'Reconciliation report'!F749)</f>
        <v>SEC 14.0/3</v>
      </c>
      <c r="B754" t="str">
        <f ca="1">'Reconciliation report'!C749</f>
        <v xml:space="preserve">
No answer required
Crystallisation of investment risk
</v>
      </c>
      <c r="C754" s="387" t="str">
        <f ca="1">'Reconciliation report'!D749</f>
        <v/>
      </c>
      <c r="D754" s="387" t="str">
        <f t="shared" ca="1" si="11"/>
        <v/>
      </c>
    </row>
    <row r="755" spans="1:4" ht="77.5" hidden="1">
      <c r="A755" s="1" t="str">
        <f ca="1">HYPERLINK("#" &amp; 'Reconciliation report'!I750,'Reconciliation report'!F750)</f>
        <v>SEC 15.0/3</v>
      </c>
      <c r="B755" t="str">
        <f ca="1">'Reconciliation report'!C750</f>
        <v xml:space="preserve">
No answer required
Other
</v>
      </c>
      <c r="C755" s="387" t="str">
        <f ca="1">'Reconciliation report'!D750</f>
        <v/>
      </c>
      <c r="D755" s="387" t="str">
        <f t="shared" ca="1" si="11"/>
        <v/>
      </c>
    </row>
    <row r="756" spans="1:4" ht="77.5" hidden="1">
      <c r="A756" s="1" t="str">
        <f ca="1">HYPERLINK("#" &amp; 'Reconciliation report'!I751,'Reconciliation report'!F751)</f>
        <v>SEC 16.0/3</v>
      </c>
      <c r="B756" t="str">
        <f ca="1">'Reconciliation report'!C751</f>
        <v xml:space="preserve">
No answer required
Describe the other triggers for access to value
</v>
      </c>
      <c r="C756" s="387" t="str">
        <f ca="1">'Reconciliation report'!D751</f>
        <v/>
      </c>
      <c r="D756" s="387" t="str">
        <f t="shared" ca="1" si="11"/>
        <v/>
      </c>
    </row>
    <row r="757" spans="1:4" ht="77.5" hidden="1">
      <c r="A757" s="1" t="str">
        <f ca="1">HYPERLINK("#" &amp; 'Reconciliation report'!I752,'Reconciliation report'!F752)</f>
        <v>SEC 17.0/3</v>
      </c>
      <c r="B757" t="str">
        <f ca="1">'Reconciliation report'!C752</f>
        <v xml:space="preserve">
No answer required
Triggers for termination
</v>
      </c>
      <c r="C757" s="387" t="str">
        <f ca="1">'Reconciliation report'!D752</f>
        <v/>
      </c>
      <c r="D757" s="387" t="str">
        <f t="shared" ca="1" si="11"/>
        <v/>
      </c>
    </row>
    <row r="758" spans="1:4" ht="77.5" hidden="1">
      <c r="A758" s="1" t="str">
        <f ca="1">HYPERLINK("#" &amp; 'Reconciliation report'!I753,'Reconciliation report'!F753)</f>
        <v>SEC 1.0/4</v>
      </c>
      <c r="B758" t="str">
        <f ca="1">'Reconciliation report'!C753</f>
        <v xml:space="preserve">
No answer required
What is the type of underlying asset that the scheme has security over?
</v>
      </c>
      <c r="C758" s="387" t="str">
        <f ca="1">'Reconciliation report'!D753</f>
        <v/>
      </c>
      <c r="D758" s="387" t="str">
        <f t="shared" ca="1" si="11"/>
        <v/>
      </c>
    </row>
    <row r="759" spans="1:4" ht="77.5" hidden="1">
      <c r="A759" s="1" t="str">
        <f ca="1">HYPERLINK("#" &amp; 'Reconciliation report'!I754,'Reconciliation report'!F754)</f>
        <v>SEC 2.0/4</v>
      </c>
      <c r="B759" t="str">
        <f ca="1">'Reconciliation report'!C754</f>
        <v xml:space="preserve">
No answer required
Provide specific details of the underlying asset
</v>
      </c>
      <c r="C759" s="387" t="str">
        <f ca="1">'Reconciliation report'!D754</f>
        <v/>
      </c>
      <c r="D759" s="387" t="str">
        <f t="shared" ca="1" si="11"/>
        <v/>
      </c>
    </row>
    <row r="760" spans="1:4" ht="77.5" hidden="1">
      <c r="A760" s="1" t="str">
        <f ca="1">HYPERLINK("#" &amp; 'Reconciliation report'!I755,'Reconciliation report'!F755)</f>
        <v>SEC 3.0/4</v>
      </c>
      <c r="B760" t="str">
        <f ca="1">'Reconciliation report'!C755</f>
        <v xml:space="preserve">
No answer required
Type of maturity
</v>
      </c>
      <c r="C760" s="387" t="str">
        <f ca="1">'Reconciliation report'!D755</f>
        <v/>
      </c>
      <c r="D760" s="387" t="str">
        <f t="shared" ca="1" si="11"/>
        <v/>
      </c>
    </row>
    <row r="761" spans="1:4" ht="77.5" hidden="1">
      <c r="A761" s="1" t="str">
        <f ca="1">HYPERLINK("#" &amp; 'Reconciliation report'!I756,'Reconciliation report'!F756)</f>
        <v>SEC 4.0/4</v>
      </c>
      <c r="B761" t="str">
        <f ca="1">'Reconciliation report'!C756</f>
        <v xml:space="preserve">
No answer required
Date of maturity
</v>
      </c>
      <c r="C761" s="387" t="str">
        <f ca="1">'Reconciliation report'!D756</f>
        <v/>
      </c>
      <c r="D761" s="387" t="str">
        <f t="shared" ca="1" si="11"/>
        <v/>
      </c>
    </row>
    <row r="762" spans="1:4" ht="77.5" hidden="1">
      <c r="A762" s="1" t="str">
        <f ca="1">HYPERLINK("#" &amp; 'Reconciliation report'!I757,'Reconciliation report'!F757)</f>
        <v>SEC 5.0/4</v>
      </c>
      <c r="B762" t="str">
        <f ca="1">'Reconciliation report'!C757</f>
        <v xml:space="preserve">
No answer required
Maturity date narrative
</v>
      </c>
      <c r="C762" s="387" t="str">
        <f ca="1">'Reconciliation report'!D757</f>
        <v/>
      </c>
      <c r="D762" s="387" t="str">
        <f t="shared" ca="1" si="11"/>
        <v/>
      </c>
    </row>
    <row r="763" spans="1:4" ht="77.5" hidden="1">
      <c r="A763" s="1" t="str">
        <f ca="1">HYPERLINK("#" &amp; 'Reconciliation report'!I758,'Reconciliation report'!F758)</f>
        <v>SEC 6.0/4</v>
      </c>
      <c r="B763" t="str">
        <f ca="1">'Reconciliation report'!C758</f>
        <v xml:space="preserve">
No answer required
Value ascribed (£)
</v>
      </c>
      <c r="C763" s="387" t="str">
        <f ca="1">'Reconciliation report'!D758</f>
        <v/>
      </c>
      <c r="D763" s="387" t="str">
        <f t="shared" ca="1" si="11"/>
        <v/>
      </c>
    </row>
    <row r="764" spans="1:4" ht="77.5" hidden="1">
      <c r="A764" s="1" t="str">
        <f ca="1">HYPERLINK("#" &amp; 'Reconciliation report'!I759,'Reconciliation report'!F759)</f>
        <v>SEC 7.0/4</v>
      </c>
      <c r="B764" t="str">
        <f ca="1">'Reconciliation report'!C759</f>
        <v xml:space="preserve">
No answer required
Date of valuation
</v>
      </c>
      <c r="C764" s="387" t="str">
        <f ca="1">'Reconciliation report'!D759</f>
        <v/>
      </c>
      <c r="D764" s="387" t="str">
        <f t="shared" ca="1" si="11"/>
        <v/>
      </c>
    </row>
    <row r="765" spans="1:4" ht="77.5" hidden="1">
      <c r="A765" s="1" t="str">
        <f ca="1">HYPERLINK("#" &amp; 'Reconciliation report'!I760,'Reconciliation report'!F760)</f>
        <v>SEC 8.0/4</v>
      </c>
      <c r="B765" t="str">
        <f ca="1">'Reconciliation report'!C760</f>
        <v xml:space="preserve">
No answer required
Value cap
</v>
      </c>
      <c r="C765" s="387" t="str">
        <f ca="1">'Reconciliation report'!D760</f>
        <v/>
      </c>
      <c r="D765" s="387" t="str">
        <f t="shared" ca="1" si="11"/>
        <v/>
      </c>
    </row>
    <row r="766" spans="1:4" ht="77.5" hidden="1">
      <c r="A766" s="1" t="str">
        <f ca="1">HYPERLINK("#" &amp; 'Reconciliation report'!I761,'Reconciliation report'!F761)</f>
        <v>SEC 9.0/4</v>
      </c>
      <c r="B766" t="str">
        <f ca="1">'Reconciliation report'!C761</f>
        <v xml:space="preserve">
No answer required
Narrative regarding value cap
</v>
      </c>
      <c r="C766" s="387" t="str">
        <f ca="1">'Reconciliation report'!D761</f>
        <v/>
      </c>
      <c r="D766" s="387" t="str">
        <f t="shared" ca="1" si="11"/>
        <v/>
      </c>
    </row>
    <row r="767" spans="1:4" ht="77.5" hidden="1">
      <c r="A767" s="1" t="str">
        <f ca="1">HYPERLINK("#" &amp; 'Reconciliation report'!I762,'Reconciliation report'!F762)</f>
        <v>SEC 10.0/4</v>
      </c>
      <c r="B767" t="str">
        <f ca="1">'Reconciliation report'!C762</f>
        <v xml:space="preserve">
No answer required
Fixed cap amount (£)
</v>
      </c>
      <c r="C767" s="387" t="str">
        <f ca="1">'Reconciliation report'!D762</f>
        <v/>
      </c>
      <c r="D767" s="387" t="str">
        <f t="shared" ca="1" si="11"/>
        <v/>
      </c>
    </row>
    <row r="768" spans="1:4" ht="77.5" hidden="1">
      <c r="A768" s="1" t="str">
        <f ca="1">HYPERLINK("#" &amp; 'Reconciliation report'!I763,'Reconciliation report'!F763)</f>
        <v>SEC 11.0/4</v>
      </c>
      <c r="B768" t="str">
        <f ca="1">'Reconciliation report'!C763</f>
        <v xml:space="preserve">
No answer required
Participating employer insolvency
</v>
      </c>
      <c r="C768" s="387" t="str">
        <f ca="1">'Reconciliation report'!D763</f>
        <v/>
      </c>
      <c r="D768" s="387" t="str">
        <f t="shared" ca="1" si="11"/>
        <v/>
      </c>
    </row>
    <row r="769" spans="1:4" ht="77.5" hidden="1">
      <c r="A769" s="1" t="str">
        <f ca="1">HYPERLINK("#" &amp; 'Reconciliation report'!I764,'Reconciliation report'!F764)</f>
        <v>SEC 12.0/4</v>
      </c>
      <c r="B769" t="str">
        <f ca="1">'Reconciliation report'!C764</f>
        <v xml:space="preserve">
No answer required
Insolvency of associated company
</v>
      </c>
      <c r="C769" s="387" t="str">
        <f ca="1">'Reconciliation report'!D764</f>
        <v/>
      </c>
      <c r="D769" s="387" t="str">
        <f t="shared" ca="1" si="11"/>
        <v/>
      </c>
    </row>
    <row r="770" spans="1:4" ht="77.5" hidden="1">
      <c r="A770" s="1" t="str">
        <f ca="1">HYPERLINK("#" &amp; 'Reconciliation report'!I765,'Reconciliation report'!F765)</f>
        <v>SEC 13.0/4</v>
      </c>
      <c r="B770" t="str">
        <f ca="1">'Reconciliation report'!C765</f>
        <v xml:space="preserve">
No answer required
Non payment of contributions
</v>
      </c>
      <c r="C770" s="387" t="str">
        <f ca="1">'Reconciliation report'!D765</f>
        <v/>
      </c>
      <c r="D770" s="387" t="str">
        <f t="shared" ca="1" si="11"/>
        <v/>
      </c>
    </row>
    <row r="771" spans="1:4" ht="77.5" hidden="1">
      <c r="A771" s="1" t="str">
        <f ca="1">HYPERLINK("#" &amp; 'Reconciliation report'!I766,'Reconciliation report'!F766)</f>
        <v>SEC 14.0/4</v>
      </c>
      <c r="B771" t="str">
        <f ca="1">'Reconciliation report'!C766</f>
        <v xml:space="preserve">
No answer required
Crystallisation of investment risk
</v>
      </c>
      <c r="C771" s="387" t="str">
        <f ca="1">'Reconciliation report'!D766</f>
        <v/>
      </c>
      <c r="D771" s="387" t="str">
        <f t="shared" ca="1" si="11"/>
        <v/>
      </c>
    </row>
    <row r="772" spans="1:4" ht="77.5" hidden="1">
      <c r="A772" s="1" t="str">
        <f ca="1">HYPERLINK("#" &amp; 'Reconciliation report'!I767,'Reconciliation report'!F767)</f>
        <v>SEC 15.0/4</v>
      </c>
      <c r="B772" t="str">
        <f ca="1">'Reconciliation report'!C767</f>
        <v xml:space="preserve">
No answer required
Other
</v>
      </c>
      <c r="C772" s="387" t="str">
        <f ca="1">'Reconciliation report'!D767</f>
        <v/>
      </c>
      <c r="D772" s="387" t="str">
        <f t="shared" ca="1" si="11"/>
        <v/>
      </c>
    </row>
    <row r="773" spans="1:4" ht="77.5" hidden="1">
      <c r="A773" s="1" t="str">
        <f ca="1">HYPERLINK("#" &amp; 'Reconciliation report'!I768,'Reconciliation report'!F768)</f>
        <v>SEC 16.0/4</v>
      </c>
      <c r="B773" t="str">
        <f ca="1">'Reconciliation report'!C768</f>
        <v xml:space="preserve">
No answer required
Describe the other triggers for access to value
</v>
      </c>
      <c r="C773" s="387" t="str">
        <f ca="1">'Reconciliation report'!D768</f>
        <v/>
      </c>
      <c r="D773" s="387" t="str">
        <f t="shared" ca="1" si="11"/>
        <v/>
      </c>
    </row>
    <row r="774" spans="1:4" ht="77.5" hidden="1">
      <c r="A774" s="1" t="str">
        <f ca="1">HYPERLINK("#" &amp; 'Reconciliation report'!I769,'Reconciliation report'!F769)</f>
        <v>SEC 17.0/4</v>
      </c>
      <c r="B774" t="str">
        <f ca="1">'Reconciliation report'!C769</f>
        <v xml:space="preserve">
No answer required
Triggers for termination
</v>
      </c>
      <c r="C774" s="387" t="str">
        <f ca="1">'Reconciliation report'!D769</f>
        <v/>
      </c>
      <c r="D774" s="387" t="str">
        <f t="shared" ca="1" si="11"/>
        <v/>
      </c>
    </row>
    <row r="775" spans="1:4" ht="77.5" hidden="1">
      <c r="A775" s="1" t="str">
        <f ca="1">HYPERLINK("#" &amp; 'Reconciliation report'!I770,'Reconciliation report'!F770)</f>
        <v>SEC 1.0/5</v>
      </c>
      <c r="B775" t="str">
        <f ca="1">'Reconciliation report'!C770</f>
        <v xml:space="preserve">
No answer required
What is the type of underlying asset that the scheme has security over?
</v>
      </c>
      <c r="C775" s="387" t="str">
        <f ca="1">'Reconciliation report'!D770</f>
        <v/>
      </c>
      <c r="D775" s="387" t="str">
        <f t="shared" ref="D775:D838" ca="1" si="12">IFERROR(IF(LEN(TRIM(CLEAN(C775))) &gt; 0, "Refresh the error report", ""), "")</f>
        <v/>
      </c>
    </row>
    <row r="776" spans="1:4" ht="77.5" hidden="1">
      <c r="A776" s="1" t="str">
        <f ca="1">HYPERLINK("#" &amp; 'Reconciliation report'!I771,'Reconciliation report'!F771)</f>
        <v>SEC 2.0/5</v>
      </c>
      <c r="B776" t="str">
        <f ca="1">'Reconciliation report'!C771</f>
        <v xml:space="preserve">
No answer required
Provide specific details of the underlying asset
</v>
      </c>
      <c r="C776" s="387" t="str">
        <f ca="1">'Reconciliation report'!D771</f>
        <v/>
      </c>
      <c r="D776" s="387" t="str">
        <f t="shared" ca="1" si="12"/>
        <v/>
      </c>
    </row>
    <row r="777" spans="1:4" ht="77.5" hidden="1">
      <c r="A777" s="1" t="str">
        <f ca="1">HYPERLINK("#" &amp; 'Reconciliation report'!I772,'Reconciliation report'!F772)</f>
        <v>SEC 3.0/5</v>
      </c>
      <c r="B777" t="str">
        <f ca="1">'Reconciliation report'!C772</f>
        <v xml:space="preserve">
No answer required
Type of maturity
</v>
      </c>
      <c r="C777" s="387" t="str">
        <f ca="1">'Reconciliation report'!D772</f>
        <v/>
      </c>
      <c r="D777" s="387" t="str">
        <f t="shared" ca="1" si="12"/>
        <v/>
      </c>
    </row>
    <row r="778" spans="1:4" ht="77.5" hidden="1">
      <c r="A778" s="1" t="str">
        <f ca="1">HYPERLINK("#" &amp; 'Reconciliation report'!I773,'Reconciliation report'!F773)</f>
        <v>SEC 4.0/5</v>
      </c>
      <c r="B778" t="str">
        <f ca="1">'Reconciliation report'!C773</f>
        <v xml:space="preserve">
No answer required
Date of maturity
</v>
      </c>
      <c r="C778" s="387" t="str">
        <f ca="1">'Reconciliation report'!D773</f>
        <v/>
      </c>
      <c r="D778" s="387" t="str">
        <f t="shared" ca="1" si="12"/>
        <v/>
      </c>
    </row>
    <row r="779" spans="1:4" ht="77.5" hidden="1">
      <c r="A779" s="1" t="str">
        <f ca="1">HYPERLINK("#" &amp; 'Reconciliation report'!I774,'Reconciliation report'!F774)</f>
        <v>SEC 5.0/5</v>
      </c>
      <c r="B779" t="str">
        <f ca="1">'Reconciliation report'!C774</f>
        <v xml:space="preserve">
No answer required
Maturity date narrative
</v>
      </c>
      <c r="C779" s="387" t="str">
        <f ca="1">'Reconciliation report'!D774</f>
        <v/>
      </c>
      <c r="D779" s="387" t="str">
        <f t="shared" ca="1" si="12"/>
        <v/>
      </c>
    </row>
    <row r="780" spans="1:4" ht="77.5" hidden="1">
      <c r="A780" s="1" t="str">
        <f ca="1">HYPERLINK("#" &amp; 'Reconciliation report'!I775,'Reconciliation report'!F775)</f>
        <v>SEC 6.0/5</v>
      </c>
      <c r="B780" t="str">
        <f ca="1">'Reconciliation report'!C775</f>
        <v xml:space="preserve">
No answer required
Value ascribed (£)
</v>
      </c>
      <c r="C780" s="387" t="str">
        <f ca="1">'Reconciliation report'!D775</f>
        <v/>
      </c>
      <c r="D780" s="387" t="str">
        <f t="shared" ca="1" si="12"/>
        <v/>
      </c>
    </row>
    <row r="781" spans="1:4" ht="77.5" hidden="1">
      <c r="A781" s="1" t="str">
        <f ca="1">HYPERLINK("#" &amp; 'Reconciliation report'!I776,'Reconciliation report'!F776)</f>
        <v>SEC 7.0/5</v>
      </c>
      <c r="B781" t="str">
        <f ca="1">'Reconciliation report'!C776</f>
        <v xml:space="preserve">
No answer required
Date of valuation
</v>
      </c>
      <c r="C781" s="387" t="str">
        <f ca="1">'Reconciliation report'!D776</f>
        <v/>
      </c>
      <c r="D781" s="387" t="str">
        <f t="shared" ca="1" si="12"/>
        <v/>
      </c>
    </row>
    <row r="782" spans="1:4" ht="77.5" hidden="1">
      <c r="A782" s="1" t="str">
        <f ca="1">HYPERLINK("#" &amp; 'Reconciliation report'!I777,'Reconciliation report'!F777)</f>
        <v>SEC 8.0/5</v>
      </c>
      <c r="B782" t="str">
        <f ca="1">'Reconciliation report'!C777</f>
        <v xml:space="preserve">
No answer required
Value cap
</v>
      </c>
      <c r="C782" s="387" t="str">
        <f ca="1">'Reconciliation report'!D777</f>
        <v/>
      </c>
      <c r="D782" s="387" t="str">
        <f t="shared" ca="1" si="12"/>
        <v/>
      </c>
    </row>
    <row r="783" spans="1:4" ht="77.5" hidden="1">
      <c r="A783" s="1" t="str">
        <f ca="1">HYPERLINK("#" &amp; 'Reconciliation report'!I778,'Reconciliation report'!F778)</f>
        <v>SEC 9.0/5</v>
      </c>
      <c r="B783" t="str">
        <f ca="1">'Reconciliation report'!C778</f>
        <v xml:space="preserve">
No answer required
Narrative regarding value cap
</v>
      </c>
      <c r="C783" s="387" t="str">
        <f ca="1">'Reconciliation report'!D778</f>
        <v/>
      </c>
      <c r="D783" s="387" t="str">
        <f t="shared" ca="1" si="12"/>
        <v/>
      </c>
    </row>
    <row r="784" spans="1:4" ht="77.5" hidden="1">
      <c r="A784" s="1" t="str">
        <f ca="1">HYPERLINK("#" &amp; 'Reconciliation report'!I779,'Reconciliation report'!F779)</f>
        <v>SEC 10.0/5</v>
      </c>
      <c r="B784" t="str">
        <f ca="1">'Reconciliation report'!C779</f>
        <v xml:space="preserve">
No answer required
Fixed cap amount (£)
</v>
      </c>
      <c r="C784" s="387" t="str">
        <f ca="1">'Reconciliation report'!D779</f>
        <v/>
      </c>
      <c r="D784" s="387" t="str">
        <f t="shared" ca="1" si="12"/>
        <v/>
      </c>
    </row>
    <row r="785" spans="1:4" ht="77.5" hidden="1">
      <c r="A785" s="1" t="str">
        <f ca="1">HYPERLINK("#" &amp; 'Reconciliation report'!I780,'Reconciliation report'!F780)</f>
        <v>SEC 11.0/5</v>
      </c>
      <c r="B785" t="str">
        <f ca="1">'Reconciliation report'!C780</f>
        <v xml:space="preserve">
No answer required
Participating employer insolvency
</v>
      </c>
      <c r="C785" s="387" t="str">
        <f ca="1">'Reconciliation report'!D780</f>
        <v/>
      </c>
      <c r="D785" s="387" t="str">
        <f t="shared" ca="1" si="12"/>
        <v/>
      </c>
    </row>
    <row r="786" spans="1:4" ht="77.5" hidden="1">
      <c r="A786" s="1" t="str">
        <f ca="1">HYPERLINK("#" &amp; 'Reconciliation report'!I781,'Reconciliation report'!F781)</f>
        <v>SEC 12.0/5</v>
      </c>
      <c r="B786" t="str">
        <f ca="1">'Reconciliation report'!C781</f>
        <v xml:space="preserve">
No answer required
Insolvency of associated company
</v>
      </c>
      <c r="C786" s="387" t="str">
        <f ca="1">'Reconciliation report'!D781</f>
        <v/>
      </c>
      <c r="D786" s="387" t="str">
        <f t="shared" ca="1" si="12"/>
        <v/>
      </c>
    </row>
    <row r="787" spans="1:4" ht="77.5" hidden="1">
      <c r="A787" s="1" t="str">
        <f ca="1">HYPERLINK("#" &amp; 'Reconciliation report'!I782,'Reconciliation report'!F782)</f>
        <v>SEC 13.0/5</v>
      </c>
      <c r="B787" t="str">
        <f ca="1">'Reconciliation report'!C782</f>
        <v xml:space="preserve">
No answer required
Non payment of contributions
</v>
      </c>
      <c r="C787" s="387" t="str">
        <f ca="1">'Reconciliation report'!D782</f>
        <v/>
      </c>
      <c r="D787" s="387" t="str">
        <f t="shared" ca="1" si="12"/>
        <v/>
      </c>
    </row>
    <row r="788" spans="1:4" ht="77.5" hidden="1">
      <c r="A788" s="1" t="str">
        <f ca="1">HYPERLINK("#" &amp; 'Reconciliation report'!I783,'Reconciliation report'!F783)</f>
        <v>SEC 14.0/5</v>
      </c>
      <c r="B788" t="str">
        <f ca="1">'Reconciliation report'!C783</f>
        <v xml:space="preserve">
No answer required
Crystallisation of investment risk
</v>
      </c>
      <c r="C788" s="387" t="str">
        <f ca="1">'Reconciliation report'!D783</f>
        <v/>
      </c>
      <c r="D788" s="387" t="str">
        <f t="shared" ca="1" si="12"/>
        <v/>
      </c>
    </row>
    <row r="789" spans="1:4" ht="77.5" hidden="1">
      <c r="A789" s="1" t="str">
        <f ca="1">HYPERLINK("#" &amp; 'Reconciliation report'!I784,'Reconciliation report'!F784)</f>
        <v>SEC 15.0/5</v>
      </c>
      <c r="B789" t="str">
        <f ca="1">'Reconciliation report'!C784</f>
        <v xml:space="preserve">
No answer required
Other
</v>
      </c>
      <c r="C789" s="387" t="str">
        <f ca="1">'Reconciliation report'!D784</f>
        <v/>
      </c>
      <c r="D789" s="387" t="str">
        <f t="shared" ca="1" si="12"/>
        <v/>
      </c>
    </row>
    <row r="790" spans="1:4" ht="77.5" hidden="1">
      <c r="A790" s="1" t="str">
        <f ca="1">HYPERLINK("#" &amp; 'Reconciliation report'!I785,'Reconciliation report'!F785)</f>
        <v>SEC 16.0/5</v>
      </c>
      <c r="B790" t="str">
        <f ca="1">'Reconciliation report'!C785</f>
        <v xml:space="preserve">
No answer required
Describe the other triggers for access to value
</v>
      </c>
      <c r="C790" s="387" t="str">
        <f ca="1">'Reconciliation report'!D785</f>
        <v/>
      </c>
      <c r="D790" s="387" t="str">
        <f t="shared" ca="1" si="12"/>
        <v/>
      </c>
    </row>
    <row r="791" spans="1:4" ht="77.5" hidden="1">
      <c r="A791" s="1" t="str">
        <f ca="1">HYPERLINK("#" &amp; 'Reconciliation report'!I786,'Reconciliation report'!F786)</f>
        <v>SEC 17.0/5</v>
      </c>
      <c r="B791" t="str">
        <f ca="1">'Reconciliation report'!C786</f>
        <v xml:space="preserve">
No answer required
Triggers for termination
</v>
      </c>
      <c r="C791" s="387" t="str">
        <f ca="1">'Reconciliation report'!D786</f>
        <v/>
      </c>
      <c r="D791" s="387" t="str">
        <f t="shared" ca="1" si="12"/>
        <v/>
      </c>
    </row>
    <row r="792" spans="1:4" ht="77.5" hidden="1">
      <c r="A792" s="1" t="str">
        <f ca="1">HYPERLINK("#" &amp; 'Reconciliation report'!I787,'Reconciliation report'!F787)</f>
        <v>OA 1.0/1</v>
      </c>
      <c r="B792" t="str">
        <f ca="1">'Reconciliation report'!C787</f>
        <v xml:space="preserve">
No answer required
What is the type of contingent asset?
</v>
      </c>
      <c r="C792" s="387" t="str">
        <f ca="1">'Reconciliation report'!D787</f>
        <v/>
      </c>
      <c r="D792" s="387" t="str">
        <f t="shared" ca="1" si="12"/>
        <v/>
      </c>
    </row>
    <row r="793" spans="1:4" ht="77.5" hidden="1">
      <c r="A793" s="1" t="str">
        <f ca="1">HYPERLINK("#" &amp; 'Reconciliation report'!I788,'Reconciliation report'!F788)</f>
        <v>OA 2.0/1</v>
      </c>
      <c r="B793" t="str">
        <f ca="1">'Reconciliation report'!C788</f>
        <v xml:space="preserve">
No answer required
Provide specific details of the contingent asset
</v>
      </c>
      <c r="C793" s="387" t="str">
        <f ca="1">'Reconciliation report'!D788</f>
        <v/>
      </c>
      <c r="D793" s="387" t="str">
        <f t="shared" ca="1" si="12"/>
        <v/>
      </c>
    </row>
    <row r="794" spans="1:4" ht="77.5" hidden="1">
      <c r="A794" s="1" t="str">
        <f ca="1">HYPERLINK("#" &amp; 'Reconciliation report'!I789,'Reconciliation report'!F789)</f>
        <v>OA 3.0/1</v>
      </c>
      <c r="B794" t="str">
        <f ca="1">'Reconciliation report'!C789</f>
        <v xml:space="preserve">
No answer required
Maturity type
</v>
      </c>
      <c r="C794" s="387" t="str">
        <f ca="1">'Reconciliation report'!D789</f>
        <v/>
      </c>
      <c r="D794" s="387" t="str">
        <f t="shared" ca="1" si="12"/>
        <v/>
      </c>
    </row>
    <row r="795" spans="1:4" ht="77.5" hidden="1">
      <c r="A795" s="1" t="str">
        <f ca="1">HYPERLINK("#" &amp; 'Reconciliation report'!I790,'Reconciliation report'!F790)</f>
        <v>OA 4.0/1</v>
      </c>
      <c r="B795" t="str">
        <f ca="1">'Reconciliation report'!C790</f>
        <v xml:space="preserve">
No answer required
Date of Maturity
</v>
      </c>
      <c r="C795" s="387" t="str">
        <f ca="1">'Reconciliation report'!D790</f>
        <v/>
      </c>
      <c r="D795" s="387" t="str">
        <f t="shared" ca="1" si="12"/>
        <v/>
      </c>
    </row>
    <row r="796" spans="1:4" ht="77.5" hidden="1">
      <c r="A796" s="1" t="str">
        <f ca="1">HYPERLINK("#" &amp; 'Reconciliation report'!I791,'Reconciliation report'!F791)</f>
        <v>OA 5.0/1</v>
      </c>
      <c r="B796" t="str">
        <f ca="1">'Reconciliation report'!C791</f>
        <v xml:space="preserve">
No answer required
Maturity date narrative
</v>
      </c>
      <c r="C796" s="387" t="str">
        <f ca="1">'Reconciliation report'!D791</f>
        <v/>
      </c>
      <c r="D796" s="387" t="str">
        <f t="shared" ca="1" si="12"/>
        <v/>
      </c>
    </row>
    <row r="797" spans="1:4" ht="77.5" hidden="1">
      <c r="A797" s="1" t="str">
        <f ca="1">HYPERLINK("#" &amp; 'Reconciliation report'!I792,'Reconciliation report'!F792)</f>
        <v>OA 6.0/1</v>
      </c>
      <c r="B797" t="str">
        <f ca="1">'Reconciliation report'!C792</f>
        <v xml:space="preserve">
No answer required
Value ascribed (£)
</v>
      </c>
      <c r="C797" s="387" t="str">
        <f ca="1">'Reconciliation report'!D792</f>
        <v/>
      </c>
      <c r="D797" s="387" t="str">
        <f t="shared" ca="1" si="12"/>
        <v/>
      </c>
    </row>
    <row r="798" spans="1:4" ht="77.5" hidden="1">
      <c r="A798" s="1" t="str">
        <f ca="1">HYPERLINK("#" &amp; 'Reconciliation report'!I793,'Reconciliation report'!F793)</f>
        <v>OA 7.0/1</v>
      </c>
      <c r="B798" t="str">
        <f ca="1">'Reconciliation report'!C793</f>
        <v xml:space="preserve">
No answer required
Date of valuation
</v>
      </c>
      <c r="C798" s="387" t="str">
        <f ca="1">'Reconciliation report'!D793</f>
        <v/>
      </c>
      <c r="D798" s="387" t="str">
        <f t="shared" ca="1" si="12"/>
        <v/>
      </c>
    </row>
    <row r="799" spans="1:4" ht="77.5" hidden="1">
      <c r="A799" s="1" t="str">
        <f ca="1">HYPERLINK("#" &amp; 'Reconciliation report'!I794,'Reconciliation report'!F794)</f>
        <v>OA 8.0/1</v>
      </c>
      <c r="B799" t="str">
        <f ca="1">'Reconciliation report'!C794</f>
        <v xml:space="preserve">
No answer required
Value cap
</v>
      </c>
      <c r="C799" s="387" t="str">
        <f ca="1">'Reconciliation report'!D794</f>
        <v/>
      </c>
      <c r="D799" s="387" t="str">
        <f t="shared" ca="1" si="12"/>
        <v/>
      </c>
    </row>
    <row r="800" spans="1:4" ht="77.5" hidden="1">
      <c r="A800" s="1" t="str">
        <f ca="1">HYPERLINK("#" &amp; 'Reconciliation report'!I795,'Reconciliation report'!F795)</f>
        <v>OA 9.0/1</v>
      </c>
      <c r="B800" t="str">
        <f ca="1">'Reconciliation report'!C795</f>
        <v xml:space="preserve">
No answer required
Narrative regarding value cap
</v>
      </c>
      <c r="C800" s="387" t="str">
        <f ca="1">'Reconciliation report'!D795</f>
        <v/>
      </c>
      <c r="D800" s="387" t="str">
        <f t="shared" ca="1" si="12"/>
        <v/>
      </c>
    </row>
    <row r="801" spans="1:4" ht="77.5" hidden="1">
      <c r="A801" s="1" t="str">
        <f ca="1">HYPERLINK("#" &amp; 'Reconciliation report'!I796,'Reconciliation report'!F796)</f>
        <v>OA 10.0/1</v>
      </c>
      <c r="B801" t="str">
        <f ca="1">'Reconciliation report'!C796</f>
        <v xml:space="preserve">
No answer required
Fixed cap amount (£)
</v>
      </c>
      <c r="C801" s="387" t="str">
        <f ca="1">'Reconciliation report'!D796</f>
        <v/>
      </c>
      <c r="D801" s="387" t="str">
        <f t="shared" ca="1" si="12"/>
        <v/>
      </c>
    </row>
    <row r="802" spans="1:4" ht="77.5" hidden="1">
      <c r="A802" s="1" t="str">
        <f ca="1">HYPERLINK("#" &amp; 'Reconciliation report'!I797,'Reconciliation report'!F797)</f>
        <v>OA 11.0/1</v>
      </c>
      <c r="B802" t="str">
        <f ca="1">'Reconciliation report'!C797</f>
        <v xml:space="preserve">
No answer required
Participating employer insolvency
</v>
      </c>
      <c r="C802" s="387" t="str">
        <f ca="1">'Reconciliation report'!D797</f>
        <v/>
      </c>
      <c r="D802" s="387" t="str">
        <f t="shared" ca="1" si="12"/>
        <v/>
      </c>
    </row>
    <row r="803" spans="1:4" ht="77.5" hidden="1">
      <c r="A803" s="1" t="str">
        <f ca="1">HYPERLINK("#" &amp; 'Reconciliation report'!I798,'Reconciliation report'!F798)</f>
        <v>OA 12.0/1</v>
      </c>
      <c r="B803" t="str">
        <f ca="1">'Reconciliation report'!C798</f>
        <v xml:space="preserve">
No answer required
Insolvency of associated company
</v>
      </c>
      <c r="C803" s="387" t="str">
        <f ca="1">'Reconciliation report'!D798</f>
        <v/>
      </c>
      <c r="D803" s="387" t="str">
        <f t="shared" ca="1" si="12"/>
        <v/>
      </c>
    </row>
    <row r="804" spans="1:4" ht="77.5" hidden="1">
      <c r="A804" s="1" t="str">
        <f ca="1">HYPERLINK("#" &amp; 'Reconciliation report'!I799,'Reconciliation report'!F799)</f>
        <v>OA 13.0/1</v>
      </c>
      <c r="B804" t="str">
        <f ca="1">'Reconciliation report'!C799</f>
        <v xml:space="preserve">
No answer required
Non payment of contributions
</v>
      </c>
      <c r="C804" s="387" t="str">
        <f ca="1">'Reconciliation report'!D799</f>
        <v/>
      </c>
      <c r="D804" s="387" t="str">
        <f t="shared" ca="1" si="12"/>
        <v/>
      </c>
    </row>
    <row r="805" spans="1:4" ht="77.5" hidden="1">
      <c r="A805" s="1" t="str">
        <f ca="1">HYPERLINK("#" &amp; 'Reconciliation report'!I800,'Reconciliation report'!F800)</f>
        <v>OA 14.0/1</v>
      </c>
      <c r="B805" t="str">
        <f ca="1">'Reconciliation report'!C800</f>
        <v xml:space="preserve">
No answer required
Crystallisation of investment risk
</v>
      </c>
      <c r="C805" s="387" t="str">
        <f ca="1">'Reconciliation report'!D800</f>
        <v/>
      </c>
      <c r="D805" s="387" t="str">
        <f t="shared" ca="1" si="12"/>
        <v/>
      </c>
    </row>
    <row r="806" spans="1:4" ht="77.5" hidden="1">
      <c r="A806" s="1" t="str">
        <f ca="1">HYPERLINK("#" &amp; 'Reconciliation report'!I801,'Reconciliation report'!F801)</f>
        <v>OA 15.0/1</v>
      </c>
      <c r="B806" t="str">
        <f ca="1">'Reconciliation report'!C801</f>
        <v xml:space="preserve">
No answer required
Other
</v>
      </c>
      <c r="C806" s="387" t="str">
        <f ca="1">'Reconciliation report'!D801</f>
        <v/>
      </c>
      <c r="D806" s="387" t="str">
        <f t="shared" ca="1" si="12"/>
        <v/>
      </c>
    </row>
    <row r="807" spans="1:4" ht="77.5" hidden="1">
      <c r="A807" s="1" t="str">
        <f ca="1">HYPERLINK("#" &amp; 'Reconciliation report'!I802,'Reconciliation report'!F802)</f>
        <v>OA 16.0/1</v>
      </c>
      <c r="B807" t="str">
        <f ca="1">'Reconciliation report'!C802</f>
        <v xml:space="preserve">
No answer required
Narrative regarding triggers for access to value
</v>
      </c>
      <c r="C807" s="387" t="str">
        <f ca="1">'Reconciliation report'!D802</f>
        <v/>
      </c>
      <c r="D807" s="387" t="str">
        <f t="shared" ca="1" si="12"/>
        <v/>
      </c>
    </row>
    <row r="808" spans="1:4" ht="77.5" hidden="1">
      <c r="A808" s="1" t="str">
        <f ca="1">HYPERLINK("#" &amp; 'Reconciliation report'!I803,'Reconciliation report'!F803)</f>
        <v>OA 17.0/1</v>
      </c>
      <c r="B808" t="str">
        <f ca="1">'Reconciliation report'!C803</f>
        <v xml:space="preserve">
No answer required
Triggers for termination
</v>
      </c>
      <c r="C808" s="387" t="str">
        <f ca="1">'Reconciliation report'!D803</f>
        <v/>
      </c>
      <c r="D808" s="387" t="str">
        <f t="shared" ca="1" si="12"/>
        <v/>
      </c>
    </row>
    <row r="809" spans="1:4" ht="77.5" hidden="1">
      <c r="A809" s="1" t="str">
        <f ca="1">HYPERLINK("#" &amp; 'Reconciliation report'!I804,'Reconciliation report'!F804)</f>
        <v>OA 1.0/2</v>
      </c>
      <c r="B809" t="str">
        <f ca="1">'Reconciliation report'!C804</f>
        <v xml:space="preserve">
No answer required
What is the type of contingent asset?
</v>
      </c>
      <c r="C809" s="387" t="str">
        <f ca="1">'Reconciliation report'!D804</f>
        <v/>
      </c>
      <c r="D809" s="387" t="str">
        <f t="shared" ca="1" si="12"/>
        <v/>
      </c>
    </row>
    <row r="810" spans="1:4" ht="77.5" hidden="1">
      <c r="A810" s="1" t="str">
        <f ca="1">HYPERLINK("#" &amp; 'Reconciliation report'!I805,'Reconciliation report'!F805)</f>
        <v>OA 2.0/2</v>
      </c>
      <c r="B810" t="str">
        <f ca="1">'Reconciliation report'!C805</f>
        <v xml:space="preserve">
No answer required
Provide specific details of the contingent asset
</v>
      </c>
      <c r="C810" s="387" t="str">
        <f ca="1">'Reconciliation report'!D805</f>
        <v/>
      </c>
      <c r="D810" s="387" t="str">
        <f t="shared" ca="1" si="12"/>
        <v/>
      </c>
    </row>
    <row r="811" spans="1:4" ht="77.5" hidden="1">
      <c r="A811" s="1" t="str">
        <f ca="1">HYPERLINK("#" &amp; 'Reconciliation report'!I806,'Reconciliation report'!F806)</f>
        <v>OA 3.0/2</v>
      </c>
      <c r="B811" t="str">
        <f ca="1">'Reconciliation report'!C806</f>
        <v xml:space="preserve">
No answer required
Maturity type
</v>
      </c>
      <c r="C811" s="387" t="str">
        <f ca="1">'Reconciliation report'!D806</f>
        <v/>
      </c>
      <c r="D811" s="387" t="str">
        <f t="shared" ca="1" si="12"/>
        <v/>
      </c>
    </row>
    <row r="812" spans="1:4" ht="77.5" hidden="1">
      <c r="A812" s="1" t="str">
        <f ca="1">HYPERLINK("#" &amp; 'Reconciliation report'!I807,'Reconciliation report'!F807)</f>
        <v>OA 4.0/2</v>
      </c>
      <c r="B812" t="str">
        <f ca="1">'Reconciliation report'!C807</f>
        <v xml:space="preserve">
No answer required
Date of Maturity
</v>
      </c>
      <c r="C812" s="387" t="str">
        <f ca="1">'Reconciliation report'!D807</f>
        <v/>
      </c>
      <c r="D812" s="387" t="str">
        <f t="shared" ca="1" si="12"/>
        <v/>
      </c>
    </row>
    <row r="813" spans="1:4" ht="77.5" hidden="1">
      <c r="A813" s="1" t="str">
        <f ca="1">HYPERLINK("#" &amp; 'Reconciliation report'!I808,'Reconciliation report'!F808)</f>
        <v>OA 5.0/2</v>
      </c>
      <c r="B813" t="str">
        <f ca="1">'Reconciliation report'!C808</f>
        <v xml:space="preserve">
No answer required
Maturity date narrative
</v>
      </c>
      <c r="C813" s="387" t="str">
        <f ca="1">'Reconciliation report'!D808</f>
        <v/>
      </c>
      <c r="D813" s="387" t="str">
        <f t="shared" ca="1" si="12"/>
        <v/>
      </c>
    </row>
    <row r="814" spans="1:4" ht="77.5" hidden="1">
      <c r="A814" s="1" t="str">
        <f ca="1">HYPERLINK("#" &amp; 'Reconciliation report'!I809,'Reconciliation report'!F809)</f>
        <v>OA 6.0/2</v>
      </c>
      <c r="B814" t="str">
        <f ca="1">'Reconciliation report'!C809</f>
        <v xml:space="preserve">
No answer required
Value ascribed (£)
</v>
      </c>
      <c r="C814" s="387" t="str">
        <f ca="1">'Reconciliation report'!D809</f>
        <v/>
      </c>
      <c r="D814" s="387" t="str">
        <f t="shared" ca="1" si="12"/>
        <v/>
      </c>
    </row>
    <row r="815" spans="1:4" ht="77.5" hidden="1">
      <c r="A815" s="1" t="str">
        <f ca="1">HYPERLINK("#" &amp; 'Reconciliation report'!I810,'Reconciliation report'!F810)</f>
        <v>OA 7.0/2</v>
      </c>
      <c r="B815" t="str">
        <f ca="1">'Reconciliation report'!C810</f>
        <v xml:space="preserve">
No answer required
Date of valuation
</v>
      </c>
      <c r="C815" s="387" t="str">
        <f ca="1">'Reconciliation report'!D810</f>
        <v/>
      </c>
      <c r="D815" s="387" t="str">
        <f t="shared" ca="1" si="12"/>
        <v/>
      </c>
    </row>
    <row r="816" spans="1:4" ht="77.5" hidden="1">
      <c r="A816" s="1" t="str">
        <f ca="1">HYPERLINK("#" &amp; 'Reconciliation report'!I811,'Reconciliation report'!F811)</f>
        <v>OA 8.0/2</v>
      </c>
      <c r="B816" t="str">
        <f ca="1">'Reconciliation report'!C811</f>
        <v xml:space="preserve">
No answer required
Value cap
</v>
      </c>
      <c r="C816" s="387" t="str">
        <f ca="1">'Reconciliation report'!D811</f>
        <v/>
      </c>
      <c r="D816" s="387" t="str">
        <f t="shared" ca="1" si="12"/>
        <v/>
      </c>
    </row>
    <row r="817" spans="1:4" ht="77.5" hidden="1">
      <c r="A817" s="1" t="str">
        <f ca="1">HYPERLINK("#" &amp; 'Reconciliation report'!I812,'Reconciliation report'!F812)</f>
        <v>OA 9.0/2</v>
      </c>
      <c r="B817" t="str">
        <f ca="1">'Reconciliation report'!C812</f>
        <v xml:space="preserve">
No answer required
Narrative regarding value cap
</v>
      </c>
      <c r="C817" s="387" t="str">
        <f ca="1">'Reconciliation report'!D812</f>
        <v/>
      </c>
      <c r="D817" s="387" t="str">
        <f t="shared" ca="1" si="12"/>
        <v/>
      </c>
    </row>
    <row r="818" spans="1:4" ht="77.5" hidden="1">
      <c r="A818" s="1" t="str">
        <f ca="1">HYPERLINK("#" &amp; 'Reconciliation report'!I813,'Reconciliation report'!F813)</f>
        <v>OA 10.0/2</v>
      </c>
      <c r="B818" t="str">
        <f ca="1">'Reconciliation report'!C813</f>
        <v xml:space="preserve">
No answer required
Fixed cap amount (£)
</v>
      </c>
      <c r="C818" s="387" t="str">
        <f ca="1">'Reconciliation report'!D813</f>
        <v/>
      </c>
      <c r="D818" s="387" t="str">
        <f t="shared" ca="1" si="12"/>
        <v/>
      </c>
    </row>
    <row r="819" spans="1:4" ht="77.5" hidden="1">
      <c r="A819" s="1" t="str">
        <f ca="1">HYPERLINK("#" &amp; 'Reconciliation report'!I814,'Reconciliation report'!F814)</f>
        <v>OA 11.0/2</v>
      </c>
      <c r="B819" t="str">
        <f ca="1">'Reconciliation report'!C814</f>
        <v xml:space="preserve">
No answer required
Participating employer insolvency
</v>
      </c>
      <c r="C819" s="387" t="str">
        <f ca="1">'Reconciliation report'!D814</f>
        <v/>
      </c>
      <c r="D819" s="387" t="str">
        <f t="shared" ca="1" si="12"/>
        <v/>
      </c>
    </row>
    <row r="820" spans="1:4" ht="77.5" hidden="1">
      <c r="A820" s="1" t="str">
        <f ca="1">HYPERLINK("#" &amp; 'Reconciliation report'!I815,'Reconciliation report'!F815)</f>
        <v>OA 12.0/2</v>
      </c>
      <c r="B820" t="str">
        <f ca="1">'Reconciliation report'!C815</f>
        <v xml:space="preserve">
No answer required
Insolvency of associated company
</v>
      </c>
      <c r="C820" s="387" t="str">
        <f ca="1">'Reconciliation report'!D815</f>
        <v/>
      </c>
      <c r="D820" s="387" t="str">
        <f t="shared" ca="1" si="12"/>
        <v/>
      </c>
    </row>
    <row r="821" spans="1:4" ht="77.5" hidden="1">
      <c r="A821" s="1" t="str">
        <f ca="1">HYPERLINK("#" &amp; 'Reconciliation report'!I816,'Reconciliation report'!F816)</f>
        <v>OA 13.0/2</v>
      </c>
      <c r="B821" t="str">
        <f ca="1">'Reconciliation report'!C816</f>
        <v xml:space="preserve">
No answer required
Non payment of contributions
</v>
      </c>
      <c r="C821" s="387" t="str">
        <f ca="1">'Reconciliation report'!D816</f>
        <v/>
      </c>
      <c r="D821" s="387" t="str">
        <f t="shared" ca="1" si="12"/>
        <v/>
      </c>
    </row>
    <row r="822" spans="1:4" ht="77.5" hidden="1">
      <c r="A822" s="1" t="str">
        <f ca="1">HYPERLINK("#" &amp; 'Reconciliation report'!I817,'Reconciliation report'!F817)</f>
        <v>OA 14.0/2</v>
      </c>
      <c r="B822" t="str">
        <f ca="1">'Reconciliation report'!C817</f>
        <v xml:space="preserve">
No answer required
Crystallisation of investment risk
</v>
      </c>
      <c r="C822" s="387" t="str">
        <f ca="1">'Reconciliation report'!D817</f>
        <v/>
      </c>
      <c r="D822" s="387" t="str">
        <f t="shared" ca="1" si="12"/>
        <v/>
      </c>
    </row>
    <row r="823" spans="1:4" ht="77.5" hidden="1">
      <c r="A823" s="1" t="str">
        <f ca="1">HYPERLINK("#" &amp; 'Reconciliation report'!I818,'Reconciliation report'!F818)</f>
        <v>OA 15.0/2</v>
      </c>
      <c r="B823" t="str">
        <f ca="1">'Reconciliation report'!C818</f>
        <v xml:space="preserve">
No answer required
Other
</v>
      </c>
      <c r="C823" s="387" t="str">
        <f ca="1">'Reconciliation report'!D818</f>
        <v/>
      </c>
      <c r="D823" s="387" t="str">
        <f t="shared" ca="1" si="12"/>
        <v/>
      </c>
    </row>
    <row r="824" spans="1:4" ht="77.5" hidden="1">
      <c r="A824" s="1" t="str">
        <f ca="1">HYPERLINK("#" &amp; 'Reconciliation report'!I819,'Reconciliation report'!F819)</f>
        <v>OA 16.0/2</v>
      </c>
      <c r="B824" t="str">
        <f ca="1">'Reconciliation report'!C819</f>
        <v xml:space="preserve">
No answer required
Narrative regarding triggers for access to value
</v>
      </c>
      <c r="C824" s="387" t="str">
        <f ca="1">'Reconciliation report'!D819</f>
        <v/>
      </c>
      <c r="D824" s="387" t="str">
        <f t="shared" ca="1" si="12"/>
        <v/>
      </c>
    </row>
    <row r="825" spans="1:4" ht="77.5" hidden="1">
      <c r="A825" s="1" t="str">
        <f ca="1">HYPERLINK("#" &amp; 'Reconciliation report'!I820,'Reconciliation report'!F820)</f>
        <v>OA 17.0/2</v>
      </c>
      <c r="B825" t="str">
        <f ca="1">'Reconciliation report'!C820</f>
        <v xml:space="preserve">
No answer required
Triggers for termination
</v>
      </c>
      <c r="C825" s="387" t="str">
        <f ca="1">'Reconciliation report'!D820</f>
        <v/>
      </c>
      <c r="D825" s="387" t="str">
        <f t="shared" ca="1" si="12"/>
        <v/>
      </c>
    </row>
    <row r="826" spans="1:4" ht="77.5" hidden="1">
      <c r="A826" s="1" t="str">
        <f ca="1">HYPERLINK("#" &amp; 'Reconciliation report'!I821,'Reconciliation report'!F821)</f>
        <v>OA 1.0/3</v>
      </c>
      <c r="B826" t="str">
        <f ca="1">'Reconciliation report'!C821</f>
        <v xml:space="preserve">
No answer required
What is the type of contingent asset?
</v>
      </c>
      <c r="C826" s="387" t="str">
        <f ca="1">'Reconciliation report'!D821</f>
        <v/>
      </c>
      <c r="D826" s="387" t="str">
        <f t="shared" ca="1" si="12"/>
        <v/>
      </c>
    </row>
    <row r="827" spans="1:4" ht="77.5" hidden="1">
      <c r="A827" s="1" t="str">
        <f ca="1">HYPERLINK("#" &amp; 'Reconciliation report'!I822,'Reconciliation report'!F822)</f>
        <v>OA 2.0/3</v>
      </c>
      <c r="B827" t="str">
        <f ca="1">'Reconciliation report'!C822</f>
        <v xml:space="preserve">
No answer required
Provide specific details of the contingent asset
</v>
      </c>
      <c r="C827" s="387" t="str">
        <f ca="1">'Reconciliation report'!D822</f>
        <v/>
      </c>
      <c r="D827" s="339" t="str">
        <f t="shared" ca="1" si="12"/>
        <v/>
      </c>
    </row>
    <row r="828" spans="1:4" ht="77.5" hidden="1">
      <c r="A828" s="1" t="str">
        <f ca="1">HYPERLINK("#" &amp; 'Reconciliation report'!I823,'Reconciliation report'!F823)</f>
        <v>OA 3.0/3</v>
      </c>
      <c r="B828" t="str">
        <f ca="1">'Reconciliation report'!C823</f>
        <v xml:space="preserve">
No answer required
Maturity type
</v>
      </c>
      <c r="C828" s="387" t="str">
        <f ca="1">'Reconciliation report'!D823</f>
        <v/>
      </c>
      <c r="D828" s="339" t="str">
        <f t="shared" ca="1" si="12"/>
        <v/>
      </c>
    </row>
    <row r="829" spans="1:4" ht="77.5" hidden="1">
      <c r="A829" s="1" t="str">
        <f ca="1">HYPERLINK("#" &amp; 'Reconciliation report'!I824,'Reconciliation report'!F824)</f>
        <v>OA 4.0/3</v>
      </c>
      <c r="B829" t="str">
        <f ca="1">'Reconciliation report'!C824</f>
        <v xml:space="preserve">
No answer required
Date of Maturity
</v>
      </c>
      <c r="C829" s="387" t="str">
        <f ca="1">'Reconciliation report'!D824</f>
        <v/>
      </c>
      <c r="D829" s="339" t="str">
        <f t="shared" ca="1" si="12"/>
        <v/>
      </c>
    </row>
    <row r="830" spans="1:4" ht="77.5" hidden="1">
      <c r="A830" s="1" t="str">
        <f ca="1">HYPERLINK("#" &amp; 'Reconciliation report'!I825,'Reconciliation report'!F825)</f>
        <v>OA 5.0/3</v>
      </c>
      <c r="B830" t="str">
        <f ca="1">'Reconciliation report'!C825</f>
        <v xml:space="preserve">
No answer required
Maturity date narrative
</v>
      </c>
      <c r="C830" s="387" t="str">
        <f ca="1">'Reconciliation report'!D825</f>
        <v/>
      </c>
      <c r="D830" s="339" t="str">
        <f t="shared" ca="1" si="12"/>
        <v/>
      </c>
    </row>
    <row r="831" spans="1:4" ht="77.5" hidden="1">
      <c r="A831" s="1" t="str">
        <f ca="1">HYPERLINK("#" &amp; 'Reconciliation report'!I826,'Reconciliation report'!F826)</f>
        <v>OA 6.0/3</v>
      </c>
      <c r="B831" t="str">
        <f ca="1">'Reconciliation report'!C826</f>
        <v xml:space="preserve">
No answer required
Value ascribed (£)
</v>
      </c>
      <c r="C831" s="387" t="str">
        <f ca="1">'Reconciliation report'!D826</f>
        <v/>
      </c>
      <c r="D831" s="339" t="str">
        <f t="shared" ca="1" si="12"/>
        <v/>
      </c>
    </row>
    <row r="832" spans="1:4" ht="77.5" hidden="1">
      <c r="A832" s="1" t="str">
        <f ca="1">HYPERLINK("#" &amp; 'Reconciliation report'!I827,'Reconciliation report'!F827)</f>
        <v>OA 7.0/3</v>
      </c>
      <c r="B832" t="str">
        <f ca="1">'Reconciliation report'!C827</f>
        <v xml:space="preserve">
No answer required
Date of valuation
</v>
      </c>
      <c r="C832" s="387" t="str">
        <f ca="1">'Reconciliation report'!D827</f>
        <v/>
      </c>
      <c r="D832" s="339" t="str">
        <f t="shared" ca="1" si="12"/>
        <v/>
      </c>
    </row>
    <row r="833" spans="1:4" ht="77.5" hidden="1">
      <c r="A833" s="1" t="str">
        <f ca="1">HYPERLINK("#" &amp; 'Reconciliation report'!I828,'Reconciliation report'!F828)</f>
        <v>OA 8.0/3</v>
      </c>
      <c r="B833" t="str">
        <f ca="1">'Reconciliation report'!C828</f>
        <v xml:space="preserve">
No answer required
Value cap
</v>
      </c>
      <c r="C833" s="387" t="str">
        <f ca="1">'Reconciliation report'!D828</f>
        <v/>
      </c>
      <c r="D833" s="339" t="str">
        <f t="shared" ca="1" si="12"/>
        <v/>
      </c>
    </row>
    <row r="834" spans="1:4" ht="77.5" hidden="1">
      <c r="A834" s="1" t="str">
        <f ca="1">HYPERLINK("#" &amp; 'Reconciliation report'!I829,'Reconciliation report'!F829)</f>
        <v>OA 9.0/3</v>
      </c>
      <c r="B834" t="str">
        <f ca="1">'Reconciliation report'!C829</f>
        <v xml:space="preserve">
No answer required
Narrative regarding value cap
</v>
      </c>
      <c r="C834" s="387" t="str">
        <f ca="1">'Reconciliation report'!D829</f>
        <v/>
      </c>
      <c r="D834" s="339" t="str">
        <f t="shared" ca="1" si="12"/>
        <v/>
      </c>
    </row>
    <row r="835" spans="1:4" ht="77.5" hidden="1">
      <c r="A835" s="1" t="str">
        <f ca="1">HYPERLINK("#" &amp; 'Reconciliation report'!I830,'Reconciliation report'!F830)</f>
        <v>OA 10.0/3</v>
      </c>
      <c r="B835" t="str">
        <f ca="1">'Reconciliation report'!C830</f>
        <v xml:space="preserve">
No answer required
Fixed cap amount (£)
</v>
      </c>
      <c r="C835" s="387" t="str">
        <f ca="1">'Reconciliation report'!D830</f>
        <v/>
      </c>
      <c r="D835" s="339" t="str">
        <f t="shared" ca="1" si="12"/>
        <v/>
      </c>
    </row>
    <row r="836" spans="1:4" ht="77.5" hidden="1">
      <c r="A836" s="1" t="str">
        <f ca="1">HYPERLINK("#" &amp; 'Reconciliation report'!I831,'Reconciliation report'!F831)</f>
        <v>OA 11.0/3</v>
      </c>
      <c r="B836" t="str">
        <f ca="1">'Reconciliation report'!C831</f>
        <v xml:space="preserve">
No answer required
Participating employer insolvency
</v>
      </c>
      <c r="C836" s="387" t="str">
        <f ca="1">'Reconciliation report'!D831</f>
        <v/>
      </c>
      <c r="D836" s="339" t="str">
        <f t="shared" ca="1" si="12"/>
        <v/>
      </c>
    </row>
    <row r="837" spans="1:4" ht="77.5" hidden="1">
      <c r="A837" s="1" t="str">
        <f ca="1">HYPERLINK("#" &amp; 'Reconciliation report'!I832,'Reconciliation report'!F832)</f>
        <v>OA 12.0/3</v>
      </c>
      <c r="B837" t="str">
        <f ca="1">'Reconciliation report'!C832</f>
        <v xml:space="preserve">
No answer required
Insolvency of associated company
</v>
      </c>
      <c r="C837" s="387" t="str">
        <f ca="1">'Reconciliation report'!D832</f>
        <v/>
      </c>
      <c r="D837" s="339" t="str">
        <f t="shared" ca="1" si="12"/>
        <v/>
      </c>
    </row>
    <row r="838" spans="1:4" ht="77.5" hidden="1">
      <c r="A838" s="1" t="str">
        <f ca="1">HYPERLINK("#" &amp; 'Reconciliation report'!I833,'Reconciliation report'!F833)</f>
        <v>OA 13.0/3</v>
      </c>
      <c r="B838" t="str">
        <f ca="1">'Reconciliation report'!C833</f>
        <v xml:space="preserve">
No answer required
Non payment of contributions
</v>
      </c>
      <c r="C838" s="387" t="str">
        <f ca="1">'Reconciliation report'!D833</f>
        <v/>
      </c>
      <c r="D838" s="339" t="str">
        <f t="shared" ca="1" si="12"/>
        <v/>
      </c>
    </row>
    <row r="839" spans="1:4" ht="77.5" hidden="1">
      <c r="A839" s="1" t="str">
        <f ca="1">HYPERLINK("#" &amp; 'Reconciliation report'!I834,'Reconciliation report'!F834)</f>
        <v>OA 14.0/3</v>
      </c>
      <c r="B839" t="str">
        <f ca="1">'Reconciliation report'!C834</f>
        <v xml:space="preserve">
No answer required
Crystallisation of investment risk
</v>
      </c>
      <c r="C839" s="387" t="str">
        <f ca="1">'Reconciliation report'!D834</f>
        <v/>
      </c>
      <c r="D839" s="339" t="str">
        <f t="shared" ref="D839:D902" ca="1" si="13">IFERROR(IF(LEN(TRIM(CLEAN(C839))) &gt; 0, "Refresh the error report", ""), "")</f>
        <v/>
      </c>
    </row>
    <row r="840" spans="1:4" ht="77.5" hidden="1">
      <c r="A840" s="1" t="str">
        <f ca="1">HYPERLINK("#" &amp; 'Reconciliation report'!I835,'Reconciliation report'!F835)</f>
        <v>OA 15.0/3</v>
      </c>
      <c r="B840" t="str">
        <f ca="1">'Reconciliation report'!C835</f>
        <v xml:space="preserve">
No answer required
Other
</v>
      </c>
      <c r="C840" s="387" t="str">
        <f ca="1">'Reconciliation report'!D835</f>
        <v/>
      </c>
      <c r="D840" s="339" t="str">
        <f t="shared" ca="1" si="13"/>
        <v/>
      </c>
    </row>
    <row r="841" spans="1:4" ht="77.5" hidden="1">
      <c r="A841" s="1" t="str">
        <f ca="1">HYPERLINK("#" &amp; 'Reconciliation report'!I836,'Reconciliation report'!F836)</f>
        <v>OA 16.0/3</v>
      </c>
      <c r="B841" t="str">
        <f ca="1">'Reconciliation report'!C836</f>
        <v xml:space="preserve">
No answer required
Narrative regarding triggers for access to value
</v>
      </c>
      <c r="C841" s="387" t="str">
        <f ca="1">'Reconciliation report'!D836</f>
        <v/>
      </c>
      <c r="D841" s="339" t="str">
        <f t="shared" ca="1" si="13"/>
        <v/>
      </c>
    </row>
    <row r="842" spans="1:4" ht="77.5" hidden="1">
      <c r="A842" s="1" t="str">
        <f ca="1">HYPERLINK("#" &amp; 'Reconciliation report'!I837,'Reconciliation report'!F837)</f>
        <v>OA 17.0/3</v>
      </c>
      <c r="B842" t="str">
        <f ca="1">'Reconciliation report'!C837</f>
        <v xml:space="preserve">
No answer required
Triggers for termination
</v>
      </c>
      <c r="C842" s="387" t="str">
        <f ca="1">'Reconciliation report'!D837</f>
        <v/>
      </c>
      <c r="D842" s="339" t="str">
        <f t="shared" ca="1" si="13"/>
        <v/>
      </c>
    </row>
    <row r="843" spans="1:4" ht="77.5" hidden="1">
      <c r="A843" s="1" t="str">
        <f ca="1">HYPERLINK("#" &amp; 'Reconciliation report'!I838,'Reconciliation report'!F838)</f>
        <v>OA 1.0/4</v>
      </c>
      <c r="B843" t="str">
        <f ca="1">'Reconciliation report'!C838</f>
        <v xml:space="preserve">
No answer required
What is the type of contingent asset?
</v>
      </c>
      <c r="C843" s="387" t="str">
        <f ca="1">'Reconciliation report'!D838</f>
        <v/>
      </c>
      <c r="D843" s="339" t="str">
        <f t="shared" ca="1" si="13"/>
        <v/>
      </c>
    </row>
    <row r="844" spans="1:4" ht="77.5" hidden="1">
      <c r="A844" s="1" t="str">
        <f ca="1">HYPERLINK("#" &amp; 'Reconciliation report'!I839,'Reconciliation report'!F839)</f>
        <v>OA 2.0/4</v>
      </c>
      <c r="B844" t="str">
        <f ca="1">'Reconciliation report'!C839</f>
        <v xml:space="preserve">
No answer required
Provide specific details of the contingent asset
</v>
      </c>
      <c r="C844" s="387" t="str">
        <f ca="1">'Reconciliation report'!D839</f>
        <v/>
      </c>
      <c r="D844" s="339" t="str">
        <f t="shared" ca="1" si="13"/>
        <v/>
      </c>
    </row>
    <row r="845" spans="1:4" ht="77.5" hidden="1">
      <c r="A845" s="1" t="str">
        <f ca="1">HYPERLINK("#" &amp; 'Reconciliation report'!I840,'Reconciliation report'!F840)</f>
        <v>OA 3.0/4</v>
      </c>
      <c r="B845" t="str">
        <f ca="1">'Reconciliation report'!C840</f>
        <v xml:space="preserve">
No answer required
Maturity type
</v>
      </c>
      <c r="C845" s="387" t="str">
        <f ca="1">'Reconciliation report'!D840</f>
        <v/>
      </c>
      <c r="D845" s="339" t="str">
        <f t="shared" ca="1" si="13"/>
        <v/>
      </c>
    </row>
    <row r="846" spans="1:4" ht="77.5" hidden="1">
      <c r="A846" s="1" t="str">
        <f ca="1">HYPERLINK("#" &amp; 'Reconciliation report'!I841,'Reconciliation report'!F841)</f>
        <v>OA 4.0/4</v>
      </c>
      <c r="B846" t="str">
        <f ca="1">'Reconciliation report'!C841</f>
        <v xml:space="preserve">
No answer required
Date of Maturity
</v>
      </c>
      <c r="C846" s="387" t="str">
        <f ca="1">'Reconciliation report'!D841</f>
        <v/>
      </c>
      <c r="D846" s="339" t="str">
        <f t="shared" ca="1" si="13"/>
        <v/>
      </c>
    </row>
    <row r="847" spans="1:4" ht="77.5" hidden="1">
      <c r="A847" s="1" t="str">
        <f ca="1">HYPERLINK("#" &amp; 'Reconciliation report'!I842,'Reconciliation report'!F842)</f>
        <v>OA 5.0/4</v>
      </c>
      <c r="B847" t="str">
        <f ca="1">'Reconciliation report'!C842</f>
        <v xml:space="preserve">
No answer required
Maturity date narrative
</v>
      </c>
      <c r="C847" s="387" t="str">
        <f ca="1">'Reconciliation report'!D842</f>
        <v/>
      </c>
      <c r="D847" s="339" t="str">
        <f t="shared" ca="1" si="13"/>
        <v/>
      </c>
    </row>
    <row r="848" spans="1:4" ht="77.5" hidden="1">
      <c r="A848" s="1" t="str">
        <f ca="1">HYPERLINK("#" &amp; 'Reconciliation report'!I843,'Reconciliation report'!F843)</f>
        <v>OA 6.0/4</v>
      </c>
      <c r="B848" t="str">
        <f ca="1">'Reconciliation report'!C843</f>
        <v xml:space="preserve">
No answer required
Value ascribed (£)
</v>
      </c>
      <c r="C848" s="387" t="str">
        <f ca="1">'Reconciliation report'!D843</f>
        <v/>
      </c>
      <c r="D848" s="339" t="str">
        <f t="shared" ca="1" si="13"/>
        <v/>
      </c>
    </row>
    <row r="849" spans="1:4" ht="77.5" hidden="1">
      <c r="A849" s="1" t="str">
        <f ca="1">HYPERLINK("#" &amp; 'Reconciliation report'!I844,'Reconciliation report'!F844)</f>
        <v>OA 7.0/4</v>
      </c>
      <c r="B849" t="str">
        <f ca="1">'Reconciliation report'!C844</f>
        <v xml:space="preserve">
No answer required
Date of valuation
</v>
      </c>
      <c r="C849" s="387" t="str">
        <f ca="1">'Reconciliation report'!D844</f>
        <v/>
      </c>
      <c r="D849" s="339" t="str">
        <f t="shared" ca="1" si="13"/>
        <v/>
      </c>
    </row>
    <row r="850" spans="1:4" ht="77.5" hidden="1">
      <c r="A850" s="1" t="str">
        <f ca="1">HYPERLINK("#" &amp; 'Reconciliation report'!I845,'Reconciliation report'!F845)</f>
        <v>OA 8.0/4</v>
      </c>
      <c r="B850" t="str">
        <f ca="1">'Reconciliation report'!C845</f>
        <v xml:space="preserve">
No answer required
Value cap
</v>
      </c>
      <c r="C850" s="387" t="str">
        <f ca="1">'Reconciliation report'!D845</f>
        <v/>
      </c>
      <c r="D850" s="339" t="str">
        <f t="shared" ca="1" si="13"/>
        <v/>
      </c>
    </row>
    <row r="851" spans="1:4" ht="77.5" hidden="1">
      <c r="A851" s="1" t="str">
        <f ca="1">HYPERLINK("#" &amp; 'Reconciliation report'!I846,'Reconciliation report'!F846)</f>
        <v>OA 9.0/4</v>
      </c>
      <c r="B851" t="str">
        <f ca="1">'Reconciliation report'!C846</f>
        <v xml:space="preserve">
No answer required
Narrative regarding value cap
</v>
      </c>
      <c r="C851" s="387" t="str">
        <f ca="1">'Reconciliation report'!D846</f>
        <v/>
      </c>
      <c r="D851" s="339" t="str">
        <f t="shared" ca="1" si="13"/>
        <v/>
      </c>
    </row>
    <row r="852" spans="1:4" ht="77.5" hidden="1">
      <c r="A852" s="1" t="str">
        <f ca="1">HYPERLINK("#" &amp; 'Reconciliation report'!I847,'Reconciliation report'!F847)</f>
        <v>OA 10.0/4</v>
      </c>
      <c r="B852" t="str">
        <f ca="1">'Reconciliation report'!C847</f>
        <v xml:space="preserve">
No answer required
Fixed cap amount (£)
</v>
      </c>
      <c r="C852" s="387" t="str">
        <f ca="1">'Reconciliation report'!D847</f>
        <v/>
      </c>
      <c r="D852" s="339" t="str">
        <f t="shared" ca="1" si="13"/>
        <v/>
      </c>
    </row>
    <row r="853" spans="1:4" ht="77.5" hidden="1">
      <c r="A853" s="1" t="str">
        <f ca="1">HYPERLINK("#" &amp; 'Reconciliation report'!I848,'Reconciliation report'!F848)</f>
        <v>OA 11.0/4</v>
      </c>
      <c r="B853" t="str">
        <f ca="1">'Reconciliation report'!C848</f>
        <v xml:space="preserve">
No answer required
Participating employer insolvency
</v>
      </c>
      <c r="C853" s="387" t="str">
        <f ca="1">'Reconciliation report'!D848</f>
        <v/>
      </c>
      <c r="D853" s="339" t="str">
        <f t="shared" ca="1" si="13"/>
        <v/>
      </c>
    </row>
    <row r="854" spans="1:4" ht="77.5" hidden="1">
      <c r="A854" s="1" t="str">
        <f ca="1">HYPERLINK("#" &amp; 'Reconciliation report'!I849,'Reconciliation report'!F849)</f>
        <v>OA 12.0/4</v>
      </c>
      <c r="B854" t="str">
        <f ca="1">'Reconciliation report'!C849</f>
        <v xml:space="preserve">
No answer required
Insolvency of associated company
</v>
      </c>
      <c r="C854" s="387" t="str">
        <f ca="1">'Reconciliation report'!D849</f>
        <v/>
      </c>
      <c r="D854" s="339" t="str">
        <f t="shared" ca="1" si="13"/>
        <v/>
      </c>
    </row>
    <row r="855" spans="1:4" ht="77.5" hidden="1">
      <c r="A855" s="1" t="str">
        <f ca="1">HYPERLINK("#" &amp; 'Reconciliation report'!I850,'Reconciliation report'!F850)</f>
        <v>OA 13.0/4</v>
      </c>
      <c r="B855" t="str">
        <f ca="1">'Reconciliation report'!C850</f>
        <v xml:space="preserve">
No answer required
Non payment of contributions
</v>
      </c>
      <c r="C855" s="387" t="str">
        <f ca="1">'Reconciliation report'!D850</f>
        <v/>
      </c>
      <c r="D855" s="339" t="str">
        <f t="shared" ca="1" si="13"/>
        <v/>
      </c>
    </row>
    <row r="856" spans="1:4" ht="77.5" hidden="1">
      <c r="A856" s="1" t="str">
        <f ca="1">HYPERLINK("#" &amp; 'Reconciliation report'!I851,'Reconciliation report'!F851)</f>
        <v>OA 14.0/4</v>
      </c>
      <c r="B856" t="str">
        <f ca="1">'Reconciliation report'!C851</f>
        <v xml:space="preserve">
No answer required
Crystallisation of investment risk
</v>
      </c>
      <c r="C856" s="387" t="str">
        <f ca="1">'Reconciliation report'!D851</f>
        <v/>
      </c>
      <c r="D856" s="339" t="str">
        <f t="shared" ca="1" si="13"/>
        <v/>
      </c>
    </row>
    <row r="857" spans="1:4" ht="77.5" hidden="1">
      <c r="A857" s="1" t="str">
        <f ca="1">HYPERLINK("#" &amp; 'Reconciliation report'!I852,'Reconciliation report'!F852)</f>
        <v>OA 15.0/4</v>
      </c>
      <c r="B857" t="str">
        <f ca="1">'Reconciliation report'!C852</f>
        <v xml:space="preserve">
No answer required
Other
</v>
      </c>
      <c r="C857" s="387" t="str">
        <f ca="1">'Reconciliation report'!D852</f>
        <v/>
      </c>
      <c r="D857" s="339" t="str">
        <f t="shared" ca="1" si="13"/>
        <v/>
      </c>
    </row>
    <row r="858" spans="1:4" ht="77.5" hidden="1">
      <c r="A858" s="1" t="str">
        <f ca="1">HYPERLINK("#" &amp; 'Reconciliation report'!I853,'Reconciliation report'!F853)</f>
        <v>OA 16.0/4</v>
      </c>
      <c r="B858" t="str">
        <f ca="1">'Reconciliation report'!C853</f>
        <v xml:space="preserve">
No answer required
Narrative regarding triggers for access to value
</v>
      </c>
      <c r="C858" s="387" t="str">
        <f ca="1">'Reconciliation report'!D853</f>
        <v/>
      </c>
      <c r="D858" s="339" t="str">
        <f t="shared" ca="1" si="13"/>
        <v/>
      </c>
    </row>
    <row r="859" spans="1:4" ht="77.5" hidden="1">
      <c r="A859" s="1" t="str">
        <f ca="1">HYPERLINK("#" &amp; 'Reconciliation report'!I854,'Reconciliation report'!F854)</f>
        <v>OA 17.0/4</v>
      </c>
      <c r="B859" t="str">
        <f ca="1">'Reconciliation report'!C854</f>
        <v xml:space="preserve">
No answer required
Triggers for termination
</v>
      </c>
      <c r="C859" s="387" t="str">
        <f ca="1">'Reconciliation report'!D854</f>
        <v/>
      </c>
      <c r="D859" s="339" t="str">
        <f t="shared" ca="1" si="13"/>
        <v/>
      </c>
    </row>
    <row r="860" spans="1:4" ht="77.5" hidden="1">
      <c r="A860" s="1" t="str">
        <f ca="1">HYPERLINK("#" &amp; 'Reconciliation report'!I855,'Reconciliation report'!F855)</f>
        <v>OA 1.0/5</v>
      </c>
      <c r="B860" t="str">
        <f ca="1">'Reconciliation report'!C855</f>
        <v xml:space="preserve">
No answer required
What is the type of contingent asset?
</v>
      </c>
      <c r="C860" s="387" t="str">
        <f ca="1">'Reconciliation report'!D855</f>
        <v/>
      </c>
      <c r="D860" s="339" t="str">
        <f t="shared" ca="1" si="13"/>
        <v/>
      </c>
    </row>
    <row r="861" spans="1:4" ht="77.5" hidden="1">
      <c r="A861" s="1" t="str">
        <f ca="1">HYPERLINK("#" &amp; 'Reconciliation report'!I856,'Reconciliation report'!F856)</f>
        <v>OA 2.0/5</v>
      </c>
      <c r="B861" t="str">
        <f ca="1">'Reconciliation report'!C856</f>
        <v xml:space="preserve">
No answer required
Provide specific details of the contingent asset
</v>
      </c>
      <c r="C861" s="387" t="str">
        <f ca="1">'Reconciliation report'!D856</f>
        <v/>
      </c>
      <c r="D861" s="339" t="str">
        <f t="shared" ca="1" si="13"/>
        <v/>
      </c>
    </row>
    <row r="862" spans="1:4" ht="77.5" hidden="1">
      <c r="A862" s="1" t="str">
        <f ca="1">HYPERLINK("#" &amp; 'Reconciliation report'!I857,'Reconciliation report'!F857)</f>
        <v>OA 3.0/5</v>
      </c>
      <c r="B862" t="str">
        <f ca="1">'Reconciliation report'!C857</f>
        <v xml:space="preserve">
No answer required
Maturity type
</v>
      </c>
      <c r="C862" s="387" t="str">
        <f ca="1">'Reconciliation report'!D857</f>
        <v/>
      </c>
      <c r="D862" s="339" t="str">
        <f t="shared" ca="1" si="13"/>
        <v/>
      </c>
    </row>
    <row r="863" spans="1:4" ht="77.5" hidden="1">
      <c r="A863" s="1" t="str">
        <f ca="1">HYPERLINK("#" &amp; 'Reconciliation report'!I858,'Reconciliation report'!F858)</f>
        <v>OA 4.0/5</v>
      </c>
      <c r="B863" t="str">
        <f ca="1">'Reconciliation report'!C858</f>
        <v xml:space="preserve">
No answer required
Date of Maturity
</v>
      </c>
      <c r="C863" s="387" t="str">
        <f ca="1">'Reconciliation report'!D858</f>
        <v/>
      </c>
      <c r="D863" s="339" t="str">
        <f t="shared" ca="1" si="13"/>
        <v/>
      </c>
    </row>
    <row r="864" spans="1:4" ht="77.5" hidden="1">
      <c r="A864" s="1" t="str">
        <f ca="1">HYPERLINK("#" &amp; 'Reconciliation report'!I859,'Reconciliation report'!F859)</f>
        <v>OA 5.0/5</v>
      </c>
      <c r="B864" t="str">
        <f ca="1">'Reconciliation report'!C859</f>
        <v xml:space="preserve">
No answer required
Maturity date narrative
</v>
      </c>
      <c r="C864" s="387" t="str">
        <f ca="1">'Reconciliation report'!D859</f>
        <v/>
      </c>
      <c r="D864" s="339" t="str">
        <f t="shared" ca="1" si="13"/>
        <v/>
      </c>
    </row>
    <row r="865" spans="1:4" ht="77.5" hidden="1">
      <c r="A865" s="1" t="str">
        <f ca="1">HYPERLINK("#" &amp; 'Reconciliation report'!I860,'Reconciliation report'!F860)</f>
        <v>OA 6.0/5</v>
      </c>
      <c r="B865" t="str">
        <f ca="1">'Reconciliation report'!C860</f>
        <v xml:space="preserve">
No answer required
Value ascribed (£)
</v>
      </c>
      <c r="C865" s="387" t="str">
        <f ca="1">'Reconciliation report'!D860</f>
        <v/>
      </c>
      <c r="D865" s="339" t="str">
        <f t="shared" ca="1" si="13"/>
        <v/>
      </c>
    </row>
    <row r="866" spans="1:4" ht="77.5" hidden="1">
      <c r="A866" s="1" t="str">
        <f ca="1">HYPERLINK("#" &amp; 'Reconciliation report'!I861,'Reconciliation report'!F861)</f>
        <v>OA 7.0/5</v>
      </c>
      <c r="B866" t="str">
        <f ca="1">'Reconciliation report'!C861</f>
        <v xml:space="preserve">
No answer required
Date of valuation
</v>
      </c>
      <c r="C866" s="387" t="str">
        <f ca="1">'Reconciliation report'!D861</f>
        <v/>
      </c>
      <c r="D866" s="339" t="str">
        <f t="shared" ca="1" si="13"/>
        <v/>
      </c>
    </row>
    <row r="867" spans="1:4" ht="77.5" hidden="1">
      <c r="A867" s="1" t="str">
        <f ca="1">HYPERLINK("#" &amp; 'Reconciliation report'!I862,'Reconciliation report'!F862)</f>
        <v>OA 8.0/5</v>
      </c>
      <c r="B867" t="str">
        <f ca="1">'Reconciliation report'!C862</f>
        <v xml:space="preserve">
No answer required
Value cap
</v>
      </c>
      <c r="C867" s="387" t="str">
        <f ca="1">'Reconciliation report'!D862</f>
        <v/>
      </c>
      <c r="D867" s="339" t="str">
        <f t="shared" ca="1" si="13"/>
        <v/>
      </c>
    </row>
    <row r="868" spans="1:4" ht="77.5" hidden="1">
      <c r="A868" s="1" t="str">
        <f ca="1">HYPERLINK("#" &amp; 'Reconciliation report'!I863,'Reconciliation report'!F863)</f>
        <v>OA 9.0/5</v>
      </c>
      <c r="B868" t="str">
        <f ca="1">'Reconciliation report'!C863</f>
        <v xml:space="preserve">
No answer required
Narrative regarding value cap
</v>
      </c>
      <c r="C868" s="387" t="str">
        <f ca="1">'Reconciliation report'!D863</f>
        <v/>
      </c>
      <c r="D868" s="339" t="str">
        <f t="shared" ca="1" si="13"/>
        <v/>
      </c>
    </row>
    <row r="869" spans="1:4" ht="77.5" hidden="1">
      <c r="A869" s="1" t="str">
        <f ca="1">HYPERLINK("#" &amp; 'Reconciliation report'!I864,'Reconciliation report'!F864)</f>
        <v>OA 10.0/5</v>
      </c>
      <c r="B869" t="str">
        <f ca="1">'Reconciliation report'!C864</f>
        <v xml:space="preserve">
No answer required
Fixed cap amount (£)
</v>
      </c>
      <c r="C869" s="387" t="str">
        <f ca="1">'Reconciliation report'!D864</f>
        <v/>
      </c>
      <c r="D869" s="339" t="str">
        <f t="shared" ca="1" si="13"/>
        <v/>
      </c>
    </row>
    <row r="870" spans="1:4" ht="77.5" hidden="1">
      <c r="A870" s="1" t="str">
        <f ca="1">HYPERLINK("#" &amp; 'Reconciliation report'!I865,'Reconciliation report'!F865)</f>
        <v>OA 11.0/5</v>
      </c>
      <c r="B870" t="str">
        <f ca="1">'Reconciliation report'!C865</f>
        <v xml:space="preserve">
No answer required
Participating employer insolvency
</v>
      </c>
      <c r="C870" s="387" t="str">
        <f ca="1">'Reconciliation report'!D865</f>
        <v/>
      </c>
      <c r="D870" s="339" t="str">
        <f t="shared" ca="1" si="13"/>
        <v/>
      </c>
    </row>
    <row r="871" spans="1:4" ht="77.5" hidden="1">
      <c r="A871" s="1" t="str">
        <f ca="1">HYPERLINK("#" &amp; 'Reconciliation report'!I866,'Reconciliation report'!F866)</f>
        <v>OA 12.0/5</v>
      </c>
      <c r="B871" t="str">
        <f ca="1">'Reconciliation report'!C866</f>
        <v xml:space="preserve">
No answer required
Insolvency of associated company
</v>
      </c>
      <c r="C871" s="387" t="str">
        <f ca="1">'Reconciliation report'!D866</f>
        <v/>
      </c>
      <c r="D871" s="339" t="str">
        <f t="shared" ca="1" si="13"/>
        <v/>
      </c>
    </row>
    <row r="872" spans="1:4" ht="77.5" hidden="1">
      <c r="A872" s="1" t="str">
        <f ca="1">HYPERLINK("#" &amp; 'Reconciliation report'!I867,'Reconciliation report'!F867)</f>
        <v>OA 13.0/5</v>
      </c>
      <c r="B872" t="str">
        <f ca="1">'Reconciliation report'!C867</f>
        <v xml:space="preserve">
No answer required
Non payment of contributions
</v>
      </c>
      <c r="C872" s="387" t="str">
        <f ca="1">'Reconciliation report'!D867</f>
        <v/>
      </c>
      <c r="D872" s="339" t="str">
        <f t="shared" ca="1" si="13"/>
        <v/>
      </c>
    </row>
    <row r="873" spans="1:4" ht="77.5" hidden="1">
      <c r="A873" s="1" t="str">
        <f ca="1">HYPERLINK("#" &amp; 'Reconciliation report'!I868,'Reconciliation report'!F868)</f>
        <v>OA 14.0/5</v>
      </c>
      <c r="B873" t="str">
        <f ca="1">'Reconciliation report'!C868</f>
        <v xml:space="preserve">
No answer required
Crystallisation of investment risk
</v>
      </c>
      <c r="C873" s="387" t="str">
        <f ca="1">'Reconciliation report'!D868</f>
        <v/>
      </c>
      <c r="D873" s="339" t="str">
        <f t="shared" ca="1" si="13"/>
        <v/>
      </c>
    </row>
    <row r="874" spans="1:4" ht="77.5" hidden="1">
      <c r="A874" s="1" t="str">
        <f ca="1">HYPERLINK("#" &amp; 'Reconciliation report'!I869,'Reconciliation report'!F869)</f>
        <v>OA 15.0/5</v>
      </c>
      <c r="B874" t="str">
        <f ca="1">'Reconciliation report'!C869</f>
        <v xml:space="preserve">
No answer required
Other
</v>
      </c>
      <c r="C874" s="387" t="str">
        <f ca="1">'Reconciliation report'!D869</f>
        <v/>
      </c>
      <c r="D874" s="339" t="str">
        <f t="shared" ca="1" si="13"/>
        <v/>
      </c>
    </row>
    <row r="875" spans="1:4" ht="77.5" hidden="1">
      <c r="A875" s="1" t="str">
        <f ca="1">HYPERLINK("#" &amp; 'Reconciliation report'!I870,'Reconciliation report'!F870)</f>
        <v>OA 16.0/5</v>
      </c>
      <c r="B875" t="str">
        <f ca="1">'Reconciliation report'!C870</f>
        <v xml:space="preserve">
No answer required
Narrative regarding triggers for access to value
</v>
      </c>
      <c r="C875" s="387" t="str">
        <f ca="1">'Reconciliation report'!D870</f>
        <v/>
      </c>
      <c r="D875" s="339" t="str">
        <f t="shared" ca="1" si="13"/>
        <v/>
      </c>
    </row>
    <row r="876" spans="1:4" ht="77.5" hidden="1">
      <c r="A876" s="1" t="str">
        <f ca="1">HYPERLINK("#" &amp; 'Reconciliation report'!I871,'Reconciliation report'!F871)</f>
        <v>OA 17.0/5</v>
      </c>
      <c r="B876" t="str">
        <f ca="1">'Reconciliation report'!C871</f>
        <v xml:space="preserve">
No answer required
Triggers for termination
</v>
      </c>
      <c r="C876" s="387" t="str">
        <f ca="1">'Reconciliation report'!D871</f>
        <v/>
      </c>
      <c r="D876" s="339" t="str">
        <f t="shared" ca="1" si="13"/>
        <v/>
      </c>
    </row>
    <row r="877" spans="1:4" ht="62">
      <c r="A877" s="1" t="str">
        <f ca="1">HYPERLINK("#" &amp; 'Reconciliation report'!I872,'Reconciliation report'!F872)</f>
        <v>ABC 1.0</v>
      </c>
      <c r="B877" t="str">
        <f ca="1">'Reconciliation report'!C872</f>
        <v xml:space="preserve">
How many asset-backed contribution (ABC) arrangements do the trustees wish to include details about?
</v>
      </c>
      <c r="C877" s="387" t="str">
        <f ca="1">'Reconciliation report'!D872</f>
        <v xml:space="preserve">
Enter a whole number greater than or equal to 0.
</v>
      </c>
      <c r="D877" s="339" t="str">
        <f t="shared" ca="1" si="13"/>
        <v>Refresh the error report</v>
      </c>
    </row>
    <row r="878" spans="1:4" ht="77.5" hidden="1">
      <c r="A878" s="1" t="str">
        <f ca="1">HYPERLINK("#" &amp; 'Reconciliation report'!I873,'Reconciliation report'!F873)</f>
        <v>ABC 2.0</v>
      </c>
      <c r="B878" t="str">
        <f ca="1">'Reconciliation report'!C873</f>
        <v xml:space="preserve">No answer required
What is the total value of scheme's interest in any ABC (also known as net present value)? (£)
</v>
      </c>
      <c r="C878" s="387" t="str">
        <f ca="1">'Reconciliation report'!D873</f>
        <v/>
      </c>
      <c r="D878" s="339" t="str">
        <f t="shared" ca="1" si="13"/>
        <v/>
      </c>
    </row>
    <row r="879" spans="1:4" ht="93" hidden="1">
      <c r="A879" s="1" t="str">
        <f ca="1">HYPERLINK("#" &amp; 'Reconciliation report'!I874,'Reconciliation report'!F874)</f>
        <v>ABC 3.0/1</v>
      </c>
      <c r="B879" t="str">
        <f ca="1">'Reconciliation report'!C874</f>
        <v xml:space="preserve">
No answer required
What is the type of security underlying the asset backed contribution arrangement?
</v>
      </c>
      <c r="C879" s="387" t="str">
        <f ca="1">'Reconciliation report'!D874</f>
        <v/>
      </c>
      <c r="D879" s="339" t="str">
        <f t="shared" ca="1" si="13"/>
        <v/>
      </c>
    </row>
    <row r="880" spans="1:4" ht="77.5" hidden="1">
      <c r="A880" s="1" t="str">
        <f ca="1">HYPERLINK("#" &amp; 'Reconciliation report'!I875,'Reconciliation report'!F875)</f>
        <v>ABC 4.0/1</v>
      </c>
      <c r="B880" t="str">
        <f ca="1">'Reconciliation report'!C875</f>
        <v xml:space="preserve">
No answer required
A summary of the underlying asset
</v>
      </c>
      <c r="C880" s="387" t="str">
        <f ca="1">'Reconciliation report'!D875</f>
        <v/>
      </c>
      <c r="D880" s="339" t="str">
        <f t="shared" ca="1" si="13"/>
        <v/>
      </c>
    </row>
    <row r="881" spans="1:4" ht="77.5" hidden="1">
      <c r="A881" s="1" t="str">
        <f ca="1">HYPERLINK("#" &amp; 'Reconciliation report'!I876,'Reconciliation report'!F876)</f>
        <v>ABC 5.0/1</v>
      </c>
      <c r="B881" t="str">
        <f ca="1">'Reconciliation report'!C876</f>
        <v xml:space="preserve">
No answer required
Maturity type
</v>
      </c>
      <c r="C881" s="387" t="str">
        <f ca="1">'Reconciliation report'!D876</f>
        <v/>
      </c>
      <c r="D881" s="339" t="str">
        <f t="shared" ca="1" si="13"/>
        <v/>
      </c>
    </row>
    <row r="882" spans="1:4" ht="77.5" hidden="1">
      <c r="A882" s="1" t="str">
        <f ca="1">HYPERLINK("#" &amp; 'Reconciliation report'!I877,'Reconciliation report'!F877)</f>
        <v>ABC 6.0/1</v>
      </c>
      <c r="B882" t="str">
        <f ca="1">'Reconciliation report'!C877</f>
        <v xml:space="preserve">
No answer required
Date of maturity
</v>
      </c>
      <c r="C882" s="387" t="str">
        <f ca="1">'Reconciliation report'!D877</f>
        <v/>
      </c>
      <c r="D882" s="339" t="str">
        <f t="shared" ca="1" si="13"/>
        <v/>
      </c>
    </row>
    <row r="883" spans="1:4" ht="77.5" hidden="1">
      <c r="A883" s="1" t="str">
        <f ca="1">HYPERLINK("#" &amp; 'Reconciliation report'!I878,'Reconciliation report'!F878)</f>
        <v>ABC 7.0/1</v>
      </c>
      <c r="B883" t="str">
        <f ca="1">'Reconciliation report'!C878</f>
        <v xml:space="preserve">
No answer required
Maturity date narrative
</v>
      </c>
      <c r="C883" s="387" t="str">
        <f ca="1">'Reconciliation report'!D878</f>
        <v/>
      </c>
      <c r="D883" s="339" t="str">
        <f t="shared" ca="1" si="13"/>
        <v/>
      </c>
    </row>
    <row r="884" spans="1:4" ht="77.5" hidden="1">
      <c r="A884" s="1" t="str">
        <f ca="1">HYPERLINK("#" &amp; 'Reconciliation report'!I879,'Reconciliation report'!F879)</f>
        <v>ABC 8.0/1</v>
      </c>
      <c r="B884" t="str">
        <f ca="1">'Reconciliation report'!C879</f>
        <v xml:space="preserve">
No answer required
Net present value (NPV) (£)
</v>
      </c>
      <c r="C884" s="387" t="str">
        <f ca="1">'Reconciliation report'!D879</f>
        <v/>
      </c>
      <c r="D884" s="339" t="str">
        <f t="shared" ca="1" si="13"/>
        <v/>
      </c>
    </row>
    <row r="885" spans="1:4" ht="77.5" hidden="1">
      <c r="A885" s="1" t="str">
        <f ca="1">HYPERLINK("#" &amp; 'Reconciliation report'!I880,'Reconciliation report'!F880)</f>
        <v>ABC 9.0/1</v>
      </c>
      <c r="B885" t="str">
        <f ca="1">'Reconciliation report'!C880</f>
        <v xml:space="preserve">
No answer required
Date NPV calculated
</v>
      </c>
      <c r="C885" s="387" t="str">
        <f ca="1">'Reconciliation report'!D880</f>
        <v/>
      </c>
      <c r="D885" s="339" t="str">
        <f t="shared" ca="1" si="13"/>
        <v/>
      </c>
    </row>
    <row r="886" spans="1:4" ht="77.5" hidden="1">
      <c r="A886" s="1" t="str">
        <f ca="1">HYPERLINK("#" &amp; 'Reconciliation report'!I881,'Reconciliation report'!F881)</f>
        <v>ABC 10.0/1</v>
      </c>
      <c r="B886" t="str">
        <f ca="1">'Reconciliation report'!C881</f>
        <v xml:space="preserve">
No answer required
Value of underlying asset (£) (optional)
</v>
      </c>
      <c r="C886" s="387" t="str">
        <f ca="1">'Reconciliation report'!D881</f>
        <v/>
      </c>
      <c r="D886" s="339" t="str">
        <f t="shared" ca="1" si="13"/>
        <v/>
      </c>
    </row>
    <row r="887" spans="1:4" ht="77.5" hidden="1">
      <c r="A887" s="1" t="str">
        <f ca="1">HYPERLINK("#" &amp; 'Reconciliation report'!I882,'Reconciliation report'!F882)</f>
        <v>ABC 11.0/1</v>
      </c>
      <c r="B887" t="str">
        <f ca="1">'Reconciliation report'!C882</f>
        <v xml:space="preserve">
No answer required
Date of valuation of underlying asset (optional)
</v>
      </c>
      <c r="C887" s="387" t="str">
        <f ca="1">'Reconciliation report'!D882</f>
        <v/>
      </c>
      <c r="D887" s="339" t="str">
        <f t="shared" ca="1" si="13"/>
        <v/>
      </c>
    </row>
    <row r="888" spans="1:4" ht="46.5" hidden="1">
      <c r="A888" s="1" t="str">
        <f ca="1">HYPERLINK("#" &amp; 'Reconciliation report'!I883,'Reconciliation report'!F883)</f>
        <v>ABC 12.0/1</v>
      </c>
      <c r="B888" t="str">
        <f ca="1">'Reconciliation report'!C883</f>
        <v xml:space="preserve">
Triggers for any cessation of payment schedule, or for termination of ABC
</v>
      </c>
      <c r="C888" s="387" t="str">
        <f ca="1">'Reconciliation report'!D883</f>
        <v/>
      </c>
      <c r="D888" s="339" t="str">
        <f t="shared" ca="1" si="13"/>
        <v/>
      </c>
    </row>
    <row r="889" spans="1:4" ht="93" hidden="1">
      <c r="A889" s="1" t="str">
        <f ca="1">HYPERLINK("#" &amp; 'Reconciliation report'!I884,'Reconciliation report'!F884)</f>
        <v>ABC 3.0/2</v>
      </c>
      <c r="B889" t="str">
        <f ca="1">'Reconciliation report'!C884</f>
        <v xml:space="preserve">
No answer required
What is the type of security underlying the asset backed contribution arrangement?
</v>
      </c>
      <c r="C889" s="387" t="str">
        <f ca="1">'Reconciliation report'!D884</f>
        <v/>
      </c>
      <c r="D889" s="339" t="str">
        <f t="shared" ca="1" si="13"/>
        <v/>
      </c>
    </row>
    <row r="890" spans="1:4" ht="77.5" hidden="1">
      <c r="A890" s="1" t="str">
        <f ca="1">HYPERLINK("#" &amp; 'Reconciliation report'!I885,'Reconciliation report'!F885)</f>
        <v>ABC 4.0/2</v>
      </c>
      <c r="B890" t="str">
        <f ca="1">'Reconciliation report'!C885</f>
        <v xml:space="preserve">
No answer required
A summary of the underlying asset
</v>
      </c>
      <c r="C890" s="387" t="str">
        <f ca="1">'Reconciliation report'!D885</f>
        <v/>
      </c>
      <c r="D890" s="339" t="str">
        <f t="shared" ca="1" si="13"/>
        <v/>
      </c>
    </row>
    <row r="891" spans="1:4" ht="77.5" hidden="1">
      <c r="A891" s="1" t="str">
        <f ca="1">HYPERLINK("#" &amp; 'Reconciliation report'!I886,'Reconciliation report'!F886)</f>
        <v>ABC 5.0/2</v>
      </c>
      <c r="B891" t="str">
        <f ca="1">'Reconciliation report'!C886</f>
        <v xml:space="preserve">
No answer required
Maturity type
</v>
      </c>
      <c r="C891" s="387" t="str">
        <f ca="1">'Reconciliation report'!D886</f>
        <v/>
      </c>
      <c r="D891" s="339" t="str">
        <f t="shared" ca="1" si="13"/>
        <v/>
      </c>
    </row>
    <row r="892" spans="1:4" ht="77.5" hidden="1">
      <c r="A892" s="1" t="str">
        <f ca="1">HYPERLINK("#" &amp; 'Reconciliation report'!I887,'Reconciliation report'!F887)</f>
        <v>ABC 6.0/2</v>
      </c>
      <c r="B892" t="str">
        <f ca="1">'Reconciliation report'!C887</f>
        <v xml:space="preserve">
No answer required
Date of maturity
</v>
      </c>
      <c r="C892" s="387" t="str">
        <f ca="1">'Reconciliation report'!D887</f>
        <v/>
      </c>
      <c r="D892" s="339" t="str">
        <f t="shared" ca="1" si="13"/>
        <v/>
      </c>
    </row>
    <row r="893" spans="1:4" ht="77.5" hidden="1">
      <c r="A893" s="1" t="str">
        <f ca="1">HYPERLINK("#" &amp; 'Reconciliation report'!I888,'Reconciliation report'!F888)</f>
        <v>ABC 7.0/2</v>
      </c>
      <c r="B893" t="str">
        <f ca="1">'Reconciliation report'!C888</f>
        <v xml:space="preserve">
No answer required
Maturity date narrative
</v>
      </c>
      <c r="C893" s="387" t="str">
        <f ca="1">'Reconciliation report'!D888</f>
        <v/>
      </c>
      <c r="D893" s="339" t="str">
        <f t="shared" ca="1" si="13"/>
        <v/>
      </c>
    </row>
    <row r="894" spans="1:4" ht="77.5" hidden="1">
      <c r="A894" s="1" t="str">
        <f ca="1">HYPERLINK("#" &amp; 'Reconciliation report'!I889,'Reconciliation report'!F889)</f>
        <v>ABC 8.0/2</v>
      </c>
      <c r="B894" t="str">
        <f ca="1">'Reconciliation report'!C889</f>
        <v xml:space="preserve">
No answer required
Net present value (NPV) (£)
</v>
      </c>
      <c r="C894" s="387" t="str">
        <f ca="1">'Reconciliation report'!D889</f>
        <v/>
      </c>
      <c r="D894" s="339" t="str">
        <f t="shared" ca="1" si="13"/>
        <v/>
      </c>
    </row>
    <row r="895" spans="1:4" ht="77.5" hidden="1">
      <c r="A895" s="1" t="str">
        <f ca="1">HYPERLINK("#" &amp; 'Reconciliation report'!I890,'Reconciliation report'!F890)</f>
        <v>ABC 9.0/2</v>
      </c>
      <c r="B895" t="str">
        <f ca="1">'Reconciliation report'!C890</f>
        <v xml:space="preserve">
No answer required
Date NPV calculated
</v>
      </c>
      <c r="C895" s="387" t="str">
        <f ca="1">'Reconciliation report'!D890</f>
        <v/>
      </c>
      <c r="D895" s="339" t="str">
        <f t="shared" ca="1" si="13"/>
        <v/>
      </c>
    </row>
    <row r="896" spans="1:4" ht="77.5" hidden="1">
      <c r="A896" s="1" t="str">
        <f ca="1">HYPERLINK("#" &amp; 'Reconciliation report'!I891,'Reconciliation report'!F891)</f>
        <v>ABC 10.0/2</v>
      </c>
      <c r="B896" t="str">
        <f ca="1">'Reconciliation report'!C891</f>
        <v xml:space="preserve">
No answer required
Value of underlying asset (£) (optional)
</v>
      </c>
      <c r="C896" s="387" t="str">
        <f ca="1">'Reconciliation report'!D891</f>
        <v/>
      </c>
      <c r="D896" s="339" t="str">
        <f t="shared" ca="1" si="13"/>
        <v/>
      </c>
    </row>
    <row r="897" spans="1:4" ht="77.5" hidden="1">
      <c r="A897" s="1" t="str">
        <f ca="1">HYPERLINK("#" &amp; 'Reconciliation report'!I892,'Reconciliation report'!F892)</f>
        <v>ABC 11.0/2</v>
      </c>
      <c r="B897" t="str">
        <f ca="1">'Reconciliation report'!C892</f>
        <v xml:space="preserve">
No answer required
Date of valuation of underlying asset (optional)
</v>
      </c>
      <c r="C897" s="387" t="str">
        <f ca="1">'Reconciliation report'!D892</f>
        <v/>
      </c>
      <c r="D897" s="339" t="str">
        <f t="shared" ca="1" si="13"/>
        <v/>
      </c>
    </row>
    <row r="898" spans="1:4" ht="46.5" hidden="1">
      <c r="A898" s="1" t="str">
        <f ca="1">HYPERLINK("#" &amp; 'Reconciliation report'!I893,'Reconciliation report'!F893)</f>
        <v>ABC 12.0/2</v>
      </c>
      <c r="B898" t="str">
        <f ca="1">'Reconciliation report'!C893</f>
        <v xml:space="preserve">
Triggers for any cessation of payment schedule, or for termination of ABC
</v>
      </c>
      <c r="C898" s="387" t="str">
        <f ca="1">'Reconciliation report'!D893</f>
        <v/>
      </c>
      <c r="D898" s="339" t="str">
        <f t="shared" ca="1" si="13"/>
        <v/>
      </c>
    </row>
    <row r="899" spans="1:4" ht="93" hidden="1">
      <c r="A899" s="1" t="str">
        <f ca="1">HYPERLINK("#" &amp; 'Reconciliation report'!I894,'Reconciliation report'!F894)</f>
        <v>ABC 3.0/3</v>
      </c>
      <c r="B899" t="str">
        <f ca="1">'Reconciliation report'!C894</f>
        <v xml:space="preserve">
No answer required
What is the type of security underlying the asset backed contribution arrangement?
</v>
      </c>
      <c r="C899" s="387" t="str">
        <f ca="1">'Reconciliation report'!D894</f>
        <v/>
      </c>
      <c r="D899" s="339" t="str">
        <f t="shared" ca="1" si="13"/>
        <v/>
      </c>
    </row>
    <row r="900" spans="1:4" ht="77.5" hidden="1">
      <c r="A900" s="1" t="str">
        <f ca="1">HYPERLINK("#" &amp; 'Reconciliation report'!I895,'Reconciliation report'!F895)</f>
        <v>ABC 4.0/3</v>
      </c>
      <c r="B900" t="str">
        <f ca="1">'Reconciliation report'!C895</f>
        <v xml:space="preserve">
No answer required
A summary of the underlying asset
</v>
      </c>
      <c r="C900" s="387" t="str">
        <f ca="1">'Reconciliation report'!D895</f>
        <v/>
      </c>
      <c r="D900" s="339" t="str">
        <f t="shared" ca="1" si="13"/>
        <v/>
      </c>
    </row>
    <row r="901" spans="1:4" ht="77.5" hidden="1">
      <c r="A901" s="1" t="str">
        <f ca="1">HYPERLINK("#" &amp; 'Reconciliation report'!I896,'Reconciliation report'!F896)</f>
        <v>ABC 5.0/3</v>
      </c>
      <c r="B901" t="str">
        <f ca="1">'Reconciliation report'!C896</f>
        <v xml:space="preserve">
No answer required
Maturity type
</v>
      </c>
      <c r="C901" s="387" t="str">
        <f ca="1">'Reconciliation report'!D896</f>
        <v/>
      </c>
      <c r="D901" s="339" t="str">
        <f t="shared" ca="1" si="13"/>
        <v/>
      </c>
    </row>
    <row r="902" spans="1:4" ht="77.5" hidden="1">
      <c r="A902" s="1" t="str">
        <f ca="1">HYPERLINK("#" &amp; 'Reconciliation report'!I897,'Reconciliation report'!F897)</f>
        <v>ABC 6.0/3</v>
      </c>
      <c r="B902" t="str">
        <f ca="1">'Reconciliation report'!C897</f>
        <v xml:space="preserve">
No answer required
Date of maturity
</v>
      </c>
      <c r="C902" s="387" t="str">
        <f ca="1">'Reconciliation report'!D897</f>
        <v/>
      </c>
      <c r="D902" s="339" t="str">
        <f t="shared" ca="1" si="13"/>
        <v/>
      </c>
    </row>
    <row r="903" spans="1:4" ht="77.5" hidden="1">
      <c r="A903" s="1" t="str">
        <f ca="1">HYPERLINK("#" &amp; 'Reconciliation report'!I898,'Reconciliation report'!F898)</f>
        <v>ABC 7.0/3</v>
      </c>
      <c r="B903" t="str">
        <f ca="1">'Reconciliation report'!C898</f>
        <v xml:space="preserve">
No answer required
Maturity date narrative
</v>
      </c>
      <c r="C903" s="387" t="str">
        <f ca="1">'Reconciliation report'!D898</f>
        <v/>
      </c>
      <c r="D903" s="339" t="str">
        <f t="shared" ref="D903:D966" ca="1" si="14">IFERROR(IF(LEN(TRIM(CLEAN(C903))) &gt; 0, "Refresh the error report", ""), "")</f>
        <v/>
      </c>
    </row>
    <row r="904" spans="1:4" ht="77.5" hidden="1">
      <c r="A904" s="1" t="str">
        <f ca="1">HYPERLINK("#" &amp; 'Reconciliation report'!I899,'Reconciliation report'!F899)</f>
        <v>ABC 8.0/3</v>
      </c>
      <c r="B904" t="str">
        <f ca="1">'Reconciliation report'!C899</f>
        <v xml:space="preserve">
No answer required
Net present value (NPV) (£)
</v>
      </c>
      <c r="C904" s="387" t="str">
        <f ca="1">'Reconciliation report'!D899</f>
        <v/>
      </c>
      <c r="D904" s="339" t="str">
        <f t="shared" ca="1" si="14"/>
        <v/>
      </c>
    </row>
    <row r="905" spans="1:4" ht="77.5" hidden="1">
      <c r="A905" s="1" t="str">
        <f ca="1">HYPERLINK("#" &amp; 'Reconciliation report'!I900,'Reconciliation report'!F900)</f>
        <v>ABC 9.0/3</v>
      </c>
      <c r="B905" t="str">
        <f ca="1">'Reconciliation report'!C900</f>
        <v xml:space="preserve">
No answer required
Date NPV calculated
</v>
      </c>
      <c r="C905" s="387" t="str">
        <f ca="1">'Reconciliation report'!D900</f>
        <v/>
      </c>
      <c r="D905" s="339" t="str">
        <f t="shared" ca="1" si="14"/>
        <v/>
      </c>
    </row>
    <row r="906" spans="1:4" ht="77.5" hidden="1">
      <c r="A906" s="1" t="str">
        <f ca="1">HYPERLINK("#" &amp; 'Reconciliation report'!I901,'Reconciliation report'!F901)</f>
        <v>ABC 10.0/3</v>
      </c>
      <c r="B906" t="str">
        <f ca="1">'Reconciliation report'!C901</f>
        <v xml:space="preserve">
No answer required
Value of underlying asset (£) (optional)
</v>
      </c>
      <c r="C906" s="387" t="str">
        <f ca="1">'Reconciliation report'!D901</f>
        <v/>
      </c>
      <c r="D906" s="339" t="str">
        <f t="shared" ca="1" si="14"/>
        <v/>
      </c>
    </row>
    <row r="907" spans="1:4" ht="77.5" hidden="1">
      <c r="A907" s="1" t="str">
        <f ca="1">HYPERLINK("#" &amp; 'Reconciliation report'!I902,'Reconciliation report'!F902)</f>
        <v>ABC 11.0/3</v>
      </c>
      <c r="B907" t="str">
        <f ca="1">'Reconciliation report'!C902</f>
        <v xml:space="preserve">
No answer required
Date of valuation of underlying asset (optional)
</v>
      </c>
      <c r="C907" s="387" t="str">
        <f ca="1">'Reconciliation report'!D902</f>
        <v/>
      </c>
      <c r="D907" s="339" t="str">
        <f t="shared" ca="1" si="14"/>
        <v/>
      </c>
    </row>
    <row r="908" spans="1:4" ht="46.5" hidden="1">
      <c r="A908" s="1" t="str">
        <f ca="1">HYPERLINK("#" &amp; 'Reconciliation report'!I903,'Reconciliation report'!F903)</f>
        <v>ABC 12.0/3</v>
      </c>
      <c r="B908" t="str">
        <f ca="1">'Reconciliation report'!C903</f>
        <v xml:space="preserve">
Triggers for any cessation of payment schedule, or for termination of ABC
</v>
      </c>
      <c r="C908" s="387" t="str">
        <f ca="1">'Reconciliation report'!D903</f>
        <v/>
      </c>
      <c r="D908" s="339" t="str">
        <f t="shared" ca="1" si="14"/>
        <v/>
      </c>
    </row>
    <row r="909" spans="1:4" ht="93" hidden="1">
      <c r="A909" s="1" t="str">
        <f ca="1">HYPERLINK("#" &amp; 'Reconciliation report'!I904,'Reconciliation report'!F904)</f>
        <v>ABC 3.0/4</v>
      </c>
      <c r="B909" t="str">
        <f ca="1">'Reconciliation report'!C904</f>
        <v xml:space="preserve">
No answer required
What is the type of security underlying the asset backed contribution arrangement?
</v>
      </c>
      <c r="C909" s="387" t="str">
        <f ca="1">'Reconciliation report'!D904</f>
        <v/>
      </c>
      <c r="D909" s="339" t="str">
        <f t="shared" ca="1" si="14"/>
        <v/>
      </c>
    </row>
    <row r="910" spans="1:4" ht="77.5" hidden="1">
      <c r="A910" s="1" t="str">
        <f ca="1">HYPERLINK("#" &amp; 'Reconciliation report'!I905,'Reconciliation report'!F905)</f>
        <v>ABC 4.0/4</v>
      </c>
      <c r="B910" t="str">
        <f ca="1">'Reconciliation report'!C905</f>
        <v xml:space="preserve">
No answer required
A summary of the underlying asset
</v>
      </c>
      <c r="C910" s="387" t="str">
        <f ca="1">'Reconciliation report'!D905</f>
        <v/>
      </c>
      <c r="D910" s="339" t="str">
        <f t="shared" ca="1" si="14"/>
        <v/>
      </c>
    </row>
    <row r="911" spans="1:4" ht="77.5" hidden="1">
      <c r="A911" s="1" t="str">
        <f ca="1">HYPERLINK("#" &amp; 'Reconciliation report'!I906,'Reconciliation report'!F906)</f>
        <v>ABC 5.0/4</v>
      </c>
      <c r="B911" t="str">
        <f ca="1">'Reconciliation report'!C906</f>
        <v xml:space="preserve">
No answer required
Maturity type
</v>
      </c>
      <c r="C911" s="387" t="str">
        <f ca="1">'Reconciliation report'!D906</f>
        <v/>
      </c>
      <c r="D911" s="339" t="str">
        <f t="shared" ca="1" si="14"/>
        <v/>
      </c>
    </row>
    <row r="912" spans="1:4" ht="77.5" hidden="1">
      <c r="A912" s="1" t="str">
        <f ca="1">HYPERLINK("#" &amp; 'Reconciliation report'!I907,'Reconciliation report'!F907)</f>
        <v>ABC 6.0/4</v>
      </c>
      <c r="B912" t="str">
        <f ca="1">'Reconciliation report'!C907</f>
        <v xml:space="preserve">
No answer required
Date of maturity
</v>
      </c>
      <c r="C912" s="387" t="str">
        <f ca="1">'Reconciliation report'!D907</f>
        <v/>
      </c>
      <c r="D912" s="339" t="str">
        <f t="shared" ca="1" si="14"/>
        <v/>
      </c>
    </row>
    <row r="913" spans="1:4" ht="77.5" hidden="1">
      <c r="A913" s="1" t="str">
        <f ca="1">HYPERLINK("#" &amp; 'Reconciliation report'!I908,'Reconciliation report'!F908)</f>
        <v>ABC 7.0/4</v>
      </c>
      <c r="B913" t="str">
        <f ca="1">'Reconciliation report'!C908</f>
        <v xml:space="preserve">
No answer required
Maturity date narrative
</v>
      </c>
      <c r="C913" s="387" t="str">
        <f ca="1">'Reconciliation report'!D908</f>
        <v/>
      </c>
      <c r="D913" s="339" t="str">
        <f t="shared" ca="1" si="14"/>
        <v/>
      </c>
    </row>
    <row r="914" spans="1:4" ht="77.5" hidden="1">
      <c r="A914" s="1" t="str">
        <f ca="1">HYPERLINK("#" &amp; 'Reconciliation report'!I909,'Reconciliation report'!F909)</f>
        <v>ABC 8.0/4</v>
      </c>
      <c r="B914" t="str">
        <f ca="1">'Reconciliation report'!C909</f>
        <v xml:space="preserve">
No answer required
Net present value (NPV) (£)
</v>
      </c>
      <c r="C914" s="387" t="str">
        <f ca="1">'Reconciliation report'!D909</f>
        <v/>
      </c>
      <c r="D914" s="339" t="str">
        <f t="shared" ca="1" si="14"/>
        <v/>
      </c>
    </row>
    <row r="915" spans="1:4" ht="77.5" hidden="1">
      <c r="A915" s="1" t="str">
        <f ca="1">HYPERLINK("#" &amp; 'Reconciliation report'!I910,'Reconciliation report'!F910)</f>
        <v>ABC 9.0/4</v>
      </c>
      <c r="B915" t="str">
        <f ca="1">'Reconciliation report'!C910</f>
        <v xml:space="preserve">
No answer required
Date NPV calculated
</v>
      </c>
      <c r="C915" s="387" t="str">
        <f ca="1">'Reconciliation report'!D910</f>
        <v/>
      </c>
      <c r="D915" s="339" t="str">
        <f t="shared" ca="1" si="14"/>
        <v/>
      </c>
    </row>
    <row r="916" spans="1:4" ht="77.5" hidden="1">
      <c r="A916" s="1" t="str">
        <f ca="1">HYPERLINK("#" &amp; 'Reconciliation report'!I911,'Reconciliation report'!F911)</f>
        <v>ABC 10.0/4</v>
      </c>
      <c r="B916" t="str">
        <f ca="1">'Reconciliation report'!C911</f>
        <v xml:space="preserve">
No answer required
Value of underlying asset (£) (optional)
</v>
      </c>
      <c r="C916" s="387" t="str">
        <f ca="1">'Reconciliation report'!D911</f>
        <v/>
      </c>
      <c r="D916" s="339" t="str">
        <f t="shared" ca="1" si="14"/>
        <v/>
      </c>
    </row>
    <row r="917" spans="1:4" ht="77.5" hidden="1">
      <c r="A917" s="1" t="str">
        <f ca="1">HYPERLINK("#" &amp; 'Reconciliation report'!I912,'Reconciliation report'!F912)</f>
        <v>ABC 11.0/4</v>
      </c>
      <c r="B917" t="str">
        <f ca="1">'Reconciliation report'!C912</f>
        <v xml:space="preserve">
No answer required
Date of valuation of underlying asset (optional)
</v>
      </c>
      <c r="C917" s="387" t="str">
        <f ca="1">'Reconciliation report'!D912</f>
        <v/>
      </c>
      <c r="D917" s="339" t="str">
        <f t="shared" ca="1" si="14"/>
        <v/>
      </c>
    </row>
    <row r="918" spans="1:4" ht="46.5" hidden="1">
      <c r="A918" s="1" t="str">
        <f ca="1">HYPERLINK("#" &amp; 'Reconciliation report'!I913,'Reconciliation report'!F913)</f>
        <v>ABC 12.0/4</v>
      </c>
      <c r="B918" t="str">
        <f ca="1">'Reconciliation report'!C913</f>
        <v xml:space="preserve">
Triggers for any cessation of payment schedule, or for termination of ABC
</v>
      </c>
      <c r="C918" s="387" t="str">
        <f ca="1">'Reconciliation report'!D913</f>
        <v/>
      </c>
      <c r="D918" s="339" t="str">
        <f t="shared" ca="1" si="14"/>
        <v/>
      </c>
    </row>
    <row r="919" spans="1:4" ht="93" hidden="1">
      <c r="A919" s="1" t="str">
        <f ca="1">HYPERLINK("#" &amp; 'Reconciliation report'!I914,'Reconciliation report'!F914)</f>
        <v>ABC 3.0/5</v>
      </c>
      <c r="B919" t="str">
        <f ca="1">'Reconciliation report'!C914</f>
        <v xml:space="preserve">
No answer required
What is the type of security underlying the asset backed contribution arrangement?
</v>
      </c>
      <c r="C919" s="387" t="str">
        <f ca="1">'Reconciliation report'!D914</f>
        <v/>
      </c>
      <c r="D919" s="339" t="str">
        <f t="shared" ca="1" si="14"/>
        <v/>
      </c>
    </row>
    <row r="920" spans="1:4" ht="77.5" hidden="1">
      <c r="A920" s="1" t="str">
        <f ca="1">HYPERLINK("#" &amp; 'Reconciliation report'!I915,'Reconciliation report'!F915)</f>
        <v>ABC 4.0/5</v>
      </c>
      <c r="B920" t="str">
        <f ca="1">'Reconciliation report'!C915</f>
        <v xml:space="preserve">
No answer required
A summary of the underlying asset
</v>
      </c>
      <c r="C920" s="387" t="str">
        <f ca="1">'Reconciliation report'!D915</f>
        <v/>
      </c>
      <c r="D920" s="339" t="str">
        <f t="shared" ca="1" si="14"/>
        <v/>
      </c>
    </row>
    <row r="921" spans="1:4" ht="77.5" hidden="1">
      <c r="A921" s="1" t="str">
        <f ca="1">HYPERLINK("#" &amp; 'Reconciliation report'!I916,'Reconciliation report'!F916)</f>
        <v>ABC 5.0/5</v>
      </c>
      <c r="B921" t="str">
        <f ca="1">'Reconciliation report'!C916</f>
        <v xml:space="preserve">
No answer required
Maturity type
</v>
      </c>
      <c r="C921" s="387" t="str">
        <f ca="1">'Reconciliation report'!D916</f>
        <v/>
      </c>
      <c r="D921" s="339" t="str">
        <f t="shared" ca="1" si="14"/>
        <v/>
      </c>
    </row>
    <row r="922" spans="1:4" ht="77.5" hidden="1">
      <c r="A922" s="1" t="str">
        <f ca="1">HYPERLINK("#" &amp; 'Reconciliation report'!I917,'Reconciliation report'!F917)</f>
        <v>ABC 6.0/5</v>
      </c>
      <c r="B922" t="str">
        <f ca="1">'Reconciliation report'!C917</f>
        <v xml:space="preserve">
No answer required
Date of maturity
</v>
      </c>
      <c r="C922" s="387" t="str">
        <f ca="1">'Reconciliation report'!D917</f>
        <v/>
      </c>
      <c r="D922" s="339" t="str">
        <f t="shared" ca="1" si="14"/>
        <v/>
      </c>
    </row>
    <row r="923" spans="1:4" ht="77.5" hidden="1">
      <c r="A923" s="1" t="str">
        <f ca="1">HYPERLINK("#" &amp; 'Reconciliation report'!I918,'Reconciliation report'!F918)</f>
        <v>ABC 7.0/5</v>
      </c>
      <c r="B923" t="str">
        <f ca="1">'Reconciliation report'!C918</f>
        <v xml:space="preserve">
No answer required
Maturity date narrative
</v>
      </c>
      <c r="C923" s="387" t="str">
        <f ca="1">'Reconciliation report'!D918</f>
        <v/>
      </c>
      <c r="D923" s="339" t="str">
        <f t="shared" ca="1" si="14"/>
        <v/>
      </c>
    </row>
    <row r="924" spans="1:4" ht="77.5" hidden="1">
      <c r="A924" s="1" t="str">
        <f ca="1">HYPERLINK("#" &amp; 'Reconciliation report'!I919,'Reconciliation report'!F919)</f>
        <v>ABC 8.0/5</v>
      </c>
      <c r="B924" t="str">
        <f ca="1">'Reconciliation report'!C919</f>
        <v xml:space="preserve">
No answer required
Net present value (NPV) (£)
</v>
      </c>
      <c r="C924" s="387" t="str">
        <f ca="1">'Reconciliation report'!D919</f>
        <v/>
      </c>
      <c r="D924" s="339" t="str">
        <f t="shared" ca="1" si="14"/>
        <v/>
      </c>
    </row>
    <row r="925" spans="1:4" ht="77.5" hidden="1">
      <c r="A925" s="1" t="str">
        <f ca="1">HYPERLINK("#" &amp; 'Reconciliation report'!I920,'Reconciliation report'!F920)</f>
        <v>ABC 9.0/5</v>
      </c>
      <c r="B925" t="str">
        <f ca="1">'Reconciliation report'!C920</f>
        <v xml:space="preserve">
No answer required
Date NPV calculated
</v>
      </c>
      <c r="C925" s="387" t="str">
        <f ca="1">'Reconciliation report'!D920</f>
        <v/>
      </c>
      <c r="D925" s="339" t="str">
        <f t="shared" ca="1" si="14"/>
        <v/>
      </c>
    </row>
    <row r="926" spans="1:4" ht="77.5" hidden="1">
      <c r="A926" s="1" t="str">
        <f ca="1">HYPERLINK("#" &amp; 'Reconciliation report'!I921,'Reconciliation report'!F921)</f>
        <v>ABC 10.0/5</v>
      </c>
      <c r="B926" t="str">
        <f ca="1">'Reconciliation report'!C921</f>
        <v xml:space="preserve">
No answer required
Value of underlying asset (£) (optional)
</v>
      </c>
      <c r="C926" s="387" t="str">
        <f ca="1">'Reconciliation report'!D921</f>
        <v/>
      </c>
      <c r="D926" s="339" t="str">
        <f t="shared" ca="1" si="14"/>
        <v/>
      </c>
    </row>
    <row r="927" spans="1:4" ht="77.5" hidden="1">
      <c r="A927" s="1" t="str">
        <f ca="1">HYPERLINK("#" &amp; 'Reconciliation report'!I922,'Reconciliation report'!F922)</f>
        <v>ABC 11.0/5</v>
      </c>
      <c r="B927" t="str">
        <f ca="1">'Reconciliation report'!C922</f>
        <v xml:space="preserve">
No answer required
Date of valuation of underlying asset (optional)
</v>
      </c>
      <c r="C927" s="387" t="str">
        <f ca="1">'Reconciliation report'!D922</f>
        <v/>
      </c>
      <c r="D927" s="339" t="str">
        <f t="shared" ca="1" si="14"/>
        <v/>
      </c>
    </row>
    <row r="928" spans="1:4" ht="46.5" hidden="1">
      <c r="A928" s="1" t="str">
        <f ca="1">HYPERLINK("#" &amp; 'Reconciliation report'!I923,'Reconciliation report'!F923)</f>
        <v>ABC 12.0/5</v>
      </c>
      <c r="B928" t="str">
        <f ca="1">'Reconciliation report'!C923</f>
        <v xml:space="preserve">
Triggers for any cessation of payment schedule, or for termination of ABC
</v>
      </c>
      <c r="C928" s="387" t="str">
        <f ca="1">'Reconciliation report'!D923</f>
        <v/>
      </c>
      <c r="D928" s="339" t="str">
        <f t="shared" ca="1" si="14"/>
        <v/>
      </c>
    </row>
    <row r="929" spans="1:4" ht="77.5" hidden="1">
      <c r="A929" s="1" t="str">
        <f ca="1">HYPERLINK("#" &amp; 'Reconciliation report'!I924,'Reconciliation report'!F924)</f>
        <v>AIS 1.0/1</v>
      </c>
      <c r="B929" t="str">
        <f ca="1">'Reconciliation report'!C924</f>
        <v xml:space="preserve">
No answer required
Year 1
</v>
      </c>
      <c r="C929" s="387" t="str">
        <f ca="1">'Reconciliation report'!D924</f>
        <v/>
      </c>
      <c r="D929" s="339" t="str">
        <f t="shared" ca="1" si="14"/>
        <v/>
      </c>
    </row>
    <row r="930" spans="1:4" ht="77.5" hidden="1">
      <c r="A930" s="1" t="str">
        <f ca="1">HYPERLINK("#" &amp; 'Reconciliation report'!I925,'Reconciliation report'!F925)</f>
        <v>AIS 2.0/1</v>
      </c>
      <c r="B930" t="str">
        <f ca="1">'Reconciliation report'!C925</f>
        <v xml:space="preserve">
No answer required
Year 2
</v>
      </c>
      <c r="C930" s="387" t="str">
        <f ca="1">'Reconciliation report'!D925</f>
        <v/>
      </c>
      <c r="D930" s="339" t="str">
        <f t="shared" ca="1" si="14"/>
        <v/>
      </c>
    </row>
    <row r="931" spans="1:4" ht="77.5" hidden="1">
      <c r="A931" s="1" t="str">
        <f ca="1">HYPERLINK("#" &amp; 'Reconciliation report'!I926,'Reconciliation report'!F926)</f>
        <v>AIS 3.0/1</v>
      </c>
      <c r="B931" t="str">
        <f ca="1">'Reconciliation report'!C926</f>
        <v xml:space="preserve">
No answer required
Year 3
</v>
      </c>
      <c r="C931" s="387" t="str">
        <f ca="1">'Reconciliation report'!D926</f>
        <v/>
      </c>
      <c r="D931" s="339" t="str">
        <f t="shared" ca="1" si="14"/>
        <v/>
      </c>
    </row>
    <row r="932" spans="1:4" ht="77.5" hidden="1">
      <c r="A932" s="1" t="str">
        <f ca="1">HYPERLINK("#" &amp; 'Reconciliation report'!I927,'Reconciliation report'!F927)</f>
        <v>AIS 4.0/1</v>
      </c>
      <c r="B932" t="str">
        <f ca="1">'Reconciliation report'!C927</f>
        <v xml:space="preserve">
No answer required
Year 4
</v>
      </c>
      <c r="C932" s="387" t="str">
        <f ca="1">'Reconciliation report'!D927</f>
        <v/>
      </c>
      <c r="D932" s="339" t="str">
        <f t="shared" ca="1" si="14"/>
        <v/>
      </c>
    </row>
    <row r="933" spans="1:4" ht="77.5" hidden="1">
      <c r="A933" s="1" t="str">
        <f ca="1">HYPERLINK("#" &amp; 'Reconciliation report'!I928,'Reconciliation report'!F928)</f>
        <v>AIS 5.0/1</v>
      </c>
      <c r="B933" t="str">
        <f ca="1">'Reconciliation report'!C928</f>
        <v xml:space="preserve">
No answer required
Year 5
</v>
      </c>
      <c r="C933" s="387" t="str">
        <f ca="1">'Reconciliation report'!D928</f>
        <v/>
      </c>
      <c r="D933" s="339" t="str">
        <f t="shared" ca="1" si="14"/>
        <v/>
      </c>
    </row>
    <row r="934" spans="1:4" ht="77.5" hidden="1">
      <c r="A934" s="1" t="str">
        <f ca="1">HYPERLINK("#" &amp; 'Reconciliation report'!I929,'Reconciliation report'!F929)</f>
        <v>AIS 6.0/1</v>
      </c>
      <c r="B934" t="str">
        <f ca="1">'Reconciliation report'!C929</f>
        <v xml:space="preserve">
No answer required
Year 6
</v>
      </c>
      <c r="C934" s="387" t="str">
        <f ca="1">'Reconciliation report'!D929</f>
        <v/>
      </c>
      <c r="D934" s="339" t="str">
        <f t="shared" ca="1" si="14"/>
        <v/>
      </c>
    </row>
    <row r="935" spans="1:4" ht="77.5" hidden="1">
      <c r="A935" s="1" t="str">
        <f ca="1">HYPERLINK("#" &amp; 'Reconciliation report'!I930,'Reconciliation report'!F930)</f>
        <v>AIS 7.0/1</v>
      </c>
      <c r="B935" t="str">
        <f ca="1">'Reconciliation report'!C930</f>
        <v xml:space="preserve">
No answer required
Year 7
</v>
      </c>
      <c r="C935" s="387" t="str">
        <f ca="1">'Reconciliation report'!D930</f>
        <v/>
      </c>
      <c r="D935" s="339" t="str">
        <f t="shared" ca="1" si="14"/>
        <v/>
      </c>
    </row>
    <row r="936" spans="1:4" ht="77.5" hidden="1">
      <c r="A936" s="1" t="str">
        <f ca="1">HYPERLINK("#" &amp; 'Reconciliation report'!I931,'Reconciliation report'!F931)</f>
        <v>AIS 8.0/1</v>
      </c>
      <c r="B936" t="str">
        <f ca="1">'Reconciliation report'!C931</f>
        <v xml:space="preserve">
No answer required
Year 8
</v>
      </c>
      <c r="C936" s="387" t="str">
        <f ca="1">'Reconciliation report'!D931</f>
        <v/>
      </c>
      <c r="D936" s="339" t="str">
        <f t="shared" ca="1" si="14"/>
        <v/>
      </c>
    </row>
    <row r="937" spans="1:4" ht="77.5" hidden="1">
      <c r="A937" s="1" t="str">
        <f ca="1">HYPERLINK("#" &amp; 'Reconciliation report'!I932,'Reconciliation report'!F932)</f>
        <v>AIS 9.0/1</v>
      </c>
      <c r="B937" t="str">
        <f ca="1">'Reconciliation report'!C932</f>
        <v xml:space="preserve">
No answer required
Year 9
</v>
      </c>
      <c r="C937" s="387" t="str">
        <f ca="1">'Reconciliation report'!D932</f>
        <v/>
      </c>
      <c r="D937" s="339" t="str">
        <f t="shared" ca="1" si="14"/>
        <v/>
      </c>
    </row>
    <row r="938" spans="1:4" ht="77.5" hidden="1">
      <c r="A938" s="1" t="str">
        <f ca="1">HYPERLINK("#" &amp; 'Reconciliation report'!I933,'Reconciliation report'!F933)</f>
        <v>AIS 10.0/1</v>
      </c>
      <c r="B938" t="str">
        <f ca="1">'Reconciliation report'!C933</f>
        <v xml:space="preserve">
No answer required
Year 10
</v>
      </c>
      <c r="C938" s="387" t="str">
        <f ca="1">'Reconciliation report'!D933</f>
        <v/>
      </c>
      <c r="D938" s="339" t="str">
        <f t="shared" ca="1" si="14"/>
        <v/>
      </c>
    </row>
    <row r="939" spans="1:4" ht="77.5" hidden="1">
      <c r="A939" s="1" t="str">
        <f ca="1">HYPERLINK("#" &amp; 'Reconciliation report'!I934,'Reconciliation report'!F934)</f>
        <v>AIS 11.0/1</v>
      </c>
      <c r="B939" t="str">
        <f ca="1">'Reconciliation report'!C934</f>
        <v xml:space="preserve">
No answer required
Year 11
</v>
      </c>
      <c r="C939" s="387" t="str">
        <f ca="1">'Reconciliation report'!D934</f>
        <v/>
      </c>
      <c r="D939" s="339" t="str">
        <f t="shared" ca="1" si="14"/>
        <v/>
      </c>
    </row>
    <row r="940" spans="1:4" ht="77.5" hidden="1">
      <c r="A940" s="1" t="str">
        <f ca="1">HYPERLINK("#" &amp; 'Reconciliation report'!I935,'Reconciliation report'!F935)</f>
        <v>AIS 12.0/1</v>
      </c>
      <c r="B940" t="str">
        <f ca="1">'Reconciliation report'!C935</f>
        <v xml:space="preserve">
No answer required
Year 12
</v>
      </c>
      <c r="C940" s="387" t="str">
        <f ca="1">'Reconciliation report'!D935</f>
        <v/>
      </c>
      <c r="D940" s="339" t="str">
        <f t="shared" ca="1" si="14"/>
        <v/>
      </c>
    </row>
    <row r="941" spans="1:4" ht="77.5" hidden="1">
      <c r="A941" s="1" t="str">
        <f ca="1">HYPERLINK("#" &amp; 'Reconciliation report'!I936,'Reconciliation report'!F936)</f>
        <v>AIS 13.0/1</v>
      </c>
      <c r="B941" t="str">
        <f ca="1">'Reconciliation report'!C936</f>
        <v xml:space="preserve">
No answer required
Year 13
</v>
      </c>
      <c r="C941" s="387" t="str">
        <f ca="1">'Reconciliation report'!D936</f>
        <v/>
      </c>
      <c r="D941" s="339" t="str">
        <f t="shared" ca="1" si="14"/>
        <v/>
      </c>
    </row>
    <row r="942" spans="1:4" ht="77.5" hidden="1">
      <c r="A942" s="1" t="str">
        <f ca="1">HYPERLINK("#" &amp; 'Reconciliation report'!I937,'Reconciliation report'!F937)</f>
        <v>AIS 14.0/1</v>
      </c>
      <c r="B942" t="str">
        <f ca="1">'Reconciliation report'!C937</f>
        <v xml:space="preserve">
No answer required
Year 14
</v>
      </c>
      <c r="C942" s="387" t="str">
        <f ca="1">'Reconciliation report'!D937</f>
        <v/>
      </c>
      <c r="D942" s="339" t="str">
        <f t="shared" ca="1" si="14"/>
        <v/>
      </c>
    </row>
    <row r="943" spans="1:4" ht="77.5" hidden="1">
      <c r="A943" s="1" t="str">
        <f ca="1">HYPERLINK("#" &amp; 'Reconciliation report'!I938,'Reconciliation report'!F938)</f>
        <v>AIS 15.0/1</v>
      </c>
      <c r="B943" t="str">
        <f ca="1">'Reconciliation report'!C938</f>
        <v xml:space="preserve">
No answer required
Year 15
</v>
      </c>
      <c r="C943" s="387" t="str">
        <f ca="1">'Reconciliation report'!D938</f>
        <v/>
      </c>
      <c r="D943" s="339" t="str">
        <f t="shared" ca="1" si="14"/>
        <v/>
      </c>
    </row>
    <row r="944" spans="1:4" ht="77.5" hidden="1">
      <c r="A944" s="1" t="str">
        <f ca="1">HYPERLINK("#" &amp; 'Reconciliation report'!I939,'Reconciliation report'!F939)</f>
        <v>AIS 16.0/1</v>
      </c>
      <c r="B944" t="str">
        <f ca="1">'Reconciliation report'!C939</f>
        <v xml:space="preserve">
No answer required
Year 16
</v>
      </c>
      <c r="C944" s="387" t="str">
        <f ca="1">'Reconciliation report'!D939</f>
        <v/>
      </c>
      <c r="D944" s="339" t="str">
        <f t="shared" ca="1" si="14"/>
        <v/>
      </c>
    </row>
    <row r="945" spans="1:4" ht="77.5" hidden="1">
      <c r="A945" s="1" t="str">
        <f ca="1">HYPERLINK("#" &amp; 'Reconciliation report'!I940,'Reconciliation report'!F940)</f>
        <v>AIS 17.0/1</v>
      </c>
      <c r="B945" t="str">
        <f ca="1">'Reconciliation report'!C940</f>
        <v xml:space="preserve">
No answer required
Year 17
</v>
      </c>
      <c r="C945" s="387" t="str">
        <f ca="1">'Reconciliation report'!D940</f>
        <v/>
      </c>
      <c r="D945" s="339" t="str">
        <f t="shared" ca="1" si="14"/>
        <v/>
      </c>
    </row>
    <row r="946" spans="1:4" ht="77.5" hidden="1">
      <c r="A946" s="1" t="str">
        <f ca="1">HYPERLINK("#" &amp; 'Reconciliation report'!I941,'Reconciliation report'!F941)</f>
        <v>AIS 18.0/1</v>
      </c>
      <c r="B946" t="str">
        <f ca="1">'Reconciliation report'!C941</f>
        <v xml:space="preserve">
No answer required
Year 18
</v>
      </c>
      <c r="C946" s="387" t="str">
        <f ca="1">'Reconciliation report'!D941</f>
        <v/>
      </c>
      <c r="D946" s="339" t="str">
        <f t="shared" ca="1" si="14"/>
        <v/>
      </c>
    </row>
    <row r="947" spans="1:4" ht="77.5" hidden="1">
      <c r="A947" s="1" t="str">
        <f ca="1">HYPERLINK("#" &amp; 'Reconciliation report'!I942,'Reconciliation report'!F942)</f>
        <v>AIS 19.0/1</v>
      </c>
      <c r="B947" t="str">
        <f ca="1">'Reconciliation report'!C942</f>
        <v xml:space="preserve">
No answer required
Year 19
</v>
      </c>
      <c r="C947" s="387" t="str">
        <f ca="1">'Reconciliation report'!D942</f>
        <v/>
      </c>
      <c r="D947" s="339" t="str">
        <f t="shared" ca="1" si="14"/>
        <v/>
      </c>
    </row>
    <row r="948" spans="1:4" ht="77.5" hidden="1">
      <c r="A948" s="1" t="str">
        <f ca="1">HYPERLINK("#" &amp; 'Reconciliation report'!I943,'Reconciliation report'!F943)</f>
        <v>AIS 20.0/1</v>
      </c>
      <c r="B948" t="str">
        <f ca="1">'Reconciliation report'!C943</f>
        <v xml:space="preserve">
No answer required
Year 20
</v>
      </c>
      <c r="C948" s="387" t="str">
        <f ca="1">'Reconciliation report'!D943</f>
        <v/>
      </c>
      <c r="D948" s="339" t="str">
        <f t="shared" ca="1" si="14"/>
        <v/>
      </c>
    </row>
    <row r="949" spans="1:4" ht="77.5" hidden="1">
      <c r="A949" s="1" t="str">
        <f ca="1">HYPERLINK("#" &amp; 'Reconciliation report'!I944,'Reconciliation report'!F944)</f>
        <v>AIS 21.0/1</v>
      </c>
      <c r="B949" t="str">
        <f ca="1">'Reconciliation report'!C944</f>
        <v xml:space="preserve">
No answer required
Year 21+
</v>
      </c>
      <c r="C949" s="387" t="str">
        <f ca="1">'Reconciliation report'!D944</f>
        <v/>
      </c>
      <c r="D949" s="339" t="str">
        <f t="shared" ca="1" si="14"/>
        <v/>
      </c>
    </row>
    <row r="950" spans="1:4" ht="77.5" hidden="1">
      <c r="A950" s="1" t="str">
        <f ca="1">HYPERLINK("#" &amp; 'Reconciliation report'!I945,'Reconciliation report'!F945)</f>
        <v>AIS 1.0/2</v>
      </c>
      <c r="B950" t="str">
        <f ca="1">'Reconciliation report'!C945</f>
        <v xml:space="preserve">
No answer required
Year 1
</v>
      </c>
      <c r="C950" s="387" t="str">
        <f ca="1">'Reconciliation report'!D945</f>
        <v/>
      </c>
      <c r="D950" s="339" t="str">
        <f t="shared" ca="1" si="14"/>
        <v/>
      </c>
    </row>
    <row r="951" spans="1:4" ht="77.5" hidden="1">
      <c r="A951" s="1" t="str">
        <f ca="1">HYPERLINK("#" &amp; 'Reconciliation report'!I946,'Reconciliation report'!F946)</f>
        <v>AIS 2.0/2</v>
      </c>
      <c r="B951" t="str">
        <f ca="1">'Reconciliation report'!C946</f>
        <v xml:space="preserve">
No answer required
Year 2
</v>
      </c>
      <c r="C951" s="387" t="str">
        <f ca="1">'Reconciliation report'!D946</f>
        <v/>
      </c>
      <c r="D951" s="339" t="str">
        <f t="shared" ca="1" si="14"/>
        <v/>
      </c>
    </row>
    <row r="952" spans="1:4" ht="77.5" hidden="1">
      <c r="A952" s="1" t="str">
        <f ca="1">HYPERLINK("#" &amp; 'Reconciliation report'!I947,'Reconciliation report'!F947)</f>
        <v>AIS 3.0/2</v>
      </c>
      <c r="B952" t="str">
        <f ca="1">'Reconciliation report'!C947</f>
        <v xml:space="preserve">
No answer required
Year 3
</v>
      </c>
      <c r="C952" s="387" t="str">
        <f ca="1">'Reconciliation report'!D947</f>
        <v/>
      </c>
      <c r="D952" s="339" t="str">
        <f t="shared" ca="1" si="14"/>
        <v/>
      </c>
    </row>
    <row r="953" spans="1:4" ht="77.5" hidden="1">
      <c r="A953" s="1" t="str">
        <f ca="1">HYPERLINK("#" &amp; 'Reconciliation report'!I948,'Reconciliation report'!F948)</f>
        <v>AIS 4.0/2</v>
      </c>
      <c r="B953" t="str">
        <f ca="1">'Reconciliation report'!C948</f>
        <v xml:space="preserve">
No answer required
Year 4
</v>
      </c>
      <c r="C953" s="387" t="str">
        <f ca="1">'Reconciliation report'!D948</f>
        <v/>
      </c>
      <c r="D953" s="339" t="str">
        <f t="shared" ca="1" si="14"/>
        <v/>
      </c>
    </row>
    <row r="954" spans="1:4" ht="77.5" hidden="1">
      <c r="A954" s="1" t="str">
        <f ca="1">HYPERLINK("#" &amp; 'Reconciliation report'!I949,'Reconciliation report'!F949)</f>
        <v>AIS 5.0/2</v>
      </c>
      <c r="B954" t="str">
        <f ca="1">'Reconciliation report'!C949</f>
        <v xml:space="preserve">
No answer required
Year 5
</v>
      </c>
      <c r="C954" s="387" t="str">
        <f ca="1">'Reconciliation report'!D949</f>
        <v/>
      </c>
      <c r="D954" s="339" t="str">
        <f t="shared" ca="1" si="14"/>
        <v/>
      </c>
    </row>
    <row r="955" spans="1:4" ht="77.5" hidden="1">
      <c r="A955" s="1" t="str">
        <f ca="1">HYPERLINK("#" &amp; 'Reconciliation report'!I950,'Reconciliation report'!F950)</f>
        <v>AIS 6.0/2</v>
      </c>
      <c r="B955" t="str">
        <f ca="1">'Reconciliation report'!C950</f>
        <v xml:space="preserve">
No answer required
Year 6
</v>
      </c>
      <c r="C955" s="387" t="str">
        <f ca="1">'Reconciliation report'!D950</f>
        <v/>
      </c>
      <c r="D955" s="339" t="str">
        <f t="shared" ca="1" si="14"/>
        <v/>
      </c>
    </row>
    <row r="956" spans="1:4" ht="77.5" hidden="1">
      <c r="A956" s="1" t="str">
        <f ca="1">HYPERLINK("#" &amp; 'Reconciliation report'!I951,'Reconciliation report'!F951)</f>
        <v>AIS 7.0/2</v>
      </c>
      <c r="B956" t="str">
        <f ca="1">'Reconciliation report'!C951</f>
        <v xml:space="preserve">
No answer required
Year 7
</v>
      </c>
      <c r="C956" s="387" t="str">
        <f ca="1">'Reconciliation report'!D951</f>
        <v/>
      </c>
      <c r="D956" s="339" t="str">
        <f t="shared" ca="1" si="14"/>
        <v/>
      </c>
    </row>
    <row r="957" spans="1:4" ht="77.5" hidden="1">
      <c r="A957" s="1" t="str">
        <f ca="1">HYPERLINK("#" &amp; 'Reconciliation report'!I952,'Reconciliation report'!F952)</f>
        <v>AIS 8.0/2</v>
      </c>
      <c r="B957" t="str">
        <f ca="1">'Reconciliation report'!C952</f>
        <v xml:space="preserve">
No answer required
Year 8
</v>
      </c>
      <c r="C957" s="387" t="str">
        <f ca="1">'Reconciliation report'!D952</f>
        <v/>
      </c>
      <c r="D957" s="339" t="str">
        <f t="shared" ca="1" si="14"/>
        <v/>
      </c>
    </row>
    <row r="958" spans="1:4" ht="77.5" hidden="1">
      <c r="A958" s="1" t="str">
        <f ca="1">HYPERLINK("#" &amp; 'Reconciliation report'!I953,'Reconciliation report'!F953)</f>
        <v>AIS 9.0/2</v>
      </c>
      <c r="B958" t="str">
        <f ca="1">'Reconciliation report'!C953</f>
        <v xml:space="preserve">
No answer required
Year 9
</v>
      </c>
      <c r="C958" s="387" t="str">
        <f ca="1">'Reconciliation report'!D953</f>
        <v/>
      </c>
      <c r="D958" s="339" t="str">
        <f t="shared" ca="1" si="14"/>
        <v/>
      </c>
    </row>
    <row r="959" spans="1:4" ht="77.5" hidden="1">
      <c r="A959" s="1" t="str">
        <f ca="1">HYPERLINK("#" &amp; 'Reconciliation report'!I954,'Reconciliation report'!F954)</f>
        <v>AIS 10.0/2</v>
      </c>
      <c r="B959" t="str">
        <f ca="1">'Reconciliation report'!C954</f>
        <v xml:space="preserve">
No answer required
Year 10
</v>
      </c>
      <c r="C959" s="387" t="str">
        <f ca="1">'Reconciliation report'!D954</f>
        <v/>
      </c>
      <c r="D959" s="339" t="str">
        <f t="shared" ca="1" si="14"/>
        <v/>
      </c>
    </row>
    <row r="960" spans="1:4" ht="77.5" hidden="1">
      <c r="A960" s="1" t="str">
        <f ca="1">HYPERLINK("#" &amp; 'Reconciliation report'!I955,'Reconciliation report'!F955)</f>
        <v>AIS 11.0/2</v>
      </c>
      <c r="B960" t="str">
        <f ca="1">'Reconciliation report'!C955</f>
        <v xml:space="preserve">
No answer required
Year 11
</v>
      </c>
      <c r="C960" s="387" t="str">
        <f ca="1">'Reconciliation report'!D955</f>
        <v/>
      </c>
      <c r="D960" s="339" t="str">
        <f t="shared" ca="1" si="14"/>
        <v/>
      </c>
    </row>
    <row r="961" spans="1:4" ht="77.5" hidden="1">
      <c r="A961" s="1" t="str">
        <f ca="1">HYPERLINK("#" &amp; 'Reconciliation report'!I956,'Reconciliation report'!F956)</f>
        <v>AIS 12.0/2</v>
      </c>
      <c r="B961" t="str">
        <f ca="1">'Reconciliation report'!C956</f>
        <v xml:space="preserve">
No answer required
Year 12
</v>
      </c>
      <c r="C961" s="387" t="str">
        <f ca="1">'Reconciliation report'!D956</f>
        <v/>
      </c>
      <c r="D961" s="339" t="str">
        <f t="shared" ca="1" si="14"/>
        <v/>
      </c>
    </row>
    <row r="962" spans="1:4" ht="77.5" hidden="1">
      <c r="A962" s="1" t="str">
        <f ca="1">HYPERLINK("#" &amp; 'Reconciliation report'!I957,'Reconciliation report'!F957)</f>
        <v>AIS 13.0/2</v>
      </c>
      <c r="B962" t="str">
        <f ca="1">'Reconciliation report'!C957</f>
        <v xml:space="preserve">
No answer required
Year 13
</v>
      </c>
      <c r="C962" s="387" t="str">
        <f ca="1">'Reconciliation report'!D957</f>
        <v/>
      </c>
      <c r="D962" s="339" t="str">
        <f t="shared" ca="1" si="14"/>
        <v/>
      </c>
    </row>
    <row r="963" spans="1:4" ht="77.5" hidden="1">
      <c r="A963" s="1" t="str">
        <f ca="1">HYPERLINK("#" &amp; 'Reconciliation report'!I958,'Reconciliation report'!F958)</f>
        <v>AIS 14.0/2</v>
      </c>
      <c r="B963" t="str">
        <f ca="1">'Reconciliation report'!C958</f>
        <v xml:space="preserve">
No answer required
Year 14
</v>
      </c>
      <c r="C963" s="387" t="str">
        <f ca="1">'Reconciliation report'!D958</f>
        <v/>
      </c>
      <c r="D963" s="339" t="str">
        <f t="shared" ca="1" si="14"/>
        <v/>
      </c>
    </row>
    <row r="964" spans="1:4" ht="77.5" hidden="1">
      <c r="A964" s="1" t="str">
        <f ca="1">HYPERLINK("#" &amp; 'Reconciliation report'!I959,'Reconciliation report'!F959)</f>
        <v>AIS 15.0/2</v>
      </c>
      <c r="B964" t="str">
        <f ca="1">'Reconciliation report'!C959</f>
        <v xml:space="preserve">
No answer required
Year 15
</v>
      </c>
      <c r="C964" s="387" t="str">
        <f ca="1">'Reconciliation report'!D959</f>
        <v/>
      </c>
      <c r="D964" s="339" t="str">
        <f t="shared" ca="1" si="14"/>
        <v/>
      </c>
    </row>
    <row r="965" spans="1:4" ht="77.5" hidden="1">
      <c r="A965" s="1" t="str">
        <f ca="1">HYPERLINK("#" &amp; 'Reconciliation report'!I960,'Reconciliation report'!F960)</f>
        <v>AIS 16.0/2</v>
      </c>
      <c r="B965" t="str">
        <f ca="1">'Reconciliation report'!C960</f>
        <v xml:space="preserve">
No answer required
Year 16
</v>
      </c>
      <c r="C965" s="387" t="str">
        <f ca="1">'Reconciliation report'!D960</f>
        <v/>
      </c>
      <c r="D965" s="339" t="str">
        <f t="shared" ca="1" si="14"/>
        <v/>
      </c>
    </row>
    <row r="966" spans="1:4" ht="77.5" hidden="1">
      <c r="A966" s="1" t="str">
        <f ca="1">HYPERLINK("#" &amp; 'Reconciliation report'!I961,'Reconciliation report'!F961)</f>
        <v>AIS 17.0/2</v>
      </c>
      <c r="B966" t="str">
        <f ca="1">'Reconciliation report'!C961</f>
        <v xml:space="preserve">
No answer required
Year 17
</v>
      </c>
      <c r="C966" s="387" t="str">
        <f ca="1">'Reconciliation report'!D961</f>
        <v/>
      </c>
      <c r="D966" s="339" t="str">
        <f t="shared" ca="1" si="14"/>
        <v/>
      </c>
    </row>
    <row r="967" spans="1:4" ht="77.5" hidden="1">
      <c r="A967" s="1" t="str">
        <f ca="1">HYPERLINK("#" &amp; 'Reconciliation report'!I962,'Reconciliation report'!F962)</f>
        <v>AIS 18.0/2</v>
      </c>
      <c r="B967" t="str">
        <f ca="1">'Reconciliation report'!C962</f>
        <v xml:space="preserve">
No answer required
Year 18
</v>
      </c>
      <c r="C967" s="387" t="str">
        <f ca="1">'Reconciliation report'!D962</f>
        <v/>
      </c>
      <c r="D967" s="339" t="str">
        <f t="shared" ref="D967:D1030" ca="1" si="15">IFERROR(IF(LEN(TRIM(CLEAN(C967))) &gt; 0, "Refresh the error report", ""), "")</f>
        <v/>
      </c>
    </row>
    <row r="968" spans="1:4" ht="77.5" hidden="1">
      <c r="A968" s="1" t="str">
        <f ca="1">HYPERLINK("#" &amp; 'Reconciliation report'!I963,'Reconciliation report'!F963)</f>
        <v>AIS 19.0/2</v>
      </c>
      <c r="B968" t="str">
        <f ca="1">'Reconciliation report'!C963</f>
        <v xml:space="preserve">
No answer required
Year 19
</v>
      </c>
      <c r="C968" s="387" t="str">
        <f ca="1">'Reconciliation report'!D963</f>
        <v/>
      </c>
      <c r="D968" s="339" t="str">
        <f t="shared" ca="1" si="15"/>
        <v/>
      </c>
    </row>
    <row r="969" spans="1:4" ht="77.5" hidden="1">
      <c r="A969" s="1" t="str">
        <f ca="1">HYPERLINK("#" &amp; 'Reconciliation report'!I964,'Reconciliation report'!F964)</f>
        <v>AIS 20.0/2</v>
      </c>
      <c r="B969" t="str">
        <f ca="1">'Reconciliation report'!C964</f>
        <v xml:space="preserve">
No answer required
Year 20
</v>
      </c>
      <c r="C969" s="387" t="str">
        <f ca="1">'Reconciliation report'!D964</f>
        <v/>
      </c>
      <c r="D969" s="339" t="str">
        <f t="shared" ca="1" si="15"/>
        <v/>
      </c>
    </row>
    <row r="970" spans="1:4" ht="77.5" hidden="1">
      <c r="A970" s="1" t="str">
        <f ca="1">HYPERLINK("#" &amp; 'Reconciliation report'!I965,'Reconciliation report'!F965)</f>
        <v>AIS 21.0/2</v>
      </c>
      <c r="B970" t="str">
        <f ca="1">'Reconciliation report'!C965</f>
        <v xml:space="preserve">
No answer required
Year 21+
</v>
      </c>
      <c r="C970" s="387" t="str">
        <f ca="1">'Reconciliation report'!D965</f>
        <v/>
      </c>
      <c r="D970" s="339" t="str">
        <f t="shared" ca="1" si="15"/>
        <v/>
      </c>
    </row>
    <row r="971" spans="1:4" ht="77.5" hidden="1">
      <c r="A971" s="1" t="str">
        <f ca="1">HYPERLINK("#" &amp; 'Reconciliation report'!I966,'Reconciliation report'!F966)</f>
        <v>AIS 1.0/3</v>
      </c>
      <c r="B971" t="str">
        <f ca="1">'Reconciliation report'!C966</f>
        <v xml:space="preserve">
No answer required
Year 1
</v>
      </c>
      <c r="C971" s="387" t="str">
        <f ca="1">'Reconciliation report'!D966</f>
        <v/>
      </c>
      <c r="D971" s="339" t="str">
        <f t="shared" ca="1" si="15"/>
        <v/>
      </c>
    </row>
    <row r="972" spans="1:4" ht="77.5" hidden="1">
      <c r="A972" s="1" t="str">
        <f ca="1">HYPERLINK("#" &amp; 'Reconciliation report'!I967,'Reconciliation report'!F967)</f>
        <v>AIS 2.0/3</v>
      </c>
      <c r="B972" t="str">
        <f ca="1">'Reconciliation report'!C967</f>
        <v xml:space="preserve">
No answer required
Year 2
</v>
      </c>
      <c r="C972" s="387" t="str">
        <f ca="1">'Reconciliation report'!D967</f>
        <v/>
      </c>
      <c r="D972" s="339" t="str">
        <f t="shared" ca="1" si="15"/>
        <v/>
      </c>
    </row>
    <row r="973" spans="1:4" ht="77.5" hidden="1">
      <c r="A973" s="1" t="str">
        <f ca="1">HYPERLINK("#" &amp; 'Reconciliation report'!I968,'Reconciliation report'!F968)</f>
        <v>AIS 3.0/3</v>
      </c>
      <c r="B973" t="str">
        <f ca="1">'Reconciliation report'!C968</f>
        <v xml:space="preserve">
No answer required
Year 3
</v>
      </c>
      <c r="C973" s="387" t="str">
        <f ca="1">'Reconciliation report'!D968</f>
        <v/>
      </c>
      <c r="D973" s="339" t="str">
        <f t="shared" ca="1" si="15"/>
        <v/>
      </c>
    </row>
    <row r="974" spans="1:4" ht="77.5" hidden="1">
      <c r="A974" s="1" t="str">
        <f ca="1">HYPERLINK("#" &amp; 'Reconciliation report'!I969,'Reconciliation report'!F969)</f>
        <v>AIS 4.0/3</v>
      </c>
      <c r="B974" t="str">
        <f ca="1">'Reconciliation report'!C969</f>
        <v xml:space="preserve">
No answer required
Year 4
</v>
      </c>
      <c r="C974" s="387" t="str">
        <f ca="1">'Reconciliation report'!D969</f>
        <v/>
      </c>
      <c r="D974" s="339" t="str">
        <f t="shared" ca="1" si="15"/>
        <v/>
      </c>
    </row>
    <row r="975" spans="1:4" ht="77.5" hidden="1">
      <c r="A975" s="1" t="str">
        <f ca="1">HYPERLINK("#" &amp; 'Reconciliation report'!I970,'Reconciliation report'!F970)</f>
        <v>AIS 5.0/3</v>
      </c>
      <c r="B975" t="str">
        <f ca="1">'Reconciliation report'!C970</f>
        <v xml:space="preserve">
No answer required
Year 5
</v>
      </c>
      <c r="C975" s="387" t="str">
        <f ca="1">'Reconciliation report'!D970</f>
        <v/>
      </c>
      <c r="D975" s="339" t="str">
        <f t="shared" ca="1" si="15"/>
        <v/>
      </c>
    </row>
    <row r="976" spans="1:4" ht="77.5" hidden="1">
      <c r="A976" s="1" t="str">
        <f ca="1">HYPERLINK("#" &amp; 'Reconciliation report'!I971,'Reconciliation report'!F971)</f>
        <v>AIS 6.0/3</v>
      </c>
      <c r="B976" t="str">
        <f ca="1">'Reconciliation report'!C971</f>
        <v xml:space="preserve">
No answer required
Year 6
</v>
      </c>
      <c r="C976" s="387" t="str">
        <f ca="1">'Reconciliation report'!D971</f>
        <v/>
      </c>
      <c r="D976" s="339" t="str">
        <f t="shared" ca="1" si="15"/>
        <v/>
      </c>
    </row>
    <row r="977" spans="1:4" ht="77.5" hidden="1">
      <c r="A977" s="1" t="str">
        <f ca="1">HYPERLINK("#" &amp; 'Reconciliation report'!I972,'Reconciliation report'!F972)</f>
        <v>AIS 7.0/3</v>
      </c>
      <c r="B977" t="str">
        <f ca="1">'Reconciliation report'!C972</f>
        <v xml:space="preserve">
No answer required
Year 7
</v>
      </c>
      <c r="C977" s="387" t="str">
        <f ca="1">'Reconciliation report'!D972</f>
        <v/>
      </c>
      <c r="D977" s="339" t="str">
        <f t="shared" ca="1" si="15"/>
        <v/>
      </c>
    </row>
    <row r="978" spans="1:4" ht="77.5" hidden="1">
      <c r="A978" s="1" t="str">
        <f ca="1">HYPERLINK("#" &amp; 'Reconciliation report'!I973,'Reconciliation report'!F973)</f>
        <v>AIS 8.0/3</v>
      </c>
      <c r="B978" t="str">
        <f ca="1">'Reconciliation report'!C973</f>
        <v xml:space="preserve">
No answer required
Year 8
</v>
      </c>
      <c r="C978" s="387" t="str">
        <f ca="1">'Reconciliation report'!D973</f>
        <v/>
      </c>
      <c r="D978" s="339" t="str">
        <f t="shared" ca="1" si="15"/>
        <v/>
      </c>
    </row>
    <row r="979" spans="1:4" ht="77.5" hidden="1">
      <c r="A979" s="1" t="str">
        <f ca="1">HYPERLINK("#" &amp; 'Reconciliation report'!I974,'Reconciliation report'!F974)</f>
        <v>AIS 9.0/3</v>
      </c>
      <c r="B979" t="str">
        <f ca="1">'Reconciliation report'!C974</f>
        <v xml:space="preserve">
No answer required
Year 9
</v>
      </c>
      <c r="C979" s="387" t="str">
        <f ca="1">'Reconciliation report'!D974</f>
        <v/>
      </c>
      <c r="D979" s="339" t="str">
        <f t="shared" ca="1" si="15"/>
        <v/>
      </c>
    </row>
    <row r="980" spans="1:4" ht="77.5" hidden="1">
      <c r="A980" s="1" t="str">
        <f ca="1">HYPERLINK("#" &amp; 'Reconciliation report'!I975,'Reconciliation report'!F975)</f>
        <v>AIS 10.0/3</v>
      </c>
      <c r="B980" t="str">
        <f ca="1">'Reconciliation report'!C975</f>
        <v xml:space="preserve">
No answer required
Year 10
</v>
      </c>
      <c r="C980" s="387" t="str">
        <f ca="1">'Reconciliation report'!D975</f>
        <v/>
      </c>
      <c r="D980" s="339" t="str">
        <f t="shared" ca="1" si="15"/>
        <v/>
      </c>
    </row>
    <row r="981" spans="1:4" ht="77.5" hidden="1">
      <c r="A981" s="1" t="str">
        <f ca="1">HYPERLINK("#" &amp; 'Reconciliation report'!I976,'Reconciliation report'!F976)</f>
        <v>AIS 11.0/3</v>
      </c>
      <c r="B981" t="str">
        <f ca="1">'Reconciliation report'!C976</f>
        <v xml:space="preserve">
No answer required
Year 11
</v>
      </c>
      <c r="C981" s="387" t="str">
        <f ca="1">'Reconciliation report'!D976</f>
        <v/>
      </c>
      <c r="D981" s="339" t="str">
        <f t="shared" ca="1" si="15"/>
        <v/>
      </c>
    </row>
    <row r="982" spans="1:4" ht="77.5" hidden="1">
      <c r="A982" s="1" t="str">
        <f ca="1">HYPERLINK("#" &amp; 'Reconciliation report'!I977,'Reconciliation report'!F977)</f>
        <v>AIS 12.0/3</v>
      </c>
      <c r="B982" t="str">
        <f ca="1">'Reconciliation report'!C977</f>
        <v xml:space="preserve">
No answer required
Year 12
</v>
      </c>
      <c r="C982" s="387" t="str">
        <f ca="1">'Reconciliation report'!D977</f>
        <v/>
      </c>
      <c r="D982" s="339" t="str">
        <f t="shared" ca="1" si="15"/>
        <v/>
      </c>
    </row>
    <row r="983" spans="1:4" ht="77.5" hidden="1">
      <c r="A983" s="1" t="str">
        <f ca="1">HYPERLINK("#" &amp; 'Reconciliation report'!I978,'Reconciliation report'!F978)</f>
        <v>AIS 13.0/3</v>
      </c>
      <c r="B983" t="str">
        <f ca="1">'Reconciliation report'!C978</f>
        <v xml:space="preserve">
No answer required
Year 13
</v>
      </c>
      <c r="C983" s="387" t="str">
        <f ca="1">'Reconciliation report'!D978</f>
        <v/>
      </c>
      <c r="D983" s="339" t="str">
        <f t="shared" ca="1" si="15"/>
        <v/>
      </c>
    </row>
    <row r="984" spans="1:4" ht="77.5" hidden="1">
      <c r="A984" s="1" t="str">
        <f ca="1">HYPERLINK("#" &amp; 'Reconciliation report'!I979,'Reconciliation report'!F979)</f>
        <v>AIS 14.0/3</v>
      </c>
      <c r="B984" t="str">
        <f ca="1">'Reconciliation report'!C979</f>
        <v xml:space="preserve">
No answer required
Year 14
</v>
      </c>
      <c r="C984" s="387" t="str">
        <f ca="1">'Reconciliation report'!D979</f>
        <v/>
      </c>
      <c r="D984" s="339" t="str">
        <f t="shared" ca="1" si="15"/>
        <v/>
      </c>
    </row>
    <row r="985" spans="1:4" ht="77.5" hidden="1">
      <c r="A985" s="1" t="str">
        <f ca="1">HYPERLINK("#" &amp; 'Reconciliation report'!I980,'Reconciliation report'!F980)</f>
        <v>AIS 15.0/3</v>
      </c>
      <c r="B985" t="str">
        <f ca="1">'Reconciliation report'!C980</f>
        <v xml:space="preserve">
No answer required
Year 15
</v>
      </c>
      <c r="C985" s="387" t="str">
        <f ca="1">'Reconciliation report'!D980</f>
        <v/>
      </c>
      <c r="D985" s="339" t="str">
        <f t="shared" ca="1" si="15"/>
        <v/>
      </c>
    </row>
    <row r="986" spans="1:4" ht="77.5" hidden="1">
      <c r="A986" s="1" t="str">
        <f ca="1">HYPERLINK("#" &amp; 'Reconciliation report'!I981,'Reconciliation report'!F981)</f>
        <v>AIS 16.0/3</v>
      </c>
      <c r="B986" t="str">
        <f ca="1">'Reconciliation report'!C981</f>
        <v xml:space="preserve">
No answer required
Year 16
</v>
      </c>
      <c r="C986" s="387" t="str">
        <f ca="1">'Reconciliation report'!D981</f>
        <v/>
      </c>
      <c r="D986" s="339" t="str">
        <f t="shared" ca="1" si="15"/>
        <v/>
      </c>
    </row>
    <row r="987" spans="1:4" ht="77.5" hidden="1">
      <c r="A987" s="1" t="str">
        <f ca="1">HYPERLINK("#" &amp; 'Reconciliation report'!I982,'Reconciliation report'!F982)</f>
        <v>AIS 17.0/3</v>
      </c>
      <c r="B987" t="str">
        <f ca="1">'Reconciliation report'!C982</f>
        <v xml:space="preserve">
No answer required
Year 17
</v>
      </c>
      <c r="C987" s="387" t="str">
        <f ca="1">'Reconciliation report'!D982</f>
        <v/>
      </c>
      <c r="D987" s="339" t="str">
        <f t="shared" ca="1" si="15"/>
        <v/>
      </c>
    </row>
    <row r="988" spans="1:4" ht="77.5" hidden="1">
      <c r="A988" s="1" t="str">
        <f ca="1">HYPERLINK("#" &amp; 'Reconciliation report'!I983,'Reconciliation report'!F983)</f>
        <v>AIS 18.0/3</v>
      </c>
      <c r="B988" t="str">
        <f ca="1">'Reconciliation report'!C983</f>
        <v xml:space="preserve">
No answer required
Year 18
</v>
      </c>
      <c r="C988" s="387" t="str">
        <f ca="1">'Reconciliation report'!D983</f>
        <v/>
      </c>
      <c r="D988" s="339" t="str">
        <f t="shared" ca="1" si="15"/>
        <v/>
      </c>
    </row>
    <row r="989" spans="1:4" ht="77.5" hidden="1">
      <c r="A989" s="1" t="str">
        <f ca="1">HYPERLINK("#" &amp; 'Reconciliation report'!I984,'Reconciliation report'!F984)</f>
        <v>AIS 19.0/3</v>
      </c>
      <c r="B989" t="str">
        <f ca="1">'Reconciliation report'!C984</f>
        <v xml:space="preserve">
No answer required
Year 19
</v>
      </c>
      <c r="C989" s="387" t="str">
        <f ca="1">'Reconciliation report'!D984</f>
        <v/>
      </c>
      <c r="D989" s="339" t="str">
        <f t="shared" ca="1" si="15"/>
        <v/>
      </c>
    </row>
    <row r="990" spans="1:4" ht="77.5" hidden="1">
      <c r="A990" s="1" t="str">
        <f ca="1">HYPERLINK("#" &amp; 'Reconciliation report'!I985,'Reconciliation report'!F985)</f>
        <v>AIS 20.0/3</v>
      </c>
      <c r="B990" t="str">
        <f ca="1">'Reconciliation report'!C985</f>
        <v xml:space="preserve">
No answer required
Year 20
</v>
      </c>
      <c r="C990" s="387" t="str">
        <f ca="1">'Reconciliation report'!D985</f>
        <v/>
      </c>
      <c r="D990" s="339" t="str">
        <f t="shared" ca="1" si="15"/>
        <v/>
      </c>
    </row>
    <row r="991" spans="1:4" ht="77.5" hidden="1">
      <c r="A991" s="1" t="str">
        <f ca="1">HYPERLINK("#" &amp; 'Reconciliation report'!I986,'Reconciliation report'!F986)</f>
        <v>AIS 21.0/3</v>
      </c>
      <c r="B991" t="str">
        <f ca="1">'Reconciliation report'!C986</f>
        <v xml:space="preserve">
No answer required
Year 21+
</v>
      </c>
      <c r="C991" s="387" t="str">
        <f ca="1">'Reconciliation report'!D986</f>
        <v/>
      </c>
      <c r="D991" s="339" t="str">
        <f t="shared" ca="1" si="15"/>
        <v/>
      </c>
    </row>
    <row r="992" spans="1:4" ht="77.5" hidden="1">
      <c r="A992" s="1" t="str">
        <f ca="1">HYPERLINK("#" &amp; 'Reconciliation report'!I987,'Reconciliation report'!F987)</f>
        <v>AIS 1.0/4</v>
      </c>
      <c r="B992" t="str">
        <f ca="1">'Reconciliation report'!C987</f>
        <v xml:space="preserve">
No answer required
Year 1
</v>
      </c>
      <c r="C992" s="387" t="str">
        <f ca="1">'Reconciliation report'!D987</f>
        <v/>
      </c>
      <c r="D992" s="339" t="str">
        <f t="shared" ca="1" si="15"/>
        <v/>
      </c>
    </row>
    <row r="993" spans="1:4" ht="77.5" hidden="1">
      <c r="A993" s="1" t="str">
        <f ca="1">HYPERLINK("#" &amp; 'Reconciliation report'!I988,'Reconciliation report'!F988)</f>
        <v>AIS 2.0/4</v>
      </c>
      <c r="B993" t="str">
        <f ca="1">'Reconciliation report'!C988</f>
        <v xml:space="preserve">
No answer required
Year 2
</v>
      </c>
      <c r="C993" s="387" t="str">
        <f ca="1">'Reconciliation report'!D988</f>
        <v/>
      </c>
      <c r="D993" s="339" t="str">
        <f t="shared" ca="1" si="15"/>
        <v/>
      </c>
    </row>
    <row r="994" spans="1:4" ht="77.5" hidden="1">
      <c r="A994" s="1" t="str">
        <f ca="1">HYPERLINK("#" &amp; 'Reconciliation report'!I989,'Reconciliation report'!F989)</f>
        <v>AIS 3.0/4</v>
      </c>
      <c r="B994" t="str">
        <f ca="1">'Reconciliation report'!C989</f>
        <v xml:space="preserve">
No answer required
Year 3
</v>
      </c>
      <c r="C994" s="387" t="str">
        <f ca="1">'Reconciliation report'!D989</f>
        <v/>
      </c>
      <c r="D994" s="339" t="str">
        <f t="shared" ca="1" si="15"/>
        <v/>
      </c>
    </row>
    <row r="995" spans="1:4" ht="77.5" hidden="1">
      <c r="A995" s="1" t="str">
        <f ca="1">HYPERLINK("#" &amp; 'Reconciliation report'!I990,'Reconciliation report'!F990)</f>
        <v>AIS 4.0/4</v>
      </c>
      <c r="B995" t="str">
        <f ca="1">'Reconciliation report'!C990</f>
        <v xml:space="preserve">
No answer required
Year 4
</v>
      </c>
      <c r="C995" s="387" t="str">
        <f ca="1">'Reconciliation report'!D990</f>
        <v/>
      </c>
      <c r="D995" s="339" t="str">
        <f t="shared" ca="1" si="15"/>
        <v/>
      </c>
    </row>
    <row r="996" spans="1:4" ht="77.5" hidden="1">
      <c r="A996" s="1" t="str">
        <f ca="1">HYPERLINK("#" &amp; 'Reconciliation report'!I991,'Reconciliation report'!F991)</f>
        <v>AIS 5.0/4</v>
      </c>
      <c r="B996" t="str">
        <f ca="1">'Reconciliation report'!C991</f>
        <v xml:space="preserve">
No answer required
Year 5
</v>
      </c>
      <c r="C996" s="387" t="str">
        <f ca="1">'Reconciliation report'!D991</f>
        <v/>
      </c>
      <c r="D996" s="339" t="str">
        <f t="shared" ca="1" si="15"/>
        <v/>
      </c>
    </row>
    <row r="997" spans="1:4" ht="77.5" hidden="1">
      <c r="A997" s="1" t="str">
        <f ca="1">HYPERLINK("#" &amp; 'Reconciliation report'!I992,'Reconciliation report'!F992)</f>
        <v>AIS 6.0/4</v>
      </c>
      <c r="B997" t="str">
        <f ca="1">'Reconciliation report'!C992</f>
        <v xml:space="preserve">
No answer required
Year 6
</v>
      </c>
      <c r="C997" s="387" t="str">
        <f ca="1">'Reconciliation report'!D992</f>
        <v/>
      </c>
      <c r="D997" s="339" t="str">
        <f t="shared" ca="1" si="15"/>
        <v/>
      </c>
    </row>
    <row r="998" spans="1:4" ht="77.5" hidden="1">
      <c r="A998" s="1" t="str">
        <f ca="1">HYPERLINK("#" &amp; 'Reconciliation report'!I993,'Reconciliation report'!F993)</f>
        <v>AIS 7.0/4</v>
      </c>
      <c r="B998" t="str">
        <f ca="1">'Reconciliation report'!C993</f>
        <v xml:space="preserve">
No answer required
Year 7
</v>
      </c>
      <c r="C998" s="387" t="str">
        <f ca="1">'Reconciliation report'!D993</f>
        <v/>
      </c>
      <c r="D998" s="339" t="str">
        <f t="shared" ca="1" si="15"/>
        <v/>
      </c>
    </row>
    <row r="999" spans="1:4" ht="77.5" hidden="1">
      <c r="A999" s="1" t="str">
        <f ca="1">HYPERLINK("#" &amp; 'Reconciliation report'!I994,'Reconciliation report'!F994)</f>
        <v>AIS 8.0/4</v>
      </c>
      <c r="B999" t="str">
        <f ca="1">'Reconciliation report'!C994</f>
        <v xml:space="preserve">
No answer required
Year 8
</v>
      </c>
      <c r="C999" s="387" t="str">
        <f ca="1">'Reconciliation report'!D994</f>
        <v/>
      </c>
      <c r="D999" s="339" t="str">
        <f t="shared" ca="1" si="15"/>
        <v/>
      </c>
    </row>
    <row r="1000" spans="1:4" ht="77.5" hidden="1">
      <c r="A1000" s="1" t="str">
        <f ca="1">HYPERLINK("#" &amp; 'Reconciliation report'!I995,'Reconciliation report'!F995)</f>
        <v>AIS 9.0/4</v>
      </c>
      <c r="B1000" t="str">
        <f ca="1">'Reconciliation report'!C995</f>
        <v xml:space="preserve">
No answer required
Year 9
</v>
      </c>
      <c r="C1000" s="387" t="str">
        <f ca="1">'Reconciliation report'!D995</f>
        <v/>
      </c>
      <c r="D1000" s="339" t="str">
        <f t="shared" ca="1" si="15"/>
        <v/>
      </c>
    </row>
    <row r="1001" spans="1:4" ht="77.5" hidden="1">
      <c r="A1001" s="1" t="str">
        <f ca="1">HYPERLINK("#" &amp; 'Reconciliation report'!I996,'Reconciliation report'!F996)</f>
        <v>AIS 10.0/4</v>
      </c>
      <c r="B1001" t="str">
        <f ca="1">'Reconciliation report'!C996</f>
        <v xml:space="preserve">
No answer required
Year 10
</v>
      </c>
      <c r="C1001" s="387" t="str">
        <f ca="1">'Reconciliation report'!D996</f>
        <v/>
      </c>
      <c r="D1001" s="339" t="str">
        <f t="shared" ca="1" si="15"/>
        <v/>
      </c>
    </row>
    <row r="1002" spans="1:4" ht="77.5" hidden="1">
      <c r="A1002" s="1" t="str">
        <f ca="1">HYPERLINK("#" &amp; 'Reconciliation report'!I997,'Reconciliation report'!F997)</f>
        <v>AIS 11.0/4</v>
      </c>
      <c r="B1002" t="str">
        <f ca="1">'Reconciliation report'!C997</f>
        <v xml:space="preserve">
No answer required
Year 11
</v>
      </c>
      <c r="C1002" s="387" t="str">
        <f ca="1">'Reconciliation report'!D997</f>
        <v/>
      </c>
      <c r="D1002" s="339" t="str">
        <f t="shared" ca="1" si="15"/>
        <v/>
      </c>
    </row>
    <row r="1003" spans="1:4" ht="77.5" hidden="1">
      <c r="A1003" s="1" t="str">
        <f ca="1">HYPERLINK("#" &amp; 'Reconciliation report'!I998,'Reconciliation report'!F998)</f>
        <v>AIS 12.0/4</v>
      </c>
      <c r="B1003" t="str">
        <f ca="1">'Reconciliation report'!C998</f>
        <v xml:space="preserve">
No answer required
Year 12
</v>
      </c>
      <c r="C1003" s="387" t="str">
        <f ca="1">'Reconciliation report'!D998</f>
        <v/>
      </c>
      <c r="D1003" s="339" t="str">
        <f t="shared" ca="1" si="15"/>
        <v/>
      </c>
    </row>
    <row r="1004" spans="1:4" ht="77.5" hidden="1">
      <c r="A1004" s="1" t="str">
        <f ca="1">HYPERLINK("#" &amp; 'Reconciliation report'!I999,'Reconciliation report'!F999)</f>
        <v>AIS 13.0/4</v>
      </c>
      <c r="B1004" t="str">
        <f ca="1">'Reconciliation report'!C999</f>
        <v xml:space="preserve">
No answer required
Year 13
</v>
      </c>
      <c r="C1004" s="387" t="str">
        <f ca="1">'Reconciliation report'!D999</f>
        <v/>
      </c>
      <c r="D1004" s="339" t="str">
        <f t="shared" ca="1" si="15"/>
        <v/>
      </c>
    </row>
    <row r="1005" spans="1:4" ht="77.5" hidden="1">
      <c r="A1005" s="1" t="str">
        <f ca="1">HYPERLINK("#" &amp; 'Reconciliation report'!I1000,'Reconciliation report'!F1000)</f>
        <v>AIS 14.0/4</v>
      </c>
      <c r="B1005" t="str">
        <f ca="1">'Reconciliation report'!C1000</f>
        <v xml:space="preserve">
No answer required
Year 14
</v>
      </c>
      <c r="C1005" s="387" t="str">
        <f ca="1">'Reconciliation report'!D1000</f>
        <v/>
      </c>
      <c r="D1005" s="339" t="str">
        <f t="shared" ca="1" si="15"/>
        <v/>
      </c>
    </row>
    <row r="1006" spans="1:4" ht="77.5" hidden="1">
      <c r="A1006" s="1" t="str">
        <f ca="1">HYPERLINK("#" &amp; 'Reconciliation report'!I1001,'Reconciliation report'!F1001)</f>
        <v>AIS 15.0/4</v>
      </c>
      <c r="B1006" t="str">
        <f ca="1">'Reconciliation report'!C1001</f>
        <v xml:space="preserve">
No answer required
Year 15
</v>
      </c>
      <c r="C1006" s="387" t="str">
        <f ca="1">'Reconciliation report'!D1001</f>
        <v/>
      </c>
      <c r="D1006" s="339" t="str">
        <f t="shared" ca="1" si="15"/>
        <v/>
      </c>
    </row>
    <row r="1007" spans="1:4" ht="77.5" hidden="1">
      <c r="A1007" s="1" t="str">
        <f ca="1">HYPERLINK("#" &amp; 'Reconciliation report'!I1002,'Reconciliation report'!F1002)</f>
        <v>AIS 16.0/4</v>
      </c>
      <c r="B1007" t="str">
        <f ca="1">'Reconciliation report'!C1002</f>
        <v xml:space="preserve">
No answer required
Year 16
</v>
      </c>
      <c r="C1007" s="387" t="str">
        <f ca="1">'Reconciliation report'!D1002</f>
        <v/>
      </c>
      <c r="D1007" s="339" t="str">
        <f t="shared" ca="1" si="15"/>
        <v/>
      </c>
    </row>
    <row r="1008" spans="1:4" ht="77.5" hidden="1">
      <c r="A1008" s="1" t="str">
        <f ca="1">HYPERLINK("#" &amp; 'Reconciliation report'!I1003,'Reconciliation report'!F1003)</f>
        <v>AIS 17.0/4</v>
      </c>
      <c r="B1008" t="str">
        <f ca="1">'Reconciliation report'!C1003</f>
        <v xml:space="preserve">
No answer required
Year 17
</v>
      </c>
      <c r="C1008" s="387" t="str">
        <f ca="1">'Reconciliation report'!D1003</f>
        <v/>
      </c>
      <c r="D1008" s="339" t="str">
        <f t="shared" ca="1" si="15"/>
        <v/>
      </c>
    </row>
    <row r="1009" spans="1:4" ht="77.5" hidden="1">
      <c r="A1009" s="1" t="str">
        <f ca="1">HYPERLINK("#" &amp; 'Reconciliation report'!I1004,'Reconciliation report'!F1004)</f>
        <v>AIS 18.0/4</v>
      </c>
      <c r="B1009" t="str">
        <f ca="1">'Reconciliation report'!C1004</f>
        <v xml:space="preserve">
No answer required
Year 18
</v>
      </c>
      <c r="C1009" s="387" t="str">
        <f ca="1">'Reconciliation report'!D1004</f>
        <v/>
      </c>
      <c r="D1009" s="339" t="str">
        <f t="shared" ca="1" si="15"/>
        <v/>
      </c>
    </row>
    <row r="1010" spans="1:4" ht="77.5" hidden="1">
      <c r="A1010" s="1" t="str">
        <f ca="1">HYPERLINK("#" &amp; 'Reconciliation report'!I1005,'Reconciliation report'!F1005)</f>
        <v>AIS 19.0/4</v>
      </c>
      <c r="B1010" t="str">
        <f ca="1">'Reconciliation report'!C1005</f>
        <v xml:space="preserve">
No answer required
Year 19
</v>
      </c>
      <c r="C1010" s="387" t="str">
        <f ca="1">'Reconciliation report'!D1005</f>
        <v/>
      </c>
      <c r="D1010" s="339" t="str">
        <f t="shared" ca="1" si="15"/>
        <v/>
      </c>
    </row>
    <row r="1011" spans="1:4" ht="77.5" hidden="1">
      <c r="A1011" s="1" t="str">
        <f ca="1">HYPERLINK("#" &amp; 'Reconciliation report'!I1006,'Reconciliation report'!F1006)</f>
        <v>AIS 20.0/4</v>
      </c>
      <c r="B1011" t="str">
        <f ca="1">'Reconciliation report'!C1006</f>
        <v xml:space="preserve">
No answer required
Year 20
</v>
      </c>
      <c r="C1011" s="387" t="str">
        <f ca="1">'Reconciliation report'!D1006</f>
        <v/>
      </c>
      <c r="D1011" s="339" t="str">
        <f t="shared" ca="1" si="15"/>
        <v/>
      </c>
    </row>
    <row r="1012" spans="1:4" ht="77.5" hidden="1">
      <c r="A1012" s="1" t="str">
        <f ca="1">HYPERLINK("#" &amp; 'Reconciliation report'!I1007,'Reconciliation report'!F1007)</f>
        <v>AIS 21.0/4</v>
      </c>
      <c r="B1012" t="str">
        <f ca="1">'Reconciliation report'!C1007</f>
        <v xml:space="preserve">
No answer required
Year 21+
</v>
      </c>
      <c r="C1012" s="387" t="str">
        <f ca="1">'Reconciliation report'!D1007</f>
        <v/>
      </c>
      <c r="D1012" s="339" t="str">
        <f t="shared" ca="1" si="15"/>
        <v/>
      </c>
    </row>
    <row r="1013" spans="1:4" ht="77.5" hidden="1">
      <c r="A1013" s="1" t="str">
        <f ca="1">HYPERLINK("#" &amp; 'Reconciliation report'!I1008,'Reconciliation report'!F1008)</f>
        <v>AIS 1.0/5</v>
      </c>
      <c r="B1013" t="str">
        <f ca="1">'Reconciliation report'!C1008</f>
        <v xml:space="preserve">
No answer required
Year 1
</v>
      </c>
      <c r="C1013" s="387" t="str">
        <f ca="1">'Reconciliation report'!D1008</f>
        <v/>
      </c>
      <c r="D1013" s="339" t="str">
        <f t="shared" ca="1" si="15"/>
        <v/>
      </c>
    </row>
    <row r="1014" spans="1:4" ht="77.5" hidden="1">
      <c r="A1014" s="1" t="str">
        <f ca="1">HYPERLINK("#" &amp; 'Reconciliation report'!I1009,'Reconciliation report'!F1009)</f>
        <v>AIS 2.0/5</v>
      </c>
      <c r="B1014" t="str">
        <f ca="1">'Reconciliation report'!C1009</f>
        <v xml:space="preserve">
No answer required
Year 2
</v>
      </c>
      <c r="C1014" s="387" t="str">
        <f ca="1">'Reconciliation report'!D1009</f>
        <v/>
      </c>
      <c r="D1014" s="339" t="str">
        <f t="shared" ca="1" si="15"/>
        <v/>
      </c>
    </row>
    <row r="1015" spans="1:4" ht="77.5" hidden="1">
      <c r="A1015" s="1" t="str">
        <f ca="1">HYPERLINK("#" &amp; 'Reconciliation report'!I1010,'Reconciliation report'!F1010)</f>
        <v>AIS 3.0/5</v>
      </c>
      <c r="B1015" t="str">
        <f ca="1">'Reconciliation report'!C1010</f>
        <v xml:space="preserve">
No answer required
Year 3
</v>
      </c>
      <c r="C1015" s="387" t="str">
        <f ca="1">'Reconciliation report'!D1010</f>
        <v/>
      </c>
      <c r="D1015" s="339" t="str">
        <f t="shared" ca="1" si="15"/>
        <v/>
      </c>
    </row>
    <row r="1016" spans="1:4" ht="77.5" hidden="1">
      <c r="A1016" s="1" t="str">
        <f ca="1">HYPERLINK("#" &amp; 'Reconciliation report'!I1011,'Reconciliation report'!F1011)</f>
        <v>AIS 4.0/5</v>
      </c>
      <c r="B1016" t="str">
        <f ca="1">'Reconciliation report'!C1011</f>
        <v xml:space="preserve">
No answer required
Year 4
</v>
      </c>
      <c r="C1016" s="387" t="str">
        <f ca="1">'Reconciliation report'!D1011</f>
        <v/>
      </c>
      <c r="D1016" s="339" t="str">
        <f t="shared" ca="1" si="15"/>
        <v/>
      </c>
    </row>
    <row r="1017" spans="1:4" ht="77.5" hidden="1">
      <c r="A1017" s="1" t="str">
        <f ca="1">HYPERLINK("#" &amp; 'Reconciliation report'!I1012,'Reconciliation report'!F1012)</f>
        <v>AIS 5.0/5</v>
      </c>
      <c r="B1017" t="str">
        <f ca="1">'Reconciliation report'!C1012</f>
        <v xml:space="preserve">
No answer required
Year 5
</v>
      </c>
      <c r="C1017" s="387" t="str">
        <f ca="1">'Reconciliation report'!D1012</f>
        <v/>
      </c>
      <c r="D1017" s="339" t="str">
        <f t="shared" ca="1" si="15"/>
        <v/>
      </c>
    </row>
    <row r="1018" spans="1:4" ht="77.5" hidden="1">
      <c r="A1018" s="1" t="str">
        <f ca="1">HYPERLINK("#" &amp; 'Reconciliation report'!I1013,'Reconciliation report'!F1013)</f>
        <v>AIS 6.0/5</v>
      </c>
      <c r="B1018" t="str">
        <f ca="1">'Reconciliation report'!C1013</f>
        <v xml:space="preserve">
No answer required
Year 6
</v>
      </c>
      <c r="C1018" s="387" t="str">
        <f ca="1">'Reconciliation report'!D1013</f>
        <v/>
      </c>
      <c r="D1018" s="339" t="str">
        <f t="shared" ca="1" si="15"/>
        <v/>
      </c>
    </row>
    <row r="1019" spans="1:4" ht="77.5" hidden="1">
      <c r="A1019" s="1" t="str">
        <f ca="1">HYPERLINK("#" &amp; 'Reconciliation report'!I1014,'Reconciliation report'!F1014)</f>
        <v>AIS 7.0/5</v>
      </c>
      <c r="B1019" t="str">
        <f ca="1">'Reconciliation report'!C1014</f>
        <v xml:space="preserve">
No answer required
Year 7
</v>
      </c>
      <c r="C1019" s="387" t="str">
        <f ca="1">'Reconciliation report'!D1014</f>
        <v/>
      </c>
      <c r="D1019" s="339" t="str">
        <f t="shared" ca="1" si="15"/>
        <v/>
      </c>
    </row>
    <row r="1020" spans="1:4" ht="77.5" hidden="1">
      <c r="A1020" s="1" t="str">
        <f ca="1">HYPERLINK("#" &amp; 'Reconciliation report'!I1015,'Reconciliation report'!F1015)</f>
        <v>AIS 8.0/5</v>
      </c>
      <c r="B1020" t="str">
        <f ca="1">'Reconciliation report'!C1015</f>
        <v xml:space="preserve">
No answer required
Year 8
</v>
      </c>
      <c r="C1020" s="387" t="str">
        <f ca="1">'Reconciliation report'!D1015</f>
        <v/>
      </c>
      <c r="D1020" s="339" t="str">
        <f t="shared" ca="1" si="15"/>
        <v/>
      </c>
    </row>
    <row r="1021" spans="1:4" ht="77.5" hidden="1">
      <c r="A1021" s="1" t="str">
        <f ca="1">HYPERLINK("#" &amp; 'Reconciliation report'!I1016,'Reconciliation report'!F1016)</f>
        <v>AIS 9.0/5</v>
      </c>
      <c r="B1021" t="str">
        <f ca="1">'Reconciliation report'!C1016</f>
        <v xml:space="preserve">
No answer required
Year 9
</v>
      </c>
      <c r="C1021" s="387" t="str">
        <f ca="1">'Reconciliation report'!D1016</f>
        <v/>
      </c>
      <c r="D1021" s="339" t="str">
        <f t="shared" ca="1" si="15"/>
        <v/>
      </c>
    </row>
    <row r="1022" spans="1:4" ht="77.5" hidden="1">
      <c r="A1022" s="1" t="str">
        <f ca="1">HYPERLINK("#" &amp; 'Reconciliation report'!I1017,'Reconciliation report'!F1017)</f>
        <v>AIS 10.0/5</v>
      </c>
      <c r="B1022" t="str">
        <f ca="1">'Reconciliation report'!C1017</f>
        <v xml:space="preserve">
No answer required
Year 10
</v>
      </c>
      <c r="C1022" s="387" t="str">
        <f ca="1">'Reconciliation report'!D1017</f>
        <v/>
      </c>
      <c r="D1022" s="339" t="str">
        <f t="shared" ca="1" si="15"/>
        <v/>
      </c>
    </row>
    <row r="1023" spans="1:4" ht="77.5" hidden="1">
      <c r="A1023" s="1" t="str">
        <f ca="1">HYPERLINK("#" &amp; 'Reconciliation report'!I1018,'Reconciliation report'!F1018)</f>
        <v>AIS 11.0/5</v>
      </c>
      <c r="B1023" t="str">
        <f ca="1">'Reconciliation report'!C1018</f>
        <v xml:space="preserve">
No answer required
Year 11
</v>
      </c>
      <c r="C1023" s="387" t="str">
        <f ca="1">'Reconciliation report'!D1018</f>
        <v/>
      </c>
      <c r="D1023" s="339" t="str">
        <f t="shared" ca="1" si="15"/>
        <v/>
      </c>
    </row>
    <row r="1024" spans="1:4" ht="77.5" hidden="1">
      <c r="A1024" s="1" t="str">
        <f ca="1">HYPERLINK("#" &amp; 'Reconciliation report'!I1019,'Reconciliation report'!F1019)</f>
        <v>AIS 12.0/5</v>
      </c>
      <c r="B1024" t="str">
        <f ca="1">'Reconciliation report'!C1019</f>
        <v xml:space="preserve">
No answer required
Year 12
</v>
      </c>
      <c r="C1024" s="387" t="str">
        <f ca="1">'Reconciliation report'!D1019</f>
        <v/>
      </c>
      <c r="D1024" s="339" t="str">
        <f t="shared" ca="1" si="15"/>
        <v/>
      </c>
    </row>
    <row r="1025" spans="1:4" ht="77.5" hidden="1">
      <c r="A1025" s="1" t="str">
        <f ca="1">HYPERLINK("#" &amp; 'Reconciliation report'!I1020,'Reconciliation report'!F1020)</f>
        <v>AIS 13.0/5</v>
      </c>
      <c r="B1025" t="str">
        <f ca="1">'Reconciliation report'!C1020</f>
        <v xml:space="preserve">
No answer required
Year 13
</v>
      </c>
      <c r="C1025" s="387" t="str">
        <f ca="1">'Reconciliation report'!D1020</f>
        <v/>
      </c>
      <c r="D1025" s="339" t="str">
        <f t="shared" ca="1" si="15"/>
        <v/>
      </c>
    </row>
    <row r="1026" spans="1:4" ht="77.5" hidden="1">
      <c r="A1026" s="1" t="str">
        <f ca="1">HYPERLINK("#" &amp; 'Reconciliation report'!I1021,'Reconciliation report'!F1021)</f>
        <v>AIS 14.0/5</v>
      </c>
      <c r="B1026" t="str">
        <f ca="1">'Reconciliation report'!C1021</f>
        <v xml:space="preserve">
No answer required
Year 14
</v>
      </c>
      <c r="C1026" s="387" t="str">
        <f ca="1">'Reconciliation report'!D1021</f>
        <v/>
      </c>
      <c r="D1026" s="339" t="str">
        <f t="shared" ca="1" si="15"/>
        <v/>
      </c>
    </row>
    <row r="1027" spans="1:4" ht="77.5" hidden="1">
      <c r="A1027" s="1" t="str">
        <f ca="1">HYPERLINK("#" &amp; 'Reconciliation report'!I1022,'Reconciliation report'!F1022)</f>
        <v>AIS 15.0/5</v>
      </c>
      <c r="B1027" t="str">
        <f ca="1">'Reconciliation report'!C1022</f>
        <v xml:space="preserve">
No answer required
Year 15
</v>
      </c>
      <c r="C1027" s="387" t="str">
        <f ca="1">'Reconciliation report'!D1022</f>
        <v/>
      </c>
      <c r="D1027" s="339" t="str">
        <f t="shared" ca="1" si="15"/>
        <v/>
      </c>
    </row>
    <row r="1028" spans="1:4" ht="77.5" hidden="1">
      <c r="A1028" s="1" t="str">
        <f ca="1">HYPERLINK("#" &amp; 'Reconciliation report'!I1023,'Reconciliation report'!F1023)</f>
        <v>AIS 16.0/5</v>
      </c>
      <c r="B1028" t="str">
        <f ca="1">'Reconciliation report'!C1023</f>
        <v xml:space="preserve">
No answer required
Year 16
</v>
      </c>
      <c r="C1028" s="387" t="str">
        <f ca="1">'Reconciliation report'!D1023</f>
        <v/>
      </c>
      <c r="D1028" s="339" t="str">
        <f t="shared" ca="1" si="15"/>
        <v/>
      </c>
    </row>
    <row r="1029" spans="1:4" ht="77.5" hidden="1">
      <c r="A1029" s="1" t="str">
        <f ca="1">HYPERLINK("#" &amp; 'Reconciliation report'!I1024,'Reconciliation report'!F1024)</f>
        <v>AIS 17.0/5</v>
      </c>
      <c r="B1029" t="str">
        <f ca="1">'Reconciliation report'!C1024</f>
        <v xml:space="preserve">
No answer required
Year 17
</v>
      </c>
      <c r="C1029" s="387" t="str">
        <f ca="1">'Reconciliation report'!D1024</f>
        <v/>
      </c>
      <c r="D1029" s="339" t="str">
        <f t="shared" ca="1" si="15"/>
        <v/>
      </c>
    </row>
    <row r="1030" spans="1:4" ht="77.5" hidden="1">
      <c r="A1030" s="1" t="str">
        <f ca="1">HYPERLINK("#" &amp; 'Reconciliation report'!I1025,'Reconciliation report'!F1025)</f>
        <v>AIS 18.0/5</v>
      </c>
      <c r="B1030" t="str">
        <f ca="1">'Reconciliation report'!C1025</f>
        <v xml:space="preserve">
No answer required
Year 18
</v>
      </c>
      <c r="C1030" s="387" t="str">
        <f ca="1">'Reconciliation report'!D1025</f>
        <v/>
      </c>
      <c r="D1030" s="339" t="str">
        <f t="shared" ca="1" si="15"/>
        <v/>
      </c>
    </row>
    <row r="1031" spans="1:4" ht="77.5" hidden="1">
      <c r="A1031" s="1" t="str">
        <f ca="1">HYPERLINK("#" &amp; 'Reconciliation report'!I1026,'Reconciliation report'!F1026)</f>
        <v>AIS 19.0/5</v>
      </c>
      <c r="B1031" t="str">
        <f ca="1">'Reconciliation report'!C1026</f>
        <v xml:space="preserve">
No answer required
Year 19
</v>
      </c>
      <c r="C1031" s="387" t="str">
        <f ca="1">'Reconciliation report'!D1026</f>
        <v/>
      </c>
      <c r="D1031" s="339" t="str">
        <f t="shared" ref="D1031:D1094" ca="1" si="16">IFERROR(IF(LEN(TRIM(CLEAN(C1031))) &gt; 0, "Refresh the error report", ""), "")</f>
        <v/>
      </c>
    </row>
    <row r="1032" spans="1:4" ht="77.5" hidden="1">
      <c r="A1032" s="1" t="str">
        <f ca="1">HYPERLINK("#" &amp; 'Reconciliation report'!I1027,'Reconciliation report'!F1027)</f>
        <v>AIS 20.0/5</v>
      </c>
      <c r="B1032" t="str">
        <f ca="1">'Reconciliation report'!C1027</f>
        <v xml:space="preserve">
No answer required
Year 20
</v>
      </c>
      <c r="C1032" s="387" t="str">
        <f ca="1">'Reconciliation report'!D1027</f>
        <v/>
      </c>
      <c r="D1032" s="339" t="str">
        <f t="shared" ca="1" si="16"/>
        <v/>
      </c>
    </row>
    <row r="1033" spans="1:4" ht="77.5" hidden="1">
      <c r="A1033" s="1" t="str">
        <f ca="1">HYPERLINK("#" &amp; 'Reconciliation report'!I1028,'Reconciliation report'!F1028)</f>
        <v>AIS 21.0/5</v>
      </c>
      <c r="B1033" t="str">
        <f ca="1">'Reconciliation report'!C1028</f>
        <v xml:space="preserve">
No answer required
Year 21+
</v>
      </c>
      <c r="C1033" s="387" t="str">
        <f ca="1">'Reconciliation report'!D1028</f>
        <v/>
      </c>
      <c r="D1033" s="339" t="str">
        <f t="shared" ca="1" si="16"/>
        <v/>
      </c>
    </row>
    <row r="1034" spans="1:4" ht="62" hidden="1">
      <c r="A1034" s="1" t="str">
        <f ca="1">HYPERLINK("#" &amp; 'Reconciliation report'!I1029,'Reconciliation report'!F1029)</f>
        <v>IRC 1.0</v>
      </c>
      <c r="B1034" t="str">
        <f ca="1">'Reconciliation report'!C1029</f>
        <v xml:space="preserve">
What is the scheme's current level of investment risk calculated according to the Fast Track stress test expressed as a percentage? (%)
</v>
      </c>
      <c r="C1034" s="387" t="str">
        <f ca="1">'Reconciliation report'!D1029</f>
        <v/>
      </c>
      <c r="D1034" s="339" t="str">
        <f t="shared" ca="1" si="16"/>
        <v/>
      </c>
    </row>
    <row r="1035" spans="1:4" ht="62" hidden="1">
      <c r="A1035" s="1" t="str">
        <f ca="1">HYPERLINK("#" &amp; 'Reconciliation report'!I1030,'Reconciliation report'!F1030)</f>
        <v>IRC 2.0</v>
      </c>
      <c r="B1035" t="str">
        <f ca="1">'Reconciliation report'!C1030</f>
        <v xml:space="preserve">
What is the scheme's current level of investment risk expressed as a pound value? (£)
</v>
      </c>
      <c r="C1035" s="387" t="str">
        <f ca="1">'Reconciliation report'!D1030</f>
        <v/>
      </c>
      <c r="D1035" s="339" t="str">
        <f t="shared" ca="1" si="16"/>
        <v/>
      </c>
    </row>
    <row r="1036" spans="1:4" ht="93" hidden="1">
      <c r="A1036" s="1" t="str">
        <f ca="1">HYPERLINK("#" &amp; 'Reconciliation report'!I1031,'Reconciliation report'!F1031)</f>
        <v>IRC 3.0</v>
      </c>
      <c r="B1036" t="str">
        <f ca="1">'Reconciliation report'!C1031</f>
        <v xml:space="preserve">
How does the scheme's intended investment allocation at the relevant date comply with the objective that assets of at least the value of the scheme's liabilities (calculated on a low dependency funding basis) are invested in accordance with a low dependency investment allocation?
</v>
      </c>
      <c r="C1036" s="387" t="str">
        <f ca="1">'Reconciliation report'!D1031</f>
        <v/>
      </c>
      <c r="D1036" s="339" t="str">
        <f t="shared" ca="1" si="16"/>
        <v/>
      </c>
    </row>
    <row r="1037" spans="1:4" ht="62" hidden="1">
      <c r="A1037" s="1" t="str">
        <f ca="1">HYPERLINK("#" &amp; 'Reconciliation report'!I1032,'Reconciliation report'!F1032)</f>
        <v>IRC 4.0</v>
      </c>
      <c r="B1037" t="str">
        <f ca="1">'Reconciliation report'!C1032</f>
        <v xml:space="preserve">
How has the current level of risk in the scheme's notional investment strategy been determined?
</v>
      </c>
      <c r="C1037" s="387" t="str">
        <f ca="1">'Reconciliation report'!D1032</f>
        <v/>
      </c>
      <c r="D1037" s="339" t="str">
        <f t="shared" ca="1" si="16"/>
        <v/>
      </c>
    </row>
    <row r="1038" spans="1:4" ht="62" hidden="1">
      <c r="A1038" s="1" t="str">
        <f ca="1">HYPERLINK("#" &amp; 'Reconciliation report'!I1033,'Reconciliation report'!F1033)</f>
        <v>IRC 5.0</v>
      </c>
      <c r="B1038" t="str">
        <f ca="1">'Reconciliation report'!C1033</f>
        <v xml:space="preserve">No answer required
Explain how the level of risk has been determined.
</v>
      </c>
      <c r="C1038" s="387" t="str">
        <f ca="1">'Reconciliation report'!D1033</f>
        <v/>
      </c>
      <c r="D1038" s="339" t="str">
        <f t="shared" ca="1" si="16"/>
        <v/>
      </c>
    </row>
    <row r="1039" spans="1:4" ht="77.5" hidden="1">
      <c r="A1039" s="1" t="str">
        <f ca="1">HYPERLINK("#" &amp; 'Reconciliation report'!I1034,'Reconciliation report'!F1034)</f>
        <v>IRC 6.0</v>
      </c>
      <c r="B1039" t="str">
        <f ca="1">'Reconciliation report'!C1034</f>
        <v xml:space="preserve">No answer required
Has the investment risk calculation been based on liabilities and assets or assets only?
</v>
      </c>
      <c r="C1039" s="387" t="str">
        <f ca="1">'Reconciliation report'!D1034</f>
        <v/>
      </c>
      <c r="D1039" s="339" t="str">
        <f t="shared" ca="1" si="16"/>
        <v/>
      </c>
    </row>
    <row r="1040" spans="1:4" ht="46.5" hidden="1">
      <c r="A1040" s="1" t="str">
        <f ca="1">HYPERLINK("#" &amp; 'Reconciliation report'!I1035,'Reconciliation report'!F1035)</f>
        <v>IRC 7.0</v>
      </c>
      <c r="B1040" t="str">
        <f ca="1">'Reconciliation report'!C1035</f>
        <v xml:space="preserve">
What liability basis has been used?
</v>
      </c>
      <c r="C1040" s="387" t="str">
        <f ca="1">'Reconciliation report'!D1035</f>
        <v/>
      </c>
      <c r="D1040" s="339" t="str">
        <f t="shared" ca="1" si="16"/>
        <v/>
      </c>
    </row>
    <row r="1041" spans="1:4" ht="62" hidden="1">
      <c r="A1041" s="1" t="str">
        <f ca="1">HYPERLINK("#" &amp; 'Reconciliation report'!I1036,'Reconciliation report'!F1036)</f>
        <v>IRC 8.0</v>
      </c>
      <c r="B1041" t="str">
        <f ca="1">'Reconciliation report'!C1036</f>
        <v xml:space="preserve">No answer required
What margin over gilts has been used? (%)
</v>
      </c>
      <c r="C1041" s="387" t="str">
        <f ca="1">'Reconciliation report'!D1036</f>
        <v/>
      </c>
      <c r="D1041" s="339" t="str">
        <f t="shared" ca="1" si="16"/>
        <v/>
      </c>
    </row>
    <row r="1042" spans="1:4" ht="62" hidden="1">
      <c r="A1042" s="1" t="str">
        <f ca="1">HYPERLINK("#" &amp; 'Reconciliation report'!I1037,'Reconciliation report'!F1037)</f>
        <v>IRC 9.0</v>
      </c>
      <c r="B1042" t="str">
        <f ca="1">'Reconciliation report'!C1037</f>
        <v xml:space="preserve">No answer required
What margin over swaps has been used? (%)
</v>
      </c>
      <c r="C1042" s="387" t="str">
        <f ca="1">'Reconciliation report'!D1037</f>
        <v/>
      </c>
      <c r="D1042" s="339" t="str">
        <f t="shared" ca="1" si="16"/>
        <v/>
      </c>
    </row>
    <row r="1043" spans="1:4" ht="62" hidden="1">
      <c r="A1043" s="1" t="str">
        <f ca="1">HYPERLINK("#" &amp; 'Reconciliation report'!I1038,'Reconciliation report'!F1038)</f>
        <v>IRC 10.0</v>
      </c>
      <c r="B1043" t="str">
        <f ca="1">'Reconciliation report'!C1038</f>
        <v xml:space="preserve">No answer required
Describe the liability basis.
</v>
      </c>
      <c r="C1043" s="387" t="str">
        <f ca="1">'Reconciliation report'!D1038</f>
        <v/>
      </c>
      <c r="D1043" s="339" t="str">
        <f t="shared" ca="1" si="16"/>
        <v/>
      </c>
    </row>
    <row r="1044" spans="1:4" ht="46.5">
      <c r="A1044" s="1" t="str">
        <f ca="1">HYPERLINK("#" &amp; 'Reconciliation report'!I1039,'Reconciliation report'!F1039)</f>
        <v>IRC 11.0</v>
      </c>
      <c r="B1044" t="str">
        <f ca="1">'Reconciliation report'!C1039</f>
        <v xml:space="preserve">
At or to which percentile point has the investment risk been calculated? (%)
</v>
      </c>
      <c r="C1044" s="387" t="str">
        <f ca="1">'Reconciliation report'!D1039</f>
        <v xml:space="preserve">
Enter a percentage value between 0 and 100.
</v>
      </c>
      <c r="D1044" s="339" t="str">
        <f t="shared" ca="1" si="16"/>
        <v>Refresh the error report</v>
      </c>
    </row>
    <row r="1045" spans="1:4" ht="46.5">
      <c r="A1045" s="1" t="str">
        <f ca="1">HYPERLINK("#" &amp; 'Reconciliation report'!I1040,'Reconciliation report'!F1040)</f>
        <v>IRC 12.0</v>
      </c>
      <c r="B1045" t="str">
        <f ca="1">'Reconciliation report'!C1040</f>
        <v xml:space="preserve">
Over what period has the investment risk been calculated?
</v>
      </c>
      <c r="C1045" s="387" t="str">
        <f ca="1">'Reconciliation report'!D1040</f>
        <v xml:space="preserve">
Enter a number (in years) between 1 and 10.
</v>
      </c>
      <c r="D1045" s="339" t="str">
        <f t="shared" ca="1" si="16"/>
        <v>Refresh the error report</v>
      </c>
    </row>
    <row r="1046" spans="1:4" ht="62">
      <c r="A1046" s="1" t="str">
        <f ca="1">HYPERLINK("#" &amp; 'Reconciliation report'!I1041,'Reconciliation report'!F1041)</f>
        <v>IRC 13.0</v>
      </c>
      <c r="B1046" t="str">
        <f ca="1">'Reconciliation report'!C1041</f>
        <v xml:space="preserve">
Is the expected long-term return that the notional investment allocation is assumed to provide expressed as a nominal value or as a margin over gilts?
</v>
      </c>
      <c r="C1046" s="387" t="str">
        <f ca="1">'Reconciliation report'!D1041</f>
        <v xml:space="preserve">
Select 'Nominal value' or 'Margin over gilts' from the drop-down menu.
</v>
      </c>
      <c r="D1046" s="339" t="str">
        <f t="shared" ca="1" si="16"/>
        <v>Refresh the error report</v>
      </c>
    </row>
    <row r="1047" spans="1:4" ht="77.5" hidden="1">
      <c r="A1047" s="1" t="str">
        <f ca="1">HYPERLINK("#" &amp; 'Reconciliation report'!I1042,'Reconciliation report'!F1042)</f>
        <v>IRC 14.0</v>
      </c>
      <c r="B1047" t="str">
        <f ca="1">'Reconciliation report'!C1042</f>
        <v xml:space="preserve">No answer required
What is the expected long-term return that the notional investment allocation is assumed to provide, expressed as a margin over gilts? (%)
</v>
      </c>
      <c r="C1047" s="387" t="str">
        <f ca="1">'Reconciliation report'!D1042</f>
        <v/>
      </c>
      <c r="D1047" s="339" t="str">
        <f t="shared" ca="1" si="16"/>
        <v/>
      </c>
    </row>
    <row r="1048" spans="1:4" ht="77.5" hidden="1">
      <c r="A1048" s="1" t="str">
        <f ca="1">HYPERLINK("#" &amp; 'Reconciliation report'!I1043,'Reconciliation report'!F1043)</f>
        <v>IRC 15.0</v>
      </c>
      <c r="B1048" t="str">
        <f ca="1">'Reconciliation report'!C1043</f>
        <v xml:space="preserve">No answer required
What is the expected long-term return that the notional investment allocation is assumed to provide expressed as a nominal value?
</v>
      </c>
      <c r="C1048" s="387" t="str">
        <f ca="1">'Reconciliation report'!D1043</f>
        <v/>
      </c>
      <c r="D1048" s="339" t="str">
        <f t="shared" ca="1" si="16"/>
        <v/>
      </c>
    </row>
    <row r="1049" spans="1:4" ht="46.5">
      <c r="A1049" s="1" t="str">
        <f ca="1">HYPERLINK("#" &amp; 'Reconciliation report'!I1044,'Reconciliation report'!F1044)</f>
        <v>IRC 16.0</v>
      </c>
      <c r="B1049" t="str">
        <f ca="1">'Reconciliation report'!C1044</f>
        <v xml:space="preserve">
Notional asset investment allocation: fixed interest – UK Government bonds (%)
</v>
      </c>
      <c r="C1049" s="387" t="str">
        <f ca="1">'Reconciliation report'!D1044</f>
        <v xml:space="preserve">
Enter a percentage value between -200 and 300.</v>
      </c>
      <c r="D1049" s="339" t="str">
        <f t="shared" ca="1" si="16"/>
        <v>Refresh the error report</v>
      </c>
    </row>
    <row r="1050" spans="1:4" ht="62">
      <c r="A1050" s="1" t="str">
        <f ca="1">HYPERLINK("#" &amp; 'Reconciliation report'!I1045,'Reconciliation report'!F1045)</f>
        <v>IRC 17.0</v>
      </c>
      <c r="B1050" t="str">
        <f ca="1">'Reconciliation report'!C1045</f>
        <v xml:space="preserve">
Notional asset investment allocation: fixed interest investment grade bonds (excluding UK Government) (%)
</v>
      </c>
      <c r="C1050" s="387" t="str">
        <f ca="1">'Reconciliation report'!D1045</f>
        <v xml:space="preserve">
Enter a percentage value between -200 and 300.</v>
      </c>
      <c r="D1050" s="339" t="str">
        <f t="shared" ca="1" si="16"/>
        <v>Refresh the error report</v>
      </c>
    </row>
    <row r="1051" spans="1:4" ht="62">
      <c r="A1051" s="1" t="str">
        <f ca="1">HYPERLINK("#" &amp; 'Reconciliation report'!I1046,'Reconciliation report'!F1046)</f>
        <v>IRC 18.0</v>
      </c>
      <c r="B1051" t="str">
        <f ca="1">'Reconciliation report'!C1046</f>
        <v xml:space="preserve">
Notional asset investment allocation: fixed interest – sub-investment grade bonds (%)
</v>
      </c>
      <c r="C1051" s="387" t="str">
        <f ca="1">'Reconciliation report'!D1046</f>
        <v xml:space="preserve">
Enter a percentage value between -200 and 300.</v>
      </c>
      <c r="D1051" s="339" t="str">
        <f t="shared" ca="1" si="16"/>
        <v>Refresh the error report</v>
      </c>
    </row>
    <row r="1052" spans="1:4" ht="46.5">
      <c r="A1052" s="1" t="str">
        <f ca="1">HYPERLINK("#" &amp; 'Reconciliation report'!I1047,'Reconciliation report'!F1047)</f>
        <v>IRC 19.0</v>
      </c>
      <c r="B1052" t="str">
        <f ca="1">'Reconciliation report'!C1047</f>
        <v xml:space="preserve">
Notional asset investment allocation: UK inflation-linked – government bonds (%)
</v>
      </c>
      <c r="C1052" s="387" t="str">
        <f ca="1">'Reconciliation report'!D1047</f>
        <v xml:space="preserve">
Enter a percentage value between -200 and 300.</v>
      </c>
      <c r="D1052" s="339" t="str">
        <f t="shared" ca="1" si="16"/>
        <v>Refresh the error report</v>
      </c>
    </row>
    <row r="1053" spans="1:4" ht="46.5">
      <c r="A1053" s="1" t="str">
        <f ca="1">HYPERLINK("#" &amp; 'Reconciliation report'!I1048,'Reconciliation report'!F1048)</f>
        <v>IRC 20.0</v>
      </c>
      <c r="B1053" t="str">
        <f ca="1">'Reconciliation report'!C1048</f>
        <v xml:space="preserve">
Notional asset investment allocation: UK quoted equities (%)
</v>
      </c>
      <c r="C1053" s="387" t="str">
        <f ca="1">'Reconciliation report'!D1048</f>
        <v xml:space="preserve">
Enter a percentage value between -200 and 200.</v>
      </c>
      <c r="D1053" s="339" t="str">
        <f t="shared" ca="1" si="16"/>
        <v>Refresh the error report</v>
      </c>
    </row>
    <row r="1054" spans="1:4" ht="46.5">
      <c r="A1054" s="1" t="str">
        <f ca="1">HYPERLINK("#" &amp; 'Reconciliation report'!I1049,'Reconciliation report'!F1049)</f>
        <v>IRC 21.0</v>
      </c>
      <c r="B1054" t="str">
        <f ca="1">'Reconciliation report'!C1049</f>
        <v xml:space="preserve">
Notional asset investment allocation: overseas quoted equities (%)
</v>
      </c>
      <c r="C1054" s="387" t="str">
        <f ca="1">'Reconciliation report'!D1049</f>
        <v xml:space="preserve">
Enter a percentage value between -200 and 200.</v>
      </c>
      <c r="D1054" s="339" t="str">
        <f t="shared" ca="1" si="16"/>
        <v>Refresh the error report</v>
      </c>
    </row>
    <row r="1055" spans="1:4" ht="46.5">
      <c r="A1055" s="1" t="str">
        <f ca="1">HYPERLINK("#" &amp; 'Reconciliation report'!I1050,'Reconciliation report'!F1050)</f>
        <v>IRC 22.0</v>
      </c>
      <c r="B1055" t="str">
        <f ca="1">'Reconciliation report'!C1050</f>
        <v xml:space="preserve">
Notional asset investment allocation: unquoted and private equity (%)
</v>
      </c>
      <c r="C1055" s="387" t="str">
        <f ca="1">'Reconciliation report'!D1050</f>
        <v xml:space="preserve">
Enter a percentage value between -200 and 200.</v>
      </c>
      <c r="D1055" s="339" t="str">
        <f t="shared" ca="1" si="16"/>
        <v>Refresh the error report</v>
      </c>
    </row>
    <row r="1056" spans="1:4" ht="46.5">
      <c r="A1056" s="1" t="str">
        <f ca="1">HYPERLINK("#" &amp; 'Reconciliation report'!I1051,'Reconciliation report'!F1051)</f>
        <v>IRC 23.0</v>
      </c>
      <c r="B1056" t="str">
        <f ca="1">'Reconciliation report'!C1051</f>
        <v xml:space="preserve">
Notional asset investment allocation: property (%)
</v>
      </c>
      <c r="C1056" s="387" t="str">
        <f ca="1">'Reconciliation report'!D1051</f>
        <v xml:space="preserve">
Enter a percentage value between -200 and 200.</v>
      </c>
      <c r="D1056" s="339" t="str">
        <f t="shared" ca="1" si="16"/>
        <v>Refresh the error report</v>
      </c>
    </row>
    <row r="1057" spans="1:4" ht="62">
      <c r="A1057" s="1" t="str">
        <f ca="1">HYPERLINK("#" &amp; 'Reconciliation report'!I1052,'Reconciliation report'!F1052)</f>
        <v>IRC 24.0</v>
      </c>
      <c r="B1057" t="str">
        <f ca="1">'Reconciliation report'!C1052</f>
        <v xml:space="preserve">
Notional asset investment allocation: deferred or immediate fully insured annuities (%)
</v>
      </c>
      <c r="C1057" s="387" t="str">
        <f ca="1">'Reconciliation report'!D1052</f>
        <v xml:space="preserve">
Enter a percentage value between -200 and 200.</v>
      </c>
      <c r="D1057" s="339" t="str">
        <f t="shared" ca="1" si="16"/>
        <v>Refresh the error report</v>
      </c>
    </row>
    <row r="1058" spans="1:4" ht="46.5">
      <c r="A1058" s="1" t="str">
        <f ca="1">HYPERLINK("#" &amp; 'Reconciliation report'!I1053,'Reconciliation report'!F1053)</f>
        <v>IRC 25.0</v>
      </c>
      <c r="B1058" t="str">
        <f ca="1">'Reconciliation report'!C1053</f>
        <v xml:space="preserve">
Notional asset investment allocation: diversified growth funds (%)
</v>
      </c>
      <c r="C1058" s="387" t="str">
        <f ca="1">'Reconciliation report'!D1053</f>
        <v xml:space="preserve">
Enter a percentage value between -200 and 200.</v>
      </c>
      <c r="D1058" s="339" t="str">
        <f t="shared" ca="1" si="16"/>
        <v>Refresh the error report</v>
      </c>
    </row>
    <row r="1059" spans="1:4" ht="46.5">
      <c r="A1059" s="1" t="str">
        <f ca="1">HYPERLINK("#" &amp; 'Reconciliation report'!I1054,'Reconciliation report'!F1054)</f>
        <v>IRC 26.0</v>
      </c>
      <c r="B1059" t="str">
        <f ca="1">'Reconciliation report'!C1054</f>
        <v xml:space="preserve">
Notional asset investment allocation: cash and net current assets (%)
</v>
      </c>
      <c r="C1059" s="387" t="str">
        <f ca="1">'Reconciliation report'!D1054</f>
        <v xml:space="preserve">
Enter a percentage value between -200 and 200.</v>
      </c>
      <c r="D1059" s="339" t="str">
        <f t="shared" ca="1" si="16"/>
        <v>Refresh the error report</v>
      </c>
    </row>
    <row r="1060" spans="1:4" ht="46.5">
      <c r="A1060" s="1" t="str">
        <f ca="1">HYPERLINK("#" &amp; 'Reconciliation report'!I1055,'Reconciliation report'!F1055)</f>
        <v>IRC 27.0</v>
      </c>
      <c r="B1060" t="str">
        <f ca="1">'Reconciliation report'!C1055</f>
        <v xml:space="preserve">
Notional asset investment allocation: asset-backed contributions (ABCs) (%)
</v>
      </c>
      <c r="C1060" s="387" t="str">
        <f ca="1">'Reconciliation report'!D1055</f>
        <v xml:space="preserve">
Enter a percentage value between -200 and 200.</v>
      </c>
      <c r="D1060" s="339" t="str">
        <f t="shared" ca="1" si="16"/>
        <v>Refresh the error report</v>
      </c>
    </row>
    <row r="1061" spans="1:4" ht="46.5">
      <c r="A1061" s="1" t="str">
        <f ca="1">HYPERLINK("#" &amp; 'Reconciliation report'!I1056,'Reconciliation report'!F1056)</f>
        <v>IRC 28.0</v>
      </c>
      <c r="B1061" t="str">
        <f ca="1">'Reconciliation report'!C1056</f>
        <v xml:space="preserve">
Notional asset investment allocation: other (%)
</v>
      </c>
      <c r="C1061" s="387" t="str">
        <f ca="1">'Reconciliation report'!D1056</f>
        <v xml:space="preserve">
Enter a percentage value between -200 and 200.</v>
      </c>
      <c r="D1061" s="339" t="str">
        <f t="shared" ca="1" si="16"/>
        <v>Refresh the error report</v>
      </c>
    </row>
    <row r="1062" spans="1:4" ht="62">
      <c r="A1062" s="1" t="str">
        <f ca="1">HYPERLINK("#" &amp; 'Reconciliation report'!I1057,'Reconciliation report'!F1057)</f>
        <v>IRC 29.0</v>
      </c>
      <c r="B1062" t="str">
        <f ca="1">'Reconciliation report'!C1057</f>
        <v xml:space="preserve">
Does the scheme currently have an explicit interest rate or inflation-hedging target?
</v>
      </c>
      <c r="C1062" s="387" t="str">
        <f ca="1">'Reconciliation report'!D1057</f>
        <v xml:space="preserve">
Select 'Yes' if the scheme does currently have an explicit interest rate or inflation-hedging target and 'No' if it does not.
</v>
      </c>
      <c r="D1062" s="339" t="str">
        <f t="shared" ca="1" si="16"/>
        <v>Refresh the error report</v>
      </c>
    </row>
    <row r="1063" spans="1:4" ht="46.5" hidden="1">
      <c r="A1063" s="1" t="str">
        <f ca="1">HYPERLINK("#" &amp; 'Reconciliation report'!I1058,'Reconciliation report'!F1058)</f>
        <v>IRC 30.0</v>
      </c>
      <c r="B1063" t="str">
        <f ca="1">'Reconciliation report'!C1058</f>
        <v xml:space="preserve">
What are the current hedging targets measured as a proportion of?
</v>
      </c>
      <c r="C1063" s="387" t="str">
        <f ca="1">'Reconciliation report'!D1058</f>
        <v/>
      </c>
      <c r="D1063" s="339" t="str">
        <f t="shared" ca="1" si="16"/>
        <v/>
      </c>
    </row>
    <row r="1064" spans="1:4" ht="77.5" hidden="1">
      <c r="A1064" s="1" t="str">
        <f ca="1">HYPERLINK("#" &amp; 'Reconciliation report'!I1059,'Reconciliation report'!F1059)</f>
        <v>IRC 31.0</v>
      </c>
      <c r="B1064" t="str">
        <f ca="1">'Reconciliation report'!C1059</f>
        <v xml:space="preserve">No answer required
Explain what the scheme's interest and/or inflation hedging targets are measured against.
</v>
      </c>
      <c r="C1064" s="387" t="str">
        <f ca="1">'Reconciliation report'!D1059</f>
        <v/>
      </c>
      <c r="D1064" s="339" t="str">
        <f t="shared" ca="1" si="16"/>
        <v/>
      </c>
    </row>
    <row r="1065" spans="1:4" ht="62" hidden="1">
      <c r="A1065" s="1" t="str">
        <f ca="1">HYPERLINK("#" &amp; 'Reconciliation report'!I1060,'Reconciliation report'!F1060)</f>
        <v>IRC 32.0</v>
      </c>
      <c r="B1065" t="str">
        <f ca="1">'Reconciliation report'!C1060</f>
        <v xml:space="preserve">
Do the current target interest and inflation hedging ratios include insured annuities?
</v>
      </c>
      <c r="C1065" s="387" t="str">
        <f ca="1">'Reconciliation report'!D1060</f>
        <v/>
      </c>
      <c r="D1065" s="339" t="str">
        <f t="shared" ca="1" si="16"/>
        <v/>
      </c>
    </row>
    <row r="1066" spans="1:4" ht="46.5" hidden="1">
      <c r="A1066" s="1" t="str">
        <f ca="1">HYPERLINK("#" &amp; 'Reconciliation report'!I1061,'Reconciliation report'!F1061)</f>
        <v>IRC 33.0</v>
      </c>
      <c r="B1066" t="str">
        <f ca="1">'Reconciliation report'!C1061</f>
        <v xml:space="preserve">
What is the target interest rate hedging ratio? (%)
</v>
      </c>
      <c r="C1066" s="387" t="str">
        <f ca="1">'Reconciliation report'!D1061</f>
        <v/>
      </c>
      <c r="D1066" s="339" t="str">
        <f t="shared" ca="1" si="16"/>
        <v/>
      </c>
    </row>
    <row r="1067" spans="1:4" ht="46.5" hidden="1">
      <c r="A1067" s="1" t="str">
        <f ca="1">HYPERLINK("#" &amp; 'Reconciliation report'!I1062,'Reconciliation report'!F1062)</f>
        <v>IRC 34.0</v>
      </c>
      <c r="B1067" t="str">
        <f ca="1">'Reconciliation report'!C1062</f>
        <v xml:space="preserve">
What is the target inflation rate hedging ratio? (%)
</v>
      </c>
      <c r="C1067" s="387" t="str">
        <f ca="1">'Reconciliation report'!D1062</f>
        <v/>
      </c>
      <c r="D1067" s="339" t="str">
        <f t="shared" ca="1" si="16"/>
        <v/>
      </c>
    </row>
    <row r="1068" spans="1:4" ht="46.5">
      <c r="A1068" s="1" t="str">
        <f ca="1">HYPERLINK("#" &amp; 'Reconciliation report'!I1063,'Reconciliation report'!F1063)</f>
        <v>LIQ 1.0</v>
      </c>
      <c r="B1068" t="str">
        <f ca="1">'Reconciliation report'!C1063</f>
        <v xml:space="preserve">
What is the proportion of highly liquid investments? (%)
</v>
      </c>
      <c r="C1068" s="387" t="str">
        <f ca="1">'Reconciliation report'!D1063</f>
        <v xml:space="preserve">
Enter a percentage value between 0 and 100.
</v>
      </c>
      <c r="D1068" s="339" t="str">
        <f t="shared" ca="1" si="16"/>
        <v>Refresh the error report</v>
      </c>
    </row>
    <row r="1069" spans="1:4" ht="46.5">
      <c r="A1069" s="1" t="str">
        <f ca="1">HYPERLINK("#" &amp; 'Reconciliation report'!I1064,'Reconciliation report'!F1064)</f>
        <v>LIQ 2.0</v>
      </c>
      <c r="B1069" t="str">
        <f ca="1">'Reconciliation report'!C1064</f>
        <v xml:space="preserve">
What is the proportion of illiquid investments? (%)
</v>
      </c>
      <c r="C1069" s="387" t="str">
        <f ca="1">'Reconciliation report'!D1064</f>
        <v xml:space="preserve">
Enter a percentage value between 0 and 100.
</v>
      </c>
      <c r="D1069" s="339" t="str">
        <f t="shared" ca="1" si="16"/>
        <v>Refresh the error report</v>
      </c>
    </row>
    <row r="1070" spans="1:4" ht="77.5">
      <c r="A1070" s="1" t="str">
        <f ca="1">HYPERLINK("#" &amp; 'Reconciliation report'!I1065,'Reconciliation report'!F1065)</f>
        <v>LIQ 3.0</v>
      </c>
      <c r="B1070" t="str">
        <f ca="1">'Reconciliation report'!C1065</f>
        <v xml:space="preserve">
Does the scheme’s notional investment allocation include leveraged investments that could result in unexpected demands on liquidity from the rest of the scheme’s assets?
</v>
      </c>
      <c r="C1070" s="387" t="str">
        <f ca="1">'Reconciliation report'!D1065</f>
        <v xml:space="preserve">
Select 'Yes' if the scheme’s notional investment allocation includes leveraged investments that could result in unexpected demands on liquidity from the rest of the scheme’s assets and 'No' if it does not.
</v>
      </c>
      <c r="D1070" s="339" t="str">
        <f t="shared" ca="1" si="16"/>
        <v>Refresh the error report</v>
      </c>
    </row>
    <row r="1071" spans="1:4" ht="62" hidden="1">
      <c r="A1071" s="1" t="str">
        <f ca="1">HYPERLINK("#" &amp; 'Reconciliation report'!I1066,'Reconciliation report'!F1066)</f>
        <v>IJP 1.0</v>
      </c>
      <c r="B1071" t="str">
        <f ca="1">'Reconciliation report'!C1066</f>
        <v xml:space="preserve">
What will be the intended investment risk at the relevant date expressed as a percentage drop in funding level? (%)
</v>
      </c>
      <c r="C1071" s="387" t="str">
        <f ca="1">'Reconciliation report'!D1066</f>
        <v/>
      </c>
      <c r="D1071" s="339" t="str">
        <f t="shared" ca="1" si="16"/>
        <v/>
      </c>
    </row>
    <row r="1072" spans="1:4" ht="46.5" hidden="1">
      <c r="A1072" s="1" t="str">
        <f ca="1">HYPERLINK("#" &amp; 'Reconciliation report'!I1067,'Reconciliation report'!F1067)</f>
        <v>IJP 2.0</v>
      </c>
      <c r="B1072" t="str">
        <f ca="1">'Reconciliation report'!C1067</f>
        <v xml:space="preserve">
What is the scheme's de-risking approach?
</v>
      </c>
      <c r="C1072" s="387" t="str">
        <f ca="1">'Reconciliation report'!D1067</f>
        <v/>
      </c>
      <c r="D1072" s="339" t="str">
        <f t="shared" ca="1" si="16"/>
        <v/>
      </c>
    </row>
    <row r="1073" spans="1:4" ht="62" hidden="1">
      <c r="A1073" s="1" t="str">
        <f ca="1">HYPERLINK("#" &amp; 'Reconciliation report'!I1068,'Reconciliation report'!F1068)</f>
        <v>IJP 3.0</v>
      </c>
      <c r="B1073" t="str">
        <f ca="1">'Reconciliation report'!C1068</f>
        <v xml:space="preserve">
Provide further information that may be helpful to understand the level of risk in the journey plan. (Optional)
</v>
      </c>
      <c r="C1073" s="387" t="str">
        <f ca="1">'Reconciliation report'!D1068</f>
        <v/>
      </c>
      <c r="D1073" s="339" t="str">
        <f t="shared" ca="1" si="16"/>
        <v/>
      </c>
    </row>
    <row r="1074" spans="1:4" ht="62">
      <c r="A1074" s="1" t="str">
        <f ca="1">HYPERLINK("#" &amp; 'Reconciliation report'!I1069,'Reconciliation report'!F1069)</f>
        <v>IJP 4.0</v>
      </c>
      <c r="B1074" t="str">
        <f ca="1">'Reconciliation report'!C1069</f>
        <v xml:space="preserve">
Does the scheme have an explicit interest rate or inflation hedging target at the relevant date?
</v>
      </c>
      <c r="C1074" s="387" t="str">
        <f ca="1">'Reconciliation report'!D1069</f>
        <v xml:space="preserve">
Select 'Yes' if the scheme has an explicit interest rate or inflation hedging target at the relevant date or 'No' if it does not.
</v>
      </c>
      <c r="D1074" s="339" t="str">
        <f t="shared" ca="1" si="16"/>
        <v>Refresh the error report</v>
      </c>
    </row>
    <row r="1075" spans="1:4" ht="46.5" hidden="1">
      <c r="A1075" s="1" t="str">
        <f ca="1">HYPERLINK("#" &amp; 'Reconciliation report'!I1070,'Reconciliation report'!F1070)</f>
        <v>IJP 5.0</v>
      </c>
      <c r="B1075" t="str">
        <f ca="1">'Reconciliation report'!C1070</f>
        <v xml:space="preserve">
What are the relevant date hedging targets measured as a proportion of?
</v>
      </c>
      <c r="C1075" s="387" t="str">
        <f ca="1">'Reconciliation report'!D1070</f>
        <v/>
      </c>
      <c r="D1075" s="339" t="str">
        <f t="shared" ca="1" si="16"/>
        <v/>
      </c>
    </row>
    <row r="1076" spans="1:4" ht="77.5" hidden="1">
      <c r="A1076" s="1" t="str">
        <f ca="1">HYPERLINK("#" &amp; 'Reconciliation report'!I1071,'Reconciliation report'!F1071)</f>
        <v>IJP 6.0</v>
      </c>
      <c r="B1076" t="str">
        <f ca="1">'Reconciliation report'!C1071</f>
        <v xml:space="preserve">No answer required
Describe what the scheme's interest rate or inflation hedging targets at relevant date are measured against.
</v>
      </c>
      <c r="C1076" s="387" t="str">
        <f ca="1">'Reconciliation report'!D1071</f>
        <v/>
      </c>
      <c r="D1076" s="339" t="str">
        <f t="shared" ca="1" si="16"/>
        <v/>
      </c>
    </row>
    <row r="1077" spans="1:4" ht="62" hidden="1">
      <c r="A1077" s="1" t="str">
        <f ca="1">HYPERLINK("#" &amp; 'Reconciliation report'!I1072,'Reconciliation report'!F1072)</f>
        <v>IJP 7.0</v>
      </c>
      <c r="B1077" t="str">
        <f ca="1">'Reconciliation report'!C1072</f>
        <v xml:space="preserve">
Do the target interest rate and inflation hedging ratios include insured annuities at the relevant date?
</v>
      </c>
      <c r="C1077" s="387" t="str">
        <f ca="1">'Reconciliation report'!D1072</f>
        <v/>
      </c>
      <c r="D1077" s="339" t="str">
        <f t="shared" ca="1" si="16"/>
        <v/>
      </c>
    </row>
    <row r="1078" spans="1:4" ht="62" hidden="1">
      <c r="A1078" s="1" t="str">
        <f ca="1">HYPERLINK("#" &amp; 'Reconciliation report'!I1073,'Reconciliation report'!F1073)</f>
        <v>IJP 8.0</v>
      </c>
      <c r="B1078" t="str">
        <f ca="1">'Reconciliation report'!C1073</f>
        <v xml:space="preserve">
What is the scheme's intended interest rate hedging as a proportion of liabilities at the relevant date? (%)
</v>
      </c>
      <c r="C1078" s="387" t="str">
        <f ca="1">'Reconciliation report'!D1073</f>
        <v/>
      </c>
      <c r="D1078" s="339" t="str">
        <f t="shared" ca="1" si="16"/>
        <v/>
      </c>
    </row>
    <row r="1079" spans="1:4" ht="62" hidden="1">
      <c r="A1079" s="1" t="str">
        <f ca="1">HYPERLINK("#" &amp; 'Reconciliation report'!I1074,'Reconciliation report'!F1074)</f>
        <v>IJP 9.0</v>
      </c>
      <c r="B1079" t="str">
        <f ca="1">'Reconciliation report'!C1074</f>
        <v xml:space="preserve">
What is the scheme's intended inflation hedging as a proportion of liabilities at the relevant date? (%)
</v>
      </c>
      <c r="C1079" s="387" t="str">
        <f ca="1">'Reconciliation report'!D1074</f>
        <v/>
      </c>
      <c r="D1079" s="339" t="str">
        <f t="shared" ca="1" si="16"/>
        <v/>
      </c>
    </row>
    <row r="1080" spans="1:4" ht="77.5" hidden="1">
      <c r="A1080" s="1" t="str">
        <f ca="1">HYPERLINK("#" &amp; 'Reconciliation report'!I1075,'Reconciliation report'!F1075)</f>
        <v>IJP 10.0</v>
      </c>
      <c r="B1080" t="str">
        <f ca="1">'Reconciliation report'!C1075</f>
        <v xml:space="preserve">
How do the trustees intend to achieve the objective that the assets underpinning the minimum funding level are invested in accordance with a low dependency investment allocation on and after the relevant date?
</v>
      </c>
      <c r="C1080" s="387" t="str">
        <f ca="1">'Reconciliation report'!D1075</f>
        <v/>
      </c>
      <c r="D1080" s="339" t="str">
        <f t="shared" ca="1" si="16"/>
        <v/>
      </c>
    </row>
    <row r="1081" spans="1:4" ht="108.5">
      <c r="A1081" s="1" t="str">
        <f ca="1">HYPERLINK("#" &amp; 'Reconciliation report'!I1076,'Reconciliation report'!F1076)</f>
        <v>IJP 11.0</v>
      </c>
      <c r="B1081" t="str">
        <f ca="1">'Reconciliation report'!C1076</f>
        <v xml:space="preserve">
How has the level of investment risk at the relevant date been determined?
</v>
      </c>
      <c r="C1081" s="387" t="str">
        <f ca="1">'Reconciliation report'!D1076</f>
        <v xml:space="preserve">
You must select one of the following options from the drop down list:
• TPR Fast Track stress test
• Value at Risk (VAR)
• Conditional Value at Risk (CVAR)
• Other
</v>
      </c>
      <c r="D1081" s="339" t="str">
        <f t="shared" ca="1" si="16"/>
        <v>Refresh the error report</v>
      </c>
    </row>
    <row r="1082" spans="1:4" ht="62" hidden="1">
      <c r="A1082" s="1" t="str">
        <f ca="1">HYPERLINK("#" &amp; 'Reconciliation report'!I1077,'Reconciliation report'!F1077)</f>
        <v>IJP 12.0</v>
      </c>
      <c r="B1082" t="str">
        <f ca="1">'Reconciliation report'!C1077</f>
        <v xml:space="preserve">No answer required
Explain how the level of risk at the relevant date has been determined.
</v>
      </c>
      <c r="C1082" s="387" t="str">
        <f ca="1">'Reconciliation report'!D1077</f>
        <v/>
      </c>
      <c r="D1082" s="339" t="str">
        <f t="shared" ca="1" si="16"/>
        <v/>
      </c>
    </row>
    <row r="1083" spans="1:4" ht="77.5">
      <c r="A1083" s="1" t="str">
        <f ca="1">HYPERLINK("#" &amp; 'Reconciliation report'!I1078,'Reconciliation report'!F1078)</f>
        <v>IJP 13.0</v>
      </c>
      <c r="B1083" t="str">
        <f ca="1">'Reconciliation report'!C1078</f>
        <v xml:space="preserve">
Has the investment risk calculation at the relevant date been based on liabilities and assets or assets only?
</v>
      </c>
      <c r="C1083" s="387" t="str">
        <f ca="1">'Reconciliation report'!D1078</f>
        <v xml:space="preserve">
You must select one of the following options from the drop down list:
• Liabilities and assets
• Assets only
</v>
      </c>
      <c r="D1083" s="339" t="str">
        <f t="shared" ca="1" si="16"/>
        <v>Refresh the error report</v>
      </c>
    </row>
    <row r="1084" spans="1:4" ht="124">
      <c r="A1084" s="1" t="str">
        <f ca="1">HYPERLINK("#" &amp; 'Reconciliation report'!I1079,'Reconciliation report'!F1079)</f>
        <v>IJP 14.0</v>
      </c>
      <c r="B1084" t="str">
        <f ca="1">'Reconciliation report'!C1079</f>
        <v xml:space="preserve">
What liability basis has been used?
</v>
      </c>
      <c r="C1084" s="387" t="str">
        <f ca="1">'Reconciliation report'!D1079</f>
        <v xml:space="preserve">
Select one of the following options from the drop down list:
• Technical provisions
• Low dependency funding
• Gilts/ Margin over gilts
• Swaps/ Margin over swaps
• Other
</v>
      </c>
      <c r="D1084" s="339" t="str">
        <f t="shared" ca="1" si="16"/>
        <v>Refresh the error report</v>
      </c>
    </row>
    <row r="1085" spans="1:4" ht="62" hidden="1">
      <c r="A1085" s="1" t="str">
        <f ca="1">HYPERLINK("#" &amp; 'Reconciliation report'!I1080,'Reconciliation report'!F1080)</f>
        <v>IJP 15.0</v>
      </c>
      <c r="B1085" t="str">
        <f ca="1">'Reconciliation report'!C1080</f>
        <v xml:space="preserve">No answer required
What margin over gilts has been used? (%)
</v>
      </c>
      <c r="C1085" s="387" t="str">
        <f ca="1">'Reconciliation report'!D1080</f>
        <v/>
      </c>
      <c r="D1085" s="339" t="str">
        <f t="shared" ca="1" si="16"/>
        <v/>
      </c>
    </row>
    <row r="1086" spans="1:4" ht="62" hidden="1">
      <c r="A1086" s="1" t="str">
        <f ca="1">HYPERLINK("#" &amp; 'Reconciliation report'!I1081,'Reconciliation report'!F1081)</f>
        <v>IJP 16.0</v>
      </c>
      <c r="B1086" t="str">
        <f ca="1">'Reconciliation report'!C1081</f>
        <v xml:space="preserve">No answer required
What margin over swaps has been used? (%)
</v>
      </c>
      <c r="C1086" s="387" t="str">
        <f ca="1">'Reconciliation report'!D1081</f>
        <v/>
      </c>
      <c r="D1086" s="339" t="str">
        <f t="shared" ca="1" si="16"/>
        <v/>
      </c>
    </row>
    <row r="1087" spans="1:4" ht="62" hidden="1">
      <c r="A1087" s="1" t="str">
        <f ca="1">HYPERLINK("#" &amp; 'Reconciliation report'!I1082,'Reconciliation report'!F1082)</f>
        <v>IJP 17.0</v>
      </c>
      <c r="B1087" t="str">
        <f ca="1">'Reconciliation report'!C1082</f>
        <v xml:space="preserve">No answer required
Describe the liability basis.
</v>
      </c>
      <c r="C1087" s="387" t="str">
        <f ca="1">'Reconciliation report'!D1082</f>
        <v/>
      </c>
      <c r="D1087" s="339" t="str">
        <f t="shared" ca="1" si="16"/>
        <v/>
      </c>
    </row>
    <row r="1088" spans="1:4" ht="46.5" hidden="1">
      <c r="A1088" s="1" t="str">
        <f ca="1">HYPERLINK("#" &amp; 'Reconciliation report'!I1083,'Reconciliation report'!F1083)</f>
        <v>IJP 18.0</v>
      </c>
      <c r="B1088" t="str">
        <f ca="1">'Reconciliation report'!C1083</f>
        <v xml:space="preserve">
At or to which percentile point has the investment risk been calculated? (%)
</v>
      </c>
      <c r="C1088" s="387" t="str">
        <f ca="1">'Reconciliation report'!D1083</f>
        <v/>
      </c>
      <c r="D1088" s="339" t="str">
        <f t="shared" ca="1" si="16"/>
        <v/>
      </c>
    </row>
    <row r="1089" spans="1:4" ht="46.5" hidden="1">
      <c r="A1089" s="1" t="str">
        <f ca="1">HYPERLINK("#" &amp; 'Reconciliation report'!I1084,'Reconciliation report'!F1084)</f>
        <v>IJP 19.0</v>
      </c>
      <c r="B1089" t="str">
        <f ca="1">'Reconciliation report'!C1084</f>
        <v xml:space="preserve">
Over what period has the investment risk been calculated?
</v>
      </c>
      <c r="C1089" s="387" t="str">
        <f ca="1">'Reconciliation report'!D1084</f>
        <v/>
      </c>
      <c r="D1089" s="339" t="str">
        <f t="shared" ca="1" si="16"/>
        <v/>
      </c>
    </row>
    <row r="1090" spans="1:4" ht="77.5">
      <c r="A1090" s="1" t="str">
        <f ca="1">HYPERLINK("#" &amp; 'Reconciliation report'!I1085,'Reconciliation report'!F1085)</f>
        <v>IJP 20.0</v>
      </c>
      <c r="B1090" t="str">
        <f ca="1">'Reconciliation report'!C1085</f>
        <v xml:space="preserve">
Is the expected long-term return that the intended investment allocation at the relevant date is assumed to provide expressed as a nominal value or as a margin over gilts?
</v>
      </c>
      <c r="C1090" s="387" t="str">
        <f ca="1">'Reconciliation report'!D1085</f>
        <v xml:space="preserve">
You must answer this question if the scheme follows a Bespoke approach (SH 13.0) and the valuation is 'pre-relevant date' (SH 10.0).
</v>
      </c>
      <c r="D1090" s="339" t="str">
        <f t="shared" ca="1" si="16"/>
        <v>Refresh the error report</v>
      </c>
    </row>
    <row r="1091" spans="1:4" ht="77.5" hidden="1">
      <c r="A1091" s="1" t="str">
        <f ca="1">HYPERLINK("#" &amp; 'Reconciliation report'!I1086,'Reconciliation report'!F1086)</f>
        <v>IJP 21.0</v>
      </c>
      <c r="B1091" t="str">
        <f ca="1">'Reconciliation report'!C1086</f>
        <v xml:space="preserve">No answer required
What is the expected long-term return that the intended investment allocation at the relevant date is assumed to provide expressed as a margin over gilts? (%)
</v>
      </c>
      <c r="C1091" s="387" t="str">
        <f ca="1">'Reconciliation report'!D1086</f>
        <v/>
      </c>
      <c r="D1091" s="339" t="str">
        <f t="shared" ca="1" si="16"/>
        <v/>
      </c>
    </row>
    <row r="1092" spans="1:4" ht="77.5" hidden="1">
      <c r="A1092" s="1" t="str">
        <f ca="1">HYPERLINK("#" &amp; 'Reconciliation report'!I1087,'Reconciliation report'!F1087)</f>
        <v>IJP 22.0</v>
      </c>
      <c r="B1092" t="str">
        <f ca="1">'Reconciliation report'!C1087</f>
        <v xml:space="preserve">No answer required
What is the expected long-term return that the intended investment allocation at the relevant date is assumed to provide expressed a nominal value? (%)
</v>
      </c>
      <c r="C1092" s="387" t="str">
        <f ca="1">'Reconciliation report'!D1087</f>
        <v/>
      </c>
      <c r="D1092" s="339" t="str">
        <f t="shared" ca="1" si="16"/>
        <v/>
      </c>
    </row>
    <row r="1093" spans="1:4" ht="46.5">
      <c r="A1093" s="1" t="str">
        <f ca="1">HYPERLINK("#" &amp; 'Reconciliation report'!I1088,'Reconciliation report'!F1088)</f>
        <v>IRC 28.1</v>
      </c>
      <c r="B1093" t="str">
        <f ca="1">'Reconciliation report'!C1088</f>
        <v xml:space="preserve">
Total value of assets
</v>
      </c>
      <c r="C1093" s="387" t="str">
        <f ca="1">'Reconciliation report'!D1088</f>
        <v xml:space="preserve">
The total of the above percentages does not equal 100%.
</v>
      </c>
      <c r="D1093" s="339" t="str">
        <f ca="1">IFERROR(IF(LEN(TRIM(CLEAN(C1093))) &gt; 0, "Refresh the error report", ""), "")</f>
        <v>Refresh the error report</v>
      </c>
    </row>
    <row r="1094" spans="1:4" hidden="1">
      <c r="A1094" s="1"/>
      <c r="C1094" t="str">
        <f ca="1">RefData!$C$422</f>
        <v/>
      </c>
      <c r="D1094" s="339" t="str">
        <f t="shared" ca="1" si="16"/>
        <v/>
      </c>
    </row>
    <row r="1095" spans="1:4" ht="50.25" customHeight="1"/>
  </sheetData>
  <sheetProtection algorithmName="SHA-512" hashValue="9SMoinJiiCWlCu3DBqiIwTZLWRLWJhCP+9eMm9wnX3XxkkrLQUHuuWKJutbkMYIdG+oyQRaPOML8134kahc5eQ==" saltValue="XJ0gIKQv8+0CdmONaPePFQ==" spinCount="100000" sheet="1" objects="1" autoFilter="0"/>
  <mergeCells count="3">
    <mergeCell ref="A1:B1"/>
    <mergeCell ref="A2:B2"/>
    <mergeCell ref="A3:B3"/>
  </mergeCells>
  <pageMargins left="0.7" right="0.7" top="0.75" bottom="0.75" header="0.3" footer="0.3"/>
  <ignoredErrors>
    <ignoredError sqref="C7:C1093" calculatedColumn="1"/>
  </ignoredErrors>
  <drawing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id="{F1E8069C-CD3A-4A2C-8BA1-2E2A1A8111EA}">
            <xm:f>$C$1094=RefData!$C$422</xm:f>
            <x14:dxf>
              <font>
                <b/>
                <i val="0"/>
                <color rgb="FF00703C"/>
              </font>
              <fill>
                <patternFill patternType="solid">
                  <fgColor auto="1"/>
                  <bgColor rgb="FFDDE8E3"/>
                </patternFill>
              </fill>
              <border>
                <left style="thin">
                  <color auto="1"/>
                </left>
                <right style="thin">
                  <color auto="1"/>
                </right>
                <top style="thin">
                  <color auto="1"/>
                </top>
                <bottom style="thin">
                  <color auto="1"/>
                </bottom>
              </border>
            </x14:dxf>
          </x14:cfRule>
          <xm:sqref>C1094</xm:sqref>
        </x14:conditionalFormatting>
      </x14:conditionalFormattings>
    </ext>
    <ext xmlns:x15="http://schemas.microsoft.com/office/spreadsheetml/2010/11/main" uri="{3A4CF648-6AED-40f4-86FF-DC5316D8AED3}">
      <x14:slicerList xmlns:x14="http://schemas.microsoft.com/office/spreadsheetml/2009/9/main">
        <x14:slicer r:id="rId3"/>
      </x14:slicerList>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B526D-40B6-4A14-94E8-B05509015D35}">
  <sheetPr codeName="Sheet38"/>
  <dimension ref="A1:XFB1227"/>
  <sheetViews>
    <sheetView zoomScaleNormal="100" workbookViewId="0">
      <selection activeCell="N1" sqref="A1:XFD1048576"/>
    </sheetView>
  </sheetViews>
  <sheetFormatPr defaultColWidth="0" defaultRowHeight="15.5"/>
  <cols>
    <col min="1" max="1" width="1.07421875" style="86" customWidth="1"/>
    <col min="2" max="12" width="10.69140625" style="86" customWidth="1"/>
    <col min="13" max="13" width="2.69140625" style="86" customWidth="1"/>
    <col min="14" max="14" width="22.69140625" style="86" hidden="1"/>
    <col min="15" max="15" width="115.4609375" style="86" hidden="1"/>
    <col min="16" max="16" width="1.69140625" style="86" hidden="1"/>
    <col min="17" max="16382" width="0" style="86" hidden="1"/>
    <col min="16383" max="16384" width="8.69140625" style="86" hidden="1"/>
  </cols>
  <sheetData>
    <row r="1" spans="1:16382" s="458" customFormat="1" ht="47" thickBot="1">
      <c r="A1" s="748" t="s">
        <v>81</v>
      </c>
      <c r="B1" s="748"/>
      <c r="C1" s="748"/>
      <c r="D1" s="748"/>
      <c r="E1" s="541"/>
      <c r="F1" s="541"/>
      <c r="G1" s="541"/>
      <c r="H1" s="541"/>
      <c r="I1" s="541"/>
      <c r="J1" s="541"/>
      <c r="K1" s="541"/>
      <c r="L1" s="541"/>
      <c r="M1" s="637"/>
      <c r="O1" s="687" t="s">
        <v>1492</v>
      </c>
      <c r="P1" s="541"/>
      <c r="Q1" s="541"/>
    </row>
    <row r="2" spans="1:16382" s="447" customFormat="1" ht="47.5" thickTop="1" thickBot="1">
      <c r="A2" s="742" t="s">
        <v>1493</v>
      </c>
      <c r="B2" s="742"/>
      <c r="C2" s="742"/>
      <c r="D2" s="742"/>
      <c r="E2" s="742"/>
      <c r="F2" s="742"/>
      <c r="G2" s="742"/>
      <c r="H2" s="742"/>
      <c r="I2" s="742"/>
      <c r="J2" s="742"/>
      <c r="K2" s="742"/>
      <c r="L2" s="742"/>
      <c r="M2" s="638"/>
      <c r="N2" s="14"/>
      <c r="O2" s="688" t="s">
        <v>1490</v>
      </c>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c r="IX2" s="14"/>
      <c r="IY2" s="14"/>
      <c r="IZ2" s="14"/>
      <c r="JA2" s="14"/>
      <c r="JB2" s="14"/>
      <c r="JC2" s="14"/>
      <c r="JD2" s="14"/>
      <c r="JE2" s="14"/>
      <c r="JF2" s="14"/>
      <c r="JG2" s="14"/>
      <c r="JH2" s="14"/>
      <c r="JI2" s="14"/>
      <c r="JJ2" s="14"/>
      <c r="JK2" s="14"/>
      <c r="JL2" s="14"/>
      <c r="JM2" s="14"/>
      <c r="JN2" s="14"/>
      <c r="JO2" s="14"/>
      <c r="JP2" s="14"/>
      <c r="JQ2" s="14"/>
      <c r="JR2" s="14"/>
      <c r="JS2" s="14"/>
      <c r="JT2" s="14"/>
      <c r="JU2" s="14"/>
      <c r="JV2" s="14"/>
      <c r="JW2" s="14"/>
      <c r="JX2" s="14"/>
      <c r="JY2" s="14"/>
      <c r="JZ2" s="14"/>
      <c r="KA2" s="14"/>
      <c r="KB2" s="14"/>
      <c r="KC2" s="14"/>
      <c r="KD2" s="14"/>
      <c r="KE2" s="14"/>
      <c r="KF2" s="14"/>
      <c r="KG2" s="14"/>
      <c r="KH2" s="14"/>
      <c r="KI2" s="14"/>
      <c r="KJ2" s="14"/>
      <c r="KK2" s="14"/>
      <c r="KL2" s="14"/>
      <c r="KM2" s="14"/>
      <c r="KN2" s="14"/>
      <c r="KO2" s="14"/>
      <c r="KP2" s="14"/>
      <c r="KQ2" s="14"/>
      <c r="KR2" s="14"/>
      <c r="KS2" s="14"/>
      <c r="KT2" s="14"/>
      <c r="KU2" s="14"/>
      <c r="KV2" s="14"/>
      <c r="KW2" s="14"/>
      <c r="KX2" s="14"/>
      <c r="KY2" s="14"/>
      <c r="KZ2" s="14"/>
      <c r="LA2" s="14"/>
      <c r="LB2" s="14"/>
      <c r="LC2" s="14"/>
      <c r="LD2" s="14"/>
      <c r="LE2" s="14"/>
      <c r="LF2" s="14"/>
      <c r="LG2" s="14"/>
      <c r="LH2" s="14"/>
      <c r="LI2" s="14"/>
      <c r="LJ2" s="14"/>
      <c r="LK2" s="14"/>
      <c r="LL2" s="14"/>
      <c r="LM2" s="14"/>
      <c r="LN2" s="14"/>
      <c r="LO2" s="14"/>
      <c r="LP2" s="14"/>
      <c r="LQ2" s="14"/>
      <c r="LR2" s="14"/>
      <c r="LS2" s="14"/>
      <c r="LT2" s="14"/>
      <c r="LU2" s="14"/>
      <c r="LV2" s="14"/>
      <c r="LW2" s="14"/>
      <c r="LX2" s="14"/>
      <c r="LY2" s="14"/>
      <c r="LZ2" s="14"/>
      <c r="MA2" s="14"/>
      <c r="MB2" s="14"/>
      <c r="MC2" s="14"/>
      <c r="MD2" s="14"/>
      <c r="ME2" s="14"/>
      <c r="MF2" s="14"/>
      <c r="MG2" s="14"/>
      <c r="MH2" s="14"/>
      <c r="MI2" s="14"/>
      <c r="MJ2" s="14"/>
      <c r="MK2" s="14"/>
      <c r="ML2" s="14"/>
      <c r="MM2" s="14"/>
      <c r="MN2" s="14"/>
      <c r="MO2" s="14"/>
      <c r="MP2" s="14"/>
      <c r="MQ2" s="14"/>
      <c r="MR2" s="14"/>
      <c r="MS2" s="14"/>
      <c r="MT2" s="14"/>
      <c r="MU2" s="14"/>
      <c r="MV2" s="14"/>
      <c r="MW2" s="14"/>
      <c r="MX2" s="14"/>
      <c r="MY2" s="14"/>
      <c r="MZ2" s="14"/>
      <c r="NA2" s="14"/>
      <c r="NB2" s="14"/>
      <c r="NC2" s="14"/>
      <c r="ND2" s="14"/>
      <c r="NE2" s="14"/>
      <c r="NF2" s="14"/>
      <c r="NG2" s="14"/>
      <c r="NH2" s="14"/>
      <c r="NI2" s="14"/>
      <c r="NJ2" s="14"/>
      <c r="NK2" s="14"/>
      <c r="NL2" s="14"/>
      <c r="NM2" s="14"/>
      <c r="NN2" s="14"/>
      <c r="NO2" s="14"/>
      <c r="NP2" s="14"/>
      <c r="NQ2" s="14"/>
      <c r="NR2" s="14"/>
      <c r="NS2" s="14"/>
      <c r="NT2" s="14"/>
      <c r="NU2" s="14"/>
      <c r="NV2" s="14"/>
      <c r="NW2" s="14"/>
      <c r="NX2" s="14"/>
      <c r="NY2" s="14"/>
      <c r="NZ2" s="14"/>
      <c r="OA2" s="14"/>
      <c r="OB2" s="14"/>
      <c r="OC2" s="14"/>
      <c r="OD2" s="14"/>
      <c r="OE2" s="14"/>
      <c r="OF2" s="14"/>
      <c r="OG2" s="14"/>
      <c r="OH2" s="14"/>
      <c r="OI2" s="14"/>
      <c r="OJ2" s="14"/>
      <c r="OK2" s="14"/>
      <c r="OL2" s="14"/>
      <c r="OM2" s="14"/>
      <c r="ON2" s="14"/>
      <c r="OO2" s="14"/>
      <c r="OP2" s="14"/>
      <c r="OQ2" s="14"/>
      <c r="OR2" s="14"/>
      <c r="OS2" s="14"/>
      <c r="OT2" s="14"/>
      <c r="OU2" s="14"/>
      <c r="OV2" s="14"/>
      <c r="OW2" s="14"/>
      <c r="OX2" s="14"/>
      <c r="OY2" s="14"/>
      <c r="OZ2" s="14"/>
      <c r="PA2" s="14"/>
      <c r="PB2" s="14"/>
      <c r="PC2" s="14"/>
      <c r="PD2" s="14"/>
      <c r="PE2" s="14"/>
      <c r="PF2" s="14"/>
      <c r="PG2" s="14"/>
      <c r="PH2" s="14"/>
      <c r="PI2" s="14"/>
      <c r="PJ2" s="14"/>
      <c r="PK2" s="14"/>
      <c r="PL2" s="14"/>
      <c r="PM2" s="14"/>
      <c r="PN2" s="14"/>
      <c r="PO2" s="14"/>
      <c r="PP2" s="14"/>
      <c r="PQ2" s="14"/>
      <c r="PR2" s="14"/>
      <c r="PS2" s="14"/>
      <c r="PT2" s="14"/>
      <c r="PU2" s="14"/>
      <c r="PV2" s="14"/>
      <c r="PW2" s="14"/>
      <c r="PX2" s="14"/>
      <c r="PY2" s="14"/>
      <c r="PZ2" s="14"/>
      <c r="QA2" s="14"/>
      <c r="QB2" s="14"/>
      <c r="QC2" s="14"/>
      <c r="QD2" s="14"/>
      <c r="QE2" s="14"/>
      <c r="QF2" s="14"/>
      <c r="QG2" s="14"/>
      <c r="QH2" s="14"/>
      <c r="QI2" s="14"/>
      <c r="QJ2" s="14"/>
      <c r="QK2" s="14"/>
      <c r="QL2" s="14"/>
      <c r="QM2" s="14"/>
      <c r="QN2" s="14"/>
      <c r="QO2" s="14"/>
      <c r="QP2" s="14"/>
      <c r="QQ2" s="14"/>
      <c r="QR2" s="14"/>
      <c r="QS2" s="14"/>
      <c r="QT2" s="14"/>
      <c r="QU2" s="14"/>
      <c r="QV2" s="14"/>
      <c r="QW2" s="14"/>
      <c r="QX2" s="14"/>
      <c r="QY2" s="14"/>
      <c r="QZ2" s="14"/>
      <c r="RA2" s="14"/>
      <c r="RB2" s="14"/>
      <c r="RC2" s="14"/>
      <c r="RD2" s="14"/>
      <c r="RE2" s="14"/>
      <c r="RF2" s="14"/>
      <c r="RG2" s="14"/>
      <c r="RH2" s="14"/>
      <c r="RI2" s="14"/>
      <c r="RJ2" s="14"/>
      <c r="RK2" s="14"/>
      <c r="RL2" s="14"/>
      <c r="RM2" s="14"/>
      <c r="RN2" s="14"/>
      <c r="RO2" s="14"/>
      <c r="RP2" s="14"/>
      <c r="RQ2" s="14"/>
      <c r="RR2" s="14"/>
      <c r="RS2" s="14"/>
      <c r="RT2" s="14"/>
      <c r="RU2" s="14"/>
      <c r="RV2" s="14"/>
      <c r="RW2" s="14"/>
      <c r="RX2" s="14"/>
      <c r="RY2" s="14"/>
      <c r="RZ2" s="14"/>
      <c r="SA2" s="14"/>
      <c r="SB2" s="14"/>
      <c r="SC2" s="14"/>
      <c r="SD2" s="14"/>
      <c r="SE2" s="14"/>
      <c r="SF2" s="14"/>
      <c r="SG2" s="14"/>
      <c r="SH2" s="14"/>
      <c r="SI2" s="14"/>
      <c r="SJ2" s="14"/>
      <c r="SK2" s="14"/>
      <c r="SL2" s="14"/>
      <c r="SM2" s="14"/>
      <c r="SN2" s="14"/>
      <c r="SO2" s="14"/>
      <c r="SP2" s="14"/>
      <c r="SQ2" s="14"/>
      <c r="SR2" s="14"/>
      <c r="SS2" s="14"/>
      <c r="ST2" s="14"/>
      <c r="SU2" s="14"/>
      <c r="SV2" s="14"/>
      <c r="SW2" s="14"/>
      <c r="SX2" s="14"/>
      <c r="SY2" s="14"/>
      <c r="SZ2" s="14"/>
      <c r="TA2" s="14"/>
      <c r="TB2" s="14"/>
      <c r="TC2" s="14"/>
      <c r="TD2" s="14"/>
      <c r="TE2" s="14"/>
      <c r="TF2" s="14"/>
      <c r="TG2" s="14"/>
      <c r="TH2" s="14"/>
      <c r="TI2" s="14"/>
      <c r="TJ2" s="14"/>
      <c r="TK2" s="14"/>
      <c r="TL2" s="14"/>
      <c r="TM2" s="14"/>
      <c r="TN2" s="14"/>
      <c r="TO2" s="14"/>
      <c r="TP2" s="14"/>
      <c r="TQ2" s="14"/>
      <c r="TR2" s="14"/>
      <c r="TS2" s="14"/>
      <c r="TT2" s="14"/>
      <c r="TU2" s="14"/>
      <c r="TV2" s="14"/>
      <c r="TW2" s="14"/>
      <c r="TX2" s="14"/>
      <c r="TY2" s="14"/>
      <c r="TZ2" s="14"/>
      <c r="UA2" s="14"/>
      <c r="UB2" s="14"/>
      <c r="UC2" s="14"/>
      <c r="UD2" s="14"/>
      <c r="UE2" s="14"/>
      <c r="UF2" s="14"/>
      <c r="UG2" s="14"/>
      <c r="UH2" s="14"/>
      <c r="UI2" s="14"/>
      <c r="UJ2" s="14"/>
      <c r="UK2" s="14"/>
      <c r="UL2" s="14"/>
      <c r="UM2" s="14"/>
      <c r="UN2" s="14"/>
      <c r="UO2" s="14"/>
      <c r="UP2" s="14"/>
      <c r="UQ2" s="14"/>
      <c r="UR2" s="14"/>
      <c r="US2" s="14"/>
      <c r="UT2" s="14"/>
      <c r="UU2" s="14"/>
      <c r="UV2" s="14"/>
      <c r="UW2" s="14"/>
      <c r="UX2" s="14"/>
      <c r="UY2" s="14"/>
      <c r="UZ2" s="14"/>
      <c r="VA2" s="14"/>
      <c r="VB2" s="14"/>
      <c r="VC2" s="14"/>
      <c r="VD2" s="14"/>
      <c r="VE2" s="14"/>
      <c r="VF2" s="14"/>
      <c r="VG2" s="14"/>
      <c r="VH2" s="14"/>
      <c r="VI2" s="14"/>
      <c r="VJ2" s="14"/>
      <c r="VK2" s="14"/>
      <c r="VL2" s="14"/>
      <c r="VM2" s="14"/>
      <c r="VN2" s="14"/>
      <c r="VO2" s="14"/>
      <c r="VP2" s="14"/>
      <c r="VQ2" s="14"/>
      <c r="VR2" s="14"/>
      <c r="VS2" s="14"/>
      <c r="VT2" s="14"/>
      <c r="VU2" s="14"/>
      <c r="VV2" s="14"/>
      <c r="VW2" s="14"/>
      <c r="VX2" s="14"/>
      <c r="VY2" s="14"/>
      <c r="VZ2" s="14"/>
      <c r="WA2" s="14"/>
      <c r="WB2" s="14"/>
      <c r="WC2" s="14"/>
      <c r="WD2" s="14"/>
      <c r="WE2" s="14"/>
      <c r="WF2" s="14"/>
      <c r="WG2" s="14"/>
      <c r="WH2" s="14"/>
      <c r="WI2" s="14"/>
      <c r="WJ2" s="14"/>
      <c r="WK2" s="14"/>
      <c r="WL2" s="14"/>
      <c r="WM2" s="14"/>
      <c r="WN2" s="14"/>
      <c r="WO2" s="14"/>
      <c r="WP2" s="14"/>
      <c r="WQ2" s="14"/>
      <c r="WR2" s="14"/>
      <c r="WS2" s="14"/>
      <c r="WT2" s="14"/>
      <c r="WU2" s="14"/>
      <c r="WV2" s="14"/>
      <c r="WW2" s="14"/>
      <c r="WX2" s="14"/>
      <c r="WY2" s="14"/>
      <c r="WZ2" s="14"/>
      <c r="XA2" s="14"/>
      <c r="XB2" s="14"/>
      <c r="XC2" s="14"/>
      <c r="XD2" s="14"/>
      <c r="XE2" s="14"/>
      <c r="XF2" s="14"/>
      <c r="XG2" s="14"/>
      <c r="XH2" s="14"/>
      <c r="XI2" s="14"/>
      <c r="XJ2" s="14"/>
      <c r="XK2" s="14"/>
      <c r="XL2" s="14"/>
      <c r="XM2" s="14"/>
      <c r="XN2" s="14"/>
      <c r="XO2" s="14"/>
      <c r="XP2" s="14"/>
      <c r="XQ2" s="14"/>
      <c r="XR2" s="14"/>
      <c r="XS2" s="14"/>
      <c r="XT2" s="14"/>
      <c r="XU2" s="14"/>
      <c r="XV2" s="14"/>
      <c r="XW2" s="14"/>
      <c r="XX2" s="14"/>
      <c r="XY2" s="14"/>
      <c r="XZ2" s="14"/>
      <c r="YA2" s="14"/>
      <c r="YB2" s="14"/>
      <c r="YC2" s="14"/>
      <c r="YD2" s="14"/>
      <c r="YE2" s="14"/>
      <c r="YF2" s="14"/>
      <c r="YG2" s="14"/>
      <c r="YH2" s="14"/>
      <c r="YI2" s="14"/>
      <c r="YJ2" s="14"/>
      <c r="YK2" s="14"/>
      <c r="YL2" s="14"/>
      <c r="YM2" s="14"/>
      <c r="YN2" s="14"/>
      <c r="YO2" s="14"/>
      <c r="YP2" s="14"/>
      <c r="YQ2" s="14"/>
      <c r="YR2" s="14"/>
      <c r="YS2" s="14"/>
      <c r="YT2" s="14"/>
      <c r="YU2" s="14"/>
      <c r="YV2" s="14"/>
      <c r="YW2" s="14"/>
      <c r="YX2" s="14"/>
      <c r="YY2" s="14"/>
      <c r="YZ2" s="14"/>
      <c r="ZA2" s="14"/>
      <c r="ZB2" s="14"/>
      <c r="ZC2" s="14"/>
      <c r="ZD2" s="14"/>
      <c r="ZE2" s="14"/>
      <c r="ZF2" s="14"/>
      <c r="ZG2" s="14"/>
      <c r="ZH2" s="14"/>
      <c r="ZI2" s="14"/>
      <c r="ZJ2" s="14"/>
      <c r="ZK2" s="14"/>
      <c r="ZL2" s="14"/>
      <c r="ZM2" s="14"/>
      <c r="ZN2" s="14"/>
      <c r="ZO2" s="14"/>
      <c r="ZP2" s="14"/>
      <c r="ZQ2" s="14"/>
      <c r="ZR2" s="14"/>
      <c r="ZS2" s="14"/>
      <c r="ZT2" s="14"/>
      <c r="ZU2" s="14"/>
      <c r="ZV2" s="14"/>
      <c r="ZW2" s="14"/>
      <c r="ZX2" s="14"/>
      <c r="ZY2" s="14"/>
      <c r="ZZ2" s="14"/>
      <c r="AAA2" s="14"/>
      <c r="AAB2" s="14"/>
      <c r="AAC2" s="14"/>
      <c r="AAD2" s="14"/>
      <c r="AAE2" s="14"/>
      <c r="AAF2" s="14"/>
      <c r="AAG2" s="14"/>
      <c r="AAH2" s="14"/>
      <c r="AAI2" s="14"/>
      <c r="AAJ2" s="14"/>
      <c r="AAK2" s="14"/>
      <c r="AAL2" s="14"/>
      <c r="AAM2" s="14"/>
      <c r="AAN2" s="14"/>
      <c r="AAO2" s="14"/>
      <c r="AAP2" s="14"/>
      <c r="AAQ2" s="14"/>
      <c r="AAR2" s="14"/>
      <c r="AAS2" s="14"/>
      <c r="AAT2" s="14"/>
      <c r="AAU2" s="14"/>
      <c r="AAV2" s="14"/>
      <c r="AAW2" s="14"/>
      <c r="AAX2" s="14"/>
      <c r="AAY2" s="14"/>
      <c r="AAZ2" s="14"/>
      <c r="ABA2" s="14"/>
      <c r="ABB2" s="14"/>
      <c r="ABC2" s="14"/>
      <c r="ABD2" s="14"/>
      <c r="ABE2" s="14"/>
      <c r="ABF2" s="14"/>
      <c r="ABG2" s="14"/>
      <c r="ABH2" s="14"/>
      <c r="ABI2" s="14"/>
      <c r="ABJ2" s="14"/>
      <c r="ABK2" s="14"/>
      <c r="ABL2" s="14"/>
      <c r="ABM2" s="14"/>
      <c r="ABN2" s="14"/>
      <c r="ABO2" s="14"/>
      <c r="ABP2" s="14"/>
      <c r="ABQ2" s="14"/>
      <c r="ABR2" s="14"/>
      <c r="ABS2" s="14"/>
      <c r="ABT2" s="14"/>
      <c r="ABU2" s="14"/>
      <c r="ABV2" s="14"/>
      <c r="ABW2" s="14"/>
      <c r="ABX2" s="14"/>
      <c r="ABY2" s="14"/>
      <c r="ABZ2" s="14"/>
      <c r="ACA2" s="14"/>
      <c r="ACB2" s="14"/>
      <c r="ACC2" s="14"/>
      <c r="ACD2" s="14"/>
      <c r="ACE2" s="14"/>
      <c r="ACF2" s="14"/>
      <c r="ACG2" s="14"/>
      <c r="ACH2" s="14"/>
      <c r="ACI2" s="14"/>
      <c r="ACJ2" s="14"/>
      <c r="ACK2" s="14"/>
      <c r="ACL2" s="14"/>
      <c r="ACM2" s="14"/>
      <c r="ACN2" s="14"/>
      <c r="ACO2" s="14"/>
      <c r="ACP2" s="14"/>
      <c r="ACQ2" s="14"/>
      <c r="ACR2" s="14"/>
      <c r="ACS2" s="14"/>
      <c r="ACT2" s="14"/>
      <c r="ACU2" s="14"/>
      <c r="ACV2" s="14"/>
      <c r="ACW2" s="14"/>
      <c r="ACX2" s="14"/>
      <c r="ACY2" s="14"/>
      <c r="ACZ2" s="14"/>
      <c r="ADA2" s="14"/>
      <c r="ADB2" s="14"/>
      <c r="ADC2" s="14"/>
      <c r="ADD2" s="14"/>
      <c r="ADE2" s="14"/>
      <c r="ADF2" s="14"/>
      <c r="ADG2" s="14"/>
      <c r="ADH2" s="14"/>
      <c r="ADI2" s="14"/>
      <c r="ADJ2" s="14"/>
      <c r="ADK2" s="14"/>
      <c r="ADL2" s="14"/>
      <c r="ADM2" s="14"/>
      <c r="ADN2" s="14"/>
      <c r="ADO2" s="14"/>
      <c r="ADP2" s="14"/>
      <c r="ADQ2" s="14"/>
      <c r="ADR2" s="14"/>
      <c r="ADS2" s="14"/>
      <c r="ADT2" s="14"/>
      <c r="ADU2" s="14"/>
      <c r="ADV2" s="14"/>
      <c r="ADW2" s="14"/>
      <c r="ADX2" s="14"/>
      <c r="ADY2" s="14"/>
      <c r="ADZ2" s="14"/>
      <c r="AEA2" s="14"/>
      <c r="AEB2" s="14"/>
      <c r="AEC2" s="14"/>
      <c r="AED2" s="14"/>
      <c r="AEE2" s="14"/>
      <c r="AEF2" s="14"/>
      <c r="AEG2" s="14"/>
      <c r="AEH2" s="14"/>
      <c r="AEI2" s="14"/>
      <c r="AEJ2" s="14"/>
      <c r="AEK2" s="14"/>
      <c r="AEL2" s="14"/>
      <c r="AEM2" s="14"/>
      <c r="AEN2" s="14"/>
      <c r="AEO2" s="14"/>
      <c r="AEP2" s="14"/>
      <c r="AEQ2" s="14"/>
      <c r="AER2" s="14"/>
      <c r="AES2" s="14"/>
      <c r="AET2" s="14"/>
      <c r="AEU2" s="14"/>
      <c r="AEV2" s="14"/>
      <c r="AEW2" s="14"/>
      <c r="AEX2" s="14"/>
      <c r="AEY2" s="14"/>
      <c r="AEZ2" s="14"/>
      <c r="AFA2" s="14"/>
      <c r="AFB2" s="14"/>
      <c r="AFC2" s="14"/>
      <c r="AFD2" s="14"/>
      <c r="AFE2" s="14"/>
      <c r="AFF2" s="14"/>
      <c r="AFG2" s="14"/>
      <c r="AFH2" s="14"/>
      <c r="AFI2" s="14"/>
      <c r="AFJ2" s="14"/>
      <c r="AFK2" s="14"/>
      <c r="AFL2" s="14"/>
      <c r="AFM2" s="14"/>
      <c r="AFN2" s="14"/>
      <c r="AFO2" s="14"/>
      <c r="AFP2" s="14"/>
      <c r="AFQ2" s="14"/>
      <c r="AFR2" s="14"/>
      <c r="AFS2" s="14"/>
      <c r="AFT2" s="14"/>
      <c r="AFU2" s="14"/>
      <c r="AFV2" s="14"/>
      <c r="AFW2" s="14"/>
      <c r="AFX2" s="14"/>
      <c r="AFY2" s="14"/>
      <c r="AFZ2" s="14"/>
      <c r="AGA2" s="14"/>
      <c r="AGB2" s="14"/>
      <c r="AGC2" s="14"/>
      <c r="AGD2" s="14"/>
      <c r="AGE2" s="14"/>
      <c r="AGF2" s="14"/>
      <c r="AGG2" s="14"/>
      <c r="AGH2" s="14"/>
      <c r="AGI2" s="14"/>
      <c r="AGJ2" s="14"/>
      <c r="AGK2" s="14"/>
      <c r="AGL2" s="14"/>
      <c r="AGM2" s="14"/>
      <c r="AGN2" s="14"/>
      <c r="AGO2" s="14"/>
      <c r="AGP2" s="14"/>
      <c r="AGQ2" s="14"/>
      <c r="AGR2" s="14"/>
      <c r="AGS2" s="14"/>
      <c r="AGT2" s="14"/>
      <c r="AGU2" s="14"/>
      <c r="AGV2" s="14"/>
      <c r="AGW2" s="14"/>
      <c r="AGX2" s="14"/>
      <c r="AGY2" s="14"/>
      <c r="AGZ2" s="14"/>
      <c r="AHA2" s="14"/>
      <c r="AHB2" s="14"/>
      <c r="AHC2" s="14"/>
      <c r="AHD2" s="14"/>
      <c r="AHE2" s="14"/>
      <c r="AHF2" s="14"/>
      <c r="AHG2" s="14"/>
      <c r="AHH2" s="14"/>
      <c r="AHI2" s="14"/>
      <c r="AHJ2" s="14"/>
      <c r="AHK2" s="14"/>
      <c r="AHL2" s="14"/>
      <c r="AHM2" s="14"/>
      <c r="AHN2" s="14"/>
      <c r="AHO2" s="14"/>
      <c r="AHP2" s="14"/>
      <c r="AHQ2" s="14"/>
      <c r="AHR2" s="14"/>
      <c r="AHS2" s="14"/>
      <c r="AHT2" s="14"/>
      <c r="AHU2" s="14"/>
      <c r="AHV2" s="14"/>
      <c r="AHW2" s="14"/>
      <c r="AHX2" s="14"/>
      <c r="AHY2" s="14"/>
      <c r="AHZ2" s="14"/>
      <c r="AIA2" s="14"/>
      <c r="AIB2" s="14"/>
      <c r="AIC2" s="14"/>
      <c r="AID2" s="14"/>
      <c r="AIE2" s="14"/>
      <c r="AIF2" s="14"/>
      <c r="AIG2" s="14"/>
      <c r="AIH2" s="14"/>
      <c r="AII2" s="14"/>
      <c r="AIJ2" s="14"/>
      <c r="AIK2" s="14"/>
      <c r="AIL2" s="14"/>
      <c r="AIM2" s="14"/>
      <c r="AIN2" s="14"/>
      <c r="AIO2" s="14"/>
      <c r="AIP2" s="14"/>
      <c r="AIQ2" s="14"/>
      <c r="AIR2" s="14"/>
      <c r="AIS2" s="14"/>
      <c r="AIT2" s="14"/>
      <c r="AIU2" s="14"/>
      <c r="AIV2" s="14"/>
      <c r="AIW2" s="14"/>
      <c r="AIX2" s="14"/>
      <c r="AIY2" s="14"/>
      <c r="AIZ2" s="14"/>
      <c r="AJA2" s="14"/>
      <c r="AJB2" s="14"/>
      <c r="AJC2" s="14"/>
      <c r="AJD2" s="14"/>
      <c r="AJE2" s="14"/>
      <c r="AJF2" s="14"/>
      <c r="AJG2" s="14"/>
      <c r="AJH2" s="14"/>
      <c r="AJI2" s="14"/>
      <c r="AJJ2" s="14"/>
      <c r="AJK2" s="14"/>
      <c r="AJL2" s="14"/>
      <c r="AJM2" s="14"/>
      <c r="AJN2" s="14"/>
      <c r="AJO2" s="14"/>
      <c r="AJP2" s="14"/>
      <c r="AJQ2" s="14"/>
      <c r="AJR2" s="14"/>
      <c r="AJS2" s="14"/>
      <c r="AJT2" s="14"/>
      <c r="AJU2" s="14"/>
      <c r="AJV2" s="14"/>
      <c r="AJW2" s="14"/>
      <c r="AJX2" s="14"/>
      <c r="AJY2" s="14"/>
      <c r="AJZ2" s="14"/>
      <c r="AKA2" s="14"/>
      <c r="AKB2" s="14"/>
      <c r="AKC2" s="14"/>
      <c r="AKD2" s="14"/>
      <c r="AKE2" s="14"/>
      <c r="AKF2" s="14"/>
      <c r="AKG2" s="14"/>
      <c r="AKH2" s="14"/>
      <c r="AKI2" s="14"/>
      <c r="AKJ2" s="14"/>
      <c r="AKK2" s="14"/>
      <c r="AKL2" s="14"/>
      <c r="AKM2" s="14"/>
      <c r="AKN2" s="14"/>
      <c r="AKO2" s="14"/>
      <c r="AKP2" s="14"/>
      <c r="AKQ2" s="14"/>
      <c r="AKR2" s="14"/>
      <c r="AKS2" s="14"/>
      <c r="AKT2" s="14"/>
      <c r="AKU2" s="14"/>
      <c r="AKV2" s="14"/>
      <c r="AKW2" s="14"/>
      <c r="AKX2" s="14"/>
      <c r="AKY2" s="14"/>
      <c r="AKZ2" s="14"/>
      <c r="ALA2" s="14"/>
      <c r="ALB2" s="14"/>
      <c r="ALC2" s="14"/>
      <c r="ALD2" s="14"/>
      <c r="ALE2" s="14"/>
      <c r="ALF2" s="14"/>
      <c r="ALG2" s="14"/>
      <c r="ALH2" s="14"/>
      <c r="ALI2" s="14"/>
      <c r="ALJ2" s="14"/>
      <c r="ALK2" s="14"/>
      <c r="ALL2" s="14"/>
      <c r="ALM2" s="14"/>
      <c r="ALN2" s="14"/>
      <c r="ALO2" s="14"/>
      <c r="ALP2" s="14"/>
      <c r="ALQ2" s="14"/>
      <c r="ALR2" s="14"/>
      <c r="ALS2" s="14"/>
      <c r="ALT2" s="14"/>
      <c r="ALU2" s="14"/>
      <c r="ALV2" s="14"/>
      <c r="ALW2" s="14"/>
      <c r="ALX2" s="14"/>
      <c r="ALY2" s="14"/>
      <c r="ALZ2" s="14"/>
      <c r="AMA2" s="14"/>
      <c r="AMB2" s="14"/>
      <c r="AMC2" s="14"/>
      <c r="AMD2" s="14"/>
      <c r="AME2" s="14"/>
      <c r="AMF2" s="14"/>
      <c r="AMG2" s="14"/>
      <c r="AMH2" s="14"/>
      <c r="AMI2" s="14"/>
      <c r="AMJ2" s="14"/>
      <c r="AMK2" s="14"/>
      <c r="AML2" s="14"/>
      <c r="AMM2" s="14"/>
      <c r="AMN2" s="14"/>
      <c r="AMO2" s="14"/>
      <c r="AMP2" s="14"/>
      <c r="AMQ2" s="14"/>
      <c r="AMR2" s="14"/>
      <c r="AMS2" s="14"/>
      <c r="AMT2" s="14"/>
      <c r="AMU2" s="14"/>
      <c r="AMV2" s="14"/>
      <c r="AMW2" s="14"/>
      <c r="AMX2" s="14"/>
      <c r="AMY2" s="14"/>
      <c r="AMZ2" s="14"/>
      <c r="ANA2" s="14"/>
      <c r="ANB2" s="14"/>
      <c r="ANC2" s="14"/>
      <c r="AND2" s="14"/>
      <c r="ANE2" s="14"/>
      <c r="ANF2" s="14"/>
      <c r="ANG2" s="14"/>
      <c r="ANH2" s="14"/>
      <c r="ANI2" s="14"/>
      <c r="ANJ2" s="14"/>
      <c r="ANK2" s="14"/>
      <c r="ANL2" s="14"/>
      <c r="ANM2" s="14"/>
      <c r="ANN2" s="14"/>
      <c r="ANO2" s="14"/>
      <c r="ANP2" s="14"/>
      <c r="ANQ2" s="14"/>
      <c r="ANR2" s="14"/>
      <c r="ANS2" s="14"/>
      <c r="ANT2" s="14"/>
      <c r="ANU2" s="14"/>
      <c r="ANV2" s="14"/>
      <c r="ANW2" s="14"/>
      <c r="ANX2" s="14"/>
      <c r="ANY2" s="14"/>
      <c r="ANZ2" s="14"/>
      <c r="AOA2" s="14"/>
      <c r="AOB2" s="14"/>
      <c r="AOC2" s="14"/>
      <c r="AOD2" s="14"/>
      <c r="AOE2" s="14"/>
      <c r="AOF2" s="14"/>
      <c r="AOG2" s="14"/>
      <c r="AOH2" s="14"/>
      <c r="AOI2" s="14"/>
      <c r="AOJ2" s="14"/>
      <c r="AOK2" s="14"/>
      <c r="AOL2" s="14"/>
      <c r="AOM2" s="14"/>
      <c r="AON2" s="14"/>
      <c r="AOO2" s="14"/>
      <c r="AOP2" s="14"/>
      <c r="AOQ2" s="14"/>
      <c r="AOR2" s="14"/>
      <c r="AOS2" s="14"/>
      <c r="AOT2" s="14"/>
      <c r="AOU2" s="14"/>
      <c r="AOV2" s="14"/>
      <c r="AOW2" s="14"/>
      <c r="AOX2" s="14"/>
      <c r="AOY2" s="14"/>
      <c r="AOZ2" s="14"/>
      <c r="APA2" s="14"/>
      <c r="APB2" s="14"/>
      <c r="APC2" s="14"/>
      <c r="APD2" s="14"/>
      <c r="APE2" s="14"/>
      <c r="APF2" s="14"/>
      <c r="APG2" s="14"/>
      <c r="APH2" s="14"/>
      <c r="API2" s="14"/>
      <c r="APJ2" s="14"/>
      <c r="APK2" s="14"/>
      <c r="APL2" s="14"/>
      <c r="APM2" s="14"/>
      <c r="APN2" s="14"/>
      <c r="APO2" s="14"/>
      <c r="APP2" s="14"/>
      <c r="APQ2" s="14"/>
      <c r="APR2" s="14"/>
      <c r="APS2" s="14"/>
      <c r="APT2" s="14"/>
      <c r="APU2" s="14"/>
      <c r="APV2" s="14"/>
      <c r="APW2" s="14"/>
      <c r="APX2" s="14"/>
      <c r="APY2" s="14"/>
      <c r="APZ2" s="14"/>
      <c r="AQA2" s="14"/>
      <c r="AQB2" s="14"/>
      <c r="AQC2" s="14"/>
      <c r="AQD2" s="14"/>
      <c r="AQE2" s="14"/>
      <c r="AQF2" s="14"/>
      <c r="AQG2" s="14"/>
      <c r="AQH2" s="14"/>
      <c r="AQI2" s="14"/>
      <c r="AQJ2" s="14"/>
      <c r="AQK2" s="14"/>
      <c r="AQL2" s="14"/>
      <c r="AQM2" s="14"/>
      <c r="AQN2" s="14"/>
      <c r="AQO2" s="14"/>
      <c r="AQP2" s="14"/>
      <c r="AQQ2" s="14"/>
      <c r="AQR2" s="14"/>
      <c r="AQS2" s="14"/>
      <c r="AQT2" s="14"/>
      <c r="AQU2" s="14"/>
      <c r="AQV2" s="14"/>
      <c r="AQW2" s="14"/>
      <c r="AQX2" s="14"/>
      <c r="AQY2" s="14"/>
      <c r="AQZ2" s="14"/>
      <c r="ARA2" s="14"/>
      <c r="ARB2" s="14"/>
      <c r="ARC2" s="14"/>
      <c r="ARD2" s="14"/>
      <c r="ARE2" s="14"/>
      <c r="ARF2" s="14"/>
      <c r="ARG2" s="14"/>
      <c r="ARH2" s="14"/>
      <c r="ARI2" s="14"/>
      <c r="ARJ2" s="14"/>
      <c r="ARK2" s="14"/>
      <c r="ARL2" s="14"/>
      <c r="ARM2" s="14"/>
      <c r="ARN2" s="14"/>
      <c r="ARO2" s="14"/>
      <c r="ARP2" s="14"/>
      <c r="ARQ2" s="14"/>
      <c r="ARR2" s="14"/>
      <c r="ARS2" s="14"/>
      <c r="ART2" s="14"/>
      <c r="ARU2" s="14"/>
      <c r="ARV2" s="14"/>
      <c r="ARW2" s="14"/>
      <c r="ARX2" s="14"/>
      <c r="ARY2" s="14"/>
      <c r="ARZ2" s="14"/>
      <c r="ASA2" s="14"/>
      <c r="ASB2" s="14"/>
      <c r="ASC2" s="14"/>
      <c r="ASD2" s="14"/>
      <c r="ASE2" s="14"/>
      <c r="ASF2" s="14"/>
      <c r="ASG2" s="14"/>
      <c r="ASH2" s="14"/>
      <c r="ASI2" s="14"/>
      <c r="ASJ2" s="14"/>
      <c r="ASK2" s="14"/>
      <c r="ASL2" s="14"/>
      <c r="ASM2" s="14"/>
      <c r="ASN2" s="14"/>
      <c r="ASO2" s="14"/>
      <c r="ASP2" s="14"/>
      <c r="ASQ2" s="14"/>
      <c r="ASR2" s="14"/>
      <c r="ASS2" s="14"/>
      <c r="AST2" s="14"/>
      <c r="ASU2" s="14"/>
      <c r="ASV2" s="14"/>
      <c r="ASW2" s="14"/>
      <c r="ASX2" s="14"/>
      <c r="ASY2" s="14"/>
      <c r="ASZ2" s="14"/>
      <c r="ATA2" s="14"/>
      <c r="ATB2" s="14"/>
      <c r="ATC2" s="14"/>
      <c r="ATD2" s="14"/>
      <c r="ATE2" s="14"/>
      <c r="ATF2" s="14"/>
      <c r="ATG2" s="14"/>
      <c r="ATH2" s="14"/>
      <c r="ATI2" s="14"/>
      <c r="ATJ2" s="14"/>
      <c r="ATK2" s="14"/>
      <c r="ATL2" s="14"/>
      <c r="ATM2" s="14"/>
      <c r="ATN2" s="14"/>
      <c r="ATO2" s="14"/>
      <c r="ATP2" s="14"/>
      <c r="ATQ2" s="14"/>
      <c r="ATR2" s="14"/>
      <c r="ATS2" s="14"/>
      <c r="ATT2" s="14"/>
      <c r="ATU2" s="14"/>
      <c r="ATV2" s="14"/>
      <c r="ATW2" s="14"/>
      <c r="ATX2" s="14"/>
      <c r="ATY2" s="14"/>
      <c r="ATZ2" s="14"/>
      <c r="AUA2" s="14"/>
      <c r="AUB2" s="14"/>
      <c r="AUC2" s="14"/>
      <c r="AUD2" s="14"/>
      <c r="AUE2" s="14"/>
      <c r="AUF2" s="14"/>
      <c r="AUG2" s="14"/>
      <c r="AUH2" s="14"/>
      <c r="AUI2" s="14"/>
      <c r="AUJ2" s="14"/>
      <c r="AUK2" s="14"/>
      <c r="AUL2" s="14"/>
      <c r="AUM2" s="14"/>
      <c r="AUN2" s="14"/>
      <c r="AUO2" s="14"/>
      <c r="AUP2" s="14"/>
      <c r="AUQ2" s="14"/>
      <c r="AUR2" s="14"/>
      <c r="AUS2" s="14"/>
      <c r="AUT2" s="14"/>
      <c r="AUU2" s="14"/>
      <c r="AUV2" s="14"/>
      <c r="AUW2" s="14"/>
      <c r="AUX2" s="14"/>
      <c r="AUY2" s="14"/>
      <c r="AUZ2" s="14"/>
      <c r="AVA2" s="14"/>
      <c r="AVB2" s="14"/>
      <c r="AVC2" s="14"/>
      <c r="AVD2" s="14"/>
      <c r="AVE2" s="14"/>
      <c r="AVF2" s="14"/>
      <c r="AVG2" s="14"/>
      <c r="AVH2" s="14"/>
      <c r="AVI2" s="14"/>
      <c r="AVJ2" s="14"/>
      <c r="AVK2" s="14"/>
      <c r="AVL2" s="14"/>
      <c r="AVM2" s="14"/>
      <c r="AVN2" s="14"/>
      <c r="AVO2" s="14"/>
      <c r="AVP2" s="14"/>
      <c r="AVQ2" s="14"/>
      <c r="AVR2" s="14"/>
      <c r="AVS2" s="14"/>
      <c r="AVT2" s="14"/>
      <c r="AVU2" s="14"/>
      <c r="AVV2" s="14"/>
      <c r="AVW2" s="14"/>
      <c r="AVX2" s="14"/>
      <c r="AVY2" s="14"/>
      <c r="AVZ2" s="14"/>
      <c r="AWA2" s="14"/>
      <c r="AWB2" s="14"/>
      <c r="AWC2" s="14"/>
      <c r="AWD2" s="14"/>
      <c r="AWE2" s="14"/>
      <c r="AWF2" s="14"/>
      <c r="AWG2" s="14"/>
      <c r="AWH2" s="14"/>
      <c r="AWI2" s="14"/>
      <c r="AWJ2" s="14"/>
      <c r="AWK2" s="14"/>
      <c r="AWL2" s="14"/>
      <c r="AWM2" s="14"/>
      <c r="AWN2" s="14"/>
      <c r="AWO2" s="14"/>
      <c r="AWP2" s="14"/>
      <c r="AWQ2" s="14"/>
      <c r="AWR2" s="14"/>
      <c r="AWS2" s="14"/>
      <c r="AWT2" s="14"/>
      <c r="AWU2" s="14"/>
      <c r="AWV2" s="14"/>
      <c r="AWW2" s="14"/>
      <c r="AWX2" s="14"/>
      <c r="AWY2" s="14"/>
      <c r="AWZ2" s="14"/>
      <c r="AXA2" s="14"/>
      <c r="AXB2" s="14"/>
      <c r="AXC2" s="14"/>
      <c r="AXD2" s="14"/>
      <c r="AXE2" s="14"/>
      <c r="AXF2" s="14"/>
      <c r="AXG2" s="14"/>
      <c r="AXH2" s="14"/>
      <c r="AXI2" s="14"/>
      <c r="AXJ2" s="14"/>
      <c r="AXK2" s="14"/>
      <c r="AXL2" s="14"/>
      <c r="AXM2" s="14"/>
      <c r="AXN2" s="14"/>
      <c r="AXO2" s="14"/>
      <c r="AXP2" s="14"/>
      <c r="AXQ2" s="14"/>
      <c r="AXR2" s="14"/>
      <c r="AXS2" s="14"/>
      <c r="AXT2" s="14"/>
      <c r="AXU2" s="14"/>
      <c r="AXV2" s="14"/>
      <c r="AXW2" s="14"/>
      <c r="AXX2" s="14"/>
      <c r="AXY2" s="14"/>
      <c r="AXZ2" s="14"/>
      <c r="AYA2" s="14"/>
      <c r="AYB2" s="14"/>
      <c r="AYC2" s="14"/>
      <c r="AYD2" s="14"/>
      <c r="AYE2" s="14"/>
      <c r="AYF2" s="14"/>
      <c r="AYG2" s="14"/>
      <c r="AYH2" s="14"/>
      <c r="AYI2" s="14"/>
      <c r="AYJ2" s="14"/>
      <c r="AYK2" s="14"/>
      <c r="AYL2" s="14"/>
      <c r="AYM2" s="14"/>
      <c r="AYN2" s="14"/>
      <c r="AYO2" s="14"/>
      <c r="AYP2" s="14"/>
      <c r="AYQ2" s="14"/>
      <c r="AYR2" s="14"/>
      <c r="AYS2" s="14"/>
      <c r="AYT2" s="14"/>
      <c r="AYU2" s="14"/>
      <c r="AYV2" s="14"/>
      <c r="AYW2" s="14"/>
      <c r="AYX2" s="14"/>
      <c r="AYY2" s="14"/>
      <c r="AYZ2" s="14"/>
      <c r="AZA2" s="14"/>
      <c r="AZB2" s="14"/>
      <c r="AZC2" s="14"/>
      <c r="AZD2" s="14"/>
      <c r="AZE2" s="14"/>
      <c r="AZF2" s="14"/>
      <c r="AZG2" s="14"/>
      <c r="AZH2" s="14"/>
      <c r="AZI2" s="14"/>
      <c r="AZJ2" s="14"/>
      <c r="AZK2" s="14"/>
      <c r="AZL2" s="14"/>
      <c r="AZM2" s="14"/>
      <c r="AZN2" s="14"/>
      <c r="AZO2" s="14"/>
      <c r="AZP2" s="14"/>
      <c r="AZQ2" s="14"/>
      <c r="AZR2" s="14"/>
      <c r="AZS2" s="14"/>
      <c r="AZT2" s="14"/>
      <c r="AZU2" s="14"/>
      <c r="AZV2" s="14"/>
      <c r="AZW2" s="14"/>
      <c r="AZX2" s="14"/>
      <c r="AZY2" s="14"/>
      <c r="AZZ2" s="14"/>
      <c r="BAA2" s="14"/>
      <c r="BAB2" s="14"/>
      <c r="BAC2" s="14"/>
      <c r="BAD2" s="14"/>
      <c r="BAE2" s="14"/>
      <c r="BAF2" s="14"/>
      <c r="BAG2" s="14"/>
      <c r="BAH2" s="14"/>
      <c r="BAI2" s="14"/>
      <c r="BAJ2" s="14"/>
      <c r="BAK2" s="14"/>
      <c r="BAL2" s="14"/>
      <c r="BAM2" s="14"/>
      <c r="BAN2" s="14"/>
      <c r="BAO2" s="14"/>
      <c r="BAP2" s="14"/>
      <c r="BAQ2" s="14"/>
      <c r="BAR2" s="14"/>
      <c r="BAS2" s="14"/>
      <c r="BAT2" s="14"/>
      <c r="BAU2" s="14"/>
      <c r="BAV2" s="14"/>
      <c r="BAW2" s="14"/>
      <c r="BAX2" s="14"/>
      <c r="BAY2" s="14"/>
      <c r="BAZ2" s="14"/>
      <c r="BBA2" s="14"/>
      <c r="BBB2" s="14"/>
      <c r="BBC2" s="14"/>
      <c r="BBD2" s="14"/>
      <c r="BBE2" s="14"/>
      <c r="BBF2" s="14"/>
      <c r="BBG2" s="14"/>
      <c r="BBH2" s="14"/>
      <c r="BBI2" s="14"/>
      <c r="BBJ2" s="14"/>
      <c r="BBK2" s="14"/>
      <c r="BBL2" s="14"/>
      <c r="BBM2" s="14"/>
      <c r="BBN2" s="14"/>
      <c r="BBO2" s="14"/>
      <c r="BBP2" s="14"/>
      <c r="BBQ2" s="14"/>
      <c r="BBR2" s="14"/>
      <c r="BBS2" s="14"/>
      <c r="BBT2" s="14"/>
      <c r="BBU2" s="14"/>
      <c r="BBV2" s="14"/>
      <c r="BBW2" s="14"/>
      <c r="BBX2" s="14"/>
      <c r="BBY2" s="14"/>
      <c r="BBZ2" s="14"/>
      <c r="BCA2" s="14"/>
      <c r="BCB2" s="14"/>
      <c r="BCC2" s="14"/>
      <c r="BCD2" s="14"/>
      <c r="BCE2" s="14"/>
      <c r="BCF2" s="14"/>
      <c r="BCG2" s="14"/>
      <c r="BCH2" s="14"/>
      <c r="BCI2" s="14"/>
      <c r="BCJ2" s="14"/>
      <c r="BCK2" s="14"/>
      <c r="BCL2" s="14"/>
      <c r="BCM2" s="14"/>
      <c r="BCN2" s="14"/>
      <c r="BCO2" s="14"/>
      <c r="BCP2" s="14"/>
      <c r="BCQ2" s="14"/>
      <c r="BCR2" s="14"/>
      <c r="BCS2" s="14"/>
      <c r="BCT2" s="14"/>
      <c r="BCU2" s="14"/>
      <c r="BCV2" s="14"/>
      <c r="BCW2" s="14"/>
      <c r="BCX2" s="14"/>
      <c r="BCY2" s="14"/>
      <c r="BCZ2" s="14"/>
      <c r="BDA2" s="14"/>
      <c r="BDB2" s="14"/>
      <c r="BDC2" s="14"/>
      <c r="BDD2" s="14"/>
      <c r="BDE2" s="14"/>
      <c r="BDF2" s="14"/>
      <c r="BDG2" s="14"/>
      <c r="BDH2" s="14"/>
      <c r="BDI2" s="14"/>
      <c r="BDJ2" s="14"/>
      <c r="BDK2" s="14"/>
      <c r="BDL2" s="14"/>
      <c r="BDM2" s="14"/>
      <c r="BDN2" s="14"/>
      <c r="BDO2" s="14"/>
      <c r="BDP2" s="14"/>
      <c r="BDQ2" s="14"/>
      <c r="BDR2" s="14"/>
      <c r="BDS2" s="14"/>
      <c r="BDT2" s="14"/>
      <c r="BDU2" s="14"/>
      <c r="BDV2" s="14"/>
      <c r="BDW2" s="14"/>
      <c r="BDX2" s="14"/>
      <c r="BDY2" s="14"/>
      <c r="BDZ2" s="14"/>
      <c r="BEA2" s="14"/>
      <c r="BEB2" s="14"/>
      <c r="BEC2" s="14"/>
      <c r="BED2" s="14"/>
      <c r="BEE2" s="14"/>
      <c r="BEF2" s="14"/>
      <c r="BEG2" s="14"/>
      <c r="BEH2" s="14"/>
      <c r="BEI2" s="14"/>
      <c r="BEJ2" s="14"/>
      <c r="BEK2" s="14"/>
      <c r="BEL2" s="14"/>
      <c r="BEM2" s="14"/>
      <c r="BEN2" s="14"/>
      <c r="BEO2" s="14"/>
      <c r="BEP2" s="14"/>
      <c r="BEQ2" s="14"/>
      <c r="BER2" s="14"/>
      <c r="BES2" s="14"/>
      <c r="BET2" s="14"/>
      <c r="BEU2" s="14"/>
      <c r="BEV2" s="14"/>
      <c r="BEW2" s="14"/>
      <c r="BEX2" s="14"/>
      <c r="BEY2" s="14"/>
      <c r="BEZ2" s="14"/>
      <c r="BFA2" s="14"/>
      <c r="BFB2" s="14"/>
      <c r="BFC2" s="14"/>
      <c r="BFD2" s="14"/>
      <c r="BFE2" s="14"/>
      <c r="BFF2" s="14"/>
      <c r="BFG2" s="14"/>
      <c r="BFH2" s="14"/>
      <c r="BFI2" s="14"/>
      <c r="BFJ2" s="14"/>
      <c r="BFK2" s="14"/>
      <c r="BFL2" s="14"/>
      <c r="BFM2" s="14"/>
      <c r="BFN2" s="14"/>
      <c r="BFO2" s="14"/>
      <c r="BFP2" s="14"/>
      <c r="BFQ2" s="14"/>
      <c r="BFR2" s="14"/>
      <c r="BFS2" s="14"/>
      <c r="BFT2" s="14"/>
      <c r="BFU2" s="14"/>
      <c r="BFV2" s="14"/>
      <c r="BFW2" s="14"/>
      <c r="BFX2" s="14"/>
      <c r="BFY2" s="14"/>
      <c r="BFZ2" s="14"/>
      <c r="BGA2" s="14"/>
      <c r="BGB2" s="14"/>
      <c r="BGC2" s="14"/>
      <c r="BGD2" s="14"/>
      <c r="BGE2" s="14"/>
      <c r="BGF2" s="14"/>
      <c r="BGG2" s="14"/>
      <c r="BGH2" s="14"/>
      <c r="BGI2" s="14"/>
      <c r="BGJ2" s="14"/>
      <c r="BGK2" s="14"/>
      <c r="BGL2" s="14"/>
      <c r="BGM2" s="14"/>
      <c r="BGN2" s="14"/>
      <c r="BGO2" s="14"/>
      <c r="BGP2" s="14"/>
      <c r="BGQ2" s="14"/>
      <c r="BGR2" s="14"/>
      <c r="BGS2" s="14"/>
      <c r="BGT2" s="14"/>
      <c r="BGU2" s="14"/>
      <c r="BGV2" s="14"/>
      <c r="BGW2" s="14"/>
      <c r="BGX2" s="14"/>
      <c r="BGY2" s="14"/>
      <c r="BGZ2" s="14"/>
      <c r="BHA2" s="14"/>
      <c r="BHB2" s="14"/>
      <c r="BHC2" s="14"/>
      <c r="BHD2" s="14"/>
      <c r="BHE2" s="14"/>
      <c r="BHF2" s="14"/>
      <c r="BHG2" s="14"/>
      <c r="BHH2" s="14"/>
      <c r="BHI2" s="14"/>
      <c r="BHJ2" s="14"/>
      <c r="BHK2" s="14"/>
      <c r="BHL2" s="14"/>
      <c r="BHM2" s="14"/>
      <c r="BHN2" s="14"/>
      <c r="BHO2" s="14"/>
      <c r="BHP2" s="14"/>
      <c r="BHQ2" s="14"/>
      <c r="BHR2" s="14"/>
      <c r="BHS2" s="14"/>
      <c r="BHT2" s="14"/>
      <c r="BHU2" s="14"/>
      <c r="BHV2" s="14"/>
      <c r="BHW2" s="14"/>
      <c r="BHX2" s="14"/>
      <c r="BHY2" s="14"/>
      <c r="BHZ2" s="14"/>
      <c r="BIA2" s="14"/>
      <c r="BIB2" s="14"/>
      <c r="BIC2" s="14"/>
      <c r="BID2" s="14"/>
      <c r="BIE2" s="14"/>
      <c r="BIF2" s="14"/>
      <c r="BIG2" s="14"/>
      <c r="BIH2" s="14"/>
      <c r="BII2" s="14"/>
      <c r="BIJ2" s="14"/>
      <c r="BIK2" s="14"/>
      <c r="BIL2" s="14"/>
      <c r="BIM2" s="14"/>
      <c r="BIN2" s="14"/>
      <c r="BIO2" s="14"/>
      <c r="BIP2" s="14"/>
      <c r="BIQ2" s="14"/>
      <c r="BIR2" s="14"/>
      <c r="BIS2" s="14"/>
      <c r="BIT2" s="14"/>
      <c r="BIU2" s="14"/>
      <c r="BIV2" s="14"/>
      <c r="BIW2" s="14"/>
      <c r="BIX2" s="14"/>
      <c r="BIY2" s="14"/>
      <c r="BIZ2" s="14"/>
      <c r="BJA2" s="14"/>
      <c r="BJB2" s="14"/>
      <c r="BJC2" s="14"/>
      <c r="BJD2" s="14"/>
      <c r="BJE2" s="14"/>
      <c r="BJF2" s="14"/>
      <c r="BJG2" s="14"/>
      <c r="BJH2" s="14"/>
      <c r="BJI2" s="14"/>
      <c r="BJJ2" s="14"/>
      <c r="BJK2" s="14"/>
      <c r="BJL2" s="14"/>
      <c r="BJM2" s="14"/>
      <c r="BJN2" s="14"/>
      <c r="BJO2" s="14"/>
      <c r="BJP2" s="14"/>
      <c r="BJQ2" s="14"/>
      <c r="BJR2" s="14"/>
      <c r="BJS2" s="14"/>
      <c r="BJT2" s="14"/>
      <c r="BJU2" s="14"/>
      <c r="BJV2" s="14"/>
      <c r="BJW2" s="14"/>
      <c r="BJX2" s="14"/>
      <c r="BJY2" s="14"/>
      <c r="BJZ2" s="14"/>
      <c r="BKA2" s="14"/>
      <c r="BKB2" s="14"/>
      <c r="BKC2" s="14"/>
      <c r="BKD2" s="14"/>
      <c r="BKE2" s="14"/>
      <c r="BKF2" s="14"/>
      <c r="BKG2" s="14"/>
      <c r="BKH2" s="14"/>
      <c r="BKI2" s="14"/>
      <c r="BKJ2" s="14"/>
      <c r="BKK2" s="14"/>
      <c r="BKL2" s="14"/>
      <c r="BKM2" s="14"/>
      <c r="BKN2" s="14"/>
      <c r="BKO2" s="14"/>
      <c r="BKP2" s="14"/>
      <c r="BKQ2" s="14"/>
      <c r="BKR2" s="14"/>
      <c r="BKS2" s="14"/>
      <c r="BKT2" s="14"/>
      <c r="BKU2" s="14"/>
      <c r="BKV2" s="14"/>
      <c r="BKW2" s="14"/>
      <c r="BKX2" s="14"/>
      <c r="BKY2" s="14"/>
      <c r="BKZ2" s="14"/>
      <c r="BLA2" s="14"/>
      <c r="BLB2" s="14"/>
      <c r="BLC2" s="14"/>
      <c r="BLD2" s="14"/>
      <c r="BLE2" s="14"/>
      <c r="BLF2" s="14"/>
      <c r="BLG2" s="14"/>
      <c r="BLH2" s="14"/>
      <c r="BLI2" s="14"/>
      <c r="BLJ2" s="14"/>
      <c r="BLK2" s="14"/>
      <c r="BLL2" s="14"/>
      <c r="BLM2" s="14"/>
      <c r="BLN2" s="14"/>
      <c r="BLO2" s="14"/>
      <c r="BLP2" s="14"/>
      <c r="BLQ2" s="14"/>
      <c r="BLR2" s="14"/>
      <c r="BLS2" s="14"/>
      <c r="BLT2" s="14"/>
      <c r="BLU2" s="14"/>
      <c r="BLV2" s="14"/>
      <c r="BLW2" s="14"/>
      <c r="BLX2" s="14"/>
      <c r="BLY2" s="14"/>
      <c r="BLZ2" s="14"/>
      <c r="BMA2" s="14"/>
      <c r="BMB2" s="14"/>
      <c r="BMC2" s="14"/>
      <c r="BMD2" s="14"/>
      <c r="BME2" s="14"/>
      <c r="BMF2" s="14"/>
      <c r="BMG2" s="14"/>
      <c r="BMH2" s="14"/>
      <c r="BMI2" s="14"/>
      <c r="BMJ2" s="14"/>
      <c r="BMK2" s="14"/>
      <c r="BML2" s="14"/>
      <c r="BMM2" s="14"/>
      <c r="BMN2" s="14"/>
      <c r="BMO2" s="14"/>
      <c r="BMP2" s="14"/>
      <c r="BMQ2" s="14"/>
      <c r="BMR2" s="14"/>
      <c r="BMS2" s="14"/>
      <c r="BMT2" s="14"/>
      <c r="BMU2" s="14"/>
      <c r="BMV2" s="14"/>
      <c r="BMW2" s="14"/>
      <c r="BMX2" s="14"/>
      <c r="BMY2" s="14"/>
      <c r="BMZ2" s="14"/>
      <c r="BNA2" s="14"/>
      <c r="BNB2" s="14"/>
      <c r="BNC2" s="14"/>
      <c r="BND2" s="14"/>
      <c r="BNE2" s="14"/>
      <c r="BNF2" s="14"/>
      <c r="BNG2" s="14"/>
      <c r="BNH2" s="14"/>
      <c r="BNI2" s="14"/>
      <c r="BNJ2" s="14"/>
      <c r="BNK2" s="14"/>
      <c r="BNL2" s="14"/>
      <c r="BNM2" s="14"/>
      <c r="BNN2" s="14"/>
      <c r="BNO2" s="14"/>
      <c r="BNP2" s="14"/>
      <c r="BNQ2" s="14"/>
      <c r="BNR2" s="14"/>
      <c r="BNS2" s="14"/>
      <c r="BNT2" s="14"/>
      <c r="BNU2" s="14"/>
      <c r="BNV2" s="14"/>
      <c r="BNW2" s="14"/>
      <c r="BNX2" s="14"/>
      <c r="BNY2" s="14"/>
      <c r="BNZ2" s="14"/>
      <c r="BOA2" s="14"/>
      <c r="BOB2" s="14"/>
      <c r="BOC2" s="14"/>
      <c r="BOD2" s="14"/>
      <c r="BOE2" s="14"/>
      <c r="BOF2" s="14"/>
      <c r="BOG2" s="14"/>
      <c r="BOH2" s="14"/>
      <c r="BOI2" s="14"/>
      <c r="BOJ2" s="14"/>
      <c r="BOK2" s="14"/>
      <c r="BOL2" s="14"/>
      <c r="BOM2" s="14"/>
      <c r="BON2" s="14"/>
      <c r="BOO2" s="14"/>
      <c r="BOP2" s="14"/>
      <c r="BOQ2" s="14"/>
      <c r="BOR2" s="14"/>
      <c r="BOS2" s="14"/>
      <c r="BOT2" s="14"/>
      <c r="BOU2" s="14"/>
      <c r="BOV2" s="14"/>
      <c r="BOW2" s="14"/>
      <c r="BOX2" s="14"/>
      <c r="BOY2" s="14"/>
      <c r="BOZ2" s="14"/>
      <c r="BPA2" s="14"/>
      <c r="BPB2" s="14"/>
      <c r="BPC2" s="14"/>
      <c r="BPD2" s="14"/>
      <c r="BPE2" s="14"/>
      <c r="BPF2" s="14"/>
      <c r="BPG2" s="14"/>
      <c r="BPH2" s="14"/>
      <c r="BPI2" s="14"/>
      <c r="BPJ2" s="14"/>
      <c r="BPK2" s="14"/>
      <c r="BPL2" s="14"/>
      <c r="BPM2" s="14"/>
      <c r="BPN2" s="14"/>
      <c r="BPO2" s="14"/>
      <c r="BPP2" s="14"/>
      <c r="BPQ2" s="14"/>
      <c r="BPR2" s="14"/>
      <c r="BPS2" s="14"/>
      <c r="BPT2" s="14"/>
      <c r="BPU2" s="14"/>
      <c r="BPV2" s="14"/>
      <c r="BPW2" s="14"/>
      <c r="BPX2" s="14"/>
      <c r="BPY2" s="14"/>
      <c r="BPZ2" s="14"/>
      <c r="BQA2" s="14"/>
      <c r="BQB2" s="14"/>
      <c r="BQC2" s="14"/>
      <c r="BQD2" s="14"/>
      <c r="BQE2" s="14"/>
      <c r="BQF2" s="14"/>
      <c r="BQG2" s="14"/>
      <c r="BQH2" s="14"/>
      <c r="BQI2" s="14"/>
      <c r="BQJ2" s="14"/>
      <c r="BQK2" s="14"/>
      <c r="BQL2" s="14"/>
      <c r="BQM2" s="14"/>
      <c r="BQN2" s="14"/>
      <c r="BQO2" s="14"/>
      <c r="BQP2" s="14"/>
      <c r="BQQ2" s="14"/>
      <c r="BQR2" s="14"/>
      <c r="BQS2" s="14"/>
      <c r="BQT2" s="14"/>
      <c r="BQU2" s="14"/>
      <c r="BQV2" s="14"/>
      <c r="BQW2" s="14"/>
      <c r="BQX2" s="14"/>
      <c r="BQY2" s="14"/>
      <c r="BQZ2" s="14"/>
      <c r="BRA2" s="14"/>
      <c r="BRB2" s="14"/>
      <c r="BRC2" s="14"/>
      <c r="BRD2" s="14"/>
      <c r="BRE2" s="14"/>
      <c r="BRF2" s="14"/>
      <c r="BRG2" s="14"/>
      <c r="BRH2" s="14"/>
      <c r="BRI2" s="14"/>
      <c r="BRJ2" s="14"/>
      <c r="BRK2" s="14"/>
      <c r="BRL2" s="14"/>
      <c r="BRM2" s="14"/>
      <c r="BRN2" s="14"/>
      <c r="BRO2" s="14"/>
      <c r="BRP2" s="14"/>
      <c r="BRQ2" s="14"/>
      <c r="BRR2" s="14"/>
      <c r="BRS2" s="14"/>
      <c r="BRT2" s="14"/>
      <c r="BRU2" s="14"/>
      <c r="BRV2" s="14"/>
      <c r="BRW2" s="14"/>
      <c r="BRX2" s="14"/>
      <c r="BRY2" s="14"/>
      <c r="BRZ2" s="14"/>
      <c r="BSA2" s="14"/>
      <c r="BSB2" s="14"/>
      <c r="BSC2" s="14"/>
      <c r="BSD2" s="14"/>
      <c r="BSE2" s="14"/>
      <c r="BSF2" s="14"/>
      <c r="BSG2" s="14"/>
      <c r="BSH2" s="14"/>
      <c r="BSI2" s="14"/>
      <c r="BSJ2" s="14"/>
      <c r="BSK2" s="14"/>
      <c r="BSL2" s="14"/>
      <c r="BSM2" s="14"/>
      <c r="BSN2" s="14"/>
      <c r="BSO2" s="14"/>
      <c r="BSP2" s="14"/>
      <c r="BSQ2" s="14"/>
      <c r="BSR2" s="14"/>
      <c r="BSS2" s="14"/>
      <c r="BST2" s="14"/>
      <c r="BSU2" s="14"/>
      <c r="BSV2" s="14"/>
      <c r="BSW2" s="14"/>
      <c r="BSX2" s="14"/>
      <c r="BSY2" s="14"/>
      <c r="BSZ2" s="14"/>
      <c r="BTA2" s="14"/>
      <c r="BTB2" s="14"/>
      <c r="BTC2" s="14"/>
      <c r="BTD2" s="14"/>
      <c r="BTE2" s="14"/>
      <c r="BTF2" s="14"/>
      <c r="BTG2" s="14"/>
      <c r="BTH2" s="14"/>
      <c r="BTI2" s="14"/>
      <c r="BTJ2" s="14"/>
      <c r="BTK2" s="14"/>
      <c r="BTL2" s="14"/>
      <c r="BTM2" s="14"/>
      <c r="BTN2" s="14"/>
      <c r="BTO2" s="14"/>
      <c r="BTP2" s="14"/>
      <c r="BTQ2" s="14"/>
      <c r="BTR2" s="14"/>
      <c r="BTS2" s="14"/>
      <c r="BTT2" s="14"/>
      <c r="BTU2" s="14"/>
      <c r="BTV2" s="14"/>
      <c r="BTW2" s="14"/>
      <c r="BTX2" s="14"/>
      <c r="BTY2" s="14"/>
      <c r="BTZ2" s="14"/>
      <c r="BUA2" s="14"/>
      <c r="BUB2" s="14"/>
      <c r="BUC2" s="14"/>
      <c r="BUD2" s="14"/>
      <c r="BUE2" s="14"/>
      <c r="BUF2" s="14"/>
      <c r="BUG2" s="14"/>
      <c r="BUH2" s="14"/>
      <c r="BUI2" s="14"/>
      <c r="BUJ2" s="14"/>
      <c r="BUK2" s="14"/>
      <c r="BUL2" s="14"/>
      <c r="BUM2" s="14"/>
      <c r="BUN2" s="14"/>
      <c r="BUO2" s="14"/>
      <c r="BUP2" s="14"/>
      <c r="BUQ2" s="14"/>
      <c r="BUR2" s="14"/>
      <c r="BUS2" s="14"/>
      <c r="BUT2" s="14"/>
      <c r="BUU2" s="14"/>
      <c r="BUV2" s="14"/>
      <c r="BUW2" s="14"/>
      <c r="BUX2" s="14"/>
      <c r="BUY2" s="14"/>
      <c r="BUZ2" s="14"/>
      <c r="BVA2" s="14"/>
      <c r="BVB2" s="14"/>
      <c r="BVC2" s="14"/>
      <c r="BVD2" s="14"/>
      <c r="BVE2" s="14"/>
      <c r="BVF2" s="14"/>
      <c r="BVG2" s="14"/>
      <c r="BVH2" s="14"/>
      <c r="BVI2" s="14"/>
      <c r="BVJ2" s="14"/>
      <c r="BVK2" s="14"/>
      <c r="BVL2" s="14"/>
      <c r="BVM2" s="14"/>
      <c r="BVN2" s="14"/>
      <c r="BVO2" s="14"/>
      <c r="BVP2" s="14"/>
      <c r="BVQ2" s="14"/>
      <c r="BVR2" s="14"/>
      <c r="BVS2" s="14"/>
      <c r="BVT2" s="14"/>
      <c r="BVU2" s="14"/>
      <c r="BVV2" s="14"/>
      <c r="BVW2" s="14"/>
      <c r="BVX2" s="14"/>
      <c r="BVY2" s="14"/>
      <c r="BVZ2" s="14"/>
      <c r="BWA2" s="14"/>
      <c r="BWB2" s="14"/>
      <c r="BWC2" s="14"/>
      <c r="BWD2" s="14"/>
      <c r="BWE2" s="14"/>
      <c r="BWF2" s="14"/>
      <c r="BWG2" s="14"/>
      <c r="BWH2" s="14"/>
      <c r="BWI2" s="14"/>
      <c r="BWJ2" s="14"/>
      <c r="BWK2" s="14"/>
      <c r="BWL2" s="14"/>
      <c r="BWM2" s="14"/>
      <c r="BWN2" s="14"/>
      <c r="BWO2" s="14"/>
      <c r="BWP2" s="14"/>
      <c r="BWQ2" s="14"/>
      <c r="BWR2" s="14"/>
      <c r="BWS2" s="14"/>
      <c r="BWT2" s="14"/>
      <c r="BWU2" s="14"/>
      <c r="BWV2" s="14"/>
      <c r="BWW2" s="14"/>
      <c r="BWX2" s="14"/>
      <c r="BWY2" s="14"/>
      <c r="BWZ2" s="14"/>
      <c r="BXA2" s="14"/>
      <c r="BXB2" s="14"/>
      <c r="BXC2" s="14"/>
      <c r="BXD2" s="14"/>
      <c r="BXE2" s="14"/>
      <c r="BXF2" s="14"/>
      <c r="BXG2" s="14"/>
      <c r="BXH2" s="14"/>
      <c r="BXI2" s="14"/>
      <c r="BXJ2" s="14"/>
      <c r="BXK2" s="14"/>
      <c r="BXL2" s="14"/>
      <c r="BXM2" s="14"/>
      <c r="BXN2" s="14"/>
      <c r="BXO2" s="14"/>
      <c r="BXP2" s="14"/>
      <c r="BXQ2" s="14"/>
      <c r="BXR2" s="14"/>
      <c r="BXS2" s="14"/>
      <c r="BXT2" s="14"/>
      <c r="BXU2" s="14"/>
      <c r="BXV2" s="14"/>
      <c r="BXW2" s="14"/>
      <c r="BXX2" s="14"/>
      <c r="BXY2" s="14"/>
      <c r="BXZ2" s="14"/>
      <c r="BYA2" s="14"/>
      <c r="BYB2" s="14"/>
      <c r="BYC2" s="14"/>
      <c r="BYD2" s="14"/>
      <c r="BYE2" s="14"/>
      <c r="BYF2" s="14"/>
      <c r="BYG2" s="14"/>
      <c r="BYH2" s="14"/>
      <c r="BYI2" s="14"/>
      <c r="BYJ2" s="14"/>
      <c r="BYK2" s="14"/>
      <c r="BYL2" s="14"/>
      <c r="BYM2" s="14"/>
      <c r="BYN2" s="14"/>
      <c r="BYO2" s="14"/>
      <c r="BYP2" s="14"/>
      <c r="BYQ2" s="14"/>
      <c r="BYR2" s="14"/>
      <c r="BYS2" s="14"/>
      <c r="BYT2" s="14"/>
      <c r="BYU2" s="14"/>
      <c r="BYV2" s="14"/>
      <c r="BYW2" s="14"/>
      <c r="BYX2" s="14"/>
      <c r="BYY2" s="14"/>
      <c r="BYZ2" s="14"/>
      <c r="BZA2" s="14"/>
      <c r="BZB2" s="14"/>
      <c r="BZC2" s="14"/>
      <c r="BZD2" s="14"/>
      <c r="BZE2" s="14"/>
      <c r="BZF2" s="14"/>
      <c r="BZG2" s="14"/>
      <c r="BZH2" s="14"/>
      <c r="BZI2" s="14"/>
      <c r="BZJ2" s="14"/>
      <c r="BZK2" s="14"/>
      <c r="BZL2" s="14"/>
      <c r="BZM2" s="14"/>
      <c r="BZN2" s="14"/>
      <c r="BZO2" s="14"/>
      <c r="BZP2" s="14"/>
      <c r="BZQ2" s="14"/>
      <c r="BZR2" s="14"/>
      <c r="BZS2" s="14"/>
      <c r="BZT2" s="14"/>
      <c r="BZU2" s="14"/>
      <c r="BZV2" s="14"/>
      <c r="BZW2" s="14"/>
      <c r="BZX2" s="14"/>
      <c r="BZY2" s="14"/>
      <c r="BZZ2" s="14"/>
      <c r="CAA2" s="14"/>
      <c r="CAB2" s="14"/>
      <c r="CAC2" s="14"/>
      <c r="CAD2" s="14"/>
      <c r="CAE2" s="14"/>
      <c r="CAF2" s="14"/>
      <c r="CAG2" s="14"/>
      <c r="CAH2" s="14"/>
      <c r="CAI2" s="14"/>
      <c r="CAJ2" s="14"/>
      <c r="CAK2" s="14"/>
      <c r="CAL2" s="14"/>
      <c r="CAM2" s="14"/>
      <c r="CAN2" s="14"/>
      <c r="CAO2" s="14"/>
      <c r="CAP2" s="14"/>
      <c r="CAQ2" s="14"/>
      <c r="CAR2" s="14"/>
      <c r="CAS2" s="14"/>
      <c r="CAT2" s="14"/>
      <c r="CAU2" s="14"/>
      <c r="CAV2" s="14"/>
      <c r="CAW2" s="14"/>
      <c r="CAX2" s="14"/>
      <c r="CAY2" s="14"/>
      <c r="CAZ2" s="14"/>
      <c r="CBA2" s="14"/>
      <c r="CBB2" s="14"/>
      <c r="CBC2" s="14"/>
      <c r="CBD2" s="14"/>
      <c r="CBE2" s="14"/>
      <c r="CBF2" s="14"/>
      <c r="CBG2" s="14"/>
      <c r="CBH2" s="14"/>
      <c r="CBI2" s="14"/>
      <c r="CBJ2" s="14"/>
      <c r="CBK2" s="14"/>
      <c r="CBL2" s="14"/>
      <c r="CBM2" s="14"/>
      <c r="CBN2" s="14"/>
      <c r="CBO2" s="14"/>
      <c r="CBP2" s="14"/>
      <c r="CBQ2" s="14"/>
      <c r="CBR2" s="14"/>
      <c r="CBS2" s="14"/>
      <c r="CBT2" s="14"/>
      <c r="CBU2" s="14"/>
      <c r="CBV2" s="14"/>
      <c r="CBW2" s="14"/>
      <c r="CBX2" s="14"/>
      <c r="CBY2" s="14"/>
      <c r="CBZ2" s="14"/>
      <c r="CCA2" s="14"/>
      <c r="CCB2" s="14"/>
      <c r="CCC2" s="14"/>
      <c r="CCD2" s="14"/>
      <c r="CCE2" s="14"/>
      <c r="CCF2" s="14"/>
      <c r="CCG2" s="14"/>
      <c r="CCH2" s="14"/>
      <c r="CCI2" s="14"/>
      <c r="CCJ2" s="14"/>
      <c r="CCK2" s="14"/>
      <c r="CCL2" s="14"/>
      <c r="CCM2" s="14"/>
      <c r="CCN2" s="14"/>
      <c r="CCO2" s="14"/>
      <c r="CCP2" s="14"/>
      <c r="CCQ2" s="14"/>
      <c r="CCR2" s="14"/>
      <c r="CCS2" s="14"/>
      <c r="CCT2" s="14"/>
      <c r="CCU2" s="14"/>
      <c r="CCV2" s="14"/>
      <c r="CCW2" s="14"/>
      <c r="CCX2" s="14"/>
      <c r="CCY2" s="14"/>
      <c r="CCZ2" s="14"/>
      <c r="CDA2" s="14"/>
      <c r="CDB2" s="14"/>
      <c r="CDC2" s="14"/>
      <c r="CDD2" s="14"/>
      <c r="CDE2" s="14"/>
      <c r="CDF2" s="14"/>
      <c r="CDG2" s="14"/>
      <c r="CDH2" s="14"/>
      <c r="CDI2" s="14"/>
      <c r="CDJ2" s="14"/>
      <c r="CDK2" s="14"/>
      <c r="CDL2" s="14"/>
      <c r="CDM2" s="14"/>
      <c r="CDN2" s="14"/>
      <c r="CDO2" s="14"/>
      <c r="CDP2" s="14"/>
      <c r="CDQ2" s="14"/>
      <c r="CDR2" s="14"/>
      <c r="CDS2" s="14"/>
      <c r="CDT2" s="14"/>
      <c r="CDU2" s="14"/>
      <c r="CDV2" s="14"/>
      <c r="CDW2" s="14"/>
      <c r="CDX2" s="14"/>
      <c r="CDY2" s="14"/>
      <c r="CDZ2" s="14"/>
      <c r="CEA2" s="14"/>
      <c r="CEB2" s="14"/>
      <c r="CEC2" s="14"/>
      <c r="CED2" s="14"/>
      <c r="CEE2" s="14"/>
      <c r="CEF2" s="14"/>
      <c r="CEG2" s="14"/>
      <c r="CEH2" s="14"/>
      <c r="CEI2" s="14"/>
      <c r="CEJ2" s="14"/>
      <c r="CEK2" s="14"/>
      <c r="CEL2" s="14"/>
      <c r="CEM2" s="14"/>
      <c r="CEN2" s="14"/>
      <c r="CEO2" s="14"/>
      <c r="CEP2" s="14"/>
      <c r="CEQ2" s="14"/>
      <c r="CER2" s="14"/>
      <c r="CES2" s="14"/>
      <c r="CET2" s="14"/>
      <c r="CEU2" s="14"/>
      <c r="CEV2" s="14"/>
      <c r="CEW2" s="14"/>
      <c r="CEX2" s="14"/>
      <c r="CEY2" s="14"/>
      <c r="CEZ2" s="14"/>
      <c r="CFA2" s="14"/>
      <c r="CFB2" s="14"/>
      <c r="CFC2" s="14"/>
      <c r="CFD2" s="14"/>
      <c r="CFE2" s="14"/>
      <c r="CFF2" s="14"/>
      <c r="CFG2" s="14"/>
      <c r="CFH2" s="14"/>
      <c r="CFI2" s="14"/>
      <c r="CFJ2" s="14"/>
      <c r="CFK2" s="14"/>
      <c r="CFL2" s="14"/>
      <c r="CFM2" s="14"/>
      <c r="CFN2" s="14"/>
      <c r="CFO2" s="14"/>
      <c r="CFP2" s="14"/>
      <c r="CFQ2" s="14"/>
      <c r="CFR2" s="14"/>
      <c r="CFS2" s="14"/>
      <c r="CFT2" s="14"/>
      <c r="CFU2" s="14"/>
      <c r="CFV2" s="14"/>
      <c r="CFW2" s="14"/>
      <c r="CFX2" s="14"/>
      <c r="CFY2" s="14"/>
      <c r="CFZ2" s="14"/>
      <c r="CGA2" s="14"/>
      <c r="CGB2" s="14"/>
      <c r="CGC2" s="14"/>
      <c r="CGD2" s="14"/>
      <c r="CGE2" s="14"/>
      <c r="CGF2" s="14"/>
      <c r="CGG2" s="14"/>
      <c r="CGH2" s="14"/>
      <c r="CGI2" s="14"/>
      <c r="CGJ2" s="14"/>
      <c r="CGK2" s="14"/>
      <c r="CGL2" s="14"/>
      <c r="CGM2" s="14"/>
      <c r="CGN2" s="14"/>
      <c r="CGO2" s="14"/>
      <c r="CGP2" s="14"/>
      <c r="CGQ2" s="14"/>
      <c r="CGR2" s="14"/>
      <c r="CGS2" s="14"/>
      <c r="CGT2" s="14"/>
      <c r="CGU2" s="14"/>
      <c r="CGV2" s="14"/>
      <c r="CGW2" s="14"/>
      <c r="CGX2" s="14"/>
      <c r="CGY2" s="14"/>
      <c r="CGZ2" s="14"/>
      <c r="CHA2" s="14"/>
      <c r="CHB2" s="14"/>
      <c r="CHC2" s="14"/>
      <c r="CHD2" s="14"/>
      <c r="CHE2" s="14"/>
      <c r="CHF2" s="14"/>
      <c r="CHG2" s="14"/>
      <c r="CHH2" s="14"/>
      <c r="CHI2" s="14"/>
      <c r="CHJ2" s="14"/>
      <c r="CHK2" s="14"/>
      <c r="CHL2" s="14"/>
      <c r="CHM2" s="14"/>
      <c r="CHN2" s="14"/>
      <c r="CHO2" s="14"/>
      <c r="CHP2" s="14"/>
      <c r="CHQ2" s="14"/>
      <c r="CHR2" s="14"/>
      <c r="CHS2" s="14"/>
      <c r="CHT2" s="14"/>
      <c r="CHU2" s="14"/>
      <c r="CHV2" s="14"/>
      <c r="CHW2" s="14"/>
      <c r="CHX2" s="14"/>
      <c r="CHY2" s="14"/>
      <c r="CHZ2" s="14"/>
      <c r="CIA2" s="14"/>
      <c r="CIB2" s="14"/>
      <c r="CIC2" s="14"/>
      <c r="CID2" s="14"/>
      <c r="CIE2" s="14"/>
      <c r="CIF2" s="14"/>
      <c r="CIG2" s="14"/>
      <c r="CIH2" s="14"/>
      <c r="CII2" s="14"/>
      <c r="CIJ2" s="14"/>
      <c r="CIK2" s="14"/>
      <c r="CIL2" s="14"/>
      <c r="CIM2" s="14"/>
      <c r="CIN2" s="14"/>
      <c r="CIO2" s="14"/>
      <c r="CIP2" s="14"/>
      <c r="CIQ2" s="14"/>
      <c r="CIR2" s="14"/>
      <c r="CIS2" s="14"/>
      <c r="CIT2" s="14"/>
      <c r="CIU2" s="14"/>
      <c r="CIV2" s="14"/>
      <c r="CIW2" s="14"/>
      <c r="CIX2" s="14"/>
      <c r="CIY2" s="14"/>
      <c r="CIZ2" s="14"/>
      <c r="CJA2" s="14"/>
      <c r="CJB2" s="14"/>
      <c r="CJC2" s="14"/>
      <c r="CJD2" s="14"/>
      <c r="CJE2" s="14"/>
      <c r="CJF2" s="14"/>
      <c r="CJG2" s="14"/>
      <c r="CJH2" s="14"/>
      <c r="CJI2" s="14"/>
      <c r="CJJ2" s="14"/>
      <c r="CJK2" s="14"/>
      <c r="CJL2" s="14"/>
      <c r="CJM2" s="14"/>
      <c r="CJN2" s="14"/>
      <c r="CJO2" s="14"/>
      <c r="CJP2" s="14"/>
      <c r="CJQ2" s="14"/>
      <c r="CJR2" s="14"/>
      <c r="CJS2" s="14"/>
      <c r="CJT2" s="14"/>
      <c r="CJU2" s="14"/>
      <c r="CJV2" s="14"/>
      <c r="CJW2" s="14"/>
      <c r="CJX2" s="14"/>
      <c r="CJY2" s="14"/>
      <c r="CJZ2" s="14"/>
      <c r="CKA2" s="14"/>
      <c r="CKB2" s="14"/>
      <c r="CKC2" s="14"/>
      <c r="CKD2" s="14"/>
      <c r="CKE2" s="14"/>
      <c r="CKF2" s="14"/>
      <c r="CKG2" s="14"/>
      <c r="CKH2" s="14"/>
      <c r="CKI2" s="14"/>
      <c r="CKJ2" s="14"/>
      <c r="CKK2" s="14"/>
      <c r="CKL2" s="14"/>
      <c r="CKM2" s="14"/>
      <c r="CKN2" s="14"/>
      <c r="CKO2" s="14"/>
      <c r="CKP2" s="14"/>
      <c r="CKQ2" s="14"/>
      <c r="CKR2" s="14"/>
      <c r="CKS2" s="14"/>
      <c r="CKT2" s="14"/>
      <c r="CKU2" s="14"/>
      <c r="CKV2" s="14"/>
      <c r="CKW2" s="14"/>
      <c r="CKX2" s="14"/>
      <c r="CKY2" s="14"/>
      <c r="CKZ2" s="14"/>
      <c r="CLA2" s="14"/>
      <c r="CLB2" s="14"/>
      <c r="CLC2" s="14"/>
      <c r="CLD2" s="14"/>
      <c r="CLE2" s="14"/>
      <c r="CLF2" s="14"/>
      <c r="CLG2" s="14"/>
      <c r="CLH2" s="14"/>
      <c r="CLI2" s="14"/>
      <c r="CLJ2" s="14"/>
      <c r="CLK2" s="14"/>
      <c r="CLL2" s="14"/>
      <c r="CLM2" s="14"/>
      <c r="CLN2" s="14"/>
      <c r="CLO2" s="14"/>
      <c r="CLP2" s="14"/>
      <c r="CLQ2" s="14"/>
      <c r="CLR2" s="14"/>
      <c r="CLS2" s="14"/>
      <c r="CLT2" s="14"/>
      <c r="CLU2" s="14"/>
      <c r="CLV2" s="14"/>
      <c r="CLW2" s="14"/>
      <c r="CLX2" s="14"/>
      <c r="CLY2" s="14"/>
      <c r="CLZ2" s="14"/>
      <c r="CMA2" s="14"/>
      <c r="CMB2" s="14"/>
      <c r="CMC2" s="14"/>
      <c r="CMD2" s="14"/>
      <c r="CME2" s="14"/>
      <c r="CMF2" s="14"/>
      <c r="CMG2" s="14"/>
      <c r="CMH2" s="14"/>
      <c r="CMI2" s="14"/>
      <c r="CMJ2" s="14"/>
      <c r="CMK2" s="14"/>
      <c r="CML2" s="14"/>
      <c r="CMM2" s="14"/>
      <c r="CMN2" s="14"/>
      <c r="CMO2" s="14"/>
      <c r="CMP2" s="14"/>
      <c r="CMQ2" s="14"/>
      <c r="CMR2" s="14"/>
      <c r="CMS2" s="14"/>
      <c r="CMT2" s="14"/>
      <c r="CMU2" s="14"/>
      <c r="CMV2" s="14"/>
      <c r="CMW2" s="14"/>
      <c r="CMX2" s="14"/>
      <c r="CMY2" s="14"/>
      <c r="CMZ2" s="14"/>
      <c r="CNA2" s="14"/>
      <c r="CNB2" s="14"/>
      <c r="CNC2" s="14"/>
      <c r="CND2" s="14"/>
      <c r="CNE2" s="14"/>
      <c r="CNF2" s="14"/>
      <c r="CNG2" s="14"/>
      <c r="CNH2" s="14"/>
      <c r="CNI2" s="14"/>
      <c r="CNJ2" s="14"/>
      <c r="CNK2" s="14"/>
      <c r="CNL2" s="14"/>
      <c r="CNM2" s="14"/>
      <c r="CNN2" s="14"/>
      <c r="CNO2" s="14"/>
      <c r="CNP2" s="14"/>
      <c r="CNQ2" s="14"/>
      <c r="CNR2" s="14"/>
      <c r="CNS2" s="14"/>
      <c r="CNT2" s="14"/>
      <c r="CNU2" s="14"/>
      <c r="CNV2" s="14"/>
      <c r="CNW2" s="14"/>
      <c r="CNX2" s="14"/>
      <c r="CNY2" s="14"/>
      <c r="CNZ2" s="14"/>
      <c r="COA2" s="14"/>
      <c r="COB2" s="14"/>
      <c r="COC2" s="14"/>
      <c r="COD2" s="14"/>
      <c r="COE2" s="14"/>
      <c r="COF2" s="14"/>
      <c r="COG2" s="14"/>
      <c r="COH2" s="14"/>
      <c r="COI2" s="14"/>
      <c r="COJ2" s="14"/>
      <c r="COK2" s="14"/>
      <c r="COL2" s="14"/>
      <c r="COM2" s="14"/>
      <c r="CON2" s="14"/>
      <c r="COO2" s="14"/>
      <c r="COP2" s="14"/>
      <c r="COQ2" s="14"/>
      <c r="COR2" s="14"/>
      <c r="COS2" s="14"/>
      <c r="COT2" s="14"/>
      <c r="COU2" s="14"/>
      <c r="COV2" s="14"/>
      <c r="COW2" s="14"/>
      <c r="COX2" s="14"/>
      <c r="COY2" s="14"/>
      <c r="COZ2" s="14"/>
      <c r="CPA2" s="14"/>
      <c r="CPB2" s="14"/>
      <c r="CPC2" s="14"/>
      <c r="CPD2" s="14"/>
      <c r="CPE2" s="14"/>
      <c r="CPF2" s="14"/>
      <c r="CPG2" s="14"/>
      <c r="CPH2" s="14"/>
      <c r="CPI2" s="14"/>
      <c r="CPJ2" s="14"/>
      <c r="CPK2" s="14"/>
      <c r="CPL2" s="14"/>
      <c r="CPM2" s="14"/>
      <c r="CPN2" s="14"/>
      <c r="CPO2" s="14"/>
      <c r="CPP2" s="14"/>
      <c r="CPQ2" s="14"/>
      <c r="CPR2" s="14"/>
      <c r="CPS2" s="14"/>
      <c r="CPT2" s="14"/>
      <c r="CPU2" s="14"/>
      <c r="CPV2" s="14"/>
      <c r="CPW2" s="14"/>
      <c r="CPX2" s="14"/>
      <c r="CPY2" s="14"/>
      <c r="CPZ2" s="14"/>
      <c r="CQA2" s="14"/>
      <c r="CQB2" s="14"/>
      <c r="CQC2" s="14"/>
      <c r="CQD2" s="14"/>
      <c r="CQE2" s="14"/>
      <c r="CQF2" s="14"/>
      <c r="CQG2" s="14"/>
      <c r="CQH2" s="14"/>
      <c r="CQI2" s="14"/>
      <c r="CQJ2" s="14"/>
      <c r="CQK2" s="14"/>
      <c r="CQL2" s="14"/>
      <c r="CQM2" s="14"/>
      <c r="CQN2" s="14"/>
      <c r="CQO2" s="14"/>
      <c r="CQP2" s="14"/>
      <c r="CQQ2" s="14"/>
      <c r="CQR2" s="14"/>
      <c r="CQS2" s="14"/>
      <c r="CQT2" s="14"/>
      <c r="CQU2" s="14"/>
      <c r="CQV2" s="14"/>
      <c r="CQW2" s="14"/>
      <c r="CQX2" s="14"/>
      <c r="CQY2" s="14"/>
      <c r="CQZ2" s="14"/>
      <c r="CRA2" s="14"/>
      <c r="CRB2" s="14"/>
      <c r="CRC2" s="14"/>
      <c r="CRD2" s="14"/>
      <c r="CRE2" s="14"/>
      <c r="CRF2" s="14"/>
      <c r="CRG2" s="14"/>
      <c r="CRH2" s="14"/>
      <c r="CRI2" s="14"/>
      <c r="CRJ2" s="14"/>
      <c r="CRK2" s="14"/>
      <c r="CRL2" s="14"/>
      <c r="CRM2" s="14"/>
      <c r="CRN2" s="14"/>
      <c r="CRO2" s="14"/>
      <c r="CRP2" s="14"/>
      <c r="CRQ2" s="14"/>
      <c r="CRR2" s="14"/>
      <c r="CRS2" s="14"/>
      <c r="CRT2" s="14"/>
      <c r="CRU2" s="14"/>
      <c r="CRV2" s="14"/>
      <c r="CRW2" s="14"/>
      <c r="CRX2" s="14"/>
      <c r="CRY2" s="14"/>
      <c r="CRZ2" s="14"/>
      <c r="CSA2" s="14"/>
      <c r="CSB2" s="14"/>
      <c r="CSC2" s="14"/>
      <c r="CSD2" s="14"/>
      <c r="CSE2" s="14"/>
      <c r="CSF2" s="14"/>
      <c r="CSG2" s="14"/>
      <c r="CSH2" s="14"/>
      <c r="CSI2" s="14"/>
      <c r="CSJ2" s="14"/>
      <c r="CSK2" s="14"/>
      <c r="CSL2" s="14"/>
      <c r="CSM2" s="14"/>
      <c r="CSN2" s="14"/>
      <c r="CSO2" s="14"/>
      <c r="CSP2" s="14"/>
      <c r="CSQ2" s="14"/>
      <c r="CSR2" s="14"/>
      <c r="CSS2" s="14"/>
      <c r="CST2" s="14"/>
      <c r="CSU2" s="14"/>
      <c r="CSV2" s="14"/>
      <c r="CSW2" s="14"/>
      <c r="CSX2" s="14"/>
      <c r="CSY2" s="14"/>
      <c r="CSZ2" s="14"/>
      <c r="CTA2" s="14"/>
      <c r="CTB2" s="14"/>
      <c r="CTC2" s="14"/>
      <c r="CTD2" s="14"/>
      <c r="CTE2" s="14"/>
      <c r="CTF2" s="14"/>
      <c r="CTG2" s="14"/>
      <c r="CTH2" s="14"/>
      <c r="CTI2" s="14"/>
      <c r="CTJ2" s="14"/>
      <c r="CTK2" s="14"/>
      <c r="CTL2" s="14"/>
      <c r="CTM2" s="14"/>
      <c r="CTN2" s="14"/>
      <c r="CTO2" s="14"/>
      <c r="CTP2" s="14"/>
      <c r="CTQ2" s="14"/>
      <c r="CTR2" s="14"/>
      <c r="CTS2" s="14"/>
      <c r="CTT2" s="14"/>
      <c r="CTU2" s="14"/>
      <c r="CTV2" s="14"/>
      <c r="CTW2" s="14"/>
      <c r="CTX2" s="14"/>
      <c r="CTY2" s="14"/>
      <c r="CTZ2" s="14"/>
      <c r="CUA2" s="14"/>
      <c r="CUB2" s="14"/>
      <c r="CUC2" s="14"/>
      <c r="CUD2" s="14"/>
      <c r="CUE2" s="14"/>
      <c r="CUF2" s="14"/>
      <c r="CUG2" s="14"/>
      <c r="CUH2" s="14"/>
      <c r="CUI2" s="14"/>
      <c r="CUJ2" s="14"/>
      <c r="CUK2" s="14"/>
      <c r="CUL2" s="14"/>
      <c r="CUM2" s="14"/>
      <c r="CUN2" s="14"/>
      <c r="CUO2" s="14"/>
      <c r="CUP2" s="14"/>
      <c r="CUQ2" s="14"/>
      <c r="CUR2" s="14"/>
      <c r="CUS2" s="14"/>
      <c r="CUT2" s="14"/>
      <c r="CUU2" s="14"/>
      <c r="CUV2" s="14"/>
      <c r="CUW2" s="14"/>
      <c r="CUX2" s="14"/>
      <c r="CUY2" s="14"/>
      <c r="CUZ2" s="14"/>
      <c r="CVA2" s="14"/>
      <c r="CVB2" s="14"/>
      <c r="CVC2" s="14"/>
      <c r="CVD2" s="14"/>
      <c r="CVE2" s="14"/>
      <c r="CVF2" s="14"/>
      <c r="CVG2" s="14"/>
      <c r="CVH2" s="14"/>
      <c r="CVI2" s="14"/>
      <c r="CVJ2" s="14"/>
      <c r="CVK2" s="14"/>
      <c r="CVL2" s="14"/>
      <c r="CVM2" s="14"/>
      <c r="CVN2" s="14"/>
      <c r="CVO2" s="14"/>
      <c r="CVP2" s="14"/>
      <c r="CVQ2" s="14"/>
      <c r="CVR2" s="14"/>
      <c r="CVS2" s="14"/>
      <c r="CVT2" s="14"/>
      <c r="CVU2" s="14"/>
      <c r="CVV2" s="14"/>
      <c r="CVW2" s="14"/>
      <c r="CVX2" s="14"/>
      <c r="CVY2" s="14"/>
      <c r="CVZ2" s="14"/>
      <c r="CWA2" s="14"/>
      <c r="CWB2" s="14"/>
      <c r="CWC2" s="14"/>
      <c r="CWD2" s="14"/>
      <c r="CWE2" s="14"/>
      <c r="CWF2" s="14"/>
      <c r="CWG2" s="14"/>
      <c r="CWH2" s="14"/>
      <c r="CWI2" s="14"/>
      <c r="CWJ2" s="14"/>
      <c r="CWK2" s="14"/>
      <c r="CWL2" s="14"/>
      <c r="CWM2" s="14"/>
      <c r="CWN2" s="14"/>
      <c r="CWO2" s="14"/>
      <c r="CWP2" s="14"/>
      <c r="CWQ2" s="14"/>
      <c r="CWR2" s="14"/>
      <c r="CWS2" s="14"/>
      <c r="CWT2" s="14"/>
      <c r="CWU2" s="14"/>
      <c r="CWV2" s="14"/>
      <c r="CWW2" s="14"/>
      <c r="CWX2" s="14"/>
      <c r="CWY2" s="14"/>
      <c r="CWZ2" s="14"/>
      <c r="CXA2" s="14"/>
      <c r="CXB2" s="14"/>
      <c r="CXC2" s="14"/>
      <c r="CXD2" s="14"/>
      <c r="CXE2" s="14"/>
      <c r="CXF2" s="14"/>
      <c r="CXG2" s="14"/>
      <c r="CXH2" s="14"/>
      <c r="CXI2" s="14"/>
      <c r="CXJ2" s="14"/>
      <c r="CXK2" s="14"/>
      <c r="CXL2" s="14"/>
      <c r="CXM2" s="14"/>
      <c r="CXN2" s="14"/>
      <c r="CXO2" s="14"/>
      <c r="CXP2" s="14"/>
      <c r="CXQ2" s="14"/>
      <c r="CXR2" s="14"/>
      <c r="CXS2" s="14"/>
      <c r="CXT2" s="14"/>
      <c r="CXU2" s="14"/>
      <c r="CXV2" s="14"/>
      <c r="CXW2" s="14"/>
      <c r="CXX2" s="14"/>
      <c r="CXY2" s="14"/>
      <c r="CXZ2" s="14"/>
      <c r="CYA2" s="14"/>
      <c r="CYB2" s="14"/>
      <c r="CYC2" s="14"/>
      <c r="CYD2" s="14"/>
      <c r="CYE2" s="14"/>
      <c r="CYF2" s="14"/>
      <c r="CYG2" s="14"/>
      <c r="CYH2" s="14"/>
      <c r="CYI2" s="14"/>
      <c r="CYJ2" s="14"/>
      <c r="CYK2" s="14"/>
      <c r="CYL2" s="14"/>
      <c r="CYM2" s="14"/>
      <c r="CYN2" s="14"/>
      <c r="CYO2" s="14"/>
      <c r="CYP2" s="14"/>
      <c r="CYQ2" s="14"/>
      <c r="CYR2" s="14"/>
      <c r="CYS2" s="14"/>
      <c r="CYT2" s="14"/>
      <c r="CYU2" s="14"/>
      <c r="CYV2" s="14"/>
      <c r="CYW2" s="14"/>
      <c r="CYX2" s="14"/>
      <c r="CYY2" s="14"/>
      <c r="CYZ2" s="14"/>
      <c r="CZA2" s="14"/>
      <c r="CZB2" s="14"/>
      <c r="CZC2" s="14"/>
      <c r="CZD2" s="14"/>
      <c r="CZE2" s="14"/>
      <c r="CZF2" s="14"/>
      <c r="CZG2" s="14"/>
      <c r="CZH2" s="14"/>
      <c r="CZI2" s="14"/>
      <c r="CZJ2" s="14"/>
      <c r="CZK2" s="14"/>
      <c r="CZL2" s="14"/>
      <c r="CZM2" s="14"/>
      <c r="CZN2" s="14"/>
      <c r="CZO2" s="14"/>
      <c r="CZP2" s="14"/>
      <c r="CZQ2" s="14"/>
      <c r="CZR2" s="14"/>
      <c r="CZS2" s="14"/>
      <c r="CZT2" s="14"/>
      <c r="CZU2" s="14"/>
      <c r="CZV2" s="14"/>
      <c r="CZW2" s="14"/>
      <c r="CZX2" s="14"/>
      <c r="CZY2" s="14"/>
      <c r="CZZ2" s="14"/>
      <c r="DAA2" s="14"/>
      <c r="DAB2" s="14"/>
      <c r="DAC2" s="14"/>
      <c r="DAD2" s="14"/>
      <c r="DAE2" s="14"/>
      <c r="DAF2" s="14"/>
      <c r="DAG2" s="14"/>
      <c r="DAH2" s="14"/>
      <c r="DAI2" s="14"/>
      <c r="DAJ2" s="14"/>
      <c r="DAK2" s="14"/>
      <c r="DAL2" s="14"/>
      <c r="DAM2" s="14"/>
      <c r="DAN2" s="14"/>
      <c r="DAO2" s="14"/>
      <c r="DAP2" s="14"/>
      <c r="DAQ2" s="14"/>
      <c r="DAR2" s="14"/>
      <c r="DAS2" s="14"/>
      <c r="DAT2" s="14"/>
      <c r="DAU2" s="14"/>
      <c r="DAV2" s="14"/>
      <c r="DAW2" s="14"/>
      <c r="DAX2" s="14"/>
      <c r="DAY2" s="14"/>
      <c r="DAZ2" s="14"/>
      <c r="DBA2" s="14"/>
      <c r="DBB2" s="14"/>
      <c r="DBC2" s="14"/>
      <c r="DBD2" s="14"/>
      <c r="DBE2" s="14"/>
      <c r="DBF2" s="14"/>
      <c r="DBG2" s="14"/>
      <c r="DBH2" s="14"/>
      <c r="DBI2" s="14"/>
      <c r="DBJ2" s="14"/>
      <c r="DBK2" s="14"/>
      <c r="DBL2" s="14"/>
      <c r="DBM2" s="14"/>
      <c r="DBN2" s="14"/>
      <c r="DBO2" s="14"/>
      <c r="DBP2" s="14"/>
      <c r="DBQ2" s="14"/>
      <c r="DBR2" s="14"/>
      <c r="DBS2" s="14"/>
      <c r="DBT2" s="14"/>
      <c r="DBU2" s="14"/>
      <c r="DBV2" s="14"/>
      <c r="DBW2" s="14"/>
      <c r="DBX2" s="14"/>
      <c r="DBY2" s="14"/>
      <c r="DBZ2" s="14"/>
      <c r="DCA2" s="14"/>
      <c r="DCB2" s="14"/>
      <c r="DCC2" s="14"/>
      <c r="DCD2" s="14"/>
      <c r="DCE2" s="14"/>
      <c r="DCF2" s="14"/>
      <c r="DCG2" s="14"/>
      <c r="DCH2" s="14"/>
      <c r="DCI2" s="14"/>
      <c r="DCJ2" s="14"/>
      <c r="DCK2" s="14"/>
      <c r="DCL2" s="14"/>
      <c r="DCM2" s="14"/>
      <c r="DCN2" s="14"/>
      <c r="DCO2" s="14"/>
      <c r="DCP2" s="14"/>
      <c r="DCQ2" s="14"/>
      <c r="DCR2" s="14"/>
      <c r="DCS2" s="14"/>
      <c r="DCT2" s="14"/>
      <c r="DCU2" s="14"/>
      <c r="DCV2" s="14"/>
      <c r="DCW2" s="14"/>
      <c r="DCX2" s="14"/>
      <c r="DCY2" s="14"/>
      <c r="DCZ2" s="14"/>
      <c r="DDA2" s="14"/>
      <c r="DDB2" s="14"/>
      <c r="DDC2" s="14"/>
      <c r="DDD2" s="14"/>
      <c r="DDE2" s="14"/>
      <c r="DDF2" s="14"/>
      <c r="DDG2" s="14"/>
      <c r="DDH2" s="14"/>
      <c r="DDI2" s="14"/>
      <c r="DDJ2" s="14"/>
      <c r="DDK2" s="14"/>
      <c r="DDL2" s="14"/>
      <c r="DDM2" s="14"/>
      <c r="DDN2" s="14"/>
      <c r="DDO2" s="14"/>
      <c r="DDP2" s="14"/>
      <c r="DDQ2" s="14"/>
      <c r="DDR2" s="14"/>
      <c r="DDS2" s="14"/>
      <c r="DDT2" s="14"/>
      <c r="DDU2" s="14"/>
      <c r="DDV2" s="14"/>
      <c r="DDW2" s="14"/>
      <c r="DDX2" s="14"/>
      <c r="DDY2" s="14"/>
      <c r="DDZ2" s="14"/>
      <c r="DEA2" s="14"/>
      <c r="DEB2" s="14"/>
      <c r="DEC2" s="14"/>
      <c r="DED2" s="14"/>
      <c r="DEE2" s="14"/>
      <c r="DEF2" s="14"/>
      <c r="DEG2" s="14"/>
      <c r="DEH2" s="14"/>
      <c r="DEI2" s="14"/>
      <c r="DEJ2" s="14"/>
      <c r="DEK2" s="14"/>
      <c r="DEL2" s="14"/>
      <c r="DEM2" s="14"/>
      <c r="DEN2" s="14"/>
      <c r="DEO2" s="14"/>
      <c r="DEP2" s="14"/>
      <c r="DEQ2" s="14"/>
      <c r="DER2" s="14"/>
      <c r="DES2" s="14"/>
      <c r="DET2" s="14"/>
      <c r="DEU2" s="14"/>
      <c r="DEV2" s="14"/>
      <c r="DEW2" s="14"/>
      <c r="DEX2" s="14"/>
      <c r="DEY2" s="14"/>
      <c r="DEZ2" s="14"/>
      <c r="DFA2" s="14"/>
      <c r="DFB2" s="14"/>
      <c r="DFC2" s="14"/>
      <c r="DFD2" s="14"/>
      <c r="DFE2" s="14"/>
      <c r="DFF2" s="14"/>
      <c r="DFG2" s="14"/>
      <c r="DFH2" s="14"/>
      <c r="DFI2" s="14"/>
      <c r="DFJ2" s="14"/>
      <c r="DFK2" s="14"/>
      <c r="DFL2" s="14"/>
      <c r="DFM2" s="14"/>
      <c r="DFN2" s="14"/>
      <c r="DFO2" s="14"/>
      <c r="DFP2" s="14"/>
      <c r="DFQ2" s="14"/>
      <c r="DFR2" s="14"/>
      <c r="DFS2" s="14"/>
      <c r="DFT2" s="14"/>
      <c r="DFU2" s="14"/>
      <c r="DFV2" s="14"/>
      <c r="DFW2" s="14"/>
      <c r="DFX2" s="14"/>
      <c r="DFY2" s="14"/>
      <c r="DFZ2" s="14"/>
      <c r="DGA2" s="14"/>
      <c r="DGB2" s="14"/>
      <c r="DGC2" s="14"/>
      <c r="DGD2" s="14"/>
      <c r="DGE2" s="14"/>
      <c r="DGF2" s="14"/>
      <c r="DGG2" s="14"/>
      <c r="DGH2" s="14"/>
      <c r="DGI2" s="14"/>
      <c r="DGJ2" s="14"/>
      <c r="DGK2" s="14"/>
      <c r="DGL2" s="14"/>
      <c r="DGM2" s="14"/>
      <c r="DGN2" s="14"/>
      <c r="DGO2" s="14"/>
      <c r="DGP2" s="14"/>
      <c r="DGQ2" s="14"/>
      <c r="DGR2" s="14"/>
      <c r="DGS2" s="14"/>
      <c r="DGT2" s="14"/>
      <c r="DGU2" s="14"/>
      <c r="DGV2" s="14"/>
      <c r="DGW2" s="14"/>
      <c r="DGX2" s="14"/>
      <c r="DGY2" s="14"/>
      <c r="DGZ2" s="14"/>
      <c r="DHA2" s="14"/>
      <c r="DHB2" s="14"/>
      <c r="DHC2" s="14"/>
      <c r="DHD2" s="14"/>
      <c r="DHE2" s="14"/>
      <c r="DHF2" s="14"/>
      <c r="DHG2" s="14"/>
      <c r="DHH2" s="14"/>
      <c r="DHI2" s="14"/>
      <c r="DHJ2" s="14"/>
      <c r="DHK2" s="14"/>
      <c r="DHL2" s="14"/>
      <c r="DHM2" s="14"/>
      <c r="DHN2" s="14"/>
      <c r="DHO2" s="14"/>
      <c r="DHP2" s="14"/>
      <c r="DHQ2" s="14"/>
      <c r="DHR2" s="14"/>
      <c r="DHS2" s="14"/>
      <c r="DHT2" s="14"/>
      <c r="DHU2" s="14"/>
      <c r="DHV2" s="14"/>
      <c r="DHW2" s="14"/>
      <c r="DHX2" s="14"/>
      <c r="DHY2" s="14"/>
      <c r="DHZ2" s="14"/>
      <c r="DIA2" s="14"/>
      <c r="DIB2" s="14"/>
      <c r="DIC2" s="14"/>
      <c r="DID2" s="14"/>
      <c r="DIE2" s="14"/>
      <c r="DIF2" s="14"/>
      <c r="DIG2" s="14"/>
      <c r="DIH2" s="14"/>
      <c r="DII2" s="14"/>
      <c r="DIJ2" s="14"/>
      <c r="DIK2" s="14"/>
      <c r="DIL2" s="14"/>
      <c r="DIM2" s="14"/>
      <c r="DIN2" s="14"/>
      <c r="DIO2" s="14"/>
      <c r="DIP2" s="14"/>
      <c r="DIQ2" s="14"/>
      <c r="DIR2" s="14"/>
      <c r="DIS2" s="14"/>
      <c r="DIT2" s="14"/>
      <c r="DIU2" s="14"/>
      <c r="DIV2" s="14"/>
      <c r="DIW2" s="14"/>
      <c r="DIX2" s="14"/>
      <c r="DIY2" s="14"/>
      <c r="DIZ2" s="14"/>
      <c r="DJA2" s="14"/>
      <c r="DJB2" s="14"/>
      <c r="DJC2" s="14"/>
      <c r="DJD2" s="14"/>
      <c r="DJE2" s="14"/>
      <c r="DJF2" s="14"/>
      <c r="DJG2" s="14"/>
      <c r="DJH2" s="14"/>
      <c r="DJI2" s="14"/>
      <c r="DJJ2" s="14"/>
      <c r="DJK2" s="14"/>
      <c r="DJL2" s="14"/>
      <c r="DJM2" s="14"/>
      <c r="DJN2" s="14"/>
      <c r="DJO2" s="14"/>
      <c r="DJP2" s="14"/>
      <c r="DJQ2" s="14"/>
      <c r="DJR2" s="14"/>
      <c r="DJS2" s="14"/>
      <c r="DJT2" s="14"/>
      <c r="DJU2" s="14"/>
      <c r="DJV2" s="14"/>
      <c r="DJW2" s="14"/>
      <c r="DJX2" s="14"/>
      <c r="DJY2" s="14"/>
      <c r="DJZ2" s="14"/>
      <c r="DKA2" s="14"/>
      <c r="DKB2" s="14"/>
      <c r="DKC2" s="14"/>
      <c r="DKD2" s="14"/>
      <c r="DKE2" s="14"/>
      <c r="DKF2" s="14"/>
      <c r="DKG2" s="14"/>
      <c r="DKH2" s="14"/>
      <c r="DKI2" s="14"/>
      <c r="DKJ2" s="14"/>
      <c r="DKK2" s="14"/>
      <c r="DKL2" s="14"/>
      <c r="DKM2" s="14"/>
      <c r="DKN2" s="14"/>
      <c r="DKO2" s="14"/>
      <c r="DKP2" s="14"/>
      <c r="DKQ2" s="14"/>
      <c r="DKR2" s="14"/>
      <c r="DKS2" s="14"/>
      <c r="DKT2" s="14"/>
      <c r="DKU2" s="14"/>
      <c r="DKV2" s="14"/>
      <c r="DKW2" s="14"/>
      <c r="DKX2" s="14"/>
      <c r="DKY2" s="14"/>
      <c r="DKZ2" s="14"/>
      <c r="DLA2" s="14"/>
      <c r="DLB2" s="14"/>
      <c r="DLC2" s="14"/>
      <c r="DLD2" s="14"/>
      <c r="DLE2" s="14"/>
      <c r="DLF2" s="14"/>
      <c r="DLG2" s="14"/>
      <c r="DLH2" s="14"/>
      <c r="DLI2" s="14"/>
      <c r="DLJ2" s="14"/>
      <c r="DLK2" s="14"/>
      <c r="DLL2" s="14"/>
      <c r="DLM2" s="14"/>
      <c r="DLN2" s="14"/>
      <c r="DLO2" s="14"/>
      <c r="DLP2" s="14"/>
      <c r="DLQ2" s="14"/>
      <c r="DLR2" s="14"/>
      <c r="DLS2" s="14"/>
      <c r="DLT2" s="14"/>
      <c r="DLU2" s="14"/>
      <c r="DLV2" s="14"/>
      <c r="DLW2" s="14"/>
      <c r="DLX2" s="14"/>
      <c r="DLY2" s="14"/>
      <c r="DLZ2" s="14"/>
      <c r="DMA2" s="14"/>
      <c r="DMB2" s="14"/>
      <c r="DMC2" s="14"/>
      <c r="DMD2" s="14"/>
      <c r="DME2" s="14"/>
      <c r="DMF2" s="14"/>
      <c r="DMG2" s="14"/>
      <c r="DMH2" s="14"/>
      <c r="DMI2" s="14"/>
      <c r="DMJ2" s="14"/>
      <c r="DMK2" s="14"/>
      <c r="DML2" s="14"/>
      <c r="DMM2" s="14"/>
      <c r="DMN2" s="14"/>
      <c r="DMO2" s="14"/>
      <c r="DMP2" s="14"/>
      <c r="DMQ2" s="14"/>
      <c r="DMR2" s="14"/>
      <c r="DMS2" s="14"/>
      <c r="DMT2" s="14"/>
      <c r="DMU2" s="14"/>
      <c r="DMV2" s="14"/>
      <c r="DMW2" s="14"/>
      <c r="DMX2" s="14"/>
      <c r="DMY2" s="14"/>
      <c r="DMZ2" s="14"/>
      <c r="DNA2" s="14"/>
      <c r="DNB2" s="14"/>
      <c r="DNC2" s="14"/>
      <c r="DND2" s="14"/>
      <c r="DNE2" s="14"/>
      <c r="DNF2" s="14"/>
      <c r="DNG2" s="14"/>
      <c r="DNH2" s="14"/>
      <c r="DNI2" s="14"/>
      <c r="DNJ2" s="14"/>
      <c r="DNK2" s="14"/>
      <c r="DNL2" s="14"/>
      <c r="DNM2" s="14"/>
      <c r="DNN2" s="14"/>
      <c r="DNO2" s="14"/>
      <c r="DNP2" s="14"/>
      <c r="DNQ2" s="14"/>
      <c r="DNR2" s="14"/>
      <c r="DNS2" s="14"/>
      <c r="DNT2" s="14"/>
      <c r="DNU2" s="14"/>
      <c r="DNV2" s="14"/>
      <c r="DNW2" s="14"/>
      <c r="DNX2" s="14"/>
      <c r="DNY2" s="14"/>
      <c r="DNZ2" s="14"/>
      <c r="DOA2" s="14"/>
      <c r="DOB2" s="14"/>
      <c r="DOC2" s="14"/>
      <c r="DOD2" s="14"/>
      <c r="DOE2" s="14"/>
      <c r="DOF2" s="14"/>
      <c r="DOG2" s="14"/>
      <c r="DOH2" s="14"/>
      <c r="DOI2" s="14"/>
      <c r="DOJ2" s="14"/>
      <c r="DOK2" s="14"/>
      <c r="DOL2" s="14"/>
      <c r="DOM2" s="14"/>
      <c r="DON2" s="14"/>
      <c r="DOO2" s="14"/>
      <c r="DOP2" s="14"/>
      <c r="DOQ2" s="14"/>
      <c r="DOR2" s="14"/>
      <c r="DOS2" s="14"/>
      <c r="DOT2" s="14"/>
      <c r="DOU2" s="14"/>
      <c r="DOV2" s="14"/>
      <c r="DOW2" s="14"/>
      <c r="DOX2" s="14"/>
      <c r="DOY2" s="14"/>
      <c r="DOZ2" s="14"/>
      <c r="DPA2" s="14"/>
      <c r="DPB2" s="14"/>
      <c r="DPC2" s="14"/>
      <c r="DPD2" s="14"/>
      <c r="DPE2" s="14"/>
      <c r="DPF2" s="14"/>
      <c r="DPG2" s="14"/>
      <c r="DPH2" s="14"/>
      <c r="DPI2" s="14"/>
      <c r="DPJ2" s="14"/>
      <c r="DPK2" s="14"/>
      <c r="DPL2" s="14"/>
      <c r="DPM2" s="14"/>
      <c r="DPN2" s="14"/>
      <c r="DPO2" s="14"/>
      <c r="DPP2" s="14"/>
      <c r="DPQ2" s="14"/>
      <c r="DPR2" s="14"/>
      <c r="DPS2" s="14"/>
      <c r="DPT2" s="14"/>
      <c r="DPU2" s="14"/>
      <c r="DPV2" s="14"/>
      <c r="DPW2" s="14"/>
      <c r="DPX2" s="14"/>
      <c r="DPY2" s="14"/>
      <c r="DPZ2" s="14"/>
      <c r="DQA2" s="14"/>
      <c r="DQB2" s="14"/>
      <c r="DQC2" s="14"/>
      <c r="DQD2" s="14"/>
      <c r="DQE2" s="14"/>
      <c r="DQF2" s="14"/>
      <c r="DQG2" s="14"/>
      <c r="DQH2" s="14"/>
      <c r="DQI2" s="14"/>
      <c r="DQJ2" s="14"/>
      <c r="DQK2" s="14"/>
      <c r="DQL2" s="14"/>
      <c r="DQM2" s="14"/>
      <c r="DQN2" s="14"/>
      <c r="DQO2" s="14"/>
      <c r="DQP2" s="14"/>
      <c r="DQQ2" s="14"/>
      <c r="DQR2" s="14"/>
      <c r="DQS2" s="14"/>
      <c r="DQT2" s="14"/>
      <c r="DQU2" s="14"/>
      <c r="DQV2" s="14"/>
      <c r="DQW2" s="14"/>
      <c r="DQX2" s="14"/>
      <c r="DQY2" s="14"/>
      <c r="DQZ2" s="14"/>
      <c r="DRA2" s="14"/>
      <c r="DRB2" s="14"/>
      <c r="DRC2" s="14"/>
      <c r="DRD2" s="14"/>
      <c r="DRE2" s="14"/>
      <c r="DRF2" s="14"/>
      <c r="DRG2" s="14"/>
      <c r="DRH2" s="14"/>
      <c r="DRI2" s="14"/>
      <c r="DRJ2" s="14"/>
      <c r="DRK2" s="14"/>
      <c r="DRL2" s="14"/>
      <c r="DRM2" s="14"/>
      <c r="DRN2" s="14"/>
      <c r="DRO2" s="14"/>
      <c r="DRP2" s="14"/>
      <c r="DRQ2" s="14"/>
      <c r="DRR2" s="14"/>
      <c r="DRS2" s="14"/>
      <c r="DRT2" s="14"/>
      <c r="DRU2" s="14"/>
      <c r="DRV2" s="14"/>
      <c r="DRW2" s="14"/>
      <c r="DRX2" s="14"/>
      <c r="DRY2" s="14"/>
      <c r="DRZ2" s="14"/>
      <c r="DSA2" s="14"/>
      <c r="DSB2" s="14"/>
      <c r="DSC2" s="14"/>
      <c r="DSD2" s="14"/>
      <c r="DSE2" s="14"/>
      <c r="DSF2" s="14"/>
      <c r="DSG2" s="14"/>
      <c r="DSH2" s="14"/>
      <c r="DSI2" s="14"/>
      <c r="DSJ2" s="14"/>
      <c r="DSK2" s="14"/>
      <c r="DSL2" s="14"/>
      <c r="DSM2" s="14"/>
      <c r="DSN2" s="14"/>
      <c r="DSO2" s="14"/>
      <c r="DSP2" s="14"/>
      <c r="DSQ2" s="14"/>
      <c r="DSR2" s="14"/>
      <c r="DSS2" s="14"/>
      <c r="DST2" s="14"/>
      <c r="DSU2" s="14"/>
      <c r="DSV2" s="14"/>
      <c r="DSW2" s="14"/>
      <c r="DSX2" s="14"/>
      <c r="DSY2" s="14"/>
      <c r="DSZ2" s="14"/>
      <c r="DTA2" s="14"/>
      <c r="DTB2" s="14"/>
      <c r="DTC2" s="14"/>
      <c r="DTD2" s="14"/>
      <c r="DTE2" s="14"/>
      <c r="DTF2" s="14"/>
      <c r="DTG2" s="14"/>
      <c r="DTH2" s="14"/>
      <c r="DTI2" s="14"/>
      <c r="DTJ2" s="14"/>
      <c r="DTK2" s="14"/>
      <c r="DTL2" s="14"/>
      <c r="DTM2" s="14"/>
      <c r="DTN2" s="14"/>
      <c r="DTO2" s="14"/>
      <c r="DTP2" s="14"/>
      <c r="DTQ2" s="14"/>
      <c r="DTR2" s="14"/>
      <c r="DTS2" s="14"/>
      <c r="DTT2" s="14"/>
      <c r="DTU2" s="14"/>
      <c r="DTV2" s="14"/>
      <c r="DTW2" s="14"/>
      <c r="DTX2" s="14"/>
      <c r="DTY2" s="14"/>
      <c r="DTZ2" s="14"/>
      <c r="DUA2" s="14"/>
      <c r="DUB2" s="14"/>
      <c r="DUC2" s="14"/>
      <c r="DUD2" s="14"/>
      <c r="DUE2" s="14"/>
      <c r="DUF2" s="14"/>
      <c r="DUG2" s="14"/>
      <c r="DUH2" s="14"/>
      <c r="DUI2" s="14"/>
      <c r="DUJ2" s="14"/>
      <c r="DUK2" s="14"/>
      <c r="DUL2" s="14"/>
      <c r="DUM2" s="14"/>
      <c r="DUN2" s="14"/>
      <c r="DUO2" s="14"/>
      <c r="DUP2" s="14"/>
      <c r="DUQ2" s="14"/>
      <c r="DUR2" s="14"/>
      <c r="DUS2" s="14"/>
      <c r="DUT2" s="14"/>
      <c r="DUU2" s="14"/>
      <c r="DUV2" s="14"/>
      <c r="DUW2" s="14"/>
      <c r="DUX2" s="14"/>
      <c r="DUY2" s="14"/>
      <c r="DUZ2" s="14"/>
      <c r="DVA2" s="14"/>
      <c r="DVB2" s="14"/>
      <c r="DVC2" s="14"/>
      <c r="DVD2" s="14"/>
      <c r="DVE2" s="14"/>
      <c r="DVF2" s="14"/>
      <c r="DVG2" s="14"/>
      <c r="DVH2" s="14"/>
      <c r="DVI2" s="14"/>
      <c r="DVJ2" s="14"/>
      <c r="DVK2" s="14"/>
      <c r="DVL2" s="14"/>
      <c r="DVM2" s="14"/>
      <c r="DVN2" s="14"/>
      <c r="DVO2" s="14"/>
      <c r="DVP2" s="14"/>
      <c r="DVQ2" s="14"/>
      <c r="DVR2" s="14"/>
      <c r="DVS2" s="14"/>
      <c r="DVT2" s="14"/>
      <c r="DVU2" s="14"/>
      <c r="DVV2" s="14"/>
      <c r="DVW2" s="14"/>
      <c r="DVX2" s="14"/>
      <c r="DVY2" s="14"/>
      <c r="DVZ2" s="14"/>
      <c r="DWA2" s="14"/>
      <c r="DWB2" s="14"/>
      <c r="DWC2" s="14"/>
      <c r="DWD2" s="14"/>
      <c r="DWE2" s="14"/>
      <c r="DWF2" s="14"/>
      <c r="DWG2" s="14"/>
      <c r="DWH2" s="14"/>
      <c r="DWI2" s="14"/>
      <c r="DWJ2" s="14"/>
      <c r="DWK2" s="14"/>
      <c r="DWL2" s="14"/>
      <c r="DWM2" s="14"/>
      <c r="DWN2" s="14"/>
      <c r="DWO2" s="14"/>
      <c r="DWP2" s="14"/>
      <c r="DWQ2" s="14"/>
      <c r="DWR2" s="14"/>
      <c r="DWS2" s="14"/>
      <c r="DWT2" s="14"/>
      <c r="DWU2" s="14"/>
      <c r="DWV2" s="14"/>
      <c r="DWW2" s="14"/>
      <c r="DWX2" s="14"/>
      <c r="DWY2" s="14"/>
      <c r="DWZ2" s="14"/>
      <c r="DXA2" s="14"/>
      <c r="DXB2" s="14"/>
      <c r="DXC2" s="14"/>
      <c r="DXD2" s="14"/>
      <c r="DXE2" s="14"/>
      <c r="DXF2" s="14"/>
      <c r="DXG2" s="14"/>
      <c r="DXH2" s="14"/>
      <c r="DXI2" s="14"/>
      <c r="DXJ2" s="14"/>
      <c r="DXK2" s="14"/>
      <c r="DXL2" s="14"/>
      <c r="DXM2" s="14"/>
      <c r="DXN2" s="14"/>
      <c r="DXO2" s="14"/>
      <c r="DXP2" s="14"/>
      <c r="DXQ2" s="14"/>
      <c r="DXR2" s="14"/>
      <c r="DXS2" s="14"/>
      <c r="DXT2" s="14"/>
      <c r="DXU2" s="14"/>
      <c r="DXV2" s="14"/>
      <c r="DXW2" s="14"/>
      <c r="DXX2" s="14"/>
      <c r="DXY2" s="14"/>
      <c r="DXZ2" s="14"/>
      <c r="DYA2" s="14"/>
      <c r="DYB2" s="14"/>
      <c r="DYC2" s="14"/>
      <c r="DYD2" s="14"/>
      <c r="DYE2" s="14"/>
      <c r="DYF2" s="14"/>
      <c r="DYG2" s="14"/>
      <c r="DYH2" s="14"/>
      <c r="DYI2" s="14"/>
      <c r="DYJ2" s="14"/>
      <c r="DYK2" s="14"/>
      <c r="DYL2" s="14"/>
      <c r="DYM2" s="14"/>
      <c r="DYN2" s="14"/>
      <c r="DYO2" s="14"/>
      <c r="DYP2" s="14"/>
      <c r="DYQ2" s="14"/>
      <c r="DYR2" s="14"/>
      <c r="DYS2" s="14"/>
      <c r="DYT2" s="14"/>
      <c r="DYU2" s="14"/>
      <c r="DYV2" s="14"/>
      <c r="DYW2" s="14"/>
      <c r="DYX2" s="14"/>
      <c r="DYY2" s="14"/>
      <c r="DYZ2" s="14"/>
      <c r="DZA2" s="14"/>
      <c r="DZB2" s="14"/>
      <c r="DZC2" s="14"/>
      <c r="DZD2" s="14"/>
      <c r="DZE2" s="14"/>
      <c r="DZF2" s="14"/>
      <c r="DZG2" s="14"/>
      <c r="DZH2" s="14"/>
      <c r="DZI2" s="14"/>
      <c r="DZJ2" s="14"/>
      <c r="DZK2" s="14"/>
      <c r="DZL2" s="14"/>
      <c r="DZM2" s="14"/>
      <c r="DZN2" s="14"/>
      <c r="DZO2" s="14"/>
      <c r="DZP2" s="14"/>
      <c r="DZQ2" s="14"/>
      <c r="DZR2" s="14"/>
      <c r="DZS2" s="14"/>
      <c r="DZT2" s="14"/>
      <c r="DZU2" s="14"/>
      <c r="DZV2" s="14"/>
      <c r="DZW2" s="14"/>
      <c r="DZX2" s="14"/>
      <c r="DZY2" s="14"/>
      <c r="DZZ2" s="14"/>
      <c r="EAA2" s="14"/>
      <c r="EAB2" s="14"/>
      <c r="EAC2" s="14"/>
      <c r="EAD2" s="14"/>
      <c r="EAE2" s="14"/>
      <c r="EAF2" s="14"/>
      <c r="EAG2" s="14"/>
      <c r="EAH2" s="14"/>
      <c r="EAI2" s="14"/>
      <c r="EAJ2" s="14"/>
      <c r="EAK2" s="14"/>
      <c r="EAL2" s="14"/>
      <c r="EAM2" s="14"/>
      <c r="EAN2" s="14"/>
      <c r="EAO2" s="14"/>
      <c r="EAP2" s="14"/>
      <c r="EAQ2" s="14"/>
      <c r="EAR2" s="14"/>
      <c r="EAS2" s="14"/>
      <c r="EAT2" s="14"/>
      <c r="EAU2" s="14"/>
      <c r="EAV2" s="14"/>
      <c r="EAW2" s="14"/>
      <c r="EAX2" s="14"/>
      <c r="EAY2" s="14"/>
      <c r="EAZ2" s="14"/>
      <c r="EBA2" s="14"/>
      <c r="EBB2" s="14"/>
      <c r="EBC2" s="14"/>
      <c r="EBD2" s="14"/>
      <c r="EBE2" s="14"/>
      <c r="EBF2" s="14"/>
      <c r="EBG2" s="14"/>
      <c r="EBH2" s="14"/>
      <c r="EBI2" s="14"/>
      <c r="EBJ2" s="14"/>
      <c r="EBK2" s="14"/>
      <c r="EBL2" s="14"/>
      <c r="EBM2" s="14"/>
      <c r="EBN2" s="14"/>
      <c r="EBO2" s="14"/>
      <c r="EBP2" s="14"/>
      <c r="EBQ2" s="14"/>
      <c r="EBR2" s="14"/>
      <c r="EBS2" s="14"/>
      <c r="EBT2" s="14"/>
      <c r="EBU2" s="14"/>
      <c r="EBV2" s="14"/>
      <c r="EBW2" s="14"/>
      <c r="EBX2" s="14"/>
      <c r="EBY2" s="14"/>
      <c r="EBZ2" s="14"/>
      <c r="ECA2" s="14"/>
      <c r="ECB2" s="14"/>
      <c r="ECC2" s="14"/>
      <c r="ECD2" s="14"/>
      <c r="ECE2" s="14"/>
      <c r="ECF2" s="14"/>
      <c r="ECG2" s="14"/>
      <c r="ECH2" s="14"/>
      <c r="ECI2" s="14"/>
      <c r="ECJ2" s="14"/>
      <c r="ECK2" s="14"/>
      <c r="ECL2" s="14"/>
      <c r="ECM2" s="14"/>
      <c r="ECN2" s="14"/>
      <c r="ECO2" s="14"/>
      <c r="ECP2" s="14"/>
      <c r="ECQ2" s="14"/>
      <c r="ECR2" s="14"/>
      <c r="ECS2" s="14"/>
      <c r="ECT2" s="14"/>
      <c r="ECU2" s="14"/>
      <c r="ECV2" s="14"/>
      <c r="ECW2" s="14"/>
      <c r="ECX2" s="14"/>
      <c r="ECY2" s="14"/>
      <c r="ECZ2" s="14"/>
      <c r="EDA2" s="14"/>
      <c r="EDB2" s="14"/>
      <c r="EDC2" s="14"/>
      <c r="EDD2" s="14"/>
      <c r="EDE2" s="14"/>
      <c r="EDF2" s="14"/>
      <c r="EDG2" s="14"/>
      <c r="EDH2" s="14"/>
      <c r="EDI2" s="14"/>
      <c r="EDJ2" s="14"/>
      <c r="EDK2" s="14"/>
      <c r="EDL2" s="14"/>
      <c r="EDM2" s="14"/>
      <c r="EDN2" s="14"/>
      <c r="EDO2" s="14"/>
      <c r="EDP2" s="14"/>
      <c r="EDQ2" s="14"/>
      <c r="EDR2" s="14"/>
      <c r="EDS2" s="14"/>
      <c r="EDT2" s="14"/>
      <c r="EDU2" s="14"/>
      <c r="EDV2" s="14"/>
      <c r="EDW2" s="14"/>
      <c r="EDX2" s="14"/>
      <c r="EDY2" s="14"/>
      <c r="EDZ2" s="14"/>
      <c r="EEA2" s="14"/>
      <c r="EEB2" s="14"/>
      <c r="EEC2" s="14"/>
      <c r="EED2" s="14"/>
      <c r="EEE2" s="14"/>
      <c r="EEF2" s="14"/>
      <c r="EEG2" s="14"/>
      <c r="EEH2" s="14"/>
      <c r="EEI2" s="14"/>
      <c r="EEJ2" s="14"/>
      <c r="EEK2" s="14"/>
      <c r="EEL2" s="14"/>
      <c r="EEM2" s="14"/>
      <c r="EEN2" s="14"/>
      <c r="EEO2" s="14"/>
      <c r="EEP2" s="14"/>
      <c r="EEQ2" s="14"/>
      <c r="EER2" s="14"/>
      <c r="EES2" s="14"/>
      <c r="EET2" s="14"/>
      <c r="EEU2" s="14"/>
      <c r="EEV2" s="14"/>
      <c r="EEW2" s="14"/>
      <c r="EEX2" s="14"/>
      <c r="EEY2" s="14"/>
      <c r="EEZ2" s="14"/>
      <c r="EFA2" s="14"/>
      <c r="EFB2" s="14"/>
      <c r="EFC2" s="14"/>
      <c r="EFD2" s="14"/>
      <c r="EFE2" s="14"/>
      <c r="EFF2" s="14"/>
      <c r="EFG2" s="14"/>
      <c r="EFH2" s="14"/>
      <c r="EFI2" s="14"/>
      <c r="EFJ2" s="14"/>
      <c r="EFK2" s="14"/>
      <c r="EFL2" s="14"/>
      <c r="EFM2" s="14"/>
      <c r="EFN2" s="14"/>
      <c r="EFO2" s="14"/>
      <c r="EFP2" s="14"/>
      <c r="EFQ2" s="14"/>
      <c r="EFR2" s="14"/>
      <c r="EFS2" s="14"/>
      <c r="EFT2" s="14"/>
      <c r="EFU2" s="14"/>
      <c r="EFV2" s="14"/>
      <c r="EFW2" s="14"/>
      <c r="EFX2" s="14"/>
      <c r="EFY2" s="14"/>
      <c r="EFZ2" s="14"/>
      <c r="EGA2" s="14"/>
      <c r="EGB2" s="14"/>
      <c r="EGC2" s="14"/>
      <c r="EGD2" s="14"/>
      <c r="EGE2" s="14"/>
      <c r="EGF2" s="14"/>
      <c r="EGG2" s="14"/>
      <c r="EGH2" s="14"/>
      <c r="EGI2" s="14"/>
      <c r="EGJ2" s="14"/>
      <c r="EGK2" s="14"/>
      <c r="EGL2" s="14"/>
      <c r="EGM2" s="14"/>
      <c r="EGN2" s="14"/>
      <c r="EGO2" s="14"/>
      <c r="EGP2" s="14"/>
      <c r="EGQ2" s="14"/>
      <c r="EGR2" s="14"/>
      <c r="EGS2" s="14"/>
      <c r="EGT2" s="14"/>
      <c r="EGU2" s="14"/>
      <c r="EGV2" s="14"/>
      <c r="EGW2" s="14"/>
      <c r="EGX2" s="14"/>
      <c r="EGY2" s="14"/>
      <c r="EGZ2" s="14"/>
      <c r="EHA2" s="14"/>
      <c r="EHB2" s="14"/>
      <c r="EHC2" s="14"/>
      <c r="EHD2" s="14"/>
      <c r="EHE2" s="14"/>
      <c r="EHF2" s="14"/>
      <c r="EHG2" s="14"/>
      <c r="EHH2" s="14"/>
      <c r="EHI2" s="14"/>
      <c r="EHJ2" s="14"/>
      <c r="EHK2" s="14"/>
      <c r="EHL2" s="14"/>
      <c r="EHM2" s="14"/>
      <c r="EHN2" s="14"/>
      <c r="EHO2" s="14"/>
      <c r="EHP2" s="14"/>
      <c r="EHQ2" s="14"/>
      <c r="EHR2" s="14"/>
      <c r="EHS2" s="14"/>
      <c r="EHT2" s="14"/>
      <c r="EHU2" s="14"/>
      <c r="EHV2" s="14"/>
      <c r="EHW2" s="14"/>
      <c r="EHX2" s="14"/>
      <c r="EHY2" s="14"/>
      <c r="EHZ2" s="14"/>
      <c r="EIA2" s="14"/>
      <c r="EIB2" s="14"/>
      <c r="EIC2" s="14"/>
      <c r="EID2" s="14"/>
      <c r="EIE2" s="14"/>
      <c r="EIF2" s="14"/>
      <c r="EIG2" s="14"/>
      <c r="EIH2" s="14"/>
      <c r="EII2" s="14"/>
      <c r="EIJ2" s="14"/>
      <c r="EIK2" s="14"/>
      <c r="EIL2" s="14"/>
      <c r="EIM2" s="14"/>
      <c r="EIN2" s="14"/>
      <c r="EIO2" s="14"/>
      <c r="EIP2" s="14"/>
      <c r="EIQ2" s="14"/>
      <c r="EIR2" s="14"/>
      <c r="EIS2" s="14"/>
      <c r="EIT2" s="14"/>
      <c r="EIU2" s="14"/>
      <c r="EIV2" s="14"/>
      <c r="EIW2" s="14"/>
      <c r="EIX2" s="14"/>
      <c r="EIY2" s="14"/>
      <c r="EIZ2" s="14"/>
      <c r="EJA2" s="14"/>
      <c r="EJB2" s="14"/>
      <c r="EJC2" s="14"/>
      <c r="EJD2" s="14"/>
      <c r="EJE2" s="14"/>
      <c r="EJF2" s="14"/>
      <c r="EJG2" s="14"/>
      <c r="EJH2" s="14"/>
      <c r="EJI2" s="14"/>
      <c r="EJJ2" s="14"/>
      <c r="EJK2" s="14"/>
      <c r="EJL2" s="14"/>
      <c r="EJM2" s="14"/>
      <c r="EJN2" s="14"/>
      <c r="EJO2" s="14"/>
      <c r="EJP2" s="14"/>
      <c r="EJQ2" s="14"/>
      <c r="EJR2" s="14"/>
      <c r="EJS2" s="14"/>
      <c r="EJT2" s="14"/>
      <c r="EJU2" s="14"/>
      <c r="EJV2" s="14"/>
      <c r="EJW2" s="14"/>
      <c r="EJX2" s="14"/>
      <c r="EJY2" s="14"/>
      <c r="EJZ2" s="14"/>
      <c r="EKA2" s="14"/>
      <c r="EKB2" s="14"/>
      <c r="EKC2" s="14"/>
      <c r="EKD2" s="14"/>
      <c r="EKE2" s="14"/>
      <c r="EKF2" s="14"/>
      <c r="EKG2" s="14"/>
      <c r="EKH2" s="14"/>
      <c r="EKI2" s="14"/>
      <c r="EKJ2" s="14"/>
      <c r="EKK2" s="14"/>
      <c r="EKL2" s="14"/>
      <c r="EKM2" s="14"/>
      <c r="EKN2" s="14"/>
      <c r="EKO2" s="14"/>
      <c r="EKP2" s="14"/>
      <c r="EKQ2" s="14"/>
      <c r="EKR2" s="14"/>
      <c r="EKS2" s="14"/>
      <c r="EKT2" s="14"/>
      <c r="EKU2" s="14"/>
      <c r="EKV2" s="14"/>
      <c r="EKW2" s="14"/>
      <c r="EKX2" s="14"/>
      <c r="EKY2" s="14"/>
      <c r="EKZ2" s="14"/>
      <c r="ELA2" s="14"/>
      <c r="ELB2" s="14"/>
      <c r="ELC2" s="14"/>
      <c r="ELD2" s="14"/>
      <c r="ELE2" s="14"/>
      <c r="ELF2" s="14"/>
      <c r="ELG2" s="14"/>
      <c r="ELH2" s="14"/>
      <c r="ELI2" s="14"/>
      <c r="ELJ2" s="14"/>
      <c r="ELK2" s="14"/>
      <c r="ELL2" s="14"/>
      <c r="ELM2" s="14"/>
      <c r="ELN2" s="14"/>
      <c r="ELO2" s="14"/>
      <c r="ELP2" s="14"/>
      <c r="ELQ2" s="14"/>
      <c r="ELR2" s="14"/>
      <c r="ELS2" s="14"/>
      <c r="ELT2" s="14"/>
      <c r="ELU2" s="14"/>
      <c r="ELV2" s="14"/>
      <c r="ELW2" s="14"/>
      <c r="ELX2" s="14"/>
      <c r="ELY2" s="14"/>
      <c r="ELZ2" s="14"/>
      <c r="EMA2" s="14"/>
      <c r="EMB2" s="14"/>
      <c r="EMC2" s="14"/>
      <c r="EMD2" s="14"/>
      <c r="EME2" s="14"/>
      <c r="EMF2" s="14"/>
      <c r="EMG2" s="14"/>
      <c r="EMH2" s="14"/>
      <c r="EMI2" s="14"/>
      <c r="EMJ2" s="14"/>
      <c r="EMK2" s="14"/>
      <c r="EML2" s="14"/>
      <c r="EMM2" s="14"/>
      <c r="EMN2" s="14"/>
      <c r="EMO2" s="14"/>
      <c r="EMP2" s="14"/>
      <c r="EMQ2" s="14"/>
      <c r="EMR2" s="14"/>
      <c r="EMS2" s="14"/>
      <c r="EMT2" s="14"/>
      <c r="EMU2" s="14"/>
      <c r="EMV2" s="14"/>
      <c r="EMW2" s="14"/>
      <c r="EMX2" s="14"/>
      <c r="EMY2" s="14"/>
      <c r="EMZ2" s="14"/>
      <c r="ENA2" s="14"/>
      <c r="ENB2" s="14"/>
      <c r="ENC2" s="14"/>
      <c r="END2" s="14"/>
      <c r="ENE2" s="14"/>
      <c r="ENF2" s="14"/>
      <c r="ENG2" s="14"/>
      <c r="ENH2" s="14"/>
      <c r="ENI2" s="14"/>
      <c r="ENJ2" s="14"/>
      <c r="ENK2" s="14"/>
      <c r="ENL2" s="14"/>
      <c r="ENM2" s="14"/>
      <c r="ENN2" s="14"/>
      <c r="ENO2" s="14"/>
      <c r="ENP2" s="14"/>
      <c r="ENQ2" s="14"/>
      <c r="ENR2" s="14"/>
      <c r="ENS2" s="14"/>
      <c r="ENT2" s="14"/>
      <c r="ENU2" s="14"/>
      <c r="ENV2" s="14"/>
      <c r="ENW2" s="14"/>
      <c r="ENX2" s="14"/>
      <c r="ENY2" s="14"/>
      <c r="ENZ2" s="14"/>
      <c r="EOA2" s="14"/>
      <c r="EOB2" s="14"/>
      <c r="EOC2" s="14"/>
      <c r="EOD2" s="14"/>
      <c r="EOE2" s="14"/>
      <c r="EOF2" s="14"/>
      <c r="EOG2" s="14"/>
      <c r="EOH2" s="14"/>
      <c r="EOI2" s="14"/>
      <c r="EOJ2" s="14"/>
      <c r="EOK2" s="14"/>
      <c r="EOL2" s="14"/>
      <c r="EOM2" s="14"/>
      <c r="EON2" s="14"/>
      <c r="EOO2" s="14"/>
      <c r="EOP2" s="14"/>
      <c r="EOQ2" s="14"/>
      <c r="EOR2" s="14"/>
      <c r="EOS2" s="14"/>
      <c r="EOT2" s="14"/>
      <c r="EOU2" s="14"/>
      <c r="EOV2" s="14"/>
      <c r="EOW2" s="14"/>
      <c r="EOX2" s="14"/>
      <c r="EOY2" s="14"/>
      <c r="EOZ2" s="14"/>
      <c r="EPA2" s="14"/>
      <c r="EPB2" s="14"/>
      <c r="EPC2" s="14"/>
      <c r="EPD2" s="14"/>
      <c r="EPE2" s="14"/>
      <c r="EPF2" s="14"/>
      <c r="EPG2" s="14"/>
      <c r="EPH2" s="14"/>
      <c r="EPI2" s="14"/>
      <c r="EPJ2" s="14"/>
      <c r="EPK2" s="14"/>
      <c r="EPL2" s="14"/>
      <c r="EPM2" s="14"/>
      <c r="EPN2" s="14"/>
      <c r="EPO2" s="14"/>
      <c r="EPP2" s="14"/>
      <c r="EPQ2" s="14"/>
      <c r="EPR2" s="14"/>
      <c r="EPS2" s="14"/>
      <c r="EPT2" s="14"/>
      <c r="EPU2" s="14"/>
      <c r="EPV2" s="14"/>
      <c r="EPW2" s="14"/>
      <c r="EPX2" s="14"/>
      <c r="EPY2" s="14"/>
      <c r="EPZ2" s="14"/>
      <c r="EQA2" s="14"/>
      <c r="EQB2" s="14"/>
      <c r="EQC2" s="14"/>
      <c r="EQD2" s="14"/>
      <c r="EQE2" s="14"/>
      <c r="EQF2" s="14"/>
      <c r="EQG2" s="14"/>
      <c r="EQH2" s="14"/>
      <c r="EQI2" s="14"/>
      <c r="EQJ2" s="14"/>
      <c r="EQK2" s="14"/>
      <c r="EQL2" s="14"/>
      <c r="EQM2" s="14"/>
      <c r="EQN2" s="14"/>
      <c r="EQO2" s="14"/>
      <c r="EQP2" s="14"/>
      <c r="EQQ2" s="14"/>
      <c r="EQR2" s="14"/>
      <c r="EQS2" s="14"/>
      <c r="EQT2" s="14"/>
      <c r="EQU2" s="14"/>
      <c r="EQV2" s="14"/>
      <c r="EQW2" s="14"/>
      <c r="EQX2" s="14"/>
      <c r="EQY2" s="14"/>
      <c r="EQZ2" s="14"/>
      <c r="ERA2" s="14"/>
      <c r="ERB2" s="14"/>
      <c r="ERC2" s="14"/>
      <c r="ERD2" s="14"/>
      <c r="ERE2" s="14"/>
      <c r="ERF2" s="14"/>
      <c r="ERG2" s="14"/>
      <c r="ERH2" s="14"/>
      <c r="ERI2" s="14"/>
      <c r="ERJ2" s="14"/>
      <c r="ERK2" s="14"/>
      <c r="ERL2" s="14"/>
      <c r="ERM2" s="14"/>
      <c r="ERN2" s="14"/>
      <c r="ERO2" s="14"/>
      <c r="ERP2" s="14"/>
      <c r="ERQ2" s="14"/>
      <c r="ERR2" s="14"/>
      <c r="ERS2" s="14"/>
      <c r="ERT2" s="14"/>
      <c r="ERU2" s="14"/>
      <c r="ERV2" s="14"/>
      <c r="ERW2" s="14"/>
      <c r="ERX2" s="14"/>
      <c r="ERY2" s="14"/>
      <c r="ERZ2" s="14"/>
      <c r="ESA2" s="14"/>
      <c r="ESB2" s="14"/>
      <c r="ESC2" s="14"/>
      <c r="ESD2" s="14"/>
      <c r="ESE2" s="14"/>
      <c r="ESF2" s="14"/>
      <c r="ESG2" s="14"/>
      <c r="ESH2" s="14"/>
      <c r="ESI2" s="14"/>
      <c r="ESJ2" s="14"/>
      <c r="ESK2" s="14"/>
      <c r="ESL2" s="14"/>
      <c r="ESM2" s="14"/>
      <c r="ESN2" s="14"/>
      <c r="ESO2" s="14"/>
      <c r="ESP2" s="14"/>
      <c r="ESQ2" s="14"/>
      <c r="ESR2" s="14"/>
      <c r="ESS2" s="14"/>
      <c r="EST2" s="14"/>
      <c r="ESU2" s="14"/>
      <c r="ESV2" s="14"/>
      <c r="ESW2" s="14"/>
      <c r="ESX2" s="14"/>
      <c r="ESY2" s="14"/>
      <c r="ESZ2" s="14"/>
      <c r="ETA2" s="14"/>
      <c r="ETB2" s="14"/>
      <c r="ETC2" s="14"/>
      <c r="ETD2" s="14"/>
      <c r="ETE2" s="14"/>
      <c r="ETF2" s="14"/>
      <c r="ETG2" s="14"/>
      <c r="ETH2" s="14"/>
      <c r="ETI2" s="14"/>
      <c r="ETJ2" s="14"/>
      <c r="ETK2" s="14"/>
      <c r="ETL2" s="14"/>
      <c r="ETM2" s="14"/>
      <c r="ETN2" s="14"/>
      <c r="ETO2" s="14"/>
      <c r="ETP2" s="14"/>
      <c r="ETQ2" s="14"/>
      <c r="ETR2" s="14"/>
      <c r="ETS2" s="14"/>
      <c r="ETT2" s="14"/>
      <c r="ETU2" s="14"/>
      <c r="ETV2" s="14"/>
      <c r="ETW2" s="14"/>
      <c r="ETX2" s="14"/>
      <c r="ETY2" s="14"/>
      <c r="ETZ2" s="14"/>
      <c r="EUA2" s="14"/>
      <c r="EUB2" s="14"/>
      <c r="EUC2" s="14"/>
      <c r="EUD2" s="14"/>
      <c r="EUE2" s="14"/>
      <c r="EUF2" s="14"/>
      <c r="EUG2" s="14"/>
      <c r="EUH2" s="14"/>
      <c r="EUI2" s="14"/>
      <c r="EUJ2" s="14"/>
      <c r="EUK2" s="14"/>
      <c r="EUL2" s="14"/>
      <c r="EUM2" s="14"/>
      <c r="EUN2" s="14"/>
      <c r="EUO2" s="14"/>
      <c r="EUP2" s="14"/>
      <c r="EUQ2" s="14"/>
      <c r="EUR2" s="14"/>
      <c r="EUS2" s="14"/>
      <c r="EUT2" s="14"/>
      <c r="EUU2" s="14"/>
      <c r="EUV2" s="14"/>
      <c r="EUW2" s="14"/>
      <c r="EUX2" s="14"/>
      <c r="EUY2" s="14"/>
      <c r="EUZ2" s="14"/>
      <c r="EVA2" s="14"/>
      <c r="EVB2" s="14"/>
      <c r="EVC2" s="14"/>
      <c r="EVD2" s="14"/>
      <c r="EVE2" s="14"/>
      <c r="EVF2" s="14"/>
      <c r="EVG2" s="14"/>
      <c r="EVH2" s="14"/>
      <c r="EVI2" s="14"/>
      <c r="EVJ2" s="14"/>
      <c r="EVK2" s="14"/>
      <c r="EVL2" s="14"/>
      <c r="EVM2" s="14"/>
      <c r="EVN2" s="14"/>
      <c r="EVO2" s="14"/>
      <c r="EVP2" s="14"/>
      <c r="EVQ2" s="14"/>
      <c r="EVR2" s="14"/>
      <c r="EVS2" s="14"/>
      <c r="EVT2" s="14"/>
      <c r="EVU2" s="14"/>
      <c r="EVV2" s="14"/>
      <c r="EVW2" s="14"/>
      <c r="EVX2" s="14"/>
      <c r="EVY2" s="14"/>
      <c r="EVZ2" s="14"/>
      <c r="EWA2" s="14"/>
      <c r="EWB2" s="14"/>
      <c r="EWC2" s="14"/>
      <c r="EWD2" s="14"/>
      <c r="EWE2" s="14"/>
      <c r="EWF2" s="14"/>
      <c r="EWG2" s="14"/>
      <c r="EWH2" s="14"/>
      <c r="EWI2" s="14"/>
      <c r="EWJ2" s="14"/>
      <c r="EWK2" s="14"/>
      <c r="EWL2" s="14"/>
      <c r="EWM2" s="14"/>
      <c r="EWN2" s="14"/>
      <c r="EWO2" s="14"/>
      <c r="EWP2" s="14"/>
      <c r="EWQ2" s="14"/>
      <c r="EWR2" s="14"/>
      <c r="EWS2" s="14"/>
      <c r="EWT2" s="14"/>
      <c r="EWU2" s="14"/>
      <c r="EWV2" s="14"/>
      <c r="EWW2" s="14"/>
      <c r="EWX2" s="14"/>
      <c r="EWY2" s="14"/>
      <c r="EWZ2" s="14"/>
      <c r="EXA2" s="14"/>
      <c r="EXB2" s="14"/>
      <c r="EXC2" s="14"/>
      <c r="EXD2" s="14"/>
      <c r="EXE2" s="14"/>
      <c r="EXF2" s="14"/>
      <c r="EXG2" s="14"/>
      <c r="EXH2" s="14"/>
      <c r="EXI2" s="14"/>
      <c r="EXJ2" s="14"/>
      <c r="EXK2" s="14"/>
      <c r="EXL2" s="14"/>
      <c r="EXM2" s="14"/>
      <c r="EXN2" s="14"/>
      <c r="EXO2" s="14"/>
      <c r="EXP2" s="14"/>
      <c r="EXQ2" s="14"/>
      <c r="EXR2" s="14"/>
      <c r="EXS2" s="14"/>
      <c r="EXT2" s="14"/>
      <c r="EXU2" s="14"/>
      <c r="EXV2" s="14"/>
      <c r="EXW2" s="14"/>
      <c r="EXX2" s="14"/>
      <c r="EXY2" s="14"/>
      <c r="EXZ2" s="14"/>
      <c r="EYA2" s="14"/>
      <c r="EYB2" s="14"/>
      <c r="EYC2" s="14"/>
      <c r="EYD2" s="14"/>
      <c r="EYE2" s="14"/>
      <c r="EYF2" s="14"/>
      <c r="EYG2" s="14"/>
      <c r="EYH2" s="14"/>
      <c r="EYI2" s="14"/>
      <c r="EYJ2" s="14"/>
      <c r="EYK2" s="14"/>
      <c r="EYL2" s="14"/>
      <c r="EYM2" s="14"/>
      <c r="EYN2" s="14"/>
      <c r="EYO2" s="14"/>
      <c r="EYP2" s="14"/>
      <c r="EYQ2" s="14"/>
      <c r="EYR2" s="14"/>
      <c r="EYS2" s="14"/>
      <c r="EYT2" s="14"/>
      <c r="EYU2" s="14"/>
      <c r="EYV2" s="14"/>
      <c r="EYW2" s="14"/>
      <c r="EYX2" s="14"/>
      <c r="EYY2" s="14"/>
      <c r="EYZ2" s="14"/>
      <c r="EZA2" s="14"/>
      <c r="EZB2" s="14"/>
      <c r="EZC2" s="14"/>
      <c r="EZD2" s="14"/>
      <c r="EZE2" s="14"/>
      <c r="EZF2" s="14"/>
      <c r="EZG2" s="14"/>
      <c r="EZH2" s="14"/>
      <c r="EZI2" s="14"/>
      <c r="EZJ2" s="14"/>
      <c r="EZK2" s="14"/>
      <c r="EZL2" s="14"/>
      <c r="EZM2" s="14"/>
      <c r="EZN2" s="14"/>
      <c r="EZO2" s="14"/>
      <c r="EZP2" s="14"/>
      <c r="EZQ2" s="14"/>
      <c r="EZR2" s="14"/>
      <c r="EZS2" s="14"/>
      <c r="EZT2" s="14"/>
      <c r="EZU2" s="14"/>
      <c r="EZV2" s="14"/>
      <c r="EZW2" s="14"/>
      <c r="EZX2" s="14"/>
      <c r="EZY2" s="14"/>
      <c r="EZZ2" s="14"/>
      <c r="FAA2" s="14"/>
      <c r="FAB2" s="14"/>
      <c r="FAC2" s="14"/>
      <c r="FAD2" s="14"/>
      <c r="FAE2" s="14"/>
      <c r="FAF2" s="14"/>
      <c r="FAG2" s="14"/>
      <c r="FAH2" s="14"/>
      <c r="FAI2" s="14"/>
      <c r="FAJ2" s="14"/>
      <c r="FAK2" s="14"/>
      <c r="FAL2" s="14"/>
      <c r="FAM2" s="14"/>
      <c r="FAN2" s="14"/>
      <c r="FAO2" s="14"/>
      <c r="FAP2" s="14"/>
      <c r="FAQ2" s="14"/>
      <c r="FAR2" s="14"/>
      <c r="FAS2" s="14"/>
      <c r="FAT2" s="14"/>
      <c r="FAU2" s="14"/>
      <c r="FAV2" s="14"/>
      <c r="FAW2" s="14"/>
      <c r="FAX2" s="14"/>
      <c r="FAY2" s="14"/>
      <c r="FAZ2" s="14"/>
      <c r="FBA2" s="14"/>
      <c r="FBB2" s="14"/>
      <c r="FBC2" s="14"/>
      <c r="FBD2" s="14"/>
      <c r="FBE2" s="14"/>
      <c r="FBF2" s="14"/>
      <c r="FBG2" s="14"/>
      <c r="FBH2" s="14"/>
      <c r="FBI2" s="14"/>
      <c r="FBJ2" s="14"/>
      <c r="FBK2" s="14"/>
      <c r="FBL2" s="14"/>
      <c r="FBM2" s="14"/>
      <c r="FBN2" s="14"/>
      <c r="FBO2" s="14"/>
      <c r="FBP2" s="14"/>
      <c r="FBQ2" s="14"/>
      <c r="FBR2" s="14"/>
      <c r="FBS2" s="14"/>
      <c r="FBT2" s="14"/>
      <c r="FBU2" s="14"/>
      <c r="FBV2" s="14"/>
      <c r="FBW2" s="14"/>
      <c r="FBX2" s="14"/>
      <c r="FBY2" s="14"/>
      <c r="FBZ2" s="14"/>
      <c r="FCA2" s="14"/>
      <c r="FCB2" s="14"/>
      <c r="FCC2" s="14"/>
      <c r="FCD2" s="14"/>
      <c r="FCE2" s="14"/>
      <c r="FCF2" s="14"/>
      <c r="FCG2" s="14"/>
      <c r="FCH2" s="14"/>
      <c r="FCI2" s="14"/>
      <c r="FCJ2" s="14"/>
      <c r="FCK2" s="14"/>
      <c r="FCL2" s="14"/>
      <c r="FCM2" s="14"/>
      <c r="FCN2" s="14"/>
      <c r="FCO2" s="14"/>
      <c r="FCP2" s="14"/>
      <c r="FCQ2" s="14"/>
      <c r="FCR2" s="14"/>
      <c r="FCS2" s="14"/>
      <c r="FCT2" s="14"/>
      <c r="FCU2" s="14"/>
      <c r="FCV2" s="14"/>
      <c r="FCW2" s="14"/>
      <c r="FCX2" s="14"/>
      <c r="FCY2" s="14"/>
      <c r="FCZ2" s="14"/>
      <c r="FDA2" s="14"/>
      <c r="FDB2" s="14"/>
      <c r="FDC2" s="14"/>
      <c r="FDD2" s="14"/>
      <c r="FDE2" s="14"/>
      <c r="FDF2" s="14"/>
      <c r="FDG2" s="14"/>
      <c r="FDH2" s="14"/>
      <c r="FDI2" s="14"/>
      <c r="FDJ2" s="14"/>
      <c r="FDK2" s="14"/>
      <c r="FDL2" s="14"/>
      <c r="FDM2" s="14"/>
      <c r="FDN2" s="14"/>
      <c r="FDO2" s="14"/>
      <c r="FDP2" s="14"/>
      <c r="FDQ2" s="14"/>
      <c r="FDR2" s="14"/>
      <c r="FDS2" s="14"/>
      <c r="FDT2" s="14"/>
      <c r="FDU2" s="14"/>
      <c r="FDV2" s="14"/>
      <c r="FDW2" s="14"/>
      <c r="FDX2" s="14"/>
      <c r="FDY2" s="14"/>
      <c r="FDZ2" s="14"/>
      <c r="FEA2" s="14"/>
      <c r="FEB2" s="14"/>
      <c r="FEC2" s="14"/>
      <c r="FED2" s="14"/>
      <c r="FEE2" s="14"/>
      <c r="FEF2" s="14"/>
      <c r="FEG2" s="14"/>
      <c r="FEH2" s="14"/>
      <c r="FEI2" s="14"/>
      <c r="FEJ2" s="14"/>
      <c r="FEK2" s="14"/>
      <c r="FEL2" s="14"/>
      <c r="FEM2" s="14"/>
      <c r="FEN2" s="14"/>
      <c r="FEO2" s="14"/>
      <c r="FEP2" s="14"/>
      <c r="FEQ2" s="14"/>
      <c r="FER2" s="14"/>
      <c r="FES2" s="14"/>
      <c r="FET2" s="14"/>
      <c r="FEU2" s="14"/>
      <c r="FEV2" s="14"/>
      <c r="FEW2" s="14"/>
      <c r="FEX2" s="14"/>
      <c r="FEY2" s="14"/>
      <c r="FEZ2" s="14"/>
      <c r="FFA2" s="14"/>
      <c r="FFB2" s="14"/>
      <c r="FFC2" s="14"/>
      <c r="FFD2" s="14"/>
      <c r="FFE2" s="14"/>
      <c r="FFF2" s="14"/>
      <c r="FFG2" s="14"/>
      <c r="FFH2" s="14"/>
      <c r="FFI2" s="14"/>
      <c r="FFJ2" s="14"/>
      <c r="FFK2" s="14"/>
      <c r="FFL2" s="14"/>
      <c r="FFM2" s="14"/>
      <c r="FFN2" s="14"/>
      <c r="FFO2" s="14"/>
      <c r="FFP2" s="14"/>
      <c r="FFQ2" s="14"/>
      <c r="FFR2" s="14"/>
      <c r="FFS2" s="14"/>
      <c r="FFT2" s="14"/>
      <c r="FFU2" s="14"/>
      <c r="FFV2" s="14"/>
      <c r="FFW2" s="14"/>
      <c r="FFX2" s="14"/>
      <c r="FFY2" s="14"/>
      <c r="FFZ2" s="14"/>
      <c r="FGA2" s="14"/>
      <c r="FGB2" s="14"/>
      <c r="FGC2" s="14"/>
      <c r="FGD2" s="14"/>
      <c r="FGE2" s="14"/>
      <c r="FGF2" s="14"/>
      <c r="FGG2" s="14"/>
      <c r="FGH2" s="14"/>
      <c r="FGI2" s="14"/>
      <c r="FGJ2" s="14"/>
      <c r="FGK2" s="14"/>
      <c r="FGL2" s="14"/>
      <c r="FGM2" s="14"/>
      <c r="FGN2" s="14"/>
      <c r="FGO2" s="14"/>
      <c r="FGP2" s="14"/>
      <c r="FGQ2" s="14"/>
      <c r="FGR2" s="14"/>
      <c r="FGS2" s="14"/>
      <c r="FGT2" s="14"/>
      <c r="FGU2" s="14"/>
      <c r="FGV2" s="14"/>
      <c r="FGW2" s="14"/>
      <c r="FGX2" s="14"/>
      <c r="FGY2" s="14"/>
      <c r="FGZ2" s="14"/>
      <c r="FHA2" s="14"/>
      <c r="FHB2" s="14"/>
      <c r="FHC2" s="14"/>
      <c r="FHD2" s="14"/>
      <c r="FHE2" s="14"/>
      <c r="FHF2" s="14"/>
      <c r="FHG2" s="14"/>
      <c r="FHH2" s="14"/>
      <c r="FHI2" s="14"/>
      <c r="FHJ2" s="14"/>
      <c r="FHK2" s="14"/>
      <c r="FHL2" s="14"/>
      <c r="FHM2" s="14"/>
      <c r="FHN2" s="14"/>
      <c r="FHO2" s="14"/>
      <c r="FHP2" s="14"/>
      <c r="FHQ2" s="14"/>
      <c r="FHR2" s="14"/>
      <c r="FHS2" s="14"/>
      <c r="FHT2" s="14"/>
      <c r="FHU2" s="14"/>
      <c r="FHV2" s="14"/>
      <c r="FHW2" s="14"/>
      <c r="FHX2" s="14"/>
      <c r="FHY2" s="14"/>
      <c r="FHZ2" s="14"/>
      <c r="FIA2" s="14"/>
      <c r="FIB2" s="14"/>
      <c r="FIC2" s="14"/>
      <c r="FID2" s="14"/>
      <c r="FIE2" s="14"/>
      <c r="FIF2" s="14"/>
      <c r="FIG2" s="14"/>
      <c r="FIH2" s="14"/>
      <c r="FII2" s="14"/>
      <c r="FIJ2" s="14"/>
      <c r="FIK2" s="14"/>
      <c r="FIL2" s="14"/>
      <c r="FIM2" s="14"/>
      <c r="FIN2" s="14"/>
      <c r="FIO2" s="14"/>
      <c r="FIP2" s="14"/>
      <c r="FIQ2" s="14"/>
      <c r="FIR2" s="14"/>
      <c r="FIS2" s="14"/>
      <c r="FIT2" s="14"/>
      <c r="FIU2" s="14"/>
      <c r="FIV2" s="14"/>
      <c r="FIW2" s="14"/>
      <c r="FIX2" s="14"/>
      <c r="FIY2" s="14"/>
      <c r="FIZ2" s="14"/>
      <c r="FJA2" s="14"/>
      <c r="FJB2" s="14"/>
      <c r="FJC2" s="14"/>
      <c r="FJD2" s="14"/>
      <c r="FJE2" s="14"/>
      <c r="FJF2" s="14"/>
      <c r="FJG2" s="14"/>
      <c r="FJH2" s="14"/>
      <c r="FJI2" s="14"/>
      <c r="FJJ2" s="14"/>
      <c r="FJK2" s="14"/>
      <c r="FJL2" s="14"/>
      <c r="FJM2" s="14"/>
      <c r="FJN2" s="14"/>
      <c r="FJO2" s="14"/>
      <c r="FJP2" s="14"/>
      <c r="FJQ2" s="14"/>
      <c r="FJR2" s="14"/>
      <c r="FJS2" s="14"/>
      <c r="FJT2" s="14"/>
      <c r="FJU2" s="14"/>
      <c r="FJV2" s="14"/>
      <c r="FJW2" s="14"/>
      <c r="FJX2" s="14"/>
      <c r="FJY2" s="14"/>
      <c r="FJZ2" s="14"/>
      <c r="FKA2" s="14"/>
      <c r="FKB2" s="14"/>
      <c r="FKC2" s="14"/>
      <c r="FKD2" s="14"/>
      <c r="FKE2" s="14"/>
      <c r="FKF2" s="14"/>
      <c r="FKG2" s="14"/>
      <c r="FKH2" s="14"/>
      <c r="FKI2" s="14"/>
      <c r="FKJ2" s="14"/>
      <c r="FKK2" s="14"/>
      <c r="FKL2" s="14"/>
      <c r="FKM2" s="14"/>
      <c r="FKN2" s="14"/>
      <c r="FKO2" s="14"/>
      <c r="FKP2" s="14"/>
      <c r="FKQ2" s="14"/>
      <c r="FKR2" s="14"/>
      <c r="FKS2" s="14"/>
      <c r="FKT2" s="14"/>
      <c r="FKU2" s="14"/>
      <c r="FKV2" s="14"/>
      <c r="FKW2" s="14"/>
      <c r="FKX2" s="14"/>
      <c r="FKY2" s="14"/>
      <c r="FKZ2" s="14"/>
      <c r="FLA2" s="14"/>
      <c r="FLB2" s="14"/>
      <c r="FLC2" s="14"/>
      <c r="FLD2" s="14"/>
      <c r="FLE2" s="14"/>
      <c r="FLF2" s="14"/>
      <c r="FLG2" s="14"/>
      <c r="FLH2" s="14"/>
      <c r="FLI2" s="14"/>
      <c r="FLJ2" s="14"/>
      <c r="FLK2" s="14"/>
      <c r="FLL2" s="14"/>
      <c r="FLM2" s="14"/>
      <c r="FLN2" s="14"/>
      <c r="FLO2" s="14"/>
      <c r="FLP2" s="14"/>
      <c r="FLQ2" s="14"/>
      <c r="FLR2" s="14"/>
      <c r="FLS2" s="14"/>
      <c r="FLT2" s="14"/>
      <c r="FLU2" s="14"/>
      <c r="FLV2" s="14"/>
      <c r="FLW2" s="14"/>
      <c r="FLX2" s="14"/>
      <c r="FLY2" s="14"/>
      <c r="FLZ2" s="14"/>
      <c r="FMA2" s="14"/>
      <c r="FMB2" s="14"/>
      <c r="FMC2" s="14"/>
      <c r="FMD2" s="14"/>
      <c r="FME2" s="14"/>
      <c r="FMF2" s="14"/>
      <c r="FMG2" s="14"/>
      <c r="FMH2" s="14"/>
      <c r="FMI2" s="14"/>
      <c r="FMJ2" s="14"/>
      <c r="FMK2" s="14"/>
      <c r="FML2" s="14"/>
      <c r="FMM2" s="14"/>
      <c r="FMN2" s="14"/>
      <c r="FMO2" s="14"/>
      <c r="FMP2" s="14"/>
      <c r="FMQ2" s="14"/>
      <c r="FMR2" s="14"/>
      <c r="FMS2" s="14"/>
      <c r="FMT2" s="14"/>
      <c r="FMU2" s="14"/>
      <c r="FMV2" s="14"/>
      <c r="FMW2" s="14"/>
      <c r="FMX2" s="14"/>
      <c r="FMY2" s="14"/>
      <c r="FMZ2" s="14"/>
      <c r="FNA2" s="14"/>
      <c r="FNB2" s="14"/>
      <c r="FNC2" s="14"/>
      <c r="FND2" s="14"/>
      <c r="FNE2" s="14"/>
      <c r="FNF2" s="14"/>
      <c r="FNG2" s="14"/>
      <c r="FNH2" s="14"/>
      <c r="FNI2" s="14"/>
      <c r="FNJ2" s="14"/>
      <c r="FNK2" s="14"/>
      <c r="FNL2" s="14"/>
      <c r="FNM2" s="14"/>
      <c r="FNN2" s="14"/>
      <c r="FNO2" s="14"/>
      <c r="FNP2" s="14"/>
      <c r="FNQ2" s="14"/>
      <c r="FNR2" s="14"/>
      <c r="FNS2" s="14"/>
      <c r="FNT2" s="14"/>
      <c r="FNU2" s="14"/>
      <c r="FNV2" s="14"/>
      <c r="FNW2" s="14"/>
      <c r="FNX2" s="14"/>
      <c r="FNY2" s="14"/>
      <c r="FNZ2" s="14"/>
      <c r="FOA2" s="14"/>
      <c r="FOB2" s="14"/>
      <c r="FOC2" s="14"/>
      <c r="FOD2" s="14"/>
      <c r="FOE2" s="14"/>
      <c r="FOF2" s="14"/>
      <c r="FOG2" s="14"/>
      <c r="FOH2" s="14"/>
      <c r="FOI2" s="14"/>
      <c r="FOJ2" s="14"/>
      <c r="FOK2" s="14"/>
      <c r="FOL2" s="14"/>
      <c r="FOM2" s="14"/>
      <c r="FON2" s="14"/>
      <c r="FOO2" s="14"/>
      <c r="FOP2" s="14"/>
      <c r="FOQ2" s="14"/>
      <c r="FOR2" s="14"/>
      <c r="FOS2" s="14"/>
      <c r="FOT2" s="14"/>
      <c r="FOU2" s="14"/>
      <c r="FOV2" s="14"/>
      <c r="FOW2" s="14"/>
      <c r="FOX2" s="14"/>
      <c r="FOY2" s="14"/>
      <c r="FOZ2" s="14"/>
      <c r="FPA2" s="14"/>
      <c r="FPB2" s="14"/>
      <c r="FPC2" s="14"/>
      <c r="FPD2" s="14"/>
      <c r="FPE2" s="14"/>
      <c r="FPF2" s="14"/>
      <c r="FPG2" s="14"/>
      <c r="FPH2" s="14"/>
      <c r="FPI2" s="14"/>
      <c r="FPJ2" s="14"/>
      <c r="FPK2" s="14"/>
      <c r="FPL2" s="14"/>
      <c r="FPM2" s="14"/>
      <c r="FPN2" s="14"/>
      <c r="FPO2" s="14"/>
      <c r="FPP2" s="14"/>
      <c r="FPQ2" s="14"/>
      <c r="FPR2" s="14"/>
      <c r="FPS2" s="14"/>
      <c r="FPT2" s="14"/>
      <c r="FPU2" s="14"/>
      <c r="FPV2" s="14"/>
      <c r="FPW2" s="14"/>
      <c r="FPX2" s="14"/>
      <c r="FPY2" s="14"/>
      <c r="FPZ2" s="14"/>
      <c r="FQA2" s="14"/>
      <c r="FQB2" s="14"/>
      <c r="FQC2" s="14"/>
      <c r="FQD2" s="14"/>
      <c r="FQE2" s="14"/>
      <c r="FQF2" s="14"/>
      <c r="FQG2" s="14"/>
      <c r="FQH2" s="14"/>
      <c r="FQI2" s="14"/>
      <c r="FQJ2" s="14"/>
      <c r="FQK2" s="14"/>
      <c r="FQL2" s="14"/>
      <c r="FQM2" s="14"/>
      <c r="FQN2" s="14"/>
      <c r="FQO2" s="14"/>
      <c r="FQP2" s="14"/>
      <c r="FQQ2" s="14"/>
      <c r="FQR2" s="14"/>
      <c r="FQS2" s="14"/>
      <c r="FQT2" s="14"/>
      <c r="FQU2" s="14"/>
      <c r="FQV2" s="14"/>
      <c r="FQW2" s="14"/>
      <c r="FQX2" s="14"/>
      <c r="FQY2" s="14"/>
      <c r="FQZ2" s="14"/>
      <c r="FRA2" s="14"/>
      <c r="FRB2" s="14"/>
      <c r="FRC2" s="14"/>
      <c r="FRD2" s="14"/>
      <c r="FRE2" s="14"/>
      <c r="FRF2" s="14"/>
      <c r="FRG2" s="14"/>
      <c r="FRH2" s="14"/>
      <c r="FRI2" s="14"/>
      <c r="FRJ2" s="14"/>
      <c r="FRK2" s="14"/>
      <c r="FRL2" s="14"/>
      <c r="FRM2" s="14"/>
      <c r="FRN2" s="14"/>
      <c r="FRO2" s="14"/>
      <c r="FRP2" s="14"/>
      <c r="FRQ2" s="14"/>
      <c r="FRR2" s="14"/>
      <c r="FRS2" s="14"/>
      <c r="FRT2" s="14"/>
      <c r="FRU2" s="14"/>
      <c r="FRV2" s="14"/>
      <c r="FRW2" s="14"/>
      <c r="FRX2" s="14"/>
      <c r="FRY2" s="14"/>
      <c r="FRZ2" s="14"/>
      <c r="FSA2" s="14"/>
      <c r="FSB2" s="14"/>
      <c r="FSC2" s="14"/>
      <c r="FSD2" s="14"/>
      <c r="FSE2" s="14"/>
      <c r="FSF2" s="14"/>
      <c r="FSG2" s="14"/>
      <c r="FSH2" s="14"/>
      <c r="FSI2" s="14"/>
      <c r="FSJ2" s="14"/>
      <c r="FSK2" s="14"/>
      <c r="FSL2" s="14"/>
      <c r="FSM2" s="14"/>
      <c r="FSN2" s="14"/>
      <c r="FSO2" s="14"/>
      <c r="FSP2" s="14"/>
      <c r="FSQ2" s="14"/>
      <c r="FSR2" s="14"/>
      <c r="FSS2" s="14"/>
      <c r="FST2" s="14"/>
      <c r="FSU2" s="14"/>
      <c r="FSV2" s="14"/>
      <c r="FSW2" s="14"/>
      <c r="FSX2" s="14"/>
      <c r="FSY2" s="14"/>
      <c r="FSZ2" s="14"/>
      <c r="FTA2" s="14"/>
      <c r="FTB2" s="14"/>
      <c r="FTC2" s="14"/>
      <c r="FTD2" s="14"/>
      <c r="FTE2" s="14"/>
      <c r="FTF2" s="14"/>
      <c r="FTG2" s="14"/>
      <c r="FTH2" s="14"/>
      <c r="FTI2" s="14"/>
      <c r="FTJ2" s="14"/>
      <c r="FTK2" s="14"/>
      <c r="FTL2" s="14"/>
      <c r="FTM2" s="14"/>
      <c r="FTN2" s="14"/>
      <c r="FTO2" s="14"/>
      <c r="FTP2" s="14"/>
      <c r="FTQ2" s="14"/>
      <c r="FTR2" s="14"/>
      <c r="FTS2" s="14"/>
      <c r="FTT2" s="14"/>
      <c r="FTU2" s="14"/>
      <c r="FTV2" s="14"/>
      <c r="FTW2" s="14"/>
      <c r="FTX2" s="14"/>
      <c r="FTY2" s="14"/>
      <c r="FTZ2" s="14"/>
      <c r="FUA2" s="14"/>
      <c r="FUB2" s="14"/>
      <c r="FUC2" s="14"/>
      <c r="FUD2" s="14"/>
      <c r="FUE2" s="14"/>
      <c r="FUF2" s="14"/>
      <c r="FUG2" s="14"/>
      <c r="FUH2" s="14"/>
      <c r="FUI2" s="14"/>
      <c r="FUJ2" s="14"/>
      <c r="FUK2" s="14"/>
      <c r="FUL2" s="14"/>
      <c r="FUM2" s="14"/>
      <c r="FUN2" s="14"/>
      <c r="FUO2" s="14"/>
      <c r="FUP2" s="14"/>
      <c r="FUQ2" s="14"/>
      <c r="FUR2" s="14"/>
      <c r="FUS2" s="14"/>
      <c r="FUT2" s="14"/>
      <c r="FUU2" s="14"/>
      <c r="FUV2" s="14"/>
      <c r="FUW2" s="14"/>
      <c r="FUX2" s="14"/>
      <c r="FUY2" s="14"/>
      <c r="FUZ2" s="14"/>
      <c r="FVA2" s="14"/>
      <c r="FVB2" s="14"/>
      <c r="FVC2" s="14"/>
      <c r="FVD2" s="14"/>
      <c r="FVE2" s="14"/>
      <c r="FVF2" s="14"/>
      <c r="FVG2" s="14"/>
      <c r="FVH2" s="14"/>
      <c r="FVI2" s="14"/>
      <c r="FVJ2" s="14"/>
      <c r="FVK2" s="14"/>
      <c r="FVL2" s="14"/>
      <c r="FVM2" s="14"/>
      <c r="FVN2" s="14"/>
      <c r="FVO2" s="14"/>
      <c r="FVP2" s="14"/>
      <c r="FVQ2" s="14"/>
      <c r="FVR2" s="14"/>
      <c r="FVS2" s="14"/>
      <c r="FVT2" s="14"/>
      <c r="FVU2" s="14"/>
      <c r="FVV2" s="14"/>
      <c r="FVW2" s="14"/>
      <c r="FVX2" s="14"/>
      <c r="FVY2" s="14"/>
      <c r="FVZ2" s="14"/>
      <c r="FWA2" s="14"/>
      <c r="FWB2" s="14"/>
      <c r="FWC2" s="14"/>
      <c r="FWD2" s="14"/>
      <c r="FWE2" s="14"/>
      <c r="FWF2" s="14"/>
      <c r="FWG2" s="14"/>
      <c r="FWH2" s="14"/>
      <c r="FWI2" s="14"/>
      <c r="FWJ2" s="14"/>
      <c r="FWK2" s="14"/>
      <c r="FWL2" s="14"/>
      <c r="FWM2" s="14"/>
      <c r="FWN2" s="14"/>
      <c r="FWO2" s="14"/>
      <c r="FWP2" s="14"/>
      <c r="FWQ2" s="14"/>
      <c r="FWR2" s="14"/>
      <c r="FWS2" s="14"/>
      <c r="FWT2" s="14"/>
      <c r="FWU2" s="14"/>
      <c r="FWV2" s="14"/>
      <c r="FWW2" s="14"/>
      <c r="FWX2" s="14"/>
      <c r="FWY2" s="14"/>
      <c r="FWZ2" s="14"/>
      <c r="FXA2" s="14"/>
      <c r="FXB2" s="14"/>
      <c r="FXC2" s="14"/>
      <c r="FXD2" s="14"/>
      <c r="FXE2" s="14"/>
      <c r="FXF2" s="14"/>
      <c r="FXG2" s="14"/>
      <c r="FXH2" s="14"/>
      <c r="FXI2" s="14"/>
      <c r="FXJ2" s="14"/>
      <c r="FXK2" s="14"/>
      <c r="FXL2" s="14"/>
      <c r="FXM2" s="14"/>
      <c r="FXN2" s="14"/>
      <c r="FXO2" s="14"/>
      <c r="FXP2" s="14"/>
      <c r="FXQ2" s="14"/>
      <c r="FXR2" s="14"/>
      <c r="FXS2" s="14"/>
      <c r="FXT2" s="14"/>
      <c r="FXU2" s="14"/>
      <c r="FXV2" s="14"/>
      <c r="FXW2" s="14"/>
      <c r="FXX2" s="14"/>
      <c r="FXY2" s="14"/>
      <c r="FXZ2" s="14"/>
      <c r="FYA2" s="14"/>
      <c r="FYB2" s="14"/>
      <c r="FYC2" s="14"/>
      <c r="FYD2" s="14"/>
      <c r="FYE2" s="14"/>
      <c r="FYF2" s="14"/>
      <c r="FYG2" s="14"/>
      <c r="FYH2" s="14"/>
      <c r="FYI2" s="14"/>
      <c r="FYJ2" s="14"/>
      <c r="FYK2" s="14"/>
      <c r="FYL2" s="14"/>
      <c r="FYM2" s="14"/>
      <c r="FYN2" s="14"/>
      <c r="FYO2" s="14"/>
      <c r="FYP2" s="14"/>
      <c r="FYQ2" s="14"/>
      <c r="FYR2" s="14"/>
      <c r="FYS2" s="14"/>
      <c r="FYT2" s="14"/>
      <c r="FYU2" s="14"/>
      <c r="FYV2" s="14"/>
      <c r="FYW2" s="14"/>
      <c r="FYX2" s="14"/>
      <c r="FYY2" s="14"/>
      <c r="FYZ2" s="14"/>
      <c r="FZA2" s="14"/>
      <c r="FZB2" s="14"/>
      <c r="FZC2" s="14"/>
      <c r="FZD2" s="14"/>
      <c r="FZE2" s="14"/>
      <c r="FZF2" s="14"/>
      <c r="FZG2" s="14"/>
      <c r="FZH2" s="14"/>
      <c r="FZI2" s="14"/>
      <c r="FZJ2" s="14"/>
      <c r="FZK2" s="14"/>
      <c r="FZL2" s="14"/>
      <c r="FZM2" s="14"/>
      <c r="FZN2" s="14"/>
      <c r="FZO2" s="14"/>
      <c r="FZP2" s="14"/>
      <c r="FZQ2" s="14"/>
      <c r="FZR2" s="14"/>
      <c r="FZS2" s="14"/>
      <c r="FZT2" s="14"/>
      <c r="FZU2" s="14"/>
      <c r="FZV2" s="14"/>
      <c r="FZW2" s="14"/>
      <c r="FZX2" s="14"/>
      <c r="FZY2" s="14"/>
      <c r="FZZ2" s="14"/>
      <c r="GAA2" s="14"/>
      <c r="GAB2" s="14"/>
      <c r="GAC2" s="14"/>
      <c r="GAD2" s="14"/>
      <c r="GAE2" s="14"/>
      <c r="GAF2" s="14"/>
      <c r="GAG2" s="14"/>
      <c r="GAH2" s="14"/>
      <c r="GAI2" s="14"/>
      <c r="GAJ2" s="14"/>
      <c r="GAK2" s="14"/>
      <c r="GAL2" s="14"/>
      <c r="GAM2" s="14"/>
      <c r="GAN2" s="14"/>
      <c r="GAO2" s="14"/>
      <c r="GAP2" s="14"/>
      <c r="GAQ2" s="14"/>
      <c r="GAR2" s="14"/>
      <c r="GAS2" s="14"/>
      <c r="GAT2" s="14"/>
      <c r="GAU2" s="14"/>
      <c r="GAV2" s="14"/>
      <c r="GAW2" s="14"/>
      <c r="GAX2" s="14"/>
      <c r="GAY2" s="14"/>
      <c r="GAZ2" s="14"/>
      <c r="GBA2" s="14"/>
      <c r="GBB2" s="14"/>
      <c r="GBC2" s="14"/>
      <c r="GBD2" s="14"/>
      <c r="GBE2" s="14"/>
      <c r="GBF2" s="14"/>
      <c r="GBG2" s="14"/>
      <c r="GBH2" s="14"/>
      <c r="GBI2" s="14"/>
      <c r="GBJ2" s="14"/>
      <c r="GBK2" s="14"/>
      <c r="GBL2" s="14"/>
      <c r="GBM2" s="14"/>
      <c r="GBN2" s="14"/>
      <c r="GBO2" s="14"/>
      <c r="GBP2" s="14"/>
      <c r="GBQ2" s="14"/>
      <c r="GBR2" s="14"/>
      <c r="GBS2" s="14"/>
      <c r="GBT2" s="14"/>
      <c r="GBU2" s="14"/>
      <c r="GBV2" s="14"/>
      <c r="GBW2" s="14"/>
      <c r="GBX2" s="14"/>
      <c r="GBY2" s="14"/>
      <c r="GBZ2" s="14"/>
      <c r="GCA2" s="14"/>
      <c r="GCB2" s="14"/>
      <c r="GCC2" s="14"/>
      <c r="GCD2" s="14"/>
      <c r="GCE2" s="14"/>
      <c r="GCF2" s="14"/>
      <c r="GCG2" s="14"/>
      <c r="GCH2" s="14"/>
      <c r="GCI2" s="14"/>
      <c r="GCJ2" s="14"/>
      <c r="GCK2" s="14"/>
      <c r="GCL2" s="14"/>
      <c r="GCM2" s="14"/>
      <c r="GCN2" s="14"/>
      <c r="GCO2" s="14"/>
      <c r="GCP2" s="14"/>
      <c r="GCQ2" s="14"/>
      <c r="GCR2" s="14"/>
      <c r="GCS2" s="14"/>
      <c r="GCT2" s="14"/>
      <c r="GCU2" s="14"/>
      <c r="GCV2" s="14"/>
      <c r="GCW2" s="14"/>
      <c r="GCX2" s="14"/>
      <c r="GCY2" s="14"/>
      <c r="GCZ2" s="14"/>
      <c r="GDA2" s="14"/>
      <c r="GDB2" s="14"/>
      <c r="GDC2" s="14"/>
      <c r="GDD2" s="14"/>
      <c r="GDE2" s="14"/>
      <c r="GDF2" s="14"/>
      <c r="GDG2" s="14"/>
      <c r="GDH2" s="14"/>
      <c r="GDI2" s="14"/>
      <c r="GDJ2" s="14"/>
      <c r="GDK2" s="14"/>
      <c r="GDL2" s="14"/>
      <c r="GDM2" s="14"/>
      <c r="GDN2" s="14"/>
      <c r="GDO2" s="14"/>
      <c r="GDP2" s="14"/>
      <c r="GDQ2" s="14"/>
      <c r="GDR2" s="14"/>
      <c r="GDS2" s="14"/>
      <c r="GDT2" s="14"/>
      <c r="GDU2" s="14"/>
      <c r="GDV2" s="14"/>
      <c r="GDW2" s="14"/>
      <c r="GDX2" s="14"/>
      <c r="GDY2" s="14"/>
      <c r="GDZ2" s="14"/>
      <c r="GEA2" s="14"/>
      <c r="GEB2" s="14"/>
      <c r="GEC2" s="14"/>
      <c r="GED2" s="14"/>
      <c r="GEE2" s="14"/>
      <c r="GEF2" s="14"/>
      <c r="GEG2" s="14"/>
      <c r="GEH2" s="14"/>
      <c r="GEI2" s="14"/>
      <c r="GEJ2" s="14"/>
      <c r="GEK2" s="14"/>
      <c r="GEL2" s="14"/>
      <c r="GEM2" s="14"/>
      <c r="GEN2" s="14"/>
      <c r="GEO2" s="14"/>
      <c r="GEP2" s="14"/>
      <c r="GEQ2" s="14"/>
      <c r="GER2" s="14"/>
      <c r="GES2" s="14"/>
      <c r="GET2" s="14"/>
      <c r="GEU2" s="14"/>
      <c r="GEV2" s="14"/>
      <c r="GEW2" s="14"/>
      <c r="GEX2" s="14"/>
      <c r="GEY2" s="14"/>
      <c r="GEZ2" s="14"/>
      <c r="GFA2" s="14"/>
      <c r="GFB2" s="14"/>
      <c r="GFC2" s="14"/>
      <c r="GFD2" s="14"/>
      <c r="GFE2" s="14"/>
      <c r="GFF2" s="14"/>
      <c r="GFG2" s="14"/>
      <c r="GFH2" s="14"/>
      <c r="GFI2" s="14"/>
      <c r="GFJ2" s="14"/>
      <c r="GFK2" s="14"/>
      <c r="GFL2" s="14"/>
      <c r="GFM2" s="14"/>
      <c r="GFN2" s="14"/>
      <c r="GFO2" s="14"/>
      <c r="GFP2" s="14"/>
      <c r="GFQ2" s="14"/>
      <c r="GFR2" s="14"/>
      <c r="GFS2" s="14"/>
      <c r="GFT2" s="14"/>
      <c r="GFU2" s="14"/>
      <c r="GFV2" s="14"/>
      <c r="GFW2" s="14"/>
      <c r="GFX2" s="14"/>
      <c r="GFY2" s="14"/>
      <c r="GFZ2" s="14"/>
      <c r="GGA2" s="14"/>
      <c r="GGB2" s="14"/>
      <c r="GGC2" s="14"/>
      <c r="GGD2" s="14"/>
      <c r="GGE2" s="14"/>
      <c r="GGF2" s="14"/>
      <c r="GGG2" s="14"/>
      <c r="GGH2" s="14"/>
      <c r="GGI2" s="14"/>
      <c r="GGJ2" s="14"/>
      <c r="GGK2" s="14"/>
      <c r="GGL2" s="14"/>
      <c r="GGM2" s="14"/>
      <c r="GGN2" s="14"/>
      <c r="GGO2" s="14"/>
      <c r="GGP2" s="14"/>
      <c r="GGQ2" s="14"/>
      <c r="GGR2" s="14"/>
      <c r="GGS2" s="14"/>
      <c r="GGT2" s="14"/>
      <c r="GGU2" s="14"/>
      <c r="GGV2" s="14"/>
      <c r="GGW2" s="14"/>
      <c r="GGX2" s="14"/>
      <c r="GGY2" s="14"/>
      <c r="GGZ2" s="14"/>
      <c r="GHA2" s="14"/>
      <c r="GHB2" s="14"/>
      <c r="GHC2" s="14"/>
      <c r="GHD2" s="14"/>
      <c r="GHE2" s="14"/>
      <c r="GHF2" s="14"/>
      <c r="GHG2" s="14"/>
      <c r="GHH2" s="14"/>
      <c r="GHI2" s="14"/>
      <c r="GHJ2" s="14"/>
      <c r="GHK2" s="14"/>
      <c r="GHL2" s="14"/>
      <c r="GHM2" s="14"/>
      <c r="GHN2" s="14"/>
      <c r="GHO2" s="14"/>
      <c r="GHP2" s="14"/>
      <c r="GHQ2" s="14"/>
      <c r="GHR2" s="14"/>
      <c r="GHS2" s="14"/>
      <c r="GHT2" s="14"/>
      <c r="GHU2" s="14"/>
      <c r="GHV2" s="14"/>
      <c r="GHW2" s="14"/>
      <c r="GHX2" s="14"/>
      <c r="GHY2" s="14"/>
      <c r="GHZ2" s="14"/>
      <c r="GIA2" s="14"/>
      <c r="GIB2" s="14"/>
      <c r="GIC2" s="14"/>
      <c r="GID2" s="14"/>
      <c r="GIE2" s="14"/>
      <c r="GIF2" s="14"/>
      <c r="GIG2" s="14"/>
      <c r="GIH2" s="14"/>
      <c r="GII2" s="14"/>
      <c r="GIJ2" s="14"/>
      <c r="GIK2" s="14"/>
      <c r="GIL2" s="14"/>
      <c r="GIM2" s="14"/>
      <c r="GIN2" s="14"/>
      <c r="GIO2" s="14"/>
      <c r="GIP2" s="14"/>
      <c r="GIQ2" s="14"/>
      <c r="GIR2" s="14"/>
      <c r="GIS2" s="14"/>
      <c r="GIT2" s="14"/>
      <c r="GIU2" s="14"/>
      <c r="GIV2" s="14"/>
      <c r="GIW2" s="14"/>
      <c r="GIX2" s="14"/>
      <c r="GIY2" s="14"/>
      <c r="GIZ2" s="14"/>
      <c r="GJA2" s="14"/>
      <c r="GJB2" s="14"/>
      <c r="GJC2" s="14"/>
      <c r="GJD2" s="14"/>
      <c r="GJE2" s="14"/>
      <c r="GJF2" s="14"/>
      <c r="GJG2" s="14"/>
      <c r="GJH2" s="14"/>
      <c r="GJI2" s="14"/>
      <c r="GJJ2" s="14"/>
      <c r="GJK2" s="14"/>
      <c r="GJL2" s="14"/>
      <c r="GJM2" s="14"/>
      <c r="GJN2" s="14"/>
      <c r="GJO2" s="14"/>
      <c r="GJP2" s="14"/>
      <c r="GJQ2" s="14"/>
      <c r="GJR2" s="14"/>
      <c r="GJS2" s="14"/>
      <c r="GJT2" s="14"/>
      <c r="GJU2" s="14"/>
      <c r="GJV2" s="14"/>
      <c r="GJW2" s="14"/>
      <c r="GJX2" s="14"/>
      <c r="GJY2" s="14"/>
      <c r="GJZ2" s="14"/>
      <c r="GKA2" s="14"/>
      <c r="GKB2" s="14"/>
      <c r="GKC2" s="14"/>
      <c r="GKD2" s="14"/>
      <c r="GKE2" s="14"/>
      <c r="GKF2" s="14"/>
      <c r="GKG2" s="14"/>
      <c r="GKH2" s="14"/>
      <c r="GKI2" s="14"/>
      <c r="GKJ2" s="14"/>
      <c r="GKK2" s="14"/>
      <c r="GKL2" s="14"/>
      <c r="GKM2" s="14"/>
      <c r="GKN2" s="14"/>
      <c r="GKO2" s="14"/>
      <c r="GKP2" s="14"/>
      <c r="GKQ2" s="14"/>
      <c r="GKR2" s="14"/>
      <c r="GKS2" s="14"/>
      <c r="GKT2" s="14"/>
      <c r="GKU2" s="14"/>
      <c r="GKV2" s="14"/>
      <c r="GKW2" s="14"/>
      <c r="GKX2" s="14"/>
      <c r="GKY2" s="14"/>
      <c r="GKZ2" s="14"/>
      <c r="GLA2" s="14"/>
      <c r="GLB2" s="14"/>
      <c r="GLC2" s="14"/>
      <c r="GLD2" s="14"/>
      <c r="GLE2" s="14"/>
      <c r="GLF2" s="14"/>
      <c r="GLG2" s="14"/>
      <c r="GLH2" s="14"/>
      <c r="GLI2" s="14"/>
      <c r="GLJ2" s="14"/>
      <c r="GLK2" s="14"/>
      <c r="GLL2" s="14"/>
      <c r="GLM2" s="14"/>
      <c r="GLN2" s="14"/>
      <c r="GLO2" s="14"/>
      <c r="GLP2" s="14"/>
      <c r="GLQ2" s="14"/>
      <c r="GLR2" s="14"/>
      <c r="GLS2" s="14"/>
      <c r="GLT2" s="14"/>
      <c r="GLU2" s="14"/>
      <c r="GLV2" s="14"/>
      <c r="GLW2" s="14"/>
      <c r="GLX2" s="14"/>
      <c r="GLY2" s="14"/>
      <c r="GLZ2" s="14"/>
      <c r="GMA2" s="14"/>
      <c r="GMB2" s="14"/>
      <c r="GMC2" s="14"/>
      <c r="GMD2" s="14"/>
      <c r="GME2" s="14"/>
      <c r="GMF2" s="14"/>
      <c r="GMG2" s="14"/>
      <c r="GMH2" s="14"/>
      <c r="GMI2" s="14"/>
      <c r="GMJ2" s="14"/>
      <c r="GMK2" s="14"/>
      <c r="GML2" s="14"/>
      <c r="GMM2" s="14"/>
      <c r="GMN2" s="14"/>
      <c r="GMO2" s="14"/>
      <c r="GMP2" s="14"/>
      <c r="GMQ2" s="14"/>
      <c r="GMR2" s="14"/>
      <c r="GMS2" s="14"/>
      <c r="GMT2" s="14"/>
      <c r="GMU2" s="14"/>
      <c r="GMV2" s="14"/>
      <c r="GMW2" s="14"/>
      <c r="GMX2" s="14"/>
      <c r="GMY2" s="14"/>
      <c r="GMZ2" s="14"/>
      <c r="GNA2" s="14"/>
      <c r="GNB2" s="14"/>
      <c r="GNC2" s="14"/>
      <c r="GND2" s="14"/>
      <c r="GNE2" s="14"/>
      <c r="GNF2" s="14"/>
      <c r="GNG2" s="14"/>
      <c r="GNH2" s="14"/>
      <c r="GNI2" s="14"/>
      <c r="GNJ2" s="14"/>
      <c r="GNK2" s="14"/>
      <c r="GNL2" s="14"/>
      <c r="GNM2" s="14"/>
      <c r="GNN2" s="14"/>
      <c r="GNO2" s="14"/>
      <c r="GNP2" s="14"/>
      <c r="GNQ2" s="14"/>
      <c r="GNR2" s="14"/>
      <c r="GNS2" s="14"/>
      <c r="GNT2" s="14"/>
      <c r="GNU2" s="14"/>
      <c r="GNV2" s="14"/>
      <c r="GNW2" s="14"/>
      <c r="GNX2" s="14"/>
      <c r="GNY2" s="14"/>
      <c r="GNZ2" s="14"/>
      <c r="GOA2" s="14"/>
      <c r="GOB2" s="14"/>
      <c r="GOC2" s="14"/>
      <c r="GOD2" s="14"/>
      <c r="GOE2" s="14"/>
      <c r="GOF2" s="14"/>
      <c r="GOG2" s="14"/>
      <c r="GOH2" s="14"/>
      <c r="GOI2" s="14"/>
      <c r="GOJ2" s="14"/>
      <c r="GOK2" s="14"/>
      <c r="GOL2" s="14"/>
      <c r="GOM2" s="14"/>
      <c r="GON2" s="14"/>
      <c r="GOO2" s="14"/>
      <c r="GOP2" s="14"/>
      <c r="GOQ2" s="14"/>
      <c r="GOR2" s="14"/>
      <c r="GOS2" s="14"/>
      <c r="GOT2" s="14"/>
      <c r="GOU2" s="14"/>
      <c r="GOV2" s="14"/>
      <c r="GOW2" s="14"/>
      <c r="GOX2" s="14"/>
      <c r="GOY2" s="14"/>
      <c r="GOZ2" s="14"/>
      <c r="GPA2" s="14"/>
      <c r="GPB2" s="14"/>
      <c r="GPC2" s="14"/>
      <c r="GPD2" s="14"/>
      <c r="GPE2" s="14"/>
      <c r="GPF2" s="14"/>
      <c r="GPG2" s="14"/>
      <c r="GPH2" s="14"/>
      <c r="GPI2" s="14"/>
      <c r="GPJ2" s="14"/>
      <c r="GPK2" s="14"/>
      <c r="GPL2" s="14"/>
      <c r="GPM2" s="14"/>
      <c r="GPN2" s="14"/>
      <c r="GPO2" s="14"/>
      <c r="GPP2" s="14"/>
      <c r="GPQ2" s="14"/>
      <c r="GPR2" s="14"/>
      <c r="GPS2" s="14"/>
      <c r="GPT2" s="14"/>
      <c r="GPU2" s="14"/>
      <c r="GPV2" s="14"/>
      <c r="GPW2" s="14"/>
      <c r="GPX2" s="14"/>
      <c r="GPY2" s="14"/>
      <c r="GPZ2" s="14"/>
      <c r="GQA2" s="14"/>
      <c r="GQB2" s="14"/>
      <c r="GQC2" s="14"/>
      <c r="GQD2" s="14"/>
      <c r="GQE2" s="14"/>
      <c r="GQF2" s="14"/>
      <c r="GQG2" s="14"/>
      <c r="GQH2" s="14"/>
      <c r="GQI2" s="14"/>
      <c r="GQJ2" s="14"/>
      <c r="GQK2" s="14"/>
      <c r="GQL2" s="14"/>
      <c r="GQM2" s="14"/>
      <c r="GQN2" s="14"/>
      <c r="GQO2" s="14"/>
      <c r="GQP2" s="14"/>
      <c r="GQQ2" s="14"/>
      <c r="GQR2" s="14"/>
      <c r="GQS2" s="14"/>
      <c r="GQT2" s="14"/>
      <c r="GQU2" s="14"/>
      <c r="GQV2" s="14"/>
      <c r="GQW2" s="14"/>
      <c r="GQX2" s="14"/>
      <c r="GQY2" s="14"/>
      <c r="GQZ2" s="14"/>
      <c r="GRA2" s="14"/>
      <c r="GRB2" s="14"/>
      <c r="GRC2" s="14"/>
      <c r="GRD2" s="14"/>
      <c r="GRE2" s="14"/>
      <c r="GRF2" s="14"/>
      <c r="GRG2" s="14"/>
      <c r="GRH2" s="14"/>
      <c r="GRI2" s="14"/>
      <c r="GRJ2" s="14"/>
      <c r="GRK2" s="14"/>
      <c r="GRL2" s="14"/>
      <c r="GRM2" s="14"/>
      <c r="GRN2" s="14"/>
      <c r="GRO2" s="14"/>
      <c r="GRP2" s="14"/>
      <c r="GRQ2" s="14"/>
      <c r="GRR2" s="14"/>
      <c r="GRS2" s="14"/>
      <c r="GRT2" s="14"/>
      <c r="GRU2" s="14"/>
      <c r="GRV2" s="14"/>
      <c r="GRW2" s="14"/>
      <c r="GRX2" s="14"/>
      <c r="GRY2" s="14"/>
      <c r="GRZ2" s="14"/>
      <c r="GSA2" s="14"/>
      <c r="GSB2" s="14"/>
      <c r="GSC2" s="14"/>
      <c r="GSD2" s="14"/>
      <c r="GSE2" s="14"/>
      <c r="GSF2" s="14"/>
      <c r="GSG2" s="14"/>
      <c r="GSH2" s="14"/>
      <c r="GSI2" s="14"/>
      <c r="GSJ2" s="14"/>
      <c r="GSK2" s="14"/>
      <c r="GSL2" s="14"/>
      <c r="GSM2" s="14"/>
      <c r="GSN2" s="14"/>
      <c r="GSO2" s="14"/>
      <c r="GSP2" s="14"/>
      <c r="GSQ2" s="14"/>
      <c r="GSR2" s="14"/>
      <c r="GSS2" s="14"/>
      <c r="GST2" s="14"/>
      <c r="GSU2" s="14"/>
      <c r="GSV2" s="14"/>
      <c r="GSW2" s="14"/>
      <c r="GSX2" s="14"/>
      <c r="GSY2" s="14"/>
      <c r="GSZ2" s="14"/>
      <c r="GTA2" s="14"/>
      <c r="GTB2" s="14"/>
      <c r="GTC2" s="14"/>
      <c r="GTD2" s="14"/>
      <c r="GTE2" s="14"/>
      <c r="GTF2" s="14"/>
      <c r="GTG2" s="14"/>
      <c r="GTH2" s="14"/>
      <c r="GTI2" s="14"/>
      <c r="GTJ2" s="14"/>
      <c r="GTK2" s="14"/>
      <c r="GTL2" s="14"/>
      <c r="GTM2" s="14"/>
      <c r="GTN2" s="14"/>
      <c r="GTO2" s="14"/>
      <c r="GTP2" s="14"/>
      <c r="GTQ2" s="14"/>
      <c r="GTR2" s="14"/>
      <c r="GTS2" s="14"/>
      <c r="GTT2" s="14"/>
      <c r="GTU2" s="14"/>
      <c r="GTV2" s="14"/>
      <c r="GTW2" s="14"/>
      <c r="GTX2" s="14"/>
      <c r="GTY2" s="14"/>
      <c r="GTZ2" s="14"/>
      <c r="GUA2" s="14"/>
      <c r="GUB2" s="14"/>
      <c r="GUC2" s="14"/>
      <c r="GUD2" s="14"/>
      <c r="GUE2" s="14"/>
      <c r="GUF2" s="14"/>
      <c r="GUG2" s="14"/>
      <c r="GUH2" s="14"/>
      <c r="GUI2" s="14"/>
      <c r="GUJ2" s="14"/>
      <c r="GUK2" s="14"/>
      <c r="GUL2" s="14"/>
      <c r="GUM2" s="14"/>
      <c r="GUN2" s="14"/>
      <c r="GUO2" s="14"/>
      <c r="GUP2" s="14"/>
      <c r="GUQ2" s="14"/>
      <c r="GUR2" s="14"/>
      <c r="GUS2" s="14"/>
      <c r="GUT2" s="14"/>
      <c r="GUU2" s="14"/>
      <c r="GUV2" s="14"/>
      <c r="GUW2" s="14"/>
      <c r="GUX2" s="14"/>
      <c r="GUY2" s="14"/>
      <c r="GUZ2" s="14"/>
      <c r="GVA2" s="14"/>
      <c r="GVB2" s="14"/>
      <c r="GVC2" s="14"/>
      <c r="GVD2" s="14"/>
      <c r="GVE2" s="14"/>
      <c r="GVF2" s="14"/>
      <c r="GVG2" s="14"/>
      <c r="GVH2" s="14"/>
      <c r="GVI2" s="14"/>
      <c r="GVJ2" s="14"/>
      <c r="GVK2" s="14"/>
      <c r="GVL2" s="14"/>
      <c r="GVM2" s="14"/>
      <c r="GVN2" s="14"/>
      <c r="GVO2" s="14"/>
      <c r="GVP2" s="14"/>
      <c r="GVQ2" s="14"/>
      <c r="GVR2" s="14"/>
      <c r="GVS2" s="14"/>
      <c r="GVT2" s="14"/>
      <c r="GVU2" s="14"/>
      <c r="GVV2" s="14"/>
      <c r="GVW2" s="14"/>
      <c r="GVX2" s="14"/>
      <c r="GVY2" s="14"/>
      <c r="GVZ2" s="14"/>
      <c r="GWA2" s="14"/>
      <c r="GWB2" s="14"/>
      <c r="GWC2" s="14"/>
      <c r="GWD2" s="14"/>
      <c r="GWE2" s="14"/>
      <c r="GWF2" s="14"/>
      <c r="GWG2" s="14"/>
      <c r="GWH2" s="14"/>
      <c r="GWI2" s="14"/>
      <c r="GWJ2" s="14"/>
      <c r="GWK2" s="14"/>
      <c r="GWL2" s="14"/>
      <c r="GWM2" s="14"/>
      <c r="GWN2" s="14"/>
      <c r="GWO2" s="14"/>
      <c r="GWP2" s="14"/>
      <c r="GWQ2" s="14"/>
      <c r="GWR2" s="14"/>
      <c r="GWS2" s="14"/>
      <c r="GWT2" s="14"/>
      <c r="GWU2" s="14"/>
      <c r="GWV2" s="14"/>
      <c r="GWW2" s="14"/>
      <c r="GWX2" s="14"/>
      <c r="GWY2" s="14"/>
      <c r="GWZ2" s="14"/>
      <c r="GXA2" s="14"/>
      <c r="GXB2" s="14"/>
      <c r="GXC2" s="14"/>
      <c r="GXD2" s="14"/>
      <c r="GXE2" s="14"/>
      <c r="GXF2" s="14"/>
      <c r="GXG2" s="14"/>
      <c r="GXH2" s="14"/>
      <c r="GXI2" s="14"/>
      <c r="GXJ2" s="14"/>
      <c r="GXK2" s="14"/>
      <c r="GXL2" s="14"/>
      <c r="GXM2" s="14"/>
      <c r="GXN2" s="14"/>
      <c r="GXO2" s="14"/>
      <c r="GXP2" s="14"/>
      <c r="GXQ2" s="14"/>
      <c r="GXR2" s="14"/>
      <c r="GXS2" s="14"/>
      <c r="GXT2" s="14"/>
      <c r="GXU2" s="14"/>
      <c r="GXV2" s="14"/>
      <c r="GXW2" s="14"/>
      <c r="GXX2" s="14"/>
      <c r="GXY2" s="14"/>
      <c r="GXZ2" s="14"/>
      <c r="GYA2" s="14"/>
      <c r="GYB2" s="14"/>
      <c r="GYC2" s="14"/>
      <c r="GYD2" s="14"/>
      <c r="GYE2" s="14"/>
      <c r="GYF2" s="14"/>
      <c r="GYG2" s="14"/>
      <c r="GYH2" s="14"/>
      <c r="GYI2" s="14"/>
      <c r="GYJ2" s="14"/>
      <c r="GYK2" s="14"/>
      <c r="GYL2" s="14"/>
      <c r="GYM2" s="14"/>
      <c r="GYN2" s="14"/>
      <c r="GYO2" s="14"/>
      <c r="GYP2" s="14"/>
      <c r="GYQ2" s="14"/>
      <c r="GYR2" s="14"/>
      <c r="GYS2" s="14"/>
      <c r="GYT2" s="14"/>
      <c r="GYU2" s="14"/>
      <c r="GYV2" s="14"/>
      <c r="GYW2" s="14"/>
      <c r="GYX2" s="14"/>
      <c r="GYY2" s="14"/>
      <c r="GYZ2" s="14"/>
      <c r="GZA2" s="14"/>
      <c r="GZB2" s="14"/>
      <c r="GZC2" s="14"/>
      <c r="GZD2" s="14"/>
      <c r="GZE2" s="14"/>
      <c r="GZF2" s="14"/>
      <c r="GZG2" s="14"/>
      <c r="GZH2" s="14"/>
      <c r="GZI2" s="14"/>
      <c r="GZJ2" s="14"/>
      <c r="GZK2" s="14"/>
      <c r="GZL2" s="14"/>
      <c r="GZM2" s="14"/>
      <c r="GZN2" s="14"/>
      <c r="GZO2" s="14"/>
      <c r="GZP2" s="14"/>
      <c r="GZQ2" s="14"/>
      <c r="GZR2" s="14"/>
      <c r="GZS2" s="14"/>
      <c r="GZT2" s="14"/>
      <c r="GZU2" s="14"/>
      <c r="GZV2" s="14"/>
      <c r="GZW2" s="14"/>
      <c r="GZX2" s="14"/>
      <c r="GZY2" s="14"/>
      <c r="GZZ2" s="14"/>
      <c r="HAA2" s="14"/>
      <c r="HAB2" s="14"/>
      <c r="HAC2" s="14"/>
      <c r="HAD2" s="14"/>
      <c r="HAE2" s="14"/>
      <c r="HAF2" s="14"/>
      <c r="HAG2" s="14"/>
      <c r="HAH2" s="14"/>
      <c r="HAI2" s="14"/>
      <c r="HAJ2" s="14"/>
      <c r="HAK2" s="14"/>
      <c r="HAL2" s="14"/>
      <c r="HAM2" s="14"/>
      <c r="HAN2" s="14"/>
      <c r="HAO2" s="14"/>
      <c r="HAP2" s="14"/>
      <c r="HAQ2" s="14"/>
      <c r="HAR2" s="14"/>
      <c r="HAS2" s="14"/>
      <c r="HAT2" s="14"/>
      <c r="HAU2" s="14"/>
      <c r="HAV2" s="14"/>
      <c r="HAW2" s="14"/>
      <c r="HAX2" s="14"/>
      <c r="HAY2" s="14"/>
      <c r="HAZ2" s="14"/>
      <c r="HBA2" s="14"/>
      <c r="HBB2" s="14"/>
      <c r="HBC2" s="14"/>
      <c r="HBD2" s="14"/>
      <c r="HBE2" s="14"/>
      <c r="HBF2" s="14"/>
      <c r="HBG2" s="14"/>
      <c r="HBH2" s="14"/>
      <c r="HBI2" s="14"/>
      <c r="HBJ2" s="14"/>
      <c r="HBK2" s="14"/>
      <c r="HBL2" s="14"/>
      <c r="HBM2" s="14"/>
      <c r="HBN2" s="14"/>
      <c r="HBO2" s="14"/>
      <c r="HBP2" s="14"/>
      <c r="HBQ2" s="14"/>
      <c r="HBR2" s="14"/>
      <c r="HBS2" s="14"/>
      <c r="HBT2" s="14"/>
      <c r="HBU2" s="14"/>
      <c r="HBV2" s="14"/>
      <c r="HBW2" s="14"/>
      <c r="HBX2" s="14"/>
      <c r="HBY2" s="14"/>
      <c r="HBZ2" s="14"/>
      <c r="HCA2" s="14"/>
      <c r="HCB2" s="14"/>
      <c r="HCC2" s="14"/>
      <c r="HCD2" s="14"/>
      <c r="HCE2" s="14"/>
      <c r="HCF2" s="14"/>
      <c r="HCG2" s="14"/>
      <c r="HCH2" s="14"/>
      <c r="HCI2" s="14"/>
      <c r="HCJ2" s="14"/>
      <c r="HCK2" s="14"/>
      <c r="HCL2" s="14"/>
      <c r="HCM2" s="14"/>
      <c r="HCN2" s="14"/>
      <c r="HCO2" s="14"/>
      <c r="HCP2" s="14"/>
      <c r="HCQ2" s="14"/>
      <c r="HCR2" s="14"/>
      <c r="HCS2" s="14"/>
      <c r="HCT2" s="14"/>
      <c r="HCU2" s="14"/>
      <c r="HCV2" s="14"/>
      <c r="HCW2" s="14"/>
      <c r="HCX2" s="14"/>
      <c r="HCY2" s="14"/>
      <c r="HCZ2" s="14"/>
      <c r="HDA2" s="14"/>
      <c r="HDB2" s="14"/>
      <c r="HDC2" s="14"/>
      <c r="HDD2" s="14"/>
      <c r="HDE2" s="14"/>
      <c r="HDF2" s="14"/>
      <c r="HDG2" s="14"/>
      <c r="HDH2" s="14"/>
      <c r="HDI2" s="14"/>
      <c r="HDJ2" s="14"/>
      <c r="HDK2" s="14"/>
      <c r="HDL2" s="14"/>
      <c r="HDM2" s="14"/>
      <c r="HDN2" s="14"/>
      <c r="HDO2" s="14"/>
      <c r="HDP2" s="14"/>
      <c r="HDQ2" s="14"/>
      <c r="HDR2" s="14"/>
      <c r="HDS2" s="14"/>
      <c r="HDT2" s="14"/>
      <c r="HDU2" s="14"/>
      <c r="HDV2" s="14"/>
      <c r="HDW2" s="14"/>
      <c r="HDX2" s="14"/>
      <c r="HDY2" s="14"/>
      <c r="HDZ2" s="14"/>
      <c r="HEA2" s="14"/>
      <c r="HEB2" s="14"/>
      <c r="HEC2" s="14"/>
      <c r="HED2" s="14"/>
      <c r="HEE2" s="14"/>
      <c r="HEF2" s="14"/>
      <c r="HEG2" s="14"/>
      <c r="HEH2" s="14"/>
      <c r="HEI2" s="14"/>
      <c r="HEJ2" s="14"/>
      <c r="HEK2" s="14"/>
      <c r="HEL2" s="14"/>
      <c r="HEM2" s="14"/>
      <c r="HEN2" s="14"/>
      <c r="HEO2" s="14"/>
      <c r="HEP2" s="14"/>
      <c r="HEQ2" s="14"/>
      <c r="HER2" s="14"/>
      <c r="HES2" s="14"/>
      <c r="HET2" s="14"/>
      <c r="HEU2" s="14"/>
      <c r="HEV2" s="14"/>
      <c r="HEW2" s="14"/>
      <c r="HEX2" s="14"/>
      <c r="HEY2" s="14"/>
      <c r="HEZ2" s="14"/>
      <c r="HFA2" s="14"/>
      <c r="HFB2" s="14"/>
      <c r="HFC2" s="14"/>
      <c r="HFD2" s="14"/>
      <c r="HFE2" s="14"/>
      <c r="HFF2" s="14"/>
      <c r="HFG2" s="14"/>
      <c r="HFH2" s="14"/>
      <c r="HFI2" s="14"/>
      <c r="HFJ2" s="14"/>
      <c r="HFK2" s="14"/>
      <c r="HFL2" s="14"/>
      <c r="HFM2" s="14"/>
      <c r="HFN2" s="14"/>
      <c r="HFO2" s="14"/>
      <c r="HFP2" s="14"/>
      <c r="HFQ2" s="14"/>
      <c r="HFR2" s="14"/>
      <c r="HFS2" s="14"/>
      <c r="HFT2" s="14"/>
      <c r="HFU2" s="14"/>
      <c r="HFV2" s="14"/>
      <c r="HFW2" s="14"/>
      <c r="HFX2" s="14"/>
      <c r="HFY2" s="14"/>
      <c r="HFZ2" s="14"/>
      <c r="HGA2" s="14"/>
      <c r="HGB2" s="14"/>
      <c r="HGC2" s="14"/>
      <c r="HGD2" s="14"/>
      <c r="HGE2" s="14"/>
      <c r="HGF2" s="14"/>
      <c r="HGG2" s="14"/>
      <c r="HGH2" s="14"/>
      <c r="HGI2" s="14"/>
      <c r="HGJ2" s="14"/>
      <c r="HGK2" s="14"/>
      <c r="HGL2" s="14"/>
      <c r="HGM2" s="14"/>
      <c r="HGN2" s="14"/>
      <c r="HGO2" s="14"/>
      <c r="HGP2" s="14"/>
      <c r="HGQ2" s="14"/>
      <c r="HGR2" s="14"/>
      <c r="HGS2" s="14"/>
      <c r="HGT2" s="14"/>
      <c r="HGU2" s="14"/>
      <c r="HGV2" s="14"/>
      <c r="HGW2" s="14"/>
      <c r="HGX2" s="14"/>
      <c r="HGY2" s="14"/>
      <c r="HGZ2" s="14"/>
      <c r="HHA2" s="14"/>
      <c r="HHB2" s="14"/>
      <c r="HHC2" s="14"/>
      <c r="HHD2" s="14"/>
      <c r="HHE2" s="14"/>
      <c r="HHF2" s="14"/>
      <c r="HHG2" s="14"/>
      <c r="HHH2" s="14"/>
      <c r="HHI2" s="14"/>
      <c r="HHJ2" s="14"/>
      <c r="HHK2" s="14"/>
      <c r="HHL2" s="14"/>
      <c r="HHM2" s="14"/>
      <c r="HHN2" s="14"/>
      <c r="HHO2" s="14"/>
      <c r="HHP2" s="14"/>
      <c r="HHQ2" s="14"/>
      <c r="HHR2" s="14"/>
      <c r="HHS2" s="14"/>
      <c r="HHT2" s="14"/>
      <c r="HHU2" s="14"/>
      <c r="HHV2" s="14"/>
      <c r="HHW2" s="14"/>
      <c r="HHX2" s="14"/>
      <c r="HHY2" s="14"/>
      <c r="HHZ2" s="14"/>
      <c r="HIA2" s="14"/>
      <c r="HIB2" s="14"/>
      <c r="HIC2" s="14"/>
      <c r="HID2" s="14"/>
      <c r="HIE2" s="14"/>
      <c r="HIF2" s="14"/>
      <c r="HIG2" s="14"/>
      <c r="HIH2" s="14"/>
      <c r="HII2" s="14"/>
      <c r="HIJ2" s="14"/>
      <c r="HIK2" s="14"/>
      <c r="HIL2" s="14"/>
      <c r="HIM2" s="14"/>
      <c r="HIN2" s="14"/>
      <c r="HIO2" s="14"/>
      <c r="HIP2" s="14"/>
      <c r="HIQ2" s="14"/>
      <c r="HIR2" s="14"/>
      <c r="HIS2" s="14"/>
      <c r="HIT2" s="14"/>
      <c r="HIU2" s="14"/>
      <c r="HIV2" s="14"/>
      <c r="HIW2" s="14"/>
      <c r="HIX2" s="14"/>
      <c r="HIY2" s="14"/>
      <c r="HIZ2" s="14"/>
      <c r="HJA2" s="14"/>
      <c r="HJB2" s="14"/>
      <c r="HJC2" s="14"/>
      <c r="HJD2" s="14"/>
      <c r="HJE2" s="14"/>
      <c r="HJF2" s="14"/>
      <c r="HJG2" s="14"/>
      <c r="HJH2" s="14"/>
      <c r="HJI2" s="14"/>
      <c r="HJJ2" s="14"/>
      <c r="HJK2" s="14"/>
      <c r="HJL2" s="14"/>
      <c r="HJM2" s="14"/>
      <c r="HJN2" s="14"/>
      <c r="HJO2" s="14"/>
      <c r="HJP2" s="14"/>
      <c r="HJQ2" s="14"/>
      <c r="HJR2" s="14"/>
      <c r="HJS2" s="14"/>
      <c r="HJT2" s="14"/>
      <c r="HJU2" s="14"/>
      <c r="HJV2" s="14"/>
      <c r="HJW2" s="14"/>
      <c r="HJX2" s="14"/>
      <c r="HJY2" s="14"/>
      <c r="HJZ2" s="14"/>
      <c r="HKA2" s="14"/>
      <c r="HKB2" s="14"/>
      <c r="HKC2" s="14"/>
      <c r="HKD2" s="14"/>
      <c r="HKE2" s="14"/>
      <c r="HKF2" s="14"/>
      <c r="HKG2" s="14"/>
      <c r="HKH2" s="14"/>
      <c r="HKI2" s="14"/>
      <c r="HKJ2" s="14"/>
      <c r="HKK2" s="14"/>
      <c r="HKL2" s="14"/>
      <c r="HKM2" s="14"/>
      <c r="HKN2" s="14"/>
      <c r="HKO2" s="14"/>
      <c r="HKP2" s="14"/>
      <c r="HKQ2" s="14"/>
      <c r="HKR2" s="14"/>
      <c r="HKS2" s="14"/>
      <c r="HKT2" s="14"/>
      <c r="HKU2" s="14"/>
      <c r="HKV2" s="14"/>
      <c r="HKW2" s="14"/>
      <c r="HKX2" s="14"/>
      <c r="HKY2" s="14"/>
      <c r="HKZ2" s="14"/>
      <c r="HLA2" s="14"/>
      <c r="HLB2" s="14"/>
      <c r="HLC2" s="14"/>
      <c r="HLD2" s="14"/>
      <c r="HLE2" s="14"/>
      <c r="HLF2" s="14"/>
      <c r="HLG2" s="14"/>
      <c r="HLH2" s="14"/>
      <c r="HLI2" s="14"/>
      <c r="HLJ2" s="14"/>
      <c r="HLK2" s="14"/>
      <c r="HLL2" s="14"/>
      <c r="HLM2" s="14"/>
      <c r="HLN2" s="14"/>
      <c r="HLO2" s="14"/>
      <c r="HLP2" s="14"/>
      <c r="HLQ2" s="14"/>
      <c r="HLR2" s="14"/>
      <c r="HLS2" s="14"/>
      <c r="HLT2" s="14"/>
      <c r="HLU2" s="14"/>
      <c r="HLV2" s="14"/>
      <c r="HLW2" s="14"/>
      <c r="HLX2" s="14"/>
      <c r="HLY2" s="14"/>
      <c r="HLZ2" s="14"/>
      <c r="HMA2" s="14"/>
      <c r="HMB2" s="14"/>
      <c r="HMC2" s="14"/>
      <c r="HMD2" s="14"/>
      <c r="HME2" s="14"/>
      <c r="HMF2" s="14"/>
      <c r="HMG2" s="14"/>
      <c r="HMH2" s="14"/>
      <c r="HMI2" s="14"/>
      <c r="HMJ2" s="14"/>
      <c r="HMK2" s="14"/>
      <c r="HML2" s="14"/>
      <c r="HMM2" s="14"/>
      <c r="HMN2" s="14"/>
      <c r="HMO2" s="14"/>
      <c r="HMP2" s="14"/>
      <c r="HMQ2" s="14"/>
      <c r="HMR2" s="14"/>
      <c r="HMS2" s="14"/>
      <c r="HMT2" s="14"/>
      <c r="HMU2" s="14"/>
      <c r="HMV2" s="14"/>
      <c r="HMW2" s="14"/>
      <c r="HMX2" s="14"/>
      <c r="HMY2" s="14"/>
      <c r="HMZ2" s="14"/>
      <c r="HNA2" s="14"/>
      <c r="HNB2" s="14"/>
      <c r="HNC2" s="14"/>
      <c r="HND2" s="14"/>
      <c r="HNE2" s="14"/>
      <c r="HNF2" s="14"/>
      <c r="HNG2" s="14"/>
      <c r="HNH2" s="14"/>
      <c r="HNI2" s="14"/>
      <c r="HNJ2" s="14"/>
      <c r="HNK2" s="14"/>
      <c r="HNL2" s="14"/>
      <c r="HNM2" s="14"/>
      <c r="HNN2" s="14"/>
      <c r="HNO2" s="14"/>
      <c r="HNP2" s="14"/>
      <c r="HNQ2" s="14"/>
      <c r="HNR2" s="14"/>
      <c r="HNS2" s="14"/>
      <c r="HNT2" s="14"/>
      <c r="HNU2" s="14"/>
      <c r="HNV2" s="14"/>
      <c r="HNW2" s="14"/>
      <c r="HNX2" s="14"/>
      <c r="HNY2" s="14"/>
      <c r="HNZ2" s="14"/>
      <c r="HOA2" s="14"/>
      <c r="HOB2" s="14"/>
      <c r="HOC2" s="14"/>
      <c r="HOD2" s="14"/>
      <c r="HOE2" s="14"/>
      <c r="HOF2" s="14"/>
      <c r="HOG2" s="14"/>
      <c r="HOH2" s="14"/>
      <c r="HOI2" s="14"/>
      <c r="HOJ2" s="14"/>
      <c r="HOK2" s="14"/>
      <c r="HOL2" s="14"/>
      <c r="HOM2" s="14"/>
      <c r="HON2" s="14"/>
      <c r="HOO2" s="14"/>
      <c r="HOP2" s="14"/>
      <c r="HOQ2" s="14"/>
      <c r="HOR2" s="14"/>
      <c r="HOS2" s="14"/>
      <c r="HOT2" s="14"/>
      <c r="HOU2" s="14"/>
      <c r="HOV2" s="14"/>
      <c r="HOW2" s="14"/>
      <c r="HOX2" s="14"/>
      <c r="HOY2" s="14"/>
      <c r="HOZ2" s="14"/>
      <c r="HPA2" s="14"/>
      <c r="HPB2" s="14"/>
      <c r="HPC2" s="14"/>
      <c r="HPD2" s="14"/>
      <c r="HPE2" s="14"/>
      <c r="HPF2" s="14"/>
      <c r="HPG2" s="14"/>
      <c r="HPH2" s="14"/>
      <c r="HPI2" s="14"/>
      <c r="HPJ2" s="14"/>
      <c r="HPK2" s="14"/>
      <c r="HPL2" s="14"/>
      <c r="HPM2" s="14"/>
      <c r="HPN2" s="14"/>
      <c r="HPO2" s="14"/>
      <c r="HPP2" s="14"/>
      <c r="HPQ2" s="14"/>
      <c r="HPR2" s="14"/>
      <c r="HPS2" s="14"/>
      <c r="HPT2" s="14"/>
      <c r="HPU2" s="14"/>
      <c r="HPV2" s="14"/>
      <c r="HPW2" s="14"/>
      <c r="HPX2" s="14"/>
      <c r="HPY2" s="14"/>
      <c r="HPZ2" s="14"/>
      <c r="HQA2" s="14"/>
      <c r="HQB2" s="14"/>
      <c r="HQC2" s="14"/>
      <c r="HQD2" s="14"/>
      <c r="HQE2" s="14"/>
      <c r="HQF2" s="14"/>
      <c r="HQG2" s="14"/>
      <c r="HQH2" s="14"/>
      <c r="HQI2" s="14"/>
      <c r="HQJ2" s="14"/>
      <c r="HQK2" s="14"/>
      <c r="HQL2" s="14"/>
      <c r="HQM2" s="14"/>
      <c r="HQN2" s="14"/>
      <c r="HQO2" s="14"/>
      <c r="HQP2" s="14"/>
      <c r="HQQ2" s="14"/>
      <c r="HQR2" s="14"/>
      <c r="HQS2" s="14"/>
      <c r="HQT2" s="14"/>
      <c r="HQU2" s="14"/>
      <c r="HQV2" s="14"/>
      <c r="HQW2" s="14"/>
      <c r="HQX2" s="14"/>
      <c r="HQY2" s="14"/>
      <c r="HQZ2" s="14"/>
      <c r="HRA2" s="14"/>
      <c r="HRB2" s="14"/>
      <c r="HRC2" s="14"/>
      <c r="HRD2" s="14"/>
      <c r="HRE2" s="14"/>
      <c r="HRF2" s="14"/>
      <c r="HRG2" s="14"/>
      <c r="HRH2" s="14"/>
      <c r="HRI2" s="14"/>
      <c r="HRJ2" s="14"/>
      <c r="HRK2" s="14"/>
      <c r="HRL2" s="14"/>
      <c r="HRM2" s="14"/>
      <c r="HRN2" s="14"/>
      <c r="HRO2" s="14"/>
      <c r="HRP2" s="14"/>
      <c r="HRQ2" s="14"/>
      <c r="HRR2" s="14"/>
      <c r="HRS2" s="14"/>
      <c r="HRT2" s="14"/>
      <c r="HRU2" s="14"/>
      <c r="HRV2" s="14"/>
      <c r="HRW2" s="14"/>
      <c r="HRX2" s="14"/>
      <c r="HRY2" s="14"/>
      <c r="HRZ2" s="14"/>
      <c r="HSA2" s="14"/>
      <c r="HSB2" s="14"/>
      <c r="HSC2" s="14"/>
      <c r="HSD2" s="14"/>
      <c r="HSE2" s="14"/>
      <c r="HSF2" s="14"/>
      <c r="HSG2" s="14"/>
      <c r="HSH2" s="14"/>
      <c r="HSI2" s="14"/>
      <c r="HSJ2" s="14"/>
      <c r="HSK2" s="14"/>
      <c r="HSL2" s="14"/>
      <c r="HSM2" s="14"/>
      <c r="HSN2" s="14"/>
      <c r="HSO2" s="14"/>
      <c r="HSP2" s="14"/>
      <c r="HSQ2" s="14"/>
      <c r="HSR2" s="14"/>
      <c r="HSS2" s="14"/>
      <c r="HST2" s="14"/>
      <c r="HSU2" s="14"/>
      <c r="HSV2" s="14"/>
      <c r="HSW2" s="14"/>
      <c r="HSX2" s="14"/>
      <c r="HSY2" s="14"/>
      <c r="HSZ2" s="14"/>
      <c r="HTA2" s="14"/>
      <c r="HTB2" s="14"/>
      <c r="HTC2" s="14"/>
      <c r="HTD2" s="14"/>
      <c r="HTE2" s="14"/>
      <c r="HTF2" s="14"/>
      <c r="HTG2" s="14"/>
      <c r="HTH2" s="14"/>
      <c r="HTI2" s="14"/>
      <c r="HTJ2" s="14"/>
      <c r="HTK2" s="14"/>
      <c r="HTL2" s="14"/>
      <c r="HTM2" s="14"/>
      <c r="HTN2" s="14"/>
      <c r="HTO2" s="14"/>
      <c r="HTP2" s="14"/>
      <c r="HTQ2" s="14"/>
      <c r="HTR2" s="14"/>
      <c r="HTS2" s="14"/>
      <c r="HTT2" s="14"/>
      <c r="HTU2" s="14"/>
      <c r="HTV2" s="14"/>
      <c r="HTW2" s="14"/>
      <c r="HTX2" s="14"/>
      <c r="HTY2" s="14"/>
      <c r="HTZ2" s="14"/>
      <c r="HUA2" s="14"/>
      <c r="HUB2" s="14"/>
      <c r="HUC2" s="14"/>
      <c r="HUD2" s="14"/>
      <c r="HUE2" s="14"/>
      <c r="HUF2" s="14"/>
      <c r="HUG2" s="14"/>
      <c r="HUH2" s="14"/>
      <c r="HUI2" s="14"/>
      <c r="HUJ2" s="14"/>
      <c r="HUK2" s="14"/>
      <c r="HUL2" s="14"/>
      <c r="HUM2" s="14"/>
      <c r="HUN2" s="14"/>
      <c r="HUO2" s="14"/>
      <c r="HUP2" s="14"/>
      <c r="HUQ2" s="14"/>
      <c r="HUR2" s="14"/>
      <c r="HUS2" s="14"/>
      <c r="HUT2" s="14"/>
      <c r="HUU2" s="14"/>
      <c r="HUV2" s="14"/>
      <c r="HUW2" s="14"/>
      <c r="HUX2" s="14"/>
      <c r="HUY2" s="14"/>
      <c r="HUZ2" s="14"/>
      <c r="HVA2" s="14"/>
      <c r="HVB2" s="14"/>
      <c r="HVC2" s="14"/>
      <c r="HVD2" s="14"/>
      <c r="HVE2" s="14"/>
      <c r="HVF2" s="14"/>
      <c r="HVG2" s="14"/>
      <c r="HVH2" s="14"/>
      <c r="HVI2" s="14"/>
      <c r="HVJ2" s="14"/>
      <c r="HVK2" s="14"/>
      <c r="HVL2" s="14"/>
      <c r="HVM2" s="14"/>
      <c r="HVN2" s="14"/>
      <c r="HVO2" s="14"/>
      <c r="HVP2" s="14"/>
      <c r="HVQ2" s="14"/>
      <c r="HVR2" s="14"/>
      <c r="HVS2" s="14"/>
      <c r="HVT2" s="14"/>
      <c r="HVU2" s="14"/>
      <c r="HVV2" s="14"/>
      <c r="HVW2" s="14"/>
      <c r="HVX2" s="14"/>
      <c r="HVY2" s="14"/>
      <c r="HVZ2" s="14"/>
      <c r="HWA2" s="14"/>
      <c r="HWB2" s="14"/>
      <c r="HWC2" s="14"/>
      <c r="HWD2" s="14"/>
      <c r="HWE2" s="14"/>
      <c r="HWF2" s="14"/>
      <c r="HWG2" s="14"/>
      <c r="HWH2" s="14"/>
      <c r="HWI2" s="14"/>
      <c r="HWJ2" s="14"/>
      <c r="HWK2" s="14"/>
      <c r="HWL2" s="14"/>
      <c r="HWM2" s="14"/>
      <c r="HWN2" s="14"/>
      <c r="HWO2" s="14"/>
      <c r="HWP2" s="14"/>
      <c r="HWQ2" s="14"/>
      <c r="HWR2" s="14"/>
      <c r="HWS2" s="14"/>
      <c r="HWT2" s="14"/>
      <c r="HWU2" s="14"/>
      <c r="HWV2" s="14"/>
      <c r="HWW2" s="14"/>
      <c r="HWX2" s="14"/>
      <c r="HWY2" s="14"/>
      <c r="HWZ2" s="14"/>
      <c r="HXA2" s="14"/>
      <c r="HXB2" s="14"/>
      <c r="HXC2" s="14"/>
      <c r="HXD2" s="14"/>
      <c r="HXE2" s="14"/>
      <c r="HXF2" s="14"/>
      <c r="HXG2" s="14"/>
      <c r="HXH2" s="14"/>
      <c r="HXI2" s="14"/>
      <c r="HXJ2" s="14"/>
      <c r="HXK2" s="14"/>
      <c r="HXL2" s="14"/>
      <c r="HXM2" s="14"/>
      <c r="HXN2" s="14"/>
      <c r="HXO2" s="14"/>
      <c r="HXP2" s="14"/>
      <c r="HXQ2" s="14"/>
      <c r="HXR2" s="14"/>
      <c r="HXS2" s="14"/>
      <c r="HXT2" s="14"/>
      <c r="HXU2" s="14"/>
      <c r="HXV2" s="14"/>
      <c r="HXW2" s="14"/>
      <c r="HXX2" s="14"/>
      <c r="HXY2" s="14"/>
      <c r="HXZ2" s="14"/>
      <c r="HYA2" s="14"/>
      <c r="HYB2" s="14"/>
      <c r="HYC2" s="14"/>
      <c r="HYD2" s="14"/>
      <c r="HYE2" s="14"/>
      <c r="HYF2" s="14"/>
      <c r="HYG2" s="14"/>
      <c r="HYH2" s="14"/>
      <c r="HYI2" s="14"/>
      <c r="HYJ2" s="14"/>
      <c r="HYK2" s="14"/>
      <c r="HYL2" s="14"/>
      <c r="HYM2" s="14"/>
      <c r="HYN2" s="14"/>
      <c r="HYO2" s="14"/>
      <c r="HYP2" s="14"/>
      <c r="HYQ2" s="14"/>
      <c r="HYR2" s="14"/>
      <c r="HYS2" s="14"/>
      <c r="HYT2" s="14"/>
      <c r="HYU2" s="14"/>
      <c r="HYV2" s="14"/>
      <c r="HYW2" s="14"/>
      <c r="HYX2" s="14"/>
      <c r="HYY2" s="14"/>
      <c r="HYZ2" s="14"/>
      <c r="HZA2" s="14"/>
      <c r="HZB2" s="14"/>
      <c r="HZC2" s="14"/>
      <c r="HZD2" s="14"/>
      <c r="HZE2" s="14"/>
      <c r="HZF2" s="14"/>
      <c r="HZG2" s="14"/>
      <c r="HZH2" s="14"/>
      <c r="HZI2" s="14"/>
      <c r="HZJ2" s="14"/>
      <c r="HZK2" s="14"/>
      <c r="HZL2" s="14"/>
      <c r="HZM2" s="14"/>
      <c r="HZN2" s="14"/>
      <c r="HZO2" s="14"/>
      <c r="HZP2" s="14"/>
      <c r="HZQ2" s="14"/>
      <c r="HZR2" s="14"/>
      <c r="HZS2" s="14"/>
      <c r="HZT2" s="14"/>
      <c r="HZU2" s="14"/>
      <c r="HZV2" s="14"/>
      <c r="HZW2" s="14"/>
      <c r="HZX2" s="14"/>
      <c r="HZY2" s="14"/>
      <c r="HZZ2" s="14"/>
      <c r="IAA2" s="14"/>
      <c r="IAB2" s="14"/>
      <c r="IAC2" s="14"/>
      <c r="IAD2" s="14"/>
      <c r="IAE2" s="14"/>
      <c r="IAF2" s="14"/>
      <c r="IAG2" s="14"/>
      <c r="IAH2" s="14"/>
      <c r="IAI2" s="14"/>
      <c r="IAJ2" s="14"/>
      <c r="IAK2" s="14"/>
      <c r="IAL2" s="14"/>
      <c r="IAM2" s="14"/>
      <c r="IAN2" s="14"/>
      <c r="IAO2" s="14"/>
      <c r="IAP2" s="14"/>
      <c r="IAQ2" s="14"/>
      <c r="IAR2" s="14"/>
      <c r="IAS2" s="14"/>
      <c r="IAT2" s="14"/>
      <c r="IAU2" s="14"/>
      <c r="IAV2" s="14"/>
      <c r="IAW2" s="14"/>
      <c r="IAX2" s="14"/>
      <c r="IAY2" s="14"/>
      <c r="IAZ2" s="14"/>
      <c r="IBA2" s="14"/>
      <c r="IBB2" s="14"/>
      <c r="IBC2" s="14"/>
      <c r="IBD2" s="14"/>
      <c r="IBE2" s="14"/>
      <c r="IBF2" s="14"/>
      <c r="IBG2" s="14"/>
      <c r="IBH2" s="14"/>
      <c r="IBI2" s="14"/>
      <c r="IBJ2" s="14"/>
      <c r="IBK2" s="14"/>
      <c r="IBL2" s="14"/>
      <c r="IBM2" s="14"/>
      <c r="IBN2" s="14"/>
      <c r="IBO2" s="14"/>
      <c r="IBP2" s="14"/>
      <c r="IBQ2" s="14"/>
      <c r="IBR2" s="14"/>
      <c r="IBS2" s="14"/>
      <c r="IBT2" s="14"/>
      <c r="IBU2" s="14"/>
      <c r="IBV2" s="14"/>
      <c r="IBW2" s="14"/>
      <c r="IBX2" s="14"/>
      <c r="IBY2" s="14"/>
      <c r="IBZ2" s="14"/>
      <c r="ICA2" s="14"/>
      <c r="ICB2" s="14"/>
      <c r="ICC2" s="14"/>
      <c r="ICD2" s="14"/>
      <c r="ICE2" s="14"/>
      <c r="ICF2" s="14"/>
      <c r="ICG2" s="14"/>
      <c r="ICH2" s="14"/>
      <c r="ICI2" s="14"/>
      <c r="ICJ2" s="14"/>
      <c r="ICK2" s="14"/>
      <c r="ICL2" s="14"/>
      <c r="ICM2" s="14"/>
      <c r="ICN2" s="14"/>
      <c r="ICO2" s="14"/>
      <c r="ICP2" s="14"/>
      <c r="ICQ2" s="14"/>
      <c r="ICR2" s="14"/>
      <c r="ICS2" s="14"/>
      <c r="ICT2" s="14"/>
      <c r="ICU2" s="14"/>
      <c r="ICV2" s="14"/>
      <c r="ICW2" s="14"/>
      <c r="ICX2" s="14"/>
      <c r="ICY2" s="14"/>
      <c r="ICZ2" s="14"/>
      <c r="IDA2" s="14"/>
      <c r="IDB2" s="14"/>
      <c r="IDC2" s="14"/>
      <c r="IDD2" s="14"/>
      <c r="IDE2" s="14"/>
      <c r="IDF2" s="14"/>
      <c r="IDG2" s="14"/>
      <c r="IDH2" s="14"/>
      <c r="IDI2" s="14"/>
      <c r="IDJ2" s="14"/>
      <c r="IDK2" s="14"/>
      <c r="IDL2" s="14"/>
      <c r="IDM2" s="14"/>
      <c r="IDN2" s="14"/>
      <c r="IDO2" s="14"/>
      <c r="IDP2" s="14"/>
      <c r="IDQ2" s="14"/>
      <c r="IDR2" s="14"/>
      <c r="IDS2" s="14"/>
      <c r="IDT2" s="14"/>
      <c r="IDU2" s="14"/>
      <c r="IDV2" s="14"/>
      <c r="IDW2" s="14"/>
      <c r="IDX2" s="14"/>
      <c r="IDY2" s="14"/>
      <c r="IDZ2" s="14"/>
      <c r="IEA2" s="14"/>
      <c r="IEB2" s="14"/>
      <c r="IEC2" s="14"/>
      <c r="IED2" s="14"/>
      <c r="IEE2" s="14"/>
      <c r="IEF2" s="14"/>
      <c r="IEG2" s="14"/>
      <c r="IEH2" s="14"/>
      <c r="IEI2" s="14"/>
      <c r="IEJ2" s="14"/>
      <c r="IEK2" s="14"/>
      <c r="IEL2" s="14"/>
      <c r="IEM2" s="14"/>
      <c r="IEN2" s="14"/>
      <c r="IEO2" s="14"/>
      <c r="IEP2" s="14"/>
      <c r="IEQ2" s="14"/>
      <c r="IER2" s="14"/>
      <c r="IES2" s="14"/>
      <c r="IET2" s="14"/>
      <c r="IEU2" s="14"/>
      <c r="IEV2" s="14"/>
      <c r="IEW2" s="14"/>
      <c r="IEX2" s="14"/>
      <c r="IEY2" s="14"/>
      <c r="IEZ2" s="14"/>
      <c r="IFA2" s="14"/>
      <c r="IFB2" s="14"/>
      <c r="IFC2" s="14"/>
      <c r="IFD2" s="14"/>
      <c r="IFE2" s="14"/>
      <c r="IFF2" s="14"/>
      <c r="IFG2" s="14"/>
      <c r="IFH2" s="14"/>
      <c r="IFI2" s="14"/>
      <c r="IFJ2" s="14"/>
      <c r="IFK2" s="14"/>
      <c r="IFL2" s="14"/>
      <c r="IFM2" s="14"/>
      <c r="IFN2" s="14"/>
      <c r="IFO2" s="14"/>
      <c r="IFP2" s="14"/>
      <c r="IFQ2" s="14"/>
      <c r="IFR2" s="14"/>
      <c r="IFS2" s="14"/>
      <c r="IFT2" s="14"/>
      <c r="IFU2" s="14"/>
      <c r="IFV2" s="14"/>
      <c r="IFW2" s="14"/>
      <c r="IFX2" s="14"/>
      <c r="IFY2" s="14"/>
      <c r="IFZ2" s="14"/>
      <c r="IGA2" s="14"/>
      <c r="IGB2" s="14"/>
      <c r="IGC2" s="14"/>
      <c r="IGD2" s="14"/>
      <c r="IGE2" s="14"/>
      <c r="IGF2" s="14"/>
      <c r="IGG2" s="14"/>
      <c r="IGH2" s="14"/>
      <c r="IGI2" s="14"/>
      <c r="IGJ2" s="14"/>
      <c r="IGK2" s="14"/>
      <c r="IGL2" s="14"/>
      <c r="IGM2" s="14"/>
      <c r="IGN2" s="14"/>
      <c r="IGO2" s="14"/>
      <c r="IGP2" s="14"/>
      <c r="IGQ2" s="14"/>
      <c r="IGR2" s="14"/>
      <c r="IGS2" s="14"/>
      <c r="IGT2" s="14"/>
      <c r="IGU2" s="14"/>
      <c r="IGV2" s="14"/>
      <c r="IGW2" s="14"/>
      <c r="IGX2" s="14"/>
      <c r="IGY2" s="14"/>
      <c r="IGZ2" s="14"/>
      <c r="IHA2" s="14"/>
      <c r="IHB2" s="14"/>
      <c r="IHC2" s="14"/>
      <c r="IHD2" s="14"/>
      <c r="IHE2" s="14"/>
      <c r="IHF2" s="14"/>
      <c r="IHG2" s="14"/>
      <c r="IHH2" s="14"/>
      <c r="IHI2" s="14"/>
      <c r="IHJ2" s="14"/>
      <c r="IHK2" s="14"/>
      <c r="IHL2" s="14"/>
      <c r="IHM2" s="14"/>
      <c r="IHN2" s="14"/>
      <c r="IHO2" s="14"/>
      <c r="IHP2" s="14"/>
      <c r="IHQ2" s="14"/>
      <c r="IHR2" s="14"/>
      <c r="IHS2" s="14"/>
      <c r="IHT2" s="14"/>
      <c r="IHU2" s="14"/>
      <c r="IHV2" s="14"/>
      <c r="IHW2" s="14"/>
      <c r="IHX2" s="14"/>
      <c r="IHY2" s="14"/>
      <c r="IHZ2" s="14"/>
      <c r="IIA2" s="14"/>
      <c r="IIB2" s="14"/>
      <c r="IIC2" s="14"/>
      <c r="IID2" s="14"/>
      <c r="IIE2" s="14"/>
      <c r="IIF2" s="14"/>
      <c r="IIG2" s="14"/>
      <c r="IIH2" s="14"/>
      <c r="III2" s="14"/>
      <c r="IIJ2" s="14"/>
      <c r="IIK2" s="14"/>
      <c r="IIL2" s="14"/>
      <c r="IIM2" s="14"/>
      <c r="IIN2" s="14"/>
      <c r="IIO2" s="14"/>
      <c r="IIP2" s="14"/>
      <c r="IIQ2" s="14"/>
      <c r="IIR2" s="14"/>
      <c r="IIS2" s="14"/>
      <c r="IIT2" s="14"/>
      <c r="IIU2" s="14"/>
      <c r="IIV2" s="14"/>
      <c r="IIW2" s="14"/>
      <c r="IIX2" s="14"/>
      <c r="IIY2" s="14"/>
      <c r="IIZ2" s="14"/>
      <c r="IJA2" s="14"/>
      <c r="IJB2" s="14"/>
      <c r="IJC2" s="14"/>
      <c r="IJD2" s="14"/>
      <c r="IJE2" s="14"/>
      <c r="IJF2" s="14"/>
      <c r="IJG2" s="14"/>
      <c r="IJH2" s="14"/>
      <c r="IJI2" s="14"/>
      <c r="IJJ2" s="14"/>
      <c r="IJK2" s="14"/>
      <c r="IJL2" s="14"/>
      <c r="IJM2" s="14"/>
      <c r="IJN2" s="14"/>
      <c r="IJO2" s="14"/>
      <c r="IJP2" s="14"/>
      <c r="IJQ2" s="14"/>
      <c r="IJR2" s="14"/>
      <c r="IJS2" s="14"/>
      <c r="IJT2" s="14"/>
      <c r="IJU2" s="14"/>
      <c r="IJV2" s="14"/>
      <c r="IJW2" s="14"/>
      <c r="IJX2" s="14"/>
      <c r="IJY2" s="14"/>
      <c r="IJZ2" s="14"/>
      <c r="IKA2" s="14"/>
      <c r="IKB2" s="14"/>
      <c r="IKC2" s="14"/>
      <c r="IKD2" s="14"/>
      <c r="IKE2" s="14"/>
      <c r="IKF2" s="14"/>
      <c r="IKG2" s="14"/>
      <c r="IKH2" s="14"/>
      <c r="IKI2" s="14"/>
      <c r="IKJ2" s="14"/>
      <c r="IKK2" s="14"/>
      <c r="IKL2" s="14"/>
      <c r="IKM2" s="14"/>
      <c r="IKN2" s="14"/>
      <c r="IKO2" s="14"/>
      <c r="IKP2" s="14"/>
      <c r="IKQ2" s="14"/>
      <c r="IKR2" s="14"/>
      <c r="IKS2" s="14"/>
      <c r="IKT2" s="14"/>
      <c r="IKU2" s="14"/>
      <c r="IKV2" s="14"/>
      <c r="IKW2" s="14"/>
      <c r="IKX2" s="14"/>
      <c r="IKY2" s="14"/>
      <c r="IKZ2" s="14"/>
      <c r="ILA2" s="14"/>
      <c r="ILB2" s="14"/>
      <c r="ILC2" s="14"/>
      <c r="ILD2" s="14"/>
      <c r="ILE2" s="14"/>
      <c r="ILF2" s="14"/>
      <c r="ILG2" s="14"/>
      <c r="ILH2" s="14"/>
      <c r="ILI2" s="14"/>
      <c r="ILJ2" s="14"/>
      <c r="ILK2" s="14"/>
      <c r="ILL2" s="14"/>
      <c r="ILM2" s="14"/>
      <c r="ILN2" s="14"/>
      <c r="ILO2" s="14"/>
      <c r="ILP2" s="14"/>
      <c r="ILQ2" s="14"/>
      <c r="ILR2" s="14"/>
      <c r="ILS2" s="14"/>
      <c r="ILT2" s="14"/>
      <c r="ILU2" s="14"/>
      <c r="ILV2" s="14"/>
      <c r="ILW2" s="14"/>
      <c r="ILX2" s="14"/>
      <c r="ILY2" s="14"/>
      <c r="ILZ2" s="14"/>
      <c r="IMA2" s="14"/>
      <c r="IMB2" s="14"/>
      <c r="IMC2" s="14"/>
      <c r="IMD2" s="14"/>
      <c r="IME2" s="14"/>
      <c r="IMF2" s="14"/>
      <c r="IMG2" s="14"/>
      <c r="IMH2" s="14"/>
      <c r="IMI2" s="14"/>
      <c r="IMJ2" s="14"/>
      <c r="IMK2" s="14"/>
      <c r="IML2" s="14"/>
      <c r="IMM2" s="14"/>
      <c r="IMN2" s="14"/>
      <c r="IMO2" s="14"/>
      <c r="IMP2" s="14"/>
      <c r="IMQ2" s="14"/>
      <c r="IMR2" s="14"/>
      <c r="IMS2" s="14"/>
      <c r="IMT2" s="14"/>
      <c r="IMU2" s="14"/>
      <c r="IMV2" s="14"/>
      <c r="IMW2" s="14"/>
      <c r="IMX2" s="14"/>
      <c r="IMY2" s="14"/>
      <c r="IMZ2" s="14"/>
      <c r="INA2" s="14"/>
      <c r="INB2" s="14"/>
      <c r="INC2" s="14"/>
      <c r="IND2" s="14"/>
      <c r="INE2" s="14"/>
      <c r="INF2" s="14"/>
      <c r="ING2" s="14"/>
      <c r="INH2" s="14"/>
      <c r="INI2" s="14"/>
      <c r="INJ2" s="14"/>
      <c r="INK2" s="14"/>
      <c r="INL2" s="14"/>
      <c r="INM2" s="14"/>
      <c r="INN2" s="14"/>
      <c r="INO2" s="14"/>
      <c r="INP2" s="14"/>
      <c r="INQ2" s="14"/>
      <c r="INR2" s="14"/>
      <c r="INS2" s="14"/>
      <c r="INT2" s="14"/>
      <c r="INU2" s="14"/>
      <c r="INV2" s="14"/>
      <c r="INW2" s="14"/>
      <c r="INX2" s="14"/>
      <c r="INY2" s="14"/>
      <c r="INZ2" s="14"/>
      <c r="IOA2" s="14"/>
      <c r="IOB2" s="14"/>
      <c r="IOC2" s="14"/>
      <c r="IOD2" s="14"/>
      <c r="IOE2" s="14"/>
      <c r="IOF2" s="14"/>
      <c r="IOG2" s="14"/>
      <c r="IOH2" s="14"/>
      <c r="IOI2" s="14"/>
      <c r="IOJ2" s="14"/>
      <c r="IOK2" s="14"/>
      <c r="IOL2" s="14"/>
      <c r="IOM2" s="14"/>
      <c r="ION2" s="14"/>
      <c r="IOO2" s="14"/>
      <c r="IOP2" s="14"/>
      <c r="IOQ2" s="14"/>
      <c r="IOR2" s="14"/>
      <c r="IOS2" s="14"/>
      <c r="IOT2" s="14"/>
      <c r="IOU2" s="14"/>
      <c r="IOV2" s="14"/>
      <c r="IOW2" s="14"/>
      <c r="IOX2" s="14"/>
      <c r="IOY2" s="14"/>
      <c r="IOZ2" s="14"/>
      <c r="IPA2" s="14"/>
      <c r="IPB2" s="14"/>
      <c r="IPC2" s="14"/>
      <c r="IPD2" s="14"/>
      <c r="IPE2" s="14"/>
      <c r="IPF2" s="14"/>
      <c r="IPG2" s="14"/>
      <c r="IPH2" s="14"/>
      <c r="IPI2" s="14"/>
      <c r="IPJ2" s="14"/>
      <c r="IPK2" s="14"/>
      <c r="IPL2" s="14"/>
      <c r="IPM2" s="14"/>
      <c r="IPN2" s="14"/>
      <c r="IPO2" s="14"/>
      <c r="IPP2" s="14"/>
      <c r="IPQ2" s="14"/>
      <c r="IPR2" s="14"/>
      <c r="IPS2" s="14"/>
      <c r="IPT2" s="14"/>
      <c r="IPU2" s="14"/>
      <c r="IPV2" s="14"/>
      <c r="IPW2" s="14"/>
      <c r="IPX2" s="14"/>
      <c r="IPY2" s="14"/>
      <c r="IPZ2" s="14"/>
      <c r="IQA2" s="14"/>
      <c r="IQB2" s="14"/>
      <c r="IQC2" s="14"/>
      <c r="IQD2" s="14"/>
      <c r="IQE2" s="14"/>
      <c r="IQF2" s="14"/>
      <c r="IQG2" s="14"/>
      <c r="IQH2" s="14"/>
      <c r="IQI2" s="14"/>
      <c r="IQJ2" s="14"/>
      <c r="IQK2" s="14"/>
      <c r="IQL2" s="14"/>
      <c r="IQM2" s="14"/>
      <c r="IQN2" s="14"/>
      <c r="IQO2" s="14"/>
      <c r="IQP2" s="14"/>
      <c r="IQQ2" s="14"/>
      <c r="IQR2" s="14"/>
      <c r="IQS2" s="14"/>
      <c r="IQT2" s="14"/>
      <c r="IQU2" s="14"/>
      <c r="IQV2" s="14"/>
      <c r="IQW2" s="14"/>
      <c r="IQX2" s="14"/>
      <c r="IQY2" s="14"/>
      <c r="IQZ2" s="14"/>
      <c r="IRA2" s="14"/>
      <c r="IRB2" s="14"/>
      <c r="IRC2" s="14"/>
      <c r="IRD2" s="14"/>
      <c r="IRE2" s="14"/>
      <c r="IRF2" s="14"/>
      <c r="IRG2" s="14"/>
      <c r="IRH2" s="14"/>
      <c r="IRI2" s="14"/>
      <c r="IRJ2" s="14"/>
      <c r="IRK2" s="14"/>
      <c r="IRL2" s="14"/>
      <c r="IRM2" s="14"/>
      <c r="IRN2" s="14"/>
      <c r="IRO2" s="14"/>
      <c r="IRP2" s="14"/>
      <c r="IRQ2" s="14"/>
      <c r="IRR2" s="14"/>
      <c r="IRS2" s="14"/>
      <c r="IRT2" s="14"/>
      <c r="IRU2" s="14"/>
      <c r="IRV2" s="14"/>
      <c r="IRW2" s="14"/>
      <c r="IRX2" s="14"/>
      <c r="IRY2" s="14"/>
      <c r="IRZ2" s="14"/>
      <c r="ISA2" s="14"/>
      <c r="ISB2" s="14"/>
      <c r="ISC2" s="14"/>
      <c r="ISD2" s="14"/>
      <c r="ISE2" s="14"/>
      <c r="ISF2" s="14"/>
      <c r="ISG2" s="14"/>
      <c r="ISH2" s="14"/>
      <c r="ISI2" s="14"/>
      <c r="ISJ2" s="14"/>
      <c r="ISK2" s="14"/>
      <c r="ISL2" s="14"/>
      <c r="ISM2" s="14"/>
      <c r="ISN2" s="14"/>
      <c r="ISO2" s="14"/>
      <c r="ISP2" s="14"/>
      <c r="ISQ2" s="14"/>
      <c r="ISR2" s="14"/>
      <c r="ISS2" s="14"/>
      <c r="IST2" s="14"/>
      <c r="ISU2" s="14"/>
      <c r="ISV2" s="14"/>
      <c r="ISW2" s="14"/>
      <c r="ISX2" s="14"/>
      <c r="ISY2" s="14"/>
      <c r="ISZ2" s="14"/>
      <c r="ITA2" s="14"/>
      <c r="ITB2" s="14"/>
      <c r="ITC2" s="14"/>
      <c r="ITD2" s="14"/>
      <c r="ITE2" s="14"/>
      <c r="ITF2" s="14"/>
      <c r="ITG2" s="14"/>
      <c r="ITH2" s="14"/>
      <c r="ITI2" s="14"/>
      <c r="ITJ2" s="14"/>
      <c r="ITK2" s="14"/>
      <c r="ITL2" s="14"/>
      <c r="ITM2" s="14"/>
      <c r="ITN2" s="14"/>
      <c r="ITO2" s="14"/>
      <c r="ITP2" s="14"/>
      <c r="ITQ2" s="14"/>
      <c r="ITR2" s="14"/>
      <c r="ITS2" s="14"/>
      <c r="ITT2" s="14"/>
      <c r="ITU2" s="14"/>
      <c r="ITV2" s="14"/>
      <c r="ITW2" s="14"/>
      <c r="ITX2" s="14"/>
      <c r="ITY2" s="14"/>
      <c r="ITZ2" s="14"/>
      <c r="IUA2" s="14"/>
      <c r="IUB2" s="14"/>
      <c r="IUC2" s="14"/>
      <c r="IUD2" s="14"/>
      <c r="IUE2" s="14"/>
      <c r="IUF2" s="14"/>
      <c r="IUG2" s="14"/>
      <c r="IUH2" s="14"/>
      <c r="IUI2" s="14"/>
      <c r="IUJ2" s="14"/>
      <c r="IUK2" s="14"/>
      <c r="IUL2" s="14"/>
      <c r="IUM2" s="14"/>
      <c r="IUN2" s="14"/>
      <c r="IUO2" s="14"/>
      <c r="IUP2" s="14"/>
      <c r="IUQ2" s="14"/>
      <c r="IUR2" s="14"/>
      <c r="IUS2" s="14"/>
      <c r="IUT2" s="14"/>
      <c r="IUU2" s="14"/>
      <c r="IUV2" s="14"/>
      <c r="IUW2" s="14"/>
      <c r="IUX2" s="14"/>
      <c r="IUY2" s="14"/>
      <c r="IUZ2" s="14"/>
      <c r="IVA2" s="14"/>
      <c r="IVB2" s="14"/>
      <c r="IVC2" s="14"/>
      <c r="IVD2" s="14"/>
      <c r="IVE2" s="14"/>
      <c r="IVF2" s="14"/>
      <c r="IVG2" s="14"/>
      <c r="IVH2" s="14"/>
      <c r="IVI2" s="14"/>
      <c r="IVJ2" s="14"/>
      <c r="IVK2" s="14"/>
      <c r="IVL2" s="14"/>
      <c r="IVM2" s="14"/>
      <c r="IVN2" s="14"/>
      <c r="IVO2" s="14"/>
      <c r="IVP2" s="14"/>
      <c r="IVQ2" s="14"/>
      <c r="IVR2" s="14"/>
      <c r="IVS2" s="14"/>
      <c r="IVT2" s="14"/>
      <c r="IVU2" s="14"/>
      <c r="IVV2" s="14"/>
      <c r="IVW2" s="14"/>
      <c r="IVX2" s="14"/>
      <c r="IVY2" s="14"/>
      <c r="IVZ2" s="14"/>
      <c r="IWA2" s="14"/>
      <c r="IWB2" s="14"/>
      <c r="IWC2" s="14"/>
      <c r="IWD2" s="14"/>
      <c r="IWE2" s="14"/>
      <c r="IWF2" s="14"/>
      <c r="IWG2" s="14"/>
      <c r="IWH2" s="14"/>
      <c r="IWI2" s="14"/>
      <c r="IWJ2" s="14"/>
      <c r="IWK2" s="14"/>
      <c r="IWL2" s="14"/>
      <c r="IWM2" s="14"/>
      <c r="IWN2" s="14"/>
      <c r="IWO2" s="14"/>
      <c r="IWP2" s="14"/>
      <c r="IWQ2" s="14"/>
      <c r="IWR2" s="14"/>
      <c r="IWS2" s="14"/>
      <c r="IWT2" s="14"/>
      <c r="IWU2" s="14"/>
      <c r="IWV2" s="14"/>
      <c r="IWW2" s="14"/>
      <c r="IWX2" s="14"/>
      <c r="IWY2" s="14"/>
      <c r="IWZ2" s="14"/>
      <c r="IXA2" s="14"/>
      <c r="IXB2" s="14"/>
      <c r="IXC2" s="14"/>
      <c r="IXD2" s="14"/>
      <c r="IXE2" s="14"/>
      <c r="IXF2" s="14"/>
      <c r="IXG2" s="14"/>
      <c r="IXH2" s="14"/>
      <c r="IXI2" s="14"/>
      <c r="IXJ2" s="14"/>
      <c r="IXK2" s="14"/>
      <c r="IXL2" s="14"/>
      <c r="IXM2" s="14"/>
      <c r="IXN2" s="14"/>
      <c r="IXO2" s="14"/>
      <c r="IXP2" s="14"/>
      <c r="IXQ2" s="14"/>
      <c r="IXR2" s="14"/>
      <c r="IXS2" s="14"/>
      <c r="IXT2" s="14"/>
      <c r="IXU2" s="14"/>
      <c r="IXV2" s="14"/>
      <c r="IXW2" s="14"/>
      <c r="IXX2" s="14"/>
      <c r="IXY2" s="14"/>
      <c r="IXZ2" s="14"/>
      <c r="IYA2" s="14"/>
      <c r="IYB2" s="14"/>
      <c r="IYC2" s="14"/>
      <c r="IYD2" s="14"/>
      <c r="IYE2" s="14"/>
      <c r="IYF2" s="14"/>
      <c r="IYG2" s="14"/>
      <c r="IYH2" s="14"/>
      <c r="IYI2" s="14"/>
      <c r="IYJ2" s="14"/>
      <c r="IYK2" s="14"/>
      <c r="IYL2" s="14"/>
      <c r="IYM2" s="14"/>
      <c r="IYN2" s="14"/>
      <c r="IYO2" s="14"/>
      <c r="IYP2" s="14"/>
      <c r="IYQ2" s="14"/>
      <c r="IYR2" s="14"/>
      <c r="IYS2" s="14"/>
      <c r="IYT2" s="14"/>
      <c r="IYU2" s="14"/>
      <c r="IYV2" s="14"/>
      <c r="IYW2" s="14"/>
      <c r="IYX2" s="14"/>
      <c r="IYY2" s="14"/>
      <c r="IYZ2" s="14"/>
      <c r="IZA2" s="14"/>
      <c r="IZB2" s="14"/>
      <c r="IZC2" s="14"/>
      <c r="IZD2" s="14"/>
      <c r="IZE2" s="14"/>
      <c r="IZF2" s="14"/>
      <c r="IZG2" s="14"/>
      <c r="IZH2" s="14"/>
      <c r="IZI2" s="14"/>
      <c r="IZJ2" s="14"/>
      <c r="IZK2" s="14"/>
      <c r="IZL2" s="14"/>
      <c r="IZM2" s="14"/>
      <c r="IZN2" s="14"/>
      <c r="IZO2" s="14"/>
      <c r="IZP2" s="14"/>
      <c r="IZQ2" s="14"/>
      <c r="IZR2" s="14"/>
      <c r="IZS2" s="14"/>
      <c r="IZT2" s="14"/>
      <c r="IZU2" s="14"/>
      <c r="IZV2" s="14"/>
      <c r="IZW2" s="14"/>
      <c r="IZX2" s="14"/>
      <c r="IZY2" s="14"/>
      <c r="IZZ2" s="14"/>
      <c r="JAA2" s="14"/>
      <c r="JAB2" s="14"/>
      <c r="JAC2" s="14"/>
      <c r="JAD2" s="14"/>
      <c r="JAE2" s="14"/>
      <c r="JAF2" s="14"/>
      <c r="JAG2" s="14"/>
      <c r="JAH2" s="14"/>
      <c r="JAI2" s="14"/>
      <c r="JAJ2" s="14"/>
      <c r="JAK2" s="14"/>
      <c r="JAL2" s="14"/>
      <c r="JAM2" s="14"/>
      <c r="JAN2" s="14"/>
      <c r="JAO2" s="14"/>
      <c r="JAP2" s="14"/>
      <c r="JAQ2" s="14"/>
      <c r="JAR2" s="14"/>
      <c r="JAS2" s="14"/>
      <c r="JAT2" s="14"/>
      <c r="JAU2" s="14"/>
      <c r="JAV2" s="14"/>
      <c r="JAW2" s="14"/>
      <c r="JAX2" s="14"/>
      <c r="JAY2" s="14"/>
      <c r="JAZ2" s="14"/>
      <c r="JBA2" s="14"/>
      <c r="JBB2" s="14"/>
      <c r="JBC2" s="14"/>
      <c r="JBD2" s="14"/>
      <c r="JBE2" s="14"/>
      <c r="JBF2" s="14"/>
      <c r="JBG2" s="14"/>
      <c r="JBH2" s="14"/>
      <c r="JBI2" s="14"/>
      <c r="JBJ2" s="14"/>
      <c r="JBK2" s="14"/>
      <c r="JBL2" s="14"/>
      <c r="JBM2" s="14"/>
      <c r="JBN2" s="14"/>
      <c r="JBO2" s="14"/>
      <c r="JBP2" s="14"/>
      <c r="JBQ2" s="14"/>
      <c r="JBR2" s="14"/>
      <c r="JBS2" s="14"/>
      <c r="JBT2" s="14"/>
      <c r="JBU2" s="14"/>
      <c r="JBV2" s="14"/>
      <c r="JBW2" s="14"/>
      <c r="JBX2" s="14"/>
      <c r="JBY2" s="14"/>
      <c r="JBZ2" s="14"/>
      <c r="JCA2" s="14"/>
      <c r="JCB2" s="14"/>
      <c r="JCC2" s="14"/>
      <c r="JCD2" s="14"/>
      <c r="JCE2" s="14"/>
      <c r="JCF2" s="14"/>
      <c r="JCG2" s="14"/>
      <c r="JCH2" s="14"/>
      <c r="JCI2" s="14"/>
      <c r="JCJ2" s="14"/>
      <c r="JCK2" s="14"/>
      <c r="JCL2" s="14"/>
      <c r="JCM2" s="14"/>
      <c r="JCN2" s="14"/>
      <c r="JCO2" s="14"/>
      <c r="JCP2" s="14"/>
      <c r="JCQ2" s="14"/>
      <c r="JCR2" s="14"/>
      <c r="JCS2" s="14"/>
      <c r="JCT2" s="14"/>
      <c r="JCU2" s="14"/>
      <c r="JCV2" s="14"/>
      <c r="JCW2" s="14"/>
      <c r="JCX2" s="14"/>
      <c r="JCY2" s="14"/>
      <c r="JCZ2" s="14"/>
      <c r="JDA2" s="14"/>
      <c r="JDB2" s="14"/>
      <c r="JDC2" s="14"/>
      <c r="JDD2" s="14"/>
      <c r="JDE2" s="14"/>
      <c r="JDF2" s="14"/>
      <c r="JDG2" s="14"/>
      <c r="JDH2" s="14"/>
      <c r="JDI2" s="14"/>
      <c r="JDJ2" s="14"/>
      <c r="JDK2" s="14"/>
      <c r="JDL2" s="14"/>
      <c r="JDM2" s="14"/>
      <c r="JDN2" s="14"/>
      <c r="JDO2" s="14"/>
      <c r="JDP2" s="14"/>
      <c r="JDQ2" s="14"/>
      <c r="JDR2" s="14"/>
      <c r="JDS2" s="14"/>
      <c r="JDT2" s="14"/>
      <c r="JDU2" s="14"/>
      <c r="JDV2" s="14"/>
      <c r="JDW2" s="14"/>
      <c r="JDX2" s="14"/>
      <c r="JDY2" s="14"/>
      <c r="JDZ2" s="14"/>
      <c r="JEA2" s="14"/>
      <c r="JEB2" s="14"/>
      <c r="JEC2" s="14"/>
      <c r="JED2" s="14"/>
      <c r="JEE2" s="14"/>
      <c r="JEF2" s="14"/>
      <c r="JEG2" s="14"/>
      <c r="JEH2" s="14"/>
      <c r="JEI2" s="14"/>
      <c r="JEJ2" s="14"/>
      <c r="JEK2" s="14"/>
      <c r="JEL2" s="14"/>
      <c r="JEM2" s="14"/>
      <c r="JEN2" s="14"/>
      <c r="JEO2" s="14"/>
      <c r="JEP2" s="14"/>
      <c r="JEQ2" s="14"/>
      <c r="JER2" s="14"/>
      <c r="JES2" s="14"/>
      <c r="JET2" s="14"/>
      <c r="JEU2" s="14"/>
      <c r="JEV2" s="14"/>
      <c r="JEW2" s="14"/>
      <c r="JEX2" s="14"/>
      <c r="JEY2" s="14"/>
      <c r="JEZ2" s="14"/>
      <c r="JFA2" s="14"/>
      <c r="JFB2" s="14"/>
      <c r="JFC2" s="14"/>
      <c r="JFD2" s="14"/>
      <c r="JFE2" s="14"/>
      <c r="JFF2" s="14"/>
      <c r="JFG2" s="14"/>
      <c r="JFH2" s="14"/>
      <c r="JFI2" s="14"/>
      <c r="JFJ2" s="14"/>
      <c r="JFK2" s="14"/>
      <c r="JFL2" s="14"/>
      <c r="JFM2" s="14"/>
      <c r="JFN2" s="14"/>
      <c r="JFO2" s="14"/>
      <c r="JFP2" s="14"/>
      <c r="JFQ2" s="14"/>
      <c r="JFR2" s="14"/>
      <c r="JFS2" s="14"/>
      <c r="JFT2" s="14"/>
      <c r="JFU2" s="14"/>
      <c r="JFV2" s="14"/>
      <c r="JFW2" s="14"/>
      <c r="JFX2" s="14"/>
      <c r="JFY2" s="14"/>
      <c r="JFZ2" s="14"/>
      <c r="JGA2" s="14"/>
      <c r="JGB2" s="14"/>
      <c r="JGC2" s="14"/>
      <c r="JGD2" s="14"/>
      <c r="JGE2" s="14"/>
      <c r="JGF2" s="14"/>
      <c r="JGG2" s="14"/>
      <c r="JGH2" s="14"/>
      <c r="JGI2" s="14"/>
      <c r="JGJ2" s="14"/>
      <c r="JGK2" s="14"/>
      <c r="JGL2" s="14"/>
      <c r="JGM2" s="14"/>
      <c r="JGN2" s="14"/>
      <c r="JGO2" s="14"/>
      <c r="JGP2" s="14"/>
      <c r="JGQ2" s="14"/>
      <c r="JGR2" s="14"/>
      <c r="JGS2" s="14"/>
      <c r="JGT2" s="14"/>
      <c r="JGU2" s="14"/>
      <c r="JGV2" s="14"/>
      <c r="JGW2" s="14"/>
      <c r="JGX2" s="14"/>
      <c r="JGY2" s="14"/>
      <c r="JGZ2" s="14"/>
      <c r="JHA2" s="14"/>
      <c r="JHB2" s="14"/>
      <c r="JHC2" s="14"/>
      <c r="JHD2" s="14"/>
      <c r="JHE2" s="14"/>
      <c r="JHF2" s="14"/>
      <c r="JHG2" s="14"/>
      <c r="JHH2" s="14"/>
      <c r="JHI2" s="14"/>
      <c r="JHJ2" s="14"/>
      <c r="JHK2" s="14"/>
      <c r="JHL2" s="14"/>
      <c r="JHM2" s="14"/>
      <c r="JHN2" s="14"/>
      <c r="JHO2" s="14"/>
      <c r="JHP2" s="14"/>
      <c r="JHQ2" s="14"/>
      <c r="JHR2" s="14"/>
      <c r="JHS2" s="14"/>
      <c r="JHT2" s="14"/>
      <c r="JHU2" s="14"/>
      <c r="JHV2" s="14"/>
      <c r="JHW2" s="14"/>
      <c r="JHX2" s="14"/>
      <c r="JHY2" s="14"/>
      <c r="JHZ2" s="14"/>
      <c r="JIA2" s="14"/>
      <c r="JIB2" s="14"/>
      <c r="JIC2" s="14"/>
      <c r="JID2" s="14"/>
      <c r="JIE2" s="14"/>
      <c r="JIF2" s="14"/>
      <c r="JIG2" s="14"/>
      <c r="JIH2" s="14"/>
      <c r="JII2" s="14"/>
      <c r="JIJ2" s="14"/>
      <c r="JIK2" s="14"/>
      <c r="JIL2" s="14"/>
      <c r="JIM2" s="14"/>
      <c r="JIN2" s="14"/>
      <c r="JIO2" s="14"/>
      <c r="JIP2" s="14"/>
      <c r="JIQ2" s="14"/>
      <c r="JIR2" s="14"/>
      <c r="JIS2" s="14"/>
      <c r="JIT2" s="14"/>
      <c r="JIU2" s="14"/>
      <c r="JIV2" s="14"/>
      <c r="JIW2" s="14"/>
      <c r="JIX2" s="14"/>
      <c r="JIY2" s="14"/>
      <c r="JIZ2" s="14"/>
      <c r="JJA2" s="14"/>
      <c r="JJB2" s="14"/>
      <c r="JJC2" s="14"/>
      <c r="JJD2" s="14"/>
      <c r="JJE2" s="14"/>
      <c r="JJF2" s="14"/>
      <c r="JJG2" s="14"/>
      <c r="JJH2" s="14"/>
      <c r="JJI2" s="14"/>
      <c r="JJJ2" s="14"/>
      <c r="JJK2" s="14"/>
      <c r="JJL2" s="14"/>
      <c r="JJM2" s="14"/>
      <c r="JJN2" s="14"/>
      <c r="JJO2" s="14"/>
      <c r="JJP2" s="14"/>
      <c r="JJQ2" s="14"/>
      <c r="JJR2" s="14"/>
      <c r="JJS2" s="14"/>
      <c r="JJT2" s="14"/>
      <c r="JJU2" s="14"/>
      <c r="JJV2" s="14"/>
      <c r="JJW2" s="14"/>
      <c r="JJX2" s="14"/>
      <c r="JJY2" s="14"/>
      <c r="JJZ2" s="14"/>
      <c r="JKA2" s="14"/>
      <c r="JKB2" s="14"/>
      <c r="JKC2" s="14"/>
      <c r="JKD2" s="14"/>
      <c r="JKE2" s="14"/>
      <c r="JKF2" s="14"/>
      <c r="JKG2" s="14"/>
      <c r="JKH2" s="14"/>
      <c r="JKI2" s="14"/>
      <c r="JKJ2" s="14"/>
      <c r="JKK2" s="14"/>
      <c r="JKL2" s="14"/>
      <c r="JKM2" s="14"/>
      <c r="JKN2" s="14"/>
      <c r="JKO2" s="14"/>
      <c r="JKP2" s="14"/>
      <c r="JKQ2" s="14"/>
      <c r="JKR2" s="14"/>
      <c r="JKS2" s="14"/>
      <c r="JKT2" s="14"/>
      <c r="JKU2" s="14"/>
      <c r="JKV2" s="14"/>
      <c r="JKW2" s="14"/>
      <c r="JKX2" s="14"/>
      <c r="JKY2" s="14"/>
      <c r="JKZ2" s="14"/>
      <c r="JLA2" s="14"/>
      <c r="JLB2" s="14"/>
      <c r="JLC2" s="14"/>
      <c r="JLD2" s="14"/>
      <c r="JLE2" s="14"/>
      <c r="JLF2" s="14"/>
      <c r="JLG2" s="14"/>
      <c r="JLH2" s="14"/>
      <c r="JLI2" s="14"/>
      <c r="JLJ2" s="14"/>
      <c r="JLK2" s="14"/>
      <c r="JLL2" s="14"/>
      <c r="JLM2" s="14"/>
      <c r="JLN2" s="14"/>
      <c r="JLO2" s="14"/>
      <c r="JLP2" s="14"/>
      <c r="JLQ2" s="14"/>
      <c r="JLR2" s="14"/>
      <c r="JLS2" s="14"/>
      <c r="JLT2" s="14"/>
      <c r="JLU2" s="14"/>
      <c r="JLV2" s="14"/>
      <c r="JLW2" s="14"/>
      <c r="JLX2" s="14"/>
      <c r="JLY2" s="14"/>
      <c r="JLZ2" s="14"/>
      <c r="JMA2" s="14"/>
      <c r="JMB2" s="14"/>
      <c r="JMC2" s="14"/>
      <c r="JMD2" s="14"/>
      <c r="JME2" s="14"/>
      <c r="JMF2" s="14"/>
      <c r="JMG2" s="14"/>
      <c r="JMH2" s="14"/>
      <c r="JMI2" s="14"/>
      <c r="JMJ2" s="14"/>
      <c r="JMK2" s="14"/>
      <c r="JML2" s="14"/>
      <c r="JMM2" s="14"/>
      <c r="JMN2" s="14"/>
      <c r="JMO2" s="14"/>
      <c r="JMP2" s="14"/>
      <c r="JMQ2" s="14"/>
      <c r="JMR2" s="14"/>
      <c r="JMS2" s="14"/>
      <c r="JMT2" s="14"/>
      <c r="JMU2" s="14"/>
      <c r="JMV2" s="14"/>
      <c r="JMW2" s="14"/>
      <c r="JMX2" s="14"/>
      <c r="JMY2" s="14"/>
      <c r="JMZ2" s="14"/>
      <c r="JNA2" s="14"/>
      <c r="JNB2" s="14"/>
      <c r="JNC2" s="14"/>
      <c r="JND2" s="14"/>
      <c r="JNE2" s="14"/>
      <c r="JNF2" s="14"/>
      <c r="JNG2" s="14"/>
      <c r="JNH2" s="14"/>
      <c r="JNI2" s="14"/>
      <c r="JNJ2" s="14"/>
      <c r="JNK2" s="14"/>
      <c r="JNL2" s="14"/>
      <c r="JNM2" s="14"/>
      <c r="JNN2" s="14"/>
      <c r="JNO2" s="14"/>
      <c r="JNP2" s="14"/>
      <c r="JNQ2" s="14"/>
      <c r="JNR2" s="14"/>
      <c r="JNS2" s="14"/>
      <c r="JNT2" s="14"/>
      <c r="JNU2" s="14"/>
      <c r="JNV2" s="14"/>
      <c r="JNW2" s="14"/>
      <c r="JNX2" s="14"/>
      <c r="JNY2" s="14"/>
      <c r="JNZ2" s="14"/>
      <c r="JOA2" s="14"/>
      <c r="JOB2" s="14"/>
      <c r="JOC2" s="14"/>
      <c r="JOD2" s="14"/>
      <c r="JOE2" s="14"/>
      <c r="JOF2" s="14"/>
      <c r="JOG2" s="14"/>
      <c r="JOH2" s="14"/>
      <c r="JOI2" s="14"/>
      <c r="JOJ2" s="14"/>
      <c r="JOK2" s="14"/>
      <c r="JOL2" s="14"/>
      <c r="JOM2" s="14"/>
      <c r="JON2" s="14"/>
      <c r="JOO2" s="14"/>
      <c r="JOP2" s="14"/>
      <c r="JOQ2" s="14"/>
      <c r="JOR2" s="14"/>
      <c r="JOS2" s="14"/>
      <c r="JOT2" s="14"/>
      <c r="JOU2" s="14"/>
      <c r="JOV2" s="14"/>
      <c r="JOW2" s="14"/>
      <c r="JOX2" s="14"/>
      <c r="JOY2" s="14"/>
      <c r="JOZ2" s="14"/>
      <c r="JPA2" s="14"/>
      <c r="JPB2" s="14"/>
      <c r="JPC2" s="14"/>
      <c r="JPD2" s="14"/>
      <c r="JPE2" s="14"/>
      <c r="JPF2" s="14"/>
      <c r="JPG2" s="14"/>
      <c r="JPH2" s="14"/>
      <c r="JPI2" s="14"/>
      <c r="JPJ2" s="14"/>
      <c r="JPK2" s="14"/>
      <c r="JPL2" s="14"/>
      <c r="JPM2" s="14"/>
      <c r="JPN2" s="14"/>
      <c r="JPO2" s="14"/>
      <c r="JPP2" s="14"/>
      <c r="JPQ2" s="14"/>
      <c r="JPR2" s="14"/>
      <c r="JPS2" s="14"/>
      <c r="JPT2" s="14"/>
      <c r="JPU2" s="14"/>
      <c r="JPV2" s="14"/>
      <c r="JPW2" s="14"/>
      <c r="JPX2" s="14"/>
      <c r="JPY2" s="14"/>
      <c r="JPZ2" s="14"/>
      <c r="JQA2" s="14"/>
      <c r="JQB2" s="14"/>
      <c r="JQC2" s="14"/>
      <c r="JQD2" s="14"/>
      <c r="JQE2" s="14"/>
      <c r="JQF2" s="14"/>
      <c r="JQG2" s="14"/>
      <c r="JQH2" s="14"/>
      <c r="JQI2" s="14"/>
      <c r="JQJ2" s="14"/>
      <c r="JQK2" s="14"/>
      <c r="JQL2" s="14"/>
      <c r="JQM2" s="14"/>
      <c r="JQN2" s="14"/>
      <c r="JQO2" s="14"/>
      <c r="JQP2" s="14"/>
      <c r="JQQ2" s="14"/>
      <c r="JQR2" s="14"/>
      <c r="JQS2" s="14"/>
      <c r="JQT2" s="14"/>
      <c r="JQU2" s="14"/>
      <c r="JQV2" s="14"/>
      <c r="JQW2" s="14"/>
      <c r="JQX2" s="14"/>
      <c r="JQY2" s="14"/>
      <c r="JQZ2" s="14"/>
      <c r="JRA2" s="14"/>
      <c r="JRB2" s="14"/>
      <c r="JRC2" s="14"/>
      <c r="JRD2" s="14"/>
      <c r="JRE2" s="14"/>
      <c r="JRF2" s="14"/>
      <c r="JRG2" s="14"/>
      <c r="JRH2" s="14"/>
      <c r="JRI2" s="14"/>
      <c r="JRJ2" s="14"/>
      <c r="JRK2" s="14"/>
      <c r="JRL2" s="14"/>
      <c r="JRM2" s="14"/>
      <c r="JRN2" s="14"/>
      <c r="JRO2" s="14"/>
      <c r="JRP2" s="14"/>
      <c r="JRQ2" s="14"/>
      <c r="JRR2" s="14"/>
      <c r="JRS2" s="14"/>
      <c r="JRT2" s="14"/>
      <c r="JRU2" s="14"/>
      <c r="JRV2" s="14"/>
      <c r="JRW2" s="14"/>
      <c r="JRX2" s="14"/>
      <c r="JRY2" s="14"/>
      <c r="JRZ2" s="14"/>
      <c r="JSA2" s="14"/>
      <c r="JSB2" s="14"/>
      <c r="JSC2" s="14"/>
      <c r="JSD2" s="14"/>
      <c r="JSE2" s="14"/>
      <c r="JSF2" s="14"/>
      <c r="JSG2" s="14"/>
      <c r="JSH2" s="14"/>
      <c r="JSI2" s="14"/>
      <c r="JSJ2" s="14"/>
      <c r="JSK2" s="14"/>
      <c r="JSL2" s="14"/>
      <c r="JSM2" s="14"/>
      <c r="JSN2" s="14"/>
      <c r="JSO2" s="14"/>
      <c r="JSP2" s="14"/>
      <c r="JSQ2" s="14"/>
      <c r="JSR2" s="14"/>
      <c r="JSS2" s="14"/>
      <c r="JST2" s="14"/>
      <c r="JSU2" s="14"/>
      <c r="JSV2" s="14"/>
      <c r="JSW2" s="14"/>
      <c r="JSX2" s="14"/>
      <c r="JSY2" s="14"/>
      <c r="JSZ2" s="14"/>
      <c r="JTA2" s="14"/>
      <c r="JTB2" s="14"/>
      <c r="JTC2" s="14"/>
      <c r="JTD2" s="14"/>
      <c r="JTE2" s="14"/>
      <c r="JTF2" s="14"/>
      <c r="JTG2" s="14"/>
      <c r="JTH2" s="14"/>
      <c r="JTI2" s="14"/>
      <c r="JTJ2" s="14"/>
      <c r="JTK2" s="14"/>
      <c r="JTL2" s="14"/>
      <c r="JTM2" s="14"/>
      <c r="JTN2" s="14"/>
      <c r="JTO2" s="14"/>
      <c r="JTP2" s="14"/>
      <c r="JTQ2" s="14"/>
      <c r="JTR2" s="14"/>
      <c r="JTS2" s="14"/>
      <c r="JTT2" s="14"/>
      <c r="JTU2" s="14"/>
      <c r="JTV2" s="14"/>
      <c r="JTW2" s="14"/>
      <c r="JTX2" s="14"/>
      <c r="JTY2" s="14"/>
      <c r="JTZ2" s="14"/>
      <c r="JUA2" s="14"/>
      <c r="JUB2" s="14"/>
      <c r="JUC2" s="14"/>
      <c r="JUD2" s="14"/>
      <c r="JUE2" s="14"/>
      <c r="JUF2" s="14"/>
      <c r="JUG2" s="14"/>
      <c r="JUH2" s="14"/>
      <c r="JUI2" s="14"/>
      <c r="JUJ2" s="14"/>
      <c r="JUK2" s="14"/>
      <c r="JUL2" s="14"/>
      <c r="JUM2" s="14"/>
      <c r="JUN2" s="14"/>
      <c r="JUO2" s="14"/>
      <c r="JUP2" s="14"/>
      <c r="JUQ2" s="14"/>
      <c r="JUR2" s="14"/>
      <c r="JUS2" s="14"/>
      <c r="JUT2" s="14"/>
      <c r="JUU2" s="14"/>
      <c r="JUV2" s="14"/>
      <c r="JUW2" s="14"/>
      <c r="JUX2" s="14"/>
      <c r="JUY2" s="14"/>
      <c r="JUZ2" s="14"/>
      <c r="JVA2" s="14"/>
      <c r="JVB2" s="14"/>
      <c r="JVC2" s="14"/>
      <c r="JVD2" s="14"/>
      <c r="JVE2" s="14"/>
      <c r="JVF2" s="14"/>
      <c r="JVG2" s="14"/>
      <c r="JVH2" s="14"/>
      <c r="JVI2" s="14"/>
      <c r="JVJ2" s="14"/>
      <c r="JVK2" s="14"/>
      <c r="JVL2" s="14"/>
      <c r="JVM2" s="14"/>
      <c r="JVN2" s="14"/>
      <c r="JVO2" s="14"/>
      <c r="JVP2" s="14"/>
      <c r="JVQ2" s="14"/>
      <c r="JVR2" s="14"/>
      <c r="JVS2" s="14"/>
      <c r="JVT2" s="14"/>
      <c r="JVU2" s="14"/>
      <c r="JVV2" s="14"/>
      <c r="JVW2" s="14"/>
      <c r="JVX2" s="14"/>
      <c r="JVY2" s="14"/>
      <c r="JVZ2" s="14"/>
      <c r="JWA2" s="14"/>
      <c r="JWB2" s="14"/>
      <c r="JWC2" s="14"/>
      <c r="JWD2" s="14"/>
      <c r="JWE2" s="14"/>
      <c r="JWF2" s="14"/>
      <c r="JWG2" s="14"/>
      <c r="JWH2" s="14"/>
      <c r="JWI2" s="14"/>
      <c r="JWJ2" s="14"/>
      <c r="JWK2" s="14"/>
      <c r="JWL2" s="14"/>
      <c r="JWM2" s="14"/>
      <c r="JWN2" s="14"/>
      <c r="JWO2" s="14"/>
      <c r="JWP2" s="14"/>
      <c r="JWQ2" s="14"/>
      <c r="JWR2" s="14"/>
      <c r="JWS2" s="14"/>
      <c r="JWT2" s="14"/>
      <c r="JWU2" s="14"/>
      <c r="JWV2" s="14"/>
      <c r="JWW2" s="14"/>
      <c r="JWX2" s="14"/>
      <c r="JWY2" s="14"/>
      <c r="JWZ2" s="14"/>
      <c r="JXA2" s="14"/>
      <c r="JXB2" s="14"/>
      <c r="JXC2" s="14"/>
      <c r="JXD2" s="14"/>
      <c r="JXE2" s="14"/>
      <c r="JXF2" s="14"/>
      <c r="JXG2" s="14"/>
      <c r="JXH2" s="14"/>
      <c r="JXI2" s="14"/>
      <c r="JXJ2" s="14"/>
      <c r="JXK2" s="14"/>
      <c r="JXL2" s="14"/>
      <c r="JXM2" s="14"/>
      <c r="JXN2" s="14"/>
      <c r="JXO2" s="14"/>
      <c r="JXP2" s="14"/>
      <c r="JXQ2" s="14"/>
      <c r="JXR2" s="14"/>
      <c r="JXS2" s="14"/>
      <c r="JXT2" s="14"/>
      <c r="JXU2" s="14"/>
      <c r="JXV2" s="14"/>
      <c r="JXW2" s="14"/>
      <c r="JXX2" s="14"/>
      <c r="JXY2" s="14"/>
      <c r="JXZ2" s="14"/>
      <c r="JYA2" s="14"/>
      <c r="JYB2" s="14"/>
      <c r="JYC2" s="14"/>
      <c r="JYD2" s="14"/>
      <c r="JYE2" s="14"/>
      <c r="JYF2" s="14"/>
      <c r="JYG2" s="14"/>
      <c r="JYH2" s="14"/>
      <c r="JYI2" s="14"/>
      <c r="JYJ2" s="14"/>
      <c r="JYK2" s="14"/>
      <c r="JYL2" s="14"/>
      <c r="JYM2" s="14"/>
      <c r="JYN2" s="14"/>
      <c r="JYO2" s="14"/>
      <c r="JYP2" s="14"/>
      <c r="JYQ2" s="14"/>
      <c r="JYR2" s="14"/>
      <c r="JYS2" s="14"/>
      <c r="JYT2" s="14"/>
      <c r="JYU2" s="14"/>
      <c r="JYV2" s="14"/>
      <c r="JYW2" s="14"/>
      <c r="JYX2" s="14"/>
      <c r="JYY2" s="14"/>
      <c r="JYZ2" s="14"/>
      <c r="JZA2" s="14"/>
      <c r="JZB2" s="14"/>
      <c r="JZC2" s="14"/>
      <c r="JZD2" s="14"/>
      <c r="JZE2" s="14"/>
      <c r="JZF2" s="14"/>
      <c r="JZG2" s="14"/>
      <c r="JZH2" s="14"/>
      <c r="JZI2" s="14"/>
      <c r="JZJ2" s="14"/>
      <c r="JZK2" s="14"/>
      <c r="JZL2" s="14"/>
      <c r="JZM2" s="14"/>
      <c r="JZN2" s="14"/>
      <c r="JZO2" s="14"/>
      <c r="JZP2" s="14"/>
      <c r="JZQ2" s="14"/>
      <c r="JZR2" s="14"/>
      <c r="JZS2" s="14"/>
      <c r="JZT2" s="14"/>
      <c r="JZU2" s="14"/>
      <c r="JZV2" s="14"/>
      <c r="JZW2" s="14"/>
      <c r="JZX2" s="14"/>
      <c r="JZY2" s="14"/>
      <c r="JZZ2" s="14"/>
      <c r="KAA2" s="14"/>
      <c r="KAB2" s="14"/>
      <c r="KAC2" s="14"/>
      <c r="KAD2" s="14"/>
      <c r="KAE2" s="14"/>
      <c r="KAF2" s="14"/>
      <c r="KAG2" s="14"/>
      <c r="KAH2" s="14"/>
      <c r="KAI2" s="14"/>
      <c r="KAJ2" s="14"/>
      <c r="KAK2" s="14"/>
      <c r="KAL2" s="14"/>
      <c r="KAM2" s="14"/>
      <c r="KAN2" s="14"/>
      <c r="KAO2" s="14"/>
      <c r="KAP2" s="14"/>
      <c r="KAQ2" s="14"/>
      <c r="KAR2" s="14"/>
      <c r="KAS2" s="14"/>
      <c r="KAT2" s="14"/>
      <c r="KAU2" s="14"/>
      <c r="KAV2" s="14"/>
      <c r="KAW2" s="14"/>
      <c r="KAX2" s="14"/>
      <c r="KAY2" s="14"/>
      <c r="KAZ2" s="14"/>
      <c r="KBA2" s="14"/>
      <c r="KBB2" s="14"/>
      <c r="KBC2" s="14"/>
      <c r="KBD2" s="14"/>
      <c r="KBE2" s="14"/>
      <c r="KBF2" s="14"/>
      <c r="KBG2" s="14"/>
      <c r="KBH2" s="14"/>
      <c r="KBI2" s="14"/>
      <c r="KBJ2" s="14"/>
      <c r="KBK2" s="14"/>
      <c r="KBL2" s="14"/>
      <c r="KBM2" s="14"/>
      <c r="KBN2" s="14"/>
      <c r="KBO2" s="14"/>
      <c r="KBP2" s="14"/>
      <c r="KBQ2" s="14"/>
      <c r="KBR2" s="14"/>
      <c r="KBS2" s="14"/>
      <c r="KBT2" s="14"/>
      <c r="KBU2" s="14"/>
      <c r="KBV2" s="14"/>
      <c r="KBW2" s="14"/>
      <c r="KBX2" s="14"/>
      <c r="KBY2" s="14"/>
      <c r="KBZ2" s="14"/>
      <c r="KCA2" s="14"/>
      <c r="KCB2" s="14"/>
      <c r="KCC2" s="14"/>
      <c r="KCD2" s="14"/>
      <c r="KCE2" s="14"/>
      <c r="KCF2" s="14"/>
      <c r="KCG2" s="14"/>
      <c r="KCH2" s="14"/>
      <c r="KCI2" s="14"/>
      <c r="KCJ2" s="14"/>
      <c r="KCK2" s="14"/>
      <c r="KCL2" s="14"/>
      <c r="KCM2" s="14"/>
      <c r="KCN2" s="14"/>
      <c r="KCO2" s="14"/>
      <c r="KCP2" s="14"/>
      <c r="KCQ2" s="14"/>
      <c r="KCR2" s="14"/>
      <c r="KCS2" s="14"/>
      <c r="KCT2" s="14"/>
      <c r="KCU2" s="14"/>
      <c r="KCV2" s="14"/>
      <c r="KCW2" s="14"/>
      <c r="KCX2" s="14"/>
      <c r="KCY2" s="14"/>
      <c r="KCZ2" s="14"/>
      <c r="KDA2" s="14"/>
      <c r="KDB2" s="14"/>
      <c r="KDC2" s="14"/>
      <c r="KDD2" s="14"/>
      <c r="KDE2" s="14"/>
      <c r="KDF2" s="14"/>
      <c r="KDG2" s="14"/>
      <c r="KDH2" s="14"/>
      <c r="KDI2" s="14"/>
      <c r="KDJ2" s="14"/>
      <c r="KDK2" s="14"/>
      <c r="KDL2" s="14"/>
      <c r="KDM2" s="14"/>
      <c r="KDN2" s="14"/>
      <c r="KDO2" s="14"/>
      <c r="KDP2" s="14"/>
      <c r="KDQ2" s="14"/>
      <c r="KDR2" s="14"/>
      <c r="KDS2" s="14"/>
      <c r="KDT2" s="14"/>
      <c r="KDU2" s="14"/>
      <c r="KDV2" s="14"/>
      <c r="KDW2" s="14"/>
      <c r="KDX2" s="14"/>
      <c r="KDY2" s="14"/>
      <c r="KDZ2" s="14"/>
      <c r="KEA2" s="14"/>
      <c r="KEB2" s="14"/>
      <c r="KEC2" s="14"/>
      <c r="KED2" s="14"/>
      <c r="KEE2" s="14"/>
      <c r="KEF2" s="14"/>
      <c r="KEG2" s="14"/>
      <c r="KEH2" s="14"/>
      <c r="KEI2" s="14"/>
      <c r="KEJ2" s="14"/>
      <c r="KEK2" s="14"/>
      <c r="KEL2" s="14"/>
      <c r="KEM2" s="14"/>
      <c r="KEN2" s="14"/>
      <c r="KEO2" s="14"/>
      <c r="KEP2" s="14"/>
      <c r="KEQ2" s="14"/>
      <c r="KER2" s="14"/>
      <c r="KES2" s="14"/>
      <c r="KET2" s="14"/>
      <c r="KEU2" s="14"/>
      <c r="KEV2" s="14"/>
      <c r="KEW2" s="14"/>
      <c r="KEX2" s="14"/>
      <c r="KEY2" s="14"/>
      <c r="KEZ2" s="14"/>
      <c r="KFA2" s="14"/>
      <c r="KFB2" s="14"/>
      <c r="KFC2" s="14"/>
      <c r="KFD2" s="14"/>
      <c r="KFE2" s="14"/>
      <c r="KFF2" s="14"/>
      <c r="KFG2" s="14"/>
      <c r="KFH2" s="14"/>
      <c r="KFI2" s="14"/>
      <c r="KFJ2" s="14"/>
      <c r="KFK2" s="14"/>
      <c r="KFL2" s="14"/>
      <c r="KFM2" s="14"/>
      <c r="KFN2" s="14"/>
      <c r="KFO2" s="14"/>
      <c r="KFP2" s="14"/>
      <c r="KFQ2" s="14"/>
      <c r="KFR2" s="14"/>
      <c r="KFS2" s="14"/>
      <c r="KFT2" s="14"/>
      <c r="KFU2" s="14"/>
      <c r="KFV2" s="14"/>
      <c r="KFW2" s="14"/>
      <c r="KFX2" s="14"/>
      <c r="KFY2" s="14"/>
      <c r="KFZ2" s="14"/>
      <c r="KGA2" s="14"/>
      <c r="KGB2" s="14"/>
      <c r="KGC2" s="14"/>
      <c r="KGD2" s="14"/>
      <c r="KGE2" s="14"/>
      <c r="KGF2" s="14"/>
      <c r="KGG2" s="14"/>
      <c r="KGH2" s="14"/>
      <c r="KGI2" s="14"/>
      <c r="KGJ2" s="14"/>
      <c r="KGK2" s="14"/>
      <c r="KGL2" s="14"/>
      <c r="KGM2" s="14"/>
      <c r="KGN2" s="14"/>
      <c r="KGO2" s="14"/>
      <c r="KGP2" s="14"/>
      <c r="KGQ2" s="14"/>
      <c r="KGR2" s="14"/>
      <c r="KGS2" s="14"/>
      <c r="KGT2" s="14"/>
      <c r="KGU2" s="14"/>
      <c r="KGV2" s="14"/>
      <c r="KGW2" s="14"/>
      <c r="KGX2" s="14"/>
      <c r="KGY2" s="14"/>
      <c r="KGZ2" s="14"/>
      <c r="KHA2" s="14"/>
      <c r="KHB2" s="14"/>
      <c r="KHC2" s="14"/>
      <c r="KHD2" s="14"/>
      <c r="KHE2" s="14"/>
      <c r="KHF2" s="14"/>
      <c r="KHG2" s="14"/>
      <c r="KHH2" s="14"/>
      <c r="KHI2" s="14"/>
      <c r="KHJ2" s="14"/>
      <c r="KHK2" s="14"/>
      <c r="KHL2" s="14"/>
      <c r="KHM2" s="14"/>
      <c r="KHN2" s="14"/>
      <c r="KHO2" s="14"/>
      <c r="KHP2" s="14"/>
      <c r="KHQ2" s="14"/>
      <c r="KHR2" s="14"/>
      <c r="KHS2" s="14"/>
      <c r="KHT2" s="14"/>
      <c r="KHU2" s="14"/>
      <c r="KHV2" s="14"/>
      <c r="KHW2" s="14"/>
      <c r="KHX2" s="14"/>
      <c r="KHY2" s="14"/>
      <c r="KHZ2" s="14"/>
      <c r="KIA2" s="14"/>
      <c r="KIB2" s="14"/>
      <c r="KIC2" s="14"/>
      <c r="KID2" s="14"/>
      <c r="KIE2" s="14"/>
      <c r="KIF2" s="14"/>
      <c r="KIG2" s="14"/>
      <c r="KIH2" s="14"/>
      <c r="KII2" s="14"/>
      <c r="KIJ2" s="14"/>
      <c r="KIK2" s="14"/>
      <c r="KIL2" s="14"/>
      <c r="KIM2" s="14"/>
      <c r="KIN2" s="14"/>
      <c r="KIO2" s="14"/>
      <c r="KIP2" s="14"/>
      <c r="KIQ2" s="14"/>
      <c r="KIR2" s="14"/>
      <c r="KIS2" s="14"/>
      <c r="KIT2" s="14"/>
      <c r="KIU2" s="14"/>
      <c r="KIV2" s="14"/>
      <c r="KIW2" s="14"/>
      <c r="KIX2" s="14"/>
      <c r="KIY2" s="14"/>
      <c r="KIZ2" s="14"/>
      <c r="KJA2" s="14"/>
      <c r="KJB2" s="14"/>
      <c r="KJC2" s="14"/>
      <c r="KJD2" s="14"/>
      <c r="KJE2" s="14"/>
      <c r="KJF2" s="14"/>
      <c r="KJG2" s="14"/>
      <c r="KJH2" s="14"/>
      <c r="KJI2" s="14"/>
      <c r="KJJ2" s="14"/>
      <c r="KJK2" s="14"/>
      <c r="KJL2" s="14"/>
      <c r="KJM2" s="14"/>
      <c r="KJN2" s="14"/>
      <c r="KJO2" s="14"/>
      <c r="KJP2" s="14"/>
      <c r="KJQ2" s="14"/>
      <c r="KJR2" s="14"/>
      <c r="KJS2" s="14"/>
      <c r="KJT2" s="14"/>
      <c r="KJU2" s="14"/>
      <c r="KJV2" s="14"/>
      <c r="KJW2" s="14"/>
      <c r="KJX2" s="14"/>
      <c r="KJY2" s="14"/>
      <c r="KJZ2" s="14"/>
      <c r="KKA2" s="14"/>
      <c r="KKB2" s="14"/>
      <c r="KKC2" s="14"/>
      <c r="KKD2" s="14"/>
      <c r="KKE2" s="14"/>
      <c r="KKF2" s="14"/>
      <c r="KKG2" s="14"/>
      <c r="KKH2" s="14"/>
      <c r="KKI2" s="14"/>
      <c r="KKJ2" s="14"/>
      <c r="KKK2" s="14"/>
      <c r="KKL2" s="14"/>
      <c r="KKM2" s="14"/>
      <c r="KKN2" s="14"/>
      <c r="KKO2" s="14"/>
      <c r="KKP2" s="14"/>
      <c r="KKQ2" s="14"/>
      <c r="KKR2" s="14"/>
      <c r="KKS2" s="14"/>
      <c r="KKT2" s="14"/>
      <c r="KKU2" s="14"/>
      <c r="KKV2" s="14"/>
      <c r="KKW2" s="14"/>
      <c r="KKX2" s="14"/>
      <c r="KKY2" s="14"/>
      <c r="KKZ2" s="14"/>
      <c r="KLA2" s="14"/>
      <c r="KLB2" s="14"/>
      <c r="KLC2" s="14"/>
      <c r="KLD2" s="14"/>
      <c r="KLE2" s="14"/>
      <c r="KLF2" s="14"/>
      <c r="KLG2" s="14"/>
      <c r="KLH2" s="14"/>
      <c r="KLI2" s="14"/>
      <c r="KLJ2" s="14"/>
      <c r="KLK2" s="14"/>
      <c r="KLL2" s="14"/>
      <c r="KLM2" s="14"/>
      <c r="KLN2" s="14"/>
      <c r="KLO2" s="14"/>
      <c r="KLP2" s="14"/>
      <c r="KLQ2" s="14"/>
      <c r="KLR2" s="14"/>
      <c r="KLS2" s="14"/>
      <c r="KLT2" s="14"/>
      <c r="KLU2" s="14"/>
      <c r="KLV2" s="14"/>
      <c r="KLW2" s="14"/>
      <c r="KLX2" s="14"/>
      <c r="KLY2" s="14"/>
      <c r="KLZ2" s="14"/>
      <c r="KMA2" s="14"/>
      <c r="KMB2" s="14"/>
      <c r="KMC2" s="14"/>
      <c r="KMD2" s="14"/>
      <c r="KME2" s="14"/>
      <c r="KMF2" s="14"/>
      <c r="KMG2" s="14"/>
      <c r="KMH2" s="14"/>
      <c r="KMI2" s="14"/>
      <c r="KMJ2" s="14"/>
      <c r="KMK2" s="14"/>
      <c r="KML2" s="14"/>
      <c r="KMM2" s="14"/>
      <c r="KMN2" s="14"/>
      <c r="KMO2" s="14"/>
      <c r="KMP2" s="14"/>
      <c r="KMQ2" s="14"/>
      <c r="KMR2" s="14"/>
      <c r="KMS2" s="14"/>
      <c r="KMT2" s="14"/>
      <c r="KMU2" s="14"/>
      <c r="KMV2" s="14"/>
      <c r="KMW2" s="14"/>
      <c r="KMX2" s="14"/>
      <c r="KMY2" s="14"/>
      <c r="KMZ2" s="14"/>
      <c r="KNA2" s="14"/>
      <c r="KNB2" s="14"/>
      <c r="KNC2" s="14"/>
      <c r="KND2" s="14"/>
      <c r="KNE2" s="14"/>
      <c r="KNF2" s="14"/>
      <c r="KNG2" s="14"/>
      <c r="KNH2" s="14"/>
      <c r="KNI2" s="14"/>
      <c r="KNJ2" s="14"/>
      <c r="KNK2" s="14"/>
      <c r="KNL2" s="14"/>
      <c r="KNM2" s="14"/>
      <c r="KNN2" s="14"/>
      <c r="KNO2" s="14"/>
      <c r="KNP2" s="14"/>
      <c r="KNQ2" s="14"/>
      <c r="KNR2" s="14"/>
      <c r="KNS2" s="14"/>
      <c r="KNT2" s="14"/>
      <c r="KNU2" s="14"/>
      <c r="KNV2" s="14"/>
      <c r="KNW2" s="14"/>
      <c r="KNX2" s="14"/>
      <c r="KNY2" s="14"/>
      <c r="KNZ2" s="14"/>
      <c r="KOA2" s="14"/>
      <c r="KOB2" s="14"/>
      <c r="KOC2" s="14"/>
      <c r="KOD2" s="14"/>
      <c r="KOE2" s="14"/>
      <c r="KOF2" s="14"/>
      <c r="KOG2" s="14"/>
      <c r="KOH2" s="14"/>
      <c r="KOI2" s="14"/>
      <c r="KOJ2" s="14"/>
      <c r="KOK2" s="14"/>
      <c r="KOL2" s="14"/>
      <c r="KOM2" s="14"/>
      <c r="KON2" s="14"/>
      <c r="KOO2" s="14"/>
      <c r="KOP2" s="14"/>
      <c r="KOQ2" s="14"/>
      <c r="KOR2" s="14"/>
      <c r="KOS2" s="14"/>
      <c r="KOT2" s="14"/>
      <c r="KOU2" s="14"/>
      <c r="KOV2" s="14"/>
      <c r="KOW2" s="14"/>
      <c r="KOX2" s="14"/>
      <c r="KOY2" s="14"/>
      <c r="KOZ2" s="14"/>
      <c r="KPA2" s="14"/>
      <c r="KPB2" s="14"/>
      <c r="KPC2" s="14"/>
      <c r="KPD2" s="14"/>
      <c r="KPE2" s="14"/>
      <c r="KPF2" s="14"/>
      <c r="KPG2" s="14"/>
      <c r="KPH2" s="14"/>
      <c r="KPI2" s="14"/>
      <c r="KPJ2" s="14"/>
      <c r="KPK2" s="14"/>
      <c r="KPL2" s="14"/>
      <c r="KPM2" s="14"/>
      <c r="KPN2" s="14"/>
      <c r="KPO2" s="14"/>
      <c r="KPP2" s="14"/>
      <c r="KPQ2" s="14"/>
      <c r="KPR2" s="14"/>
      <c r="KPS2" s="14"/>
      <c r="KPT2" s="14"/>
      <c r="KPU2" s="14"/>
      <c r="KPV2" s="14"/>
      <c r="KPW2" s="14"/>
      <c r="KPX2" s="14"/>
      <c r="KPY2" s="14"/>
      <c r="KPZ2" s="14"/>
      <c r="KQA2" s="14"/>
      <c r="KQB2" s="14"/>
      <c r="KQC2" s="14"/>
      <c r="KQD2" s="14"/>
      <c r="KQE2" s="14"/>
      <c r="KQF2" s="14"/>
      <c r="KQG2" s="14"/>
      <c r="KQH2" s="14"/>
      <c r="KQI2" s="14"/>
      <c r="KQJ2" s="14"/>
      <c r="KQK2" s="14"/>
      <c r="KQL2" s="14"/>
      <c r="KQM2" s="14"/>
      <c r="KQN2" s="14"/>
      <c r="KQO2" s="14"/>
      <c r="KQP2" s="14"/>
      <c r="KQQ2" s="14"/>
      <c r="KQR2" s="14"/>
      <c r="KQS2" s="14"/>
      <c r="KQT2" s="14"/>
      <c r="KQU2" s="14"/>
      <c r="KQV2" s="14"/>
      <c r="KQW2" s="14"/>
      <c r="KQX2" s="14"/>
      <c r="KQY2" s="14"/>
      <c r="KQZ2" s="14"/>
      <c r="KRA2" s="14"/>
      <c r="KRB2" s="14"/>
      <c r="KRC2" s="14"/>
      <c r="KRD2" s="14"/>
      <c r="KRE2" s="14"/>
      <c r="KRF2" s="14"/>
      <c r="KRG2" s="14"/>
      <c r="KRH2" s="14"/>
      <c r="KRI2" s="14"/>
      <c r="KRJ2" s="14"/>
      <c r="KRK2" s="14"/>
      <c r="KRL2" s="14"/>
      <c r="KRM2" s="14"/>
      <c r="KRN2" s="14"/>
      <c r="KRO2" s="14"/>
      <c r="KRP2" s="14"/>
      <c r="KRQ2" s="14"/>
      <c r="KRR2" s="14"/>
      <c r="KRS2" s="14"/>
      <c r="KRT2" s="14"/>
      <c r="KRU2" s="14"/>
      <c r="KRV2" s="14"/>
      <c r="KRW2" s="14"/>
      <c r="KRX2" s="14"/>
      <c r="KRY2" s="14"/>
      <c r="KRZ2" s="14"/>
      <c r="KSA2" s="14"/>
      <c r="KSB2" s="14"/>
      <c r="KSC2" s="14"/>
      <c r="KSD2" s="14"/>
      <c r="KSE2" s="14"/>
      <c r="KSF2" s="14"/>
      <c r="KSG2" s="14"/>
      <c r="KSH2" s="14"/>
      <c r="KSI2" s="14"/>
      <c r="KSJ2" s="14"/>
      <c r="KSK2" s="14"/>
      <c r="KSL2" s="14"/>
      <c r="KSM2" s="14"/>
      <c r="KSN2" s="14"/>
      <c r="KSO2" s="14"/>
      <c r="KSP2" s="14"/>
      <c r="KSQ2" s="14"/>
      <c r="KSR2" s="14"/>
      <c r="KSS2" s="14"/>
      <c r="KST2" s="14"/>
      <c r="KSU2" s="14"/>
      <c r="KSV2" s="14"/>
      <c r="KSW2" s="14"/>
      <c r="KSX2" s="14"/>
      <c r="KSY2" s="14"/>
      <c r="KSZ2" s="14"/>
      <c r="KTA2" s="14"/>
      <c r="KTB2" s="14"/>
      <c r="KTC2" s="14"/>
      <c r="KTD2" s="14"/>
      <c r="KTE2" s="14"/>
      <c r="KTF2" s="14"/>
      <c r="KTG2" s="14"/>
      <c r="KTH2" s="14"/>
      <c r="KTI2" s="14"/>
      <c r="KTJ2" s="14"/>
      <c r="KTK2" s="14"/>
      <c r="KTL2" s="14"/>
      <c r="KTM2" s="14"/>
      <c r="KTN2" s="14"/>
      <c r="KTO2" s="14"/>
      <c r="KTP2" s="14"/>
      <c r="KTQ2" s="14"/>
      <c r="KTR2" s="14"/>
      <c r="KTS2" s="14"/>
      <c r="KTT2" s="14"/>
      <c r="KTU2" s="14"/>
      <c r="KTV2" s="14"/>
      <c r="KTW2" s="14"/>
      <c r="KTX2" s="14"/>
      <c r="KTY2" s="14"/>
      <c r="KTZ2" s="14"/>
      <c r="KUA2" s="14"/>
      <c r="KUB2" s="14"/>
      <c r="KUC2" s="14"/>
      <c r="KUD2" s="14"/>
      <c r="KUE2" s="14"/>
      <c r="KUF2" s="14"/>
      <c r="KUG2" s="14"/>
      <c r="KUH2" s="14"/>
      <c r="KUI2" s="14"/>
      <c r="KUJ2" s="14"/>
      <c r="KUK2" s="14"/>
      <c r="KUL2" s="14"/>
      <c r="KUM2" s="14"/>
      <c r="KUN2" s="14"/>
      <c r="KUO2" s="14"/>
      <c r="KUP2" s="14"/>
      <c r="KUQ2" s="14"/>
      <c r="KUR2" s="14"/>
      <c r="KUS2" s="14"/>
      <c r="KUT2" s="14"/>
      <c r="KUU2" s="14"/>
      <c r="KUV2" s="14"/>
      <c r="KUW2" s="14"/>
      <c r="KUX2" s="14"/>
      <c r="KUY2" s="14"/>
      <c r="KUZ2" s="14"/>
      <c r="KVA2" s="14"/>
      <c r="KVB2" s="14"/>
      <c r="KVC2" s="14"/>
      <c r="KVD2" s="14"/>
      <c r="KVE2" s="14"/>
      <c r="KVF2" s="14"/>
      <c r="KVG2" s="14"/>
      <c r="KVH2" s="14"/>
      <c r="KVI2" s="14"/>
      <c r="KVJ2" s="14"/>
      <c r="KVK2" s="14"/>
      <c r="KVL2" s="14"/>
      <c r="KVM2" s="14"/>
      <c r="KVN2" s="14"/>
      <c r="KVO2" s="14"/>
      <c r="KVP2" s="14"/>
      <c r="KVQ2" s="14"/>
      <c r="KVR2" s="14"/>
      <c r="KVS2" s="14"/>
      <c r="KVT2" s="14"/>
      <c r="KVU2" s="14"/>
      <c r="KVV2" s="14"/>
      <c r="KVW2" s="14"/>
      <c r="KVX2" s="14"/>
      <c r="KVY2" s="14"/>
      <c r="KVZ2" s="14"/>
      <c r="KWA2" s="14"/>
      <c r="KWB2" s="14"/>
      <c r="KWC2" s="14"/>
      <c r="KWD2" s="14"/>
      <c r="KWE2" s="14"/>
      <c r="KWF2" s="14"/>
      <c r="KWG2" s="14"/>
      <c r="KWH2" s="14"/>
      <c r="KWI2" s="14"/>
      <c r="KWJ2" s="14"/>
      <c r="KWK2" s="14"/>
      <c r="KWL2" s="14"/>
      <c r="KWM2" s="14"/>
      <c r="KWN2" s="14"/>
      <c r="KWO2" s="14"/>
      <c r="KWP2" s="14"/>
      <c r="KWQ2" s="14"/>
      <c r="KWR2" s="14"/>
      <c r="KWS2" s="14"/>
      <c r="KWT2" s="14"/>
      <c r="KWU2" s="14"/>
      <c r="KWV2" s="14"/>
      <c r="KWW2" s="14"/>
      <c r="KWX2" s="14"/>
      <c r="KWY2" s="14"/>
      <c r="KWZ2" s="14"/>
      <c r="KXA2" s="14"/>
      <c r="KXB2" s="14"/>
      <c r="KXC2" s="14"/>
      <c r="KXD2" s="14"/>
      <c r="KXE2" s="14"/>
      <c r="KXF2" s="14"/>
      <c r="KXG2" s="14"/>
      <c r="KXH2" s="14"/>
      <c r="KXI2" s="14"/>
      <c r="KXJ2" s="14"/>
      <c r="KXK2" s="14"/>
      <c r="KXL2" s="14"/>
      <c r="KXM2" s="14"/>
      <c r="KXN2" s="14"/>
      <c r="KXO2" s="14"/>
      <c r="KXP2" s="14"/>
      <c r="KXQ2" s="14"/>
      <c r="KXR2" s="14"/>
      <c r="KXS2" s="14"/>
      <c r="KXT2" s="14"/>
      <c r="KXU2" s="14"/>
      <c r="KXV2" s="14"/>
      <c r="KXW2" s="14"/>
      <c r="KXX2" s="14"/>
      <c r="KXY2" s="14"/>
      <c r="KXZ2" s="14"/>
      <c r="KYA2" s="14"/>
      <c r="KYB2" s="14"/>
      <c r="KYC2" s="14"/>
      <c r="KYD2" s="14"/>
      <c r="KYE2" s="14"/>
      <c r="KYF2" s="14"/>
      <c r="KYG2" s="14"/>
      <c r="KYH2" s="14"/>
      <c r="KYI2" s="14"/>
      <c r="KYJ2" s="14"/>
      <c r="KYK2" s="14"/>
      <c r="KYL2" s="14"/>
      <c r="KYM2" s="14"/>
      <c r="KYN2" s="14"/>
      <c r="KYO2" s="14"/>
      <c r="KYP2" s="14"/>
      <c r="KYQ2" s="14"/>
      <c r="KYR2" s="14"/>
      <c r="KYS2" s="14"/>
      <c r="KYT2" s="14"/>
      <c r="KYU2" s="14"/>
      <c r="KYV2" s="14"/>
      <c r="KYW2" s="14"/>
      <c r="KYX2" s="14"/>
      <c r="KYY2" s="14"/>
      <c r="KYZ2" s="14"/>
      <c r="KZA2" s="14"/>
      <c r="KZB2" s="14"/>
      <c r="KZC2" s="14"/>
      <c r="KZD2" s="14"/>
      <c r="KZE2" s="14"/>
      <c r="KZF2" s="14"/>
      <c r="KZG2" s="14"/>
      <c r="KZH2" s="14"/>
      <c r="KZI2" s="14"/>
      <c r="KZJ2" s="14"/>
      <c r="KZK2" s="14"/>
      <c r="KZL2" s="14"/>
      <c r="KZM2" s="14"/>
      <c r="KZN2" s="14"/>
      <c r="KZO2" s="14"/>
      <c r="KZP2" s="14"/>
      <c r="KZQ2" s="14"/>
      <c r="KZR2" s="14"/>
      <c r="KZS2" s="14"/>
      <c r="KZT2" s="14"/>
      <c r="KZU2" s="14"/>
      <c r="KZV2" s="14"/>
      <c r="KZW2" s="14"/>
      <c r="KZX2" s="14"/>
      <c r="KZY2" s="14"/>
      <c r="KZZ2" s="14"/>
      <c r="LAA2" s="14"/>
      <c r="LAB2" s="14"/>
      <c r="LAC2" s="14"/>
      <c r="LAD2" s="14"/>
      <c r="LAE2" s="14"/>
      <c r="LAF2" s="14"/>
      <c r="LAG2" s="14"/>
      <c r="LAH2" s="14"/>
      <c r="LAI2" s="14"/>
      <c r="LAJ2" s="14"/>
      <c r="LAK2" s="14"/>
      <c r="LAL2" s="14"/>
      <c r="LAM2" s="14"/>
      <c r="LAN2" s="14"/>
      <c r="LAO2" s="14"/>
      <c r="LAP2" s="14"/>
      <c r="LAQ2" s="14"/>
      <c r="LAR2" s="14"/>
      <c r="LAS2" s="14"/>
      <c r="LAT2" s="14"/>
      <c r="LAU2" s="14"/>
      <c r="LAV2" s="14"/>
      <c r="LAW2" s="14"/>
      <c r="LAX2" s="14"/>
      <c r="LAY2" s="14"/>
      <c r="LAZ2" s="14"/>
      <c r="LBA2" s="14"/>
      <c r="LBB2" s="14"/>
      <c r="LBC2" s="14"/>
      <c r="LBD2" s="14"/>
      <c r="LBE2" s="14"/>
      <c r="LBF2" s="14"/>
      <c r="LBG2" s="14"/>
      <c r="LBH2" s="14"/>
      <c r="LBI2" s="14"/>
      <c r="LBJ2" s="14"/>
      <c r="LBK2" s="14"/>
      <c r="LBL2" s="14"/>
      <c r="LBM2" s="14"/>
      <c r="LBN2" s="14"/>
      <c r="LBO2" s="14"/>
      <c r="LBP2" s="14"/>
      <c r="LBQ2" s="14"/>
      <c r="LBR2" s="14"/>
      <c r="LBS2" s="14"/>
      <c r="LBT2" s="14"/>
      <c r="LBU2" s="14"/>
      <c r="LBV2" s="14"/>
      <c r="LBW2" s="14"/>
      <c r="LBX2" s="14"/>
      <c r="LBY2" s="14"/>
      <c r="LBZ2" s="14"/>
      <c r="LCA2" s="14"/>
      <c r="LCB2" s="14"/>
      <c r="LCC2" s="14"/>
      <c r="LCD2" s="14"/>
      <c r="LCE2" s="14"/>
      <c r="LCF2" s="14"/>
      <c r="LCG2" s="14"/>
      <c r="LCH2" s="14"/>
      <c r="LCI2" s="14"/>
      <c r="LCJ2" s="14"/>
      <c r="LCK2" s="14"/>
      <c r="LCL2" s="14"/>
      <c r="LCM2" s="14"/>
      <c r="LCN2" s="14"/>
      <c r="LCO2" s="14"/>
      <c r="LCP2" s="14"/>
      <c r="LCQ2" s="14"/>
      <c r="LCR2" s="14"/>
      <c r="LCS2" s="14"/>
      <c r="LCT2" s="14"/>
      <c r="LCU2" s="14"/>
      <c r="LCV2" s="14"/>
      <c r="LCW2" s="14"/>
      <c r="LCX2" s="14"/>
      <c r="LCY2" s="14"/>
      <c r="LCZ2" s="14"/>
      <c r="LDA2" s="14"/>
      <c r="LDB2" s="14"/>
      <c r="LDC2" s="14"/>
      <c r="LDD2" s="14"/>
      <c r="LDE2" s="14"/>
      <c r="LDF2" s="14"/>
      <c r="LDG2" s="14"/>
      <c r="LDH2" s="14"/>
      <c r="LDI2" s="14"/>
      <c r="LDJ2" s="14"/>
      <c r="LDK2" s="14"/>
      <c r="LDL2" s="14"/>
      <c r="LDM2" s="14"/>
      <c r="LDN2" s="14"/>
      <c r="LDO2" s="14"/>
      <c r="LDP2" s="14"/>
      <c r="LDQ2" s="14"/>
      <c r="LDR2" s="14"/>
      <c r="LDS2" s="14"/>
      <c r="LDT2" s="14"/>
      <c r="LDU2" s="14"/>
      <c r="LDV2" s="14"/>
      <c r="LDW2" s="14"/>
      <c r="LDX2" s="14"/>
      <c r="LDY2" s="14"/>
      <c r="LDZ2" s="14"/>
      <c r="LEA2" s="14"/>
      <c r="LEB2" s="14"/>
      <c r="LEC2" s="14"/>
      <c r="LED2" s="14"/>
      <c r="LEE2" s="14"/>
      <c r="LEF2" s="14"/>
      <c r="LEG2" s="14"/>
      <c r="LEH2" s="14"/>
      <c r="LEI2" s="14"/>
      <c r="LEJ2" s="14"/>
      <c r="LEK2" s="14"/>
      <c r="LEL2" s="14"/>
      <c r="LEM2" s="14"/>
      <c r="LEN2" s="14"/>
      <c r="LEO2" s="14"/>
      <c r="LEP2" s="14"/>
      <c r="LEQ2" s="14"/>
      <c r="LER2" s="14"/>
      <c r="LES2" s="14"/>
      <c r="LET2" s="14"/>
      <c r="LEU2" s="14"/>
      <c r="LEV2" s="14"/>
      <c r="LEW2" s="14"/>
      <c r="LEX2" s="14"/>
      <c r="LEY2" s="14"/>
      <c r="LEZ2" s="14"/>
      <c r="LFA2" s="14"/>
      <c r="LFB2" s="14"/>
      <c r="LFC2" s="14"/>
      <c r="LFD2" s="14"/>
      <c r="LFE2" s="14"/>
      <c r="LFF2" s="14"/>
      <c r="LFG2" s="14"/>
      <c r="LFH2" s="14"/>
      <c r="LFI2" s="14"/>
      <c r="LFJ2" s="14"/>
      <c r="LFK2" s="14"/>
      <c r="LFL2" s="14"/>
      <c r="LFM2" s="14"/>
      <c r="LFN2" s="14"/>
      <c r="LFO2" s="14"/>
      <c r="LFP2" s="14"/>
      <c r="LFQ2" s="14"/>
      <c r="LFR2" s="14"/>
      <c r="LFS2" s="14"/>
      <c r="LFT2" s="14"/>
      <c r="LFU2" s="14"/>
      <c r="LFV2" s="14"/>
      <c r="LFW2" s="14"/>
      <c r="LFX2" s="14"/>
      <c r="LFY2" s="14"/>
      <c r="LFZ2" s="14"/>
      <c r="LGA2" s="14"/>
      <c r="LGB2" s="14"/>
      <c r="LGC2" s="14"/>
      <c r="LGD2" s="14"/>
      <c r="LGE2" s="14"/>
      <c r="LGF2" s="14"/>
      <c r="LGG2" s="14"/>
      <c r="LGH2" s="14"/>
      <c r="LGI2" s="14"/>
      <c r="LGJ2" s="14"/>
      <c r="LGK2" s="14"/>
      <c r="LGL2" s="14"/>
      <c r="LGM2" s="14"/>
      <c r="LGN2" s="14"/>
      <c r="LGO2" s="14"/>
      <c r="LGP2" s="14"/>
      <c r="LGQ2" s="14"/>
      <c r="LGR2" s="14"/>
      <c r="LGS2" s="14"/>
      <c r="LGT2" s="14"/>
      <c r="LGU2" s="14"/>
      <c r="LGV2" s="14"/>
      <c r="LGW2" s="14"/>
      <c r="LGX2" s="14"/>
      <c r="LGY2" s="14"/>
      <c r="LGZ2" s="14"/>
      <c r="LHA2" s="14"/>
      <c r="LHB2" s="14"/>
      <c r="LHC2" s="14"/>
      <c r="LHD2" s="14"/>
      <c r="LHE2" s="14"/>
      <c r="LHF2" s="14"/>
      <c r="LHG2" s="14"/>
      <c r="LHH2" s="14"/>
      <c r="LHI2" s="14"/>
      <c r="LHJ2" s="14"/>
      <c r="LHK2" s="14"/>
      <c r="LHL2" s="14"/>
      <c r="LHM2" s="14"/>
      <c r="LHN2" s="14"/>
      <c r="LHO2" s="14"/>
      <c r="LHP2" s="14"/>
      <c r="LHQ2" s="14"/>
      <c r="LHR2" s="14"/>
      <c r="LHS2" s="14"/>
      <c r="LHT2" s="14"/>
      <c r="LHU2" s="14"/>
      <c r="LHV2" s="14"/>
      <c r="LHW2" s="14"/>
      <c r="LHX2" s="14"/>
      <c r="LHY2" s="14"/>
      <c r="LHZ2" s="14"/>
      <c r="LIA2" s="14"/>
      <c r="LIB2" s="14"/>
      <c r="LIC2" s="14"/>
      <c r="LID2" s="14"/>
      <c r="LIE2" s="14"/>
      <c r="LIF2" s="14"/>
      <c r="LIG2" s="14"/>
      <c r="LIH2" s="14"/>
      <c r="LII2" s="14"/>
      <c r="LIJ2" s="14"/>
      <c r="LIK2" s="14"/>
      <c r="LIL2" s="14"/>
      <c r="LIM2" s="14"/>
      <c r="LIN2" s="14"/>
      <c r="LIO2" s="14"/>
      <c r="LIP2" s="14"/>
      <c r="LIQ2" s="14"/>
      <c r="LIR2" s="14"/>
      <c r="LIS2" s="14"/>
      <c r="LIT2" s="14"/>
      <c r="LIU2" s="14"/>
      <c r="LIV2" s="14"/>
      <c r="LIW2" s="14"/>
      <c r="LIX2" s="14"/>
      <c r="LIY2" s="14"/>
      <c r="LIZ2" s="14"/>
      <c r="LJA2" s="14"/>
      <c r="LJB2" s="14"/>
      <c r="LJC2" s="14"/>
      <c r="LJD2" s="14"/>
      <c r="LJE2" s="14"/>
      <c r="LJF2" s="14"/>
      <c r="LJG2" s="14"/>
      <c r="LJH2" s="14"/>
      <c r="LJI2" s="14"/>
      <c r="LJJ2" s="14"/>
      <c r="LJK2" s="14"/>
      <c r="LJL2" s="14"/>
      <c r="LJM2" s="14"/>
      <c r="LJN2" s="14"/>
      <c r="LJO2" s="14"/>
      <c r="LJP2" s="14"/>
      <c r="LJQ2" s="14"/>
      <c r="LJR2" s="14"/>
      <c r="LJS2" s="14"/>
      <c r="LJT2" s="14"/>
      <c r="LJU2" s="14"/>
      <c r="LJV2" s="14"/>
      <c r="LJW2" s="14"/>
      <c r="LJX2" s="14"/>
      <c r="LJY2" s="14"/>
      <c r="LJZ2" s="14"/>
      <c r="LKA2" s="14"/>
      <c r="LKB2" s="14"/>
      <c r="LKC2" s="14"/>
      <c r="LKD2" s="14"/>
      <c r="LKE2" s="14"/>
      <c r="LKF2" s="14"/>
      <c r="LKG2" s="14"/>
      <c r="LKH2" s="14"/>
      <c r="LKI2" s="14"/>
      <c r="LKJ2" s="14"/>
      <c r="LKK2" s="14"/>
      <c r="LKL2" s="14"/>
      <c r="LKM2" s="14"/>
      <c r="LKN2" s="14"/>
      <c r="LKO2" s="14"/>
      <c r="LKP2" s="14"/>
      <c r="LKQ2" s="14"/>
      <c r="LKR2" s="14"/>
      <c r="LKS2" s="14"/>
      <c r="LKT2" s="14"/>
      <c r="LKU2" s="14"/>
      <c r="LKV2" s="14"/>
      <c r="LKW2" s="14"/>
      <c r="LKX2" s="14"/>
      <c r="LKY2" s="14"/>
      <c r="LKZ2" s="14"/>
      <c r="LLA2" s="14"/>
      <c r="LLB2" s="14"/>
      <c r="LLC2" s="14"/>
      <c r="LLD2" s="14"/>
      <c r="LLE2" s="14"/>
      <c r="LLF2" s="14"/>
      <c r="LLG2" s="14"/>
      <c r="LLH2" s="14"/>
      <c r="LLI2" s="14"/>
      <c r="LLJ2" s="14"/>
      <c r="LLK2" s="14"/>
      <c r="LLL2" s="14"/>
      <c r="LLM2" s="14"/>
      <c r="LLN2" s="14"/>
      <c r="LLO2" s="14"/>
      <c r="LLP2" s="14"/>
      <c r="LLQ2" s="14"/>
      <c r="LLR2" s="14"/>
      <c r="LLS2" s="14"/>
      <c r="LLT2" s="14"/>
      <c r="LLU2" s="14"/>
      <c r="LLV2" s="14"/>
      <c r="LLW2" s="14"/>
      <c r="LLX2" s="14"/>
      <c r="LLY2" s="14"/>
      <c r="LLZ2" s="14"/>
      <c r="LMA2" s="14"/>
      <c r="LMB2" s="14"/>
      <c r="LMC2" s="14"/>
      <c r="LMD2" s="14"/>
      <c r="LME2" s="14"/>
      <c r="LMF2" s="14"/>
      <c r="LMG2" s="14"/>
      <c r="LMH2" s="14"/>
      <c r="LMI2" s="14"/>
      <c r="LMJ2" s="14"/>
      <c r="LMK2" s="14"/>
      <c r="LML2" s="14"/>
      <c r="LMM2" s="14"/>
      <c r="LMN2" s="14"/>
      <c r="LMO2" s="14"/>
      <c r="LMP2" s="14"/>
      <c r="LMQ2" s="14"/>
      <c r="LMR2" s="14"/>
      <c r="LMS2" s="14"/>
      <c r="LMT2" s="14"/>
      <c r="LMU2" s="14"/>
      <c r="LMV2" s="14"/>
      <c r="LMW2" s="14"/>
      <c r="LMX2" s="14"/>
      <c r="LMY2" s="14"/>
      <c r="LMZ2" s="14"/>
      <c r="LNA2" s="14"/>
      <c r="LNB2" s="14"/>
      <c r="LNC2" s="14"/>
      <c r="LND2" s="14"/>
      <c r="LNE2" s="14"/>
      <c r="LNF2" s="14"/>
      <c r="LNG2" s="14"/>
      <c r="LNH2" s="14"/>
      <c r="LNI2" s="14"/>
      <c r="LNJ2" s="14"/>
      <c r="LNK2" s="14"/>
      <c r="LNL2" s="14"/>
      <c r="LNM2" s="14"/>
      <c r="LNN2" s="14"/>
      <c r="LNO2" s="14"/>
      <c r="LNP2" s="14"/>
      <c r="LNQ2" s="14"/>
      <c r="LNR2" s="14"/>
      <c r="LNS2" s="14"/>
      <c r="LNT2" s="14"/>
      <c r="LNU2" s="14"/>
      <c r="LNV2" s="14"/>
      <c r="LNW2" s="14"/>
      <c r="LNX2" s="14"/>
      <c r="LNY2" s="14"/>
      <c r="LNZ2" s="14"/>
      <c r="LOA2" s="14"/>
      <c r="LOB2" s="14"/>
      <c r="LOC2" s="14"/>
      <c r="LOD2" s="14"/>
      <c r="LOE2" s="14"/>
      <c r="LOF2" s="14"/>
      <c r="LOG2" s="14"/>
      <c r="LOH2" s="14"/>
      <c r="LOI2" s="14"/>
      <c r="LOJ2" s="14"/>
      <c r="LOK2" s="14"/>
      <c r="LOL2" s="14"/>
      <c r="LOM2" s="14"/>
      <c r="LON2" s="14"/>
      <c r="LOO2" s="14"/>
      <c r="LOP2" s="14"/>
      <c r="LOQ2" s="14"/>
      <c r="LOR2" s="14"/>
      <c r="LOS2" s="14"/>
      <c r="LOT2" s="14"/>
      <c r="LOU2" s="14"/>
      <c r="LOV2" s="14"/>
      <c r="LOW2" s="14"/>
      <c r="LOX2" s="14"/>
      <c r="LOY2" s="14"/>
      <c r="LOZ2" s="14"/>
      <c r="LPA2" s="14"/>
      <c r="LPB2" s="14"/>
      <c r="LPC2" s="14"/>
      <c r="LPD2" s="14"/>
      <c r="LPE2" s="14"/>
      <c r="LPF2" s="14"/>
      <c r="LPG2" s="14"/>
      <c r="LPH2" s="14"/>
      <c r="LPI2" s="14"/>
      <c r="LPJ2" s="14"/>
      <c r="LPK2" s="14"/>
      <c r="LPL2" s="14"/>
      <c r="LPM2" s="14"/>
      <c r="LPN2" s="14"/>
      <c r="LPO2" s="14"/>
      <c r="LPP2" s="14"/>
      <c r="LPQ2" s="14"/>
      <c r="LPR2" s="14"/>
      <c r="LPS2" s="14"/>
      <c r="LPT2" s="14"/>
      <c r="LPU2" s="14"/>
      <c r="LPV2" s="14"/>
      <c r="LPW2" s="14"/>
      <c r="LPX2" s="14"/>
      <c r="LPY2" s="14"/>
      <c r="LPZ2" s="14"/>
      <c r="LQA2" s="14"/>
      <c r="LQB2" s="14"/>
      <c r="LQC2" s="14"/>
      <c r="LQD2" s="14"/>
      <c r="LQE2" s="14"/>
      <c r="LQF2" s="14"/>
      <c r="LQG2" s="14"/>
      <c r="LQH2" s="14"/>
      <c r="LQI2" s="14"/>
      <c r="LQJ2" s="14"/>
      <c r="LQK2" s="14"/>
      <c r="LQL2" s="14"/>
      <c r="LQM2" s="14"/>
      <c r="LQN2" s="14"/>
      <c r="LQO2" s="14"/>
      <c r="LQP2" s="14"/>
      <c r="LQQ2" s="14"/>
      <c r="LQR2" s="14"/>
      <c r="LQS2" s="14"/>
      <c r="LQT2" s="14"/>
      <c r="LQU2" s="14"/>
      <c r="LQV2" s="14"/>
      <c r="LQW2" s="14"/>
      <c r="LQX2" s="14"/>
      <c r="LQY2" s="14"/>
      <c r="LQZ2" s="14"/>
      <c r="LRA2" s="14"/>
      <c r="LRB2" s="14"/>
      <c r="LRC2" s="14"/>
      <c r="LRD2" s="14"/>
      <c r="LRE2" s="14"/>
      <c r="LRF2" s="14"/>
      <c r="LRG2" s="14"/>
      <c r="LRH2" s="14"/>
      <c r="LRI2" s="14"/>
      <c r="LRJ2" s="14"/>
      <c r="LRK2" s="14"/>
      <c r="LRL2" s="14"/>
      <c r="LRM2" s="14"/>
      <c r="LRN2" s="14"/>
      <c r="LRO2" s="14"/>
      <c r="LRP2" s="14"/>
      <c r="LRQ2" s="14"/>
      <c r="LRR2" s="14"/>
      <c r="LRS2" s="14"/>
      <c r="LRT2" s="14"/>
      <c r="LRU2" s="14"/>
      <c r="LRV2" s="14"/>
      <c r="LRW2" s="14"/>
      <c r="LRX2" s="14"/>
      <c r="LRY2" s="14"/>
      <c r="LRZ2" s="14"/>
      <c r="LSA2" s="14"/>
      <c r="LSB2" s="14"/>
      <c r="LSC2" s="14"/>
      <c r="LSD2" s="14"/>
      <c r="LSE2" s="14"/>
      <c r="LSF2" s="14"/>
      <c r="LSG2" s="14"/>
      <c r="LSH2" s="14"/>
      <c r="LSI2" s="14"/>
      <c r="LSJ2" s="14"/>
      <c r="LSK2" s="14"/>
      <c r="LSL2" s="14"/>
      <c r="LSM2" s="14"/>
      <c r="LSN2" s="14"/>
      <c r="LSO2" s="14"/>
      <c r="LSP2" s="14"/>
      <c r="LSQ2" s="14"/>
      <c r="LSR2" s="14"/>
      <c r="LSS2" s="14"/>
      <c r="LST2" s="14"/>
      <c r="LSU2" s="14"/>
      <c r="LSV2" s="14"/>
      <c r="LSW2" s="14"/>
      <c r="LSX2" s="14"/>
      <c r="LSY2" s="14"/>
      <c r="LSZ2" s="14"/>
      <c r="LTA2" s="14"/>
      <c r="LTB2" s="14"/>
      <c r="LTC2" s="14"/>
      <c r="LTD2" s="14"/>
      <c r="LTE2" s="14"/>
      <c r="LTF2" s="14"/>
      <c r="LTG2" s="14"/>
      <c r="LTH2" s="14"/>
      <c r="LTI2" s="14"/>
      <c r="LTJ2" s="14"/>
      <c r="LTK2" s="14"/>
      <c r="LTL2" s="14"/>
      <c r="LTM2" s="14"/>
      <c r="LTN2" s="14"/>
      <c r="LTO2" s="14"/>
      <c r="LTP2" s="14"/>
      <c r="LTQ2" s="14"/>
      <c r="LTR2" s="14"/>
      <c r="LTS2" s="14"/>
      <c r="LTT2" s="14"/>
      <c r="LTU2" s="14"/>
      <c r="LTV2" s="14"/>
      <c r="LTW2" s="14"/>
      <c r="LTX2" s="14"/>
      <c r="LTY2" s="14"/>
      <c r="LTZ2" s="14"/>
      <c r="LUA2" s="14"/>
      <c r="LUB2" s="14"/>
      <c r="LUC2" s="14"/>
      <c r="LUD2" s="14"/>
      <c r="LUE2" s="14"/>
      <c r="LUF2" s="14"/>
      <c r="LUG2" s="14"/>
      <c r="LUH2" s="14"/>
      <c r="LUI2" s="14"/>
      <c r="LUJ2" s="14"/>
      <c r="LUK2" s="14"/>
      <c r="LUL2" s="14"/>
      <c r="LUM2" s="14"/>
      <c r="LUN2" s="14"/>
      <c r="LUO2" s="14"/>
      <c r="LUP2" s="14"/>
      <c r="LUQ2" s="14"/>
      <c r="LUR2" s="14"/>
      <c r="LUS2" s="14"/>
      <c r="LUT2" s="14"/>
      <c r="LUU2" s="14"/>
      <c r="LUV2" s="14"/>
      <c r="LUW2" s="14"/>
      <c r="LUX2" s="14"/>
      <c r="LUY2" s="14"/>
      <c r="LUZ2" s="14"/>
      <c r="LVA2" s="14"/>
      <c r="LVB2" s="14"/>
      <c r="LVC2" s="14"/>
      <c r="LVD2" s="14"/>
      <c r="LVE2" s="14"/>
      <c r="LVF2" s="14"/>
      <c r="LVG2" s="14"/>
      <c r="LVH2" s="14"/>
      <c r="LVI2" s="14"/>
      <c r="LVJ2" s="14"/>
      <c r="LVK2" s="14"/>
      <c r="LVL2" s="14"/>
      <c r="LVM2" s="14"/>
      <c r="LVN2" s="14"/>
      <c r="LVO2" s="14"/>
      <c r="LVP2" s="14"/>
      <c r="LVQ2" s="14"/>
      <c r="LVR2" s="14"/>
      <c r="LVS2" s="14"/>
      <c r="LVT2" s="14"/>
      <c r="LVU2" s="14"/>
      <c r="LVV2" s="14"/>
      <c r="LVW2" s="14"/>
      <c r="LVX2" s="14"/>
      <c r="LVY2" s="14"/>
      <c r="LVZ2" s="14"/>
      <c r="LWA2" s="14"/>
      <c r="LWB2" s="14"/>
      <c r="LWC2" s="14"/>
      <c r="LWD2" s="14"/>
      <c r="LWE2" s="14"/>
      <c r="LWF2" s="14"/>
      <c r="LWG2" s="14"/>
      <c r="LWH2" s="14"/>
      <c r="LWI2" s="14"/>
      <c r="LWJ2" s="14"/>
      <c r="LWK2" s="14"/>
      <c r="LWL2" s="14"/>
      <c r="LWM2" s="14"/>
      <c r="LWN2" s="14"/>
      <c r="LWO2" s="14"/>
      <c r="LWP2" s="14"/>
      <c r="LWQ2" s="14"/>
      <c r="LWR2" s="14"/>
      <c r="LWS2" s="14"/>
      <c r="LWT2" s="14"/>
      <c r="LWU2" s="14"/>
      <c r="LWV2" s="14"/>
      <c r="LWW2" s="14"/>
      <c r="LWX2" s="14"/>
      <c r="LWY2" s="14"/>
      <c r="LWZ2" s="14"/>
      <c r="LXA2" s="14"/>
      <c r="LXB2" s="14"/>
      <c r="LXC2" s="14"/>
      <c r="LXD2" s="14"/>
      <c r="LXE2" s="14"/>
      <c r="LXF2" s="14"/>
      <c r="LXG2" s="14"/>
      <c r="LXH2" s="14"/>
      <c r="LXI2" s="14"/>
      <c r="LXJ2" s="14"/>
      <c r="LXK2" s="14"/>
      <c r="LXL2" s="14"/>
      <c r="LXM2" s="14"/>
      <c r="LXN2" s="14"/>
      <c r="LXO2" s="14"/>
      <c r="LXP2" s="14"/>
      <c r="LXQ2" s="14"/>
      <c r="LXR2" s="14"/>
      <c r="LXS2" s="14"/>
      <c r="LXT2" s="14"/>
      <c r="LXU2" s="14"/>
      <c r="LXV2" s="14"/>
      <c r="LXW2" s="14"/>
      <c r="LXX2" s="14"/>
      <c r="LXY2" s="14"/>
      <c r="LXZ2" s="14"/>
      <c r="LYA2" s="14"/>
      <c r="LYB2" s="14"/>
      <c r="LYC2" s="14"/>
      <c r="LYD2" s="14"/>
      <c r="LYE2" s="14"/>
      <c r="LYF2" s="14"/>
      <c r="LYG2" s="14"/>
      <c r="LYH2" s="14"/>
      <c r="LYI2" s="14"/>
      <c r="LYJ2" s="14"/>
      <c r="LYK2" s="14"/>
      <c r="LYL2" s="14"/>
      <c r="LYM2" s="14"/>
      <c r="LYN2" s="14"/>
      <c r="LYO2" s="14"/>
      <c r="LYP2" s="14"/>
      <c r="LYQ2" s="14"/>
      <c r="LYR2" s="14"/>
      <c r="LYS2" s="14"/>
      <c r="LYT2" s="14"/>
      <c r="LYU2" s="14"/>
      <c r="LYV2" s="14"/>
      <c r="LYW2" s="14"/>
      <c r="LYX2" s="14"/>
      <c r="LYY2" s="14"/>
      <c r="LYZ2" s="14"/>
      <c r="LZA2" s="14"/>
      <c r="LZB2" s="14"/>
      <c r="LZC2" s="14"/>
      <c r="LZD2" s="14"/>
      <c r="LZE2" s="14"/>
      <c r="LZF2" s="14"/>
      <c r="LZG2" s="14"/>
      <c r="LZH2" s="14"/>
      <c r="LZI2" s="14"/>
      <c r="LZJ2" s="14"/>
      <c r="LZK2" s="14"/>
      <c r="LZL2" s="14"/>
      <c r="LZM2" s="14"/>
      <c r="LZN2" s="14"/>
      <c r="LZO2" s="14"/>
      <c r="LZP2" s="14"/>
      <c r="LZQ2" s="14"/>
      <c r="LZR2" s="14"/>
      <c r="LZS2" s="14"/>
      <c r="LZT2" s="14"/>
      <c r="LZU2" s="14"/>
      <c r="LZV2" s="14"/>
      <c r="LZW2" s="14"/>
      <c r="LZX2" s="14"/>
      <c r="LZY2" s="14"/>
      <c r="LZZ2" s="14"/>
      <c r="MAA2" s="14"/>
      <c r="MAB2" s="14"/>
      <c r="MAC2" s="14"/>
      <c r="MAD2" s="14"/>
      <c r="MAE2" s="14"/>
      <c r="MAF2" s="14"/>
      <c r="MAG2" s="14"/>
      <c r="MAH2" s="14"/>
      <c r="MAI2" s="14"/>
      <c r="MAJ2" s="14"/>
      <c r="MAK2" s="14"/>
      <c r="MAL2" s="14"/>
      <c r="MAM2" s="14"/>
      <c r="MAN2" s="14"/>
      <c r="MAO2" s="14"/>
      <c r="MAP2" s="14"/>
      <c r="MAQ2" s="14"/>
      <c r="MAR2" s="14"/>
      <c r="MAS2" s="14"/>
      <c r="MAT2" s="14"/>
      <c r="MAU2" s="14"/>
      <c r="MAV2" s="14"/>
      <c r="MAW2" s="14"/>
      <c r="MAX2" s="14"/>
      <c r="MAY2" s="14"/>
      <c r="MAZ2" s="14"/>
      <c r="MBA2" s="14"/>
      <c r="MBB2" s="14"/>
      <c r="MBC2" s="14"/>
      <c r="MBD2" s="14"/>
      <c r="MBE2" s="14"/>
      <c r="MBF2" s="14"/>
      <c r="MBG2" s="14"/>
      <c r="MBH2" s="14"/>
      <c r="MBI2" s="14"/>
      <c r="MBJ2" s="14"/>
      <c r="MBK2" s="14"/>
      <c r="MBL2" s="14"/>
      <c r="MBM2" s="14"/>
      <c r="MBN2" s="14"/>
      <c r="MBO2" s="14"/>
      <c r="MBP2" s="14"/>
      <c r="MBQ2" s="14"/>
      <c r="MBR2" s="14"/>
      <c r="MBS2" s="14"/>
      <c r="MBT2" s="14"/>
      <c r="MBU2" s="14"/>
      <c r="MBV2" s="14"/>
      <c r="MBW2" s="14"/>
      <c r="MBX2" s="14"/>
      <c r="MBY2" s="14"/>
      <c r="MBZ2" s="14"/>
      <c r="MCA2" s="14"/>
      <c r="MCB2" s="14"/>
      <c r="MCC2" s="14"/>
      <c r="MCD2" s="14"/>
      <c r="MCE2" s="14"/>
      <c r="MCF2" s="14"/>
      <c r="MCG2" s="14"/>
      <c r="MCH2" s="14"/>
      <c r="MCI2" s="14"/>
      <c r="MCJ2" s="14"/>
      <c r="MCK2" s="14"/>
      <c r="MCL2" s="14"/>
      <c r="MCM2" s="14"/>
      <c r="MCN2" s="14"/>
      <c r="MCO2" s="14"/>
      <c r="MCP2" s="14"/>
      <c r="MCQ2" s="14"/>
      <c r="MCR2" s="14"/>
      <c r="MCS2" s="14"/>
      <c r="MCT2" s="14"/>
      <c r="MCU2" s="14"/>
      <c r="MCV2" s="14"/>
      <c r="MCW2" s="14"/>
      <c r="MCX2" s="14"/>
      <c r="MCY2" s="14"/>
      <c r="MCZ2" s="14"/>
      <c r="MDA2" s="14"/>
      <c r="MDB2" s="14"/>
      <c r="MDC2" s="14"/>
      <c r="MDD2" s="14"/>
      <c r="MDE2" s="14"/>
      <c r="MDF2" s="14"/>
      <c r="MDG2" s="14"/>
      <c r="MDH2" s="14"/>
      <c r="MDI2" s="14"/>
      <c r="MDJ2" s="14"/>
      <c r="MDK2" s="14"/>
      <c r="MDL2" s="14"/>
      <c r="MDM2" s="14"/>
      <c r="MDN2" s="14"/>
      <c r="MDO2" s="14"/>
      <c r="MDP2" s="14"/>
      <c r="MDQ2" s="14"/>
      <c r="MDR2" s="14"/>
      <c r="MDS2" s="14"/>
      <c r="MDT2" s="14"/>
      <c r="MDU2" s="14"/>
      <c r="MDV2" s="14"/>
      <c r="MDW2" s="14"/>
      <c r="MDX2" s="14"/>
      <c r="MDY2" s="14"/>
      <c r="MDZ2" s="14"/>
      <c r="MEA2" s="14"/>
      <c r="MEB2" s="14"/>
      <c r="MEC2" s="14"/>
      <c r="MED2" s="14"/>
      <c r="MEE2" s="14"/>
      <c r="MEF2" s="14"/>
      <c r="MEG2" s="14"/>
      <c r="MEH2" s="14"/>
      <c r="MEI2" s="14"/>
      <c r="MEJ2" s="14"/>
      <c r="MEK2" s="14"/>
      <c r="MEL2" s="14"/>
      <c r="MEM2" s="14"/>
      <c r="MEN2" s="14"/>
      <c r="MEO2" s="14"/>
      <c r="MEP2" s="14"/>
      <c r="MEQ2" s="14"/>
      <c r="MER2" s="14"/>
      <c r="MES2" s="14"/>
      <c r="MET2" s="14"/>
      <c r="MEU2" s="14"/>
      <c r="MEV2" s="14"/>
      <c r="MEW2" s="14"/>
      <c r="MEX2" s="14"/>
      <c r="MEY2" s="14"/>
      <c r="MEZ2" s="14"/>
      <c r="MFA2" s="14"/>
      <c r="MFB2" s="14"/>
      <c r="MFC2" s="14"/>
      <c r="MFD2" s="14"/>
      <c r="MFE2" s="14"/>
      <c r="MFF2" s="14"/>
      <c r="MFG2" s="14"/>
      <c r="MFH2" s="14"/>
      <c r="MFI2" s="14"/>
      <c r="MFJ2" s="14"/>
      <c r="MFK2" s="14"/>
      <c r="MFL2" s="14"/>
      <c r="MFM2" s="14"/>
      <c r="MFN2" s="14"/>
      <c r="MFO2" s="14"/>
      <c r="MFP2" s="14"/>
      <c r="MFQ2" s="14"/>
      <c r="MFR2" s="14"/>
      <c r="MFS2" s="14"/>
      <c r="MFT2" s="14"/>
      <c r="MFU2" s="14"/>
      <c r="MFV2" s="14"/>
      <c r="MFW2" s="14"/>
      <c r="MFX2" s="14"/>
      <c r="MFY2" s="14"/>
      <c r="MFZ2" s="14"/>
      <c r="MGA2" s="14"/>
      <c r="MGB2" s="14"/>
      <c r="MGC2" s="14"/>
      <c r="MGD2" s="14"/>
      <c r="MGE2" s="14"/>
      <c r="MGF2" s="14"/>
      <c r="MGG2" s="14"/>
      <c r="MGH2" s="14"/>
      <c r="MGI2" s="14"/>
      <c r="MGJ2" s="14"/>
      <c r="MGK2" s="14"/>
      <c r="MGL2" s="14"/>
      <c r="MGM2" s="14"/>
      <c r="MGN2" s="14"/>
      <c r="MGO2" s="14"/>
      <c r="MGP2" s="14"/>
      <c r="MGQ2" s="14"/>
      <c r="MGR2" s="14"/>
      <c r="MGS2" s="14"/>
      <c r="MGT2" s="14"/>
      <c r="MGU2" s="14"/>
      <c r="MGV2" s="14"/>
      <c r="MGW2" s="14"/>
      <c r="MGX2" s="14"/>
      <c r="MGY2" s="14"/>
      <c r="MGZ2" s="14"/>
      <c r="MHA2" s="14"/>
      <c r="MHB2" s="14"/>
      <c r="MHC2" s="14"/>
      <c r="MHD2" s="14"/>
      <c r="MHE2" s="14"/>
      <c r="MHF2" s="14"/>
      <c r="MHG2" s="14"/>
      <c r="MHH2" s="14"/>
      <c r="MHI2" s="14"/>
      <c r="MHJ2" s="14"/>
      <c r="MHK2" s="14"/>
      <c r="MHL2" s="14"/>
      <c r="MHM2" s="14"/>
      <c r="MHN2" s="14"/>
      <c r="MHO2" s="14"/>
      <c r="MHP2" s="14"/>
      <c r="MHQ2" s="14"/>
      <c r="MHR2" s="14"/>
      <c r="MHS2" s="14"/>
      <c r="MHT2" s="14"/>
      <c r="MHU2" s="14"/>
      <c r="MHV2" s="14"/>
      <c r="MHW2" s="14"/>
      <c r="MHX2" s="14"/>
      <c r="MHY2" s="14"/>
      <c r="MHZ2" s="14"/>
      <c r="MIA2" s="14"/>
      <c r="MIB2" s="14"/>
      <c r="MIC2" s="14"/>
      <c r="MID2" s="14"/>
      <c r="MIE2" s="14"/>
      <c r="MIF2" s="14"/>
      <c r="MIG2" s="14"/>
      <c r="MIH2" s="14"/>
      <c r="MII2" s="14"/>
      <c r="MIJ2" s="14"/>
      <c r="MIK2" s="14"/>
      <c r="MIL2" s="14"/>
      <c r="MIM2" s="14"/>
      <c r="MIN2" s="14"/>
      <c r="MIO2" s="14"/>
      <c r="MIP2" s="14"/>
      <c r="MIQ2" s="14"/>
      <c r="MIR2" s="14"/>
      <c r="MIS2" s="14"/>
      <c r="MIT2" s="14"/>
      <c r="MIU2" s="14"/>
      <c r="MIV2" s="14"/>
      <c r="MIW2" s="14"/>
      <c r="MIX2" s="14"/>
      <c r="MIY2" s="14"/>
      <c r="MIZ2" s="14"/>
      <c r="MJA2" s="14"/>
      <c r="MJB2" s="14"/>
      <c r="MJC2" s="14"/>
      <c r="MJD2" s="14"/>
      <c r="MJE2" s="14"/>
      <c r="MJF2" s="14"/>
      <c r="MJG2" s="14"/>
      <c r="MJH2" s="14"/>
      <c r="MJI2" s="14"/>
      <c r="MJJ2" s="14"/>
      <c r="MJK2" s="14"/>
      <c r="MJL2" s="14"/>
      <c r="MJM2" s="14"/>
      <c r="MJN2" s="14"/>
      <c r="MJO2" s="14"/>
      <c r="MJP2" s="14"/>
      <c r="MJQ2" s="14"/>
      <c r="MJR2" s="14"/>
      <c r="MJS2" s="14"/>
      <c r="MJT2" s="14"/>
      <c r="MJU2" s="14"/>
      <c r="MJV2" s="14"/>
      <c r="MJW2" s="14"/>
      <c r="MJX2" s="14"/>
      <c r="MJY2" s="14"/>
      <c r="MJZ2" s="14"/>
      <c r="MKA2" s="14"/>
      <c r="MKB2" s="14"/>
      <c r="MKC2" s="14"/>
      <c r="MKD2" s="14"/>
      <c r="MKE2" s="14"/>
      <c r="MKF2" s="14"/>
      <c r="MKG2" s="14"/>
      <c r="MKH2" s="14"/>
      <c r="MKI2" s="14"/>
      <c r="MKJ2" s="14"/>
      <c r="MKK2" s="14"/>
      <c r="MKL2" s="14"/>
      <c r="MKM2" s="14"/>
      <c r="MKN2" s="14"/>
      <c r="MKO2" s="14"/>
      <c r="MKP2" s="14"/>
      <c r="MKQ2" s="14"/>
      <c r="MKR2" s="14"/>
      <c r="MKS2" s="14"/>
      <c r="MKT2" s="14"/>
      <c r="MKU2" s="14"/>
      <c r="MKV2" s="14"/>
      <c r="MKW2" s="14"/>
      <c r="MKX2" s="14"/>
      <c r="MKY2" s="14"/>
      <c r="MKZ2" s="14"/>
      <c r="MLA2" s="14"/>
      <c r="MLB2" s="14"/>
      <c r="MLC2" s="14"/>
      <c r="MLD2" s="14"/>
      <c r="MLE2" s="14"/>
      <c r="MLF2" s="14"/>
      <c r="MLG2" s="14"/>
      <c r="MLH2" s="14"/>
      <c r="MLI2" s="14"/>
      <c r="MLJ2" s="14"/>
      <c r="MLK2" s="14"/>
      <c r="MLL2" s="14"/>
      <c r="MLM2" s="14"/>
      <c r="MLN2" s="14"/>
      <c r="MLO2" s="14"/>
      <c r="MLP2" s="14"/>
      <c r="MLQ2" s="14"/>
      <c r="MLR2" s="14"/>
      <c r="MLS2" s="14"/>
      <c r="MLT2" s="14"/>
      <c r="MLU2" s="14"/>
      <c r="MLV2" s="14"/>
      <c r="MLW2" s="14"/>
      <c r="MLX2" s="14"/>
      <c r="MLY2" s="14"/>
      <c r="MLZ2" s="14"/>
      <c r="MMA2" s="14"/>
      <c r="MMB2" s="14"/>
      <c r="MMC2" s="14"/>
      <c r="MMD2" s="14"/>
      <c r="MME2" s="14"/>
      <c r="MMF2" s="14"/>
      <c r="MMG2" s="14"/>
      <c r="MMH2" s="14"/>
      <c r="MMI2" s="14"/>
      <c r="MMJ2" s="14"/>
      <c r="MMK2" s="14"/>
      <c r="MML2" s="14"/>
      <c r="MMM2" s="14"/>
      <c r="MMN2" s="14"/>
      <c r="MMO2" s="14"/>
      <c r="MMP2" s="14"/>
      <c r="MMQ2" s="14"/>
      <c r="MMR2" s="14"/>
      <c r="MMS2" s="14"/>
      <c r="MMT2" s="14"/>
      <c r="MMU2" s="14"/>
      <c r="MMV2" s="14"/>
      <c r="MMW2" s="14"/>
      <c r="MMX2" s="14"/>
      <c r="MMY2" s="14"/>
      <c r="MMZ2" s="14"/>
      <c r="MNA2" s="14"/>
      <c r="MNB2" s="14"/>
      <c r="MNC2" s="14"/>
      <c r="MND2" s="14"/>
      <c r="MNE2" s="14"/>
      <c r="MNF2" s="14"/>
      <c r="MNG2" s="14"/>
      <c r="MNH2" s="14"/>
      <c r="MNI2" s="14"/>
      <c r="MNJ2" s="14"/>
      <c r="MNK2" s="14"/>
      <c r="MNL2" s="14"/>
      <c r="MNM2" s="14"/>
      <c r="MNN2" s="14"/>
      <c r="MNO2" s="14"/>
      <c r="MNP2" s="14"/>
      <c r="MNQ2" s="14"/>
      <c r="MNR2" s="14"/>
      <c r="MNS2" s="14"/>
      <c r="MNT2" s="14"/>
      <c r="MNU2" s="14"/>
      <c r="MNV2" s="14"/>
      <c r="MNW2" s="14"/>
      <c r="MNX2" s="14"/>
      <c r="MNY2" s="14"/>
      <c r="MNZ2" s="14"/>
      <c r="MOA2" s="14"/>
      <c r="MOB2" s="14"/>
      <c r="MOC2" s="14"/>
      <c r="MOD2" s="14"/>
      <c r="MOE2" s="14"/>
      <c r="MOF2" s="14"/>
      <c r="MOG2" s="14"/>
      <c r="MOH2" s="14"/>
      <c r="MOI2" s="14"/>
      <c r="MOJ2" s="14"/>
      <c r="MOK2" s="14"/>
      <c r="MOL2" s="14"/>
      <c r="MOM2" s="14"/>
      <c r="MON2" s="14"/>
      <c r="MOO2" s="14"/>
      <c r="MOP2" s="14"/>
      <c r="MOQ2" s="14"/>
      <c r="MOR2" s="14"/>
      <c r="MOS2" s="14"/>
      <c r="MOT2" s="14"/>
      <c r="MOU2" s="14"/>
      <c r="MOV2" s="14"/>
      <c r="MOW2" s="14"/>
      <c r="MOX2" s="14"/>
      <c r="MOY2" s="14"/>
      <c r="MOZ2" s="14"/>
      <c r="MPA2" s="14"/>
      <c r="MPB2" s="14"/>
      <c r="MPC2" s="14"/>
      <c r="MPD2" s="14"/>
      <c r="MPE2" s="14"/>
      <c r="MPF2" s="14"/>
      <c r="MPG2" s="14"/>
      <c r="MPH2" s="14"/>
      <c r="MPI2" s="14"/>
      <c r="MPJ2" s="14"/>
      <c r="MPK2" s="14"/>
      <c r="MPL2" s="14"/>
      <c r="MPM2" s="14"/>
      <c r="MPN2" s="14"/>
      <c r="MPO2" s="14"/>
      <c r="MPP2" s="14"/>
      <c r="MPQ2" s="14"/>
      <c r="MPR2" s="14"/>
      <c r="MPS2" s="14"/>
      <c r="MPT2" s="14"/>
      <c r="MPU2" s="14"/>
      <c r="MPV2" s="14"/>
      <c r="MPW2" s="14"/>
      <c r="MPX2" s="14"/>
      <c r="MPY2" s="14"/>
      <c r="MPZ2" s="14"/>
      <c r="MQA2" s="14"/>
      <c r="MQB2" s="14"/>
      <c r="MQC2" s="14"/>
      <c r="MQD2" s="14"/>
      <c r="MQE2" s="14"/>
      <c r="MQF2" s="14"/>
      <c r="MQG2" s="14"/>
      <c r="MQH2" s="14"/>
      <c r="MQI2" s="14"/>
      <c r="MQJ2" s="14"/>
      <c r="MQK2" s="14"/>
      <c r="MQL2" s="14"/>
      <c r="MQM2" s="14"/>
      <c r="MQN2" s="14"/>
      <c r="MQO2" s="14"/>
      <c r="MQP2" s="14"/>
      <c r="MQQ2" s="14"/>
      <c r="MQR2" s="14"/>
      <c r="MQS2" s="14"/>
      <c r="MQT2" s="14"/>
      <c r="MQU2" s="14"/>
      <c r="MQV2" s="14"/>
      <c r="MQW2" s="14"/>
      <c r="MQX2" s="14"/>
      <c r="MQY2" s="14"/>
      <c r="MQZ2" s="14"/>
      <c r="MRA2" s="14"/>
      <c r="MRB2" s="14"/>
      <c r="MRC2" s="14"/>
      <c r="MRD2" s="14"/>
      <c r="MRE2" s="14"/>
      <c r="MRF2" s="14"/>
      <c r="MRG2" s="14"/>
      <c r="MRH2" s="14"/>
      <c r="MRI2" s="14"/>
      <c r="MRJ2" s="14"/>
      <c r="MRK2" s="14"/>
      <c r="MRL2" s="14"/>
      <c r="MRM2" s="14"/>
      <c r="MRN2" s="14"/>
      <c r="MRO2" s="14"/>
      <c r="MRP2" s="14"/>
      <c r="MRQ2" s="14"/>
      <c r="MRR2" s="14"/>
      <c r="MRS2" s="14"/>
      <c r="MRT2" s="14"/>
      <c r="MRU2" s="14"/>
      <c r="MRV2" s="14"/>
      <c r="MRW2" s="14"/>
      <c r="MRX2" s="14"/>
      <c r="MRY2" s="14"/>
      <c r="MRZ2" s="14"/>
      <c r="MSA2" s="14"/>
      <c r="MSB2" s="14"/>
      <c r="MSC2" s="14"/>
      <c r="MSD2" s="14"/>
      <c r="MSE2" s="14"/>
      <c r="MSF2" s="14"/>
      <c r="MSG2" s="14"/>
      <c r="MSH2" s="14"/>
      <c r="MSI2" s="14"/>
      <c r="MSJ2" s="14"/>
      <c r="MSK2" s="14"/>
      <c r="MSL2" s="14"/>
      <c r="MSM2" s="14"/>
      <c r="MSN2" s="14"/>
      <c r="MSO2" s="14"/>
      <c r="MSP2" s="14"/>
      <c r="MSQ2" s="14"/>
      <c r="MSR2" s="14"/>
      <c r="MSS2" s="14"/>
      <c r="MST2" s="14"/>
      <c r="MSU2" s="14"/>
      <c r="MSV2" s="14"/>
      <c r="MSW2" s="14"/>
      <c r="MSX2" s="14"/>
      <c r="MSY2" s="14"/>
      <c r="MSZ2" s="14"/>
      <c r="MTA2" s="14"/>
      <c r="MTB2" s="14"/>
      <c r="MTC2" s="14"/>
      <c r="MTD2" s="14"/>
      <c r="MTE2" s="14"/>
      <c r="MTF2" s="14"/>
      <c r="MTG2" s="14"/>
      <c r="MTH2" s="14"/>
      <c r="MTI2" s="14"/>
      <c r="MTJ2" s="14"/>
      <c r="MTK2" s="14"/>
      <c r="MTL2" s="14"/>
      <c r="MTM2" s="14"/>
      <c r="MTN2" s="14"/>
      <c r="MTO2" s="14"/>
      <c r="MTP2" s="14"/>
      <c r="MTQ2" s="14"/>
      <c r="MTR2" s="14"/>
      <c r="MTS2" s="14"/>
      <c r="MTT2" s="14"/>
      <c r="MTU2" s="14"/>
      <c r="MTV2" s="14"/>
      <c r="MTW2" s="14"/>
      <c r="MTX2" s="14"/>
      <c r="MTY2" s="14"/>
      <c r="MTZ2" s="14"/>
      <c r="MUA2" s="14"/>
      <c r="MUB2" s="14"/>
      <c r="MUC2" s="14"/>
      <c r="MUD2" s="14"/>
      <c r="MUE2" s="14"/>
      <c r="MUF2" s="14"/>
      <c r="MUG2" s="14"/>
      <c r="MUH2" s="14"/>
      <c r="MUI2" s="14"/>
      <c r="MUJ2" s="14"/>
      <c r="MUK2" s="14"/>
      <c r="MUL2" s="14"/>
      <c r="MUM2" s="14"/>
      <c r="MUN2" s="14"/>
      <c r="MUO2" s="14"/>
      <c r="MUP2" s="14"/>
      <c r="MUQ2" s="14"/>
      <c r="MUR2" s="14"/>
      <c r="MUS2" s="14"/>
      <c r="MUT2" s="14"/>
      <c r="MUU2" s="14"/>
      <c r="MUV2" s="14"/>
      <c r="MUW2" s="14"/>
      <c r="MUX2" s="14"/>
      <c r="MUY2" s="14"/>
      <c r="MUZ2" s="14"/>
      <c r="MVA2" s="14"/>
      <c r="MVB2" s="14"/>
      <c r="MVC2" s="14"/>
      <c r="MVD2" s="14"/>
      <c r="MVE2" s="14"/>
      <c r="MVF2" s="14"/>
      <c r="MVG2" s="14"/>
      <c r="MVH2" s="14"/>
      <c r="MVI2" s="14"/>
      <c r="MVJ2" s="14"/>
      <c r="MVK2" s="14"/>
      <c r="MVL2" s="14"/>
      <c r="MVM2" s="14"/>
      <c r="MVN2" s="14"/>
      <c r="MVO2" s="14"/>
      <c r="MVP2" s="14"/>
      <c r="MVQ2" s="14"/>
      <c r="MVR2" s="14"/>
      <c r="MVS2" s="14"/>
      <c r="MVT2" s="14"/>
      <c r="MVU2" s="14"/>
      <c r="MVV2" s="14"/>
      <c r="MVW2" s="14"/>
      <c r="MVX2" s="14"/>
      <c r="MVY2" s="14"/>
      <c r="MVZ2" s="14"/>
      <c r="MWA2" s="14"/>
      <c r="MWB2" s="14"/>
      <c r="MWC2" s="14"/>
      <c r="MWD2" s="14"/>
      <c r="MWE2" s="14"/>
      <c r="MWF2" s="14"/>
      <c r="MWG2" s="14"/>
      <c r="MWH2" s="14"/>
      <c r="MWI2" s="14"/>
      <c r="MWJ2" s="14"/>
      <c r="MWK2" s="14"/>
      <c r="MWL2" s="14"/>
      <c r="MWM2" s="14"/>
      <c r="MWN2" s="14"/>
      <c r="MWO2" s="14"/>
      <c r="MWP2" s="14"/>
      <c r="MWQ2" s="14"/>
      <c r="MWR2" s="14"/>
      <c r="MWS2" s="14"/>
      <c r="MWT2" s="14"/>
      <c r="MWU2" s="14"/>
      <c r="MWV2" s="14"/>
      <c r="MWW2" s="14"/>
      <c r="MWX2" s="14"/>
      <c r="MWY2" s="14"/>
      <c r="MWZ2" s="14"/>
      <c r="MXA2" s="14"/>
      <c r="MXB2" s="14"/>
      <c r="MXC2" s="14"/>
      <c r="MXD2" s="14"/>
      <c r="MXE2" s="14"/>
      <c r="MXF2" s="14"/>
      <c r="MXG2" s="14"/>
      <c r="MXH2" s="14"/>
      <c r="MXI2" s="14"/>
      <c r="MXJ2" s="14"/>
      <c r="MXK2" s="14"/>
      <c r="MXL2" s="14"/>
      <c r="MXM2" s="14"/>
      <c r="MXN2" s="14"/>
      <c r="MXO2" s="14"/>
      <c r="MXP2" s="14"/>
      <c r="MXQ2" s="14"/>
      <c r="MXR2" s="14"/>
      <c r="MXS2" s="14"/>
      <c r="MXT2" s="14"/>
      <c r="MXU2" s="14"/>
      <c r="MXV2" s="14"/>
      <c r="MXW2" s="14"/>
      <c r="MXX2" s="14"/>
      <c r="MXY2" s="14"/>
      <c r="MXZ2" s="14"/>
      <c r="MYA2" s="14"/>
      <c r="MYB2" s="14"/>
      <c r="MYC2" s="14"/>
      <c r="MYD2" s="14"/>
      <c r="MYE2" s="14"/>
      <c r="MYF2" s="14"/>
      <c r="MYG2" s="14"/>
      <c r="MYH2" s="14"/>
      <c r="MYI2" s="14"/>
      <c r="MYJ2" s="14"/>
      <c r="MYK2" s="14"/>
      <c r="MYL2" s="14"/>
      <c r="MYM2" s="14"/>
      <c r="MYN2" s="14"/>
      <c r="MYO2" s="14"/>
      <c r="MYP2" s="14"/>
      <c r="MYQ2" s="14"/>
      <c r="MYR2" s="14"/>
      <c r="MYS2" s="14"/>
      <c r="MYT2" s="14"/>
      <c r="MYU2" s="14"/>
      <c r="MYV2" s="14"/>
      <c r="MYW2" s="14"/>
      <c r="MYX2" s="14"/>
      <c r="MYY2" s="14"/>
      <c r="MYZ2" s="14"/>
      <c r="MZA2" s="14"/>
      <c r="MZB2" s="14"/>
      <c r="MZC2" s="14"/>
      <c r="MZD2" s="14"/>
      <c r="MZE2" s="14"/>
      <c r="MZF2" s="14"/>
      <c r="MZG2" s="14"/>
      <c r="MZH2" s="14"/>
      <c r="MZI2" s="14"/>
      <c r="MZJ2" s="14"/>
      <c r="MZK2" s="14"/>
      <c r="MZL2" s="14"/>
      <c r="MZM2" s="14"/>
      <c r="MZN2" s="14"/>
      <c r="MZO2" s="14"/>
      <c r="MZP2" s="14"/>
      <c r="MZQ2" s="14"/>
      <c r="MZR2" s="14"/>
      <c r="MZS2" s="14"/>
      <c r="MZT2" s="14"/>
      <c r="MZU2" s="14"/>
      <c r="MZV2" s="14"/>
      <c r="MZW2" s="14"/>
      <c r="MZX2" s="14"/>
      <c r="MZY2" s="14"/>
      <c r="MZZ2" s="14"/>
      <c r="NAA2" s="14"/>
      <c r="NAB2" s="14"/>
      <c r="NAC2" s="14"/>
      <c r="NAD2" s="14"/>
      <c r="NAE2" s="14"/>
      <c r="NAF2" s="14"/>
      <c r="NAG2" s="14"/>
      <c r="NAH2" s="14"/>
      <c r="NAI2" s="14"/>
      <c r="NAJ2" s="14"/>
      <c r="NAK2" s="14"/>
      <c r="NAL2" s="14"/>
      <c r="NAM2" s="14"/>
      <c r="NAN2" s="14"/>
      <c r="NAO2" s="14"/>
      <c r="NAP2" s="14"/>
      <c r="NAQ2" s="14"/>
      <c r="NAR2" s="14"/>
      <c r="NAS2" s="14"/>
      <c r="NAT2" s="14"/>
      <c r="NAU2" s="14"/>
      <c r="NAV2" s="14"/>
      <c r="NAW2" s="14"/>
      <c r="NAX2" s="14"/>
      <c r="NAY2" s="14"/>
      <c r="NAZ2" s="14"/>
      <c r="NBA2" s="14"/>
      <c r="NBB2" s="14"/>
      <c r="NBC2" s="14"/>
      <c r="NBD2" s="14"/>
      <c r="NBE2" s="14"/>
      <c r="NBF2" s="14"/>
      <c r="NBG2" s="14"/>
      <c r="NBH2" s="14"/>
      <c r="NBI2" s="14"/>
      <c r="NBJ2" s="14"/>
      <c r="NBK2" s="14"/>
      <c r="NBL2" s="14"/>
      <c r="NBM2" s="14"/>
      <c r="NBN2" s="14"/>
      <c r="NBO2" s="14"/>
      <c r="NBP2" s="14"/>
      <c r="NBQ2" s="14"/>
      <c r="NBR2" s="14"/>
      <c r="NBS2" s="14"/>
      <c r="NBT2" s="14"/>
      <c r="NBU2" s="14"/>
      <c r="NBV2" s="14"/>
      <c r="NBW2" s="14"/>
      <c r="NBX2" s="14"/>
      <c r="NBY2" s="14"/>
      <c r="NBZ2" s="14"/>
      <c r="NCA2" s="14"/>
      <c r="NCB2" s="14"/>
      <c r="NCC2" s="14"/>
      <c r="NCD2" s="14"/>
      <c r="NCE2" s="14"/>
      <c r="NCF2" s="14"/>
      <c r="NCG2" s="14"/>
      <c r="NCH2" s="14"/>
      <c r="NCI2" s="14"/>
      <c r="NCJ2" s="14"/>
      <c r="NCK2" s="14"/>
      <c r="NCL2" s="14"/>
      <c r="NCM2" s="14"/>
      <c r="NCN2" s="14"/>
      <c r="NCO2" s="14"/>
      <c r="NCP2" s="14"/>
      <c r="NCQ2" s="14"/>
      <c r="NCR2" s="14"/>
      <c r="NCS2" s="14"/>
      <c r="NCT2" s="14"/>
      <c r="NCU2" s="14"/>
      <c r="NCV2" s="14"/>
      <c r="NCW2" s="14"/>
      <c r="NCX2" s="14"/>
      <c r="NCY2" s="14"/>
      <c r="NCZ2" s="14"/>
      <c r="NDA2" s="14"/>
      <c r="NDB2" s="14"/>
      <c r="NDC2" s="14"/>
      <c r="NDD2" s="14"/>
      <c r="NDE2" s="14"/>
      <c r="NDF2" s="14"/>
      <c r="NDG2" s="14"/>
      <c r="NDH2" s="14"/>
      <c r="NDI2" s="14"/>
      <c r="NDJ2" s="14"/>
      <c r="NDK2" s="14"/>
      <c r="NDL2" s="14"/>
      <c r="NDM2" s="14"/>
      <c r="NDN2" s="14"/>
      <c r="NDO2" s="14"/>
      <c r="NDP2" s="14"/>
      <c r="NDQ2" s="14"/>
      <c r="NDR2" s="14"/>
      <c r="NDS2" s="14"/>
      <c r="NDT2" s="14"/>
      <c r="NDU2" s="14"/>
      <c r="NDV2" s="14"/>
      <c r="NDW2" s="14"/>
      <c r="NDX2" s="14"/>
      <c r="NDY2" s="14"/>
      <c r="NDZ2" s="14"/>
      <c r="NEA2" s="14"/>
      <c r="NEB2" s="14"/>
      <c r="NEC2" s="14"/>
      <c r="NED2" s="14"/>
      <c r="NEE2" s="14"/>
      <c r="NEF2" s="14"/>
      <c r="NEG2" s="14"/>
      <c r="NEH2" s="14"/>
      <c r="NEI2" s="14"/>
      <c r="NEJ2" s="14"/>
      <c r="NEK2" s="14"/>
      <c r="NEL2" s="14"/>
      <c r="NEM2" s="14"/>
      <c r="NEN2" s="14"/>
      <c r="NEO2" s="14"/>
      <c r="NEP2" s="14"/>
      <c r="NEQ2" s="14"/>
      <c r="NER2" s="14"/>
      <c r="NES2" s="14"/>
      <c r="NET2" s="14"/>
      <c r="NEU2" s="14"/>
      <c r="NEV2" s="14"/>
      <c r="NEW2" s="14"/>
      <c r="NEX2" s="14"/>
      <c r="NEY2" s="14"/>
      <c r="NEZ2" s="14"/>
      <c r="NFA2" s="14"/>
      <c r="NFB2" s="14"/>
      <c r="NFC2" s="14"/>
      <c r="NFD2" s="14"/>
      <c r="NFE2" s="14"/>
      <c r="NFF2" s="14"/>
      <c r="NFG2" s="14"/>
      <c r="NFH2" s="14"/>
      <c r="NFI2" s="14"/>
      <c r="NFJ2" s="14"/>
      <c r="NFK2" s="14"/>
      <c r="NFL2" s="14"/>
      <c r="NFM2" s="14"/>
      <c r="NFN2" s="14"/>
      <c r="NFO2" s="14"/>
      <c r="NFP2" s="14"/>
      <c r="NFQ2" s="14"/>
      <c r="NFR2" s="14"/>
      <c r="NFS2" s="14"/>
      <c r="NFT2" s="14"/>
      <c r="NFU2" s="14"/>
      <c r="NFV2" s="14"/>
      <c r="NFW2" s="14"/>
      <c r="NFX2" s="14"/>
      <c r="NFY2" s="14"/>
      <c r="NFZ2" s="14"/>
      <c r="NGA2" s="14"/>
      <c r="NGB2" s="14"/>
      <c r="NGC2" s="14"/>
      <c r="NGD2" s="14"/>
      <c r="NGE2" s="14"/>
      <c r="NGF2" s="14"/>
      <c r="NGG2" s="14"/>
      <c r="NGH2" s="14"/>
      <c r="NGI2" s="14"/>
      <c r="NGJ2" s="14"/>
      <c r="NGK2" s="14"/>
      <c r="NGL2" s="14"/>
      <c r="NGM2" s="14"/>
      <c r="NGN2" s="14"/>
      <c r="NGO2" s="14"/>
      <c r="NGP2" s="14"/>
      <c r="NGQ2" s="14"/>
      <c r="NGR2" s="14"/>
      <c r="NGS2" s="14"/>
      <c r="NGT2" s="14"/>
      <c r="NGU2" s="14"/>
      <c r="NGV2" s="14"/>
      <c r="NGW2" s="14"/>
      <c r="NGX2" s="14"/>
      <c r="NGY2" s="14"/>
      <c r="NGZ2" s="14"/>
      <c r="NHA2" s="14"/>
      <c r="NHB2" s="14"/>
      <c r="NHC2" s="14"/>
      <c r="NHD2" s="14"/>
      <c r="NHE2" s="14"/>
      <c r="NHF2" s="14"/>
      <c r="NHG2" s="14"/>
      <c r="NHH2" s="14"/>
      <c r="NHI2" s="14"/>
      <c r="NHJ2" s="14"/>
      <c r="NHK2" s="14"/>
      <c r="NHL2" s="14"/>
      <c r="NHM2" s="14"/>
      <c r="NHN2" s="14"/>
      <c r="NHO2" s="14"/>
      <c r="NHP2" s="14"/>
      <c r="NHQ2" s="14"/>
      <c r="NHR2" s="14"/>
      <c r="NHS2" s="14"/>
      <c r="NHT2" s="14"/>
      <c r="NHU2" s="14"/>
      <c r="NHV2" s="14"/>
      <c r="NHW2" s="14"/>
      <c r="NHX2" s="14"/>
      <c r="NHY2" s="14"/>
      <c r="NHZ2" s="14"/>
      <c r="NIA2" s="14"/>
      <c r="NIB2" s="14"/>
      <c r="NIC2" s="14"/>
      <c r="NID2" s="14"/>
      <c r="NIE2" s="14"/>
      <c r="NIF2" s="14"/>
      <c r="NIG2" s="14"/>
      <c r="NIH2" s="14"/>
      <c r="NII2" s="14"/>
      <c r="NIJ2" s="14"/>
      <c r="NIK2" s="14"/>
      <c r="NIL2" s="14"/>
      <c r="NIM2" s="14"/>
      <c r="NIN2" s="14"/>
      <c r="NIO2" s="14"/>
      <c r="NIP2" s="14"/>
      <c r="NIQ2" s="14"/>
      <c r="NIR2" s="14"/>
      <c r="NIS2" s="14"/>
      <c r="NIT2" s="14"/>
      <c r="NIU2" s="14"/>
      <c r="NIV2" s="14"/>
      <c r="NIW2" s="14"/>
      <c r="NIX2" s="14"/>
      <c r="NIY2" s="14"/>
      <c r="NIZ2" s="14"/>
      <c r="NJA2" s="14"/>
      <c r="NJB2" s="14"/>
      <c r="NJC2" s="14"/>
      <c r="NJD2" s="14"/>
      <c r="NJE2" s="14"/>
      <c r="NJF2" s="14"/>
      <c r="NJG2" s="14"/>
      <c r="NJH2" s="14"/>
      <c r="NJI2" s="14"/>
      <c r="NJJ2" s="14"/>
      <c r="NJK2" s="14"/>
      <c r="NJL2" s="14"/>
      <c r="NJM2" s="14"/>
      <c r="NJN2" s="14"/>
      <c r="NJO2" s="14"/>
      <c r="NJP2" s="14"/>
      <c r="NJQ2" s="14"/>
      <c r="NJR2" s="14"/>
      <c r="NJS2" s="14"/>
      <c r="NJT2" s="14"/>
      <c r="NJU2" s="14"/>
      <c r="NJV2" s="14"/>
      <c r="NJW2" s="14"/>
      <c r="NJX2" s="14"/>
      <c r="NJY2" s="14"/>
      <c r="NJZ2" s="14"/>
      <c r="NKA2" s="14"/>
      <c r="NKB2" s="14"/>
      <c r="NKC2" s="14"/>
      <c r="NKD2" s="14"/>
      <c r="NKE2" s="14"/>
      <c r="NKF2" s="14"/>
      <c r="NKG2" s="14"/>
      <c r="NKH2" s="14"/>
      <c r="NKI2" s="14"/>
      <c r="NKJ2" s="14"/>
      <c r="NKK2" s="14"/>
      <c r="NKL2" s="14"/>
      <c r="NKM2" s="14"/>
      <c r="NKN2" s="14"/>
      <c r="NKO2" s="14"/>
      <c r="NKP2" s="14"/>
      <c r="NKQ2" s="14"/>
      <c r="NKR2" s="14"/>
      <c r="NKS2" s="14"/>
      <c r="NKT2" s="14"/>
      <c r="NKU2" s="14"/>
      <c r="NKV2" s="14"/>
      <c r="NKW2" s="14"/>
      <c r="NKX2" s="14"/>
      <c r="NKY2" s="14"/>
      <c r="NKZ2" s="14"/>
      <c r="NLA2" s="14"/>
      <c r="NLB2" s="14"/>
      <c r="NLC2" s="14"/>
      <c r="NLD2" s="14"/>
      <c r="NLE2" s="14"/>
      <c r="NLF2" s="14"/>
      <c r="NLG2" s="14"/>
      <c r="NLH2" s="14"/>
      <c r="NLI2" s="14"/>
      <c r="NLJ2" s="14"/>
      <c r="NLK2" s="14"/>
      <c r="NLL2" s="14"/>
      <c r="NLM2" s="14"/>
      <c r="NLN2" s="14"/>
      <c r="NLO2" s="14"/>
      <c r="NLP2" s="14"/>
      <c r="NLQ2" s="14"/>
      <c r="NLR2" s="14"/>
      <c r="NLS2" s="14"/>
      <c r="NLT2" s="14"/>
      <c r="NLU2" s="14"/>
      <c r="NLV2" s="14"/>
      <c r="NLW2" s="14"/>
      <c r="NLX2" s="14"/>
      <c r="NLY2" s="14"/>
      <c r="NLZ2" s="14"/>
      <c r="NMA2" s="14"/>
      <c r="NMB2" s="14"/>
      <c r="NMC2" s="14"/>
      <c r="NMD2" s="14"/>
      <c r="NME2" s="14"/>
      <c r="NMF2" s="14"/>
      <c r="NMG2" s="14"/>
      <c r="NMH2" s="14"/>
      <c r="NMI2" s="14"/>
      <c r="NMJ2" s="14"/>
      <c r="NMK2" s="14"/>
      <c r="NML2" s="14"/>
      <c r="NMM2" s="14"/>
      <c r="NMN2" s="14"/>
      <c r="NMO2" s="14"/>
      <c r="NMP2" s="14"/>
      <c r="NMQ2" s="14"/>
      <c r="NMR2" s="14"/>
      <c r="NMS2" s="14"/>
      <c r="NMT2" s="14"/>
      <c r="NMU2" s="14"/>
      <c r="NMV2" s="14"/>
      <c r="NMW2" s="14"/>
      <c r="NMX2" s="14"/>
      <c r="NMY2" s="14"/>
      <c r="NMZ2" s="14"/>
      <c r="NNA2" s="14"/>
      <c r="NNB2" s="14"/>
      <c r="NNC2" s="14"/>
      <c r="NND2" s="14"/>
      <c r="NNE2" s="14"/>
      <c r="NNF2" s="14"/>
      <c r="NNG2" s="14"/>
      <c r="NNH2" s="14"/>
      <c r="NNI2" s="14"/>
      <c r="NNJ2" s="14"/>
      <c r="NNK2" s="14"/>
      <c r="NNL2" s="14"/>
      <c r="NNM2" s="14"/>
      <c r="NNN2" s="14"/>
      <c r="NNO2" s="14"/>
      <c r="NNP2" s="14"/>
      <c r="NNQ2" s="14"/>
      <c r="NNR2" s="14"/>
      <c r="NNS2" s="14"/>
      <c r="NNT2" s="14"/>
      <c r="NNU2" s="14"/>
      <c r="NNV2" s="14"/>
      <c r="NNW2" s="14"/>
      <c r="NNX2" s="14"/>
      <c r="NNY2" s="14"/>
      <c r="NNZ2" s="14"/>
      <c r="NOA2" s="14"/>
      <c r="NOB2" s="14"/>
      <c r="NOC2" s="14"/>
      <c r="NOD2" s="14"/>
      <c r="NOE2" s="14"/>
      <c r="NOF2" s="14"/>
      <c r="NOG2" s="14"/>
      <c r="NOH2" s="14"/>
      <c r="NOI2" s="14"/>
      <c r="NOJ2" s="14"/>
      <c r="NOK2" s="14"/>
      <c r="NOL2" s="14"/>
      <c r="NOM2" s="14"/>
      <c r="NON2" s="14"/>
      <c r="NOO2" s="14"/>
      <c r="NOP2" s="14"/>
      <c r="NOQ2" s="14"/>
      <c r="NOR2" s="14"/>
      <c r="NOS2" s="14"/>
      <c r="NOT2" s="14"/>
      <c r="NOU2" s="14"/>
      <c r="NOV2" s="14"/>
      <c r="NOW2" s="14"/>
      <c r="NOX2" s="14"/>
      <c r="NOY2" s="14"/>
      <c r="NOZ2" s="14"/>
      <c r="NPA2" s="14"/>
      <c r="NPB2" s="14"/>
      <c r="NPC2" s="14"/>
      <c r="NPD2" s="14"/>
      <c r="NPE2" s="14"/>
      <c r="NPF2" s="14"/>
      <c r="NPG2" s="14"/>
      <c r="NPH2" s="14"/>
      <c r="NPI2" s="14"/>
      <c r="NPJ2" s="14"/>
      <c r="NPK2" s="14"/>
      <c r="NPL2" s="14"/>
      <c r="NPM2" s="14"/>
      <c r="NPN2" s="14"/>
      <c r="NPO2" s="14"/>
      <c r="NPP2" s="14"/>
      <c r="NPQ2" s="14"/>
      <c r="NPR2" s="14"/>
      <c r="NPS2" s="14"/>
      <c r="NPT2" s="14"/>
      <c r="NPU2" s="14"/>
      <c r="NPV2" s="14"/>
      <c r="NPW2" s="14"/>
      <c r="NPX2" s="14"/>
      <c r="NPY2" s="14"/>
      <c r="NPZ2" s="14"/>
      <c r="NQA2" s="14"/>
      <c r="NQB2" s="14"/>
      <c r="NQC2" s="14"/>
      <c r="NQD2" s="14"/>
      <c r="NQE2" s="14"/>
      <c r="NQF2" s="14"/>
      <c r="NQG2" s="14"/>
      <c r="NQH2" s="14"/>
      <c r="NQI2" s="14"/>
      <c r="NQJ2" s="14"/>
      <c r="NQK2" s="14"/>
      <c r="NQL2" s="14"/>
      <c r="NQM2" s="14"/>
      <c r="NQN2" s="14"/>
      <c r="NQO2" s="14"/>
      <c r="NQP2" s="14"/>
      <c r="NQQ2" s="14"/>
      <c r="NQR2" s="14"/>
      <c r="NQS2" s="14"/>
      <c r="NQT2" s="14"/>
      <c r="NQU2" s="14"/>
      <c r="NQV2" s="14"/>
      <c r="NQW2" s="14"/>
      <c r="NQX2" s="14"/>
      <c r="NQY2" s="14"/>
      <c r="NQZ2" s="14"/>
      <c r="NRA2" s="14"/>
      <c r="NRB2" s="14"/>
      <c r="NRC2" s="14"/>
      <c r="NRD2" s="14"/>
      <c r="NRE2" s="14"/>
      <c r="NRF2" s="14"/>
      <c r="NRG2" s="14"/>
      <c r="NRH2" s="14"/>
      <c r="NRI2" s="14"/>
      <c r="NRJ2" s="14"/>
      <c r="NRK2" s="14"/>
      <c r="NRL2" s="14"/>
      <c r="NRM2" s="14"/>
      <c r="NRN2" s="14"/>
      <c r="NRO2" s="14"/>
      <c r="NRP2" s="14"/>
      <c r="NRQ2" s="14"/>
      <c r="NRR2" s="14"/>
      <c r="NRS2" s="14"/>
      <c r="NRT2" s="14"/>
      <c r="NRU2" s="14"/>
      <c r="NRV2" s="14"/>
      <c r="NRW2" s="14"/>
      <c r="NRX2" s="14"/>
      <c r="NRY2" s="14"/>
      <c r="NRZ2" s="14"/>
      <c r="NSA2" s="14"/>
      <c r="NSB2" s="14"/>
      <c r="NSC2" s="14"/>
      <c r="NSD2" s="14"/>
      <c r="NSE2" s="14"/>
      <c r="NSF2" s="14"/>
      <c r="NSG2" s="14"/>
      <c r="NSH2" s="14"/>
      <c r="NSI2" s="14"/>
      <c r="NSJ2" s="14"/>
      <c r="NSK2" s="14"/>
      <c r="NSL2" s="14"/>
      <c r="NSM2" s="14"/>
      <c r="NSN2" s="14"/>
      <c r="NSO2" s="14"/>
      <c r="NSP2" s="14"/>
      <c r="NSQ2" s="14"/>
      <c r="NSR2" s="14"/>
      <c r="NSS2" s="14"/>
      <c r="NST2" s="14"/>
      <c r="NSU2" s="14"/>
      <c r="NSV2" s="14"/>
      <c r="NSW2" s="14"/>
      <c r="NSX2" s="14"/>
      <c r="NSY2" s="14"/>
      <c r="NSZ2" s="14"/>
      <c r="NTA2" s="14"/>
      <c r="NTB2" s="14"/>
      <c r="NTC2" s="14"/>
      <c r="NTD2" s="14"/>
      <c r="NTE2" s="14"/>
      <c r="NTF2" s="14"/>
      <c r="NTG2" s="14"/>
      <c r="NTH2" s="14"/>
      <c r="NTI2" s="14"/>
      <c r="NTJ2" s="14"/>
      <c r="NTK2" s="14"/>
      <c r="NTL2" s="14"/>
      <c r="NTM2" s="14"/>
      <c r="NTN2" s="14"/>
      <c r="NTO2" s="14"/>
      <c r="NTP2" s="14"/>
      <c r="NTQ2" s="14"/>
      <c r="NTR2" s="14"/>
      <c r="NTS2" s="14"/>
      <c r="NTT2" s="14"/>
      <c r="NTU2" s="14"/>
      <c r="NTV2" s="14"/>
      <c r="NTW2" s="14"/>
      <c r="NTX2" s="14"/>
      <c r="NTY2" s="14"/>
      <c r="NTZ2" s="14"/>
      <c r="NUA2" s="14"/>
      <c r="NUB2" s="14"/>
      <c r="NUC2" s="14"/>
      <c r="NUD2" s="14"/>
      <c r="NUE2" s="14"/>
      <c r="NUF2" s="14"/>
      <c r="NUG2" s="14"/>
      <c r="NUH2" s="14"/>
      <c r="NUI2" s="14"/>
      <c r="NUJ2" s="14"/>
      <c r="NUK2" s="14"/>
      <c r="NUL2" s="14"/>
      <c r="NUM2" s="14"/>
      <c r="NUN2" s="14"/>
      <c r="NUO2" s="14"/>
      <c r="NUP2" s="14"/>
      <c r="NUQ2" s="14"/>
      <c r="NUR2" s="14"/>
      <c r="NUS2" s="14"/>
      <c r="NUT2" s="14"/>
      <c r="NUU2" s="14"/>
      <c r="NUV2" s="14"/>
      <c r="NUW2" s="14"/>
      <c r="NUX2" s="14"/>
      <c r="NUY2" s="14"/>
      <c r="NUZ2" s="14"/>
      <c r="NVA2" s="14"/>
      <c r="NVB2" s="14"/>
      <c r="NVC2" s="14"/>
      <c r="NVD2" s="14"/>
      <c r="NVE2" s="14"/>
      <c r="NVF2" s="14"/>
      <c r="NVG2" s="14"/>
      <c r="NVH2" s="14"/>
      <c r="NVI2" s="14"/>
      <c r="NVJ2" s="14"/>
      <c r="NVK2" s="14"/>
      <c r="NVL2" s="14"/>
      <c r="NVM2" s="14"/>
      <c r="NVN2" s="14"/>
      <c r="NVO2" s="14"/>
      <c r="NVP2" s="14"/>
      <c r="NVQ2" s="14"/>
      <c r="NVR2" s="14"/>
      <c r="NVS2" s="14"/>
      <c r="NVT2" s="14"/>
      <c r="NVU2" s="14"/>
      <c r="NVV2" s="14"/>
      <c r="NVW2" s="14"/>
      <c r="NVX2" s="14"/>
      <c r="NVY2" s="14"/>
      <c r="NVZ2" s="14"/>
      <c r="NWA2" s="14"/>
      <c r="NWB2" s="14"/>
      <c r="NWC2" s="14"/>
      <c r="NWD2" s="14"/>
      <c r="NWE2" s="14"/>
      <c r="NWF2" s="14"/>
      <c r="NWG2" s="14"/>
      <c r="NWH2" s="14"/>
      <c r="NWI2" s="14"/>
      <c r="NWJ2" s="14"/>
      <c r="NWK2" s="14"/>
      <c r="NWL2" s="14"/>
      <c r="NWM2" s="14"/>
      <c r="NWN2" s="14"/>
      <c r="NWO2" s="14"/>
      <c r="NWP2" s="14"/>
      <c r="NWQ2" s="14"/>
      <c r="NWR2" s="14"/>
      <c r="NWS2" s="14"/>
      <c r="NWT2" s="14"/>
      <c r="NWU2" s="14"/>
      <c r="NWV2" s="14"/>
      <c r="NWW2" s="14"/>
      <c r="NWX2" s="14"/>
      <c r="NWY2" s="14"/>
      <c r="NWZ2" s="14"/>
      <c r="NXA2" s="14"/>
      <c r="NXB2" s="14"/>
      <c r="NXC2" s="14"/>
      <c r="NXD2" s="14"/>
      <c r="NXE2" s="14"/>
      <c r="NXF2" s="14"/>
      <c r="NXG2" s="14"/>
      <c r="NXH2" s="14"/>
      <c r="NXI2" s="14"/>
      <c r="NXJ2" s="14"/>
      <c r="NXK2" s="14"/>
      <c r="NXL2" s="14"/>
      <c r="NXM2" s="14"/>
      <c r="NXN2" s="14"/>
      <c r="NXO2" s="14"/>
      <c r="NXP2" s="14"/>
      <c r="NXQ2" s="14"/>
      <c r="NXR2" s="14"/>
      <c r="NXS2" s="14"/>
      <c r="NXT2" s="14"/>
      <c r="NXU2" s="14"/>
      <c r="NXV2" s="14"/>
      <c r="NXW2" s="14"/>
      <c r="NXX2" s="14"/>
      <c r="NXY2" s="14"/>
      <c r="NXZ2" s="14"/>
      <c r="NYA2" s="14"/>
      <c r="NYB2" s="14"/>
      <c r="NYC2" s="14"/>
      <c r="NYD2" s="14"/>
      <c r="NYE2" s="14"/>
      <c r="NYF2" s="14"/>
      <c r="NYG2" s="14"/>
      <c r="NYH2" s="14"/>
      <c r="NYI2" s="14"/>
      <c r="NYJ2" s="14"/>
      <c r="NYK2" s="14"/>
      <c r="NYL2" s="14"/>
      <c r="NYM2" s="14"/>
      <c r="NYN2" s="14"/>
      <c r="NYO2" s="14"/>
      <c r="NYP2" s="14"/>
      <c r="NYQ2" s="14"/>
      <c r="NYR2" s="14"/>
      <c r="NYS2" s="14"/>
      <c r="NYT2" s="14"/>
      <c r="NYU2" s="14"/>
      <c r="NYV2" s="14"/>
      <c r="NYW2" s="14"/>
      <c r="NYX2" s="14"/>
      <c r="NYY2" s="14"/>
      <c r="NYZ2" s="14"/>
      <c r="NZA2" s="14"/>
      <c r="NZB2" s="14"/>
      <c r="NZC2" s="14"/>
      <c r="NZD2" s="14"/>
      <c r="NZE2" s="14"/>
      <c r="NZF2" s="14"/>
      <c r="NZG2" s="14"/>
      <c r="NZH2" s="14"/>
      <c r="NZI2" s="14"/>
      <c r="NZJ2" s="14"/>
      <c r="NZK2" s="14"/>
      <c r="NZL2" s="14"/>
      <c r="NZM2" s="14"/>
      <c r="NZN2" s="14"/>
      <c r="NZO2" s="14"/>
      <c r="NZP2" s="14"/>
      <c r="NZQ2" s="14"/>
      <c r="NZR2" s="14"/>
      <c r="NZS2" s="14"/>
      <c r="NZT2" s="14"/>
      <c r="NZU2" s="14"/>
      <c r="NZV2" s="14"/>
      <c r="NZW2" s="14"/>
      <c r="NZX2" s="14"/>
      <c r="NZY2" s="14"/>
      <c r="NZZ2" s="14"/>
      <c r="OAA2" s="14"/>
      <c r="OAB2" s="14"/>
      <c r="OAC2" s="14"/>
      <c r="OAD2" s="14"/>
      <c r="OAE2" s="14"/>
      <c r="OAF2" s="14"/>
      <c r="OAG2" s="14"/>
      <c r="OAH2" s="14"/>
      <c r="OAI2" s="14"/>
      <c r="OAJ2" s="14"/>
      <c r="OAK2" s="14"/>
      <c r="OAL2" s="14"/>
      <c r="OAM2" s="14"/>
      <c r="OAN2" s="14"/>
      <c r="OAO2" s="14"/>
      <c r="OAP2" s="14"/>
      <c r="OAQ2" s="14"/>
      <c r="OAR2" s="14"/>
      <c r="OAS2" s="14"/>
      <c r="OAT2" s="14"/>
      <c r="OAU2" s="14"/>
      <c r="OAV2" s="14"/>
      <c r="OAW2" s="14"/>
      <c r="OAX2" s="14"/>
      <c r="OAY2" s="14"/>
      <c r="OAZ2" s="14"/>
      <c r="OBA2" s="14"/>
      <c r="OBB2" s="14"/>
      <c r="OBC2" s="14"/>
      <c r="OBD2" s="14"/>
      <c r="OBE2" s="14"/>
      <c r="OBF2" s="14"/>
      <c r="OBG2" s="14"/>
      <c r="OBH2" s="14"/>
      <c r="OBI2" s="14"/>
      <c r="OBJ2" s="14"/>
      <c r="OBK2" s="14"/>
      <c r="OBL2" s="14"/>
      <c r="OBM2" s="14"/>
      <c r="OBN2" s="14"/>
      <c r="OBO2" s="14"/>
      <c r="OBP2" s="14"/>
      <c r="OBQ2" s="14"/>
      <c r="OBR2" s="14"/>
      <c r="OBS2" s="14"/>
      <c r="OBT2" s="14"/>
      <c r="OBU2" s="14"/>
      <c r="OBV2" s="14"/>
      <c r="OBW2" s="14"/>
      <c r="OBX2" s="14"/>
      <c r="OBY2" s="14"/>
      <c r="OBZ2" s="14"/>
      <c r="OCA2" s="14"/>
      <c r="OCB2" s="14"/>
      <c r="OCC2" s="14"/>
      <c r="OCD2" s="14"/>
      <c r="OCE2" s="14"/>
      <c r="OCF2" s="14"/>
      <c r="OCG2" s="14"/>
      <c r="OCH2" s="14"/>
      <c r="OCI2" s="14"/>
      <c r="OCJ2" s="14"/>
      <c r="OCK2" s="14"/>
      <c r="OCL2" s="14"/>
      <c r="OCM2" s="14"/>
      <c r="OCN2" s="14"/>
      <c r="OCO2" s="14"/>
      <c r="OCP2" s="14"/>
      <c r="OCQ2" s="14"/>
      <c r="OCR2" s="14"/>
      <c r="OCS2" s="14"/>
      <c r="OCT2" s="14"/>
      <c r="OCU2" s="14"/>
      <c r="OCV2" s="14"/>
      <c r="OCW2" s="14"/>
      <c r="OCX2" s="14"/>
      <c r="OCY2" s="14"/>
      <c r="OCZ2" s="14"/>
      <c r="ODA2" s="14"/>
      <c r="ODB2" s="14"/>
      <c r="ODC2" s="14"/>
      <c r="ODD2" s="14"/>
      <c r="ODE2" s="14"/>
      <c r="ODF2" s="14"/>
      <c r="ODG2" s="14"/>
      <c r="ODH2" s="14"/>
      <c r="ODI2" s="14"/>
      <c r="ODJ2" s="14"/>
      <c r="ODK2" s="14"/>
      <c r="ODL2" s="14"/>
      <c r="ODM2" s="14"/>
      <c r="ODN2" s="14"/>
      <c r="ODO2" s="14"/>
      <c r="ODP2" s="14"/>
      <c r="ODQ2" s="14"/>
      <c r="ODR2" s="14"/>
      <c r="ODS2" s="14"/>
      <c r="ODT2" s="14"/>
      <c r="ODU2" s="14"/>
      <c r="ODV2" s="14"/>
      <c r="ODW2" s="14"/>
      <c r="ODX2" s="14"/>
      <c r="ODY2" s="14"/>
      <c r="ODZ2" s="14"/>
      <c r="OEA2" s="14"/>
      <c r="OEB2" s="14"/>
      <c r="OEC2" s="14"/>
      <c r="OED2" s="14"/>
      <c r="OEE2" s="14"/>
      <c r="OEF2" s="14"/>
      <c r="OEG2" s="14"/>
      <c r="OEH2" s="14"/>
      <c r="OEI2" s="14"/>
      <c r="OEJ2" s="14"/>
      <c r="OEK2" s="14"/>
      <c r="OEL2" s="14"/>
      <c r="OEM2" s="14"/>
      <c r="OEN2" s="14"/>
      <c r="OEO2" s="14"/>
      <c r="OEP2" s="14"/>
      <c r="OEQ2" s="14"/>
      <c r="OER2" s="14"/>
      <c r="OES2" s="14"/>
      <c r="OET2" s="14"/>
      <c r="OEU2" s="14"/>
      <c r="OEV2" s="14"/>
      <c r="OEW2" s="14"/>
      <c r="OEX2" s="14"/>
      <c r="OEY2" s="14"/>
      <c r="OEZ2" s="14"/>
      <c r="OFA2" s="14"/>
      <c r="OFB2" s="14"/>
      <c r="OFC2" s="14"/>
      <c r="OFD2" s="14"/>
      <c r="OFE2" s="14"/>
      <c r="OFF2" s="14"/>
      <c r="OFG2" s="14"/>
      <c r="OFH2" s="14"/>
      <c r="OFI2" s="14"/>
      <c r="OFJ2" s="14"/>
      <c r="OFK2" s="14"/>
      <c r="OFL2" s="14"/>
      <c r="OFM2" s="14"/>
      <c r="OFN2" s="14"/>
      <c r="OFO2" s="14"/>
      <c r="OFP2" s="14"/>
      <c r="OFQ2" s="14"/>
      <c r="OFR2" s="14"/>
      <c r="OFS2" s="14"/>
      <c r="OFT2" s="14"/>
      <c r="OFU2" s="14"/>
      <c r="OFV2" s="14"/>
      <c r="OFW2" s="14"/>
      <c r="OFX2" s="14"/>
      <c r="OFY2" s="14"/>
      <c r="OFZ2" s="14"/>
      <c r="OGA2" s="14"/>
      <c r="OGB2" s="14"/>
      <c r="OGC2" s="14"/>
      <c r="OGD2" s="14"/>
      <c r="OGE2" s="14"/>
      <c r="OGF2" s="14"/>
      <c r="OGG2" s="14"/>
      <c r="OGH2" s="14"/>
      <c r="OGI2" s="14"/>
      <c r="OGJ2" s="14"/>
      <c r="OGK2" s="14"/>
      <c r="OGL2" s="14"/>
      <c r="OGM2" s="14"/>
      <c r="OGN2" s="14"/>
      <c r="OGO2" s="14"/>
      <c r="OGP2" s="14"/>
      <c r="OGQ2" s="14"/>
      <c r="OGR2" s="14"/>
      <c r="OGS2" s="14"/>
      <c r="OGT2" s="14"/>
      <c r="OGU2" s="14"/>
      <c r="OGV2" s="14"/>
      <c r="OGW2" s="14"/>
      <c r="OGX2" s="14"/>
      <c r="OGY2" s="14"/>
      <c r="OGZ2" s="14"/>
      <c r="OHA2" s="14"/>
      <c r="OHB2" s="14"/>
      <c r="OHC2" s="14"/>
      <c r="OHD2" s="14"/>
      <c r="OHE2" s="14"/>
      <c r="OHF2" s="14"/>
      <c r="OHG2" s="14"/>
      <c r="OHH2" s="14"/>
      <c r="OHI2" s="14"/>
      <c r="OHJ2" s="14"/>
      <c r="OHK2" s="14"/>
      <c r="OHL2" s="14"/>
      <c r="OHM2" s="14"/>
      <c r="OHN2" s="14"/>
      <c r="OHO2" s="14"/>
      <c r="OHP2" s="14"/>
      <c r="OHQ2" s="14"/>
      <c r="OHR2" s="14"/>
      <c r="OHS2" s="14"/>
      <c r="OHT2" s="14"/>
      <c r="OHU2" s="14"/>
      <c r="OHV2" s="14"/>
      <c r="OHW2" s="14"/>
      <c r="OHX2" s="14"/>
      <c r="OHY2" s="14"/>
      <c r="OHZ2" s="14"/>
      <c r="OIA2" s="14"/>
      <c r="OIB2" s="14"/>
      <c r="OIC2" s="14"/>
      <c r="OID2" s="14"/>
      <c r="OIE2" s="14"/>
      <c r="OIF2" s="14"/>
      <c r="OIG2" s="14"/>
      <c r="OIH2" s="14"/>
      <c r="OII2" s="14"/>
      <c r="OIJ2" s="14"/>
      <c r="OIK2" s="14"/>
      <c r="OIL2" s="14"/>
      <c r="OIM2" s="14"/>
      <c r="OIN2" s="14"/>
      <c r="OIO2" s="14"/>
      <c r="OIP2" s="14"/>
      <c r="OIQ2" s="14"/>
      <c r="OIR2" s="14"/>
      <c r="OIS2" s="14"/>
      <c r="OIT2" s="14"/>
      <c r="OIU2" s="14"/>
      <c r="OIV2" s="14"/>
      <c r="OIW2" s="14"/>
      <c r="OIX2" s="14"/>
      <c r="OIY2" s="14"/>
      <c r="OIZ2" s="14"/>
      <c r="OJA2" s="14"/>
      <c r="OJB2" s="14"/>
      <c r="OJC2" s="14"/>
      <c r="OJD2" s="14"/>
      <c r="OJE2" s="14"/>
      <c r="OJF2" s="14"/>
      <c r="OJG2" s="14"/>
      <c r="OJH2" s="14"/>
      <c r="OJI2" s="14"/>
      <c r="OJJ2" s="14"/>
      <c r="OJK2" s="14"/>
      <c r="OJL2" s="14"/>
      <c r="OJM2" s="14"/>
      <c r="OJN2" s="14"/>
      <c r="OJO2" s="14"/>
      <c r="OJP2" s="14"/>
      <c r="OJQ2" s="14"/>
      <c r="OJR2" s="14"/>
      <c r="OJS2" s="14"/>
      <c r="OJT2" s="14"/>
      <c r="OJU2" s="14"/>
      <c r="OJV2" s="14"/>
      <c r="OJW2" s="14"/>
      <c r="OJX2" s="14"/>
      <c r="OJY2" s="14"/>
      <c r="OJZ2" s="14"/>
      <c r="OKA2" s="14"/>
      <c r="OKB2" s="14"/>
      <c r="OKC2" s="14"/>
      <c r="OKD2" s="14"/>
      <c r="OKE2" s="14"/>
      <c r="OKF2" s="14"/>
      <c r="OKG2" s="14"/>
      <c r="OKH2" s="14"/>
      <c r="OKI2" s="14"/>
      <c r="OKJ2" s="14"/>
      <c r="OKK2" s="14"/>
      <c r="OKL2" s="14"/>
      <c r="OKM2" s="14"/>
      <c r="OKN2" s="14"/>
      <c r="OKO2" s="14"/>
      <c r="OKP2" s="14"/>
      <c r="OKQ2" s="14"/>
      <c r="OKR2" s="14"/>
      <c r="OKS2" s="14"/>
      <c r="OKT2" s="14"/>
      <c r="OKU2" s="14"/>
      <c r="OKV2" s="14"/>
      <c r="OKW2" s="14"/>
      <c r="OKX2" s="14"/>
      <c r="OKY2" s="14"/>
      <c r="OKZ2" s="14"/>
      <c r="OLA2" s="14"/>
      <c r="OLB2" s="14"/>
      <c r="OLC2" s="14"/>
      <c r="OLD2" s="14"/>
      <c r="OLE2" s="14"/>
      <c r="OLF2" s="14"/>
      <c r="OLG2" s="14"/>
      <c r="OLH2" s="14"/>
      <c r="OLI2" s="14"/>
      <c r="OLJ2" s="14"/>
      <c r="OLK2" s="14"/>
      <c r="OLL2" s="14"/>
      <c r="OLM2" s="14"/>
      <c r="OLN2" s="14"/>
      <c r="OLO2" s="14"/>
      <c r="OLP2" s="14"/>
      <c r="OLQ2" s="14"/>
      <c r="OLR2" s="14"/>
      <c r="OLS2" s="14"/>
      <c r="OLT2" s="14"/>
      <c r="OLU2" s="14"/>
      <c r="OLV2" s="14"/>
      <c r="OLW2" s="14"/>
      <c r="OLX2" s="14"/>
      <c r="OLY2" s="14"/>
      <c r="OLZ2" s="14"/>
      <c r="OMA2" s="14"/>
      <c r="OMB2" s="14"/>
      <c r="OMC2" s="14"/>
      <c r="OMD2" s="14"/>
      <c r="OME2" s="14"/>
      <c r="OMF2" s="14"/>
      <c r="OMG2" s="14"/>
      <c r="OMH2" s="14"/>
      <c r="OMI2" s="14"/>
      <c r="OMJ2" s="14"/>
      <c r="OMK2" s="14"/>
      <c r="OML2" s="14"/>
      <c r="OMM2" s="14"/>
      <c r="OMN2" s="14"/>
      <c r="OMO2" s="14"/>
      <c r="OMP2" s="14"/>
      <c r="OMQ2" s="14"/>
      <c r="OMR2" s="14"/>
      <c r="OMS2" s="14"/>
      <c r="OMT2" s="14"/>
      <c r="OMU2" s="14"/>
      <c r="OMV2" s="14"/>
      <c r="OMW2" s="14"/>
      <c r="OMX2" s="14"/>
      <c r="OMY2" s="14"/>
      <c r="OMZ2" s="14"/>
      <c r="ONA2" s="14"/>
      <c r="ONB2" s="14"/>
      <c r="ONC2" s="14"/>
      <c r="OND2" s="14"/>
      <c r="ONE2" s="14"/>
      <c r="ONF2" s="14"/>
      <c r="ONG2" s="14"/>
      <c r="ONH2" s="14"/>
      <c r="ONI2" s="14"/>
      <c r="ONJ2" s="14"/>
      <c r="ONK2" s="14"/>
      <c r="ONL2" s="14"/>
      <c r="ONM2" s="14"/>
      <c r="ONN2" s="14"/>
      <c r="ONO2" s="14"/>
      <c r="ONP2" s="14"/>
      <c r="ONQ2" s="14"/>
      <c r="ONR2" s="14"/>
      <c r="ONS2" s="14"/>
      <c r="ONT2" s="14"/>
      <c r="ONU2" s="14"/>
      <c r="ONV2" s="14"/>
      <c r="ONW2" s="14"/>
      <c r="ONX2" s="14"/>
      <c r="ONY2" s="14"/>
      <c r="ONZ2" s="14"/>
      <c r="OOA2" s="14"/>
      <c r="OOB2" s="14"/>
      <c r="OOC2" s="14"/>
      <c r="OOD2" s="14"/>
      <c r="OOE2" s="14"/>
      <c r="OOF2" s="14"/>
      <c r="OOG2" s="14"/>
      <c r="OOH2" s="14"/>
      <c r="OOI2" s="14"/>
      <c r="OOJ2" s="14"/>
      <c r="OOK2" s="14"/>
      <c r="OOL2" s="14"/>
      <c r="OOM2" s="14"/>
      <c r="OON2" s="14"/>
      <c r="OOO2" s="14"/>
      <c r="OOP2" s="14"/>
      <c r="OOQ2" s="14"/>
      <c r="OOR2" s="14"/>
      <c r="OOS2" s="14"/>
      <c r="OOT2" s="14"/>
      <c r="OOU2" s="14"/>
      <c r="OOV2" s="14"/>
      <c r="OOW2" s="14"/>
      <c r="OOX2" s="14"/>
      <c r="OOY2" s="14"/>
      <c r="OOZ2" s="14"/>
      <c r="OPA2" s="14"/>
      <c r="OPB2" s="14"/>
      <c r="OPC2" s="14"/>
      <c r="OPD2" s="14"/>
      <c r="OPE2" s="14"/>
      <c r="OPF2" s="14"/>
      <c r="OPG2" s="14"/>
      <c r="OPH2" s="14"/>
      <c r="OPI2" s="14"/>
      <c r="OPJ2" s="14"/>
      <c r="OPK2" s="14"/>
      <c r="OPL2" s="14"/>
      <c r="OPM2" s="14"/>
      <c r="OPN2" s="14"/>
      <c r="OPO2" s="14"/>
      <c r="OPP2" s="14"/>
      <c r="OPQ2" s="14"/>
      <c r="OPR2" s="14"/>
      <c r="OPS2" s="14"/>
      <c r="OPT2" s="14"/>
      <c r="OPU2" s="14"/>
      <c r="OPV2" s="14"/>
      <c r="OPW2" s="14"/>
      <c r="OPX2" s="14"/>
      <c r="OPY2" s="14"/>
      <c r="OPZ2" s="14"/>
      <c r="OQA2" s="14"/>
      <c r="OQB2" s="14"/>
      <c r="OQC2" s="14"/>
      <c r="OQD2" s="14"/>
      <c r="OQE2" s="14"/>
      <c r="OQF2" s="14"/>
      <c r="OQG2" s="14"/>
      <c r="OQH2" s="14"/>
      <c r="OQI2" s="14"/>
      <c r="OQJ2" s="14"/>
      <c r="OQK2" s="14"/>
      <c r="OQL2" s="14"/>
      <c r="OQM2" s="14"/>
      <c r="OQN2" s="14"/>
      <c r="OQO2" s="14"/>
      <c r="OQP2" s="14"/>
      <c r="OQQ2" s="14"/>
      <c r="OQR2" s="14"/>
      <c r="OQS2" s="14"/>
      <c r="OQT2" s="14"/>
      <c r="OQU2" s="14"/>
      <c r="OQV2" s="14"/>
      <c r="OQW2" s="14"/>
      <c r="OQX2" s="14"/>
      <c r="OQY2" s="14"/>
      <c r="OQZ2" s="14"/>
      <c r="ORA2" s="14"/>
      <c r="ORB2" s="14"/>
      <c r="ORC2" s="14"/>
      <c r="ORD2" s="14"/>
      <c r="ORE2" s="14"/>
      <c r="ORF2" s="14"/>
      <c r="ORG2" s="14"/>
      <c r="ORH2" s="14"/>
      <c r="ORI2" s="14"/>
      <c r="ORJ2" s="14"/>
      <c r="ORK2" s="14"/>
      <c r="ORL2" s="14"/>
      <c r="ORM2" s="14"/>
      <c r="ORN2" s="14"/>
      <c r="ORO2" s="14"/>
      <c r="ORP2" s="14"/>
      <c r="ORQ2" s="14"/>
      <c r="ORR2" s="14"/>
      <c r="ORS2" s="14"/>
      <c r="ORT2" s="14"/>
      <c r="ORU2" s="14"/>
      <c r="ORV2" s="14"/>
      <c r="ORW2" s="14"/>
      <c r="ORX2" s="14"/>
      <c r="ORY2" s="14"/>
      <c r="ORZ2" s="14"/>
      <c r="OSA2" s="14"/>
      <c r="OSB2" s="14"/>
      <c r="OSC2" s="14"/>
      <c r="OSD2" s="14"/>
      <c r="OSE2" s="14"/>
      <c r="OSF2" s="14"/>
      <c r="OSG2" s="14"/>
      <c r="OSH2" s="14"/>
      <c r="OSI2" s="14"/>
      <c r="OSJ2" s="14"/>
      <c r="OSK2" s="14"/>
      <c r="OSL2" s="14"/>
      <c r="OSM2" s="14"/>
      <c r="OSN2" s="14"/>
      <c r="OSO2" s="14"/>
      <c r="OSP2" s="14"/>
      <c r="OSQ2" s="14"/>
      <c r="OSR2" s="14"/>
      <c r="OSS2" s="14"/>
      <c r="OST2" s="14"/>
      <c r="OSU2" s="14"/>
      <c r="OSV2" s="14"/>
      <c r="OSW2" s="14"/>
      <c r="OSX2" s="14"/>
      <c r="OSY2" s="14"/>
      <c r="OSZ2" s="14"/>
      <c r="OTA2" s="14"/>
      <c r="OTB2" s="14"/>
      <c r="OTC2" s="14"/>
      <c r="OTD2" s="14"/>
      <c r="OTE2" s="14"/>
      <c r="OTF2" s="14"/>
      <c r="OTG2" s="14"/>
      <c r="OTH2" s="14"/>
      <c r="OTI2" s="14"/>
      <c r="OTJ2" s="14"/>
      <c r="OTK2" s="14"/>
      <c r="OTL2" s="14"/>
      <c r="OTM2" s="14"/>
      <c r="OTN2" s="14"/>
      <c r="OTO2" s="14"/>
      <c r="OTP2" s="14"/>
      <c r="OTQ2" s="14"/>
      <c r="OTR2" s="14"/>
      <c r="OTS2" s="14"/>
      <c r="OTT2" s="14"/>
      <c r="OTU2" s="14"/>
      <c r="OTV2" s="14"/>
      <c r="OTW2" s="14"/>
      <c r="OTX2" s="14"/>
      <c r="OTY2" s="14"/>
      <c r="OTZ2" s="14"/>
      <c r="OUA2" s="14"/>
      <c r="OUB2" s="14"/>
      <c r="OUC2" s="14"/>
      <c r="OUD2" s="14"/>
      <c r="OUE2" s="14"/>
      <c r="OUF2" s="14"/>
      <c r="OUG2" s="14"/>
      <c r="OUH2" s="14"/>
      <c r="OUI2" s="14"/>
      <c r="OUJ2" s="14"/>
      <c r="OUK2" s="14"/>
      <c r="OUL2" s="14"/>
      <c r="OUM2" s="14"/>
      <c r="OUN2" s="14"/>
      <c r="OUO2" s="14"/>
      <c r="OUP2" s="14"/>
      <c r="OUQ2" s="14"/>
      <c r="OUR2" s="14"/>
      <c r="OUS2" s="14"/>
      <c r="OUT2" s="14"/>
      <c r="OUU2" s="14"/>
      <c r="OUV2" s="14"/>
      <c r="OUW2" s="14"/>
      <c r="OUX2" s="14"/>
      <c r="OUY2" s="14"/>
      <c r="OUZ2" s="14"/>
      <c r="OVA2" s="14"/>
      <c r="OVB2" s="14"/>
      <c r="OVC2" s="14"/>
      <c r="OVD2" s="14"/>
      <c r="OVE2" s="14"/>
      <c r="OVF2" s="14"/>
      <c r="OVG2" s="14"/>
      <c r="OVH2" s="14"/>
      <c r="OVI2" s="14"/>
      <c r="OVJ2" s="14"/>
      <c r="OVK2" s="14"/>
      <c r="OVL2" s="14"/>
      <c r="OVM2" s="14"/>
      <c r="OVN2" s="14"/>
      <c r="OVO2" s="14"/>
      <c r="OVP2" s="14"/>
      <c r="OVQ2" s="14"/>
      <c r="OVR2" s="14"/>
      <c r="OVS2" s="14"/>
      <c r="OVT2" s="14"/>
      <c r="OVU2" s="14"/>
      <c r="OVV2" s="14"/>
      <c r="OVW2" s="14"/>
      <c r="OVX2" s="14"/>
      <c r="OVY2" s="14"/>
      <c r="OVZ2" s="14"/>
      <c r="OWA2" s="14"/>
      <c r="OWB2" s="14"/>
      <c r="OWC2" s="14"/>
      <c r="OWD2" s="14"/>
      <c r="OWE2" s="14"/>
      <c r="OWF2" s="14"/>
      <c r="OWG2" s="14"/>
      <c r="OWH2" s="14"/>
      <c r="OWI2" s="14"/>
      <c r="OWJ2" s="14"/>
      <c r="OWK2" s="14"/>
      <c r="OWL2" s="14"/>
      <c r="OWM2" s="14"/>
      <c r="OWN2" s="14"/>
      <c r="OWO2" s="14"/>
      <c r="OWP2" s="14"/>
      <c r="OWQ2" s="14"/>
      <c r="OWR2" s="14"/>
      <c r="OWS2" s="14"/>
      <c r="OWT2" s="14"/>
      <c r="OWU2" s="14"/>
      <c r="OWV2" s="14"/>
      <c r="OWW2" s="14"/>
      <c r="OWX2" s="14"/>
      <c r="OWY2" s="14"/>
      <c r="OWZ2" s="14"/>
      <c r="OXA2" s="14"/>
      <c r="OXB2" s="14"/>
      <c r="OXC2" s="14"/>
      <c r="OXD2" s="14"/>
      <c r="OXE2" s="14"/>
      <c r="OXF2" s="14"/>
      <c r="OXG2" s="14"/>
      <c r="OXH2" s="14"/>
      <c r="OXI2" s="14"/>
      <c r="OXJ2" s="14"/>
      <c r="OXK2" s="14"/>
      <c r="OXL2" s="14"/>
      <c r="OXM2" s="14"/>
      <c r="OXN2" s="14"/>
      <c r="OXO2" s="14"/>
      <c r="OXP2" s="14"/>
      <c r="OXQ2" s="14"/>
      <c r="OXR2" s="14"/>
      <c r="OXS2" s="14"/>
      <c r="OXT2" s="14"/>
      <c r="OXU2" s="14"/>
      <c r="OXV2" s="14"/>
      <c r="OXW2" s="14"/>
      <c r="OXX2" s="14"/>
      <c r="OXY2" s="14"/>
      <c r="OXZ2" s="14"/>
      <c r="OYA2" s="14"/>
      <c r="OYB2" s="14"/>
      <c r="OYC2" s="14"/>
      <c r="OYD2" s="14"/>
      <c r="OYE2" s="14"/>
      <c r="OYF2" s="14"/>
      <c r="OYG2" s="14"/>
      <c r="OYH2" s="14"/>
      <c r="OYI2" s="14"/>
      <c r="OYJ2" s="14"/>
      <c r="OYK2" s="14"/>
      <c r="OYL2" s="14"/>
      <c r="OYM2" s="14"/>
      <c r="OYN2" s="14"/>
      <c r="OYO2" s="14"/>
      <c r="OYP2" s="14"/>
      <c r="OYQ2" s="14"/>
      <c r="OYR2" s="14"/>
      <c r="OYS2" s="14"/>
      <c r="OYT2" s="14"/>
      <c r="OYU2" s="14"/>
      <c r="OYV2" s="14"/>
      <c r="OYW2" s="14"/>
      <c r="OYX2" s="14"/>
      <c r="OYY2" s="14"/>
      <c r="OYZ2" s="14"/>
      <c r="OZA2" s="14"/>
      <c r="OZB2" s="14"/>
      <c r="OZC2" s="14"/>
      <c r="OZD2" s="14"/>
      <c r="OZE2" s="14"/>
      <c r="OZF2" s="14"/>
      <c r="OZG2" s="14"/>
      <c r="OZH2" s="14"/>
      <c r="OZI2" s="14"/>
      <c r="OZJ2" s="14"/>
      <c r="OZK2" s="14"/>
      <c r="OZL2" s="14"/>
      <c r="OZM2" s="14"/>
      <c r="OZN2" s="14"/>
      <c r="OZO2" s="14"/>
      <c r="OZP2" s="14"/>
      <c r="OZQ2" s="14"/>
      <c r="OZR2" s="14"/>
      <c r="OZS2" s="14"/>
      <c r="OZT2" s="14"/>
      <c r="OZU2" s="14"/>
      <c r="OZV2" s="14"/>
      <c r="OZW2" s="14"/>
      <c r="OZX2" s="14"/>
      <c r="OZY2" s="14"/>
      <c r="OZZ2" s="14"/>
      <c r="PAA2" s="14"/>
      <c r="PAB2" s="14"/>
      <c r="PAC2" s="14"/>
      <c r="PAD2" s="14"/>
      <c r="PAE2" s="14"/>
      <c r="PAF2" s="14"/>
      <c r="PAG2" s="14"/>
      <c r="PAH2" s="14"/>
      <c r="PAI2" s="14"/>
      <c r="PAJ2" s="14"/>
      <c r="PAK2" s="14"/>
      <c r="PAL2" s="14"/>
      <c r="PAM2" s="14"/>
      <c r="PAN2" s="14"/>
      <c r="PAO2" s="14"/>
      <c r="PAP2" s="14"/>
      <c r="PAQ2" s="14"/>
      <c r="PAR2" s="14"/>
      <c r="PAS2" s="14"/>
      <c r="PAT2" s="14"/>
      <c r="PAU2" s="14"/>
      <c r="PAV2" s="14"/>
      <c r="PAW2" s="14"/>
      <c r="PAX2" s="14"/>
      <c r="PAY2" s="14"/>
      <c r="PAZ2" s="14"/>
      <c r="PBA2" s="14"/>
      <c r="PBB2" s="14"/>
      <c r="PBC2" s="14"/>
      <c r="PBD2" s="14"/>
      <c r="PBE2" s="14"/>
      <c r="PBF2" s="14"/>
      <c r="PBG2" s="14"/>
      <c r="PBH2" s="14"/>
      <c r="PBI2" s="14"/>
      <c r="PBJ2" s="14"/>
      <c r="PBK2" s="14"/>
      <c r="PBL2" s="14"/>
      <c r="PBM2" s="14"/>
      <c r="PBN2" s="14"/>
      <c r="PBO2" s="14"/>
      <c r="PBP2" s="14"/>
      <c r="PBQ2" s="14"/>
      <c r="PBR2" s="14"/>
      <c r="PBS2" s="14"/>
      <c r="PBT2" s="14"/>
      <c r="PBU2" s="14"/>
      <c r="PBV2" s="14"/>
      <c r="PBW2" s="14"/>
      <c r="PBX2" s="14"/>
      <c r="PBY2" s="14"/>
      <c r="PBZ2" s="14"/>
      <c r="PCA2" s="14"/>
      <c r="PCB2" s="14"/>
      <c r="PCC2" s="14"/>
      <c r="PCD2" s="14"/>
      <c r="PCE2" s="14"/>
      <c r="PCF2" s="14"/>
      <c r="PCG2" s="14"/>
      <c r="PCH2" s="14"/>
      <c r="PCI2" s="14"/>
      <c r="PCJ2" s="14"/>
      <c r="PCK2" s="14"/>
      <c r="PCL2" s="14"/>
      <c r="PCM2" s="14"/>
      <c r="PCN2" s="14"/>
      <c r="PCO2" s="14"/>
      <c r="PCP2" s="14"/>
      <c r="PCQ2" s="14"/>
      <c r="PCR2" s="14"/>
      <c r="PCS2" s="14"/>
      <c r="PCT2" s="14"/>
      <c r="PCU2" s="14"/>
      <c r="PCV2" s="14"/>
      <c r="PCW2" s="14"/>
      <c r="PCX2" s="14"/>
      <c r="PCY2" s="14"/>
      <c r="PCZ2" s="14"/>
      <c r="PDA2" s="14"/>
      <c r="PDB2" s="14"/>
      <c r="PDC2" s="14"/>
      <c r="PDD2" s="14"/>
      <c r="PDE2" s="14"/>
      <c r="PDF2" s="14"/>
      <c r="PDG2" s="14"/>
      <c r="PDH2" s="14"/>
      <c r="PDI2" s="14"/>
      <c r="PDJ2" s="14"/>
      <c r="PDK2" s="14"/>
      <c r="PDL2" s="14"/>
      <c r="PDM2" s="14"/>
      <c r="PDN2" s="14"/>
      <c r="PDO2" s="14"/>
      <c r="PDP2" s="14"/>
      <c r="PDQ2" s="14"/>
      <c r="PDR2" s="14"/>
      <c r="PDS2" s="14"/>
      <c r="PDT2" s="14"/>
      <c r="PDU2" s="14"/>
      <c r="PDV2" s="14"/>
      <c r="PDW2" s="14"/>
      <c r="PDX2" s="14"/>
      <c r="PDY2" s="14"/>
      <c r="PDZ2" s="14"/>
      <c r="PEA2" s="14"/>
      <c r="PEB2" s="14"/>
      <c r="PEC2" s="14"/>
      <c r="PED2" s="14"/>
      <c r="PEE2" s="14"/>
      <c r="PEF2" s="14"/>
      <c r="PEG2" s="14"/>
      <c r="PEH2" s="14"/>
      <c r="PEI2" s="14"/>
      <c r="PEJ2" s="14"/>
      <c r="PEK2" s="14"/>
      <c r="PEL2" s="14"/>
      <c r="PEM2" s="14"/>
      <c r="PEN2" s="14"/>
      <c r="PEO2" s="14"/>
      <c r="PEP2" s="14"/>
      <c r="PEQ2" s="14"/>
      <c r="PER2" s="14"/>
      <c r="PES2" s="14"/>
      <c r="PET2" s="14"/>
      <c r="PEU2" s="14"/>
      <c r="PEV2" s="14"/>
      <c r="PEW2" s="14"/>
      <c r="PEX2" s="14"/>
      <c r="PEY2" s="14"/>
      <c r="PEZ2" s="14"/>
      <c r="PFA2" s="14"/>
      <c r="PFB2" s="14"/>
      <c r="PFC2" s="14"/>
      <c r="PFD2" s="14"/>
      <c r="PFE2" s="14"/>
      <c r="PFF2" s="14"/>
      <c r="PFG2" s="14"/>
      <c r="PFH2" s="14"/>
      <c r="PFI2" s="14"/>
      <c r="PFJ2" s="14"/>
      <c r="PFK2" s="14"/>
      <c r="PFL2" s="14"/>
      <c r="PFM2" s="14"/>
      <c r="PFN2" s="14"/>
      <c r="PFO2" s="14"/>
      <c r="PFP2" s="14"/>
      <c r="PFQ2" s="14"/>
      <c r="PFR2" s="14"/>
      <c r="PFS2" s="14"/>
      <c r="PFT2" s="14"/>
      <c r="PFU2" s="14"/>
      <c r="PFV2" s="14"/>
      <c r="PFW2" s="14"/>
      <c r="PFX2" s="14"/>
      <c r="PFY2" s="14"/>
      <c r="PFZ2" s="14"/>
      <c r="PGA2" s="14"/>
      <c r="PGB2" s="14"/>
      <c r="PGC2" s="14"/>
      <c r="PGD2" s="14"/>
      <c r="PGE2" s="14"/>
      <c r="PGF2" s="14"/>
      <c r="PGG2" s="14"/>
      <c r="PGH2" s="14"/>
      <c r="PGI2" s="14"/>
      <c r="PGJ2" s="14"/>
      <c r="PGK2" s="14"/>
      <c r="PGL2" s="14"/>
      <c r="PGM2" s="14"/>
      <c r="PGN2" s="14"/>
      <c r="PGO2" s="14"/>
      <c r="PGP2" s="14"/>
      <c r="PGQ2" s="14"/>
      <c r="PGR2" s="14"/>
      <c r="PGS2" s="14"/>
      <c r="PGT2" s="14"/>
      <c r="PGU2" s="14"/>
      <c r="PGV2" s="14"/>
      <c r="PGW2" s="14"/>
      <c r="PGX2" s="14"/>
      <c r="PGY2" s="14"/>
      <c r="PGZ2" s="14"/>
      <c r="PHA2" s="14"/>
      <c r="PHB2" s="14"/>
      <c r="PHC2" s="14"/>
      <c r="PHD2" s="14"/>
      <c r="PHE2" s="14"/>
      <c r="PHF2" s="14"/>
      <c r="PHG2" s="14"/>
      <c r="PHH2" s="14"/>
      <c r="PHI2" s="14"/>
      <c r="PHJ2" s="14"/>
      <c r="PHK2" s="14"/>
      <c r="PHL2" s="14"/>
      <c r="PHM2" s="14"/>
      <c r="PHN2" s="14"/>
      <c r="PHO2" s="14"/>
      <c r="PHP2" s="14"/>
      <c r="PHQ2" s="14"/>
      <c r="PHR2" s="14"/>
      <c r="PHS2" s="14"/>
      <c r="PHT2" s="14"/>
      <c r="PHU2" s="14"/>
      <c r="PHV2" s="14"/>
      <c r="PHW2" s="14"/>
      <c r="PHX2" s="14"/>
      <c r="PHY2" s="14"/>
      <c r="PHZ2" s="14"/>
      <c r="PIA2" s="14"/>
      <c r="PIB2" s="14"/>
      <c r="PIC2" s="14"/>
      <c r="PID2" s="14"/>
      <c r="PIE2" s="14"/>
      <c r="PIF2" s="14"/>
      <c r="PIG2" s="14"/>
      <c r="PIH2" s="14"/>
      <c r="PII2" s="14"/>
      <c r="PIJ2" s="14"/>
      <c r="PIK2" s="14"/>
      <c r="PIL2" s="14"/>
      <c r="PIM2" s="14"/>
      <c r="PIN2" s="14"/>
      <c r="PIO2" s="14"/>
      <c r="PIP2" s="14"/>
      <c r="PIQ2" s="14"/>
      <c r="PIR2" s="14"/>
      <c r="PIS2" s="14"/>
      <c r="PIT2" s="14"/>
      <c r="PIU2" s="14"/>
      <c r="PIV2" s="14"/>
      <c r="PIW2" s="14"/>
      <c r="PIX2" s="14"/>
      <c r="PIY2" s="14"/>
      <c r="PIZ2" s="14"/>
      <c r="PJA2" s="14"/>
      <c r="PJB2" s="14"/>
      <c r="PJC2" s="14"/>
      <c r="PJD2" s="14"/>
      <c r="PJE2" s="14"/>
      <c r="PJF2" s="14"/>
      <c r="PJG2" s="14"/>
      <c r="PJH2" s="14"/>
      <c r="PJI2" s="14"/>
      <c r="PJJ2" s="14"/>
      <c r="PJK2" s="14"/>
      <c r="PJL2" s="14"/>
      <c r="PJM2" s="14"/>
      <c r="PJN2" s="14"/>
      <c r="PJO2" s="14"/>
      <c r="PJP2" s="14"/>
      <c r="PJQ2" s="14"/>
      <c r="PJR2" s="14"/>
      <c r="PJS2" s="14"/>
      <c r="PJT2" s="14"/>
      <c r="PJU2" s="14"/>
      <c r="PJV2" s="14"/>
      <c r="PJW2" s="14"/>
      <c r="PJX2" s="14"/>
      <c r="PJY2" s="14"/>
      <c r="PJZ2" s="14"/>
      <c r="PKA2" s="14"/>
      <c r="PKB2" s="14"/>
      <c r="PKC2" s="14"/>
      <c r="PKD2" s="14"/>
      <c r="PKE2" s="14"/>
      <c r="PKF2" s="14"/>
      <c r="PKG2" s="14"/>
      <c r="PKH2" s="14"/>
      <c r="PKI2" s="14"/>
      <c r="PKJ2" s="14"/>
      <c r="PKK2" s="14"/>
      <c r="PKL2" s="14"/>
      <c r="PKM2" s="14"/>
      <c r="PKN2" s="14"/>
      <c r="PKO2" s="14"/>
      <c r="PKP2" s="14"/>
      <c r="PKQ2" s="14"/>
      <c r="PKR2" s="14"/>
      <c r="PKS2" s="14"/>
      <c r="PKT2" s="14"/>
      <c r="PKU2" s="14"/>
      <c r="PKV2" s="14"/>
      <c r="PKW2" s="14"/>
      <c r="PKX2" s="14"/>
      <c r="PKY2" s="14"/>
      <c r="PKZ2" s="14"/>
      <c r="PLA2" s="14"/>
      <c r="PLB2" s="14"/>
      <c r="PLC2" s="14"/>
      <c r="PLD2" s="14"/>
      <c r="PLE2" s="14"/>
      <c r="PLF2" s="14"/>
      <c r="PLG2" s="14"/>
      <c r="PLH2" s="14"/>
      <c r="PLI2" s="14"/>
      <c r="PLJ2" s="14"/>
      <c r="PLK2" s="14"/>
      <c r="PLL2" s="14"/>
      <c r="PLM2" s="14"/>
      <c r="PLN2" s="14"/>
      <c r="PLO2" s="14"/>
      <c r="PLP2" s="14"/>
      <c r="PLQ2" s="14"/>
      <c r="PLR2" s="14"/>
      <c r="PLS2" s="14"/>
      <c r="PLT2" s="14"/>
      <c r="PLU2" s="14"/>
      <c r="PLV2" s="14"/>
      <c r="PLW2" s="14"/>
      <c r="PLX2" s="14"/>
      <c r="PLY2" s="14"/>
      <c r="PLZ2" s="14"/>
      <c r="PMA2" s="14"/>
      <c r="PMB2" s="14"/>
      <c r="PMC2" s="14"/>
      <c r="PMD2" s="14"/>
      <c r="PME2" s="14"/>
      <c r="PMF2" s="14"/>
      <c r="PMG2" s="14"/>
      <c r="PMH2" s="14"/>
      <c r="PMI2" s="14"/>
      <c r="PMJ2" s="14"/>
      <c r="PMK2" s="14"/>
      <c r="PML2" s="14"/>
      <c r="PMM2" s="14"/>
      <c r="PMN2" s="14"/>
      <c r="PMO2" s="14"/>
      <c r="PMP2" s="14"/>
      <c r="PMQ2" s="14"/>
      <c r="PMR2" s="14"/>
      <c r="PMS2" s="14"/>
      <c r="PMT2" s="14"/>
      <c r="PMU2" s="14"/>
      <c r="PMV2" s="14"/>
      <c r="PMW2" s="14"/>
      <c r="PMX2" s="14"/>
      <c r="PMY2" s="14"/>
      <c r="PMZ2" s="14"/>
      <c r="PNA2" s="14"/>
      <c r="PNB2" s="14"/>
      <c r="PNC2" s="14"/>
      <c r="PND2" s="14"/>
      <c r="PNE2" s="14"/>
      <c r="PNF2" s="14"/>
      <c r="PNG2" s="14"/>
      <c r="PNH2" s="14"/>
      <c r="PNI2" s="14"/>
      <c r="PNJ2" s="14"/>
      <c r="PNK2" s="14"/>
      <c r="PNL2" s="14"/>
      <c r="PNM2" s="14"/>
      <c r="PNN2" s="14"/>
      <c r="PNO2" s="14"/>
      <c r="PNP2" s="14"/>
      <c r="PNQ2" s="14"/>
      <c r="PNR2" s="14"/>
      <c r="PNS2" s="14"/>
      <c r="PNT2" s="14"/>
      <c r="PNU2" s="14"/>
      <c r="PNV2" s="14"/>
      <c r="PNW2" s="14"/>
      <c r="PNX2" s="14"/>
      <c r="PNY2" s="14"/>
      <c r="PNZ2" s="14"/>
      <c r="POA2" s="14"/>
      <c r="POB2" s="14"/>
      <c r="POC2" s="14"/>
      <c r="POD2" s="14"/>
      <c r="POE2" s="14"/>
      <c r="POF2" s="14"/>
      <c r="POG2" s="14"/>
      <c r="POH2" s="14"/>
      <c r="POI2" s="14"/>
      <c r="POJ2" s="14"/>
      <c r="POK2" s="14"/>
      <c r="POL2" s="14"/>
      <c r="POM2" s="14"/>
      <c r="PON2" s="14"/>
      <c r="POO2" s="14"/>
      <c r="POP2" s="14"/>
      <c r="POQ2" s="14"/>
      <c r="POR2" s="14"/>
      <c r="POS2" s="14"/>
      <c r="POT2" s="14"/>
      <c r="POU2" s="14"/>
      <c r="POV2" s="14"/>
      <c r="POW2" s="14"/>
      <c r="POX2" s="14"/>
      <c r="POY2" s="14"/>
      <c r="POZ2" s="14"/>
      <c r="PPA2" s="14"/>
      <c r="PPB2" s="14"/>
      <c r="PPC2" s="14"/>
      <c r="PPD2" s="14"/>
      <c r="PPE2" s="14"/>
      <c r="PPF2" s="14"/>
      <c r="PPG2" s="14"/>
      <c r="PPH2" s="14"/>
      <c r="PPI2" s="14"/>
      <c r="PPJ2" s="14"/>
      <c r="PPK2" s="14"/>
      <c r="PPL2" s="14"/>
      <c r="PPM2" s="14"/>
      <c r="PPN2" s="14"/>
      <c r="PPO2" s="14"/>
      <c r="PPP2" s="14"/>
      <c r="PPQ2" s="14"/>
      <c r="PPR2" s="14"/>
      <c r="PPS2" s="14"/>
      <c r="PPT2" s="14"/>
      <c r="PPU2" s="14"/>
      <c r="PPV2" s="14"/>
      <c r="PPW2" s="14"/>
      <c r="PPX2" s="14"/>
      <c r="PPY2" s="14"/>
      <c r="PPZ2" s="14"/>
      <c r="PQA2" s="14"/>
      <c r="PQB2" s="14"/>
      <c r="PQC2" s="14"/>
      <c r="PQD2" s="14"/>
      <c r="PQE2" s="14"/>
      <c r="PQF2" s="14"/>
      <c r="PQG2" s="14"/>
      <c r="PQH2" s="14"/>
      <c r="PQI2" s="14"/>
      <c r="PQJ2" s="14"/>
      <c r="PQK2" s="14"/>
      <c r="PQL2" s="14"/>
      <c r="PQM2" s="14"/>
      <c r="PQN2" s="14"/>
      <c r="PQO2" s="14"/>
      <c r="PQP2" s="14"/>
      <c r="PQQ2" s="14"/>
      <c r="PQR2" s="14"/>
      <c r="PQS2" s="14"/>
      <c r="PQT2" s="14"/>
      <c r="PQU2" s="14"/>
      <c r="PQV2" s="14"/>
      <c r="PQW2" s="14"/>
      <c r="PQX2" s="14"/>
      <c r="PQY2" s="14"/>
      <c r="PQZ2" s="14"/>
      <c r="PRA2" s="14"/>
      <c r="PRB2" s="14"/>
      <c r="PRC2" s="14"/>
      <c r="PRD2" s="14"/>
      <c r="PRE2" s="14"/>
      <c r="PRF2" s="14"/>
      <c r="PRG2" s="14"/>
      <c r="PRH2" s="14"/>
      <c r="PRI2" s="14"/>
      <c r="PRJ2" s="14"/>
      <c r="PRK2" s="14"/>
      <c r="PRL2" s="14"/>
      <c r="PRM2" s="14"/>
      <c r="PRN2" s="14"/>
      <c r="PRO2" s="14"/>
      <c r="PRP2" s="14"/>
      <c r="PRQ2" s="14"/>
      <c r="PRR2" s="14"/>
      <c r="PRS2" s="14"/>
      <c r="PRT2" s="14"/>
      <c r="PRU2" s="14"/>
      <c r="PRV2" s="14"/>
      <c r="PRW2" s="14"/>
      <c r="PRX2" s="14"/>
      <c r="PRY2" s="14"/>
      <c r="PRZ2" s="14"/>
      <c r="PSA2" s="14"/>
      <c r="PSB2" s="14"/>
      <c r="PSC2" s="14"/>
      <c r="PSD2" s="14"/>
      <c r="PSE2" s="14"/>
      <c r="PSF2" s="14"/>
      <c r="PSG2" s="14"/>
      <c r="PSH2" s="14"/>
      <c r="PSI2" s="14"/>
      <c r="PSJ2" s="14"/>
      <c r="PSK2" s="14"/>
      <c r="PSL2" s="14"/>
      <c r="PSM2" s="14"/>
      <c r="PSN2" s="14"/>
      <c r="PSO2" s="14"/>
      <c r="PSP2" s="14"/>
      <c r="PSQ2" s="14"/>
      <c r="PSR2" s="14"/>
      <c r="PSS2" s="14"/>
      <c r="PST2" s="14"/>
      <c r="PSU2" s="14"/>
      <c r="PSV2" s="14"/>
      <c r="PSW2" s="14"/>
      <c r="PSX2" s="14"/>
      <c r="PSY2" s="14"/>
      <c r="PSZ2" s="14"/>
      <c r="PTA2" s="14"/>
      <c r="PTB2" s="14"/>
      <c r="PTC2" s="14"/>
      <c r="PTD2" s="14"/>
      <c r="PTE2" s="14"/>
      <c r="PTF2" s="14"/>
      <c r="PTG2" s="14"/>
      <c r="PTH2" s="14"/>
      <c r="PTI2" s="14"/>
      <c r="PTJ2" s="14"/>
      <c r="PTK2" s="14"/>
      <c r="PTL2" s="14"/>
      <c r="PTM2" s="14"/>
      <c r="PTN2" s="14"/>
      <c r="PTO2" s="14"/>
      <c r="PTP2" s="14"/>
      <c r="PTQ2" s="14"/>
      <c r="PTR2" s="14"/>
      <c r="PTS2" s="14"/>
      <c r="PTT2" s="14"/>
      <c r="PTU2" s="14"/>
      <c r="PTV2" s="14"/>
      <c r="PTW2" s="14"/>
      <c r="PTX2" s="14"/>
      <c r="PTY2" s="14"/>
      <c r="PTZ2" s="14"/>
      <c r="PUA2" s="14"/>
      <c r="PUB2" s="14"/>
      <c r="PUC2" s="14"/>
      <c r="PUD2" s="14"/>
      <c r="PUE2" s="14"/>
      <c r="PUF2" s="14"/>
      <c r="PUG2" s="14"/>
      <c r="PUH2" s="14"/>
      <c r="PUI2" s="14"/>
      <c r="PUJ2" s="14"/>
      <c r="PUK2" s="14"/>
      <c r="PUL2" s="14"/>
      <c r="PUM2" s="14"/>
      <c r="PUN2" s="14"/>
      <c r="PUO2" s="14"/>
      <c r="PUP2" s="14"/>
      <c r="PUQ2" s="14"/>
      <c r="PUR2" s="14"/>
      <c r="PUS2" s="14"/>
      <c r="PUT2" s="14"/>
      <c r="PUU2" s="14"/>
      <c r="PUV2" s="14"/>
      <c r="PUW2" s="14"/>
      <c r="PUX2" s="14"/>
      <c r="PUY2" s="14"/>
      <c r="PUZ2" s="14"/>
      <c r="PVA2" s="14"/>
      <c r="PVB2" s="14"/>
      <c r="PVC2" s="14"/>
      <c r="PVD2" s="14"/>
      <c r="PVE2" s="14"/>
      <c r="PVF2" s="14"/>
      <c r="PVG2" s="14"/>
      <c r="PVH2" s="14"/>
      <c r="PVI2" s="14"/>
      <c r="PVJ2" s="14"/>
      <c r="PVK2" s="14"/>
      <c r="PVL2" s="14"/>
      <c r="PVM2" s="14"/>
      <c r="PVN2" s="14"/>
      <c r="PVO2" s="14"/>
      <c r="PVP2" s="14"/>
      <c r="PVQ2" s="14"/>
      <c r="PVR2" s="14"/>
      <c r="PVS2" s="14"/>
      <c r="PVT2" s="14"/>
      <c r="PVU2" s="14"/>
      <c r="PVV2" s="14"/>
      <c r="PVW2" s="14"/>
      <c r="PVX2" s="14"/>
      <c r="PVY2" s="14"/>
      <c r="PVZ2" s="14"/>
      <c r="PWA2" s="14"/>
      <c r="PWB2" s="14"/>
      <c r="PWC2" s="14"/>
      <c r="PWD2" s="14"/>
      <c r="PWE2" s="14"/>
      <c r="PWF2" s="14"/>
      <c r="PWG2" s="14"/>
      <c r="PWH2" s="14"/>
      <c r="PWI2" s="14"/>
      <c r="PWJ2" s="14"/>
      <c r="PWK2" s="14"/>
      <c r="PWL2" s="14"/>
      <c r="PWM2" s="14"/>
      <c r="PWN2" s="14"/>
      <c r="PWO2" s="14"/>
      <c r="PWP2" s="14"/>
      <c r="PWQ2" s="14"/>
      <c r="PWR2" s="14"/>
      <c r="PWS2" s="14"/>
      <c r="PWT2" s="14"/>
      <c r="PWU2" s="14"/>
      <c r="PWV2" s="14"/>
      <c r="PWW2" s="14"/>
      <c r="PWX2" s="14"/>
      <c r="PWY2" s="14"/>
      <c r="PWZ2" s="14"/>
      <c r="PXA2" s="14"/>
      <c r="PXB2" s="14"/>
      <c r="PXC2" s="14"/>
      <c r="PXD2" s="14"/>
      <c r="PXE2" s="14"/>
      <c r="PXF2" s="14"/>
      <c r="PXG2" s="14"/>
      <c r="PXH2" s="14"/>
      <c r="PXI2" s="14"/>
      <c r="PXJ2" s="14"/>
      <c r="PXK2" s="14"/>
      <c r="PXL2" s="14"/>
      <c r="PXM2" s="14"/>
      <c r="PXN2" s="14"/>
      <c r="PXO2" s="14"/>
      <c r="PXP2" s="14"/>
      <c r="PXQ2" s="14"/>
      <c r="PXR2" s="14"/>
      <c r="PXS2" s="14"/>
      <c r="PXT2" s="14"/>
      <c r="PXU2" s="14"/>
      <c r="PXV2" s="14"/>
      <c r="PXW2" s="14"/>
      <c r="PXX2" s="14"/>
      <c r="PXY2" s="14"/>
      <c r="PXZ2" s="14"/>
      <c r="PYA2" s="14"/>
      <c r="PYB2" s="14"/>
      <c r="PYC2" s="14"/>
      <c r="PYD2" s="14"/>
      <c r="PYE2" s="14"/>
      <c r="PYF2" s="14"/>
      <c r="PYG2" s="14"/>
      <c r="PYH2" s="14"/>
      <c r="PYI2" s="14"/>
      <c r="PYJ2" s="14"/>
      <c r="PYK2" s="14"/>
      <c r="PYL2" s="14"/>
      <c r="PYM2" s="14"/>
      <c r="PYN2" s="14"/>
      <c r="PYO2" s="14"/>
      <c r="PYP2" s="14"/>
      <c r="PYQ2" s="14"/>
      <c r="PYR2" s="14"/>
      <c r="PYS2" s="14"/>
      <c r="PYT2" s="14"/>
      <c r="PYU2" s="14"/>
      <c r="PYV2" s="14"/>
      <c r="PYW2" s="14"/>
      <c r="PYX2" s="14"/>
      <c r="PYY2" s="14"/>
      <c r="PYZ2" s="14"/>
      <c r="PZA2" s="14"/>
      <c r="PZB2" s="14"/>
      <c r="PZC2" s="14"/>
      <c r="PZD2" s="14"/>
      <c r="PZE2" s="14"/>
      <c r="PZF2" s="14"/>
      <c r="PZG2" s="14"/>
      <c r="PZH2" s="14"/>
      <c r="PZI2" s="14"/>
      <c r="PZJ2" s="14"/>
      <c r="PZK2" s="14"/>
      <c r="PZL2" s="14"/>
      <c r="PZM2" s="14"/>
      <c r="PZN2" s="14"/>
      <c r="PZO2" s="14"/>
      <c r="PZP2" s="14"/>
      <c r="PZQ2" s="14"/>
      <c r="PZR2" s="14"/>
      <c r="PZS2" s="14"/>
      <c r="PZT2" s="14"/>
      <c r="PZU2" s="14"/>
      <c r="PZV2" s="14"/>
      <c r="PZW2" s="14"/>
      <c r="PZX2" s="14"/>
      <c r="PZY2" s="14"/>
      <c r="PZZ2" s="14"/>
      <c r="QAA2" s="14"/>
      <c r="QAB2" s="14"/>
      <c r="QAC2" s="14"/>
      <c r="QAD2" s="14"/>
      <c r="QAE2" s="14"/>
      <c r="QAF2" s="14"/>
      <c r="QAG2" s="14"/>
      <c r="QAH2" s="14"/>
      <c r="QAI2" s="14"/>
      <c r="QAJ2" s="14"/>
      <c r="QAK2" s="14"/>
      <c r="QAL2" s="14"/>
      <c r="QAM2" s="14"/>
      <c r="QAN2" s="14"/>
      <c r="QAO2" s="14"/>
      <c r="QAP2" s="14"/>
      <c r="QAQ2" s="14"/>
      <c r="QAR2" s="14"/>
      <c r="QAS2" s="14"/>
      <c r="QAT2" s="14"/>
      <c r="QAU2" s="14"/>
      <c r="QAV2" s="14"/>
      <c r="QAW2" s="14"/>
      <c r="QAX2" s="14"/>
      <c r="QAY2" s="14"/>
      <c r="QAZ2" s="14"/>
      <c r="QBA2" s="14"/>
      <c r="QBB2" s="14"/>
      <c r="QBC2" s="14"/>
      <c r="QBD2" s="14"/>
      <c r="QBE2" s="14"/>
      <c r="QBF2" s="14"/>
      <c r="QBG2" s="14"/>
      <c r="QBH2" s="14"/>
      <c r="QBI2" s="14"/>
      <c r="QBJ2" s="14"/>
      <c r="QBK2" s="14"/>
      <c r="QBL2" s="14"/>
      <c r="QBM2" s="14"/>
      <c r="QBN2" s="14"/>
      <c r="QBO2" s="14"/>
      <c r="QBP2" s="14"/>
      <c r="QBQ2" s="14"/>
      <c r="QBR2" s="14"/>
      <c r="QBS2" s="14"/>
      <c r="QBT2" s="14"/>
      <c r="QBU2" s="14"/>
      <c r="QBV2" s="14"/>
      <c r="QBW2" s="14"/>
      <c r="QBX2" s="14"/>
      <c r="QBY2" s="14"/>
      <c r="QBZ2" s="14"/>
      <c r="QCA2" s="14"/>
      <c r="QCB2" s="14"/>
      <c r="QCC2" s="14"/>
      <c r="QCD2" s="14"/>
      <c r="QCE2" s="14"/>
      <c r="QCF2" s="14"/>
      <c r="QCG2" s="14"/>
      <c r="QCH2" s="14"/>
      <c r="QCI2" s="14"/>
      <c r="QCJ2" s="14"/>
      <c r="QCK2" s="14"/>
      <c r="QCL2" s="14"/>
      <c r="QCM2" s="14"/>
      <c r="QCN2" s="14"/>
      <c r="QCO2" s="14"/>
      <c r="QCP2" s="14"/>
      <c r="QCQ2" s="14"/>
      <c r="QCR2" s="14"/>
      <c r="QCS2" s="14"/>
      <c r="QCT2" s="14"/>
      <c r="QCU2" s="14"/>
      <c r="QCV2" s="14"/>
      <c r="QCW2" s="14"/>
      <c r="QCX2" s="14"/>
      <c r="QCY2" s="14"/>
      <c r="QCZ2" s="14"/>
      <c r="QDA2" s="14"/>
      <c r="QDB2" s="14"/>
      <c r="QDC2" s="14"/>
      <c r="QDD2" s="14"/>
      <c r="QDE2" s="14"/>
      <c r="QDF2" s="14"/>
      <c r="QDG2" s="14"/>
      <c r="QDH2" s="14"/>
      <c r="QDI2" s="14"/>
      <c r="QDJ2" s="14"/>
      <c r="QDK2" s="14"/>
      <c r="QDL2" s="14"/>
      <c r="QDM2" s="14"/>
      <c r="QDN2" s="14"/>
      <c r="QDO2" s="14"/>
      <c r="QDP2" s="14"/>
      <c r="QDQ2" s="14"/>
      <c r="QDR2" s="14"/>
      <c r="QDS2" s="14"/>
      <c r="QDT2" s="14"/>
      <c r="QDU2" s="14"/>
      <c r="QDV2" s="14"/>
      <c r="QDW2" s="14"/>
      <c r="QDX2" s="14"/>
      <c r="QDY2" s="14"/>
      <c r="QDZ2" s="14"/>
      <c r="QEA2" s="14"/>
      <c r="QEB2" s="14"/>
      <c r="QEC2" s="14"/>
      <c r="QED2" s="14"/>
      <c r="QEE2" s="14"/>
      <c r="QEF2" s="14"/>
      <c r="QEG2" s="14"/>
      <c r="QEH2" s="14"/>
      <c r="QEI2" s="14"/>
      <c r="QEJ2" s="14"/>
      <c r="QEK2" s="14"/>
      <c r="QEL2" s="14"/>
      <c r="QEM2" s="14"/>
      <c r="QEN2" s="14"/>
      <c r="QEO2" s="14"/>
      <c r="QEP2" s="14"/>
      <c r="QEQ2" s="14"/>
      <c r="QER2" s="14"/>
      <c r="QES2" s="14"/>
      <c r="QET2" s="14"/>
      <c r="QEU2" s="14"/>
      <c r="QEV2" s="14"/>
      <c r="QEW2" s="14"/>
      <c r="QEX2" s="14"/>
      <c r="QEY2" s="14"/>
      <c r="QEZ2" s="14"/>
      <c r="QFA2" s="14"/>
      <c r="QFB2" s="14"/>
      <c r="QFC2" s="14"/>
      <c r="QFD2" s="14"/>
      <c r="QFE2" s="14"/>
      <c r="QFF2" s="14"/>
      <c r="QFG2" s="14"/>
      <c r="QFH2" s="14"/>
      <c r="QFI2" s="14"/>
      <c r="QFJ2" s="14"/>
      <c r="QFK2" s="14"/>
      <c r="QFL2" s="14"/>
      <c r="QFM2" s="14"/>
      <c r="QFN2" s="14"/>
      <c r="QFO2" s="14"/>
      <c r="QFP2" s="14"/>
      <c r="QFQ2" s="14"/>
      <c r="QFR2" s="14"/>
      <c r="QFS2" s="14"/>
      <c r="QFT2" s="14"/>
      <c r="QFU2" s="14"/>
      <c r="QFV2" s="14"/>
      <c r="QFW2" s="14"/>
      <c r="QFX2" s="14"/>
      <c r="QFY2" s="14"/>
      <c r="QFZ2" s="14"/>
      <c r="QGA2" s="14"/>
      <c r="QGB2" s="14"/>
      <c r="QGC2" s="14"/>
      <c r="QGD2" s="14"/>
      <c r="QGE2" s="14"/>
      <c r="QGF2" s="14"/>
      <c r="QGG2" s="14"/>
      <c r="QGH2" s="14"/>
      <c r="QGI2" s="14"/>
      <c r="QGJ2" s="14"/>
      <c r="QGK2" s="14"/>
      <c r="QGL2" s="14"/>
      <c r="QGM2" s="14"/>
      <c r="QGN2" s="14"/>
      <c r="QGO2" s="14"/>
      <c r="QGP2" s="14"/>
      <c r="QGQ2" s="14"/>
      <c r="QGR2" s="14"/>
      <c r="QGS2" s="14"/>
      <c r="QGT2" s="14"/>
      <c r="QGU2" s="14"/>
      <c r="QGV2" s="14"/>
      <c r="QGW2" s="14"/>
      <c r="QGX2" s="14"/>
      <c r="QGY2" s="14"/>
      <c r="QGZ2" s="14"/>
      <c r="QHA2" s="14"/>
      <c r="QHB2" s="14"/>
      <c r="QHC2" s="14"/>
      <c r="QHD2" s="14"/>
      <c r="QHE2" s="14"/>
      <c r="QHF2" s="14"/>
      <c r="QHG2" s="14"/>
      <c r="QHH2" s="14"/>
      <c r="QHI2" s="14"/>
      <c r="QHJ2" s="14"/>
      <c r="QHK2" s="14"/>
      <c r="QHL2" s="14"/>
      <c r="QHM2" s="14"/>
      <c r="QHN2" s="14"/>
      <c r="QHO2" s="14"/>
      <c r="QHP2" s="14"/>
      <c r="QHQ2" s="14"/>
      <c r="QHR2" s="14"/>
      <c r="QHS2" s="14"/>
      <c r="QHT2" s="14"/>
      <c r="QHU2" s="14"/>
      <c r="QHV2" s="14"/>
      <c r="QHW2" s="14"/>
      <c r="QHX2" s="14"/>
      <c r="QHY2" s="14"/>
      <c r="QHZ2" s="14"/>
      <c r="QIA2" s="14"/>
      <c r="QIB2" s="14"/>
      <c r="QIC2" s="14"/>
      <c r="QID2" s="14"/>
      <c r="QIE2" s="14"/>
      <c r="QIF2" s="14"/>
      <c r="QIG2" s="14"/>
      <c r="QIH2" s="14"/>
      <c r="QII2" s="14"/>
      <c r="QIJ2" s="14"/>
      <c r="QIK2" s="14"/>
      <c r="QIL2" s="14"/>
      <c r="QIM2" s="14"/>
      <c r="QIN2" s="14"/>
      <c r="QIO2" s="14"/>
      <c r="QIP2" s="14"/>
      <c r="QIQ2" s="14"/>
      <c r="QIR2" s="14"/>
      <c r="QIS2" s="14"/>
      <c r="QIT2" s="14"/>
      <c r="QIU2" s="14"/>
      <c r="QIV2" s="14"/>
      <c r="QIW2" s="14"/>
      <c r="QIX2" s="14"/>
      <c r="QIY2" s="14"/>
      <c r="QIZ2" s="14"/>
      <c r="QJA2" s="14"/>
      <c r="QJB2" s="14"/>
      <c r="QJC2" s="14"/>
      <c r="QJD2" s="14"/>
      <c r="QJE2" s="14"/>
      <c r="QJF2" s="14"/>
      <c r="QJG2" s="14"/>
      <c r="QJH2" s="14"/>
      <c r="QJI2" s="14"/>
      <c r="QJJ2" s="14"/>
      <c r="QJK2" s="14"/>
      <c r="QJL2" s="14"/>
      <c r="QJM2" s="14"/>
      <c r="QJN2" s="14"/>
      <c r="QJO2" s="14"/>
      <c r="QJP2" s="14"/>
      <c r="QJQ2" s="14"/>
      <c r="QJR2" s="14"/>
      <c r="QJS2" s="14"/>
      <c r="QJT2" s="14"/>
      <c r="QJU2" s="14"/>
      <c r="QJV2" s="14"/>
      <c r="QJW2" s="14"/>
      <c r="QJX2" s="14"/>
      <c r="QJY2" s="14"/>
      <c r="QJZ2" s="14"/>
      <c r="QKA2" s="14"/>
      <c r="QKB2" s="14"/>
      <c r="QKC2" s="14"/>
      <c r="QKD2" s="14"/>
      <c r="QKE2" s="14"/>
      <c r="QKF2" s="14"/>
      <c r="QKG2" s="14"/>
      <c r="QKH2" s="14"/>
      <c r="QKI2" s="14"/>
      <c r="QKJ2" s="14"/>
      <c r="QKK2" s="14"/>
      <c r="QKL2" s="14"/>
      <c r="QKM2" s="14"/>
      <c r="QKN2" s="14"/>
      <c r="QKO2" s="14"/>
      <c r="QKP2" s="14"/>
      <c r="QKQ2" s="14"/>
      <c r="QKR2" s="14"/>
      <c r="QKS2" s="14"/>
      <c r="QKT2" s="14"/>
      <c r="QKU2" s="14"/>
      <c r="QKV2" s="14"/>
      <c r="QKW2" s="14"/>
      <c r="QKX2" s="14"/>
      <c r="QKY2" s="14"/>
      <c r="QKZ2" s="14"/>
      <c r="QLA2" s="14"/>
      <c r="QLB2" s="14"/>
      <c r="QLC2" s="14"/>
      <c r="QLD2" s="14"/>
      <c r="QLE2" s="14"/>
      <c r="QLF2" s="14"/>
      <c r="QLG2" s="14"/>
      <c r="QLH2" s="14"/>
      <c r="QLI2" s="14"/>
      <c r="QLJ2" s="14"/>
      <c r="QLK2" s="14"/>
      <c r="QLL2" s="14"/>
      <c r="QLM2" s="14"/>
      <c r="QLN2" s="14"/>
      <c r="QLO2" s="14"/>
      <c r="QLP2" s="14"/>
      <c r="QLQ2" s="14"/>
      <c r="QLR2" s="14"/>
      <c r="QLS2" s="14"/>
      <c r="QLT2" s="14"/>
      <c r="QLU2" s="14"/>
      <c r="QLV2" s="14"/>
      <c r="QLW2" s="14"/>
      <c r="QLX2" s="14"/>
      <c r="QLY2" s="14"/>
      <c r="QLZ2" s="14"/>
      <c r="QMA2" s="14"/>
      <c r="QMB2" s="14"/>
      <c r="QMC2" s="14"/>
      <c r="QMD2" s="14"/>
      <c r="QME2" s="14"/>
      <c r="QMF2" s="14"/>
      <c r="QMG2" s="14"/>
      <c r="QMH2" s="14"/>
      <c r="QMI2" s="14"/>
      <c r="QMJ2" s="14"/>
      <c r="QMK2" s="14"/>
      <c r="QML2" s="14"/>
      <c r="QMM2" s="14"/>
      <c r="QMN2" s="14"/>
      <c r="QMO2" s="14"/>
      <c r="QMP2" s="14"/>
      <c r="QMQ2" s="14"/>
      <c r="QMR2" s="14"/>
      <c r="QMS2" s="14"/>
      <c r="QMT2" s="14"/>
      <c r="QMU2" s="14"/>
      <c r="QMV2" s="14"/>
      <c r="QMW2" s="14"/>
      <c r="QMX2" s="14"/>
      <c r="QMY2" s="14"/>
      <c r="QMZ2" s="14"/>
      <c r="QNA2" s="14"/>
      <c r="QNB2" s="14"/>
      <c r="QNC2" s="14"/>
      <c r="QND2" s="14"/>
      <c r="QNE2" s="14"/>
      <c r="QNF2" s="14"/>
      <c r="QNG2" s="14"/>
      <c r="QNH2" s="14"/>
      <c r="QNI2" s="14"/>
      <c r="QNJ2" s="14"/>
      <c r="QNK2" s="14"/>
      <c r="QNL2" s="14"/>
      <c r="QNM2" s="14"/>
      <c r="QNN2" s="14"/>
      <c r="QNO2" s="14"/>
      <c r="QNP2" s="14"/>
      <c r="QNQ2" s="14"/>
      <c r="QNR2" s="14"/>
      <c r="QNS2" s="14"/>
      <c r="QNT2" s="14"/>
      <c r="QNU2" s="14"/>
      <c r="QNV2" s="14"/>
      <c r="QNW2" s="14"/>
      <c r="QNX2" s="14"/>
      <c r="QNY2" s="14"/>
      <c r="QNZ2" s="14"/>
      <c r="QOA2" s="14"/>
      <c r="QOB2" s="14"/>
      <c r="QOC2" s="14"/>
      <c r="QOD2" s="14"/>
      <c r="QOE2" s="14"/>
      <c r="QOF2" s="14"/>
      <c r="QOG2" s="14"/>
      <c r="QOH2" s="14"/>
      <c r="QOI2" s="14"/>
      <c r="QOJ2" s="14"/>
      <c r="QOK2" s="14"/>
      <c r="QOL2" s="14"/>
      <c r="QOM2" s="14"/>
      <c r="QON2" s="14"/>
      <c r="QOO2" s="14"/>
      <c r="QOP2" s="14"/>
      <c r="QOQ2" s="14"/>
      <c r="QOR2" s="14"/>
      <c r="QOS2" s="14"/>
      <c r="QOT2" s="14"/>
      <c r="QOU2" s="14"/>
      <c r="QOV2" s="14"/>
      <c r="QOW2" s="14"/>
      <c r="QOX2" s="14"/>
      <c r="QOY2" s="14"/>
      <c r="QOZ2" s="14"/>
      <c r="QPA2" s="14"/>
      <c r="QPB2" s="14"/>
      <c r="QPC2" s="14"/>
      <c r="QPD2" s="14"/>
      <c r="QPE2" s="14"/>
      <c r="QPF2" s="14"/>
      <c r="QPG2" s="14"/>
      <c r="QPH2" s="14"/>
      <c r="QPI2" s="14"/>
      <c r="QPJ2" s="14"/>
      <c r="QPK2" s="14"/>
      <c r="QPL2" s="14"/>
      <c r="QPM2" s="14"/>
      <c r="QPN2" s="14"/>
      <c r="QPO2" s="14"/>
      <c r="QPP2" s="14"/>
      <c r="QPQ2" s="14"/>
      <c r="QPR2" s="14"/>
      <c r="QPS2" s="14"/>
      <c r="QPT2" s="14"/>
      <c r="QPU2" s="14"/>
      <c r="QPV2" s="14"/>
      <c r="QPW2" s="14"/>
      <c r="QPX2" s="14"/>
      <c r="QPY2" s="14"/>
      <c r="QPZ2" s="14"/>
      <c r="QQA2" s="14"/>
      <c r="QQB2" s="14"/>
      <c r="QQC2" s="14"/>
      <c r="QQD2" s="14"/>
      <c r="QQE2" s="14"/>
      <c r="QQF2" s="14"/>
      <c r="QQG2" s="14"/>
      <c r="QQH2" s="14"/>
      <c r="QQI2" s="14"/>
      <c r="QQJ2" s="14"/>
      <c r="QQK2" s="14"/>
      <c r="QQL2" s="14"/>
      <c r="QQM2" s="14"/>
      <c r="QQN2" s="14"/>
      <c r="QQO2" s="14"/>
      <c r="QQP2" s="14"/>
      <c r="QQQ2" s="14"/>
      <c r="QQR2" s="14"/>
      <c r="QQS2" s="14"/>
      <c r="QQT2" s="14"/>
      <c r="QQU2" s="14"/>
      <c r="QQV2" s="14"/>
      <c r="QQW2" s="14"/>
      <c r="QQX2" s="14"/>
      <c r="QQY2" s="14"/>
      <c r="QQZ2" s="14"/>
      <c r="QRA2" s="14"/>
      <c r="QRB2" s="14"/>
      <c r="QRC2" s="14"/>
      <c r="QRD2" s="14"/>
      <c r="QRE2" s="14"/>
      <c r="QRF2" s="14"/>
      <c r="QRG2" s="14"/>
      <c r="QRH2" s="14"/>
      <c r="QRI2" s="14"/>
      <c r="QRJ2" s="14"/>
      <c r="QRK2" s="14"/>
      <c r="QRL2" s="14"/>
      <c r="QRM2" s="14"/>
      <c r="QRN2" s="14"/>
      <c r="QRO2" s="14"/>
      <c r="QRP2" s="14"/>
      <c r="QRQ2" s="14"/>
      <c r="QRR2" s="14"/>
      <c r="QRS2" s="14"/>
      <c r="QRT2" s="14"/>
      <c r="QRU2" s="14"/>
      <c r="QRV2" s="14"/>
      <c r="QRW2" s="14"/>
      <c r="QRX2" s="14"/>
      <c r="QRY2" s="14"/>
      <c r="QRZ2" s="14"/>
      <c r="QSA2" s="14"/>
      <c r="QSB2" s="14"/>
      <c r="QSC2" s="14"/>
      <c r="QSD2" s="14"/>
      <c r="QSE2" s="14"/>
      <c r="QSF2" s="14"/>
      <c r="QSG2" s="14"/>
      <c r="QSH2" s="14"/>
      <c r="QSI2" s="14"/>
      <c r="QSJ2" s="14"/>
      <c r="QSK2" s="14"/>
      <c r="QSL2" s="14"/>
      <c r="QSM2" s="14"/>
      <c r="QSN2" s="14"/>
      <c r="QSO2" s="14"/>
      <c r="QSP2" s="14"/>
      <c r="QSQ2" s="14"/>
      <c r="QSR2" s="14"/>
      <c r="QSS2" s="14"/>
      <c r="QST2" s="14"/>
      <c r="QSU2" s="14"/>
      <c r="QSV2" s="14"/>
      <c r="QSW2" s="14"/>
      <c r="QSX2" s="14"/>
      <c r="QSY2" s="14"/>
      <c r="QSZ2" s="14"/>
      <c r="QTA2" s="14"/>
      <c r="QTB2" s="14"/>
      <c r="QTC2" s="14"/>
      <c r="QTD2" s="14"/>
      <c r="QTE2" s="14"/>
      <c r="QTF2" s="14"/>
      <c r="QTG2" s="14"/>
      <c r="QTH2" s="14"/>
      <c r="QTI2" s="14"/>
      <c r="QTJ2" s="14"/>
      <c r="QTK2" s="14"/>
      <c r="QTL2" s="14"/>
      <c r="QTM2" s="14"/>
      <c r="QTN2" s="14"/>
      <c r="QTO2" s="14"/>
      <c r="QTP2" s="14"/>
      <c r="QTQ2" s="14"/>
      <c r="QTR2" s="14"/>
      <c r="QTS2" s="14"/>
      <c r="QTT2" s="14"/>
      <c r="QTU2" s="14"/>
      <c r="QTV2" s="14"/>
      <c r="QTW2" s="14"/>
      <c r="QTX2" s="14"/>
      <c r="QTY2" s="14"/>
      <c r="QTZ2" s="14"/>
      <c r="QUA2" s="14"/>
      <c r="QUB2" s="14"/>
      <c r="QUC2" s="14"/>
      <c r="QUD2" s="14"/>
      <c r="QUE2" s="14"/>
      <c r="QUF2" s="14"/>
      <c r="QUG2" s="14"/>
      <c r="QUH2" s="14"/>
      <c r="QUI2" s="14"/>
      <c r="QUJ2" s="14"/>
      <c r="QUK2" s="14"/>
      <c r="QUL2" s="14"/>
      <c r="QUM2" s="14"/>
      <c r="QUN2" s="14"/>
      <c r="QUO2" s="14"/>
      <c r="QUP2" s="14"/>
      <c r="QUQ2" s="14"/>
      <c r="QUR2" s="14"/>
      <c r="QUS2" s="14"/>
      <c r="QUT2" s="14"/>
      <c r="QUU2" s="14"/>
      <c r="QUV2" s="14"/>
      <c r="QUW2" s="14"/>
      <c r="QUX2" s="14"/>
      <c r="QUY2" s="14"/>
      <c r="QUZ2" s="14"/>
      <c r="QVA2" s="14"/>
      <c r="QVB2" s="14"/>
      <c r="QVC2" s="14"/>
      <c r="QVD2" s="14"/>
      <c r="QVE2" s="14"/>
      <c r="QVF2" s="14"/>
      <c r="QVG2" s="14"/>
      <c r="QVH2" s="14"/>
      <c r="QVI2" s="14"/>
      <c r="QVJ2" s="14"/>
      <c r="QVK2" s="14"/>
      <c r="QVL2" s="14"/>
      <c r="QVM2" s="14"/>
      <c r="QVN2" s="14"/>
      <c r="QVO2" s="14"/>
      <c r="QVP2" s="14"/>
      <c r="QVQ2" s="14"/>
      <c r="QVR2" s="14"/>
      <c r="QVS2" s="14"/>
      <c r="QVT2" s="14"/>
      <c r="QVU2" s="14"/>
      <c r="QVV2" s="14"/>
      <c r="QVW2" s="14"/>
      <c r="QVX2" s="14"/>
      <c r="QVY2" s="14"/>
      <c r="QVZ2" s="14"/>
      <c r="QWA2" s="14"/>
      <c r="QWB2" s="14"/>
      <c r="QWC2" s="14"/>
      <c r="QWD2" s="14"/>
      <c r="QWE2" s="14"/>
      <c r="QWF2" s="14"/>
      <c r="QWG2" s="14"/>
      <c r="QWH2" s="14"/>
      <c r="QWI2" s="14"/>
      <c r="QWJ2" s="14"/>
      <c r="QWK2" s="14"/>
      <c r="QWL2" s="14"/>
      <c r="QWM2" s="14"/>
      <c r="QWN2" s="14"/>
      <c r="QWO2" s="14"/>
      <c r="QWP2" s="14"/>
      <c r="QWQ2" s="14"/>
      <c r="QWR2" s="14"/>
      <c r="QWS2" s="14"/>
      <c r="QWT2" s="14"/>
      <c r="QWU2" s="14"/>
      <c r="QWV2" s="14"/>
      <c r="QWW2" s="14"/>
      <c r="QWX2" s="14"/>
      <c r="QWY2" s="14"/>
      <c r="QWZ2" s="14"/>
      <c r="QXA2" s="14"/>
      <c r="QXB2" s="14"/>
      <c r="QXC2" s="14"/>
      <c r="QXD2" s="14"/>
      <c r="QXE2" s="14"/>
      <c r="QXF2" s="14"/>
      <c r="QXG2" s="14"/>
      <c r="QXH2" s="14"/>
      <c r="QXI2" s="14"/>
      <c r="QXJ2" s="14"/>
      <c r="QXK2" s="14"/>
      <c r="QXL2" s="14"/>
      <c r="QXM2" s="14"/>
      <c r="QXN2" s="14"/>
      <c r="QXO2" s="14"/>
      <c r="QXP2" s="14"/>
      <c r="QXQ2" s="14"/>
      <c r="QXR2" s="14"/>
      <c r="QXS2" s="14"/>
      <c r="QXT2" s="14"/>
      <c r="QXU2" s="14"/>
      <c r="QXV2" s="14"/>
      <c r="QXW2" s="14"/>
      <c r="QXX2" s="14"/>
      <c r="QXY2" s="14"/>
      <c r="QXZ2" s="14"/>
      <c r="QYA2" s="14"/>
      <c r="QYB2" s="14"/>
      <c r="QYC2" s="14"/>
      <c r="QYD2" s="14"/>
      <c r="QYE2" s="14"/>
      <c r="QYF2" s="14"/>
      <c r="QYG2" s="14"/>
      <c r="QYH2" s="14"/>
      <c r="QYI2" s="14"/>
      <c r="QYJ2" s="14"/>
      <c r="QYK2" s="14"/>
      <c r="QYL2" s="14"/>
      <c r="QYM2" s="14"/>
      <c r="QYN2" s="14"/>
      <c r="QYO2" s="14"/>
      <c r="QYP2" s="14"/>
      <c r="QYQ2" s="14"/>
      <c r="QYR2" s="14"/>
      <c r="QYS2" s="14"/>
      <c r="QYT2" s="14"/>
      <c r="QYU2" s="14"/>
      <c r="QYV2" s="14"/>
      <c r="QYW2" s="14"/>
      <c r="QYX2" s="14"/>
      <c r="QYY2" s="14"/>
      <c r="QYZ2" s="14"/>
      <c r="QZA2" s="14"/>
      <c r="QZB2" s="14"/>
      <c r="QZC2" s="14"/>
      <c r="QZD2" s="14"/>
      <c r="QZE2" s="14"/>
      <c r="QZF2" s="14"/>
      <c r="QZG2" s="14"/>
      <c r="QZH2" s="14"/>
      <c r="QZI2" s="14"/>
      <c r="QZJ2" s="14"/>
      <c r="QZK2" s="14"/>
      <c r="QZL2" s="14"/>
      <c r="QZM2" s="14"/>
      <c r="QZN2" s="14"/>
      <c r="QZO2" s="14"/>
      <c r="QZP2" s="14"/>
      <c r="QZQ2" s="14"/>
      <c r="QZR2" s="14"/>
      <c r="QZS2" s="14"/>
      <c r="QZT2" s="14"/>
      <c r="QZU2" s="14"/>
      <c r="QZV2" s="14"/>
      <c r="QZW2" s="14"/>
      <c r="QZX2" s="14"/>
      <c r="QZY2" s="14"/>
      <c r="QZZ2" s="14"/>
      <c r="RAA2" s="14"/>
      <c r="RAB2" s="14"/>
      <c r="RAC2" s="14"/>
      <c r="RAD2" s="14"/>
      <c r="RAE2" s="14"/>
      <c r="RAF2" s="14"/>
      <c r="RAG2" s="14"/>
      <c r="RAH2" s="14"/>
      <c r="RAI2" s="14"/>
      <c r="RAJ2" s="14"/>
      <c r="RAK2" s="14"/>
      <c r="RAL2" s="14"/>
      <c r="RAM2" s="14"/>
      <c r="RAN2" s="14"/>
      <c r="RAO2" s="14"/>
      <c r="RAP2" s="14"/>
      <c r="RAQ2" s="14"/>
      <c r="RAR2" s="14"/>
      <c r="RAS2" s="14"/>
      <c r="RAT2" s="14"/>
      <c r="RAU2" s="14"/>
      <c r="RAV2" s="14"/>
      <c r="RAW2" s="14"/>
      <c r="RAX2" s="14"/>
      <c r="RAY2" s="14"/>
      <c r="RAZ2" s="14"/>
      <c r="RBA2" s="14"/>
      <c r="RBB2" s="14"/>
      <c r="RBC2" s="14"/>
      <c r="RBD2" s="14"/>
      <c r="RBE2" s="14"/>
      <c r="RBF2" s="14"/>
      <c r="RBG2" s="14"/>
      <c r="RBH2" s="14"/>
      <c r="RBI2" s="14"/>
      <c r="RBJ2" s="14"/>
      <c r="RBK2" s="14"/>
      <c r="RBL2" s="14"/>
      <c r="RBM2" s="14"/>
      <c r="RBN2" s="14"/>
      <c r="RBO2" s="14"/>
      <c r="RBP2" s="14"/>
      <c r="RBQ2" s="14"/>
      <c r="RBR2" s="14"/>
      <c r="RBS2" s="14"/>
      <c r="RBT2" s="14"/>
      <c r="RBU2" s="14"/>
      <c r="RBV2" s="14"/>
      <c r="RBW2" s="14"/>
      <c r="RBX2" s="14"/>
      <c r="RBY2" s="14"/>
      <c r="RBZ2" s="14"/>
      <c r="RCA2" s="14"/>
      <c r="RCB2" s="14"/>
      <c r="RCC2" s="14"/>
      <c r="RCD2" s="14"/>
      <c r="RCE2" s="14"/>
      <c r="RCF2" s="14"/>
      <c r="RCG2" s="14"/>
      <c r="RCH2" s="14"/>
      <c r="RCI2" s="14"/>
      <c r="RCJ2" s="14"/>
      <c r="RCK2" s="14"/>
      <c r="RCL2" s="14"/>
      <c r="RCM2" s="14"/>
      <c r="RCN2" s="14"/>
      <c r="RCO2" s="14"/>
      <c r="RCP2" s="14"/>
      <c r="RCQ2" s="14"/>
      <c r="RCR2" s="14"/>
      <c r="RCS2" s="14"/>
      <c r="RCT2" s="14"/>
      <c r="RCU2" s="14"/>
      <c r="RCV2" s="14"/>
      <c r="RCW2" s="14"/>
      <c r="RCX2" s="14"/>
      <c r="RCY2" s="14"/>
      <c r="RCZ2" s="14"/>
      <c r="RDA2" s="14"/>
      <c r="RDB2" s="14"/>
      <c r="RDC2" s="14"/>
      <c r="RDD2" s="14"/>
      <c r="RDE2" s="14"/>
      <c r="RDF2" s="14"/>
      <c r="RDG2" s="14"/>
      <c r="RDH2" s="14"/>
      <c r="RDI2" s="14"/>
      <c r="RDJ2" s="14"/>
      <c r="RDK2" s="14"/>
      <c r="RDL2" s="14"/>
      <c r="RDM2" s="14"/>
      <c r="RDN2" s="14"/>
      <c r="RDO2" s="14"/>
      <c r="RDP2" s="14"/>
      <c r="RDQ2" s="14"/>
      <c r="RDR2" s="14"/>
      <c r="RDS2" s="14"/>
      <c r="RDT2" s="14"/>
      <c r="RDU2" s="14"/>
      <c r="RDV2" s="14"/>
      <c r="RDW2" s="14"/>
      <c r="RDX2" s="14"/>
      <c r="RDY2" s="14"/>
      <c r="RDZ2" s="14"/>
      <c r="REA2" s="14"/>
      <c r="REB2" s="14"/>
      <c r="REC2" s="14"/>
      <c r="RED2" s="14"/>
      <c r="REE2" s="14"/>
      <c r="REF2" s="14"/>
      <c r="REG2" s="14"/>
      <c r="REH2" s="14"/>
      <c r="REI2" s="14"/>
      <c r="REJ2" s="14"/>
      <c r="REK2" s="14"/>
      <c r="REL2" s="14"/>
      <c r="REM2" s="14"/>
      <c r="REN2" s="14"/>
      <c r="REO2" s="14"/>
      <c r="REP2" s="14"/>
      <c r="REQ2" s="14"/>
      <c r="RER2" s="14"/>
      <c r="RES2" s="14"/>
      <c r="RET2" s="14"/>
      <c r="REU2" s="14"/>
      <c r="REV2" s="14"/>
      <c r="REW2" s="14"/>
      <c r="REX2" s="14"/>
      <c r="REY2" s="14"/>
      <c r="REZ2" s="14"/>
      <c r="RFA2" s="14"/>
      <c r="RFB2" s="14"/>
      <c r="RFC2" s="14"/>
      <c r="RFD2" s="14"/>
      <c r="RFE2" s="14"/>
      <c r="RFF2" s="14"/>
      <c r="RFG2" s="14"/>
      <c r="RFH2" s="14"/>
      <c r="RFI2" s="14"/>
      <c r="RFJ2" s="14"/>
      <c r="RFK2" s="14"/>
      <c r="RFL2" s="14"/>
      <c r="RFM2" s="14"/>
      <c r="RFN2" s="14"/>
      <c r="RFO2" s="14"/>
      <c r="RFP2" s="14"/>
      <c r="RFQ2" s="14"/>
      <c r="RFR2" s="14"/>
      <c r="RFS2" s="14"/>
      <c r="RFT2" s="14"/>
      <c r="RFU2" s="14"/>
      <c r="RFV2" s="14"/>
      <c r="RFW2" s="14"/>
      <c r="RFX2" s="14"/>
      <c r="RFY2" s="14"/>
      <c r="RFZ2" s="14"/>
      <c r="RGA2" s="14"/>
      <c r="RGB2" s="14"/>
      <c r="RGC2" s="14"/>
      <c r="RGD2" s="14"/>
      <c r="RGE2" s="14"/>
      <c r="RGF2" s="14"/>
      <c r="RGG2" s="14"/>
      <c r="RGH2" s="14"/>
      <c r="RGI2" s="14"/>
      <c r="RGJ2" s="14"/>
      <c r="RGK2" s="14"/>
      <c r="RGL2" s="14"/>
      <c r="RGM2" s="14"/>
      <c r="RGN2" s="14"/>
      <c r="RGO2" s="14"/>
      <c r="RGP2" s="14"/>
      <c r="RGQ2" s="14"/>
      <c r="RGR2" s="14"/>
      <c r="RGS2" s="14"/>
      <c r="RGT2" s="14"/>
      <c r="RGU2" s="14"/>
      <c r="RGV2" s="14"/>
      <c r="RGW2" s="14"/>
      <c r="RGX2" s="14"/>
      <c r="RGY2" s="14"/>
      <c r="RGZ2" s="14"/>
      <c r="RHA2" s="14"/>
      <c r="RHB2" s="14"/>
      <c r="RHC2" s="14"/>
      <c r="RHD2" s="14"/>
      <c r="RHE2" s="14"/>
      <c r="RHF2" s="14"/>
      <c r="RHG2" s="14"/>
      <c r="RHH2" s="14"/>
      <c r="RHI2" s="14"/>
      <c r="RHJ2" s="14"/>
      <c r="RHK2" s="14"/>
      <c r="RHL2" s="14"/>
      <c r="RHM2" s="14"/>
      <c r="RHN2" s="14"/>
      <c r="RHO2" s="14"/>
      <c r="RHP2" s="14"/>
      <c r="RHQ2" s="14"/>
      <c r="RHR2" s="14"/>
      <c r="RHS2" s="14"/>
      <c r="RHT2" s="14"/>
      <c r="RHU2" s="14"/>
      <c r="RHV2" s="14"/>
      <c r="RHW2" s="14"/>
      <c r="RHX2" s="14"/>
      <c r="RHY2" s="14"/>
      <c r="RHZ2" s="14"/>
      <c r="RIA2" s="14"/>
      <c r="RIB2" s="14"/>
      <c r="RIC2" s="14"/>
      <c r="RID2" s="14"/>
      <c r="RIE2" s="14"/>
      <c r="RIF2" s="14"/>
      <c r="RIG2" s="14"/>
      <c r="RIH2" s="14"/>
      <c r="RII2" s="14"/>
      <c r="RIJ2" s="14"/>
      <c r="RIK2" s="14"/>
      <c r="RIL2" s="14"/>
      <c r="RIM2" s="14"/>
      <c r="RIN2" s="14"/>
      <c r="RIO2" s="14"/>
      <c r="RIP2" s="14"/>
      <c r="RIQ2" s="14"/>
      <c r="RIR2" s="14"/>
      <c r="RIS2" s="14"/>
      <c r="RIT2" s="14"/>
      <c r="RIU2" s="14"/>
      <c r="RIV2" s="14"/>
      <c r="RIW2" s="14"/>
      <c r="RIX2" s="14"/>
      <c r="RIY2" s="14"/>
      <c r="RIZ2" s="14"/>
      <c r="RJA2" s="14"/>
      <c r="RJB2" s="14"/>
      <c r="RJC2" s="14"/>
      <c r="RJD2" s="14"/>
      <c r="RJE2" s="14"/>
      <c r="RJF2" s="14"/>
      <c r="RJG2" s="14"/>
      <c r="RJH2" s="14"/>
      <c r="RJI2" s="14"/>
      <c r="RJJ2" s="14"/>
      <c r="RJK2" s="14"/>
      <c r="RJL2" s="14"/>
      <c r="RJM2" s="14"/>
      <c r="RJN2" s="14"/>
      <c r="RJO2" s="14"/>
      <c r="RJP2" s="14"/>
      <c r="RJQ2" s="14"/>
      <c r="RJR2" s="14"/>
      <c r="RJS2" s="14"/>
      <c r="RJT2" s="14"/>
      <c r="RJU2" s="14"/>
      <c r="RJV2" s="14"/>
      <c r="RJW2" s="14"/>
      <c r="RJX2" s="14"/>
      <c r="RJY2" s="14"/>
      <c r="RJZ2" s="14"/>
      <c r="RKA2" s="14"/>
      <c r="RKB2" s="14"/>
      <c r="RKC2" s="14"/>
      <c r="RKD2" s="14"/>
      <c r="RKE2" s="14"/>
      <c r="RKF2" s="14"/>
      <c r="RKG2" s="14"/>
      <c r="RKH2" s="14"/>
      <c r="RKI2" s="14"/>
      <c r="RKJ2" s="14"/>
      <c r="RKK2" s="14"/>
      <c r="RKL2" s="14"/>
      <c r="RKM2" s="14"/>
      <c r="RKN2" s="14"/>
      <c r="RKO2" s="14"/>
      <c r="RKP2" s="14"/>
      <c r="RKQ2" s="14"/>
      <c r="RKR2" s="14"/>
      <c r="RKS2" s="14"/>
      <c r="RKT2" s="14"/>
      <c r="RKU2" s="14"/>
      <c r="RKV2" s="14"/>
      <c r="RKW2" s="14"/>
      <c r="RKX2" s="14"/>
      <c r="RKY2" s="14"/>
      <c r="RKZ2" s="14"/>
      <c r="RLA2" s="14"/>
      <c r="RLB2" s="14"/>
      <c r="RLC2" s="14"/>
      <c r="RLD2" s="14"/>
      <c r="RLE2" s="14"/>
      <c r="RLF2" s="14"/>
      <c r="RLG2" s="14"/>
      <c r="RLH2" s="14"/>
      <c r="RLI2" s="14"/>
      <c r="RLJ2" s="14"/>
      <c r="RLK2" s="14"/>
      <c r="RLL2" s="14"/>
      <c r="RLM2" s="14"/>
      <c r="RLN2" s="14"/>
      <c r="RLO2" s="14"/>
      <c r="RLP2" s="14"/>
      <c r="RLQ2" s="14"/>
      <c r="RLR2" s="14"/>
      <c r="RLS2" s="14"/>
      <c r="RLT2" s="14"/>
      <c r="RLU2" s="14"/>
      <c r="RLV2" s="14"/>
      <c r="RLW2" s="14"/>
      <c r="RLX2" s="14"/>
      <c r="RLY2" s="14"/>
      <c r="RLZ2" s="14"/>
      <c r="RMA2" s="14"/>
      <c r="RMB2" s="14"/>
      <c r="RMC2" s="14"/>
      <c r="RMD2" s="14"/>
      <c r="RME2" s="14"/>
      <c r="RMF2" s="14"/>
      <c r="RMG2" s="14"/>
      <c r="RMH2" s="14"/>
      <c r="RMI2" s="14"/>
      <c r="RMJ2" s="14"/>
      <c r="RMK2" s="14"/>
      <c r="RML2" s="14"/>
      <c r="RMM2" s="14"/>
      <c r="RMN2" s="14"/>
      <c r="RMO2" s="14"/>
      <c r="RMP2" s="14"/>
      <c r="RMQ2" s="14"/>
      <c r="RMR2" s="14"/>
      <c r="RMS2" s="14"/>
      <c r="RMT2" s="14"/>
      <c r="RMU2" s="14"/>
      <c r="RMV2" s="14"/>
      <c r="RMW2" s="14"/>
      <c r="RMX2" s="14"/>
      <c r="RMY2" s="14"/>
      <c r="RMZ2" s="14"/>
      <c r="RNA2" s="14"/>
      <c r="RNB2" s="14"/>
      <c r="RNC2" s="14"/>
      <c r="RND2" s="14"/>
      <c r="RNE2" s="14"/>
      <c r="RNF2" s="14"/>
      <c r="RNG2" s="14"/>
      <c r="RNH2" s="14"/>
      <c r="RNI2" s="14"/>
      <c r="RNJ2" s="14"/>
      <c r="RNK2" s="14"/>
      <c r="RNL2" s="14"/>
      <c r="RNM2" s="14"/>
      <c r="RNN2" s="14"/>
      <c r="RNO2" s="14"/>
      <c r="RNP2" s="14"/>
      <c r="RNQ2" s="14"/>
      <c r="RNR2" s="14"/>
      <c r="RNS2" s="14"/>
      <c r="RNT2" s="14"/>
      <c r="RNU2" s="14"/>
      <c r="RNV2" s="14"/>
      <c r="RNW2" s="14"/>
      <c r="RNX2" s="14"/>
      <c r="RNY2" s="14"/>
      <c r="RNZ2" s="14"/>
      <c r="ROA2" s="14"/>
      <c r="ROB2" s="14"/>
      <c r="ROC2" s="14"/>
      <c r="ROD2" s="14"/>
      <c r="ROE2" s="14"/>
      <c r="ROF2" s="14"/>
      <c r="ROG2" s="14"/>
      <c r="ROH2" s="14"/>
      <c r="ROI2" s="14"/>
      <c r="ROJ2" s="14"/>
      <c r="ROK2" s="14"/>
      <c r="ROL2" s="14"/>
      <c r="ROM2" s="14"/>
      <c r="RON2" s="14"/>
      <c r="ROO2" s="14"/>
      <c r="ROP2" s="14"/>
      <c r="ROQ2" s="14"/>
      <c r="ROR2" s="14"/>
      <c r="ROS2" s="14"/>
      <c r="ROT2" s="14"/>
      <c r="ROU2" s="14"/>
      <c r="ROV2" s="14"/>
      <c r="ROW2" s="14"/>
      <c r="ROX2" s="14"/>
      <c r="ROY2" s="14"/>
      <c r="ROZ2" s="14"/>
      <c r="RPA2" s="14"/>
      <c r="RPB2" s="14"/>
      <c r="RPC2" s="14"/>
      <c r="RPD2" s="14"/>
      <c r="RPE2" s="14"/>
      <c r="RPF2" s="14"/>
      <c r="RPG2" s="14"/>
      <c r="RPH2" s="14"/>
      <c r="RPI2" s="14"/>
      <c r="RPJ2" s="14"/>
      <c r="RPK2" s="14"/>
      <c r="RPL2" s="14"/>
      <c r="RPM2" s="14"/>
      <c r="RPN2" s="14"/>
      <c r="RPO2" s="14"/>
      <c r="RPP2" s="14"/>
      <c r="RPQ2" s="14"/>
      <c r="RPR2" s="14"/>
      <c r="RPS2" s="14"/>
      <c r="RPT2" s="14"/>
      <c r="RPU2" s="14"/>
      <c r="RPV2" s="14"/>
      <c r="RPW2" s="14"/>
      <c r="RPX2" s="14"/>
      <c r="RPY2" s="14"/>
      <c r="RPZ2" s="14"/>
      <c r="RQA2" s="14"/>
      <c r="RQB2" s="14"/>
      <c r="RQC2" s="14"/>
      <c r="RQD2" s="14"/>
      <c r="RQE2" s="14"/>
      <c r="RQF2" s="14"/>
      <c r="RQG2" s="14"/>
      <c r="RQH2" s="14"/>
      <c r="RQI2" s="14"/>
      <c r="RQJ2" s="14"/>
      <c r="RQK2" s="14"/>
      <c r="RQL2" s="14"/>
      <c r="RQM2" s="14"/>
      <c r="RQN2" s="14"/>
      <c r="RQO2" s="14"/>
      <c r="RQP2" s="14"/>
      <c r="RQQ2" s="14"/>
      <c r="RQR2" s="14"/>
      <c r="RQS2" s="14"/>
      <c r="RQT2" s="14"/>
      <c r="RQU2" s="14"/>
      <c r="RQV2" s="14"/>
      <c r="RQW2" s="14"/>
      <c r="RQX2" s="14"/>
      <c r="RQY2" s="14"/>
      <c r="RQZ2" s="14"/>
      <c r="RRA2" s="14"/>
      <c r="RRB2" s="14"/>
      <c r="RRC2" s="14"/>
      <c r="RRD2" s="14"/>
      <c r="RRE2" s="14"/>
      <c r="RRF2" s="14"/>
      <c r="RRG2" s="14"/>
      <c r="RRH2" s="14"/>
      <c r="RRI2" s="14"/>
      <c r="RRJ2" s="14"/>
      <c r="RRK2" s="14"/>
      <c r="RRL2" s="14"/>
      <c r="RRM2" s="14"/>
      <c r="RRN2" s="14"/>
      <c r="RRO2" s="14"/>
      <c r="RRP2" s="14"/>
      <c r="RRQ2" s="14"/>
      <c r="RRR2" s="14"/>
      <c r="RRS2" s="14"/>
      <c r="RRT2" s="14"/>
      <c r="RRU2" s="14"/>
      <c r="RRV2" s="14"/>
      <c r="RRW2" s="14"/>
      <c r="RRX2" s="14"/>
      <c r="RRY2" s="14"/>
      <c r="RRZ2" s="14"/>
      <c r="RSA2" s="14"/>
      <c r="RSB2" s="14"/>
      <c r="RSC2" s="14"/>
      <c r="RSD2" s="14"/>
      <c r="RSE2" s="14"/>
      <c r="RSF2" s="14"/>
      <c r="RSG2" s="14"/>
      <c r="RSH2" s="14"/>
      <c r="RSI2" s="14"/>
      <c r="RSJ2" s="14"/>
      <c r="RSK2" s="14"/>
      <c r="RSL2" s="14"/>
      <c r="RSM2" s="14"/>
      <c r="RSN2" s="14"/>
      <c r="RSO2" s="14"/>
      <c r="RSP2" s="14"/>
      <c r="RSQ2" s="14"/>
      <c r="RSR2" s="14"/>
      <c r="RSS2" s="14"/>
      <c r="RST2" s="14"/>
      <c r="RSU2" s="14"/>
      <c r="RSV2" s="14"/>
      <c r="RSW2" s="14"/>
      <c r="RSX2" s="14"/>
      <c r="RSY2" s="14"/>
      <c r="RSZ2" s="14"/>
      <c r="RTA2" s="14"/>
      <c r="RTB2" s="14"/>
      <c r="RTC2" s="14"/>
      <c r="RTD2" s="14"/>
      <c r="RTE2" s="14"/>
      <c r="RTF2" s="14"/>
      <c r="RTG2" s="14"/>
      <c r="RTH2" s="14"/>
      <c r="RTI2" s="14"/>
      <c r="RTJ2" s="14"/>
      <c r="RTK2" s="14"/>
      <c r="RTL2" s="14"/>
      <c r="RTM2" s="14"/>
      <c r="RTN2" s="14"/>
      <c r="RTO2" s="14"/>
      <c r="RTP2" s="14"/>
      <c r="RTQ2" s="14"/>
      <c r="RTR2" s="14"/>
      <c r="RTS2" s="14"/>
      <c r="RTT2" s="14"/>
      <c r="RTU2" s="14"/>
      <c r="RTV2" s="14"/>
      <c r="RTW2" s="14"/>
      <c r="RTX2" s="14"/>
      <c r="RTY2" s="14"/>
      <c r="RTZ2" s="14"/>
      <c r="RUA2" s="14"/>
      <c r="RUB2" s="14"/>
      <c r="RUC2" s="14"/>
      <c r="RUD2" s="14"/>
      <c r="RUE2" s="14"/>
      <c r="RUF2" s="14"/>
      <c r="RUG2" s="14"/>
      <c r="RUH2" s="14"/>
      <c r="RUI2" s="14"/>
      <c r="RUJ2" s="14"/>
      <c r="RUK2" s="14"/>
      <c r="RUL2" s="14"/>
      <c r="RUM2" s="14"/>
      <c r="RUN2" s="14"/>
      <c r="RUO2" s="14"/>
      <c r="RUP2" s="14"/>
      <c r="RUQ2" s="14"/>
      <c r="RUR2" s="14"/>
      <c r="RUS2" s="14"/>
      <c r="RUT2" s="14"/>
      <c r="RUU2" s="14"/>
      <c r="RUV2" s="14"/>
      <c r="RUW2" s="14"/>
      <c r="RUX2" s="14"/>
      <c r="RUY2" s="14"/>
      <c r="RUZ2" s="14"/>
      <c r="RVA2" s="14"/>
      <c r="RVB2" s="14"/>
      <c r="RVC2" s="14"/>
      <c r="RVD2" s="14"/>
      <c r="RVE2" s="14"/>
      <c r="RVF2" s="14"/>
      <c r="RVG2" s="14"/>
      <c r="RVH2" s="14"/>
      <c r="RVI2" s="14"/>
      <c r="RVJ2" s="14"/>
      <c r="RVK2" s="14"/>
      <c r="RVL2" s="14"/>
      <c r="RVM2" s="14"/>
      <c r="RVN2" s="14"/>
      <c r="RVO2" s="14"/>
      <c r="RVP2" s="14"/>
      <c r="RVQ2" s="14"/>
      <c r="RVR2" s="14"/>
      <c r="RVS2" s="14"/>
      <c r="RVT2" s="14"/>
      <c r="RVU2" s="14"/>
      <c r="RVV2" s="14"/>
      <c r="RVW2" s="14"/>
      <c r="RVX2" s="14"/>
      <c r="RVY2" s="14"/>
      <c r="RVZ2" s="14"/>
      <c r="RWA2" s="14"/>
      <c r="RWB2" s="14"/>
      <c r="RWC2" s="14"/>
      <c r="RWD2" s="14"/>
      <c r="RWE2" s="14"/>
      <c r="RWF2" s="14"/>
      <c r="RWG2" s="14"/>
      <c r="RWH2" s="14"/>
      <c r="RWI2" s="14"/>
      <c r="RWJ2" s="14"/>
      <c r="RWK2" s="14"/>
      <c r="RWL2" s="14"/>
      <c r="RWM2" s="14"/>
      <c r="RWN2" s="14"/>
      <c r="RWO2" s="14"/>
      <c r="RWP2" s="14"/>
      <c r="RWQ2" s="14"/>
      <c r="RWR2" s="14"/>
      <c r="RWS2" s="14"/>
      <c r="RWT2" s="14"/>
      <c r="RWU2" s="14"/>
      <c r="RWV2" s="14"/>
      <c r="RWW2" s="14"/>
      <c r="RWX2" s="14"/>
      <c r="RWY2" s="14"/>
      <c r="RWZ2" s="14"/>
      <c r="RXA2" s="14"/>
      <c r="RXB2" s="14"/>
      <c r="RXC2" s="14"/>
      <c r="RXD2" s="14"/>
      <c r="RXE2" s="14"/>
      <c r="RXF2" s="14"/>
      <c r="RXG2" s="14"/>
      <c r="RXH2" s="14"/>
      <c r="RXI2" s="14"/>
      <c r="RXJ2" s="14"/>
      <c r="RXK2" s="14"/>
      <c r="RXL2" s="14"/>
      <c r="RXM2" s="14"/>
      <c r="RXN2" s="14"/>
      <c r="RXO2" s="14"/>
      <c r="RXP2" s="14"/>
      <c r="RXQ2" s="14"/>
      <c r="RXR2" s="14"/>
      <c r="RXS2" s="14"/>
      <c r="RXT2" s="14"/>
      <c r="RXU2" s="14"/>
      <c r="RXV2" s="14"/>
      <c r="RXW2" s="14"/>
      <c r="RXX2" s="14"/>
      <c r="RXY2" s="14"/>
      <c r="RXZ2" s="14"/>
      <c r="RYA2" s="14"/>
      <c r="RYB2" s="14"/>
      <c r="RYC2" s="14"/>
      <c r="RYD2" s="14"/>
      <c r="RYE2" s="14"/>
      <c r="RYF2" s="14"/>
      <c r="RYG2" s="14"/>
      <c r="RYH2" s="14"/>
      <c r="RYI2" s="14"/>
      <c r="RYJ2" s="14"/>
      <c r="RYK2" s="14"/>
      <c r="RYL2" s="14"/>
      <c r="RYM2" s="14"/>
      <c r="RYN2" s="14"/>
      <c r="RYO2" s="14"/>
      <c r="RYP2" s="14"/>
      <c r="RYQ2" s="14"/>
      <c r="RYR2" s="14"/>
      <c r="RYS2" s="14"/>
      <c r="RYT2" s="14"/>
      <c r="RYU2" s="14"/>
      <c r="RYV2" s="14"/>
      <c r="RYW2" s="14"/>
      <c r="RYX2" s="14"/>
      <c r="RYY2" s="14"/>
      <c r="RYZ2" s="14"/>
      <c r="RZA2" s="14"/>
      <c r="RZB2" s="14"/>
      <c r="RZC2" s="14"/>
      <c r="RZD2" s="14"/>
      <c r="RZE2" s="14"/>
      <c r="RZF2" s="14"/>
      <c r="RZG2" s="14"/>
      <c r="RZH2" s="14"/>
      <c r="RZI2" s="14"/>
      <c r="RZJ2" s="14"/>
      <c r="RZK2" s="14"/>
      <c r="RZL2" s="14"/>
      <c r="RZM2" s="14"/>
      <c r="RZN2" s="14"/>
      <c r="RZO2" s="14"/>
      <c r="RZP2" s="14"/>
      <c r="RZQ2" s="14"/>
      <c r="RZR2" s="14"/>
      <c r="RZS2" s="14"/>
      <c r="RZT2" s="14"/>
      <c r="RZU2" s="14"/>
      <c r="RZV2" s="14"/>
      <c r="RZW2" s="14"/>
      <c r="RZX2" s="14"/>
      <c r="RZY2" s="14"/>
      <c r="RZZ2" s="14"/>
      <c r="SAA2" s="14"/>
      <c r="SAB2" s="14"/>
      <c r="SAC2" s="14"/>
      <c r="SAD2" s="14"/>
      <c r="SAE2" s="14"/>
      <c r="SAF2" s="14"/>
      <c r="SAG2" s="14"/>
      <c r="SAH2" s="14"/>
      <c r="SAI2" s="14"/>
      <c r="SAJ2" s="14"/>
      <c r="SAK2" s="14"/>
      <c r="SAL2" s="14"/>
      <c r="SAM2" s="14"/>
      <c r="SAN2" s="14"/>
      <c r="SAO2" s="14"/>
      <c r="SAP2" s="14"/>
      <c r="SAQ2" s="14"/>
      <c r="SAR2" s="14"/>
      <c r="SAS2" s="14"/>
      <c r="SAT2" s="14"/>
      <c r="SAU2" s="14"/>
      <c r="SAV2" s="14"/>
      <c r="SAW2" s="14"/>
      <c r="SAX2" s="14"/>
      <c r="SAY2" s="14"/>
      <c r="SAZ2" s="14"/>
      <c r="SBA2" s="14"/>
      <c r="SBB2" s="14"/>
      <c r="SBC2" s="14"/>
      <c r="SBD2" s="14"/>
      <c r="SBE2" s="14"/>
      <c r="SBF2" s="14"/>
      <c r="SBG2" s="14"/>
      <c r="SBH2" s="14"/>
      <c r="SBI2" s="14"/>
      <c r="SBJ2" s="14"/>
      <c r="SBK2" s="14"/>
      <c r="SBL2" s="14"/>
      <c r="SBM2" s="14"/>
      <c r="SBN2" s="14"/>
      <c r="SBO2" s="14"/>
      <c r="SBP2" s="14"/>
      <c r="SBQ2" s="14"/>
      <c r="SBR2" s="14"/>
      <c r="SBS2" s="14"/>
      <c r="SBT2" s="14"/>
      <c r="SBU2" s="14"/>
      <c r="SBV2" s="14"/>
      <c r="SBW2" s="14"/>
      <c r="SBX2" s="14"/>
      <c r="SBY2" s="14"/>
      <c r="SBZ2" s="14"/>
      <c r="SCA2" s="14"/>
      <c r="SCB2" s="14"/>
      <c r="SCC2" s="14"/>
      <c r="SCD2" s="14"/>
      <c r="SCE2" s="14"/>
      <c r="SCF2" s="14"/>
      <c r="SCG2" s="14"/>
      <c r="SCH2" s="14"/>
      <c r="SCI2" s="14"/>
      <c r="SCJ2" s="14"/>
      <c r="SCK2" s="14"/>
      <c r="SCL2" s="14"/>
      <c r="SCM2" s="14"/>
      <c r="SCN2" s="14"/>
      <c r="SCO2" s="14"/>
      <c r="SCP2" s="14"/>
      <c r="SCQ2" s="14"/>
      <c r="SCR2" s="14"/>
      <c r="SCS2" s="14"/>
      <c r="SCT2" s="14"/>
      <c r="SCU2" s="14"/>
      <c r="SCV2" s="14"/>
      <c r="SCW2" s="14"/>
      <c r="SCX2" s="14"/>
      <c r="SCY2" s="14"/>
      <c r="SCZ2" s="14"/>
      <c r="SDA2" s="14"/>
      <c r="SDB2" s="14"/>
      <c r="SDC2" s="14"/>
      <c r="SDD2" s="14"/>
      <c r="SDE2" s="14"/>
      <c r="SDF2" s="14"/>
      <c r="SDG2" s="14"/>
      <c r="SDH2" s="14"/>
      <c r="SDI2" s="14"/>
      <c r="SDJ2" s="14"/>
      <c r="SDK2" s="14"/>
      <c r="SDL2" s="14"/>
      <c r="SDM2" s="14"/>
      <c r="SDN2" s="14"/>
      <c r="SDO2" s="14"/>
      <c r="SDP2" s="14"/>
      <c r="SDQ2" s="14"/>
      <c r="SDR2" s="14"/>
      <c r="SDS2" s="14"/>
      <c r="SDT2" s="14"/>
      <c r="SDU2" s="14"/>
      <c r="SDV2" s="14"/>
      <c r="SDW2" s="14"/>
      <c r="SDX2" s="14"/>
      <c r="SDY2" s="14"/>
      <c r="SDZ2" s="14"/>
      <c r="SEA2" s="14"/>
      <c r="SEB2" s="14"/>
      <c r="SEC2" s="14"/>
      <c r="SED2" s="14"/>
      <c r="SEE2" s="14"/>
      <c r="SEF2" s="14"/>
      <c r="SEG2" s="14"/>
      <c r="SEH2" s="14"/>
      <c r="SEI2" s="14"/>
      <c r="SEJ2" s="14"/>
      <c r="SEK2" s="14"/>
      <c r="SEL2" s="14"/>
      <c r="SEM2" s="14"/>
      <c r="SEN2" s="14"/>
      <c r="SEO2" s="14"/>
      <c r="SEP2" s="14"/>
      <c r="SEQ2" s="14"/>
      <c r="SER2" s="14"/>
      <c r="SES2" s="14"/>
      <c r="SET2" s="14"/>
      <c r="SEU2" s="14"/>
      <c r="SEV2" s="14"/>
      <c r="SEW2" s="14"/>
      <c r="SEX2" s="14"/>
      <c r="SEY2" s="14"/>
      <c r="SEZ2" s="14"/>
      <c r="SFA2" s="14"/>
      <c r="SFB2" s="14"/>
      <c r="SFC2" s="14"/>
      <c r="SFD2" s="14"/>
      <c r="SFE2" s="14"/>
      <c r="SFF2" s="14"/>
      <c r="SFG2" s="14"/>
      <c r="SFH2" s="14"/>
      <c r="SFI2" s="14"/>
      <c r="SFJ2" s="14"/>
      <c r="SFK2" s="14"/>
      <c r="SFL2" s="14"/>
      <c r="SFM2" s="14"/>
      <c r="SFN2" s="14"/>
      <c r="SFO2" s="14"/>
      <c r="SFP2" s="14"/>
      <c r="SFQ2" s="14"/>
      <c r="SFR2" s="14"/>
      <c r="SFS2" s="14"/>
      <c r="SFT2" s="14"/>
      <c r="SFU2" s="14"/>
      <c r="SFV2" s="14"/>
      <c r="SFW2" s="14"/>
      <c r="SFX2" s="14"/>
      <c r="SFY2" s="14"/>
      <c r="SFZ2" s="14"/>
      <c r="SGA2" s="14"/>
      <c r="SGB2" s="14"/>
      <c r="SGC2" s="14"/>
      <c r="SGD2" s="14"/>
      <c r="SGE2" s="14"/>
      <c r="SGF2" s="14"/>
      <c r="SGG2" s="14"/>
      <c r="SGH2" s="14"/>
      <c r="SGI2" s="14"/>
      <c r="SGJ2" s="14"/>
      <c r="SGK2" s="14"/>
      <c r="SGL2" s="14"/>
      <c r="SGM2" s="14"/>
      <c r="SGN2" s="14"/>
      <c r="SGO2" s="14"/>
      <c r="SGP2" s="14"/>
      <c r="SGQ2" s="14"/>
      <c r="SGR2" s="14"/>
      <c r="SGS2" s="14"/>
      <c r="SGT2" s="14"/>
      <c r="SGU2" s="14"/>
      <c r="SGV2" s="14"/>
      <c r="SGW2" s="14"/>
      <c r="SGX2" s="14"/>
      <c r="SGY2" s="14"/>
      <c r="SGZ2" s="14"/>
      <c r="SHA2" s="14"/>
      <c r="SHB2" s="14"/>
      <c r="SHC2" s="14"/>
      <c r="SHD2" s="14"/>
      <c r="SHE2" s="14"/>
      <c r="SHF2" s="14"/>
      <c r="SHG2" s="14"/>
      <c r="SHH2" s="14"/>
      <c r="SHI2" s="14"/>
      <c r="SHJ2" s="14"/>
      <c r="SHK2" s="14"/>
      <c r="SHL2" s="14"/>
      <c r="SHM2" s="14"/>
      <c r="SHN2" s="14"/>
      <c r="SHO2" s="14"/>
      <c r="SHP2" s="14"/>
      <c r="SHQ2" s="14"/>
      <c r="SHR2" s="14"/>
      <c r="SHS2" s="14"/>
      <c r="SHT2" s="14"/>
      <c r="SHU2" s="14"/>
      <c r="SHV2" s="14"/>
      <c r="SHW2" s="14"/>
      <c r="SHX2" s="14"/>
      <c r="SHY2" s="14"/>
      <c r="SHZ2" s="14"/>
      <c r="SIA2" s="14"/>
      <c r="SIB2" s="14"/>
      <c r="SIC2" s="14"/>
      <c r="SID2" s="14"/>
      <c r="SIE2" s="14"/>
      <c r="SIF2" s="14"/>
      <c r="SIG2" s="14"/>
      <c r="SIH2" s="14"/>
      <c r="SII2" s="14"/>
      <c r="SIJ2" s="14"/>
      <c r="SIK2" s="14"/>
      <c r="SIL2" s="14"/>
      <c r="SIM2" s="14"/>
      <c r="SIN2" s="14"/>
      <c r="SIO2" s="14"/>
      <c r="SIP2" s="14"/>
      <c r="SIQ2" s="14"/>
      <c r="SIR2" s="14"/>
      <c r="SIS2" s="14"/>
      <c r="SIT2" s="14"/>
      <c r="SIU2" s="14"/>
      <c r="SIV2" s="14"/>
      <c r="SIW2" s="14"/>
      <c r="SIX2" s="14"/>
      <c r="SIY2" s="14"/>
      <c r="SIZ2" s="14"/>
      <c r="SJA2" s="14"/>
      <c r="SJB2" s="14"/>
      <c r="SJC2" s="14"/>
      <c r="SJD2" s="14"/>
      <c r="SJE2" s="14"/>
      <c r="SJF2" s="14"/>
      <c r="SJG2" s="14"/>
      <c r="SJH2" s="14"/>
      <c r="SJI2" s="14"/>
      <c r="SJJ2" s="14"/>
      <c r="SJK2" s="14"/>
      <c r="SJL2" s="14"/>
      <c r="SJM2" s="14"/>
      <c r="SJN2" s="14"/>
      <c r="SJO2" s="14"/>
      <c r="SJP2" s="14"/>
      <c r="SJQ2" s="14"/>
      <c r="SJR2" s="14"/>
      <c r="SJS2" s="14"/>
      <c r="SJT2" s="14"/>
      <c r="SJU2" s="14"/>
      <c r="SJV2" s="14"/>
      <c r="SJW2" s="14"/>
      <c r="SJX2" s="14"/>
      <c r="SJY2" s="14"/>
      <c r="SJZ2" s="14"/>
      <c r="SKA2" s="14"/>
      <c r="SKB2" s="14"/>
      <c r="SKC2" s="14"/>
      <c r="SKD2" s="14"/>
      <c r="SKE2" s="14"/>
      <c r="SKF2" s="14"/>
      <c r="SKG2" s="14"/>
      <c r="SKH2" s="14"/>
      <c r="SKI2" s="14"/>
      <c r="SKJ2" s="14"/>
      <c r="SKK2" s="14"/>
      <c r="SKL2" s="14"/>
      <c r="SKM2" s="14"/>
      <c r="SKN2" s="14"/>
      <c r="SKO2" s="14"/>
      <c r="SKP2" s="14"/>
      <c r="SKQ2" s="14"/>
      <c r="SKR2" s="14"/>
      <c r="SKS2" s="14"/>
      <c r="SKT2" s="14"/>
      <c r="SKU2" s="14"/>
      <c r="SKV2" s="14"/>
      <c r="SKW2" s="14"/>
      <c r="SKX2" s="14"/>
      <c r="SKY2" s="14"/>
      <c r="SKZ2" s="14"/>
      <c r="SLA2" s="14"/>
      <c r="SLB2" s="14"/>
      <c r="SLC2" s="14"/>
      <c r="SLD2" s="14"/>
      <c r="SLE2" s="14"/>
      <c r="SLF2" s="14"/>
      <c r="SLG2" s="14"/>
      <c r="SLH2" s="14"/>
      <c r="SLI2" s="14"/>
      <c r="SLJ2" s="14"/>
      <c r="SLK2" s="14"/>
      <c r="SLL2" s="14"/>
      <c r="SLM2" s="14"/>
      <c r="SLN2" s="14"/>
      <c r="SLO2" s="14"/>
      <c r="SLP2" s="14"/>
      <c r="SLQ2" s="14"/>
      <c r="SLR2" s="14"/>
      <c r="SLS2" s="14"/>
      <c r="SLT2" s="14"/>
      <c r="SLU2" s="14"/>
      <c r="SLV2" s="14"/>
      <c r="SLW2" s="14"/>
      <c r="SLX2" s="14"/>
      <c r="SLY2" s="14"/>
      <c r="SLZ2" s="14"/>
      <c r="SMA2" s="14"/>
      <c r="SMB2" s="14"/>
      <c r="SMC2" s="14"/>
      <c r="SMD2" s="14"/>
      <c r="SME2" s="14"/>
      <c r="SMF2" s="14"/>
      <c r="SMG2" s="14"/>
      <c r="SMH2" s="14"/>
      <c r="SMI2" s="14"/>
      <c r="SMJ2" s="14"/>
      <c r="SMK2" s="14"/>
      <c r="SML2" s="14"/>
      <c r="SMM2" s="14"/>
      <c r="SMN2" s="14"/>
      <c r="SMO2" s="14"/>
      <c r="SMP2" s="14"/>
      <c r="SMQ2" s="14"/>
      <c r="SMR2" s="14"/>
      <c r="SMS2" s="14"/>
      <c r="SMT2" s="14"/>
      <c r="SMU2" s="14"/>
      <c r="SMV2" s="14"/>
      <c r="SMW2" s="14"/>
      <c r="SMX2" s="14"/>
      <c r="SMY2" s="14"/>
      <c r="SMZ2" s="14"/>
      <c r="SNA2" s="14"/>
      <c r="SNB2" s="14"/>
      <c r="SNC2" s="14"/>
      <c r="SND2" s="14"/>
      <c r="SNE2" s="14"/>
      <c r="SNF2" s="14"/>
      <c r="SNG2" s="14"/>
      <c r="SNH2" s="14"/>
      <c r="SNI2" s="14"/>
      <c r="SNJ2" s="14"/>
      <c r="SNK2" s="14"/>
      <c r="SNL2" s="14"/>
      <c r="SNM2" s="14"/>
      <c r="SNN2" s="14"/>
      <c r="SNO2" s="14"/>
      <c r="SNP2" s="14"/>
      <c r="SNQ2" s="14"/>
      <c r="SNR2" s="14"/>
      <c r="SNS2" s="14"/>
      <c r="SNT2" s="14"/>
      <c r="SNU2" s="14"/>
      <c r="SNV2" s="14"/>
      <c r="SNW2" s="14"/>
      <c r="SNX2" s="14"/>
      <c r="SNY2" s="14"/>
      <c r="SNZ2" s="14"/>
      <c r="SOA2" s="14"/>
      <c r="SOB2" s="14"/>
      <c r="SOC2" s="14"/>
      <c r="SOD2" s="14"/>
      <c r="SOE2" s="14"/>
      <c r="SOF2" s="14"/>
      <c r="SOG2" s="14"/>
      <c r="SOH2" s="14"/>
      <c r="SOI2" s="14"/>
      <c r="SOJ2" s="14"/>
      <c r="SOK2" s="14"/>
      <c r="SOL2" s="14"/>
      <c r="SOM2" s="14"/>
      <c r="SON2" s="14"/>
      <c r="SOO2" s="14"/>
      <c r="SOP2" s="14"/>
      <c r="SOQ2" s="14"/>
      <c r="SOR2" s="14"/>
      <c r="SOS2" s="14"/>
      <c r="SOT2" s="14"/>
      <c r="SOU2" s="14"/>
      <c r="SOV2" s="14"/>
      <c r="SOW2" s="14"/>
      <c r="SOX2" s="14"/>
      <c r="SOY2" s="14"/>
      <c r="SOZ2" s="14"/>
      <c r="SPA2" s="14"/>
      <c r="SPB2" s="14"/>
      <c r="SPC2" s="14"/>
      <c r="SPD2" s="14"/>
      <c r="SPE2" s="14"/>
      <c r="SPF2" s="14"/>
      <c r="SPG2" s="14"/>
      <c r="SPH2" s="14"/>
      <c r="SPI2" s="14"/>
      <c r="SPJ2" s="14"/>
      <c r="SPK2" s="14"/>
      <c r="SPL2" s="14"/>
      <c r="SPM2" s="14"/>
      <c r="SPN2" s="14"/>
      <c r="SPO2" s="14"/>
      <c r="SPP2" s="14"/>
      <c r="SPQ2" s="14"/>
      <c r="SPR2" s="14"/>
      <c r="SPS2" s="14"/>
      <c r="SPT2" s="14"/>
      <c r="SPU2" s="14"/>
      <c r="SPV2" s="14"/>
      <c r="SPW2" s="14"/>
      <c r="SPX2" s="14"/>
      <c r="SPY2" s="14"/>
      <c r="SPZ2" s="14"/>
      <c r="SQA2" s="14"/>
      <c r="SQB2" s="14"/>
      <c r="SQC2" s="14"/>
      <c r="SQD2" s="14"/>
      <c r="SQE2" s="14"/>
      <c r="SQF2" s="14"/>
      <c r="SQG2" s="14"/>
      <c r="SQH2" s="14"/>
      <c r="SQI2" s="14"/>
      <c r="SQJ2" s="14"/>
      <c r="SQK2" s="14"/>
      <c r="SQL2" s="14"/>
      <c r="SQM2" s="14"/>
      <c r="SQN2" s="14"/>
      <c r="SQO2" s="14"/>
      <c r="SQP2" s="14"/>
      <c r="SQQ2" s="14"/>
      <c r="SQR2" s="14"/>
      <c r="SQS2" s="14"/>
      <c r="SQT2" s="14"/>
      <c r="SQU2" s="14"/>
      <c r="SQV2" s="14"/>
      <c r="SQW2" s="14"/>
      <c r="SQX2" s="14"/>
      <c r="SQY2" s="14"/>
      <c r="SQZ2" s="14"/>
      <c r="SRA2" s="14"/>
      <c r="SRB2" s="14"/>
      <c r="SRC2" s="14"/>
      <c r="SRD2" s="14"/>
      <c r="SRE2" s="14"/>
      <c r="SRF2" s="14"/>
      <c r="SRG2" s="14"/>
      <c r="SRH2" s="14"/>
      <c r="SRI2" s="14"/>
      <c r="SRJ2" s="14"/>
      <c r="SRK2" s="14"/>
      <c r="SRL2" s="14"/>
      <c r="SRM2" s="14"/>
      <c r="SRN2" s="14"/>
      <c r="SRO2" s="14"/>
      <c r="SRP2" s="14"/>
      <c r="SRQ2" s="14"/>
      <c r="SRR2" s="14"/>
      <c r="SRS2" s="14"/>
      <c r="SRT2" s="14"/>
      <c r="SRU2" s="14"/>
      <c r="SRV2" s="14"/>
      <c r="SRW2" s="14"/>
      <c r="SRX2" s="14"/>
      <c r="SRY2" s="14"/>
      <c r="SRZ2" s="14"/>
      <c r="SSA2" s="14"/>
      <c r="SSB2" s="14"/>
      <c r="SSC2" s="14"/>
      <c r="SSD2" s="14"/>
      <c r="SSE2" s="14"/>
      <c r="SSF2" s="14"/>
      <c r="SSG2" s="14"/>
      <c r="SSH2" s="14"/>
      <c r="SSI2" s="14"/>
      <c r="SSJ2" s="14"/>
      <c r="SSK2" s="14"/>
      <c r="SSL2" s="14"/>
      <c r="SSM2" s="14"/>
      <c r="SSN2" s="14"/>
      <c r="SSO2" s="14"/>
      <c r="SSP2" s="14"/>
      <c r="SSQ2" s="14"/>
      <c r="SSR2" s="14"/>
      <c r="SSS2" s="14"/>
      <c r="SST2" s="14"/>
      <c r="SSU2" s="14"/>
      <c r="SSV2" s="14"/>
      <c r="SSW2" s="14"/>
      <c r="SSX2" s="14"/>
      <c r="SSY2" s="14"/>
      <c r="SSZ2" s="14"/>
      <c r="STA2" s="14"/>
      <c r="STB2" s="14"/>
      <c r="STC2" s="14"/>
      <c r="STD2" s="14"/>
      <c r="STE2" s="14"/>
      <c r="STF2" s="14"/>
      <c r="STG2" s="14"/>
      <c r="STH2" s="14"/>
      <c r="STI2" s="14"/>
      <c r="STJ2" s="14"/>
      <c r="STK2" s="14"/>
      <c r="STL2" s="14"/>
      <c r="STM2" s="14"/>
      <c r="STN2" s="14"/>
      <c r="STO2" s="14"/>
      <c r="STP2" s="14"/>
      <c r="STQ2" s="14"/>
      <c r="STR2" s="14"/>
      <c r="STS2" s="14"/>
      <c r="STT2" s="14"/>
      <c r="STU2" s="14"/>
      <c r="STV2" s="14"/>
      <c r="STW2" s="14"/>
      <c r="STX2" s="14"/>
      <c r="STY2" s="14"/>
      <c r="STZ2" s="14"/>
      <c r="SUA2" s="14"/>
      <c r="SUB2" s="14"/>
      <c r="SUC2" s="14"/>
      <c r="SUD2" s="14"/>
      <c r="SUE2" s="14"/>
      <c r="SUF2" s="14"/>
      <c r="SUG2" s="14"/>
      <c r="SUH2" s="14"/>
      <c r="SUI2" s="14"/>
      <c r="SUJ2" s="14"/>
      <c r="SUK2" s="14"/>
      <c r="SUL2" s="14"/>
      <c r="SUM2" s="14"/>
      <c r="SUN2" s="14"/>
      <c r="SUO2" s="14"/>
      <c r="SUP2" s="14"/>
      <c r="SUQ2" s="14"/>
      <c r="SUR2" s="14"/>
      <c r="SUS2" s="14"/>
      <c r="SUT2" s="14"/>
      <c r="SUU2" s="14"/>
      <c r="SUV2" s="14"/>
      <c r="SUW2" s="14"/>
      <c r="SUX2" s="14"/>
      <c r="SUY2" s="14"/>
      <c r="SUZ2" s="14"/>
      <c r="SVA2" s="14"/>
      <c r="SVB2" s="14"/>
      <c r="SVC2" s="14"/>
      <c r="SVD2" s="14"/>
      <c r="SVE2" s="14"/>
      <c r="SVF2" s="14"/>
      <c r="SVG2" s="14"/>
      <c r="SVH2" s="14"/>
      <c r="SVI2" s="14"/>
      <c r="SVJ2" s="14"/>
      <c r="SVK2" s="14"/>
      <c r="SVL2" s="14"/>
      <c r="SVM2" s="14"/>
      <c r="SVN2" s="14"/>
      <c r="SVO2" s="14"/>
      <c r="SVP2" s="14"/>
      <c r="SVQ2" s="14"/>
      <c r="SVR2" s="14"/>
      <c r="SVS2" s="14"/>
      <c r="SVT2" s="14"/>
      <c r="SVU2" s="14"/>
      <c r="SVV2" s="14"/>
      <c r="SVW2" s="14"/>
      <c r="SVX2" s="14"/>
      <c r="SVY2" s="14"/>
      <c r="SVZ2" s="14"/>
      <c r="SWA2" s="14"/>
      <c r="SWB2" s="14"/>
      <c r="SWC2" s="14"/>
      <c r="SWD2" s="14"/>
      <c r="SWE2" s="14"/>
      <c r="SWF2" s="14"/>
      <c r="SWG2" s="14"/>
      <c r="SWH2" s="14"/>
      <c r="SWI2" s="14"/>
      <c r="SWJ2" s="14"/>
      <c r="SWK2" s="14"/>
      <c r="SWL2" s="14"/>
      <c r="SWM2" s="14"/>
      <c r="SWN2" s="14"/>
      <c r="SWO2" s="14"/>
      <c r="SWP2" s="14"/>
      <c r="SWQ2" s="14"/>
      <c r="SWR2" s="14"/>
      <c r="SWS2" s="14"/>
      <c r="SWT2" s="14"/>
      <c r="SWU2" s="14"/>
      <c r="SWV2" s="14"/>
      <c r="SWW2" s="14"/>
      <c r="SWX2" s="14"/>
      <c r="SWY2" s="14"/>
      <c r="SWZ2" s="14"/>
      <c r="SXA2" s="14"/>
      <c r="SXB2" s="14"/>
      <c r="SXC2" s="14"/>
      <c r="SXD2" s="14"/>
      <c r="SXE2" s="14"/>
      <c r="SXF2" s="14"/>
      <c r="SXG2" s="14"/>
      <c r="SXH2" s="14"/>
      <c r="SXI2" s="14"/>
      <c r="SXJ2" s="14"/>
      <c r="SXK2" s="14"/>
      <c r="SXL2" s="14"/>
      <c r="SXM2" s="14"/>
      <c r="SXN2" s="14"/>
      <c r="SXO2" s="14"/>
      <c r="SXP2" s="14"/>
      <c r="SXQ2" s="14"/>
      <c r="SXR2" s="14"/>
      <c r="SXS2" s="14"/>
      <c r="SXT2" s="14"/>
      <c r="SXU2" s="14"/>
      <c r="SXV2" s="14"/>
      <c r="SXW2" s="14"/>
      <c r="SXX2" s="14"/>
      <c r="SXY2" s="14"/>
      <c r="SXZ2" s="14"/>
      <c r="SYA2" s="14"/>
      <c r="SYB2" s="14"/>
      <c r="SYC2" s="14"/>
      <c r="SYD2" s="14"/>
      <c r="SYE2" s="14"/>
      <c r="SYF2" s="14"/>
      <c r="SYG2" s="14"/>
      <c r="SYH2" s="14"/>
      <c r="SYI2" s="14"/>
      <c r="SYJ2" s="14"/>
      <c r="SYK2" s="14"/>
      <c r="SYL2" s="14"/>
      <c r="SYM2" s="14"/>
      <c r="SYN2" s="14"/>
      <c r="SYO2" s="14"/>
      <c r="SYP2" s="14"/>
      <c r="SYQ2" s="14"/>
      <c r="SYR2" s="14"/>
      <c r="SYS2" s="14"/>
      <c r="SYT2" s="14"/>
      <c r="SYU2" s="14"/>
      <c r="SYV2" s="14"/>
      <c r="SYW2" s="14"/>
      <c r="SYX2" s="14"/>
      <c r="SYY2" s="14"/>
      <c r="SYZ2" s="14"/>
      <c r="SZA2" s="14"/>
      <c r="SZB2" s="14"/>
      <c r="SZC2" s="14"/>
      <c r="SZD2" s="14"/>
      <c r="SZE2" s="14"/>
      <c r="SZF2" s="14"/>
      <c r="SZG2" s="14"/>
      <c r="SZH2" s="14"/>
      <c r="SZI2" s="14"/>
      <c r="SZJ2" s="14"/>
      <c r="SZK2" s="14"/>
      <c r="SZL2" s="14"/>
      <c r="SZM2" s="14"/>
      <c r="SZN2" s="14"/>
      <c r="SZO2" s="14"/>
      <c r="SZP2" s="14"/>
      <c r="SZQ2" s="14"/>
      <c r="SZR2" s="14"/>
      <c r="SZS2" s="14"/>
      <c r="SZT2" s="14"/>
      <c r="SZU2" s="14"/>
      <c r="SZV2" s="14"/>
      <c r="SZW2" s="14"/>
      <c r="SZX2" s="14"/>
      <c r="SZY2" s="14"/>
      <c r="SZZ2" s="14"/>
      <c r="TAA2" s="14"/>
      <c r="TAB2" s="14"/>
      <c r="TAC2" s="14"/>
      <c r="TAD2" s="14"/>
      <c r="TAE2" s="14"/>
      <c r="TAF2" s="14"/>
      <c r="TAG2" s="14"/>
      <c r="TAH2" s="14"/>
      <c r="TAI2" s="14"/>
      <c r="TAJ2" s="14"/>
      <c r="TAK2" s="14"/>
      <c r="TAL2" s="14"/>
      <c r="TAM2" s="14"/>
      <c r="TAN2" s="14"/>
      <c r="TAO2" s="14"/>
      <c r="TAP2" s="14"/>
      <c r="TAQ2" s="14"/>
      <c r="TAR2" s="14"/>
      <c r="TAS2" s="14"/>
      <c r="TAT2" s="14"/>
      <c r="TAU2" s="14"/>
      <c r="TAV2" s="14"/>
      <c r="TAW2" s="14"/>
      <c r="TAX2" s="14"/>
      <c r="TAY2" s="14"/>
      <c r="TAZ2" s="14"/>
      <c r="TBA2" s="14"/>
      <c r="TBB2" s="14"/>
      <c r="TBC2" s="14"/>
      <c r="TBD2" s="14"/>
      <c r="TBE2" s="14"/>
      <c r="TBF2" s="14"/>
      <c r="TBG2" s="14"/>
      <c r="TBH2" s="14"/>
      <c r="TBI2" s="14"/>
      <c r="TBJ2" s="14"/>
      <c r="TBK2" s="14"/>
      <c r="TBL2" s="14"/>
      <c r="TBM2" s="14"/>
      <c r="TBN2" s="14"/>
      <c r="TBO2" s="14"/>
      <c r="TBP2" s="14"/>
      <c r="TBQ2" s="14"/>
      <c r="TBR2" s="14"/>
      <c r="TBS2" s="14"/>
      <c r="TBT2" s="14"/>
      <c r="TBU2" s="14"/>
      <c r="TBV2" s="14"/>
      <c r="TBW2" s="14"/>
      <c r="TBX2" s="14"/>
      <c r="TBY2" s="14"/>
      <c r="TBZ2" s="14"/>
      <c r="TCA2" s="14"/>
      <c r="TCB2" s="14"/>
      <c r="TCC2" s="14"/>
      <c r="TCD2" s="14"/>
      <c r="TCE2" s="14"/>
      <c r="TCF2" s="14"/>
      <c r="TCG2" s="14"/>
      <c r="TCH2" s="14"/>
      <c r="TCI2" s="14"/>
      <c r="TCJ2" s="14"/>
      <c r="TCK2" s="14"/>
      <c r="TCL2" s="14"/>
      <c r="TCM2" s="14"/>
      <c r="TCN2" s="14"/>
      <c r="TCO2" s="14"/>
      <c r="TCP2" s="14"/>
      <c r="TCQ2" s="14"/>
      <c r="TCR2" s="14"/>
      <c r="TCS2" s="14"/>
      <c r="TCT2" s="14"/>
      <c r="TCU2" s="14"/>
      <c r="TCV2" s="14"/>
      <c r="TCW2" s="14"/>
      <c r="TCX2" s="14"/>
      <c r="TCY2" s="14"/>
      <c r="TCZ2" s="14"/>
      <c r="TDA2" s="14"/>
      <c r="TDB2" s="14"/>
      <c r="TDC2" s="14"/>
      <c r="TDD2" s="14"/>
      <c r="TDE2" s="14"/>
      <c r="TDF2" s="14"/>
      <c r="TDG2" s="14"/>
      <c r="TDH2" s="14"/>
      <c r="TDI2" s="14"/>
      <c r="TDJ2" s="14"/>
      <c r="TDK2" s="14"/>
      <c r="TDL2" s="14"/>
      <c r="TDM2" s="14"/>
      <c r="TDN2" s="14"/>
      <c r="TDO2" s="14"/>
      <c r="TDP2" s="14"/>
      <c r="TDQ2" s="14"/>
      <c r="TDR2" s="14"/>
      <c r="TDS2" s="14"/>
      <c r="TDT2" s="14"/>
      <c r="TDU2" s="14"/>
      <c r="TDV2" s="14"/>
      <c r="TDW2" s="14"/>
      <c r="TDX2" s="14"/>
      <c r="TDY2" s="14"/>
      <c r="TDZ2" s="14"/>
      <c r="TEA2" s="14"/>
      <c r="TEB2" s="14"/>
      <c r="TEC2" s="14"/>
      <c r="TED2" s="14"/>
      <c r="TEE2" s="14"/>
      <c r="TEF2" s="14"/>
      <c r="TEG2" s="14"/>
      <c r="TEH2" s="14"/>
      <c r="TEI2" s="14"/>
      <c r="TEJ2" s="14"/>
      <c r="TEK2" s="14"/>
      <c r="TEL2" s="14"/>
      <c r="TEM2" s="14"/>
      <c r="TEN2" s="14"/>
      <c r="TEO2" s="14"/>
      <c r="TEP2" s="14"/>
      <c r="TEQ2" s="14"/>
      <c r="TER2" s="14"/>
      <c r="TES2" s="14"/>
      <c r="TET2" s="14"/>
      <c r="TEU2" s="14"/>
      <c r="TEV2" s="14"/>
      <c r="TEW2" s="14"/>
      <c r="TEX2" s="14"/>
      <c r="TEY2" s="14"/>
      <c r="TEZ2" s="14"/>
      <c r="TFA2" s="14"/>
      <c r="TFB2" s="14"/>
      <c r="TFC2" s="14"/>
      <c r="TFD2" s="14"/>
      <c r="TFE2" s="14"/>
      <c r="TFF2" s="14"/>
      <c r="TFG2" s="14"/>
      <c r="TFH2" s="14"/>
      <c r="TFI2" s="14"/>
      <c r="TFJ2" s="14"/>
      <c r="TFK2" s="14"/>
      <c r="TFL2" s="14"/>
      <c r="TFM2" s="14"/>
      <c r="TFN2" s="14"/>
      <c r="TFO2" s="14"/>
      <c r="TFP2" s="14"/>
      <c r="TFQ2" s="14"/>
      <c r="TFR2" s="14"/>
      <c r="TFS2" s="14"/>
      <c r="TFT2" s="14"/>
      <c r="TFU2" s="14"/>
      <c r="TFV2" s="14"/>
      <c r="TFW2" s="14"/>
      <c r="TFX2" s="14"/>
      <c r="TFY2" s="14"/>
      <c r="TFZ2" s="14"/>
      <c r="TGA2" s="14"/>
      <c r="TGB2" s="14"/>
      <c r="TGC2" s="14"/>
      <c r="TGD2" s="14"/>
      <c r="TGE2" s="14"/>
      <c r="TGF2" s="14"/>
      <c r="TGG2" s="14"/>
      <c r="TGH2" s="14"/>
      <c r="TGI2" s="14"/>
      <c r="TGJ2" s="14"/>
      <c r="TGK2" s="14"/>
      <c r="TGL2" s="14"/>
      <c r="TGM2" s="14"/>
      <c r="TGN2" s="14"/>
      <c r="TGO2" s="14"/>
      <c r="TGP2" s="14"/>
      <c r="TGQ2" s="14"/>
      <c r="TGR2" s="14"/>
      <c r="TGS2" s="14"/>
      <c r="TGT2" s="14"/>
      <c r="TGU2" s="14"/>
      <c r="TGV2" s="14"/>
      <c r="TGW2" s="14"/>
      <c r="TGX2" s="14"/>
      <c r="TGY2" s="14"/>
      <c r="TGZ2" s="14"/>
      <c r="THA2" s="14"/>
      <c r="THB2" s="14"/>
      <c r="THC2" s="14"/>
      <c r="THD2" s="14"/>
      <c r="THE2" s="14"/>
      <c r="THF2" s="14"/>
      <c r="THG2" s="14"/>
      <c r="THH2" s="14"/>
      <c r="THI2" s="14"/>
      <c r="THJ2" s="14"/>
      <c r="THK2" s="14"/>
      <c r="THL2" s="14"/>
      <c r="THM2" s="14"/>
      <c r="THN2" s="14"/>
      <c r="THO2" s="14"/>
      <c r="THP2" s="14"/>
      <c r="THQ2" s="14"/>
      <c r="THR2" s="14"/>
      <c r="THS2" s="14"/>
      <c r="THT2" s="14"/>
      <c r="THU2" s="14"/>
      <c r="THV2" s="14"/>
      <c r="THW2" s="14"/>
      <c r="THX2" s="14"/>
      <c r="THY2" s="14"/>
      <c r="THZ2" s="14"/>
      <c r="TIA2" s="14"/>
      <c r="TIB2" s="14"/>
      <c r="TIC2" s="14"/>
      <c r="TID2" s="14"/>
      <c r="TIE2" s="14"/>
      <c r="TIF2" s="14"/>
      <c r="TIG2" s="14"/>
      <c r="TIH2" s="14"/>
      <c r="TII2" s="14"/>
      <c r="TIJ2" s="14"/>
      <c r="TIK2" s="14"/>
      <c r="TIL2" s="14"/>
      <c r="TIM2" s="14"/>
      <c r="TIN2" s="14"/>
      <c r="TIO2" s="14"/>
      <c r="TIP2" s="14"/>
      <c r="TIQ2" s="14"/>
      <c r="TIR2" s="14"/>
      <c r="TIS2" s="14"/>
      <c r="TIT2" s="14"/>
      <c r="TIU2" s="14"/>
      <c r="TIV2" s="14"/>
      <c r="TIW2" s="14"/>
      <c r="TIX2" s="14"/>
      <c r="TIY2" s="14"/>
      <c r="TIZ2" s="14"/>
      <c r="TJA2" s="14"/>
      <c r="TJB2" s="14"/>
      <c r="TJC2" s="14"/>
      <c r="TJD2" s="14"/>
      <c r="TJE2" s="14"/>
      <c r="TJF2" s="14"/>
      <c r="TJG2" s="14"/>
      <c r="TJH2" s="14"/>
      <c r="TJI2" s="14"/>
      <c r="TJJ2" s="14"/>
      <c r="TJK2" s="14"/>
      <c r="TJL2" s="14"/>
      <c r="TJM2" s="14"/>
      <c r="TJN2" s="14"/>
      <c r="TJO2" s="14"/>
      <c r="TJP2" s="14"/>
      <c r="TJQ2" s="14"/>
      <c r="TJR2" s="14"/>
      <c r="TJS2" s="14"/>
      <c r="TJT2" s="14"/>
      <c r="TJU2" s="14"/>
      <c r="TJV2" s="14"/>
      <c r="TJW2" s="14"/>
      <c r="TJX2" s="14"/>
      <c r="TJY2" s="14"/>
      <c r="TJZ2" s="14"/>
      <c r="TKA2" s="14"/>
      <c r="TKB2" s="14"/>
      <c r="TKC2" s="14"/>
      <c r="TKD2" s="14"/>
      <c r="TKE2" s="14"/>
      <c r="TKF2" s="14"/>
      <c r="TKG2" s="14"/>
      <c r="TKH2" s="14"/>
      <c r="TKI2" s="14"/>
      <c r="TKJ2" s="14"/>
      <c r="TKK2" s="14"/>
      <c r="TKL2" s="14"/>
      <c r="TKM2" s="14"/>
      <c r="TKN2" s="14"/>
      <c r="TKO2" s="14"/>
      <c r="TKP2" s="14"/>
      <c r="TKQ2" s="14"/>
      <c r="TKR2" s="14"/>
      <c r="TKS2" s="14"/>
      <c r="TKT2" s="14"/>
      <c r="TKU2" s="14"/>
      <c r="TKV2" s="14"/>
      <c r="TKW2" s="14"/>
      <c r="TKX2" s="14"/>
      <c r="TKY2" s="14"/>
      <c r="TKZ2" s="14"/>
      <c r="TLA2" s="14"/>
      <c r="TLB2" s="14"/>
      <c r="TLC2" s="14"/>
      <c r="TLD2" s="14"/>
      <c r="TLE2" s="14"/>
      <c r="TLF2" s="14"/>
      <c r="TLG2" s="14"/>
      <c r="TLH2" s="14"/>
      <c r="TLI2" s="14"/>
      <c r="TLJ2" s="14"/>
      <c r="TLK2" s="14"/>
      <c r="TLL2" s="14"/>
      <c r="TLM2" s="14"/>
      <c r="TLN2" s="14"/>
      <c r="TLO2" s="14"/>
      <c r="TLP2" s="14"/>
      <c r="TLQ2" s="14"/>
      <c r="TLR2" s="14"/>
      <c r="TLS2" s="14"/>
      <c r="TLT2" s="14"/>
      <c r="TLU2" s="14"/>
      <c r="TLV2" s="14"/>
      <c r="TLW2" s="14"/>
      <c r="TLX2" s="14"/>
      <c r="TLY2" s="14"/>
      <c r="TLZ2" s="14"/>
      <c r="TMA2" s="14"/>
      <c r="TMB2" s="14"/>
      <c r="TMC2" s="14"/>
      <c r="TMD2" s="14"/>
      <c r="TME2" s="14"/>
      <c r="TMF2" s="14"/>
      <c r="TMG2" s="14"/>
      <c r="TMH2" s="14"/>
      <c r="TMI2" s="14"/>
      <c r="TMJ2" s="14"/>
      <c r="TMK2" s="14"/>
      <c r="TML2" s="14"/>
      <c r="TMM2" s="14"/>
      <c r="TMN2" s="14"/>
      <c r="TMO2" s="14"/>
      <c r="TMP2" s="14"/>
      <c r="TMQ2" s="14"/>
      <c r="TMR2" s="14"/>
      <c r="TMS2" s="14"/>
      <c r="TMT2" s="14"/>
      <c r="TMU2" s="14"/>
      <c r="TMV2" s="14"/>
      <c r="TMW2" s="14"/>
      <c r="TMX2" s="14"/>
      <c r="TMY2" s="14"/>
      <c r="TMZ2" s="14"/>
      <c r="TNA2" s="14"/>
      <c r="TNB2" s="14"/>
      <c r="TNC2" s="14"/>
      <c r="TND2" s="14"/>
      <c r="TNE2" s="14"/>
      <c r="TNF2" s="14"/>
      <c r="TNG2" s="14"/>
      <c r="TNH2" s="14"/>
      <c r="TNI2" s="14"/>
      <c r="TNJ2" s="14"/>
      <c r="TNK2" s="14"/>
      <c r="TNL2" s="14"/>
      <c r="TNM2" s="14"/>
      <c r="TNN2" s="14"/>
      <c r="TNO2" s="14"/>
      <c r="TNP2" s="14"/>
      <c r="TNQ2" s="14"/>
      <c r="TNR2" s="14"/>
      <c r="TNS2" s="14"/>
      <c r="TNT2" s="14"/>
      <c r="TNU2" s="14"/>
      <c r="TNV2" s="14"/>
      <c r="TNW2" s="14"/>
      <c r="TNX2" s="14"/>
      <c r="TNY2" s="14"/>
      <c r="TNZ2" s="14"/>
      <c r="TOA2" s="14"/>
      <c r="TOB2" s="14"/>
      <c r="TOC2" s="14"/>
      <c r="TOD2" s="14"/>
      <c r="TOE2" s="14"/>
      <c r="TOF2" s="14"/>
      <c r="TOG2" s="14"/>
      <c r="TOH2" s="14"/>
      <c r="TOI2" s="14"/>
      <c r="TOJ2" s="14"/>
      <c r="TOK2" s="14"/>
      <c r="TOL2" s="14"/>
      <c r="TOM2" s="14"/>
      <c r="TON2" s="14"/>
      <c r="TOO2" s="14"/>
      <c r="TOP2" s="14"/>
      <c r="TOQ2" s="14"/>
      <c r="TOR2" s="14"/>
      <c r="TOS2" s="14"/>
      <c r="TOT2" s="14"/>
      <c r="TOU2" s="14"/>
      <c r="TOV2" s="14"/>
      <c r="TOW2" s="14"/>
      <c r="TOX2" s="14"/>
      <c r="TOY2" s="14"/>
      <c r="TOZ2" s="14"/>
      <c r="TPA2" s="14"/>
      <c r="TPB2" s="14"/>
      <c r="TPC2" s="14"/>
      <c r="TPD2" s="14"/>
      <c r="TPE2" s="14"/>
      <c r="TPF2" s="14"/>
      <c r="TPG2" s="14"/>
      <c r="TPH2" s="14"/>
      <c r="TPI2" s="14"/>
      <c r="TPJ2" s="14"/>
      <c r="TPK2" s="14"/>
      <c r="TPL2" s="14"/>
      <c r="TPM2" s="14"/>
      <c r="TPN2" s="14"/>
      <c r="TPO2" s="14"/>
      <c r="TPP2" s="14"/>
      <c r="TPQ2" s="14"/>
      <c r="TPR2" s="14"/>
      <c r="TPS2" s="14"/>
      <c r="TPT2" s="14"/>
      <c r="TPU2" s="14"/>
      <c r="TPV2" s="14"/>
      <c r="TPW2" s="14"/>
      <c r="TPX2" s="14"/>
      <c r="TPY2" s="14"/>
      <c r="TPZ2" s="14"/>
      <c r="TQA2" s="14"/>
      <c r="TQB2" s="14"/>
      <c r="TQC2" s="14"/>
      <c r="TQD2" s="14"/>
      <c r="TQE2" s="14"/>
      <c r="TQF2" s="14"/>
      <c r="TQG2" s="14"/>
      <c r="TQH2" s="14"/>
      <c r="TQI2" s="14"/>
      <c r="TQJ2" s="14"/>
      <c r="TQK2" s="14"/>
      <c r="TQL2" s="14"/>
      <c r="TQM2" s="14"/>
      <c r="TQN2" s="14"/>
      <c r="TQO2" s="14"/>
      <c r="TQP2" s="14"/>
      <c r="TQQ2" s="14"/>
      <c r="TQR2" s="14"/>
      <c r="TQS2" s="14"/>
      <c r="TQT2" s="14"/>
      <c r="TQU2" s="14"/>
      <c r="TQV2" s="14"/>
      <c r="TQW2" s="14"/>
      <c r="TQX2" s="14"/>
      <c r="TQY2" s="14"/>
      <c r="TQZ2" s="14"/>
      <c r="TRA2" s="14"/>
      <c r="TRB2" s="14"/>
      <c r="TRC2" s="14"/>
      <c r="TRD2" s="14"/>
      <c r="TRE2" s="14"/>
      <c r="TRF2" s="14"/>
      <c r="TRG2" s="14"/>
      <c r="TRH2" s="14"/>
      <c r="TRI2" s="14"/>
      <c r="TRJ2" s="14"/>
      <c r="TRK2" s="14"/>
      <c r="TRL2" s="14"/>
      <c r="TRM2" s="14"/>
      <c r="TRN2" s="14"/>
      <c r="TRO2" s="14"/>
      <c r="TRP2" s="14"/>
      <c r="TRQ2" s="14"/>
      <c r="TRR2" s="14"/>
      <c r="TRS2" s="14"/>
      <c r="TRT2" s="14"/>
      <c r="TRU2" s="14"/>
      <c r="TRV2" s="14"/>
      <c r="TRW2" s="14"/>
      <c r="TRX2" s="14"/>
      <c r="TRY2" s="14"/>
      <c r="TRZ2" s="14"/>
      <c r="TSA2" s="14"/>
      <c r="TSB2" s="14"/>
      <c r="TSC2" s="14"/>
      <c r="TSD2" s="14"/>
      <c r="TSE2" s="14"/>
      <c r="TSF2" s="14"/>
      <c r="TSG2" s="14"/>
      <c r="TSH2" s="14"/>
      <c r="TSI2" s="14"/>
      <c r="TSJ2" s="14"/>
      <c r="TSK2" s="14"/>
      <c r="TSL2" s="14"/>
      <c r="TSM2" s="14"/>
      <c r="TSN2" s="14"/>
      <c r="TSO2" s="14"/>
      <c r="TSP2" s="14"/>
      <c r="TSQ2" s="14"/>
      <c r="TSR2" s="14"/>
      <c r="TSS2" s="14"/>
      <c r="TST2" s="14"/>
      <c r="TSU2" s="14"/>
      <c r="TSV2" s="14"/>
      <c r="TSW2" s="14"/>
      <c r="TSX2" s="14"/>
      <c r="TSY2" s="14"/>
      <c r="TSZ2" s="14"/>
      <c r="TTA2" s="14"/>
      <c r="TTB2" s="14"/>
      <c r="TTC2" s="14"/>
      <c r="TTD2" s="14"/>
      <c r="TTE2" s="14"/>
      <c r="TTF2" s="14"/>
      <c r="TTG2" s="14"/>
      <c r="TTH2" s="14"/>
      <c r="TTI2" s="14"/>
      <c r="TTJ2" s="14"/>
      <c r="TTK2" s="14"/>
      <c r="TTL2" s="14"/>
      <c r="TTM2" s="14"/>
      <c r="TTN2" s="14"/>
      <c r="TTO2" s="14"/>
      <c r="TTP2" s="14"/>
      <c r="TTQ2" s="14"/>
      <c r="TTR2" s="14"/>
      <c r="TTS2" s="14"/>
      <c r="TTT2" s="14"/>
      <c r="TTU2" s="14"/>
      <c r="TTV2" s="14"/>
      <c r="TTW2" s="14"/>
      <c r="TTX2" s="14"/>
      <c r="TTY2" s="14"/>
      <c r="TTZ2" s="14"/>
      <c r="TUA2" s="14"/>
      <c r="TUB2" s="14"/>
      <c r="TUC2" s="14"/>
      <c r="TUD2" s="14"/>
      <c r="TUE2" s="14"/>
      <c r="TUF2" s="14"/>
      <c r="TUG2" s="14"/>
      <c r="TUH2" s="14"/>
      <c r="TUI2" s="14"/>
      <c r="TUJ2" s="14"/>
      <c r="TUK2" s="14"/>
      <c r="TUL2" s="14"/>
      <c r="TUM2" s="14"/>
      <c r="TUN2" s="14"/>
      <c r="TUO2" s="14"/>
      <c r="TUP2" s="14"/>
      <c r="TUQ2" s="14"/>
      <c r="TUR2" s="14"/>
      <c r="TUS2" s="14"/>
      <c r="TUT2" s="14"/>
      <c r="TUU2" s="14"/>
      <c r="TUV2" s="14"/>
      <c r="TUW2" s="14"/>
      <c r="TUX2" s="14"/>
      <c r="TUY2" s="14"/>
      <c r="TUZ2" s="14"/>
      <c r="TVA2" s="14"/>
      <c r="TVB2" s="14"/>
      <c r="TVC2" s="14"/>
      <c r="TVD2" s="14"/>
      <c r="TVE2" s="14"/>
      <c r="TVF2" s="14"/>
      <c r="TVG2" s="14"/>
      <c r="TVH2" s="14"/>
      <c r="TVI2" s="14"/>
      <c r="TVJ2" s="14"/>
      <c r="TVK2" s="14"/>
      <c r="TVL2" s="14"/>
      <c r="TVM2" s="14"/>
      <c r="TVN2" s="14"/>
      <c r="TVO2" s="14"/>
      <c r="TVP2" s="14"/>
      <c r="TVQ2" s="14"/>
      <c r="TVR2" s="14"/>
      <c r="TVS2" s="14"/>
      <c r="TVT2" s="14"/>
      <c r="TVU2" s="14"/>
      <c r="TVV2" s="14"/>
      <c r="TVW2" s="14"/>
      <c r="TVX2" s="14"/>
      <c r="TVY2" s="14"/>
      <c r="TVZ2" s="14"/>
      <c r="TWA2" s="14"/>
      <c r="TWB2" s="14"/>
      <c r="TWC2" s="14"/>
      <c r="TWD2" s="14"/>
      <c r="TWE2" s="14"/>
      <c r="TWF2" s="14"/>
      <c r="TWG2" s="14"/>
      <c r="TWH2" s="14"/>
      <c r="TWI2" s="14"/>
      <c r="TWJ2" s="14"/>
      <c r="TWK2" s="14"/>
      <c r="TWL2" s="14"/>
      <c r="TWM2" s="14"/>
      <c r="TWN2" s="14"/>
      <c r="TWO2" s="14"/>
      <c r="TWP2" s="14"/>
      <c r="TWQ2" s="14"/>
      <c r="TWR2" s="14"/>
      <c r="TWS2" s="14"/>
      <c r="TWT2" s="14"/>
      <c r="TWU2" s="14"/>
      <c r="TWV2" s="14"/>
      <c r="TWW2" s="14"/>
      <c r="TWX2" s="14"/>
      <c r="TWY2" s="14"/>
      <c r="TWZ2" s="14"/>
      <c r="TXA2" s="14"/>
      <c r="TXB2" s="14"/>
      <c r="TXC2" s="14"/>
      <c r="TXD2" s="14"/>
      <c r="TXE2" s="14"/>
      <c r="TXF2" s="14"/>
      <c r="TXG2" s="14"/>
      <c r="TXH2" s="14"/>
      <c r="TXI2" s="14"/>
      <c r="TXJ2" s="14"/>
      <c r="TXK2" s="14"/>
      <c r="TXL2" s="14"/>
      <c r="TXM2" s="14"/>
      <c r="TXN2" s="14"/>
      <c r="TXO2" s="14"/>
      <c r="TXP2" s="14"/>
      <c r="TXQ2" s="14"/>
      <c r="TXR2" s="14"/>
      <c r="TXS2" s="14"/>
      <c r="TXT2" s="14"/>
      <c r="TXU2" s="14"/>
      <c r="TXV2" s="14"/>
      <c r="TXW2" s="14"/>
      <c r="TXX2" s="14"/>
      <c r="TXY2" s="14"/>
      <c r="TXZ2" s="14"/>
      <c r="TYA2" s="14"/>
      <c r="TYB2" s="14"/>
      <c r="TYC2" s="14"/>
      <c r="TYD2" s="14"/>
      <c r="TYE2" s="14"/>
      <c r="TYF2" s="14"/>
      <c r="TYG2" s="14"/>
      <c r="TYH2" s="14"/>
      <c r="TYI2" s="14"/>
      <c r="TYJ2" s="14"/>
      <c r="TYK2" s="14"/>
      <c r="TYL2" s="14"/>
      <c r="TYM2" s="14"/>
      <c r="TYN2" s="14"/>
      <c r="TYO2" s="14"/>
      <c r="TYP2" s="14"/>
      <c r="TYQ2" s="14"/>
      <c r="TYR2" s="14"/>
      <c r="TYS2" s="14"/>
      <c r="TYT2" s="14"/>
      <c r="TYU2" s="14"/>
      <c r="TYV2" s="14"/>
      <c r="TYW2" s="14"/>
      <c r="TYX2" s="14"/>
      <c r="TYY2" s="14"/>
      <c r="TYZ2" s="14"/>
      <c r="TZA2" s="14"/>
      <c r="TZB2" s="14"/>
      <c r="TZC2" s="14"/>
      <c r="TZD2" s="14"/>
      <c r="TZE2" s="14"/>
      <c r="TZF2" s="14"/>
      <c r="TZG2" s="14"/>
      <c r="TZH2" s="14"/>
      <c r="TZI2" s="14"/>
      <c r="TZJ2" s="14"/>
      <c r="TZK2" s="14"/>
      <c r="TZL2" s="14"/>
      <c r="TZM2" s="14"/>
      <c r="TZN2" s="14"/>
      <c r="TZO2" s="14"/>
      <c r="TZP2" s="14"/>
      <c r="TZQ2" s="14"/>
      <c r="TZR2" s="14"/>
      <c r="TZS2" s="14"/>
      <c r="TZT2" s="14"/>
      <c r="TZU2" s="14"/>
      <c r="TZV2" s="14"/>
      <c r="TZW2" s="14"/>
      <c r="TZX2" s="14"/>
      <c r="TZY2" s="14"/>
      <c r="TZZ2" s="14"/>
      <c r="UAA2" s="14"/>
      <c r="UAB2" s="14"/>
      <c r="UAC2" s="14"/>
      <c r="UAD2" s="14"/>
      <c r="UAE2" s="14"/>
      <c r="UAF2" s="14"/>
      <c r="UAG2" s="14"/>
      <c r="UAH2" s="14"/>
      <c r="UAI2" s="14"/>
      <c r="UAJ2" s="14"/>
      <c r="UAK2" s="14"/>
      <c r="UAL2" s="14"/>
      <c r="UAM2" s="14"/>
      <c r="UAN2" s="14"/>
      <c r="UAO2" s="14"/>
      <c r="UAP2" s="14"/>
      <c r="UAQ2" s="14"/>
      <c r="UAR2" s="14"/>
      <c r="UAS2" s="14"/>
      <c r="UAT2" s="14"/>
      <c r="UAU2" s="14"/>
      <c r="UAV2" s="14"/>
      <c r="UAW2" s="14"/>
      <c r="UAX2" s="14"/>
      <c r="UAY2" s="14"/>
      <c r="UAZ2" s="14"/>
      <c r="UBA2" s="14"/>
      <c r="UBB2" s="14"/>
      <c r="UBC2" s="14"/>
      <c r="UBD2" s="14"/>
      <c r="UBE2" s="14"/>
      <c r="UBF2" s="14"/>
      <c r="UBG2" s="14"/>
      <c r="UBH2" s="14"/>
      <c r="UBI2" s="14"/>
      <c r="UBJ2" s="14"/>
      <c r="UBK2" s="14"/>
      <c r="UBL2" s="14"/>
      <c r="UBM2" s="14"/>
      <c r="UBN2" s="14"/>
      <c r="UBO2" s="14"/>
      <c r="UBP2" s="14"/>
      <c r="UBQ2" s="14"/>
      <c r="UBR2" s="14"/>
      <c r="UBS2" s="14"/>
      <c r="UBT2" s="14"/>
      <c r="UBU2" s="14"/>
      <c r="UBV2" s="14"/>
      <c r="UBW2" s="14"/>
      <c r="UBX2" s="14"/>
      <c r="UBY2" s="14"/>
      <c r="UBZ2" s="14"/>
      <c r="UCA2" s="14"/>
      <c r="UCB2" s="14"/>
      <c r="UCC2" s="14"/>
      <c r="UCD2" s="14"/>
      <c r="UCE2" s="14"/>
      <c r="UCF2" s="14"/>
      <c r="UCG2" s="14"/>
      <c r="UCH2" s="14"/>
      <c r="UCI2" s="14"/>
      <c r="UCJ2" s="14"/>
      <c r="UCK2" s="14"/>
      <c r="UCL2" s="14"/>
      <c r="UCM2" s="14"/>
      <c r="UCN2" s="14"/>
      <c r="UCO2" s="14"/>
      <c r="UCP2" s="14"/>
      <c r="UCQ2" s="14"/>
      <c r="UCR2" s="14"/>
      <c r="UCS2" s="14"/>
      <c r="UCT2" s="14"/>
      <c r="UCU2" s="14"/>
      <c r="UCV2" s="14"/>
      <c r="UCW2" s="14"/>
      <c r="UCX2" s="14"/>
      <c r="UCY2" s="14"/>
      <c r="UCZ2" s="14"/>
      <c r="UDA2" s="14"/>
      <c r="UDB2" s="14"/>
      <c r="UDC2" s="14"/>
      <c r="UDD2" s="14"/>
      <c r="UDE2" s="14"/>
      <c r="UDF2" s="14"/>
      <c r="UDG2" s="14"/>
      <c r="UDH2" s="14"/>
      <c r="UDI2" s="14"/>
      <c r="UDJ2" s="14"/>
      <c r="UDK2" s="14"/>
      <c r="UDL2" s="14"/>
      <c r="UDM2" s="14"/>
      <c r="UDN2" s="14"/>
      <c r="UDO2" s="14"/>
      <c r="UDP2" s="14"/>
      <c r="UDQ2" s="14"/>
      <c r="UDR2" s="14"/>
      <c r="UDS2" s="14"/>
      <c r="UDT2" s="14"/>
      <c r="UDU2" s="14"/>
      <c r="UDV2" s="14"/>
      <c r="UDW2" s="14"/>
      <c r="UDX2" s="14"/>
      <c r="UDY2" s="14"/>
      <c r="UDZ2" s="14"/>
      <c r="UEA2" s="14"/>
      <c r="UEB2" s="14"/>
      <c r="UEC2" s="14"/>
      <c r="UED2" s="14"/>
      <c r="UEE2" s="14"/>
      <c r="UEF2" s="14"/>
      <c r="UEG2" s="14"/>
      <c r="UEH2" s="14"/>
      <c r="UEI2" s="14"/>
      <c r="UEJ2" s="14"/>
      <c r="UEK2" s="14"/>
      <c r="UEL2" s="14"/>
      <c r="UEM2" s="14"/>
      <c r="UEN2" s="14"/>
      <c r="UEO2" s="14"/>
      <c r="UEP2" s="14"/>
      <c r="UEQ2" s="14"/>
      <c r="UER2" s="14"/>
      <c r="UES2" s="14"/>
      <c r="UET2" s="14"/>
      <c r="UEU2" s="14"/>
      <c r="UEV2" s="14"/>
      <c r="UEW2" s="14"/>
      <c r="UEX2" s="14"/>
      <c r="UEY2" s="14"/>
      <c r="UEZ2" s="14"/>
      <c r="UFA2" s="14"/>
      <c r="UFB2" s="14"/>
      <c r="UFC2" s="14"/>
      <c r="UFD2" s="14"/>
      <c r="UFE2" s="14"/>
      <c r="UFF2" s="14"/>
      <c r="UFG2" s="14"/>
      <c r="UFH2" s="14"/>
      <c r="UFI2" s="14"/>
      <c r="UFJ2" s="14"/>
      <c r="UFK2" s="14"/>
      <c r="UFL2" s="14"/>
      <c r="UFM2" s="14"/>
      <c r="UFN2" s="14"/>
      <c r="UFO2" s="14"/>
      <c r="UFP2" s="14"/>
      <c r="UFQ2" s="14"/>
      <c r="UFR2" s="14"/>
      <c r="UFS2" s="14"/>
      <c r="UFT2" s="14"/>
      <c r="UFU2" s="14"/>
      <c r="UFV2" s="14"/>
      <c r="UFW2" s="14"/>
      <c r="UFX2" s="14"/>
      <c r="UFY2" s="14"/>
      <c r="UFZ2" s="14"/>
      <c r="UGA2" s="14"/>
      <c r="UGB2" s="14"/>
      <c r="UGC2" s="14"/>
      <c r="UGD2" s="14"/>
      <c r="UGE2" s="14"/>
      <c r="UGF2" s="14"/>
      <c r="UGG2" s="14"/>
      <c r="UGH2" s="14"/>
      <c r="UGI2" s="14"/>
      <c r="UGJ2" s="14"/>
      <c r="UGK2" s="14"/>
      <c r="UGL2" s="14"/>
      <c r="UGM2" s="14"/>
      <c r="UGN2" s="14"/>
      <c r="UGO2" s="14"/>
      <c r="UGP2" s="14"/>
      <c r="UGQ2" s="14"/>
      <c r="UGR2" s="14"/>
      <c r="UGS2" s="14"/>
      <c r="UGT2" s="14"/>
      <c r="UGU2" s="14"/>
      <c r="UGV2" s="14"/>
      <c r="UGW2" s="14"/>
      <c r="UGX2" s="14"/>
      <c r="UGY2" s="14"/>
      <c r="UGZ2" s="14"/>
      <c r="UHA2" s="14"/>
      <c r="UHB2" s="14"/>
      <c r="UHC2" s="14"/>
      <c r="UHD2" s="14"/>
      <c r="UHE2" s="14"/>
      <c r="UHF2" s="14"/>
      <c r="UHG2" s="14"/>
      <c r="UHH2" s="14"/>
      <c r="UHI2" s="14"/>
      <c r="UHJ2" s="14"/>
      <c r="UHK2" s="14"/>
      <c r="UHL2" s="14"/>
      <c r="UHM2" s="14"/>
      <c r="UHN2" s="14"/>
      <c r="UHO2" s="14"/>
      <c r="UHP2" s="14"/>
      <c r="UHQ2" s="14"/>
      <c r="UHR2" s="14"/>
      <c r="UHS2" s="14"/>
      <c r="UHT2" s="14"/>
      <c r="UHU2" s="14"/>
      <c r="UHV2" s="14"/>
      <c r="UHW2" s="14"/>
      <c r="UHX2" s="14"/>
      <c r="UHY2" s="14"/>
      <c r="UHZ2" s="14"/>
      <c r="UIA2" s="14"/>
      <c r="UIB2" s="14"/>
      <c r="UIC2" s="14"/>
      <c r="UID2" s="14"/>
      <c r="UIE2" s="14"/>
      <c r="UIF2" s="14"/>
      <c r="UIG2" s="14"/>
      <c r="UIH2" s="14"/>
      <c r="UII2" s="14"/>
      <c r="UIJ2" s="14"/>
      <c r="UIK2" s="14"/>
      <c r="UIL2" s="14"/>
      <c r="UIM2" s="14"/>
      <c r="UIN2" s="14"/>
      <c r="UIO2" s="14"/>
      <c r="UIP2" s="14"/>
      <c r="UIQ2" s="14"/>
      <c r="UIR2" s="14"/>
      <c r="UIS2" s="14"/>
      <c r="UIT2" s="14"/>
      <c r="UIU2" s="14"/>
      <c r="UIV2" s="14"/>
      <c r="UIW2" s="14"/>
      <c r="UIX2" s="14"/>
      <c r="UIY2" s="14"/>
      <c r="UIZ2" s="14"/>
      <c r="UJA2" s="14"/>
      <c r="UJB2" s="14"/>
      <c r="UJC2" s="14"/>
      <c r="UJD2" s="14"/>
      <c r="UJE2" s="14"/>
      <c r="UJF2" s="14"/>
      <c r="UJG2" s="14"/>
      <c r="UJH2" s="14"/>
      <c r="UJI2" s="14"/>
      <c r="UJJ2" s="14"/>
      <c r="UJK2" s="14"/>
      <c r="UJL2" s="14"/>
      <c r="UJM2" s="14"/>
      <c r="UJN2" s="14"/>
      <c r="UJO2" s="14"/>
      <c r="UJP2" s="14"/>
      <c r="UJQ2" s="14"/>
      <c r="UJR2" s="14"/>
      <c r="UJS2" s="14"/>
      <c r="UJT2" s="14"/>
      <c r="UJU2" s="14"/>
      <c r="UJV2" s="14"/>
      <c r="UJW2" s="14"/>
      <c r="UJX2" s="14"/>
      <c r="UJY2" s="14"/>
      <c r="UJZ2" s="14"/>
      <c r="UKA2" s="14"/>
      <c r="UKB2" s="14"/>
      <c r="UKC2" s="14"/>
      <c r="UKD2" s="14"/>
      <c r="UKE2" s="14"/>
      <c r="UKF2" s="14"/>
      <c r="UKG2" s="14"/>
      <c r="UKH2" s="14"/>
      <c r="UKI2" s="14"/>
      <c r="UKJ2" s="14"/>
      <c r="UKK2" s="14"/>
      <c r="UKL2" s="14"/>
      <c r="UKM2" s="14"/>
      <c r="UKN2" s="14"/>
      <c r="UKO2" s="14"/>
      <c r="UKP2" s="14"/>
      <c r="UKQ2" s="14"/>
      <c r="UKR2" s="14"/>
      <c r="UKS2" s="14"/>
      <c r="UKT2" s="14"/>
      <c r="UKU2" s="14"/>
      <c r="UKV2" s="14"/>
      <c r="UKW2" s="14"/>
      <c r="UKX2" s="14"/>
      <c r="UKY2" s="14"/>
      <c r="UKZ2" s="14"/>
      <c r="ULA2" s="14"/>
      <c r="ULB2" s="14"/>
      <c r="ULC2" s="14"/>
      <c r="ULD2" s="14"/>
      <c r="ULE2" s="14"/>
      <c r="ULF2" s="14"/>
      <c r="ULG2" s="14"/>
      <c r="ULH2" s="14"/>
      <c r="ULI2" s="14"/>
      <c r="ULJ2" s="14"/>
      <c r="ULK2" s="14"/>
      <c r="ULL2" s="14"/>
      <c r="ULM2" s="14"/>
      <c r="ULN2" s="14"/>
      <c r="ULO2" s="14"/>
      <c r="ULP2" s="14"/>
      <c r="ULQ2" s="14"/>
      <c r="ULR2" s="14"/>
      <c r="ULS2" s="14"/>
      <c r="ULT2" s="14"/>
      <c r="ULU2" s="14"/>
      <c r="ULV2" s="14"/>
      <c r="ULW2" s="14"/>
      <c r="ULX2" s="14"/>
      <c r="ULY2" s="14"/>
      <c r="ULZ2" s="14"/>
      <c r="UMA2" s="14"/>
      <c r="UMB2" s="14"/>
      <c r="UMC2" s="14"/>
      <c r="UMD2" s="14"/>
      <c r="UME2" s="14"/>
      <c r="UMF2" s="14"/>
      <c r="UMG2" s="14"/>
      <c r="UMH2" s="14"/>
      <c r="UMI2" s="14"/>
      <c r="UMJ2" s="14"/>
      <c r="UMK2" s="14"/>
      <c r="UML2" s="14"/>
      <c r="UMM2" s="14"/>
      <c r="UMN2" s="14"/>
      <c r="UMO2" s="14"/>
      <c r="UMP2" s="14"/>
      <c r="UMQ2" s="14"/>
      <c r="UMR2" s="14"/>
      <c r="UMS2" s="14"/>
      <c r="UMT2" s="14"/>
      <c r="UMU2" s="14"/>
      <c r="UMV2" s="14"/>
      <c r="UMW2" s="14"/>
      <c r="UMX2" s="14"/>
      <c r="UMY2" s="14"/>
      <c r="UMZ2" s="14"/>
      <c r="UNA2" s="14"/>
      <c r="UNB2" s="14"/>
      <c r="UNC2" s="14"/>
      <c r="UND2" s="14"/>
      <c r="UNE2" s="14"/>
      <c r="UNF2" s="14"/>
      <c r="UNG2" s="14"/>
      <c r="UNH2" s="14"/>
      <c r="UNI2" s="14"/>
      <c r="UNJ2" s="14"/>
      <c r="UNK2" s="14"/>
      <c r="UNL2" s="14"/>
      <c r="UNM2" s="14"/>
      <c r="UNN2" s="14"/>
      <c r="UNO2" s="14"/>
      <c r="UNP2" s="14"/>
      <c r="UNQ2" s="14"/>
      <c r="UNR2" s="14"/>
      <c r="UNS2" s="14"/>
      <c r="UNT2" s="14"/>
      <c r="UNU2" s="14"/>
      <c r="UNV2" s="14"/>
      <c r="UNW2" s="14"/>
      <c r="UNX2" s="14"/>
      <c r="UNY2" s="14"/>
      <c r="UNZ2" s="14"/>
      <c r="UOA2" s="14"/>
      <c r="UOB2" s="14"/>
      <c r="UOC2" s="14"/>
      <c r="UOD2" s="14"/>
      <c r="UOE2" s="14"/>
      <c r="UOF2" s="14"/>
      <c r="UOG2" s="14"/>
      <c r="UOH2" s="14"/>
      <c r="UOI2" s="14"/>
      <c r="UOJ2" s="14"/>
      <c r="UOK2" s="14"/>
      <c r="UOL2" s="14"/>
      <c r="UOM2" s="14"/>
      <c r="UON2" s="14"/>
      <c r="UOO2" s="14"/>
      <c r="UOP2" s="14"/>
      <c r="UOQ2" s="14"/>
      <c r="UOR2" s="14"/>
      <c r="UOS2" s="14"/>
      <c r="UOT2" s="14"/>
      <c r="UOU2" s="14"/>
      <c r="UOV2" s="14"/>
      <c r="UOW2" s="14"/>
      <c r="UOX2" s="14"/>
      <c r="UOY2" s="14"/>
      <c r="UOZ2" s="14"/>
      <c r="UPA2" s="14"/>
      <c r="UPB2" s="14"/>
      <c r="UPC2" s="14"/>
      <c r="UPD2" s="14"/>
      <c r="UPE2" s="14"/>
      <c r="UPF2" s="14"/>
      <c r="UPG2" s="14"/>
      <c r="UPH2" s="14"/>
      <c r="UPI2" s="14"/>
      <c r="UPJ2" s="14"/>
      <c r="UPK2" s="14"/>
      <c r="UPL2" s="14"/>
      <c r="UPM2" s="14"/>
      <c r="UPN2" s="14"/>
      <c r="UPO2" s="14"/>
      <c r="UPP2" s="14"/>
      <c r="UPQ2" s="14"/>
      <c r="UPR2" s="14"/>
      <c r="UPS2" s="14"/>
      <c r="UPT2" s="14"/>
      <c r="UPU2" s="14"/>
      <c r="UPV2" s="14"/>
      <c r="UPW2" s="14"/>
      <c r="UPX2" s="14"/>
      <c r="UPY2" s="14"/>
      <c r="UPZ2" s="14"/>
      <c r="UQA2" s="14"/>
      <c r="UQB2" s="14"/>
      <c r="UQC2" s="14"/>
      <c r="UQD2" s="14"/>
      <c r="UQE2" s="14"/>
      <c r="UQF2" s="14"/>
      <c r="UQG2" s="14"/>
      <c r="UQH2" s="14"/>
      <c r="UQI2" s="14"/>
      <c r="UQJ2" s="14"/>
      <c r="UQK2" s="14"/>
      <c r="UQL2" s="14"/>
      <c r="UQM2" s="14"/>
      <c r="UQN2" s="14"/>
      <c r="UQO2" s="14"/>
      <c r="UQP2" s="14"/>
      <c r="UQQ2" s="14"/>
      <c r="UQR2" s="14"/>
      <c r="UQS2" s="14"/>
      <c r="UQT2" s="14"/>
      <c r="UQU2" s="14"/>
      <c r="UQV2" s="14"/>
      <c r="UQW2" s="14"/>
      <c r="UQX2" s="14"/>
      <c r="UQY2" s="14"/>
      <c r="UQZ2" s="14"/>
      <c r="URA2" s="14"/>
      <c r="URB2" s="14"/>
      <c r="URC2" s="14"/>
      <c r="URD2" s="14"/>
      <c r="URE2" s="14"/>
      <c r="URF2" s="14"/>
      <c r="URG2" s="14"/>
      <c r="URH2" s="14"/>
      <c r="URI2" s="14"/>
      <c r="URJ2" s="14"/>
      <c r="URK2" s="14"/>
      <c r="URL2" s="14"/>
      <c r="URM2" s="14"/>
      <c r="URN2" s="14"/>
      <c r="URO2" s="14"/>
      <c r="URP2" s="14"/>
      <c r="URQ2" s="14"/>
      <c r="URR2" s="14"/>
      <c r="URS2" s="14"/>
      <c r="URT2" s="14"/>
      <c r="URU2" s="14"/>
      <c r="URV2" s="14"/>
      <c r="URW2" s="14"/>
      <c r="URX2" s="14"/>
      <c r="URY2" s="14"/>
      <c r="URZ2" s="14"/>
      <c r="USA2" s="14"/>
      <c r="USB2" s="14"/>
      <c r="USC2" s="14"/>
      <c r="USD2" s="14"/>
      <c r="USE2" s="14"/>
      <c r="USF2" s="14"/>
      <c r="USG2" s="14"/>
      <c r="USH2" s="14"/>
      <c r="USI2" s="14"/>
      <c r="USJ2" s="14"/>
      <c r="USK2" s="14"/>
      <c r="USL2" s="14"/>
      <c r="USM2" s="14"/>
      <c r="USN2" s="14"/>
      <c r="USO2" s="14"/>
      <c r="USP2" s="14"/>
      <c r="USQ2" s="14"/>
      <c r="USR2" s="14"/>
      <c r="USS2" s="14"/>
      <c r="UST2" s="14"/>
      <c r="USU2" s="14"/>
      <c r="USV2" s="14"/>
      <c r="USW2" s="14"/>
      <c r="USX2" s="14"/>
      <c r="USY2" s="14"/>
      <c r="USZ2" s="14"/>
      <c r="UTA2" s="14"/>
      <c r="UTB2" s="14"/>
      <c r="UTC2" s="14"/>
      <c r="UTD2" s="14"/>
      <c r="UTE2" s="14"/>
      <c r="UTF2" s="14"/>
      <c r="UTG2" s="14"/>
      <c r="UTH2" s="14"/>
      <c r="UTI2" s="14"/>
      <c r="UTJ2" s="14"/>
      <c r="UTK2" s="14"/>
      <c r="UTL2" s="14"/>
      <c r="UTM2" s="14"/>
      <c r="UTN2" s="14"/>
      <c r="UTO2" s="14"/>
      <c r="UTP2" s="14"/>
      <c r="UTQ2" s="14"/>
      <c r="UTR2" s="14"/>
      <c r="UTS2" s="14"/>
      <c r="UTT2" s="14"/>
      <c r="UTU2" s="14"/>
      <c r="UTV2" s="14"/>
      <c r="UTW2" s="14"/>
      <c r="UTX2" s="14"/>
      <c r="UTY2" s="14"/>
      <c r="UTZ2" s="14"/>
      <c r="UUA2" s="14"/>
      <c r="UUB2" s="14"/>
      <c r="UUC2" s="14"/>
      <c r="UUD2" s="14"/>
      <c r="UUE2" s="14"/>
      <c r="UUF2" s="14"/>
      <c r="UUG2" s="14"/>
      <c r="UUH2" s="14"/>
      <c r="UUI2" s="14"/>
      <c r="UUJ2" s="14"/>
      <c r="UUK2" s="14"/>
      <c r="UUL2" s="14"/>
      <c r="UUM2" s="14"/>
      <c r="UUN2" s="14"/>
      <c r="UUO2" s="14"/>
      <c r="UUP2" s="14"/>
      <c r="UUQ2" s="14"/>
      <c r="UUR2" s="14"/>
      <c r="UUS2" s="14"/>
      <c r="UUT2" s="14"/>
      <c r="UUU2" s="14"/>
      <c r="UUV2" s="14"/>
      <c r="UUW2" s="14"/>
      <c r="UUX2" s="14"/>
      <c r="UUY2" s="14"/>
      <c r="UUZ2" s="14"/>
      <c r="UVA2" s="14"/>
      <c r="UVB2" s="14"/>
      <c r="UVC2" s="14"/>
      <c r="UVD2" s="14"/>
      <c r="UVE2" s="14"/>
      <c r="UVF2" s="14"/>
      <c r="UVG2" s="14"/>
      <c r="UVH2" s="14"/>
      <c r="UVI2" s="14"/>
      <c r="UVJ2" s="14"/>
      <c r="UVK2" s="14"/>
      <c r="UVL2" s="14"/>
      <c r="UVM2" s="14"/>
      <c r="UVN2" s="14"/>
      <c r="UVO2" s="14"/>
      <c r="UVP2" s="14"/>
      <c r="UVQ2" s="14"/>
      <c r="UVR2" s="14"/>
      <c r="UVS2" s="14"/>
      <c r="UVT2" s="14"/>
      <c r="UVU2" s="14"/>
      <c r="UVV2" s="14"/>
      <c r="UVW2" s="14"/>
      <c r="UVX2" s="14"/>
      <c r="UVY2" s="14"/>
      <c r="UVZ2" s="14"/>
      <c r="UWA2" s="14"/>
      <c r="UWB2" s="14"/>
      <c r="UWC2" s="14"/>
      <c r="UWD2" s="14"/>
      <c r="UWE2" s="14"/>
      <c r="UWF2" s="14"/>
      <c r="UWG2" s="14"/>
      <c r="UWH2" s="14"/>
      <c r="UWI2" s="14"/>
      <c r="UWJ2" s="14"/>
      <c r="UWK2" s="14"/>
      <c r="UWL2" s="14"/>
      <c r="UWM2" s="14"/>
      <c r="UWN2" s="14"/>
      <c r="UWO2" s="14"/>
      <c r="UWP2" s="14"/>
      <c r="UWQ2" s="14"/>
      <c r="UWR2" s="14"/>
      <c r="UWS2" s="14"/>
      <c r="UWT2" s="14"/>
      <c r="UWU2" s="14"/>
      <c r="UWV2" s="14"/>
      <c r="UWW2" s="14"/>
      <c r="UWX2" s="14"/>
      <c r="UWY2" s="14"/>
      <c r="UWZ2" s="14"/>
      <c r="UXA2" s="14"/>
      <c r="UXB2" s="14"/>
      <c r="UXC2" s="14"/>
      <c r="UXD2" s="14"/>
      <c r="UXE2" s="14"/>
      <c r="UXF2" s="14"/>
      <c r="UXG2" s="14"/>
      <c r="UXH2" s="14"/>
      <c r="UXI2" s="14"/>
      <c r="UXJ2" s="14"/>
      <c r="UXK2" s="14"/>
      <c r="UXL2" s="14"/>
      <c r="UXM2" s="14"/>
      <c r="UXN2" s="14"/>
      <c r="UXO2" s="14"/>
      <c r="UXP2" s="14"/>
      <c r="UXQ2" s="14"/>
      <c r="UXR2" s="14"/>
      <c r="UXS2" s="14"/>
      <c r="UXT2" s="14"/>
      <c r="UXU2" s="14"/>
      <c r="UXV2" s="14"/>
      <c r="UXW2" s="14"/>
      <c r="UXX2" s="14"/>
      <c r="UXY2" s="14"/>
      <c r="UXZ2" s="14"/>
      <c r="UYA2" s="14"/>
      <c r="UYB2" s="14"/>
      <c r="UYC2" s="14"/>
      <c r="UYD2" s="14"/>
      <c r="UYE2" s="14"/>
      <c r="UYF2" s="14"/>
      <c r="UYG2" s="14"/>
      <c r="UYH2" s="14"/>
      <c r="UYI2" s="14"/>
      <c r="UYJ2" s="14"/>
      <c r="UYK2" s="14"/>
      <c r="UYL2" s="14"/>
      <c r="UYM2" s="14"/>
      <c r="UYN2" s="14"/>
      <c r="UYO2" s="14"/>
      <c r="UYP2" s="14"/>
      <c r="UYQ2" s="14"/>
      <c r="UYR2" s="14"/>
      <c r="UYS2" s="14"/>
      <c r="UYT2" s="14"/>
      <c r="UYU2" s="14"/>
      <c r="UYV2" s="14"/>
      <c r="UYW2" s="14"/>
      <c r="UYX2" s="14"/>
      <c r="UYY2" s="14"/>
      <c r="UYZ2" s="14"/>
      <c r="UZA2" s="14"/>
      <c r="UZB2" s="14"/>
      <c r="UZC2" s="14"/>
      <c r="UZD2" s="14"/>
      <c r="UZE2" s="14"/>
      <c r="UZF2" s="14"/>
      <c r="UZG2" s="14"/>
      <c r="UZH2" s="14"/>
      <c r="UZI2" s="14"/>
      <c r="UZJ2" s="14"/>
      <c r="UZK2" s="14"/>
      <c r="UZL2" s="14"/>
      <c r="UZM2" s="14"/>
      <c r="UZN2" s="14"/>
      <c r="UZO2" s="14"/>
      <c r="UZP2" s="14"/>
      <c r="UZQ2" s="14"/>
      <c r="UZR2" s="14"/>
      <c r="UZS2" s="14"/>
      <c r="UZT2" s="14"/>
      <c r="UZU2" s="14"/>
      <c r="UZV2" s="14"/>
      <c r="UZW2" s="14"/>
      <c r="UZX2" s="14"/>
      <c r="UZY2" s="14"/>
      <c r="UZZ2" s="14"/>
      <c r="VAA2" s="14"/>
      <c r="VAB2" s="14"/>
      <c r="VAC2" s="14"/>
      <c r="VAD2" s="14"/>
      <c r="VAE2" s="14"/>
      <c r="VAF2" s="14"/>
      <c r="VAG2" s="14"/>
      <c r="VAH2" s="14"/>
      <c r="VAI2" s="14"/>
      <c r="VAJ2" s="14"/>
      <c r="VAK2" s="14"/>
      <c r="VAL2" s="14"/>
      <c r="VAM2" s="14"/>
      <c r="VAN2" s="14"/>
      <c r="VAO2" s="14"/>
      <c r="VAP2" s="14"/>
      <c r="VAQ2" s="14"/>
      <c r="VAR2" s="14"/>
      <c r="VAS2" s="14"/>
      <c r="VAT2" s="14"/>
      <c r="VAU2" s="14"/>
      <c r="VAV2" s="14"/>
      <c r="VAW2" s="14"/>
      <c r="VAX2" s="14"/>
      <c r="VAY2" s="14"/>
      <c r="VAZ2" s="14"/>
      <c r="VBA2" s="14"/>
      <c r="VBB2" s="14"/>
      <c r="VBC2" s="14"/>
      <c r="VBD2" s="14"/>
      <c r="VBE2" s="14"/>
      <c r="VBF2" s="14"/>
      <c r="VBG2" s="14"/>
      <c r="VBH2" s="14"/>
      <c r="VBI2" s="14"/>
      <c r="VBJ2" s="14"/>
      <c r="VBK2" s="14"/>
      <c r="VBL2" s="14"/>
      <c r="VBM2" s="14"/>
      <c r="VBN2" s="14"/>
      <c r="VBO2" s="14"/>
      <c r="VBP2" s="14"/>
      <c r="VBQ2" s="14"/>
      <c r="VBR2" s="14"/>
      <c r="VBS2" s="14"/>
      <c r="VBT2" s="14"/>
      <c r="VBU2" s="14"/>
      <c r="VBV2" s="14"/>
      <c r="VBW2" s="14"/>
      <c r="VBX2" s="14"/>
      <c r="VBY2" s="14"/>
      <c r="VBZ2" s="14"/>
      <c r="VCA2" s="14"/>
      <c r="VCB2" s="14"/>
      <c r="VCC2" s="14"/>
      <c r="VCD2" s="14"/>
      <c r="VCE2" s="14"/>
      <c r="VCF2" s="14"/>
      <c r="VCG2" s="14"/>
      <c r="VCH2" s="14"/>
      <c r="VCI2" s="14"/>
      <c r="VCJ2" s="14"/>
      <c r="VCK2" s="14"/>
      <c r="VCL2" s="14"/>
      <c r="VCM2" s="14"/>
      <c r="VCN2" s="14"/>
      <c r="VCO2" s="14"/>
      <c r="VCP2" s="14"/>
      <c r="VCQ2" s="14"/>
      <c r="VCR2" s="14"/>
      <c r="VCS2" s="14"/>
      <c r="VCT2" s="14"/>
      <c r="VCU2" s="14"/>
      <c r="VCV2" s="14"/>
      <c r="VCW2" s="14"/>
      <c r="VCX2" s="14"/>
      <c r="VCY2" s="14"/>
      <c r="VCZ2" s="14"/>
      <c r="VDA2" s="14"/>
      <c r="VDB2" s="14"/>
      <c r="VDC2" s="14"/>
      <c r="VDD2" s="14"/>
      <c r="VDE2" s="14"/>
      <c r="VDF2" s="14"/>
      <c r="VDG2" s="14"/>
      <c r="VDH2" s="14"/>
      <c r="VDI2" s="14"/>
      <c r="VDJ2" s="14"/>
      <c r="VDK2" s="14"/>
      <c r="VDL2" s="14"/>
      <c r="VDM2" s="14"/>
      <c r="VDN2" s="14"/>
      <c r="VDO2" s="14"/>
      <c r="VDP2" s="14"/>
      <c r="VDQ2" s="14"/>
      <c r="VDR2" s="14"/>
      <c r="VDS2" s="14"/>
      <c r="VDT2" s="14"/>
      <c r="VDU2" s="14"/>
      <c r="VDV2" s="14"/>
      <c r="VDW2" s="14"/>
      <c r="VDX2" s="14"/>
      <c r="VDY2" s="14"/>
      <c r="VDZ2" s="14"/>
      <c r="VEA2" s="14"/>
      <c r="VEB2" s="14"/>
      <c r="VEC2" s="14"/>
      <c r="VED2" s="14"/>
      <c r="VEE2" s="14"/>
      <c r="VEF2" s="14"/>
      <c r="VEG2" s="14"/>
      <c r="VEH2" s="14"/>
      <c r="VEI2" s="14"/>
      <c r="VEJ2" s="14"/>
      <c r="VEK2" s="14"/>
      <c r="VEL2" s="14"/>
      <c r="VEM2" s="14"/>
      <c r="VEN2" s="14"/>
      <c r="VEO2" s="14"/>
      <c r="VEP2" s="14"/>
      <c r="VEQ2" s="14"/>
      <c r="VER2" s="14"/>
      <c r="VES2" s="14"/>
      <c r="VET2" s="14"/>
      <c r="VEU2" s="14"/>
      <c r="VEV2" s="14"/>
      <c r="VEW2" s="14"/>
      <c r="VEX2" s="14"/>
      <c r="VEY2" s="14"/>
      <c r="VEZ2" s="14"/>
      <c r="VFA2" s="14"/>
      <c r="VFB2" s="14"/>
      <c r="VFC2" s="14"/>
      <c r="VFD2" s="14"/>
      <c r="VFE2" s="14"/>
      <c r="VFF2" s="14"/>
      <c r="VFG2" s="14"/>
      <c r="VFH2" s="14"/>
      <c r="VFI2" s="14"/>
      <c r="VFJ2" s="14"/>
      <c r="VFK2" s="14"/>
      <c r="VFL2" s="14"/>
      <c r="VFM2" s="14"/>
      <c r="VFN2" s="14"/>
      <c r="VFO2" s="14"/>
      <c r="VFP2" s="14"/>
      <c r="VFQ2" s="14"/>
      <c r="VFR2" s="14"/>
      <c r="VFS2" s="14"/>
      <c r="VFT2" s="14"/>
      <c r="VFU2" s="14"/>
      <c r="VFV2" s="14"/>
      <c r="VFW2" s="14"/>
      <c r="VFX2" s="14"/>
      <c r="VFY2" s="14"/>
      <c r="VFZ2" s="14"/>
      <c r="VGA2" s="14"/>
      <c r="VGB2" s="14"/>
      <c r="VGC2" s="14"/>
      <c r="VGD2" s="14"/>
      <c r="VGE2" s="14"/>
      <c r="VGF2" s="14"/>
      <c r="VGG2" s="14"/>
      <c r="VGH2" s="14"/>
      <c r="VGI2" s="14"/>
      <c r="VGJ2" s="14"/>
      <c r="VGK2" s="14"/>
      <c r="VGL2" s="14"/>
      <c r="VGM2" s="14"/>
      <c r="VGN2" s="14"/>
      <c r="VGO2" s="14"/>
      <c r="VGP2" s="14"/>
      <c r="VGQ2" s="14"/>
      <c r="VGR2" s="14"/>
      <c r="VGS2" s="14"/>
      <c r="VGT2" s="14"/>
      <c r="VGU2" s="14"/>
      <c r="VGV2" s="14"/>
      <c r="VGW2" s="14"/>
      <c r="VGX2" s="14"/>
      <c r="VGY2" s="14"/>
      <c r="VGZ2" s="14"/>
      <c r="VHA2" s="14"/>
      <c r="VHB2" s="14"/>
      <c r="VHC2" s="14"/>
      <c r="VHD2" s="14"/>
      <c r="VHE2" s="14"/>
      <c r="VHF2" s="14"/>
      <c r="VHG2" s="14"/>
      <c r="VHH2" s="14"/>
      <c r="VHI2" s="14"/>
      <c r="VHJ2" s="14"/>
      <c r="VHK2" s="14"/>
      <c r="VHL2" s="14"/>
      <c r="VHM2" s="14"/>
      <c r="VHN2" s="14"/>
      <c r="VHO2" s="14"/>
      <c r="VHP2" s="14"/>
      <c r="VHQ2" s="14"/>
      <c r="VHR2" s="14"/>
      <c r="VHS2" s="14"/>
      <c r="VHT2" s="14"/>
      <c r="VHU2" s="14"/>
      <c r="VHV2" s="14"/>
      <c r="VHW2" s="14"/>
      <c r="VHX2" s="14"/>
      <c r="VHY2" s="14"/>
      <c r="VHZ2" s="14"/>
      <c r="VIA2" s="14"/>
      <c r="VIB2" s="14"/>
      <c r="VIC2" s="14"/>
      <c r="VID2" s="14"/>
      <c r="VIE2" s="14"/>
      <c r="VIF2" s="14"/>
      <c r="VIG2" s="14"/>
      <c r="VIH2" s="14"/>
      <c r="VII2" s="14"/>
      <c r="VIJ2" s="14"/>
      <c r="VIK2" s="14"/>
      <c r="VIL2" s="14"/>
      <c r="VIM2" s="14"/>
      <c r="VIN2" s="14"/>
      <c r="VIO2" s="14"/>
      <c r="VIP2" s="14"/>
      <c r="VIQ2" s="14"/>
      <c r="VIR2" s="14"/>
      <c r="VIS2" s="14"/>
      <c r="VIT2" s="14"/>
      <c r="VIU2" s="14"/>
      <c r="VIV2" s="14"/>
      <c r="VIW2" s="14"/>
      <c r="VIX2" s="14"/>
      <c r="VIY2" s="14"/>
      <c r="VIZ2" s="14"/>
      <c r="VJA2" s="14"/>
      <c r="VJB2" s="14"/>
      <c r="VJC2" s="14"/>
      <c r="VJD2" s="14"/>
      <c r="VJE2" s="14"/>
      <c r="VJF2" s="14"/>
      <c r="VJG2" s="14"/>
      <c r="VJH2" s="14"/>
      <c r="VJI2" s="14"/>
      <c r="VJJ2" s="14"/>
      <c r="VJK2" s="14"/>
      <c r="VJL2" s="14"/>
      <c r="VJM2" s="14"/>
      <c r="VJN2" s="14"/>
      <c r="VJO2" s="14"/>
      <c r="VJP2" s="14"/>
      <c r="VJQ2" s="14"/>
      <c r="VJR2" s="14"/>
      <c r="VJS2" s="14"/>
      <c r="VJT2" s="14"/>
      <c r="VJU2" s="14"/>
      <c r="VJV2" s="14"/>
      <c r="VJW2" s="14"/>
      <c r="VJX2" s="14"/>
      <c r="VJY2" s="14"/>
      <c r="VJZ2" s="14"/>
      <c r="VKA2" s="14"/>
      <c r="VKB2" s="14"/>
      <c r="VKC2" s="14"/>
      <c r="VKD2" s="14"/>
      <c r="VKE2" s="14"/>
      <c r="VKF2" s="14"/>
      <c r="VKG2" s="14"/>
      <c r="VKH2" s="14"/>
      <c r="VKI2" s="14"/>
      <c r="VKJ2" s="14"/>
      <c r="VKK2" s="14"/>
      <c r="VKL2" s="14"/>
      <c r="VKM2" s="14"/>
      <c r="VKN2" s="14"/>
      <c r="VKO2" s="14"/>
      <c r="VKP2" s="14"/>
      <c r="VKQ2" s="14"/>
      <c r="VKR2" s="14"/>
      <c r="VKS2" s="14"/>
      <c r="VKT2" s="14"/>
      <c r="VKU2" s="14"/>
      <c r="VKV2" s="14"/>
      <c r="VKW2" s="14"/>
      <c r="VKX2" s="14"/>
      <c r="VKY2" s="14"/>
      <c r="VKZ2" s="14"/>
      <c r="VLA2" s="14"/>
      <c r="VLB2" s="14"/>
      <c r="VLC2" s="14"/>
      <c r="VLD2" s="14"/>
      <c r="VLE2" s="14"/>
      <c r="VLF2" s="14"/>
      <c r="VLG2" s="14"/>
      <c r="VLH2" s="14"/>
      <c r="VLI2" s="14"/>
      <c r="VLJ2" s="14"/>
      <c r="VLK2" s="14"/>
      <c r="VLL2" s="14"/>
      <c r="VLM2" s="14"/>
      <c r="VLN2" s="14"/>
      <c r="VLO2" s="14"/>
      <c r="VLP2" s="14"/>
      <c r="VLQ2" s="14"/>
      <c r="VLR2" s="14"/>
      <c r="VLS2" s="14"/>
      <c r="VLT2" s="14"/>
      <c r="VLU2" s="14"/>
      <c r="VLV2" s="14"/>
      <c r="VLW2" s="14"/>
      <c r="VLX2" s="14"/>
      <c r="VLY2" s="14"/>
      <c r="VLZ2" s="14"/>
      <c r="VMA2" s="14"/>
      <c r="VMB2" s="14"/>
      <c r="VMC2" s="14"/>
      <c r="VMD2" s="14"/>
      <c r="VME2" s="14"/>
      <c r="VMF2" s="14"/>
      <c r="VMG2" s="14"/>
      <c r="VMH2" s="14"/>
      <c r="VMI2" s="14"/>
      <c r="VMJ2" s="14"/>
      <c r="VMK2" s="14"/>
      <c r="VML2" s="14"/>
      <c r="VMM2" s="14"/>
      <c r="VMN2" s="14"/>
      <c r="VMO2" s="14"/>
      <c r="VMP2" s="14"/>
      <c r="VMQ2" s="14"/>
      <c r="VMR2" s="14"/>
      <c r="VMS2" s="14"/>
      <c r="VMT2" s="14"/>
      <c r="VMU2" s="14"/>
      <c r="VMV2" s="14"/>
      <c r="VMW2" s="14"/>
      <c r="VMX2" s="14"/>
      <c r="VMY2" s="14"/>
      <c r="VMZ2" s="14"/>
      <c r="VNA2" s="14"/>
      <c r="VNB2" s="14"/>
      <c r="VNC2" s="14"/>
      <c r="VND2" s="14"/>
      <c r="VNE2" s="14"/>
      <c r="VNF2" s="14"/>
      <c r="VNG2" s="14"/>
      <c r="VNH2" s="14"/>
      <c r="VNI2" s="14"/>
      <c r="VNJ2" s="14"/>
      <c r="VNK2" s="14"/>
      <c r="VNL2" s="14"/>
      <c r="VNM2" s="14"/>
      <c r="VNN2" s="14"/>
      <c r="VNO2" s="14"/>
      <c r="VNP2" s="14"/>
      <c r="VNQ2" s="14"/>
      <c r="VNR2" s="14"/>
      <c r="VNS2" s="14"/>
      <c r="VNT2" s="14"/>
      <c r="VNU2" s="14"/>
      <c r="VNV2" s="14"/>
      <c r="VNW2" s="14"/>
      <c r="VNX2" s="14"/>
      <c r="VNY2" s="14"/>
      <c r="VNZ2" s="14"/>
      <c r="VOA2" s="14"/>
      <c r="VOB2" s="14"/>
      <c r="VOC2" s="14"/>
      <c r="VOD2" s="14"/>
      <c r="VOE2" s="14"/>
      <c r="VOF2" s="14"/>
      <c r="VOG2" s="14"/>
      <c r="VOH2" s="14"/>
      <c r="VOI2" s="14"/>
      <c r="VOJ2" s="14"/>
      <c r="VOK2" s="14"/>
      <c r="VOL2" s="14"/>
      <c r="VOM2" s="14"/>
      <c r="VON2" s="14"/>
      <c r="VOO2" s="14"/>
      <c r="VOP2" s="14"/>
      <c r="VOQ2" s="14"/>
      <c r="VOR2" s="14"/>
      <c r="VOS2" s="14"/>
      <c r="VOT2" s="14"/>
      <c r="VOU2" s="14"/>
      <c r="VOV2" s="14"/>
      <c r="VOW2" s="14"/>
      <c r="VOX2" s="14"/>
      <c r="VOY2" s="14"/>
      <c r="VOZ2" s="14"/>
      <c r="VPA2" s="14"/>
      <c r="VPB2" s="14"/>
      <c r="VPC2" s="14"/>
      <c r="VPD2" s="14"/>
      <c r="VPE2" s="14"/>
      <c r="VPF2" s="14"/>
      <c r="VPG2" s="14"/>
      <c r="VPH2" s="14"/>
      <c r="VPI2" s="14"/>
      <c r="VPJ2" s="14"/>
      <c r="VPK2" s="14"/>
      <c r="VPL2" s="14"/>
      <c r="VPM2" s="14"/>
      <c r="VPN2" s="14"/>
      <c r="VPO2" s="14"/>
      <c r="VPP2" s="14"/>
      <c r="VPQ2" s="14"/>
      <c r="VPR2" s="14"/>
      <c r="VPS2" s="14"/>
      <c r="VPT2" s="14"/>
      <c r="VPU2" s="14"/>
      <c r="VPV2" s="14"/>
      <c r="VPW2" s="14"/>
      <c r="VPX2" s="14"/>
      <c r="VPY2" s="14"/>
      <c r="VPZ2" s="14"/>
      <c r="VQA2" s="14"/>
      <c r="VQB2" s="14"/>
      <c r="VQC2" s="14"/>
      <c r="VQD2" s="14"/>
      <c r="VQE2" s="14"/>
      <c r="VQF2" s="14"/>
      <c r="VQG2" s="14"/>
      <c r="VQH2" s="14"/>
      <c r="VQI2" s="14"/>
      <c r="VQJ2" s="14"/>
      <c r="VQK2" s="14"/>
      <c r="VQL2" s="14"/>
      <c r="VQM2" s="14"/>
      <c r="VQN2" s="14"/>
      <c r="VQO2" s="14"/>
      <c r="VQP2" s="14"/>
      <c r="VQQ2" s="14"/>
      <c r="VQR2" s="14"/>
      <c r="VQS2" s="14"/>
      <c r="VQT2" s="14"/>
      <c r="VQU2" s="14"/>
      <c r="VQV2" s="14"/>
      <c r="VQW2" s="14"/>
      <c r="VQX2" s="14"/>
      <c r="VQY2" s="14"/>
      <c r="VQZ2" s="14"/>
      <c r="VRA2" s="14"/>
      <c r="VRB2" s="14"/>
      <c r="VRC2" s="14"/>
      <c r="VRD2" s="14"/>
      <c r="VRE2" s="14"/>
      <c r="VRF2" s="14"/>
      <c r="VRG2" s="14"/>
      <c r="VRH2" s="14"/>
      <c r="VRI2" s="14"/>
      <c r="VRJ2" s="14"/>
      <c r="VRK2" s="14"/>
      <c r="VRL2" s="14"/>
      <c r="VRM2" s="14"/>
      <c r="VRN2" s="14"/>
      <c r="VRO2" s="14"/>
      <c r="VRP2" s="14"/>
      <c r="VRQ2" s="14"/>
      <c r="VRR2" s="14"/>
      <c r="VRS2" s="14"/>
      <c r="VRT2" s="14"/>
      <c r="VRU2" s="14"/>
      <c r="VRV2" s="14"/>
      <c r="VRW2" s="14"/>
      <c r="VRX2" s="14"/>
      <c r="VRY2" s="14"/>
      <c r="VRZ2" s="14"/>
      <c r="VSA2" s="14"/>
      <c r="VSB2" s="14"/>
      <c r="VSC2" s="14"/>
      <c r="VSD2" s="14"/>
      <c r="VSE2" s="14"/>
      <c r="VSF2" s="14"/>
      <c r="VSG2" s="14"/>
      <c r="VSH2" s="14"/>
      <c r="VSI2" s="14"/>
      <c r="VSJ2" s="14"/>
      <c r="VSK2" s="14"/>
      <c r="VSL2" s="14"/>
      <c r="VSM2" s="14"/>
      <c r="VSN2" s="14"/>
      <c r="VSO2" s="14"/>
      <c r="VSP2" s="14"/>
      <c r="VSQ2" s="14"/>
      <c r="VSR2" s="14"/>
      <c r="VSS2" s="14"/>
      <c r="VST2" s="14"/>
      <c r="VSU2" s="14"/>
      <c r="VSV2" s="14"/>
      <c r="VSW2" s="14"/>
      <c r="VSX2" s="14"/>
      <c r="VSY2" s="14"/>
      <c r="VSZ2" s="14"/>
      <c r="VTA2" s="14"/>
      <c r="VTB2" s="14"/>
      <c r="VTC2" s="14"/>
      <c r="VTD2" s="14"/>
      <c r="VTE2" s="14"/>
      <c r="VTF2" s="14"/>
      <c r="VTG2" s="14"/>
      <c r="VTH2" s="14"/>
      <c r="VTI2" s="14"/>
      <c r="VTJ2" s="14"/>
      <c r="VTK2" s="14"/>
      <c r="VTL2" s="14"/>
      <c r="VTM2" s="14"/>
      <c r="VTN2" s="14"/>
      <c r="VTO2" s="14"/>
      <c r="VTP2" s="14"/>
      <c r="VTQ2" s="14"/>
      <c r="VTR2" s="14"/>
      <c r="VTS2" s="14"/>
      <c r="VTT2" s="14"/>
      <c r="VTU2" s="14"/>
      <c r="VTV2" s="14"/>
      <c r="VTW2" s="14"/>
      <c r="VTX2" s="14"/>
      <c r="VTY2" s="14"/>
      <c r="VTZ2" s="14"/>
      <c r="VUA2" s="14"/>
      <c r="VUB2" s="14"/>
      <c r="VUC2" s="14"/>
      <c r="VUD2" s="14"/>
      <c r="VUE2" s="14"/>
      <c r="VUF2" s="14"/>
      <c r="VUG2" s="14"/>
      <c r="VUH2" s="14"/>
      <c r="VUI2" s="14"/>
      <c r="VUJ2" s="14"/>
      <c r="VUK2" s="14"/>
      <c r="VUL2" s="14"/>
      <c r="VUM2" s="14"/>
      <c r="VUN2" s="14"/>
      <c r="VUO2" s="14"/>
      <c r="VUP2" s="14"/>
      <c r="VUQ2" s="14"/>
      <c r="VUR2" s="14"/>
      <c r="VUS2" s="14"/>
      <c r="VUT2" s="14"/>
      <c r="VUU2" s="14"/>
      <c r="VUV2" s="14"/>
      <c r="VUW2" s="14"/>
      <c r="VUX2" s="14"/>
      <c r="VUY2" s="14"/>
      <c r="VUZ2" s="14"/>
      <c r="VVA2" s="14"/>
      <c r="VVB2" s="14"/>
      <c r="VVC2" s="14"/>
      <c r="VVD2" s="14"/>
      <c r="VVE2" s="14"/>
      <c r="VVF2" s="14"/>
      <c r="VVG2" s="14"/>
      <c r="VVH2" s="14"/>
      <c r="VVI2" s="14"/>
      <c r="VVJ2" s="14"/>
      <c r="VVK2" s="14"/>
      <c r="VVL2" s="14"/>
      <c r="VVM2" s="14"/>
      <c r="VVN2" s="14"/>
      <c r="VVO2" s="14"/>
      <c r="VVP2" s="14"/>
      <c r="VVQ2" s="14"/>
      <c r="VVR2" s="14"/>
      <c r="VVS2" s="14"/>
      <c r="VVT2" s="14"/>
      <c r="VVU2" s="14"/>
      <c r="VVV2" s="14"/>
      <c r="VVW2" s="14"/>
      <c r="VVX2" s="14"/>
      <c r="VVY2" s="14"/>
      <c r="VVZ2" s="14"/>
      <c r="VWA2" s="14"/>
      <c r="VWB2" s="14"/>
      <c r="VWC2" s="14"/>
      <c r="VWD2" s="14"/>
      <c r="VWE2" s="14"/>
      <c r="VWF2" s="14"/>
      <c r="VWG2" s="14"/>
      <c r="VWH2" s="14"/>
      <c r="VWI2" s="14"/>
      <c r="VWJ2" s="14"/>
      <c r="VWK2" s="14"/>
      <c r="VWL2" s="14"/>
      <c r="VWM2" s="14"/>
      <c r="VWN2" s="14"/>
      <c r="VWO2" s="14"/>
      <c r="VWP2" s="14"/>
      <c r="VWQ2" s="14"/>
      <c r="VWR2" s="14"/>
      <c r="VWS2" s="14"/>
      <c r="VWT2" s="14"/>
      <c r="VWU2" s="14"/>
      <c r="VWV2" s="14"/>
      <c r="VWW2" s="14"/>
      <c r="VWX2" s="14"/>
      <c r="VWY2" s="14"/>
      <c r="VWZ2" s="14"/>
      <c r="VXA2" s="14"/>
      <c r="VXB2" s="14"/>
      <c r="VXC2" s="14"/>
      <c r="VXD2" s="14"/>
      <c r="VXE2" s="14"/>
      <c r="VXF2" s="14"/>
      <c r="VXG2" s="14"/>
      <c r="VXH2" s="14"/>
      <c r="VXI2" s="14"/>
      <c r="VXJ2" s="14"/>
      <c r="VXK2" s="14"/>
      <c r="VXL2" s="14"/>
      <c r="VXM2" s="14"/>
      <c r="VXN2" s="14"/>
      <c r="VXO2" s="14"/>
      <c r="VXP2" s="14"/>
      <c r="VXQ2" s="14"/>
      <c r="VXR2" s="14"/>
      <c r="VXS2" s="14"/>
      <c r="VXT2" s="14"/>
      <c r="VXU2" s="14"/>
      <c r="VXV2" s="14"/>
      <c r="VXW2" s="14"/>
      <c r="VXX2" s="14"/>
      <c r="VXY2" s="14"/>
      <c r="VXZ2" s="14"/>
      <c r="VYA2" s="14"/>
      <c r="VYB2" s="14"/>
      <c r="VYC2" s="14"/>
      <c r="VYD2" s="14"/>
      <c r="VYE2" s="14"/>
      <c r="VYF2" s="14"/>
      <c r="VYG2" s="14"/>
      <c r="VYH2" s="14"/>
      <c r="VYI2" s="14"/>
      <c r="VYJ2" s="14"/>
      <c r="VYK2" s="14"/>
      <c r="VYL2" s="14"/>
      <c r="VYM2" s="14"/>
      <c r="VYN2" s="14"/>
      <c r="VYO2" s="14"/>
      <c r="VYP2" s="14"/>
      <c r="VYQ2" s="14"/>
      <c r="VYR2" s="14"/>
      <c r="VYS2" s="14"/>
      <c r="VYT2" s="14"/>
      <c r="VYU2" s="14"/>
      <c r="VYV2" s="14"/>
      <c r="VYW2" s="14"/>
      <c r="VYX2" s="14"/>
      <c r="VYY2" s="14"/>
      <c r="VYZ2" s="14"/>
      <c r="VZA2" s="14"/>
      <c r="VZB2" s="14"/>
      <c r="VZC2" s="14"/>
      <c r="VZD2" s="14"/>
      <c r="VZE2" s="14"/>
      <c r="VZF2" s="14"/>
      <c r="VZG2" s="14"/>
      <c r="VZH2" s="14"/>
      <c r="VZI2" s="14"/>
      <c r="VZJ2" s="14"/>
      <c r="VZK2" s="14"/>
      <c r="VZL2" s="14"/>
      <c r="VZM2" s="14"/>
      <c r="VZN2" s="14"/>
      <c r="VZO2" s="14"/>
      <c r="VZP2" s="14"/>
      <c r="VZQ2" s="14"/>
      <c r="VZR2" s="14"/>
      <c r="VZS2" s="14"/>
      <c r="VZT2" s="14"/>
      <c r="VZU2" s="14"/>
      <c r="VZV2" s="14"/>
      <c r="VZW2" s="14"/>
      <c r="VZX2" s="14"/>
      <c r="VZY2" s="14"/>
      <c r="VZZ2" s="14"/>
      <c r="WAA2" s="14"/>
      <c r="WAB2" s="14"/>
      <c r="WAC2" s="14"/>
      <c r="WAD2" s="14"/>
      <c r="WAE2" s="14"/>
      <c r="WAF2" s="14"/>
      <c r="WAG2" s="14"/>
      <c r="WAH2" s="14"/>
      <c r="WAI2" s="14"/>
      <c r="WAJ2" s="14"/>
      <c r="WAK2" s="14"/>
      <c r="WAL2" s="14"/>
      <c r="WAM2" s="14"/>
      <c r="WAN2" s="14"/>
      <c r="WAO2" s="14"/>
      <c r="WAP2" s="14"/>
      <c r="WAQ2" s="14"/>
      <c r="WAR2" s="14"/>
      <c r="WAS2" s="14"/>
      <c r="WAT2" s="14"/>
      <c r="WAU2" s="14"/>
      <c r="WAV2" s="14"/>
      <c r="WAW2" s="14"/>
      <c r="WAX2" s="14"/>
      <c r="WAY2" s="14"/>
      <c r="WAZ2" s="14"/>
      <c r="WBA2" s="14"/>
      <c r="WBB2" s="14"/>
      <c r="WBC2" s="14"/>
      <c r="WBD2" s="14"/>
      <c r="WBE2" s="14"/>
      <c r="WBF2" s="14"/>
      <c r="WBG2" s="14"/>
      <c r="WBH2" s="14"/>
      <c r="WBI2" s="14"/>
      <c r="WBJ2" s="14"/>
      <c r="WBK2" s="14"/>
      <c r="WBL2" s="14"/>
      <c r="WBM2" s="14"/>
      <c r="WBN2" s="14"/>
      <c r="WBO2" s="14"/>
      <c r="WBP2" s="14"/>
      <c r="WBQ2" s="14"/>
      <c r="WBR2" s="14"/>
      <c r="WBS2" s="14"/>
      <c r="WBT2" s="14"/>
      <c r="WBU2" s="14"/>
      <c r="WBV2" s="14"/>
      <c r="WBW2" s="14"/>
      <c r="WBX2" s="14"/>
      <c r="WBY2" s="14"/>
      <c r="WBZ2" s="14"/>
      <c r="WCA2" s="14"/>
      <c r="WCB2" s="14"/>
      <c r="WCC2" s="14"/>
      <c r="WCD2" s="14"/>
      <c r="WCE2" s="14"/>
      <c r="WCF2" s="14"/>
      <c r="WCG2" s="14"/>
      <c r="WCH2" s="14"/>
      <c r="WCI2" s="14"/>
      <c r="WCJ2" s="14"/>
      <c r="WCK2" s="14"/>
      <c r="WCL2" s="14"/>
      <c r="WCM2" s="14"/>
      <c r="WCN2" s="14"/>
      <c r="WCO2" s="14"/>
      <c r="WCP2" s="14"/>
      <c r="WCQ2" s="14"/>
      <c r="WCR2" s="14"/>
      <c r="WCS2" s="14"/>
      <c r="WCT2" s="14"/>
      <c r="WCU2" s="14"/>
      <c r="WCV2" s="14"/>
      <c r="WCW2" s="14"/>
      <c r="WCX2" s="14"/>
      <c r="WCY2" s="14"/>
      <c r="WCZ2" s="14"/>
      <c r="WDA2" s="14"/>
      <c r="WDB2" s="14"/>
      <c r="WDC2" s="14"/>
      <c r="WDD2" s="14"/>
      <c r="WDE2" s="14"/>
      <c r="WDF2" s="14"/>
      <c r="WDG2" s="14"/>
      <c r="WDH2" s="14"/>
      <c r="WDI2" s="14"/>
      <c r="WDJ2" s="14"/>
      <c r="WDK2" s="14"/>
      <c r="WDL2" s="14"/>
      <c r="WDM2" s="14"/>
      <c r="WDN2" s="14"/>
      <c r="WDO2" s="14"/>
      <c r="WDP2" s="14"/>
      <c r="WDQ2" s="14"/>
      <c r="WDR2" s="14"/>
      <c r="WDS2" s="14"/>
      <c r="WDT2" s="14"/>
      <c r="WDU2" s="14"/>
      <c r="WDV2" s="14"/>
      <c r="WDW2" s="14"/>
      <c r="WDX2" s="14"/>
      <c r="WDY2" s="14"/>
      <c r="WDZ2" s="14"/>
      <c r="WEA2" s="14"/>
      <c r="WEB2" s="14"/>
      <c r="WEC2" s="14"/>
      <c r="WED2" s="14"/>
      <c r="WEE2" s="14"/>
      <c r="WEF2" s="14"/>
      <c r="WEG2" s="14"/>
      <c r="WEH2" s="14"/>
      <c r="WEI2" s="14"/>
      <c r="WEJ2" s="14"/>
      <c r="WEK2" s="14"/>
      <c r="WEL2" s="14"/>
      <c r="WEM2" s="14"/>
      <c r="WEN2" s="14"/>
      <c r="WEO2" s="14"/>
      <c r="WEP2" s="14"/>
      <c r="WEQ2" s="14"/>
      <c r="WER2" s="14"/>
      <c r="WES2" s="14"/>
      <c r="WET2" s="14"/>
      <c r="WEU2" s="14"/>
      <c r="WEV2" s="14"/>
      <c r="WEW2" s="14"/>
      <c r="WEX2" s="14"/>
      <c r="WEY2" s="14"/>
      <c r="WEZ2" s="14"/>
      <c r="WFA2" s="14"/>
      <c r="WFB2" s="14"/>
      <c r="WFC2" s="14"/>
      <c r="WFD2" s="14"/>
      <c r="WFE2" s="14"/>
      <c r="WFF2" s="14"/>
      <c r="WFG2" s="14"/>
      <c r="WFH2" s="14"/>
      <c r="WFI2" s="14"/>
      <c r="WFJ2" s="14"/>
      <c r="WFK2" s="14"/>
      <c r="WFL2" s="14"/>
      <c r="WFM2" s="14"/>
      <c r="WFN2" s="14"/>
      <c r="WFO2" s="14"/>
      <c r="WFP2" s="14"/>
      <c r="WFQ2" s="14"/>
      <c r="WFR2" s="14"/>
      <c r="WFS2" s="14"/>
      <c r="WFT2" s="14"/>
      <c r="WFU2" s="14"/>
      <c r="WFV2" s="14"/>
      <c r="WFW2" s="14"/>
      <c r="WFX2" s="14"/>
      <c r="WFY2" s="14"/>
      <c r="WFZ2" s="14"/>
      <c r="WGA2" s="14"/>
      <c r="WGB2" s="14"/>
      <c r="WGC2" s="14"/>
      <c r="WGD2" s="14"/>
      <c r="WGE2" s="14"/>
      <c r="WGF2" s="14"/>
      <c r="WGG2" s="14"/>
      <c r="WGH2" s="14"/>
      <c r="WGI2" s="14"/>
      <c r="WGJ2" s="14"/>
      <c r="WGK2" s="14"/>
      <c r="WGL2" s="14"/>
      <c r="WGM2" s="14"/>
      <c r="WGN2" s="14"/>
      <c r="WGO2" s="14"/>
      <c r="WGP2" s="14"/>
      <c r="WGQ2" s="14"/>
      <c r="WGR2" s="14"/>
      <c r="WGS2" s="14"/>
      <c r="WGT2" s="14"/>
      <c r="WGU2" s="14"/>
      <c r="WGV2" s="14"/>
      <c r="WGW2" s="14"/>
      <c r="WGX2" s="14"/>
      <c r="WGY2" s="14"/>
      <c r="WGZ2" s="14"/>
      <c r="WHA2" s="14"/>
      <c r="WHB2" s="14"/>
      <c r="WHC2" s="14"/>
      <c r="WHD2" s="14"/>
      <c r="WHE2" s="14"/>
      <c r="WHF2" s="14"/>
      <c r="WHG2" s="14"/>
      <c r="WHH2" s="14"/>
      <c r="WHI2" s="14"/>
      <c r="WHJ2" s="14"/>
      <c r="WHK2" s="14"/>
      <c r="WHL2" s="14"/>
      <c r="WHM2" s="14"/>
      <c r="WHN2" s="14"/>
      <c r="WHO2" s="14"/>
      <c r="WHP2" s="14"/>
      <c r="WHQ2" s="14"/>
      <c r="WHR2" s="14"/>
      <c r="WHS2" s="14"/>
      <c r="WHT2" s="14"/>
      <c r="WHU2" s="14"/>
      <c r="WHV2" s="14"/>
      <c r="WHW2" s="14"/>
      <c r="WHX2" s="14"/>
      <c r="WHY2" s="14"/>
      <c r="WHZ2" s="14"/>
      <c r="WIA2" s="14"/>
      <c r="WIB2" s="14"/>
      <c r="WIC2" s="14"/>
      <c r="WID2" s="14"/>
      <c r="WIE2" s="14"/>
      <c r="WIF2" s="14"/>
      <c r="WIG2" s="14"/>
      <c r="WIH2" s="14"/>
      <c r="WII2" s="14"/>
      <c r="WIJ2" s="14"/>
      <c r="WIK2" s="14"/>
      <c r="WIL2" s="14"/>
      <c r="WIM2" s="14"/>
      <c r="WIN2" s="14"/>
      <c r="WIO2" s="14"/>
      <c r="WIP2" s="14"/>
      <c r="WIQ2" s="14"/>
      <c r="WIR2" s="14"/>
      <c r="WIS2" s="14"/>
      <c r="WIT2" s="14"/>
      <c r="WIU2" s="14"/>
      <c r="WIV2" s="14"/>
      <c r="WIW2" s="14"/>
      <c r="WIX2" s="14"/>
      <c r="WIY2" s="14"/>
      <c r="WIZ2" s="14"/>
      <c r="WJA2" s="14"/>
      <c r="WJB2" s="14"/>
      <c r="WJC2" s="14"/>
      <c r="WJD2" s="14"/>
      <c r="WJE2" s="14"/>
      <c r="WJF2" s="14"/>
      <c r="WJG2" s="14"/>
      <c r="WJH2" s="14"/>
      <c r="WJI2" s="14"/>
      <c r="WJJ2" s="14"/>
      <c r="WJK2" s="14"/>
      <c r="WJL2" s="14"/>
      <c r="WJM2" s="14"/>
      <c r="WJN2" s="14"/>
      <c r="WJO2" s="14"/>
      <c r="WJP2" s="14"/>
      <c r="WJQ2" s="14"/>
      <c r="WJR2" s="14"/>
      <c r="WJS2" s="14"/>
      <c r="WJT2" s="14"/>
      <c r="WJU2" s="14"/>
      <c r="WJV2" s="14"/>
      <c r="WJW2" s="14"/>
      <c r="WJX2" s="14"/>
      <c r="WJY2" s="14"/>
      <c r="WJZ2" s="14"/>
      <c r="WKA2" s="14"/>
      <c r="WKB2" s="14"/>
      <c r="WKC2" s="14"/>
      <c r="WKD2" s="14"/>
      <c r="WKE2" s="14"/>
      <c r="WKF2" s="14"/>
      <c r="WKG2" s="14"/>
      <c r="WKH2" s="14"/>
      <c r="WKI2" s="14"/>
      <c r="WKJ2" s="14"/>
      <c r="WKK2" s="14"/>
      <c r="WKL2" s="14"/>
      <c r="WKM2" s="14"/>
      <c r="WKN2" s="14"/>
      <c r="WKO2" s="14"/>
      <c r="WKP2" s="14"/>
      <c r="WKQ2" s="14"/>
      <c r="WKR2" s="14"/>
      <c r="WKS2" s="14"/>
      <c r="WKT2" s="14"/>
      <c r="WKU2" s="14"/>
      <c r="WKV2" s="14"/>
      <c r="WKW2" s="14"/>
      <c r="WKX2" s="14"/>
      <c r="WKY2" s="14"/>
      <c r="WKZ2" s="14"/>
      <c r="WLA2" s="14"/>
      <c r="WLB2" s="14"/>
      <c r="WLC2" s="14"/>
      <c r="WLD2" s="14"/>
      <c r="WLE2" s="14"/>
      <c r="WLF2" s="14"/>
      <c r="WLG2" s="14"/>
      <c r="WLH2" s="14"/>
      <c r="WLI2" s="14"/>
      <c r="WLJ2" s="14"/>
      <c r="WLK2" s="14"/>
      <c r="WLL2" s="14"/>
      <c r="WLM2" s="14"/>
      <c r="WLN2" s="14"/>
      <c r="WLO2" s="14"/>
      <c r="WLP2" s="14"/>
      <c r="WLQ2" s="14"/>
      <c r="WLR2" s="14"/>
      <c r="WLS2" s="14"/>
      <c r="WLT2" s="14"/>
      <c r="WLU2" s="14"/>
      <c r="WLV2" s="14"/>
      <c r="WLW2" s="14"/>
      <c r="WLX2" s="14"/>
      <c r="WLY2" s="14"/>
      <c r="WLZ2" s="14"/>
      <c r="WMA2" s="14"/>
      <c r="WMB2" s="14"/>
      <c r="WMC2" s="14"/>
      <c r="WMD2" s="14"/>
      <c r="WME2" s="14"/>
      <c r="WMF2" s="14"/>
      <c r="WMG2" s="14"/>
      <c r="WMH2" s="14"/>
      <c r="WMI2" s="14"/>
      <c r="WMJ2" s="14"/>
      <c r="WMK2" s="14"/>
      <c r="WML2" s="14"/>
      <c r="WMM2" s="14"/>
      <c r="WMN2" s="14"/>
      <c r="WMO2" s="14"/>
      <c r="WMP2" s="14"/>
      <c r="WMQ2" s="14"/>
      <c r="WMR2" s="14"/>
      <c r="WMS2" s="14"/>
      <c r="WMT2" s="14"/>
      <c r="WMU2" s="14"/>
      <c r="WMV2" s="14"/>
      <c r="WMW2" s="14"/>
      <c r="WMX2" s="14"/>
      <c r="WMY2" s="14"/>
      <c r="WMZ2" s="14"/>
      <c r="WNA2" s="14"/>
      <c r="WNB2" s="14"/>
      <c r="WNC2" s="14"/>
      <c r="WND2" s="14"/>
      <c r="WNE2" s="14"/>
      <c r="WNF2" s="14"/>
      <c r="WNG2" s="14"/>
      <c r="WNH2" s="14"/>
      <c r="WNI2" s="14"/>
      <c r="WNJ2" s="14"/>
      <c r="WNK2" s="14"/>
      <c r="WNL2" s="14"/>
      <c r="WNM2" s="14"/>
      <c r="WNN2" s="14"/>
      <c r="WNO2" s="14"/>
      <c r="WNP2" s="14"/>
      <c r="WNQ2" s="14"/>
      <c r="WNR2" s="14"/>
      <c r="WNS2" s="14"/>
      <c r="WNT2" s="14"/>
      <c r="WNU2" s="14"/>
      <c r="WNV2" s="14"/>
      <c r="WNW2" s="14"/>
      <c r="WNX2" s="14"/>
      <c r="WNY2" s="14"/>
      <c r="WNZ2" s="14"/>
      <c r="WOA2" s="14"/>
      <c r="WOB2" s="14"/>
      <c r="WOC2" s="14"/>
      <c r="WOD2" s="14"/>
      <c r="WOE2" s="14"/>
      <c r="WOF2" s="14"/>
      <c r="WOG2" s="14"/>
      <c r="WOH2" s="14"/>
      <c r="WOI2" s="14"/>
      <c r="WOJ2" s="14"/>
      <c r="WOK2" s="14"/>
      <c r="WOL2" s="14"/>
      <c r="WOM2" s="14"/>
      <c r="WON2" s="14"/>
      <c r="WOO2" s="14"/>
      <c r="WOP2" s="14"/>
      <c r="WOQ2" s="14"/>
      <c r="WOR2" s="14"/>
      <c r="WOS2" s="14"/>
      <c r="WOT2" s="14"/>
      <c r="WOU2" s="14"/>
      <c r="WOV2" s="14"/>
      <c r="WOW2" s="14"/>
      <c r="WOX2" s="14"/>
      <c r="WOY2" s="14"/>
      <c r="WOZ2" s="14"/>
      <c r="WPA2" s="14"/>
      <c r="WPB2" s="14"/>
      <c r="WPC2" s="14"/>
      <c r="WPD2" s="14"/>
      <c r="WPE2" s="14"/>
      <c r="WPF2" s="14"/>
      <c r="WPG2" s="14"/>
      <c r="WPH2" s="14"/>
      <c r="WPI2" s="14"/>
      <c r="WPJ2" s="14"/>
      <c r="WPK2" s="14"/>
      <c r="WPL2" s="14"/>
      <c r="WPM2" s="14"/>
      <c r="WPN2" s="14"/>
      <c r="WPO2" s="14"/>
      <c r="WPP2" s="14"/>
      <c r="WPQ2" s="14"/>
      <c r="WPR2" s="14"/>
      <c r="WPS2" s="14"/>
      <c r="WPT2" s="14"/>
      <c r="WPU2" s="14"/>
      <c r="WPV2" s="14"/>
      <c r="WPW2" s="14"/>
      <c r="WPX2" s="14"/>
      <c r="WPY2" s="14"/>
      <c r="WPZ2" s="14"/>
      <c r="WQA2" s="14"/>
      <c r="WQB2" s="14"/>
      <c r="WQC2" s="14"/>
      <c r="WQD2" s="14"/>
      <c r="WQE2" s="14"/>
      <c r="WQF2" s="14"/>
      <c r="WQG2" s="14"/>
      <c r="WQH2" s="14"/>
      <c r="WQI2" s="14"/>
      <c r="WQJ2" s="14"/>
      <c r="WQK2" s="14"/>
      <c r="WQL2" s="14"/>
      <c r="WQM2" s="14"/>
      <c r="WQN2" s="14"/>
      <c r="WQO2" s="14"/>
      <c r="WQP2" s="14"/>
      <c r="WQQ2" s="14"/>
      <c r="WQR2" s="14"/>
      <c r="WQS2" s="14"/>
      <c r="WQT2" s="14"/>
      <c r="WQU2" s="14"/>
      <c r="WQV2" s="14"/>
      <c r="WQW2" s="14"/>
      <c r="WQX2" s="14"/>
      <c r="WQY2" s="14"/>
      <c r="WQZ2" s="14"/>
      <c r="WRA2" s="14"/>
      <c r="WRB2" s="14"/>
      <c r="WRC2" s="14"/>
      <c r="WRD2" s="14"/>
      <c r="WRE2" s="14"/>
      <c r="WRF2" s="14"/>
      <c r="WRG2" s="14"/>
      <c r="WRH2" s="14"/>
      <c r="WRI2" s="14"/>
      <c r="WRJ2" s="14"/>
      <c r="WRK2" s="14"/>
      <c r="WRL2" s="14"/>
      <c r="WRM2" s="14"/>
      <c r="WRN2" s="14"/>
      <c r="WRO2" s="14"/>
      <c r="WRP2" s="14"/>
      <c r="WRQ2" s="14"/>
      <c r="WRR2" s="14"/>
      <c r="WRS2" s="14"/>
      <c r="WRT2" s="14"/>
      <c r="WRU2" s="14"/>
      <c r="WRV2" s="14"/>
      <c r="WRW2" s="14"/>
      <c r="WRX2" s="14"/>
      <c r="WRY2" s="14"/>
      <c r="WRZ2" s="14"/>
      <c r="WSA2" s="14"/>
      <c r="WSB2" s="14"/>
      <c r="WSC2" s="14"/>
      <c r="WSD2" s="14"/>
      <c r="WSE2" s="14"/>
      <c r="WSF2" s="14"/>
      <c r="WSG2" s="14"/>
      <c r="WSH2" s="14"/>
      <c r="WSI2" s="14"/>
      <c r="WSJ2" s="14"/>
      <c r="WSK2" s="14"/>
      <c r="WSL2" s="14"/>
      <c r="WSM2" s="14"/>
      <c r="WSN2" s="14"/>
      <c r="WSO2" s="14"/>
      <c r="WSP2" s="14"/>
      <c r="WSQ2" s="14"/>
      <c r="WSR2" s="14"/>
      <c r="WSS2" s="14"/>
      <c r="WST2" s="14"/>
      <c r="WSU2" s="14"/>
      <c r="WSV2" s="14"/>
      <c r="WSW2" s="14"/>
      <c r="WSX2" s="14"/>
      <c r="WSY2" s="14"/>
      <c r="WSZ2" s="14"/>
      <c r="WTA2" s="14"/>
      <c r="WTB2" s="14"/>
      <c r="WTC2" s="14"/>
      <c r="WTD2" s="14"/>
      <c r="WTE2" s="14"/>
      <c r="WTF2" s="14"/>
      <c r="WTG2" s="14"/>
      <c r="WTH2" s="14"/>
      <c r="WTI2" s="14"/>
      <c r="WTJ2" s="14"/>
      <c r="WTK2" s="14"/>
      <c r="WTL2" s="14"/>
      <c r="WTM2" s="14"/>
      <c r="WTN2" s="14"/>
      <c r="WTO2" s="14"/>
      <c r="WTP2" s="14"/>
      <c r="WTQ2" s="14"/>
      <c r="WTR2" s="14"/>
      <c r="WTS2" s="14"/>
      <c r="WTT2" s="14"/>
      <c r="WTU2" s="14"/>
      <c r="WTV2" s="14"/>
      <c r="WTW2" s="14"/>
      <c r="WTX2" s="14"/>
      <c r="WTY2" s="14"/>
      <c r="WTZ2" s="14"/>
      <c r="WUA2" s="14"/>
      <c r="WUB2" s="14"/>
      <c r="WUC2" s="14"/>
      <c r="WUD2" s="14"/>
      <c r="WUE2" s="14"/>
      <c r="WUF2" s="14"/>
      <c r="WUG2" s="14"/>
      <c r="WUH2" s="14"/>
      <c r="WUI2" s="14"/>
      <c r="WUJ2" s="14"/>
      <c r="WUK2" s="14"/>
      <c r="WUL2" s="14"/>
      <c r="WUM2" s="14"/>
      <c r="WUN2" s="14"/>
      <c r="WUO2" s="14"/>
      <c r="WUP2" s="14"/>
      <c r="WUQ2" s="14"/>
      <c r="WUR2" s="14"/>
      <c r="WUS2" s="14"/>
      <c r="WUT2" s="14"/>
      <c r="WUU2" s="14"/>
      <c r="WUV2" s="14"/>
      <c r="WUW2" s="14"/>
      <c r="WUX2" s="14"/>
      <c r="WUY2" s="14"/>
      <c r="WUZ2" s="14"/>
      <c r="WVA2" s="14"/>
      <c r="WVB2" s="14"/>
      <c r="WVC2" s="14"/>
      <c r="WVD2" s="14"/>
      <c r="WVE2" s="14"/>
      <c r="WVF2" s="14"/>
      <c r="WVG2" s="14"/>
      <c r="WVH2" s="14"/>
      <c r="WVI2" s="14"/>
      <c r="WVJ2" s="14"/>
      <c r="WVK2" s="14"/>
      <c r="WVL2" s="14"/>
      <c r="WVM2" s="14"/>
      <c r="WVN2" s="14"/>
      <c r="WVO2" s="14"/>
      <c r="WVP2" s="14"/>
      <c r="WVQ2" s="14"/>
      <c r="WVR2" s="14"/>
      <c r="WVS2" s="14"/>
      <c r="WVT2" s="14"/>
      <c r="WVU2" s="14"/>
      <c r="WVV2" s="14"/>
      <c r="WVW2" s="14"/>
      <c r="WVX2" s="14"/>
      <c r="WVY2" s="14"/>
      <c r="WVZ2" s="14"/>
      <c r="WWA2" s="14"/>
      <c r="WWB2" s="14"/>
      <c r="WWC2" s="14"/>
      <c r="WWD2" s="14"/>
      <c r="WWE2" s="14"/>
      <c r="WWF2" s="14"/>
      <c r="WWG2" s="14"/>
      <c r="WWH2" s="14"/>
      <c r="WWI2" s="14"/>
      <c r="WWJ2" s="14"/>
      <c r="WWK2" s="14"/>
      <c r="WWL2" s="14"/>
      <c r="WWM2" s="14"/>
      <c r="WWN2" s="14"/>
      <c r="WWO2" s="14"/>
      <c r="WWP2" s="14"/>
      <c r="WWQ2" s="14"/>
      <c r="WWR2" s="14"/>
      <c r="WWS2" s="14"/>
      <c r="WWT2" s="14"/>
      <c r="WWU2" s="14"/>
      <c r="WWV2" s="14"/>
      <c r="WWW2" s="14"/>
      <c r="WWX2" s="14"/>
      <c r="WWY2" s="14"/>
      <c r="WWZ2" s="14"/>
      <c r="WXA2" s="14"/>
      <c r="WXB2" s="14"/>
      <c r="WXC2" s="14"/>
      <c r="WXD2" s="14"/>
      <c r="WXE2" s="14"/>
      <c r="WXF2" s="14"/>
      <c r="WXG2" s="14"/>
      <c r="WXH2" s="14"/>
      <c r="WXI2" s="14"/>
      <c r="WXJ2" s="14"/>
      <c r="WXK2" s="14"/>
      <c r="WXL2" s="14"/>
      <c r="WXM2" s="14"/>
      <c r="WXN2" s="14"/>
      <c r="WXO2" s="14"/>
      <c r="WXP2" s="14"/>
      <c r="WXQ2" s="14"/>
      <c r="WXR2" s="14"/>
      <c r="WXS2" s="14"/>
      <c r="WXT2" s="14"/>
      <c r="WXU2" s="14"/>
      <c r="WXV2" s="14"/>
      <c r="WXW2" s="14"/>
      <c r="WXX2" s="14"/>
      <c r="WXY2" s="14"/>
      <c r="WXZ2" s="14"/>
      <c r="WYA2" s="14"/>
      <c r="WYB2" s="14"/>
      <c r="WYC2" s="14"/>
      <c r="WYD2" s="14"/>
      <c r="WYE2" s="14"/>
      <c r="WYF2" s="14"/>
      <c r="WYG2" s="14"/>
      <c r="WYH2" s="14"/>
      <c r="WYI2" s="14"/>
      <c r="WYJ2" s="14"/>
      <c r="WYK2" s="14"/>
      <c r="WYL2" s="14"/>
      <c r="WYM2" s="14"/>
      <c r="WYN2" s="14"/>
      <c r="WYO2" s="14"/>
      <c r="WYP2" s="14"/>
      <c r="WYQ2" s="14"/>
      <c r="WYR2" s="14"/>
      <c r="WYS2" s="14"/>
      <c r="WYT2" s="14"/>
      <c r="WYU2" s="14"/>
      <c r="WYV2" s="14"/>
      <c r="WYW2" s="14"/>
      <c r="WYX2" s="14"/>
      <c r="WYY2" s="14"/>
      <c r="WYZ2" s="14"/>
      <c r="WZA2" s="14"/>
      <c r="WZB2" s="14"/>
      <c r="WZC2" s="14"/>
      <c r="WZD2" s="14"/>
      <c r="WZE2" s="14"/>
      <c r="WZF2" s="14"/>
      <c r="WZG2" s="14"/>
      <c r="WZH2" s="14"/>
      <c r="WZI2" s="14"/>
      <c r="WZJ2" s="14"/>
      <c r="WZK2" s="14"/>
      <c r="WZL2" s="14"/>
      <c r="WZM2" s="14"/>
      <c r="WZN2" s="14"/>
      <c r="WZO2" s="14"/>
      <c r="WZP2" s="14"/>
      <c r="WZQ2" s="14"/>
      <c r="WZR2" s="14"/>
      <c r="WZS2" s="14"/>
      <c r="WZT2" s="14"/>
      <c r="WZU2" s="14"/>
      <c r="WZV2" s="14"/>
      <c r="WZW2" s="14"/>
      <c r="WZX2" s="14"/>
      <c r="WZY2" s="14"/>
      <c r="WZZ2" s="14"/>
      <c r="XAA2" s="14"/>
      <c r="XAB2" s="14"/>
      <c r="XAC2" s="14"/>
      <c r="XAD2" s="14"/>
      <c r="XAE2" s="14"/>
      <c r="XAF2" s="14"/>
      <c r="XAG2" s="14"/>
      <c r="XAH2" s="14"/>
      <c r="XAI2" s="14"/>
      <c r="XAJ2" s="14"/>
      <c r="XAK2" s="14"/>
      <c r="XAL2" s="14"/>
      <c r="XAM2" s="14"/>
      <c r="XAN2" s="14"/>
      <c r="XAO2" s="14"/>
      <c r="XAP2" s="14"/>
      <c r="XAQ2" s="14"/>
      <c r="XAR2" s="14"/>
      <c r="XAS2" s="14"/>
      <c r="XAT2" s="14"/>
      <c r="XAU2" s="14"/>
      <c r="XAV2" s="14"/>
      <c r="XAW2" s="14"/>
      <c r="XAX2" s="14"/>
      <c r="XAY2" s="14"/>
      <c r="XAZ2" s="14"/>
      <c r="XBA2" s="14"/>
      <c r="XBB2" s="14"/>
      <c r="XBC2" s="14"/>
      <c r="XBD2" s="14"/>
      <c r="XBE2" s="14"/>
      <c r="XBF2" s="14"/>
      <c r="XBG2" s="14"/>
      <c r="XBH2" s="14"/>
      <c r="XBI2" s="14"/>
      <c r="XBJ2" s="14"/>
      <c r="XBK2" s="14"/>
      <c r="XBL2" s="14"/>
      <c r="XBM2" s="14"/>
      <c r="XBN2" s="14"/>
      <c r="XBO2" s="14"/>
      <c r="XBP2" s="14"/>
      <c r="XBQ2" s="14"/>
      <c r="XBR2" s="14"/>
      <c r="XBS2" s="14"/>
      <c r="XBT2" s="14"/>
      <c r="XBU2" s="14"/>
      <c r="XBV2" s="14"/>
      <c r="XBW2" s="14"/>
      <c r="XBX2" s="14"/>
      <c r="XBY2" s="14"/>
      <c r="XBZ2" s="14"/>
      <c r="XCA2" s="14"/>
      <c r="XCB2" s="14"/>
      <c r="XCC2" s="14"/>
      <c r="XCD2" s="14"/>
      <c r="XCE2" s="14"/>
      <c r="XCF2" s="14"/>
      <c r="XCG2" s="14"/>
      <c r="XCH2" s="14"/>
      <c r="XCI2" s="14"/>
      <c r="XCJ2" s="14"/>
      <c r="XCK2" s="14"/>
      <c r="XCL2" s="14"/>
      <c r="XCM2" s="14"/>
      <c r="XCN2" s="14"/>
      <c r="XCO2" s="14"/>
      <c r="XCP2" s="14"/>
      <c r="XCQ2" s="14"/>
      <c r="XCR2" s="14"/>
      <c r="XCS2" s="14"/>
      <c r="XCT2" s="14"/>
      <c r="XCU2" s="14"/>
      <c r="XCV2" s="14"/>
      <c r="XCW2" s="14"/>
      <c r="XCX2" s="14"/>
      <c r="XCY2" s="14"/>
      <c r="XCZ2" s="14"/>
      <c r="XDA2" s="14"/>
      <c r="XDB2" s="14"/>
      <c r="XDC2" s="14"/>
      <c r="XDD2" s="14"/>
      <c r="XDE2" s="14"/>
      <c r="XDF2" s="14"/>
      <c r="XDG2" s="14"/>
      <c r="XDH2" s="14"/>
      <c r="XDI2" s="14"/>
      <c r="XDJ2" s="14"/>
      <c r="XDK2" s="14"/>
      <c r="XDL2" s="14"/>
      <c r="XDM2" s="14"/>
      <c r="XDN2" s="14"/>
      <c r="XDO2" s="14"/>
      <c r="XDP2" s="14"/>
      <c r="XDQ2" s="14"/>
      <c r="XDR2" s="14"/>
      <c r="XDS2" s="14"/>
      <c r="XDT2" s="14"/>
      <c r="XDU2" s="14"/>
      <c r="XDV2" s="14"/>
      <c r="XDW2" s="14"/>
      <c r="XDX2" s="14"/>
      <c r="XDY2" s="14"/>
      <c r="XDZ2" s="14"/>
      <c r="XEA2" s="14"/>
      <c r="XEB2" s="14"/>
      <c r="XEC2" s="14"/>
      <c r="XED2" s="14"/>
      <c r="XEE2" s="14"/>
      <c r="XEF2" s="14"/>
      <c r="XEG2" s="14"/>
      <c r="XEH2" s="14"/>
      <c r="XEI2" s="14"/>
      <c r="XEJ2" s="14"/>
      <c r="XEK2" s="14"/>
      <c r="XEL2" s="14"/>
      <c r="XEM2" s="14"/>
      <c r="XEN2" s="14"/>
      <c r="XEO2" s="14"/>
      <c r="XEP2" s="14"/>
      <c r="XEQ2" s="14"/>
      <c r="XER2" s="14"/>
      <c r="XES2" s="14"/>
      <c r="XET2" s="14"/>
      <c r="XEU2" s="14"/>
      <c r="XEV2" s="14"/>
      <c r="XEW2" s="14"/>
      <c r="XEX2" s="14"/>
      <c r="XEY2" s="14"/>
      <c r="XEZ2" s="14"/>
      <c r="XFA2" s="14"/>
      <c r="XFB2" s="14"/>
    </row>
    <row r="3" spans="1:16382" ht="16" thickTop="1">
      <c r="A3" s="859" t="s">
        <v>1494</v>
      </c>
      <c r="B3" s="859"/>
      <c r="C3" s="859"/>
      <c r="D3" s="859"/>
      <c r="E3" s="859"/>
      <c r="F3" s="859"/>
      <c r="G3" s="859"/>
      <c r="H3" s="859"/>
      <c r="I3" s="859"/>
      <c r="J3" s="859"/>
      <c r="K3" s="859"/>
      <c r="L3" s="859"/>
    </row>
    <row r="4" spans="1:16382">
      <c r="A4" s="860"/>
      <c r="B4" s="860"/>
      <c r="C4" s="860"/>
      <c r="D4" s="860"/>
      <c r="E4" s="860"/>
      <c r="F4" s="860"/>
      <c r="G4" s="860"/>
      <c r="H4" s="860"/>
      <c r="I4" s="860"/>
      <c r="J4" s="860"/>
      <c r="K4" s="860"/>
      <c r="L4" s="860"/>
      <c r="O4" s="86" t="s">
        <v>1495</v>
      </c>
    </row>
    <row r="5" spans="1:16382">
      <c r="A5" s="860"/>
      <c r="B5" s="860"/>
      <c r="C5" s="860"/>
      <c r="D5" s="860"/>
      <c r="E5" s="860"/>
      <c r="F5" s="860"/>
      <c r="G5" s="860"/>
      <c r="H5" s="860"/>
      <c r="I5" s="860"/>
      <c r="J5" s="860"/>
      <c r="K5" s="860"/>
      <c r="L5" s="860"/>
    </row>
    <row r="6" spans="1:16382">
      <c r="A6" s="860"/>
      <c r="B6" s="860"/>
      <c r="C6" s="860"/>
      <c r="D6" s="860"/>
      <c r="E6" s="860"/>
      <c r="F6" s="860"/>
      <c r="G6" s="860"/>
      <c r="H6" s="860"/>
      <c r="I6" s="860"/>
      <c r="J6" s="860"/>
      <c r="K6" s="860"/>
      <c r="L6" s="860"/>
    </row>
    <row r="7" spans="1:16382">
      <c r="A7" s="860"/>
      <c r="B7" s="860"/>
      <c r="C7" s="860"/>
      <c r="D7" s="860"/>
      <c r="E7" s="860"/>
      <c r="F7" s="860"/>
      <c r="G7" s="860"/>
      <c r="H7" s="860"/>
      <c r="I7" s="860"/>
      <c r="J7" s="860"/>
      <c r="K7" s="860"/>
      <c r="L7" s="860"/>
    </row>
    <row r="8" spans="1:16382">
      <c r="A8" s="860"/>
      <c r="B8" s="860"/>
      <c r="C8" s="860"/>
      <c r="D8" s="860"/>
      <c r="E8" s="860"/>
      <c r="F8" s="860"/>
      <c r="G8" s="860"/>
      <c r="H8" s="860"/>
      <c r="I8" s="860"/>
      <c r="J8" s="860"/>
      <c r="K8" s="860"/>
      <c r="L8" s="860"/>
    </row>
    <row r="9" spans="1:16382">
      <c r="A9" s="860"/>
      <c r="B9" s="860"/>
      <c r="C9" s="860"/>
      <c r="D9" s="860"/>
      <c r="E9" s="860"/>
      <c r="F9" s="860"/>
      <c r="G9" s="860"/>
      <c r="H9" s="860"/>
      <c r="I9" s="860"/>
      <c r="J9" s="860"/>
      <c r="K9" s="860"/>
      <c r="L9" s="860"/>
    </row>
    <row r="10" spans="1:16382">
      <c r="A10" s="860"/>
      <c r="B10" s="860"/>
      <c r="C10" s="860"/>
      <c r="D10" s="860"/>
      <c r="E10" s="860"/>
      <c r="F10" s="860"/>
      <c r="G10" s="860"/>
      <c r="H10" s="860"/>
      <c r="I10" s="860"/>
      <c r="J10" s="860"/>
      <c r="K10" s="860"/>
      <c r="L10" s="860"/>
    </row>
    <row r="11" spans="1:16382">
      <c r="A11" s="860"/>
      <c r="B11" s="860"/>
      <c r="C11" s="860"/>
      <c r="D11" s="860"/>
      <c r="E11" s="860"/>
      <c r="F11" s="860"/>
      <c r="G11" s="860"/>
      <c r="H11" s="860"/>
      <c r="I11" s="860"/>
      <c r="J11" s="860"/>
      <c r="K11" s="860"/>
      <c r="L11" s="860"/>
    </row>
    <row r="12" spans="1:16382">
      <c r="A12" s="860"/>
      <c r="B12" s="860"/>
      <c r="C12" s="860"/>
      <c r="D12" s="860"/>
      <c r="E12" s="860"/>
      <c r="F12" s="860"/>
      <c r="G12" s="860"/>
      <c r="H12" s="860"/>
      <c r="I12" s="860"/>
      <c r="J12" s="860"/>
      <c r="K12" s="860"/>
      <c r="L12" s="860"/>
    </row>
    <row r="13" spans="1:16382">
      <c r="A13" s="639"/>
      <c r="B13" s="639"/>
      <c r="C13" s="639"/>
      <c r="D13" s="639"/>
      <c r="E13" s="639"/>
      <c r="F13" s="639"/>
      <c r="G13" s="639"/>
      <c r="H13" s="639"/>
      <c r="I13" s="639"/>
      <c r="J13" s="639"/>
      <c r="K13" s="639"/>
      <c r="L13" s="639"/>
    </row>
    <row r="14" spans="1:16382">
      <c r="A14" s="639"/>
      <c r="B14" s="639"/>
      <c r="C14" s="639"/>
      <c r="D14" s="639"/>
      <c r="E14" s="639"/>
      <c r="F14" s="639"/>
      <c r="G14" s="639"/>
      <c r="H14" s="639"/>
      <c r="I14" s="639"/>
      <c r="J14" s="639"/>
      <c r="K14" s="639"/>
      <c r="L14" s="639"/>
    </row>
    <row r="15" spans="1:16382">
      <c r="A15" s="639"/>
      <c r="B15" s="639"/>
      <c r="C15" s="639"/>
      <c r="D15" s="639"/>
      <c r="E15" s="639"/>
      <c r="F15" s="639"/>
      <c r="G15" s="639"/>
      <c r="H15" s="639"/>
      <c r="I15" s="639"/>
      <c r="J15" s="639"/>
      <c r="K15" s="639"/>
      <c r="L15" s="639"/>
    </row>
    <row r="16" spans="1:16382">
      <c r="A16" s="639"/>
      <c r="B16" s="639"/>
      <c r="C16" s="639"/>
      <c r="D16" s="639"/>
      <c r="E16" s="639"/>
      <c r="F16" s="639"/>
      <c r="G16" s="639"/>
      <c r="H16" s="639"/>
      <c r="I16" s="639"/>
      <c r="J16" s="639"/>
      <c r="K16" s="639"/>
      <c r="L16" s="639"/>
    </row>
    <row r="17" spans="1:15">
      <c r="A17" s="639"/>
      <c r="B17" s="640" t="s">
        <v>1496</v>
      </c>
      <c r="C17" s="639"/>
      <c r="D17" s="639"/>
      <c r="E17" s="639"/>
      <c r="F17" s="639"/>
      <c r="G17" s="639"/>
      <c r="H17" s="639"/>
      <c r="I17" s="639"/>
      <c r="J17" s="639"/>
      <c r="K17" s="639"/>
      <c r="L17" s="639"/>
    </row>
    <row r="18" spans="1:15">
      <c r="A18" s="760" t="s">
        <v>1497</v>
      </c>
      <c r="B18" s="760"/>
      <c r="C18" s="760"/>
      <c r="D18" s="760"/>
      <c r="E18" s="760"/>
      <c r="F18" s="760"/>
      <c r="G18" s="760"/>
      <c r="H18" s="760"/>
      <c r="I18" s="760"/>
      <c r="J18" s="760"/>
      <c r="K18" s="760"/>
      <c r="L18" s="760"/>
    </row>
    <row r="19" spans="1:15">
      <c r="A19" s="760"/>
      <c r="B19" s="760"/>
      <c r="C19" s="760"/>
      <c r="D19" s="760"/>
      <c r="E19" s="760"/>
      <c r="F19" s="760"/>
      <c r="G19" s="760"/>
      <c r="H19" s="760"/>
      <c r="I19" s="760"/>
      <c r="J19" s="760"/>
      <c r="K19" s="760"/>
      <c r="L19" s="760"/>
    </row>
    <row r="20" spans="1:15">
      <c r="A20" s="760"/>
      <c r="B20" s="760"/>
      <c r="C20" s="760"/>
      <c r="D20" s="760"/>
      <c r="E20" s="760"/>
      <c r="F20" s="760"/>
      <c r="G20" s="760"/>
      <c r="H20" s="760"/>
      <c r="I20" s="760"/>
      <c r="J20" s="760"/>
      <c r="K20" s="760"/>
      <c r="L20" s="760"/>
    </row>
    <row r="21" spans="1:15">
      <c r="A21" s="760"/>
      <c r="B21" s="760"/>
      <c r="C21" s="760"/>
      <c r="D21" s="760"/>
      <c r="E21" s="760"/>
      <c r="F21" s="760"/>
      <c r="G21" s="760"/>
      <c r="H21" s="760"/>
      <c r="I21" s="760"/>
      <c r="J21" s="760"/>
      <c r="K21" s="760"/>
      <c r="L21" s="760"/>
    </row>
    <row r="22" spans="1:15">
      <c r="A22" s="760"/>
      <c r="B22" s="760"/>
      <c r="C22" s="760"/>
      <c r="D22" s="760"/>
      <c r="E22" s="760"/>
      <c r="F22" s="760"/>
      <c r="G22" s="760"/>
      <c r="H22" s="760"/>
      <c r="I22" s="760"/>
      <c r="J22" s="760"/>
      <c r="K22" s="760"/>
      <c r="L22" s="760"/>
    </row>
    <row r="23" spans="1:15" ht="16" thickBot="1">
      <c r="A23" s="858"/>
      <c r="B23" s="858"/>
      <c r="C23" s="858"/>
      <c r="D23" s="858"/>
      <c r="E23" s="858"/>
      <c r="F23" s="858"/>
      <c r="G23" s="858"/>
      <c r="H23" s="858"/>
      <c r="I23" s="858"/>
      <c r="J23" s="858"/>
      <c r="K23" s="858"/>
      <c r="L23" s="858"/>
    </row>
    <row r="24" spans="1:15">
      <c r="B24" s="87"/>
      <c r="C24" s="87"/>
      <c r="D24" s="87"/>
      <c r="E24" s="87"/>
      <c r="F24" s="87"/>
      <c r="G24" s="87"/>
      <c r="H24" s="87"/>
      <c r="I24" s="87"/>
      <c r="J24" s="87"/>
      <c r="K24" s="87"/>
      <c r="L24" s="87"/>
      <c r="N24" s="86" t="s">
        <v>1498</v>
      </c>
      <c r="O24" s="86" t="s">
        <v>1499</v>
      </c>
    </row>
    <row r="25" spans="1:15" ht="25">
      <c r="A25" s="870" t="str">
        <f ca="1">'All Statement of strategy (D)'!I5</f>
        <v xml:space="preserve"> </v>
      </c>
      <c r="B25" s="870"/>
      <c r="C25" s="870"/>
      <c r="D25" s="870"/>
      <c r="E25" s="870"/>
      <c r="F25" s="870"/>
      <c r="G25" s="870"/>
      <c r="H25" s="870"/>
      <c r="I25" s="870"/>
      <c r="J25" s="870"/>
      <c r="K25" s="870"/>
      <c r="L25" s="870"/>
      <c r="N25" s="631" t="str">
        <f t="shared" ref="N25:N88" ca="1" si="0">IF(OR(A25&lt;&gt;"",B25&lt;&gt;"",C25&lt;&gt;"",D25&lt;&gt;"",E25&lt;&gt;"",F25&lt;&gt;"",G25&lt;&gt;"",H25&lt;&gt;"",I25&lt;&gt;"",J25&lt;&gt;"",K25&lt;&gt;"",L25&lt;&gt;"",M25&lt;&gt;"",O25&lt;&gt;""),"Refresh the statement","Scroll up and click refresh")</f>
        <v>Refresh the statement</v>
      </c>
    </row>
    <row r="26" spans="1:15">
      <c r="B26" s="87"/>
      <c r="N26" s="631" t="str">
        <f t="shared" ca="1" si="0"/>
        <v>Refresh the statement</v>
      </c>
      <c r="O26" s="86" t="str">
        <f ca="1">IF(A25&lt;&gt;"","Blank row","")</f>
        <v>Blank row</v>
      </c>
    </row>
    <row r="27" spans="1:15">
      <c r="A27" s="857" t="str">
        <f ca="1">'All Statement of strategy (D)'!I4</f>
        <v xml:space="preserve"> </v>
      </c>
      <c r="B27" s="857"/>
      <c r="C27" s="857"/>
      <c r="D27" s="857"/>
      <c r="E27" s="857"/>
      <c r="F27" s="857"/>
      <c r="G27" s="857"/>
      <c r="H27" s="857"/>
      <c r="I27" s="857"/>
      <c r="J27" s="857"/>
      <c r="K27" s="857"/>
      <c r="L27" s="857"/>
      <c r="N27" s="631" t="str">
        <f t="shared" ca="1" si="0"/>
        <v>Refresh the statement</v>
      </c>
    </row>
    <row r="28" spans="1:15" ht="20">
      <c r="B28" s="434"/>
      <c r="C28" s="434"/>
      <c r="D28" s="434"/>
      <c r="E28" s="434"/>
      <c r="F28" s="434"/>
      <c r="G28" s="434"/>
      <c r="H28" s="434"/>
      <c r="I28" s="434"/>
      <c r="J28" s="434"/>
      <c r="K28" s="434"/>
      <c r="L28" s="434"/>
      <c r="N28" s="631" t="str">
        <f t="shared" ca="1" si="0"/>
        <v>Refresh the statement</v>
      </c>
      <c r="O28" s="86" t="str">
        <f ca="1">IF(A27&lt;&gt;"","Blank row","")</f>
        <v>Blank row</v>
      </c>
    </row>
    <row r="29" spans="1:15">
      <c r="A29" s="857" t="str">
        <f ca="1">'All Statement of strategy (D)'!I6</f>
        <v xml:space="preserve"> </v>
      </c>
      <c r="B29" s="857"/>
      <c r="C29" s="857"/>
      <c r="D29" s="857"/>
      <c r="E29" s="857"/>
      <c r="F29" s="857"/>
      <c r="G29" s="857"/>
      <c r="H29" s="857"/>
      <c r="I29" s="857"/>
      <c r="J29" s="857"/>
      <c r="K29" s="857"/>
      <c r="L29" s="857"/>
      <c r="N29" s="631" t="str">
        <f t="shared" ca="1" si="0"/>
        <v>Refresh the statement</v>
      </c>
    </row>
    <row r="30" spans="1:15" ht="20">
      <c r="B30" s="434"/>
      <c r="C30" s="434"/>
      <c r="D30" s="434"/>
      <c r="E30" s="434"/>
      <c r="F30" s="434"/>
      <c r="G30" s="434"/>
      <c r="H30" s="434"/>
      <c r="I30" s="434"/>
      <c r="J30" s="434"/>
      <c r="K30" s="434"/>
      <c r="L30" s="434"/>
      <c r="N30" s="631" t="str">
        <f t="shared" ca="1" si="0"/>
        <v>Refresh the statement</v>
      </c>
      <c r="O30" s="86" t="str">
        <f ca="1">IF(A29&lt;&gt;"","Blank row","")</f>
        <v>Blank row</v>
      </c>
    </row>
    <row r="31" spans="1:15">
      <c r="A31" s="857" t="str">
        <f ca="1">'All Statement of strategy (D)'!$I7</f>
        <v xml:space="preserve"> </v>
      </c>
      <c r="B31" s="857"/>
      <c r="C31" s="857"/>
      <c r="D31" s="857"/>
      <c r="E31" s="857"/>
      <c r="F31" s="857"/>
      <c r="G31" s="857"/>
      <c r="H31" s="857"/>
      <c r="I31" s="857"/>
      <c r="J31" s="857"/>
      <c r="K31" s="857"/>
      <c r="L31" s="857"/>
      <c r="N31" s="631" t="str">
        <f t="shared" ca="1" si="0"/>
        <v>Refresh the statement</v>
      </c>
    </row>
    <row r="32" spans="1:15">
      <c r="N32" s="631" t="str">
        <f t="shared" ca="1" si="0"/>
        <v>Refresh the statement</v>
      </c>
      <c r="O32" s="86" t="str">
        <f ca="1">IF(A25&lt;&gt;"","Blank row","")</f>
        <v>Blank row</v>
      </c>
    </row>
    <row r="33" spans="1:15">
      <c r="A33" s="857" t="str">
        <f ca="1">'All Statement of strategy (D)'!$I8 &amp; 'All Statement of strategy (D)'!$I9</f>
        <v xml:space="preserve">  </v>
      </c>
      <c r="B33" s="857"/>
      <c r="C33" s="857"/>
      <c r="D33" s="857"/>
      <c r="E33" s="857"/>
      <c r="F33" s="857"/>
      <c r="G33" s="857"/>
      <c r="H33" s="857"/>
      <c r="I33" s="857"/>
      <c r="J33" s="857"/>
      <c r="K33" s="857"/>
      <c r="L33" s="857"/>
      <c r="N33" s="631" t="str">
        <f t="shared" ca="1" si="0"/>
        <v>Refresh the statement</v>
      </c>
      <c r="O33" s="86" t="s">
        <v>1500</v>
      </c>
    </row>
    <row r="34" spans="1:15">
      <c r="N34" s="631" t="str">
        <f t="shared" si="0"/>
        <v>Refresh the statement</v>
      </c>
      <c r="O34" s="86" t="s">
        <v>1500</v>
      </c>
    </row>
    <row r="35" spans="1:15">
      <c r="N35" s="631" t="str">
        <f t="shared" si="0"/>
        <v>Refresh the statement</v>
      </c>
      <c r="O35" s="86" t="s">
        <v>1500</v>
      </c>
    </row>
    <row r="36" spans="1:15">
      <c r="N36" s="631" t="str">
        <f t="shared" si="0"/>
        <v>Refresh the statement</v>
      </c>
      <c r="O36" s="86" t="s">
        <v>1500</v>
      </c>
    </row>
    <row r="37" spans="1:15">
      <c r="N37" s="631" t="str">
        <f t="shared" si="0"/>
        <v>Refresh the statement</v>
      </c>
      <c r="O37" s="86" t="s">
        <v>1500</v>
      </c>
    </row>
    <row r="38" spans="1:15">
      <c r="N38" s="631" t="str">
        <f t="shared" si="0"/>
        <v>Refresh the statement</v>
      </c>
      <c r="O38" s="86" t="s">
        <v>1500</v>
      </c>
    </row>
    <row r="39" spans="1:15">
      <c r="N39" s="631" t="str">
        <f t="shared" si="0"/>
        <v>Refresh the statement</v>
      </c>
      <c r="O39" s="86" t="s">
        <v>1500</v>
      </c>
    </row>
    <row r="40" spans="1:15">
      <c r="N40" s="631" t="str">
        <f t="shared" si="0"/>
        <v>Refresh the statement</v>
      </c>
      <c r="O40" s="86" t="s">
        <v>1500</v>
      </c>
    </row>
    <row r="41" spans="1:15">
      <c r="N41" s="631" t="str">
        <f t="shared" si="0"/>
        <v>Refresh the statement</v>
      </c>
      <c r="O41" s="86" t="s">
        <v>1500</v>
      </c>
    </row>
    <row r="42" spans="1:15">
      <c r="N42" s="631" t="str">
        <f t="shared" si="0"/>
        <v>Refresh the statement</v>
      </c>
      <c r="O42" s="86" t="s">
        <v>1500</v>
      </c>
    </row>
    <row r="43" spans="1:15">
      <c r="N43" s="631" t="str">
        <f t="shared" si="0"/>
        <v>Refresh the statement</v>
      </c>
      <c r="O43" s="86" t="s">
        <v>1500</v>
      </c>
    </row>
    <row r="44" spans="1:15">
      <c r="N44" s="631" t="str">
        <f t="shared" si="0"/>
        <v>Refresh the statement</v>
      </c>
      <c r="O44" s="86" t="s">
        <v>1500</v>
      </c>
    </row>
    <row r="45" spans="1:15">
      <c r="N45" s="631" t="str">
        <f t="shared" si="0"/>
        <v>Refresh the statement</v>
      </c>
      <c r="O45" s="86" t="s">
        <v>1500</v>
      </c>
    </row>
    <row r="46" spans="1:15">
      <c r="N46" s="631" t="str">
        <f t="shared" si="0"/>
        <v>Refresh the statement</v>
      </c>
      <c r="O46" s="86" t="s">
        <v>1500</v>
      </c>
    </row>
    <row r="47" spans="1:15">
      <c r="N47" s="631" t="str">
        <f t="shared" si="0"/>
        <v>Refresh the statement</v>
      </c>
      <c r="O47" s="86" t="s">
        <v>1500</v>
      </c>
    </row>
    <row r="48" spans="1:15">
      <c r="N48" s="631" t="str">
        <f t="shared" si="0"/>
        <v>Refresh the statement</v>
      </c>
      <c r="O48" s="86" t="s">
        <v>1500</v>
      </c>
    </row>
    <row r="49" spans="14:15">
      <c r="N49" s="631" t="str">
        <f t="shared" si="0"/>
        <v>Refresh the statement</v>
      </c>
      <c r="O49" s="86" t="s">
        <v>1500</v>
      </c>
    </row>
    <row r="50" spans="14:15">
      <c r="N50" s="631" t="str">
        <f t="shared" si="0"/>
        <v>Refresh the statement</v>
      </c>
      <c r="O50" s="86" t="s">
        <v>1500</v>
      </c>
    </row>
    <row r="51" spans="14:15">
      <c r="N51" s="631" t="str">
        <f t="shared" si="0"/>
        <v>Refresh the statement</v>
      </c>
      <c r="O51" s="86" t="s">
        <v>1500</v>
      </c>
    </row>
    <row r="52" spans="14:15">
      <c r="N52" s="631" t="str">
        <f t="shared" si="0"/>
        <v>Refresh the statement</v>
      </c>
      <c r="O52" s="86" t="s">
        <v>1500</v>
      </c>
    </row>
    <row r="53" spans="14:15">
      <c r="N53" s="631" t="str">
        <f t="shared" si="0"/>
        <v>Refresh the statement</v>
      </c>
      <c r="O53" s="86" t="s">
        <v>1500</v>
      </c>
    </row>
    <row r="54" spans="14:15">
      <c r="N54" s="631" t="str">
        <f t="shared" si="0"/>
        <v>Refresh the statement</v>
      </c>
      <c r="O54" s="86" t="s">
        <v>1500</v>
      </c>
    </row>
    <row r="55" spans="14:15">
      <c r="N55" s="631" t="str">
        <f t="shared" si="0"/>
        <v>Refresh the statement</v>
      </c>
      <c r="O55" s="86" t="s">
        <v>1500</v>
      </c>
    </row>
    <row r="56" spans="14:15">
      <c r="N56" s="631" t="str">
        <f t="shared" si="0"/>
        <v>Refresh the statement</v>
      </c>
      <c r="O56" s="86" t="s">
        <v>1500</v>
      </c>
    </row>
    <row r="57" spans="14:15">
      <c r="N57" s="631" t="str">
        <f t="shared" si="0"/>
        <v>Refresh the statement</v>
      </c>
      <c r="O57" s="86" t="s">
        <v>1500</v>
      </c>
    </row>
    <row r="58" spans="14:15">
      <c r="N58" s="631" t="str">
        <f t="shared" si="0"/>
        <v>Refresh the statement</v>
      </c>
      <c r="O58" s="86" t="s">
        <v>1500</v>
      </c>
    </row>
    <row r="59" spans="14:15">
      <c r="N59" s="631" t="str">
        <f t="shared" si="0"/>
        <v>Refresh the statement</v>
      </c>
      <c r="O59" s="86" t="s">
        <v>1500</v>
      </c>
    </row>
    <row r="60" spans="14:15">
      <c r="N60" s="631" t="str">
        <f t="shared" si="0"/>
        <v>Refresh the statement</v>
      </c>
      <c r="O60" s="86" t="s">
        <v>1500</v>
      </c>
    </row>
    <row r="61" spans="14:15">
      <c r="N61" s="631" t="str">
        <f t="shared" si="0"/>
        <v>Refresh the statement</v>
      </c>
      <c r="O61" s="86" t="s">
        <v>1500</v>
      </c>
    </row>
    <row r="62" spans="14:15">
      <c r="N62" s="631" t="str">
        <f t="shared" si="0"/>
        <v>Refresh the statement</v>
      </c>
      <c r="O62" s="86" t="s">
        <v>1500</v>
      </c>
    </row>
    <row r="63" spans="14:15">
      <c r="N63" s="631" t="str">
        <f t="shared" si="0"/>
        <v>Refresh the statement</v>
      </c>
      <c r="O63" s="86" t="s">
        <v>1500</v>
      </c>
    </row>
    <row r="64" spans="14:15">
      <c r="N64" s="631" t="str">
        <f t="shared" si="0"/>
        <v>Refresh the statement</v>
      </c>
      <c r="O64" s="86" t="s">
        <v>1500</v>
      </c>
    </row>
    <row r="65" spans="14:15">
      <c r="N65" s="631" t="str">
        <f t="shared" si="0"/>
        <v>Refresh the statement</v>
      </c>
      <c r="O65" s="86" t="s">
        <v>1500</v>
      </c>
    </row>
    <row r="66" spans="14:15">
      <c r="N66" s="631" t="str">
        <f t="shared" si="0"/>
        <v>Refresh the statement</v>
      </c>
      <c r="O66" s="86" t="s">
        <v>1500</v>
      </c>
    </row>
    <row r="67" spans="14:15">
      <c r="N67" s="631" t="str">
        <f t="shared" si="0"/>
        <v>Refresh the statement</v>
      </c>
      <c r="O67" s="86" t="s">
        <v>1500</v>
      </c>
    </row>
    <row r="68" spans="14:15">
      <c r="N68" s="631" t="str">
        <f t="shared" si="0"/>
        <v>Refresh the statement</v>
      </c>
      <c r="O68" s="86" t="s">
        <v>1500</v>
      </c>
    </row>
    <row r="69" spans="14:15">
      <c r="N69" s="631" t="str">
        <f t="shared" si="0"/>
        <v>Refresh the statement</v>
      </c>
      <c r="O69" s="86" t="s">
        <v>1500</v>
      </c>
    </row>
    <row r="70" spans="14:15">
      <c r="N70" s="631" t="str">
        <f t="shared" si="0"/>
        <v>Refresh the statement</v>
      </c>
      <c r="O70" s="86" t="s">
        <v>1500</v>
      </c>
    </row>
    <row r="71" spans="14:15">
      <c r="N71" s="631" t="str">
        <f t="shared" si="0"/>
        <v>Refresh the statement</v>
      </c>
      <c r="O71" s="86" t="s">
        <v>1500</v>
      </c>
    </row>
    <row r="72" spans="14:15">
      <c r="N72" s="631" t="str">
        <f t="shared" si="0"/>
        <v>Refresh the statement</v>
      </c>
      <c r="O72" s="86" t="s">
        <v>1500</v>
      </c>
    </row>
    <row r="73" spans="14:15">
      <c r="N73" s="631" t="str">
        <f t="shared" si="0"/>
        <v>Refresh the statement</v>
      </c>
      <c r="O73" s="86" t="s">
        <v>1500</v>
      </c>
    </row>
    <row r="74" spans="14:15">
      <c r="N74" s="631" t="str">
        <f t="shared" si="0"/>
        <v>Refresh the statement</v>
      </c>
      <c r="O74" s="86" t="s">
        <v>1500</v>
      </c>
    </row>
    <row r="75" spans="14:15">
      <c r="N75" s="631" t="str">
        <f t="shared" si="0"/>
        <v>Refresh the statement</v>
      </c>
      <c r="O75" s="86" t="s">
        <v>1500</v>
      </c>
    </row>
    <row r="76" spans="14:15">
      <c r="N76" s="631" t="str">
        <f t="shared" si="0"/>
        <v>Refresh the statement</v>
      </c>
      <c r="O76" s="86" t="s">
        <v>1500</v>
      </c>
    </row>
    <row r="77" spans="14:15">
      <c r="N77" s="631" t="str">
        <f t="shared" si="0"/>
        <v>Refresh the statement</v>
      </c>
      <c r="O77" s="86" t="s">
        <v>1500</v>
      </c>
    </row>
    <row r="78" spans="14:15">
      <c r="N78" s="631" t="str">
        <f t="shared" si="0"/>
        <v>Refresh the statement</v>
      </c>
      <c r="O78" s="86" t="s">
        <v>1500</v>
      </c>
    </row>
    <row r="79" spans="14:15">
      <c r="N79" s="631" t="str">
        <f t="shared" si="0"/>
        <v>Refresh the statement</v>
      </c>
      <c r="O79" s="86" t="s">
        <v>1500</v>
      </c>
    </row>
    <row r="80" spans="14:15">
      <c r="N80" s="631" t="str">
        <f t="shared" si="0"/>
        <v>Refresh the statement</v>
      </c>
      <c r="O80" s="86" t="s">
        <v>1500</v>
      </c>
    </row>
    <row r="81" spans="1:15">
      <c r="N81" s="631" t="str">
        <f t="shared" si="0"/>
        <v>Refresh the statement</v>
      </c>
      <c r="O81" s="86" t="s">
        <v>1500</v>
      </c>
    </row>
    <row r="82" spans="1:15">
      <c r="N82" s="631" t="str">
        <f t="shared" si="0"/>
        <v>Refresh the statement</v>
      </c>
      <c r="O82" s="86" t="s">
        <v>1500</v>
      </c>
    </row>
    <row r="83" spans="1:15">
      <c r="N83" s="631" t="str">
        <f t="shared" si="0"/>
        <v>Refresh the statement</v>
      </c>
      <c r="O83" s="86" t="s">
        <v>1500</v>
      </c>
    </row>
    <row r="84" spans="1:15">
      <c r="N84" s="631" t="str">
        <f t="shared" si="0"/>
        <v>Refresh the statement</v>
      </c>
      <c r="O84" s="86" t="s">
        <v>1500</v>
      </c>
    </row>
    <row r="85" spans="1:15">
      <c r="N85" s="631" t="str">
        <f t="shared" si="0"/>
        <v>Refresh the statement</v>
      </c>
      <c r="O85" s="86" t="s">
        <v>1500</v>
      </c>
    </row>
    <row r="86" spans="1:15" ht="18">
      <c r="A86" s="865" t="str">
        <f ca="1">'All Statement of strategy (D)'!$I10</f>
        <v xml:space="preserve"> </v>
      </c>
      <c r="B86" s="865"/>
      <c r="C86" s="865"/>
      <c r="D86" s="865"/>
      <c r="E86" s="865"/>
      <c r="F86" s="865"/>
      <c r="G86" s="865"/>
      <c r="H86" s="865"/>
      <c r="I86" s="865"/>
      <c r="J86" s="865"/>
      <c r="K86" s="865"/>
      <c r="L86" s="865"/>
      <c r="N86" s="631" t="str">
        <f t="shared" ca="1" si="0"/>
        <v>Refresh the statement</v>
      </c>
      <c r="O86" s="86" t="s">
        <v>1500</v>
      </c>
    </row>
    <row r="87" spans="1:15">
      <c r="A87" s="643"/>
      <c r="B87" s="643"/>
      <c r="C87" s="643"/>
      <c r="D87" s="643"/>
      <c r="E87" s="643"/>
      <c r="F87" s="643"/>
      <c r="G87" s="643"/>
      <c r="H87" s="643"/>
      <c r="I87" s="643"/>
      <c r="J87" s="643"/>
      <c r="K87" s="643"/>
      <c r="L87" s="643"/>
      <c r="N87" s="631" t="str">
        <f t="shared" si="0"/>
        <v>Refresh the statement</v>
      </c>
      <c r="O87" s="86" t="s">
        <v>1500</v>
      </c>
    </row>
    <row r="88" spans="1:15">
      <c r="A88" s="857" t="str">
        <f ca="1">'All Statement of strategy (D)'!$I11</f>
        <v xml:space="preserve"> </v>
      </c>
      <c r="B88" s="857"/>
      <c r="C88" s="857"/>
      <c r="D88" s="857"/>
      <c r="E88" s="857"/>
      <c r="F88" s="857"/>
      <c r="G88" s="857"/>
      <c r="H88" s="857"/>
      <c r="I88" s="857"/>
      <c r="J88" s="857"/>
      <c r="K88" s="857"/>
      <c r="L88" s="857"/>
      <c r="N88" s="631" t="str">
        <f t="shared" ca="1" si="0"/>
        <v>Refresh the statement</v>
      </c>
      <c r="O88" s="86" t="s">
        <v>1500</v>
      </c>
    </row>
    <row r="89" spans="1:15">
      <c r="A89" s="396"/>
      <c r="B89" s="396"/>
      <c r="C89" s="396"/>
      <c r="D89" s="396"/>
      <c r="E89" s="396"/>
      <c r="F89" s="396"/>
      <c r="G89" s="396"/>
      <c r="H89" s="396"/>
      <c r="I89" s="396"/>
      <c r="J89" s="396"/>
      <c r="K89" s="396"/>
      <c r="L89" s="396"/>
      <c r="N89" s="631" t="str">
        <f t="shared" ref="N89:N152" si="1">IF(OR(A89&lt;&gt;"",B89&lt;&gt;"",C89&lt;&gt;"",D89&lt;&gt;"",E89&lt;&gt;"",F89&lt;&gt;"",G89&lt;&gt;"",H89&lt;&gt;"",I89&lt;&gt;"",J89&lt;&gt;"",K89&lt;&gt;"",L89&lt;&gt;"",M89&lt;&gt;"",O89&lt;&gt;""),"Refresh the statement","Scroll up and click refresh")</f>
        <v>Refresh the statement</v>
      </c>
      <c r="O89" s="86" t="s">
        <v>1500</v>
      </c>
    </row>
    <row r="90" spans="1:15">
      <c r="A90" s="422"/>
      <c r="B90" s="422"/>
      <c r="C90" s="422"/>
      <c r="D90" s="422"/>
      <c r="E90" s="422"/>
      <c r="F90" s="422"/>
      <c r="G90" s="422"/>
      <c r="H90" s="422"/>
      <c r="I90" s="422"/>
      <c r="J90" s="422"/>
      <c r="K90" s="422"/>
      <c r="L90" s="422"/>
      <c r="N90" s="631" t="str">
        <f t="shared" si="1"/>
        <v>Refresh the statement</v>
      </c>
      <c r="O90" s="86" t="s">
        <v>1500</v>
      </c>
    </row>
    <row r="91" spans="1:15">
      <c r="A91" s="872" t="str">
        <f ca="1">'All Statement of strategy (D)'!$I12</f>
        <v xml:space="preserve"> </v>
      </c>
      <c r="B91" s="872"/>
      <c r="C91" s="872"/>
      <c r="D91" s="872"/>
      <c r="E91" s="872"/>
      <c r="F91" s="872"/>
      <c r="G91" s="872"/>
      <c r="H91" s="872"/>
      <c r="I91" s="632"/>
      <c r="J91" s="873" t="str">
        <f ca="1">'All Statement of strategy (D)'!$I13</f>
        <v xml:space="preserve"> </v>
      </c>
      <c r="K91" s="873"/>
      <c r="L91" s="873"/>
      <c r="N91" s="631" t="str">
        <f t="shared" ca="1" si="1"/>
        <v>Refresh the statement</v>
      </c>
      <c r="O91" s="86" t="s">
        <v>1500</v>
      </c>
    </row>
    <row r="92" spans="1:15">
      <c r="N92" s="631" t="str">
        <f t="shared" si="1"/>
        <v>Refresh the statement</v>
      </c>
      <c r="O92" s="86" t="s">
        <v>1500</v>
      </c>
    </row>
    <row r="93" spans="1:15">
      <c r="N93" s="631" t="str">
        <f t="shared" si="1"/>
        <v>Refresh the statement</v>
      </c>
      <c r="O93" s="86" t="s">
        <v>1500</v>
      </c>
    </row>
    <row r="94" spans="1:15">
      <c r="N94" s="631" t="str">
        <f t="shared" si="1"/>
        <v>Refresh the statement</v>
      </c>
      <c r="O94" s="86" t="s">
        <v>1500</v>
      </c>
    </row>
    <row r="95" spans="1:15" ht="23">
      <c r="A95" s="871" t="str">
        <f ca="1">'All Statement of strategy (D)'!$I14</f>
        <v xml:space="preserve"> </v>
      </c>
      <c r="B95" s="871"/>
      <c r="C95" s="871"/>
      <c r="D95" s="871"/>
      <c r="E95" s="871"/>
      <c r="F95" s="871"/>
      <c r="G95" s="871"/>
      <c r="H95" s="871"/>
      <c r="I95" s="871"/>
      <c r="J95" s="871"/>
      <c r="K95" s="871"/>
      <c r="L95" s="871"/>
      <c r="N95" s="631" t="str">
        <f t="shared" ca="1" si="1"/>
        <v>Refresh the statement</v>
      </c>
    </row>
    <row r="96" spans="1:15" ht="20">
      <c r="A96" s="88"/>
      <c r="B96" s="433"/>
      <c r="C96" s="433"/>
      <c r="D96" s="396"/>
      <c r="E96" s="396"/>
      <c r="F96" s="396"/>
      <c r="N96" s="631" t="str">
        <f t="shared" ca="1" si="1"/>
        <v>Refresh the statement</v>
      </c>
      <c r="O96" s="86" t="str">
        <f ca="1">IF(A95&lt;&gt;"","Blank row","")</f>
        <v>Blank row</v>
      </c>
    </row>
    <row r="97" spans="1:15">
      <c r="A97" s="857" t="str">
        <f ca="1">'All Statement of strategy (D)'!$I15</f>
        <v xml:space="preserve"> </v>
      </c>
      <c r="B97" s="857"/>
      <c r="C97" s="857"/>
      <c r="D97" s="857"/>
      <c r="E97" s="857"/>
      <c r="F97" s="857"/>
      <c r="G97" s="857"/>
      <c r="H97" s="857"/>
      <c r="I97" s="857"/>
      <c r="J97" s="857"/>
      <c r="K97" s="857"/>
      <c r="L97" s="857"/>
      <c r="N97" s="631" t="str">
        <f t="shared" ca="1" si="1"/>
        <v>Refresh the statement</v>
      </c>
      <c r="O97" s="86" t="str">
        <f ca="1">A97</f>
        <v xml:space="preserve"> </v>
      </c>
    </row>
    <row r="98" spans="1:15">
      <c r="B98" s="89"/>
      <c r="N98" s="631" t="str">
        <f t="shared" ca="1" si="1"/>
        <v>Refresh the statement</v>
      </c>
      <c r="O98" s="86" t="str">
        <f ca="1">IF(A97&lt;&gt;"","Blank row","")</f>
        <v>Blank row</v>
      </c>
    </row>
    <row r="99" spans="1:15" ht="18">
      <c r="A99" s="865" t="str">
        <f ca="1">'All Statement of strategy (D)'!$I16</f>
        <v xml:space="preserve"> </v>
      </c>
      <c r="B99" s="865"/>
      <c r="C99" s="865"/>
      <c r="D99" s="865"/>
      <c r="E99" s="865"/>
      <c r="F99" s="865"/>
      <c r="G99" s="865"/>
      <c r="H99" s="865"/>
      <c r="I99" s="865"/>
      <c r="J99" s="865"/>
      <c r="K99" s="865"/>
      <c r="L99" s="865"/>
      <c r="N99" s="631" t="str">
        <f t="shared" ca="1" si="1"/>
        <v>Refresh the statement</v>
      </c>
    </row>
    <row r="100" spans="1:15" ht="18">
      <c r="A100" s="90"/>
      <c r="B100" s="90"/>
      <c r="N100" s="631" t="str">
        <f t="shared" ca="1" si="1"/>
        <v>Refresh the statement</v>
      </c>
      <c r="O100" s="86" t="str">
        <f ca="1">IF(A99&lt;&gt;"","Blank row","")</f>
        <v>Blank row</v>
      </c>
    </row>
    <row r="101" spans="1:15">
      <c r="A101" s="857" t="str">
        <f ca="1">'All Statement of strategy (D)'!$I17</f>
        <v xml:space="preserve"> </v>
      </c>
      <c r="B101" s="857"/>
      <c r="C101" s="857"/>
      <c r="D101" s="857"/>
      <c r="E101" s="857"/>
      <c r="F101" s="857"/>
      <c r="G101" s="857"/>
      <c r="H101" s="857"/>
      <c r="I101" s="857"/>
      <c r="J101" s="857"/>
      <c r="K101" s="857"/>
      <c r="L101" s="857"/>
      <c r="N101" s="631" t="str">
        <f t="shared" ca="1" si="1"/>
        <v>Refresh the statement</v>
      </c>
    </row>
    <row r="102" spans="1:15">
      <c r="N102" s="631" t="str">
        <f t="shared" ca="1" si="1"/>
        <v>Refresh the statement</v>
      </c>
      <c r="O102" s="86" t="str">
        <f ca="1">IF(A101&lt;&gt;"","Blank row","")</f>
        <v>Blank row</v>
      </c>
    </row>
    <row r="103" spans="1:15">
      <c r="A103" s="857" t="str">
        <f ca="1">'All Statement of strategy (D)'!$I18</f>
        <v xml:space="preserve"> </v>
      </c>
      <c r="B103" s="857"/>
      <c r="C103" s="857"/>
      <c r="D103" s="857"/>
      <c r="E103" s="857"/>
      <c r="F103" s="857"/>
      <c r="G103" s="857"/>
      <c r="H103" s="857"/>
      <c r="I103" s="857"/>
      <c r="J103" s="857"/>
      <c r="K103" s="857"/>
      <c r="L103" s="857"/>
      <c r="N103" s="631" t="str">
        <f t="shared" ca="1" si="1"/>
        <v>Refresh the statement</v>
      </c>
      <c r="O103" s="86" t="str">
        <f ca="1">A103</f>
        <v xml:space="preserve"> </v>
      </c>
    </row>
    <row r="104" spans="1:15">
      <c r="A104" s="857" t="str">
        <f ca="1">_xlfn.TEXTJOIN("
",TRUE,'All Statement of strategy (D)'!$I19,'All Statement of strategy (D)'!$I20)</f>
        <v xml:space="preserve"> 
 </v>
      </c>
      <c r="B104" s="857"/>
      <c r="C104" s="857"/>
      <c r="D104" s="857"/>
      <c r="E104" s="857"/>
      <c r="F104" s="857"/>
      <c r="G104" s="857"/>
      <c r="H104" s="857"/>
      <c r="I104" s="857"/>
      <c r="J104" s="857"/>
      <c r="K104" s="857"/>
      <c r="L104" s="857"/>
      <c r="N104" s="631" t="str">
        <f t="shared" ca="1" si="1"/>
        <v>Refresh the statement</v>
      </c>
      <c r="O104" s="86" t="str">
        <f ca="1">A104</f>
        <v xml:space="preserve"> 
 </v>
      </c>
    </row>
    <row r="105" spans="1:15">
      <c r="N105" s="631" t="str">
        <f t="shared" si="1"/>
        <v>Refresh the statement</v>
      </c>
      <c r="O105" s="86" t="s">
        <v>1500</v>
      </c>
    </row>
    <row r="106" spans="1:15" ht="18">
      <c r="A106" s="865" t="str">
        <f ca="1">'All Statement of strategy (D)'!$I21</f>
        <v xml:space="preserve"> </v>
      </c>
      <c r="B106" s="865"/>
      <c r="C106" s="865"/>
      <c r="D106" s="865"/>
      <c r="E106" s="865"/>
      <c r="F106" s="865"/>
      <c r="G106" s="865"/>
      <c r="H106" s="865"/>
      <c r="I106" s="865"/>
      <c r="J106" s="865"/>
      <c r="K106" s="865"/>
      <c r="L106" s="865"/>
      <c r="N106" s="631" t="str">
        <f t="shared" ca="1" si="1"/>
        <v>Refresh the statement</v>
      </c>
    </row>
    <row r="107" spans="1:15" ht="18">
      <c r="A107" s="90"/>
      <c r="B107" s="90"/>
      <c r="N107" s="631" t="str">
        <f t="shared" si="1"/>
        <v>Refresh the statement</v>
      </c>
      <c r="O107" s="86" t="s">
        <v>1500</v>
      </c>
    </row>
    <row r="108" spans="1:15">
      <c r="A108" s="857" t="str">
        <f ca="1">_xlfn.TEXTJOIN("",TRUE,'All Statement of strategy (D)'!$I22,'All Statement of strategy (D)'!$I23)</f>
        <v xml:space="preserve">  </v>
      </c>
      <c r="B108" s="857"/>
      <c r="C108" s="857"/>
      <c r="D108" s="857"/>
      <c r="E108" s="857"/>
      <c r="F108" s="857"/>
      <c r="G108" s="857"/>
      <c r="H108" s="857"/>
      <c r="I108" s="857"/>
      <c r="J108" s="857"/>
      <c r="K108" s="857"/>
      <c r="L108" s="857"/>
      <c r="N108" s="631" t="str">
        <f t="shared" ca="1" si="1"/>
        <v>Refresh the statement</v>
      </c>
    </row>
    <row r="109" spans="1:15">
      <c r="A109" s="857" t="str">
        <f ca="1">'All Statement of strategy (D)'!$I24</f>
        <v xml:space="preserve"> </v>
      </c>
      <c r="B109" s="857"/>
      <c r="C109" s="857"/>
      <c r="D109" s="857"/>
      <c r="E109" s="857"/>
      <c r="F109" s="857"/>
      <c r="G109" s="857"/>
      <c r="H109" s="857"/>
      <c r="I109" s="857"/>
      <c r="J109" s="857"/>
      <c r="K109" s="857"/>
      <c r="L109" s="857"/>
      <c r="N109" s="631" t="str">
        <f t="shared" ca="1" si="1"/>
        <v>Refresh the statement</v>
      </c>
      <c r="O109" s="86" t="str">
        <f ca="1">A109</f>
        <v xml:space="preserve"> </v>
      </c>
    </row>
    <row r="110" spans="1:15">
      <c r="B110" s="857"/>
      <c r="C110" s="857"/>
      <c r="D110" s="857"/>
      <c r="E110" s="857"/>
      <c r="F110" s="857"/>
      <c r="N110" s="631" t="str">
        <f t="shared" si="1"/>
        <v>Refresh the statement</v>
      </c>
      <c r="O110" s="86" t="s">
        <v>1500</v>
      </c>
    </row>
    <row r="111" spans="1:15">
      <c r="A111" s="857" t="str">
        <f ca="1">_xlfn.TEXTJOIN("",TRUE,'All Statement of strategy (D)'!$I25,'All Statement of strategy (D)'!$I26)</f>
        <v xml:space="preserve">  </v>
      </c>
      <c r="B111" s="857"/>
      <c r="C111" s="857"/>
      <c r="D111" s="857"/>
      <c r="E111" s="857"/>
      <c r="F111" s="857"/>
      <c r="G111" s="857"/>
      <c r="H111" s="857"/>
      <c r="I111" s="857"/>
      <c r="J111" s="857"/>
      <c r="K111" s="857"/>
      <c r="L111" s="857"/>
      <c r="N111" s="631" t="str">
        <f t="shared" ca="1" si="1"/>
        <v>Refresh the statement</v>
      </c>
    </row>
    <row r="112" spans="1:15">
      <c r="A112" s="857" t="str">
        <f ca="1">_xlfn.TEXTJOIN("",TRUE,'All Statement of strategy (D)'!$I27,'All Statement of strategy (D)'!$I28)</f>
        <v xml:space="preserve">  </v>
      </c>
      <c r="B112" s="857"/>
      <c r="C112" s="857"/>
      <c r="D112" s="857"/>
      <c r="E112" s="857"/>
      <c r="F112" s="857"/>
      <c r="G112" s="857"/>
      <c r="H112" s="857"/>
      <c r="I112" s="857"/>
      <c r="J112" s="857"/>
      <c r="K112" s="857"/>
      <c r="L112" s="857"/>
      <c r="N112" s="631" t="str">
        <f t="shared" ca="1" si="1"/>
        <v>Refresh the statement</v>
      </c>
    </row>
    <row r="113" spans="1:15" ht="46.5">
      <c r="A113" s="857" t="str">
        <f ca="1">_xlfn.TEXTJOIN("
",TRUE,'All Statement of strategy (D)'!$I29,'All Statement of strategy (D)'!$I30,'All Statement of strategy (D)'!$I31,'All Statement of strategy (D)'!$I32)</f>
        <v xml:space="preserve"> 
 </v>
      </c>
      <c r="B113" s="857"/>
      <c r="C113" s="857"/>
      <c r="D113" s="857"/>
      <c r="E113" s="857"/>
      <c r="F113" s="857"/>
      <c r="G113" s="857"/>
      <c r="H113" s="857"/>
      <c r="I113" s="857"/>
      <c r="J113" s="857"/>
      <c r="K113" s="857"/>
      <c r="L113" s="857"/>
      <c r="N113" s="631" t="str">
        <f t="shared" ca="1" si="1"/>
        <v>Refresh the statement</v>
      </c>
      <c r="O113" s="86" t="str">
        <f ca="1">A113</f>
        <v xml:space="preserve"> 
 </v>
      </c>
    </row>
    <row r="114" spans="1:15" ht="46.5">
      <c r="A114" s="857" t="str">
        <f ca="1">_xlfn.TEXTJOIN("
",TRUE,'All Statement of strategy (D)'!$I33,'All Statement of strategy (D)'!$I34,'All Statement of strategy (D)'!$I35,'All Statement of strategy (D)'!$I36)</f>
        <v xml:space="preserve"> 
 </v>
      </c>
      <c r="B114" s="857"/>
      <c r="C114" s="857"/>
      <c r="D114" s="857"/>
      <c r="E114" s="857"/>
      <c r="F114" s="857"/>
      <c r="G114" s="857"/>
      <c r="H114" s="857"/>
      <c r="I114" s="857"/>
      <c r="J114" s="857"/>
      <c r="K114" s="857"/>
      <c r="L114" s="857"/>
      <c r="N114" s="631" t="str">
        <f t="shared" ca="1" si="1"/>
        <v>Refresh the statement</v>
      </c>
      <c r="O114" s="86" t="str">
        <f ca="1">A114</f>
        <v xml:space="preserve"> 
 </v>
      </c>
    </row>
    <row r="115" spans="1:15">
      <c r="N115" s="631" t="str">
        <f t="shared" ca="1" si="1"/>
        <v>Refresh the statement</v>
      </c>
      <c r="O115" s="86" t="str">
        <f ca="1">IF(A114&lt;&gt;"","Blank row","")</f>
        <v>Blank row</v>
      </c>
    </row>
    <row r="116" spans="1:15" ht="18">
      <c r="A116" s="865" t="str">
        <f ca="1">_xlfn.TEXTJOIN("",TRUE,'All Statement of strategy (D)'!$I37,'All Statement of strategy (D)'!$I38)</f>
        <v xml:space="preserve">  </v>
      </c>
      <c r="B116" s="865"/>
      <c r="C116" s="865"/>
      <c r="D116" s="865"/>
      <c r="E116" s="865"/>
      <c r="F116" s="865"/>
      <c r="G116" s="865"/>
      <c r="H116" s="865"/>
      <c r="I116" s="865"/>
      <c r="J116" s="865"/>
      <c r="K116" s="865"/>
      <c r="L116" s="865"/>
      <c r="N116" s="631" t="str">
        <f t="shared" ca="1" si="1"/>
        <v>Refresh the statement</v>
      </c>
    </row>
    <row r="117" spans="1:15" ht="18">
      <c r="A117" s="90"/>
      <c r="B117" s="90"/>
      <c r="N117" s="631" t="str">
        <f t="shared" si="1"/>
        <v>Refresh the statement</v>
      </c>
      <c r="O117" s="86" t="s">
        <v>1500</v>
      </c>
    </row>
    <row r="118" spans="1:15">
      <c r="A118" s="857" t="str">
        <f ca="1">_xlfn.TEXTJOIN("
",TRUE,'All Statement of strategy (D)'!$I39,'All Statement of strategy (D)'!$I40,'All Statement of strategy (D)'!$I41)</f>
        <v xml:space="preserve"> 
 </v>
      </c>
      <c r="B118" s="857"/>
      <c r="C118" s="857"/>
      <c r="D118" s="857"/>
      <c r="E118" s="857"/>
      <c r="F118" s="857"/>
      <c r="G118" s="857"/>
      <c r="H118" s="857"/>
      <c r="I118" s="857"/>
      <c r="J118" s="857"/>
      <c r="K118" s="857"/>
      <c r="L118" s="857"/>
      <c r="N118" s="631" t="str">
        <f t="shared" ca="1" si="1"/>
        <v>Refresh the statement</v>
      </c>
    </row>
    <row r="119" spans="1:15" ht="46.5">
      <c r="A119" s="857" t="str">
        <f ca="1">_xlfn.TEXTJOIN("
",TRUE,'All Statement of strategy (D)'!$I42,'All Statement of strategy (D)'!$I43,'All Statement of strategy (D)'!$I44,'All Statement of strategy (D)'!$I45)</f>
        <v xml:space="preserve"> 
 </v>
      </c>
      <c r="B119" s="857"/>
      <c r="C119" s="857"/>
      <c r="D119" s="857"/>
      <c r="E119" s="857"/>
      <c r="F119" s="857"/>
      <c r="G119" s="857"/>
      <c r="H119" s="857"/>
      <c r="I119" s="857"/>
      <c r="J119" s="857"/>
      <c r="K119" s="857"/>
      <c r="L119" s="857"/>
      <c r="N119" s="631" t="str">
        <f t="shared" ca="1" si="1"/>
        <v>Refresh the statement</v>
      </c>
      <c r="O119" s="86" t="str">
        <f ca="1">A119</f>
        <v xml:space="preserve"> 
 </v>
      </c>
    </row>
    <row r="120" spans="1:15">
      <c r="A120" s="857" t="str">
        <f ca="1">'All Statement of strategy (D)'!$I46</f>
        <v xml:space="preserve"> </v>
      </c>
      <c r="B120" s="857"/>
      <c r="C120" s="857"/>
      <c r="D120" s="857"/>
      <c r="E120" s="857"/>
      <c r="F120" s="857"/>
      <c r="G120" s="857"/>
      <c r="H120" s="857"/>
      <c r="I120" s="857"/>
      <c r="J120" s="857"/>
      <c r="K120" s="857"/>
      <c r="L120" s="857"/>
      <c r="N120" s="631" t="str">
        <f t="shared" ca="1" si="1"/>
        <v>Refresh the statement</v>
      </c>
      <c r="O120" s="86" t="str">
        <f ca="1">A120</f>
        <v xml:space="preserve"> </v>
      </c>
    </row>
    <row r="121" spans="1:15">
      <c r="A121" s="857" t="str">
        <f ca="1">_xlfn.TEXTJOIN("",TRUE,'All Statement of strategy (D)'!$I47,'All Statement of strategy (D)'!$I48,'All Statement of strategy (D)'!$I53)</f>
        <v xml:space="preserve">   </v>
      </c>
      <c r="B121" s="857"/>
      <c r="C121" s="857"/>
      <c r="D121" s="857"/>
      <c r="E121" s="857"/>
      <c r="F121" s="857"/>
      <c r="G121" s="857"/>
      <c r="H121" s="857"/>
      <c r="I121" s="857"/>
      <c r="J121" s="857"/>
      <c r="K121" s="857"/>
      <c r="L121" s="857"/>
      <c r="N121" s="631" t="str">
        <f t="shared" ca="1" si="1"/>
        <v>Refresh the statement</v>
      </c>
      <c r="O121" s="86" t="str">
        <f ca="1">A121</f>
        <v xml:space="preserve">   </v>
      </c>
    </row>
    <row r="122" spans="1:15">
      <c r="A122" s="860" t="str">
        <f ca="1">'All Statement of strategy (D)'!$I49&amp;'All Statement of strategy (D)'!$I50&amp;'All Statement of strategy (D)'!$I51&amp;'All Statement of strategy (D)'!$I52</f>
        <v xml:space="preserve">    </v>
      </c>
      <c r="B122" s="860"/>
      <c r="C122" s="860"/>
      <c r="D122" s="860"/>
      <c r="E122" s="860"/>
      <c r="F122" s="860"/>
      <c r="G122" s="860"/>
      <c r="H122" s="860"/>
      <c r="I122" s="860"/>
      <c r="J122" s="860"/>
      <c r="K122" s="860"/>
      <c r="L122" s="860"/>
      <c r="N122" s="631" t="str">
        <f t="shared" ca="1" si="1"/>
        <v>Refresh the statement</v>
      </c>
      <c r="O122" s="86" t="str">
        <f ca="1">'All Statement of strategy (D)'!$I49</f>
        <v xml:space="preserve"> </v>
      </c>
    </row>
    <row r="123" spans="1:15">
      <c r="A123" s="860"/>
      <c r="B123" s="860"/>
      <c r="C123" s="860"/>
      <c r="D123" s="860"/>
      <c r="E123" s="860"/>
      <c r="F123" s="860"/>
      <c r="G123" s="860"/>
      <c r="H123" s="860"/>
      <c r="I123" s="860"/>
      <c r="J123" s="860"/>
      <c r="K123" s="860"/>
      <c r="L123" s="860"/>
      <c r="N123" s="631" t="str">
        <f t="shared" ca="1" si="1"/>
        <v>Refresh the statement</v>
      </c>
      <c r="O123" s="86" t="str">
        <f ca="1">'All Statement of strategy (D)'!$I50</f>
        <v xml:space="preserve"> </v>
      </c>
    </row>
    <row r="124" spans="1:15" hidden="1">
      <c r="A124" s="860"/>
      <c r="B124" s="860"/>
      <c r="C124" s="860"/>
      <c r="D124" s="860"/>
      <c r="E124" s="860"/>
      <c r="F124" s="860"/>
      <c r="G124" s="860"/>
      <c r="H124" s="860"/>
      <c r="I124" s="860"/>
      <c r="J124" s="860"/>
      <c r="K124" s="860"/>
      <c r="L124" s="860"/>
      <c r="N124" s="631" t="str">
        <f t="shared" ca="1" si="1"/>
        <v>Scroll up and click refresh</v>
      </c>
      <c r="O124" s="86" t="str">
        <f ca="1">'All Statement of strategy (D)'!$B51</f>
        <v/>
      </c>
    </row>
    <row r="125" spans="1:15">
      <c r="A125" s="860"/>
      <c r="B125" s="860"/>
      <c r="C125" s="860"/>
      <c r="D125" s="860"/>
      <c r="E125" s="860"/>
      <c r="F125" s="860"/>
      <c r="G125" s="860"/>
      <c r="H125" s="860"/>
      <c r="I125" s="860"/>
      <c r="J125" s="860"/>
      <c r="K125" s="860"/>
      <c r="L125" s="860"/>
      <c r="N125" s="631" t="str">
        <f t="shared" ca="1" si="1"/>
        <v>Refresh the statement</v>
      </c>
      <c r="O125" s="86" t="str">
        <f ca="1">'All Statement of strategy (D)'!$I52</f>
        <v xml:space="preserve"> </v>
      </c>
    </row>
    <row r="126" spans="1:15">
      <c r="A126" s="436"/>
      <c r="B126" s="436"/>
      <c r="C126" s="436"/>
      <c r="D126" s="436"/>
      <c r="E126" s="436"/>
      <c r="F126" s="436"/>
      <c r="G126" s="436"/>
      <c r="H126" s="436"/>
      <c r="I126" s="436"/>
      <c r="J126" s="436"/>
      <c r="K126" s="436"/>
      <c r="L126" s="436"/>
      <c r="N126" s="631" t="str">
        <f t="shared" ca="1" si="1"/>
        <v>Refresh the statement</v>
      </c>
      <c r="O126" s="86" t="str">
        <f ca="1">IF(A127&lt;&gt;"","Blank row","")</f>
        <v>Blank row</v>
      </c>
    </row>
    <row r="127" spans="1:15">
      <c r="A127" s="857" t="str">
        <f ca="1">'All Statement of strategy (D)'!$I54</f>
        <v xml:space="preserve"> </v>
      </c>
      <c r="B127" s="857"/>
      <c r="C127" s="857"/>
      <c r="D127" s="857"/>
      <c r="E127" s="857"/>
      <c r="F127" s="857"/>
      <c r="G127" s="857"/>
      <c r="H127" s="857"/>
      <c r="I127" s="857"/>
      <c r="J127" s="857"/>
      <c r="K127" s="857"/>
      <c r="L127" s="857"/>
      <c r="N127" s="631" t="str">
        <f t="shared" ca="1" si="1"/>
        <v>Refresh the statement</v>
      </c>
    </row>
    <row r="128" spans="1:15">
      <c r="N128" s="631" t="str">
        <f t="shared" ca="1" si="1"/>
        <v>Refresh the statement</v>
      </c>
      <c r="O128" s="86" t="str">
        <f ca="1">IF(A127&lt;&gt;"","Blank row","")</f>
        <v>Blank row</v>
      </c>
    </row>
    <row r="129" spans="1:15">
      <c r="A129" s="857" t="str">
        <f ca="1">'All Statement of strategy (D)'!$I55&amp;'All Statement of strategy (D)'!$I56&amp;'All Statement of strategy (D)'!$I57&amp;'All Statement of strategy (D)'!$I58</f>
        <v xml:space="preserve">    </v>
      </c>
      <c r="B129" s="857"/>
      <c r="C129" s="857"/>
      <c r="D129" s="857"/>
      <c r="E129" s="857"/>
      <c r="F129" s="857"/>
      <c r="G129" s="857"/>
      <c r="H129" s="857"/>
      <c r="I129" s="857"/>
      <c r="J129" s="857"/>
      <c r="K129" s="857"/>
      <c r="L129" s="857"/>
      <c r="N129" s="631" t="str">
        <f t="shared" ca="1" si="1"/>
        <v>Refresh the statement</v>
      </c>
      <c r="O129" s="86" t="str">
        <f ca="1">'All Statement of strategy (D)'!$I55</f>
        <v xml:space="preserve"> </v>
      </c>
    </row>
    <row r="130" spans="1:15">
      <c r="A130" s="857"/>
      <c r="B130" s="857"/>
      <c r="C130" s="857"/>
      <c r="D130" s="857"/>
      <c r="E130" s="857"/>
      <c r="F130" s="857"/>
      <c r="G130" s="857"/>
      <c r="H130" s="857"/>
      <c r="I130" s="857"/>
      <c r="J130" s="857"/>
      <c r="K130" s="857"/>
      <c r="L130" s="857"/>
      <c r="N130" s="631" t="str">
        <f t="shared" ca="1" si="1"/>
        <v>Refresh the statement</v>
      </c>
      <c r="O130" s="86" t="str">
        <f ca="1">'All Statement of strategy (D)'!$I56</f>
        <v xml:space="preserve"> </v>
      </c>
    </row>
    <row r="131" spans="1:15">
      <c r="A131" s="857"/>
      <c r="B131" s="857"/>
      <c r="C131" s="857"/>
      <c r="D131" s="857"/>
      <c r="E131" s="857"/>
      <c r="F131" s="857"/>
      <c r="G131" s="857"/>
      <c r="H131" s="857"/>
      <c r="I131" s="857"/>
      <c r="J131" s="857"/>
      <c r="K131" s="857"/>
      <c r="L131" s="857"/>
      <c r="N131" s="631" t="str">
        <f t="shared" ca="1" si="1"/>
        <v>Refresh the statement</v>
      </c>
      <c r="O131" s="86" t="str">
        <f ca="1">'All Statement of strategy (D)'!$I57</f>
        <v xml:space="preserve"> </v>
      </c>
    </row>
    <row r="132" spans="1:15">
      <c r="A132" s="857"/>
      <c r="B132" s="857"/>
      <c r="C132" s="857"/>
      <c r="D132" s="857"/>
      <c r="E132" s="857"/>
      <c r="F132" s="857"/>
      <c r="G132" s="857"/>
      <c r="H132" s="857"/>
      <c r="I132" s="857"/>
      <c r="J132" s="857"/>
      <c r="K132" s="857"/>
      <c r="L132" s="857"/>
      <c r="N132" s="631" t="str">
        <f t="shared" ca="1" si="1"/>
        <v>Refresh the statement</v>
      </c>
      <c r="O132" s="86" t="str">
        <f ca="1">'All Statement of strategy (D)'!$I58</f>
        <v xml:space="preserve"> </v>
      </c>
    </row>
    <row r="133" spans="1:15">
      <c r="A133" s="89"/>
      <c r="E133" s="89"/>
      <c r="N133" s="631" t="str">
        <f t="shared" si="1"/>
        <v>Refresh the statement</v>
      </c>
      <c r="O133" s="86" t="s">
        <v>1500</v>
      </c>
    </row>
    <row r="134" spans="1:15" ht="18">
      <c r="A134" s="865" t="str">
        <f ca="1">'All Statement of strategy (D)'!$I59</f>
        <v xml:space="preserve"> </v>
      </c>
      <c r="B134" s="865"/>
      <c r="C134" s="865"/>
      <c r="D134" s="865"/>
      <c r="E134" s="865"/>
      <c r="F134" s="865"/>
      <c r="G134" s="865"/>
      <c r="H134" s="865"/>
      <c r="I134" s="865"/>
      <c r="J134" s="865"/>
      <c r="K134" s="865"/>
      <c r="L134" s="865"/>
      <c r="N134" s="631" t="str">
        <f t="shared" ca="1" si="1"/>
        <v>Refresh the statement</v>
      </c>
    </row>
    <row r="135" spans="1:15">
      <c r="A135" s="580"/>
      <c r="B135" s="580"/>
      <c r="N135" s="631" t="str">
        <f t="shared" si="1"/>
        <v>Refresh the statement</v>
      </c>
      <c r="O135" s="86" t="s">
        <v>1500</v>
      </c>
    </row>
    <row r="136" spans="1:15">
      <c r="A136" s="857" t="str">
        <f ca="1">'All Statement of strategy (D)'!$I60</f>
        <v xml:space="preserve"> </v>
      </c>
      <c r="B136" s="857"/>
      <c r="C136" s="857"/>
      <c r="D136" s="857"/>
      <c r="E136" s="857"/>
      <c r="F136" s="857"/>
      <c r="G136" s="857"/>
      <c r="H136" s="857"/>
      <c r="I136" s="857"/>
      <c r="J136" s="857"/>
      <c r="K136" s="857"/>
      <c r="L136" s="857"/>
      <c r="N136" s="631" t="str">
        <f t="shared" ca="1" si="1"/>
        <v>Refresh the statement</v>
      </c>
    </row>
    <row r="137" spans="1:15">
      <c r="N137" s="631" t="str">
        <f t="shared" si="1"/>
        <v>Refresh the statement</v>
      </c>
      <c r="O137" s="86" t="s">
        <v>1500</v>
      </c>
    </row>
    <row r="138" spans="1:15">
      <c r="A138" s="857" t="str">
        <f ca="1">'All Statement of strategy (D)'!$I61&amp;'All Statement of strategy (D)'!$I62&amp;'All Statement of strategy (D)'!$I63&amp;'All Statement of strategy (D)'!$I64</f>
        <v xml:space="preserve">    </v>
      </c>
      <c r="B138" s="857"/>
      <c r="C138" s="857"/>
      <c r="D138" s="857"/>
      <c r="E138" s="857"/>
      <c r="F138" s="857"/>
      <c r="G138" s="857"/>
      <c r="H138" s="857"/>
      <c r="I138" s="857"/>
      <c r="J138" s="857"/>
      <c r="K138" s="857"/>
      <c r="L138" s="857"/>
      <c r="N138" s="631" t="str">
        <f t="shared" ca="1" si="1"/>
        <v>Refresh the statement</v>
      </c>
      <c r="O138" s="86" t="str">
        <f ca="1">'All Statement of strategy (D)'!$I61</f>
        <v xml:space="preserve"> </v>
      </c>
    </row>
    <row r="139" spans="1:15">
      <c r="A139" s="857"/>
      <c r="B139" s="857"/>
      <c r="C139" s="857"/>
      <c r="D139" s="857"/>
      <c r="E139" s="857"/>
      <c r="F139" s="857"/>
      <c r="G139" s="857"/>
      <c r="H139" s="857"/>
      <c r="I139" s="857"/>
      <c r="J139" s="857"/>
      <c r="K139" s="857"/>
      <c r="L139" s="857"/>
      <c r="N139" s="631" t="str">
        <f t="shared" ca="1" si="1"/>
        <v>Refresh the statement</v>
      </c>
      <c r="O139" s="86" t="str">
        <f ca="1">'All Statement of strategy (D)'!$I62</f>
        <v xml:space="preserve"> </v>
      </c>
    </row>
    <row r="140" spans="1:15">
      <c r="A140" s="857"/>
      <c r="B140" s="857"/>
      <c r="C140" s="857"/>
      <c r="D140" s="857"/>
      <c r="E140" s="857"/>
      <c r="F140" s="857"/>
      <c r="G140" s="857"/>
      <c r="H140" s="857"/>
      <c r="I140" s="857"/>
      <c r="J140" s="857"/>
      <c r="K140" s="857"/>
      <c r="L140" s="857"/>
      <c r="N140" s="631" t="str">
        <f t="shared" ca="1" si="1"/>
        <v>Refresh the statement</v>
      </c>
      <c r="O140" s="86" t="str">
        <f ca="1">'All Statement of strategy (D)'!$I63</f>
        <v xml:space="preserve"> </v>
      </c>
    </row>
    <row r="141" spans="1:15">
      <c r="A141" s="857"/>
      <c r="B141" s="857"/>
      <c r="C141" s="857"/>
      <c r="D141" s="857"/>
      <c r="E141" s="857"/>
      <c r="F141" s="857"/>
      <c r="G141" s="857"/>
      <c r="H141" s="857"/>
      <c r="I141" s="857"/>
      <c r="J141" s="857"/>
      <c r="K141" s="857"/>
      <c r="L141" s="857"/>
      <c r="N141" s="631" t="str">
        <f t="shared" ca="1" si="1"/>
        <v>Refresh the statement</v>
      </c>
      <c r="O141" s="86" t="str">
        <f ca="1">'All Statement of strategy (D)'!$I64</f>
        <v xml:space="preserve"> </v>
      </c>
    </row>
    <row r="142" spans="1:15">
      <c r="N142" s="631" t="str">
        <f t="shared" si="1"/>
        <v>Refresh the statement</v>
      </c>
      <c r="O142" s="86" t="s">
        <v>1500</v>
      </c>
    </row>
    <row r="143" spans="1:15" ht="18">
      <c r="A143" s="865" t="str">
        <f ca="1">'All Statement of strategy (D)'!$I65</f>
        <v xml:space="preserve"> </v>
      </c>
      <c r="B143" s="865"/>
      <c r="C143" s="865"/>
      <c r="D143" s="865"/>
      <c r="E143" s="865"/>
      <c r="F143" s="865"/>
      <c r="G143" s="865"/>
      <c r="H143" s="865"/>
      <c r="I143" s="865"/>
      <c r="J143" s="865"/>
      <c r="K143" s="865"/>
      <c r="L143" s="865"/>
      <c r="N143" s="631" t="str">
        <f t="shared" ca="1" si="1"/>
        <v>Refresh the statement</v>
      </c>
    </row>
    <row r="144" spans="1:15">
      <c r="A144" s="861"/>
      <c r="B144" s="861"/>
      <c r="C144" s="861"/>
      <c r="D144" s="861"/>
      <c r="E144" s="861"/>
      <c r="N144" s="631" t="str">
        <f t="shared" si="1"/>
        <v>Refresh the statement</v>
      </c>
      <c r="O144" s="86" t="s">
        <v>1500</v>
      </c>
    </row>
    <row r="145" spans="1:15">
      <c r="A145" s="857" t="str">
        <f ca="1">_xlfn.TEXTJOIN("
",TRUE,'All Statement of strategy (D)'!$I66,'All Statement of strategy (D)'!$I67)</f>
        <v xml:space="preserve"> 
 </v>
      </c>
      <c r="B145" s="857"/>
      <c r="C145" s="857"/>
      <c r="D145" s="857"/>
      <c r="E145" s="857"/>
      <c r="F145" s="857"/>
      <c r="G145" s="857"/>
      <c r="H145" s="857"/>
      <c r="I145" s="857"/>
      <c r="J145" s="857"/>
      <c r="K145" s="857"/>
      <c r="L145" s="857"/>
      <c r="N145" s="631" t="str">
        <f t="shared" ca="1" si="1"/>
        <v>Refresh the statement</v>
      </c>
      <c r="O145" s="86" t="str">
        <f ca="1">_xlfn.TEXTJOIN("
",TRUE,'All Statement of strategy (D)'!$I66,'All Statement of strategy (D)'!$I67)</f>
        <v xml:space="preserve"> 
 </v>
      </c>
    </row>
    <row r="146" spans="1:15" ht="17.5">
      <c r="A146" s="91"/>
      <c r="B146" s="91"/>
      <c r="C146" s="91"/>
      <c r="D146" s="91"/>
      <c r="E146" s="91"/>
      <c r="F146" s="91"/>
      <c r="G146" s="91"/>
      <c r="H146" s="91"/>
      <c r="I146" s="91"/>
      <c r="J146" s="91"/>
      <c r="K146" s="91"/>
      <c r="L146" s="91"/>
      <c r="N146" s="631" t="str">
        <f t="shared" ca="1" si="1"/>
        <v>Refresh the statement</v>
      </c>
      <c r="O146" s="86" t="str">
        <f ca="1">IF(A145&lt;&gt;"","Blank row","")</f>
        <v>Blank row</v>
      </c>
    </row>
    <row r="147" spans="1:15" ht="17.5" hidden="1">
      <c r="A147" s="91"/>
      <c r="B147" s="91"/>
      <c r="C147" s="91"/>
      <c r="D147" s="91"/>
      <c r="E147" s="91"/>
      <c r="F147" s="91"/>
      <c r="G147" s="91"/>
      <c r="H147" s="91"/>
      <c r="I147" s="91"/>
      <c r="J147" s="91"/>
      <c r="K147" s="91"/>
      <c r="L147" s="91"/>
      <c r="N147" s="631" t="str">
        <f t="shared" si="1"/>
        <v>Scroll up and click refresh</v>
      </c>
    </row>
    <row r="148" spans="1:15" ht="23">
      <c r="A148" s="871" t="str">
        <f ca="1">'All Statement of strategy (D)'!$I68</f>
        <v xml:space="preserve"> </v>
      </c>
      <c r="B148" s="871"/>
      <c r="C148" s="871"/>
      <c r="D148" s="871"/>
      <c r="E148" s="871"/>
      <c r="F148" s="871"/>
      <c r="G148" s="871"/>
      <c r="H148" s="871"/>
      <c r="I148" s="871"/>
      <c r="J148" s="871"/>
      <c r="K148" s="871"/>
      <c r="L148" s="871"/>
      <c r="N148" s="631" t="str">
        <f t="shared" ca="1" si="1"/>
        <v>Refresh the statement</v>
      </c>
    </row>
    <row r="149" spans="1:15" ht="17.5">
      <c r="A149" s="875"/>
      <c r="B149" s="875"/>
      <c r="C149" s="875"/>
      <c r="D149" s="875"/>
      <c r="E149" s="875"/>
      <c r="N149" s="631" t="str">
        <f t="shared" ca="1" si="1"/>
        <v>Refresh the statement</v>
      </c>
      <c r="O149" s="86" t="str">
        <f ca="1">IF(A148&lt;&gt;"","Blank row","")</f>
        <v>Blank row</v>
      </c>
    </row>
    <row r="150" spans="1:15" ht="18">
      <c r="A150" s="865" t="str">
        <f ca="1">'All Statement of strategy (D)'!$I69</f>
        <v xml:space="preserve"> </v>
      </c>
      <c r="B150" s="865"/>
      <c r="C150" s="865"/>
      <c r="D150" s="865"/>
      <c r="E150" s="865"/>
      <c r="F150" s="865"/>
      <c r="G150" s="865"/>
      <c r="H150" s="865"/>
      <c r="I150" s="865"/>
      <c r="J150" s="865"/>
      <c r="K150" s="865"/>
      <c r="L150" s="865"/>
      <c r="N150" s="631" t="str">
        <f t="shared" ca="1" si="1"/>
        <v>Refresh the statement</v>
      </c>
    </row>
    <row r="151" spans="1:15">
      <c r="A151" s="396"/>
      <c r="B151" s="396"/>
      <c r="C151" s="396"/>
      <c r="D151" s="396"/>
      <c r="E151" s="396"/>
      <c r="N151" s="631" t="str">
        <f t="shared" ca="1" si="1"/>
        <v>Refresh the statement</v>
      </c>
      <c r="O151" s="86" t="str">
        <f ca="1">IF(A150&lt;&gt;"","Blank row","")</f>
        <v>Blank row</v>
      </c>
    </row>
    <row r="152" spans="1:15">
      <c r="A152" s="861" t="str">
        <f ca="1">'All Statement of strategy (D)'!$I70</f>
        <v xml:space="preserve"> </v>
      </c>
      <c r="B152" s="861"/>
      <c r="C152" s="861"/>
      <c r="D152" s="861"/>
      <c r="E152" s="861"/>
      <c r="F152" s="861"/>
      <c r="G152" s="861"/>
      <c r="H152" s="861"/>
      <c r="I152" s="861"/>
      <c r="J152" s="861"/>
      <c r="K152" s="861"/>
      <c r="L152" s="861"/>
      <c r="N152" s="631" t="str">
        <f t="shared" ca="1" si="1"/>
        <v>Refresh the statement</v>
      </c>
    </row>
    <row r="153" spans="1:15" ht="18">
      <c r="A153" s="437"/>
      <c r="B153" s="90"/>
      <c r="C153" s="90"/>
      <c r="D153" s="90"/>
      <c r="E153" s="90"/>
      <c r="N153" s="631" t="str">
        <f t="shared" ref="N153:N216" ca="1" si="2">IF(OR(A153&lt;&gt;"",B153&lt;&gt;"",C153&lt;&gt;"",D153&lt;&gt;"",E153&lt;&gt;"",F153&lt;&gt;"",G153&lt;&gt;"",H153&lt;&gt;"",I153&lt;&gt;"",J153&lt;&gt;"",K153&lt;&gt;"",L153&lt;&gt;"",M153&lt;&gt;"",O153&lt;&gt;""),"Refresh the statement","Scroll up and click refresh")</f>
        <v>Refresh the statement</v>
      </c>
      <c r="O153" s="86" t="str">
        <f ca="1">IF(A152&lt;&gt;"","Blank row","")</f>
        <v>Blank row</v>
      </c>
    </row>
    <row r="154" spans="1:15">
      <c r="A154" s="857" t="str">
        <f ca="1">'All Statement of strategy (D)'!$I71</f>
        <v xml:space="preserve"> </v>
      </c>
      <c r="B154" s="857"/>
      <c r="C154" s="857"/>
      <c r="D154" s="857"/>
      <c r="E154" s="857"/>
      <c r="F154" s="857"/>
      <c r="G154" s="857"/>
      <c r="H154" s="857"/>
      <c r="I154" s="857"/>
      <c r="J154" s="857"/>
      <c r="K154" s="857"/>
      <c r="L154" s="857"/>
      <c r="N154" s="631" t="str">
        <f t="shared" ca="1" si="2"/>
        <v>Refresh the statement</v>
      </c>
      <c r="O154" s="86" t="str">
        <f ca="1">A154</f>
        <v xml:space="preserve"> </v>
      </c>
    </row>
    <row r="155" spans="1:15">
      <c r="N155" s="631" t="str">
        <f t="shared" ca="1" si="2"/>
        <v>Refresh the statement</v>
      </c>
      <c r="O155" s="86" t="str">
        <f ca="1">IF(A154&lt;&gt;"","Blank row","")</f>
        <v>Blank row</v>
      </c>
    </row>
    <row r="156" spans="1:15">
      <c r="A156" s="857" t="str">
        <f ca="1">'All Statement of strategy (D)'!$I72&amp;'All Statement of strategy (D)'!$I73&amp;'All Statement of strategy (D)'!$I74&amp;'All Statement of strategy (D)'!$I75</f>
        <v xml:space="preserve">    </v>
      </c>
      <c r="B156" s="857"/>
      <c r="C156" s="857"/>
      <c r="D156" s="857"/>
      <c r="E156" s="857"/>
      <c r="F156" s="857"/>
      <c r="G156" s="857"/>
      <c r="H156" s="857"/>
      <c r="I156" s="857"/>
      <c r="J156" s="857"/>
      <c r="K156" s="857"/>
      <c r="L156" s="857"/>
      <c r="N156" s="631" t="str">
        <f t="shared" ca="1" si="2"/>
        <v>Refresh the statement</v>
      </c>
      <c r="O156" s="86" t="str">
        <f ca="1">'All Statement of strategy (D)'!$I72</f>
        <v xml:space="preserve"> </v>
      </c>
    </row>
    <row r="157" spans="1:15">
      <c r="A157" s="857"/>
      <c r="B157" s="857"/>
      <c r="C157" s="857"/>
      <c r="D157" s="857"/>
      <c r="E157" s="857"/>
      <c r="F157" s="857"/>
      <c r="G157" s="857"/>
      <c r="H157" s="857"/>
      <c r="I157" s="857"/>
      <c r="J157" s="857"/>
      <c r="K157" s="857"/>
      <c r="L157" s="857"/>
      <c r="N157" s="631" t="str">
        <f t="shared" ca="1" si="2"/>
        <v>Refresh the statement</v>
      </c>
      <c r="O157" s="86" t="str">
        <f ca="1">'All Statement of strategy (D)'!$I73</f>
        <v xml:space="preserve"> </v>
      </c>
    </row>
    <row r="158" spans="1:15">
      <c r="A158" s="857"/>
      <c r="B158" s="857"/>
      <c r="C158" s="857"/>
      <c r="D158" s="857"/>
      <c r="E158" s="857"/>
      <c r="F158" s="857"/>
      <c r="G158" s="857"/>
      <c r="H158" s="857"/>
      <c r="I158" s="857"/>
      <c r="J158" s="857"/>
      <c r="K158" s="857"/>
      <c r="L158" s="857"/>
      <c r="N158" s="631" t="str">
        <f t="shared" ca="1" si="2"/>
        <v>Refresh the statement</v>
      </c>
      <c r="O158" s="86" t="str">
        <f ca="1">'All Statement of strategy (D)'!$I74</f>
        <v xml:space="preserve"> </v>
      </c>
    </row>
    <row r="159" spans="1:15">
      <c r="A159" s="857"/>
      <c r="B159" s="857"/>
      <c r="C159" s="857"/>
      <c r="D159" s="857"/>
      <c r="E159" s="857"/>
      <c r="F159" s="857"/>
      <c r="G159" s="857"/>
      <c r="H159" s="857"/>
      <c r="I159" s="857"/>
      <c r="J159" s="857"/>
      <c r="K159" s="857"/>
      <c r="L159" s="857"/>
      <c r="N159" s="631" t="str">
        <f t="shared" ca="1" si="2"/>
        <v>Refresh the statement</v>
      </c>
      <c r="O159" s="86" t="str">
        <f ca="1">'All Statement of strategy (D)'!$I75</f>
        <v xml:space="preserve"> </v>
      </c>
    </row>
    <row r="160" spans="1:15" ht="17.5">
      <c r="A160" s="396"/>
      <c r="B160" s="91"/>
      <c r="C160" s="91"/>
      <c r="D160" s="91"/>
      <c r="E160" s="91"/>
      <c r="N160" s="631" t="str">
        <f t="shared" ca="1" si="2"/>
        <v>Refresh the statement</v>
      </c>
      <c r="O160" s="86" t="str">
        <f ca="1">IF(A156&lt;&gt;"","Blank row","")</f>
        <v>Blank row</v>
      </c>
    </row>
    <row r="161" spans="1:15">
      <c r="A161" s="861" t="str">
        <f ca="1">'All Statement of strategy (D)'!$I76</f>
        <v xml:space="preserve"> </v>
      </c>
      <c r="B161" s="861"/>
      <c r="C161" s="861"/>
      <c r="D161" s="861"/>
      <c r="E161" s="861"/>
      <c r="F161" s="861"/>
      <c r="G161" s="861"/>
      <c r="H161" s="861"/>
      <c r="I161" s="861"/>
      <c r="J161" s="861"/>
      <c r="K161" s="861"/>
      <c r="L161" s="861"/>
      <c r="N161" s="631" t="str">
        <f t="shared" ca="1" si="2"/>
        <v>Refresh the statement</v>
      </c>
    </row>
    <row r="162" spans="1:15" ht="17.5">
      <c r="A162" s="396"/>
      <c r="B162" s="91"/>
      <c r="C162" s="91"/>
      <c r="D162" s="91"/>
      <c r="E162" s="91"/>
      <c r="N162" s="631" t="str">
        <f t="shared" ca="1" si="2"/>
        <v>Refresh the statement</v>
      </c>
      <c r="O162" s="86" t="str">
        <f ca="1">IF(A161&lt;&gt;"","Blank row","")</f>
        <v>Blank row</v>
      </c>
    </row>
    <row r="163" spans="1:15">
      <c r="A163" s="857" t="str">
        <f ca="1">_xlfn.TEXTJOIN("",TRUE,'All Statement of strategy (D)'!$I77,'All Statement of strategy (D)'!$I78)</f>
        <v xml:space="preserve">  </v>
      </c>
      <c r="B163" s="857"/>
      <c r="C163" s="857"/>
      <c r="D163" s="857"/>
      <c r="E163" s="857"/>
      <c r="F163" s="857"/>
      <c r="G163" s="857"/>
      <c r="H163" s="857"/>
      <c r="I163" s="857"/>
      <c r="J163" s="857"/>
      <c r="K163" s="857"/>
      <c r="L163" s="857"/>
      <c r="N163" s="631" t="str">
        <f t="shared" ca="1" si="2"/>
        <v>Refresh the statement</v>
      </c>
      <c r="O163" s="86" t="str">
        <f ca="1">A163</f>
        <v xml:space="preserve">  </v>
      </c>
    </row>
    <row r="164" spans="1:15">
      <c r="A164" s="396"/>
      <c r="N164" s="631" t="str">
        <f t="shared" ca="1" si="2"/>
        <v>Refresh the statement</v>
      </c>
      <c r="O164" s="86" t="str">
        <f ca="1">IF($A$163&lt;&gt;"","Blank row","")</f>
        <v>Blank row</v>
      </c>
    </row>
    <row r="165" spans="1:15">
      <c r="A165" s="857" t="str">
        <f ca="1">'All Statement of strategy (D)'!$I79&amp;'All Statement of strategy (D)'!$I80&amp;'All Statement of strategy (D)'!$I81&amp;'All Statement of strategy (D)'!$I82</f>
        <v xml:space="preserve">    </v>
      </c>
      <c r="B165" s="857"/>
      <c r="C165" s="857"/>
      <c r="D165" s="857"/>
      <c r="E165" s="857"/>
      <c r="F165" s="857"/>
      <c r="G165" s="857"/>
      <c r="H165" s="857"/>
      <c r="I165" s="857"/>
      <c r="J165" s="857"/>
      <c r="K165" s="857"/>
      <c r="L165" s="857"/>
      <c r="N165" s="631" t="str">
        <f t="shared" ca="1" si="2"/>
        <v>Refresh the statement</v>
      </c>
      <c r="O165" s="86" t="str">
        <f ca="1">'All Statement of strategy (D)'!$I79</f>
        <v xml:space="preserve"> </v>
      </c>
    </row>
    <row r="166" spans="1:15">
      <c r="A166" s="857"/>
      <c r="B166" s="857"/>
      <c r="C166" s="857"/>
      <c r="D166" s="857"/>
      <c r="E166" s="857"/>
      <c r="F166" s="857"/>
      <c r="G166" s="857"/>
      <c r="H166" s="857"/>
      <c r="I166" s="857"/>
      <c r="J166" s="857"/>
      <c r="K166" s="857"/>
      <c r="L166" s="857"/>
      <c r="N166" s="631" t="str">
        <f t="shared" ca="1" si="2"/>
        <v>Refresh the statement</v>
      </c>
      <c r="O166" s="86" t="str">
        <f ca="1">'All Statement of strategy (D)'!$I80</f>
        <v xml:space="preserve"> </v>
      </c>
    </row>
    <row r="167" spans="1:15">
      <c r="A167" s="857"/>
      <c r="B167" s="857"/>
      <c r="C167" s="857"/>
      <c r="D167" s="857"/>
      <c r="E167" s="857"/>
      <c r="F167" s="857"/>
      <c r="G167" s="857"/>
      <c r="H167" s="857"/>
      <c r="I167" s="857"/>
      <c r="J167" s="857"/>
      <c r="K167" s="857"/>
      <c r="L167" s="857"/>
      <c r="N167" s="631" t="str">
        <f t="shared" ca="1" si="2"/>
        <v>Refresh the statement</v>
      </c>
      <c r="O167" s="86" t="str">
        <f ca="1">'All Statement of strategy (D)'!$I81</f>
        <v xml:space="preserve"> </v>
      </c>
    </row>
    <row r="168" spans="1:15">
      <c r="A168" s="857"/>
      <c r="B168" s="857"/>
      <c r="C168" s="857"/>
      <c r="D168" s="857"/>
      <c r="E168" s="857"/>
      <c r="F168" s="857"/>
      <c r="G168" s="857"/>
      <c r="H168" s="857"/>
      <c r="I168" s="857"/>
      <c r="J168" s="857"/>
      <c r="K168" s="857"/>
      <c r="L168" s="857"/>
      <c r="N168" s="631" t="str">
        <f t="shared" ca="1" si="2"/>
        <v>Refresh the statement</v>
      </c>
      <c r="O168" s="86" t="str">
        <f ca="1">'All Statement of strategy (D)'!$I82</f>
        <v xml:space="preserve"> </v>
      </c>
    </row>
    <row r="169" spans="1:15">
      <c r="A169" s="396"/>
      <c r="N169" s="631" t="str">
        <f t="shared" ca="1" si="2"/>
        <v>Refresh the statement</v>
      </c>
      <c r="O169" s="86" t="str">
        <f ca="1">IF($A$170&lt;&gt;"","Blank row","")</f>
        <v>Blank row</v>
      </c>
    </row>
    <row r="170" spans="1:15">
      <c r="A170" s="857" t="str">
        <f ca="1">'All Statement of strategy (D)'!$I83</f>
        <v xml:space="preserve"> </v>
      </c>
      <c r="B170" s="857"/>
      <c r="C170" s="857"/>
      <c r="D170" s="857"/>
      <c r="E170" s="857"/>
      <c r="F170" s="857"/>
      <c r="G170" s="857"/>
      <c r="H170" s="857"/>
      <c r="I170" s="857"/>
      <c r="J170" s="857"/>
      <c r="K170" s="857"/>
      <c r="L170" s="857"/>
      <c r="N170" s="631" t="str">
        <f t="shared" ca="1" si="2"/>
        <v>Refresh the statement</v>
      </c>
      <c r="O170" s="86" t="str">
        <f ca="1">A170</f>
        <v xml:space="preserve"> </v>
      </c>
    </row>
    <row r="171" spans="1:15">
      <c r="N171" s="631" t="str">
        <f t="shared" ca="1" si="2"/>
        <v>Refresh the statement</v>
      </c>
      <c r="O171" s="86" t="str">
        <f ca="1">IF(A170&lt;&gt;"","Blank row","")</f>
        <v>Blank row</v>
      </c>
    </row>
    <row r="172" spans="1:15">
      <c r="A172" s="857" t="str">
        <f ca="1">'All Statement of strategy (D)'!$I84&amp;'All Statement of strategy (D)'!$I85&amp;'All Statement of strategy (D)'!$I86&amp;'All Statement of strategy (D)'!$I87</f>
        <v xml:space="preserve">    </v>
      </c>
      <c r="B172" s="857"/>
      <c r="C172" s="857"/>
      <c r="D172" s="857"/>
      <c r="E172" s="857"/>
      <c r="F172" s="857"/>
      <c r="G172" s="857"/>
      <c r="H172" s="857"/>
      <c r="I172" s="857"/>
      <c r="J172" s="857"/>
      <c r="K172" s="857"/>
      <c r="L172" s="857"/>
      <c r="N172" s="631" t="str">
        <f t="shared" ca="1" si="2"/>
        <v>Refresh the statement</v>
      </c>
      <c r="O172" s="86" t="str">
        <f ca="1">'All Statement of strategy (D)'!$I84</f>
        <v xml:space="preserve"> </v>
      </c>
    </row>
    <row r="173" spans="1:15">
      <c r="A173" s="857"/>
      <c r="B173" s="857"/>
      <c r="C173" s="857"/>
      <c r="D173" s="857"/>
      <c r="E173" s="857"/>
      <c r="F173" s="857"/>
      <c r="G173" s="857"/>
      <c r="H173" s="857"/>
      <c r="I173" s="857"/>
      <c r="J173" s="857"/>
      <c r="K173" s="857"/>
      <c r="L173" s="857"/>
      <c r="N173" s="631" t="str">
        <f t="shared" ca="1" si="2"/>
        <v>Refresh the statement</v>
      </c>
      <c r="O173" s="86" t="str">
        <f ca="1">'All Statement of strategy (D)'!$I85</f>
        <v xml:space="preserve"> </v>
      </c>
    </row>
    <row r="174" spans="1:15">
      <c r="A174" s="857"/>
      <c r="B174" s="857"/>
      <c r="C174" s="857"/>
      <c r="D174" s="857"/>
      <c r="E174" s="857"/>
      <c r="F174" s="857"/>
      <c r="G174" s="857"/>
      <c r="H174" s="857"/>
      <c r="I174" s="857"/>
      <c r="J174" s="857"/>
      <c r="K174" s="857"/>
      <c r="L174" s="857"/>
      <c r="N174" s="631" t="str">
        <f t="shared" ca="1" si="2"/>
        <v>Refresh the statement</v>
      </c>
      <c r="O174" s="86" t="str">
        <f ca="1">'All Statement of strategy (D)'!$I86</f>
        <v xml:space="preserve"> </v>
      </c>
    </row>
    <row r="175" spans="1:15">
      <c r="A175" s="857"/>
      <c r="B175" s="857"/>
      <c r="C175" s="857"/>
      <c r="D175" s="857"/>
      <c r="E175" s="857"/>
      <c r="F175" s="857"/>
      <c r="G175" s="857"/>
      <c r="H175" s="857"/>
      <c r="I175" s="857"/>
      <c r="J175" s="857"/>
      <c r="K175" s="857"/>
      <c r="L175" s="857"/>
      <c r="N175" s="631" t="str">
        <f t="shared" ca="1" si="2"/>
        <v>Refresh the statement</v>
      </c>
      <c r="O175" s="86" t="str">
        <f ca="1">'All Statement of strategy (D)'!$I87</f>
        <v xml:space="preserve"> </v>
      </c>
    </row>
    <row r="176" spans="1:15">
      <c r="A176" s="396"/>
      <c r="N176" s="631" t="str">
        <f t="shared" ca="1" si="2"/>
        <v>Refresh the statement</v>
      </c>
      <c r="O176" s="86" t="str">
        <f ca="1">IF(A172&lt;&gt;"","Blank row","")</f>
        <v>Blank row</v>
      </c>
    </row>
    <row r="177" spans="1:15">
      <c r="A177" s="857" t="str">
        <f ca="1">'All Statement of strategy (D)'!$I88</f>
        <v xml:space="preserve"> </v>
      </c>
      <c r="B177" s="857"/>
      <c r="C177" s="857"/>
      <c r="D177" s="857"/>
      <c r="E177" s="857"/>
      <c r="F177" s="857"/>
      <c r="G177" s="857"/>
      <c r="H177" s="857"/>
      <c r="I177" s="857"/>
      <c r="J177" s="857"/>
      <c r="K177" s="857"/>
      <c r="L177" s="857"/>
      <c r="N177" s="631" t="str">
        <f t="shared" ca="1" si="2"/>
        <v>Refresh the statement</v>
      </c>
      <c r="O177" s="86" t="str">
        <f ca="1">A177</f>
        <v xml:space="preserve"> </v>
      </c>
    </row>
    <row r="178" spans="1:15">
      <c r="N178" s="631" t="str">
        <f t="shared" ca="1" si="2"/>
        <v>Refresh the statement</v>
      </c>
      <c r="O178" s="86" t="str">
        <f ca="1">IF(A177&lt;&gt;"","Blank row","")</f>
        <v>Blank row</v>
      </c>
    </row>
    <row r="179" spans="1:15">
      <c r="A179" s="857" t="str">
        <f ca="1">'All Statement of strategy (D)'!$I89&amp;'All Statement of strategy (D)'!$I90&amp;'All Statement of strategy (D)'!$I91&amp;'All Statement of strategy (D)'!$I92</f>
        <v xml:space="preserve">    </v>
      </c>
      <c r="B179" s="857"/>
      <c r="C179" s="857"/>
      <c r="D179" s="857"/>
      <c r="E179" s="857"/>
      <c r="F179" s="857"/>
      <c r="G179" s="857"/>
      <c r="H179" s="857"/>
      <c r="I179" s="857"/>
      <c r="J179" s="857"/>
      <c r="K179" s="857"/>
      <c r="L179" s="857"/>
      <c r="N179" s="631" t="str">
        <f t="shared" ca="1" si="2"/>
        <v>Refresh the statement</v>
      </c>
      <c r="O179" s="86" t="str">
        <f ca="1">'All Statement of strategy (D)'!$I89</f>
        <v xml:space="preserve"> </v>
      </c>
    </row>
    <row r="180" spans="1:15">
      <c r="A180" s="857"/>
      <c r="B180" s="857"/>
      <c r="C180" s="857"/>
      <c r="D180" s="857"/>
      <c r="E180" s="857"/>
      <c r="F180" s="857"/>
      <c r="G180" s="857"/>
      <c r="H180" s="857"/>
      <c r="I180" s="857"/>
      <c r="J180" s="857"/>
      <c r="K180" s="857"/>
      <c r="L180" s="857"/>
      <c r="N180" s="631" t="str">
        <f t="shared" ca="1" si="2"/>
        <v>Refresh the statement</v>
      </c>
      <c r="O180" s="86" t="str">
        <f ca="1">'All Statement of strategy (D)'!$I90</f>
        <v xml:space="preserve"> </v>
      </c>
    </row>
    <row r="181" spans="1:15">
      <c r="A181" s="857"/>
      <c r="B181" s="857"/>
      <c r="C181" s="857"/>
      <c r="D181" s="857"/>
      <c r="E181" s="857"/>
      <c r="F181" s="857"/>
      <c r="G181" s="857"/>
      <c r="H181" s="857"/>
      <c r="I181" s="857"/>
      <c r="J181" s="857"/>
      <c r="K181" s="857"/>
      <c r="L181" s="857"/>
      <c r="N181" s="631" t="str">
        <f t="shared" ca="1" si="2"/>
        <v>Refresh the statement</v>
      </c>
      <c r="O181" s="86" t="str">
        <f ca="1">'All Statement of strategy (D)'!$I91</f>
        <v xml:space="preserve"> </v>
      </c>
    </row>
    <row r="182" spans="1:15">
      <c r="A182" s="857"/>
      <c r="B182" s="857"/>
      <c r="C182" s="857"/>
      <c r="D182" s="857"/>
      <c r="E182" s="857"/>
      <c r="F182" s="857"/>
      <c r="G182" s="857"/>
      <c r="H182" s="857"/>
      <c r="I182" s="857"/>
      <c r="J182" s="857"/>
      <c r="K182" s="857"/>
      <c r="L182" s="857"/>
      <c r="N182" s="631" t="str">
        <f t="shared" ca="1" si="2"/>
        <v>Refresh the statement</v>
      </c>
      <c r="O182" s="86" t="str">
        <f ca="1">'All Statement of strategy (D)'!$I92</f>
        <v xml:space="preserve"> </v>
      </c>
    </row>
    <row r="183" spans="1:15">
      <c r="A183" s="396"/>
      <c r="N183" s="631" t="str">
        <f t="shared" ca="1" si="2"/>
        <v>Refresh the statement</v>
      </c>
      <c r="O183" s="86" t="str">
        <f ca="1">IF(A179&lt;&gt;"","Blank row","")</f>
        <v>Blank row</v>
      </c>
    </row>
    <row r="184" spans="1:15">
      <c r="A184" s="857" t="str">
        <f ca="1">_xlfn.TEXTJOIN("
",TRUE,'All Statement of strategy (D)'!$I93,'All Statement of strategy (D)'!$I94)</f>
        <v xml:space="preserve"> 
 </v>
      </c>
      <c r="B184" s="857"/>
      <c r="C184" s="857"/>
      <c r="D184" s="857"/>
      <c r="E184" s="857"/>
      <c r="F184" s="857"/>
      <c r="G184" s="857"/>
      <c r="H184" s="857"/>
      <c r="I184" s="857"/>
      <c r="J184" s="857"/>
      <c r="K184" s="857"/>
      <c r="L184" s="857"/>
      <c r="N184" s="631" t="str">
        <f t="shared" ca="1" si="2"/>
        <v>Refresh the statement</v>
      </c>
      <c r="O184" s="86" t="str">
        <f ca="1">A184</f>
        <v xml:space="preserve"> 
 </v>
      </c>
    </row>
    <row r="185" spans="1:15">
      <c r="N185" s="631" t="str">
        <f t="shared" ca="1" si="2"/>
        <v>Refresh the statement</v>
      </c>
      <c r="O185" s="86" t="str">
        <f ca="1">IF(A184&lt;&gt;"","Blank row","")</f>
        <v>Blank row</v>
      </c>
    </row>
    <row r="186" spans="1:15">
      <c r="A186" s="857" t="str">
        <f ca="1">'All Statement of strategy (D)'!$I95&amp;'All Statement of strategy (D)'!$I96&amp;'All Statement of strategy (D)'!$I97&amp;'All Statement of strategy (D)'!$I98</f>
        <v xml:space="preserve">    </v>
      </c>
      <c r="B186" s="857"/>
      <c r="C186" s="857"/>
      <c r="D186" s="857"/>
      <c r="E186" s="857"/>
      <c r="F186" s="857"/>
      <c r="G186" s="857"/>
      <c r="H186" s="857"/>
      <c r="I186" s="857"/>
      <c r="J186" s="857"/>
      <c r="K186" s="857"/>
      <c r="L186" s="857"/>
      <c r="N186" s="631" t="str">
        <f t="shared" ca="1" si="2"/>
        <v>Refresh the statement</v>
      </c>
      <c r="O186" s="86" t="str">
        <f ca="1">'All Statement of strategy (D)'!$I95</f>
        <v xml:space="preserve"> </v>
      </c>
    </row>
    <row r="187" spans="1:15">
      <c r="A187" s="857"/>
      <c r="B187" s="857"/>
      <c r="C187" s="857"/>
      <c r="D187" s="857"/>
      <c r="E187" s="857"/>
      <c r="F187" s="857"/>
      <c r="G187" s="857"/>
      <c r="H187" s="857"/>
      <c r="I187" s="857"/>
      <c r="J187" s="857"/>
      <c r="K187" s="857"/>
      <c r="L187" s="857"/>
      <c r="N187" s="631" t="str">
        <f t="shared" ca="1" si="2"/>
        <v>Refresh the statement</v>
      </c>
      <c r="O187" s="86" t="str">
        <f ca="1">'All Statement of strategy (D)'!$I96</f>
        <v xml:space="preserve"> </v>
      </c>
    </row>
    <row r="188" spans="1:15">
      <c r="A188" s="857"/>
      <c r="B188" s="857"/>
      <c r="C188" s="857"/>
      <c r="D188" s="857"/>
      <c r="E188" s="857"/>
      <c r="F188" s="857"/>
      <c r="G188" s="857"/>
      <c r="H188" s="857"/>
      <c r="I188" s="857"/>
      <c r="J188" s="857"/>
      <c r="K188" s="857"/>
      <c r="L188" s="857"/>
      <c r="N188" s="631" t="str">
        <f t="shared" ca="1" si="2"/>
        <v>Refresh the statement</v>
      </c>
      <c r="O188" s="86" t="str">
        <f ca="1">'All Statement of strategy (D)'!$I97</f>
        <v xml:space="preserve"> </v>
      </c>
    </row>
    <row r="189" spans="1:15">
      <c r="A189" s="857"/>
      <c r="B189" s="857"/>
      <c r="C189" s="857"/>
      <c r="D189" s="857"/>
      <c r="E189" s="857"/>
      <c r="F189" s="857"/>
      <c r="G189" s="857"/>
      <c r="H189" s="857"/>
      <c r="I189" s="857"/>
      <c r="J189" s="857"/>
      <c r="K189" s="857"/>
      <c r="L189" s="857"/>
      <c r="N189" s="631" t="str">
        <f t="shared" ca="1" si="2"/>
        <v>Refresh the statement</v>
      </c>
      <c r="O189" s="86" t="str">
        <f ca="1">'All Statement of strategy (D)'!$I98</f>
        <v xml:space="preserve"> </v>
      </c>
    </row>
    <row r="190" spans="1:15" ht="17.5">
      <c r="A190" s="875"/>
      <c r="B190" s="875"/>
      <c r="C190" s="875"/>
      <c r="D190" s="875"/>
      <c r="E190" s="875"/>
      <c r="N190" s="631" t="str">
        <f t="shared" ca="1" si="2"/>
        <v>Refresh the statement</v>
      </c>
      <c r="O190" s="86" t="str">
        <f ca="1">IF(A186&lt;&gt;"","Blank row","")</f>
        <v>Blank row</v>
      </c>
    </row>
    <row r="191" spans="1:15" ht="18">
      <c r="A191" s="865" t="str">
        <f ca="1">'All Statement of strategy (D)'!$I99</f>
        <v xml:space="preserve"> </v>
      </c>
      <c r="B191" s="865"/>
      <c r="C191" s="865"/>
      <c r="D191" s="865"/>
      <c r="E191" s="865"/>
      <c r="F191" s="865"/>
      <c r="G191" s="865"/>
      <c r="H191" s="865"/>
      <c r="I191" s="865"/>
      <c r="J191" s="865"/>
      <c r="K191" s="865"/>
      <c r="L191" s="865"/>
      <c r="N191" s="631" t="str">
        <f t="shared" ca="1" si="2"/>
        <v>Refresh the statement</v>
      </c>
    </row>
    <row r="192" spans="1:15">
      <c r="A192" s="861"/>
      <c r="B192" s="861"/>
      <c r="C192" s="861"/>
      <c r="D192" s="861"/>
      <c r="E192" s="861"/>
      <c r="N192" s="631" t="str">
        <f t="shared" ca="1" si="2"/>
        <v>Refresh the statement</v>
      </c>
      <c r="O192" s="86" t="str">
        <f ca="1">IF(A191&lt;&gt;"","Blank row","")</f>
        <v>Blank row</v>
      </c>
    </row>
    <row r="193" spans="1:15">
      <c r="A193" s="861" t="str">
        <f ca="1">'All Statement of strategy (D)'!$I100</f>
        <v xml:space="preserve"> </v>
      </c>
      <c r="B193" s="861"/>
      <c r="C193" s="861"/>
      <c r="D193" s="861"/>
      <c r="E193" s="861"/>
      <c r="F193" s="861"/>
      <c r="G193" s="861"/>
      <c r="H193" s="861"/>
      <c r="I193" s="861"/>
      <c r="J193" s="861"/>
      <c r="K193" s="861"/>
      <c r="L193" s="861"/>
      <c r="N193" s="631" t="str">
        <f t="shared" ca="1" si="2"/>
        <v>Refresh the statement</v>
      </c>
    </row>
    <row r="194" spans="1:15">
      <c r="A194" s="861"/>
      <c r="B194" s="861"/>
      <c r="C194" s="861"/>
      <c r="D194" s="861"/>
      <c r="E194" s="861"/>
      <c r="N194" s="631" t="str">
        <f t="shared" ca="1" si="2"/>
        <v>Refresh the statement</v>
      </c>
      <c r="O194" s="86" t="str">
        <f ca="1">IF(A193&lt;&gt;"","Blank row","")</f>
        <v>Blank row</v>
      </c>
    </row>
    <row r="195" spans="1:15">
      <c r="A195" s="857" t="str">
        <f ca="1">'All Statement of strategy (D)'!$I101</f>
        <v xml:space="preserve"> </v>
      </c>
      <c r="B195" s="857"/>
      <c r="C195" s="857"/>
      <c r="D195" s="857"/>
      <c r="E195" s="857"/>
      <c r="F195" s="857"/>
      <c r="G195" s="857"/>
      <c r="H195" s="857"/>
      <c r="I195" s="857"/>
      <c r="J195" s="857"/>
      <c r="K195" s="857"/>
      <c r="L195" s="857"/>
      <c r="N195" s="631" t="str">
        <f t="shared" ca="1" si="2"/>
        <v>Refresh the statement</v>
      </c>
    </row>
    <row r="196" spans="1:15" ht="62">
      <c r="A196" s="857" t="str">
        <f ca="1">_xlfn.TEXTJOIN("
",TRUE,'All Statement of strategy (D)'!$I102,'All Statement of strategy (D)'!$I103,'All Statement of strategy (D)'!$I104,'All Statement of strategy (D)'!$I105,'All Statement of strategy (D)'!$I106)</f>
        <v xml:space="preserve"> 
 </v>
      </c>
      <c r="B196" s="857"/>
      <c r="C196" s="857"/>
      <c r="D196" s="857"/>
      <c r="E196" s="857"/>
      <c r="F196" s="857"/>
      <c r="G196" s="857"/>
      <c r="H196" s="857"/>
      <c r="I196" s="857"/>
      <c r="J196" s="857"/>
      <c r="K196" s="857"/>
      <c r="L196" s="857"/>
      <c r="N196" s="631" t="str">
        <f t="shared" ca="1" si="2"/>
        <v>Refresh the statement</v>
      </c>
      <c r="O196" s="86" t="str">
        <f ca="1">A196</f>
        <v xml:space="preserve"> 
 </v>
      </c>
    </row>
    <row r="197" spans="1:15">
      <c r="A197" s="857"/>
      <c r="B197" s="857"/>
      <c r="C197" s="857"/>
      <c r="D197" s="857"/>
      <c r="E197" s="857"/>
      <c r="N197" s="631" t="str">
        <f t="shared" ca="1" si="2"/>
        <v>Refresh the statement</v>
      </c>
      <c r="O197" s="86" t="str">
        <f ca="1">IF(A196&lt;&gt;"","Blank row","")</f>
        <v>Blank row</v>
      </c>
    </row>
    <row r="198" spans="1:15">
      <c r="A198" s="861" t="str">
        <f ca="1">'All Statement of strategy (D)'!$I107</f>
        <v xml:space="preserve"> </v>
      </c>
      <c r="B198" s="861"/>
      <c r="C198" s="861"/>
      <c r="D198" s="861"/>
      <c r="E198" s="861"/>
      <c r="F198" s="861"/>
      <c r="G198" s="861"/>
      <c r="H198" s="861"/>
      <c r="I198" s="861"/>
      <c r="J198" s="861"/>
      <c r="K198" s="861"/>
      <c r="L198" s="861"/>
      <c r="N198" s="631" t="str">
        <f t="shared" ca="1" si="2"/>
        <v>Refresh the statement</v>
      </c>
    </row>
    <row r="199" spans="1:15">
      <c r="A199" s="857"/>
      <c r="B199" s="857"/>
      <c r="C199" s="857"/>
      <c r="D199" s="857"/>
      <c r="E199" s="857"/>
      <c r="N199" s="631" t="str">
        <f t="shared" ca="1" si="2"/>
        <v>Refresh the statement</v>
      </c>
      <c r="O199" s="86" t="str">
        <f ca="1">IF(A198&lt;&gt;"","Blank row","")</f>
        <v>Blank row</v>
      </c>
    </row>
    <row r="200" spans="1:15">
      <c r="A200" s="857" t="str">
        <f ca="1">'All Statement of strategy (D)'!$I108</f>
        <v xml:space="preserve"> </v>
      </c>
      <c r="B200" s="857"/>
      <c r="C200" s="857"/>
      <c r="D200" s="857"/>
      <c r="E200" s="857"/>
      <c r="F200" s="857"/>
      <c r="G200" s="857"/>
      <c r="H200" s="857"/>
      <c r="I200" s="857"/>
      <c r="J200" s="857"/>
      <c r="K200" s="857"/>
      <c r="L200" s="857"/>
      <c r="N200" s="631" t="str">
        <f t="shared" ca="1" si="2"/>
        <v>Refresh the statement</v>
      </c>
      <c r="O200" s="86" t="str">
        <f ca="1">A200</f>
        <v xml:space="preserve"> </v>
      </c>
    </row>
    <row r="201" spans="1:15">
      <c r="N201" s="631" t="str">
        <f t="shared" ca="1" si="2"/>
        <v>Refresh the statement</v>
      </c>
      <c r="O201" s="86" t="str">
        <f ca="1">IF(A200&lt;&gt;"","Blank row","")</f>
        <v>Blank row</v>
      </c>
    </row>
    <row r="202" spans="1:15" ht="18">
      <c r="A202" s="865" t="str">
        <f ca="1">_xlfn.TEXTJOIN("",TRUE,'All Statement of strategy (D)'!$I109,'All Statement of strategy (D)'!$I110)</f>
        <v xml:space="preserve">  </v>
      </c>
      <c r="B202" s="865"/>
      <c r="C202" s="865"/>
      <c r="D202" s="865"/>
      <c r="E202" s="865"/>
      <c r="F202" s="865"/>
      <c r="G202" s="865"/>
      <c r="H202" s="865"/>
      <c r="I202" s="865"/>
      <c r="J202" s="865"/>
      <c r="K202" s="865"/>
      <c r="L202" s="865"/>
      <c r="N202" s="631" t="str">
        <f t="shared" ca="1" si="2"/>
        <v>Refresh the statement</v>
      </c>
    </row>
    <row r="203" spans="1:15">
      <c r="N203" s="631" t="str">
        <f t="shared" si="2"/>
        <v>Refresh the statement</v>
      </c>
      <c r="O203" s="86" t="s">
        <v>1500</v>
      </c>
    </row>
    <row r="204" spans="1:15">
      <c r="A204" s="857" t="str">
        <f ca="1">'All Statement of strategy (D)'!$I111</f>
        <v xml:space="preserve"> </v>
      </c>
      <c r="B204" s="857"/>
      <c r="C204" s="857"/>
      <c r="D204" s="857"/>
      <c r="E204" s="857"/>
      <c r="F204" s="857"/>
      <c r="G204" s="857"/>
      <c r="H204" s="857"/>
      <c r="I204" s="857"/>
      <c r="J204" s="857"/>
      <c r="K204" s="857"/>
      <c r="L204" s="857"/>
      <c r="N204" s="631" t="str">
        <f t="shared" ca="1" si="2"/>
        <v>Refresh the statement</v>
      </c>
    </row>
    <row r="205" spans="1:15">
      <c r="N205" s="631" t="str">
        <f t="shared" si="2"/>
        <v>Refresh the statement</v>
      </c>
      <c r="O205" s="86" t="s">
        <v>1500</v>
      </c>
    </row>
    <row r="206" spans="1:15">
      <c r="C206" s="435"/>
      <c r="D206" s="435"/>
      <c r="E206" s="868" t="str">
        <f ca="1">'All Statement of strategy (D)'!$I112</f>
        <v xml:space="preserve"> </v>
      </c>
      <c r="F206" s="869"/>
      <c r="G206" s="868" t="str">
        <f ca="1">'All Statement of strategy (D)'!$I113</f>
        <v xml:space="preserve"> </v>
      </c>
      <c r="H206" s="869"/>
      <c r="I206" s="868" t="str">
        <f ca="1">'All Statement of strategy (D)'!$I114</f>
        <v xml:space="preserve"> </v>
      </c>
      <c r="J206" s="869"/>
      <c r="K206" s="866"/>
      <c r="L206" s="867"/>
      <c r="N206" s="631" t="str">
        <f t="shared" ca="1" si="2"/>
        <v>Refresh the statement</v>
      </c>
    </row>
    <row r="207" spans="1:15">
      <c r="A207" s="862" t="str">
        <f ca="1">'All Statement of strategy (D)'!$I115</f>
        <v xml:space="preserve"> </v>
      </c>
      <c r="B207" s="863"/>
      <c r="C207" s="863"/>
      <c r="D207" s="864"/>
      <c r="E207" s="853" t="str">
        <f ca="1">'All Statement of strategy (D)'!$I125</f>
        <v xml:space="preserve"> </v>
      </c>
      <c r="F207" s="854"/>
      <c r="G207" s="853" t="str">
        <f ca="1">'All Statement of strategy (D)'!$I135</f>
        <v xml:space="preserve"> </v>
      </c>
      <c r="H207" s="854"/>
      <c r="I207" s="853" t="str">
        <f ca="1">'All Statement of strategy (D)'!$I145</f>
        <v xml:space="preserve"> </v>
      </c>
      <c r="J207" s="854"/>
      <c r="K207" s="855"/>
      <c r="L207" s="856"/>
      <c r="N207" s="631" t="str">
        <f t="shared" ca="1" si="2"/>
        <v>Refresh the statement</v>
      </c>
    </row>
    <row r="208" spans="1:15">
      <c r="A208" s="862" t="str">
        <f ca="1">'All Statement of strategy (D)'!$I116</f>
        <v xml:space="preserve"> </v>
      </c>
      <c r="B208" s="863"/>
      <c r="C208" s="863"/>
      <c r="D208" s="864"/>
      <c r="E208" s="853" t="str">
        <f ca="1">'All Statement of strategy (D)'!$I126</f>
        <v xml:space="preserve"> </v>
      </c>
      <c r="F208" s="854"/>
      <c r="G208" s="853" t="str">
        <f ca="1">'All Statement of strategy (D)'!$I136</f>
        <v xml:space="preserve"> </v>
      </c>
      <c r="H208" s="854"/>
      <c r="I208" s="853" t="str">
        <f ca="1">'All Statement of strategy (D)'!$I146</f>
        <v xml:space="preserve"> </v>
      </c>
      <c r="J208" s="854"/>
      <c r="K208" s="855"/>
      <c r="L208" s="856"/>
      <c r="N208" s="631" t="str">
        <f t="shared" ca="1" si="2"/>
        <v>Refresh the statement</v>
      </c>
    </row>
    <row r="209" spans="1:15">
      <c r="A209" s="862" t="str">
        <f ca="1">'All Statement of strategy (D)'!$I117</f>
        <v xml:space="preserve"> </v>
      </c>
      <c r="B209" s="863"/>
      <c r="C209" s="863"/>
      <c r="D209" s="864"/>
      <c r="E209" s="853" t="str">
        <f ca="1">'All Statement of strategy (D)'!$I127</f>
        <v xml:space="preserve"> </v>
      </c>
      <c r="F209" s="854"/>
      <c r="G209" s="853" t="str">
        <f ca="1">'All Statement of strategy (D)'!$I137</f>
        <v xml:space="preserve"> </v>
      </c>
      <c r="H209" s="854"/>
      <c r="I209" s="853" t="str">
        <f ca="1">'All Statement of strategy (D)'!$I147</f>
        <v xml:space="preserve"> </v>
      </c>
      <c r="J209" s="854"/>
      <c r="K209" s="855"/>
      <c r="L209" s="856"/>
      <c r="N209" s="631" t="str">
        <f t="shared" ca="1" si="2"/>
        <v>Refresh the statement</v>
      </c>
    </row>
    <row r="210" spans="1:15">
      <c r="A210" s="862" t="str">
        <f ca="1">'All Statement of strategy (D)'!$I118</f>
        <v xml:space="preserve"> </v>
      </c>
      <c r="B210" s="863"/>
      <c r="C210" s="863"/>
      <c r="D210" s="864"/>
      <c r="E210" s="853" t="str">
        <f ca="1">'All Statement of strategy (D)'!$I128</f>
        <v xml:space="preserve"> </v>
      </c>
      <c r="F210" s="854"/>
      <c r="G210" s="853" t="str">
        <f ca="1">'All Statement of strategy (D)'!$I138</f>
        <v xml:space="preserve"> </v>
      </c>
      <c r="H210" s="854"/>
      <c r="I210" s="853" t="str">
        <f ca="1">'All Statement of strategy (D)'!$I148</f>
        <v xml:space="preserve"> </v>
      </c>
      <c r="J210" s="854"/>
      <c r="K210" s="855"/>
      <c r="L210" s="856"/>
      <c r="N210" s="631" t="str">
        <f t="shared" ca="1" si="2"/>
        <v>Refresh the statement</v>
      </c>
    </row>
    <row r="211" spans="1:15">
      <c r="A211" s="862" t="str">
        <f ca="1">'All Statement of strategy (D)'!$I119</f>
        <v xml:space="preserve"> </v>
      </c>
      <c r="B211" s="863"/>
      <c r="C211" s="863"/>
      <c r="D211" s="864"/>
      <c r="E211" s="853" t="str">
        <f ca="1">'All Statement of strategy (D)'!$I129</f>
        <v xml:space="preserve"> </v>
      </c>
      <c r="F211" s="854"/>
      <c r="G211" s="853" t="str">
        <f ca="1">'All Statement of strategy (D)'!$I139</f>
        <v xml:space="preserve"> </v>
      </c>
      <c r="H211" s="854"/>
      <c r="I211" s="853" t="str">
        <f ca="1">'All Statement of strategy (D)'!$I149</f>
        <v xml:space="preserve"> </v>
      </c>
      <c r="J211" s="854"/>
      <c r="K211" s="855"/>
      <c r="L211" s="856"/>
      <c r="N211" s="631" t="str">
        <f t="shared" ca="1" si="2"/>
        <v>Refresh the statement</v>
      </c>
    </row>
    <row r="212" spans="1:15">
      <c r="A212" s="862" t="str">
        <f ca="1">'All Statement of strategy (D)'!$I120</f>
        <v xml:space="preserve"> </v>
      </c>
      <c r="B212" s="863"/>
      <c r="C212" s="863"/>
      <c r="D212" s="864"/>
      <c r="E212" s="853" t="str">
        <f ca="1">'All Statement of strategy (D)'!$I130</f>
        <v xml:space="preserve"> </v>
      </c>
      <c r="F212" s="854"/>
      <c r="G212" s="853" t="str">
        <f ca="1">'All Statement of strategy (D)'!$I140</f>
        <v xml:space="preserve"> </v>
      </c>
      <c r="H212" s="854"/>
      <c r="I212" s="853" t="str">
        <f ca="1">'All Statement of strategy (D)'!$I150</f>
        <v xml:space="preserve"> </v>
      </c>
      <c r="J212" s="854"/>
      <c r="K212" s="855"/>
      <c r="L212" s="856"/>
      <c r="N212" s="631" t="str">
        <f t="shared" ca="1" si="2"/>
        <v>Refresh the statement</v>
      </c>
    </row>
    <row r="213" spans="1:15">
      <c r="A213" s="862" t="str">
        <f ca="1">'All Statement of strategy (D)'!$I121</f>
        <v xml:space="preserve"> </v>
      </c>
      <c r="B213" s="863"/>
      <c r="C213" s="863"/>
      <c r="D213" s="864"/>
      <c r="E213" s="853" t="str">
        <f ca="1">'All Statement of strategy (D)'!$I131</f>
        <v xml:space="preserve"> </v>
      </c>
      <c r="F213" s="854"/>
      <c r="G213" s="853" t="str">
        <f ca="1">'All Statement of strategy (D)'!$I141</f>
        <v xml:space="preserve"> </v>
      </c>
      <c r="H213" s="854"/>
      <c r="I213" s="853" t="str">
        <f ca="1">'All Statement of strategy (D)'!$I151</f>
        <v xml:space="preserve"> </v>
      </c>
      <c r="J213" s="854"/>
      <c r="K213" s="855"/>
      <c r="L213" s="856"/>
      <c r="N213" s="631" t="str">
        <f t="shared" ca="1" si="2"/>
        <v>Refresh the statement</v>
      </c>
    </row>
    <row r="214" spans="1:15">
      <c r="A214" s="862" t="str">
        <f ca="1">'All Statement of strategy (D)'!$I122</f>
        <v xml:space="preserve"> </v>
      </c>
      <c r="B214" s="863"/>
      <c r="C214" s="863"/>
      <c r="D214" s="864"/>
      <c r="E214" s="853" t="str">
        <f ca="1">'All Statement of strategy (D)'!$I132</f>
        <v xml:space="preserve"> </v>
      </c>
      <c r="F214" s="854"/>
      <c r="G214" s="853" t="str">
        <f ca="1">'All Statement of strategy (D)'!$I142</f>
        <v xml:space="preserve"> </v>
      </c>
      <c r="H214" s="854"/>
      <c r="I214" s="853" t="str">
        <f ca="1">'All Statement of strategy (D)'!$I152</f>
        <v xml:space="preserve"> </v>
      </c>
      <c r="J214" s="854"/>
      <c r="K214" s="855"/>
      <c r="L214" s="856"/>
      <c r="N214" s="631" t="str">
        <f t="shared" ca="1" si="2"/>
        <v>Refresh the statement</v>
      </c>
    </row>
    <row r="215" spans="1:15">
      <c r="A215" s="862" t="str">
        <f ca="1">'All Statement of strategy (D)'!$I123</f>
        <v xml:space="preserve"> </v>
      </c>
      <c r="B215" s="863"/>
      <c r="C215" s="863"/>
      <c r="D215" s="864"/>
      <c r="E215" s="853" t="str">
        <f ca="1">'All Statement of strategy (D)'!$I133</f>
        <v xml:space="preserve"> </v>
      </c>
      <c r="F215" s="854"/>
      <c r="G215" s="853" t="str">
        <f ca="1">'All Statement of strategy (D)'!$I143</f>
        <v xml:space="preserve"> </v>
      </c>
      <c r="H215" s="854"/>
      <c r="I215" s="853" t="str">
        <f ca="1">'All Statement of strategy (D)'!$I153</f>
        <v xml:space="preserve"> </v>
      </c>
      <c r="J215" s="854"/>
      <c r="K215" s="855"/>
      <c r="L215" s="856"/>
      <c r="N215" s="631" t="str">
        <f t="shared" ca="1" si="2"/>
        <v>Refresh the statement</v>
      </c>
    </row>
    <row r="216" spans="1:15">
      <c r="A216" s="862" t="str">
        <f ca="1">'All Statement of strategy (D)'!$I124</f>
        <v xml:space="preserve"> </v>
      </c>
      <c r="B216" s="863"/>
      <c r="C216" s="863"/>
      <c r="D216" s="864"/>
      <c r="E216" s="853" t="str">
        <f ca="1">'All Statement of strategy (D)'!$I134</f>
        <v xml:space="preserve"> </v>
      </c>
      <c r="F216" s="854"/>
      <c r="G216" s="853" t="str">
        <f ca="1">'All Statement of strategy (D)'!$I144</f>
        <v xml:space="preserve"> </v>
      </c>
      <c r="H216" s="854"/>
      <c r="I216" s="853" t="str">
        <f ca="1">'All Statement of strategy (D)'!$I154</f>
        <v xml:space="preserve"> </v>
      </c>
      <c r="J216" s="854"/>
      <c r="K216" s="855"/>
      <c r="L216" s="856"/>
      <c r="N216" s="631" t="str">
        <f t="shared" ca="1" si="2"/>
        <v>Refresh the statement</v>
      </c>
    </row>
    <row r="217" spans="1:15">
      <c r="C217" s="397"/>
      <c r="D217" s="397"/>
      <c r="E217" s="397"/>
      <c r="N217" s="631" t="str">
        <f t="shared" ref="N217:N280" ca="1" si="3">IF(OR(A217&lt;&gt;"",B217&lt;&gt;"",C217&lt;&gt;"",D217&lt;&gt;"",E217&lt;&gt;"",F217&lt;&gt;"",G217&lt;&gt;"",H217&lt;&gt;"",I217&lt;&gt;"",J217&lt;&gt;"",K217&lt;&gt;"",L217&lt;&gt;"",M217&lt;&gt;"",O217&lt;&gt;""),"Refresh the statement","Scroll up and click refresh")</f>
        <v>Refresh the statement</v>
      </c>
      <c r="O217" s="86" t="str">
        <f ca="1">IF(A216&lt;&gt;"","Blank row","")</f>
        <v>Blank row</v>
      </c>
    </row>
    <row r="218" spans="1:15">
      <c r="A218" s="857" t="str">
        <f ca="1">'All Statement of strategy (D)'!$I155</f>
        <v xml:space="preserve"> </v>
      </c>
      <c r="B218" s="857"/>
      <c r="C218" s="857"/>
      <c r="D218" s="857"/>
      <c r="E218" s="857"/>
      <c r="F218" s="857"/>
      <c r="G218" s="857"/>
      <c r="H218" s="857"/>
      <c r="I218" s="857"/>
      <c r="J218" s="857"/>
      <c r="K218" s="857"/>
      <c r="L218" s="857"/>
      <c r="N218" s="631" t="str">
        <f t="shared" ca="1" si="3"/>
        <v>Refresh the statement</v>
      </c>
    </row>
    <row r="219" spans="1:15">
      <c r="B219" s="857"/>
      <c r="C219" s="857"/>
      <c r="D219" s="857"/>
      <c r="E219" s="857"/>
      <c r="N219" s="631" t="str">
        <f t="shared" ca="1" si="3"/>
        <v>Refresh the statement</v>
      </c>
      <c r="O219" s="86" t="str">
        <f ca="1">IF(A218&lt;&gt;"","Blank row","")</f>
        <v>Blank row</v>
      </c>
    </row>
    <row r="220" spans="1:15">
      <c r="A220" s="857" t="str">
        <f ca="1">'All Statement of strategy (D)'!$I156</f>
        <v xml:space="preserve"> </v>
      </c>
      <c r="B220" s="857"/>
      <c r="C220" s="857"/>
      <c r="D220" s="857"/>
      <c r="E220" s="857"/>
      <c r="F220" s="857"/>
      <c r="G220" s="857"/>
      <c r="H220" s="857"/>
      <c r="I220" s="857"/>
      <c r="J220" s="857"/>
      <c r="K220" s="857"/>
      <c r="L220" s="857"/>
      <c r="N220" s="631" t="str">
        <f t="shared" ca="1" si="3"/>
        <v>Refresh the statement</v>
      </c>
    </row>
    <row r="221" spans="1:15">
      <c r="B221" s="857"/>
      <c r="C221" s="857"/>
      <c r="D221" s="857"/>
      <c r="E221" s="857"/>
      <c r="N221" s="631" t="str">
        <f t="shared" ca="1" si="3"/>
        <v>Refresh the statement</v>
      </c>
      <c r="O221" s="86" t="str">
        <f ca="1">IF($A$220&lt;&gt;"","Blank row","")</f>
        <v>Blank row</v>
      </c>
    </row>
    <row r="222" spans="1:15">
      <c r="A222" s="857" t="str">
        <f ca="1">'All Statement of strategy (D)'!$I157</f>
        <v xml:space="preserve"> </v>
      </c>
      <c r="B222" s="857"/>
      <c r="C222" s="857"/>
      <c r="D222" s="857"/>
      <c r="E222" s="857"/>
      <c r="F222" s="857"/>
      <c r="G222" s="857"/>
      <c r="H222" s="857"/>
      <c r="I222" s="857"/>
      <c r="J222" s="857"/>
      <c r="K222" s="857"/>
      <c r="L222" s="857"/>
      <c r="N222" s="631" t="str">
        <f t="shared" ca="1" si="3"/>
        <v>Refresh the statement</v>
      </c>
    </row>
    <row r="223" spans="1:15">
      <c r="N223" s="631" t="str">
        <f t="shared" ca="1" si="3"/>
        <v>Refresh the statement</v>
      </c>
      <c r="O223" s="86" t="str">
        <f ca="1">IF(A214&lt;&gt;"","Blank row","")</f>
        <v>Blank row</v>
      </c>
    </row>
    <row r="224" spans="1:15">
      <c r="A224" s="857" t="str">
        <f ca="1">'All Statement of strategy (D)'!$I158&amp;'All Statement of strategy (D)'!$I159&amp;'All Statement of strategy (D)'!$I160&amp;'All Statement of strategy (D)'!$I161</f>
        <v xml:space="preserve">    </v>
      </c>
      <c r="B224" s="857"/>
      <c r="C224" s="857"/>
      <c r="D224" s="857"/>
      <c r="E224" s="857"/>
      <c r="F224" s="857"/>
      <c r="G224" s="857"/>
      <c r="H224" s="857"/>
      <c r="I224" s="857"/>
      <c r="J224" s="857"/>
      <c r="K224" s="857"/>
      <c r="L224" s="857"/>
      <c r="N224" s="631" t="str">
        <f t="shared" ca="1" si="3"/>
        <v>Refresh the statement</v>
      </c>
      <c r="O224" s="86" t="str">
        <f ca="1">'All Statement of strategy (D)'!$I158</f>
        <v xml:space="preserve"> </v>
      </c>
    </row>
    <row r="225" spans="1:15">
      <c r="A225" s="857"/>
      <c r="B225" s="857"/>
      <c r="C225" s="857"/>
      <c r="D225" s="857"/>
      <c r="E225" s="857"/>
      <c r="F225" s="857"/>
      <c r="G225" s="857"/>
      <c r="H225" s="857"/>
      <c r="I225" s="857"/>
      <c r="J225" s="857"/>
      <c r="K225" s="857"/>
      <c r="L225" s="857"/>
      <c r="N225" s="631" t="str">
        <f t="shared" ca="1" si="3"/>
        <v>Refresh the statement</v>
      </c>
      <c r="O225" s="86" t="str">
        <f ca="1">'All Statement of strategy (D)'!$I159</f>
        <v xml:space="preserve"> </v>
      </c>
    </row>
    <row r="226" spans="1:15">
      <c r="A226" s="857"/>
      <c r="B226" s="857"/>
      <c r="C226" s="857"/>
      <c r="D226" s="857"/>
      <c r="E226" s="857"/>
      <c r="F226" s="857"/>
      <c r="G226" s="857"/>
      <c r="H226" s="857"/>
      <c r="I226" s="857"/>
      <c r="J226" s="857"/>
      <c r="K226" s="857"/>
      <c r="L226" s="857"/>
      <c r="N226" s="631" t="str">
        <f t="shared" ca="1" si="3"/>
        <v>Refresh the statement</v>
      </c>
      <c r="O226" s="86" t="str">
        <f ca="1">'All Statement of strategy (D)'!$I160</f>
        <v xml:space="preserve"> </v>
      </c>
    </row>
    <row r="227" spans="1:15">
      <c r="A227" s="857"/>
      <c r="B227" s="857"/>
      <c r="C227" s="857"/>
      <c r="D227" s="857"/>
      <c r="E227" s="857"/>
      <c r="F227" s="857"/>
      <c r="G227" s="857"/>
      <c r="H227" s="857"/>
      <c r="I227" s="857"/>
      <c r="J227" s="857"/>
      <c r="K227" s="857"/>
      <c r="L227" s="857"/>
      <c r="N227" s="631" t="str">
        <f t="shared" ca="1" si="3"/>
        <v>Refresh the statement</v>
      </c>
      <c r="O227" s="86" t="str">
        <f ca="1">'All Statement of strategy (D)'!$I161</f>
        <v xml:space="preserve"> </v>
      </c>
    </row>
    <row r="228" spans="1:15">
      <c r="B228" s="857"/>
      <c r="C228" s="857"/>
      <c r="D228" s="857"/>
      <c r="E228" s="857"/>
      <c r="N228" s="631" t="str">
        <f t="shared" ca="1" si="3"/>
        <v>Refresh the statement</v>
      </c>
      <c r="O228" s="86" t="str">
        <f ca="1">IF(A224&lt;&gt;"","Blank row","")</f>
        <v>Blank row</v>
      </c>
    </row>
    <row r="229" spans="1:15">
      <c r="A229" s="857" t="str">
        <f ca="1">'All Statement of strategy (D)'!$I162</f>
        <v xml:space="preserve"> </v>
      </c>
      <c r="B229" s="857"/>
      <c r="C229" s="857"/>
      <c r="D229" s="857"/>
      <c r="E229" s="857"/>
      <c r="F229" s="857"/>
      <c r="G229" s="857"/>
      <c r="H229" s="857"/>
      <c r="I229" s="857"/>
      <c r="J229" s="857"/>
      <c r="K229" s="857"/>
      <c r="L229" s="857"/>
      <c r="N229" s="631" t="str">
        <f t="shared" ca="1" si="3"/>
        <v>Refresh the statement</v>
      </c>
    </row>
    <row r="230" spans="1:15">
      <c r="B230" s="857"/>
      <c r="C230" s="857"/>
      <c r="D230" s="857"/>
      <c r="E230" s="857"/>
      <c r="N230" s="631" t="str">
        <f t="shared" ca="1" si="3"/>
        <v>Refresh the statement</v>
      </c>
      <c r="O230" s="86" t="str">
        <f ca="1">IF(A229&lt;&gt;"","Blank row","")</f>
        <v>Blank row</v>
      </c>
    </row>
    <row r="231" spans="1:15">
      <c r="A231" s="857" t="str">
        <f ca="1">'All Statement of strategy (D)'!$I163</f>
        <v xml:space="preserve"> </v>
      </c>
      <c r="B231" s="857"/>
      <c r="C231" s="857"/>
      <c r="D231" s="857"/>
      <c r="E231" s="857"/>
      <c r="F231" s="857"/>
      <c r="G231" s="857"/>
      <c r="H231" s="857"/>
      <c r="I231" s="857"/>
      <c r="J231" s="857"/>
      <c r="K231" s="857"/>
      <c r="L231" s="857"/>
      <c r="N231" s="631" t="str">
        <f t="shared" ca="1" si="3"/>
        <v>Refresh the statement</v>
      </c>
      <c r="O231" s="86" t="str">
        <f ca="1">A231</f>
        <v xml:space="preserve"> </v>
      </c>
    </row>
    <row r="232" spans="1:15">
      <c r="B232" s="396"/>
      <c r="C232" s="396"/>
      <c r="D232" s="396"/>
      <c r="E232" s="396"/>
      <c r="N232" s="631" t="str">
        <f t="shared" ca="1" si="3"/>
        <v>Refresh the statement</v>
      </c>
      <c r="O232" s="86" t="str">
        <f ca="1">IF(A231&lt;&gt;"","Blank row","")</f>
        <v>Blank row</v>
      </c>
    </row>
    <row r="233" spans="1:15" ht="46.5">
      <c r="A233" s="857" t="str">
        <f ca="1">_xlfn.TEXTJOIN("
",TRUE,'All Statement of strategy (D)'!$I164,'All Statement of strategy (D)'!$I165,'All Statement of strategy (D)'!$I166,'All Statement of strategy (D)'!$I167)</f>
        <v xml:space="preserve"> 
 </v>
      </c>
      <c r="B233" s="857"/>
      <c r="C233" s="857"/>
      <c r="D233" s="857"/>
      <c r="E233" s="857"/>
      <c r="F233" s="857"/>
      <c r="G233" s="857"/>
      <c r="H233" s="857"/>
      <c r="I233" s="857"/>
      <c r="J233" s="857"/>
      <c r="K233" s="857"/>
      <c r="L233" s="857"/>
      <c r="N233" s="631" t="str">
        <f t="shared" ca="1" si="3"/>
        <v>Refresh the statement</v>
      </c>
      <c r="O233" s="86" t="str">
        <f ca="1">TRIM(A233)</f>
        <v xml:space="preserve">
</v>
      </c>
    </row>
    <row r="234" spans="1:15">
      <c r="N234" s="631" t="str">
        <f t="shared" ca="1" si="3"/>
        <v>Refresh the statement</v>
      </c>
      <c r="O234" s="86" t="str">
        <f ca="1">IF(A233&lt;&gt;"","Blank row","")</f>
        <v>Blank row</v>
      </c>
    </row>
    <row r="235" spans="1:15">
      <c r="A235" s="857" t="str">
        <f ca="1">'All Statement of strategy (D)'!$I168</f>
        <v xml:space="preserve"> </v>
      </c>
      <c r="B235" s="857"/>
      <c r="C235" s="857"/>
      <c r="D235" s="857"/>
      <c r="E235" s="857"/>
      <c r="F235" s="857"/>
      <c r="G235" s="857"/>
      <c r="H235" s="857"/>
      <c r="I235" s="857"/>
      <c r="J235" s="857"/>
      <c r="K235" s="857"/>
      <c r="L235" s="857"/>
      <c r="N235" s="631" t="str">
        <f t="shared" ca="1" si="3"/>
        <v>Refresh the statement</v>
      </c>
      <c r="O235" s="86" t="str">
        <f ca="1">TRIM('All Statement of strategy (D)'!$I168)</f>
        <v/>
      </c>
    </row>
    <row r="236" spans="1:15">
      <c r="N236" s="631" t="str">
        <f t="shared" ca="1" si="3"/>
        <v>Refresh the statement</v>
      </c>
      <c r="O236" s="86" t="str">
        <f ca="1">IF(A235&lt;&gt;"","Blank row","")</f>
        <v>Blank row</v>
      </c>
    </row>
    <row r="237" spans="1:15" ht="93">
      <c r="A237" s="857" t="str">
        <f ca="1">_xlfn.TEXTJOIN("
",TRUE,'All Statement of strategy (D)'!$I169,'All Statement of strategy (D)'!$I170,'All Statement of strategy (D)'!$I171,'All Statement of strategy (D)'!$I172,'All Statement of strategy (D)'!$I173,'All Statement of strategy (D)'!$I174,'All Statement of strategy (D)'!$I175)</f>
        <v xml:space="preserve"> 
 </v>
      </c>
      <c r="B237" s="857"/>
      <c r="C237" s="857"/>
      <c r="D237" s="857"/>
      <c r="E237" s="857"/>
      <c r="F237" s="857"/>
      <c r="G237" s="857"/>
      <c r="H237" s="857"/>
      <c r="I237" s="857"/>
      <c r="J237" s="857"/>
      <c r="K237" s="857"/>
      <c r="L237" s="857"/>
      <c r="N237" s="631" t="str">
        <f t="shared" ca="1" si="3"/>
        <v>Refresh the statement</v>
      </c>
      <c r="O237" s="86" t="str">
        <f ca="1">A237</f>
        <v xml:space="preserve"> 
 </v>
      </c>
    </row>
    <row r="238" spans="1:15">
      <c r="A238" s="654"/>
      <c r="B238" s="655"/>
      <c r="C238" s="655"/>
      <c r="D238" s="655"/>
      <c r="E238" s="655"/>
      <c r="F238" s="654"/>
      <c r="G238" s="654"/>
      <c r="H238" s="654"/>
      <c r="I238" s="654"/>
      <c r="J238" s="654"/>
      <c r="K238" s="654"/>
      <c r="L238" s="654"/>
      <c r="M238" s="654"/>
      <c r="N238" s="631" t="str">
        <f t="shared" ca="1" si="3"/>
        <v>Refresh the statement</v>
      </c>
      <c r="O238" s="86" t="str">
        <f ca="1">IF(A237&lt;&gt;"","Blank row","")</f>
        <v>Blank row</v>
      </c>
    </row>
    <row r="239" spans="1:15">
      <c r="A239" s="857" t="str">
        <f ca="1">_xlfn.TEXTJOIN("",TRUE,'All Statement of strategy (D)'!$I176,'All Statement of strategy (D)'!$I177,'All Statement of strategy (D)'!$I178)</f>
        <v xml:space="preserve">   </v>
      </c>
      <c r="B239" s="857"/>
      <c r="C239" s="857"/>
      <c r="D239" s="857"/>
      <c r="E239" s="857"/>
      <c r="F239" s="857"/>
      <c r="G239" s="857"/>
      <c r="H239" s="857"/>
      <c r="I239" s="857"/>
      <c r="J239" s="857"/>
      <c r="K239" s="857"/>
      <c r="L239" s="857"/>
      <c r="N239" s="631" t="str">
        <f t="shared" ca="1" si="3"/>
        <v>Refresh the statement</v>
      </c>
    </row>
    <row r="240" spans="1:15">
      <c r="A240" s="857"/>
      <c r="B240" s="857"/>
      <c r="C240" s="857"/>
      <c r="D240" s="857"/>
      <c r="E240" s="857"/>
      <c r="F240" s="857"/>
      <c r="G240" s="857"/>
      <c r="H240" s="857"/>
      <c r="I240" s="857"/>
      <c r="J240" s="857"/>
      <c r="K240" s="857"/>
      <c r="L240" s="857"/>
      <c r="N240" s="631" t="str">
        <f t="shared" ca="1" si="3"/>
        <v>Refresh the statement</v>
      </c>
      <c r="O240" s="86" t="str">
        <f ca="1">IF(A239&lt;&gt;"","Blank row","")</f>
        <v>Blank row</v>
      </c>
    </row>
    <row r="241" spans="1:14" ht="17.5">
      <c r="A241" s="91"/>
      <c r="B241" s="877" t="str">
        <f ca="1">'All Statement of strategy (D)'!$I179</f>
        <v xml:space="preserve"> </v>
      </c>
      <c r="C241" s="877"/>
      <c r="D241" s="877" t="str">
        <f ca="1">'All Statement of strategy (D)'!$I180</f>
        <v xml:space="preserve"> </v>
      </c>
      <c r="E241" s="877"/>
      <c r="F241" s="877"/>
      <c r="N241" s="631" t="str">
        <f t="shared" ca="1" si="3"/>
        <v>Refresh the statement</v>
      </c>
    </row>
    <row r="242" spans="1:14" ht="17.5">
      <c r="A242" s="437"/>
      <c r="B242" s="876" t="str">
        <f ca="1">'All Statement of strategy (D)'!$I181</f>
        <v xml:space="preserve"> </v>
      </c>
      <c r="C242" s="876"/>
      <c r="D242" s="876" t="str">
        <f ca="1">'All Statement of strategy (D)'!$I202</f>
        <v xml:space="preserve"> </v>
      </c>
      <c r="E242" s="876"/>
      <c r="F242" s="876"/>
      <c r="G242" s="396"/>
      <c r="H242" s="396"/>
      <c r="I242" s="396"/>
      <c r="J242" s="396"/>
      <c r="K242" s="396"/>
      <c r="L242" s="396"/>
      <c r="N242" s="631" t="str">
        <f t="shared" ca="1" si="3"/>
        <v>Refresh the statement</v>
      </c>
    </row>
    <row r="243" spans="1:14" ht="17.5">
      <c r="A243" s="91"/>
      <c r="B243" s="876" t="str">
        <f ca="1">'All Statement of strategy (D)'!$I182</f>
        <v xml:space="preserve"> </v>
      </c>
      <c r="C243" s="876"/>
      <c r="D243" s="876" t="str">
        <f ca="1">'All Statement of strategy (D)'!$I203</f>
        <v xml:space="preserve"> </v>
      </c>
      <c r="E243" s="876"/>
      <c r="F243" s="876"/>
      <c r="N243" s="631" t="str">
        <f t="shared" ca="1" si="3"/>
        <v>Refresh the statement</v>
      </c>
    </row>
    <row r="244" spans="1:14" ht="17.5">
      <c r="A244" s="91"/>
      <c r="B244" s="876" t="str">
        <f ca="1">'All Statement of strategy (D)'!$I183</f>
        <v xml:space="preserve"> </v>
      </c>
      <c r="C244" s="876"/>
      <c r="D244" s="876" t="str">
        <f ca="1">'All Statement of strategy (D)'!$I204</f>
        <v xml:space="preserve"> </v>
      </c>
      <c r="E244" s="876"/>
      <c r="F244" s="876"/>
      <c r="N244" s="631" t="str">
        <f t="shared" ca="1" si="3"/>
        <v>Refresh the statement</v>
      </c>
    </row>
    <row r="245" spans="1:14" ht="17.5">
      <c r="A245" s="91"/>
      <c r="B245" s="876" t="str">
        <f ca="1">'All Statement of strategy (D)'!$I184</f>
        <v xml:space="preserve"> </v>
      </c>
      <c r="C245" s="876"/>
      <c r="D245" s="876" t="str">
        <f ca="1">'All Statement of strategy (D)'!$I205</f>
        <v xml:space="preserve"> </v>
      </c>
      <c r="E245" s="876"/>
      <c r="F245" s="876"/>
      <c r="N245" s="631" t="str">
        <f t="shared" ca="1" si="3"/>
        <v>Refresh the statement</v>
      </c>
    </row>
    <row r="246" spans="1:14" ht="17.5">
      <c r="A246" s="91"/>
      <c r="B246" s="876" t="str">
        <f ca="1">'All Statement of strategy (D)'!$I185</f>
        <v xml:space="preserve"> </v>
      </c>
      <c r="C246" s="876"/>
      <c r="D246" s="876" t="str">
        <f ca="1">'All Statement of strategy (D)'!$I206</f>
        <v xml:space="preserve"> </v>
      </c>
      <c r="E246" s="876"/>
      <c r="F246" s="876"/>
      <c r="N246" s="631" t="str">
        <f t="shared" ca="1" si="3"/>
        <v>Refresh the statement</v>
      </c>
    </row>
    <row r="247" spans="1:14" ht="17.5">
      <c r="A247" s="91"/>
      <c r="B247" s="876" t="str">
        <f ca="1">'All Statement of strategy (D)'!$I186</f>
        <v xml:space="preserve"> </v>
      </c>
      <c r="C247" s="876"/>
      <c r="D247" s="876" t="str">
        <f ca="1">'All Statement of strategy (D)'!$I207</f>
        <v xml:space="preserve"> </v>
      </c>
      <c r="E247" s="876"/>
      <c r="F247" s="876"/>
      <c r="N247" s="631" t="str">
        <f t="shared" ca="1" si="3"/>
        <v>Refresh the statement</v>
      </c>
    </row>
    <row r="248" spans="1:14" ht="17.5">
      <c r="A248" s="91"/>
      <c r="B248" s="876" t="str">
        <f ca="1">'All Statement of strategy (D)'!$I187</f>
        <v xml:space="preserve"> </v>
      </c>
      <c r="C248" s="876"/>
      <c r="D248" s="876" t="str">
        <f ca="1">'All Statement of strategy (D)'!$I208</f>
        <v xml:space="preserve"> </v>
      </c>
      <c r="E248" s="876"/>
      <c r="F248" s="876"/>
      <c r="N248" s="631" t="str">
        <f t="shared" ca="1" si="3"/>
        <v>Refresh the statement</v>
      </c>
    </row>
    <row r="249" spans="1:14" ht="17.5">
      <c r="A249" s="91"/>
      <c r="B249" s="876" t="str">
        <f ca="1">'All Statement of strategy (D)'!$I188</f>
        <v xml:space="preserve"> </v>
      </c>
      <c r="C249" s="876"/>
      <c r="D249" s="876" t="str">
        <f ca="1">'All Statement of strategy (D)'!$I209</f>
        <v xml:space="preserve"> </v>
      </c>
      <c r="E249" s="876"/>
      <c r="F249" s="876"/>
      <c r="N249" s="631" t="str">
        <f t="shared" ca="1" si="3"/>
        <v>Refresh the statement</v>
      </c>
    </row>
    <row r="250" spans="1:14" ht="17.5">
      <c r="A250" s="91"/>
      <c r="B250" s="876" t="str">
        <f ca="1">'All Statement of strategy (D)'!$I189</f>
        <v xml:space="preserve"> </v>
      </c>
      <c r="C250" s="876"/>
      <c r="D250" s="876" t="str">
        <f ca="1">'All Statement of strategy (D)'!$I210</f>
        <v xml:space="preserve"> </v>
      </c>
      <c r="E250" s="876"/>
      <c r="F250" s="876"/>
      <c r="N250" s="631" t="str">
        <f t="shared" ca="1" si="3"/>
        <v>Refresh the statement</v>
      </c>
    </row>
    <row r="251" spans="1:14" ht="17.5">
      <c r="A251" s="91"/>
      <c r="B251" s="876" t="str">
        <f ca="1">'All Statement of strategy (D)'!$I190</f>
        <v xml:space="preserve"> </v>
      </c>
      <c r="C251" s="876"/>
      <c r="D251" s="876" t="str">
        <f ca="1">'All Statement of strategy (D)'!$I211</f>
        <v xml:space="preserve"> </v>
      </c>
      <c r="E251" s="876"/>
      <c r="F251" s="876"/>
      <c r="N251" s="631" t="str">
        <f t="shared" ca="1" si="3"/>
        <v>Refresh the statement</v>
      </c>
    </row>
    <row r="252" spans="1:14" ht="17.5">
      <c r="A252" s="91"/>
      <c r="B252" s="876" t="str">
        <f ca="1">'All Statement of strategy (D)'!$I191</f>
        <v xml:space="preserve"> </v>
      </c>
      <c r="C252" s="876"/>
      <c r="D252" s="876" t="str">
        <f ca="1">'All Statement of strategy (D)'!$I212</f>
        <v xml:space="preserve"> </v>
      </c>
      <c r="E252" s="876"/>
      <c r="F252" s="876"/>
      <c r="N252" s="631" t="str">
        <f t="shared" ca="1" si="3"/>
        <v>Refresh the statement</v>
      </c>
    </row>
    <row r="253" spans="1:14" ht="17.5">
      <c r="A253" s="91"/>
      <c r="B253" s="876" t="str">
        <f ca="1">'All Statement of strategy (D)'!$I192</f>
        <v xml:space="preserve"> </v>
      </c>
      <c r="C253" s="876"/>
      <c r="D253" s="876" t="str">
        <f ca="1">'All Statement of strategy (D)'!$I213</f>
        <v xml:space="preserve"> </v>
      </c>
      <c r="E253" s="876"/>
      <c r="F253" s="876"/>
      <c r="N253" s="631" t="str">
        <f t="shared" ca="1" si="3"/>
        <v>Refresh the statement</v>
      </c>
    </row>
    <row r="254" spans="1:14" ht="17.5">
      <c r="A254" s="91"/>
      <c r="B254" s="876" t="str">
        <f ca="1">'All Statement of strategy (D)'!$I193</f>
        <v xml:space="preserve"> </v>
      </c>
      <c r="C254" s="876"/>
      <c r="D254" s="876" t="str">
        <f ca="1">'All Statement of strategy (D)'!$I214</f>
        <v xml:space="preserve"> </v>
      </c>
      <c r="E254" s="876"/>
      <c r="F254" s="876"/>
      <c r="N254" s="631" t="str">
        <f t="shared" ca="1" si="3"/>
        <v>Refresh the statement</v>
      </c>
    </row>
    <row r="255" spans="1:14" ht="17.5">
      <c r="A255" s="91"/>
      <c r="B255" s="876" t="str">
        <f ca="1">'All Statement of strategy (D)'!$I194</f>
        <v xml:space="preserve"> </v>
      </c>
      <c r="C255" s="876"/>
      <c r="D255" s="876" t="str">
        <f ca="1">'All Statement of strategy (D)'!$I215</f>
        <v xml:space="preserve"> </v>
      </c>
      <c r="E255" s="876"/>
      <c r="F255" s="876"/>
      <c r="N255" s="631" t="str">
        <f t="shared" ca="1" si="3"/>
        <v>Refresh the statement</v>
      </c>
    </row>
    <row r="256" spans="1:14" ht="17.5">
      <c r="A256" s="91"/>
      <c r="B256" s="876" t="str">
        <f ca="1">'All Statement of strategy (D)'!$I195</f>
        <v xml:space="preserve"> </v>
      </c>
      <c r="C256" s="876"/>
      <c r="D256" s="876" t="str">
        <f ca="1">'All Statement of strategy (D)'!$I216</f>
        <v xml:space="preserve"> </v>
      </c>
      <c r="E256" s="876"/>
      <c r="F256" s="876"/>
      <c r="N256" s="631" t="str">
        <f t="shared" ca="1" si="3"/>
        <v>Refresh the statement</v>
      </c>
    </row>
    <row r="257" spans="1:15" ht="17.5">
      <c r="A257" s="91"/>
      <c r="B257" s="876" t="str">
        <f ca="1">'All Statement of strategy (D)'!$I196</f>
        <v xml:space="preserve"> </v>
      </c>
      <c r="C257" s="876"/>
      <c r="D257" s="876" t="str">
        <f ca="1">'All Statement of strategy (D)'!$I217</f>
        <v xml:space="preserve"> </v>
      </c>
      <c r="E257" s="876"/>
      <c r="F257" s="876"/>
      <c r="N257" s="631" t="str">
        <f t="shared" ca="1" si="3"/>
        <v>Refresh the statement</v>
      </c>
    </row>
    <row r="258" spans="1:15" ht="17.5">
      <c r="A258" s="91"/>
      <c r="B258" s="876" t="str">
        <f ca="1">'All Statement of strategy (D)'!$I197</f>
        <v xml:space="preserve"> </v>
      </c>
      <c r="C258" s="876"/>
      <c r="D258" s="876" t="str">
        <f ca="1">'All Statement of strategy (D)'!$I218</f>
        <v xml:space="preserve"> </v>
      </c>
      <c r="E258" s="876"/>
      <c r="F258" s="876"/>
      <c r="N258" s="631" t="str">
        <f t="shared" ca="1" si="3"/>
        <v>Refresh the statement</v>
      </c>
    </row>
    <row r="259" spans="1:15" ht="17.5">
      <c r="A259" s="91"/>
      <c r="B259" s="876" t="str">
        <f ca="1">'All Statement of strategy (D)'!$I198</f>
        <v xml:space="preserve"> </v>
      </c>
      <c r="C259" s="876"/>
      <c r="D259" s="876" t="str">
        <f ca="1">'All Statement of strategy (D)'!$I219</f>
        <v xml:space="preserve"> </v>
      </c>
      <c r="E259" s="876"/>
      <c r="F259" s="876"/>
      <c r="N259" s="631" t="str">
        <f t="shared" ca="1" si="3"/>
        <v>Refresh the statement</v>
      </c>
    </row>
    <row r="260" spans="1:15" ht="17.5">
      <c r="A260" s="91"/>
      <c r="B260" s="876" t="str">
        <f ca="1">'All Statement of strategy (D)'!$I199</f>
        <v xml:space="preserve"> </v>
      </c>
      <c r="C260" s="876"/>
      <c r="D260" s="876" t="str">
        <f ca="1">'All Statement of strategy (D)'!$I220</f>
        <v xml:space="preserve"> </v>
      </c>
      <c r="E260" s="876"/>
      <c r="F260" s="876"/>
      <c r="N260" s="631" t="str">
        <f t="shared" ca="1" si="3"/>
        <v>Refresh the statement</v>
      </c>
    </row>
    <row r="261" spans="1:15" ht="17.5">
      <c r="A261" s="91"/>
      <c r="B261" s="876" t="str">
        <f ca="1">'All Statement of strategy (D)'!$I200</f>
        <v xml:space="preserve"> </v>
      </c>
      <c r="C261" s="876"/>
      <c r="D261" s="876" t="str">
        <f ca="1">'All Statement of strategy (D)'!$I221</f>
        <v xml:space="preserve"> </v>
      </c>
      <c r="E261" s="876"/>
      <c r="F261" s="876"/>
      <c r="N261" s="631" t="str">
        <f t="shared" ca="1" si="3"/>
        <v>Refresh the statement</v>
      </c>
    </row>
    <row r="262" spans="1:15" ht="17.5">
      <c r="A262" s="91"/>
      <c r="B262" s="876" t="str">
        <f ca="1">'All Statement of strategy (D)'!$I201</f>
        <v xml:space="preserve"> </v>
      </c>
      <c r="C262" s="876"/>
      <c r="D262" s="876" t="str">
        <f ca="1">'All Statement of strategy (D)'!$I222</f>
        <v xml:space="preserve"> </v>
      </c>
      <c r="E262" s="876"/>
      <c r="F262" s="876"/>
      <c r="N262" s="631" t="str">
        <f t="shared" ca="1" si="3"/>
        <v>Refresh the statement</v>
      </c>
    </row>
    <row r="263" spans="1:15">
      <c r="N263" s="631" t="str">
        <f t="shared" ca="1" si="3"/>
        <v>Refresh the statement</v>
      </c>
      <c r="O263" s="86" t="str">
        <f ca="1">IF(OR(A239&lt;&gt;"",A240&lt;&gt;""),"Blank row","")</f>
        <v>Blank row</v>
      </c>
    </row>
    <row r="264" spans="1:15" ht="18">
      <c r="A264" s="865" t="str">
        <f ca="1">'All Statement of strategy (D)'!$I223</f>
        <v xml:space="preserve"> </v>
      </c>
      <c r="B264" s="865"/>
      <c r="C264" s="865"/>
      <c r="D264" s="865"/>
      <c r="E264" s="865"/>
      <c r="F264" s="865"/>
      <c r="G264" s="865"/>
      <c r="H264" s="865"/>
      <c r="I264" s="865"/>
      <c r="J264" s="865"/>
      <c r="K264" s="865"/>
      <c r="L264" s="865"/>
      <c r="N264" s="631" t="str">
        <f t="shared" ca="1" si="3"/>
        <v>Refresh the statement</v>
      </c>
    </row>
    <row r="265" spans="1:15" ht="17.5">
      <c r="B265" s="437"/>
      <c r="C265" s="437"/>
      <c r="D265" s="437"/>
      <c r="E265" s="437"/>
      <c r="N265" s="631" t="str">
        <f t="shared" ca="1" si="3"/>
        <v>Refresh the statement</v>
      </c>
      <c r="O265" s="86" t="str">
        <f ca="1">IF(A264&lt;&gt;"","Blank row","")</f>
        <v>Blank row</v>
      </c>
    </row>
    <row r="266" spans="1:15">
      <c r="A266" s="861" t="str">
        <f ca="1">'All Statement of strategy (D)'!$I224</f>
        <v xml:space="preserve"> </v>
      </c>
      <c r="B266" s="861"/>
      <c r="C266" s="861"/>
      <c r="D266" s="861"/>
      <c r="E266" s="861"/>
      <c r="F266" s="861"/>
      <c r="G266" s="861"/>
      <c r="H266" s="861"/>
      <c r="I266" s="861"/>
      <c r="J266" s="861"/>
      <c r="K266" s="861"/>
      <c r="L266" s="861"/>
      <c r="N266" s="631" t="str">
        <f t="shared" ca="1" si="3"/>
        <v>Refresh the statement</v>
      </c>
    </row>
    <row r="267" spans="1:15">
      <c r="B267" s="396"/>
      <c r="C267" s="396"/>
      <c r="D267" s="396"/>
      <c r="E267" s="396"/>
      <c r="N267" s="631" t="str">
        <f t="shared" ca="1" si="3"/>
        <v>Refresh the statement</v>
      </c>
      <c r="O267" s="86" t="str">
        <f ca="1">IF(A266&lt;&gt;"","Blank row","")</f>
        <v>Blank row</v>
      </c>
    </row>
    <row r="268" spans="1:15">
      <c r="A268" s="857" t="str">
        <f ca="1">'All Statement of strategy (D)'!$I225</f>
        <v xml:space="preserve"> </v>
      </c>
      <c r="B268" s="857"/>
      <c r="C268" s="857"/>
      <c r="D268" s="857"/>
      <c r="E268" s="857"/>
      <c r="F268" s="857"/>
      <c r="G268" s="857"/>
      <c r="H268" s="857"/>
      <c r="I268" s="857"/>
      <c r="J268" s="857"/>
      <c r="K268" s="857"/>
      <c r="L268" s="857"/>
      <c r="N268" s="631" t="str">
        <f t="shared" ca="1" si="3"/>
        <v>Refresh the statement</v>
      </c>
      <c r="O268" s="86" t="str">
        <f ca="1">A268</f>
        <v xml:space="preserve"> </v>
      </c>
    </row>
    <row r="269" spans="1:15">
      <c r="N269" s="631" t="str">
        <f t="shared" ca="1" si="3"/>
        <v>Refresh the statement</v>
      </c>
      <c r="O269" s="86" t="str">
        <f ca="1">IF(A268&lt;&gt;"","Blank row","")</f>
        <v>Blank row</v>
      </c>
    </row>
    <row r="270" spans="1:15">
      <c r="A270" s="857" t="str">
        <f ca="1">'All Statement of strategy (D)'!$I226</f>
        <v xml:space="preserve"> </v>
      </c>
      <c r="B270" s="857"/>
      <c r="C270" s="857"/>
      <c r="D270" s="857"/>
      <c r="E270" s="857"/>
      <c r="F270" s="857"/>
      <c r="G270" s="857"/>
      <c r="H270" s="857"/>
      <c r="I270" s="857"/>
      <c r="J270" s="857"/>
      <c r="K270" s="857"/>
      <c r="L270" s="857"/>
      <c r="N270" s="631" t="str">
        <f t="shared" ca="1" si="3"/>
        <v>Refresh the statement</v>
      </c>
      <c r="O270" s="86" t="str">
        <f ca="1">'All Statement of strategy (D)'!$I226</f>
        <v xml:space="preserve"> </v>
      </c>
    </row>
    <row r="271" spans="1:15">
      <c r="N271" s="631" t="str">
        <f t="shared" ca="1" si="3"/>
        <v>Refresh the statement</v>
      </c>
      <c r="O271" s="86" t="str">
        <f ca="1">IF($A$270&lt;&gt;"","Blank row","")</f>
        <v>Blank row</v>
      </c>
    </row>
    <row r="272" spans="1:15">
      <c r="A272" s="857" t="str">
        <f ca="1">_xlfn.TEXTJOIN("",TRUE,'All Statement of strategy (D)'!$I$227,'All Statement of strategy (D)'!$I$228,'All Statement of strategy (D)'!$I$229,'All Statement of strategy (D)'!$I$230)</f>
        <v xml:space="preserve">    </v>
      </c>
      <c r="B272" s="857"/>
      <c r="C272" s="857"/>
      <c r="D272" s="857"/>
      <c r="E272" s="857"/>
      <c r="F272" s="857"/>
      <c r="G272" s="857"/>
      <c r="H272" s="857"/>
      <c r="I272" s="857"/>
      <c r="J272" s="857"/>
      <c r="K272" s="857"/>
      <c r="L272" s="857"/>
      <c r="N272" s="631" t="str">
        <f t="shared" ca="1" si="3"/>
        <v>Refresh the statement</v>
      </c>
      <c r="O272" s="86" t="str">
        <f ca="1">'All Statement of strategy (D)'!$I$227</f>
        <v xml:space="preserve"> </v>
      </c>
    </row>
    <row r="273" spans="1:15">
      <c r="A273" s="857"/>
      <c r="B273" s="857"/>
      <c r="C273" s="857"/>
      <c r="D273" s="857"/>
      <c r="E273" s="857"/>
      <c r="F273" s="857"/>
      <c r="G273" s="857"/>
      <c r="H273" s="857"/>
      <c r="I273" s="857"/>
      <c r="J273" s="857"/>
      <c r="K273" s="857"/>
      <c r="L273" s="857"/>
      <c r="N273" s="631" t="str">
        <f t="shared" ca="1" si="3"/>
        <v>Refresh the statement</v>
      </c>
      <c r="O273" s="86" t="str">
        <f ca="1">'All Statement of strategy (D)'!$I$228</f>
        <v xml:space="preserve"> </v>
      </c>
    </row>
    <row r="274" spans="1:15">
      <c r="A274" s="857"/>
      <c r="B274" s="857"/>
      <c r="C274" s="857"/>
      <c r="D274" s="857"/>
      <c r="E274" s="857"/>
      <c r="F274" s="857"/>
      <c r="G274" s="857"/>
      <c r="H274" s="857"/>
      <c r="I274" s="857"/>
      <c r="J274" s="857"/>
      <c r="K274" s="857"/>
      <c r="L274" s="857"/>
      <c r="N274" s="631" t="str">
        <f t="shared" ca="1" si="3"/>
        <v>Refresh the statement</v>
      </c>
      <c r="O274" s="86" t="str">
        <f ca="1">'All Statement of strategy (D)'!$I$229</f>
        <v xml:space="preserve"> </v>
      </c>
    </row>
    <row r="275" spans="1:15">
      <c r="A275" s="857"/>
      <c r="B275" s="857"/>
      <c r="C275" s="857"/>
      <c r="D275" s="857"/>
      <c r="E275" s="857"/>
      <c r="F275" s="857"/>
      <c r="G275" s="857"/>
      <c r="H275" s="857"/>
      <c r="I275" s="857"/>
      <c r="J275" s="857"/>
      <c r="K275" s="857"/>
      <c r="L275" s="857"/>
      <c r="N275" s="631" t="str">
        <f t="shared" ca="1" si="3"/>
        <v>Refresh the statement</v>
      </c>
      <c r="O275" s="86" t="str">
        <f ca="1">'All Statement of strategy (D)'!$I$230</f>
        <v xml:space="preserve"> </v>
      </c>
    </row>
    <row r="276" spans="1:15">
      <c r="N276" s="631" t="str">
        <f t="shared" ca="1" si="3"/>
        <v>Refresh the statement</v>
      </c>
      <c r="O276" s="86" t="str">
        <f ca="1">IF($A$272&lt;&gt;"","Blank row","")</f>
        <v>Blank row</v>
      </c>
    </row>
    <row r="277" spans="1:15">
      <c r="A277" s="861" t="str">
        <f ca="1">_xlfn.TEXTJOIN("",TRUE,'All Statement of strategy (D)'!$I231,'All Statement of strategy (D)'!$I232)</f>
        <v xml:space="preserve">  </v>
      </c>
      <c r="B277" s="861"/>
      <c r="C277" s="861"/>
      <c r="D277" s="861"/>
      <c r="E277" s="861"/>
      <c r="F277" s="861"/>
      <c r="G277" s="861"/>
      <c r="H277" s="861"/>
      <c r="I277" s="861"/>
      <c r="J277" s="861"/>
      <c r="K277" s="861"/>
      <c r="L277" s="861"/>
      <c r="N277" s="631" t="str">
        <f t="shared" ca="1" si="3"/>
        <v>Refresh the statement</v>
      </c>
    </row>
    <row r="278" spans="1:15">
      <c r="A278" s="580"/>
      <c r="B278" s="580"/>
      <c r="C278" s="580"/>
      <c r="D278" s="580"/>
      <c r="E278" s="580"/>
      <c r="F278" s="580"/>
      <c r="G278" s="580"/>
      <c r="H278" s="580"/>
      <c r="I278" s="580"/>
      <c r="J278" s="580"/>
      <c r="K278" s="580"/>
      <c r="L278" s="580"/>
      <c r="N278" s="631" t="str">
        <f t="shared" ca="1" si="3"/>
        <v>Refresh the statement</v>
      </c>
      <c r="O278" s="86" t="str">
        <f ca="1">IF(A277&lt;&gt;"","Blank row","")</f>
        <v>Blank row</v>
      </c>
    </row>
    <row r="279" spans="1:15">
      <c r="A279" s="857" t="str">
        <f ca="1">_xlfn.TEXTJOIN("",TRUE,'All Statement of strategy (D)'!$I233,'All Statement of strategy (D)'!$I234,'All Statement of strategy (D)'!$I244,'All Statement of strategy (D)'!$I254)</f>
        <v xml:space="preserve">    </v>
      </c>
      <c r="B279" s="857"/>
      <c r="C279" s="857"/>
      <c r="D279" s="857"/>
      <c r="E279" s="857"/>
      <c r="F279" s="857"/>
      <c r="G279" s="857"/>
      <c r="H279" s="857"/>
      <c r="I279" s="857"/>
      <c r="J279" s="857"/>
      <c r="K279" s="857"/>
      <c r="L279" s="857"/>
      <c r="N279" s="631" t="str">
        <f t="shared" ca="1" si="3"/>
        <v>Refresh the statement</v>
      </c>
    </row>
    <row r="280" spans="1:15" ht="232.5">
      <c r="A280" s="857" t="str">
        <f ca="1">_xlfn.TEXTJOIN("
",TRUE,'All Statement of strategy (D)'!$I235,'All Statement of strategy (D)'!$I237,'All Statement of strategy (D)'!$I238,'All Statement of strategy (D)'!$I239,'All Statement of strategy (D)'!$I240,'All Statement of strategy (D)'!$I241,'All Statement of strategy (D)'!$I242,'All Statement of strategy (D)'!$I243,'All Statement of strategy (D)'!$I245,'All Statement of strategy (D)'!$I247,'All Statement of strategy (D)'!$I248,'All Statement of strategy (D)'!$I249,'All Statement of strategy (D)'!$I250,'All Statement of strategy (D)'!$I251,'All Statement of strategy (D)'!$I252,'All Statement of strategy (D)'!$I253)</f>
        <v xml:space="preserve"> 
 </v>
      </c>
      <c r="B280" s="857"/>
      <c r="C280" s="857"/>
      <c r="D280" s="857"/>
      <c r="E280" s="857"/>
      <c r="F280" s="857"/>
      <c r="G280" s="857"/>
      <c r="H280" s="857"/>
      <c r="I280" s="857"/>
      <c r="J280" s="857"/>
      <c r="K280" s="857"/>
      <c r="L280" s="857"/>
      <c r="N280" s="631" t="str">
        <f t="shared" ca="1" si="3"/>
        <v>Refresh the statement</v>
      </c>
      <c r="O280" s="86" t="str">
        <f ca="1">A280</f>
        <v xml:space="preserve"> 
 </v>
      </c>
    </row>
    <row r="281" spans="1:15">
      <c r="A281" s="857" t="str">
        <f ca="1">'All Statement of strategy (D)'!$I255&amp;'All Statement of strategy (D)'!$I256&amp;'All Statement of strategy (D)'!$I257&amp;'All Statement of strategy (D)'!$I258</f>
        <v xml:space="preserve">    </v>
      </c>
      <c r="B281" s="857"/>
      <c r="C281" s="857"/>
      <c r="D281" s="857"/>
      <c r="E281" s="857"/>
      <c r="F281" s="857"/>
      <c r="G281" s="857"/>
      <c r="H281" s="857"/>
      <c r="I281" s="857"/>
      <c r="J281" s="857"/>
      <c r="K281" s="857"/>
      <c r="L281" s="857"/>
      <c r="N281" s="631" t="str">
        <f t="shared" ref="N281:N344" ca="1" si="4">IF(OR(A281&lt;&gt;"",B281&lt;&gt;"",C281&lt;&gt;"",D281&lt;&gt;"",E281&lt;&gt;"",F281&lt;&gt;"",G281&lt;&gt;"",H281&lt;&gt;"",I281&lt;&gt;"",J281&lt;&gt;"",K281&lt;&gt;"",L281&lt;&gt;"",M281&lt;&gt;"",O281&lt;&gt;""),"Refresh the statement","Scroll up and click refresh")</f>
        <v>Refresh the statement</v>
      </c>
      <c r="O281" s="86" t="str">
        <f ca="1">'All Statement of strategy (D)'!$I255</f>
        <v xml:space="preserve"> </v>
      </c>
    </row>
    <row r="282" spans="1:15">
      <c r="A282" s="857"/>
      <c r="B282" s="857"/>
      <c r="C282" s="857"/>
      <c r="D282" s="857"/>
      <c r="E282" s="857"/>
      <c r="F282" s="857"/>
      <c r="G282" s="857"/>
      <c r="H282" s="857"/>
      <c r="I282" s="857"/>
      <c r="J282" s="857"/>
      <c r="K282" s="857"/>
      <c r="L282" s="857"/>
      <c r="N282" s="631" t="str">
        <f t="shared" ca="1" si="4"/>
        <v>Refresh the statement</v>
      </c>
      <c r="O282" s="86" t="str">
        <f ca="1">'All Statement of strategy (D)'!$I256</f>
        <v xml:space="preserve"> </v>
      </c>
    </row>
    <row r="283" spans="1:15">
      <c r="A283" s="857"/>
      <c r="B283" s="857"/>
      <c r="C283" s="857"/>
      <c r="D283" s="857"/>
      <c r="E283" s="857"/>
      <c r="F283" s="857"/>
      <c r="G283" s="857"/>
      <c r="H283" s="857"/>
      <c r="I283" s="857"/>
      <c r="J283" s="857"/>
      <c r="K283" s="857"/>
      <c r="L283" s="857"/>
      <c r="N283" s="631" t="str">
        <f t="shared" ca="1" si="4"/>
        <v>Refresh the statement</v>
      </c>
      <c r="O283" s="86" t="str">
        <f ca="1">'All Statement of strategy (D)'!$I257</f>
        <v xml:space="preserve"> </v>
      </c>
    </row>
    <row r="284" spans="1:15">
      <c r="A284" s="857"/>
      <c r="B284" s="857"/>
      <c r="C284" s="857"/>
      <c r="D284" s="857"/>
      <c r="E284" s="857"/>
      <c r="F284" s="857"/>
      <c r="G284" s="857"/>
      <c r="H284" s="857"/>
      <c r="I284" s="857"/>
      <c r="J284" s="857"/>
      <c r="K284" s="857"/>
      <c r="L284" s="857"/>
      <c r="N284" s="631" t="str">
        <f t="shared" ca="1" si="4"/>
        <v>Refresh the statement</v>
      </c>
      <c r="O284" s="86" t="str">
        <f ca="1">'All Statement of strategy (D)'!$I258</f>
        <v xml:space="preserve"> </v>
      </c>
    </row>
    <row r="285" spans="1:15">
      <c r="B285" s="857"/>
      <c r="C285" s="857"/>
      <c r="D285" s="857"/>
      <c r="E285" s="857"/>
      <c r="N285" s="631" t="str">
        <f t="shared" ca="1" si="4"/>
        <v>Refresh the statement</v>
      </c>
      <c r="O285" s="86" t="str">
        <f ca="1">IF(A286&lt;&gt;"","Blank row","")</f>
        <v>Blank row</v>
      </c>
    </row>
    <row r="286" spans="1:15">
      <c r="A286" s="857" t="str">
        <f ca="1">'All Statement of strategy (D)'!$I259</f>
        <v xml:space="preserve"> </v>
      </c>
      <c r="B286" s="857"/>
      <c r="C286" s="857"/>
      <c r="D286" s="857"/>
      <c r="E286" s="857"/>
      <c r="F286" s="857"/>
      <c r="G286" s="857"/>
      <c r="H286" s="857"/>
      <c r="I286" s="857"/>
      <c r="J286" s="857"/>
      <c r="K286" s="857"/>
      <c r="L286" s="857"/>
      <c r="N286" s="631" t="str">
        <f t="shared" ca="1" si="4"/>
        <v>Refresh the statement</v>
      </c>
    </row>
    <row r="287" spans="1:15">
      <c r="B287" s="857"/>
      <c r="C287" s="857"/>
      <c r="D287" s="857"/>
      <c r="E287" s="857"/>
      <c r="N287" s="631" t="str">
        <f t="shared" ca="1" si="4"/>
        <v>Refresh the statement</v>
      </c>
      <c r="O287" s="86" t="str">
        <f ca="1">IF(A286&lt;&gt;"","Blank row","")</f>
        <v>Blank row</v>
      </c>
    </row>
    <row r="288" spans="1:15">
      <c r="A288" s="857" t="str">
        <f ca="1">_xlfn.TEXTJOIN("",TRUE,'All Statement of strategy (D)'!$I260,'All Statement of strategy (D)'!$I261,'All Statement of strategy (D)'!$I262)</f>
        <v xml:space="preserve">   </v>
      </c>
      <c r="B288" s="857"/>
      <c r="C288" s="857"/>
      <c r="D288" s="857"/>
      <c r="E288" s="857"/>
      <c r="F288" s="857"/>
      <c r="G288" s="857"/>
      <c r="H288" s="857"/>
      <c r="I288" s="857"/>
      <c r="J288" s="857"/>
      <c r="K288" s="857"/>
      <c r="L288" s="857"/>
      <c r="N288" s="631" t="str">
        <f t="shared" ca="1" si="4"/>
        <v>Refresh the statement</v>
      </c>
      <c r="O288" s="86" t="str">
        <f ca="1">A288</f>
        <v xml:space="preserve">   </v>
      </c>
    </row>
    <row r="289" spans="1:15" ht="186">
      <c r="A289" s="857" t="str">
        <f ca="1">_xlfn.TEXTJOIN("
",TRUE,'All Statement of strategy (D)'!$I263,'All Statement of strategy (D)'!$I264,'All Statement of strategy (D)'!$I265,'All Statement of strategy (D)'!$I266,'All Statement of strategy (D)'!$I267,'All Statement of strategy (D)'!$I268,'All Statement of strategy (D)'!$I269,'All Statement of strategy (D)'!$I270,'All Statement of strategy (D)'!$I271,'All Statement of strategy (D)'!$I272,'All Statement of strategy (D)'!$I273,'All Statement of strategy (D)'!$I274,'All Statement of strategy (D)'!$I275)</f>
        <v xml:space="preserve"> 
 </v>
      </c>
      <c r="B289" s="857"/>
      <c r="C289" s="857"/>
      <c r="D289" s="857"/>
      <c r="E289" s="857"/>
      <c r="F289" s="857"/>
      <c r="G289" s="857"/>
      <c r="H289" s="857"/>
      <c r="I289" s="857"/>
      <c r="J289" s="857"/>
      <c r="K289" s="857"/>
      <c r="L289" s="857"/>
      <c r="N289" s="631" t="str">
        <f t="shared" ca="1" si="4"/>
        <v>Refresh the statement</v>
      </c>
      <c r="O289" s="86" t="str">
        <f ca="1">A289</f>
        <v xml:space="preserve"> 
 </v>
      </c>
    </row>
    <row r="290" spans="1:15">
      <c r="B290" s="857"/>
      <c r="C290" s="857"/>
      <c r="D290" s="857"/>
      <c r="E290" s="857"/>
      <c r="N290" s="631" t="str">
        <f t="shared" si="4"/>
        <v>Refresh the statement</v>
      </c>
      <c r="O290" s="86" t="s">
        <v>1500</v>
      </c>
    </row>
    <row r="291" spans="1:15">
      <c r="A291" s="857" t="str">
        <f ca="1">'All Statement of strategy (D)'!$I276</f>
        <v xml:space="preserve"> </v>
      </c>
      <c r="B291" s="857"/>
      <c r="C291" s="857"/>
      <c r="D291" s="857"/>
      <c r="E291" s="857"/>
      <c r="F291" s="857"/>
      <c r="G291" s="857"/>
      <c r="H291" s="857"/>
      <c r="I291" s="857"/>
      <c r="J291" s="857"/>
      <c r="K291" s="857"/>
      <c r="L291" s="857"/>
      <c r="N291" s="631" t="str">
        <f t="shared" ca="1" si="4"/>
        <v>Refresh the statement</v>
      </c>
    </row>
    <row r="292" spans="1:15">
      <c r="B292" s="857"/>
      <c r="C292" s="857"/>
      <c r="D292" s="857"/>
      <c r="E292" s="857"/>
      <c r="N292" s="631" t="str">
        <f t="shared" ca="1" si="4"/>
        <v>Refresh the statement</v>
      </c>
      <c r="O292" s="86" t="str">
        <f ca="1">IF($A$291&lt;&gt;"","Blank row","")</f>
        <v>Blank row</v>
      </c>
    </row>
    <row r="293" spans="1:15">
      <c r="A293" s="857" t="str">
        <f ca="1">'All Statement of strategy (D)'!$I277</f>
        <v xml:space="preserve"> </v>
      </c>
      <c r="B293" s="857"/>
      <c r="C293" s="857"/>
      <c r="D293" s="857"/>
      <c r="E293" s="857"/>
      <c r="F293" s="857"/>
      <c r="G293" s="857"/>
      <c r="H293" s="857"/>
      <c r="I293" s="857"/>
      <c r="J293" s="857"/>
      <c r="K293" s="857"/>
      <c r="L293" s="857"/>
      <c r="N293" s="631" t="str">
        <f t="shared" ca="1" si="4"/>
        <v>Refresh the statement</v>
      </c>
    </row>
    <row r="294" spans="1:15">
      <c r="A294" s="857" t="str">
        <f ca="1">'All Statement of strategy (D)'!$I278</f>
        <v xml:space="preserve"> </v>
      </c>
      <c r="B294" s="857"/>
      <c r="C294" s="857"/>
      <c r="D294" s="857"/>
      <c r="E294" s="857"/>
      <c r="F294" s="857"/>
      <c r="G294" s="857"/>
      <c r="H294" s="857"/>
      <c r="I294" s="857"/>
      <c r="J294" s="857"/>
      <c r="K294" s="857"/>
      <c r="L294" s="857"/>
      <c r="N294" s="631" t="str">
        <f t="shared" ca="1" si="4"/>
        <v>Refresh the statement</v>
      </c>
      <c r="O294" s="86" t="str">
        <f ca="1">A294</f>
        <v xml:space="preserve"> </v>
      </c>
    </row>
    <row r="295" spans="1:15">
      <c r="A295" s="857" t="str">
        <f ca="1">_xlfn.TEXTJOIN("",TRUE,'All Statement of strategy (D)'!$I278,'All Statement of strategy (D)'!$I279,'All Statement of strategy (D)'!$I280,'All Statement of strategy (D)'!$I281)</f>
        <v xml:space="preserve">    </v>
      </c>
      <c r="B295" s="857"/>
      <c r="C295" s="857"/>
      <c r="D295" s="857"/>
      <c r="E295" s="857"/>
      <c r="F295" s="857"/>
      <c r="G295" s="857"/>
      <c r="H295" s="857"/>
      <c r="I295" s="857"/>
      <c r="J295" s="857"/>
      <c r="K295" s="857"/>
      <c r="L295" s="857"/>
      <c r="N295" s="631" t="str">
        <f t="shared" ca="1" si="4"/>
        <v>Refresh the statement</v>
      </c>
      <c r="O295" s="86" t="str">
        <f ca="1">'All Statement of strategy (D)'!$I279</f>
        <v xml:space="preserve"> </v>
      </c>
    </row>
    <row r="296" spans="1:15">
      <c r="A296" s="857"/>
      <c r="B296" s="857"/>
      <c r="C296" s="857"/>
      <c r="D296" s="857"/>
      <c r="E296" s="857"/>
      <c r="F296" s="857"/>
      <c r="G296" s="857"/>
      <c r="H296" s="857"/>
      <c r="I296" s="857"/>
      <c r="J296" s="857"/>
      <c r="K296" s="857"/>
      <c r="L296" s="857"/>
      <c r="N296" s="631" t="str">
        <f t="shared" ca="1" si="4"/>
        <v>Refresh the statement</v>
      </c>
      <c r="O296" s="86" t="str">
        <f ca="1">'All Statement of strategy (D)'!$I280</f>
        <v xml:space="preserve"> </v>
      </c>
    </row>
    <row r="297" spans="1:15">
      <c r="A297" s="857"/>
      <c r="B297" s="857"/>
      <c r="C297" s="857"/>
      <c r="D297" s="857"/>
      <c r="E297" s="857"/>
      <c r="F297" s="857"/>
      <c r="G297" s="857"/>
      <c r="H297" s="857"/>
      <c r="I297" s="857"/>
      <c r="J297" s="857"/>
      <c r="K297" s="857"/>
      <c r="L297" s="857"/>
      <c r="N297" s="631" t="str">
        <f t="shared" ca="1" si="4"/>
        <v>Refresh the statement</v>
      </c>
      <c r="O297" s="86" t="str">
        <f ca="1">'All Statement of strategy (D)'!$I281</f>
        <v xml:space="preserve"> </v>
      </c>
    </row>
    <row r="298" spans="1:15">
      <c r="A298" s="857"/>
      <c r="B298" s="857"/>
      <c r="C298" s="857"/>
      <c r="D298" s="857"/>
      <c r="E298" s="857"/>
      <c r="F298" s="857"/>
      <c r="G298" s="857"/>
      <c r="H298" s="857"/>
      <c r="I298" s="857"/>
      <c r="J298" s="857"/>
      <c r="K298" s="857"/>
      <c r="L298" s="857"/>
      <c r="N298" s="631" t="str">
        <f t="shared" ca="1" si="4"/>
        <v>Refresh the statement</v>
      </c>
      <c r="O298" s="86" t="str">
        <f ca="1">'All Statement of strategy (D)'!$I282</f>
        <v xml:space="preserve"> </v>
      </c>
    </row>
    <row r="299" spans="1:15">
      <c r="B299" s="396"/>
      <c r="C299" s="396"/>
      <c r="D299" s="396"/>
      <c r="E299" s="396"/>
      <c r="N299" s="631" t="str">
        <f t="shared" ca="1" si="4"/>
        <v>Refresh the statement</v>
      </c>
      <c r="O299" s="86" t="str">
        <f ca="1">IF(A295&lt;&gt;"","Blank row","")</f>
        <v>Blank row</v>
      </c>
    </row>
    <row r="300" spans="1:15">
      <c r="B300" s="877" t="str">
        <f ca="1">'All Statement of strategy (D)'!$I283</f>
        <v xml:space="preserve"> </v>
      </c>
      <c r="C300" s="877"/>
      <c r="D300" s="877" t="str">
        <f ca="1">'All Statement of strategy (D)'!$I284</f>
        <v xml:space="preserve"> </v>
      </c>
      <c r="E300" s="877"/>
      <c r="N300" s="631" t="str">
        <f t="shared" ca="1" si="4"/>
        <v>Refresh the statement</v>
      </c>
    </row>
    <row r="301" spans="1:15">
      <c r="B301" s="878" t="str">
        <f ca="1">'All Statement of strategy (D)'!$I285</f>
        <v xml:space="preserve"> </v>
      </c>
      <c r="C301" s="878"/>
      <c r="D301" s="879" t="str">
        <f ca="1">'All Statement of strategy (D)'!$I286</f>
        <v xml:space="preserve"> </v>
      </c>
      <c r="E301" s="879"/>
      <c r="N301" s="631" t="str">
        <f t="shared" ca="1" si="4"/>
        <v>Refresh the statement</v>
      </c>
    </row>
    <row r="302" spans="1:15">
      <c r="B302" s="878" t="str">
        <f ca="1">'All Statement of strategy (D)'!$I287</f>
        <v xml:space="preserve"> </v>
      </c>
      <c r="C302" s="878"/>
      <c r="D302" s="879" t="str">
        <f ca="1">'All Statement of strategy (D)'!$I288</f>
        <v xml:space="preserve"> </v>
      </c>
      <c r="E302" s="879"/>
      <c r="N302" s="631" t="str">
        <f t="shared" ca="1" si="4"/>
        <v>Refresh the statement</v>
      </c>
    </row>
    <row r="303" spans="1:15">
      <c r="N303" s="631" t="str">
        <f t="shared" ca="1" si="4"/>
        <v>Refresh the statement</v>
      </c>
      <c r="O303" s="86" t="str">
        <f ca="1">IF($B$301&lt;&gt;"","Blank row","")</f>
        <v>Blank row</v>
      </c>
    </row>
    <row r="304" spans="1:15" ht="18">
      <c r="A304" s="865" t="str">
        <f ca="1">'All Statement of strategy (D)'!$I289</f>
        <v xml:space="preserve"> </v>
      </c>
      <c r="B304" s="865"/>
      <c r="C304" s="865"/>
      <c r="D304" s="865"/>
      <c r="E304" s="865"/>
      <c r="F304" s="865"/>
      <c r="G304" s="865"/>
      <c r="H304" s="865"/>
      <c r="I304" s="865"/>
      <c r="J304" s="865"/>
      <c r="K304" s="865"/>
      <c r="L304" s="865"/>
      <c r="N304" s="631" t="str">
        <f t="shared" ca="1" si="4"/>
        <v>Refresh the statement</v>
      </c>
    </row>
    <row r="305" spans="1:15">
      <c r="N305" s="631" t="str">
        <f t="shared" ca="1" si="4"/>
        <v>Refresh the statement</v>
      </c>
      <c r="O305" s="86" t="str">
        <f ca="1">IF(A304&lt;&gt;"","Blank row","")</f>
        <v>Blank row</v>
      </c>
    </row>
    <row r="306" spans="1:15">
      <c r="A306" s="857" t="str">
        <f ca="1">'All Statement of strategy (D)'!$I290</f>
        <v xml:space="preserve"> </v>
      </c>
      <c r="B306" s="857"/>
      <c r="C306" s="857"/>
      <c r="D306" s="857"/>
      <c r="E306" s="857"/>
      <c r="F306" s="857"/>
      <c r="G306" s="857"/>
      <c r="H306" s="857"/>
      <c r="I306" s="857"/>
      <c r="J306" s="857"/>
      <c r="K306" s="857"/>
      <c r="L306" s="857"/>
      <c r="N306" s="631" t="str">
        <f t="shared" ca="1" si="4"/>
        <v>Refresh the statement</v>
      </c>
    </row>
    <row r="307" spans="1:15">
      <c r="A307" s="857" t="str">
        <f ca="1">'All Statement of strategy (D)'!$I291</f>
        <v xml:space="preserve"> </v>
      </c>
      <c r="B307" s="857"/>
      <c r="C307" s="857"/>
      <c r="D307" s="857"/>
      <c r="E307" s="857"/>
      <c r="F307" s="857"/>
      <c r="G307" s="857"/>
      <c r="H307" s="857"/>
      <c r="I307" s="857"/>
      <c r="J307" s="857"/>
      <c r="K307" s="857"/>
      <c r="L307" s="857"/>
      <c r="N307" s="631" t="str">
        <f t="shared" ca="1" si="4"/>
        <v>Refresh the statement</v>
      </c>
      <c r="O307" s="86" t="str">
        <f ca="1">A307</f>
        <v xml:space="preserve"> </v>
      </c>
    </row>
    <row r="308" spans="1:15">
      <c r="A308" s="857" t="str">
        <f ca="1">'All Statement of strategy (D)'!$I292</f>
        <v xml:space="preserve"> </v>
      </c>
      <c r="B308" s="857"/>
      <c r="C308" s="857"/>
      <c r="D308" s="857"/>
      <c r="E308" s="857"/>
      <c r="F308" s="857"/>
      <c r="G308" s="857"/>
      <c r="H308" s="857"/>
      <c r="I308" s="857"/>
      <c r="J308" s="857"/>
      <c r="K308" s="857"/>
      <c r="L308" s="857"/>
      <c r="N308" s="631" t="str">
        <f t="shared" ca="1" si="4"/>
        <v>Refresh the statement</v>
      </c>
      <c r="O308" s="86" t="str">
        <f ca="1">A308</f>
        <v xml:space="preserve"> </v>
      </c>
    </row>
    <row r="309" spans="1:15">
      <c r="A309" s="857" t="str">
        <f ca="1">'All Statement of strategy (D)'!$I293</f>
        <v xml:space="preserve"> </v>
      </c>
      <c r="B309" s="857"/>
      <c r="C309" s="857"/>
      <c r="D309" s="857"/>
      <c r="E309" s="857"/>
      <c r="F309" s="857"/>
      <c r="G309" s="857"/>
      <c r="H309" s="857"/>
      <c r="I309" s="857"/>
      <c r="J309" s="857"/>
      <c r="K309" s="857"/>
      <c r="L309" s="857"/>
      <c r="N309" s="631" t="str">
        <f t="shared" ca="1" si="4"/>
        <v>Refresh the statement</v>
      </c>
      <c r="O309" s="86" t="str">
        <f ca="1">A309</f>
        <v xml:space="preserve"> </v>
      </c>
    </row>
    <row r="310" spans="1:15">
      <c r="N310" s="631" t="str">
        <f t="shared" ca="1" si="4"/>
        <v>Refresh the statement</v>
      </c>
      <c r="O310" s="86" t="str">
        <f ca="1">IF(OR(A309&lt;&gt;"",A308&lt;&gt;"",A307&lt;&gt;""),"Blank row","")</f>
        <v>Blank row</v>
      </c>
    </row>
    <row r="311" spans="1:15">
      <c r="A311" s="861" t="str">
        <f ca="1">'All Statement of strategy (D)'!$I294</f>
        <v xml:space="preserve"> </v>
      </c>
      <c r="B311" s="861"/>
      <c r="C311" s="861"/>
      <c r="D311" s="861"/>
      <c r="E311" s="861"/>
      <c r="F311" s="861"/>
      <c r="G311" s="861"/>
      <c r="H311" s="861"/>
      <c r="I311" s="861"/>
      <c r="J311" s="861"/>
      <c r="K311" s="861"/>
      <c r="L311" s="861"/>
      <c r="N311" s="631" t="str">
        <f t="shared" ca="1" si="4"/>
        <v>Refresh the statement</v>
      </c>
    </row>
    <row r="312" spans="1:15" ht="17.5">
      <c r="C312" s="91"/>
      <c r="D312" s="91"/>
      <c r="E312" s="91"/>
      <c r="N312" s="631" t="str">
        <f t="shared" ca="1" si="4"/>
        <v>Refresh the statement</v>
      </c>
      <c r="O312" s="86" t="str">
        <f ca="1">IF(A311&lt;&gt;"","Blank row","")</f>
        <v>Blank row</v>
      </c>
    </row>
    <row r="313" spans="1:15">
      <c r="A313" s="857" t="str">
        <f ca="1">'All Statement of strategy (D)'!$I295</f>
        <v xml:space="preserve"> </v>
      </c>
      <c r="B313" s="857"/>
      <c r="C313" s="857"/>
      <c r="D313" s="857"/>
      <c r="E313" s="857"/>
      <c r="F313" s="857"/>
      <c r="G313" s="857"/>
      <c r="H313" s="857"/>
      <c r="I313" s="857"/>
      <c r="J313" s="857"/>
      <c r="K313" s="857"/>
      <c r="L313" s="857"/>
      <c r="N313" s="631" t="str">
        <f t="shared" ca="1" si="4"/>
        <v>Refresh the statement</v>
      </c>
    </row>
    <row r="314" spans="1:15" ht="17.5">
      <c r="B314" s="91"/>
      <c r="C314" s="91"/>
      <c r="D314" s="91"/>
      <c r="E314" s="91"/>
      <c r="N314" s="631" t="str">
        <f t="shared" ca="1" si="4"/>
        <v>Refresh the statement</v>
      </c>
      <c r="O314" s="86" t="str">
        <f ca="1">IF(A313&lt;&gt;"","Blank row","")</f>
        <v>Blank row</v>
      </c>
    </row>
    <row r="315" spans="1:15">
      <c r="A315" s="857" t="str">
        <f ca="1">'All Statement of strategy (D)'!$I296</f>
        <v xml:space="preserve"> </v>
      </c>
      <c r="B315" s="857"/>
      <c r="C315" s="857"/>
      <c r="D315" s="857"/>
      <c r="E315" s="857"/>
      <c r="F315" s="857"/>
      <c r="G315" s="857"/>
      <c r="H315" s="857"/>
      <c r="I315" s="857"/>
      <c r="J315" s="857"/>
      <c r="K315" s="857"/>
      <c r="L315" s="857"/>
      <c r="N315" s="631" t="str">
        <f t="shared" ca="1" si="4"/>
        <v>Refresh the statement</v>
      </c>
    </row>
    <row r="316" spans="1:15">
      <c r="A316" s="857" t="str">
        <f ca="1">'All Statement of strategy (D)'!$I297</f>
        <v xml:space="preserve"> </v>
      </c>
      <c r="B316" s="857"/>
      <c r="C316" s="857"/>
      <c r="D316" s="857"/>
      <c r="E316" s="857"/>
      <c r="F316" s="857"/>
      <c r="G316" s="857"/>
      <c r="H316" s="857"/>
      <c r="I316" s="857"/>
      <c r="J316" s="857"/>
      <c r="K316" s="857"/>
      <c r="L316" s="857"/>
      <c r="N316" s="631" t="str">
        <f t="shared" ca="1" si="4"/>
        <v>Refresh the statement</v>
      </c>
      <c r="O316" s="86" t="str">
        <f ca="1">A316</f>
        <v xml:space="preserve"> </v>
      </c>
    </row>
    <row r="317" spans="1:15">
      <c r="A317" s="857" t="str">
        <f ca="1">'All Statement of strategy (D)'!$I298</f>
        <v xml:space="preserve"> </v>
      </c>
      <c r="B317" s="857"/>
      <c r="C317" s="857"/>
      <c r="D317" s="857"/>
      <c r="E317" s="857"/>
      <c r="F317" s="857"/>
      <c r="G317" s="857"/>
      <c r="H317" s="857"/>
      <c r="I317" s="857"/>
      <c r="J317" s="857"/>
      <c r="K317" s="857"/>
      <c r="L317" s="857"/>
      <c r="N317" s="631" t="str">
        <f t="shared" ca="1" si="4"/>
        <v>Refresh the statement</v>
      </c>
      <c r="O317" s="86" t="str">
        <f ca="1">A317</f>
        <v xml:space="preserve"> </v>
      </c>
    </row>
    <row r="318" spans="1:15" ht="17.5">
      <c r="B318" s="91"/>
      <c r="C318" s="91"/>
      <c r="D318" s="91"/>
      <c r="E318" s="91"/>
      <c r="N318" s="631" t="str">
        <f t="shared" ca="1" si="4"/>
        <v>Refresh the statement</v>
      </c>
      <c r="O318" s="86" t="str">
        <f ca="1">IF(A317&lt;&gt;"","Blank row","")</f>
        <v>Blank row</v>
      </c>
    </row>
    <row r="319" spans="1:15">
      <c r="A319" s="857" t="str">
        <f ca="1">'All Statement of strategy (D)'!$I299</f>
        <v xml:space="preserve"> </v>
      </c>
      <c r="B319" s="857"/>
      <c r="C319" s="857"/>
      <c r="D319" s="857"/>
      <c r="E319" s="857"/>
      <c r="F319" s="857"/>
      <c r="G319" s="857"/>
      <c r="H319" s="857"/>
      <c r="I319" s="857"/>
      <c r="J319" s="857"/>
      <c r="K319" s="857"/>
      <c r="L319" s="857"/>
      <c r="N319" s="631" t="str">
        <f t="shared" ca="1" si="4"/>
        <v>Refresh the statement</v>
      </c>
    </row>
    <row r="320" spans="1:15">
      <c r="N320" s="631" t="str">
        <f t="shared" ca="1" si="4"/>
        <v>Refresh the statement</v>
      </c>
      <c r="O320" s="86" t="str">
        <f ca="1">IF(A319&lt;&gt;"","Blank row","")</f>
        <v>Blank row</v>
      </c>
    </row>
    <row r="321" spans="1:15">
      <c r="A321" s="857" t="str">
        <f ca="1">'All Statement of strategy (D)'!$I300&amp;'All Statement of strategy (D)'!$I301&amp;'All Statement of strategy (D)'!$I302&amp;'All Statement of strategy (D)'!$I303</f>
        <v xml:space="preserve">    </v>
      </c>
      <c r="B321" s="857"/>
      <c r="C321" s="857"/>
      <c r="D321" s="857"/>
      <c r="E321" s="857"/>
      <c r="F321" s="857"/>
      <c r="G321" s="857"/>
      <c r="H321" s="857"/>
      <c r="I321" s="857"/>
      <c r="J321" s="857"/>
      <c r="K321" s="857"/>
      <c r="L321" s="857"/>
      <c r="M321" s="87"/>
      <c r="N321" s="631" t="str">
        <f t="shared" ca="1" si="4"/>
        <v>Refresh the statement</v>
      </c>
      <c r="O321" s="86" t="str">
        <f ca="1">'All Statement of strategy (D)'!$I300</f>
        <v xml:space="preserve"> </v>
      </c>
    </row>
    <row r="322" spans="1:15">
      <c r="A322" s="857"/>
      <c r="B322" s="857"/>
      <c r="C322" s="857"/>
      <c r="D322" s="857"/>
      <c r="E322" s="857"/>
      <c r="F322" s="857"/>
      <c r="G322" s="857"/>
      <c r="H322" s="857"/>
      <c r="I322" s="857"/>
      <c r="J322" s="857"/>
      <c r="K322" s="857"/>
      <c r="L322" s="857"/>
      <c r="N322" s="631" t="str">
        <f t="shared" ca="1" si="4"/>
        <v>Refresh the statement</v>
      </c>
      <c r="O322" s="86" t="str">
        <f ca="1">'All Statement of strategy (D)'!$I301</f>
        <v xml:space="preserve"> </v>
      </c>
    </row>
    <row r="323" spans="1:15">
      <c r="A323" s="857"/>
      <c r="B323" s="857"/>
      <c r="C323" s="857"/>
      <c r="D323" s="857"/>
      <c r="E323" s="857"/>
      <c r="F323" s="857"/>
      <c r="G323" s="857"/>
      <c r="H323" s="857"/>
      <c r="I323" s="857"/>
      <c r="J323" s="857"/>
      <c r="K323" s="857"/>
      <c r="L323" s="857"/>
      <c r="N323" s="631" t="str">
        <f t="shared" ca="1" si="4"/>
        <v>Refresh the statement</v>
      </c>
      <c r="O323" s="86" t="str">
        <f ca="1">'All Statement of strategy (D)'!$I302</f>
        <v xml:space="preserve"> </v>
      </c>
    </row>
    <row r="324" spans="1:15">
      <c r="A324" s="857"/>
      <c r="B324" s="857"/>
      <c r="C324" s="857"/>
      <c r="D324" s="857"/>
      <c r="E324" s="857"/>
      <c r="F324" s="857"/>
      <c r="G324" s="857"/>
      <c r="H324" s="857"/>
      <c r="I324" s="857"/>
      <c r="J324" s="857"/>
      <c r="K324" s="857"/>
      <c r="L324" s="857"/>
      <c r="N324" s="631" t="str">
        <f t="shared" ca="1" si="4"/>
        <v>Refresh the statement</v>
      </c>
      <c r="O324" s="86" t="str">
        <f ca="1">'All Statement of strategy (D)'!$I303</f>
        <v xml:space="preserve"> </v>
      </c>
    </row>
    <row r="325" spans="1:15">
      <c r="N325" s="631" t="str">
        <f t="shared" ca="1" si="4"/>
        <v>Refresh the statement</v>
      </c>
      <c r="O325" s="86" t="str">
        <f ca="1">IF(A321&lt;&gt;"","Blank row","")</f>
        <v>Blank row</v>
      </c>
    </row>
    <row r="326" spans="1:15">
      <c r="A326" s="857" t="str">
        <f ca="1">'All Statement of strategy (D)'!$I304</f>
        <v xml:space="preserve"> </v>
      </c>
      <c r="B326" s="857"/>
      <c r="C326" s="857"/>
      <c r="D326" s="857"/>
      <c r="E326" s="857"/>
      <c r="F326" s="857"/>
      <c r="G326" s="857"/>
      <c r="H326" s="857"/>
      <c r="I326" s="857"/>
      <c r="J326" s="857"/>
      <c r="K326" s="857"/>
      <c r="L326" s="857"/>
      <c r="N326" s="631" t="str">
        <f t="shared" ca="1" si="4"/>
        <v>Refresh the statement</v>
      </c>
    </row>
    <row r="327" spans="1:15">
      <c r="N327" s="631" t="str">
        <f t="shared" ca="1" si="4"/>
        <v>Refresh the statement</v>
      </c>
      <c r="O327" s="86" t="str">
        <f ca="1">IF($A$326&lt;&gt;"","Blank row","")</f>
        <v>Blank row</v>
      </c>
    </row>
    <row r="328" spans="1:15">
      <c r="A328" s="857" t="str">
        <f ca="1">_xlfn.TEXTJOIN("",TRUE,'All Statement of strategy (D)'!$I305,'All Statement of strategy (D)'!$I306,'All Statement of strategy (D)'!$I307,'All Statement of strategy (D)'!$I308)</f>
        <v xml:space="preserve">    </v>
      </c>
      <c r="B328" s="857"/>
      <c r="C328" s="857"/>
      <c r="D328" s="857"/>
      <c r="E328" s="857"/>
      <c r="F328" s="857"/>
      <c r="G328" s="857"/>
      <c r="H328" s="857"/>
      <c r="I328" s="857"/>
      <c r="J328" s="857"/>
      <c r="K328" s="857"/>
      <c r="L328" s="857"/>
      <c r="N328" s="631" t="str">
        <f t="shared" ca="1" si="4"/>
        <v>Refresh the statement</v>
      </c>
      <c r="O328" s="86" t="str">
        <f ca="1">'All Statement of strategy (D)'!$I305</f>
        <v xml:space="preserve"> </v>
      </c>
    </row>
    <row r="329" spans="1:15">
      <c r="A329" s="857"/>
      <c r="B329" s="857"/>
      <c r="C329" s="857"/>
      <c r="D329" s="857"/>
      <c r="E329" s="857"/>
      <c r="F329" s="857"/>
      <c r="G329" s="857"/>
      <c r="H329" s="857"/>
      <c r="I329" s="857"/>
      <c r="J329" s="857"/>
      <c r="K329" s="857"/>
      <c r="L329" s="857"/>
      <c r="N329" s="631" t="str">
        <f t="shared" ca="1" si="4"/>
        <v>Refresh the statement</v>
      </c>
      <c r="O329" s="86" t="str">
        <f ca="1">'All Statement of strategy (D)'!$I306</f>
        <v xml:space="preserve"> </v>
      </c>
    </row>
    <row r="330" spans="1:15">
      <c r="A330" s="857"/>
      <c r="B330" s="857"/>
      <c r="C330" s="857"/>
      <c r="D330" s="857"/>
      <c r="E330" s="857"/>
      <c r="F330" s="857"/>
      <c r="G330" s="857"/>
      <c r="H330" s="857"/>
      <c r="I330" s="857"/>
      <c r="J330" s="857"/>
      <c r="K330" s="857"/>
      <c r="L330" s="857"/>
      <c r="N330" s="631" t="str">
        <f t="shared" ca="1" si="4"/>
        <v>Refresh the statement</v>
      </c>
      <c r="O330" s="86" t="str">
        <f ca="1">'All Statement of strategy (D)'!$I307</f>
        <v xml:space="preserve"> </v>
      </c>
    </row>
    <row r="331" spans="1:15">
      <c r="A331" s="857"/>
      <c r="B331" s="857"/>
      <c r="C331" s="857"/>
      <c r="D331" s="857"/>
      <c r="E331" s="857"/>
      <c r="F331" s="857"/>
      <c r="G331" s="857"/>
      <c r="H331" s="857"/>
      <c r="I331" s="857"/>
      <c r="J331" s="857"/>
      <c r="K331" s="857"/>
      <c r="L331" s="857"/>
      <c r="N331" s="631" t="str">
        <f t="shared" ca="1" si="4"/>
        <v>Refresh the statement</v>
      </c>
      <c r="O331" s="86" t="str">
        <f ca="1">'All Statement of strategy (D)'!$I308</f>
        <v xml:space="preserve"> </v>
      </c>
    </row>
    <row r="332" spans="1:15">
      <c r="N332" s="631" t="str">
        <f t="shared" ca="1" si="4"/>
        <v>Refresh the statement</v>
      </c>
      <c r="O332" s="86" t="str">
        <f ca="1">IF(A328&lt;&gt;"","Blank row","")</f>
        <v>Blank row</v>
      </c>
    </row>
    <row r="333" spans="1:15">
      <c r="B333" s="878" t="str">
        <f ca="1">'All Statement of strategy (D)'!$I309</f>
        <v xml:space="preserve"> </v>
      </c>
      <c r="C333" s="878"/>
      <c r="D333" s="878" t="str">
        <f ca="1">'All Statement of strategy (D)'!$I310</f>
        <v xml:space="preserve"> </v>
      </c>
      <c r="E333" s="878"/>
      <c r="N333" s="631" t="str">
        <f t="shared" ca="1" si="4"/>
        <v>Refresh the statement</v>
      </c>
    </row>
    <row r="334" spans="1:15">
      <c r="B334" s="878" t="str">
        <f ca="1">'All Statement of strategy (D)'!$I311</f>
        <v xml:space="preserve"> </v>
      </c>
      <c r="C334" s="878"/>
      <c r="D334" s="876" t="str">
        <f ca="1">'All Statement of strategy (D)'!$I313</f>
        <v xml:space="preserve"> </v>
      </c>
      <c r="E334" s="876"/>
      <c r="N334" s="631" t="str">
        <f t="shared" ca="1" si="4"/>
        <v>Refresh the statement</v>
      </c>
    </row>
    <row r="335" spans="1:15">
      <c r="B335" s="878" t="str">
        <f ca="1">'All Statement of strategy (D)'!$I312</f>
        <v xml:space="preserve"> </v>
      </c>
      <c r="C335" s="878"/>
      <c r="D335" s="876" t="str">
        <f ca="1">'All Statement of strategy (D)'!$I314</f>
        <v xml:space="preserve"> </v>
      </c>
      <c r="E335" s="876"/>
      <c r="N335" s="631" t="str">
        <f t="shared" ca="1" si="4"/>
        <v>Refresh the statement</v>
      </c>
    </row>
    <row r="336" spans="1:15">
      <c r="N336" s="631" t="str">
        <f t="shared" ca="1" si="4"/>
        <v>Refresh the statement</v>
      </c>
      <c r="O336" s="86" t="str">
        <f ca="1">IF(B335&lt;&gt;"","Blank row","")</f>
        <v>Blank row</v>
      </c>
    </row>
    <row r="337" spans="1:15">
      <c r="A337" s="857" t="str">
        <f ca="1">'All Statement of strategy (D)'!$I315</f>
        <v xml:space="preserve"> </v>
      </c>
      <c r="B337" s="857"/>
      <c r="C337" s="857"/>
      <c r="D337" s="857"/>
      <c r="E337" s="857"/>
      <c r="F337" s="857"/>
      <c r="G337" s="857"/>
      <c r="H337" s="857"/>
      <c r="I337" s="857"/>
      <c r="J337" s="857"/>
      <c r="K337" s="857"/>
      <c r="L337" s="857"/>
      <c r="N337" s="631" t="str">
        <f t="shared" ca="1" si="4"/>
        <v>Refresh the statement</v>
      </c>
      <c r="O337" s="86" t="str">
        <f ca="1">A337</f>
        <v xml:space="preserve"> </v>
      </c>
    </row>
    <row r="338" spans="1:15" ht="17.5">
      <c r="B338" s="91"/>
      <c r="C338" s="91"/>
      <c r="D338" s="91"/>
      <c r="E338" s="91"/>
      <c r="N338" s="631" t="str">
        <f t="shared" ca="1" si="4"/>
        <v>Refresh the statement</v>
      </c>
      <c r="O338" s="86" t="str">
        <f ca="1">IF(A337&lt;&gt;"","Blank row","")</f>
        <v>Blank row</v>
      </c>
    </row>
    <row r="339" spans="1:15">
      <c r="A339" s="857" t="str">
        <f ca="1">'All Statement of strategy (D)'!$I316&amp;'All Statement of strategy (D)'!$I317&amp;'All Statement of strategy (D)'!$I318&amp;'All Statement of strategy (D)'!$I319</f>
        <v xml:space="preserve">    </v>
      </c>
      <c r="B339" s="857"/>
      <c r="C339" s="857"/>
      <c r="D339" s="857"/>
      <c r="E339" s="857"/>
      <c r="F339" s="857"/>
      <c r="G339" s="857"/>
      <c r="H339" s="857"/>
      <c r="I339" s="857"/>
      <c r="J339" s="857"/>
      <c r="K339" s="857"/>
      <c r="L339" s="857"/>
      <c r="N339" s="631" t="str">
        <f t="shared" ca="1" si="4"/>
        <v>Refresh the statement</v>
      </c>
      <c r="O339" s="86" t="str">
        <f ca="1">'All Statement of strategy (D)'!$I316</f>
        <v xml:space="preserve"> </v>
      </c>
    </row>
    <row r="340" spans="1:15">
      <c r="A340" s="857"/>
      <c r="B340" s="857"/>
      <c r="C340" s="857"/>
      <c r="D340" s="857"/>
      <c r="E340" s="857"/>
      <c r="F340" s="857"/>
      <c r="G340" s="857"/>
      <c r="H340" s="857"/>
      <c r="I340" s="857"/>
      <c r="J340" s="857"/>
      <c r="K340" s="857"/>
      <c r="L340" s="857"/>
      <c r="N340" s="631" t="str">
        <f t="shared" ca="1" si="4"/>
        <v>Refresh the statement</v>
      </c>
      <c r="O340" s="86" t="str">
        <f ca="1">'All Statement of strategy (D)'!$I317</f>
        <v xml:space="preserve"> </v>
      </c>
    </row>
    <row r="341" spans="1:15">
      <c r="A341" s="857"/>
      <c r="B341" s="857"/>
      <c r="C341" s="857"/>
      <c r="D341" s="857"/>
      <c r="E341" s="857"/>
      <c r="F341" s="857"/>
      <c r="G341" s="857"/>
      <c r="H341" s="857"/>
      <c r="I341" s="857"/>
      <c r="J341" s="857"/>
      <c r="K341" s="857"/>
      <c r="L341" s="857"/>
      <c r="N341" s="631" t="str">
        <f t="shared" ca="1" si="4"/>
        <v>Refresh the statement</v>
      </c>
      <c r="O341" s="86" t="str">
        <f ca="1">'All Statement of strategy (D)'!$I318</f>
        <v xml:space="preserve"> </v>
      </c>
    </row>
    <row r="342" spans="1:15">
      <c r="A342" s="857"/>
      <c r="B342" s="857"/>
      <c r="C342" s="857"/>
      <c r="D342" s="857"/>
      <c r="E342" s="857"/>
      <c r="F342" s="857"/>
      <c r="G342" s="857"/>
      <c r="H342" s="857"/>
      <c r="I342" s="857"/>
      <c r="J342" s="857"/>
      <c r="K342" s="857"/>
      <c r="L342" s="857"/>
      <c r="N342" s="631" t="str">
        <f t="shared" ca="1" si="4"/>
        <v>Refresh the statement</v>
      </c>
      <c r="O342" s="86" t="str">
        <f ca="1">'All Statement of strategy (D)'!$I319</f>
        <v xml:space="preserve"> </v>
      </c>
    </row>
    <row r="343" spans="1:15">
      <c r="N343" s="631" t="str">
        <f t="shared" ca="1" si="4"/>
        <v>Refresh the statement</v>
      </c>
      <c r="O343" s="86" t="str">
        <f ca="1">IF(A339&lt;&gt;"","Blank row","")</f>
        <v>Blank row</v>
      </c>
    </row>
    <row r="344" spans="1:15">
      <c r="A344" s="861" t="str">
        <f ca="1">'All Statement of strategy (D)'!$I320</f>
        <v xml:space="preserve"> </v>
      </c>
      <c r="B344" s="861"/>
      <c r="C344" s="861"/>
      <c r="D344" s="861"/>
      <c r="E344" s="861"/>
      <c r="F344" s="861"/>
      <c r="G344" s="861"/>
      <c r="H344" s="861"/>
      <c r="I344" s="861"/>
      <c r="J344" s="861"/>
      <c r="K344" s="861"/>
      <c r="L344" s="861"/>
      <c r="N344" s="631" t="str">
        <f t="shared" ca="1" si="4"/>
        <v>Refresh the statement</v>
      </c>
    </row>
    <row r="345" spans="1:15">
      <c r="N345" s="631" t="str">
        <f t="shared" ref="N345:N408" ca="1" si="5">IF(OR(A345&lt;&gt;"",B345&lt;&gt;"",C345&lt;&gt;"",D345&lt;&gt;"",E345&lt;&gt;"",F345&lt;&gt;"",G345&lt;&gt;"",H345&lt;&gt;"",I345&lt;&gt;"",J345&lt;&gt;"",K345&lt;&gt;"",L345&lt;&gt;"",M345&lt;&gt;"",O345&lt;&gt;""),"Refresh the statement","Scroll up and click refresh")</f>
        <v>Refresh the statement</v>
      </c>
      <c r="O345" s="86" t="str">
        <f ca="1">IF(A344&lt;&gt;"","Blank row","")</f>
        <v>Blank row</v>
      </c>
    </row>
    <row r="346" spans="1:15">
      <c r="A346" s="857" t="str">
        <f ca="1">'All Statement of strategy (D)'!$I321</f>
        <v xml:space="preserve"> </v>
      </c>
      <c r="B346" s="857"/>
      <c r="C346" s="857"/>
      <c r="D346" s="857"/>
      <c r="E346" s="857"/>
      <c r="F346" s="857"/>
      <c r="G346" s="857"/>
      <c r="H346" s="857"/>
      <c r="I346" s="857"/>
      <c r="J346" s="857"/>
      <c r="K346" s="857"/>
      <c r="L346" s="857"/>
      <c r="N346" s="631" t="str">
        <f t="shared" ca="1" si="5"/>
        <v>Refresh the statement</v>
      </c>
      <c r="O346" s="86" t="str">
        <f ca="1">A346</f>
        <v xml:space="preserve"> </v>
      </c>
    </row>
    <row r="347" spans="1:15">
      <c r="N347" s="631" t="str">
        <f t="shared" ca="1" si="5"/>
        <v>Refresh the statement</v>
      </c>
      <c r="O347" s="86" t="str">
        <f ca="1">IF(A346&lt;&gt;"","Blank row","")</f>
        <v>Blank row</v>
      </c>
    </row>
    <row r="348" spans="1:15">
      <c r="A348" s="857" t="str">
        <f ca="1">_xlfn.TEXTJOIN("",TRUE,'All Statement of strategy (D)'!$I322,'All Statement of strategy (D)'!$I323,'All Statement of strategy (D)'!$I332,'All Statement of strategy (D)'!$I341)</f>
        <v xml:space="preserve">    </v>
      </c>
      <c r="B348" s="857"/>
      <c r="C348" s="857"/>
      <c r="D348" s="857"/>
      <c r="E348" s="857"/>
      <c r="F348" s="857"/>
      <c r="G348" s="857"/>
      <c r="H348" s="857"/>
      <c r="I348" s="857"/>
      <c r="J348" s="857"/>
      <c r="K348" s="857"/>
      <c r="L348" s="857"/>
      <c r="N348" s="631" t="str">
        <f t="shared" ca="1" si="5"/>
        <v>Refresh the statement</v>
      </c>
    </row>
    <row r="349" spans="1:15">
      <c r="A349" s="857" t="str">
        <f ca="1">_xlfn.TEXTJOIN("",TRUE,'All Statement of strategy (D)'!$I324,'All Statement of strategy (D)'!$I333)</f>
        <v xml:space="preserve">  </v>
      </c>
      <c r="B349" s="857"/>
      <c r="C349" s="857"/>
      <c r="D349" s="857"/>
      <c r="E349" s="857"/>
      <c r="F349" s="857"/>
      <c r="G349" s="857"/>
      <c r="H349" s="857"/>
      <c r="I349" s="857"/>
      <c r="J349" s="857"/>
      <c r="K349" s="857"/>
      <c r="L349" s="857"/>
      <c r="N349" s="631" t="str">
        <f t="shared" ca="1" si="5"/>
        <v>Refresh the statement</v>
      </c>
    </row>
    <row r="350" spans="1:15">
      <c r="A350" s="857" t="str">
        <f ca="1">_xlfn.TEXTJOIN("",TRUE,'All Statement of strategy (D)'!$I326,'All Statement of strategy (D)'!$I327,'All Statement of strategy (D)'!$I328,'All Statement of strategy (D)'!$I329,'All Statement of strategy (D)'!$I335,'All Statement of strategy (D)'!$I336,'All Statement of strategy (D)'!$I337,'All Statement of strategy (D)'!$I338,'All Statement of strategy (D)'!$I342,'All Statement of strategy (D)'!$I343,'All Statement of strategy (D)'!$I344,'All Statement of strategy (D)'!$I345)</f>
        <v xml:space="preserve">            </v>
      </c>
      <c r="B350" s="857"/>
      <c r="C350" s="857"/>
      <c r="D350" s="857"/>
      <c r="E350" s="857"/>
      <c r="F350" s="857"/>
      <c r="G350" s="857"/>
      <c r="H350" s="857"/>
      <c r="I350" s="857"/>
      <c r="J350" s="857"/>
      <c r="K350" s="857"/>
      <c r="L350" s="857"/>
      <c r="N350" s="631" t="str">
        <f t="shared" ca="1" si="5"/>
        <v>Refresh the statement</v>
      </c>
      <c r="O350" s="86" t="str">
        <f ca="1">_xlfn.TEXTJOIN("",TRUE,'All Statement of strategy (D)'!$I326,'All Statement of strategy (D)'!$I335,'All Statement of strategy (D)'!$I342)</f>
        <v xml:space="preserve">   </v>
      </c>
    </row>
    <row r="351" spans="1:15">
      <c r="A351" s="857"/>
      <c r="B351" s="857"/>
      <c r="C351" s="857"/>
      <c r="D351" s="857"/>
      <c r="E351" s="857"/>
      <c r="F351" s="857"/>
      <c r="G351" s="857"/>
      <c r="H351" s="857"/>
      <c r="I351" s="857"/>
      <c r="J351" s="857"/>
      <c r="K351" s="857"/>
      <c r="L351" s="857"/>
      <c r="N351" s="631" t="str">
        <f t="shared" ca="1" si="5"/>
        <v>Refresh the statement</v>
      </c>
      <c r="O351" s="86" t="str">
        <f ca="1">_xlfn.TEXTJOIN("",TRUE,'All Statement of strategy (D)'!$I327,'All Statement of strategy (D)'!$I336,'All Statement of strategy (D)'!$I343)</f>
        <v xml:space="preserve">   </v>
      </c>
    </row>
    <row r="352" spans="1:15">
      <c r="A352" s="857"/>
      <c r="B352" s="857"/>
      <c r="C352" s="857"/>
      <c r="D352" s="857"/>
      <c r="E352" s="857"/>
      <c r="F352" s="857"/>
      <c r="G352" s="857"/>
      <c r="H352" s="857"/>
      <c r="I352" s="857"/>
      <c r="J352" s="857"/>
      <c r="K352" s="857"/>
      <c r="L352" s="857"/>
      <c r="N352" s="631" t="str">
        <f t="shared" ca="1" si="5"/>
        <v>Refresh the statement</v>
      </c>
      <c r="O352" s="86" t="str">
        <f ca="1">_xlfn.TEXTJOIN("",TRUE,'All Statement of strategy (D)'!$I328,'All Statement of strategy (D)'!$I337,'All Statement of strategy (D)'!$I344)</f>
        <v xml:space="preserve">   </v>
      </c>
    </row>
    <row r="353" spans="1:15">
      <c r="A353" s="857"/>
      <c r="B353" s="857"/>
      <c r="C353" s="857"/>
      <c r="D353" s="857"/>
      <c r="E353" s="857"/>
      <c r="F353" s="857"/>
      <c r="G353" s="857"/>
      <c r="H353" s="857"/>
      <c r="I353" s="857"/>
      <c r="J353" s="857"/>
      <c r="K353" s="857"/>
      <c r="L353" s="857"/>
      <c r="N353" s="631" t="str">
        <f t="shared" ca="1" si="5"/>
        <v>Refresh the statement</v>
      </c>
      <c r="O353" s="86" t="str">
        <f ca="1">_xlfn.TEXTJOIN("",TRUE,'All Statement of strategy (D)'!$I329,'All Statement of strategy (D)'!$I338,'All Statement of strategy (D)'!$I345)</f>
        <v xml:space="preserve">   </v>
      </c>
    </row>
    <row r="354" spans="1:15">
      <c r="A354" s="857" t="str">
        <f ca="1">_xlfn.TEXTJOIN("",TRUE,'All Statement of strategy (D)'!$I330,'All Statement of strategy (D)'!$I339)</f>
        <v xml:space="preserve">  </v>
      </c>
      <c r="B354" s="857"/>
      <c r="C354" s="857"/>
      <c r="D354" s="857"/>
      <c r="E354" s="857"/>
      <c r="F354" s="857"/>
      <c r="G354" s="857"/>
      <c r="H354" s="857"/>
      <c r="I354" s="857"/>
      <c r="J354" s="857"/>
      <c r="K354" s="857"/>
      <c r="L354" s="857"/>
      <c r="N354" s="631" t="str">
        <f t="shared" ca="1" si="5"/>
        <v>Refresh the statement</v>
      </c>
    </row>
    <row r="355" spans="1:15">
      <c r="A355" s="857" t="str">
        <f ca="1">_xlfn.TEXTJOIN("",TRUE,'All Statement of strategy (D)'!$I331,'All Statement of strategy (D)'!$I340)</f>
        <v xml:space="preserve">  </v>
      </c>
      <c r="B355" s="857"/>
      <c r="C355" s="857"/>
      <c r="D355" s="857"/>
      <c r="E355" s="857"/>
      <c r="F355" s="857"/>
      <c r="G355" s="857"/>
      <c r="H355" s="857"/>
      <c r="I355" s="857"/>
      <c r="J355" s="857"/>
      <c r="K355" s="857"/>
      <c r="L355" s="857"/>
      <c r="N355" s="631" t="str">
        <f t="shared" ca="1" si="5"/>
        <v>Refresh the statement</v>
      </c>
    </row>
    <row r="356" spans="1:15">
      <c r="N356" s="631" t="str">
        <f t="shared" ca="1" si="5"/>
        <v>Refresh the statement</v>
      </c>
      <c r="O356" s="86" t="str">
        <f ca="1">IF(OR(A349&lt;&gt;"",A350&lt;&gt;"",A354&lt;&gt;"",A355&lt;&gt;""),"Blank row","")</f>
        <v>Blank row</v>
      </c>
    </row>
    <row r="357" spans="1:15">
      <c r="A357" s="857" t="str">
        <f ca="1">'All Statement of strategy (D)'!$I346</f>
        <v xml:space="preserve"> </v>
      </c>
      <c r="B357" s="857"/>
      <c r="C357" s="857"/>
      <c r="D357" s="857"/>
      <c r="E357" s="857"/>
      <c r="F357" s="857"/>
      <c r="G357" s="857"/>
      <c r="H357" s="857"/>
      <c r="I357" s="857"/>
      <c r="J357" s="857"/>
      <c r="K357" s="857"/>
      <c r="L357" s="857"/>
      <c r="N357" s="631" t="str">
        <f t="shared" ca="1" si="5"/>
        <v>Refresh the statement</v>
      </c>
      <c r="O357" s="86" t="str">
        <f ca="1">A357</f>
        <v xml:space="preserve"> </v>
      </c>
    </row>
    <row r="358" spans="1:15">
      <c r="N358" s="631" t="str">
        <f t="shared" ca="1" si="5"/>
        <v>Refresh the statement</v>
      </c>
      <c r="O358" s="86" t="str">
        <f ca="1">IF(A357&lt;&gt;"","Blank row","")</f>
        <v>Blank row</v>
      </c>
    </row>
    <row r="359" spans="1:15" ht="18">
      <c r="A359" s="865" t="str">
        <f ca="1">'All Statement of strategy (D)'!$I347</f>
        <v xml:space="preserve"> </v>
      </c>
      <c r="B359" s="865"/>
      <c r="C359" s="865"/>
      <c r="D359" s="865"/>
      <c r="E359" s="865"/>
      <c r="F359" s="865"/>
      <c r="G359" s="865"/>
      <c r="H359" s="865"/>
      <c r="I359" s="865"/>
      <c r="J359" s="865"/>
      <c r="K359" s="865"/>
      <c r="L359" s="865"/>
      <c r="N359" s="631" t="str">
        <f t="shared" ca="1" si="5"/>
        <v>Refresh the statement</v>
      </c>
    </row>
    <row r="360" spans="1:15">
      <c r="N360" s="631" t="str">
        <f t="shared" ca="1" si="5"/>
        <v>Refresh the statement</v>
      </c>
      <c r="O360" s="86" t="str">
        <f ca="1">IF(A359&lt;&gt;"","Blank row","")</f>
        <v>Blank row</v>
      </c>
    </row>
    <row r="361" spans="1:15">
      <c r="A361" s="861" t="str">
        <f ca="1">'All Statement of strategy (D)'!$I348</f>
        <v xml:space="preserve"> </v>
      </c>
      <c r="B361" s="861"/>
      <c r="C361" s="861"/>
      <c r="D361" s="861"/>
      <c r="E361" s="861"/>
      <c r="F361" s="861"/>
      <c r="G361" s="861"/>
      <c r="H361" s="861"/>
      <c r="I361" s="861"/>
      <c r="J361" s="861"/>
      <c r="K361" s="861"/>
      <c r="L361" s="861"/>
      <c r="N361" s="631" t="str">
        <f t="shared" ca="1" si="5"/>
        <v>Refresh the statement</v>
      </c>
    </row>
    <row r="362" spans="1:15">
      <c r="N362" s="631" t="str">
        <f t="shared" ca="1" si="5"/>
        <v>Refresh the statement</v>
      </c>
      <c r="O362" s="86" t="str">
        <f ca="1">IF(A361&lt;&gt;"","Blank row","")</f>
        <v>Blank row</v>
      </c>
    </row>
    <row r="363" spans="1:15">
      <c r="A363" s="857" t="str">
        <f ca="1">'All Statement of strategy (D)'!$I349</f>
        <v xml:space="preserve"> </v>
      </c>
      <c r="B363" s="857"/>
      <c r="C363" s="857"/>
      <c r="D363" s="857"/>
      <c r="E363" s="857"/>
      <c r="F363" s="857"/>
      <c r="G363" s="857"/>
      <c r="H363" s="857"/>
      <c r="I363" s="857"/>
      <c r="J363" s="857"/>
      <c r="K363" s="857"/>
      <c r="L363" s="857"/>
      <c r="N363" s="631" t="str">
        <f t="shared" ca="1" si="5"/>
        <v>Refresh the statement</v>
      </c>
      <c r="O363" s="86" t="str">
        <f ca="1">A363</f>
        <v xml:space="preserve"> </v>
      </c>
    </row>
    <row r="364" spans="1:15">
      <c r="N364" s="631" t="str">
        <f t="shared" ca="1" si="5"/>
        <v>Refresh the statement</v>
      </c>
      <c r="O364" s="86" t="str">
        <f ca="1">IF(A363&lt;&gt;"","Blank row","")</f>
        <v>Blank row</v>
      </c>
    </row>
    <row r="365" spans="1:15">
      <c r="A365" s="861" t="str">
        <f ca="1">'All Statement of strategy (D)'!$I350</f>
        <v xml:space="preserve"> </v>
      </c>
      <c r="B365" s="861"/>
      <c r="C365" s="861"/>
      <c r="D365" s="861"/>
      <c r="E365" s="861"/>
      <c r="F365" s="861"/>
      <c r="G365" s="861"/>
      <c r="H365" s="861"/>
      <c r="I365" s="861"/>
      <c r="J365" s="861"/>
      <c r="K365" s="861"/>
      <c r="L365" s="861"/>
      <c r="N365" s="631" t="str">
        <f t="shared" ca="1" si="5"/>
        <v>Refresh the statement</v>
      </c>
    </row>
    <row r="366" spans="1:15">
      <c r="N366" s="631" t="str">
        <f t="shared" ca="1" si="5"/>
        <v>Refresh the statement</v>
      </c>
      <c r="O366" s="86" t="str">
        <f ca="1">IF(A365&lt;&gt;"","Blank row","")</f>
        <v>Blank row</v>
      </c>
    </row>
    <row r="367" spans="1:15">
      <c r="A367" s="857" t="str">
        <f ca="1">'All Statement of strategy (D)'!$I351</f>
        <v xml:space="preserve"> </v>
      </c>
      <c r="B367" s="857"/>
      <c r="C367" s="857"/>
      <c r="D367" s="857"/>
      <c r="E367" s="857"/>
      <c r="F367" s="857"/>
      <c r="G367" s="857"/>
      <c r="H367" s="857"/>
      <c r="I367" s="857"/>
      <c r="J367" s="857"/>
      <c r="K367" s="857"/>
      <c r="L367" s="857"/>
      <c r="N367" s="631" t="str">
        <f t="shared" ca="1" si="5"/>
        <v>Refresh the statement</v>
      </c>
    </row>
    <row r="368" spans="1:15">
      <c r="N368" s="631" t="str">
        <f t="shared" ca="1" si="5"/>
        <v>Refresh the statement</v>
      </c>
      <c r="O368" s="86" t="str">
        <f ca="1">IF(A367&lt;&gt;"","Blank row","")</f>
        <v>Blank row</v>
      </c>
    </row>
    <row r="369" spans="1:15" ht="77.5">
      <c r="A369" s="857" t="str">
        <f ca="1">_xlfn.TEXTJOIN("
",TRUE,'All Statement of strategy (D)'!$I352,'All Statement of strategy (D)'!$I353,'All Statement of strategy (D)'!I$354,'All Statement of strategy (D)'!$I355,'All Statement of strategy (D)'!$I356,'All Statement of strategy (D)'!$I357)</f>
        <v xml:space="preserve"> 
 </v>
      </c>
      <c r="B369" s="857"/>
      <c r="C369" s="857"/>
      <c r="D369" s="857"/>
      <c r="E369" s="857"/>
      <c r="F369" s="857"/>
      <c r="G369" s="857"/>
      <c r="H369" s="857"/>
      <c r="I369" s="857"/>
      <c r="J369" s="857"/>
      <c r="K369" s="857"/>
      <c r="L369" s="857"/>
      <c r="N369" s="631" t="str">
        <f t="shared" ca="1" si="5"/>
        <v>Refresh the statement</v>
      </c>
      <c r="O369" s="86" t="str">
        <f ca="1">A369</f>
        <v xml:space="preserve"> 
 </v>
      </c>
    </row>
    <row r="370" spans="1:15">
      <c r="N370" s="631" t="str">
        <f t="shared" ca="1" si="5"/>
        <v>Refresh the statement</v>
      </c>
      <c r="O370" s="86" t="str">
        <f ca="1">IF(A369&lt;&gt;"","Blank row","")</f>
        <v>Blank row</v>
      </c>
    </row>
    <row r="371" spans="1:15">
      <c r="A371" s="857" t="str">
        <f ca="1">'All Statement of strategy (D)'!$I358</f>
        <v xml:space="preserve"> </v>
      </c>
      <c r="B371" s="857"/>
      <c r="C371" s="857"/>
      <c r="D371" s="857"/>
      <c r="E371" s="857"/>
      <c r="F371" s="857"/>
      <c r="G371" s="857"/>
      <c r="H371" s="857"/>
      <c r="I371" s="857"/>
      <c r="J371" s="857"/>
      <c r="K371" s="857"/>
      <c r="L371" s="857"/>
      <c r="N371" s="631" t="str">
        <f t="shared" ca="1" si="5"/>
        <v>Refresh the statement</v>
      </c>
    </row>
    <row r="372" spans="1:15">
      <c r="N372" s="631" t="str">
        <f t="shared" ca="1" si="5"/>
        <v>Refresh the statement</v>
      </c>
      <c r="O372" s="86" t="str">
        <f ca="1">IF(A373&lt;&gt;"","Blank row","")</f>
        <v>Blank row</v>
      </c>
    </row>
    <row r="373" spans="1:15">
      <c r="A373" s="857" t="str">
        <f ca="1">'All Statement of strategy (D)'!$I359&amp;'All Statement of strategy (D)'!$I360&amp;'All Statement of strategy (D)'!$I361&amp;'All Statement of strategy (D)'!$I362</f>
        <v xml:space="preserve">    </v>
      </c>
      <c r="B373" s="857"/>
      <c r="C373" s="857"/>
      <c r="D373" s="857"/>
      <c r="E373" s="857"/>
      <c r="F373" s="857"/>
      <c r="G373" s="857"/>
      <c r="H373" s="857"/>
      <c r="I373" s="857"/>
      <c r="J373" s="857"/>
      <c r="K373" s="857"/>
      <c r="L373" s="857"/>
      <c r="N373" s="631" t="str">
        <f t="shared" ca="1" si="5"/>
        <v>Refresh the statement</v>
      </c>
      <c r="O373" s="86" t="str">
        <f ca="1">'All Statement of strategy (D)'!$I359</f>
        <v xml:space="preserve"> </v>
      </c>
    </row>
    <row r="374" spans="1:15">
      <c r="A374" s="857"/>
      <c r="B374" s="857"/>
      <c r="C374" s="857"/>
      <c r="D374" s="857"/>
      <c r="E374" s="857"/>
      <c r="F374" s="857"/>
      <c r="G374" s="857"/>
      <c r="H374" s="857"/>
      <c r="I374" s="857"/>
      <c r="J374" s="857"/>
      <c r="K374" s="857"/>
      <c r="L374" s="857"/>
      <c r="N374" s="631" t="str">
        <f t="shared" ca="1" si="5"/>
        <v>Refresh the statement</v>
      </c>
      <c r="O374" s="86" t="str">
        <f ca="1">'All Statement of strategy (D)'!$I360</f>
        <v xml:space="preserve"> </v>
      </c>
    </row>
    <row r="375" spans="1:15">
      <c r="A375" s="857"/>
      <c r="B375" s="857"/>
      <c r="C375" s="857"/>
      <c r="D375" s="857"/>
      <c r="E375" s="857"/>
      <c r="F375" s="857"/>
      <c r="G375" s="857"/>
      <c r="H375" s="857"/>
      <c r="I375" s="857"/>
      <c r="J375" s="857"/>
      <c r="K375" s="857"/>
      <c r="L375" s="857"/>
      <c r="N375" s="631" t="str">
        <f t="shared" ca="1" si="5"/>
        <v>Refresh the statement</v>
      </c>
      <c r="O375" s="86" t="str">
        <f ca="1">'All Statement of strategy (D)'!$I361</f>
        <v xml:space="preserve"> </v>
      </c>
    </row>
    <row r="376" spans="1:15">
      <c r="A376" s="857"/>
      <c r="B376" s="857"/>
      <c r="C376" s="857"/>
      <c r="D376" s="857"/>
      <c r="E376" s="857"/>
      <c r="F376" s="857"/>
      <c r="G376" s="857"/>
      <c r="H376" s="857"/>
      <c r="I376" s="857"/>
      <c r="J376" s="857"/>
      <c r="K376" s="857"/>
      <c r="L376" s="857"/>
      <c r="N376" s="631" t="str">
        <f t="shared" ca="1" si="5"/>
        <v>Refresh the statement</v>
      </c>
      <c r="O376" s="86" t="str">
        <f ca="1">'All Statement of strategy (D)'!$I362</f>
        <v xml:space="preserve"> </v>
      </c>
    </row>
    <row r="377" spans="1:15">
      <c r="N377" s="631" t="str">
        <f t="shared" ca="1" si="5"/>
        <v>Refresh the statement</v>
      </c>
      <c r="O377" s="86" t="str">
        <f ca="1">IF(A371&lt;&gt;"","Blank row","")</f>
        <v>Blank row</v>
      </c>
    </row>
    <row r="378" spans="1:15">
      <c r="A378" s="857" t="str">
        <f ca="1">'All Statement of strategy (D)'!$I363</f>
        <v xml:space="preserve"> </v>
      </c>
      <c r="B378" s="857"/>
      <c r="C378" s="857"/>
      <c r="D378" s="857"/>
      <c r="E378" s="857"/>
      <c r="F378" s="857"/>
      <c r="G378" s="857"/>
      <c r="H378" s="857"/>
      <c r="I378" s="857"/>
      <c r="J378" s="857"/>
      <c r="K378" s="857"/>
      <c r="L378" s="857"/>
      <c r="N378" s="631" t="str">
        <f t="shared" ca="1" si="5"/>
        <v>Refresh the statement</v>
      </c>
      <c r="O378" s="86" t="str">
        <f ca="1">'All Statement of strategy (D)'!$I363</f>
        <v xml:space="preserve"> </v>
      </c>
    </row>
    <row r="379" spans="1:15" ht="139.5">
      <c r="A379" s="857" t="str">
        <f ca="1">_xlfn.TEXTJOIN("
",TRUE,'All Statement of strategy (D)'!$I364,'All Statement of strategy (D)'!$I365,'All Statement of strategy (D)'!$I366,'All Statement of strategy (D)'!$I367,'All Statement of strategy (D)'!$I368,'All Statement of strategy (D)'!$I369,'All Statement of strategy (D)'!$I370,'All Statement of strategy (D)'!$I371,'All Statement of strategy (D)'!$I372,'All Statement of strategy (D)'!$I373)</f>
        <v xml:space="preserve"> 
 </v>
      </c>
      <c r="B379" s="857"/>
      <c r="C379" s="857"/>
      <c r="D379" s="857"/>
      <c r="E379" s="857"/>
      <c r="F379" s="857"/>
      <c r="G379" s="857"/>
      <c r="H379" s="857"/>
      <c r="I379" s="857"/>
      <c r="J379" s="857"/>
      <c r="K379" s="857"/>
      <c r="L379" s="857"/>
      <c r="N379" s="631" t="str">
        <f t="shared" ca="1" si="5"/>
        <v>Refresh the statement</v>
      </c>
      <c r="O379" s="86" t="str">
        <f ca="1">A379</f>
        <v xml:space="preserve"> 
 </v>
      </c>
    </row>
    <row r="380" spans="1:15">
      <c r="N380" s="631" t="str">
        <f t="shared" ca="1" si="5"/>
        <v>Refresh the statement</v>
      </c>
      <c r="O380" s="86" t="str">
        <f ca="1">IF($A$379&lt;&gt;"","Blank row","")</f>
        <v>Blank row</v>
      </c>
    </row>
    <row r="381" spans="1:15" ht="139.5">
      <c r="A381" s="857" t="str">
        <f ca="1">_xlfn.TEXTJOIN("
",TRUE,'All Statement of strategy (D)'!$I374,'All Statement of strategy (D)'!$I375,'All Statement of strategy (D)'!$I376,'All Statement of strategy (D)'!$I377,'All Statement of strategy (D)'!$I378,'All Statement of strategy (D)'!$I379,'All Statement of strategy (D)'!$I380,'All Statement of strategy (D)'!$I381,'All Statement of strategy (D)'!$I382,'All Statement of strategy (D)'!$I383)</f>
        <v xml:space="preserve"> 
 </v>
      </c>
      <c r="B381" s="857"/>
      <c r="C381" s="857"/>
      <c r="D381" s="857"/>
      <c r="E381" s="857"/>
      <c r="F381" s="857"/>
      <c r="G381" s="857"/>
      <c r="H381" s="857"/>
      <c r="I381" s="857"/>
      <c r="J381" s="857"/>
      <c r="K381" s="857"/>
      <c r="L381" s="857"/>
      <c r="N381" s="631" t="str">
        <f t="shared" ca="1" si="5"/>
        <v>Refresh the statement</v>
      </c>
      <c r="O381" s="86" t="str">
        <f ca="1">A381</f>
        <v xml:space="preserve"> 
 </v>
      </c>
    </row>
    <row r="382" spans="1:15">
      <c r="N382" s="631" t="str">
        <f t="shared" ca="1" si="5"/>
        <v>Refresh the statement</v>
      </c>
      <c r="O382" s="86" t="str">
        <f ca="1">IF($A$381&lt;&gt;"","Blank row","")</f>
        <v>Blank row</v>
      </c>
    </row>
    <row r="383" spans="1:15" ht="139.5">
      <c r="A383" s="857" t="str">
        <f ca="1">_xlfn.TEXTJOIN("
",TRUE,'All Statement of strategy (D)'!$I384,'All Statement of strategy (D)'!$I385,'All Statement of strategy (D)'!$I386,'All Statement of strategy (D)'!$I387,'All Statement of strategy (D)'!$I388,'All Statement of strategy (D)'!$I389,'All Statement of strategy (D)'!$I390,'All Statement of strategy (D)'!$I391,'All Statement of strategy (D)'!$I392,'All Statement of strategy (D)'!$I393)</f>
        <v xml:space="preserve"> 
 </v>
      </c>
      <c r="B383" s="857"/>
      <c r="C383" s="857"/>
      <c r="D383" s="857"/>
      <c r="E383" s="857"/>
      <c r="F383" s="857"/>
      <c r="G383" s="857"/>
      <c r="H383" s="857"/>
      <c r="I383" s="857"/>
      <c r="J383" s="857"/>
      <c r="K383" s="857"/>
      <c r="L383" s="857"/>
      <c r="N383" s="631" t="str">
        <f t="shared" ca="1" si="5"/>
        <v>Refresh the statement</v>
      </c>
      <c r="O383" s="86" t="str">
        <f t="shared" ref="O383:O387" ca="1" si="6">A383</f>
        <v xml:space="preserve"> 
 </v>
      </c>
    </row>
    <row r="384" spans="1:15">
      <c r="N384" s="631" t="str">
        <f t="shared" ca="1" si="5"/>
        <v>Refresh the statement</v>
      </c>
      <c r="O384" s="86" t="str">
        <f ca="1">IF($A$383&lt;&gt;"","Blank row","")</f>
        <v>Blank row</v>
      </c>
    </row>
    <row r="385" spans="1:15" ht="139.5">
      <c r="A385" s="857" t="str">
        <f ca="1">_xlfn.TEXTJOIN("
",TRUE,'All Statement of strategy (D)'!$I394,'All Statement of strategy (D)'!$I395,'All Statement of strategy (D)'!$I396,'All Statement of strategy (D)'!$I397,'All Statement of strategy (D)'!$I398,'All Statement of strategy (D)'!$I399,'All Statement of strategy (D)'!$I400,'All Statement of strategy (D)'!$I401,'All Statement of strategy (D)'!$I402,'All Statement of strategy (D)'!$I403)</f>
        <v xml:space="preserve"> 
 </v>
      </c>
      <c r="B385" s="857"/>
      <c r="C385" s="857"/>
      <c r="D385" s="857"/>
      <c r="E385" s="857"/>
      <c r="F385" s="857"/>
      <c r="G385" s="857"/>
      <c r="H385" s="857"/>
      <c r="I385" s="857"/>
      <c r="J385" s="857"/>
      <c r="K385" s="857"/>
      <c r="L385" s="857"/>
      <c r="N385" s="631" t="str">
        <f t="shared" ca="1" si="5"/>
        <v>Refresh the statement</v>
      </c>
      <c r="O385" s="86" t="str">
        <f t="shared" ca="1" si="6"/>
        <v xml:space="preserve"> 
 </v>
      </c>
    </row>
    <row r="386" spans="1:15">
      <c r="N386" s="631" t="str">
        <f t="shared" ca="1" si="5"/>
        <v>Refresh the statement</v>
      </c>
      <c r="O386" s="86" t="str">
        <f ca="1">IF($A$385&lt;&gt;"","Blank row","")</f>
        <v>Blank row</v>
      </c>
    </row>
    <row r="387" spans="1:15" ht="139.5">
      <c r="A387" s="857" t="str">
        <f ca="1">_xlfn.TEXTJOIN("
",TRUE,'All Statement of strategy (D)'!$I404,'All Statement of strategy (D)'!$I405,'All Statement of strategy (D)'!$I406,'All Statement of strategy (D)'!$I407,'All Statement of strategy (D)'!$I408,'All Statement of strategy (D)'!$I409,'All Statement of strategy (D)'!$I410,'All Statement of strategy (D)'!$I411,'All Statement of strategy (D)'!$I412,'All Statement of strategy (D)'!$I413)</f>
        <v xml:space="preserve"> 
 </v>
      </c>
      <c r="B387" s="857"/>
      <c r="C387" s="857"/>
      <c r="D387" s="857"/>
      <c r="E387" s="857"/>
      <c r="F387" s="857"/>
      <c r="G387" s="857"/>
      <c r="H387" s="857"/>
      <c r="I387" s="857"/>
      <c r="J387" s="857"/>
      <c r="K387" s="857"/>
      <c r="L387" s="857"/>
      <c r="N387" s="631" t="str">
        <f t="shared" ca="1" si="5"/>
        <v>Refresh the statement</v>
      </c>
      <c r="O387" s="86" t="str">
        <f t="shared" ca="1" si="6"/>
        <v xml:space="preserve"> 
 </v>
      </c>
    </row>
    <row r="388" spans="1:15">
      <c r="N388" s="631" t="str">
        <f t="shared" ca="1" si="5"/>
        <v>Refresh the statement</v>
      </c>
      <c r="O388" s="86" t="str">
        <f ca="1">IF($A$387&lt;&gt;"","Blank row","")</f>
        <v>Blank row</v>
      </c>
    </row>
    <row r="389" spans="1:15">
      <c r="A389" s="857" t="str">
        <f ca="1">'All Statement of strategy (D)'!$I414</f>
        <v xml:space="preserve"> </v>
      </c>
      <c r="B389" s="857"/>
      <c r="C389" s="857"/>
      <c r="D389" s="857"/>
      <c r="E389" s="857"/>
      <c r="F389" s="857"/>
      <c r="G389" s="857"/>
      <c r="H389" s="857"/>
      <c r="I389" s="857"/>
      <c r="J389" s="857"/>
      <c r="K389" s="857"/>
      <c r="L389" s="857"/>
      <c r="N389" s="631" t="str">
        <f t="shared" ca="1" si="5"/>
        <v>Refresh the statement</v>
      </c>
    </row>
    <row r="390" spans="1:15">
      <c r="N390" s="631" t="str">
        <f t="shared" ca="1" si="5"/>
        <v>Refresh the statement</v>
      </c>
      <c r="O390" s="86" t="str">
        <f ca="1">IF(A389&lt;&gt;"","Blank row","")</f>
        <v>Blank row</v>
      </c>
    </row>
    <row r="391" spans="1:15">
      <c r="A391" s="857" t="str">
        <f ca="1">'All Statement of strategy (D)'!$I415&amp;'All Statement of strategy (D)'!$I416&amp;'All Statement of strategy (D)'!$I417&amp;'All Statement of strategy (D)'!$I418</f>
        <v xml:space="preserve">    </v>
      </c>
      <c r="B391" s="857"/>
      <c r="C391" s="857"/>
      <c r="D391" s="857"/>
      <c r="E391" s="857"/>
      <c r="F391" s="857"/>
      <c r="G391" s="857"/>
      <c r="H391" s="857"/>
      <c r="I391" s="857"/>
      <c r="J391" s="857"/>
      <c r="K391" s="857"/>
      <c r="L391" s="857"/>
      <c r="N391" s="631" t="str">
        <f t="shared" ca="1" si="5"/>
        <v>Refresh the statement</v>
      </c>
      <c r="O391" s="86" t="str">
        <f ca="1">'All Statement of strategy (D)'!$I415</f>
        <v xml:space="preserve"> </v>
      </c>
    </row>
    <row r="392" spans="1:15">
      <c r="A392" s="857"/>
      <c r="B392" s="857"/>
      <c r="C392" s="857"/>
      <c r="D392" s="857"/>
      <c r="E392" s="857"/>
      <c r="F392" s="857"/>
      <c r="G392" s="857"/>
      <c r="H392" s="857"/>
      <c r="I392" s="857"/>
      <c r="J392" s="857"/>
      <c r="K392" s="857"/>
      <c r="L392" s="857"/>
      <c r="N392" s="631" t="str">
        <f t="shared" ca="1" si="5"/>
        <v>Refresh the statement</v>
      </c>
      <c r="O392" s="86" t="str">
        <f ca="1">'All Statement of strategy (D)'!$I416</f>
        <v xml:space="preserve"> </v>
      </c>
    </row>
    <row r="393" spans="1:15">
      <c r="A393" s="857"/>
      <c r="B393" s="857"/>
      <c r="C393" s="857"/>
      <c r="D393" s="857"/>
      <c r="E393" s="857"/>
      <c r="F393" s="857"/>
      <c r="G393" s="857"/>
      <c r="H393" s="857"/>
      <c r="I393" s="857"/>
      <c r="J393" s="857"/>
      <c r="K393" s="857"/>
      <c r="L393" s="857"/>
      <c r="N393" s="631" t="str">
        <f t="shared" ca="1" si="5"/>
        <v>Refresh the statement</v>
      </c>
      <c r="O393" s="86" t="str">
        <f ca="1">'All Statement of strategy (D)'!$I417</f>
        <v xml:space="preserve"> </v>
      </c>
    </row>
    <row r="394" spans="1:15">
      <c r="A394" s="857"/>
      <c r="B394" s="857"/>
      <c r="C394" s="857"/>
      <c r="D394" s="857"/>
      <c r="E394" s="857"/>
      <c r="F394" s="857"/>
      <c r="G394" s="857"/>
      <c r="H394" s="857"/>
      <c r="I394" s="857"/>
      <c r="J394" s="857"/>
      <c r="K394" s="857"/>
      <c r="L394" s="857"/>
      <c r="N394" s="631" t="str">
        <f t="shared" ca="1" si="5"/>
        <v>Refresh the statement</v>
      </c>
      <c r="O394" s="86" t="str">
        <f ca="1">'All Statement of strategy (D)'!$I418</f>
        <v xml:space="preserve"> </v>
      </c>
    </row>
    <row r="395" spans="1:15">
      <c r="N395" s="631" t="str">
        <f t="shared" ca="1" si="5"/>
        <v>Refresh the statement</v>
      </c>
      <c r="O395" s="86" t="str">
        <f ca="1">IF(A391&lt;&gt;"","Blank row","")</f>
        <v>Blank row</v>
      </c>
    </row>
    <row r="396" spans="1:15">
      <c r="A396" s="857" t="str">
        <f ca="1">'All Statement of strategy (D)'!$I419</f>
        <v xml:space="preserve"> </v>
      </c>
      <c r="B396" s="857"/>
      <c r="C396" s="857"/>
      <c r="D396" s="857"/>
      <c r="E396" s="857"/>
      <c r="F396" s="857"/>
      <c r="G396" s="857"/>
      <c r="H396" s="857"/>
      <c r="I396" s="857"/>
      <c r="J396" s="857"/>
      <c r="K396" s="857"/>
      <c r="L396" s="857"/>
      <c r="N396" s="631" t="str">
        <f t="shared" ca="1" si="5"/>
        <v>Refresh the statement</v>
      </c>
      <c r="O396" s="86" t="str">
        <f ca="1">A396</f>
        <v xml:space="preserve"> </v>
      </c>
    </row>
    <row r="397" spans="1:15" ht="17.5">
      <c r="B397" s="91"/>
      <c r="C397" s="91"/>
      <c r="D397" s="91"/>
      <c r="E397" s="91"/>
      <c r="N397" s="631" t="str">
        <f t="shared" ca="1" si="5"/>
        <v>Refresh the statement</v>
      </c>
      <c r="O397" s="86" t="str">
        <f ca="1">IF($A$396&lt;&gt;"","Blank row","")</f>
        <v>Blank row</v>
      </c>
    </row>
    <row r="398" spans="1:15">
      <c r="A398" s="857" t="str">
        <f ca="1">'All Statement of strategy (D)'!$I420&amp;'All Statement of strategy (D)'!$I421&amp;'All Statement of strategy (D)'!$I422&amp;'All Statement of strategy (D)'!$I423</f>
        <v xml:space="preserve">    </v>
      </c>
      <c r="B398" s="857"/>
      <c r="C398" s="857"/>
      <c r="D398" s="857"/>
      <c r="E398" s="857"/>
      <c r="F398" s="857"/>
      <c r="G398" s="857"/>
      <c r="H398" s="857"/>
      <c r="I398" s="857"/>
      <c r="J398" s="857"/>
      <c r="K398" s="857"/>
      <c r="L398" s="857"/>
      <c r="N398" s="631" t="str">
        <f t="shared" ca="1" si="5"/>
        <v>Refresh the statement</v>
      </c>
      <c r="O398" s="86" t="str">
        <f ca="1">'All Statement of strategy (D)'!$I420</f>
        <v xml:space="preserve"> </v>
      </c>
    </row>
    <row r="399" spans="1:15">
      <c r="A399" s="857"/>
      <c r="B399" s="857"/>
      <c r="C399" s="857"/>
      <c r="D399" s="857"/>
      <c r="E399" s="857"/>
      <c r="F399" s="857"/>
      <c r="G399" s="857"/>
      <c r="H399" s="857"/>
      <c r="I399" s="857"/>
      <c r="J399" s="857"/>
      <c r="K399" s="857"/>
      <c r="L399" s="857"/>
      <c r="N399" s="631" t="str">
        <f t="shared" ca="1" si="5"/>
        <v>Refresh the statement</v>
      </c>
      <c r="O399" s="86" t="str">
        <f ca="1">'All Statement of strategy (D)'!$I421</f>
        <v xml:space="preserve"> </v>
      </c>
    </row>
    <row r="400" spans="1:15">
      <c r="A400" s="857"/>
      <c r="B400" s="857"/>
      <c r="C400" s="857"/>
      <c r="D400" s="857"/>
      <c r="E400" s="857"/>
      <c r="F400" s="857"/>
      <c r="G400" s="857"/>
      <c r="H400" s="857"/>
      <c r="I400" s="857"/>
      <c r="J400" s="857"/>
      <c r="K400" s="857"/>
      <c r="L400" s="857"/>
      <c r="N400" s="631" t="str">
        <f t="shared" ca="1" si="5"/>
        <v>Refresh the statement</v>
      </c>
      <c r="O400" s="86" t="str">
        <f ca="1">'All Statement of strategy (D)'!$I422</f>
        <v xml:space="preserve"> </v>
      </c>
    </row>
    <row r="401" spans="1:15">
      <c r="A401" s="857"/>
      <c r="B401" s="857"/>
      <c r="C401" s="857"/>
      <c r="D401" s="857"/>
      <c r="E401" s="857"/>
      <c r="F401" s="857"/>
      <c r="G401" s="857"/>
      <c r="H401" s="857"/>
      <c r="I401" s="857"/>
      <c r="J401" s="857"/>
      <c r="K401" s="857"/>
      <c r="L401" s="857"/>
      <c r="N401" s="631" t="str">
        <f t="shared" ca="1" si="5"/>
        <v>Refresh the statement</v>
      </c>
      <c r="O401" s="86" t="str">
        <f ca="1">'All Statement of strategy (D)'!$I423</f>
        <v xml:space="preserve"> </v>
      </c>
    </row>
    <row r="402" spans="1:15" ht="17.5">
      <c r="B402" s="91"/>
      <c r="C402" s="91"/>
      <c r="D402" s="91"/>
      <c r="E402" s="91"/>
      <c r="N402" s="631" t="str">
        <f t="shared" ca="1" si="5"/>
        <v>Refresh the statement</v>
      </c>
      <c r="O402" s="86" t="str">
        <f ca="1">IF($A$396&lt;&gt;"","Blank row","")</f>
        <v>Blank row</v>
      </c>
    </row>
    <row r="403" spans="1:15">
      <c r="A403" s="857" t="str">
        <f ca="1">'All Statement of strategy (D)'!$I424</f>
        <v xml:space="preserve"> </v>
      </c>
      <c r="B403" s="857"/>
      <c r="C403" s="857"/>
      <c r="D403" s="857"/>
      <c r="E403" s="857"/>
      <c r="F403" s="857"/>
      <c r="G403" s="857"/>
      <c r="H403" s="857"/>
      <c r="I403" s="857"/>
      <c r="J403" s="857"/>
      <c r="K403" s="857"/>
      <c r="L403" s="857"/>
      <c r="N403" s="631" t="str">
        <f t="shared" ca="1" si="5"/>
        <v>Refresh the statement</v>
      </c>
    </row>
    <row r="404" spans="1:15" ht="17.5">
      <c r="B404" s="91"/>
      <c r="C404" s="91"/>
      <c r="D404" s="91"/>
      <c r="E404" s="91"/>
      <c r="N404" s="631" t="str">
        <f t="shared" ca="1" si="5"/>
        <v>Refresh the statement</v>
      </c>
      <c r="O404" s="86" t="str">
        <f ca="1">IF(A403&lt;&gt;"","Blank row","")</f>
        <v>Blank row</v>
      </c>
    </row>
    <row r="405" spans="1:15">
      <c r="A405" s="857" t="str">
        <f ca="1">'All Statement of strategy (D)'!$I425</f>
        <v xml:space="preserve"> </v>
      </c>
      <c r="B405" s="857"/>
      <c r="C405" s="857"/>
      <c r="D405" s="857"/>
      <c r="E405" s="857"/>
      <c r="F405" s="857"/>
      <c r="G405" s="857"/>
      <c r="H405" s="857"/>
      <c r="I405" s="857"/>
      <c r="J405" s="857"/>
      <c r="K405" s="857"/>
      <c r="L405" s="857"/>
      <c r="N405" s="631" t="str">
        <f t="shared" ca="1" si="5"/>
        <v>Refresh the statement</v>
      </c>
    </row>
    <row r="406" spans="1:15">
      <c r="A406" s="857" t="str">
        <f ca="1">'All Statement of strategy (D)'!$I426</f>
        <v xml:space="preserve"> </v>
      </c>
      <c r="B406" s="857"/>
      <c r="C406" s="857"/>
      <c r="D406" s="857"/>
      <c r="E406" s="857"/>
      <c r="F406" s="857"/>
      <c r="G406" s="857"/>
      <c r="H406" s="857"/>
      <c r="I406" s="857"/>
      <c r="J406" s="857"/>
      <c r="K406" s="857"/>
      <c r="L406" s="857"/>
      <c r="N406" s="631" t="str">
        <f t="shared" ca="1" si="5"/>
        <v>Refresh the statement</v>
      </c>
    </row>
    <row r="407" spans="1:15" ht="17.5">
      <c r="B407" s="91"/>
      <c r="C407" s="91"/>
      <c r="D407" s="91"/>
      <c r="E407" s="91"/>
      <c r="N407" s="631" t="str">
        <f t="shared" ca="1" si="5"/>
        <v>Refresh the statement</v>
      </c>
      <c r="O407" s="86" t="str">
        <f ca="1">IF(A406&lt;&gt;"","Blank row","")</f>
        <v>Blank row</v>
      </c>
    </row>
    <row r="408" spans="1:15">
      <c r="A408" s="857" t="str">
        <f ca="1">'All Statement of strategy (D)'!$I427</f>
        <v xml:space="preserve"> </v>
      </c>
      <c r="B408" s="857"/>
      <c r="C408" s="857"/>
      <c r="D408" s="857"/>
      <c r="E408" s="857"/>
      <c r="F408" s="857"/>
      <c r="G408" s="857"/>
      <c r="H408" s="857"/>
      <c r="I408" s="857"/>
      <c r="J408" s="857"/>
      <c r="K408" s="857"/>
      <c r="L408" s="857"/>
      <c r="N408" s="631" t="str">
        <f t="shared" ca="1" si="5"/>
        <v>Refresh the statement</v>
      </c>
    </row>
    <row r="409" spans="1:15">
      <c r="A409" s="857" t="str">
        <f ca="1">'All Statement of strategy (D)'!$I428</f>
        <v xml:space="preserve"> </v>
      </c>
      <c r="B409" s="857"/>
      <c r="C409" s="857"/>
      <c r="D409" s="857"/>
      <c r="E409" s="857"/>
      <c r="F409" s="857"/>
      <c r="G409" s="857"/>
      <c r="H409" s="857"/>
      <c r="I409" s="857"/>
      <c r="J409" s="857"/>
      <c r="K409" s="857"/>
      <c r="L409" s="857"/>
      <c r="N409" s="631" t="str">
        <f t="shared" ref="N409:N472" ca="1" si="7">IF(OR(A409&lt;&gt;"",B409&lt;&gt;"",C409&lt;&gt;"",D409&lt;&gt;"",E409&lt;&gt;"",F409&lt;&gt;"",G409&lt;&gt;"",H409&lt;&gt;"",I409&lt;&gt;"",J409&lt;&gt;"",K409&lt;&gt;"",L409&lt;&gt;"",M409&lt;&gt;"",O409&lt;&gt;""),"Refresh the statement","Scroll up and click refresh")</f>
        <v>Refresh the statement</v>
      </c>
    </row>
    <row r="410" spans="1:15">
      <c r="A410" s="857" t="str">
        <f ca="1">'All Statement of strategy (D)'!$I429</f>
        <v xml:space="preserve"> </v>
      </c>
      <c r="B410" s="857"/>
      <c r="C410" s="857"/>
      <c r="D410" s="857"/>
      <c r="E410" s="857"/>
      <c r="F410" s="857"/>
      <c r="G410" s="857"/>
      <c r="H410" s="857"/>
      <c r="I410" s="857"/>
      <c r="J410" s="857"/>
      <c r="K410" s="857"/>
      <c r="L410" s="857"/>
      <c r="N410" s="631" t="str">
        <f t="shared" ca="1" si="7"/>
        <v>Refresh the statement</v>
      </c>
    </row>
    <row r="411" spans="1:15">
      <c r="A411" s="857" t="str">
        <f ca="1">'All Statement of strategy (D)'!$I430</f>
        <v xml:space="preserve"> </v>
      </c>
      <c r="B411" s="857"/>
      <c r="C411" s="857"/>
      <c r="D411" s="857"/>
      <c r="E411" s="857"/>
      <c r="F411" s="857"/>
      <c r="G411" s="857"/>
      <c r="H411" s="857"/>
      <c r="I411" s="857"/>
      <c r="J411" s="857"/>
      <c r="K411" s="857"/>
      <c r="L411" s="857"/>
      <c r="N411" s="631" t="str">
        <f t="shared" ca="1" si="7"/>
        <v>Refresh the statement</v>
      </c>
    </row>
    <row r="412" spans="1:15">
      <c r="A412" s="857" t="str">
        <f ca="1">'All Statement of strategy (D)'!$I431&amp;'All Statement of strategy (D)'!$I432&amp;'All Statement of strategy (D)'!$I433&amp;'All Statement of strategy (D)'!$I434&amp;'All Statement of strategy (D)'!$I435</f>
        <v xml:space="preserve">     </v>
      </c>
      <c r="B412" s="857"/>
      <c r="C412" s="857"/>
      <c r="D412" s="857"/>
      <c r="E412" s="857"/>
      <c r="F412" s="857"/>
      <c r="G412" s="857"/>
      <c r="H412" s="857"/>
      <c r="I412" s="857"/>
      <c r="J412" s="857"/>
      <c r="K412" s="857"/>
      <c r="L412" s="857"/>
      <c r="N412" s="631" t="str">
        <f t="shared" ca="1" si="7"/>
        <v>Refresh the statement</v>
      </c>
      <c r="O412" s="86" t="str">
        <f ca="1">'All Statement of strategy (D)'!$I431&amp;'All Statement of strategy (D)'!$I432</f>
        <v xml:space="preserve">  </v>
      </c>
    </row>
    <row r="413" spans="1:15">
      <c r="A413" s="857"/>
      <c r="B413" s="857"/>
      <c r="C413" s="857"/>
      <c r="D413" s="857"/>
      <c r="E413" s="857"/>
      <c r="F413" s="857"/>
      <c r="G413" s="857"/>
      <c r="H413" s="857"/>
      <c r="I413" s="857"/>
      <c r="J413" s="857"/>
      <c r="K413" s="857"/>
      <c r="L413" s="857"/>
      <c r="N413" s="631" t="str">
        <f t="shared" ca="1" si="7"/>
        <v>Refresh the statement</v>
      </c>
      <c r="O413" s="86" t="str">
        <f ca="1">'All Statement of strategy (D)'!$I433</f>
        <v xml:space="preserve"> </v>
      </c>
    </row>
    <row r="414" spans="1:15">
      <c r="A414" s="857"/>
      <c r="B414" s="857"/>
      <c r="C414" s="857"/>
      <c r="D414" s="857"/>
      <c r="E414" s="857"/>
      <c r="F414" s="857"/>
      <c r="G414" s="857"/>
      <c r="H414" s="857"/>
      <c r="I414" s="857"/>
      <c r="J414" s="857"/>
      <c r="K414" s="857"/>
      <c r="L414" s="857"/>
      <c r="N414" s="631" t="str">
        <f t="shared" ca="1" si="7"/>
        <v>Refresh the statement</v>
      </c>
      <c r="O414" s="86" t="str">
        <f ca="1">'All Statement of strategy (D)'!$I434</f>
        <v xml:space="preserve"> </v>
      </c>
    </row>
    <row r="415" spans="1:15">
      <c r="A415" s="857"/>
      <c r="B415" s="857"/>
      <c r="C415" s="857"/>
      <c r="D415" s="857"/>
      <c r="E415" s="857"/>
      <c r="F415" s="857"/>
      <c r="G415" s="857"/>
      <c r="H415" s="857"/>
      <c r="I415" s="857"/>
      <c r="J415" s="857"/>
      <c r="K415" s="857"/>
      <c r="L415" s="857"/>
      <c r="N415" s="631" t="str">
        <f t="shared" ca="1" si="7"/>
        <v>Refresh the statement</v>
      </c>
      <c r="O415" s="86" t="str">
        <f ca="1">'All Statement of strategy (D)'!$I435</f>
        <v xml:space="preserve"> </v>
      </c>
    </row>
    <row r="416" spans="1:15">
      <c r="N416" s="631" t="str">
        <f t="shared" ca="1" si="7"/>
        <v>Refresh the statement</v>
      </c>
      <c r="O416" s="86" t="str">
        <f ca="1">IF(A412&lt;&gt;"","Blank row","")</f>
        <v>Blank row</v>
      </c>
    </row>
    <row r="417" spans="1:15">
      <c r="A417" s="857" t="str">
        <f ca="1">'All Statement of strategy (D)'!$I436</f>
        <v xml:space="preserve"> </v>
      </c>
      <c r="B417" s="857"/>
      <c r="C417" s="857"/>
      <c r="D417" s="857"/>
      <c r="E417" s="857"/>
      <c r="F417" s="857"/>
      <c r="G417" s="857"/>
      <c r="H417" s="857"/>
      <c r="I417" s="857"/>
      <c r="J417" s="857"/>
      <c r="K417" s="857"/>
      <c r="L417" s="857"/>
      <c r="N417" s="631" t="str">
        <f t="shared" ca="1" si="7"/>
        <v>Refresh the statement</v>
      </c>
    </row>
    <row r="418" spans="1:15">
      <c r="N418" s="631" t="str">
        <f t="shared" ca="1" si="7"/>
        <v>Refresh the statement</v>
      </c>
      <c r="O418" s="86" t="str">
        <f ca="1">IF($A$412&lt;&gt;"","Blank row","")</f>
        <v>Blank row</v>
      </c>
    </row>
    <row r="419" spans="1:15" ht="155">
      <c r="A419" s="857" t="str">
        <f ca="1">_xlfn.TEXTJOIN("
",TRUE,'All Statement of strategy (D)'!$I437,'All Statement of strategy (D)'!$I438,'All Statement of strategy (D)'!$I439,'All Statement of strategy (D)'!$I440,'All Statement of strategy (D)'!$I441,'All Statement of strategy (D)'!$I442,'All Statement of strategy (D)'!$I443,'All Statement of strategy (D)'!$I444,'All Statement of strategy (D)'!$I445,'All Statement of strategy (D)'!$I446,'All Statement of strategy (D)'!$I447)</f>
        <v xml:space="preserve"> 
 </v>
      </c>
      <c r="B419" s="857"/>
      <c r="C419" s="857"/>
      <c r="D419" s="857"/>
      <c r="E419" s="857"/>
      <c r="F419" s="857"/>
      <c r="G419" s="857"/>
      <c r="H419" s="857"/>
      <c r="I419" s="857"/>
      <c r="J419" s="857"/>
      <c r="K419" s="857"/>
      <c r="L419" s="857"/>
      <c r="N419" s="631" t="str">
        <f t="shared" ca="1" si="7"/>
        <v>Refresh the statement</v>
      </c>
      <c r="O419" s="86" t="str">
        <f ca="1">A419</f>
        <v xml:space="preserve"> 
 </v>
      </c>
    </row>
    <row r="420" spans="1:15">
      <c r="N420" s="631" t="str">
        <f t="shared" ca="1" si="7"/>
        <v>Refresh the statement</v>
      </c>
      <c r="O420" s="86" t="str">
        <f ca="1">IF(A419&lt;&gt;"","Blank row","")</f>
        <v>Blank row</v>
      </c>
    </row>
    <row r="421" spans="1:15" ht="155">
      <c r="A421" s="857" t="str">
        <f ca="1">_xlfn.TEXTJOIN("
",TRUE,'All Statement of strategy (D)'!$I448,'All Statement of strategy (D)'!$I449,'All Statement of strategy (D)'!$I450,'All Statement of strategy (D)'!$I451,'All Statement of strategy (D)'!$I452,'All Statement of strategy (D)'!$I453,'All Statement of strategy (D)'!$I454,'All Statement of strategy (D)'!$I455,'All Statement of strategy (D)'!$I456,'All Statement of strategy (D)'!$I457,'All Statement of strategy (D)'!$I458)</f>
        <v xml:space="preserve"> 
 </v>
      </c>
      <c r="B421" s="857"/>
      <c r="C421" s="857"/>
      <c r="D421" s="857"/>
      <c r="E421" s="857"/>
      <c r="F421" s="857"/>
      <c r="G421" s="857"/>
      <c r="H421" s="857"/>
      <c r="I421" s="857"/>
      <c r="J421" s="857"/>
      <c r="K421" s="857"/>
      <c r="L421" s="857"/>
      <c r="N421" s="631" t="str">
        <f t="shared" ca="1" si="7"/>
        <v>Refresh the statement</v>
      </c>
      <c r="O421" s="86" t="str">
        <f ca="1">A421</f>
        <v xml:space="preserve"> 
 </v>
      </c>
    </row>
    <row r="422" spans="1:15">
      <c r="N422" s="631" t="str">
        <f t="shared" ca="1" si="7"/>
        <v>Refresh the statement</v>
      </c>
      <c r="O422" s="86" t="str">
        <f ca="1">IF(A421&lt;&gt;"","Blank row","")</f>
        <v>Blank row</v>
      </c>
    </row>
    <row r="423" spans="1:15" ht="155">
      <c r="A423" s="857" t="str">
        <f ca="1">_xlfn.TEXTJOIN("
",TRUE,'All Statement of strategy (D)'!$I459,'All Statement of strategy (D)'!$I460,'All Statement of strategy (D)'!$I461,'All Statement of strategy (D)'!$I462,'All Statement of strategy (D)'!$I463,'All Statement of strategy (D)'!$I464,'All Statement of strategy (D)'!$I465,'All Statement of strategy (D)'!$I466,'All Statement of strategy (D)'!$I467,'All Statement of strategy (D)'!$I468,'All Statement of strategy (D)'!$I469)</f>
        <v xml:space="preserve"> 
 </v>
      </c>
      <c r="B423" s="857"/>
      <c r="C423" s="857"/>
      <c r="D423" s="857"/>
      <c r="E423" s="857"/>
      <c r="F423" s="857"/>
      <c r="G423" s="857"/>
      <c r="H423" s="857"/>
      <c r="I423" s="857"/>
      <c r="J423" s="857"/>
      <c r="K423" s="857"/>
      <c r="L423" s="857"/>
      <c r="N423" s="631" t="str">
        <f t="shared" ca="1" si="7"/>
        <v>Refresh the statement</v>
      </c>
      <c r="O423" s="86" t="str">
        <f ca="1">A423</f>
        <v xml:space="preserve"> 
 </v>
      </c>
    </row>
    <row r="424" spans="1:15">
      <c r="N424" s="631" t="str">
        <f t="shared" ca="1" si="7"/>
        <v>Refresh the statement</v>
      </c>
      <c r="O424" s="86" t="str">
        <f ca="1">IF(A423&lt;&gt;"","Blank row","")</f>
        <v>Blank row</v>
      </c>
    </row>
    <row r="425" spans="1:15" ht="155">
      <c r="A425" s="857" t="str">
        <f ca="1">_xlfn.TEXTJOIN("
",TRUE,'All Statement of strategy (D)'!$I470,'All Statement of strategy (D)'!$I471,'All Statement of strategy (D)'!$I472,'All Statement of strategy (D)'!$I473,'All Statement of strategy (D)'!$I474,'All Statement of strategy (D)'!$I475,'All Statement of strategy (D)'!$I476,'All Statement of strategy (D)'!$I477,'All Statement of strategy (D)'!$I478,'All Statement of strategy (D)'!$I479,'All Statement of strategy (D)'!$I480)</f>
        <v xml:space="preserve"> 
 </v>
      </c>
      <c r="B425" s="857"/>
      <c r="C425" s="857"/>
      <c r="D425" s="857"/>
      <c r="E425" s="857"/>
      <c r="F425" s="857"/>
      <c r="G425" s="857"/>
      <c r="H425" s="857"/>
      <c r="I425" s="857"/>
      <c r="J425" s="857"/>
      <c r="K425" s="857"/>
      <c r="L425" s="857"/>
      <c r="N425" s="631" t="str">
        <f t="shared" ca="1" si="7"/>
        <v>Refresh the statement</v>
      </c>
      <c r="O425" s="86" t="str">
        <f ca="1">A425</f>
        <v xml:space="preserve"> 
 </v>
      </c>
    </row>
    <row r="426" spans="1:15">
      <c r="N426" s="631" t="str">
        <f t="shared" ca="1" si="7"/>
        <v>Refresh the statement</v>
      </c>
      <c r="O426" s="86" t="str">
        <f ca="1">IF(A425&lt;&gt;"","Blank row","")</f>
        <v>Blank row</v>
      </c>
    </row>
    <row r="427" spans="1:15" ht="155">
      <c r="A427" s="857" t="str">
        <f ca="1">_xlfn.TEXTJOIN("
",TRUE,'All Statement of strategy (D)'!$I481,'All Statement of strategy (D)'!$I482,'All Statement of strategy (D)'!$I483,'All Statement of strategy (D)'!$I484,'All Statement of strategy (D)'!$I485,'All Statement of strategy (D)'!$I486,'All Statement of strategy (D)'!$I487,'All Statement of strategy (D)'!$I488,'All Statement of strategy (D)'!$I489,'All Statement of strategy (D)'!$I490,'All Statement of strategy (D)'!$I491)</f>
        <v xml:space="preserve"> 
 </v>
      </c>
      <c r="B427" s="857"/>
      <c r="C427" s="857"/>
      <c r="D427" s="857"/>
      <c r="E427" s="857"/>
      <c r="F427" s="857"/>
      <c r="G427" s="857"/>
      <c r="H427" s="857"/>
      <c r="I427" s="857"/>
      <c r="J427" s="857"/>
      <c r="K427" s="857"/>
      <c r="L427" s="857"/>
      <c r="N427" s="631" t="str">
        <f t="shared" ca="1" si="7"/>
        <v>Refresh the statement</v>
      </c>
      <c r="O427" s="86" t="str">
        <f ca="1">A427</f>
        <v xml:space="preserve"> 
 </v>
      </c>
    </row>
    <row r="428" spans="1:15">
      <c r="N428" s="631" t="str">
        <f t="shared" ca="1" si="7"/>
        <v>Refresh the statement</v>
      </c>
      <c r="O428" s="86" t="str">
        <f ca="1">IF(A427&lt;&gt;"","Blank row","")</f>
        <v>Blank row</v>
      </c>
    </row>
    <row r="429" spans="1:15">
      <c r="A429" s="857" t="str">
        <f ca="1">'All Statement of strategy (D)'!$I492</f>
        <v xml:space="preserve"> </v>
      </c>
      <c r="B429" s="857"/>
      <c r="C429" s="857"/>
      <c r="D429" s="857"/>
      <c r="E429" s="857"/>
      <c r="F429" s="857"/>
      <c r="G429" s="857"/>
      <c r="H429" s="857"/>
      <c r="I429" s="857"/>
      <c r="J429" s="857"/>
      <c r="K429" s="857"/>
      <c r="L429" s="857"/>
      <c r="N429" s="631" t="str">
        <f t="shared" ca="1" si="7"/>
        <v>Refresh the statement</v>
      </c>
    </row>
    <row r="430" spans="1:15">
      <c r="N430" s="631" t="str">
        <f t="shared" ca="1" si="7"/>
        <v>Refresh the statement</v>
      </c>
      <c r="O430" s="86" t="str">
        <f ca="1">IF(A429&lt;&gt;"","Blank row","")</f>
        <v>Blank row</v>
      </c>
    </row>
    <row r="431" spans="1:15">
      <c r="A431" s="857" t="str">
        <f ca="1">'All Statement of strategy (D)'!$I493</f>
        <v xml:space="preserve"> </v>
      </c>
      <c r="B431" s="857"/>
      <c r="C431" s="857"/>
      <c r="D431" s="857"/>
      <c r="E431" s="857"/>
      <c r="F431" s="857"/>
      <c r="G431" s="857"/>
      <c r="H431" s="857"/>
      <c r="I431" s="857"/>
      <c r="J431" s="857"/>
      <c r="K431" s="857"/>
      <c r="L431" s="857"/>
      <c r="N431" s="631" t="str">
        <f t="shared" ca="1" si="7"/>
        <v>Refresh the statement</v>
      </c>
    </row>
    <row r="432" spans="1:15">
      <c r="N432" s="631" t="str">
        <f t="shared" ca="1" si="7"/>
        <v>Refresh the statement</v>
      </c>
      <c r="O432" s="86" t="str">
        <f ca="1">IF(A431&lt;&gt;"","Blank row","")</f>
        <v>Blank row</v>
      </c>
    </row>
    <row r="433" spans="1:15">
      <c r="A433" s="857" t="str">
        <f ca="1">'All Statement of strategy (D)'!$I494&amp;'All Statement of strategy (D)'!$I495&amp;'All Statement of strategy (D)'!$I496&amp;'All Statement of strategy (D)'!$I497</f>
        <v xml:space="preserve">    </v>
      </c>
      <c r="B433" s="857"/>
      <c r="C433" s="857"/>
      <c r="D433" s="857"/>
      <c r="E433" s="857"/>
      <c r="F433" s="857"/>
      <c r="G433" s="857"/>
      <c r="H433" s="857"/>
      <c r="I433" s="857"/>
      <c r="J433" s="857"/>
      <c r="K433" s="857"/>
      <c r="L433" s="857"/>
      <c r="N433" s="631" t="str">
        <f t="shared" ca="1" si="7"/>
        <v>Refresh the statement</v>
      </c>
      <c r="O433" s="86" t="str">
        <f ca="1">'All Statement of strategy (D)'!$I494</f>
        <v xml:space="preserve"> </v>
      </c>
    </row>
    <row r="434" spans="1:15">
      <c r="A434" s="857"/>
      <c r="B434" s="857"/>
      <c r="C434" s="857"/>
      <c r="D434" s="857"/>
      <c r="E434" s="857"/>
      <c r="F434" s="857"/>
      <c r="G434" s="857"/>
      <c r="H434" s="857"/>
      <c r="I434" s="857"/>
      <c r="J434" s="857"/>
      <c r="K434" s="857"/>
      <c r="L434" s="857"/>
      <c r="N434" s="631" t="str">
        <f t="shared" ca="1" si="7"/>
        <v>Refresh the statement</v>
      </c>
      <c r="O434" s="86" t="str">
        <f ca="1">'All Statement of strategy (D)'!$I495</f>
        <v xml:space="preserve"> </v>
      </c>
    </row>
    <row r="435" spans="1:15">
      <c r="A435" s="857"/>
      <c r="B435" s="857"/>
      <c r="C435" s="857"/>
      <c r="D435" s="857"/>
      <c r="E435" s="857"/>
      <c r="F435" s="857"/>
      <c r="G435" s="857"/>
      <c r="H435" s="857"/>
      <c r="I435" s="857"/>
      <c r="J435" s="857"/>
      <c r="K435" s="857"/>
      <c r="L435" s="857"/>
      <c r="N435" s="631" t="str">
        <f t="shared" ca="1" si="7"/>
        <v>Refresh the statement</v>
      </c>
      <c r="O435" s="86" t="str">
        <f ca="1">'All Statement of strategy (D)'!$I496</f>
        <v xml:space="preserve"> </v>
      </c>
    </row>
    <row r="436" spans="1:15">
      <c r="A436" s="857"/>
      <c r="B436" s="857"/>
      <c r="C436" s="857"/>
      <c r="D436" s="857"/>
      <c r="E436" s="857"/>
      <c r="F436" s="857"/>
      <c r="G436" s="857"/>
      <c r="H436" s="857"/>
      <c r="I436" s="857"/>
      <c r="J436" s="857"/>
      <c r="K436" s="857"/>
      <c r="L436" s="857"/>
      <c r="N436" s="631" t="str">
        <f t="shared" ca="1" si="7"/>
        <v>Refresh the statement</v>
      </c>
      <c r="O436" s="86" t="str">
        <f ca="1">'All Statement of strategy (D)'!$I497</f>
        <v xml:space="preserve"> </v>
      </c>
    </row>
    <row r="437" spans="1:15">
      <c r="N437" s="631" t="str">
        <f t="shared" ca="1" si="7"/>
        <v>Refresh the statement</v>
      </c>
      <c r="O437" s="86" t="str">
        <f ca="1">IF(A431&lt;&gt;"","Blank row","")</f>
        <v>Blank row</v>
      </c>
    </row>
    <row r="438" spans="1:15">
      <c r="A438" s="857" t="str">
        <f ca="1">'All Statement of strategy (D)'!$I498</f>
        <v xml:space="preserve"> </v>
      </c>
      <c r="B438" s="857"/>
      <c r="C438" s="857"/>
      <c r="D438" s="857"/>
      <c r="E438" s="857"/>
      <c r="F438" s="857"/>
      <c r="G438" s="857"/>
      <c r="H438" s="857"/>
      <c r="I438" s="857"/>
      <c r="J438" s="857"/>
      <c r="K438" s="857"/>
      <c r="L438" s="857"/>
      <c r="N438" s="631" t="str">
        <f t="shared" ca="1" si="7"/>
        <v>Refresh the statement</v>
      </c>
    </row>
    <row r="439" spans="1:15" ht="17.5">
      <c r="B439" s="91"/>
      <c r="C439" s="91"/>
      <c r="D439" s="91"/>
      <c r="E439" s="91"/>
      <c r="N439" s="631" t="str">
        <f t="shared" ca="1" si="7"/>
        <v>Refresh the statement</v>
      </c>
      <c r="O439" s="86" t="str">
        <f ca="1">IF($A$438&lt;&gt;"","Blank row","")</f>
        <v>Blank row</v>
      </c>
    </row>
    <row r="440" spans="1:15" ht="17.5">
      <c r="A440" s="875" t="str">
        <f ca="1">'All Statement of strategy (D)'!$I499</f>
        <v xml:space="preserve"> </v>
      </c>
      <c r="B440" s="875"/>
      <c r="C440" s="875"/>
      <c r="D440" s="875"/>
      <c r="E440" s="875"/>
      <c r="F440" s="875"/>
      <c r="G440" s="875"/>
      <c r="H440" s="875"/>
      <c r="I440" s="875"/>
      <c r="J440" s="875"/>
      <c r="K440" s="875"/>
      <c r="L440" s="875"/>
      <c r="N440" s="631" t="str">
        <f t="shared" ca="1" si="7"/>
        <v>Refresh the statement</v>
      </c>
    </row>
    <row r="441" spans="1:15" ht="17.5">
      <c r="B441" s="91"/>
      <c r="C441" s="91"/>
      <c r="D441" s="91"/>
      <c r="E441" s="91"/>
      <c r="N441" s="631" t="str">
        <f t="shared" ca="1" si="7"/>
        <v>Refresh the statement</v>
      </c>
      <c r="O441" s="86" t="str">
        <f ca="1">IF($A$440&lt;&gt;"","Blank row","")</f>
        <v>Blank row</v>
      </c>
    </row>
    <row r="442" spans="1:15">
      <c r="A442" s="857" t="str">
        <f ca="1">'All Statement of strategy (D)'!$I500&amp;'All Statement of strategy (D)'!$I501&amp;'All Statement of strategy (D)'!$I502&amp;'All Statement of strategy (D)'!$I503</f>
        <v xml:space="preserve">    </v>
      </c>
      <c r="B442" s="857"/>
      <c r="C442" s="857"/>
      <c r="D442" s="857"/>
      <c r="E442" s="857"/>
      <c r="F442" s="857"/>
      <c r="G442" s="857"/>
      <c r="H442" s="857"/>
      <c r="I442" s="857"/>
      <c r="J442" s="857"/>
      <c r="K442" s="857"/>
      <c r="L442" s="857"/>
      <c r="N442" s="631" t="str">
        <f t="shared" ca="1" si="7"/>
        <v>Refresh the statement</v>
      </c>
      <c r="O442" s="86" t="str">
        <f ca="1">'All Statement of strategy (D)'!$I500</f>
        <v xml:space="preserve"> </v>
      </c>
    </row>
    <row r="443" spans="1:15">
      <c r="A443" s="857"/>
      <c r="B443" s="857"/>
      <c r="C443" s="857"/>
      <c r="D443" s="857"/>
      <c r="E443" s="857"/>
      <c r="F443" s="857"/>
      <c r="G443" s="857"/>
      <c r="H443" s="857"/>
      <c r="I443" s="857"/>
      <c r="J443" s="857"/>
      <c r="K443" s="857"/>
      <c r="L443" s="857"/>
      <c r="N443" s="631" t="str">
        <f t="shared" ca="1" si="7"/>
        <v>Refresh the statement</v>
      </c>
      <c r="O443" s="86" t="str">
        <f ca="1">'All Statement of strategy (D)'!$I501</f>
        <v xml:space="preserve"> </v>
      </c>
    </row>
    <row r="444" spans="1:15">
      <c r="A444" s="857"/>
      <c r="B444" s="857"/>
      <c r="C444" s="857"/>
      <c r="D444" s="857"/>
      <c r="E444" s="857"/>
      <c r="F444" s="857"/>
      <c r="G444" s="857"/>
      <c r="H444" s="857"/>
      <c r="I444" s="857"/>
      <c r="J444" s="857"/>
      <c r="K444" s="857"/>
      <c r="L444" s="857"/>
      <c r="N444" s="631" t="str">
        <f t="shared" ca="1" si="7"/>
        <v>Refresh the statement</v>
      </c>
      <c r="O444" s="86" t="str">
        <f ca="1">'All Statement of strategy (D)'!$I502</f>
        <v xml:space="preserve"> </v>
      </c>
    </row>
    <row r="445" spans="1:15">
      <c r="A445" s="857"/>
      <c r="B445" s="857"/>
      <c r="C445" s="857"/>
      <c r="D445" s="857"/>
      <c r="E445" s="857"/>
      <c r="F445" s="857"/>
      <c r="G445" s="857"/>
      <c r="H445" s="857"/>
      <c r="I445" s="857"/>
      <c r="J445" s="857"/>
      <c r="K445" s="857"/>
      <c r="L445" s="857"/>
      <c r="N445" s="631" t="str">
        <f t="shared" ca="1" si="7"/>
        <v>Refresh the statement</v>
      </c>
      <c r="O445" s="86" t="str">
        <f ca="1">'All Statement of strategy (D)'!$I503</f>
        <v xml:space="preserve"> </v>
      </c>
    </row>
    <row r="446" spans="1:15">
      <c r="N446" s="631" t="str">
        <f t="shared" ca="1" si="7"/>
        <v>Refresh the statement</v>
      </c>
      <c r="O446" s="86" t="str">
        <f ca="1">IF(A440&lt;&gt;"","Blank row","")</f>
        <v>Blank row</v>
      </c>
    </row>
    <row r="447" spans="1:15">
      <c r="A447" s="857" t="str">
        <f ca="1">'All Statement of strategy (D)'!$I504</f>
        <v xml:space="preserve"> </v>
      </c>
      <c r="B447" s="857"/>
      <c r="C447" s="857"/>
      <c r="D447" s="857"/>
      <c r="E447" s="857"/>
      <c r="F447" s="857"/>
      <c r="G447" s="857"/>
      <c r="H447" s="857"/>
      <c r="I447" s="857"/>
      <c r="J447" s="857"/>
      <c r="K447" s="857"/>
      <c r="L447" s="857"/>
      <c r="N447" s="631" t="str">
        <f t="shared" ca="1" si="7"/>
        <v>Refresh the statement</v>
      </c>
    </row>
    <row r="448" spans="1:15">
      <c r="A448" s="857" t="str">
        <f ca="1">'All Statement of strategy (D)'!$I505</f>
        <v xml:space="preserve"> </v>
      </c>
      <c r="B448" s="857"/>
      <c r="C448" s="857"/>
      <c r="D448" s="857"/>
      <c r="E448" s="857"/>
      <c r="F448" s="857"/>
      <c r="G448" s="857"/>
      <c r="H448" s="857"/>
      <c r="I448" s="857"/>
      <c r="J448" s="857"/>
      <c r="K448" s="857"/>
      <c r="L448" s="857"/>
      <c r="N448" s="631" t="str">
        <f t="shared" ca="1" si="7"/>
        <v>Refresh the statement</v>
      </c>
    </row>
    <row r="449" spans="1:15">
      <c r="A449" s="857" t="str">
        <f ca="1">'All Statement of strategy (D)'!$I506</f>
        <v xml:space="preserve"> </v>
      </c>
      <c r="B449" s="857"/>
      <c r="C449" s="857"/>
      <c r="D449" s="857"/>
      <c r="E449" s="857"/>
      <c r="F449" s="857"/>
      <c r="G449" s="857"/>
      <c r="H449" s="857"/>
      <c r="I449" s="857"/>
      <c r="J449" s="857"/>
      <c r="K449" s="857"/>
      <c r="L449" s="857"/>
      <c r="N449" s="631" t="str">
        <f t="shared" ca="1" si="7"/>
        <v>Refresh the statement</v>
      </c>
    </row>
    <row r="450" spans="1:15">
      <c r="A450" s="857" t="str">
        <f ca="1">'All Statement of strategy (D)'!$I507</f>
        <v xml:space="preserve"> </v>
      </c>
      <c r="B450" s="857"/>
      <c r="C450" s="857"/>
      <c r="D450" s="857"/>
      <c r="E450" s="857"/>
      <c r="F450" s="857"/>
      <c r="G450" s="857"/>
      <c r="H450" s="857"/>
      <c r="I450" s="857"/>
      <c r="J450" s="857"/>
      <c r="K450" s="857"/>
      <c r="L450" s="857"/>
      <c r="N450" s="631" t="str">
        <f t="shared" ca="1" si="7"/>
        <v>Refresh the statement</v>
      </c>
    </row>
    <row r="451" spans="1:15">
      <c r="A451" s="857" t="str">
        <f ca="1">'All Statement of strategy (D)'!$I508</f>
        <v xml:space="preserve"> </v>
      </c>
      <c r="B451" s="857"/>
      <c r="C451" s="857"/>
      <c r="D451" s="857"/>
      <c r="E451" s="857"/>
      <c r="F451" s="857"/>
      <c r="G451" s="857"/>
      <c r="H451" s="857"/>
      <c r="I451" s="857"/>
      <c r="J451" s="857"/>
      <c r="K451" s="857"/>
      <c r="L451" s="857"/>
      <c r="N451" s="631" t="str">
        <f t="shared" ca="1" si="7"/>
        <v>Refresh the statement</v>
      </c>
    </row>
    <row r="452" spans="1:15">
      <c r="N452" s="631" t="str">
        <f t="shared" ca="1" si="7"/>
        <v>Refresh the statement</v>
      </c>
      <c r="O452" s="86" t="str">
        <f ca="1">IF($A$448&lt;&gt;"","Blank row","")</f>
        <v>Blank row</v>
      </c>
    </row>
    <row r="453" spans="1:15">
      <c r="A453" s="857" t="str">
        <f ca="1">'All Statement of strategy (D)'!$I509</f>
        <v xml:space="preserve"> </v>
      </c>
      <c r="B453" s="857"/>
      <c r="C453" s="857"/>
      <c r="D453" s="857"/>
      <c r="E453" s="857"/>
      <c r="F453" s="857"/>
      <c r="G453" s="857"/>
      <c r="H453" s="857"/>
      <c r="I453" s="857"/>
      <c r="J453" s="857"/>
      <c r="K453" s="857"/>
      <c r="L453" s="857"/>
      <c r="N453" s="631" t="str">
        <f t="shared" ca="1" si="7"/>
        <v>Refresh the statement</v>
      </c>
    </row>
    <row r="454" spans="1:15">
      <c r="A454" s="857" t="str">
        <f ca="1">'All Statement of strategy (D)'!$I510</f>
        <v xml:space="preserve"> </v>
      </c>
      <c r="B454" s="857"/>
      <c r="C454" s="857"/>
      <c r="D454" s="857"/>
      <c r="E454" s="857"/>
      <c r="F454" s="857"/>
      <c r="G454" s="857"/>
      <c r="H454" s="857"/>
      <c r="I454" s="857"/>
      <c r="J454" s="857"/>
      <c r="K454" s="857"/>
      <c r="L454" s="857"/>
      <c r="N454" s="631" t="str">
        <f t="shared" ca="1" si="7"/>
        <v>Refresh the statement</v>
      </c>
    </row>
    <row r="455" spans="1:15">
      <c r="A455" s="857" t="str">
        <f ca="1">'All Statement of strategy (D)'!$I511</f>
        <v xml:space="preserve"> </v>
      </c>
      <c r="B455" s="857"/>
      <c r="C455" s="857"/>
      <c r="D455" s="857"/>
      <c r="E455" s="857"/>
      <c r="F455" s="857"/>
      <c r="G455" s="857"/>
      <c r="H455" s="857"/>
      <c r="I455" s="857"/>
      <c r="J455" s="857"/>
      <c r="K455" s="857"/>
      <c r="L455" s="857"/>
      <c r="N455" s="631" t="str">
        <f t="shared" ca="1" si="7"/>
        <v>Refresh the statement</v>
      </c>
    </row>
    <row r="456" spans="1:15">
      <c r="A456" s="857" t="str">
        <f ca="1">'All Statement of strategy (D)'!$I512</f>
        <v xml:space="preserve"> </v>
      </c>
      <c r="B456" s="857"/>
      <c r="C456" s="857"/>
      <c r="D456" s="857"/>
      <c r="E456" s="857"/>
      <c r="F456" s="857"/>
      <c r="G456" s="857"/>
      <c r="H456" s="857"/>
      <c r="I456" s="857"/>
      <c r="J456" s="857"/>
      <c r="K456" s="857"/>
      <c r="L456" s="857"/>
      <c r="N456" s="631" t="str">
        <f t="shared" ca="1" si="7"/>
        <v>Refresh the statement</v>
      </c>
    </row>
    <row r="457" spans="1:15">
      <c r="N457" s="631" t="str">
        <f t="shared" ca="1" si="7"/>
        <v>Refresh the statement</v>
      </c>
      <c r="O457" s="86" t="str">
        <f ca="1">IF($A$453&lt;&gt;"","Blank row","")</f>
        <v>Blank row</v>
      </c>
    </row>
    <row r="458" spans="1:15">
      <c r="A458" s="857" t="str">
        <f ca="1">'All Statement of strategy (D)'!$I513</f>
        <v xml:space="preserve"> </v>
      </c>
      <c r="B458" s="857"/>
      <c r="C458" s="857"/>
      <c r="D458" s="857"/>
      <c r="E458" s="857"/>
      <c r="F458" s="857"/>
      <c r="G458" s="857"/>
      <c r="H458" s="857"/>
      <c r="I458" s="857"/>
      <c r="J458" s="857"/>
      <c r="K458" s="857"/>
      <c r="L458" s="857"/>
      <c r="N458" s="631" t="str">
        <f t="shared" ca="1" si="7"/>
        <v>Refresh the statement</v>
      </c>
    </row>
    <row r="459" spans="1:15">
      <c r="A459" s="857" t="str">
        <f ca="1">'All Statement of strategy (D)'!$I514</f>
        <v xml:space="preserve"> </v>
      </c>
      <c r="B459" s="857"/>
      <c r="C459" s="857"/>
      <c r="D459" s="857"/>
      <c r="E459" s="857"/>
      <c r="F459" s="857"/>
      <c r="G459" s="857"/>
      <c r="H459" s="857"/>
      <c r="I459" s="857"/>
      <c r="J459" s="857"/>
      <c r="K459" s="857"/>
      <c r="L459" s="857"/>
      <c r="N459" s="631" t="str">
        <f t="shared" ca="1" si="7"/>
        <v>Refresh the statement</v>
      </c>
    </row>
    <row r="460" spans="1:15">
      <c r="A460" s="857" t="str">
        <f ca="1">'All Statement of strategy (D)'!$I515</f>
        <v xml:space="preserve"> </v>
      </c>
      <c r="B460" s="857"/>
      <c r="C460" s="857"/>
      <c r="D460" s="857"/>
      <c r="E460" s="857"/>
      <c r="F460" s="857"/>
      <c r="G460" s="857"/>
      <c r="H460" s="857"/>
      <c r="I460" s="857"/>
      <c r="J460" s="857"/>
      <c r="K460" s="857"/>
      <c r="L460" s="857"/>
      <c r="N460" s="631" t="str">
        <f t="shared" ca="1" si="7"/>
        <v>Refresh the statement</v>
      </c>
    </row>
    <row r="461" spans="1:15">
      <c r="A461" s="857" t="str">
        <f ca="1">'All Statement of strategy (D)'!$I516</f>
        <v xml:space="preserve"> </v>
      </c>
      <c r="B461" s="857"/>
      <c r="C461" s="857"/>
      <c r="D461" s="857"/>
      <c r="E461" s="857"/>
      <c r="F461" s="857"/>
      <c r="G461" s="857"/>
      <c r="H461" s="857"/>
      <c r="I461" s="857"/>
      <c r="J461" s="857"/>
      <c r="K461" s="857"/>
      <c r="L461" s="857"/>
      <c r="N461" s="631" t="str">
        <f t="shared" ca="1" si="7"/>
        <v>Refresh the statement</v>
      </c>
    </row>
    <row r="462" spans="1:15">
      <c r="N462" s="631" t="str">
        <f t="shared" ca="1" si="7"/>
        <v>Refresh the statement</v>
      </c>
      <c r="O462" s="86" t="str">
        <f ca="1">IF($A$458&lt;&gt;"","Blank row","")</f>
        <v>Blank row</v>
      </c>
    </row>
    <row r="463" spans="1:15">
      <c r="A463" s="857" t="str">
        <f ca="1">'All Statement of strategy (D)'!$I517</f>
        <v xml:space="preserve"> </v>
      </c>
      <c r="B463" s="857"/>
      <c r="C463" s="857"/>
      <c r="D463" s="857"/>
      <c r="E463" s="857"/>
      <c r="F463" s="857"/>
      <c r="G463" s="857"/>
      <c r="H463" s="857"/>
      <c r="I463" s="857"/>
      <c r="J463" s="857"/>
      <c r="K463" s="857"/>
      <c r="L463" s="857"/>
      <c r="N463" s="631" t="str">
        <f t="shared" ca="1" si="7"/>
        <v>Refresh the statement</v>
      </c>
    </row>
    <row r="464" spans="1:15">
      <c r="A464" s="857" t="str">
        <f ca="1">'All Statement of strategy (D)'!$I518</f>
        <v xml:space="preserve"> </v>
      </c>
      <c r="B464" s="857"/>
      <c r="C464" s="857"/>
      <c r="D464" s="857"/>
      <c r="E464" s="857"/>
      <c r="F464" s="857"/>
      <c r="G464" s="857"/>
      <c r="H464" s="857"/>
      <c r="I464" s="857"/>
      <c r="J464" s="857"/>
      <c r="K464" s="857"/>
      <c r="L464" s="857"/>
      <c r="N464" s="631" t="str">
        <f t="shared" ca="1" si="7"/>
        <v>Refresh the statement</v>
      </c>
    </row>
    <row r="465" spans="1:15">
      <c r="A465" s="857" t="str">
        <f ca="1">'All Statement of strategy (D)'!$I519</f>
        <v xml:space="preserve"> </v>
      </c>
      <c r="B465" s="857"/>
      <c r="C465" s="857"/>
      <c r="D465" s="857"/>
      <c r="E465" s="857"/>
      <c r="F465" s="857"/>
      <c r="G465" s="857"/>
      <c r="H465" s="857"/>
      <c r="I465" s="857"/>
      <c r="J465" s="857"/>
      <c r="K465" s="857"/>
      <c r="L465" s="857"/>
      <c r="N465" s="631" t="str">
        <f t="shared" ca="1" si="7"/>
        <v>Refresh the statement</v>
      </c>
    </row>
    <row r="466" spans="1:15">
      <c r="A466" s="857" t="str">
        <f ca="1">'All Statement of strategy (D)'!$I520</f>
        <v xml:space="preserve"> </v>
      </c>
      <c r="B466" s="857"/>
      <c r="C466" s="857"/>
      <c r="D466" s="857"/>
      <c r="E466" s="857"/>
      <c r="F466" s="857"/>
      <c r="G466" s="857"/>
      <c r="H466" s="857"/>
      <c r="I466" s="857"/>
      <c r="J466" s="857"/>
      <c r="K466" s="857"/>
      <c r="L466" s="857"/>
      <c r="N466" s="631" t="str">
        <f t="shared" ca="1" si="7"/>
        <v>Refresh the statement</v>
      </c>
    </row>
    <row r="467" spans="1:15">
      <c r="N467" s="631" t="str">
        <f t="shared" ca="1" si="7"/>
        <v>Refresh the statement</v>
      </c>
      <c r="O467" s="86" t="str">
        <f ca="1">IF($A$463&lt;&gt;"","Blank row","")</f>
        <v>Blank row</v>
      </c>
    </row>
    <row r="468" spans="1:15">
      <c r="A468" s="857" t="str">
        <f ca="1">'All Statement of strategy (D)'!$I521</f>
        <v xml:space="preserve"> </v>
      </c>
      <c r="B468" s="857"/>
      <c r="C468" s="857"/>
      <c r="D468" s="857"/>
      <c r="E468" s="857"/>
      <c r="F468" s="857"/>
      <c r="G468" s="857"/>
      <c r="H468" s="857"/>
      <c r="I468" s="857"/>
      <c r="J468" s="857"/>
      <c r="K468" s="857"/>
      <c r="L468" s="857"/>
      <c r="N468" s="631" t="str">
        <f t="shared" ca="1" si="7"/>
        <v>Refresh the statement</v>
      </c>
    </row>
    <row r="469" spans="1:15">
      <c r="A469" s="857" t="str">
        <f ca="1">'All Statement of strategy (D)'!$I522</f>
        <v xml:space="preserve"> </v>
      </c>
      <c r="B469" s="857"/>
      <c r="C469" s="857"/>
      <c r="D469" s="857"/>
      <c r="E469" s="857"/>
      <c r="F469" s="857"/>
      <c r="G469" s="857"/>
      <c r="H469" s="857"/>
      <c r="I469" s="857"/>
      <c r="J469" s="857"/>
      <c r="K469" s="857"/>
      <c r="L469" s="857"/>
      <c r="N469" s="631" t="str">
        <f t="shared" ca="1" si="7"/>
        <v>Refresh the statement</v>
      </c>
    </row>
    <row r="470" spans="1:15">
      <c r="N470" s="631" t="str">
        <f t="shared" ca="1" si="7"/>
        <v>Refresh the statement</v>
      </c>
      <c r="O470" s="86" t="str">
        <f ca="1">IF($A$468&lt;&gt;"","Blank row","")</f>
        <v>Blank row</v>
      </c>
    </row>
    <row r="471" spans="1:15">
      <c r="A471" s="857" t="str">
        <f ca="1">'All Statement of strategy (D)'!$I523</f>
        <v xml:space="preserve"> </v>
      </c>
      <c r="B471" s="857"/>
      <c r="C471" s="857"/>
      <c r="D471" s="857"/>
      <c r="E471" s="857"/>
      <c r="F471" s="857"/>
      <c r="G471" s="857"/>
      <c r="H471" s="857"/>
      <c r="I471" s="857"/>
      <c r="J471" s="857"/>
      <c r="K471" s="857"/>
      <c r="L471" s="857"/>
      <c r="N471" s="631" t="str">
        <f t="shared" ca="1" si="7"/>
        <v>Refresh the statement</v>
      </c>
    </row>
    <row r="472" spans="1:15">
      <c r="A472" s="857" t="str">
        <f ca="1">'All Statement of strategy (D)'!$I524&amp;'All Statement of strategy (D)'!$I525&amp;'All Statement of strategy (D)'!$I526&amp;'All Statement of strategy (D)'!$I527</f>
        <v xml:space="preserve">    </v>
      </c>
      <c r="B472" s="857"/>
      <c r="C472" s="857"/>
      <c r="D472" s="857"/>
      <c r="E472" s="857"/>
      <c r="F472" s="857"/>
      <c r="G472" s="857"/>
      <c r="H472" s="857"/>
      <c r="I472" s="857"/>
      <c r="J472" s="857"/>
      <c r="K472" s="857"/>
      <c r="L472" s="857"/>
      <c r="N472" s="631" t="str">
        <f t="shared" ca="1" si="7"/>
        <v>Refresh the statement</v>
      </c>
      <c r="O472" s="86" t="str">
        <f ca="1">'All Statement of strategy (D)'!$I524</f>
        <v xml:space="preserve"> </v>
      </c>
    </row>
    <row r="473" spans="1:15">
      <c r="A473" s="857"/>
      <c r="B473" s="857"/>
      <c r="C473" s="857"/>
      <c r="D473" s="857"/>
      <c r="E473" s="857"/>
      <c r="F473" s="857"/>
      <c r="G473" s="857"/>
      <c r="H473" s="857"/>
      <c r="I473" s="857"/>
      <c r="J473" s="857"/>
      <c r="K473" s="857"/>
      <c r="L473" s="857"/>
      <c r="N473" s="631" t="str">
        <f t="shared" ref="N473:N536" ca="1" si="8">IF(OR(A473&lt;&gt;"",B473&lt;&gt;"",C473&lt;&gt;"",D473&lt;&gt;"",E473&lt;&gt;"",F473&lt;&gt;"",G473&lt;&gt;"",H473&lt;&gt;"",I473&lt;&gt;"",J473&lt;&gt;"",K473&lt;&gt;"",L473&lt;&gt;"",M473&lt;&gt;"",O473&lt;&gt;""),"Refresh the statement","Scroll up and click refresh")</f>
        <v>Refresh the statement</v>
      </c>
      <c r="O473" s="86" t="str">
        <f ca="1">'All Statement of strategy (D)'!$I525</f>
        <v xml:space="preserve"> </v>
      </c>
    </row>
    <row r="474" spans="1:15">
      <c r="A474" s="857"/>
      <c r="B474" s="857"/>
      <c r="C474" s="857"/>
      <c r="D474" s="857"/>
      <c r="E474" s="857"/>
      <c r="F474" s="857"/>
      <c r="G474" s="857"/>
      <c r="H474" s="857"/>
      <c r="I474" s="857"/>
      <c r="J474" s="857"/>
      <c r="K474" s="857"/>
      <c r="L474" s="857"/>
      <c r="N474" s="631" t="str">
        <f t="shared" ca="1" si="8"/>
        <v>Refresh the statement</v>
      </c>
      <c r="O474" s="86" t="str">
        <f ca="1">'All Statement of strategy (D)'!$I526</f>
        <v xml:space="preserve"> </v>
      </c>
    </row>
    <row r="475" spans="1:15">
      <c r="A475" s="857"/>
      <c r="B475" s="857"/>
      <c r="C475" s="857"/>
      <c r="D475" s="857"/>
      <c r="E475" s="857"/>
      <c r="F475" s="857"/>
      <c r="G475" s="857"/>
      <c r="H475" s="857"/>
      <c r="I475" s="857"/>
      <c r="J475" s="857"/>
      <c r="K475" s="857"/>
      <c r="L475" s="857"/>
      <c r="N475" s="631" t="str">
        <f t="shared" ca="1" si="8"/>
        <v>Refresh the statement</v>
      </c>
      <c r="O475" s="86" t="str">
        <f ca="1">'All Statement of strategy (D)'!$I527</f>
        <v xml:space="preserve"> </v>
      </c>
    </row>
    <row r="476" spans="1:15">
      <c r="N476" s="631" t="str">
        <f t="shared" ca="1" si="8"/>
        <v>Refresh the statement</v>
      </c>
      <c r="O476" s="86" t="str">
        <f ca="1">IF($A$471&lt;&gt;"","Blank row","")</f>
        <v>Blank row</v>
      </c>
    </row>
    <row r="477" spans="1:15">
      <c r="A477" s="857" t="str">
        <f ca="1">'All Statement of strategy (D)'!$I528</f>
        <v xml:space="preserve"> </v>
      </c>
      <c r="B477" s="857"/>
      <c r="C477" s="857"/>
      <c r="D477" s="857"/>
      <c r="E477" s="857"/>
      <c r="F477" s="857"/>
      <c r="G477" s="857"/>
      <c r="H477" s="857"/>
      <c r="I477" s="857"/>
      <c r="J477" s="857"/>
      <c r="K477" s="857"/>
      <c r="L477" s="857"/>
      <c r="N477" s="631" t="str">
        <f t="shared" ca="1" si="8"/>
        <v>Refresh the statement</v>
      </c>
    </row>
    <row r="478" spans="1:15">
      <c r="N478" s="631" t="str">
        <f t="shared" ca="1" si="8"/>
        <v>Refresh the statement</v>
      </c>
      <c r="O478" s="86" t="str">
        <f ca="1">IF(A477&lt;&gt;"","Blank row","")</f>
        <v>Blank row</v>
      </c>
    </row>
    <row r="479" spans="1:15">
      <c r="A479" s="857" t="str">
        <f ca="1">'All Statement of strategy (D)'!$I529&amp;'All Statement of strategy (D)'!$I530&amp;'All Statement of strategy (D)'!$I531&amp;'All Statement of strategy (D)'!$I532</f>
        <v xml:space="preserve">    </v>
      </c>
      <c r="B479" s="857"/>
      <c r="C479" s="857"/>
      <c r="D479" s="857"/>
      <c r="E479" s="857"/>
      <c r="F479" s="857"/>
      <c r="G479" s="857"/>
      <c r="H479" s="857"/>
      <c r="I479" s="857"/>
      <c r="J479" s="857"/>
      <c r="K479" s="857"/>
      <c r="L479" s="857"/>
      <c r="N479" s="631" t="str">
        <f t="shared" ca="1" si="8"/>
        <v>Refresh the statement</v>
      </c>
      <c r="O479" s="86" t="str">
        <f ca="1">'All Statement of strategy (D)'!$I529</f>
        <v xml:space="preserve"> </v>
      </c>
    </row>
    <row r="480" spans="1:15">
      <c r="A480" s="857"/>
      <c r="B480" s="857"/>
      <c r="C480" s="857"/>
      <c r="D480" s="857"/>
      <c r="E480" s="857"/>
      <c r="F480" s="857"/>
      <c r="G480" s="857"/>
      <c r="H480" s="857"/>
      <c r="I480" s="857"/>
      <c r="J480" s="857"/>
      <c r="K480" s="857"/>
      <c r="L480" s="857"/>
      <c r="N480" s="631" t="str">
        <f t="shared" ca="1" si="8"/>
        <v>Refresh the statement</v>
      </c>
      <c r="O480" s="86" t="str">
        <f ca="1">'All Statement of strategy (D)'!$I530</f>
        <v xml:space="preserve"> </v>
      </c>
    </row>
    <row r="481" spans="1:15">
      <c r="A481" s="857"/>
      <c r="B481" s="857"/>
      <c r="C481" s="857"/>
      <c r="D481" s="857"/>
      <c r="E481" s="857"/>
      <c r="F481" s="857"/>
      <c r="G481" s="857"/>
      <c r="H481" s="857"/>
      <c r="I481" s="857"/>
      <c r="J481" s="857"/>
      <c r="K481" s="857"/>
      <c r="L481" s="857"/>
      <c r="N481" s="631" t="str">
        <f t="shared" ca="1" si="8"/>
        <v>Refresh the statement</v>
      </c>
      <c r="O481" s="86" t="str">
        <f ca="1">'All Statement of strategy (D)'!$I531</f>
        <v xml:space="preserve"> </v>
      </c>
    </row>
    <row r="482" spans="1:15">
      <c r="A482" s="857"/>
      <c r="B482" s="857"/>
      <c r="C482" s="857"/>
      <c r="D482" s="857"/>
      <c r="E482" s="857"/>
      <c r="F482" s="857"/>
      <c r="G482" s="857"/>
      <c r="H482" s="857"/>
      <c r="I482" s="857"/>
      <c r="J482" s="857"/>
      <c r="K482" s="857"/>
      <c r="L482" s="857"/>
      <c r="N482" s="631" t="str">
        <f t="shared" ca="1" si="8"/>
        <v>Refresh the statement</v>
      </c>
      <c r="O482" s="86" t="str">
        <f ca="1">'All Statement of strategy (D)'!$I532</f>
        <v xml:space="preserve"> </v>
      </c>
    </row>
    <row r="483" spans="1:15">
      <c r="N483" s="631" t="str">
        <f t="shared" ca="1" si="8"/>
        <v>Refresh the statement</v>
      </c>
      <c r="O483" s="86" t="str">
        <f ca="1">IF(A479&lt;&gt;"","Blank row","")</f>
        <v>Blank row</v>
      </c>
    </row>
    <row r="484" spans="1:15" ht="18">
      <c r="A484" s="865" t="str">
        <f ca="1">'All Statement of strategy (D)'!$I533</f>
        <v xml:space="preserve"> </v>
      </c>
      <c r="B484" s="865"/>
      <c r="C484" s="865"/>
      <c r="D484" s="865"/>
      <c r="E484" s="865"/>
      <c r="F484" s="865"/>
      <c r="G484" s="865"/>
      <c r="H484" s="865"/>
      <c r="I484" s="865"/>
      <c r="J484" s="865"/>
      <c r="K484" s="865"/>
      <c r="L484" s="865"/>
      <c r="N484" s="631" t="str">
        <f t="shared" ca="1" si="8"/>
        <v>Refresh the statement</v>
      </c>
    </row>
    <row r="485" spans="1:15">
      <c r="N485" s="631" t="str">
        <f t="shared" si="8"/>
        <v>Refresh the statement</v>
      </c>
      <c r="O485" s="86" t="s">
        <v>1500</v>
      </c>
    </row>
    <row r="486" spans="1:15">
      <c r="A486" s="857" t="str">
        <f ca="1">'All Statement of strategy (D)'!$I534</f>
        <v xml:space="preserve"> </v>
      </c>
      <c r="B486" s="857"/>
      <c r="C486" s="857"/>
      <c r="D486" s="857"/>
      <c r="E486" s="857"/>
      <c r="F486" s="857"/>
      <c r="G486" s="857"/>
      <c r="H486" s="857"/>
      <c r="I486" s="857"/>
      <c r="J486" s="857"/>
      <c r="K486" s="857"/>
      <c r="L486" s="857"/>
      <c r="N486" s="631" t="str">
        <f t="shared" ca="1" si="8"/>
        <v>Refresh the statement</v>
      </c>
      <c r="O486" s="86" t="str">
        <f ca="1">A486</f>
        <v xml:space="preserve"> </v>
      </c>
    </row>
    <row r="487" spans="1:15">
      <c r="N487" s="631" t="str">
        <f t="shared" si="8"/>
        <v>Refresh the statement</v>
      </c>
      <c r="O487" s="86" t="s">
        <v>1500</v>
      </c>
    </row>
    <row r="488" spans="1:15">
      <c r="A488" s="857" t="str">
        <f ca="1">_xlfn.TEXTJOIN("",TRUE,'All Statement of strategy (D)'!$I535,'All Statement of strategy (D)'!$I536)</f>
        <v xml:space="preserve">  </v>
      </c>
      <c r="B488" s="857"/>
      <c r="C488" s="857"/>
      <c r="D488" s="857"/>
      <c r="E488" s="857"/>
      <c r="F488" s="857"/>
      <c r="G488" s="857"/>
      <c r="H488" s="857"/>
      <c r="I488" s="857"/>
      <c r="J488" s="857"/>
      <c r="K488" s="857"/>
      <c r="L488" s="857"/>
      <c r="N488" s="631" t="str">
        <f t="shared" ca="1" si="8"/>
        <v>Refresh the statement</v>
      </c>
    </row>
    <row r="489" spans="1:15">
      <c r="N489" s="631" t="str">
        <f t="shared" ca="1" si="8"/>
        <v>Refresh the statement</v>
      </c>
      <c r="O489" s="86" t="str">
        <f ca="1">IF($A$488&lt;&gt;"","Blank row","")</f>
        <v>Blank row</v>
      </c>
    </row>
    <row r="490" spans="1:15">
      <c r="A490" s="857" t="str">
        <f ca="1">'All Statement of strategy (D)'!$I537&amp;'All Statement of strategy (D)'!$I538&amp;'All Statement of strategy (D)'!$I539&amp;'All Statement of strategy (D)'!$I540</f>
        <v xml:space="preserve">    </v>
      </c>
      <c r="B490" s="857"/>
      <c r="C490" s="857"/>
      <c r="D490" s="857"/>
      <c r="E490" s="857"/>
      <c r="F490" s="857"/>
      <c r="G490" s="857"/>
      <c r="H490" s="857"/>
      <c r="I490" s="857"/>
      <c r="J490" s="857"/>
      <c r="K490" s="857"/>
      <c r="L490" s="857"/>
      <c r="N490" s="631" t="str">
        <f t="shared" ca="1" si="8"/>
        <v>Refresh the statement</v>
      </c>
      <c r="O490" s="86" t="str">
        <f ca="1">'All Statement of strategy (D)'!$I537</f>
        <v xml:space="preserve"> </v>
      </c>
    </row>
    <row r="491" spans="1:15">
      <c r="A491" s="857"/>
      <c r="B491" s="857"/>
      <c r="C491" s="857"/>
      <c r="D491" s="857"/>
      <c r="E491" s="857"/>
      <c r="F491" s="857"/>
      <c r="G491" s="857"/>
      <c r="H491" s="857"/>
      <c r="I491" s="857"/>
      <c r="J491" s="857"/>
      <c r="K491" s="857"/>
      <c r="L491" s="857"/>
      <c r="N491" s="631" t="str">
        <f t="shared" ca="1" si="8"/>
        <v>Refresh the statement</v>
      </c>
      <c r="O491" s="86" t="str">
        <f ca="1">'All Statement of strategy (D)'!$I538</f>
        <v xml:space="preserve"> </v>
      </c>
    </row>
    <row r="492" spans="1:15">
      <c r="A492" s="857"/>
      <c r="B492" s="857"/>
      <c r="C492" s="857"/>
      <c r="D492" s="857"/>
      <c r="E492" s="857"/>
      <c r="F492" s="857"/>
      <c r="G492" s="857"/>
      <c r="H492" s="857"/>
      <c r="I492" s="857"/>
      <c r="J492" s="857"/>
      <c r="K492" s="857"/>
      <c r="L492" s="857"/>
      <c r="N492" s="631" t="str">
        <f t="shared" ca="1" si="8"/>
        <v>Refresh the statement</v>
      </c>
      <c r="O492" s="86" t="str">
        <f ca="1">'All Statement of strategy (D)'!$I539</f>
        <v xml:space="preserve"> </v>
      </c>
    </row>
    <row r="493" spans="1:15">
      <c r="A493" s="857"/>
      <c r="B493" s="857"/>
      <c r="C493" s="857"/>
      <c r="D493" s="857"/>
      <c r="E493" s="857"/>
      <c r="F493" s="857"/>
      <c r="G493" s="857"/>
      <c r="H493" s="857"/>
      <c r="I493" s="857"/>
      <c r="J493" s="857"/>
      <c r="K493" s="857"/>
      <c r="L493" s="857"/>
      <c r="N493" s="631" t="str">
        <f t="shared" ca="1" si="8"/>
        <v>Refresh the statement</v>
      </c>
      <c r="O493" s="86" t="str">
        <f ca="1">'All Statement of strategy (D)'!$I540</f>
        <v xml:space="preserve"> </v>
      </c>
    </row>
    <row r="494" spans="1:15">
      <c r="N494" s="631" t="str">
        <f t="shared" ca="1" si="8"/>
        <v>Refresh the statement</v>
      </c>
      <c r="O494" s="86" t="str">
        <f ca="1">IF(A490&lt;&gt;"","Blank row","")</f>
        <v>Blank row</v>
      </c>
    </row>
    <row r="495" spans="1:15" ht="23">
      <c r="A495" s="871" t="str">
        <f ca="1">'All Statement of strategy (D)'!$I541</f>
        <v xml:space="preserve"> </v>
      </c>
      <c r="B495" s="871"/>
      <c r="C495" s="871"/>
      <c r="D495" s="871"/>
      <c r="E495" s="871"/>
      <c r="F495" s="871"/>
      <c r="G495" s="871"/>
      <c r="H495" s="871"/>
      <c r="I495" s="871"/>
      <c r="J495" s="871"/>
      <c r="K495" s="871"/>
      <c r="L495" s="871"/>
      <c r="N495" s="631" t="str">
        <f t="shared" ca="1" si="8"/>
        <v>Refresh the statement</v>
      </c>
    </row>
    <row r="496" spans="1:15">
      <c r="N496" s="631" t="str">
        <f t="shared" si="8"/>
        <v>Refresh the statement</v>
      </c>
      <c r="O496" s="86" t="s">
        <v>1500</v>
      </c>
    </row>
    <row r="497" spans="1:15" ht="18">
      <c r="A497" s="865" t="str">
        <f ca="1">'All Statement of strategy (D)'!$I542</f>
        <v xml:space="preserve"> </v>
      </c>
      <c r="B497" s="865"/>
      <c r="C497" s="865"/>
      <c r="D497" s="865"/>
      <c r="E497" s="865"/>
      <c r="F497" s="865"/>
      <c r="G497" s="865"/>
      <c r="H497" s="865"/>
      <c r="I497" s="865"/>
      <c r="J497" s="865"/>
      <c r="K497" s="865"/>
      <c r="L497" s="865"/>
      <c r="N497" s="631" t="str">
        <f t="shared" ca="1" si="8"/>
        <v>Refresh the statement</v>
      </c>
    </row>
    <row r="498" spans="1:15">
      <c r="N498" s="631" t="str">
        <f t="shared" si="8"/>
        <v>Refresh the statement</v>
      </c>
      <c r="O498" s="86" t="s">
        <v>1500</v>
      </c>
    </row>
    <row r="499" spans="1:15" ht="31">
      <c r="A499" s="857" t="str">
        <f ca="1">_xlfn.TEXTJOIN("
",TRUE,'All Statement of strategy (D)'!$I543,'All Statement of strategy (D)'!$I558,'All Statement of strategy (D)'!$I582)</f>
        <v xml:space="preserve"> 
 </v>
      </c>
      <c r="B499" s="857"/>
      <c r="C499" s="857"/>
      <c r="D499" s="857"/>
      <c r="E499" s="857"/>
      <c r="F499" s="857"/>
      <c r="G499" s="857"/>
      <c r="H499" s="857"/>
      <c r="I499" s="857"/>
      <c r="J499" s="857"/>
      <c r="K499" s="857"/>
      <c r="L499" s="857"/>
      <c r="N499" s="631" t="str">
        <f t="shared" ca="1" si="8"/>
        <v>Refresh the statement</v>
      </c>
      <c r="O499" s="86" t="str">
        <f ca="1">A499</f>
        <v xml:space="preserve"> 
 </v>
      </c>
    </row>
    <row r="500" spans="1:15">
      <c r="N500" s="631" t="str">
        <f t="shared" si="8"/>
        <v>Refresh the statement</v>
      </c>
      <c r="O500" s="86" t="s">
        <v>1500</v>
      </c>
    </row>
    <row r="501" spans="1:15" ht="31">
      <c r="A501" s="857" t="str">
        <f ca="1">'All Statement of strategy (D)'!$I544&amp;'All Statement of strategy (D)'!$I545&amp;'All Statement of strategy (D)'!$I546&amp;'All Statement of strategy (D)'!$I547&amp;'All Statement of strategy (D)'!$I559&amp;'All Statement of strategy (D)'!$I560&amp;'All Statement of strategy (D)'!$I561&amp;'All Statement of strategy (D)'!$I562&amp;'All Statement of strategy (D)'!$I583&amp;'All Statement of strategy (D)'!$I584&amp;'All Statement of strategy (D)'!$I585&amp;'All Statement of strategy (D)'!$I586</f>
        <v xml:space="preserve">            </v>
      </c>
      <c r="B501" s="857"/>
      <c r="C501" s="857"/>
      <c r="D501" s="857"/>
      <c r="E501" s="857"/>
      <c r="F501" s="857"/>
      <c r="G501" s="857"/>
      <c r="H501" s="857"/>
      <c r="I501" s="857"/>
      <c r="J501" s="857"/>
      <c r="K501" s="857"/>
      <c r="L501" s="857"/>
      <c r="N501" s="631" t="str">
        <f t="shared" ca="1" si="8"/>
        <v>Refresh the statement</v>
      </c>
      <c r="O501" s="86" t="str">
        <f ca="1">_xlfn.TEXTJOIN("
",TRUE,'All Statement of strategy (D)'!$I544,'All Statement of strategy (D)'!$I559,'All Statement of strategy (D)'!$I583)</f>
        <v xml:space="preserve"> 
 </v>
      </c>
    </row>
    <row r="502" spans="1:15" ht="31">
      <c r="A502" s="857"/>
      <c r="B502" s="857"/>
      <c r="C502" s="857"/>
      <c r="D502" s="857"/>
      <c r="E502" s="857"/>
      <c r="F502" s="857"/>
      <c r="G502" s="857"/>
      <c r="H502" s="857"/>
      <c r="I502" s="857"/>
      <c r="J502" s="857"/>
      <c r="K502" s="857"/>
      <c r="L502" s="857"/>
      <c r="N502" s="631" t="str">
        <f t="shared" ca="1" si="8"/>
        <v>Refresh the statement</v>
      </c>
      <c r="O502" s="86" t="str">
        <f ca="1">_xlfn.TEXTJOIN("
",TRUE,'All Statement of strategy (D)'!$I545,'All Statement of strategy (D)'!$I560,'All Statement of strategy (D)'!$I584)</f>
        <v xml:space="preserve"> 
 </v>
      </c>
    </row>
    <row r="503" spans="1:15" ht="31">
      <c r="A503" s="857"/>
      <c r="B503" s="857"/>
      <c r="C503" s="857"/>
      <c r="D503" s="857"/>
      <c r="E503" s="857"/>
      <c r="F503" s="857"/>
      <c r="G503" s="857"/>
      <c r="H503" s="857"/>
      <c r="I503" s="857"/>
      <c r="J503" s="857"/>
      <c r="K503" s="857"/>
      <c r="L503" s="857"/>
      <c r="N503" s="631" t="str">
        <f t="shared" ca="1" si="8"/>
        <v>Refresh the statement</v>
      </c>
      <c r="O503" s="86" t="str">
        <f ca="1">_xlfn.TEXTJOIN("
",TRUE,'All Statement of strategy (D)'!$I546,'All Statement of strategy (D)'!$I561,'All Statement of strategy (D)'!$I585)</f>
        <v xml:space="preserve"> 
 </v>
      </c>
    </row>
    <row r="504" spans="1:15" ht="31">
      <c r="A504" s="857"/>
      <c r="B504" s="857"/>
      <c r="C504" s="857"/>
      <c r="D504" s="857"/>
      <c r="E504" s="857"/>
      <c r="F504" s="857"/>
      <c r="G504" s="857"/>
      <c r="H504" s="857"/>
      <c r="I504" s="857"/>
      <c r="J504" s="857"/>
      <c r="K504" s="857"/>
      <c r="L504" s="857"/>
      <c r="N504" s="631" t="str">
        <f t="shared" ca="1" si="8"/>
        <v>Refresh the statement</v>
      </c>
      <c r="O504" s="86" t="str">
        <f ca="1">_xlfn.TEXTJOIN("
",TRUE,'All Statement of strategy (D)'!$I547,'All Statement of strategy (D)'!$I562,'All Statement of strategy (D)'!$I586)</f>
        <v xml:space="preserve"> 
 </v>
      </c>
    </row>
    <row r="505" spans="1:15">
      <c r="N505" s="631" t="str">
        <f t="shared" ca="1" si="8"/>
        <v>Refresh the statement</v>
      </c>
      <c r="O505" s="86" t="str">
        <f ca="1">IF(OR(A501&lt;&gt;""),"Blank row","")</f>
        <v>Blank row</v>
      </c>
    </row>
    <row r="506" spans="1:15">
      <c r="A506" s="857" t="str">
        <f ca="1">_xlfn.TEXTJOIN("",TRUE,'All Statement of strategy (D)'!$I548,'All Statement of strategy (D)'!$I549,'All Statement of strategy (D)'!$I563,'All Statement of strategy (D)'!$I564,'All Statement of strategy (D)'!$I587,'All Statement of strategy (D)'!$I588,'All Statement of strategy (D)'!$I600,'All Statement of strategy (D)'!$I601,'All Statement of strategy (D)'!$I622,'All Statement of strategy (D)'!$I623)</f>
        <v xml:space="preserve">          </v>
      </c>
      <c r="B506" s="857"/>
      <c r="C506" s="857"/>
      <c r="D506" s="857"/>
      <c r="E506" s="857"/>
      <c r="F506" s="857"/>
      <c r="G506" s="857"/>
      <c r="H506" s="857"/>
      <c r="I506" s="857"/>
      <c r="J506" s="857"/>
      <c r="K506" s="857"/>
      <c r="L506" s="857"/>
      <c r="N506" s="631" t="str">
        <f t="shared" ca="1" si="8"/>
        <v>Refresh the statement</v>
      </c>
      <c r="O506" s="86" t="str">
        <f ca="1">A506</f>
        <v xml:space="preserve">          </v>
      </c>
    </row>
    <row r="507" spans="1:15">
      <c r="A507" s="857" t="str">
        <f ca="1">'All Statement of strategy (D)'!$I550&amp;'All Statement of strategy (D)'!$I551&amp;'All Statement of strategy (D)'!$I552&amp;'All Statement of strategy (D)'!$I553&amp;'All Statement of strategy (D)'!$I565&amp;'All Statement of strategy (D)'!$I566&amp;'All Statement of strategy (D)'!$I567&amp;'All Statement of strategy (D)'!$I568&amp;'All Statement of strategy (D)'!$I589&amp;'All Statement of strategy (D)'!$I590&amp;'All Statement of strategy (D)'!$I591&amp;'All Statement of strategy (D)'!$I592&amp;'All Statement of strategy (D)'!$I602&amp;'All Statement of strategy (D)'!$I603&amp;'All Statement of strategy (D)'!$I604&amp;'All Statement of strategy (D)'!$I605&amp;'All Statement of strategy (D)'!$I624&amp;'All Statement of strategy (D)'!$I625&amp;'All Statement of strategy (D)'!$I626&amp;'All Statement of strategy (D)'!$I627</f>
        <v xml:space="preserve">                    </v>
      </c>
      <c r="B507" s="857"/>
      <c r="C507" s="857"/>
      <c r="D507" s="857"/>
      <c r="E507" s="857"/>
      <c r="F507" s="857"/>
      <c r="G507" s="857"/>
      <c r="H507" s="857"/>
      <c r="I507" s="857"/>
      <c r="J507" s="857"/>
      <c r="K507" s="857"/>
      <c r="L507" s="857"/>
      <c r="N507" s="631" t="str">
        <f t="shared" ca="1" si="8"/>
        <v>Refresh the statement</v>
      </c>
      <c r="O507" s="86" t="str">
        <f ca="1">_xlfn.TEXTJOIN("",TRUE,'All Statement of strategy (D)'!$I550,'All Statement of strategy (D)'!$I565,'All Statement of strategy (D)'!$I589,'All Statement of strategy (D)'!$I602,'All Statement of strategy (D)'!$I624)</f>
        <v xml:space="preserve">     </v>
      </c>
    </row>
    <row r="508" spans="1:15">
      <c r="A508" s="857"/>
      <c r="B508" s="857"/>
      <c r="C508" s="857"/>
      <c r="D508" s="857"/>
      <c r="E508" s="857"/>
      <c r="F508" s="857"/>
      <c r="G508" s="857"/>
      <c r="H508" s="857"/>
      <c r="I508" s="857"/>
      <c r="J508" s="857"/>
      <c r="K508" s="857"/>
      <c r="L508" s="857"/>
      <c r="N508" s="631" t="str">
        <f t="shared" ca="1" si="8"/>
        <v>Refresh the statement</v>
      </c>
      <c r="O508" s="86" t="str">
        <f ca="1">_xlfn.TEXTJOIN("",TRUE,'All Statement of strategy (D)'!$I551,'All Statement of strategy (D)'!$I566,'All Statement of strategy (D)'!$I590,'All Statement of strategy (D)'!$I603,'All Statement of strategy (D)'!$I625)</f>
        <v xml:space="preserve">     </v>
      </c>
    </row>
    <row r="509" spans="1:15">
      <c r="A509" s="857"/>
      <c r="B509" s="857"/>
      <c r="C509" s="857"/>
      <c r="D509" s="857"/>
      <c r="E509" s="857"/>
      <c r="F509" s="857"/>
      <c r="G509" s="857"/>
      <c r="H509" s="857"/>
      <c r="I509" s="857"/>
      <c r="J509" s="857"/>
      <c r="K509" s="857"/>
      <c r="L509" s="857"/>
      <c r="N509" s="631" t="str">
        <f t="shared" ca="1" si="8"/>
        <v>Refresh the statement</v>
      </c>
      <c r="O509" s="86" t="str">
        <f ca="1">_xlfn.TEXTJOIN("",TRUE,'All Statement of strategy (D)'!$I552,'All Statement of strategy (D)'!$I567,'All Statement of strategy (D)'!$I591,'All Statement of strategy (D)'!$I604,'All Statement of strategy (D)'!$I626)</f>
        <v xml:space="preserve">     </v>
      </c>
    </row>
    <row r="510" spans="1:15">
      <c r="A510" s="857"/>
      <c r="B510" s="857"/>
      <c r="C510" s="857"/>
      <c r="D510" s="857"/>
      <c r="E510" s="857"/>
      <c r="F510" s="857"/>
      <c r="G510" s="857"/>
      <c r="H510" s="857"/>
      <c r="I510" s="857"/>
      <c r="J510" s="857"/>
      <c r="K510" s="857"/>
      <c r="L510" s="857"/>
      <c r="N510" s="631" t="str">
        <f t="shared" ca="1" si="8"/>
        <v>Refresh the statement</v>
      </c>
      <c r="O510" s="86" t="str">
        <f ca="1">_xlfn.TEXTJOIN("",TRUE,'All Statement of strategy (D)'!$I553,'All Statement of strategy (D)'!$I568,'All Statement of strategy (D)'!$I592,'All Statement of strategy (D)'!$I605,'All Statement of strategy (D)'!$I627)</f>
        <v xml:space="preserve">     </v>
      </c>
    </row>
    <row r="511" spans="1:15" ht="17.5">
      <c r="A511" s="91"/>
      <c r="B511" s="91"/>
      <c r="C511" s="91"/>
      <c r="D511" s="91"/>
      <c r="E511" s="91"/>
      <c r="F511" s="91"/>
      <c r="G511" s="91"/>
      <c r="H511" s="91"/>
      <c r="I511" s="91"/>
      <c r="J511" s="91"/>
      <c r="K511" s="91"/>
      <c r="L511" s="91"/>
      <c r="N511" s="631" t="str">
        <f t="shared" ca="1" si="8"/>
        <v>Refresh the statement</v>
      </c>
      <c r="O511" s="86" t="str">
        <f ca="1">IF(OR(A506&lt;&gt;"",A507&lt;&gt;""),"Blank row","")</f>
        <v>Blank row</v>
      </c>
    </row>
    <row r="512" spans="1:15">
      <c r="A512" s="857" t="str">
        <f ca="1">_xlfn.TEXTJOIN("",TRUE,'All Statement of strategy (D)'!$I569,'All Statement of strategy (D)'!$I593,'All Statement of strategy (D)'!$I606,'All Statement of strategy (D)'!$I628)</f>
        <v xml:space="preserve">    </v>
      </c>
      <c r="B512" s="857"/>
      <c r="C512" s="857"/>
      <c r="D512" s="857"/>
      <c r="E512" s="857"/>
      <c r="F512" s="857"/>
      <c r="G512" s="857"/>
      <c r="H512" s="857"/>
      <c r="I512" s="857"/>
      <c r="J512" s="857"/>
      <c r="K512" s="857"/>
      <c r="L512" s="857"/>
      <c r="N512" s="631" t="str">
        <f t="shared" ca="1" si="8"/>
        <v>Refresh the statement</v>
      </c>
    </row>
    <row r="513" spans="1:15">
      <c r="N513" s="631" t="str">
        <f t="shared" ca="1" si="8"/>
        <v>Refresh the statement</v>
      </c>
      <c r="O513" s="86" t="str">
        <f ca="1">IF($A$512&lt;&gt;"","Blank row","")</f>
        <v>Blank row</v>
      </c>
    </row>
    <row r="514" spans="1:15" ht="310">
      <c r="A514" s="857" t="str">
        <f ca="1">_xlfn.TEXTJOIN("
",TRUE,'All Statement of strategy (D)'!$I554,'All Statement of strategy (D)'!$I555,'All Statement of strategy (D)'!$I556,'All Statement of strategy (D)'!$I557,'All Statement of strategy (D)'!$I570,'All Statement of strategy (D)'!$I571,'All Statement of strategy (D)'!$I572,'All Statement of strategy (D)'!$I573,'All Statement of strategy (D)'!$I594,'All Statement of strategy (D)'!$I595,'All Statement of strategy (D)'!$I596,'All Statement of strategy (D)'!$I597,'All Statement of strategy (D)'!$I598,'All Statement of strategy (D)'!$I607,'All Statement of strategy (D)'!$I608,'All Statement of strategy (D)'!$I609,'All Statement of strategy (D)'!$I610,'All Statement of strategy (D)'!$I629,'All Statement of strategy (D)'!$I630,'All Statement of strategy (D)'!$I631,'All Statement of strategy (D)'!$I632)</f>
        <v xml:space="preserve"> 
 </v>
      </c>
      <c r="B514" s="857"/>
      <c r="C514" s="857"/>
      <c r="D514" s="857"/>
      <c r="E514" s="857"/>
      <c r="F514" s="857"/>
      <c r="G514" s="857"/>
      <c r="H514" s="857"/>
      <c r="I514" s="857"/>
      <c r="J514" s="857"/>
      <c r="K514" s="857"/>
      <c r="L514" s="857"/>
      <c r="N514" s="631" t="str">
        <f t="shared" ca="1" si="8"/>
        <v>Refresh the statement</v>
      </c>
      <c r="O514" s="86" t="str">
        <f ca="1">A514</f>
        <v xml:space="preserve"> 
 </v>
      </c>
    </row>
    <row r="515" spans="1:15">
      <c r="N515" s="631" t="str">
        <f t="shared" ca="1" si="8"/>
        <v>Refresh the statement</v>
      </c>
      <c r="O515" s="86" t="str">
        <f ca="1">IF($A$514&lt;&gt;"","Blank row","")</f>
        <v>Blank row</v>
      </c>
    </row>
    <row r="516" spans="1:15">
      <c r="A516" s="857" t="str">
        <f ca="1">_xlfn.TEXTJOIN("",TRUE,'All Statement of strategy (D)'!$I574,'All Statement of strategy (D)'!$I611,'All Statement of strategy (D)'!$I633)</f>
        <v xml:space="preserve">   </v>
      </c>
      <c r="B516" s="857"/>
      <c r="C516" s="857"/>
      <c r="D516" s="857"/>
      <c r="E516" s="857"/>
      <c r="F516" s="857"/>
      <c r="G516" s="857"/>
      <c r="H516" s="857"/>
      <c r="I516" s="857"/>
      <c r="J516" s="857"/>
      <c r="K516" s="857"/>
      <c r="L516" s="857"/>
      <c r="N516" s="631" t="str">
        <f t="shared" ca="1" si="8"/>
        <v>Refresh the statement</v>
      </c>
    </row>
    <row r="517" spans="1:15">
      <c r="N517" s="631" t="str">
        <f t="shared" ca="1" si="8"/>
        <v>Refresh the statement</v>
      </c>
      <c r="O517" s="86" t="str">
        <f ca="1">IF(A516&lt;&gt;"","Blank row","")</f>
        <v>Blank row</v>
      </c>
    </row>
    <row r="518" spans="1:15">
      <c r="B518" s="396"/>
      <c r="C518" s="396"/>
      <c r="D518" s="396"/>
      <c r="E518" s="877" t="str">
        <f ca="1">_xlfn.TEXTJOIN("",TRUE,'All Statement of strategy (D)'!$I575,'All Statement of strategy (D)'!$I612,'All Statement of strategy (D)'!$I634)</f>
        <v xml:space="preserve">   </v>
      </c>
      <c r="F518" s="877"/>
      <c r="G518" s="877" t="str">
        <f ca="1">_xlfn.TEXTJOIN("",TRUE,'All Statement of strategy (D)'!$I576,'All Statement of strategy (D)'!$I613,'All Statement of strategy (D)'!$I635)</f>
        <v xml:space="preserve">   </v>
      </c>
      <c r="H518" s="877"/>
      <c r="I518" s="396"/>
      <c r="J518" s="396"/>
      <c r="K518" s="396"/>
      <c r="L518" s="396"/>
      <c r="M518" s="396"/>
      <c r="N518" s="631" t="str">
        <f t="shared" ca="1" si="8"/>
        <v>Refresh the statement</v>
      </c>
    </row>
    <row r="519" spans="1:15">
      <c r="A519" s="857" t="str">
        <f ca="1">_xlfn.TEXTJOIN("",TRUE,'All Statement of strategy (D)'!$I577,'All Statement of strategy (D)'!$I614,'All Statement of strategy (D)'!$I636)</f>
        <v xml:space="preserve">   </v>
      </c>
      <c r="B519" s="857"/>
      <c r="C519" s="857"/>
      <c r="D519" s="857"/>
      <c r="E519" s="880" t="str">
        <f ca="1">_xlfn.TEXTJOIN("",TRUE,'All Statement of strategy (D)'!$I579,'All Statement of strategy (D)'!$I617,'All Statement of strategy (D)'!$I639)</f>
        <v xml:space="preserve">   </v>
      </c>
      <c r="F519" s="880"/>
      <c r="G519" s="867" t="str">
        <f ca="1">_xlfn.TEXTJOIN("",TRUE,'All Statement of strategy (D)'!$I581,'All Statement of strategy (D)'!$I620,'All Statement of strategy (D)'!$I642)</f>
        <v xml:space="preserve">   </v>
      </c>
      <c r="H519" s="867"/>
      <c r="I519" s="530"/>
      <c r="J519" s="396"/>
      <c r="K519" s="396"/>
      <c r="L519" s="530"/>
      <c r="M519" s="530"/>
      <c r="N519" s="631" t="str">
        <f t="shared" ca="1" si="8"/>
        <v>Refresh the statement</v>
      </c>
    </row>
    <row r="520" spans="1:15">
      <c r="A520" s="857" t="str">
        <f ca="1">_xlfn.TEXTJOIN("",TRUE,'All Statement of strategy (D)'!$I578,'All Statement of strategy (D)'!$I615,'All Statement of strategy (D)'!$I637)</f>
        <v xml:space="preserve">   </v>
      </c>
      <c r="B520" s="857"/>
      <c r="C520" s="857"/>
      <c r="D520" s="857"/>
      <c r="E520" s="880" t="str">
        <f ca="1">_xlfn.TEXTJOIN("",TRUE,'All Statement of strategy (D)'!$I580,'All Statement of strategy (D)'!$I618,'All Statement of strategy (D)'!$I640)</f>
        <v xml:space="preserve">   </v>
      </c>
      <c r="F520" s="880"/>
      <c r="G520" s="867"/>
      <c r="H520" s="867"/>
      <c r="I520" s="530"/>
      <c r="J520" s="396"/>
      <c r="K520" s="396"/>
      <c r="L520" s="530"/>
      <c r="M520" s="530"/>
      <c r="N520" s="631" t="str">
        <f t="shared" ca="1" si="8"/>
        <v>Refresh the statement</v>
      </c>
    </row>
    <row r="521" spans="1:15">
      <c r="A521" s="857" t="str">
        <f ca="1">_xlfn.TEXTJOIN("",TRUE,'All Statement of strategy (D)'!$I616,'All Statement of strategy (D)'!$I638)</f>
        <v xml:space="preserve">  </v>
      </c>
      <c r="B521" s="857"/>
      <c r="C521" s="857"/>
      <c r="D521" s="857"/>
      <c r="E521" s="880" t="str">
        <f ca="1">_xlfn.TEXTJOIN("",TRUE,'All Statement of strategy (D)'!$I619,'All Statement of strategy (D)'!$I641)</f>
        <v xml:space="preserve">  </v>
      </c>
      <c r="F521" s="880"/>
      <c r="G521" s="530"/>
      <c r="H521" s="530"/>
      <c r="I521" s="530"/>
      <c r="J521" s="396"/>
      <c r="K521" s="396"/>
      <c r="L521" s="530"/>
      <c r="M521" s="530"/>
      <c r="N521" s="631" t="str">
        <f t="shared" ca="1" si="8"/>
        <v>Refresh the statement</v>
      </c>
    </row>
    <row r="522" spans="1:15">
      <c r="D522" s="435"/>
      <c r="E522" s="435"/>
      <c r="N522" s="631" t="str">
        <f t="shared" ca="1" si="8"/>
        <v>Refresh the statement</v>
      </c>
      <c r="O522" s="86" t="str">
        <f ca="1">IF(E518&lt;&gt;"","Blank row","")</f>
        <v>Blank row</v>
      </c>
    </row>
    <row r="523" spans="1:15" ht="18">
      <c r="A523" s="865" t="str">
        <f ca="1">'All Statement of strategy (D)'!$I643</f>
        <v xml:space="preserve"> </v>
      </c>
      <c r="B523" s="865"/>
      <c r="C523" s="865"/>
      <c r="D523" s="865"/>
      <c r="E523" s="865"/>
      <c r="F523" s="865"/>
      <c r="G523" s="865"/>
      <c r="H523" s="865"/>
      <c r="I523" s="865"/>
      <c r="J523" s="865"/>
      <c r="K523" s="865"/>
      <c r="L523" s="865"/>
      <c r="N523" s="631" t="str">
        <f t="shared" ca="1" si="8"/>
        <v>Refresh the statement</v>
      </c>
    </row>
    <row r="524" spans="1:15">
      <c r="N524" s="631" t="str">
        <f t="shared" ca="1" si="8"/>
        <v>Refresh the statement</v>
      </c>
      <c r="O524" s="86" t="str">
        <f ca="1">IF(A523&lt;&gt;"","Blank row","")</f>
        <v>Blank row</v>
      </c>
    </row>
    <row r="525" spans="1:15">
      <c r="A525" s="857" t="str">
        <f ca="1">'All Statement of strategy (D)'!$I644</f>
        <v xml:space="preserve"> </v>
      </c>
      <c r="B525" s="857"/>
      <c r="C525" s="857"/>
      <c r="D525" s="857"/>
      <c r="E525" s="857"/>
      <c r="F525" s="857"/>
      <c r="G525" s="857"/>
      <c r="H525" s="857"/>
      <c r="I525" s="857"/>
      <c r="J525" s="857"/>
      <c r="K525" s="857"/>
      <c r="L525" s="857"/>
      <c r="N525" s="631" t="str">
        <f t="shared" ca="1" si="8"/>
        <v>Refresh the statement</v>
      </c>
    </row>
    <row r="526" spans="1:15" hidden="1">
      <c r="N526" s="631" t="str">
        <f t="shared" si="8"/>
        <v>Scroll up and click refresh</v>
      </c>
    </row>
    <row r="527" spans="1:15" ht="62">
      <c r="A527" s="857" t="str">
        <f ca="1">_xlfn.TEXTJOIN("
",TRUE,'All Statement of strategy (D)'!$I645,'All Statement of strategy (D)'!$I646,'All Statement of strategy (D)'!$I647,'All Statement of strategy (D)'!$I648,'All Statement of strategy (D)'!$I649)</f>
        <v xml:space="preserve"> 
 </v>
      </c>
      <c r="B527" s="857"/>
      <c r="C527" s="857"/>
      <c r="D527" s="857"/>
      <c r="E527" s="857"/>
      <c r="F527" s="857"/>
      <c r="G527" s="857"/>
      <c r="H527" s="857"/>
      <c r="I527" s="857"/>
      <c r="J527" s="857"/>
      <c r="K527" s="857"/>
      <c r="L527" s="857"/>
      <c r="N527" s="631" t="str">
        <f t="shared" ca="1" si="8"/>
        <v>Refresh the statement</v>
      </c>
      <c r="O527" s="86" t="str">
        <f ca="1">A527</f>
        <v xml:space="preserve"> 
 </v>
      </c>
    </row>
    <row r="528" spans="1:15">
      <c r="N528" s="631" t="str">
        <f t="shared" ca="1" si="8"/>
        <v>Refresh the statement</v>
      </c>
      <c r="O528" s="86" t="str">
        <f ca="1">IF(A527&lt;&gt;"","Blank row","")</f>
        <v>Blank row</v>
      </c>
    </row>
    <row r="529" spans="1:15">
      <c r="A529" s="857" t="str">
        <f ca="1">'All Statement of strategy (D)'!$I650</f>
        <v xml:space="preserve"> </v>
      </c>
      <c r="B529" s="857"/>
      <c r="C529" s="857"/>
      <c r="D529" s="857"/>
      <c r="E529" s="857"/>
      <c r="F529" s="857"/>
      <c r="G529" s="857"/>
      <c r="H529" s="857"/>
      <c r="I529" s="857"/>
      <c r="J529" s="857"/>
      <c r="K529" s="857"/>
      <c r="L529" s="857"/>
      <c r="N529" s="631" t="str">
        <f t="shared" ca="1" si="8"/>
        <v>Refresh the statement</v>
      </c>
    </row>
    <row r="530" spans="1:15">
      <c r="A530" s="857" t="str">
        <f ca="1">'All Statement of strategy (D)'!$I651</f>
        <v xml:space="preserve"> </v>
      </c>
      <c r="B530" s="857"/>
      <c r="C530" s="857"/>
      <c r="D530" s="857"/>
      <c r="E530" s="857"/>
      <c r="F530" s="857"/>
      <c r="G530" s="857"/>
      <c r="H530" s="857"/>
      <c r="I530" s="857"/>
      <c r="J530" s="857"/>
      <c r="K530" s="857"/>
      <c r="L530" s="857"/>
      <c r="N530" s="631" t="str">
        <f t="shared" ca="1" si="8"/>
        <v>Refresh the statement</v>
      </c>
    </row>
    <row r="531" spans="1:15">
      <c r="A531" s="857" t="str">
        <f ca="1">'All Statement of strategy (D)'!$I652</f>
        <v xml:space="preserve"> </v>
      </c>
      <c r="B531" s="857"/>
      <c r="C531" s="857"/>
      <c r="D531" s="857"/>
      <c r="E531" s="857"/>
      <c r="F531" s="857"/>
      <c r="G531" s="857"/>
      <c r="H531" s="857"/>
      <c r="I531" s="857"/>
      <c r="J531" s="857"/>
      <c r="K531" s="857"/>
      <c r="L531" s="857"/>
      <c r="N531" s="631" t="str">
        <f t="shared" ca="1" si="8"/>
        <v>Refresh the statement</v>
      </c>
    </row>
    <row r="532" spans="1:15">
      <c r="A532" s="857" t="str">
        <f ca="1">'All Statement of strategy (D)'!$I653</f>
        <v xml:space="preserve"> </v>
      </c>
      <c r="B532" s="857"/>
      <c r="C532" s="857"/>
      <c r="D532" s="857"/>
      <c r="E532" s="857"/>
      <c r="F532" s="857"/>
      <c r="G532" s="857"/>
      <c r="H532" s="857"/>
      <c r="I532" s="857"/>
      <c r="J532" s="857"/>
      <c r="K532" s="857"/>
      <c r="L532" s="857"/>
      <c r="N532" s="631" t="str">
        <f t="shared" ca="1" si="8"/>
        <v>Refresh the statement</v>
      </c>
    </row>
    <row r="533" spans="1:15">
      <c r="A533" s="857" t="str">
        <f ca="1">'All Statement of strategy (D)'!$I654</f>
        <v xml:space="preserve"> </v>
      </c>
      <c r="B533" s="857"/>
      <c r="C533" s="857"/>
      <c r="D533" s="857"/>
      <c r="E533" s="857"/>
      <c r="F533" s="857"/>
      <c r="G533" s="857"/>
      <c r="H533" s="857"/>
      <c r="I533" s="857"/>
      <c r="J533" s="857"/>
      <c r="K533" s="857"/>
      <c r="L533" s="857"/>
      <c r="N533" s="631" t="str">
        <f t="shared" ca="1" si="8"/>
        <v>Refresh the statement</v>
      </c>
    </row>
    <row r="534" spans="1:15">
      <c r="N534" s="631" t="str">
        <f t="shared" ca="1" si="8"/>
        <v>Refresh the statement</v>
      </c>
      <c r="O534" s="86" t="str">
        <f ca="1">IF(A533&lt;&gt;"","Blank row","")</f>
        <v>Blank row</v>
      </c>
    </row>
    <row r="535" spans="1:15" ht="18">
      <c r="A535" s="865" t="str">
        <f ca="1">'All Statement of strategy (D)'!$I655</f>
        <v xml:space="preserve"> </v>
      </c>
      <c r="B535" s="865"/>
      <c r="C535" s="865"/>
      <c r="D535" s="865"/>
      <c r="E535" s="865"/>
      <c r="F535" s="865"/>
      <c r="G535" s="865"/>
      <c r="H535" s="865"/>
      <c r="I535" s="865"/>
      <c r="J535" s="865"/>
      <c r="K535" s="865"/>
      <c r="L535" s="865"/>
      <c r="N535" s="631" t="str">
        <f t="shared" ca="1" si="8"/>
        <v>Refresh the statement</v>
      </c>
    </row>
    <row r="536" spans="1:15">
      <c r="N536" s="631" t="str">
        <f t="shared" ca="1" si="8"/>
        <v>Refresh the statement</v>
      </c>
      <c r="O536" s="86" t="str">
        <f ca="1">IF(A537&lt;&gt;"","Blank row","")</f>
        <v>Blank row</v>
      </c>
    </row>
    <row r="537" spans="1:15" ht="77.5">
      <c r="A537" s="857" t="str">
        <f ca="1">_xlfn.TEXTJOIN("
",TRUE,'All Statement of strategy (D)'!$I656,'All Statement of strategy (D)'!$I657,'All Statement of strategy (D)'!$I658,'All Statement of strategy (D)'!$I659,'All Statement of strategy (D)'!I$660,'All Statement of strategy (D)'!$I661)</f>
        <v xml:space="preserve"> 
 </v>
      </c>
      <c r="B537" s="857"/>
      <c r="C537" s="857"/>
      <c r="D537" s="857"/>
      <c r="E537" s="857"/>
      <c r="F537" s="857"/>
      <c r="G537" s="857"/>
      <c r="H537" s="857"/>
      <c r="I537" s="857"/>
      <c r="J537" s="857"/>
      <c r="K537" s="857"/>
      <c r="L537" s="857"/>
      <c r="N537" s="631" t="str">
        <f t="shared" ref="N537:N600" ca="1" si="9">IF(OR(A537&lt;&gt;"",B537&lt;&gt;"",C537&lt;&gt;"",D537&lt;&gt;"",E537&lt;&gt;"",F537&lt;&gt;"",G537&lt;&gt;"",H537&lt;&gt;"",I537&lt;&gt;"",J537&lt;&gt;"",K537&lt;&gt;"",L537&lt;&gt;"",M537&lt;&gt;"",O537&lt;&gt;""),"Refresh the statement","Scroll up and click refresh")</f>
        <v>Refresh the statement</v>
      </c>
      <c r="O537" s="86" t="str">
        <f ca="1">A537</f>
        <v xml:space="preserve"> 
 </v>
      </c>
    </row>
    <row r="538" spans="1:15">
      <c r="N538" s="631" t="str">
        <f t="shared" ca="1" si="9"/>
        <v>Refresh the statement</v>
      </c>
      <c r="O538" s="86" t="str">
        <f ca="1">IF(A537&lt;&gt;"","Blank row","")</f>
        <v>Blank row</v>
      </c>
    </row>
    <row r="539" spans="1:15">
      <c r="A539" s="857" t="str">
        <f ca="1">'All Statement of strategy (D)'!$I662&amp;'All Statement of strategy (D)'!$I663&amp;'All Statement of strategy (D)'!$I664&amp;'All Statement of strategy (D)'!$I665</f>
        <v xml:space="preserve">    </v>
      </c>
      <c r="B539" s="857"/>
      <c r="C539" s="857"/>
      <c r="D539" s="857"/>
      <c r="E539" s="857"/>
      <c r="F539" s="857"/>
      <c r="G539" s="857"/>
      <c r="H539" s="857"/>
      <c r="I539" s="857"/>
      <c r="J539" s="857"/>
      <c r="K539" s="857"/>
      <c r="L539" s="857"/>
      <c r="N539" s="631" t="str">
        <f t="shared" ca="1" si="9"/>
        <v>Refresh the statement</v>
      </c>
      <c r="O539" s="86" t="str">
        <f ca="1">'All Statement of strategy (D)'!$I662</f>
        <v xml:space="preserve"> </v>
      </c>
    </row>
    <row r="540" spans="1:15">
      <c r="A540" s="857"/>
      <c r="B540" s="857"/>
      <c r="C540" s="857"/>
      <c r="D540" s="857"/>
      <c r="E540" s="857"/>
      <c r="F540" s="857"/>
      <c r="G540" s="857"/>
      <c r="H540" s="857"/>
      <c r="I540" s="857"/>
      <c r="J540" s="857"/>
      <c r="K540" s="857"/>
      <c r="L540" s="857"/>
      <c r="N540" s="631" t="str">
        <f t="shared" ca="1" si="9"/>
        <v>Refresh the statement</v>
      </c>
      <c r="O540" s="86" t="str">
        <f ca="1">'All Statement of strategy (D)'!$I663</f>
        <v xml:space="preserve"> </v>
      </c>
    </row>
    <row r="541" spans="1:15">
      <c r="A541" s="857"/>
      <c r="B541" s="857"/>
      <c r="C541" s="857"/>
      <c r="D541" s="857"/>
      <c r="E541" s="857"/>
      <c r="F541" s="857"/>
      <c r="G541" s="857"/>
      <c r="H541" s="857"/>
      <c r="I541" s="857"/>
      <c r="J541" s="857"/>
      <c r="K541" s="857"/>
      <c r="L541" s="857"/>
      <c r="N541" s="631" t="str">
        <f t="shared" ca="1" si="9"/>
        <v>Refresh the statement</v>
      </c>
      <c r="O541" s="86" t="str">
        <f ca="1">'All Statement of strategy (D)'!$I664</f>
        <v xml:space="preserve"> </v>
      </c>
    </row>
    <row r="542" spans="1:15">
      <c r="A542" s="857"/>
      <c r="B542" s="857"/>
      <c r="C542" s="857"/>
      <c r="D542" s="857"/>
      <c r="E542" s="857"/>
      <c r="F542" s="857"/>
      <c r="G542" s="857"/>
      <c r="H542" s="857"/>
      <c r="I542" s="857"/>
      <c r="J542" s="857"/>
      <c r="K542" s="857"/>
      <c r="L542" s="857"/>
      <c r="N542" s="631" t="str">
        <f t="shared" ca="1" si="9"/>
        <v>Refresh the statement</v>
      </c>
      <c r="O542" s="86" t="str">
        <f ca="1">'All Statement of strategy (D)'!$I665</f>
        <v xml:space="preserve"> </v>
      </c>
    </row>
    <row r="543" spans="1:15">
      <c r="N543" s="631" t="str">
        <f t="shared" ca="1" si="9"/>
        <v>Refresh the statement</v>
      </c>
      <c r="O543" s="86" t="str">
        <f ca="1">IF(A539&lt;&gt;"","Blank row","")</f>
        <v>Blank row</v>
      </c>
    </row>
    <row r="544" spans="1:15" ht="18">
      <c r="A544" s="865" t="str">
        <f ca="1">'All Statement of strategy (D)'!$I666</f>
        <v xml:space="preserve"> </v>
      </c>
      <c r="B544" s="865"/>
      <c r="C544" s="865"/>
      <c r="D544" s="865"/>
      <c r="E544" s="865"/>
      <c r="F544" s="865"/>
      <c r="G544" s="865"/>
      <c r="H544" s="865"/>
      <c r="I544" s="865"/>
      <c r="J544" s="865"/>
      <c r="K544" s="865"/>
      <c r="L544" s="865"/>
      <c r="N544" s="631" t="str">
        <f t="shared" ca="1" si="9"/>
        <v>Refresh the statement</v>
      </c>
    </row>
    <row r="545" spans="2:15">
      <c r="N545" s="631" t="str">
        <f t="shared" ca="1" si="9"/>
        <v>Refresh the statement</v>
      </c>
      <c r="O545" s="86" t="str">
        <f ca="1">IF(A544&lt;&gt;"","Blank row","")</f>
        <v>Blank row</v>
      </c>
    </row>
    <row r="546" spans="2:15">
      <c r="B546" s="93" t="str">
        <f ca="1">'All Statement of strategy (D)'!$I668</f>
        <v xml:space="preserve"> </v>
      </c>
      <c r="C546" s="435" t="str">
        <f ca="1">'All Statement of strategy (D)'!$I669</f>
        <v xml:space="preserve"> </v>
      </c>
      <c r="D546" s="435" t="str" cm="1">
        <f t="array" aca="1" ref="D546" ca="1">_xlfn.IFS(
  'All Statement of strategy (D)'!$I670&lt;&gt;"", 'All Statement of strategy (D)'!$I670,
  'All Statement of strategy (D)'!$I671&lt;&gt;"", 'All Statement of strategy (D)'!$I671,
  'All Statement of strategy (D)'!$I672&lt;&gt;"", 'All Statement of strategy (D)'!$I672,
  'All Statement of strategy (D)'!$I673&lt;&gt;"", 'All Statement of strategy (D)'!$I673,
  'All Statement of strategy (D)'!$I674&lt;&gt;"", 'All Statement of strategy (D)'!$I674,
  1=1, "")</f>
        <v xml:space="preserve"> </v>
      </c>
      <c r="E546" s="435" t="str" cm="1">
        <f t="array" aca="1" ref="E546" ca="1">IFERROR(INDEX(_xlfn._xlws.FILTER('All Statement of strategy (D)'!$I670:$I674, ('All Statement of strategy (D)'!$I670:$I674&lt;&gt;"") * (COUNTIF($D$546:$D$546, 'All Statement of strategy (D)'!$I670:$I674)=0)), 1), "")</f>
        <v/>
      </c>
      <c r="F546" s="435" t="str" cm="1">
        <f t="array" aca="1" ref="F546" ca="1">IFERROR(INDEX(_xlfn._xlws.FILTER('All Statement of strategy (D)'!$I670:$I674, ('All Statement of strategy (D)'!$I670:$I674&lt;&gt;"") * (COUNTIF($D$546:$E$546, 'All Statement of strategy (D)'!$I670:$I674)=0)), 1), "")</f>
        <v/>
      </c>
      <c r="G546" s="435" t="str" cm="1">
        <f t="array" aca="1" ref="G546" ca="1">IFERROR(INDEX(_xlfn._xlws.FILTER('All Statement of strategy (D)'!$I670:$I674, ('All Statement of strategy (D)'!$I670:$I674&lt;&gt;"") * (COUNTIF($D$546:$F$546, 'All Statement of strategy (D)'!$I670:$I674)=0)), 1), "")</f>
        <v/>
      </c>
      <c r="H546" s="435" t="str" cm="1">
        <f t="array" aca="1" ref="H546" ca="1">IFERROR(INDEX(_xlfn._xlws.FILTER('All Statement of strategy (D)'!$I670:$I674, ('All Statement of strategy (D)'!$I670:$I674&lt;&gt;"") * (COUNTIF($D$546:$G$546, 'All Statement of strategy (D)'!$I670:$I674)=0)), 1), "")</f>
        <v/>
      </c>
      <c r="I546" s="435"/>
      <c r="J546" s="435"/>
      <c r="N546" s="631" t="str">
        <f t="shared" ca="1" si="9"/>
        <v>Refresh the statement</v>
      </c>
    </row>
    <row r="547" spans="2:15">
      <c r="B547" s="581" t="str">
        <f ca="1">'All Statement of strategy (D)'!$I675</f>
        <v xml:space="preserve"> </v>
      </c>
      <c r="C547" s="581" t="str">
        <f ca="1">'All Statement of strategy (D)'!$I715</f>
        <v xml:space="preserve"> </v>
      </c>
      <c r="D547" s="581" t="str" cm="1">
        <f t="array" aca="1" ref="D547" ca="1">_xlfn.IFS(
$D$546='All Statement of strategy (D)'!$B$670,'All Statement of strategy (D)'!$I755,
$D$546='All Statement of strategy (D)'!$B$671,'All Statement of strategy (D)'!$I795,
$D$546='All Statement of strategy (D)'!$B$672,'All Statement of strategy (D)'!$I835,
$D$546='All Statement of strategy (D)'!$B$673,'All Statement of strategy (D)'!$I875,
$D$546='All Statement of strategy (D)'!$B$674,'All Statement of strategy (D)'!$I915,
1=1, "")</f>
        <v/>
      </c>
      <c r="E547" s="581" t="str" cm="1">
        <f t="array" aca="1" ref="E547" ca="1">_xlfn.IFS(
$E$546='All Statement of strategy (D)'!$B$670,'All Statement of strategy (D)'!$I755,
$E$546='All Statement of strategy (D)'!$B$671,'All Statement of strategy (D)'!$I795,
$E$546='All Statement of strategy (D)'!$B$672,'All Statement of strategy (D)'!$I835,
$E$546='All Statement of strategy (D)'!$B$673,'All Statement of strategy (D)'!$I875,
$E$546='All Statement of strategy (D)'!$B$674,'All Statement of strategy (D)'!$I915,
1=1, "")</f>
        <v/>
      </c>
      <c r="F547" s="581" t="str" cm="1">
        <f t="array" aca="1" ref="F547" ca="1">_xlfn.IFS(
$F$546='All Statement of strategy (D)'!$B$670,'All Statement of strategy (D)'!$I755,
$F$546='All Statement of strategy (D)'!$B$671,'All Statement of strategy (D)'!$I795,
$F$546='All Statement of strategy (D)'!$B$672,'All Statement of strategy (D)'!$I835,
$F$546='All Statement of strategy (D)'!$B$673,'All Statement of strategy (D)'!$I875,
$F$546='All Statement of strategy (D)'!$B$674,'All Statement of strategy (D)'!$I915,
1=1,"")</f>
        <v/>
      </c>
      <c r="G547" s="581" t="str" cm="1">
        <f t="array" aca="1" ref="G547" ca="1">_xlfn.IFS(
$G$546='All Statement of strategy (D)'!$B$670,'All Statement of strategy (D)'!$I755,
$G$546='All Statement of strategy (D)'!$B$671,'All Statement of strategy (D)'!$I795,
$G$546='All Statement of strategy (D)'!$B$672,'All Statement of strategy (D)'!$I835,
$G$546='All Statement of strategy (D)'!$B$673,'All Statement of strategy (D)'!$I875,
$G$546='All Statement of strategy (D)'!$B$674,'All Statement of strategy (D)'!$I915,
1=1, "")</f>
        <v/>
      </c>
      <c r="H547" s="581" t="str" cm="1">
        <f t="array" aca="1" ref="H547" ca="1">_xlfn.IFS(
$H$546='All Statement of strategy (D)'!$B$670,'All Statement of strategy (D)'!$I755,
$H$546='All Statement of strategy (D)'!$B$671,'All Statement of strategy (D)'!$I795,
$H$546='All Statement of strategy (D)'!$B$672,'All Statement of strategy (D)'!$I835,
$H$546='All Statement of strategy (D)'!$B$673,'All Statement of strategy (D)'!$I875,
$H$546='All Statement of strategy (D)'!$B$674,'All Statement of strategy (D)'!$I915,
1=1, "")</f>
        <v/>
      </c>
      <c r="I547" s="435"/>
      <c r="J547" s="566"/>
      <c r="N547" s="631" t="str">
        <f t="shared" ca="1" si="9"/>
        <v>Refresh the statement</v>
      </c>
    </row>
    <row r="548" spans="2:15">
      <c r="B548" s="581" t="str">
        <f ca="1">'All Statement of strategy (D)'!$I676</f>
        <v xml:space="preserve"> </v>
      </c>
      <c r="C548" s="581" t="str">
        <f ca="1">'All Statement of strategy (D)'!$I716</f>
        <v xml:space="preserve"> </v>
      </c>
      <c r="D548" s="581" t="str" cm="1">
        <f t="array" aca="1" ref="D548" ca="1">_xlfn.IFS(
$D$546='All Statement of strategy (D)'!$B$670,'All Statement of strategy (D)'!$I756,
$D$546='All Statement of strategy (D)'!$B$671,'All Statement of strategy (D)'!$I796,
$D$546='All Statement of strategy (D)'!$B$672,'All Statement of strategy (D)'!$I836,
$D$546='All Statement of strategy (D)'!$B$673,'All Statement of strategy (D)'!$I876,
$D$546='All Statement of strategy (D)'!$B$674,'All Statement of strategy (D)'!$I916,
1=1, "")</f>
        <v/>
      </c>
      <c r="E548" s="581" t="str" cm="1">
        <f t="array" aca="1" ref="E548" ca="1">_xlfn.IFS(
$E$546='All Statement of strategy (D)'!$B$670,'All Statement of strategy (D)'!$I756,
$E$546='All Statement of strategy (D)'!$B$671,'All Statement of strategy (D)'!$I796,
$E$546='All Statement of strategy (D)'!$B$672,'All Statement of strategy (D)'!$I836,
$E$546='All Statement of strategy (D)'!$B$673,'All Statement of strategy (D)'!$I876,
$E$546='All Statement of strategy (D)'!$B$674,'All Statement of strategy (D)'!$I916,
1=1, "")</f>
        <v/>
      </c>
      <c r="F548" s="581" t="str" cm="1">
        <f t="array" aca="1" ref="F548" ca="1">_xlfn.IFS(
$F$546='All Statement of strategy (D)'!$B$670,'All Statement of strategy (D)'!$I756,
$F$546='All Statement of strategy (D)'!$B$671,'All Statement of strategy (D)'!$I796,
$F$546='All Statement of strategy (D)'!$B$672,'All Statement of strategy (D)'!$I836,
$F$546='All Statement of strategy (D)'!$B$673,'All Statement of strategy (D)'!$I876,
$F$546='All Statement of strategy (D)'!$B$674,'All Statement of strategy (D)'!$I916,
1=1,"")</f>
        <v/>
      </c>
      <c r="G548" s="581" t="str" cm="1">
        <f t="array" aca="1" ref="G548" ca="1">_xlfn.IFS(
$G$546='All Statement of strategy (D)'!$B$670,'All Statement of strategy (D)'!$I756,
$G$546='All Statement of strategy (D)'!$B$671,'All Statement of strategy (D)'!$I796,
$G$546='All Statement of strategy (D)'!$B$672,'All Statement of strategy (D)'!$I836,
$G$546='All Statement of strategy (D)'!$B$673,'All Statement of strategy (D)'!$I876,
$G$546='All Statement of strategy (D)'!$B$674,'All Statement of strategy (D)'!$I916,
1=1, "")</f>
        <v/>
      </c>
      <c r="H548" s="581" t="str" cm="1">
        <f t="array" aca="1" ref="H548" ca="1">_xlfn.IFS(
$H$546='All Statement of strategy (D)'!$B$670,'All Statement of strategy (D)'!$I756,
$H$546='All Statement of strategy (D)'!$B$671,'All Statement of strategy (D)'!$I796,
$H$546='All Statement of strategy (D)'!$B$672,'All Statement of strategy (D)'!$I836,
$H$546='All Statement of strategy (D)'!$B$673,'All Statement of strategy (D)'!$I876,
$H$546='All Statement of strategy (D)'!$B$674,'All Statement of strategy (D)'!$I916,
1=1, "")</f>
        <v/>
      </c>
      <c r="I548" s="435"/>
      <c r="J548" s="435"/>
      <c r="N548" s="631" t="str">
        <f t="shared" ca="1" si="9"/>
        <v>Refresh the statement</v>
      </c>
    </row>
    <row r="549" spans="2:15">
      <c r="B549" s="581" t="str">
        <f ca="1">'All Statement of strategy (D)'!$I677</f>
        <v xml:space="preserve"> </v>
      </c>
      <c r="C549" s="581" t="str">
        <f ca="1">'All Statement of strategy (D)'!$I717</f>
        <v xml:space="preserve"> </v>
      </c>
      <c r="D549" s="581" t="str" cm="1">
        <f t="array" aca="1" ref="D549" ca="1">_xlfn.IFS(
$D$546='All Statement of strategy (D)'!$B$670,'All Statement of strategy (D)'!$I757,
$D$546='All Statement of strategy (D)'!$B$671,'All Statement of strategy (D)'!$I797,
$D$546='All Statement of strategy (D)'!$B$672,'All Statement of strategy (D)'!$I837,
$D$546='All Statement of strategy (D)'!$B$673,'All Statement of strategy (D)'!$I877,
$D$546='All Statement of strategy (D)'!$B$674,'All Statement of strategy (D)'!$I917,
1=1, "")</f>
        <v/>
      </c>
      <c r="E549" s="581" t="str" cm="1">
        <f t="array" aca="1" ref="E549" ca="1">_xlfn.IFS(
$E$546='All Statement of strategy (D)'!$B$670,'All Statement of strategy (D)'!$I757,
$E$546='All Statement of strategy (D)'!$B$671,'All Statement of strategy (D)'!$I797,
$E$546='All Statement of strategy (D)'!$B$672,'All Statement of strategy (D)'!$I837,
$E$546='All Statement of strategy (D)'!$B$673,'All Statement of strategy (D)'!$I877,
$E$546='All Statement of strategy (D)'!$B$674,'All Statement of strategy (D)'!$I917,
1=1, "")</f>
        <v/>
      </c>
      <c r="F549" s="581" t="str" cm="1">
        <f t="array" aca="1" ref="F549" ca="1">_xlfn.IFS(
$F$546='All Statement of strategy (D)'!$B$670,'All Statement of strategy (D)'!$I757,
$F$546='All Statement of strategy (D)'!$B$671,'All Statement of strategy (D)'!$I797,
$F$546='All Statement of strategy (D)'!$B$672,'All Statement of strategy (D)'!$I837,
$F$546='All Statement of strategy (D)'!$B$673,'All Statement of strategy (D)'!$I877,
$F$546='All Statement of strategy (D)'!$B$674,'All Statement of strategy (D)'!$I917,
1=1,"")</f>
        <v/>
      </c>
      <c r="G549" s="581" t="str" cm="1">
        <f t="array" aca="1" ref="G549" ca="1">_xlfn.IFS(
$G$546='All Statement of strategy (D)'!$B$670,'All Statement of strategy (D)'!$I757,
$G$546='All Statement of strategy (D)'!$B$671,'All Statement of strategy (D)'!$I797,
$G$546='All Statement of strategy (D)'!$B$672,'All Statement of strategy (D)'!$I837,
$G$546='All Statement of strategy (D)'!$B$673,'All Statement of strategy (D)'!$I877,
$G$546='All Statement of strategy (D)'!$B$674,'All Statement of strategy (D)'!$I917,
1=1, "")</f>
        <v/>
      </c>
      <c r="H549" s="581" t="str" cm="1">
        <f t="array" aca="1" ref="H549" ca="1">_xlfn.IFS(
$H$546='All Statement of strategy (D)'!$B$670,'All Statement of strategy (D)'!$I757,
$H$546='All Statement of strategy (D)'!$B$671,'All Statement of strategy (D)'!$I797,
$H$546='All Statement of strategy (D)'!$B$672,'All Statement of strategy (D)'!$I837,
$H$546='All Statement of strategy (D)'!$B$673,'All Statement of strategy (D)'!$I877,
$H$546='All Statement of strategy (D)'!$B$674,'All Statement of strategy (D)'!$I917,
1=1, "")</f>
        <v/>
      </c>
      <c r="I549" s="435"/>
      <c r="J549" s="435"/>
      <c r="N549" s="631" t="str">
        <f t="shared" ca="1" si="9"/>
        <v>Refresh the statement</v>
      </c>
    </row>
    <row r="550" spans="2:15">
      <c r="B550" s="581" t="str">
        <f ca="1">'All Statement of strategy (D)'!$I678</f>
        <v xml:space="preserve"> </v>
      </c>
      <c r="C550" s="581" t="str">
        <f ca="1">'All Statement of strategy (D)'!$I718</f>
        <v xml:space="preserve"> </v>
      </c>
      <c r="D550" s="581" t="str" cm="1">
        <f t="array" aca="1" ref="D550" ca="1">_xlfn.IFS(
$D$546='All Statement of strategy (D)'!$B$670,'All Statement of strategy (D)'!$I758,
$D$546='All Statement of strategy (D)'!$B$671,'All Statement of strategy (D)'!$I798,
$D$546='All Statement of strategy (D)'!$B$672,'All Statement of strategy (D)'!$I838,
$D$546='All Statement of strategy (D)'!$B$673,'All Statement of strategy (D)'!$I878,
$D$546='All Statement of strategy (D)'!$B$674,'All Statement of strategy (D)'!$I918,
1=1, "")</f>
        <v/>
      </c>
      <c r="E550" s="581" t="str" cm="1">
        <f t="array" aca="1" ref="E550" ca="1">_xlfn.IFS(
$E$546='All Statement of strategy (D)'!$B$670,'All Statement of strategy (D)'!$I758,
$E$546='All Statement of strategy (D)'!$B$671,'All Statement of strategy (D)'!$I798,
$E$546='All Statement of strategy (D)'!$B$672,'All Statement of strategy (D)'!$I838,
$E$546='All Statement of strategy (D)'!$B$673,'All Statement of strategy (D)'!$I878,
$E$546='All Statement of strategy (D)'!$B$674,'All Statement of strategy (D)'!$I918,
1=1, "")</f>
        <v/>
      </c>
      <c r="F550" s="581" t="str" cm="1">
        <f t="array" aca="1" ref="F550" ca="1">_xlfn.IFS(
$F$546='All Statement of strategy (D)'!$B$670,'All Statement of strategy (D)'!$I758,
$F$546='All Statement of strategy (D)'!$B$671,'All Statement of strategy (D)'!$I798,
$F$546='All Statement of strategy (D)'!$B$672,'All Statement of strategy (D)'!$I838,
$F$546='All Statement of strategy (D)'!$B$673,'All Statement of strategy (D)'!$I878,
$F$546='All Statement of strategy (D)'!$B$674,'All Statement of strategy (D)'!$I918,
1=1,"")</f>
        <v/>
      </c>
      <c r="G550" s="581" t="str" cm="1">
        <f t="array" aca="1" ref="G550" ca="1">_xlfn.IFS(
$G$546='All Statement of strategy (D)'!$B$670,'All Statement of strategy (D)'!$I758,
$G$546='All Statement of strategy (D)'!$B$671,'All Statement of strategy (D)'!$I798,
$G$546='All Statement of strategy (D)'!$B$672,'All Statement of strategy (D)'!$I838,
$G$546='All Statement of strategy (D)'!$B$673,'All Statement of strategy (D)'!$I878,
$G$546='All Statement of strategy (D)'!$B$674,'All Statement of strategy (D)'!$I918,
1=1, "")</f>
        <v/>
      </c>
      <c r="H550" s="581" t="str" cm="1">
        <f t="array" aca="1" ref="H550" ca="1">_xlfn.IFS(
$H$546='All Statement of strategy (D)'!$B$670,'All Statement of strategy (D)'!$I758,
$H$546='All Statement of strategy (D)'!$B$671,'All Statement of strategy (D)'!$I798,
$H$546='All Statement of strategy (D)'!$B$672,'All Statement of strategy (D)'!$I838,
$H$546='All Statement of strategy (D)'!$B$673,'All Statement of strategy (D)'!$I878,
$H$546='All Statement of strategy (D)'!$B$674,'All Statement of strategy (D)'!$I918,
1=1, "")</f>
        <v/>
      </c>
      <c r="I550" s="435"/>
      <c r="J550" s="435"/>
      <c r="N550" s="631" t="str">
        <f t="shared" ca="1" si="9"/>
        <v>Refresh the statement</v>
      </c>
    </row>
    <row r="551" spans="2:15">
      <c r="B551" s="581" t="str">
        <f ca="1">'All Statement of strategy (D)'!$I679</f>
        <v xml:space="preserve"> </v>
      </c>
      <c r="C551" s="581" t="str">
        <f ca="1">'All Statement of strategy (D)'!$I719</f>
        <v xml:space="preserve"> </v>
      </c>
      <c r="D551" s="581" t="str" cm="1">
        <f t="array" aca="1" ref="D551" ca="1">_xlfn.IFS(
$D$546='All Statement of strategy (D)'!$B$670,'All Statement of strategy (D)'!$I759,
$D$546='All Statement of strategy (D)'!$B$671,'All Statement of strategy (D)'!$I799,
$D$546='All Statement of strategy (D)'!$B$672,'All Statement of strategy (D)'!$I839,
$D$546='All Statement of strategy (D)'!$B$673,'All Statement of strategy (D)'!$I879,
$D$546='All Statement of strategy (D)'!$B$674,'All Statement of strategy (D)'!$I919,
1=1, "")</f>
        <v/>
      </c>
      <c r="E551" s="581" t="str" cm="1">
        <f t="array" aca="1" ref="E551" ca="1">_xlfn.IFS(
$E$546='All Statement of strategy (D)'!$B$670,'All Statement of strategy (D)'!$I759,
$E$546='All Statement of strategy (D)'!$B$671,'All Statement of strategy (D)'!$I799,
$E$546='All Statement of strategy (D)'!$B$672,'All Statement of strategy (D)'!$I839,
$E$546='All Statement of strategy (D)'!$B$673,'All Statement of strategy (D)'!$I879,
$E$546='All Statement of strategy (D)'!$B$674,'All Statement of strategy (D)'!$I919,
1=1, "")</f>
        <v/>
      </c>
      <c r="F551" s="581" t="str" cm="1">
        <f t="array" aca="1" ref="F551" ca="1">_xlfn.IFS(
$F$546='All Statement of strategy (D)'!$B$670,'All Statement of strategy (D)'!$I759,
$F$546='All Statement of strategy (D)'!$B$671,'All Statement of strategy (D)'!$I799,
$F$546='All Statement of strategy (D)'!$B$672,'All Statement of strategy (D)'!$I839,
$F$546='All Statement of strategy (D)'!$B$673,'All Statement of strategy (D)'!$I879,
$F$546='All Statement of strategy (D)'!$B$674,'All Statement of strategy (D)'!$I919,
1=1,"")</f>
        <v/>
      </c>
      <c r="G551" s="581" t="str" cm="1">
        <f t="array" aca="1" ref="G551" ca="1">_xlfn.IFS(
$G$546='All Statement of strategy (D)'!$B$670,'All Statement of strategy (D)'!$I759,
$G$546='All Statement of strategy (D)'!$B$671,'All Statement of strategy (D)'!$I799,
$G$546='All Statement of strategy (D)'!$B$672,'All Statement of strategy (D)'!$I839,
$G$546='All Statement of strategy (D)'!$B$673,'All Statement of strategy (D)'!$I879,
$G$546='All Statement of strategy (D)'!$B$674,'All Statement of strategy (D)'!$I919,
1=1, "")</f>
        <v/>
      </c>
      <c r="H551" s="581" t="str" cm="1">
        <f t="array" aca="1" ref="H551" ca="1">_xlfn.IFS(
$H$546='All Statement of strategy (D)'!$B$670,'All Statement of strategy (D)'!$I759,
$H$546='All Statement of strategy (D)'!$B$671,'All Statement of strategy (D)'!$I799,
$H$546='All Statement of strategy (D)'!$B$672,'All Statement of strategy (D)'!$I839,
$H$546='All Statement of strategy (D)'!$B$673,'All Statement of strategy (D)'!$I879,
$H$546='All Statement of strategy (D)'!$B$674,'All Statement of strategy (D)'!$I919,
1=1, "")</f>
        <v/>
      </c>
      <c r="I551" s="435"/>
      <c r="J551" s="435"/>
      <c r="N551" s="631" t="str">
        <f t="shared" ca="1" si="9"/>
        <v>Refresh the statement</v>
      </c>
    </row>
    <row r="552" spans="2:15">
      <c r="B552" s="581" t="str">
        <f ca="1">'All Statement of strategy (D)'!$I680</f>
        <v xml:space="preserve"> </v>
      </c>
      <c r="C552" s="581" t="str">
        <f ca="1">'All Statement of strategy (D)'!$I720</f>
        <v xml:space="preserve"> </v>
      </c>
      <c r="D552" s="581" t="str" cm="1">
        <f t="array" aca="1" ref="D552" ca="1">_xlfn.IFS(
$D$546='All Statement of strategy (D)'!$B$670,'All Statement of strategy (D)'!$I760,
$D$546='All Statement of strategy (D)'!$B$671,'All Statement of strategy (D)'!$I800,
$D$546='All Statement of strategy (D)'!$B$672,'All Statement of strategy (D)'!$I840,
$D$546='All Statement of strategy (D)'!$B$673,'All Statement of strategy (D)'!$I880,
$D$546='All Statement of strategy (D)'!$B$674,'All Statement of strategy (D)'!$I920,
1=1, "")</f>
        <v/>
      </c>
      <c r="E552" s="581" t="str" cm="1">
        <f t="array" aca="1" ref="E552" ca="1">_xlfn.IFS(
$E$546='All Statement of strategy (D)'!$B$670,'All Statement of strategy (D)'!$I760,
$E$546='All Statement of strategy (D)'!$B$671,'All Statement of strategy (D)'!$I800,
$E$546='All Statement of strategy (D)'!$B$672,'All Statement of strategy (D)'!$I840,
$E$546='All Statement of strategy (D)'!$B$673,'All Statement of strategy (D)'!$I880,
$E$546='All Statement of strategy (D)'!$B$674,'All Statement of strategy (D)'!$I920,
1=1, "")</f>
        <v/>
      </c>
      <c r="F552" s="581" t="str" cm="1">
        <f t="array" aca="1" ref="F552" ca="1">_xlfn.IFS(
$F$546='All Statement of strategy (D)'!$B$670,'All Statement of strategy (D)'!$I760,
$F$546='All Statement of strategy (D)'!$B$671,'All Statement of strategy (D)'!$I800,
$F$546='All Statement of strategy (D)'!$B$672,'All Statement of strategy (D)'!$I840,
$F$546='All Statement of strategy (D)'!$B$673,'All Statement of strategy (D)'!$I880,
$F$546='All Statement of strategy (D)'!$B$674,'All Statement of strategy (D)'!$I920,
1=1,"")</f>
        <v/>
      </c>
      <c r="G552" s="581" t="str" cm="1">
        <f t="array" aca="1" ref="G552" ca="1">_xlfn.IFS(
$G$546='All Statement of strategy (D)'!$B$670,'All Statement of strategy (D)'!$I760,
$G$546='All Statement of strategy (D)'!$B$671,'All Statement of strategy (D)'!$I800,
$G$546='All Statement of strategy (D)'!$B$672,'All Statement of strategy (D)'!$I840,
$G$546='All Statement of strategy (D)'!$B$673,'All Statement of strategy (D)'!$I880,
$G$546='All Statement of strategy (D)'!$B$674,'All Statement of strategy (D)'!$I920,
1=1, "")</f>
        <v/>
      </c>
      <c r="H552" s="581" t="str" cm="1">
        <f t="array" aca="1" ref="H552" ca="1">_xlfn.IFS(
$H$546='All Statement of strategy (D)'!$B$670,'All Statement of strategy (D)'!$I760,
$H$546='All Statement of strategy (D)'!$B$671,'All Statement of strategy (D)'!$I800,
$H$546='All Statement of strategy (D)'!$B$672,'All Statement of strategy (D)'!$I840,
$H$546='All Statement of strategy (D)'!$B$673,'All Statement of strategy (D)'!$I880,
$H$546='All Statement of strategy (D)'!$B$674,'All Statement of strategy (D)'!$I920,
1=1, "")</f>
        <v/>
      </c>
      <c r="I552" s="435"/>
      <c r="J552" s="435"/>
      <c r="N552" s="631" t="str">
        <f t="shared" ca="1" si="9"/>
        <v>Refresh the statement</v>
      </c>
    </row>
    <row r="553" spans="2:15">
      <c r="B553" s="581" t="str">
        <f ca="1">'All Statement of strategy (D)'!$I681</f>
        <v xml:space="preserve"> </v>
      </c>
      <c r="C553" s="581" t="str">
        <f ca="1">'All Statement of strategy (D)'!$I721</f>
        <v xml:space="preserve"> </v>
      </c>
      <c r="D553" s="581" t="str" cm="1">
        <f t="array" aca="1" ref="D553" ca="1">_xlfn.IFS(
$D$546='All Statement of strategy (D)'!$B$670,'All Statement of strategy (D)'!$I761,
$D$546='All Statement of strategy (D)'!$B$671,'All Statement of strategy (D)'!$I801,
$D$546='All Statement of strategy (D)'!$B$672,'All Statement of strategy (D)'!$I841,
$D$546='All Statement of strategy (D)'!$B$673,'All Statement of strategy (D)'!$I881,
$D$546='All Statement of strategy (D)'!$B$674,'All Statement of strategy (D)'!$I921,
1=1, "")</f>
        <v/>
      </c>
      <c r="E553" s="581" t="str" cm="1">
        <f t="array" aca="1" ref="E553" ca="1">_xlfn.IFS(
$E$546='All Statement of strategy (D)'!$B$670,'All Statement of strategy (D)'!$I761,
$E$546='All Statement of strategy (D)'!$B$671,'All Statement of strategy (D)'!$I801,
$E$546='All Statement of strategy (D)'!$B$672,'All Statement of strategy (D)'!$I841,
$E$546='All Statement of strategy (D)'!$B$673,'All Statement of strategy (D)'!$I881,
$E$546='All Statement of strategy (D)'!$B$674,'All Statement of strategy (D)'!$I921,
1=1, "")</f>
        <v/>
      </c>
      <c r="F553" s="581" t="str" cm="1">
        <f t="array" aca="1" ref="F553" ca="1">_xlfn.IFS(
$F$546='All Statement of strategy (D)'!$B$670,'All Statement of strategy (D)'!$I761,
$F$546='All Statement of strategy (D)'!$B$671,'All Statement of strategy (D)'!$I801,
$F$546='All Statement of strategy (D)'!$B$672,'All Statement of strategy (D)'!$I841,
$F$546='All Statement of strategy (D)'!$B$673,'All Statement of strategy (D)'!$I881,
$F$546='All Statement of strategy (D)'!$B$674,'All Statement of strategy (D)'!$I921,
1=1,"")</f>
        <v/>
      </c>
      <c r="G553" s="581" t="str" cm="1">
        <f t="array" aca="1" ref="G553" ca="1">_xlfn.IFS(
$G$546='All Statement of strategy (D)'!$B$670,'All Statement of strategy (D)'!$I761,
$G$546='All Statement of strategy (D)'!$B$671,'All Statement of strategy (D)'!$I801,
$G$546='All Statement of strategy (D)'!$B$672,'All Statement of strategy (D)'!$I841,
$G$546='All Statement of strategy (D)'!$B$673,'All Statement of strategy (D)'!$I881,
$G$546='All Statement of strategy (D)'!$B$674,'All Statement of strategy (D)'!$I921,
1=1, "")</f>
        <v/>
      </c>
      <c r="H553" s="581" t="str" cm="1">
        <f t="array" aca="1" ref="H553" ca="1">_xlfn.IFS(
$H$546='All Statement of strategy (D)'!$B$670,'All Statement of strategy (D)'!$I761,
$H$546='All Statement of strategy (D)'!$B$671,'All Statement of strategy (D)'!$I801,
$H$546='All Statement of strategy (D)'!$B$672,'All Statement of strategy (D)'!$I841,
$H$546='All Statement of strategy (D)'!$B$673,'All Statement of strategy (D)'!$I881,
$H$546='All Statement of strategy (D)'!$B$674,'All Statement of strategy (D)'!$I921,
1=1, "")</f>
        <v/>
      </c>
      <c r="I553" s="435"/>
      <c r="J553" s="435"/>
      <c r="N553" s="631" t="str">
        <f t="shared" ca="1" si="9"/>
        <v>Refresh the statement</v>
      </c>
    </row>
    <row r="554" spans="2:15">
      <c r="B554" s="581" t="str">
        <f ca="1">'All Statement of strategy (D)'!$I682</f>
        <v xml:space="preserve"> </v>
      </c>
      <c r="C554" s="581" t="str">
        <f ca="1">'All Statement of strategy (D)'!$I722</f>
        <v xml:space="preserve"> </v>
      </c>
      <c r="D554" s="581" t="str" cm="1">
        <f t="array" aca="1" ref="D554" ca="1">_xlfn.IFS(
$D$546='All Statement of strategy (D)'!$B$670,'All Statement of strategy (D)'!$I762,
$D$546='All Statement of strategy (D)'!$B$671,'All Statement of strategy (D)'!$I802,
$D$546='All Statement of strategy (D)'!$B$672,'All Statement of strategy (D)'!$I842,
$D$546='All Statement of strategy (D)'!$B$673,'All Statement of strategy (D)'!$I882,
$D$546='All Statement of strategy (D)'!$B$674,'All Statement of strategy (D)'!$I922,
1=1, "")</f>
        <v/>
      </c>
      <c r="E554" s="581" t="str" cm="1">
        <f t="array" aca="1" ref="E554" ca="1">_xlfn.IFS(
$E$546='All Statement of strategy (D)'!$B$670,'All Statement of strategy (D)'!$I762,
$E$546='All Statement of strategy (D)'!$B$671,'All Statement of strategy (D)'!$I802,
$E$546='All Statement of strategy (D)'!$B$672,'All Statement of strategy (D)'!$I842,
$E$546='All Statement of strategy (D)'!$B$673,'All Statement of strategy (D)'!$I882,
$E$546='All Statement of strategy (D)'!$B$674,'All Statement of strategy (D)'!$I922,
1=1, "")</f>
        <v/>
      </c>
      <c r="F554" s="581" t="str" cm="1">
        <f t="array" aca="1" ref="F554" ca="1">_xlfn.IFS(
$F$546='All Statement of strategy (D)'!$B$670,'All Statement of strategy (D)'!$I762,
$F$546='All Statement of strategy (D)'!$B$671,'All Statement of strategy (D)'!$I802,
$F$546='All Statement of strategy (D)'!$B$672,'All Statement of strategy (D)'!$I842,
$F$546='All Statement of strategy (D)'!$B$673,'All Statement of strategy (D)'!$I882,
$F$546='All Statement of strategy (D)'!$B$674,'All Statement of strategy (D)'!$I922,
1=1,"")</f>
        <v/>
      </c>
      <c r="G554" s="581" t="str" cm="1">
        <f t="array" aca="1" ref="G554" ca="1">_xlfn.IFS(
$G$546='All Statement of strategy (D)'!$B$670,'All Statement of strategy (D)'!$I762,
$G$546='All Statement of strategy (D)'!$B$671,'All Statement of strategy (D)'!$I802,
$G$546='All Statement of strategy (D)'!$B$672,'All Statement of strategy (D)'!$I842,
$G$546='All Statement of strategy (D)'!$B$673,'All Statement of strategy (D)'!$I882,
$G$546='All Statement of strategy (D)'!$B$674,'All Statement of strategy (D)'!$I922,
1=1, "")</f>
        <v/>
      </c>
      <c r="H554" s="581" t="str" cm="1">
        <f t="array" aca="1" ref="H554" ca="1">_xlfn.IFS(
$H$546='All Statement of strategy (D)'!$B$670,'All Statement of strategy (D)'!$I762,
$H$546='All Statement of strategy (D)'!$B$671,'All Statement of strategy (D)'!$I802,
$H$546='All Statement of strategy (D)'!$B$672,'All Statement of strategy (D)'!$I842,
$H$546='All Statement of strategy (D)'!$B$673,'All Statement of strategy (D)'!$I882,
$H$546='All Statement of strategy (D)'!$B$674,'All Statement of strategy (D)'!$I922,
1=1, "")</f>
        <v/>
      </c>
      <c r="I554" s="435"/>
      <c r="J554" s="435"/>
      <c r="N554" s="631" t="str">
        <f t="shared" ca="1" si="9"/>
        <v>Refresh the statement</v>
      </c>
    </row>
    <row r="555" spans="2:15">
      <c r="B555" s="581" t="str">
        <f ca="1">'All Statement of strategy (D)'!$I683</f>
        <v xml:space="preserve"> </v>
      </c>
      <c r="C555" s="581" t="str">
        <f ca="1">'All Statement of strategy (D)'!$I723</f>
        <v xml:space="preserve"> </v>
      </c>
      <c r="D555" s="581" t="str" cm="1">
        <f t="array" aca="1" ref="D555" ca="1">_xlfn.IFS(
$D$546='All Statement of strategy (D)'!$B$670,'All Statement of strategy (D)'!$I763,
$D$546='All Statement of strategy (D)'!$B$671,'All Statement of strategy (D)'!$I803,
$D$546='All Statement of strategy (D)'!$B$672,'All Statement of strategy (D)'!$I843,
$D$546='All Statement of strategy (D)'!$B$673,'All Statement of strategy (D)'!$I883,
$D$546='All Statement of strategy (D)'!$B$674,'All Statement of strategy (D)'!$I923,
1=1, "")</f>
        <v/>
      </c>
      <c r="E555" s="581" t="str" cm="1">
        <f t="array" aca="1" ref="E555" ca="1">_xlfn.IFS(
$E$546='All Statement of strategy (D)'!$B$670,'All Statement of strategy (D)'!$I763,
$E$546='All Statement of strategy (D)'!$B$671,'All Statement of strategy (D)'!$I803,
$E$546='All Statement of strategy (D)'!$B$672,'All Statement of strategy (D)'!$I843,
$E$546='All Statement of strategy (D)'!$B$673,'All Statement of strategy (D)'!$I883,
$E$546='All Statement of strategy (D)'!$B$674,'All Statement of strategy (D)'!$I923,
1=1, "")</f>
        <v/>
      </c>
      <c r="F555" s="581" t="str" cm="1">
        <f t="array" aca="1" ref="F555" ca="1">_xlfn.IFS(
$F$546='All Statement of strategy (D)'!$B$670,'All Statement of strategy (D)'!$I763,
$F$546='All Statement of strategy (D)'!$B$671,'All Statement of strategy (D)'!$I803,
$F$546='All Statement of strategy (D)'!$B$672,'All Statement of strategy (D)'!$I843,
$F$546='All Statement of strategy (D)'!$B$673,'All Statement of strategy (D)'!$I883,
$F$546='All Statement of strategy (D)'!$B$674,'All Statement of strategy (D)'!$I923,
1=1,"")</f>
        <v/>
      </c>
      <c r="G555" s="581" t="str" cm="1">
        <f t="array" aca="1" ref="G555" ca="1">_xlfn.IFS(
$G$546='All Statement of strategy (D)'!$B$670,'All Statement of strategy (D)'!$I763,
$G$546='All Statement of strategy (D)'!$B$671,'All Statement of strategy (D)'!$I803,
$G$546='All Statement of strategy (D)'!$B$672,'All Statement of strategy (D)'!$I843,
$G$546='All Statement of strategy (D)'!$B$673,'All Statement of strategy (D)'!$I883,
$G$546='All Statement of strategy (D)'!$B$674,'All Statement of strategy (D)'!$I923,
1=1, "")</f>
        <v/>
      </c>
      <c r="H555" s="581" t="str" cm="1">
        <f t="array" aca="1" ref="H555" ca="1">_xlfn.IFS(
$H$546='All Statement of strategy (D)'!$B$670,'All Statement of strategy (D)'!$I763,
$H$546='All Statement of strategy (D)'!$B$671,'All Statement of strategy (D)'!$I803,
$H$546='All Statement of strategy (D)'!$B$672,'All Statement of strategy (D)'!$I843,
$H$546='All Statement of strategy (D)'!$B$673,'All Statement of strategy (D)'!$I883,
$H$546='All Statement of strategy (D)'!$B$674,'All Statement of strategy (D)'!$I923,
1=1, "")</f>
        <v/>
      </c>
      <c r="I555" s="435"/>
      <c r="J555" s="435"/>
      <c r="N555" s="631" t="str">
        <f t="shared" ca="1" si="9"/>
        <v>Refresh the statement</v>
      </c>
    </row>
    <row r="556" spans="2:15">
      <c r="B556" s="581" t="str">
        <f ca="1">'All Statement of strategy (D)'!$I684</f>
        <v xml:space="preserve"> </v>
      </c>
      <c r="C556" s="581" t="str">
        <f ca="1">'All Statement of strategy (D)'!$I724</f>
        <v xml:space="preserve"> </v>
      </c>
      <c r="D556" s="581" t="str" cm="1">
        <f t="array" aca="1" ref="D556" ca="1">_xlfn.IFS(
$D$546='All Statement of strategy (D)'!$B$670,'All Statement of strategy (D)'!$I764,
$D$546='All Statement of strategy (D)'!$B$671,'All Statement of strategy (D)'!$I804,
$D$546='All Statement of strategy (D)'!$B$672,'All Statement of strategy (D)'!$I844,
$D$546='All Statement of strategy (D)'!$B$673,'All Statement of strategy (D)'!$I884,
$D$546='All Statement of strategy (D)'!$B$674,'All Statement of strategy (D)'!$I924,
1=1, "")</f>
        <v/>
      </c>
      <c r="E556" s="581" t="str" cm="1">
        <f t="array" aca="1" ref="E556" ca="1">_xlfn.IFS(
$E$546='All Statement of strategy (D)'!$B$670,'All Statement of strategy (D)'!$I764,
$E$546='All Statement of strategy (D)'!$B$671,'All Statement of strategy (D)'!$I804,
$E$546='All Statement of strategy (D)'!$B$672,'All Statement of strategy (D)'!$I844,
$E$546='All Statement of strategy (D)'!$B$673,'All Statement of strategy (D)'!$I884,
$E$546='All Statement of strategy (D)'!$B$674,'All Statement of strategy (D)'!$I924,
1=1, "")</f>
        <v/>
      </c>
      <c r="F556" s="581" t="str" cm="1">
        <f t="array" aca="1" ref="F556" ca="1">_xlfn.IFS(
$F$546='All Statement of strategy (D)'!$B$670,'All Statement of strategy (D)'!$I764,
$F$546='All Statement of strategy (D)'!$B$671,'All Statement of strategy (D)'!$I804,
$F$546='All Statement of strategy (D)'!$B$672,'All Statement of strategy (D)'!$I844,
$F$546='All Statement of strategy (D)'!$B$673,'All Statement of strategy (D)'!$I884,
$F$546='All Statement of strategy (D)'!$B$674,'All Statement of strategy (D)'!$I924,
1=1,"")</f>
        <v/>
      </c>
      <c r="G556" s="581" t="str" cm="1">
        <f t="array" aca="1" ref="G556" ca="1">_xlfn.IFS(
$G$546='All Statement of strategy (D)'!$B$670,'All Statement of strategy (D)'!$I764,
$G$546='All Statement of strategy (D)'!$B$671,'All Statement of strategy (D)'!$I804,
$G$546='All Statement of strategy (D)'!$B$672,'All Statement of strategy (D)'!$I844,
$G$546='All Statement of strategy (D)'!$B$673,'All Statement of strategy (D)'!$I884,
$G$546='All Statement of strategy (D)'!$B$674,'All Statement of strategy (D)'!$I924,
1=1, "")</f>
        <v/>
      </c>
      <c r="H556" s="581" t="str" cm="1">
        <f t="array" aca="1" ref="H556" ca="1">_xlfn.IFS(
$H$546='All Statement of strategy (D)'!$B$670,'All Statement of strategy (D)'!$I764,
$H$546='All Statement of strategy (D)'!$B$671,'All Statement of strategy (D)'!$I804,
$H$546='All Statement of strategy (D)'!$B$672,'All Statement of strategy (D)'!$I844,
$H$546='All Statement of strategy (D)'!$B$673,'All Statement of strategy (D)'!$I884,
$H$546='All Statement of strategy (D)'!$B$674,'All Statement of strategy (D)'!$I924,
1=1, "")</f>
        <v/>
      </c>
      <c r="I556" s="435"/>
      <c r="J556" s="435"/>
      <c r="K556" s="435"/>
      <c r="N556" s="631" t="str">
        <f t="shared" ca="1" si="9"/>
        <v>Refresh the statement</v>
      </c>
    </row>
    <row r="557" spans="2:15">
      <c r="B557" s="581" t="str">
        <f ca="1">'All Statement of strategy (D)'!$I685</f>
        <v xml:space="preserve"> </v>
      </c>
      <c r="C557" s="581" t="str">
        <f ca="1">'All Statement of strategy (D)'!$I725</f>
        <v xml:space="preserve"> </v>
      </c>
      <c r="D557" s="581" t="str" cm="1">
        <f t="array" aca="1" ref="D557" ca="1">_xlfn.IFS(
$D$546='All Statement of strategy (D)'!$B$670,'All Statement of strategy (D)'!$I765,
$D$546='All Statement of strategy (D)'!$B$671,'All Statement of strategy (D)'!$I805,
$D$546='All Statement of strategy (D)'!$B$672,'All Statement of strategy (D)'!$I845,
$D$546='All Statement of strategy (D)'!$B$673,'All Statement of strategy (D)'!$I885,
$D$546='All Statement of strategy (D)'!$B$674,'All Statement of strategy (D)'!$I925,
1=1, "")</f>
        <v/>
      </c>
      <c r="E557" s="581" t="str" cm="1">
        <f t="array" aca="1" ref="E557" ca="1">_xlfn.IFS(
$E$546='All Statement of strategy (D)'!$B$670,'All Statement of strategy (D)'!$I765,
$E$546='All Statement of strategy (D)'!$B$671,'All Statement of strategy (D)'!$I805,
$E$546='All Statement of strategy (D)'!$B$672,'All Statement of strategy (D)'!$I845,
$E$546='All Statement of strategy (D)'!$B$673,'All Statement of strategy (D)'!$I885,
$E$546='All Statement of strategy (D)'!$B$674,'All Statement of strategy (D)'!$I925,
1=1, "")</f>
        <v/>
      </c>
      <c r="F557" s="581" t="str" cm="1">
        <f t="array" aca="1" ref="F557" ca="1">_xlfn.IFS(
$F$546='All Statement of strategy (D)'!$B$670,'All Statement of strategy (D)'!$I765,
$F$546='All Statement of strategy (D)'!$B$671,'All Statement of strategy (D)'!$I805,
$F$546='All Statement of strategy (D)'!$B$672,'All Statement of strategy (D)'!$I845,
$F$546='All Statement of strategy (D)'!$B$673,'All Statement of strategy (D)'!$I885,
$F$546='All Statement of strategy (D)'!$B$674,'All Statement of strategy (D)'!$I925,
1=1,"")</f>
        <v/>
      </c>
      <c r="G557" s="581" t="str" cm="1">
        <f t="array" aca="1" ref="G557" ca="1">_xlfn.IFS(
$G$546='All Statement of strategy (D)'!$B$670,'All Statement of strategy (D)'!$I765,
$G$546='All Statement of strategy (D)'!$B$671,'All Statement of strategy (D)'!$I805,
$G$546='All Statement of strategy (D)'!$B$672,'All Statement of strategy (D)'!$I845,
$G$546='All Statement of strategy (D)'!$B$673,'All Statement of strategy (D)'!$I885,
$G$546='All Statement of strategy (D)'!$B$674,'All Statement of strategy (D)'!$I925,
1=1, "")</f>
        <v/>
      </c>
      <c r="H557" s="581" t="str" cm="1">
        <f t="array" aca="1" ref="H557" ca="1">_xlfn.IFS(
$H$546='All Statement of strategy (D)'!$B$670,'All Statement of strategy (D)'!$I765,
$H$546='All Statement of strategy (D)'!$B$671,'All Statement of strategy (D)'!$I805,
$H$546='All Statement of strategy (D)'!$B$672,'All Statement of strategy (D)'!$I845,
$H$546='All Statement of strategy (D)'!$B$673,'All Statement of strategy (D)'!$I885,
$H$546='All Statement of strategy (D)'!$B$674,'All Statement of strategy (D)'!$I925,
1=1, "")</f>
        <v/>
      </c>
      <c r="I557" s="435"/>
      <c r="J557" s="435"/>
      <c r="N557" s="631" t="str">
        <f t="shared" ca="1" si="9"/>
        <v>Refresh the statement</v>
      </c>
    </row>
    <row r="558" spans="2:15">
      <c r="B558" s="581" t="str">
        <f ca="1">'All Statement of strategy (D)'!$I686</f>
        <v xml:space="preserve"> </v>
      </c>
      <c r="C558" s="581" t="str">
        <f ca="1">'All Statement of strategy (D)'!$I726</f>
        <v xml:space="preserve"> </v>
      </c>
      <c r="D558" s="581" t="str" cm="1">
        <f t="array" aca="1" ref="D558" ca="1">_xlfn.IFS(
$D$546='All Statement of strategy (D)'!$B$670,'All Statement of strategy (D)'!$I766,
$D$546='All Statement of strategy (D)'!$B$671,'All Statement of strategy (D)'!$I806,
$D$546='All Statement of strategy (D)'!$B$672,'All Statement of strategy (D)'!$I846,
$D$546='All Statement of strategy (D)'!$B$673,'All Statement of strategy (D)'!$I886,
$D$546='All Statement of strategy (D)'!$B$674,'All Statement of strategy (D)'!$I926,
1=1, "")</f>
        <v/>
      </c>
      <c r="E558" s="581" t="str" cm="1">
        <f t="array" aca="1" ref="E558" ca="1">_xlfn.IFS(
$E$546='All Statement of strategy (D)'!$B$670,'All Statement of strategy (D)'!$I766,
$E$546='All Statement of strategy (D)'!$B$671,'All Statement of strategy (D)'!$I806,
$E$546='All Statement of strategy (D)'!$B$672,'All Statement of strategy (D)'!$I846,
$E$546='All Statement of strategy (D)'!$B$673,'All Statement of strategy (D)'!$I886,
$E$546='All Statement of strategy (D)'!$B$674,'All Statement of strategy (D)'!$I926,
1=1, "")</f>
        <v/>
      </c>
      <c r="F558" s="581" t="str" cm="1">
        <f t="array" aca="1" ref="F558" ca="1">_xlfn.IFS(
$F$546='All Statement of strategy (D)'!$B$670,'All Statement of strategy (D)'!$I766,
$F$546='All Statement of strategy (D)'!$B$671,'All Statement of strategy (D)'!$I806,
$F$546='All Statement of strategy (D)'!$B$672,'All Statement of strategy (D)'!$I846,
$F$546='All Statement of strategy (D)'!$B$673,'All Statement of strategy (D)'!$I886,
$F$546='All Statement of strategy (D)'!$B$674,'All Statement of strategy (D)'!$I926,
1=1,"")</f>
        <v/>
      </c>
      <c r="G558" s="581" t="str" cm="1">
        <f t="array" aca="1" ref="G558" ca="1">_xlfn.IFS(
$G$546='All Statement of strategy (D)'!$B$670,'All Statement of strategy (D)'!$I766,
$G$546='All Statement of strategy (D)'!$B$671,'All Statement of strategy (D)'!$I806,
$G$546='All Statement of strategy (D)'!$B$672,'All Statement of strategy (D)'!$I846,
$G$546='All Statement of strategy (D)'!$B$673,'All Statement of strategy (D)'!$I886,
$G$546='All Statement of strategy (D)'!$B$674,'All Statement of strategy (D)'!$I926,
1=1, "")</f>
        <v/>
      </c>
      <c r="H558" s="581" t="str" cm="1">
        <f t="array" aca="1" ref="H558" ca="1">_xlfn.IFS(
$H$546='All Statement of strategy (D)'!$B$670,'All Statement of strategy (D)'!$I766,
$H$546='All Statement of strategy (D)'!$B$671,'All Statement of strategy (D)'!$I806,
$H$546='All Statement of strategy (D)'!$B$672,'All Statement of strategy (D)'!$I846,
$H$546='All Statement of strategy (D)'!$B$673,'All Statement of strategy (D)'!$I886,
$H$546='All Statement of strategy (D)'!$B$674,'All Statement of strategy (D)'!$I926,
1=1, "")</f>
        <v/>
      </c>
      <c r="I558" s="435"/>
      <c r="J558" s="435"/>
      <c r="N558" s="631" t="str">
        <f t="shared" ca="1" si="9"/>
        <v>Refresh the statement</v>
      </c>
    </row>
    <row r="559" spans="2:15">
      <c r="B559" s="581" t="str">
        <f ca="1">'All Statement of strategy (D)'!$I687</f>
        <v xml:space="preserve"> </v>
      </c>
      <c r="C559" s="581" t="str">
        <f ca="1">'All Statement of strategy (D)'!$I727</f>
        <v xml:space="preserve"> </v>
      </c>
      <c r="D559" s="581" t="str" cm="1">
        <f t="array" aca="1" ref="D559" ca="1">_xlfn.IFS(
$D$546='All Statement of strategy (D)'!$B$670,'All Statement of strategy (D)'!$I767,
$D$546='All Statement of strategy (D)'!$B$671,'All Statement of strategy (D)'!$I807,
$D$546='All Statement of strategy (D)'!$B$672,'All Statement of strategy (D)'!$I847,
$D$546='All Statement of strategy (D)'!$B$673,'All Statement of strategy (D)'!$I887,
$D$546='All Statement of strategy (D)'!$B$674,'All Statement of strategy (D)'!$I927,
1=1, "")</f>
        <v/>
      </c>
      <c r="E559" s="581" t="str" cm="1">
        <f t="array" aca="1" ref="E559" ca="1">_xlfn.IFS(
$E$546='All Statement of strategy (D)'!$B$670,'All Statement of strategy (D)'!$I767,
$E$546='All Statement of strategy (D)'!$B$671,'All Statement of strategy (D)'!$I807,
$E$546='All Statement of strategy (D)'!$B$672,'All Statement of strategy (D)'!$I847,
$E$546='All Statement of strategy (D)'!$B$673,'All Statement of strategy (D)'!$I887,
$E$546='All Statement of strategy (D)'!$B$674,'All Statement of strategy (D)'!$I927,
1=1, "")</f>
        <v/>
      </c>
      <c r="F559" s="581" t="str" cm="1">
        <f t="array" aca="1" ref="F559" ca="1">_xlfn.IFS(
$F$546='All Statement of strategy (D)'!$B$670,'All Statement of strategy (D)'!$I767,
$F$546='All Statement of strategy (D)'!$B$671,'All Statement of strategy (D)'!$I807,
$F$546='All Statement of strategy (D)'!$B$672,'All Statement of strategy (D)'!$I847,
$F$546='All Statement of strategy (D)'!$B$673,'All Statement of strategy (D)'!$I887,
$F$546='All Statement of strategy (D)'!$B$674,'All Statement of strategy (D)'!$I927,
1=1,"")</f>
        <v/>
      </c>
      <c r="G559" s="581" t="str" cm="1">
        <f t="array" aca="1" ref="G559" ca="1">_xlfn.IFS(
$G$546='All Statement of strategy (D)'!$B$670,'All Statement of strategy (D)'!$I767,
$G$546='All Statement of strategy (D)'!$B$671,'All Statement of strategy (D)'!$I807,
$G$546='All Statement of strategy (D)'!$B$672,'All Statement of strategy (D)'!$I847,
$G$546='All Statement of strategy (D)'!$B$673,'All Statement of strategy (D)'!$I887,
$G$546='All Statement of strategy (D)'!$B$674,'All Statement of strategy (D)'!$I927,
1=1, "")</f>
        <v/>
      </c>
      <c r="H559" s="581" t="str" cm="1">
        <f t="array" aca="1" ref="H559" ca="1">_xlfn.IFS(
$H$546='All Statement of strategy (D)'!$B$670,'All Statement of strategy (D)'!$I767,
$H$546='All Statement of strategy (D)'!$B$671,'All Statement of strategy (D)'!$I807,
$H$546='All Statement of strategy (D)'!$B$672,'All Statement of strategy (D)'!$I847,
$H$546='All Statement of strategy (D)'!$B$673,'All Statement of strategy (D)'!$I887,
$H$546='All Statement of strategy (D)'!$B$674,'All Statement of strategy (D)'!$I927,
1=1, "")</f>
        <v/>
      </c>
      <c r="I559" s="435"/>
      <c r="J559" s="435"/>
      <c r="N559" s="631" t="str">
        <f t="shared" ca="1" si="9"/>
        <v>Refresh the statement</v>
      </c>
    </row>
    <row r="560" spans="2:15">
      <c r="B560" s="581" t="str">
        <f ca="1">'All Statement of strategy (D)'!$I688</f>
        <v xml:space="preserve"> </v>
      </c>
      <c r="C560" s="581" t="str">
        <f ca="1">'All Statement of strategy (D)'!$I728</f>
        <v xml:space="preserve"> </v>
      </c>
      <c r="D560" s="581" t="str" cm="1">
        <f t="array" aca="1" ref="D560" ca="1">_xlfn.IFS(
$D$546='All Statement of strategy (D)'!$B$670,'All Statement of strategy (D)'!$I768,
$D$546='All Statement of strategy (D)'!$B$671,'All Statement of strategy (D)'!$I808,
$D$546='All Statement of strategy (D)'!$B$672,'All Statement of strategy (D)'!$I848,
$D$546='All Statement of strategy (D)'!$B$673,'All Statement of strategy (D)'!$I888,
$D$546='All Statement of strategy (D)'!$B$674,'All Statement of strategy (D)'!$I928,
1=1, "")</f>
        <v/>
      </c>
      <c r="E560" s="581" t="str" cm="1">
        <f t="array" aca="1" ref="E560" ca="1">_xlfn.IFS(
$E$546='All Statement of strategy (D)'!$B$670,'All Statement of strategy (D)'!$I768,
$E$546='All Statement of strategy (D)'!$B$671,'All Statement of strategy (D)'!$I808,
$E$546='All Statement of strategy (D)'!$B$672,'All Statement of strategy (D)'!$I848,
$E$546='All Statement of strategy (D)'!$B$673,'All Statement of strategy (D)'!$I888,
$E$546='All Statement of strategy (D)'!$B$674,'All Statement of strategy (D)'!$I928,
1=1, "")</f>
        <v/>
      </c>
      <c r="F560" s="581" t="str" cm="1">
        <f t="array" aca="1" ref="F560" ca="1">_xlfn.IFS(
$F$546='All Statement of strategy (D)'!$B$670,'All Statement of strategy (D)'!$I768,
$F$546='All Statement of strategy (D)'!$B$671,'All Statement of strategy (D)'!$I808,
$F$546='All Statement of strategy (D)'!$B$672,'All Statement of strategy (D)'!$I848,
$F$546='All Statement of strategy (D)'!$B$673,'All Statement of strategy (D)'!$I888,
$F$546='All Statement of strategy (D)'!$B$674,'All Statement of strategy (D)'!$I928,
1=1,"")</f>
        <v/>
      </c>
      <c r="G560" s="581" t="str" cm="1">
        <f t="array" aca="1" ref="G560" ca="1">_xlfn.IFS(
$G$546='All Statement of strategy (D)'!$B$670,'All Statement of strategy (D)'!$I768,
$G$546='All Statement of strategy (D)'!$B$671,'All Statement of strategy (D)'!$I808,
$G$546='All Statement of strategy (D)'!$B$672,'All Statement of strategy (D)'!$I848,
$G$546='All Statement of strategy (D)'!$B$673,'All Statement of strategy (D)'!$I888,
$G$546='All Statement of strategy (D)'!$B$674,'All Statement of strategy (D)'!$I928,
1=1, "")</f>
        <v/>
      </c>
      <c r="H560" s="581" t="str" cm="1">
        <f t="array" aca="1" ref="H560" ca="1">_xlfn.IFS(
$H$546='All Statement of strategy (D)'!$B$670,'All Statement of strategy (D)'!$I768,
$H$546='All Statement of strategy (D)'!$B$671,'All Statement of strategy (D)'!$I808,
$H$546='All Statement of strategy (D)'!$B$672,'All Statement of strategy (D)'!$I848,
$H$546='All Statement of strategy (D)'!$B$673,'All Statement of strategy (D)'!$I888,
$H$546='All Statement of strategy (D)'!$B$674,'All Statement of strategy (D)'!$I928,
1=1, "")</f>
        <v/>
      </c>
      <c r="I560" s="435"/>
      <c r="J560" s="435"/>
      <c r="N560" s="631" t="str">
        <f t="shared" ca="1" si="9"/>
        <v>Refresh the statement</v>
      </c>
    </row>
    <row r="561" spans="2:14">
      <c r="B561" s="581" t="str">
        <f ca="1">'All Statement of strategy (D)'!$I689</f>
        <v xml:space="preserve"> </v>
      </c>
      <c r="C561" s="581" t="str">
        <f ca="1">'All Statement of strategy (D)'!$I729</f>
        <v xml:space="preserve"> </v>
      </c>
      <c r="D561" s="581" t="str" cm="1">
        <f t="array" aca="1" ref="D561" ca="1">_xlfn.IFS(
$D$546='All Statement of strategy (D)'!$B$670,'All Statement of strategy (D)'!$I769,
$D$546='All Statement of strategy (D)'!$B$671,'All Statement of strategy (D)'!$I809,
$D$546='All Statement of strategy (D)'!$B$672,'All Statement of strategy (D)'!$I849,
$D$546='All Statement of strategy (D)'!$B$673,'All Statement of strategy (D)'!$I889,
$D$546='All Statement of strategy (D)'!$B$674,'All Statement of strategy (D)'!$I929,
1=1, "")</f>
        <v/>
      </c>
      <c r="E561" s="581" t="str" cm="1">
        <f t="array" aca="1" ref="E561" ca="1">_xlfn.IFS(
$E$546='All Statement of strategy (D)'!$B$670,'All Statement of strategy (D)'!$I769,
$E$546='All Statement of strategy (D)'!$B$671,'All Statement of strategy (D)'!$I809,
$E$546='All Statement of strategy (D)'!$B$672,'All Statement of strategy (D)'!$I849,
$E$546='All Statement of strategy (D)'!$B$673,'All Statement of strategy (D)'!$I889,
$E$546='All Statement of strategy (D)'!$B$674,'All Statement of strategy (D)'!$I929,
1=1, "")</f>
        <v/>
      </c>
      <c r="F561" s="581" t="str" cm="1">
        <f t="array" aca="1" ref="F561" ca="1">_xlfn.IFS(
$F$546='All Statement of strategy (D)'!$B$670,'All Statement of strategy (D)'!$I769,
$F$546='All Statement of strategy (D)'!$B$671,'All Statement of strategy (D)'!$I809,
$F$546='All Statement of strategy (D)'!$B$672,'All Statement of strategy (D)'!$I849,
$F$546='All Statement of strategy (D)'!$B$673,'All Statement of strategy (D)'!$I889,
$F$546='All Statement of strategy (D)'!$B$674,'All Statement of strategy (D)'!$I929,
1=1,"")</f>
        <v/>
      </c>
      <c r="G561" s="581" t="str" cm="1">
        <f t="array" aca="1" ref="G561" ca="1">_xlfn.IFS(
$G$546='All Statement of strategy (D)'!$B$670,'All Statement of strategy (D)'!$I769,
$G$546='All Statement of strategy (D)'!$B$671,'All Statement of strategy (D)'!$I809,
$G$546='All Statement of strategy (D)'!$B$672,'All Statement of strategy (D)'!$I849,
$G$546='All Statement of strategy (D)'!$B$673,'All Statement of strategy (D)'!$I889,
$G$546='All Statement of strategy (D)'!$B$674,'All Statement of strategy (D)'!$I929,
1=1, "")</f>
        <v/>
      </c>
      <c r="H561" s="581" t="str" cm="1">
        <f t="array" aca="1" ref="H561" ca="1">_xlfn.IFS(
$H$546='All Statement of strategy (D)'!$B$670,'All Statement of strategy (D)'!$I769,
$H$546='All Statement of strategy (D)'!$B$671,'All Statement of strategy (D)'!$I809,
$H$546='All Statement of strategy (D)'!$B$672,'All Statement of strategy (D)'!$I849,
$H$546='All Statement of strategy (D)'!$B$673,'All Statement of strategy (D)'!$I889,
$H$546='All Statement of strategy (D)'!$B$674,'All Statement of strategy (D)'!$I929,
1=1, "")</f>
        <v/>
      </c>
      <c r="I561" s="435"/>
      <c r="J561" s="435"/>
      <c r="N561" s="631" t="str">
        <f t="shared" ca="1" si="9"/>
        <v>Refresh the statement</v>
      </c>
    </row>
    <row r="562" spans="2:14">
      <c r="B562" s="581" t="str">
        <f ca="1">'All Statement of strategy (D)'!$I690</f>
        <v xml:space="preserve"> </v>
      </c>
      <c r="C562" s="581" t="str">
        <f ca="1">'All Statement of strategy (D)'!$I730</f>
        <v xml:space="preserve"> </v>
      </c>
      <c r="D562" s="581" t="str" cm="1">
        <f t="array" aca="1" ref="D562" ca="1">_xlfn.IFS(
$D$546='All Statement of strategy (D)'!$B$670,'All Statement of strategy (D)'!$I770,
$D$546='All Statement of strategy (D)'!$B$671,'All Statement of strategy (D)'!$I810,
$D$546='All Statement of strategy (D)'!$B$672,'All Statement of strategy (D)'!$I850,
$D$546='All Statement of strategy (D)'!$B$673,'All Statement of strategy (D)'!$I890,
$D$546='All Statement of strategy (D)'!$B$674,'All Statement of strategy (D)'!$I930,
1=1, "")</f>
        <v/>
      </c>
      <c r="E562" s="581" t="str" cm="1">
        <f t="array" aca="1" ref="E562" ca="1">_xlfn.IFS(
$E$546='All Statement of strategy (D)'!$B$670,'All Statement of strategy (D)'!$I770,
$E$546='All Statement of strategy (D)'!$B$671,'All Statement of strategy (D)'!$I810,
$E$546='All Statement of strategy (D)'!$B$672,'All Statement of strategy (D)'!$I850,
$E$546='All Statement of strategy (D)'!$B$673,'All Statement of strategy (D)'!$I890,
$E$546='All Statement of strategy (D)'!$B$674,'All Statement of strategy (D)'!$I930,
1=1, "")</f>
        <v/>
      </c>
      <c r="F562" s="581" t="str" cm="1">
        <f t="array" aca="1" ref="F562" ca="1">_xlfn.IFS(
$F$546='All Statement of strategy (D)'!$B$670,'All Statement of strategy (D)'!$I770,
$F$546='All Statement of strategy (D)'!$B$671,'All Statement of strategy (D)'!$I810,
$F$546='All Statement of strategy (D)'!$B$672,'All Statement of strategy (D)'!$I850,
$F$546='All Statement of strategy (D)'!$B$673,'All Statement of strategy (D)'!$I890,
$F$546='All Statement of strategy (D)'!$B$674,'All Statement of strategy (D)'!$I930,
1=1,"")</f>
        <v/>
      </c>
      <c r="G562" s="581" t="str" cm="1">
        <f t="array" aca="1" ref="G562" ca="1">_xlfn.IFS(
$G$546='All Statement of strategy (D)'!$B$670,'All Statement of strategy (D)'!$I770,
$G$546='All Statement of strategy (D)'!$B$671,'All Statement of strategy (D)'!$I810,
$G$546='All Statement of strategy (D)'!$B$672,'All Statement of strategy (D)'!$I850,
$G$546='All Statement of strategy (D)'!$B$673,'All Statement of strategy (D)'!$I890,
$G$546='All Statement of strategy (D)'!$B$674,'All Statement of strategy (D)'!$I930,
1=1, "")</f>
        <v/>
      </c>
      <c r="H562" s="581" t="str" cm="1">
        <f t="array" aca="1" ref="H562" ca="1">_xlfn.IFS(
$H$546='All Statement of strategy (D)'!$B$670,'All Statement of strategy (D)'!$I770,
$H$546='All Statement of strategy (D)'!$B$671,'All Statement of strategy (D)'!$I810,
$H$546='All Statement of strategy (D)'!$B$672,'All Statement of strategy (D)'!$I850,
$H$546='All Statement of strategy (D)'!$B$673,'All Statement of strategy (D)'!$I890,
$H$546='All Statement of strategy (D)'!$B$674,'All Statement of strategy (D)'!$I930,
1=1, "")</f>
        <v/>
      </c>
      <c r="I562" s="435"/>
      <c r="J562" s="435"/>
      <c r="N562" s="631" t="str">
        <f t="shared" ca="1" si="9"/>
        <v>Refresh the statement</v>
      </c>
    </row>
    <row r="563" spans="2:14">
      <c r="B563" s="581" t="str">
        <f ca="1">'All Statement of strategy (D)'!$I691</f>
        <v xml:space="preserve"> </v>
      </c>
      <c r="C563" s="581" t="str">
        <f ca="1">'All Statement of strategy (D)'!$I731</f>
        <v xml:space="preserve"> </v>
      </c>
      <c r="D563" s="581" t="str" cm="1">
        <f t="array" aca="1" ref="D563" ca="1">_xlfn.IFS(
$D$546='All Statement of strategy (D)'!$B$670,'All Statement of strategy (D)'!$I771,
$D$546='All Statement of strategy (D)'!$B$671,'All Statement of strategy (D)'!$I811,
$D$546='All Statement of strategy (D)'!$B$672,'All Statement of strategy (D)'!$I851,
$D$546='All Statement of strategy (D)'!$B$673,'All Statement of strategy (D)'!$I891,
$D$546='All Statement of strategy (D)'!$B$674,'All Statement of strategy (D)'!$I931,
1=1, "")</f>
        <v/>
      </c>
      <c r="E563" s="581" t="str" cm="1">
        <f t="array" aca="1" ref="E563" ca="1">_xlfn.IFS(
$E$546='All Statement of strategy (D)'!$B$670,'All Statement of strategy (D)'!$I771,
$E$546='All Statement of strategy (D)'!$B$671,'All Statement of strategy (D)'!$I811,
$E$546='All Statement of strategy (D)'!$B$672,'All Statement of strategy (D)'!$I851,
$E$546='All Statement of strategy (D)'!$B$673,'All Statement of strategy (D)'!$I891,
$E$546='All Statement of strategy (D)'!$B$674,'All Statement of strategy (D)'!$I931,
1=1, "")</f>
        <v/>
      </c>
      <c r="F563" s="581" t="str" cm="1">
        <f t="array" aca="1" ref="F563" ca="1">_xlfn.IFS(
$F$546='All Statement of strategy (D)'!$B$670,'All Statement of strategy (D)'!$I771,
$F$546='All Statement of strategy (D)'!$B$671,'All Statement of strategy (D)'!$I811,
$F$546='All Statement of strategy (D)'!$B$672,'All Statement of strategy (D)'!$I851,
$F$546='All Statement of strategy (D)'!$B$673,'All Statement of strategy (D)'!$I891,
$F$546='All Statement of strategy (D)'!$B$674,'All Statement of strategy (D)'!$I931,
1=1,"")</f>
        <v/>
      </c>
      <c r="G563" s="581" t="str" cm="1">
        <f t="array" aca="1" ref="G563" ca="1">_xlfn.IFS(
$G$546='All Statement of strategy (D)'!$B$670,'All Statement of strategy (D)'!$I771,
$G$546='All Statement of strategy (D)'!$B$671,'All Statement of strategy (D)'!$I811,
$G$546='All Statement of strategy (D)'!$B$672,'All Statement of strategy (D)'!$I851,
$G$546='All Statement of strategy (D)'!$B$673,'All Statement of strategy (D)'!$I891,
$G$546='All Statement of strategy (D)'!$B$674,'All Statement of strategy (D)'!$I931,
1=1, "")</f>
        <v/>
      </c>
      <c r="H563" s="581" t="str" cm="1">
        <f t="array" aca="1" ref="H563" ca="1">_xlfn.IFS(
$H$546='All Statement of strategy (D)'!$B$670,'All Statement of strategy (D)'!$I771,
$H$546='All Statement of strategy (D)'!$B$671,'All Statement of strategy (D)'!$I811,
$H$546='All Statement of strategy (D)'!$B$672,'All Statement of strategy (D)'!$I851,
$H$546='All Statement of strategy (D)'!$B$673,'All Statement of strategy (D)'!$I891,
$H$546='All Statement of strategy (D)'!$B$674,'All Statement of strategy (D)'!$I931,
1=1, "")</f>
        <v/>
      </c>
      <c r="I563" s="435"/>
      <c r="J563" s="435"/>
      <c r="N563" s="631" t="str">
        <f t="shared" ca="1" si="9"/>
        <v>Refresh the statement</v>
      </c>
    </row>
    <row r="564" spans="2:14">
      <c r="B564" s="581" t="str">
        <f ca="1">'All Statement of strategy (D)'!$I692</f>
        <v xml:space="preserve"> </v>
      </c>
      <c r="C564" s="581" t="str">
        <f ca="1">'All Statement of strategy (D)'!$I732</f>
        <v xml:space="preserve"> </v>
      </c>
      <c r="D564" s="581" t="str" cm="1">
        <f t="array" aca="1" ref="D564" ca="1">_xlfn.IFS(
$D$546='All Statement of strategy (D)'!$B$670,'All Statement of strategy (D)'!$I772,
$D$546='All Statement of strategy (D)'!$B$671,'All Statement of strategy (D)'!$I812,
$D$546='All Statement of strategy (D)'!$B$672,'All Statement of strategy (D)'!$I852,
$D$546='All Statement of strategy (D)'!$B$673,'All Statement of strategy (D)'!$I892,
$D$546='All Statement of strategy (D)'!$B$674,'All Statement of strategy (D)'!$I932,
1=1, "")</f>
        <v/>
      </c>
      <c r="E564" s="581" t="str" cm="1">
        <f t="array" aca="1" ref="E564" ca="1">_xlfn.IFS(
$E$546='All Statement of strategy (D)'!$B$670,'All Statement of strategy (D)'!$I772,
$E$546='All Statement of strategy (D)'!$B$671,'All Statement of strategy (D)'!$I812,
$E$546='All Statement of strategy (D)'!$B$672,'All Statement of strategy (D)'!$I852,
$E$546='All Statement of strategy (D)'!$B$673,'All Statement of strategy (D)'!$I892,
$E$546='All Statement of strategy (D)'!$B$674,'All Statement of strategy (D)'!$I932,
1=1, "")</f>
        <v/>
      </c>
      <c r="F564" s="581" t="str" cm="1">
        <f t="array" aca="1" ref="F564" ca="1">_xlfn.IFS(
$F$546='All Statement of strategy (D)'!$B$670,'All Statement of strategy (D)'!$I772,
$F$546='All Statement of strategy (D)'!$B$671,'All Statement of strategy (D)'!$I812,
$F$546='All Statement of strategy (D)'!$B$672,'All Statement of strategy (D)'!$I852,
$F$546='All Statement of strategy (D)'!$B$673,'All Statement of strategy (D)'!$I892,
$F$546='All Statement of strategy (D)'!$B$674,'All Statement of strategy (D)'!$I932,
1=1,"")</f>
        <v/>
      </c>
      <c r="G564" s="581" t="str" cm="1">
        <f t="array" aca="1" ref="G564" ca="1">_xlfn.IFS(
$G$546='All Statement of strategy (D)'!$B$670,'All Statement of strategy (D)'!$I772,
$G$546='All Statement of strategy (D)'!$B$671,'All Statement of strategy (D)'!$I812,
$G$546='All Statement of strategy (D)'!$B$672,'All Statement of strategy (D)'!$I852,
$G$546='All Statement of strategy (D)'!$B$673,'All Statement of strategy (D)'!$I892,
$G$546='All Statement of strategy (D)'!$B$674,'All Statement of strategy (D)'!$I932,
1=1, "")</f>
        <v/>
      </c>
      <c r="H564" s="581" t="str" cm="1">
        <f t="array" aca="1" ref="H564" ca="1">_xlfn.IFS(
$H$546='All Statement of strategy (D)'!$B$670,'All Statement of strategy (D)'!$I772,
$H$546='All Statement of strategy (D)'!$B$671,'All Statement of strategy (D)'!$I812,
$H$546='All Statement of strategy (D)'!$B$672,'All Statement of strategy (D)'!$I852,
$H$546='All Statement of strategy (D)'!$B$673,'All Statement of strategy (D)'!$I892,
$H$546='All Statement of strategy (D)'!$B$674,'All Statement of strategy (D)'!$I932,
1=1, "")</f>
        <v/>
      </c>
      <c r="I564" s="435"/>
      <c r="J564" s="435"/>
      <c r="N564" s="631" t="str">
        <f t="shared" ca="1" si="9"/>
        <v>Refresh the statement</v>
      </c>
    </row>
    <row r="565" spans="2:14">
      <c r="B565" s="581" t="str">
        <f ca="1">'All Statement of strategy (D)'!$I693</f>
        <v xml:space="preserve"> </v>
      </c>
      <c r="C565" s="581" t="str">
        <f ca="1">'All Statement of strategy (D)'!$I733</f>
        <v xml:space="preserve"> </v>
      </c>
      <c r="D565" s="581" t="str" cm="1">
        <f t="array" aca="1" ref="D565" ca="1">_xlfn.IFS(
$D$546='All Statement of strategy (D)'!$B$670,'All Statement of strategy (D)'!$I773,
$D$546='All Statement of strategy (D)'!$B$671,'All Statement of strategy (D)'!$I813,
$D$546='All Statement of strategy (D)'!$B$672,'All Statement of strategy (D)'!$I853,
$D$546='All Statement of strategy (D)'!$B$673,'All Statement of strategy (D)'!$I893,
$D$546='All Statement of strategy (D)'!$B$674,'All Statement of strategy (D)'!$I933,
1=1, "")</f>
        <v/>
      </c>
      <c r="E565" s="581" t="str" cm="1">
        <f t="array" aca="1" ref="E565" ca="1">_xlfn.IFS(
$E$546='All Statement of strategy (D)'!$B$670,'All Statement of strategy (D)'!$I773,
$E$546='All Statement of strategy (D)'!$B$671,'All Statement of strategy (D)'!$I813,
$E$546='All Statement of strategy (D)'!$B$672,'All Statement of strategy (D)'!$I853,
$E$546='All Statement of strategy (D)'!$B$673,'All Statement of strategy (D)'!$I893,
$E$546='All Statement of strategy (D)'!$B$674,'All Statement of strategy (D)'!$I933,
1=1, "")</f>
        <v/>
      </c>
      <c r="F565" s="581" t="str" cm="1">
        <f t="array" aca="1" ref="F565" ca="1">_xlfn.IFS(
$F$546='All Statement of strategy (D)'!$B$670,'All Statement of strategy (D)'!$I773,
$F$546='All Statement of strategy (D)'!$B$671,'All Statement of strategy (D)'!$I813,
$F$546='All Statement of strategy (D)'!$B$672,'All Statement of strategy (D)'!$I853,
$F$546='All Statement of strategy (D)'!$B$673,'All Statement of strategy (D)'!$I893,
$F$546='All Statement of strategy (D)'!$B$674,'All Statement of strategy (D)'!$I933,
1=1,"")</f>
        <v/>
      </c>
      <c r="G565" s="581" t="str" cm="1">
        <f t="array" aca="1" ref="G565" ca="1">_xlfn.IFS(
$G$546='All Statement of strategy (D)'!$B$670,'All Statement of strategy (D)'!$I773,
$G$546='All Statement of strategy (D)'!$B$671,'All Statement of strategy (D)'!$I813,
$G$546='All Statement of strategy (D)'!$B$672,'All Statement of strategy (D)'!$I853,
$G$546='All Statement of strategy (D)'!$B$673,'All Statement of strategy (D)'!$I893,
$G$546='All Statement of strategy (D)'!$B$674,'All Statement of strategy (D)'!$I933,
1=1, "")</f>
        <v/>
      </c>
      <c r="H565" s="581" t="str" cm="1">
        <f t="array" aca="1" ref="H565" ca="1">_xlfn.IFS(
$H$546='All Statement of strategy (D)'!$B$670,'All Statement of strategy (D)'!$I773,
$H$546='All Statement of strategy (D)'!$B$671,'All Statement of strategy (D)'!$I813,
$H$546='All Statement of strategy (D)'!$B$672,'All Statement of strategy (D)'!$I853,
$H$546='All Statement of strategy (D)'!$B$673,'All Statement of strategy (D)'!$I893,
$H$546='All Statement of strategy (D)'!$B$674,'All Statement of strategy (D)'!$I933,
1=1, "")</f>
        <v/>
      </c>
      <c r="I565" s="435"/>
      <c r="J565" s="435"/>
      <c r="N565" s="631" t="str">
        <f t="shared" ca="1" si="9"/>
        <v>Refresh the statement</v>
      </c>
    </row>
    <row r="566" spans="2:14">
      <c r="B566" s="581" t="str">
        <f ca="1">'All Statement of strategy (D)'!$I694</f>
        <v xml:space="preserve"> </v>
      </c>
      <c r="C566" s="581" t="str">
        <f ca="1">'All Statement of strategy (D)'!$I734</f>
        <v xml:space="preserve"> </v>
      </c>
      <c r="D566" s="581" t="str" cm="1">
        <f t="array" aca="1" ref="D566" ca="1">_xlfn.IFS(
$D$546='All Statement of strategy (D)'!$B$670,'All Statement of strategy (D)'!$I774,
$D$546='All Statement of strategy (D)'!$B$671,'All Statement of strategy (D)'!$I814,
$D$546='All Statement of strategy (D)'!$B$672,'All Statement of strategy (D)'!$I854,
$D$546='All Statement of strategy (D)'!$B$673,'All Statement of strategy (D)'!$I894,
$D$546='All Statement of strategy (D)'!$B$674,'All Statement of strategy (D)'!$I934,
1=1, "")</f>
        <v/>
      </c>
      <c r="E566" s="581" t="str" cm="1">
        <f t="array" aca="1" ref="E566" ca="1">_xlfn.IFS(
$E$546='All Statement of strategy (D)'!$B$670,'All Statement of strategy (D)'!$I774,
$E$546='All Statement of strategy (D)'!$B$671,'All Statement of strategy (D)'!$I814,
$E$546='All Statement of strategy (D)'!$B$672,'All Statement of strategy (D)'!$I854,
$E$546='All Statement of strategy (D)'!$B$673,'All Statement of strategy (D)'!$I894,
$E$546='All Statement of strategy (D)'!$B$674,'All Statement of strategy (D)'!$I934,
1=1, "")</f>
        <v/>
      </c>
      <c r="F566" s="581" t="str" cm="1">
        <f t="array" aca="1" ref="F566" ca="1">_xlfn.IFS(
$F$546='All Statement of strategy (D)'!$B$670,'All Statement of strategy (D)'!$I774,
$F$546='All Statement of strategy (D)'!$B$671,'All Statement of strategy (D)'!$I814,
$F$546='All Statement of strategy (D)'!$B$672,'All Statement of strategy (D)'!$I854,
$F$546='All Statement of strategy (D)'!$B$673,'All Statement of strategy (D)'!$I894,
$F$546='All Statement of strategy (D)'!$B$674,'All Statement of strategy (D)'!$I934,
1=1,"")</f>
        <v/>
      </c>
      <c r="G566" s="581" t="str" cm="1">
        <f t="array" aca="1" ref="G566" ca="1">_xlfn.IFS(
$G$546='All Statement of strategy (D)'!$B$670,'All Statement of strategy (D)'!$I774,
$G$546='All Statement of strategy (D)'!$B$671,'All Statement of strategy (D)'!$I814,
$G$546='All Statement of strategy (D)'!$B$672,'All Statement of strategy (D)'!$I854,
$G$546='All Statement of strategy (D)'!$B$673,'All Statement of strategy (D)'!$I894,
$G$546='All Statement of strategy (D)'!$B$674,'All Statement of strategy (D)'!$I934,
1=1, "")</f>
        <v/>
      </c>
      <c r="H566" s="581" t="str" cm="1">
        <f t="array" aca="1" ref="H566" ca="1">_xlfn.IFS(
$H$546='All Statement of strategy (D)'!$B$670,'All Statement of strategy (D)'!$I774,
$H$546='All Statement of strategy (D)'!$B$671,'All Statement of strategy (D)'!$I814,
$H$546='All Statement of strategy (D)'!$B$672,'All Statement of strategy (D)'!$I854,
$H$546='All Statement of strategy (D)'!$B$673,'All Statement of strategy (D)'!$I894,
$H$546='All Statement of strategy (D)'!$B$674,'All Statement of strategy (D)'!$I934,
1=1, "")</f>
        <v/>
      </c>
      <c r="I566" s="435"/>
      <c r="J566" s="435"/>
      <c r="N566" s="631" t="str">
        <f t="shared" ca="1" si="9"/>
        <v>Refresh the statement</v>
      </c>
    </row>
    <row r="567" spans="2:14">
      <c r="B567" s="581" t="str">
        <f ca="1">'All Statement of strategy (D)'!$I695</f>
        <v xml:space="preserve"> </v>
      </c>
      <c r="C567" s="581" t="str">
        <f ca="1">'All Statement of strategy (D)'!$I735</f>
        <v xml:space="preserve"> </v>
      </c>
      <c r="D567" s="581" t="str" cm="1">
        <f t="array" aca="1" ref="D567" ca="1">_xlfn.IFS(
$D$546='All Statement of strategy (D)'!$B$670,'All Statement of strategy (D)'!$I775,
$D$546='All Statement of strategy (D)'!$B$671,'All Statement of strategy (D)'!$I815,
$D$546='All Statement of strategy (D)'!$B$672,'All Statement of strategy (D)'!$I855,
$D$546='All Statement of strategy (D)'!$B$673,'All Statement of strategy (D)'!$I895,
$D$546='All Statement of strategy (D)'!$B$674,'All Statement of strategy (D)'!$I935,
1=1, "")</f>
        <v/>
      </c>
      <c r="E567" s="581" t="str" cm="1">
        <f t="array" aca="1" ref="E567" ca="1">_xlfn.IFS(
$E$546='All Statement of strategy (D)'!$B$670,'All Statement of strategy (D)'!$I775,
$E$546='All Statement of strategy (D)'!$B$671,'All Statement of strategy (D)'!$I815,
$E$546='All Statement of strategy (D)'!$B$672,'All Statement of strategy (D)'!$I855,
$E$546='All Statement of strategy (D)'!$B$673,'All Statement of strategy (D)'!$I895,
$E$546='All Statement of strategy (D)'!$B$674,'All Statement of strategy (D)'!$I935,
1=1, "")</f>
        <v/>
      </c>
      <c r="F567" s="581" t="str" cm="1">
        <f t="array" aca="1" ref="F567" ca="1">_xlfn.IFS(
$F$546='All Statement of strategy (D)'!$B$670,'All Statement of strategy (D)'!$I775,
$F$546='All Statement of strategy (D)'!$B$671,'All Statement of strategy (D)'!$I815,
$F$546='All Statement of strategy (D)'!$B$672,'All Statement of strategy (D)'!$I855,
$F$546='All Statement of strategy (D)'!$B$673,'All Statement of strategy (D)'!$I895,
$F$546='All Statement of strategy (D)'!$B$674,'All Statement of strategy (D)'!$I935,
1=1,"")</f>
        <v/>
      </c>
      <c r="G567" s="581" t="str" cm="1">
        <f t="array" aca="1" ref="G567" ca="1">_xlfn.IFS(
$G$546='All Statement of strategy (D)'!$B$670,'All Statement of strategy (D)'!$I775,
$G$546='All Statement of strategy (D)'!$B$671,'All Statement of strategy (D)'!$I815,
$G$546='All Statement of strategy (D)'!$B$672,'All Statement of strategy (D)'!$I855,
$G$546='All Statement of strategy (D)'!$B$673,'All Statement of strategy (D)'!$I895,
$G$546='All Statement of strategy (D)'!$B$674,'All Statement of strategy (D)'!$I935,
1=1, "")</f>
        <v/>
      </c>
      <c r="H567" s="581" t="str" cm="1">
        <f t="array" aca="1" ref="H567" ca="1">_xlfn.IFS(
$H$546='All Statement of strategy (D)'!$B$670,'All Statement of strategy (D)'!$I775,
$H$546='All Statement of strategy (D)'!$B$671,'All Statement of strategy (D)'!$I815,
$H$546='All Statement of strategy (D)'!$B$672,'All Statement of strategy (D)'!$I855,
$H$546='All Statement of strategy (D)'!$B$673,'All Statement of strategy (D)'!$I895,
$H$546='All Statement of strategy (D)'!$B$674,'All Statement of strategy (D)'!$I935,
1=1, "")</f>
        <v/>
      </c>
      <c r="I567" s="435"/>
      <c r="J567" s="435"/>
      <c r="N567" s="631" t="str">
        <f t="shared" ca="1" si="9"/>
        <v>Refresh the statement</v>
      </c>
    </row>
    <row r="568" spans="2:14">
      <c r="B568" s="581" t="str">
        <f ca="1">'All Statement of strategy (D)'!$I696</f>
        <v xml:space="preserve"> </v>
      </c>
      <c r="C568" s="581" t="str">
        <f ca="1">'All Statement of strategy (D)'!$I736</f>
        <v xml:space="preserve"> </v>
      </c>
      <c r="D568" s="581" t="str" cm="1">
        <f t="array" aca="1" ref="D568" ca="1">_xlfn.IFS(
$D$546='All Statement of strategy (D)'!$B$670,'All Statement of strategy (D)'!$I776,
$D$546='All Statement of strategy (D)'!$B$671,'All Statement of strategy (D)'!$I816,
$D$546='All Statement of strategy (D)'!$B$672,'All Statement of strategy (D)'!$I856,
$D$546='All Statement of strategy (D)'!$B$673,'All Statement of strategy (D)'!$I896,
$D$546='All Statement of strategy (D)'!$B$674,'All Statement of strategy (D)'!$I936,
1=1, "")</f>
        <v/>
      </c>
      <c r="E568" s="581" t="str" cm="1">
        <f t="array" aca="1" ref="E568" ca="1">_xlfn.IFS(
$E$546='All Statement of strategy (D)'!$B$670,'All Statement of strategy (D)'!$I776,
$E$546='All Statement of strategy (D)'!$B$671,'All Statement of strategy (D)'!$I816,
$E$546='All Statement of strategy (D)'!$B$672,'All Statement of strategy (D)'!$I856,
$E$546='All Statement of strategy (D)'!$B$673,'All Statement of strategy (D)'!$I896,
$E$546='All Statement of strategy (D)'!$B$674,'All Statement of strategy (D)'!$I936,
1=1, "")</f>
        <v/>
      </c>
      <c r="F568" s="581" t="str" cm="1">
        <f t="array" aca="1" ref="F568" ca="1">_xlfn.IFS(
$F$546='All Statement of strategy (D)'!$B$670,'All Statement of strategy (D)'!$I776,
$F$546='All Statement of strategy (D)'!$B$671,'All Statement of strategy (D)'!$I816,
$F$546='All Statement of strategy (D)'!$B$672,'All Statement of strategy (D)'!$I856,
$F$546='All Statement of strategy (D)'!$B$673,'All Statement of strategy (D)'!$I896,
$F$546='All Statement of strategy (D)'!$B$674,'All Statement of strategy (D)'!$I936,
1=1,"")</f>
        <v/>
      </c>
      <c r="G568" s="581" t="str" cm="1">
        <f t="array" aca="1" ref="G568" ca="1">_xlfn.IFS(
$G$546='All Statement of strategy (D)'!$B$670,'All Statement of strategy (D)'!$I776,
$G$546='All Statement of strategy (D)'!$B$671,'All Statement of strategy (D)'!$I816,
$G$546='All Statement of strategy (D)'!$B$672,'All Statement of strategy (D)'!$I856,
$G$546='All Statement of strategy (D)'!$B$673,'All Statement of strategy (D)'!$I896,
$G$546='All Statement of strategy (D)'!$B$674,'All Statement of strategy (D)'!$I936,
1=1, "")</f>
        <v/>
      </c>
      <c r="H568" s="581" t="str" cm="1">
        <f t="array" aca="1" ref="H568" ca="1">_xlfn.IFS(
$H$546='All Statement of strategy (D)'!$B$670,'All Statement of strategy (D)'!$I776,
$H$546='All Statement of strategy (D)'!$B$671,'All Statement of strategy (D)'!$I816,
$H$546='All Statement of strategy (D)'!$B$672,'All Statement of strategy (D)'!$I856,
$H$546='All Statement of strategy (D)'!$B$673,'All Statement of strategy (D)'!$I896,
$H$546='All Statement of strategy (D)'!$B$674,'All Statement of strategy (D)'!$I936,
1=1, "")</f>
        <v/>
      </c>
      <c r="I568" s="435"/>
      <c r="J568" s="435"/>
      <c r="N568" s="631" t="str">
        <f t="shared" ca="1" si="9"/>
        <v>Refresh the statement</v>
      </c>
    </row>
    <row r="569" spans="2:14">
      <c r="B569" s="581" t="str">
        <f ca="1">'All Statement of strategy (D)'!$I697</f>
        <v xml:space="preserve"> </v>
      </c>
      <c r="C569" s="581" t="str">
        <f ca="1">'All Statement of strategy (D)'!$I737</f>
        <v xml:space="preserve"> </v>
      </c>
      <c r="D569" s="581" t="str" cm="1">
        <f t="array" aca="1" ref="D569" ca="1">_xlfn.IFS(
$D$546='All Statement of strategy (D)'!$B$670,'All Statement of strategy (D)'!$I777,
$D$546='All Statement of strategy (D)'!$B$671,'All Statement of strategy (D)'!$I817,
$D$546='All Statement of strategy (D)'!$B$672,'All Statement of strategy (D)'!$I857,
$D$546='All Statement of strategy (D)'!$B$673,'All Statement of strategy (D)'!$I897,
$D$546='All Statement of strategy (D)'!$B$674,'All Statement of strategy (D)'!$I937,
1=1, "")</f>
        <v/>
      </c>
      <c r="E569" s="581" t="str" cm="1">
        <f t="array" aca="1" ref="E569" ca="1">_xlfn.IFS(
$E$546='All Statement of strategy (D)'!$B$670,'All Statement of strategy (D)'!$I777,
$E$546='All Statement of strategy (D)'!$B$671,'All Statement of strategy (D)'!$I817,
$E$546='All Statement of strategy (D)'!$B$672,'All Statement of strategy (D)'!$I857,
$E$546='All Statement of strategy (D)'!$B$673,'All Statement of strategy (D)'!$I897,
$E$546='All Statement of strategy (D)'!$B$674,'All Statement of strategy (D)'!$I937,
1=1, "")</f>
        <v/>
      </c>
      <c r="F569" s="581" t="str" cm="1">
        <f t="array" aca="1" ref="F569" ca="1">_xlfn.IFS(
$F$546='All Statement of strategy (D)'!$B$670,'All Statement of strategy (D)'!$I777,
$F$546='All Statement of strategy (D)'!$B$671,'All Statement of strategy (D)'!$I817,
$F$546='All Statement of strategy (D)'!$B$672,'All Statement of strategy (D)'!$I857,
$F$546='All Statement of strategy (D)'!$B$673,'All Statement of strategy (D)'!$I897,
$F$546='All Statement of strategy (D)'!$B$674,'All Statement of strategy (D)'!$I937,
1=1,"")</f>
        <v/>
      </c>
      <c r="G569" s="581" t="str" cm="1">
        <f t="array" aca="1" ref="G569" ca="1">_xlfn.IFS(
$G$546='All Statement of strategy (D)'!$B$670,'All Statement of strategy (D)'!$I777,
$G$546='All Statement of strategy (D)'!$B$671,'All Statement of strategy (D)'!$I817,
$G$546='All Statement of strategy (D)'!$B$672,'All Statement of strategy (D)'!$I857,
$G$546='All Statement of strategy (D)'!$B$673,'All Statement of strategy (D)'!$I897,
$G$546='All Statement of strategy (D)'!$B$674,'All Statement of strategy (D)'!$I937,
1=1, "")</f>
        <v/>
      </c>
      <c r="H569" s="581" t="str" cm="1">
        <f t="array" aca="1" ref="H569" ca="1">_xlfn.IFS(
$H$546='All Statement of strategy (D)'!$B$670,'All Statement of strategy (D)'!$I777,
$H$546='All Statement of strategy (D)'!$B$671,'All Statement of strategy (D)'!$I817,
$H$546='All Statement of strategy (D)'!$B$672,'All Statement of strategy (D)'!$I857,
$H$546='All Statement of strategy (D)'!$B$673,'All Statement of strategy (D)'!$I897,
$H$546='All Statement of strategy (D)'!$B$674,'All Statement of strategy (D)'!$I937,
1=1, "")</f>
        <v/>
      </c>
      <c r="I569" s="435"/>
      <c r="J569" s="435"/>
      <c r="N569" s="631" t="str">
        <f t="shared" ca="1" si="9"/>
        <v>Refresh the statement</v>
      </c>
    </row>
    <row r="570" spans="2:14">
      <c r="B570" s="581" t="str">
        <f ca="1">'All Statement of strategy (D)'!$I698</f>
        <v xml:space="preserve"> </v>
      </c>
      <c r="C570" s="581" t="str">
        <f ca="1">'All Statement of strategy (D)'!$I738</f>
        <v xml:space="preserve"> </v>
      </c>
      <c r="D570" s="581" t="str" cm="1">
        <f t="array" aca="1" ref="D570" ca="1">_xlfn.IFS(
$D$546='All Statement of strategy (D)'!$B$670,'All Statement of strategy (D)'!$I778,
$D$546='All Statement of strategy (D)'!$B$671,'All Statement of strategy (D)'!$I818,
$D$546='All Statement of strategy (D)'!$B$672,'All Statement of strategy (D)'!$I858,
$D$546='All Statement of strategy (D)'!$B$673,'All Statement of strategy (D)'!$I898,
$D$546='All Statement of strategy (D)'!$B$674,'All Statement of strategy (D)'!$I938,
1=1, "")</f>
        <v/>
      </c>
      <c r="E570" s="581" t="str" cm="1">
        <f t="array" aca="1" ref="E570" ca="1">_xlfn.IFS(
$E$546='All Statement of strategy (D)'!$B$670,'All Statement of strategy (D)'!$I778,
$E$546='All Statement of strategy (D)'!$B$671,'All Statement of strategy (D)'!$I818,
$E$546='All Statement of strategy (D)'!$B$672,'All Statement of strategy (D)'!$I858,
$E$546='All Statement of strategy (D)'!$B$673,'All Statement of strategy (D)'!$I898,
$E$546='All Statement of strategy (D)'!$B$674,'All Statement of strategy (D)'!$I938,
1=1, "")</f>
        <v/>
      </c>
      <c r="F570" s="581" t="str" cm="1">
        <f t="array" aca="1" ref="F570" ca="1">_xlfn.IFS(
$F$546='All Statement of strategy (D)'!$B$670,'All Statement of strategy (D)'!$I778,
$F$546='All Statement of strategy (D)'!$B$671,'All Statement of strategy (D)'!$I818,
$F$546='All Statement of strategy (D)'!$B$672,'All Statement of strategy (D)'!$I858,
$F$546='All Statement of strategy (D)'!$B$673,'All Statement of strategy (D)'!$I898,
$F$546='All Statement of strategy (D)'!$B$674,'All Statement of strategy (D)'!$I938,
1=1,"")</f>
        <v/>
      </c>
      <c r="G570" s="581" t="str" cm="1">
        <f t="array" aca="1" ref="G570" ca="1">_xlfn.IFS(
$G$546='All Statement of strategy (D)'!$B$670,'All Statement of strategy (D)'!$I778,
$G$546='All Statement of strategy (D)'!$B$671,'All Statement of strategy (D)'!$I818,
$G$546='All Statement of strategy (D)'!$B$672,'All Statement of strategy (D)'!$I858,
$G$546='All Statement of strategy (D)'!$B$673,'All Statement of strategy (D)'!$I898,
$G$546='All Statement of strategy (D)'!$B$674,'All Statement of strategy (D)'!$I938,
1=1, "")</f>
        <v/>
      </c>
      <c r="H570" s="581" t="str" cm="1">
        <f t="array" aca="1" ref="H570" ca="1">_xlfn.IFS(
$H$546='All Statement of strategy (D)'!$B$670,'All Statement of strategy (D)'!$I778,
$H$546='All Statement of strategy (D)'!$B$671,'All Statement of strategy (D)'!$I818,
$H$546='All Statement of strategy (D)'!$B$672,'All Statement of strategy (D)'!$I858,
$H$546='All Statement of strategy (D)'!$B$673,'All Statement of strategy (D)'!$I898,
$H$546='All Statement of strategy (D)'!$B$674,'All Statement of strategy (D)'!$I938,
1=1, "")</f>
        <v/>
      </c>
      <c r="I570" s="435"/>
      <c r="J570" s="435"/>
      <c r="N570" s="631" t="str">
        <f t="shared" ca="1" si="9"/>
        <v>Refresh the statement</v>
      </c>
    </row>
    <row r="571" spans="2:14">
      <c r="B571" s="581" t="str">
        <f ca="1">'All Statement of strategy (D)'!$I699</f>
        <v xml:space="preserve"> </v>
      </c>
      <c r="C571" s="581" t="str">
        <f ca="1">'All Statement of strategy (D)'!$I739</f>
        <v xml:space="preserve"> </v>
      </c>
      <c r="D571" s="581" t="str" cm="1">
        <f t="array" aca="1" ref="D571" ca="1">_xlfn.IFS(
$D$546='All Statement of strategy (D)'!$B$670,'All Statement of strategy (D)'!$I779,
$D$546='All Statement of strategy (D)'!$B$671,'All Statement of strategy (D)'!$I819,
$D$546='All Statement of strategy (D)'!$B$672,'All Statement of strategy (D)'!$I859,
$D$546='All Statement of strategy (D)'!$B$673,'All Statement of strategy (D)'!$I899,
$D$546='All Statement of strategy (D)'!$B$674,'All Statement of strategy (D)'!$I939,
1=1, "")</f>
        <v/>
      </c>
      <c r="E571" s="581" t="str" cm="1">
        <f t="array" aca="1" ref="E571" ca="1">_xlfn.IFS(
$E$546='All Statement of strategy (D)'!$B$670,'All Statement of strategy (D)'!$I779,
$E$546='All Statement of strategy (D)'!$B$671,'All Statement of strategy (D)'!$I819,
$E$546='All Statement of strategy (D)'!$B$672,'All Statement of strategy (D)'!$I859,
$E$546='All Statement of strategy (D)'!$B$673,'All Statement of strategy (D)'!$I899,
$E$546='All Statement of strategy (D)'!$B$674,'All Statement of strategy (D)'!$I939,
1=1, "")</f>
        <v/>
      </c>
      <c r="F571" s="581" t="str" cm="1">
        <f t="array" aca="1" ref="F571" ca="1">_xlfn.IFS(
$F$546='All Statement of strategy (D)'!$B$670,'All Statement of strategy (D)'!$I779,
$F$546='All Statement of strategy (D)'!$B$671,'All Statement of strategy (D)'!$I819,
$F$546='All Statement of strategy (D)'!$B$672,'All Statement of strategy (D)'!$I859,
$F$546='All Statement of strategy (D)'!$B$673,'All Statement of strategy (D)'!$I899,
$F$546='All Statement of strategy (D)'!$B$674,'All Statement of strategy (D)'!$I939,
1=1,"")</f>
        <v/>
      </c>
      <c r="G571" s="581" t="str" cm="1">
        <f t="array" aca="1" ref="G571" ca="1">_xlfn.IFS(
$G$546='All Statement of strategy (D)'!$B$670,'All Statement of strategy (D)'!$I779,
$G$546='All Statement of strategy (D)'!$B$671,'All Statement of strategy (D)'!$I819,
$G$546='All Statement of strategy (D)'!$B$672,'All Statement of strategy (D)'!$I859,
$G$546='All Statement of strategy (D)'!$B$673,'All Statement of strategy (D)'!$I899,
$G$546='All Statement of strategy (D)'!$B$674,'All Statement of strategy (D)'!$I939,
1=1, "")</f>
        <v/>
      </c>
      <c r="H571" s="581" t="str" cm="1">
        <f t="array" aca="1" ref="H571" ca="1">_xlfn.IFS(
$H$546='All Statement of strategy (D)'!$B$670,'All Statement of strategy (D)'!$I779,
$H$546='All Statement of strategy (D)'!$B$671,'All Statement of strategy (D)'!$I819,
$H$546='All Statement of strategy (D)'!$B$672,'All Statement of strategy (D)'!$I859,
$H$546='All Statement of strategy (D)'!$B$673,'All Statement of strategy (D)'!$I899,
$H$546='All Statement of strategy (D)'!$B$674,'All Statement of strategy (D)'!$I939,
1=1, "")</f>
        <v/>
      </c>
      <c r="I571" s="435"/>
      <c r="J571" s="435"/>
      <c r="N571" s="631" t="str">
        <f t="shared" ca="1" si="9"/>
        <v>Refresh the statement</v>
      </c>
    </row>
    <row r="572" spans="2:14">
      <c r="B572" s="581" t="str">
        <f ca="1">'All Statement of strategy (D)'!$I700</f>
        <v xml:space="preserve"> </v>
      </c>
      <c r="C572" s="581" t="str">
        <f ca="1">'All Statement of strategy (D)'!$I740</f>
        <v xml:space="preserve"> </v>
      </c>
      <c r="D572" s="581" t="str" cm="1">
        <f t="array" aca="1" ref="D572" ca="1">_xlfn.IFS(
$D$546='All Statement of strategy (D)'!$B$670,'All Statement of strategy (D)'!$I780,
$D$546='All Statement of strategy (D)'!$B$671,'All Statement of strategy (D)'!$I820,
$D$546='All Statement of strategy (D)'!$B$672,'All Statement of strategy (D)'!$I860,
$D$546='All Statement of strategy (D)'!$B$673,'All Statement of strategy (D)'!$I900,
$D$546='All Statement of strategy (D)'!$B$674,'All Statement of strategy (D)'!$I940,
1=1, "")</f>
        <v/>
      </c>
      <c r="E572" s="581" t="str" cm="1">
        <f t="array" aca="1" ref="E572" ca="1">_xlfn.IFS(
$E$546='All Statement of strategy (D)'!$B$670,'All Statement of strategy (D)'!$I780,
$E$546='All Statement of strategy (D)'!$B$671,'All Statement of strategy (D)'!$I820,
$E$546='All Statement of strategy (D)'!$B$672,'All Statement of strategy (D)'!$I860,
$E$546='All Statement of strategy (D)'!$B$673,'All Statement of strategy (D)'!$I900,
$E$546='All Statement of strategy (D)'!$B$674,'All Statement of strategy (D)'!$I940,
1=1, "")</f>
        <v/>
      </c>
      <c r="F572" s="581" t="str" cm="1">
        <f t="array" aca="1" ref="F572" ca="1">_xlfn.IFS(
$F$546='All Statement of strategy (D)'!$B$670,'All Statement of strategy (D)'!$I780,
$F$546='All Statement of strategy (D)'!$B$671,'All Statement of strategy (D)'!$I820,
$F$546='All Statement of strategy (D)'!$B$672,'All Statement of strategy (D)'!$I860,
$F$546='All Statement of strategy (D)'!$B$673,'All Statement of strategy (D)'!$I900,
$F$546='All Statement of strategy (D)'!$B$674,'All Statement of strategy (D)'!$I940,
1=1,"")</f>
        <v/>
      </c>
      <c r="G572" s="581" t="str" cm="1">
        <f t="array" aca="1" ref="G572" ca="1">_xlfn.IFS(
$G$546='All Statement of strategy (D)'!$B$670,'All Statement of strategy (D)'!$I780,
$G$546='All Statement of strategy (D)'!$B$671,'All Statement of strategy (D)'!$I820,
$G$546='All Statement of strategy (D)'!$B$672,'All Statement of strategy (D)'!$I860,
$G$546='All Statement of strategy (D)'!$B$673,'All Statement of strategy (D)'!$I900,
$G$546='All Statement of strategy (D)'!$B$674,'All Statement of strategy (D)'!$I940,
1=1, "")</f>
        <v/>
      </c>
      <c r="H572" s="581" t="str" cm="1">
        <f t="array" aca="1" ref="H572" ca="1">_xlfn.IFS(
$H$546='All Statement of strategy (D)'!$B$670,'All Statement of strategy (D)'!$I780,
$H$546='All Statement of strategy (D)'!$B$671,'All Statement of strategy (D)'!$I820,
$H$546='All Statement of strategy (D)'!$B$672,'All Statement of strategy (D)'!$I860,
$H$546='All Statement of strategy (D)'!$B$673,'All Statement of strategy (D)'!$I900,
$H$546='All Statement of strategy (D)'!$B$674,'All Statement of strategy (D)'!$I940,
1=1, "")</f>
        <v/>
      </c>
      <c r="I572" s="435"/>
      <c r="J572" s="435"/>
      <c r="N572" s="631" t="str">
        <f t="shared" ca="1" si="9"/>
        <v>Refresh the statement</v>
      </c>
    </row>
    <row r="573" spans="2:14">
      <c r="B573" s="581" t="str">
        <f ca="1">'All Statement of strategy (D)'!$I701</f>
        <v xml:space="preserve"> </v>
      </c>
      <c r="C573" s="581" t="str">
        <f ca="1">'All Statement of strategy (D)'!$I741</f>
        <v xml:space="preserve"> </v>
      </c>
      <c r="D573" s="581" t="str" cm="1">
        <f t="array" aca="1" ref="D573" ca="1">_xlfn.IFS(
$D$546='All Statement of strategy (D)'!$B$670,'All Statement of strategy (D)'!$I781,
$D$546='All Statement of strategy (D)'!$B$671,'All Statement of strategy (D)'!$I821,
$D$546='All Statement of strategy (D)'!$B$672,'All Statement of strategy (D)'!$I861,
$D$546='All Statement of strategy (D)'!$B$673,'All Statement of strategy (D)'!$I901,
$D$546='All Statement of strategy (D)'!$B$674,'All Statement of strategy (D)'!$I941,
1=1, "")</f>
        <v/>
      </c>
      <c r="E573" s="581" t="str" cm="1">
        <f t="array" aca="1" ref="E573" ca="1">_xlfn.IFS(
$E$546='All Statement of strategy (D)'!$B$670,'All Statement of strategy (D)'!$I781,
$E$546='All Statement of strategy (D)'!$B$671,'All Statement of strategy (D)'!$I821,
$E$546='All Statement of strategy (D)'!$B$672,'All Statement of strategy (D)'!$I861,
$E$546='All Statement of strategy (D)'!$B$673,'All Statement of strategy (D)'!$I901,
$E$546='All Statement of strategy (D)'!$B$674,'All Statement of strategy (D)'!$I941,
1=1, "")</f>
        <v/>
      </c>
      <c r="F573" s="581" t="str" cm="1">
        <f t="array" aca="1" ref="F573" ca="1">_xlfn.IFS(
$F$546='All Statement of strategy (D)'!$B$670,'All Statement of strategy (D)'!$I781,
$F$546='All Statement of strategy (D)'!$B$671,'All Statement of strategy (D)'!$I821,
$F$546='All Statement of strategy (D)'!$B$672,'All Statement of strategy (D)'!$I861,
$F$546='All Statement of strategy (D)'!$B$673,'All Statement of strategy (D)'!$I901,
$F$546='All Statement of strategy (D)'!$B$674,'All Statement of strategy (D)'!$I941,
1=1,"")</f>
        <v/>
      </c>
      <c r="G573" s="581" t="str" cm="1">
        <f t="array" aca="1" ref="G573" ca="1">_xlfn.IFS(
$G$546='All Statement of strategy (D)'!$B$670,'All Statement of strategy (D)'!$I781,
$G$546='All Statement of strategy (D)'!$B$671,'All Statement of strategy (D)'!$I821,
$G$546='All Statement of strategy (D)'!$B$672,'All Statement of strategy (D)'!$I861,
$G$546='All Statement of strategy (D)'!$B$673,'All Statement of strategy (D)'!$I901,
$G$546='All Statement of strategy (D)'!$B$674,'All Statement of strategy (D)'!$I941,
1=1, "")</f>
        <v/>
      </c>
      <c r="H573" s="581" t="str" cm="1">
        <f t="array" aca="1" ref="H573" ca="1">_xlfn.IFS(
$H$546='All Statement of strategy (D)'!$B$670,'All Statement of strategy (D)'!$I781,
$H$546='All Statement of strategy (D)'!$B$671,'All Statement of strategy (D)'!$I821,
$H$546='All Statement of strategy (D)'!$B$672,'All Statement of strategy (D)'!$I861,
$H$546='All Statement of strategy (D)'!$B$673,'All Statement of strategy (D)'!$I901,
$H$546='All Statement of strategy (D)'!$B$674,'All Statement of strategy (D)'!$I941,
1=1, "")</f>
        <v/>
      </c>
      <c r="I573" s="435"/>
      <c r="J573" s="435"/>
      <c r="N573" s="631" t="str">
        <f t="shared" ca="1" si="9"/>
        <v>Refresh the statement</v>
      </c>
    </row>
    <row r="574" spans="2:14">
      <c r="B574" s="581" t="str">
        <f ca="1">'All Statement of strategy (D)'!$I702</f>
        <v xml:space="preserve"> </v>
      </c>
      <c r="C574" s="581" t="str">
        <f ca="1">'All Statement of strategy (D)'!$I742</f>
        <v xml:space="preserve"> </v>
      </c>
      <c r="D574" s="581" t="str" cm="1">
        <f t="array" aca="1" ref="D574" ca="1">_xlfn.IFS(
$D$546='All Statement of strategy (D)'!$B$670,'All Statement of strategy (D)'!$I782,
$D$546='All Statement of strategy (D)'!$B$671,'All Statement of strategy (D)'!$I822,
$D$546='All Statement of strategy (D)'!$B$672,'All Statement of strategy (D)'!$I862,
$D$546='All Statement of strategy (D)'!$B$673,'All Statement of strategy (D)'!$I902,
$D$546='All Statement of strategy (D)'!$B$674,'All Statement of strategy (D)'!$I942,
1=1, "")</f>
        <v/>
      </c>
      <c r="E574" s="581" t="str" cm="1">
        <f t="array" aca="1" ref="E574" ca="1">_xlfn.IFS(
$E$546='All Statement of strategy (D)'!$B$670,'All Statement of strategy (D)'!$I782,
$E$546='All Statement of strategy (D)'!$B$671,'All Statement of strategy (D)'!$I822,
$E$546='All Statement of strategy (D)'!$B$672,'All Statement of strategy (D)'!$I862,
$E$546='All Statement of strategy (D)'!$B$673,'All Statement of strategy (D)'!$I902,
$E$546='All Statement of strategy (D)'!$B$674,'All Statement of strategy (D)'!$I942,
1=1, "")</f>
        <v/>
      </c>
      <c r="F574" s="581" t="str" cm="1">
        <f t="array" aca="1" ref="F574" ca="1">_xlfn.IFS(
$F$546='All Statement of strategy (D)'!$B$670,'All Statement of strategy (D)'!$I782,
$F$546='All Statement of strategy (D)'!$B$671,'All Statement of strategy (D)'!$I822,
$F$546='All Statement of strategy (D)'!$B$672,'All Statement of strategy (D)'!$I862,
$F$546='All Statement of strategy (D)'!$B$673,'All Statement of strategy (D)'!$I902,
$F$546='All Statement of strategy (D)'!$B$674,'All Statement of strategy (D)'!$I942,
1=1,"")</f>
        <v/>
      </c>
      <c r="G574" s="581" t="str" cm="1">
        <f t="array" aca="1" ref="G574" ca="1">_xlfn.IFS(
$G$546='All Statement of strategy (D)'!$B$670,'All Statement of strategy (D)'!$I782,
$G$546='All Statement of strategy (D)'!$B$671,'All Statement of strategy (D)'!$I822,
$G$546='All Statement of strategy (D)'!$B$672,'All Statement of strategy (D)'!$I862,
$G$546='All Statement of strategy (D)'!$B$673,'All Statement of strategy (D)'!$I902,
$G$546='All Statement of strategy (D)'!$B$674,'All Statement of strategy (D)'!$I942,
1=1, "")</f>
        <v/>
      </c>
      <c r="H574" s="581" t="str" cm="1">
        <f t="array" aca="1" ref="H574" ca="1">_xlfn.IFS(
$H$546='All Statement of strategy (D)'!$B$670,'All Statement of strategy (D)'!$I782,
$H$546='All Statement of strategy (D)'!$B$671,'All Statement of strategy (D)'!$I822,
$H$546='All Statement of strategy (D)'!$B$672,'All Statement of strategy (D)'!$I862,
$H$546='All Statement of strategy (D)'!$B$673,'All Statement of strategy (D)'!$I902,
$H$546='All Statement of strategy (D)'!$B$674,'All Statement of strategy (D)'!$I942,
1=1, "")</f>
        <v/>
      </c>
      <c r="I574" s="435"/>
      <c r="J574" s="435"/>
      <c r="N574" s="631" t="str">
        <f t="shared" ca="1" si="9"/>
        <v>Refresh the statement</v>
      </c>
    </row>
    <row r="575" spans="2:14">
      <c r="B575" s="581" t="str">
        <f ca="1">'All Statement of strategy (D)'!$I703</f>
        <v xml:space="preserve"> </v>
      </c>
      <c r="C575" s="581" t="str">
        <f ca="1">'All Statement of strategy (D)'!$I743</f>
        <v xml:space="preserve"> </v>
      </c>
      <c r="D575" s="581" t="str" cm="1">
        <f t="array" aca="1" ref="D575" ca="1">_xlfn.IFS(
$D$546='All Statement of strategy (D)'!$B$670,'All Statement of strategy (D)'!$I783,
$D$546='All Statement of strategy (D)'!$B$671,'All Statement of strategy (D)'!$I823,
$D$546='All Statement of strategy (D)'!$B$672,'All Statement of strategy (D)'!$I863,
$D$546='All Statement of strategy (D)'!$B$673,'All Statement of strategy (D)'!$I903,
$D$546='All Statement of strategy (D)'!$B$674,'All Statement of strategy (D)'!$I943,
1=1, "")</f>
        <v/>
      </c>
      <c r="E575" s="581" t="str" cm="1">
        <f t="array" aca="1" ref="E575" ca="1">_xlfn.IFS(
$E$546='All Statement of strategy (D)'!$B$670,'All Statement of strategy (D)'!$I783,
$E$546='All Statement of strategy (D)'!$B$671,'All Statement of strategy (D)'!$I823,
$E$546='All Statement of strategy (D)'!$B$672,'All Statement of strategy (D)'!$I863,
$E$546='All Statement of strategy (D)'!$B$673,'All Statement of strategy (D)'!$I903,
$E$546='All Statement of strategy (D)'!$B$674,'All Statement of strategy (D)'!$I943,
1=1, "")</f>
        <v/>
      </c>
      <c r="F575" s="581" t="str" cm="1">
        <f t="array" aca="1" ref="F575" ca="1">_xlfn.IFS(
$F$546='All Statement of strategy (D)'!$B$670,'All Statement of strategy (D)'!$I783,
$F$546='All Statement of strategy (D)'!$B$671,'All Statement of strategy (D)'!$I823,
$F$546='All Statement of strategy (D)'!$B$672,'All Statement of strategy (D)'!$I863,
$F$546='All Statement of strategy (D)'!$B$673,'All Statement of strategy (D)'!$I903,
$F$546='All Statement of strategy (D)'!$B$674,'All Statement of strategy (D)'!$I943,
1=1,"")</f>
        <v/>
      </c>
      <c r="G575" s="581" t="str" cm="1">
        <f t="array" aca="1" ref="G575" ca="1">_xlfn.IFS(
$G$546='All Statement of strategy (D)'!$B$670,'All Statement of strategy (D)'!$I783,
$G$546='All Statement of strategy (D)'!$B$671,'All Statement of strategy (D)'!$I823,
$G$546='All Statement of strategy (D)'!$B$672,'All Statement of strategy (D)'!$I863,
$G$546='All Statement of strategy (D)'!$B$673,'All Statement of strategy (D)'!$I903,
$G$546='All Statement of strategy (D)'!$B$674,'All Statement of strategy (D)'!$I943,
1=1, "")</f>
        <v/>
      </c>
      <c r="H575" s="581" t="str" cm="1">
        <f t="array" aca="1" ref="H575" ca="1">_xlfn.IFS(
$H$546='All Statement of strategy (D)'!$B$670,'All Statement of strategy (D)'!$I783,
$H$546='All Statement of strategy (D)'!$B$671,'All Statement of strategy (D)'!$I823,
$H$546='All Statement of strategy (D)'!$B$672,'All Statement of strategy (D)'!$I863,
$H$546='All Statement of strategy (D)'!$B$673,'All Statement of strategy (D)'!$I903,
$H$546='All Statement of strategy (D)'!$B$674,'All Statement of strategy (D)'!$I943,
1=1, "")</f>
        <v/>
      </c>
      <c r="I575" s="435"/>
      <c r="J575" s="435"/>
      <c r="N575" s="631" t="str">
        <f t="shared" ca="1" si="9"/>
        <v>Refresh the statement</v>
      </c>
    </row>
    <row r="576" spans="2:14">
      <c r="B576" s="581" t="str">
        <f ca="1">'All Statement of strategy (D)'!$I704</f>
        <v xml:space="preserve"> </v>
      </c>
      <c r="C576" s="581" t="str">
        <f ca="1">'All Statement of strategy (D)'!$I744</f>
        <v xml:space="preserve"> </v>
      </c>
      <c r="D576" s="581" t="str" cm="1">
        <f t="array" aca="1" ref="D576" ca="1">_xlfn.IFS(
$D$546='All Statement of strategy (D)'!$B$670,'All Statement of strategy (D)'!$I784,
$D$546='All Statement of strategy (D)'!$B$671,'All Statement of strategy (D)'!$I824,
$D$546='All Statement of strategy (D)'!$B$672,'All Statement of strategy (D)'!$I864,
$D$546='All Statement of strategy (D)'!$B$673,'All Statement of strategy (D)'!$I904,
$D$546='All Statement of strategy (D)'!$B$674,'All Statement of strategy (D)'!$I944,
1=1, "")</f>
        <v/>
      </c>
      <c r="E576" s="581" t="str" cm="1">
        <f t="array" aca="1" ref="E576" ca="1">_xlfn.IFS(
$E$546='All Statement of strategy (D)'!$B$670,'All Statement of strategy (D)'!$I784,
$E$546='All Statement of strategy (D)'!$B$671,'All Statement of strategy (D)'!$I824,
$E$546='All Statement of strategy (D)'!$B$672,'All Statement of strategy (D)'!$I864,
$E$546='All Statement of strategy (D)'!$B$673,'All Statement of strategy (D)'!$I904,
$E$546='All Statement of strategy (D)'!$B$674,'All Statement of strategy (D)'!$I944,
1=1, "")</f>
        <v/>
      </c>
      <c r="F576" s="581" t="str" cm="1">
        <f t="array" aca="1" ref="F576" ca="1">_xlfn.IFS(
$F$546='All Statement of strategy (D)'!$B$670,'All Statement of strategy (D)'!$I784,
$F$546='All Statement of strategy (D)'!$B$671,'All Statement of strategy (D)'!$I824,
$F$546='All Statement of strategy (D)'!$B$672,'All Statement of strategy (D)'!$I864,
$F$546='All Statement of strategy (D)'!$B$673,'All Statement of strategy (D)'!$I904,
$F$546='All Statement of strategy (D)'!$B$674,'All Statement of strategy (D)'!$I944,
1=1,"")</f>
        <v/>
      </c>
      <c r="G576" s="581" t="str" cm="1">
        <f t="array" aca="1" ref="G576" ca="1">_xlfn.IFS(
$G$546='All Statement of strategy (D)'!$B$670,'All Statement of strategy (D)'!$I784,
$G$546='All Statement of strategy (D)'!$B$671,'All Statement of strategy (D)'!$I824,
$G$546='All Statement of strategy (D)'!$B$672,'All Statement of strategy (D)'!$I864,
$G$546='All Statement of strategy (D)'!$B$673,'All Statement of strategy (D)'!$I904,
$G$546='All Statement of strategy (D)'!$B$674,'All Statement of strategy (D)'!$I944,
1=1, "")</f>
        <v/>
      </c>
      <c r="H576" s="581" t="str" cm="1">
        <f t="array" aca="1" ref="H576" ca="1">_xlfn.IFS(
$H$546='All Statement of strategy (D)'!$B$670,'All Statement of strategy (D)'!$I784,
$H$546='All Statement of strategy (D)'!$B$671,'All Statement of strategy (D)'!$I824,
$H$546='All Statement of strategy (D)'!$B$672,'All Statement of strategy (D)'!$I864,
$H$546='All Statement of strategy (D)'!$B$673,'All Statement of strategy (D)'!$I904,
$H$546='All Statement of strategy (D)'!$B$674,'All Statement of strategy (D)'!$I944,
1=1, "")</f>
        <v/>
      </c>
      <c r="I576" s="435"/>
      <c r="J576" s="435"/>
      <c r="N576" s="631" t="str">
        <f t="shared" ca="1" si="9"/>
        <v>Refresh the statement</v>
      </c>
    </row>
    <row r="577" spans="1:15">
      <c r="B577" s="581" t="str">
        <f ca="1">'All Statement of strategy (D)'!$I705</f>
        <v xml:space="preserve"> </v>
      </c>
      <c r="C577" s="581" t="str">
        <f ca="1">'All Statement of strategy (D)'!$I745</f>
        <v xml:space="preserve"> </v>
      </c>
      <c r="D577" s="581" t="str" cm="1">
        <f t="array" aca="1" ref="D577" ca="1">_xlfn.IFS(
$D$546='All Statement of strategy (D)'!$B$670,'All Statement of strategy (D)'!$I785,
$D$546='All Statement of strategy (D)'!$B$671,'All Statement of strategy (D)'!$I825,
$D$546='All Statement of strategy (D)'!$B$672,'All Statement of strategy (D)'!$I865,
$D$546='All Statement of strategy (D)'!$B$673,'All Statement of strategy (D)'!$I905,
$D$546='All Statement of strategy (D)'!$B$674,'All Statement of strategy (D)'!$I945,
1=1, "")</f>
        <v/>
      </c>
      <c r="E577" s="581" t="str" cm="1">
        <f t="array" aca="1" ref="E577" ca="1">_xlfn.IFS(
$E$546='All Statement of strategy (D)'!$B$670,'All Statement of strategy (D)'!$I785,
$E$546='All Statement of strategy (D)'!$B$671,'All Statement of strategy (D)'!$I825,
$E$546='All Statement of strategy (D)'!$B$672,'All Statement of strategy (D)'!$I865,
$E$546='All Statement of strategy (D)'!$B$673,'All Statement of strategy (D)'!$I905,
$E$546='All Statement of strategy (D)'!$B$674,'All Statement of strategy (D)'!$I945,
1=1, "")</f>
        <v/>
      </c>
      <c r="F577" s="581" t="str" cm="1">
        <f t="array" aca="1" ref="F577" ca="1">_xlfn.IFS(
$F$546='All Statement of strategy (D)'!$B$670,'All Statement of strategy (D)'!$I785,
$F$546='All Statement of strategy (D)'!$B$671,'All Statement of strategy (D)'!$I825,
$F$546='All Statement of strategy (D)'!$B$672,'All Statement of strategy (D)'!$I865,
$F$546='All Statement of strategy (D)'!$B$673,'All Statement of strategy (D)'!$I905,
$F$546='All Statement of strategy (D)'!$B$674,'All Statement of strategy (D)'!$I945,
1=1,"")</f>
        <v/>
      </c>
      <c r="G577" s="581" t="str" cm="1">
        <f t="array" aca="1" ref="G577" ca="1">_xlfn.IFS(
$G$546='All Statement of strategy (D)'!$B$670,'All Statement of strategy (D)'!$I785,
$G$546='All Statement of strategy (D)'!$B$671,'All Statement of strategy (D)'!$I825,
$G$546='All Statement of strategy (D)'!$B$672,'All Statement of strategy (D)'!$I865,
$G$546='All Statement of strategy (D)'!$B$673,'All Statement of strategy (D)'!$I905,
$G$546='All Statement of strategy (D)'!$B$674,'All Statement of strategy (D)'!$I945,
1=1, "")</f>
        <v/>
      </c>
      <c r="H577" s="581" t="str" cm="1">
        <f t="array" aca="1" ref="H577" ca="1">_xlfn.IFS(
$H$546='All Statement of strategy (D)'!$B$670,'All Statement of strategy (D)'!$I785,
$H$546='All Statement of strategy (D)'!$B$671,'All Statement of strategy (D)'!$I825,
$H$546='All Statement of strategy (D)'!$B$672,'All Statement of strategy (D)'!$I865,
$H$546='All Statement of strategy (D)'!$B$673,'All Statement of strategy (D)'!$I905,
$H$546='All Statement of strategy (D)'!$B$674,'All Statement of strategy (D)'!$I945,
1=1, "")</f>
        <v/>
      </c>
      <c r="I577" s="435"/>
      <c r="J577" s="435"/>
      <c r="N577" s="631" t="str">
        <f t="shared" ca="1" si="9"/>
        <v>Refresh the statement</v>
      </c>
    </row>
    <row r="578" spans="1:15">
      <c r="B578" s="581" t="str">
        <f ca="1">'All Statement of strategy (D)'!$I706</f>
        <v xml:space="preserve"> </v>
      </c>
      <c r="C578" s="581" t="str">
        <f ca="1">'All Statement of strategy (D)'!$I746</f>
        <v xml:space="preserve"> </v>
      </c>
      <c r="D578" s="581" t="str" cm="1">
        <f t="array" aca="1" ref="D578" ca="1">_xlfn.IFS(
$D$546='All Statement of strategy (D)'!$B$670,'All Statement of strategy (D)'!$I786,
$D$546='All Statement of strategy (D)'!$B$671,'All Statement of strategy (D)'!$I826,
$D$546='All Statement of strategy (D)'!$B$672,'All Statement of strategy (D)'!$I866,
$D$546='All Statement of strategy (D)'!$B$673,'All Statement of strategy (D)'!$I906,
$D$546='All Statement of strategy (D)'!$B$674,'All Statement of strategy (D)'!$I946,
1=1, "")</f>
        <v/>
      </c>
      <c r="E578" s="581" t="str" cm="1">
        <f t="array" aca="1" ref="E578" ca="1">_xlfn.IFS(
$E$546='All Statement of strategy (D)'!$B$670,'All Statement of strategy (D)'!$I786,
$E$546='All Statement of strategy (D)'!$B$671,'All Statement of strategy (D)'!$I826,
$E$546='All Statement of strategy (D)'!$B$672,'All Statement of strategy (D)'!$I866,
$E$546='All Statement of strategy (D)'!$B$673,'All Statement of strategy (D)'!$I906,
$E$546='All Statement of strategy (D)'!$B$674,'All Statement of strategy (D)'!$I946,
1=1, "")</f>
        <v/>
      </c>
      <c r="F578" s="581" t="str" cm="1">
        <f t="array" aca="1" ref="F578" ca="1">_xlfn.IFS(
$F$546='All Statement of strategy (D)'!$B$670,'All Statement of strategy (D)'!$I786,
$F$546='All Statement of strategy (D)'!$B$671,'All Statement of strategy (D)'!$I826,
$F$546='All Statement of strategy (D)'!$B$672,'All Statement of strategy (D)'!$I866,
$F$546='All Statement of strategy (D)'!$B$673,'All Statement of strategy (D)'!$I906,
$F$546='All Statement of strategy (D)'!$B$674,'All Statement of strategy (D)'!$I946,
1=1,"")</f>
        <v/>
      </c>
      <c r="G578" s="581" t="str" cm="1">
        <f t="array" aca="1" ref="G578" ca="1">_xlfn.IFS(
$G$546='All Statement of strategy (D)'!$B$670,'All Statement of strategy (D)'!$I786,
$G$546='All Statement of strategy (D)'!$B$671,'All Statement of strategy (D)'!$I826,
$G$546='All Statement of strategy (D)'!$B$672,'All Statement of strategy (D)'!$I866,
$G$546='All Statement of strategy (D)'!$B$673,'All Statement of strategy (D)'!$I906,
$G$546='All Statement of strategy (D)'!$B$674,'All Statement of strategy (D)'!$I946,
1=1, "")</f>
        <v/>
      </c>
      <c r="H578" s="581" t="str" cm="1">
        <f t="array" aca="1" ref="H578" ca="1">_xlfn.IFS(
$H$546='All Statement of strategy (D)'!$B$670,'All Statement of strategy (D)'!$I786,
$H$546='All Statement of strategy (D)'!$B$671,'All Statement of strategy (D)'!$I826,
$H$546='All Statement of strategy (D)'!$B$672,'All Statement of strategy (D)'!$I866,
$H$546='All Statement of strategy (D)'!$B$673,'All Statement of strategy (D)'!$I906,
$H$546='All Statement of strategy (D)'!$B$674,'All Statement of strategy (D)'!$I946,
1=1, "")</f>
        <v/>
      </c>
      <c r="I578" s="435"/>
      <c r="J578" s="435"/>
      <c r="N578" s="631" t="str">
        <f t="shared" ca="1" si="9"/>
        <v>Refresh the statement</v>
      </c>
    </row>
    <row r="579" spans="1:15">
      <c r="B579" s="581" t="str">
        <f ca="1">'All Statement of strategy (D)'!$I707</f>
        <v xml:space="preserve"> </v>
      </c>
      <c r="C579" s="581" t="str">
        <f ca="1">'All Statement of strategy (D)'!$I747</f>
        <v xml:space="preserve"> </v>
      </c>
      <c r="D579" s="581" t="str" cm="1">
        <f t="array" aca="1" ref="D579" ca="1">_xlfn.IFS(
$D$546='All Statement of strategy (D)'!$B$670,'All Statement of strategy (D)'!$I787,
$D$546='All Statement of strategy (D)'!$B$671,'All Statement of strategy (D)'!$I827,
$D$546='All Statement of strategy (D)'!$B$672,'All Statement of strategy (D)'!$I867,
$D$546='All Statement of strategy (D)'!$B$673,'All Statement of strategy (D)'!$I907,
$D$546='All Statement of strategy (D)'!$B$674,'All Statement of strategy (D)'!$I947,
1=1, "")</f>
        <v/>
      </c>
      <c r="E579" s="581" t="str" cm="1">
        <f t="array" aca="1" ref="E579" ca="1">_xlfn.IFS(
$E$546='All Statement of strategy (D)'!$B$670,'All Statement of strategy (D)'!$I787,
$E$546='All Statement of strategy (D)'!$B$671,'All Statement of strategy (D)'!$I827,
$E$546='All Statement of strategy (D)'!$B$672,'All Statement of strategy (D)'!$I867,
$E$546='All Statement of strategy (D)'!$B$673,'All Statement of strategy (D)'!$I907,
$E$546='All Statement of strategy (D)'!$B$674,'All Statement of strategy (D)'!$I947,
1=1, "")</f>
        <v/>
      </c>
      <c r="F579" s="581" t="str" cm="1">
        <f t="array" aca="1" ref="F579" ca="1">_xlfn.IFS(
$F$546='All Statement of strategy (D)'!$B$670,'All Statement of strategy (D)'!$I787,
$F$546='All Statement of strategy (D)'!$B$671,'All Statement of strategy (D)'!$I827,
$F$546='All Statement of strategy (D)'!$B$672,'All Statement of strategy (D)'!$I867,
$F$546='All Statement of strategy (D)'!$B$673,'All Statement of strategy (D)'!$I907,
$F$546='All Statement of strategy (D)'!$B$674,'All Statement of strategy (D)'!$I947,
1=1,"")</f>
        <v/>
      </c>
      <c r="G579" s="581" t="str" cm="1">
        <f t="array" aca="1" ref="G579" ca="1">_xlfn.IFS(
$G$546='All Statement of strategy (D)'!$B$670,'All Statement of strategy (D)'!$I787,
$G$546='All Statement of strategy (D)'!$B$671,'All Statement of strategy (D)'!$I827,
$G$546='All Statement of strategy (D)'!$B$672,'All Statement of strategy (D)'!$I867,
$G$546='All Statement of strategy (D)'!$B$673,'All Statement of strategy (D)'!$I907,
$G$546='All Statement of strategy (D)'!$B$674,'All Statement of strategy (D)'!$I947,
1=1, "")</f>
        <v/>
      </c>
      <c r="H579" s="581" t="str" cm="1">
        <f t="array" aca="1" ref="H579" ca="1">_xlfn.IFS(
$H$546='All Statement of strategy (D)'!$B$670,'All Statement of strategy (D)'!$I787,
$H$546='All Statement of strategy (D)'!$B$671,'All Statement of strategy (D)'!$I827,
$H$546='All Statement of strategy (D)'!$B$672,'All Statement of strategy (D)'!$I867,
$H$546='All Statement of strategy (D)'!$B$673,'All Statement of strategy (D)'!$I907,
$H$546='All Statement of strategy (D)'!$B$674,'All Statement of strategy (D)'!$I947,
1=1, "")</f>
        <v/>
      </c>
      <c r="I579" s="435"/>
      <c r="J579" s="435"/>
      <c r="N579" s="631" t="str">
        <f t="shared" ca="1" si="9"/>
        <v>Refresh the statement</v>
      </c>
    </row>
    <row r="580" spans="1:15">
      <c r="B580" s="581" t="str">
        <f ca="1">'All Statement of strategy (D)'!$I708</f>
        <v xml:space="preserve"> </v>
      </c>
      <c r="C580" s="581" t="str">
        <f ca="1">'All Statement of strategy (D)'!$I748</f>
        <v xml:space="preserve"> </v>
      </c>
      <c r="D580" s="581" t="str" cm="1">
        <f t="array" aca="1" ref="D580" ca="1">_xlfn.IFS(
$D$546='All Statement of strategy (D)'!$B$670,'All Statement of strategy (D)'!$I788,
$D$546='All Statement of strategy (D)'!$B$671,'All Statement of strategy (D)'!$I828,
$D$546='All Statement of strategy (D)'!$B$672,'All Statement of strategy (D)'!$I868,
$D$546='All Statement of strategy (D)'!$B$673,'All Statement of strategy (D)'!$I908,
$D$546='All Statement of strategy (D)'!$B$674,'All Statement of strategy (D)'!$I948,
1=1, "")</f>
        <v/>
      </c>
      <c r="E580" s="581" t="str" cm="1">
        <f t="array" aca="1" ref="E580" ca="1">_xlfn.IFS(
$E$546='All Statement of strategy (D)'!$B$670,'All Statement of strategy (D)'!$I788,
$E$546='All Statement of strategy (D)'!$B$671,'All Statement of strategy (D)'!$I828,
$E$546='All Statement of strategy (D)'!$B$672,'All Statement of strategy (D)'!$I868,
$E$546='All Statement of strategy (D)'!$B$673,'All Statement of strategy (D)'!$I908,
$E$546='All Statement of strategy (D)'!$B$674,'All Statement of strategy (D)'!$I948,
1=1, "")</f>
        <v/>
      </c>
      <c r="F580" s="581" t="str" cm="1">
        <f t="array" aca="1" ref="F580" ca="1">_xlfn.IFS(
$F$546='All Statement of strategy (D)'!$B$670,'All Statement of strategy (D)'!$I788,
$F$546='All Statement of strategy (D)'!$B$671,'All Statement of strategy (D)'!$I828,
$F$546='All Statement of strategy (D)'!$B$672,'All Statement of strategy (D)'!$I868,
$F$546='All Statement of strategy (D)'!$B$673,'All Statement of strategy (D)'!$I908,
$F$546='All Statement of strategy (D)'!$B$674,'All Statement of strategy (D)'!$I948,
1=1,"")</f>
        <v/>
      </c>
      <c r="G580" s="581" t="str" cm="1">
        <f t="array" aca="1" ref="G580" ca="1">_xlfn.IFS(
$G$546='All Statement of strategy (D)'!$B$670,'All Statement of strategy (D)'!$I788,
$G$546='All Statement of strategy (D)'!$B$671,'All Statement of strategy (D)'!$I828,
$G$546='All Statement of strategy (D)'!$B$672,'All Statement of strategy (D)'!$I868,
$G$546='All Statement of strategy (D)'!$B$673,'All Statement of strategy (D)'!$I908,
$G$546='All Statement of strategy (D)'!$B$674,'All Statement of strategy (D)'!$I948,
1=1, "")</f>
        <v/>
      </c>
      <c r="H580" s="581" t="str" cm="1">
        <f t="array" aca="1" ref="H580" ca="1">_xlfn.IFS(
$H$546='All Statement of strategy (D)'!$B$670,'All Statement of strategy (D)'!$I788,
$H$546='All Statement of strategy (D)'!$B$671,'All Statement of strategy (D)'!$I828,
$H$546='All Statement of strategy (D)'!$B$672,'All Statement of strategy (D)'!$I868,
$H$546='All Statement of strategy (D)'!$B$673,'All Statement of strategy (D)'!$I908,
$H$546='All Statement of strategy (D)'!$B$674,'All Statement of strategy (D)'!$I948,
1=1, "")</f>
        <v/>
      </c>
      <c r="I580" s="435"/>
      <c r="J580" s="435"/>
      <c r="N580" s="631" t="str">
        <f t="shared" ca="1" si="9"/>
        <v>Refresh the statement</v>
      </c>
    </row>
    <row r="581" spans="1:15">
      <c r="B581" s="581" t="str">
        <f ca="1">'All Statement of strategy (D)'!$I709</f>
        <v xml:space="preserve"> </v>
      </c>
      <c r="C581" s="581" t="str">
        <f ca="1">'All Statement of strategy (D)'!$I749</f>
        <v xml:space="preserve"> </v>
      </c>
      <c r="D581" s="581" t="str" cm="1">
        <f t="array" aca="1" ref="D581" ca="1">_xlfn.IFS(
$D$546='All Statement of strategy (D)'!$B$670,'All Statement of strategy (D)'!$I789,
$D$546='All Statement of strategy (D)'!$B$671,'All Statement of strategy (D)'!$I829,
$D$546='All Statement of strategy (D)'!$B$672,'All Statement of strategy (D)'!$I869,
$D$546='All Statement of strategy (D)'!$B$673,'All Statement of strategy (D)'!$I909,
$D$546='All Statement of strategy (D)'!$B$674,'All Statement of strategy (D)'!$I949,
1=1, "")</f>
        <v/>
      </c>
      <c r="E581" s="581" t="str" cm="1">
        <f t="array" aca="1" ref="E581" ca="1">_xlfn.IFS(
$E$546='All Statement of strategy (D)'!$B$670,'All Statement of strategy (D)'!$I789,
$E$546='All Statement of strategy (D)'!$B$671,'All Statement of strategy (D)'!$I829,
$E$546='All Statement of strategy (D)'!$B$672,'All Statement of strategy (D)'!$I869,
$E$546='All Statement of strategy (D)'!$B$673,'All Statement of strategy (D)'!$I909,
$E$546='All Statement of strategy (D)'!$B$674,'All Statement of strategy (D)'!$I949,
1=1, "")</f>
        <v/>
      </c>
      <c r="F581" s="581" t="str" cm="1">
        <f t="array" aca="1" ref="F581" ca="1">_xlfn.IFS(
$F$546='All Statement of strategy (D)'!$B$670,'All Statement of strategy (D)'!$I789,
$F$546='All Statement of strategy (D)'!$B$671,'All Statement of strategy (D)'!$I829,
$F$546='All Statement of strategy (D)'!$B$672,'All Statement of strategy (D)'!$I869,
$F$546='All Statement of strategy (D)'!$B$673,'All Statement of strategy (D)'!$I909,
$F$546='All Statement of strategy (D)'!$B$674,'All Statement of strategy (D)'!$I949,
1=1,"")</f>
        <v/>
      </c>
      <c r="G581" s="581" t="str" cm="1">
        <f t="array" aca="1" ref="G581" ca="1">_xlfn.IFS(
$G$546='All Statement of strategy (D)'!$B$670,'All Statement of strategy (D)'!$I789,
$G$546='All Statement of strategy (D)'!$B$671,'All Statement of strategy (D)'!$I829,
$G$546='All Statement of strategy (D)'!$B$672,'All Statement of strategy (D)'!$I869,
$G$546='All Statement of strategy (D)'!$B$673,'All Statement of strategy (D)'!$I909,
$G$546='All Statement of strategy (D)'!$B$674,'All Statement of strategy (D)'!$I949,
1=1, "")</f>
        <v/>
      </c>
      <c r="H581" s="581" t="str" cm="1">
        <f t="array" aca="1" ref="H581" ca="1">_xlfn.IFS(
$H$546='All Statement of strategy (D)'!$B$670,'All Statement of strategy (D)'!$I789,
$H$546='All Statement of strategy (D)'!$B$671,'All Statement of strategy (D)'!$I829,
$H$546='All Statement of strategy (D)'!$B$672,'All Statement of strategy (D)'!$I869,
$H$546='All Statement of strategy (D)'!$B$673,'All Statement of strategy (D)'!$I909,
$H$546='All Statement of strategy (D)'!$B$674,'All Statement of strategy (D)'!$I949,
1=1, "")</f>
        <v/>
      </c>
      <c r="I581" s="435"/>
      <c r="J581" s="435"/>
      <c r="N581" s="631" t="str">
        <f t="shared" ca="1" si="9"/>
        <v>Refresh the statement</v>
      </c>
    </row>
    <row r="582" spans="1:15">
      <c r="B582" s="581" t="str">
        <f ca="1">'All Statement of strategy (D)'!$I710</f>
        <v xml:space="preserve"> </v>
      </c>
      <c r="C582" s="581" t="str">
        <f ca="1">'All Statement of strategy (D)'!$I750</f>
        <v xml:space="preserve"> </v>
      </c>
      <c r="D582" s="581" t="str" cm="1">
        <f t="array" aca="1" ref="D582" ca="1">_xlfn.IFS(
$D$546='All Statement of strategy (D)'!$B$670,'All Statement of strategy (D)'!$I790,
$D$546='All Statement of strategy (D)'!$B$671,'All Statement of strategy (D)'!$I830,
$D$546='All Statement of strategy (D)'!$B$672,'All Statement of strategy (D)'!$I870,
$D$546='All Statement of strategy (D)'!$B$673,'All Statement of strategy (D)'!$I910,
$D$546='All Statement of strategy (D)'!$B$674,'All Statement of strategy (D)'!$I950,
1=1, "")</f>
        <v/>
      </c>
      <c r="E582" s="581" t="str" cm="1">
        <f t="array" aca="1" ref="E582" ca="1">_xlfn.IFS(
$E$546='All Statement of strategy (D)'!$B$670,'All Statement of strategy (D)'!$I790,
$E$546='All Statement of strategy (D)'!$B$671,'All Statement of strategy (D)'!$I830,
$E$546='All Statement of strategy (D)'!$B$672,'All Statement of strategy (D)'!$I870,
$E$546='All Statement of strategy (D)'!$B$673,'All Statement of strategy (D)'!$I910,
$E$546='All Statement of strategy (D)'!$B$674,'All Statement of strategy (D)'!$I950,
1=1, "")</f>
        <v/>
      </c>
      <c r="F582" s="581" t="str" cm="1">
        <f t="array" aca="1" ref="F582" ca="1">_xlfn.IFS(
$F$546='All Statement of strategy (D)'!$B$670,'All Statement of strategy (D)'!$I790,
$F$546='All Statement of strategy (D)'!$B$671,'All Statement of strategy (D)'!$I830,
$F$546='All Statement of strategy (D)'!$B$672,'All Statement of strategy (D)'!$I870,
$F$546='All Statement of strategy (D)'!$B$673,'All Statement of strategy (D)'!$I910,
$F$546='All Statement of strategy (D)'!$B$674,'All Statement of strategy (D)'!$I950,
1=1,"")</f>
        <v/>
      </c>
      <c r="G582" s="581" t="str" cm="1">
        <f t="array" aca="1" ref="G582" ca="1">_xlfn.IFS(
$G$546='All Statement of strategy (D)'!$B$670,'All Statement of strategy (D)'!$I790,
$G$546='All Statement of strategy (D)'!$B$671,'All Statement of strategy (D)'!$I830,
$G$546='All Statement of strategy (D)'!$B$672,'All Statement of strategy (D)'!$I870,
$G$546='All Statement of strategy (D)'!$B$673,'All Statement of strategy (D)'!$I910,
$G$546='All Statement of strategy (D)'!$B$674,'All Statement of strategy (D)'!$I950,
1=1, "")</f>
        <v/>
      </c>
      <c r="H582" s="581" t="str" cm="1">
        <f t="array" aca="1" ref="H582" ca="1">_xlfn.IFS(
$H$546='All Statement of strategy (D)'!$B$670,'All Statement of strategy (D)'!$I790,
$H$546='All Statement of strategy (D)'!$B$671,'All Statement of strategy (D)'!$I830,
$H$546='All Statement of strategy (D)'!$B$672,'All Statement of strategy (D)'!$I870,
$H$546='All Statement of strategy (D)'!$B$673,'All Statement of strategy (D)'!$I910,
$H$546='All Statement of strategy (D)'!$B$674,'All Statement of strategy (D)'!$I950,
1=1, "")</f>
        <v/>
      </c>
      <c r="I582" s="435"/>
      <c r="J582" s="435"/>
      <c r="N582" s="631" t="str">
        <f t="shared" ca="1" si="9"/>
        <v>Refresh the statement</v>
      </c>
    </row>
    <row r="583" spans="1:15">
      <c r="B583" s="581" t="str">
        <f ca="1">'All Statement of strategy (D)'!$I711</f>
        <v xml:space="preserve"> </v>
      </c>
      <c r="C583" s="581" t="str">
        <f ca="1">'All Statement of strategy (D)'!$I751</f>
        <v xml:space="preserve"> </v>
      </c>
      <c r="D583" s="581" t="str" cm="1">
        <f t="array" aca="1" ref="D583" ca="1">_xlfn.IFS(
$D$546='All Statement of strategy (D)'!$B$670,'All Statement of strategy (D)'!$I791,
$D$546='All Statement of strategy (D)'!$B$671,'All Statement of strategy (D)'!$I831,
$D$546='All Statement of strategy (D)'!$B$672,'All Statement of strategy (D)'!$I871,
$D$546='All Statement of strategy (D)'!$B$673,'All Statement of strategy (D)'!$I911,
$D$546='All Statement of strategy (D)'!$B$674,'All Statement of strategy (D)'!$I951,
1=1, "")</f>
        <v/>
      </c>
      <c r="E583" s="581" t="str" cm="1">
        <f t="array" aca="1" ref="E583" ca="1">_xlfn.IFS(
$E$546='All Statement of strategy (D)'!$B$670,'All Statement of strategy (D)'!$I791,
$E$546='All Statement of strategy (D)'!$B$671,'All Statement of strategy (D)'!$I831,
$E$546='All Statement of strategy (D)'!$B$672,'All Statement of strategy (D)'!$I871,
$E$546='All Statement of strategy (D)'!$B$673,'All Statement of strategy (D)'!$I911,
$E$546='All Statement of strategy (D)'!$B$674,'All Statement of strategy (D)'!$I951,
1=1, "")</f>
        <v/>
      </c>
      <c r="F583" s="581" t="str" cm="1">
        <f t="array" aca="1" ref="F583" ca="1">_xlfn.IFS(
$F$546='All Statement of strategy (D)'!$B$670,'All Statement of strategy (D)'!$I791,
$F$546='All Statement of strategy (D)'!$B$671,'All Statement of strategy (D)'!$I831,
$F$546='All Statement of strategy (D)'!$B$672,'All Statement of strategy (D)'!$I871,
$F$546='All Statement of strategy (D)'!$B$673,'All Statement of strategy (D)'!$I911,
$F$546='All Statement of strategy (D)'!$B$674,'All Statement of strategy (D)'!$I951,
1=1,"")</f>
        <v/>
      </c>
      <c r="G583" s="581" t="str" cm="1">
        <f t="array" aca="1" ref="G583" ca="1">_xlfn.IFS(
$G$546='All Statement of strategy (D)'!$B$670,'All Statement of strategy (D)'!$I791,
$G$546='All Statement of strategy (D)'!$B$671,'All Statement of strategy (D)'!$I831,
$G$546='All Statement of strategy (D)'!$B$672,'All Statement of strategy (D)'!$I871,
$G$546='All Statement of strategy (D)'!$B$673,'All Statement of strategy (D)'!$I911,
$G$546='All Statement of strategy (D)'!$B$674,'All Statement of strategy (D)'!$I951,
1=1, "")</f>
        <v/>
      </c>
      <c r="H583" s="581" t="str" cm="1">
        <f t="array" aca="1" ref="H583" ca="1">_xlfn.IFS(
$H$546='All Statement of strategy (D)'!$B$670,'All Statement of strategy (D)'!$I791,
$H$546='All Statement of strategy (D)'!$B$671,'All Statement of strategy (D)'!$I831,
$H$546='All Statement of strategy (D)'!$B$672,'All Statement of strategy (D)'!$I871,
$H$546='All Statement of strategy (D)'!$B$673,'All Statement of strategy (D)'!$I911,
$H$546='All Statement of strategy (D)'!$B$674,'All Statement of strategy (D)'!$I951,
1=1, "")</f>
        <v/>
      </c>
      <c r="I583" s="435"/>
      <c r="J583" s="435"/>
      <c r="N583" s="631" t="str">
        <f t="shared" ca="1" si="9"/>
        <v>Refresh the statement</v>
      </c>
    </row>
    <row r="584" spans="1:15">
      <c r="B584" s="581" t="str">
        <f ca="1">'All Statement of strategy (D)'!$I712</f>
        <v xml:space="preserve"> </v>
      </c>
      <c r="C584" s="581" t="str">
        <f ca="1">'All Statement of strategy (D)'!$I752</f>
        <v xml:space="preserve"> </v>
      </c>
      <c r="D584" s="581" t="str" cm="1">
        <f t="array" aca="1" ref="D584" ca="1">_xlfn.IFS(
$D$546='All Statement of strategy (D)'!$B$670,'All Statement of strategy (D)'!$I792,
$D$546='All Statement of strategy (D)'!$B$671,'All Statement of strategy (D)'!$I832,
$D$546='All Statement of strategy (D)'!$B$672,'All Statement of strategy (D)'!$I872,
$D$546='All Statement of strategy (D)'!$B$673,'All Statement of strategy (D)'!$I912,
$D$546='All Statement of strategy (D)'!$B$674,'All Statement of strategy (D)'!$I952,
1=1, "")</f>
        <v/>
      </c>
      <c r="E584" s="581" t="str" cm="1">
        <f t="array" aca="1" ref="E584" ca="1">_xlfn.IFS(
$E$546='All Statement of strategy (D)'!$B$670,'All Statement of strategy (D)'!$I792,
$E$546='All Statement of strategy (D)'!$B$671,'All Statement of strategy (D)'!$I832,
$E$546='All Statement of strategy (D)'!$B$672,'All Statement of strategy (D)'!$I872,
$E$546='All Statement of strategy (D)'!$B$673,'All Statement of strategy (D)'!$I912,
$E$546='All Statement of strategy (D)'!$B$674,'All Statement of strategy (D)'!$I952,
1=1, "")</f>
        <v/>
      </c>
      <c r="F584" s="581" t="str" cm="1">
        <f t="array" aca="1" ref="F584" ca="1">_xlfn.IFS(
$F$546='All Statement of strategy (D)'!$B$670,'All Statement of strategy (D)'!$I792,
$F$546='All Statement of strategy (D)'!$B$671,'All Statement of strategy (D)'!$I832,
$F$546='All Statement of strategy (D)'!$B$672,'All Statement of strategy (D)'!$I872,
$F$546='All Statement of strategy (D)'!$B$673,'All Statement of strategy (D)'!$I912,
$F$546='All Statement of strategy (D)'!$B$674,'All Statement of strategy (D)'!$I952,
1=1,"")</f>
        <v/>
      </c>
      <c r="G584" s="581" t="str" cm="1">
        <f t="array" aca="1" ref="G584" ca="1">_xlfn.IFS(
$G$546='All Statement of strategy (D)'!$B$670,'All Statement of strategy (D)'!$I792,
$G$546='All Statement of strategy (D)'!$B$671,'All Statement of strategy (D)'!$I832,
$G$546='All Statement of strategy (D)'!$B$672,'All Statement of strategy (D)'!$I872,
$G$546='All Statement of strategy (D)'!$B$673,'All Statement of strategy (D)'!$I912,
$G$546='All Statement of strategy (D)'!$B$674,'All Statement of strategy (D)'!$I952,
1=1, "")</f>
        <v/>
      </c>
      <c r="H584" s="581" t="str" cm="1">
        <f t="array" aca="1" ref="H584" ca="1">_xlfn.IFS(
$H$546='All Statement of strategy (D)'!$B$670,'All Statement of strategy (D)'!$I792,
$H$546='All Statement of strategy (D)'!$B$671,'All Statement of strategy (D)'!$I832,
$H$546='All Statement of strategy (D)'!$B$672,'All Statement of strategy (D)'!$I872,
$H$546='All Statement of strategy (D)'!$B$673,'All Statement of strategy (D)'!$I912,
$H$546='All Statement of strategy (D)'!$B$674,'All Statement of strategy (D)'!$I952,
1=1, "")</f>
        <v/>
      </c>
      <c r="I584" s="435"/>
      <c r="J584" s="435"/>
      <c r="N584" s="631" t="str">
        <f t="shared" ca="1" si="9"/>
        <v>Refresh the statement</v>
      </c>
    </row>
    <row r="585" spans="1:15">
      <c r="B585" s="581" t="str">
        <f ca="1">'All Statement of strategy (D)'!$I713</f>
        <v xml:space="preserve"> </v>
      </c>
      <c r="C585" s="581" t="str">
        <f ca="1">'All Statement of strategy (D)'!$I753</f>
        <v xml:space="preserve"> </v>
      </c>
      <c r="D585" s="581" t="str" cm="1">
        <f t="array" aca="1" ref="D585" ca="1">_xlfn.IFS(
$D$546='All Statement of strategy (D)'!$B$670,'All Statement of strategy (D)'!$I793,
$D$546='All Statement of strategy (D)'!$B$671,'All Statement of strategy (D)'!$I833,
$D$546='All Statement of strategy (D)'!$B$672,'All Statement of strategy (D)'!$I873,
$D$546='All Statement of strategy (D)'!$B$673,'All Statement of strategy (D)'!$I913,
$D$546='All Statement of strategy (D)'!$B$674,'All Statement of strategy (D)'!$I953,
1=1, "")</f>
        <v/>
      </c>
      <c r="E585" s="581" t="str" cm="1">
        <f t="array" aca="1" ref="E585" ca="1">_xlfn.IFS(
$E$546='All Statement of strategy (D)'!$B$670,'All Statement of strategy (D)'!$I793,
$E$546='All Statement of strategy (D)'!$B$671,'All Statement of strategy (D)'!$I833,
$E$546='All Statement of strategy (D)'!$B$672,'All Statement of strategy (D)'!$I873,
$E$546='All Statement of strategy (D)'!$B$673,'All Statement of strategy (D)'!$I913,
$E$546='All Statement of strategy (D)'!$B$674,'All Statement of strategy (D)'!$I953,
1=1, "")</f>
        <v/>
      </c>
      <c r="F585" s="581" t="str" cm="1">
        <f t="array" aca="1" ref="F585" ca="1">_xlfn.IFS(
$F$546='All Statement of strategy (D)'!$B$670,'All Statement of strategy (D)'!$I793,
$F$546='All Statement of strategy (D)'!$B$671,'All Statement of strategy (D)'!$I833,
$F$546='All Statement of strategy (D)'!$B$672,'All Statement of strategy (D)'!$I873,
$F$546='All Statement of strategy (D)'!$B$673,'All Statement of strategy (D)'!$I913,
$F$546='All Statement of strategy (D)'!$B$674,'All Statement of strategy (D)'!$I953,
1=1,"")</f>
        <v/>
      </c>
      <c r="G585" s="581" t="str" cm="1">
        <f t="array" aca="1" ref="G585" ca="1">_xlfn.IFS(
$G$546='All Statement of strategy (D)'!$B$670,'All Statement of strategy (D)'!$I793,
$G$546='All Statement of strategy (D)'!$B$671,'All Statement of strategy (D)'!$I833,
$G$546='All Statement of strategy (D)'!$B$672,'All Statement of strategy (D)'!$I873,
$G$546='All Statement of strategy (D)'!$B$673,'All Statement of strategy (D)'!$I913,
$G$546='All Statement of strategy (D)'!$B$674,'All Statement of strategy (D)'!$I953,
1=1, "")</f>
        <v/>
      </c>
      <c r="H585" s="581" t="str" cm="1">
        <f t="array" aca="1" ref="H585" ca="1">_xlfn.IFS(
$H$546='All Statement of strategy (D)'!$B$670,'All Statement of strategy (D)'!$I793,
$H$546='All Statement of strategy (D)'!$B$671,'All Statement of strategy (D)'!$I833,
$H$546='All Statement of strategy (D)'!$B$672,'All Statement of strategy (D)'!$I873,
$H$546='All Statement of strategy (D)'!$B$673,'All Statement of strategy (D)'!$I913,
$H$546='All Statement of strategy (D)'!$B$674,'All Statement of strategy (D)'!$I953,
1=1, "")</f>
        <v/>
      </c>
      <c r="I585" s="435"/>
      <c r="J585" s="435"/>
      <c r="N585" s="631" t="str">
        <f t="shared" ca="1" si="9"/>
        <v>Refresh the statement</v>
      </c>
    </row>
    <row r="586" spans="1:15">
      <c r="B586" s="581" t="str">
        <f ca="1">'All Statement of strategy (D)'!$I714</f>
        <v xml:space="preserve"> </v>
      </c>
      <c r="C586" s="581" t="str">
        <f ca="1">'All Statement of strategy (D)'!$I754</f>
        <v xml:space="preserve"> </v>
      </c>
      <c r="D586" s="581" t="str" cm="1">
        <f t="array" aca="1" ref="D586" ca="1">_xlfn.IFS(
$D$546='All Statement of strategy (D)'!$B$670,'All Statement of strategy (D)'!$I794,
$D$546='All Statement of strategy (D)'!$B$671,'All Statement of strategy (D)'!$I834,
$D$546='All Statement of strategy (D)'!$B$672,'All Statement of strategy (D)'!$I874,
$D$546='All Statement of strategy (D)'!$B$673,'All Statement of strategy (D)'!$I914,
$D$546='All Statement of strategy (D)'!$B$674,'All Statement of strategy (D)'!$I954,
1=1, "")</f>
        <v/>
      </c>
      <c r="E586" s="581" t="str" cm="1">
        <f t="array" aca="1" ref="E586" ca="1">_xlfn.IFS(
$E$546='All Statement of strategy (D)'!$B$670,'All Statement of strategy (D)'!$I794,
$E$546='All Statement of strategy (D)'!$B$671,'All Statement of strategy (D)'!$I834,
$E$546='All Statement of strategy (D)'!$B$672,'All Statement of strategy (D)'!$I874,
$E$546='All Statement of strategy (D)'!$B$673,'All Statement of strategy (D)'!$I914,
$E$546='All Statement of strategy (D)'!$B$674,'All Statement of strategy (D)'!$I954,
1=1, "")</f>
        <v/>
      </c>
      <c r="F586" s="581" t="str" cm="1">
        <f t="array" aca="1" ref="F586" ca="1">_xlfn.IFS(
$F$546='All Statement of strategy (D)'!$B$670,'All Statement of strategy (D)'!$I794,
$F$546='All Statement of strategy (D)'!$B$671,'All Statement of strategy (D)'!$I834,
$F$546='All Statement of strategy (D)'!$B$672,'All Statement of strategy (D)'!$I874,
$F$546='All Statement of strategy (D)'!$B$673,'All Statement of strategy (D)'!$I914,
$F$546='All Statement of strategy (D)'!$B$674,'All Statement of strategy (D)'!$I954,
1=1,"")</f>
        <v/>
      </c>
      <c r="G586" s="581" t="str" cm="1">
        <f t="array" aca="1" ref="G586" ca="1">_xlfn.IFS(
$G$546='All Statement of strategy (D)'!$B$670,'All Statement of strategy (D)'!$I794,
$G$546='All Statement of strategy (D)'!$B$671,'All Statement of strategy (D)'!$I834,
$G$546='All Statement of strategy (D)'!$B$672,'All Statement of strategy (D)'!$I874,
$G$546='All Statement of strategy (D)'!$B$673,'All Statement of strategy (D)'!$I914,
$G$546='All Statement of strategy (D)'!$B$674,'All Statement of strategy (D)'!$I954,
1=1, "")</f>
        <v/>
      </c>
      <c r="H586" s="581" t="str" cm="1">
        <f t="array" aca="1" ref="H586" ca="1">_xlfn.IFS(
$H$546='All Statement of strategy (D)'!$B$670,'All Statement of strategy (D)'!$I794,
$H$546='All Statement of strategy (D)'!$B$671,'All Statement of strategy (D)'!$I834,
$H$546='All Statement of strategy (D)'!$B$672,'All Statement of strategy (D)'!$I874,
$H$546='All Statement of strategy (D)'!$B$673,'All Statement of strategy (D)'!$I914,
$H$546='All Statement of strategy (D)'!$B$674,'All Statement of strategy (D)'!$I954,
1=1, "")</f>
        <v/>
      </c>
      <c r="I586" s="435"/>
      <c r="J586" s="435"/>
      <c r="N586" s="631" t="str">
        <f t="shared" ca="1" si="9"/>
        <v>Refresh the statement</v>
      </c>
    </row>
    <row r="587" spans="1:15">
      <c r="N587" s="631" t="str">
        <f t="shared" ca="1" si="9"/>
        <v>Refresh the statement</v>
      </c>
      <c r="O587" s="86" t="str">
        <f ca="1">IF(B546&lt;&gt;"","Blank row","")</f>
        <v>Blank row</v>
      </c>
    </row>
    <row r="588" spans="1:15" ht="23">
      <c r="A588" s="871" t="str">
        <f ca="1">'All Statement of strategy (D)'!$I955</f>
        <v xml:space="preserve"> </v>
      </c>
      <c r="B588" s="871"/>
      <c r="C588" s="871"/>
      <c r="D588" s="871"/>
      <c r="E588" s="871"/>
      <c r="F588" s="871"/>
      <c r="G588" s="871"/>
      <c r="H588" s="871"/>
      <c r="I588" s="871"/>
      <c r="J588" s="871"/>
      <c r="K588" s="871"/>
      <c r="L588" s="871"/>
      <c r="N588" s="631" t="str">
        <f t="shared" ca="1" si="9"/>
        <v>Refresh the statement</v>
      </c>
    </row>
    <row r="589" spans="1:15">
      <c r="A589" s="580"/>
      <c r="B589" s="580"/>
      <c r="C589" s="580"/>
      <c r="D589" s="580"/>
      <c r="E589" s="580"/>
      <c r="F589" s="580"/>
      <c r="G589" s="580"/>
      <c r="H589" s="580"/>
      <c r="I589" s="580"/>
      <c r="J589" s="580"/>
      <c r="K589" s="580"/>
      <c r="L589" s="580"/>
      <c r="N589" s="631" t="str">
        <f t="shared" ca="1" si="9"/>
        <v>Refresh the statement</v>
      </c>
      <c r="O589" s="86" t="str">
        <f ca="1">IF($A$588&lt;&gt;"","Blank row","")</f>
        <v>Blank row</v>
      </c>
    </row>
    <row r="590" spans="1:15">
      <c r="A590" s="857" t="str">
        <f ca="1">'All Statement of strategy (D)'!$I956</f>
        <v xml:space="preserve"> </v>
      </c>
      <c r="B590" s="857"/>
      <c r="C590" s="857"/>
      <c r="D590" s="857"/>
      <c r="E590" s="857"/>
      <c r="F590" s="857"/>
      <c r="G590" s="857"/>
      <c r="H590" s="857"/>
      <c r="I590" s="857"/>
      <c r="J590" s="857"/>
      <c r="K590" s="857"/>
      <c r="L590" s="857"/>
      <c r="N590" s="631" t="str">
        <f t="shared" ca="1" si="9"/>
        <v>Refresh the statement</v>
      </c>
    </row>
    <row r="591" spans="1:15">
      <c r="N591" s="631" t="str">
        <f t="shared" ca="1" si="9"/>
        <v>Refresh the statement</v>
      </c>
      <c r="O591" s="86" t="str">
        <f ca="1">IF($A$590&lt;&gt;"","Blank row","")</f>
        <v>Blank row</v>
      </c>
    </row>
    <row r="592" spans="1:15">
      <c r="A592" s="857" t="str">
        <f ca="1">'All Statement of strategy (D)'!$I957</f>
        <v xml:space="preserve"> </v>
      </c>
      <c r="B592" s="857"/>
      <c r="C592" s="857"/>
      <c r="D592" s="857"/>
      <c r="E592" s="857"/>
      <c r="F592" s="857"/>
      <c r="G592" s="857"/>
      <c r="H592" s="857"/>
      <c r="I592" s="857"/>
      <c r="J592" s="857"/>
      <c r="K592" s="857"/>
      <c r="L592" s="857"/>
      <c r="N592" s="631" t="str">
        <f t="shared" ca="1" si="9"/>
        <v>Refresh the statement</v>
      </c>
    </row>
    <row r="593" spans="2:15">
      <c r="N593" s="631" t="str">
        <f t="shared" ca="1" si="9"/>
        <v>Refresh the statement</v>
      </c>
      <c r="O593" s="86" t="str">
        <f ca="1">IF($A$592&lt;&gt;"","Blank row","")</f>
        <v>Blank row</v>
      </c>
    </row>
    <row r="594" spans="2:15">
      <c r="B594" s="877" t="str">
        <f ca="1">'All Statement of strategy (D)'!$I958</f>
        <v xml:space="preserve"> </v>
      </c>
      <c r="C594" s="877"/>
      <c r="D594" s="860" t="str">
        <f ca="1">'All Statement of strategy (D)'!$I959</f>
        <v xml:space="preserve"> </v>
      </c>
      <c r="E594" s="860"/>
      <c r="F594" s="860"/>
      <c r="G594" s="860"/>
      <c r="H594" s="860"/>
      <c r="I594" s="436"/>
      <c r="J594" s="436"/>
      <c r="N594" s="631" t="str">
        <f t="shared" ca="1" si="9"/>
        <v>Refresh the statement</v>
      </c>
    </row>
    <row r="595" spans="2:15">
      <c r="B595" s="876" t="str">
        <f ca="1">'All Statement of strategy (D)'!$I960</f>
        <v xml:space="preserve"> </v>
      </c>
      <c r="C595" s="876"/>
      <c r="D595" s="879" t="str">
        <f ca="1">'All Statement of strategy (D)'!$I1000</f>
        <v xml:space="preserve"> </v>
      </c>
      <c r="E595" s="879"/>
      <c r="F595" s="879"/>
      <c r="G595" s="879"/>
      <c r="H595" s="879"/>
      <c r="I595" s="436"/>
      <c r="J595" s="436"/>
      <c r="N595" s="631" t="str">
        <f t="shared" ca="1" si="9"/>
        <v>Refresh the statement</v>
      </c>
    </row>
    <row r="596" spans="2:15">
      <c r="B596" s="876" t="str">
        <f ca="1">'All Statement of strategy (D)'!$I961</f>
        <v xml:space="preserve"> </v>
      </c>
      <c r="C596" s="876"/>
      <c r="D596" s="879" t="str">
        <f ca="1">'All Statement of strategy (D)'!$I1001</f>
        <v xml:space="preserve"> </v>
      </c>
      <c r="E596" s="879"/>
      <c r="F596" s="879"/>
      <c r="G596" s="879"/>
      <c r="H596" s="879"/>
      <c r="I596" s="436"/>
      <c r="J596" s="436"/>
      <c r="N596" s="631" t="str">
        <f t="shared" ca="1" si="9"/>
        <v>Refresh the statement</v>
      </c>
    </row>
    <row r="597" spans="2:15">
      <c r="B597" s="876" t="str">
        <f ca="1">'All Statement of strategy (D)'!$I962</f>
        <v xml:space="preserve"> </v>
      </c>
      <c r="C597" s="876"/>
      <c r="D597" s="879" t="str">
        <f ca="1">'All Statement of strategy (D)'!$I1002</f>
        <v xml:space="preserve"> </v>
      </c>
      <c r="E597" s="879"/>
      <c r="F597" s="879"/>
      <c r="G597" s="879"/>
      <c r="H597" s="879"/>
      <c r="I597" s="436"/>
      <c r="J597" s="436"/>
      <c r="N597" s="631" t="str">
        <f t="shared" ca="1" si="9"/>
        <v>Refresh the statement</v>
      </c>
    </row>
    <row r="598" spans="2:15">
      <c r="B598" s="876" t="str">
        <f ca="1">'All Statement of strategy (D)'!$I963</f>
        <v xml:space="preserve"> </v>
      </c>
      <c r="C598" s="876"/>
      <c r="D598" s="879" t="str">
        <f ca="1">'All Statement of strategy (D)'!$I1003</f>
        <v xml:space="preserve"> </v>
      </c>
      <c r="E598" s="879"/>
      <c r="F598" s="879"/>
      <c r="G598" s="879"/>
      <c r="H598" s="879"/>
      <c r="I598" s="436"/>
      <c r="J598" s="436"/>
      <c r="N598" s="631" t="str">
        <f t="shared" ca="1" si="9"/>
        <v>Refresh the statement</v>
      </c>
    </row>
    <row r="599" spans="2:15">
      <c r="B599" s="876" t="str">
        <f ca="1">'All Statement of strategy (D)'!$I964</f>
        <v xml:space="preserve"> </v>
      </c>
      <c r="C599" s="876"/>
      <c r="D599" s="879" t="str">
        <f ca="1">'All Statement of strategy (D)'!$I1004</f>
        <v xml:space="preserve"> </v>
      </c>
      <c r="E599" s="879"/>
      <c r="F599" s="879"/>
      <c r="G599" s="879"/>
      <c r="H599" s="879"/>
      <c r="I599" s="436"/>
      <c r="J599" s="436"/>
      <c r="N599" s="631" t="str">
        <f t="shared" ca="1" si="9"/>
        <v>Refresh the statement</v>
      </c>
    </row>
    <row r="600" spans="2:15">
      <c r="B600" s="876" t="str">
        <f ca="1">'All Statement of strategy (D)'!$I965</f>
        <v xml:space="preserve"> </v>
      </c>
      <c r="C600" s="876"/>
      <c r="D600" s="879" t="str">
        <f ca="1">'All Statement of strategy (D)'!$I1005</f>
        <v xml:space="preserve"> </v>
      </c>
      <c r="E600" s="879"/>
      <c r="F600" s="879"/>
      <c r="G600" s="879"/>
      <c r="H600" s="879"/>
      <c r="I600" s="436"/>
      <c r="J600" s="436"/>
      <c r="N600" s="631" t="str">
        <f t="shared" ca="1" si="9"/>
        <v>Refresh the statement</v>
      </c>
    </row>
    <row r="601" spans="2:15">
      <c r="B601" s="876" t="str">
        <f ca="1">'All Statement of strategy (D)'!$I966</f>
        <v xml:space="preserve"> </v>
      </c>
      <c r="C601" s="876"/>
      <c r="D601" s="879" t="str">
        <f ca="1">'All Statement of strategy (D)'!$I1006</f>
        <v xml:space="preserve"> </v>
      </c>
      <c r="E601" s="879"/>
      <c r="F601" s="879"/>
      <c r="G601" s="879"/>
      <c r="H601" s="879"/>
      <c r="I601" s="436"/>
      <c r="J601" s="436"/>
      <c r="N601" s="631" t="str">
        <f t="shared" ref="N601:N664" ca="1" si="10">IF(OR(A601&lt;&gt;"",B601&lt;&gt;"",C601&lt;&gt;"",D601&lt;&gt;"",E601&lt;&gt;"",F601&lt;&gt;"",G601&lt;&gt;"",H601&lt;&gt;"",I601&lt;&gt;"",J601&lt;&gt;"",K601&lt;&gt;"",L601&lt;&gt;"",M601&lt;&gt;"",O601&lt;&gt;""),"Refresh the statement","Scroll up and click refresh")</f>
        <v>Refresh the statement</v>
      </c>
    </row>
    <row r="602" spans="2:15">
      <c r="B602" s="876" t="str">
        <f ca="1">'All Statement of strategy (D)'!$I967</f>
        <v xml:space="preserve"> </v>
      </c>
      <c r="C602" s="876"/>
      <c r="D602" s="879" t="str">
        <f ca="1">'All Statement of strategy (D)'!$I1007</f>
        <v xml:space="preserve"> </v>
      </c>
      <c r="E602" s="879"/>
      <c r="F602" s="879"/>
      <c r="G602" s="879"/>
      <c r="H602" s="879"/>
      <c r="I602" s="436"/>
      <c r="J602" s="436"/>
      <c r="N602" s="631" t="str">
        <f t="shared" ca="1" si="10"/>
        <v>Refresh the statement</v>
      </c>
    </row>
    <row r="603" spans="2:15">
      <c r="B603" s="876" t="str">
        <f ca="1">'All Statement of strategy (D)'!$I968</f>
        <v xml:space="preserve"> </v>
      </c>
      <c r="C603" s="876"/>
      <c r="D603" s="879" t="str">
        <f ca="1">'All Statement of strategy (D)'!$I1008</f>
        <v xml:space="preserve"> </v>
      </c>
      <c r="E603" s="879"/>
      <c r="F603" s="879"/>
      <c r="G603" s="879"/>
      <c r="H603" s="879"/>
      <c r="I603" s="436"/>
      <c r="J603" s="436"/>
      <c r="N603" s="631" t="str">
        <f t="shared" ca="1" si="10"/>
        <v>Refresh the statement</v>
      </c>
    </row>
    <row r="604" spans="2:15">
      <c r="B604" s="876" t="str">
        <f ca="1">'All Statement of strategy (D)'!$I969</f>
        <v xml:space="preserve"> </v>
      </c>
      <c r="C604" s="876"/>
      <c r="D604" s="879" t="str">
        <f ca="1">'All Statement of strategy (D)'!$I1009</f>
        <v xml:space="preserve"> </v>
      </c>
      <c r="E604" s="879"/>
      <c r="F604" s="879"/>
      <c r="G604" s="879"/>
      <c r="H604" s="879"/>
      <c r="I604" s="436"/>
      <c r="J604" s="436"/>
      <c r="N604" s="631" t="str">
        <f t="shared" ca="1" si="10"/>
        <v>Refresh the statement</v>
      </c>
    </row>
    <row r="605" spans="2:15">
      <c r="B605" s="876" t="str">
        <f ca="1">'All Statement of strategy (D)'!$I970</f>
        <v xml:space="preserve"> </v>
      </c>
      <c r="C605" s="876"/>
      <c r="D605" s="879" t="str">
        <f ca="1">'All Statement of strategy (D)'!$I1010</f>
        <v xml:space="preserve"> </v>
      </c>
      <c r="E605" s="879"/>
      <c r="F605" s="879"/>
      <c r="G605" s="879"/>
      <c r="H605" s="879"/>
      <c r="I605" s="436"/>
      <c r="J605" s="436"/>
      <c r="N605" s="631" t="str">
        <f t="shared" ca="1" si="10"/>
        <v>Refresh the statement</v>
      </c>
    </row>
    <row r="606" spans="2:15">
      <c r="B606" s="876" t="str">
        <f ca="1">'All Statement of strategy (D)'!$I971</f>
        <v xml:space="preserve"> </v>
      </c>
      <c r="C606" s="876"/>
      <c r="D606" s="879" t="str">
        <f ca="1">'All Statement of strategy (D)'!$I1011</f>
        <v xml:space="preserve"> </v>
      </c>
      <c r="E606" s="879"/>
      <c r="F606" s="879"/>
      <c r="G606" s="879"/>
      <c r="H606" s="879"/>
      <c r="I606" s="436"/>
      <c r="J606" s="436"/>
      <c r="N606" s="631" t="str">
        <f t="shared" ca="1" si="10"/>
        <v>Refresh the statement</v>
      </c>
    </row>
    <row r="607" spans="2:15">
      <c r="B607" s="876" t="str">
        <f ca="1">'All Statement of strategy (D)'!$I972</f>
        <v xml:space="preserve"> </v>
      </c>
      <c r="C607" s="876"/>
      <c r="D607" s="879" t="str">
        <f ca="1">'All Statement of strategy (D)'!$I1012</f>
        <v xml:space="preserve"> </v>
      </c>
      <c r="E607" s="879"/>
      <c r="F607" s="879"/>
      <c r="G607" s="879"/>
      <c r="H607" s="879"/>
      <c r="I607" s="436"/>
      <c r="J607" s="436"/>
      <c r="N607" s="631" t="str">
        <f t="shared" ca="1" si="10"/>
        <v>Refresh the statement</v>
      </c>
    </row>
    <row r="608" spans="2:15">
      <c r="B608" s="876" t="str">
        <f ca="1">'All Statement of strategy (D)'!$I973</f>
        <v xml:space="preserve"> </v>
      </c>
      <c r="C608" s="876"/>
      <c r="D608" s="879" t="str">
        <f ca="1">'All Statement of strategy (D)'!$I1013</f>
        <v xml:space="preserve"> </v>
      </c>
      <c r="E608" s="879"/>
      <c r="F608" s="879"/>
      <c r="G608" s="879"/>
      <c r="H608" s="879"/>
      <c r="I608" s="436"/>
      <c r="J608" s="436"/>
      <c r="N608" s="631" t="str">
        <f t="shared" ca="1" si="10"/>
        <v>Refresh the statement</v>
      </c>
    </row>
    <row r="609" spans="2:14">
      <c r="B609" s="876" t="str">
        <f ca="1">'All Statement of strategy (D)'!$I974</f>
        <v xml:space="preserve"> </v>
      </c>
      <c r="C609" s="876"/>
      <c r="D609" s="879" t="str">
        <f ca="1">'All Statement of strategy (D)'!$I1014</f>
        <v xml:space="preserve"> </v>
      </c>
      <c r="E609" s="879"/>
      <c r="F609" s="879"/>
      <c r="G609" s="879"/>
      <c r="H609" s="879"/>
      <c r="I609" s="436"/>
      <c r="J609" s="436"/>
      <c r="N609" s="631" t="str">
        <f t="shared" ca="1" si="10"/>
        <v>Refresh the statement</v>
      </c>
    </row>
    <row r="610" spans="2:14">
      <c r="B610" s="876" t="str">
        <f ca="1">'All Statement of strategy (D)'!$I975</f>
        <v xml:space="preserve"> </v>
      </c>
      <c r="C610" s="876"/>
      <c r="D610" s="879" t="str">
        <f ca="1">'All Statement of strategy (D)'!$I1015</f>
        <v xml:space="preserve"> </v>
      </c>
      <c r="E610" s="879"/>
      <c r="F610" s="879"/>
      <c r="G610" s="879"/>
      <c r="H610" s="879"/>
      <c r="I610" s="436"/>
      <c r="J610" s="436"/>
      <c r="N610" s="631" t="str">
        <f t="shared" ca="1" si="10"/>
        <v>Refresh the statement</v>
      </c>
    </row>
    <row r="611" spans="2:14">
      <c r="B611" s="876" t="str">
        <f ca="1">'All Statement of strategy (D)'!$I976</f>
        <v xml:space="preserve"> </v>
      </c>
      <c r="C611" s="876"/>
      <c r="D611" s="879" t="str">
        <f ca="1">'All Statement of strategy (D)'!$I1016</f>
        <v xml:space="preserve"> </v>
      </c>
      <c r="E611" s="879"/>
      <c r="F611" s="879"/>
      <c r="G611" s="879"/>
      <c r="H611" s="879"/>
      <c r="I611" s="436"/>
      <c r="J611" s="436"/>
      <c r="N611" s="631" t="str">
        <f t="shared" ca="1" si="10"/>
        <v>Refresh the statement</v>
      </c>
    </row>
    <row r="612" spans="2:14">
      <c r="B612" s="876" t="str">
        <f ca="1">'All Statement of strategy (D)'!$I977</f>
        <v xml:space="preserve"> </v>
      </c>
      <c r="C612" s="876"/>
      <c r="D612" s="879" t="str">
        <f ca="1">'All Statement of strategy (D)'!$I1017</f>
        <v xml:space="preserve"> </v>
      </c>
      <c r="E612" s="879"/>
      <c r="F612" s="879"/>
      <c r="G612" s="879"/>
      <c r="H612" s="879"/>
      <c r="I612" s="436"/>
      <c r="J612" s="436"/>
      <c r="N612" s="631" t="str">
        <f t="shared" ca="1" si="10"/>
        <v>Refresh the statement</v>
      </c>
    </row>
    <row r="613" spans="2:14">
      <c r="B613" s="876" t="str">
        <f ca="1">'All Statement of strategy (D)'!$I978</f>
        <v xml:space="preserve"> </v>
      </c>
      <c r="C613" s="876"/>
      <c r="D613" s="879" t="str">
        <f ca="1">'All Statement of strategy (D)'!$I1018</f>
        <v xml:space="preserve"> </v>
      </c>
      <c r="E613" s="879"/>
      <c r="F613" s="879"/>
      <c r="G613" s="879"/>
      <c r="H613" s="879"/>
      <c r="I613" s="436"/>
      <c r="J613" s="436"/>
      <c r="N613" s="631" t="str">
        <f t="shared" ca="1" si="10"/>
        <v>Refresh the statement</v>
      </c>
    </row>
    <row r="614" spans="2:14">
      <c r="B614" s="876" t="str">
        <f ca="1">'All Statement of strategy (D)'!$I979</f>
        <v xml:space="preserve"> </v>
      </c>
      <c r="C614" s="876"/>
      <c r="D614" s="879" t="str">
        <f ca="1">'All Statement of strategy (D)'!$I1019</f>
        <v xml:space="preserve"> </v>
      </c>
      <c r="E614" s="879"/>
      <c r="F614" s="879"/>
      <c r="G614" s="879"/>
      <c r="H614" s="879"/>
      <c r="I614" s="436"/>
      <c r="J614" s="436"/>
      <c r="N614" s="631" t="str">
        <f t="shared" ca="1" si="10"/>
        <v>Refresh the statement</v>
      </c>
    </row>
    <row r="615" spans="2:14">
      <c r="B615" s="876" t="str">
        <f ca="1">'All Statement of strategy (D)'!$I980</f>
        <v xml:space="preserve"> </v>
      </c>
      <c r="C615" s="876"/>
      <c r="D615" s="879" t="str">
        <f ca="1">'All Statement of strategy (D)'!$I1020</f>
        <v xml:space="preserve"> </v>
      </c>
      <c r="E615" s="879"/>
      <c r="F615" s="879"/>
      <c r="G615" s="879"/>
      <c r="H615" s="879"/>
      <c r="I615" s="436"/>
      <c r="J615" s="436"/>
      <c r="N615" s="631" t="str">
        <f t="shared" ca="1" si="10"/>
        <v>Refresh the statement</v>
      </c>
    </row>
    <row r="616" spans="2:14">
      <c r="B616" s="876" t="str">
        <f ca="1">'All Statement of strategy (D)'!$I981</f>
        <v xml:space="preserve"> </v>
      </c>
      <c r="C616" s="876"/>
      <c r="D616" s="879" t="str">
        <f ca="1">'All Statement of strategy (D)'!$I1021</f>
        <v xml:space="preserve"> </v>
      </c>
      <c r="E616" s="879"/>
      <c r="F616" s="879"/>
      <c r="G616" s="879"/>
      <c r="H616" s="879"/>
      <c r="I616" s="436"/>
      <c r="J616" s="436"/>
      <c r="N616" s="631" t="str">
        <f t="shared" ca="1" si="10"/>
        <v>Refresh the statement</v>
      </c>
    </row>
    <row r="617" spans="2:14">
      <c r="B617" s="876" t="str">
        <f ca="1">'All Statement of strategy (D)'!$I982</f>
        <v xml:space="preserve"> </v>
      </c>
      <c r="C617" s="876"/>
      <c r="D617" s="879" t="str">
        <f ca="1">'All Statement of strategy (D)'!$I1022</f>
        <v xml:space="preserve"> </v>
      </c>
      <c r="E617" s="879"/>
      <c r="F617" s="879"/>
      <c r="G617" s="879"/>
      <c r="H617" s="879"/>
      <c r="I617" s="436"/>
      <c r="J617" s="436"/>
      <c r="N617" s="631" t="str">
        <f t="shared" ca="1" si="10"/>
        <v>Refresh the statement</v>
      </c>
    </row>
    <row r="618" spans="2:14">
      <c r="B618" s="876" t="str">
        <f ca="1">'All Statement of strategy (D)'!$I983</f>
        <v xml:space="preserve"> </v>
      </c>
      <c r="C618" s="876"/>
      <c r="D618" s="879" t="str">
        <f ca="1">'All Statement of strategy (D)'!$I1023</f>
        <v xml:space="preserve"> </v>
      </c>
      <c r="E618" s="879"/>
      <c r="F618" s="879"/>
      <c r="G618" s="879"/>
      <c r="H618" s="879"/>
      <c r="I618" s="436"/>
      <c r="J618" s="436"/>
      <c r="N618" s="631" t="str">
        <f t="shared" ca="1" si="10"/>
        <v>Refresh the statement</v>
      </c>
    </row>
    <row r="619" spans="2:14">
      <c r="B619" s="876" t="str">
        <f ca="1">'All Statement of strategy (D)'!$I984</f>
        <v xml:space="preserve"> </v>
      </c>
      <c r="C619" s="876"/>
      <c r="D619" s="879" t="str">
        <f ca="1">'All Statement of strategy (D)'!$I1024</f>
        <v xml:space="preserve"> </v>
      </c>
      <c r="E619" s="879"/>
      <c r="F619" s="879"/>
      <c r="G619" s="879"/>
      <c r="H619" s="879"/>
      <c r="I619" s="436"/>
      <c r="J619" s="436"/>
      <c r="N619" s="631" t="str">
        <f t="shared" ca="1" si="10"/>
        <v>Refresh the statement</v>
      </c>
    </row>
    <row r="620" spans="2:14">
      <c r="B620" s="876" t="str">
        <f ca="1">'All Statement of strategy (D)'!$I985</f>
        <v xml:space="preserve"> </v>
      </c>
      <c r="C620" s="876"/>
      <c r="D620" s="879" t="str">
        <f ca="1">'All Statement of strategy (D)'!$I1025</f>
        <v xml:space="preserve"> </v>
      </c>
      <c r="E620" s="879"/>
      <c r="F620" s="879"/>
      <c r="G620" s="879"/>
      <c r="H620" s="879"/>
      <c r="I620" s="436"/>
      <c r="J620" s="436"/>
      <c r="N620" s="631" t="str">
        <f t="shared" ca="1" si="10"/>
        <v>Refresh the statement</v>
      </c>
    </row>
    <row r="621" spans="2:14">
      <c r="B621" s="876" t="str">
        <f ca="1">'All Statement of strategy (D)'!$I986</f>
        <v xml:space="preserve"> </v>
      </c>
      <c r="C621" s="876"/>
      <c r="D621" s="879" t="str">
        <f ca="1">'All Statement of strategy (D)'!$I1026</f>
        <v xml:space="preserve"> </v>
      </c>
      <c r="E621" s="879"/>
      <c r="F621" s="879"/>
      <c r="G621" s="879"/>
      <c r="H621" s="879"/>
      <c r="I621" s="436"/>
      <c r="J621" s="436"/>
      <c r="N621" s="631" t="str">
        <f t="shared" ca="1" si="10"/>
        <v>Refresh the statement</v>
      </c>
    </row>
    <row r="622" spans="2:14">
      <c r="B622" s="876" t="str">
        <f ca="1">'All Statement of strategy (D)'!$I987</f>
        <v xml:space="preserve"> </v>
      </c>
      <c r="C622" s="876"/>
      <c r="D622" s="879" t="str">
        <f ca="1">'All Statement of strategy (D)'!$I1027</f>
        <v xml:space="preserve"> </v>
      </c>
      <c r="E622" s="879"/>
      <c r="F622" s="879"/>
      <c r="G622" s="879"/>
      <c r="H622" s="879"/>
      <c r="I622" s="436"/>
      <c r="J622" s="436"/>
      <c r="N622" s="631" t="str">
        <f t="shared" ca="1" si="10"/>
        <v>Refresh the statement</v>
      </c>
    </row>
    <row r="623" spans="2:14">
      <c r="B623" s="876" t="str">
        <f ca="1">'All Statement of strategy (D)'!$I988</f>
        <v xml:space="preserve"> </v>
      </c>
      <c r="C623" s="876"/>
      <c r="D623" s="879" t="str">
        <f ca="1">'All Statement of strategy (D)'!$I1028</f>
        <v xml:space="preserve"> </v>
      </c>
      <c r="E623" s="879"/>
      <c r="F623" s="879"/>
      <c r="G623" s="879"/>
      <c r="H623" s="879"/>
      <c r="I623" s="436"/>
      <c r="J623" s="436"/>
      <c r="N623" s="631" t="str">
        <f t="shared" ca="1" si="10"/>
        <v>Refresh the statement</v>
      </c>
    </row>
    <row r="624" spans="2:14">
      <c r="B624" s="876" t="str">
        <f ca="1">'All Statement of strategy (D)'!$I989</f>
        <v xml:space="preserve"> </v>
      </c>
      <c r="C624" s="876"/>
      <c r="D624" s="879" t="str">
        <f ca="1">'All Statement of strategy (D)'!$I1029</f>
        <v xml:space="preserve"> </v>
      </c>
      <c r="E624" s="879"/>
      <c r="F624" s="879"/>
      <c r="G624" s="879"/>
      <c r="H624" s="879"/>
      <c r="I624" s="436"/>
      <c r="J624" s="436"/>
      <c r="N624" s="631" t="str">
        <f t="shared" ca="1" si="10"/>
        <v>Refresh the statement</v>
      </c>
    </row>
    <row r="625" spans="1:15">
      <c r="B625" s="876" t="str">
        <f ca="1">'All Statement of strategy (D)'!$I990</f>
        <v xml:space="preserve"> </v>
      </c>
      <c r="C625" s="876"/>
      <c r="D625" s="879" t="str">
        <f ca="1">'All Statement of strategy (D)'!$I1030</f>
        <v xml:space="preserve"> </v>
      </c>
      <c r="E625" s="879"/>
      <c r="F625" s="879"/>
      <c r="G625" s="879"/>
      <c r="H625" s="879"/>
      <c r="I625" s="436"/>
      <c r="J625" s="436"/>
      <c r="N625" s="631" t="str">
        <f t="shared" ca="1" si="10"/>
        <v>Refresh the statement</v>
      </c>
    </row>
    <row r="626" spans="1:15">
      <c r="B626" s="876" t="str">
        <f ca="1">'All Statement of strategy (D)'!$I991</f>
        <v xml:space="preserve"> </v>
      </c>
      <c r="C626" s="876"/>
      <c r="D626" s="879" t="str">
        <f ca="1">'All Statement of strategy (D)'!$I1031</f>
        <v xml:space="preserve"> </v>
      </c>
      <c r="E626" s="879"/>
      <c r="F626" s="879"/>
      <c r="G626" s="879"/>
      <c r="H626" s="879"/>
      <c r="I626" s="436"/>
      <c r="J626" s="436"/>
      <c r="N626" s="631" t="str">
        <f t="shared" ca="1" si="10"/>
        <v>Refresh the statement</v>
      </c>
    </row>
    <row r="627" spans="1:15">
      <c r="B627" s="876" t="str">
        <f ca="1">'All Statement of strategy (D)'!$I992</f>
        <v xml:space="preserve"> </v>
      </c>
      <c r="C627" s="876"/>
      <c r="D627" s="879" t="str">
        <f ca="1">'All Statement of strategy (D)'!$I1032</f>
        <v xml:space="preserve"> </v>
      </c>
      <c r="E627" s="879"/>
      <c r="F627" s="879"/>
      <c r="G627" s="879"/>
      <c r="H627" s="879"/>
      <c r="I627" s="436"/>
      <c r="J627" s="436"/>
      <c r="N627" s="631" t="str">
        <f t="shared" ca="1" si="10"/>
        <v>Refresh the statement</v>
      </c>
    </row>
    <row r="628" spans="1:15">
      <c r="B628" s="876" t="str">
        <f ca="1">'All Statement of strategy (D)'!$I993</f>
        <v xml:space="preserve"> </v>
      </c>
      <c r="C628" s="876"/>
      <c r="D628" s="879" t="str">
        <f ca="1">'All Statement of strategy (D)'!$I1033</f>
        <v xml:space="preserve"> </v>
      </c>
      <c r="E628" s="879"/>
      <c r="F628" s="879"/>
      <c r="G628" s="879"/>
      <c r="H628" s="879"/>
      <c r="I628" s="436"/>
      <c r="J628" s="436"/>
      <c r="N628" s="631" t="str">
        <f t="shared" ca="1" si="10"/>
        <v>Refresh the statement</v>
      </c>
    </row>
    <row r="629" spans="1:15">
      <c r="B629" s="876" t="str">
        <f ca="1">'All Statement of strategy (D)'!$I994</f>
        <v xml:space="preserve"> </v>
      </c>
      <c r="C629" s="876"/>
      <c r="D629" s="879" t="str">
        <f ca="1">'All Statement of strategy (D)'!$I1034</f>
        <v xml:space="preserve"> </v>
      </c>
      <c r="E629" s="879"/>
      <c r="F629" s="879"/>
      <c r="G629" s="879"/>
      <c r="H629" s="879"/>
      <c r="I629" s="436"/>
      <c r="J629" s="436"/>
      <c r="N629" s="631" t="str">
        <f t="shared" ca="1" si="10"/>
        <v>Refresh the statement</v>
      </c>
    </row>
    <row r="630" spans="1:15">
      <c r="B630" s="876" t="str">
        <f ca="1">'All Statement of strategy (D)'!$I995</f>
        <v xml:space="preserve"> </v>
      </c>
      <c r="C630" s="876"/>
      <c r="D630" s="879" t="str">
        <f ca="1">'All Statement of strategy (D)'!$I1035</f>
        <v xml:space="preserve"> </v>
      </c>
      <c r="E630" s="879"/>
      <c r="F630" s="879"/>
      <c r="G630" s="879"/>
      <c r="H630" s="879"/>
      <c r="I630" s="436"/>
      <c r="J630" s="436"/>
      <c r="N630" s="631" t="str">
        <f t="shared" ca="1" si="10"/>
        <v>Refresh the statement</v>
      </c>
    </row>
    <row r="631" spans="1:15">
      <c r="B631" s="876" t="str">
        <f ca="1">'All Statement of strategy (D)'!$I996</f>
        <v xml:space="preserve"> </v>
      </c>
      <c r="C631" s="876"/>
      <c r="D631" s="879" t="str">
        <f ca="1">'All Statement of strategy (D)'!$I1036</f>
        <v xml:space="preserve"> </v>
      </c>
      <c r="E631" s="879"/>
      <c r="F631" s="879"/>
      <c r="G631" s="879"/>
      <c r="H631" s="879"/>
      <c r="I631" s="436"/>
      <c r="J631" s="436"/>
      <c r="N631" s="631" t="str">
        <f t="shared" ca="1" si="10"/>
        <v>Refresh the statement</v>
      </c>
    </row>
    <row r="632" spans="1:15">
      <c r="B632" s="876" t="str">
        <f ca="1">'All Statement of strategy (D)'!$I997</f>
        <v xml:space="preserve"> </v>
      </c>
      <c r="C632" s="876"/>
      <c r="D632" s="879" t="str">
        <f ca="1">'All Statement of strategy (D)'!$I1037</f>
        <v xml:space="preserve"> </v>
      </c>
      <c r="E632" s="879"/>
      <c r="F632" s="879"/>
      <c r="G632" s="879"/>
      <c r="H632" s="879"/>
      <c r="I632" s="436"/>
      <c r="J632" s="436"/>
      <c r="N632" s="631" t="str">
        <f t="shared" ca="1" si="10"/>
        <v>Refresh the statement</v>
      </c>
    </row>
    <row r="633" spans="1:15">
      <c r="B633" s="876" t="str">
        <f ca="1">'All Statement of strategy (D)'!$I998</f>
        <v xml:space="preserve"> </v>
      </c>
      <c r="C633" s="876"/>
      <c r="D633" s="879" t="str">
        <f ca="1">'All Statement of strategy (D)'!$I1038</f>
        <v xml:space="preserve"> </v>
      </c>
      <c r="E633" s="879"/>
      <c r="F633" s="879"/>
      <c r="G633" s="879"/>
      <c r="H633" s="879"/>
      <c r="I633" s="436"/>
      <c r="J633" s="436"/>
      <c r="N633" s="631" t="str">
        <f t="shared" ca="1" si="10"/>
        <v>Refresh the statement</v>
      </c>
    </row>
    <row r="634" spans="1:15">
      <c r="B634" s="876" t="str">
        <f ca="1">'All Statement of strategy (D)'!$I999</f>
        <v xml:space="preserve"> </v>
      </c>
      <c r="C634" s="876"/>
      <c r="D634" s="879" t="str">
        <f ca="1">'All Statement of strategy (D)'!$I1039</f>
        <v xml:space="preserve"> </v>
      </c>
      <c r="E634" s="879"/>
      <c r="F634" s="879"/>
      <c r="G634" s="879"/>
      <c r="H634" s="879"/>
      <c r="I634" s="436"/>
      <c r="J634" s="436"/>
      <c r="N634" s="631" t="str">
        <f t="shared" ca="1" si="10"/>
        <v>Refresh the statement</v>
      </c>
    </row>
    <row r="635" spans="1:15">
      <c r="N635" s="631" t="str">
        <f t="shared" ca="1" si="10"/>
        <v>Refresh the statement</v>
      </c>
      <c r="O635" s="86" t="str">
        <f ca="1">IF(A592&lt;&gt;"","Blank row","")</f>
        <v>Blank row</v>
      </c>
    </row>
    <row r="636" spans="1:15" ht="23">
      <c r="A636" s="871" t="str">
        <f ca="1">'All Statement of strategy (D)'!$I1040</f>
        <v xml:space="preserve"> </v>
      </c>
      <c r="B636" s="871"/>
      <c r="C636" s="871"/>
      <c r="D636" s="871"/>
      <c r="E636" s="871"/>
      <c r="F636" s="871"/>
      <c r="G636" s="871"/>
      <c r="H636" s="871"/>
      <c r="I636" s="871"/>
      <c r="J636" s="871"/>
      <c r="K636" s="871"/>
      <c r="L636" s="871"/>
      <c r="N636" s="631" t="str">
        <f t="shared" ca="1" si="10"/>
        <v>Refresh the statement</v>
      </c>
    </row>
    <row r="637" spans="1:15">
      <c r="A637" s="580"/>
      <c r="B637" s="580"/>
      <c r="C637" s="580"/>
      <c r="D637" s="580"/>
      <c r="E637" s="580"/>
      <c r="F637" s="580"/>
      <c r="G637" s="580"/>
      <c r="H637" s="580"/>
      <c r="I637" s="580"/>
      <c r="J637" s="580"/>
      <c r="K637" s="580"/>
      <c r="L637" s="580"/>
      <c r="N637" s="631" t="str">
        <f t="shared" ca="1" si="10"/>
        <v>Refresh the statement</v>
      </c>
      <c r="O637" s="86" t="str">
        <f ca="1">IF($A$636&lt;&gt;"","Blank row","")</f>
        <v>Blank row</v>
      </c>
    </row>
    <row r="638" spans="1:15">
      <c r="A638" s="857" t="str">
        <f ca="1">'All Statement of strategy (D)'!$I1041</f>
        <v xml:space="preserve"> </v>
      </c>
      <c r="B638" s="857"/>
      <c r="C638" s="857"/>
      <c r="D638" s="857"/>
      <c r="E638" s="857"/>
      <c r="F638" s="857"/>
      <c r="G638" s="857"/>
      <c r="H638" s="857"/>
      <c r="I638" s="857"/>
      <c r="J638" s="857"/>
      <c r="K638" s="857"/>
      <c r="L638" s="857"/>
      <c r="N638" s="631" t="str">
        <f t="shared" ca="1" si="10"/>
        <v>Refresh the statement</v>
      </c>
    </row>
    <row r="639" spans="1:15">
      <c r="N639" s="631" t="str">
        <f t="shared" ca="1" si="10"/>
        <v>Refresh the statement</v>
      </c>
      <c r="O639" s="86" t="str">
        <f ca="1">IF($A$638&lt;&gt;"","Blank row","")</f>
        <v>Blank row</v>
      </c>
    </row>
    <row r="640" spans="1:15" ht="18">
      <c r="A640" s="865" t="str">
        <f ca="1">'All Statement of strategy (D)'!$I1042</f>
        <v xml:space="preserve"> </v>
      </c>
      <c r="B640" s="865"/>
      <c r="C640" s="865"/>
      <c r="D640" s="865"/>
      <c r="E640" s="865"/>
      <c r="F640" s="865"/>
      <c r="G640" s="865"/>
      <c r="H640" s="865"/>
      <c r="I640" s="865"/>
      <c r="J640" s="865"/>
      <c r="K640" s="865"/>
      <c r="L640" s="865"/>
      <c r="N640" s="631" t="str">
        <f t="shared" ca="1" si="10"/>
        <v>Refresh the statement</v>
      </c>
    </row>
    <row r="641" spans="1:15" ht="18">
      <c r="A641" s="90"/>
      <c r="B641" s="90"/>
      <c r="C641" s="90"/>
      <c r="D641" s="90"/>
      <c r="E641" s="90"/>
      <c r="F641" s="90"/>
      <c r="G641" s="90"/>
      <c r="H641" s="90"/>
      <c r="I641" s="90"/>
      <c r="J641" s="90"/>
      <c r="K641" s="90"/>
      <c r="L641" s="90"/>
      <c r="N641" s="631" t="str">
        <f t="shared" ca="1" si="10"/>
        <v>Refresh the statement</v>
      </c>
      <c r="O641" s="86" t="str">
        <f ca="1">IF($A$640&lt;&gt;"","Blank row","")</f>
        <v>Blank row</v>
      </c>
    </row>
    <row r="642" spans="1:15">
      <c r="A642" s="861" t="str">
        <f ca="1">'All Statement of strategy (D)'!$I1043</f>
        <v xml:space="preserve"> </v>
      </c>
      <c r="B642" s="861"/>
      <c r="C642" s="861"/>
      <c r="D642" s="861"/>
      <c r="E642" s="861"/>
      <c r="F642" s="861"/>
      <c r="G642" s="861"/>
      <c r="H642" s="861"/>
      <c r="I642" s="861"/>
      <c r="J642" s="861"/>
      <c r="K642" s="861"/>
      <c r="L642" s="861"/>
      <c r="N642" s="631" t="str">
        <f t="shared" ca="1" si="10"/>
        <v>Refresh the statement</v>
      </c>
      <c r="O642" s="86" t="str">
        <f ca="1">IF(A640&lt;&gt;"","Blank row","")</f>
        <v>Blank row</v>
      </c>
    </row>
    <row r="643" spans="1:15" ht="139.5">
      <c r="A643" s="857" t="str">
        <f ca="1">_xlfn.TEXTJOIN("
",TRUE,'All Statement of strategy (D)'!$I1044,'All Statement of strategy (D)'!$I1045,'All Statement of strategy (D)'!$I1046,'All Statement of strategy (D)'!$I1047,'All Statement of strategy (D)'!$I1048,'All Statement of strategy (D)'!$I1049,'All Statement of strategy (D)'!$I1050,'All Statement of strategy (D)'!$I1051,'All Statement of strategy (D)'!$I1052,'All Statement of strategy (D)'!I$1053)</f>
        <v xml:space="preserve"> 
 </v>
      </c>
      <c r="B643" s="857"/>
      <c r="C643" s="857"/>
      <c r="D643" s="857"/>
      <c r="E643" s="857"/>
      <c r="F643" s="857"/>
      <c r="G643" s="857"/>
      <c r="H643" s="857"/>
      <c r="I643" s="857"/>
      <c r="J643" s="857"/>
      <c r="K643" s="857"/>
      <c r="L643" s="857"/>
      <c r="N643" s="631" t="str">
        <f t="shared" ca="1" si="10"/>
        <v>Refresh the statement</v>
      </c>
      <c r="O643" s="86" t="str">
        <f ca="1">A643</f>
        <v xml:space="preserve"> 
 </v>
      </c>
    </row>
    <row r="644" spans="1:15">
      <c r="N644" s="631" t="str">
        <f t="shared" ca="1" si="10"/>
        <v>Refresh the statement</v>
      </c>
      <c r="O644" s="86" t="str">
        <f ca="1">IF($A$643&lt;&gt;"","Blank row","")</f>
        <v>Blank row</v>
      </c>
    </row>
    <row r="645" spans="1:15">
      <c r="A645" s="861" t="str">
        <f ca="1">'All Statement of strategy (D)'!$I1054</f>
        <v xml:space="preserve"> </v>
      </c>
      <c r="B645" s="861"/>
      <c r="C645" s="861"/>
      <c r="D645" s="861"/>
      <c r="E645" s="861"/>
      <c r="F645" s="861"/>
      <c r="G645" s="861"/>
      <c r="H645" s="861"/>
      <c r="I645" s="861"/>
      <c r="J645" s="861"/>
      <c r="K645" s="861"/>
      <c r="L645" s="861"/>
      <c r="N645" s="631" t="str">
        <f t="shared" ca="1" si="10"/>
        <v>Refresh the statement</v>
      </c>
    </row>
    <row r="646" spans="1:15">
      <c r="A646" s="857" t="str">
        <f ca="1">'All Statement of strategy (D)'!$I1056&amp;'All Statement of strategy (D)'!$I1057&amp;'All Statement of strategy (D)'!$I1058&amp;'All Statement of strategy (D)'!$I1059</f>
        <v xml:space="preserve">    </v>
      </c>
      <c r="B646" s="857"/>
      <c r="C646" s="857"/>
      <c r="D646" s="857"/>
      <c r="E646" s="857"/>
      <c r="F646" s="857"/>
      <c r="G646" s="857"/>
      <c r="H646" s="857"/>
      <c r="I646" s="857"/>
      <c r="J646" s="857"/>
      <c r="K646" s="857"/>
      <c r="L646" s="857"/>
      <c r="N646" s="631" t="str">
        <f t="shared" ca="1" si="10"/>
        <v>Refresh the statement</v>
      </c>
      <c r="O646" s="86" t="str">
        <f ca="1">'All Statement of strategy (D)'!$I1056</f>
        <v xml:space="preserve"> </v>
      </c>
    </row>
    <row r="647" spans="1:15">
      <c r="A647" s="857"/>
      <c r="B647" s="857"/>
      <c r="C647" s="857"/>
      <c r="D647" s="857"/>
      <c r="E647" s="857"/>
      <c r="F647" s="857"/>
      <c r="G647" s="857"/>
      <c r="H647" s="857"/>
      <c r="I647" s="857"/>
      <c r="J647" s="857"/>
      <c r="K647" s="857"/>
      <c r="L647" s="857"/>
      <c r="N647" s="631" t="str">
        <f t="shared" ca="1" si="10"/>
        <v>Refresh the statement</v>
      </c>
      <c r="O647" s="86" t="str">
        <f ca="1">'All Statement of strategy (D)'!$I1057</f>
        <v xml:space="preserve"> </v>
      </c>
    </row>
    <row r="648" spans="1:15">
      <c r="A648" s="857"/>
      <c r="B648" s="857"/>
      <c r="C648" s="857"/>
      <c r="D648" s="857"/>
      <c r="E648" s="857"/>
      <c r="F648" s="857"/>
      <c r="G648" s="857"/>
      <c r="H648" s="857"/>
      <c r="I648" s="857"/>
      <c r="J648" s="857"/>
      <c r="K648" s="857"/>
      <c r="L648" s="857"/>
      <c r="N648" s="631" t="str">
        <f t="shared" ca="1" si="10"/>
        <v>Refresh the statement</v>
      </c>
      <c r="O648" s="86" t="str">
        <f ca="1">'All Statement of strategy (D)'!$I1058</f>
        <v xml:space="preserve"> </v>
      </c>
    </row>
    <row r="649" spans="1:15">
      <c r="A649" s="857"/>
      <c r="B649" s="857"/>
      <c r="C649" s="857"/>
      <c r="D649" s="857"/>
      <c r="E649" s="857"/>
      <c r="F649" s="857"/>
      <c r="G649" s="857"/>
      <c r="H649" s="857"/>
      <c r="I649" s="857"/>
      <c r="J649" s="857"/>
      <c r="K649" s="857"/>
      <c r="L649" s="857"/>
      <c r="N649" s="631" t="str">
        <f t="shared" ca="1" si="10"/>
        <v>Refresh the statement</v>
      </c>
      <c r="O649" s="86" t="str">
        <f ca="1">'All Statement of strategy (D)'!$I1059</f>
        <v xml:space="preserve"> </v>
      </c>
    </row>
    <row r="650" spans="1:15">
      <c r="A650" s="857" t="str">
        <f ca="1">'All Statement of strategy (D)'!$I1061&amp;'All Statement of strategy (D)'!$I1062&amp;'All Statement of strategy (D)'!$I1063&amp;'All Statement of strategy (D)'!$I1064</f>
        <v xml:space="preserve">    </v>
      </c>
      <c r="B650" s="857"/>
      <c r="C650" s="857"/>
      <c r="D650" s="857"/>
      <c r="E650" s="857"/>
      <c r="F650" s="857"/>
      <c r="G650" s="857"/>
      <c r="H650" s="857"/>
      <c r="I650" s="857"/>
      <c r="J650" s="857"/>
      <c r="K650" s="857"/>
      <c r="L650" s="857"/>
      <c r="N650" s="631" t="str">
        <f t="shared" ca="1" si="10"/>
        <v>Refresh the statement</v>
      </c>
      <c r="O650" s="86" t="str">
        <f ca="1">'All Statement of strategy (D)'!$I1061</f>
        <v xml:space="preserve"> </v>
      </c>
    </row>
    <row r="651" spans="1:15">
      <c r="A651" s="857"/>
      <c r="B651" s="857"/>
      <c r="C651" s="857"/>
      <c r="D651" s="857"/>
      <c r="E651" s="857"/>
      <c r="F651" s="857"/>
      <c r="G651" s="857"/>
      <c r="H651" s="857"/>
      <c r="I651" s="857"/>
      <c r="J651" s="857"/>
      <c r="K651" s="857"/>
      <c r="L651" s="857"/>
      <c r="N651" s="631" t="str">
        <f t="shared" ca="1" si="10"/>
        <v>Refresh the statement</v>
      </c>
      <c r="O651" s="86" t="str">
        <f ca="1">'All Statement of strategy (D)'!$I1062</f>
        <v xml:space="preserve"> </v>
      </c>
    </row>
    <row r="652" spans="1:15">
      <c r="A652" s="857"/>
      <c r="B652" s="857"/>
      <c r="C652" s="857"/>
      <c r="D652" s="857"/>
      <c r="E652" s="857"/>
      <c r="F652" s="857"/>
      <c r="G652" s="857"/>
      <c r="H652" s="857"/>
      <c r="I652" s="857"/>
      <c r="J652" s="857"/>
      <c r="K652" s="857"/>
      <c r="L652" s="857"/>
      <c r="N652" s="631" t="str">
        <f t="shared" ca="1" si="10"/>
        <v>Refresh the statement</v>
      </c>
      <c r="O652" s="86" t="str">
        <f ca="1">'All Statement of strategy (D)'!$I1063</f>
        <v xml:space="preserve"> </v>
      </c>
    </row>
    <row r="653" spans="1:15">
      <c r="A653" s="857"/>
      <c r="B653" s="857"/>
      <c r="C653" s="857"/>
      <c r="D653" s="857"/>
      <c r="E653" s="857"/>
      <c r="F653" s="857"/>
      <c r="G653" s="857"/>
      <c r="H653" s="857"/>
      <c r="I653" s="857"/>
      <c r="J653" s="857"/>
      <c r="K653" s="857"/>
      <c r="L653" s="857"/>
      <c r="N653" s="631" t="str">
        <f t="shared" ca="1" si="10"/>
        <v>Refresh the statement</v>
      </c>
      <c r="O653" s="86" t="str">
        <f ca="1">'All Statement of strategy (D)'!$I1064</f>
        <v xml:space="preserve"> </v>
      </c>
    </row>
    <row r="654" spans="1:15">
      <c r="A654" s="857" t="str">
        <f ca="1">_xlfn.TEXTJOIN("",TRUE,'All Statement of strategy (D)'!$I1065,'All Statement of strategy (D)'!$I1066)</f>
        <v xml:space="preserve">  </v>
      </c>
      <c r="B654" s="857"/>
      <c r="C654" s="857"/>
      <c r="D654" s="857"/>
      <c r="E654" s="857"/>
      <c r="F654" s="857"/>
      <c r="G654" s="857"/>
      <c r="H654" s="857"/>
      <c r="I654" s="857"/>
      <c r="J654" s="857"/>
      <c r="K654" s="857"/>
      <c r="L654" s="857"/>
      <c r="N654" s="631" t="str">
        <f t="shared" ca="1" si="10"/>
        <v>Refresh the statement</v>
      </c>
      <c r="O654" s="86" t="str">
        <f ca="1">A654</f>
        <v xml:space="preserve">  </v>
      </c>
    </row>
    <row r="655" spans="1:15">
      <c r="A655" s="874" t="str">
        <f ca="1">'All Statement of strategy (D)'!$I1067</f>
        <v xml:space="preserve"> </v>
      </c>
      <c r="B655" s="874"/>
      <c r="C655" s="874"/>
      <c r="D655" s="874"/>
      <c r="E655" s="874"/>
      <c r="F655" s="874"/>
      <c r="G655" s="874"/>
      <c r="H655" s="874"/>
      <c r="I655" s="874"/>
      <c r="J655" s="874"/>
      <c r="K655" s="874"/>
      <c r="L655" s="874"/>
      <c r="N655" s="631" t="str">
        <f t="shared" ca="1" si="10"/>
        <v>Refresh the statement</v>
      </c>
    </row>
    <row r="656" spans="1:15">
      <c r="A656" s="874" t="str">
        <f ca="1">'All Statement of strategy (D)'!$I1069&amp;'All Statement of strategy (D)'!$I1070&amp;'All Statement of strategy (D)'!$I1071&amp;'All Statement of strategy (D)'!$I1072</f>
        <v xml:space="preserve">    </v>
      </c>
      <c r="B656" s="874"/>
      <c r="C656" s="874"/>
      <c r="D656" s="874"/>
      <c r="E656" s="874"/>
      <c r="F656" s="874"/>
      <c r="G656" s="874"/>
      <c r="H656" s="874"/>
      <c r="I656" s="874"/>
      <c r="J656" s="874"/>
      <c r="K656" s="874"/>
      <c r="L656" s="874"/>
      <c r="N656" s="631" t="str">
        <f t="shared" ca="1" si="10"/>
        <v>Refresh the statement</v>
      </c>
      <c r="O656" s="86" t="str">
        <f ca="1">'All Statement of strategy (D)'!$I1069</f>
        <v xml:space="preserve"> </v>
      </c>
    </row>
    <row r="657" spans="1:15">
      <c r="A657" s="874"/>
      <c r="B657" s="874"/>
      <c r="C657" s="874"/>
      <c r="D657" s="874"/>
      <c r="E657" s="874"/>
      <c r="F657" s="874"/>
      <c r="G657" s="874"/>
      <c r="H657" s="874"/>
      <c r="I657" s="874"/>
      <c r="J657" s="874"/>
      <c r="K657" s="874"/>
      <c r="L657" s="874"/>
      <c r="N657" s="631" t="str">
        <f t="shared" ca="1" si="10"/>
        <v>Refresh the statement</v>
      </c>
      <c r="O657" s="86" t="str">
        <f ca="1">'All Statement of strategy (D)'!$I1070</f>
        <v xml:space="preserve"> </v>
      </c>
    </row>
    <row r="658" spans="1:15">
      <c r="A658" s="874"/>
      <c r="B658" s="874"/>
      <c r="C658" s="874"/>
      <c r="D658" s="874"/>
      <c r="E658" s="874"/>
      <c r="F658" s="874"/>
      <c r="G658" s="874"/>
      <c r="H658" s="874"/>
      <c r="I658" s="874"/>
      <c r="J658" s="874"/>
      <c r="K658" s="874"/>
      <c r="L658" s="874"/>
      <c r="N658" s="631" t="str">
        <f t="shared" ca="1" si="10"/>
        <v>Refresh the statement</v>
      </c>
      <c r="O658" s="86" t="str">
        <f ca="1">'All Statement of strategy (D)'!$I1071</f>
        <v xml:space="preserve"> </v>
      </c>
    </row>
    <row r="659" spans="1:15">
      <c r="A659" s="874"/>
      <c r="B659" s="874"/>
      <c r="C659" s="874"/>
      <c r="D659" s="874"/>
      <c r="E659" s="874"/>
      <c r="F659" s="874"/>
      <c r="G659" s="874"/>
      <c r="H659" s="874"/>
      <c r="I659" s="874"/>
      <c r="J659" s="874"/>
      <c r="K659" s="874"/>
      <c r="L659" s="874"/>
      <c r="N659" s="631" t="str">
        <f t="shared" ca="1" si="10"/>
        <v>Refresh the statement</v>
      </c>
      <c r="O659" s="86" t="str">
        <f ca="1">'All Statement of strategy (D)'!$I1072</f>
        <v xml:space="preserve"> </v>
      </c>
    </row>
    <row r="660" spans="1:15">
      <c r="A660" s="570"/>
      <c r="N660" s="631" t="str">
        <f t="shared" ca="1" si="10"/>
        <v>Refresh the statement</v>
      </c>
      <c r="O660" s="86" t="str">
        <f ca="1">IF($A$643&lt;&gt;"","Blank row","")</f>
        <v>Blank row</v>
      </c>
    </row>
    <row r="661" spans="1:15">
      <c r="A661" s="874" t="str">
        <f ca="1">'All Statement of strategy (D)'!$I1073</f>
        <v xml:space="preserve"> </v>
      </c>
      <c r="B661" s="874"/>
      <c r="C661" s="874"/>
      <c r="D661" s="874"/>
      <c r="E661" s="874"/>
      <c r="F661" s="874"/>
      <c r="G661" s="874"/>
      <c r="H661" s="874"/>
      <c r="I661" s="874"/>
      <c r="J661" s="874"/>
      <c r="K661" s="874"/>
      <c r="L661" s="874"/>
      <c r="N661" s="631" t="str">
        <f t="shared" ca="1" si="10"/>
        <v>Refresh the statement</v>
      </c>
    </row>
    <row r="662" spans="1:15">
      <c r="A662" s="570"/>
      <c r="B662" s="570"/>
      <c r="C662" s="570"/>
      <c r="D662" s="570"/>
      <c r="E662" s="570"/>
      <c r="F662" s="570"/>
      <c r="G662" s="570"/>
      <c r="H662" s="570"/>
      <c r="I662" s="570"/>
      <c r="J662" s="570"/>
      <c r="K662" s="570"/>
      <c r="L662" s="570"/>
      <c r="N662" s="631" t="str">
        <f t="shared" ca="1" si="10"/>
        <v>Refresh the statement</v>
      </c>
      <c r="O662" s="86" t="str">
        <f ca="1">IF(A661&lt;&gt;"","Blank row","")</f>
        <v>Blank row</v>
      </c>
    </row>
    <row r="663" spans="1:15">
      <c r="A663" s="881" t="str">
        <f ca="1">'All Statement of strategy (D)'!$I1074</f>
        <v xml:space="preserve"> </v>
      </c>
      <c r="B663" s="881"/>
      <c r="C663" s="881"/>
      <c r="D663" s="881"/>
      <c r="E663" s="881"/>
      <c r="F663" s="881"/>
      <c r="G663" s="881"/>
      <c r="H663" s="881"/>
      <c r="I663" s="881"/>
      <c r="J663" s="881"/>
      <c r="K663" s="881"/>
      <c r="L663" s="881"/>
      <c r="N663" s="631" t="str">
        <f t="shared" ca="1" si="10"/>
        <v>Refresh the statement</v>
      </c>
    </row>
    <row r="664" spans="1:15" ht="46.5">
      <c r="A664" s="874" t="str">
        <f ca="1">_xlfn.TEXTJOIN("
",TRUE,'All Statement of strategy (D)'!$I1075,'All Statement of strategy (D)'!$I1076,'All Statement of strategy (D)'!$I1077,'All Statement of strategy (D)'!$I1078)</f>
        <v xml:space="preserve"> 
 </v>
      </c>
      <c r="B664" s="874"/>
      <c r="C664" s="874"/>
      <c r="D664" s="874"/>
      <c r="E664" s="874"/>
      <c r="F664" s="874"/>
      <c r="G664" s="874"/>
      <c r="H664" s="874"/>
      <c r="I664" s="874"/>
      <c r="J664" s="874"/>
      <c r="K664" s="874"/>
      <c r="L664" s="874"/>
      <c r="N664" s="631" t="str">
        <f t="shared" ca="1" si="10"/>
        <v>Refresh the statement</v>
      </c>
      <c r="O664" s="570" t="str">
        <f ca="1">A664</f>
        <v xml:space="preserve"> 
 </v>
      </c>
    </row>
    <row r="665" spans="1:15">
      <c r="A665" s="874" t="str">
        <f ca="1">'All Statement of strategy (D)'!$I1079&amp;'All Statement of strategy (D)'!$I1080&amp;'All Statement of strategy (D)'!$I1081&amp;'All Statement of strategy (D)'!$I1082</f>
        <v xml:space="preserve">    </v>
      </c>
      <c r="B665" s="874"/>
      <c r="C665" s="874"/>
      <c r="D665" s="874"/>
      <c r="E665" s="874"/>
      <c r="F665" s="874"/>
      <c r="G665" s="874"/>
      <c r="H665" s="874"/>
      <c r="I665" s="874"/>
      <c r="J665" s="874"/>
      <c r="K665" s="874"/>
      <c r="L665" s="874"/>
      <c r="N665" s="631" t="str">
        <f t="shared" ref="N665:N726" ca="1" si="11">IF(OR(A665&lt;&gt;"",B665&lt;&gt;"",C665&lt;&gt;"",D665&lt;&gt;"",E665&lt;&gt;"",F665&lt;&gt;"",G665&lt;&gt;"",H665&lt;&gt;"",I665&lt;&gt;"",J665&lt;&gt;"",K665&lt;&gt;"",L665&lt;&gt;"",M665&lt;&gt;"",O665&lt;&gt;""),"Refresh the statement","Scroll up and click refresh")</f>
        <v>Refresh the statement</v>
      </c>
      <c r="O665" s="86" t="str">
        <f ca="1">'All Statement of strategy (D)'!$I1079</f>
        <v xml:space="preserve"> </v>
      </c>
    </row>
    <row r="666" spans="1:15">
      <c r="A666" s="874"/>
      <c r="B666" s="874"/>
      <c r="C666" s="874"/>
      <c r="D666" s="874"/>
      <c r="E666" s="874"/>
      <c r="F666" s="874"/>
      <c r="G666" s="874"/>
      <c r="H666" s="874"/>
      <c r="I666" s="874"/>
      <c r="J666" s="874"/>
      <c r="K666" s="874"/>
      <c r="L666" s="874"/>
      <c r="N666" s="631" t="str">
        <f t="shared" ca="1" si="11"/>
        <v>Refresh the statement</v>
      </c>
      <c r="O666" s="86" t="str">
        <f ca="1">'All Statement of strategy (D)'!$I1080</f>
        <v xml:space="preserve"> </v>
      </c>
    </row>
    <row r="667" spans="1:15">
      <c r="A667" s="874"/>
      <c r="B667" s="874"/>
      <c r="C667" s="874"/>
      <c r="D667" s="874"/>
      <c r="E667" s="874"/>
      <c r="F667" s="874"/>
      <c r="G667" s="874"/>
      <c r="H667" s="874"/>
      <c r="I667" s="874"/>
      <c r="J667" s="874"/>
      <c r="K667" s="874"/>
      <c r="L667" s="874"/>
      <c r="N667" s="631" t="str">
        <f t="shared" ca="1" si="11"/>
        <v>Refresh the statement</v>
      </c>
      <c r="O667" s="86" t="str">
        <f ca="1">'All Statement of strategy (D)'!$I1081</f>
        <v xml:space="preserve"> </v>
      </c>
    </row>
    <row r="668" spans="1:15">
      <c r="A668" s="874"/>
      <c r="B668" s="874"/>
      <c r="C668" s="874"/>
      <c r="D668" s="874"/>
      <c r="E668" s="874"/>
      <c r="F668" s="874"/>
      <c r="G668" s="874"/>
      <c r="H668" s="874"/>
      <c r="I668" s="874"/>
      <c r="J668" s="874"/>
      <c r="K668" s="874"/>
      <c r="L668" s="874"/>
      <c r="N668" s="631" t="str">
        <f t="shared" ca="1" si="11"/>
        <v>Refresh the statement</v>
      </c>
      <c r="O668" s="86" t="str">
        <f ca="1">'All Statement of strategy (D)'!$I1082</f>
        <v xml:space="preserve"> </v>
      </c>
    </row>
    <row r="669" spans="1:15">
      <c r="A669" s="874" t="str">
        <f ca="1">'All Statement of strategy (D)'!$I1084&amp;'All Statement of strategy (D)'!$I1085&amp;'All Statement of strategy (D)'!$I1086&amp;'All Statement of strategy (D)'!$I1087</f>
        <v xml:space="preserve">    </v>
      </c>
      <c r="B669" s="874"/>
      <c r="C669" s="874"/>
      <c r="D669" s="874"/>
      <c r="E669" s="874"/>
      <c r="F669" s="874"/>
      <c r="G669" s="874"/>
      <c r="H669" s="874"/>
      <c r="I669" s="874"/>
      <c r="J669" s="874"/>
      <c r="K669" s="874"/>
      <c r="L669" s="874"/>
      <c r="N669" s="631" t="str">
        <f t="shared" ca="1" si="11"/>
        <v>Refresh the statement</v>
      </c>
      <c r="O669" s="86" t="str">
        <f ca="1">'All Statement of strategy (D)'!$I1084</f>
        <v xml:space="preserve"> </v>
      </c>
    </row>
    <row r="670" spans="1:15">
      <c r="A670" s="874"/>
      <c r="B670" s="874"/>
      <c r="C670" s="874"/>
      <c r="D670" s="874"/>
      <c r="E670" s="874"/>
      <c r="F670" s="874"/>
      <c r="G670" s="874"/>
      <c r="H670" s="874"/>
      <c r="I670" s="874"/>
      <c r="J670" s="874"/>
      <c r="K670" s="874"/>
      <c r="L670" s="874"/>
      <c r="N670" s="631" t="str">
        <f t="shared" ca="1" si="11"/>
        <v>Refresh the statement</v>
      </c>
      <c r="O670" s="86" t="str">
        <f ca="1">'All Statement of strategy (D)'!$I1085</f>
        <v xml:space="preserve"> </v>
      </c>
    </row>
    <row r="671" spans="1:15">
      <c r="A671" s="874"/>
      <c r="B671" s="874"/>
      <c r="C671" s="874"/>
      <c r="D671" s="874"/>
      <c r="E671" s="874"/>
      <c r="F671" s="874"/>
      <c r="G671" s="874"/>
      <c r="H671" s="874"/>
      <c r="I671" s="874"/>
      <c r="J671" s="874"/>
      <c r="K671" s="874"/>
      <c r="L671" s="874"/>
      <c r="N671" s="631" t="str">
        <f t="shared" ca="1" si="11"/>
        <v>Refresh the statement</v>
      </c>
      <c r="O671" s="86" t="str">
        <f ca="1">'All Statement of strategy (D)'!$I1086</f>
        <v xml:space="preserve"> </v>
      </c>
    </row>
    <row r="672" spans="1:15">
      <c r="A672" s="874"/>
      <c r="B672" s="874"/>
      <c r="C672" s="874"/>
      <c r="D672" s="874"/>
      <c r="E672" s="874"/>
      <c r="F672" s="874"/>
      <c r="G672" s="874"/>
      <c r="H672" s="874"/>
      <c r="I672" s="874"/>
      <c r="J672" s="874"/>
      <c r="K672" s="874"/>
      <c r="L672" s="874"/>
      <c r="N672" s="631" t="str">
        <f t="shared" ca="1" si="11"/>
        <v>Refresh the statement</v>
      </c>
      <c r="O672" s="86" t="str">
        <f ca="1">'All Statement of strategy (D)'!$I1087</f>
        <v xml:space="preserve"> </v>
      </c>
    </row>
    <row r="673" spans="1:15" hidden="1">
      <c r="A673" s="570"/>
      <c r="B673" s="570"/>
      <c r="C673" s="570"/>
      <c r="D673" s="570"/>
      <c r="E673" s="570"/>
      <c r="F673" s="570"/>
      <c r="G673" s="570"/>
      <c r="H673" s="570"/>
      <c r="I673" s="570"/>
      <c r="J673" s="570"/>
      <c r="K673" s="570"/>
      <c r="L673" s="570"/>
      <c r="N673" s="631" t="str">
        <f t="shared" si="11"/>
        <v>Scroll up and click refresh</v>
      </c>
    </row>
    <row r="674" spans="1:15">
      <c r="A674" s="570"/>
      <c r="B674" s="570"/>
      <c r="C674" s="570"/>
      <c r="D674" s="570"/>
      <c r="E674" s="570"/>
      <c r="F674" s="570"/>
      <c r="G674" s="570"/>
      <c r="H674" s="570"/>
      <c r="I674" s="570"/>
      <c r="J674" s="570"/>
      <c r="K674" s="570"/>
      <c r="L674" s="570"/>
      <c r="N674" s="631" t="str">
        <f t="shared" ca="1" si="11"/>
        <v>Refresh the statement</v>
      </c>
      <c r="O674" s="86" t="str">
        <f ca="1">IF($A$643&lt;&gt;"","Blank row","")</f>
        <v>Blank row</v>
      </c>
    </row>
    <row r="675" spans="1:15">
      <c r="A675" s="861" t="str">
        <f ca="1">'All Statement of strategy (D)'!$I1088</f>
        <v xml:space="preserve"> </v>
      </c>
      <c r="B675" s="861"/>
      <c r="C675" s="861"/>
      <c r="D675" s="861"/>
      <c r="E675" s="861"/>
      <c r="F675" s="861"/>
      <c r="G675" s="861"/>
      <c r="H675" s="861"/>
      <c r="I675" s="861"/>
      <c r="J675" s="861"/>
      <c r="K675" s="861"/>
      <c r="L675" s="861"/>
      <c r="N675" s="631" t="str">
        <f t="shared" ca="1" si="11"/>
        <v>Refresh the statement</v>
      </c>
    </row>
    <row r="676" spans="1:15" ht="139.5">
      <c r="A676" s="857" t="str">
        <f ca="1">_xlfn.TEXTJOIN("
",TRUE,'All Statement of strategy (D)'!$I1089,'All Statement of strategy (D)'!$I1090,'All Statement of strategy (D)'!$I1091,'All Statement of strategy (D)'!$I1092,'All Statement of strategy (D)'!$I1093,'All Statement of strategy (D)'!$I1094,'All Statement of strategy (D)'!$I1095,'All Statement of strategy (D)'!$I1096,'All Statement of strategy (D)'!$I1097,'All Statement of strategy (D)'!I$1098)</f>
        <v xml:space="preserve"> 
 </v>
      </c>
      <c r="B676" s="857"/>
      <c r="C676" s="857"/>
      <c r="D676" s="857"/>
      <c r="E676" s="857"/>
      <c r="F676" s="857"/>
      <c r="G676" s="857"/>
      <c r="H676" s="857"/>
      <c r="I676" s="857"/>
      <c r="J676" s="857"/>
      <c r="K676" s="857"/>
      <c r="L676" s="857"/>
      <c r="N676" s="631" t="str">
        <f t="shared" ca="1" si="11"/>
        <v>Refresh the statement</v>
      </c>
      <c r="O676" s="86" t="str">
        <f ca="1">A676</f>
        <v xml:space="preserve"> 
 </v>
      </c>
    </row>
    <row r="677" spans="1:15">
      <c r="N677" s="631" t="str">
        <f t="shared" ca="1" si="11"/>
        <v>Refresh the statement</v>
      </c>
      <c r="O677" s="86" t="str">
        <f ca="1">IF(A676&lt;&gt;"","Blank row","")</f>
        <v>Blank row</v>
      </c>
    </row>
    <row r="678" spans="1:15">
      <c r="A678" s="861" t="str">
        <f ca="1">'All Statement of strategy (D)'!$I1099</f>
        <v xml:space="preserve"> </v>
      </c>
      <c r="B678" s="861"/>
      <c r="C678" s="861"/>
      <c r="D678" s="861"/>
      <c r="E678" s="861"/>
      <c r="F678" s="861"/>
      <c r="G678" s="861"/>
      <c r="H678" s="861"/>
      <c r="I678" s="861"/>
      <c r="J678" s="861"/>
      <c r="K678" s="861"/>
      <c r="L678" s="861"/>
      <c r="N678" s="631" t="str">
        <f t="shared" ca="1" si="11"/>
        <v>Refresh the statement</v>
      </c>
    </row>
    <row r="679" spans="1:15">
      <c r="A679" s="857" t="str">
        <f ca="1">'All Statement of strategy (D)'!$I1101&amp;'All Statement of strategy (D)'!$I1102&amp;'All Statement of strategy (D)'!$I1103&amp;'All Statement of strategy (D)'!$I1104</f>
        <v xml:space="preserve">    </v>
      </c>
      <c r="B679" s="857"/>
      <c r="C679" s="857"/>
      <c r="D679" s="857"/>
      <c r="E679" s="857"/>
      <c r="F679" s="857"/>
      <c r="G679" s="857"/>
      <c r="H679" s="857"/>
      <c r="I679" s="857"/>
      <c r="J679" s="857"/>
      <c r="K679" s="857"/>
      <c r="L679" s="857"/>
      <c r="N679" s="631" t="str">
        <f t="shared" ca="1" si="11"/>
        <v>Refresh the statement</v>
      </c>
      <c r="O679" s="86" t="str">
        <f ca="1">'All Statement of strategy (D)'!$I1101</f>
        <v xml:space="preserve"> </v>
      </c>
    </row>
    <row r="680" spans="1:15">
      <c r="A680" s="857"/>
      <c r="B680" s="857"/>
      <c r="C680" s="857"/>
      <c r="D680" s="857"/>
      <c r="E680" s="857"/>
      <c r="F680" s="857"/>
      <c r="G680" s="857"/>
      <c r="H680" s="857"/>
      <c r="I680" s="857"/>
      <c r="J680" s="857"/>
      <c r="K680" s="857"/>
      <c r="L680" s="857"/>
      <c r="N680" s="631" t="str">
        <f t="shared" ca="1" si="11"/>
        <v>Refresh the statement</v>
      </c>
      <c r="O680" s="86" t="str">
        <f ca="1">'All Statement of strategy (D)'!$I1102</f>
        <v xml:space="preserve"> </v>
      </c>
    </row>
    <row r="681" spans="1:15">
      <c r="A681" s="857"/>
      <c r="B681" s="857"/>
      <c r="C681" s="857"/>
      <c r="D681" s="857"/>
      <c r="E681" s="857"/>
      <c r="F681" s="857"/>
      <c r="G681" s="857"/>
      <c r="H681" s="857"/>
      <c r="I681" s="857"/>
      <c r="J681" s="857"/>
      <c r="K681" s="857"/>
      <c r="L681" s="857"/>
      <c r="N681" s="631" t="str">
        <f t="shared" ca="1" si="11"/>
        <v>Refresh the statement</v>
      </c>
      <c r="O681" s="86" t="str">
        <f ca="1">'All Statement of strategy (D)'!$I1103</f>
        <v xml:space="preserve"> </v>
      </c>
    </row>
    <row r="682" spans="1:15">
      <c r="A682" s="857"/>
      <c r="B682" s="857"/>
      <c r="C682" s="857"/>
      <c r="D682" s="857"/>
      <c r="E682" s="857"/>
      <c r="F682" s="857"/>
      <c r="G682" s="857"/>
      <c r="H682" s="857"/>
      <c r="I682" s="857"/>
      <c r="J682" s="857"/>
      <c r="K682" s="857"/>
      <c r="L682" s="857"/>
      <c r="N682" s="631" t="str">
        <f t="shared" ca="1" si="11"/>
        <v>Refresh the statement</v>
      </c>
      <c r="O682" s="86" t="str">
        <f ca="1">'All Statement of strategy (D)'!$I1104</f>
        <v xml:space="preserve"> </v>
      </c>
    </row>
    <row r="683" spans="1:15">
      <c r="A683" s="857" t="str">
        <f ca="1">'All Statement of strategy (D)'!$I1106&amp;'All Statement of strategy (D)'!$I1107&amp;'All Statement of strategy (D)'!$I1108&amp;'All Statement of strategy (D)'!$I1109</f>
        <v xml:space="preserve">    </v>
      </c>
      <c r="B683" s="857"/>
      <c r="C683" s="857"/>
      <c r="D683" s="857"/>
      <c r="E683" s="857"/>
      <c r="F683" s="857"/>
      <c r="G683" s="857"/>
      <c r="H683" s="857"/>
      <c r="I683" s="857"/>
      <c r="J683" s="857"/>
      <c r="K683" s="857"/>
      <c r="L683" s="857"/>
      <c r="N683" s="631" t="str">
        <f t="shared" ca="1" si="11"/>
        <v>Refresh the statement</v>
      </c>
      <c r="O683" s="86" t="str">
        <f ca="1">'All Statement of strategy (D)'!$I1106</f>
        <v xml:space="preserve"> </v>
      </c>
    </row>
    <row r="684" spans="1:15">
      <c r="A684" s="857"/>
      <c r="B684" s="857"/>
      <c r="C684" s="857"/>
      <c r="D684" s="857"/>
      <c r="E684" s="857"/>
      <c r="F684" s="857"/>
      <c r="G684" s="857"/>
      <c r="H684" s="857"/>
      <c r="I684" s="857"/>
      <c r="J684" s="857"/>
      <c r="K684" s="857"/>
      <c r="L684" s="857"/>
      <c r="N684" s="631" t="str">
        <f t="shared" ca="1" si="11"/>
        <v>Refresh the statement</v>
      </c>
      <c r="O684" s="86" t="str">
        <f ca="1">'All Statement of strategy (D)'!$I1107</f>
        <v xml:space="preserve"> </v>
      </c>
    </row>
    <row r="685" spans="1:15">
      <c r="A685" s="857"/>
      <c r="B685" s="857"/>
      <c r="C685" s="857"/>
      <c r="D685" s="857"/>
      <c r="E685" s="857"/>
      <c r="F685" s="857"/>
      <c r="G685" s="857"/>
      <c r="H685" s="857"/>
      <c r="I685" s="857"/>
      <c r="J685" s="857"/>
      <c r="K685" s="857"/>
      <c r="L685" s="857"/>
      <c r="N685" s="631" t="str">
        <f t="shared" ca="1" si="11"/>
        <v>Refresh the statement</v>
      </c>
      <c r="O685" s="86" t="str">
        <f ca="1">'All Statement of strategy (D)'!$I1108</f>
        <v xml:space="preserve"> </v>
      </c>
    </row>
    <row r="686" spans="1:15">
      <c r="A686" s="857"/>
      <c r="B686" s="857"/>
      <c r="C686" s="857"/>
      <c r="D686" s="857"/>
      <c r="E686" s="857"/>
      <c r="F686" s="857"/>
      <c r="G686" s="857"/>
      <c r="H686" s="857"/>
      <c r="I686" s="857"/>
      <c r="J686" s="857"/>
      <c r="K686" s="857"/>
      <c r="L686" s="857"/>
      <c r="N686" s="631" t="str">
        <f t="shared" ca="1" si="11"/>
        <v>Refresh the statement</v>
      </c>
      <c r="O686" s="86" t="str">
        <f ca="1">'All Statement of strategy (D)'!$I1109</f>
        <v xml:space="preserve"> </v>
      </c>
    </row>
    <row r="687" spans="1:15">
      <c r="A687" s="857" t="str">
        <f ca="1">_xlfn.TEXTJOIN("",TRUE,'All Statement of strategy (D)'!$I1110,'All Statement of strategy (D)'!$I1111)</f>
        <v xml:space="preserve">  </v>
      </c>
      <c r="B687" s="857"/>
      <c r="C687" s="857"/>
      <c r="D687" s="857"/>
      <c r="E687" s="857"/>
      <c r="F687" s="857"/>
      <c r="G687" s="857"/>
      <c r="H687" s="857"/>
      <c r="I687" s="857"/>
      <c r="J687" s="857"/>
      <c r="K687" s="857"/>
      <c r="L687" s="857"/>
      <c r="N687" s="631" t="str">
        <f t="shared" ca="1" si="11"/>
        <v>Refresh the statement</v>
      </c>
      <c r="O687" s="86" t="str">
        <f ca="1">A687</f>
        <v xml:space="preserve">  </v>
      </c>
    </row>
    <row r="688" spans="1:15">
      <c r="A688" s="857" t="str">
        <f ca="1">'All Statement of strategy (D)'!$I1112</f>
        <v xml:space="preserve"> </v>
      </c>
      <c r="B688" s="857"/>
      <c r="C688" s="857"/>
      <c r="D688" s="857"/>
      <c r="E688" s="857"/>
      <c r="F688" s="857"/>
      <c r="G688" s="857"/>
      <c r="H688" s="857"/>
      <c r="I688" s="857"/>
      <c r="J688" s="857"/>
      <c r="K688" s="857"/>
      <c r="L688" s="857"/>
      <c r="N688" s="631" t="str">
        <f t="shared" ca="1" si="11"/>
        <v>Refresh the statement</v>
      </c>
    </row>
    <row r="689" spans="1:15">
      <c r="A689" s="857" t="str">
        <f ca="1">'All Statement of strategy (D)'!$I1114&amp;'All Statement of strategy (D)'!$I1115&amp;'All Statement of strategy (D)'!$I1116&amp;'All Statement of strategy (D)'!$I1117</f>
        <v xml:space="preserve">    </v>
      </c>
      <c r="B689" s="857"/>
      <c r="C689" s="857"/>
      <c r="D689" s="857"/>
      <c r="E689" s="857"/>
      <c r="F689" s="857"/>
      <c r="G689" s="857"/>
      <c r="H689" s="857"/>
      <c r="I689" s="857"/>
      <c r="J689" s="857"/>
      <c r="K689" s="857"/>
      <c r="L689" s="857"/>
      <c r="N689" s="631" t="str">
        <f t="shared" ca="1" si="11"/>
        <v>Refresh the statement</v>
      </c>
      <c r="O689" s="86" t="str">
        <f ca="1">'All Statement of strategy (D)'!$I1114</f>
        <v xml:space="preserve"> </v>
      </c>
    </row>
    <row r="690" spans="1:15">
      <c r="A690" s="857"/>
      <c r="B690" s="857"/>
      <c r="C690" s="857"/>
      <c r="D690" s="857"/>
      <c r="E690" s="857"/>
      <c r="F690" s="857"/>
      <c r="G690" s="857"/>
      <c r="H690" s="857"/>
      <c r="I690" s="857"/>
      <c r="J690" s="857"/>
      <c r="K690" s="857"/>
      <c r="L690" s="857"/>
      <c r="N690" s="631" t="str">
        <f t="shared" ca="1" si="11"/>
        <v>Refresh the statement</v>
      </c>
      <c r="O690" s="86" t="str">
        <f ca="1">'All Statement of strategy (D)'!$I1115</f>
        <v xml:space="preserve"> </v>
      </c>
    </row>
    <row r="691" spans="1:15">
      <c r="A691" s="857"/>
      <c r="B691" s="857"/>
      <c r="C691" s="857"/>
      <c r="D691" s="857"/>
      <c r="E691" s="857"/>
      <c r="F691" s="857"/>
      <c r="G691" s="857"/>
      <c r="H691" s="857"/>
      <c r="I691" s="857"/>
      <c r="J691" s="857"/>
      <c r="K691" s="857"/>
      <c r="L691" s="857"/>
      <c r="N691" s="631" t="str">
        <f t="shared" ca="1" si="11"/>
        <v>Refresh the statement</v>
      </c>
      <c r="O691" s="86" t="str">
        <f ca="1">'All Statement of strategy (D)'!$I1116</f>
        <v xml:space="preserve"> </v>
      </c>
    </row>
    <row r="692" spans="1:15">
      <c r="A692" s="857"/>
      <c r="B692" s="857"/>
      <c r="C692" s="857"/>
      <c r="D692" s="857"/>
      <c r="E692" s="857"/>
      <c r="F692" s="857"/>
      <c r="G692" s="857"/>
      <c r="H692" s="857"/>
      <c r="I692" s="857"/>
      <c r="J692" s="857"/>
      <c r="K692" s="857"/>
      <c r="L692" s="857"/>
      <c r="N692" s="631" t="str">
        <f t="shared" ca="1" si="11"/>
        <v>Refresh the statement</v>
      </c>
      <c r="O692" s="86" t="str">
        <f ca="1">'All Statement of strategy (D)'!$I1117</f>
        <v xml:space="preserve"> </v>
      </c>
    </row>
    <row r="693" spans="1:15">
      <c r="A693" s="857" t="str">
        <f ca="1">'All Statement of strategy (D)'!$I1118</f>
        <v xml:space="preserve"> </v>
      </c>
      <c r="B693" s="857"/>
      <c r="C693" s="857"/>
      <c r="D693" s="857"/>
      <c r="E693" s="857"/>
      <c r="F693" s="857"/>
      <c r="G693" s="857"/>
      <c r="H693" s="857"/>
      <c r="I693" s="857"/>
      <c r="J693" s="857"/>
      <c r="K693" s="857"/>
      <c r="L693" s="857"/>
      <c r="N693" s="631" t="str">
        <f t="shared" ca="1" si="11"/>
        <v>Refresh the statement</v>
      </c>
    </row>
    <row r="694" spans="1:15">
      <c r="N694" s="631" t="str">
        <f t="shared" ca="1" si="11"/>
        <v>Refresh the statement</v>
      </c>
      <c r="O694" s="86" t="str">
        <f ca="1">IF(A676&lt;&gt;"","Blank row","")</f>
        <v>Blank row</v>
      </c>
    </row>
    <row r="695" spans="1:15">
      <c r="A695" s="861" t="str">
        <f ca="1">'All Statement of strategy (D)'!$I1119</f>
        <v xml:space="preserve"> </v>
      </c>
      <c r="B695" s="861"/>
      <c r="C695" s="861"/>
      <c r="D695" s="861"/>
      <c r="E695" s="861"/>
      <c r="F695" s="861"/>
      <c r="G695" s="861"/>
      <c r="H695" s="861"/>
      <c r="I695" s="861"/>
      <c r="J695" s="861"/>
      <c r="K695" s="861"/>
      <c r="L695" s="861"/>
      <c r="N695" s="631" t="str">
        <f t="shared" ca="1" si="11"/>
        <v>Refresh the statement</v>
      </c>
    </row>
    <row r="696" spans="1:15" ht="46.5">
      <c r="A696" s="874" t="str">
        <f ca="1">_xlfn.TEXTJOIN("
",TRUE,'All Statement of strategy (D)'!$I1120,'All Statement of strategy (D)'!$I1121,'All Statement of strategy (D)'!$I1122,'All Statement of strategy (D)'!$I1123)</f>
        <v xml:space="preserve"> 
 </v>
      </c>
      <c r="B696" s="874"/>
      <c r="C696" s="874"/>
      <c r="D696" s="874"/>
      <c r="E696" s="874"/>
      <c r="F696" s="874"/>
      <c r="G696" s="874"/>
      <c r="H696" s="874"/>
      <c r="I696" s="874"/>
      <c r="J696" s="874"/>
      <c r="K696" s="874"/>
      <c r="L696" s="874"/>
      <c r="N696" s="631" t="str">
        <f t="shared" ca="1" si="11"/>
        <v>Refresh the statement</v>
      </c>
      <c r="O696" s="570" t="str">
        <f ca="1">A696</f>
        <v xml:space="preserve"> 
 </v>
      </c>
    </row>
    <row r="697" spans="1:15">
      <c r="A697" s="857" t="str">
        <f ca="1">'All Statement of strategy (D)'!$I1124&amp;'All Statement of strategy (D)'!$I1125&amp;'All Statement of strategy (D)'!$I1126&amp;'All Statement of strategy (D)'!$I1127</f>
        <v xml:space="preserve">    </v>
      </c>
      <c r="B697" s="857"/>
      <c r="C697" s="857"/>
      <c r="D697" s="857"/>
      <c r="E697" s="857"/>
      <c r="F697" s="857"/>
      <c r="G697" s="857"/>
      <c r="H697" s="857"/>
      <c r="I697" s="857"/>
      <c r="J697" s="857"/>
      <c r="K697" s="857"/>
      <c r="L697" s="857"/>
      <c r="N697" s="631" t="str">
        <f t="shared" ca="1" si="11"/>
        <v>Refresh the statement</v>
      </c>
      <c r="O697" s="86" t="str">
        <f ca="1">'All Statement of strategy (D)'!$I1124</f>
        <v xml:space="preserve"> </v>
      </c>
    </row>
    <row r="698" spans="1:15">
      <c r="A698" s="857"/>
      <c r="B698" s="857"/>
      <c r="C698" s="857"/>
      <c r="D698" s="857"/>
      <c r="E698" s="857"/>
      <c r="F698" s="857"/>
      <c r="G698" s="857"/>
      <c r="H698" s="857"/>
      <c r="I698" s="857"/>
      <c r="J698" s="857"/>
      <c r="K698" s="857"/>
      <c r="L698" s="857"/>
      <c r="N698" s="631" t="str">
        <f t="shared" ca="1" si="11"/>
        <v>Refresh the statement</v>
      </c>
      <c r="O698" s="86" t="str">
        <f ca="1">'All Statement of strategy (D)'!$I1125</f>
        <v xml:space="preserve"> </v>
      </c>
    </row>
    <row r="699" spans="1:15">
      <c r="A699" s="857"/>
      <c r="B699" s="857"/>
      <c r="C699" s="857"/>
      <c r="D699" s="857"/>
      <c r="E699" s="857"/>
      <c r="F699" s="857"/>
      <c r="G699" s="857"/>
      <c r="H699" s="857"/>
      <c r="I699" s="857"/>
      <c r="J699" s="857"/>
      <c r="K699" s="857"/>
      <c r="L699" s="857"/>
      <c r="N699" s="631" t="str">
        <f t="shared" ca="1" si="11"/>
        <v>Refresh the statement</v>
      </c>
      <c r="O699" s="86" t="str">
        <f ca="1">'All Statement of strategy (D)'!$I1126</f>
        <v xml:space="preserve"> </v>
      </c>
    </row>
    <row r="700" spans="1:15">
      <c r="A700" s="857"/>
      <c r="B700" s="857"/>
      <c r="C700" s="857"/>
      <c r="D700" s="857"/>
      <c r="E700" s="857"/>
      <c r="F700" s="857"/>
      <c r="G700" s="857"/>
      <c r="H700" s="857"/>
      <c r="I700" s="857"/>
      <c r="J700" s="857"/>
      <c r="K700" s="857"/>
      <c r="L700" s="857"/>
      <c r="N700" s="631" t="str">
        <f t="shared" ca="1" si="11"/>
        <v>Refresh the statement</v>
      </c>
      <c r="O700" s="86" t="str">
        <f ca="1">'All Statement of strategy (D)'!$I1127</f>
        <v xml:space="preserve"> </v>
      </c>
    </row>
    <row r="701" spans="1:15">
      <c r="A701" s="857" t="str">
        <f ca="1">'All Statement of strategy (D)'!$I1129&amp;'All Statement of strategy (D)'!$I1130&amp;'All Statement of strategy (D)'!$I1131&amp;'All Statement of strategy (D)'!$I1132</f>
        <v xml:space="preserve">    </v>
      </c>
      <c r="B701" s="857"/>
      <c r="C701" s="857"/>
      <c r="D701" s="857"/>
      <c r="E701" s="857"/>
      <c r="F701" s="857"/>
      <c r="G701" s="857"/>
      <c r="H701" s="857"/>
      <c r="I701" s="857"/>
      <c r="J701" s="857"/>
      <c r="K701" s="857"/>
      <c r="L701" s="857"/>
      <c r="N701" s="631" t="str">
        <f t="shared" ca="1" si="11"/>
        <v>Refresh the statement</v>
      </c>
      <c r="O701" s="86" t="str">
        <f ca="1">'All Statement of strategy (D)'!$I1129</f>
        <v xml:space="preserve"> </v>
      </c>
    </row>
    <row r="702" spans="1:15">
      <c r="A702" s="857"/>
      <c r="B702" s="857"/>
      <c r="C702" s="857"/>
      <c r="D702" s="857"/>
      <c r="E702" s="857"/>
      <c r="F702" s="857"/>
      <c r="G702" s="857"/>
      <c r="H702" s="857"/>
      <c r="I702" s="857"/>
      <c r="J702" s="857"/>
      <c r="K702" s="857"/>
      <c r="L702" s="857"/>
      <c r="N702" s="631" t="str">
        <f t="shared" ca="1" si="11"/>
        <v>Refresh the statement</v>
      </c>
      <c r="O702" s="86" t="str">
        <f ca="1">'All Statement of strategy (D)'!$I1130</f>
        <v xml:space="preserve"> </v>
      </c>
    </row>
    <row r="703" spans="1:15">
      <c r="A703" s="857"/>
      <c r="B703" s="857"/>
      <c r="C703" s="857"/>
      <c r="D703" s="857"/>
      <c r="E703" s="857"/>
      <c r="F703" s="857"/>
      <c r="G703" s="857"/>
      <c r="H703" s="857"/>
      <c r="I703" s="857"/>
      <c r="J703" s="857"/>
      <c r="K703" s="857"/>
      <c r="L703" s="857"/>
      <c r="N703" s="631" t="str">
        <f t="shared" ca="1" si="11"/>
        <v>Refresh the statement</v>
      </c>
      <c r="O703" s="86" t="str">
        <f ca="1">'All Statement of strategy (D)'!$I1131</f>
        <v xml:space="preserve"> </v>
      </c>
    </row>
    <row r="704" spans="1:15">
      <c r="A704" s="857"/>
      <c r="B704" s="857"/>
      <c r="C704" s="857"/>
      <c r="D704" s="857"/>
      <c r="E704" s="857"/>
      <c r="F704" s="857"/>
      <c r="G704" s="857"/>
      <c r="H704" s="857"/>
      <c r="I704" s="857"/>
      <c r="J704" s="857"/>
      <c r="K704" s="857"/>
      <c r="L704" s="857"/>
      <c r="N704" s="631" t="str">
        <f t="shared" ca="1" si="11"/>
        <v>Refresh the statement</v>
      </c>
      <c r="O704" s="86" t="str">
        <f ca="1">'All Statement of strategy (D)'!$I1132</f>
        <v xml:space="preserve"> </v>
      </c>
    </row>
    <row r="705" spans="1:15">
      <c r="N705" s="631" t="str">
        <f t="shared" ca="1" si="11"/>
        <v>Refresh the statement</v>
      </c>
      <c r="O705" s="86" t="str">
        <f ca="1">IF($A$676&lt;&gt;"","Blank row","")</f>
        <v>Blank row</v>
      </c>
    </row>
    <row r="706" spans="1:15">
      <c r="A706" s="861" t="str">
        <f ca="1">'All Statement of strategy (D)'!$I1133</f>
        <v xml:space="preserve"> </v>
      </c>
      <c r="B706" s="861"/>
      <c r="C706" s="861"/>
      <c r="D706" s="861"/>
      <c r="E706" s="861"/>
      <c r="F706" s="861"/>
      <c r="G706" s="861"/>
      <c r="H706" s="861"/>
      <c r="I706" s="861"/>
      <c r="J706" s="861"/>
      <c r="K706" s="861"/>
      <c r="L706" s="861"/>
      <c r="N706" s="631" t="str">
        <f t="shared" ca="1" si="11"/>
        <v>Refresh the statement</v>
      </c>
    </row>
    <row r="707" spans="1:15" ht="139.5">
      <c r="A707" s="857" t="str">
        <f ca="1">_xlfn.TEXTJOIN("
",TRUE,'All Statement of strategy (D)'!$I1134,'All Statement of strategy (D)'!$I1135,'All Statement of strategy (D)'!$I1136,'All Statement of strategy (D)'!$I1137,'All Statement of strategy (D)'!$I1138,'All Statement of strategy (D)'!$I1139,'All Statement of strategy (D)'!$I1140,'All Statement of strategy (D)'!$I1141,'All Statement of strategy (D)'!$I1142,'All Statement of strategy (D)'!I$1143)</f>
        <v xml:space="preserve"> 
 </v>
      </c>
      <c r="B707" s="857"/>
      <c r="C707" s="857"/>
      <c r="D707" s="857"/>
      <c r="E707" s="857"/>
      <c r="F707" s="857"/>
      <c r="G707" s="857"/>
      <c r="H707" s="857"/>
      <c r="I707" s="857"/>
      <c r="J707" s="857"/>
      <c r="K707" s="857"/>
      <c r="L707" s="857"/>
      <c r="N707" s="631" t="str">
        <f t="shared" ca="1" si="11"/>
        <v>Refresh the statement</v>
      </c>
      <c r="O707" s="86" t="str">
        <f ca="1">A707</f>
        <v xml:space="preserve"> 
 </v>
      </c>
    </row>
    <row r="708" spans="1:15">
      <c r="N708" s="631" t="str">
        <f t="shared" ca="1" si="11"/>
        <v>Refresh the statement</v>
      </c>
      <c r="O708" s="86" t="str">
        <f ca="1">IF($A$707&lt;&gt;"","Blank row","")</f>
        <v>Blank row</v>
      </c>
    </row>
    <row r="709" spans="1:15">
      <c r="A709" s="861" t="str">
        <f ca="1">'All Statement of strategy (D)'!$I1144</f>
        <v xml:space="preserve"> </v>
      </c>
      <c r="B709" s="861"/>
      <c r="C709" s="861"/>
      <c r="D709" s="861"/>
      <c r="E709" s="861"/>
      <c r="F709" s="861"/>
      <c r="G709" s="861"/>
      <c r="H709" s="861"/>
      <c r="I709" s="861"/>
      <c r="J709" s="861"/>
      <c r="K709" s="861"/>
      <c r="L709" s="861"/>
      <c r="N709" s="631" t="str">
        <f t="shared" ca="1" si="11"/>
        <v>Refresh the statement</v>
      </c>
    </row>
    <row r="710" spans="1:15">
      <c r="A710" s="857" t="str">
        <f ca="1">'All Statement of strategy (D)'!$I1146&amp;'All Statement of strategy (D)'!$I1147&amp;'All Statement of strategy (D)'!$I1148&amp;'All Statement of strategy (D)'!$I1149</f>
        <v xml:space="preserve">    </v>
      </c>
      <c r="B710" s="857"/>
      <c r="C710" s="857"/>
      <c r="D710" s="857"/>
      <c r="E710" s="857"/>
      <c r="F710" s="857"/>
      <c r="G710" s="857"/>
      <c r="H710" s="857"/>
      <c r="I710" s="857"/>
      <c r="J710" s="857"/>
      <c r="K710" s="857"/>
      <c r="L710" s="857"/>
      <c r="N710" s="631" t="str">
        <f t="shared" ca="1" si="11"/>
        <v>Refresh the statement</v>
      </c>
      <c r="O710" s="86" t="str">
        <f ca="1">'All Statement of strategy (D)'!$I1146</f>
        <v xml:space="preserve"> </v>
      </c>
    </row>
    <row r="711" spans="1:15">
      <c r="A711" s="857"/>
      <c r="B711" s="857"/>
      <c r="C711" s="857"/>
      <c r="D711" s="857"/>
      <c r="E711" s="857"/>
      <c r="F711" s="857"/>
      <c r="G711" s="857"/>
      <c r="H711" s="857"/>
      <c r="I711" s="857"/>
      <c r="J711" s="857"/>
      <c r="K711" s="857"/>
      <c r="L711" s="857"/>
      <c r="N711" s="631" t="str">
        <f t="shared" ca="1" si="11"/>
        <v>Refresh the statement</v>
      </c>
      <c r="O711" s="86" t="str">
        <f ca="1">'All Statement of strategy (D)'!$I1147</f>
        <v xml:space="preserve"> </v>
      </c>
    </row>
    <row r="712" spans="1:15">
      <c r="A712" s="857"/>
      <c r="B712" s="857"/>
      <c r="C712" s="857"/>
      <c r="D712" s="857"/>
      <c r="E712" s="857"/>
      <c r="F712" s="857"/>
      <c r="G712" s="857"/>
      <c r="H712" s="857"/>
      <c r="I712" s="857"/>
      <c r="J712" s="857"/>
      <c r="K712" s="857"/>
      <c r="L712" s="857"/>
      <c r="N712" s="631" t="str">
        <f t="shared" ca="1" si="11"/>
        <v>Refresh the statement</v>
      </c>
      <c r="O712" s="86" t="str">
        <f ca="1">'All Statement of strategy (D)'!$I1148</f>
        <v xml:space="preserve"> </v>
      </c>
    </row>
    <row r="713" spans="1:15">
      <c r="A713" s="857"/>
      <c r="B713" s="857"/>
      <c r="C713" s="857"/>
      <c r="D713" s="857"/>
      <c r="E713" s="857"/>
      <c r="F713" s="857"/>
      <c r="G713" s="857"/>
      <c r="H713" s="857"/>
      <c r="I713" s="857"/>
      <c r="J713" s="857"/>
      <c r="K713" s="857"/>
      <c r="L713" s="857"/>
      <c r="N713" s="631" t="str">
        <f t="shared" ca="1" si="11"/>
        <v>Refresh the statement</v>
      </c>
      <c r="O713" s="86" t="str">
        <f ca="1">'All Statement of strategy (D)'!$I1149</f>
        <v xml:space="preserve"> </v>
      </c>
    </row>
    <row r="714" spans="1:15">
      <c r="A714" s="857" t="str">
        <f ca="1">'All Statement of strategy (D)'!$I1151&amp;'All Statement of strategy (D)'!$I1152&amp;'All Statement of strategy (D)'!$I1153&amp;'All Statement of strategy (D)'!$I1154</f>
        <v xml:space="preserve">    </v>
      </c>
      <c r="B714" s="857"/>
      <c r="C714" s="857"/>
      <c r="D714" s="857"/>
      <c r="E714" s="857"/>
      <c r="F714" s="857"/>
      <c r="G714" s="857"/>
      <c r="H714" s="857"/>
      <c r="I714" s="857"/>
      <c r="J714" s="857"/>
      <c r="K714" s="857"/>
      <c r="L714" s="857"/>
      <c r="N714" s="631" t="str">
        <f t="shared" ca="1" si="11"/>
        <v>Refresh the statement</v>
      </c>
      <c r="O714" s="86" t="str">
        <f ca="1">'All Statement of strategy (D)'!$I1151</f>
        <v xml:space="preserve"> </v>
      </c>
    </row>
    <row r="715" spans="1:15">
      <c r="A715" s="857"/>
      <c r="B715" s="857"/>
      <c r="C715" s="857"/>
      <c r="D715" s="857"/>
      <c r="E715" s="857"/>
      <c r="F715" s="857"/>
      <c r="G715" s="857"/>
      <c r="H715" s="857"/>
      <c r="I715" s="857"/>
      <c r="J715" s="857"/>
      <c r="K715" s="857"/>
      <c r="L715" s="857"/>
      <c r="N715" s="631" t="str">
        <f t="shared" ca="1" si="11"/>
        <v>Refresh the statement</v>
      </c>
      <c r="O715" s="86" t="str">
        <f ca="1">'All Statement of strategy (D)'!$I1152</f>
        <v xml:space="preserve"> </v>
      </c>
    </row>
    <row r="716" spans="1:15">
      <c r="A716" s="857"/>
      <c r="B716" s="857"/>
      <c r="C716" s="857"/>
      <c r="D716" s="857"/>
      <c r="E716" s="857"/>
      <c r="F716" s="857"/>
      <c r="G716" s="857"/>
      <c r="H716" s="857"/>
      <c r="I716" s="857"/>
      <c r="J716" s="857"/>
      <c r="K716" s="857"/>
      <c r="L716" s="857"/>
      <c r="N716" s="631" t="str">
        <f t="shared" ca="1" si="11"/>
        <v>Refresh the statement</v>
      </c>
      <c r="O716" s="86" t="str">
        <f ca="1">'All Statement of strategy (D)'!$I1153</f>
        <v xml:space="preserve"> </v>
      </c>
    </row>
    <row r="717" spans="1:15">
      <c r="A717" s="857"/>
      <c r="B717" s="857"/>
      <c r="C717" s="857"/>
      <c r="D717" s="857"/>
      <c r="E717" s="857"/>
      <c r="F717" s="857"/>
      <c r="G717" s="857"/>
      <c r="H717" s="857"/>
      <c r="I717" s="857"/>
      <c r="J717" s="857"/>
      <c r="K717" s="857"/>
      <c r="L717" s="857"/>
      <c r="N717" s="631" t="str">
        <f t="shared" ca="1" si="11"/>
        <v>Refresh the statement</v>
      </c>
      <c r="O717" s="86" t="str">
        <f ca="1">'All Statement of strategy (D)'!$I1154</f>
        <v xml:space="preserve"> </v>
      </c>
    </row>
    <row r="718" spans="1:15">
      <c r="A718" s="857" t="str">
        <f ca="1">_xlfn.TEXTJOIN("",TRUE,'All Statement of strategy (D)'!$I1155,'All Statement of strategy (D)'!$I1156)</f>
        <v xml:space="preserve">  </v>
      </c>
      <c r="B718" s="857"/>
      <c r="C718" s="857"/>
      <c r="D718" s="857"/>
      <c r="E718" s="857"/>
      <c r="F718" s="857"/>
      <c r="G718" s="857"/>
      <c r="H718" s="857"/>
      <c r="I718" s="857"/>
      <c r="J718" s="857"/>
      <c r="K718" s="857"/>
      <c r="L718" s="857"/>
      <c r="N718" s="631" t="str">
        <f t="shared" ca="1" si="11"/>
        <v>Refresh the statement</v>
      </c>
      <c r="O718" s="86" t="str">
        <f ca="1">A718</f>
        <v xml:space="preserve">  </v>
      </c>
    </row>
    <row r="719" spans="1:15">
      <c r="A719" s="857" t="str">
        <f ca="1">'All Statement of strategy (D)'!$I1157</f>
        <v xml:space="preserve"> </v>
      </c>
      <c r="B719" s="857"/>
      <c r="C719" s="857"/>
      <c r="D719" s="857"/>
      <c r="E719" s="857"/>
      <c r="F719" s="857"/>
      <c r="G719" s="857"/>
      <c r="H719" s="857"/>
      <c r="I719" s="857"/>
      <c r="J719" s="857"/>
      <c r="K719" s="857"/>
      <c r="L719" s="857"/>
      <c r="N719" s="631" t="str">
        <f t="shared" ca="1" si="11"/>
        <v>Refresh the statement</v>
      </c>
    </row>
    <row r="720" spans="1:15">
      <c r="A720" s="857" t="str">
        <f ca="1">'All Statement of strategy (D)'!$I1159&amp;'All Statement of strategy (D)'!$I1160&amp;'All Statement of strategy (D)'!$I1161&amp;'All Statement of strategy (D)'!$I1162</f>
        <v xml:space="preserve">    </v>
      </c>
      <c r="B720" s="857"/>
      <c r="C720" s="857"/>
      <c r="D720" s="857"/>
      <c r="E720" s="857"/>
      <c r="F720" s="857"/>
      <c r="G720" s="857"/>
      <c r="H720" s="857"/>
      <c r="I720" s="857"/>
      <c r="J720" s="857"/>
      <c r="K720" s="857"/>
      <c r="L720" s="857"/>
      <c r="N720" s="631" t="str">
        <f t="shared" ca="1" si="11"/>
        <v>Refresh the statement</v>
      </c>
      <c r="O720" s="86" t="str">
        <f ca="1">'All Statement of strategy (D)'!$I1159</f>
        <v xml:space="preserve"> </v>
      </c>
    </row>
    <row r="721" spans="1:15">
      <c r="A721" s="857"/>
      <c r="B721" s="857"/>
      <c r="C721" s="857"/>
      <c r="D721" s="857"/>
      <c r="E721" s="857"/>
      <c r="F721" s="857"/>
      <c r="G721" s="857"/>
      <c r="H721" s="857"/>
      <c r="I721" s="857"/>
      <c r="J721" s="857"/>
      <c r="K721" s="857"/>
      <c r="L721" s="857"/>
      <c r="N721" s="631" t="str">
        <f t="shared" ca="1" si="11"/>
        <v>Refresh the statement</v>
      </c>
      <c r="O721" s="86" t="str">
        <f ca="1">'All Statement of strategy (D)'!$I1160</f>
        <v xml:space="preserve"> </v>
      </c>
    </row>
    <row r="722" spans="1:15">
      <c r="A722" s="857"/>
      <c r="B722" s="857"/>
      <c r="C722" s="857"/>
      <c r="D722" s="857"/>
      <c r="E722" s="857"/>
      <c r="F722" s="857"/>
      <c r="G722" s="857"/>
      <c r="H722" s="857"/>
      <c r="I722" s="857"/>
      <c r="J722" s="857"/>
      <c r="K722" s="857"/>
      <c r="L722" s="857"/>
      <c r="N722" s="631" t="str">
        <f t="shared" ca="1" si="11"/>
        <v>Refresh the statement</v>
      </c>
      <c r="O722" s="86" t="str">
        <f ca="1">'All Statement of strategy (D)'!$I1161</f>
        <v xml:space="preserve"> </v>
      </c>
    </row>
    <row r="723" spans="1:15">
      <c r="A723" s="857"/>
      <c r="B723" s="857"/>
      <c r="C723" s="857"/>
      <c r="D723" s="857"/>
      <c r="E723" s="857"/>
      <c r="F723" s="857"/>
      <c r="G723" s="857"/>
      <c r="H723" s="857"/>
      <c r="I723" s="857"/>
      <c r="J723" s="857"/>
      <c r="K723" s="857"/>
      <c r="L723" s="857"/>
      <c r="N723" s="631" t="str">
        <f t="shared" ca="1" si="11"/>
        <v>Refresh the statement</v>
      </c>
      <c r="O723" s="86" t="str">
        <f ca="1">'All Statement of strategy (D)'!$I1162</f>
        <v xml:space="preserve"> </v>
      </c>
    </row>
    <row r="724" spans="1:15">
      <c r="A724" s="857" t="str">
        <f ca="1">'All Statement of strategy (D)'!$I1163</f>
        <v xml:space="preserve"> </v>
      </c>
      <c r="B724" s="857"/>
      <c r="C724" s="857"/>
      <c r="D724" s="857"/>
      <c r="E724" s="857"/>
      <c r="F724" s="857"/>
      <c r="G724" s="857"/>
      <c r="H724" s="857"/>
      <c r="I724" s="857"/>
      <c r="J724" s="857"/>
      <c r="K724" s="857"/>
      <c r="L724" s="857"/>
      <c r="N724" s="631" t="str">
        <f t="shared" ca="1" si="11"/>
        <v>Refresh the statement</v>
      </c>
    </row>
    <row r="725" spans="1:15">
      <c r="N725" s="631" t="str">
        <f t="shared" ca="1" si="11"/>
        <v>Refresh the statement</v>
      </c>
      <c r="O725" s="86" t="str">
        <f ca="1">IF($A$707&lt;&gt;"","Blank row","")</f>
        <v>Blank row</v>
      </c>
    </row>
    <row r="726" spans="1:15">
      <c r="A726" s="861" t="str">
        <f ca="1">'All Statement of strategy (D)'!$I1164</f>
        <v xml:space="preserve"> </v>
      </c>
      <c r="B726" s="861"/>
      <c r="C726" s="861"/>
      <c r="D726" s="861"/>
      <c r="E726" s="861"/>
      <c r="F726" s="861"/>
      <c r="G726" s="861"/>
      <c r="H726" s="861"/>
      <c r="I726" s="861"/>
      <c r="J726" s="861"/>
      <c r="K726" s="861"/>
      <c r="L726" s="861"/>
      <c r="N726" s="631" t="str">
        <f t="shared" ca="1" si="11"/>
        <v>Refresh the statement</v>
      </c>
    </row>
    <row r="727" spans="1:15" ht="46.5">
      <c r="A727" s="874" t="str">
        <f ca="1">_xlfn.TEXTJOIN("
",TRUE,'All Statement of strategy (D)'!$I1165,'All Statement of strategy (D)'!$I1166,'All Statement of strategy (D)'!$I1167,'All Statement of strategy (D)'!$I1168)</f>
        <v xml:space="preserve"> 
 </v>
      </c>
      <c r="B727" s="874"/>
      <c r="C727" s="874"/>
      <c r="D727" s="874"/>
      <c r="E727" s="874"/>
      <c r="F727" s="874"/>
      <c r="G727" s="874"/>
      <c r="H727" s="874"/>
      <c r="I727" s="874"/>
      <c r="J727" s="874"/>
      <c r="K727" s="874"/>
      <c r="L727" s="874"/>
      <c r="N727" s="631" t="str">
        <f t="shared" ref="N727:N789" ca="1" si="12">IF(OR(A727&lt;&gt;"",B727&lt;&gt;"",C727&lt;&gt;"",D727&lt;&gt;"",E727&lt;&gt;"",F727&lt;&gt;"",G727&lt;&gt;"",H727&lt;&gt;"",I727&lt;&gt;"",J727&lt;&gt;"",K727&lt;&gt;"",L727&lt;&gt;"",M727&lt;&gt;"",O727&lt;&gt;""),"Refresh the statement","Scroll up and click refresh")</f>
        <v>Refresh the statement</v>
      </c>
      <c r="O727" s="570" t="str">
        <f ca="1">A727</f>
        <v xml:space="preserve"> 
 </v>
      </c>
    </row>
    <row r="728" spans="1:15">
      <c r="A728" s="857" t="str">
        <f ca="1">'All Statement of strategy (D)'!$I1169&amp;'All Statement of strategy (D)'!$I1170&amp;'All Statement of strategy (D)'!$I1171&amp;'All Statement of strategy (D)'!$I1172</f>
        <v xml:space="preserve">    </v>
      </c>
      <c r="B728" s="857"/>
      <c r="C728" s="857"/>
      <c r="D728" s="857"/>
      <c r="E728" s="857"/>
      <c r="F728" s="857"/>
      <c r="G728" s="857"/>
      <c r="H728" s="857"/>
      <c r="I728" s="857"/>
      <c r="J728" s="857"/>
      <c r="K728" s="857"/>
      <c r="L728" s="857"/>
      <c r="N728" s="631" t="str">
        <f t="shared" ca="1" si="12"/>
        <v>Refresh the statement</v>
      </c>
      <c r="O728" s="86" t="str">
        <f ca="1">'All Statement of strategy (D)'!$I1169</f>
        <v xml:space="preserve"> </v>
      </c>
    </row>
    <row r="729" spans="1:15">
      <c r="A729" s="857"/>
      <c r="B729" s="857"/>
      <c r="C729" s="857"/>
      <c r="D729" s="857"/>
      <c r="E729" s="857"/>
      <c r="F729" s="857"/>
      <c r="G729" s="857"/>
      <c r="H729" s="857"/>
      <c r="I729" s="857"/>
      <c r="J729" s="857"/>
      <c r="K729" s="857"/>
      <c r="L729" s="857"/>
      <c r="N729" s="631" t="str">
        <f t="shared" ca="1" si="12"/>
        <v>Refresh the statement</v>
      </c>
      <c r="O729" s="86" t="str">
        <f ca="1">'All Statement of strategy (D)'!$I1170</f>
        <v xml:space="preserve"> </v>
      </c>
    </row>
    <row r="730" spans="1:15">
      <c r="A730" s="857"/>
      <c r="B730" s="857"/>
      <c r="C730" s="857"/>
      <c r="D730" s="857"/>
      <c r="E730" s="857"/>
      <c r="F730" s="857"/>
      <c r="G730" s="857"/>
      <c r="H730" s="857"/>
      <c r="I730" s="857"/>
      <c r="J730" s="857"/>
      <c r="K730" s="857"/>
      <c r="L730" s="857"/>
      <c r="N730" s="631" t="str">
        <f t="shared" ca="1" si="12"/>
        <v>Refresh the statement</v>
      </c>
      <c r="O730" s="86" t="str">
        <f ca="1">'All Statement of strategy (D)'!$I1171</f>
        <v xml:space="preserve"> </v>
      </c>
    </row>
    <row r="731" spans="1:15">
      <c r="A731" s="857"/>
      <c r="B731" s="857"/>
      <c r="C731" s="857"/>
      <c r="D731" s="857"/>
      <c r="E731" s="857"/>
      <c r="F731" s="857"/>
      <c r="G731" s="857"/>
      <c r="H731" s="857"/>
      <c r="I731" s="857"/>
      <c r="J731" s="857"/>
      <c r="K731" s="857"/>
      <c r="L731" s="857"/>
      <c r="N731" s="631" t="str">
        <f t="shared" ca="1" si="12"/>
        <v>Refresh the statement</v>
      </c>
      <c r="O731" s="86" t="str">
        <f ca="1">'All Statement of strategy (D)'!$I1172</f>
        <v xml:space="preserve"> </v>
      </c>
    </row>
    <row r="732" spans="1:15">
      <c r="A732" s="857" t="str">
        <f ca="1">'All Statement of strategy (D)'!$I1174&amp;'All Statement of strategy (D)'!$I1175&amp;'All Statement of strategy (D)'!$I1176&amp;'All Statement of strategy (D)'!$I1177</f>
        <v xml:space="preserve">    </v>
      </c>
      <c r="B732" s="857"/>
      <c r="C732" s="857"/>
      <c r="D732" s="857"/>
      <c r="E732" s="857"/>
      <c r="F732" s="857"/>
      <c r="G732" s="857"/>
      <c r="H732" s="857"/>
      <c r="I732" s="857"/>
      <c r="J732" s="857"/>
      <c r="K732" s="857"/>
      <c r="L732" s="857"/>
      <c r="N732" s="631" t="str">
        <f t="shared" ca="1" si="12"/>
        <v>Refresh the statement</v>
      </c>
      <c r="O732" s="86" t="str">
        <f ca="1">'All Statement of strategy (D)'!$I1174</f>
        <v xml:space="preserve"> </v>
      </c>
    </row>
    <row r="733" spans="1:15">
      <c r="A733" s="857"/>
      <c r="B733" s="857"/>
      <c r="C733" s="857"/>
      <c r="D733" s="857"/>
      <c r="E733" s="857"/>
      <c r="F733" s="857"/>
      <c r="G733" s="857"/>
      <c r="H733" s="857"/>
      <c r="I733" s="857"/>
      <c r="J733" s="857"/>
      <c r="K733" s="857"/>
      <c r="L733" s="857"/>
      <c r="N733" s="631" t="str">
        <f t="shared" ca="1" si="12"/>
        <v>Refresh the statement</v>
      </c>
      <c r="O733" s="86" t="str">
        <f ca="1">'All Statement of strategy (D)'!$I1175</f>
        <v xml:space="preserve"> </v>
      </c>
    </row>
    <row r="734" spans="1:15">
      <c r="A734" s="857"/>
      <c r="B734" s="857"/>
      <c r="C734" s="857"/>
      <c r="D734" s="857"/>
      <c r="E734" s="857"/>
      <c r="F734" s="857"/>
      <c r="G734" s="857"/>
      <c r="H734" s="857"/>
      <c r="I734" s="857"/>
      <c r="J734" s="857"/>
      <c r="K734" s="857"/>
      <c r="L734" s="857"/>
      <c r="N734" s="631" t="str">
        <f t="shared" ca="1" si="12"/>
        <v>Refresh the statement</v>
      </c>
      <c r="O734" s="86" t="str">
        <f ca="1">'All Statement of strategy (D)'!$I1176</f>
        <v xml:space="preserve"> </v>
      </c>
    </row>
    <row r="735" spans="1:15">
      <c r="A735" s="857"/>
      <c r="B735" s="857"/>
      <c r="C735" s="857"/>
      <c r="D735" s="857"/>
      <c r="E735" s="857"/>
      <c r="F735" s="857"/>
      <c r="G735" s="857"/>
      <c r="H735" s="857"/>
      <c r="I735" s="857"/>
      <c r="J735" s="857"/>
      <c r="K735" s="857"/>
      <c r="L735" s="857"/>
      <c r="N735" s="631" t="str">
        <f t="shared" ca="1" si="12"/>
        <v>Refresh the statement</v>
      </c>
      <c r="O735" s="86" t="str">
        <f ca="1">'All Statement of strategy (D)'!$I1177</f>
        <v xml:space="preserve"> </v>
      </c>
    </row>
    <row r="736" spans="1:15">
      <c r="N736" s="631" t="str">
        <f t="shared" ca="1" si="12"/>
        <v>Refresh the statement</v>
      </c>
      <c r="O736" s="86" t="str">
        <f ca="1">IF(A732&lt;&gt;"","Blank row","")</f>
        <v>Blank row</v>
      </c>
    </row>
    <row r="737" spans="1:15">
      <c r="A737" s="861" t="str">
        <f ca="1">'All Statement of strategy (D)'!$I1178</f>
        <v xml:space="preserve"> </v>
      </c>
      <c r="B737" s="861"/>
      <c r="C737" s="861"/>
      <c r="D737" s="861"/>
      <c r="E737" s="861"/>
      <c r="F737" s="861"/>
      <c r="G737" s="861"/>
      <c r="H737" s="861"/>
      <c r="I737" s="861"/>
      <c r="J737" s="861"/>
      <c r="K737" s="861"/>
      <c r="L737" s="861"/>
      <c r="N737" s="631" t="str">
        <f t="shared" ca="1" si="12"/>
        <v>Refresh the statement</v>
      </c>
      <c r="O737" s="86" t="str">
        <f ca="1">IF($A$707&lt;&gt;"","Blank row","")</f>
        <v>Blank row</v>
      </c>
    </row>
    <row r="738" spans="1:15" ht="139.5">
      <c r="A738" s="857" t="str">
        <f ca="1">_xlfn.TEXTJOIN("
",TRUE,'All Statement of strategy (D)'!$I1179,'All Statement of strategy (D)'!$I1180,'All Statement of strategy (D)'!$I1181,'All Statement of strategy (D)'!$I1182,'All Statement of strategy (D)'!$I1183,'All Statement of strategy (D)'!$I1184,'All Statement of strategy (D)'!$I1185,'All Statement of strategy (D)'!$I1186,'All Statement of strategy (D)'!$I1187,'All Statement of strategy (D)'!I$1188)</f>
        <v xml:space="preserve"> 
 </v>
      </c>
      <c r="B738" s="857"/>
      <c r="C738" s="857"/>
      <c r="D738" s="857"/>
      <c r="E738" s="857"/>
      <c r="F738" s="857"/>
      <c r="G738" s="857"/>
      <c r="H738" s="857"/>
      <c r="I738" s="857"/>
      <c r="J738" s="857"/>
      <c r="K738" s="857"/>
      <c r="L738" s="857"/>
      <c r="N738" s="631" t="str">
        <f t="shared" ca="1" si="12"/>
        <v>Refresh the statement</v>
      </c>
      <c r="O738" s="86" t="str">
        <f ca="1">A738</f>
        <v xml:space="preserve"> 
 </v>
      </c>
    </row>
    <row r="739" spans="1:15">
      <c r="N739" s="631" t="str">
        <f t="shared" ca="1" si="12"/>
        <v>Refresh the statement</v>
      </c>
      <c r="O739" s="86" t="str">
        <f ca="1">IF($A$738&lt;&gt;"","Blank row","")</f>
        <v>Blank row</v>
      </c>
    </row>
    <row r="740" spans="1:15">
      <c r="A740" s="861" t="str">
        <f ca="1">'All Statement of strategy (D)'!$I1189</f>
        <v xml:space="preserve"> </v>
      </c>
      <c r="B740" s="861"/>
      <c r="C740" s="861"/>
      <c r="D740" s="861"/>
      <c r="E740" s="861"/>
      <c r="F740" s="861"/>
      <c r="G740" s="861"/>
      <c r="H740" s="861"/>
      <c r="I740" s="861"/>
      <c r="J740" s="861"/>
      <c r="K740" s="861"/>
      <c r="L740" s="861"/>
      <c r="N740" s="631" t="str">
        <f t="shared" ca="1" si="12"/>
        <v>Refresh the statement</v>
      </c>
    </row>
    <row r="741" spans="1:15">
      <c r="A741" s="857" t="str">
        <f ca="1">'All Statement of strategy (D)'!$I1191&amp;'All Statement of strategy (D)'!$I1192&amp;'All Statement of strategy (D)'!$I1193&amp;'All Statement of strategy (D)'!$I1194</f>
        <v xml:space="preserve">    </v>
      </c>
      <c r="B741" s="857"/>
      <c r="C741" s="857"/>
      <c r="D741" s="857"/>
      <c r="E741" s="857"/>
      <c r="F741" s="857"/>
      <c r="G741" s="857"/>
      <c r="H741" s="857"/>
      <c r="I741" s="857"/>
      <c r="J741" s="857"/>
      <c r="K741" s="857"/>
      <c r="L741" s="857"/>
      <c r="N741" s="631" t="str">
        <f t="shared" ca="1" si="12"/>
        <v>Refresh the statement</v>
      </c>
      <c r="O741" s="86" t="str">
        <f ca="1">'All Statement of strategy (D)'!$I1191</f>
        <v xml:space="preserve"> </v>
      </c>
    </row>
    <row r="742" spans="1:15">
      <c r="A742" s="857"/>
      <c r="B742" s="857"/>
      <c r="C742" s="857"/>
      <c r="D742" s="857"/>
      <c r="E742" s="857"/>
      <c r="F742" s="857"/>
      <c r="G742" s="857"/>
      <c r="H742" s="857"/>
      <c r="I742" s="857"/>
      <c r="J742" s="857"/>
      <c r="K742" s="857"/>
      <c r="L742" s="857"/>
      <c r="N742" s="631" t="str">
        <f t="shared" ca="1" si="12"/>
        <v>Refresh the statement</v>
      </c>
      <c r="O742" s="86" t="str">
        <f ca="1">'All Statement of strategy (D)'!$I1192</f>
        <v xml:space="preserve"> </v>
      </c>
    </row>
    <row r="743" spans="1:15">
      <c r="A743" s="857"/>
      <c r="B743" s="857"/>
      <c r="C743" s="857"/>
      <c r="D743" s="857"/>
      <c r="E743" s="857"/>
      <c r="F743" s="857"/>
      <c r="G743" s="857"/>
      <c r="H743" s="857"/>
      <c r="I743" s="857"/>
      <c r="J743" s="857"/>
      <c r="K743" s="857"/>
      <c r="L743" s="857"/>
      <c r="N743" s="631" t="str">
        <f t="shared" ca="1" si="12"/>
        <v>Refresh the statement</v>
      </c>
      <c r="O743" s="86" t="str">
        <f ca="1">'All Statement of strategy (D)'!$I1193</f>
        <v xml:space="preserve"> </v>
      </c>
    </row>
    <row r="744" spans="1:15">
      <c r="A744" s="857"/>
      <c r="B744" s="857"/>
      <c r="C744" s="857"/>
      <c r="D744" s="857"/>
      <c r="E744" s="857"/>
      <c r="F744" s="857"/>
      <c r="G744" s="857"/>
      <c r="H744" s="857"/>
      <c r="I744" s="857"/>
      <c r="J744" s="857"/>
      <c r="K744" s="857"/>
      <c r="L744" s="857"/>
      <c r="N744" s="631" t="str">
        <f t="shared" ca="1" si="12"/>
        <v>Refresh the statement</v>
      </c>
      <c r="O744" s="86" t="str">
        <f ca="1">'All Statement of strategy (D)'!$I1194</f>
        <v xml:space="preserve"> </v>
      </c>
    </row>
    <row r="745" spans="1:15">
      <c r="A745" s="857" t="str">
        <f ca="1">'All Statement of strategy (D)'!$I1196</f>
        <v xml:space="preserve"> </v>
      </c>
      <c r="B745" s="857"/>
      <c r="C745" s="857"/>
      <c r="D745" s="857"/>
      <c r="E745" s="857"/>
      <c r="F745" s="857"/>
      <c r="G745" s="857"/>
      <c r="H745" s="857"/>
      <c r="I745" s="857"/>
      <c r="J745" s="857"/>
      <c r="K745" s="857"/>
      <c r="L745" s="857"/>
      <c r="N745" s="631" t="str">
        <f t="shared" ca="1" si="12"/>
        <v>Refresh the statement</v>
      </c>
      <c r="O745" s="86" t="str">
        <f ca="1">'All Statement of strategy (D)'!$I1196</f>
        <v xml:space="preserve"> </v>
      </c>
    </row>
    <row r="746" spans="1:15">
      <c r="A746" s="857"/>
      <c r="B746" s="857"/>
      <c r="C746" s="857"/>
      <c r="D746" s="857"/>
      <c r="E746" s="857"/>
      <c r="F746" s="857"/>
      <c r="G746" s="857"/>
      <c r="H746" s="857"/>
      <c r="I746" s="857"/>
      <c r="J746" s="857"/>
      <c r="K746" s="857"/>
      <c r="L746" s="857"/>
      <c r="N746" s="631" t="str">
        <f t="shared" ca="1" si="12"/>
        <v>Refresh the statement</v>
      </c>
      <c r="O746" s="86" t="str">
        <f ca="1">'All Statement of strategy (D)'!$I1197</f>
        <v xml:space="preserve"> </v>
      </c>
    </row>
    <row r="747" spans="1:15">
      <c r="A747" s="857"/>
      <c r="B747" s="857"/>
      <c r="C747" s="857"/>
      <c r="D747" s="857"/>
      <c r="E747" s="857"/>
      <c r="F747" s="857"/>
      <c r="G747" s="857"/>
      <c r="H747" s="857"/>
      <c r="I747" s="857"/>
      <c r="J747" s="857"/>
      <c r="K747" s="857"/>
      <c r="L747" s="857"/>
      <c r="N747" s="631" t="str">
        <f t="shared" ca="1" si="12"/>
        <v>Refresh the statement</v>
      </c>
      <c r="O747" s="86" t="str">
        <f ca="1">'All Statement of strategy (D)'!$I1198</f>
        <v xml:space="preserve"> </v>
      </c>
    </row>
    <row r="748" spans="1:15">
      <c r="A748" s="857"/>
      <c r="B748" s="857"/>
      <c r="C748" s="857"/>
      <c r="D748" s="857"/>
      <c r="E748" s="857"/>
      <c r="F748" s="857"/>
      <c r="G748" s="857"/>
      <c r="H748" s="857"/>
      <c r="I748" s="857"/>
      <c r="J748" s="857"/>
      <c r="K748" s="857"/>
      <c r="L748" s="857"/>
      <c r="N748" s="631" t="str">
        <f t="shared" ca="1" si="12"/>
        <v>Refresh the statement</v>
      </c>
      <c r="O748" s="86" t="str">
        <f ca="1">'All Statement of strategy (D)'!$I1199</f>
        <v xml:space="preserve"> </v>
      </c>
    </row>
    <row r="749" spans="1:15">
      <c r="A749" s="857" t="str">
        <f ca="1">_xlfn.TEXTJOIN("",TRUE,'All Statement of strategy (D)'!$I1200,'All Statement of strategy (D)'!$I1201)</f>
        <v xml:space="preserve">  </v>
      </c>
      <c r="B749" s="857"/>
      <c r="C749" s="857"/>
      <c r="D749" s="857"/>
      <c r="E749" s="857"/>
      <c r="F749" s="857"/>
      <c r="G749" s="857"/>
      <c r="H749" s="857"/>
      <c r="I749" s="857"/>
      <c r="J749" s="857"/>
      <c r="K749" s="857"/>
      <c r="L749" s="857"/>
      <c r="N749" s="631" t="str">
        <f t="shared" ca="1" si="12"/>
        <v>Refresh the statement</v>
      </c>
      <c r="O749" s="86" t="str">
        <f ca="1">A749</f>
        <v xml:space="preserve">  </v>
      </c>
    </row>
    <row r="750" spans="1:15">
      <c r="A750" s="857" t="str">
        <f ca="1">'All Statement of strategy (D)'!$I1202</f>
        <v xml:space="preserve"> </v>
      </c>
      <c r="B750" s="857"/>
      <c r="C750" s="857"/>
      <c r="D750" s="857"/>
      <c r="E750" s="857"/>
      <c r="F750" s="857"/>
      <c r="G750" s="857"/>
      <c r="H750" s="857"/>
      <c r="I750" s="857"/>
      <c r="J750" s="857"/>
      <c r="K750" s="857"/>
      <c r="L750" s="857"/>
      <c r="N750" s="631" t="str">
        <f t="shared" ca="1" si="12"/>
        <v>Refresh the statement</v>
      </c>
    </row>
    <row r="751" spans="1:15">
      <c r="A751" s="857" t="str">
        <f ca="1">'All Statement of strategy (D)'!$I1204&amp;'All Statement of strategy (D)'!$I1205&amp;'All Statement of strategy (D)'!$I1206&amp;'All Statement of strategy (D)'!$I1207</f>
        <v xml:space="preserve">    </v>
      </c>
      <c r="B751" s="857"/>
      <c r="C751" s="857"/>
      <c r="D751" s="857"/>
      <c r="E751" s="857"/>
      <c r="F751" s="857"/>
      <c r="G751" s="857"/>
      <c r="H751" s="857"/>
      <c r="I751" s="857"/>
      <c r="J751" s="857"/>
      <c r="K751" s="857"/>
      <c r="L751" s="857"/>
      <c r="N751" s="631" t="str">
        <f t="shared" ca="1" si="12"/>
        <v>Refresh the statement</v>
      </c>
      <c r="O751" s="86" t="str">
        <f ca="1">'All Statement of strategy (D)'!$I1204</f>
        <v xml:space="preserve"> </v>
      </c>
    </row>
    <row r="752" spans="1:15">
      <c r="A752" s="857"/>
      <c r="B752" s="857"/>
      <c r="C752" s="857"/>
      <c r="D752" s="857"/>
      <c r="E752" s="857"/>
      <c r="F752" s="857"/>
      <c r="G752" s="857"/>
      <c r="H752" s="857"/>
      <c r="I752" s="857"/>
      <c r="J752" s="857"/>
      <c r="K752" s="857"/>
      <c r="L752" s="857"/>
      <c r="N752" s="631" t="str">
        <f t="shared" ca="1" si="12"/>
        <v>Refresh the statement</v>
      </c>
      <c r="O752" s="86" t="str">
        <f ca="1">'All Statement of strategy (D)'!$I1205</f>
        <v xml:space="preserve"> </v>
      </c>
    </row>
    <row r="753" spans="1:15">
      <c r="A753" s="857"/>
      <c r="B753" s="857"/>
      <c r="C753" s="857"/>
      <c r="D753" s="857"/>
      <c r="E753" s="857"/>
      <c r="F753" s="857"/>
      <c r="G753" s="857"/>
      <c r="H753" s="857"/>
      <c r="I753" s="857"/>
      <c r="J753" s="857"/>
      <c r="K753" s="857"/>
      <c r="L753" s="857"/>
      <c r="N753" s="631" t="str">
        <f t="shared" ca="1" si="12"/>
        <v>Refresh the statement</v>
      </c>
      <c r="O753" s="86" t="str">
        <f ca="1">'All Statement of strategy (D)'!$I1206</f>
        <v xml:space="preserve"> </v>
      </c>
    </row>
    <row r="754" spans="1:15">
      <c r="A754" s="857"/>
      <c r="B754" s="857"/>
      <c r="C754" s="857"/>
      <c r="D754" s="857"/>
      <c r="E754" s="857"/>
      <c r="F754" s="857"/>
      <c r="G754" s="857"/>
      <c r="H754" s="857"/>
      <c r="I754" s="857"/>
      <c r="J754" s="857"/>
      <c r="K754" s="857"/>
      <c r="L754" s="857"/>
      <c r="N754" s="631" t="str">
        <f t="shared" ca="1" si="12"/>
        <v>Refresh the statement</v>
      </c>
      <c r="O754" s="86" t="str">
        <f ca="1">'All Statement of strategy (D)'!$I1207</f>
        <v xml:space="preserve"> </v>
      </c>
    </row>
    <row r="755" spans="1:15">
      <c r="A755" s="857" t="str">
        <f ca="1">'All Statement of strategy (D)'!$I1208</f>
        <v xml:space="preserve"> </v>
      </c>
      <c r="B755" s="857"/>
      <c r="C755" s="857"/>
      <c r="D755" s="857"/>
      <c r="E755" s="857"/>
      <c r="F755" s="857"/>
      <c r="G755" s="857"/>
      <c r="H755" s="857"/>
      <c r="I755" s="857"/>
      <c r="J755" s="857"/>
      <c r="K755" s="857"/>
      <c r="L755" s="857"/>
      <c r="N755" s="631" t="str">
        <f t="shared" ca="1" si="12"/>
        <v>Refresh the statement</v>
      </c>
    </row>
    <row r="756" spans="1:15">
      <c r="N756" s="631" t="str">
        <f t="shared" ca="1" si="12"/>
        <v>Refresh the statement</v>
      </c>
      <c r="O756" s="86" t="str">
        <f ca="1">IF($A$738&lt;&gt;"","Blank row","")</f>
        <v>Blank row</v>
      </c>
    </row>
    <row r="757" spans="1:15">
      <c r="A757" s="861" t="str">
        <f ca="1">'All Statement of strategy (D)'!$I1209</f>
        <v xml:space="preserve"> </v>
      </c>
      <c r="B757" s="861"/>
      <c r="C757" s="861"/>
      <c r="D757" s="861"/>
      <c r="E757" s="861"/>
      <c r="F757" s="861"/>
      <c r="G757" s="861"/>
      <c r="H757" s="861"/>
      <c r="I757" s="861"/>
      <c r="J757" s="861"/>
      <c r="K757" s="861"/>
      <c r="L757" s="861"/>
      <c r="N757" s="631" t="str">
        <f t="shared" ca="1" si="12"/>
        <v>Refresh the statement</v>
      </c>
    </row>
    <row r="758" spans="1:15" ht="46.5">
      <c r="A758" s="874" t="str">
        <f ca="1">_xlfn.TEXTJOIN("
",TRUE,'All Statement of strategy (D)'!$I1210,'All Statement of strategy (D)'!$I1211,'All Statement of strategy (D)'!$I1212,'All Statement of strategy (D)'!$I1213)</f>
        <v xml:space="preserve"> 
 </v>
      </c>
      <c r="B758" s="874"/>
      <c r="C758" s="874"/>
      <c r="D758" s="874"/>
      <c r="E758" s="874"/>
      <c r="F758" s="874"/>
      <c r="G758" s="874"/>
      <c r="H758" s="874"/>
      <c r="I758" s="874"/>
      <c r="J758" s="874"/>
      <c r="K758" s="874"/>
      <c r="L758" s="874"/>
      <c r="N758" s="631" t="str">
        <f t="shared" ca="1" si="12"/>
        <v>Refresh the statement</v>
      </c>
      <c r="O758" s="570" t="str">
        <f ca="1">A758</f>
        <v xml:space="preserve"> 
 </v>
      </c>
    </row>
    <row r="759" spans="1:15">
      <c r="A759" s="857" t="str">
        <f ca="1">'All Statement of strategy (D)'!$I1214&amp;'All Statement of strategy (D)'!$I1215&amp;'All Statement of strategy (D)'!$I1216&amp;'All Statement of strategy (D)'!$I1217</f>
        <v xml:space="preserve">    </v>
      </c>
      <c r="B759" s="857"/>
      <c r="C759" s="857"/>
      <c r="D759" s="857"/>
      <c r="E759" s="857"/>
      <c r="F759" s="857"/>
      <c r="G759" s="857"/>
      <c r="H759" s="857"/>
      <c r="I759" s="857"/>
      <c r="J759" s="857"/>
      <c r="K759" s="857"/>
      <c r="L759" s="857"/>
      <c r="N759" s="631" t="str">
        <f t="shared" ca="1" si="12"/>
        <v>Refresh the statement</v>
      </c>
      <c r="O759" s="86" t="str">
        <f ca="1">'All Statement of strategy (D)'!$I1214</f>
        <v xml:space="preserve"> </v>
      </c>
    </row>
    <row r="760" spans="1:15">
      <c r="A760" s="857"/>
      <c r="B760" s="857"/>
      <c r="C760" s="857"/>
      <c r="D760" s="857"/>
      <c r="E760" s="857"/>
      <c r="F760" s="857"/>
      <c r="G760" s="857"/>
      <c r="H760" s="857"/>
      <c r="I760" s="857"/>
      <c r="J760" s="857"/>
      <c r="K760" s="857"/>
      <c r="L760" s="857"/>
      <c r="N760" s="631" t="str">
        <f t="shared" ca="1" si="12"/>
        <v>Refresh the statement</v>
      </c>
      <c r="O760" s="86" t="str">
        <f ca="1">'All Statement of strategy (D)'!$I1215</f>
        <v xml:space="preserve"> </v>
      </c>
    </row>
    <row r="761" spans="1:15">
      <c r="A761" s="857"/>
      <c r="B761" s="857"/>
      <c r="C761" s="857"/>
      <c r="D761" s="857"/>
      <c r="E761" s="857"/>
      <c r="F761" s="857"/>
      <c r="G761" s="857"/>
      <c r="H761" s="857"/>
      <c r="I761" s="857"/>
      <c r="J761" s="857"/>
      <c r="K761" s="857"/>
      <c r="L761" s="857"/>
      <c r="N761" s="631" t="str">
        <f t="shared" ca="1" si="12"/>
        <v>Refresh the statement</v>
      </c>
      <c r="O761" s="86" t="str">
        <f ca="1">'All Statement of strategy (D)'!$I1216</f>
        <v xml:space="preserve"> </v>
      </c>
    </row>
    <row r="762" spans="1:15">
      <c r="A762" s="857"/>
      <c r="B762" s="857"/>
      <c r="C762" s="857"/>
      <c r="D762" s="857"/>
      <c r="E762" s="857"/>
      <c r="F762" s="857"/>
      <c r="G762" s="857"/>
      <c r="H762" s="857"/>
      <c r="I762" s="857"/>
      <c r="J762" s="857"/>
      <c r="K762" s="857"/>
      <c r="L762" s="857"/>
      <c r="N762" s="631" t="str">
        <f t="shared" ca="1" si="12"/>
        <v>Refresh the statement</v>
      </c>
      <c r="O762" s="86" t="str">
        <f ca="1">'All Statement of strategy (D)'!$I1217</f>
        <v xml:space="preserve"> </v>
      </c>
    </row>
    <row r="763" spans="1:15">
      <c r="A763" s="857" t="str">
        <f ca="1">'All Statement of strategy (D)'!$I1219&amp;'All Statement of strategy (D)'!$I1220&amp;'All Statement of strategy (D)'!$I1221&amp;'All Statement of strategy (D)'!$I1222</f>
        <v xml:space="preserve">    </v>
      </c>
      <c r="B763" s="857"/>
      <c r="C763" s="857"/>
      <c r="D763" s="857"/>
      <c r="E763" s="857"/>
      <c r="F763" s="857"/>
      <c r="G763" s="857"/>
      <c r="H763" s="857"/>
      <c r="I763" s="857"/>
      <c r="J763" s="857"/>
      <c r="K763" s="857"/>
      <c r="L763" s="857"/>
      <c r="N763" s="631" t="str">
        <f t="shared" ca="1" si="12"/>
        <v>Refresh the statement</v>
      </c>
      <c r="O763" s="86" t="str">
        <f ca="1">'All Statement of strategy (D)'!$I1219</f>
        <v xml:space="preserve"> </v>
      </c>
    </row>
    <row r="764" spans="1:15">
      <c r="A764" s="857"/>
      <c r="B764" s="857"/>
      <c r="C764" s="857"/>
      <c r="D764" s="857"/>
      <c r="E764" s="857"/>
      <c r="F764" s="857"/>
      <c r="G764" s="857"/>
      <c r="H764" s="857"/>
      <c r="I764" s="857"/>
      <c r="J764" s="857"/>
      <c r="K764" s="857"/>
      <c r="L764" s="857"/>
      <c r="N764" s="631" t="str">
        <f t="shared" ca="1" si="12"/>
        <v>Refresh the statement</v>
      </c>
      <c r="O764" s="86" t="str">
        <f ca="1">'All Statement of strategy (D)'!$I1220</f>
        <v xml:space="preserve"> </v>
      </c>
    </row>
    <row r="765" spans="1:15">
      <c r="A765" s="857"/>
      <c r="B765" s="857"/>
      <c r="C765" s="857"/>
      <c r="D765" s="857"/>
      <c r="E765" s="857"/>
      <c r="F765" s="857"/>
      <c r="G765" s="857"/>
      <c r="H765" s="857"/>
      <c r="I765" s="857"/>
      <c r="J765" s="857"/>
      <c r="K765" s="857"/>
      <c r="L765" s="857"/>
      <c r="N765" s="631" t="str">
        <f t="shared" ca="1" si="12"/>
        <v>Refresh the statement</v>
      </c>
      <c r="O765" s="86" t="str">
        <f ca="1">'All Statement of strategy (D)'!$I1221</f>
        <v xml:space="preserve"> </v>
      </c>
    </row>
    <row r="766" spans="1:15">
      <c r="A766" s="857"/>
      <c r="B766" s="857"/>
      <c r="C766" s="857"/>
      <c r="D766" s="857"/>
      <c r="E766" s="857"/>
      <c r="F766" s="857"/>
      <c r="G766" s="857"/>
      <c r="H766" s="857"/>
      <c r="I766" s="857"/>
      <c r="J766" s="857"/>
      <c r="K766" s="857"/>
      <c r="L766" s="857"/>
      <c r="N766" s="631" t="str">
        <f t="shared" ca="1" si="12"/>
        <v>Refresh the statement</v>
      </c>
      <c r="O766" s="86" t="str">
        <f ca="1">'All Statement of strategy (D)'!$I1222</f>
        <v xml:space="preserve"> </v>
      </c>
    </row>
    <row r="767" spans="1:15">
      <c r="N767" s="631" t="str">
        <f t="shared" ca="1" si="12"/>
        <v>Refresh the statement</v>
      </c>
      <c r="O767" s="86" t="str">
        <f ca="1">IF($A$738&lt;&gt;"","Blank row","")</f>
        <v>Blank row</v>
      </c>
    </row>
    <row r="768" spans="1:15">
      <c r="A768" s="861" t="str">
        <f ca="1">'All Statement of strategy (D)'!$I1223</f>
        <v xml:space="preserve"> </v>
      </c>
      <c r="B768" s="861"/>
      <c r="C768" s="861"/>
      <c r="D768" s="861"/>
      <c r="E768" s="861"/>
      <c r="F768" s="861"/>
      <c r="G768" s="861"/>
      <c r="H768" s="861"/>
      <c r="I768" s="861"/>
      <c r="J768" s="861"/>
      <c r="K768" s="861"/>
      <c r="L768" s="861"/>
      <c r="N768" s="631" t="str">
        <f t="shared" ca="1" si="12"/>
        <v>Refresh the statement</v>
      </c>
    </row>
    <row r="769" spans="1:15" ht="139.5">
      <c r="A769" s="857" t="str">
        <f ca="1">_xlfn.TEXTJOIN("
",TRUE,'All Statement of strategy (D)'!$I1224,'All Statement of strategy (D)'!$I1225,'All Statement of strategy (D)'!$I1226,'All Statement of strategy (D)'!$I1227,'All Statement of strategy (D)'!$I1228,'All Statement of strategy (D)'!$I1229,'All Statement of strategy (D)'!$I1230,'All Statement of strategy (D)'!$I1231,'All Statement of strategy (D)'!$I1232,'All Statement of strategy (D)'!I$1233)</f>
        <v xml:space="preserve"> 
 </v>
      </c>
      <c r="B769" s="857"/>
      <c r="C769" s="857"/>
      <c r="D769" s="857"/>
      <c r="E769" s="857"/>
      <c r="F769" s="857"/>
      <c r="G769" s="857"/>
      <c r="H769" s="857"/>
      <c r="I769" s="857"/>
      <c r="J769" s="857"/>
      <c r="K769" s="857"/>
      <c r="L769" s="857"/>
      <c r="N769" s="631" t="str">
        <f t="shared" ca="1" si="12"/>
        <v>Refresh the statement</v>
      </c>
      <c r="O769" s="86" t="str">
        <f ca="1">A769</f>
        <v xml:space="preserve"> 
 </v>
      </c>
    </row>
    <row r="770" spans="1:15">
      <c r="N770" s="631" t="str">
        <f t="shared" ca="1" si="12"/>
        <v>Refresh the statement</v>
      </c>
      <c r="O770" s="86" t="str">
        <f ca="1">IF($A$769&lt;&gt;"","Blank row","")</f>
        <v>Blank row</v>
      </c>
    </row>
    <row r="771" spans="1:15">
      <c r="A771" s="861" t="str">
        <f ca="1">'All Statement of strategy (D)'!$I1234</f>
        <v xml:space="preserve"> </v>
      </c>
      <c r="B771" s="861"/>
      <c r="C771" s="861"/>
      <c r="D771" s="861"/>
      <c r="E771" s="861"/>
      <c r="F771" s="861"/>
      <c r="G771" s="861"/>
      <c r="H771" s="861"/>
      <c r="I771" s="861"/>
      <c r="J771" s="861"/>
      <c r="K771" s="861"/>
      <c r="L771" s="861"/>
      <c r="N771" s="631" t="str">
        <f t="shared" ca="1" si="12"/>
        <v>Refresh the statement</v>
      </c>
    </row>
    <row r="772" spans="1:15">
      <c r="A772" s="857" t="str">
        <f ca="1">'All Statement of strategy (D)'!$I1236&amp;'All Statement of strategy (D)'!$I1237&amp;'All Statement of strategy (D)'!$I1238&amp;'All Statement of strategy (D)'!$I1239</f>
        <v xml:space="preserve">    </v>
      </c>
      <c r="B772" s="857"/>
      <c r="C772" s="857"/>
      <c r="D772" s="857"/>
      <c r="E772" s="857"/>
      <c r="F772" s="857"/>
      <c r="G772" s="857"/>
      <c r="H772" s="857"/>
      <c r="I772" s="857"/>
      <c r="J772" s="857"/>
      <c r="K772" s="857"/>
      <c r="L772" s="857"/>
      <c r="N772" s="631" t="str">
        <f t="shared" ca="1" si="12"/>
        <v>Refresh the statement</v>
      </c>
      <c r="O772" s="86" t="str">
        <f ca="1">'All Statement of strategy (D)'!$I1236</f>
        <v xml:space="preserve"> </v>
      </c>
    </row>
    <row r="773" spans="1:15">
      <c r="A773" s="857"/>
      <c r="B773" s="857"/>
      <c r="C773" s="857"/>
      <c r="D773" s="857"/>
      <c r="E773" s="857"/>
      <c r="F773" s="857"/>
      <c r="G773" s="857"/>
      <c r="H773" s="857"/>
      <c r="I773" s="857"/>
      <c r="J773" s="857"/>
      <c r="K773" s="857"/>
      <c r="L773" s="857"/>
      <c r="N773" s="631" t="str">
        <f t="shared" ca="1" si="12"/>
        <v>Refresh the statement</v>
      </c>
      <c r="O773" s="86" t="str">
        <f ca="1">'All Statement of strategy (D)'!$I1237</f>
        <v xml:space="preserve"> </v>
      </c>
    </row>
    <row r="774" spans="1:15">
      <c r="A774" s="857"/>
      <c r="B774" s="857"/>
      <c r="C774" s="857"/>
      <c r="D774" s="857"/>
      <c r="E774" s="857"/>
      <c r="F774" s="857"/>
      <c r="G774" s="857"/>
      <c r="H774" s="857"/>
      <c r="I774" s="857"/>
      <c r="J774" s="857"/>
      <c r="K774" s="857"/>
      <c r="L774" s="857"/>
      <c r="N774" s="631" t="str">
        <f t="shared" ca="1" si="12"/>
        <v>Refresh the statement</v>
      </c>
      <c r="O774" s="86" t="str">
        <f ca="1">'All Statement of strategy (D)'!$I1238</f>
        <v xml:space="preserve"> </v>
      </c>
    </row>
    <row r="775" spans="1:15">
      <c r="A775" s="857"/>
      <c r="B775" s="857"/>
      <c r="C775" s="857"/>
      <c r="D775" s="857"/>
      <c r="E775" s="857"/>
      <c r="F775" s="857"/>
      <c r="G775" s="857"/>
      <c r="H775" s="857"/>
      <c r="I775" s="857"/>
      <c r="J775" s="857"/>
      <c r="K775" s="857"/>
      <c r="L775" s="857"/>
      <c r="N775" s="631" t="str">
        <f t="shared" ca="1" si="12"/>
        <v>Refresh the statement</v>
      </c>
      <c r="O775" s="86" t="str">
        <f ca="1">'All Statement of strategy (D)'!$I1239</f>
        <v xml:space="preserve"> </v>
      </c>
    </row>
    <row r="776" spans="1:15">
      <c r="A776" s="857" t="str">
        <f ca="1">'All Statement of strategy (D)'!$I1241&amp;'All Statement of strategy (D)'!$I1242&amp;'All Statement of strategy (D)'!$I1243&amp;'All Statement of strategy (D)'!$I1244</f>
        <v xml:space="preserve">    </v>
      </c>
      <c r="B776" s="857"/>
      <c r="C776" s="857"/>
      <c r="D776" s="857"/>
      <c r="E776" s="857"/>
      <c r="F776" s="857"/>
      <c r="G776" s="857"/>
      <c r="H776" s="857"/>
      <c r="I776" s="857"/>
      <c r="J776" s="857"/>
      <c r="K776" s="857"/>
      <c r="L776" s="857"/>
      <c r="N776" s="631" t="str">
        <f t="shared" ca="1" si="12"/>
        <v>Refresh the statement</v>
      </c>
      <c r="O776" s="86" t="str">
        <f ca="1">'All Statement of strategy (D)'!$I1241</f>
        <v xml:space="preserve"> </v>
      </c>
    </row>
    <row r="777" spans="1:15">
      <c r="A777" s="857"/>
      <c r="B777" s="857"/>
      <c r="C777" s="857"/>
      <c r="D777" s="857"/>
      <c r="E777" s="857"/>
      <c r="F777" s="857"/>
      <c r="G777" s="857"/>
      <c r="H777" s="857"/>
      <c r="I777" s="857"/>
      <c r="J777" s="857"/>
      <c r="K777" s="857"/>
      <c r="L777" s="857"/>
      <c r="N777" s="631" t="str">
        <f t="shared" ca="1" si="12"/>
        <v>Refresh the statement</v>
      </c>
      <c r="O777" s="86" t="str">
        <f ca="1">'All Statement of strategy (D)'!$I1242</f>
        <v xml:space="preserve"> </v>
      </c>
    </row>
    <row r="778" spans="1:15">
      <c r="A778" s="857"/>
      <c r="B778" s="857"/>
      <c r="C778" s="857"/>
      <c r="D778" s="857"/>
      <c r="E778" s="857"/>
      <c r="F778" s="857"/>
      <c r="G778" s="857"/>
      <c r="H778" s="857"/>
      <c r="I778" s="857"/>
      <c r="J778" s="857"/>
      <c r="K778" s="857"/>
      <c r="L778" s="857"/>
      <c r="N778" s="631" t="str">
        <f t="shared" ca="1" si="12"/>
        <v>Refresh the statement</v>
      </c>
      <c r="O778" s="86" t="str">
        <f ca="1">'All Statement of strategy (D)'!$I1243</f>
        <v xml:space="preserve"> </v>
      </c>
    </row>
    <row r="779" spans="1:15">
      <c r="A779" s="857"/>
      <c r="B779" s="857"/>
      <c r="C779" s="857"/>
      <c r="D779" s="857"/>
      <c r="E779" s="857"/>
      <c r="F779" s="857"/>
      <c r="G779" s="857"/>
      <c r="H779" s="857"/>
      <c r="I779" s="857"/>
      <c r="J779" s="857"/>
      <c r="K779" s="857"/>
      <c r="L779" s="857"/>
      <c r="N779" s="631" t="str">
        <f t="shared" ca="1" si="12"/>
        <v>Refresh the statement</v>
      </c>
      <c r="O779" s="86" t="str">
        <f ca="1">'All Statement of strategy (D)'!$I1244</f>
        <v xml:space="preserve"> </v>
      </c>
    </row>
    <row r="780" spans="1:15">
      <c r="A780" s="857" t="str">
        <f ca="1">_xlfn.TEXTJOIN("",TRUE,'All Statement of strategy (D)'!$I1245,'All Statement of strategy (D)'!$I1246)</f>
        <v xml:space="preserve">  </v>
      </c>
      <c r="B780" s="857"/>
      <c r="C780" s="857"/>
      <c r="D780" s="857"/>
      <c r="E780" s="857"/>
      <c r="F780" s="857"/>
      <c r="G780" s="857"/>
      <c r="H780" s="857"/>
      <c r="I780" s="857"/>
      <c r="J780" s="857"/>
      <c r="K780" s="857"/>
      <c r="L780" s="857"/>
      <c r="N780" s="631" t="str">
        <f t="shared" ca="1" si="12"/>
        <v>Refresh the statement</v>
      </c>
      <c r="O780" s="86" t="str">
        <f ca="1">A780</f>
        <v xml:space="preserve">  </v>
      </c>
    </row>
    <row r="781" spans="1:15">
      <c r="A781" s="857" t="str">
        <f ca="1">'All Statement of strategy (D)'!$I1247</f>
        <v xml:space="preserve"> </v>
      </c>
      <c r="B781" s="857"/>
      <c r="C781" s="857"/>
      <c r="D781" s="857"/>
      <c r="E781" s="857"/>
      <c r="F781" s="857"/>
      <c r="G781" s="857"/>
      <c r="H781" s="857"/>
      <c r="I781" s="857"/>
      <c r="J781" s="857"/>
      <c r="K781" s="857"/>
      <c r="L781" s="857"/>
      <c r="N781" s="631" t="str">
        <f t="shared" ca="1" si="12"/>
        <v>Refresh the statement</v>
      </c>
    </row>
    <row r="782" spans="1:15">
      <c r="A782" s="857" t="str">
        <f ca="1">'All Statement of strategy (D)'!$I1250&amp;'All Statement of strategy (D)'!$I1251&amp;'All Statement of strategy (D)'!$I1252&amp;'All Statement of strategy (D)'!$I1253</f>
        <v xml:space="preserve">    </v>
      </c>
      <c r="B782" s="857"/>
      <c r="C782" s="857"/>
      <c r="D782" s="857"/>
      <c r="E782" s="857"/>
      <c r="F782" s="857"/>
      <c r="G782" s="857"/>
      <c r="H782" s="857"/>
      <c r="I782" s="857"/>
      <c r="J782" s="857"/>
      <c r="K782" s="857"/>
      <c r="L782" s="857"/>
      <c r="N782" s="631" t="str">
        <f t="shared" ca="1" si="12"/>
        <v>Refresh the statement</v>
      </c>
      <c r="O782" s="86" t="str">
        <f ca="1">'All Statement of strategy (D)'!$I1250</f>
        <v xml:space="preserve"> </v>
      </c>
    </row>
    <row r="783" spans="1:15">
      <c r="A783" s="857"/>
      <c r="B783" s="857"/>
      <c r="C783" s="857"/>
      <c r="D783" s="857"/>
      <c r="E783" s="857"/>
      <c r="F783" s="857"/>
      <c r="G783" s="857"/>
      <c r="H783" s="857"/>
      <c r="I783" s="857"/>
      <c r="J783" s="857"/>
      <c r="K783" s="857"/>
      <c r="L783" s="857"/>
      <c r="N783" s="631" t="str">
        <f t="shared" ca="1" si="12"/>
        <v>Refresh the statement</v>
      </c>
      <c r="O783" s="86" t="str">
        <f ca="1">'All Statement of strategy (D)'!$I1251</f>
        <v xml:space="preserve"> </v>
      </c>
    </row>
    <row r="784" spans="1:15">
      <c r="A784" s="857"/>
      <c r="B784" s="857"/>
      <c r="C784" s="857"/>
      <c r="D784" s="857"/>
      <c r="E784" s="857"/>
      <c r="F784" s="857"/>
      <c r="G784" s="857"/>
      <c r="H784" s="857"/>
      <c r="I784" s="857"/>
      <c r="J784" s="857"/>
      <c r="K784" s="857"/>
      <c r="L784" s="857"/>
      <c r="N784" s="631" t="str">
        <f t="shared" ca="1" si="12"/>
        <v>Refresh the statement</v>
      </c>
      <c r="O784" s="86" t="str">
        <f ca="1">'All Statement of strategy (D)'!$I1252</f>
        <v xml:space="preserve"> </v>
      </c>
    </row>
    <row r="785" spans="1:15">
      <c r="A785" s="857"/>
      <c r="B785" s="857"/>
      <c r="C785" s="857"/>
      <c r="D785" s="857"/>
      <c r="E785" s="857"/>
      <c r="F785" s="857"/>
      <c r="G785" s="857"/>
      <c r="H785" s="857"/>
      <c r="I785" s="857"/>
      <c r="J785" s="857"/>
      <c r="K785" s="857"/>
      <c r="L785" s="857"/>
      <c r="N785" s="631" t="str">
        <f t="shared" ca="1" si="12"/>
        <v>Refresh the statement</v>
      </c>
      <c r="O785" s="86" t="str">
        <f ca="1">'All Statement of strategy (D)'!$I1253</f>
        <v xml:space="preserve"> </v>
      </c>
    </row>
    <row r="786" spans="1:15">
      <c r="A786" s="857" t="str">
        <f ca="1">'All Statement of strategy (D)'!$I1254</f>
        <v xml:space="preserve"> </v>
      </c>
      <c r="B786" s="857"/>
      <c r="C786" s="857"/>
      <c r="D786" s="857"/>
      <c r="E786" s="857"/>
      <c r="F786" s="857"/>
      <c r="G786" s="857"/>
      <c r="H786" s="857"/>
      <c r="I786" s="857"/>
      <c r="J786" s="857"/>
      <c r="K786" s="857"/>
      <c r="L786" s="857"/>
      <c r="N786" s="631" t="str">
        <f t="shared" ca="1" si="12"/>
        <v>Refresh the statement</v>
      </c>
    </row>
    <row r="787" spans="1:15">
      <c r="N787" s="631" t="str">
        <f t="shared" ca="1" si="12"/>
        <v>Refresh the statement</v>
      </c>
      <c r="O787" s="86" t="str">
        <f ca="1">IF($A$769&lt;&gt;"","Blank row","")</f>
        <v>Blank row</v>
      </c>
    </row>
    <row r="788" spans="1:15">
      <c r="A788" s="861" t="str">
        <f ca="1">'All Statement of strategy (D)'!$I1255</f>
        <v xml:space="preserve"> </v>
      </c>
      <c r="B788" s="861"/>
      <c r="C788" s="861"/>
      <c r="D788" s="861"/>
      <c r="E788" s="861"/>
      <c r="F788" s="861"/>
      <c r="G788" s="861"/>
      <c r="H788" s="861"/>
      <c r="I788" s="861"/>
      <c r="J788" s="861"/>
      <c r="K788" s="861"/>
      <c r="L788" s="861"/>
      <c r="N788" s="631" t="str">
        <f t="shared" ca="1" si="12"/>
        <v>Refresh the statement</v>
      </c>
    </row>
    <row r="789" spans="1:15" ht="46.5">
      <c r="A789" s="874" t="str">
        <f ca="1">_xlfn.TEXTJOIN("
",TRUE,'All Statement of strategy (D)'!$I1256,'All Statement of strategy (D)'!$I1257,'All Statement of strategy (D)'!$I1258,'All Statement of strategy (D)'!$I1259)</f>
        <v xml:space="preserve"> 
 </v>
      </c>
      <c r="B789" s="874"/>
      <c r="C789" s="874"/>
      <c r="D789" s="874"/>
      <c r="E789" s="874"/>
      <c r="F789" s="874"/>
      <c r="G789" s="874"/>
      <c r="H789" s="874"/>
      <c r="I789" s="874"/>
      <c r="J789" s="874"/>
      <c r="K789" s="874"/>
      <c r="L789" s="874"/>
      <c r="N789" s="631" t="str">
        <f t="shared" ca="1" si="12"/>
        <v>Refresh the statement</v>
      </c>
      <c r="O789" s="570" t="str">
        <f ca="1">A789</f>
        <v xml:space="preserve"> 
 </v>
      </c>
    </row>
    <row r="790" spans="1:15">
      <c r="A790" s="857" t="str">
        <f ca="1">'All Statement of strategy (D)'!$I1260&amp;'All Statement of strategy (D)'!$I1261&amp;'All Statement of strategy (D)'!$I1262&amp;'All Statement of strategy (D)'!$I1263</f>
        <v xml:space="preserve">    </v>
      </c>
      <c r="B790" s="857"/>
      <c r="C790" s="857"/>
      <c r="D790" s="857"/>
      <c r="E790" s="857"/>
      <c r="F790" s="857"/>
      <c r="G790" s="857"/>
      <c r="H790" s="857"/>
      <c r="I790" s="857"/>
      <c r="J790" s="857"/>
      <c r="K790" s="857"/>
      <c r="L790" s="857"/>
      <c r="N790" s="631" t="str">
        <f t="shared" ref="N790:N851" ca="1" si="13">IF(OR(A790&lt;&gt;"",B790&lt;&gt;"",C790&lt;&gt;"",D790&lt;&gt;"",E790&lt;&gt;"",F790&lt;&gt;"",G790&lt;&gt;"",H790&lt;&gt;"",I790&lt;&gt;"",J790&lt;&gt;"",K790&lt;&gt;"",L790&lt;&gt;"",M790&lt;&gt;"",O790&lt;&gt;""),"Refresh the statement","Scroll up and click refresh")</f>
        <v>Refresh the statement</v>
      </c>
      <c r="O790" s="86" t="str">
        <f ca="1">'All Statement of strategy (D)'!$I1260</f>
        <v xml:space="preserve"> </v>
      </c>
    </row>
    <row r="791" spans="1:15">
      <c r="A791" s="857"/>
      <c r="B791" s="857"/>
      <c r="C791" s="857"/>
      <c r="D791" s="857"/>
      <c r="E791" s="857"/>
      <c r="F791" s="857"/>
      <c r="G791" s="857"/>
      <c r="H791" s="857"/>
      <c r="I791" s="857"/>
      <c r="J791" s="857"/>
      <c r="K791" s="857"/>
      <c r="L791" s="857"/>
      <c r="N791" s="631" t="str">
        <f t="shared" ca="1" si="13"/>
        <v>Refresh the statement</v>
      </c>
      <c r="O791" s="86" t="str">
        <f ca="1">'All Statement of strategy (D)'!$I1261</f>
        <v xml:space="preserve"> </v>
      </c>
    </row>
    <row r="792" spans="1:15">
      <c r="A792" s="857"/>
      <c r="B792" s="857"/>
      <c r="C792" s="857"/>
      <c r="D792" s="857"/>
      <c r="E792" s="857"/>
      <c r="F792" s="857"/>
      <c r="G792" s="857"/>
      <c r="H792" s="857"/>
      <c r="I792" s="857"/>
      <c r="J792" s="857"/>
      <c r="K792" s="857"/>
      <c r="L792" s="857"/>
      <c r="N792" s="631" t="str">
        <f t="shared" ca="1" si="13"/>
        <v>Refresh the statement</v>
      </c>
      <c r="O792" s="86" t="str">
        <f ca="1">'All Statement of strategy (D)'!$I1262</f>
        <v xml:space="preserve"> </v>
      </c>
    </row>
    <row r="793" spans="1:15">
      <c r="A793" s="857"/>
      <c r="B793" s="857"/>
      <c r="C793" s="857"/>
      <c r="D793" s="857"/>
      <c r="E793" s="857"/>
      <c r="F793" s="857"/>
      <c r="G793" s="857"/>
      <c r="H793" s="857"/>
      <c r="I793" s="857"/>
      <c r="J793" s="857"/>
      <c r="K793" s="857"/>
      <c r="L793" s="857"/>
      <c r="N793" s="631" t="str">
        <f t="shared" ca="1" si="13"/>
        <v>Refresh the statement</v>
      </c>
      <c r="O793" s="86" t="str">
        <f ca="1">'All Statement of strategy (D)'!$I1263</f>
        <v xml:space="preserve"> </v>
      </c>
    </row>
    <row r="794" spans="1:15">
      <c r="A794" s="857" t="str">
        <f ca="1">'All Statement of strategy (D)'!$I1265&amp;'All Statement of strategy (D)'!$I1266&amp;'All Statement of strategy (D)'!$I1267&amp;'All Statement of strategy (D)'!$I1268</f>
        <v xml:space="preserve">    </v>
      </c>
      <c r="B794" s="857"/>
      <c r="C794" s="857"/>
      <c r="D794" s="857"/>
      <c r="E794" s="857"/>
      <c r="F794" s="857"/>
      <c r="G794" s="857"/>
      <c r="H794" s="857"/>
      <c r="I794" s="857"/>
      <c r="J794" s="857"/>
      <c r="K794" s="857"/>
      <c r="L794" s="857"/>
      <c r="N794" s="631" t="str">
        <f t="shared" ca="1" si="13"/>
        <v>Refresh the statement</v>
      </c>
      <c r="O794" s="86" t="str">
        <f ca="1">'All Statement of strategy (D)'!$I1265</f>
        <v xml:space="preserve"> </v>
      </c>
    </row>
    <row r="795" spans="1:15">
      <c r="A795" s="857"/>
      <c r="B795" s="857"/>
      <c r="C795" s="857"/>
      <c r="D795" s="857"/>
      <c r="E795" s="857"/>
      <c r="F795" s="857"/>
      <c r="G795" s="857"/>
      <c r="H795" s="857"/>
      <c r="I795" s="857"/>
      <c r="J795" s="857"/>
      <c r="K795" s="857"/>
      <c r="L795" s="857"/>
      <c r="N795" s="631" t="str">
        <f t="shared" ca="1" si="13"/>
        <v>Refresh the statement</v>
      </c>
      <c r="O795" s="86" t="str">
        <f ca="1">'All Statement of strategy (D)'!$I1266</f>
        <v xml:space="preserve"> </v>
      </c>
    </row>
    <row r="796" spans="1:15">
      <c r="A796" s="857"/>
      <c r="B796" s="857"/>
      <c r="C796" s="857"/>
      <c r="D796" s="857"/>
      <c r="E796" s="857"/>
      <c r="F796" s="857"/>
      <c r="G796" s="857"/>
      <c r="H796" s="857"/>
      <c r="I796" s="857"/>
      <c r="J796" s="857"/>
      <c r="K796" s="857"/>
      <c r="L796" s="857"/>
      <c r="N796" s="631" t="str">
        <f t="shared" ca="1" si="13"/>
        <v>Refresh the statement</v>
      </c>
      <c r="O796" s="86" t="str">
        <f ca="1">'All Statement of strategy (D)'!$I1267</f>
        <v xml:space="preserve"> </v>
      </c>
    </row>
    <row r="797" spans="1:15">
      <c r="A797" s="857"/>
      <c r="B797" s="857"/>
      <c r="C797" s="857"/>
      <c r="D797" s="857"/>
      <c r="E797" s="857"/>
      <c r="F797" s="857"/>
      <c r="G797" s="857"/>
      <c r="H797" s="857"/>
      <c r="I797" s="857"/>
      <c r="J797" s="857"/>
      <c r="K797" s="857"/>
      <c r="L797" s="857"/>
      <c r="N797" s="631" t="str">
        <f t="shared" ca="1" si="13"/>
        <v>Refresh the statement</v>
      </c>
      <c r="O797" s="86" t="str">
        <f ca="1">'All Statement of strategy (D)'!$I1268</f>
        <v xml:space="preserve"> </v>
      </c>
    </row>
    <row r="798" spans="1:15">
      <c r="N798" s="631" t="str">
        <f t="shared" ca="1" si="13"/>
        <v>Refresh the statement</v>
      </c>
      <c r="O798" s="86" t="str">
        <f ca="1">IF($A$769&lt;&gt;"","Blank row","")</f>
        <v>Blank row</v>
      </c>
    </row>
    <row r="799" spans="1:15" ht="18">
      <c r="A799" s="865" t="str">
        <f ca="1">'All Statement of strategy (D)'!$I1269</f>
        <v xml:space="preserve"> </v>
      </c>
      <c r="B799" s="865"/>
      <c r="C799" s="865"/>
      <c r="D799" s="865"/>
      <c r="E799" s="865"/>
      <c r="F799" s="865"/>
      <c r="G799" s="865"/>
      <c r="H799" s="865"/>
      <c r="I799" s="865"/>
      <c r="J799" s="865"/>
      <c r="K799" s="865"/>
      <c r="L799" s="865"/>
      <c r="N799" s="631" t="str">
        <f t="shared" ca="1" si="13"/>
        <v>Refresh the statement</v>
      </c>
    </row>
    <row r="800" spans="1:15" ht="18">
      <c r="A800" s="90"/>
      <c r="B800" s="90"/>
      <c r="C800" s="90"/>
      <c r="D800" s="90"/>
      <c r="E800" s="90"/>
      <c r="F800" s="90"/>
      <c r="G800" s="90"/>
      <c r="H800" s="90"/>
      <c r="I800" s="90"/>
      <c r="J800" s="90"/>
      <c r="K800" s="90"/>
      <c r="L800" s="90"/>
      <c r="N800" s="631" t="str">
        <f t="shared" ca="1" si="13"/>
        <v>Refresh the statement</v>
      </c>
      <c r="O800" s="86" t="str">
        <f ca="1">IF($A$799&lt;&gt;"","Blank row","")</f>
        <v>Blank row</v>
      </c>
    </row>
    <row r="801" spans="1:15">
      <c r="A801" s="861" t="str">
        <f ca="1">'All Statement of strategy (D)'!$I1270</f>
        <v xml:space="preserve"> </v>
      </c>
      <c r="B801" s="861"/>
      <c r="C801" s="861"/>
      <c r="D801" s="861"/>
      <c r="E801" s="861"/>
      <c r="F801" s="861"/>
      <c r="G801" s="861"/>
      <c r="H801" s="861"/>
      <c r="I801" s="861"/>
      <c r="J801" s="861"/>
      <c r="K801" s="861"/>
      <c r="L801" s="861"/>
      <c r="N801" s="631" t="str">
        <f t="shared" ca="1" si="13"/>
        <v>Refresh the statement</v>
      </c>
    </row>
    <row r="802" spans="1:15">
      <c r="A802" s="857" t="str">
        <f ca="1">'All Statement of strategy (D)'!$I1271</f>
        <v xml:space="preserve"> </v>
      </c>
      <c r="B802" s="857"/>
      <c r="C802" s="857"/>
      <c r="D802" s="857"/>
      <c r="E802" s="857"/>
      <c r="F802" s="857"/>
      <c r="G802" s="857"/>
      <c r="H802" s="857"/>
      <c r="I802" s="857"/>
      <c r="J802" s="857"/>
      <c r="K802" s="857"/>
      <c r="L802" s="857"/>
      <c r="N802" s="631" t="str">
        <f t="shared" ca="1" si="13"/>
        <v>Refresh the statement</v>
      </c>
      <c r="O802" s="86" t="str">
        <f ca="1">A802</f>
        <v xml:space="preserve"> </v>
      </c>
    </row>
    <row r="803" spans="1:15">
      <c r="A803" s="857" t="str">
        <f ca="1">'All Statement of strategy (D)'!$I1272&amp;'All Statement of strategy (D)'!$I1273&amp;'All Statement of strategy (D)'!$I1274&amp;'All Statement of strategy (D)'!$I1275</f>
        <v xml:space="preserve">    </v>
      </c>
      <c r="B803" s="857"/>
      <c r="C803" s="857"/>
      <c r="D803" s="857"/>
      <c r="E803" s="857"/>
      <c r="F803" s="857"/>
      <c r="G803" s="857"/>
      <c r="H803" s="857"/>
      <c r="I803" s="857"/>
      <c r="J803" s="857"/>
      <c r="K803" s="857"/>
      <c r="L803" s="857"/>
      <c r="M803" s="857"/>
      <c r="N803" s="631" t="str">
        <f t="shared" ca="1" si="13"/>
        <v>Refresh the statement</v>
      </c>
      <c r="O803" s="689" t="str">
        <f ca="1">'All Statement of strategy (D)'!$I1272</f>
        <v xml:space="preserve"> </v>
      </c>
    </row>
    <row r="804" spans="1:15">
      <c r="A804" s="857"/>
      <c r="B804" s="857"/>
      <c r="C804" s="857"/>
      <c r="D804" s="857"/>
      <c r="E804" s="857"/>
      <c r="F804" s="857"/>
      <c r="G804" s="857"/>
      <c r="H804" s="857"/>
      <c r="I804" s="857"/>
      <c r="J804" s="857"/>
      <c r="K804" s="857"/>
      <c r="L804" s="857"/>
      <c r="M804" s="857"/>
      <c r="N804" s="631" t="str">
        <f t="shared" ca="1" si="13"/>
        <v>Refresh the statement</v>
      </c>
      <c r="O804" s="689" t="str">
        <f ca="1">'All Statement of strategy (D)'!$I1273</f>
        <v xml:space="preserve"> </v>
      </c>
    </row>
    <row r="805" spans="1:15">
      <c r="A805" s="857"/>
      <c r="B805" s="857"/>
      <c r="C805" s="857"/>
      <c r="D805" s="857"/>
      <c r="E805" s="857"/>
      <c r="F805" s="857"/>
      <c r="G805" s="857"/>
      <c r="H805" s="857"/>
      <c r="I805" s="857"/>
      <c r="J805" s="857"/>
      <c r="K805" s="857"/>
      <c r="L805" s="857"/>
      <c r="M805" s="857"/>
      <c r="N805" s="631" t="str">
        <f t="shared" ca="1" si="13"/>
        <v>Refresh the statement</v>
      </c>
      <c r="O805" s="689" t="str">
        <f ca="1">'All Statement of strategy (D)'!$I1274</f>
        <v xml:space="preserve"> </v>
      </c>
    </row>
    <row r="806" spans="1:15">
      <c r="A806" s="857"/>
      <c r="B806" s="857"/>
      <c r="C806" s="857"/>
      <c r="D806" s="857"/>
      <c r="E806" s="857"/>
      <c r="F806" s="857"/>
      <c r="G806" s="857"/>
      <c r="H806" s="857"/>
      <c r="I806" s="857"/>
      <c r="J806" s="857"/>
      <c r="K806" s="857"/>
      <c r="L806" s="857"/>
      <c r="M806" s="857"/>
      <c r="N806" s="631" t="str">
        <f t="shared" ca="1" si="13"/>
        <v>Refresh the statement</v>
      </c>
      <c r="O806" s="689" t="str">
        <f ca="1">'All Statement of strategy (D)'!$I1275</f>
        <v xml:space="preserve"> </v>
      </c>
    </row>
    <row r="807" spans="1:15">
      <c r="A807" s="857" t="str">
        <f ca="1">'All Statement of strategy (D)'!$I1279&amp;'All Statement of strategy (D)'!$I1280&amp;'All Statement of strategy (D)'!$I1281&amp;'All Statement of strategy (D)'!$I1282</f>
        <v xml:space="preserve">    </v>
      </c>
      <c r="B807" s="857"/>
      <c r="C807" s="857"/>
      <c r="D807" s="857"/>
      <c r="E807" s="857"/>
      <c r="F807" s="857"/>
      <c r="G807" s="857"/>
      <c r="H807" s="857"/>
      <c r="I807" s="857"/>
      <c r="J807" s="857"/>
      <c r="K807" s="857"/>
      <c r="L807" s="857"/>
      <c r="N807" s="631" t="str">
        <f t="shared" ca="1" si="13"/>
        <v>Refresh the statement</v>
      </c>
      <c r="O807" s="86" t="str">
        <f ca="1">'All Statement of strategy (D)'!$I1279</f>
        <v xml:space="preserve"> </v>
      </c>
    </row>
    <row r="808" spans="1:15">
      <c r="A808" s="857"/>
      <c r="B808" s="857"/>
      <c r="C808" s="857"/>
      <c r="D808" s="857"/>
      <c r="E808" s="857"/>
      <c r="F808" s="857"/>
      <c r="G808" s="857"/>
      <c r="H808" s="857"/>
      <c r="I808" s="857"/>
      <c r="J808" s="857"/>
      <c r="K808" s="857"/>
      <c r="L808" s="857"/>
      <c r="N808" s="631" t="str">
        <f t="shared" ca="1" si="13"/>
        <v>Refresh the statement</v>
      </c>
      <c r="O808" s="86" t="str">
        <f ca="1">'All Statement of strategy (D)'!$I1280</f>
        <v xml:space="preserve"> </v>
      </c>
    </row>
    <row r="809" spans="1:15">
      <c r="A809" s="857"/>
      <c r="B809" s="857"/>
      <c r="C809" s="857"/>
      <c r="D809" s="857"/>
      <c r="E809" s="857"/>
      <c r="F809" s="857"/>
      <c r="G809" s="857"/>
      <c r="H809" s="857"/>
      <c r="I809" s="857"/>
      <c r="J809" s="857"/>
      <c r="K809" s="857"/>
      <c r="L809" s="857"/>
      <c r="N809" s="631" t="str">
        <f t="shared" ca="1" si="13"/>
        <v>Refresh the statement</v>
      </c>
      <c r="O809" s="86" t="str">
        <f ca="1">'All Statement of strategy (D)'!$I1281</f>
        <v xml:space="preserve"> </v>
      </c>
    </row>
    <row r="810" spans="1:15">
      <c r="A810" s="857"/>
      <c r="B810" s="857"/>
      <c r="C810" s="857"/>
      <c r="D810" s="857"/>
      <c r="E810" s="857"/>
      <c r="F810" s="857"/>
      <c r="G810" s="857"/>
      <c r="H810" s="857"/>
      <c r="I810" s="857"/>
      <c r="J810" s="857"/>
      <c r="K810" s="857"/>
      <c r="L810" s="857"/>
      <c r="N810" s="631" t="str">
        <f t="shared" ca="1" si="13"/>
        <v>Refresh the statement</v>
      </c>
      <c r="O810" s="86" t="str">
        <f ca="1">'All Statement of strategy (D)'!$I1282</f>
        <v xml:space="preserve"> </v>
      </c>
    </row>
    <row r="811" spans="1:15">
      <c r="A811" s="857" t="str">
        <f ca="1">_xlfn.TEXTJOIN("",TRUE,'All Statement of strategy (D)'!$I1283,'All Statement of strategy (D)'!$I1284)</f>
        <v xml:space="preserve">  </v>
      </c>
      <c r="B811" s="857"/>
      <c r="C811" s="857"/>
      <c r="D811" s="857"/>
      <c r="E811" s="857"/>
      <c r="F811" s="857"/>
      <c r="G811" s="857"/>
      <c r="H811" s="857"/>
      <c r="I811" s="857"/>
      <c r="J811" s="857"/>
      <c r="K811" s="857"/>
      <c r="L811" s="857"/>
      <c r="N811" s="631" t="str">
        <f t="shared" ca="1" si="13"/>
        <v>Refresh the statement</v>
      </c>
      <c r="O811" s="86" t="str">
        <f ca="1">A811</f>
        <v xml:space="preserve">  </v>
      </c>
    </row>
    <row r="812" spans="1:15">
      <c r="A812" s="857" t="str">
        <f ca="1">'All Statement of strategy (D)'!$I1285</f>
        <v xml:space="preserve"> </v>
      </c>
      <c r="B812" s="857"/>
      <c r="C812" s="857"/>
      <c r="D812" s="857"/>
      <c r="E812" s="857"/>
      <c r="F812" s="857"/>
      <c r="G812" s="857"/>
      <c r="H812" s="857"/>
      <c r="I812" s="857"/>
      <c r="J812" s="857"/>
      <c r="K812" s="857"/>
      <c r="L812" s="857"/>
      <c r="N812" s="631" t="str">
        <f t="shared" ca="1" si="13"/>
        <v>Refresh the statement</v>
      </c>
    </row>
    <row r="813" spans="1:15">
      <c r="A813" s="857" t="str">
        <f ca="1">'All Statement of strategy (D)'!$I1288&amp;'All Statement of strategy (D)'!$I1289&amp;'All Statement of strategy (D)'!$I1290&amp;'All Statement of strategy (D)'!$I1291</f>
        <v xml:space="preserve">    </v>
      </c>
      <c r="B813" s="857"/>
      <c r="C813" s="857"/>
      <c r="D813" s="857"/>
      <c r="E813" s="857"/>
      <c r="F813" s="857"/>
      <c r="G813" s="857"/>
      <c r="H813" s="857"/>
      <c r="I813" s="857"/>
      <c r="J813" s="857"/>
      <c r="K813" s="857"/>
      <c r="L813" s="857"/>
      <c r="N813" s="631" t="str">
        <f t="shared" ca="1" si="13"/>
        <v>Refresh the statement</v>
      </c>
      <c r="O813" s="86" t="str">
        <f ca="1">'All Statement of strategy (D)'!$I1288</f>
        <v xml:space="preserve"> </v>
      </c>
    </row>
    <row r="814" spans="1:15">
      <c r="A814" s="857"/>
      <c r="B814" s="857"/>
      <c r="C814" s="857"/>
      <c r="D814" s="857"/>
      <c r="E814" s="857"/>
      <c r="F814" s="857"/>
      <c r="G814" s="857"/>
      <c r="H814" s="857"/>
      <c r="I814" s="857"/>
      <c r="J814" s="857"/>
      <c r="K814" s="857"/>
      <c r="L814" s="857"/>
      <c r="N814" s="631" t="str">
        <f t="shared" ca="1" si="13"/>
        <v>Refresh the statement</v>
      </c>
      <c r="O814" s="86" t="str">
        <f ca="1">'All Statement of strategy (D)'!$I1289</f>
        <v xml:space="preserve"> </v>
      </c>
    </row>
    <row r="815" spans="1:15">
      <c r="A815" s="857"/>
      <c r="B815" s="857"/>
      <c r="C815" s="857"/>
      <c r="D815" s="857"/>
      <c r="E815" s="857"/>
      <c r="F815" s="857"/>
      <c r="G815" s="857"/>
      <c r="H815" s="857"/>
      <c r="I815" s="857"/>
      <c r="J815" s="857"/>
      <c r="K815" s="857"/>
      <c r="L815" s="857"/>
      <c r="N815" s="631" t="str">
        <f t="shared" ca="1" si="13"/>
        <v>Refresh the statement</v>
      </c>
      <c r="O815" s="86" t="str">
        <f ca="1">'All Statement of strategy (D)'!$I1290</f>
        <v xml:space="preserve"> </v>
      </c>
    </row>
    <row r="816" spans="1:15">
      <c r="A816" s="857"/>
      <c r="B816" s="857"/>
      <c r="C816" s="857"/>
      <c r="D816" s="857"/>
      <c r="E816" s="857"/>
      <c r="F816" s="857"/>
      <c r="G816" s="857"/>
      <c r="H816" s="857"/>
      <c r="I816" s="857"/>
      <c r="J816" s="857"/>
      <c r="K816" s="857"/>
      <c r="L816" s="857"/>
      <c r="N816" s="631" t="str">
        <f t="shared" ca="1" si="13"/>
        <v>Refresh the statement</v>
      </c>
      <c r="O816" s="86" t="str">
        <f ca="1">'All Statement of strategy (D)'!$I1291</f>
        <v xml:space="preserve"> </v>
      </c>
    </row>
    <row r="817" spans="1:15">
      <c r="A817" s="857" t="str">
        <f ca="1">'All Statement of strategy (D)'!$I1292</f>
        <v xml:space="preserve"> </v>
      </c>
      <c r="B817" s="857"/>
      <c r="C817" s="857"/>
      <c r="D817" s="857"/>
      <c r="E817" s="857"/>
      <c r="F817" s="857"/>
      <c r="G817" s="857"/>
      <c r="H817" s="857"/>
      <c r="I817" s="857"/>
      <c r="J817" s="857"/>
      <c r="K817" s="857"/>
      <c r="L817" s="857"/>
      <c r="N817" s="631" t="str">
        <f t="shared" ca="1" si="13"/>
        <v>Refresh the statement</v>
      </c>
    </row>
    <row r="818" spans="1:15">
      <c r="N818" s="631" t="str">
        <f t="shared" ca="1" si="13"/>
        <v>Refresh the statement</v>
      </c>
      <c r="O818" s="86" t="str">
        <f ca="1">IF($A$802&lt;&gt;"","Blank row","")</f>
        <v>Blank row</v>
      </c>
    </row>
    <row r="819" spans="1:15">
      <c r="A819" s="861" t="str">
        <f ca="1">'All Statement of strategy (D)'!$I1293</f>
        <v xml:space="preserve"> </v>
      </c>
      <c r="B819" s="861"/>
      <c r="C819" s="861"/>
      <c r="D819" s="861"/>
      <c r="E819" s="861"/>
      <c r="F819" s="861"/>
      <c r="G819" s="861"/>
      <c r="H819" s="861"/>
      <c r="I819" s="861"/>
      <c r="J819" s="861"/>
      <c r="K819" s="861"/>
      <c r="L819" s="861"/>
      <c r="N819" s="631" t="str">
        <f t="shared" ca="1" si="13"/>
        <v>Refresh the statement</v>
      </c>
    </row>
    <row r="820" spans="1:15" ht="46.5">
      <c r="A820" s="874" t="str">
        <f ca="1">_xlfn.TEXTJOIN("
",TRUE,'All Statement of strategy (D)'!$I1294,'All Statement of strategy (D)'!$I1295,'All Statement of strategy (D)'!$I1296,'All Statement of strategy (D)'!$I1297)</f>
        <v xml:space="preserve"> 
 </v>
      </c>
      <c r="B820" s="874"/>
      <c r="C820" s="874"/>
      <c r="D820" s="874"/>
      <c r="E820" s="874"/>
      <c r="F820" s="874"/>
      <c r="G820" s="874"/>
      <c r="H820" s="874"/>
      <c r="I820" s="874"/>
      <c r="J820" s="874"/>
      <c r="K820" s="874"/>
      <c r="L820" s="874"/>
      <c r="N820" s="631" t="str">
        <f t="shared" ca="1" si="13"/>
        <v>Refresh the statement</v>
      </c>
      <c r="O820" s="570" t="str">
        <f ca="1">A820</f>
        <v xml:space="preserve"> 
 </v>
      </c>
    </row>
    <row r="821" spans="1:15">
      <c r="A821" s="857" t="str">
        <f ca="1">'All Statement of strategy (D)'!$I1298&amp;'All Statement of strategy (D)'!$I1299&amp;'All Statement of strategy (D)'!$I1300&amp;'All Statement of strategy (D)'!$I1301</f>
        <v xml:space="preserve">    </v>
      </c>
      <c r="B821" s="857"/>
      <c r="C821" s="857"/>
      <c r="D821" s="857"/>
      <c r="E821" s="857"/>
      <c r="F821" s="857"/>
      <c r="G821" s="857"/>
      <c r="H821" s="857"/>
      <c r="I821" s="857"/>
      <c r="J821" s="857"/>
      <c r="K821" s="857"/>
      <c r="L821" s="857"/>
      <c r="N821" s="631" t="str">
        <f t="shared" ca="1" si="13"/>
        <v>Refresh the statement</v>
      </c>
      <c r="O821" s="86" t="str">
        <f ca="1">'All Statement of strategy (D)'!$I1298</f>
        <v xml:space="preserve"> </v>
      </c>
    </row>
    <row r="822" spans="1:15">
      <c r="A822" s="857"/>
      <c r="B822" s="857"/>
      <c r="C822" s="857"/>
      <c r="D822" s="857"/>
      <c r="E822" s="857"/>
      <c r="F822" s="857"/>
      <c r="G822" s="857"/>
      <c r="H822" s="857"/>
      <c r="I822" s="857"/>
      <c r="J822" s="857"/>
      <c r="K822" s="857"/>
      <c r="L822" s="857"/>
      <c r="N822" s="631" t="str">
        <f t="shared" ca="1" si="13"/>
        <v>Refresh the statement</v>
      </c>
      <c r="O822" s="86" t="str">
        <f ca="1">'All Statement of strategy (D)'!$I1299</f>
        <v xml:space="preserve"> </v>
      </c>
    </row>
    <row r="823" spans="1:15">
      <c r="A823" s="857"/>
      <c r="B823" s="857"/>
      <c r="C823" s="857"/>
      <c r="D823" s="857"/>
      <c r="E823" s="857"/>
      <c r="F823" s="857"/>
      <c r="G823" s="857"/>
      <c r="H823" s="857"/>
      <c r="I823" s="857"/>
      <c r="J823" s="857"/>
      <c r="K823" s="857"/>
      <c r="L823" s="857"/>
      <c r="N823" s="631" t="str">
        <f t="shared" ca="1" si="13"/>
        <v>Refresh the statement</v>
      </c>
      <c r="O823" s="86" t="str">
        <f ca="1">'All Statement of strategy (D)'!$I1300</f>
        <v xml:space="preserve"> </v>
      </c>
    </row>
    <row r="824" spans="1:15">
      <c r="A824" s="857"/>
      <c r="B824" s="857"/>
      <c r="C824" s="857"/>
      <c r="D824" s="857"/>
      <c r="E824" s="857"/>
      <c r="F824" s="857"/>
      <c r="G824" s="857"/>
      <c r="H824" s="857"/>
      <c r="I824" s="857"/>
      <c r="J824" s="857"/>
      <c r="K824" s="857"/>
      <c r="L824" s="857"/>
      <c r="N824" s="631" t="str">
        <f t="shared" ca="1" si="13"/>
        <v>Refresh the statement</v>
      </c>
      <c r="O824" s="86" t="str">
        <f ca="1">'All Statement of strategy (D)'!$I1301</f>
        <v xml:space="preserve"> </v>
      </c>
    </row>
    <row r="825" spans="1:15">
      <c r="A825" s="857" t="str">
        <f ca="1">'All Statement of strategy (D)'!$I1303&amp;'All Statement of strategy (D)'!$I1304&amp;'All Statement of strategy (D)'!$I1305&amp;'All Statement of strategy (D)'!$I1306</f>
        <v xml:space="preserve">    </v>
      </c>
      <c r="B825" s="857"/>
      <c r="C825" s="857"/>
      <c r="D825" s="857"/>
      <c r="E825" s="857"/>
      <c r="F825" s="857"/>
      <c r="G825" s="857"/>
      <c r="H825" s="857"/>
      <c r="I825" s="857"/>
      <c r="J825" s="857"/>
      <c r="K825" s="857"/>
      <c r="L825" s="857"/>
      <c r="N825" s="631" t="str">
        <f t="shared" ca="1" si="13"/>
        <v>Refresh the statement</v>
      </c>
      <c r="O825" s="86" t="str">
        <f ca="1">'All Statement of strategy (D)'!$I1303</f>
        <v xml:space="preserve"> </v>
      </c>
    </row>
    <row r="826" spans="1:15">
      <c r="A826" s="857"/>
      <c r="B826" s="857"/>
      <c r="C826" s="857"/>
      <c r="D826" s="857"/>
      <c r="E826" s="857"/>
      <c r="F826" s="857"/>
      <c r="G826" s="857"/>
      <c r="H826" s="857"/>
      <c r="I826" s="857"/>
      <c r="J826" s="857"/>
      <c r="K826" s="857"/>
      <c r="L826" s="857"/>
      <c r="N826" s="631" t="str">
        <f t="shared" ca="1" si="13"/>
        <v>Refresh the statement</v>
      </c>
      <c r="O826" s="86" t="str">
        <f ca="1">'All Statement of strategy (D)'!$I1304</f>
        <v xml:space="preserve"> </v>
      </c>
    </row>
    <row r="827" spans="1:15">
      <c r="A827" s="857"/>
      <c r="B827" s="857"/>
      <c r="C827" s="857"/>
      <c r="D827" s="857"/>
      <c r="E827" s="857"/>
      <c r="F827" s="857"/>
      <c r="G827" s="857"/>
      <c r="H827" s="857"/>
      <c r="I827" s="857"/>
      <c r="J827" s="857"/>
      <c r="K827" s="857"/>
      <c r="L827" s="857"/>
      <c r="N827" s="631" t="str">
        <f t="shared" ca="1" si="13"/>
        <v>Refresh the statement</v>
      </c>
      <c r="O827" s="86" t="str">
        <f ca="1">'All Statement of strategy (D)'!$I1305</f>
        <v xml:space="preserve"> </v>
      </c>
    </row>
    <row r="828" spans="1:15">
      <c r="A828" s="857"/>
      <c r="B828" s="857"/>
      <c r="C828" s="857"/>
      <c r="D828" s="857"/>
      <c r="E828" s="857"/>
      <c r="F828" s="857"/>
      <c r="G828" s="857"/>
      <c r="H828" s="857"/>
      <c r="I828" s="857"/>
      <c r="J828" s="857"/>
      <c r="K828" s="857"/>
      <c r="L828" s="857"/>
      <c r="N828" s="631" t="str">
        <f t="shared" ca="1" si="13"/>
        <v>Refresh the statement</v>
      </c>
      <c r="O828" s="86" t="str">
        <f ca="1">'All Statement of strategy (D)'!$I1306</f>
        <v xml:space="preserve"> </v>
      </c>
    </row>
    <row r="829" spans="1:15">
      <c r="N829" s="631" t="str">
        <f t="shared" ca="1" si="13"/>
        <v>Refresh the statement</v>
      </c>
      <c r="O829" s="86" t="str">
        <f ca="1">IF($A$802&lt;&gt;"","Blank row","")</f>
        <v>Blank row</v>
      </c>
    </row>
    <row r="830" spans="1:15">
      <c r="A830" s="861" t="str">
        <f ca="1">'All Statement of strategy (D)'!$I1307</f>
        <v xml:space="preserve"> </v>
      </c>
      <c r="B830" s="861"/>
      <c r="C830" s="861"/>
      <c r="D830" s="861"/>
      <c r="E830" s="861"/>
      <c r="F830" s="861"/>
      <c r="G830" s="861"/>
      <c r="H830" s="861"/>
      <c r="I830" s="861"/>
      <c r="J830" s="861"/>
      <c r="K830" s="861"/>
      <c r="L830" s="861"/>
      <c r="N830" s="631" t="str">
        <f t="shared" ca="1" si="13"/>
        <v>Refresh the statement</v>
      </c>
    </row>
    <row r="831" spans="1:15">
      <c r="A831" s="857" t="str">
        <f ca="1">'All Statement of strategy (D)'!$I1308</f>
        <v xml:space="preserve"> </v>
      </c>
      <c r="B831" s="857"/>
      <c r="C831" s="857"/>
      <c r="D831" s="857"/>
      <c r="E831" s="857"/>
      <c r="F831" s="857"/>
      <c r="G831" s="857"/>
      <c r="H831" s="857"/>
      <c r="I831" s="857"/>
      <c r="J831" s="857"/>
      <c r="K831" s="857"/>
      <c r="L831" s="857"/>
      <c r="N831" s="631" t="str">
        <f t="shared" ca="1" si="13"/>
        <v>Refresh the statement</v>
      </c>
    </row>
    <row r="832" spans="1:15">
      <c r="A832" s="857" t="str">
        <f ca="1">'All Statement of strategy (D)'!$I1310&amp;'All Statement of strategy (D)'!$I1311&amp;'All Statement of strategy (D)'!$I1312&amp;'All Statement of strategy (D)'!$I1313</f>
        <v xml:space="preserve">    </v>
      </c>
      <c r="B832" s="857"/>
      <c r="C832" s="857"/>
      <c r="D832" s="857"/>
      <c r="E832" s="857"/>
      <c r="F832" s="857"/>
      <c r="G832" s="857"/>
      <c r="H832" s="857"/>
      <c r="I832" s="857"/>
      <c r="J832" s="857"/>
      <c r="K832" s="857"/>
      <c r="L832" s="857"/>
      <c r="N832" s="631" t="str">
        <f t="shared" ca="1" si="13"/>
        <v>Refresh the statement</v>
      </c>
      <c r="O832" s="86" t="str">
        <f ca="1">'All Statement of strategy (D)'!$I1310</f>
        <v xml:space="preserve"> </v>
      </c>
    </row>
    <row r="833" spans="1:15">
      <c r="A833" s="857"/>
      <c r="B833" s="857"/>
      <c r="C833" s="857"/>
      <c r="D833" s="857"/>
      <c r="E833" s="857"/>
      <c r="F833" s="857"/>
      <c r="G833" s="857"/>
      <c r="H833" s="857"/>
      <c r="I833" s="857"/>
      <c r="J833" s="857"/>
      <c r="K833" s="857"/>
      <c r="L833" s="857"/>
      <c r="N833" s="631" t="str">
        <f t="shared" ca="1" si="13"/>
        <v>Refresh the statement</v>
      </c>
      <c r="O833" s="86" t="str">
        <f ca="1">'All Statement of strategy (D)'!$I1311</f>
        <v xml:space="preserve"> </v>
      </c>
    </row>
    <row r="834" spans="1:15">
      <c r="A834" s="857"/>
      <c r="B834" s="857"/>
      <c r="C834" s="857"/>
      <c r="D834" s="857"/>
      <c r="E834" s="857"/>
      <c r="F834" s="857"/>
      <c r="G834" s="857"/>
      <c r="H834" s="857"/>
      <c r="I834" s="857"/>
      <c r="J834" s="857"/>
      <c r="K834" s="857"/>
      <c r="L834" s="857"/>
      <c r="N834" s="631" t="str">
        <f t="shared" ca="1" si="13"/>
        <v>Refresh the statement</v>
      </c>
      <c r="O834" s="86" t="str">
        <f ca="1">'All Statement of strategy (D)'!$I1312</f>
        <v xml:space="preserve"> </v>
      </c>
    </row>
    <row r="835" spans="1:15">
      <c r="A835" s="857"/>
      <c r="B835" s="857"/>
      <c r="C835" s="857"/>
      <c r="D835" s="857"/>
      <c r="E835" s="857"/>
      <c r="F835" s="857"/>
      <c r="G835" s="857"/>
      <c r="H835" s="857"/>
      <c r="I835" s="857"/>
      <c r="J835" s="857"/>
      <c r="K835" s="857"/>
      <c r="L835" s="857"/>
      <c r="N835" s="631" t="str">
        <f t="shared" ca="1" si="13"/>
        <v>Refresh the statement</v>
      </c>
      <c r="O835" s="86" t="str">
        <f ca="1">'All Statement of strategy (D)'!$I1313</f>
        <v xml:space="preserve"> </v>
      </c>
    </row>
    <row r="836" spans="1:15">
      <c r="A836" s="857" t="str">
        <f ca="1">'All Statement of strategy (D)'!$I1317&amp;'All Statement of strategy (D)'!$I1318&amp;'All Statement of strategy (D)'!$I1319&amp;'All Statement of strategy (D)'!$I1320</f>
        <v xml:space="preserve">    </v>
      </c>
      <c r="B836" s="857"/>
      <c r="C836" s="857"/>
      <c r="D836" s="857"/>
      <c r="E836" s="857"/>
      <c r="F836" s="857"/>
      <c r="G836" s="857"/>
      <c r="H836" s="857"/>
      <c r="I836" s="857"/>
      <c r="J836" s="857"/>
      <c r="K836" s="857"/>
      <c r="L836" s="857"/>
      <c r="N836" s="631" t="str">
        <f t="shared" ca="1" si="13"/>
        <v>Refresh the statement</v>
      </c>
      <c r="O836" s="86" t="str">
        <f ca="1">'All Statement of strategy (D)'!$I1317</f>
        <v xml:space="preserve"> </v>
      </c>
    </row>
    <row r="837" spans="1:15">
      <c r="A837" s="857"/>
      <c r="B837" s="857"/>
      <c r="C837" s="857"/>
      <c r="D837" s="857"/>
      <c r="E837" s="857"/>
      <c r="F837" s="857"/>
      <c r="G837" s="857"/>
      <c r="H837" s="857"/>
      <c r="I837" s="857"/>
      <c r="J837" s="857"/>
      <c r="K837" s="857"/>
      <c r="L837" s="857"/>
      <c r="N837" s="631" t="str">
        <f t="shared" ca="1" si="13"/>
        <v>Refresh the statement</v>
      </c>
      <c r="O837" s="86" t="str">
        <f ca="1">'All Statement of strategy (D)'!$I1318</f>
        <v xml:space="preserve"> </v>
      </c>
    </row>
    <row r="838" spans="1:15">
      <c r="A838" s="857"/>
      <c r="B838" s="857"/>
      <c r="C838" s="857"/>
      <c r="D838" s="857"/>
      <c r="E838" s="857"/>
      <c r="F838" s="857"/>
      <c r="G838" s="857"/>
      <c r="H838" s="857"/>
      <c r="I838" s="857"/>
      <c r="J838" s="857"/>
      <c r="K838" s="857"/>
      <c r="L838" s="857"/>
      <c r="N838" s="631" t="str">
        <f t="shared" ca="1" si="13"/>
        <v>Refresh the statement</v>
      </c>
      <c r="O838" s="86" t="str">
        <f ca="1">'All Statement of strategy (D)'!$I1319</f>
        <v xml:space="preserve"> </v>
      </c>
    </row>
    <row r="839" spans="1:15">
      <c r="A839" s="857"/>
      <c r="B839" s="857"/>
      <c r="C839" s="857"/>
      <c r="D839" s="857"/>
      <c r="E839" s="857"/>
      <c r="F839" s="857"/>
      <c r="G839" s="857"/>
      <c r="H839" s="857"/>
      <c r="I839" s="857"/>
      <c r="J839" s="857"/>
      <c r="K839" s="857"/>
      <c r="L839" s="857"/>
      <c r="N839" s="631" t="str">
        <f t="shared" ca="1" si="13"/>
        <v>Refresh the statement</v>
      </c>
      <c r="O839" s="86" t="str">
        <f ca="1">'All Statement of strategy (D)'!$I1320</f>
        <v xml:space="preserve"> </v>
      </c>
    </row>
    <row r="840" spans="1:15">
      <c r="A840" s="857" t="str">
        <f ca="1">_xlfn.TEXTJOIN("",TRUE,'All Statement of strategy (D)'!$I1321,'All Statement of strategy (D)'!$I1322)</f>
        <v xml:space="preserve">  </v>
      </c>
      <c r="B840" s="857"/>
      <c r="C840" s="857"/>
      <c r="D840" s="857"/>
      <c r="E840" s="857"/>
      <c r="F840" s="857"/>
      <c r="G840" s="857"/>
      <c r="H840" s="857"/>
      <c r="I840" s="857"/>
      <c r="J840" s="857"/>
      <c r="K840" s="857"/>
      <c r="L840" s="857"/>
      <c r="N840" s="631" t="str">
        <f t="shared" ca="1" si="13"/>
        <v>Refresh the statement</v>
      </c>
      <c r="O840" s="86" t="str">
        <f ca="1">A840</f>
        <v xml:space="preserve">  </v>
      </c>
    </row>
    <row r="841" spans="1:15">
      <c r="A841" s="857" t="str">
        <f ca="1">'All Statement of strategy (D)'!$I1323</f>
        <v xml:space="preserve"> </v>
      </c>
      <c r="B841" s="857"/>
      <c r="C841" s="857"/>
      <c r="D841" s="857"/>
      <c r="E841" s="857"/>
      <c r="F841" s="857"/>
      <c r="G841" s="857"/>
      <c r="H841" s="857"/>
      <c r="I841" s="857"/>
      <c r="J841" s="857"/>
      <c r="K841" s="857"/>
      <c r="L841" s="857"/>
      <c r="N841" s="631" t="str">
        <f t="shared" ca="1" si="13"/>
        <v>Refresh the statement</v>
      </c>
    </row>
    <row r="842" spans="1:15">
      <c r="A842" s="857" t="str">
        <f ca="1">'All Statement of strategy (D)'!$I1326&amp;'All Statement of strategy (D)'!$I1327&amp;'All Statement of strategy (D)'!$I1328&amp;'All Statement of strategy (D)'!$I1329</f>
        <v xml:space="preserve">    </v>
      </c>
      <c r="B842" s="857"/>
      <c r="C842" s="857"/>
      <c r="D842" s="857"/>
      <c r="E842" s="857"/>
      <c r="F842" s="857"/>
      <c r="G842" s="857"/>
      <c r="H842" s="857"/>
      <c r="I842" s="857"/>
      <c r="J842" s="857"/>
      <c r="K842" s="857"/>
      <c r="L842" s="857"/>
      <c r="N842" s="631" t="str">
        <f t="shared" ca="1" si="13"/>
        <v>Refresh the statement</v>
      </c>
      <c r="O842" s="86" t="str">
        <f ca="1">'All Statement of strategy (D)'!$I1326</f>
        <v xml:space="preserve"> </v>
      </c>
    </row>
    <row r="843" spans="1:15">
      <c r="A843" s="857"/>
      <c r="B843" s="857"/>
      <c r="C843" s="857"/>
      <c r="D843" s="857"/>
      <c r="E843" s="857"/>
      <c r="F843" s="857"/>
      <c r="G843" s="857"/>
      <c r="H843" s="857"/>
      <c r="I843" s="857"/>
      <c r="J843" s="857"/>
      <c r="K843" s="857"/>
      <c r="L843" s="857"/>
      <c r="N843" s="631" t="str">
        <f t="shared" ca="1" si="13"/>
        <v>Refresh the statement</v>
      </c>
      <c r="O843" s="86" t="str">
        <f ca="1">'All Statement of strategy (D)'!$I1327</f>
        <v xml:space="preserve"> </v>
      </c>
    </row>
    <row r="844" spans="1:15">
      <c r="A844" s="857"/>
      <c r="B844" s="857"/>
      <c r="C844" s="857"/>
      <c r="D844" s="857"/>
      <c r="E844" s="857"/>
      <c r="F844" s="857"/>
      <c r="G844" s="857"/>
      <c r="H844" s="857"/>
      <c r="I844" s="857"/>
      <c r="J844" s="857"/>
      <c r="K844" s="857"/>
      <c r="L844" s="857"/>
      <c r="N844" s="631" t="str">
        <f t="shared" ca="1" si="13"/>
        <v>Refresh the statement</v>
      </c>
      <c r="O844" s="86" t="str">
        <f ca="1">'All Statement of strategy (D)'!$I1328</f>
        <v xml:space="preserve"> </v>
      </c>
    </row>
    <row r="845" spans="1:15">
      <c r="A845" s="857"/>
      <c r="B845" s="857"/>
      <c r="C845" s="857"/>
      <c r="D845" s="857"/>
      <c r="E845" s="857"/>
      <c r="F845" s="857"/>
      <c r="G845" s="857"/>
      <c r="H845" s="857"/>
      <c r="I845" s="857"/>
      <c r="J845" s="857"/>
      <c r="K845" s="857"/>
      <c r="L845" s="857"/>
      <c r="N845" s="631" t="str">
        <f t="shared" ca="1" si="13"/>
        <v>Refresh the statement</v>
      </c>
      <c r="O845" s="86" t="str">
        <f ca="1">'All Statement of strategy (D)'!$I1329</f>
        <v xml:space="preserve"> </v>
      </c>
    </row>
    <row r="846" spans="1:15">
      <c r="A846" s="857" t="str">
        <f ca="1">'All Statement of strategy (D)'!$I1330</f>
        <v xml:space="preserve"> </v>
      </c>
      <c r="B846" s="857"/>
      <c r="C846" s="857"/>
      <c r="D846" s="857"/>
      <c r="E846" s="857"/>
      <c r="F846" s="857"/>
      <c r="G846" s="857"/>
      <c r="H846" s="857"/>
      <c r="I846" s="857"/>
      <c r="J846" s="857"/>
      <c r="K846" s="857"/>
      <c r="L846" s="857"/>
      <c r="N846" s="631" t="str">
        <f t="shared" ca="1" si="13"/>
        <v>Refresh the statement</v>
      </c>
    </row>
    <row r="847" spans="1:15">
      <c r="N847" s="631" t="str">
        <f t="shared" ca="1" si="13"/>
        <v>Refresh the statement</v>
      </c>
      <c r="O847" s="86" t="str">
        <f ca="1">IF($A$831&lt;&gt;"","Blank row","")</f>
        <v>Blank row</v>
      </c>
    </row>
    <row r="848" spans="1:15">
      <c r="A848" s="861" t="str">
        <f ca="1">'All Statement of strategy (D)'!$I1331</f>
        <v xml:space="preserve"> </v>
      </c>
      <c r="B848" s="861"/>
      <c r="C848" s="861"/>
      <c r="D848" s="861"/>
      <c r="E848" s="861"/>
      <c r="F848" s="861"/>
      <c r="G848" s="861"/>
      <c r="H848" s="861"/>
      <c r="I848" s="861"/>
      <c r="J848" s="861"/>
      <c r="K848" s="861"/>
      <c r="L848" s="861"/>
      <c r="N848" s="631" t="str">
        <f t="shared" ca="1" si="13"/>
        <v>Refresh the statement</v>
      </c>
    </row>
    <row r="849" spans="1:15" ht="46.5">
      <c r="A849" s="874" t="str">
        <f ca="1">_xlfn.TEXTJOIN("
",TRUE,'All Statement of strategy (D)'!$I1332,'All Statement of strategy (D)'!$I1333,'All Statement of strategy (D)'!$I1334,'All Statement of strategy (D)'!$I1335)</f>
        <v xml:space="preserve"> 
 </v>
      </c>
      <c r="B849" s="874"/>
      <c r="C849" s="874"/>
      <c r="D849" s="874"/>
      <c r="E849" s="874"/>
      <c r="F849" s="874"/>
      <c r="G849" s="874"/>
      <c r="H849" s="874"/>
      <c r="I849" s="874"/>
      <c r="J849" s="874"/>
      <c r="K849" s="874"/>
      <c r="L849" s="874"/>
      <c r="N849" s="631" t="str">
        <f t="shared" ca="1" si="13"/>
        <v>Refresh the statement</v>
      </c>
      <c r="O849" s="570" t="str">
        <f ca="1">A849</f>
        <v xml:space="preserve"> 
 </v>
      </c>
    </row>
    <row r="850" spans="1:15">
      <c r="A850" s="857" t="str">
        <f ca="1">'All Statement of strategy (D)'!$I1336&amp;'All Statement of strategy (D)'!$I1337&amp;'All Statement of strategy (D)'!$I1338&amp;'All Statement of strategy (D)'!$I1339</f>
        <v xml:space="preserve">    </v>
      </c>
      <c r="B850" s="857"/>
      <c r="C850" s="857"/>
      <c r="D850" s="857"/>
      <c r="E850" s="857"/>
      <c r="F850" s="857"/>
      <c r="G850" s="857"/>
      <c r="H850" s="857"/>
      <c r="I850" s="857"/>
      <c r="J850" s="857"/>
      <c r="K850" s="857"/>
      <c r="L850" s="857"/>
      <c r="N850" s="631" t="str">
        <f t="shared" ca="1" si="13"/>
        <v>Refresh the statement</v>
      </c>
      <c r="O850" s="86" t="str">
        <f ca="1">'All Statement of strategy (D)'!$I1336</f>
        <v xml:space="preserve"> </v>
      </c>
    </row>
    <row r="851" spans="1:15">
      <c r="A851" s="857"/>
      <c r="B851" s="857"/>
      <c r="C851" s="857"/>
      <c r="D851" s="857"/>
      <c r="E851" s="857"/>
      <c r="F851" s="857"/>
      <c r="G851" s="857"/>
      <c r="H851" s="857"/>
      <c r="I851" s="857"/>
      <c r="J851" s="857"/>
      <c r="K851" s="857"/>
      <c r="L851" s="857"/>
      <c r="N851" s="631" t="str">
        <f t="shared" ca="1" si="13"/>
        <v>Refresh the statement</v>
      </c>
      <c r="O851" s="86" t="str">
        <f ca="1">'All Statement of strategy (D)'!$I1337</f>
        <v xml:space="preserve"> </v>
      </c>
    </row>
    <row r="852" spans="1:15">
      <c r="A852" s="857"/>
      <c r="B852" s="857"/>
      <c r="C852" s="857"/>
      <c r="D852" s="857"/>
      <c r="E852" s="857"/>
      <c r="F852" s="857"/>
      <c r="G852" s="857"/>
      <c r="H852" s="857"/>
      <c r="I852" s="857"/>
      <c r="J852" s="857"/>
      <c r="K852" s="857"/>
      <c r="L852" s="857"/>
      <c r="N852" s="631" t="str">
        <f t="shared" ref="N852:N913" ca="1" si="14">IF(OR(A852&lt;&gt;"",B852&lt;&gt;"",C852&lt;&gt;"",D852&lt;&gt;"",E852&lt;&gt;"",F852&lt;&gt;"",G852&lt;&gt;"",H852&lt;&gt;"",I852&lt;&gt;"",J852&lt;&gt;"",K852&lt;&gt;"",L852&lt;&gt;"",M852&lt;&gt;"",O852&lt;&gt;""),"Refresh the statement","Scroll up and click refresh")</f>
        <v>Refresh the statement</v>
      </c>
      <c r="O852" s="86" t="str">
        <f ca="1">'All Statement of strategy (D)'!$I1338</f>
        <v xml:space="preserve"> </v>
      </c>
    </row>
    <row r="853" spans="1:15">
      <c r="A853" s="857"/>
      <c r="B853" s="857"/>
      <c r="C853" s="857"/>
      <c r="D853" s="857"/>
      <c r="E853" s="857"/>
      <c r="F853" s="857"/>
      <c r="G853" s="857"/>
      <c r="H853" s="857"/>
      <c r="I853" s="857"/>
      <c r="J853" s="857"/>
      <c r="K853" s="857"/>
      <c r="L853" s="857"/>
      <c r="N853" s="631" t="str">
        <f t="shared" ca="1" si="14"/>
        <v>Refresh the statement</v>
      </c>
      <c r="O853" s="86" t="str">
        <f ca="1">'All Statement of strategy (D)'!$I1339</f>
        <v xml:space="preserve"> </v>
      </c>
    </row>
    <row r="854" spans="1:15">
      <c r="A854" s="857" t="str">
        <f ca="1">'All Statement of strategy (D)'!$I1341&amp;'All Statement of strategy (D)'!$I1342&amp;'All Statement of strategy (D)'!$I1343&amp;'All Statement of strategy (D)'!$I1344</f>
        <v xml:space="preserve">    </v>
      </c>
      <c r="B854" s="857"/>
      <c r="C854" s="857"/>
      <c r="D854" s="857"/>
      <c r="E854" s="857"/>
      <c r="F854" s="857"/>
      <c r="G854" s="857"/>
      <c r="H854" s="857"/>
      <c r="I854" s="857"/>
      <c r="J854" s="857"/>
      <c r="K854" s="857"/>
      <c r="L854" s="857"/>
      <c r="N854" s="631" t="str">
        <f t="shared" ca="1" si="14"/>
        <v>Refresh the statement</v>
      </c>
      <c r="O854" s="86" t="str">
        <f ca="1">'All Statement of strategy (D)'!$I1341</f>
        <v xml:space="preserve"> </v>
      </c>
    </row>
    <row r="855" spans="1:15">
      <c r="A855" s="857"/>
      <c r="B855" s="857"/>
      <c r="C855" s="857"/>
      <c r="D855" s="857"/>
      <c r="E855" s="857"/>
      <c r="F855" s="857"/>
      <c r="G855" s="857"/>
      <c r="H855" s="857"/>
      <c r="I855" s="857"/>
      <c r="J855" s="857"/>
      <c r="K855" s="857"/>
      <c r="L855" s="857"/>
      <c r="N855" s="631" t="str">
        <f t="shared" ca="1" si="14"/>
        <v>Refresh the statement</v>
      </c>
      <c r="O855" s="86" t="str">
        <f ca="1">'All Statement of strategy (D)'!$I1342</f>
        <v xml:space="preserve"> </v>
      </c>
    </row>
    <row r="856" spans="1:15">
      <c r="A856" s="857"/>
      <c r="B856" s="857"/>
      <c r="C856" s="857"/>
      <c r="D856" s="857"/>
      <c r="E856" s="857"/>
      <c r="F856" s="857"/>
      <c r="G856" s="857"/>
      <c r="H856" s="857"/>
      <c r="I856" s="857"/>
      <c r="J856" s="857"/>
      <c r="K856" s="857"/>
      <c r="L856" s="857"/>
      <c r="N856" s="631" t="str">
        <f t="shared" ca="1" si="14"/>
        <v>Refresh the statement</v>
      </c>
      <c r="O856" s="86" t="str">
        <f ca="1">'All Statement of strategy (D)'!$I1343</f>
        <v xml:space="preserve"> </v>
      </c>
    </row>
    <row r="857" spans="1:15">
      <c r="A857" s="857"/>
      <c r="B857" s="857"/>
      <c r="C857" s="857"/>
      <c r="D857" s="857"/>
      <c r="E857" s="857"/>
      <c r="F857" s="857"/>
      <c r="G857" s="857"/>
      <c r="H857" s="857"/>
      <c r="I857" s="857"/>
      <c r="J857" s="857"/>
      <c r="K857" s="857"/>
      <c r="L857" s="857"/>
      <c r="N857" s="631" t="str">
        <f t="shared" ca="1" si="14"/>
        <v>Refresh the statement</v>
      </c>
      <c r="O857" s="86" t="str">
        <f ca="1">'All Statement of strategy (D)'!$I1344</f>
        <v xml:space="preserve"> </v>
      </c>
    </row>
    <row r="858" spans="1:15">
      <c r="N858" s="631" t="str">
        <f t="shared" ca="1" si="14"/>
        <v>Refresh the statement</v>
      </c>
      <c r="O858" s="86" t="str">
        <f ca="1">IF($A$831&lt;&gt;"","Blank row","")</f>
        <v>Blank row</v>
      </c>
    </row>
    <row r="859" spans="1:15">
      <c r="A859" s="861" t="str">
        <f ca="1">'All Statement of strategy (D)'!$I1345</f>
        <v xml:space="preserve"> </v>
      </c>
      <c r="B859" s="861"/>
      <c r="C859" s="861"/>
      <c r="D859" s="861"/>
      <c r="E859" s="861"/>
      <c r="F859" s="861"/>
      <c r="G859" s="861"/>
      <c r="H859" s="861"/>
      <c r="I859" s="861"/>
      <c r="J859" s="861"/>
      <c r="K859" s="861"/>
      <c r="L859" s="861"/>
      <c r="N859" s="631" t="str">
        <f t="shared" ca="1" si="14"/>
        <v>Refresh the statement</v>
      </c>
    </row>
    <row r="860" spans="1:15">
      <c r="A860" s="857" t="str">
        <f ca="1">'All Statement of strategy (D)'!$I1347</f>
        <v xml:space="preserve"> </v>
      </c>
      <c r="B860" s="857"/>
      <c r="C860" s="857"/>
      <c r="D860" s="857"/>
      <c r="E860" s="857"/>
      <c r="F860" s="857"/>
      <c r="G860" s="857"/>
      <c r="H860" s="857"/>
      <c r="I860" s="857"/>
      <c r="J860" s="857"/>
      <c r="K860" s="857"/>
      <c r="L860" s="857"/>
      <c r="N860" s="631" t="str">
        <f t="shared" ca="1" si="14"/>
        <v>Refresh the statement</v>
      </c>
    </row>
    <row r="861" spans="1:15">
      <c r="A861" s="857" t="str">
        <f ca="1">'All Statement of strategy (D)'!$I1348</f>
        <v xml:space="preserve"> </v>
      </c>
      <c r="B861" s="857"/>
      <c r="C861" s="857"/>
      <c r="D861" s="857"/>
      <c r="E861" s="857"/>
      <c r="F861" s="857"/>
      <c r="G861" s="857"/>
      <c r="H861" s="857"/>
      <c r="I861" s="857"/>
      <c r="J861" s="857"/>
      <c r="K861" s="857"/>
      <c r="L861" s="857"/>
      <c r="N861" s="631" t="str">
        <f t="shared" ca="1" si="14"/>
        <v>Refresh the statement</v>
      </c>
    </row>
    <row r="862" spans="1:15">
      <c r="A862" s="857" t="str">
        <f ca="1">'All Statement of strategy (D)'!$I1349&amp;'All Statement of strategy (D)'!$I1350&amp;'All Statement of strategy (D)'!$I1351&amp;'All Statement of strategy (D)'!$I1352</f>
        <v xml:space="preserve">    </v>
      </c>
      <c r="B862" s="857"/>
      <c r="C862" s="857"/>
      <c r="D862" s="857"/>
      <c r="E862" s="857"/>
      <c r="F862" s="857"/>
      <c r="G862" s="857"/>
      <c r="H862" s="857"/>
      <c r="I862" s="857"/>
      <c r="J862" s="857"/>
      <c r="K862" s="857"/>
      <c r="L862" s="857"/>
      <c r="N862" s="631" t="str">
        <f t="shared" ca="1" si="14"/>
        <v>Refresh the statement</v>
      </c>
      <c r="O862" s="86" t="str">
        <f ca="1">'All Statement of strategy (D)'!$I1349</f>
        <v xml:space="preserve"> </v>
      </c>
    </row>
    <row r="863" spans="1:15">
      <c r="A863" s="857"/>
      <c r="B863" s="857"/>
      <c r="C863" s="857"/>
      <c r="D863" s="857"/>
      <c r="E863" s="857"/>
      <c r="F863" s="857"/>
      <c r="G863" s="857"/>
      <c r="H863" s="857"/>
      <c r="I863" s="857"/>
      <c r="J863" s="857"/>
      <c r="K863" s="857"/>
      <c r="L863" s="857"/>
      <c r="N863" s="631" t="str">
        <f t="shared" ca="1" si="14"/>
        <v>Refresh the statement</v>
      </c>
      <c r="O863" s="86" t="str">
        <f ca="1">'All Statement of strategy (D)'!$I1350</f>
        <v xml:space="preserve"> </v>
      </c>
    </row>
    <row r="864" spans="1:15">
      <c r="A864" s="857"/>
      <c r="B864" s="857"/>
      <c r="C864" s="857"/>
      <c r="D864" s="857"/>
      <c r="E864" s="857"/>
      <c r="F864" s="857"/>
      <c r="G864" s="857"/>
      <c r="H864" s="857"/>
      <c r="I864" s="857"/>
      <c r="J864" s="857"/>
      <c r="K864" s="857"/>
      <c r="L864" s="857"/>
      <c r="N864" s="631" t="str">
        <f t="shared" ca="1" si="14"/>
        <v>Refresh the statement</v>
      </c>
      <c r="O864" s="86" t="str">
        <f ca="1">'All Statement of strategy (D)'!$I1351</f>
        <v xml:space="preserve"> </v>
      </c>
    </row>
    <row r="865" spans="1:15">
      <c r="A865" s="857"/>
      <c r="B865" s="857"/>
      <c r="C865" s="857"/>
      <c r="D865" s="857"/>
      <c r="E865" s="857"/>
      <c r="F865" s="857"/>
      <c r="G865" s="857"/>
      <c r="H865" s="857"/>
      <c r="I865" s="857"/>
      <c r="J865" s="857"/>
      <c r="K865" s="857"/>
      <c r="L865" s="857"/>
      <c r="N865" s="631" t="str">
        <f t="shared" ca="1" si="14"/>
        <v>Refresh the statement</v>
      </c>
      <c r="O865" s="86" t="str">
        <f ca="1">'All Statement of strategy (D)'!$I1352</f>
        <v xml:space="preserve"> </v>
      </c>
    </row>
    <row r="866" spans="1:15">
      <c r="A866" s="857" t="str">
        <f ca="1">'All Statement of strategy (D)'!$I1356&amp;'All Statement of strategy (D)'!$I1357&amp;'All Statement of strategy (D)'!$I1358&amp;'All Statement of strategy (D)'!$I1359</f>
        <v xml:space="preserve">    </v>
      </c>
      <c r="B866" s="857"/>
      <c r="C866" s="857"/>
      <c r="D866" s="857"/>
      <c r="E866" s="857"/>
      <c r="F866" s="857"/>
      <c r="G866" s="857"/>
      <c r="H866" s="857"/>
      <c r="I866" s="857"/>
      <c r="J866" s="857"/>
      <c r="K866" s="857"/>
      <c r="L866" s="857"/>
      <c r="N866" s="631" t="str">
        <f t="shared" ca="1" si="14"/>
        <v>Refresh the statement</v>
      </c>
      <c r="O866" s="86" t="str">
        <f ca="1">'All Statement of strategy (D)'!$I1356</f>
        <v xml:space="preserve"> </v>
      </c>
    </row>
    <row r="867" spans="1:15">
      <c r="A867" s="857"/>
      <c r="B867" s="857"/>
      <c r="C867" s="857"/>
      <c r="D867" s="857"/>
      <c r="E867" s="857"/>
      <c r="F867" s="857"/>
      <c r="G867" s="857"/>
      <c r="H867" s="857"/>
      <c r="I867" s="857"/>
      <c r="J867" s="857"/>
      <c r="K867" s="857"/>
      <c r="L867" s="857"/>
      <c r="N867" s="631" t="str">
        <f t="shared" ca="1" si="14"/>
        <v>Refresh the statement</v>
      </c>
      <c r="O867" s="86" t="str">
        <f ca="1">'All Statement of strategy (D)'!$I1357</f>
        <v xml:space="preserve"> </v>
      </c>
    </row>
    <row r="868" spans="1:15">
      <c r="A868" s="857"/>
      <c r="B868" s="857"/>
      <c r="C868" s="857"/>
      <c r="D868" s="857"/>
      <c r="E868" s="857"/>
      <c r="F868" s="857"/>
      <c r="G868" s="857"/>
      <c r="H868" s="857"/>
      <c r="I868" s="857"/>
      <c r="J868" s="857"/>
      <c r="K868" s="857"/>
      <c r="L868" s="857"/>
      <c r="N868" s="631" t="str">
        <f t="shared" ca="1" si="14"/>
        <v>Refresh the statement</v>
      </c>
      <c r="O868" s="86" t="str">
        <f ca="1">'All Statement of strategy (D)'!$I1358</f>
        <v xml:space="preserve"> </v>
      </c>
    </row>
    <row r="869" spans="1:15">
      <c r="A869" s="857"/>
      <c r="B869" s="857"/>
      <c r="C869" s="857"/>
      <c r="D869" s="857"/>
      <c r="E869" s="857"/>
      <c r="F869" s="857"/>
      <c r="G869" s="857"/>
      <c r="H869" s="857"/>
      <c r="I869" s="857"/>
      <c r="J869" s="857"/>
      <c r="K869" s="857"/>
      <c r="L869" s="857"/>
      <c r="N869" s="631" t="str">
        <f t="shared" ca="1" si="14"/>
        <v>Refresh the statement</v>
      </c>
      <c r="O869" s="86" t="str">
        <f ca="1">'All Statement of strategy (D)'!$I1359</f>
        <v xml:space="preserve"> </v>
      </c>
    </row>
    <row r="870" spans="1:15">
      <c r="A870" s="857" t="str">
        <f ca="1">_xlfn.TEXTJOIN("",TRUE,'All Statement of strategy (D)'!$I1360,'All Statement of strategy (D)'!$I1361)</f>
        <v xml:space="preserve">  </v>
      </c>
      <c r="B870" s="857"/>
      <c r="C870" s="857"/>
      <c r="D870" s="857"/>
      <c r="E870" s="857"/>
      <c r="F870" s="857"/>
      <c r="G870" s="857"/>
      <c r="H870" s="857"/>
      <c r="I870" s="857"/>
      <c r="J870" s="857"/>
      <c r="K870" s="857"/>
      <c r="L870" s="857"/>
      <c r="N870" s="631" t="str">
        <f t="shared" ca="1" si="14"/>
        <v>Refresh the statement</v>
      </c>
      <c r="O870" s="86" t="str">
        <f ca="1">A870</f>
        <v xml:space="preserve">  </v>
      </c>
    </row>
    <row r="871" spans="1:15">
      <c r="A871" s="857" t="str">
        <f ca="1">'All Statement of strategy (D)'!$I1362</f>
        <v xml:space="preserve"> </v>
      </c>
      <c r="B871" s="857"/>
      <c r="C871" s="857"/>
      <c r="D871" s="857"/>
      <c r="E871" s="857"/>
      <c r="F871" s="857"/>
      <c r="G871" s="857"/>
      <c r="H871" s="857"/>
      <c r="I871" s="857"/>
      <c r="J871" s="857"/>
      <c r="K871" s="857"/>
      <c r="L871" s="857"/>
      <c r="N871" s="631" t="str">
        <f t="shared" ca="1" si="14"/>
        <v>Refresh the statement</v>
      </c>
    </row>
    <row r="872" spans="1:15">
      <c r="A872" s="857" t="str">
        <f ca="1">'All Statement of strategy (D)'!$I1365&amp;'All Statement of strategy (D)'!$I1366&amp;'All Statement of strategy (D)'!$I1367&amp;'All Statement of strategy (D)'!$I1368</f>
        <v xml:space="preserve">    </v>
      </c>
      <c r="B872" s="857"/>
      <c r="C872" s="857"/>
      <c r="D872" s="857"/>
      <c r="E872" s="857"/>
      <c r="F872" s="857"/>
      <c r="G872" s="857"/>
      <c r="H872" s="857"/>
      <c r="I872" s="857"/>
      <c r="J872" s="857"/>
      <c r="K872" s="857"/>
      <c r="L872" s="857"/>
      <c r="N872" s="631" t="str">
        <f t="shared" ca="1" si="14"/>
        <v>Refresh the statement</v>
      </c>
      <c r="O872" s="86" t="str">
        <f ca="1">'All Statement of strategy (D)'!$I1365</f>
        <v xml:space="preserve"> </v>
      </c>
    </row>
    <row r="873" spans="1:15">
      <c r="A873" s="857"/>
      <c r="B873" s="857"/>
      <c r="C873" s="857"/>
      <c r="D873" s="857"/>
      <c r="E873" s="857"/>
      <c r="F873" s="857"/>
      <c r="G873" s="857"/>
      <c r="H873" s="857"/>
      <c r="I873" s="857"/>
      <c r="J873" s="857"/>
      <c r="K873" s="857"/>
      <c r="L873" s="857"/>
      <c r="N873" s="631" t="str">
        <f t="shared" ca="1" si="14"/>
        <v>Refresh the statement</v>
      </c>
      <c r="O873" s="86" t="str">
        <f ca="1">'All Statement of strategy (D)'!$I1366</f>
        <v xml:space="preserve"> </v>
      </c>
    </row>
    <row r="874" spans="1:15">
      <c r="A874" s="857"/>
      <c r="B874" s="857"/>
      <c r="C874" s="857"/>
      <c r="D874" s="857"/>
      <c r="E874" s="857"/>
      <c r="F874" s="857"/>
      <c r="G874" s="857"/>
      <c r="H874" s="857"/>
      <c r="I874" s="857"/>
      <c r="J874" s="857"/>
      <c r="K874" s="857"/>
      <c r="L874" s="857"/>
      <c r="N874" s="631" t="str">
        <f t="shared" ca="1" si="14"/>
        <v>Refresh the statement</v>
      </c>
      <c r="O874" s="86" t="str">
        <f ca="1">'All Statement of strategy (D)'!$I1367</f>
        <v xml:space="preserve"> </v>
      </c>
    </row>
    <row r="875" spans="1:15">
      <c r="A875" s="857"/>
      <c r="B875" s="857"/>
      <c r="C875" s="857"/>
      <c r="D875" s="857"/>
      <c r="E875" s="857"/>
      <c r="F875" s="857"/>
      <c r="G875" s="857"/>
      <c r="H875" s="857"/>
      <c r="I875" s="857"/>
      <c r="J875" s="857"/>
      <c r="K875" s="857"/>
      <c r="L875" s="857"/>
      <c r="N875" s="631" t="str">
        <f t="shared" ca="1" si="14"/>
        <v>Refresh the statement</v>
      </c>
      <c r="O875" s="86" t="str">
        <f ca="1">'All Statement of strategy (D)'!$I1368</f>
        <v xml:space="preserve"> </v>
      </c>
    </row>
    <row r="876" spans="1:15">
      <c r="A876" s="857" t="str">
        <f ca="1">'All Statement of strategy (D)'!$I1369</f>
        <v xml:space="preserve"> </v>
      </c>
      <c r="B876" s="857"/>
      <c r="C876" s="857"/>
      <c r="D876" s="857"/>
      <c r="E876" s="857"/>
      <c r="F876" s="857"/>
      <c r="G876" s="857"/>
      <c r="H876" s="857"/>
      <c r="I876" s="857"/>
      <c r="J876" s="857"/>
      <c r="K876" s="857"/>
      <c r="L876" s="857"/>
      <c r="N876" s="631" t="str">
        <f t="shared" ca="1" si="14"/>
        <v>Refresh the statement</v>
      </c>
    </row>
    <row r="877" spans="1:15">
      <c r="N877" s="631" t="str">
        <f t="shared" ca="1" si="14"/>
        <v>Refresh the statement</v>
      </c>
      <c r="O877" s="86" t="str">
        <f ca="1">IF($A$831&lt;&gt;"","Blank row","")</f>
        <v>Blank row</v>
      </c>
    </row>
    <row r="878" spans="1:15">
      <c r="A878" s="861" t="str">
        <f ca="1">'All Statement of strategy (D)'!$I1370</f>
        <v xml:space="preserve"> </v>
      </c>
      <c r="B878" s="861"/>
      <c r="C878" s="861"/>
      <c r="D878" s="861"/>
      <c r="E878" s="861"/>
      <c r="F878" s="861"/>
      <c r="G878" s="861"/>
      <c r="H878" s="861"/>
      <c r="I878" s="861"/>
      <c r="J878" s="861"/>
      <c r="K878" s="861"/>
      <c r="L878" s="861"/>
      <c r="N878" s="631" t="str">
        <f t="shared" ca="1" si="14"/>
        <v>Refresh the statement</v>
      </c>
    </row>
    <row r="879" spans="1:15" ht="46.5">
      <c r="A879" s="874" t="str">
        <f ca="1">_xlfn.TEXTJOIN("
",TRUE,'All Statement of strategy (D)'!$I1371,'All Statement of strategy (D)'!$I1372,'All Statement of strategy (D)'!$I1373,'All Statement of strategy (D)'!$I1374)</f>
        <v xml:space="preserve"> 
 </v>
      </c>
      <c r="B879" s="874"/>
      <c r="C879" s="874"/>
      <c r="D879" s="874"/>
      <c r="E879" s="874"/>
      <c r="F879" s="874"/>
      <c r="G879" s="874"/>
      <c r="H879" s="874"/>
      <c r="I879" s="874"/>
      <c r="J879" s="874"/>
      <c r="K879" s="874"/>
      <c r="L879" s="874"/>
      <c r="N879" s="631" t="str">
        <f t="shared" ca="1" si="14"/>
        <v>Refresh the statement</v>
      </c>
      <c r="O879" s="570" t="str">
        <f ca="1">A879</f>
        <v xml:space="preserve"> 
 </v>
      </c>
    </row>
    <row r="880" spans="1:15">
      <c r="A880" s="857" t="str">
        <f ca="1">'All Statement of strategy (D)'!$I1375&amp;'All Statement of strategy (D)'!$I1376&amp;'All Statement of strategy (D)'!$I1377&amp;'All Statement of strategy (D)'!$I1378</f>
        <v xml:space="preserve">    </v>
      </c>
      <c r="B880" s="857"/>
      <c r="C880" s="857"/>
      <c r="D880" s="857"/>
      <c r="E880" s="857"/>
      <c r="F880" s="857"/>
      <c r="G880" s="857"/>
      <c r="H880" s="857"/>
      <c r="I880" s="857"/>
      <c r="J880" s="857"/>
      <c r="K880" s="857"/>
      <c r="L880" s="857"/>
      <c r="N880" s="631" t="str">
        <f t="shared" ca="1" si="14"/>
        <v>Refresh the statement</v>
      </c>
      <c r="O880" s="86" t="str">
        <f ca="1">'All Statement of strategy (D)'!$I1375</f>
        <v xml:space="preserve"> </v>
      </c>
    </row>
    <row r="881" spans="1:15">
      <c r="A881" s="857"/>
      <c r="B881" s="857"/>
      <c r="C881" s="857"/>
      <c r="D881" s="857"/>
      <c r="E881" s="857"/>
      <c r="F881" s="857"/>
      <c r="G881" s="857"/>
      <c r="H881" s="857"/>
      <c r="I881" s="857"/>
      <c r="J881" s="857"/>
      <c r="K881" s="857"/>
      <c r="L881" s="857"/>
      <c r="N881" s="631" t="str">
        <f t="shared" ca="1" si="14"/>
        <v>Refresh the statement</v>
      </c>
      <c r="O881" s="86" t="str">
        <f ca="1">'All Statement of strategy (D)'!$I1376</f>
        <v xml:space="preserve"> </v>
      </c>
    </row>
    <row r="882" spans="1:15">
      <c r="A882" s="857"/>
      <c r="B882" s="857"/>
      <c r="C882" s="857"/>
      <c r="D882" s="857"/>
      <c r="E882" s="857"/>
      <c r="F882" s="857"/>
      <c r="G882" s="857"/>
      <c r="H882" s="857"/>
      <c r="I882" s="857"/>
      <c r="J882" s="857"/>
      <c r="K882" s="857"/>
      <c r="L882" s="857"/>
      <c r="N882" s="631" t="str">
        <f t="shared" ca="1" si="14"/>
        <v>Refresh the statement</v>
      </c>
      <c r="O882" s="86" t="str">
        <f ca="1">'All Statement of strategy (D)'!$I1377</f>
        <v xml:space="preserve"> </v>
      </c>
    </row>
    <row r="883" spans="1:15">
      <c r="A883" s="857"/>
      <c r="B883" s="857"/>
      <c r="C883" s="857"/>
      <c r="D883" s="857"/>
      <c r="E883" s="857"/>
      <c r="F883" s="857"/>
      <c r="G883" s="857"/>
      <c r="H883" s="857"/>
      <c r="I883" s="857"/>
      <c r="J883" s="857"/>
      <c r="K883" s="857"/>
      <c r="L883" s="857"/>
      <c r="N883" s="631" t="str">
        <f t="shared" ca="1" si="14"/>
        <v>Refresh the statement</v>
      </c>
      <c r="O883" s="86" t="str">
        <f ca="1">'All Statement of strategy (D)'!$I1378</f>
        <v xml:space="preserve"> </v>
      </c>
    </row>
    <row r="884" spans="1:15">
      <c r="A884" s="857" t="str">
        <f ca="1">'All Statement of strategy (D)'!$I1380&amp;'All Statement of strategy (D)'!$I1381&amp;'All Statement of strategy (D)'!$I1382&amp;'All Statement of strategy (D)'!$I1383</f>
        <v xml:space="preserve">    </v>
      </c>
      <c r="B884" s="857"/>
      <c r="C884" s="857"/>
      <c r="D884" s="857"/>
      <c r="E884" s="857"/>
      <c r="F884" s="857"/>
      <c r="G884" s="857"/>
      <c r="H884" s="857"/>
      <c r="I884" s="857"/>
      <c r="J884" s="857"/>
      <c r="K884" s="857"/>
      <c r="L884" s="857"/>
      <c r="N884" s="631" t="str">
        <f t="shared" ca="1" si="14"/>
        <v>Refresh the statement</v>
      </c>
      <c r="O884" s="86" t="str">
        <f ca="1">'All Statement of strategy (D)'!$I1380</f>
        <v xml:space="preserve"> </v>
      </c>
    </row>
    <row r="885" spans="1:15">
      <c r="A885" s="857"/>
      <c r="B885" s="857"/>
      <c r="C885" s="857"/>
      <c r="D885" s="857"/>
      <c r="E885" s="857"/>
      <c r="F885" s="857"/>
      <c r="G885" s="857"/>
      <c r="H885" s="857"/>
      <c r="I885" s="857"/>
      <c r="J885" s="857"/>
      <c r="K885" s="857"/>
      <c r="L885" s="857"/>
      <c r="N885" s="631" t="str">
        <f t="shared" ca="1" si="14"/>
        <v>Refresh the statement</v>
      </c>
      <c r="O885" s="86" t="str">
        <f ca="1">'All Statement of strategy (D)'!$I1381</f>
        <v xml:space="preserve"> </v>
      </c>
    </row>
    <row r="886" spans="1:15">
      <c r="A886" s="857"/>
      <c r="B886" s="857"/>
      <c r="C886" s="857"/>
      <c r="D886" s="857"/>
      <c r="E886" s="857"/>
      <c r="F886" s="857"/>
      <c r="G886" s="857"/>
      <c r="H886" s="857"/>
      <c r="I886" s="857"/>
      <c r="J886" s="857"/>
      <c r="K886" s="857"/>
      <c r="L886" s="857"/>
      <c r="N886" s="631" t="str">
        <f t="shared" ca="1" si="14"/>
        <v>Refresh the statement</v>
      </c>
      <c r="O886" s="86" t="str">
        <f ca="1">'All Statement of strategy (D)'!$I1382</f>
        <v xml:space="preserve"> </v>
      </c>
    </row>
    <row r="887" spans="1:15">
      <c r="A887" s="857"/>
      <c r="B887" s="857"/>
      <c r="C887" s="857"/>
      <c r="D887" s="857"/>
      <c r="E887" s="857"/>
      <c r="F887" s="857"/>
      <c r="G887" s="857"/>
      <c r="H887" s="857"/>
      <c r="I887" s="857"/>
      <c r="J887" s="857"/>
      <c r="K887" s="857"/>
      <c r="L887" s="857"/>
      <c r="N887" s="631" t="str">
        <f t="shared" ca="1" si="14"/>
        <v>Refresh the statement</v>
      </c>
      <c r="O887" s="86" t="str">
        <f ca="1">'All Statement of strategy (D)'!$I1383</f>
        <v xml:space="preserve"> </v>
      </c>
    </row>
    <row r="888" spans="1:15">
      <c r="N888" s="631" t="str">
        <f t="shared" ca="1" si="14"/>
        <v>Refresh the statement</v>
      </c>
      <c r="O888" s="86" t="str">
        <f ca="1">IF($A$831&lt;&gt;"","Blank row","")</f>
        <v>Blank row</v>
      </c>
    </row>
    <row r="889" spans="1:15">
      <c r="A889" s="861" t="str">
        <f ca="1">'All Statement of strategy (D)'!$I1384</f>
        <v xml:space="preserve"> </v>
      </c>
      <c r="B889" s="861"/>
      <c r="C889" s="861"/>
      <c r="D889" s="861"/>
      <c r="E889" s="861"/>
      <c r="F889" s="861"/>
      <c r="G889" s="861"/>
      <c r="H889" s="861"/>
      <c r="I889" s="861"/>
      <c r="J889" s="861"/>
      <c r="K889" s="861"/>
      <c r="L889" s="861"/>
      <c r="N889" s="631" t="str">
        <f t="shared" ca="1" si="14"/>
        <v>Refresh the statement</v>
      </c>
    </row>
    <row r="890" spans="1:15">
      <c r="A890" s="857" t="str">
        <f ca="1">'All Statement of strategy (D)'!$I1386</f>
        <v xml:space="preserve"> </v>
      </c>
      <c r="B890" s="857"/>
      <c r="C890" s="857"/>
      <c r="D890" s="857"/>
      <c r="E890" s="857"/>
      <c r="F890" s="857"/>
      <c r="G890" s="857"/>
      <c r="H890" s="857"/>
      <c r="I890" s="857"/>
      <c r="J890" s="857"/>
      <c r="K890" s="857"/>
      <c r="L890" s="857"/>
      <c r="N890" s="631" t="str">
        <f t="shared" ca="1" si="14"/>
        <v>Refresh the statement</v>
      </c>
    </row>
    <row r="891" spans="1:15">
      <c r="A891" s="857" t="str">
        <f ca="1">'All Statement of strategy (D)'!$I1387</f>
        <v xml:space="preserve"> </v>
      </c>
      <c r="B891" s="857"/>
      <c r="C891" s="857"/>
      <c r="D891" s="857"/>
      <c r="E891" s="857"/>
      <c r="F891" s="857"/>
      <c r="G891" s="857"/>
      <c r="H891" s="857"/>
      <c r="I891" s="857"/>
      <c r="J891" s="857"/>
      <c r="K891" s="857"/>
      <c r="L891" s="857"/>
      <c r="N891" s="631" t="str">
        <f t="shared" ca="1" si="14"/>
        <v>Refresh the statement</v>
      </c>
    </row>
    <row r="892" spans="1:15">
      <c r="A892" s="857" t="str">
        <f ca="1">'All Statement of strategy (D)'!$I1388&amp;'All Statement of strategy (D)'!$I1389&amp;'All Statement of strategy (D)'!$I1390&amp;'All Statement of strategy (D)'!$I1391</f>
        <v xml:space="preserve">    </v>
      </c>
      <c r="B892" s="857"/>
      <c r="C892" s="857"/>
      <c r="D892" s="857"/>
      <c r="E892" s="857"/>
      <c r="F892" s="857"/>
      <c r="G892" s="857"/>
      <c r="H892" s="857"/>
      <c r="I892" s="857"/>
      <c r="J892" s="857"/>
      <c r="K892" s="857"/>
      <c r="L892" s="857"/>
      <c r="N892" s="631" t="str">
        <f t="shared" ca="1" si="14"/>
        <v>Refresh the statement</v>
      </c>
      <c r="O892" s="86" t="str">
        <f ca="1">'All Statement of strategy (D)'!$I1388</f>
        <v xml:space="preserve"> </v>
      </c>
    </row>
    <row r="893" spans="1:15">
      <c r="A893" s="857"/>
      <c r="B893" s="857"/>
      <c r="C893" s="857"/>
      <c r="D893" s="857"/>
      <c r="E893" s="857"/>
      <c r="F893" s="857"/>
      <c r="G893" s="857"/>
      <c r="H893" s="857"/>
      <c r="I893" s="857"/>
      <c r="J893" s="857"/>
      <c r="K893" s="857"/>
      <c r="L893" s="857"/>
      <c r="N893" s="631" t="str">
        <f t="shared" ca="1" si="14"/>
        <v>Refresh the statement</v>
      </c>
      <c r="O893" s="86" t="str">
        <f ca="1">'All Statement of strategy (D)'!$I1389</f>
        <v xml:space="preserve"> </v>
      </c>
    </row>
    <row r="894" spans="1:15">
      <c r="A894" s="857"/>
      <c r="B894" s="857"/>
      <c r="C894" s="857"/>
      <c r="D894" s="857"/>
      <c r="E894" s="857"/>
      <c r="F894" s="857"/>
      <c r="G894" s="857"/>
      <c r="H894" s="857"/>
      <c r="I894" s="857"/>
      <c r="J894" s="857"/>
      <c r="K894" s="857"/>
      <c r="L894" s="857"/>
      <c r="N894" s="631" t="str">
        <f t="shared" ca="1" si="14"/>
        <v>Refresh the statement</v>
      </c>
      <c r="O894" s="86" t="str">
        <f ca="1">'All Statement of strategy (D)'!$I1390</f>
        <v xml:space="preserve"> </v>
      </c>
    </row>
    <row r="895" spans="1:15">
      <c r="A895" s="857"/>
      <c r="B895" s="857"/>
      <c r="C895" s="857"/>
      <c r="D895" s="857"/>
      <c r="E895" s="857"/>
      <c r="F895" s="857"/>
      <c r="G895" s="857"/>
      <c r="H895" s="857"/>
      <c r="I895" s="857"/>
      <c r="J895" s="857"/>
      <c r="K895" s="857"/>
      <c r="L895" s="857"/>
      <c r="N895" s="631" t="str">
        <f t="shared" ca="1" si="14"/>
        <v>Refresh the statement</v>
      </c>
      <c r="O895" s="86" t="str">
        <f ca="1">'All Statement of strategy (D)'!$I1391</f>
        <v xml:space="preserve"> </v>
      </c>
    </row>
    <row r="896" spans="1:15">
      <c r="A896" s="857" t="str">
        <f ca="1">'All Statement of strategy (D)'!$I1395&amp;'All Statement of strategy (D)'!$I1396&amp;'All Statement of strategy (D)'!$I1397&amp;'All Statement of strategy (D)'!$I1398</f>
        <v xml:space="preserve">    </v>
      </c>
      <c r="B896" s="857"/>
      <c r="C896" s="857"/>
      <c r="D896" s="857"/>
      <c r="E896" s="857"/>
      <c r="F896" s="857"/>
      <c r="G896" s="857"/>
      <c r="H896" s="857"/>
      <c r="I896" s="857"/>
      <c r="J896" s="857"/>
      <c r="K896" s="857"/>
      <c r="L896" s="857"/>
      <c r="N896" s="631" t="str">
        <f t="shared" ca="1" si="14"/>
        <v>Refresh the statement</v>
      </c>
      <c r="O896" s="86" t="str">
        <f ca="1">'All Statement of strategy (D)'!$I1395</f>
        <v xml:space="preserve"> </v>
      </c>
    </row>
    <row r="897" spans="1:15">
      <c r="A897" s="857"/>
      <c r="B897" s="857"/>
      <c r="C897" s="857"/>
      <c r="D897" s="857"/>
      <c r="E897" s="857"/>
      <c r="F897" s="857"/>
      <c r="G897" s="857"/>
      <c r="H897" s="857"/>
      <c r="I897" s="857"/>
      <c r="J897" s="857"/>
      <c r="K897" s="857"/>
      <c r="L897" s="857"/>
      <c r="N897" s="631" t="str">
        <f t="shared" ca="1" si="14"/>
        <v>Refresh the statement</v>
      </c>
      <c r="O897" s="86" t="str">
        <f ca="1">'All Statement of strategy (D)'!$I1396</f>
        <v xml:space="preserve"> </v>
      </c>
    </row>
    <row r="898" spans="1:15">
      <c r="A898" s="857"/>
      <c r="B898" s="857"/>
      <c r="C898" s="857"/>
      <c r="D898" s="857"/>
      <c r="E898" s="857"/>
      <c r="F898" s="857"/>
      <c r="G898" s="857"/>
      <c r="H898" s="857"/>
      <c r="I898" s="857"/>
      <c r="J898" s="857"/>
      <c r="K898" s="857"/>
      <c r="L898" s="857"/>
      <c r="N898" s="631" t="str">
        <f t="shared" ca="1" si="14"/>
        <v>Refresh the statement</v>
      </c>
      <c r="O898" s="86" t="str">
        <f ca="1">'All Statement of strategy (D)'!$I1397</f>
        <v xml:space="preserve"> </v>
      </c>
    </row>
    <row r="899" spans="1:15">
      <c r="A899" s="857"/>
      <c r="B899" s="857"/>
      <c r="C899" s="857"/>
      <c r="D899" s="857"/>
      <c r="E899" s="857"/>
      <c r="F899" s="857"/>
      <c r="G899" s="857"/>
      <c r="H899" s="857"/>
      <c r="I899" s="857"/>
      <c r="J899" s="857"/>
      <c r="K899" s="857"/>
      <c r="L899" s="857"/>
      <c r="N899" s="631" t="str">
        <f t="shared" ca="1" si="14"/>
        <v>Refresh the statement</v>
      </c>
      <c r="O899" s="86" t="str">
        <f ca="1">'All Statement of strategy (D)'!$I1398</f>
        <v xml:space="preserve"> </v>
      </c>
    </row>
    <row r="900" spans="1:15">
      <c r="A900" s="857" t="str">
        <f ca="1">_xlfn.TEXTJOIN("",TRUE,'All Statement of strategy (D)'!$I1399,'All Statement of strategy (D)'!$I1400)</f>
        <v xml:space="preserve">  </v>
      </c>
      <c r="B900" s="857"/>
      <c r="C900" s="857"/>
      <c r="D900" s="857"/>
      <c r="E900" s="857"/>
      <c r="F900" s="857"/>
      <c r="G900" s="857"/>
      <c r="H900" s="857"/>
      <c r="I900" s="857"/>
      <c r="J900" s="857"/>
      <c r="K900" s="857"/>
      <c r="L900" s="857"/>
      <c r="N900" s="631" t="str">
        <f t="shared" ca="1" si="14"/>
        <v>Refresh the statement</v>
      </c>
      <c r="O900" s="86" t="str">
        <f ca="1">A900</f>
        <v xml:space="preserve">  </v>
      </c>
    </row>
    <row r="901" spans="1:15">
      <c r="A901" s="857" t="str">
        <f ca="1">'All Statement of strategy (D)'!$I1401</f>
        <v xml:space="preserve"> </v>
      </c>
      <c r="B901" s="857"/>
      <c r="C901" s="857"/>
      <c r="D901" s="857"/>
      <c r="E901" s="857"/>
      <c r="F901" s="857"/>
      <c r="G901" s="857"/>
      <c r="H901" s="857"/>
      <c r="I901" s="857"/>
      <c r="J901" s="857"/>
      <c r="K901" s="857"/>
      <c r="L901" s="857"/>
      <c r="N901" s="631" t="str">
        <f t="shared" ca="1" si="14"/>
        <v>Refresh the statement</v>
      </c>
    </row>
    <row r="902" spans="1:15">
      <c r="A902" s="857" t="str">
        <f ca="1">'All Statement of strategy (D)'!$I1404&amp;'All Statement of strategy (D)'!$I1405&amp;'All Statement of strategy (D)'!$I1406&amp;'All Statement of strategy (D)'!$I1407</f>
        <v xml:space="preserve">    </v>
      </c>
      <c r="B902" s="857"/>
      <c r="C902" s="857"/>
      <c r="D902" s="857"/>
      <c r="E902" s="857"/>
      <c r="F902" s="857"/>
      <c r="G902" s="857"/>
      <c r="H902" s="857"/>
      <c r="I902" s="857"/>
      <c r="J902" s="857"/>
      <c r="K902" s="857"/>
      <c r="L902" s="857"/>
      <c r="N902" s="631" t="str">
        <f t="shared" ca="1" si="14"/>
        <v>Refresh the statement</v>
      </c>
      <c r="O902" s="86" t="str">
        <f ca="1">'All Statement of strategy (D)'!$I1404</f>
        <v xml:space="preserve"> </v>
      </c>
    </row>
    <row r="903" spans="1:15">
      <c r="A903" s="857"/>
      <c r="B903" s="857"/>
      <c r="C903" s="857"/>
      <c r="D903" s="857"/>
      <c r="E903" s="857"/>
      <c r="F903" s="857"/>
      <c r="G903" s="857"/>
      <c r="H903" s="857"/>
      <c r="I903" s="857"/>
      <c r="J903" s="857"/>
      <c r="K903" s="857"/>
      <c r="L903" s="857"/>
      <c r="N903" s="631" t="str">
        <f t="shared" ca="1" si="14"/>
        <v>Refresh the statement</v>
      </c>
      <c r="O903" s="86" t="str">
        <f ca="1">'All Statement of strategy (D)'!$I1405</f>
        <v xml:space="preserve"> </v>
      </c>
    </row>
    <row r="904" spans="1:15">
      <c r="A904" s="857"/>
      <c r="B904" s="857"/>
      <c r="C904" s="857"/>
      <c r="D904" s="857"/>
      <c r="E904" s="857"/>
      <c r="F904" s="857"/>
      <c r="G904" s="857"/>
      <c r="H904" s="857"/>
      <c r="I904" s="857"/>
      <c r="J904" s="857"/>
      <c r="K904" s="857"/>
      <c r="L904" s="857"/>
      <c r="N904" s="631" t="str">
        <f t="shared" ca="1" si="14"/>
        <v>Refresh the statement</v>
      </c>
      <c r="O904" s="86" t="str">
        <f ca="1">'All Statement of strategy (D)'!$I1406</f>
        <v xml:space="preserve"> </v>
      </c>
    </row>
    <row r="905" spans="1:15">
      <c r="A905" s="857"/>
      <c r="B905" s="857"/>
      <c r="C905" s="857"/>
      <c r="D905" s="857"/>
      <c r="E905" s="857"/>
      <c r="F905" s="857"/>
      <c r="G905" s="857"/>
      <c r="H905" s="857"/>
      <c r="I905" s="857"/>
      <c r="J905" s="857"/>
      <c r="K905" s="857"/>
      <c r="L905" s="857"/>
      <c r="N905" s="631" t="str">
        <f t="shared" ca="1" si="14"/>
        <v>Refresh the statement</v>
      </c>
      <c r="O905" s="86" t="str">
        <f ca="1">'All Statement of strategy (D)'!$I1407</f>
        <v xml:space="preserve"> </v>
      </c>
    </row>
    <row r="906" spans="1:15">
      <c r="A906" s="857" t="str">
        <f ca="1">'All Statement of strategy (D)'!$I1408</f>
        <v xml:space="preserve"> </v>
      </c>
      <c r="B906" s="857"/>
      <c r="C906" s="857"/>
      <c r="D906" s="857"/>
      <c r="E906" s="857"/>
      <c r="F906" s="857"/>
      <c r="G906" s="857"/>
      <c r="H906" s="857"/>
      <c r="I906" s="857"/>
      <c r="J906" s="857"/>
      <c r="K906" s="857"/>
      <c r="L906" s="857"/>
      <c r="N906" s="631" t="str">
        <f t="shared" ca="1" si="14"/>
        <v>Refresh the statement</v>
      </c>
    </row>
    <row r="907" spans="1:15">
      <c r="N907" s="631" t="str">
        <f t="shared" ca="1" si="14"/>
        <v>Refresh the statement</v>
      </c>
      <c r="O907" s="86" t="str">
        <f ca="1">IF($A$890&lt;&gt;"","Blank row","")</f>
        <v>Blank row</v>
      </c>
    </row>
    <row r="908" spans="1:15">
      <c r="A908" s="861" t="str">
        <f ca="1">'All Statement of strategy (D)'!$I1409</f>
        <v xml:space="preserve"> </v>
      </c>
      <c r="B908" s="861"/>
      <c r="C908" s="861"/>
      <c r="D908" s="861"/>
      <c r="E908" s="861"/>
      <c r="F908" s="861"/>
      <c r="G908" s="861"/>
      <c r="H908" s="861"/>
      <c r="I908" s="861"/>
      <c r="J908" s="861"/>
      <c r="K908" s="861"/>
      <c r="L908" s="861"/>
      <c r="N908" s="631" t="str">
        <f t="shared" ca="1" si="14"/>
        <v>Refresh the statement</v>
      </c>
    </row>
    <row r="909" spans="1:15" ht="46.5">
      <c r="A909" s="874" t="str">
        <f ca="1">_xlfn.TEXTJOIN("
",TRUE,'All Statement of strategy (D)'!$I1410,'All Statement of strategy (D)'!$I1411,'All Statement of strategy (D)'!$I1412,'All Statement of strategy (D)'!$I1413)</f>
        <v xml:space="preserve"> 
 </v>
      </c>
      <c r="B909" s="874"/>
      <c r="C909" s="874"/>
      <c r="D909" s="874"/>
      <c r="E909" s="874"/>
      <c r="F909" s="874"/>
      <c r="G909" s="874"/>
      <c r="H909" s="874"/>
      <c r="I909" s="874"/>
      <c r="J909" s="874"/>
      <c r="K909" s="874"/>
      <c r="L909" s="874"/>
      <c r="N909" s="631" t="str">
        <f t="shared" ca="1" si="14"/>
        <v>Refresh the statement</v>
      </c>
      <c r="O909" s="570" t="str">
        <f ca="1">A909</f>
        <v xml:space="preserve"> 
 </v>
      </c>
    </row>
    <row r="910" spans="1:15">
      <c r="A910" s="857" t="str">
        <f ca="1">'All Statement of strategy (D)'!$I1414&amp;'All Statement of strategy (D)'!$I1415&amp;'All Statement of strategy (D)'!$I1416&amp;'All Statement of strategy (D)'!$I1417</f>
        <v xml:space="preserve">    </v>
      </c>
      <c r="B910" s="857"/>
      <c r="C910" s="857"/>
      <c r="D910" s="857"/>
      <c r="E910" s="857"/>
      <c r="F910" s="857"/>
      <c r="G910" s="857"/>
      <c r="H910" s="857"/>
      <c r="I910" s="857"/>
      <c r="J910" s="857"/>
      <c r="K910" s="857"/>
      <c r="L910" s="857"/>
      <c r="N910" s="631" t="str">
        <f t="shared" ca="1" si="14"/>
        <v>Refresh the statement</v>
      </c>
      <c r="O910" s="86" t="str">
        <f ca="1">'All Statement of strategy (D)'!$I1414</f>
        <v xml:space="preserve"> </v>
      </c>
    </row>
    <row r="911" spans="1:15">
      <c r="A911" s="857"/>
      <c r="B911" s="857"/>
      <c r="C911" s="857"/>
      <c r="D911" s="857"/>
      <c r="E911" s="857"/>
      <c r="F911" s="857"/>
      <c r="G911" s="857"/>
      <c r="H911" s="857"/>
      <c r="I911" s="857"/>
      <c r="J911" s="857"/>
      <c r="K911" s="857"/>
      <c r="L911" s="857"/>
      <c r="N911" s="631" t="str">
        <f t="shared" ca="1" si="14"/>
        <v>Refresh the statement</v>
      </c>
      <c r="O911" s="86" t="str">
        <f ca="1">'All Statement of strategy (D)'!$I1415</f>
        <v xml:space="preserve"> </v>
      </c>
    </row>
    <row r="912" spans="1:15">
      <c r="A912" s="857"/>
      <c r="B912" s="857"/>
      <c r="C912" s="857"/>
      <c r="D912" s="857"/>
      <c r="E912" s="857"/>
      <c r="F912" s="857"/>
      <c r="G912" s="857"/>
      <c r="H912" s="857"/>
      <c r="I912" s="857"/>
      <c r="J912" s="857"/>
      <c r="K912" s="857"/>
      <c r="L912" s="857"/>
      <c r="N912" s="631" t="str">
        <f t="shared" ca="1" si="14"/>
        <v>Refresh the statement</v>
      </c>
      <c r="O912" s="86" t="str">
        <f ca="1">'All Statement of strategy (D)'!$I1416</f>
        <v xml:space="preserve"> </v>
      </c>
    </row>
    <row r="913" spans="1:15">
      <c r="A913" s="857"/>
      <c r="B913" s="857"/>
      <c r="C913" s="857"/>
      <c r="D913" s="857"/>
      <c r="E913" s="857"/>
      <c r="F913" s="857"/>
      <c r="G913" s="857"/>
      <c r="H913" s="857"/>
      <c r="I913" s="857"/>
      <c r="J913" s="857"/>
      <c r="K913" s="857"/>
      <c r="L913" s="857"/>
      <c r="N913" s="631" t="str">
        <f t="shared" ca="1" si="14"/>
        <v>Refresh the statement</v>
      </c>
      <c r="O913" s="86" t="str">
        <f ca="1">'All Statement of strategy (D)'!$I1417</f>
        <v xml:space="preserve"> </v>
      </c>
    </row>
    <row r="914" spans="1:15">
      <c r="A914" s="857" t="str">
        <f ca="1">'All Statement of strategy (D)'!$I1419&amp;'All Statement of strategy (D)'!$I1420&amp;'All Statement of strategy (D)'!$I1421&amp;'All Statement of strategy (D)'!$I1422</f>
        <v xml:space="preserve">    </v>
      </c>
      <c r="B914" s="857"/>
      <c r="C914" s="857"/>
      <c r="D914" s="857"/>
      <c r="E914" s="857"/>
      <c r="F914" s="857"/>
      <c r="G914" s="857"/>
      <c r="H914" s="857"/>
      <c r="I914" s="857"/>
      <c r="J914" s="857"/>
      <c r="K914" s="857"/>
      <c r="L914" s="857"/>
      <c r="N914" s="631" t="str">
        <f t="shared" ref="N914:N974" ca="1" si="15">IF(OR(A914&lt;&gt;"",B914&lt;&gt;"",C914&lt;&gt;"",D914&lt;&gt;"",E914&lt;&gt;"",F914&lt;&gt;"",G914&lt;&gt;"",H914&lt;&gt;"",I914&lt;&gt;"",J914&lt;&gt;"",K914&lt;&gt;"",L914&lt;&gt;"",M914&lt;&gt;"",O914&lt;&gt;""),"Refresh the statement","Scroll up and click refresh")</f>
        <v>Refresh the statement</v>
      </c>
      <c r="O914" s="86" t="str">
        <f ca="1">'All Statement of strategy (D)'!$I1419</f>
        <v xml:space="preserve"> </v>
      </c>
    </row>
    <row r="915" spans="1:15">
      <c r="A915" s="857"/>
      <c r="B915" s="857"/>
      <c r="C915" s="857"/>
      <c r="D915" s="857"/>
      <c r="E915" s="857"/>
      <c r="F915" s="857"/>
      <c r="G915" s="857"/>
      <c r="H915" s="857"/>
      <c r="I915" s="857"/>
      <c r="J915" s="857"/>
      <c r="K915" s="857"/>
      <c r="L915" s="857"/>
      <c r="N915" s="631" t="str">
        <f t="shared" ca="1" si="15"/>
        <v>Refresh the statement</v>
      </c>
      <c r="O915" s="86" t="str">
        <f ca="1">'All Statement of strategy (D)'!$I1420</f>
        <v xml:space="preserve"> </v>
      </c>
    </row>
    <row r="916" spans="1:15">
      <c r="A916" s="857"/>
      <c r="B916" s="857"/>
      <c r="C916" s="857"/>
      <c r="D916" s="857"/>
      <c r="E916" s="857"/>
      <c r="F916" s="857"/>
      <c r="G916" s="857"/>
      <c r="H916" s="857"/>
      <c r="I916" s="857"/>
      <c r="J916" s="857"/>
      <c r="K916" s="857"/>
      <c r="L916" s="857"/>
      <c r="N916" s="631" t="str">
        <f t="shared" ca="1" si="15"/>
        <v>Refresh the statement</v>
      </c>
      <c r="O916" s="86" t="str">
        <f ca="1">'All Statement of strategy (D)'!$I1421</f>
        <v xml:space="preserve"> </v>
      </c>
    </row>
    <row r="917" spans="1:15">
      <c r="A917" s="857"/>
      <c r="B917" s="857"/>
      <c r="C917" s="857"/>
      <c r="D917" s="857"/>
      <c r="E917" s="857"/>
      <c r="F917" s="857"/>
      <c r="G917" s="857"/>
      <c r="H917" s="857"/>
      <c r="I917" s="857"/>
      <c r="J917" s="857"/>
      <c r="K917" s="857"/>
      <c r="L917" s="857"/>
      <c r="N917" s="631" t="str">
        <f t="shared" ca="1" si="15"/>
        <v>Refresh the statement</v>
      </c>
      <c r="O917" s="86" t="str">
        <f ca="1">'All Statement of strategy (D)'!$I1422</f>
        <v xml:space="preserve"> </v>
      </c>
    </row>
    <row r="918" spans="1:15">
      <c r="N918" s="631" t="str">
        <f t="shared" ca="1" si="15"/>
        <v>Refresh the statement</v>
      </c>
      <c r="O918" s="86" t="str">
        <f ca="1">IF($A$890&lt;&gt;"","Blank row","")</f>
        <v>Blank row</v>
      </c>
    </row>
    <row r="919" spans="1:15">
      <c r="A919" s="861" t="str">
        <f ca="1">'All Statement of strategy (D)'!$I1423</f>
        <v xml:space="preserve"> </v>
      </c>
      <c r="B919" s="861"/>
      <c r="C919" s="861"/>
      <c r="D919" s="861"/>
      <c r="E919" s="861"/>
      <c r="F919" s="861"/>
      <c r="G919" s="861"/>
      <c r="H919" s="861"/>
      <c r="I919" s="861"/>
      <c r="J919" s="861"/>
      <c r="K919" s="861"/>
      <c r="L919" s="861"/>
      <c r="N919" s="631" t="str">
        <f t="shared" ca="1" si="15"/>
        <v>Refresh the statement</v>
      </c>
    </row>
    <row r="920" spans="1:15">
      <c r="A920" s="857" t="str">
        <f ca="1">'All Statement of strategy (D)'!$I1425</f>
        <v xml:space="preserve"> </v>
      </c>
      <c r="B920" s="857"/>
      <c r="C920" s="857"/>
      <c r="D920" s="857"/>
      <c r="E920" s="857"/>
      <c r="F920" s="857"/>
      <c r="G920" s="857"/>
      <c r="H920" s="857"/>
      <c r="I920" s="857"/>
      <c r="J920" s="857"/>
      <c r="K920" s="857"/>
      <c r="L920" s="857"/>
      <c r="N920" s="631" t="str">
        <f t="shared" ca="1" si="15"/>
        <v>Refresh the statement</v>
      </c>
    </row>
    <row r="921" spans="1:15">
      <c r="A921" s="857" t="str">
        <f ca="1">'All Statement of strategy (D)'!$I1427&amp;'All Statement of strategy (D)'!$I1428&amp;'All Statement of strategy (D)'!$I1429&amp;'All Statement of strategy (D)'!$I1430</f>
        <v xml:space="preserve">    </v>
      </c>
      <c r="B921" s="857"/>
      <c r="C921" s="857"/>
      <c r="D921" s="857"/>
      <c r="E921" s="857"/>
      <c r="F921" s="857"/>
      <c r="G921" s="857"/>
      <c r="H921" s="857"/>
      <c r="I921" s="857"/>
      <c r="J921" s="857"/>
      <c r="K921" s="857"/>
      <c r="L921" s="857"/>
      <c r="N921" s="631" t="str">
        <f t="shared" ca="1" si="15"/>
        <v>Refresh the statement</v>
      </c>
      <c r="O921" s="86" t="str">
        <f ca="1">'All Statement of strategy (D)'!$I1427</f>
        <v xml:space="preserve"> </v>
      </c>
    </row>
    <row r="922" spans="1:15">
      <c r="A922" s="857"/>
      <c r="B922" s="857"/>
      <c r="C922" s="857"/>
      <c r="D922" s="857"/>
      <c r="E922" s="857"/>
      <c r="F922" s="857"/>
      <c r="G922" s="857"/>
      <c r="H922" s="857"/>
      <c r="I922" s="857"/>
      <c r="J922" s="857"/>
      <c r="K922" s="857"/>
      <c r="L922" s="857"/>
      <c r="N922" s="631" t="str">
        <f t="shared" ca="1" si="15"/>
        <v>Refresh the statement</v>
      </c>
      <c r="O922" s="86" t="str">
        <f ca="1">'All Statement of strategy (D)'!$I1428</f>
        <v xml:space="preserve"> </v>
      </c>
    </row>
    <row r="923" spans="1:15">
      <c r="A923" s="857"/>
      <c r="B923" s="857"/>
      <c r="C923" s="857"/>
      <c r="D923" s="857"/>
      <c r="E923" s="857"/>
      <c r="F923" s="857"/>
      <c r="G923" s="857"/>
      <c r="H923" s="857"/>
      <c r="I923" s="857"/>
      <c r="J923" s="857"/>
      <c r="K923" s="857"/>
      <c r="L923" s="857"/>
      <c r="N923" s="631" t="str">
        <f t="shared" ca="1" si="15"/>
        <v>Refresh the statement</v>
      </c>
      <c r="O923" s="86" t="str">
        <f ca="1">'All Statement of strategy (D)'!$I1429</f>
        <v xml:space="preserve"> </v>
      </c>
    </row>
    <row r="924" spans="1:15">
      <c r="A924" s="857"/>
      <c r="B924" s="857"/>
      <c r="C924" s="857"/>
      <c r="D924" s="857"/>
      <c r="E924" s="857"/>
      <c r="F924" s="857"/>
      <c r="G924" s="857"/>
      <c r="H924" s="857"/>
      <c r="I924" s="857"/>
      <c r="J924" s="857"/>
      <c r="K924" s="857"/>
      <c r="L924" s="857"/>
      <c r="N924" s="631" t="str">
        <f t="shared" ca="1" si="15"/>
        <v>Refresh the statement</v>
      </c>
      <c r="O924" s="86" t="str">
        <f ca="1">'All Statement of strategy (D)'!$I1430</f>
        <v xml:space="preserve"> </v>
      </c>
    </row>
    <row r="925" spans="1:15">
      <c r="A925" s="857" t="str">
        <f ca="1">'All Statement of strategy (D)'!$I1434</f>
        <v xml:space="preserve"> </v>
      </c>
      <c r="B925" s="857"/>
      <c r="C925" s="857"/>
      <c r="D925" s="857"/>
      <c r="E925" s="857"/>
      <c r="F925" s="857"/>
      <c r="G925" s="857"/>
      <c r="H925" s="857"/>
      <c r="I925" s="857"/>
      <c r="J925" s="857"/>
      <c r="K925" s="857"/>
      <c r="L925" s="857"/>
      <c r="N925" s="631" t="str">
        <f t="shared" ca="1" si="15"/>
        <v>Refresh the statement</v>
      </c>
      <c r="O925" s="86" t="str">
        <f ca="1">'All Statement of strategy (D)'!$I1434</f>
        <v xml:space="preserve"> </v>
      </c>
    </row>
    <row r="926" spans="1:15">
      <c r="A926" s="857"/>
      <c r="B926" s="857"/>
      <c r="C926" s="857"/>
      <c r="D926" s="857"/>
      <c r="E926" s="857"/>
      <c r="F926" s="857"/>
      <c r="G926" s="857"/>
      <c r="H926" s="857"/>
      <c r="I926" s="857"/>
      <c r="J926" s="857"/>
      <c r="K926" s="857"/>
      <c r="L926" s="857"/>
      <c r="N926" s="631" t="str">
        <f t="shared" ca="1" si="15"/>
        <v>Refresh the statement</v>
      </c>
      <c r="O926" s="86" t="str">
        <f ca="1">'All Statement of strategy (D)'!$I1435</f>
        <v xml:space="preserve"> </v>
      </c>
    </row>
    <row r="927" spans="1:15">
      <c r="A927" s="857"/>
      <c r="B927" s="857"/>
      <c r="C927" s="857"/>
      <c r="D927" s="857"/>
      <c r="E927" s="857"/>
      <c r="F927" s="857"/>
      <c r="G927" s="857"/>
      <c r="H927" s="857"/>
      <c r="I927" s="857"/>
      <c r="J927" s="857"/>
      <c r="K927" s="857"/>
      <c r="L927" s="857"/>
      <c r="N927" s="631" t="str">
        <f t="shared" ca="1" si="15"/>
        <v>Refresh the statement</v>
      </c>
      <c r="O927" s="86" t="str">
        <f ca="1">'All Statement of strategy (D)'!$I1436</f>
        <v xml:space="preserve"> </v>
      </c>
    </row>
    <row r="928" spans="1:15">
      <c r="A928" s="857"/>
      <c r="B928" s="857"/>
      <c r="C928" s="857"/>
      <c r="D928" s="857"/>
      <c r="E928" s="857"/>
      <c r="F928" s="857"/>
      <c r="G928" s="857"/>
      <c r="H928" s="857"/>
      <c r="I928" s="857"/>
      <c r="J928" s="857"/>
      <c r="K928" s="857"/>
      <c r="L928" s="857"/>
      <c r="N928" s="631" t="str">
        <f t="shared" ca="1" si="15"/>
        <v>Refresh the statement</v>
      </c>
      <c r="O928" s="86" t="str">
        <f ca="1">'All Statement of strategy (D)'!$I1437</f>
        <v xml:space="preserve"> </v>
      </c>
    </row>
    <row r="929" spans="1:15">
      <c r="A929" s="857" t="str">
        <f ca="1">_xlfn.TEXTJOIN("",TRUE,'All Statement of strategy (D)'!$I1438,'All Statement of strategy (D)'!$I1439)</f>
        <v xml:space="preserve">  </v>
      </c>
      <c r="B929" s="857"/>
      <c r="C929" s="857"/>
      <c r="D929" s="857"/>
      <c r="E929" s="857"/>
      <c r="F929" s="857"/>
      <c r="G929" s="857"/>
      <c r="H929" s="857"/>
      <c r="I929" s="857"/>
      <c r="J929" s="857"/>
      <c r="K929" s="857"/>
      <c r="L929" s="857"/>
      <c r="N929" s="631" t="str">
        <f t="shared" ca="1" si="15"/>
        <v>Refresh the statement</v>
      </c>
      <c r="O929" s="86" t="str">
        <f ca="1">A929</f>
        <v xml:space="preserve">  </v>
      </c>
    </row>
    <row r="930" spans="1:15">
      <c r="A930" s="857" t="str">
        <f ca="1">'All Statement of strategy (D)'!$I1440</f>
        <v xml:space="preserve"> </v>
      </c>
      <c r="B930" s="857"/>
      <c r="C930" s="857"/>
      <c r="D930" s="857"/>
      <c r="E930" s="857"/>
      <c r="F930" s="857"/>
      <c r="G930" s="857"/>
      <c r="H930" s="857"/>
      <c r="I930" s="857"/>
      <c r="J930" s="857"/>
      <c r="K930" s="857"/>
      <c r="L930" s="857"/>
      <c r="N930" s="631" t="str">
        <f t="shared" ca="1" si="15"/>
        <v>Refresh the statement</v>
      </c>
    </row>
    <row r="931" spans="1:15">
      <c r="A931" s="857" t="str">
        <f ca="1">'All Statement of strategy (D)'!$I1443&amp;'All Statement of strategy (D)'!$I1444&amp;'All Statement of strategy (D)'!$I1445&amp;'All Statement of strategy (D)'!$I1446</f>
        <v xml:space="preserve">    </v>
      </c>
      <c r="B931" s="857"/>
      <c r="C931" s="857"/>
      <c r="D931" s="857"/>
      <c r="E931" s="857"/>
      <c r="F931" s="857"/>
      <c r="G931" s="857"/>
      <c r="H931" s="857"/>
      <c r="I931" s="857"/>
      <c r="J931" s="857"/>
      <c r="K931" s="857"/>
      <c r="L931" s="857"/>
      <c r="N931" s="631" t="str">
        <f t="shared" ca="1" si="15"/>
        <v>Refresh the statement</v>
      </c>
      <c r="O931" s="86" t="str">
        <f ca="1">'All Statement of strategy (D)'!$I1443</f>
        <v xml:space="preserve"> </v>
      </c>
    </row>
    <row r="932" spans="1:15">
      <c r="A932" s="857"/>
      <c r="B932" s="857"/>
      <c r="C932" s="857"/>
      <c r="D932" s="857"/>
      <c r="E932" s="857"/>
      <c r="F932" s="857"/>
      <c r="G932" s="857"/>
      <c r="H932" s="857"/>
      <c r="I932" s="857"/>
      <c r="J932" s="857"/>
      <c r="K932" s="857"/>
      <c r="L932" s="857"/>
      <c r="N932" s="631" t="str">
        <f t="shared" ca="1" si="15"/>
        <v>Refresh the statement</v>
      </c>
      <c r="O932" s="86" t="str">
        <f ca="1">'All Statement of strategy (D)'!$I1444</f>
        <v xml:space="preserve"> </v>
      </c>
    </row>
    <row r="933" spans="1:15">
      <c r="A933" s="857"/>
      <c r="B933" s="857"/>
      <c r="C933" s="857"/>
      <c r="D933" s="857"/>
      <c r="E933" s="857"/>
      <c r="F933" s="857"/>
      <c r="G933" s="857"/>
      <c r="H933" s="857"/>
      <c r="I933" s="857"/>
      <c r="J933" s="857"/>
      <c r="K933" s="857"/>
      <c r="L933" s="857"/>
      <c r="N933" s="631" t="str">
        <f t="shared" ca="1" si="15"/>
        <v>Refresh the statement</v>
      </c>
      <c r="O933" s="86" t="str">
        <f ca="1">'All Statement of strategy (D)'!$I1445</f>
        <v xml:space="preserve"> </v>
      </c>
    </row>
    <row r="934" spans="1:15">
      <c r="A934" s="857"/>
      <c r="B934" s="857"/>
      <c r="C934" s="857"/>
      <c r="D934" s="857"/>
      <c r="E934" s="857"/>
      <c r="F934" s="857"/>
      <c r="G934" s="857"/>
      <c r="H934" s="857"/>
      <c r="I934" s="857"/>
      <c r="J934" s="857"/>
      <c r="K934" s="857"/>
      <c r="L934" s="857"/>
      <c r="N934" s="631" t="str">
        <f t="shared" ca="1" si="15"/>
        <v>Refresh the statement</v>
      </c>
      <c r="O934" s="86" t="str">
        <f ca="1">'All Statement of strategy (D)'!$I1446</f>
        <v xml:space="preserve"> </v>
      </c>
    </row>
    <row r="935" spans="1:15">
      <c r="A935" s="857" t="str">
        <f ca="1">'All Statement of strategy (D)'!$I1447</f>
        <v xml:space="preserve"> </v>
      </c>
      <c r="B935" s="857"/>
      <c r="C935" s="857"/>
      <c r="D935" s="857"/>
      <c r="E935" s="857"/>
      <c r="F935" s="857"/>
      <c r="G935" s="857"/>
      <c r="H935" s="857"/>
      <c r="I935" s="857"/>
      <c r="J935" s="857"/>
      <c r="K935" s="857"/>
      <c r="L935" s="857"/>
      <c r="N935" s="631" t="str">
        <f t="shared" ca="1" si="15"/>
        <v>Refresh the statement</v>
      </c>
    </row>
    <row r="936" spans="1:15">
      <c r="N936" s="631" t="str">
        <f t="shared" ca="1" si="15"/>
        <v>Refresh the statement</v>
      </c>
      <c r="O936" s="86" t="str">
        <f ca="1">IF($A$920&lt;&gt;"","Blank row","")</f>
        <v>Blank row</v>
      </c>
    </row>
    <row r="937" spans="1:15">
      <c r="A937" s="861" t="str">
        <f ca="1">'All Statement of strategy (D)'!$I1448</f>
        <v xml:space="preserve"> </v>
      </c>
      <c r="B937" s="861"/>
      <c r="C937" s="861"/>
      <c r="D937" s="861"/>
      <c r="E937" s="861"/>
      <c r="F937" s="861"/>
      <c r="G937" s="861"/>
      <c r="H937" s="861"/>
      <c r="I937" s="861"/>
      <c r="J937" s="861"/>
      <c r="K937" s="861"/>
      <c r="L937" s="861"/>
      <c r="N937" s="631" t="str">
        <f t="shared" ca="1" si="15"/>
        <v>Refresh the statement</v>
      </c>
    </row>
    <row r="938" spans="1:15" ht="46.5">
      <c r="A938" s="874" t="str">
        <f ca="1">_xlfn.TEXTJOIN("
",TRUE,'All Statement of strategy (D)'!$I1449,'All Statement of strategy (D)'!$I1450,'All Statement of strategy (D)'!$I1451,'All Statement of strategy (D)'!$I1452)</f>
        <v xml:space="preserve"> 
 </v>
      </c>
      <c r="B938" s="874"/>
      <c r="C938" s="874"/>
      <c r="D938" s="874"/>
      <c r="E938" s="874"/>
      <c r="F938" s="874"/>
      <c r="G938" s="874"/>
      <c r="H938" s="874"/>
      <c r="I938" s="874"/>
      <c r="J938" s="874"/>
      <c r="K938" s="874"/>
      <c r="L938" s="874"/>
      <c r="N938" s="631" t="str">
        <f t="shared" ca="1" si="15"/>
        <v>Refresh the statement</v>
      </c>
      <c r="O938" s="570" t="str">
        <f ca="1">A938</f>
        <v xml:space="preserve"> 
 </v>
      </c>
    </row>
    <row r="939" spans="1:15">
      <c r="A939" s="857" t="str">
        <f ca="1">'All Statement of strategy (D)'!$I1453&amp;'All Statement of strategy (D)'!$I1454&amp;'All Statement of strategy (D)'!$I1455&amp;'All Statement of strategy (D)'!$I1456</f>
        <v xml:space="preserve">    </v>
      </c>
      <c r="B939" s="857"/>
      <c r="C939" s="857"/>
      <c r="D939" s="857"/>
      <c r="E939" s="857"/>
      <c r="F939" s="857"/>
      <c r="G939" s="857"/>
      <c r="H939" s="857"/>
      <c r="I939" s="857"/>
      <c r="J939" s="857"/>
      <c r="K939" s="857"/>
      <c r="L939" s="857"/>
      <c r="N939" s="631" t="str">
        <f t="shared" ca="1" si="15"/>
        <v>Refresh the statement</v>
      </c>
      <c r="O939" s="86" t="str">
        <f ca="1">'All Statement of strategy (D)'!$I1453</f>
        <v xml:space="preserve"> </v>
      </c>
    </row>
    <row r="940" spans="1:15">
      <c r="A940" s="857"/>
      <c r="B940" s="857"/>
      <c r="C940" s="857"/>
      <c r="D940" s="857"/>
      <c r="E940" s="857"/>
      <c r="F940" s="857"/>
      <c r="G940" s="857"/>
      <c r="H940" s="857"/>
      <c r="I940" s="857"/>
      <c r="J940" s="857"/>
      <c r="K940" s="857"/>
      <c r="L940" s="857"/>
      <c r="N940" s="631" t="str">
        <f t="shared" ca="1" si="15"/>
        <v>Refresh the statement</v>
      </c>
      <c r="O940" s="86" t="str">
        <f ca="1">'All Statement of strategy (D)'!$I1454</f>
        <v xml:space="preserve"> </v>
      </c>
    </row>
    <row r="941" spans="1:15">
      <c r="A941" s="857"/>
      <c r="B941" s="857"/>
      <c r="C941" s="857"/>
      <c r="D941" s="857"/>
      <c r="E941" s="857"/>
      <c r="F941" s="857"/>
      <c r="G941" s="857"/>
      <c r="H941" s="857"/>
      <c r="I941" s="857"/>
      <c r="J941" s="857"/>
      <c r="K941" s="857"/>
      <c r="L941" s="857"/>
      <c r="N941" s="631" t="str">
        <f t="shared" ca="1" si="15"/>
        <v>Refresh the statement</v>
      </c>
      <c r="O941" s="86" t="str">
        <f ca="1">'All Statement of strategy (D)'!$I1455</f>
        <v xml:space="preserve"> </v>
      </c>
    </row>
    <row r="942" spans="1:15">
      <c r="A942" s="857"/>
      <c r="B942" s="857"/>
      <c r="C942" s="857"/>
      <c r="D942" s="857"/>
      <c r="E942" s="857"/>
      <c r="F942" s="857"/>
      <c r="G942" s="857"/>
      <c r="H942" s="857"/>
      <c r="I942" s="857"/>
      <c r="J942" s="857"/>
      <c r="K942" s="857"/>
      <c r="L942" s="857"/>
      <c r="N942" s="631" t="str">
        <f t="shared" ca="1" si="15"/>
        <v>Refresh the statement</v>
      </c>
      <c r="O942" s="86" t="str">
        <f ca="1">'All Statement of strategy (D)'!$I1456</f>
        <v xml:space="preserve"> </v>
      </c>
    </row>
    <row r="943" spans="1:15">
      <c r="A943" s="857" t="str">
        <f ca="1">'All Statement of strategy (D)'!$I1458&amp;'All Statement of strategy (D)'!$I1459&amp;'All Statement of strategy (D)'!$I1460&amp;'All Statement of strategy (D)'!$I1461</f>
        <v xml:space="preserve">    </v>
      </c>
      <c r="B943" s="857"/>
      <c r="C943" s="857"/>
      <c r="D943" s="857"/>
      <c r="E943" s="857"/>
      <c r="F943" s="857"/>
      <c r="G943" s="857"/>
      <c r="H943" s="857"/>
      <c r="I943" s="857"/>
      <c r="J943" s="857"/>
      <c r="K943" s="857"/>
      <c r="L943" s="857"/>
      <c r="N943" s="631" t="str">
        <f t="shared" ca="1" si="15"/>
        <v>Refresh the statement</v>
      </c>
      <c r="O943" s="86" t="str">
        <f ca="1">'All Statement of strategy (D)'!$I1458</f>
        <v xml:space="preserve"> </v>
      </c>
    </row>
    <row r="944" spans="1:15">
      <c r="A944" s="857"/>
      <c r="B944" s="857"/>
      <c r="C944" s="857"/>
      <c r="D944" s="857"/>
      <c r="E944" s="857"/>
      <c r="F944" s="857"/>
      <c r="G944" s="857"/>
      <c r="H944" s="857"/>
      <c r="I944" s="857"/>
      <c r="J944" s="857"/>
      <c r="K944" s="857"/>
      <c r="L944" s="857"/>
      <c r="N944" s="631" t="str">
        <f t="shared" ca="1" si="15"/>
        <v>Refresh the statement</v>
      </c>
      <c r="O944" s="86" t="str">
        <f ca="1">'All Statement of strategy (D)'!$I1459</f>
        <v xml:space="preserve"> </v>
      </c>
    </row>
    <row r="945" spans="1:15">
      <c r="A945" s="857"/>
      <c r="B945" s="857"/>
      <c r="C945" s="857"/>
      <c r="D945" s="857"/>
      <c r="E945" s="857"/>
      <c r="F945" s="857"/>
      <c r="G945" s="857"/>
      <c r="H945" s="857"/>
      <c r="I945" s="857"/>
      <c r="J945" s="857"/>
      <c r="K945" s="857"/>
      <c r="L945" s="857"/>
      <c r="N945" s="631" t="str">
        <f t="shared" ca="1" si="15"/>
        <v>Refresh the statement</v>
      </c>
      <c r="O945" s="86" t="str">
        <f ca="1">'All Statement of strategy (D)'!$I1460</f>
        <v xml:space="preserve"> </v>
      </c>
    </row>
    <row r="946" spans="1:15">
      <c r="A946" s="857"/>
      <c r="B946" s="857"/>
      <c r="C946" s="857"/>
      <c r="D946" s="857"/>
      <c r="E946" s="857"/>
      <c r="F946" s="857"/>
      <c r="G946" s="857"/>
      <c r="H946" s="857"/>
      <c r="I946" s="857"/>
      <c r="J946" s="857"/>
      <c r="K946" s="857"/>
      <c r="L946" s="857"/>
      <c r="N946" s="631" t="str">
        <f t="shared" ca="1" si="15"/>
        <v>Refresh the statement</v>
      </c>
      <c r="O946" s="86" t="str">
        <f ca="1">'All Statement of strategy (D)'!$I1461</f>
        <v xml:space="preserve"> </v>
      </c>
    </row>
    <row r="947" spans="1:15">
      <c r="N947" s="631" t="str">
        <f t="shared" ca="1" si="15"/>
        <v>Refresh the statement</v>
      </c>
      <c r="O947" s="86" t="str">
        <f ca="1">IF($A$920&lt;&gt;"","Blank row","")</f>
        <v>Blank row</v>
      </c>
    </row>
    <row r="948" spans="1:15" ht="20">
      <c r="A948" s="882" t="str">
        <f ca="1">'All Statement of strategy (D)'!$I1462</f>
        <v xml:space="preserve"> </v>
      </c>
      <c r="B948" s="882"/>
      <c r="C948" s="882"/>
      <c r="D948" s="882"/>
      <c r="E948" s="882"/>
      <c r="F948" s="882"/>
      <c r="G948" s="882"/>
      <c r="H948" s="882"/>
      <c r="I948" s="882"/>
      <c r="J948" s="882"/>
      <c r="K948" s="882"/>
      <c r="L948" s="882"/>
      <c r="N948" s="631" t="str">
        <f t="shared" ca="1" si="15"/>
        <v>Refresh the statement</v>
      </c>
    </row>
    <row r="949" spans="1:15">
      <c r="N949" s="631" t="str">
        <f t="shared" ca="1" si="15"/>
        <v>Refresh the statement</v>
      </c>
      <c r="O949" s="86" t="str">
        <f ca="1">IF($A$948&lt;&gt;"","Blank row","")</f>
        <v>Blank row</v>
      </c>
    </row>
    <row r="950" spans="1:15">
      <c r="A950" s="861" t="str">
        <f ca="1">'All Statement of strategy (D)'!$I1463</f>
        <v xml:space="preserve"> </v>
      </c>
      <c r="B950" s="861"/>
      <c r="C950" s="861"/>
      <c r="D950" s="861"/>
      <c r="E950" s="861"/>
      <c r="F950" s="861"/>
      <c r="G950" s="861"/>
      <c r="H950" s="861"/>
      <c r="I950" s="861"/>
      <c r="J950" s="861"/>
      <c r="K950" s="861"/>
      <c r="L950" s="861"/>
      <c r="N950" s="631" t="str">
        <f t="shared" ca="1" si="15"/>
        <v>Refresh the statement</v>
      </c>
    </row>
    <row r="951" spans="1:15">
      <c r="A951" s="857" t="str">
        <f ca="1">'All Statement of strategy (D)'!$I1467&amp;'All Statement of strategy (D)'!$I1468&amp;'All Statement of strategy (D)'!$I1469&amp;'All Statement of strategy (D)'!$I1470</f>
        <v xml:space="preserve">    </v>
      </c>
      <c r="B951" s="857"/>
      <c r="C951" s="857"/>
      <c r="D951" s="857"/>
      <c r="E951" s="857"/>
      <c r="F951" s="857"/>
      <c r="G951" s="857"/>
      <c r="H951" s="857"/>
      <c r="I951" s="857"/>
      <c r="J951" s="857"/>
      <c r="K951" s="857"/>
      <c r="L951" s="857"/>
      <c r="N951" s="631" t="str">
        <f t="shared" ca="1" si="15"/>
        <v>Refresh the statement</v>
      </c>
      <c r="O951" s="86" t="str">
        <f ca="1">'All Statement of strategy (D)'!$I1467</f>
        <v xml:space="preserve"> </v>
      </c>
    </row>
    <row r="952" spans="1:15">
      <c r="A952" s="857"/>
      <c r="B952" s="857"/>
      <c r="C952" s="857"/>
      <c r="D952" s="857"/>
      <c r="E952" s="857"/>
      <c r="F952" s="857"/>
      <c r="G952" s="857"/>
      <c r="H952" s="857"/>
      <c r="I952" s="857"/>
      <c r="J952" s="857"/>
      <c r="K952" s="857"/>
      <c r="L952" s="857"/>
      <c r="N952" s="631" t="str">
        <f t="shared" ca="1" si="15"/>
        <v>Refresh the statement</v>
      </c>
      <c r="O952" s="86" t="str">
        <f ca="1">'All Statement of strategy (D)'!$I1468</f>
        <v xml:space="preserve"> </v>
      </c>
    </row>
    <row r="953" spans="1:15">
      <c r="A953" s="857"/>
      <c r="B953" s="857"/>
      <c r="C953" s="857"/>
      <c r="D953" s="857"/>
      <c r="E953" s="857"/>
      <c r="F953" s="857"/>
      <c r="G953" s="857"/>
      <c r="H953" s="857"/>
      <c r="I953" s="857"/>
      <c r="J953" s="857"/>
      <c r="K953" s="857"/>
      <c r="L953" s="857"/>
      <c r="N953" s="631" t="str">
        <f t="shared" ca="1" si="15"/>
        <v>Refresh the statement</v>
      </c>
      <c r="O953" s="86" t="str">
        <f ca="1">'All Statement of strategy (D)'!$I1469</f>
        <v xml:space="preserve"> </v>
      </c>
    </row>
    <row r="954" spans="1:15">
      <c r="A954" s="857"/>
      <c r="B954" s="857"/>
      <c r="C954" s="857"/>
      <c r="D954" s="857"/>
      <c r="E954" s="857"/>
      <c r="F954" s="857"/>
      <c r="G954" s="857"/>
      <c r="H954" s="857"/>
      <c r="I954" s="857"/>
      <c r="J954" s="857"/>
      <c r="K954" s="857"/>
      <c r="L954" s="857"/>
      <c r="N954" s="631" t="str">
        <f t="shared" ca="1" si="15"/>
        <v>Refresh the statement</v>
      </c>
      <c r="O954" s="86" t="str">
        <f ca="1">'All Statement of strategy (D)'!$I1470</f>
        <v xml:space="preserve"> </v>
      </c>
    </row>
    <row r="955" spans="1:15">
      <c r="A955" s="857" t="str">
        <f ca="1">'All Statement of strategy (D)'!$I1474&amp;'All Statement of strategy (D)'!$I1475&amp;'All Statement of strategy (D)'!$I1476&amp;'All Statement of strategy (D)'!$I1477</f>
        <v xml:space="preserve">    </v>
      </c>
      <c r="B955" s="857"/>
      <c r="C955" s="857"/>
      <c r="D955" s="857"/>
      <c r="E955" s="857"/>
      <c r="F955" s="857"/>
      <c r="G955" s="857"/>
      <c r="H955" s="857"/>
      <c r="I955" s="857"/>
      <c r="J955" s="857"/>
      <c r="K955" s="857"/>
      <c r="L955" s="857"/>
      <c r="N955" s="631" t="str">
        <f t="shared" ca="1" si="15"/>
        <v>Refresh the statement</v>
      </c>
      <c r="O955" s="86" t="str">
        <f ca="1">'All Statement of strategy (D)'!$I1474</f>
        <v xml:space="preserve"> </v>
      </c>
    </row>
    <row r="956" spans="1:15">
      <c r="A956" s="857"/>
      <c r="B956" s="857"/>
      <c r="C956" s="857"/>
      <c r="D956" s="857"/>
      <c r="E956" s="857"/>
      <c r="F956" s="857"/>
      <c r="G956" s="857"/>
      <c r="H956" s="857"/>
      <c r="I956" s="857"/>
      <c r="J956" s="857"/>
      <c r="K956" s="857"/>
      <c r="L956" s="857"/>
      <c r="N956" s="631" t="str">
        <f t="shared" ca="1" si="15"/>
        <v>Refresh the statement</v>
      </c>
      <c r="O956" s="86" t="str">
        <f ca="1">'All Statement of strategy (D)'!$I1475</f>
        <v xml:space="preserve"> </v>
      </c>
    </row>
    <row r="957" spans="1:15">
      <c r="A957" s="857"/>
      <c r="B957" s="857"/>
      <c r="C957" s="857"/>
      <c r="D957" s="857"/>
      <c r="E957" s="857"/>
      <c r="F957" s="857"/>
      <c r="G957" s="857"/>
      <c r="H957" s="857"/>
      <c r="I957" s="857"/>
      <c r="J957" s="857"/>
      <c r="K957" s="857"/>
      <c r="L957" s="857"/>
      <c r="N957" s="631" t="str">
        <f t="shared" ca="1" si="15"/>
        <v>Refresh the statement</v>
      </c>
      <c r="O957" s="86" t="str">
        <f ca="1">'All Statement of strategy (D)'!$I1476</f>
        <v xml:space="preserve"> </v>
      </c>
    </row>
    <row r="958" spans="1:15">
      <c r="A958" s="857"/>
      <c r="B958" s="857"/>
      <c r="C958" s="857"/>
      <c r="D958" s="857"/>
      <c r="E958" s="857"/>
      <c r="F958" s="857"/>
      <c r="G958" s="857"/>
      <c r="H958" s="857"/>
      <c r="I958" s="857"/>
      <c r="J958" s="857"/>
      <c r="K958" s="857"/>
      <c r="L958" s="857"/>
      <c r="N958" s="631" t="str">
        <f t="shared" ca="1" si="15"/>
        <v>Refresh the statement</v>
      </c>
      <c r="O958" s="86" t="str">
        <f ca="1">'All Statement of strategy (D)'!$I1477</f>
        <v xml:space="preserve"> </v>
      </c>
    </row>
    <row r="959" spans="1:15">
      <c r="A959" s="857" t="str">
        <f ca="1">_xlfn.TEXTJOIN("",TRUE,'All Statement of strategy (D)'!$I1478,'All Statement of strategy (D)'!$I1479)</f>
        <v xml:space="preserve">  </v>
      </c>
      <c r="B959" s="857"/>
      <c r="C959" s="857"/>
      <c r="D959" s="857"/>
      <c r="E959" s="857"/>
      <c r="F959" s="857"/>
      <c r="G959" s="857"/>
      <c r="H959" s="857"/>
      <c r="I959" s="857"/>
      <c r="J959" s="857"/>
      <c r="K959" s="857"/>
      <c r="L959" s="857"/>
      <c r="N959" s="631" t="str">
        <f t="shared" ca="1" si="15"/>
        <v>Refresh the statement</v>
      </c>
      <c r="O959" s="86" t="str">
        <f ca="1">A959</f>
        <v xml:space="preserve">  </v>
      </c>
    </row>
    <row r="960" spans="1:15">
      <c r="A960" s="857" t="str">
        <f ca="1">'All Statement of strategy (D)'!$I1480</f>
        <v xml:space="preserve"> </v>
      </c>
      <c r="B960" s="857"/>
      <c r="C960" s="857"/>
      <c r="D960" s="857"/>
      <c r="E960" s="857"/>
      <c r="F960" s="857"/>
      <c r="G960" s="857"/>
      <c r="H960" s="857"/>
      <c r="I960" s="857"/>
      <c r="J960" s="857"/>
      <c r="K960" s="857"/>
      <c r="L960" s="857"/>
      <c r="N960" s="631" t="str">
        <f t="shared" ca="1" si="15"/>
        <v>Refresh the statement</v>
      </c>
    </row>
    <row r="961" spans="1:15">
      <c r="A961" s="857" t="str">
        <f ca="1">'All Statement of strategy (D)'!$I1483&amp;'All Statement of strategy (D)'!$I1484&amp;'All Statement of strategy (D)'!$I1485&amp;'All Statement of strategy (D)'!$I1486</f>
        <v xml:space="preserve">    </v>
      </c>
      <c r="B961" s="857"/>
      <c r="C961" s="857"/>
      <c r="D961" s="857"/>
      <c r="E961" s="857"/>
      <c r="F961" s="857"/>
      <c r="G961" s="857"/>
      <c r="H961" s="857"/>
      <c r="I961" s="857"/>
      <c r="J961" s="857"/>
      <c r="K961" s="857"/>
      <c r="L961" s="857"/>
      <c r="N961" s="631" t="str">
        <f t="shared" ca="1" si="15"/>
        <v>Refresh the statement</v>
      </c>
      <c r="O961" s="86" t="str">
        <f ca="1">'All Statement of strategy (D)'!$I1483</f>
        <v xml:space="preserve"> </v>
      </c>
    </row>
    <row r="962" spans="1:15">
      <c r="A962" s="857"/>
      <c r="B962" s="857"/>
      <c r="C962" s="857"/>
      <c r="D962" s="857"/>
      <c r="E962" s="857"/>
      <c r="F962" s="857"/>
      <c r="G962" s="857"/>
      <c r="H962" s="857"/>
      <c r="I962" s="857"/>
      <c r="J962" s="857"/>
      <c r="K962" s="857"/>
      <c r="L962" s="857"/>
      <c r="N962" s="631" t="str">
        <f t="shared" ca="1" si="15"/>
        <v>Refresh the statement</v>
      </c>
      <c r="O962" s="86" t="str">
        <f ca="1">'All Statement of strategy (D)'!$I1484</f>
        <v xml:space="preserve"> </v>
      </c>
    </row>
    <row r="963" spans="1:15">
      <c r="A963" s="857"/>
      <c r="B963" s="857"/>
      <c r="C963" s="857"/>
      <c r="D963" s="857"/>
      <c r="E963" s="857"/>
      <c r="F963" s="857"/>
      <c r="G963" s="857"/>
      <c r="H963" s="857"/>
      <c r="I963" s="857"/>
      <c r="J963" s="857"/>
      <c r="K963" s="857"/>
      <c r="L963" s="857"/>
      <c r="N963" s="631" t="str">
        <f t="shared" ca="1" si="15"/>
        <v>Refresh the statement</v>
      </c>
      <c r="O963" s="86" t="str">
        <f ca="1">'All Statement of strategy (D)'!$I1485</f>
        <v xml:space="preserve"> </v>
      </c>
    </row>
    <row r="964" spans="1:15">
      <c r="A964" s="857"/>
      <c r="B964" s="857"/>
      <c r="C964" s="857"/>
      <c r="D964" s="857"/>
      <c r="E964" s="857"/>
      <c r="F964" s="857"/>
      <c r="G964" s="857"/>
      <c r="H964" s="857"/>
      <c r="I964" s="857"/>
      <c r="J964" s="857"/>
      <c r="K964" s="857"/>
      <c r="L964" s="857"/>
      <c r="N964" s="631" t="str">
        <f t="shared" ca="1" si="15"/>
        <v>Refresh the statement</v>
      </c>
      <c r="O964" s="86" t="str">
        <f ca="1">'All Statement of strategy (D)'!$I1486</f>
        <v xml:space="preserve"> </v>
      </c>
    </row>
    <row r="965" spans="1:15">
      <c r="A965" s="857" t="str">
        <f ca="1">'All Statement of strategy (D)'!$I1487</f>
        <v xml:space="preserve"> </v>
      </c>
      <c r="B965" s="857"/>
      <c r="C965" s="857"/>
      <c r="D965" s="857"/>
      <c r="E965" s="857"/>
      <c r="F965" s="857"/>
      <c r="G965" s="857"/>
      <c r="H965" s="857"/>
      <c r="I965" s="857"/>
      <c r="J965" s="857"/>
      <c r="K965" s="857"/>
      <c r="L965" s="857"/>
      <c r="N965" s="631" t="str">
        <f t="shared" ca="1" si="15"/>
        <v>Refresh the statement</v>
      </c>
    </row>
    <row r="966" spans="1:15">
      <c r="N966" s="631" t="str">
        <f t="shared" ca="1" si="15"/>
        <v>Refresh the statement</v>
      </c>
      <c r="O966" s="86" t="str">
        <f ca="1">IF($A$951&lt;&gt;"","Blank row","")</f>
        <v>Blank row</v>
      </c>
    </row>
    <row r="967" spans="1:15">
      <c r="A967" s="861" t="str">
        <f ca="1">'All Statement of strategy (D)'!$I1488</f>
        <v xml:space="preserve"> </v>
      </c>
      <c r="B967" s="861"/>
      <c r="C967" s="861"/>
      <c r="D967" s="861"/>
      <c r="E967" s="861"/>
      <c r="F967" s="861"/>
      <c r="G967" s="861"/>
      <c r="H967" s="861"/>
      <c r="I967" s="861"/>
      <c r="J967" s="861"/>
      <c r="K967" s="861"/>
      <c r="L967" s="861"/>
      <c r="N967" s="631" t="str">
        <f t="shared" ca="1" si="15"/>
        <v>Refresh the statement</v>
      </c>
    </row>
    <row r="968" spans="1:15" ht="46.5">
      <c r="A968" s="857" t="str">
        <f ca="1">_xlfn.TEXTJOIN("
",TRUE,'All Statement of strategy (D)'!$I1489,'All Statement of strategy (D)'!$I1490,'All Statement of strategy (D)'!$I1491,'All Statement of strategy (D)'!$I1492)</f>
        <v xml:space="preserve"> 
 </v>
      </c>
      <c r="B968" s="857"/>
      <c r="C968" s="857"/>
      <c r="D968" s="857"/>
      <c r="E968" s="857"/>
      <c r="F968" s="857"/>
      <c r="G968" s="857"/>
      <c r="H968" s="857"/>
      <c r="I968" s="857"/>
      <c r="J968" s="857"/>
      <c r="K968" s="857"/>
      <c r="L968" s="857"/>
      <c r="N968" s="631" t="str">
        <f t="shared" ca="1" si="15"/>
        <v>Refresh the statement</v>
      </c>
      <c r="O968" s="86" t="str">
        <f ca="1">A968</f>
        <v xml:space="preserve"> 
 </v>
      </c>
    </row>
    <row r="969" spans="1:15">
      <c r="A969" s="857" t="str">
        <f ca="1">'All Statement of strategy (D)'!$I1493&amp;'All Statement of strategy (D)'!$I1494&amp;'All Statement of strategy (D)'!$I1495&amp;'All Statement of strategy (D)'!$I1496</f>
        <v xml:space="preserve">    </v>
      </c>
      <c r="B969" s="857"/>
      <c r="C969" s="857"/>
      <c r="D969" s="857"/>
      <c r="E969" s="857"/>
      <c r="F969" s="857"/>
      <c r="G969" s="857"/>
      <c r="H969" s="857"/>
      <c r="I969" s="857"/>
      <c r="J969" s="857"/>
      <c r="K969" s="857"/>
      <c r="L969" s="857"/>
      <c r="N969" s="631" t="str">
        <f t="shared" ca="1" si="15"/>
        <v>Refresh the statement</v>
      </c>
      <c r="O969" s="86" t="str">
        <f ca="1">'All Statement of strategy (D)'!$I1493</f>
        <v xml:space="preserve"> </v>
      </c>
    </row>
    <row r="970" spans="1:15">
      <c r="A970" s="857"/>
      <c r="B970" s="857"/>
      <c r="C970" s="857"/>
      <c r="D970" s="857"/>
      <c r="E970" s="857"/>
      <c r="F970" s="857"/>
      <c r="G970" s="857"/>
      <c r="H970" s="857"/>
      <c r="I970" s="857"/>
      <c r="J970" s="857"/>
      <c r="K970" s="857"/>
      <c r="L970" s="857"/>
      <c r="N970" s="631" t="str">
        <f t="shared" ca="1" si="15"/>
        <v>Refresh the statement</v>
      </c>
      <c r="O970" s="86" t="str">
        <f ca="1">'All Statement of strategy (D)'!$I1494</f>
        <v xml:space="preserve"> </v>
      </c>
    </row>
    <row r="971" spans="1:15">
      <c r="A971" s="857"/>
      <c r="B971" s="857"/>
      <c r="C971" s="857"/>
      <c r="D971" s="857"/>
      <c r="E971" s="857"/>
      <c r="F971" s="857"/>
      <c r="G971" s="857"/>
      <c r="H971" s="857"/>
      <c r="I971" s="857"/>
      <c r="J971" s="857"/>
      <c r="K971" s="857"/>
      <c r="L971" s="857"/>
      <c r="N971" s="631" t="str">
        <f t="shared" ca="1" si="15"/>
        <v>Refresh the statement</v>
      </c>
      <c r="O971" s="86" t="str">
        <f ca="1">'All Statement of strategy (D)'!$I1495</f>
        <v xml:space="preserve"> </v>
      </c>
    </row>
    <row r="972" spans="1:15">
      <c r="A972" s="857"/>
      <c r="B972" s="857"/>
      <c r="C972" s="857"/>
      <c r="D972" s="857"/>
      <c r="E972" s="857"/>
      <c r="F972" s="857"/>
      <c r="G972" s="857"/>
      <c r="H972" s="857"/>
      <c r="I972" s="857"/>
      <c r="J972" s="857"/>
      <c r="K972" s="857"/>
      <c r="L972" s="857"/>
      <c r="N972" s="631" t="str">
        <f t="shared" ca="1" si="15"/>
        <v>Refresh the statement</v>
      </c>
      <c r="O972" s="86" t="str">
        <f ca="1">'All Statement of strategy (D)'!$I1496</f>
        <v xml:space="preserve"> </v>
      </c>
    </row>
    <row r="973" spans="1:15">
      <c r="A973" s="857" t="str">
        <f ca="1">'All Statement of strategy (D)'!$I1498&amp;'All Statement of strategy (D)'!$I1499&amp;'All Statement of strategy (D)'!$I1500&amp;'All Statement of strategy (D)'!$I1501</f>
        <v xml:space="preserve">    </v>
      </c>
      <c r="B973" s="857"/>
      <c r="C973" s="857"/>
      <c r="D973" s="857"/>
      <c r="E973" s="857"/>
      <c r="F973" s="857"/>
      <c r="G973" s="857"/>
      <c r="H973" s="857"/>
      <c r="I973" s="857"/>
      <c r="J973" s="857"/>
      <c r="K973" s="857"/>
      <c r="L973" s="857"/>
      <c r="N973" s="631" t="str">
        <f t="shared" ca="1" si="15"/>
        <v>Refresh the statement</v>
      </c>
      <c r="O973" s="86" t="str">
        <f ca="1">'All Statement of strategy (D)'!$I1498</f>
        <v xml:space="preserve"> </v>
      </c>
    </row>
    <row r="974" spans="1:15">
      <c r="A974" s="857"/>
      <c r="B974" s="857"/>
      <c r="C974" s="857"/>
      <c r="D974" s="857"/>
      <c r="E974" s="857"/>
      <c r="F974" s="857"/>
      <c r="G974" s="857"/>
      <c r="H974" s="857"/>
      <c r="I974" s="857"/>
      <c r="J974" s="857"/>
      <c r="K974" s="857"/>
      <c r="L974" s="857"/>
      <c r="N974" s="631" t="str">
        <f t="shared" ca="1" si="15"/>
        <v>Refresh the statement</v>
      </c>
      <c r="O974" s="86" t="str">
        <f ca="1">'All Statement of strategy (D)'!$I1499</f>
        <v xml:space="preserve"> </v>
      </c>
    </row>
    <row r="975" spans="1:15">
      <c r="A975" s="857"/>
      <c r="B975" s="857"/>
      <c r="C975" s="857"/>
      <c r="D975" s="857"/>
      <c r="E975" s="857"/>
      <c r="F975" s="857"/>
      <c r="G975" s="857"/>
      <c r="H975" s="857"/>
      <c r="I975" s="857"/>
      <c r="J975" s="857"/>
      <c r="K975" s="857"/>
      <c r="L975" s="857"/>
      <c r="N975" s="631" t="str">
        <f t="shared" ref="N975:N1037" ca="1" si="16">IF(OR(A975&lt;&gt;"",B975&lt;&gt;"",C975&lt;&gt;"",D975&lt;&gt;"",E975&lt;&gt;"",F975&lt;&gt;"",G975&lt;&gt;"",H975&lt;&gt;"",I975&lt;&gt;"",J975&lt;&gt;"",K975&lt;&gt;"",L975&lt;&gt;"",M975&lt;&gt;"",O975&lt;&gt;""),"Refresh the statement","Scroll up and click refresh")</f>
        <v>Refresh the statement</v>
      </c>
      <c r="O975" s="86" t="str">
        <f ca="1">'All Statement of strategy (D)'!$I1500</f>
        <v xml:space="preserve"> </v>
      </c>
    </row>
    <row r="976" spans="1:15">
      <c r="A976" s="857"/>
      <c r="B976" s="857"/>
      <c r="C976" s="857"/>
      <c r="D976" s="857"/>
      <c r="E976" s="857"/>
      <c r="F976" s="857"/>
      <c r="G976" s="857"/>
      <c r="H976" s="857"/>
      <c r="I976" s="857"/>
      <c r="J976" s="857"/>
      <c r="K976" s="857"/>
      <c r="L976" s="857"/>
      <c r="N976" s="631" t="str">
        <f t="shared" ca="1" si="16"/>
        <v>Refresh the statement</v>
      </c>
      <c r="O976" s="86" t="str">
        <f ca="1">'All Statement of strategy (D)'!$I1501</f>
        <v xml:space="preserve"> </v>
      </c>
    </row>
    <row r="977" spans="1:15">
      <c r="N977" s="631" t="str">
        <f t="shared" ca="1" si="16"/>
        <v>Refresh the statement</v>
      </c>
      <c r="O977" s="86" t="str">
        <f ca="1">IF($A$951&lt;&gt;"","Blank row","")</f>
        <v>Blank row</v>
      </c>
    </row>
    <row r="978" spans="1:15">
      <c r="A978" s="861" t="str">
        <f ca="1">'All Statement of strategy (D)'!$I1502</f>
        <v xml:space="preserve"> </v>
      </c>
      <c r="B978" s="861"/>
      <c r="C978" s="861"/>
      <c r="D978" s="861"/>
      <c r="E978" s="861"/>
      <c r="F978" s="861"/>
      <c r="G978" s="861"/>
      <c r="H978" s="861"/>
      <c r="I978" s="861"/>
      <c r="J978" s="861"/>
      <c r="K978" s="861"/>
      <c r="L978" s="861"/>
      <c r="N978" s="631" t="str">
        <f t="shared" ca="1" si="16"/>
        <v>Refresh the statement</v>
      </c>
    </row>
    <row r="979" spans="1:15">
      <c r="A979" s="857" t="str">
        <f ca="1">'All Statement of strategy (D)'!$I1506&amp;'All Statement of strategy (D)'!$I1507&amp;'All Statement of strategy (D)'!$I1508&amp;'All Statement of strategy (D)'!$I1509</f>
        <v xml:space="preserve">    </v>
      </c>
      <c r="B979" s="857"/>
      <c r="C979" s="857"/>
      <c r="D979" s="857"/>
      <c r="E979" s="857"/>
      <c r="F979" s="857"/>
      <c r="G979" s="857"/>
      <c r="H979" s="857"/>
      <c r="I979" s="857"/>
      <c r="J979" s="857"/>
      <c r="K979" s="857"/>
      <c r="L979" s="857"/>
      <c r="N979" s="631" t="str">
        <f t="shared" ca="1" si="16"/>
        <v>Refresh the statement</v>
      </c>
      <c r="O979" s="86" t="str">
        <f ca="1">'All Statement of strategy (D)'!$I1506</f>
        <v xml:space="preserve"> </v>
      </c>
    </row>
    <row r="980" spans="1:15">
      <c r="A980" s="857"/>
      <c r="B980" s="857"/>
      <c r="C980" s="857"/>
      <c r="D980" s="857"/>
      <c r="E980" s="857"/>
      <c r="F980" s="857"/>
      <c r="G980" s="857"/>
      <c r="H980" s="857"/>
      <c r="I980" s="857"/>
      <c r="J980" s="857"/>
      <c r="K980" s="857"/>
      <c r="L980" s="857"/>
      <c r="N980" s="631" t="str">
        <f t="shared" ca="1" si="16"/>
        <v>Refresh the statement</v>
      </c>
      <c r="O980" s="86" t="str">
        <f ca="1">'All Statement of strategy (D)'!$I1507</f>
        <v xml:space="preserve"> </v>
      </c>
    </row>
    <row r="981" spans="1:15">
      <c r="A981" s="857"/>
      <c r="B981" s="857"/>
      <c r="C981" s="857"/>
      <c r="D981" s="857"/>
      <c r="E981" s="857"/>
      <c r="F981" s="857"/>
      <c r="G981" s="857"/>
      <c r="H981" s="857"/>
      <c r="I981" s="857"/>
      <c r="J981" s="857"/>
      <c r="K981" s="857"/>
      <c r="L981" s="857"/>
      <c r="N981" s="631" t="str">
        <f t="shared" ca="1" si="16"/>
        <v>Refresh the statement</v>
      </c>
      <c r="O981" s="86" t="str">
        <f ca="1">'All Statement of strategy (D)'!$I1508</f>
        <v xml:space="preserve"> </v>
      </c>
    </row>
    <row r="982" spans="1:15">
      <c r="A982" s="857"/>
      <c r="B982" s="857"/>
      <c r="C982" s="857"/>
      <c r="D982" s="857"/>
      <c r="E982" s="857"/>
      <c r="F982" s="857"/>
      <c r="G982" s="857"/>
      <c r="H982" s="857"/>
      <c r="I982" s="857"/>
      <c r="J982" s="857"/>
      <c r="K982" s="857"/>
      <c r="L982" s="857"/>
      <c r="N982" s="631" t="str">
        <f t="shared" ca="1" si="16"/>
        <v>Refresh the statement</v>
      </c>
      <c r="O982" s="86" t="str">
        <f ca="1">'All Statement of strategy (D)'!$I1509</f>
        <v xml:space="preserve"> </v>
      </c>
    </row>
    <row r="983" spans="1:15">
      <c r="A983" s="857" t="str">
        <f ca="1">'All Statement of strategy (D)'!$I1513&amp;'All Statement of strategy (D)'!$I1514&amp;'All Statement of strategy (D)'!$I1515&amp;'All Statement of strategy (D)'!$I1516</f>
        <v xml:space="preserve">    </v>
      </c>
      <c r="B983" s="857"/>
      <c r="C983" s="857"/>
      <c r="D983" s="857"/>
      <c r="E983" s="857"/>
      <c r="F983" s="857"/>
      <c r="G983" s="857"/>
      <c r="H983" s="857"/>
      <c r="I983" s="857"/>
      <c r="J983" s="857"/>
      <c r="K983" s="857"/>
      <c r="L983" s="857"/>
      <c r="N983" s="631" t="str">
        <f t="shared" ca="1" si="16"/>
        <v>Refresh the statement</v>
      </c>
      <c r="O983" s="86" t="str">
        <f ca="1">'All Statement of strategy (D)'!$I1513</f>
        <v xml:space="preserve"> </v>
      </c>
    </row>
    <row r="984" spans="1:15">
      <c r="A984" s="857"/>
      <c r="B984" s="857"/>
      <c r="C984" s="857"/>
      <c r="D984" s="857"/>
      <c r="E984" s="857"/>
      <c r="F984" s="857"/>
      <c r="G984" s="857"/>
      <c r="H984" s="857"/>
      <c r="I984" s="857"/>
      <c r="J984" s="857"/>
      <c r="K984" s="857"/>
      <c r="L984" s="857"/>
      <c r="N984" s="631" t="str">
        <f t="shared" ca="1" si="16"/>
        <v>Refresh the statement</v>
      </c>
      <c r="O984" s="86" t="str">
        <f ca="1">'All Statement of strategy (D)'!$I1514</f>
        <v xml:space="preserve"> </v>
      </c>
    </row>
    <row r="985" spans="1:15">
      <c r="A985" s="857"/>
      <c r="B985" s="857"/>
      <c r="C985" s="857"/>
      <c r="D985" s="857"/>
      <c r="E985" s="857"/>
      <c r="F985" s="857"/>
      <c r="G985" s="857"/>
      <c r="H985" s="857"/>
      <c r="I985" s="857"/>
      <c r="J985" s="857"/>
      <c r="K985" s="857"/>
      <c r="L985" s="857"/>
      <c r="N985" s="631" t="str">
        <f t="shared" ca="1" si="16"/>
        <v>Refresh the statement</v>
      </c>
      <c r="O985" s="86" t="str">
        <f ca="1">'All Statement of strategy (D)'!$I1515</f>
        <v xml:space="preserve"> </v>
      </c>
    </row>
    <row r="986" spans="1:15">
      <c r="A986" s="857"/>
      <c r="B986" s="857"/>
      <c r="C986" s="857"/>
      <c r="D986" s="857"/>
      <c r="E986" s="857"/>
      <c r="F986" s="857"/>
      <c r="G986" s="857"/>
      <c r="H986" s="857"/>
      <c r="I986" s="857"/>
      <c r="J986" s="857"/>
      <c r="K986" s="857"/>
      <c r="L986" s="857"/>
      <c r="N986" s="631" t="str">
        <f t="shared" ca="1" si="16"/>
        <v>Refresh the statement</v>
      </c>
      <c r="O986" s="86" t="str">
        <f ca="1">'All Statement of strategy (D)'!$I1516</f>
        <v xml:space="preserve"> </v>
      </c>
    </row>
    <row r="987" spans="1:15">
      <c r="A987" s="857" t="str">
        <f ca="1">_xlfn.TEXTJOIN("",TRUE,'All Statement of strategy (D)'!$I1517,'All Statement of strategy (D)'!$I1518)</f>
        <v xml:space="preserve">  </v>
      </c>
      <c r="B987" s="857"/>
      <c r="C987" s="857"/>
      <c r="D987" s="857"/>
      <c r="E987" s="857"/>
      <c r="F987" s="857"/>
      <c r="G987" s="857"/>
      <c r="H987" s="857"/>
      <c r="I987" s="857"/>
      <c r="J987" s="857"/>
      <c r="K987" s="857"/>
      <c r="L987" s="857"/>
      <c r="N987" s="631" t="str">
        <f t="shared" ca="1" si="16"/>
        <v>Refresh the statement</v>
      </c>
      <c r="O987" s="86" t="str">
        <f ca="1">A987</f>
        <v xml:space="preserve">  </v>
      </c>
    </row>
    <row r="988" spans="1:15">
      <c r="A988" s="857" t="str">
        <f ca="1">'All Statement of strategy (D)'!$I1519</f>
        <v xml:space="preserve"> </v>
      </c>
      <c r="B988" s="857"/>
      <c r="C988" s="857"/>
      <c r="D988" s="857"/>
      <c r="E988" s="857"/>
      <c r="F988" s="857"/>
      <c r="G988" s="857"/>
      <c r="H988" s="857"/>
      <c r="I988" s="857"/>
      <c r="J988" s="857"/>
      <c r="K988" s="857"/>
      <c r="L988" s="857"/>
      <c r="N988" s="631" t="str">
        <f t="shared" ca="1" si="16"/>
        <v>Refresh the statement</v>
      </c>
    </row>
    <row r="989" spans="1:15">
      <c r="A989" s="857" t="str">
        <f ca="1">'All Statement of strategy (D)'!$I1522&amp;'All Statement of strategy (D)'!$I1523&amp;'All Statement of strategy (D)'!$I1524&amp;'All Statement of strategy (D)'!$I1525</f>
        <v xml:space="preserve">    </v>
      </c>
      <c r="B989" s="857"/>
      <c r="C989" s="857"/>
      <c r="D989" s="857"/>
      <c r="E989" s="857"/>
      <c r="F989" s="857"/>
      <c r="G989" s="857"/>
      <c r="H989" s="857"/>
      <c r="I989" s="857"/>
      <c r="J989" s="857"/>
      <c r="K989" s="857"/>
      <c r="L989" s="857"/>
      <c r="N989" s="631" t="str">
        <f t="shared" ca="1" si="16"/>
        <v>Refresh the statement</v>
      </c>
      <c r="O989" s="86" t="str">
        <f ca="1">'All Statement of strategy (D)'!$I1522</f>
        <v xml:space="preserve"> </v>
      </c>
    </row>
    <row r="990" spans="1:15">
      <c r="A990" s="857"/>
      <c r="B990" s="857"/>
      <c r="C990" s="857"/>
      <c r="D990" s="857"/>
      <c r="E990" s="857"/>
      <c r="F990" s="857"/>
      <c r="G990" s="857"/>
      <c r="H990" s="857"/>
      <c r="I990" s="857"/>
      <c r="J990" s="857"/>
      <c r="K990" s="857"/>
      <c r="L990" s="857"/>
      <c r="N990" s="631" t="str">
        <f t="shared" ca="1" si="16"/>
        <v>Refresh the statement</v>
      </c>
      <c r="O990" s="86" t="str">
        <f ca="1">'All Statement of strategy (D)'!$I1523</f>
        <v xml:space="preserve"> </v>
      </c>
    </row>
    <row r="991" spans="1:15">
      <c r="A991" s="857"/>
      <c r="B991" s="857"/>
      <c r="C991" s="857"/>
      <c r="D991" s="857"/>
      <c r="E991" s="857"/>
      <c r="F991" s="857"/>
      <c r="G991" s="857"/>
      <c r="H991" s="857"/>
      <c r="I991" s="857"/>
      <c r="J991" s="857"/>
      <c r="K991" s="857"/>
      <c r="L991" s="857"/>
      <c r="N991" s="631" t="str">
        <f t="shared" ca="1" si="16"/>
        <v>Refresh the statement</v>
      </c>
      <c r="O991" s="86" t="str">
        <f ca="1">'All Statement of strategy (D)'!$I1524</f>
        <v xml:space="preserve"> </v>
      </c>
    </row>
    <row r="992" spans="1:15">
      <c r="A992" s="857"/>
      <c r="B992" s="857"/>
      <c r="C992" s="857"/>
      <c r="D992" s="857"/>
      <c r="E992" s="857"/>
      <c r="F992" s="857"/>
      <c r="G992" s="857"/>
      <c r="H992" s="857"/>
      <c r="I992" s="857"/>
      <c r="J992" s="857"/>
      <c r="K992" s="857"/>
      <c r="L992" s="857"/>
      <c r="N992" s="631" t="str">
        <f t="shared" ca="1" si="16"/>
        <v>Refresh the statement</v>
      </c>
      <c r="O992" s="86" t="str">
        <f ca="1">'All Statement of strategy (D)'!$I1525</f>
        <v xml:space="preserve"> </v>
      </c>
    </row>
    <row r="993" spans="1:15">
      <c r="A993" s="857" t="str">
        <f ca="1">'All Statement of strategy (D)'!$I1526</f>
        <v xml:space="preserve"> </v>
      </c>
      <c r="B993" s="857"/>
      <c r="C993" s="857"/>
      <c r="D993" s="857"/>
      <c r="E993" s="857"/>
      <c r="F993" s="857"/>
      <c r="G993" s="857"/>
      <c r="H993" s="857"/>
      <c r="I993" s="857"/>
      <c r="J993" s="857"/>
      <c r="K993" s="857"/>
      <c r="L993" s="857"/>
      <c r="N993" s="631" t="str">
        <f t="shared" ca="1" si="16"/>
        <v>Refresh the statement</v>
      </c>
    </row>
    <row r="994" spans="1:15">
      <c r="N994" s="631" t="str">
        <f t="shared" ca="1" si="16"/>
        <v>Refresh the statement</v>
      </c>
      <c r="O994" s="86" t="str">
        <f ca="1">IF(A979&lt;&gt;"","Blank row","")</f>
        <v>Blank row</v>
      </c>
    </row>
    <row r="995" spans="1:15">
      <c r="A995" s="861" t="str">
        <f ca="1">'All Statement of strategy (D)'!$I1527</f>
        <v xml:space="preserve"> </v>
      </c>
      <c r="B995" s="861"/>
      <c r="C995" s="861"/>
      <c r="D995" s="861"/>
      <c r="E995" s="861"/>
      <c r="F995" s="861"/>
      <c r="G995" s="861"/>
      <c r="H995" s="861"/>
      <c r="I995" s="861"/>
      <c r="J995" s="861"/>
      <c r="K995" s="861"/>
      <c r="L995" s="861"/>
      <c r="N995" s="631" t="str">
        <f t="shared" ca="1" si="16"/>
        <v>Refresh the statement</v>
      </c>
    </row>
    <row r="996" spans="1:15" ht="46.5">
      <c r="A996" s="857" t="str">
        <f ca="1">_xlfn.TEXTJOIN("
",TRUE,'All Statement of strategy (D)'!$I1528,'All Statement of strategy (D)'!$I1529,'All Statement of strategy (D)'!$I1530,'All Statement of strategy (D)'!$I1531)</f>
        <v xml:space="preserve"> 
 </v>
      </c>
      <c r="B996" s="857"/>
      <c r="C996" s="857"/>
      <c r="D996" s="857"/>
      <c r="E996" s="857"/>
      <c r="F996" s="857"/>
      <c r="G996" s="857"/>
      <c r="H996" s="857"/>
      <c r="I996" s="857"/>
      <c r="J996" s="857"/>
      <c r="K996" s="857"/>
      <c r="L996" s="857"/>
      <c r="N996" s="631" t="str">
        <f t="shared" ca="1" si="16"/>
        <v>Refresh the statement</v>
      </c>
      <c r="O996" s="86" t="str">
        <f ca="1">A996</f>
        <v xml:space="preserve"> 
 </v>
      </c>
    </row>
    <row r="997" spans="1:15">
      <c r="A997" s="857" t="str">
        <f ca="1">'All Statement of strategy (D)'!$I1532&amp;'All Statement of strategy (D)'!$I1533&amp;'All Statement of strategy (D)'!$I1534&amp;'All Statement of strategy (D)'!$I1535</f>
        <v xml:space="preserve">    </v>
      </c>
      <c r="B997" s="857"/>
      <c r="C997" s="857"/>
      <c r="D997" s="857"/>
      <c r="E997" s="857"/>
      <c r="F997" s="857"/>
      <c r="G997" s="857"/>
      <c r="H997" s="857"/>
      <c r="I997" s="857"/>
      <c r="J997" s="857"/>
      <c r="K997" s="857"/>
      <c r="L997" s="857"/>
      <c r="N997" s="631" t="str">
        <f t="shared" ca="1" si="16"/>
        <v>Refresh the statement</v>
      </c>
      <c r="O997" s="86" t="str">
        <f ca="1">'All Statement of strategy (D)'!$I1532</f>
        <v xml:space="preserve"> </v>
      </c>
    </row>
    <row r="998" spans="1:15">
      <c r="A998" s="857"/>
      <c r="B998" s="857"/>
      <c r="C998" s="857"/>
      <c r="D998" s="857"/>
      <c r="E998" s="857"/>
      <c r="F998" s="857"/>
      <c r="G998" s="857"/>
      <c r="H998" s="857"/>
      <c r="I998" s="857"/>
      <c r="J998" s="857"/>
      <c r="K998" s="857"/>
      <c r="L998" s="857"/>
      <c r="N998" s="631" t="str">
        <f t="shared" ca="1" si="16"/>
        <v>Refresh the statement</v>
      </c>
      <c r="O998" s="86" t="str">
        <f ca="1">'All Statement of strategy (D)'!$I1533</f>
        <v xml:space="preserve"> </v>
      </c>
    </row>
    <row r="999" spans="1:15">
      <c r="A999" s="857"/>
      <c r="B999" s="857"/>
      <c r="C999" s="857"/>
      <c r="D999" s="857"/>
      <c r="E999" s="857"/>
      <c r="F999" s="857"/>
      <c r="G999" s="857"/>
      <c r="H999" s="857"/>
      <c r="I999" s="857"/>
      <c r="J999" s="857"/>
      <c r="K999" s="857"/>
      <c r="L999" s="857"/>
      <c r="N999" s="631" t="str">
        <f t="shared" ca="1" si="16"/>
        <v>Refresh the statement</v>
      </c>
      <c r="O999" s="86" t="str">
        <f ca="1">'All Statement of strategy (D)'!$I1534</f>
        <v xml:space="preserve"> </v>
      </c>
    </row>
    <row r="1000" spans="1:15">
      <c r="A1000" s="857"/>
      <c r="B1000" s="857"/>
      <c r="C1000" s="857"/>
      <c r="D1000" s="857"/>
      <c r="E1000" s="857"/>
      <c r="F1000" s="857"/>
      <c r="G1000" s="857"/>
      <c r="H1000" s="857"/>
      <c r="I1000" s="857"/>
      <c r="J1000" s="857"/>
      <c r="K1000" s="857"/>
      <c r="L1000" s="857"/>
      <c r="N1000" s="631" t="str">
        <f t="shared" ca="1" si="16"/>
        <v>Refresh the statement</v>
      </c>
      <c r="O1000" s="86" t="str">
        <f ca="1">'All Statement of strategy (D)'!$I1535</f>
        <v xml:space="preserve"> </v>
      </c>
    </row>
    <row r="1001" spans="1:15">
      <c r="A1001" s="857" t="str">
        <f ca="1">'All Statement of strategy (D)'!$I1537&amp;'All Statement of strategy (D)'!$I1538&amp;'All Statement of strategy (D)'!$I1539&amp;'All Statement of strategy (D)'!$I1540</f>
        <v xml:space="preserve">    </v>
      </c>
      <c r="B1001" s="857"/>
      <c r="C1001" s="857"/>
      <c r="D1001" s="857"/>
      <c r="E1001" s="857"/>
      <c r="F1001" s="857"/>
      <c r="G1001" s="857"/>
      <c r="H1001" s="857"/>
      <c r="I1001" s="857"/>
      <c r="J1001" s="857"/>
      <c r="K1001" s="857"/>
      <c r="L1001" s="857"/>
      <c r="N1001" s="631" t="str">
        <f t="shared" ca="1" si="16"/>
        <v>Refresh the statement</v>
      </c>
      <c r="O1001" s="86" t="str">
        <f ca="1">'All Statement of strategy (D)'!$I1537</f>
        <v xml:space="preserve"> </v>
      </c>
    </row>
    <row r="1002" spans="1:15">
      <c r="A1002" s="857"/>
      <c r="B1002" s="857"/>
      <c r="C1002" s="857"/>
      <c r="D1002" s="857"/>
      <c r="E1002" s="857"/>
      <c r="F1002" s="857"/>
      <c r="G1002" s="857"/>
      <c r="H1002" s="857"/>
      <c r="I1002" s="857"/>
      <c r="J1002" s="857"/>
      <c r="K1002" s="857"/>
      <c r="L1002" s="857"/>
      <c r="N1002" s="631" t="str">
        <f t="shared" ca="1" si="16"/>
        <v>Refresh the statement</v>
      </c>
      <c r="O1002" s="86" t="str">
        <f ca="1">'All Statement of strategy (D)'!$I1538</f>
        <v xml:space="preserve"> </v>
      </c>
    </row>
    <row r="1003" spans="1:15">
      <c r="A1003" s="857"/>
      <c r="B1003" s="857"/>
      <c r="C1003" s="857"/>
      <c r="D1003" s="857"/>
      <c r="E1003" s="857"/>
      <c r="F1003" s="857"/>
      <c r="G1003" s="857"/>
      <c r="H1003" s="857"/>
      <c r="I1003" s="857"/>
      <c r="J1003" s="857"/>
      <c r="K1003" s="857"/>
      <c r="L1003" s="857"/>
      <c r="N1003" s="631" t="str">
        <f t="shared" ca="1" si="16"/>
        <v>Refresh the statement</v>
      </c>
      <c r="O1003" s="86" t="str">
        <f ca="1">'All Statement of strategy (D)'!$I1539</f>
        <v xml:space="preserve"> </v>
      </c>
    </row>
    <row r="1004" spans="1:15">
      <c r="A1004" s="857"/>
      <c r="B1004" s="857"/>
      <c r="C1004" s="857"/>
      <c r="D1004" s="857"/>
      <c r="E1004" s="857"/>
      <c r="F1004" s="857"/>
      <c r="G1004" s="857"/>
      <c r="H1004" s="857"/>
      <c r="I1004" s="857"/>
      <c r="J1004" s="857"/>
      <c r="K1004" s="857"/>
      <c r="L1004" s="857"/>
      <c r="N1004" s="631" t="str">
        <f t="shared" ca="1" si="16"/>
        <v>Refresh the statement</v>
      </c>
      <c r="O1004" s="86" t="str">
        <f ca="1">'All Statement of strategy (D)'!$I1540</f>
        <v xml:space="preserve"> </v>
      </c>
    </row>
    <row r="1005" spans="1:15">
      <c r="N1005" s="631" t="str">
        <f t="shared" ca="1" si="16"/>
        <v>Refresh the statement</v>
      </c>
      <c r="O1005" s="86" t="str">
        <f ca="1">IF(A979&lt;&gt;"","Blank row","")</f>
        <v>Blank row</v>
      </c>
    </row>
    <row r="1006" spans="1:15">
      <c r="A1006" s="861" t="str">
        <f ca="1">'All Statement of strategy (D)'!$I1541</f>
        <v xml:space="preserve"> </v>
      </c>
      <c r="B1006" s="861"/>
      <c r="C1006" s="861"/>
      <c r="D1006" s="861"/>
      <c r="E1006" s="861"/>
      <c r="F1006" s="861"/>
      <c r="G1006" s="861"/>
      <c r="H1006" s="861"/>
      <c r="I1006" s="861"/>
      <c r="J1006" s="861"/>
      <c r="K1006" s="861"/>
      <c r="L1006" s="861"/>
      <c r="N1006" s="631" t="str">
        <f t="shared" ca="1" si="16"/>
        <v>Refresh the statement</v>
      </c>
    </row>
    <row r="1007" spans="1:15">
      <c r="A1007" s="857" t="str">
        <f ca="1">'All Statement of strategy (D)'!$I1545&amp;'All Statement of strategy (D)'!$I1546&amp;'All Statement of strategy (D)'!$I1547&amp;'All Statement of strategy (D)'!$I1548</f>
        <v xml:space="preserve">    </v>
      </c>
      <c r="B1007" s="857"/>
      <c r="C1007" s="857"/>
      <c r="D1007" s="857"/>
      <c r="E1007" s="857"/>
      <c r="F1007" s="857"/>
      <c r="G1007" s="857"/>
      <c r="H1007" s="857"/>
      <c r="I1007" s="857"/>
      <c r="J1007" s="857"/>
      <c r="K1007" s="857"/>
      <c r="L1007" s="857"/>
      <c r="N1007" s="631" t="str">
        <f t="shared" ca="1" si="16"/>
        <v>Refresh the statement</v>
      </c>
      <c r="O1007" s="86" t="str">
        <f ca="1">'All Statement of strategy (D)'!$I1545</f>
        <v xml:space="preserve"> </v>
      </c>
    </row>
    <row r="1008" spans="1:15">
      <c r="A1008" s="857"/>
      <c r="B1008" s="857"/>
      <c r="C1008" s="857"/>
      <c r="D1008" s="857"/>
      <c r="E1008" s="857"/>
      <c r="F1008" s="857"/>
      <c r="G1008" s="857"/>
      <c r="H1008" s="857"/>
      <c r="I1008" s="857"/>
      <c r="J1008" s="857"/>
      <c r="K1008" s="857"/>
      <c r="L1008" s="857"/>
      <c r="N1008" s="631" t="str">
        <f t="shared" ca="1" si="16"/>
        <v>Refresh the statement</v>
      </c>
      <c r="O1008" s="86" t="str">
        <f ca="1">'All Statement of strategy (D)'!$I1546</f>
        <v xml:space="preserve"> </v>
      </c>
    </row>
    <row r="1009" spans="1:15">
      <c r="A1009" s="857"/>
      <c r="B1009" s="857"/>
      <c r="C1009" s="857"/>
      <c r="D1009" s="857"/>
      <c r="E1009" s="857"/>
      <c r="F1009" s="857"/>
      <c r="G1009" s="857"/>
      <c r="H1009" s="857"/>
      <c r="I1009" s="857"/>
      <c r="J1009" s="857"/>
      <c r="K1009" s="857"/>
      <c r="L1009" s="857"/>
      <c r="N1009" s="631" t="str">
        <f t="shared" ca="1" si="16"/>
        <v>Refresh the statement</v>
      </c>
      <c r="O1009" s="86" t="str">
        <f ca="1">'All Statement of strategy (D)'!$I1547</f>
        <v xml:space="preserve"> </v>
      </c>
    </row>
    <row r="1010" spans="1:15">
      <c r="A1010" s="857"/>
      <c r="B1010" s="857"/>
      <c r="C1010" s="857"/>
      <c r="D1010" s="857"/>
      <c r="E1010" s="857"/>
      <c r="F1010" s="857"/>
      <c r="G1010" s="857"/>
      <c r="H1010" s="857"/>
      <c r="I1010" s="857"/>
      <c r="J1010" s="857"/>
      <c r="K1010" s="857"/>
      <c r="L1010" s="857"/>
      <c r="N1010" s="631" t="str">
        <f t="shared" ca="1" si="16"/>
        <v>Refresh the statement</v>
      </c>
      <c r="O1010" s="86" t="str">
        <f ca="1">'All Statement of strategy (D)'!$I1548</f>
        <v xml:space="preserve"> </v>
      </c>
    </row>
    <row r="1011" spans="1:15">
      <c r="A1011" s="857" t="str">
        <f ca="1">'All Statement of strategy (D)'!$I1552&amp;'All Statement of strategy (D)'!$I1553&amp;'All Statement of strategy (D)'!$I1554&amp;'All Statement of strategy (D)'!$I1555</f>
        <v xml:space="preserve">    </v>
      </c>
      <c r="B1011" s="857"/>
      <c r="C1011" s="857"/>
      <c r="D1011" s="857"/>
      <c r="E1011" s="857"/>
      <c r="F1011" s="857"/>
      <c r="G1011" s="857"/>
      <c r="H1011" s="857"/>
      <c r="I1011" s="857"/>
      <c r="J1011" s="857"/>
      <c r="K1011" s="857"/>
      <c r="L1011" s="857"/>
      <c r="N1011" s="631" t="str">
        <f t="shared" ca="1" si="16"/>
        <v>Refresh the statement</v>
      </c>
      <c r="O1011" s="86" t="str">
        <f ca="1">'All Statement of strategy (D)'!$I1552</f>
        <v xml:space="preserve"> </v>
      </c>
    </row>
    <row r="1012" spans="1:15">
      <c r="A1012" s="857"/>
      <c r="B1012" s="857"/>
      <c r="C1012" s="857"/>
      <c r="D1012" s="857"/>
      <c r="E1012" s="857"/>
      <c r="F1012" s="857"/>
      <c r="G1012" s="857"/>
      <c r="H1012" s="857"/>
      <c r="I1012" s="857"/>
      <c r="J1012" s="857"/>
      <c r="K1012" s="857"/>
      <c r="L1012" s="857"/>
      <c r="N1012" s="631" t="str">
        <f t="shared" ca="1" si="16"/>
        <v>Refresh the statement</v>
      </c>
      <c r="O1012" s="86" t="str">
        <f ca="1">'All Statement of strategy (D)'!$I1553</f>
        <v xml:space="preserve"> </v>
      </c>
    </row>
    <row r="1013" spans="1:15">
      <c r="A1013" s="857"/>
      <c r="B1013" s="857"/>
      <c r="C1013" s="857"/>
      <c r="D1013" s="857"/>
      <c r="E1013" s="857"/>
      <c r="F1013" s="857"/>
      <c r="G1013" s="857"/>
      <c r="H1013" s="857"/>
      <c r="I1013" s="857"/>
      <c r="J1013" s="857"/>
      <c r="K1013" s="857"/>
      <c r="L1013" s="857"/>
      <c r="N1013" s="631" t="str">
        <f t="shared" ca="1" si="16"/>
        <v>Refresh the statement</v>
      </c>
      <c r="O1013" s="86" t="str">
        <f ca="1">'All Statement of strategy (D)'!$I1554</f>
        <v xml:space="preserve"> </v>
      </c>
    </row>
    <row r="1014" spans="1:15">
      <c r="A1014" s="857"/>
      <c r="B1014" s="857"/>
      <c r="C1014" s="857"/>
      <c r="D1014" s="857"/>
      <c r="E1014" s="857"/>
      <c r="F1014" s="857"/>
      <c r="G1014" s="857"/>
      <c r="H1014" s="857"/>
      <c r="I1014" s="857"/>
      <c r="J1014" s="857"/>
      <c r="K1014" s="857"/>
      <c r="L1014" s="857"/>
      <c r="N1014" s="631" t="str">
        <f t="shared" ca="1" si="16"/>
        <v>Refresh the statement</v>
      </c>
      <c r="O1014" s="86" t="str">
        <f ca="1">'All Statement of strategy (D)'!$I1555</f>
        <v xml:space="preserve"> </v>
      </c>
    </row>
    <row r="1015" spans="1:15">
      <c r="A1015" s="857" t="str">
        <f ca="1">_xlfn.TEXTJOIN("",TRUE,'All Statement of strategy (D)'!$I1556,'All Statement of strategy (D)'!$I1557)</f>
        <v xml:space="preserve">  </v>
      </c>
      <c r="B1015" s="857"/>
      <c r="C1015" s="857"/>
      <c r="D1015" s="857"/>
      <c r="E1015" s="857"/>
      <c r="F1015" s="857"/>
      <c r="G1015" s="857"/>
      <c r="H1015" s="857"/>
      <c r="I1015" s="857"/>
      <c r="J1015" s="857"/>
      <c r="K1015" s="857"/>
      <c r="L1015" s="857"/>
      <c r="N1015" s="631" t="str">
        <f t="shared" ca="1" si="16"/>
        <v>Refresh the statement</v>
      </c>
      <c r="O1015" s="86" t="str">
        <f ca="1">_xlfn.TEXTJOIN("",TRUE,'All Statement of strategy (D)'!$I1556,'All Statement of strategy (D)'!$I1557)</f>
        <v xml:space="preserve">  </v>
      </c>
    </row>
    <row r="1016" spans="1:15">
      <c r="A1016" s="857" t="str">
        <f ca="1">'All Statement of strategy (D)'!$I1558</f>
        <v xml:space="preserve"> </v>
      </c>
      <c r="B1016" s="857"/>
      <c r="C1016" s="857"/>
      <c r="D1016" s="857"/>
      <c r="E1016" s="857"/>
      <c r="F1016" s="857"/>
      <c r="G1016" s="857"/>
      <c r="H1016" s="857"/>
      <c r="I1016" s="857"/>
      <c r="J1016" s="857"/>
      <c r="K1016" s="857"/>
      <c r="L1016" s="857"/>
      <c r="N1016" s="631" t="str">
        <f t="shared" ca="1" si="16"/>
        <v>Refresh the statement</v>
      </c>
    </row>
    <row r="1017" spans="1:15">
      <c r="A1017" s="857" t="str">
        <f ca="1">'All Statement of strategy (D)'!$I1561&amp;'All Statement of strategy (D)'!$I1562&amp;'All Statement of strategy (D)'!$I1563&amp;'All Statement of strategy (D)'!$I1564</f>
        <v xml:space="preserve">    </v>
      </c>
      <c r="B1017" s="857"/>
      <c r="C1017" s="857"/>
      <c r="D1017" s="857"/>
      <c r="E1017" s="857"/>
      <c r="F1017" s="857"/>
      <c r="G1017" s="857"/>
      <c r="H1017" s="857"/>
      <c r="I1017" s="857"/>
      <c r="J1017" s="857"/>
      <c r="K1017" s="857"/>
      <c r="L1017" s="857"/>
      <c r="N1017" s="631" t="str">
        <f t="shared" ca="1" si="16"/>
        <v>Refresh the statement</v>
      </c>
      <c r="O1017" s="86" t="str">
        <f ca="1">'All Statement of strategy (D)'!$I1561</f>
        <v xml:space="preserve"> </v>
      </c>
    </row>
    <row r="1018" spans="1:15">
      <c r="A1018" s="857"/>
      <c r="B1018" s="857"/>
      <c r="C1018" s="857"/>
      <c r="D1018" s="857"/>
      <c r="E1018" s="857"/>
      <c r="F1018" s="857"/>
      <c r="G1018" s="857"/>
      <c r="H1018" s="857"/>
      <c r="I1018" s="857"/>
      <c r="J1018" s="857"/>
      <c r="K1018" s="857"/>
      <c r="L1018" s="857"/>
      <c r="N1018" s="631" t="str">
        <f t="shared" ca="1" si="16"/>
        <v>Refresh the statement</v>
      </c>
      <c r="O1018" s="86" t="str">
        <f ca="1">'All Statement of strategy (D)'!$I1562</f>
        <v xml:space="preserve"> </v>
      </c>
    </row>
    <row r="1019" spans="1:15">
      <c r="A1019" s="857"/>
      <c r="B1019" s="857"/>
      <c r="C1019" s="857"/>
      <c r="D1019" s="857"/>
      <c r="E1019" s="857"/>
      <c r="F1019" s="857"/>
      <c r="G1019" s="857"/>
      <c r="H1019" s="857"/>
      <c r="I1019" s="857"/>
      <c r="J1019" s="857"/>
      <c r="K1019" s="857"/>
      <c r="L1019" s="857"/>
      <c r="N1019" s="631" t="str">
        <f t="shared" ca="1" si="16"/>
        <v>Refresh the statement</v>
      </c>
      <c r="O1019" s="86" t="str">
        <f ca="1">'All Statement of strategy (D)'!$I1563</f>
        <v xml:space="preserve"> </v>
      </c>
    </row>
    <row r="1020" spans="1:15">
      <c r="A1020" s="857"/>
      <c r="B1020" s="857"/>
      <c r="C1020" s="857"/>
      <c r="D1020" s="857"/>
      <c r="E1020" s="857"/>
      <c r="F1020" s="857"/>
      <c r="G1020" s="857"/>
      <c r="H1020" s="857"/>
      <c r="I1020" s="857"/>
      <c r="J1020" s="857"/>
      <c r="K1020" s="857"/>
      <c r="L1020" s="857"/>
      <c r="N1020" s="631" t="str">
        <f t="shared" ca="1" si="16"/>
        <v>Refresh the statement</v>
      </c>
      <c r="O1020" s="86" t="str">
        <f ca="1">'All Statement of strategy (D)'!$I1564</f>
        <v xml:space="preserve"> </v>
      </c>
    </row>
    <row r="1021" spans="1:15">
      <c r="A1021" s="857" t="str">
        <f ca="1">'All Statement of strategy (D)'!$I1565</f>
        <v xml:space="preserve"> </v>
      </c>
      <c r="B1021" s="857"/>
      <c r="C1021" s="857"/>
      <c r="D1021" s="857"/>
      <c r="E1021" s="857"/>
      <c r="F1021" s="857"/>
      <c r="G1021" s="857"/>
      <c r="H1021" s="857"/>
      <c r="I1021" s="857"/>
      <c r="J1021" s="857"/>
      <c r="K1021" s="857"/>
      <c r="L1021" s="857"/>
      <c r="N1021" s="631" t="str">
        <f t="shared" ca="1" si="16"/>
        <v>Refresh the statement</v>
      </c>
    </row>
    <row r="1022" spans="1:15">
      <c r="N1022" s="631" t="str">
        <f t="shared" ca="1" si="16"/>
        <v>Refresh the statement</v>
      </c>
      <c r="O1022" s="86" t="str">
        <f ca="1">IF(A1007&lt;&gt;"","Blank row","")</f>
        <v>Blank row</v>
      </c>
    </row>
    <row r="1023" spans="1:15">
      <c r="A1023" s="861" t="str">
        <f ca="1">'All Statement of strategy (D)'!$I1566</f>
        <v xml:space="preserve"> </v>
      </c>
      <c r="B1023" s="861"/>
      <c r="C1023" s="861"/>
      <c r="D1023" s="861"/>
      <c r="E1023" s="861"/>
      <c r="F1023" s="861"/>
      <c r="G1023" s="861"/>
      <c r="H1023" s="861"/>
      <c r="I1023" s="861"/>
      <c r="J1023" s="861"/>
      <c r="K1023" s="861"/>
      <c r="L1023" s="861"/>
      <c r="N1023" s="631" t="str">
        <f t="shared" ca="1" si="16"/>
        <v>Refresh the statement</v>
      </c>
    </row>
    <row r="1024" spans="1:15" ht="46.5">
      <c r="A1024" s="857" t="str">
        <f ca="1">_xlfn.TEXTJOIN("
",TRUE,'All Statement of strategy (D)'!$I1567,'All Statement of strategy (D)'!$I1568,'All Statement of strategy (D)'!$I1569,'All Statement of strategy (D)'!$I1570)</f>
        <v xml:space="preserve"> 
 </v>
      </c>
      <c r="B1024" s="857"/>
      <c r="C1024" s="857"/>
      <c r="D1024" s="857"/>
      <c r="E1024" s="857"/>
      <c r="F1024" s="857"/>
      <c r="G1024" s="857"/>
      <c r="H1024" s="857"/>
      <c r="I1024" s="857"/>
      <c r="J1024" s="857"/>
      <c r="K1024" s="857"/>
      <c r="L1024" s="857"/>
      <c r="N1024" s="631" t="str">
        <f t="shared" ca="1" si="16"/>
        <v>Refresh the statement</v>
      </c>
      <c r="O1024" s="86" t="str">
        <f ca="1">A1024</f>
        <v xml:space="preserve"> 
 </v>
      </c>
    </row>
    <row r="1025" spans="1:15">
      <c r="A1025" s="857" t="str">
        <f ca="1">'All Statement of strategy (D)'!$I1571&amp;'All Statement of strategy (D)'!$I1572&amp;'All Statement of strategy (D)'!$I1573&amp;'All Statement of strategy (D)'!$I1574</f>
        <v xml:space="preserve">    </v>
      </c>
      <c r="B1025" s="857"/>
      <c r="C1025" s="857"/>
      <c r="D1025" s="857"/>
      <c r="E1025" s="857"/>
      <c r="F1025" s="857"/>
      <c r="G1025" s="857"/>
      <c r="H1025" s="857"/>
      <c r="I1025" s="857"/>
      <c r="J1025" s="857"/>
      <c r="K1025" s="857"/>
      <c r="L1025" s="857"/>
      <c r="N1025" s="631" t="str">
        <f t="shared" ca="1" si="16"/>
        <v>Refresh the statement</v>
      </c>
      <c r="O1025" s="86" t="str">
        <f ca="1">'All Statement of strategy (D)'!$I1571</f>
        <v xml:space="preserve"> </v>
      </c>
    </row>
    <row r="1026" spans="1:15">
      <c r="A1026" s="857"/>
      <c r="B1026" s="857"/>
      <c r="C1026" s="857"/>
      <c r="D1026" s="857"/>
      <c r="E1026" s="857"/>
      <c r="F1026" s="857"/>
      <c r="G1026" s="857"/>
      <c r="H1026" s="857"/>
      <c r="I1026" s="857"/>
      <c r="J1026" s="857"/>
      <c r="K1026" s="857"/>
      <c r="L1026" s="857"/>
      <c r="N1026" s="631" t="str">
        <f t="shared" ca="1" si="16"/>
        <v>Refresh the statement</v>
      </c>
      <c r="O1026" s="86" t="str">
        <f ca="1">'All Statement of strategy (D)'!$I1572</f>
        <v xml:space="preserve"> </v>
      </c>
    </row>
    <row r="1027" spans="1:15">
      <c r="A1027" s="857"/>
      <c r="B1027" s="857"/>
      <c r="C1027" s="857"/>
      <c r="D1027" s="857"/>
      <c r="E1027" s="857"/>
      <c r="F1027" s="857"/>
      <c r="G1027" s="857"/>
      <c r="H1027" s="857"/>
      <c r="I1027" s="857"/>
      <c r="J1027" s="857"/>
      <c r="K1027" s="857"/>
      <c r="L1027" s="857"/>
      <c r="N1027" s="631" t="str">
        <f t="shared" ca="1" si="16"/>
        <v>Refresh the statement</v>
      </c>
      <c r="O1027" s="86" t="str">
        <f ca="1">'All Statement of strategy (D)'!$I1573</f>
        <v xml:space="preserve"> </v>
      </c>
    </row>
    <row r="1028" spans="1:15">
      <c r="A1028" s="857"/>
      <c r="B1028" s="857"/>
      <c r="C1028" s="857"/>
      <c r="D1028" s="857"/>
      <c r="E1028" s="857"/>
      <c r="F1028" s="857"/>
      <c r="G1028" s="857"/>
      <c r="H1028" s="857"/>
      <c r="I1028" s="857"/>
      <c r="J1028" s="857"/>
      <c r="K1028" s="857"/>
      <c r="L1028" s="857"/>
      <c r="N1028" s="631" t="str">
        <f t="shared" ca="1" si="16"/>
        <v>Refresh the statement</v>
      </c>
      <c r="O1028" s="86" t="str">
        <f ca="1">'All Statement of strategy (D)'!$I1574</f>
        <v xml:space="preserve"> </v>
      </c>
    </row>
    <row r="1029" spans="1:15">
      <c r="A1029" s="857" t="str">
        <f ca="1">'All Statement of strategy (D)'!$I1576&amp;'All Statement of strategy (D)'!$I1577&amp;'All Statement of strategy (D)'!$I1578&amp;'All Statement of strategy (D)'!$I1579</f>
        <v xml:space="preserve">    </v>
      </c>
      <c r="B1029" s="857"/>
      <c r="C1029" s="857"/>
      <c r="D1029" s="857"/>
      <c r="E1029" s="857"/>
      <c r="F1029" s="857"/>
      <c r="G1029" s="857"/>
      <c r="H1029" s="857"/>
      <c r="I1029" s="857"/>
      <c r="J1029" s="857"/>
      <c r="K1029" s="857"/>
      <c r="L1029" s="857"/>
      <c r="N1029" s="631" t="str">
        <f t="shared" ca="1" si="16"/>
        <v>Refresh the statement</v>
      </c>
      <c r="O1029" s="86" t="str">
        <f ca="1">'All Statement of strategy (D)'!$I1576</f>
        <v xml:space="preserve"> </v>
      </c>
    </row>
    <row r="1030" spans="1:15">
      <c r="A1030" s="857"/>
      <c r="B1030" s="857"/>
      <c r="C1030" s="857"/>
      <c r="D1030" s="857"/>
      <c r="E1030" s="857"/>
      <c r="F1030" s="857"/>
      <c r="G1030" s="857"/>
      <c r="H1030" s="857"/>
      <c r="I1030" s="857"/>
      <c r="J1030" s="857"/>
      <c r="K1030" s="857"/>
      <c r="L1030" s="857"/>
      <c r="N1030" s="631" t="str">
        <f t="shared" ca="1" si="16"/>
        <v>Refresh the statement</v>
      </c>
      <c r="O1030" s="86" t="str">
        <f ca="1">'All Statement of strategy (D)'!$I1577</f>
        <v xml:space="preserve"> </v>
      </c>
    </row>
    <row r="1031" spans="1:15">
      <c r="A1031" s="857"/>
      <c r="B1031" s="857"/>
      <c r="C1031" s="857"/>
      <c r="D1031" s="857"/>
      <c r="E1031" s="857"/>
      <c r="F1031" s="857"/>
      <c r="G1031" s="857"/>
      <c r="H1031" s="857"/>
      <c r="I1031" s="857"/>
      <c r="J1031" s="857"/>
      <c r="K1031" s="857"/>
      <c r="L1031" s="857"/>
      <c r="N1031" s="631" t="str">
        <f t="shared" ca="1" si="16"/>
        <v>Refresh the statement</v>
      </c>
      <c r="O1031" s="86" t="str">
        <f ca="1">'All Statement of strategy (D)'!$I1578</f>
        <v xml:space="preserve"> </v>
      </c>
    </row>
    <row r="1032" spans="1:15">
      <c r="A1032" s="857"/>
      <c r="B1032" s="857"/>
      <c r="C1032" s="857"/>
      <c r="D1032" s="857"/>
      <c r="E1032" s="857"/>
      <c r="F1032" s="857"/>
      <c r="G1032" s="857"/>
      <c r="H1032" s="857"/>
      <c r="I1032" s="857"/>
      <c r="J1032" s="857"/>
      <c r="K1032" s="857"/>
      <c r="L1032" s="857"/>
      <c r="N1032" s="631" t="str">
        <f t="shared" ca="1" si="16"/>
        <v>Refresh the statement</v>
      </c>
      <c r="O1032" s="86" t="str">
        <f ca="1">'All Statement of strategy (D)'!$I1579</f>
        <v xml:space="preserve"> </v>
      </c>
    </row>
    <row r="1033" spans="1:15">
      <c r="N1033" s="631" t="str">
        <f t="shared" ca="1" si="16"/>
        <v>Refresh the statement</v>
      </c>
      <c r="O1033" s="86" t="str">
        <f ca="1">IF(A1007&lt;&gt;"","Blank row","")</f>
        <v>Blank row</v>
      </c>
    </row>
    <row r="1034" spans="1:15">
      <c r="A1034" s="861" t="str">
        <f ca="1">'All Statement of strategy (D)'!$I1580</f>
        <v xml:space="preserve"> </v>
      </c>
      <c r="B1034" s="861"/>
      <c r="C1034" s="861"/>
      <c r="D1034" s="861"/>
      <c r="E1034" s="861"/>
      <c r="F1034" s="861"/>
      <c r="G1034" s="861"/>
      <c r="H1034" s="861"/>
      <c r="I1034" s="861"/>
      <c r="J1034" s="861"/>
      <c r="K1034" s="861"/>
      <c r="L1034" s="861"/>
      <c r="N1034" s="631" t="str">
        <f t="shared" ca="1" si="16"/>
        <v>Refresh the statement</v>
      </c>
    </row>
    <row r="1035" spans="1:15">
      <c r="A1035" s="857" t="str">
        <f ca="1">'All Statement of strategy (D)'!$I1584&amp;'All Statement of strategy (D)'!$I1585&amp;'All Statement of strategy (D)'!$I1586&amp;'All Statement of strategy (D)'!$I1587</f>
        <v xml:space="preserve">    </v>
      </c>
      <c r="B1035" s="857"/>
      <c r="C1035" s="857"/>
      <c r="D1035" s="857"/>
      <c r="E1035" s="857"/>
      <c r="F1035" s="857"/>
      <c r="G1035" s="857"/>
      <c r="H1035" s="857"/>
      <c r="I1035" s="857"/>
      <c r="J1035" s="857"/>
      <c r="K1035" s="857"/>
      <c r="L1035" s="857"/>
      <c r="N1035" s="631" t="str">
        <f t="shared" ca="1" si="16"/>
        <v>Refresh the statement</v>
      </c>
      <c r="O1035" s="86" t="str">
        <f ca="1">'All Statement of strategy (D)'!$I1584</f>
        <v xml:space="preserve"> </v>
      </c>
    </row>
    <row r="1036" spans="1:15">
      <c r="A1036" s="857"/>
      <c r="B1036" s="857"/>
      <c r="C1036" s="857"/>
      <c r="D1036" s="857"/>
      <c r="E1036" s="857"/>
      <c r="F1036" s="857"/>
      <c r="G1036" s="857"/>
      <c r="H1036" s="857"/>
      <c r="I1036" s="857"/>
      <c r="J1036" s="857"/>
      <c r="K1036" s="857"/>
      <c r="L1036" s="857"/>
      <c r="N1036" s="631" t="str">
        <f t="shared" ca="1" si="16"/>
        <v>Refresh the statement</v>
      </c>
      <c r="O1036" s="86" t="str">
        <f ca="1">'All Statement of strategy (D)'!$I1585</f>
        <v xml:space="preserve"> </v>
      </c>
    </row>
    <row r="1037" spans="1:15">
      <c r="A1037" s="857"/>
      <c r="B1037" s="857"/>
      <c r="C1037" s="857"/>
      <c r="D1037" s="857"/>
      <c r="E1037" s="857"/>
      <c r="F1037" s="857"/>
      <c r="G1037" s="857"/>
      <c r="H1037" s="857"/>
      <c r="I1037" s="857"/>
      <c r="J1037" s="857"/>
      <c r="K1037" s="857"/>
      <c r="L1037" s="857"/>
      <c r="N1037" s="631" t="str">
        <f t="shared" ca="1" si="16"/>
        <v>Refresh the statement</v>
      </c>
      <c r="O1037" s="86" t="str">
        <f ca="1">'All Statement of strategy (D)'!$I1586</f>
        <v xml:space="preserve"> </v>
      </c>
    </row>
    <row r="1038" spans="1:15">
      <c r="A1038" s="857"/>
      <c r="B1038" s="857"/>
      <c r="C1038" s="857"/>
      <c r="D1038" s="857"/>
      <c r="E1038" s="857"/>
      <c r="F1038" s="857"/>
      <c r="G1038" s="857"/>
      <c r="H1038" s="857"/>
      <c r="I1038" s="857"/>
      <c r="J1038" s="857"/>
      <c r="K1038" s="857"/>
      <c r="L1038" s="857"/>
      <c r="N1038" s="631" t="str">
        <f t="shared" ref="N1038:N1099" ca="1" si="17">IF(OR(A1038&lt;&gt;"",B1038&lt;&gt;"",C1038&lt;&gt;"",D1038&lt;&gt;"",E1038&lt;&gt;"",F1038&lt;&gt;"",G1038&lt;&gt;"",H1038&lt;&gt;"",I1038&lt;&gt;"",J1038&lt;&gt;"",K1038&lt;&gt;"",L1038&lt;&gt;"",M1038&lt;&gt;"",O1038&lt;&gt;""),"Refresh the statement","Scroll up and click refresh")</f>
        <v>Refresh the statement</v>
      </c>
      <c r="O1038" s="86" t="str">
        <f ca="1">'All Statement of strategy (D)'!$I1587</f>
        <v xml:space="preserve"> </v>
      </c>
    </row>
    <row r="1039" spans="1:15">
      <c r="A1039" s="857" t="str">
        <f ca="1">'All Statement of strategy (D)'!$I1591&amp;'All Statement of strategy (D)'!$I1592&amp;'All Statement of strategy (D)'!$I1593&amp;'All Statement of strategy (D)'!$I1594</f>
        <v xml:space="preserve">    </v>
      </c>
      <c r="B1039" s="857"/>
      <c r="C1039" s="857"/>
      <c r="D1039" s="857"/>
      <c r="E1039" s="857"/>
      <c r="F1039" s="857"/>
      <c r="G1039" s="857"/>
      <c r="H1039" s="857"/>
      <c r="I1039" s="857"/>
      <c r="J1039" s="857"/>
      <c r="K1039" s="857"/>
      <c r="L1039" s="857"/>
      <c r="N1039" s="631" t="str">
        <f t="shared" ca="1" si="17"/>
        <v>Refresh the statement</v>
      </c>
      <c r="O1039" s="86" t="str">
        <f ca="1">'All Statement of strategy (D)'!$I1591</f>
        <v xml:space="preserve"> </v>
      </c>
    </row>
    <row r="1040" spans="1:15">
      <c r="A1040" s="857"/>
      <c r="B1040" s="857"/>
      <c r="C1040" s="857"/>
      <c r="D1040" s="857"/>
      <c r="E1040" s="857"/>
      <c r="F1040" s="857"/>
      <c r="G1040" s="857"/>
      <c r="H1040" s="857"/>
      <c r="I1040" s="857"/>
      <c r="J1040" s="857"/>
      <c r="K1040" s="857"/>
      <c r="L1040" s="857"/>
      <c r="N1040" s="631" t="str">
        <f t="shared" ca="1" si="17"/>
        <v>Refresh the statement</v>
      </c>
      <c r="O1040" s="86" t="str">
        <f ca="1">'All Statement of strategy (D)'!$I1592</f>
        <v xml:space="preserve"> </v>
      </c>
    </row>
    <row r="1041" spans="1:15">
      <c r="A1041" s="857"/>
      <c r="B1041" s="857"/>
      <c r="C1041" s="857"/>
      <c r="D1041" s="857"/>
      <c r="E1041" s="857"/>
      <c r="F1041" s="857"/>
      <c r="G1041" s="857"/>
      <c r="H1041" s="857"/>
      <c r="I1041" s="857"/>
      <c r="J1041" s="857"/>
      <c r="K1041" s="857"/>
      <c r="L1041" s="857"/>
      <c r="N1041" s="631" t="str">
        <f t="shared" ca="1" si="17"/>
        <v>Refresh the statement</v>
      </c>
      <c r="O1041" s="86" t="str">
        <f ca="1">'All Statement of strategy (D)'!$I1593</f>
        <v xml:space="preserve"> </v>
      </c>
    </row>
    <row r="1042" spans="1:15">
      <c r="A1042" s="857"/>
      <c r="B1042" s="857"/>
      <c r="C1042" s="857"/>
      <c r="D1042" s="857"/>
      <c r="E1042" s="857"/>
      <c r="F1042" s="857"/>
      <c r="G1042" s="857"/>
      <c r="H1042" s="857"/>
      <c r="I1042" s="857"/>
      <c r="J1042" s="857"/>
      <c r="K1042" s="857"/>
      <c r="L1042" s="857"/>
      <c r="N1042" s="631" t="str">
        <f t="shared" ca="1" si="17"/>
        <v>Refresh the statement</v>
      </c>
      <c r="O1042" s="86" t="str">
        <f ca="1">'All Statement of strategy (D)'!$I1594</f>
        <v xml:space="preserve"> </v>
      </c>
    </row>
    <row r="1043" spans="1:15">
      <c r="A1043" s="857" t="str">
        <f ca="1">_xlfn.TEXTJOIN("",TRUE,'All Statement of strategy (D)'!$I1595,'All Statement of strategy (D)'!$I1596)</f>
        <v xml:space="preserve">  </v>
      </c>
      <c r="B1043" s="857"/>
      <c r="C1043" s="857"/>
      <c r="D1043" s="857"/>
      <c r="E1043" s="857"/>
      <c r="F1043" s="857"/>
      <c r="G1043" s="857"/>
      <c r="H1043" s="857"/>
      <c r="I1043" s="857"/>
      <c r="J1043" s="857"/>
      <c r="K1043" s="857"/>
      <c r="L1043" s="857"/>
      <c r="N1043" s="631" t="str">
        <f t="shared" ca="1" si="17"/>
        <v>Refresh the statement</v>
      </c>
      <c r="O1043" s="86" t="str">
        <f ca="1">A1043</f>
        <v xml:space="preserve">  </v>
      </c>
    </row>
    <row r="1044" spans="1:15">
      <c r="A1044" s="857" t="str">
        <f ca="1">'All Statement of strategy (D)'!$I1597</f>
        <v xml:space="preserve"> </v>
      </c>
      <c r="B1044" s="857"/>
      <c r="C1044" s="857"/>
      <c r="D1044" s="857"/>
      <c r="E1044" s="857"/>
      <c r="F1044" s="857"/>
      <c r="G1044" s="857"/>
      <c r="H1044" s="857"/>
      <c r="I1044" s="857"/>
      <c r="J1044" s="857"/>
      <c r="K1044" s="857"/>
      <c r="L1044" s="857"/>
      <c r="N1044" s="631" t="str">
        <f t="shared" ca="1" si="17"/>
        <v>Refresh the statement</v>
      </c>
    </row>
    <row r="1045" spans="1:15">
      <c r="A1045" s="857" t="str">
        <f ca="1">'All Statement of strategy (D)'!$I1600&amp;'All Statement of strategy (D)'!$I1601&amp;'All Statement of strategy (D)'!$I1602&amp;'All Statement of strategy (D)'!$I1603</f>
        <v xml:space="preserve">    </v>
      </c>
      <c r="B1045" s="857"/>
      <c r="C1045" s="857"/>
      <c r="D1045" s="857"/>
      <c r="E1045" s="857"/>
      <c r="F1045" s="857"/>
      <c r="G1045" s="857"/>
      <c r="H1045" s="857"/>
      <c r="I1045" s="857"/>
      <c r="J1045" s="857"/>
      <c r="K1045" s="857"/>
      <c r="L1045" s="857"/>
      <c r="N1045" s="631" t="str">
        <f t="shared" ca="1" si="17"/>
        <v>Refresh the statement</v>
      </c>
      <c r="O1045" s="86" t="str">
        <f ca="1">'All Statement of strategy (D)'!$I1600</f>
        <v xml:space="preserve"> </v>
      </c>
    </row>
    <row r="1046" spans="1:15">
      <c r="A1046" s="857"/>
      <c r="B1046" s="857"/>
      <c r="C1046" s="857"/>
      <c r="D1046" s="857"/>
      <c r="E1046" s="857"/>
      <c r="F1046" s="857"/>
      <c r="G1046" s="857"/>
      <c r="H1046" s="857"/>
      <c r="I1046" s="857"/>
      <c r="J1046" s="857"/>
      <c r="K1046" s="857"/>
      <c r="L1046" s="857"/>
      <c r="N1046" s="631" t="str">
        <f t="shared" ca="1" si="17"/>
        <v>Refresh the statement</v>
      </c>
      <c r="O1046" s="86" t="str">
        <f ca="1">'All Statement of strategy (D)'!$I1601</f>
        <v xml:space="preserve"> </v>
      </c>
    </row>
    <row r="1047" spans="1:15">
      <c r="A1047" s="857"/>
      <c r="B1047" s="857"/>
      <c r="C1047" s="857"/>
      <c r="D1047" s="857"/>
      <c r="E1047" s="857"/>
      <c r="F1047" s="857"/>
      <c r="G1047" s="857"/>
      <c r="H1047" s="857"/>
      <c r="I1047" s="857"/>
      <c r="J1047" s="857"/>
      <c r="K1047" s="857"/>
      <c r="L1047" s="857"/>
      <c r="N1047" s="631" t="str">
        <f t="shared" ca="1" si="17"/>
        <v>Refresh the statement</v>
      </c>
      <c r="O1047" s="86" t="str">
        <f ca="1">'All Statement of strategy (D)'!$I1602</f>
        <v xml:space="preserve"> </v>
      </c>
    </row>
    <row r="1048" spans="1:15">
      <c r="A1048" s="857"/>
      <c r="B1048" s="857"/>
      <c r="C1048" s="857"/>
      <c r="D1048" s="857"/>
      <c r="E1048" s="857"/>
      <c r="F1048" s="857"/>
      <c r="G1048" s="857"/>
      <c r="H1048" s="857"/>
      <c r="I1048" s="857"/>
      <c r="J1048" s="857"/>
      <c r="K1048" s="857"/>
      <c r="L1048" s="857"/>
      <c r="N1048" s="631" t="str">
        <f t="shared" ca="1" si="17"/>
        <v>Refresh the statement</v>
      </c>
      <c r="O1048" s="86" t="str">
        <f ca="1">'All Statement of strategy (D)'!$I1603</f>
        <v xml:space="preserve"> </v>
      </c>
    </row>
    <row r="1049" spans="1:15">
      <c r="A1049" s="857" t="str">
        <f ca="1">'All Statement of strategy (D)'!$I1604</f>
        <v xml:space="preserve"> </v>
      </c>
      <c r="B1049" s="857"/>
      <c r="C1049" s="857"/>
      <c r="D1049" s="857"/>
      <c r="E1049" s="857"/>
      <c r="F1049" s="857"/>
      <c r="G1049" s="857"/>
      <c r="H1049" s="857"/>
      <c r="I1049" s="857"/>
      <c r="J1049" s="857"/>
      <c r="K1049" s="857"/>
      <c r="L1049" s="857"/>
      <c r="N1049" s="631" t="str">
        <f t="shared" ca="1" si="17"/>
        <v>Refresh the statement</v>
      </c>
    </row>
    <row r="1050" spans="1:15">
      <c r="N1050" s="631" t="str">
        <f t="shared" ca="1" si="17"/>
        <v>Refresh the statement</v>
      </c>
      <c r="O1050" s="86" t="str">
        <f ca="1">IF(A1035&lt;&gt;"","Blank row","")</f>
        <v>Blank row</v>
      </c>
    </row>
    <row r="1051" spans="1:15">
      <c r="A1051" s="861" t="str">
        <f ca="1">'All Statement of strategy (D)'!$I1605</f>
        <v xml:space="preserve"> </v>
      </c>
      <c r="B1051" s="861"/>
      <c r="C1051" s="861"/>
      <c r="D1051" s="861"/>
      <c r="E1051" s="861"/>
      <c r="F1051" s="861"/>
      <c r="G1051" s="861"/>
      <c r="H1051" s="861"/>
      <c r="I1051" s="861"/>
      <c r="J1051" s="861"/>
      <c r="K1051" s="861"/>
      <c r="L1051" s="861"/>
      <c r="N1051" s="631" t="str">
        <f t="shared" ca="1" si="17"/>
        <v>Refresh the statement</v>
      </c>
    </row>
    <row r="1052" spans="1:15" ht="46.5">
      <c r="A1052" s="857" t="str">
        <f ca="1">_xlfn.TEXTJOIN("
",TRUE,'All Statement of strategy (D)'!$I1606,'All Statement of strategy (D)'!$I1607,'All Statement of strategy (D)'!$I1608,'All Statement of strategy (D)'!$I1609)</f>
        <v xml:space="preserve"> 
 </v>
      </c>
      <c r="B1052" s="857"/>
      <c r="C1052" s="857"/>
      <c r="D1052" s="857"/>
      <c r="E1052" s="857"/>
      <c r="F1052" s="857"/>
      <c r="G1052" s="857"/>
      <c r="H1052" s="857"/>
      <c r="I1052" s="857"/>
      <c r="J1052" s="857"/>
      <c r="K1052" s="857"/>
      <c r="L1052" s="857"/>
      <c r="N1052" s="631" t="str">
        <f t="shared" ca="1" si="17"/>
        <v>Refresh the statement</v>
      </c>
      <c r="O1052" s="86" t="str">
        <f ca="1">A1052</f>
        <v xml:space="preserve"> 
 </v>
      </c>
    </row>
    <row r="1053" spans="1:15">
      <c r="A1053" s="857" t="str">
        <f ca="1">'All Statement of strategy (D)'!$I1610&amp;'All Statement of strategy (D)'!$I1611&amp;'All Statement of strategy (D)'!$I1612&amp;'All Statement of strategy (D)'!$I1613</f>
        <v xml:space="preserve">    </v>
      </c>
      <c r="B1053" s="857"/>
      <c r="C1053" s="857"/>
      <c r="D1053" s="857"/>
      <c r="E1053" s="857"/>
      <c r="F1053" s="857"/>
      <c r="G1053" s="857"/>
      <c r="H1053" s="857"/>
      <c r="I1053" s="857"/>
      <c r="J1053" s="857"/>
      <c r="K1053" s="857"/>
      <c r="L1053" s="857"/>
      <c r="N1053" s="631" t="str">
        <f t="shared" ca="1" si="17"/>
        <v>Refresh the statement</v>
      </c>
      <c r="O1053" s="86" t="str">
        <f ca="1">'All Statement of strategy (D)'!$I1610</f>
        <v xml:space="preserve"> </v>
      </c>
    </row>
    <row r="1054" spans="1:15">
      <c r="A1054" s="857"/>
      <c r="B1054" s="857"/>
      <c r="C1054" s="857"/>
      <c r="D1054" s="857"/>
      <c r="E1054" s="857"/>
      <c r="F1054" s="857"/>
      <c r="G1054" s="857"/>
      <c r="H1054" s="857"/>
      <c r="I1054" s="857"/>
      <c r="J1054" s="857"/>
      <c r="K1054" s="857"/>
      <c r="L1054" s="857"/>
      <c r="N1054" s="631" t="str">
        <f t="shared" ca="1" si="17"/>
        <v>Refresh the statement</v>
      </c>
      <c r="O1054" s="86" t="str">
        <f ca="1">'All Statement of strategy (D)'!$I1611</f>
        <v xml:space="preserve"> </v>
      </c>
    </row>
    <row r="1055" spans="1:15">
      <c r="A1055" s="857"/>
      <c r="B1055" s="857"/>
      <c r="C1055" s="857"/>
      <c r="D1055" s="857"/>
      <c r="E1055" s="857"/>
      <c r="F1055" s="857"/>
      <c r="G1055" s="857"/>
      <c r="H1055" s="857"/>
      <c r="I1055" s="857"/>
      <c r="J1055" s="857"/>
      <c r="K1055" s="857"/>
      <c r="L1055" s="857"/>
      <c r="N1055" s="631" t="str">
        <f t="shared" ca="1" si="17"/>
        <v>Refresh the statement</v>
      </c>
      <c r="O1055" s="86" t="str">
        <f ca="1">'All Statement of strategy (D)'!$I1612</f>
        <v xml:space="preserve"> </v>
      </c>
    </row>
    <row r="1056" spans="1:15">
      <c r="A1056" s="857"/>
      <c r="B1056" s="857"/>
      <c r="C1056" s="857"/>
      <c r="D1056" s="857"/>
      <c r="E1056" s="857"/>
      <c r="F1056" s="857"/>
      <c r="G1056" s="857"/>
      <c r="H1056" s="857"/>
      <c r="I1056" s="857"/>
      <c r="J1056" s="857"/>
      <c r="K1056" s="857"/>
      <c r="L1056" s="857"/>
      <c r="N1056" s="631" t="str">
        <f t="shared" ca="1" si="17"/>
        <v>Refresh the statement</v>
      </c>
      <c r="O1056" s="86" t="str">
        <f ca="1">'All Statement of strategy (D)'!$I1613</f>
        <v xml:space="preserve"> </v>
      </c>
    </row>
    <row r="1057" spans="1:15">
      <c r="A1057" s="857" t="str">
        <f ca="1">'All Statement of strategy (D)'!$I1615&amp;'All Statement of strategy (D)'!$I1616&amp;'All Statement of strategy (D)'!$I1617&amp;'All Statement of strategy (D)'!$I1618</f>
        <v xml:space="preserve">    </v>
      </c>
      <c r="B1057" s="857"/>
      <c r="C1057" s="857"/>
      <c r="D1057" s="857"/>
      <c r="E1057" s="857"/>
      <c r="F1057" s="857"/>
      <c r="G1057" s="857"/>
      <c r="H1057" s="857"/>
      <c r="I1057" s="857"/>
      <c r="J1057" s="857"/>
      <c r="K1057" s="857"/>
      <c r="L1057" s="857"/>
      <c r="N1057" s="631" t="str">
        <f t="shared" ca="1" si="17"/>
        <v>Refresh the statement</v>
      </c>
      <c r="O1057" s="86" t="str">
        <f ca="1">'All Statement of strategy (D)'!$I1615</f>
        <v xml:space="preserve"> </v>
      </c>
    </row>
    <row r="1058" spans="1:15">
      <c r="A1058" s="857"/>
      <c r="B1058" s="857"/>
      <c r="C1058" s="857"/>
      <c r="D1058" s="857"/>
      <c r="E1058" s="857"/>
      <c r="F1058" s="857"/>
      <c r="G1058" s="857"/>
      <c r="H1058" s="857"/>
      <c r="I1058" s="857"/>
      <c r="J1058" s="857"/>
      <c r="K1058" s="857"/>
      <c r="L1058" s="857"/>
      <c r="N1058" s="631" t="str">
        <f t="shared" ca="1" si="17"/>
        <v>Refresh the statement</v>
      </c>
      <c r="O1058" s="86" t="str">
        <f ca="1">'All Statement of strategy (D)'!$I1616</f>
        <v xml:space="preserve"> </v>
      </c>
    </row>
    <row r="1059" spans="1:15">
      <c r="A1059" s="857"/>
      <c r="B1059" s="857"/>
      <c r="C1059" s="857"/>
      <c r="D1059" s="857"/>
      <c r="E1059" s="857"/>
      <c r="F1059" s="857"/>
      <c r="G1059" s="857"/>
      <c r="H1059" s="857"/>
      <c r="I1059" s="857"/>
      <c r="J1059" s="857"/>
      <c r="K1059" s="857"/>
      <c r="L1059" s="857"/>
      <c r="N1059" s="631" t="str">
        <f t="shared" ca="1" si="17"/>
        <v>Refresh the statement</v>
      </c>
      <c r="O1059" s="86" t="str">
        <f ca="1">'All Statement of strategy (D)'!$I1617</f>
        <v xml:space="preserve"> </v>
      </c>
    </row>
    <row r="1060" spans="1:15">
      <c r="A1060" s="857"/>
      <c r="B1060" s="857"/>
      <c r="C1060" s="857"/>
      <c r="D1060" s="857"/>
      <c r="E1060" s="857"/>
      <c r="F1060" s="857"/>
      <c r="G1060" s="857"/>
      <c r="H1060" s="857"/>
      <c r="I1060" s="857"/>
      <c r="J1060" s="857"/>
      <c r="K1060" s="857"/>
      <c r="L1060" s="857"/>
      <c r="N1060" s="631" t="str">
        <f t="shared" ca="1" si="17"/>
        <v>Refresh the statement</v>
      </c>
      <c r="O1060" s="86" t="str">
        <f ca="1">'All Statement of strategy (D)'!$I1618</f>
        <v xml:space="preserve"> </v>
      </c>
    </row>
    <row r="1061" spans="1:15">
      <c r="N1061" s="631" t="str">
        <f t="shared" ca="1" si="17"/>
        <v>Refresh the statement</v>
      </c>
      <c r="O1061" s="86" t="str">
        <f ca="1">IF(A1035&lt;&gt;"","Blank row","")</f>
        <v>Blank row</v>
      </c>
    </row>
    <row r="1062" spans="1:15">
      <c r="A1062" s="861" t="str">
        <f ca="1">'All Statement of strategy (D)'!$I1619</f>
        <v xml:space="preserve"> </v>
      </c>
      <c r="B1062" s="861"/>
      <c r="C1062" s="861"/>
      <c r="D1062" s="861"/>
      <c r="E1062" s="861"/>
      <c r="F1062" s="861"/>
      <c r="G1062" s="861"/>
      <c r="H1062" s="861"/>
      <c r="I1062" s="861"/>
      <c r="J1062" s="861"/>
      <c r="K1062" s="861"/>
      <c r="L1062" s="861"/>
      <c r="N1062" s="631" t="str">
        <f t="shared" ca="1" si="17"/>
        <v>Refresh the statement</v>
      </c>
    </row>
    <row r="1063" spans="1:15">
      <c r="A1063" s="857" t="str">
        <f ca="1">'All Statement of strategy (D)'!$I1623&amp;'All Statement of strategy (D)'!$I1624&amp;'All Statement of strategy (D)'!$I1625&amp;'All Statement of strategy (D)'!$I1626</f>
        <v xml:space="preserve">    </v>
      </c>
      <c r="B1063" s="857"/>
      <c r="C1063" s="857"/>
      <c r="D1063" s="857"/>
      <c r="E1063" s="857"/>
      <c r="F1063" s="857"/>
      <c r="G1063" s="857"/>
      <c r="H1063" s="857"/>
      <c r="I1063" s="857"/>
      <c r="J1063" s="857"/>
      <c r="K1063" s="857"/>
      <c r="L1063" s="857"/>
      <c r="N1063" s="631" t="str">
        <f t="shared" ca="1" si="17"/>
        <v>Refresh the statement</v>
      </c>
      <c r="O1063" s="86" t="str">
        <f ca="1">'All Statement of strategy (D)'!$I1623</f>
        <v xml:space="preserve"> </v>
      </c>
    </row>
    <row r="1064" spans="1:15">
      <c r="A1064" s="857"/>
      <c r="B1064" s="857"/>
      <c r="C1064" s="857"/>
      <c r="D1064" s="857"/>
      <c r="E1064" s="857"/>
      <c r="F1064" s="857"/>
      <c r="G1064" s="857"/>
      <c r="H1064" s="857"/>
      <c r="I1064" s="857"/>
      <c r="J1064" s="857"/>
      <c r="K1064" s="857"/>
      <c r="L1064" s="857"/>
      <c r="N1064" s="631" t="str">
        <f t="shared" ca="1" si="17"/>
        <v>Refresh the statement</v>
      </c>
      <c r="O1064" s="86" t="str">
        <f ca="1">'All Statement of strategy (D)'!$I1624</f>
        <v xml:space="preserve"> </v>
      </c>
    </row>
    <row r="1065" spans="1:15">
      <c r="A1065" s="857"/>
      <c r="B1065" s="857"/>
      <c r="C1065" s="857"/>
      <c r="D1065" s="857"/>
      <c r="E1065" s="857"/>
      <c r="F1065" s="857"/>
      <c r="G1065" s="857"/>
      <c r="H1065" s="857"/>
      <c r="I1065" s="857"/>
      <c r="J1065" s="857"/>
      <c r="K1065" s="857"/>
      <c r="L1065" s="857"/>
      <c r="N1065" s="631" t="str">
        <f t="shared" ca="1" si="17"/>
        <v>Refresh the statement</v>
      </c>
      <c r="O1065" s="86" t="str">
        <f ca="1">'All Statement of strategy (D)'!$I1625</f>
        <v xml:space="preserve"> </v>
      </c>
    </row>
    <row r="1066" spans="1:15">
      <c r="A1066" s="857"/>
      <c r="B1066" s="857"/>
      <c r="C1066" s="857"/>
      <c r="D1066" s="857"/>
      <c r="E1066" s="857"/>
      <c r="F1066" s="857"/>
      <c r="G1066" s="857"/>
      <c r="H1066" s="857"/>
      <c r="I1066" s="857"/>
      <c r="J1066" s="857"/>
      <c r="K1066" s="857"/>
      <c r="L1066" s="857"/>
      <c r="N1066" s="631" t="str">
        <f t="shared" ca="1" si="17"/>
        <v>Refresh the statement</v>
      </c>
      <c r="O1066" s="86" t="str">
        <f ca="1">'All Statement of strategy (D)'!$I1626</f>
        <v xml:space="preserve"> </v>
      </c>
    </row>
    <row r="1067" spans="1:15">
      <c r="A1067" s="857" t="str">
        <f ca="1">'All Statement of strategy (D)'!$I1630&amp;'All Statement of strategy (D)'!$I1631&amp;'All Statement of strategy (D)'!$I1632&amp;'All Statement of strategy (D)'!$I1633</f>
        <v xml:space="preserve">    </v>
      </c>
      <c r="B1067" s="857"/>
      <c r="C1067" s="857"/>
      <c r="D1067" s="857"/>
      <c r="E1067" s="857"/>
      <c r="F1067" s="857"/>
      <c r="G1067" s="857"/>
      <c r="H1067" s="857"/>
      <c r="I1067" s="857"/>
      <c r="J1067" s="857"/>
      <c r="K1067" s="857"/>
      <c r="L1067" s="857"/>
      <c r="N1067" s="631" t="str">
        <f t="shared" ca="1" si="17"/>
        <v>Refresh the statement</v>
      </c>
      <c r="O1067" s="86" t="str">
        <f ca="1">'All Statement of strategy (D)'!$I1630</f>
        <v xml:space="preserve"> </v>
      </c>
    </row>
    <row r="1068" spans="1:15">
      <c r="A1068" s="857"/>
      <c r="B1068" s="857"/>
      <c r="C1068" s="857"/>
      <c r="D1068" s="857"/>
      <c r="E1068" s="857"/>
      <c r="F1068" s="857"/>
      <c r="G1068" s="857"/>
      <c r="H1068" s="857"/>
      <c r="I1068" s="857"/>
      <c r="J1068" s="857"/>
      <c r="K1068" s="857"/>
      <c r="L1068" s="857"/>
      <c r="N1068" s="631" t="str">
        <f t="shared" ca="1" si="17"/>
        <v>Refresh the statement</v>
      </c>
      <c r="O1068" s="86" t="str">
        <f ca="1">'All Statement of strategy (D)'!$I1631</f>
        <v xml:space="preserve"> </v>
      </c>
    </row>
    <row r="1069" spans="1:15">
      <c r="A1069" s="857"/>
      <c r="B1069" s="857"/>
      <c r="C1069" s="857"/>
      <c r="D1069" s="857"/>
      <c r="E1069" s="857"/>
      <c r="F1069" s="857"/>
      <c r="G1069" s="857"/>
      <c r="H1069" s="857"/>
      <c r="I1069" s="857"/>
      <c r="J1069" s="857"/>
      <c r="K1069" s="857"/>
      <c r="L1069" s="857"/>
      <c r="N1069" s="631" t="str">
        <f t="shared" ca="1" si="17"/>
        <v>Refresh the statement</v>
      </c>
      <c r="O1069" s="86" t="str">
        <f ca="1">'All Statement of strategy (D)'!$I1632</f>
        <v xml:space="preserve"> </v>
      </c>
    </row>
    <row r="1070" spans="1:15">
      <c r="A1070" s="857"/>
      <c r="B1070" s="857"/>
      <c r="C1070" s="857"/>
      <c r="D1070" s="857"/>
      <c r="E1070" s="857"/>
      <c r="F1070" s="857"/>
      <c r="G1070" s="857"/>
      <c r="H1070" s="857"/>
      <c r="I1070" s="857"/>
      <c r="J1070" s="857"/>
      <c r="K1070" s="857"/>
      <c r="L1070" s="857"/>
      <c r="N1070" s="631" t="str">
        <f t="shared" ca="1" si="17"/>
        <v>Refresh the statement</v>
      </c>
      <c r="O1070" s="86" t="str">
        <f ca="1">'All Statement of strategy (D)'!$I1633</f>
        <v xml:space="preserve"> </v>
      </c>
    </row>
    <row r="1071" spans="1:15">
      <c r="A1071" s="857" t="str">
        <f ca="1">_xlfn.TEXTJOIN("",TRUE,'All Statement of strategy (D)'!$I1634,'All Statement of strategy (D)'!$I1635)</f>
        <v xml:space="preserve">  </v>
      </c>
      <c r="B1071" s="857"/>
      <c r="C1071" s="857"/>
      <c r="D1071" s="857"/>
      <c r="E1071" s="857"/>
      <c r="F1071" s="857"/>
      <c r="G1071" s="857"/>
      <c r="H1071" s="857"/>
      <c r="I1071" s="857"/>
      <c r="J1071" s="857"/>
      <c r="K1071" s="857"/>
      <c r="L1071" s="857"/>
      <c r="N1071" s="631" t="str">
        <f t="shared" ca="1" si="17"/>
        <v>Refresh the statement</v>
      </c>
      <c r="O1071" s="86" t="str">
        <f ca="1">A1071</f>
        <v xml:space="preserve">  </v>
      </c>
    </row>
    <row r="1072" spans="1:15">
      <c r="A1072" s="857" t="str">
        <f ca="1">'All Statement of strategy (D)'!$I1636</f>
        <v xml:space="preserve"> </v>
      </c>
      <c r="B1072" s="857"/>
      <c r="C1072" s="857"/>
      <c r="D1072" s="857"/>
      <c r="E1072" s="857"/>
      <c r="F1072" s="857"/>
      <c r="G1072" s="857"/>
      <c r="H1072" s="857"/>
      <c r="I1072" s="857"/>
      <c r="J1072" s="857"/>
      <c r="K1072" s="857"/>
      <c r="L1072" s="857"/>
      <c r="N1072" s="631" t="str">
        <f t="shared" ca="1" si="17"/>
        <v>Refresh the statement</v>
      </c>
    </row>
    <row r="1073" spans="1:15">
      <c r="A1073" s="857" t="str">
        <f ca="1">'All Statement of strategy (D)'!$I1637</f>
        <v xml:space="preserve"> </v>
      </c>
      <c r="B1073" s="857"/>
      <c r="C1073" s="857"/>
      <c r="D1073" s="857"/>
      <c r="E1073" s="857"/>
      <c r="F1073" s="857"/>
      <c r="G1073" s="857"/>
      <c r="H1073" s="857"/>
      <c r="I1073" s="857"/>
      <c r="J1073" s="857"/>
      <c r="K1073" s="857"/>
      <c r="L1073" s="857"/>
      <c r="N1073" s="631" t="str">
        <f t="shared" ca="1" si="17"/>
        <v>Refresh the statement</v>
      </c>
    </row>
    <row r="1074" spans="1:15">
      <c r="A1074" s="857" t="str">
        <f ca="1">'All Statement of strategy (D)'!$I1639&amp;'All Statement of strategy (D)'!$I1640&amp;'All Statement of strategy (D)'!$I1641&amp;'All Statement of strategy (D)'!$I1642</f>
        <v xml:space="preserve">    </v>
      </c>
      <c r="B1074" s="857"/>
      <c r="C1074" s="857"/>
      <c r="D1074" s="857"/>
      <c r="E1074" s="857"/>
      <c r="F1074" s="857"/>
      <c r="G1074" s="857"/>
      <c r="H1074" s="857"/>
      <c r="I1074" s="857"/>
      <c r="J1074" s="857"/>
      <c r="K1074" s="857"/>
      <c r="L1074" s="857"/>
      <c r="N1074" s="631" t="str">
        <f t="shared" ca="1" si="17"/>
        <v>Refresh the statement</v>
      </c>
      <c r="O1074" s="86" t="str">
        <f ca="1">'All Statement of strategy (D)'!$I1639</f>
        <v xml:space="preserve"> </v>
      </c>
    </row>
    <row r="1075" spans="1:15">
      <c r="A1075" s="857"/>
      <c r="B1075" s="857"/>
      <c r="C1075" s="857"/>
      <c r="D1075" s="857"/>
      <c r="E1075" s="857"/>
      <c r="F1075" s="857"/>
      <c r="G1075" s="857"/>
      <c r="H1075" s="857"/>
      <c r="I1075" s="857"/>
      <c r="J1075" s="857"/>
      <c r="K1075" s="857"/>
      <c r="L1075" s="857"/>
      <c r="N1075" s="631" t="str">
        <f t="shared" ca="1" si="17"/>
        <v>Refresh the statement</v>
      </c>
      <c r="O1075" s="86" t="str">
        <f ca="1">'All Statement of strategy (D)'!$I1640</f>
        <v xml:space="preserve"> </v>
      </c>
    </row>
    <row r="1076" spans="1:15">
      <c r="A1076" s="857"/>
      <c r="B1076" s="857"/>
      <c r="C1076" s="857"/>
      <c r="D1076" s="857"/>
      <c r="E1076" s="857"/>
      <c r="F1076" s="857"/>
      <c r="G1076" s="857"/>
      <c r="H1076" s="857"/>
      <c r="I1076" s="857"/>
      <c r="J1076" s="857"/>
      <c r="K1076" s="857"/>
      <c r="L1076" s="857"/>
      <c r="N1076" s="631" t="str">
        <f t="shared" ca="1" si="17"/>
        <v>Refresh the statement</v>
      </c>
      <c r="O1076" s="86" t="str">
        <f ca="1">'All Statement of strategy (D)'!$I1641</f>
        <v xml:space="preserve"> </v>
      </c>
    </row>
    <row r="1077" spans="1:15">
      <c r="A1077" s="857"/>
      <c r="B1077" s="857"/>
      <c r="C1077" s="857"/>
      <c r="D1077" s="857"/>
      <c r="E1077" s="857"/>
      <c r="F1077" s="857"/>
      <c r="G1077" s="857"/>
      <c r="H1077" s="857"/>
      <c r="I1077" s="857"/>
      <c r="J1077" s="857"/>
      <c r="K1077" s="857"/>
      <c r="L1077" s="857"/>
      <c r="N1077" s="631" t="str">
        <f t="shared" ca="1" si="17"/>
        <v>Refresh the statement</v>
      </c>
      <c r="O1077" s="86" t="str">
        <f ca="1">'All Statement of strategy (D)'!$I1642</f>
        <v xml:space="preserve"> </v>
      </c>
    </row>
    <row r="1078" spans="1:15">
      <c r="A1078" s="857" t="str">
        <f ca="1">'All Statement of strategy (D)'!$I1643</f>
        <v xml:space="preserve"> </v>
      </c>
      <c r="B1078" s="857"/>
      <c r="C1078" s="857"/>
      <c r="D1078" s="857"/>
      <c r="E1078" s="857"/>
      <c r="F1078" s="857"/>
      <c r="G1078" s="857"/>
      <c r="H1078" s="857"/>
      <c r="I1078" s="857"/>
      <c r="J1078" s="857"/>
      <c r="K1078" s="857"/>
      <c r="L1078" s="857"/>
      <c r="N1078" s="631" t="str">
        <f t="shared" ca="1" si="17"/>
        <v>Refresh the statement</v>
      </c>
    </row>
    <row r="1079" spans="1:15">
      <c r="N1079" s="631" t="str">
        <f t="shared" ca="1" si="17"/>
        <v>Refresh the statement</v>
      </c>
      <c r="O1079" s="86" t="str">
        <f ca="1">IF(A1063&lt;&gt;"","Blank row","")</f>
        <v>Blank row</v>
      </c>
    </row>
    <row r="1080" spans="1:15">
      <c r="A1080" s="861" t="str">
        <f ca="1">'All Statement of strategy (D)'!$I1644</f>
        <v xml:space="preserve"> </v>
      </c>
      <c r="B1080" s="861"/>
      <c r="C1080" s="861"/>
      <c r="D1080" s="861"/>
      <c r="E1080" s="861"/>
      <c r="F1080" s="861"/>
      <c r="G1080" s="861"/>
      <c r="H1080" s="861"/>
      <c r="I1080" s="861"/>
      <c r="J1080" s="861"/>
      <c r="K1080" s="861"/>
      <c r="L1080" s="861"/>
      <c r="N1080" s="631" t="str">
        <f t="shared" ca="1" si="17"/>
        <v>Refresh the statement</v>
      </c>
    </row>
    <row r="1081" spans="1:15" ht="46.5">
      <c r="A1081" s="857" t="str">
        <f ca="1">_xlfn.TEXTJOIN("
",TRUE,'All Statement of strategy (D)'!$I1645,'All Statement of strategy (D)'!$I1646,'All Statement of strategy (D)'!$I1647,'All Statement of strategy (D)'!$I1648)</f>
        <v xml:space="preserve"> 
 </v>
      </c>
      <c r="B1081" s="857"/>
      <c r="C1081" s="857"/>
      <c r="D1081" s="857"/>
      <c r="E1081" s="857"/>
      <c r="F1081" s="857"/>
      <c r="G1081" s="857"/>
      <c r="H1081" s="857"/>
      <c r="I1081" s="857"/>
      <c r="J1081" s="857"/>
      <c r="K1081" s="857"/>
      <c r="L1081" s="857"/>
      <c r="N1081" s="631" t="str">
        <f t="shared" ca="1" si="17"/>
        <v>Refresh the statement</v>
      </c>
      <c r="O1081" s="86" t="str">
        <f ca="1">A1081</f>
        <v xml:space="preserve"> 
 </v>
      </c>
    </row>
    <row r="1082" spans="1:15">
      <c r="A1082" s="857" t="str">
        <f ca="1">'All Statement of strategy (D)'!$I1649&amp;'All Statement of strategy (D)'!$I1650&amp;'All Statement of strategy (D)'!$I1651&amp;'All Statement of strategy (D)'!$I1652</f>
        <v xml:space="preserve">    </v>
      </c>
      <c r="B1082" s="857"/>
      <c r="C1082" s="857"/>
      <c r="D1082" s="857"/>
      <c r="E1082" s="857"/>
      <c r="F1082" s="857"/>
      <c r="G1082" s="857"/>
      <c r="H1082" s="857"/>
      <c r="I1082" s="857"/>
      <c r="J1082" s="857"/>
      <c r="K1082" s="857"/>
      <c r="L1082" s="857"/>
      <c r="N1082" s="631" t="str">
        <f t="shared" ca="1" si="17"/>
        <v>Refresh the statement</v>
      </c>
      <c r="O1082" s="86" t="str">
        <f ca="1">'All Statement of strategy (D)'!$I1649</f>
        <v xml:space="preserve"> </v>
      </c>
    </row>
    <row r="1083" spans="1:15">
      <c r="A1083" s="857"/>
      <c r="B1083" s="857"/>
      <c r="C1083" s="857"/>
      <c r="D1083" s="857"/>
      <c r="E1083" s="857"/>
      <c r="F1083" s="857"/>
      <c r="G1083" s="857"/>
      <c r="H1083" s="857"/>
      <c r="I1083" s="857"/>
      <c r="J1083" s="857"/>
      <c r="K1083" s="857"/>
      <c r="L1083" s="857"/>
      <c r="N1083" s="631" t="str">
        <f t="shared" ca="1" si="17"/>
        <v>Refresh the statement</v>
      </c>
      <c r="O1083" s="86" t="str">
        <f ca="1">'All Statement of strategy (D)'!$I1650</f>
        <v xml:space="preserve"> </v>
      </c>
    </row>
    <row r="1084" spans="1:15">
      <c r="A1084" s="857"/>
      <c r="B1084" s="857"/>
      <c r="C1084" s="857"/>
      <c r="D1084" s="857"/>
      <c r="E1084" s="857"/>
      <c r="F1084" s="857"/>
      <c r="G1084" s="857"/>
      <c r="H1084" s="857"/>
      <c r="I1084" s="857"/>
      <c r="J1084" s="857"/>
      <c r="K1084" s="857"/>
      <c r="L1084" s="857"/>
      <c r="N1084" s="631" t="str">
        <f t="shared" ca="1" si="17"/>
        <v>Refresh the statement</v>
      </c>
      <c r="O1084" s="86" t="str">
        <f ca="1">'All Statement of strategy (D)'!$I1651</f>
        <v xml:space="preserve"> </v>
      </c>
    </row>
    <row r="1085" spans="1:15">
      <c r="A1085" s="857"/>
      <c r="B1085" s="857"/>
      <c r="C1085" s="857"/>
      <c r="D1085" s="857"/>
      <c r="E1085" s="857"/>
      <c r="F1085" s="857"/>
      <c r="G1085" s="857"/>
      <c r="H1085" s="857"/>
      <c r="I1085" s="857"/>
      <c r="J1085" s="857"/>
      <c r="K1085" s="857"/>
      <c r="L1085" s="857"/>
      <c r="N1085" s="631" t="str">
        <f t="shared" ca="1" si="17"/>
        <v>Refresh the statement</v>
      </c>
      <c r="O1085" s="86" t="str">
        <f ca="1">'All Statement of strategy (D)'!$I1652</f>
        <v xml:space="preserve"> </v>
      </c>
    </row>
    <row r="1086" spans="1:15">
      <c r="A1086" s="857" t="str">
        <f ca="1">'All Statement of strategy (D)'!$I1654&amp;'All Statement of strategy (D)'!$I1655&amp;'All Statement of strategy (D)'!$I1656&amp;'All Statement of strategy (D)'!$I1657</f>
        <v xml:space="preserve">    </v>
      </c>
      <c r="B1086" s="857"/>
      <c r="C1086" s="857"/>
      <c r="D1086" s="857"/>
      <c r="E1086" s="857"/>
      <c r="F1086" s="857"/>
      <c r="G1086" s="857"/>
      <c r="H1086" s="857"/>
      <c r="I1086" s="857"/>
      <c r="J1086" s="857"/>
      <c r="K1086" s="857"/>
      <c r="L1086" s="857"/>
      <c r="N1086" s="631" t="str">
        <f t="shared" ca="1" si="17"/>
        <v>Refresh the statement</v>
      </c>
      <c r="O1086" s="86" t="str">
        <f ca="1">'All Statement of strategy (D)'!$I1654</f>
        <v xml:space="preserve"> </v>
      </c>
    </row>
    <row r="1087" spans="1:15">
      <c r="A1087" s="857"/>
      <c r="B1087" s="857"/>
      <c r="C1087" s="857"/>
      <c r="D1087" s="857"/>
      <c r="E1087" s="857"/>
      <c r="F1087" s="857"/>
      <c r="G1087" s="857"/>
      <c r="H1087" s="857"/>
      <c r="I1087" s="857"/>
      <c r="J1087" s="857"/>
      <c r="K1087" s="857"/>
      <c r="L1087" s="857"/>
      <c r="N1087" s="631" t="str">
        <f t="shared" ca="1" si="17"/>
        <v>Refresh the statement</v>
      </c>
      <c r="O1087" s="86" t="str">
        <f ca="1">'All Statement of strategy (D)'!$I1655</f>
        <v xml:space="preserve"> </v>
      </c>
    </row>
    <row r="1088" spans="1:15">
      <c r="A1088" s="857"/>
      <c r="B1088" s="857"/>
      <c r="C1088" s="857"/>
      <c r="D1088" s="857"/>
      <c r="E1088" s="857"/>
      <c r="F1088" s="857"/>
      <c r="G1088" s="857"/>
      <c r="H1088" s="857"/>
      <c r="I1088" s="857"/>
      <c r="J1088" s="857"/>
      <c r="K1088" s="857"/>
      <c r="L1088" s="857"/>
      <c r="N1088" s="631" t="str">
        <f t="shared" ca="1" si="17"/>
        <v>Refresh the statement</v>
      </c>
      <c r="O1088" s="86" t="str">
        <f ca="1">'All Statement of strategy (D)'!$I1656</f>
        <v xml:space="preserve"> </v>
      </c>
    </row>
    <row r="1089" spans="1:15">
      <c r="A1089" s="857"/>
      <c r="B1089" s="857"/>
      <c r="C1089" s="857"/>
      <c r="D1089" s="857"/>
      <c r="E1089" s="857"/>
      <c r="F1089" s="857"/>
      <c r="G1089" s="857"/>
      <c r="H1089" s="857"/>
      <c r="I1089" s="857"/>
      <c r="J1089" s="857"/>
      <c r="K1089" s="857"/>
      <c r="L1089" s="857"/>
      <c r="N1089" s="631" t="str">
        <f t="shared" ca="1" si="17"/>
        <v>Refresh the statement</v>
      </c>
      <c r="O1089" s="86" t="str">
        <f ca="1">'All Statement of strategy (D)'!$I1657</f>
        <v xml:space="preserve"> </v>
      </c>
    </row>
    <row r="1090" spans="1:15">
      <c r="N1090" s="631" t="str">
        <f t="shared" ca="1" si="17"/>
        <v>Refresh the statement</v>
      </c>
      <c r="O1090" s="86" t="str">
        <f ca="1">IF(A1063&lt;&gt;"","Blank row","")</f>
        <v>Blank row</v>
      </c>
    </row>
    <row r="1091" spans="1:15" ht="23">
      <c r="A1091" s="871" t="str">
        <f ca="1">'All Statement of strategy (D)'!$I1658</f>
        <v xml:space="preserve"> </v>
      </c>
      <c r="B1091" s="871"/>
      <c r="C1091" s="871"/>
      <c r="D1091" s="871"/>
      <c r="E1091" s="871"/>
      <c r="F1091" s="871"/>
      <c r="G1091" s="871"/>
      <c r="H1091" s="871"/>
      <c r="I1091" s="871"/>
      <c r="J1091" s="871"/>
      <c r="K1091" s="871"/>
      <c r="L1091" s="871"/>
      <c r="N1091" s="631" t="str">
        <f t="shared" ca="1" si="17"/>
        <v>Refresh the statement</v>
      </c>
    </row>
    <row r="1092" spans="1:15">
      <c r="A1092" s="580"/>
      <c r="B1092" s="580"/>
      <c r="C1092" s="580"/>
      <c r="D1092" s="580"/>
      <c r="E1092" s="580"/>
      <c r="F1092" s="580"/>
      <c r="G1092" s="580"/>
      <c r="H1092" s="580"/>
      <c r="I1092" s="580"/>
      <c r="J1092" s="580"/>
      <c r="K1092" s="580"/>
      <c r="L1092" s="580"/>
      <c r="N1092" s="631" t="str">
        <f t="shared" ca="1" si="17"/>
        <v>Refresh the statement</v>
      </c>
      <c r="O1092" s="86" t="str">
        <f ca="1">IF($A$1091&lt;&gt;"","Blank row","")</f>
        <v>Blank row</v>
      </c>
    </row>
    <row r="1093" spans="1:15">
      <c r="A1093" s="857" t="str">
        <f ca="1">'All Statement of strategy (D)'!$I1659</f>
        <v xml:space="preserve"> </v>
      </c>
      <c r="B1093" s="857"/>
      <c r="C1093" s="857"/>
      <c r="D1093" s="857"/>
      <c r="E1093" s="857"/>
      <c r="F1093" s="857"/>
      <c r="G1093" s="857"/>
      <c r="H1093" s="857"/>
      <c r="I1093" s="857"/>
      <c r="J1093" s="857"/>
      <c r="K1093" s="857"/>
      <c r="L1093" s="857"/>
      <c r="N1093" s="631" t="str">
        <f t="shared" ca="1" si="17"/>
        <v>Refresh the statement</v>
      </c>
    </row>
    <row r="1094" spans="1:15">
      <c r="A1094" s="580"/>
      <c r="B1094" s="580"/>
      <c r="C1094" s="580"/>
      <c r="D1094" s="580"/>
      <c r="E1094" s="580"/>
      <c r="F1094" s="580"/>
      <c r="G1094" s="580"/>
      <c r="H1094" s="580"/>
      <c r="I1094" s="580"/>
      <c r="J1094" s="580"/>
      <c r="K1094" s="580"/>
      <c r="L1094" s="580"/>
      <c r="N1094" s="631" t="str">
        <f t="shared" ca="1" si="17"/>
        <v>Refresh the statement</v>
      </c>
      <c r="O1094" s="86" t="str">
        <f ca="1">IF($A$1093&lt;&gt;"","Blank row","")</f>
        <v>Blank row</v>
      </c>
    </row>
    <row r="1095" spans="1:15">
      <c r="A1095" s="861" t="str">
        <f ca="1">'All Statement of strategy (D)'!$I1660</f>
        <v xml:space="preserve"> </v>
      </c>
      <c r="B1095" s="861"/>
      <c r="C1095" s="861"/>
      <c r="D1095" s="861"/>
      <c r="E1095" s="861"/>
      <c r="F1095" s="861"/>
      <c r="G1095" s="861"/>
      <c r="H1095" s="861"/>
      <c r="I1095" s="861"/>
      <c r="J1095" s="861"/>
      <c r="K1095" s="861"/>
      <c r="L1095" s="861"/>
      <c r="N1095" s="631" t="str">
        <f t="shared" ca="1" si="17"/>
        <v>Refresh the statement</v>
      </c>
    </row>
    <row r="1096" spans="1:15">
      <c r="A1096" s="580"/>
      <c r="B1096" s="580"/>
      <c r="C1096" s="580"/>
      <c r="D1096" s="580"/>
      <c r="E1096" s="580"/>
      <c r="F1096" s="580"/>
      <c r="G1096" s="580"/>
      <c r="H1096" s="580"/>
      <c r="I1096" s="580"/>
      <c r="J1096" s="580"/>
      <c r="K1096" s="580"/>
      <c r="L1096" s="580"/>
      <c r="N1096" s="631" t="str">
        <f t="shared" ca="1" si="17"/>
        <v>Refresh the statement</v>
      </c>
      <c r="O1096" s="86" t="str">
        <f ca="1">IF(A1095&lt;&gt;"","Blank row","")</f>
        <v>Blank row</v>
      </c>
    </row>
    <row r="1097" spans="1:15">
      <c r="A1097" s="857" t="str">
        <f ca="1">'All Statement of strategy (D)'!$I1661</f>
        <v xml:space="preserve"> </v>
      </c>
      <c r="B1097" s="857"/>
      <c r="C1097" s="857"/>
      <c r="D1097" s="857"/>
      <c r="E1097" s="857"/>
      <c r="F1097" s="857"/>
      <c r="G1097" s="857"/>
      <c r="H1097" s="857"/>
      <c r="I1097" s="857"/>
      <c r="J1097" s="857"/>
      <c r="K1097" s="857"/>
      <c r="L1097" s="857"/>
      <c r="N1097" s="631" t="str">
        <f t="shared" ca="1" si="17"/>
        <v>Refresh the statement</v>
      </c>
      <c r="O1097" s="86" t="str">
        <f ca="1">A1097</f>
        <v xml:space="preserve"> </v>
      </c>
    </row>
    <row r="1098" spans="1:15">
      <c r="A1098" s="857" t="str">
        <f ca="1">'All Statement of strategy (D)'!$I1662&amp;'All Statement of strategy (D)'!$I1663&amp;'All Statement of strategy (D)'!$I1664&amp;'All Statement of strategy (D)'!$I1665</f>
        <v xml:space="preserve">    </v>
      </c>
      <c r="B1098" s="857"/>
      <c r="C1098" s="857"/>
      <c r="D1098" s="857"/>
      <c r="E1098" s="857"/>
      <c r="F1098" s="857"/>
      <c r="G1098" s="857"/>
      <c r="H1098" s="857"/>
      <c r="I1098" s="857"/>
      <c r="J1098" s="857"/>
      <c r="K1098" s="857"/>
      <c r="L1098" s="857"/>
      <c r="N1098" s="631" t="str">
        <f t="shared" ca="1" si="17"/>
        <v>Refresh the statement</v>
      </c>
      <c r="O1098" s="86" t="str">
        <f ca="1">'All Statement of strategy (D)'!$I1662</f>
        <v xml:space="preserve"> </v>
      </c>
    </row>
    <row r="1099" spans="1:15">
      <c r="A1099" s="857"/>
      <c r="B1099" s="857"/>
      <c r="C1099" s="857"/>
      <c r="D1099" s="857"/>
      <c r="E1099" s="857"/>
      <c r="F1099" s="857"/>
      <c r="G1099" s="857"/>
      <c r="H1099" s="857"/>
      <c r="I1099" s="857"/>
      <c r="J1099" s="857"/>
      <c r="K1099" s="857"/>
      <c r="L1099" s="857"/>
      <c r="N1099" s="631" t="str">
        <f t="shared" ca="1" si="17"/>
        <v>Refresh the statement</v>
      </c>
      <c r="O1099" s="86" t="str">
        <f ca="1">'All Statement of strategy (D)'!$I1663</f>
        <v xml:space="preserve"> </v>
      </c>
    </row>
    <row r="1100" spans="1:15">
      <c r="A1100" s="857"/>
      <c r="B1100" s="857"/>
      <c r="C1100" s="857"/>
      <c r="D1100" s="857"/>
      <c r="E1100" s="857"/>
      <c r="F1100" s="857"/>
      <c r="G1100" s="857"/>
      <c r="H1100" s="857"/>
      <c r="I1100" s="857"/>
      <c r="J1100" s="857"/>
      <c r="K1100" s="857"/>
      <c r="L1100" s="857"/>
      <c r="N1100" s="631" t="str">
        <f t="shared" ref="N1100:N1163" ca="1" si="18">IF(OR(A1100&lt;&gt;"",B1100&lt;&gt;"",C1100&lt;&gt;"",D1100&lt;&gt;"",E1100&lt;&gt;"",F1100&lt;&gt;"",G1100&lt;&gt;"",H1100&lt;&gt;"",I1100&lt;&gt;"",J1100&lt;&gt;"",K1100&lt;&gt;"",L1100&lt;&gt;"",M1100&lt;&gt;"",O1100&lt;&gt;""),"Refresh the statement","Scroll up and click refresh")</f>
        <v>Refresh the statement</v>
      </c>
      <c r="O1100" s="86" t="str">
        <f ca="1">'All Statement of strategy (D)'!$I1664</f>
        <v xml:space="preserve"> </v>
      </c>
    </row>
    <row r="1101" spans="1:15">
      <c r="A1101" s="857"/>
      <c r="B1101" s="857"/>
      <c r="C1101" s="857"/>
      <c r="D1101" s="857"/>
      <c r="E1101" s="857"/>
      <c r="F1101" s="857"/>
      <c r="G1101" s="857"/>
      <c r="H1101" s="857"/>
      <c r="I1101" s="857"/>
      <c r="J1101" s="857"/>
      <c r="K1101" s="857"/>
      <c r="L1101" s="857"/>
      <c r="N1101" s="631" t="str">
        <f t="shared" ca="1" si="18"/>
        <v>Refresh the statement</v>
      </c>
      <c r="O1101" s="86" t="str">
        <f ca="1">'All Statement of strategy (D)'!$I1665</f>
        <v xml:space="preserve"> </v>
      </c>
    </row>
    <row r="1102" spans="1:15">
      <c r="A1102" s="857" t="str">
        <f ca="1">_xlfn.TEXTJOIN("",TRUE,'All Statement of strategy (D)'!$I1666,'All Statement of strategy (D)'!$I1667,'All Statement of strategy (D)'!$I1668,'All Statement of strategy (D)'!$I1669,'All Statement of strategy (D)'!$I1670,'All Statement of strategy (D)'!$I1671,'All Statement of strategy (D)'!$I1672)</f>
        <v xml:space="preserve">       </v>
      </c>
      <c r="B1102" s="857"/>
      <c r="C1102" s="857"/>
      <c r="D1102" s="857"/>
      <c r="E1102" s="857"/>
      <c r="F1102" s="857"/>
      <c r="G1102" s="857"/>
      <c r="H1102" s="857"/>
      <c r="I1102" s="857"/>
      <c r="J1102" s="857"/>
      <c r="K1102" s="857"/>
      <c r="L1102" s="857"/>
      <c r="N1102" s="631" t="str">
        <f t="shared" ca="1" si="18"/>
        <v>Refresh the statement</v>
      </c>
      <c r="O1102" s="86" t="str">
        <f ca="1">'All Statement of strategy (D)'!$I1666&amp;'All Statement of strategy (D)'!$I1669</f>
        <v xml:space="preserve">  </v>
      </c>
    </row>
    <row r="1103" spans="1:15">
      <c r="A1103" s="857"/>
      <c r="B1103" s="857"/>
      <c r="C1103" s="857"/>
      <c r="D1103" s="857"/>
      <c r="E1103" s="857"/>
      <c r="F1103" s="857"/>
      <c r="G1103" s="857"/>
      <c r="H1103" s="857"/>
      <c r="I1103" s="857"/>
      <c r="J1103" s="857"/>
      <c r="K1103" s="857"/>
      <c r="L1103" s="857"/>
      <c r="N1103" s="631" t="str">
        <f t="shared" ca="1" si="18"/>
        <v>Refresh the statement</v>
      </c>
      <c r="O1103" s="86" t="str">
        <f ca="1">'All Statement of strategy (D)'!$I1670</f>
        <v xml:space="preserve"> </v>
      </c>
    </row>
    <row r="1104" spans="1:15">
      <c r="A1104" s="857"/>
      <c r="B1104" s="857"/>
      <c r="C1104" s="857"/>
      <c r="D1104" s="857"/>
      <c r="E1104" s="857"/>
      <c r="F1104" s="857"/>
      <c r="G1104" s="857"/>
      <c r="H1104" s="857"/>
      <c r="I1104" s="857"/>
      <c r="J1104" s="857"/>
      <c r="K1104" s="857"/>
      <c r="L1104" s="857"/>
      <c r="N1104" s="631" t="str">
        <f t="shared" ca="1" si="18"/>
        <v>Refresh the statement</v>
      </c>
      <c r="O1104" s="86" t="str">
        <f ca="1">'All Statement of strategy (D)'!$I1671</f>
        <v xml:space="preserve"> </v>
      </c>
    </row>
    <row r="1105" spans="1:15">
      <c r="A1105" s="857"/>
      <c r="B1105" s="857"/>
      <c r="C1105" s="857"/>
      <c r="D1105" s="857"/>
      <c r="E1105" s="857"/>
      <c r="F1105" s="857"/>
      <c r="G1105" s="857"/>
      <c r="H1105" s="857"/>
      <c r="I1105" s="857"/>
      <c r="J1105" s="857"/>
      <c r="K1105" s="857"/>
      <c r="L1105" s="857"/>
      <c r="N1105" s="631" t="str">
        <f t="shared" ca="1" si="18"/>
        <v>Refresh the statement</v>
      </c>
      <c r="O1105" s="86" t="str">
        <f ca="1">'All Statement of strategy (D)'!$I1672</f>
        <v xml:space="preserve"> </v>
      </c>
    </row>
    <row r="1106" spans="1:15">
      <c r="A1106" s="857" t="str">
        <f ca="1">'All Statement of strategy (D)'!$I1673</f>
        <v xml:space="preserve"> </v>
      </c>
      <c r="B1106" s="857"/>
      <c r="C1106" s="857"/>
      <c r="D1106" s="857"/>
      <c r="E1106" s="857"/>
      <c r="F1106" s="857"/>
      <c r="G1106" s="857"/>
      <c r="H1106" s="857"/>
      <c r="I1106" s="857"/>
      <c r="J1106" s="857"/>
      <c r="K1106" s="857"/>
      <c r="L1106" s="857"/>
      <c r="N1106" s="631" t="str">
        <f t="shared" ca="1" si="18"/>
        <v>Refresh the statement</v>
      </c>
    </row>
    <row r="1107" spans="1:15">
      <c r="A1107" s="857" t="str">
        <f ca="1">'All Statement of strategy (D)'!$I1674</f>
        <v xml:space="preserve"> </v>
      </c>
      <c r="B1107" s="857"/>
      <c r="C1107" s="857"/>
      <c r="D1107" s="857"/>
      <c r="E1107" s="857"/>
      <c r="F1107" s="857"/>
      <c r="G1107" s="857"/>
      <c r="H1107" s="857"/>
      <c r="I1107" s="857"/>
      <c r="J1107" s="857"/>
      <c r="K1107" s="857"/>
      <c r="L1107" s="857"/>
      <c r="N1107" s="631" t="str">
        <f t="shared" ca="1" si="18"/>
        <v>Refresh the statement</v>
      </c>
    </row>
    <row r="1108" spans="1:15">
      <c r="A1108" s="857" t="str">
        <f ca="1">'All Statement of strategy (D)'!$I1675 &amp; 'All Statement of strategy (D)'!$I1676</f>
        <v xml:space="preserve">  </v>
      </c>
      <c r="B1108" s="857"/>
      <c r="C1108" s="857"/>
      <c r="D1108" s="857"/>
      <c r="E1108" s="857"/>
      <c r="F1108" s="857"/>
      <c r="G1108" s="857"/>
      <c r="H1108" s="857"/>
      <c r="I1108" s="857"/>
      <c r="J1108" s="857"/>
      <c r="K1108" s="857"/>
      <c r="L1108" s="857"/>
      <c r="N1108" s="631" t="str">
        <f t="shared" ca="1" si="18"/>
        <v>Refresh the statement</v>
      </c>
    </row>
    <row r="1109" spans="1:15">
      <c r="A1109" s="857" t="str">
        <f ca="1">'All Statement of strategy (D)'!$I1677</f>
        <v xml:space="preserve"> </v>
      </c>
      <c r="B1109" s="857"/>
      <c r="C1109" s="857"/>
      <c r="D1109" s="857"/>
      <c r="E1109" s="857"/>
      <c r="F1109" s="857"/>
      <c r="G1109" s="857"/>
      <c r="H1109" s="857"/>
      <c r="I1109" s="857"/>
      <c r="J1109" s="857"/>
      <c r="K1109" s="857"/>
      <c r="L1109" s="857"/>
      <c r="N1109" s="631" t="str">
        <f t="shared" ca="1" si="18"/>
        <v>Refresh the statement</v>
      </c>
    </row>
    <row r="1110" spans="1:15">
      <c r="A1110" s="857" t="str">
        <f ca="1">_xlfn.TEXTJOIN("",TRUE,'All Statement of strategy (D)'!$I1678,'All Statement of strategy (D)'!$I1679,'All Statement of strategy (D)'!$I1680,'All Statement of strategy (D)'!$I1681,'All Statement of strategy (D)'!$I1682)</f>
        <v xml:space="preserve">     </v>
      </c>
      <c r="B1110" s="857"/>
      <c r="C1110" s="857"/>
      <c r="D1110" s="857"/>
      <c r="E1110" s="857"/>
      <c r="F1110" s="857"/>
      <c r="G1110" s="857"/>
      <c r="H1110" s="857"/>
      <c r="I1110" s="857"/>
      <c r="J1110" s="857"/>
      <c r="K1110" s="857"/>
      <c r="L1110" s="857"/>
      <c r="N1110" s="631" t="str">
        <f t="shared" ca="1" si="18"/>
        <v>Refresh the statement</v>
      </c>
      <c r="O1110" s="86" t="str">
        <f ca="1">'All Statement of strategy (D)'!$I1678&amp;'All Statement of strategy (D)'!$I1679</f>
        <v xml:space="preserve">  </v>
      </c>
    </row>
    <row r="1111" spans="1:15">
      <c r="A1111" s="857"/>
      <c r="B1111" s="857"/>
      <c r="C1111" s="857"/>
      <c r="D1111" s="857"/>
      <c r="E1111" s="857"/>
      <c r="F1111" s="857"/>
      <c r="G1111" s="857"/>
      <c r="H1111" s="857"/>
      <c r="I1111" s="857"/>
      <c r="J1111" s="857"/>
      <c r="K1111" s="857"/>
      <c r="L1111" s="857"/>
      <c r="N1111" s="631" t="str">
        <f t="shared" ca="1" si="18"/>
        <v>Refresh the statement</v>
      </c>
      <c r="O1111" s="86" t="str">
        <f ca="1">'All Statement of strategy (D)'!$I1680</f>
        <v xml:space="preserve"> </v>
      </c>
    </row>
    <row r="1112" spans="1:15">
      <c r="A1112" s="857"/>
      <c r="B1112" s="857"/>
      <c r="C1112" s="857"/>
      <c r="D1112" s="857"/>
      <c r="E1112" s="857"/>
      <c r="F1112" s="857"/>
      <c r="G1112" s="857"/>
      <c r="H1112" s="857"/>
      <c r="I1112" s="857"/>
      <c r="J1112" s="857"/>
      <c r="K1112" s="857"/>
      <c r="L1112" s="857"/>
      <c r="N1112" s="631" t="str">
        <f t="shared" ca="1" si="18"/>
        <v>Refresh the statement</v>
      </c>
      <c r="O1112" s="86" t="str">
        <f ca="1">'All Statement of strategy (D)'!$I1681</f>
        <v xml:space="preserve"> </v>
      </c>
    </row>
    <row r="1113" spans="1:15">
      <c r="A1113" s="857"/>
      <c r="B1113" s="857"/>
      <c r="C1113" s="857"/>
      <c r="D1113" s="857"/>
      <c r="E1113" s="857"/>
      <c r="F1113" s="857"/>
      <c r="G1113" s="857"/>
      <c r="H1113" s="857"/>
      <c r="I1113" s="857"/>
      <c r="J1113" s="857"/>
      <c r="K1113" s="857"/>
      <c r="L1113" s="857"/>
      <c r="N1113" s="631" t="str">
        <f t="shared" ca="1" si="18"/>
        <v>Refresh the statement</v>
      </c>
      <c r="O1113" s="86" t="str">
        <f ca="1">'All Statement of strategy (D)'!$I1682</f>
        <v xml:space="preserve"> </v>
      </c>
    </row>
    <row r="1114" spans="1:15">
      <c r="A1114" s="396"/>
      <c r="B1114" s="396"/>
      <c r="C1114" s="396"/>
      <c r="D1114" s="396"/>
      <c r="E1114" s="396"/>
      <c r="F1114" s="396"/>
      <c r="G1114" s="396"/>
      <c r="H1114" s="396"/>
      <c r="I1114" s="396"/>
      <c r="J1114" s="396"/>
      <c r="K1114" s="396"/>
      <c r="L1114" s="396"/>
      <c r="N1114" s="631" t="str">
        <f t="shared" ca="1" si="18"/>
        <v>Refresh the statement</v>
      </c>
      <c r="O1114" s="86" t="str">
        <f ca="1">IF($A$1095&lt;&gt;"","Blank row","")</f>
        <v>Blank row</v>
      </c>
    </row>
    <row r="1115" spans="1:15">
      <c r="A1115" s="861" t="str">
        <f ca="1">'All Statement of strategy (D)'!$I1683</f>
        <v xml:space="preserve"> </v>
      </c>
      <c r="B1115" s="861"/>
      <c r="C1115" s="861"/>
      <c r="D1115" s="861"/>
      <c r="E1115" s="861"/>
      <c r="F1115" s="861"/>
      <c r="G1115" s="861"/>
      <c r="H1115" s="861"/>
      <c r="I1115" s="861"/>
      <c r="J1115" s="861"/>
      <c r="K1115" s="861"/>
      <c r="L1115" s="861"/>
      <c r="N1115" s="631" t="str">
        <f t="shared" ca="1" si="18"/>
        <v>Refresh the statement</v>
      </c>
    </row>
    <row r="1116" spans="1:15">
      <c r="A1116" s="580"/>
      <c r="B1116" s="580"/>
      <c r="C1116" s="580"/>
      <c r="D1116" s="580"/>
      <c r="E1116" s="580"/>
      <c r="F1116" s="580"/>
      <c r="G1116" s="580"/>
      <c r="H1116" s="580"/>
      <c r="I1116" s="580"/>
      <c r="J1116" s="580"/>
      <c r="K1116" s="580"/>
      <c r="L1116" s="580"/>
      <c r="N1116" s="631" t="str">
        <f t="shared" ca="1" si="18"/>
        <v>Refresh the statement</v>
      </c>
      <c r="O1116" s="86" t="str">
        <f ca="1">IF(A1115&lt;&gt;"","Blank row","")</f>
        <v>Blank row</v>
      </c>
    </row>
    <row r="1117" spans="1:15">
      <c r="A1117" s="857" t="str">
        <f ca="1">'All Statement of strategy (D)'!$I1684</f>
        <v xml:space="preserve"> </v>
      </c>
      <c r="B1117" s="857"/>
      <c r="C1117" s="857"/>
      <c r="D1117" s="857"/>
      <c r="E1117" s="857"/>
      <c r="F1117" s="857"/>
      <c r="G1117" s="857"/>
      <c r="H1117" s="857"/>
      <c r="I1117" s="857"/>
      <c r="J1117" s="857"/>
      <c r="K1117" s="857"/>
      <c r="L1117" s="857"/>
      <c r="N1117" s="631" t="str">
        <f t="shared" ca="1" si="18"/>
        <v>Refresh the statement</v>
      </c>
    </row>
    <row r="1118" spans="1:15">
      <c r="A1118" s="857" t="str">
        <f ca="1">'All Statement of strategy (D)'!$I1685&amp;'All Statement of strategy (D)'!$I1686&amp;'All Statement of strategy (D)'!$I1687&amp;'All Statement of strategy (D)'!$I1688</f>
        <v xml:space="preserve">    </v>
      </c>
      <c r="B1118" s="857"/>
      <c r="C1118" s="857"/>
      <c r="D1118" s="857"/>
      <c r="E1118" s="857"/>
      <c r="F1118" s="857"/>
      <c r="G1118" s="857"/>
      <c r="H1118" s="857"/>
      <c r="I1118" s="857"/>
      <c r="J1118" s="857"/>
      <c r="K1118" s="857"/>
      <c r="L1118" s="857"/>
      <c r="N1118" s="631" t="str">
        <f t="shared" ca="1" si="18"/>
        <v>Refresh the statement</v>
      </c>
      <c r="O1118" s="86" t="str">
        <f ca="1">'All Statement of strategy (D)'!$I1685</f>
        <v xml:space="preserve"> </v>
      </c>
    </row>
    <row r="1119" spans="1:15">
      <c r="A1119" s="857"/>
      <c r="B1119" s="857"/>
      <c r="C1119" s="857"/>
      <c r="D1119" s="857"/>
      <c r="E1119" s="857"/>
      <c r="F1119" s="857"/>
      <c r="G1119" s="857"/>
      <c r="H1119" s="857"/>
      <c r="I1119" s="857"/>
      <c r="J1119" s="857"/>
      <c r="K1119" s="857"/>
      <c r="L1119" s="857"/>
      <c r="N1119" s="631" t="str">
        <f t="shared" ca="1" si="18"/>
        <v>Refresh the statement</v>
      </c>
      <c r="O1119" s="86" t="str">
        <f ca="1">'All Statement of strategy (D)'!$I1686</f>
        <v xml:space="preserve"> </v>
      </c>
    </row>
    <row r="1120" spans="1:15">
      <c r="A1120" s="857"/>
      <c r="B1120" s="857"/>
      <c r="C1120" s="857"/>
      <c r="D1120" s="857"/>
      <c r="E1120" s="857"/>
      <c r="F1120" s="857"/>
      <c r="G1120" s="857"/>
      <c r="H1120" s="857"/>
      <c r="I1120" s="857"/>
      <c r="J1120" s="857"/>
      <c r="K1120" s="857"/>
      <c r="L1120" s="857"/>
      <c r="N1120" s="631" t="str">
        <f t="shared" ca="1" si="18"/>
        <v>Refresh the statement</v>
      </c>
      <c r="O1120" s="86" t="str">
        <f ca="1">'All Statement of strategy (D)'!$I1687</f>
        <v xml:space="preserve"> </v>
      </c>
    </row>
    <row r="1121" spans="1:15">
      <c r="A1121" s="857"/>
      <c r="B1121" s="857"/>
      <c r="C1121" s="857"/>
      <c r="D1121" s="857"/>
      <c r="E1121" s="857"/>
      <c r="F1121" s="857"/>
      <c r="G1121" s="857"/>
      <c r="H1121" s="857"/>
      <c r="I1121" s="857"/>
      <c r="J1121" s="857"/>
      <c r="K1121" s="857"/>
      <c r="L1121" s="857"/>
      <c r="N1121" s="631" t="str">
        <f t="shared" ca="1" si="18"/>
        <v>Refresh the statement</v>
      </c>
      <c r="O1121" s="86" t="str">
        <f ca="1">'All Statement of strategy (D)'!$I1688</f>
        <v xml:space="preserve"> </v>
      </c>
    </row>
    <row r="1122" spans="1:15">
      <c r="A1122" s="857" t="str">
        <f ca="1">_xlfn.TEXTJOIN("",TRUE,'All Statement of strategy (D)'!$I1689,'All Statement of strategy (D)'!$I1690,'All Statement of strategy (D)'!$I1691,'All Statement of strategy (D)'!$I1692,'All Statement of strategy (D)'!$I1693,'All Statement of strategy (D)'!$I1694,'All Statement of strategy (D)'!$I1695)</f>
        <v xml:space="preserve">       </v>
      </c>
      <c r="B1122" s="857"/>
      <c r="C1122" s="857"/>
      <c r="D1122" s="857"/>
      <c r="E1122" s="857"/>
      <c r="F1122" s="857"/>
      <c r="G1122" s="857"/>
      <c r="H1122" s="857"/>
      <c r="I1122" s="857"/>
      <c r="J1122" s="857"/>
      <c r="K1122" s="857"/>
      <c r="L1122" s="857"/>
      <c r="N1122" s="631" t="str">
        <f t="shared" ca="1" si="18"/>
        <v>Refresh the statement</v>
      </c>
      <c r="O1122" s="86" t="str">
        <f ca="1">'All Statement of strategy (D)'!$I1689&amp;'All Statement of strategy (D)'!$I1692</f>
        <v xml:space="preserve">  </v>
      </c>
    </row>
    <row r="1123" spans="1:15">
      <c r="A1123" s="857"/>
      <c r="B1123" s="857"/>
      <c r="C1123" s="857"/>
      <c r="D1123" s="857"/>
      <c r="E1123" s="857"/>
      <c r="F1123" s="857"/>
      <c r="G1123" s="857"/>
      <c r="H1123" s="857"/>
      <c r="I1123" s="857"/>
      <c r="J1123" s="857"/>
      <c r="K1123" s="857"/>
      <c r="L1123" s="857"/>
      <c r="N1123" s="631" t="str">
        <f t="shared" ca="1" si="18"/>
        <v>Refresh the statement</v>
      </c>
      <c r="O1123" s="86" t="str">
        <f ca="1">'All Statement of strategy (D)'!$I1693</f>
        <v xml:space="preserve"> </v>
      </c>
    </row>
    <row r="1124" spans="1:15">
      <c r="A1124" s="857"/>
      <c r="B1124" s="857"/>
      <c r="C1124" s="857"/>
      <c r="D1124" s="857"/>
      <c r="E1124" s="857"/>
      <c r="F1124" s="857"/>
      <c r="G1124" s="857"/>
      <c r="H1124" s="857"/>
      <c r="I1124" s="857"/>
      <c r="J1124" s="857"/>
      <c r="K1124" s="857"/>
      <c r="L1124" s="857"/>
      <c r="N1124" s="631" t="str">
        <f t="shared" ca="1" si="18"/>
        <v>Refresh the statement</v>
      </c>
      <c r="O1124" s="86" t="str">
        <f ca="1">'All Statement of strategy (D)'!$I1694</f>
        <v xml:space="preserve"> </v>
      </c>
    </row>
    <row r="1125" spans="1:15">
      <c r="A1125" s="857"/>
      <c r="B1125" s="857"/>
      <c r="C1125" s="857"/>
      <c r="D1125" s="857"/>
      <c r="E1125" s="857"/>
      <c r="F1125" s="857"/>
      <c r="G1125" s="857"/>
      <c r="H1125" s="857"/>
      <c r="I1125" s="857"/>
      <c r="J1125" s="857"/>
      <c r="K1125" s="857"/>
      <c r="L1125" s="857"/>
      <c r="N1125" s="631" t="str">
        <f t="shared" ca="1" si="18"/>
        <v>Refresh the statement</v>
      </c>
      <c r="O1125" s="86" t="str">
        <f ca="1">'All Statement of strategy (D)'!$I1695</f>
        <v xml:space="preserve"> </v>
      </c>
    </row>
    <row r="1126" spans="1:15">
      <c r="A1126" s="857" t="str">
        <f ca="1">'All Statement of strategy (D)'!$I1696</f>
        <v xml:space="preserve"> </v>
      </c>
      <c r="B1126" s="857"/>
      <c r="C1126" s="857"/>
      <c r="D1126" s="857"/>
      <c r="E1126" s="857"/>
      <c r="F1126" s="857"/>
      <c r="G1126" s="857"/>
      <c r="H1126" s="857"/>
      <c r="I1126" s="857"/>
      <c r="J1126" s="857"/>
      <c r="K1126" s="857"/>
      <c r="L1126" s="857"/>
      <c r="N1126" s="631" t="str">
        <f t="shared" ca="1" si="18"/>
        <v>Refresh the statement</v>
      </c>
    </row>
    <row r="1127" spans="1:15">
      <c r="A1127" s="857" t="str">
        <f ca="1">'All Statement of strategy (D)'!$I1697</f>
        <v xml:space="preserve"> </v>
      </c>
      <c r="B1127" s="857"/>
      <c r="C1127" s="857"/>
      <c r="D1127" s="857"/>
      <c r="E1127" s="857"/>
      <c r="F1127" s="857"/>
      <c r="G1127" s="857"/>
      <c r="H1127" s="857"/>
      <c r="I1127" s="857"/>
      <c r="J1127" s="857"/>
      <c r="K1127" s="857"/>
      <c r="L1127" s="857"/>
      <c r="N1127" s="631" t="str">
        <f t="shared" ca="1" si="18"/>
        <v>Refresh the statement</v>
      </c>
    </row>
    <row r="1128" spans="1:15">
      <c r="A1128" s="857" t="str">
        <f ca="1">'All Statement of strategy (D)'!$I1698&amp;'All Statement of strategy (D)'!$I1699</f>
        <v xml:space="preserve">  </v>
      </c>
      <c r="B1128" s="857"/>
      <c r="C1128" s="857"/>
      <c r="D1128" s="857"/>
      <c r="E1128" s="857"/>
      <c r="F1128" s="857"/>
      <c r="G1128" s="857"/>
      <c r="H1128" s="857"/>
      <c r="I1128" s="857"/>
      <c r="J1128" s="857"/>
      <c r="K1128" s="857"/>
      <c r="L1128" s="857"/>
      <c r="N1128" s="631" t="str">
        <f t="shared" ca="1" si="18"/>
        <v>Refresh the statement</v>
      </c>
    </row>
    <row r="1129" spans="1:15">
      <c r="A1129" s="857" t="str">
        <f ca="1">'All Statement of strategy (D)'!$I1700</f>
        <v xml:space="preserve"> </v>
      </c>
      <c r="B1129" s="857"/>
      <c r="C1129" s="857"/>
      <c r="D1129" s="857"/>
      <c r="E1129" s="857"/>
      <c r="F1129" s="857"/>
      <c r="G1129" s="857"/>
      <c r="H1129" s="857"/>
      <c r="I1129" s="857"/>
      <c r="J1129" s="857"/>
      <c r="K1129" s="857"/>
      <c r="L1129" s="857"/>
      <c r="N1129" s="631" t="str">
        <f t="shared" ca="1" si="18"/>
        <v>Refresh the statement</v>
      </c>
    </row>
    <row r="1130" spans="1:15">
      <c r="A1130" s="857" t="str">
        <f ca="1">_xlfn.TEXTJOIN("",TRUE,'All Statement of strategy (D)'!$I1701,'All Statement of strategy (D)'!$I1702,'All Statement of strategy (D)'!$I1703,'All Statement of strategy (D)'!$I1704,'All Statement of strategy (D)'!$I1705)</f>
        <v xml:space="preserve">     </v>
      </c>
      <c r="B1130" s="857"/>
      <c r="C1130" s="857"/>
      <c r="D1130" s="857"/>
      <c r="E1130" s="857"/>
      <c r="F1130" s="857"/>
      <c r="G1130" s="857"/>
      <c r="H1130" s="857"/>
      <c r="I1130" s="857"/>
      <c r="J1130" s="857"/>
      <c r="K1130" s="857"/>
      <c r="L1130" s="857"/>
      <c r="N1130" s="631" t="str">
        <f t="shared" ca="1" si="18"/>
        <v>Refresh the statement</v>
      </c>
      <c r="O1130" s="86" t="str">
        <f ca="1">'All Statement of strategy (D)'!$I1701&amp;'All Statement of strategy (D)'!$I1702</f>
        <v xml:space="preserve">  </v>
      </c>
    </row>
    <row r="1131" spans="1:15">
      <c r="A1131" s="857"/>
      <c r="B1131" s="857"/>
      <c r="C1131" s="857"/>
      <c r="D1131" s="857"/>
      <c r="E1131" s="857"/>
      <c r="F1131" s="857"/>
      <c r="G1131" s="857"/>
      <c r="H1131" s="857"/>
      <c r="I1131" s="857"/>
      <c r="J1131" s="857"/>
      <c r="K1131" s="857"/>
      <c r="L1131" s="857"/>
      <c r="N1131" s="631" t="str">
        <f t="shared" ca="1" si="18"/>
        <v>Refresh the statement</v>
      </c>
      <c r="O1131" s="86" t="str">
        <f ca="1">'All Statement of strategy (D)'!$I1703</f>
        <v xml:space="preserve"> </v>
      </c>
    </row>
    <row r="1132" spans="1:15">
      <c r="A1132" s="857"/>
      <c r="B1132" s="857"/>
      <c r="C1132" s="857"/>
      <c r="D1132" s="857"/>
      <c r="E1132" s="857"/>
      <c r="F1132" s="857"/>
      <c r="G1132" s="857"/>
      <c r="H1132" s="857"/>
      <c r="I1132" s="857"/>
      <c r="J1132" s="857"/>
      <c r="K1132" s="857"/>
      <c r="L1132" s="857"/>
      <c r="N1132" s="631" t="str">
        <f t="shared" ca="1" si="18"/>
        <v>Refresh the statement</v>
      </c>
      <c r="O1132" s="86" t="str">
        <f ca="1">'All Statement of strategy (D)'!$I1704</f>
        <v xml:space="preserve"> </v>
      </c>
    </row>
    <row r="1133" spans="1:15">
      <c r="A1133" s="857"/>
      <c r="B1133" s="857"/>
      <c r="C1133" s="857"/>
      <c r="D1133" s="857"/>
      <c r="E1133" s="857"/>
      <c r="F1133" s="857"/>
      <c r="G1133" s="857"/>
      <c r="H1133" s="857"/>
      <c r="I1133" s="857"/>
      <c r="J1133" s="857"/>
      <c r="K1133" s="857"/>
      <c r="L1133" s="857"/>
      <c r="N1133" s="631" t="str">
        <f t="shared" ca="1" si="18"/>
        <v>Refresh the statement</v>
      </c>
      <c r="O1133" s="86" t="str">
        <f ca="1">'All Statement of strategy (D)'!$I1705</f>
        <v xml:space="preserve"> </v>
      </c>
    </row>
    <row r="1134" spans="1:15">
      <c r="N1134" s="631" t="str">
        <f t="shared" ca="1" si="18"/>
        <v>Refresh the statement</v>
      </c>
      <c r="O1134" s="86" t="str">
        <f ca="1">IF($A$1115&lt;&gt;"","Blank row","")</f>
        <v>Blank row</v>
      </c>
    </row>
    <row r="1135" spans="1:15">
      <c r="A1135" s="861" t="str">
        <f ca="1">'All Statement of strategy (D)'!$I1706</f>
        <v xml:space="preserve"> </v>
      </c>
      <c r="B1135" s="861"/>
      <c r="C1135" s="861"/>
      <c r="D1135" s="861"/>
      <c r="E1135" s="861"/>
      <c r="F1135" s="861"/>
      <c r="G1135" s="861"/>
      <c r="H1135" s="861"/>
      <c r="I1135" s="861"/>
      <c r="J1135" s="861"/>
      <c r="K1135" s="861"/>
      <c r="L1135" s="861"/>
      <c r="N1135" s="631" t="str">
        <f t="shared" ca="1" si="18"/>
        <v>Refresh the statement</v>
      </c>
    </row>
    <row r="1136" spans="1:15">
      <c r="A1136" s="580"/>
      <c r="B1136" s="580"/>
      <c r="C1136" s="580"/>
      <c r="D1136" s="580"/>
      <c r="E1136" s="580"/>
      <c r="F1136" s="580"/>
      <c r="G1136" s="580"/>
      <c r="H1136" s="580"/>
      <c r="I1136" s="580"/>
      <c r="J1136" s="580"/>
      <c r="K1136" s="580"/>
      <c r="L1136" s="580"/>
      <c r="N1136" s="631" t="str">
        <f t="shared" ca="1" si="18"/>
        <v>Refresh the statement</v>
      </c>
      <c r="O1136" s="86" t="str">
        <f ca="1">IF(A1135&lt;&gt;"","Blank row","")</f>
        <v>Blank row</v>
      </c>
    </row>
    <row r="1137" spans="1:15">
      <c r="A1137" s="857" t="str">
        <f ca="1">'All Statement of strategy (D)'!$I1707</f>
        <v xml:space="preserve"> </v>
      </c>
      <c r="B1137" s="857"/>
      <c r="C1137" s="857"/>
      <c r="D1137" s="857"/>
      <c r="E1137" s="857"/>
      <c r="F1137" s="857"/>
      <c r="G1137" s="857"/>
      <c r="H1137" s="857"/>
      <c r="I1137" s="857"/>
      <c r="J1137" s="857"/>
      <c r="K1137" s="857"/>
      <c r="L1137" s="857"/>
      <c r="N1137" s="631" t="str">
        <f t="shared" ca="1" si="18"/>
        <v>Refresh the statement</v>
      </c>
    </row>
    <row r="1138" spans="1:15">
      <c r="A1138" s="857" t="str">
        <f ca="1">'All Statement of strategy (D)'!$I1708&amp;'All Statement of strategy (D)'!$I1709&amp;'All Statement of strategy (D)'!$I1710&amp;'All Statement of strategy (D)'!$I1711</f>
        <v xml:space="preserve">    </v>
      </c>
      <c r="B1138" s="857"/>
      <c r="C1138" s="857"/>
      <c r="D1138" s="857"/>
      <c r="E1138" s="857"/>
      <c r="F1138" s="857"/>
      <c r="G1138" s="857"/>
      <c r="H1138" s="857"/>
      <c r="I1138" s="857"/>
      <c r="J1138" s="857"/>
      <c r="K1138" s="857"/>
      <c r="L1138" s="857"/>
      <c r="N1138" s="631" t="str">
        <f t="shared" ca="1" si="18"/>
        <v>Refresh the statement</v>
      </c>
      <c r="O1138" s="86" t="str">
        <f ca="1">'All Statement of strategy (D)'!$I1708</f>
        <v xml:space="preserve"> </v>
      </c>
    </row>
    <row r="1139" spans="1:15">
      <c r="A1139" s="857"/>
      <c r="B1139" s="857"/>
      <c r="C1139" s="857"/>
      <c r="D1139" s="857"/>
      <c r="E1139" s="857"/>
      <c r="F1139" s="857"/>
      <c r="G1139" s="857"/>
      <c r="H1139" s="857"/>
      <c r="I1139" s="857"/>
      <c r="J1139" s="857"/>
      <c r="K1139" s="857"/>
      <c r="L1139" s="857"/>
      <c r="N1139" s="631" t="str">
        <f t="shared" ca="1" si="18"/>
        <v>Refresh the statement</v>
      </c>
      <c r="O1139" s="86" t="str">
        <f ca="1">'All Statement of strategy (D)'!$I1709</f>
        <v xml:space="preserve"> </v>
      </c>
    </row>
    <row r="1140" spans="1:15">
      <c r="A1140" s="857"/>
      <c r="B1140" s="857"/>
      <c r="C1140" s="857"/>
      <c r="D1140" s="857"/>
      <c r="E1140" s="857"/>
      <c r="F1140" s="857"/>
      <c r="G1140" s="857"/>
      <c r="H1140" s="857"/>
      <c r="I1140" s="857"/>
      <c r="J1140" s="857"/>
      <c r="K1140" s="857"/>
      <c r="L1140" s="857"/>
      <c r="N1140" s="631" t="str">
        <f t="shared" ca="1" si="18"/>
        <v>Refresh the statement</v>
      </c>
      <c r="O1140" s="86" t="str">
        <f ca="1">'All Statement of strategy (D)'!$I1710</f>
        <v xml:space="preserve"> </v>
      </c>
    </row>
    <row r="1141" spans="1:15">
      <c r="A1141" s="857"/>
      <c r="B1141" s="857"/>
      <c r="C1141" s="857"/>
      <c r="D1141" s="857"/>
      <c r="E1141" s="857"/>
      <c r="F1141" s="857"/>
      <c r="G1141" s="857"/>
      <c r="H1141" s="857"/>
      <c r="I1141" s="857"/>
      <c r="J1141" s="857"/>
      <c r="K1141" s="857"/>
      <c r="L1141" s="857"/>
      <c r="N1141" s="631" t="str">
        <f t="shared" ca="1" si="18"/>
        <v>Refresh the statement</v>
      </c>
      <c r="O1141" s="86" t="str">
        <f ca="1">'All Statement of strategy (D)'!$I1711</f>
        <v xml:space="preserve"> </v>
      </c>
    </row>
    <row r="1142" spans="1:15">
      <c r="A1142" s="857" t="str">
        <f ca="1">_xlfn.TEXTJOIN("",TRUE,'All Statement of strategy (D)'!$I1712,'All Statement of strategy (D)'!$I1713,'All Statement of strategy (D)'!$I1714,'All Statement of strategy (D)'!$I1715,'All Statement of strategy (D)'!$I1716,'All Statement of strategy (D)'!$I1717,'All Statement of strategy (D)'!$I1718)</f>
        <v xml:space="preserve">       </v>
      </c>
      <c r="B1142" s="857"/>
      <c r="C1142" s="857"/>
      <c r="D1142" s="857"/>
      <c r="E1142" s="857"/>
      <c r="F1142" s="857"/>
      <c r="G1142" s="857"/>
      <c r="H1142" s="857"/>
      <c r="I1142" s="857"/>
      <c r="J1142" s="857"/>
      <c r="K1142" s="857"/>
      <c r="L1142" s="857"/>
      <c r="N1142" s="631" t="str">
        <f t="shared" ca="1" si="18"/>
        <v>Refresh the statement</v>
      </c>
      <c r="O1142" s="86" t="str">
        <f ca="1">'All Statement of strategy (D)'!$I1712&amp;'All Statement of strategy (D)'!$I1715</f>
        <v xml:space="preserve">  </v>
      </c>
    </row>
    <row r="1143" spans="1:15">
      <c r="A1143" s="857"/>
      <c r="B1143" s="857"/>
      <c r="C1143" s="857"/>
      <c r="D1143" s="857"/>
      <c r="E1143" s="857"/>
      <c r="F1143" s="857"/>
      <c r="G1143" s="857"/>
      <c r="H1143" s="857"/>
      <c r="I1143" s="857"/>
      <c r="J1143" s="857"/>
      <c r="K1143" s="857"/>
      <c r="L1143" s="857"/>
      <c r="N1143" s="631" t="str">
        <f t="shared" ca="1" si="18"/>
        <v>Refresh the statement</v>
      </c>
      <c r="O1143" s="86" t="str">
        <f ca="1">'All Statement of strategy (D)'!$I1716</f>
        <v xml:space="preserve"> </v>
      </c>
    </row>
    <row r="1144" spans="1:15">
      <c r="A1144" s="857"/>
      <c r="B1144" s="857"/>
      <c r="C1144" s="857"/>
      <c r="D1144" s="857"/>
      <c r="E1144" s="857"/>
      <c r="F1144" s="857"/>
      <c r="G1144" s="857"/>
      <c r="H1144" s="857"/>
      <c r="I1144" s="857"/>
      <c r="J1144" s="857"/>
      <c r="K1144" s="857"/>
      <c r="L1144" s="857"/>
      <c r="N1144" s="631" t="str">
        <f t="shared" ca="1" si="18"/>
        <v>Refresh the statement</v>
      </c>
      <c r="O1144" s="86" t="str">
        <f ca="1">'All Statement of strategy (D)'!$I1717</f>
        <v xml:space="preserve"> </v>
      </c>
    </row>
    <row r="1145" spans="1:15">
      <c r="A1145" s="857"/>
      <c r="B1145" s="857"/>
      <c r="C1145" s="857"/>
      <c r="D1145" s="857"/>
      <c r="E1145" s="857"/>
      <c r="F1145" s="857"/>
      <c r="G1145" s="857"/>
      <c r="H1145" s="857"/>
      <c r="I1145" s="857"/>
      <c r="J1145" s="857"/>
      <c r="K1145" s="857"/>
      <c r="L1145" s="857"/>
      <c r="N1145" s="631" t="str">
        <f t="shared" ca="1" si="18"/>
        <v>Refresh the statement</v>
      </c>
      <c r="O1145" s="86" t="str">
        <f ca="1">'All Statement of strategy (D)'!$I1718</f>
        <v xml:space="preserve"> </v>
      </c>
    </row>
    <row r="1146" spans="1:15">
      <c r="A1146" s="857" t="str">
        <f ca="1">'All Statement of strategy (D)'!$I1719</f>
        <v xml:space="preserve"> </v>
      </c>
      <c r="B1146" s="857"/>
      <c r="C1146" s="857"/>
      <c r="D1146" s="857"/>
      <c r="E1146" s="857"/>
      <c r="F1146" s="857"/>
      <c r="G1146" s="857"/>
      <c r="H1146" s="857"/>
      <c r="I1146" s="857"/>
      <c r="J1146" s="857"/>
      <c r="K1146" s="857"/>
      <c r="L1146" s="857"/>
      <c r="N1146" s="631" t="str">
        <f t="shared" ca="1" si="18"/>
        <v>Refresh the statement</v>
      </c>
    </row>
    <row r="1147" spans="1:15">
      <c r="A1147" s="857" t="str">
        <f ca="1">'All Statement of strategy (D)'!$I1720</f>
        <v xml:space="preserve"> </v>
      </c>
      <c r="B1147" s="857"/>
      <c r="C1147" s="857"/>
      <c r="D1147" s="857"/>
      <c r="E1147" s="857"/>
      <c r="F1147" s="857"/>
      <c r="G1147" s="857"/>
      <c r="H1147" s="857"/>
      <c r="I1147" s="857"/>
      <c r="J1147" s="857"/>
      <c r="K1147" s="857"/>
      <c r="L1147" s="857"/>
      <c r="N1147" s="631" t="str">
        <f t="shared" ca="1" si="18"/>
        <v>Refresh the statement</v>
      </c>
    </row>
    <row r="1148" spans="1:15">
      <c r="A1148" s="857" t="str">
        <f ca="1">'All Statement of strategy (D)'!$I1721&amp;'All Statement of strategy (D)'!$I1722</f>
        <v xml:space="preserve">  </v>
      </c>
      <c r="B1148" s="857"/>
      <c r="C1148" s="857"/>
      <c r="D1148" s="857"/>
      <c r="E1148" s="857"/>
      <c r="F1148" s="857"/>
      <c r="G1148" s="857"/>
      <c r="H1148" s="857"/>
      <c r="I1148" s="857"/>
      <c r="J1148" s="857"/>
      <c r="K1148" s="857"/>
      <c r="L1148" s="857"/>
      <c r="N1148" s="631" t="str">
        <f t="shared" ca="1" si="18"/>
        <v>Refresh the statement</v>
      </c>
    </row>
    <row r="1149" spans="1:15">
      <c r="A1149" s="857" t="str">
        <f ca="1">'All Statement of strategy (D)'!$I1723</f>
        <v xml:space="preserve"> </v>
      </c>
      <c r="B1149" s="857"/>
      <c r="C1149" s="857"/>
      <c r="D1149" s="857"/>
      <c r="E1149" s="857"/>
      <c r="F1149" s="857"/>
      <c r="G1149" s="857"/>
      <c r="H1149" s="857"/>
      <c r="I1149" s="857"/>
      <c r="J1149" s="857"/>
      <c r="K1149" s="857"/>
      <c r="L1149" s="857"/>
      <c r="N1149" s="631" t="str">
        <f t="shared" ca="1" si="18"/>
        <v>Refresh the statement</v>
      </c>
    </row>
    <row r="1150" spans="1:15">
      <c r="A1150" s="857" t="str">
        <f ca="1">_xlfn.TEXTJOIN("",TRUE,'All Statement of strategy (D)'!$I1724,'All Statement of strategy (D)'!$I1725,'All Statement of strategy (D)'!$I1726,'All Statement of strategy (D)'!$I1727,'All Statement of strategy (D)'!$I1728)</f>
        <v xml:space="preserve">     </v>
      </c>
      <c r="B1150" s="857"/>
      <c r="C1150" s="857"/>
      <c r="D1150" s="857"/>
      <c r="E1150" s="857"/>
      <c r="F1150" s="857"/>
      <c r="G1150" s="857"/>
      <c r="H1150" s="857"/>
      <c r="I1150" s="857"/>
      <c r="J1150" s="857"/>
      <c r="K1150" s="857"/>
      <c r="L1150" s="857"/>
      <c r="N1150" s="631" t="str">
        <f t="shared" ca="1" si="18"/>
        <v>Refresh the statement</v>
      </c>
      <c r="O1150" s="86" t="str">
        <f ca="1">'All Statement of strategy (D)'!$I1724&amp;'All Statement of strategy (D)'!$I1725</f>
        <v xml:space="preserve">  </v>
      </c>
    </row>
    <row r="1151" spans="1:15">
      <c r="A1151" s="857"/>
      <c r="B1151" s="857"/>
      <c r="C1151" s="857"/>
      <c r="D1151" s="857"/>
      <c r="E1151" s="857"/>
      <c r="F1151" s="857"/>
      <c r="G1151" s="857"/>
      <c r="H1151" s="857"/>
      <c r="I1151" s="857"/>
      <c r="J1151" s="857"/>
      <c r="K1151" s="857"/>
      <c r="L1151" s="857"/>
      <c r="N1151" s="631" t="str">
        <f t="shared" ca="1" si="18"/>
        <v>Refresh the statement</v>
      </c>
      <c r="O1151" s="86" t="str">
        <f ca="1">'All Statement of strategy (D)'!$I1726</f>
        <v xml:space="preserve"> </v>
      </c>
    </row>
    <row r="1152" spans="1:15">
      <c r="A1152" s="857"/>
      <c r="B1152" s="857"/>
      <c r="C1152" s="857"/>
      <c r="D1152" s="857"/>
      <c r="E1152" s="857"/>
      <c r="F1152" s="857"/>
      <c r="G1152" s="857"/>
      <c r="H1152" s="857"/>
      <c r="I1152" s="857"/>
      <c r="J1152" s="857"/>
      <c r="K1152" s="857"/>
      <c r="L1152" s="857"/>
      <c r="N1152" s="631" t="str">
        <f t="shared" ca="1" si="18"/>
        <v>Refresh the statement</v>
      </c>
      <c r="O1152" s="86" t="str">
        <f ca="1">'All Statement of strategy (D)'!$I1727</f>
        <v xml:space="preserve"> </v>
      </c>
    </row>
    <row r="1153" spans="1:15">
      <c r="A1153" s="857"/>
      <c r="B1153" s="857"/>
      <c r="C1153" s="857"/>
      <c r="D1153" s="857"/>
      <c r="E1153" s="857"/>
      <c r="F1153" s="857"/>
      <c r="G1153" s="857"/>
      <c r="H1153" s="857"/>
      <c r="I1153" s="857"/>
      <c r="J1153" s="857"/>
      <c r="K1153" s="857"/>
      <c r="L1153" s="857"/>
      <c r="N1153" s="631" t="str">
        <f t="shared" ca="1" si="18"/>
        <v>Refresh the statement</v>
      </c>
      <c r="O1153" s="86" t="str">
        <f ca="1">'All Statement of strategy (D)'!$I1728</f>
        <v xml:space="preserve"> </v>
      </c>
    </row>
    <row r="1154" spans="1:15">
      <c r="N1154" s="631" t="str">
        <f t="shared" ca="1" si="18"/>
        <v>Refresh the statement</v>
      </c>
      <c r="O1154" s="86" t="str">
        <f ca="1">IF($A$1135&lt;&gt;"","Blank row","")</f>
        <v>Blank row</v>
      </c>
    </row>
    <row r="1155" spans="1:15">
      <c r="A1155" s="861" t="str">
        <f ca="1">'All Statement of strategy (D)'!$I1729</f>
        <v xml:space="preserve"> </v>
      </c>
      <c r="B1155" s="861"/>
      <c r="C1155" s="861"/>
      <c r="D1155" s="861"/>
      <c r="E1155" s="861"/>
      <c r="F1155" s="861"/>
      <c r="G1155" s="861"/>
      <c r="H1155" s="861"/>
      <c r="I1155" s="861"/>
      <c r="J1155" s="861"/>
      <c r="K1155" s="861"/>
      <c r="L1155" s="861"/>
      <c r="N1155" s="631" t="str">
        <f t="shared" ca="1" si="18"/>
        <v>Refresh the statement</v>
      </c>
    </row>
    <row r="1156" spans="1:15">
      <c r="N1156" s="631" t="str">
        <f t="shared" ca="1" si="18"/>
        <v>Refresh the statement</v>
      </c>
      <c r="O1156" s="86" t="str">
        <f ca="1">IF(A1155&lt;&gt;"","Blank row","")</f>
        <v>Blank row</v>
      </c>
    </row>
    <row r="1157" spans="1:15">
      <c r="A1157" s="857" t="str">
        <f ca="1">'All Statement of strategy (D)'!$I1730</f>
        <v xml:space="preserve"> </v>
      </c>
      <c r="B1157" s="857"/>
      <c r="C1157" s="857"/>
      <c r="D1157" s="857"/>
      <c r="E1157" s="857"/>
      <c r="F1157" s="857"/>
      <c r="G1157" s="857"/>
      <c r="H1157" s="857"/>
      <c r="I1157" s="857"/>
      <c r="J1157" s="857"/>
      <c r="K1157" s="857"/>
      <c r="L1157" s="857"/>
      <c r="N1157" s="631" t="str">
        <f t="shared" ca="1" si="18"/>
        <v>Refresh the statement</v>
      </c>
    </row>
    <row r="1158" spans="1:15">
      <c r="A1158" s="857" t="str">
        <f ca="1">'All Statement of strategy (D)'!$I1731&amp;'All Statement of strategy (D)'!$I1732&amp;'All Statement of strategy (D)'!$I1733&amp;'All Statement of strategy (D)'!$I1734</f>
        <v xml:space="preserve">    </v>
      </c>
      <c r="B1158" s="857"/>
      <c r="C1158" s="857"/>
      <c r="D1158" s="857"/>
      <c r="E1158" s="857"/>
      <c r="F1158" s="857"/>
      <c r="G1158" s="857"/>
      <c r="H1158" s="857"/>
      <c r="I1158" s="857"/>
      <c r="J1158" s="857"/>
      <c r="K1158" s="857"/>
      <c r="L1158" s="857"/>
      <c r="N1158" s="631" t="str">
        <f t="shared" ca="1" si="18"/>
        <v>Refresh the statement</v>
      </c>
      <c r="O1158" s="86" t="str">
        <f ca="1">'All Statement of strategy (D)'!$I1731</f>
        <v xml:space="preserve"> </v>
      </c>
    </row>
    <row r="1159" spans="1:15">
      <c r="A1159" s="857"/>
      <c r="B1159" s="857"/>
      <c r="C1159" s="857"/>
      <c r="D1159" s="857"/>
      <c r="E1159" s="857"/>
      <c r="F1159" s="857"/>
      <c r="G1159" s="857"/>
      <c r="H1159" s="857"/>
      <c r="I1159" s="857"/>
      <c r="J1159" s="857"/>
      <c r="K1159" s="857"/>
      <c r="L1159" s="857"/>
      <c r="N1159" s="631" t="str">
        <f t="shared" ca="1" si="18"/>
        <v>Refresh the statement</v>
      </c>
      <c r="O1159" s="86" t="str">
        <f ca="1">'All Statement of strategy (D)'!$I1732</f>
        <v xml:space="preserve"> </v>
      </c>
    </row>
    <row r="1160" spans="1:15">
      <c r="A1160" s="857"/>
      <c r="B1160" s="857"/>
      <c r="C1160" s="857"/>
      <c r="D1160" s="857"/>
      <c r="E1160" s="857"/>
      <c r="F1160" s="857"/>
      <c r="G1160" s="857"/>
      <c r="H1160" s="857"/>
      <c r="I1160" s="857"/>
      <c r="J1160" s="857"/>
      <c r="K1160" s="857"/>
      <c r="L1160" s="857"/>
      <c r="N1160" s="631" t="str">
        <f t="shared" ca="1" si="18"/>
        <v>Refresh the statement</v>
      </c>
      <c r="O1160" s="86" t="str">
        <f ca="1">'All Statement of strategy (D)'!$I1733</f>
        <v xml:space="preserve"> </v>
      </c>
    </row>
    <row r="1161" spans="1:15">
      <c r="A1161" s="857"/>
      <c r="B1161" s="857"/>
      <c r="C1161" s="857"/>
      <c r="D1161" s="857"/>
      <c r="E1161" s="857"/>
      <c r="F1161" s="857"/>
      <c r="G1161" s="857"/>
      <c r="H1161" s="857"/>
      <c r="I1161" s="857"/>
      <c r="J1161" s="857"/>
      <c r="K1161" s="857"/>
      <c r="L1161" s="857"/>
      <c r="N1161" s="631" t="str">
        <f t="shared" ca="1" si="18"/>
        <v>Refresh the statement</v>
      </c>
      <c r="O1161" s="86" t="str">
        <f ca="1">'All Statement of strategy (D)'!$I1734</f>
        <v xml:space="preserve"> </v>
      </c>
    </row>
    <row r="1162" spans="1:15">
      <c r="A1162" s="857" t="str">
        <f ca="1">_xlfn.TEXTJOIN("",TRUE,'All Statement of strategy (D)'!$I1735,'All Statement of strategy (D)'!$I1736,'All Statement of strategy (D)'!$I1737,'All Statement of strategy (D)'!$I1738,'All Statement of strategy (D)'!$I1739,'All Statement of strategy (D)'!$I1740,'All Statement of strategy (D)'!$I1741)</f>
        <v xml:space="preserve">       </v>
      </c>
      <c r="B1162" s="857"/>
      <c r="C1162" s="857"/>
      <c r="D1162" s="857"/>
      <c r="E1162" s="857"/>
      <c r="F1162" s="857"/>
      <c r="G1162" s="857"/>
      <c r="H1162" s="857"/>
      <c r="I1162" s="857"/>
      <c r="J1162" s="857"/>
      <c r="K1162" s="857"/>
      <c r="L1162" s="857"/>
      <c r="N1162" s="631" t="str">
        <f t="shared" ca="1" si="18"/>
        <v>Refresh the statement</v>
      </c>
      <c r="O1162" s="86" t="str">
        <f ca="1">'All Statement of strategy (D)'!$I1735&amp;'All Statement of strategy (D)'!I1738</f>
        <v xml:space="preserve">  </v>
      </c>
    </row>
    <row r="1163" spans="1:15">
      <c r="A1163" s="857"/>
      <c r="B1163" s="857"/>
      <c r="C1163" s="857"/>
      <c r="D1163" s="857"/>
      <c r="E1163" s="857"/>
      <c r="F1163" s="857"/>
      <c r="G1163" s="857"/>
      <c r="H1163" s="857"/>
      <c r="I1163" s="857"/>
      <c r="J1163" s="857"/>
      <c r="K1163" s="857"/>
      <c r="L1163" s="857"/>
      <c r="N1163" s="631" t="str">
        <f t="shared" ca="1" si="18"/>
        <v>Refresh the statement</v>
      </c>
      <c r="O1163" s="86" t="str">
        <f ca="1">'All Statement of strategy (D)'!I1739</f>
        <v xml:space="preserve"> </v>
      </c>
    </row>
    <row r="1164" spans="1:15">
      <c r="A1164" s="857"/>
      <c r="B1164" s="857"/>
      <c r="C1164" s="857"/>
      <c r="D1164" s="857"/>
      <c r="E1164" s="857"/>
      <c r="F1164" s="857"/>
      <c r="G1164" s="857"/>
      <c r="H1164" s="857"/>
      <c r="I1164" s="857"/>
      <c r="J1164" s="857"/>
      <c r="K1164" s="857"/>
      <c r="L1164" s="857"/>
      <c r="N1164" s="631" t="str">
        <f t="shared" ref="N1164:N1227" ca="1" si="19">IF(OR(A1164&lt;&gt;"",B1164&lt;&gt;"",C1164&lt;&gt;"",D1164&lt;&gt;"",E1164&lt;&gt;"",F1164&lt;&gt;"",G1164&lt;&gt;"",H1164&lt;&gt;"",I1164&lt;&gt;"",J1164&lt;&gt;"",K1164&lt;&gt;"",L1164&lt;&gt;"",M1164&lt;&gt;"",O1164&lt;&gt;""),"Refresh the statement","Scroll up and click refresh")</f>
        <v>Refresh the statement</v>
      </c>
      <c r="O1164" s="86" t="str">
        <f ca="1">'All Statement of strategy (D)'!I1740</f>
        <v xml:space="preserve"> </v>
      </c>
    </row>
    <row r="1165" spans="1:15">
      <c r="A1165" s="857"/>
      <c r="B1165" s="857"/>
      <c r="C1165" s="857"/>
      <c r="D1165" s="857"/>
      <c r="E1165" s="857"/>
      <c r="F1165" s="857"/>
      <c r="G1165" s="857"/>
      <c r="H1165" s="857"/>
      <c r="I1165" s="857"/>
      <c r="J1165" s="857"/>
      <c r="K1165" s="857"/>
      <c r="L1165" s="857"/>
      <c r="N1165" s="631" t="str">
        <f t="shared" ca="1" si="19"/>
        <v>Refresh the statement</v>
      </c>
      <c r="O1165" s="86" t="str">
        <f ca="1">'All Statement of strategy (D)'!I1741</f>
        <v xml:space="preserve"> </v>
      </c>
    </row>
    <row r="1166" spans="1:15">
      <c r="A1166" s="857" t="str">
        <f ca="1">'All Statement of strategy (D)'!$I1742</f>
        <v xml:space="preserve"> </v>
      </c>
      <c r="B1166" s="857"/>
      <c r="C1166" s="857"/>
      <c r="D1166" s="857"/>
      <c r="E1166" s="857"/>
      <c r="F1166" s="857"/>
      <c r="G1166" s="857"/>
      <c r="H1166" s="857"/>
      <c r="I1166" s="857"/>
      <c r="J1166" s="857"/>
      <c r="K1166" s="857"/>
      <c r="L1166" s="857"/>
      <c r="N1166" s="631" t="str">
        <f t="shared" ca="1" si="19"/>
        <v>Refresh the statement</v>
      </c>
    </row>
    <row r="1167" spans="1:15">
      <c r="A1167" s="857" t="str">
        <f ca="1">'All Statement of strategy (D)'!$I1743</f>
        <v xml:space="preserve"> </v>
      </c>
      <c r="B1167" s="857"/>
      <c r="C1167" s="857"/>
      <c r="D1167" s="857"/>
      <c r="E1167" s="857"/>
      <c r="F1167" s="857"/>
      <c r="G1167" s="857"/>
      <c r="H1167" s="857"/>
      <c r="I1167" s="857"/>
      <c r="J1167" s="857"/>
      <c r="K1167" s="857"/>
      <c r="L1167" s="857"/>
      <c r="N1167" s="631" t="str">
        <f t="shared" ca="1" si="19"/>
        <v>Refresh the statement</v>
      </c>
    </row>
    <row r="1168" spans="1:15">
      <c r="A1168" s="857" t="str">
        <f ca="1">'All Statement of strategy (D)'!$I1744&amp;'All Statement of strategy (D)'!$I1745</f>
        <v xml:space="preserve">  </v>
      </c>
      <c r="B1168" s="857"/>
      <c r="C1168" s="857"/>
      <c r="D1168" s="857"/>
      <c r="E1168" s="857"/>
      <c r="F1168" s="857"/>
      <c r="G1168" s="857"/>
      <c r="H1168" s="857"/>
      <c r="I1168" s="857"/>
      <c r="J1168" s="857"/>
      <c r="K1168" s="857"/>
      <c r="L1168" s="857"/>
      <c r="N1168" s="631" t="str">
        <f t="shared" ca="1" si="19"/>
        <v>Refresh the statement</v>
      </c>
    </row>
    <row r="1169" spans="1:15">
      <c r="A1169" s="857" t="str">
        <f ca="1">'All Statement of strategy (D)'!$I1746</f>
        <v xml:space="preserve"> </v>
      </c>
      <c r="B1169" s="857"/>
      <c r="C1169" s="857"/>
      <c r="D1169" s="857"/>
      <c r="E1169" s="857"/>
      <c r="F1169" s="857"/>
      <c r="G1169" s="857"/>
      <c r="H1169" s="857"/>
      <c r="I1169" s="857"/>
      <c r="J1169" s="857"/>
      <c r="K1169" s="857"/>
      <c r="L1169" s="857"/>
      <c r="N1169" s="631" t="str">
        <f t="shared" ca="1" si="19"/>
        <v>Refresh the statement</v>
      </c>
    </row>
    <row r="1170" spans="1:15">
      <c r="A1170" s="857" t="str">
        <f ca="1">_xlfn.TEXTJOIN("",TRUE,'All Statement of strategy (D)'!$I1747&amp;'All Statement of strategy (D)'!$I1748&amp;'All Statement of strategy (D)'!$I1749&amp;'All Statement of strategy (D)'!$I1750&amp;'All Statement of strategy (D)'!$I1751)</f>
        <v xml:space="preserve">     </v>
      </c>
      <c r="B1170" s="857"/>
      <c r="C1170" s="857"/>
      <c r="D1170" s="857"/>
      <c r="E1170" s="857"/>
      <c r="F1170" s="857"/>
      <c r="G1170" s="857"/>
      <c r="H1170" s="857"/>
      <c r="I1170" s="857"/>
      <c r="J1170" s="857"/>
      <c r="K1170" s="857"/>
      <c r="L1170" s="857"/>
      <c r="N1170" s="631" t="str">
        <f t="shared" ca="1" si="19"/>
        <v>Refresh the statement</v>
      </c>
      <c r="O1170" s="86" t="str">
        <f ca="1">'All Statement of strategy (D)'!$I1747&amp;'All Statement of strategy (D)'!$I1748</f>
        <v xml:space="preserve">  </v>
      </c>
    </row>
    <row r="1171" spans="1:15">
      <c r="A1171" s="857"/>
      <c r="B1171" s="857"/>
      <c r="C1171" s="857"/>
      <c r="D1171" s="857"/>
      <c r="E1171" s="857"/>
      <c r="F1171" s="857"/>
      <c r="G1171" s="857"/>
      <c r="H1171" s="857"/>
      <c r="I1171" s="857"/>
      <c r="J1171" s="857"/>
      <c r="K1171" s="857"/>
      <c r="L1171" s="857"/>
      <c r="N1171" s="631" t="str">
        <f t="shared" ca="1" si="19"/>
        <v>Refresh the statement</v>
      </c>
      <c r="O1171" s="86" t="str">
        <f ca="1">'All Statement of strategy (D)'!$I1749</f>
        <v xml:space="preserve"> </v>
      </c>
    </row>
    <row r="1172" spans="1:15">
      <c r="A1172" s="857"/>
      <c r="B1172" s="857"/>
      <c r="C1172" s="857"/>
      <c r="D1172" s="857"/>
      <c r="E1172" s="857"/>
      <c r="F1172" s="857"/>
      <c r="G1172" s="857"/>
      <c r="H1172" s="857"/>
      <c r="I1172" s="857"/>
      <c r="J1172" s="857"/>
      <c r="K1172" s="857"/>
      <c r="L1172" s="857"/>
      <c r="N1172" s="631" t="str">
        <f t="shared" ca="1" si="19"/>
        <v>Refresh the statement</v>
      </c>
      <c r="O1172" s="86" t="str">
        <f ca="1">'All Statement of strategy (D)'!$I1750</f>
        <v xml:space="preserve"> </v>
      </c>
    </row>
    <row r="1173" spans="1:15">
      <c r="A1173" s="857"/>
      <c r="B1173" s="857"/>
      <c r="C1173" s="857"/>
      <c r="D1173" s="857"/>
      <c r="E1173" s="857"/>
      <c r="F1173" s="857"/>
      <c r="G1173" s="857"/>
      <c r="H1173" s="857"/>
      <c r="I1173" s="857"/>
      <c r="J1173" s="857"/>
      <c r="K1173" s="857"/>
      <c r="L1173" s="857"/>
      <c r="N1173" s="631" t="str">
        <f t="shared" ca="1" si="19"/>
        <v>Refresh the statement</v>
      </c>
      <c r="O1173" s="86" t="str">
        <f ca="1">'All Statement of strategy (D)'!$I1751</f>
        <v xml:space="preserve"> </v>
      </c>
    </row>
    <row r="1174" spans="1:15">
      <c r="N1174" s="631" t="str">
        <f t="shared" ca="1" si="19"/>
        <v>Refresh the statement</v>
      </c>
      <c r="O1174" s="86" t="str">
        <f ca="1">IF($A$1155&lt;&gt;"","Blank row","")</f>
        <v>Blank row</v>
      </c>
    </row>
    <row r="1175" spans="1:15">
      <c r="A1175" s="861" t="str">
        <f ca="1">'All Statement of strategy (D)'!$I1752</f>
        <v xml:space="preserve"> </v>
      </c>
      <c r="B1175" s="861"/>
      <c r="C1175" s="861"/>
      <c r="D1175" s="861"/>
      <c r="E1175" s="861"/>
      <c r="F1175" s="861"/>
      <c r="G1175" s="861"/>
      <c r="H1175" s="861"/>
      <c r="I1175" s="861"/>
      <c r="J1175" s="861"/>
      <c r="K1175" s="861"/>
      <c r="L1175" s="861"/>
      <c r="N1175" s="631" t="str">
        <f t="shared" ca="1" si="19"/>
        <v>Refresh the statement</v>
      </c>
    </row>
    <row r="1176" spans="1:15">
      <c r="N1176" s="631" t="str">
        <f t="shared" ca="1" si="19"/>
        <v>Refresh the statement</v>
      </c>
      <c r="O1176" s="86" t="str">
        <f ca="1">IF(A1175&lt;&gt;"","Blank row","")</f>
        <v>Blank row</v>
      </c>
    </row>
    <row r="1177" spans="1:15">
      <c r="A1177" s="857" t="str">
        <f ca="1">'All Statement of strategy (D)'!$I1753</f>
        <v xml:space="preserve"> </v>
      </c>
      <c r="B1177" s="857"/>
      <c r="C1177" s="857"/>
      <c r="D1177" s="857"/>
      <c r="E1177" s="857"/>
      <c r="F1177" s="857"/>
      <c r="G1177" s="857"/>
      <c r="H1177" s="857"/>
      <c r="I1177" s="857"/>
      <c r="J1177" s="857"/>
      <c r="K1177" s="857"/>
      <c r="L1177" s="857"/>
      <c r="N1177" s="631" t="str">
        <f t="shared" ca="1" si="19"/>
        <v>Refresh the statement</v>
      </c>
    </row>
    <row r="1178" spans="1:15">
      <c r="A1178" s="857" t="str">
        <f ca="1">'All Statement of strategy (D)'!$I1754&amp;'All Statement of strategy (D)'!$I1755&amp;'All Statement of strategy (D)'!$I1756&amp;'All Statement of strategy (D)'!$I1757</f>
        <v xml:space="preserve">    </v>
      </c>
      <c r="B1178" s="857"/>
      <c r="C1178" s="857"/>
      <c r="D1178" s="857"/>
      <c r="E1178" s="857"/>
      <c r="F1178" s="857"/>
      <c r="G1178" s="857"/>
      <c r="H1178" s="857"/>
      <c r="I1178" s="857"/>
      <c r="J1178" s="857"/>
      <c r="K1178" s="857"/>
      <c r="L1178" s="857"/>
      <c r="N1178" s="631" t="str">
        <f t="shared" ca="1" si="19"/>
        <v>Refresh the statement</v>
      </c>
      <c r="O1178" s="86" t="str">
        <f ca="1">'All Statement of strategy (D)'!$I1754</f>
        <v xml:space="preserve"> </v>
      </c>
    </row>
    <row r="1179" spans="1:15">
      <c r="A1179" s="857"/>
      <c r="B1179" s="857"/>
      <c r="C1179" s="857"/>
      <c r="D1179" s="857"/>
      <c r="E1179" s="857"/>
      <c r="F1179" s="857"/>
      <c r="G1179" s="857"/>
      <c r="H1179" s="857"/>
      <c r="I1179" s="857"/>
      <c r="J1179" s="857"/>
      <c r="K1179" s="857"/>
      <c r="L1179" s="857"/>
      <c r="N1179" s="631" t="str">
        <f t="shared" ca="1" si="19"/>
        <v>Refresh the statement</v>
      </c>
      <c r="O1179" s="86" t="str">
        <f ca="1">'All Statement of strategy (D)'!$I1755</f>
        <v xml:space="preserve"> </v>
      </c>
    </row>
    <row r="1180" spans="1:15">
      <c r="A1180" s="857"/>
      <c r="B1180" s="857"/>
      <c r="C1180" s="857"/>
      <c r="D1180" s="857"/>
      <c r="E1180" s="857"/>
      <c r="F1180" s="857"/>
      <c r="G1180" s="857"/>
      <c r="H1180" s="857"/>
      <c r="I1180" s="857"/>
      <c r="J1180" s="857"/>
      <c r="K1180" s="857"/>
      <c r="L1180" s="857"/>
      <c r="N1180" s="631" t="str">
        <f t="shared" ca="1" si="19"/>
        <v>Refresh the statement</v>
      </c>
      <c r="O1180" s="86" t="str">
        <f ca="1">'All Statement of strategy (D)'!$I1756</f>
        <v xml:space="preserve"> </v>
      </c>
    </row>
    <row r="1181" spans="1:15">
      <c r="A1181" s="857"/>
      <c r="B1181" s="857"/>
      <c r="C1181" s="857"/>
      <c r="D1181" s="857"/>
      <c r="E1181" s="857"/>
      <c r="F1181" s="857"/>
      <c r="G1181" s="857"/>
      <c r="H1181" s="857"/>
      <c r="I1181" s="857"/>
      <c r="J1181" s="857"/>
      <c r="K1181" s="857"/>
      <c r="L1181" s="857"/>
      <c r="N1181" s="631" t="str">
        <f t="shared" ca="1" si="19"/>
        <v>Refresh the statement</v>
      </c>
      <c r="O1181" s="86" t="str">
        <f ca="1">'All Statement of strategy (D)'!$I1757</f>
        <v xml:space="preserve"> </v>
      </c>
    </row>
    <row r="1182" spans="1:15">
      <c r="A1182" s="857" t="str">
        <f ca="1">_xlfn.TEXTJOIN("",TRUE,'All Statement of strategy (D)'!$I1758,'All Statement of strategy (D)'!$I1759,'All Statement of strategy (D)'!$I1760,'All Statement of strategy (D)'!$I1761,'All Statement of strategy (D)'!$I1762,'All Statement of strategy (D)'!$I1763,'All Statement of strategy (D)'!$I1764)</f>
        <v xml:space="preserve">       </v>
      </c>
      <c r="B1182" s="857"/>
      <c r="C1182" s="857"/>
      <c r="D1182" s="857"/>
      <c r="E1182" s="857"/>
      <c r="F1182" s="857"/>
      <c r="G1182" s="857"/>
      <c r="H1182" s="857"/>
      <c r="I1182" s="857"/>
      <c r="J1182" s="857"/>
      <c r="K1182" s="857"/>
      <c r="L1182" s="857"/>
      <c r="N1182" s="631" t="str">
        <f t="shared" ca="1" si="19"/>
        <v>Refresh the statement</v>
      </c>
      <c r="O1182" s="86" t="str">
        <f ca="1">'All Statement of strategy (D)'!$I1758&amp;'All Statement of strategy (D)'!$I1761</f>
        <v xml:space="preserve">  </v>
      </c>
    </row>
    <row r="1183" spans="1:15">
      <c r="A1183" s="857"/>
      <c r="B1183" s="857"/>
      <c r="C1183" s="857"/>
      <c r="D1183" s="857"/>
      <c r="E1183" s="857"/>
      <c r="F1183" s="857"/>
      <c r="G1183" s="857"/>
      <c r="H1183" s="857"/>
      <c r="I1183" s="857"/>
      <c r="J1183" s="857"/>
      <c r="K1183" s="857"/>
      <c r="L1183" s="857"/>
      <c r="N1183" s="631" t="str">
        <f t="shared" ca="1" si="19"/>
        <v>Refresh the statement</v>
      </c>
      <c r="O1183" s="86" t="str">
        <f ca="1">'All Statement of strategy (D)'!$I1762</f>
        <v xml:space="preserve"> </v>
      </c>
    </row>
    <row r="1184" spans="1:15">
      <c r="A1184" s="857"/>
      <c r="B1184" s="857"/>
      <c r="C1184" s="857"/>
      <c r="D1184" s="857"/>
      <c r="E1184" s="857"/>
      <c r="F1184" s="857"/>
      <c r="G1184" s="857"/>
      <c r="H1184" s="857"/>
      <c r="I1184" s="857"/>
      <c r="J1184" s="857"/>
      <c r="K1184" s="857"/>
      <c r="L1184" s="857"/>
      <c r="N1184" s="631" t="str">
        <f t="shared" ca="1" si="19"/>
        <v>Refresh the statement</v>
      </c>
      <c r="O1184" s="86" t="str">
        <f ca="1">'All Statement of strategy (D)'!$I1763</f>
        <v xml:space="preserve"> </v>
      </c>
    </row>
    <row r="1185" spans="1:15">
      <c r="A1185" s="857"/>
      <c r="B1185" s="857"/>
      <c r="C1185" s="857"/>
      <c r="D1185" s="857"/>
      <c r="E1185" s="857"/>
      <c r="F1185" s="857"/>
      <c r="G1185" s="857"/>
      <c r="H1185" s="857"/>
      <c r="I1185" s="857"/>
      <c r="J1185" s="857"/>
      <c r="K1185" s="857"/>
      <c r="L1185" s="857"/>
      <c r="N1185" s="631" t="str">
        <f t="shared" ca="1" si="19"/>
        <v>Refresh the statement</v>
      </c>
      <c r="O1185" s="86" t="str">
        <f ca="1">'All Statement of strategy (D)'!$I1764</f>
        <v xml:space="preserve"> </v>
      </c>
    </row>
    <row r="1186" spans="1:15">
      <c r="A1186" s="857" t="str">
        <f ca="1">'All Statement of strategy (D)'!$I1765</f>
        <v xml:space="preserve"> </v>
      </c>
      <c r="B1186" s="857"/>
      <c r="C1186" s="857"/>
      <c r="D1186" s="857"/>
      <c r="E1186" s="857"/>
      <c r="F1186" s="857"/>
      <c r="G1186" s="857"/>
      <c r="H1186" s="857"/>
      <c r="I1186" s="857"/>
      <c r="J1186" s="857"/>
      <c r="K1186" s="857"/>
      <c r="L1186" s="857"/>
      <c r="N1186" s="631" t="str">
        <f t="shared" ca="1" si="19"/>
        <v>Refresh the statement</v>
      </c>
    </row>
    <row r="1187" spans="1:15">
      <c r="A1187" s="857" t="str">
        <f ca="1">'All Statement of strategy (D)'!$I1766</f>
        <v xml:space="preserve"> </v>
      </c>
      <c r="B1187" s="857"/>
      <c r="C1187" s="857"/>
      <c r="D1187" s="857"/>
      <c r="E1187" s="857"/>
      <c r="F1187" s="857"/>
      <c r="G1187" s="857"/>
      <c r="H1187" s="857"/>
      <c r="I1187" s="857"/>
      <c r="J1187" s="857"/>
      <c r="K1187" s="857"/>
      <c r="L1187" s="857"/>
      <c r="N1187" s="631" t="str">
        <f t="shared" ca="1" si="19"/>
        <v>Refresh the statement</v>
      </c>
    </row>
    <row r="1188" spans="1:15">
      <c r="A1188" s="857" t="str">
        <f ca="1">'All Statement of strategy (D)'!$I1767 &amp; 'All Statement of strategy (D)'!$I1768</f>
        <v xml:space="preserve">  </v>
      </c>
      <c r="B1188" s="857"/>
      <c r="C1188" s="857"/>
      <c r="D1188" s="857"/>
      <c r="E1188" s="857"/>
      <c r="F1188" s="857"/>
      <c r="G1188" s="857"/>
      <c r="H1188" s="857"/>
      <c r="I1188" s="857"/>
      <c r="J1188" s="857"/>
      <c r="K1188" s="857"/>
      <c r="L1188" s="857"/>
      <c r="N1188" s="631" t="str">
        <f t="shared" ca="1" si="19"/>
        <v>Refresh the statement</v>
      </c>
    </row>
    <row r="1189" spans="1:15">
      <c r="A1189" s="857" t="str">
        <f ca="1">'All Statement of strategy (D)'!$I1769</f>
        <v xml:space="preserve"> </v>
      </c>
      <c r="B1189" s="857"/>
      <c r="C1189" s="857"/>
      <c r="D1189" s="857"/>
      <c r="E1189" s="857"/>
      <c r="F1189" s="857"/>
      <c r="G1189" s="857"/>
      <c r="H1189" s="857"/>
      <c r="I1189" s="857"/>
      <c r="J1189" s="857"/>
      <c r="K1189" s="857"/>
      <c r="L1189" s="857"/>
      <c r="N1189" s="631" t="str">
        <f t="shared" ca="1" si="19"/>
        <v>Refresh the statement</v>
      </c>
    </row>
    <row r="1190" spans="1:15">
      <c r="A1190" s="857" t="str">
        <f ca="1">_xlfn.TEXTJOIN("",TRUE,'All Statement of strategy (D)'!$I1770,'All Statement of strategy (D)'!$I1771,'All Statement of strategy (D)'!$I1772,'All Statement of strategy (D)'!$I1773,'All Statement of strategy (D)'!$I1774)</f>
        <v xml:space="preserve">     </v>
      </c>
      <c r="B1190" s="857"/>
      <c r="C1190" s="857"/>
      <c r="D1190" s="857"/>
      <c r="E1190" s="857"/>
      <c r="F1190" s="857"/>
      <c r="G1190" s="857"/>
      <c r="H1190" s="857"/>
      <c r="I1190" s="857"/>
      <c r="J1190" s="857"/>
      <c r="K1190" s="857"/>
      <c r="L1190" s="857"/>
      <c r="N1190" s="631" t="str">
        <f t="shared" ca="1" si="19"/>
        <v>Refresh the statement</v>
      </c>
      <c r="O1190" s="86" t="str">
        <f ca="1">'All Statement of strategy (D)'!$I1770&amp;'All Statement of strategy (D)'!$I1771</f>
        <v xml:space="preserve">  </v>
      </c>
    </row>
    <row r="1191" spans="1:15">
      <c r="A1191" s="857"/>
      <c r="B1191" s="857"/>
      <c r="C1191" s="857"/>
      <c r="D1191" s="857"/>
      <c r="E1191" s="857"/>
      <c r="F1191" s="857"/>
      <c r="G1191" s="857"/>
      <c r="H1191" s="857"/>
      <c r="I1191" s="857"/>
      <c r="J1191" s="857"/>
      <c r="K1191" s="857"/>
      <c r="L1191" s="857"/>
      <c r="N1191" s="631" t="str">
        <f t="shared" ca="1" si="19"/>
        <v>Refresh the statement</v>
      </c>
      <c r="O1191" s="86" t="str">
        <f ca="1">'All Statement of strategy (D)'!$I1772</f>
        <v xml:space="preserve"> </v>
      </c>
    </row>
    <row r="1192" spans="1:15">
      <c r="A1192" s="857"/>
      <c r="B1192" s="857"/>
      <c r="C1192" s="857"/>
      <c r="D1192" s="857"/>
      <c r="E1192" s="857"/>
      <c r="F1192" s="857"/>
      <c r="G1192" s="857"/>
      <c r="H1192" s="857"/>
      <c r="I1192" s="857"/>
      <c r="J1192" s="857"/>
      <c r="K1192" s="857"/>
      <c r="L1192" s="857"/>
      <c r="N1192" s="631" t="str">
        <f t="shared" ca="1" si="19"/>
        <v>Refresh the statement</v>
      </c>
      <c r="O1192" s="86" t="str">
        <f ca="1">'All Statement of strategy (D)'!$I1773</f>
        <v xml:space="preserve"> </v>
      </c>
    </row>
    <row r="1193" spans="1:15">
      <c r="A1193" s="857"/>
      <c r="B1193" s="857"/>
      <c r="C1193" s="857"/>
      <c r="D1193" s="857"/>
      <c r="E1193" s="857"/>
      <c r="F1193" s="857"/>
      <c r="G1193" s="857"/>
      <c r="H1193" s="857"/>
      <c r="I1193" s="857"/>
      <c r="J1193" s="857"/>
      <c r="K1193" s="857"/>
      <c r="L1193" s="857"/>
      <c r="N1193" s="631" t="str">
        <f t="shared" ca="1" si="19"/>
        <v>Refresh the statement</v>
      </c>
      <c r="O1193" s="86" t="str">
        <f ca="1">'All Statement of strategy (D)'!$I1774</f>
        <v xml:space="preserve"> </v>
      </c>
    </row>
    <row r="1194" spans="1:15">
      <c r="N1194" s="631" t="str">
        <f t="shared" ca="1" si="19"/>
        <v>Refresh the statement</v>
      </c>
      <c r="O1194" s="86" t="str">
        <f ca="1">IF($A$1175&lt;&gt;"","Blank row","")</f>
        <v>Blank row</v>
      </c>
    </row>
    <row r="1195" spans="1:15" ht="18">
      <c r="A1195" s="865" t="str">
        <f ca="1">'All Statement of strategy (D)'!$I1775</f>
        <v xml:space="preserve"> </v>
      </c>
      <c r="B1195" s="865"/>
      <c r="C1195" s="865"/>
      <c r="D1195" s="865"/>
      <c r="E1195" s="865"/>
      <c r="F1195" s="865"/>
      <c r="G1195" s="865"/>
      <c r="H1195" s="865"/>
      <c r="I1195" s="865"/>
      <c r="J1195" s="865"/>
      <c r="K1195" s="865"/>
      <c r="L1195" s="865"/>
      <c r="N1195" s="631" t="str">
        <f t="shared" ca="1" si="19"/>
        <v>Refresh the statement</v>
      </c>
    </row>
    <row r="1196" spans="1:15">
      <c r="A1196" s="422"/>
      <c r="N1196" s="631" t="str">
        <f t="shared" ca="1" si="19"/>
        <v>Refresh the statement</v>
      </c>
      <c r="O1196" s="86" t="str">
        <f ca="1">IF(A1195&lt;&gt;"","Blank row","")</f>
        <v>Blank row</v>
      </c>
    </row>
    <row r="1197" spans="1:15">
      <c r="B1197" s="435" t="str">
        <f ca="1">'All Statement of strategy (D)'!$I1776</f>
        <v xml:space="preserve"> </v>
      </c>
      <c r="C1197" s="877" t="str">
        <f ca="1">'All Statement of strategy (D)'!$I1777</f>
        <v xml:space="preserve"> </v>
      </c>
      <c r="D1197" s="877"/>
      <c r="E1197" s="877" t="str">
        <f ca="1">'All Statement of strategy (D)'!$I1778</f>
        <v xml:space="preserve"> </v>
      </c>
      <c r="F1197" s="877"/>
      <c r="G1197" s="877" t="str">
        <f ca="1">'All Statement of strategy (D)'!$I1779</f>
        <v xml:space="preserve"> </v>
      </c>
      <c r="H1197" s="877"/>
      <c r="I1197" s="877" t="str">
        <f ca="1">'All Statement of strategy (D)'!$I1780</f>
        <v xml:space="preserve"> </v>
      </c>
      <c r="J1197" s="877"/>
      <c r="K1197" s="877" t="str">
        <f ca="1">'All Statement of strategy (D)'!$I1781</f>
        <v xml:space="preserve"> </v>
      </c>
      <c r="L1197" s="877"/>
      <c r="N1197" s="631" t="str">
        <f t="shared" ca="1" si="19"/>
        <v>Refresh the statement</v>
      </c>
    </row>
    <row r="1198" spans="1:15">
      <c r="B1198" s="581" t="str">
        <f ca="1">'All Statement of strategy (D)'!$I1782</f>
        <v xml:space="preserve"> </v>
      </c>
      <c r="C1198" s="876" t="str">
        <f ca="1">'All Statement of strategy (D)'!$I1803</f>
        <v xml:space="preserve"> </v>
      </c>
      <c r="D1198" s="876"/>
      <c r="E1198" s="876" t="str">
        <f ca="1">'All Statement of strategy (D)'!$I1824</f>
        <v xml:space="preserve"> </v>
      </c>
      <c r="F1198" s="876"/>
      <c r="G1198" s="876" t="str">
        <f ca="1">'All Statement of strategy (D)'!$I1845</f>
        <v xml:space="preserve"> </v>
      </c>
      <c r="H1198" s="876"/>
      <c r="I1198" s="876" t="str">
        <f ca="1">'All Statement of strategy (D)'!$I1866</f>
        <v xml:space="preserve"> </v>
      </c>
      <c r="J1198" s="876"/>
      <c r="K1198" s="876" t="str">
        <f ca="1">'All Statement of strategy (D)'!$I1887</f>
        <v xml:space="preserve"> </v>
      </c>
      <c r="L1198" s="876"/>
      <c r="N1198" s="631" t="str">
        <f t="shared" ca="1" si="19"/>
        <v>Refresh the statement</v>
      </c>
    </row>
    <row r="1199" spans="1:15">
      <c r="B1199" s="581" t="str">
        <f ca="1">'All Statement of strategy (D)'!$I1783</f>
        <v xml:space="preserve"> </v>
      </c>
      <c r="C1199" s="876" t="str">
        <f ca="1">'All Statement of strategy (D)'!$I1804</f>
        <v xml:space="preserve"> </v>
      </c>
      <c r="D1199" s="876"/>
      <c r="E1199" s="876" t="str">
        <f ca="1">'All Statement of strategy (D)'!$I1825</f>
        <v xml:space="preserve"> </v>
      </c>
      <c r="F1199" s="876"/>
      <c r="G1199" s="876" t="str">
        <f ca="1">'All Statement of strategy (D)'!$I1846</f>
        <v xml:space="preserve"> </v>
      </c>
      <c r="H1199" s="876"/>
      <c r="I1199" s="876" t="str">
        <f ca="1">'All Statement of strategy (D)'!$I1867</f>
        <v xml:space="preserve"> </v>
      </c>
      <c r="J1199" s="876"/>
      <c r="K1199" s="876" t="str">
        <f ca="1">'All Statement of strategy (D)'!$I1888</f>
        <v xml:space="preserve"> </v>
      </c>
      <c r="L1199" s="876"/>
      <c r="N1199" s="631" t="str">
        <f t="shared" ca="1" si="19"/>
        <v>Refresh the statement</v>
      </c>
    </row>
    <row r="1200" spans="1:15">
      <c r="B1200" s="581" t="str">
        <f ca="1">'All Statement of strategy (D)'!$I1784</f>
        <v xml:space="preserve"> </v>
      </c>
      <c r="C1200" s="876" t="str">
        <f ca="1">'All Statement of strategy (D)'!$I1805</f>
        <v xml:space="preserve"> </v>
      </c>
      <c r="D1200" s="876"/>
      <c r="E1200" s="876" t="str">
        <f ca="1">'All Statement of strategy (D)'!$I1826</f>
        <v xml:space="preserve"> </v>
      </c>
      <c r="F1200" s="876"/>
      <c r="G1200" s="876" t="str">
        <f ca="1">'All Statement of strategy (D)'!$I1847</f>
        <v xml:space="preserve"> </v>
      </c>
      <c r="H1200" s="876"/>
      <c r="I1200" s="876" t="str">
        <f ca="1">'All Statement of strategy (D)'!$I1868</f>
        <v xml:space="preserve"> </v>
      </c>
      <c r="J1200" s="876"/>
      <c r="K1200" s="876" t="str">
        <f ca="1">'All Statement of strategy (D)'!$I1889</f>
        <v xml:space="preserve"> </v>
      </c>
      <c r="L1200" s="876"/>
      <c r="N1200" s="631" t="str">
        <f t="shared" ca="1" si="19"/>
        <v>Refresh the statement</v>
      </c>
    </row>
    <row r="1201" spans="2:14">
      <c r="B1201" s="581" t="str">
        <f ca="1">'All Statement of strategy (D)'!$I1785</f>
        <v xml:space="preserve"> </v>
      </c>
      <c r="C1201" s="876" t="str">
        <f ca="1">'All Statement of strategy (D)'!$I1806</f>
        <v xml:space="preserve"> </v>
      </c>
      <c r="D1201" s="876"/>
      <c r="E1201" s="876" t="str">
        <f ca="1">'All Statement of strategy (D)'!$I1827</f>
        <v xml:space="preserve"> </v>
      </c>
      <c r="F1201" s="876"/>
      <c r="G1201" s="876" t="str">
        <f ca="1">'All Statement of strategy (D)'!$I1848</f>
        <v xml:space="preserve"> </v>
      </c>
      <c r="H1201" s="876"/>
      <c r="I1201" s="876" t="str">
        <f ca="1">'All Statement of strategy (D)'!$I1869</f>
        <v xml:space="preserve"> </v>
      </c>
      <c r="J1201" s="876"/>
      <c r="K1201" s="876" t="str">
        <f ca="1">'All Statement of strategy (D)'!$I1890</f>
        <v xml:space="preserve"> </v>
      </c>
      <c r="L1201" s="876"/>
      <c r="N1201" s="631" t="str">
        <f t="shared" ca="1" si="19"/>
        <v>Refresh the statement</v>
      </c>
    </row>
    <row r="1202" spans="2:14">
      <c r="B1202" s="581" t="str">
        <f ca="1">'All Statement of strategy (D)'!$I1786</f>
        <v xml:space="preserve"> </v>
      </c>
      <c r="C1202" s="876" t="str">
        <f ca="1">'All Statement of strategy (D)'!$I1807</f>
        <v xml:space="preserve"> </v>
      </c>
      <c r="D1202" s="876"/>
      <c r="E1202" s="876" t="str">
        <f ca="1">'All Statement of strategy (D)'!$I1828</f>
        <v xml:space="preserve"> </v>
      </c>
      <c r="F1202" s="876"/>
      <c r="G1202" s="876" t="str">
        <f ca="1">'All Statement of strategy (D)'!$I1849</f>
        <v xml:space="preserve"> </v>
      </c>
      <c r="H1202" s="876"/>
      <c r="I1202" s="876" t="str">
        <f ca="1">'All Statement of strategy (D)'!$I1870</f>
        <v xml:space="preserve"> </v>
      </c>
      <c r="J1202" s="876"/>
      <c r="K1202" s="876" t="str">
        <f ca="1">'All Statement of strategy (D)'!$I1891</f>
        <v xml:space="preserve"> </v>
      </c>
      <c r="L1202" s="876"/>
      <c r="N1202" s="631" t="str">
        <f t="shared" ca="1" si="19"/>
        <v>Refresh the statement</v>
      </c>
    </row>
    <row r="1203" spans="2:14">
      <c r="B1203" s="581" t="str">
        <f ca="1">'All Statement of strategy (D)'!$I1787</f>
        <v xml:space="preserve"> </v>
      </c>
      <c r="C1203" s="876" t="str">
        <f ca="1">'All Statement of strategy (D)'!$I1808</f>
        <v xml:space="preserve"> </v>
      </c>
      <c r="D1203" s="876"/>
      <c r="E1203" s="876" t="str">
        <f ca="1">'All Statement of strategy (D)'!$I1829</f>
        <v xml:space="preserve"> </v>
      </c>
      <c r="F1203" s="876"/>
      <c r="G1203" s="876" t="str">
        <f ca="1">'All Statement of strategy (D)'!$I1850</f>
        <v xml:space="preserve"> </v>
      </c>
      <c r="H1203" s="876"/>
      <c r="I1203" s="876" t="str">
        <f ca="1">'All Statement of strategy (D)'!$I1871</f>
        <v xml:space="preserve"> </v>
      </c>
      <c r="J1203" s="876"/>
      <c r="K1203" s="876" t="str">
        <f ca="1">'All Statement of strategy (D)'!$I1892</f>
        <v xml:space="preserve"> </v>
      </c>
      <c r="L1203" s="876"/>
      <c r="N1203" s="631" t="str">
        <f t="shared" ca="1" si="19"/>
        <v>Refresh the statement</v>
      </c>
    </row>
    <row r="1204" spans="2:14">
      <c r="B1204" s="581" t="str">
        <f ca="1">'All Statement of strategy (D)'!$I1788</f>
        <v xml:space="preserve"> </v>
      </c>
      <c r="C1204" s="876" t="str">
        <f ca="1">'All Statement of strategy (D)'!$I1809</f>
        <v xml:space="preserve"> </v>
      </c>
      <c r="D1204" s="876"/>
      <c r="E1204" s="876" t="str">
        <f ca="1">'All Statement of strategy (D)'!$I1830</f>
        <v xml:space="preserve"> </v>
      </c>
      <c r="F1204" s="876"/>
      <c r="G1204" s="876" t="str">
        <f ca="1">'All Statement of strategy (D)'!$I1851</f>
        <v xml:space="preserve"> </v>
      </c>
      <c r="H1204" s="876"/>
      <c r="I1204" s="876" t="str">
        <f ca="1">'All Statement of strategy (D)'!$I1872</f>
        <v xml:space="preserve"> </v>
      </c>
      <c r="J1204" s="876"/>
      <c r="K1204" s="876" t="str">
        <f ca="1">'All Statement of strategy (D)'!$I1893</f>
        <v xml:space="preserve"> </v>
      </c>
      <c r="L1204" s="876"/>
      <c r="N1204" s="631" t="str">
        <f t="shared" ca="1" si="19"/>
        <v>Refresh the statement</v>
      </c>
    </row>
    <row r="1205" spans="2:14">
      <c r="B1205" s="581" t="str">
        <f ca="1">'All Statement of strategy (D)'!$I1789</f>
        <v xml:space="preserve"> </v>
      </c>
      <c r="C1205" s="876" t="str">
        <f ca="1">'All Statement of strategy (D)'!$I1810</f>
        <v xml:space="preserve"> </v>
      </c>
      <c r="D1205" s="876"/>
      <c r="E1205" s="876" t="str">
        <f ca="1">'All Statement of strategy (D)'!$I1831</f>
        <v xml:space="preserve"> </v>
      </c>
      <c r="F1205" s="876"/>
      <c r="G1205" s="876" t="str">
        <f ca="1">'All Statement of strategy (D)'!$I1852</f>
        <v xml:space="preserve"> </v>
      </c>
      <c r="H1205" s="876"/>
      <c r="I1205" s="876" t="str">
        <f ca="1">'All Statement of strategy (D)'!$I1873</f>
        <v xml:space="preserve"> </v>
      </c>
      <c r="J1205" s="876"/>
      <c r="K1205" s="876" t="str">
        <f ca="1">'All Statement of strategy (D)'!$I1894</f>
        <v xml:space="preserve"> </v>
      </c>
      <c r="L1205" s="876"/>
      <c r="N1205" s="631" t="str">
        <f t="shared" ca="1" si="19"/>
        <v>Refresh the statement</v>
      </c>
    </row>
    <row r="1206" spans="2:14">
      <c r="B1206" s="581" t="str">
        <f ca="1">'All Statement of strategy (D)'!$I1790</f>
        <v xml:space="preserve"> </v>
      </c>
      <c r="C1206" s="876" t="str">
        <f ca="1">'All Statement of strategy (D)'!$I1811</f>
        <v xml:space="preserve"> </v>
      </c>
      <c r="D1206" s="876"/>
      <c r="E1206" s="876" t="str">
        <f ca="1">'All Statement of strategy (D)'!$I1832</f>
        <v xml:space="preserve"> </v>
      </c>
      <c r="F1206" s="876"/>
      <c r="G1206" s="876" t="str">
        <f ca="1">'All Statement of strategy (D)'!$I1853</f>
        <v xml:space="preserve"> </v>
      </c>
      <c r="H1206" s="876"/>
      <c r="I1206" s="876" t="str">
        <f ca="1">'All Statement of strategy (D)'!$I1874</f>
        <v xml:space="preserve"> </v>
      </c>
      <c r="J1206" s="876"/>
      <c r="K1206" s="876" t="str">
        <f ca="1">'All Statement of strategy (D)'!$I1895</f>
        <v xml:space="preserve"> </v>
      </c>
      <c r="L1206" s="876"/>
      <c r="N1206" s="631" t="str">
        <f t="shared" ca="1" si="19"/>
        <v>Refresh the statement</v>
      </c>
    </row>
    <row r="1207" spans="2:14">
      <c r="B1207" s="581" t="str">
        <f ca="1">'All Statement of strategy (D)'!$I1791</f>
        <v xml:space="preserve"> </v>
      </c>
      <c r="C1207" s="876" t="str">
        <f ca="1">'All Statement of strategy (D)'!$I1812</f>
        <v xml:space="preserve"> </v>
      </c>
      <c r="D1207" s="876"/>
      <c r="E1207" s="876" t="str">
        <f ca="1">'All Statement of strategy (D)'!$I1833</f>
        <v xml:space="preserve"> </v>
      </c>
      <c r="F1207" s="876"/>
      <c r="G1207" s="876" t="str">
        <f ca="1">'All Statement of strategy (D)'!$I1854</f>
        <v xml:space="preserve"> </v>
      </c>
      <c r="H1207" s="876"/>
      <c r="I1207" s="876" t="str">
        <f ca="1">'All Statement of strategy (D)'!$I1875</f>
        <v xml:space="preserve"> </v>
      </c>
      <c r="J1207" s="876"/>
      <c r="K1207" s="876" t="str">
        <f ca="1">'All Statement of strategy (D)'!$I1896</f>
        <v xml:space="preserve"> </v>
      </c>
      <c r="L1207" s="876"/>
      <c r="N1207" s="631" t="str">
        <f t="shared" ca="1" si="19"/>
        <v>Refresh the statement</v>
      </c>
    </row>
    <row r="1208" spans="2:14">
      <c r="B1208" s="581" t="str">
        <f ca="1">'All Statement of strategy (D)'!$I1792</f>
        <v xml:space="preserve"> </v>
      </c>
      <c r="C1208" s="876" t="str">
        <f ca="1">'All Statement of strategy (D)'!$I1813</f>
        <v xml:space="preserve"> </v>
      </c>
      <c r="D1208" s="876"/>
      <c r="E1208" s="876" t="str">
        <f ca="1">'All Statement of strategy (D)'!$I1834</f>
        <v xml:space="preserve"> </v>
      </c>
      <c r="F1208" s="876"/>
      <c r="G1208" s="876" t="str">
        <f ca="1">'All Statement of strategy (D)'!$I1855</f>
        <v xml:space="preserve"> </v>
      </c>
      <c r="H1208" s="876"/>
      <c r="I1208" s="876" t="str">
        <f ca="1">'All Statement of strategy (D)'!$I1876</f>
        <v xml:space="preserve"> </v>
      </c>
      <c r="J1208" s="876"/>
      <c r="K1208" s="876" t="str">
        <f ca="1">'All Statement of strategy (D)'!$I1897</f>
        <v xml:space="preserve"> </v>
      </c>
      <c r="L1208" s="876"/>
      <c r="N1208" s="631" t="str">
        <f t="shared" ca="1" si="19"/>
        <v>Refresh the statement</v>
      </c>
    </row>
    <row r="1209" spans="2:14">
      <c r="B1209" s="581" t="str">
        <f ca="1">'All Statement of strategy (D)'!$I1793</f>
        <v xml:space="preserve"> </v>
      </c>
      <c r="C1209" s="876" t="str">
        <f ca="1">'All Statement of strategy (D)'!$I1814</f>
        <v xml:space="preserve"> </v>
      </c>
      <c r="D1209" s="876"/>
      <c r="E1209" s="876" t="str">
        <f ca="1">'All Statement of strategy (D)'!$I1835</f>
        <v xml:space="preserve"> </v>
      </c>
      <c r="F1209" s="876"/>
      <c r="G1209" s="876" t="str">
        <f ca="1">'All Statement of strategy (D)'!$I1856</f>
        <v xml:space="preserve"> </v>
      </c>
      <c r="H1209" s="876"/>
      <c r="I1209" s="876" t="str">
        <f ca="1">'All Statement of strategy (D)'!$I1877</f>
        <v xml:space="preserve"> </v>
      </c>
      <c r="J1209" s="876"/>
      <c r="K1209" s="876" t="str">
        <f ca="1">'All Statement of strategy (D)'!$I1898</f>
        <v xml:space="preserve"> </v>
      </c>
      <c r="L1209" s="876"/>
      <c r="N1209" s="631" t="str">
        <f t="shared" ca="1" si="19"/>
        <v>Refresh the statement</v>
      </c>
    </row>
    <row r="1210" spans="2:14">
      <c r="B1210" s="581" t="str">
        <f ca="1">'All Statement of strategy (D)'!$I1794</f>
        <v xml:space="preserve"> </v>
      </c>
      <c r="C1210" s="876" t="str">
        <f ca="1">'All Statement of strategy (D)'!$I1815</f>
        <v xml:space="preserve"> </v>
      </c>
      <c r="D1210" s="876"/>
      <c r="E1210" s="876" t="str">
        <f ca="1">'All Statement of strategy (D)'!$I1836</f>
        <v xml:space="preserve"> </v>
      </c>
      <c r="F1210" s="876"/>
      <c r="G1210" s="876" t="str">
        <f ca="1">'All Statement of strategy (D)'!$I1857</f>
        <v xml:space="preserve"> </v>
      </c>
      <c r="H1210" s="876"/>
      <c r="I1210" s="876" t="str">
        <f ca="1">'All Statement of strategy (D)'!$I1878</f>
        <v xml:space="preserve"> </v>
      </c>
      <c r="J1210" s="876"/>
      <c r="K1210" s="876" t="str">
        <f ca="1">'All Statement of strategy (D)'!$I1899</f>
        <v xml:space="preserve"> </v>
      </c>
      <c r="L1210" s="876"/>
      <c r="N1210" s="631" t="str">
        <f t="shared" ca="1" si="19"/>
        <v>Refresh the statement</v>
      </c>
    </row>
    <row r="1211" spans="2:14">
      <c r="B1211" s="581" t="str">
        <f ca="1">'All Statement of strategy (D)'!$I1795</f>
        <v xml:space="preserve"> </v>
      </c>
      <c r="C1211" s="876" t="str">
        <f ca="1">'All Statement of strategy (D)'!$I1816</f>
        <v xml:space="preserve"> </v>
      </c>
      <c r="D1211" s="876"/>
      <c r="E1211" s="876" t="str">
        <f ca="1">'All Statement of strategy (D)'!$I1837</f>
        <v xml:space="preserve"> </v>
      </c>
      <c r="F1211" s="876"/>
      <c r="G1211" s="876" t="str">
        <f ca="1">'All Statement of strategy (D)'!$I1858</f>
        <v xml:space="preserve"> </v>
      </c>
      <c r="H1211" s="876"/>
      <c r="I1211" s="876" t="str">
        <f ca="1">'All Statement of strategy (D)'!$I1879</f>
        <v xml:space="preserve"> </v>
      </c>
      <c r="J1211" s="876"/>
      <c r="K1211" s="876" t="str">
        <f ca="1">'All Statement of strategy (D)'!$I1900</f>
        <v xml:space="preserve"> </v>
      </c>
      <c r="L1211" s="876"/>
      <c r="N1211" s="631" t="str">
        <f t="shared" ca="1" si="19"/>
        <v>Refresh the statement</v>
      </c>
    </row>
    <row r="1212" spans="2:14">
      <c r="B1212" s="581" t="str">
        <f ca="1">'All Statement of strategy (D)'!$I1796</f>
        <v xml:space="preserve"> </v>
      </c>
      <c r="C1212" s="876" t="str">
        <f ca="1">'All Statement of strategy (D)'!$I1817</f>
        <v xml:space="preserve"> </v>
      </c>
      <c r="D1212" s="876"/>
      <c r="E1212" s="876" t="str">
        <f ca="1">'All Statement of strategy (D)'!$I1838</f>
        <v xml:space="preserve"> </v>
      </c>
      <c r="F1212" s="876"/>
      <c r="G1212" s="876" t="str">
        <f ca="1">'All Statement of strategy (D)'!$I1859</f>
        <v xml:space="preserve"> </v>
      </c>
      <c r="H1212" s="876"/>
      <c r="I1212" s="876" t="str">
        <f ca="1">'All Statement of strategy (D)'!$I1880</f>
        <v xml:space="preserve"> </v>
      </c>
      <c r="J1212" s="876"/>
      <c r="K1212" s="876" t="str">
        <f ca="1">'All Statement of strategy (D)'!$I1901</f>
        <v xml:space="preserve"> </v>
      </c>
      <c r="L1212" s="876"/>
      <c r="N1212" s="631" t="str">
        <f t="shared" ca="1" si="19"/>
        <v>Refresh the statement</v>
      </c>
    </row>
    <row r="1213" spans="2:14">
      <c r="B1213" s="581" t="str">
        <f ca="1">'All Statement of strategy (D)'!$I1797</f>
        <v xml:space="preserve"> </v>
      </c>
      <c r="C1213" s="876" t="str">
        <f ca="1">'All Statement of strategy (D)'!$I1818</f>
        <v xml:space="preserve"> </v>
      </c>
      <c r="D1213" s="876"/>
      <c r="E1213" s="876" t="str">
        <f ca="1">'All Statement of strategy (D)'!$I1839</f>
        <v xml:space="preserve"> </v>
      </c>
      <c r="F1213" s="876"/>
      <c r="G1213" s="876" t="str">
        <f ca="1">'All Statement of strategy (D)'!$I1860</f>
        <v xml:space="preserve"> </v>
      </c>
      <c r="H1213" s="876"/>
      <c r="I1213" s="876" t="str">
        <f ca="1">'All Statement of strategy (D)'!$I1881</f>
        <v xml:space="preserve"> </v>
      </c>
      <c r="J1213" s="876"/>
      <c r="K1213" s="876" t="str">
        <f ca="1">'All Statement of strategy (D)'!$I1902</f>
        <v xml:space="preserve"> </v>
      </c>
      <c r="L1213" s="876"/>
      <c r="N1213" s="631" t="str">
        <f t="shared" ca="1" si="19"/>
        <v>Refresh the statement</v>
      </c>
    </row>
    <row r="1214" spans="2:14">
      <c r="B1214" s="581" t="str">
        <f ca="1">'All Statement of strategy (D)'!$I1798</f>
        <v xml:space="preserve"> </v>
      </c>
      <c r="C1214" s="876" t="str">
        <f ca="1">'All Statement of strategy (D)'!$I1819</f>
        <v xml:space="preserve"> </v>
      </c>
      <c r="D1214" s="876"/>
      <c r="E1214" s="876" t="str">
        <f ca="1">'All Statement of strategy (D)'!$I1840</f>
        <v xml:space="preserve"> </v>
      </c>
      <c r="F1214" s="876"/>
      <c r="G1214" s="876" t="str">
        <f ca="1">'All Statement of strategy (D)'!$I1861</f>
        <v xml:space="preserve"> </v>
      </c>
      <c r="H1214" s="876"/>
      <c r="I1214" s="876" t="str">
        <f ca="1">'All Statement of strategy (D)'!$I1882</f>
        <v xml:space="preserve"> </v>
      </c>
      <c r="J1214" s="876"/>
      <c r="K1214" s="876" t="str">
        <f ca="1">'All Statement of strategy (D)'!$I1903</f>
        <v xml:space="preserve"> </v>
      </c>
      <c r="L1214" s="876"/>
      <c r="N1214" s="631" t="str">
        <f t="shared" ca="1" si="19"/>
        <v>Refresh the statement</v>
      </c>
    </row>
    <row r="1215" spans="2:14">
      <c r="B1215" s="581" t="str">
        <f ca="1">'All Statement of strategy (D)'!$I1799</f>
        <v xml:space="preserve"> </v>
      </c>
      <c r="C1215" s="876" t="str">
        <f ca="1">'All Statement of strategy (D)'!$I1820</f>
        <v xml:space="preserve"> </v>
      </c>
      <c r="D1215" s="876"/>
      <c r="E1215" s="876" t="str">
        <f ca="1">'All Statement of strategy (D)'!$I1841</f>
        <v xml:space="preserve"> </v>
      </c>
      <c r="F1215" s="876"/>
      <c r="G1215" s="876" t="str">
        <f ca="1">'All Statement of strategy (D)'!$I1862</f>
        <v xml:space="preserve"> </v>
      </c>
      <c r="H1215" s="876"/>
      <c r="I1215" s="876" t="str">
        <f ca="1">'All Statement of strategy (D)'!$I1883</f>
        <v xml:space="preserve"> </v>
      </c>
      <c r="J1215" s="876"/>
      <c r="K1215" s="876" t="str">
        <f ca="1">'All Statement of strategy (D)'!$I1904</f>
        <v xml:space="preserve"> </v>
      </c>
      <c r="L1215" s="876"/>
      <c r="N1215" s="631" t="str">
        <f t="shared" ca="1" si="19"/>
        <v>Refresh the statement</v>
      </c>
    </row>
    <row r="1216" spans="2:14">
      <c r="B1216" s="581" t="str">
        <f ca="1">'All Statement of strategy (D)'!$I1800</f>
        <v xml:space="preserve"> </v>
      </c>
      <c r="C1216" s="876" t="str">
        <f ca="1">'All Statement of strategy (D)'!$I1821</f>
        <v xml:space="preserve"> </v>
      </c>
      <c r="D1216" s="876"/>
      <c r="E1216" s="876" t="str">
        <f ca="1">'All Statement of strategy (D)'!$I1842</f>
        <v xml:space="preserve"> </v>
      </c>
      <c r="F1216" s="876"/>
      <c r="G1216" s="876" t="str">
        <f ca="1">'All Statement of strategy (D)'!$I1863</f>
        <v xml:space="preserve"> </v>
      </c>
      <c r="H1216" s="876"/>
      <c r="I1216" s="876" t="str">
        <f ca="1">'All Statement of strategy (D)'!$I1884</f>
        <v xml:space="preserve"> </v>
      </c>
      <c r="J1216" s="876"/>
      <c r="K1216" s="876" t="str">
        <f ca="1">'All Statement of strategy (D)'!$I1905</f>
        <v xml:space="preserve"> </v>
      </c>
      <c r="L1216" s="876"/>
      <c r="N1216" s="631" t="str">
        <f t="shared" ca="1" si="19"/>
        <v>Refresh the statement</v>
      </c>
    </row>
    <row r="1217" spans="1:15">
      <c r="B1217" s="581" t="str">
        <f ca="1">'All Statement of strategy (D)'!$I1801</f>
        <v xml:space="preserve"> </v>
      </c>
      <c r="C1217" s="876" t="str">
        <f ca="1">'All Statement of strategy (D)'!$I1822</f>
        <v xml:space="preserve"> </v>
      </c>
      <c r="D1217" s="876"/>
      <c r="E1217" s="876" t="str">
        <f ca="1">'All Statement of strategy (D)'!$I1843</f>
        <v xml:space="preserve"> </v>
      </c>
      <c r="F1217" s="876"/>
      <c r="G1217" s="876" t="str">
        <f ca="1">'All Statement of strategy (D)'!$I1864</f>
        <v xml:space="preserve"> </v>
      </c>
      <c r="H1217" s="876"/>
      <c r="I1217" s="876" t="str">
        <f ca="1">'All Statement of strategy (D)'!$I1885</f>
        <v xml:space="preserve"> </v>
      </c>
      <c r="J1217" s="876"/>
      <c r="K1217" s="876" t="str">
        <f ca="1">'All Statement of strategy (D)'!$I1906</f>
        <v xml:space="preserve"> </v>
      </c>
      <c r="L1217" s="876"/>
      <c r="N1217" s="631" t="str">
        <f t="shared" ca="1" si="19"/>
        <v>Refresh the statement</v>
      </c>
    </row>
    <row r="1218" spans="1:15">
      <c r="B1218" s="581" t="str">
        <f ca="1">'All Statement of strategy (D)'!$I1802</f>
        <v xml:space="preserve"> </v>
      </c>
      <c r="C1218" s="876" t="str">
        <f ca="1">'All Statement of strategy (D)'!$I1823</f>
        <v xml:space="preserve"> </v>
      </c>
      <c r="D1218" s="876"/>
      <c r="E1218" s="876" t="str">
        <f ca="1">'All Statement of strategy (D)'!$I1844</f>
        <v xml:space="preserve"> </v>
      </c>
      <c r="F1218" s="876"/>
      <c r="G1218" s="876" t="str">
        <f ca="1">'All Statement of strategy (D)'!$I1865</f>
        <v xml:space="preserve"> </v>
      </c>
      <c r="H1218" s="876"/>
      <c r="I1218" s="876" t="str">
        <f ca="1">'All Statement of strategy (D)'!$I1886</f>
        <v xml:space="preserve"> </v>
      </c>
      <c r="J1218" s="876"/>
      <c r="K1218" s="876" t="str">
        <f ca="1">'All Statement of strategy (D)'!$I1907</f>
        <v xml:space="preserve"> </v>
      </c>
      <c r="L1218" s="876"/>
      <c r="N1218" s="631" t="str">
        <f t="shared" ca="1" si="19"/>
        <v>Refresh the statement</v>
      </c>
    </row>
    <row r="1219" spans="1:15">
      <c r="B1219" s="435"/>
      <c r="N1219" s="631" t="str">
        <f t="shared" ca="1" si="19"/>
        <v>Refresh the statement</v>
      </c>
      <c r="O1219" s="86" t="str">
        <f ca="1">IF(A1195&lt;&gt;"","Blank row","")</f>
        <v>Blank row</v>
      </c>
    </row>
    <row r="1220" spans="1:15" ht="23">
      <c r="A1220" s="871" t="str">
        <f ca="1">'All Statement of strategy (D)'!$I1908</f>
        <v xml:space="preserve"> </v>
      </c>
      <c r="B1220" s="871"/>
      <c r="C1220" s="871"/>
      <c r="D1220" s="871"/>
      <c r="E1220" s="871"/>
      <c r="F1220" s="871"/>
      <c r="G1220" s="871"/>
      <c r="H1220" s="871"/>
      <c r="I1220" s="871"/>
      <c r="J1220" s="871"/>
      <c r="K1220" s="871"/>
      <c r="L1220" s="871"/>
      <c r="N1220" s="631" t="str">
        <f t="shared" ca="1" si="19"/>
        <v>Refresh the statement</v>
      </c>
      <c r="O1220" s="580" t="str">
        <f ca="1">A1220</f>
        <v xml:space="preserve"> </v>
      </c>
    </row>
    <row r="1221" spans="1:15">
      <c r="A1221" s="580"/>
      <c r="B1221" s="580"/>
      <c r="C1221" s="580"/>
      <c r="D1221" s="580"/>
      <c r="E1221" s="580"/>
      <c r="F1221" s="580"/>
      <c r="G1221" s="580"/>
      <c r="H1221" s="580"/>
      <c r="I1221" s="580"/>
      <c r="J1221" s="580"/>
      <c r="K1221" s="580"/>
      <c r="L1221" s="580"/>
      <c r="N1221" s="631" t="str">
        <f t="shared" ca="1" si="19"/>
        <v>Refresh the statement</v>
      </c>
      <c r="O1221" s="86" t="str">
        <f ca="1">IF($A$1220&lt;&gt;"","Blank row","")</f>
        <v>Blank row</v>
      </c>
    </row>
    <row r="1222" spans="1:15">
      <c r="A1222" s="857" t="str">
        <f ca="1">_xlfn.TEXTJOIN("",TRUE,'All Statement of strategy (D)'!$I1909,'All Statement of strategy (D)'!$I1910)</f>
        <v xml:space="preserve">  </v>
      </c>
      <c r="B1222" s="857"/>
      <c r="C1222" s="857"/>
      <c r="D1222" s="857"/>
      <c r="E1222" s="857"/>
      <c r="F1222" s="857"/>
      <c r="G1222" s="857"/>
      <c r="H1222" s="857"/>
      <c r="I1222" s="857"/>
      <c r="J1222" s="857"/>
      <c r="K1222" s="857"/>
      <c r="L1222" s="857"/>
      <c r="N1222" s="631" t="str">
        <f t="shared" ca="1" si="19"/>
        <v>Refresh the statement</v>
      </c>
      <c r="O1222" s="86" t="str">
        <f ca="1">A1222</f>
        <v xml:space="preserve">  </v>
      </c>
    </row>
    <row r="1223" spans="1:15">
      <c r="N1223" s="631" t="str">
        <f t="shared" ca="1" si="19"/>
        <v>Refresh the statement</v>
      </c>
      <c r="O1223" s="86" t="str">
        <f ca="1">IF($A$1220&lt;&gt;"","Blank row","")</f>
        <v>Blank row</v>
      </c>
    </row>
    <row r="1224" spans="1:15" ht="23">
      <c r="A1224" s="871" t="str">
        <f ca="1">'All Statement of strategy (D)'!$I1911</f>
        <v xml:space="preserve"> </v>
      </c>
      <c r="B1224" s="871"/>
      <c r="C1224" s="871"/>
      <c r="D1224" s="871"/>
      <c r="E1224" s="871"/>
      <c r="F1224" s="871"/>
      <c r="G1224" s="871"/>
      <c r="H1224" s="871"/>
      <c r="I1224" s="871"/>
      <c r="J1224" s="871"/>
      <c r="K1224" s="871"/>
      <c r="L1224" s="871"/>
      <c r="N1224" s="631" t="str">
        <f t="shared" ca="1" si="19"/>
        <v>Refresh the statement</v>
      </c>
      <c r="O1224" s="580"/>
    </row>
    <row r="1225" spans="1:15">
      <c r="N1225" s="631" t="str">
        <f t="shared" ca="1" si="19"/>
        <v>Refresh the statement</v>
      </c>
      <c r="O1225" s="86" t="str">
        <f ca="1">IF($A$1224&lt;&gt;"","Blank row","")</f>
        <v>Blank row</v>
      </c>
    </row>
    <row r="1226" spans="1:15">
      <c r="A1226" s="857" t="str">
        <f ca="1">_xlfn.TEXTJOIN("",TRUE,'All Statement of strategy (D)'!$I1912,'All Statement of strategy (D)'!$I1913)</f>
        <v xml:space="preserve">  </v>
      </c>
      <c r="B1226" s="857"/>
      <c r="C1226" s="857"/>
      <c r="D1226" s="857"/>
      <c r="E1226" s="857"/>
      <c r="F1226" s="857"/>
      <c r="G1226" s="857"/>
      <c r="H1226" s="857"/>
      <c r="I1226" s="857"/>
      <c r="J1226" s="857"/>
      <c r="K1226" s="857"/>
      <c r="L1226" s="857"/>
      <c r="N1226" s="631" t="str">
        <f t="shared" ca="1" si="19"/>
        <v>Refresh the statement</v>
      </c>
      <c r="O1226" s="86" t="str">
        <f ca="1">A1226</f>
        <v xml:space="preserve">  </v>
      </c>
    </row>
    <row r="1227" spans="1:15">
      <c r="N1227" s="631" t="str">
        <f t="shared" ca="1" si="19"/>
        <v>Refresh the statement</v>
      </c>
      <c r="O1227" s="86" t="str">
        <f ca="1">IF($A$1224&lt;&gt;"","Blank row","")</f>
        <v>Blank row</v>
      </c>
    </row>
  </sheetData>
  <sheetProtection algorithmName="SHA-512" hashValue="Q5bK+bQr7vU4sa0wVHsyn0ZF+D5JZrXifN8s6glBuRGJQgo0DoOiYNXHq4e4CciIC8nkh4xmmoRtT7oT2VrVrQ==" saltValue="5vJ+Ev9xfGCDjUewzizNAw==" spinCount="100000" sheet="1" objects="1" scenarios="1" formatRows="0" sort="0" autoFilter="0"/>
  <mergeCells count="768">
    <mergeCell ref="A989:L992"/>
    <mergeCell ref="A987:L987"/>
    <mergeCell ref="A988:L988"/>
    <mergeCell ref="A979:L982"/>
    <mergeCell ref="A983:L986"/>
    <mergeCell ref="A950:L950"/>
    <mergeCell ref="A978:L978"/>
    <mergeCell ref="A968:L968"/>
    <mergeCell ref="A965:L965"/>
    <mergeCell ref="A961:L964"/>
    <mergeCell ref="A969:L972"/>
    <mergeCell ref="A973:L976"/>
    <mergeCell ref="A943:L946"/>
    <mergeCell ref="A967:L967"/>
    <mergeCell ref="A951:L954"/>
    <mergeCell ref="A955:L958"/>
    <mergeCell ref="A959:L959"/>
    <mergeCell ref="A960:L960"/>
    <mergeCell ref="A948:L948"/>
    <mergeCell ref="C1212:D1212"/>
    <mergeCell ref="E1212:F1212"/>
    <mergeCell ref="G1212:H1212"/>
    <mergeCell ref="I1212:J1212"/>
    <mergeCell ref="K1212:L1212"/>
    <mergeCell ref="K1211:L1211"/>
    <mergeCell ref="C1204:D1204"/>
    <mergeCell ref="E1204:F1204"/>
    <mergeCell ref="G1204:H1204"/>
    <mergeCell ref="I1204:J1204"/>
    <mergeCell ref="K1204:L1204"/>
    <mergeCell ref="C1205:D1205"/>
    <mergeCell ref="E1205:F1205"/>
    <mergeCell ref="G1205:H1205"/>
    <mergeCell ref="I1205:J1205"/>
    <mergeCell ref="K1205:L1205"/>
    <mergeCell ref="C1206:D1206"/>
    <mergeCell ref="E1206:F1206"/>
    <mergeCell ref="C1207:D1207"/>
    <mergeCell ref="E1207:F1207"/>
    <mergeCell ref="G1207:H1207"/>
    <mergeCell ref="I1207:J1207"/>
    <mergeCell ref="K1207:L1207"/>
    <mergeCell ref="G1206:H1206"/>
    <mergeCell ref="A1224:L1224"/>
    <mergeCell ref="C1218:D1218"/>
    <mergeCell ref="E1218:F1218"/>
    <mergeCell ref="G1218:H1218"/>
    <mergeCell ref="I1218:J1218"/>
    <mergeCell ref="K1218:L1218"/>
    <mergeCell ref="A1220:L1220"/>
    <mergeCell ref="C1216:D1216"/>
    <mergeCell ref="E1216:F1216"/>
    <mergeCell ref="G1216:H1216"/>
    <mergeCell ref="I1216:J1216"/>
    <mergeCell ref="K1216:L1216"/>
    <mergeCell ref="C1217:D1217"/>
    <mergeCell ref="E1217:F1217"/>
    <mergeCell ref="G1217:H1217"/>
    <mergeCell ref="I1217:J1217"/>
    <mergeCell ref="K1217:L1217"/>
    <mergeCell ref="A1222:L1222"/>
    <mergeCell ref="C1213:D1213"/>
    <mergeCell ref="E1213:F1213"/>
    <mergeCell ref="G1213:H1213"/>
    <mergeCell ref="I1213:J1213"/>
    <mergeCell ref="K1213:L1213"/>
    <mergeCell ref="C1214:D1214"/>
    <mergeCell ref="E1214:F1214"/>
    <mergeCell ref="G1214:H1214"/>
    <mergeCell ref="I1214:J1214"/>
    <mergeCell ref="K1214:L1214"/>
    <mergeCell ref="C1215:D1215"/>
    <mergeCell ref="E1215:F1215"/>
    <mergeCell ref="G1215:H1215"/>
    <mergeCell ref="I1215:J1215"/>
    <mergeCell ref="K1215:L1215"/>
    <mergeCell ref="C1208:D1208"/>
    <mergeCell ref="E1208:F1208"/>
    <mergeCell ref="G1208:H1208"/>
    <mergeCell ref="I1208:J1208"/>
    <mergeCell ref="K1208:L1208"/>
    <mergeCell ref="C1209:D1209"/>
    <mergeCell ref="E1209:F1209"/>
    <mergeCell ref="G1209:H1209"/>
    <mergeCell ref="I1209:J1209"/>
    <mergeCell ref="K1209:L1209"/>
    <mergeCell ref="C1210:D1210"/>
    <mergeCell ref="E1210:F1210"/>
    <mergeCell ref="G1210:H1210"/>
    <mergeCell ref="I1210:J1210"/>
    <mergeCell ref="K1210:L1210"/>
    <mergeCell ref="C1211:D1211"/>
    <mergeCell ref="E1211:F1211"/>
    <mergeCell ref="G1211:H1211"/>
    <mergeCell ref="I1211:J1211"/>
    <mergeCell ref="C1203:D1203"/>
    <mergeCell ref="E1203:F1203"/>
    <mergeCell ref="G1203:H1203"/>
    <mergeCell ref="I1203:J1203"/>
    <mergeCell ref="K1203:L1203"/>
    <mergeCell ref="I1200:J1200"/>
    <mergeCell ref="K1200:L1200"/>
    <mergeCell ref="C1201:D1201"/>
    <mergeCell ref="E1201:F1201"/>
    <mergeCell ref="G1201:H1201"/>
    <mergeCell ref="I1201:J1201"/>
    <mergeCell ref="K1201:L1201"/>
    <mergeCell ref="E1200:F1200"/>
    <mergeCell ref="G1200:H1200"/>
    <mergeCell ref="I1206:J1206"/>
    <mergeCell ref="K1206:L1206"/>
    <mergeCell ref="A1195:L1195"/>
    <mergeCell ref="C1197:D1197"/>
    <mergeCell ref="E1197:F1197"/>
    <mergeCell ref="G1197:H1197"/>
    <mergeCell ref="I1197:J1197"/>
    <mergeCell ref="K1197:L1197"/>
    <mergeCell ref="C1202:D1202"/>
    <mergeCell ref="E1202:F1202"/>
    <mergeCell ref="G1202:H1202"/>
    <mergeCell ref="I1202:J1202"/>
    <mergeCell ref="K1202:L1202"/>
    <mergeCell ref="C1198:D1198"/>
    <mergeCell ref="E1198:F1198"/>
    <mergeCell ref="G1198:H1198"/>
    <mergeCell ref="I1198:J1198"/>
    <mergeCell ref="K1198:L1198"/>
    <mergeCell ref="C1199:D1199"/>
    <mergeCell ref="E1199:F1199"/>
    <mergeCell ref="G1199:H1199"/>
    <mergeCell ref="I1199:J1199"/>
    <mergeCell ref="K1199:L1199"/>
    <mergeCell ref="C1200:D1200"/>
    <mergeCell ref="A1190:L1193"/>
    <mergeCell ref="A1186:L1186"/>
    <mergeCell ref="A1187:L1187"/>
    <mergeCell ref="A1188:L1188"/>
    <mergeCell ref="A1189:L1189"/>
    <mergeCell ref="A1170:L1173"/>
    <mergeCell ref="A1178:L1181"/>
    <mergeCell ref="A1182:L1185"/>
    <mergeCell ref="A1177:L1177"/>
    <mergeCell ref="A1175:L1175"/>
    <mergeCell ref="A1150:L1153"/>
    <mergeCell ref="A1118:L1121"/>
    <mergeCell ref="A1128:L1128"/>
    <mergeCell ref="A1129:L1129"/>
    <mergeCell ref="A1126:L1126"/>
    <mergeCell ref="A1127:L1127"/>
    <mergeCell ref="A1122:L1125"/>
    <mergeCell ref="A1169:L1169"/>
    <mergeCell ref="A1166:L1166"/>
    <mergeCell ref="A1167:L1167"/>
    <mergeCell ref="A1168:L1168"/>
    <mergeCell ref="A1158:L1161"/>
    <mergeCell ref="A1162:L1165"/>
    <mergeCell ref="A1148:L1148"/>
    <mergeCell ref="A1149:L1149"/>
    <mergeCell ref="A1147:L1147"/>
    <mergeCell ref="A1137:L1137"/>
    <mergeCell ref="A1157:L1157"/>
    <mergeCell ref="A1135:L1135"/>
    <mergeCell ref="A1155:L1155"/>
    <mergeCell ref="A1107:L1107"/>
    <mergeCell ref="A1108:L1108"/>
    <mergeCell ref="A1109:L1109"/>
    <mergeCell ref="A1106:L1106"/>
    <mergeCell ref="A1102:L1105"/>
    <mergeCell ref="A1110:L1113"/>
    <mergeCell ref="A1091:L1091"/>
    <mergeCell ref="A1146:L1146"/>
    <mergeCell ref="A1130:L1133"/>
    <mergeCell ref="A1138:L1141"/>
    <mergeCell ref="A1142:L1145"/>
    <mergeCell ref="A1098:L1101"/>
    <mergeCell ref="A1097:L1097"/>
    <mergeCell ref="A1117:L1117"/>
    <mergeCell ref="A1095:L1095"/>
    <mergeCell ref="A1115:L1115"/>
    <mergeCell ref="A1067:L1070"/>
    <mergeCell ref="A1074:L1077"/>
    <mergeCell ref="A1062:L1062"/>
    <mergeCell ref="A1082:L1085"/>
    <mergeCell ref="A1086:L1089"/>
    <mergeCell ref="A1078:L1078"/>
    <mergeCell ref="A1080:L1080"/>
    <mergeCell ref="A1081:L1081"/>
    <mergeCell ref="A1071:L1071"/>
    <mergeCell ref="A1072:L1072"/>
    <mergeCell ref="A1073:L1073"/>
    <mergeCell ref="A1053:L1056"/>
    <mergeCell ref="A1057:L1060"/>
    <mergeCell ref="A1063:L1066"/>
    <mergeCell ref="A1035:L1038"/>
    <mergeCell ref="A1049:L1049"/>
    <mergeCell ref="A1043:L1043"/>
    <mergeCell ref="A1044:L1044"/>
    <mergeCell ref="A1039:L1042"/>
    <mergeCell ref="A1045:L1048"/>
    <mergeCell ref="A1017:L1020"/>
    <mergeCell ref="A1021:L1021"/>
    <mergeCell ref="A1023:L1023"/>
    <mergeCell ref="A1024:L1024"/>
    <mergeCell ref="A1025:L1028"/>
    <mergeCell ref="A1029:L1032"/>
    <mergeCell ref="A1034:L1034"/>
    <mergeCell ref="A1051:L1051"/>
    <mergeCell ref="A1052:L1052"/>
    <mergeCell ref="A993:L993"/>
    <mergeCell ref="A995:L995"/>
    <mergeCell ref="A996:L996"/>
    <mergeCell ref="A997:L1000"/>
    <mergeCell ref="A1001:L1004"/>
    <mergeCell ref="A1006:L1006"/>
    <mergeCell ref="A1007:L1010"/>
    <mergeCell ref="A1016:L1016"/>
    <mergeCell ref="A1015:L1015"/>
    <mergeCell ref="A1011:L1014"/>
    <mergeCell ref="A935:L935"/>
    <mergeCell ref="A937:L937"/>
    <mergeCell ref="A938:L938"/>
    <mergeCell ref="A914:L917"/>
    <mergeCell ref="A921:L924"/>
    <mergeCell ref="A925:L928"/>
    <mergeCell ref="A931:L934"/>
    <mergeCell ref="A939:L942"/>
    <mergeCell ref="A906:L906"/>
    <mergeCell ref="A908:L908"/>
    <mergeCell ref="A909:L909"/>
    <mergeCell ref="A919:L919"/>
    <mergeCell ref="A929:L929"/>
    <mergeCell ref="A930:L930"/>
    <mergeCell ref="A920:L920"/>
    <mergeCell ref="A900:L900"/>
    <mergeCell ref="A901:L901"/>
    <mergeCell ref="A910:L913"/>
    <mergeCell ref="A902:L905"/>
    <mergeCell ref="A876:L876"/>
    <mergeCell ref="A878:L878"/>
    <mergeCell ref="A879:L879"/>
    <mergeCell ref="A870:L870"/>
    <mergeCell ref="A871:L871"/>
    <mergeCell ref="A872:L875"/>
    <mergeCell ref="A880:L883"/>
    <mergeCell ref="A884:L887"/>
    <mergeCell ref="A892:L895"/>
    <mergeCell ref="A890:L890"/>
    <mergeCell ref="A891:L891"/>
    <mergeCell ref="A896:L899"/>
    <mergeCell ref="A889:L889"/>
    <mergeCell ref="A860:L860"/>
    <mergeCell ref="A850:L853"/>
    <mergeCell ref="A854:L857"/>
    <mergeCell ref="A862:L865"/>
    <mergeCell ref="A859:L859"/>
    <mergeCell ref="A832:L835"/>
    <mergeCell ref="A846:L846"/>
    <mergeCell ref="A848:L848"/>
    <mergeCell ref="A849:L849"/>
    <mergeCell ref="A840:L840"/>
    <mergeCell ref="A841:L841"/>
    <mergeCell ref="A836:L839"/>
    <mergeCell ref="A861:L861"/>
    <mergeCell ref="A813:L816"/>
    <mergeCell ref="A831:L831"/>
    <mergeCell ref="A817:L817"/>
    <mergeCell ref="A819:L819"/>
    <mergeCell ref="A820:L820"/>
    <mergeCell ref="A821:L824"/>
    <mergeCell ref="A825:L828"/>
    <mergeCell ref="A830:L830"/>
    <mergeCell ref="A811:L811"/>
    <mergeCell ref="A812:L812"/>
    <mergeCell ref="A807:L810"/>
    <mergeCell ref="A803:M806"/>
    <mergeCell ref="A781:L781"/>
    <mergeCell ref="A768:L768"/>
    <mergeCell ref="A771:L771"/>
    <mergeCell ref="A799:L799"/>
    <mergeCell ref="A802:L802"/>
    <mergeCell ref="A786:L786"/>
    <mergeCell ref="A788:L788"/>
    <mergeCell ref="A789:L789"/>
    <mergeCell ref="A794:L797"/>
    <mergeCell ref="A801:L801"/>
    <mergeCell ref="A782:L785"/>
    <mergeCell ref="A790:L793"/>
    <mergeCell ref="A769:L769"/>
    <mergeCell ref="A758:L758"/>
    <mergeCell ref="A755:L755"/>
    <mergeCell ref="A757:L757"/>
    <mergeCell ref="A780:L780"/>
    <mergeCell ref="A751:L754"/>
    <mergeCell ref="A759:L762"/>
    <mergeCell ref="A763:L766"/>
    <mergeCell ref="A772:L775"/>
    <mergeCell ref="A776:L779"/>
    <mergeCell ref="A693:L693"/>
    <mergeCell ref="A695:L695"/>
    <mergeCell ref="A696:L696"/>
    <mergeCell ref="A687:L687"/>
    <mergeCell ref="A688:L688"/>
    <mergeCell ref="A689:L692"/>
    <mergeCell ref="A718:L718"/>
    <mergeCell ref="A707:L707"/>
    <mergeCell ref="A706:L706"/>
    <mergeCell ref="A709:L709"/>
    <mergeCell ref="A697:L700"/>
    <mergeCell ref="A701:L704"/>
    <mergeCell ref="A710:L713"/>
    <mergeCell ref="A714:L717"/>
    <mergeCell ref="A676:L676"/>
    <mergeCell ref="A669:L672"/>
    <mergeCell ref="A679:L682"/>
    <mergeCell ref="A683:L686"/>
    <mergeCell ref="A675:L675"/>
    <mergeCell ref="A678:L678"/>
    <mergeCell ref="A650:L653"/>
    <mergeCell ref="A664:L664"/>
    <mergeCell ref="A661:L661"/>
    <mergeCell ref="A663:L663"/>
    <mergeCell ref="A654:L654"/>
    <mergeCell ref="A655:L655"/>
    <mergeCell ref="A656:L659"/>
    <mergeCell ref="A665:L668"/>
    <mergeCell ref="A643:L643"/>
    <mergeCell ref="B633:C633"/>
    <mergeCell ref="D633:H633"/>
    <mergeCell ref="B634:C634"/>
    <mergeCell ref="D634:H634"/>
    <mergeCell ref="A636:L636"/>
    <mergeCell ref="A640:L640"/>
    <mergeCell ref="A646:L649"/>
    <mergeCell ref="A638:L638"/>
    <mergeCell ref="A642:L642"/>
    <mergeCell ref="A645:L645"/>
    <mergeCell ref="D632:H632"/>
    <mergeCell ref="B627:C627"/>
    <mergeCell ref="D627:H627"/>
    <mergeCell ref="B628:C628"/>
    <mergeCell ref="D628:H628"/>
    <mergeCell ref="B629:C629"/>
    <mergeCell ref="D629:H629"/>
    <mergeCell ref="B623:C623"/>
    <mergeCell ref="D623:H623"/>
    <mergeCell ref="B624:C624"/>
    <mergeCell ref="D624:H624"/>
    <mergeCell ref="B625:C625"/>
    <mergeCell ref="D625:H625"/>
    <mergeCell ref="B626:C626"/>
    <mergeCell ref="D626:H626"/>
    <mergeCell ref="B630:C630"/>
    <mergeCell ref="D630:H630"/>
    <mergeCell ref="B631:C631"/>
    <mergeCell ref="D631:H631"/>
    <mergeCell ref="B632:C632"/>
    <mergeCell ref="B619:C619"/>
    <mergeCell ref="D619:H619"/>
    <mergeCell ref="B620:C620"/>
    <mergeCell ref="D620:H620"/>
    <mergeCell ref="B615:C615"/>
    <mergeCell ref="D615:H615"/>
    <mergeCell ref="B616:C616"/>
    <mergeCell ref="D616:H616"/>
    <mergeCell ref="B617:C617"/>
    <mergeCell ref="D617:H617"/>
    <mergeCell ref="B606:C606"/>
    <mergeCell ref="D606:H606"/>
    <mergeCell ref="B607:C607"/>
    <mergeCell ref="D607:H607"/>
    <mergeCell ref="B608:C608"/>
    <mergeCell ref="D608:H608"/>
    <mergeCell ref="B621:C621"/>
    <mergeCell ref="D621:H621"/>
    <mergeCell ref="B622:C622"/>
    <mergeCell ref="D622:H622"/>
    <mergeCell ref="B612:C612"/>
    <mergeCell ref="D612:H612"/>
    <mergeCell ref="B613:C613"/>
    <mergeCell ref="D613:H613"/>
    <mergeCell ref="B614:C614"/>
    <mergeCell ref="D614:H614"/>
    <mergeCell ref="B609:C609"/>
    <mergeCell ref="D609:H609"/>
    <mergeCell ref="B610:C610"/>
    <mergeCell ref="D610:H610"/>
    <mergeCell ref="B611:C611"/>
    <mergeCell ref="D611:H611"/>
    <mergeCell ref="B618:C618"/>
    <mergeCell ref="D618:H618"/>
    <mergeCell ref="B605:C605"/>
    <mergeCell ref="D605:H605"/>
    <mergeCell ref="B600:C600"/>
    <mergeCell ref="D600:H600"/>
    <mergeCell ref="B601:C601"/>
    <mergeCell ref="D601:H601"/>
    <mergeCell ref="B602:C602"/>
    <mergeCell ref="D602:H602"/>
    <mergeCell ref="B597:C597"/>
    <mergeCell ref="D597:H597"/>
    <mergeCell ref="B598:C598"/>
    <mergeCell ref="D598:H598"/>
    <mergeCell ref="B599:C599"/>
    <mergeCell ref="D599:H599"/>
    <mergeCell ref="A532:L532"/>
    <mergeCell ref="A533:L533"/>
    <mergeCell ref="A535:L535"/>
    <mergeCell ref="A537:L537"/>
    <mergeCell ref="A539:L542"/>
    <mergeCell ref="B603:C603"/>
    <mergeCell ref="D603:H603"/>
    <mergeCell ref="B604:C604"/>
    <mergeCell ref="D604:H604"/>
    <mergeCell ref="B594:C594"/>
    <mergeCell ref="D594:H594"/>
    <mergeCell ref="B595:C595"/>
    <mergeCell ref="D595:H595"/>
    <mergeCell ref="B596:C596"/>
    <mergeCell ref="D596:H596"/>
    <mergeCell ref="A544:L544"/>
    <mergeCell ref="A588:L588"/>
    <mergeCell ref="A592:L592"/>
    <mergeCell ref="A525:L525"/>
    <mergeCell ref="A527:L527"/>
    <mergeCell ref="A529:L529"/>
    <mergeCell ref="A530:L530"/>
    <mergeCell ref="A531:L531"/>
    <mergeCell ref="A512:L512"/>
    <mergeCell ref="A514:L514"/>
    <mergeCell ref="A516:L516"/>
    <mergeCell ref="A519:D519"/>
    <mergeCell ref="A520:D520"/>
    <mergeCell ref="A521:D521"/>
    <mergeCell ref="E518:F518"/>
    <mergeCell ref="G518:H518"/>
    <mergeCell ref="E519:F519"/>
    <mergeCell ref="E520:F520"/>
    <mergeCell ref="E521:F521"/>
    <mergeCell ref="G519:H520"/>
    <mergeCell ref="A490:L493"/>
    <mergeCell ref="A506:L506"/>
    <mergeCell ref="A495:L495"/>
    <mergeCell ref="A497:L497"/>
    <mergeCell ref="A499:L499"/>
    <mergeCell ref="A501:L504"/>
    <mergeCell ref="A507:L510"/>
    <mergeCell ref="A523:L523"/>
    <mergeCell ref="A484:L484"/>
    <mergeCell ref="A486:L486"/>
    <mergeCell ref="A488:L488"/>
    <mergeCell ref="A477:L477"/>
    <mergeCell ref="A466:L466"/>
    <mergeCell ref="A468:L468"/>
    <mergeCell ref="A469:L469"/>
    <mergeCell ref="A471:L471"/>
    <mergeCell ref="A472:L475"/>
    <mergeCell ref="A479:L482"/>
    <mergeCell ref="A442:L445"/>
    <mergeCell ref="A459:L459"/>
    <mergeCell ref="A460:L460"/>
    <mergeCell ref="A461:L461"/>
    <mergeCell ref="A463:L463"/>
    <mergeCell ref="A464:L464"/>
    <mergeCell ref="A465:L465"/>
    <mergeCell ref="A451:L451"/>
    <mergeCell ref="A453:L453"/>
    <mergeCell ref="A454:L454"/>
    <mergeCell ref="A455:L455"/>
    <mergeCell ref="A456:L456"/>
    <mergeCell ref="A458:L458"/>
    <mergeCell ref="A447:L447"/>
    <mergeCell ref="A448:L448"/>
    <mergeCell ref="A449:L449"/>
    <mergeCell ref="A450:L450"/>
    <mergeCell ref="A438:L438"/>
    <mergeCell ref="A440:L440"/>
    <mergeCell ref="A425:L425"/>
    <mergeCell ref="A427:L427"/>
    <mergeCell ref="A429:L429"/>
    <mergeCell ref="A431:L431"/>
    <mergeCell ref="A410:L410"/>
    <mergeCell ref="A411:L411"/>
    <mergeCell ref="A419:L419"/>
    <mergeCell ref="A421:L421"/>
    <mergeCell ref="A423:L423"/>
    <mergeCell ref="A412:L415"/>
    <mergeCell ref="A433:L436"/>
    <mergeCell ref="A417:L417"/>
    <mergeCell ref="A403:L403"/>
    <mergeCell ref="A405:L405"/>
    <mergeCell ref="A406:L406"/>
    <mergeCell ref="A408:L408"/>
    <mergeCell ref="A409:L409"/>
    <mergeCell ref="A396:L396"/>
    <mergeCell ref="A383:L383"/>
    <mergeCell ref="A385:L385"/>
    <mergeCell ref="A387:L387"/>
    <mergeCell ref="A389:L389"/>
    <mergeCell ref="A391:L394"/>
    <mergeCell ref="A398:L401"/>
    <mergeCell ref="A379:L379"/>
    <mergeCell ref="A381:L381"/>
    <mergeCell ref="A363:L363"/>
    <mergeCell ref="A365:L365"/>
    <mergeCell ref="A367:L367"/>
    <mergeCell ref="A369:L369"/>
    <mergeCell ref="A371:L371"/>
    <mergeCell ref="A354:L354"/>
    <mergeCell ref="A355:L355"/>
    <mergeCell ref="A359:L359"/>
    <mergeCell ref="A361:L361"/>
    <mergeCell ref="A373:L376"/>
    <mergeCell ref="A357:L357"/>
    <mergeCell ref="A326:L326"/>
    <mergeCell ref="B333:C333"/>
    <mergeCell ref="D333:E333"/>
    <mergeCell ref="A321:L324"/>
    <mergeCell ref="A309:L309"/>
    <mergeCell ref="A311:L311"/>
    <mergeCell ref="A378:L378"/>
    <mergeCell ref="A348:L348"/>
    <mergeCell ref="A349:L349"/>
    <mergeCell ref="A344:L344"/>
    <mergeCell ref="A346:L346"/>
    <mergeCell ref="B334:C334"/>
    <mergeCell ref="D334:E334"/>
    <mergeCell ref="B335:C335"/>
    <mergeCell ref="D335:E335"/>
    <mergeCell ref="A337:L337"/>
    <mergeCell ref="A316:L316"/>
    <mergeCell ref="A317:L317"/>
    <mergeCell ref="A339:L342"/>
    <mergeCell ref="A350:L353"/>
    <mergeCell ref="A328:L331"/>
    <mergeCell ref="A308:L308"/>
    <mergeCell ref="A293:L293"/>
    <mergeCell ref="B300:C300"/>
    <mergeCell ref="D300:E300"/>
    <mergeCell ref="B301:C301"/>
    <mergeCell ref="D301:E301"/>
    <mergeCell ref="A295:L298"/>
    <mergeCell ref="A294:L294"/>
    <mergeCell ref="A319:L319"/>
    <mergeCell ref="A266:L266"/>
    <mergeCell ref="D257:F257"/>
    <mergeCell ref="A313:L313"/>
    <mergeCell ref="A315:L315"/>
    <mergeCell ref="B290:E290"/>
    <mergeCell ref="A291:L291"/>
    <mergeCell ref="B292:E292"/>
    <mergeCell ref="B285:E285"/>
    <mergeCell ref="A286:L286"/>
    <mergeCell ref="A268:L268"/>
    <mergeCell ref="A270:L270"/>
    <mergeCell ref="A277:L277"/>
    <mergeCell ref="A280:L280"/>
    <mergeCell ref="A279:L279"/>
    <mergeCell ref="A281:L284"/>
    <mergeCell ref="B287:E287"/>
    <mergeCell ref="A288:L288"/>
    <mergeCell ref="A289:L289"/>
    <mergeCell ref="B258:C258"/>
    <mergeCell ref="B302:C302"/>
    <mergeCell ref="D302:E302"/>
    <mergeCell ref="A304:L304"/>
    <mergeCell ref="A306:L306"/>
    <mergeCell ref="A307:L307"/>
    <mergeCell ref="B251:C251"/>
    <mergeCell ref="D251:F251"/>
    <mergeCell ref="B252:C252"/>
    <mergeCell ref="D252:F252"/>
    <mergeCell ref="B247:C247"/>
    <mergeCell ref="D247:F247"/>
    <mergeCell ref="B262:C262"/>
    <mergeCell ref="D262:F262"/>
    <mergeCell ref="A264:L264"/>
    <mergeCell ref="D258:F258"/>
    <mergeCell ref="B259:C259"/>
    <mergeCell ref="D259:F259"/>
    <mergeCell ref="B260:C260"/>
    <mergeCell ref="D260:F260"/>
    <mergeCell ref="B261:C261"/>
    <mergeCell ref="D261:F261"/>
    <mergeCell ref="B253:C253"/>
    <mergeCell ref="D253:F253"/>
    <mergeCell ref="B254:C254"/>
    <mergeCell ref="D254:F254"/>
    <mergeCell ref="B255:C255"/>
    <mergeCell ref="D255:F255"/>
    <mergeCell ref="B256:C256"/>
    <mergeCell ref="D256:F256"/>
    <mergeCell ref="B257:C257"/>
    <mergeCell ref="B248:C248"/>
    <mergeCell ref="D248:F248"/>
    <mergeCell ref="B249:C249"/>
    <mergeCell ref="D249:F249"/>
    <mergeCell ref="B221:E221"/>
    <mergeCell ref="A222:L222"/>
    <mergeCell ref="B250:C250"/>
    <mergeCell ref="D250:F250"/>
    <mergeCell ref="B244:C244"/>
    <mergeCell ref="D244:F244"/>
    <mergeCell ref="B245:C245"/>
    <mergeCell ref="D245:F245"/>
    <mergeCell ref="B246:C246"/>
    <mergeCell ref="D246:F246"/>
    <mergeCell ref="B241:C241"/>
    <mergeCell ref="D241:F241"/>
    <mergeCell ref="B242:C242"/>
    <mergeCell ref="D242:F242"/>
    <mergeCell ref="B243:C243"/>
    <mergeCell ref="D243:F243"/>
    <mergeCell ref="A231:L231"/>
    <mergeCell ref="A233:L233"/>
    <mergeCell ref="A239:L239"/>
    <mergeCell ref="A224:L227"/>
    <mergeCell ref="K214:L214"/>
    <mergeCell ref="B228:E228"/>
    <mergeCell ref="A229:L229"/>
    <mergeCell ref="B230:E230"/>
    <mergeCell ref="A240:L240"/>
    <mergeCell ref="A216:D216"/>
    <mergeCell ref="E216:F216"/>
    <mergeCell ref="G216:H216"/>
    <mergeCell ref="I216:J216"/>
    <mergeCell ref="K216:L216"/>
    <mergeCell ref="A235:L235"/>
    <mergeCell ref="A237:L237"/>
    <mergeCell ref="A210:D210"/>
    <mergeCell ref="E210:F210"/>
    <mergeCell ref="G210:H210"/>
    <mergeCell ref="I210:J210"/>
    <mergeCell ref="K210:L210"/>
    <mergeCell ref="A215:D215"/>
    <mergeCell ref="E215:F215"/>
    <mergeCell ref="G215:H215"/>
    <mergeCell ref="I215:J215"/>
    <mergeCell ref="K215:L215"/>
    <mergeCell ref="A212:D212"/>
    <mergeCell ref="E212:F212"/>
    <mergeCell ref="G212:H212"/>
    <mergeCell ref="I212:J212"/>
    <mergeCell ref="K212:L212"/>
    <mergeCell ref="A213:D213"/>
    <mergeCell ref="E213:F213"/>
    <mergeCell ref="G213:H213"/>
    <mergeCell ref="I213:J213"/>
    <mergeCell ref="K213:L213"/>
    <mergeCell ref="A214:D214"/>
    <mergeCell ref="E214:F214"/>
    <mergeCell ref="G214:H214"/>
    <mergeCell ref="I214:J214"/>
    <mergeCell ref="A112:L112"/>
    <mergeCell ref="A113:L113"/>
    <mergeCell ref="A114:L114"/>
    <mergeCell ref="A154:L154"/>
    <mergeCell ref="A129:L132"/>
    <mergeCell ref="A190:E190"/>
    <mergeCell ref="A186:L189"/>
    <mergeCell ref="A184:L184"/>
    <mergeCell ref="A177:L177"/>
    <mergeCell ref="A163:L163"/>
    <mergeCell ref="A170:L170"/>
    <mergeCell ref="A165:L168"/>
    <mergeCell ref="A172:L175"/>
    <mergeCell ref="A179:L182"/>
    <mergeCell ref="A161:L161"/>
    <mergeCell ref="A145:L145"/>
    <mergeCell ref="A148:L148"/>
    <mergeCell ref="A149:E149"/>
    <mergeCell ref="A150:L150"/>
    <mergeCell ref="A152:L152"/>
    <mergeCell ref="A143:L143"/>
    <mergeCell ref="A134:L134"/>
    <mergeCell ref="A122:L125"/>
    <mergeCell ref="A138:L141"/>
    <mergeCell ref="A719:L719"/>
    <mergeCell ref="A724:L724"/>
    <mergeCell ref="A726:L726"/>
    <mergeCell ref="A727:L727"/>
    <mergeCell ref="A749:L749"/>
    <mergeCell ref="A750:L750"/>
    <mergeCell ref="A738:L738"/>
    <mergeCell ref="A737:L737"/>
    <mergeCell ref="A740:L740"/>
    <mergeCell ref="A720:L723"/>
    <mergeCell ref="A728:L731"/>
    <mergeCell ref="A732:L735"/>
    <mergeCell ref="A741:L744"/>
    <mergeCell ref="A745:L748"/>
    <mergeCell ref="A99:L99"/>
    <mergeCell ref="A101:L101"/>
    <mergeCell ref="A103:L103"/>
    <mergeCell ref="A104:L104"/>
    <mergeCell ref="A106:L106"/>
    <mergeCell ref="A108:L108"/>
    <mergeCell ref="A25:L25"/>
    <mergeCell ref="A95:L95"/>
    <mergeCell ref="A97:L97"/>
    <mergeCell ref="A27:L27"/>
    <mergeCell ref="A29:L29"/>
    <mergeCell ref="A31:L31"/>
    <mergeCell ref="A91:H91"/>
    <mergeCell ref="J91:L91"/>
    <mergeCell ref="A86:L86"/>
    <mergeCell ref="A88:L88"/>
    <mergeCell ref="A156:L159"/>
    <mergeCell ref="A192:E192"/>
    <mergeCell ref="A193:L193"/>
    <mergeCell ref="A200:L200"/>
    <mergeCell ref="A202:L202"/>
    <mergeCell ref="A207:D207"/>
    <mergeCell ref="E207:F207"/>
    <mergeCell ref="G207:H207"/>
    <mergeCell ref="A198:L198"/>
    <mergeCell ref="A199:E199"/>
    <mergeCell ref="A191:L191"/>
    <mergeCell ref="E206:F206"/>
    <mergeCell ref="G206:H206"/>
    <mergeCell ref="I206:J206"/>
    <mergeCell ref="A209:D209"/>
    <mergeCell ref="E209:F209"/>
    <mergeCell ref="G209:H209"/>
    <mergeCell ref="I209:J209"/>
    <mergeCell ref="K209:L209"/>
    <mergeCell ref="A2:L2"/>
    <mergeCell ref="A1:D1"/>
    <mergeCell ref="A866:L869"/>
    <mergeCell ref="A842:L845"/>
    <mergeCell ref="A136:L136"/>
    <mergeCell ref="A116:L116"/>
    <mergeCell ref="A118:L118"/>
    <mergeCell ref="A119:L119"/>
    <mergeCell ref="A120:L120"/>
    <mergeCell ref="A121:L121"/>
    <mergeCell ref="A127:L127"/>
    <mergeCell ref="A109:L109"/>
    <mergeCell ref="B110:F110"/>
    <mergeCell ref="A111:L111"/>
    <mergeCell ref="K206:L206"/>
    <mergeCell ref="A194:E194"/>
    <mergeCell ref="A195:L195"/>
    <mergeCell ref="A196:L196"/>
    <mergeCell ref="A197:E197"/>
    <mergeCell ref="G208:H208"/>
    <mergeCell ref="I208:J208"/>
    <mergeCell ref="K208:L208"/>
    <mergeCell ref="A204:L204"/>
    <mergeCell ref="A272:L275"/>
    <mergeCell ref="A18:L23"/>
    <mergeCell ref="A3:L12"/>
    <mergeCell ref="A1226:L1226"/>
    <mergeCell ref="A1093:L1093"/>
    <mergeCell ref="A590:L590"/>
    <mergeCell ref="I207:J207"/>
    <mergeCell ref="K207:L207"/>
    <mergeCell ref="A144:E144"/>
    <mergeCell ref="A218:L218"/>
    <mergeCell ref="B219:E219"/>
    <mergeCell ref="A220:L220"/>
    <mergeCell ref="A208:D208"/>
    <mergeCell ref="E208:F208"/>
    <mergeCell ref="A211:D211"/>
    <mergeCell ref="E211:F211"/>
    <mergeCell ref="G211:H211"/>
    <mergeCell ref="I211:J211"/>
    <mergeCell ref="K211:L211"/>
    <mergeCell ref="A33:L33"/>
  </mergeCells>
  <phoneticPr fontId="11" type="noConversion"/>
  <conditionalFormatting sqref="B546:B586">
    <cfRule type="expression" dxfId="26" priority="17">
      <formula>B546&lt;&gt;""</formula>
    </cfRule>
  </conditionalFormatting>
  <conditionalFormatting sqref="B1197:B1218">
    <cfRule type="expression" dxfId="25" priority="34">
      <formula>$B$1197&lt;&gt;""</formula>
    </cfRule>
  </conditionalFormatting>
  <conditionalFormatting sqref="B300:E302">
    <cfRule type="notContainsBlanks" dxfId="24" priority="37">
      <formula>LEN(TRIM(B300))&gt;0</formula>
    </cfRule>
  </conditionalFormatting>
  <conditionalFormatting sqref="B333:E335">
    <cfRule type="notContainsBlanks" dxfId="23" priority="35">
      <formula>LEN(TRIM(B333))&gt;0</formula>
    </cfRule>
  </conditionalFormatting>
  <conditionalFormatting sqref="B241:F262">
    <cfRule type="notContainsBlanks" dxfId="22" priority="28">
      <formula>LEN(TRIM(B241))&gt;0</formula>
    </cfRule>
  </conditionalFormatting>
  <conditionalFormatting sqref="B594:H634">
    <cfRule type="expression" dxfId="21" priority="27">
      <formula>$A$588&lt;&gt;""</formula>
    </cfRule>
  </conditionalFormatting>
  <conditionalFormatting sqref="C546:C586">
    <cfRule type="expression" dxfId="20" priority="16">
      <formula>$C$546&lt;&gt;""</formula>
    </cfRule>
  </conditionalFormatting>
  <conditionalFormatting sqref="C1197:D1218">
    <cfRule type="expression" dxfId="19" priority="33">
      <formula>$C$1197&lt;&gt;""</formula>
    </cfRule>
  </conditionalFormatting>
  <conditionalFormatting sqref="D546:D586">
    <cfRule type="expression" dxfId="18" priority="15">
      <formula>$D$546&lt;&gt;""</formula>
    </cfRule>
  </conditionalFormatting>
  <conditionalFormatting sqref="E546:E586">
    <cfRule type="expression" dxfId="17" priority="14">
      <formula>$E$546&lt;&gt;""</formula>
    </cfRule>
  </conditionalFormatting>
  <conditionalFormatting sqref="E1197:F1218">
    <cfRule type="expression" dxfId="16" priority="32">
      <formula>$E$1197&lt;&gt;""</formula>
    </cfRule>
  </conditionalFormatting>
  <conditionalFormatting sqref="E518:H518 A519:F521">
    <cfRule type="notContainsBlanks" dxfId="15" priority="10">
      <formula>LEN(TRIM(A518))&gt;0</formula>
    </cfRule>
  </conditionalFormatting>
  <conditionalFormatting sqref="F546:F586">
    <cfRule type="expression" dxfId="14" priority="13">
      <formula>$F$546&lt;&gt;""</formula>
    </cfRule>
  </conditionalFormatting>
  <conditionalFormatting sqref="G521">
    <cfRule type="expression" dxfId="13" priority="4">
      <formula>$A$521&lt;&gt;""</formula>
    </cfRule>
  </conditionalFormatting>
  <conditionalFormatting sqref="G546:G586">
    <cfRule type="expression" dxfId="12" priority="12">
      <formula>$G$546&lt;&gt;""</formula>
    </cfRule>
  </conditionalFormatting>
  <conditionalFormatting sqref="G519:H520">
    <cfRule type="expression" dxfId="11" priority="38">
      <formula>A521=""</formula>
    </cfRule>
    <cfRule type="expression" dxfId="10" priority="39">
      <formula>$A$521&lt;&gt;""</formula>
    </cfRule>
  </conditionalFormatting>
  <conditionalFormatting sqref="G1197:H1218">
    <cfRule type="expression" dxfId="9" priority="31">
      <formula>$G$1197&lt;&gt;""</formula>
    </cfRule>
  </conditionalFormatting>
  <conditionalFormatting sqref="H521">
    <cfRule type="expression" dxfId="8" priority="5">
      <formula>$A$521&lt;&gt;""</formula>
    </cfRule>
  </conditionalFormatting>
  <conditionalFormatting sqref="H546:H586">
    <cfRule type="expression" dxfId="7" priority="11">
      <formula>$H$546&lt;&gt;""</formula>
    </cfRule>
  </conditionalFormatting>
  <conditionalFormatting sqref="I518:I521">
    <cfRule type="expression" dxfId="6" priority="23">
      <formula>$D$518&lt;&gt;""</formula>
    </cfRule>
  </conditionalFormatting>
  <conditionalFormatting sqref="I1197:J1218">
    <cfRule type="expression" dxfId="5" priority="30">
      <formula>$I$1197&lt;&gt;""</formula>
    </cfRule>
  </conditionalFormatting>
  <conditionalFormatting sqref="J518:J521">
    <cfRule type="expression" dxfId="4" priority="22">
      <formula>$F$518&lt;&gt;""</formula>
    </cfRule>
  </conditionalFormatting>
  <conditionalFormatting sqref="K1197:L1218">
    <cfRule type="expression" dxfId="3" priority="29">
      <formula>$K$1197&lt;&gt;""</formula>
    </cfRule>
  </conditionalFormatting>
  <conditionalFormatting sqref="L518:M521">
    <cfRule type="expression" dxfId="2" priority="21">
      <formula>$D$518&lt;&gt;""</formula>
    </cfRule>
  </conditionalFormatting>
  <pageMargins left="0.98425196850393704" right="0.98425196850393704" top="0.98425196850393704" bottom="0.98425196850393704" header="0.51181102362204722" footer="0.51181102362204722"/>
  <pageSetup paperSize="9" scale="56" fitToHeight="0" orientation="portrait" r:id="rId1"/>
  <headerFooter>
    <oddFooter>&amp;R&amp;P</oddFooter>
  </headerFooter>
  <rowBreaks count="3" manualBreakCount="3">
    <brk id="94" max="11" man="1"/>
    <brk id="147" max="11" man="1"/>
    <brk id="494" max="11" man="1"/>
  </rowBreaks>
  <ignoredErrors>
    <ignoredError sqref="O1226" formula="1"/>
  </ignoredErrors>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7A0AF-3663-4927-8FA5-7F456136B084}">
  <sheetPr codeName="Sheet39"/>
  <dimension ref="A1:L1937"/>
  <sheetViews>
    <sheetView zoomScaleNormal="100" workbookViewId="0"/>
  </sheetViews>
  <sheetFormatPr defaultColWidth="0" defaultRowHeight="15.5" zeroHeight="1"/>
  <cols>
    <col min="1" max="1" width="11.53515625" style="584" customWidth="1"/>
    <col min="2" max="2" width="24.69140625" style="585" customWidth="1"/>
    <col min="3" max="3" width="14.69140625" style="585" customWidth="1"/>
    <col min="4" max="4" width="16.69140625" style="585" customWidth="1"/>
    <col min="5" max="5" width="35.53515625" style="585" customWidth="1"/>
    <col min="6" max="6" width="28.23046875" style="585" customWidth="1"/>
    <col min="7" max="7" width="20.4609375" style="585" customWidth="1"/>
    <col min="8" max="8" width="23.69140625" style="585" customWidth="1"/>
    <col min="9" max="9" width="50.69140625" style="585" customWidth="1"/>
    <col min="10" max="12" width="0" style="587" hidden="1" customWidth="1"/>
    <col min="13" max="16384" width="9.07421875" style="587" hidden="1"/>
  </cols>
  <sheetData>
    <row r="1" spans="1:9">
      <c r="B1" s="585" t="s">
        <v>1501</v>
      </c>
      <c r="C1" s="585" t="str">
        <f ca="1">'Reconciliation report'!$E$11 &amp; IF('Start here'!$C$23=RefData!$B$17," post-relevant date",IF('Start here'!$C$23=RefData!$B$18, " pre-relevant date",""))</f>
        <v/>
      </c>
      <c r="E1" s="586"/>
    </row>
    <row r="2" spans="1:9"/>
    <row r="3" spans="1:9" ht="16" thickBot="1">
      <c r="A3" s="584" t="s">
        <v>1502</v>
      </c>
      <c r="B3" s="588" t="s">
        <v>1503</v>
      </c>
      <c r="C3" s="588" t="s">
        <v>1504</v>
      </c>
      <c r="D3" s="588" t="s">
        <v>1505</v>
      </c>
      <c r="E3" s="588" t="s">
        <v>1506</v>
      </c>
      <c r="F3" s="588" t="s">
        <v>1507</v>
      </c>
      <c r="G3" s="588" t="s">
        <v>1508</v>
      </c>
      <c r="H3" s="588" t="s">
        <v>1509</v>
      </c>
      <c r="I3" s="588" t="s">
        <v>1510</v>
      </c>
    </row>
    <row r="4" spans="1:9">
      <c r="A4" s="589" t="s">
        <v>1511</v>
      </c>
      <c r="B4" s="591" t="str">
        <f ca="1">"Name of scheme: "&amp;'Reconciliation report'!$E$2</f>
        <v xml:space="preserve">Name of scheme: </v>
      </c>
      <c r="C4" s="642"/>
      <c r="D4" s="591"/>
      <c r="E4" s="642" t="str">
        <f t="shared" ref="E4:H5" ca="1" si="0">$B4</f>
        <v xml:space="preserve">Name of scheme: </v>
      </c>
      <c r="F4" s="642" t="str">
        <f t="shared" ca="1" si="0"/>
        <v xml:space="preserve">Name of scheme: </v>
      </c>
      <c r="G4" s="642" t="str">
        <f t="shared" ca="1" si="0"/>
        <v xml:space="preserve">Name of scheme: </v>
      </c>
      <c r="H4" s="642" t="str">
        <f t="shared" ca="1" si="0"/>
        <v xml:space="preserve">Name of scheme: </v>
      </c>
      <c r="I4" s="592" t="str">
        <f ca="1">IF($C$1=RefData!$B$418,'All Statement of strategy (D)'!$E4,IF('All Statement of strategy (D)'!$C$1=RefData!$B$419,'All Statement of strategy (D)'!$F4,IF('All Statement of strategy (D)'!$C$1=RefData!$B$420,'All Statement of strategy (D)'!$G4,IF('All Statement of strategy (D)'!$C$1=RefData!$B$421,'All Statement of strategy (D)'!$H4," "))))</f>
        <v xml:space="preserve"> </v>
      </c>
    </row>
    <row r="5" spans="1:9">
      <c r="A5" s="593"/>
      <c r="B5" s="585" t="s">
        <v>81</v>
      </c>
      <c r="E5" s="585" t="str">
        <f t="shared" si="0"/>
        <v>Statement of strategy</v>
      </c>
      <c r="F5" s="585" t="str">
        <f t="shared" si="0"/>
        <v>Statement of strategy</v>
      </c>
      <c r="G5" s="585" t="str">
        <f t="shared" si="0"/>
        <v>Statement of strategy</v>
      </c>
      <c r="H5" s="585" t="str">
        <f t="shared" si="0"/>
        <v>Statement of strategy</v>
      </c>
      <c r="I5" s="595" t="str">
        <f ca="1">IF($C$1=RefData!$B$418,'All Statement of strategy (D)'!$E5,IF('All Statement of strategy (D)'!$C$1=RefData!$B$419,'All Statement of strategy (D)'!$F5,IF('All Statement of strategy (D)'!$C$1=RefData!$B$420,'All Statement of strategy (D)'!$G5,IF('All Statement of strategy (D)'!$C$1=RefData!$B$421,'All Statement of strategy (D)'!$H5," "))))</f>
        <v xml:space="preserve"> </v>
      </c>
    </row>
    <row r="6" spans="1:9">
      <c r="A6" s="593" t="s">
        <v>1512</v>
      </c>
      <c r="B6" s="585" t="s">
        <v>1513</v>
      </c>
      <c r="C6" s="641" t="str">
        <f ca="1">'Reconciliation report'!$E$3</f>
        <v/>
      </c>
      <c r="E6" s="585" t="str">
        <f ca="1">$B6 &amp;$C6</f>
        <v xml:space="preserve">Pension Scheme Regsitry (PSR) number: </v>
      </c>
      <c r="F6" s="585" t="str">
        <f ca="1">$B6 &amp;$C6</f>
        <v xml:space="preserve">Pension Scheme Regsitry (PSR) number: </v>
      </c>
      <c r="G6" s="585" t="str">
        <f ca="1">$B6 &amp;$C6</f>
        <v xml:space="preserve">Pension Scheme Regsitry (PSR) number: </v>
      </c>
      <c r="H6" s="585" t="str">
        <f ca="1">$B6 &amp;$C6</f>
        <v xml:space="preserve">Pension Scheme Regsitry (PSR) number: </v>
      </c>
      <c r="I6" s="595" t="str">
        <f ca="1">IF($C$1=RefData!$B$418,'All Statement of strategy (D)'!$E6,IF('All Statement of strategy (D)'!$C$1=RefData!$B$419,'All Statement of strategy (D)'!$F6,IF('All Statement of strategy (D)'!$C$1=RefData!$B$420,'All Statement of strategy (D)'!$G6,IF('All Statement of strategy (D)'!$C$1=RefData!$B$421,'All Statement of strategy (D)'!$H6," "))))</f>
        <v xml:space="preserve"> </v>
      </c>
    </row>
    <row r="7" spans="1:9">
      <c r="A7" s="593"/>
      <c r="B7" s="585" t="s">
        <v>1514</v>
      </c>
      <c r="C7" s="585" t="str">
        <f ca="1">'Reconciliation report'!$E$11 &amp; IF('Start here'!$C$23=RefData!$B$17," post-relevant date",IF('Start here'!$C$23=RefData!$B$18, " pre-relevant date",""))</f>
        <v/>
      </c>
      <c r="E7" s="585" t="str">
        <f ca="1">$B7 &amp; $C7</f>
        <v xml:space="preserve">Statement type: </v>
      </c>
      <c r="F7" s="585" t="str">
        <f ca="1">$B7 &amp; $C7</f>
        <v xml:space="preserve">Statement type: </v>
      </c>
      <c r="G7" s="585" t="str">
        <f ca="1">$B7 &amp; $C7</f>
        <v xml:space="preserve">Statement type: </v>
      </c>
      <c r="H7" s="585" t="str">
        <f ca="1">$B7 &amp; $C7</f>
        <v xml:space="preserve">Statement type: </v>
      </c>
      <c r="I7" s="595" t="str">
        <f ca="1">IF($C$1=RefData!$B$418,'All Statement of strategy (D)'!$E7,IF('All Statement of strategy (D)'!$C$1=RefData!$B$419,'All Statement of strategy (D)'!$F7,IF('All Statement of strategy (D)'!$C$1=RefData!$B$420,'All Statement of strategy (D)'!$G7,IF('All Statement of strategy (D)'!$C$1=RefData!$B$421,'All Statement of strategy (D)'!$H7," "))))</f>
        <v xml:space="preserve"> </v>
      </c>
    </row>
    <row r="8" spans="1:9">
      <c r="A8" s="593"/>
      <c r="B8" s="585" t="s">
        <v>1515</v>
      </c>
      <c r="E8" s="585" t="str">
        <f>$B8</f>
        <v xml:space="preserve">Name of the chair of trustees: </v>
      </c>
      <c r="F8" s="585" t="str">
        <f>$B8</f>
        <v xml:space="preserve">Name of the chair of trustees: </v>
      </c>
      <c r="G8" s="585" t="str">
        <f>$B8</f>
        <v xml:space="preserve">Name of the chair of trustees: </v>
      </c>
      <c r="H8" s="585" t="str">
        <f t="shared" ref="E8:H13" si="1">$B8</f>
        <v xml:space="preserve">Name of the chair of trustees: </v>
      </c>
      <c r="I8" s="595" t="str">
        <f ca="1">IF($C$1=RefData!$B$418,'All Statement of strategy (D)'!$E8,IF('All Statement of strategy (D)'!$C$1=RefData!$B$419,'All Statement of strategy (D)'!$F8,IF('All Statement of strategy (D)'!$C$1=RefData!$B$420,'All Statement of strategy (D)'!$G8,IF('All Statement of strategy (D)'!$C$1=RefData!$B$421,'All Statement of strategy (D)'!$H8," "))))</f>
        <v xml:space="preserve"> </v>
      </c>
    </row>
    <row r="9" spans="1:9" ht="20.5" thickBot="1">
      <c r="A9" s="612" t="s">
        <v>1516</v>
      </c>
      <c r="B9" s="585" t="str">
        <f ca="1">'Reconciliation report'!$E$4 &amp; " " &amp; 'Reconciliation report'!$E$5</f>
        <v xml:space="preserve"> </v>
      </c>
      <c r="E9" s="585" t="str">
        <f t="shared" ca="1" si="1"/>
        <v xml:space="preserve"> </v>
      </c>
      <c r="F9" s="585" t="str">
        <f t="shared" ca="1" si="1"/>
        <v xml:space="preserve"> </v>
      </c>
      <c r="G9" s="585" t="str">
        <f t="shared" ca="1" si="1"/>
        <v xml:space="preserve"> </v>
      </c>
      <c r="H9" s="585" t="str">
        <f t="shared" ca="1" si="1"/>
        <v xml:space="preserve"> </v>
      </c>
      <c r="I9" s="611" t="str">
        <f ca="1">IF($C$1=RefData!$B$418,'All Statement of strategy (D)'!$E9,IF('All Statement of strategy (D)'!$C$1=RefData!$B$419,'All Statement of strategy (D)'!$F9,IF('All Statement of strategy (D)'!$C$1=RefData!$B$420,'All Statement of strategy (D)'!$G9,IF('All Statement of strategy (D)'!$C$1=RefData!$B$421,'All Statement of strategy (D)'!$H9," "))))</f>
        <v xml:space="preserve"> </v>
      </c>
    </row>
    <row r="10" spans="1:9">
      <c r="B10" s="590" t="s">
        <v>1517</v>
      </c>
      <c r="C10" s="591"/>
      <c r="D10" s="591"/>
      <c r="E10" s="591" t="str">
        <f t="shared" si="1"/>
        <v>Signature of the chair of trustees</v>
      </c>
      <c r="F10" s="591" t="str">
        <f t="shared" si="1"/>
        <v>Signature of the chair of trustees</v>
      </c>
      <c r="G10" s="591" t="str">
        <f t="shared" si="1"/>
        <v>Signature of the chair of trustees</v>
      </c>
      <c r="H10" s="591" t="str">
        <f t="shared" si="1"/>
        <v>Signature of the chair of trustees</v>
      </c>
      <c r="I10" s="610" t="str">
        <f ca="1">IF($C$1=RefData!$B$418,'All Statement of strategy (D)'!$E10,IF('All Statement of strategy (D)'!$C$1=RefData!$B$419,'All Statement of strategy (D)'!$F10,IF('All Statement of strategy (D)'!$C$1=RefData!$B$420,'All Statement of strategy (D)'!$G10,IF('All Statement of strategy (D)'!$C$1=RefData!$B$421,'All Statement of strategy (D)'!$H10," "))))</f>
        <v xml:space="preserve"> </v>
      </c>
    </row>
    <row r="11" spans="1:9">
      <c r="B11" s="594" t="s">
        <v>1518</v>
      </c>
      <c r="E11" s="585" t="str">
        <f t="shared" si="1"/>
        <v>This document is signed by the chair of trustees on behalf of the trustees of the scheme.</v>
      </c>
      <c r="F11" s="585" t="str">
        <f t="shared" si="1"/>
        <v>This document is signed by the chair of trustees on behalf of the trustees of the scheme.</v>
      </c>
      <c r="G11" s="585" t="str">
        <f t="shared" si="1"/>
        <v>This document is signed by the chair of trustees on behalf of the trustees of the scheme.</v>
      </c>
      <c r="H11" s="585" t="str">
        <f t="shared" si="1"/>
        <v>This document is signed by the chair of trustees on behalf of the trustees of the scheme.</v>
      </c>
      <c r="I11" s="611" t="str">
        <f ca="1">IF($C$1=RefData!$B$418,'All Statement of strategy (D)'!$E11,IF('All Statement of strategy (D)'!$C$1=RefData!$B$419,'All Statement of strategy (D)'!$F11,IF('All Statement of strategy (D)'!$C$1=RefData!$B$420,'All Statement of strategy (D)'!$G11,IF('All Statement of strategy (D)'!$C$1=RefData!$B$421,'All Statement of strategy (D)'!$H11," "))))</f>
        <v xml:space="preserve"> </v>
      </c>
    </row>
    <row r="12" spans="1:9">
      <c r="A12" s="604"/>
      <c r="B12" s="594" t="s">
        <v>1519</v>
      </c>
      <c r="E12" s="585" t="str">
        <f t="shared" si="1"/>
        <v>Signature of the chair of trustees:</v>
      </c>
      <c r="F12" s="585" t="str">
        <f t="shared" si="1"/>
        <v>Signature of the chair of trustees:</v>
      </c>
      <c r="G12" s="585" t="str">
        <f t="shared" si="1"/>
        <v>Signature of the chair of trustees:</v>
      </c>
      <c r="H12" s="585" t="str">
        <f t="shared" si="1"/>
        <v>Signature of the chair of trustees:</v>
      </c>
      <c r="I12" s="595" t="str">
        <f ca="1">IF($C$1=RefData!$B$418,'All Statement of strategy (D)'!$E12,IF('All Statement of strategy (D)'!$C$1=RefData!$B$419,'All Statement of strategy (D)'!$F12,IF('All Statement of strategy (D)'!$C$1=RefData!$B$420,'All Statement of strategy (D)'!$G12,IF('All Statement of strategy (D)'!$C$1=RefData!$B$421,'All Statement of strategy (D)'!$H12," "))))</f>
        <v xml:space="preserve"> </v>
      </c>
    </row>
    <row r="13" spans="1:9" ht="16" thickBot="1">
      <c r="A13" s="604"/>
      <c r="B13" s="597" t="s">
        <v>1520</v>
      </c>
      <c r="C13" s="598"/>
      <c r="D13" s="598"/>
      <c r="E13" s="598" t="str">
        <f t="shared" si="1"/>
        <v>Date:</v>
      </c>
      <c r="F13" s="598" t="str">
        <f t="shared" si="1"/>
        <v>Date:</v>
      </c>
      <c r="G13" s="598" t="str">
        <f t="shared" si="1"/>
        <v>Date:</v>
      </c>
      <c r="H13" s="598" t="str">
        <f t="shared" si="1"/>
        <v>Date:</v>
      </c>
      <c r="I13" s="599" t="str">
        <f ca="1">IF($C$1=RefData!$B$418,'All Statement of strategy (D)'!$E13,IF('All Statement of strategy (D)'!$C$1=RefData!$B$419,'All Statement of strategy (D)'!$F13,IF('All Statement of strategy (D)'!$C$1=RefData!$B$420,'All Statement of strategy (D)'!$G13,IF('All Statement of strategy (D)'!$C$1=RefData!$B$421,'All Statement of strategy (D)'!$H13," "))))</f>
        <v xml:space="preserve"> </v>
      </c>
    </row>
    <row r="14" spans="1:9">
      <c r="B14" s="585" t="s">
        <v>1521</v>
      </c>
      <c r="E14" s="585" t="str">
        <f t="shared" ref="E14:H16" si="2">$B14</f>
        <v>Part 1: funding and investment strategy</v>
      </c>
      <c r="F14" s="585" t="str">
        <f t="shared" si="2"/>
        <v>Part 1: funding and investment strategy</v>
      </c>
      <c r="G14" s="585" t="str">
        <f t="shared" si="2"/>
        <v>Part 1: funding and investment strategy</v>
      </c>
      <c r="H14" s="585" t="str">
        <f t="shared" si="2"/>
        <v>Part 1: funding and investment strategy</v>
      </c>
      <c r="I14" s="585" t="str">
        <f ca="1">IF($C$1=RefData!$B$418,'All Statement of strategy (D)'!$E14,IF('All Statement of strategy (D)'!$C$1=RefData!$B$419,'All Statement of strategy (D)'!$F14,IF('All Statement of strategy (D)'!$C$1=RefData!$B$420,'All Statement of strategy (D)'!$G14,IF('All Statement of strategy (D)'!$C$1=RefData!$B$421,'All Statement of strategy (D)'!$H14," "))))</f>
        <v xml:space="preserve"> </v>
      </c>
    </row>
    <row r="15" spans="1:9">
      <c r="B15" s="585" t="s">
        <v>1522</v>
      </c>
      <c r="E15" s="585" t="str">
        <f t="shared" si="2"/>
        <v>This funding and investment strategy sets out the trustees’ strategy for ensuring that pensions and other benefits under the scheme can be provided over the long term.</v>
      </c>
      <c r="F15" s="585" t="str">
        <f t="shared" si="2"/>
        <v>This funding and investment strategy sets out the trustees’ strategy for ensuring that pensions and other benefits under the scheme can be provided over the long term.</v>
      </c>
      <c r="G15" s="585" t="str">
        <f t="shared" si="2"/>
        <v>This funding and investment strategy sets out the trustees’ strategy for ensuring that pensions and other benefits under the scheme can be provided over the long term.</v>
      </c>
      <c r="H15" s="585" t="str">
        <f t="shared" si="2"/>
        <v>This funding and investment strategy sets out the trustees’ strategy for ensuring that pensions and other benefits under the scheme can be provided over the long term.</v>
      </c>
      <c r="I15" s="585" t="str">
        <f ca="1">IF($C$1=RefData!$B$418,'All Statement of strategy (D)'!$E15,IF('All Statement of strategy (D)'!$C$1=RefData!$B$419,'All Statement of strategy (D)'!$F15,IF('All Statement of strategy (D)'!$C$1=RefData!$B$420,'All Statement of strategy (D)'!$G15,IF('All Statement of strategy (D)'!$C$1=RefData!$B$421,'All Statement of strategy (D)'!$H15," "))))</f>
        <v xml:space="preserve"> </v>
      </c>
    </row>
    <row r="16" spans="1:9">
      <c r="B16" s="585" t="s">
        <v>1523</v>
      </c>
      <c r="E16" s="585" t="str">
        <f t="shared" si="2"/>
        <v>Actuarial valuation</v>
      </c>
      <c r="F16" s="585" t="str">
        <f t="shared" si="2"/>
        <v>Actuarial valuation</v>
      </c>
      <c r="G16" s="585" t="str">
        <f t="shared" si="2"/>
        <v>Actuarial valuation</v>
      </c>
      <c r="H16" s="585" t="str">
        <f t="shared" si="2"/>
        <v>Actuarial valuation</v>
      </c>
      <c r="I16" s="585" t="str">
        <f ca="1">IF($C$1=RefData!$B$418,'All Statement of strategy (D)'!$E16,IF('All Statement of strategy (D)'!$C$1=RefData!$B$419,'All Statement of strategy (D)'!$F16,IF('All Statement of strategy (D)'!$C$1=RefData!$B$420,'All Statement of strategy (D)'!$G16,IF('All Statement of strategy (D)'!$C$1=RefData!$B$421,'All Statement of strategy (D)'!$H16," "))))</f>
        <v xml:space="preserve"> </v>
      </c>
    </row>
    <row r="17" spans="1:9" ht="31.4" customHeight="1">
      <c r="A17" s="584" t="s">
        <v>1524</v>
      </c>
      <c r="B17" s="585" t="s">
        <v>1525</v>
      </c>
      <c r="C17" s="585" t="str">
        <f ca="1">TEXT('Reconciliation report'!$E$6,RefData!$B$424)&amp;"."</f>
        <v>.</v>
      </c>
      <c r="E17" s="585" t="str">
        <f ca="1">$B17&amp;$C17</f>
        <v>The actuarial valuation to which this funding and investment strategy relates has an effective date of .</v>
      </c>
      <c r="F17" s="585" t="str">
        <f ca="1">$B17&amp;$C17</f>
        <v>The actuarial valuation to which this funding and investment strategy relates has an effective date of .</v>
      </c>
      <c r="G17" s="585" t="str">
        <f ca="1">$B17&amp;$C17</f>
        <v>The actuarial valuation to which this funding and investment strategy relates has an effective date of .</v>
      </c>
      <c r="H17" s="585" t="str">
        <f ca="1">$B17&amp;$C17</f>
        <v>The actuarial valuation to which this funding and investment strategy relates has an effective date of .</v>
      </c>
      <c r="I17" s="585" t="str">
        <f ca="1">IF($C$1=RefData!$B$418,'All Statement of strategy (D)'!$E17,IF('All Statement of strategy (D)'!$C$1=RefData!$B$419,'All Statement of strategy (D)'!$F17,IF('All Statement of strategy (D)'!$C$1=RefData!$B$420,'All Statement of strategy (D)'!$G17,IF('All Statement of strategy (D)'!$C$1=RefData!$B$421,'All Statement of strategy (D)'!$H17," "))))</f>
        <v xml:space="preserve"> </v>
      </c>
    </row>
    <row r="18" spans="1:9" ht="56">
      <c r="B18" s="624" t="s">
        <v>1526</v>
      </c>
      <c r="E18" s="585" t="str">
        <f>$B18</f>
        <v>The scheme’s funding level as at the effective date of the actuarial valuation is as follows:</v>
      </c>
      <c r="F18" s="585" t="str">
        <f>$B18</f>
        <v>The scheme’s funding level as at the effective date of the actuarial valuation is as follows:</v>
      </c>
      <c r="G18" s="585" t="str">
        <f>$B18</f>
        <v>The scheme’s funding level as at the effective date of the actuarial valuation is as follows:</v>
      </c>
      <c r="H18" s="585" t="str">
        <f>$B18</f>
        <v>The scheme’s funding level as at the effective date of the actuarial valuation is as follows:</v>
      </c>
      <c r="I18" s="585" t="str">
        <f ca="1">IF($C$1=RefData!$B$418,'All Statement of strategy (D)'!$E18,IF('All Statement of strategy (D)'!$C$1=RefData!$B$419,'All Statement of strategy (D)'!$F18,IF('All Statement of strategy (D)'!$C$1=RefData!$B$420,'All Statement of strategy (D)'!$G18,IF('All Statement of strategy (D)'!$C$1=RefData!$B$421,'All Statement of strategy (D)'!$H18," "))))</f>
        <v xml:space="preserve"> </v>
      </c>
    </row>
    <row r="19" spans="1:9">
      <c r="A19" s="584" t="s">
        <v>1527</v>
      </c>
      <c r="B19" s="585" t="s">
        <v>1528</v>
      </c>
      <c r="C19" s="585" t="str">
        <f ca="1">TEXT('Reconciliation report'!$E$59,RefData!$B$423)</f>
        <v/>
      </c>
      <c r="E19" s="585" t="str">
        <f t="shared" ref="E19:G20" ca="1" si="3">$B19&amp;$C19</f>
        <v xml:space="preserve">• Low dependency funding basis: </v>
      </c>
      <c r="F19" s="585" t="str">
        <f t="shared" ca="1" si="3"/>
        <v xml:space="preserve">• Low dependency funding basis: </v>
      </c>
      <c r="G19" s="585" t="str">
        <f t="shared" ca="1" si="3"/>
        <v xml:space="preserve">• Low dependency funding basis: </v>
      </c>
      <c r="H19" s="585" t="str">
        <f ca="1">$B19&amp;C19</f>
        <v xml:space="preserve">• Low dependency funding basis: </v>
      </c>
      <c r="I19" s="585" t="str">
        <f ca="1">IF($C$1=RefData!$B$418,'All Statement of strategy (D)'!$E19,IF('All Statement of strategy (D)'!$C$1=RefData!$B$419,'All Statement of strategy (D)'!$F19,IF('All Statement of strategy (D)'!$C$1=RefData!$B$420,'All Statement of strategy (D)'!$G19,IF('All Statement of strategy (D)'!$C$1=RefData!$B$421,'All Statement of strategy (D)'!$H19," "))))</f>
        <v xml:space="preserve"> </v>
      </c>
    </row>
    <row r="20" spans="1:9">
      <c r="A20" s="584" t="s">
        <v>1529</v>
      </c>
      <c r="B20" s="585" t="s">
        <v>1530</v>
      </c>
      <c r="C20" s="585" t="str">
        <f ca="1">TEXT('Reconciliation report'!$E$60,RefData!$B$423)</f>
        <v/>
      </c>
      <c r="E20" s="585" t="str">
        <f t="shared" ca="1" si="3"/>
        <v xml:space="preserve">• Technical provisions basis: </v>
      </c>
      <c r="F20" s="585" t="str">
        <f t="shared" ca="1" si="3"/>
        <v xml:space="preserve">• Technical provisions basis: </v>
      </c>
      <c r="G20" s="585" t="str">
        <f t="shared" ca="1" si="3"/>
        <v xml:space="preserve">• Technical provisions basis: </v>
      </c>
      <c r="H20" s="585" t="str">
        <f ca="1">$B20&amp;$C20</f>
        <v xml:space="preserve">• Technical provisions basis: </v>
      </c>
      <c r="I20" s="585" t="str">
        <f ca="1">IF($C$1=RefData!$B$418,'All Statement of strategy (D)'!$E20,IF('All Statement of strategy (D)'!$C$1=RefData!$B$419,'All Statement of strategy (D)'!$F20,IF('All Statement of strategy (D)'!$C$1=RefData!$B$420,'All Statement of strategy (D)'!$G20,IF('All Statement of strategy (D)'!$C$1=RefData!$B$421,'All Statement of strategy (D)'!$H20," "))))</f>
        <v xml:space="preserve"> </v>
      </c>
    </row>
    <row r="21" spans="1:9">
      <c r="B21" s="585" t="s">
        <v>1531</v>
      </c>
      <c r="E21" s="585" t="str">
        <f>$B21</f>
        <v>Relevant date</v>
      </c>
      <c r="F21" s="585" t="str">
        <f>$B21</f>
        <v>Relevant date</v>
      </c>
      <c r="G21" s="585" t="str">
        <f>$B21</f>
        <v>Relevant date</v>
      </c>
      <c r="H21" s="585" t="str">
        <f>$B21</f>
        <v>Relevant date</v>
      </c>
      <c r="I21" s="585" t="str">
        <f ca="1">IF($C$1=RefData!$B$418,'All Statement of strategy (D)'!$E21,IF('All Statement of strategy (D)'!$C$1=RefData!$B$419,'All Statement of strategy (D)'!$F21,IF('All Statement of strategy (D)'!$C$1=RefData!$B$420,'All Statement of strategy (D)'!$G21,IF('All Statement of strategy (D)'!$C$1=RefData!$B$421,'All Statement of strategy (D)'!$H21," "))))</f>
        <v xml:space="preserve"> </v>
      </c>
    </row>
    <row r="22" spans="1:9">
      <c r="A22" s="584" t="s">
        <v>1532</v>
      </c>
      <c r="B22" s="585" t="s">
        <v>1533</v>
      </c>
      <c r="C22" s="585" t="str">
        <f ca="1">TEXT('Reconciliation report'!$E$7,RefData!$B$424)</f>
        <v/>
      </c>
      <c r="D22" s="585" t="s">
        <v>1534</v>
      </c>
      <c r="E22" s="585" t="str">
        <f ca="1">$B22&amp; $C22&amp;$D22</f>
        <v>The trustees have selected  as the scheme’s relevant date.</v>
      </c>
      <c r="F22" s="585" t="str">
        <f>""</f>
        <v/>
      </c>
      <c r="G22" s="585" t="str">
        <f ca="1">$B22&amp; $C22&amp;$D22</f>
        <v>The trustees have selected  as the scheme’s relevant date.</v>
      </c>
      <c r="H22" s="585" t="str">
        <f>""</f>
        <v/>
      </c>
      <c r="I22" s="585" t="str">
        <f ca="1">IF($C$1=RefData!$B$418,'All Statement of strategy (D)'!$E22,IF('All Statement of strategy (D)'!$C$1=RefData!$B$419,'All Statement of strategy (D)'!$F22,IF('All Statement of strategy (D)'!$C$1=RefData!$B$420,'All Statement of strategy (D)'!$G22,IF('All Statement of strategy (D)'!$C$1=RefData!$B$421,'All Statement of strategy (D)'!$H22," "))))</f>
        <v xml:space="preserve"> </v>
      </c>
    </row>
    <row r="23" spans="1:9">
      <c r="A23" s="584" t="s">
        <v>1532</v>
      </c>
      <c r="B23" s="585" t="s">
        <v>1535</v>
      </c>
      <c r="C23" s="585" t="str">
        <f ca="1">TEXT('Reconciliation report'!$E$7,RefData!$B$424)&amp;"."</f>
        <v>.</v>
      </c>
      <c r="E23" s="585" t="str">
        <f>""</f>
        <v/>
      </c>
      <c r="F23" s="585" t="str">
        <f ca="1">$B23&amp; $C23</f>
        <v>The scheme's relevant date is .</v>
      </c>
      <c r="G23" s="585" t="str">
        <f>""</f>
        <v/>
      </c>
      <c r="H23" s="585" t="str">
        <f ca="1">$B23&amp; $C23</f>
        <v>The scheme's relevant date is .</v>
      </c>
      <c r="I23" s="585" t="str">
        <f ca="1">IF($C$1=RefData!$B$418,'All Statement of strategy (D)'!$E23,IF('All Statement of strategy (D)'!$C$1=RefData!$B$419,'All Statement of strategy (D)'!$F23,IF('All Statement of strategy (D)'!$C$1=RefData!$B$420,'All Statement of strategy (D)'!$G23,IF('All Statement of strategy (D)'!$C$1=RefData!$B$421,'All Statement of strategy (D)'!$H23," "))))</f>
        <v xml:space="preserve"> </v>
      </c>
    </row>
    <row r="24" spans="1:9">
      <c r="A24" s="584" t="s">
        <v>1536</v>
      </c>
      <c r="B24" s="585" t="str">
        <f>"
The actuary has estimated in the actuarial valuation that the scheme’s maturity at the relevant date (duration in years) is "</f>
        <v xml:space="preserve">
The actuary has estimated in the actuarial valuation that the scheme’s maturity at the relevant date (duration in years) is </v>
      </c>
      <c r="C24" s="585" t="str">
        <f ca="1">'Reconciliation report'!$E$18</f>
        <v/>
      </c>
      <c r="D24" s="585" t="str">
        <f ca="1">IF(C24=1," year."," years.")</f>
        <v xml:space="preserve"> years.</v>
      </c>
      <c r="E24" s="585" t="str">
        <f ca="1">$B24&amp;$C24&amp;$D24</f>
        <v xml:space="preserve">
The actuary has estimated in the actuarial valuation that the scheme’s maturity at the relevant date (duration in years) is  years.</v>
      </c>
      <c r="F24" s="585" t="str">
        <f>""</f>
        <v/>
      </c>
      <c r="G24" s="585" t="str">
        <f ca="1">$B24&amp;$C24&amp;$D24</f>
        <v xml:space="preserve">
The actuary has estimated in the actuarial valuation that the scheme’s maturity at the relevant date (duration in years) is  years.</v>
      </c>
      <c r="H24" s="585" t="str">
        <f>""</f>
        <v/>
      </c>
      <c r="I24" s="585" t="str">
        <f ca="1">IF($C$1=RefData!$B$418,'All Statement of strategy (D)'!$E24,IF('All Statement of strategy (D)'!$C$1=RefData!$B$419,'All Statement of strategy (D)'!$F24,IF('All Statement of strategy (D)'!$C$1=RefData!$B$420,'All Statement of strategy (D)'!$G24,IF('All Statement of strategy (D)'!$C$1=RefData!$B$421,'All Statement of strategy (D)'!$H24," "))))</f>
        <v xml:space="preserve"> </v>
      </c>
    </row>
    <row r="25" spans="1:9">
      <c r="B25" s="585" t="s">
        <v>1537</v>
      </c>
      <c r="E25" s="585" t="str">
        <f>$B25</f>
        <v>The trustees intend that as at the relevant date:</v>
      </c>
      <c r="F25" s="585" t="str">
        <f>""</f>
        <v/>
      </c>
      <c r="G25" s="585" t="str">
        <f>$B25</f>
        <v>The trustees intend that as at the relevant date:</v>
      </c>
      <c r="H25" s="585" t="str">
        <f>""</f>
        <v/>
      </c>
      <c r="I25" s="585" t="str">
        <f ca="1">IF($C$1=RefData!$B$418,'All Statement of strategy (D)'!$E25,IF('All Statement of strategy (D)'!$C$1=RefData!$B$419,'All Statement of strategy (D)'!$F25,IF('All Statement of strategy (D)'!$C$1=RefData!$B$420,'All Statement of strategy (D)'!$G25,IF('All Statement of strategy (D)'!$C$1=RefData!$B$421,'All Statement of strategy (D)'!$H25," "))))</f>
        <v xml:space="preserve"> </v>
      </c>
    </row>
    <row r="26" spans="1:9">
      <c r="B26" s="585" t="s">
        <v>1538</v>
      </c>
      <c r="E26" s="585" t="str">
        <f>""</f>
        <v/>
      </c>
      <c r="F26" s="585" t="str">
        <f>$B26</f>
        <v>The trustees' intention was that as at the relevant date:</v>
      </c>
      <c r="G26" s="585" t="str">
        <f>""</f>
        <v/>
      </c>
      <c r="H26" s="585" t="str">
        <f>$B26</f>
        <v>The trustees' intention was that as at the relevant date:</v>
      </c>
      <c r="I26" s="585" t="str">
        <f ca="1">IF($C$1=RefData!$B$418,'All Statement of strategy (D)'!$E26,IF('All Statement of strategy (D)'!$C$1=RefData!$B$419,'All Statement of strategy (D)'!$F26,IF('All Statement of strategy (D)'!$C$1=RefData!$B$420,'All Statement of strategy (D)'!$G26,IF('All Statement of strategy (D)'!$C$1=RefData!$B$421,'All Statement of strategy (D)'!$H26," "))))</f>
        <v xml:space="preserve"> </v>
      </c>
    </row>
    <row r="27" spans="1:9">
      <c r="A27" s="584" t="s">
        <v>1539</v>
      </c>
      <c r="B27" s="585" t="s">
        <v>1540</v>
      </c>
      <c r="C27" s="585" t="str">
        <f ca="1">TEXT('Reconciliation report'!$E$21, RefData!$B$423)</f>
        <v/>
      </c>
      <c r="E27" s="585" t="str">
        <f ca="1">$B27&amp;$C27</f>
        <v xml:space="preserve">•   the scheme’s funding level on a low dependency funding basis will be </v>
      </c>
      <c r="F27" s="585" t="str">
        <f>""</f>
        <v/>
      </c>
      <c r="G27" s="585" t="str">
        <f ca="1">$B27&amp;$C27</f>
        <v xml:space="preserve">•   the scheme’s funding level on a low dependency funding basis will be </v>
      </c>
      <c r="H27" s="585" t="str">
        <f>""</f>
        <v/>
      </c>
      <c r="I27" s="585" t="str">
        <f ca="1">IF($C$1=RefData!$B$418,'All Statement of strategy (D)'!$E27,IF('All Statement of strategy (D)'!$C$1=RefData!$B$419,'All Statement of strategy (D)'!$F27,IF('All Statement of strategy (D)'!$C$1=RefData!$B$420,'All Statement of strategy (D)'!$G27,IF('All Statement of strategy (D)'!$C$1=RefData!$B$421,'All Statement of strategy (D)'!$H27," "))))</f>
        <v xml:space="preserve"> </v>
      </c>
    </row>
    <row r="28" spans="1:9">
      <c r="A28" s="584" t="s">
        <v>1539</v>
      </c>
      <c r="B28" s="585" t="s">
        <v>1541</v>
      </c>
      <c r="C28" s="585" t="str">
        <f ca="1">TEXT('Reconciliation report'!$E$21, RefData!$B$423)</f>
        <v/>
      </c>
      <c r="E28" s="585" t="str">
        <f>""</f>
        <v/>
      </c>
      <c r="F28" s="585" t="str">
        <f ca="1">$B28&amp;$C28</f>
        <v xml:space="preserve">•   the scheme’s funding level on a low dependency funding basis should have been </v>
      </c>
      <c r="G28" s="585" t="str">
        <f>""</f>
        <v/>
      </c>
      <c r="H28" s="585" t="str">
        <f ca="1">$B28&amp;$C28</f>
        <v xml:space="preserve">•   the scheme’s funding level on a low dependency funding basis should have been </v>
      </c>
      <c r="I28" s="585" t="str">
        <f ca="1">IF($C$1=RefData!$B$418,'All Statement of strategy (D)'!$E28,IF('All Statement of strategy (D)'!$C$1=RefData!$B$419,'All Statement of strategy (D)'!$F28,IF('All Statement of strategy (D)'!$C$1=RefData!$B$420,'All Statement of strategy (D)'!$G28,IF('All Statement of strategy (D)'!$C$1=RefData!$B$421,'All Statement of strategy (D)'!$H28," "))))</f>
        <v xml:space="preserve"> </v>
      </c>
    </row>
    <row r="29" spans="1:9">
      <c r="B29" s="585" t="s">
        <v>1542</v>
      </c>
      <c r="E29" s="585" t="str">
        <f>$B29</f>
        <v>•   the assets of the scheme will be invested as follows:</v>
      </c>
      <c r="F29" s="585" t="str">
        <f>""</f>
        <v/>
      </c>
      <c r="G29" s="585" t="str">
        <f>$B29</f>
        <v>•   the assets of the scheme will be invested as follows:</v>
      </c>
      <c r="H29" s="585" t="str">
        <f>""</f>
        <v/>
      </c>
      <c r="I29" s="585" t="str">
        <f ca="1">IF($C$1=RefData!$B$418,'All Statement of strategy (D)'!$E29,IF('All Statement of strategy (D)'!$C$1=RefData!$B$419,'All Statement of strategy (D)'!$F29,IF('All Statement of strategy (D)'!$C$1=RefData!$B$420,'All Statement of strategy (D)'!$G29,IF('All Statement of strategy (D)'!$C$1=RefData!$B$421,'All Statement of strategy (D)'!$H29," "))))</f>
        <v xml:space="preserve"> </v>
      </c>
    </row>
    <row r="30" spans="1:9">
      <c r="B30" s="585" t="s">
        <v>1543</v>
      </c>
      <c r="E30" s="585" t="str">
        <f>""</f>
        <v/>
      </c>
      <c r="F30" s="585" t="str">
        <f>$B30</f>
        <v>•   the assets of the scheme should have been invested as follows:</v>
      </c>
      <c r="G30" s="585" t="str">
        <f>""</f>
        <v/>
      </c>
      <c r="H30" s="585" t="str">
        <f>$B30</f>
        <v>•   the assets of the scheme should have been invested as follows:</v>
      </c>
      <c r="I30" s="585" t="str">
        <f ca="1">IF($C$1=RefData!$B$418,'All Statement of strategy (D)'!$E30,IF('All Statement of strategy (D)'!$C$1=RefData!$B$419,'All Statement of strategy (D)'!$F30,IF('All Statement of strategy (D)'!$C$1=RefData!$B$420,'All Statement of strategy (D)'!$G30,IF('All Statement of strategy (D)'!$C$1=RefData!$B$421,'All Statement of strategy (D)'!$H30," "))))</f>
        <v xml:space="preserve"> </v>
      </c>
    </row>
    <row r="31" spans="1:9">
      <c r="A31" s="584" t="s">
        <v>1544</v>
      </c>
      <c r="B31" s="585" t="s">
        <v>1545</v>
      </c>
      <c r="C31" s="585" t="str">
        <f ca="1">TEXT('Reconciliation report'!$E$23, RefData!$B$423)</f>
        <v/>
      </c>
      <c r="E31" s="585" t="str">
        <f t="shared" ref="E31:H32" ca="1" si="4">$B31&amp;$C31</f>
        <v xml:space="preserve">    o   Growth: </v>
      </c>
      <c r="F31" s="585" t="str">
        <f t="shared" ca="1" si="4"/>
        <v xml:space="preserve">    o   Growth: </v>
      </c>
      <c r="G31" s="585" t="str">
        <f t="shared" ca="1" si="4"/>
        <v xml:space="preserve">    o   Growth: </v>
      </c>
      <c r="H31" s="585" t="str">
        <f t="shared" ca="1" si="4"/>
        <v xml:space="preserve">    o   Growth: </v>
      </c>
      <c r="I31" s="585" t="str">
        <f ca="1">IF($C$1=RefData!$B$418,'All Statement of strategy (D)'!$E31,IF('All Statement of strategy (D)'!$C$1=RefData!$B$419,'All Statement of strategy (D)'!$F31,IF('All Statement of strategy (D)'!$C$1=RefData!$B$420,'All Statement of strategy (D)'!$G31,IF('All Statement of strategy (D)'!$C$1=RefData!$B$421,'All Statement of strategy (D)'!$H31," "))))</f>
        <v xml:space="preserve"> </v>
      </c>
    </row>
    <row r="32" spans="1:9">
      <c r="A32" s="584" t="s">
        <v>1546</v>
      </c>
      <c r="B32" s="585" t="s">
        <v>1547</v>
      </c>
      <c r="C32" s="585" t="str">
        <f ca="1">TEXT('Reconciliation report'!$E$22,RefData!$B$423)</f>
        <v/>
      </c>
      <c r="E32" s="585" t="str">
        <f t="shared" ca="1" si="4"/>
        <v xml:space="preserve">    o   Matching: </v>
      </c>
      <c r="F32" s="585" t="str">
        <f t="shared" ca="1" si="4"/>
        <v xml:space="preserve">    o   Matching: </v>
      </c>
      <c r="G32" s="585" t="str">
        <f t="shared" ca="1" si="4"/>
        <v xml:space="preserve">    o   Matching: </v>
      </c>
      <c r="H32" s="585" t="str">
        <f t="shared" ca="1" si="4"/>
        <v xml:space="preserve">    o   Matching: </v>
      </c>
      <c r="I32" s="585" t="str">
        <f ca="1">IF($C$1=RefData!$B$418,'All Statement of strategy (D)'!$E32,IF('All Statement of strategy (D)'!$C$1=RefData!$B$419,'All Statement of strategy (D)'!$F32,IF('All Statement of strategy (D)'!$C$1=RefData!$B$420,'All Statement of strategy (D)'!$G32,IF('All Statement of strategy (D)'!$C$1=RefData!$B$421,'All Statement of strategy (D)'!$H32," "))))</f>
        <v xml:space="preserve"> </v>
      </c>
    </row>
    <row r="33" spans="1:9" s="647" customFormat="1">
      <c r="A33" s="645"/>
      <c r="B33" s="646" t="s">
        <v>1548</v>
      </c>
      <c r="C33" s="646"/>
      <c r="D33" s="646"/>
      <c r="E33" s="646" t="str">
        <f ca="1">IF(AND('Reconciliation report'!$E$24=RefData!$B$405,OR('Reconciliation report'!$E$25&lt;&gt;"",'Reconciliation report'!$E$26&lt;&gt;"")),'All Statement of strategy (D)'!$B33,"")</f>
        <v/>
      </c>
      <c r="F33" s="646" t="str">
        <f>""</f>
        <v/>
      </c>
      <c r="G33" s="646" t="str">
        <f ca="1">IF(AND('Reconciliation report'!$E$24=RefData!$B$405,OR('Reconciliation report'!$E$25&lt;&gt;"",'Reconciliation report'!$E$26&lt;&gt;"")),'All Statement of strategy (D)'!$B33,"")</f>
        <v/>
      </c>
      <c r="H33" s="646" t="str">
        <f>""</f>
        <v/>
      </c>
      <c r="I33" s="646" t="str">
        <f ca="1">IF($C$1=RefData!$B$418,'All Statement of strategy (D)'!$E33,IF('All Statement of strategy (D)'!$C$1=RefData!$B$419,'All Statement of strategy (D)'!$F33,IF('All Statement of strategy (D)'!$C$1=RefData!$B$420,'All Statement of strategy (D)'!$G33,IF('All Statement of strategy (D)'!$C$1=RefData!$B$421,'All Statement of strategy (D)'!$H33," "))))</f>
        <v xml:space="preserve"> </v>
      </c>
    </row>
    <row r="34" spans="1:9" s="647" customFormat="1">
      <c r="A34" s="645"/>
      <c r="B34" s="646" t="s">
        <v>1549</v>
      </c>
      <c r="C34" s="646"/>
      <c r="D34" s="646"/>
      <c r="E34" s="646" t="str">
        <f>""</f>
        <v/>
      </c>
      <c r="F34" s="646" t="str">
        <f ca="1">IF(AND('Reconciliation report'!$E$24=RefData!$B$405,OR('Reconciliation report'!$E$25&lt;&gt;"",'Reconciliation report'!$E$26&lt;&gt;"")),'All Statement of strategy (D)'!$B34,"")</f>
        <v/>
      </c>
      <c r="G34" s="646" t="str">
        <f>""</f>
        <v/>
      </c>
      <c r="H34" s="646" t="str">
        <f ca="1">IF(AND('Reconciliation report'!$E$24=RefData!$B$405,OR('Reconciliation report'!$E$25&lt;&gt;"",'Reconciliation report'!$E$26&lt;&gt;"")),'All Statement of strategy (D)'!$B34,"")</f>
        <v/>
      </c>
      <c r="I34" s="646" t="str">
        <f ca="1">IF($C$1=RefData!$B$418,'All Statement of strategy (D)'!$E34,IF('All Statement of strategy (D)'!$C$1=RefData!$B$419,'All Statement of strategy (D)'!$F34,IF('All Statement of strategy (D)'!$C$1=RefData!$B$420,'All Statement of strategy (D)'!$G34,IF('All Statement of strategy (D)'!$C$1=RefData!$B$421,'All Statement of strategy (D)'!$H34," "))))</f>
        <v xml:space="preserve"> </v>
      </c>
    </row>
    <row r="35" spans="1:9">
      <c r="A35" s="584" t="s">
        <v>1550</v>
      </c>
      <c r="B35" s="585" t="s">
        <v>1545</v>
      </c>
      <c r="C35" s="585" t="str">
        <f ca="1">TEXT('Reconciliation report'!$E$25,RefData!$B$423)</f>
        <v/>
      </c>
      <c r="E35" s="585" t="str">
        <f ca="1">IF(AND('Reconciliation report'!$E$24=RefData!$B$405,OR('Reconciliation report'!$E$25&lt;&gt;"",'Reconciliation report'!$E$26&lt;&gt;"")),'All Statement of strategy (D)'!$B35&amp;$C35,"")</f>
        <v/>
      </c>
      <c r="F35" s="585" t="str">
        <f ca="1">IF(AND('Reconciliation report'!$E$24=RefData!$B$405,OR('Reconciliation report'!$E$25&lt;&gt;"",'Reconciliation report'!$E$26&lt;&gt;"")),'All Statement of strategy (D)'!$B35&amp;$C35,"")</f>
        <v/>
      </c>
      <c r="G35" s="585" t="str">
        <f ca="1">IF(AND('Reconciliation report'!$E$24=RefData!$B$405,OR('Reconciliation report'!$E$25&lt;&gt;"",'Reconciliation report'!$E$26&lt;&gt;"")),'All Statement of strategy (D)'!$B35&amp;$C35,"")</f>
        <v/>
      </c>
      <c r="H35" s="585" t="str">
        <f ca="1">IF(AND('Reconciliation report'!$E$24=RefData!$B$405,OR('Reconciliation report'!$E$25&lt;&gt;"",'Reconciliation report'!$E$26&lt;&gt;"")),'All Statement of strategy (D)'!$B35&amp;$C35,"")</f>
        <v/>
      </c>
      <c r="I35" s="585" t="str">
        <f ca="1">IF($C$1=RefData!$B$418,'All Statement of strategy (D)'!$E35,IF('All Statement of strategy (D)'!$C$1=RefData!$B$419,'All Statement of strategy (D)'!$F35,IF('All Statement of strategy (D)'!$C$1=RefData!$B$420,'All Statement of strategy (D)'!$G35,IF('All Statement of strategy (D)'!$C$1=RefData!$B$421,'All Statement of strategy (D)'!$H35," "))))</f>
        <v xml:space="preserve"> </v>
      </c>
    </row>
    <row r="36" spans="1:9">
      <c r="A36" s="584" t="s">
        <v>1551</v>
      </c>
      <c r="B36" s="585" t="s">
        <v>1547</v>
      </c>
      <c r="C36" s="585" t="str">
        <f ca="1">TEXT('Reconciliation report'!$E$26,RefData!$B$423)</f>
        <v/>
      </c>
      <c r="E36" s="585" t="str">
        <f ca="1">IF(AND('Reconciliation report'!$E$24=RefData!$B$405,OR('Reconciliation report'!$E$25&lt;&gt;"",'Reconciliation report'!$E$26&lt;&gt;"")),'All Statement of strategy (D)'!$B36&amp;$C36,"")</f>
        <v/>
      </c>
      <c r="F36" s="585" t="str">
        <f ca="1">IF(AND('Reconciliation report'!$E$24=RefData!$B$405,OR('Reconciliation report'!$E$25&lt;&gt;"",'Reconciliation report'!$E$26&lt;&gt;"")),'All Statement of strategy (D)'!$B36&amp;$C36,"")</f>
        <v/>
      </c>
      <c r="G36" s="585" t="str">
        <f ca="1">IF(AND('Reconciliation report'!$E$24=RefData!$B$405,OR('Reconciliation report'!$E$25&lt;&gt;"",'Reconciliation report'!$E$26&lt;&gt;"")),'All Statement of strategy (D)'!$B36&amp;$C36,"")</f>
        <v/>
      </c>
      <c r="H36" s="585" t="str">
        <f ca="1">IF(AND('Reconciliation report'!$E$24=RefData!$B$405,OR('Reconciliation report'!$E$25&lt;&gt;"",'Reconciliation report'!$E$26&lt;&gt;"")),'All Statement of strategy (D)'!$B36&amp;$C36,"")</f>
        <v/>
      </c>
      <c r="I36" s="585" t="str">
        <f ca="1">IF($C$1=RefData!$B$418,'All Statement of strategy (D)'!$E36,IF('All Statement of strategy (D)'!$C$1=RefData!$B$419,'All Statement of strategy (D)'!$F36,IF('All Statement of strategy (D)'!$C$1=RefData!$B$420,'All Statement of strategy (D)'!$G36,IF('All Statement of strategy (D)'!$C$1=RefData!$B$421,'All Statement of strategy (D)'!$H36," "))))</f>
        <v xml:space="preserve"> </v>
      </c>
    </row>
    <row r="37" spans="1:9">
      <c r="B37" s="585" t="s">
        <v>138</v>
      </c>
      <c r="E37" s="585" t="str">
        <f t="shared" ref="E37:H46" si="5">$B37</f>
        <v>Funding journey plan</v>
      </c>
      <c r="F37" s="585" t="str">
        <f>""</f>
        <v/>
      </c>
      <c r="G37" s="585" t="str">
        <f t="shared" si="5"/>
        <v>Funding journey plan</v>
      </c>
      <c r="H37" s="585" t="str">
        <f>""</f>
        <v/>
      </c>
      <c r="I37" s="585" t="str">
        <f ca="1">IF($C$1=RefData!$B$418,'All Statement of strategy (D)'!$E37,IF('All Statement of strategy (D)'!$C$1=RefData!$B$419,'All Statement of strategy (D)'!$F37,IF('All Statement of strategy (D)'!$C$1=RefData!$B$420,'All Statement of strategy (D)'!$G37,IF('All Statement of strategy (D)'!$C$1=RefData!$B$421,'All Statement of strategy (D)'!$H37," "))))</f>
        <v xml:space="preserve"> </v>
      </c>
    </row>
    <row r="38" spans="1:9">
      <c r="B38" s="585" t="s">
        <v>1552</v>
      </c>
      <c r="E38" s="585" t="str">
        <f>""</f>
        <v/>
      </c>
      <c r="F38" s="585" t="str">
        <f>$B38</f>
        <v>Long-term funding strategy</v>
      </c>
      <c r="G38" s="585" t="str">
        <f>""</f>
        <v/>
      </c>
      <c r="H38" s="585" t="str">
        <f>$B38</f>
        <v>Long-term funding strategy</v>
      </c>
      <c r="I38" s="585" t="str">
        <f ca="1">IF($C$1=RefData!$B$418,'All Statement of strategy (D)'!$E38,IF('All Statement of strategy (D)'!$C$1=RefData!$B$419,'All Statement of strategy (D)'!$F38,IF('All Statement of strategy (D)'!$C$1=RefData!$B$420,'All Statement of strategy (D)'!$G38,IF('All Statement of strategy (D)'!$C$1=RefData!$B$421,'All Statement of strategy (D)'!$H38," "))))</f>
        <v xml:space="preserve"> </v>
      </c>
    </row>
    <row r="39" spans="1:9">
      <c r="B39" s="585" t="s">
        <v>1553</v>
      </c>
      <c r="E39" s="585" t="str">
        <f ca="1">IF('Reconciliation report'!$E$10=RefData!$B$15,$B39,"")</f>
        <v/>
      </c>
      <c r="F39" s="585" t="str">
        <f>""</f>
        <v/>
      </c>
      <c r="G39" s="585" t="str">
        <f ca="1">IF('Reconciliation report'!$E$10=RefData!$B$15,$B39,"")</f>
        <v/>
      </c>
      <c r="H39" s="585" t="str">
        <f>""</f>
        <v/>
      </c>
      <c r="I39" s="585" t="str">
        <f ca="1">IF($C$1=RefData!$B$418,'All Statement of strategy (D)'!$E39,IF('All Statement of strategy (D)'!$C$1=RefData!$B$419,'All Statement of strategy (D)'!$F39,IF('All Statement of strategy (D)'!$C$1=RefData!$B$420,'All Statement of strategy (D)'!$G39,IF('All Statement of strategy (D)'!$C$1=RefData!$B$421,'All Statement of strategy (D)'!$H39," "))))</f>
        <v xml:space="preserve"> </v>
      </c>
    </row>
    <row r="40" spans="1:9">
      <c r="B40" s="585" t="s">
        <v>1554</v>
      </c>
      <c r="E40" s="585" t="str">
        <f ca="1">IF(AND('Reconciliation report'!$E$10=RefData!$B$16,'Reconciliation report'!$E$75&lt;&gt;""),$B40,"")</f>
        <v/>
      </c>
      <c r="F40" s="585" t="str">
        <f>""</f>
        <v/>
      </c>
      <c r="G40" s="585" t="str">
        <f ca="1">IF(AND('Reconciliation report'!$E$10=RefData!$B$16,'Reconciliation report'!$E$75&lt;&gt;""),$B40,"")</f>
        <v/>
      </c>
      <c r="H40" s="585" t="str">
        <f>""</f>
        <v/>
      </c>
      <c r="I40" s="585" t="str">
        <f ca="1">IF($C$1=RefData!$B$418,'All Statement of strategy (D)'!$E40,IF('All Statement of strategy (D)'!$C$1=RefData!$B$419,'All Statement of strategy (D)'!$F40,IF('All Statement of strategy (D)'!$C$1=RefData!$B$420,'All Statement of strategy (D)'!$G40,IF('All Statement of strategy (D)'!$C$1=RefData!$B$421,'All Statement of strategy (D)'!$H40," "))))</f>
        <v xml:space="preserve"> </v>
      </c>
    </row>
    <row r="41" spans="1:9">
      <c r="B41" s="585" t="s">
        <v>1555</v>
      </c>
      <c r="E41" s="585" t="str">
        <f>""</f>
        <v/>
      </c>
      <c r="F41" s="585" t="str">
        <f>$B41</f>
        <v>The trustees’ long-term funding strategy is illustrated by the following:</v>
      </c>
      <c r="G41" s="585" t="str">
        <f>""</f>
        <v/>
      </c>
      <c r="H41" s="585" t="str">
        <f>$B41</f>
        <v>The trustees’ long-term funding strategy is illustrated by the following:</v>
      </c>
      <c r="I41" s="585" t="str">
        <f ca="1">IF($C$1=RefData!$B$418,'All Statement of strategy (D)'!$E41,IF('All Statement of strategy (D)'!$C$1=RefData!$B$419,'All Statement of strategy (D)'!$F41,IF('All Statement of strategy (D)'!$C$1=RefData!$B$420,'All Statement of strategy (D)'!$G41,IF('All Statement of strategy (D)'!$C$1=RefData!$B$421,'All Statement of strategy (D)'!$H41," "))))</f>
        <v xml:space="preserve"> </v>
      </c>
    </row>
    <row r="42" spans="1:9">
      <c r="B42" s="585" t="s">
        <v>1556</v>
      </c>
      <c r="E42" s="585" t="str">
        <f t="shared" si="5"/>
        <v>•   The discount rates and other assumptions used to calculate the:</v>
      </c>
      <c r="F42" s="585" t="str">
        <f t="shared" si="5"/>
        <v>•   The discount rates and other assumptions used to calculate the:</v>
      </c>
      <c r="G42" s="585" t="str">
        <f t="shared" si="5"/>
        <v>•   The discount rates and other assumptions used to calculate the:</v>
      </c>
      <c r="H42" s="585" t="str">
        <f t="shared" si="5"/>
        <v>•   The discount rates and other assumptions used to calculate the:</v>
      </c>
      <c r="I42" s="585" t="str">
        <f ca="1">IF($C$1=RefData!$B$418,'All Statement of strategy (D)'!$E42,IF('All Statement of strategy (D)'!$C$1=RefData!$B$419,'All Statement of strategy (D)'!$F42,IF('All Statement of strategy (D)'!$C$1=RefData!$B$420,'All Statement of strategy (D)'!$G42,IF('All Statement of strategy (D)'!$C$1=RefData!$B$421,'All Statement of strategy (D)'!$H42," "))))</f>
        <v xml:space="preserve"> </v>
      </c>
    </row>
    <row r="43" spans="1:9">
      <c r="B43" s="585" t="s">
        <v>1557</v>
      </c>
      <c r="E43" s="585" t="str">
        <f t="shared" si="5"/>
        <v xml:space="preserve">    o   scheme’s technical provisions in the actuarial valuation</v>
      </c>
      <c r="F43" s="585" t="str">
        <f t="shared" si="5"/>
        <v xml:space="preserve">    o   scheme’s technical provisions in the actuarial valuation</v>
      </c>
      <c r="G43" s="585" t="str">
        <f t="shared" si="5"/>
        <v xml:space="preserve">    o   scheme’s technical provisions in the actuarial valuation</v>
      </c>
      <c r="H43" s="585" t="str">
        <f t="shared" si="5"/>
        <v xml:space="preserve">    o   scheme’s technical provisions in the actuarial valuation</v>
      </c>
      <c r="I43" s="585" t="str">
        <f ca="1">IF($C$1=RefData!$B$418,'All Statement of strategy (D)'!$E43,IF('All Statement of strategy (D)'!$C$1=RefData!$B$419,'All Statement of strategy (D)'!$F43,IF('All Statement of strategy (D)'!$C$1=RefData!$B$420,'All Statement of strategy (D)'!$G43,IF('All Statement of strategy (D)'!$C$1=RefData!$B$421,'All Statement of strategy (D)'!$H43," "))))</f>
        <v xml:space="preserve"> </v>
      </c>
    </row>
    <row r="44" spans="1:9">
      <c r="B44" s="585" t="s">
        <v>1558</v>
      </c>
      <c r="E44" s="585" t="str">
        <f t="shared" si="5"/>
        <v xml:space="preserve">    o   intended low dependency funding level at the relevant date, as set out in Appendix 1 </v>
      </c>
      <c r="F44" s="585" t="str">
        <f>""</f>
        <v/>
      </c>
      <c r="G44" s="585" t="str">
        <f t="shared" si="5"/>
        <v xml:space="preserve">    o   intended low dependency funding level at the relevant date, as set out in Appendix 1 </v>
      </c>
      <c r="H44" s="585" t="str">
        <f>""</f>
        <v/>
      </c>
      <c r="I44" s="585" t="str">
        <f ca="1">IF($C$1=RefData!$B$418,'All Statement of strategy (D)'!$E44,IF('All Statement of strategy (D)'!$C$1=RefData!$B$419,'All Statement of strategy (D)'!$F44,IF('All Statement of strategy (D)'!$C$1=RefData!$B$420,'All Statement of strategy (D)'!$G44,IF('All Statement of strategy (D)'!$C$1=RefData!$B$421,'All Statement of strategy (D)'!$H44," "))))</f>
        <v xml:space="preserve"> </v>
      </c>
    </row>
    <row r="45" spans="1:9">
      <c r="B45" s="585" t="s">
        <v>1559</v>
      </c>
      <c r="E45" s="585" t="str">
        <f>""</f>
        <v/>
      </c>
      <c r="F45" s="585" t="str">
        <f>$B45</f>
        <v xml:space="preserve">    o   low dependency funding level in the actuarial valuation, as set out in Appendix 1</v>
      </c>
      <c r="G45" s="585" t="str">
        <f>""</f>
        <v/>
      </c>
      <c r="H45" s="585" t="str">
        <f>$B45</f>
        <v xml:space="preserve">    o   low dependency funding level in the actuarial valuation, as set out in Appendix 1</v>
      </c>
      <c r="I45" s="585" t="str">
        <f ca="1">IF($C$1=RefData!$B$418,'All Statement of strategy (D)'!$E45,IF('All Statement of strategy (D)'!$C$1=RefData!$B$419,'All Statement of strategy (D)'!$F45,IF('All Statement of strategy (D)'!$C$1=RefData!$B$420,'All Statement of strategy (D)'!$G45,IF('All Statement of strategy (D)'!$C$1=RefData!$B$421,'All Statement of strategy (D)'!$H45," "))))</f>
        <v xml:space="preserve"> </v>
      </c>
    </row>
    <row r="46" spans="1:9">
      <c r="B46" s="585" t="s">
        <v>1560</v>
      </c>
      <c r="E46" s="585" t="str">
        <f t="shared" si="5"/>
        <v xml:space="preserve">•   The differences between the above two sets of assumptions, as set out in Appendix 1. </v>
      </c>
      <c r="F46" s="585" t="str">
        <f>$B46</f>
        <v xml:space="preserve">•   The differences between the above two sets of assumptions, as set out in Appendix 1. </v>
      </c>
      <c r="G46" s="585" t="str">
        <f t="shared" si="5"/>
        <v xml:space="preserve">•   The differences between the above two sets of assumptions, as set out in Appendix 1. </v>
      </c>
      <c r="H46" s="585" t="str">
        <f t="shared" si="5"/>
        <v xml:space="preserve">•   The differences between the above two sets of assumptions, as set out in Appendix 1. </v>
      </c>
      <c r="I46" s="585" t="str">
        <f ca="1">IF($C$1=RefData!$B$418,'All Statement of strategy (D)'!$E46,IF('All Statement of strategy (D)'!$C$1=RefData!$B$419,'All Statement of strategy (D)'!$F46,IF('All Statement of strategy (D)'!$C$1=RefData!$B$420,'All Statement of strategy (D)'!$G46,IF('All Statement of strategy (D)'!$C$1=RefData!$B$421,'All Statement of strategy (D)'!$H46," "))))</f>
        <v xml:space="preserve"> </v>
      </c>
    </row>
    <row r="47" spans="1:9">
      <c r="B47" s="585" t="s">
        <v>1561</v>
      </c>
      <c r="E47" s="585" t="str">
        <f ca="1">IF(AND('Reconciliation report'!$E$9=RefData!$B$4,'Reconciliation report'!$E$104=RefData!$B$7),'All Statement of strategy (D)'!$B47&amp;$C47,"")</f>
        <v/>
      </c>
      <c r="F47" s="585" t="str">
        <f ca="1">IF(AND('Reconciliation report'!$E$9=RefData!$B$4,'Reconciliation report'!$E$104=RefData!$B$7),'All Statement of strategy (D)'!$B47&amp;$C47,"")</f>
        <v/>
      </c>
      <c r="G47" s="585" t="str">
        <f ca="1">IF(AND('Reconciliation report'!$E$9=RefData!$B$4,'Reconciliation report'!$E$104=RefData!$B$7),'All Statement of strategy (D)'!$B47&amp;$C47,"")</f>
        <v/>
      </c>
      <c r="H47" s="585" t="str">
        <f ca="1">IF(AND('Reconciliation report'!$E$9=RefData!$B$4,'Reconciliation report'!$E$104=RefData!$B$7),'All Statement of strategy (D)'!$B47&amp;$C47,"")</f>
        <v/>
      </c>
      <c r="I47" s="585" t="str">
        <f ca="1">IF($C$1=RefData!$B$418,'All Statement of strategy (D)'!$E47,IF('All Statement of strategy (D)'!$C$1=RefData!$B$419,'All Statement of strategy (D)'!$F47,IF('All Statement of strategy (D)'!$C$1=RefData!$B$420,'All Statement of strategy (D)'!$G47,IF('All Statement of strategy (D)'!$C$1=RefData!$B$421,'All Statement of strategy (D)'!$H47," "))))</f>
        <v xml:space="preserve"> </v>
      </c>
    </row>
    <row r="48" spans="1:9">
      <c r="B48" s="585" t="s">
        <v>1561</v>
      </c>
      <c r="E48" s="585" t="str">
        <f ca="1">IF(AND('Reconciliation report'!$E$105=RefData!$B$35,$E47=""),'All Statement of strategy (D)'!$B48&amp;$C48,"")</f>
        <v/>
      </c>
      <c r="F48" s="585" t="str">
        <f ca="1">IF(AND('Reconciliation report'!$E$105=RefData!$B$35,$E47=""),'All Statement of strategy (D)'!$B48&amp;$C48,"")</f>
        <v/>
      </c>
      <c r="G48" s="585" t="str">
        <f ca="1">IF(AND('Reconciliation report'!$E$105=RefData!$B$35,$E47=""),'All Statement of strategy (D)'!$B48&amp;$C48,"")</f>
        <v/>
      </c>
      <c r="H48" s="585" t="str">
        <f ca="1">IF(AND('Reconciliation report'!$E$105=RefData!$B$35,$E47=""),'All Statement of strategy (D)'!$B48&amp;$C48,"")</f>
        <v/>
      </c>
      <c r="I48" s="585" t="str">
        <f ca="1">IF($C$1=RefData!$B$418,'All Statement of strategy (D)'!$E48,IF('All Statement of strategy (D)'!$C$1=RefData!$B$419,'All Statement of strategy (D)'!$F48,IF('All Statement of strategy (D)'!$C$1=RefData!$B$420,'All Statement of strategy (D)'!$G48,IF('All Statement of strategy (D)'!$C$1=RefData!$B$421,'All Statement of strategy (D)'!$H48," "))))</f>
        <v xml:space="preserve"> </v>
      </c>
    </row>
    <row r="49" spans="1:9">
      <c r="A49" s="584" t="s">
        <v>1562</v>
      </c>
      <c r="B49" s="585" t="str">
        <f ca="1">LEFT('Reconciliation report'!$E$107,1000)</f>
        <v/>
      </c>
      <c r="E49" s="585" t="str">
        <f ca="1">IF(OR(AND('Reconciliation report'!$E$9=RefData!$B$4,'Reconciliation report'!$E$104=RefData!$B$7),AND('Reconciliation report'!$E$105=RefData!$B$35,$E47="")),$B49,"")</f>
        <v/>
      </c>
      <c r="F49" s="585" t="str">
        <f ca="1">IF(OR(AND('Reconciliation report'!$E$9=RefData!$B$4,'Reconciliation report'!$E$104=RefData!$B$7),AND('Reconciliation report'!$E$105=RefData!$B$35,$E47="")),$B49,"")</f>
        <v/>
      </c>
      <c r="G49" s="585" t="str">
        <f ca="1">IF(OR(AND('Reconciliation report'!$E$9=RefData!$B$4,'Reconciliation report'!$E$104=RefData!$B$7),AND('Reconciliation report'!$E$105=RefData!$B$35,$E47="")),$B49,"")</f>
        <v/>
      </c>
      <c r="H49" s="585" t="str">
        <f ca="1">IF(OR(AND('Reconciliation report'!$E$9=RefData!$B$4,'Reconciliation report'!$E$104=RefData!$B$7),AND('Reconciliation report'!$E$105=RefData!$B$35,$E47="")),$B49,"")</f>
        <v/>
      </c>
      <c r="I49" s="585" t="str">
        <f ca="1">IF($C$1=RefData!$B$418,'All Statement of strategy (D)'!$E49,IF('All Statement of strategy (D)'!$C$1=RefData!$B$419,'All Statement of strategy (D)'!$F49,IF('All Statement of strategy (D)'!$C$1=RefData!$B$420,'All Statement of strategy (D)'!$G49,IF('All Statement of strategy (D)'!$C$1=RefData!$B$421,'All Statement of strategy (D)'!$H49," "))))</f>
        <v xml:space="preserve"> </v>
      </c>
    </row>
    <row r="50" spans="1:9">
      <c r="A50" s="584" t="s">
        <v>1562</v>
      </c>
      <c r="B50" s="585" t="str">
        <f ca="1">MID('Reconciliation report'!$E$107,1001,1000)</f>
        <v/>
      </c>
      <c r="E50" s="585" t="str">
        <f ca="1">IF(OR(AND('Reconciliation report'!$E$9=RefData!$B$4,'Reconciliation report'!$E$104=RefData!$B$7),AND('Reconciliation report'!$E$105=RefData!$B$35,$E48="")),$B50,"")</f>
        <v/>
      </c>
      <c r="F50" s="585" t="str">
        <f ca="1">IF(OR(AND('Reconciliation report'!$E$9=RefData!$B$4,'Reconciliation report'!$E$104=RefData!$B$7),AND('Reconciliation report'!$E$105=RefData!$B$35,$E48="")),$B50,"")</f>
        <v/>
      </c>
      <c r="G50" s="585" t="str">
        <f ca="1">IF(OR(AND('Reconciliation report'!$E$9=RefData!$B$4,'Reconciliation report'!$E$104=RefData!$B$7),AND('Reconciliation report'!$E$105=RefData!$B$35,$E48="")),$B50,"")</f>
        <v/>
      </c>
      <c r="H50" s="585" t="str">
        <f ca="1">IF(OR(AND('Reconciliation report'!$E$9=RefData!$B$4,'Reconciliation report'!$E$104=RefData!$B$7),AND('Reconciliation report'!$E$105=RefData!$B$35,$E48="")),$B50,"")</f>
        <v/>
      </c>
      <c r="I50" s="585" t="str">
        <f ca="1">IF($C$1=RefData!$B$418,'All Statement of strategy (D)'!$E50,IF('All Statement of strategy (D)'!$C$1=RefData!$B$419,'All Statement of strategy (D)'!$F50,IF('All Statement of strategy (D)'!$C$1=RefData!$B$420,'All Statement of strategy (D)'!$G50,IF('All Statement of strategy (D)'!$C$1=RefData!$B$421,'All Statement of strategy (D)'!$H50," "))))</f>
        <v xml:space="preserve"> </v>
      </c>
    </row>
    <row r="51" spans="1:9">
      <c r="A51" s="584" t="s">
        <v>1562</v>
      </c>
      <c r="B51" s="585" t="str">
        <f ca="1">MID('Reconciliation report'!$E$107,2001,1000)</f>
        <v/>
      </c>
      <c r="E51" s="585" t="str">
        <f ca="1">IF(OR(AND('Reconciliation report'!$E$9=RefData!$B$4,'Reconciliation report'!$E$104=RefData!$B$7),AND('Reconciliation report'!$E$105=RefData!$B$35,$E49="")),$B51,"")</f>
        <v/>
      </c>
      <c r="F51" s="585" t="str">
        <f ca="1">IF(OR(AND('Reconciliation report'!$E$9=RefData!$B$4,'Reconciliation report'!$E$104=RefData!$B$7),AND('Reconciliation report'!$E$105=RefData!$B$35,$E49="")),$B51,"")</f>
        <v/>
      </c>
      <c r="G51" s="585" t="str">
        <f ca="1">IF(OR(AND('Reconciliation report'!$E$9=RefData!$B$4,'Reconciliation report'!$E$104=RefData!$B$7),AND('Reconciliation report'!$E$105=RefData!$B$35,$E49="")),$B51,"")</f>
        <v/>
      </c>
      <c r="H51" s="585" t="str">
        <f ca="1">IF(OR(AND('Reconciliation report'!$E$9=RefData!$B$4,'Reconciliation report'!$E$104=RefData!$B$7),AND('Reconciliation report'!$E$105=RefData!$B$35,$E49="")),$B51,"")</f>
        <v/>
      </c>
      <c r="I51" s="585" t="str">
        <f ca="1">IF($C$1=RefData!$B$418,'All Statement of strategy (D)'!$E51,IF('All Statement of strategy (D)'!$C$1=RefData!$B$419,'All Statement of strategy (D)'!$F51,IF('All Statement of strategy (D)'!$C$1=RefData!$B$420,'All Statement of strategy (D)'!$G51,IF('All Statement of strategy (D)'!$C$1=RefData!$B$421,'All Statement of strategy (D)'!$H51," "))))</f>
        <v xml:space="preserve"> </v>
      </c>
    </row>
    <row r="52" spans="1:9">
      <c r="A52" s="584" t="s">
        <v>1562</v>
      </c>
      <c r="B52" s="585" t="str">
        <f ca="1">MID('Reconciliation report'!$E$107,3001,1000)</f>
        <v/>
      </c>
      <c r="E52" s="585" t="str">
        <f ca="1">IF(OR(AND('Reconciliation report'!$E$9=RefData!$B$4,'Reconciliation report'!$E$104=RefData!$B$7),AND('Reconciliation report'!$E$105=RefData!$B$35,$E50="")),$B52,"")</f>
        <v/>
      </c>
      <c r="F52" s="585" t="str">
        <f ca="1">IF(OR(AND('Reconciliation report'!$E$9=RefData!$B$4,'Reconciliation report'!$E$104=RefData!$B$7),AND('Reconciliation report'!$E$105=RefData!$B$35,$E50="")),$B52,"")</f>
        <v/>
      </c>
      <c r="G52" s="585" t="str">
        <f ca="1">IF(OR(AND('Reconciliation report'!$E$9=RefData!$B$4,'Reconciliation report'!$E$104=RefData!$B$7),AND('Reconciliation report'!$E$105=RefData!$B$35,$E50="")),$B52,"")</f>
        <v/>
      </c>
      <c r="H52" s="585" t="str">
        <f ca="1">IF(OR(AND('Reconciliation report'!$E$9=RefData!$B$4,'Reconciliation report'!$E$104=RefData!$B$7),AND('Reconciliation report'!$E$105=RefData!$B$35,$E50="")),$B52,"")</f>
        <v/>
      </c>
      <c r="I52" s="585" t="str">
        <f ca="1">IF($C$1=RefData!$B$418,'All Statement of strategy (D)'!$E52,IF('All Statement of strategy (D)'!$C$1=RefData!$B$419,'All Statement of strategy (D)'!$F52,IF('All Statement of strategy (D)'!$C$1=RefData!$B$420,'All Statement of strategy (D)'!$G52,IF('All Statement of strategy (D)'!$C$1=RefData!$B$421,'All Statement of strategy (D)'!$H52," "))))</f>
        <v xml:space="preserve"> </v>
      </c>
    </row>
    <row r="53" spans="1:9">
      <c r="B53" s="585" t="s">
        <v>1563</v>
      </c>
      <c r="E53" s="585" t="str">
        <f ca="1">IF(AND('Reconciliation report'!$E$104&lt;&gt;RefData!$B$7,'Reconciliation report'!$E$105&lt;&gt;RefData!$B$35),'All Statement of strategy (D)'!$B53,"")</f>
        <v>•   How the trustees expect the discount rate or rates to change over time, as set out in Appendix 1.</v>
      </c>
      <c r="F53" s="585" t="str">
        <f ca="1">IF(AND('Reconciliation report'!$E$104&lt;&gt;RefData!$B$7,'Reconciliation report'!$E$105&lt;&gt;RefData!$B$35),'All Statement of strategy (D)'!$B53,"")</f>
        <v>•   How the trustees expect the discount rate or rates to change over time, as set out in Appendix 1.</v>
      </c>
      <c r="G53" s="585" t="str">
        <f ca="1">IF(AND('Reconciliation report'!$E$104&lt;&gt;RefData!$B$7,'Reconciliation report'!$E$105&lt;&gt;RefData!$B$35),'All Statement of strategy (D)'!$B53,"")</f>
        <v>•   How the trustees expect the discount rate or rates to change over time, as set out in Appendix 1.</v>
      </c>
      <c r="H53" s="585" t="str">
        <f ca="1">IF(AND('Reconciliation report'!$E$104&lt;&gt;RefData!$B$7,'Reconciliation report'!$E$105&lt;&gt;RefData!$B$35),'All Statement of strategy (D)'!$B53,"")</f>
        <v>•   How the trustees expect the discount rate or rates to change over time, as set out in Appendix 1.</v>
      </c>
      <c r="I53" s="585" t="str">
        <f ca="1">IF($C$1=RefData!$B$418,'All Statement of strategy (D)'!$E53,IF('All Statement of strategy (D)'!$C$1=RefData!$B$419,'All Statement of strategy (D)'!$F53,IF('All Statement of strategy (D)'!$C$1=RefData!$B$420,'All Statement of strategy (D)'!$G53,IF('All Statement of strategy (D)'!$C$1=RefData!$B$421,'All Statement of strategy (D)'!$H53," "))))</f>
        <v xml:space="preserve"> </v>
      </c>
    </row>
    <row r="54" spans="1:9">
      <c r="B54" s="585" t="str">
        <f ca="1">IF('Reconciliation report'!$E$27&lt;&gt;"", "The trustees would also like to add the following:", "")</f>
        <v/>
      </c>
      <c r="E54" s="585" t="str">
        <f ca="1">IF('Reconciliation report'!$E$27&lt;&gt;"",'All Statement of strategy (D)'!$B54,"")</f>
        <v/>
      </c>
      <c r="F54" s="585" t="str">
        <f ca="1">IF('Reconciliation report'!$E$27&lt;&gt;"",'All Statement of strategy (D)'!$B54,"")</f>
        <v/>
      </c>
      <c r="G54" s="585" t="str">
        <f ca="1">IF('Reconciliation report'!$E$27&lt;&gt;"",'All Statement of strategy (D)'!$B54,"")</f>
        <v/>
      </c>
      <c r="H54" s="585" t="str">
        <f ca="1">IF('Reconciliation report'!$E$27&lt;&gt;"",'All Statement of strategy (D)'!$B54,"")</f>
        <v/>
      </c>
      <c r="I54" s="585" t="str">
        <f ca="1">IF($C$1=RefData!$B$418,'All Statement of strategy (D)'!$E54,IF('All Statement of strategy (D)'!$C$1=RefData!$B$419,'All Statement of strategy (D)'!$F54,IF('All Statement of strategy (D)'!$C$1=RefData!$B$420,'All Statement of strategy (D)'!$G54,IF('All Statement of strategy (D)'!$C$1=RefData!$B$421,'All Statement of strategy (D)'!$H54," "))))</f>
        <v xml:space="preserve"> </v>
      </c>
    </row>
    <row r="55" spans="1:9" ht="20">
      <c r="A55" s="600" t="s">
        <v>1564</v>
      </c>
      <c r="B55" s="585" t="str">
        <f ca="1">IF('Reconciliation report'!$E$27&lt;&gt;"",LEFT('Reconciliation report'!$E$27,1000),"")</f>
        <v/>
      </c>
      <c r="E55" s="585" t="str">
        <f ca="1">IF('Reconciliation report'!$E$27&lt;&gt;"",'All Statement of strategy (D)'!$B55,"")</f>
        <v/>
      </c>
      <c r="F55" s="585" t="str">
        <f ca="1">IF('Reconciliation report'!$E$27&lt;&gt;"",'All Statement of strategy (D)'!$B55,"")</f>
        <v/>
      </c>
      <c r="G55" s="585" t="str">
        <f ca="1">IF('Reconciliation report'!$E$27&lt;&gt;"",'All Statement of strategy (D)'!$B55,"")</f>
        <v/>
      </c>
      <c r="H55" s="585" t="str">
        <f ca="1">IF('Reconciliation report'!$E$27&lt;&gt;"",'All Statement of strategy (D)'!$B55,"")</f>
        <v/>
      </c>
      <c r="I55" s="585" t="str">
        <f ca="1">IF($C$1=RefData!$B$418,'All Statement of strategy (D)'!$E55,IF('All Statement of strategy (D)'!$C$1=RefData!$B$419,'All Statement of strategy (D)'!$F55,IF('All Statement of strategy (D)'!$C$1=RefData!$B$420,'All Statement of strategy (D)'!$G55,IF('All Statement of strategy (D)'!$C$1=RefData!$B$421,'All Statement of strategy (D)'!$H55," "))))</f>
        <v xml:space="preserve"> </v>
      </c>
    </row>
    <row r="56" spans="1:9" ht="30">
      <c r="A56" s="600" t="s">
        <v>1565</v>
      </c>
      <c r="B56" s="585" t="str">
        <f ca="1">IF('Reconciliation report'!$E$27&lt;&gt;"",MID('Reconciliation report'!$E$27,1001,1000),"")</f>
        <v/>
      </c>
      <c r="E56" s="585" t="str">
        <f ca="1">IF('Reconciliation report'!$E$27&lt;&gt;"",'All Statement of strategy (D)'!$B56,"")</f>
        <v/>
      </c>
      <c r="F56" s="585" t="str">
        <f ca="1">IF('Reconciliation report'!$E$27&lt;&gt;"",'All Statement of strategy (D)'!$B56,"")</f>
        <v/>
      </c>
      <c r="G56" s="585" t="str">
        <f ca="1">IF('Reconciliation report'!$E$27&lt;&gt;"",'All Statement of strategy (D)'!$B56,"")</f>
        <v/>
      </c>
      <c r="H56" s="585" t="str">
        <f ca="1">IF('Reconciliation report'!$E$27&lt;&gt;"",'All Statement of strategy (D)'!$B56,"")</f>
        <v/>
      </c>
      <c r="I56" s="585" t="str">
        <f ca="1">IF($C$1=RefData!$B$418,'All Statement of strategy (D)'!$E56,IF('All Statement of strategy (D)'!$C$1=RefData!$B$419,'All Statement of strategy (D)'!$F56,IF('All Statement of strategy (D)'!$C$1=RefData!$B$420,'All Statement of strategy (D)'!$G56,IF('All Statement of strategy (D)'!$C$1=RefData!$B$421,'All Statement of strategy (D)'!$H56," "))))</f>
        <v xml:space="preserve"> </v>
      </c>
    </row>
    <row r="57" spans="1:9" ht="30">
      <c r="A57" s="600" t="s">
        <v>1566</v>
      </c>
      <c r="B57" s="585" t="str">
        <f ca="1">IF('Reconciliation report'!$E$27&lt;&gt;"",MID('Reconciliation report'!$E$27,2001,1000),"")</f>
        <v/>
      </c>
      <c r="E57" s="585" t="str">
        <f ca="1">IF('Reconciliation report'!$E$27&lt;&gt;"",'All Statement of strategy (D)'!$B57,"")</f>
        <v/>
      </c>
      <c r="F57" s="585" t="str">
        <f ca="1">IF('Reconciliation report'!$E$27&lt;&gt;"",'All Statement of strategy (D)'!$B57,"")</f>
        <v/>
      </c>
      <c r="G57" s="585" t="str">
        <f ca="1">IF('Reconciliation report'!$E$27&lt;&gt;"",'All Statement of strategy (D)'!$B57,"")</f>
        <v/>
      </c>
      <c r="H57" s="585" t="str">
        <f ca="1">IF('Reconciliation report'!$E$27&lt;&gt;"",'All Statement of strategy (D)'!$B57,"")</f>
        <v/>
      </c>
      <c r="I57" s="585" t="str">
        <f ca="1">IF($C$1=RefData!$B$418,'All Statement of strategy (D)'!$E57,IF('All Statement of strategy (D)'!$C$1=RefData!$B$419,'All Statement of strategy (D)'!$F57,IF('All Statement of strategy (D)'!$C$1=RefData!$B$420,'All Statement of strategy (D)'!$G57,IF('All Statement of strategy (D)'!$C$1=RefData!$B$421,'All Statement of strategy (D)'!$H57," "))))</f>
        <v xml:space="preserve"> </v>
      </c>
    </row>
    <row r="58" spans="1:9" ht="30">
      <c r="A58" s="600" t="s">
        <v>1567</v>
      </c>
      <c r="B58" s="585" t="str">
        <f ca="1">IF('Reconciliation report'!$E$27&lt;&gt;"",MID('Reconciliation report'!$E$27,3001,1000),"")</f>
        <v/>
      </c>
      <c r="E58" s="585" t="str">
        <f ca="1">IF('Reconciliation report'!$E$27&lt;&gt;"",'All Statement of strategy (D)'!$B58,"")</f>
        <v/>
      </c>
      <c r="F58" s="585" t="str">
        <f ca="1">IF('Reconciliation report'!$E$27&lt;&gt;"",'All Statement of strategy (D)'!$B58,"")</f>
        <v/>
      </c>
      <c r="G58" s="585" t="str">
        <f ca="1">IF('Reconciliation report'!$E$27&lt;&gt;"",'All Statement of strategy (D)'!$B58,"")</f>
        <v/>
      </c>
      <c r="H58" s="585" t="str">
        <f ca="1">IF('Reconciliation report'!$E$27&lt;&gt;"",'All Statement of strategy (D)'!$B58,"")</f>
        <v/>
      </c>
      <c r="I58" s="585" t="str">
        <f ca="1">IF($C$1=RefData!$B$418,'All Statement of strategy (D)'!$E58,IF('All Statement of strategy (D)'!$C$1=RefData!$B$419,'All Statement of strategy (D)'!$F58,IF('All Statement of strategy (D)'!$C$1=RefData!$B$420,'All Statement of strategy (D)'!$G58,IF('All Statement of strategy (D)'!$C$1=RefData!$B$421,'All Statement of strategy (D)'!$H58," "))))</f>
        <v xml:space="preserve"> </v>
      </c>
    </row>
    <row r="59" spans="1:9">
      <c r="B59" s="585" t="s">
        <v>1568</v>
      </c>
      <c r="E59" s="585" t="str">
        <f t="shared" ref="E59:H65" si="6">$B59</f>
        <v>Long-term objective</v>
      </c>
      <c r="F59" s="585" t="str">
        <f t="shared" si="6"/>
        <v>Long-term objective</v>
      </c>
      <c r="G59" s="585" t="str">
        <f t="shared" si="6"/>
        <v>Long-term objective</v>
      </c>
      <c r="H59" s="585" t="str">
        <f t="shared" si="6"/>
        <v>Long-term objective</v>
      </c>
      <c r="I59" s="585" t="str">
        <f ca="1">IF($C$1=RefData!$B$418,'All Statement of strategy (D)'!$E59,IF('All Statement of strategy (D)'!$C$1=RefData!$B$419,'All Statement of strategy (D)'!$F59,IF('All Statement of strategy (D)'!$C$1=RefData!$B$420,'All Statement of strategy (D)'!$G59,IF('All Statement of strategy (D)'!$C$1=RefData!$B$421,'All Statement of strategy (D)'!$H59," "))))</f>
        <v xml:space="preserve"> </v>
      </c>
    </row>
    <row r="60" spans="1:9">
      <c r="B60" s="585" t="s">
        <v>1569</v>
      </c>
      <c r="E60" s="585" t="str">
        <f t="shared" si="6"/>
        <v>The trustees’ current strategy is for benefits to be provided over the long term in the following way:</v>
      </c>
      <c r="F60" s="585" t="str">
        <f t="shared" si="6"/>
        <v>The trustees’ current strategy is for benefits to be provided over the long term in the following way:</v>
      </c>
      <c r="G60" s="585" t="str">
        <f t="shared" si="6"/>
        <v>The trustees’ current strategy is for benefits to be provided over the long term in the following way:</v>
      </c>
      <c r="H60" s="585" t="str">
        <f t="shared" si="6"/>
        <v>The trustees’ current strategy is for benefits to be provided over the long term in the following way:</v>
      </c>
      <c r="I60" s="585" t="str">
        <f ca="1">IF($C$1=RefData!$B$418,'All Statement of strategy (D)'!$E60,IF('All Statement of strategy (D)'!$C$1=RefData!$B$419,'All Statement of strategy (D)'!$F60,IF('All Statement of strategy (D)'!$C$1=RefData!$B$420,'All Statement of strategy (D)'!$G60,IF('All Statement of strategy (D)'!$C$1=RefData!$B$421,'All Statement of strategy (D)'!$H60," "))))</f>
        <v xml:space="preserve"> </v>
      </c>
    </row>
    <row r="61" spans="1:9">
      <c r="A61" s="584" t="s">
        <v>1570</v>
      </c>
      <c r="B61" s="585" t="str">
        <f ca="1">LEFT('Reconciliation report'!$E$28,1000)</f>
        <v/>
      </c>
      <c r="E61" s="585" t="str">
        <f t="shared" ca="1" si="6"/>
        <v/>
      </c>
      <c r="F61" s="585" t="str">
        <f t="shared" ca="1" si="6"/>
        <v/>
      </c>
      <c r="G61" s="585" t="str">
        <f t="shared" ca="1" si="6"/>
        <v/>
      </c>
      <c r="H61" s="585" t="str">
        <f t="shared" ca="1" si="6"/>
        <v/>
      </c>
      <c r="I61" s="585" t="str">
        <f ca="1">IF($C$1=RefData!$B$418,'All Statement of strategy (D)'!$E61,IF('All Statement of strategy (D)'!$C$1=RefData!$B$419,'All Statement of strategy (D)'!$F61,IF('All Statement of strategy (D)'!$C$1=RefData!$B$420,'All Statement of strategy (D)'!$G61,IF('All Statement of strategy (D)'!$C$1=RefData!$B$421,'All Statement of strategy (D)'!$H61," "))))</f>
        <v xml:space="preserve"> </v>
      </c>
    </row>
    <row r="62" spans="1:9">
      <c r="A62" s="584" t="s">
        <v>1570</v>
      </c>
      <c r="B62" s="585" t="str">
        <f ca="1">MID('Reconciliation report'!$E$28,1001,1000)</f>
        <v/>
      </c>
      <c r="E62" s="585" t="str">
        <f t="shared" ca="1" si="6"/>
        <v/>
      </c>
      <c r="F62" s="585" t="str">
        <f t="shared" ca="1" si="6"/>
        <v/>
      </c>
      <c r="G62" s="585" t="str">
        <f t="shared" ca="1" si="6"/>
        <v/>
      </c>
      <c r="H62" s="585" t="str">
        <f t="shared" ca="1" si="6"/>
        <v/>
      </c>
      <c r="I62" s="585" t="str">
        <f ca="1">IF($C$1=RefData!$B$418,'All Statement of strategy (D)'!$E62,IF('All Statement of strategy (D)'!$C$1=RefData!$B$419,'All Statement of strategy (D)'!$F62,IF('All Statement of strategy (D)'!$C$1=RefData!$B$420,'All Statement of strategy (D)'!$G62,IF('All Statement of strategy (D)'!$C$1=RefData!$B$421,'All Statement of strategy (D)'!$H62," "))))</f>
        <v xml:space="preserve"> </v>
      </c>
    </row>
    <row r="63" spans="1:9">
      <c r="A63" s="584" t="s">
        <v>1570</v>
      </c>
      <c r="B63" s="585" t="str">
        <f ca="1">MID('Reconciliation report'!$E$28,2001,1000)</f>
        <v/>
      </c>
      <c r="E63" s="585" t="str">
        <f t="shared" ca="1" si="6"/>
        <v/>
      </c>
      <c r="F63" s="585" t="str">
        <f t="shared" ca="1" si="6"/>
        <v/>
      </c>
      <c r="G63" s="585" t="str">
        <f t="shared" ca="1" si="6"/>
        <v/>
      </c>
      <c r="H63" s="585" t="str">
        <f t="shared" ca="1" si="6"/>
        <v/>
      </c>
      <c r="I63" s="585" t="str">
        <f ca="1">IF($C$1=RefData!$B$418,'All Statement of strategy (D)'!$E63,IF('All Statement of strategy (D)'!$C$1=RefData!$B$419,'All Statement of strategy (D)'!$F63,IF('All Statement of strategy (D)'!$C$1=RefData!$B$420,'All Statement of strategy (D)'!$G63,IF('All Statement of strategy (D)'!$C$1=RefData!$B$421,'All Statement of strategy (D)'!$H63," "))))</f>
        <v xml:space="preserve"> </v>
      </c>
    </row>
    <row r="64" spans="1:9">
      <c r="A64" s="584" t="s">
        <v>1570</v>
      </c>
      <c r="B64" s="585" t="str">
        <f ca="1">MID('Reconciliation report'!$E$28,3001,1000)</f>
        <v/>
      </c>
      <c r="E64" s="585" t="str">
        <f t="shared" ca="1" si="6"/>
        <v/>
      </c>
      <c r="F64" s="585" t="str">
        <f t="shared" ca="1" si="6"/>
        <v/>
      </c>
      <c r="G64" s="585" t="str">
        <f t="shared" ca="1" si="6"/>
        <v/>
      </c>
      <c r="H64" s="585" t="str">
        <f t="shared" ca="1" si="6"/>
        <v/>
      </c>
      <c r="I64" s="585" t="str">
        <f ca="1">IF($C$1=RefData!$B$418,'All Statement of strategy (D)'!$E64,IF('All Statement of strategy (D)'!$C$1=RefData!$B$419,'All Statement of strategy (D)'!$F64,IF('All Statement of strategy (D)'!$C$1=RefData!$B$420,'All Statement of strategy (D)'!$G64,IF('All Statement of strategy (D)'!$C$1=RefData!$B$421,'All Statement of strategy (D)'!$H64," "))))</f>
        <v xml:space="preserve"> </v>
      </c>
    </row>
    <row r="65" spans="1:9">
      <c r="B65" s="585" t="s">
        <v>1571</v>
      </c>
      <c r="E65" s="585" t="str">
        <f t="shared" si="6"/>
        <v>Confirmation of agreement</v>
      </c>
      <c r="F65" s="585" t="str">
        <f t="shared" si="6"/>
        <v>Confirmation of agreement</v>
      </c>
      <c r="G65" s="585" t="str">
        <f t="shared" si="6"/>
        <v>Confirmation of agreement</v>
      </c>
      <c r="H65" s="585" t="str">
        <f t="shared" si="6"/>
        <v>Confirmation of agreement</v>
      </c>
      <c r="I65" s="585" t="str">
        <f ca="1">IF($C$1=RefData!$B$418,'All Statement of strategy (D)'!$E65,IF('All Statement of strategy (D)'!$C$1=RefData!$B$419,'All Statement of strategy (D)'!$F65,IF('All Statement of strategy (D)'!$C$1=RefData!$B$420,'All Statement of strategy (D)'!$G65,IF('All Statement of strategy (D)'!$C$1=RefData!$B$421,'All Statement of strategy (D)'!$H65," "))))</f>
        <v xml:space="preserve"> </v>
      </c>
    </row>
    <row r="66" spans="1:9">
      <c r="B66" s="585" t="s">
        <v>1572</v>
      </c>
      <c r="E66" s="585" t="str">
        <f ca="1">IF('Reconciliation report'!$E$29=RefData!$B$34,$B66,"")</f>
        <v/>
      </c>
      <c r="F66" s="585" t="str">
        <f ca="1">IF('Reconciliation report'!$E$29=RefData!$B$34,$B66,"")</f>
        <v/>
      </c>
      <c r="G66" s="585" t="str">
        <f ca="1">IF('Reconciliation report'!$E$29=RefData!$B$34,$B66,"")</f>
        <v/>
      </c>
      <c r="H66" s="585" t="str">
        <f ca="1">IF('Reconciliation report'!$E$29=RefData!$B$34,$B66,"")</f>
        <v/>
      </c>
      <c r="I66" s="585" t="str">
        <f ca="1">IF($C$1=RefData!$B$418,'All Statement of strategy (D)'!$E66,IF('All Statement of strategy (D)'!$C$1=RefData!$B$419,'All Statement of strategy (D)'!$F66,IF('All Statement of strategy (D)'!$C$1=RefData!$B$420,'All Statement of strategy (D)'!$G66,IF('All Statement of strategy (D)'!$C$1=RefData!$B$421,'All Statement of strategy (D)'!$H66," "))))</f>
        <v xml:space="preserve"> </v>
      </c>
    </row>
    <row r="67" spans="1:9" s="602" customFormat="1" ht="16" thickBot="1">
      <c r="A67" s="601"/>
      <c r="B67" s="598" t="s">
        <v>1573</v>
      </c>
      <c r="C67" s="598"/>
      <c r="D67" s="598"/>
      <c r="E67" s="598" t="str">
        <f ca="1">IF('Reconciliation report'!$E$29=RefData!$B$33,$B67,"")</f>
        <v/>
      </c>
      <c r="F67" s="598" t="str">
        <f ca="1">IF('Reconciliation report'!$E$29=RefData!$B$33,$B67,"")</f>
        <v/>
      </c>
      <c r="G67" s="598" t="str">
        <f ca="1">IF('Reconciliation report'!$E$29=RefData!$B$33,$B67,"")</f>
        <v/>
      </c>
      <c r="H67" s="598" t="str">
        <f ca="1">IF('Reconciliation report'!$E$29=RefData!$B$33,$B67,"")</f>
        <v/>
      </c>
      <c r="I67" s="598" t="str">
        <f ca="1">IF($C$1=RefData!$B$418,'All Statement of strategy (D)'!$E67,IF('All Statement of strategy (D)'!$C$1=RefData!$B$419,'All Statement of strategy (D)'!$F67,IF('All Statement of strategy (D)'!$C$1=RefData!$B$420,'All Statement of strategy (D)'!$G67,IF('All Statement of strategy (D)'!$C$1=RefData!$B$421,'All Statement of strategy (D)'!$H67," "))))</f>
        <v xml:space="preserve"> </v>
      </c>
    </row>
    <row r="68" spans="1:9">
      <c r="B68" s="585" t="s">
        <v>1574</v>
      </c>
      <c r="E68" s="585" t="str">
        <f t="shared" ref="E68:H76" si="7">$B68</f>
        <v>Part 2: supplementary matters</v>
      </c>
      <c r="F68" s="585" t="str">
        <f t="shared" si="7"/>
        <v>Part 2: supplementary matters</v>
      </c>
      <c r="G68" s="585" t="str">
        <f t="shared" si="7"/>
        <v>Part 2: supplementary matters</v>
      </c>
      <c r="H68" s="585" t="str">
        <f t="shared" si="7"/>
        <v>Part 2: supplementary matters</v>
      </c>
      <c r="I68" s="585" t="str">
        <f ca="1">IF($C$1=RefData!$B$418,'All Statement of strategy (D)'!$E68,IF('All Statement of strategy (D)'!$C$1=RefData!$B$419,'All Statement of strategy (D)'!$F68,IF('All Statement of strategy (D)'!$C$1=RefData!$B$420,'All Statement of strategy (D)'!$G68,IF('All Statement of strategy (D)'!$C$1=RefData!$B$421,'All Statement of strategy (D)'!$H68," "))))</f>
        <v xml:space="preserve"> </v>
      </c>
    </row>
    <row r="69" spans="1:9">
      <c r="B69" s="585" t="s">
        <v>1575</v>
      </c>
      <c r="E69" s="585" t="str">
        <f t="shared" si="7"/>
        <v>Trustee assessment</v>
      </c>
      <c r="F69" s="585" t="str">
        <f t="shared" si="7"/>
        <v>Trustee assessment</v>
      </c>
      <c r="G69" s="585" t="str">
        <f t="shared" si="7"/>
        <v>Trustee assessment</v>
      </c>
      <c r="H69" s="585" t="str">
        <f t="shared" si="7"/>
        <v>Trustee assessment</v>
      </c>
      <c r="I69" s="585" t="str">
        <f ca="1">IF($C$1=RefData!$B$418,'All Statement of strategy (D)'!$E69,IF('All Statement of strategy (D)'!$C$1=RefData!$B$419,'All Statement of strategy (D)'!$F69,IF('All Statement of strategy (D)'!$C$1=RefData!$B$420,'All Statement of strategy (D)'!$G69,IF('All Statement of strategy (D)'!$C$1=RefData!$B$421,'All Statement of strategy (D)'!$H69," "))))</f>
        <v xml:space="preserve"> </v>
      </c>
    </row>
    <row r="70" spans="1:9">
      <c r="B70" s="585" t="s">
        <v>1576</v>
      </c>
      <c r="E70" s="585" t="str">
        <f t="shared" si="7"/>
        <v xml:space="preserve">How appropriate the funding and investment strategy is </v>
      </c>
      <c r="F70" s="585" t="str">
        <f t="shared" si="7"/>
        <v xml:space="preserve">How appropriate the funding and investment strategy is </v>
      </c>
      <c r="G70" s="585" t="str">
        <f>""</f>
        <v/>
      </c>
      <c r="H70" s="585" t="str">
        <f>""</f>
        <v/>
      </c>
      <c r="I70" s="585" t="str">
        <f ca="1">IF($C$1=RefData!$B$418,'All Statement of strategy (D)'!$E70,IF('All Statement of strategy (D)'!$C$1=RefData!$B$419,'All Statement of strategy (D)'!$F70,IF('All Statement of strategy (D)'!$C$1=RefData!$B$420,'All Statement of strategy (D)'!$G70,IF('All Statement of strategy (D)'!$C$1=RefData!$B$421,'All Statement of strategy (D)'!$H70," "))))</f>
        <v xml:space="preserve"> </v>
      </c>
    </row>
    <row r="71" spans="1:9">
      <c r="B71" s="585" t="s">
        <v>1577</v>
      </c>
      <c r="E71" s="585" t="str">
        <f t="shared" si="7"/>
        <v xml:space="preserve">The trustees have considered whether, and to what extent, the funding and investment strategy is, or remains, appropriate. They have concluded the following:  </v>
      </c>
      <c r="F71" s="585" t="str">
        <f t="shared" si="7"/>
        <v xml:space="preserve">The trustees have considered whether, and to what extent, the funding and investment strategy is, or remains, appropriate. They have concluded the following:  </v>
      </c>
      <c r="G71" s="585" t="str">
        <f>""</f>
        <v/>
      </c>
      <c r="H71" s="585" t="str">
        <f>""</f>
        <v/>
      </c>
      <c r="I71" s="585" t="str">
        <f ca="1">IF($C$1=RefData!$B$418,'All Statement of strategy (D)'!$E71,IF('All Statement of strategy (D)'!$C$1=RefData!$B$419,'All Statement of strategy (D)'!$F71,IF('All Statement of strategy (D)'!$C$1=RefData!$B$420,'All Statement of strategy (D)'!$G71,IF('All Statement of strategy (D)'!$C$1=RefData!$B$421,'All Statement of strategy (D)'!$H71," "))))</f>
        <v xml:space="preserve"> </v>
      </c>
    </row>
    <row r="72" spans="1:9">
      <c r="A72" s="584" t="s">
        <v>1578</v>
      </c>
      <c r="B72" s="585" t="str">
        <f ca="1">LEFT('Reconciliation report'!$E$30,1000)</f>
        <v/>
      </c>
      <c r="E72" s="585" t="str">
        <f t="shared" ca="1" si="7"/>
        <v/>
      </c>
      <c r="F72" s="585" t="str">
        <f t="shared" ca="1" si="7"/>
        <v/>
      </c>
      <c r="G72" s="585" t="str">
        <f>""</f>
        <v/>
      </c>
      <c r="H72" s="585" t="str">
        <f>""</f>
        <v/>
      </c>
      <c r="I72" s="585" t="str">
        <f ca="1">IF($C$1=RefData!$B$418,'All Statement of strategy (D)'!$E72,IF('All Statement of strategy (D)'!$C$1=RefData!$B$419,'All Statement of strategy (D)'!$F72,IF('All Statement of strategy (D)'!$C$1=RefData!$B$420,'All Statement of strategy (D)'!$G72,IF('All Statement of strategy (D)'!$C$1=RefData!$B$421,'All Statement of strategy (D)'!$H72," "))))</f>
        <v xml:space="preserve"> </v>
      </c>
    </row>
    <row r="73" spans="1:9">
      <c r="A73" s="584" t="s">
        <v>1578</v>
      </c>
      <c r="B73" s="585" t="str">
        <f ca="1">MID('Reconciliation report'!$E$30,1001,1000)</f>
        <v/>
      </c>
      <c r="E73" s="585" t="str">
        <f t="shared" ca="1" si="7"/>
        <v/>
      </c>
      <c r="F73" s="585" t="str">
        <f t="shared" ca="1" si="7"/>
        <v/>
      </c>
      <c r="G73" s="585" t="str">
        <f>""</f>
        <v/>
      </c>
      <c r="H73" s="585" t="str">
        <f>""</f>
        <v/>
      </c>
      <c r="I73" s="585" t="str">
        <f ca="1">IF($C$1=RefData!$B$418,'All Statement of strategy (D)'!$E73,IF('All Statement of strategy (D)'!$C$1=RefData!$B$419,'All Statement of strategy (D)'!$F73,IF('All Statement of strategy (D)'!$C$1=RefData!$B$420,'All Statement of strategy (D)'!$G73,IF('All Statement of strategy (D)'!$C$1=RefData!$B$421,'All Statement of strategy (D)'!$H73," "))))</f>
        <v xml:space="preserve"> </v>
      </c>
    </row>
    <row r="74" spans="1:9">
      <c r="A74" s="584" t="s">
        <v>1578</v>
      </c>
      <c r="B74" s="585" t="str">
        <f ca="1">MID('Reconciliation report'!$E$30,2001,1000)</f>
        <v/>
      </c>
      <c r="E74" s="585" t="str">
        <f t="shared" ca="1" si="7"/>
        <v/>
      </c>
      <c r="F74" s="585" t="str">
        <f t="shared" ca="1" si="7"/>
        <v/>
      </c>
      <c r="G74" s="585" t="str">
        <f>""</f>
        <v/>
      </c>
      <c r="H74" s="585" t="str">
        <f>""</f>
        <v/>
      </c>
      <c r="I74" s="585" t="str">
        <f ca="1">IF($C$1=RefData!$B$418,'All Statement of strategy (D)'!$E74,IF('All Statement of strategy (D)'!$C$1=RefData!$B$419,'All Statement of strategy (D)'!$F74,IF('All Statement of strategy (D)'!$C$1=RefData!$B$420,'All Statement of strategy (D)'!$G74,IF('All Statement of strategy (D)'!$C$1=RefData!$B$421,'All Statement of strategy (D)'!$H74," "))))</f>
        <v xml:space="preserve"> </v>
      </c>
    </row>
    <row r="75" spans="1:9">
      <c r="A75" s="584" t="s">
        <v>1578</v>
      </c>
      <c r="B75" s="585" t="str">
        <f ca="1">MID('Reconciliation report'!$E$30,3001,1000)</f>
        <v/>
      </c>
      <c r="E75" s="585" t="str">
        <f t="shared" ca="1" si="7"/>
        <v/>
      </c>
      <c r="F75" s="585" t="str">
        <f t="shared" ca="1" si="7"/>
        <v/>
      </c>
      <c r="G75" s="585" t="str">
        <f>""</f>
        <v/>
      </c>
      <c r="H75" s="585" t="str">
        <f>""</f>
        <v/>
      </c>
      <c r="I75" s="585" t="str">
        <f ca="1">IF($C$1=RefData!$B$418,'All Statement of strategy (D)'!$E75,IF('All Statement of strategy (D)'!$C$1=RefData!$B$419,'All Statement of strategy (D)'!$F75,IF('All Statement of strategy (D)'!$C$1=RefData!$B$420,'All Statement of strategy (D)'!$G75,IF('All Statement of strategy (D)'!$C$1=RefData!$B$421,'All Statement of strategy (D)'!$H75," "))))</f>
        <v xml:space="preserve"> </v>
      </c>
    </row>
    <row r="76" spans="1:9">
      <c r="B76" s="585" t="s">
        <v>1579</v>
      </c>
      <c r="E76" s="585" t="str">
        <f t="shared" si="7"/>
        <v xml:space="preserve">Implementing the funding and investment strategy </v>
      </c>
      <c r="F76" s="585" t="str">
        <f t="shared" si="7"/>
        <v xml:space="preserve">Implementing the funding and investment strategy </v>
      </c>
      <c r="G76" s="585" t="str">
        <f>""</f>
        <v/>
      </c>
      <c r="H76" s="585" t="str">
        <f>""</f>
        <v/>
      </c>
      <c r="I76" s="585" t="str">
        <f ca="1">IF($C$1=RefData!$B$418,'All Statement of strategy (D)'!$E76,IF('All Statement of strategy (D)'!$C$1=RefData!$B$419,'All Statement of strategy (D)'!$F76,IF('All Statement of strategy (D)'!$C$1=RefData!$B$420,'All Statement of strategy (D)'!$G76,IF('All Statement of strategy (D)'!$C$1=RefData!$B$421,'All Statement of strategy (D)'!$H76," "))))</f>
        <v xml:space="preserve"> </v>
      </c>
    </row>
    <row r="77" spans="1:9">
      <c r="B77" s="585" t="s">
        <v>1580</v>
      </c>
      <c r="E77" s="585" t="str">
        <f ca="1">IF('Reconciliation report'!$E$31=RefData!$B$102,'All Statement of strategy (D)'!$B77,"")</f>
        <v/>
      </c>
      <c r="F77" s="585" t="str">
        <f ca="1">IF('Reconciliation report'!$E$31=RefData!$B$102,'All Statement of strategy (D)'!$B77,"")</f>
        <v/>
      </c>
      <c r="G77" s="585" t="str">
        <f ca="1">IF('Reconciliation report'!$E$31=RefData!$B$102,'All Statement of strategy (D)'!$B77,"")</f>
        <v/>
      </c>
      <c r="H77" s="585" t="str">
        <f ca="1">IF('Reconciliation report'!$E$31=RefData!$B$102,'All Statement of strategy (D)'!$B77,"")</f>
        <v/>
      </c>
      <c r="I77" s="585" t="str">
        <f ca="1">IF($C$1=RefData!$B$418,'All Statement of strategy (D)'!$E77,IF('All Statement of strategy (D)'!$C$1=RefData!$B$419,'All Statement of strategy (D)'!$F77,IF('All Statement of strategy (D)'!$C$1=RefData!$B$420,'All Statement of strategy (D)'!$G77,IF('All Statement of strategy (D)'!$C$1=RefData!$B$421,'All Statement of strategy (D)'!$H77," "))))</f>
        <v xml:space="preserve"> </v>
      </c>
    </row>
    <row r="78" spans="1:9">
      <c r="B78" s="585" t="s">
        <v>1581</v>
      </c>
      <c r="E78" s="585" t="str">
        <f ca="1">IF(OR('Reconciliation report'!$E$31=RefData!$B$103,'Reconciliation report'!$E$31=""),'All Statement of strategy (D)'!$B78,"")</f>
        <v>In the trustees’ opinion, the extent to which the funding and investment strategy is being successfully implemented is as follows:</v>
      </c>
      <c r="F78" s="585" t="str">
        <f ca="1">IF(OR('Reconciliation report'!$E$31=RefData!$B$103,'Reconciliation report'!$E$31=""),'All Statement of strategy (D)'!$B78,"")</f>
        <v>In the trustees’ opinion, the extent to which the funding and investment strategy is being successfully implemented is as follows:</v>
      </c>
      <c r="G78" s="585" t="str">
        <f ca="1">IF(OR('Reconciliation report'!$E$31=RefData!$B$103,'Reconciliation report'!$E$31=""),'All Statement of strategy (D)'!$B78,"")</f>
        <v>In the trustees’ opinion, the extent to which the funding and investment strategy is being successfully implemented is as follows:</v>
      </c>
      <c r="H78" s="585" t="str">
        <f ca="1">IF(OR('Reconciliation report'!$E$31=RefData!$B$103,'Reconciliation report'!$E$31=""),'All Statement of strategy (D)'!$B78,"")</f>
        <v>In the trustees’ opinion, the extent to which the funding and investment strategy is being successfully implemented is as follows:</v>
      </c>
      <c r="I78" s="585" t="str">
        <f ca="1">IF($C$1=RefData!$B$418,'All Statement of strategy (D)'!$E78,IF('All Statement of strategy (D)'!$C$1=RefData!$B$419,'All Statement of strategy (D)'!$F78,IF('All Statement of strategy (D)'!$C$1=RefData!$B$420,'All Statement of strategy (D)'!$G78,IF('All Statement of strategy (D)'!$C$1=RefData!$B$421,'All Statement of strategy (D)'!$H78," "))))</f>
        <v xml:space="preserve"> </v>
      </c>
    </row>
    <row r="79" spans="1:9">
      <c r="A79" s="584" t="s">
        <v>1582</v>
      </c>
      <c r="B79" s="585" t="str">
        <f ca="1">LEFT('Reconciliation report'!$E$32,1000)</f>
        <v/>
      </c>
      <c r="E79" s="585" t="str">
        <f ca="1">IF(OR('Reconciliation report'!$E$31=RefData!$B$103,'Reconciliation report'!$E$31=""),'All Statement of strategy (D)'!$B79,"")</f>
        <v/>
      </c>
      <c r="F79" s="585" t="str">
        <f ca="1">IF(OR('Reconciliation report'!$E$31=RefData!$B$103,'Reconciliation report'!$E$31=""),'All Statement of strategy (D)'!$B79,"")</f>
        <v/>
      </c>
      <c r="G79" s="585" t="str">
        <f ca="1">IF(OR('Reconciliation report'!$E$31=RefData!$B$103,'Reconciliation report'!$E$31=""),'All Statement of strategy (D)'!$B79,"")</f>
        <v/>
      </c>
      <c r="H79" s="585" t="str">
        <f ca="1">IF(OR('Reconciliation report'!$E$31=RefData!$B$103,'Reconciliation report'!$E$31=""),'All Statement of strategy (D)'!$B79,"")</f>
        <v/>
      </c>
      <c r="I79" s="585" t="str">
        <f ca="1">IF($C$1=RefData!$B$418,'All Statement of strategy (D)'!$E79,IF('All Statement of strategy (D)'!$C$1=RefData!$B$419,'All Statement of strategy (D)'!$F79,IF('All Statement of strategy (D)'!$C$1=RefData!$B$420,'All Statement of strategy (D)'!$G79,IF('All Statement of strategy (D)'!$C$1=RefData!$B$421,'All Statement of strategy (D)'!$H79," "))))</f>
        <v xml:space="preserve"> </v>
      </c>
    </row>
    <row r="80" spans="1:9">
      <c r="A80" s="584" t="s">
        <v>1582</v>
      </c>
      <c r="B80" s="585" t="str">
        <f ca="1">MID('Reconciliation report'!$E$32,1001,1000)</f>
        <v/>
      </c>
      <c r="E80" s="585" t="str">
        <f ca="1">IF(OR('Reconciliation report'!$E$31=RefData!$B$103,'Reconciliation report'!$E$31=""),'All Statement of strategy (D)'!$B80,"")</f>
        <v/>
      </c>
      <c r="F80" s="585" t="str">
        <f ca="1">IF(OR('Reconciliation report'!$E$31=RefData!$B$103,'Reconciliation report'!$E$31=""),'All Statement of strategy (D)'!$B80,"")</f>
        <v/>
      </c>
      <c r="G80" s="585" t="str">
        <f ca="1">IF(OR('Reconciliation report'!$E$31=RefData!$B$103,'Reconciliation report'!$E$31=""),'All Statement of strategy (D)'!$B80,"")</f>
        <v/>
      </c>
      <c r="H80" s="585" t="str">
        <f ca="1">IF(OR('Reconciliation report'!$E$31=RefData!$B$103,'Reconciliation report'!$E$31=""),'All Statement of strategy (D)'!$B80,"")</f>
        <v/>
      </c>
      <c r="I80" s="585" t="str">
        <f ca="1">IF($C$1=RefData!$B$418,'All Statement of strategy (D)'!$E80,IF('All Statement of strategy (D)'!$C$1=RefData!$B$419,'All Statement of strategy (D)'!$F80,IF('All Statement of strategy (D)'!$C$1=RefData!$B$420,'All Statement of strategy (D)'!$G80,IF('All Statement of strategy (D)'!$C$1=RefData!$B$421,'All Statement of strategy (D)'!$H80," "))))</f>
        <v xml:space="preserve"> </v>
      </c>
    </row>
    <row r="81" spans="1:9">
      <c r="A81" s="584" t="s">
        <v>1582</v>
      </c>
      <c r="B81" s="585" t="str">
        <f ca="1">MID('Reconciliation report'!$E$32,2001,1000)</f>
        <v/>
      </c>
      <c r="E81" s="585" t="str">
        <f ca="1">IF(OR('Reconciliation report'!$E$31=RefData!$B$103,'Reconciliation report'!$E$31=""),'All Statement of strategy (D)'!$B81,"")</f>
        <v/>
      </c>
      <c r="F81" s="585" t="str">
        <f ca="1">IF(OR('Reconciliation report'!$E$31=RefData!$B$103,'Reconciliation report'!$E$31=""),'All Statement of strategy (D)'!$B81,"")</f>
        <v/>
      </c>
      <c r="G81" s="585" t="str">
        <f ca="1">IF(OR('Reconciliation report'!$E$31=RefData!$B$103,'Reconciliation report'!$E$31=""),'All Statement of strategy (D)'!$B81,"")</f>
        <v/>
      </c>
      <c r="H81" s="585" t="str">
        <f ca="1">IF(OR('Reconciliation report'!$E$31=RefData!$B$103,'Reconciliation report'!$E$31=""),'All Statement of strategy (D)'!$B81,"")</f>
        <v/>
      </c>
      <c r="I81" s="585" t="str">
        <f ca="1">IF($C$1=RefData!$B$418,'All Statement of strategy (D)'!$E81,IF('All Statement of strategy (D)'!$C$1=RefData!$B$419,'All Statement of strategy (D)'!$F81,IF('All Statement of strategy (D)'!$C$1=RefData!$B$420,'All Statement of strategy (D)'!$G81,IF('All Statement of strategy (D)'!$C$1=RefData!$B$421,'All Statement of strategy (D)'!$H81," "))))</f>
        <v xml:space="preserve"> </v>
      </c>
    </row>
    <row r="82" spans="1:9">
      <c r="A82" s="584" t="s">
        <v>1582</v>
      </c>
      <c r="B82" s="585" t="str">
        <f ca="1">MID('Reconciliation report'!$E$32,3001,1000)</f>
        <v/>
      </c>
      <c r="E82" s="585" t="str">
        <f ca="1">IF(OR('Reconciliation report'!$E$31=RefData!$B$103,'Reconciliation report'!$E$31=""),'All Statement of strategy (D)'!$B82,"")</f>
        <v/>
      </c>
      <c r="F82" s="585" t="str">
        <f ca="1">IF(OR('Reconciliation report'!$E$31=RefData!$B$103,'Reconciliation report'!$E$31=""),'All Statement of strategy (D)'!$B82,"")</f>
        <v/>
      </c>
      <c r="G82" s="585" t="str">
        <f ca="1">IF(OR('Reconciliation report'!$E$31=RefData!$B$103,'Reconciliation report'!$E$31=""),'All Statement of strategy (D)'!$B82,"")</f>
        <v/>
      </c>
      <c r="H82" s="585" t="str">
        <f ca="1">IF(OR('Reconciliation report'!$E$31=RefData!$B$103,'Reconciliation report'!$E$31=""),'All Statement of strategy (D)'!$B82,"")</f>
        <v/>
      </c>
      <c r="I82" s="585" t="str">
        <f ca="1">IF($C$1=RefData!$B$418,'All Statement of strategy (D)'!$E82,IF('All Statement of strategy (D)'!$C$1=RefData!$B$419,'All Statement of strategy (D)'!$F82,IF('All Statement of strategy (D)'!$C$1=RefData!$B$420,'All Statement of strategy (D)'!$G82,IF('All Statement of strategy (D)'!$C$1=RefData!$B$421,'All Statement of strategy (D)'!$H82," "))))</f>
        <v xml:space="preserve"> </v>
      </c>
    </row>
    <row r="83" spans="1:9">
      <c r="B83" s="585" t="s">
        <v>1583</v>
      </c>
      <c r="E83" s="585" t="str">
        <f ca="1">IF(OR('Reconciliation report'!$E$31=RefData!$B$103,'Reconciliation report'!$E$31=""),'All Statement of strategy (D)'!$B83,"")</f>
        <v>Where the trustees do not consider that the funding and investment strategy is being successfully implemented in all respects, they propose taking the following steps to remedy the position (including details on timing):</v>
      </c>
      <c r="F83" s="585" t="str">
        <f ca="1">IF(OR('Reconciliation report'!$E$31=RefData!$B$103,'Reconciliation report'!$E$31=""),'All Statement of strategy (D)'!$B83,"")</f>
        <v>Where the trustees do not consider that the funding and investment strategy is being successfully implemented in all respects, they propose taking the following steps to remedy the position (including details on timing):</v>
      </c>
      <c r="G83" s="585" t="str">
        <f ca="1">IF(OR('Reconciliation report'!$E$31=RefData!$B$103,'Reconciliation report'!$E$31=""),'All Statement of strategy (D)'!$B83,"")</f>
        <v>Where the trustees do not consider that the funding and investment strategy is being successfully implemented in all respects, they propose taking the following steps to remedy the position (including details on timing):</v>
      </c>
      <c r="H83" s="585" t="str">
        <f ca="1">IF(OR('Reconciliation report'!$E$31=RefData!$B$103,'Reconciliation report'!$E$31=""),'All Statement of strategy (D)'!$B83,"")</f>
        <v>Where the trustees do not consider that the funding and investment strategy is being successfully implemented in all respects, they propose taking the following steps to remedy the position (including details on timing):</v>
      </c>
      <c r="I83" s="585" t="str">
        <f ca="1">IF($C$1=RefData!$B$418,'All Statement of strategy (D)'!$E83,IF('All Statement of strategy (D)'!$C$1=RefData!$B$419,'All Statement of strategy (D)'!$F83,IF('All Statement of strategy (D)'!$C$1=RefData!$B$420,'All Statement of strategy (D)'!$G83,IF('All Statement of strategy (D)'!$C$1=RefData!$B$421,'All Statement of strategy (D)'!$H83," "))))</f>
        <v xml:space="preserve"> </v>
      </c>
    </row>
    <row r="84" spans="1:9">
      <c r="A84" s="584" t="s">
        <v>1584</v>
      </c>
      <c r="B84" s="585" t="str">
        <f ca="1">LEFT('Reconciliation report'!$E$33,1000)</f>
        <v/>
      </c>
      <c r="E84" s="585" t="str">
        <f ca="1">IF(OR('Reconciliation report'!$E$31=RefData!$B$103,'Reconciliation report'!$E$31=""),'All Statement of strategy (D)'!$B84,"")</f>
        <v/>
      </c>
      <c r="F84" s="585" t="str">
        <f ca="1">IF(OR('Reconciliation report'!$E$31=RefData!$B$103,'Reconciliation report'!$E$31=""),'All Statement of strategy (D)'!$B84,"")</f>
        <v/>
      </c>
      <c r="G84" s="585" t="str">
        <f ca="1">IF(OR('Reconciliation report'!$E$31=RefData!$B$103,'Reconciliation report'!$E$31=""),'All Statement of strategy (D)'!$B84,"")</f>
        <v/>
      </c>
      <c r="H84" s="585" t="str">
        <f ca="1">IF(OR('Reconciliation report'!$E$31=RefData!$B$103,'Reconciliation report'!$E$31=""),'All Statement of strategy (D)'!$B84,"")</f>
        <v/>
      </c>
      <c r="I84" s="585" t="str">
        <f ca="1">IF($C$1=RefData!$B$418,'All Statement of strategy (D)'!$E84,IF('All Statement of strategy (D)'!$C$1=RefData!$B$419,'All Statement of strategy (D)'!$F84,IF('All Statement of strategy (D)'!$C$1=RefData!$B$420,'All Statement of strategy (D)'!$G84,IF('All Statement of strategy (D)'!$C$1=RefData!$B$421,'All Statement of strategy (D)'!$H84," "))))</f>
        <v xml:space="preserve"> </v>
      </c>
    </row>
    <row r="85" spans="1:9">
      <c r="A85" s="584" t="s">
        <v>1584</v>
      </c>
      <c r="B85" s="585" t="str">
        <f ca="1">MID('Reconciliation report'!$E$33,1001,1000)</f>
        <v/>
      </c>
      <c r="E85" s="585" t="str">
        <f ca="1">IF(OR('Reconciliation report'!$E$31=RefData!$B$103,'Reconciliation report'!$E$31=""),'All Statement of strategy (D)'!$B85,"")</f>
        <v/>
      </c>
      <c r="F85" s="585" t="str">
        <f ca="1">IF(OR('Reconciliation report'!$E$31=RefData!$B$103,'Reconciliation report'!$E$31=""),'All Statement of strategy (D)'!$B85,"")</f>
        <v/>
      </c>
      <c r="G85" s="585" t="str">
        <f ca="1">IF(OR('Reconciliation report'!$E$31=RefData!$B$103,'Reconciliation report'!$E$31=""),'All Statement of strategy (D)'!$B85,"")</f>
        <v/>
      </c>
      <c r="H85" s="585" t="str">
        <f ca="1">IF(OR('Reconciliation report'!$E$31=RefData!$B$103,'Reconciliation report'!$E$31=""),'All Statement of strategy (D)'!$B85,"")</f>
        <v/>
      </c>
      <c r="I85" s="585" t="str">
        <f ca="1">IF($C$1=RefData!$B$418,'All Statement of strategy (D)'!$E85,IF('All Statement of strategy (D)'!$C$1=RefData!$B$419,'All Statement of strategy (D)'!$F85,IF('All Statement of strategy (D)'!$C$1=RefData!$B$420,'All Statement of strategy (D)'!$G85,IF('All Statement of strategy (D)'!$C$1=RefData!$B$421,'All Statement of strategy (D)'!$H85," "))))</f>
        <v xml:space="preserve"> </v>
      </c>
    </row>
    <row r="86" spans="1:9">
      <c r="A86" s="584" t="s">
        <v>1584</v>
      </c>
      <c r="B86" s="585" t="str">
        <f ca="1">MID('Reconciliation report'!$E$33,2001,1000)</f>
        <v/>
      </c>
      <c r="E86" s="585" t="str">
        <f ca="1">IF(OR('Reconciliation report'!$E$31=RefData!$B$103,'Reconciliation report'!$E$31=""),'All Statement of strategy (D)'!$B86,"")</f>
        <v/>
      </c>
      <c r="F86" s="585" t="str">
        <f ca="1">IF(OR('Reconciliation report'!$E$31=RefData!$B$103,'Reconciliation report'!$E$31=""),'All Statement of strategy (D)'!$B86,"")</f>
        <v/>
      </c>
      <c r="G86" s="585" t="str">
        <f ca="1">IF(OR('Reconciliation report'!$E$31=RefData!$B$103,'Reconciliation report'!$E$31=""),'All Statement of strategy (D)'!$B86,"")</f>
        <v/>
      </c>
      <c r="H86" s="585" t="str">
        <f ca="1">IF(OR('Reconciliation report'!$E$31=RefData!$B$103,'Reconciliation report'!$E$31=""),'All Statement of strategy (D)'!$B86,"")</f>
        <v/>
      </c>
      <c r="I86" s="585" t="str">
        <f ca="1">IF($C$1=RefData!$B$418,'All Statement of strategy (D)'!$E86,IF('All Statement of strategy (D)'!$C$1=RefData!$B$419,'All Statement of strategy (D)'!$F86,IF('All Statement of strategy (D)'!$C$1=RefData!$B$420,'All Statement of strategy (D)'!$G86,IF('All Statement of strategy (D)'!$C$1=RefData!$B$421,'All Statement of strategy (D)'!$H86," "))))</f>
        <v xml:space="preserve"> </v>
      </c>
    </row>
    <row r="87" spans="1:9">
      <c r="A87" s="584" t="s">
        <v>1584</v>
      </c>
      <c r="B87" s="585" t="str">
        <f ca="1">MID('Reconciliation report'!$E$33,3001,1000)</f>
        <v/>
      </c>
      <c r="E87" s="585" t="str">
        <f ca="1">IF(OR('Reconciliation report'!$E$31=RefData!$B$103,'Reconciliation report'!$E$31=""),'All Statement of strategy (D)'!$B87,"")</f>
        <v/>
      </c>
      <c r="F87" s="585" t="str">
        <f ca="1">IF(OR('Reconciliation report'!$E$31=RefData!$B$103,'Reconciliation report'!$E$31=""),'All Statement of strategy (D)'!$B87,"")</f>
        <v/>
      </c>
      <c r="G87" s="585" t="str">
        <f ca="1">IF(OR('Reconciliation report'!$E$31=RefData!$B$103,'Reconciliation report'!$E$31=""),'All Statement of strategy (D)'!$B87,"")</f>
        <v/>
      </c>
      <c r="H87" s="585" t="str">
        <f ca="1">IF(OR('Reconciliation report'!$E$31=RefData!$B$103,'Reconciliation report'!$E$31=""),'All Statement of strategy (D)'!$B87,"")</f>
        <v/>
      </c>
      <c r="I87" s="585" t="str">
        <f ca="1">IF($C$1=RefData!$B$418,'All Statement of strategy (D)'!$E87,IF('All Statement of strategy (D)'!$C$1=RefData!$B$419,'All Statement of strategy (D)'!$F87,IF('All Statement of strategy (D)'!$C$1=RefData!$B$420,'All Statement of strategy (D)'!$G87,IF('All Statement of strategy (D)'!$C$1=RefData!$B$421,'All Statement of strategy (D)'!$H87," "))))</f>
        <v xml:space="preserve"> </v>
      </c>
    </row>
    <row r="88" spans="1:9">
      <c r="B88" s="585" t="s">
        <v>1585</v>
      </c>
      <c r="E88" s="585" t="str">
        <f t="shared" ref="E88:H92" si="8">$B88</f>
        <v>The main risks to the implementation of the funding and investment strategy, together with details of how the trustees intend to mitigate them, manage them, or both, are as follows:</v>
      </c>
      <c r="F88" s="585" t="str">
        <f t="shared" si="8"/>
        <v>The main risks to the implementation of the funding and investment strategy, together with details of how the trustees intend to mitigate them, manage them, or both, are as follows:</v>
      </c>
      <c r="G88" s="585" t="str">
        <f t="shared" si="8"/>
        <v>The main risks to the implementation of the funding and investment strategy, together with details of how the trustees intend to mitigate them, manage them, or both, are as follows:</v>
      </c>
      <c r="H88" s="585" t="str">
        <f t="shared" si="8"/>
        <v>The main risks to the implementation of the funding and investment strategy, together with details of how the trustees intend to mitigate them, manage them, or both, are as follows:</v>
      </c>
      <c r="I88" s="585" t="str">
        <f ca="1">IF($C$1=RefData!$B$418,'All Statement of strategy (D)'!$E88,IF('All Statement of strategy (D)'!$C$1=RefData!$B$419,'All Statement of strategy (D)'!$F88,IF('All Statement of strategy (D)'!$C$1=RefData!$B$420,'All Statement of strategy (D)'!$G88,IF('All Statement of strategy (D)'!$C$1=RefData!$B$421,'All Statement of strategy (D)'!$H88," "))))</f>
        <v xml:space="preserve"> </v>
      </c>
    </row>
    <row r="89" spans="1:9">
      <c r="A89" s="584" t="s">
        <v>1586</v>
      </c>
      <c r="B89" s="585" t="str">
        <f ca="1">LEFT('Reconciliation report'!$E$34,1000)</f>
        <v/>
      </c>
      <c r="E89" s="585" t="str">
        <f t="shared" ca="1" si="8"/>
        <v/>
      </c>
      <c r="F89" s="585" t="str">
        <f t="shared" ca="1" si="8"/>
        <v/>
      </c>
      <c r="G89" s="585" t="str">
        <f t="shared" ca="1" si="8"/>
        <v/>
      </c>
      <c r="H89" s="585" t="str">
        <f t="shared" ca="1" si="8"/>
        <v/>
      </c>
      <c r="I89" s="585" t="str">
        <f ca="1">IF($C$1=RefData!$B$418,'All Statement of strategy (D)'!$E89,IF('All Statement of strategy (D)'!$C$1=RefData!$B$419,'All Statement of strategy (D)'!$F89,IF('All Statement of strategy (D)'!$C$1=RefData!$B$420,'All Statement of strategy (D)'!$G89,IF('All Statement of strategy (D)'!$C$1=RefData!$B$421,'All Statement of strategy (D)'!$H89," "))))</f>
        <v xml:space="preserve"> </v>
      </c>
    </row>
    <row r="90" spans="1:9">
      <c r="A90" s="584" t="s">
        <v>1586</v>
      </c>
      <c r="B90" s="585" t="str">
        <f ca="1">MID('Reconciliation report'!$E$34,1001,1000)</f>
        <v/>
      </c>
      <c r="E90" s="585" t="str">
        <f t="shared" ca="1" si="8"/>
        <v/>
      </c>
      <c r="F90" s="585" t="str">
        <f t="shared" ca="1" si="8"/>
        <v/>
      </c>
      <c r="G90" s="585" t="str">
        <f t="shared" ca="1" si="8"/>
        <v/>
      </c>
      <c r="H90" s="585" t="str">
        <f t="shared" ca="1" si="8"/>
        <v/>
      </c>
      <c r="I90" s="585" t="str">
        <f ca="1">IF($C$1=RefData!$B$418,'All Statement of strategy (D)'!$E90,IF('All Statement of strategy (D)'!$C$1=RefData!$B$419,'All Statement of strategy (D)'!$F90,IF('All Statement of strategy (D)'!$C$1=RefData!$B$420,'All Statement of strategy (D)'!$G90,IF('All Statement of strategy (D)'!$C$1=RefData!$B$421,'All Statement of strategy (D)'!$H90," "))))</f>
        <v xml:space="preserve"> </v>
      </c>
    </row>
    <row r="91" spans="1:9">
      <c r="A91" s="584" t="s">
        <v>1586</v>
      </c>
      <c r="B91" s="585" t="str">
        <f ca="1">MID('Reconciliation report'!$E$34,2001,1000)</f>
        <v/>
      </c>
      <c r="E91" s="585" t="str">
        <f t="shared" ca="1" si="8"/>
        <v/>
      </c>
      <c r="F91" s="585" t="str">
        <f t="shared" ca="1" si="8"/>
        <v/>
      </c>
      <c r="G91" s="585" t="str">
        <f t="shared" ca="1" si="8"/>
        <v/>
      </c>
      <c r="H91" s="585" t="str">
        <f t="shared" ca="1" si="8"/>
        <v/>
      </c>
      <c r="I91" s="585" t="str">
        <f ca="1">IF($C$1=RefData!$B$418,'All Statement of strategy (D)'!$E91,IF('All Statement of strategy (D)'!$C$1=RefData!$B$419,'All Statement of strategy (D)'!$F91,IF('All Statement of strategy (D)'!$C$1=RefData!$B$420,'All Statement of strategy (D)'!$G91,IF('All Statement of strategy (D)'!$C$1=RefData!$B$421,'All Statement of strategy (D)'!$H91," "))))</f>
        <v xml:space="preserve"> </v>
      </c>
    </row>
    <row r="92" spans="1:9">
      <c r="A92" s="584" t="s">
        <v>1586</v>
      </c>
      <c r="B92" s="585" t="str">
        <f ca="1">MID('Reconciliation report'!$E$34,3001,1000)</f>
        <v/>
      </c>
      <c r="E92" s="585" t="str">
        <f t="shared" ca="1" si="8"/>
        <v/>
      </c>
      <c r="F92" s="585" t="str">
        <f t="shared" ca="1" si="8"/>
        <v/>
      </c>
      <c r="G92" s="585" t="str">
        <f t="shared" ca="1" si="8"/>
        <v/>
      </c>
      <c r="H92" s="585" t="str">
        <f t="shared" ca="1" si="8"/>
        <v/>
      </c>
      <c r="I92" s="585" t="str">
        <f ca="1">IF($C$1=RefData!$B$418,'All Statement of strategy (D)'!$E92,IF('All Statement of strategy (D)'!$C$1=RefData!$B$419,'All Statement of strategy (D)'!$F92,IF('All Statement of strategy (D)'!$C$1=RefData!$B$420,'All Statement of strategy (D)'!$G92,IF('All Statement of strategy (D)'!$C$1=RefData!$B$421,'All Statement of strategy (D)'!$H92," "))))</f>
        <v xml:space="preserve"> </v>
      </c>
    </row>
    <row r="93" spans="1:9">
      <c r="B93" s="585" t="s">
        <v>1587</v>
      </c>
      <c r="E93" s="585" t="str">
        <f ca="1">IF('Reconciliation report'!$E$35=RefData!$B$123,'All Statement of strategy (D)'!$B93,"")</f>
        <v/>
      </c>
      <c r="F93" s="585" t="str">
        <f ca="1">IF('Reconciliation report'!$E$35=RefData!$B$123,'All Statement of strategy (D)'!$B93,"")</f>
        <v/>
      </c>
      <c r="G93" s="585" t="str">
        <f ca="1">IF('Reconciliation report'!$E$35=RefData!$B$123,'All Statement of strategy (D)'!$B93,"")</f>
        <v/>
      </c>
      <c r="H93" s="585" t="str">
        <f ca="1">IF('Reconciliation report'!$E$35=RefData!$B$123,'All Statement of strategy (D)'!$B93,"")</f>
        <v/>
      </c>
      <c r="I93" s="585" t="str">
        <f ca="1">IF($C$1=RefData!$B$418,'All Statement of strategy (D)'!$E93,IF('All Statement of strategy (D)'!$C$1=RefData!$B$419,'All Statement of strategy (D)'!$F93,IF('All Statement of strategy (D)'!$C$1=RefData!$B$420,'All Statement of strategy (D)'!$G93,IF('All Statement of strategy (D)'!$C$1=RefData!$B$421,'All Statement of strategy (D)'!$H93," "))))</f>
        <v xml:space="preserve"> </v>
      </c>
    </row>
    <row r="94" spans="1:9">
      <c r="B94" s="585" t="s">
        <v>1588</v>
      </c>
      <c r="E94" s="585" t="str">
        <f ca="1">IF('Reconciliation report'!$E$35=RefData!$B$122,'All Statement of strategy (D)'!$B94,"")</f>
        <v/>
      </c>
      <c r="F94" s="585" t="str">
        <f ca="1">IF('Reconciliation report'!$E$35=RefData!$B$122,'All Statement of strategy (D)'!$B94,"")</f>
        <v/>
      </c>
      <c r="G94" s="585" t="str">
        <f ca="1">IF('Reconciliation report'!$E$35=RefData!$B$122,'All Statement of strategy (D)'!$B94,"")</f>
        <v/>
      </c>
      <c r="H94" s="585" t="str">
        <f ca="1">IF('Reconciliation report'!$E$35=RefData!$B$122,'All Statement of strategy (D)'!$B94,"")</f>
        <v/>
      </c>
      <c r="I94" s="585" t="str">
        <f ca="1">IF($C$1=RefData!$B$418,'All Statement of strategy (D)'!$E94,IF('All Statement of strategy (D)'!$C$1=RefData!$B$419,'All Statement of strategy (D)'!$F94,IF('All Statement of strategy (D)'!$C$1=RefData!$B$420,'All Statement of strategy (D)'!$G94,IF('All Statement of strategy (D)'!$C$1=RefData!$B$421,'All Statement of strategy (D)'!$H94," "))))</f>
        <v xml:space="preserve"> </v>
      </c>
    </row>
    <row r="95" spans="1:9">
      <c r="A95" s="584" t="s">
        <v>1589</v>
      </c>
      <c r="B95" s="585" t="str">
        <f ca="1">LEFT('Reconciliation report'!$E$36,1000)</f>
        <v/>
      </c>
      <c r="E95" s="585" t="str">
        <f ca="1">IF('Reconciliation report'!$E$35=RefData!$B$122,'All Statement of strategy (D)'!$B95,"")</f>
        <v/>
      </c>
      <c r="F95" s="585" t="str">
        <f ca="1">IF('Reconciliation report'!$E$35=RefData!$B$122,'All Statement of strategy (D)'!$B95,"")</f>
        <v/>
      </c>
      <c r="G95" s="585" t="str">
        <f ca="1">IF('Reconciliation report'!$E$35=RefData!$B$122,'All Statement of strategy (D)'!$B95,"")</f>
        <v/>
      </c>
      <c r="H95" s="585" t="str">
        <f ca="1">IF('Reconciliation report'!$E$35=RefData!$B$122,'All Statement of strategy (D)'!$B95,"")</f>
        <v/>
      </c>
      <c r="I95" s="585" t="str">
        <f ca="1">IF($C$1=RefData!$B$418,'All Statement of strategy (D)'!$E95,IF('All Statement of strategy (D)'!$C$1=RefData!$B$419,'All Statement of strategy (D)'!$F95,IF('All Statement of strategy (D)'!$C$1=RefData!$B$420,'All Statement of strategy (D)'!$G95,IF('All Statement of strategy (D)'!$C$1=RefData!$B$421,'All Statement of strategy (D)'!$H95," "))))</f>
        <v xml:space="preserve"> </v>
      </c>
    </row>
    <row r="96" spans="1:9">
      <c r="A96" s="584" t="s">
        <v>1589</v>
      </c>
      <c r="B96" s="585" t="str">
        <f ca="1">MID('Reconciliation report'!$E$36,1001,1000)</f>
        <v/>
      </c>
      <c r="E96" s="585" t="str">
        <f ca="1">IF('Reconciliation report'!$E$35=RefData!$B$122,'All Statement of strategy (D)'!$B96,"")</f>
        <v/>
      </c>
      <c r="F96" s="585" t="str">
        <f ca="1">IF('Reconciliation report'!$E$35=RefData!$B$122,'All Statement of strategy (D)'!$B96,"")</f>
        <v/>
      </c>
      <c r="G96" s="585" t="str">
        <f ca="1">IF('Reconciliation report'!$E$35=RefData!$B$122,'All Statement of strategy (D)'!$B96,"")</f>
        <v/>
      </c>
      <c r="H96" s="585" t="str">
        <f ca="1">IF('Reconciliation report'!$E$35=RefData!$B$122,'All Statement of strategy (D)'!$B96,"")</f>
        <v/>
      </c>
      <c r="I96" s="585" t="str">
        <f ca="1">IF($C$1=RefData!$B$418,'All Statement of strategy (D)'!$E96,IF('All Statement of strategy (D)'!$C$1=RefData!$B$419,'All Statement of strategy (D)'!$F96,IF('All Statement of strategy (D)'!$C$1=RefData!$B$420,'All Statement of strategy (D)'!$G96,IF('All Statement of strategy (D)'!$C$1=RefData!$B$421,'All Statement of strategy (D)'!$H96," "))))</f>
        <v xml:space="preserve"> </v>
      </c>
    </row>
    <row r="97" spans="1:9">
      <c r="A97" s="584" t="s">
        <v>1589</v>
      </c>
      <c r="B97" s="585" t="str">
        <f ca="1">MID('Reconciliation report'!$E$36,2001,1000)</f>
        <v/>
      </c>
      <c r="E97" s="585" t="str">
        <f ca="1">IF('Reconciliation report'!$E$35=RefData!$B$122,'All Statement of strategy (D)'!$B97,"")</f>
        <v/>
      </c>
      <c r="F97" s="585" t="str">
        <f ca="1">IF('Reconciliation report'!$E$35=RefData!$B$122,'All Statement of strategy (D)'!$B97,"")</f>
        <v/>
      </c>
      <c r="G97" s="585" t="str">
        <f ca="1">IF('Reconciliation report'!$E$35=RefData!$B$122,'All Statement of strategy (D)'!$B97,"")</f>
        <v/>
      </c>
      <c r="H97" s="585" t="str">
        <f ca="1">IF('Reconciliation report'!$E$35=RefData!$B$122,'All Statement of strategy (D)'!$B97,"")</f>
        <v/>
      </c>
      <c r="I97" s="585" t="str">
        <f ca="1">IF($C$1=RefData!$B$418,'All Statement of strategy (D)'!$E97,IF('All Statement of strategy (D)'!$C$1=RefData!$B$419,'All Statement of strategy (D)'!$F97,IF('All Statement of strategy (D)'!$C$1=RefData!$B$420,'All Statement of strategy (D)'!$G97,IF('All Statement of strategy (D)'!$C$1=RefData!$B$421,'All Statement of strategy (D)'!$H97," "))))</f>
        <v xml:space="preserve"> </v>
      </c>
    </row>
    <row r="98" spans="1:9">
      <c r="A98" s="584" t="s">
        <v>1589</v>
      </c>
      <c r="B98" s="585" t="str">
        <f ca="1">MID('Reconciliation report'!$E$36,3001,1000)</f>
        <v/>
      </c>
      <c r="E98" s="585" t="str">
        <f ca="1">IF('Reconciliation report'!$E$35=RefData!$B$122,'All Statement of strategy (D)'!$B98,"")</f>
        <v/>
      </c>
      <c r="F98" s="585" t="str">
        <f ca="1">IF('Reconciliation report'!$E$35=RefData!$B$122,'All Statement of strategy (D)'!$B98,"")</f>
        <v/>
      </c>
      <c r="G98" s="585" t="str">
        <f ca="1">IF('Reconciliation report'!$E$35=RefData!$B$122,'All Statement of strategy (D)'!$B98,"")</f>
        <v/>
      </c>
      <c r="H98" s="585" t="str">
        <f ca="1">IF('Reconciliation report'!$E$35=RefData!$B$122,'All Statement of strategy (D)'!$B98,"")</f>
        <v/>
      </c>
      <c r="I98" s="585" t="str">
        <f ca="1">IF($C$1=RefData!$B$418,'All Statement of strategy (D)'!$E98,IF('All Statement of strategy (D)'!$C$1=RefData!$B$419,'All Statement of strategy (D)'!$F98,IF('All Statement of strategy (D)'!$C$1=RefData!$B$420,'All Statement of strategy (D)'!$G98,IF('All Statement of strategy (D)'!$C$1=RefData!$B$421,'All Statement of strategy (D)'!$H98," "))))</f>
        <v xml:space="preserve"> </v>
      </c>
    </row>
    <row r="99" spans="1:9">
      <c r="B99" s="585" t="s">
        <v>24</v>
      </c>
      <c r="C99" s="588"/>
      <c r="D99" s="588"/>
      <c r="E99" s="585" t="str">
        <f t="shared" ref="E99:H101" si="9">$B99</f>
        <v>Actuarial information</v>
      </c>
      <c r="F99" s="585" t="str">
        <f t="shared" si="9"/>
        <v>Actuarial information</v>
      </c>
      <c r="G99" s="585" t="str">
        <f t="shared" si="9"/>
        <v>Actuarial information</v>
      </c>
      <c r="H99" s="585" t="str">
        <f t="shared" si="9"/>
        <v>Actuarial information</v>
      </c>
      <c r="I99" s="585" t="str">
        <f ca="1">IF($C$1=RefData!$B$418,'All Statement of strategy (D)'!$E99,IF('All Statement of strategy (D)'!$C$1=RefData!$B$419,'All Statement of strategy (D)'!$F99,IF('All Statement of strategy (D)'!$C$1=RefData!$B$420,'All Statement of strategy (D)'!$G99,IF('All Statement of strategy (D)'!$C$1=RefData!$B$421,'All Statement of strategy (D)'!$H99," "))))</f>
        <v xml:space="preserve"> </v>
      </c>
    </row>
    <row r="100" spans="1:9">
      <c r="B100" s="585" t="s">
        <v>1590</v>
      </c>
      <c r="C100" s="588"/>
      <c r="D100" s="588"/>
      <c r="E100" s="585" t="str">
        <f t="shared" si="9"/>
        <v>Estimate of scheme maturity</v>
      </c>
      <c r="F100" s="585" t="str">
        <f t="shared" si="9"/>
        <v>Estimate of scheme maturity</v>
      </c>
      <c r="G100" s="585" t="str">
        <f t="shared" si="9"/>
        <v>Estimate of scheme maturity</v>
      </c>
      <c r="H100" s="585" t="str">
        <f t="shared" si="9"/>
        <v>Estimate of scheme maturity</v>
      </c>
      <c r="I100" s="585" t="str">
        <f ca="1">IF($C$1=RefData!$B$418,'All Statement of strategy (D)'!$E100,IF('All Statement of strategy (D)'!$C$1=RefData!$B$419,'All Statement of strategy (D)'!$F100,IF('All Statement of strategy (D)'!$C$1=RefData!$B$420,'All Statement of strategy (D)'!$G100,IF('All Statement of strategy (D)'!$C$1=RefData!$B$421,'All Statement of strategy (D)'!$H100," "))))</f>
        <v xml:space="preserve"> </v>
      </c>
    </row>
    <row r="101" spans="1:9">
      <c r="B101" s="585" t="s">
        <v>1591</v>
      </c>
      <c r="E101" s="585" t="str">
        <f t="shared" si="9"/>
        <v>The actuary’s estimates of scheme maturity in the actuarial valuation are as follows:</v>
      </c>
      <c r="F101" s="585" t="str">
        <f t="shared" si="9"/>
        <v>The actuary’s estimates of scheme maturity in the actuarial valuation are as follows:</v>
      </c>
      <c r="G101" s="585" t="str">
        <f t="shared" si="9"/>
        <v>The actuary’s estimates of scheme maturity in the actuarial valuation are as follows:</v>
      </c>
      <c r="H101" s="585" t="str">
        <f t="shared" si="9"/>
        <v>The actuary’s estimates of scheme maturity in the actuarial valuation are as follows:</v>
      </c>
      <c r="I101" s="585" t="str">
        <f ca="1">IF($C$1=RefData!$B$418,'All Statement of strategy (D)'!$E101,IF('All Statement of strategy (D)'!$C$1=RefData!$B$419,'All Statement of strategy (D)'!$F101,IF('All Statement of strategy (D)'!$C$1=RefData!$B$420,'All Statement of strategy (D)'!$G101,IF('All Statement of strategy (D)'!$C$1=RefData!$B$421,'All Statement of strategy (D)'!$H101," "))))</f>
        <v xml:space="preserve"> </v>
      </c>
    </row>
    <row r="102" spans="1:9">
      <c r="A102" s="584" t="s">
        <v>1592</v>
      </c>
      <c r="B102" s="585" t="str">
        <f>"•   Scheme maturity at effective date (duration in years): "</f>
        <v xml:space="preserve">•   Scheme maturity at effective date (duration in years): </v>
      </c>
      <c r="C102" s="586" t="str">
        <f ca="1">'Reconciliation report'!$E$14</f>
        <v/>
      </c>
      <c r="D102" s="585" t="str">
        <f ca="1">IF(C102=1," year", " years")</f>
        <v xml:space="preserve"> years</v>
      </c>
      <c r="E102" s="585" t="str">
        <f ca="1">$B102&amp;$C102&amp;$D102</f>
        <v>•   Scheme maturity at effective date (duration in years):  years</v>
      </c>
      <c r="F102" s="585" t="str">
        <f ca="1">$B102&amp;$C102&amp;$D102</f>
        <v>•   Scheme maturity at effective date (duration in years):  years</v>
      </c>
      <c r="G102" s="585" t="str">
        <f ca="1">$B102&amp;$C102&amp;$D102</f>
        <v>•   Scheme maturity at effective date (duration in years):  years</v>
      </c>
      <c r="H102" s="585" t="str">
        <f ca="1">$B102&amp;$C102&amp;$D102</f>
        <v>•   Scheme maturity at effective date (duration in years):  years</v>
      </c>
      <c r="I102" s="585" t="str">
        <f ca="1">IF($C$1=RefData!$B$418,'All Statement of strategy (D)'!$E102,IF('All Statement of strategy (D)'!$C$1=RefData!$B$419,'All Statement of strategy (D)'!$F102,IF('All Statement of strategy (D)'!$C$1=RefData!$B$420,'All Statement of strategy (D)'!$G102,IF('All Statement of strategy (D)'!$C$1=RefData!$B$421,'All Statement of strategy (D)'!$H102," "))))</f>
        <v xml:space="preserve"> </v>
      </c>
    </row>
    <row r="103" spans="1:9">
      <c r="A103" s="584" t="s">
        <v>1593</v>
      </c>
      <c r="B103" s="585" t="str">
        <f>"•   Allowance for future accrual in estimating date of significant maturity: "</f>
        <v xml:space="preserve">•   Allowance for future accrual in estimating date of significant maturity: </v>
      </c>
      <c r="C103" s="586" t="str">
        <f ca="1">'Reconciliation report'!$E$16</f>
        <v/>
      </c>
      <c r="D103" s="585" t="str">
        <f t="shared" ref="D103:D105" ca="1" si="10">IF(C103=1," year", " years")</f>
        <v xml:space="preserve"> years</v>
      </c>
      <c r="E103" s="585" t="str">
        <f ca="1">IF('Reconciliation report'!$E$15=RefData!$B$23,'All Statement of strategy (D)'!$B103&amp;'All Statement of strategy (D)'!$C103&amp;$D103,"")</f>
        <v/>
      </c>
      <c r="F103" s="585" t="str">
        <f ca="1">IF('Reconciliation report'!$E$15=RefData!$B$23,'All Statement of strategy (D)'!$B103&amp;'All Statement of strategy (D)'!$C103&amp;$D103,"")</f>
        <v/>
      </c>
      <c r="G103" s="585" t="str">
        <f ca="1">IF('Reconciliation report'!$E$15=RefData!$B$23,'All Statement of strategy (D)'!$B103&amp;'All Statement of strategy (D)'!$C103&amp;$D103,"")</f>
        <v/>
      </c>
      <c r="H103" s="585" t="str">
        <f ca="1">IF('Reconciliation report'!$E$15=RefData!$B$23,'All Statement of strategy (D)'!$B103&amp;'All Statement of strategy (D)'!$C103&amp;$D103,"")</f>
        <v/>
      </c>
      <c r="I103" s="585" t="str">
        <f ca="1">IF($C$1=RefData!$B$418,'All Statement of strategy (D)'!$E103,IF('All Statement of strategy (D)'!$C$1=RefData!$B$419,'All Statement of strategy (D)'!$F103,IF('All Statement of strategy (D)'!$C$1=RefData!$B$420,'All Statement of strategy (D)'!$G103,IF('All Statement of strategy (D)'!$C$1=RefData!$B$421,'All Statement of strategy (D)'!$H103," "))))</f>
        <v xml:space="preserve"> </v>
      </c>
    </row>
    <row r="104" spans="1:9">
      <c r="A104" s="584" t="s">
        <v>1594</v>
      </c>
      <c r="B104" s="585" t="str">
        <f>"•   Scheme maturity at effective date including that allowance for future accrual (duration in years): "</f>
        <v xml:space="preserve">•   Scheme maturity at effective date including that allowance for future accrual (duration in years): </v>
      </c>
      <c r="C104" s="586" t="str">
        <f ca="1">'Reconciliation report'!$E$17</f>
        <v/>
      </c>
      <c r="D104" s="585" t="str">
        <f t="shared" ca="1" si="10"/>
        <v xml:space="preserve"> years</v>
      </c>
      <c r="E104" s="585" t="str">
        <f ca="1">IF(AND('Reconciliation report'!$E$17&lt;&gt;"",'Reconciliation report'!$E$15=RefData!$B$23),'All Statement of strategy (D)'!$B104&amp;'All Statement of strategy (D)'!$C104&amp;$D104,"")</f>
        <v/>
      </c>
      <c r="F104" s="585" t="str">
        <f ca="1">IF(AND('Reconciliation report'!$E$17&lt;&gt;"",'Reconciliation report'!$E$15=RefData!$B$23),'All Statement of strategy (D)'!$B104&amp;'All Statement of strategy (D)'!$C104&amp;$D104,"")</f>
        <v/>
      </c>
      <c r="G104" s="585" t="str">
        <f ca="1">IF(AND('Reconciliation report'!$E$17&lt;&gt;"",'Reconciliation report'!$E$15=RefData!$B$23),'All Statement of strategy (D)'!$B104&amp;'All Statement of strategy (D)'!$C104&amp;$D104,"")</f>
        <v/>
      </c>
      <c r="H104" s="585" t="str">
        <f ca="1">IF(AND('Reconciliation report'!$E$17&lt;&gt;"",'Reconciliation report'!$E$15=RefData!$B$23),'All Statement of strategy (D)'!$B104&amp;'All Statement of strategy (D)'!$C104&amp;$D104,"")</f>
        <v/>
      </c>
      <c r="I104" s="585" t="str">
        <f ca="1">IF($C$1=RefData!$B$418,'All Statement of strategy (D)'!$E104,IF('All Statement of strategy (D)'!$C$1=RefData!$B$419,'All Statement of strategy (D)'!$F104,IF('All Statement of strategy (D)'!$C$1=RefData!$B$420,'All Statement of strategy (D)'!$G104,IF('All Statement of strategy (D)'!$C$1=RefData!$B$421,'All Statement of strategy (D)'!$H104," "))))</f>
        <v xml:space="preserve"> </v>
      </c>
    </row>
    <row r="105" spans="1:9">
      <c r="A105" s="584" t="s">
        <v>1536</v>
      </c>
      <c r="B105" s="585" t="str">
        <f>"•   Scheme maturity at relevant date (duration in years): "</f>
        <v xml:space="preserve">•   Scheme maturity at relevant date (duration in years): </v>
      </c>
      <c r="C105" s="586" t="str">
        <f ca="1">'Reconciliation report'!$E$18</f>
        <v/>
      </c>
      <c r="D105" s="585" t="str">
        <f t="shared" ca="1" si="10"/>
        <v xml:space="preserve"> years</v>
      </c>
      <c r="E105" s="585" t="str">
        <f ca="1">$B105&amp;$C105&amp;$D105</f>
        <v>•   Scheme maturity at relevant date (duration in years):  years</v>
      </c>
      <c r="F105" s="585" t="str">
        <f>""</f>
        <v/>
      </c>
      <c r="G105" s="585" t="str">
        <f ca="1">$B105&amp;$C105&amp;$D105</f>
        <v>•   Scheme maturity at relevant date (duration in years):  years</v>
      </c>
      <c r="H105" s="585" t="str">
        <f>""</f>
        <v/>
      </c>
      <c r="I105" s="585" t="str">
        <f ca="1">IF($C$1=RefData!$B$418,'All Statement of strategy (D)'!$E105,IF('All Statement of strategy (D)'!$C$1=RefData!$B$419,'All Statement of strategy (D)'!$F105,IF('All Statement of strategy (D)'!$C$1=RefData!$B$420,'All Statement of strategy (D)'!$G105,IF('All Statement of strategy (D)'!$C$1=RefData!$B$421,'All Statement of strategy (D)'!$H105," "))))</f>
        <v xml:space="preserve"> </v>
      </c>
    </row>
    <row r="106" spans="1:9">
      <c r="A106" s="584" t="s">
        <v>1595</v>
      </c>
      <c r="B106" s="585" t="str">
        <f>"•   Date the scheme is expected to reach significant maturity: "</f>
        <v xml:space="preserve">•   Date the scheme is expected to reach significant maturity: </v>
      </c>
      <c r="C106" s="585" t="str">
        <f ca="1">TEXT('Reconciliation report'!$E$20,RefData!$B$424)</f>
        <v/>
      </c>
      <c r="E106" s="585" t="str">
        <f ca="1">$B106&amp;$C106</f>
        <v xml:space="preserve">•   Date the scheme is expected to reach significant maturity: </v>
      </c>
      <c r="F106" s="585" t="str">
        <f>""</f>
        <v/>
      </c>
      <c r="G106" s="585" t="str">
        <f ca="1">$B106&amp;$C106</f>
        <v xml:space="preserve">•   Date the scheme is expected to reach significant maturity: </v>
      </c>
      <c r="H106" s="585" t="str">
        <f>""</f>
        <v/>
      </c>
      <c r="I106" s="585" t="str">
        <f ca="1">IF($C$1=RefData!$B$418,'All Statement of strategy (D)'!$E106,IF('All Statement of strategy (D)'!$C$1=RefData!$B$419,'All Statement of strategy (D)'!$F106,IF('All Statement of strategy (D)'!$C$1=RefData!$B$420,'All Statement of strategy (D)'!$G106,IF('All Statement of strategy (D)'!$C$1=RefData!$B$421,'All Statement of strategy (D)'!$H106," "))))</f>
        <v xml:space="preserve"> </v>
      </c>
    </row>
    <row r="107" spans="1:9">
      <c r="B107" s="585" t="s">
        <v>1596</v>
      </c>
      <c r="C107" s="588"/>
      <c r="D107" s="588"/>
      <c r="E107" s="585" t="str">
        <f>$B107</f>
        <v>Evidence of how maturity is expected to change over time</v>
      </c>
      <c r="F107" s="585" t="str">
        <f>""</f>
        <v/>
      </c>
      <c r="G107" s="585" t="str">
        <f>$B107</f>
        <v>Evidence of how maturity is expected to change over time</v>
      </c>
      <c r="H107" s="585" t="str">
        <f>""</f>
        <v/>
      </c>
      <c r="I107" s="585" t="str">
        <f ca="1">IF($C$1=RefData!$B$418,'All Statement of strategy (D)'!$E107,IF('All Statement of strategy (D)'!$C$1=RefData!$B$419,'All Statement of strategy (D)'!$F107,IF('All Statement of strategy (D)'!$C$1=RefData!$B$420,'All Statement of strategy (D)'!$G107,IF('All Statement of strategy (D)'!$C$1=RefData!$B$421,'All Statement of strategy (D)'!$H107," "))))</f>
        <v xml:space="preserve"> </v>
      </c>
    </row>
    <row r="108" spans="1:9">
      <c r="B108" s="585" t="s">
        <v>1597</v>
      </c>
      <c r="E108" s="585" t="str">
        <f>$B108</f>
        <v xml:space="preserve">The scheme actuary’s estimates of maturity, as shown above, evidence how the maturity of the scheme is expected to change over time by demonstrating the expected change in the scheme’s duration over the journey plan, including when it is expected to reach significant maturity. </v>
      </c>
      <c r="F108" s="585" t="str">
        <f>""</f>
        <v/>
      </c>
      <c r="G108" s="585" t="str">
        <f>$B108</f>
        <v xml:space="preserve">The scheme actuary’s estimates of maturity, as shown above, evidence how the maturity of the scheme is expected to change over time by demonstrating the expected change in the scheme’s duration over the journey plan, including when it is expected to reach significant maturity. </v>
      </c>
      <c r="H108" s="585" t="str">
        <f>""</f>
        <v/>
      </c>
      <c r="I108" s="585" t="str">
        <f ca="1">IF($C$1=RefData!$B$418,'All Statement of strategy (D)'!$E108,IF('All Statement of strategy (D)'!$C$1=RefData!$B$419,'All Statement of strategy (D)'!$F108,IF('All Statement of strategy (D)'!$C$1=RefData!$B$420,'All Statement of strategy (D)'!$G108,IF('All Statement of strategy (D)'!$C$1=RefData!$B$421,'All Statement of strategy (D)'!$H108," "))))</f>
        <v xml:space="preserve"> </v>
      </c>
    </row>
    <row r="109" spans="1:9">
      <c r="B109" s="585" t="s">
        <v>32</v>
      </c>
      <c r="E109" s="585" t="str">
        <f ca="1">IF('Reconciliation report'!$E$10=RefData!$B$15,'All Statement of strategy (D)'!$B109,"")</f>
        <v/>
      </c>
      <c r="F109" s="585" t="str">
        <f ca="1">IF('Reconciliation report'!$E$10=RefData!$B$15,'All Statement of strategy (D)'!$B109,"")</f>
        <v/>
      </c>
      <c r="G109" s="585" t="str">
        <f ca="1">IF('Reconciliation report'!$E$10=RefData!$B$15,'All Statement of strategy (D)'!$B109,"")</f>
        <v/>
      </c>
      <c r="H109" s="585" t="str">
        <f ca="1">IF('Reconciliation report'!$E$10=RefData!$B$15,'All Statement of strategy (D)'!$B109,"")</f>
        <v/>
      </c>
      <c r="I109" s="585" t="str">
        <f ca="1">IF($C$1=RefData!$B$418,'All Statement of strategy (D)'!$E109,IF('All Statement of strategy (D)'!$C$1=RefData!$B$419,'All Statement of strategy (D)'!$F109,IF('All Statement of strategy (D)'!$C$1=RefData!$B$420,'All Statement of strategy (D)'!$G109,IF('All Statement of strategy (D)'!$C$1=RefData!$B$421,'All Statement of strategy (D)'!$H109," "))))</f>
        <v xml:space="preserve"> </v>
      </c>
    </row>
    <row r="110" spans="1:9">
      <c r="B110" s="585" t="s">
        <v>1598</v>
      </c>
      <c r="E110" s="585" t="str">
        <f ca="1">IF('Reconciliation report'!$E$10=RefData!$B$16,'All Statement of strategy (D)'!$B110,"")</f>
        <v/>
      </c>
      <c r="F110" s="585" t="str">
        <f ca="1">IF('Reconciliation report'!$E$10=RefData!$B$16,'All Statement of strategy (D)'!$B110,"")</f>
        <v/>
      </c>
      <c r="G110" s="585" t="str">
        <f ca="1">IF('Reconciliation report'!$E$10=RefData!$B$16,'All Statement of strategy (D)'!$B110,"")</f>
        <v/>
      </c>
      <c r="H110" s="585" t="str">
        <f ca="1">IF('Reconciliation report'!$E$10=RefData!$B$16,'All Statement of strategy (D)'!$B110,"")</f>
        <v/>
      </c>
      <c r="I110" s="585" t="str">
        <f ca="1">IF($C$1=RefData!$B$418,'All Statement of strategy (D)'!$E110,IF('All Statement of strategy (D)'!$C$1=RefData!$B$419,'All Statement of strategy (D)'!$F110,IF('All Statement of strategy (D)'!$C$1=RefData!$B$420,'All Statement of strategy (D)'!$G110,IF('All Statement of strategy (D)'!$C$1=RefData!$B$421,'All Statement of strategy (D)'!$H110," "))))</f>
        <v xml:space="preserve"> </v>
      </c>
    </row>
    <row r="111" spans="1:9">
      <c r="B111" s="585" t="s">
        <v>1599</v>
      </c>
      <c r="E111" s="585" t="str">
        <f t="shared" ref="E111:H111" si="11">$B111</f>
        <v>The existing funding position of the scheme as set out in the actuarial valuation is as follows:</v>
      </c>
      <c r="F111" s="585" t="str">
        <f t="shared" si="11"/>
        <v>The existing funding position of the scheme as set out in the actuarial valuation is as follows:</v>
      </c>
      <c r="G111" s="585" t="str">
        <f t="shared" si="11"/>
        <v>The existing funding position of the scheme as set out in the actuarial valuation is as follows:</v>
      </c>
      <c r="H111" s="585" t="str">
        <f t="shared" si="11"/>
        <v>The existing funding position of the scheme as set out in the actuarial valuation is as follows:</v>
      </c>
      <c r="I111" s="585" t="str">
        <f ca="1">IF($C$1=RefData!$B$418,'All Statement of strategy (D)'!$E111,IF('All Statement of strategy (D)'!$C$1=RefData!$B$419,'All Statement of strategy (D)'!$F111,IF('All Statement of strategy (D)'!$C$1=RefData!$B$420,'All Statement of strategy (D)'!$G111,IF('All Statement of strategy (D)'!$C$1=RefData!$B$421,'All Statement of strategy (D)'!$H111," "))))</f>
        <v xml:space="preserve"> </v>
      </c>
    </row>
    <row r="112" spans="1:9">
      <c r="B112" s="585" t="s">
        <v>1600</v>
      </c>
      <c r="E112" s="585" t="str">
        <f>$B112</f>
        <v>Technical provisions</v>
      </c>
      <c r="F112" s="585" t="str">
        <f>$B112</f>
        <v>Technical provisions</v>
      </c>
      <c r="G112" s="585" t="str">
        <f>$B112</f>
        <v>Technical provisions</v>
      </c>
      <c r="H112" s="585" t="str">
        <f>$B112</f>
        <v>Technical provisions</v>
      </c>
      <c r="I112" s="585" t="str">
        <f ca="1">IF($C$1=RefData!$B$418,'All Statement of strategy (D)'!$E112,IF('All Statement of strategy (D)'!$C$1=RefData!$B$419,'All Statement of strategy (D)'!$F112,IF('All Statement of strategy (D)'!$C$1=RefData!$B$420,'All Statement of strategy (D)'!$G112,IF('All Statement of strategy (D)'!$C$1=RefData!$B$421,'All Statement of strategy (D)'!$H112," "))))</f>
        <v xml:space="preserve"> </v>
      </c>
    </row>
    <row r="113" spans="1:9">
      <c r="B113" s="585" t="s">
        <v>1601</v>
      </c>
      <c r="E113" s="585" t="str">
        <f t="shared" ref="E113:H124" si="12">$B113</f>
        <v>Low dependency</v>
      </c>
      <c r="F113" s="585" t="str">
        <f t="shared" si="12"/>
        <v>Low dependency</v>
      </c>
      <c r="G113" s="585" t="str">
        <f t="shared" si="12"/>
        <v>Low dependency</v>
      </c>
      <c r="H113" s="585" t="str">
        <f t="shared" si="12"/>
        <v>Low dependency</v>
      </c>
      <c r="I113" s="585" t="str">
        <f ca="1">IF($C$1=RefData!$B$418,'All Statement of strategy (D)'!$E113,IF('All Statement of strategy (D)'!$C$1=RefData!$B$419,'All Statement of strategy (D)'!$F113,IF('All Statement of strategy (D)'!$C$1=RefData!$B$420,'All Statement of strategy (D)'!$G113,IF('All Statement of strategy (D)'!$C$1=RefData!$B$421,'All Statement of strategy (D)'!$H113," "))))</f>
        <v xml:space="preserve"> </v>
      </c>
    </row>
    <row r="114" spans="1:9">
      <c r="B114" s="585" t="s">
        <v>1602</v>
      </c>
      <c r="E114" s="585" t="str">
        <f t="shared" si="12"/>
        <v>Solvency</v>
      </c>
      <c r="F114" s="585" t="str">
        <f t="shared" si="12"/>
        <v>Solvency</v>
      </c>
      <c r="G114" s="585" t="str">
        <f t="shared" si="12"/>
        <v>Solvency</v>
      </c>
      <c r="H114" s="585" t="str">
        <f t="shared" si="12"/>
        <v>Solvency</v>
      </c>
      <c r="I114" s="585" t="str">
        <f ca="1">IF($C$1=RefData!$B$418,'All Statement of strategy (D)'!$E114,IF('All Statement of strategy (D)'!$C$1=RefData!$B$419,'All Statement of strategy (D)'!$F114,IF('All Statement of strategy (D)'!$C$1=RefData!$B$420,'All Statement of strategy (D)'!$G114,IF('All Statement of strategy (D)'!$C$1=RefData!$B$421,'All Statement of strategy (D)'!$H114," "))))</f>
        <v xml:space="preserve"> </v>
      </c>
    </row>
    <row r="115" spans="1:9">
      <c r="B115" s="585" t="s">
        <v>1603</v>
      </c>
      <c r="E115" s="585" t="str">
        <f t="shared" si="12"/>
        <v>Total assets</v>
      </c>
      <c r="F115" s="585" t="str">
        <f t="shared" si="12"/>
        <v>Total assets</v>
      </c>
      <c r="G115" s="585" t="str">
        <f t="shared" si="12"/>
        <v>Total assets</v>
      </c>
      <c r="H115" s="585" t="str">
        <f t="shared" si="12"/>
        <v>Total assets</v>
      </c>
      <c r="I115" s="585" t="str">
        <f ca="1">IF($C$1=RefData!$B$418,'All Statement of strategy (D)'!$E115,IF('All Statement of strategy (D)'!$C$1=RefData!$B$419,'All Statement of strategy (D)'!$F115,IF('All Statement of strategy (D)'!$C$1=RefData!$B$420,'All Statement of strategy (D)'!$G115,IF('All Statement of strategy (D)'!$C$1=RefData!$B$421,'All Statement of strategy (D)'!$H115," "))))</f>
        <v xml:space="preserve"> </v>
      </c>
    </row>
    <row r="116" spans="1:9">
      <c r="B116" s="585" t="s">
        <v>1604</v>
      </c>
      <c r="E116" s="585" t="str">
        <f t="shared" si="12"/>
        <v>Active member liabilities</v>
      </c>
      <c r="F116" s="585" t="str">
        <f t="shared" si="12"/>
        <v>Active member liabilities</v>
      </c>
      <c r="G116" s="585" t="str">
        <f t="shared" si="12"/>
        <v>Active member liabilities</v>
      </c>
      <c r="H116" s="585" t="str">
        <f t="shared" si="12"/>
        <v>Active member liabilities</v>
      </c>
      <c r="I116" s="585" t="str">
        <f ca="1">IF($C$1=RefData!$B$418,'All Statement of strategy (D)'!$E116,IF('All Statement of strategy (D)'!$C$1=RefData!$B$419,'All Statement of strategy (D)'!$F116,IF('All Statement of strategy (D)'!$C$1=RefData!$B$420,'All Statement of strategy (D)'!$G116,IF('All Statement of strategy (D)'!$C$1=RefData!$B$421,'All Statement of strategy (D)'!$H116," "))))</f>
        <v xml:space="preserve"> </v>
      </c>
    </row>
    <row r="117" spans="1:9">
      <c r="B117" s="585" t="s">
        <v>1605</v>
      </c>
      <c r="E117" s="585" t="str">
        <f t="shared" si="12"/>
        <v>Deferred member liabilities</v>
      </c>
      <c r="F117" s="585" t="str">
        <f t="shared" si="12"/>
        <v>Deferred member liabilities</v>
      </c>
      <c r="G117" s="585" t="str">
        <f t="shared" si="12"/>
        <v>Deferred member liabilities</v>
      </c>
      <c r="H117" s="585" t="str">
        <f t="shared" si="12"/>
        <v>Deferred member liabilities</v>
      </c>
      <c r="I117" s="585" t="str">
        <f ca="1">IF($C$1=RefData!$B$418,'All Statement of strategy (D)'!$E117,IF('All Statement of strategy (D)'!$C$1=RefData!$B$419,'All Statement of strategy (D)'!$F117,IF('All Statement of strategy (D)'!$C$1=RefData!$B$420,'All Statement of strategy (D)'!$G117,IF('All Statement of strategy (D)'!$C$1=RefData!$B$421,'All Statement of strategy (D)'!$H117," "))))</f>
        <v xml:space="preserve"> </v>
      </c>
    </row>
    <row r="118" spans="1:9">
      <c r="B118" s="585" t="s">
        <v>1606</v>
      </c>
      <c r="E118" s="585" t="str">
        <f t="shared" si="12"/>
        <v>Pensioner member liabilities</v>
      </c>
      <c r="F118" s="585" t="str">
        <f t="shared" si="12"/>
        <v>Pensioner member liabilities</v>
      </c>
      <c r="G118" s="585" t="str">
        <f t="shared" si="12"/>
        <v>Pensioner member liabilities</v>
      </c>
      <c r="H118" s="585" t="str">
        <f t="shared" si="12"/>
        <v>Pensioner member liabilities</v>
      </c>
      <c r="I118" s="585" t="str">
        <f ca="1">IF($C$1=RefData!$B$418,'All Statement of strategy (D)'!$E118,IF('All Statement of strategy (D)'!$C$1=RefData!$B$419,'All Statement of strategy (D)'!$F118,IF('All Statement of strategy (D)'!$C$1=RefData!$B$420,'All Statement of strategy (D)'!$G118,IF('All Statement of strategy (D)'!$C$1=RefData!$B$421,'All Statement of strategy (D)'!$H118," "))))</f>
        <v xml:space="preserve"> </v>
      </c>
    </row>
    <row r="119" spans="1:9">
      <c r="B119" s="585" t="s">
        <v>1607</v>
      </c>
      <c r="E119" s="585" t="str">
        <f t="shared" si="12"/>
        <v>Insured liabilities</v>
      </c>
      <c r="F119" s="585" t="str">
        <f t="shared" si="12"/>
        <v>Insured liabilities</v>
      </c>
      <c r="G119" s="585" t="str">
        <f t="shared" si="12"/>
        <v>Insured liabilities</v>
      </c>
      <c r="H119" s="585" t="str">
        <f t="shared" si="12"/>
        <v>Insured liabilities</v>
      </c>
      <c r="I119" s="585" t="str">
        <f ca="1">IF($C$1=RefData!$B$418,'All Statement of strategy (D)'!$E119,IF('All Statement of strategy (D)'!$C$1=RefData!$B$419,'All Statement of strategy (D)'!$F119,IF('All Statement of strategy (D)'!$C$1=RefData!$B$420,'All Statement of strategy (D)'!$G119,IF('All Statement of strategy (D)'!$C$1=RefData!$B$421,'All Statement of strategy (D)'!$H119," "))))</f>
        <v xml:space="preserve"> </v>
      </c>
    </row>
    <row r="120" spans="1:9">
      <c r="B120" s="585" t="str">
        <f ca="1">IF('Reconciliation report'!$E$37=RefData!$B$19,"Defined contribution liabilities","")</f>
        <v/>
      </c>
      <c r="E120" s="585" t="str">
        <f t="shared" ca="1" si="12"/>
        <v/>
      </c>
      <c r="F120" s="585" t="str">
        <f t="shared" ca="1" si="12"/>
        <v/>
      </c>
      <c r="G120" s="585" t="str">
        <f t="shared" ca="1" si="12"/>
        <v/>
      </c>
      <c r="H120" s="585" t="str">
        <f t="shared" ca="1" si="12"/>
        <v/>
      </c>
      <c r="I120" s="585" t="str">
        <f ca="1">IF($C$1=RefData!$B$418,'All Statement of strategy (D)'!$E120,IF('All Statement of strategy (D)'!$C$1=RefData!$B$419,'All Statement of strategy (D)'!$F120,IF('All Statement of strategy (D)'!$C$1=RefData!$B$420,'All Statement of strategy (D)'!$G120,IF('All Statement of strategy (D)'!$C$1=RefData!$B$421,'All Statement of strategy (D)'!$H120," "))))</f>
        <v xml:space="preserve"> </v>
      </c>
    </row>
    <row r="121" spans="1:9">
      <c r="B121" s="585" t="str">
        <f ca="1">IF('Reconciliation report'!$E$38=RefData!$B$21,"Cash balance liabilities","")</f>
        <v/>
      </c>
      <c r="E121" s="585" t="str">
        <f t="shared" ca="1" si="12"/>
        <v/>
      </c>
      <c r="F121" s="585" t="str">
        <f t="shared" ca="1" si="12"/>
        <v/>
      </c>
      <c r="G121" s="585" t="str">
        <f t="shared" ca="1" si="12"/>
        <v/>
      </c>
      <c r="H121" s="585" t="str">
        <f t="shared" ca="1" si="12"/>
        <v/>
      </c>
      <c r="I121" s="585" t="str">
        <f ca="1">IF($C$1=RefData!$B$418,'All Statement of strategy (D)'!$E121,IF('All Statement of strategy (D)'!$C$1=RefData!$B$419,'All Statement of strategy (D)'!$F121,IF('All Statement of strategy (D)'!$C$1=RefData!$B$420,'All Statement of strategy (D)'!$G121,IF('All Statement of strategy (D)'!$C$1=RefData!$B$421,'All Statement of strategy (D)'!$H121," "))))</f>
        <v xml:space="preserve"> </v>
      </c>
    </row>
    <row r="122" spans="1:9">
      <c r="B122" s="585" t="s">
        <v>1608</v>
      </c>
      <c r="E122" s="585" t="str">
        <f t="shared" si="12"/>
        <v>Expense reserves</v>
      </c>
      <c r="F122" s="585" t="str">
        <f t="shared" si="12"/>
        <v>Expense reserves</v>
      </c>
      <c r="G122" s="585" t="str">
        <f t="shared" si="12"/>
        <v>Expense reserves</v>
      </c>
      <c r="H122" s="585" t="str">
        <f t="shared" si="12"/>
        <v>Expense reserves</v>
      </c>
      <c r="I122" s="585" t="str">
        <f ca="1">IF($C$1=RefData!$B$418,'All Statement of strategy (D)'!$E122,IF('All Statement of strategy (D)'!$C$1=RefData!$B$419,'All Statement of strategy (D)'!$F122,IF('All Statement of strategy (D)'!$C$1=RefData!$B$420,'All Statement of strategy (D)'!$G122,IF('All Statement of strategy (D)'!$C$1=RefData!$B$421,'All Statement of strategy (D)'!$H122," "))))</f>
        <v xml:space="preserve"> </v>
      </c>
    </row>
    <row r="123" spans="1:9">
      <c r="B123" s="585" t="s">
        <v>1609</v>
      </c>
      <c r="E123" s="585" t="str">
        <f t="shared" si="12"/>
        <v>Total liabilities</v>
      </c>
      <c r="F123" s="585" t="str">
        <f t="shared" si="12"/>
        <v>Total liabilities</v>
      </c>
      <c r="G123" s="585" t="str">
        <f t="shared" si="12"/>
        <v>Total liabilities</v>
      </c>
      <c r="H123" s="585" t="str">
        <f t="shared" si="12"/>
        <v>Total liabilities</v>
      </c>
      <c r="I123" s="585" t="str">
        <f ca="1">IF($C$1=RefData!$B$418,'All Statement of strategy (D)'!$E123,IF('All Statement of strategy (D)'!$C$1=RefData!$B$419,'All Statement of strategy (D)'!$F123,IF('All Statement of strategy (D)'!$C$1=RefData!$B$420,'All Statement of strategy (D)'!$G123,IF('All Statement of strategy (D)'!$C$1=RefData!$B$421,'All Statement of strategy (D)'!$H123," "))))</f>
        <v xml:space="preserve"> </v>
      </c>
    </row>
    <row r="124" spans="1:9">
      <c r="B124" s="585" t="s">
        <v>1610</v>
      </c>
      <c r="E124" s="585" t="str">
        <f t="shared" si="12"/>
        <v>Funding level</v>
      </c>
      <c r="F124" s="585" t="str">
        <f t="shared" si="12"/>
        <v>Funding level</v>
      </c>
      <c r="G124" s="585" t="str">
        <f t="shared" si="12"/>
        <v>Funding level</v>
      </c>
      <c r="H124" s="585" t="str">
        <f t="shared" si="12"/>
        <v>Funding level</v>
      </c>
      <c r="I124" s="585" t="str">
        <f ca="1">IF($C$1=RefData!$B$418,'All Statement of strategy (D)'!$E124,IF('All Statement of strategy (D)'!$C$1=RefData!$B$419,'All Statement of strategy (D)'!$F124,IF('All Statement of strategy (D)'!$C$1=RefData!$B$420,'All Statement of strategy (D)'!$G124,IF('All Statement of strategy (D)'!$C$1=RefData!$B$421,'All Statement of strategy (D)'!$H124," "))))</f>
        <v xml:space="preserve"> </v>
      </c>
    </row>
    <row r="125" spans="1:9">
      <c r="A125" s="584" t="s">
        <v>1611</v>
      </c>
      <c r="B125" s="585" t="s">
        <v>1612</v>
      </c>
      <c r="C125" s="603" t="str">
        <f ca="1">'Reconciliation report'!$E39</f>
        <v/>
      </c>
      <c r="E125" s="603" t="str">
        <f ca="1">$C125</f>
        <v/>
      </c>
      <c r="F125" s="603" t="str">
        <f ca="1">$C125</f>
        <v/>
      </c>
      <c r="G125" s="603" t="str">
        <f ca="1">$C125</f>
        <v/>
      </c>
      <c r="H125" s="603" t="str">
        <f ca="1">$C125</f>
        <v/>
      </c>
      <c r="I125" s="603" t="str">
        <f ca="1">IF($C$1=RefData!$B$418,'All Statement of strategy (D)'!$E125,IF('All Statement of strategy (D)'!$C$1=RefData!$B$419,'All Statement of strategy (D)'!$F125,IF('All Statement of strategy (D)'!$C$1=RefData!$B$420,'All Statement of strategy (D)'!$G125,IF('All Statement of strategy (D)'!$C$1=RefData!$B$421,'All Statement of strategy (D)'!$H125," "))))</f>
        <v xml:space="preserve"> </v>
      </c>
    </row>
    <row r="126" spans="1:9">
      <c r="A126" s="584" t="s">
        <v>1613</v>
      </c>
      <c r="B126" s="585" t="s">
        <v>1614</v>
      </c>
      <c r="C126" s="603" t="str">
        <f ca="1">'Reconciliation report'!$E40</f>
        <v/>
      </c>
      <c r="E126" s="603" t="str">
        <f t="shared" ref="E126:H129" ca="1" si="13">$C126</f>
        <v/>
      </c>
      <c r="F126" s="603" t="str">
        <f t="shared" ca="1" si="13"/>
        <v/>
      </c>
      <c r="G126" s="603" t="str">
        <f t="shared" ca="1" si="13"/>
        <v/>
      </c>
      <c r="H126" s="603" t="str">
        <f t="shared" ca="1" si="13"/>
        <v/>
      </c>
      <c r="I126" s="603" t="str">
        <f ca="1">IF($C$1=RefData!$B$418,'All Statement of strategy (D)'!$E126,IF('All Statement of strategy (D)'!$C$1=RefData!$B$419,'All Statement of strategy (D)'!$F126,IF('All Statement of strategy (D)'!$C$1=RefData!$B$420,'All Statement of strategy (D)'!$G126,IF('All Statement of strategy (D)'!$C$1=RefData!$B$421,'All Statement of strategy (D)'!$H126," "))))</f>
        <v xml:space="preserve"> </v>
      </c>
    </row>
    <row r="127" spans="1:9">
      <c r="A127" s="584" t="s">
        <v>1615</v>
      </c>
      <c r="B127" s="585" t="s">
        <v>1616</v>
      </c>
      <c r="C127" s="603" t="str">
        <f ca="1">'Reconciliation report'!$E41</f>
        <v/>
      </c>
      <c r="E127" s="603" t="str">
        <f t="shared" ca="1" si="13"/>
        <v/>
      </c>
      <c r="F127" s="603" t="str">
        <f t="shared" ca="1" si="13"/>
        <v/>
      </c>
      <c r="G127" s="603" t="str">
        <f t="shared" ca="1" si="13"/>
        <v/>
      </c>
      <c r="H127" s="603" t="str">
        <f t="shared" ca="1" si="13"/>
        <v/>
      </c>
      <c r="I127" s="603" t="str">
        <f ca="1">IF($C$1=RefData!$B$418,'All Statement of strategy (D)'!$E127,IF('All Statement of strategy (D)'!$C$1=RefData!$B$419,'All Statement of strategy (D)'!$F127,IF('All Statement of strategy (D)'!$C$1=RefData!$B$420,'All Statement of strategy (D)'!$G127,IF('All Statement of strategy (D)'!$C$1=RefData!$B$421,'All Statement of strategy (D)'!$H127," "))))</f>
        <v xml:space="preserve"> </v>
      </c>
    </row>
    <row r="128" spans="1:9">
      <c r="A128" s="584" t="s">
        <v>1617</v>
      </c>
      <c r="B128" s="585" t="s">
        <v>1618</v>
      </c>
      <c r="C128" s="603" t="str">
        <f ca="1">'Reconciliation report'!$E42</f>
        <v/>
      </c>
      <c r="E128" s="603" t="str">
        <f t="shared" ca="1" si="13"/>
        <v/>
      </c>
      <c r="F128" s="603" t="str">
        <f t="shared" ca="1" si="13"/>
        <v/>
      </c>
      <c r="G128" s="603" t="str">
        <f t="shared" ca="1" si="13"/>
        <v/>
      </c>
      <c r="H128" s="603" t="str">
        <f t="shared" ca="1" si="13"/>
        <v/>
      </c>
      <c r="I128" s="603" t="str">
        <f ca="1">IF($C$1=RefData!$B$418,'All Statement of strategy (D)'!$E128,IF('All Statement of strategy (D)'!$C$1=RefData!$B$419,'All Statement of strategy (D)'!$F128,IF('All Statement of strategy (D)'!$C$1=RefData!$B$420,'All Statement of strategy (D)'!$G128,IF('All Statement of strategy (D)'!$C$1=RefData!$B$421,'All Statement of strategy (D)'!$H128," "))))</f>
        <v xml:space="preserve"> </v>
      </c>
    </row>
    <row r="129" spans="1:9">
      <c r="A129" s="584" t="s">
        <v>1619</v>
      </c>
      <c r="B129" s="585" t="s">
        <v>1620</v>
      </c>
      <c r="C129" s="603" t="str">
        <f ca="1">'Reconciliation report'!$E43</f>
        <v/>
      </c>
      <c r="E129" s="603" t="str">
        <f t="shared" ca="1" si="13"/>
        <v/>
      </c>
      <c r="F129" s="603" t="str">
        <f t="shared" ca="1" si="13"/>
        <v/>
      </c>
      <c r="G129" s="603" t="str">
        <f t="shared" ca="1" si="13"/>
        <v/>
      </c>
      <c r="H129" s="603" t="str">
        <f t="shared" ca="1" si="13"/>
        <v/>
      </c>
      <c r="I129" s="603" t="str">
        <f ca="1">IF($C$1=RefData!$B$418,'All Statement of strategy (D)'!$E129,IF('All Statement of strategy (D)'!$C$1=RefData!$B$419,'All Statement of strategy (D)'!$F129,IF('All Statement of strategy (D)'!$C$1=RefData!$B$420,'All Statement of strategy (D)'!$G129,IF('All Statement of strategy (D)'!$C$1=RefData!$B$421,'All Statement of strategy (D)'!$H129," "))))</f>
        <v xml:space="preserve"> </v>
      </c>
    </row>
    <row r="130" spans="1:9">
      <c r="A130" s="584" t="s">
        <v>1621</v>
      </c>
      <c r="B130" s="585" t="s">
        <v>1622</v>
      </c>
      <c r="C130" s="603" t="str">
        <f ca="1">IF('Reconciliation report'!$E$37=RefData!$B$19,'Reconciliation report'!$E44,"")</f>
        <v/>
      </c>
      <c r="E130" s="603" t="str">
        <f ca="1">IF('Reconciliation report'!$E$37=RefData!$B$19,$C130,"")</f>
        <v/>
      </c>
      <c r="F130" s="603" t="str">
        <f ca="1">IF('Reconciliation report'!$E$37=RefData!$B$19,$C130,"")</f>
        <v/>
      </c>
      <c r="G130" s="603" t="str">
        <f ca="1">IF('Reconciliation report'!$E$37=RefData!$B$19,$C130,"")</f>
        <v/>
      </c>
      <c r="H130" s="603" t="str">
        <f ca="1">IF('Reconciliation report'!$E$37=RefData!$B$19,$C130,"")</f>
        <v/>
      </c>
      <c r="I130" s="603" t="str">
        <f ca="1">IF($C$1=RefData!$B$418,'All Statement of strategy (D)'!$E130,IF('All Statement of strategy (D)'!$C$1=RefData!$B$419,'All Statement of strategy (D)'!$F130,IF('All Statement of strategy (D)'!$C$1=RefData!$B$420,'All Statement of strategy (D)'!$G130,IF('All Statement of strategy (D)'!$C$1=RefData!$B$421,'All Statement of strategy (D)'!$H130," "))))</f>
        <v xml:space="preserve"> </v>
      </c>
    </row>
    <row r="131" spans="1:9">
      <c r="A131" s="584" t="s">
        <v>1623</v>
      </c>
      <c r="B131" s="585" t="s">
        <v>1624</v>
      </c>
      <c r="C131" s="603" t="str">
        <f ca="1">IF('Reconciliation report'!$E$38=RefData!$B$21,'Reconciliation report'!$E45,"")</f>
        <v/>
      </c>
      <c r="E131" s="603" t="str">
        <f ca="1">IF('Reconciliation report'!$E$38=RefData!$B$21,$C131,"")</f>
        <v/>
      </c>
      <c r="F131" s="603" t="str">
        <f ca="1">IF('Reconciliation report'!$E$38=RefData!$B$21,$C131,"")</f>
        <v/>
      </c>
      <c r="G131" s="603" t="str">
        <f ca="1">IF('Reconciliation report'!$E$38=RefData!$B$21,$C131,"")</f>
        <v/>
      </c>
      <c r="H131" s="603" t="str">
        <f ca="1">IF('Reconciliation report'!$E$38=RefData!$B$21,$C131,"")</f>
        <v/>
      </c>
      <c r="I131" s="603" t="str">
        <f ca="1">IF($C$1=RefData!$B$418,'All Statement of strategy (D)'!$E131,IF('All Statement of strategy (D)'!$C$1=RefData!$B$419,'All Statement of strategy (D)'!$F131,IF('All Statement of strategy (D)'!$C$1=RefData!$B$420,'All Statement of strategy (D)'!$G131,IF('All Statement of strategy (D)'!$C$1=RefData!$B$421,'All Statement of strategy (D)'!$H131," "))))</f>
        <v xml:space="preserve"> </v>
      </c>
    </row>
    <row r="132" spans="1:9">
      <c r="A132" s="584" t="s">
        <v>1625</v>
      </c>
      <c r="B132" s="585" t="s">
        <v>1626</v>
      </c>
      <c r="C132" s="603" t="str">
        <f ca="1">'Reconciliation report'!$E46</f>
        <v/>
      </c>
      <c r="E132" s="603" t="str">
        <f t="shared" ref="E132:H139" ca="1" si="14">$C132</f>
        <v/>
      </c>
      <c r="F132" s="603" t="str">
        <f t="shared" ca="1" si="14"/>
        <v/>
      </c>
      <c r="G132" s="603" t="str">
        <f t="shared" ca="1" si="14"/>
        <v/>
      </c>
      <c r="H132" s="603" t="str">
        <f t="shared" ca="1" si="14"/>
        <v/>
      </c>
      <c r="I132" s="603" t="str">
        <f ca="1">IF($C$1=RefData!$B$418,'All Statement of strategy (D)'!$E132,IF('All Statement of strategy (D)'!$C$1=RefData!$B$419,'All Statement of strategy (D)'!$F132,IF('All Statement of strategy (D)'!$C$1=RefData!$B$420,'All Statement of strategy (D)'!$G132,IF('All Statement of strategy (D)'!$C$1=RefData!$B$421,'All Statement of strategy (D)'!$H132," "))))</f>
        <v xml:space="preserve"> </v>
      </c>
    </row>
    <row r="133" spans="1:9">
      <c r="A133" s="584" t="s">
        <v>1627</v>
      </c>
      <c r="B133" s="585" t="s">
        <v>1628</v>
      </c>
      <c r="C133" s="603" t="str">
        <f ca="1">'Reconciliation report'!$E47</f>
        <v/>
      </c>
      <c r="E133" s="603" t="str">
        <f t="shared" ca="1" si="14"/>
        <v/>
      </c>
      <c r="F133" s="603" t="str">
        <f t="shared" ca="1" si="14"/>
        <v/>
      </c>
      <c r="G133" s="603" t="str">
        <f t="shared" ca="1" si="14"/>
        <v/>
      </c>
      <c r="H133" s="603" t="str">
        <f t="shared" ca="1" si="14"/>
        <v/>
      </c>
      <c r="I133" s="603" t="str">
        <f ca="1">IF($C$1=RefData!$B$418,'All Statement of strategy (D)'!$E133,IF('All Statement of strategy (D)'!$C$1=RefData!$B$419,'All Statement of strategy (D)'!$F133,IF('All Statement of strategy (D)'!$C$1=RefData!$B$420,'All Statement of strategy (D)'!$G133,IF('All Statement of strategy (D)'!$C$1=RefData!$B$421,'All Statement of strategy (D)'!$H133," "))))</f>
        <v xml:space="preserve"> </v>
      </c>
    </row>
    <row r="134" spans="1:9">
      <c r="A134" s="584" t="s">
        <v>1529</v>
      </c>
      <c r="B134" s="585" t="s">
        <v>1629</v>
      </c>
      <c r="C134" s="603" t="str">
        <f ca="1">TEXT('Reconciliation report'!$E60,RefData!$B$423)</f>
        <v/>
      </c>
      <c r="E134" s="603" t="str">
        <f t="shared" ca="1" si="14"/>
        <v/>
      </c>
      <c r="F134" s="603" t="str">
        <f t="shared" ca="1" si="14"/>
        <v/>
      </c>
      <c r="G134" s="603" t="str">
        <f t="shared" ca="1" si="14"/>
        <v/>
      </c>
      <c r="H134" s="603" t="str">
        <f t="shared" ca="1" si="14"/>
        <v/>
      </c>
      <c r="I134" s="603" t="str">
        <f ca="1">IF($C$1=RefData!$B$418,'All Statement of strategy (D)'!$E134,IF('All Statement of strategy (D)'!$C$1=RefData!$B$419,'All Statement of strategy (D)'!$F134,IF('All Statement of strategy (D)'!$C$1=RefData!$B$420,'All Statement of strategy (D)'!$G134,IF('All Statement of strategy (D)'!$C$1=RefData!$B$421,'All Statement of strategy (D)'!$H134," "))))</f>
        <v xml:space="preserve"> </v>
      </c>
    </row>
    <row r="135" spans="1:9">
      <c r="A135" s="584" t="s">
        <v>1630</v>
      </c>
      <c r="B135" s="585" t="s">
        <v>1631</v>
      </c>
      <c r="C135" s="603" t="str">
        <f ca="1">'Reconciliation report'!$E50</f>
        <v/>
      </c>
      <c r="E135" s="603" t="str">
        <f t="shared" ca="1" si="14"/>
        <v/>
      </c>
      <c r="F135" s="603" t="str">
        <f t="shared" ca="1" si="14"/>
        <v/>
      </c>
      <c r="G135" s="603" t="str">
        <f t="shared" ca="1" si="14"/>
        <v/>
      </c>
      <c r="H135" s="603" t="str">
        <f t="shared" ca="1" si="14"/>
        <v/>
      </c>
      <c r="I135" s="603" t="str">
        <f ca="1">IF($C$1=RefData!$B$418,'All Statement of strategy (D)'!$E135,IF('All Statement of strategy (D)'!$C$1=RefData!$B$419,'All Statement of strategy (D)'!$F135,IF('All Statement of strategy (D)'!$C$1=RefData!$B$420,'All Statement of strategy (D)'!$G135,IF('All Statement of strategy (D)'!$C$1=RefData!$B$421,'All Statement of strategy (D)'!$H135," "))))</f>
        <v xml:space="preserve"> </v>
      </c>
    </row>
    <row r="136" spans="1:9">
      <c r="A136" s="584" t="s">
        <v>1632</v>
      </c>
      <c r="B136" s="585" t="s">
        <v>1633</v>
      </c>
      <c r="C136" s="603" t="str">
        <f ca="1">'Reconciliation report'!$E51</f>
        <v/>
      </c>
      <c r="E136" s="603" t="str">
        <f t="shared" ca="1" si="14"/>
        <v/>
      </c>
      <c r="F136" s="603" t="str">
        <f t="shared" ca="1" si="14"/>
        <v/>
      </c>
      <c r="G136" s="603" t="str">
        <f t="shared" ca="1" si="14"/>
        <v/>
      </c>
      <c r="H136" s="603" t="str">
        <f t="shared" ca="1" si="14"/>
        <v/>
      </c>
      <c r="I136" s="603" t="str">
        <f ca="1">IF($C$1=RefData!$B$418,'All Statement of strategy (D)'!$E136,IF('All Statement of strategy (D)'!$C$1=RefData!$B$419,'All Statement of strategy (D)'!$F136,IF('All Statement of strategy (D)'!$C$1=RefData!$B$420,'All Statement of strategy (D)'!$G136,IF('All Statement of strategy (D)'!$C$1=RefData!$B$421,'All Statement of strategy (D)'!$H136," "))))</f>
        <v xml:space="preserve"> </v>
      </c>
    </row>
    <row r="137" spans="1:9">
      <c r="A137" s="584" t="s">
        <v>1634</v>
      </c>
      <c r="B137" s="585" t="s">
        <v>1635</v>
      </c>
      <c r="C137" s="603" t="str">
        <f ca="1">'Reconciliation report'!$E52</f>
        <v/>
      </c>
      <c r="E137" s="603" t="str">
        <f t="shared" ca="1" si="14"/>
        <v/>
      </c>
      <c r="F137" s="603" t="str">
        <f t="shared" ca="1" si="14"/>
        <v/>
      </c>
      <c r="G137" s="603" t="str">
        <f t="shared" ca="1" si="14"/>
        <v/>
      </c>
      <c r="H137" s="603" t="str">
        <f t="shared" ca="1" si="14"/>
        <v/>
      </c>
      <c r="I137" s="603" t="str">
        <f ca="1">IF($C$1=RefData!$B$418,'All Statement of strategy (D)'!$E137,IF('All Statement of strategy (D)'!$C$1=RefData!$B$419,'All Statement of strategy (D)'!$F137,IF('All Statement of strategy (D)'!$C$1=RefData!$B$420,'All Statement of strategy (D)'!$G137,IF('All Statement of strategy (D)'!$C$1=RefData!$B$421,'All Statement of strategy (D)'!$H137," "))))</f>
        <v xml:space="preserve"> </v>
      </c>
    </row>
    <row r="138" spans="1:9">
      <c r="A138" s="584" t="s">
        <v>1636</v>
      </c>
      <c r="B138" s="585" t="s">
        <v>1637</v>
      </c>
      <c r="C138" s="603" t="str">
        <f ca="1">'Reconciliation report'!$E53</f>
        <v/>
      </c>
      <c r="E138" s="603" t="str">
        <f t="shared" ca="1" si="14"/>
        <v/>
      </c>
      <c r="F138" s="603" t="str">
        <f t="shared" ca="1" si="14"/>
        <v/>
      </c>
      <c r="G138" s="603" t="str">
        <f t="shared" ca="1" si="14"/>
        <v/>
      </c>
      <c r="H138" s="603" t="str">
        <f t="shared" ca="1" si="14"/>
        <v/>
      </c>
      <c r="I138" s="603" t="str">
        <f ca="1">IF($C$1=RefData!$B$418,'All Statement of strategy (D)'!$E138,IF('All Statement of strategy (D)'!$C$1=RefData!$B$419,'All Statement of strategy (D)'!$F138,IF('All Statement of strategy (D)'!$C$1=RefData!$B$420,'All Statement of strategy (D)'!$G138,IF('All Statement of strategy (D)'!$C$1=RefData!$B$421,'All Statement of strategy (D)'!$H138," "))))</f>
        <v xml:space="preserve"> </v>
      </c>
    </row>
    <row r="139" spans="1:9">
      <c r="A139" s="584" t="s">
        <v>1638</v>
      </c>
      <c r="B139" s="585" t="s">
        <v>1639</v>
      </c>
      <c r="C139" s="603" t="str">
        <f ca="1">'Reconciliation report'!$E54</f>
        <v/>
      </c>
      <c r="E139" s="603" t="str">
        <f t="shared" ca="1" si="14"/>
        <v/>
      </c>
      <c r="F139" s="603" t="str">
        <f t="shared" ca="1" si="14"/>
        <v/>
      </c>
      <c r="G139" s="603" t="str">
        <f t="shared" ca="1" si="14"/>
        <v/>
      </c>
      <c r="H139" s="603" t="str">
        <f t="shared" ca="1" si="14"/>
        <v/>
      </c>
      <c r="I139" s="603" t="str">
        <f ca="1">IF($C$1=RefData!$B$418,'All Statement of strategy (D)'!$E139,IF('All Statement of strategy (D)'!$C$1=RefData!$B$419,'All Statement of strategy (D)'!$F139,IF('All Statement of strategy (D)'!$C$1=RefData!$B$420,'All Statement of strategy (D)'!$G139,IF('All Statement of strategy (D)'!$C$1=RefData!$B$421,'All Statement of strategy (D)'!$H139," "))))</f>
        <v xml:space="preserve"> </v>
      </c>
    </row>
    <row r="140" spans="1:9">
      <c r="A140" s="584" t="s">
        <v>1640</v>
      </c>
      <c r="B140" s="585" t="s">
        <v>1641</v>
      </c>
      <c r="C140" s="603" t="str">
        <f ca="1">IF('Reconciliation report'!$E$37=RefData!$B$19,'Reconciliation report'!$E55,"")</f>
        <v/>
      </c>
      <c r="E140" s="603" t="str">
        <f ca="1">IF('Reconciliation report'!$E$37=RefData!$B$19,$C140,"")</f>
        <v/>
      </c>
      <c r="F140" s="603" t="str">
        <f ca="1">IF('Reconciliation report'!$E$37=RefData!$B$19,$C140,"")</f>
        <v/>
      </c>
      <c r="G140" s="603" t="str">
        <f ca="1">IF('Reconciliation report'!$E$37=RefData!$B$19,$C140,"")</f>
        <v/>
      </c>
      <c r="H140" s="603" t="str">
        <f ca="1">IF('Reconciliation report'!$E$37=RefData!$B$19,$C140,"")</f>
        <v/>
      </c>
      <c r="I140" s="603" t="str">
        <f ca="1">IF($C$1=RefData!$B$418,'All Statement of strategy (D)'!$E140,IF('All Statement of strategy (D)'!$C$1=RefData!$B$419,'All Statement of strategy (D)'!$F140,IF('All Statement of strategy (D)'!$C$1=RefData!$B$420,'All Statement of strategy (D)'!$G140,IF('All Statement of strategy (D)'!$C$1=RefData!$B$421,'All Statement of strategy (D)'!$H140," "))))</f>
        <v xml:space="preserve"> </v>
      </c>
    </row>
    <row r="141" spans="1:9">
      <c r="A141" s="584" t="s">
        <v>1642</v>
      </c>
      <c r="B141" s="585" t="s">
        <v>1643</v>
      </c>
      <c r="C141" s="603" t="str">
        <f ca="1">IF('Reconciliation report'!$E$38=RefData!$B$21,'Reconciliation report'!$E56,"")</f>
        <v/>
      </c>
      <c r="E141" s="603" t="str">
        <f ca="1">IF('Reconciliation report'!$E$38=RefData!$B$21,$C141,"")</f>
        <v/>
      </c>
      <c r="F141" s="603" t="str">
        <f ca="1">IF('Reconciliation report'!$E$38=RefData!$B$21,$C141,"")</f>
        <v/>
      </c>
      <c r="G141" s="603" t="str">
        <f ca="1">IF('Reconciliation report'!$E$38=RefData!$B$21,$C141,"")</f>
        <v/>
      </c>
      <c r="H141" s="603" t="str">
        <f ca="1">IF('Reconciliation report'!$E$38=RefData!$B$21,$C141,"")</f>
        <v/>
      </c>
      <c r="I141" s="603" t="str">
        <f ca="1">IF($C$1=RefData!$B$418,'All Statement of strategy (D)'!$E141,IF('All Statement of strategy (D)'!$C$1=RefData!$B$419,'All Statement of strategy (D)'!$F141,IF('All Statement of strategy (D)'!$C$1=RefData!$B$420,'All Statement of strategy (D)'!$G141,IF('All Statement of strategy (D)'!$C$1=RefData!$B$421,'All Statement of strategy (D)'!$H141," "))))</f>
        <v xml:space="preserve"> </v>
      </c>
    </row>
    <row r="142" spans="1:9">
      <c r="A142" s="584" t="s">
        <v>1644</v>
      </c>
      <c r="B142" s="585" t="s">
        <v>1645</v>
      </c>
      <c r="C142" s="603" t="str">
        <f ca="1">'Reconciliation report'!$E57</f>
        <v/>
      </c>
      <c r="E142" s="603" t="str">
        <f t="shared" ref="E142:H149" ca="1" si="15">$C142</f>
        <v/>
      </c>
      <c r="F142" s="603" t="str">
        <f t="shared" ca="1" si="15"/>
        <v/>
      </c>
      <c r="G142" s="603" t="str">
        <f t="shared" ca="1" si="15"/>
        <v/>
      </c>
      <c r="H142" s="603" t="str">
        <f t="shared" ca="1" si="15"/>
        <v/>
      </c>
      <c r="I142" s="603" t="str">
        <f ca="1">IF($C$1=RefData!$B$418,'All Statement of strategy (D)'!$E142,IF('All Statement of strategy (D)'!$C$1=RefData!$B$419,'All Statement of strategy (D)'!$F142,IF('All Statement of strategy (D)'!$C$1=RefData!$B$420,'All Statement of strategy (D)'!$G142,IF('All Statement of strategy (D)'!$C$1=RefData!$B$421,'All Statement of strategy (D)'!$H142," "))))</f>
        <v xml:space="preserve"> </v>
      </c>
    </row>
    <row r="143" spans="1:9">
      <c r="A143" s="584" t="s">
        <v>1646</v>
      </c>
      <c r="B143" s="585" t="s">
        <v>1647</v>
      </c>
      <c r="C143" s="603" t="str">
        <f ca="1">'Reconciliation report'!$E58</f>
        <v/>
      </c>
      <c r="E143" s="603" t="str">
        <f t="shared" ca="1" si="15"/>
        <v/>
      </c>
      <c r="F143" s="603" t="str">
        <f t="shared" ca="1" si="15"/>
        <v/>
      </c>
      <c r="G143" s="603" t="str">
        <f t="shared" ca="1" si="15"/>
        <v/>
      </c>
      <c r="H143" s="603" t="str">
        <f t="shared" ca="1" si="15"/>
        <v/>
      </c>
      <c r="I143" s="603" t="str">
        <f ca="1">IF($C$1=RefData!$B$418,'All Statement of strategy (D)'!$E143,IF('All Statement of strategy (D)'!$C$1=RefData!$B$419,'All Statement of strategy (D)'!$F143,IF('All Statement of strategy (D)'!$C$1=RefData!$B$420,'All Statement of strategy (D)'!$G143,IF('All Statement of strategy (D)'!$C$1=RefData!$B$421,'All Statement of strategy (D)'!$H143," "))))</f>
        <v xml:space="preserve"> </v>
      </c>
    </row>
    <row r="144" spans="1:9">
      <c r="A144" s="584" t="s">
        <v>1527</v>
      </c>
      <c r="B144" s="585" t="s">
        <v>1648</v>
      </c>
      <c r="C144" s="603" t="str">
        <f ca="1">TEXT('Reconciliation report'!$E59,RefData!$B$423)</f>
        <v/>
      </c>
      <c r="E144" s="603" t="str">
        <f t="shared" ca="1" si="15"/>
        <v/>
      </c>
      <c r="F144" s="603" t="str">
        <f t="shared" ca="1" si="15"/>
        <v/>
      </c>
      <c r="G144" s="603" t="str">
        <f t="shared" ca="1" si="15"/>
        <v/>
      </c>
      <c r="H144" s="603" t="str">
        <f t="shared" ca="1" si="15"/>
        <v/>
      </c>
      <c r="I144" s="603" t="str">
        <f ca="1">IF($C$1=RefData!$B$418,'All Statement of strategy (D)'!$E144,IF('All Statement of strategy (D)'!$C$1=RefData!$B$419,'All Statement of strategy (D)'!$F144,IF('All Statement of strategy (D)'!$C$1=RefData!$B$420,'All Statement of strategy (D)'!$G144,IF('All Statement of strategy (D)'!$C$1=RefData!$B$421,'All Statement of strategy (D)'!$H144," "))))</f>
        <v xml:space="preserve"> </v>
      </c>
    </row>
    <row r="145" spans="1:9">
      <c r="A145" s="584" t="s">
        <v>1649</v>
      </c>
      <c r="B145" s="585" t="s">
        <v>1650</v>
      </c>
      <c r="C145" s="603" t="str">
        <f ca="1">'Reconciliation report'!$E61</f>
        <v/>
      </c>
      <c r="E145" s="603" t="str">
        <f t="shared" ca="1" si="15"/>
        <v/>
      </c>
      <c r="F145" s="603" t="str">
        <f t="shared" ca="1" si="15"/>
        <v/>
      </c>
      <c r="G145" s="603" t="str">
        <f t="shared" ca="1" si="15"/>
        <v/>
      </c>
      <c r="H145" s="603" t="str">
        <f t="shared" ca="1" si="15"/>
        <v/>
      </c>
      <c r="I145" s="603" t="str">
        <f ca="1">IF($C$1=RefData!$B$418,'All Statement of strategy (D)'!$E145,IF('All Statement of strategy (D)'!$C$1=RefData!$B$419,'All Statement of strategy (D)'!$F145,IF('All Statement of strategy (D)'!$C$1=RefData!$B$420,'All Statement of strategy (D)'!$G145,IF('All Statement of strategy (D)'!$C$1=RefData!$B$421,'All Statement of strategy (D)'!$H145," "))))</f>
        <v xml:space="preserve"> </v>
      </c>
    </row>
    <row r="146" spans="1:9">
      <c r="A146" s="584" t="s">
        <v>1651</v>
      </c>
      <c r="B146" s="585" t="s">
        <v>1652</v>
      </c>
      <c r="C146" s="603" t="str">
        <f ca="1">'Reconciliation report'!$E62</f>
        <v/>
      </c>
      <c r="E146" s="603" t="str">
        <f t="shared" ca="1" si="15"/>
        <v/>
      </c>
      <c r="F146" s="603" t="str">
        <f t="shared" ca="1" si="15"/>
        <v/>
      </c>
      <c r="G146" s="603" t="str">
        <f t="shared" ca="1" si="15"/>
        <v/>
      </c>
      <c r="H146" s="603" t="str">
        <f t="shared" ca="1" si="15"/>
        <v/>
      </c>
      <c r="I146" s="603" t="str">
        <f ca="1">IF($C$1=RefData!$B$418,'All Statement of strategy (D)'!$E146,IF('All Statement of strategy (D)'!$C$1=RefData!$B$419,'All Statement of strategy (D)'!$F146,IF('All Statement of strategy (D)'!$C$1=RefData!$B$420,'All Statement of strategy (D)'!$G146,IF('All Statement of strategy (D)'!$C$1=RefData!$B$421,'All Statement of strategy (D)'!$H146," "))))</f>
        <v xml:space="preserve"> </v>
      </c>
    </row>
    <row r="147" spans="1:9">
      <c r="A147" s="584" t="s">
        <v>1653</v>
      </c>
      <c r="B147" s="585" t="s">
        <v>1654</v>
      </c>
      <c r="C147" s="603" t="str">
        <f ca="1">'Reconciliation report'!$E63</f>
        <v/>
      </c>
      <c r="E147" s="603" t="str">
        <f t="shared" ca="1" si="15"/>
        <v/>
      </c>
      <c r="F147" s="603" t="str">
        <f t="shared" ca="1" si="15"/>
        <v/>
      </c>
      <c r="G147" s="603" t="str">
        <f t="shared" ca="1" si="15"/>
        <v/>
      </c>
      <c r="H147" s="603" t="str">
        <f t="shared" ca="1" si="15"/>
        <v/>
      </c>
      <c r="I147" s="603" t="str">
        <f ca="1">IF($C$1=RefData!$B$418,'All Statement of strategy (D)'!$E147,IF('All Statement of strategy (D)'!$C$1=RefData!$B$419,'All Statement of strategy (D)'!$F147,IF('All Statement of strategy (D)'!$C$1=RefData!$B$420,'All Statement of strategy (D)'!$G147,IF('All Statement of strategy (D)'!$C$1=RefData!$B$421,'All Statement of strategy (D)'!$H147," "))))</f>
        <v xml:space="preserve"> </v>
      </c>
    </row>
    <row r="148" spans="1:9">
      <c r="A148" s="584" t="s">
        <v>1655</v>
      </c>
      <c r="B148" s="585" t="s">
        <v>1656</v>
      </c>
      <c r="C148" s="603" t="str">
        <f ca="1">'Reconciliation report'!$E64</f>
        <v/>
      </c>
      <c r="E148" s="603" t="str">
        <f t="shared" ca="1" si="15"/>
        <v/>
      </c>
      <c r="F148" s="603" t="str">
        <f t="shared" ca="1" si="15"/>
        <v/>
      </c>
      <c r="G148" s="603" t="str">
        <f t="shared" ca="1" si="15"/>
        <v/>
      </c>
      <c r="H148" s="603" t="str">
        <f t="shared" ca="1" si="15"/>
        <v/>
      </c>
      <c r="I148" s="603" t="str">
        <f ca="1">IF($C$1=RefData!$B$418,'All Statement of strategy (D)'!$E148,IF('All Statement of strategy (D)'!$C$1=RefData!$B$419,'All Statement of strategy (D)'!$F148,IF('All Statement of strategy (D)'!$C$1=RefData!$B$420,'All Statement of strategy (D)'!$G148,IF('All Statement of strategy (D)'!$C$1=RefData!$B$421,'All Statement of strategy (D)'!$H148," "))))</f>
        <v xml:space="preserve"> </v>
      </c>
    </row>
    <row r="149" spans="1:9">
      <c r="A149" s="584" t="s">
        <v>1657</v>
      </c>
      <c r="B149" s="585" t="s">
        <v>1658</v>
      </c>
      <c r="C149" s="603" t="str">
        <f ca="1">'Reconciliation report'!$E65</f>
        <v/>
      </c>
      <c r="E149" s="603" t="str">
        <f t="shared" ca="1" si="15"/>
        <v/>
      </c>
      <c r="F149" s="603" t="str">
        <f t="shared" ca="1" si="15"/>
        <v/>
      </c>
      <c r="G149" s="603" t="str">
        <f t="shared" ca="1" si="15"/>
        <v/>
      </c>
      <c r="H149" s="603" t="str">
        <f t="shared" ca="1" si="15"/>
        <v/>
      </c>
      <c r="I149" s="603" t="str">
        <f ca="1">IF($C$1=RefData!$B$418,'All Statement of strategy (D)'!$E149,IF('All Statement of strategy (D)'!$C$1=RefData!$B$419,'All Statement of strategy (D)'!$F149,IF('All Statement of strategy (D)'!$C$1=RefData!$B$420,'All Statement of strategy (D)'!$G149,IF('All Statement of strategy (D)'!$C$1=RefData!$B$421,'All Statement of strategy (D)'!$H149," "))))</f>
        <v xml:space="preserve"> </v>
      </c>
    </row>
    <row r="150" spans="1:9">
      <c r="A150" s="584" t="s">
        <v>1659</v>
      </c>
      <c r="B150" s="585" t="s">
        <v>1660</v>
      </c>
      <c r="C150" s="603" t="str">
        <f ca="1">IF('Reconciliation report'!$E$37=RefData!$B$19,'Reconciliation report'!$E66,"")</f>
        <v/>
      </c>
      <c r="E150" s="603" t="str">
        <f ca="1">IF('Reconciliation report'!$E$37=RefData!$B$19,$C150,"")</f>
        <v/>
      </c>
      <c r="F150" s="603" t="str">
        <f ca="1">IF('Reconciliation report'!$E$37=RefData!$B$19,$C150,"")</f>
        <v/>
      </c>
      <c r="G150" s="603" t="str">
        <f ca="1">IF('Reconciliation report'!$E$37=RefData!$B$19,$C150,"")</f>
        <v/>
      </c>
      <c r="H150" s="603" t="str">
        <f ca="1">IF('Reconciliation report'!$E$37=RefData!$B$19,$C150,"")</f>
        <v/>
      </c>
      <c r="I150" s="603" t="str">
        <f ca="1">IF($C$1=RefData!$B$418,'All Statement of strategy (D)'!$E150,IF('All Statement of strategy (D)'!$C$1=RefData!$B$419,'All Statement of strategy (D)'!$F150,IF('All Statement of strategy (D)'!$C$1=RefData!$B$420,'All Statement of strategy (D)'!$G150,IF('All Statement of strategy (D)'!$C$1=RefData!$B$421,'All Statement of strategy (D)'!$H150," "))))</f>
        <v xml:space="preserve"> </v>
      </c>
    </row>
    <row r="151" spans="1:9">
      <c r="A151" s="584" t="s">
        <v>1661</v>
      </c>
      <c r="B151" s="585" t="s">
        <v>1662</v>
      </c>
      <c r="C151" s="603" t="str">
        <f ca="1">IF('Reconciliation report'!$E$38=RefData!$B$21,'Reconciliation report'!$E67,"")</f>
        <v/>
      </c>
      <c r="E151" s="603" t="str">
        <f ca="1">IF('Reconciliation report'!$E$38=RefData!$B$21,$C151,"")</f>
        <v/>
      </c>
      <c r="F151" s="603" t="str">
        <f ca="1">IF('Reconciliation report'!$E$38=RefData!$B$21,$C151,"")</f>
        <v/>
      </c>
      <c r="G151" s="603" t="str">
        <f ca="1">IF('Reconciliation report'!$E$38=RefData!$B$21,$C151,"")</f>
        <v/>
      </c>
      <c r="H151" s="603" t="str">
        <f ca="1">IF('Reconciliation report'!$E$38=RefData!$B$21,$C151,"")</f>
        <v/>
      </c>
      <c r="I151" s="603" t="str">
        <f ca="1">IF($C$1=RefData!$B$418,'All Statement of strategy (D)'!$E151,IF('All Statement of strategy (D)'!$C$1=RefData!$B$419,'All Statement of strategy (D)'!$F151,IF('All Statement of strategy (D)'!$C$1=RefData!$B$420,'All Statement of strategy (D)'!$G151,IF('All Statement of strategy (D)'!$C$1=RefData!$B$421,'All Statement of strategy (D)'!$H151," "))))</f>
        <v xml:space="preserve"> </v>
      </c>
    </row>
    <row r="152" spans="1:9">
      <c r="A152" s="584" t="s">
        <v>1663</v>
      </c>
      <c r="B152" s="585" t="s">
        <v>1664</v>
      </c>
      <c r="C152" s="603" t="str">
        <f ca="1">'Reconciliation report'!$E68</f>
        <v/>
      </c>
      <c r="E152" s="603" t="str">
        <f t="shared" ref="E152:H153" ca="1" si="16">$C152</f>
        <v/>
      </c>
      <c r="F152" s="603" t="str">
        <f t="shared" ca="1" si="16"/>
        <v/>
      </c>
      <c r="G152" s="603" t="str">
        <f t="shared" ca="1" si="16"/>
        <v/>
      </c>
      <c r="H152" s="603" t="str">
        <f t="shared" ca="1" si="16"/>
        <v/>
      </c>
      <c r="I152" s="603" t="str">
        <f ca="1">IF($C$1=RefData!$B$418,'All Statement of strategy (D)'!$E152,IF('All Statement of strategy (D)'!$C$1=RefData!$B$419,'All Statement of strategy (D)'!$F152,IF('All Statement of strategy (D)'!$C$1=RefData!$B$420,'All Statement of strategy (D)'!$G152,IF('All Statement of strategy (D)'!$C$1=RefData!$B$421,'All Statement of strategy (D)'!$H152," "))))</f>
        <v xml:space="preserve"> </v>
      </c>
    </row>
    <row r="153" spans="1:9">
      <c r="A153" s="584" t="s">
        <v>1665</v>
      </c>
      <c r="B153" s="585" t="s">
        <v>1666</v>
      </c>
      <c r="C153" s="603" t="str">
        <f ca="1">'Reconciliation report'!$E69</f>
        <v/>
      </c>
      <c r="E153" s="603" t="str">
        <f t="shared" ca="1" si="16"/>
        <v/>
      </c>
      <c r="F153" s="603" t="str">
        <f t="shared" ca="1" si="16"/>
        <v/>
      </c>
      <c r="G153" s="603" t="str">
        <f t="shared" ca="1" si="16"/>
        <v/>
      </c>
      <c r="H153" s="603" t="str">
        <f t="shared" ca="1" si="16"/>
        <v/>
      </c>
      <c r="I153" s="603" t="str">
        <f ca="1">IF($C$1=RefData!$B$418,'All Statement of strategy (D)'!$E153,IF('All Statement of strategy (D)'!$C$1=RefData!$B$419,'All Statement of strategy (D)'!$F153,IF('All Statement of strategy (D)'!$C$1=RefData!$B$420,'All Statement of strategy (D)'!$G153,IF('All Statement of strategy (D)'!$C$1=RefData!$B$421,'All Statement of strategy (D)'!$H153," "))))</f>
        <v xml:space="preserve"> </v>
      </c>
    </row>
    <row r="154" spans="1:9">
      <c r="A154" s="584" t="s">
        <v>1667</v>
      </c>
      <c r="B154" s="585" t="s">
        <v>1668</v>
      </c>
      <c r="C154" s="603" t="str">
        <f ca="1">TEXT('Reconciliation report'!$E70,RefData!$B$423)</f>
        <v/>
      </c>
      <c r="E154" s="603" t="str">
        <f ca="1">$C154</f>
        <v/>
      </c>
      <c r="F154" s="603" t="str">
        <f ca="1">$C154</f>
        <v/>
      </c>
      <c r="G154" s="603" t="str">
        <f ca="1">$C154</f>
        <v/>
      </c>
      <c r="H154" s="603" t="str">
        <f ca="1">$C154</f>
        <v/>
      </c>
      <c r="I154" s="603" t="str">
        <f ca="1">IF($C$1=RefData!$B$418,'All Statement of strategy (D)'!$E154,IF('All Statement of strategy (D)'!$C$1=RefData!$B$419,'All Statement of strategy (D)'!$F154,IF('All Statement of strategy (D)'!$C$1=RefData!$B$420,'All Statement of strategy (D)'!$G154,IF('All Statement of strategy (D)'!$C$1=RefData!$B$421,'All Statement of strategy (D)'!$H154," "))))</f>
        <v xml:space="preserve"> </v>
      </c>
    </row>
    <row r="155" spans="1:9">
      <c r="A155" s="584" t="s">
        <v>1669</v>
      </c>
      <c r="B155" s="585" t="s">
        <v>1670</v>
      </c>
      <c r="C155" s="585" t="str">
        <f ca="1">TEXT('Reconciliation report'!$E48,RefData!$B$423)</f>
        <v/>
      </c>
      <c r="D155" s="585" t="s">
        <v>1671</v>
      </c>
      <c r="E155" s="585" t="str">
        <f ca="1">IF('Reconciliation report'!$E$15=RefData!$B$23,'All Statement of strategy (D)'!$B155&amp;'All Statement of strategy (D)'!$C155&amp;$D155,"")</f>
        <v/>
      </c>
      <c r="F155" s="585" t="str">
        <f ca="1">IF('Reconciliation report'!$E$15=RefData!$B$23,'All Statement of strategy (D)'!$B155&amp;'All Statement of strategy (D)'!$C155&amp;$D155,"")</f>
        <v/>
      </c>
      <c r="G155" s="585" t="str">
        <f ca="1">IF('Reconciliation report'!$E$15=RefData!$B$23,'All Statement of strategy (D)'!$B155&amp;'All Statement of strategy (D)'!$C155&amp;$D155,"")</f>
        <v/>
      </c>
      <c r="H155" s="585" t="str">
        <f ca="1">IF('Reconciliation report'!$E$15=RefData!$B$23,'All Statement of strategy (D)'!$B155&amp;'All Statement of strategy (D)'!$C155&amp;$D155,"")</f>
        <v/>
      </c>
      <c r="I155" s="603" t="str">
        <f ca="1">IF($C$1=RefData!$B$418,'All Statement of strategy (D)'!$E155,IF('All Statement of strategy (D)'!$C$1=RefData!$B$419,'All Statement of strategy (D)'!$F155,IF('All Statement of strategy (D)'!$C$1=RefData!$B$420,'All Statement of strategy (D)'!$G155,IF('All Statement of strategy (D)'!$C$1=RefData!$B$421,'All Statement of strategy (D)'!$H155," "))))</f>
        <v xml:space="preserve"> </v>
      </c>
    </row>
    <row r="156" spans="1:9">
      <c r="A156" s="584" t="s">
        <v>1672</v>
      </c>
      <c r="B156" s="585" t="s">
        <v>1673</v>
      </c>
      <c r="C156" s="585" t="str">
        <f ca="1">TEXT('Reconciliation report'!$E$49,RefData!$B$425)&amp;"."</f>
        <v>.</v>
      </c>
      <c r="E156" s="585" t="str">
        <f ca="1">IF('Reconciliation report'!$E$15=RefData!$B$23,'All Statement of strategy (D)'!$B156&amp;'All Statement of strategy (D)'!$C156&amp;$D156,"")</f>
        <v/>
      </c>
      <c r="F156" s="585" t="str">
        <f ca="1">IF('Reconciliation report'!$E$15=RefData!$B$23,'All Statement of strategy (D)'!$B156&amp;'All Statement of strategy (D)'!$C156&amp;$D156,"")</f>
        <v/>
      </c>
      <c r="G156" s="585" t="str">
        <f ca="1">IF('Reconciliation report'!$E$15=RefData!$B$23,'All Statement of strategy (D)'!$B156&amp;'All Statement of strategy (D)'!$C156&amp;$D156,"")</f>
        <v/>
      </c>
      <c r="H156" s="585" t="str">
        <f ca="1">IF('Reconciliation report'!$E$15=RefData!$B$23,'All Statement of strategy (D)'!$B156&amp;'All Statement of strategy (D)'!$C156&amp;$D156,"")</f>
        <v/>
      </c>
      <c r="I156" s="603" t="str">
        <f ca="1">IF($C$1=RefData!$B$418,'All Statement of strategy (D)'!$E156,IF('All Statement of strategy (D)'!$C$1=RefData!$B$419,'All Statement of strategy (D)'!$F156,IF('All Statement of strategy (D)'!$C$1=RefData!$B$420,'All Statement of strategy (D)'!$G156,IF('All Statement of strategy (D)'!$C$1=RefData!$B$421,'All Statement of strategy (D)'!$H156," "))))</f>
        <v xml:space="preserve"> </v>
      </c>
    </row>
    <row r="157" spans="1:9">
      <c r="B157" s="585" t="s">
        <v>1674</v>
      </c>
      <c r="E157" s="585" t="str">
        <f ca="1">IF('Reconciliation report'!$E$71&lt;&gt;"",$B157,"")</f>
        <v/>
      </c>
      <c r="F157" s="585" t="str">
        <f ca="1">IF('Reconciliation report'!$E$71&lt;&gt;"",$B157,"")</f>
        <v/>
      </c>
      <c r="G157" s="585" t="str">
        <f ca="1">IF('Reconciliation report'!$E$71&lt;&gt;"",$B157,"")</f>
        <v/>
      </c>
      <c r="H157" s="585" t="str">
        <f ca="1">IF('Reconciliation report'!$E$71&lt;&gt;"",$B157,"")</f>
        <v/>
      </c>
      <c r="I157" s="603" t="str">
        <f ca="1">IF($C$1=RefData!$B$418,'All Statement of strategy (D)'!$E157,IF('All Statement of strategy (D)'!$C$1=RefData!$B$419,'All Statement of strategy (D)'!$F157,IF('All Statement of strategy (D)'!$C$1=RefData!$B$420,'All Statement of strategy (D)'!$G157,IF('All Statement of strategy (D)'!$C$1=RefData!$B$421,'All Statement of strategy (D)'!$H157," "))))</f>
        <v xml:space="preserve"> </v>
      </c>
    </row>
    <row r="158" spans="1:9">
      <c r="A158" s="584" t="s">
        <v>1675</v>
      </c>
      <c r="B158" s="585" t="str">
        <f ca="1">LEFT('Reconciliation report'!$E$71,1000)</f>
        <v/>
      </c>
      <c r="E158" s="585" t="str">
        <f ca="1">IF($B158&lt;&gt;"",$B158,"")</f>
        <v/>
      </c>
      <c r="F158" s="585" t="str">
        <f ca="1">IF($B158&lt;&gt;"",$B158,"")</f>
        <v/>
      </c>
      <c r="G158" s="585" t="str">
        <f ca="1">IF($B158&lt;&gt;"",$B158,"")</f>
        <v/>
      </c>
      <c r="H158" s="585" t="str">
        <f ca="1">IF($B158&lt;&gt;"",$B158,"")</f>
        <v/>
      </c>
      <c r="I158" s="603" t="str">
        <f ca="1">IF($C$1=RefData!$B$418,'All Statement of strategy (D)'!$E158,IF('All Statement of strategy (D)'!$C$1=RefData!$B$419,'All Statement of strategy (D)'!$F158,IF('All Statement of strategy (D)'!$C$1=RefData!$B$420,'All Statement of strategy (D)'!$G158,IF('All Statement of strategy (D)'!$C$1=RefData!$B$421,'All Statement of strategy (D)'!$H158," "))))</f>
        <v xml:space="preserve"> </v>
      </c>
    </row>
    <row r="159" spans="1:9">
      <c r="A159" s="584" t="s">
        <v>1675</v>
      </c>
      <c r="B159" s="585" t="str">
        <f ca="1">MID('Reconciliation report'!$E$71,1001,1000)</f>
        <v/>
      </c>
      <c r="E159" s="585" t="str">
        <f t="shared" ref="E159:H161" ca="1" si="17">IF($B159&lt;&gt;"",$B159,"")</f>
        <v/>
      </c>
      <c r="F159" s="585" t="str">
        <f t="shared" ca="1" si="17"/>
        <v/>
      </c>
      <c r="G159" s="585" t="str">
        <f t="shared" ca="1" si="17"/>
        <v/>
      </c>
      <c r="H159" s="585" t="str">
        <f t="shared" ca="1" si="17"/>
        <v/>
      </c>
      <c r="I159" s="603" t="str">
        <f ca="1">IF($C$1=RefData!$B$418,'All Statement of strategy (D)'!$E159,IF('All Statement of strategy (D)'!$C$1=RefData!$B$419,'All Statement of strategy (D)'!$F159,IF('All Statement of strategy (D)'!$C$1=RefData!$B$420,'All Statement of strategy (D)'!$G159,IF('All Statement of strategy (D)'!$C$1=RefData!$B$421,'All Statement of strategy (D)'!$H159," "))))</f>
        <v xml:space="preserve"> </v>
      </c>
    </row>
    <row r="160" spans="1:9">
      <c r="A160" s="584" t="s">
        <v>1675</v>
      </c>
      <c r="B160" s="585" t="str">
        <f ca="1">MID('Reconciliation report'!$E$71,2001,1000)</f>
        <v/>
      </c>
      <c r="E160" s="585" t="str">
        <f t="shared" ca="1" si="17"/>
        <v/>
      </c>
      <c r="F160" s="585" t="str">
        <f t="shared" ca="1" si="17"/>
        <v/>
      </c>
      <c r="G160" s="585" t="str">
        <f t="shared" ca="1" si="17"/>
        <v/>
      </c>
      <c r="H160" s="585" t="str">
        <f t="shared" ca="1" si="17"/>
        <v/>
      </c>
      <c r="I160" s="603" t="str">
        <f ca="1">IF($C$1=RefData!$B$418,'All Statement of strategy (D)'!$E160,IF('All Statement of strategy (D)'!$C$1=RefData!$B$419,'All Statement of strategy (D)'!$F160,IF('All Statement of strategy (D)'!$C$1=RefData!$B$420,'All Statement of strategy (D)'!$G160,IF('All Statement of strategy (D)'!$C$1=RefData!$B$421,'All Statement of strategy (D)'!$H160," "))))</f>
        <v xml:space="preserve"> </v>
      </c>
    </row>
    <row r="161" spans="1:9">
      <c r="A161" s="584" t="s">
        <v>1675</v>
      </c>
      <c r="B161" s="585" t="str">
        <f ca="1">MID('Reconciliation report'!$E$71,3001,1000)</f>
        <v/>
      </c>
      <c r="E161" s="585" t="str">
        <f t="shared" ca="1" si="17"/>
        <v/>
      </c>
      <c r="F161" s="585" t="str">
        <f t="shared" ca="1" si="17"/>
        <v/>
      </c>
      <c r="G161" s="585" t="str">
        <f t="shared" ca="1" si="17"/>
        <v/>
      </c>
      <c r="H161" s="585" t="str">
        <f t="shared" ca="1" si="17"/>
        <v/>
      </c>
      <c r="I161" s="603" t="str">
        <f ca="1">IF($C$1=RefData!$B$418,'All Statement of strategy (D)'!$E161,IF('All Statement of strategy (D)'!$C$1=RefData!$B$419,'All Statement of strategy (D)'!$F161,IF('All Statement of strategy (D)'!$C$1=RefData!$B$420,'All Statement of strategy (D)'!$G161,IF('All Statement of strategy (D)'!$C$1=RefData!$B$421,'All Statement of strategy (D)'!$H161," "))))</f>
        <v xml:space="preserve"> </v>
      </c>
    </row>
    <row r="162" spans="1:9">
      <c r="A162" s="584" t="s">
        <v>1676</v>
      </c>
      <c r="B162" s="585" t="s">
        <v>1677</v>
      </c>
      <c r="C162" s="585" t="str">
        <f ca="1">TEXT('Reconciliation report'!$E72,RefData!$B$423)&amp;"."</f>
        <v>.</v>
      </c>
      <c r="E162" s="585" t="str">
        <f t="shared" ref="E162:H163" ca="1" si="18">$B162&amp;$C162</f>
        <v>The proportion of the liabilities on a low dependency funding basis that are linked to inflation is .</v>
      </c>
      <c r="F162" s="585" t="str">
        <f t="shared" ca="1" si="18"/>
        <v>The proportion of the liabilities on a low dependency funding basis that are linked to inflation is .</v>
      </c>
      <c r="G162" s="585" t="str">
        <f t="shared" ca="1" si="18"/>
        <v>The proportion of the liabilities on a low dependency funding basis that are linked to inflation is .</v>
      </c>
      <c r="H162" s="585" t="str">
        <f t="shared" ca="1" si="18"/>
        <v>The proportion of the liabilities on a low dependency funding basis that are linked to inflation is .</v>
      </c>
      <c r="I162" s="603" t="str">
        <f ca="1">IF($C$1=RefData!$B$418,'All Statement of strategy (D)'!$E162,IF('All Statement of strategy (D)'!$C$1=RefData!$B$419,'All Statement of strategy (D)'!$F162,IF('All Statement of strategy (D)'!$C$1=RefData!$B$420,'All Statement of strategy (D)'!$G162,IF('All Statement of strategy (D)'!$C$1=RefData!$B$421,'All Statement of strategy (D)'!$H162," "))))</f>
        <v xml:space="preserve"> </v>
      </c>
    </row>
    <row r="163" spans="1:9" ht="33" customHeight="1">
      <c r="A163" s="604" t="s">
        <v>1678</v>
      </c>
      <c r="B163" s="585" t="str">
        <f ca="1">"The scheme actuary estimates that the scheme’s sensitivity to inflation is that an assumed change in RPI and CPI (underpinning the related assumptions) of "&amp;TEXT('Reconciliation report'!$E73,"0")</f>
        <v xml:space="preserve">The scheme actuary estimates that the scheme’s sensitivity to inflation is that an assumed change in RPI and CPI (underpinning the related assumptions) of </v>
      </c>
      <c r="C163" s="585" t="str">
        <f ca="1">" basis points would lead to a change in the value of the technical provisions’ liabilities of "&amp; TEXT('Reconciliation report'!$E$74,RefData!$B$425)&amp;"."</f>
        <v xml:space="preserve"> basis points would lead to a change in the value of the technical provisions’ liabilities of .</v>
      </c>
      <c r="E163" s="585" t="str">
        <f t="shared" ca="1" si="18"/>
        <v>The scheme actuary estimates that the scheme’s sensitivity to inflation is that an assumed change in RPI and CPI (underpinning the related assumptions) of  basis points would lead to a change in the value of the technical provisions’ liabilities of .</v>
      </c>
      <c r="F163" s="585" t="str">
        <f t="shared" ca="1" si="18"/>
        <v>The scheme actuary estimates that the scheme’s sensitivity to inflation is that an assumed change in RPI and CPI (underpinning the related assumptions) of  basis points would lead to a change in the value of the technical provisions’ liabilities of .</v>
      </c>
      <c r="G163" s="585" t="str">
        <f t="shared" ca="1" si="18"/>
        <v>The scheme actuary estimates that the scheme’s sensitivity to inflation is that an assumed change in RPI and CPI (underpinning the related assumptions) of  basis points would lead to a change in the value of the technical provisions’ liabilities of .</v>
      </c>
      <c r="H163" s="585" t="str">
        <f t="shared" ca="1" si="18"/>
        <v>The scheme actuary estimates that the scheme’s sensitivity to inflation is that an assumed change in RPI and CPI (underpinning the related assumptions) of  basis points would lead to a change in the value of the technical provisions’ liabilities of .</v>
      </c>
      <c r="I163" s="603" t="str">
        <f ca="1">IF($C$1=RefData!$B$418,'All Statement of strategy (D)'!$E163,IF('All Statement of strategy (D)'!$C$1=RefData!$B$419,'All Statement of strategy (D)'!$F163,IF('All Statement of strategy (D)'!$C$1=RefData!$B$420,'All Statement of strategy (D)'!$G163,IF('All Statement of strategy (D)'!$C$1=RefData!$B$421,'All Statement of strategy (D)'!$H163," "))))</f>
        <v xml:space="preserve"> </v>
      </c>
    </row>
    <row r="164" spans="1:9">
      <c r="B164" s="585" t="s">
        <v>1679</v>
      </c>
      <c r="E164" s="585" t="str">
        <f ca="1">IF(AND('Reconciliation report'!$E$9=RefData!$B$5,'Reconciliation report'!$E$105&lt;&gt;RefData!$B$35),'All Statement of strategy (D)'!$B164,"")</f>
        <v/>
      </c>
      <c r="F164" s="585" t="str">
        <f ca="1">IF(AND('Reconciliation report'!$E$9=RefData!$B$5,'Reconciliation report'!$E$105&lt;&gt;RefData!$B$35),'All Statement of strategy (D)'!$B164,"")</f>
        <v/>
      </c>
      <c r="G164" s="585" t="str">
        <f ca="1">IF(AND('Reconciliation report'!$E$9=RefData!$B$5,'Reconciliation report'!$E$105&lt;&gt;RefData!$B$35),'All Statement of strategy (D)'!$B164,"")</f>
        <v/>
      </c>
      <c r="H164" s="585" t="str">
        <f ca="1">IF(AND('Reconciliation report'!$E$9=RefData!$B$5,'Reconciliation report'!$E$105&lt;&gt;RefData!$B$35),'All Statement of strategy (D)'!$B164,"")</f>
        <v/>
      </c>
      <c r="I164" s="603" t="str">
        <f ca="1">IF($C$1=RefData!$B$418,'All Statement of strategy (D)'!$E164,IF('All Statement of strategy (D)'!$C$1=RefData!$B$419,'All Statement of strategy (D)'!$F164,IF('All Statement of strategy (D)'!$C$1=RefData!$B$420,'All Statement of strategy (D)'!$G164,IF('All Statement of strategy (D)'!$C$1=RefData!$B$421,'All Statement of strategy (D)'!$H164," "))))</f>
        <v xml:space="preserve"> </v>
      </c>
    </row>
    <row r="165" spans="1:9">
      <c r="B165" s="585" t="s">
        <v>1680</v>
      </c>
      <c r="E165" s="585" t="str">
        <f ca="1">IF(AND('Reconciliation report'!$E$9=RefData!$B$5,'Reconciliation report'!$E$105&lt;&gt;RefData!$B$35),'All Statement of strategy (D)'!$B165,"")</f>
        <v/>
      </c>
      <c r="F165" s="585" t="str">
        <f ca="1">IF(AND('Reconciliation report'!$E$9=RefData!$B$5,'Reconciliation report'!$E$105&lt;&gt;RefData!$B$35),'All Statement of strategy (D)'!$B165,"")</f>
        <v/>
      </c>
      <c r="G165" s="585" t="str">
        <f ca="1">IF(AND('Reconciliation report'!$E$9=RefData!$B$5,'Reconciliation report'!$E$105&lt;&gt;RefData!$B$35),'All Statement of strategy (D)'!$B165,"")</f>
        <v/>
      </c>
      <c r="H165" s="585" t="str">
        <f ca="1">IF(AND('Reconciliation report'!$E$9=RefData!$B$5,'Reconciliation report'!$E$105&lt;&gt;RefData!$B$35),'All Statement of strategy (D)'!$B165,"")</f>
        <v/>
      </c>
      <c r="I165" s="603" t="str">
        <f ca="1">IF($C$1=RefData!$B$418,'All Statement of strategy (D)'!$E165,IF('All Statement of strategy (D)'!$C$1=RefData!$B$419,'All Statement of strategy (D)'!$F165,IF('All Statement of strategy (D)'!$C$1=RefData!$B$420,'All Statement of strategy (D)'!$G165,IF('All Statement of strategy (D)'!$C$1=RefData!$B$421,'All Statement of strategy (D)'!$H165," "))))</f>
        <v xml:space="preserve"> </v>
      </c>
    </row>
    <row r="166" spans="1:9">
      <c r="B166" s="585" t="s">
        <v>1681</v>
      </c>
      <c r="E166" s="585" t="str">
        <f ca="1">IF(AND('Reconciliation report'!$E$9=RefData!$B$5,'Reconciliation report'!$E$105&lt;&gt;RefData!$B$35),'All Statement of strategy (D)'!$B166,"")</f>
        <v/>
      </c>
      <c r="F166" s="585" t="str">
        <f>""</f>
        <v/>
      </c>
      <c r="G166" s="585" t="str">
        <f ca="1">IF(AND('Reconciliation report'!$E$9=RefData!$B$5,'Reconciliation report'!$E$105&lt;&gt;RefData!$B$35),'All Statement of strategy (D)'!$B166,"")</f>
        <v/>
      </c>
      <c r="H166" s="585" t="str">
        <f>""</f>
        <v/>
      </c>
      <c r="I166" s="603" t="str">
        <f ca="1">IF($C$1=RefData!$B$418,'All Statement of strategy (D)'!$E166,IF('All Statement of strategy (D)'!$C$1=RefData!$B$419,'All Statement of strategy (D)'!$F166,IF('All Statement of strategy (D)'!$C$1=RefData!$B$420,'All Statement of strategy (D)'!$G166,IF('All Statement of strategy (D)'!$C$1=RefData!$B$421,'All Statement of strategy (D)'!$H166," "))))</f>
        <v xml:space="preserve"> </v>
      </c>
    </row>
    <row r="167" spans="1:9">
      <c r="B167" s="585" t="s">
        <v>1682</v>
      </c>
      <c r="E167" s="585" t="str">
        <f>""</f>
        <v/>
      </c>
      <c r="F167" s="585" t="str">
        <f ca="1">IF(AND('Reconciliation report'!$E$9=RefData!$B$5,'Reconciliation report'!$E$105&lt;&gt;RefData!$B$35),'All Statement of strategy (D)'!$B167,"")</f>
        <v/>
      </c>
      <c r="G167" s="585" t="str">
        <f>""</f>
        <v/>
      </c>
      <c r="H167" s="585" t="str">
        <f ca="1">IF(AND('Reconciliation report'!$E$9=RefData!$B$5,'Reconciliation report'!$E$105&lt;&gt;RefData!$B$35),'All Statement of strategy (D)'!$B167,"")</f>
        <v/>
      </c>
      <c r="I167" s="603" t="str">
        <f ca="1">IF($C$1=RefData!$B$418,'All Statement of strategy (D)'!$E167,IF('All Statement of strategy (D)'!$C$1=RefData!$B$419,'All Statement of strategy (D)'!$F167,IF('All Statement of strategy (D)'!$C$1=RefData!$B$420,'All Statement of strategy (D)'!$G167,IF('All Statement of strategy (D)'!$C$1=RefData!$B$421,'All Statement of strategy (D)'!$H167," "))))</f>
        <v xml:space="preserve"> </v>
      </c>
    </row>
    <row r="168" spans="1:9">
      <c r="B168" s="585" t="s">
        <v>1683</v>
      </c>
      <c r="E168" s="585" t="str">
        <f ca="1">IF(OR('Reconciliation report'!$E$9=RefData!$B$5,'Reconciliation report'!$E$374=RefData!$B$25),'All Statement of strategy (D)'!$B168,"")</f>
        <v/>
      </c>
      <c r="F168" s="585" t="str">
        <f ca="1">IF(OR('Reconciliation report'!$E$9=RefData!$B$5,'Reconciliation report'!$E$374=RefData!$B$25),'All Statement of strategy (D)'!$B168,"")</f>
        <v/>
      </c>
      <c r="G168" s="585" t="str">
        <f>""</f>
        <v/>
      </c>
      <c r="H168" s="585" t="str">
        <f>""</f>
        <v/>
      </c>
      <c r="I168" s="603" t="str">
        <f ca="1">IF($C$1=RefData!$B$418,'All Statement of strategy (D)'!$E168,IF('All Statement of strategy (D)'!$C$1=RefData!$B$419,'All Statement of strategy (D)'!$F168,IF('All Statement of strategy (D)'!$C$1=RefData!$B$420,'All Statement of strategy (D)'!$G168,IF('All Statement of strategy (D)'!$C$1=RefData!$B$421,'All Statement of strategy (D)'!$H168," "))))</f>
        <v xml:space="preserve"> </v>
      </c>
    </row>
    <row r="169" spans="1:9">
      <c r="B169" s="585" t="s">
        <v>1684</v>
      </c>
      <c r="E169" s="585" t="str">
        <f ca="1">IF('Reconciliation report'!$E$10=RefData!$B$16,'All Statement of strategy (D)'!$B169,"")</f>
        <v/>
      </c>
      <c r="F169" s="585" t="str">
        <f ca="1">IF('Reconciliation report'!$E$10=RefData!$B$16,'All Statement of strategy (D)'!$B169,"")</f>
        <v/>
      </c>
      <c r="G169" s="585" t="str">
        <f ca="1">IF('Reconciliation report'!$E$10=RefData!$B$16,'All Statement of strategy (D)'!$B169,"")</f>
        <v/>
      </c>
      <c r="H169" s="585" t="str">
        <f ca="1">IF('Reconciliation report'!$E$10=RefData!$B$16,'All Statement of strategy (D)'!$B169,"")</f>
        <v/>
      </c>
      <c r="I169" s="603" t="str">
        <f ca="1">IF($C$1=RefData!$B$418,'All Statement of strategy (D)'!$E169,IF('All Statement of strategy (D)'!$C$1=RefData!$B$419,'All Statement of strategy (D)'!$F169,IF('All Statement of strategy (D)'!$C$1=RefData!$B$420,'All Statement of strategy (D)'!$G169,IF('All Statement of strategy (D)'!$C$1=RefData!$B$421,'All Statement of strategy (D)'!$H169," "))))</f>
        <v xml:space="preserve"> </v>
      </c>
    </row>
    <row r="170" spans="1:9">
      <c r="A170" s="584" t="s">
        <v>1685</v>
      </c>
      <c r="B170" s="585" t="s">
        <v>1686</v>
      </c>
      <c r="C170" s="585" t="str">
        <f ca="1">TEXT('Reconciliation report'!$E$75,RefData!$B$424)</f>
        <v/>
      </c>
      <c r="E170" s="585" t="str">
        <f ca="1">IF('Reconciliation report'!$E$10=RefData!$B$16,'All Statement of strategy (D)'!$B170&amp;$C170,"")</f>
        <v/>
      </c>
      <c r="F170" s="585" t="str">
        <f ca="1">IF('Reconciliation report'!$E$10=RefData!$B$16,'All Statement of strategy (D)'!$B170&amp;$C170,"")</f>
        <v/>
      </c>
      <c r="G170" s="585" t="str">
        <f ca="1">IF('Reconciliation report'!$E$10=RefData!$B$16,'All Statement of strategy (D)'!$B170&amp;$C170,"")</f>
        <v/>
      </c>
      <c r="H170" s="585" t="str">
        <f ca="1">IF('Reconciliation report'!$E$10=RefData!$B$16,'All Statement of strategy (D)'!$B170&amp;$C170,"")</f>
        <v/>
      </c>
      <c r="I170" s="603" t="str">
        <f ca="1">IF($C$1=RefData!$B$418,'All Statement of strategy (D)'!$E170,IF('All Statement of strategy (D)'!$C$1=RefData!$B$419,'All Statement of strategy (D)'!$F170,IF('All Statement of strategy (D)'!$C$1=RefData!$B$420,'All Statement of strategy (D)'!$G170,IF('All Statement of strategy (D)'!$C$1=RefData!$B$421,'All Statement of strategy (D)'!$H170," "))))</f>
        <v xml:space="preserve"> </v>
      </c>
    </row>
    <row r="171" spans="1:9">
      <c r="A171" s="584" t="s">
        <v>1687</v>
      </c>
      <c r="B171" s="585" t="s">
        <v>1688</v>
      </c>
      <c r="C171" s="585" t="str">
        <f ca="1">TEXT('Reconciliation report'!$E$76,RefData!$B$424)</f>
        <v/>
      </c>
      <c r="E171" s="585" t="str">
        <f ca="1">IF('Reconciliation report'!$E$10=RefData!$B$16,'All Statement of strategy (D)'!$B171&amp;$C171,"")</f>
        <v/>
      </c>
      <c r="F171" s="585" t="str">
        <f ca="1">IF('Reconciliation report'!$E$10=RefData!$B$16,'All Statement of strategy (D)'!$B171&amp;$C171,"")</f>
        <v/>
      </c>
      <c r="G171" s="585" t="str">
        <f ca="1">IF('Reconciliation report'!$E$10=RefData!$B$16,'All Statement of strategy (D)'!$B171&amp;$C171,"")</f>
        <v/>
      </c>
      <c r="H171" s="585" t="str">
        <f ca="1">IF('Reconciliation report'!$E$10=RefData!$B$16,'All Statement of strategy (D)'!$B171&amp;$C171,"")</f>
        <v/>
      </c>
      <c r="I171" s="603" t="str">
        <f ca="1">IF($C$1=RefData!$B$418,'All Statement of strategy (D)'!$E171,IF('All Statement of strategy (D)'!$C$1=RefData!$B$419,'All Statement of strategy (D)'!$F171,IF('All Statement of strategy (D)'!$C$1=RefData!$B$420,'All Statement of strategy (D)'!$G171,IF('All Statement of strategy (D)'!$C$1=RefData!$B$421,'All Statement of strategy (D)'!$H171," "))))</f>
        <v xml:space="preserve"> </v>
      </c>
    </row>
    <row r="172" spans="1:9">
      <c r="A172" s="584" t="s">
        <v>1689</v>
      </c>
      <c r="B172" s="585" t="s">
        <v>1690</v>
      </c>
      <c r="C172" s="585" t="str">
        <f ca="1">TEXT('Reconciliation report'!$E$77,RefData!$B$425)</f>
        <v/>
      </c>
      <c r="E172" s="585" t="str">
        <f ca="1">IF('Reconciliation report'!$E$10=RefData!$B$16,'All Statement of strategy (D)'!$B172&amp;$C172,"")</f>
        <v/>
      </c>
      <c r="F172" s="585" t="str">
        <f ca="1">IF('Reconciliation report'!$E$10=RefData!$B$16,'All Statement of strategy (D)'!$B172&amp;$C172,"")</f>
        <v/>
      </c>
      <c r="G172" s="585" t="str">
        <f ca="1">IF('Reconciliation report'!$E$10=RefData!$B$16,'All Statement of strategy (D)'!$B172&amp;$C172,"")</f>
        <v/>
      </c>
      <c r="H172" s="585" t="str">
        <f ca="1">IF('Reconciliation report'!$E$10=RefData!$B$16,'All Statement of strategy (D)'!$B172&amp;$C172,"")</f>
        <v/>
      </c>
      <c r="I172" s="603" t="str">
        <f ca="1">IF($C$1=RefData!$B$418,'All Statement of strategy (D)'!$E172,IF('All Statement of strategy (D)'!$C$1=RefData!$B$419,'All Statement of strategy (D)'!$F172,IF('All Statement of strategy (D)'!$C$1=RefData!$B$420,'All Statement of strategy (D)'!$G172,IF('All Statement of strategy (D)'!$C$1=RefData!$B$421,'All Statement of strategy (D)'!$H172," "))))</f>
        <v xml:space="preserve"> </v>
      </c>
    </row>
    <row r="173" spans="1:9" ht="20">
      <c r="A173" s="604" t="s">
        <v>1691</v>
      </c>
      <c r="B173" s="585" t="s">
        <v>1692</v>
      </c>
      <c r="C173" s="585" t="str">
        <f ca="1">IF('Reconciliation report'!$E$78=RefData!$B$30,TEXT('Reconciliation report'!$E$79,RefData!$B$423),IF('Reconciliation report'!$E$78=RefData!$B$29,TEXT('Reconciliation report'!$E$80,RefData!$B$423),""))</f>
        <v/>
      </c>
      <c r="E173" s="585" t="str">
        <f ca="1">IF('Reconciliation report'!$E$10=RefData!$B$16,'All Statement of strategy (D)'!$B173&amp;$C173,"")</f>
        <v/>
      </c>
      <c r="F173" s="585" t="str">
        <f ca="1">IF('Reconciliation report'!$E$10=RefData!$B$16,'All Statement of strategy (D)'!$B173&amp;$C173,"")</f>
        <v/>
      </c>
      <c r="G173" s="585" t="str">
        <f>""</f>
        <v/>
      </c>
      <c r="H173" s="585" t="str">
        <f>""</f>
        <v/>
      </c>
      <c r="I173" s="603" t="str">
        <f ca="1">IF($C$1=RefData!$B$418,'All Statement of strategy (D)'!$E173,IF('All Statement of strategy (D)'!$C$1=RefData!$B$419,'All Statement of strategy (D)'!$F173,IF('All Statement of strategy (D)'!$C$1=RefData!$B$420,'All Statement of strategy (D)'!$G173,IF('All Statement of strategy (D)'!$C$1=RefData!$B$421,'All Statement of strategy (D)'!$H173," "))))</f>
        <v xml:space="preserve"> </v>
      </c>
    </row>
    <row r="174" spans="1:9">
      <c r="A174" s="584" t="s">
        <v>1693</v>
      </c>
      <c r="B174" s="585" t="s">
        <v>1694</v>
      </c>
      <c r="C174" s="605" t="str">
        <f ca="1">IF('Reconciliation report'!$E$81=RefData!$B$31,"Yes",IF('Reconciliation report'!$E$81=RefData!$B$32,"No",""))</f>
        <v/>
      </c>
      <c r="E174" s="585" t="str">
        <f ca="1">IF('Reconciliation report'!$E$10=RefData!$B$16,'All Statement of strategy (D)'!$B174&amp;$C174,"")</f>
        <v/>
      </c>
      <c r="F174" s="585" t="str">
        <f ca="1">IF('Reconciliation report'!$E$10=RefData!$B$16,'All Statement of strategy (D)'!$B174&amp;$C174,"")</f>
        <v/>
      </c>
      <c r="G174" s="585" t="str">
        <f ca="1">IF('Reconciliation report'!$E$10=RefData!$B$16,'All Statement of strategy (D)'!$B174&amp;$C174,"")</f>
        <v/>
      </c>
      <c r="H174" s="585" t="str">
        <f ca="1">IF('Reconciliation report'!$E$10=RefData!$B$16,'All Statement of strategy (D)'!$B174&amp;$C174,"")</f>
        <v/>
      </c>
      <c r="I174" s="603" t="str">
        <f ca="1">IF($C$1=RefData!$B$418,'All Statement of strategy (D)'!$E174,IF('All Statement of strategy (D)'!$C$1=RefData!$B$419,'All Statement of strategy (D)'!$F174,IF('All Statement of strategy (D)'!$C$1=RefData!$B$420,'All Statement of strategy (D)'!$G174,IF('All Statement of strategy (D)'!$C$1=RefData!$B$421,'All Statement of strategy (D)'!$H174," "))))</f>
        <v xml:space="preserve"> </v>
      </c>
    </row>
    <row r="175" spans="1:9">
      <c r="A175" s="584" t="s">
        <v>1695</v>
      </c>
      <c r="B175" s="585" t="s">
        <v>1696</v>
      </c>
      <c r="C175" s="585" t="str">
        <f ca="1">TEXT('Reconciliation report'!$E$82,RefData!$B$425)</f>
        <v/>
      </c>
      <c r="E175" s="585" t="str">
        <f ca="1">IF(AND('Reconciliation report'!$E$10=RefData!$B$16,'Reconciliation report'!$E$81=RefData!$B$31),'All Statement of strategy (D)'!$B175&amp;$C175,"")</f>
        <v/>
      </c>
      <c r="F175" s="585" t="str">
        <f ca="1">IF(AND('Reconciliation report'!$E$10=RefData!$B$16,'Reconciliation report'!$E$81=RefData!$B$31),'All Statement of strategy (D)'!$B175&amp;$C175,"")</f>
        <v/>
      </c>
      <c r="G175" s="585" t="str">
        <f ca="1">IF(AND('Reconciliation report'!$E$10=RefData!$B$16,'Reconciliation report'!$E$81=RefData!$B$31),'All Statement of strategy (D)'!$B175&amp;$C175,"")</f>
        <v/>
      </c>
      <c r="H175" s="585" t="str">
        <f ca="1">IF(AND('Reconciliation report'!$E$10=RefData!$B$16,'Reconciliation report'!$E$81=RefData!$B$31),'All Statement of strategy (D)'!$B175&amp;$C175,"")</f>
        <v/>
      </c>
      <c r="I175" s="603" t="str">
        <f ca="1">IF($C$1=RefData!$B$418,'All Statement of strategy (D)'!$E175,IF('All Statement of strategy (D)'!$C$1=RefData!$B$419,'All Statement of strategy (D)'!$F175,IF('All Statement of strategy (D)'!$C$1=RefData!$B$420,'All Statement of strategy (D)'!$G175,IF('All Statement of strategy (D)'!$C$1=RefData!$B$421,'All Statement of strategy (D)'!$H175," "))))</f>
        <v xml:space="preserve"> </v>
      </c>
    </row>
    <row r="176" spans="1:9">
      <c r="B176" s="585" t="s">
        <v>1697</v>
      </c>
      <c r="E176" s="585" t="str">
        <f ca="1">IF('Reconciliation report'!$E$10=RefData!$B$16,'All Statement of strategy (D)'!$B176,"")</f>
        <v/>
      </c>
      <c r="F176" s="585" t="str">
        <f ca="1">IF('Reconciliation report'!$E$10=RefData!$B$16,'All Statement of strategy (D)'!$B176,"")</f>
        <v/>
      </c>
      <c r="G176" s="585" t="str">
        <f>""</f>
        <v/>
      </c>
      <c r="H176" s="585" t="str">
        <f>""</f>
        <v/>
      </c>
      <c r="I176" s="603" t="str">
        <f ca="1">IF($C$1=RefData!$B$418,'All Statement of strategy (D)'!$E176,IF('All Statement of strategy (D)'!$C$1=RefData!$B$419,'All Statement of strategy (D)'!$F176,IF('All Statement of strategy (D)'!$C$1=RefData!$B$420,'All Statement of strategy (D)'!$G176,IF('All Statement of strategy (D)'!$C$1=RefData!$B$421,'All Statement of strategy (D)'!$H176," "))))</f>
        <v xml:space="preserve"> </v>
      </c>
    </row>
    <row r="177" spans="2:9">
      <c r="B177" s="585" t="s">
        <v>1698</v>
      </c>
      <c r="E177" s="585" t="str">
        <f>""</f>
        <v/>
      </c>
      <c r="F177" s="585" t="str">
        <f>""</f>
        <v/>
      </c>
      <c r="G177" s="585" t="str">
        <f ca="1">IF('Reconciliation report'!$E$10=RefData!$B$16,$B177,"")</f>
        <v/>
      </c>
      <c r="H177" s="585" t="str">
        <f>""</f>
        <v/>
      </c>
      <c r="I177" s="603" t="str">
        <f ca="1">IF($C$1=RefData!$B$418,'All Statement of strategy (D)'!$E177,IF('All Statement of strategy (D)'!$C$1=RefData!$B$419,'All Statement of strategy (D)'!$F177,IF('All Statement of strategy (D)'!$C$1=RefData!$B$420,'All Statement of strategy (D)'!$G177,IF('All Statement of strategy (D)'!$C$1=RefData!$B$421,'All Statement of strategy (D)'!$H177," "))))</f>
        <v xml:space="preserve"> </v>
      </c>
    </row>
    <row r="178" spans="2:9">
      <c r="B178" s="585" t="s">
        <v>1699</v>
      </c>
      <c r="E178" s="585" t="str">
        <f>""</f>
        <v/>
      </c>
      <c r="F178" s="585" t="str">
        <f>""</f>
        <v/>
      </c>
      <c r="G178" s="585" t="str">
        <f>""</f>
        <v/>
      </c>
      <c r="H178" s="585" t="str">
        <f ca="1">IF('Reconciliation report'!$E$10=RefData!$B$16,$B178,"")</f>
        <v/>
      </c>
      <c r="I178" s="603" t="str">
        <f ca="1">IF($C$1=RefData!$B$418,'All Statement of strategy (D)'!$E178,IF('All Statement of strategy (D)'!$C$1=RefData!$B$419,'All Statement of strategy (D)'!$F178,IF('All Statement of strategy (D)'!$C$1=RefData!$B$420,'All Statement of strategy (D)'!$G178,IF('All Statement of strategy (D)'!$C$1=RefData!$B$421,'All Statement of strategy (D)'!$H178," "))))</f>
        <v xml:space="preserve"> </v>
      </c>
    </row>
    <row r="179" spans="2:9">
      <c r="B179" s="585" t="s">
        <v>1700</v>
      </c>
      <c r="E179" s="585" t="str">
        <f ca="1">IF('Reconciliation report'!$E$10=RefData!$B$16,'All Statement of strategy (D)'!$B179,"")</f>
        <v/>
      </c>
      <c r="F179" s="585" t="str">
        <f ca="1">IF('Reconciliation report'!$E$10=RefData!$B$16,'All Statement of strategy (D)'!$B179,"")</f>
        <v/>
      </c>
      <c r="G179" s="585" t="str">
        <f ca="1">IF('Reconciliation report'!$E$10=RefData!$B$16,'All Statement of strategy (D)'!$B179,"")</f>
        <v/>
      </c>
      <c r="H179" s="585" t="str">
        <f ca="1">IF('Reconciliation report'!$E$10=RefData!$B$16,'All Statement of strategy (D)'!$B179,"")</f>
        <v/>
      </c>
      <c r="I179" s="603" t="str">
        <f ca="1">IF($C$1=RefData!$B$418,'All Statement of strategy (D)'!$E179,IF('All Statement of strategy (D)'!$C$1=RefData!$B$419,'All Statement of strategy (D)'!$F179,IF('All Statement of strategy (D)'!$C$1=RefData!$B$420,'All Statement of strategy (D)'!$G179,IF('All Statement of strategy (D)'!$C$1=RefData!$B$421,'All Statement of strategy (D)'!$H179," "))))</f>
        <v xml:space="preserve"> </v>
      </c>
    </row>
    <row r="180" spans="2:9">
      <c r="B180" s="585" t="s">
        <v>1701</v>
      </c>
      <c r="E180" s="585" t="str">
        <f ca="1">IF('Reconciliation report'!$E$10=RefData!$B$16,'All Statement of strategy (D)'!$B180,"")</f>
        <v/>
      </c>
      <c r="F180" s="585" t="str">
        <f ca="1">IF('Reconciliation report'!$E$10=RefData!$B$16,'All Statement of strategy (D)'!$B180,"")</f>
        <v/>
      </c>
      <c r="G180" s="585" t="str">
        <f ca="1">IF('Reconciliation report'!$E$10=RefData!$B$16,'All Statement of strategy (D)'!$B180,"")</f>
        <v/>
      </c>
      <c r="H180" s="585" t="str">
        <f ca="1">IF('Reconciliation report'!$E$10=RefData!$B$16,'All Statement of strategy (D)'!$B180,"")</f>
        <v/>
      </c>
      <c r="I180" s="603" t="str">
        <f ca="1">IF($C$1=RefData!$B$418,'All Statement of strategy (D)'!$E180,IF('All Statement of strategy (D)'!$C$1=RefData!$B$419,'All Statement of strategy (D)'!$F180,IF('All Statement of strategy (D)'!$C$1=RefData!$B$420,'All Statement of strategy (D)'!$G180,IF('All Statement of strategy (D)'!$C$1=RefData!$B$421,'All Statement of strategy (D)'!$H180," "))))</f>
        <v xml:space="preserve"> </v>
      </c>
    </row>
    <row r="181" spans="2:9">
      <c r="B181" s="585">
        <v>1</v>
      </c>
      <c r="E181" s="585" t="str">
        <f ca="1">IF('Reconciliation report'!$E$10=RefData!$B$16,'All Statement of strategy (D)'!$B181,"")</f>
        <v/>
      </c>
      <c r="F181" s="585" t="str">
        <f ca="1">IF('Reconciliation report'!$E$10=RefData!$B$16,'All Statement of strategy (D)'!$B181,"")</f>
        <v/>
      </c>
      <c r="G181" s="585" t="str">
        <f ca="1">IF('Reconciliation report'!$E$10=RefData!$B$16,'All Statement of strategy (D)'!$B181,"")</f>
        <v/>
      </c>
      <c r="H181" s="585" t="str">
        <f ca="1">IF('Reconciliation report'!$E$10=RefData!$B$16,'All Statement of strategy (D)'!$B181,"")</f>
        <v/>
      </c>
      <c r="I181" s="585" t="str">
        <f ca="1">IF($C$1=RefData!$B$418,'All Statement of strategy (D)'!$E181,IF('All Statement of strategy (D)'!$C$1=RefData!$B$419,'All Statement of strategy (D)'!$F181,IF('All Statement of strategy (D)'!$C$1=RefData!$B$420,'All Statement of strategy (D)'!$G181,IF('All Statement of strategy (D)'!$C$1=RefData!$B$421,'All Statement of strategy (D)'!$H181," "))))</f>
        <v xml:space="preserve"> </v>
      </c>
    </row>
    <row r="182" spans="2:9">
      <c r="B182" s="585">
        <v>2</v>
      </c>
      <c r="E182" s="585" t="str">
        <f ca="1">IF('Reconciliation report'!$E$10=RefData!$B$16,'All Statement of strategy (D)'!$B182,"")</f>
        <v/>
      </c>
      <c r="F182" s="585" t="str">
        <f ca="1">IF('Reconciliation report'!$E$10=RefData!$B$16,'All Statement of strategy (D)'!$B182,"")</f>
        <v/>
      </c>
      <c r="G182" s="585" t="str">
        <f ca="1">IF('Reconciliation report'!$E$10=RefData!$B$16,'All Statement of strategy (D)'!$B182,"")</f>
        <v/>
      </c>
      <c r="H182" s="585" t="str">
        <f ca="1">IF('Reconciliation report'!$E$10=RefData!$B$16,'All Statement of strategy (D)'!$B182,"")</f>
        <v/>
      </c>
      <c r="I182" s="585" t="str">
        <f ca="1">IF($C$1=RefData!$B$418,'All Statement of strategy (D)'!$E182,IF('All Statement of strategy (D)'!$C$1=RefData!$B$419,'All Statement of strategy (D)'!$F182,IF('All Statement of strategy (D)'!$C$1=RefData!$B$420,'All Statement of strategy (D)'!$G182,IF('All Statement of strategy (D)'!$C$1=RefData!$B$421,'All Statement of strategy (D)'!$H182," "))))</f>
        <v xml:space="preserve"> </v>
      </c>
    </row>
    <row r="183" spans="2:9">
      <c r="B183" s="585">
        <v>3</v>
      </c>
      <c r="E183" s="585" t="str">
        <f ca="1">IF('Reconciliation report'!$E$10=RefData!$B$16,'All Statement of strategy (D)'!$B183,"")</f>
        <v/>
      </c>
      <c r="F183" s="585" t="str">
        <f ca="1">IF('Reconciliation report'!$E$10=RefData!$B$16,'All Statement of strategy (D)'!$B183,"")</f>
        <v/>
      </c>
      <c r="G183" s="585" t="str">
        <f ca="1">IF('Reconciliation report'!$E$10=RefData!$B$16,'All Statement of strategy (D)'!$B183,"")</f>
        <v/>
      </c>
      <c r="H183" s="585" t="str">
        <f ca="1">IF('Reconciliation report'!$E$10=RefData!$B$16,'All Statement of strategy (D)'!$B183,"")</f>
        <v/>
      </c>
      <c r="I183" s="585" t="str">
        <f ca="1">IF($C$1=RefData!$B$418,'All Statement of strategy (D)'!$E183,IF('All Statement of strategy (D)'!$C$1=RefData!$B$419,'All Statement of strategy (D)'!$F183,IF('All Statement of strategy (D)'!$C$1=RefData!$B$420,'All Statement of strategy (D)'!$G183,IF('All Statement of strategy (D)'!$C$1=RefData!$B$421,'All Statement of strategy (D)'!$H183," "))))</f>
        <v xml:space="preserve"> </v>
      </c>
    </row>
    <row r="184" spans="2:9">
      <c r="B184" s="585">
        <v>4</v>
      </c>
      <c r="E184" s="585" t="str">
        <f ca="1">IF('Reconciliation report'!$E$10=RefData!$B$16,'All Statement of strategy (D)'!$B184,"")</f>
        <v/>
      </c>
      <c r="F184" s="585" t="str">
        <f ca="1">IF('Reconciliation report'!$E$10=RefData!$B$16,'All Statement of strategy (D)'!$B184,"")</f>
        <v/>
      </c>
      <c r="G184" s="585" t="str">
        <f ca="1">IF('Reconciliation report'!$E$10=RefData!$B$16,'All Statement of strategy (D)'!$B184,"")</f>
        <v/>
      </c>
      <c r="H184" s="585" t="str">
        <f>""</f>
        <v/>
      </c>
      <c r="I184" s="585" t="str">
        <f ca="1">IF($C$1=RefData!$B$418,'All Statement of strategy (D)'!$E184,IF('All Statement of strategy (D)'!$C$1=RefData!$B$419,'All Statement of strategy (D)'!$F184,IF('All Statement of strategy (D)'!$C$1=RefData!$B$420,'All Statement of strategy (D)'!$G184,IF('All Statement of strategy (D)'!$C$1=RefData!$B$421,'All Statement of strategy (D)'!$H184," "))))</f>
        <v xml:space="preserve"> </v>
      </c>
    </row>
    <row r="185" spans="2:9">
      <c r="B185" s="585">
        <v>5</v>
      </c>
      <c r="E185" s="585" t="str">
        <f ca="1">IF('Reconciliation report'!$E$10=RefData!$B$16,'All Statement of strategy (D)'!$B185,"")</f>
        <v/>
      </c>
      <c r="F185" s="585" t="str">
        <f ca="1">IF('Reconciliation report'!$E$10=RefData!$B$16,'All Statement of strategy (D)'!$B185,"")</f>
        <v/>
      </c>
      <c r="G185" s="585" t="str">
        <f ca="1">IF('Reconciliation report'!$E$10=RefData!$B$16,'All Statement of strategy (D)'!$B185,"")</f>
        <v/>
      </c>
      <c r="H185" s="585" t="str">
        <f>""</f>
        <v/>
      </c>
      <c r="I185" s="585" t="str">
        <f ca="1">IF($C$1=RefData!$B$418,'All Statement of strategy (D)'!$E185,IF('All Statement of strategy (D)'!$C$1=RefData!$B$419,'All Statement of strategy (D)'!$F185,IF('All Statement of strategy (D)'!$C$1=RefData!$B$420,'All Statement of strategy (D)'!$G185,IF('All Statement of strategy (D)'!$C$1=RefData!$B$421,'All Statement of strategy (D)'!$H185," "))))</f>
        <v xml:space="preserve"> </v>
      </c>
    </row>
    <row r="186" spans="2:9">
      <c r="B186" s="585">
        <v>6</v>
      </c>
      <c r="E186" s="585" t="str">
        <f ca="1">IF('Reconciliation report'!$E$10=RefData!$B$16,'All Statement of strategy (D)'!$B186,"")</f>
        <v/>
      </c>
      <c r="F186" s="585" t="str">
        <f ca="1">IF('Reconciliation report'!$E$10=RefData!$B$16,'All Statement of strategy (D)'!$B186,"")</f>
        <v/>
      </c>
      <c r="G186" s="585" t="str">
        <f ca="1">IF('Reconciliation report'!$E$10=RefData!$B$16,'All Statement of strategy (D)'!$B186,"")</f>
        <v/>
      </c>
      <c r="H186" s="585" t="str">
        <f>""</f>
        <v/>
      </c>
      <c r="I186" s="585" t="str">
        <f ca="1">IF($C$1=RefData!$B$418,'All Statement of strategy (D)'!$E186,IF('All Statement of strategy (D)'!$C$1=RefData!$B$419,'All Statement of strategy (D)'!$F186,IF('All Statement of strategy (D)'!$C$1=RefData!$B$420,'All Statement of strategy (D)'!$G186,IF('All Statement of strategy (D)'!$C$1=RefData!$B$421,'All Statement of strategy (D)'!$H186," "))))</f>
        <v xml:space="preserve"> </v>
      </c>
    </row>
    <row r="187" spans="2:9">
      <c r="B187" s="585">
        <v>7</v>
      </c>
      <c r="E187" s="585" t="str">
        <f ca="1">IF('Reconciliation report'!$E$10=RefData!$B$16,'All Statement of strategy (D)'!$B187,"")</f>
        <v/>
      </c>
      <c r="F187" s="585" t="str">
        <f ca="1">IF('Reconciliation report'!$E$10=RefData!$B$16,'All Statement of strategy (D)'!$B187,"")</f>
        <v/>
      </c>
      <c r="G187" s="585" t="str">
        <f>""</f>
        <v/>
      </c>
      <c r="H187" s="585" t="str">
        <f>""</f>
        <v/>
      </c>
      <c r="I187" s="585" t="str">
        <f ca="1">IF($C$1=RefData!$B$418,'All Statement of strategy (D)'!$E187,IF('All Statement of strategy (D)'!$C$1=RefData!$B$419,'All Statement of strategy (D)'!$F187,IF('All Statement of strategy (D)'!$C$1=RefData!$B$420,'All Statement of strategy (D)'!$G187,IF('All Statement of strategy (D)'!$C$1=RefData!$B$421,'All Statement of strategy (D)'!$H187," "))))</f>
        <v xml:space="preserve"> </v>
      </c>
    </row>
    <row r="188" spans="2:9">
      <c r="B188" s="585">
        <v>8</v>
      </c>
      <c r="E188" s="585" t="str">
        <f ca="1">IF('Reconciliation report'!$E$10=RefData!$B$16,'All Statement of strategy (D)'!$B188,"")</f>
        <v/>
      </c>
      <c r="F188" s="585" t="str">
        <f ca="1">IF('Reconciliation report'!$E$10=RefData!$B$16,'All Statement of strategy (D)'!$B188,"")</f>
        <v/>
      </c>
      <c r="G188" s="585" t="str">
        <f>""</f>
        <v/>
      </c>
      <c r="H188" s="585" t="str">
        <f>""</f>
        <v/>
      </c>
      <c r="I188" s="585" t="str">
        <f ca="1">IF($C$1=RefData!$B$418,'All Statement of strategy (D)'!$E188,IF('All Statement of strategy (D)'!$C$1=RefData!$B$419,'All Statement of strategy (D)'!$F188,IF('All Statement of strategy (D)'!$C$1=RefData!$B$420,'All Statement of strategy (D)'!$G188,IF('All Statement of strategy (D)'!$C$1=RefData!$B$421,'All Statement of strategy (D)'!$H188," "))))</f>
        <v xml:space="preserve"> </v>
      </c>
    </row>
    <row r="189" spans="2:9">
      <c r="B189" s="585">
        <v>9</v>
      </c>
      <c r="E189" s="585" t="str">
        <f ca="1">IF('Reconciliation report'!$E$10=RefData!$B$16,'All Statement of strategy (D)'!$B189,"")</f>
        <v/>
      </c>
      <c r="F189" s="585" t="str">
        <f ca="1">IF('Reconciliation report'!$E$10=RefData!$B$16,'All Statement of strategy (D)'!$B189,"")</f>
        <v/>
      </c>
      <c r="G189" s="585" t="str">
        <f>""</f>
        <v/>
      </c>
      <c r="H189" s="585" t="str">
        <f>""</f>
        <v/>
      </c>
      <c r="I189" s="585" t="str">
        <f ca="1">IF($C$1=RefData!$B$418,'All Statement of strategy (D)'!$E189,IF('All Statement of strategy (D)'!$C$1=RefData!$B$419,'All Statement of strategy (D)'!$F189,IF('All Statement of strategy (D)'!$C$1=RefData!$B$420,'All Statement of strategy (D)'!$G189,IF('All Statement of strategy (D)'!$C$1=RefData!$B$421,'All Statement of strategy (D)'!$H189," "))))</f>
        <v xml:space="preserve"> </v>
      </c>
    </row>
    <row r="190" spans="2:9">
      <c r="B190" s="585">
        <v>10</v>
      </c>
      <c r="E190" s="585" t="str">
        <f ca="1">IF('Reconciliation report'!$E$10=RefData!$B$16,'All Statement of strategy (D)'!$B190,"")</f>
        <v/>
      </c>
      <c r="F190" s="585" t="str">
        <f ca="1">IF('Reconciliation report'!$E$10=RefData!$B$16,'All Statement of strategy (D)'!$B190,"")</f>
        <v/>
      </c>
      <c r="G190" s="585" t="str">
        <f>""</f>
        <v/>
      </c>
      <c r="H190" s="585" t="str">
        <f>""</f>
        <v/>
      </c>
      <c r="I190" s="585" t="str">
        <f ca="1">IF($C$1=RefData!$B$418,'All Statement of strategy (D)'!$E190,IF('All Statement of strategy (D)'!$C$1=RefData!$B$419,'All Statement of strategy (D)'!$F190,IF('All Statement of strategy (D)'!$C$1=RefData!$B$420,'All Statement of strategy (D)'!$G190,IF('All Statement of strategy (D)'!$C$1=RefData!$B$421,'All Statement of strategy (D)'!$H190," "))))</f>
        <v xml:space="preserve"> </v>
      </c>
    </row>
    <row r="191" spans="2:9">
      <c r="B191" s="585">
        <v>11</v>
      </c>
      <c r="E191" s="585" t="str">
        <f ca="1">IF('Reconciliation report'!$E$10=RefData!$B$16,'All Statement of strategy (D)'!$B191,"")</f>
        <v/>
      </c>
      <c r="F191" s="585" t="str">
        <f ca="1">IF('Reconciliation report'!$E$10=RefData!$B$16,'All Statement of strategy (D)'!$B191,"")</f>
        <v/>
      </c>
      <c r="G191" s="585" t="str">
        <f>""</f>
        <v/>
      </c>
      <c r="H191" s="585" t="str">
        <f>""</f>
        <v/>
      </c>
      <c r="I191" s="585" t="str">
        <f ca="1">IF($C$1=RefData!$B$418,'All Statement of strategy (D)'!$E191,IF('All Statement of strategy (D)'!$C$1=RefData!$B$419,'All Statement of strategy (D)'!$F191,IF('All Statement of strategy (D)'!$C$1=RefData!$B$420,'All Statement of strategy (D)'!$G191,IF('All Statement of strategy (D)'!$C$1=RefData!$B$421,'All Statement of strategy (D)'!$H191," "))))</f>
        <v xml:space="preserve"> </v>
      </c>
    </row>
    <row r="192" spans="2:9">
      <c r="B192" s="585">
        <v>12</v>
      </c>
      <c r="E192" s="585" t="str">
        <f ca="1">IF('Reconciliation report'!$E$10=RefData!$B$16,'All Statement of strategy (D)'!$B192,"")</f>
        <v/>
      </c>
      <c r="F192" s="585" t="str">
        <f ca="1">IF('Reconciliation report'!$E$10=RefData!$B$16,'All Statement of strategy (D)'!$B192,"")</f>
        <v/>
      </c>
      <c r="G192" s="585" t="str">
        <f>""</f>
        <v/>
      </c>
      <c r="H192" s="585" t="str">
        <f>""</f>
        <v/>
      </c>
      <c r="I192" s="585" t="str">
        <f ca="1">IF($C$1=RefData!$B$418,'All Statement of strategy (D)'!$E192,IF('All Statement of strategy (D)'!$C$1=RefData!$B$419,'All Statement of strategy (D)'!$F192,IF('All Statement of strategy (D)'!$C$1=RefData!$B$420,'All Statement of strategy (D)'!$G192,IF('All Statement of strategy (D)'!$C$1=RefData!$B$421,'All Statement of strategy (D)'!$H192," "))))</f>
        <v xml:space="preserve"> </v>
      </c>
    </row>
    <row r="193" spans="1:9">
      <c r="B193" s="585">
        <v>13</v>
      </c>
      <c r="E193" s="585" t="str">
        <f ca="1">IF('Reconciliation report'!$E$10=RefData!$B$16,'All Statement of strategy (D)'!$B193,"")</f>
        <v/>
      </c>
      <c r="F193" s="585" t="str">
        <f ca="1">IF('Reconciliation report'!$E$10=RefData!$B$16,'All Statement of strategy (D)'!$B193,"")</f>
        <v/>
      </c>
      <c r="G193" s="585" t="str">
        <f>""</f>
        <v/>
      </c>
      <c r="H193" s="585" t="str">
        <f>""</f>
        <v/>
      </c>
      <c r="I193" s="585" t="str">
        <f ca="1">IF($C$1=RefData!$B$418,'All Statement of strategy (D)'!$E193,IF('All Statement of strategy (D)'!$C$1=RefData!$B$419,'All Statement of strategy (D)'!$F193,IF('All Statement of strategy (D)'!$C$1=RefData!$B$420,'All Statement of strategy (D)'!$G193,IF('All Statement of strategy (D)'!$C$1=RefData!$B$421,'All Statement of strategy (D)'!$H193," "))))</f>
        <v xml:space="preserve"> </v>
      </c>
    </row>
    <row r="194" spans="1:9">
      <c r="B194" s="585">
        <v>14</v>
      </c>
      <c r="E194" s="585" t="str">
        <f ca="1">IF('Reconciliation report'!$E$10=RefData!$B$16,'All Statement of strategy (D)'!$B194,"")</f>
        <v/>
      </c>
      <c r="F194" s="585" t="str">
        <f ca="1">IF('Reconciliation report'!$E$10=RefData!$B$16,'All Statement of strategy (D)'!$B194,"")</f>
        <v/>
      </c>
      <c r="G194" s="585" t="str">
        <f>""</f>
        <v/>
      </c>
      <c r="H194" s="585" t="str">
        <f>""</f>
        <v/>
      </c>
      <c r="I194" s="585" t="str">
        <f ca="1">IF($C$1=RefData!$B$418,'All Statement of strategy (D)'!$E194,IF('All Statement of strategy (D)'!$C$1=RefData!$B$419,'All Statement of strategy (D)'!$F194,IF('All Statement of strategy (D)'!$C$1=RefData!$B$420,'All Statement of strategy (D)'!$G194,IF('All Statement of strategy (D)'!$C$1=RefData!$B$421,'All Statement of strategy (D)'!$H194," "))))</f>
        <v xml:space="preserve"> </v>
      </c>
    </row>
    <row r="195" spans="1:9">
      <c r="B195" s="585">
        <v>15</v>
      </c>
      <c r="E195" s="585" t="str">
        <f ca="1">IF('Reconciliation report'!$E$10=RefData!$B$16,'All Statement of strategy (D)'!$B195,"")</f>
        <v/>
      </c>
      <c r="F195" s="585" t="str">
        <f ca="1">IF('Reconciliation report'!$E$10=RefData!$B$16,'All Statement of strategy (D)'!$B195,"")</f>
        <v/>
      </c>
      <c r="G195" s="585" t="str">
        <f>""</f>
        <v/>
      </c>
      <c r="H195" s="585" t="str">
        <f>""</f>
        <v/>
      </c>
      <c r="I195" s="585" t="str">
        <f ca="1">IF($C$1=RefData!$B$418,'All Statement of strategy (D)'!$E195,IF('All Statement of strategy (D)'!$C$1=RefData!$B$419,'All Statement of strategy (D)'!$F195,IF('All Statement of strategy (D)'!$C$1=RefData!$B$420,'All Statement of strategy (D)'!$G195,IF('All Statement of strategy (D)'!$C$1=RefData!$B$421,'All Statement of strategy (D)'!$H195," "))))</f>
        <v xml:space="preserve"> </v>
      </c>
    </row>
    <row r="196" spans="1:9">
      <c r="B196" s="585">
        <v>16</v>
      </c>
      <c r="E196" s="585" t="str">
        <f ca="1">IF('Reconciliation report'!$E$10=RefData!$B$16,'All Statement of strategy (D)'!$B196,"")</f>
        <v/>
      </c>
      <c r="F196" s="585" t="str">
        <f ca="1">IF('Reconciliation report'!$E$10=RefData!$B$16,'All Statement of strategy (D)'!$B196,"")</f>
        <v/>
      </c>
      <c r="G196" s="585" t="str">
        <f>""</f>
        <v/>
      </c>
      <c r="H196" s="585" t="str">
        <f>""</f>
        <v/>
      </c>
      <c r="I196" s="585" t="str">
        <f ca="1">IF($C$1=RefData!$B$418,'All Statement of strategy (D)'!$E196,IF('All Statement of strategy (D)'!$C$1=RefData!$B$419,'All Statement of strategy (D)'!$F196,IF('All Statement of strategy (D)'!$C$1=RefData!$B$420,'All Statement of strategy (D)'!$G196,IF('All Statement of strategy (D)'!$C$1=RefData!$B$421,'All Statement of strategy (D)'!$H196," "))))</f>
        <v xml:space="preserve"> </v>
      </c>
    </row>
    <row r="197" spans="1:9">
      <c r="B197" s="585">
        <v>17</v>
      </c>
      <c r="E197" s="585" t="str">
        <f ca="1">IF('Reconciliation report'!$E$10=RefData!$B$16,'All Statement of strategy (D)'!$B197,"")</f>
        <v/>
      </c>
      <c r="F197" s="585" t="str">
        <f ca="1">IF('Reconciliation report'!$E$10=RefData!$B$16,'All Statement of strategy (D)'!$B197,"")</f>
        <v/>
      </c>
      <c r="G197" s="585" t="str">
        <f>""</f>
        <v/>
      </c>
      <c r="H197" s="585" t="str">
        <f>""</f>
        <v/>
      </c>
      <c r="I197" s="585" t="str">
        <f ca="1">IF($C$1=RefData!$B$418,'All Statement of strategy (D)'!$E197,IF('All Statement of strategy (D)'!$C$1=RefData!$B$419,'All Statement of strategy (D)'!$F197,IF('All Statement of strategy (D)'!$C$1=RefData!$B$420,'All Statement of strategy (D)'!$G197,IF('All Statement of strategy (D)'!$C$1=RefData!$B$421,'All Statement of strategy (D)'!$H197," "))))</f>
        <v xml:space="preserve"> </v>
      </c>
    </row>
    <row r="198" spans="1:9">
      <c r="B198" s="585">
        <v>18</v>
      </c>
      <c r="E198" s="585" t="str">
        <f ca="1">IF('Reconciliation report'!$E$10=RefData!$B$16,'All Statement of strategy (D)'!$B198,"")</f>
        <v/>
      </c>
      <c r="F198" s="585" t="str">
        <f ca="1">IF('Reconciliation report'!$E$10=RefData!$B$16,'All Statement of strategy (D)'!$B198,"")</f>
        <v/>
      </c>
      <c r="G198" s="585" t="str">
        <f>""</f>
        <v/>
      </c>
      <c r="H198" s="585" t="str">
        <f>""</f>
        <v/>
      </c>
      <c r="I198" s="585" t="str">
        <f ca="1">IF($C$1=RefData!$B$418,'All Statement of strategy (D)'!$E198,IF('All Statement of strategy (D)'!$C$1=RefData!$B$419,'All Statement of strategy (D)'!$F198,IF('All Statement of strategy (D)'!$C$1=RefData!$B$420,'All Statement of strategy (D)'!$G198,IF('All Statement of strategy (D)'!$C$1=RefData!$B$421,'All Statement of strategy (D)'!$H198," "))))</f>
        <v xml:space="preserve"> </v>
      </c>
    </row>
    <row r="199" spans="1:9">
      <c r="B199" s="585">
        <v>19</v>
      </c>
      <c r="E199" s="585" t="str">
        <f ca="1">IF('Reconciliation report'!$E$10=RefData!$B$16,'All Statement of strategy (D)'!$B199,"")</f>
        <v/>
      </c>
      <c r="F199" s="585" t="str">
        <f ca="1">IF('Reconciliation report'!$E$10=RefData!$B$16,'All Statement of strategy (D)'!$B199,"")</f>
        <v/>
      </c>
      <c r="G199" s="585" t="str">
        <f>""</f>
        <v/>
      </c>
      <c r="H199" s="585" t="str">
        <f>""</f>
        <v/>
      </c>
      <c r="I199" s="585" t="str">
        <f ca="1">IF($C$1=RefData!$B$418,'All Statement of strategy (D)'!$E199,IF('All Statement of strategy (D)'!$C$1=RefData!$B$419,'All Statement of strategy (D)'!$F199,IF('All Statement of strategy (D)'!$C$1=RefData!$B$420,'All Statement of strategy (D)'!$G199,IF('All Statement of strategy (D)'!$C$1=RefData!$B$421,'All Statement of strategy (D)'!$H199," "))))</f>
        <v xml:space="preserve"> </v>
      </c>
    </row>
    <row r="200" spans="1:9">
      <c r="B200" s="585">
        <v>20</v>
      </c>
      <c r="E200" s="585" t="str">
        <f ca="1">IF('Reconciliation report'!$E$10=RefData!$B$16,'All Statement of strategy (D)'!$B200,"")</f>
        <v/>
      </c>
      <c r="F200" s="585" t="str">
        <f ca="1">IF('Reconciliation report'!$E$10=RefData!$B$16,'All Statement of strategy (D)'!$B200,"")</f>
        <v/>
      </c>
      <c r="G200" s="585" t="str">
        <f>""</f>
        <v/>
      </c>
      <c r="H200" s="585" t="str">
        <f>""</f>
        <v/>
      </c>
      <c r="I200" s="585" t="str">
        <f ca="1">IF($C$1=RefData!$B$418,'All Statement of strategy (D)'!$E200,IF('All Statement of strategy (D)'!$C$1=RefData!$B$419,'All Statement of strategy (D)'!$F200,IF('All Statement of strategy (D)'!$C$1=RefData!$B$420,'All Statement of strategy (D)'!$G200,IF('All Statement of strategy (D)'!$C$1=RefData!$B$421,'All Statement of strategy (D)'!$H200," "))))</f>
        <v xml:space="preserve"> </v>
      </c>
    </row>
    <row r="201" spans="1:9">
      <c r="B201" s="585" t="s">
        <v>1702</v>
      </c>
      <c r="E201" s="585" t="str">
        <f ca="1">IF('Reconciliation report'!$E$10=RefData!$B$16,'All Statement of strategy (D)'!$B201,"")</f>
        <v/>
      </c>
      <c r="F201" s="585" t="str">
        <f ca="1">IF('Reconciliation report'!$E$10=RefData!$B$16,'All Statement of strategy (D)'!$B201,"")</f>
        <v/>
      </c>
      <c r="G201" s="585" t="str">
        <f>""</f>
        <v/>
      </c>
      <c r="H201" s="585" t="str">
        <f>""</f>
        <v/>
      </c>
      <c r="I201" s="585" t="str">
        <f ca="1">IF($C$1=RefData!$B$418,'All Statement of strategy (D)'!$E201,IF('All Statement of strategy (D)'!$C$1=RefData!$B$419,'All Statement of strategy (D)'!$F201,IF('All Statement of strategy (D)'!$C$1=RefData!$B$420,'All Statement of strategy (D)'!$G201,IF('All Statement of strategy (D)'!$C$1=RefData!$B$421,'All Statement of strategy (D)'!$H201," "))))</f>
        <v xml:space="preserve"> </v>
      </c>
    </row>
    <row r="202" spans="1:9">
      <c r="A202" s="584" t="s">
        <v>1703</v>
      </c>
      <c r="B202" s="585" t="str">
        <f ca="1">TEXT('Reconciliation report'!$E$83,RefData!$B$425)</f>
        <v/>
      </c>
      <c r="E202" s="585" t="str">
        <f ca="1">IF('Reconciliation report'!$E$10=RefData!$B$16,'All Statement of strategy (D)'!$B202,"")</f>
        <v/>
      </c>
      <c r="F202" s="585" t="str">
        <f ca="1">IF('Reconciliation report'!$E$10=RefData!$B$16,'All Statement of strategy (D)'!$B202,"")</f>
        <v/>
      </c>
      <c r="G202" s="585" t="str">
        <f ca="1">IF('Reconciliation report'!$E$10=RefData!$B$16,'All Statement of strategy (D)'!$B202,"")</f>
        <v/>
      </c>
      <c r="H202" s="585" t="str">
        <f ca="1">IF('Reconciliation report'!$E$10=RefData!$B$16,'All Statement of strategy (D)'!$B202,"")</f>
        <v/>
      </c>
      <c r="I202" s="603" t="str">
        <f ca="1">IF($C$1=RefData!$B$418,'All Statement of strategy (D)'!$E202,IF('All Statement of strategy (D)'!$C$1=RefData!$B$419,'All Statement of strategy (D)'!$F202,IF('All Statement of strategy (D)'!$C$1=RefData!$B$420,'All Statement of strategy (D)'!$G202,IF('All Statement of strategy (D)'!$C$1=RefData!$B$421,'All Statement of strategy (D)'!$H202," "))))</f>
        <v xml:space="preserve"> </v>
      </c>
    </row>
    <row r="203" spans="1:9">
      <c r="A203" s="584" t="s">
        <v>1704</v>
      </c>
      <c r="B203" s="585" t="str">
        <f ca="1">TEXT('Reconciliation report'!$E$84,RefData!$B$425)</f>
        <v/>
      </c>
      <c r="E203" s="585" t="str">
        <f ca="1">IF('Reconciliation report'!$E$10=RefData!$B$16,'All Statement of strategy (D)'!$B203,"")</f>
        <v/>
      </c>
      <c r="F203" s="585" t="str">
        <f ca="1">IF('Reconciliation report'!$E$10=RefData!$B$16,'All Statement of strategy (D)'!$B203,"")</f>
        <v/>
      </c>
      <c r="G203" s="585" t="str">
        <f ca="1">IF('Reconciliation report'!$E$10=RefData!$B$16,'All Statement of strategy (D)'!$B203,"")</f>
        <v/>
      </c>
      <c r="H203" s="585" t="str">
        <f ca="1">IF('Reconciliation report'!$E$10=RefData!$B$16,'All Statement of strategy (D)'!$B203,"")</f>
        <v/>
      </c>
      <c r="I203" s="603" t="str">
        <f ca="1">IF($C$1=RefData!$B$418,'All Statement of strategy (D)'!$E203,IF('All Statement of strategy (D)'!$C$1=RefData!$B$419,'All Statement of strategy (D)'!$F203,IF('All Statement of strategy (D)'!$C$1=RefData!$B$420,'All Statement of strategy (D)'!$G203,IF('All Statement of strategy (D)'!$C$1=RefData!$B$421,'All Statement of strategy (D)'!$H203," "))))</f>
        <v xml:space="preserve"> </v>
      </c>
    </row>
    <row r="204" spans="1:9">
      <c r="A204" s="584" t="s">
        <v>1705</v>
      </c>
      <c r="B204" s="585" t="str">
        <f ca="1">TEXT('Reconciliation report'!$E$85,RefData!$B$425)</f>
        <v/>
      </c>
      <c r="E204" s="585" t="str">
        <f ca="1">IF('Reconciliation report'!$E$10=RefData!$B$16,'All Statement of strategy (D)'!$B204,"")</f>
        <v/>
      </c>
      <c r="F204" s="585" t="str">
        <f ca="1">IF('Reconciliation report'!$E$10=RefData!$B$16,'All Statement of strategy (D)'!$B204,"")</f>
        <v/>
      </c>
      <c r="G204" s="585" t="str">
        <f ca="1">IF('Reconciliation report'!$E$10=RefData!$B$16,'All Statement of strategy (D)'!$B204,"")</f>
        <v/>
      </c>
      <c r="H204" s="585" t="str">
        <f ca="1">IF('Reconciliation report'!$E$10=RefData!$B$16,'All Statement of strategy (D)'!$B204,"")</f>
        <v/>
      </c>
      <c r="I204" s="603" t="str">
        <f ca="1">IF($C$1=RefData!$B$418,'All Statement of strategy (D)'!$E204,IF('All Statement of strategy (D)'!$C$1=RefData!$B$419,'All Statement of strategy (D)'!$F204,IF('All Statement of strategy (D)'!$C$1=RefData!$B$420,'All Statement of strategy (D)'!$G204,IF('All Statement of strategy (D)'!$C$1=RefData!$B$421,'All Statement of strategy (D)'!$H204," "))))</f>
        <v xml:space="preserve"> </v>
      </c>
    </row>
    <row r="205" spans="1:9">
      <c r="A205" s="584" t="s">
        <v>1706</v>
      </c>
      <c r="B205" s="585" t="str">
        <f ca="1">TEXT('Reconciliation report'!$E$86,RefData!$B$425)</f>
        <v/>
      </c>
      <c r="E205" s="585" t="str">
        <f ca="1">IF('Reconciliation report'!$E$10=RefData!$B$16,'All Statement of strategy (D)'!$B205,"")</f>
        <v/>
      </c>
      <c r="F205" s="585" t="str">
        <f ca="1">IF('Reconciliation report'!$E$10=RefData!$B$16,'All Statement of strategy (D)'!$B205,"")</f>
        <v/>
      </c>
      <c r="G205" s="585" t="str">
        <f ca="1">IF('Reconciliation report'!$E$10=RefData!$B$16,'All Statement of strategy (D)'!$B205,"")</f>
        <v/>
      </c>
      <c r="H205" s="585" t="str">
        <f>""</f>
        <v/>
      </c>
      <c r="I205" s="603" t="str">
        <f ca="1">IF($C$1=RefData!$B$418,'All Statement of strategy (D)'!$E205,IF('All Statement of strategy (D)'!$C$1=RefData!$B$419,'All Statement of strategy (D)'!$F205,IF('All Statement of strategy (D)'!$C$1=RefData!$B$420,'All Statement of strategy (D)'!$G205,IF('All Statement of strategy (D)'!$C$1=RefData!$B$421,'All Statement of strategy (D)'!$H205," "))))</f>
        <v xml:space="preserve"> </v>
      </c>
    </row>
    <row r="206" spans="1:9">
      <c r="A206" s="584" t="s">
        <v>1707</v>
      </c>
      <c r="B206" s="585" t="str">
        <f ca="1">TEXT('Reconciliation report'!$E$87,RefData!$B$425)</f>
        <v/>
      </c>
      <c r="E206" s="585" t="str">
        <f ca="1">IF('Reconciliation report'!$E$10=RefData!$B$16,'All Statement of strategy (D)'!$B206,"")</f>
        <v/>
      </c>
      <c r="F206" s="585" t="str">
        <f ca="1">IF('Reconciliation report'!$E$10=RefData!$B$16,'All Statement of strategy (D)'!$B206,"")</f>
        <v/>
      </c>
      <c r="G206" s="585" t="str">
        <f ca="1">IF('Reconciliation report'!$E$10=RefData!$B$16,'All Statement of strategy (D)'!$B206,"")</f>
        <v/>
      </c>
      <c r="H206" s="585" t="str">
        <f>""</f>
        <v/>
      </c>
      <c r="I206" s="603" t="str">
        <f ca="1">IF($C$1=RefData!$B$418,'All Statement of strategy (D)'!$E206,IF('All Statement of strategy (D)'!$C$1=RefData!$B$419,'All Statement of strategy (D)'!$F206,IF('All Statement of strategy (D)'!$C$1=RefData!$B$420,'All Statement of strategy (D)'!$G206,IF('All Statement of strategy (D)'!$C$1=RefData!$B$421,'All Statement of strategy (D)'!$H206," "))))</f>
        <v xml:space="preserve"> </v>
      </c>
    </row>
    <row r="207" spans="1:9">
      <c r="A207" s="584" t="s">
        <v>1708</v>
      </c>
      <c r="B207" s="585" t="str">
        <f ca="1">TEXT('Reconciliation report'!$E$88,RefData!$B$425)</f>
        <v/>
      </c>
      <c r="E207" s="585" t="str">
        <f ca="1">IF('Reconciliation report'!$E$10=RefData!$B$16,'All Statement of strategy (D)'!$B207,"")</f>
        <v/>
      </c>
      <c r="F207" s="585" t="str">
        <f ca="1">IF('Reconciliation report'!$E$10=RefData!$B$16,'All Statement of strategy (D)'!$B207,"")</f>
        <v/>
      </c>
      <c r="G207" s="585" t="str">
        <f ca="1">IF('Reconciliation report'!$E$10=RefData!$B$16,'All Statement of strategy (D)'!$B207,"")</f>
        <v/>
      </c>
      <c r="H207" s="585" t="str">
        <f>""</f>
        <v/>
      </c>
      <c r="I207" s="603" t="str">
        <f ca="1">IF($C$1=RefData!$B$418,'All Statement of strategy (D)'!$E207,IF('All Statement of strategy (D)'!$C$1=RefData!$B$419,'All Statement of strategy (D)'!$F207,IF('All Statement of strategy (D)'!$C$1=RefData!$B$420,'All Statement of strategy (D)'!$G207,IF('All Statement of strategy (D)'!$C$1=RefData!$B$421,'All Statement of strategy (D)'!$H207," "))))</f>
        <v xml:space="preserve"> </v>
      </c>
    </row>
    <row r="208" spans="1:9">
      <c r="A208" s="584" t="s">
        <v>1709</v>
      </c>
      <c r="B208" s="585" t="str">
        <f ca="1">TEXT('Reconciliation report'!$E$89,RefData!$B$425)</f>
        <v/>
      </c>
      <c r="E208" s="585" t="str">
        <f ca="1">IF('Reconciliation report'!$E$10=RefData!$B$16,'All Statement of strategy (D)'!$B208,"")</f>
        <v/>
      </c>
      <c r="F208" s="585" t="str">
        <f ca="1">IF('Reconciliation report'!$E$10=RefData!$B$16,'All Statement of strategy (D)'!$B208,"")</f>
        <v/>
      </c>
      <c r="G208" s="585" t="str">
        <f>""</f>
        <v/>
      </c>
      <c r="H208" s="585" t="str">
        <f>""</f>
        <v/>
      </c>
      <c r="I208" s="603" t="str">
        <f ca="1">IF($C$1=RefData!$B$418,'All Statement of strategy (D)'!$E208,IF('All Statement of strategy (D)'!$C$1=RefData!$B$419,'All Statement of strategy (D)'!$F208,IF('All Statement of strategy (D)'!$C$1=RefData!$B$420,'All Statement of strategy (D)'!$G208,IF('All Statement of strategy (D)'!$C$1=RefData!$B$421,'All Statement of strategy (D)'!$H208," "))))</f>
        <v xml:space="preserve"> </v>
      </c>
    </row>
    <row r="209" spans="1:9">
      <c r="A209" s="584" t="s">
        <v>1710</v>
      </c>
      <c r="B209" s="585" t="str">
        <f ca="1">TEXT('Reconciliation report'!$E$90,RefData!$B$425)</f>
        <v/>
      </c>
      <c r="E209" s="585" t="str">
        <f ca="1">IF('Reconciliation report'!$E$10=RefData!$B$16,'All Statement of strategy (D)'!$B209,"")</f>
        <v/>
      </c>
      <c r="F209" s="585" t="str">
        <f ca="1">IF('Reconciliation report'!$E$10=RefData!$B$16,'All Statement of strategy (D)'!$B209,"")</f>
        <v/>
      </c>
      <c r="G209" s="585" t="str">
        <f>""</f>
        <v/>
      </c>
      <c r="H209" s="585" t="str">
        <f>""</f>
        <v/>
      </c>
      <c r="I209" s="603" t="str">
        <f ca="1">IF($C$1=RefData!$B$418,'All Statement of strategy (D)'!$E209,IF('All Statement of strategy (D)'!$C$1=RefData!$B$419,'All Statement of strategy (D)'!$F209,IF('All Statement of strategy (D)'!$C$1=RefData!$B$420,'All Statement of strategy (D)'!$G209,IF('All Statement of strategy (D)'!$C$1=RefData!$B$421,'All Statement of strategy (D)'!$H209," "))))</f>
        <v xml:space="preserve"> </v>
      </c>
    </row>
    <row r="210" spans="1:9">
      <c r="A210" s="584" t="s">
        <v>1711</v>
      </c>
      <c r="B210" s="585" t="str">
        <f ca="1">TEXT('Reconciliation report'!$E$91,RefData!$B$425)</f>
        <v/>
      </c>
      <c r="E210" s="585" t="str">
        <f ca="1">IF('Reconciliation report'!$E$10=RefData!$B$16,'All Statement of strategy (D)'!$B210,"")</f>
        <v/>
      </c>
      <c r="F210" s="585" t="str">
        <f ca="1">IF('Reconciliation report'!$E$10=RefData!$B$16,'All Statement of strategy (D)'!$B210,"")</f>
        <v/>
      </c>
      <c r="G210" s="585" t="str">
        <f>""</f>
        <v/>
      </c>
      <c r="H210" s="585" t="str">
        <f>""</f>
        <v/>
      </c>
      <c r="I210" s="603" t="str">
        <f ca="1">IF($C$1=RefData!$B$418,'All Statement of strategy (D)'!$E210,IF('All Statement of strategy (D)'!$C$1=RefData!$B$419,'All Statement of strategy (D)'!$F210,IF('All Statement of strategy (D)'!$C$1=RefData!$B$420,'All Statement of strategy (D)'!$G210,IF('All Statement of strategy (D)'!$C$1=RefData!$B$421,'All Statement of strategy (D)'!$H210," "))))</f>
        <v xml:space="preserve"> </v>
      </c>
    </row>
    <row r="211" spans="1:9">
      <c r="A211" s="584" t="s">
        <v>1712</v>
      </c>
      <c r="B211" s="585" t="str">
        <f ca="1">TEXT('Reconciliation report'!$E$92,RefData!$B$425)</f>
        <v/>
      </c>
      <c r="E211" s="585" t="str">
        <f ca="1">IF('Reconciliation report'!$E$10=RefData!$B$16,'All Statement of strategy (D)'!$B211,"")</f>
        <v/>
      </c>
      <c r="F211" s="585" t="str">
        <f ca="1">IF('Reconciliation report'!$E$10=RefData!$B$16,'All Statement of strategy (D)'!$B211,"")</f>
        <v/>
      </c>
      <c r="G211" s="585" t="str">
        <f>""</f>
        <v/>
      </c>
      <c r="H211" s="585" t="str">
        <f>""</f>
        <v/>
      </c>
      <c r="I211" s="603" t="str">
        <f ca="1">IF($C$1=RefData!$B$418,'All Statement of strategy (D)'!$E211,IF('All Statement of strategy (D)'!$C$1=RefData!$B$419,'All Statement of strategy (D)'!$F211,IF('All Statement of strategy (D)'!$C$1=RefData!$B$420,'All Statement of strategy (D)'!$G211,IF('All Statement of strategy (D)'!$C$1=RefData!$B$421,'All Statement of strategy (D)'!$H211," "))))</f>
        <v xml:space="preserve"> </v>
      </c>
    </row>
    <row r="212" spans="1:9">
      <c r="A212" s="584" t="s">
        <v>1713</v>
      </c>
      <c r="B212" s="585" t="str">
        <f ca="1">TEXT('Reconciliation report'!$E$93,RefData!$B$425)</f>
        <v/>
      </c>
      <c r="E212" s="585" t="str">
        <f ca="1">IF('Reconciliation report'!$E$10=RefData!$B$16,'All Statement of strategy (D)'!$B212,"")</f>
        <v/>
      </c>
      <c r="F212" s="585" t="str">
        <f ca="1">IF('Reconciliation report'!$E$10=RefData!$B$16,'All Statement of strategy (D)'!$B212,"")</f>
        <v/>
      </c>
      <c r="G212" s="585" t="str">
        <f>""</f>
        <v/>
      </c>
      <c r="H212" s="585" t="str">
        <f>""</f>
        <v/>
      </c>
      <c r="I212" s="603" t="str">
        <f ca="1">IF($C$1=RefData!$B$418,'All Statement of strategy (D)'!$E212,IF('All Statement of strategy (D)'!$C$1=RefData!$B$419,'All Statement of strategy (D)'!$F212,IF('All Statement of strategy (D)'!$C$1=RefData!$B$420,'All Statement of strategy (D)'!$G212,IF('All Statement of strategy (D)'!$C$1=RefData!$B$421,'All Statement of strategy (D)'!$H212," "))))</f>
        <v xml:space="preserve"> </v>
      </c>
    </row>
    <row r="213" spans="1:9">
      <c r="A213" s="584" t="s">
        <v>1714</v>
      </c>
      <c r="B213" s="585" t="str">
        <f ca="1">TEXT('Reconciliation report'!$E$94,RefData!$B$425)</f>
        <v/>
      </c>
      <c r="E213" s="585" t="str">
        <f ca="1">IF('Reconciliation report'!$E$10=RefData!$B$16,'All Statement of strategy (D)'!$B213,"")</f>
        <v/>
      </c>
      <c r="F213" s="585" t="str">
        <f ca="1">IF('Reconciliation report'!$E$10=RefData!$B$16,'All Statement of strategy (D)'!$B213,"")</f>
        <v/>
      </c>
      <c r="G213" s="585" t="str">
        <f>""</f>
        <v/>
      </c>
      <c r="H213" s="585" t="str">
        <f>""</f>
        <v/>
      </c>
      <c r="I213" s="603" t="str">
        <f ca="1">IF($C$1=RefData!$B$418,'All Statement of strategy (D)'!$E213,IF('All Statement of strategy (D)'!$C$1=RefData!$B$419,'All Statement of strategy (D)'!$F213,IF('All Statement of strategy (D)'!$C$1=RefData!$B$420,'All Statement of strategy (D)'!$G213,IF('All Statement of strategy (D)'!$C$1=RefData!$B$421,'All Statement of strategy (D)'!$H213," "))))</f>
        <v xml:space="preserve"> </v>
      </c>
    </row>
    <row r="214" spans="1:9">
      <c r="A214" s="584" t="s">
        <v>1715</v>
      </c>
      <c r="B214" s="585" t="str">
        <f ca="1">TEXT('Reconciliation report'!$E$95,RefData!$B$425)</f>
        <v/>
      </c>
      <c r="E214" s="585" t="str">
        <f ca="1">IF('Reconciliation report'!$E$10=RefData!$B$16,'All Statement of strategy (D)'!$B214,"")</f>
        <v/>
      </c>
      <c r="F214" s="585" t="str">
        <f ca="1">IF('Reconciliation report'!$E$10=RefData!$B$16,'All Statement of strategy (D)'!$B214,"")</f>
        <v/>
      </c>
      <c r="G214" s="585" t="str">
        <f>""</f>
        <v/>
      </c>
      <c r="H214" s="585" t="str">
        <f>""</f>
        <v/>
      </c>
      <c r="I214" s="603" t="str">
        <f ca="1">IF($C$1=RefData!$B$418,'All Statement of strategy (D)'!$E214,IF('All Statement of strategy (D)'!$C$1=RefData!$B$419,'All Statement of strategy (D)'!$F214,IF('All Statement of strategy (D)'!$C$1=RefData!$B$420,'All Statement of strategy (D)'!$G214,IF('All Statement of strategy (D)'!$C$1=RefData!$B$421,'All Statement of strategy (D)'!$H214," "))))</f>
        <v xml:space="preserve"> </v>
      </c>
    </row>
    <row r="215" spans="1:9">
      <c r="A215" s="584" t="s">
        <v>1716</v>
      </c>
      <c r="B215" s="585" t="str">
        <f ca="1">TEXT('Reconciliation report'!$E$96,RefData!$B$425)</f>
        <v/>
      </c>
      <c r="E215" s="585" t="str">
        <f ca="1">IF('Reconciliation report'!$E$10=RefData!$B$16,'All Statement of strategy (D)'!$B215,"")</f>
        <v/>
      </c>
      <c r="F215" s="585" t="str">
        <f ca="1">IF('Reconciliation report'!$E$10=RefData!$B$16,'All Statement of strategy (D)'!$B215,"")</f>
        <v/>
      </c>
      <c r="G215" s="585" t="str">
        <f>""</f>
        <v/>
      </c>
      <c r="H215" s="585" t="str">
        <f>""</f>
        <v/>
      </c>
      <c r="I215" s="603" t="str">
        <f ca="1">IF($C$1=RefData!$B$418,'All Statement of strategy (D)'!$E215,IF('All Statement of strategy (D)'!$C$1=RefData!$B$419,'All Statement of strategy (D)'!$F215,IF('All Statement of strategy (D)'!$C$1=RefData!$B$420,'All Statement of strategy (D)'!$G215,IF('All Statement of strategy (D)'!$C$1=RefData!$B$421,'All Statement of strategy (D)'!$H215," "))))</f>
        <v xml:space="preserve"> </v>
      </c>
    </row>
    <row r="216" spans="1:9">
      <c r="A216" s="584" t="s">
        <v>1717</v>
      </c>
      <c r="B216" s="585" t="str">
        <f ca="1">TEXT('Reconciliation report'!$E$97,RefData!$B$425)</f>
        <v/>
      </c>
      <c r="E216" s="585" t="str">
        <f ca="1">IF('Reconciliation report'!$E$10=RefData!$B$16,'All Statement of strategy (D)'!$B216,"")</f>
        <v/>
      </c>
      <c r="F216" s="585" t="str">
        <f ca="1">IF('Reconciliation report'!$E$10=RefData!$B$16,'All Statement of strategy (D)'!$B216,"")</f>
        <v/>
      </c>
      <c r="G216" s="585" t="str">
        <f>""</f>
        <v/>
      </c>
      <c r="H216" s="585" t="str">
        <f>""</f>
        <v/>
      </c>
      <c r="I216" s="603" t="str">
        <f ca="1">IF($C$1=RefData!$B$418,'All Statement of strategy (D)'!$E216,IF('All Statement of strategy (D)'!$C$1=RefData!$B$419,'All Statement of strategy (D)'!$F216,IF('All Statement of strategy (D)'!$C$1=RefData!$B$420,'All Statement of strategy (D)'!$G216,IF('All Statement of strategy (D)'!$C$1=RefData!$B$421,'All Statement of strategy (D)'!$H216," "))))</f>
        <v xml:space="preserve"> </v>
      </c>
    </row>
    <row r="217" spans="1:9">
      <c r="A217" s="584" t="s">
        <v>1718</v>
      </c>
      <c r="B217" s="585" t="str">
        <f ca="1">TEXT('Reconciliation report'!$E$98,RefData!$B$425)</f>
        <v/>
      </c>
      <c r="E217" s="585" t="str">
        <f ca="1">IF('Reconciliation report'!$E$10=RefData!$B$16,'All Statement of strategy (D)'!$B217,"")</f>
        <v/>
      </c>
      <c r="F217" s="585" t="str">
        <f ca="1">IF('Reconciliation report'!$E$10=RefData!$B$16,'All Statement of strategy (D)'!$B217,"")</f>
        <v/>
      </c>
      <c r="G217" s="585" t="str">
        <f>""</f>
        <v/>
      </c>
      <c r="H217" s="585" t="str">
        <f>""</f>
        <v/>
      </c>
      <c r="I217" s="603" t="str">
        <f ca="1">IF($C$1=RefData!$B$418,'All Statement of strategy (D)'!$E217,IF('All Statement of strategy (D)'!$C$1=RefData!$B$419,'All Statement of strategy (D)'!$F217,IF('All Statement of strategy (D)'!$C$1=RefData!$B$420,'All Statement of strategy (D)'!$G217,IF('All Statement of strategy (D)'!$C$1=RefData!$B$421,'All Statement of strategy (D)'!$H217," "))))</f>
        <v xml:space="preserve"> </v>
      </c>
    </row>
    <row r="218" spans="1:9">
      <c r="A218" s="584" t="s">
        <v>1719</v>
      </c>
      <c r="B218" s="585" t="str">
        <f ca="1">TEXT('Reconciliation report'!$E$99,RefData!$B$425)</f>
        <v/>
      </c>
      <c r="E218" s="585" t="str">
        <f ca="1">IF('Reconciliation report'!$E$10=RefData!$B$16,'All Statement of strategy (D)'!$B218,"")</f>
        <v/>
      </c>
      <c r="F218" s="585" t="str">
        <f ca="1">IF('Reconciliation report'!$E$10=RefData!$B$16,'All Statement of strategy (D)'!$B218,"")</f>
        <v/>
      </c>
      <c r="G218" s="585" t="str">
        <f>""</f>
        <v/>
      </c>
      <c r="H218" s="585" t="str">
        <f>""</f>
        <v/>
      </c>
      <c r="I218" s="603" t="str">
        <f ca="1">IF($C$1=RefData!$B$418,'All Statement of strategy (D)'!$E218,IF('All Statement of strategy (D)'!$C$1=RefData!$B$419,'All Statement of strategy (D)'!$F218,IF('All Statement of strategy (D)'!$C$1=RefData!$B$420,'All Statement of strategy (D)'!$G218,IF('All Statement of strategy (D)'!$C$1=RefData!$B$421,'All Statement of strategy (D)'!$H218," "))))</f>
        <v xml:space="preserve"> </v>
      </c>
    </row>
    <row r="219" spans="1:9">
      <c r="A219" s="584" t="s">
        <v>1720</v>
      </c>
      <c r="B219" s="585" t="str">
        <f ca="1">TEXT('Reconciliation report'!$E$100,RefData!$B$425)</f>
        <v/>
      </c>
      <c r="E219" s="585" t="str">
        <f ca="1">IF('Reconciliation report'!$E$10=RefData!$B$16,'All Statement of strategy (D)'!$B219,"")</f>
        <v/>
      </c>
      <c r="F219" s="585" t="str">
        <f ca="1">IF('Reconciliation report'!$E$10=RefData!$B$16,'All Statement of strategy (D)'!$B219,"")</f>
        <v/>
      </c>
      <c r="G219" s="585" t="str">
        <f>""</f>
        <v/>
      </c>
      <c r="H219" s="585" t="str">
        <f>""</f>
        <v/>
      </c>
      <c r="I219" s="603" t="str">
        <f ca="1">IF($C$1=RefData!$B$418,'All Statement of strategy (D)'!$E219,IF('All Statement of strategy (D)'!$C$1=RefData!$B$419,'All Statement of strategy (D)'!$F219,IF('All Statement of strategy (D)'!$C$1=RefData!$B$420,'All Statement of strategy (D)'!$G219,IF('All Statement of strategy (D)'!$C$1=RefData!$B$421,'All Statement of strategy (D)'!$H219," "))))</f>
        <v xml:space="preserve"> </v>
      </c>
    </row>
    <row r="220" spans="1:9">
      <c r="A220" s="584" t="s">
        <v>1721</v>
      </c>
      <c r="B220" s="585" t="str">
        <f ca="1">TEXT('Reconciliation report'!$E$101,RefData!$B$425)</f>
        <v/>
      </c>
      <c r="E220" s="585" t="str">
        <f ca="1">IF('Reconciliation report'!$E$10=RefData!$B$16,'All Statement of strategy (D)'!$B220,"")</f>
        <v/>
      </c>
      <c r="F220" s="585" t="str">
        <f ca="1">IF('Reconciliation report'!$E$10=RefData!$B$16,'All Statement of strategy (D)'!$B220,"")</f>
        <v/>
      </c>
      <c r="G220" s="585" t="str">
        <f>""</f>
        <v/>
      </c>
      <c r="H220" s="585" t="str">
        <f>""</f>
        <v/>
      </c>
      <c r="I220" s="603" t="str">
        <f ca="1">IF($C$1=RefData!$B$418,'All Statement of strategy (D)'!$E220,IF('All Statement of strategy (D)'!$C$1=RefData!$B$419,'All Statement of strategy (D)'!$F220,IF('All Statement of strategy (D)'!$C$1=RefData!$B$420,'All Statement of strategy (D)'!$G220,IF('All Statement of strategy (D)'!$C$1=RefData!$B$421,'All Statement of strategy (D)'!$H220," "))))</f>
        <v xml:space="preserve"> </v>
      </c>
    </row>
    <row r="221" spans="1:9">
      <c r="A221" s="584" t="s">
        <v>1722</v>
      </c>
      <c r="B221" s="585" t="str">
        <f ca="1">TEXT('Reconciliation report'!$E$102,RefData!$B$425)</f>
        <v/>
      </c>
      <c r="E221" s="585" t="str">
        <f ca="1">IF('Reconciliation report'!$E$10=RefData!$B$16,'All Statement of strategy (D)'!$B221,"")</f>
        <v/>
      </c>
      <c r="F221" s="585" t="str">
        <f ca="1">IF('Reconciliation report'!$E$10=RefData!$B$16,'All Statement of strategy (D)'!$B221,"")</f>
        <v/>
      </c>
      <c r="G221" s="585" t="str">
        <f>""</f>
        <v/>
      </c>
      <c r="H221" s="585" t="str">
        <f>""</f>
        <v/>
      </c>
      <c r="I221" s="603" t="str">
        <f ca="1">IF($C$1=RefData!$B$418,'All Statement of strategy (D)'!$E221,IF('All Statement of strategy (D)'!$C$1=RefData!$B$419,'All Statement of strategy (D)'!$F221,IF('All Statement of strategy (D)'!$C$1=RefData!$B$420,'All Statement of strategy (D)'!$G221,IF('All Statement of strategy (D)'!$C$1=RefData!$B$421,'All Statement of strategy (D)'!$H221," "))))</f>
        <v xml:space="preserve"> </v>
      </c>
    </row>
    <row r="222" spans="1:9">
      <c r="A222" s="584" t="s">
        <v>1723</v>
      </c>
      <c r="B222" s="585" t="str">
        <f ca="1">TEXT('Reconciliation report'!$E$103,RefData!$B$425)</f>
        <v/>
      </c>
      <c r="E222" s="585" t="str">
        <f ca="1">IF('Reconciliation report'!$E$10=RefData!$B$16,'All Statement of strategy (D)'!$B222,"")</f>
        <v/>
      </c>
      <c r="F222" s="585" t="str">
        <f ca="1">IF('Reconciliation report'!$E$10=RefData!$B$16,'All Statement of strategy (D)'!$B222,"")</f>
        <v/>
      </c>
      <c r="G222" s="585" t="str">
        <f>""</f>
        <v/>
      </c>
      <c r="H222" s="585" t="str">
        <f>""</f>
        <v/>
      </c>
      <c r="I222" s="603" t="str">
        <f ca="1">IF($C$1=RefData!$B$418,'All Statement of strategy (D)'!$E222,IF('All Statement of strategy (D)'!$C$1=RefData!$B$419,'All Statement of strategy (D)'!$F222,IF('All Statement of strategy (D)'!$C$1=RefData!$B$420,'All Statement of strategy (D)'!$G222,IF('All Statement of strategy (D)'!$C$1=RefData!$B$421,'All Statement of strategy (D)'!$H222," "))))</f>
        <v xml:space="preserve"> </v>
      </c>
    </row>
    <row r="223" spans="1:9">
      <c r="B223" s="585" t="s">
        <v>1724</v>
      </c>
      <c r="E223" s="585" t="str">
        <f t="shared" ref="E223:H224" si="19">$B223</f>
        <v>Investment information  </v>
      </c>
      <c r="F223" s="585" t="str">
        <f t="shared" si="19"/>
        <v>Investment information  </v>
      </c>
      <c r="G223" s="585" t="str">
        <f t="shared" si="19"/>
        <v>Investment information  </v>
      </c>
      <c r="H223" s="585" t="str">
        <f t="shared" si="19"/>
        <v>Investment information  </v>
      </c>
      <c r="I223" s="603" t="str">
        <f ca="1">IF($C$1=RefData!$B$418,'All Statement of strategy (D)'!$E223,IF('All Statement of strategy (D)'!$C$1=RefData!$B$419,'All Statement of strategy (D)'!$F223,IF('All Statement of strategy (D)'!$C$1=RefData!$B$420,'All Statement of strategy (D)'!$G223,IF('All Statement of strategy (D)'!$C$1=RefData!$B$421,'All Statement of strategy (D)'!$H223," "))))</f>
        <v xml:space="preserve"> </v>
      </c>
    </row>
    <row r="224" spans="1:9">
      <c r="B224" s="585" t="s">
        <v>1725</v>
      </c>
      <c r="E224" s="585" t="str">
        <f t="shared" si="19"/>
        <v>Current level of investment risk </v>
      </c>
      <c r="F224" s="585" t="str">
        <f t="shared" si="19"/>
        <v>Current level of investment risk </v>
      </c>
      <c r="G224" s="585" t="str">
        <f t="shared" si="19"/>
        <v>Current level of investment risk </v>
      </c>
      <c r="H224" s="585" t="str">
        <f t="shared" si="19"/>
        <v>Current level of investment risk </v>
      </c>
      <c r="I224" s="603" t="str">
        <f ca="1">IF($C$1=RefData!$B$418,'All Statement of strategy (D)'!$E224,IF('All Statement of strategy (D)'!$C$1=RefData!$B$419,'All Statement of strategy (D)'!$F224,IF('All Statement of strategy (D)'!$C$1=RefData!$B$420,'All Statement of strategy (D)'!$G224,IF('All Statement of strategy (D)'!$C$1=RefData!$B$421,'All Statement of strategy (D)'!$H224," "))))</f>
        <v xml:space="preserve"> </v>
      </c>
    </row>
    <row r="225" spans="1:9" ht="45.65" customHeight="1">
      <c r="A225" s="584" t="s">
        <v>1726</v>
      </c>
      <c r="B225" s="585" t="s">
        <v>1727</v>
      </c>
      <c r="C225" s="585" t="str">
        <f ca="1">TEXT('Reconciliation report'!$E$1030,RefData!$B$425)&amp;"."</f>
        <v>.</v>
      </c>
      <c r="D225" s="606" t="str">
        <f ca="1">TEXT('Reconciliation report'!$E$1029,RefData!$B$423)&amp;"."</f>
        <v>.</v>
      </c>
      <c r="E225" s="585" t="str">
        <f ca="1">$B225&amp;$C225</f>
        <v>The trustees have assessed the level of risk in the scheme’s current notional investment allocation (relating to the actuarial valuation to which the funding and investment strategy relates). They have determined that the level of risk is .</v>
      </c>
      <c r="F225" s="585" t="str">
        <f ca="1">$B225&amp;$C225</f>
        <v>The trustees have assessed the level of risk in the scheme’s current notional investment allocation (relating to the actuarial valuation to which the funding and investment strategy relates). They have determined that the level of risk is .</v>
      </c>
      <c r="G225" s="585" t="str">
        <f ca="1">$B225&amp;$D225</f>
        <v>The trustees have assessed the level of risk in the scheme’s current notional investment allocation (relating to the actuarial valuation to which the funding and investment strategy relates). They have determined that the level of risk is .</v>
      </c>
      <c r="H225" s="585" t="str">
        <f ca="1">$B225&amp;$D225</f>
        <v>The trustees have assessed the level of risk in the scheme’s current notional investment allocation (relating to the actuarial valuation to which the funding and investment strategy relates). They have determined that the level of risk is .</v>
      </c>
      <c r="I225" s="603" t="str">
        <f ca="1">IF($C$1=RefData!$B$418,'All Statement of strategy (D)'!$E225,IF('All Statement of strategy (D)'!$C$1=RefData!$B$419,'All Statement of strategy (D)'!$F225,IF('All Statement of strategy (D)'!$C$1=RefData!$B$420,'All Statement of strategy (D)'!$G225,IF('All Statement of strategy (D)'!$C$1=RefData!$B$421,'All Statement of strategy (D)'!$H225," "))))</f>
        <v xml:space="preserve"> </v>
      </c>
    </row>
    <row r="226" spans="1:9">
      <c r="B226" s="585" t="s">
        <v>1728</v>
      </c>
      <c r="E226" s="585" t="str">
        <f>""</f>
        <v/>
      </c>
      <c r="F226" s="585" t="str">
        <f>$B226</f>
        <v xml:space="preserve">How this level of risk complies with the objective that, on and after the relevant date, the assets to which the minimum funding level relates are invested in accordance with a low dependency investment allocation can be described as follows: </v>
      </c>
      <c r="G226" s="585" t="str">
        <f>""</f>
        <v/>
      </c>
      <c r="H226" s="585" t="str">
        <f>$B226</f>
        <v xml:space="preserve">How this level of risk complies with the objective that, on and after the relevant date, the assets to which the minimum funding level relates are invested in accordance with a low dependency investment allocation can be described as follows: </v>
      </c>
      <c r="I226" s="603" t="str">
        <f ca="1">IF($C$1=RefData!$B$418,'All Statement of strategy (D)'!$E226,IF('All Statement of strategy (D)'!$C$1=RefData!$B$419,'All Statement of strategy (D)'!$F226,IF('All Statement of strategy (D)'!$C$1=RefData!$B$420,'All Statement of strategy (D)'!$G226,IF('All Statement of strategy (D)'!$C$1=RefData!$B$421,'All Statement of strategy (D)'!$H226," "))))</f>
        <v xml:space="preserve"> </v>
      </c>
    </row>
    <row r="227" spans="1:9">
      <c r="A227" s="584" t="s">
        <v>1729</v>
      </c>
      <c r="B227" s="585" t="str">
        <f ca="1">LEFT('Reconciliation report'!$E$1031,1000)</f>
        <v/>
      </c>
      <c r="E227" s="585" t="str">
        <f>""</f>
        <v/>
      </c>
      <c r="F227" s="585" t="str">
        <f t="shared" ref="F227:F230" ca="1" si="20">$B227</f>
        <v/>
      </c>
      <c r="G227" s="585" t="str">
        <f>""</f>
        <v/>
      </c>
      <c r="H227" s="585" t="str">
        <f t="shared" ref="H227:H230" ca="1" si="21">$B227</f>
        <v/>
      </c>
      <c r="I227" s="603" t="str">
        <f ca="1">IF($C$1=RefData!$B$418,'All Statement of strategy (D)'!$E227,IF('All Statement of strategy (D)'!$C$1=RefData!$B$419,'All Statement of strategy (D)'!$F227,IF('All Statement of strategy (D)'!$C$1=RefData!$B$420,'All Statement of strategy (D)'!$G227,IF('All Statement of strategy (D)'!$C$1=RefData!$B$421,'All Statement of strategy (D)'!$H227," "))))</f>
        <v xml:space="preserve"> </v>
      </c>
    </row>
    <row r="228" spans="1:9">
      <c r="A228" s="584" t="s">
        <v>1729</v>
      </c>
      <c r="B228" s="585" t="str">
        <f ca="1">MID('Reconciliation report'!$E$1031,1001,1000)</f>
        <v/>
      </c>
      <c r="E228" s="585" t="str">
        <f>""</f>
        <v/>
      </c>
      <c r="F228" s="585" t="str">
        <f t="shared" ca="1" si="20"/>
        <v/>
      </c>
      <c r="G228" s="585" t="str">
        <f>""</f>
        <v/>
      </c>
      <c r="H228" s="585" t="str">
        <f t="shared" ca="1" si="21"/>
        <v/>
      </c>
      <c r="I228" s="603" t="str">
        <f ca="1">IF($C$1=RefData!$B$418,'All Statement of strategy (D)'!$E228,IF('All Statement of strategy (D)'!$C$1=RefData!$B$419,'All Statement of strategy (D)'!$F228,IF('All Statement of strategy (D)'!$C$1=RefData!$B$420,'All Statement of strategy (D)'!$G228,IF('All Statement of strategy (D)'!$C$1=RefData!$B$421,'All Statement of strategy (D)'!$H228," "))))</f>
        <v xml:space="preserve"> </v>
      </c>
    </row>
    <row r="229" spans="1:9">
      <c r="A229" s="584" t="s">
        <v>1729</v>
      </c>
      <c r="B229" s="585" t="str">
        <f ca="1">MID('Reconciliation report'!$E$1031,2001,1000)</f>
        <v/>
      </c>
      <c r="E229" s="585" t="str">
        <f>""</f>
        <v/>
      </c>
      <c r="F229" s="585" t="str">
        <f t="shared" ca="1" si="20"/>
        <v/>
      </c>
      <c r="G229" s="585" t="str">
        <f>""</f>
        <v/>
      </c>
      <c r="H229" s="585" t="str">
        <f t="shared" ca="1" si="21"/>
        <v/>
      </c>
      <c r="I229" s="603" t="str">
        <f ca="1">IF($C$1=RefData!$B$418,'All Statement of strategy (D)'!$E229,IF('All Statement of strategy (D)'!$C$1=RefData!$B$419,'All Statement of strategy (D)'!$F229,IF('All Statement of strategy (D)'!$C$1=RefData!$B$420,'All Statement of strategy (D)'!$G229,IF('All Statement of strategy (D)'!$C$1=RefData!$B$421,'All Statement of strategy (D)'!$H229," "))))</f>
        <v xml:space="preserve"> </v>
      </c>
    </row>
    <row r="230" spans="1:9">
      <c r="A230" s="584" t="s">
        <v>1729</v>
      </c>
      <c r="B230" s="585" t="str">
        <f ca="1">MID('Reconciliation report'!$E$1031,3001,1000)</f>
        <v/>
      </c>
      <c r="E230" s="585" t="str">
        <f>""</f>
        <v/>
      </c>
      <c r="F230" s="585" t="str">
        <f t="shared" ca="1" si="20"/>
        <v/>
      </c>
      <c r="G230" s="585" t="str">
        <f>""</f>
        <v/>
      </c>
      <c r="H230" s="585" t="str">
        <f t="shared" ca="1" si="21"/>
        <v/>
      </c>
      <c r="I230" s="603" t="str">
        <f ca="1">IF($C$1=RefData!$B$418,'All Statement of strategy (D)'!$E230,IF('All Statement of strategy (D)'!$C$1=RefData!$B$419,'All Statement of strategy (D)'!$F230,IF('All Statement of strategy (D)'!$C$1=RefData!$B$420,'All Statement of strategy (D)'!$G230,IF('All Statement of strategy (D)'!$C$1=RefData!$B$421,'All Statement of strategy (D)'!$H230," "))))</f>
        <v xml:space="preserve"> </v>
      </c>
    </row>
    <row r="231" spans="1:9">
      <c r="B231" s="585" t="s">
        <v>1730</v>
      </c>
      <c r="E231" s="585" t="str">
        <f>$B231</f>
        <v xml:space="preserve">Evidence for level of investment risk  </v>
      </c>
      <c r="F231" s="585" t="str">
        <f>""</f>
        <v/>
      </c>
      <c r="G231" s="585" t="str">
        <f>$B231</f>
        <v xml:space="preserve">Evidence for level of investment risk  </v>
      </c>
      <c r="H231" s="585" t="str">
        <f>""</f>
        <v/>
      </c>
      <c r="I231" s="603" t="str">
        <f ca="1">IF($C$1=RefData!$B$418,'All Statement of strategy (D)'!$E231,IF('All Statement of strategy (D)'!$C$1=RefData!$B$419,'All Statement of strategy (D)'!$F231,IF('All Statement of strategy (D)'!$C$1=RefData!$B$420,'All Statement of strategy (D)'!$G231,IF('All Statement of strategy (D)'!$C$1=RefData!$B$421,'All Statement of strategy (D)'!$H231," "))))</f>
        <v xml:space="preserve"> </v>
      </c>
    </row>
    <row r="232" spans="1:9">
      <c r="B232" s="585" t="s">
        <v>1731</v>
      </c>
      <c r="E232" s="585" t="str">
        <f>""</f>
        <v/>
      </c>
      <c r="F232" s="585" t="str">
        <f>$B232</f>
        <v>Evidence for level of risk</v>
      </c>
      <c r="G232" s="585" t="str">
        <f>""</f>
        <v/>
      </c>
      <c r="H232" s="585" t="str">
        <f>$B232</f>
        <v>Evidence for level of risk</v>
      </c>
      <c r="I232" s="603" t="str">
        <f ca="1">IF($C$1=RefData!$B$418,'All Statement of strategy (D)'!$E232,IF('All Statement of strategy (D)'!$C$1=RefData!$B$419,'All Statement of strategy (D)'!$F232,IF('All Statement of strategy (D)'!$C$1=RefData!$B$420,'All Statement of strategy (D)'!$G232,IF('All Statement of strategy (D)'!$C$1=RefData!$B$421,'All Statement of strategy (D)'!$H232," "))))</f>
        <v xml:space="preserve"> </v>
      </c>
    </row>
    <row r="233" spans="1:9">
      <c r="B233" s="585" t="s">
        <v>1732</v>
      </c>
      <c r="E233" s="585" t="str">
        <f ca="1">IF('Reconciliation report'!$E$1032=RefData!$B$89,'All Statement of strategy (D)'!$B233,"")</f>
        <v/>
      </c>
      <c r="F233" s="585" t="str">
        <f ca="1">IF('Reconciliation report'!$E$1032=RefData!$B$89,'All Statement of strategy (D)'!$B233,"")</f>
        <v/>
      </c>
      <c r="G233" s="585" t="str">
        <f>$B233</f>
        <v xml:space="preserve">The trustees have determined the level of risk using a TPR Fast Track stress test. </v>
      </c>
      <c r="H233" s="585" t="str">
        <f>$B233</f>
        <v xml:space="preserve">The trustees have determined the level of risk using a TPR Fast Track stress test. </v>
      </c>
      <c r="I233" s="603" t="str">
        <f ca="1">IF($C$1=RefData!$B$418,'All Statement of strategy (D)'!$E233,IF('All Statement of strategy (D)'!$C$1=RefData!$B$419,'All Statement of strategy (D)'!$F233,IF('All Statement of strategy (D)'!$C$1=RefData!$B$420,'All Statement of strategy (D)'!$G233,IF('All Statement of strategy (D)'!$C$1=RefData!$B$421,'All Statement of strategy (D)'!$H233," "))))</f>
        <v xml:space="preserve"> </v>
      </c>
    </row>
    <row r="234" spans="1:9">
      <c r="B234" s="585" t="s">
        <v>1733</v>
      </c>
      <c r="E234" s="585" t="str">
        <f ca="1">IF('Reconciliation report'!$E$1032=RefData!$B$90,'All Statement of strategy (D)'!$B234,"")</f>
        <v/>
      </c>
      <c r="F234" s="585" t="str">
        <f ca="1">IF('Reconciliation report'!$E$1032=RefData!$B$90,'All Statement of strategy (D)'!$B234,"")</f>
        <v/>
      </c>
      <c r="G234" s="585" t="str">
        <f>""</f>
        <v/>
      </c>
      <c r="H234" s="585" t="str">
        <f>""</f>
        <v/>
      </c>
      <c r="I234" s="603" t="str">
        <f ca="1">IF($C$1=RefData!$B$418,'All Statement of strategy (D)'!$E234,IF('All Statement of strategy (D)'!$C$1=RefData!$B$419,'All Statement of strategy (D)'!$F234,IF('All Statement of strategy (D)'!$C$1=RefData!$B$420,'All Statement of strategy (D)'!$G234,IF('All Statement of strategy (D)'!$C$1=RefData!$B$421,'All Statement of strategy (D)'!$H234," "))))</f>
        <v xml:space="preserve"> </v>
      </c>
    </row>
    <row r="235" spans="1:9">
      <c r="A235" s="584" t="s">
        <v>1734</v>
      </c>
      <c r="B235" s="585" t="s">
        <v>1735</v>
      </c>
      <c r="C235" s="585" t="str">
        <f ca="1">'Reconciliation report'!$E$1034</f>
        <v/>
      </c>
      <c r="E235" s="585" t="str">
        <f ca="1">IF('Reconciliation report'!$E$1032=RefData!$B$90,$B235&amp;$C235,"")</f>
        <v/>
      </c>
      <c r="F235" s="585" t="str">
        <f ca="1">IF('Reconciliation report'!$E$1032=RefData!$B$90,$B235&amp;$C235,"")</f>
        <v/>
      </c>
      <c r="G235" s="585" t="str">
        <f>""</f>
        <v/>
      </c>
      <c r="H235" s="585" t="str">
        <f>""</f>
        <v/>
      </c>
      <c r="I235" s="603" t="str">
        <f ca="1">IF($C$1=RefData!$B$418,'All Statement of strategy (D)'!$E235,IF('All Statement of strategy (D)'!$C$1=RefData!$B$419,'All Statement of strategy (D)'!$F235,IF('All Statement of strategy (D)'!$C$1=RefData!$B$420,'All Statement of strategy (D)'!$G235,IF('All Statement of strategy (D)'!$C$1=RefData!$B$421,'All Statement of strategy (D)'!$H235," "))))</f>
        <v xml:space="preserve"> </v>
      </c>
    </row>
    <row r="236" spans="1:9">
      <c r="A236" s="584" t="s">
        <v>1736</v>
      </c>
      <c r="B236" s="585" t="s">
        <v>1737</v>
      </c>
      <c r="E236" s="585" t="str">
        <f ca="1">IF(AND('Reconciliation report'!$E$1032=RefData!$B$90,'Reconciliation report'!$E$1034=RefData!$B$93),$B236,"")</f>
        <v/>
      </c>
      <c r="F236" s="585" t="str">
        <f ca="1">IF(AND('Reconciliation report'!$E$1032=RefData!$B$90,'Reconciliation report'!$E$1034=RefData!$B$93),$B236,"")</f>
        <v/>
      </c>
      <c r="G236" s="585" t="str">
        <f>""</f>
        <v/>
      </c>
      <c r="H236" s="585" t="str">
        <f>""</f>
        <v/>
      </c>
      <c r="I236" s="603" t="str">
        <f ca="1">IF($C$1=RefData!$B$418,'All Statement of strategy (D)'!$E236,IF('All Statement of strategy (D)'!$C$1=RefData!$B$419,'All Statement of strategy (D)'!$F236,IF('All Statement of strategy (D)'!$C$1=RefData!$B$420,'All Statement of strategy (D)'!$G236,IF('All Statement of strategy (D)'!$C$1=RefData!$B$421,'All Statement of strategy (D)'!$H236," "))))</f>
        <v xml:space="preserve"> </v>
      </c>
    </row>
    <row r="237" spans="1:9">
      <c r="B237" s="585" t="str">
        <f>B236 &amp; "Technical provisions"</f>
        <v>•   Liability basis: Technical provisions</v>
      </c>
      <c r="E237" s="585" t="str">
        <f ca="1">IF(AND('Reconciliation report'!$E$1032=RefData!$B$90,'Reconciliation report'!$E$1035=RefData!$B$59),'All Statement of strategy (D)'!$B237,"")</f>
        <v/>
      </c>
      <c r="F237" s="585" t="str">
        <f ca="1">IF(AND('Reconciliation report'!$E$1032=RefData!$B$90,'Reconciliation report'!$E$1035=RefData!$B$59),'All Statement of strategy (D)'!$B237,"")</f>
        <v/>
      </c>
      <c r="G237" s="585" t="str">
        <f>""</f>
        <v/>
      </c>
      <c r="H237" s="585" t="str">
        <f>""</f>
        <v/>
      </c>
      <c r="I237" s="603" t="str">
        <f ca="1">IF($C$1=RefData!$B$418,'All Statement of strategy (D)'!$E237,IF('All Statement of strategy (D)'!$C$1=RefData!$B$419,'All Statement of strategy (D)'!$F237,IF('All Statement of strategy (D)'!$C$1=RefData!$B$420,'All Statement of strategy (D)'!$G237,IF('All Statement of strategy (D)'!$C$1=RefData!$B$421,'All Statement of strategy (D)'!$H237," "))))</f>
        <v xml:space="preserve"> </v>
      </c>
    </row>
    <row r="238" spans="1:9">
      <c r="B238" s="585" t="str">
        <f>B236 &amp; "Low dependency funding"</f>
        <v>•   Liability basis: Low dependency funding</v>
      </c>
      <c r="E238" s="585" t="str">
        <f ca="1">IF(AND('Reconciliation report'!$E$1032=RefData!$B$90,'Reconciliation report'!$E$1035=RefData!$B$60),'All Statement of strategy (D)'!$B238,"")</f>
        <v/>
      </c>
      <c r="F238" s="585" t="str">
        <f ca="1">IF(AND('Reconciliation report'!$E$1032=RefData!$B$90,'Reconciliation report'!$E$1035=RefData!$B$60),'All Statement of strategy (D)'!$B238,"")</f>
        <v/>
      </c>
      <c r="G238" s="585" t="str">
        <f>""</f>
        <v/>
      </c>
      <c r="H238" s="585" t="str">
        <f>""</f>
        <v/>
      </c>
      <c r="I238" s="603" t="str">
        <f ca="1">IF($C$1=RefData!$B$418,'All Statement of strategy (D)'!$E238,IF('All Statement of strategy (D)'!$C$1=RefData!$B$419,'All Statement of strategy (D)'!$F238,IF('All Statement of strategy (D)'!$C$1=RefData!$B$420,'All Statement of strategy (D)'!$G238,IF('All Statement of strategy (D)'!$C$1=RefData!$B$421,'All Statement of strategy (D)'!$H238," "))))</f>
        <v xml:space="preserve"> </v>
      </c>
    </row>
    <row r="239" spans="1:9">
      <c r="A239" s="584" t="s">
        <v>1738</v>
      </c>
      <c r="B239" s="585" t="str">
        <f>B236 &amp; "Gilts (margin "</f>
        <v xml:space="preserve">•   Liability basis: Gilts (margin </v>
      </c>
      <c r="C239" s="606" t="str">
        <f ca="1">TEXT('Reconciliation report'!$E$1036,RefData!$B$423)&amp;")"</f>
        <v>)</v>
      </c>
      <c r="D239" s="606"/>
      <c r="E239" s="585" t="str">
        <f ca="1">IF(AND('Reconciliation report'!$E$1032=RefData!$B$90,'Reconciliation report'!$E$1035=RefData!$B$61),'All Statement of strategy (D)'!$B239&amp;'All Statement of strategy (D)'!$C239,"")</f>
        <v/>
      </c>
      <c r="F239" s="585" t="str">
        <f ca="1">IF(AND('Reconciliation report'!$E$1032=RefData!$B$90,'Reconciliation report'!$E$1035=RefData!$B$61),'All Statement of strategy (D)'!$B239&amp;'All Statement of strategy (D)'!$C239,"")</f>
        <v/>
      </c>
      <c r="G239" s="585" t="str">
        <f>""</f>
        <v/>
      </c>
      <c r="H239" s="585" t="str">
        <f>""</f>
        <v/>
      </c>
      <c r="I239" s="603" t="str">
        <f ca="1">IF($C$1=RefData!$B$418,'All Statement of strategy (D)'!$E239,IF('All Statement of strategy (D)'!$C$1=RefData!$B$419,'All Statement of strategy (D)'!$F239,IF('All Statement of strategy (D)'!$C$1=RefData!$B$420,'All Statement of strategy (D)'!$G239,IF('All Statement of strategy (D)'!$C$1=RefData!$B$421,'All Statement of strategy (D)'!$H239," "))))</f>
        <v xml:space="preserve"> </v>
      </c>
    </row>
    <row r="240" spans="1:9">
      <c r="A240" s="584" t="s">
        <v>1739</v>
      </c>
      <c r="B240" s="585" t="str">
        <f>B236 &amp; "Swaps (margin "</f>
        <v xml:space="preserve">•   Liability basis: Swaps (margin </v>
      </c>
      <c r="C240" s="606" t="str">
        <f ca="1">TEXT('Reconciliation report'!$E$1037,RefData!$B$423)&amp;")"</f>
        <v>)</v>
      </c>
      <c r="D240" s="606"/>
      <c r="E240" s="585" t="str">
        <f ca="1">IF(AND('Reconciliation report'!$E$1032=RefData!$B$90,'Reconciliation report'!$E$1035=RefData!$B$62),'All Statement of strategy (D)'!$B240&amp;'All Statement of strategy (D)'!$C240,"")</f>
        <v/>
      </c>
      <c r="F240" s="585" t="str">
        <f ca="1">IF(AND('Reconciliation report'!$E$1032=RefData!$B$90,'Reconciliation report'!$E$1035=RefData!$B$62),'All Statement of strategy (D)'!$B240&amp;'All Statement of strategy (D)'!$C240,"")</f>
        <v/>
      </c>
      <c r="G240" s="585" t="str">
        <f>""</f>
        <v/>
      </c>
      <c r="H240" s="585" t="str">
        <f>""</f>
        <v/>
      </c>
      <c r="I240" s="603" t="str">
        <f ca="1">IF($C$1=RefData!$B$418,'All Statement of strategy (D)'!$E240,IF('All Statement of strategy (D)'!$C$1=RefData!$B$419,'All Statement of strategy (D)'!$F240,IF('All Statement of strategy (D)'!$C$1=RefData!$B$420,'All Statement of strategy (D)'!$G240,IF('All Statement of strategy (D)'!$C$1=RefData!$B$421,'All Statement of strategy (D)'!$H240," "))))</f>
        <v xml:space="preserve"> </v>
      </c>
    </row>
    <row r="241" spans="1:9">
      <c r="A241" s="584" t="s">
        <v>1740</v>
      </c>
      <c r="B241" s="585" t="str">
        <f>B236 &amp; "Other: "</f>
        <v xml:space="preserve">•   Liability basis: Other: </v>
      </c>
      <c r="C241" s="585" t="str">
        <f ca="1">'Reconciliation report'!$E$1038</f>
        <v/>
      </c>
      <c r="E241" s="585" t="str">
        <f ca="1">IF(AND('Reconciliation report'!$E$1032=RefData!$B$90,'Reconciliation report'!$E$1035=RefData!$B$63),'All Statement of strategy (D)'!$B241&amp;'All Statement of strategy (D)'!$C241,"")</f>
        <v/>
      </c>
      <c r="F241" s="585" t="str">
        <f ca="1">IF(AND('Reconciliation report'!$E$1032=RefData!$B$90,'Reconciliation report'!$E$1035=RefData!$B$63),'All Statement of strategy (D)'!$B241&amp;'All Statement of strategy (D)'!$C241,"")</f>
        <v/>
      </c>
      <c r="G241" s="585" t="str">
        <f>""</f>
        <v/>
      </c>
      <c r="H241" s="585" t="str">
        <f>""</f>
        <v/>
      </c>
      <c r="I241" s="603" t="str">
        <f ca="1">IF($C$1=RefData!$B$418,'All Statement of strategy (D)'!$E241,IF('All Statement of strategy (D)'!$C$1=RefData!$B$419,'All Statement of strategy (D)'!$F241,IF('All Statement of strategy (D)'!$C$1=RefData!$B$420,'All Statement of strategy (D)'!$G241,IF('All Statement of strategy (D)'!$C$1=RefData!$B$421,'All Statement of strategy (D)'!$H241," "))))</f>
        <v xml:space="preserve"> </v>
      </c>
    </row>
    <row r="242" spans="1:9">
      <c r="A242" s="584" t="s">
        <v>1741</v>
      </c>
      <c r="B242" s="585" t="s">
        <v>1742</v>
      </c>
      <c r="C242" s="606" t="str">
        <f ca="1">TEXT('Reconciliation report'!$E$1039,RefData!$B$423)</f>
        <v/>
      </c>
      <c r="D242" s="606"/>
      <c r="E242" s="585" t="str">
        <f ca="1">IF('Reconciliation report'!$E$1032=RefData!$B$90,'All Statement of strategy (D)'!$B242&amp;'All Statement of strategy (D)'!$C242,"")</f>
        <v/>
      </c>
      <c r="F242" s="585" t="str">
        <f ca="1">IF('Reconciliation report'!$E$1032=RefData!$B$90,'All Statement of strategy (D)'!$B242&amp;'All Statement of strategy (D)'!$C242,"")</f>
        <v/>
      </c>
      <c r="G242" s="585" t="str">
        <f>""</f>
        <v/>
      </c>
      <c r="H242" s="585" t="str">
        <f>""</f>
        <v/>
      </c>
      <c r="I242" s="603" t="str">
        <f ca="1">IF($C$1=RefData!$B$418,'All Statement of strategy (D)'!$E242,IF('All Statement of strategy (D)'!$C$1=RefData!$B$419,'All Statement of strategy (D)'!$F242,IF('All Statement of strategy (D)'!$C$1=RefData!$B$420,'All Statement of strategy (D)'!$G242,IF('All Statement of strategy (D)'!$C$1=RefData!$B$421,'All Statement of strategy (D)'!$H242," "))))</f>
        <v xml:space="preserve"> </v>
      </c>
    </row>
    <row r="243" spans="1:9">
      <c r="A243" s="584" t="s">
        <v>1743</v>
      </c>
      <c r="B243" s="585" t="s">
        <v>1744</v>
      </c>
      <c r="C243" s="585" t="str">
        <f ca="1">'Reconciliation report'!$E$1040 &amp; " year or years"</f>
        <v xml:space="preserve"> year or years</v>
      </c>
      <c r="E243" s="585" t="str">
        <f ca="1">IF('Reconciliation report'!$E$1032=RefData!$B$90,'All Statement of strategy (D)'!$B243&amp;'All Statement of strategy (D)'!$C243,"")</f>
        <v/>
      </c>
      <c r="F243" s="585" t="str">
        <f ca="1">IF('Reconciliation report'!$E$1032=RefData!$B$90,'All Statement of strategy (D)'!$B243&amp;'All Statement of strategy (D)'!$C243,"")</f>
        <v/>
      </c>
      <c r="G243" s="585" t="str">
        <f>""</f>
        <v/>
      </c>
      <c r="H243" s="585" t="str">
        <f>""</f>
        <v/>
      </c>
      <c r="I243" s="603" t="str">
        <f ca="1">IF($C$1=RefData!$B$418,'All Statement of strategy (D)'!$E243,IF('All Statement of strategy (D)'!$C$1=RefData!$B$419,'All Statement of strategy (D)'!$F243,IF('All Statement of strategy (D)'!$C$1=RefData!$B$420,'All Statement of strategy (D)'!$G243,IF('All Statement of strategy (D)'!$C$1=RefData!$B$421,'All Statement of strategy (D)'!$H243," "))))</f>
        <v xml:space="preserve"> </v>
      </c>
    </row>
    <row r="244" spans="1:9">
      <c r="B244" s="585" t="s">
        <v>1745</v>
      </c>
      <c r="E244" s="585" t="str">
        <f ca="1">IF('Reconciliation report'!$E$1032=RefData!$B$91,$B244,"")</f>
        <v/>
      </c>
      <c r="F244" s="585" t="str">
        <f ca="1">IF('Reconciliation report'!$E$1032=RefData!$B$91,$B244,"")</f>
        <v/>
      </c>
      <c r="G244" s="585" t="str">
        <f>""</f>
        <v/>
      </c>
      <c r="H244" s="585" t="str">
        <f>""</f>
        <v/>
      </c>
      <c r="I244" s="603" t="str">
        <f ca="1">IF($C$1=RefData!$B$418,'All Statement of strategy (D)'!$E244,IF('All Statement of strategy (D)'!$C$1=RefData!$B$419,'All Statement of strategy (D)'!$F244,IF('All Statement of strategy (D)'!$C$1=RefData!$B$420,'All Statement of strategy (D)'!$G244,IF('All Statement of strategy (D)'!$C$1=RefData!$B$421,'All Statement of strategy (D)'!$H244," "))))</f>
        <v xml:space="preserve"> </v>
      </c>
    </row>
    <row r="245" spans="1:9">
      <c r="A245" s="584" t="s">
        <v>1734</v>
      </c>
      <c r="B245" s="585" t="s">
        <v>1735</v>
      </c>
      <c r="C245" s="585" t="str">
        <f ca="1">'Reconciliation report'!$E$1034</f>
        <v/>
      </c>
      <c r="E245" s="585" t="str">
        <f ca="1">IF('Reconciliation report'!$E$1032=RefData!$B$91,B245&amp;$C245,"")</f>
        <v/>
      </c>
      <c r="F245" s="585" t="str">
        <f ca="1">IF('Reconciliation report'!$E$1032=RefData!$B$91,$B245&amp;$C245,"")</f>
        <v/>
      </c>
      <c r="G245" s="585" t="str">
        <f>""</f>
        <v/>
      </c>
      <c r="H245" s="585" t="str">
        <f>""</f>
        <v/>
      </c>
      <c r="I245" s="603" t="str">
        <f ca="1">IF($C$1=RefData!$B$418,'All Statement of strategy (D)'!$E245,IF('All Statement of strategy (D)'!$C$1=RefData!$B$419,'All Statement of strategy (D)'!$F245,IF('All Statement of strategy (D)'!$C$1=RefData!$B$420,'All Statement of strategy (D)'!$G245,IF('All Statement of strategy (D)'!$C$1=RefData!$B$421,'All Statement of strategy (D)'!$H245," "))))</f>
        <v xml:space="preserve"> </v>
      </c>
    </row>
    <row r="246" spans="1:9">
      <c r="A246" s="584" t="s">
        <v>1736</v>
      </c>
      <c r="B246" s="585" t="s">
        <v>1737</v>
      </c>
      <c r="E246" s="585" t="str">
        <f ca="1">IF(AND('Reconciliation report'!$E$1032=RefData!$B$91,'Reconciliation report'!$E$1034=RefData!$B$93),$B246,"")</f>
        <v/>
      </c>
      <c r="F246" s="585" t="str">
        <f ca="1">IF(AND('Reconciliation report'!$E$1032=RefData!$B$91,'Reconciliation report'!$E$1034=RefData!$B$93),$B246,"")</f>
        <v/>
      </c>
      <c r="G246" s="585" t="str">
        <f>""</f>
        <v/>
      </c>
      <c r="H246" s="585" t="str">
        <f>""</f>
        <v/>
      </c>
      <c r="I246" s="603" t="str">
        <f ca="1">IF($C$1=RefData!$B$418,'All Statement of strategy (D)'!$E246,IF('All Statement of strategy (D)'!$C$1=RefData!$B$419,'All Statement of strategy (D)'!$F246,IF('All Statement of strategy (D)'!$C$1=RefData!$B$420,'All Statement of strategy (D)'!$G246,IF('All Statement of strategy (D)'!$C$1=RefData!$B$421,'All Statement of strategy (D)'!$H246," "))))</f>
        <v xml:space="preserve"> </v>
      </c>
    </row>
    <row r="247" spans="1:9">
      <c r="B247" s="585" t="str">
        <f>B246 &amp; "Technical provisions"</f>
        <v>•   Liability basis: Technical provisions</v>
      </c>
      <c r="E247" s="585" t="str">
        <f ca="1">IF(AND('Reconciliation report'!$E$1032=RefData!$B$91,'Reconciliation report'!$E$1035=RefData!$B$59),'All Statement of strategy (D)'!$B247,"")</f>
        <v/>
      </c>
      <c r="F247" s="585" t="str">
        <f ca="1">IF(AND('Reconciliation report'!$E$1032=RefData!$B$91,'Reconciliation report'!$E$1035=RefData!$B$59),'All Statement of strategy (D)'!$B247,"")</f>
        <v/>
      </c>
      <c r="G247" s="585" t="str">
        <f>""</f>
        <v/>
      </c>
      <c r="H247" s="585" t="str">
        <f>""</f>
        <v/>
      </c>
      <c r="I247" s="603" t="str">
        <f ca="1">IF($C$1=RefData!$B$418,'All Statement of strategy (D)'!$E247,IF('All Statement of strategy (D)'!$C$1=RefData!$B$419,'All Statement of strategy (D)'!$F247,IF('All Statement of strategy (D)'!$C$1=RefData!$B$420,'All Statement of strategy (D)'!$G247,IF('All Statement of strategy (D)'!$C$1=RefData!$B$421,'All Statement of strategy (D)'!$H247," "))))</f>
        <v xml:space="preserve"> </v>
      </c>
    </row>
    <row r="248" spans="1:9">
      <c r="B248" s="585" t="str">
        <f>B236 &amp; "Low dependency funding"</f>
        <v>•   Liability basis: Low dependency funding</v>
      </c>
      <c r="E248" s="585" t="str">
        <f ca="1">IF(AND('Reconciliation report'!$E$1032=RefData!$B$91,'Reconciliation report'!$E$1035=RefData!$B$60),'All Statement of strategy (D)'!$B248,"")</f>
        <v/>
      </c>
      <c r="F248" s="585" t="str">
        <f ca="1">IF(AND('Reconciliation report'!$E$1032=RefData!$B$91,'Reconciliation report'!$E$1035=RefData!$B$60),'All Statement of strategy (D)'!$B248,"")</f>
        <v/>
      </c>
      <c r="G248" s="585" t="str">
        <f>""</f>
        <v/>
      </c>
      <c r="H248" s="585" t="str">
        <f>""</f>
        <v/>
      </c>
      <c r="I248" s="603" t="str">
        <f ca="1">IF($C$1=RefData!$B$418,'All Statement of strategy (D)'!$E248,IF('All Statement of strategy (D)'!$C$1=RefData!$B$419,'All Statement of strategy (D)'!$F248,IF('All Statement of strategy (D)'!$C$1=RefData!$B$420,'All Statement of strategy (D)'!$G248,IF('All Statement of strategy (D)'!$C$1=RefData!$B$421,'All Statement of strategy (D)'!$H248," "))))</f>
        <v xml:space="preserve"> </v>
      </c>
    </row>
    <row r="249" spans="1:9">
      <c r="A249" s="584" t="s">
        <v>1738</v>
      </c>
      <c r="B249" s="585" t="str">
        <f>B236 &amp; "Gilts (margin "</f>
        <v xml:space="preserve">•   Liability basis: Gilts (margin </v>
      </c>
      <c r="C249" s="606" t="str">
        <f ca="1">TEXT('Reconciliation report'!$E$1036,RefData!$B$423)&amp;")"</f>
        <v>)</v>
      </c>
      <c r="D249" s="606"/>
      <c r="E249" s="585" t="str">
        <f ca="1">IF(AND('Reconciliation report'!$E$1032=RefData!$B$91,'Reconciliation report'!$E$1035=RefData!$B$61),'All Statement of strategy (D)'!$B249&amp;'All Statement of strategy (D)'!$C249,"")</f>
        <v/>
      </c>
      <c r="F249" s="585" t="str">
        <f ca="1">IF(AND('Reconciliation report'!$E$1032=RefData!$B$91,'Reconciliation report'!$E$1035=RefData!$B$61),'All Statement of strategy (D)'!$B249&amp;'All Statement of strategy (D)'!$C249,"")</f>
        <v/>
      </c>
      <c r="G249" s="585" t="str">
        <f>""</f>
        <v/>
      </c>
      <c r="H249" s="585" t="str">
        <f>""</f>
        <v/>
      </c>
      <c r="I249" s="603" t="str">
        <f ca="1">IF($C$1=RefData!$B$418,'All Statement of strategy (D)'!$E249,IF('All Statement of strategy (D)'!$C$1=RefData!$B$419,'All Statement of strategy (D)'!$F249,IF('All Statement of strategy (D)'!$C$1=RefData!$B$420,'All Statement of strategy (D)'!$G249,IF('All Statement of strategy (D)'!$C$1=RefData!$B$421,'All Statement of strategy (D)'!$H249," "))))</f>
        <v xml:space="preserve"> </v>
      </c>
    </row>
    <row r="250" spans="1:9">
      <c r="A250" s="584" t="s">
        <v>1739</v>
      </c>
      <c r="B250" s="585" t="str">
        <f>B236 &amp; "Swaps (margin "</f>
        <v xml:space="preserve">•   Liability basis: Swaps (margin </v>
      </c>
      <c r="C250" s="606" t="str">
        <f ca="1">TEXT('Reconciliation report'!$E$1037,RefData!$B$423)&amp;")"</f>
        <v>)</v>
      </c>
      <c r="D250" s="606"/>
      <c r="E250" s="585" t="str">
        <f ca="1">IF(AND('Reconciliation report'!$E$1032=RefData!$B$91,'Reconciliation report'!$E$1035=RefData!$B$62),'All Statement of strategy (D)'!$B250&amp;'All Statement of strategy (D)'!$C250,"")</f>
        <v/>
      </c>
      <c r="F250" s="585" t="str">
        <f ca="1">IF(AND('Reconciliation report'!$E$1032=RefData!$B$91,'Reconciliation report'!$E$1035=RefData!$B$62),'All Statement of strategy (D)'!$B250&amp;'All Statement of strategy (D)'!$C250,"")</f>
        <v/>
      </c>
      <c r="G250" s="585" t="str">
        <f>""</f>
        <v/>
      </c>
      <c r="H250" s="585" t="str">
        <f>""</f>
        <v/>
      </c>
      <c r="I250" s="603" t="str">
        <f ca="1">IF($C$1=RefData!$B$418,'All Statement of strategy (D)'!$E250,IF('All Statement of strategy (D)'!$C$1=RefData!$B$419,'All Statement of strategy (D)'!$F250,IF('All Statement of strategy (D)'!$C$1=RefData!$B$420,'All Statement of strategy (D)'!$G250,IF('All Statement of strategy (D)'!$C$1=RefData!$B$421,'All Statement of strategy (D)'!$H250," "))))</f>
        <v xml:space="preserve"> </v>
      </c>
    </row>
    <row r="251" spans="1:9">
      <c r="A251" s="584" t="s">
        <v>1740</v>
      </c>
      <c r="B251" s="585" t="str">
        <f>B236 &amp; "Other: "</f>
        <v xml:space="preserve">•   Liability basis: Other: </v>
      </c>
      <c r="C251" s="585" t="str">
        <f ca="1">'Reconciliation report'!$E$1038</f>
        <v/>
      </c>
      <c r="E251" s="585" t="str">
        <f ca="1">IF(AND('Reconciliation report'!$E$1032=RefData!$B$91,'Reconciliation report'!$E$1035=RefData!$B$63),'All Statement of strategy (D)'!$B251&amp;'All Statement of strategy (D)'!$C251,"")</f>
        <v/>
      </c>
      <c r="F251" s="585" t="str">
        <f ca="1">IF(AND('Reconciliation report'!$E$1032=RefData!$B$91,'Reconciliation report'!$E$1035=RefData!$B$63),'All Statement of strategy (D)'!$B251&amp;'All Statement of strategy (D)'!$C251,"")</f>
        <v/>
      </c>
      <c r="G251" s="585" t="str">
        <f>""</f>
        <v/>
      </c>
      <c r="H251" s="585" t="str">
        <f>""</f>
        <v/>
      </c>
      <c r="I251" s="603" t="str">
        <f ca="1">IF($C$1=RefData!$B$418,'All Statement of strategy (D)'!$E251,IF('All Statement of strategy (D)'!$C$1=RefData!$B$419,'All Statement of strategy (D)'!$F251,IF('All Statement of strategy (D)'!$C$1=RefData!$B$420,'All Statement of strategy (D)'!$G251,IF('All Statement of strategy (D)'!$C$1=RefData!$B$421,'All Statement of strategy (D)'!$H251," "))))</f>
        <v xml:space="preserve"> </v>
      </c>
    </row>
    <row r="252" spans="1:9">
      <c r="A252" s="584" t="s">
        <v>1741</v>
      </c>
      <c r="B252" s="585" t="s">
        <v>1742</v>
      </c>
      <c r="C252" s="606" t="str">
        <f ca="1">TEXT('Reconciliation report'!$E$1039,RefData!$B$423)</f>
        <v/>
      </c>
      <c r="D252" s="606"/>
      <c r="E252" s="585" t="str">
        <f ca="1">IF('Reconciliation report'!$E$1032=RefData!$B$91,'All Statement of strategy (D)'!$B252&amp;'All Statement of strategy (D)'!$C252,"")</f>
        <v/>
      </c>
      <c r="F252" s="585" t="str">
        <f ca="1">IF('Reconciliation report'!$E$1032=RefData!$B$91,'All Statement of strategy (D)'!$B252&amp;'All Statement of strategy (D)'!$C252,"")</f>
        <v/>
      </c>
      <c r="G252" s="585" t="str">
        <f>""</f>
        <v/>
      </c>
      <c r="H252" s="585" t="str">
        <f>""</f>
        <v/>
      </c>
      <c r="I252" s="603" t="str">
        <f ca="1">IF($C$1=RefData!$B$418,'All Statement of strategy (D)'!$E252,IF('All Statement of strategy (D)'!$C$1=RefData!$B$419,'All Statement of strategy (D)'!$F252,IF('All Statement of strategy (D)'!$C$1=RefData!$B$420,'All Statement of strategy (D)'!$G252,IF('All Statement of strategy (D)'!$C$1=RefData!$B$421,'All Statement of strategy (D)'!$H252," "))))</f>
        <v xml:space="preserve"> </v>
      </c>
    </row>
    <row r="253" spans="1:9">
      <c r="A253" s="584" t="s">
        <v>1743</v>
      </c>
      <c r="B253" s="585" t="s">
        <v>1744</v>
      </c>
      <c r="C253" s="585" t="str">
        <f ca="1">'Reconciliation report'!$E$1040</f>
        <v/>
      </c>
      <c r="D253" s="585" t="str">
        <f t="shared" ref="D253" ca="1" si="22">IF(C253=1," year", " years")</f>
        <v xml:space="preserve"> years</v>
      </c>
      <c r="E253" s="585" t="str">
        <f ca="1">IF('Reconciliation report'!$E$1032=RefData!$B$91,'All Statement of strategy (D)'!$B253&amp;'All Statement of strategy (D)'!$C253&amp;$D253,"")</f>
        <v/>
      </c>
      <c r="F253" s="585" t="str">
        <f ca="1">IF('Reconciliation report'!$E$1032=RefData!$B$91,'All Statement of strategy (D)'!$B253&amp;'All Statement of strategy (D)'!$C253&amp;$D253,"")</f>
        <v/>
      </c>
      <c r="G253" s="585" t="str">
        <f>""</f>
        <v/>
      </c>
      <c r="H253" s="585" t="str">
        <f>""</f>
        <v/>
      </c>
      <c r="I253" s="603" t="str">
        <f ca="1">IF($C$1=RefData!$B$418,'All Statement of strategy (D)'!$E253,IF('All Statement of strategy (D)'!$C$1=RefData!$B$419,'All Statement of strategy (D)'!$F253,IF('All Statement of strategy (D)'!$C$1=RefData!$B$420,'All Statement of strategy (D)'!$G253,IF('All Statement of strategy (D)'!$C$1=RefData!$B$421,'All Statement of strategy (D)'!$H253," "))))</f>
        <v xml:space="preserve"> </v>
      </c>
    </row>
    <row r="254" spans="1:9">
      <c r="B254" s="585" t="s">
        <v>1746</v>
      </c>
      <c r="E254" s="585" t="str">
        <f ca="1">IF('Reconciliation report'!$E$1032=RefData!$B$92,$B254,"")</f>
        <v/>
      </c>
      <c r="F254" s="585" t="str">
        <f ca="1">IF('Reconciliation report'!$E$1032=RefData!$B$92,$B254,"")</f>
        <v/>
      </c>
      <c r="G254" s="585" t="str">
        <f>""</f>
        <v/>
      </c>
      <c r="H254" s="585" t="str">
        <f>""</f>
        <v/>
      </c>
      <c r="I254" s="603" t="str">
        <f ca="1">IF($C$1=RefData!$B$418,'All Statement of strategy (D)'!$E254,IF('All Statement of strategy (D)'!$C$1=RefData!$B$419,'All Statement of strategy (D)'!$F254,IF('All Statement of strategy (D)'!$C$1=RefData!$B$420,'All Statement of strategy (D)'!$G254,IF('All Statement of strategy (D)'!$C$1=RefData!$B$421,'All Statement of strategy (D)'!$H254," "))))</f>
        <v xml:space="preserve"> </v>
      </c>
    </row>
    <row r="255" spans="1:9">
      <c r="A255" s="584" t="s">
        <v>1747</v>
      </c>
      <c r="B255" s="585" t="str">
        <f ca="1">"
"&amp;LEFT('Reconciliation report'!$E$1033,1000)</f>
        <v xml:space="preserve">
</v>
      </c>
      <c r="E255" s="585" t="str">
        <f ca="1">IF('Reconciliation report'!$E$1032=RefData!$B$92,$B255,"")</f>
        <v/>
      </c>
      <c r="F255" s="585" t="str">
        <f ca="1">IF('Reconciliation report'!$E$1032=RefData!$B$92,$B255,"")</f>
        <v/>
      </c>
      <c r="G255" s="585" t="str">
        <f>""</f>
        <v/>
      </c>
      <c r="H255" s="585" t="str">
        <f>""</f>
        <v/>
      </c>
      <c r="I255" s="603" t="str">
        <f ca="1">IF($C$1=RefData!$B$418,'All Statement of strategy (D)'!$E255,IF('All Statement of strategy (D)'!$C$1=RefData!$B$419,'All Statement of strategy (D)'!$F255,IF('All Statement of strategy (D)'!$C$1=RefData!$B$420,'All Statement of strategy (D)'!$G255,IF('All Statement of strategy (D)'!$C$1=RefData!$B$421,'All Statement of strategy (D)'!$H255," "))))</f>
        <v xml:space="preserve"> </v>
      </c>
    </row>
    <row r="256" spans="1:9">
      <c r="A256" s="584" t="s">
        <v>1747</v>
      </c>
      <c r="B256" s="585" t="str">
        <f ca="1">MID('Reconciliation report'!$E$1033,1001,1000)</f>
        <v/>
      </c>
      <c r="E256" s="585" t="str">
        <f ca="1">IF('Reconciliation report'!$E$1032=RefData!$B$92,$B256,"")</f>
        <v/>
      </c>
      <c r="F256" s="585" t="str">
        <f ca="1">IF('Reconciliation report'!$E$1032=RefData!$B$92,$B256,"")</f>
        <v/>
      </c>
      <c r="G256" s="585" t="str">
        <f>""</f>
        <v/>
      </c>
      <c r="H256" s="585" t="str">
        <f>""</f>
        <v/>
      </c>
      <c r="I256" s="603" t="str">
        <f ca="1">IF($C$1=RefData!$B$418,'All Statement of strategy (D)'!$E256,IF('All Statement of strategy (D)'!$C$1=RefData!$B$419,'All Statement of strategy (D)'!$F256,IF('All Statement of strategy (D)'!$C$1=RefData!$B$420,'All Statement of strategy (D)'!$G256,IF('All Statement of strategy (D)'!$C$1=RefData!$B$421,'All Statement of strategy (D)'!$H256," "))))</f>
        <v xml:space="preserve"> </v>
      </c>
    </row>
    <row r="257" spans="1:9">
      <c r="A257" s="584" t="s">
        <v>1747</v>
      </c>
      <c r="B257" s="585" t="str">
        <f ca="1">MID('Reconciliation report'!$E$1033,2001,1000)</f>
        <v/>
      </c>
      <c r="E257" s="585" t="str">
        <f ca="1">IF('Reconciliation report'!$E$1032=RefData!$B$92,$B257,"")</f>
        <v/>
      </c>
      <c r="F257" s="585" t="str">
        <f ca="1">IF('Reconciliation report'!$E$1032=RefData!$B$92,$B257,"")</f>
        <v/>
      </c>
      <c r="G257" s="585" t="str">
        <f>""</f>
        <v/>
      </c>
      <c r="H257" s="585" t="str">
        <f>""</f>
        <v/>
      </c>
      <c r="I257" s="603" t="str">
        <f ca="1">IF($C$1=RefData!$B$418,'All Statement of strategy (D)'!$E257,IF('All Statement of strategy (D)'!$C$1=RefData!$B$419,'All Statement of strategy (D)'!$F257,IF('All Statement of strategy (D)'!$C$1=RefData!$B$420,'All Statement of strategy (D)'!$G257,IF('All Statement of strategy (D)'!$C$1=RefData!$B$421,'All Statement of strategy (D)'!$H257," "))))</f>
        <v xml:space="preserve"> </v>
      </c>
    </row>
    <row r="258" spans="1:9">
      <c r="A258" s="584" t="s">
        <v>1747</v>
      </c>
      <c r="B258" s="585" t="str">
        <f ca="1">MID('Reconciliation report'!$E$1033,3001,1000)</f>
        <v/>
      </c>
      <c r="E258" s="585" t="str">
        <f ca="1">IF('Reconciliation report'!$E$1032=RefData!$B$92,$B258,"")</f>
        <v/>
      </c>
      <c r="F258" s="585" t="str">
        <f ca="1">IF('Reconciliation report'!$E$1032=RefData!$B$92,$B258,"")</f>
        <v/>
      </c>
      <c r="G258" s="585" t="str">
        <f>""</f>
        <v/>
      </c>
      <c r="H258" s="585" t="str">
        <f>""</f>
        <v/>
      </c>
      <c r="I258" s="603" t="str">
        <f ca="1">IF($C$1=RefData!$B$418,'All Statement of strategy (D)'!$E258,IF('All Statement of strategy (D)'!$C$1=RefData!$B$419,'All Statement of strategy (D)'!$F258,IF('All Statement of strategy (D)'!$C$1=RefData!$B$420,'All Statement of strategy (D)'!$G258,IF('All Statement of strategy (D)'!$C$1=RefData!$B$421,'All Statement of strategy (D)'!$H258," "))))</f>
        <v xml:space="preserve"> </v>
      </c>
    </row>
    <row r="259" spans="1:9">
      <c r="B259" s="585" t="s">
        <v>1748</v>
      </c>
      <c r="E259" s="585" t="str">
        <f>$B259</f>
        <v xml:space="preserve">In making their assessment, the trustees have also taken the following information into account.  </v>
      </c>
      <c r="F259" s="585" t="str">
        <f>$B259</f>
        <v xml:space="preserve">In making their assessment, the trustees have also taken the following information into account.  </v>
      </c>
      <c r="G259" s="585" t="str">
        <f>$B259</f>
        <v xml:space="preserve">In making their assessment, the trustees have also taken the following information into account.  </v>
      </c>
      <c r="H259" s="585" t="str">
        <f>$B259</f>
        <v xml:space="preserve">In making their assessment, the trustees have also taken the following information into account.  </v>
      </c>
      <c r="I259" s="603" t="str">
        <f ca="1">IF($C$1=RefData!$B$418,'All Statement of strategy (D)'!$E259,IF('All Statement of strategy (D)'!$C$1=RefData!$B$419,'All Statement of strategy (D)'!$F259,IF('All Statement of strategy (D)'!$C$1=RefData!$B$420,'All Statement of strategy (D)'!$G259,IF('All Statement of strategy (D)'!$C$1=RefData!$B$421,'All Statement of strategy (D)'!$H259," "))))</f>
        <v xml:space="preserve"> </v>
      </c>
    </row>
    <row r="260" spans="1:9">
      <c r="A260" s="584" t="s">
        <v>1749</v>
      </c>
      <c r="B260" s="585" t="s">
        <v>1750</v>
      </c>
      <c r="C260" s="585" t="str">
        <f ca="1">TEXT('Reconciliation report'!$E$1043,RefData!$B$423)</f>
        <v/>
      </c>
      <c r="D260" s="585" t="s">
        <v>1751</v>
      </c>
      <c r="E260" s="585" t="str">
        <f ca="1">IF('Reconciliation report'!$E$1041=RefData!$B$64,'All Statement of strategy (D)'!$B260&amp;'All Statement of strategy (D)'!$C260&amp;$D260,"")</f>
        <v/>
      </c>
      <c r="F260" s="585" t="str">
        <f ca="1">IF('Reconciliation report'!$E$1041=RefData!$B$64,'All Statement of strategy (D)'!$B260&amp;'All Statement of strategy (D)'!$C260&amp;$D260,"")</f>
        <v/>
      </c>
      <c r="G260" s="585" t="str">
        <f>""</f>
        <v/>
      </c>
      <c r="H260" s="585" t="str">
        <f>""</f>
        <v/>
      </c>
      <c r="I260" s="603" t="str">
        <f ca="1">IF($C$1=RefData!$B$418,'All Statement of strategy (D)'!$E260,IF('All Statement of strategy (D)'!$C$1=RefData!$B$419,'All Statement of strategy (D)'!$F260,IF('All Statement of strategy (D)'!$C$1=RefData!$B$420,'All Statement of strategy (D)'!$G260,IF('All Statement of strategy (D)'!$C$1=RefData!$B$421,'All Statement of strategy (D)'!$H260," "))))</f>
        <v xml:space="preserve"> </v>
      </c>
    </row>
    <row r="261" spans="1:9">
      <c r="A261" s="584" t="s">
        <v>1752</v>
      </c>
      <c r="B261" s="585" t="s">
        <v>1753</v>
      </c>
      <c r="C261" s="585" t="str">
        <f ca="1">TEXT('Reconciliation report'!$E$1042,RefData!$B$423)</f>
        <v/>
      </c>
      <c r="D261" s="585" t="s">
        <v>1751</v>
      </c>
      <c r="E261" s="585" t="str">
        <f ca="1">IF('Reconciliation report'!$E$1041=RefData!$B$65,$B261&amp;$C261&amp;$D261,"")</f>
        <v/>
      </c>
      <c r="F261" s="585" t="str">
        <f ca="1">IF('Reconciliation report'!$E$1041=RefData!$B$65,$B261&amp;$C261&amp;$D261,"")</f>
        <v/>
      </c>
      <c r="G261" s="585" t="str">
        <f>""</f>
        <v/>
      </c>
      <c r="H261" s="585" t="str">
        <f>""</f>
        <v/>
      </c>
      <c r="I261" s="603" t="str">
        <f ca="1">IF($C$1=RefData!$B$418,'All Statement of strategy (D)'!$E261,IF('All Statement of strategy (D)'!$C$1=RefData!$B$419,'All Statement of strategy (D)'!$F261,IF('All Statement of strategy (D)'!$C$1=RefData!$B$420,'All Statement of strategy (D)'!$G261,IF('All Statement of strategy (D)'!$C$1=RefData!$B$421,'All Statement of strategy (D)'!$H261," "))))</f>
        <v xml:space="preserve"> </v>
      </c>
    </row>
    <row r="262" spans="1:9">
      <c r="B262" s="585" t="s">
        <v>1754</v>
      </c>
      <c r="E262" s="585" t="str">
        <f>""</f>
        <v/>
      </c>
      <c r="F262" s="585" t="str">
        <f>""</f>
        <v/>
      </c>
      <c r="G262" s="585" t="str">
        <f>$B262</f>
        <v>The current notional investment allocation relating to defined benefits can be broken down into the following:</v>
      </c>
      <c r="H262" s="585" t="str">
        <f>$B262</f>
        <v>The current notional investment allocation relating to defined benefits can be broken down into the following:</v>
      </c>
      <c r="I262" s="603" t="str">
        <f ca="1">IF($C$1=RefData!$B$418,'All Statement of strategy (D)'!$E262,IF('All Statement of strategy (D)'!$C$1=RefData!$B$419,'All Statement of strategy (D)'!$F262,IF('All Statement of strategy (D)'!$C$1=RefData!$B$420,'All Statement of strategy (D)'!$G262,IF('All Statement of strategy (D)'!$C$1=RefData!$B$421,'All Statement of strategy (D)'!$H262," "))))</f>
        <v xml:space="preserve"> </v>
      </c>
    </row>
    <row r="263" spans="1:9">
      <c r="A263" s="584" t="s">
        <v>1755</v>
      </c>
      <c r="B263" s="585" t="s">
        <v>1756</v>
      </c>
      <c r="C263" s="585" t="str">
        <f ca="1">TEXT('Reconciliation report'!$E$1044,RefData!$B$423)</f>
        <v/>
      </c>
      <c r="E263" s="585" t="str">
        <f ca="1">$B263&amp;$C263</f>
        <v xml:space="preserve">    o   Fixed-interest UK government bonds: </v>
      </c>
      <c r="F263" s="585" t="str">
        <f ca="1">$B263&amp;$C263</f>
        <v xml:space="preserve">    o   Fixed-interest UK government bonds: </v>
      </c>
      <c r="G263" s="585" t="str">
        <f ca="1">$B263&amp;$C263</f>
        <v xml:space="preserve">    o   Fixed-interest UK government bonds: </v>
      </c>
      <c r="H263" s="585" t="str">
        <f ca="1">$B263&amp;$C263</f>
        <v xml:space="preserve">    o   Fixed-interest UK government bonds: </v>
      </c>
      <c r="I263" s="603" t="str">
        <f ca="1">IF($C$1=RefData!$B$418,'All Statement of strategy (D)'!$E263,IF('All Statement of strategy (D)'!$C$1=RefData!$B$419,'All Statement of strategy (D)'!$F263,IF('All Statement of strategy (D)'!$C$1=RefData!$B$420,'All Statement of strategy (D)'!$G263,IF('All Statement of strategy (D)'!$C$1=RefData!$B$421,'All Statement of strategy (D)'!$H263," "))))</f>
        <v xml:space="preserve"> </v>
      </c>
    </row>
    <row r="264" spans="1:9">
      <c r="A264" s="584" t="s">
        <v>1757</v>
      </c>
      <c r="B264" s="585" t="s">
        <v>1758</v>
      </c>
      <c r="C264" s="585" t="str">
        <f ca="1">TEXT('Reconciliation report'!$E$1045,RefData!$B$423)</f>
        <v/>
      </c>
      <c r="E264" s="585" t="str">
        <f t="shared" ref="E264:H275" ca="1" si="23">$B264&amp;$C264</f>
        <v xml:space="preserve">    o   Fixed-interest investment grade bonds (excluding UK government): </v>
      </c>
      <c r="F264" s="585" t="str">
        <f t="shared" ca="1" si="23"/>
        <v xml:space="preserve">    o   Fixed-interest investment grade bonds (excluding UK government): </v>
      </c>
      <c r="G264" s="585" t="str">
        <f t="shared" ca="1" si="23"/>
        <v xml:space="preserve">    o   Fixed-interest investment grade bonds (excluding UK government): </v>
      </c>
      <c r="H264" s="585" t="str">
        <f t="shared" ca="1" si="23"/>
        <v xml:space="preserve">    o   Fixed-interest investment grade bonds (excluding UK government): </v>
      </c>
      <c r="I264" s="603" t="str">
        <f ca="1">IF($C$1=RefData!$B$418,'All Statement of strategy (D)'!$E264,IF('All Statement of strategy (D)'!$C$1=RefData!$B$419,'All Statement of strategy (D)'!$F264,IF('All Statement of strategy (D)'!$C$1=RefData!$B$420,'All Statement of strategy (D)'!$G264,IF('All Statement of strategy (D)'!$C$1=RefData!$B$421,'All Statement of strategy (D)'!$H264," "))))</f>
        <v xml:space="preserve"> </v>
      </c>
    </row>
    <row r="265" spans="1:9">
      <c r="A265" s="584" t="s">
        <v>1759</v>
      </c>
      <c r="B265" s="585" t="s">
        <v>1760</v>
      </c>
      <c r="C265" s="585" t="str">
        <f ca="1">TEXT('Reconciliation report'!$E$1046,RefData!$B$423)</f>
        <v/>
      </c>
      <c r="E265" s="585" t="str">
        <f t="shared" ca="1" si="23"/>
        <v xml:space="preserve">    o   Fixed interest sub-investment grade bonds: </v>
      </c>
      <c r="F265" s="585" t="str">
        <f t="shared" ca="1" si="23"/>
        <v xml:space="preserve">    o   Fixed interest sub-investment grade bonds: </v>
      </c>
      <c r="G265" s="585" t="str">
        <f t="shared" ca="1" si="23"/>
        <v xml:space="preserve">    o   Fixed interest sub-investment grade bonds: </v>
      </c>
      <c r="H265" s="585" t="str">
        <f t="shared" ca="1" si="23"/>
        <v xml:space="preserve">    o   Fixed interest sub-investment grade bonds: </v>
      </c>
      <c r="I265" s="603" t="str">
        <f ca="1">IF($C$1=RefData!$B$418,'All Statement of strategy (D)'!$E265,IF('All Statement of strategy (D)'!$C$1=RefData!$B$419,'All Statement of strategy (D)'!$F265,IF('All Statement of strategy (D)'!$C$1=RefData!$B$420,'All Statement of strategy (D)'!$G265,IF('All Statement of strategy (D)'!$C$1=RefData!$B$421,'All Statement of strategy (D)'!$H265," "))))</f>
        <v xml:space="preserve"> </v>
      </c>
    </row>
    <row r="266" spans="1:9">
      <c r="A266" s="584" t="s">
        <v>1761</v>
      </c>
      <c r="B266" s="585" t="s">
        <v>1762</v>
      </c>
      <c r="C266" s="585" t="str">
        <f ca="1">TEXT('Reconciliation report'!$E$1047,RefData!$B$423)</f>
        <v/>
      </c>
      <c r="E266" s="585" t="str">
        <f t="shared" ca="1" si="23"/>
        <v xml:space="preserve">    o   UK inflation-linked government bonds: </v>
      </c>
      <c r="F266" s="585" t="str">
        <f t="shared" ca="1" si="23"/>
        <v xml:space="preserve">    o   UK inflation-linked government bonds: </v>
      </c>
      <c r="G266" s="585" t="str">
        <f t="shared" ca="1" si="23"/>
        <v xml:space="preserve">    o   UK inflation-linked government bonds: </v>
      </c>
      <c r="H266" s="585" t="str">
        <f t="shared" ca="1" si="23"/>
        <v xml:space="preserve">    o   UK inflation-linked government bonds: </v>
      </c>
      <c r="I266" s="603" t="str">
        <f ca="1">IF($C$1=RefData!$B$418,'All Statement of strategy (D)'!$E266,IF('All Statement of strategy (D)'!$C$1=RefData!$B$419,'All Statement of strategy (D)'!$F266,IF('All Statement of strategy (D)'!$C$1=RefData!$B$420,'All Statement of strategy (D)'!$G266,IF('All Statement of strategy (D)'!$C$1=RefData!$B$421,'All Statement of strategy (D)'!$H266," "))))</f>
        <v xml:space="preserve"> </v>
      </c>
    </row>
    <row r="267" spans="1:9">
      <c r="A267" s="584" t="s">
        <v>1763</v>
      </c>
      <c r="B267" s="585" t="s">
        <v>1764</v>
      </c>
      <c r="C267" s="585" t="str">
        <f ca="1">TEXT('Reconciliation report'!$E$1048,RefData!$B$423)</f>
        <v/>
      </c>
      <c r="E267" s="585" t="str">
        <f t="shared" ca="1" si="23"/>
        <v xml:space="preserve">    o   UK quoted equities: </v>
      </c>
      <c r="F267" s="585" t="str">
        <f t="shared" ca="1" si="23"/>
        <v xml:space="preserve">    o   UK quoted equities: </v>
      </c>
      <c r="G267" s="585" t="str">
        <f t="shared" ca="1" si="23"/>
        <v xml:space="preserve">    o   UK quoted equities: </v>
      </c>
      <c r="H267" s="585" t="str">
        <f t="shared" ca="1" si="23"/>
        <v xml:space="preserve">    o   UK quoted equities: </v>
      </c>
      <c r="I267" s="603" t="str">
        <f ca="1">IF($C$1=RefData!$B$418,'All Statement of strategy (D)'!$E267,IF('All Statement of strategy (D)'!$C$1=RefData!$B$419,'All Statement of strategy (D)'!$F267,IF('All Statement of strategy (D)'!$C$1=RefData!$B$420,'All Statement of strategy (D)'!$G267,IF('All Statement of strategy (D)'!$C$1=RefData!$B$421,'All Statement of strategy (D)'!$H267," "))))</f>
        <v xml:space="preserve"> </v>
      </c>
    </row>
    <row r="268" spans="1:9">
      <c r="A268" s="584" t="s">
        <v>1765</v>
      </c>
      <c r="B268" s="585" t="s">
        <v>1766</v>
      </c>
      <c r="C268" s="585" t="str">
        <f ca="1">TEXT('Reconciliation report'!$E$1049,RefData!$B$423)</f>
        <v/>
      </c>
      <c r="E268" s="585" t="str">
        <f t="shared" ca="1" si="23"/>
        <v xml:space="preserve">    o   Overseas quoted equities: </v>
      </c>
      <c r="F268" s="585" t="str">
        <f t="shared" ca="1" si="23"/>
        <v xml:space="preserve">    o   Overseas quoted equities: </v>
      </c>
      <c r="G268" s="585" t="str">
        <f t="shared" ca="1" si="23"/>
        <v xml:space="preserve">    o   Overseas quoted equities: </v>
      </c>
      <c r="H268" s="585" t="str">
        <f t="shared" ca="1" si="23"/>
        <v xml:space="preserve">    o   Overseas quoted equities: </v>
      </c>
      <c r="I268" s="603" t="str">
        <f ca="1">IF($C$1=RefData!$B$418,'All Statement of strategy (D)'!$E268,IF('All Statement of strategy (D)'!$C$1=RefData!$B$419,'All Statement of strategy (D)'!$F268,IF('All Statement of strategy (D)'!$C$1=RefData!$B$420,'All Statement of strategy (D)'!$G268,IF('All Statement of strategy (D)'!$C$1=RefData!$B$421,'All Statement of strategy (D)'!$H268," "))))</f>
        <v xml:space="preserve"> </v>
      </c>
    </row>
    <row r="269" spans="1:9">
      <c r="A269" s="584" t="s">
        <v>1767</v>
      </c>
      <c r="B269" s="585" t="s">
        <v>1768</v>
      </c>
      <c r="C269" s="585" t="str">
        <f ca="1">TEXT('Reconciliation report'!$E$1050,RefData!$B$423)</f>
        <v/>
      </c>
      <c r="E269" s="585" t="str">
        <f t="shared" ca="1" si="23"/>
        <v xml:space="preserve">    o   Unquoted or private equities: </v>
      </c>
      <c r="F269" s="585" t="str">
        <f t="shared" ca="1" si="23"/>
        <v xml:space="preserve">    o   Unquoted or private equities: </v>
      </c>
      <c r="G269" s="585" t="str">
        <f t="shared" ca="1" si="23"/>
        <v xml:space="preserve">    o   Unquoted or private equities: </v>
      </c>
      <c r="H269" s="585" t="str">
        <f t="shared" ca="1" si="23"/>
        <v xml:space="preserve">    o   Unquoted or private equities: </v>
      </c>
      <c r="I269" s="603" t="str">
        <f ca="1">IF($C$1=RefData!$B$418,'All Statement of strategy (D)'!$E269,IF('All Statement of strategy (D)'!$C$1=RefData!$B$419,'All Statement of strategy (D)'!$F269,IF('All Statement of strategy (D)'!$C$1=RefData!$B$420,'All Statement of strategy (D)'!$G269,IF('All Statement of strategy (D)'!$C$1=RefData!$B$421,'All Statement of strategy (D)'!$H269," "))))</f>
        <v xml:space="preserve"> </v>
      </c>
    </row>
    <row r="270" spans="1:9">
      <c r="A270" s="584" t="s">
        <v>1769</v>
      </c>
      <c r="B270" s="585" t="s">
        <v>1770</v>
      </c>
      <c r="C270" s="585" t="str">
        <f ca="1">TEXT('Reconciliation report'!$E$1051,RefData!$B$423)</f>
        <v/>
      </c>
      <c r="E270" s="585" t="str">
        <f t="shared" ca="1" si="23"/>
        <v xml:space="preserve">    o   Property: </v>
      </c>
      <c r="F270" s="585" t="str">
        <f t="shared" ca="1" si="23"/>
        <v xml:space="preserve">    o   Property: </v>
      </c>
      <c r="G270" s="585" t="str">
        <f t="shared" ca="1" si="23"/>
        <v xml:space="preserve">    o   Property: </v>
      </c>
      <c r="H270" s="585" t="str">
        <f t="shared" ca="1" si="23"/>
        <v xml:space="preserve">    o   Property: </v>
      </c>
      <c r="I270" s="603" t="str">
        <f ca="1">IF($C$1=RefData!$B$418,'All Statement of strategy (D)'!$E270,IF('All Statement of strategy (D)'!$C$1=RefData!$B$419,'All Statement of strategy (D)'!$F270,IF('All Statement of strategy (D)'!$C$1=RefData!$B$420,'All Statement of strategy (D)'!$G270,IF('All Statement of strategy (D)'!$C$1=RefData!$B$421,'All Statement of strategy (D)'!$H270," "))))</f>
        <v xml:space="preserve"> </v>
      </c>
    </row>
    <row r="271" spans="1:9">
      <c r="A271" s="584" t="s">
        <v>1771</v>
      </c>
      <c r="B271" s="585" t="s">
        <v>1772</v>
      </c>
      <c r="C271" s="585" t="str">
        <f ca="1">TEXT('Reconciliation report'!$E$1052,RefData!$B$423)</f>
        <v/>
      </c>
      <c r="E271" s="585" t="str">
        <f t="shared" ca="1" si="23"/>
        <v xml:space="preserve">    o   Deferred or immediate fully-insured annuities: </v>
      </c>
      <c r="F271" s="585" t="str">
        <f t="shared" ca="1" si="23"/>
        <v xml:space="preserve">    o   Deferred or immediate fully-insured annuities: </v>
      </c>
      <c r="G271" s="585" t="str">
        <f t="shared" ca="1" si="23"/>
        <v xml:space="preserve">    o   Deferred or immediate fully-insured annuities: </v>
      </c>
      <c r="H271" s="585" t="str">
        <f t="shared" ca="1" si="23"/>
        <v xml:space="preserve">    o   Deferred or immediate fully-insured annuities: </v>
      </c>
      <c r="I271" s="603" t="str">
        <f ca="1">IF($C$1=RefData!$B$418,'All Statement of strategy (D)'!$E271,IF('All Statement of strategy (D)'!$C$1=RefData!$B$419,'All Statement of strategy (D)'!$F271,IF('All Statement of strategy (D)'!$C$1=RefData!$B$420,'All Statement of strategy (D)'!$G271,IF('All Statement of strategy (D)'!$C$1=RefData!$B$421,'All Statement of strategy (D)'!$H271," "))))</f>
        <v xml:space="preserve"> </v>
      </c>
    </row>
    <row r="272" spans="1:9">
      <c r="A272" s="584" t="s">
        <v>1773</v>
      </c>
      <c r="B272" s="585" t="s">
        <v>1774</v>
      </c>
      <c r="C272" s="585" t="str">
        <f ca="1">TEXT('Reconciliation report'!$E$1053,RefData!$B$423)</f>
        <v/>
      </c>
      <c r="E272" s="585" t="str">
        <f t="shared" ca="1" si="23"/>
        <v xml:space="preserve">    o   Diversified growth funds: </v>
      </c>
      <c r="F272" s="585" t="str">
        <f t="shared" ca="1" si="23"/>
        <v xml:space="preserve">    o   Diversified growth funds: </v>
      </c>
      <c r="G272" s="585" t="str">
        <f t="shared" ca="1" si="23"/>
        <v xml:space="preserve">    o   Diversified growth funds: </v>
      </c>
      <c r="H272" s="585" t="str">
        <f t="shared" ca="1" si="23"/>
        <v xml:space="preserve">    o   Diversified growth funds: </v>
      </c>
      <c r="I272" s="603" t="str">
        <f ca="1">IF($C$1=RefData!$B$418,'All Statement of strategy (D)'!$E272,IF('All Statement of strategy (D)'!$C$1=RefData!$B$419,'All Statement of strategy (D)'!$F272,IF('All Statement of strategy (D)'!$C$1=RefData!$B$420,'All Statement of strategy (D)'!$G272,IF('All Statement of strategy (D)'!$C$1=RefData!$B$421,'All Statement of strategy (D)'!$H272," "))))</f>
        <v xml:space="preserve"> </v>
      </c>
    </row>
    <row r="273" spans="1:9">
      <c r="A273" s="584" t="s">
        <v>1775</v>
      </c>
      <c r="B273" s="585" t="s">
        <v>1776</v>
      </c>
      <c r="C273" s="585" t="str">
        <f ca="1">TEXT('Reconciliation report'!$E$1054,RefData!$B$423)</f>
        <v/>
      </c>
      <c r="E273" s="585" t="str">
        <f t="shared" ca="1" si="23"/>
        <v xml:space="preserve">    o   Cash and net current assets: </v>
      </c>
      <c r="F273" s="585" t="str">
        <f t="shared" ca="1" si="23"/>
        <v xml:space="preserve">    o   Cash and net current assets: </v>
      </c>
      <c r="G273" s="585" t="str">
        <f t="shared" ca="1" si="23"/>
        <v xml:space="preserve">    o   Cash and net current assets: </v>
      </c>
      <c r="H273" s="585" t="str">
        <f t="shared" ca="1" si="23"/>
        <v xml:space="preserve">    o   Cash and net current assets: </v>
      </c>
      <c r="I273" s="603" t="str">
        <f ca="1">IF($C$1=RefData!$B$418,'All Statement of strategy (D)'!$E273,IF('All Statement of strategy (D)'!$C$1=RefData!$B$419,'All Statement of strategy (D)'!$F273,IF('All Statement of strategy (D)'!$C$1=RefData!$B$420,'All Statement of strategy (D)'!$G273,IF('All Statement of strategy (D)'!$C$1=RefData!$B$421,'All Statement of strategy (D)'!$H273," "))))</f>
        <v xml:space="preserve"> </v>
      </c>
    </row>
    <row r="274" spans="1:9">
      <c r="A274" s="584" t="s">
        <v>1777</v>
      </c>
      <c r="B274" s="585" t="s">
        <v>1778</v>
      </c>
      <c r="C274" s="585" t="str">
        <f ca="1">TEXT('Reconciliation report'!$E$1055,RefData!$B$423)</f>
        <v/>
      </c>
      <c r="E274" s="585" t="str">
        <f t="shared" ca="1" si="23"/>
        <v xml:space="preserve">    o   Asset-backed contributions (ABCs): </v>
      </c>
      <c r="F274" s="585" t="str">
        <f t="shared" ca="1" si="23"/>
        <v xml:space="preserve">    o   Asset-backed contributions (ABCs): </v>
      </c>
      <c r="G274" s="585" t="str">
        <f t="shared" ca="1" si="23"/>
        <v xml:space="preserve">    o   Asset-backed contributions (ABCs): </v>
      </c>
      <c r="H274" s="585" t="str">
        <f t="shared" ca="1" si="23"/>
        <v xml:space="preserve">    o   Asset-backed contributions (ABCs): </v>
      </c>
      <c r="I274" s="603" t="str">
        <f ca="1">IF($C$1=RefData!$B$418,'All Statement of strategy (D)'!$E274,IF('All Statement of strategy (D)'!$C$1=RefData!$B$419,'All Statement of strategy (D)'!$F274,IF('All Statement of strategy (D)'!$C$1=RefData!$B$420,'All Statement of strategy (D)'!$G274,IF('All Statement of strategy (D)'!$C$1=RefData!$B$421,'All Statement of strategy (D)'!$H274," "))))</f>
        <v xml:space="preserve"> </v>
      </c>
    </row>
    <row r="275" spans="1:9">
      <c r="A275" s="584" t="s">
        <v>1779</v>
      </c>
      <c r="B275" s="585" t="s">
        <v>1780</v>
      </c>
      <c r="C275" s="585" t="str">
        <f ca="1">TEXT('Reconciliation report'!$E$1056,RefData!$B$423)</f>
        <v/>
      </c>
      <c r="E275" s="585" t="str">
        <f t="shared" ca="1" si="23"/>
        <v xml:space="preserve">    o   Other: </v>
      </c>
      <c r="F275" s="585" t="str">
        <f t="shared" ca="1" si="23"/>
        <v xml:space="preserve">    o   Other: </v>
      </c>
      <c r="G275" s="585" t="str">
        <f t="shared" ca="1" si="23"/>
        <v xml:space="preserve">    o   Other: </v>
      </c>
      <c r="H275" s="585" t="str">
        <f t="shared" ca="1" si="23"/>
        <v xml:space="preserve">    o   Other: </v>
      </c>
      <c r="I275" s="603" t="str">
        <f ca="1">IF($C$1=RefData!$B$418,'All Statement of strategy (D)'!$E275,IF('All Statement of strategy (D)'!$C$1=RefData!$B$419,'All Statement of strategy (D)'!$F275,IF('All Statement of strategy (D)'!$C$1=RefData!$B$420,'All Statement of strategy (D)'!$G275,IF('All Statement of strategy (D)'!$C$1=RefData!$B$421,'All Statement of strategy (D)'!$H275," "))))</f>
        <v xml:space="preserve"> </v>
      </c>
    </row>
    <row r="276" spans="1:9">
      <c r="B276" s="585" t="s">
        <v>1781</v>
      </c>
      <c r="E276" s="585" t="str">
        <f ca="1">IF('Reconciliation report'!$E$872&gt;0,'All Statement of strategy (D)'!$B276,"")</f>
        <v>Further information about the ABC arrangements can be found in Appendix 4</v>
      </c>
      <c r="F276" s="585" t="str">
        <f ca="1">IF('Reconciliation report'!$E$872&gt;0,'All Statement of strategy (D)'!$B276,"")</f>
        <v>Further information about the ABC arrangements can be found in Appendix 4</v>
      </c>
      <c r="G276" s="585" t="str">
        <f ca="1">IF('Reconciliation report'!$E$872&gt;0,'All Statement of strategy (D)'!$B276,"")</f>
        <v>Further information about the ABC arrangements can be found in Appendix 4</v>
      </c>
      <c r="H276" s="585" t="str">
        <f ca="1">IF('Reconciliation report'!$E$872&gt;0,'All Statement of strategy (D)'!$B276,"")</f>
        <v>Further information about the ABC arrangements can be found in Appendix 4</v>
      </c>
      <c r="I276" s="603" t="str">
        <f ca="1">IF($C$1=RefData!$B$418,'All Statement of strategy (D)'!$E276,IF('All Statement of strategy (D)'!$C$1=RefData!$B$419,'All Statement of strategy (D)'!$F276,IF('All Statement of strategy (D)'!$C$1=RefData!$B$420,'All Statement of strategy (D)'!$G276,IF('All Statement of strategy (D)'!$C$1=RefData!$B$421,'All Statement of strategy (D)'!$H276," "))))</f>
        <v xml:space="preserve"> </v>
      </c>
    </row>
    <row r="277" spans="1:9">
      <c r="B277" s="585" t="s">
        <v>1782</v>
      </c>
      <c r="E277" s="585" t="str">
        <f>$B277</f>
        <v>Additionally,</v>
      </c>
      <c r="F277" s="585" t="str">
        <f>$B277</f>
        <v>Additionally,</v>
      </c>
      <c r="G277" s="585" t="str">
        <f>""</f>
        <v/>
      </c>
      <c r="H277" s="585" t="str">
        <f>""</f>
        <v/>
      </c>
      <c r="I277" s="603" t="str">
        <f ca="1">IF($C$1=RefData!$B$418,'All Statement of strategy (D)'!$E277,IF('All Statement of strategy (D)'!$C$1=RefData!$B$419,'All Statement of strategy (D)'!$F277,IF('All Statement of strategy (D)'!$C$1=RefData!$B$420,'All Statement of strategy (D)'!$G277,IF('All Statement of strategy (D)'!$C$1=RefData!$B$421,'All Statement of strategy (D)'!$H277," "))))</f>
        <v xml:space="preserve"> </v>
      </c>
    </row>
    <row r="278" spans="1:9">
      <c r="B278" s="585" t="s">
        <v>1783</v>
      </c>
      <c r="E278" s="585" t="str">
        <f ca="1">IF('Reconciliation report'!$E$1057=RefData!$B$82,'All Statement of strategy (D)'!$B278,"")</f>
        <v/>
      </c>
      <c r="F278" s="585" t="str">
        <f ca="1">IF('Reconciliation report'!$E$1057=RefData!$B$82,'All Statement of strategy (D)'!$B278,"")</f>
        <v/>
      </c>
      <c r="G278" s="585" t="str">
        <f>""</f>
        <v/>
      </c>
      <c r="H278" s="585" t="str">
        <f>""</f>
        <v/>
      </c>
      <c r="I278" s="603" t="str">
        <f ca="1">IF($C$1=RefData!$B$418,'All Statement of strategy (D)'!$E278,IF('All Statement of strategy (D)'!$C$1=RefData!$B$419,'All Statement of strategy (D)'!$F278,IF('All Statement of strategy (D)'!$C$1=RefData!$B$420,'All Statement of strategy (D)'!$G278,IF('All Statement of strategy (D)'!$C$1=RefData!$B$421,'All Statement of strategy (D)'!$H278," "))))</f>
        <v xml:space="preserve"> </v>
      </c>
    </row>
    <row r="279" spans="1:9" ht="30">
      <c r="A279" s="604" t="s">
        <v>1784</v>
      </c>
      <c r="B279" s="585" t="str">
        <f ca="1">"•   The scheme’s current notional investment allocation includes the following hedging targets as a proportion of " &amp; IF('Reconciliation report'!$E$1058=RefData!$B$86,LOWER(LEFT('Reconciliation report'!$E$1059,1) &amp; MID('Reconciliation report'!$E$1059,2,999)),LOWER('Reconciliation report'!$E$1058))</f>
        <v xml:space="preserve">•   The scheme’s current notional investment allocation includes the following hedging targets as a proportion of </v>
      </c>
      <c r="C279" s="585" t="str">
        <f ca="1">IF(LEN('Reconciliation report'!$E$1059)&lt;=1000,", which "&amp;IF('Reconciliation report'!$E$1060=RefData!$B$87,"includes",IF('Reconciliation report'!$E$1060=RefData!$B$88,"excludes","")),"")</f>
        <v xml:space="preserve">, which </v>
      </c>
      <c r="D279" s="585" t="str">
        <f ca="1">IF(C279&lt;&gt;""," insured annuities: ","")</f>
        <v xml:space="preserve"> insured annuities: </v>
      </c>
      <c r="E279" s="585" t="str">
        <f ca="1">IF('Reconciliation report'!$E$1057=RefData!$B$81,'All Statement of strategy (D)'!$B279&amp;$C279&amp;$D279,"")</f>
        <v/>
      </c>
      <c r="F279" s="585" t="str">
        <f ca="1">IF('Reconciliation report'!$E$1057=RefData!$B$81,'All Statement of strategy (D)'!$B279&amp;$C279&amp;$D279,"")</f>
        <v/>
      </c>
      <c r="G279" s="585" t="str">
        <f>""</f>
        <v/>
      </c>
      <c r="H279" s="585" t="str">
        <f>""</f>
        <v/>
      </c>
      <c r="I279" s="603" t="str">
        <f ca="1">IF($C$1=RefData!$B$418,'All Statement of strategy (D)'!$E279,IF('All Statement of strategy (D)'!$C$1=RefData!$B$419,'All Statement of strategy (D)'!$F279,IF('All Statement of strategy (D)'!$C$1=RefData!$B$420,'All Statement of strategy (D)'!$G279,IF('All Statement of strategy (D)'!$C$1=RefData!$B$421,'All Statement of strategy (D)'!$H279," "))))</f>
        <v xml:space="preserve"> </v>
      </c>
    </row>
    <row r="280" spans="1:9">
      <c r="A280" s="604" t="s">
        <v>1785</v>
      </c>
      <c r="B280" s="585" t="str">
        <f ca="1">IF('Reconciliation report'!$E$1058=RefData!$B$86,MID('Reconciliation report'!$E$1059,1001,1000),"")</f>
        <v/>
      </c>
      <c r="C280" s="585" t="str">
        <f ca="1">IF(AND(LEN('Reconciliation report'!$E$1059)&gt;1000,LEN('Reconciliation report'!$E$1059)&lt;=2000),", which "&amp;IF('Reconciliation report'!$E$1060=RefData!$B$87,"includes",IF('Reconciliation report'!$E$1060=RefData!$B$88,"excludes","")),"")</f>
        <v/>
      </c>
      <c r="D280" s="585" t="str">
        <f t="shared" ref="D280:D282" ca="1" si="24">IF(C280&lt;&gt;""," insured annuities: ","")</f>
        <v/>
      </c>
      <c r="E280" s="585" t="str">
        <f ca="1">IF('Reconciliation report'!$E$1057=RefData!$B$81,'All Statement of strategy (D)'!$B280&amp;$C280&amp;$D280,"")</f>
        <v/>
      </c>
      <c r="F280" s="585" t="str">
        <f ca="1">IF('Reconciliation report'!$E$1057=RefData!$B$81,'All Statement of strategy (D)'!$B280&amp;$C280&amp;$D280,"")</f>
        <v/>
      </c>
      <c r="G280" s="585" t="str">
        <f>""</f>
        <v/>
      </c>
      <c r="H280" s="585" t="str">
        <f>""</f>
        <v/>
      </c>
      <c r="I280" s="603" t="str">
        <f ca="1">IF($C$1=RefData!$B$418,'All Statement of strategy (D)'!$E280,IF('All Statement of strategy (D)'!$C$1=RefData!$B$419,'All Statement of strategy (D)'!$F280,IF('All Statement of strategy (D)'!$C$1=RefData!$B$420,'All Statement of strategy (D)'!$G280,IF('All Statement of strategy (D)'!$C$1=RefData!$B$421,'All Statement of strategy (D)'!$H280," "))))</f>
        <v xml:space="preserve"> </v>
      </c>
    </row>
    <row r="281" spans="1:9">
      <c r="A281" s="604" t="s">
        <v>1785</v>
      </c>
      <c r="B281" s="585" t="str">
        <f ca="1">IF('Reconciliation report'!$E$1058=RefData!$B$86,MID('Reconciliation report'!$E$1059,2001,1000),"")</f>
        <v/>
      </c>
      <c r="C281" s="585" t="str">
        <f ca="1">IF(AND(LEN('Reconciliation report'!$E$1059)&gt;2000,LEN('Reconciliation report'!$E$1059)&lt;=3000),", which "&amp;IF('Reconciliation report'!$E$1060=RefData!$B$87,"includes",IF('Reconciliation report'!$E$1060=RefData!$B$88,"excludes","")),"")</f>
        <v/>
      </c>
      <c r="D281" s="585" t="str">
        <f t="shared" ca="1" si="24"/>
        <v/>
      </c>
      <c r="E281" s="585" t="str">
        <f ca="1">IF('Reconciliation report'!$E$1057=RefData!$B$81,'All Statement of strategy (D)'!$B281&amp;$C281&amp;$D281,"")</f>
        <v/>
      </c>
      <c r="F281" s="585" t="str">
        <f ca="1">IF('Reconciliation report'!$E$1057=RefData!$B$81,'All Statement of strategy (D)'!$B281&amp;$C281&amp;$D281,"")</f>
        <v/>
      </c>
      <c r="G281" s="585" t="str">
        <f>""</f>
        <v/>
      </c>
      <c r="H281" s="585" t="str">
        <f>""</f>
        <v/>
      </c>
      <c r="I281" s="603" t="str">
        <f ca="1">IF($C$1=RefData!$B$418,'All Statement of strategy (D)'!$E281,IF('All Statement of strategy (D)'!$C$1=RefData!$B$419,'All Statement of strategy (D)'!$F281,IF('All Statement of strategy (D)'!$C$1=RefData!$B$420,'All Statement of strategy (D)'!$G281,IF('All Statement of strategy (D)'!$C$1=RefData!$B$421,'All Statement of strategy (D)'!$H281," "))))</f>
        <v xml:space="preserve"> </v>
      </c>
    </row>
    <row r="282" spans="1:9">
      <c r="A282" s="604" t="s">
        <v>1785</v>
      </c>
      <c r="B282" s="585" t="str">
        <f ca="1">IF('Reconciliation report'!$E$1058=RefData!$B$86,MID('Reconciliation report'!$E$1059,3001,1000),"")</f>
        <v/>
      </c>
      <c r="C282" s="585" t="str">
        <f ca="1">IF(AND(LEN('Reconciliation report'!$E$1059)&gt;3000,LEN('Reconciliation report'!$E$1059)&lt;=4000),", which "&amp;IF('Reconciliation report'!$E$1060=RefData!$B$87,"includes",IF('Reconciliation report'!$E$1060=RefData!$B$88,"excludes","")),"")</f>
        <v/>
      </c>
      <c r="D282" s="585" t="str">
        <f t="shared" ca="1" si="24"/>
        <v/>
      </c>
      <c r="E282" s="585" t="str">
        <f ca="1">IF('Reconciliation report'!$E$1057=RefData!$B$81,'All Statement of strategy (D)'!$B282&amp;$C282&amp;$D282,"")</f>
        <v/>
      </c>
      <c r="F282" s="585" t="str">
        <f ca="1">IF('Reconciliation report'!$E$1057=RefData!$B$81,'All Statement of strategy (D)'!$B282&amp;$C282&amp;$D282,"")</f>
        <v/>
      </c>
      <c r="G282" s="585" t="str">
        <f>""</f>
        <v/>
      </c>
      <c r="H282" s="585" t="str">
        <f>""</f>
        <v/>
      </c>
      <c r="I282" s="603" t="str">
        <f ca="1">IF($C$1=RefData!$B$418,'All Statement of strategy (D)'!$E282,IF('All Statement of strategy (D)'!$C$1=RefData!$B$419,'All Statement of strategy (D)'!$F282,IF('All Statement of strategy (D)'!$C$1=RefData!$B$420,'All Statement of strategy (D)'!$G282,IF('All Statement of strategy (D)'!$C$1=RefData!$B$421,'All Statement of strategy (D)'!$H282," "))))</f>
        <v xml:space="preserve"> </v>
      </c>
    </row>
    <row r="283" spans="1:9">
      <c r="B283" s="585" t="s">
        <v>1786</v>
      </c>
      <c r="E283" s="585" t="str">
        <f ca="1">IF('Reconciliation report'!$E$1057=RefData!$B$81,'All Statement of strategy (D)'!$B283,"")</f>
        <v/>
      </c>
      <c r="F283" s="585" t="str">
        <f ca="1">IF('Reconciliation report'!$E$1057=RefData!$B$81,'All Statement of strategy (D)'!$B283,"")</f>
        <v/>
      </c>
      <c r="G283" s="585" t="str">
        <f>""</f>
        <v/>
      </c>
      <c r="H283" s="585" t="str">
        <f>""</f>
        <v/>
      </c>
      <c r="I283" s="603" t="str">
        <f ca="1">IF($C$1=RefData!$B$418,'All Statement of strategy (D)'!$E283,IF('All Statement of strategy (D)'!$C$1=RefData!$B$419,'All Statement of strategy (D)'!$F283,IF('All Statement of strategy (D)'!$C$1=RefData!$B$420,'All Statement of strategy (D)'!$G283,IF('All Statement of strategy (D)'!$C$1=RefData!$B$421,'All Statement of strategy (D)'!$H283," "))))</f>
        <v xml:space="preserve"> </v>
      </c>
    </row>
    <row r="284" spans="1:9">
      <c r="B284" s="585" t="s">
        <v>1787</v>
      </c>
      <c r="E284" s="585" t="str">
        <f ca="1">IF('Reconciliation report'!$E$1057=RefData!$B$81,'All Statement of strategy (D)'!$B284,"")</f>
        <v/>
      </c>
      <c r="F284" s="585" t="str">
        <f ca="1">IF('Reconciliation report'!$E$1057=RefData!$B$81,'All Statement of strategy (D)'!$B284,"")</f>
        <v/>
      </c>
      <c r="G284" s="585" t="str">
        <f>""</f>
        <v/>
      </c>
      <c r="H284" s="585" t="str">
        <f>""</f>
        <v/>
      </c>
      <c r="I284" s="603" t="str">
        <f ca="1">IF($C$1=RefData!$B$418,'All Statement of strategy (D)'!$E284,IF('All Statement of strategy (D)'!$C$1=RefData!$B$419,'All Statement of strategy (D)'!$F284,IF('All Statement of strategy (D)'!$C$1=RefData!$B$420,'All Statement of strategy (D)'!$G284,IF('All Statement of strategy (D)'!$C$1=RefData!$B$421,'All Statement of strategy (D)'!$H284," "))))</f>
        <v xml:space="preserve"> </v>
      </c>
    </row>
    <row r="285" spans="1:9">
      <c r="B285" s="585" t="s">
        <v>1788</v>
      </c>
      <c r="E285" s="585" t="str">
        <f ca="1">IF('Reconciliation report'!$E$1057=RefData!$B$81,'All Statement of strategy (D)'!$B285,"")</f>
        <v/>
      </c>
      <c r="F285" s="585" t="str">
        <f ca="1">IF('Reconciliation report'!$E$1057=RefData!$B$81,'All Statement of strategy (D)'!$B285,"")</f>
        <v/>
      </c>
      <c r="G285" s="585" t="str">
        <f>""</f>
        <v/>
      </c>
      <c r="H285" s="585" t="str">
        <f>""</f>
        <v/>
      </c>
      <c r="I285" s="603" t="str">
        <f ca="1">IF($C$1=RefData!$B$418,'All Statement of strategy (D)'!$E285,IF('All Statement of strategy (D)'!$C$1=RefData!$B$419,'All Statement of strategy (D)'!$F285,IF('All Statement of strategy (D)'!$C$1=RefData!$B$420,'All Statement of strategy (D)'!$G285,IF('All Statement of strategy (D)'!$C$1=RefData!$B$421,'All Statement of strategy (D)'!$H285," "))))</f>
        <v xml:space="preserve"> </v>
      </c>
    </row>
    <row r="286" spans="1:9">
      <c r="A286" s="584" t="s">
        <v>1789</v>
      </c>
      <c r="B286" s="585" t="str">
        <f ca="1">TEXT('Reconciliation report'!$E$1061,RefData!$B$423)</f>
        <v/>
      </c>
      <c r="E286" s="585" t="str">
        <f ca="1">IF('Reconciliation report'!$E$1057=RefData!$B$81,'All Statement of strategy (D)'!$B286,"")</f>
        <v/>
      </c>
      <c r="F286" s="585" t="str">
        <f ca="1">IF('Reconciliation report'!$E$1057=RefData!$B$81,'All Statement of strategy (D)'!$B286,"")</f>
        <v/>
      </c>
      <c r="G286" s="585" t="str">
        <f>""</f>
        <v/>
      </c>
      <c r="H286" s="585" t="str">
        <f>""</f>
        <v/>
      </c>
      <c r="I286" s="603" t="str">
        <f ca="1">IF($C$1=RefData!$B$418,'All Statement of strategy (D)'!$E286,IF('All Statement of strategy (D)'!$C$1=RefData!$B$419,'All Statement of strategy (D)'!$F286,IF('All Statement of strategy (D)'!$C$1=RefData!$B$420,'All Statement of strategy (D)'!$G286,IF('All Statement of strategy (D)'!$C$1=RefData!$B$421,'All Statement of strategy (D)'!$H286," "))))</f>
        <v xml:space="preserve"> </v>
      </c>
    </row>
    <row r="287" spans="1:9">
      <c r="B287" s="585" t="s">
        <v>1790</v>
      </c>
      <c r="E287" s="585" t="str">
        <f ca="1">IF('Reconciliation report'!$E$1057=RefData!$B$81,'All Statement of strategy (D)'!$B287,"")</f>
        <v/>
      </c>
      <c r="F287" s="585" t="str">
        <f ca="1">IF('Reconciliation report'!$E$1057=RefData!$B$81,'All Statement of strategy (D)'!$B287,"")</f>
        <v/>
      </c>
      <c r="G287" s="585" t="str">
        <f>""</f>
        <v/>
      </c>
      <c r="H287" s="585" t="str">
        <f>""</f>
        <v/>
      </c>
      <c r="I287" s="603" t="str">
        <f ca="1">IF($C$1=RefData!$B$418,'All Statement of strategy (D)'!$E287,IF('All Statement of strategy (D)'!$C$1=RefData!$B$419,'All Statement of strategy (D)'!$F287,IF('All Statement of strategy (D)'!$C$1=RefData!$B$420,'All Statement of strategy (D)'!$G287,IF('All Statement of strategy (D)'!$C$1=RefData!$B$421,'All Statement of strategy (D)'!$H287," "))))</f>
        <v xml:space="preserve"> </v>
      </c>
    </row>
    <row r="288" spans="1:9">
      <c r="A288" s="584" t="s">
        <v>1791</v>
      </c>
      <c r="B288" s="585" t="str">
        <f ca="1">TEXT('Reconciliation report'!$E$1062,RefData!$B$423)</f>
        <v/>
      </c>
      <c r="E288" s="585" t="str">
        <f ca="1">IF('Reconciliation report'!$E$1057=RefData!$B$81,'All Statement of strategy (D)'!$B288,"")</f>
        <v/>
      </c>
      <c r="F288" s="585" t="str">
        <f ca="1">IF('Reconciliation report'!$E$1057=RefData!$B$81,'All Statement of strategy (D)'!$B288,"")</f>
        <v/>
      </c>
      <c r="G288" s="585" t="str">
        <f>""</f>
        <v/>
      </c>
      <c r="H288" s="585" t="str">
        <f>""</f>
        <v/>
      </c>
      <c r="I288" s="603" t="str">
        <f ca="1">IF($C$1=RefData!$B$418,'All Statement of strategy (D)'!$E288,IF('All Statement of strategy (D)'!$C$1=RefData!$B$419,'All Statement of strategy (D)'!$F288,IF('All Statement of strategy (D)'!$C$1=RefData!$B$420,'All Statement of strategy (D)'!$G288,IF('All Statement of strategy (D)'!$C$1=RefData!$B$421,'All Statement of strategy (D)'!$H288," "))))</f>
        <v xml:space="preserve"> </v>
      </c>
    </row>
    <row r="289" spans="1:9">
      <c r="B289" s="585" t="s">
        <v>55</v>
      </c>
      <c r="E289" s="585" t="str">
        <f t="shared" ref="E289:H290" si="25">$B289</f>
        <v>Liquidity</v>
      </c>
      <c r="F289" s="585" t="str">
        <f ca="1">IF('Reconciliation report'!$E$1057=RefData!$B$81,'All Statement of strategy (D)'!$B289,"")</f>
        <v/>
      </c>
      <c r="G289" s="585" t="str">
        <f t="shared" si="25"/>
        <v>Liquidity</v>
      </c>
      <c r="H289" s="585" t="str">
        <f t="shared" si="25"/>
        <v>Liquidity</v>
      </c>
      <c r="I289" s="603" t="str">
        <f ca="1">IF($C$1=RefData!$B$418,'All Statement of strategy (D)'!$E289,IF('All Statement of strategy (D)'!$C$1=RefData!$B$419,'All Statement of strategy (D)'!$F289,IF('All Statement of strategy (D)'!$C$1=RefData!$B$420,'All Statement of strategy (D)'!$G289,IF('All Statement of strategy (D)'!$C$1=RefData!$B$421,'All Statement of strategy (D)'!$H289," "))))</f>
        <v xml:space="preserve"> </v>
      </c>
    </row>
    <row r="290" spans="1:9">
      <c r="B290" s="585" t="s">
        <v>1792</v>
      </c>
      <c r="E290" s="585" t="str">
        <f t="shared" si="25"/>
        <v xml:space="preserve">The trustees’ current notional investment allocation includes: </v>
      </c>
      <c r="F290" s="585" t="str">
        <f t="shared" si="25"/>
        <v xml:space="preserve">The trustees’ current notional investment allocation includes: </v>
      </c>
      <c r="G290" s="585" t="str">
        <f t="shared" si="25"/>
        <v xml:space="preserve">The trustees’ current notional investment allocation includes: </v>
      </c>
      <c r="H290" s="585" t="str">
        <f t="shared" si="25"/>
        <v xml:space="preserve">The trustees’ current notional investment allocation includes: </v>
      </c>
      <c r="I290" s="603" t="str">
        <f ca="1">IF($C$1=RefData!$B$418,'All Statement of strategy (D)'!$E290,IF('All Statement of strategy (D)'!$C$1=RefData!$B$419,'All Statement of strategy (D)'!$F290,IF('All Statement of strategy (D)'!$C$1=RefData!$B$420,'All Statement of strategy (D)'!$G290,IF('All Statement of strategy (D)'!$C$1=RefData!$B$421,'All Statement of strategy (D)'!$H290," "))))</f>
        <v xml:space="preserve"> </v>
      </c>
    </row>
    <row r="291" spans="1:9">
      <c r="A291" s="584" t="s">
        <v>1793</v>
      </c>
      <c r="B291" s="585" t="str">
        <f ca="1">"•   " &amp; TEXT('Reconciliation report'!$E$1063,RefData!$B$423)</f>
        <v xml:space="preserve">•   </v>
      </c>
      <c r="C291" s="585" t="s">
        <v>1794</v>
      </c>
      <c r="E291" s="585" t="str">
        <f t="shared" ref="E291:H292" ca="1" si="26">$B291&amp;$C291</f>
        <v xml:space="preserve">•    of highly liquid investments </v>
      </c>
      <c r="F291" s="585" t="str">
        <f t="shared" ca="1" si="26"/>
        <v xml:space="preserve">•    of highly liquid investments </v>
      </c>
      <c r="G291" s="585" t="str">
        <f t="shared" ca="1" si="26"/>
        <v xml:space="preserve">•    of highly liquid investments </v>
      </c>
      <c r="H291" s="585" t="str">
        <f t="shared" ca="1" si="26"/>
        <v xml:space="preserve">•    of highly liquid investments </v>
      </c>
      <c r="I291" s="603" t="str">
        <f ca="1">IF($C$1=RefData!$B$418,'All Statement of strategy (D)'!$E291,IF('All Statement of strategy (D)'!$C$1=RefData!$B$419,'All Statement of strategy (D)'!$F291,IF('All Statement of strategy (D)'!$C$1=RefData!$B$420,'All Statement of strategy (D)'!$G291,IF('All Statement of strategy (D)'!$C$1=RefData!$B$421,'All Statement of strategy (D)'!$H291," "))))</f>
        <v xml:space="preserve"> </v>
      </c>
    </row>
    <row r="292" spans="1:9">
      <c r="A292" s="584" t="s">
        <v>1795</v>
      </c>
      <c r="B292" s="585" t="str">
        <f ca="1">"•   " &amp; TEXT('Reconciliation report'!$E$1064,RefData!$B$423)</f>
        <v xml:space="preserve">•   </v>
      </c>
      <c r="C292" s="585" t="s">
        <v>1796</v>
      </c>
      <c r="E292" s="585" t="str">
        <f t="shared" ca="1" si="26"/>
        <v xml:space="preserve">•    of illiquid investments </v>
      </c>
      <c r="F292" s="585" t="str">
        <f t="shared" ca="1" si="26"/>
        <v xml:space="preserve">•    of illiquid investments </v>
      </c>
      <c r="G292" s="585" t="str">
        <f t="shared" ca="1" si="26"/>
        <v xml:space="preserve">•    of illiquid investments </v>
      </c>
      <c r="H292" s="585" t="str">
        <f t="shared" ca="1" si="26"/>
        <v xml:space="preserve">•    of illiquid investments </v>
      </c>
      <c r="I292" s="603" t="str">
        <f ca="1">IF($C$1=RefData!$B$418,'All Statement of strategy (D)'!$E292,IF('All Statement of strategy (D)'!$C$1=RefData!$B$419,'All Statement of strategy (D)'!$F292,IF('All Statement of strategy (D)'!$C$1=RefData!$B$420,'All Statement of strategy (D)'!$G292,IF('All Statement of strategy (D)'!$C$1=RefData!$B$421,'All Statement of strategy (D)'!$H292," "))))</f>
        <v xml:space="preserve"> </v>
      </c>
    </row>
    <row r="293" spans="1:9">
      <c r="A293" s="584" t="s">
        <v>1797</v>
      </c>
      <c r="B293" s="585" t="s">
        <v>1798</v>
      </c>
      <c r="C293" s="606" t="str">
        <f ca="1">'Reconciliation report'!$E$1065</f>
        <v/>
      </c>
      <c r="E293" s="585" t="str">
        <f ca="1">IF('Reconciliation report'!$E$1065=RefData!$B$66,$B293,"")</f>
        <v/>
      </c>
      <c r="F293" s="585" t="str">
        <f ca="1">IF('Reconciliation report'!$E$1065=RefData!$B$66,$B293,"")</f>
        <v/>
      </c>
      <c r="G293" s="585" t="str">
        <f>""</f>
        <v/>
      </c>
      <c r="H293" s="585" t="str">
        <f>""</f>
        <v/>
      </c>
      <c r="I293" s="603" t="str">
        <f ca="1">IF($C$1=RefData!$B$418,'All Statement of strategy (D)'!$E293,IF('All Statement of strategy (D)'!$C$1=RefData!$B$419,'All Statement of strategy (D)'!$F293,IF('All Statement of strategy (D)'!$C$1=RefData!$B$420,'All Statement of strategy (D)'!$G293,IF('All Statement of strategy (D)'!$C$1=RefData!$B$421,'All Statement of strategy (D)'!$H293," "))))</f>
        <v xml:space="preserve"> </v>
      </c>
    </row>
    <row r="294" spans="1:9">
      <c r="B294" s="585" t="s">
        <v>1799</v>
      </c>
      <c r="E294" s="585" t="str">
        <f>$B294</f>
        <v xml:space="preserve">Level of investment risk in the journey plan  </v>
      </c>
      <c r="F294" s="585" t="str">
        <f>""</f>
        <v/>
      </c>
      <c r="G294" s="585" t="str">
        <f>""</f>
        <v/>
      </c>
      <c r="H294" s="585" t="str">
        <f>""</f>
        <v/>
      </c>
      <c r="I294" s="603" t="str">
        <f ca="1">IF($C$1=RefData!$B$418,'All Statement of strategy (D)'!$E294,IF('All Statement of strategy (D)'!$C$1=RefData!$B$419,'All Statement of strategy (D)'!$F294,IF('All Statement of strategy (D)'!$C$1=RefData!$B$420,'All Statement of strategy (D)'!$G294,IF('All Statement of strategy (D)'!$C$1=RefData!$B$421,'All Statement of strategy (D)'!$H294," "))))</f>
        <v xml:space="preserve"> </v>
      </c>
    </row>
    <row r="295" spans="1:9">
      <c r="B295" s="585" t="s">
        <v>1800</v>
      </c>
      <c r="E295" s="585" t="str">
        <f>$B295</f>
        <v>The level of investment risk the trustees intend to take as the scheme moves along its journey plan is as follows:</v>
      </c>
      <c r="F295" s="585" t="str">
        <f>""</f>
        <v/>
      </c>
      <c r="G295" s="585" t="str">
        <f>""</f>
        <v/>
      </c>
      <c r="H295" s="585" t="str">
        <f>""</f>
        <v/>
      </c>
      <c r="I295" s="603" t="str">
        <f ca="1">IF($C$1=RefData!$B$418,'All Statement of strategy (D)'!$E295,IF('All Statement of strategy (D)'!$C$1=RefData!$B$419,'All Statement of strategy (D)'!$F295,IF('All Statement of strategy (D)'!$C$1=RefData!$B$420,'All Statement of strategy (D)'!$G295,IF('All Statement of strategy (D)'!$C$1=RefData!$B$421,'All Statement of strategy (D)'!$H295," "))))</f>
        <v xml:space="preserve"> </v>
      </c>
    </row>
    <row r="296" spans="1:9">
      <c r="A296" s="584" t="s">
        <v>1726</v>
      </c>
      <c r="B296" s="585" t="s">
        <v>1801</v>
      </c>
      <c r="C296" s="585" t="str">
        <f ca="1">TEXT('Reconciliation report'!$E$1030,RefData!$B$425)</f>
        <v/>
      </c>
      <c r="D296" s="585" t="s">
        <v>1802</v>
      </c>
      <c r="E296" s="585" t="str">
        <f ca="1">$B296&amp;$C296&amp;$D296</f>
        <v>•   The level of risk in the current notional investment allocation is , as set out above.</v>
      </c>
      <c r="F296" s="585" t="str">
        <f>""</f>
        <v/>
      </c>
      <c r="G296" s="585" t="str">
        <f>""</f>
        <v/>
      </c>
      <c r="H296" s="585" t="str">
        <f>""</f>
        <v/>
      </c>
      <c r="I296" s="603" t="str">
        <f ca="1">IF($C$1=RefData!$B$418,'All Statement of strategy (D)'!$E296,IF('All Statement of strategy (D)'!$C$1=RefData!$B$419,'All Statement of strategy (D)'!$F296,IF('All Statement of strategy (D)'!$C$1=RefData!$B$420,'All Statement of strategy (D)'!$G296,IF('All Statement of strategy (D)'!$C$1=RefData!$B$421,'All Statement of strategy (D)'!$H296," "))))</f>
        <v xml:space="preserve"> </v>
      </c>
    </row>
    <row r="297" spans="1:9">
      <c r="A297" s="584" t="s">
        <v>1803</v>
      </c>
      <c r="B297" s="585" t="s">
        <v>1804</v>
      </c>
      <c r="C297" s="585" t="str">
        <f ca="1">TEXT('Reconciliation report'!$E$1066,RefData!$B$423)&amp;"."</f>
        <v>.</v>
      </c>
      <c r="E297" s="585" t="str">
        <f ca="1">$B297&amp;$C297</f>
        <v>•   The level of investment risk the trustees expect to take in the intended investment allocation at the relevant date, expressed as a percentage drop in funding level, is .</v>
      </c>
      <c r="F297" s="585" t="str">
        <f>""</f>
        <v/>
      </c>
      <c r="G297" s="585" t="str">
        <f>""</f>
        <v/>
      </c>
      <c r="H297" s="585" t="str">
        <f>""</f>
        <v/>
      </c>
      <c r="I297" s="603" t="str">
        <f ca="1">IF($C$1=RefData!$B$418,'All Statement of strategy (D)'!$E297,IF('All Statement of strategy (D)'!$C$1=RefData!$B$419,'All Statement of strategy (D)'!$F297,IF('All Statement of strategy (D)'!$C$1=RefData!$B$420,'All Statement of strategy (D)'!$G297,IF('All Statement of strategy (D)'!$C$1=RefData!$B$421,'All Statement of strategy (D)'!$H297," "))))</f>
        <v xml:space="preserve"> </v>
      </c>
    </row>
    <row r="298" spans="1:9">
      <c r="A298" s="584" t="s">
        <v>1805</v>
      </c>
      <c r="B298" s="585" t="s">
        <v>1806</v>
      </c>
      <c r="C298" s="606" t="str">
        <f ca="1">LOWER('Reconciliation report'!$E$1067)&amp;"."</f>
        <v>.</v>
      </c>
      <c r="E298" s="585" t="str">
        <f ca="1">IF('Reconciliation report'!$E$1067&lt;&gt;"",'All Statement of strategy (D)'!$B298&amp;$C298,"")</f>
        <v/>
      </c>
      <c r="F298" s="585" t="str">
        <f>""</f>
        <v/>
      </c>
      <c r="G298" s="585" t="str">
        <f>""</f>
        <v/>
      </c>
      <c r="H298" s="585" t="str">
        <f>""</f>
        <v/>
      </c>
      <c r="I298" s="603" t="str">
        <f ca="1">IF($C$1=RefData!$B$418,'All Statement of strategy (D)'!$E298,IF('All Statement of strategy (D)'!$C$1=RefData!$B$419,'All Statement of strategy (D)'!$F298,IF('All Statement of strategy (D)'!$C$1=RefData!$B$420,'All Statement of strategy (D)'!$G298,IF('All Statement of strategy (D)'!$C$1=RefData!$B$421,'All Statement of strategy (D)'!$H298," "))))</f>
        <v xml:space="preserve"> </v>
      </c>
    </row>
    <row r="299" spans="1:9">
      <c r="B299" s="585" t="s">
        <v>1807</v>
      </c>
      <c r="E299" s="585" t="str">
        <f ca="1">IF('Reconciliation report'!$E$1068&lt;&gt;"",'All Statement of strategy (D)'!$B299,"")</f>
        <v/>
      </c>
      <c r="F299" s="585" t="str">
        <f>""</f>
        <v/>
      </c>
      <c r="G299" s="585" t="str">
        <f>""</f>
        <v/>
      </c>
      <c r="H299" s="585" t="str">
        <f>""</f>
        <v/>
      </c>
      <c r="I299" s="603" t="str">
        <f ca="1">IF($C$1=RefData!$B$418,'All Statement of strategy (D)'!$E299,IF('All Statement of strategy (D)'!$C$1=RefData!$B$419,'All Statement of strategy (D)'!$F299,IF('All Statement of strategy (D)'!$C$1=RefData!$B$420,'All Statement of strategy (D)'!$G299,IF('All Statement of strategy (D)'!$C$1=RefData!$B$421,'All Statement of strategy (D)'!$H299," "))))</f>
        <v xml:space="preserve"> </v>
      </c>
    </row>
    <row r="300" spans="1:9">
      <c r="A300" s="584" t="s">
        <v>1808</v>
      </c>
      <c r="B300" s="606" t="str">
        <f ca="1">LEFT('Reconciliation report'!$E$1068,1000)</f>
        <v/>
      </c>
      <c r="C300" s="606"/>
      <c r="E300" s="585" t="str">
        <f ca="1">IF('Reconciliation report'!$E$1068&lt;&gt;"",'All Statement of strategy (D)'!$B300,"")</f>
        <v/>
      </c>
      <c r="F300" s="585" t="str">
        <f>""</f>
        <v/>
      </c>
      <c r="G300" s="585" t="str">
        <f>""</f>
        <v/>
      </c>
      <c r="H300" s="585" t="str">
        <f>""</f>
        <v/>
      </c>
      <c r="I300" s="603" t="str">
        <f ca="1">IF($C$1=RefData!$B$418,'All Statement of strategy (D)'!$E300,IF('All Statement of strategy (D)'!$C$1=RefData!$B$419,'All Statement of strategy (D)'!$F300,IF('All Statement of strategy (D)'!$C$1=RefData!$B$420,'All Statement of strategy (D)'!$G300,IF('All Statement of strategy (D)'!$C$1=RefData!$B$421,'All Statement of strategy (D)'!$H300," "))))</f>
        <v xml:space="preserve"> </v>
      </c>
    </row>
    <row r="301" spans="1:9">
      <c r="A301" s="584" t="s">
        <v>1808</v>
      </c>
      <c r="B301" s="606" t="str">
        <f ca="1">MID('Reconciliation report'!$E$1068,1001,1000)</f>
        <v/>
      </c>
      <c r="C301" s="606"/>
      <c r="E301" s="585" t="str">
        <f ca="1">IF('Reconciliation report'!$E$1068&lt;&gt;"",'All Statement of strategy (D)'!$B301,"")</f>
        <v/>
      </c>
      <c r="F301" s="585" t="str">
        <f>""</f>
        <v/>
      </c>
      <c r="G301" s="585" t="str">
        <f>""</f>
        <v/>
      </c>
      <c r="H301" s="585" t="str">
        <f>""</f>
        <v/>
      </c>
      <c r="I301" s="603" t="str">
        <f ca="1">IF($C$1=RefData!$B$418,'All Statement of strategy (D)'!$E301,IF('All Statement of strategy (D)'!$C$1=RefData!$B$419,'All Statement of strategy (D)'!$F301,IF('All Statement of strategy (D)'!$C$1=RefData!$B$420,'All Statement of strategy (D)'!$G301,IF('All Statement of strategy (D)'!$C$1=RefData!$B$421,'All Statement of strategy (D)'!$H301," "))))</f>
        <v xml:space="preserve"> </v>
      </c>
    </row>
    <row r="302" spans="1:9">
      <c r="A302" s="584" t="s">
        <v>1808</v>
      </c>
      <c r="B302" s="606" t="str">
        <f ca="1">MID('Reconciliation report'!$E$1068,2001,1000)</f>
        <v/>
      </c>
      <c r="C302" s="606"/>
      <c r="E302" s="585" t="str">
        <f ca="1">IF('Reconciliation report'!$E$1068&lt;&gt;"",'All Statement of strategy (D)'!$B302,"")</f>
        <v/>
      </c>
      <c r="F302" s="585" t="str">
        <f>""</f>
        <v/>
      </c>
      <c r="G302" s="585" t="str">
        <f>""</f>
        <v/>
      </c>
      <c r="H302" s="585" t="str">
        <f>""</f>
        <v/>
      </c>
      <c r="I302" s="603" t="str">
        <f ca="1">IF($C$1=RefData!$B$418,'All Statement of strategy (D)'!$E302,IF('All Statement of strategy (D)'!$C$1=RefData!$B$419,'All Statement of strategy (D)'!$F302,IF('All Statement of strategy (D)'!$C$1=RefData!$B$420,'All Statement of strategy (D)'!$G302,IF('All Statement of strategy (D)'!$C$1=RefData!$B$421,'All Statement of strategy (D)'!$H302," "))))</f>
        <v xml:space="preserve"> </v>
      </c>
    </row>
    <row r="303" spans="1:9">
      <c r="A303" s="584" t="s">
        <v>1808</v>
      </c>
      <c r="B303" s="606" t="str">
        <f ca="1">MID('Reconciliation report'!$E$1068,3001,1000)</f>
        <v/>
      </c>
      <c r="C303" s="606"/>
      <c r="E303" s="585" t="str">
        <f ca="1">IF('Reconciliation report'!$E$1068&lt;&gt;"",'All Statement of strategy (D)'!$B303,"")</f>
        <v/>
      </c>
      <c r="F303" s="585" t="str">
        <f>""</f>
        <v/>
      </c>
      <c r="G303" s="585" t="str">
        <f>""</f>
        <v/>
      </c>
      <c r="H303" s="585" t="str">
        <f>""</f>
        <v/>
      </c>
      <c r="I303" s="603" t="str">
        <f ca="1">IF($C$1=RefData!$B$418,'All Statement of strategy (D)'!$E303,IF('All Statement of strategy (D)'!$C$1=RefData!$B$419,'All Statement of strategy (D)'!$F303,IF('All Statement of strategy (D)'!$C$1=RefData!$B$420,'All Statement of strategy (D)'!$G303,IF('All Statement of strategy (D)'!$C$1=RefData!$B$421,'All Statement of strategy (D)'!$H303," "))))</f>
        <v xml:space="preserve"> </v>
      </c>
    </row>
    <row r="304" spans="1:9">
      <c r="B304" s="585" t="s">
        <v>1809</v>
      </c>
      <c r="E304" s="585" t="str">
        <f ca="1">IF('Reconciliation report'!$E$1069=RefData!$B$73,'All Statement of strategy (D)'!$B304,"")</f>
        <v/>
      </c>
      <c r="F304" s="585" t="str">
        <f>""</f>
        <v/>
      </c>
      <c r="G304" s="585" t="str">
        <f>""</f>
        <v/>
      </c>
      <c r="H304" s="585" t="str">
        <f>""</f>
        <v/>
      </c>
      <c r="I304" s="603" t="str">
        <f ca="1">IF($C$1=RefData!$B$418,'All Statement of strategy (D)'!$E304,IF('All Statement of strategy (D)'!$C$1=RefData!$B$419,'All Statement of strategy (D)'!$F304,IF('All Statement of strategy (D)'!$C$1=RefData!$B$420,'All Statement of strategy (D)'!$G304,IF('All Statement of strategy (D)'!$C$1=RefData!$B$421,'All Statement of strategy (D)'!$H304," "))))</f>
        <v xml:space="preserve"> </v>
      </c>
    </row>
    <row r="305" spans="1:9" ht="20">
      <c r="A305" s="604" t="s">
        <v>1810</v>
      </c>
      <c r="B305" s="585" t="str">
        <f ca="1">"•   The scheme’s intended investment allocation at the relevant date includes the following hedging targets as a proportion of " &amp; IF('Reconciliation report'!$E$1070=RefData!$B$78,LOWER(LEFT('Reconciliation report'!$E$1071,1)&amp;(MID('Reconciliation report'!$E$1071,2,999))),LOWER('Reconciliation report'!$E$1070))</f>
        <v xml:space="preserve">•   The scheme’s intended investment allocation at the relevant date includes the following hedging targets as a proportion of </v>
      </c>
      <c r="C305" s="585" t="str">
        <f ca="1">IF(LEN('Reconciliation report'!$E$1071)&lt;=1000,", which " &amp; IF('Reconciliation report'!$E$1072=RefData!$B$79, "includes ", IF('Reconciliation report'!$E$1072=RefData!$B$80, "excludes ","")),"")</f>
        <v xml:space="preserve">, which </v>
      </c>
      <c r="D305" s="585" t="str">
        <f ca="1">IF(C305="","","insured annuities:  ")</f>
        <v xml:space="preserve">insured annuities:  </v>
      </c>
      <c r="E305" s="585" t="str">
        <f ca="1">IF('Reconciliation report'!$E$1069=RefData!$B$73,'All Statement of strategy (D)'!$B305&amp;$C305&amp;$D305,"")</f>
        <v/>
      </c>
      <c r="F305" s="585" t="str">
        <f>""</f>
        <v/>
      </c>
      <c r="G305" s="585" t="str">
        <f>""</f>
        <v/>
      </c>
      <c r="H305" s="585" t="str">
        <f>""</f>
        <v/>
      </c>
      <c r="I305" s="603" t="str">
        <f ca="1">IF($C$1=RefData!$B$418,'All Statement of strategy (D)'!$E305,IF('All Statement of strategy (D)'!$C$1=RefData!$B$419,'All Statement of strategy (D)'!$F305,IF('All Statement of strategy (D)'!$C$1=RefData!$B$420,'All Statement of strategy (D)'!$G305,IF('All Statement of strategy (D)'!$C$1=RefData!$B$421,'All Statement of strategy (D)'!$H305," "))))</f>
        <v xml:space="preserve"> </v>
      </c>
    </row>
    <row r="306" spans="1:9">
      <c r="A306" s="604" t="s">
        <v>1811</v>
      </c>
      <c r="B306" s="585" t="str">
        <f ca="1">IF('Reconciliation report'!$E$1070=RefData!$B$78,MID('Reconciliation report'!$E$1071,1001,1000),"")</f>
        <v/>
      </c>
      <c r="C306" s="585" t="str">
        <f ca="1">IF(AND(LEN('Reconciliation report'!$E$1071)&gt;1000,LEN('Reconciliation report'!$E$1071)&lt;=2000)," which " &amp; IF('Reconciliation report'!$E$1072=RefData!$B$79, "includes ", IF('Reconciliation report'!$E$1072=RefData!$B$80, "excludes ","")),"")</f>
        <v/>
      </c>
      <c r="D306" s="585" t="str">
        <f t="shared" ref="D306:D308" ca="1" si="27">IF(C306="","","insured annuities:  ")</f>
        <v/>
      </c>
      <c r="E306" s="585" t="str">
        <f ca="1">IF('Reconciliation report'!$E$1069=RefData!$B$73,'All Statement of strategy (D)'!$B306&amp;$C306&amp;$D306,"")</f>
        <v/>
      </c>
      <c r="F306" s="585" t="str">
        <f>""</f>
        <v/>
      </c>
      <c r="G306" s="585" t="str">
        <f>""</f>
        <v/>
      </c>
      <c r="H306" s="585" t="str">
        <f>""</f>
        <v/>
      </c>
      <c r="I306" s="603" t="str">
        <f ca="1">IF($C$1=RefData!$B$418,'All Statement of strategy (D)'!$E306,IF('All Statement of strategy (D)'!$C$1=RefData!$B$419,'All Statement of strategy (D)'!$F306,IF('All Statement of strategy (D)'!$C$1=RefData!$B$420,'All Statement of strategy (D)'!$G306,IF('All Statement of strategy (D)'!$C$1=RefData!$B$421,'All Statement of strategy (D)'!$H306," "))))</f>
        <v xml:space="preserve"> </v>
      </c>
    </row>
    <row r="307" spans="1:9">
      <c r="A307" s="604" t="s">
        <v>1811</v>
      </c>
      <c r="B307" s="585" t="str">
        <f ca="1">IF('Reconciliation report'!$E$1070=RefData!$B$78,MID('Reconciliation report'!$E$1071,2001,1000),"")</f>
        <v/>
      </c>
      <c r="C307" s="585" t="str">
        <f ca="1">IF(AND(LEN('Reconciliation report'!$E$1071)&gt;2000,LEN('Reconciliation report'!$E$1071)&lt;=3000)," which " &amp; IF('Reconciliation report'!$E$1072=RefData!$B$79, "includes ", IF('Reconciliation report'!$E$1072=RefData!$B$80, "excludes ","")),"")</f>
        <v/>
      </c>
      <c r="D307" s="585" t="str">
        <f t="shared" ca="1" si="27"/>
        <v/>
      </c>
      <c r="E307" s="585" t="str">
        <f ca="1">IF('Reconciliation report'!$E$1069=RefData!$B$73,'All Statement of strategy (D)'!$B307&amp;$C307&amp;$D307,"")</f>
        <v/>
      </c>
      <c r="F307" s="585" t="str">
        <f>""</f>
        <v/>
      </c>
      <c r="G307" s="585" t="str">
        <f>""</f>
        <v/>
      </c>
      <c r="H307" s="585" t="str">
        <f>""</f>
        <v/>
      </c>
      <c r="I307" s="603" t="str">
        <f ca="1">IF($C$1=RefData!$B$418,'All Statement of strategy (D)'!$E307,IF('All Statement of strategy (D)'!$C$1=RefData!$B$419,'All Statement of strategy (D)'!$F307,IF('All Statement of strategy (D)'!$C$1=RefData!$B$420,'All Statement of strategy (D)'!$G307,IF('All Statement of strategy (D)'!$C$1=RefData!$B$421,'All Statement of strategy (D)'!$H307," "))))</f>
        <v xml:space="preserve"> </v>
      </c>
    </row>
    <row r="308" spans="1:9">
      <c r="A308" s="604" t="s">
        <v>1811</v>
      </c>
      <c r="B308" s="585" t="str">
        <f ca="1">IF('Reconciliation report'!$E$1070=RefData!$B$78,MID('Reconciliation report'!$E$1071,3001,1000),"")</f>
        <v/>
      </c>
      <c r="C308" s="585" t="str">
        <f ca="1">IF(AND(LEN('Reconciliation report'!$E$1071)&gt;3000,LEN('Reconciliation report'!$E$1071)&lt;=4000)," which " &amp; IF('Reconciliation report'!$E$1072=RefData!$B$79, "includes ", IF('Reconciliation report'!$E$1072=RefData!$B$80, "excludes ","")),"")</f>
        <v/>
      </c>
      <c r="D308" s="585" t="str">
        <f t="shared" ca="1" si="27"/>
        <v/>
      </c>
      <c r="E308" s="585" t="str">
        <f ca="1">IF('Reconciliation report'!$E$1069=RefData!$B$73,'All Statement of strategy (D)'!$B308&amp;$C308&amp;$D308,"")</f>
        <v/>
      </c>
      <c r="F308" s="585" t="str">
        <f>""</f>
        <v/>
      </c>
      <c r="G308" s="585" t="str">
        <f>""</f>
        <v/>
      </c>
      <c r="H308" s="585" t="str">
        <f>""</f>
        <v/>
      </c>
      <c r="I308" s="603" t="str">
        <f ca="1">IF($C$1=RefData!$B$418,'All Statement of strategy (D)'!$E308,IF('All Statement of strategy (D)'!$C$1=RefData!$B$419,'All Statement of strategy (D)'!$F308,IF('All Statement of strategy (D)'!$C$1=RefData!$B$420,'All Statement of strategy (D)'!$G308,IF('All Statement of strategy (D)'!$C$1=RefData!$B$421,'All Statement of strategy (D)'!$H308," "))))</f>
        <v xml:space="preserve"> </v>
      </c>
    </row>
    <row r="309" spans="1:9">
      <c r="B309" s="585" t="s">
        <v>1786</v>
      </c>
      <c r="E309" s="585" t="str">
        <f ca="1">IF('Reconciliation report'!$E$1069=RefData!$B$73,'All Statement of strategy (D)'!$B309,"")</f>
        <v/>
      </c>
      <c r="F309" s="585" t="str">
        <f>""</f>
        <v/>
      </c>
      <c r="G309" s="585" t="str">
        <f>""</f>
        <v/>
      </c>
      <c r="H309" s="585" t="str">
        <f>""</f>
        <v/>
      </c>
      <c r="I309" s="603" t="str">
        <f ca="1">IF($C$1=RefData!$B$418,'All Statement of strategy (D)'!$E309,IF('All Statement of strategy (D)'!$C$1=RefData!$B$419,'All Statement of strategy (D)'!$F309,IF('All Statement of strategy (D)'!$C$1=RefData!$B$420,'All Statement of strategy (D)'!$G309,IF('All Statement of strategy (D)'!$C$1=RefData!$B$421,'All Statement of strategy (D)'!$H309," "))))</f>
        <v xml:space="preserve"> </v>
      </c>
    </row>
    <row r="310" spans="1:9">
      <c r="B310" s="585" t="s">
        <v>1787</v>
      </c>
      <c r="E310" s="585" t="str">
        <f ca="1">IF('Reconciliation report'!$E$1069=RefData!$B$73,'All Statement of strategy (D)'!$B310,"")</f>
        <v/>
      </c>
      <c r="F310" s="585" t="str">
        <f>""</f>
        <v/>
      </c>
      <c r="G310" s="585" t="str">
        <f>""</f>
        <v/>
      </c>
      <c r="H310" s="585" t="str">
        <f>""</f>
        <v/>
      </c>
      <c r="I310" s="603" t="str">
        <f ca="1">IF($C$1=RefData!$B$418,'All Statement of strategy (D)'!$E310,IF('All Statement of strategy (D)'!$C$1=RefData!$B$419,'All Statement of strategy (D)'!$F310,IF('All Statement of strategy (D)'!$C$1=RefData!$B$420,'All Statement of strategy (D)'!$G310,IF('All Statement of strategy (D)'!$C$1=RefData!$B$421,'All Statement of strategy (D)'!$H310," "))))</f>
        <v xml:space="preserve"> </v>
      </c>
    </row>
    <row r="311" spans="1:9">
      <c r="B311" s="585" t="s">
        <v>1788</v>
      </c>
      <c r="E311" s="585" t="str">
        <f ca="1">IF('Reconciliation report'!$E$1069=RefData!$B$73,'All Statement of strategy (D)'!$B311,"")</f>
        <v/>
      </c>
      <c r="F311" s="585" t="str">
        <f>""</f>
        <v/>
      </c>
      <c r="G311" s="585" t="str">
        <f>""</f>
        <v/>
      </c>
      <c r="H311" s="585" t="str">
        <f>""</f>
        <v/>
      </c>
      <c r="I311" s="603" t="str">
        <f ca="1">IF($C$1=RefData!$B$418,'All Statement of strategy (D)'!$E311,IF('All Statement of strategy (D)'!$C$1=RefData!$B$419,'All Statement of strategy (D)'!$F311,IF('All Statement of strategy (D)'!$C$1=RefData!$B$420,'All Statement of strategy (D)'!$G311,IF('All Statement of strategy (D)'!$C$1=RefData!$B$421,'All Statement of strategy (D)'!$H311," "))))</f>
        <v xml:space="preserve"> </v>
      </c>
    </row>
    <row r="312" spans="1:9">
      <c r="B312" s="585" t="s">
        <v>1790</v>
      </c>
      <c r="E312" s="585" t="str">
        <f ca="1">IF('Reconciliation report'!$E$1069=RefData!$B$73,'All Statement of strategy (D)'!$B312,"")</f>
        <v/>
      </c>
      <c r="F312" s="585" t="str">
        <f>""</f>
        <v/>
      </c>
      <c r="G312" s="585" t="str">
        <f>""</f>
        <v/>
      </c>
      <c r="H312" s="585" t="str">
        <f>""</f>
        <v/>
      </c>
      <c r="I312" s="603" t="str">
        <f ca="1">IF($C$1=RefData!$B$418,'All Statement of strategy (D)'!$E312,IF('All Statement of strategy (D)'!$C$1=RefData!$B$419,'All Statement of strategy (D)'!$F312,IF('All Statement of strategy (D)'!$C$1=RefData!$B$420,'All Statement of strategy (D)'!$G312,IF('All Statement of strategy (D)'!$C$1=RefData!$B$421,'All Statement of strategy (D)'!$H312," "))))</f>
        <v xml:space="preserve"> </v>
      </c>
    </row>
    <row r="313" spans="1:9">
      <c r="A313" s="584" t="s">
        <v>1812</v>
      </c>
      <c r="B313" s="585" t="str">
        <f ca="1">TEXT('Reconciliation report'!$E$1073,RefData!$B$423)</f>
        <v/>
      </c>
      <c r="E313" s="585" t="str">
        <f ca="1">IF('Reconciliation report'!$E$1069=RefData!$B$73,'All Statement of strategy (D)'!$B313,"")</f>
        <v/>
      </c>
      <c r="F313" s="585" t="str">
        <f>""</f>
        <v/>
      </c>
      <c r="G313" s="585" t="str">
        <f>""</f>
        <v/>
      </c>
      <c r="H313" s="585" t="str">
        <f>""</f>
        <v/>
      </c>
      <c r="I313" s="603" t="str">
        <f ca="1">IF($C$1=RefData!$B$418,'All Statement of strategy (D)'!$E313,IF('All Statement of strategy (D)'!$C$1=RefData!$B$419,'All Statement of strategy (D)'!$F313,IF('All Statement of strategy (D)'!$C$1=RefData!$B$420,'All Statement of strategy (D)'!$G313,IF('All Statement of strategy (D)'!$C$1=RefData!$B$421,'All Statement of strategy (D)'!$H313," "))))</f>
        <v xml:space="preserve"> </v>
      </c>
    </row>
    <row r="314" spans="1:9">
      <c r="A314" s="584" t="s">
        <v>1813</v>
      </c>
      <c r="B314" s="585" t="str">
        <f ca="1">TEXT('Reconciliation report'!$E$1074,RefData!$B$423)</f>
        <v/>
      </c>
      <c r="E314" s="585" t="str">
        <f ca="1">IF('Reconciliation report'!$E$1069=RefData!$B$73,'All Statement of strategy (D)'!$B314,"")</f>
        <v/>
      </c>
      <c r="F314" s="585" t="str">
        <f>""</f>
        <v/>
      </c>
      <c r="G314" s="585" t="str">
        <f>""</f>
        <v/>
      </c>
      <c r="H314" s="585" t="str">
        <f>""</f>
        <v/>
      </c>
      <c r="I314" s="603" t="str">
        <f ca="1">IF($C$1=RefData!$B$418,'All Statement of strategy (D)'!$E314,IF('All Statement of strategy (D)'!$C$1=RefData!$B$419,'All Statement of strategy (D)'!$F314,IF('All Statement of strategy (D)'!$C$1=RefData!$B$420,'All Statement of strategy (D)'!$G314,IF('All Statement of strategy (D)'!$C$1=RefData!$B$421,'All Statement of strategy (D)'!$H314," "))))</f>
        <v xml:space="preserve"> </v>
      </c>
    </row>
    <row r="315" spans="1:9">
      <c r="B315" s="585" t="s">
        <v>1814</v>
      </c>
      <c r="E315" s="585" t="str">
        <f t="shared" ref="E315:E321" si="28">$B315</f>
        <v>The way the trustees intend to achieve the objective of assets underpinning the minimum funding level being invested in accordance with a low dependency investment allocation on and after the relevant date is as follows:</v>
      </c>
      <c r="F315" s="585" t="str">
        <f>""</f>
        <v/>
      </c>
      <c r="G315" s="585" t="str">
        <f>""</f>
        <v/>
      </c>
      <c r="H315" s="585" t="str">
        <f>""</f>
        <v/>
      </c>
      <c r="I315" s="603" t="str">
        <f ca="1">IF($C$1=RefData!$B$418,'All Statement of strategy (D)'!$E315,IF('All Statement of strategy (D)'!$C$1=RefData!$B$419,'All Statement of strategy (D)'!$F315,IF('All Statement of strategy (D)'!$C$1=RefData!$B$420,'All Statement of strategy (D)'!$G315,IF('All Statement of strategy (D)'!$C$1=RefData!$B$421,'All Statement of strategy (D)'!$H315," "))))</f>
        <v xml:space="preserve"> </v>
      </c>
    </row>
    <row r="316" spans="1:9">
      <c r="A316" s="584" t="s">
        <v>1815</v>
      </c>
      <c r="B316" s="585" t="str">
        <f ca="1">LEFT('Reconciliation report'!$E$1075,1000)</f>
        <v/>
      </c>
      <c r="E316" s="585" t="str">
        <f t="shared" ca="1" si="28"/>
        <v/>
      </c>
      <c r="F316" s="585" t="str">
        <f>""</f>
        <v/>
      </c>
      <c r="G316" s="585" t="str">
        <f>""</f>
        <v/>
      </c>
      <c r="H316" s="585" t="str">
        <f>""</f>
        <v/>
      </c>
      <c r="I316" s="603" t="str">
        <f ca="1">IF($C$1=RefData!$B$418,'All Statement of strategy (D)'!$E316,IF('All Statement of strategy (D)'!$C$1=RefData!$B$419,'All Statement of strategy (D)'!$F316,IF('All Statement of strategy (D)'!$C$1=RefData!$B$420,'All Statement of strategy (D)'!$G316,IF('All Statement of strategy (D)'!$C$1=RefData!$B$421,'All Statement of strategy (D)'!$H316," "))))</f>
        <v xml:space="preserve"> </v>
      </c>
    </row>
    <row r="317" spans="1:9">
      <c r="A317" s="584" t="s">
        <v>1815</v>
      </c>
      <c r="B317" s="585" t="str">
        <f ca="1">MID('Reconciliation report'!$E$1075,1001,1000)</f>
        <v/>
      </c>
      <c r="E317" s="585" t="str">
        <f t="shared" ca="1" si="28"/>
        <v/>
      </c>
      <c r="F317" s="585" t="str">
        <f>""</f>
        <v/>
      </c>
      <c r="G317" s="585" t="str">
        <f>""</f>
        <v/>
      </c>
      <c r="H317" s="585" t="str">
        <f>""</f>
        <v/>
      </c>
      <c r="I317" s="603" t="str">
        <f ca="1">IF($C$1=RefData!$B$418,'All Statement of strategy (D)'!$E317,IF('All Statement of strategy (D)'!$C$1=RefData!$B$419,'All Statement of strategy (D)'!$F317,IF('All Statement of strategy (D)'!$C$1=RefData!$B$420,'All Statement of strategy (D)'!$G317,IF('All Statement of strategy (D)'!$C$1=RefData!$B$421,'All Statement of strategy (D)'!$H317," "))))</f>
        <v xml:space="preserve"> </v>
      </c>
    </row>
    <row r="318" spans="1:9">
      <c r="A318" s="584" t="s">
        <v>1815</v>
      </c>
      <c r="B318" s="585" t="str">
        <f ca="1">MID('Reconciliation report'!$E$1075,2001,1000)</f>
        <v/>
      </c>
      <c r="E318" s="585" t="str">
        <f t="shared" ca="1" si="28"/>
        <v/>
      </c>
      <c r="F318" s="585" t="str">
        <f>""</f>
        <v/>
      </c>
      <c r="G318" s="585" t="str">
        <f>""</f>
        <v/>
      </c>
      <c r="H318" s="585" t="str">
        <f>""</f>
        <v/>
      </c>
      <c r="I318" s="603" t="str">
        <f ca="1">IF($C$1=RefData!$B$418,'All Statement of strategy (D)'!$E318,IF('All Statement of strategy (D)'!$C$1=RefData!$B$419,'All Statement of strategy (D)'!$F318,IF('All Statement of strategy (D)'!$C$1=RefData!$B$420,'All Statement of strategy (D)'!$G318,IF('All Statement of strategy (D)'!$C$1=RefData!$B$421,'All Statement of strategy (D)'!$H318," "))))</f>
        <v xml:space="preserve"> </v>
      </c>
    </row>
    <row r="319" spans="1:9">
      <c r="A319" s="584" t="s">
        <v>1815</v>
      </c>
      <c r="B319" s="585" t="str">
        <f ca="1">MID('Reconciliation report'!$E$1075,3001,1000)</f>
        <v/>
      </c>
      <c r="E319" s="585" t="str">
        <f t="shared" ca="1" si="28"/>
        <v/>
      </c>
      <c r="F319" s="585" t="str">
        <f>""</f>
        <v/>
      </c>
      <c r="G319" s="585" t="str">
        <f>""</f>
        <v/>
      </c>
      <c r="H319" s="585" t="str">
        <f>""</f>
        <v/>
      </c>
      <c r="I319" s="603" t="str">
        <f ca="1">IF($C$1=RefData!$B$418,'All Statement of strategy (D)'!$E319,IF('All Statement of strategy (D)'!$C$1=RefData!$B$419,'All Statement of strategy (D)'!$F319,IF('All Statement of strategy (D)'!$C$1=RefData!$B$420,'All Statement of strategy (D)'!$G319,IF('All Statement of strategy (D)'!$C$1=RefData!$B$421,'All Statement of strategy (D)'!$H319," "))))</f>
        <v xml:space="preserve"> </v>
      </c>
    </row>
    <row r="320" spans="1:9">
      <c r="B320" s="585" t="s">
        <v>1816</v>
      </c>
      <c r="E320" s="585" t="str">
        <f t="shared" si="28"/>
        <v>Evidence this assessment is based on</v>
      </c>
      <c r="F320" s="585" t="str">
        <f>""</f>
        <v/>
      </c>
      <c r="G320" s="585" t="str">
        <f>""</f>
        <v/>
      </c>
      <c r="H320" s="585" t="str">
        <f>""</f>
        <v/>
      </c>
      <c r="I320" s="603" t="str">
        <f ca="1">IF($C$1=RefData!$B$418,'All Statement of strategy (D)'!$E320,IF('All Statement of strategy (D)'!$C$1=RefData!$B$419,'All Statement of strategy (D)'!$F320,IF('All Statement of strategy (D)'!$C$1=RefData!$B$420,'All Statement of strategy (D)'!$G320,IF('All Statement of strategy (D)'!$C$1=RefData!$B$421,'All Statement of strategy (D)'!$H320," "))))</f>
        <v xml:space="preserve"> </v>
      </c>
    </row>
    <row r="321" spans="1:9" ht="16" thickBot="1">
      <c r="B321" s="585" t="s">
        <v>1817</v>
      </c>
      <c r="E321" s="585" t="str">
        <f t="shared" si="28"/>
        <v>Evidence to support the level of risk in the current notional investment allocation strategy is set out above in the first two paragraphs appearing under the section ‘Evidence for level of investment risk’.</v>
      </c>
      <c r="F321" s="585" t="str">
        <f>""</f>
        <v/>
      </c>
      <c r="G321" s="585" t="str">
        <f>""</f>
        <v/>
      </c>
      <c r="H321" s="585" t="str">
        <f>""</f>
        <v/>
      </c>
      <c r="I321" s="603" t="str">
        <f ca="1">IF($C$1=RefData!$B$418,'All Statement of strategy (D)'!$E321,IF('All Statement of strategy (D)'!$C$1=RefData!$B$419,'All Statement of strategy (D)'!$F321,IF('All Statement of strategy (D)'!$C$1=RefData!$B$420,'All Statement of strategy (D)'!$G321,IF('All Statement of strategy (D)'!$C$1=RefData!$B$421,'All Statement of strategy (D)'!$H321," "))))</f>
        <v xml:space="preserve"> </v>
      </c>
    </row>
    <row r="322" spans="1:9" ht="16" thickBot="1">
      <c r="A322" s="607"/>
      <c r="B322" s="608" t="s">
        <v>1818</v>
      </c>
      <c r="C322" s="608"/>
      <c r="D322" s="608"/>
      <c r="E322" s="608" t="str">
        <f ca="1">IF('Reconciliation report'!$E$1076=RefData!$B$89,'All Statement of strategy (D)'!$B322,"")</f>
        <v/>
      </c>
      <c r="F322" s="608" t="str">
        <f>""</f>
        <v/>
      </c>
      <c r="G322" s="608" t="str">
        <f>""</f>
        <v/>
      </c>
      <c r="H322" s="608" t="str">
        <f>""</f>
        <v/>
      </c>
      <c r="I322" s="609" t="str">
        <f ca="1">IF($C$1=RefData!$B$418,'All Statement of strategy (D)'!$E322,IF('All Statement of strategy (D)'!$C$1=RefData!$B$419,'All Statement of strategy (D)'!$F322,IF('All Statement of strategy (D)'!$C$1=RefData!$B$420,'All Statement of strategy (D)'!$G322,IF('All Statement of strategy (D)'!$C$1=RefData!$B$421,'All Statement of strategy (D)'!$H322," "))))</f>
        <v xml:space="preserve"> </v>
      </c>
    </row>
    <row r="323" spans="1:9">
      <c r="A323" s="589"/>
      <c r="B323" s="591" t="s">
        <v>1819</v>
      </c>
      <c r="C323" s="591"/>
      <c r="D323" s="591"/>
      <c r="E323" s="591" t="str">
        <f ca="1">IF('Reconciliation report'!$E$1076=RefData!$B$90,'All Statement of strategy (D)'!$B323,"")</f>
        <v/>
      </c>
      <c r="F323" s="591" t="str">
        <f>""</f>
        <v/>
      </c>
      <c r="G323" s="591" t="str">
        <f>""</f>
        <v/>
      </c>
      <c r="H323" s="591" t="str">
        <f>""</f>
        <v/>
      </c>
      <c r="I323" s="610" t="str">
        <f ca="1">IF($C$1=RefData!$B$418,'All Statement of strategy (D)'!$E323,IF('All Statement of strategy (D)'!$C$1=RefData!$B$419,'All Statement of strategy (D)'!$F323,IF('All Statement of strategy (D)'!$C$1=RefData!$B$420,'All Statement of strategy (D)'!$G323,IF('All Statement of strategy (D)'!$C$1=RefData!$B$421,'All Statement of strategy (D)'!$H323," "))))</f>
        <v xml:space="preserve"> </v>
      </c>
    </row>
    <row r="324" spans="1:9">
      <c r="A324" s="593" t="s">
        <v>1820</v>
      </c>
      <c r="B324" s="585" t="s">
        <v>1735</v>
      </c>
      <c r="C324" s="586" t="str">
        <f ca="1">'Reconciliation report'!$E$1078</f>
        <v/>
      </c>
      <c r="E324" s="585" t="str">
        <f ca="1">IF('Reconciliation report'!$E$1076=RefData!$B$90,'All Statement of strategy (D)'!$B324&amp;$C324,"")</f>
        <v/>
      </c>
      <c r="F324" s="585" t="str">
        <f>""</f>
        <v/>
      </c>
      <c r="G324" s="585" t="str">
        <f>""</f>
        <v/>
      </c>
      <c r="H324" s="585" t="str">
        <f>""</f>
        <v/>
      </c>
      <c r="I324" s="611" t="str">
        <f ca="1">IF($C$1=RefData!$B$418,'All Statement of strategy (D)'!$E324,IF('All Statement of strategy (D)'!$C$1=RefData!$B$419,'All Statement of strategy (D)'!$F324,IF('All Statement of strategy (D)'!$C$1=RefData!$B$420,'All Statement of strategy (D)'!$G324,IF('All Statement of strategy (D)'!$C$1=RefData!$B$421,'All Statement of strategy (D)'!$H324," "))))</f>
        <v xml:space="preserve"> </v>
      </c>
    </row>
    <row r="325" spans="1:9" ht="30">
      <c r="A325" s="612" t="s">
        <v>1821</v>
      </c>
      <c r="B325" s="585" t="s">
        <v>1737</v>
      </c>
      <c r="C325" s="585" t="str">
        <f ca="1">IF('Reconciliation report'!$E$1079=RefData!$B$99,"",'Reconciliation report'!$E$1079 &amp; " ")</f>
        <v xml:space="preserve"> </v>
      </c>
      <c r="D325" s="585" t="str">
        <f ca="1">IF('Reconciliation report'!$E$1079=RefData!$B$97,TEXT('Reconciliation report'!$E$1080,RefData!$B$423),IF('Reconciliation report'!$E$1079=RefData!$B$98,TEXT('Reconciliation report'!$E$1081,RefData!$B$423),""))</f>
        <v/>
      </c>
      <c r="E325" s="585" t="str">
        <f ca="1">IF(AND('Reconciliation report'!$E$1076=RefData!$B$90,'Reconciliation report'!$E$1078=RefData!$B$93),'All Statement of strategy (D)'!$B325&amp;'All Statement of strategy (D)'!$C325&amp;$D325,"")</f>
        <v/>
      </c>
      <c r="F325" s="585" t="str">
        <f>""</f>
        <v/>
      </c>
      <c r="G325" s="585" t="str">
        <f>""</f>
        <v/>
      </c>
      <c r="H325" s="585" t="str">
        <f>""</f>
        <v/>
      </c>
      <c r="I325" s="611" t="str">
        <f ca="1">IF($C$1=RefData!$B$418,'All Statement of strategy (D)'!$E325,IF('All Statement of strategy (D)'!$C$1=RefData!$B$419,'All Statement of strategy (D)'!$F325,IF('All Statement of strategy (D)'!$C$1=RefData!$B$420,'All Statement of strategy (D)'!$G325,IF('All Statement of strategy (D)'!$C$1=RefData!$B$421,'All Statement of strategy (D)'!$H325," "))))</f>
        <v xml:space="preserve"> </v>
      </c>
    </row>
    <row r="326" spans="1:9">
      <c r="A326" s="612" t="s">
        <v>1822</v>
      </c>
      <c r="B326" s="585" t="str">
        <f ca="1">B325&amp;IF('Reconciliation report'!$E$1079=RefData!$B$99,LEFT('Reconciliation report'!$E$1082,1000),"")</f>
        <v xml:space="preserve">•   Liability basis: </v>
      </c>
      <c r="E326" s="585" t="str">
        <f ca="1">IF(AND('Reconciliation report'!$E$1076=RefData!$B$90,'Reconciliation report'!$E$1078=RefData!$B$93),'All Statement of strategy (D)'!$B326&amp;'All Statement of strategy (D)'!$C326&amp;$D326,"")</f>
        <v/>
      </c>
      <c r="F326" s="585" t="str">
        <f>""</f>
        <v/>
      </c>
      <c r="G326" s="585" t="str">
        <f>""</f>
        <v/>
      </c>
      <c r="H326" s="585" t="str">
        <f>""</f>
        <v/>
      </c>
      <c r="I326" s="611" t="str">
        <f ca="1">IF($C$1=RefData!$B$418,'All Statement of strategy (D)'!$E326,IF('All Statement of strategy (D)'!$C$1=RefData!$B$419,'All Statement of strategy (D)'!$F326,IF('All Statement of strategy (D)'!$C$1=RefData!$B$420,'All Statement of strategy (D)'!$G326,IF('All Statement of strategy (D)'!$C$1=RefData!$B$421,'All Statement of strategy (D)'!$H326," "))))</f>
        <v xml:space="preserve"> </v>
      </c>
    </row>
    <row r="327" spans="1:9">
      <c r="A327" s="612" t="s">
        <v>1822</v>
      </c>
      <c r="B327" s="585" t="str">
        <f ca="1">IF('Reconciliation report'!$E$1079=RefData!$B$99,MID('Reconciliation report'!$E$1082,1001,1000),"")</f>
        <v/>
      </c>
      <c r="E327" s="585" t="str">
        <f ca="1">IF(AND('Reconciliation report'!$E$1076=RefData!$B$90,'Reconciliation report'!$E$1078=RefData!$B$93),'All Statement of strategy (D)'!$B327&amp;'All Statement of strategy (D)'!$C327&amp;$D327,"")</f>
        <v/>
      </c>
      <c r="F327" s="585" t="str">
        <f>""</f>
        <v/>
      </c>
      <c r="G327" s="585" t="str">
        <f>""</f>
        <v/>
      </c>
      <c r="H327" s="585" t="str">
        <f>""</f>
        <v/>
      </c>
      <c r="I327" s="611" t="str">
        <f ca="1">IF($C$1=RefData!$B$418,'All Statement of strategy (D)'!$E327,IF('All Statement of strategy (D)'!$C$1=RefData!$B$419,'All Statement of strategy (D)'!$F327,IF('All Statement of strategy (D)'!$C$1=RefData!$B$420,'All Statement of strategy (D)'!$G327,IF('All Statement of strategy (D)'!$C$1=RefData!$B$421,'All Statement of strategy (D)'!$H327," "))))</f>
        <v xml:space="preserve"> </v>
      </c>
    </row>
    <row r="328" spans="1:9">
      <c r="A328" s="612" t="s">
        <v>1822</v>
      </c>
      <c r="B328" s="585" t="str">
        <f ca="1">IF('Reconciliation report'!$E$1079=RefData!$B$99,MID('Reconciliation report'!$E$1082,2001,1000),"")</f>
        <v/>
      </c>
      <c r="E328" s="585" t="str">
        <f ca="1">IF(AND('Reconciliation report'!$E$1076=RefData!$B$90,'Reconciliation report'!$E$1078=RefData!$B$93),'All Statement of strategy (D)'!$B328&amp;'All Statement of strategy (D)'!$C328&amp;$D328,"")</f>
        <v/>
      </c>
      <c r="F328" s="585" t="str">
        <f>""</f>
        <v/>
      </c>
      <c r="G328" s="585" t="str">
        <f>""</f>
        <v/>
      </c>
      <c r="H328" s="585" t="str">
        <f>""</f>
        <v/>
      </c>
      <c r="I328" s="611" t="str">
        <f ca="1">IF($C$1=RefData!$B$418,'All Statement of strategy (D)'!$E328,IF('All Statement of strategy (D)'!$C$1=RefData!$B$419,'All Statement of strategy (D)'!$F328,IF('All Statement of strategy (D)'!$C$1=RefData!$B$420,'All Statement of strategy (D)'!$G328,IF('All Statement of strategy (D)'!$C$1=RefData!$B$421,'All Statement of strategy (D)'!$H328," "))))</f>
        <v xml:space="preserve"> </v>
      </c>
    </row>
    <row r="329" spans="1:9">
      <c r="A329" s="612" t="s">
        <v>1822</v>
      </c>
      <c r="B329" s="585" t="str">
        <f ca="1">IF('Reconciliation report'!$E$1079=RefData!$B$99,MID('Reconciliation report'!$E$1082,3001,1000),"")</f>
        <v/>
      </c>
      <c r="E329" s="585" t="str">
        <f ca="1">IF(AND('Reconciliation report'!$E$1076=RefData!$B$90,'Reconciliation report'!$E$1078=RefData!$B$93),'All Statement of strategy (D)'!$B329&amp;'All Statement of strategy (D)'!$C329&amp;$D329,"")</f>
        <v/>
      </c>
      <c r="F329" s="585" t="str">
        <f>""</f>
        <v/>
      </c>
      <c r="G329" s="585" t="str">
        <f>""</f>
        <v/>
      </c>
      <c r="H329" s="585" t="str">
        <f>""</f>
        <v/>
      </c>
      <c r="I329" s="611" t="str">
        <f ca="1">IF($C$1=RefData!$B$418,'All Statement of strategy (D)'!$E329,IF('All Statement of strategy (D)'!$C$1=RefData!$B$419,'All Statement of strategy (D)'!$F329,IF('All Statement of strategy (D)'!$C$1=RefData!$B$420,'All Statement of strategy (D)'!$G329,IF('All Statement of strategy (D)'!$C$1=RefData!$B$421,'All Statement of strategy (D)'!$H329," "))))</f>
        <v xml:space="preserve"> </v>
      </c>
    </row>
    <row r="330" spans="1:9">
      <c r="A330" s="593" t="s">
        <v>1823</v>
      </c>
      <c r="B330" s="585" t="s">
        <v>1742</v>
      </c>
      <c r="C330" s="606" t="str">
        <f ca="1">TEXT('Reconciliation report'!$E$1083,RefData!$B$423)</f>
        <v/>
      </c>
      <c r="E330" s="585" t="str">
        <f ca="1">IF('Reconciliation report'!$E$1076=RefData!$B$90,'All Statement of strategy (D)'!$B330&amp;$C330,"")</f>
        <v/>
      </c>
      <c r="F330" s="585" t="str">
        <f>""</f>
        <v/>
      </c>
      <c r="G330" s="585" t="str">
        <f>""</f>
        <v/>
      </c>
      <c r="H330" s="585" t="str">
        <f>""</f>
        <v/>
      </c>
      <c r="I330" s="611" t="str">
        <f ca="1">IF($C$1=RefData!$B$418,'All Statement of strategy (D)'!$E330,IF('All Statement of strategy (D)'!$C$1=RefData!$B$419,'All Statement of strategy (D)'!$F330,IF('All Statement of strategy (D)'!$C$1=RefData!$B$420,'All Statement of strategy (D)'!$G330,IF('All Statement of strategy (D)'!$C$1=RefData!$B$421,'All Statement of strategy (D)'!$H330," "))))</f>
        <v xml:space="preserve"> </v>
      </c>
    </row>
    <row r="331" spans="1:9" ht="16" thickBot="1">
      <c r="A331" s="596" t="s">
        <v>1824</v>
      </c>
      <c r="B331" s="598" t="s">
        <v>1744</v>
      </c>
      <c r="C331" s="598" t="str">
        <f ca="1">'Reconciliation report'!$E$1084</f>
        <v/>
      </c>
      <c r="D331" s="598" t="str">
        <f ca="1">IF(C331= 1, " year", " years")</f>
        <v xml:space="preserve"> years</v>
      </c>
      <c r="E331" s="598" t="str">
        <f ca="1">IF('Reconciliation report'!$E$1076=RefData!$B$90,'All Statement of strategy (D)'!$B331&amp;$C331&amp;$D331,"")</f>
        <v/>
      </c>
      <c r="F331" s="598" t="str">
        <f>""</f>
        <v/>
      </c>
      <c r="G331" s="598" t="str">
        <f>""</f>
        <v/>
      </c>
      <c r="H331" s="598" t="str">
        <f>""</f>
        <v/>
      </c>
      <c r="I331" s="613" t="str">
        <f ca="1">IF($C$1=RefData!$B$418,'All Statement of strategy (D)'!$E331,IF('All Statement of strategy (D)'!$C$1=RefData!$B$419,'All Statement of strategy (D)'!$F331,IF('All Statement of strategy (D)'!$C$1=RefData!$B$420,'All Statement of strategy (D)'!$G331,IF('All Statement of strategy (D)'!$C$1=RefData!$B$421,'All Statement of strategy (D)'!$H331," "))))</f>
        <v xml:space="preserve"> </v>
      </c>
    </row>
    <row r="332" spans="1:9">
      <c r="A332" s="593"/>
      <c r="B332" s="585" t="s">
        <v>1825</v>
      </c>
      <c r="E332" s="585" t="str">
        <f ca="1">IF('Reconciliation report'!$E$1076=RefData!$B$91,'All Statement of strategy (D)'!$B332,"")</f>
        <v/>
      </c>
      <c r="F332" s="585" t="str">
        <f>""</f>
        <v/>
      </c>
      <c r="G332" s="585" t="str">
        <f>""</f>
        <v/>
      </c>
      <c r="H332" s="585" t="str">
        <f>""</f>
        <v/>
      </c>
      <c r="I332" s="611" t="str">
        <f ca="1">IF($C$1=RefData!$B$418,'All Statement of strategy (D)'!$E332,IF('All Statement of strategy (D)'!$C$1=RefData!$B$419,'All Statement of strategy (D)'!$F332,IF('All Statement of strategy (D)'!$C$1=RefData!$B$420,'All Statement of strategy (D)'!$G332,IF('All Statement of strategy (D)'!$C$1=RefData!$B$421,'All Statement of strategy (D)'!$H332," "))))</f>
        <v xml:space="preserve"> </v>
      </c>
    </row>
    <row r="333" spans="1:9">
      <c r="A333" s="593" t="s">
        <v>1820</v>
      </c>
      <c r="B333" s="585" t="s">
        <v>1735</v>
      </c>
      <c r="C333" s="585" t="str">
        <f ca="1">'Reconciliation report'!$E$1078</f>
        <v/>
      </c>
      <c r="E333" s="585" t="str">
        <f ca="1">IF('Reconciliation report'!$E$1076=RefData!$B$91,'All Statement of strategy (D)'!$B333&amp;$C333,"")</f>
        <v/>
      </c>
      <c r="F333" s="585" t="str">
        <f>""</f>
        <v/>
      </c>
      <c r="G333" s="585" t="str">
        <f>""</f>
        <v/>
      </c>
      <c r="H333" s="585" t="str">
        <f>""</f>
        <v/>
      </c>
      <c r="I333" s="611" t="str">
        <f ca="1">IF($C$1=RefData!$B$418,'All Statement of strategy (D)'!$E333,IF('All Statement of strategy (D)'!$C$1=RefData!$B$419,'All Statement of strategy (D)'!$F333,IF('All Statement of strategy (D)'!$C$1=RefData!$B$420,'All Statement of strategy (D)'!$G333,IF('All Statement of strategy (D)'!$C$1=RefData!$B$421,'All Statement of strategy (D)'!$H333," "))))</f>
        <v xml:space="preserve"> </v>
      </c>
    </row>
    <row r="334" spans="1:9" ht="30">
      <c r="A334" s="612" t="s">
        <v>1821</v>
      </c>
      <c r="B334" s="585" t="s">
        <v>1737</v>
      </c>
      <c r="C334" s="585" t="str">
        <f ca="1">IF('Reconciliation report'!$E$1079=RefData!$B$99,"",'Reconciliation report'!$E$1079 &amp; " ")</f>
        <v xml:space="preserve"> </v>
      </c>
      <c r="D334" s="585" t="str">
        <f ca="1">IF('Reconciliation report'!$E$1079=RefData!$B$97,TEXT('Reconciliation report'!$E$1080,RefData!$B$423),IF('Reconciliation report'!$E$1079=RefData!$B$98,TEXT('Reconciliation report'!$E$1081,RefData!$B$423),""))</f>
        <v/>
      </c>
      <c r="E334" s="585" t="str">
        <f ca="1">IF(AND('Reconciliation report'!$E$1076=RefData!$B$91,'Reconciliation report'!$E$1078=RefData!$B$57),'All Statement of strategy (D)'!$B334&amp;'All Statement of strategy (D)'!$C334&amp;$D334,"")</f>
        <v/>
      </c>
      <c r="F334" s="585" t="str">
        <f>""</f>
        <v/>
      </c>
      <c r="G334" s="585" t="str">
        <f>""</f>
        <v/>
      </c>
      <c r="H334" s="585" t="str">
        <f>""</f>
        <v/>
      </c>
      <c r="I334" s="611" t="str">
        <f ca="1">IF($C$1=RefData!$B$418,'All Statement of strategy (D)'!$E334,IF('All Statement of strategy (D)'!$C$1=RefData!$B$419,'All Statement of strategy (D)'!$F334,IF('All Statement of strategy (D)'!$C$1=RefData!$B$420,'All Statement of strategy (D)'!$G334,IF('All Statement of strategy (D)'!$C$1=RefData!$B$421,'All Statement of strategy (D)'!$H334," "))))</f>
        <v xml:space="preserve"> </v>
      </c>
    </row>
    <row r="335" spans="1:9">
      <c r="A335" s="612" t="s">
        <v>1822</v>
      </c>
      <c r="B335" s="585" t="str">
        <f ca="1">B334&amp;IF('Reconciliation report'!$E$1079=RefData!$B$99,LEFT('Reconciliation report'!$E$1082,1000),"")</f>
        <v xml:space="preserve">•   Liability basis: </v>
      </c>
      <c r="E335" s="585" t="str">
        <f ca="1">IF(AND('Reconciliation report'!$E$1076=RefData!$B$91,'Reconciliation report'!$E$1078=RefData!$B$57),'All Statement of strategy (D)'!$B335&amp;'All Statement of strategy (D)'!$C335&amp;$D335,"")</f>
        <v/>
      </c>
      <c r="F335" s="585" t="str">
        <f>""</f>
        <v/>
      </c>
      <c r="G335" s="585" t="str">
        <f>""</f>
        <v/>
      </c>
      <c r="H335" s="585" t="str">
        <f>""</f>
        <v/>
      </c>
      <c r="I335" s="611" t="str">
        <f ca="1">IF($C$1=RefData!$B$418,'All Statement of strategy (D)'!$E335,IF('All Statement of strategy (D)'!$C$1=RefData!$B$419,'All Statement of strategy (D)'!$F335,IF('All Statement of strategy (D)'!$C$1=RefData!$B$420,'All Statement of strategy (D)'!$G335,IF('All Statement of strategy (D)'!$C$1=RefData!$B$421,'All Statement of strategy (D)'!$H335," "))))</f>
        <v xml:space="preserve"> </v>
      </c>
    </row>
    <row r="336" spans="1:9">
      <c r="A336" s="612" t="s">
        <v>1822</v>
      </c>
      <c r="B336" s="585" t="str">
        <f ca="1">IF('Reconciliation report'!$E$1079=RefData!$B$99,MID('Reconciliation report'!$E$1082,1001,1000),"")</f>
        <v/>
      </c>
      <c r="E336" s="585" t="str">
        <f ca="1">IF(AND('Reconciliation report'!$E$1076=RefData!$B$91,'Reconciliation report'!$E$1078=RefData!$B$57),'All Statement of strategy (D)'!$B336&amp;'All Statement of strategy (D)'!$C336&amp;$D336,"")</f>
        <v/>
      </c>
      <c r="F336" s="585" t="str">
        <f>""</f>
        <v/>
      </c>
      <c r="G336" s="585" t="str">
        <f>""</f>
        <v/>
      </c>
      <c r="H336" s="585" t="str">
        <f>""</f>
        <v/>
      </c>
      <c r="I336" s="611" t="str">
        <f ca="1">IF($C$1=RefData!$B$418,'All Statement of strategy (D)'!$E336,IF('All Statement of strategy (D)'!$C$1=RefData!$B$419,'All Statement of strategy (D)'!$F336,IF('All Statement of strategy (D)'!$C$1=RefData!$B$420,'All Statement of strategy (D)'!$G336,IF('All Statement of strategy (D)'!$C$1=RefData!$B$421,'All Statement of strategy (D)'!$H336," "))))</f>
        <v xml:space="preserve"> </v>
      </c>
    </row>
    <row r="337" spans="1:9">
      <c r="A337" s="612" t="s">
        <v>1822</v>
      </c>
      <c r="B337" s="585" t="str">
        <f ca="1">IF('Reconciliation report'!$E$1079=RefData!$B$99,MID('Reconciliation report'!$E$1082,2001,1000),"")</f>
        <v/>
      </c>
      <c r="E337" s="585" t="str">
        <f ca="1">IF(AND('Reconciliation report'!$E$1076=RefData!$B$91,'Reconciliation report'!$E$1078=RefData!$B$57),'All Statement of strategy (D)'!$B337&amp;'All Statement of strategy (D)'!$C337&amp;$D337,"")</f>
        <v/>
      </c>
      <c r="F337" s="585" t="str">
        <f>""</f>
        <v/>
      </c>
      <c r="G337" s="585" t="str">
        <f>""</f>
        <v/>
      </c>
      <c r="H337" s="585" t="str">
        <f>""</f>
        <v/>
      </c>
      <c r="I337" s="611" t="str">
        <f ca="1">IF($C$1=RefData!$B$418,'All Statement of strategy (D)'!$E337,IF('All Statement of strategy (D)'!$C$1=RefData!$B$419,'All Statement of strategy (D)'!$F337,IF('All Statement of strategy (D)'!$C$1=RefData!$B$420,'All Statement of strategy (D)'!$G337,IF('All Statement of strategy (D)'!$C$1=RefData!$B$421,'All Statement of strategy (D)'!$H337," "))))</f>
        <v xml:space="preserve"> </v>
      </c>
    </row>
    <row r="338" spans="1:9">
      <c r="A338" s="612" t="s">
        <v>1822</v>
      </c>
      <c r="B338" s="585" t="str">
        <f ca="1">IF('Reconciliation report'!$E$1079=RefData!$B$99,MID('Reconciliation report'!$E$1082,3001,1000),"")</f>
        <v/>
      </c>
      <c r="E338" s="585" t="str">
        <f ca="1">IF(AND('Reconciliation report'!$E$1076=RefData!$B$91,'Reconciliation report'!$E$1078=RefData!$B$57),'All Statement of strategy (D)'!$B338&amp;'All Statement of strategy (D)'!$C338&amp;$D338,"")</f>
        <v/>
      </c>
      <c r="F338" s="585" t="str">
        <f>""</f>
        <v/>
      </c>
      <c r="G338" s="585" t="str">
        <f>""</f>
        <v/>
      </c>
      <c r="H338" s="585" t="str">
        <f>""</f>
        <v/>
      </c>
      <c r="I338" s="611" t="str">
        <f ca="1">IF($C$1=RefData!$B$418,'All Statement of strategy (D)'!$E338,IF('All Statement of strategy (D)'!$C$1=RefData!$B$419,'All Statement of strategy (D)'!$F338,IF('All Statement of strategy (D)'!$C$1=RefData!$B$420,'All Statement of strategy (D)'!$G338,IF('All Statement of strategy (D)'!$C$1=RefData!$B$421,'All Statement of strategy (D)'!$H338," "))))</f>
        <v xml:space="preserve"> </v>
      </c>
    </row>
    <row r="339" spans="1:9" ht="16" thickBot="1">
      <c r="A339" s="593" t="s">
        <v>1823</v>
      </c>
      <c r="B339" s="585" t="s">
        <v>1742</v>
      </c>
      <c r="C339" s="606" t="str">
        <f ca="1">TEXT('Reconciliation report'!$E$1083,RefData!$B$423)</f>
        <v/>
      </c>
      <c r="E339" s="585" t="str">
        <f ca="1">IF('Reconciliation report'!$E$1076=RefData!$B$91,'All Statement of strategy (D)'!$B339&amp;$C339,"")</f>
        <v/>
      </c>
      <c r="F339" s="585" t="str">
        <f>""</f>
        <v/>
      </c>
      <c r="G339" s="585" t="str">
        <f>""</f>
        <v/>
      </c>
      <c r="H339" s="585" t="str">
        <f>""</f>
        <v/>
      </c>
      <c r="I339" s="611" t="str">
        <f ca="1">IF($C$1=RefData!$B$418,'All Statement of strategy (D)'!$E339,IF('All Statement of strategy (D)'!$C$1=RefData!$B$419,'All Statement of strategy (D)'!$F339,IF('All Statement of strategy (D)'!$C$1=RefData!$B$420,'All Statement of strategy (D)'!$G339,IF('All Statement of strategy (D)'!$C$1=RefData!$B$421,'All Statement of strategy (D)'!$H339," "))))</f>
        <v xml:space="preserve"> </v>
      </c>
    </row>
    <row r="340" spans="1:9" ht="16" thickBot="1">
      <c r="A340" s="596" t="s">
        <v>1824</v>
      </c>
      <c r="B340" s="598" t="s">
        <v>1744</v>
      </c>
      <c r="C340" s="598" t="str">
        <f ca="1">'Reconciliation report'!$E$1084</f>
        <v/>
      </c>
      <c r="D340" s="608" t="str">
        <f ca="1">IF(C340=1," year."," years.")</f>
        <v xml:space="preserve"> years.</v>
      </c>
      <c r="E340" s="598" t="str">
        <f ca="1">IF('Reconciliation report'!$E$1076=RefData!$B$91,'All Statement of strategy (D)'!$B340&amp;$C340&amp;$D340,"")</f>
        <v/>
      </c>
      <c r="F340" s="598" t="str">
        <f>""</f>
        <v/>
      </c>
      <c r="G340" s="598" t="str">
        <f>""</f>
        <v/>
      </c>
      <c r="H340" s="598" t="str">
        <f>""</f>
        <v/>
      </c>
      <c r="I340" s="613" t="str">
        <f ca="1">IF($C$1=RefData!$B$418,'All Statement of strategy (D)'!$E340,IF('All Statement of strategy (D)'!$C$1=RefData!$B$419,'All Statement of strategy (D)'!$F340,IF('All Statement of strategy (D)'!$C$1=RefData!$B$420,'All Statement of strategy (D)'!$G340,IF('All Statement of strategy (D)'!$C$1=RefData!$B$421,'All Statement of strategy (D)'!$H340," "))))</f>
        <v xml:space="preserve"> </v>
      </c>
    </row>
    <row r="341" spans="1:9">
      <c r="A341" s="589"/>
      <c r="B341" s="591" t="s">
        <v>1826</v>
      </c>
      <c r="C341" s="591"/>
      <c r="D341" s="591"/>
      <c r="E341" s="591" t="str">
        <f ca="1">IF('Reconciliation report'!$E$1076=RefData!$B$92,'All Statement of strategy (D)'!$B341,"")</f>
        <v/>
      </c>
      <c r="F341" s="591" t="str">
        <f>""</f>
        <v/>
      </c>
      <c r="G341" s="591" t="str">
        <f>""</f>
        <v/>
      </c>
      <c r="H341" s="591" t="str">
        <f>""</f>
        <v/>
      </c>
      <c r="I341" s="610" t="str">
        <f ca="1">IF($C$1=RefData!$B$418,'All Statement of strategy (D)'!$E341,IF('All Statement of strategy (D)'!$C$1=RefData!$B$419,'All Statement of strategy (D)'!$F341,IF('All Statement of strategy (D)'!$C$1=RefData!$B$420,'All Statement of strategy (D)'!$G341,IF('All Statement of strategy (D)'!$C$1=RefData!$B$421,'All Statement of strategy (D)'!$H341," "))))</f>
        <v xml:space="preserve"> </v>
      </c>
    </row>
    <row r="342" spans="1:9">
      <c r="A342" s="593" t="s">
        <v>1827</v>
      </c>
      <c r="B342" s="585" t="str">
        <f ca="1">LEFT('Reconciliation report'!$E$1077,1000)</f>
        <v/>
      </c>
      <c r="E342" s="585" t="str">
        <f ca="1">IF('Reconciliation report'!$E$1076=RefData!$B$92,'All Statement of strategy (D)'!$B342,"")</f>
        <v/>
      </c>
      <c r="F342" s="585" t="str">
        <f>""</f>
        <v/>
      </c>
      <c r="G342" s="585" t="str">
        <f>""</f>
        <v/>
      </c>
      <c r="H342" s="585" t="str">
        <f>""</f>
        <v/>
      </c>
      <c r="I342" s="611" t="str">
        <f ca="1">IF($C$1=RefData!$B$418,'All Statement of strategy (D)'!$E342,IF('All Statement of strategy (D)'!$C$1=RefData!$B$419,'All Statement of strategy (D)'!$F342,IF('All Statement of strategy (D)'!$C$1=RefData!$B$420,'All Statement of strategy (D)'!$G342,IF('All Statement of strategy (D)'!$C$1=RefData!$B$421,'All Statement of strategy (D)'!$H342," "))))</f>
        <v xml:space="preserve"> </v>
      </c>
    </row>
    <row r="343" spans="1:9">
      <c r="A343" s="593" t="s">
        <v>1827</v>
      </c>
      <c r="B343" s="585" t="str">
        <f ca="1">MID('Reconciliation report'!$E$1077,1001,1000)</f>
        <v/>
      </c>
      <c r="E343" s="585" t="str">
        <f ca="1">IF('Reconciliation report'!$E$1076=RefData!$B$92,'All Statement of strategy (D)'!$B343,"")</f>
        <v/>
      </c>
      <c r="F343" s="585" t="str">
        <f>""</f>
        <v/>
      </c>
      <c r="G343" s="585" t="str">
        <f>""</f>
        <v/>
      </c>
      <c r="H343" s="585" t="str">
        <f>""</f>
        <v/>
      </c>
      <c r="I343" s="611" t="str">
        <f ca="1">IF($C$1=RefData!$B$418,'All Statement of strategy (D)'!$E343,IF('All Statement of strategy (D)'!$C$1=RefData!$B$419,'All Statement of strategy (D)'!$F343,IF('All Statement of strategy (D)'!$C$1=RefData!$B$420,'All Statement of strategy (D)'!$G343,IF('All Statement of strategy (D)'!$C$1=RefData!$B$421,'All Statement of strategy (D)'!$H343," "))))</f>
        <v xml:space="preserve"> </v>
      </c>
    </row>
    <row r="344" spans="1:9">
      <c r="A344" s="593" t="s">
        <v>1827</v>
      </c>
      <c r="B344" s="585" t="str">
        <f ca="1">MID('Reconciliation report'!$E$1077,2001,1000)</f>
        <v/>
      </c>
      <c r="E344" s="585" t="str">
        <f ca="1">IF('Reconciliation report'!$E$1076=RefData!$B$92,'All Statement of strategy (D)'!$B344,"")</f>
        <v/>
      </c>
      <c r="F344" s="585" t="str">
        <f>""</f>
        <v/>
      </c>
      <c r="G344" s="585" t="str">
        <f>""</f>
        <v/>
      </c>
      <c r="H344" s="585" t="str">
        <f>""</f>
        <v/>
      </c>
      <c r="I344" s="611" t="str">
        <f ca="1">IF($C$1=RefData!$B$418,'All Statement of strategy (D)'!$E344,IF('All Statement of strategy (D)'!$C$1=RefData!$B$419,'All Statement of strategy (D)'!$F344,IF('All Statement of strategy (D)'!$C$1=RefData!$B$420,'All Statement of strategy (D)'!$G344,IF('All Statement of strategy (D)'!$C$1=RefData!$B$421,'All Statement of strategy (D)'!$H344," "))))</f>
        <v xml:space="preserve"> </v>
      </c>
    </row>
    <row r="345" spans="1:9" ht="16" thickBot="1">
      <c r="A345" s="596" t="s">
        <v>1827</v>
      </c>
      <c r="B345" s="598" t="str">
        <f ca="1">MID('Reconciliation report'!$E$1077,3001,1000)</f>
        <v/>
      </c>
      <c r="C345" s="598"/>
      <c r="D345" s="598"/>
      <c r="E345" s="598" t="str">
        <f ca="1">IF('Reconciliation report'!$E$1076=RefData!$B$92,'All Statement of strategy (D)'!$B345,"")</f>
        <v/>
      </c>
      <c r="F345" s="598" t="str">
        <f>""</f>
        <v/>
      </c>
      <c r="G345" s="598" t="str">
        <f>""</f>
        <v/>
      </c>
      <c r="H345" s="598" t="str">
        <f>""</f>
        <v/>
      </c>
      <c r="I345" s="613" t="str">
        <f ca="1">IF($C$1=RefData!$B$418,'All Statement of strategy (D)'!$E345,IF('All Statement of strategy (D)'!$C$1=RefData!$B$419,'All Statement of strategy (D)'!$F345,IF('All Statement of strategy (D)'!$C$1=RefData!$B$420,'All Statement of strategy (D)'!$G345,IF('All Statement of strategy (D)'!$C$1=RefData!$B$421,'All Statement of strategy (D)'!$H345," "))))</f>
        <v xml:space="preserve"> </v>
      </c>
    </row>
    <row r="346" spans="1:9" ht="20.5" thickBot="1">
      <c r="A346" s="614" t="s">
        <v>1828</v>
      </c>
      <c r="B346" s="598" t="s">
        <v>1829</v>
      </c>
      <c r="C346" s="598" t="str">
        <f ca="1">IF('Reconciliation report'!$E$1085=RefData!$B$101,TEXT('Reconciliation report'!$E$1087,RefData!$B$423),IF('Reconciliation report'!$E$1085=RefData!$B$100,"gilts + " &amp;TEXT('Reconciliation report'!$E$1086,RefData!$B$423),""))</f>
        <v/>
      </c>
      <c r="D346" s="598" t="s">
        <v>1830</v>
      </c>
      <c r="E346" s="598" t="str">
        <f ca="1">$B346&amp;$C346&amp;$D346</f>
        <v xml:space="preserve">In making their assessment, the trustees have also considered their intended investment allocation at the relevant date, as set out in Part 1 of this statement of strategy. This is expected to provide a long-term return of  per year. </v>
      </c>
      <c r="F346" s="598" t="str">
        <f>""</f>
        <v/>
      </c>
      <c r="G346" s="598" t="str">
        <f>""</f>
        <v/>
      </c>
      <c r="H346" s="598" t="str">
        <f>""</f>
        <v/>
      </c>
      <c r="I346" s="613" t="str">
        <f ca="1">IF($C$1=RefData!$B$418,'All Statement of strategy (D)'!$E346,IF('All Statement of strategy (D)'!$C$1=RefData!$B$419,'All Statement of strategy (D)'!$F346,IF('All Statement of strategy (D)'!$C$1=RefData!$B$420,'All Statement of strategy (D)'!$G346,IF('All Statement of strategy (D)'!$C$1=RefData!$B$421,'All Statement of strategy (D)'!$H346," "))))</f>
        <v xml:space="preserve"> </v>
      </c>
    </row>
    <row r="347" spans="1:9">
      <c r="B347" s="585" t="s">
        <v>1831</v>
      </c>
      <c r="E347" s="585" t="str">
        <f t="shared" ref="E347:H348" si="29">$B347</f>
        <v>Covenant information </v>
      </c>
      <c r="F347" s="585" t="str">
        <f t="shared" si="29"/>
        <v>Covenant information </v>
      </c>
      <c r="G347" s="585" t="str">
        <f t="shared" si="29"/>
        <v>Covenant information </v>
      </c>
      <c r="H347" s="585" t="str">
        <f t="shared" si="29"/>
        <v>Covenant information </v>
      </c>
      <c r="I347" s="603" t="str">
        <f ca="1">IF($C$1=RefData!$B$418,'All Statement of strategy (D)'!$E347,IF('All Statement of strategy (D)'!$C$1=RefData!$B$419,'All Statement of strategy (D)'!$F347,IF('All Statement of strategy (D)'!$C$1=RefData!$B$420,'All Statement of strategy (D)'!$G347,IF('All Statement of strategy (D)'!$C$1=RefData!$B$421,'All Statement of strategy (D)'!$H347," "))))</f>
        <v xml:space="preserve"> </v>
      </c>
    </row>
    <row r="348" spans="1:9">
      <c r="B348" s="585" t="s">
        <v>1832</v>
      </c>
      <c r="E348" s="585" t="str">
        <f t="shared" si="29"/>
        <v xml:space="preserve">Assessment of employer covenant </v>
      </c>
      <c r="F348" s="585" t="str">
        <f t="shared" si="29"/>
        <v xml:space="preserve">Assessment of employer covenant </v>
      </c>
      <c r="G348" s="585" t="str">
        <f t="shared" si="29"/>
        <v xml:space="preserve">Assessment of employer covenant </v>
      </c>
      <c r="H348" s="585" t="str">
        <f t="shared" si="29"/>
        <v xml:space="preserve">Assessment of employer covenant </v>
      </c>
      <c r="I348" s="603" t="str">
        <f ca="1">IF($C$1=RefData!$B$418,'All Statement of strategy (D)'!$E348,IF('All Statement of strategy (D)'!$C$1=RefData!$B$419,'All Statement of strategy (D)'!$F348,IF('All Statement of strategy (D)'!$C$1=RefData!$B$420,'All Statement of strategy (D)'!$G348,IF('All Statement of strategy (D)'!$C$1=RefData!$B$421,'All Statement of strategy (D)'!$H348," "))))</f>
        <v xml:space="preserve"> </v>
      </c>
    </row>
    <row r="349" spans="1:9" ht="20">
      <c r="A349" s="604" t="s">
        <v>1833</v>
      </c>
      <c r="B349" s="585" t="str">
        <f ca="1">"The trustees have assessed the strength of the employer covenant as at "&amp;TEXT('Reconciliation report'!$E$416,RefData!$B$424)</f>
        <v xml:space="preserve">The trustees have assessed the strength of the employer covenant as at </v>
      </c>
      <c r="C349" s="585" t="str">
        <f ca="1">". They have determined that it is " &amp; IF('Reconciliation report'!$E$487=RefData!$B$120,"adequate ",IF('Reconciliation report'!$E$487=RefData!$B$121,"inadequate ",""))</f>
        <v xml:space="preserve">. They have determined that it is </v>
      </c>
      <c r="D349" s="585" t="s">
        <v>1834</v>
      </c>
      <c r="E349" s="585" t="str">
        <f ca="1">$B349&amp;$C349&amp;$D349</f>
        <v>The trustees have assessed the strength of the employer covenant as at . They have determined that it is by reference to the actuarial valuation to which this funding and investment strategy relates.</v>
      </c>
      <c r="F349" s="585" t="str">
        <f ca="1">$B349&amp;$C349&amp;$D349</f>
        <v>The trustees have assessed the strength of the employer covenant as at . They have determined that it is by reference to the actuarial valuation to which this funding and investment strategy relates.</v>
      </c>
      <c r="G349" s="585" t="str">
        <f ca="1">$B349&amp;$C349&amp;$D349</f>
        <v>The trustees have assessed the strength of the employer covenant as at . They have determined that it is by reference to the actuarial valuation to which this funding and investment strategy relates.</v>
      </c>
      <c r="H349" s="585" t="str">
        <f ca="1">$B349&amp;$C349&amp;$D349</f>
        <v>The trustees have assessed the strength of the employer covenant as at . They have determined that it is by reference to the actuarial valuation to which this funding and investment strategy relates.</v>
      </c>
      <c r="I349" s="603" t="str">
        <f ca="1">IF($C$1=RefData!$B$418,'All Statement of strategy (D)'!$E349,IF('All Statement of strategy (D)'!$C$1=RefData!$B$419,'All Statement of strategy (D)'!$F349,IF('All Statement of strategy (D)'!$C$1=RefData!$B$420,'All Statement of strategy (D)'!$G349,IF('All Statement of strategy (D)'!$C$1=RefData!$B$421,'All Statement of strategy (D)'!$H349," "))))</f>
        <v xml:space="preserve"> </v>
      </c>
    </row>
    <row r="350" spans="1:9">
      <c r="B350" s="585" t="s">
        <v>1816</v>
      </c>
      <c r="E350" s="585" t="str">
        <f>$B350</f>
        <v>Evidence this assessment is based on</v>
      </c>
      <c r="F350" s="585" t="str">
        <f ca="1">IF('Reconciliation report'!$E$12=RefData!$B$12,$B350,"")</f>
        <v/>
      </c>
      <c r="G350" s="585" t="str">
        <f ca="1">IF(AND('Reconciliation report'!$E$9=RefData!$B$5,'Reconciliation report'!$E$13=RefData!$B$14),'All Statement of strategy (D)'!$B350,"")</f>
        <v/>
      </c>
      <c r="H350" s="585" t="str">
        <f ca="1">IF(AND('Reconciliation report'!$E$9=RefData!$B$5,'Reconciliation report'!$E$13=RefData!$B$14),'All Statement of strategy (D)'!$B350,"")</f>
        <v/>
      </c>
      <c r="I350" s="603" t="str">
        <f ca="1">IF($C$1=RefData!$B$418,'All Statement of strategy (D)'!$E350,IF('All Statement of strategy (D)'!$C$1=RefData!$B$419,'All Statement of strategy (D)'!$F350,IF('All Statement of strategy (D)'!$C$1=RefData!$B$420,'All Statement of strategy (D)'!$G350,IF('All Statement of strategy (D)'!$C$1=RefData!$B$421,'All Statement of strategy (D)'!$H350," "))))</f>
        <v xml:space="preserve"> </v>
      </c>
    </row>
    <row r="351" spans="1:9">
      <c r="B351" s="585" t="s">
        <v>1835</v>
      </c>
      <c r="E351" s="585" t="str">
        <f>$B351</f>
        <v>In making the above assessment, the trustees have considered the following:</v>
      </c>
      <c r="F351" s="585" t="str">
        <f ca="1">IF('Reconciliation report'!$E$12=RefData!$B$12,$B351,"")</f>
        <v/>
      </c>
      <c r="G351" s="585" t="str">
        <f ca="1">IF(AND('Reconciliation report'!$E$9=RefData!$B$5,'Reconciliation report'!$E$13=RefData!$B$14),'All Statement of strategy (D)'!$B351,"")</f>
        <v/>
      </c>
      <c r="H351" s="585" t="str">
        <f ca="1">IF(AND('Reconciliation report'!$E$9=RefData!$B$5,'Reconciliation report'!$E$13=RefData!$B$14),'All Statement of strategy (D)'!$B351,"")</f>
        <v/>
      </c>
      <c r="I351" s="603" t="str">
        <f ca="1">IF($C$1=RefData!$B$418,'All Statement of strategy (D)'!$E351,IF('All Statement of strategy (D)'!$C$1=RefData!$B$419,'All Statement of strategy (D)'!$F351,IF('All Statement of strategy (D)'!$C$1=RefData!$B$420,'All Statement of strategy (D)'!$G351,IF('All Statement of strategy (D)'!$C$1=RefData!$B$421,'All Statement of strategy (D)'!$H351," "))))</f>
        <v xml:space="preserve"> </v>
      </c>
    </row>
    <row r="352" spans="1:9">
      <c r="A352" s="584" t="s">
        <v>1836</v>
      </c>
      <c r="B352" s="585" t="s">
        <v>1837</v>
      </c>
      <c r="C352" s="585" t="str">
        <f ca="1">IF('Reconciliation report'!$E$417=RefData!$B$114,"Yes",IF('Reconciliation report'!$E$417=RefData!$B$115,"No",""))</f>
        <v/>
      </c>
      <c r="E352" s="585" t="str">
        <f ca="1">$B352&amp;$C352</f>
        <v xml:space="preserve">•   Professional covenant advice: </v>
      </c>
      <c r="F352" s="585" t="str">
        <f ca="1">IF('Reconciliation report'!$E$12=RefData!$B$12,$B352&amp;$C352,"")</f>
        <v/>
      </c>
      <c r="G352" s="585" t="str">
        <f>""</f>
        <v/>
      </c>
      <c r="H352" s="585" t="str">
        <f>""</f>
        <v/>
      </c>
      <c r="I352" s="603" t="str">
        <f ca="1">IF($C$1=RefData!$B$418,'All Statement of strategy (D)'!$E352,IF('All Statement of strategy (D)'!$C$1=RefData!$B$419,'All Statement of strategy (D)'!$F352,IF('All Statement of strategy (D)'!$C$1=RefData!$B$420,'All Statement of strategy (D)'!$G352,IF('All Statement of strategy (D)'!$C$1=RefData!$B$421,'All Statement of strategy (D)'!$H352," "))))</f>
        <v xml:space="preserve"> </v>
      </c>
    </row>
    <row r="353" spans="1:9">
      <c r="A353" s="584" t="s">
        <v>1838</v>
      </c>
      <c r="B353" s="585" t="s">
        <v>1839</v>
      </c>
      <c r="C353" s="585" t="str">
        <f ca="1">IF('Reconciliation report'!$E$420=RefData!$B$116,"Yes",IF('Reconciliation report'!$E$420=RefData!$B$117,"No",""))</f>
        <v/>
      </c>
      <c r="E353" s="585" t="str">
        <f ca="1">$B353&amp;$C353</f>
        <v xml:space="preserve">•   Reliance on other entities than statutory employers: </v>
      </c>
      <c r="F353" s="585" t="str">
        <f ca="1">IF('Reconciliation report'!$E$12=RefData!$B$12,$B353&amp;$C353,"")</f>
        <v/>
      </c>
      <c r="G353" s="585" t="str">
        <f>""</f>
        <v/>
      </c>
      <c r="H353" s="585" t="str">
        <f>""</f>
        <v/>
      </c>
      <c r="I353" s="603" t="str">
        <f ca="1">IF($C$1=RefData!$B$418,'All Statement of strategy (D)'!$E353,IF('All Statement of strategy (D)'!$C$1=RefData!$B$419,'All Statement of strategy (D)'!$F353,IF('All Statement of strategy (D)'!$C$1=RefData!$B$420,'All Statement of strategy (D)'!$G353,IF('All Statement of strategy (D)'!$C$1=RefData!$B$421,'All Statement of strategy (D)'!$H353," "))))</f>
        <v xml:space="preserve"> </v>
      </c>
    </row>
    <row r="354" spans="1:9">
      <c r="A354" s="584" t="s">
        <v>1840</v>
      </c>
      <c r="B354" s="585" t="s">
        <v>1841</v>
      </c>
      <c r="C354" s="585" t="str">
        <f ca="1">IF(ISNUMBER(MATCH($C$1,RefData!$B$418:$B$419, 0)),"Appendix 3: equal to or at least ","Appendix 3: equal to or at least ")</f>
        <v xml:space="preserve">Appendix 3: equal to or at least </v>
      </c>
      <c r="D354" s="585" t="str">
        <f ca="1">TEXT('Reconciliation report'!$E$477,"£#,###.00")</f>
        <v/>
      </c>
      <c r="E354" s="585" t="str">
        <f ca="1">IF('Reconciliation report'!$E$473=RefData!$B$112,$B354&amp;$C354&amp;D354,"")</f>
        <v/>
      </c>
      <c r="F354" s="585" t="str">
        <f ca="1">IF(AND('Reconciliation report'!$E$473=RefData!$B$112,'Reconciliation report'!$E$12=RefData!$B$12),$B354&amp;$C354&amp;$D354,"")</f>
        <v/>
      </c>
      <c r="G354" s="585" t="str">
        <f ca="1">IF(AND('Reconciliation report'!$E$473=RefData!$B$112,'Reconciliation report'!$E$9=RefData!$B$5,'Reconciliation report'!$E$13=RefData!$B$14),'All Statement of strategy (D)'!$B354&amp;C354&amp;D354,"")</f>
        <v/>
      </c>
      <c r="H354" s="585" t="str">
        <f ca="1">IF(AND('Reconciliation report'!$E$473=RefData!$B$112,'Reconciliation report'!$E$9=RefData!$B$5,'Reconciliation report'!$E$13=RefData!$B$14),'All Statement of strategy (D)'!$B354&amp;C354&amp;D354,"")</f>
        <v/>
      </c>
      <c r="I354" s="603" t="str">
        <f ca="1">IF($C$1=RefData!$B$418,'All Statement of strategy (D)'!$E354,IF('All Statement of strategy (D)'!$C$1=RefData!$B$419,'All Statement of strategy (D)'!$F354,IF('All Statement of strategy (D)'!$C$1=RefData!$B$420,'All Statement of strategy (D)'!$G354,IF('All Statement of strategy (D)'!$C$1=RefData!$B$421,'All Statement of strategy (D)'!$H354," "))))</f>
        <v xml:space="preserve"> </v>
      </c>
    </row>
    <row r="355" spans="1:9">
      <c r="A355" s="584" t="s">
        <v>1842</v>
      </c>
      <c r="B355" s="585" t="s">
        <v>1843</v>
      </c>
      <c r="C355" s="585" t="str">
        <f ca="1">IF(ISNUMBER(MATCH($C$1,RefData!$B$418:$B$419, 0)),"Appendix 4: ","Appendix 4:  ")</f>
        <v xml:space="preserve">Appendix 4:  </v>
      </c>
      <c r="D355" s="585" t="str">
        <f ca="1">TEXT('Reconciliation report'!$E$873,"£#,###.00")</f>
        <v/>
      </c>
      <c r="E355" s="585" t="str">
        <f ca="1">IF('Reconciliation report'!$E$872&gt;0,'All Statement of strategy (D)'!$B355&amp;$C355&amp;$D355,"")</f>
        <v xml:space="preserve">•   Value of scheme’s interest in ABCs (net present value) as detailed in Appendix 4:  </v>
      </c>
      <c r="F355" s="585" t="str">
        <f ca="1">IF(AND('Reconciliation report'!$E$12=RefData!$B$12,'Reconciliation report'!$E$872&gt;0),'All Statement of strategy (D)'!$B355&amp;$C355&amp;$D355,"")</f>
        <v/>
      </c>
      <c r="G355" s="585" t="str">
        <f ca="1">IF(AND('Reconciliation report'!$E$872&gt;0,'Reconciliation report'!$E$9=RefData!$B$5,'Reconciliation report'!$E$13=RefData!$B$14),'All Statement of strategy (D)'!$B355&amp;C355&amp;D355,"")</f>
        <v/>
      </c>
      <c r="H355" s="585" t="str">
        <f ca="1">IF(AND('Reconciliation report'!$E$872&gt;0,'Reconciliation report'!$E$9=RefData!$B$5,'Reconciliation report'!$E$13=RefData!$B$14),'All Statement of strategy (D)'!$B355&amp;C355&amp;D355,"")</f>
        <v/>
      </c>
      <c r="I355" s="603" t="str">
        <f ca="1">IF($C$1=RefData!$B$418,'All Statement of strategy (D)'!$E355,IF('All Statement of strategy (D)'!$C$1=RefData!$B$419,'All Statement of strategy (D)'!$F355,IF('All Statement of strategy (D)'!$C$1=RefData!$B$420,'All Statement of strategy (D)'!$G355,IF('All Statement of strategy (D)'!$C$1=RefData!$B$421,'All Statement of strategy (D)'!$H355," "))))</f>
        <v xml:space="preserve"> </v>
      </c>
    </row>
    <row r="356" spans="1:9">
      <c r="A356" s="584" t="s">
        <v>1844</v>
      </c>
      <c r="B356" s="585" t="s">
        <v>1845</v>
      </c>
      <c r="C356" s="615" t="str">
        <f ca="1">'Reconciliation report'!$E$478</f>
        <v/>
      </c>
      <c r="D356" s="585" t="str">
        <f t="shared" ref="D356:D357" ca="1" si="30">IF(C356=1," year", " years")</f>
        <v xml:space="preserve"> years</v>
      </c>
      <c r="E356" s="585" t="str">
        <f ca="1">$B356&amp;$C356&amp;$D356</f>
        <v>•   Assessment of reliability period: equal to or at least  years</v>
      </c>
      <c r="F356" s="585" t="str">
        <f ca="1">IF('Reconciliation report'!$E$12=RefData!$B$12,$B356&amp;$C356&amp;$D356,"")</f>
        <v/>
      </c>
      <c r="G356" s="585" t="str">
        <f ca="1">IF(AND('Reconciliation report'!$E$9=RefData!$B$5,'Reconciliation report'!$E$13=RefData!$B$14),'All Statement of strategy (D)'!$B356&amp;C356&amp;D356,"")</f>
        <v/>
      </c>
      <c r="H356" s="585" t="str">
        <f ca="1">IF(AND('Reconciliation report'!$E$9=RefData!$B$5,'Reconciliation report'!$E$13=RefData!$B$14),'All Statement of strategy (D)'!$B356&amp;C356&amp;D356,"")</f>
        <v/>
      </c>
      <c r="I356" s="603" t="str">
        <f ca="1">IF($C$1=RefData!$B$418,'All Statement of strategy (D)'!$E356,IF('All Statement of strategy (D)'!$C$1=RefData!$B$419,'All Statement of strategy (D)'!$F356,IF('All Statement of strategy (D)'!$C$1=RefData!$B$420,'All Statement of strategy (D)'!$G356,IF('All Statement of strategy (D)'!$C$1=RefData!$B$421,'All Statement of strategy (D)'!$H356," "))))</f>
        <v xml:space="preserve"> </v>
      </c>
    </row>
    <row r="357" spans="1:9">
      <c r="A357" s="584" t="s">
        <v>1846</v>
      </c>
      <c r="B357" s="585" t="s">
        <v>1847</v>
      </c>
      <c r="C357" s="615" t="str">
        <f ca="1">'Reconciliation report'!$E$479</f>
        <v/>
      </c>
      <c r="D357" s="585" t="str">
        <f t="shared" ca="1" si="30"/>
        <v xml:space="preserve"> years</v>
      </c>
      <c r="E357" s="585" t="str">
        <f ca="1">$B357&amp;$C357&amp;$D357</f>
        <v>•   Assessment of covenant longevity period: equal to or at least  years</v>
      </c>
      <c r="F357" s="585" t="str">
        <f ca="1">IF('Reconciliation report'!$E$12=RefData!$B$12,$B357&amp;$C357&amp;$D357,"")</f>
        <v/>
      </c>
      <c r="G357" s="585" t="str">
        <f ca="1">IF(AND('Reconciliation report'!$E$9=RefData!$B$5,'Reconciliation report'!$E$13=RefData!$B$14),'All Statement of strategy (D)'!$B357&amp;C357&amp;D357,"")</f>
        <v/>
      </c>
      <c r="H357" s="585" t="str">
        <f ca="1">IF(AND('Reconciliation report'!$E$9=RefData!$B$5,'Reconciliation report'!$E$13=RefData!$B$14),'All Statement of strategy (D)'!$B357&amp;C357&amp;D357,"")</f>
        <v/>
      </c>
      <c r="I357" s="603" t="str">
        <f ca="1">IF($C$1=RefData!$B$418,'All Statement of strategy (D)'!$E357,IF('All Statement of strategy (D)'!$C$1=RefData!$B$419,'All Statement of strategy (D)'!$F357,IF('All Statement of strategy (D)'!$C$1=RefData!$B$420,'All Statement of strategy (D)'!$G357,IF('All Statement of strategy (D)'!$C$1=RefData!$B$421,'All Statement of strategy (D)'!$H357," "))))</f>
        <v xml:space="preserve"> </v>
      </c>
    </row>
    <row r="358" spans="1:9">
      <c r="B358" s="585" t="s">
        <v>1848</v>
      </c>
      <c r="E358" s="585" t="str">
        <f ca="1">IF('Reconciliation report'!$E$417=RefData!$B$115,'All Statement of strategy (D)'!$B358,"")</f>
        <v/>
      </c>
      <c r="F358" s="585" t="str">
        <f ca="1">IF(AND('Reconciliation report'!$E$12=RefData!$B$12,'Reconciliation report'!$E$417=RefData!$B$115),'All Statement of strategy (D)'!$B358,"")</f>
        <v/>
      </c>
      <c r="G358" s="585" t="str">
        <f>""</f>
        <v/>
      </c>
      <c r="H358" s="585" t="str">
        <f>""</f>
        <v/>
      </c>
      <c r="I358" s="603" t="str">
        <f ca="1">IF($C$1=RefData!$B$418,'All Statement of strategy (D)'!$E358,IF('All Statement of strategy (D)'!$C$1=RefData!$B$419,'All Statement of strategy (D)'!$F358,IF('All Statement of strategy (D)'!$C$1=RefData!$B$420,'All Statement of strategy (D)'!$G358,IF('All Statement of strategy (D)'!$C$1=RefData!$B$421,'All Statement of strategy (D)'!$H358," "))))</f>
        <v xml:space="preserve"> </v>
      </c>
    </row>
    <row r="359" spans="1:9">
      <c r="A359" s="584" t="s">
        <v>1849</v>
      </c>
      <c r="B359" s="585" t="str">
        <f ca="1">LEFT('Reconciliation report'!$E$418,1000)</f>
        <v/>
      </c>
      <c r="E359" s="585" t="str">
        <f ca="1">IF('Reconciliation report'!$E$417=RefData!$B$115,'All Statement of strategy (D)'!$B359,"")</f>
        <v/>
      </c>
      <c r="F359" s="585" t="str">
        <f ca="1">IF(AND('Reconciliation report'!$E$12=RefData!$B$12,'Reconciliation report'!$E$417=RefData!$B$115),'All Statement of strategy (D)'!$B359,"")</f>
        <v/>
      </c>
      <c r="G359" s="585" t="str">
        <f>""</f>
        <v/>
      </c>
      <c r="H359" s="585" t="str">
        <f>""</f>
        <v/>
      </c>
      <c r="I359" s="603" t="str">
        <f ca="1">IF($C$1=RefData!$B$418,'All Statement of strategy (D)'!$E359,IF('All Statement of strategy (D)'!$C$1=RefData!$B$419,'All Statement of strategy (D)'!$F359,IF('All Statement of strategy (D)'!$C$1=RefData!$B$420,'All Statement of strategy (D)'!$G359,IF('All Statement of strategy (D)'!$C$1=RefData!$B$421,'All Statement of strategy (D)'!$H359," "))))</f>
        <v xml:space="preserve"> </v>
      </c>
    </row>
    <row r="360" spans="1:9">
      <c r="A360" s="584" t="s">
        <v>1849</v>
      </c>
      <c r="B360" s="585" t="str">
        <f ca="1">MID('Reconciliation report'!$E$418,1001,1000)</f>
        <v/>
      </c>
      <c r="E360" s="585" t="str">
        <f ca="1">IF('Reconciliation report'!$E$417=RefData!$B$115,'All Statement of strategy (D)'!$B360,"")</f>
        <v/>
      </c>
      <c r="F360" s="585" t="str">
        <f ca="1">IF(AND('Reconciliation report'!$E$12=RefData!$B$12,'Reconciliation report'!$E$417=RefData!$B$115),'All Statement of strategy (D)'!$B360,"")</f>
        <v/>
      </c>
      <c r="G360" s="585" t="str">
        <f>""</f>
        <v/>
      </c>
      <c r="H360" s="585" t="str">
        <f>""</f>
        <v/>
      </c>
      <c r="I360" s="603" t="str">
        <f ca="1">IF($C$1=RefData!$B$418,'All Statement of strategy (D)'!$E360,IF('All Statement of strategy (D)'!$C$1=RefData!$B$419,'All Statement of strategy (D)'!$F360,IF('All Statement of strategy (D)'!$C$1=RefData!$B$420,'All Statement of strategy (D)'!$G360,IF('All Statement of strategy (D)'!$C$1=RefData!$B$421,'All Statement of strategy (D)'!$H360," "))))</f>
        <v xml:space="preserve"> </v>
      </c>
    </row>
    <row r="361" spans="1:9">
      <c r="A361" s="584" t="s">
        <v>1849</v>
      </c>
      <c r="B361" s="585" t="str">
        <f ca="1">MID('Reconciliation report'!$E$418,2001,1000)</f>
        <v/>
      </c>
      <c r="E361" s="585" t="str">
        <f ca="1">IF('Reconciliation report'!$E$417=RefData!$B$115,'All Statement of strategy (D)'!$B361,"")</f>
        <v/>
      </c>
      <c r="F361" s="585" t="str">
        <f ca="1">IF(AND('Reconciliation report'!$E$12=RefData!$B$12,'Reconciliation report'!$E$417=RefData!$B$115),'All Statement of strategy (D)'!$B361,"")</f>
        <v/>
      </c>
      <c r="G361" s="585" t="str">
        <f>""</f>
        <v/>
      </c>
      <c r="H361" s="585" t="str">
        <f>""</f>
        <v/>
      </c>
      <c r="I361" s="603" t="str">
        <f ca="1">IF($C$1=RefData!$B$418,'All Statement of strategy (D)'!$E361,IF('All Statement of strategy (D)'!$C$1=RefData!$B$419,'All Statement of strategy (D)'!$F361,IF('All Statement of strategy (D)'!$C$1=RefData!$B$420,'All Statement of strategy (D)'!$G361,IF('All Statement of strategy (D)'!$C$1=RefData!$B$421,'All Statement of strategy (D)'!$H361," "))))</f>
        <v xml:space="preserve"> </v>
      </c>
    </row>
    <row r="362" spans="1:9">
      <c r="A362" s="584" t="s">
        <v>1849</v>
      </c>
      <c r="B362" s="585" t="str">
        <f ca="1">MID('Reconciliation report'!$E$418,3001,1000)</f>
        <v/>
      </c>
      <c r="E362" s="585" t="str">
        <f ca="1">IF('Reconciliation report'!$E$417=RefData!$B$115,'All Statement of strategy (D)'!$B362,"")</f>
        <v/>
      </c>
      <c r="F362" s="585" t="str">
        <f ca="1">IF(AND('Reconciliation report'!$E$12=RefData!$B$12,'Reconciliation report'!$E$417=RefData!$B$115),'All Statement of strategy (D)'!$B362,"")</f>
        <v/>
      </c>
      <c r="G362" s="585" t="str">
        <f>""</f>
        <v/>
      </c>
      <c r="H362" s="585" t="str">
        <f>""</f>
        <v/>
      </c>
      <c r="I362" s="603" t="str">
        <f ca="1">IF($C$1=RefData!$B$418,'All Statement of strategy (D)'!$E362,IF('All Statement of strategy (D)'!$C$1=RefData!$B$419,'All Statement of strategy (D)'!$F362,IF('All Statement of strategy (D)'!$C$1=RefData!$B$420,'All Statement of strategy (D)'!$G362,IF('All Statement of strategy (D)'!$C$1=RefData!$B$421,'All Statement of strategy (D)'!$H362," "))))</f>
        <v xml:space="preserve"> </v>
      </c>
    </row>
    <row r="363" spans="1:9">
      <c r="B363" s="585" t="s">
        <v>1850</v>
      </c>
      <c r="E363" s="585" t="str">
        <f ca="1">IF(AND('Reconciliation report'!$E$421&gt;=1,'Reconciliation report'!$E$420=RefData!$B$116),'All Statement of strategy (D)'!$B363,"")</f>
        <v/>
      </c>
      <c r="F363" s="585" t="str">
        <f ca="1">IF(AND('Reconciliation report'!$E$421&gt;=1,'Reconciliation report'!$E$12=RefData!$B$12,'Reconciliation report'!$E$420=RefData!$B$116),'All Statement of strategy (D)'!$B363,"")</f>
        <v/>
      </c>
      <c r="G363" s="585" t="str">
        <f>""</f>
        <v/>
      </c>
      <c r="H363" s="585" t="str">
        <f>""</f>
        <v/>
      </c>
      <c r="I363" s="603" t="str">
        <f ca="1">IF($C$1=RefData!$B$418,'All Statement of strategy (D)'!$E363,IF('All Statement of strategy (D)'!$C$1=RefData!$B$419,'All Statement of strategy (D)'!$F363,IF('All Statement of strategy (D)'!$C$1=RefData!$B$420,'All Statement of strategy (D)'!$G363,IF('All Statement of strategy (D)'!$C$1=RefData!$B$421,'All Statement of strategy (D)'!$H363," "))))</f>
        <v xml:space="preserve"> </v>
      </c>
    </row>
    <row r="364" spans="1:9">
      <c r="A364" s="584" t="s">
        <v>1851</v>
      </c>
      <c r="B364" s="585" t="s">
        <v>1852</v>
      </c>
      <c r="C364" s="585" t="str">
        <f ca="1">'Reconciliation report'!$E$423</f>
        <v/>
      </c>
      <c r="E364" s="585" t="str">
        <f ca="1">IF(AND('Reconciliation report'!$E$421&gt;=1,$C364&lt;&gt;""),$B364&amp;" "&amp;$C364,"")</f>
        <v/>
      </c>
      <c r="F364" s="585" t="str">
        <f ca="1">IF(AND('Reconciliation report'!$E$421&gt;=1,'Reconciliation report'!$E$12=RefData!$B$12,$C364&lt;&gt;""),$B364&amp;C364,"")</f>
        <v/>
      </c>
      <c r="G364" s="585" t="str">
        <f>""</f>
        <v/>
      </c>
      <c r="H364" s="585" t="str">
        <f>""</f>
        <v/>
      </c>
      <c r="I364" s="603" t="str">
        <f ca="1">IF($C$1=RefData!$B$418,'All Statement of strategy (D)'!$E364,IF('All Statement of strategy (D)'!$C$1=RefData!$B$419,'All Statement of strategy (D)'!$F364,IF('All Statement of strategy (D)'!$C$1=RefData!$B$420,'All Statement of strategy (D)'!$G364,IF('All Statement of strategy (D)'!$C$1=RefData!$B$421,'All Statement of strategy (D)'!$H364," "))))</f>
        <v xml:space="preserve"> </v>
      </c>
    </row>
    <row r="365" spans="1:9">
      <c r="A365" s="584" t="s">
        <v>1853</v>
      </c>
      <c r="B365" s="585" t="s">
        <v>1854</v>
      </c>
      <c r="C365" s="585" t="str">
        <f ca="1">'Reconciliation report'!$E$424</f>
        <v/>
      </c>
      <c r="E365" s="585" t="str">
        <f ca="1">IF(AND('Reconciliation report'!$E$421&gt;=1,TRIM($C365)&lt;&gt;""),$B365&amp;" "&amp;$C365,"")</f>
        <v/>
      </c>
      <c r="F365" s="585" t="str">
        <f ca="1">IF(AND('Reconciliation report'!$E$421&gt;=1,'Reconciliation report'!$E$12=RefData!$B$12,$C365&lt;&gt;""),$B365&amp;C365,"")</f>
        <v/>
      </c>
      <c r="G365" s="585" t="str">
        <f>""</f>
        <v/>
      </c>
      <c r="H365" s="585" t="str">
        <f>""</f>
        <v/>
      </c>
      <c r="I365" s="603" t="str">
        <f ca="1">IF($C$1=RefData!$B$418,'All Statement of strategy (D)'!$E365,IF('All Statement of strategy (D)'!$C$1=RefData!$B$419,'All Statement of strategy (D)'!$F365,IF('All Statement of strategy (D)'!$C$1=RefData!$B$420,'All Statement of strategy (D)'!$G365,IF('All Statement of strategy (D)'!$C$1=RefData!$B$421,'All Statement of strategy (D)'!$H365," "))))</f>
        <v xml:space="preserve"> </v>
      </c>
    </row>
    <row r="366" spans="1:9">
      <c r="A366" s="584" t="s">
        <v>1855</v>
      </c>
      <c r="B366" s="585" t="s">
        <v>1856</v>
      </c>
      <c r="C366" s="585" t="str">
        <f ca="1">'Reconciliation report'!$E$425</f>
        <v/>
      </c>
      <c r="E366" s="585" t="str">
        <f ca="1">IF(AND('Reconciliation report'!$E$421&gt;=1,$C366&lt;&gt;""),$B366&amp;" "&amp;$C366,"")</f>
        <v/>
      </c>
      <c r="F366" s="585" t="str">
        <f ca="1">IF(AND('Reconciliation report'!$E$421&gt;=1,'Reconciliation report'!$E$12=RefData!$B$12,$C366&lt;&gt;""),$B366&amp;C366,"")</f>
        <v/>
      </c>
      <c r="G366" s="585" t="str">
        <f>""</f>
        <v/>
      </c>
      <c r="H366" s="585" t="str">
        <f>""</f>
        <v/>
      </c>
      <c r="I366" s="603" t="str">
        <f ca="1">IF($C$1=RefData!$B$418,'All Statement of strategy (D)'!$E366,IF('All Statement of strategy (D)'!$C$1=RefData!$B$419,'All Statement of strategy (D)'!$F366,IF('All Statement of strategy (D)'!$C$1=RefData!$B$420,'All Statement of strategy (D)'!$G366,IF('All Statement of strategy (D)'!$C$1=RefData!$B$421,'All Statement of strategy (D)'!$H366," "))))</f>
        <v xml:space="preserve"> </v>
      </c>
    </row>
    <row r="367" spans="1:9">
      <c r="A367" s="584" t="s">
        <v>1857</v>
      </c>
      <c r="B367" s="585" t="s">
        <v>1858</v>
      </c>
      <c r="C367" s="585" t="str">
        <f ca="1">'Reconciliation report'!$E$426</f>
        <v/>
      </c>
      <c r="E367" s="585" t="str">
        <f ca="1">IF(AND('Reconciliation report'!$E$421&gt;=1,$C367&lt;&gt;""),$B367&amp;" "&amp;$C367,"")</f>
        <v/>
      </c>
      <c r="F367" s="585" t="str">
        <f ca="1">IF(AND('Reconciliation report'!$E$421&gt;=1,'Reconciliation report'!$E$12=RefData!$B$12,$C367&lt;&gt;""),$B367&amp;C367,"")</f>
        <v/>
      </c>
      <c r="G367" s="585" t="str">
        <f>""</f>
        <v/>
      </c>
      <c r="H367" s="585" t="str">
        <f>""</f>
        <v/>
      </c>
      <c r="I367" s="603" t="str">
        <f ca="1">IF($C$1=RefData!$B$418,'All Statement of strategy (D)'!$E367,IF('All Statement of strategy (D)'!$C$1=RefData!$B$419,'All Statement of strategy (D)'!$F367,IF('All Statement of strategy (D)'!$C$1=RefData!$B$420,'All Statement of strategy (D)'!$G367,IF('All Statement of strategy (D)'!$C$1=RefData!$B$421,'All Statement of strategy (D)'!$H367," "))))</f>
        <v xml:space="preserve"> </v>
      </c>
    </row>
    <row r="368" spans="1:9">
      <c r="A368" s="584" t="s">
        <v>1859</v>
      </c>
      <c r="B368" s="585" t="s">
        <v>1860</v>
      </c>
      <c r="C368" s="585" t="str">
        <f ca="1">'Reconciliation report'!$E$427</f>
        <v/>
      </c>
      <c r="E368" s="585" t="str">
        <f ca="1">IF(AND('Reconciliation report'!$E$421&gt;=1,$C368&lt;&gt;""),$B368&amp;" "&amp;$C368,"")</f>
        <v/>
      </c>
      <c r="F368" s="585" t="str">
        <f ca="1">IF(AND('Reconciliation report'!$E$421&gt;=1,'Reconciliation report'!$E$12=RefData!$B$12,$C368&lt;&gt;""),$B368&amp;C368,"")</f>
        <v/>
      </c>
      <c r="G368" s="585" t="str">
        <f>""</f>
        <v/>
      </c>
      <c r="H368" s="585" t="str">
        <f>""</f>
        <v/>
      </c>
      <c r="I368" s="603" t="str">
        <f ca="1">IF($C$1=RefData!$B$418,'All Statement of strategy (D)'!$E368,IF('All Statement of strategy (D)'!$C$1=RefData!$B$419,'All Statement of strategy (D)'!$F368,IF('All Statement of strategy (D)'!$C$1=RefData!$B$420,'All Statement of strategy (D)'!$G368,IF('All Statement of strategy (D)'!$C$1=RefData!$B$421,'All Statement of strategy (D)'!$H368," "))))</f>
        <v xml:space="preserve"> </v>
      </c>
    </row>
    <row r="369" spans="1:9">
      <c r="A369" s="584" t="s">
        <v>1861</v>
      </c>
      <c r="B369" s="585" t="s">
        <v>1862</v>
      </c>
      <c r="C369" s="585" t="str">
        <f ca="1">'Reconciliation report'!$E$428</f>
        <v/>
      </c>
      <c r="E369" s="585" t="str">
        <f ca="1">IF(AND('Reconciliation report'!$E$421&gt;=1,$C369&lt;&gt;""),$B369&amp;" "&amp;$C369,"")</f>
        <v/>
      </c>
      <c r="F369" s="585" t="str">
        <f ca="1">IF(AND('Reconciliation report'!$E$421&gt;=1,'Reconciliation report'!$E$12=RefData!$B$12,$C369&lt;&gt;""),$B369&amp;C369,"")</f>
        <v/>
      </c>
      <c r="G369" s="585" t="str">
        <f>""</f>
        <v/>
      </c>
      <c r="H369" s="585" t="str">
        <f>""</f>
        <v/>
      </c>
      <c r="I369" s="603" t="str">
        <f ca="1">IF($C$1=RefData!$B$418,'All Statement of strategy (D)'!$E369,IF('All Statement of strategy (D)'!$C$1=RefData!$B$419,'All Statement of strategy (D)'!$F369,IF('All Statement of strategy (D)'!$C$1=RefData!$B$420,'All Statement of strategy (D)'!$G369,IF('All Statement of strategy (D)'!$C$1=RefData!$B$421,'All Statement of strategy (D)'!$H369," "))))</f>
        <v xml:space="preserve"> </v>
      </c>
    </row>
    <row r="370" spans="1:9">
      <c r="A370" s="584" t="s">
        <v>1863</v>
      </c>
      <c r="B370" s="585" t="s">
        <v>1864</v>
      </c>
      <c r="C370" s="585" t="str">
        <f ca="1">'Reconciliation report'!$E$429</f>
        <v/>
      </c>
      <c r="E370" s="585" t="str">
        <f ca="1">IF(AND('Reconciliation report'!$E$421&gt;=1,$C370&lt;&gt;""),$B370&amp;" "&amp;$C370,"")</f>
        <v/>
      </c>
      <c r="F370" s="585" t="str">
        <f ca="1">IF(AND('Reconciliation report'!$E$421&gt;=1,'Reconciliation report'!$E$12=RefData!$B$12,$C370&lt;&gt;""),$B370&amp;C370,"")</f>
        <v/>
      </c>
      <c r="G370" s="585" t="str">
        <f>""</f>
        <v/>
      </c>
      <c r="H370" s="585" t="str">
        <f>""</f>
        <v/>
      </c>
      <c r="I370" s="603" t="str">
        <f ca="1">IF($C$1=RefData!$B$418,'All Statement of strategy (D)'!$E370,IF('All Statement of strategy (D)'!$C$1=RefData!$B$419,'All Statement of strategy (D)'!$F370,IF('All Statement of strategy (D)'!$C$1=RefData!$B$420,'All Statement of strategy (D)'!$G370,IF('All Statement of strategy (D)'!$C$1=RefData!$B$421,'All Statement of strategy (D)'!$H370," "))))</f>
        <v xml:space="preserve"> </v>
      </c>
    </row>
    <row r="371" spans="1:9">
      <c r="A371" s="584" t="s">
        <v>1865</v>
      </c>
      <c r="B371" s="585" t="s">
        <v>1866</v>
      </c>
      <c r="C371" s="585" t="str">
        <f ca="1">'Reconciliation report'!$E$430</f>
        <v/>
      </c>
      <c r="E371" s="585" t="str">
        <f ca="1">IF(AND('Reconciliation report'!$E$421&gt;=1,$C371&lt;&gt;""),$B371&amp;" "&amp;$C371,"")</f>
        <v/>
      </c>
      <c r="F371" s="585" t="str">
        <f ca="1">IF(AND('Reconciliation report'!$E$421&gt;=1,'Reconciliation report'!$E$12=RefData!$B$12,$C371&lt;&gt;""),$B371&amp;C371,"")</f>
        <v/>
      </c>
      <c r="G371" s="585" t="str">
        <f>""</f>
        <v/>
      </c>
      <c r="H371" s="585" t="str">
        <f>""</f>
        <v/>
      </c>
      <c r="I371" s="603" t="str">
        <f ca="1">IF($C$1=RefData!$B$418,'All Statement of strategy (D)'!$E371,IF('All Statement of strategy (D)'!$C$1=RefData!$B$419,'All Statement of strategy (D)'!$F371,IF('All Statement of strategy (D)'!$C$1=RefData!$B$420,'All Statement of strategy (D)'!$G371,IF('All Statement of strategy (D)'!$C$1=RefData!$B$421,'All Statement of strategy (D)'!$H371," "))))</f>
        <v xml:space="preserve"> </v>
      </c>
    </row>
    <row r="372" spans="1:9">
      <c r="A372" s="584" t="s">
        <v>1867</v>
      </c>
      <c r="B372" s="585" t="s">
        <v>1868</v>
      </c>
      <c r="C372" s="585" t="str">
        <f ca="1">'Reconciliation report'!$E$431</f>
        <v/>
      </c>
      <c r="E372" s="585" t="str">
        <f ca="1">IF(AND('Reconciliation report'!$E$421&gt;=1,$C372&lt;&gt;""),$B372&amp;" "&amp;$C372,"")</f>
        <v/>
      </c>
      <c r="F372" s="585" t="str">
        <f ca="1">IF(AND('Reconciliation report'!$E$421&gt;=1,'Reconciliation report'!$E$12=RefData!$B$12,$C372&lt;&gt;""),$B372&amp;C372,"")</f>
        <v/>
      </c>
      <c r="G372" s="585" t="str">
        <f>""</f>
        <v/>
      </c>
      <c r="H372" s="585" t="str">
        <f>""</f>
        <v/>
      </c>
      <c r="I372" s="603" t="str">
        <f ca="1">IF($C$1=RefData!$B$418,'All Statement of strategy (D)'!$E372,IF('All Statement of strategy (D)'!$C$1=RefData!$B$419,'All Statement of strategy (D)'!$F372,IF('All Statement of strategy (D)'!$C$1=RefData!$B$420,'All Statement of strategy (D)'!$G372,IF('All Statement of strategy (D)'!$C$1=RefData!$B$421,'All Statement of strategy (D)'!$H372," "))))</f>
        <v xml:space="preserve"> </v>
      </c>
    </row>
    <row r="373" spans="1:9">
      <c r="A373" s="584" t="s">
        <v>1869</v>
      </c>
      <c r="B373" s="585" t="s">
        <v>1870</v>
      </c>
      <c r="C373" s="585" t="str">
        <f ca="1">'Reconciliation report'!$E$432</f>
        <v/>
      </c>
      <c r="E373" s="585" t="str">
        <f ca="1">IF(AND('Reconciliation report'!$E$421&gt;=1,$C373&lt;&gt;""),$B373&amp;" "&amp;$C373,"")</f>
        <v/>
      </c>
      <c r="F373" s="585" t="str">
        <f ca="1">IF(AND('Reconciliation report'!$E$421&gt;=1,'Reconciliation report'!$E$12=RefData!$B$12,$C373&lt;&gt;""),$B373&amp;C373,"")</f>
        <v/>
      </c>
      <c r="G373" s="585" t="str">
        <f>""</f>
        <v/>
      </c>
      <c r="H373" s="585" t="str">
        <f>""</f>
        <v/>
      </c>
      <c r="I373" s="603" t="str">
        <f ca="1">IF($C$1=RefData!$B$418,'All Statement of strategy (D)'!$E373,IF('All Statement of strategy (D)'!$C$1=RefData!$B$419,'All Statement of strategy (D)'!$F373,IF('All Statement of strategy (D)'!$C$1=RefData!$B$420,'All Statement of strategy (D)'!$G373,IF('All Statement of strategy (D)'!$C$1=RefData!$B$421,'All Statement of strategy (D)'!$H373," "))))</f>
        <v xml:space="preserve"> </v>
      </c>
    </row>
    <row r="374" spans="1:9">
      <c r="A374" s="584" t="s">
        <v>1871</v>
      </c>
      <c r="B374" s="585" t="s">
        <v>1852</v>
      </c>
      <c r="C374" s="585" t="str">
        <f ca="1">'Reconciliation report'!$E$433</f>
        <v/>
      </c>
      <c r="E374" s="585" t="str">
        <f ca="1">IF(AND('Reconciliation report'!$E$421&gt;=2,$C374&lt;&gt;""),$B374&amp;" "&amp;$C374,"")</f>
        <v/>
      </c>
      <c r="F374" s="585" t="str">
        <f ca="1">IF(AND('Reconciliation report'!$E$421&gt;=2,'Reconciliation report'!$E$12=RefData!$B$12,$C374&lt;&gt;""),$B374&amp;C374,"")</f>
        <v/>
      </c>
      <c r="G374" s="585" t="str">
        <f>""</f>
        <v/>
      </c>
      <c r="H374" s="585" t="str">
        <f>""</f>
        <v/>
      </c>
      <c r="I374" s="603" t="str">
        <f ca="1">IF($C$1=RefData!$B$418,'All Statement of strategy (D)'!$E374,IF('All Statement of strategy (D)'!$C$1=RefData!$B$419,'All Statement of strategy (D)'!$F374,IF('All Statement of strategy (D)'!$C$1=RefData!$B$420,'All Statement of strategy (D)'!$G374,IF('All Statement of strategy (D)'!$C$1=RefData!$B$421,'All Statement of strategy (D)'!$H374," "))))</f>
        <v xml:space="preserve"> </v>
      </c>
    </row>
    <row r="375" spans="1:9">
      <c r="A375" s="584" t="s">
        <v>1872</v>
      </c>
      <c r="B375" s="585" t="s">
        <v>1854</v>
      </c>
      <c r="C375" s="585" t="str">
        <f ca="1">'Reconciliation report'!$E$434</f>
        <v/>
      </c>
      <c r="E375" s="585" t="str">
        <f ca="1">IF(AND('Reconciliation report'!$E$421&gt;=1,TRIM($C375)&lt;&gt;""),$B375&amp;" "&amp;$C375,"")</f>
        <v/>
      </c>
      <c r="F375" s="585" t="str">
        <f ca="1">IF(AND('Reconciliation report'!$E$421&gt;=2,'Reconciliation report'!$E$12=RefData!$B$12,$C375&lt;&gt;""),$B375&amp;C375,"")</f>
        <v/>
      </c>
      <c r="G375" s="585" t="str">
        <f>""</f>
        <v/>
      </c>
      <c r="H375" s="585" t="str">
        <f>""</f>
        <v/>
      </c>
      <c r="I375" s="603" t="str">
        <f ca="1">IF($C$1=RefData!$B$418,'All Statement of strategy (D)'!$E375,IF('All Statement of strategy (D)'!$C$1=RefData!$B$419,'All Statement of strategy (D)'!$F375,IF('All Statement of strategy (D)'!$C$1=RefData!$B$420,'All Statement of strategy (D)'!$G375,IF('All Statement of strategy (D)'!$C$1=RefData!$B$421,'All Statement of strategy (D)'!$H375," "))))</f>
        <v xml:space="preserve"> </v>
      </c>
    </row>
    <row r="376" spans="1:9">
      <c r="A376" s="584" t="s">
        <v>1873</v>
      </c>
      <c r="B376" s="585" t="s">
        <v>1856</v>
      </c>
      <c r="C376" s="585" t="str">
        <f ca="1">'Reconciliation report'!$E$435</f>
        <v/>
      </c>
      <c r="E376" s="585" t="str">
        <f ca="1">IF(AND('Reconciliation report'!$E$421&gt;=2,$C376&lt;&gt;""),$B376&amp;" "&amp;$C376,"")</f>
        <v/>
      </c>
      <c r="F376" s="585" t="str">
        <f ca="1">IF(AND('Reconciliation report'!$E$421&gt;=2,'Reconciliation report'!$E$12=RefData!$B$12,$C376&lt;&gt;""),$B376&amp;C376,"")</f>
        <v/>
      </c>
      <c r="G376" s="585" t="str">
        <f>""</f>
        <v/>
      </c>
      <c r="H376" s="585" t="str">
        <f>""</f>
        <v/>
      </c>
      <c r="I376" s="603" t="str">
        <f ca="1">IF($C$1=RefData!$B$418,'All Statement of strategy (D)'!$E376,IF('All Statement of strategy (D)'!$C$1=RefData!$B$419,'All Statement of strategy (D)'!$F376,IF('All Statement of strategy (D)'!$C$1=RefData!$B$420,'All Statement of strategy (D)'!$G376,IF('All Statement of strategy (D)'!$C$1=RefData!$B$421,'All Statement of strategy (D)'!$H376," "))))</f>
        <v xml:space="preserve"> </v>
      </c>
    </row>
    <row r="377" spans="1:9">
      <c r="A377" s="584" t="s">
        <v>1874</v>
      </c>
      <c r="B377" s="585" t="s">
        <v>1858</v>
      </c>
      <c r="C377" s="585" t="str">
        <f ca="1">'Reconciliation report'!$E$436</f>
        <v/>
      </c>
      <c r="E377" s="585" t="str">
        <f ca="1">IF(AND('Reconciliation report'!$E$421&gt;=2,$C377&lt;&gt;""),$B377&amp;" "&amp;$C377,"")</f>
        <v/>
      </c>
      <c r="F377" s="585" t="str">
        <f ca="1">IF(AND('Reconciliation report'!$E$421&gt;=2,'Reconciliation report'!$E$12=RefData!$B$12,$C377&lt;&gt;""),$B377&amp;C377,"")</f>
        <v/>
      </c>
      <c r="G377" s="585" t="str">
        <f>""</f>
        <v/>
      </c>
      <c r="H377" s="585" t="str">
        <f>""</f>
        <v/>
      </c>
      <c r="I377" s="603" t="str">
        <f ca="1">IF($C$1=RefData!$B$418,'All Statement of strategy (D)'!$E377,IF('All Statement of strategy (D)'!$C$1=RefData!$B$419,'All Statement of strategy (D)'!$F377,IF('All Statement of strategy (D)'!$C$1=RefData!$B$420,'All Statement of strategy (D)'!$G377,IF('All Statement of strategy (D)'!$C$1=RefData!$B$421,'All Statement of strategy (D)'!$H377," "))))</f>
        <v xml:space="preserve"> </v>
      </c>
    </row>
    <row r="378" spans="1:9">
      <c r="A378" s="584" t="s">
        <v>1875</v>
      </c>
      <c r="B378" s="585" t="s">
        <v>1860</v>
      </c>
      <c r="C378" s="585" t="str">
        <f ca="1">'Reconciliation report'!$E$437</f>
        <v/>
      </c>
      <c r="E378" s="585" t="str">
        <f ca="1">IF(AND('Reconciliation report'!$E$421&gt;=2,$C378&lt;&gt;""),$B378&amp;" "&amp;$C378,"")</f>
        <v/>
      </c>
      <c r="F378" s="585" t="str">
        <f ca="1">IF(AND('Reconciliation report'!$E$421&gt;=2,'Reconciliation report'!$E$12=RefData!$B$12,$C378&lt;&gt;""),$B378&amp;C378,"")</f>
        <v/>
      </c>
      <c r="G378" s="585" t="str">
        <f>""</f>
        <v/>
      </c>
      <c r="H378" s="585" t="str">
        <f>""</f>
        <v/>
      </c>
      <c r="I378" s="603" t="str">
        <f ca="1">IF($C$1=RefData!$B$418,'All Statement of strategy (D)'!$E378,IF('All Statement of strategy (D)'!$C$1=RefData!$B$419,'All Statement of strategy (D)'!$F378,IF('All Statement of strategy (D)'!$C$1=RefData!$B$420,'All Statement of strategy (D)'!$G378,IF('All Statement of strategy (D)'!$C$1=RefData!$B$421,'All Statement of strategy (D)'!$H378," "))))</f>
        <v xml:space="preserve"> </v>
      </c>
    </row>
    <row r="379" spans="1:9">
      <c r="A379" s="584" t="s">
        <v>1876</v>
      </c>
      <c r="B379" s="585" t="s">
        <v>1862</v>
      </c>
      <c r="C379" s="585" t="str">
        <f ca="1">'Reconciliation report'!$E$438</f>
        <v/>
      </c>
      <c r="E379" s="585" t="str">
        <f ca="1">IF(AND('Reconciliation report'!$E$421&gt;=2,$C379&lt;&gt;""),$B379&amp;" "&amp;$C379,"")</f>
        <v/>
      </c>
      <c r="F379" s="585" t="str">
        <f ca="1">IF(AND('Reconciliation report'!$E$421&gt;=2,'Reconciliation report'!$E$12=RefData!$B$12,$C379&lt;&gt;""),$B379&amp;C379,"")</f>
        <v/>
      </c>
      <c r="G379" s="585" t="str">
        <f>""</f>
        <v/>
      </c>
      <c r="H379" s="585" t="str">
        <f>""</f>
        <v/>
      </c>
      <c r="I379" s="603" t="str">
        <f ca="1">IF($C$1=RefData!$B$418,'All Statement of strategy (D)'!$E379,IF('All Statement of strategy (D)'!$C$1=RefData!$B$419,'All Statement of strategy (D)'!$F379,IF('All Statement of strategy (D)'!$C$1=RefData!$B$420,'All Statement of strategy (D)'!$G379,IF('All Statement of strategy (D)'!$C$1=RefData!$B$421,'All Statement of strategy (D)'!$H379," "))))</f>
        <v xml:space="preserve"> </v>
      </c>
    </row>
    <row r="380" spans="1:9">
      <c r="A380" s="584" t="s">
        <v>1877</v>
      </c>
      <c r="B380" s="585" t="s">
        <v>1864</v>
      </c>
      <c r="C380" s="585" t="str">
        <f ca="1">'Reconciliation report'!$E$439</f>
        <v/>
      </c>
      <c r="E380" s="585" t="str">
        <f ca="1">IF(AND('Reconciliation report'!$E$421&gt;=2,$C380&lt;&gt;""),$B380&amp;" "&amp;$C380,"")</f>
        <v/>
      </c>
      <c r="F380" s="585" t="str">
        <f ca="1">IF(AND('Reconciliation report'!$E$421&gt;=2,'Reconciliation report'!$E$12=RefData!$B$12,$C380&lt;&gt;""),$B380&amp;C380,"")</f>
        <v/>
      </c>
      <c r="G380" s="585" t="str">
        <f>""</f>
        <v/>
      </c>
      <c r="H380" s="585" t="str">
        <f>""</f>
        <v/>
      </c>
      <c r="I380" s="603" t="str">
        <f ca="1">IF($C$1=RefData!$B$418,'All Statement of strategy (D)'!$E380,IF('All Statement of strategy (D)'!$C$1=RefData!$B$419,'All Statement of strategy (D)'!$F380,IF('All Statement of strategy (D)'!$C$1=RefData!$B$420,'All Statement of strategy (D)'!$G380,IF('All Statement of strategy (D)'!$C$1=RefData!$B$421,'All Statement of strategy (D)'!$H380," "))))</f>
        <v xml:space="preserve"> </v>
      </c>
    </row>
    <row r="381" spans="1:9">
      <c r="A381" s="584" t="s">
        <v>1878</v>
      </c>
      <c r="B381" s="585" t="s">
        <v>1866</v>
      </c>
      <c r="C381" s="585" t="str">
        <f ca="1">'Reconciliation report'!$E$440</f>
        <v/>
      </c>
      <c r="E381" s="585" t="str">
        <f ca="1">IF(AND('Reconciliation report'!$E$421&gt;=2,$C381&lt;&gt;""),$B381&amp;" "&amp;$C381,"")</f>
        <v/>
      </c>
      <c r="F381" s="585" t="str">
        <f ca="1">IF(AND('Reconciliation report'!$E$421&gt;=2,'Reconciliation report'!$E$12=RefData!$B$12,$C381&lt;&gt;""),$B381&amp;C381,"")</f>
        <v/>
      </c>
      <c r="G381" s="585" t="str">
        <f>""</f>
        <v/>
      </c>
      <c r="H381" s="585" t="str">
        <f>""</f>
        <v/>
      </c>
      <c r="I381" s="603" t="str">
        <f ca="1">IF($C$1=RefData!$B$418,'All Statement of strategy (D)'!$E381,IF('All Statement of strategy (D)'!$C$1=RefData!$B$419,'All Statement of strategy (D)'!$F381,IF('All Statement of strategy (D)'!$C$1=RefData!$B$420,'All Statement of strategy (D)'!$G381,IF('All Statement of strategy (D)'!$C$1=RefData!$B$421,'All Statement of strategy (D)'!$H381," "))))</f>
        <v xml:space="preserve"> </v>
      </c>
    </row>
    <row r="382" spans="1:9">
      <c r="A382" s="584" t="s">
        <v>1879</v>
      </c>
      <c r="B382" s="585" t="s">
        <v>1868</v>
      </c>
      <c r="C382" s="585" t="str">
        <f ca="1">'Reconciliation report'!$E$441</f>
        <v/>
      </c>
      <c r="E382" s="585" t="str">
        <f ca="1">IF(AND('Reconciliation report'!$E$421&gt;=2,$C382&lt;&gt;""),$B382&amp;" "&amp;$C382,"")</f>
        <v/>
      </c>
      <c r="F382" s="585" t="str">
        <f ca="1">IF(AND('Reconciliation report'!$E$421&gt;=2,'Reconciliation report'!$E$12=RefData!$B$12,$C382&lt;&gt;""),$B382&amp;C382,"")</f>
        <v/>
      </c>
      <c r="G382" s="585" t="str">
        <f>""</f>
        <v/>
      </c>
      <c r="H382" s="585" t="str">
        <f>""</f>
        <v/>
      </c>
      <c r="I382" s="603" t="str">
        <f ca="1">IF($C$1=RefData!$B$418,'All Statement of strategy (D)'!$E382,IF('All Statement of strategy (D)'!$C$1=RefData!$B$419,'All Statement of strategy (D)'!$F382,IF('All Statement of strategy (D)'!$C$1=RefData!$B$420,'All Statement of strategy (D)'!$G382,IF('All Statement of strategy (D)'!$C$1=RefData!$B$421,'All Statement of strategy (D)'!$H382," "))))</f>
        <v xml:space="preserve"> </v>
      </c>
    </row>
    <row r="383" spans="1:9">
      <c r="A383" s="584" t="s">
        <v>1880</v>
      </c>
      <c r="B383" s="585" t="s">
        <v>1870</v>
      </c>
      <c r="C383" s="585" t="str">
        <f ca="1">'Reconciliation report'!$E$442</f>
        <v/>
      </c>
      <c r="E383" s="585" t="str">
        <f ca="1">IF(AND('Reconciliation report'!$E$421&gt;=2,$C383&lt;&gt;""),$B383&amp;" "&amp;$C383,"")</f>
        <v/>
      </c>
      <c r="F383" s="585" t="str">
        <f ca="1">IF(AND('Reconciliation report'!$E$421&gt;=2,'Reconciliation report'!$E$12=RefData!$B$12,$C383&lt;&gt;""),$B383&amp;C383,"")</f>
        <v/>
      </c>
      <c r="G383" s="585" t="str">
        <f>""</f>
        <v/>
      </c>
      <c r="H383" s="585" t="str">
        <f>""</f>
        <v/>
      </c>
      <c r="I383" s="603" t="str">
        <f ca="1">IF($C$1=RefData!$B$418,'All Statement of strategy (D)'!$E383,IF('All Statement of strategy (D)'!$C$1=RefData!$B$419,'All Statement of strategy (D)'!$F383,IF('All Statement of strategy (D)'!$C$1=RefData!$B$420,'All Statement of strategy (D)'!$G383,IF('All Statement of strategy (D)'!$C$1=RefData!$B$421,'All Statement of strategy (D)'!$H383," "))))</f>
        <v xml:space="preserve"> </v>
      </c>
    </row>
    <row r="384" spans="1:9">
      <c r="A384" s="584" t="s">
        <v>1881</v>
      </c>
      <c r="B384" s="585" t="s">
        <v>1852</v>
      </c>
      <c r="C384" s="585" t="str">
        <f ca="1">'Reconciliation report'!$E$443</f>
        <v/>
      </c>
      <c r="E384" s="585" t="str">
        <f ca="1">IF(AND('Reconciliation report'!$E$421&gt;=3,$C384&lt;&gt;""),$B384&amp;" "&amp;$C384,"")</f>
        <v/>
      </c>
      <c r="F384" s="585" t="str">
        <f ca="1">IF(AND('Reconciliation report'!$E$421&gt;=3,'Reconciliation report'!$E$12=RefData!$B$12,$C384&lt;&gt;""),$B384&amp;C384,"")</f>
        <v/>
      </c>
      <c r="G384" s="585" t="str">
        <f>""</f>
        <v/>
      </c>
      <c r="H384" s="585" t="str">
        <f>""</f>
        <v/>
      </c>
      <c r="I384" s="603" t="str">
        <f ca="1">IF($C$1=RefData!$B$418,'All Statement of strategy (D)'!$E384,IF('All Statement of strategy (D)'!$C$1=RefData!$B$419,'All Statement of strategy (D)'!$F384,IF('All Statement of strategy (D)'!$C$1=RefData!$B$420,'All Statement of strategy (D)'!$G384,IF('All Statement of strategy (D)'!$C$1=RefData!$B$421,'All Statement of strategy (D)'!$H384," "))))</f>
        <v xml:space="preserve"> </v>
      </c>
    </row>
    <row r="385" spans="1:9">
      <c r="A385" s="584" t="s">
        <v>1882</v>
      </c>
      <c r="B385" s="585" t="s">
        <v>1854</v>
      </c>
      <c r="C385" s="585" t="str">
        <f ca="1">'Reconciliation report'!$E$444</f>
        <v/>
      </c>
      <c r="E385" s="585" t="str">
        <f ca="1">IF(AND('Reconciliation report'!$E$421&gt;=1,TRIM($C385)&lt;&gt;""),$B385&amp;" "&amp;$C385,"")</f>
        <v/>
      </c>
      <c r="F385" s="585" t="str">
        <f ca="1">IF(AND('Reconciliation report'!$E$421&gt;=3,'Reconciliation report'!$E$12=RefData!$B$12,$C385&lt;&gt;""),$B385&amp;C385,"")</f>
        <v/>
      </c>
      <c r="G385" s="585" t="str">
        <f>""</f>
        <v/>
      </c>
      <c r="H385" s="585" t="str">
        <f>""</f>
        <v/>
      </c>
      <c r="I385" s="603" t="str">
        <f ca="1">IF($C$1=RefData!$B$418,'All Statement of strategy (D)'!$E385,IF('All Statement of strategy (D)'!$C$1=RefData!$B$419,'All Statement of strategy (D)'!$F385,IF('All Statement of strategy (D)'!$C$1=RefData!$B$420,'All Statement of strategy (D)'!$G385,IF('All Statement of strategy (D)'!$C$1=RefData!$B$421,'All Statement of strategy (D)'!$H385," "))))</f>
        <v xml:space="preserve"> </v>
      </c>
    </row>
    <row r="386" spans="1:9">
      <c r="A386" s="584" t="s">
        <v>1883</v>
      </c>
      <c r="B386" s="585" t="s">
        <v>1856</v>
      </c>
      <c r="C386" s="585" t="str">
        <f ca="1">'Reconciliation report'!$E$445</f>
        <v/>
      </c>
      <c r="E386" s="585" t="str">
        <f ca="1">IF(AND('Reconciliation report'!$E$421&gt;=3,$C386&lt;&gt;""),$B386&amp;" "&amp;$C386,"")</f>
        <v/>
      </c>
      <c r="F386" s="585" t="str">
        <f ca="1">IF(AND('Reconciliation report'!$E$421&gt;=3,'Reconciliation report'!$E$12=RefData!$B$12,$C386&lt;&gt;""),$B386&amp;C386,"")</f>
        <v/>
      </c>
      <c r="G386" s="585" t="str">
        <f>""</f>
        <v/>
      </c>
      <c r="H386" s="585" t="str">
        <f>""</f>
        <v/>
      </c>
      <c r="I386" s="603" t="str">
        <f ca="1">IF($C$1=RefData!$B$418,'All Statement of strategy (D)'!$E386,IF('All Statement of strategy (D)'!$C$1=RefData!$B$419,'All Statement of strategy (D)'!$F386,IF('All Statement of strategy (D)'!$C$1=RefData!$B$420,'All Statement of strategy (D)'!$G386,IF('All Statement of strategy (D)'!$C$1=RefData!$B$421,'All Statement of strategy (D)'!$H386," "))))</f>
        <v xml:space="preserve"> </v>
      </c>
    </row>
    <row r="387" spans="1:9">
      <c r="A387" s="584" t="s">
        <v>1884</v>
      </c>
      <c r="B387" s="585" t="s">
        <v>1858</v>
      </c>
      <c r="C387" s="585" t="str">
        <f ca="1">'Reconciliation report'!$E$446</f>
        <v/>
      </c>
      <c r="E387" s="585" t="str">
        <f ca="1">IF(AND('Reconciliation report'!$E$421&gt;=3,$C387&lt;&gt;""),$B387&amp;" "&amp;$C387,"")</f>
        <v/>
      </c>
      <c r="F387" s="585" t="str">
        <f ca="1">IF(AND('Reconciliation report'!$E$421&gt;=3,'Reconciliation report'!$E$12=RefData!$B$12,$C387&lt;&gt;""),$B387&amp;C387,"")</f>
        <v/>
      </c>
      <c r="G387" s="585" t="str">
        <f>""</f>
        <v/>
      </c>
      <c r="H387" s="585" t="str">
        <f>""</f>
        <v/>
      </c>
      <c r="I387" s="603" t="str">
        <f ca="1">IF($C$1=RefData!$B$418,'All Statement of strategy (D)'!$E387,IF('All Statement of strategy (D)'!$C$1=RefData!$B$419,'All Statement of strategy (D)'!$F387,IF('All Statement of strategy (D)'!$C$1=RefData!$B$420,'All Statement of strategy (D)'!$G387,IF('All Statement of strategy (D)'!$C$1=RefData!$B$421,'All Statement of strategy (D)'!$H387," "))))</f>
        <v xml:space="preserve"> </v>
      </c>
    </row>
    <row r="388" spans="1:9">
      <c r="A388" s="584" t="s">
        <v>1885</v>
      </c>
      <c r="B388" s="585" t="s">
        <v>1860</v>
      </c>
      <c r="C388" s="585" t="str">
        <f ca="1">'Reconciliation report'!$E$447</f>
        <v/>
      </c>
      <c r="E388" s="585" t="str">
        <f ca="1">IF(AND('Reconciliation report'!$E$421&gt;=3,$C388&lt;&gt;""),$B388&amp;" "&amp;$C388,"")</f>
        <v/>
      </c>
      <c r="F388" s="585" t="str">
        <f ca="1">IF(AND('Reconciliation report'!$E$421&gt;=3,'Reconciliation report'!$E$12=RefData!$B$12,$C388&lt;&gt;""),$B388&amp;C388,"")</f>
        <v/>
      </c>
      <c r="G388" s="585" t="str">
        <f>""</f>
        <v/>
      </c>
      <c r="H388" s="585" t="str">
        <f>""</f>
        <v/>
      </c>
      <c r="I388" s="603" t="str">
        <f ca="1">IF($C$1=RefData!$B$418,'All Statement of strategy (D)'!$E388,IF('All Statement of strategy (D)'!$C$1=RefData!$B$419,'All Statement of strategy (D)'!$F388,IF('All Statement of strategy (D)'!$C$1=RefData!$B$420,'All Statement of strategy (D)'!$G388,IF('All Statement of strategy (D)'!$C$1=RefData!$B$421,'All Statement of strategy (D)'!$H388," "))))</f>
        <v xml:space="preserve"> </v>
      </c>
    </row>
    <row r="389" spans="1:9">
      <c r="A389" s="584" t="s">
        <v>1886</v>
      </c>
      <c r="B389" s="585" t="s">
        <v>1862</v>
      </c>
      <c r="C389" s="585" t="str">
        <f ca="1">'Reconciliation report'!$E$448</f>
        <v/>
      </c>
      <c r="E389" s="585" t="str">
        <f ca="1">IF(AND('Reconciliation report'!$E$421&gt;=3,$C389&lt;&gt;""),$B389&amp;" "&amp;$C389,"")</f>
        <v/>
      </c>
      <c r="F389" s="585" t="str">
        <f ca="1">IF(AND('Reconciliation report'!$E$421&gt;=3,'Reconciliation report'!$E$12=RefData!$B$12,$C389&lt;&gt;""),$B389&amp;C389,"")</f>
        <v/>
      </c>
      <c r="G389" s="585" t="str">
        <f>""</f>
        <v/>
      </c>
      <c r="H389" s="585" t="str">
        <f>""</f>
        <v/>
      </c>
      <c r="I389" s="603" t="str">
        <f ca="1">IF($C$1=RefData!$B$418,'All Statement of strategy (D)'!$E389,IF('All Statement of strategy (D)'!$C$1=RefData!$B$419,'All Statement of strategy (D)'!$F389,IF('All Statement of strategy (D)'!$C$1=RefData!$B$420,'All Statement of strategy (D)'!$G389,IF('All Statement of strategy (D)'!$C$1=RefData!$B$421,'All Statement of strategy (D)'!$H389," "))))</f>
        <v xml:space="preserve"> </v>
      </c>
    </row>
    <row r="390" spans="1:9">
      <c r="A390" s="584" t="s">
        <v>1887</v>
      </c>
      <c r="B390" s="585" t="s">
        <v>1864</v>
      </c>
      <c r="C390" s="585" t="str">
        <f ca="1">'Reconciliation report'!$E$449</f>
        <v/>
      </c>
      <c r="E390" s="585" t="str">
        <f ca="1">IF(AND('Reconciliation report'!$E$421&gt;=3,$C390&lt;&gt;""),$B390&amp;" "&amp;$C390,"")</f>
        <v/>
      </c>
      <c r="F390" s="585" t="str">
        <f ca="1">IF(AND('Reconciliation report'!$E$421&gt;=3,'Reconciliation report'!$E$12=RefData!$B$12,$C390&lt;&gt;""),$B390&amp;C390,"")</f>
        <v/>
      </c>
      <c r="G390" s="585" t="str">
        <f>""</f>
        <v/>
      </c>
      <c r="H390" s="585" t="str">
        <f>""</f>
        <v/>
      </c>
      <c r="I390" s="603" t="str">
        <f ca="1">IF($C$1=RefData!$B$418,'All Statement of strategy (D)'!$E390,IF('All Statement of strategy (D)'!$C$1=RefData!$B$419,'All Statement of strategy (D)'!$F390,IF('All Statement of strategy (D)'!$C$1=RefData!$B$420,'All Statement of strategy (D)'!$G390,IF('All Statement of strategy (D)'!$C$1=RefData!$B$421,'All Statement of strategy (D)'!$H390," "))))</f>
        <v xml:space="preserve"> </v>
      </c>
    </row>
    <row r="391" spans="1:9">
      <c r="A391" s="584" t="s">
        <v>1888</v>
      </c>
      <c r="B391" s="585" t="s">
        <v>1866</v>
      </c>
      <c r="C391" s="585" t="str">
        <f ca="1">'Reconciliation report'!$E$450</f>
        <v/>
      </c>
      <c r="E391" s="585" t="str">
        <f ca="1">IF(AND('Reconciliation report'!$E$421&gt;=3,$C391&lt;&gt;""),$B391&amp;" "&amp;$C391,"")</f>
        <v/>
      </c>
      <c r="F391" s="585" t="str">
        <f ca="1">IF(AND('Reconciliation report'!$E$421&gt;=3,'Reconciliation report'!$E$12=RefData!$B$12,$C391&lt;&gt;""),$B391&amp;C391,"")</f>
        <v/>
      </c>
      <c r="G391" s="585" t="str">
        <f>""</f>
        <v/>
      </c>
      <c r="H391" s="585" t="str">
        <f>""</f>
        <v/>
      </c>
      <c r="I391" s="603" t="str">
        <f ca="1">IF($C$1=RefData!$B$418,'All Statement of strategy (D)'!$E391,IF('All Statement of strategy (D)'!$C$1=RefData!$B$419,'All Statement of strategy (D)'!$F391,IF('All Statement of strategy (D)'!$C$1=RefData!$B$420,'All Statement of strategy (D)'!$G391,IF('All Statement of strategy (D)'!$C$1=RefData!$B$421,'All Statement of strategy (D)'!$H391," "))))</f>
        <v xml:space="preserve"> </v>
      </c>
    </row>
    <row r="392" spans="1:9">
      <c r="A392" s="584" t="s">
        <v>1889</v>
      </c>
      <c r="B392" s="585" t="s">
        <v>1868</v>
      </c>
      <c r="C392" s="585" t="str">
        <f ca="1">'Reconciliation report'!$E$451</f>
        <v/>
      </c>
      <c r="E392" s="585" t="str">
        <f ca="1">IF(AND('Reconciliation report'!$E$421&gt;=3,$C392&lt;&gt;""),$B392&amp;" "&amp;$C392,"")</f>
        <v/>
      </c>
      <c r="F392" s="585" t="str">
        <f ca="1">IF(AND('Reconciliation report'!$E$421&gt;=3,'Reconciliation report'!$E$12=RefData!$B$12,$C392&lt;&gt;""),$B392&amp;C392,"")</f>
        <v/>
      </c>
      <c r="G392" s="585" t="str">
        <f>""</f>
        <v/>
      </c>
      <c r="H392" s="585" t="str">
        <f>""</f>
        <v/>
      </c>
      <c r="I392" s="603" t="str">
        <f ca="1">IF($C$1=RefData!$B$418,'All Statement of strategy (D)'!$E392,IF('All Statement of strategy (D)'!$C$1=RefData!$B$419,'All Statement of strategy (D)'!$F392,IF('All Statement of strategy (D)'!$C$1=RefData!$B$420,'All Statement of strategy (D)'!$G392,IF('All Statement of strategy (D)'!$C$1=RefData!$B$421,'All Statement of strategy (D)'!$H392," "))))</f>
        <v xml:space="preserve"> </v>
      </c>
    </row>
    <row r="393" spans="1:9">
      <c r="A393" s="584" t="s">
        <v>1890</v>
      </c>
      <c r="B393" s="585" t="s">
        <v>1870</v>
      </c>
      <c r="C393" s="585" t="str">
        <f ca="1">'Reconciliation report'!$E$452</f>
        <v/>
      </c>
      <c r="E393" s="585" t="str">
        <f ca="1">IF(AND('Reconciliation report'!$E$421&gt;=3,$C393&lt;&gt;""),$B393&amp;" "&amp;$C393,"")</f>
        <v/>
      </c>
      <c r="F393" s="585" t="str">
        <f ca="1">IF(AND('Reconciliation report'!$E$421&gt;=3,'Reconciliation report'!$E$12=RefData!$B$12,$C393&lt;&gt;""),$B393&amp;C393,"")</f>
        <v/>
      </c>
      <c r="G393" s="585" t="str">
        <f>""</f>
        <v/>
      </c>
      <c r="H393" s="585" t="str">
        <f>""</f>
        <v/>
      </c>
      <c r="I393" s="603" t="str">
        <f ca="1">IF($C$1=RefData!$B$418,'All Statement of strategy (D)'!$E393,IF('All Statement of strategy (D)'!$C$1=RefData!$B$419,'All Statement of strategy (D)'!$F393,IF('All Statement of strategy (D)'!$C$1=RefData!$B$420,'All Statement of strategy (D)'!$G393,IF('All Statement of strategy (D)'!$C$1=RefData!$B$421,'All Statement of strategy (D)'!$H393," "))))</f>
        <v xml:space="preserve"> </v>
      </c>
    </row>
    <row r="394" spans="1:9">
      <c r="A394" s="584" t="s">
        <v>1891</v>
      </c>
      <c r="B394" s="585" t="s">
        <v>1852</v>
      </c>
      <c r="C394" s="585" t="str">
        <f ca="1">'Reconciliation report'!$E$453</f>
        <v/>
      </c>
      <c r="E394" s="585" t="str">
        <f ca="1">IF(AND('Reconciliation report'!$E$421&gt;=4,$C394&lt;&gt;""),$B394&amp;" "&amp;$C394,"")</f>
        <v/>
      </c>
      <c r="F394" s="585" t="str">
        <f ca="1">IF(AND('Reconciliation report'!$E$421&gt;=4,'Reconciliation report'!$E$12=RefData!$B$12,$C394&lt;&gt;""),$B394&amp;C394,"")</f>
        <v/>
      </c>
      <c r="G394" s="585" t="str">
        <f>""</f>
        <v/>
      </c>
      <c r="H394" s="585" t="str">
        <f>""</f>
        <v/>
      </c>
      <c r="I394" s="603" t="str">
        <f ca="1">IF($C$1=RefData!$B$418,'All Statement of strategy (D)'!$E394,IF('All Statement of strategy (D)'!$C$1=RefData!$B$419,'All Statement of strategy (D)'!$F394,IF('All Statement of strategy (D)'!$C$1=RefData!$B$420,'All Statement of strategy (D)'!$G394,IF('All Statement of strategy (D)'!$C$1=RefData!$B$421,'All Statement of strategy (D)'!$H394," "))))</f>
        <v xml:space="preserve"> </v>
      </c>
    </row>
    <row r="395" spans="1:9">
      <c r="A395" s="584" t="s">
        <v>1892</v>
      </c>
      <c r="B395" s="585" t="s">
        <v>1854</v>
      </c>
      <c r="C395" s="585" t="str">
        <f ca="1">'Reconciliation report'!$E$454</f>
        <v/>
      </c>
      <c r="E395" s="585" t="str">
        <f ca="1">IF(AND('Reconciliation report'!$E$421&gt;=1,TRIM($C395)&lt;&gt;""),$B395&amp;" "&amp;$C395,"")</f>
        <v/>
      </c>
      <c r="F395" s="585" t="str">
        <f ca="1">IF(AND('Reconciliation report'!$E$421&gt;=4,'Reconciliation report'!$E$12=RefData!$B$12,$C395&lt;&gt;""),$B395&amp;C395,"")</f>
        <v/>
      </c>
      <c r="G395" s="585" t="str">
        <f>""</f>
        <v/>
      </c>
      <c r="H395" s="585" t="str">
        <f>""</f>
        <v/>
      </c>
      <c r="I395" s="603" t="str">
        <f ca="1">IF($C$1=RefData!$B$418,'All Statement of strategy (D)'!$E395,IF('All Statement of strategy (D)'!$C$1=RefData!$B$419,'All Statement of strategy (D)'!$F395,IF('All Statement of strategy (D)'!$C$1=RefData!$B$420,'All Statement of strategy (D)'!$G395,IF('All Statement of strategy (D)'!$C$1=RefData!$B$421,'All Statement of strategy (D)'!$H395," "))))</f>
        <v xml:space="preserve"> </v>
      </c>
    </row>
    <row r="396" spans="1:9">
      <c r="A396" s="584" t="s">
        <v>1893</v>
      </c>
      <c r="B396" s="585" t="s">
        <v>1856</v>
      </c>
      <c r="C396" s="585" t="str">
        <f ca="1">'Reconciliation report'!$E$455</f>
        <v/>
      </c>
      <c r="E396" s="585" t="str">
        <f ca="1">IF(AND('Reconciliation report'!$E$421&gt;=4,$C396&lt;&gt;""),$B396&amp;" "&amp;$C396,"")</f>
        <v/>
      </c>
      <c r="F396" s="585" t="str">
        <f ca="1">IF(AND('Reconciliation report'!$E$421&gt;=4,'Reconciliation report'!$E$12=RefData!$B$12,$C396&lt;&gt;""),$B396&amp;C396,"")</f>
        <v/>
      </c>
      <c r="G396" s="585" t="str">
        <f>""</f>
        <v/>
      </c>
      <c r="H396" s="585" t="str">
        <f>""</f>
        <v/>
      </c>
      <c r="I396" s="603" t="str">
        <f ca="1">IF($C$1=RefData!$B$418,'All Statement of strategy (D)'!$E396,IF('All Statement of strategy (D)'!$C$1=RefData!$B$419,'All Statement of strategy (D)'!$F396,IF('All Statement of strategy (D)'!$C$1=RefData!$B$420,'All Statement of strategy (D)'!$G396,IF('All Statement of strategy (D)'!$C$1=RefData!$B$421,'All Statement of strategy (D)'!$H396," "))))</f>
        <v xml:space="preserve"> </v>
      </c>
    </row>
    <row r="397" spans="1:9">
      <c r="A397" s="584" t="s">
        <v>1894</v>
      </c>
      <c r="B397" s="585" t="s">
        <v>1858</v>
      </c>
      <c r="C397" s="585" t="str">
        <f ca="1">'Reconciliation report'!$E$456</f>
        <v/>
      </c>
      <c r="E397" s="585" t="str">
        <f ca="1">IF(AND('Reconciliation report'!$E$421&gt;=4,$C397&lt;&gt;""),$B397&amp;" "&amp;$C397,"")</f>
        <v/>
      </c>
      <c r="F397" s="585" t="str">
        <f ca="1">IF(AND('Reconciliation report'!$E$421&gt;=4,'Reconciliation report'!$E$12=RefData!$B$12,$C397&lt;&gt;""),$B397&amp;C397,"")</f>
        <v/>
      </c>
      <c r="G397" s="585" t="str">
        <f>""</f>
        <v/>
      </c>
      <c r="H397" s="585" t="str">
        <f>""</f>
        <v/>
      </c>
      <c r="I397" s="603" t="str">
        <f ca="1">IF($C$1=RefData!$B$418,'All Statement of strategy (D)'!$E397,IF('All Statement of strategy (D)'!$C$1=RefData!$B$419,'All Statement of strategy (D)'!$F397,IF('All Statement of strategy (D)'!$C$1=RefData!$B$420,'All Statement of strategy (D)'!$G397,IF('All Statement of strategy (D)'!$C$1=RefData!$B$421,'All Statement of strategy (D)'!$H397," "))))</f>
        <v xml:space="preserve"> </v>
      </c>
    </row>
    <row r="398" spans="1:9">
      <c r="A398" s="584" t="s">
        <v>1895</v>
      </c>
      <c r="B398" s="585" t="s">
        <v>1860</v>
      </c>
      <c r="C398" s="585" t="str">
        <f ca="1">'Reconciliation report'!$E$457</f>
        <v/>
      </c>
      <c r="E398" s="585" t="str">
        <f ca="1">IF(AND('Reconciliation report'!$E$421&gt;=4,$C398&lt;&gt;""),$B398&amp;" "&amp;$C398,"")</f>
        <v/>
      </c>
      <c r="F398" s="585" t="str">
        <f ca="1">IF(AND('Reconciliation report'!$E$421&gt;=4,'Reconciliation report'!$E$12=RefData!$B$12,$C398&lt;&gt;""),$B398&amp;C398,"")</f>
        <v/>
      </c>
      <c r="G398" s="585" t="str">
        <f>""</f>
        <v/>
      </c>
      <c r="H398" s="585" t="str">
        <f>""</f>
        <v/>
      </c>
      <c r="I398" s="603" t="str">
        <f ca="1">IF($C$1=RefData!$B$418,'All Statement of strategy (D)'!$E398,IF('All Statement of strategy (D)'!$C$1=RefData!$B$419,'All Statement of strategy (D)'!$F398,IF('All Statement of strategy (D)'!$C$1=RefData!$B$420,'All Statement of strategy (D)'!$G398,IF('All Statement of strategy (D)'!$C$1=RefData!$B$421,'All Statement of strategy (D)'!$H398," "))))</f>
        <v xml:space="preserve"> </v>
      </c>
    </row>
    <row r="399" spans="1:9">
      <c r="A399" s="584" t="s">
        <v>1896</v>
      </c>
      <c r="B399" s="585" t="s">
        <v>1862</v>
      </c>
      <c r="C399" s="585" t="str">
        <f ca="1">'Reconciliation report'!$E$458</f>
        <v/>
      </c>
      <c r="E399" s="585" t="str">
        <f ca="1">IF(AND('Reconciliation report'!$E$421&gt;=4,$C399&lt;&gt;""),$B399&amp;" "&amp;$C399,"")</f>
        <v/>
      </c>
      <c r="F399" s="585" t="str">
        <f ca="1">IF(AND('Reconciliation report'!$E$421&gt;=4,'Reconciliation report'!$E$12=RefData!$B$12,$C399&lt;&gt;""),$B399&amp;C399,"")</f>
        <v/>
      </c>
      <c r="G399" s="585" t="str">
        <f>""</f>
        <v/>
      </c>
      <c r="H399" s="585" t="str">
        <f>""</f>
        <v/>
      </c>
      <c r="I399" s="603" t="str">
        <f ca="1">IF($C$1=RefData!$B$418,'All Statement of strategy (D)'!$E399,IF('All Statement of strategy (D)'!$C$1=RefData!$B$419,'All Statement of strategy (D)'!$F399,IF('All Statement of strategy (D)'!$C$1=RefData!$B$420,'All Statement of strategy (D)'!$G399,IF('All Statement of strategy (D)'!$C$1=RefData!$B$421,'All Statement of strategy (D)'!$H399," "))))</f>
        <v xml:space="preserve"> </v>
      </c>
    </row>
    <row r="400" spans="1:9">
      <c r="A400" s="584" t="s">
        <v>1897</v>
      </c>
      <c r="B400" s="585" t="s">
        <v>1864</v>
      </c>
      <c r="C400" s="585" t="str">
        <f ca="1">'Reconciliation report'!$E$459</f>
        <v/>
      </c>
      <c r="E400" s="585" t="str">
        <f ca="1">IF(AND('Reconciliation report'!$E$421&gt;=4,$C400&lt;&gt;""),$B400&amp;" "&amp;$C400,"")</f>
        <v/>
      </c>
      <c r="F400" s="585" t="str">
        <f ca="1">IF(AND('Reconciliation report'!$E$421&gt;=4,'Reconciliation report'!$E$12=RefData!$B$12,$C400&lt;&gt;""),$B400&amp;C400,"")</f>
        <v/>
      </c>
      <c r="G400" s="585" t="str">
        <f>""</f>
        <v/>
      </c>
      <c r="H400" s="585" t="str">
        <f>""</f>
        <v/>
      </c>
      <c r="I400" s="603" t="str">
        <f ca="1">IF($C$1=RefData!$B$418,'All Statement of strategy (D)'!$E400,IF('All Statement of strategy (D)'!$C$1=RefData!$B$419,'All Statement of strategy (D)'!$F400,IF('All Statement of strategy (D)'!$C$1=RefData!$B$420,'All Statement of strategy (D)'!$G400,IF('All Statement of strategy (D)'!$C$1=RefData!$B$421,'All Statement of strategy (D)'!$H400," "))))</f>
        <v xml:space="preserve"> </v>
      </c>
    </row>
    <row r="401" spans="1:9">
      <c r="A401" s="584" t="s">
        <v>1898</v>
      </c>
      <c r="B401" s="585" t="s">
        <v>1866</v>
      </c>
      <c r="C401" s="585" t="str">
        <f ca="1">'Reconciliation report'!$E$460</f>
        <v/>
      </c>
      <c r="E401" s="585" t="str">
        <f ca="1">IF(AND('Reconciliation report'!$E$421&gt;=4,$C401&lt;&gt;""),$B401&amp;" "&amp;$C401,"")</f>
        <v/>
      </c>
      <c r="F401" s="585" t="str">
        <f ca="1">IF(AND('Reconciliation report'!$E$421&gt;=4,'Reconciliation report'!$E$12=RefData!$B$12,$C401&lt;&gt;""),$B401&amp;C401,"")</f>
        <v/>
      </c>
      <c r="G401" s="585" t="str">
        <f>""</f>
        <v/>
      </c>
      <c r="H401" s="585" t="str">
        <f>""</f>
        <v/>
      </c>
      <c r="I401" s="603" t="str">
        <f ca="1">IF($C$1=RefData!$B$418,'All Statement of strategy (D)'!$E401,IF('All Statement of strategy (D)'!$C$1=RefData!$B$419,'All Statement of strategy (D)'!$F401,IF('All Statement of strategy (D)'!$C$1=RefData!$B$420,'All Statement of strategy (D)'!$G401,IF('All Statement of strategy (D)'!$C$1=RefData!$B$421,'All Statement of strategy (D)'!$H401," "))))</f>
        <v xml:space="preserve"> </v>
      </c>
    </row>
    <row r="402" spans="1:9">
      <c r="A402" s="584" t="s">
        <v>1899</v>
      </c>
      <c r="B402" s="585" t="s">
        <v>1868</v>
      </c>
      <c r="C402" s="585" t="str">
        <f ca="1">'Reconciliation report'!$E$461</f>
        <v/>
      </c>
      <c r="E402" s="585" t="str">
        <f ca="1">IF(AND('Reconciliation report'!$E$421&gt;=4,$C402&lt;&gt;""),$B402&amp;" "&amp;$C402,"")</f>
        <v/>
      </c>
      <c r="F402" s="585" t="str">
        <f ca="1">IF(AND('Reconciliation report'!$E$421&gt;=4,'Reconciliation report'!$E$12=RefData!$B$12,$C402&lt;&gt;""),$B402&amp;C402,"")</f>
        <v/>
      </c>
      <c r="G402" s="585" t="str">
        <f>""</f>
        <v/>
      </c>
      <c r="H402" s="585" t="str">
        <f>""</f>
        <v/>
      </c>
      <c r="I402" s="603" t="str">
        <f ca="1">IF($C$1=RefData!$B$418,'All Statement of strategy (D)'!$E402,IF('All Statement of strategy (D)'!$C$1=RefData!$B$419,'All Statement of strategy (D)'!$F402,IF('All Statement of strategy (D)'!$C$1=RefData!$B$420,'All Statement of strategy (D)'!$G402,IF('All Statement of strategy (D)'!$C$1=RefData!$B$421,'All Statement of strategy (D)'!$H402," "))))</f>
        <v xml:space="preserve"> </v>
      </c>
    </row>
    <row r="403" spans="1:9">
      <c r="A403" s="584" t="s">
        <v>1900</v>
      </c>
      <c r="B403" s="585" t="s">
        <v>1870</v>
      </c>
      <c r="C403" s="585" t="str">
        <f ca="1">'Reconciliation report'!$E$462</f>
        <v/>
      </c>
      <c r="E403" s="585" t="str">
        <f ca="1">IF(AND('Reconciliation report'!$E$421&gt;=4,$C403&lt;&gt;""),$B403&amp;" "&amp;$C403,"")</f>
        <v/>
      </c>
      <c r="F403" s="585" t="str">
        <f ca="1">IF(AND('Reconciliation report'!$E$421&gt;=4,'Reconciliation report'!$E$12=RefData!$B$12,$C403&lt;&gt;""),$B403&amp;C403,"")</f>
        <v/>
      </c>
      <c r="G403" s="585" t="str">
        <f>""</f>
        <v/>
      </c>
      <c r="H403" s="585" t="str">
        <f>""</f>
        <v/>
      </c>
      <c r="I403" s="603" t="str">
        <f ca="1">IF($C$1=RefData!$B$418,'All Statement of strategy (D)'!$E403,IF('All Statement of strategy (D)'!$C$1=RefData!$B$419,'All Statement of strategy (D)'!$F403,IF('All Statement of strategy (D)'!$C$1=RefData!$B$420,'All Statement of strategy (D)'!$G403,IF('All Statement of strategy (D)'!$C$1=RefData!$B$421,'All Statement of strategy (D)'!$H403," "))))</f>
        <v xml:space="preserve"> </v>
      </c>
    </row>
    <row r="404" spans="1:9">
      <c r="A404" s="584" t="s">
        <v>1901</v>
      </c>
      <c r="B404" s="585" t="s">
        <v>1852</v>
      </c>
      <c r="C404" s="585" t="str">
        <f ca="1">'Reconciliation report'!$E$463</f>
        <v/>
      </c>
      <c r="E404" s="585" t="str">
        <f ca="1">IF(AND('Reconciliation report'!$E$421&gt;=5,$C404&lt;&gt;""),$B404&amp;" "&amp;$C404,"")</f>
        <v/>
      </c>
      <c r="F404" s="585" t="str">
        <f ca="1">IF(AND('Reconciliation report'!$E$421&gt;=5,'Reconciliation report'!$E$12=RefData!$B$12,$C404&lt;&gt;""),$B404&amp;C404,"")</f>
        <v/>
      </c>
      <c r="G404" s="585" t="str">
        <f>""</f>
        <v/>
      </c>
      <c r="H404" s="585" t="str">
        <f>""</f>
        <v/>
      </c>
      <c r="I404" s="603" t="str">
        <f ca="1">IF($C$1=RefData!$B$418,'All Statement of strategy (D)'!$E404,IF('All Statement of strategy (D)'!$C$1=RefData!$B$419,'All Statement of strategy (D)'!$F404,IF('All Statement of strategy (D)'!$C$1=RefData!$B$420,'All Statement of strategy (D)'!$G404,IF('All Statement of strategy (D)'!$C$1=RefData!$B$421,'All Statement of strategy (D)'!$H404," "))))</f>
        <v xml:space="preserve"> </v>
      </c>
    </row>
    <row r="405" spans="1:9">
      <c r="A405" s="584" t="s">
        <v>1902</v>
      </c>
      <c r="B405" s="585" t="s">
        <v>1854</v>
      </c>
      <c r="C405" s="585" t="str">
        <f ca="1">'Reconciliation report'!$E$464</f>
        <v/>
      </c>
      <c r="E405" s="585" t="str">
        <f ca="1">IF(AND('Reconciliation report'!$E$421&gt;=1,TRIM($C405)&lt;&gt;""),$B405&amp;" "&amp;$C405,"")</f>
        <v/>
      </c>
      <c r="F405" s="585" t="str">
        <f ca="1">IF(AND('Reconciliation report'!$E$421&gt;=5,'Reconciliation report'!$E$12=RefData!$B$12,$C405&lt;&gt;""),$B405&amp;C405,"")</f>
        <v/>
      </c>
      <c r="G405" s="585" t="str">
        <f>""</f>
        <v/>
      </c>
      <c r="H405" s="585" t="str">
        <f>""</f>
        <v/>
      </c>
      <c r="I405" s="603" t="str">
        <f ca="1">IF($C$1=RefData!$B$418,'All Statement of strategy (D)'!$E405,IF('All Statement of strategy (D)'!$C$1=RefData!$B$419,'All Statement of strategy (D)'!$F405,IF('All Statement of strategy (D)'!$C$1=RefData!$B$420,'All Statement of strategy (D)'!$G405,IF('All Statement of strategy (D)'!$C$1=RefData!$B$421,'All Statement of strategy (D)'!$H405," "))))</f>
        <v xml:space="preserve"> </v>
      </c>
    </row>
    <row r="406" spans="1:9">
      <c r="A406" s="584" t="s">
        <v>1903</v>
      </c>
      <c r="B406" s="585" t="s">
        <v>1856</v>
      </c>
      <c r="C406" s="585" t="str">
        <f ca="1">'Reconciliation report'!$E$465</f>
        <v/>
      </c>
      <c r="E406" s="585" t="str">
        <f ca="1">IF(AND('Reconciliation report'!$E$421&gt;=5,$C406&lt;&gt;""),$B406&amp;" "&amp;$C406,"")</f>
        <v/>
      </c>
      <c r="F406" s="585" t="str">
        <f ca="1">IF(AND('Reconciliation report'!$E$421&gt;=5,'Reconciliation report'!$E$12=RefData!$B$12,$C406&lt;&gt;""),$B406&amp;C406,"")</f>
        <v/>
      </c>
      <c r="G406" s="585" t="str">
        <f>""</f>
        <v/>
      </c>
      <c r="H406" s="585" t="str">
        <f>""</f>
        <v/>
      </c>
      <c r="I406" s="603" t="str">
        <f ca="1">IF($C$1=RefData!$B$418,'All Statement of strategy (D)'!$E406,IF('All Statement of strategy (D)'!$C$1=RefData!$B$419,'All Statement of strategy (D)'!$F406,IF('All Statement of strategy (D)'!$C$1=RefData!$B$420,'All Statement of strategy (D)'!$G406,IF('All Statement of strategy (D)'!$C$1=RefData!$B$421,'All Statement of strategy (D)'!$H406," "))))</f>
        <v xml:space="preserve"> </v>
      </c>
    </row>
    <row r="407" spans="1:9">
      <c r="A407" s="584" t="s">
        <v>1904</v>
      </c>
      <c r="B407" s="585" t="s">
        <v>1858</v>
      </c>
      <c r="C407" s="585" t="str">
        <f ca="1">'Reconciliation report'!$E$466</f>
        <v/>
      </c>
      <c r="E407" s="585" t="str">
        <f ca="1">IF(AND('Reconciliation report'!$E$421&gt;=5,$C407&lt;&gt;""),$B407&amp;" "&amp;$C407,"")</f>
        <v/>
      </c>
      <c r="F407" s="585" t="str">
        <f ca="1">IF(AND('Reconciliation report'!$E$421&gt;=5,'Reconciliation report'!$E$12=RefData!$B$12,$C407&lt;&gt;""),$B407&amp;C407,"")</f>
        <v/>
      </c>
      <c r="G407" s="585" t="str">
        <f>""</f>
        <v/>
      </c>
      <c r="H407" s="585" t="str">
        <f>""</f>
        <v/>
      </c>
      <c r="I407" s="603" t="str">
        <f ca="1">IF($C$1=RefData!$B$418,'All Statement of strategy (D)'!$E407,IF('All Statement of strategy (D)'!$C$1=RefData!$B$419,'All Statement of strategy (D)'!$F407,IF('All Statement of strategy (D)'!$C$1=RefData!$B$420,'All Statement of strategy (D)'!$G407,IF('All Statement of strategy (D)'!$C$1=RefData!$B$421,'All Statement of strategy (D)'!$H407," "))))</f>
        <v xml:space="preserve"> </v>
      </c>
    </row>
    <row r="408" spans="1:9">
      <c r="A408" s="584" t="s">
        <v>1905</v>
      </c>
      <c r="B408" s="585" t="s">
        <v>1860</v>
      </c>
      <c r="C408" s="585" t="str">
        <f ca="1">'Reconciliation report'!$E$467</f>
        <v/>
      </c>
      <c r="E408" s="585" t="str">
        <f ca="1">IF(AND('Reconciliation report'!$E$421&gt;=5,$C408&lt;&gt;""),$B408&amp;" "&amp;$C408,"")</f>
        <v/>
      </c>
      <c r="F408" s="585" t="str">
        <f ca="1">IF(AND('Reconciliation report'!$E$421&gt;=5,'Reconciliation report'!$E$12=RefData!$B$12,$C408&lt;&gt;""),$B408&amp;C408,"")</f>
        <v/>
      </c>
      <c r="G408" s="585" t="str">
        <f>""</f>
        <v/>
      </c>
      <c r="H408" s="585" t="str">
        <f>""</f>
        <v/>
      </c>
      <c r="I408" s="603" t="str">
        <f ca="1">IF($C$1=RefData!$B$418,'All Statement of strategy (D)'!$E408,IF('All Statement of strategy (D)'!$C$1=RefData!$B$419,'All Statement of strategy (D)'!$F408,IF('All Statement of strategy (D)'!$C$1=RefData!$B$420,'All Statement of strategy (D)'!$G408,IF('All Statement of strategy (D)'!$C$1=RefData!$B$421,'All Statement of strategy (D)'!$H408," "))))</f>
        <v xml:space="preserve"> </v>
      </c>
    </row>
    <row r="409" spans="1:9">
      <c r="A409" s="584" t="s">
        <v>1906</v>
      </c>
      <c r="B409" s="585" t="s">
        <v>1862</v>
      </c>
      <c r="C409" s="585" t="str">
        <f ca="1">'Reconciliation report'!$E$468</f>
        <v/>
      </c>
      <c r="E409" s="585" t="str">
        <f ca="1">IF(AND('Reconciliation report'!$E$421&gt;=5,$C409&lt;&gt;""),$B409&amp;" "&amp;$C409,"")</f>
        <v/>
      </c>
      <c r="F409" s="585" t="str">
        <f ca="1">IF(AND('Reconciliation report'!$E$421&gt;=5,'Reconciliation report'!$E$12=RefData!$B$12,$C409&lt;&gt;""),$B409&amp;C409,"")</f>
        <v/>
      </c>
      <c r="G409" s="585" t="str">
        <f>""</f>
        <v/>
      </c>
      <c r="H409" s="585" t="str">
        <f>""</f>
        <v/>
      </c>
      <c r="I409" s="603" t="str">
        <f ca="1">IF($C$1=RefData!$B$418,'All Statement of strategy (D)'!$E409,IF('All Statement of strategy (D)'!$C$1=RefData!$B$419,'All Statement of strategy (D)'!$F409,IF('All Statement of strategy (D)'!$C$1=RefData!$B$420,'All Statement of strategy (D)'!$G409,IF('All Statement of strategy (D)'!$C$1=RefData!$B$421,'All Statement of strategy (D)'!$H409," "))))</f>
        <v xml:space="preserve"> </v>
      </c>
    </row>
    <row r="410" spans="1:9">
      <c r="A410" s="584" t="s">
        <v>1907</v>
      </c>
      <c r="B410" s="585" t="s">
        <v>1864</v>
      </c>
      <c r="C410" s="585" t="str">
        <f ca="1">'Reconciliation report'!$E$469</f>
        <v/>
      </c>
      <c r="E410" s="585" t="str">
        <f ca="1">IF(AND('Reconciliation report'!$E$421&gt;=5,$C410&lt;&gt;""),$B410&amp;" "&amp;$C410,"")</f>
        <v/>
      </c>
      <c r="F410" s="585" t="str">
        <f ca="1">IF(AND('Reconciliation report'!$E$421&gt;=5,'Reconciliation report'!$E$12=RefData!$B$12,$C410&lt;&gt;""),$B410&amp;C410,"")</f>
        <v/>
      </c>
      <c r="G410" s="585" t="str">
        <f>""</f>
        <v/>
      </c>
      <c r="H410" s="585" t="str">
        <f>""</f>
        <v/>
      </c>
      <c r="I410" s="603" t="str">
        <f ca="1">IF($C$1=RefData!$B$418,'All Statement of strategy (D)'!$E410,IF('All Statement of strategy (D)'!$C$1=RefData!$B$419,'All Statement of strategy (D)'!$F410,IF('All Statement of strategy (D)'!$C$1=RefData!$B$420,'All Statement of strategy (D)'!$G410,IF('All Statement of strategy (D)'!$C$1=RefData!$B$421,'All Statement of strategy (D)'!$H410," "))))</f>
        <v xml:space="preserve"> </v>
      </c>
    </row>
    <row r="411" spans="1:9">
      <c r="A411" s="584" t="s">
        <v>1908</v>
      </c>
      <c r="B411" s="585" t="s">
        <v>1866</v>
      </c>
      <c r="C411" s="585" t="str">
        <f ca="1">'Reconciliation report'!$E$470</f>
        <v/>
      </c>
      <c r="E411" s="585" t="str">
        <f ca="1">IF(AND('Reconciliation report'!$E$421&gt;=5,$C411&lt;&gt;""),$B411&amp;" "&amp;$C411,"")</f>
        <v/>
      </c>
      <c r="F411" s="585" t="str">
        <f ca="1">IF(AND('Reconciliation report'!$E$421&gt;=5,'Reconciliation report'!$E$12=RefData!$B$12,$C411&lt;&gt;""),$B411&amp;C411,"")</f>
        <v/>
      </c>
      <c r="G411" s="585" t="str">
        <f>""</f>
        <v/>
      </c>
      <c r="H411" s="585" t="str">
        <f>""</f>
        <v/>
      </c>
      <c r="I411" s="603" t="str">
        <f ca="1">IF($C$1=RefData!$B$418,'All Statement of strategy (D)'!$E411,IF('All Statement of strategy (D)'!$C$1=RefData!$B$419,'All Statement of strategy (D)'!$F411,IF('All Statement of strategy (D)'!$C$1=RefData!$B$420,'All Statement of strategy (D)'!$G411,IF('All Statement of strategy (D)'!$C$1=RefData!$B$421,'All Statement of strategy (D)'!$H411," "))))</f>
        <v xml:space="preserve"> </v>
      </c>
    </row>
    <row r="412" spans="1:9">
      <c r="A412" s="584" t="s">
        <v>1909</v>
      </c>
      <c r="B412" s="585" t="s">
        <v>1868</v>
      </c>
      <c r="C412" s="585" t="str">
        <f ca="1">'Reconciliation report'!$E$471</f>
        <v/>
      </c>
      <c r="E412" s="585" t="str">
        <f ca="1">IF(AND('Reconciliation report'!$E$421&gt;=5,$C412&lt;&gt;""),$B412&amp;" "&amp;$C412,"")</f>
        <v/>
      </c>
      <c r="F412" s="585" t="str">
        <f ca="1">IF(AND('Reconciliation report'!$E$421&gt;=5,'Reconciliation report'!$E$12=RefData!$B$12,$C412&lt;&gt;""),$B412&amp;C412,"")</f>
        <v/>
      </c>
      <c r="G412" s="585" t="str">
        <f>""</f>
        <v/>
      </c>
      <c r="H412" s="585" t="str">
        <f>""</f>
        <v/>
      </c>
      <c r="I412" s="603" t="str">
        <f ca="1">IF($C$1=RefData!$B$418,'All Statement of strategy (D)'!$E412,IF('All Statement of strategy (D)'!$C$1=RefData!$B$419,'All Statement of strategy (D)'!$F412,IF('All Statement of strategy (D)'!$C$1=RefData!$B$420,'All Statement of strategy (D)'!$G412,IF('All Statement of strategy (D)'!$C$1=RefData!$B$421,'All Statement of strategy (D)'!$H412," "))))</f>
        <v xml:space="preserve"> </v>
      </c>
    </row>
    <row r="413" spans="1:9">
      <c r="A413" s="584" t="s">
        <v>1910</v>
      </c>
      <c r="B413" s="585" t="s">
        <v>1870</v>
      </c>
      <c r="C413" s="585" t="str">
        <f ca="1">'Reconciliation report'!$E$472</f>
        <v/>
      </c>
      <c r="E413" s="585" t="str">
        <f ca="1">IF(AND('Reconciliation report'!$E$421&gt;=5,$C413&lt;&gt;""),$B413&amp;" "&amp;$C413,"")</f>
        <v/>
      </c>
      <c r="F413" s="585" t="str">
        <f ca="1">IF(AND('Reconciliation report'!$E$421&gt;=5,'Reconciliation report'!$E$12=RefData!$B$12,$C413&lt;&gt;""),$B413&amp;C413,"")</f>
        <v/>
      </c>
      <c r="G413" s="585" t="str">
        <f>""</f>
        <v/>
      </c>
      <c r="H413" s="585" t="str">
        <f>""</f>
        <v/>
      </c>
      <c r="I413" s="603" t="str">
        <f ca="1">IF($C$1=RefData!$B$418,'All Statement of strategy (D)'!$E413,IF('All Statement of strategy (D)'!$C$1=RefData!$B$419,'All Statement of strategy (D)'!$F413,IF('All Statement of strategy (D)'!$C$1=RefData!$B$420,'All Statement of strategy (D)'!$G413,IF('All Statement of strategy (D)'!$C$1=RefData!$B$421,'All Statement of strategy (D)'!$H413," "))))</f>
        <v xml:space="preserve"> </v>
      </c>
    </row>
    <row r="414" spans="1:9">
      <c r="B414" s="585" t="s">
        <v>1911</v>
      </c>
      <c r="E414" s="585" t="str">
        <f ca="1">IF('Reconciliation report'!$E$420=RefData!$B$116,'All Statement of strategy (D)'!$B414,"")</f>
        <v/>
      </c>
      <c r="F414" s="585" t="str">
        <f ca="1">IF(AND('Reconciliation report'!$E$12=RefData!$B$12,'Reconciliation report'!$E$420=RefData!$B$116),'All Statement of strategy (D)'!$B414,"")</f>
        <v/>
      </c>
      <c r="G414" s="585" t="str">
        <f>""</f>
        <v/>
      </c>
      <c r="H414" s="585" t="str">
        <f>""</f>
        <v/>
      </c>
      <c r="I414" s="603" t="str">
        <f ca="1">IF($C$1=RefData!$B$418,'All Statement of strategy (D)'!$E414,IF('All Statement of strategy (D)'!$C$1=RefData!$B$419,'All Statement of strategy (D)'!$F414,IF('All Statement of strategy (D)'!$C$1=RefData!$B$420,'All Statement of strategy (D)'!$G414,IF('All Statement of strategy (D)'!$C$1=RefData!$B$421,'All Statement of strategy (D)'!$H414," "))))</f>
        <v xml:space="preserve"> </v>
      </c>
    </row>
    <row r="415" spans="1:9">
      <c r="A415" s="584" t="s">
        <v>1912</v>
      </c>
      <c r="B415" s="585" t="str">
        <f ca="1">LEFT('Reconciliation report'!$E$422,1000)</f>
        <v/>
      </c>
      <c r="E415" s="585" t="str">
        <f ca="1">IF('Reconciliation report'!$E$420=RefData!$B$116,'All Statement of strategy (D)'!$B415,"")</f>
        <v/>
      </c>
      <c r="F415" s="585" t="str">
        <f ca="1">IF(AND('Reconciliation report'!$E$420=RefData!$B$116,'Reconciliation report'!$E$12=RefData!$B$12),'All Statement of strategy (D)'!$B415,"")</f>
        <v/>
      </c>
      <c r="G415" s="585" t="str">
        <f>""</f>
        <v/>
      </c>
      <c r="H415" s="585" t="str">
        <f>""</f>
        <v/>
      </c>
      <c r="I415" s="603" t="str">
        <f ca="1">IF($C$1=RefData!$B$418,'All Statement of strategy (D)'!$E415,IF('All Statement of strategy (D)'!$C$1=RefData!$B$419,'All Statement of strategy (D)'!$F415,IF('All Statement of strategy (D)'!$C$1=RefData!$B$420,'All Statement of strategy (D)'!$G415,IF('All Statement of strategy (D)'!$C$1=RefData!$B$421,'All Statement of strategy (D)'!$H415," "))))</f>
        <v xml:space="preserve"> </v>
      </c>
    </row>
    <row r="416" spans="1:9">
      <c r="A416" s="584" t="s">
        <v>1912</v>
      </c>
      <c r="B416" s="585" t="str">
        <f ca="1">MID('Reconciliation report'!$E$422,1001,1000)</f>
        <v/>
      </c>
      <c r="E416" s="585" t="str">
        <f ca="1">IF('Reconciliation report'!$E$420=RefData!$B$116,'All Statement of strategy (D)'!$B416,"")</f>
        <v/>
      </c>
      <c r="F416" s="585" t="str">
        <f ca="1">IF(AND('Reconciliation report'!$E$420=RefData!$B$116,'Reconciliation report'!$E$12=RefData!$B$12),'All Statement of strategy (D)'!$B416,"")</f>
        <v/>
      </c>
      <c r="G416" s="585" t="str">
        <f>""</f>
        <v/>
      </c>
      <c r="H416" s="585" t="str">
        <f>""</f>
        <v/>
      </c>
      <c r="I416" s="603" t="str">
        <f ca="1">IF($C$1=RefData!$B$418,'All Statement of strategy (D)'!$E416,IF('All Statement of strategy (D)'!$C$1=RefData!$B$419,'All Statement of strategy (D)'!$F416,IF('All Statement of strategy (D)'!$C$1=RefData!$B$420,'All Statement of strategy (D)'!$G416,IF('All Statement of strategy (D)'!$C$1=RefData!$B$421,'All Statement of strategy (D)'!$H416," "))))</f>
        <v xml:space="preserve"> </v>
      </c>
    </row>
    <row r="417" spans="1:9">
      <c r="A417" s="584" t="s">
        <v>1912</v>
      </c>
      <c r="B417" s="585" t="str">
        <f ca="1">MID('Reconciliation report'!$E$422,2001,1000)</f>
        <v/>
      </c>
      <c r="E417" s="585" t="str">
        <f ca="1">IF('Reconciliation report'!$E$420=RefData!$B$116,'All Statement of strategy (D)'!$B417,"")</f>
        <v/>
      </c>
      <c r="F417" s="585" t="str">
        <f ca="1">IF(AND('Reconciliation report'!$E$420=RefData!$B$116,'Reconciliation report'!$E$12=RefData!$B$12),'All Statement of strategy (D)'!$B417,"")</f>
        <v/>
      </c>
      <c r="G417" s="585" t="str">
        <f>""</f>
        <v/>
      </c>
      <c r="H417" s="585" t="str">
        <f>""</f>
        <v/>
      </c>
      <c r="I417" s="603" t="str">
        <f ca="1">IF($C$1=RefData!$B$418,'All Statement of strategy (D)'!$E417,IF('All Statement of strategy (D)'!$C$1=RefData!$B$419,'All Statement of strategy (D)'!$F417,IF('All Statement of strategy (D)'!$C$1=RefData!$B$420,'All Statement of strategy (D)'!$G417,IF('All Statement of strategy (D)'!$C$1=RefData!$B$421,'All Statement of strategy (D)'!$H417," "))))</f>
        <v xml:space="preserve"> </v>
      </c>
    </row>
    <row r="418" spans="1:9">
      <c r="A418" s="584" t="s">
        <v>1912</v>
      </c>
      <c r="B418" s="585" t="str">
        <f ca="1">MID('Reconciliation report'!$E$422,3001,1000)</f>
        <v/>
      </c>
      <c r="E418" s="585" t="str">
        <f ca="1">IF('Reconciliation report'!$E$420=RefData!$B$116,'All Statement of strategy (D)'!$B418,"")</f>
        <v/>
      </c>
      <c r="F418" s="585" t="str">
        <f ca="1">IF(AND('Reconciliation report'!$E$420=RefData!$B$116,'Reconciliation report'!$E$12=RefData!$B$12),'All Statement of strategy (D)'!$B418,"")</f>
        <v/>
      </c>
      <c r="G418" s="585" t="str">
        <f>""</f>
        <v/>
      </c>
      <c r="H418" s="585" t="str">
        <f>""</f>
        <v/>
      </c>
      <c r="I418" s="603" t="str">
        <f ca="1">IF($C$1=RefData!$B$418,'All Statement of strategy (D)'!$E418,IF('All Statement of strategy (D)'!$C$1=RefData!$B$419,'All Statement of strategy (D)'!$F418,IF('All Statement of strategy (D)'!$C$1=RefData!$B$420,'All Statement of strategy (D)'!$G418,IF('All Statement of strategy (D)'!$C$1=RefData!$B$421,'All Statement of strategy (D)'!$H418," "))))</f>
        <v xml:space="preserve"> </v>
      </c>
    </row>
    <row r="419" spans="1:9">
      <c r="B419" s="585" t="s">
        <v>1913</v>
      </c>
      <c r="E419" s="585" t="str">
        <f ca="1">IF('Reconciliation report'!$E$480&lt;&gt;"",$B419,"")</f>
        <v/>
      </c>
      <c r="F419" s="585" t="str">
        <f ca="1">IF(AND('Reconciliation report'!$E$12=RefData!$B$12,'Reconciliation report'!$E$480&lt;&gt;""),$B419,"")</f>
        <v/>
      </c>
      <c r="G419" s="585" t="str">
        <f ca="1">IF(AND('Reconciliation report'!$E$9=RefData!$B$5,'Reconciliation report'!$E$13=RefData!$B$14),'All Statement of strategy (D)'!$B419,"")</f>
        <v/>
      </c>
      <c r="H419" s="585" t="str">
        <f ca="1">IF(AND('Reconciliation report'!$E$9=RefData!$B$5,'Reconciliation report'!$E$13=RefData!$B$14),'All Statement of strategy (D)'!$B419,"")</f>
        <v/>
      </c>
      <c r="I419" s="603" t="str">
        <f ca="1">IF($C$1=RefData!$B$418,'All Statement of strategy (D)'!$E419,IF('All Statement of strategy (D)'!$C$1=RefData!$B$419,'All Statement of strategy (D)'!$F419,IF('All Statement of strategy (D)'!$C$1=RefData!$B$420,'All Statement of strategy (D)'!$G419,IF('All Statement of strategy (D)'!$C$1=RefData!$B$421,'All Statement of strategy (D)'!$H419," "))))</f>
        <v xml:space="preserve"> </v>
      </c>
    </row>
    <row r="420" spans="1:9">
      <c r="A420" s="584" t="s">
        <v>1914</v>
      </c>
      <c r="B420" s="615" t="str">
        <f ca="1">LEFT('Reconciliation report'!$E$480,1000)</f>
        <v/>
      </c>
      <c r="E420" s="585" t="str">
        <f ca="1">IF('Reconciliation report'!$E$480&lt;&gt;"",$B420,"")</f>
        <v/>
      </c>
      <c r="F420" s="585" t="str">
        <f ca="1">IF(AND('Reconciliation report'!$E$12=RefData!$B$12,'Reconciliation report'!$E$480&lt;&gt;""),$B420,"")</f>
        <v/>
      </c>
      <c r="G420" s="585" t="str">
        <f ca="1">IF(AND('Reconciliation report'!$E$9=RefData!$B$5,'Reconciliation report'!$E$13=RefData!$B$14),'All Statement of strategy (D)'!$B420,"")</f>
        <v/>
      </c>
      <c r="H420" s="585" t="str">
        <f ca="1">IF(AND('Reconciliation report'!$E$9=RefData!$B$5,'Reconciliation report'!$E$13=RefData!$B$14),'All Statement of strategy (D)'!$B420,"")</f>
        <v/>
      </c>
      <c r="I420" s="603" t="str">
        <f ca="1">IF($C$1=RefData!$B$418,'All Statement of strategy (D)'!$E420,IF('All Statement of strategy (D)'!$C$1=RefData!$B$419,'All Statement of strategy (D)'!$F420,IF('All Statement of strategy (D)'!$C$1=RefData!$B$420,'All Statement of strategy (D)'!$G420,IF('All Statement of strategy (D)'!$C$1=RefData!$B$421,'All Statement of strategy (D)'!$H420," "))))</f>
        <v xml:space="preserve"> </v>
      </c>
    </row>
    <row r="421" spans="1:9">
      <c r="A421" s="584" t="s">
        <v>1914</v>
      </c>
      <c r="B421" s="615" t="str">
        <f ca="1">MID('Reconciliation report'!$E$480,1001,1000)</f>
        <v/>
      </c>
      <c r="E421" s="585" t="str">
        <f ca="1">IF('Reconciliation report'!$E$480&lt;&gt;"",$B421,"")</f>
        <v/>
      </c>
      <c r="F421" s="585" t="str">
        <f ca="1">IF(AND('Reconciliation report'!$E$12=RefData!$B$12,'Reconciliation report'!$E$480&lt;&gt;""),$B421,"")</f>
        <v/>
      </c>
      <c r="G421" s="585" t="str">
        <f ca="1">IF(AND('Reconciliation report'!$E$9=RefData!$B$5,'Reconciliation report'!$E$13=RefData!$B$14),'All Statement of strategy (D)'!$B421,"")</f>
        <v/>
      </c>
      <c r="H421" s="585" t="str">
        <f ca="1">IF(AND('Reconciliation report'!$E$9=RefData!$B$5,'Reconciliation report'!$E$13=RefData!$B$14),'All Statement of strategy (D)'!$B421,"")</f>
        <v/>
      </c>
      <c r="I421" s="603" t="str">
        <f ca="1">IF($C$1=RefData!$B$418,'All Statement of strategy (D)'!$E421,IF('All Statement of strategy (D)'!$C$1=RefData!$B$419,'All Statement of strategy (D)'!$F421,IF('All Statement of strategy (D)'!$C$1=RefData!$B$420,'All Statement of strategy (D)'!$G421,IF('All Statement of strategy (D)'!$C$1=RefData!$B$421,'All Statement of strategy (D)'!$H421," "))))</f>
        <v xml:space="preserve"> </v>
      </c>
    </row>
    <row r="422" spans="1:9">
      <c r="A422" s="584" t="s">
        <v>1914</v>
      </c>
      <c r="B422" s="615" t="str">
        <f ca="1">MID('Reconciliation report'!$E$480,2001,1000)</f>
        <v/>
      </c>
      <c r="E422" s="585" t="str">
        <f ca="1">IF('Reconciliation report'!$E$480&lt;&gt;"",$B422,"")</f>
        <v/>
      </c>
      <c r="F422" s="585" t="str">
        <f ca="1">IF(AND('Reconciliation report'!$E$12=RefData!$B$12,'Reconciliation report'!$E$480&lt;&gt;""),$B422,"")</f>
        <v/>
      </c>
      <c r="G422" s="585" t="str">
        <f ca="1">IF(AND('Reconciliation report'!$E$9=RefData!$B$5,'Reconciliation report'!$E$13=RefData!$B$14),'All Statement of strategy (D)'!$B422,"")</f>
        <v/>
      </c>
      <c r="H422" s="585" t="str">
        <f ca="1">IF(AND('Reconciliation report'!$E$9=RefData!$B$5,'Reconciliation report'!$E$13=RefData!$B$14),'All Statement of strategy (D)'!$B422,"")</f>
        <v/>
      </c>
      <c r="I422" s="603" t="str">
        <f ca="1">IF($C$1=RefData!$B$418,'All Statement of strategy (D)'!$E422,IF('All Statement of strategy (D)'!$C$1=RefData!$B$419,'All Statement of strategy (D)'!$F422,IF('All Statement of strategy (D)'!$C$1=RefData!$B$420,'All Statement of strategy (D)'!$G422,IF('All Statement of strategy (D)'!$C$1=RefData!$B$421,'All Statement of strategy (D)'!$H422," "))))</f>
        <v xml:space="preserve"> </v>
      </c>
    </row>
    <row r="423" spans="1:9">
      <c r="A423" s="584" t="s">
        <v>1914</v>
      </c>
      <c r="B423" s="615" t="str">
        <f ca="1">MID('Reconciliation report'!$E$480,3001,1000)</f>
        <v/>
      </c>
      <c r="E423" s="585" t="str">
        <f ca="1">IF('Reconciliation report'!$E$480&lt;&gt;"",$B423,"")</f>
        <v/>
      </c>
      <c r="F423" s="585" t="str">
        <f ca="1">IF(AND('Reconciliation report'!$E$12=RefData!$B$12,'Reconciliation report'!$E$480&lt;&gt;""),$B423,"")</f>
        <v/>
      </c>
      <c r="G423" s="585" t="str">
        <f ca="1">IF(AND('Reconciliation report'!$E$9=RefData!$B$5,'Reconciliation report'!$E$13=RefData!$B$14),'All Statement of strategy (D)'!$B423,"")</f>
        <v/>
      </c>
      <c r="H423" s="585" t="str">
        <f ca="1">IF(AND('Reconciliation report'!$E$9=RefData!$B$5,'Reconciliation report'!$E$13=RefData!$B$14),'All Statement of strategy (D)'!$B423,"")</f>
        <v/>
      </c>
      <c r="I423" s="603" t="str">
        <f ca="1">IF($C$1=RefData!$B$418,'All Statement of strategy (D)'!$E423,IF('All Statement of strategy (D)'!$C$1=RefData!$B$419,'All Statement of strategy (D)'!$F423,IF('All Statement of strategy (D)'!$C$1=RefData!$B$420,'All Statement of strategy (D)'!$G423,IF('All Statement of strategy (D)'!$C$1=RefData!$B$421,'All Statement of strategy (D)'!$H423," "))))</f>
        <v xml:space="preserve"> </v>
      </c>
    </row>
    <row r="424" spans="1:9">
      <c r="B424" s="585" t="s">
        <v>1915</v>
      </c>
      <c r="E424" s="585" t="str">
        <f ca="1">IF('Reconciliation report'!$E$419=RefData!$B$119,'All Statement of strategy (D)'!$B424,"")</f>
        <v/>
      </c>
      <c r="F424" s="585" t="str">
        <f ca="1">IF(AND('Reconciliation report'!$E$12=RefData!$B$12,'Reconciliation report'!$E$419=RefData!$B$119),'All Statement of strategy (D)'!$B424,"")</f>
        <v/>
      </c>
      <c r="G424" s="585" t="str">
        <f>""</f>
        <v/>
      </c>
      <c r="H424" s="585" t="str">
        <f>""</f>
        <v/>
      </c>
      <c r="I424" s="603" t="str">
        <f ca="1">IF($C$1=RefData!$B$418,'All Statement of strategy (D)'!$E424,IF('All Statement of strategy (D)'!$C$1=RefData!$B$419,'All Statement of strategy (D)'!$F424,IF('All Statement of strategy (D)'!$C$1=RefData!$B$420,'All Statement of strategy (D)'!$G424,IF('All Statement of strategy (D)'!$C$1=RefData!$B$421,'All Statement of strategy (D)'!$H424," "))))</f>
        <v xml:space="preserve"> </v>
      </c>
    </row>
    <row r="425" spans="1:9">
      <c r="B425" s="585" t="s">
        <v>1916</v>
      </c>
      <c r="E425" s="585" t="str">
        <f ca="1">IF('Reconciliation report'!$E$419=RefData!$B$119,'All Statement of strategy (D)'!$B425,"")</f>
        <v/>
      </c>
      <c r="F425" s="585" t="str">
        <f ca="1">IF(AND('Reconciliation report'!$E$12=RefData!$B$12,'Reconciliation report'!$E$419=RefData!$B$119),'All Statement of strategy (D)'!$B425,"")</f>
        <v/>
      </c>
      <c r="G425" s="585" t="str">
        <f ca="1">IF(AND('Reconciliation report'!$E$9=RefData!$B$5,'Reconciliation report'!$E$13=RefData!$B$14,'Reconciliation report'!$E$419=RefData!$B$119),'All Statement of strategy (D)'!$B425,"")</f>
        <v/>
      </c>
      <c r="H425" s="585" t="str">
        <f ca="1">IF(AND('Reconciliation report'!$E$9=RefData!$B$5,'Reconciliation report'!$E$13=RefData!$B$14,'Reconciliation report'!$E$419=RefData!$B$119),'All Statement of strategy (D)'!$B425,"")</f>
        <v/>
      </c>
      <c r="I425" s="603" t="str">
        <f ca="1">IF($C$1=RefData!$B$418,'All Statement of strategy (D)'!$E425,IF('All Statement of strategy (D)'!$C$1=RefData!$B$419,'All Statement of strategy (D)'!$F425,IF('All Statement of strategy (D)'!$C$1=RefData!$B$420,'All Statement of strategy (D)'!$G425,IF('All Statement of strategy (D)'!$C$1=RefData!$B$421,'All Statement of strategy (D)'!$H425," "))))</f>
        <v xml:space="preserve"> </v>
      </c>
    </row>
    <row r="426" spans="1:9">
      <c r="A426" s="584" t="s">
        <v>1917</v>
      </c>
      <c r="B426" s="594" t="s">
        <v>1918</v>
      </c>
      <c r="C426" s="615" t="str">
        <f ca="1">TEXT('Reconciliation report'!$E$483,RefData!$B$425)</f>
        <v/>
      </c>
      <c r="E426" s="585" t="str">
        <f ca="1">IF('Reconciliation report'!$E$419=RefData!$B$119,'All Statement of strategy (D)'!$B426&amp;$C426,"")</f>
        <v/>
      </c>
      <c r="F426" s="585" t="str">
        <f ca="1">IF(AND('Reconciliation report'!$E$12=RefData!$B$12,'Reconciliation report'!$E$419=RefData!$B$119),'All Statement of strategy (D)'!$B426&amp;$C426,"")</f>
        <v/>
      </c>
      <c r="G426" s="585" t="str">
        <f ca="1">IF(AND('Reconciliation report'!$E$9=RefData!$B$5,'Reconciliation report'!$E$13=RefData!$B$14,'Reconciliation report'!$E$419=RefData!$B$119),'All Statement of strategy (D)'!$B426&amp;C426,"")</f>
        <v/>
      </c>
      <c r="H426" s="585" t="str">
        <f ca="1">IF(AND('Reconciliation report'!$E$9=RefData!$B$5,'Reconciliation report'!$E$13=RefData!$B$14,'Reconciliation report'!$E$419=RefData!$B$119),'All Statement of strategy (D)'!$B426&amp;C426,"")</f>
        <v/>
      </c>
      <c r="I426" s="603" t="str">
        <f ca="1">IF($C$1=RefData!$B$418,'All Statement of strategy (D)'!$E426,IF('All Statement of strategy (D)'!$C$1=RefData!$B$419,'All Statement of strategy (D)'!$F426,IF('All Statement of strategy (D)'!$C$1=RefData!$B$420,'All Statement of strategy (D)'!$G426,IF('All Statement of strategy (D)'!$C$1=RefData!$B$421,'All Statement of strategy (D)'!$H426," "))))</f>
        <v xml:space="preserve"> </v>
      </c>
    </row>
    <row r="427" spans="1:9">
      <c r="B427" s="585" t="s">
        <v>1919</v>
      </c>
      <c r="E427" s="585" t="str">
        <f ca="1">IF('Reconciliation report'!$E$419=RefData!$B$119,'All Statement of strategy (D)'!$B427&amp;$C427,"")</f>
        <v/>
      </c>
      <c r="F427" s="585" t="str">
        <f ca="1">IF('Reconciliation report'!$E$12=RefData!$B$12,$B427,"")</f>
        <v/>
      </c>
      <c r="G427" s="585" t="str">
        <f>""</f>
        <v/>
      </c>
      <c r="H427" s="585" t="str">
        <f>""</f>
        <v/>
      </c>
      <c r="I427" s="603" t="str">
        <f ca="1">IF($C$1=RefData!$B$418,'All Statement of strategy (D)'!$E427,IF('All Statement of strategy (D)'!$C$1=RefData!$B$419,'All Statement of strategy (D)'!$F427,IF('All Statement of strategy (D)'!$C$1=RefData!$B$420,'All Statement of strategy (D)'!$G427,IF('All Statement of strategy (D)'!$C$1=RefData!$B$421,'All Statement of strategy (D)'!$H427," "))))</f>
        <v xml:space="preserve"> </v>
      </c>
    </row>
    <row r="428" spans="1:9">
      <c r="A428" s="584" t="s">
        <v>1920</v>
      </c>
      <c r="B428" s="585" t="s">
        <v>1921</v>
      </c>
      <c r="C428" s="585" t="str">
        <f ca="1">TEXT('Reconciliation report'!$E$541,RefData!$B$425)</f>
        <v/>
      </c>
      <c r="E428" s="585" t="str">
        <f ca="1">IF('Reconciliation report'!$E$419=RefData!$B$119,'All Statement of strategy (D)'!$B428&amp;$C428,"")</f>
        <v/>
      </c>
      <c r="F428" s="585" t="str">
        <f ca="1">IF('Reconciliation report'!$E$12=RefData!$B$12,$B428&amp;$C428,"")</f>
        <v/>
      </c>
      <c r="G428" s="585" t="str">
        <f>""</f>
        <v/>
      </c>
      <c r="H428" s="585" t="str">
        <f>""</f>
        <v/>
      </c>
      <c r="I428" s="603" t="str">
        <f ca="1">IF($C$1=RefData!$B$418,'All Statement of strategy (D)'!$E428,IF('All Statement of strategy (D)'!$C$1=RefData!$B$419,'All Statement of strategy (D)'!$F428,IF('All Statement of strategy (D)'!$C$1=RefData!$B$420,'All Statement of strategy (D)'!$G428,IF('All Statement of strategy (D)'!$C$1=RefData!$B$421,'All Statement of strategy (D)'!$H428," "))))</f>
        <v xml:space="preserve"> </v>
      </c>
    </row>
    <row r="429" spans="1:9">
      <c r="A429" s="584" t="s">
        <v>1922</v>
      </c>
      <c r="B429" s="585" t="s">
        <v>1923</v>
      </c>
      <c r="C429" s="585" t="str">
        <f ca="1">TEXT('Reconciliation report'!$E$542,RefData!$B$425)</f>
        <v/>
      </c>
      <c r="E429" s="585" t="str">
        <f ca="1">IF('Reconciliation report'!$E$419=RefData!$B$119,'All Statement of strategy (D)'!$B429&amp;$C429,"")</f>
        <v/>
      </c>
      <c r="F429" s="585" t="str">
        <f ca="1">IF('Reconciliation report'!$E$12=RefData!$B$12,$B429&amp;$C429,"")</f>
        <v/>
      </c>
      <c r="G429" s="585" t="str">
        <f>""</f>
        <v/>
      </c>
      <c r="H429" s="585" t="str">
        <f>""</f>
        <v/>
      </c>
      <c r="I429" s="603" t="str">
        <f ca="1">IF($C$1=RefData!$B$418,'All Statement of strategy (D)'!$E429,IF('All Statement of strategy (D)'!$C$1=RefData!$B$419,'All Statement of strategy (D)'!$F429,IF('All Statement of strategy (D)'!$C$1=RefData!$B$420,'All Statement of strategy (D)'!$G429,IF('All Statement of strategy (D)'!$C$1=RefData!$B$421,'All Statement of strategy (D)'!$H429," "))))</f>
        <v xml:space="preserve"> </v>
      </c>
    </row>
    <row r="430" spans="1:9">
      <c r="A430" s="584" t="s">
        <v>1924</v>
      </c>
      <c r="B430" s="585" t="s">
        <v>1925</v>
      </c>
      <c r="C430" s="585" t="str">
        <f ca="1">TEXT('Reconciliation report'!$E$543,RefData!$B$425)</f>
        <v/>
      </c>
      <c r="E430" s="585" t="str">
        <f ca="1">IF('Reconciliation report'!$E$419=RefData!$B$119,'All Statement of strategy (D)'!$B430&amp;$C430,"")</f>
        <v/>
      </c>
      <c r="F430" s="585" t="str">
        <f ca="1">IF('Reconciliation report'!$E$12=RefData!$B$12,$B430&amp;$C430,"")</f>
        <v/>
      </c>
      <c r="G430" s="585" t="str">
        <f>""</f>
        <v/>
      </c>
      <c r="H430" s="585" t="str">
        <f>""</f>
        <v/>
      </c>
      <c r="I430" s="603" t="str">
        <f ca="1">IF($C$1=RefData!$B$418,'All Statement of strategy (D)'!$E430,IF('All Statement of strategy (D)'!$C$1=RefData!$B$419,'All Statement of strategy (D)'!$F430,IF('All Statement of strategy (D)'!$C$1=RefData!$B$420,'All Statement of strategy (D)'!$G430,IF('All Statement of strategy (D)'!$C$1=RefData!$B$421,'All Statement of strategy (D)'!$H430," "))))</f>
        <v xml:space="preserve"> </v>
      </c>
    </row>
    <row r="431" spans="1:9">
      <c r="A431" s="604" t="s">
        <v>1926</v>
      </c>
      <c r="B431" s="585" t="s">
        <v>1927</v>
      </c>
      <c r="C431" s="585" t="str">
        <f ca="1">IF('Reconciliation report'!$E$539=RefData!$B$107,"",'Reconciliation report'!$E$539)</f>
        <v/>
      </c>
      <c r="E431" s="585" t="str">
        <f ca="1">IF('Reconciliation report'!$E$419=RefData!$B$119,'All Statement of strategy (D)'!$B431&amp;$C431,"")</f>
        <v/>
      </c>
      <c r="F431" s="585" t="str">
        <f ca="1">IF('Reconciliation report'!$E$12=RefData!$B$12,$B431&amp;$C431,"")</f>
        <v/>
      </c>
      <c r="G431" s="585" t="str">
        <f>""</f>
        <v/>
      </c>
      <c r="H431" s="585" t="str">
        <f>""</f>
        <v/>
      </c>
      <c r="I431" s="603" t="str">
        <f ca="1">IF($C$1=RefData!$B$418,'All Statement of strategy (D)'!$E431,IF('All Statement of strategy (D)'!$C$1=RefData!$B$419,'All Statement of strategy (D)'!$F431,IF('All Statement of strategy (D)'!$C$1=RefData!$B$420,'All Statement of strategy (D)'!$G431,IF('All Statement of strategy (D)'!$C$1=RefData!$B$421,'All Statement of strategy (D)'!$H431," "))))</f>
        <v xml:space="preserve"> </v>
      </c>
    </row>
    <row r="432" spans="1:9">
      <c r="A432" s="604" t="s">
        <v>1928</v>
      </c>
      <c r="B432" s="585" t="str">
        <f ca="1">LEFT('Reconciliation report'!$E$540,1000)</f>
        <v/>
      </c>
      <c r="E432" s="585" t="str">
        <f ca="1">IF('Reconciliation report'!$E$419=RefData!$B$119,'All Statement of strategy (D)'!$B432&amp;$C432,"")</f>
        <v/>
      </c>
      <c r="F432" s="585" t="str">
        <f ca="1">IF('Reconciliation report'!$E$12=RefData!$B$12,$B432&amp;$C432,"")</f>
        <v/>
      </c>
      <c r="G432" s="585" t="str">
        <f>""</f>
        <v/>
      </c>
      <c r="H432" s="585" t="str">
        <f>""</f>
        <v/>
      </c>
      <c r="I432" s="603" t="str">
        <f ca="1">IF($C$1=RefData!$B$418,'All Statement of strategy (D)'!$E432,IF('All Statement of strategy (D)'!$C$1=RefData!$B$419,'All Statement of strategy (D)'!$F432,IF('All Statement of strategy (D)'!$C$1=RefData!$B$420,'All Statement of strategy (D)'!$G432,IF('All Statement of strategy (D)'!$C$1=RefData!$B$421,'All Statement of strategy (D)'!$H432," "))))</f>
        <v xml:space="preserve"> </v>
      </c>
    </row>
    <row r="433" spans="1:9">
      <c r="A433" s="604" t="s">
        <v>1928</v>
      </c>
      <c r="B433" s="585" t="str">
        <f ca="1">MID('Reconciliation report'!$E$539,1001,1000)</f>
        <v/>
      </c>
      <c r="E433" s="585" t="str">
        <f ca="1">IF('Reconciliation report'!$E$419=RefData!$B$119,'All Statement of strategy (D)'!$B433&amp;$C433,"")</f>
        <v/>
      </c>
      <c r="F433" s="585" t="str">
        <f ca="1">IF('Reconciliation report'!$E$12=RefData!$B$12,$B433&amp;$C433,"")</f>
        <v/>
      </c>
      <c r="G433" s="585" t="str">
        <f>""</f>
        <v/>
      </c>
      <c r="H433" s="585" t="str">
        <f>""</f>
        <v/>
      </c>
      <c r="I433" s="603" t="str">
        <f ca="1">IF($C$1=RefData!$B$418,'All Statement of strategy (D)'!$E433,IF('All Statement of strategy (D)'!$C$1=RefData!$B$419,'All Statement of strategy (D)'!$F433,IF('All Statement of strategy (D)'!$C$1=RefData!$B$420,'All Statement of strategy (D)'!$G433,IF('All Statement of strategy (D)'!$C$1=RefData!$B$421,'All Statement of strategy (D)'!$H433," "))))</f>
        <v xml:space="preserve"> </v>
      </c>
    </row>
    <row r="434" spans="1:9">
      <c r="A434" s="604" t="s">
        <v>1928</v>
      </c>
      <c r="B434" s="585" t="str">
        <f ca="1">MID('Reconciliation report'!$E$539,2001,1000)</f>
        <v/>
      </c>
      <c r="E434" s="585" t="str">
        <f ca="1">IF('Reconciliation report'!$E$419=RefData!$B$119,'All Statement of strategy (D)'!$B434&amp;$C434,"")</f>
        <v/>
      </c>
      <c r="F434" s="585" t="str">
        <f ca="1">IF('Reconciliation report'!$E$12=RefData!$B$12,$B434&amp;$C434,"")</f>
        <v/>
      </c>
      <c r="G434" s="585" t="str">
        <f>""</f>
        <v/>
      </c>
      <c r="H434" s="585" t="str">
        <f>""</f>
        <v/>
      </c>
      <c r="I434" s="603" t="str">
        <f ca="1">IF($C$1=RefData!$B$418,'All Statement of strategy (D)'!$E434,IF('All Statement of strategy (D)'!$C$1=RefData!$B$419,'All Statement of strategy (D)'!$F434,IF('All Statement of strategy (D)'!$C$1=RefData!$B$420,'All Statement of strategy (D)'!$G434,IF('All Statement of strategy (D)'!$C$1=RefData!$B$421,'All Statement of strategy (D)'!$H434," "))))</f>
        <v xml:space="preserve"> </v>
      </c>
    </row>
    <row r="435" spans="1:9">
      <c r="A435" s="604" t="s">
        <v>1928</v>
      </c>
      <c r="B435" s="585" t="str">
        <f ca="1">MID('Reconciliation report'!$E$539,3001,1000)</f>
        <v/>
      </c>
      <c r="E435" s="585" t="str">
        <f ca="1">IF('Reconciliation report'!$E$419=RefData!$B$119,'All Statement of strategy (D)'!$B435&amp;$C435,"")</f>
        <v/>
      </c>
      <c r="F435" s="585" t="str">
        <f ca="1">IF('Reconciliation report'!$E$12=RefData!$B$12,$B435&amp;$C435,"")</f>
        <v/>
      </c>
      <c r="G435" s="585" t="str">
        <f>""</f>
        <v/>
      </c>
      <c r="H435" s="585" t="str">
        <f>""</f>
        <v/>
      </c>
      <c r="I435" s="603" t="str">
        <f ca="1">IF($C$1=RefData!$B$418,'All Statement of strategy (D)'!$E435,IF('All Statement of strategy (D)'!$C$1=RefData!$B$419,'All Statement of strategy (D)'!$F435,IF('All Statement of strategy (D)'!$C$1=RefData!$B$420,'All Statement of strategy (D)'!$G435,IF('All Statement of strategy (D)'!$C$1=RefData!$B$421,'All Statement of strategy (D)'!$H435," "))))</f>
        <v xml:space="preserve"> </v>
      </c>
    </row>
    <row r="436" spans="1:9">
      <c r="A436" s="604"/>
      <c r="B436" s="585" t="s">
        <v>1929</v>
      </c>
      <c r="E436" s="585" t="str">
        <f ca="1">IF(AND('Reconciliation report'!$E$419=RefData!$B$119,'Reconciliation report'!$E$488&gt;=1),'All Statement of strategy (D)'!$B436,"")</f>
        <v/>
      </c>
      <c r="F436" s="585" t="str">
        <f ca="1">IF(AND('Reconciliation report'!$E$488&gt;=1,'Reconciliation report'!$E$12=RefData!$B$12),$B436,"")</f>
        <v/>
      </c>
      <c r="G436" s="585" t="str">
        <f>""</f>
        <v/>
      </c>
      <c r="H436" s="585" t="str">
        <f>""</f>
        <v/>
      </c>
      <c r="I436" s="603" t="str">
        <f ca="1">IF($C$1=RefData!$B$418,'All Statement of strategy (D)'!$E436,IF('All Statement of strategy (D)'!$C$1=RefData!$B$419,'All Statement of strategy (D)'!$F436,IF('All Statement of strategy (D)'!$C$1=RefData!$B$420,'All Statement of strategy (D)'!$G436,IF('All Statement of strategy (D)'!$C$1=RefData!$B$421,'All Statement of strategy (D)'!$H436," "))))</f>
        <v xml:space="preserve"> </v>
      </c>
    </row>
    <row r="437" spans="1:9">
      <c r="A437" s="584" t="s">
        <v>1930</v>
      </c>
      <c r="B437" s="585" t="str">
        <f ca="1">IF('Reconciliation report'!$E$489&lt;&gt;"","Entity 1","")</f>
        <v/>
      </c>
      <c r="E437" s="585" t="str">
        <f ca="1">IF(AND('Reconciliation report'!$E$419=RefData!$B$119,'Reconciliation report'!$E$488&gt;=1),'All Statement of strategy (D)'!$B437&amp;$C437,"")</f>
        <v/>
      </c>
      <c r="F437" s="585" t="str">
        <f ca="1">IF(AND('Reconciliation report'!$E$488&gt;=1,'Reconciliation report'!$E$12=RefData!$B$12),$B437&amp;" "&amp;C437,"")</f>
        <v/>
      </c>
      <c r="G437" s="585" t="str">
        <f>""</f>
        <v/>
      </c>
      <c r="H437" s="585" t="str">
        <f>""</f>
        <v/>
      </c>
      <c r="I437" s="603" t="str">
        <f ca="1">IF($C$1=RefData!$B$418,'All Statement of strategy (D)'!$E437,IF('All Statement of strategy (D)'!$C$1=RefData!$B$419,'All Statement of strategy (D)'!$F437,IF('All Statement of strategy (D)'!$C$1=RefData!$B$420,'All Statement of strategy (D)'!$G437,IF('All Statement of strategy (D)'!$C$1=RefData!$B$421,'All Statement of strategy (D)'!$H437," "))))</f>
        <v xml:space="preserve"> </v>
      </c>
    </row>
    <row r="438" spans="1:9">
      <c r="A438" s="584" t="s">
        <v>1931</v>
      </c>
      <c r="B438" s="585" t="s">
        <v>1852</v>
      </c>
      <c r="C438" s="585" t="str">
        <f ca="1">'Reconciliation report'!$E$489</f>
        <v/>
      </c>
      <c r="E438" s="585" t="str">
        <f ca="1">IF(AND($C438&lt;&gt;"",'Reconciliation report'!$E$419=RefData!$B$119,'Reconciliation report'!$E$488&gt;=1),'All Statement of strategy (D)'!$B438&amp;$C438,"")</f>
        <v/>
      </c>
      <c r="F438" s="585" t="str">
        <f ca="1">IF(AND('Reconciliation report'!$E$488&gt;=1,$C438&lt;&gt;"",'Reconciliation report'!$E$12=RefData!$B$12),$B438&amp;" "&amp;C438,"")</f>
        <v/>
      </c>
      <c r="G438" s="585" t="str">
        <f>""</f>
        <v/>
      </c>
      <c r="H438" s="585" t="str">
        <f>""</f>
        <v/>
      </c>
      <c r="I438" s="603" t="str">
        <f ca="1">IF($C$1=RefData!$B$418,'All Statement of strategy (D)'!$E438,IF('All Statement of strategy (D)'!$C$1=RefData!$B$419,'All Statement of strategy (D)'!$F438,IF('All Statement of strategy (D)'!$C$1=RefData!$B$420,'All Statement of strategy (D)'!$G438,IF('All Statement of strategy (D)'!$C$1=RefData!$B$421,'All Statement of strategy (D)'!$H438," "))))</f>
        <v xml:space="preserve"> </v>
      </c>
    </row>
    <row r="439" spans="1:9">
      <c r="A439" s="584" t="s">
        <v>1932</v>
      </c>
      <c r="B439" s="585" t="s">
        <v>1854</v>
      </c>
      <c r="C439" s="585" t="str">
        <f ca="1">'Reconciliation report'!$E$490</f>
        <v/>
      </c>
      <c r="E439" s="585" t="str">
        <f ca="1">IF(AND('Reconciliation report'!$E$421&gt;=1,TRIM($C439)&lt;&gt;""),$B439&amp;" "&amp;$C439,"")</f>
        <v/>
      </c>
      <c r="F439" s="585" t="str">
        <f ca="1">IF(AND('Reconciliation report'!$E$488&gt;=1,$C439&lt;&gt;"",'Reconciliation report'!$E$12=RefData!$B$12),$B439&amp;" "&amp;C439,"")</f>
        <v/>
      </c>
      <c r="G439" s="585" t="str">
        <f>""</f>
        <v/>
      </c>
      <c r="H439" s="585" t="str">
        <f>""</f>
        <v/>
      </c>
      <c r="I439" s="603" t="str">
        <f ca="1">IF($C$1=RefData!$B$418,'All Statement of strategy (D)'!$E439,IF('All Statement of strategy (D)'!$C$1=RefData!$B$419,'All Statement of strategy (D)'!$F439,IF('All Statement of strategy (D)'!$C$1=RefData!$B$420,'All Statement of strategy (D)'!$G439,IF('All Statement of strategy (D)'!$C$1=RefData!$B$421,'All Statement of strategy (D)'!$H439," "))))</f>
        <v xml:space="preserve"> </v>
      </c>
    </row>
    <row r="440" spans="1:9">
      <c r="A440" s="584" t="s">
        <v>1933</v>
      </c>
      <c r="B440" s="585" t="s">
        <v>1856</v>
      </c>
      <c r="C440" s="585" t="str">
        <f ca="1">'Reconciliation report'!$E$491</f>
        <v/>
      </c>
      <c r="E440" s="585" t="str">
        <f ca="1">IF(AND($C440&lt;&gt;"",'Reconciliation report'!$E$419=RefData!$B$119,'Reconciliation report'!$E$488&gt;=1),'All Statement of strategy (D)'!$B440&amp;$C440,"")</f>
        <v/>
      </c>
      <c r="F440" s="585" t="str">
        <f ca="1">IF(AND('Reconciliation report'!$E$488&gt;=1,$C440&lt;&gt;"",'Reconciliation report'!$E$12=RefData!$B$12),$B440&amp;" "&amp;C440,"")</f>
        <v/>
      </c>
      <c r="G440" s="585" t="str">
        <f>""</f>
        <v/>
      </c>
      <c r="H440" s="585" t="str">
        <f>""</f>
        <v/>
      </c>
      <c r="I440" s="603" t="str">
        <f ca="1">IF($C$1=RefData!$B$418,'All Statement of strategy (D)'!$E440,IF('All Statement of strategy (D)'!$C$1=RefData!$B$419,'All Statement of strategy (D)'!$F440,IF('All Statement of strategy (D)'!$C$1=RefData!$B$420,'All Statement of strategy (D)'!$G440,IF('All Statement of strategy (D)'!$C$1=RefData!$B$421,'All Statement of strategy (D)'!$H440," "))))</f>
        <v xml:space="preserve"> </v>
      </c>
    </row>
    <row r="441" spans="1:9">
      <c r="A441" s="584" t="s">
        <v>1934</v>
      </c>
      <c r="B441" s="585" t="s">
        <v>1858</v>
      </c>
      <c r="C441" s="585" t="str">
        <f ca="1">'Reconciliation report'!$E$492</f>
        <v/>
      </c>
      <c r="E441" s="585" t="str">
        <f ca="1">IF(AND($C441&lt;&gt;"",'Reconciliation report'!$E$419=RefData!$B$119,'Reconciliation report'!$E$488&gt;=1),'All Statement of strategy (D)'!$B441&amp;$C441,"")</f>
        <v/>
      </c>
      <c r="F441" s="585" t="str">
        <f ca="1">IF(AND('Reconciliation report'!$E$488&gt;=1,$C441&lt;&gt;"",'Reconciliation report'!$E$12=RefData!$B$12),$B441&amp;" "&amp;C441,"")</f>
        <v/>
      </c>
      <c r="G441" s="585" t="str">
        <f>""</f>
        <v/>
      </c>
      <c r="H441" s="585" t="str">
        <f>""</f>
        <v/>
      </c>
      <c r="I441" s="603" t="str">
        <f ca="1">IF($C$1=RefData!$B$418,'All Statement of strategy (D)'!$E441,IF('All Statement of strategy (D)'!$C$1=RefData!$B$419,'All Statement of strategy (D)'!$F441,IF('All Statement of strategy (D)'!$C$1=RefData!$B$420,'All Statement of strategy (D)'!$G441,IF('All Statement of strategy (D)'!$C$1=RefData!$B$421,'All Statement of strategy (D)'!$H441," "))))</f>
        <v xml:space="preserve"> </v>
      </c>
    </row>
    <row r="442" spans="1:9">
      <c r="A442" s="584" t="s">
        <v>1935</v>
      </c>
      <c r="B442" s="585" t="s">
        <v>1860</v>
      </c>
      <c r="C442" s="585" t="str">
        <f ca="1">'Reconciliation report'!$E$493</f>
        <v/>
      </c>
      <c r="E442" s="585" t="str">
        <f ca="1">IF(AND($C442&lt;&gt;"",'Reconciliation report'!$E$419=RefData!$B$119,'Reconciliation report'!$E$488&gt;=1),'All Statement of strategy (D)'!$B442&amp;$C442,"")</f>
        <v/>
      </c>
      <c r="F442" s="585" t="str">
        <f ca="1">IF(AND('Reconciliation report'!$E$488&gt;=1,$C442&lt;&gt;"",'Reconciliation report'!$E$12=RefData!$B$12),$B442&amp;" "&amp;C442,"")</f>
        <v/>
      </c>
      <c r="G442" s="585" t="str">
        <f>""</f>
        <v/>
      </c>
      <c r="H442" s="585" t="str">
        <f>""</f>
        <v/>
      </c>
      <c r="I442" s="603" t="str">
        <f ca="1">IF($C$1=RefData!$B$418,'All Statement of strategy (D)'!$E442,IF('All Statement of strategy (D)'!$C$1=RefData!$B$419,'All Statement of strategy (D)'!$F442,IF('All Statement of strategy (D)'!$C$1=RefData!$B$420,'All Statement of strategy (D)'!$G442,IF('All Statement of strategy (D)'!$C$1=RefData!$B$421,'All Statement of strategy (D)'!$H442," "))))</f>
        <v xml:space="preserve"> </v>
      </c>
    </row>
    <row r="443" spans="1:9">
      <c r="A443" s="584" t="s">
        <v>1936</v>
      </c>
      <c r="B443" s="585" t="s">
        <v>1862</v>
      </c>
      <c r="C443" s="585" t="str">
        <f ca="1">'Reconciliation report'!$E$494</f>
        <v/>
      </c>
      <c r="E443" s="585" t="str">
        <f ca="1">IF(AND($C443&lt;&gt;"",'Reconciliation report'!$E$419=RefData!$B$119,'Reconciliation report'!$E$488&gt;=1),'All Statement of strategy (D)'!$B443&amp;$C443,"")</f>
        <v/>
      </c>
      <c r="F443" s="585" t="str">
        <f ca="1">IF(AND('Reconciliation report'!$E$488&gt;=1,$C443&lt;&gt;"",'Reconciliation report'!$E$12=RefData!$B$12),$B443&amp;" "&amp;C443,"")</f>
        <v/>
      </c>
      <c r="G443" s="585" t="str">
        <f>""</f>
        <v/>
      </c>
      <c r="H443" s="585" t="str">
        <f>""</f>
        <v/>
      </c>
      <c r="I443" s="603" t="str">
        <f ca="1">IF($C$1=RefData!$B$418,'All Statement of strategy (D)'!$E443,IF('All Statement of strategy (D)'!$C$1=RefData!$B$419,'All Statement of strategy (D)'!$F443,IF('All Statement of strategy (D)'!$C$1=RefData!$B$420,'All Statement of strategy (D)'!$G443,IF('All Statement of strategy (D)'!$C$1=RefData!$B$421,'All Statement of strategy (D)'!$H443," "))))</f>
        <v xml:space="preserve"> </v>
      </c>
    </row>
    <row r="444" spans="1:9">
      <c r="A444" s="584" t="s">
        <v>1937</v>
      </c>
      <c r="B444" s="585" t="s">
        <v>1864</v>
      </c>
      <c r="C444" s="585" t="str">
        <f ca="1">'Reconciliation report'!$E$495</f>
        <v/>
      </c>
      <c r="E444" s="585" t="str">
        <f ca="1">IF(AND($C444&lt;&gt;"",'Reconciliation report'!$E$419=RefData!$B$119,'Reconciliation report'!$E$488&gt;=1),'All Statement of strategy (D)'!$B444&amp;$C444,"")</f>
        <v/>
      </c>
      <c r="F444" s="585" t="str">
        <f ca="1">IF(AND('Reconciliation report'!$E$488&gt;=1,$C444&lt;&gt;"",'Reconciliation report'!$E$12=RefData!$B$12),$B444&amp;" "&amp;C444,"")</f>
        <v/>
      </c>
      <c r="G444" s="585" t="str">
        <f>""</f>
        <v/>
      </c>
      <c r="H444" s="585" t="str">
        <f>""</f>
        <v/>
      </c>
      <c r="I444" s="603" t="str">
        <f ca="1">IF($C$1=RefData!$B$418,'All Statement of strategy (D)'!$E444,IF('All Statement of strategy (D)'!$C$1=RefData!$B$419,'All Statement of strategy (D)'!$F444,IF('All Statement of strategy (D)'!$C$1=RefData!$B$420,'All Statement of strategy (D)'!$G444,IF('All Statement of strategy (D)'!$C$1=RefData!$B$421,'All Statement of strategy (D)'!$H444," "))))</f>
        <v xml:space="preserve"> </v>
      </c>
    </row>
    <row r="445" spans="1:9">
      <c r="A445" s="584" t="s">
        <v>1938</v>
      </c>
      <c r="B445" s="585" t="s">
        <v>1866</v>
      </c>
      <c r="C445" s="585" t="str">
        <f ca="1">'Reconciliation report'!$E$496</f>
        <v/>
      </c>
      <c r="E445" s="585" t="str">
        <f ca="1">IF(AND($C445&lt;&gt;"",'Reconciliation report'!$E$419=RefData!$B$119,'Reconciliation report'!$E$488&gt;=1),'All Statement of strategy (D)'!$B445&amp;$C445,"")</f>
        <v/>
      </c>
      <c r="F445" s="585" t="str">
        <f ca="1">IF(AND('Reconciliation report'!$E$488&gt;=1,$C445&lt;&gt;"",'Reconciliation report'!$E$12=RefData!$B$12),$B445&amp;" "&amp;C445,"")</f>
        <v/>
      </c>
      <c r="G445" s="585" t="str">
        <f>""</f>
        <v/>
      </c>
      <c r="H445" s="585" t="str">
        <f>""</f>
        <v/>
      </c>
      <c r="I445" s="603" t="str">
        <f ca="1">IF($C$1=RefData!$B$418,'All Statement of strategy (D)'!$E445,IF('All Statement of strategy (D)'!$C$1=RefData!$B$419,'All Statement of strategy (D)'!$F445,IF('All Statement of strategy (D)'!$C$1=RefData!$B$420,'All Statement of strategy (D)'!$G445,IF('All Statement of strategy (D)'!$C$1=RefData!$B$421,'All Statement of strategy (D)'!$H445," "))))</f>
        <v xml:space="preserve"> </v>
      </c>
    </row>
    <row r="446" spans="1:9">
      <c r="A446" s="584" t="s">
        <v>1939</v>
      </c>
      <c r="B446" s="585" t="s">
        <v>1868</v>
      </c>
      <c r="C446" s="585" t="str">
        <f ca="1">'Reconciliation report'!$E$497</f>
        <v/>
      </c>
      <c r="E446" s="585" t="str">
        <f ca="1">IF(AND($C446&lt;&gt;"",'Reconciliation report'!$E$419=RefData!$B$119,'Reconciliation report'!$E$488&gt;=1),'All Statement of strategy (D)'!$B446&amp;$C446,"")</f>
        <v/>
      </c>
      <c r="F446" s="585" t="str">
        <f ca="1">IF(AND('Reconciliation report'!$E$488&gt;=1,$C446&lt;&gt;"",'Reconciliation report'!$E$12=RefData!$B$12),$B446&amp;" "&amp;C446,"")</f>
        <v/>
      </c>
      <c r="G446" s="585" t="str">
        <f>""</f>
        <v/>
      </c>
      <c r="H446" s="585" t="str">
        <f>""</f>
        <v/>
      </c>
      <c r="I446" s="603" t="str">
        <f ca="1">IF($C$1=RefData!$B$418,'All Statement of strategy (D)'!$E446,IF('All Statement of strategy (D)'!$C$1=RefData!$B$419,'All Statement of strategy (D)'!$F446,IF('All Statement of strategy (D)'!$C$1=RefData!$B$420,'All Statement of strategy (D)'!$G446,IF('All Statement of strategy (D)'!$C$1=RefData!$B$421,'All Statement of strategy (D)'!$H446," "))))</f>
        <v xml:space="preserve"> </v>
      </c>
    </row>
    <row r="447" spans="1:9">
      <c r="A447" s="584" t="s">
        <v>1940</v>
      </c>
      <c r="B447" s="585" t="s">
        <v>1870</v>
      </c>
      <c r="C447" s="585" t="str">
        <f ca="1">'Reconciliation report'!$E$498</f>
        <v/>
      </c>
      <c r="E447" s="585" t="str">
        <f ca="1">IF(AND($C447&lt;&gt;"",'Reconciliation report'!$E$419=RefData!$B$119,'Reconciliation report'!$E$488&gt;=1),'All Statement of strategy (D)'!$B447&amp;$C447,"")</f>
        <v/>
      </c>
      <c r="F447" s="585" t="str">
        <f ca="1">IF(AND('Reconciliation report'!$E$488&gt;=1,$C447&lt;&gt;"",'Reconciliation report'!$E$12=RefData!$B$12),$B447&amp;" "&amp;C447,"")</f>
        <v/>
      </c>
      <c r="G447" s="585" t="str">
        <f>""</f>
        <v/>
      </c>
      <c r="H447" s="585" t="str">
        <f>""</f>
        <v/>
      </c>
      <c r="I447" s="603" t="str">
        <f ca="1">IF($C$1=RefData!$B$418,'All Statement of strategy (D)'!$E447,IF('All Statement of strategy (D)'!$C$1=RefData!$B$419,'All Statement of strategy (D)'!$F447,IF('All Statement of strategy (D)'!$C$1=RefData!$B$420,'All Statement of strategy (D)'!$G447,IF('All Statement of strategy (D)'!$C$1=RefData!$B$421,'All Statement of strategy (D)'!$H447," "))))</f>
        <v xml:space="preserve"> </v>
      </c>
    </row>
    <row r="448" spans="1:9">
      <c r="A448" s="584" t="s">
        <v>1941</v>
      </c>
      <c r="B448" s="585" t="str">
        <f ca="1">IF('Reconciliation report'!$E$499&lt;&gt;"","Entity 2","")</f>
        <v/>
      </c>
      <c r="E448" s="585" t="str">
        <f ca="1">IF(AND('Reconciliation report'!$E$419=RefData!$B$119,'Reconciliation report'!$E$488&gt;=2),'All Statement of strategy (D)'!$B448&amp;$C448,"")</f>
        <v/>
      </c>
      <c r="F448" s="585" t="str">
        <f ca="1">IF(AND('Reconciliation report'!$E$488&gt;=2,'Reconciliation report'!$E$12=RefData!$B$12),$B448&amp;" "&amp;C448,"")</f>
        <v/>
      </c>
      <c r="G448" s="585" t="str">
        <f>""</f>
        <v/>
      </c>
      <c r="H448" s="585" t="str">
        <f>""</f>
        <v/>
      </c>
      <c r="I448" s="603" t="str">
        <f ca="1">IF($C$1=RefData!$B$418,'All Statement of strategy (D)'!$E448,IF('All Statement of strategy (D)'!$C$1=RefData!$B$419,'All Statement of strategy (D)'!$F448,IF('All Statement of strategy (D)'!$C$1=RefData!$B$420,'All Statement of strategy (D)'!$G448,IF('All Statement of strategy (D)'!$C$1=RefData!$B$421,'All Statement of strategy (D)'!$H448," "))))</f>
        <v xml:space="preserve"> </v>
      </c>
    </row>
    <row r="449" spans="1:9">
      <c r="A449" s="584" t="s">
        <v>1942</v>
      </c>
      <c r="B449" s="585" t="s">
        <v>1852</v>
      </c>
      <c r="C449" s="585" t="str">
        <f ca="1">'Reconciliation report'!$E$499</f>
        <v/>
      </c>
      <c r="E449" s="585" t="str">
        <f ca="1">IF(AND($C449&lt;&gt;"",'Reconciliation report'!$E$419=RefData!$B$119,'Reconciliation report'!$E$488&gt;=2),'All Statement of strategy (D)'!$B449&amp;$C449,"")</f>
        <v/>
      </c>
      <c r="F449" s="585" t="str">
        <f ca="1">IF(AND('Reconciliation report'!$E$488&gt;=2,$C449&lt;&gt;"",'Reconciliation report'!$E$12=RefData!$B$12),$B449&amp;" "&amp;C449,"")</f>
        <v/>
      </c>
      <c r="G449" s="585" t="str">
        <f>""</f>
        <v/>
      </c>
      <c r="H449" s="585" t="str">
        <f>""</f>
        <v/>
      </c>
      <c r="I449" s="603" t="str">
        <f ca="1">IF($C$1=RefData!$B$418,'All Statement of strategy (D)'!$E449,IF('All Statement of strategy (D)'!$C$1=RefData!$B$419,'All Statement of strategy (D)'!$F449,IF('All Statement of strategy (D)'!$C$1=RefData!$B$420,'All Statement of strategy (D)'!$G449,IF('All Statement of strategy (D)'!$C$1=RefData!$B$421,'All Statement of strategy (D)'!$H449," "))))</f>
        <v xml:space="preserve"> </v>
      </c>
    </row>
    <row r="450" spans="1:9">
      <c r="A450" s="584" t="s">
        <v>1943</v>
      </c>
      <c r="B450" s="585" t="s">
        <v>1854</v>
      </c>
      <c r="C450" s="585" t="str">
        <f ca="1">'Reconciliation report'!$E$500</f>
        <v/>
      </c>
      <c r="E450" s="585" t="str">
        <f ca="1">IF(AND('Reconciliation report'!$E$421&gt;=1,TRIM($C450)&lt;&gt;""),$B450&amp;" "&amp;$C450,"")</f>
        <v/>
      </c>
      <c r="F450" s="585" t="str">
        <f ca="1">IF(AND('Reconciliation report'!$E$488&gt;=2,$C450&lt;&gt;"",'Reconciliation report'!$E$12=RefData!$B$12),$B450&amp;" "&amp;C450,"")</f>
        <v/>
      </c>
      <c r="G450" s="585" t="str">
        <f>""</f>
        <v/>
      </c>
      <c r="H450" s="585" t="str">
        <f>""</f>
        <v/>
      </c>
      <c r="I450" s="603" t="str">
        <f ca="1">IF($C$1=RefData!$B$418,'All Statement of strategy (D)'!$E450,IF('All Statement of strategy (D)'!$C$1=RefData!$B$419,'All Statement of strategy (D)'!$F450,IF('All Statement of strategy (D)'!$C$1=RefData!$B$420,'All Statement of strategy (D)'!$G450,IF('All Statement of strategy (D)'!$C$1=RefData!$B$421,'All Statement of strategy (D)'!$H450," "))))</f>
        <v xml:space="preserve"> </v>
      </c>
    </row>
    <row r="451" spans="1:9">
      <c r="A451" s="584" t="s">
        <v>1944</v>
      </c>
      <c r="B451" s="585" t="s">
        <v>1856</v>
      </c>
      <c r="C451" s="585" t="str">
        <f ca="1">'Reconciliation report'!$E$501</f>
        <v/>
      </c>
      <c r="E451" s="585" t="str">
        <f ca="1">IF(AND($C451&lt;&gt;"",'Reconciliation report'!$E$419=RefData!$B$119,'Reconciliation report'!$E$488&gt;=2),'All Statement of strategy (D)'!$B451&amp;$C451,"")</f>
        <v/>
      </c>
      <c r="F451" s="585" t="str">
        <f ca="1">IF(AND('Reconciliation report'!$E$488&gt;=2,$C451&lt;&gt;"",'Reconciliation report'!$E$12=RefData!$B$12),$B451&amp;" "&amp;C451,"")</f>
        <v/>
      </c>
      <c r="G451" s="585" t="str">
        <f>""</f>
        <v/>
      </c>
      <c r="H451" s="585" t="str">
        <f>""</f>
        <v/>
      </c>
      <c r="I451" s="603" t="str">
        <f ca="1">IF($C$1=RefData!$B$418,'All Statement of strategy (D)'!$E451,IF('All Statement of strategy (D)'!$C$1=RefData!$B$419,'All Statement of strategy (D)'!$F451,IF('All Statement of strategy (D)'!$C$1=RefData!$B$420,'All Statement of strategy (D)'!$G451,IF('All Statement of strategy (D)'!$C$1=RefData!$B$421,'All Statement of strategy (D)'!$H451," "))))</f>
        <v xml:space="preserve"> </v>
      </c>
    </row>
    <row r="452" spans="1:9">
      <c r="A452" s="584" t="s">
        <v>1945</v>
      </c>
      <c r="B452" s="585" t="s">
        <v>1858</v>
      </c>
      <c r="C452" s="585" t="str">
        <f ca="1">'Reconciliation report'!$E$502</f>
        <v/>
      </c>
      <c r="E452" s="585" t="str">
        <f ca="1">IF(AND($C452&lt;&gt;"",'Reconciliation report'!$E$419=RefData!$B$119,'Reconciliation report'!$E$488&gt;=2),'All Statement of strategy (D)'!$B452&amp;$C452,"")</f>
        <v/>
      </c>
      <c r="F452" s="585" t="str">
        <f ca="1">IF(AND('Reconciliation report'!$E$488&gt;=2,$C452&lt;&gt;"",'Reconciliation report'!$E$12=RefData!$B$12),$B452&amp;" "&amp;C452,"")</f>
        <v/>
      </c>
      <c r="G452" s="585" t="str">
        <f>""</f>
        <v/>
      </c>
      <c r="H452" s="585" t="str">
        <f>""</f>
        <v/>
      </c>
      <c r="I452" s="603" t="str">
        <f ca="1">IF($C$1=RefData!$B$418,'All Statement of strategy (D)'!$E452,IF('All Statement of strategy (D)'!$C$1=RefData!$B$419,'All Statement of strategy (D)'!$F452,IF('All Statement of strategy (D)'!$C$1=RefData!$B$420,'All Statement of strategy (D)'!$G452,IF('All Statement of strategy (D)'!$C$1=RefData!$B$421,'All Statement of strategy (D)'!$H452," "))))</f>
        <v xml:space="preserve"> </v>
      </c>
    </row>
    <row r="453" spans="1:9">
      <c r="A453" s="584" t="s">
        <v>1946</v>
      </c>
      <c r="B453" s="585" t="s">
        <v>1860</v>
      </c>
      <c r="C453" s="585" t="str">
        <f ca="1">'Reconciliation report'!$E$503</f>
        <v/>
      </c>
      <c r="E453" s="585" t="str">
        <f ca="1">IF(AND($C453&lt;&gt;"",'Reconciliation report'!$E$419=RefData!$B$119,'Reconciliation report'!$E$488&gt;=2),'All Statement of strategy (D)'!$B453&amp;$C453,"")</f>
        <v/>
      </c>
      <c r="F453" s="585" t="str">
        <f ca="1">IF(AND('Reconciliation report'!$E$488&gt;=2,$C453&lt;&gt;"",'Reconciliation report'!$E$12=RefData!$B$12),$B453&amp;" "&amp;C453,"")</f>
        <v/>
      </c>
      <c r="G453" s="585" t="str">
        <f>""</f>
        <v/>
      </c>
      <c r="H453" s="585" t="str">
        <f>""</f>
        <v/>
      </c>
      <c r="I453" s="603" t="str">
        <f ca="1">IF($C$1=RefData!$B$418,'All Statement of strategy (D)'!$E453,IF('All Statement of strategy (D)'!$C$1=RefData!$B$419,'All Statement of strategy (D)'!$F453,IF('All Statement of strategy (D)'!$C$1=RefData!$B$420,'All Statement of strategy (D)'!$G453,IF('All Statement of strategy (D)'!$C$1=RefData!$B$421,'All Statement of strategy (D)'!$H453," "))))</f>
        <v xml:space="preserve"> </v>
      </c>
    </row>
    <row r="454" spans="1:9">
      <c r="A454" s="584" t="s">
        <v>1947</v>
      </c>
      <c r="B454" s="585" t="s">
        <v>1862</v>
      </c>
      <c r="C454" s="585" t="str">
        <f ca="1">'Reconciliation report'!$E$504</f>
        <v/>
      </c>
      <c r="E454" s="585" t="str">
        <f ca="1">IF(AND($C454&lt;&gt;"",'Reconciliation report'!$E$419=RefData!$B$119,'Reconciliation report'!$E$488&gt;=2),'All Statement of strategy (D)'!$B454&amp;$C454,"")</f>
        <v/>
      </c>
      <c r="F454" s="585" t="str">
        <f ca="1">IF(AND('Reconciliation report'!$E$488&gt;=2,$C454&lt;&gt;"",'Reconciliation report'!$E$12=RefData!$B$12),$B454&amp;" "&amp;C454,"")</f>
        <v/>
      </c>
      <c r="G454" s="585" t="str">
        <f>""</f>
        <v/>
      </c>
      <c r="H454" s="585" t="str">
        <f>""</f>
        <v/>
      </c>
      <c r="I454" s="603" t="str">
        <f ca="1">IF($C$1=RefData!$B$418,'All Statement of strategy (D)'!$E454,IF('All Statement of strategy (D)'!$C$1=RefData!$B$419,'All Statement of strategy (D)'!$F454,IF('All Statement of strategy (D)'!$C$1=RefData!$B$420,'All Statement of strategy (D)'!$G454,IF('All Statement of strategy (D)'!$C$1=RefData!$B$421,'All Statement of strategy (D)'!$H454," "))))</f>
        <v xml:space="preserve"> </v>
      </c>
    </row>
    <row r="455" spans="1:9">
      <c r="A455" s="584" t="s">
        <v>1948</v>
      </c>
      <c r="B455" s="585" t="s">
        <v>1864</v>
      </c>
      <c r="C455" s="585" t="str">
        <f ca="1">'Reconciliation report'!$E$505</f>
        <v/>
      </c>
      <c r="E455" s="585" t="str">
        <f ca="1">IF(AND($C455&lt;&gt;"",'Reconciliation report'!$E$419=RefData!$B$119,'Reconciliation report'!$E$488&gt;=2),'All Statement of strategy (D)'!$B455&amp;$C455,"")</f>
        <v/>
      </c>
      <c r="F455" s="585" t="str">
        <f ca="1">IF(AND('Reconciliation report'!$E$488&gt;=2,$C455&lt;&gt;"",'Reconciliation report'!$E$12=RefData!$B$12),$B455&amp;" "&amp;C455,"")</f>
        <v/>
      </c>
      <c r="G455" s="585" t="str">
        <f>""</f>
        <v/>
      </c>
      <c r="H455" s="585" t="str">
        <f>""</f>
        <v/>
      </c>
      <c r="I455" s="603" t="str">
        <f ca="1">IF($C$1=RefData!$B$418,'All Statement of strategy (D)'!$E455,IF('All Statement of strategy (D)'!$C$1=RefData!$B$419,'All Statement of strategy (D)'!$F455,IF('All Statement of strategy (D)'!$C$1=RefData!$B$420,'All Statement of strategy (D)'!$G455,IF('All Statement of strategy (D)'!$C$1=RefData!$B$421,'All Statement of strategy (D)'!$H455," "))))</f>
        <v xml:space="preserve"> </v>
      </c>
    </row>
    <row r="456" spans="1:9">
      <c r="A456" s="584" t="s">
        <v>1949</v>
      </c>
      <c r="B456" s="585" t="s">
        <v>1866</v>
      </c>
      <c r="C456" s="585" t="str">
        <f ca="1">'Reconciliation report'!$E$506</f>
        <v/>
      </c>
      <c r="E456" s="585" t="str">
        <f ca="1">IF(AND($C456&lt;&gt;"",'Reconciliation report'!$E$419=RefData!$B$119,'Reconciliation report'!$E$488&gt;=2),'All Statement of strategy (D)'!$B456&amp;$C456,"")</f>
        <v/>
      </c>
      <c r="F456" s="585" t="str">
        <f ca="1">IF(AND('Reconciliation report'!$E$488&gt;=2,$C456&lt;&gt;"",'Reconciliation report'!$E$12=RefData!$B$12),$B456&amp;" "&amp;C456,"")</f>
        <v/>
      </c>
      <c r="G456" s="585" t="str">
        <f>""</f>
        <v/>
      </c>
      <c r="H456" s="585" t="str">
        <f>""</f>
        <v/>
      </c>
      <c r="I456" s="603" t="str">
        <f ca="1">IF($C$1=RefData!$B$418,'All Statement of strategy (D)'!$E456,IF('All Statement of strategy (D)'!$C$1=RefData!$B$419,'All Statement of strategy (D)'!$F456,IF('All Statement of strategy (D)'!$C$1=RefData!$B$420,'All Statement of strategy (D)'!$G456,IF('All Statement of strategy (D)'!$C$1=RefData!$B$421,'All Statement of strategy (D)'!$H456," "))))</f>
        <v xml:space="preserve"> </v>
      </c>
    </row>
    <row r="457" spans="1:9">
      <c r="A457" s="584" t="s">
        <v>1950</v>
      </c>
      <c r="B457" s="585" t="s">
        <v>1868</v>
      </c>
      <c r="C457" s="585" t="str">
        <f ca="1">'Reconciliation report'!$E$507</f>
        <v/>
      </c>
      <c r="E457" s="585" t="str">
        <f ca="1">IF(AND($C457&lt;&gt;"",'Reconciliation report'!$E$419=RefData!$B$119,'Reconciliation report'!$E$488&gt;=2),'All Statement of strategy (D)'!$B457&amp;$C457,"")</f>
        <v/>
      </c>
      <c r="F457" s="585" t="str">
        <f ca="1">IF(AND('Reconciliation report'!$E$488&gt;=2,$C457&lt;&gt;"",'Reconciliation report'!$E$12=RefData!$B$12),$B457&amp;" "&amp;C457,"")</f>
        <v/>
      </c>
      <c r="G457" s="585" t="str">
        <f>""</f>
        <v/>
      </c>
      <c r="H457" s="585" t="str">
        <f>""</f>
        <v/>
      </c>
      <c r="I457" s="603" t="str">
        <f ca="1">IF($C$1=RefData!$B$418,'All Statement of strategy (D)'!$E457,IF('All Statement of strategy (D)'!$C$1=RefData!$B$419,'All Statement of strategy (D)'!$F457,IF('All Statement of strategy (D)'!$C$1=RefData!$B$420,'All Statement of strategy (D)'!$G457,IF('All Statement of strategy (D)'!$C$1=RefData!$B$421,'All Statement of strategy (D)'!$H457," "))))</f>
        <v xml:space="preserve"> </v>
      </c>
    </row>
    <row r="458" spans="1:9">
      <c r="A458" s="584" t="s">
        <v>1951</v>
      </c>
      <c r="B458" s="585" t="s">
        <v>1870</v>
      </c>
      <c r="C458" s="585" t="str">
        <f ca="1">'Reconciliation report'!$E$508</f>
        <v/>
      </c>
      <c r="E458" s="585" t="str">
        <f ca="1">IF(AND($C458&lt;&gt;"",'Reconciliation report'!$E$419=RefData!$B$119,'Reconciliation report'!$E$488&gt;=2),'All Statement of strategy (D)'!$B458&amp;$C458,"")</f>
        <v/>
      </c>
      <c r="F458" s="585" t="str">
        <f ca="1">IF(AND('Reconciliation report'!$E$488&gt;=2,$C458&lt;&gt;"",'Reconciliation report'!$E$12=RefData!$B$12),$B458&amp;" "&amp;C458,"")</f>
        <v/>
      </c>
      <c r="G458" s="585" t="str">
        <f>""</f>
        <v/>
      </c>
      <c r="H458" s="585" t="str">
        <f>""</f>
        <v/>
      </c>
      <c r="I458" s="603" t="str">
        <f ca="1">IF($C$1=RefData!$B$418,'All Statement of strategy (D)'!$E458,IF('All Statement of strategy (D)'!$C$1=RefData!$B$419,'All Statement of strategy (D)'!$F458,IF('All Statement of strategy (D)'!$C$1=RefData!$B$420,'All Statement of strategy (D)'!$G458,IF('All Statement of strategy (D)'!$C$1=RefData!$B$421,'All Statement of strategy (D)'!$H458," "))))</f>
        <v xml:space="preserve"> </v>
      </c>
    </row>
    <row r="459" spans="1:9">
      <c r="A459" s="584" t="s">
        <v>1952</v>
      </c>
      <c r="B459" s="585" t="str">
        <f ca="1">IF('Reconciliation report'!$E$509&lt;&gt;"","Entity 3","")</f>
        <v/>
      </c>
      <c r="E459" s="585" t="str">
        <f ca="1">IF(AND('Reconciliation report'!$E$419=RefData!$B$119,'Reconciliation report'!$E$488&gt;=3),'All Statement of strategy (D)'!$B459&amp;$C459,"")</f>
        <v/>
      </c>
      <c r="F459" s="585" t="str">
        <f ca="1">IF(AND('Reconciliation report'!$E$488&gt;=3,'Reconciliation report'!$E$12=RefData!$B$12),$B459&amp;" "&amp;C459,"")</f>
        <v/>
      </c>
      <c r="G459" s="585" t="str">
        <f>""</f>
        <v/>
      </c>
      <c r="H459" s="585" t="str">
        <f>""</f>
        <v/>
      </c>
      <c r="I459" s="603" t="str">
        <f ca="1">IF($C$1=RefData!$B$418,'All Statement of strategy (D)'!$E459,IF('All Statement of strategy (D)'!$C$1=RefData!$B$419,'All Statement of strategy (D)'!$F459,IF('All Statement of strategy (D)'!$C$1=RefData!$B$420,'All Statement of strategy (D)'!$G459,IF('All Statement of strategy (D)'!$C$1=RefData!$B$421,'All Statement of strategy (D)'!$H459," "))))</f>
        <v xml:space="preserve"> </v>
      </c>
    </row>
    <row r="460" spans="1:9">
      <c r="A460" s="584" t="s">
        <v>1953</v>
      </c>
      <c r="B460" s="585" t="s">
        <v>1852</v>
      </c>
      <c r="C460" s="585" t="str">
        <f ca="1">'Reconciliation report'!$E$509</f>
        <v/>
      </c>
      <c r="E460" s="585" t="str">
        <f ca="1">IF(AND($C460&lt;&gt;"",'Reconciliation report'!$E$419=RefData!$B$119,'Reconciliation report'!$E$488&gt;=3),'All Statement of strategy (D)'!$B460&amp;$C460,"")</f>
        <v/>
      </c>
      <c r="F460" s="585" t="str">
        <f ca="1">IF(AND('Reconciliation report'!$E$488&gt;=3,$C460&lt;&gt;"",'Reconciliation report'!$E$12=RefData!$B$12),$B460&amp;" "&amp;C460,"")</f>
        <v/>
      </c>
      <c r="G460" s="585" t="str">
        <f>""</f>
        <v/>
      </c>
      <c r="H460" s="585" t="str">
        <f>""</f>
        <v/>
      </c>
      <c r="I460" s="603" t="str">
        <f ca="1">IF($C$1=RefData!$B$418,'All Statement of strategy (D)'!$E460,IF('All Statement of strategy (D)'!$C$1=RefData!$B$419,'All Statement of strategy (D)'!$F460,IF('All Statement of strategy (D)'!$C$1=RefData!$B$420,'All Statement of strategy (D)'!$G460,IF('All Statement of strategy (D)'!$C$1=RefData!$B$421,'All Statement of strategy (D)'!$H460," "))))</f>
        <v xml:space="preserve"> </v>
      </c>
    </row>
    <row r="461" spans="1:9">
      <c r="A461" s="584" t="s">
        <v>1954</v>
      </c>
      <c r="B461" s="585" t="s">
        <v>1854</v>
      </c>
      <c r="C461" s="585" t="str">
        <f ca="1">'Reconciliation report'!$E$510</f>
        <v/>
      </c>
      <c r="E461" s="585" t="str">
        <f ca="1">IF(AND('Reconciliation report'!$E$421&gt;=1,TRIM($C461)&lt;&gt;""),$B461&amp;" "&amp;$C461,"")</f>
        <v/>
      </c>
      <c r="F461" s="585" t="str">
        <f ca="1">IF(AND('Reconciliation report'!$E$488&gt;=3,$C461&lt;&gt;"",'Reconciliation report'!$E$12=RefData!$B$12),$B461&amp;" "&amp;C461,"")</f>
        <v/>
      </c>
      <c r="G461" s="585" t="str">
        <f>""</f>
        <v/>
      </c>
      <c r="H461" s="585" t="str">
        <f>""</f>
        <v/>
      </c>
      <c r="I461" s="603" t="str">
        <f ca="1">IF($C$1=RefData!$B$418,'All Statement of strategy (D)'!$E461,IF('All Statement of strategy (D)'!$C$1=RefData!$B$419,'All Statement of strategy (D)'!$F461,IF('All Statement of strategy (D)'!$C$1=RefData!$B$420,'All Statement of strategy (D)'!$G461,IF('All Statement of strategy (D)'!$C$1=RefData!$B$421,'All Statement of strategy (D)'!$H461," "))))</f>
        <v xml:space="preserve"> </v>
      </c>
    </row>
    <row r="462" spans="1:9">
      <c r="A462" s="584" t="s">
        <v>1955</v>
      </c>
      <c r="B462" s="585" t="s">
        <v>1856</v>
      </c>
      <c r="C462" s="616" t="str">
        <f ca="1">'Reconciliation report'!$E$511</f>
        <v/>
      </c>
      <c r="E462" s="585" t="str">
        <f ca="1">IF(AND($C462&lt;&gt;"",'Reconciliation report'!$E$419=RefData!$B$119,'Reconciliation report'!$E$488&gt;=3),'All Statement of strategy (D)'!$B462&amp;$C462,"")</f>
        <v/>
      </c>
      <c r="F462" s="585" t="str">
        <f ca="1">IF(AND('Reconciliation report'!$E$488&gt;=3,$C462&lt;&gt;"",'Reconciliation report'!$E$12=RefData!$B$12),$B462&amp;" "&amp;C462,"")</f>
        <v/>
      </c>
      <c r="G462" s="585" t="str">
        <f>""</f>
        <v/>
      </c>
      <c r="H462" s="585" t="str">
        <f>""</f>
        <v/>
      </c>
      <c r="I462" s="603" t="str">
        <f ca="1">IF($C$1=RefData!$B$418,'All Statement of strategy (D)'!$E462,IF('All Statement of strategy (D)'!$C$1=RefData!$B$419,'All Statement of strategy (D)'!$F462,IF('All Statement of strategy (D)'!$C$1=RefData!$B$420,'All Statement of strategy (D)'!$G462,IF('All Statement of strategy (D)'!$C$1=RefData!$B$421,'All Statement of strategy (D)'!$H462," "))))</f>
        <v xml:space="preserve"> </v>
      </c>
    </row>
    <row r="463" spans="1:9">
      <c r="A463" s="584" t="s">
        <v>1956</v>
      </c>
      <c r="B463" s="585" t="s">
        <v>1858</v>
      </c>
      <c r="C463" s="585" t="str">
        <f ca="1">'Reconciliation report'!$E$512</f>
        <v/>
      </c>
      <c r="E463" s="585" t="str">
        <f ca="1">IF(AND($C463&lt;&gt;"",'Reconciliation report'!$E$419=RefData!$B$119,'Reconciliation report'!$E$488&gt;=3),'All Statement of strategy (D)'!$B463&amp;$C463,"")</f>
        <v/>
      </c>
      <c r="F463" s="585" t="str">
        <f ca="1">IF(AND('Reconciliation report'!$E$488&gt;=3,$C463&lt;&gt;"",'Reconciliation report'!$E$12=RefData!$B$12),$B463&amp;" "&amp;C463,"")</f>
        <v/>
      </c>
      <c r="G463" s="585" t="str">
        <f>""</f>
        <v/>
      </c>
      <c r="H463" s="585" t="str">
        <f>""</f>
        <v/>
      </c>
      <c r="I463" s="603" t="str">
        <f ca="1">IF($C$1=RefData!$B$418,'All Statement of strategy (D)'!$E463,IF('All Statement of strategy (D)'!$C$1=RefData!$B$419,'All Statement of strategy (D)'!$F463,IF('All Statement of strategy (D)'!$C$1=RefData!$B$420,'All Statement of strategy (D)'!$G463,IF('All Statement of strategy (D)'!$C$1=RefData!$B$421,'All Statement of strategy (D)'!$H463," "))))</f>
        <v xml:space="preserve"> </v>
      </c>
    </row>
    <row r="464" spans="1:9">
      <c r="A464" s="584" t="s">
        <v>1957</v>
      </c>
      <c r="B464" s="585" t="s">
        <v>1860</v>
      </c>
      <c r="C464" s="585" t="str">
        <f ca="1">'Reconciliation report'!$E$513</f>
        <v/>
      </c>
      <c r="E464" s="585" t="str">
        <f ca="1">IF(AND($C464&lt;&gt;"",'Reconciliation report'!$E$419=RefData!$B$119,'Reconciliation report'!$E$488&gt;=3),'All Statement of strategy (D)'!$B464&amp;$C464,"")</f>
        <v/>
      </c>
      <c r="F464" s="585" t="str">
        <f ca="1">IF(AND('Reconciliation report'!$E$488&gt;=3,$C464&lt;&gt;"",'Reconciliation report'!$E$12=RefData!$B$12),$B464&amp;" "&amp;C464,"")</f>
        <v/>
      </c>
      <c r="G464" s="585" t="str">
        <f>""</f>
        <v/>
      </c>
      <c r="H464" s="585" t="str">
        <f>""</f>
        <v/>
      </c>
      <c r="I464" s="603" t="str">
        <f ca="1">IF($C$1=RefData!$B$418,'All Statement of strategy (D)'!$E464,IF('All Statement of strategy (D)'!$C$1=RefData!$B$419,'All Statement of strategy (D)'!$F464,IF('All Statement of strategy (D)'!$C$1=RefData!$B$420,'All Statement of strategy (D)'!$G464,IF('All Statement of strategy (D)'!$C$1=RefData!$B$421,'All Statement of strategy (D)'!$H464," "))))</f>
        <v xml:space="preserve"> </v>
      </c>
    </row>
    <row r="465" spans="1:9">
      <c r="A465" s="584" t="s">
        <v>1958</v>
      </c>
      <c r="B465" s="585" t="s">
        <v>1862</v>
      </c>
      <c r="C465" s="585" t="str">
        <f ca="1">'Reconciliation report'!$E$514</f>
        <v/>
      </c>
      <c r="E465" s="585" t="str">
        <f ca="1">IF(AND($C465&lt;&gt;"",'Reconciliation report'!$E$419=RefData!$B$119,'Reconciliation report'!$E$488&gt;=3),'All Statement of strategy (D)'!$B465&amp;$C465,"")</f>
        <v/>
      </c>
      <c r="F465" s="585" t="str">
        <f ca="1">IF(AND('Reconciliation report'!$E$488&gt;=3,$C465&lt;&gt;"",'Reconciliation report'!$E$12=RefData!$B$12),$B465&amp;" "&amp;C465,"")</f>
        <v/>
      </c>
      <c r="G465" s="585" t="str">
        <f>""</f>
        <v/>
      </c>
      <c r="H465" s="585" t="str">
        <f>""</f>
        <v/>
      </c>
      <c r="I465" s="603" t="str">
        <f ca="1">IF($C$1=RefData!$B$418,'All Statement of strategy (D)'!$E465,IF('All Statement of strategy (D)'!$C$1=RefData!$B$419,'All Statement of strategy (D)'!$F465,IF('All Statement of strategy (D)'!$C$1=RefData!$B$420,'All Statement of strategy (D)'!$G465,IF('All Statement of strategy (D)'!$C$1=RefData!$B$421,'All Statement of strategy (D)'!$H465," "))))</f>
        <v xml:space="preserve"> </v>
      </c>
    </row>
    <row r="466" spans="1:9">
      <c r="A466" s="584" t="s">
        <v>1959</v>
      </c>
      <c r="B466" s="585" t="s">
        <v>1864</v>
      </c>
      <c r="C466" s="585" t="str">
        <f ca="1">'Reconciliation report'!$E$515</f>
        <v/>
      </c>
      <c r="E466" s="585" t="str">
        <f ca="1">IF(AND($C466&lt;&gt;"",'Reconciliation report'!$E$419=RefData!$B$119,'Reconciliation report'!$E$488&gt;=3),'All Statement of strategy (D)'!$B466&amp;$C466,"")</f>
        <v/>
      </c>
      <c r="F466" s="585" t="str">
        <f ca="1">IF(AND('Reconciliation report'!$E$488&gt;=3,$C466&lt;&gt;"",'Reconciliation report'!$E$12=RefData!$B$12),$B466&amp;" "&amp;C466,"")</f>
        <v/>
      </c>
      <c r="G466" s="585" t="str">
        <f>""</f>
        <v/>
      </c>
      <c r="H466" s="585" t="str">
        <f>""</f>
        <v/>
      </c>
      <c r="I466" s="603" t="str">
        <f ca="1">IF($C$1=RefData!$B$418,'All Statement of strategy (D)'!$E466,IF('All Statement of strategy (D)'!$C$1=RefData!$B$419,'All Statement of strategy (D)'!$F466,IF('All Statement of strategy (D)'!$C$1=RefData!$B$420,'All Statement of strategy (D)'!$G466,IF('All Statement of strategy (D)'!$C$1=RefData!$B$421,'All Statement of strategy (D)'!$H466," "))))</f>
        <v xml:space="preserve"> </v>
      </c>
    </row>
    <row r="467" spans="1:9">
      <c r="A467" s="584" t="s">
        <v>1960</v>
      </c>
      <c r="B467" s="585" t="s">
        <v>1866</v>
      </c>
      <c r="C467" s="585" t="str">
        <f ca="1">'Reconciliation report'!$E$516</f>
        <v/>
      </c>
      <c r="E467" s="585" t="str">
        <f ca="1">IF(AND($C467&lt;&gt;"",'Reconciliation report'!$E$419=RefData!$B$119,'Reconciliation report'!$E$488&gt;=3),'All Statement of strategy (D)'!$B467&amp;$C467,"")</f>
        <v/>
      </c>
      <c r="F467" s="585" t="str">
        <f ca="1">IF(AND('Reconciliation report'!$E$488&gt;=3,$C467&lt;&gt;"",'Reconciliation report'!$E$12=RefData!$B$12),$B467&amp;" "&amp;C467,"")</f>
        <v/>
      </c>
      <c r="G467" s="585" t="str">
        <f>""</f>
        <v/>
      </c>
      <c r="H467" s="585" t="str">
        <f>""</f>
        <v/>
      </c>
      <c r="I467" s="603" t="str">
        <f ca="1">IF($C$1=RefData!$B$418,'All Statement of strategy (D)'!$E467,IF('All Statement of strategy (D)'!$C$1=RefData!$B$419,'All Statement of strategy (D)'!$F467,IF('All Statement of strategy (D)'!$C$1=RefData!$B$420,'All Statement of strategy (D)'!$G467,IF('All Statement of strategy (D)'!$C$1=RefData!$B$421,'All Statement of strategy (D)'!$H467," "))))</f>
        <v xml:space="preserve"> </v>
      </c>
    </row>
    <row r="468" spans="1:9">
      <c r="A468" s="584" t="s">
        <v>1961</v>
      </c>
      <c r="B468" s="585" t="s">
        <v>1868</v>
      </c>
      <c r="C468" s="585" t="str">
        <f ca="1">'Reconciliation report'!$E$517</f>
        <v/>
      </c>
      <c r="E468" s="585" t="str">
        <f ca="1">IF(AND($C468&lt;&gt;"",'Reconciliation report'!$E$419=RefData!$B$119,'Reconciliation report'!$E$488&gt;=3),'All Statement of strategy (D)'!$B468&amp;$C468,"")</f>
        <v/>
      </c>
      <c r="F468" s="585" t="str">
        <f ca="1">IF(AND('Reconciliation report'!$E$488&gt;=3,$C468&lt;&gt;"",'Reconciliation report'!$E$12=RefData!$B$12),$B468&amp;" "&amp;C468,"")</f>
        <v/>
      </c>
      <c r="G468" s="585" t="str">
        <f>""</f>
        <v/>
      </c>
      <c r="H468" s="585" t="str">
        <f>""</f>
        <v/>
      </c>
      <c r="I468" s="603" t="str">
        <f ca="1">IF($C$1=RefData!$B$418,'All Statement of strategy (D)'!$E468,IF('All Statement of strategy (D)'!$C$1=RefData!$B$419,'All Statement of strategy (D)'!$F468,IF('All Statement of strategy (D)'!$C$1=RefData!$B$420,'All Statement of strategy (D)'!$G468,IF('All Statement of strategy (D)'!$C$1=RefData!$B$421,'All Statement of strategy (D)'!$H468," "))))</f>
        <v xml:space="preserve"> </v>
      </c>
    </row>
    <row r="469" spans="1:9">
      <c r="A469" s="584" t="s">
        <v>1962</v>
      </c>
      <c r="B469" s="585" t="s">
        <v>1870</v>
      </c>
      <c r="C469" s="585" t="str">
        <f ca="1">'Reconciliation report'!$E$518</f>
        <v/>
      </c>
      <c r="E469" s="585" t="str">
        <f ca="1">IF(AND($C469&lt;&gt;"",'Reconciliation report'!$E$419=RefData!$B$119,'Reconciliation report'!$E$488&gt;=3),'All Statement of strategy (D)'!$B469&amp;$C469,"")</f>
        <v/>
      </c>
      <c r="F469" s="585" t="str">
        <f ca="1">IF(AND('Reconciliation report'!$E$488&gt;=3,$C469&lt;&gt;"",'Reconciliation report'!$E$12=RefData!$B$12),$B469&amp;" "&amp;C469,"")</f>
        <v/>
      </c>
      <c r="G469" s="585" t="str">
        <f>""</f>
        <v/>
      </c>
      <c r="H469" s="585" t="str">
        <f>""</f>
        <v/>
      </c>
      <c r="I469" s="603" t="str">
        <f ca="1">IF($C$1=RefData!$B$418,'All Statement of strategy (D)'!$E469,IF('All Statement of strategy (D)'!$C$1=RefData!$B$419,'All Statement of strategy (D)'!$F469,IF('All Statement of strategy (D)'!$C$1=RefData!$B$420,'All Statement of strategy (D)'!$G469,IF('All Statement of strategy (D)'!$C$1=RefData!$B$421,'All Statement of strategy (D)'!$H469," "))))</f>
        <v xml:space="preserve"> </v>
      </c>
    </row>
    <row r="470" spans="1:9">
      <c r="A470" s="584" t="s">
        <v>1963</v>
      </c>
      <c r="B470" s="585" t="str">
        <f ca="1">IF('Reconciliation report'!$E$519&lt;&gt;"","Entity 4","")</f>
        <v/>
      </c>
      <c r="E470" s="585" t="str">
        <f ca="1">IF(AND('Reconciliation report'!$E$419=RefData!$B$119,'Reconciliation report'!$E$488&gt;=4),'All Statement of strategy (D)'!$B470&amp;$C470,"")</f>
        <v/>
      </c>
      <c r="F470" s="585" t="str">
        <f ca="1">IF(AND('Reconciliation report'!$E$488&gt;=4,'Reconciliation report'!$E$12=RefData!$B$12),$B470&amp;" "&amp;C470,"")</f>
        <v/>
      </c>
      <c r="G470" s="585" t="str">
        <f>""</f>
        <v/>
      </c>
      <c r="H470" s="585" t="str">
        <f>""</f>
        <v/>
      </c>
      <c r="I470" s="603" t="str">
        <f ca="1">IF($C$1=RefData!$B$418,'All Statement of strategy (D)'!$E470,IF('All Statement of strategy (D)'!$C$1=RefData!$B$419,'All Statement of strategy (D)'!$F470,IF('All Statement of strategy (D)'!$C$1=RefData!$B$420,'All Statement of strategy (D)'!$G470,IF('All Statement of strategy (D)'!$C$1=RefData!$B$421,'All Statement of strategy (D)'!$H470," "))))</f>
        <v xml:space="preserve"> </v>
      </c>
    </row>
    <row r="471" spans="1:9">
      <c r="A471" s="584" t="s">
        <v>1964</v>
      </c>
      <c r="B471" s="585" t="s">
        <v>1852</v>
      </c>
      <c r="C471" s="585" t="str">
        <f ca="1">'Reconciliation report'!$E$519</f>
        <v/>
      </c>
      <c r="E471" s="585" t="str">
        <f ca="1">IF(AND($C471&lt;&gt;"",'Reconciliation report'!$E$419=RefData!$B$119,'Reconciliation report'!$E$488&gt;=4),'All Statement of strategy (D)'!$B471&amp;$C471,"")</f>
        <v/>
      </c>
      <c r="F471" s="585" t="str">
        <f ca="1">IF(AND('Reconciliation report'!$E$488&gt;=4,$C471&lt;&gt;"",'Reconciliation report'!$E$12=RefData!$B$12),$B471&amp;" "&amp;C471,"")</f>
        <v/>
      </c>
      <c r="G471" s="585" t="str">
        <f>""</f>
        <v/>
      </c>
      <c r="H471" s="585" t="str">
        <f>""</f>
        <v/>
      </c>
      <c r="I471" s="603" t="str">
        <f ca="1">IF($C$1=RefData!$B$418,'All Statement of strategy (D)'!$E471,IF('All Statement of strategy (D)'!$C$1=RefData!$B$419,'All Statement of strategy (D)'!$F471,IF('All Statement of strategy (D)'!$C$1=RefData!$B$420,'All Statement of strategy (D)'!$G471,IF('All Statement of strategy (D)'!$C$1=RefData!$B$421,'All Statement of strategy (D)'!$H471," "))))</f>
        <v xml:space="preserve"> </v>
      </c>
    </row>
    <row r="472" spans="1:9">
      <c r="A472" s="584" t="s">
        <v>1965</v>
      </c>
      <c r="B472" s="585" t="s">
        <v>1854</v>
      </c>
      <c r="C472" s="585" t="str">
        <f ca="1">'Reconciliation report'!$E$520</f>
        <v/>
      </c>
      <c r="E472" s="585" t="str">
        <f ca="1">IF(AND('Reconciliation report'!$E$421&gt;=1,TRIM($C472)&lt;&gt;""),$B472&amp;" "&amp;$C472,"")</f>
        <v/>
      </c>
      <c r="F472" s="585" t="str">
        <f ca="1">IF(AND('Reconciliation report'!$E$488&gt;=4,$C472&lt;&gt;"",'Reconciliation report'!$E$12=RefData!$B$12),$B472&amp;" "&amp;C472,"")</f>
        <v/>
      </c>
      <c r="G472" s="585" t="str">
        <f>""</f>
        <v/>
      </c>
      <c r="H472" s="585" t="str">
        <f>""</f>
        <v/>
      </c>
      <c r="I472" s="603" t="str">
        <f ca="1">IF($C$1=RefData!$B$418,'All Statement of strategy (D)'!$E472,IF('All Statement of strategy (D)'!$C$1=RefData!$B$419,'All Statement of strategy (D)'!$F472,IF('All Statement of strategy (D)'!$C$1=RefData!$B$420,'All Statement of strategy (D)'!$G472,IF('All Statement of strategy (D)'!$C$1=RefData!$B$421,'All Statement of strategy (D)'!$H472," "))))</f>
        <v xml:space="preserve"> </v>
      </c>
    </row>
    <row r="473" spans="1:9">
      <c r="A473" s="584" t="s">
        <v>1966</v>
      </c>
      <c r="B473" s="585" t="s">
        <v>1856</v>
      </c>
      <c r="C473" s="585" t="str">
        <f ca="1">'Reconciliation report'!$E$521</f>
        <v/>
      </c>
      <c r="E473" s="585" t="str">
        <f ca="1">IF(AND($C473&lt;&gt;"",'Reconciliation report'!$E$419=RefData!$B$119,'Reconciliation report'!$E$488&gt;=4),'All Statement of strategy (D)'!$B473&amp;$C473,"")</f>
        <v/>
      </c>
      <c r="F473" s="585" t="str">
        <f ca="1">IF(AND('Reconciliation report'!$E$488&gt;=4,$C473&lt;&gt;"",'Reconciliation report'!$E$12=RefData!$B$12),$B473&amp;" "&amp;C473,"")</f>
        <v/>
      </c>
      <c r="G473" s="585" t="str">
        <f>""</f>
        <v/>
      </c>
      <c r="H473" s="585" t="str">
        <f>""</f>
        <v/>
      </c>
      <c r="I473" s="603" t="str">
        <f ca="1">IF($C$1=RefData!$B$418,'All Statement of strategy (D)'!$E473,IF('All Statement of strategy (D)'!$C$1=RefData!$B$419,'All Statement of strategy (D)'!$F473,IF('All Statement of strategy (D)'!$C$1=RefData!$B$420,'All Statement of strategy (D)'!$G473,IF('All Statement of strategy (D)'!$C$1=RefData!$B$421,'All Statement of strategy (D)'!$H473," "))))</f>
        <v xml:space="preserve"> </v>
      </c>
    </row>
    <row r="474" spans="1:9">
      <c r="A474" s="584" t="s">
        <v>1967</v>
      </c>
      <c r="B474" s="585" t="s">
        <v>1858</v>
      </c>
      <c r="C474" s="585" t="str">
        <f ca="1">'Reconciliation report'!$E$522</f>
        <v/>
      </c>
      <c r="E474" s="585" t="str">
        <f ca="1">IF(AND($C474&lt;&gt;"",'Reconciliation report'!$E$419=RefData!$B$119,'Reconciliation report'!$E$488&gt;=4),'All Statement of strategy (D)'!$B474&amp;$C474,"")</f>
        <v/>
      </c>
      <c r="F474" s="585" t="str">
        <f ca="1">IF(AND('Reconciliation report'!$E$488&gt;=4,$C474&lt;&gt;"",'Reconciliation report'!$E$12=RefData!$B$12),$B474&amp;" "&amp;C474,"")</f>
        <v/>
      </c>
      <c r="G474" s="585" t="str">
        <f>""</f>
        <v/>
      </c>
      <c r="H474" s="585" t="str">
        <f>""</f>
        <v/>
      </c>
      <c r="I474" s="603" t="str">
        <f ca="1">IF($C$1=RefData!$B$418,'All Statement of strategy (D)'!$E474,IF('All Statement of strategy (D)'!$C$1=RefData!$B$419,'All Statement of strategy (D)'!$F474,IF('All Statement of strategy (D)'!$C$1=RefData!$B$420,'All Statement of strategy (D)'!$G474,IF('All Statement of strategy (D)'!$C$1=RefData!$B$421,'All Statement of strategy (D)'!$H474," "))))</f>
        <v xml:space="preserve"> </v>
      </c>
    </row>
    <row r="475" spans="1:9">
      <c r="A475" s="584" t="s">
        <v>1968</v>
      </c>
      <c r="B475" s="585" t="s">
        <v>1860</v>
      </c>
      <c r="C475" s="585" t="str">
        <f ca="1">'Reconciliation report'!$E$523</f>
        <v/>
      </c>
      <c r="E475" s="585" t="str">
        <f ca="1">IF(AND($C475&lt;&gt;"",'Reconciliation report'!$E$419=RefData!$B$119,'Reconciliation report'!$E$488&gt;=4),'All Statement of strategy (D)'!$B475&amp;$C475,"")</f>
        <v/>
      </c>
      <c r="F475" s="585" t="str">
        <f ca="1">IF(AND('Reconciliation report'!$E$488&gt;=4,$C475&lt;&gt;"",'Reconciliation report'!$E$12=RefData!$B$12),$B475&amp;" "&amp;C475,"")</f>
        <v/>
      </c>
      <c r="G475" s="585" t="str">
        <f>""</f>
        <v/>
      </c>
      <c r="H475" s="585" t="str">
        <f>""</f>
        <v/>
      </c>
      <c r="I475" s="603" t="str">
        <f ca="1">IF($C$1=RefData!$B$418,'All Statement of strategy (D)'!$E475,IF('All Statement of strategy (D)'!$C$1=RefData!$B$419,'All Statement of strategy (D)'!$F475,IF('All Statement of strategy (D)'!$C$1=RefData!$B$420,'All Statement of strategy (D)'!$G475,IF('All Statement of strategy (D)'!$C$1=RefData!$B$421,'All Statement of strategy (D)'!$H475," "))))</f>
        <v xml:space="preserve"> </v>
      </c>
    </row>
    <row r="476" spans="1:9">
      <c r="A476" s="584" t="s">
        <v>1969</v>
      </c>
      <c r="B476" s="585" t="s">
        <v>1862</v>
      </c>
      <c r="C476" s="585" t="str">
        <f ca="1">'Reconciliation report'!$E$524</f>
        <v/>
      </c>
      <c r="E476" s="585" t="str">
        <f ca="1">IF(AND($C476&lt;&gt;"",'Reconciliation report'!$E$419=RefData!$B$119,'Reconciliation report'!$E$488&gt;=4),'All Statement of strategy (D)'!$B476&amp;$C476,"")</f>
        <v/>
      </c>
      <c r="F476" s="585" t="str">
        <f ca="1">IF(AND('Reconciliation report'!$E$488&gt;=4,$C476&lt;&gt;"",'Reconciliation report'!$E$12=RefData!$B$12),$B476&amp;" "&amp;C476,"")</f>
        <v/>
      </c>
      <c r="G476" s="585" t="str">
        <f>""</f>
        <v/>
      </c>
      <c r="H476" s="585" t="str">
        <f>""</f>
        <v/>
      </c>
      <c r="I476" s="603" t="str">
        <f ca="1">IF($C$1=RefData!$B$418,'All Statement of strategy (D)'!$E476,IF('All Statement of strategy (D)'!$C$1=RefData!$B$419,'All Statement of strategy (D)'!$F476,IF('All Statement of strategy (D)'!$C$1=RefData!$B$420,'All Statement of strategy (D)'!$G476,IF('All Statement of strategy (D)'!$C$1=RefData!$B$421,'All Statement of strategy (D)'!$H476," "))))</f>
        <v xml:space="preserve"> </v>
      </c>
    </row>
    <row r="477" spans="1:9">
      <c r="A477" s="584" t="s">
        <v>1970</v>
      </c>
      <c r="B477" s="585" t="s">
        <v>1864</v>
      </c>
      <c r="C477" s="585" t="str">
        <f ca="1">'Reconciliation report'!$E$525</f>
        <v/>
      </c>
      <c r="E477" s="585" t="str">
        <f ca="1">IF(AND($C477&lt;&gt;"",'Reconciliation report'!$E$419=RefData!$B$119,'Reconciliation report'!$E$488&gt;=4),'All Statement of strategy (D)'!$B477&amp;$C477,"")</f>
        <v/>
      </c>
      <c r="F477" s="585" t="str">
        <f ca="1">IF(AND('Reconciliation report'!$E$488&gt;=4,$C477&lt;&gt;"",'Reconciliation report'!$E$12=RefData!$B$12),$B477&amp;" "&amp;C477,"")</f>
        <v/>
      </c>
      <c r="G477" s="585" t="str">
        <f>""</f>
        <v/>
      </c>
      <c r="H477" s="585" t="str">
        <f>""</f>
        <v/>
      </c>
      <c r="I477" s="603" t="str">
        <f ca="1">IF($C$1=RefData!$B$418,'All Statement of strategy (D)'!$E477,IF('All Statement of strategy (D)'!$C$1=RefData!$B$419,'All Statement of strategy (D)'!$F477,IF('All Statement of strategy (D)'!$C$1=RefData!$B$420,'All Statement of strategy (D)'!$G477,IF('All Statement of strategy (D)'!$C$1=RefData!$B$421,'All Statement of strategy (D)'!$H477," "))))</f>
        <v xml:space="preserve"> </v>
      </c>
    </row>
    <row r="478" spans="1:9">
      <c r="A478" s="584" t="s">
        <v>1971</v>
      </c>
      <c r="B478" s="585" t="s">
        <v>1866</v>
      </c>
      <c r="C478" s="585" t="str">
        <f ca="1">'Reconciliation report'!$E$526</f>
        <v/>
      </c>
      <c r="E478" s="585" t="str">
        <f ca="1">IF(AND($C478&lt;&gt;"",'Reconciliation report'!$E$419=RefData!$B$119,'Reconciliation report'!$E$488&gt;=4),'All Statement of strategy (D)'!$B478&amp;$C478,"")</f>
        <v/>
      </c>
      <c r="F478" s="585" t="str">
        <f ca="1">IF(AND('Reconciliation report'!$E$488&gt;=4,$C478&lt;&gt;"",'Reconciliation report'!$E$12=RefData!$B$12),$B478&amp;" "&amp;C478,"")</f>
        <v/>
      </c>
      <c r="G478" s="585" t="str">
        <f>""</f>
        <v/>
      </c>
      <c r="H478" s="585" t="str">
        <f>""</f>
        <v/>
      </c>
      <c r="I478" s="603" t="str">
        <f ca="1">IF($C$1=RefData!$B$418,'All Statement of strategy (D)'!$E478,IF('All Statement of strategy (D)'!$C$1=RefData!$B$419,'All Statement of strategy (D)'!$F478,IF('All Statement of strategy (D)'!$C$1=RefData!$B$420,'All Statement of strategy (D)'!$G478,IF('All Statement of strategy (D)'!$C$1=RefData!$B$421,'All Statement of strategy (D)'!$H478," "))))</f>
        <v xml:space="preserve"> </v>
      </c>
    </row>
    <row r="479" spans="1:9">
      <c r="A479" s="584" t="s">
        <v>1972</v>
      </c>
      <c r="B479" s="585" t="s">
        <v>1868</v>
      </c>
      <c r="C479" s="585" t="str">
        <f ca="1">'Reconciliation report'!$E$527</f>
        <v/>
      </c>
      <c r="E479" s="585" t="str">
        <f ca="1">IF(AND($C479&lt;&gt;"",'Reconciliation report'!$E$419=RefData!$B$119,'Reconciliation report'!$E$488&gt;=4),'All Statement of strategy (D)'!$B479&amp;$C479,"")</f>
        <v/>
      </c>
      <c r="F479" s="585" t="str">
        <f ca="1">IF(AND('Reconciliation report'!$E$488&gt;=4,$C479&lt;&gt;"",'Reconciliation report'!$E$12=RefData!$B$12),$B479&amp;" "&amp;C479,"")</f>
        <v/>
      </c>
      <c r="G479" s="585" t="str">
        <f>""</f>
        <v/>
      </c>
      <c r="H479" s="585" t="str">
        <f>""</f>
        <v/>
      </c>
      <c r="I479" s="603" t="str">
        <f ca="1">IF($C$1=RefData!$B$418,'All Statement of strategy (D)'!$E479,IF('All Statement of strategy (D)'!$C$1=RefData!$B$419,'All Statement of strategy (D)'!$F479,IF('All Statement of strategy (D)'!$C$1=RefData!$B$420,'All Statement of strategy (D)'!$G479,IF('All Statement of strategy (D)'!$C$1=RefData!$B$421,'All Statement of strategy (D)'!$H479," "))))</f>
        <v xml:space="preserve"> </v>
      </c>
    </row>
    <row r="480" spans="1:9">
      <c r="A480" s="584" t="s">
        <v>1973</v>
      </c>
      <c r="B480" s="585" t="s">
        <v>1870</v>
      </c>
      <c r="C480" s="585" t="str">
        <f ca="1">'Reconciliation report'!$E$528</f>
        <v/>
      </c>
      <c r="E480" s="585" t="str">
        <f ca="1">IF(AND($C480&lt;&gt;"",'Reconciliation report'!$E$419=RefData!$B$119,'Reconciliation report'!$E$488&gt;=4),'All Statement of strategy (D)'!$B480&amp;$C480,"")</f>
        <v/>
      </c>
      <c r="F480" s="585" t="str">
        <f ca="1">IF(AND('Reconciliation report'!$E$488&gt;=4,$C480&lt;&gt;"",'Reconciliation report'!$E$12=RefData!$B$12),$B480&amp;" "&amp;C480,"")</f>
        <v/>
      </c>
      <c r="G480" s="585" t="str">
        <f>""</f>
        <v/>
      </c>
      <c r="H480" s="585" t="str">
        <f>""</f>
        <v/>
      </c>
      <c r="I480" s="603" t="str">
        <f ca="1">IF($C$1=RefData!$B$418,'All Statement of strategy (D)'!$E480,IF('All Statement of strategy (D)'!$C$1=RefData!$B$419,'All Statement of strategy (D)'!$F480,IF('All Statement of strategy (D)'!$C$1=RefData!$B$420,'All Statement of strategy (D)'!$G480,IF('All Statement of strategy (D)'!$C$1=RefData!$B$421,'All Statement of strategy (D)'!$H480," "))))</f>
        <v xml:space="preserve"> </v>
      </c>
    </row>
    <row r="481" spans="1:9">
      <c r="A481" s="584" t="s">
        <v>1974</v>
      </c>
      <c r="B481" s="585" t="str">
        <f ca="1">IF('Reconciliation report'!$E$529&lt;&gt;"","Entity 5","")</f>
        <v/>
      </c>
      <c r="E481" s="585" t="str">
        <f ca="1">IF(AND('Reconciliation report'!$E$419=RefData!$B$119,'Reconciliation report'!$E$488&gt;=5),'All Statement of strategy (D)'!$B481&amp;$C481,"")</f>
        <v/>
      </c>
      <c r="F481" s="585" t="str">
        <f ca="1">IF(AND('Reconciliation report'!$E$488&gt;=5,'Reconciliation report'!$E$12=RefData!$B$12),$B481&amp;" "&amp;C481,"")</f>
        <v/>
      </c>
      <c r="G481" s="585" t="str">
        <f>""</f>
        <v/>
      </c>
      <c r="H481" s="585" t="str">
        <f>""</f>
        <v/>
      </c>
      <c r="I481" s="603" t="str">
        <f ca="1">IF($C$1=RefData!$B$418,'All Statement of strategy (D)'!$E481,IF('All Statement of strategy (D)'!$C$1=RefData!$B$419,'All Statement of strategy (D)'!$F481,IF('All Statement of strategy (D)'!$C$1=RefData!$B$420,'All Statement of strategy (D)'!$G481,IF('All Statement of strategy (D)'!$C$1=RefData!$B$421,'All Statement of strategy (D)'!$H481," "))))</f>
        <v xml:space="preserve"> </v>
      </c>
    </row>
    <row r="482" spans="1:9">
      <c r="A482" s="584" t="s">
        <v>1975</v>
      </c>
      <c r="B482" s="585" t="s">
        <v>1852</v>
      </c>
      <c r="C482" s="585" t="str">
        <f ca="1">'Reconciliation report'!$E$529</f>
        <v/>
      </c>
      <c r="E482" s="585" t="str">
        <f ca="1">IF(AND($C482&lt;&gt;"",'Reconciliation report'!$E$419=RefData!$B$119,'Reconciliation report'!$E$488&gt;=5),'All Statement of strategy (D)'!$B482&amp;$C482,"")</f>
        <v/>
      </c>
      <c r="F482" s="585" t="str">
        <f ca="1">IF(AND('Reconciliation report'!$E$488&gt;=5,$C482&lt;&gt;"",'Reconciliation report'!$E$12=RefData!$B$12),$B482&amp;" "&amp;C482,"")</f>
        <v/>
      </c>
      <c r="G482" s="585" t="str">
        <f>""</f>
        <v/>
      </c>
      <c r="H482" s="585" t="str">
        <f>""</f>
        <v/>
      </c>
      <c r="I482" s="603" t="str">
        <f ca="1">IF($C$1=RefData!$B$418,'All Statement of strategy (D)'!$E482,IF('All Statement of strategy (D)'!$C$1=RefData!$B$419,'All Statement of strategy (D)'!$F482,IF('All Statement of strategy (D)'!$C$1=RefData!$B$420,'All Statement of strategy (D)'!$G482,IF('All Statement of strategy (D)'!$C$1=RefData!$B$421,'All Statement of strategy (D)'!$H482," "))))</f>
        <v xml:space="preserve"> </v>
      </c>
    </row>
    <row r="483" spans="1:9">
      <c r="A483" s="584" t="s">
        <v>1976</v>
      </c>
      <c r="B483" s="585" t="s">
        <v>1854</v>
      </c>
      <c r="C483" s="585" t="str">
        <f ca="1">'Reconciliation report'!$E$530</f>
        <v/>
      </c>
      <c r="E483" s="585" t="str">
        <f ca="1">IF(AND('Reconciliation report'!$E$421&gt;=1,TRIM($C483)&lt;&gt;""),$B483&amp;" "&amp;$C483,"")</f>
        <v/>
      </c>
      <c r="F483" s="585" t="str">
        <f ca="1">IF(AND('Reconciliation report'!$E$488&gt;=5,$C483&lt;&gt;"",'Reconciliation report'!$E$12=RefData!$B$12),$B483&amp;" "&amp;C483,"")</f>
        <v/>
      </c>
      <c r="G483" s="585" t="str">
        <f>""</f>
        <v/>
      </c>
      <c r="H483" s="585" t="str">
        <f>""</f>
        <v/>
      </c>
      <c r="I483" s="603" t="str">
        <f ca="1">IF($C$1=RefData!$B$418,'All Statement of strategy (D)'!$E483,IF('All Statement of strategy (D)'!$C$1=RefData!$B$419,'All Statement of strategy (D)'!$F483,IF('All Statement of strategy (D)'!$C$1=RefData!$B$420,'All Statement of strategy (D)'!$G483,IF('All Statement of strategy (D)'!$C$1=RefData!$B$421,'All Statement of strategy (D)'!$H483," "))))</f>
        <v xml:space="preserve"> </v>
      </c>
    </row>
    <row r="484" spans="1:9">
      <c r="A484" s="584" t="s">
        <v>1977</v>
      </c>
      <c r="B484" s="585" t="s">
        <v>1856</v>
      </c>
      <c r="C484" s="585" t="str">
        <f ca="1">'Reconciliation report'!$E$531</f>
        <v/>
      </c>
      <c r="E484" s="585" t="str">
        <f ca="1">IF(AND($C484&lt;&gt;"",'Reconciliation report'!$E$419=RefData!$B$119,'Reconciliation report'!$E$488&gt;=5),'All Statement of strategy (D)'!$B484&amp;$C484,"")</f>
        <v/>
      </c>
      <c r="F484" s="585" t="str">
        <f ca="1">IF(AND('Reconciliation report'!$E$488&gt;=5,$C484&lt;&gt;"",'Reconciliation report'!$E$12=RefData!$B$12),$B484&amp;" "&amp;C484,"")</f>
        <v/>
      </c>
      <c r="G484" s="585" t="str">
        <f>""</f>
        <v/>
      </c>
      <c r="H484" s="585" t="str">
        <f>""</f>
        <v/>
      </c>
      <c r="I484" s="603" t="str">
        <f ca="1">IF($C$1=RefData!$B$418,'All Statement of strategy (D)'!$E484,IF('All Statement of strategy (D)'!$C$1=RefData!$B$419,'All Statement of strategy (D)'!$F484,IF('All Statement of strategy (D)'!$C$1=RefData!$B$420,'All Statement of strategy (D)'!$G484,IF('All Statement of strategy (D)'!$C$1=RefData!$B$421,'All Statement of strategy (D)'!$H484," "))))</f>
        <v xml:space="preserve"> </v>
      </c>
    </row>
    <row r="485" spans="1:9">
      <c r="A485" s="584" t="s">
        <v>1978</v>
      </c>
      <c r="B485" s="585" t="s">
        <v>1858</v>
      </c>
      <c r="C485" s="585" t="str">
        <f ca="1">'Reconciliation report'!$E$532</f>
        <v/>
      </c>
      <c r="E485" s="585" t="str">
        <f ca="1">IF(AND($C485&lt;&gt;"",'Reconciliation report'!$E$419=RefData!$B$119,'Reconciliation report'!$E$488&gt;=5),'All Statement of strategy (D)'!$B485&amp;$C485,"")</f>
        <v/>
      </c>
      <c r="F485" s="585" t="str">
        <f ca="1">IF(AND('Reconciliation report'!$E$488&gt;=5,$C485&lt;&gt;"",'Reconciliation report'!$E$12=RefData!$B$12),$B485&amp;" "&amp;C485,"")</f>
        <v/>
      </c>
      <c r="G485" s="585" t="str">
        <f>""</f>
        <v/>
      </c>
      <c r="H485" s="585" t="str">
        <f>""</f>
        <v/>
      </c>
      <c r="I485" s="603" t="str">
        <f ca="1">IF($C$1=RefData!$B$418,'All Statement of strategy (D)'!$E485,IF('All Statement of strategy (D)'!$C$1=RefData!$B$419,'All Statement of strategy (D)'!$F485,IF('All Statement of strategy (D)'!$C$1=RefData!$B$420,'All Statement of strategy (D)'!$G485,IF('All Statement of strategy (D)'!$C$1=RefData!$B$421,'All Statement of strategy (D)'!$H485," "))))</f>
        <v xml:space="preserve"> </v>
      </c>
    </row>
    <row r="486" spans="1:9">
      <c r="A486" s="584" t="s">
        <v>1979</v>
      </c>
      <c r="B486" s="585" t="s">
        <v>1860</v>
      </c>
      <c r="C486" s="585" t="str">
        <f ca="1">'Reconciliation report'!$E$533</f>
        <v/>
      </c>
      <c r="E486" s="585" t="str">
        <f ca="1">IF(AND($C486&lt;&gt;"",'Reconciliation report'!$E$419=RefData!$B$119,'Reconciliation report'!$E$488&gt;=5),'All Statement of strategy (D)'!$B486&amp;$C486,"")</f>
        <v/>
      </c>
      <c r="F486" s="585" t="str">
        <f ca="1">IF(AND('Reconciliation report'!$E$488&gt;=5,$C486&lt;&gt;"",'Reconciliation report'!$E$12=RefData!$B$12),$B486&amp;" "&amp;C486,"")</f>
        <v/>
      </c>
      <c r="G486" s="585" t="str">
        <f>""</f>
        <v/>
      </c>
      <c r="H486" s="585" t="str">
        <f>""</f>
        <v/>
      </c>
      <c r="I486" s="603" t="str">
        <f ca="1">IF($C$1=RefData!$B$418,'All Statement of strategy (D)'!$E486,IF('All Statement of strategy (D)'!$C$1=RefData!$B$419,'All Statement of strategy (D)'!$F486,IF('All Statement of strategy (D)'!$C$1=RefData!$B$420,'All Statement of strategy (D)'!$G486,IF('All Statement of strategy (D)'!$C$1=RefData!$B$421,'All Statement of strategy (D)'!$H486," "))))</f>
        <v xml:space="preserve"> </v>
      </c>
    </row>
    <row r="487" spans="1:9">
      <c r="A487" s="584" t="s">
        <v>1980</v>
      </c>
      <c r="B487" s="585" t="s">
        <v>1862</v>
      </c>
      <c r="C487" s="585" t="str">
        <f ca="1">'Reconciliation report'!$E$534</f>
        <v/>
      </c>
      <c r="E487" s="585" t="str">
        <f ca="1">IF(AND($C487&lt;&gt;"",'Reconciliation report'!$E$419=RefData!$B$119,'Reconciliation report'!$E$488&gt;=5),'All Statement of strategy (D)'!$B487&amp;$C487,"")</f>
        <v/>
      </c>
      <c r="F487" s="585" t="str">
        <f ca="1">IF(AND('Reconciliation report'!$E$488&gt;=5,$C487&lt;&gt;"",'Reconciliation report'!$E$12=RefData!$B$12),$B487&amp;" "&amp;C487,"")</f>
        <v/>
      </c>
      <c r="G487" s="585" t="str">
        <f>""</f>
        <v/>
      </c>
      <c r="H487" s="585" t="str">
        <f>""</f>
        <v/>
      </c>
      <c r="I487" s="603" t="str">
        <f ca="1">IF($C$1=RefData!$B$418,'All Statement of strategy (D)'!$E487,IF('All Statement of strategy (D)'!$C$1=RefData!$B$419,'All Statement of strategy (D)'!$F487,IF('All Statement of strategy (D)'!$C$1=RefData!$B$420,'All Statement of strategy (D)'!$G487,IF('All Statement of strategy (D)'!$C$1=RefData!$B$421,'All Statement of strategy (D)'!$H487," "))))</f>
        <v xml:space="preserve"> </v>
      </c>
    </row>
    <row r="488" spans="1:9">
      <c r="A488" s="584" t="s">
        <v>1981</v>
      </c>
      <c r="B488" s="585" t="s">
        <v>1864</v>
      </c>
      <c r="C488" s="585" t="str">
        <f ca="1">'Reconciliation report'!$E$535</f>
        <v/>
      </c>
      <c r="E488" s="585" t="str">
        <f ca="1">IF(AND($C488&lt;&gt;"",'Reconciliation report'!$E$419=RefData!$B$119,'Reconciliation report'!$E$488&gt;=5),'All Statement of strategy (D)'!$B488&amp;$C488,"")</f>
        <v/>
      </c>
      <c r="F488" s="585" t="str">
        <f ca="1">IF(AND('Reconciliation report'!$E$488&gt;=5,$C488&lt;&gt;"",'Reconciliation report'!$E$12=RefData!$B$12),$B488&amp;" "&amp;C488,"")</f>
        <v/>
      </c>
      <c r="G488" s="585" t="str">
        <f>""</f>
        <v/>
      </c>
      <c r="H488" s="585" t="str">
        <f>""</f>
        <v/>
      </c>
      <c r="I488" s="603" t="str">
        <f ca="1">IF($C$1=RefData!$B$418,'All Statement of strategy (D)'!$E488,IF('All Statement of strategy (D)'!$C$1=RefData!$B$419,'All Statement of strategy (D)'!$F488,IF('All Statement of strategy (D)'!$C$1=RefData!$B$420,'All Statement of strategy (D)'!$G488,IF('All Statement of strategy (D)'!$C$1=RefData!$B$421,'All Statement of strategy (D)'!$H488," "))))</f>
        <v xml:space="preserve"> </v>
      </c>
    </row>
    <row r="489" spans="1:9">
      <c r="A489" s="584" t="s">
        <v>1982</v>
      </c>
      <c r="B489" s="585" t="s">
        <v>1866</v>
      </c>
      <c r="C489" s="585" t="str">
        <f ca="1">'Reconciliation report'!$E$536</f>
        <v/>
      </c>
      <c r="E489" s="585" t="str">
        <f ca="1">IF(AND($C489&lt;&gt;"",'Reconciliation report'!$E$419=RefData!$B$119,'Reconciliation report'!$E$488&gt;=5),'All Statement of strategy (D)'!$B489&amp;$C489,"")</f>
        <v/>
      </c>
      <c r="F489" s="585" t="str">
        <f ca="1">IF(AND('Reconciliation report'!$E$488&gt;=5,$C489&lt;&gt;"",'Reconciliation report'!$E$12=RefData!$B$12),$B489&amp;" "&amp;C489,"")</f>
        <v/>
      </c>
      <c r="G489" s="585" t="str">
        <f>""</f>
        <v/>
      </c>
      <c r="H489" s="585" t="str">
        <f>""</f>
        <v/>
      </c>
      <c r="I489" s="603" t="str">
        <f ca="1">IF($C$1=RefData!$B$418,'All Statement of strategy (D)'!$E489,IF('All Statement of strategy (D)'!$C$1=RefData!$B$419,'All Statement of strategy (D)'!$F489,IF('All Statement of strategy (D)'!$C$1=RefData!$B$420,'All Statement of strategy (D)'!$G489,IF('All Statement of strategy (D)'!$C$1=RefData!$B$421,'All Statement of strategy (D)'!$H489," "))))</f>
        <v xml:space="preserve"> </v>
      </c>
    </row>
    <row r="490" spans="1:9">
      <c r="A490" s="584" t="s">
        <v>1983</v>
      </c>
      <c r="B490" s="585" t="s">
        <v>1868</v>
      </c>
      <c r="C490" s="585" t="str">
        <f ca="1">'Reconciliation report'!$E$537</f>
        <v/>
      </c>
      <c r="E490" s="585" t="str">
        <f ca="1">IF(AND($C490&lt;&gt;"",'Reconciliation report'!$E$419=RefData!$B$119,'Reconciliation report'!$E$488&gt;=5),'All Statement of strategy (D)'!$B490&amp;$C490,"")</f>
        <v/>
      </c>
      <c r="F490" s="585" t="str">
        <f ca="1">IF(AND('Reconciliation report'!$E$488&gt;=5,$C490&lt;&gt;"",'Reconciliation report'!$E$12=RefData!$B$12),$B490&amp;" "&amp;C490,"")</f>
        <v/>
      </c>
      <c r="G490" s="585" t="str">
        <f>""</f>
        <v/>
      </c>
      <c r="H490" s="585" t="str">
        <f>""</f>
        <v/>
      </c>
      <c r="I490" s="603" t="str">
        <f ca="1">IF($C$1=RefData!$B$418,'All Statement of strategy (D)'!$E490,IF('All Statement of strategy (D)'!$C$1=RefData!$B$419,'All Statement of strategy (D)'!$F490,IF('All Statement of strategy (D)'!$C$1=RefData!$B$420,'All Statement of strategy (D)'!$G490,IF('All Statement of strategy (D)'!$C$1=RefData!$B$421,'All Statement of strategy (D)'!$H490," "))))</f>
        <v xml:space="preserve"> </v>
      </c>
    </row>
    <row r="491" spans="1:9">
      <c r="A491" s="584" t="s">
        <v>1984</v>
      </c>
      <c r="B491" s="585" t="s">
        <v>1870</v>
      </c>
      <c r="C491" s="585" t="str">
        <f ca="1">'Reconciliation report'!$E$538</f>
        <v/>
      </c>
      <c r="E491" s="585" t="str">
        <f ca="1">IF(AND($C491&lt;&gt;"",'Reconciliation report'!$E$419=RefData!$B$119,'Reconciliation report'!$E$488&gt;=5),'All Statement of strategy (D)'!$B491&amp;$C491,"")</f>
        <v/>
      </c>
      <c r="F491" s="585" t="str">
        <f ca="1">IF(AND('Reconciliation report'!$E$488&gt;=5,$C491&lt;&gt;"",'Reconciliation report'!$E$12=RefData!$B$12),$B491&amp;" "&amp;C491,"")</f>
        <v/>
      </c>
      <c r="G491" s="585" t="str">
        <f>""</f>
        <v/>
      </c>
      <c r="H491" s="585" t="str">
        <f>""</f>
        <v/>
      </c>
      <c r="I491" s="603" t="str">
        <f ca="1">IF($C$1=RefData!$B$418,'All Statement of strategy (D)'!$E491,IF('All Statement of strategy (D)'!$C$1=RefData!$B$419,'All Statement of strategy (D)'!$F491,IF('All Statement of strategy (D)'!$C$1=RefData!$B$420,'All Statement of strategy (D)'!$G491,IF('All Statement of strategy (D)'!$C$1=RefData!$B$421,'All Statement of strategy (D)'!$H491," "))))</f>
        <v xml:space="preserve"> </v>
      </c>
    </row>
    <row r="492" spans="1:9">
      <c r="B492" s="585" t="s">
        <v>1985</v>
      </c>
      <c r="E492" s="585" t="str">
        <f ca="1">IF('Reconciliation report'!$E$419=RefData!$B$119,'All Statement of strategy (D)'!$B492&amp;$C492,"")</f>
        <v/>
      </c>
      <c r="F492" s="585" t="str">
        <f ca="1">IF('Reconciliation report'!$E$12=RefData!$B$12,$B492,"")</f>
        <v/>
      </c>
      <c r="G492" s="585" t="str">
        <f>""</f>
        <v/>
      </c>
      <c r="H492" s="585" t="str">
        <f>""</f>
        <v/>
      </c>
      <c r="I492" s="603" t="str">
        <f ca="1">IF($C$1=RefData!$B$418,'All Statement of strategy (D)'!$E492,IF('All Statement of strategy (D)'!$C$1=RefData!$B$419,'All Statement of strategy (D)'!$F492,IF('All Statement of strategy (D)'!$C$1=RefData!$B$420,'All Statement of strategy (D)'!$G492,IF('All Statement of strategy (D)'!$C$1=RefData!$B$421,'All Statement of strategy (D)'!$H492," "))))</f>
        <v xml:space="preserve"> </v>
      </c>
    </row>
    <row r="493" spans="1:9">
      <c r="B493" s="585" t="s">
        <v>1986</v>
      </c>
      <c r="E493" s="585" t="str">
        <f ca="1">IF(AND('Reconciliation report'!$E$419=RefData!$B$119,'Reconciliation report'!$E$484&lt;&gt;""),'All Statement of strategy (D)'!$B493&amp;$C493,"")</f>
        <v/>
      </c>
      <c r="F493" s="585" t="str">
        <f ca="1">IF(AND('Reconciliation report'!$E$12=RefData!$B$12,'Reconciliation report'!$E$419=RefData!$B$119,'Reconciliation report'!$E$484&lt;&gt;""),'All Statement of strategy (D)'!$B493,"")</f>
        <v/>
      </c>
      <c r="G493" s="585" t="str">
        <f>""</f>
        <v/>
      </c>
      <c r="H493" s="585" t="str">
        <f>""</f>
        <v/>
      </c>
      <c r="I493" s="603" t="str">
        <f ca="1">IF($C$1=RefData!$B$418,'All Statement of strategy (D)'!$E493,IF('All Statement of strategy (D)'!$C$1=RefData!$B$419,'All Statement of strategy (D)'!$F493,IF('All Statement of strategy (D)'!$C$1=RefData!$B$420,'All Statement of strategy (D)'!$G493,IF('All Statement of strategy (D)'!$C$1=RefData!$B$421,'All Statement of strategy (D)'!$H493," "))))</f>
        <v xml:space="preserve"> </v>
      </c>
    </row>
    <row r="494" spans="1:9">
      <c r="A494" s="584" t="s">
        <v>1987</v>
      </c>
      <c r="B494" s="615" t="str">
        <f ca="1">LEFT('Reconciliation report'!$E$484,1000)</f>
        <v/>
      </c>
      <c r="E494" s="585" t="str">
        <f ca="1">IF('Reconciliation report'!$E$419=RefData!$B$119,'All Statement of strategy (D)'!$B494&amp;$C494,"")</f>
        <v/>
      </c>
      <c r="F494" s="585" t="str">
        <f ca="1">IF(AND('Reconciliation report'!$E$12=RefData!$B$12,'Reconciliation report'!$E$419=RefData!$B$119),'All Statement of strategy (D)'!$B494,"")</f>
        <v/>
      </c>
      <c r="G494" s="585" t="str">
        <f>""</f>
        <v/>
      </c>
      <c r="H494" s="585" t="str">
        <f>""</f>
        <v/>
      </c>
      <c r="I494" s="603" t="str">
        <f ca="1">IF($C$1=RefData!$B$418,'All Statement of strategy (D)'!$E494,IF('All Statement of strategy (D)'!$C$1=RefData!$B$419,'All Statement of strategy (D)'!$F494,IF('All Statement of strategy (D)'!$C$1=RefData!$B$420,'All Statement of strategy (D)'!$G494,IF('All Statement of strategy (D)'!$C$1=RefData!$B$421,'All Statement of strategy (D)'!$H494," "))))</f>
        <v xml:space="preserve"> </v>
      </c>
    </row>
    <row r="495" spans="1:9">
      <c r="A495" s="584" t="s">
        <v>1987</v>
      </c>
      <c r="B495" s="615" t="str">
        <f ca="1">MID('Reconciliation report'!$E$484,1001,1000)</f>
        <v/>
      </c>
      <c r="E495" s="585" t="str">
        <f ca="1">IF('Reconciliation report'!$E$419=RefData!$B$119,'All Statement of strategy (D)'!$B495&amp;$C495,"")</f>
        <v/>
      </c>
      <c r="F495" s="585" t="str">
        <f ca="1">IF(AND('Reconciliation report'!$E$12=RefData!$B$12,'Reconciliation report'!$E$419=RefData!$B$119),'All Statement of strategy (D)'!$B495,"")</f>
        <v/>
      </c>
      <c r="G495" s="585" t="str">
        <f>""</f>
        <v/>
      </c>
      <c r="H495" s="585" t="str">
        <f>""</f>
        <v/>
      </c>
      <c r="I495" s="603" t="str">
        <f ca="1">IF($C$1=RefData!$B$418,'All Statement of strategy (D)'!$E495,IF('All Statement of strategy (D)'!$C$1=RefData!$B$419,'All Statement of strategy (D)'!$F495,IF('All Statement of strategy (D)'!$C$1=RefData!$B$420,'All Statement of strategy (D)'!$G495,IF('All Statement of strategy (D)'!$C$1=RefData!$B$421,'All Statement of strategy (D)'!$H495," "))))</f>
        <v xml:space="preserve"> </v>
      </c>
    </row>
    <row r="496" spans="1:9">
      <c r="A496" s="584" t="s">
        <v>1987</v>
      </c>
      <c r="B496" s="615" t="str">
        <f ca="1">MID('Reconciliation report'!$E$484,2001,1000)</f>
        <v/>
      </c>
      <c r="E496" s="585" t="str">
        <f ca="1">IF('Reconciliation report'!$E$419=RefData!$B$119,'All Statement of strategy (D)'!$B496&amp;$C496,"")</f>
        <v/>
      </c>
      <c r="F496" s="585" t="str">
        <f ca="1">IF(AND('Reconciliation report'!$E$12=RefData!$B$12,'Reconciliation report'!$E$419=RefData!$B$119),'All Statement of strategy (D)'!$B496,"")</f>
        <v/>
      </c>
      <c r="G496" s="585" t="str">
        <f>""</f>
        <v/>
      </c>
      <c r="H496" s="585" t="str">
        <f>""</f>
        <v/>
      </c>
      <c r="I496" s="603" t="str">
        <f ca="1">IF($C$1=RefData!$B$418,'All Statement of strategy (D)'!$E496,IF('All Statement of strategy (D)'!$C$1=RefData!$B$419,'All Statement of strategy (D)'!$F496,IF('All Statement of strategy (D)'!$C$1=RefData!$B$420,'All Statement of strategy (D)'!$G496,IF('All Statement of strategy (D)'!$C$1=RefData!$B$421,'All Statement of strategy (D)'!$H496," "))))</f>
        <v xml:space="preserve"> </v>
      </c>
    </row>
    <row r="497" spans="1:9">
      <c r="A497" s="584" t="s">
        <v>1987</v>
      </c>
      <c r="B497" s="615" t="str">
        <f ca="1">MID('Reconciliation report'!$E$484,3001,1000)</f>
        <v/>
      </c>
      <c r="E497" s="585" t="str">
        <f ca="1">IF('Reconciliation report'!$E$419=RefData!$B$119,'All Statement of strategy (D)'!$B497&amp;$C497,"")</f>
        <v/>
      </c>
      <c r="F497" s="585" t="str">
        <f ca="1">IF(AND('Reconciliation report'!$E$12=RefData!$B$12,'Reconciliation report'!$E$419=RefData!$B$119),'All Statement of strategy (D)'!$B497,"")</f>
        <v/>
      </c>
      <c r="G497" s="585" t="str">
        <f>""</f>
        <v/>
      </c>
      <c r="H497" s="585" t="str">
        <f>""</f>
        <v/>
      </c>
      <c r="I497" s="603" t="str">
        <f ca="1">IF($C$1=RefData!$B$418,'All Statement of strategy (D)'!$E497,IF('All Statement of strategy (D)'!$C$1=RefData!$B$419,'All Statement of strategy (D)'!$F497,IF('All Statement of strategy (D)'!$C$1=RefData!$B$420,'All Statement of strategy (D)'!$G497,IF('All Statement of strategy (D)'!$C$1=RefData!$B$421,'All Statement of strategy (D)'!$H497," "))))</f>
        <v xml:space="preserve"> </v>
      </c>
    </row>
    <row r="498" spans="1:9">
      <c r="B498" s="585" t="s">
        <v>1988</v>
      </c>
      <c r="C498" s="585" t="str">
        <f ca="1">IF(ISNUMBER(MATCH($C$1,RefData!$B$418:$B$419,0)),"6.","4.")</f>
        <v>4.</v>
      </c>
      <c r="E498" s="585" t="str">
        <f ca="1">IF('Reconciliation report'!$E$419=RefData!$B$118,'All Statement of strategy (D)'!$B498&amp;$C498,"")</f>
        <v/>
      </c>
      <c r="F498" s="585" t="str">
        <f ca="1">IF('Reconciliation report'!$E$419=RefData!$B$118,'All Statement of strategy (D)'!$B498&amp;$C498,"")</f>
        <v/>
      </c>
      <c r="G498" s="585" t="str">
        <f ca="1">IF(AND('Reconciliation report'!$E$9=RefData!$B$5,'Reconciliation report'!$E$13=RefData!$B$14,'Reconciliation report'!$E$419=RefData!$B$118),'All Statement of strategy (D)'!$B498&amp;$C498,"")</f>
        <v/>
      </c>
      <c r="H498" s="585" t="str">
        <f ca="1">IF(AND('Reconciliation report'!$E$9=RefData!$B$5,'Reconciliation report'!$E$13=RefData!$B$14,'Reconciliation report'!$E$419=RefData!$B$118),'All Statement of strategy (D)'!$B498&amp;$C498,"")</f>
        <v/>
      </c>
      <c r="I498" s="603" t="str">
        <f ca="1">IF($C$1=RefData!$B$418,'All Statement of strategy (D)'!$E498,IF('All Statement of strategy (D)'!$C$1=RefData!$B$419,'All Statement of strategy (D)'!$F498,IF('All Statement of strategy (D)'!$C$1=RefData!$B$420,'All Statement of strategy (D)'!$G498,IF('All Statement of strategy (D)'!$C$1=RefData!$B$421,'All Statement of strategy (D)'!$H498," "))))</f>
        <v xml:space="preserve"> </v>
      </c>
    </row>
    <row r="499" spans="1:9">
      <c r="B499" s="585" t="s">
        <v>1989</v>
      </c>
      <c r="E499" s="585" t="str">
        <f>""</f>
        <v/>
      </c>
      <c r="F499" s="585" t="str">
        <f>""</f>
        <v/>
      </c>
      <c r="G499" s="585" t="str">
        <f ca="1">IF(AND('Reconciliation report'!$E$9=RefData!$B$5,'Reconciliation report'!$E$13=RefData!$B$14,'Reconciliation report'!$E$419=RefData!$B$118),'All Statement of strategy (D)'!$B499&amp;$C499,"")</f>
        <v/>
      </c>
      <c r="H499" s="585" t="str">
        <f ca="1">IF(AND('Reconciliation report'!$E$9=RefData!$B$5,'Reconciliation report'!$E$13=RefData!$B$14,'Reconciliation report'!$E$419=RefData!$B$118),'All Statement of strategy (D)'!$B499&amp;$C499,"")</f>
        <v/>
      </c>
      <c r="I499" s="603" t="str">
        <f ca="1">IF($C$1=RefData!$B$418,'All Statement of strategy (D)'!$E499,IF('All Statement of strategy (D)'!$C$1=RefData!$B$419,'All Statement of strategy (D)'!$F499,IF('All Statement of strategy (D)'!$C$1=RefData!$B$420,'All Statement of strategy (D)'!$G499,IF('All Statement of strategy (D)'!$C$1=RefData!$B$421,'All Statement of strategy (D)'!$H499," "))))</f>
        <v xml:space="preserve"> </v>
      </c>
    </row>
    <row r="500" spans="1:9">
      <c r="A500" s="584" t="s">
        <v>1987</v>
      </c>
      <c r="B500" s="615" t="str">
        <f ca="1">LEFT('Reconciliation report'!$E$484,1000)</f>
        <v/>
      </c>
      <c r="E500" s="585" t="str">
        <f>""</f>
        <v/>
      </c>
      <c r="F500" s="585" t="str">
        <f>""</f>
        <v/>
      </c>
      <c r="G500" s="585" t="str">
        <f ca="1">IF(AND('Reconciliation report'!$E$9=RefData!$B$5,'Reconciliation report'!$E$13=RefData!$B$14,'Reconciliation report'!$E$419=RefData!$B$118),'All Statement of strategy (D)'!$B500&amp;$C500,"")</f>
        <v/>
      </c>
      <c r="H500" s="585" t="str">
        <f ca="1">IF(AND('Reconciliation report'!$E$9=RefData!$B$5,'Reconciliation report'!$E$13=RefData!$B$14,'Reconciliation report'!$E$419=RefData!$B$118),'All Statement of strategy (D)'!$B500&amp;$C500,"")</f>
        <v/>
      </c>
      <c r="I500" s="603" t="str">
        <f ca="1">IF($C$1=RefData!$B$418,'All Statement of strategy (D)'!$E500,IF('All Statement of strategy (D)'!$C$1=RefData!$B$419,'All Statement of strategy (D)'!$F500,IF('All Statement of strategy (D)'!$C$1=RefData!$B$420,'All Statement of strategy (D)'!$G500,IF('All Statement of strategy (D)'!$C$1=RefData!$B$421,'All Statement of strategy (D)'!$H500," "))))</f>
        <v xml:space="preserve"> </v>
      </c>
    </row>
    <row r="501" spans="1:9">
      <c r="A501" s="584" t="s">
        <v>1987</v>
      </c>
      <c r="B501" s="615" t="str">
        <f ca="1">MID('Reconciliation report'!$E$484,1001,1000)</f>
        <v/>
      </c>
      <c r="E501" s="585" t="str">
        <f>""</f>
        <v/>
      </c>
      <c r="F501" s="585" t="str">
        <f>""</f>
        <v/>
      </c>
      <c r="G501" s="585" t="str">
        <f ca="1">IF(AND('Reconciliation report'!$E$9=RefData!$B$5,'Reconciliation report'!$E$13=RefData!$B$14,'Reconciliation report'!$E$419=RefData!$B$118),'All Statement of strategy (D)'!$B501&amp;$C501,"")</f>
        <v/>
      </c>
      <c r="H501" s="585" t="str">
        <f ca="1">IF(AND('Reconciliation report'!$E$9=RefData!$B$5,'Reconciliation report'!$E$13=RefData!$B$14,'Reconciliation report'!$E$419=RefData!$B$118),'All Statement of strategy (D)'!$B501&amp;$C501,"")</f>
        <v/>
      </c>
      <c r="I501" s="603" t="str">
        <f ca="1">IF($C$1=RefData!$B$418,'All Statement of strategy (D)'!$E501,IF('All Statement of strategy (D)'!$C$1=RefData!$B$419,'All Statement of strategy (D)'!$F501,IF('All Statement of strategy (D)'!$C$1=RefData!$B$420,'All Statement of strategy (D)'!$G501,IF('All Statement of strategy (D)'!$C$1=RefData!$B$421,'All Statement of strategy (D)'!$H501," "))))</f>
        <v xml:space="preserve"> </v>
      </c>
    </row>
    <row r="502" spans="1:9">
      <c r="A502" s="584" t="s">
        <v>1987</v>
      </c>
      <c r="B502" s="615" t="str">
        <f ca="1">MID('Reconciliation report'!$E$484,2001,1000)</f>
        <v/>
      </c>
      <c r="E502" s="585" t="str">
        <f>""</f>
        <v/>
      </c>
      <c r="F502" s="585" t="str">
        <f>""</f>
        <v/>
      </c>
      <c r="G502" s="585" t="str">
        <f ca="1">IF(AND('Reconciliation report'!$E$9=RefData!$B$5,'Reconciliation report'!$E$13=RefData!$B$14,'Reconciliation report'!$E$419=RefData!$B$118),'All Statement of strategy (D)'!$B502&amp;$C502,"")</f>
        <v/>
      </c>
      <c r="H502" s="585" t="str">
        <f ca="1">IF(AND('Reconciliation report'!$E$9=RefData!$B$5,'Reconciliation report'!$E$13=RefData!$B$14,'Reconciliation report'!$E$419=RefData!$B$118),'All Statement of strategy (D)'!$B502&amp;$C502,"")</f>
        <v/>
      </c>
      <c r="I502" s="603" t="str">
        <f ca="1">IF($C$1=RefData!$B$418,'All Statement of strategy (D)'!$E502,IF('All Statement of strategy (D)'!$C$1=RefData!$B$419,'All Statement of strategy (D)'!$F502,IF('All Statement of strategy (D)'!$C$1=RefData!$B$420,'All Statement of strategy (D)'!$G502,IF('All Statement of strategy (D)'!$C$1=RefData!$B$421,'All Statement of strategy (D)'!$H502," "))))</f>
        <v xml:space="preserve"> </v>
      </c>
    </row>
    <row r="503" spans="1:9">
      <c r="A503" s="584" t="s">
        <v>1987</v>
      </c>
      <c r="B503" s="615" t="str">
        <f ca="1">MID('Reconciliation report'!$E$484,3001,1000)</f>
        <v/>
      </c>
      <c r="E503" s="585" t="str">
        <f>""</f>
        <v/>
      </c>
      <c r="F503" s="585" t="str">
        <f>""</f>
        <v/>
      </c>
      <c r="G503" s="585" t="str">
        <f ca="1">IF(AND('Reconciliation report'!$E$9=RefData!$B$5,'Reconciliation report'!$E$13=RefData!$B$14,'Reconciliation report'!$E$419=RefData!$B$118),'All Statement of strategy (D)'!$B503&amp;$C503,"")</f>
        <v/>
      </c>
      <c r="H503" s="585" t="str">
        <f ca="1">IF(AND('Reconciliation report'!$E$9=RefData!$B$5,'Reconciliation report'!$E$13=RefData!$B$14,'Reconciliation report'!$E$419=RefData!$B$118),'All Statement of strategy (D)'!$B503&amp;$C503,"")</f>
        <v/>
      </c>
      <c r="I503" s="603" t="str">
        <f ca="1">IF($C$1=RefData!$B$418,'All Statement of strategy (D)'!$E503,IF('All Statement of strategy (D)'!$C$1=RefData!$B$419,'All Statement of strategy (D)'!$F503,IF('All Statement of strategy (D)'!$C$1=RefData!$B$420,'All Statement of strategy (D)'!$G503,IF('All Statement of strategy (D)'!$C$1=RefData!$B$421,'All Statement of strategy (D)'!$H503," "))))</f>
        <v xml:space="preserve"> </v>
      </c>
    </row>
    <row r="504" spans="1:9">
      <c r="B504" s="585" t="s">
        <v>1990</v>
      </c>
      <c r="E504" s="585" t="str">
        <f ca="1">IF(AND('Reconciliation report'!$E$481=RefData!$B$108,'Reconciliation report'!$E$419=RefData!$B$119),'All Statement of strategy (D)'!$B504&amp;$C504,"")</f>
        <v/>
      </c>
      <c r="F504" s="585" t="str">
        <f ca="1">IF(AND('Reconciliation report'!$E$482=RefData!$B$110,'Reconciliation report'!$E$419=RefData!$B$119),'All Statement of strategy (D)'!$B504&amp;$C504,"")</f>
        <v/>
      </c>
      <c r="G504" s="585" t="str">
        <f>""</f>
        <v/>
      </c>
      <c r="H504" s="585" t="str">
        <f>""</f>
        <v/>
      </c>
      <c r="I504" s="603" t="str">
        <f ca="1">IF($C$1=RefData!$B$418,'All Statement of strategy (D)'!$E504,IF('All Statement of strategy (D)'!$C$1=RefData!$B$419,'All Statement of strategy (D)'!$F504,IF('All Statement of strategy (D)'!$C$1=RefData!$B$420,'All Statement of strategy (D)'!$G504,IF('All Statement of strategy (D)'!$C$1=RefData!$B$421,'All Statement of strategy (D)'!$H504," "))))</f>
        <v xml:space="preserve"> </v>
      </c>
    </row>
    <row r="505" spans="1:9">
      <c r="B505" s="585" t="s">
        <v>1991</v>
      </c>
      <c r="E505" s="585" t="str">
        <f ca="1">IF(AND('Reconciliation report'!$E$481=RefData!$B$108,'Reconciliation report'!$E$419=RefData!$B$119),'All Statement of strategy (D)'!$B505&amp;$C505,"")</f>
        <v/>
      </c>
      <c r="F505" s="585" t="str">
        <f ca="1">IF(AND('Reconciliation report'!$E$482=RefData!$B$110,'Reconciliation report'!$E$419=RefData!$B$119),'All Statement of strategy (D)'!$B505&amp;$C505,"")</f>
        <v/>
      </c>
      <c r="G505" s="585" t="str">
        <f>""</f>
        <v/>
      </c>
      <c r="H505" s="585" t="str">
        <f>""</f>
        <v/>
      </c>
      <c r="I505" s="603" t="str">
        <f ca="1">IF($C$1=RefData!$B$418,'All Statement of strategy (D)'!$E505,IF('All Statement of strategy (D)'!$C$1=RefData!$B$419,'All Statement of strategy (D)'!$F505,IF('All Statement of strategy (D)'!$C$1=RefData!$B$420,'All Statement of strategy (D)'!$G505,IF('All Statement of strategy (D)'!$C$1=RefData!$B$421,'All Statement of strategy (D)'!$H505," "))))</f>
        <v xml:space="preserve"> </v>
      </c>
    </row>
    <row r="506" spans="1:9">
      <c r="A506" s="584" t="s">
        <v>1992</v>
      </c>
      <c r="B506" s="585" t="s">
        <v>1921</v>
      </c>
      <c r="C506" s="585" t="str">
        <f ca="1">TEXT('Reconciliation report'!$E$544,RefData!$B$425)</f>
        <v/>
      </c>
      <c r="E506" s="585" t="str">
        <f ca="1">IF(AND('Reconciliation report'!$E$481=RefData!$B$108,'Reconciliation report'!$E$419=RefData!$B$119),'All Statement of strategy (D)'!$B506&amp;$C506,"")</f>
        <v/>
      </c>
      <c r="F506" s="585" t="str">
        <f ca="1">IF(AND('Reconciliation report'!$E$482=RefData!$B$110,'Reconciliation report'!$E$419=RefData!$B$119),'All Statement of strategy (D)'!$B506&amp;$C506,"")</f>
        <v/>
      </c>
      <c r="G506" s="585" t="str">
        <f>""</f>
        <v/>
      </c>
      <c r="H506" s="585" t="str">
        <f>""</f>
        <v/>
      </c>
      <c r="I506" s="603" t="str">
        <f ca="1">IF($C$1=RefData!$B$418,'All Statement of strategy (D)'!$E506,IF('All Statement of strategy (D)'!$C$1=RefData!$B$419,'All Statement of strategy (D)'!$F506,IF('All Statement of strategy (D)'!$C$1=RefData!$B$420,'All Statement of strategy (D)'!$G506,IF('All Statement of strategy (D)'!$C$1=RefData!$B$421,'All Statement of strategy (D)'!$H506," "))))</f>
        <v xml:space="preserve"> </v>
      </c>
    </row>
    <row r="507" spans="1:9">
      <c r="A507" s="584" t="s">
        <v>1993</v>
      </c>
      <c r="B507" s="585" t="s">
        <v>1994</v>
      </c>
      <c r="C507" s="585" t="str">
        <f ca="1">TEXT('Reconciliation report'!$E$545,RefData!$B$425)</f>
        <v/>
      </c>
      <c r="E507" s="585" t="str">
        <f ca="1">IF(AND('Reconciliation report'!$E$481=RefData!$B$108,'Reconciliation report'!$E$419=RefData!$B$119),'All Statement of strategy (D)'!$B507&amp;$C507,"")</f>
        <v/>
      </c>
      <c r="F507" s="585" t="str">
        <f ca="1">IF(AND('Reconciliation report'!$E$482=RefData!$B$110,'Reconciliation report'!$E$419=RefData!$B$119),'All Statement of strategy (D)'!$B507&amp;$C507,"")</f>
        <v/>
      </c>
      <c r="G507" s="585" t="str">
        <f>""</f>
        <v/>
      </c>
      <c r="H507" s="585" t="str">
        <f>""</f>
        <v/>
      </c>
      <c r="I507" s="603" t="str">
        <f ca="1">IF($C$1=RefData!$B$418,'All Statement of strategy (D)'!$E507,IF('All Statement of strategy (D)'!$C$1=RefData!$B$419,'All Statement of strategy (D)'!$F507,IF('All Statement of strategy (D)'!$C$1=RefData!$B$420,'All Statement of strategy (D)'!$G507,IF('All Statement of strategy (D)'!$C$1=RefData!$B$421,'All Statement of strategy (D)'!$H507," "))))</f>
        <v xml:space="preserve"> </v>
      </c>
    </row>
    <row r="508" spans="1:9">
      <c r="A508" s="584" t="s">
        <v>1995</v>
      </c>
      <c r="B508" s="585" t="s">
        <v>1996</v>
      </c>
      <c r="C508" s="585" t="str">
        <f ca="1">TEXT('Reconciliation report'!$E$546,RefData!$B$425)</f>
        <v/>
      </c>
      <c r="E508" s="585" t="str">
        <f ca="1">IF(AND('Reconciliation report'!$E$481=RefData!$B$108,'Reconciliation report'!$E$419=RefData!$B$119),'All Statement of strategy (D)'!$B508&amp;$C508,"")</f>
        <v/>
      </c>
      <c r="F508" s="585" t="str">
        <f ca="1">IF(AND('Reconciliation report'!$E$482=RefData!$B$110,'Reconciliation report'!$E$419=RefData!$B$119),'All Statement of strategy (D)'!$B508&amp;$C508,"")</f>
        <v/>
      </c>
      <c r="G508" s="585" t="str">
        <f>""</f>
        <v/>
      </c>
      <c r="H508" s="585" t="str">
        <f>""</f>
        <v/>
      </c>
      <c r="I508" s="603" t="str">
        <f ca="1">IF($C$1=RefData!$B$418,'All Statement of strategy (D)'!$E508,IF('All Statement of strategy (D)'!$C$1=RefData!$B$419,'All Statement of strategy (D)'!$F508,IF('All Statement of strategy (D)'!$C$1=RefData!$B$420,'All Statement of strategy (D)'!$G508,IF('All Statement of strategy (D)'!$C$1=RefData!$B$421,'All Statement of strategy (D)'!$H508," "))))</f>
        <v xml:space="preserve"> </v>
      </c>
    </row>
    <row r="509" spans="1:9">
      <c r="B509" s="585" t="s">
        <v>1997</v>
      </c>
      <c r="E509" s="585" t="str">
        <f ca="1">IF(AND('Reconciliation report'!$E$481=RefData!$B$108,'Reconciliation report'!$E$419=RefData!$B$119),'All Statement of strategy (D)'!$B509&amp;$C509,"")</f>
        <v/>
      </c>
      <c r="F509" s="585" t="str">
        <f ca="1">IF(AND('Reconciliation report'!$E$482=RefData!$B$110,'Reconciliation report'!$E$419=RefData!$B$119),'All Statement of strategy (D)'!$B509&amp;$C509,"")</f>
        <v/>
      </c>
      <c r="G509" s="585" t="str">
        <f>""</f>
        <v/>
      </c>
      <c r="H509" s="585" t="str">
        <f>""</f>
        <v/>
      </c>
      <c r="I509" s="603" t="str">
        <f ca="1">IF($C$1=RefData!$B$418,'All Statement of strategy (D)'!$E509,IF('All Statement of strategy (D)'!$C$1=RefData!$B$419,'All Statement of strategy (D)'!$F509,IF('All Statement of strategy (D)'!$C$1=RefData!$B$420,'All Statement of strategy (D)'!$G509,IF('All Statement of strategy (D)'!$C$1=RefData!$B$421,'All Statement of strategy (D)'!$H509," "))))</f>
        <v xml:space="preserve"> </v>
      </c>
    </row>
    <row r="510" spans="1:9">
      <c r="A510" s="584" t="s">
        <v>1998</v>
      </c>
      <c r="B510" s="585" t="s">
        <v>1921</v>
      </c>
      <c r="C510" s="585" t="str">
        <f ca="1">TEXT('Reconciliation report'!$E$547,RefData!$B$425)</f>
        <v/>
      </c>
      <c r="E510" s="585" t="str">
        <f ca="1">IF(AND('Reconciliation report'!$E$481=RefData!$B$108,'Reconciliation report'!$E$419=RefData!$B$119),'All Statement of strategy (D)'!$B510&amp;$C510,"")</f>
        <v/>
      </c>
      <c r="F510" s="585" t="str">
        <f ca="1">IF(AND('Reconciliation report'!$E$482=RefData!$B$110,'Reconciliation report'!$E$419=RefData!$B$119),'All Statement of strategy (D)'!$B510&amp;$C510,"")</f>
        <v/>
      </c>
      <c r="G510" s="585" t="str">
        <f>""</f>
        <v/>
      </c>
      <c r="H510" s="585" t="str">
        <f>""</f>
        <v/>
      </c>
      <c r="I510" s="603" t="str">
        <f ca="1">IF($C$1=RefData!$B$418,'All Statement of strategy (D)'!$E510,IF('All Statement of strategy (D)'!$C$1=RefData!$B$419,'All Statement of strategy (D)'!$F510,IF('All Statement of strategy (D)'!$C$1=RefData!$B$420,'All Statement of strategy (D)'!$G510,IF('All Statement of strategy (D)'!$C$1=RefData!$B$421,'All Statement of strategy (D)'!$H510," "))))</f>
        <v xml:space="preserve"> </v>
      </c>
    </row>
    <row r="511" spans="1:9">
      <c r="A511" s="584" t="s">
        <v>1999</v>
      </c>
      <c r="B511" s="585" t="s">
        <v>1994</v>
      </c>
      <c r="C511" s="585" t="str">
        <f ca="1">TEXT('Reconciliation report'!$E$548,RefData!$B$425)</f>
        <v/>
      </c>
      <c r="E511" s="585" t="str">
        <f ca="1">IF(AND('Reconciliation report'!$E$481=RefData!$B$108,'Reconciliation report'!$E$419=RefData!$B$119),'All Statement of strategy (D)'!$B511&amp;$C511,"")</f>
        <v/>
      </c>
      <c r="F511" s="585" t="str">
        <f ca="1">IF(AND('Reconciliation report'!$E$482=RefData!$B$110,'Reconciliation report'!$E$419=RefData!$B$119),'All Statement of strategy (D)'!$B511&amp;$C511,"")</f>
        <v/>
      </c>
      <c r="G511" s="585" t="str">
        <f>""</f>
        <v/>
      </c>
      <c r="H511" s="585" t="str">
        <f>""</f>
        <v/>
      </c>
      <c r="I511" s="603" t="str">
        <f ca="1">IF($C$1=RefData!$B$418,'All Statement of strategy (D)'!$E511,IF('All Statement of strategy (D)'!$C$1=RefData!$B$419,'All Statement of strategy (D)'!$F511,IF('All Statement of strategy (D)'!$C$1=RefData!$B$420,'All Statement of strategy (D)'!$G511,IF('All Statement of strategy (D)'!$C$1=RefData!$B$421,'All Statement of strategy (D)'!$H511," "))))</f>
        <v xml:space="preserve"> </v>
      </c>
    </row>
    <row r="512" spans="1:9">
      <c r="A512" s="584" t="s">
        <v>2000</v>
      </c>
      <c r="B512" s="585" t="s">
        <v>1996</v>
      </c>
      <c r="C512" s="585" t="str">
        <f ca="1">TEXT('Reconciliation report'!$E$549,RefData!$B$425)</f>
        <v/>
      </c>
      <c r="E512" s="585" t="str">
        <f ca="1">IF(AND('Reconciliation report'!$E$481=RefData!$B$108,'Reconciliation report'!$E$419=RefData!$B$119),'All Statement of strategy (D)'!$B512&amp;$C512,"")</f>
        <v/>
      </c>
      <c r="F512" s="585" t="str">
        <f ca="1">IF(AND('Reconciliation report'!$E$482=RefData!$B$110,'Reconciliation report'!$E$419=RefData!$B$119),'All Statement of strategy (D)'!$B512&amp;$C512,"")</f>
        <v/>
      </c>
      <c r="G512" s="585" t="str">
        <f>""</f>
        <v/>
      </c>
      <c r="H512" s="585" t="str">
        <f>""</f>
        <v/>
      </c>
      <c r="I512" s="603" t="str">
        <f ca="1">IF($C$1=RefData!$B$418,'All Statement of strategy (D)'!$E512,IF('All Statement of strategy (D)'!$C$1=RefData!$B$419,'All Statement of strategy (D)'!$F512,IF('All Statement of strategy (D)'!$C$1=RefData!$B$420,'All Statement of strategy (D)'!$G512,IF('All Statement of strategy (D)'!$C$1=RefData!$B$421,'All Statement of strategy (D)'!$H512," "))))</f>
        <v xml:space="preserve"> </v>
      </c>
    </row>
    <row r="513" spans="1:9">
      <c r="B513" s="585" t="s">
        <v>2001</v>
      </c>
      <c r="E513" s="585" t="str">
        <f ca="1">IF(AND('Reconciliation report'!$E$481=RefData!$B$108,'Reconciliation report'!$E$419=RefData!$B$119),'All Statement of strategy (D)'!$B513&amp;$C513,"")</f>
        <v/>
      </c>
      <c r="F513" s="585" t="str">
        <f ca="1">IF(AND('Reconciliation report'!$E$482=RefData!$B$110,'Reconciliation report'!$E$419=RefData!$B$119),'All Statement of strategy (D)'!$B513&amp;$C513,"")</f>
        <v/>
      </c>
      <c r="G513" s="585" t="str">
        <f>""</f>
        <v/>
      </c>
      <c r="H513" s="585" t="str">
        <f>""</f>
        <v/>
      </c>
      <c r="I513" s="603" t="str">
        <f ca="1">IF($C$1=RefData!$B$418,'All Statement of strategy (D)'!$E513,IF('All Statement of strategy (D)'!$C$1=RefData!$B$419,'All Statement of strategy (D)'!$F513,IF('All Statement of strategy (D)'!$C$1=RefData!$B$420,'All Statement of strategy (D)'!$G513,IF('All Statement of strategy (D)'!$C$1=RefData!$B$421,'All Statement of strategy (D)'!$H513," "))))</f>
        <v xml:space="preserve"> </v>
      </c>
    </row>
    <row r="514" spans="1:9">
      <c r="A514" s="584" t="s">
        <v>2002</v>
      </c>
      <c r="B514" s="585" t="s">
        <v>1921</v>
      </c>
      <c r="C514" s="585" t="str">
        <f ca="1">TEXT('Reconciliation report'!$E$550,RefData!$B$425)</f>
        <v/>
      </c>
      <c r="E514" s="585" t="str">
        <f ca="1">IF(AND('Reconciliation report'!$E$481=RefData!$B$108,'Reconciliation report'!$E$419=RefData!$B$119),'All Statement of strategy (D)'!$B514&amp;$C514,"")</f>
        <v/>
      </c>
      <c r="F514" s="585" t="str">
        <f ca="1">IF(AND('Reconciliation report'!$E$482=RefData!$B$110,'Reconciliation report'!$E$419=RefData!$B$119),'All Statement of strategy (D)'!$B514&amp;$C514,"")</f>
        <v/>
      </c>
      <c r="G514" s="585" t="str">
        <f>""</f>
        <v/>
      </c>
      <c r="H514" s="585" t="str">
        <f>""</f>
        <v/>
      </c>
      <c r="I514" s="603" t="str">
        <f ca="1">IF($C$1=RefData!$B$418,'All Statement of strategy (D)'!$E514,IF('All Statement of strategy (D)'!$C$1=RefData!$B$419,'All Statement of strategy (D)'!$F514,IF('All Statement of strategy (D)'!$C$1=RefData!$B$420,'All Statement of strategy (D)'!$G514,IF('All Statement of strategy (D)'!$C$1=RefData!$B$421,'All Statement of strategy (D)'!$H514," "))))</f>
        <v xml:space="preserve"> </v>
      </c>
    </row>
    <row r="515" spans="1:9">
      <c r="A515" s="584" t="s">
        <v>2003</v>
      </c>
      <c r="B515" s="585" t="s">
        <v>1994</v>
      </c>
      <c r="C515" s="585" t="str">
        <f ca="1">TEXT('Reconciliation report'!$E$551,RefData!$B$425)</f>
        <v/>
      </c>
      <c r="E515" s="585" t="str">
        <f ca="1">IF(AND('Reconciliation report'!$E$481=RefData!$B$108,'Reconciliation report'!$E$419=RefData!$B$119),'All Statement of strategy (D)'!$B515&amp;$C515,"")</f>
        <v/>
      </c>
      <c r="F515" s="585" t="str">
        <f ca="1">IF(AND('Reconciliation report'!$E$482=RefData!$B$110,'Reconciliation report'!$E$419=RefData!$B$119),'All Statement of strategy (D)'!$B515&amp;$C515,"")</f>
        <v/>
      </c>
      <c r="G515" s="585" t="str">
        <f>""</f>
        <v/>
      </c>
      <c r="H515" s="585" t="str">
        <f>""</f>
        <v/>
      </c>
      <c r="I515" s="603" t="str">
        <f ca="1">IF($C$1=RefData!$B$418,'All Statement of strategy (D)'!$E515,IF('All Statement of strategy (D)'!$C$1=RefData!$B$419,'All Statement of strategy (D)'!$F515,IF('All Statement of strategy (D)'!$C$1=RefData!$B$420,'All Statement of strategy (D)'!$G515,IF('All Statement of strategy (D)'!$C$1=RefData!$B$421,'All Statement of strategy (D)'!$H515," "))))</f>
        <v xml:space="preserve"> </v>
      </c>
    </row>
    <row r="516" spans="1:9">
      <c r="A516" s="584" t="s">
        <v>2004</v>
      </c>
      <c r="B516" s="585" t="s">
        <v>1996</v>
      </c>
      <c r="C516" s="585" t="str">
        <f ca="1">TEXT('Reconciliation report'!$E$552,RefData!$B$425)</f>
        <v/>
      </c>
      <c r="E516" s="585" t="str">
        <f ca="1">IF(AND('Reconciliation report'!$E$481=RefData!$B$108,'Reconciliation report'!$E$419=RefData!$B$119),'All Statement of strategy (D)'!$B516&amp;$C516,"")</f>
        <v/>
      </c>
      <c r="F516" s="585" t="str">
        <f ca="1">IF(AND('Reconciliation report'!$E$482=RefData!$B$110,'Reconciliation report'!$E$419=RefData!$B$119),'All Statement of strategy (D)'!$B516&amp;$C516,"")</f>
        <v/>
      </c>
      <c r="G516" s="585" t="str">
        <f>""</f>
        <v/>
      </c>
      <c r="H516" s="585" t="str">
        <f>""</f>
        <v/>
      </c>
      <c r="I516" s="603" t="str">
        <f ca="1">IF($C$1=RefData!$B$418,'All Statement of strategy (D)'!$E516,IF('All Statement of strategy (D)'!$C$1=RefData!$B$419,'All Statement of strategy (D)'!$F516,IF('All Statement of strategy (D)'!$C$1=RefData!$B$420,'All Statement of strategy (D)'!$G516,IF('All Statement of strategy (D)'!$C$1=RefData!$B$421,'All Statement of strategy (D)'!$H516," "))))</f>
        <v xml:space="preserve"> </v>
      </c>
    </row>
    <row r="517" spans="1:9">
      <c r="B517" s="585" t="s">
        <v>2005</v>
      </c>
      <c r="E517" s="585" t="str">
        <f ca="1">IF(AND('Reconciliation report'!$E$481=RefData!$B$108,'Reconciliation report'!$E$419=RefData!$B$119),'All Statement of strategy (D)'!$B517&amp;$C517,"")</f>
        <v/>
      </c>
      <c r="F517" s="585" t="str">
        <f ca="1">IF(AND('Reconciliation report'!$E$482=RefData!$B$110,'Reconciliation report'!$E$419=RefData!$B$119),'All Statement of strategy (D)'!$B517&amp;$C517,"")</f>
        <v/>
      </c>
      <c r="G517" s="585" t="str">
        <f>""</f>
        <v/>
      </c>
      <c r="H517" s="585" t="str">
        <f>""</f>
        <v/>
      </c>
      <c r="I517" s="603" t="str">
        <f ca="1">IF($C$1=RefData!$B$418,'All Statement of strategy (D)'!$E517,IF('All Statement of strategy (D)'!$C$1=RefData!$B$419,'All Statement of strategy (D)'!$F517,IF('All Statement of strategy (D)'!$C$1=RefData!$B$420,'All Statement of strategy (D)'!$G517,IF('All Statement of strategy (D)'!$C$1=RefData!$B$421,'All Statement of strategy (D)'!$H517," "))))</f>
        <v xml:space="preserve"> </v>
      </c>
    </row>
    <row r="518" spans="1:9">
      <c r="A518" s="584" t="s">
        <v>2006</v>
      </c>
      <c r="B518" s="585" t="s">
        <v>1921</v>
      </c>
      <c r="C518" s="585" t="str">
        <f ca="1">TEXT('Reconciliation report'!$E$553,RefData!$B$425)</f>
        <v/>
      </c>
      <c r="E518" s="585" t="str">
        <f ca="1">IF(AND('Reconciliation report'!$E$481=RefData!$B$108,'Reconciliation report'!$E$419=RefData!$B$119),'All Statement of strategy (D)'!$B518&amp;$C518,"")</f>
        <v/>
      </c>
      <c r="F518" s="585" t="str">
        <f ca="1">IF(AND('Reconciliation report'!$E$482=RefData!$B$110,'Reconciliation report'!$E$419=RefData!$B$119),'All Statement of strategy (D)'!$B518&amp;$C518,"")</f>
        <v/>
      </c>
      <c r="G518" s="585" t="str">
        <f>""</f>
        <v/>
      </c>
      <c r="H518" s="585" t="str">
        <f>""</f>
        <v/>
      </c>
      <c r="I518" s="603" t="str">
        <f ca="1">IF($C$1=RefData!$B$418,'All Statement of strategy (D)'!$E518,IF('All Statement of strategy (D)'!$C$1=RefData!$B$419,'All Statement of strategy (D)'!$F518,IF('All Statement of strategy (D)'!$C$1=RefData!$B$420,'All Statement of strategy (D)'!$G518,IF('All Statement of strategy (D)'!$C$1=RefData!$B$421,'All Statement of strategy (D)'!$H518," "))))</f>
        <v xml:space="preserve"> </v>
      </c>
    </row>
    <row r="519" spans="1:9">
      <c r="A519" s="584" t="s">
        <v>2007</v>
      </c>
      <c r="B519" s="585" t="s">
        <v>1994</v>
      </c>
      <c r="C519" s="585" t="str">
        <f ca="1">TEXT('Reconciliation report'!$E$554,RefData!$B$425)</f>
        <v/>
      </c>
      <c r="E519" s="585" t="str">
        <f ca="1">IF(AND('Reconciliation report'!$E$481=RefData!$B$108,'Reconciliation report'!$E$419=RefData!$B$119),'All Statement of strategy (D)'!$B519&amp;$C519,"")</f>
        <v/>
      </c>
      <c r="F519" s="585" t="str">
        <f ca="1">IF(AND('Reconciliation report'!$E$482=RefData!$B$110,'Reconciliation report'!$E$419=RefData!$B$119),'All Statement of strategy (D)'!$B519&amp;$C519,"")</f>
        <v/>
      </c>
      <c r="G519" s="585" t="str">
        <f>""</f>
        <v/>
      </c>
      <c r="H519" s="585" t="str">
        <f>""</f>
        <v/>
      </c>
      <c r="I519" s="603" t="str">
        <f ca="1">IF($C$1=RefData!$B$418,'All Statement of strategy (D)'!$E519,IF('All Statement of strategy (D)'!$C$1=RefData!$B$419,'All Statement of strategy (D)'!$F519,IF('All Statement of strategy (D)'!$C$1=RefData!$B$420,'All Statement of strategy (D)'!$G519,IF('All Statement of strategy (D)'!$C$1=RefData!$B$421,'All Statement of strategy (D)'!$H519," "))))</f>
        <v xml:space="preserve"> </v>
      </c>
    </row>
    <row r="520" spans="1:9">
      <c r="A520" s="584" t="s">
        <v>2008</v>
      </c>
      <c r="B520" s="585" t="s">
        <v>1996</v>
      </c>
      <c r="C520" s="585" t="str">
        <f ca="1">TEXT('Reconciliation report'!$E$555,RefData!$B$425)</f>
        <v/>
      </c>
      <c r="E520" s="585" t="str">
        <f ca="1">IF(AND('Reconciliation report'!$E$481=RefData!$B$108,'Reconciliation report'!$E$419=RefData!$B$119),'All Statement of strategy (D)'!$B520&amp;$C520,"")</f>
        <v/>
      </c>
      <c r="F520" s="585" t="str">
        <f ca="1">IF(AND('Reconciliation report'!$E$482=RefData!$B$110,'Reconciliation report'!$E$419=RefData!$B$119),'All Statement of strategy (D)'!$B520&amp;$C520,"")</f>
        <v/>
      </c>
      <c r="G520" s="585" t="str">
        <f>""</f>
        <v/>
      </c>
      <c r="H520" s="585" t="str">
        <f>""</f>
        <v/>
      </c>
      <c r="I520" s="603" t="str">
        <f ca="1">IF($C$1=RefData!$B$418,'All Statement of strategy (D)'!$E520,IF('All Statement of strategy (D)'!$C$1=RefData!$B$419,'All Statement of strategy (D)'!$F520,IF('All Statement of strategy (D)'!$C$1=RefData!$B$420,'All Statement of strategy (D)'!$G520,IF('All Statement of strategy (D)'!$C$1=RefData!$B$421,'All Statement of strategy (D)'!$H520," "))))</f>
        <v xml:space="preserve"> </v>
      </c>
    </row>
    <row r="521" spans="1:9">
      <c r="B521" s="585" t="s">
        <v>2009</v>
      </c>
      <c r="E521" s="585" t="str">
        <f ca="1">IF(AND('Reconciliation report'!$E$481=RefData!$B$108,'Reconciliation report'!$E$419=RefData!$B$119),'All Statement of strategy (D)'!$B521&amp;$C521,"")</f>
        <v/>
      </c>
      <c r="F521" s="585" t="str">
        <f ca="1">IF(AND('Reconciliation report'!$E$482=RefData!$B$110,'Reconciliation report'!$E$419=RefData!$B$119),'All Statement of strategy (D)'!$B521&amp;$C521,"")</f>
        <v/>
      </c>
      <c r="G521" s="585" t="str">
        <f>""</f>
        <v/>
      </c>
      <c r="H521" s="585" t="str">
        <f>""</f>
        <v/>
      </c>
      <c r="I521" s="603" t="str">
        <f ca="1">IF($C$1=RefData!$B$418,'All Statement of strategy (D)'!$E521,IF('All Statement of strategy (D)'!$C$1=RefData!$B$419,'All Statement of strategy (D)'!$F521,IF('All Statement of strategy (D)'!$C$1=RefData!$B$420,'All Statement of strategy (D)'!$G521,IF('All Statement of strategy (D)'!$C$1=RefData!$B$421,'All Statement of strategy (D)'!$H521," "))))</f>
        <v xml:space="preserve"> </v>
      </c>
    </row>
    <row r="522" spans="1:9">
      <c r="A522" s="584" t="s">
        <v>2010</v>
      </c>
      <c r="B522" s="594" t="s">
        <v>1918</v>
      </c>
      <c r="C522" s="585" t="str">
        <f ca="1">TEXT('Reconciliation report'!$E$556,RefData!$B$425)</f>
        <v/>
      </c>
      <c r="E522" s="585" t="str">
        <f ca="1">IF(AND('Reconciliation report'!$E$481=RefData!$B$108,'Reconciliation report'!$E$419=RefData!$B$119),'All Statement of strategy (D)'!$B522&amp;$C522,"")</f>
        <v/>
      </c>
      <c r="F522" s="585" t="str">
        <f ca="1">IF(AND('Reconciliation report'!$E$482=RefData!$B$110,'Reconciliation report'!$E$419=RefData!$B$119),'All Statement of strategy (D)'!$B522&amp;$C522,"")</f>
        <v/>
      </c>
      <c r="G522" s="585" t="str">
        <f>""</f>
        <v/>
      </c>
      <c r="H522" s="585" t="str">
        <f>""</f>
        <v/>
      </c>
      <c r="I522" s="603" t="str">
        <f ca="1">IF($C$1=RefData!$B$418,'All Statement of strategy (D)'!$E522,IF('All Statement of strategy (D)'!$C$1=RefData!$B$419,'All Statement of strategy (D)'!$F522,IF('All Statement of strategy (D)'!$C$1=RefData!$B$420,'All Statement of strategy (D)'!$G522,IF('All Statement of strategy (D)'!$C$1=RefData!$B$421,'All Statement of strategy (D)'!$H522," "))))</f>
        <v xml:space="preserve"> </v>
      </c>
    </row>
    <row r="523" spans="1:9">
      <c r="B523" s="585" t="s">
        <v>2011</v>
      </c>
      <c r="E523" s="585" t="str">
        <f ca="1">IF(AND('Reconciliation report'!$E$481=RefData!$B$108,'Reconciliation report'!$E$419=RefData!$B$119,'Reconciliation report'!E557&lt;&gt;""),'All Statement of strategy (D)'!$B523,"")</f>
        <v/>
      </c>
      <c r="F523" s="585" t="str">
        <f ca="1">IF(AND('Reconciliation report'!$E$482=RefData!$B$110,'Reconciliation report'!$E$419=RefData!$B$119,'Reconciliation report'!E557&lt;&gt;""),'All Statement of strategy (D)'!$B523,"")</f>
        <v/>
      </c>
      <c r="G523" s="585" t="str">
        <f>""</f>
        <v/>
      </c>
      <c r="H523" s="585" t="str">
        <f>""</f>
        <v/>
      </c>
      <c r="I523" s="603" t="str">
        <f ca="1">IF($C$1=RefData!$B$418,'All Statement of strategy (D)'!$E523,IF('All Statement of strategy (D)'!$C$1=RefData!$B$419,'All Statement of strategy (D)'!$F523,IF('All Statement of strategy (D)'!$C$1=RefData!$B$420,'All Statement of strategy (D)'!$G523,IF('All Statement of strategy (D)'!$C$1=RefData!$B$421,'All Statement of strategy (D)'!$H523," "))))</f>
        <v xml:space="preserve"> </v>
      </c>
    </row>
    <row r="524" spans="1:9">
      <c r="A524" s="584" t="s">
        <v>2012</v>
      </c>
      <c r="B524" s="615" t="str">
        <f ca="1">LEFT('Reconciliation report'!$E$557,1000)</f>
        <v/>
      </c>
      <c r="E524" s="585" t="str">
        <f ca="1">IF(AND('Reconciliation report'!$E$481=RefData!$B$108,'Reconciliation report'!$E$419=RefData!$B$119,'Reconciliation report'!E558&lt;&gt;""),'All Statement of strategy (D)'!$B524,"")</f>
        <v/>
      </c>
      <c r="F524" s="585" t="str">
        <f ca="1">IF(AND('Reconciliation report'!$E$482=RefData!$B$110,'Reconciliation report'!$E$419=RefData!$B$119),'All Statement of strategy (D)'!$B524,"")</f>
        <v/>
      </c>
      <c r="G524" s="585" t="str">
        <f>""</f>
        <v/>
      </c>
      <c r="H524" s="585" t="str">
        <f>""</f>
        <v/>
      </c>
      <c r="I524" s="603" t="str">
        <f ca="1">IF($C$1=RefData!$B$418,'All Statement of strategy (D)'!$E524,IF('All Statement of strategy (D)'!$C$1=RefData!$B$419,'All Statement of strategy (D)'!$F524,IF('All Statement of strategy (D)'!$C$1=RefData!$B$420,'All Statement of strategy (D)'!$G524,IF('All Statement of strategy (D)'!$C$1=RefData!$B$421,'All Statement of strategy (D)'!$H524," "))))</f>
        <v xml:space="preserve"> </v>
      </c>
    </row>
    <row r="525" spans="1:9">
      <c r="A525" s="584" t="s">
        <v>2012</v>
      </c>
      <c r="B525" s="615" t="str">
        <f ca="1">MID('Reconciliation report'!$E$557,1001,1000)</f>
        <v/>
      </c>
      <c r="E525" s="585" t="str">
        <f ca="1">IF(AND('Reconciliation report'!$E$481=RefData!$B$108,'Reconciliation report'!$E$419=RefData!$B$119,'Reconciliation report'!E559&lt;&gt;""),'All Statement of strategy (D)'!$B525,"")</f>
        <v/>
      </c>
      <c r="F525" s="585" t="str">
        <f ca="1">IF(AND('Reconciliation report'!$E$482=RefData!$B$110,'Reconciliation report'!$E$419=RefData!$B$119),'All Statement of strategy (D)'!$B525,"")</f>
        <v/>
      </c>
      <c r="G525" s="585" t="str">
        <f>""</f>
        <v/>
      </c>
      <c r="H525" s="585" t="str">
        <f>""</f>
        <v/>
      </c>
      <c r="I525" s="603" t="str">
        <f ca="1">IF($C$1=RefData!$B$418,'All Statement of strategy (D)'!$E525,IF('All Statement of strategy (D)'!$C$1=RefData!$B$419,'All Statement of strategy (D)'!$F525,IF('All Statement of strategy (D)'!$C$1=RefData!$B$420,'All Statement of strategy (D)'!$G525,IF('All Statement of strategy (D)'!$C$1=RefData!$B$421,'All Statement of strategy (D)'!$H525," "))))</f>
        <v xml:space="preserve"> </v>
      </c>
    </row>
    <row r="526" spans="1:9">
      <c r="A526" s="584" t="s">
        <v>2012</v>
      </c>
      <c r="B526" s="615" t="str">
        <f ca="1">MID('Reconciliation report'!$E$557,2001,1000)</f>
        <v/>
      </c>
      <c r="E526" s="585" t="str">
        <f ca="1">IF(AND('Reconciliation report'!$E$481=RefData!$B$108,'Reconciliation report'!$E$419=RefData!$B$119,'Reconciliation report'!E560&lt;&gt;""),'All Statement of strategy (D)'!$B526,"")</f>
        <v/>
      </c>
      <c r="F526" s="585" t="str">
        <f ca="1">IF(AND('Reconciliation report'!$E$482=RefData!$B$110,'Reconciliation report'!$E$419=RefData!$B$119),'All Statement of strategy (D)'!$B526,"")</f>
        <v/>
      </c>
      <c r="G526" s="585" t="str">
        <f>""</f>
        <v/>
      </c>
      <c r="H526" s="585" t="str">
        <f>""</f>
        <v/>
      </c>
      <c r="I526" s="603" t="str">
        <f ca="1">IF($C$1=RefData!$B$418,'All Statement of strategy (D)'!$E526,IF('All Statement of strategy (D)'!$C$1=RefData!$B$419,'All Statement of strategy (D)'!$F526,IF('All Statement of strategy (D)'!$C$1=RefData!$B$420,'All Statement of strategy (D)'!$G526,IF('All Statement of strategy (D)'!$C$1=RefData!$B$421,'All Statement of strategy (D)'!$H526," "))))</f>
        <v xml:space="preserve"> </v>
      </c>
    </row>
    <row r="527" spans="1:9">
      <c r="A527" s="584" t="s">
        <v>2012</v>
      </c>
      <c r="B527" s="615" t="str">
        <f ca="1">MID('Reconciliation report'!$E$557,3001,1000)</f>
        <v/>
      </c>
      <c r="E527" s="585" t="str">
        <f ca="1">IF(AND('Reconciliation report'!$E$481=RefData!$B$108,'Reconciliation report'!$E$419=RefData!$B$119,'Reconciliation report'!E561&lt;&gt;""),'All Statement of strategy (D)'!$B527,"")</f>
        <v/>
      </c>
      <c r="F527" s="585" t="str">
        <f ca="1">IF(AND('Reconciliation report'!$E$482=RefData!$B$110,'Reconciliation report'!$E$419=RefData!$B$119),'All Statement of strategy (D)'!$B527,"")</f>
        <v/>
      </c>
      <c r="G527" s="585" t="str">
        <f>""</f>
        <v/>
      </c>
      <c r="H527" s="585" t="str">
        <f>""</f>
        <v/>
      </c>
      <c r="I527" s="603" t="str">
        <f ca="1">IF($C$1=RefData!$B$418,'All Statement of strategy (D)'!$E527,IF('All Statement of strategy (D)'!$C$1=RefData!$B$419,'All Statement of strategy (D)'!$F527,IF('All Statement of strategy (D)'!$C$1=RefData!$B$420,'All Statement of strategy (D)'!$G527,IF('All Statement of strategy (D)'!$C$1=RefData!$B$421,'All Statement of strategy (D)'!$H527," "))))</f>
        <v xml:space="preserve"> </v>
      </c>
    </row>
    <row r="528" spans="1:9">
      <c r="B528" s="615" t="s">
        <v>2013</v>
      </c>
      <c r="E528" s="585" t="str">
        <f ca="1">IF('Reconciliation report'!$E$558&lt;&gt;"",'All Statement of strategy (D)'!$B528,"")</f>
        <v/>
      </c>
      <c r="F528" s="585" t="str">
        <f ca="1">IF('Reconciliation report'!$E$558&lt;&gt;"",'All Statement of strategy (D)'!$B528,"")</f>
        <v/>
      </c>
      <c r="G528" s="585" t="str">
        <f ca="1">IF('Reconciliation report'!$E$558&lt;&gt;"",'All Statement of strategy (D)'!$B528,"")</f>
        <v/>
      </c>
      <c r="H528" s="585" t="str">
        <f ca="1">IF('Reconciliation report'!$E$558&lt;&gt;"",'All Statement of strategy (D)'!$B528,"")</f>
        <v/>
      </c>
      <c r="I528" s="603" t="str">
        <f ca="1">IF($C$1=RefData!$B$418,'All Statement of strategy (D)'!$E528,IF('All Statement of strategy (D)'!$C$1=RefData!$B$419,'All Statement of strategy (D)'!$F528,IF('All Statement of strategy (D)'!$C$1=RefData!$B$420,'All Statement of strategy (D)'!$G528,IF('All Statement of strategy (D)'!$C$1=RefData!$B$421,'All Statement of strategy (D)'!$H528," "))))</f>
        <v xml:space="preserve"> </v>
      </c>
    </row>
    <row r="529" spans="1:9">
      <c r="A529" s="584" t="s">
        <v>2014</v>
      </c>
      <c r="B529" s="615" t="str">
        <f ca="1">LEFT('Reconciliation report'!$E$558,1000)</f>
        <v/>
      </c>
      <c r="E529" s="615" t="str">
        <f t="shared" ref="E529:H533" ca="1" si="31">$B529</f>
        <v/>
      </c>
      <c r="F529" s="615" t="str">
        <f t="shared" ca="1" si="31"/>
        <v/>
      </c>
      <c r="G529" s="615" t="str">
        <f t="shared" ca="1" si="31"/>
        <v/>
      </c>
      <c r="H529" s="615" t="str">
        <f t="shared" ca="1" si="31"/>
        <v/>
      </c>
      <c r="I529" s="603" t="str">
        <f ca="1">IF($C$1=RefData!$B$418,'All Statement of strategy (D)'!$E529,IF('All Statement of strategy (D)'!$C$1=RefData!$B$419,'All Statement of strategy (D)'!$F529,IF('All Statement of strategy (D)'!$C$1=RefData!$B$420,'All Statement of strategy (D)'!$G529,IF('All Statement of strategy (D)'!$C$1=RefData!$B$421,'All Statement of strategy (D)'!$H529," "))))</f>
        <v xml:space="preserve"> </v>
      </c>
    </row>
    <row r="530" spans="1:9">
      <c r="A530" s="584" t="s">
        <v>2014</v>
      </c>
      <c r="B530" s="615" t="str">
        <f ca="1">MID('Reconciliation report'!$E$558,1001,1000)</f>
        <v/>
      </c>
      <c r="E530" s="615" t="str">
        <f t="shared" ca="1" si="31"/>
        <v/>
      </c>
      <c r="F530" s="615" t="str">
        <f t="shared" ca="1" si="31"/>
        <v/>
      </c>
      <c r="G530" s="615" t="str">
        <f t="shared" ca="1" si="31"/>
        <v/>
      </c>
      <c r="H530" s="615" t="str">
        <f t="shared" ca="1" si="31"/>
        <v/>
      </c>
      <c r="I530" s="603" t="str">
        <f ca="1">IF($C$1=RefData!$B$418,'All Statement of strategy (D)'!$E530,IF('All Statement of strategy (D)'!$C$1=RefData!$B$419,'All Statement of strategy (D)'!$F530,IF('All Statement of strategy (D)'!$C$1=RefData!$B$420,'All Statement of strategy (D)'!$G530,IF('All Statement of strategy (D)'!$C$1=RefData!$B$421,'All Statement of strategy (D)'!$H530," "))))</f>
        <v xml:space="preserve"> </v>
      </c>
    </row>
    <row r="531" spans="1:9">
      <c r="A531" s="584" t="s">
        <v>2014</v>
      </c>
      <c r="B531" s="615" t="str">
        <f ca="1">MID('Reconciliation report'!$E$558,2001,1000)</f>
        <v/>
      </c>
      <c r="E531" s="615" t="str">
        <f t="shared" ca="1" si="31"/>
        <v/>
      </c>
      <c r="F531" s="615" t="str">
        <f t="shared" ca="1" si="31"/>
        <v/>
      </c>
      <c r="G531" s="615" t="str">
        <f t="shared" ca="1" si="31"/>
        <v/>
      </c>
      <c r="H531" s="615" t="str">
        <f t="shared" ca="1" si="31"/>
        <v/>
      </c>
      <c r="I531" s="603" t="str">
        <f ca="1">IF($C$1=RefData!$B$418,'All Statement of strategy (D)'!$E531,IF('All Statement of strategy (D)'!$C$1=RefData!$B$419,'All Statement of strategy (D)'!$F531,IF('All Statement of strategy (D)'!$C$1=RefData!$B$420,'All Statement of strategy (D)'!$G531,IF('All Statement of strategy (D)'!$C$1=RefData!$B$421,'All Statement of strategy (D)'!$H531," "))))</f>
        <v xml:space="preserve"> </v>
      </c>
    </row>
    <row r="532" spans="1:9">
      <c r="A532" s="584" t="s">
        <v>2014</v>
      </c>
      <c r="B532" s="615" t="str">
        <f ca="1">MID('Reconciliation report'!$E$558,3001,1000)</f>
        <v/>
      </c>
      <c r="E532" s="615" t="str">
        <f t="shared" ca="1" si="31"/>
        <v/>
      </c>
      <c r="F532" s="615" t="str">
        <f t="shared" ca="1" si="31"/>
        <v/>
      </c>
      <c r="G532" s="615" t="str">
        <f t="shared" ca="1" si="31"/>
        <v/>
      </c>
      <c r="H532" s="615" t="str">
        <f t="shared" ca="1" si="31"/>
        <v/>
      </c>
      <c r="I532" s="603" t="str">
        <f ca="1">IF($C$1=RefData!$B$418,'All Statement of strategy (D)'!$E532,IF('All Statement of strategy (D)'!$C$1=RefData!$B$419,'All Statement of strategy (D)'!$F532,IF('All Statement of strategy (D)'!$C$1=RefData!$B$420,'All Statement of strategy (D)'!$G532,IF('All Statement of strategy (D)'!$C$1=RefData!$B$421,'All Statement of strategy (D)'!$H532," "))))</f>
        <v xml:space="preserve"> </v>
      </c>
    </row>
    <row r="533" spans="1:9">
      <c r="B533" s="585" t="s">
        <v>2015</v>
      </c>
      <c r="E533" s="585" t="str">
        <f t="shared" si="31"/>
        <v>Employer consultation</v>
      </c>
      <c r="F533" s="585" t="str">
        <f t="shared" si="31"/>
        <v>Employer consultation</v>
      </c>
      <c r="G533" s="585" t="str">
        <f t="shared" si="31"/>
        <v>Employer consultation</v>
      </c>
      <c r="H533" s="585" t="str">
        <f>$B533</f>
        <v>Employer consultation</v>
      </c>
      <c r="I533" s="603" t="str">
        <f ca="1">IF($C$1=RefData!$B$418,'All Statement of strategy (D)'!$E533,IF('All Statement of strategy (D)'!$C$1=RefData!$B$419,'All Statement of strategy (D)'!$F533,IF('All Statement of strategy (D)'!$C$1=RefData!$B$420,'All Statement of strategy (D)'!$G533,IF('All Statement of strategy (D)'!$C$1=RefData!$B$421,'All Statement of strategy (D)'!$H533," "))))</f>
        <v xml:space="preserve"> </v>
      </c>
    </row>
    <row r="534" spans="1:9" ht="20">
      <c r="A534" s="604" t="s">
        <v>2016</v>
      </c>
      <c r="B534" s="585" t="str">
        <f ca="1">"The trustees "&amp;IF('Reconciliation report'!$E$559=RefData!$B$401,"hereby confirm ",IF('Reconciliation report'!$E$559=RefData!$B$402,"do not confirm ",""))</f>
        <v xml:space="preserve">The trustees </v>
      </c>
      <c r="C534" s="585" t="str">
        <f ca="1">"that they have consulted the employers of the " &amp; 'Reconciliation report'!$E$2</f>
        <v xml:space="preserve">that they have consulted the employers of the </v>
      </c>
      <c r="D534" s="585" t="s">
        <v>2017</v>
      </c>
      <c r="E534" s="585" t="str">
        <f ca="1">$B534&amp;$C534&amp;$D534</f>
        <v>The trustees that they have consulted the employers of the  in the preparation or revision of Part 2 of the statement of strategy.</v>
      </c>
      <c r="F534" s="585" t="str">
        <f ca="1">$B534&amp;$C534&amp;$D534</f>
        <v>The trustees that they have consulted the employers of the  in the preparation or revision of Part 2 of the statement of strategy.</v>
      </c>
      <c r="G534" s="585" t="str">
        <f ca="1">$B534&amp;$C534&amp;$D534</f>
        <v>The trustees that they have consulted the employers of the  in the preparation or revision of Part 2 of the statement of strategy.</v>
      </c>
      <c r="H534" s="585" t="str">
        <f ca="1">$B534&amp;$C534&amp;$D534</f>
        <v>The trustees that they have consulted the employers of the  in the preparation or revision of Part 2 of the statement of strategy.</v>
      </c>
      <c r="I534" s="603" t="str">
        <f ca="1">IF($C$1=RefData!$B$418,'All Statement of strategy (D)'!$E534,IF('All Statement of strategy (D)'!$C$1=RefData!$B$419,'All Statement of strategy (D)'!$F534,IF('All Statement of strategy (D)'!$C$1=RefData!$B$420,'All Statement of strategy (D)'!$G534,IF('All Statement of strategy (D)'!$C$1=RefData!$B$421,'All Statement of strategy (D)'!$H534," "))))</f>
        <v xml:space="preserve"> </v>
      </c>
    </row>
    <row r="535" spans="1:9">
      <c r="B535" s="585" t="s">
        <v>2018</v>
      </c>
      <c r="E535" s="585" t="str">
        <f ca="1">IF('Reconciliation report'!$E$560=RefData!$B$404,'All Statement of strategy (D)'!$B535,"")</f>
        <v/>
      </c>
      <c r="F535" s="585" t="str">
        <f ca="1">IF('Reconciliation report'!$E$560=RefData!$B$404,'All Statement of strategy (D)'!$B535,"")</f>
        <v/>
      </c>
      <c r="G535" s="585" t="str">
        <f ca="1">IF('Reconciliation report'!$E$560=RefData!$B$404,'All Statement of strategy (D)'!$B535,"")</f>
        <v/>
      </c>
      <c r="H535" s="585" t="str">
        <f ca="1">IF('Reconciliation report'!$E$560=RefData!$B$404,'All Statement of strategy (D)'!$B535,"")</f>
        <v/>
      </c>
      <c r="I535" s="603" t="str">
        <f ca="1">IF($C$1=RefData!$B$418,'All Statement of strategy (D)'!$E535,IF('All Statement of strategy (D)'!$C$1=RefData!$B$419,'All Statement of strategy (D)'!$F535,IF('All Statement of strategy (D)'!$C$1=RefData!$B$420,'All Statement of strategy (D)'!$G535,IF('All Statement of strategy (D)'!$C$1=RefData!$B$421,'All Statement of strategy (D)'!$H535," "))))</f>
        <v xml:space="preserve"> </v>
      </c>
    </row>
    <row r="536" spans="1:9">
      <c r="B536" s="585" t="s">
        <v>2019</v>
      </c>
      <c r="E536" s="585" t="str">
        <f ca="1">IF('Reconciliation report'!$E$560=RefData!$B$403,'All Statement of strategy (D)'!$B536,"")</f>
        <v/>
      </c>
      <c r="F536" s="585" t="str">
        <f ca="1">IF('Reconciliation report'!$E$560=RefData!$B$403,'All Statement of strategy (D)'!$B536,"")</f>
        <v/>
      </c>
      <c r="G536" s="585" t="str">
        <f ca="1">IF('Reconciliation report'!$E$560=RefData!$B$403,'All Statement of strategy (D)'!$B536,"")</f>
        <v/>
      </c>
      <c r="H536" s="585" t="str">
        <f ca="1">IF('Reconciliation report'!$E$560=RefData!$B$403,'All Statement of strategy (D)'!$B536,"")</f>
        <v/>
      </c>
      <c r="I536" s="603" t="str">
        <f ca="1">IF($C$1=RefData!$B$418,'All Statement of strategy (D)'!$E536,IF('All Statement of strategy (D)'!$C$1=RefData!$B$419,'All Statement of strategy (D)'!$F536,IF('All Statement of strategy (D)'!$C$1=RefData!$B$420,'All Statement of strategy (D)'!$G536,IF('All Statement of strategy (D)'!$C$1=RefData!$B$421,'All Statement of strategy (D)'!$H536," "))))</f>
        <v xml:space="preserve"> </v>
      </c>
    </row>
    <row r="537" spans="1:9">
      <c r="A537" s="584" t="s">
        <v>2020</v>
      </c>
      <c r="B537" s="615" t="str">
        <f ca="1">LEFT('Reconciliation report'!$E$561,1000)</f>
        <v/>
      </c>
      <c r="E537" s="585" t="str">
        <f ca="1">IF('Reconciliation report'!$E$560=RefData!$B$403,'All Statement of strategy (D)'!$B537,"")</f>
        <v/>
      </c>
      <c r="F537" s="585" t="str">
        <f ca="1">IF('Reconciliation report'!$E$560=RefData!$B$403,'All Statement of strategy (D)'!$B537,"")</f>
        <v/>
      </c>
      <c r="G537" s="585" t="str">
        <f ca="1">IF('Reconciliation report'!$E$560=RefData!$B$403,'All Statement of strategy (D)'!$B537,"")</f>
        <v/>
      </c>
      <c r="H537" s="585" t="str">
        <f ca="1">IF('Reconciliation report'!$E$560=RefData!$B$403,'All Statement of strategy (D)'!$B537,"")</f>
        <v/>
      </c>
      <c r="I537" s="603" t="str">
        <f ca="1">IF($C$1=RefData!$B$418,'All Statement of strategy (D)'!$E537,IF('All Statement of strategy (D)'!$C$1=RefData!$B$419,'All Statement of strategy (D)'!$F537,IF('All Statement of strategy (D)'!$C$1=RefData!$B$420,'All Statement of strategy (D)'!$G537,IF('All Statement of strategy (D)'!$C$1=RefData!$B$421,'All Statement of strategy (D)'!$H537," "))))</f>
        <v xml:space="preserve"> </v>
      </c>
    </row>
    <row r="538" spans="1:9">
      <c r="A538" s="584" t="s">
        <v>2020</v>
      </c>
      <c r="B538" s="615" t="str">
        <f ca="1">MID('Reconciliation report'!$E$561,1001,1000)</f>
        <v/>
      </c>
      <c r="E538" s="585" t="str">
        <f ca="1">IF('Reconciliation report'!$E$560=RefData!$B$403,'All Statement of strategy (D)'!$B538,"")</f>
        <v/>
      </c>
      <c r="F538" s="585" t="str">
        <f ca="1">IF('Reconciliation report'!$E$560=RefData!$B$403,'All Statement of strategy (D)'!$B538,"")</f>
        <v/>
      </c>
      <c r="G538" s="585" t="str">
        <f ca="1">IF('Reconciliation report'!$E$560=RefData!$B$403,'All Statement of strategy (D)'!$B538,"")</f>
        <v/>
      </c>
      <c r="H538" s="585" t="str">
        <f ca="1">IF('Reconciliation report'!$E$560=RefData!$B$403,'All Statement of strategy (D)'!$B538,"")</f>
        <v/>
      </c>
      <c r="I538" s="603" t="str">
        <f ca="1">IF($C$1=RefData!$B$418,'All Statement of strategy (D)'!$E538,IF('All Statement of strategy (D)'!$C$1=RefData!$B$419,'All Statement of strategy (D)'!$F538,IF('All Statement of strategy (D)'!$C$1=RefData!$B$420,'All Statement of strategy (D)'!$G538,IF('All Statement of strategy (D)'!$C$1=RefData!$B$421,'All Statement of strategy (D)'!$H538," "))))</f>
        <v xml:space="preserve"> </v>
      </c>
    </row>
    <row r="539" spans="1:9">
      <c r="A539" s="584" t="s">
        <v>2020</v>
      </c>
      <c r="B539" s="615" t="str">
        <f ca="1">MID('Reconciliation report'!$E$561,2001,1000)</f>
        <v/>
      </c>
      <c r="E539" s="585" t="str">
        <f ca="1">IF('Reconciliation report'!$E$560=RefData!$B$403,'All Statement of strategy (D)'!$B539,"")</f>
        <v/>
      </c>
      <c r="F539" s="585" t="str">
        <f ca="1">IF('Reconciliation report'!$E$560=RefData!$B$403,'All Statement of strategy (D)'!$B539,"")</f>
        <v/>
      </c>
      <c r="G539" s="585" t="str">
        <f ca="1">IF('Reconciliation report'!$E$560=RefData!$B$403,'All Statement of strategy (D)'!$B539,"")</f>
        <v/>
      </c>
      <c r="H539" s="585" t="str">
        <f ca="1">IF('Reconciliation report'!$E$560=RefData!$B$403,'All Statement of strategy (D)'!$B539,"")</f>
        <v/>
      </c>
      <c r="I539" s="603" t="str">
        <f ca="1">IF($C$1=RefData!$B$418,'All Statement of strategy (D)'!$E539,IF('All Statement of strategy (D)'!$C$1=RefData!$B$419,'All Statement of strategy (D)'!$F539,IF('All Statement of strategy (D)'!$C$1=RefData!$B$420,'All Statement of strategy (D)'!$G539,IF('All Statement of strategy (D)'!$C$1=RefData!$B$421,'All Statement of strategy (D)'!$H539," "))))</f>
        <v xml:space="preserve"> </v>
      </c>
    </row>
    <row r="540" spans="1:9" ht="16" thickBot="1">
      <c r="A540" s="584" t="s">
        <v>2020</v>
      </c>
      <c r="B540" s="615" t="str">
        <f ca="1">MID('Reconciliation report'!$E$561,3001,1000)</f>
        <v/>
      </c>
      <c r="E540" s="585" t="str">
        <f ca="1">IF('Reconciliation report'!$E$560=RefData!$B$403,'All Statement of strategy (D)'!$B540,"")</f>
        <v/>
      </c>
      <c r="F540" s="585" t="str">
        <f ca="1">IF('Reconciliation report'!$E$560=RefData!$B$403,'All Statement of strategy (D)'!$B540,"")</f>
        <v/>
      </c>
      <c r="G540" s="585" t="str">
        <f ca="1">IF('Reconciliation report'!$E$560=RefData!$B$403,'All Statement of strategy (D)'!$B540,"")</f>
        <v/>
      </c>
      <c r="H540" s="585" t="str">
        <f ca="1">IF('Reconciliation report'!$E$560=RefData!$B$403,'All Statement of strategy (D)'!$B540,"")</f>
        <v/>
      </c>
      <c r="I540" s="603" t="str">
        <f ca="1">IF($C$1=RefData!$B$418,'All Statement of strategy (D)'!$E540,IF('All Statement of strategy (D)'!$C$1=RefData!$B$419,'All Statement of strategy (D)'!$F540,IF('All Statement of strategy (D)'!$C$1=RefData!$B$420,'All Statement of strategy (D)'!$G540,IF('All Statement of strategy (D)'!$C$1=RefData!$B$421,'All Statement of strategy (D)'!$H540," "))))</f>
        <v xml:space="preserve"> </v>
      </c>
    </row>
    <row r="541" spans="1:9">
      <c r="B541" s="590" t="s">
        <v>2021</v>
      </c>
      <c r="C541" s="591" t="str">
        <f ca="1">IF(ISNUMBER(MATCH($C$1,RefData!$B$420:$B$421,0)),"Assumptions","actuarial assumptions")</f>
        <v>actuarial assumptions</v>
      </c>
      <c r="D541" s="591"/>
      <c r="E541" s="591" t="str">
        <f ca="1">$B541&amp;$C541</f>
        <v>Appendix 1: actuarial assumptions</v>
      </c>
      <c r="F541" s="591" t="str">
        <f ca="1">$B541&amp;$C541</f>
        <v>Appendix 1: actuarial assumptions</v>
      </c>
      <c r="G541" s="591" t="str">
        <f ca="1">$B541&amp;$C541</f>
        <v>Appendix 1: actuarial assumptions</v>
      </c>
      <c r="H541" s="591" t="str">
        <f ca="1">$B541&amp;$C541</f>
        <v>Appendix 1: actuarial assumptions</v>
      </c>
      <c r="I541" s="592" t="str">
        <f ca="1">IF($C$1=RefData!$B$418,'All Statement of strategy (D)'!$E541,IF('All Statement of strategy (D)'!$C$1=RefData!$B$419,'All Statement of strategy (D)'!$F541,IF('All Statement of strategy (D)'!$C$1=RefData!$B$420,'All Statement of strategy (D)'!$G541,IF('All Statement of strategy (D)'!$C$1=RefData!$B$421,'All Statement of strategy (D)'!$H541," "))))</f>
        <v xml:space="preserve"> </v>
      </c>
    </row>
    <row r="542" spans="1:9" ht="16" thickBot="1">
      <c r="B542" s="597" t="s">
        <v>38</v>
      </c>
      <c r="C542" s="598"/>
      <c r="D542" s="598"/>
      <c r="E542" s="598" t="str">
        <f>$B542</f>
        <v>Discount rates</v>
      </c>
      <c r="F542" s="598" t="str">
        <f>$B542</f>
        <v>Discount rates</v>
      </c>
      <c r="G542" s="598" t="str">
        <f>$B542</f>
        <v>Discount rates</v>
      </c>
      <c r="H542" s="598" t="str">
        <f>$B542</f>
        <v>Discount rates</v>
      </c>
      <c r="I542" s="599" t="str">
        <f ca="1">IF($C$1=RefData!$B$418,'All Statement of strategy (D)'!$E542,IF('All Statement of strategy (D)'!$C$1=RefData!$B$419,'All Statement of strategy (D)'!$F542,IF('All Statement of strategy (D)'!$C$1=RefData!$B$420,'All Statement of strategy (D)'!$G542,IF('All Statement of strategy (D)'!$C$1=RefData!$B$421,'All Statement of strategy (D)'!$H542," "))))</f>
        <v xml:space="preserve"> </v>
      </c>
    </row>
    <row r="543" spans="1:9">
      <c r="A543" s="584" t="s">
        <v>2022</v>
      </c>
      <c r="B543" s="594" t="str">
        <f ca="1">"The trustees use the following discount rate methodology: "&amp;IF('Reconciliation report'!$E$105=RefData!$B$40,"",'Reconciliation report'!$E$105)</f>
        <v xml:space="preserve">The trustees use the following discount rate methodology: </v>
      </c>
      <c r="E543" s="585" t="str">
        <f ca="1">IF(AND(OR('Reconciliation report'!$E$104=RefData!$B$8,'Reconciliation report'!$E$104=""),'Reconciliation report'!$E$105&lt;&gt;RefData!$B$35),'All Statement of strategy (D)'!$B543,"")</f>
        <v xml:space="preserve">The trustees use the following discount rate methodology: </v>
      </c>
      <c r="F543" s="585" t="str">
        <f ca="1">IF(AND(OR('Reconciliation report'!$E$104=RefData!$B$8,'Reconciliation report'!$E$104=""),'Reconciliation report'!$E$105&lt;&gt;RefData!$B$35),'All Statement of strategy (D)'!$B543,"")</f>
        <v xml:space="preserve">The trustees use the following discount rate methodology: </v>
      </c>
      <c r="G543" s="585" t="str">
        <f ca="1">IF(AND(OR('Reconciliation report'!$E$104=RefData!$B$8,'Reconciliation report'!$E$104=""),'Reconciliation report'!$E$105&lt;&gt;RefData!$B$35),'All Statement of strategy (D)'!$B543,"")</f>
        <v xml:space="preserve">The trustees use the following discount rate methodology: </v>
      </c>
      <c r="H543" s="585" t="str">
        <f ca="1">IF(AND(OR('Reconciliation report'!$E$104=RefData!$B$8,'Reconciliation report'!$E$104=""),'Reconciliation report'!$E$105&lt;&gt;RefData!$B$35),'All Statement of strategy (D)'!$B543,"")</f>
        <v xml:space="preserve">The trustees use the following discount rate methodology: </v>
      </c>
      <c r="I543" s="595" t="str">
        <f ca="1">IF($C$1=RefData!$B$418,'All Statement of strategy (D)'!$E543,IF('All Statement of strategy (D)'!$C$1=RefData!$B$419,'All Statement of strategy (D)'!$F543,IF('All Statement of strategy (D)'!$C$1=RefData!$B$420,'All Statement of strategy (D)'!$G543,IF('All Statement of strategy (D)'!$C$1=RefData!$B$421,'All Statement of strategy (D)'!$H543," "))))</f>
        <v xml:space="preserve"> </v>
      </c>
    </row>
    <row r="544" spans="1:9">
      <c r="A544" s="584" t="s">
        <v>2023</v>
      </c>
      <c r="B544" s="594" t="str">
        <f ca="1">IF('Reconciliation report'!$E$105=RefData!$B$40,LEFT('Reconciliation report'!$E$106,1000),"")</f>
        <v/>
      </c>
      <c r="E544" s="585" t="str">
        <f ca="1">IF(AND(OR('Reconciliation report'!$E$104=RefData!$B$8,'Reconciliation report'!$E$104=""),'Reconciliation report'!$E$105&lt;&gt;RefData!$B$35),'All Statement of strategy (D)'!$B544,"")</f>
        <v/>
      </c>
      <c r="F544" s="585" t="str">
        <f ca="1">IF(AND(OR('Reconciliation report'!$E$104=RefData!$B$8,'Reconciliation report'!$E$104=""),'Reconciliation report'!$E$105&lt;&gt;RefData!$B$35),'All Statement of strategy (D)'!$B544,"")</f>
        <v/>
      </c>
      <c r="G544" s="585" t="str">
        <f ca="1">IF(AND(OR('Reconciliation report'!$E$104=RefData!$B$8,'Reconciliation report'!$E$104=""),'Reconciliation report'!$E$105&lt;&gt;RefData!$B$35),'All Statement of strategy (D)'!$B544,"")</f>
        <v/>
      </c>
      <c r="H544" s="585" t="str">
        <f ca="1">IF(AND(OR('Reconciliation report'!$E$104=RefData!$B$8,'Reconciliation report'!$E$104=""),'Reconciliation report'!$E$105&lt;&gt;RefData!$B$35),'All Statement of strategy (D)'!$B544,"")</f>
        <v/>
      </c>
      <c r="I544" s="595" t="str">
        <f ca="1">IF($C$1=RefData!$B$418,'All Statement of strategy (D)'!$E544,IF('All Statement of strategy (D)'!$C$1=RefData!$B$419,'All Statement of strategy (D)'!$F544,IF('All Statement of strategy (D)'!$C$1=RefData!$B$420,'All Statement of strategy (D)'!$G544,IF('All Statement of strategy (D)'!$C$1=RefData!$B$421,'All Statement of strategy (D)'!$H544," "))))</f>
        <v xml:space="preserve"> </v>
      </c>
    </row>
    <row r="545" spans="1:9">
      <c r="A545" s="584" t="s">
        <v>2023</v>
      </c>
      <c r="B545" s="594" t="str">
        <f ca="1">IF('Reconciliation report'!$E$105=RefData!$B$40,MID('Reconciliation report'!$E$106,1001,1000),"")</f>
        <v/>
      </c>
      <c r="E545" s="585" t="str">
        <f ca="1">IF(AND(OR('Reconciliation report'!$E$104=RefData!$B$8,'Reconciliation report'!$E$104=""),'Reconciliation report'!$E$105&lt;&gt;RefData!$B$35),'All Statement of strategy (D)'!$B545,"")</f>
        <v/>
      </c>
      <c r="F545" s="585" t="str">
        <f ca="1">IF(AND(OR('Reconciliation report'!$E$104=RefData!$B$8,'Reconciliation report'!$E$104=""),'Reconciliation report'!$E$105&lt;&gt;RefData!$B$35),'All Statement of strategy (D)'!$B545,"")</f>
        <v/>
      </c>
      <c r="G545" s="585" t="str">
        <f ca="1">IF(AND(OR('Reconciliation report'!$E$104=RefData!$B$8,'Reconciliation report'!$E$104=""),'Reconciliation report'!$E$105&lt;&gt;RefData!$B$35),'All Statement of strategy (D)'!$B545,"")</f>
        <v/>
      </c>
      <c r="H545" s="585" t="str">
        <f ca="1">IF(AND(OR('Reconciliation report'!$E$104=RefData!$B$8,'Reconciliation report'!$E$104=""),'Reconciliation report'!$E$105&lt;&gt;RefData!$B$35),'All Statement of strategy (D)'!$B545,"")</f>
        <v/>
      </c>
      <c r="I545" s="595" t="str">
        <f ca="1">IF($C$1=RefData!$B$418,'All Statement of strategy (D)'!$E545,IF('All Statement of strategy (D)'!$C$1=RefData!$B$419,'All Statement of strategy (D)'!$F545,IF('All Statement of strategy (D)'!$C$1=RefData!$B$420,'All Statement of strategy (D)'!$G545,IF('All Statement of strategy (D)'!$C$1=RefData!$B$421,'All Statement of strategy (D)'!$H545," "))))</f>
        <v xml:space="preserve"> </v>
      </c>
    </row>
    <row r="546" spans="1:9">
      <c r="A546" s="584" t="s">
        <v>2023</v>
      </c>
      <c r="B546" s="594" t="str">
        <f ca="1">IF('Reconciliation report'!$E$105=RefData!$B$40,MID('Reconciliation report'!$E$106,2001,1000),"")</f>
        <v/>
      </c>
      <c r="E546" s="585" t="str">
        <f ca="1">IF(AND(OR('Reconciliation report'!$E$104=RefData!$B$8,'Reconciliation report'!$E$104=""),'Reconciliation report'!$E$105&lt;&gt;RefData!$B$35),'All Statement of strategy (D)'!$B546,"")</f>
        <v/>
      </c>
      <c r="F546" s="585" t="str">
        <f ca="1">IF(AND(OR('Reconciliation report'!$E$104=RefData!$B$8,'Reconciliation report'!$E$104=""),'Reconciliation report'!$E$105&lt;&gt;RefData!$B$35),'All Statement of strategy (D)'!$B546,"")</f>
        <v/>
      </c>
      <c r="G546" s="585" t="str">
        <f ca="1">IF(AND(OR('Reconciliation report'!$E$104=RefData!$B$8,'Reconciliation report'!$E$104=""),'Reconciliation report'!$E$105&lt;&gt;RefData!$B$35),'All Statement of strategy (D)'!$B546,"")</f>
        <v/>
      </c>
      <c r="H546" s="585" t="str">
        <f ca="1">IF(AND(OR('Reconciliation report'!$E$104=RefData!$B$8,'Reconciliation report'!$E$104=""),'Reconciliation report'!$E$105&lt;&gt;RefData!$B$35),'All Statement of strategy (D)'!$B546,"")</f>
        <v/>
      </c>
      <c r="I546" s="595" t="str">
        <f ca="1">IF($C$1=RefData!$B$418,'All Statement of strategy (D)'!$E546,IF('All Statement of strategy (D)'!$C$1=RefData!$B$419,'All Statement of strategy (D)'!$F546,IF('All Statement of strategy (D)'!$C$1=RefData!$B$420,'All Statement of strategy (D)'!$G546,IF('All Statement of strategy (D)'!$C$1=RefData!$B$421,'All Statement of strategy (D)'!$H546," "))))</f>
        <v xml:space="preserve"> </v>
      </c>
    </row>
    <row r="547" spans="1:9">
      <c r="A547" s="584" t="s">
        <v>2023</v>
      </c>
      <c r="B547" s="594" t="str">
        <f ca="1">IF('Reconciliation report'!$E$105=RefData!$B$40,MID('Reconciliation report'!$E$106,3001,1000),"")</f>
        <v/>
      </c>
      <c r="E547" s="585" t="str">
        <f ca="1">IF(AND(OR('Reconciliation report'!$E$104=RefData!$B$8,'Reconciliation report'!$E$104=""),'Reconciliation report'!$E$105&lt;&gt;RefData!$B$35),'All Statement of strategy (D)'!$B547,"")</f>
        <v/>
      </c>
      <c r="F547" s="585" t="str">
        <f ca="1">IF(AND(OR('Reconciliation report'!$E$104=RefData!$B$8,'Reconciliation report'!$E$104=""),'Reconciliation report'!$E$105&lt;&gt;RefData!$B$35),'All Statement of strategy (D)'!$B547,"")</f>
        <v/>
      </c>
      <c r="G547" s="585" t="str">
        <f ca="1">IF(AND(OR('Reconciliation report'!$E$104=RefData!$B$8,'Reconciliation report'!$E$104=""),'Reconciliation report'!$E$105&lt;&gt;RefData!$B$35),'All Statement of strategy (D)'!$B547,"")</f>
        <v/>
      </c>
      <c r="H547" s="585" t="str">
        <f ca="1">IF(AND(OR('Reconciliation report'!$E$104=RefData!$B$8,'Reconciliation report'!$E$104=""),'Reconciliation report'!$E$105&lt;&gt;RefData!$B$35),'All Statement of strategy (D)'!$B547,"")</f>
        <v/>
      </c>
      <c r="I547" s="595" t="str">
        <f ca="1">IF($C$1=RefData!$B$418,'All Statement of strategy (D)'!$E547,IF('All Statement of strategy (D)'!$C$1=RefData!$B$419,'All Statement of strategy (D)'!$F547,IF('All Statement of strategy (D)'!$C$1=RefData!$B$420,'All Statement of strategy (D)'!$G547,IF('All Statement of strategy (D)'!$C$1=RefData!$B$421,'All Statement of strategy (D)'!$H547," "))))</f>
        <v xml:space="preserve"> </v>
      </c>
    </row>
    <row r="548" spans="1:9">
      <c r="B548" s="594" t="s">
        <v>2024</v>
      </c>
      <c r="E548" s="585" t="str">
        <f ca="1">IF(AND(OR('Reconciliation report'!$E$104=RefData!$B$8,'Reconciliation report'!$E$104=""),'Reconciliation report'!$E$105&lt;&gt;RefData!$B$35),'All Statement of strategy (D)'!$B548,"")</f>
        <v xml:space="preserve">The discount rate is derived by </v>
      </c>
      <c r="F548" s="585" t="str">
        <f ca="1">IF(AND(OR('Reconciliation report'!$E$104=RefData!$B$8,'Reconciliation report'!$E$104=""),'Reconciliation report'!$E$105&lt;&gt;RefData!$B$35),'All Statement of strategy (D)'!$B548,"")</f>
        <v xml:space="preserve">The discount rate is derived by </v>
      </c>
      <c r="G548" s="585" t="str">
        <f ca="1">IF(AND(OR('Reconciliation report'!$E$104=RefData!$B$8,'Reconciliation report'!$E$104=""),'Reconciliation report'!$E$105&lt;&gt;RefData!$B$35),'All Statement of strategy (D)'!$B548&amp;$C548,"")</f>
        <v xml:space="preserve">The discount rate is derived by </v>
      </c>
      <c r="H548" s="585" t="str">
        <f ca="1">IF(AND(OR('Reconciliation report'!$E$104=RefData!$B$8,'Reconciliation report'!$E$104=""),'Reconciliation report'!$E$105&lt;&gt;RefData!$B$35),'All Statement of strategy (D)'!$B548&amp;$C548,"")</f>
        <v xml:space="preserve">The discount rate is derived by </v>
      </c>
      <c r="I548" s="595" t="str">
        <f ca="1">IF($C$1=RefData!$B$418,'All Statement of strategy (D)'!$E548,IF('All Statement of strategy (D)'!$C$1=RefData!$B$419,'All Statement of strategy (D)'!$F548,IF('All Statement of strategy (D)'!$C$1=RefData!$B$420,'All Statement of strategy (D)'!$G548,IF('All Statement of strategy (D)'!$C$1=RefData!$B$421,'All Statement of strategy (D)'!$H548," "))))</f>
        <v xml:space="preserve"> </v>
      </c>
    </row>
    <row r="549" spans="1:9">
      <c r="A549" s="584" t="s">
        <v>2025</v>
      </c>
      <c r="B549" s="594" t="str">
        <f ca="1">IF('Reconciliation report'!$E$108=RefData!$B$45,"",LOWER('Reconciliation report'!$E$108)&amp;".")</f>
        <v>.</v>
      </c>
      <c r="E549" s="585" t="str">
        <f ca="1">IF(AND(OR('Reconciliation report'!$E$104=RefData!$B$8,'Reconciliation report'!$E$104=""),'Reconciliation report'!$E$105&lt;&gt;RefData!$B$35),'All Statement of strategy (D)'!$B549,"")</f>
        <v>.</v>
      </c>
      <c r="F549" s="585" t="str">
        <f ca="1">IF(AND(OR('Reconciliation report'!$E$104=RefData!$B$8,'Reconciliation report'!$E$104=""),'Reconciliation report'!$E$105&lt;&gt;RefData!$B$35),'All Statement of strategy (D)'!$B549,"")</f>
        <v>.</v>
      </c>
      <c r="G549" s="585" t="str">
        <f ca="1">IF(AND(OR('Reconciliation report'!$E$104=RefData!$B$8,'Reconciliation report'!$E$104=""),'Reconciliation report'!$E$105&lt;&gt;RefData!$B$35),'All Statement of strategy (D)'!$B549,"")</f>
        <v>.</v>
      </c>
      <c r="H549" s="585" t="str">
        <f ca="1">IF(AND(OR('Reconciliation report'!$E$104=RefData!$B$8,'Reconciliation report'!$E$104=""),'Reconciliation report'!$E$105&lt;&gt;RefData!$B$35),'All Statement of strategy (D)'!$B549,"")</f>
        <v>.</v>
      </c>
      <c r="I549" s="595" t="str">
        <f ca="1">IF($C$1=RefData!$B$418,'All Statement of strategy (D)'!$E549,IF('All Statement of strategy (D)'!$C$1=RefData!$B$419,'All Statement of strategy (D)'!$F549,IF('All Statement of strategy (D)'!$C$1=RefData!$B$420,'All Statement of strategy (D)'!$G549,IF('All Statement of strategy (D)'!$C$1=RefData!$B$421,'All Statement of strategy (D)'!$H549," "))))</f>
        <v xml:space="preserve"> </v>
      </c>
    </row>
    <row r="550" spans="1:9">
      <c r="A550" s="584" t="s">
        <v>2026</v>
      </c>
      <c r="B550" s="594" t="str">
        <f ca="1">IF('Reconciliation report'!$E$108=RefData!$B$45,LEFT('Reconciliation report'!$E$109,1000),"")</f>
        <v/>
      </c>
      <c r="E550" s="585" t="str">
        <f ca="1">IF(AND(OR('Reconciliation report'!$E$104=RefData!$B$8,'Reconciliation report'!$E$104=""),'Reconciliation report'!$E$105&lt;&gt;RefData!$B$35),'All Statement of strategy (D)'!$B550,"")</f>
        <v/>
      </c>
      <c r="F550" s="585" t="str">
        <f ca="1">IF(AND(OR('Reconciliation report'!$E$104=RefData!$B$8,'Reconciliation report'!$E$104=""),'Reconciliation report'!$E$105&lt;&gt;RefData!$B$35),'All Statement of strategy (D)'!$B550,"")</f>
        <v/>
      </c>
      <c r="G550" s="585" t="str">
        <f ca="1">IF(AND(OR('Reconciliation report'!$E$104=RefData!$B$8,'Reconciliation report'!$E$104=""),'Reconciliation report'!$E$105&lt;&gt;RefData!$B$35),'All Statement of strategy (D)'!$B550,"")</f>
        <v/>
      </c>
      <c r="H550" s="585" t="str">
        <f ca="1">IF(AND(OR('Reconciliation report'!$E$104=RefData!$B$8,'Reconciliation report'!$E$104=""),'Reconciliation report'!$E$105&lt;&gt;RefData!$B$35),'All Statement of strategy (D)'!$B550,"")</f>
        <v/>
      </c>
      <c r="I550" s="595" t="str">
        <f ca="1">IF($C$1=RefData!$B$418,'All Statement of strategy (D)'!$E550,IF('All Statement of strategy (D)'!$C$1=RefData!$B$419,'All Statement of strategy (D)'!$F550,IF('All Statement of strategy (D)'!$C$1=RefData!$B$420,'All Statement of strategy (D)'!$G550,IF('All Statement of strategy (D)'!$C$1=RefData!$B$421,'All Statement of strategy (D)'!$H550," "))))</f>
        <v xml:space="preserve"> </v>
      </c>
    </row>
    <row r="551" spans="1:9">
      <c r="A551" s="584" t="s">
        <v>2026</v>
      </c>
      <c r="B551" s="594" t="str">
        <f ca="1">IF('Reconciliation report'!$E$108=RefData!$B$45,MID('Reconciliation report'!$E$109,1001,1000),"")</f>
        <v/>
      </c>
      <c r="E551" s="585" t="str">
        <f ca="1">IF(AND(OR('Reconciliation report'!$E$104=RefData!$B$8,'Reconciliation report'!$E$104=""),'Reconciliation report'!$E$105&lt;&gt;RefData!$B$35),'All Statement of strategy (D)'!$B551,"")</f>
        <v/>
      </c>
      <c r="F551" s="585" t="str">
        <f ca="1">IF(AND(OR('Reconciliation report'!$E$104=RefData!$B$8,'Reconciliation report'!$E$104=""),'Reconciliation report'!$E$105&lt;&gt;RefData!$B$35),'All Statement of strategy (D)'!$B551,"")</f>
        <v/>
      </c>
      <c r="G551" s="585" t="str">
        <f ca="1">IF(AND(OR('Reconciliation report'!$E$104=RefData!$B$8,'Reconciliation report'!$E$104=""),'Reconciliation report'!$E$105&lt;&gt;RefData!$B$35),'All Statement of strategy (D)'!$B551,"")</f>
        <v/>
      </c>
      <c r="H551" s="585" t="str">
        <f ca="1">IF(AND(OR('Reconciliation report'!$E$104=RefData!$B$8,'Reconciliation report'!$E$104=""),'Reconciliation report'!$E$105&lt;&gt;RefData!$B$35),'All Statement of strategy (D)'!$B551,"")</f>
        <v/>
      </c>
      <c r="I551" s="595" t="str">
        <f ca="1">IF($C$1=RefData!$B$418,'All Statement of strategy (D)'!$E551,IF('All Statement of strategy (D)'!$C$1=RefData!$B$419,'All Statement of strategy (D)'!$F551,IF('All Statement of strategy (D)'!$C$1=RefData!$B$420,'All Statement of strategy (D)'!$G551,IF('All Statement of strategy (D)'!$C$1=RefData!$B$421,'All Statement of strategy (D)'!$H551," "))))</f>
        <v xml:space="preserve"> </v>
      </c>
    </row>
    <row r="552" spans="1:9">
      <c r="A552" s="584" t="s">
        <v>2026</v>
      </c>
      <c r="B552" s="594" t="str">
        <f ca="1">IF('Reconciliation report'!$E$108=RefData!$B$45,MID('Reconciliation report'!$E$109,2001,1000),"")</f>
        <v/>
      </c>
      <c r="E552" s="585" t="str">
        <f ca="1">IF(AND(OR('Reconciliation report'!$E$104=RefData!$B$8,'Reconciliation report'!$E$104=""),'Reconciliation report'!$E$105&lt;&gt;RefData!$B$35),'All Statement of strategy (D)'!$B552,"")</f>
        <v/>
      </c>
      <c r="F552" s="585" t="str">
        <f ca="1">IF(AND(OR('Reconciliation report'!$E$104=RefData!$B$8,'Reconciliation report'!$E$104=""),'Reconciliation report'!$E$105&lt;&gt;RefData!$B$35),'All Statement of strategy (D)'!$B552,"")</f>
        <v/>
      </c>
      <c r="G552" s="585" t="str">
        <f ca="1">IF(AND(OR('Reconciliation report'!$E$104=RefData!$B$8,'Reconciliation report'!$E$104=""),'Reconciliation report'!$E$105&lt;&gt;RefData!$B$35),'All Statement of strategy (D)'!$B552,"")</f>
        <v/>
      </c>
      <c r="H552" s="585" t="str">
        <f ca="1">IF(AND(OR('Reconciliation report'!$E$104=RefData!$B$8,'Reconciliation report'!$E$104=""),'Reconciliation report'!$E$105&lt;&gt;RefData!$B$35),'All Statement of strategy (D)'!$B552,"")</f>
        <v/>
      </c>
      <c r="I552" s="595" t="str">
        <f ca="1">IF($C$1=RefData!$B$418,'All Statement of strategy (D)'!$E552,IF('All Statement of strategy (D)'!$C$1=RefData!$B$419,'All Statement of strategy (D)'!$F552,IF('All Statement of strategy (D)'!$C$1=RefData!$B$420,'All Statement of strategy (D)'!$G552,IF('All Statement of strategy (D)'!$C$1=RefData!$B$421,'All Statement of strategy (D)'!$H552," "))))</f>
        <v xml:space="preserve"> </v>
      </c>
    </row>
    <row r="553" spans="1:9">
      <c r="A553" s="584" t="s">
        <v>2026</v>
      </c>
      <c r="B553" s="594" t="str">
        <f ca="1">IF('Reconciliation report'!$E$108=RefData!$B$45,MID('Reconciliation report'!$E$109,3001,1000),"")</f>
        <v/>
      </c>
      <c r="E553" s="585" t="str">
        <f ca="1">IF(AND(OR('Reconciliation report'!$E$104=RefData!$B$8,'Reconciliation report'!$E$104=""),'Reconciliation report'!$E$105&lt;&gt;RefData!$B$35),'All Statement of strategy (D)'!$B553,"")</f>
        <v/>
      </c>
      <c r="F553" s="585" t="str">
        <f ca="1">IF(AND(OR('Reconciliation report'!$E$104=RefData!$B$8,'Reconciliation report'!$E$104=""),'Reconciliation report'!$E$105&lt;&gt;RefData!$B$35),'All Statement of strategy (D)'!$B553,"")</f>
        <v/>
      </c>
      <c r="G553" s="585" t="str">
        <f ca="1">IF(AND(OR('Reconciliation report'!$E$104=RefData!$B$8,'Reconciliation report'!$E$104=""),'Reconciliation report'!$E$105&lt;&gt;RefData!$B$35),'All Statement of strategy (D)'!$B553,"")</f>
        <v/>
      </c>
      <c r="H553" s="585" t="str">
        <f ca="1">IF(AND(OR('Reconciliation report'!$E$104=RefData!$B$8,'Reconciliation report'!$E$104=""),'Reconciliation report'!$E$105&lt;&gt;RefData!$B$35),'All Statement of strategy (D)'!$B553,"")</f>
        <v/>
      </c>
      <c r="I553" s="595" t="str">
        <f ca="1">IF($C$1=RefData!$B$418,'All Statement of strategy (D)'!$E553,IF('All Statement of strategy (D)'!$C$1=RefData!$B$419,'All Statement of strategy (D)'!$F553,IF('All Statement of strategy (D)'!$C$1=RefData!$B$420,'All Statement of strategy (D)'!$G553,IF('All Statement of strategy (D)'!$C$1=RefData!$B$421,'All Statement of strategy (D)'!$H553," "))))</f>
        <v xml:space="preserve"> </v>
      </c>
    </row>
    <row r="554" spans="1:9">
      <c r="B554" s="594" t="s">
        <v>2027</v>
      </c>
      <c r="E554" s="585" t="str">
        <f ca="1">IF(AND(OR('Reconciliation report'!$E$104=RefData!$B$8,'Reconciliation report'!$E$104=""),'Reconciliation report'!$E$105&lt;&gt;RefData!$B$35),'All Statement of strategy (D)'!$B554,"")</f>
        <v>The forward yields table at the end of this appendix sets out the forward rates used in:</v>
      </c>
      <c r="F554" s="585" t="str">
        <f ca="1">IF(AND(OR('Reconciliation report'!$E$104=RefData!$B$8,'Reconciliation report'!$E$104=""),'Reconciliation report'!$E$105&lt;&gt;RefData!$B$35),'All Statement of strategy (D)'!$B554,"")</f>
        <v>The forward yields table at the end of this appendix sets out the forward rates used in:</v>
      </c>
      <c r="G554" s="585" t="str">
        <f ca="1">IF(AND(OR('Reconciliation report'!$E$104=RefData!$B$8,'Reconciliation report'!$E$104=""),'Reconciliation report'!$E$105&lt;&gt;RefData!$B$35),'All Statement of strategy (D)'!$B554,"")</f>
        <v>The forward yields table at the end of this appendix sets out the forward rates used in:</v>
      </c>
      <c r="H554" s="585" t="str">
        <f ca="1">IF(AND(OR('Reconciliation report'!$E$104=RefData!$B$8,'Reconciliation report'!$E$104=""),'Reconciliation report'!$E$105&lt;&gt;RefData!$B$35),'All Statement of strategy (D)'!$B554,"")</f>
        <v>The forward yields table at the end of this appendix sets out the forward rates used in:</v>
      </c>
      <c r="I554" s="595" t="str">
        <f ca="1">IF($C$1=RefData!$B$418,'All Statement of strategy (D)'!$E554,IF('All Statement of strategy (D)'!$C$1=RefData!$B$419,'All Statement of strategy (D)'!$F554,IF('All Statement of strategy (D)'!$C$1=RefData!$B$420,'All Statement of strategy (D)'!$G554,IF('All Statement of strategy (D)'!$C$1=RefData!$B$421,'All Statement of strategy (D)'!$H554," "))))</f>
        <v xml:space="preserve"> </v>
      </c>
    </row>
    <row r="555" spans="1:9">
      <c r="B555" s="594" t="s">
        <v>2028</v>
      </c>
      <c r="E555" s="585" t="str">
        <f ca="1">IF(AND(OR('Reconciliation report'!$E$104=RefData!$B$8,'Reconciliation report'!$E$104=""),'Reconciliation report'!$E$105&lt;&gt;RefData!$B$35),'All Statement of strategy (D)'!$B555,"")</f>
        <v xml:space="preserve">•    calculating the scheme’s technical provisions in the actuarial valuation </v>
      </c>
      <c r="F555" s="585" t="str">
        <f ca="1">IF(AND(OR('Reconciliation report'!$E$104=RefData!$B$8,'Reconciliation report'!$E$104=""),'Reconciliation report'!$E$105&lt;&gt;RefData!$B$35),'All Statement of strategy (D)'!$B555,"")</f>
        <v xml:space="preserve">•    calculating the scheme’s technical provisions in the actuarial valuation </v>
      </c>
      <c r="G555" s="585" t="str">
        <f ca="1">IF(AND(OR('Reconciliation report'!$E$104=RefData!$B$8,'Reconciliation report'!$E$104=""),'Reconciliation report'!$E$105&lt;&gt;RefData!$B$35),'All Statement of strategy (D)'!$B555,"")</f>
        <v xml:space="preserve">•    calculating the scheme’s technical provisions in the actuarial valuation </v>
      </c>
      <c r="H555" s="585" t="str">
        <f ca="1">IF(AND(OR('Reconciliation report'!$E$104=RefData!$B$8,'Reconciliation report'!$E$104=""),'Reconciliation report'!$E$105&lt;&gt;RefData!$B$35),'All Statement of strategy (D)'!$B555,"")</f>
        <v xml:space="preserve">•    calculating the scheme’s technical provisions in the actuarial valuation </v>
      </c>
      <c r="I555" s="595" t="str">
        <f ca="1">IF($C$1=RefData!$B$418,'All Statement of strategy (D)'!$E555,IF('All Statement of strategy (D)'!$C$1=RefData!$B$419,'All Statement of strategy (D)'!$F555,IF('All Statement of strategy (D)'!$C$1=RefData!$B$420,'All Statement of strategy (D)'!$G555,IF('All Statement of strategy (D)'!$C$1=RefData!$B$421,'All Statement of strategy (D)'!$H555," "))))</f>
        <v xml:space="preserve"> </v>
      </c>
    </row>
    <row r="556" spans="1:9">
      <c r="B556" s="594" t="s">
        <v>2029</v>
      </c>
      <c r="E556" s="585" t="str">
        <f ca="1">IF(AND(OR('Reconciliation report'!$E$104=RefData!$B$8,'Reconciliation report'!$E$104=""),'Reconciliation report'!$E$105&lt;&gt;RefData!$B$35),'All Statement of strategy (D)'!$B556,"")</f>
        <v xml:space="preserve">•    specifying the funding level, calculated in accordance with the low dependency funding basis, the trustees intend the scheme to have achieved at the relevant date </v>
      </c>
      <c r="F556" s="585" t="str">
        <f>""</f>
        <v/>
      </c>
      <c r="G556" s="585" t="str">
        <f ca="1">IF(AND(OR('Reconciliation report'!$E$104=RefData!$B$8,'Reconciliation report'!$E$104=""),'Reconciliation report'!$E$105&lt;&gt;RefData!$B$35),'All Statement of strategy (D)'!$B556,"")</f>
        <v xml:space="preserve">•    specifying the funding level, calculated in accordance with the low dependency funding basis, the trustees intend the scheme to have achieved at the relevant date </v>
      </c>
      <c r="H556" s="585" t="str">
        <f>""</f>
        <v/>
      </c>
      <c r="I556" s="595" t="str">
        <f ca="1">IF($C$1=RefData!$B$418,'All Statement of strategy (D)'!$E556,IF('All Statement of strategy (D)'!$C$1=RefData!$B$419,'All Statement of strategy (D)'!$F556,IF('All Statement of strategy (D)'!$C$1=RefData!$B$420,'All Statement of strategy (D)'!$G556,IF('All Statement of strategy (D)'!$C$1=RefData!$B$421,'All Statement of strategy (D)'!$H556," "))))</f>
        <v xml:space="preserve"> </v>
      </c>
    </row>
    <row r="557" spans="1:9" ht="16" thickBot="1">
      <c r="B557" s="597" t="s">
        <v>2030</v>
      </c>
      <c r="C557" s="598"/>
      <c r="D557" s="598"/>
      <c r="E557" s="598" t="str">
        <f>""</f>
        <v/>
      </c>
      <c r="F557" s="598" t="str">
        <f ca="1">IF(AND(OR('Reconciliation report'!$E$104=RefData!$B$8,'Reconciliation report'!$E$104=""),'Reconciliation report'!$E$105&lt;&gt;RefData!$B$35),'All Statement of strategy (D)'!$B557,"")</f>
        <v>•    specifying the funding level, calculated in accordance with the low dependency funding basis, as at the effective date of the actuarial valuation</v>
      </c>
      <c r="G557" s="598" t="str">
        <f>""</f>
        <v/>
      </c>
      <c r="H557" s="598" t="str">
        <f ca="1">IF(AND(OR('Reconciliation report'!$E$104=RefData!$B$8,'Reconciliation report'!$E$104=""),'Reconciliation report'!$E$105&lt;&gt;RefData!$B$35),'All Statement of strategy (D)'!$B557,"")</f>
        <v>•    specifying the funding level, calculated in accordance with the low dependency funding basis, as at the effective date of the actuarial valuation</v>
      </c>
      <c r="I557" s="599" t="str">
        <f ca="1">IF($C$1=RefData!$B$418,'All Statement of strategy (D)'!$E557,IF('All Statement of strategy (D)'!$C$1=RefData!$B$419,'All Statement of strategy (D)'!$F557,IF('All Statement of strategy (D)'!$C$1=RefData!$B$420,'All Statement of strategy (D)'!$G557,IF('All Statement of strategy (D)'!$C$1=RefData!$B$421,'All Statement of strategy (D)'!$H557," "))))</f>
        <v xml:space="preserve"> </v>
      </c>
    </row>
    <row r="558" spans="1:9">
      <c r="A558" s="584" t="s">
        <v>2022</v>
      </c>
      <c r="B558" s="594" t="str">
        <f ca="1">IF('Reconciliation report'!$E$105=RefData!$B$40,"The trustees use the following discount rate methodology:","The trustees use the following discount rate methodology: "&amp;'Reconciliation report'!$E$105)</f>
        <v xml:space="preserve">The trustees use the following discount rate methodology: </v>
      </c>
      <c r="E558" s="585" t="str">
        <f ca="1">IF(AND('Reconciliation report'!$E$104=RefData!$B$7,OR('Reconciliation report'!$E$105=RefData!$B$36,'Reconciliation report'!$E$105=RefData!$B$37)),'All Statement of strategy (D)'!$B558,"")</f>
        <v/>
      </c>
      <c r="F558" s="585" t="str">
        <f ca="1">IF(AND('Reconciliation report'!$E$104=RefData!$B$7,OR('Reconciliation report'!$E$105=RefData!$B$36,'Reconciliation report'!$E$105=RefData!$B$37)),'All Statement of strategy (D)'!$B558,"")</f>
        <v/>
      </c>
      <c r="G558" s="585" t="str">
        <f ca="1">IF(AND('Reconciliation report'!$E$104=RefData!$B$7,OR('Reconciliation report'!$E$105=RefData!$B$36,'Reconciliation report'!$E$105=RefData!$B$37)),'All Statement of strategy (D)'!$B558,"")</f>
        <v/>
      </c>
      <c r="H558" s="585" t="str">
        <f ca="1">IF(AND('Reconciliation report'!$E$104=RefData!$B$7,OR('Reconciliation report'!$E$105=RefData!$B$36,'Reconciliation report'!$E$105=RefData!$B$37)),'All Statement of strategy (D)'!$B558,"")</f>
        <v/>
      </c>
      <c r="I558" s="595" t="str">
        <f ca="1">IF($C$1=RefData!$B$418,'All Statement of strategy (D)'!$E558,IF('All Statement of strategy (D)'!$C$1=RefData!$B$419,'All Statement of strategy (D)'!$F558,IF('All Statement of strategy (D)'!$C$1=RefData!$B$420,'All Statement of strategy (D)'!$G558,IF('All Statement of strategy (D)'!$C$1=RefData!$B$421,'All Statement of strategy (D)'!$H558," "))))</f>
        <v xml:space="preserve"> </v>
      </c>
    </row>
    <row r="559" spans="1:9">
      <c r="A559" s="584" t="s">
        <v>2023</v>
      </c>
      <c r="B559" s="594" t="str">
        <f ca="1">IF('Reconciliation report'!$E$105=RefData!$B$40,LEFT('Reconciliation report'!$E$106,1000),"")</f>
        <v/>
      </c>
      <c r="E559" s="585" t="str">
        <f ca="1">IF(AND('Reconciliation report'!$E$104=RefData!$B$7,OR('Reconciliation report'!$E$105=RefData!$B$36,'Reconciliation report'!$E$105=RefData!$B$37)),'All Statement of strategy (D)'!$B559,"")</f>
        <v/>
      </c>
      <c r="F559" s="585" t="str">
        <f ca="1">IF(AND('Reconciliation report'!$E$104=RefData!$B$7,OR('Reconciliation report'!$E$105=RefData!$B$36,'Reconciliation report'!$E$105=RefData!$B$37)),'All Statement of strategy (D)'!$B559,"")</f>
        <v/>
      </c>
      <c r="G559" s="585" t="str">
        <f ca="1">IF(AND('Reconciliation report'!$E$104=RefData!$B$7,OR('Reconciliation report'!$E$105=RefData!$B$36,'Reconciliation report'!$E$105=RefData!$B$37)),'All Statement of strategy (D)'!$B559,"")</f>
        <v/>
      </c>
      <c r="H559" s="585" t="str">
        <f ca="1">IF(AND('Reconciliation report'!$E$104=RefData!$B$7,OR('Reconciliation report'!$E$105=RefData!$B$36,'Reconciliation report'!$E$105=RefData!$B$37)),'All Statement of strategy (D)'!$B559,"")</f>
        <v/>
      </c>
      <c r="I559" s="595" t="str">
        <f ca="1">IF($C$1=RefData!$B$418,'All Statement of strategy (D)'!$E559,IF('All Statement of strategy (D)'!$C$1=RefData!$B$419,'All Statement of strategy (D)'!$F559,IF('All Statement of strategy (D)'!$C$1=RefData!$B$420,'All Statement of strategy (D)'!$G559,IF('All Statement of strategy (D)'!$C$1=RefData!$B$421,'All Statement of strategy (D)'!$H559," "))))</f>
        <v xml:space="preserve"> </v>
      </c>
    </row>
    <row r="560" spans="1:9">
      <c r="A560" s="584" t="s">
        <v>2023</v>
      </c>
      <c r="B560" s="594" t="str">
        <f ca="1">IF('Reconciliation report'!$E$105=RefData!$B$40,MID('Reconciliation report'!$E$106,1001,1000),"")</f>
        <v/>
      </c>
      <c r="E560" s="585" t="str">
        <f ca="1">IF(AND('Reconciliation report'!$E$104=RefData!$B$7,OR('Reconciliation report'!$E$105=RefData!$B$36,'Reconciliation report'!$E$105=RefData!$B$37)),'All Statement of strategy (D)'!$B560,"")</f>
        <v/>
      </c>
      <c r="F560" s="585" t="str">
        <f ca="1">IF(AND('Reconciliation report'!$E$104=RefData!$B$7,OR('Reconciliation report'!$E$105=RefData!$B$36,'Reconciliation report'!$E$105=RefData!$B$37)),'All Statement of strategy (D)'!$B560,"")</f>
        <v/>
      </c>
      <c r="G560" s="585" t="str">
        <f ca="1">IF(AND('Reconciliation report'!$E$104=RefData!$B$7,OR('Reconciliation report'!$E$105=RefData!$B$36,'Reconciliation report'!$E$105=RefData!$B$37)),'All Statement of strategy (D)'!$B560,"")</f>
        <v/>
      </c>
      <c r="H560" s="585" t="str">
        <f ca="1">IF(AND('Reconciliation report'!$E$104=RefData!$B$7,OR('Reconciliation report'!$E$105=RefData!$B$36,'Reconciliation report'!$E$105=RefData!$B$37)),'All Statement of strategy (D)'!$B560,"")</f>
        <v/>
      </c>
      <c r="I560" s="595" t="str">
        <f ca="1">IF($C$1=RefData!$B$418,'All Statement of strategy (D)'!$E560,IF('All Statement of strategy (D)'!$C$1=RefData!$B$419,'All Statement of strategy (D)'!$F560,IF('All Statement of strategy (D)'!$C$1=RefData!$B$420,'All Statement of strategy (D)'!$G560,IF('All Statement of strategy (D)'!$C$1=RefData!$B$421,'All Statement of strategy (D)'!$H560," "))))</f>
        <v xml:space="preserve"> </v>
      </c>
    </row>
    <row r="561" spans="1:9">
      <c r="A561" s="584" t="s">
        <v>2023</v>
      </c>
      <c r="B561" s="594" t="str">
        <f ca="1">IF('Reconciliation report'!$E$105=RefData!$B$40,MID('Reconciliation report'!$E$106,2001,1000),"")</f>
        <v/>
      </c>
      <c r="E561" s="585" t="str">
        <f ca="1">IF(AND('Reconciliation report'!$E$104=RefData!$B$7,OR('Reconciliation report'!$E$105=RefData!$B$36,'Reconciliation report'!$E$105=RefData!$B$37)),'All Statement of strategy (D)'!$B561,"")</f>
        <v/>
      </c>
      <c r="F561" s="585" t="str">
        <f ca="1">IF(AND('Reconciliation report'!$E$104=RefData!$B$7,OR('Reconciliation report'!$E$105=RefData!$B$36,'Reconciliation report'!$E$105=RefData!$B$37)),'All Statement of strategy (D)'!$B561,"")</f>
        <v/>
      </c>
      <c r="G561" s="585" t="str">
        <f ca="1">IF(AND('Reconciliation report'!$E$104=RefData!$B$7,OR('Reconciliation report'!$E$105=RefData!$B$36,'Reconciliation report'!$E$105=RefData!$B$37)),'All Statement of strategy (D)'!$B561,"")</f>
        <v/>
      </c>
      <c r="H561" s="585" t="str">
        <f ca="1">IF(AND('Reconciliation report'!$E$104=RefData!$B$7,OR('Reconciliation report'!$E$105=RefData!$B$36,'Reconciliation report'!$E$105=RefData!$B$37)),'All Statement of strategy (D)'!$B561,"")</f>
        <v/>
      </c>
      <c r="I561" s="595" t="str">
        <f ca="1">IF($C$1=RefData!$B$418,'All Statement of strategy (D)'!$E561,IF('All Statement of strategy (D)'!$C$1=RefData!$B$419,'All Statement of strategy (D)'!$F561,IF('All Statement of strategy (D)'!$C$1=RefData!$B$420,'All Statement of strategy (D)'!$G561,IF('All Statement of strategy (D)'!$C$1=RefData!$B$421,'All Statement of strategy (D)'!$H561," "))))</f>
        <v xml:space="preserve"> </v>
      </c>
    </row>
    <row r="562" spans="1:9">
      <c r="A562" s="584" t="s">
        <v>2023</v>
      </c>
      <c r="B562" s="594" t="str">
        <f ca="1">IF('Reconciliation report'!$E$105=RefData!$B$40,MID('Reconciliation report'!$E$106,3001,1000),"")</f>
        <v/>
      </c>
      <c r="E562" s="585" t="str">
        <f ca="1">IF(AND('Reconciliation report'!$E$104=RefData!$B$7,OR('Reconciliation report'!$E$105=RefData!$B$36,'Reconciliation report'!$E$105=RefData!$B$37)),'All Statement of strategy (D)'!$B562,"")</f>
        <v/>
      </c>
      <c r="F562" s="585" t="str">
        <f ca="1">IF(AND('Reconciliation report'!$E$104=RefData!$B$7,OR('Reconciliation report'!$E$105=RefData!$B$36,'Reconciliation report'!$E$105=RefData!$B$37)),'All Statement of strategy (D)'!$B562,"")</f>
        <v/>
      </c>
      <c r="G562" s="585" t="str">
        <f ca="1">IF(AND('Reconciliation report'!$E$104=RefData!$B$7,OR('Reconciliation report'!$E$105=RefData!$B$36,'Reconciliation report'!$E$105=RefData!$B$37)),'All Statement of strategy (D)'!$B562,"")</f>
        <v/>
      </c>
      <c r="H562" s="585" t="str">
        <f ca="1">IF(AND('Reconciliation report'!$E$104=RefData!$B$7,OR('Reconciliation report'!$E$105=RefData!$B$36,'Reconciliation report'!$E$105=RefData!$B$37)),'All Statement of strategy (D)'!$B562,"")</f>
        <v/>
      </c>
      <c r="I562" s="595" t="str">
        <f ca="1">IF($C$1=RefData!$B$418,'All Statement of strategy (D)'!$E562,IF('All Statement of strategy (D)'!$C$1=RefData!$B$419,'All Statement of strategy (D)'!$F562,IF('All Statement of strategy (D)'!$C$1=RefData!$B$420,'All Statement of strategy (D)'!$G562,IF('All Statement of strategy (D)'!$C$1=RefData!$B$421,'All Statement of strategy (D)'!$H562," "))))</f>
        <v xml:space="preserve"> </v>
      </c>
    </row>
    <row r="563" spans="1:9">
      <c r="B563" s="594" t="s">
        <v>2024</v>
      </c>
      <c r="C563" s="585" t="s">
        <v>2031</v>
      </c>
      <c r="E563" s="585" t="str">
        <f ca="1">IF(AND('Reconciliation report'!$E$104=RefData!$B$7,OR('Reconciliation report'!$E$105=RefData!$B$36,'Reconciliation report'!$E$105=RefData!$B$37)),'All Statement of strategy (D)'!$B563,"")</f>
        <v/>
      </c>
      <c r="F563" s="585" t="str">
        <f ca="1">IF(AND('Reconciliation report'!$E$104=RefData!$B$7,OR('Reconciliation report'!$E$105=RefData!$B$36,'Reconciliation report'!$E$105=RefData!$B$37)),'All Statement of strategy (D)'!$B563,"")</f>
        <v/>
      </c>
      <c r="G563" s="585" t="str">
        <f ca="1">IF(AND('Reconciliation report'!$E$104=RefData!$B$7,OR('Reconciliation report'!$E$105=RefData!$B$36,'Reconciliation report'!$E$105=RefData!$B$37)),'All Statement of strategy (D)'!$B563&amp;'All Statement of strategy (D)'!$C563,"")</f>
        <v/>
      </c>
      <c r="H563" s="585" t="str">
        <f ca="1">IF(AND('Reconciliation report'!$E$104=RefData!$B$7,OR('Reconciliation report'!$E$105=RefData!$B$36,'Reconciliation report'!$E$105=RefData!$B$37)),'All Statement of strategy (D)'!$B563&amp;'All Statement of strategy (D)'!$C563,"")</f>
        <v/>
      </c>
      <c r="I563" s="595" t="str">
        <f ca="1">IF($C$1=RefData!$B$418,'All Statement of strategy (D)'!$E563,IF('All Statement of strategy (D)'!$C$1=RefData!$B$419,'All Statement of strategy (D)'!$F563,IF('All Statement of strategy (D)'!$C$1=RefData!$B$420,'All Statement of strategy (D)'!$G563,IF('All Statement of strategy (D)'!$C$1=RefData!$B$421,'All Statement of strategy (D)'!$H563," "))))</f>
        <v xml:space="preserve"> </v>
      </c>
    </row>
    <row r="564" spans="1:9">
      <c r="A564" s="584" t="s">
        <v>2025</v>
      </c>
      <c r="B564" s="594" t="str">
        <f ca="1">IF('Reconciliation report'!$E$108=RefData!$B$45,"",LOWER('Reconciliation report'!$E$108)&amp;".")</f>
        <v>.</v>
      </c>
      <c r="E564" s="585" t="str">
        <f ca="1">IF(AND('Reconciliation report'!$E$104=RefData!$B$7,OR('Reconciliation report'!$E$105=RefData!$B$36,'Reconciliation report'!$E$105=RefData!$B$37)),'All Statement of strategy (D)'!$B564&amp;'All Statement of strategy (D)'!$C564,"")</f>
        <v/>
      </c>
      <c r="F564" s="585" t="str">
        <f ca="1">IF(AND('Reconciliation report'!$E$104=RefData!$B$7,OR('Reconciliation report'!$E$105=RefData!$B$36,'Reconciliation report'!$E$105=RefData!$B$37)),'All Statement of strategy (D)'!$B564&amp;'All Statement of strategy (D)'!$C564,"")</f>
        <v/>
      </c>
      <c r="G564" s="585" t="str">
        <f>""</f>
        <v/>
      </c>
      <c r="H564" s="585" t="str">
        <f>""</f>
        <v/>
      </c>
      <c r="I564" s="595" t="str">
        <f ca="1">IF($C$1=RefData!$B$418,'All Statement of strategy (D)'!$E564,IF('All Statement of strategy (D)'!$C$1=RefData!$B$419,'All Statement of strategy (D)'!$F564,IF('All Statement of strategy (D)'!$C$1=RefData!$B$420,'All Statement of strategy (D)'!$G564,IF('All Statement of strategy (D)'!$C$1=RefData!$B$421,'All Statement of strategy (D)'!$H564," "))))</f>
        <v xml:space="preserve"> </v>
      </c>
    </row>
    <row r="565" spans="1:9">
      <c r="A565" s="584" t="s">
        <v>2026</v>
      </c>
      <c r="B565" s="594" t="str">
        <f ca="1">IF('Reconciliation report'!$E$108=RefData!$B$45,LEFT('Reconciliation report'!$E$109,1000),"")</f>
        <v/>
      </c>
      <c r="E565" s="585" t="str">
        <f ca="1">IF(AND('Reconciliation report'!$E$104=RefData!$B$7,OR('Reconciliation report'!$E$105=RefData!$B$36,'Reconciliation report'!$E$105=RefData!$B$37)),'All Statement of strategy (D)'!$B565&amp;'All Statement of strategy (D)'!$C565,"")</f>
        <v/>
      </c>
      <c r="F565" s="585" t="str">
        <f ca="1">IF(AND('Reconciliation report'!$E$104=RefData!$B$7,OR('Reconciliation report'!$E$105=RefData!$B$36,'Reconciliation report'!$E$105=RefData!$B$37)),'All Statement of strategy (D)'!$B565&amp;'All Statement of strategy (D)'!$C565,"")</f>
        <v/>
      </c>
      <c r="G565" s="585" t="str">
        <f>""</f>
        <v/>
      </c>
      <c r="H565" s="585" t="str">
        <f>""</f>
        <v/>
      </c>
      <c r="I565" s="595" t="str">
        <f ca="1">IF($C$1=RefData!$B$418,'All Statement of strategy (D)'!$E565,IF('All Statement of strategy (D)'!$C$1=RefData!$B$419,'All Statement of strategy (D)'!$F565,IF('All Statement of strategy (D)'!$C$1=RefData!$B$420,'All Statement of strategy (D)'!$G565,IF('All Statement of strategy (D)'!$C$1=RefData!$B$421,'All Statement of strategy (D)'!$H565," "))))</f>
        <v xml:space="preserve"> </v>
      </c>
    </row>
    <row r="566" spans="1:9">
      <c r="A566" s="584" t="s">
        <v>2026</v>
      </c>
      <c r="B566" s="594" t="str">
        <f ca="1">IF('Reconciliation report'!$E$108=RefData!$B$45,MID('Reconciliation report'!$E$109,1001,1000),"")</f>
        <v/>
      </c>
      <c r="E566" s="585" t="str">
        <f ca="1">IF(AND('Reconciliation report'!$E$104=RefData!$B$7,OR('Reconciliation report'!$E$105=RefData!$B$36,'Reconciliation report'!$E$105=RefData!$B$37)),'All Statement of strategy (D)'!$B566&amp;'All Statement of strategy (D)'!$C566,"")</f>
        <v/>
      </c>
      <c r="F566" s="585" t="str">
        <f ca="1">IF(AND('Reconciliation report'!$E$104=RefData!$B$7,OR('Reconciliation report'!$E$105=RefData!$B$36,'Reconciliation report'!$E$105=RefData!$B$37)),'All Statement of strategy (D)'!$B566&amp;'All Statement of strategy (D)'!$C566,"")</f>
        <v/>
      </c>
      <c r="G566" s="585" t="str">
        <f>""</f>
        <v/>
      </c>
      <c r="H566" s="585" t="str">
        <f>""</f>
        <v/>
      </c>
      <c r="I566" s="595" t="str">
        <f ca="1">IF($C$1=RefData!$B$418,'All Statement of strategy (D)'!$E566,IF('All Statement of strategy (D)'!$C$1=RefData!$B$419,'All Statement of strategy (D)'!$F566,IF('All Statement of strategy (D)'!$C$1=RefData!$B$420,'All Statement of strategy (D)'!$G566,IF('All Statement of strategy (D)'!$C$1=RefData!$B$421,'All Statement of strategy (D)'!$H566," "))))</f>
        <v xml:space="preserve"> </v>
      </c>
    </row>
    <row r="567" spans="1:9">
      <c r="A567" s="584" t="s">
        <v>2026</v>
      </c>
      <c r="B567" s="594" t="str">
        <f ca="1">IF('Reconciliation report'!$E$108=RefData!$B$45,MID('Reconciliation report'!$E$109,2001,1000),"")</f>
        <v/>
      </c>
      <c r="E567" s="585" t="str">
        <f ca="1">IF(AND('Reconciliation report'!$E$104=RefData!$B$7,OR('Reconciliation report'!$E$105=RefData!$B$36,'Reconciliation report'!$E$105=RefData!$B$37)),'All Statement of strategy (D)'!$B567&amp;'All Statement of strategy (D)'!$C567,"")</f>
        <v/>
      </c>
      <c r="F567" s="585" t="str">
        <f ca="1">IF(AND('Reconciliation report'!$E$104=RefData!$B$7,OR('Reconciliation report'!$E$105=RefData!$B$36,'Reconciliation report'!$E$105=RefData!$B$37)),'All Statement of strategy (D)'!$B567&amp;'All Statement of strategy (D)'!$C567,"")</f>
        <v/>
      </c>
      <c r="G567" s="585" t="str">
        <f>""</f>
        <v/>
      </c>
      <c r="H567" s="585" t="str">
        <f>""</f>
        <v/>
      </c>
      <c r="I567" s="595" t="str">
        <f ca="1">IF($C$1=RefData!$B$418,'All Statement of strategy (D)'!$E567,IF('All Statement of strategy (D)'!$C$1=RefData!$B$419,'All Statement of strategy (D)'!$F567,IF('All Statement of strategy (D)'!$C$1=RefData!$B$420,'All Statement of strategy (D)'!$G567,IF('All Statement of strategy (D)'!$C$1=RefData!$B$421,'All Statement of strategy (D)'!$H567," "))))</f>
        <v xml:space="preserve"> </v>
      </c>
    </row>
    <row r="568" spans="1:9">
      <c r="A568" s="584" t="s">
        <v>2026</v>
      </c>
      <c r="B568" s="594" t="str">
        <f ca="1">IF('Reconciliation report'!$E$108=RefData!$B$45,MID('Reconciliation report'!$E$109,3001,1000),"")</f>
        <v/>
      </c>
      <c r="E568" s="585" t="str">
        <f ca="1">IF(AND('Reconciliation report'!$E$104=RefData!$B$7,OR('Reconciliation report'!$E$105=RefData!$B$36,'Reconciliation report'!$E$105=RefData!$B$37)),'All Statement of strategy (D)'!$B568&amp;'All Statement of strategy (D)'!$C568,"")</f>
        <v/>
      </c>
      <c r="F568" s="585" t="str">
        <f ca="1">IF(AND('Reconciliation report'!$E$104=RefData!$B$7,OR('Reconciliation report'!$E$105=RefData!$B$36,'Reconciliation report'!$E$105=RefData!$B$37)),'All Statement of strategy (D)'!$B568&amp;'All Statement of strategy (D)'!$C568,"")</f>
        <v/>
      </c>
      <c r="G568" s="585" t="str">
        <f>""</f>
        <v/>
      </c>
      <c r="H568" s="585" t="str">
        <f>""</f>
        <v/>
      </c>
      <c r="I568" s="595" t="str">
        <f ca="1">IF($C$1=RefData!$B$418,'All Statement of strategy (D)'!$E568,IF('All Statement of strategy (D)'!$C$1=RefData!$B$419,'All Statement of strategy (D)'!$F568,IF('All Statement of strategy (D)'!$C$1=RefData!$B$420,'All Statement of strategy (D)'!$G568,IF('All Statement of strategy (D)'!$C$1=RefData!$B$421,'All Statement of strategy (D)'!$H568," "))))</f>
        <v xml:space="preserve"> </v>
      </c>
    </row>
    <row r="569" spans="1:9" s="653" customFormat="1">
      <c r="A569" s="650" t="s">
        <v>2032</v>
      </c>
      <c r="B569" s="651" t="str">
        <f ca="1">IF('Reconciliation report'!$E$110=0,"","The spot rate associated with the ")</f>
        <v xml:space="preserve">The spot rate associated with the </v>
      </c>
      <c r="C569" s="583" t="str" cm="1">
        <f t="array" aca="1" ref="C569" ca="1">IF('Reconciliation report'!$E$110=0,"",
_xlfn.IFS(
OR('Reconciliation report'!$E$11=RefData!$B$9,'Reconciliation report'!$E$108=RefData!$B$41),"gilt yield curve is ",
'Reconciliation report'!$E$108=RefData!$B$42,"swap yield curve is ",
'Reconciliation report'!$E$108=RefData!$B$43,"inflation yield curve is ",
'Reconciliation report'!$E$108=RefData!$B$44,"composite yield curve is ",
'Reconciliation report'!$E$108=RefData!$B$45,"yield curve is ",
1=1,""))</f>
        <v/>
      </c>
      <c r="D569" s="583" t="str">
        <f ca="1">IF('Reconciliation report'!$E$110=0,"",TEXT('Reconciliation report'!$E$110,RefData!$B$423)&amp;".")</f>
        <v>.</v>
      </c>
      <c r="E569" s="583" t="str">
        <f ca="1">IF(AND('Reconciliation report'!$E$104=RefData!$B$7,OR('Reconciliation report'!$E$105=RefData!$B$36,'Reconciliation report'!$E$105=RefData!$B$37)),'All Statement of strategy (D)'!$B569&amp;'All Statement of strategy (D)'!$C569&amp;D569,"")</f>
        <v/>
      </c>
      <c r="F569" s="583" t="str">
        <f ca="1">IF(AND('Reconciliation report'!$E$104=RefData!$B$7,OR('Reconciliation report'!$E$105=RefData!$B$36,'Reconciliation report'!$E$105=RefData!$B$37)),'All Statement of strategy (D)'!$B569&amp;'All Statement of strategy (D)'!$C569&amp;D569,"")</f>
        <v/>
      </c>
      <c r="G569" s="583" t="str">
        <f ca="1">IF(AND('Reconciliation report'!$E$104=RefData!$B$7,OR('Reconciliation report'!$E$105=RefData!$B$36,'Reconciliation report'!$E$105=RefData!$B$37)),'All Statement of strategy (D)'!$B569&amp;'All Statement of strategy (D)'!$C569&amp;D569,"")</f>
        <v/>
      </c>
      <c r="H569" s="583" t="str">
        <f ca="1">IF(AND('Reconciliation report'!$E$104=RefData!$B$7,OR('Reconciliation report'!$E$105=RefData!$B$36,'Reconciliation report'!$E$105=RefData!$B$37)),'All Statement of strategy (D)'!$B569&amp;'All Statement of strategy (D)'!$C569&amp;D569,"")</f>
        <v/>
      </c>
      <c r="I569" s="652" t="str">
        <f ca="1">IF($C$1=RefData!$B$418,'All Statement of strategy (D)'!$E569,IF('All Statement of strategy (D)'!$C$1=RefData!$B$419,'All Statement of strategy (D)'!$F569,IF('All Statement of strategy (D)'!$C$1=RefData!$B$420,'All Statement of strategy (D)'!$G569,IF('All Statement of strategy (D)'!$C$1=RefData!$B$421,'All Statement of strategy (D)'!$H569," "))))</f>
        <v xml:space="preserve"> </v>
      </c>
    </row>
    <row r="570" spans="1:9">
      <c r="B570" s="594" t="s">
        <v>2033</v>
      </c>
      <c r="E570" s="585" t="str">
        <f ca="1">IF(AND('Reconciliation report'!$E$104=RefData!$B$7,OR('Reconciliation report'!$E$105=RefData!$B$36,'Reconciliation report'!$E$105=RefData!$B$37)),'All Statement of strategy (D)'!$B570&amp;'All Statement of strategy (D)'!$C570,"")</f>
        <v/>
      </c>
      <c r="F570" s="585" t="str">
        <f ca="1">IF(AND('Reconciliation report'!$E$104=RefData!$B$7,OR('Reconciliation report'!$E$105=RefData!$B$36,'Reconciliation report'!$E$105=RefData!$B$37)),'All Statement of strategy (D)'!$B570&amp;'All Statement of strategy (D)'!$C570,"")</f>
        <v/>
      </c>
      <c r="G570" s="585" t="str">
        <f ca="1">IF(AND('Reconciliation report'!$E$104=RefData!$B$7,OR('Reconciliation report'!$E$105=RefData!$B$36,'Reconciliation report'!$E$105=RefData!$B$37)),'All Statement of strategy (D)'!$B570&amp;'All Statement of strategy (D)'!$C570,"")</f>
        <v/>
      </c>
      <c r="H570" s="585" t="str">
        <f ca="1">IF(AND('Reconciliation report'!$E$104=RefData!$B$7,OR('Reconciliation report'!$E$105=RefData!$B$36,'Reconciliation report'!$E$105=RefData!$B$37)),'All Statement of strategy (D)'!$B570&amp;'All Statement of strategy (D)'!$C570,"")</f>
        <v/>
      </c>
      <c r="I570" s="595" t="str">
        <f ca="1">IF($C$1=RefData!$B$418,'All Statement of strategy (D)'!$E570,IF('All Statement of strategy (D)'!$C$1=RefData!$B$419,'All Statement of strategy (D)'!$F570,IF('All Statement of strategy (D)'!$C$1=RefData!$B$420,'All Statement of strategy (D)'!$G570,IF('All Statement of strategy (D)'!$C$1=RefData!$B$421,'All Statement of strategy (D)'!$H570," "))))</f>
        <v xml:space="preserve"> </v>
      </c>
    </row>
    <row r="571" spans="1:9">
      <c r="B571" s="594" t="s">
        <v>2028</v>
      </c>
      <c r="E571" s="585" t="str">
        <f ca="1">IF(AND('Reconciliation report'!$E$104=RefData!$B$7,OR('Reconciliation report'!$E$105=RefData!$B$36,'Reconciliation report'!$E$105=RefData!$B$37)),'All Statement of strategy (D)'!$B571&amp;'All Statement of strategy (D)'!$C571,"")</f>
        <v/>
      </c>
      <c r="F571" s="585" t="str">
        <f ca="1">IF(AND('Reconciliation report'!$E$104=RefData!$B$7,OR('Reconciliation report'!$E$105=RefData!$B$36,'Reconciliation report'!$E$105=RefData!$B$37)),'All Statement of strategy (D)'!$B571&amp;'All Statement of strategy (D)'!$C571,"")</f>
        <v/>
      </c>
      <c r="G571" s="585" t="str">
        <f ca="1">IF(AND('Reconciliation report'!$E$104=RefData!$B$7,OR('Reconciliation report'!$E$105=RefData!$B$36,'Reconciliation report'!$E$105=RefData!$B$37)),'All Statement of strategy (D)'!$B571&amp;'All Statement of strategy (D)'!$C571,"")</f>
        <v/>
      </c>
      <c r="H571" s="585" t="str">
        <f ca="1">IF(AND('Reconciliation report'!$E$104=RefData!$B$7,OR('Reconciliation report'!$E$105=RefData!$B$36,'Reconciliation report'!$E$105=RefData!$B$37)),'All Statement of strategy (D)'!$B571&amp;'All Statement of strategy (D)'!$C571,"")</f>
        <v/>
      </c>
      <c r="I571" s="595" t="str">
        <f ca="1">IF($C$1=RefData!$B$418,'All Statement of strategy (D)'!$E571,IF('All Statement of strategy (D)'!$C$1=RefData!$B$419,'All Statement of strategy (D)'!$F571,IF('All Statement of strategy (D)'!$C$1=RefData!$B$420,'All Statement of strategy (D)'!$G571,IF('All Statement of strategy (D)'!$C$1=RefData!$B$421,'All Statement of strategy (D)'!$H571," "))))</f>
        <v xml:space="preserve"> </v>
      </c>
    </row>
    <row r="572" spans="1:9">
      <c r="B572" s="594" t="s">
        <v>2029</v>
      </c>
      <c r="E572" s="585" t="str">
        <f ca="1">IF(AND('Reconciliation report'!$E$104=RefData!$B$7,OR('Reconciliation report'!$E$105=RefData!$B$36,'Reconciliation report'!$E$105=RefData!$B$37)),'All Statement of strategy (D)'!$B572&amp;'All Statement of strategy (D)'!$C572,"")</f>
        <v/>
      </c>
      <c r="F572" s="585" t="str">
        <f>""</f>
        <v/>
      </c>
      <c r="G572" s="585" t="str">
        <f ca="1">IF(AND('Reconciliation report'!$E$104=RefData!$B$7,OR('Reconciliation report'!$E$105=RefData!$B$36,'Reconciliation report'!$E$105=RefData!$B$37)),'All Statement of strategy (D)'!$B572&amp;'All Statement of strategy (D)'!$C572,"")</f>
        <v/>
      </c>
      <c r="H572" s="585" t="str">
        <f>""</f>
        <v/>
      </c>
      <c r="I572" s="595" t="str">
        <f ca="1">IF($C$1=RefData!$B$418,'All Statement of strategy (D)'!$E572,IF('All Statement of strategy (D)'!$C$1=RefData!$B$419,'All Statement of strategy (D)'!$F572,IF('All Statement of strategy (D)'!$C$1=RefData!$B$420,'All Statement of strategy (D)'!$G572,IF('All Statement of strategy (D)'!$C$1=RefData!$B$421,'All Statement of strategy (D)'!$H572," "))))</f>
        <v xml:space="preserve"> </v>
      </c>
    </row>
    <row r="573" spans="1:9">
      <c r="B573" s="594" t="s">
        <v>2030</v>
      </c>
      <c r="E573" s="585" t="str">
        <f>""</f>
        <v/>
      </c>
      <c r="F573" s="585" t="str">
        <f ca="1">IF(AND('Reconciliation report'!$E$104=RefData!$B$7,OR('Reconciliation report'!$E$105=RefData!$B$36,'Reconciliation report'!$E$105=RefData!$B$37)),'All Statement of strategy (D)'!$B573&amp;'All Statement of strategy (D)'!$C573,"")</f>
        <v/>
      </c>
      <c r="G573" s="585" t="str">
        <f>""</f>
        <v/>
      </c>
      <c r="H573" s="585" t="str">
        <f ca="1">IF(AND('Reconciliation report'!$E$104=RefData!$B$7,OR('Reconciliation report'!$E$105=RefData!$B$36,'Reconciliation report'!$E$105=RefData!$B$37)),'All Statement of strategy (D)'!$B573&amp;'All Statement of strategy (D)'!$C573,"")</f>
        <v/>
      </c>
      <c r="I573" s="595" t="str">
        <f ca="1">IF($C$1=RefData!$B$418,'All Statement of strategy (D)'!$E573,IF('All Statement of strategy (D)'!$C$1=RefData!$B$419,'All Statement of strategy (D)'!$F573,IF('All Statement of strategy (D)'!$C$1=RefData!$B$420,'All Statement of strategy (D)'!$G573,IF('All Statement of strategy (D)'!$C$1=RefData!$B$421,'All Statement of strategy (D)'!$H573," "))))</f>
        <v xml:space="preserve"> </v>
      </c>
    </row>
    <row r="574" spans="1:9">
      <c r="B574" s="594" t="s">
        <v>2034</v>
      </c>
      <c r="E574" s="585" t="str">
        <f ca="1">IF(AND('Reconciliation report'!$E$104=RefData!$B$7,OR('Reconciliation report'!$E$105=RefData!$B$36,'Reconciliation report'!$E$105=RefData!$B$37)),'All Statement of strategy (D)'!$B574,"")</f>
        <v/>
      </c>
      <c r="F574" s="585" t="str">
        <f ca="1">IF(AND('Reconciliation report'!$E$104=RefData!$B$7,OR('Reconciliation report'!$E$105=RefData!$B$36,'Reconciliation report'!$E$105=RefData!$B$37)),'All Statement of strategy (D)'!$B574,"")</f>
        <v/>
      </c>
      <c r="G574" s="585" t="str">
        <f ca="1">IF(AND('Reconciliation report'!$E$104=RefData!$B$7,OR('Reconciliation report'!$E$105=RefData!$B$36,'Reconciliation report'!$E$105=RefData!$B$37)),'All Statement of strategy (D)'!$B574,"")</f>
        <v/>
      </c>
      <c r="H574" s="585" t="str">
        <f ca="1">IF(AND('Reconciliation report'!$E$104=RefData!$B$7,OR('Reconciliation report'!$E$105=RefData!$B$36,'Reconciliation report'!$E$105=RefData!$B$37)),'All Statement of strategy (D)'!$B574,"")</f>
        <v/>
      </c>
      <c r="I574" s="595" t="str">
        <f ca="1">IF($C$1=RefData!$B$418,'All Statement of strategy (D)'!$E574,IF('All Statement of strategy (D)'!$C$1=RefData!$B$419,'All Statement of strategy (D)'!$F574,IF('All Statement of strategy (D)'!$C$1=RefData!$B$420,'All Statement of strategy (D)'!$G574,IF('All Statement of strategy (D)'!$C$1=RefData!$B$421,'All Statement of strategy (D)'!$H574," "))))</f>
        <v xml:space="preserve"> </v>
      </c>
    </row>
    <row r="575" spans="1:9">
      <c r="B575" s="594" t="s">
        <v>1600</v>
      </c>
      <c r="E575" s="585" t="str">
        <f ca="1">IF(AND('Reconciliation report'!$E$104=RefData!$B$7,OR('Reconciliation report'!$E$105=RefData!$B$36,'Reconciliation report'!$E$105=RefData!$B$37)),'All Statement of strategy (D)'!$B575,"")</f>
        <v/>
      </c>
      <c r="F575" s="585" t="str">
        <f ca="1">IF(AND('Reconciliation report'!$E$104=RefData!$B$7,OR('Reconciliation report'!$E$105=RefData!$B$36,'Reconciliation report'!$E$105=RefData!$B$37)),'All Statement of strategy (D)'!$B575,"")</f>
        <v/>
      </c>
      <c r="G575" s="585" t="str">
        <f ca="1">IF(AND('Reconciliation report'!$E$104=RefData!$B$7,OR('Reconciliation report'!$E$105=RefData!$B$36,'Reconciliation report'!$E$105=RefData!$B$37)),'All Statement of strategy (D)'!$B575,"")</f>
        <v/>
      </c>
      <c r="H575" s="585" t="str">
        <f ca="1">IF(AND('Reconciliation report'!$E$104=RefData!$B$7,OR('Reconciliation report'!$E$105=RefData!$B$36,'Reconciliation report'!$E$105=RefData!$B$37)),'All Statement of strategy (D)'!$B575,"")</f>
        <v/>
      </c>
      <c r="I575" s="595" t="str">
        <f ca="1">IF($C$1=RefData!$B$418,'All Statement of strategy (D)'!$E575,IF('All Statement of strategy (D)'!$C$1=RefData!$B$419,'All Statement of strategy (D)'!$F575,IF('All Statement of strategy (D)'!$C$1=RefData!$B$420,'All Statement of strategy (D)'!$G575,IF('All Statement of strategy (D)'!$C$1=RefData!$B$421,'All Statement of strategy (D)'!$H575," "))))</f>
        <v xml:space="preserve"> </v>
      </c>
    </row>
    <row r="576" spans="1:9">
      <c r="B576" s="594" t="s">
        <v>1601</v>
      </c>
      <c r="E576" s="585" t="str">
        <f ca="1">IF(AND('Reconciliation report'!$E$104=RefData!$B$7,OR('Reconciliation report'!$E$105=RefData!$B$36,'Reconciliation report'!$E$105=RefData!$B$37),'Reconciliation report'!$E$114&lt;&gt;""),'All Statement of strategy (D)'!$B576,"")</f>
        <v/>
      </c>
      <c r="F576" s="585" t="str">
        <f ca="1">IF(AND('Reconciliation report'!$E$104=RefData!$B$7,OR('Reconciliation report'!$E$105=RefData!$B$36,'Reconciliation report'!$E$105=RefData!$B$37),'Reconciliation report'!$E$114&lt;&gt;""),'All Statement of strategy (D)'!$B576,"")</f>
        <v/>
      </c>
      <c r="G576" s="585" t="str">
        <f ca="1">IF(AND('Reconciliation report'!$E$104=RefData!$B$7,OR('Reconciliation report'!$E$105=RefData!$B$36,'Reconciliation report'!$E$105=RefData!$B$37),'Reconciliation report'!$E$114&lt;&gt;""),'All Statement of strategy (D)'!$B576,"")</f>
        <v/>
      </c>
      <c r="H576" s="585" t="str">
        <f ca="1">IF(AND('Reconciliation report'!$E$104=RefData!$B$7,OR('Reconciliation report'!$E$105=RefData!$B$36,'Reconciliation report'!$E$105=RefData!$B$37),'Reconciliation report'!$E$114&lt;&gt;""),'All Statement of strategy (D)'!$B576,"")</f>
        <v/>
      </c>
      <c r="I576" s="595" t="str">
        <f ca="1">IF($C$1=RefData!$B$418,'All Statement of strategy (D)'!$E576,IF('All Statement of strategy (D)'!$C$1=RefData!$B$419,'All Statement of strategy (D)'!$F576,IF('All Statement of strategy (D)'!$C$1=RefData!$B$420,'All Statement of strategy (D)'!$G576,IF('All Statement of strategy (D)'!$C$1=RefData!$B$421,'All Statement of strategy (D)'!$H576," "))))</f>
        <v xml:space="preserve"> </v>
      </c>
    </row>
    <row r="577" spans="1:9">
      <c r="A577" s="584" t="s">
        <v>2035</v>
      </c>
      <c r="B577" s="617" t="s">
        <v>2036</v>
      </c>
      <c r="C577" s="618" t="str">
        <f ca="1">TEXT('Reconciliation report'!$E$111,RefData!$B$424)</f>
        <v/>
      </c>
      <c r="E577" s="585" t="str">
        <f ca="1">IF(AND('Reconciliation report'!$E$104=RefData!$B$7,OR('Reconciliation report'!$E$105=RefData!$B$36,'Reconciliation report'!$E$105=RefData!$B$37)),'All Statement of strategy (D)'!$B577&amp;$C577,"")</f>
        <v/>
      </c>
      <c r="F577" s="585" t="str">
        <f ca="1">IF(AND('Reconciliation report'!$E$104=RefData!$B$7,OR('Reconciliation report'!$E$105=RefData!$B$36,'Reconciliation report'!$E$105=RefData!$B$37)),'All Statement of strategy (D)'!$B577&amp;$C577,"")</f>
        <v/>
      </c>
      <c r="G577" s="585" t="str">
        <f ca="1">IF(AND('Reconciliation report'!$E$104=RefData!$B$7,OR('Reconciliation report'!$E$105=RefData!$B$36,'Reconciliation report'!$E$105=RefData!$B$37)),'All Statement of strategy (D)'!$B577&amp;$C577,"")</f>
        <v/>
      </c>
      <c r="H577" s="585" t="str">
        <f ca="1">IF(AND('Reconciliation report'!$E$104=RefData!$B$7,OR('Reconciliation report'!$E$105=RefData!$B$36,'Reconciliation report'!$E$105=RefData!$B$37)),'All Statement of strategy (D)'!$B577&amp;$C577,"")</f>
        <v/>
      </c>
      <c r="I577" s="595" t="str">
        <f ca="1">IF($C$1=RefData!$B$418,'All Statement of strategy (D)'!$E577,IF('All Statement of strategy (D)'!$C$1=RefData!$B$419,'All Statement of strategy (D)'!$F577,IF('All Statement of strategy (D)'!$C$1=RefData!$B$420,'All Statement of strategy (D)'!$G577,IF('All Statement of strategy (D)'!$C$1=RefData!$B$421,'All Statement of strategy (D)'!$H577," "))))</f>
        <v xml:space="preserve"> </v>
      </c>
    </row>
    <row r="578" spans="1:9">
      <c r="B578" s="617" t="s">
        <v>2037</v>
      </c>
      <c r="C578" s="618"/>
      <c r="E578" s="585" t="str">
        <f ca="1">IF(AND('Reconciliation report'!$E$104=RefData!$B$7,OR('Reconciliation report'!$E$105=RefData!$B$36,'Reconciliation report'!$E$105=RefData!$B$37)),'All Statement of strategy (D)'!$B578,"")</f>
        <v/>
      </c>
      <c r="F578" s="585" t="str">
        <f ca="1">IF(AND('Reconciliation report'!$E$104=RefData!$B$7,OR('Reconciliation report'!$E$105=RefData!$B$36,'Reconciliation report'!$E$105=RefData!$B$37)),'All Statement of strategy (D)'!$B578,"")</f>
        <v/>
      </c>
      <c r="G578" s="585" t="str">
        <f ca="1">IF(AND('Reconciliation report'!$E$104=RefData!$B$7,OR('Reconciliation report'!$E$105=RefData!$B$36,'Reconciliation report'!$E$105=RefData!$B$37)),'All Statement of strategy (D)'!$B578,"")</f>
        <v/>
      </c>
      <c r="H578" s="585" t="str">
        <f ca="1">IF(AND('Reconciliation report'!$E$104=RefData!$B$7,OR('Reconciliation report'!$E$105=RefData!$B$36,'Reconciliation report'!$E$105=RefData!$B$37)),'All Statement of strategy (D)'!$B578,"")</f>
        <v/>
      </c>
      <c r="I578" s="595" t="str">
        <f ca="1">IF($C$1=RefData!$B$418,'All Statement of strategy (D)'!$E578,IF('All Statement of strategy (D)'!$C$1=RefData!$B$419,'All Statement of strategy (D)'!$F578,IF('All Statement of strategy (D)'!$C$1=RefData!$B$420,'All Statement of strategy (D)'!$G578,IF('All Statement of strategy (D)'!$C$1=RefData!$B$421,'All Statement of strategy (D)'!$H578," "))))</f>
        <v xml:space="preserve"> </v>
      </c>
    </row>
    <row r="579" spans="1:9">
      <c r="A579" s="584" t="s">
        <v>2038</v>
      </c>
      <c r="B579" s="594" t="str">
        <f ca="1">TEXT('Reconciliation report'!$E$112,RefData!$B$423)</f>
        <v/>
      </c>
      <c r="E579" s="585" t="str">
        <f ca="1">IF(AND('Reconciliation report'!$E$104=RefData!$B$7,OR('Reconciliation report'!$E$105=RefData!$B$36,'Reconciliation report'!$E$105=RefData!$B$37)),'All Statement of strategy (D)'!$B579,"")</f>
        <v/>
      </c>
      <c r="F579" s="585" t="str">
        <f ca="1">IF(AND('Reconciliation report'!$E$104=RefData!$B$7,OR('Reconciliation report'!$E$105=RefData!$B$36,'Reconciliation report'!$E$105=RefData!$B$37)),'All Statement of strategy (D)'!$B579,"")</f>
        <v/>
      </c>
      <c r="G579" s="585" t="str">
        <f ca="1">IF(AND('Reconciliation report'!$E$104=RefData!$B$7,OR('Reconciliation report'!$E$105=RefData!$B$36,'Reconciliation report'!$E$105=RefData!$B$37)),'All Statement of strategy (D)'!$B579,"")</f>
        <v/>
      </c>
      <c r="H579" s="585" t="str">
        <f ca="1">IF(AND('Reconciliation report'!$E$104=RefData!$B$7,OR('Reconciliation report'!$E$105=RefData!$B$36,'Reconciliation report'!$E$105=RefData!$B$37)),'All Statement of strategy (D)'!$B579,"")</f>
        <v/>
      </c>
      <c r="I579" s="595" t="str">
        <f ca="1">IF($C$1=RefData!$B$418,'All Statement of strategy (D)'!$E579,IF('All Statement of strategy (D)'!$C$1=RefData!$B$419,'All Statement of strategy (D)'!$F579,IF('All Statement of strategy (D)'!$C$1=RefData!$B$420,'All Statement of strategy (D)'!$G579,IF('All Statement of strategy (D)'!$C$1=RefData!$B$421,'All Statement of strategy (D)'!$H579," "))))</f>
        <v xml:space="preserve"> </v>
      </c>
    </row>
    <row r="580" spans="1:9">
      <c r="A580" s="584" t="s">
        <v>2039</v>
      </c>
      <c r="B580" s="594" t="str">
        <f ca="1">TEXT('Reconciliation report'!$E$113,RefData!$B$423)</f>
        <v/>
      </c>
      <c r="E580" s="585" t="str">
        <f ca="1">IF(AND('Reconciliation report'!$E$104=RefData!$B$7,OR('Reconciliation report'!$E$105=RefData!$B$36,'Reconciliation report'!$E$105=RefData!$B$37)),'All Statement of strategy (D)'!$B580,"")</f>
        <v/>
      </c>
      <c r="F580" s="585" t="str">
        <f ca="1">IF(AND('Reconciliation report'!$E$104=RefData!$B$7,OR('Reconciliation report'!$E$105=RefData!$B$36,'Reconciliation report'!$E$105=RefData!$B$37)),'All Statement of strategy (D)'!$B580,"")</f>
        <v/>
      </c>
      <c r="G580" s="585" t="str">
        <f ca="1">IF(AND('Reconciliation report'!$E$104=RefData!$B$7,OR('Reconciliation report'!$E$105=RefData!$B$36,'Reconciliation report'!$E$105=RefData!$B$37)),'All Statement of strategy (D)'!$B580,"")</f>
        <v/>
      </c>
      <c r="H580" s="585" t="str">
        <f ca="1">IF(AND('Reconciliation report'!$E$104=RefData!$B$7,OR('Reconciliation report'!$E$105=RefData!$B$36,'Reconciliation report'!$E$105=RefData!$B$37)),'All Statement of strategy (D)'!$B580,"")</f>
        <v/>
      </c>
      <c r="I580" s="595" t="str">
        <f ca="1">IF($C$1=RefData!$B$418,'All Statement of strategy (D)'!$E580,IF('All Statement of strategy (D)'!$C$1=RefData!$B$419,'All Statement of strategy (D)'!$F580,IF('All Statement of strategy (D)'!$C$1=RefData!$B$420,'All Statement of strategy (D)'!$G580,IF('All Statement of strategy (D)'!$C$1=RefData!$B$421,'All Statement of strategy (D)'!$H580," "))))</f>
        <v xml:space="preserve"> </v>
      </c>
    </row>
    <row r="581" spans="1:9" ht="16" thickBot="1">
      <c r="A581" s="584" t="s">
        <v>2040</v>
      </c>
      <c r="B581" s="597" t="str">
        <f ca="1">TEXT('Reconciliation report'!$E$114,RefData!$B$423)</f>
        <v/>
      </c>
      <c r="C581" s="598"/>
      <c r="D581" s="598"/>
      <c r="E581" s="598" t="str">
        <f ca="1">IF(AND('Reconciliation report'!$E$104=RefData!$B$7,OR('Reconciliation report'!$E$105=RefData!$B$36,'Reconciliation report'!$E$105=RefData!$B$37)),'All Statement of strategy (D)'!$B581,"")</f>
        <v/>
      </c>
      <c r="F581" s="598" t="str">
        <f ca="1">IF(AND('Reconciliation report'!$E$104=RefData!$B$7,OR('Reconciliation report'!$E$105=RefData!$B$36,'Reconciliation report'!$E$105=RefData!$B$37)),'All Statement of strategy (D)'!$B581,"")</f>
        <v/>
      </c>
      <c r="G581" s="598" t="str">
        <f ca="1">IF(AND('Reconciliation report'!$E$104=RefData!$B$7,OR('Reconciliation report'!$E$105=RefData!$B$36,'Reconciliation report'!$E$105=RefData!$B$37)),'All Statement of strategy (D)'!$B581,"")</f>
        <v/>
      </c>
      <c r="H581" s="598" t="str">
        <f ca="1">IF(AND('Reconciliation report'!$E$104=RefData!$B$7,OR('Reconciliation report'!$E$105=RefData!$B$36,'Reconciliation report'!$E$105=RefData!$B$37)),'All Statement of strategy (D)'!$B581,"")</f>
        <v/>
      </c>
      <c r="I581" s="599" t="str">
        <f ca="1">IF($C$1=RefData!$B$418,'All Statement of strategy (D)'!$E581,IF('All Statement of strategy (D)'!$C$1=RefData!$B$419,'All Statement of strategy (D)'!$F581,IF('All Statement of strategy (D)'!$C$1=RefData!$B$420,'All Statement of strategy (D)'!$G581,IF('All Statement of strategy (D)'!$C$1=RefData!$B$421,'All Statement of strategy (D)'!$H581," "))))</f>
        <v xml:space="preserve"> </v>
      </c>
    </row>
    <row r="582" spans="1:9">
      <c r="A582" s="584" t="s">
        <v>2022</v>
      </c>
      <c r="B582" s="594" t="str">
        <f ca="1">IF('Reconciliation report'!$E$105=RefData!$B$40,"The trustees use the following discount rate methodology:","The trustees use the following discount rate methodology: "&amp;'Reconciliation report'!$E$105)</f>
        <v xml:space="preserve">The trustees use the following discount rate methodology: </v>
      </c>
      <c r="E582" s="585" t="str">
        <f ca="1">IF(AND('Reconciliation report'!$E$104=RefData!$B$7,OR('Reconciliation report'!$E$105=RefData!$B$38,'Reconciliation report'!$E$105=RefData!$B$39,'Reconciliation report'!$E$105=RefData!$B$40)),'All Statement of strategy (D)'!$B582,"")</f>
        <v/>
      </c>
      <c r="F582" s="585" t="str">
        <f ca="1">IF(AND('Reconciliation report'!$E$104=RefData!$B$7,OR('Reconciliation report'!$E$105=RefData!$B$38,'Reconciliation report'!$E$105=RefData!$B$39,'Reconciliation report'!$E$105=RefData!$B$40)),'All Statement of strategy (D)'!$B582&amp;$C582,"")</f>
        <v/>
      </c>
      <c r="G582" s="585" t="str">
        <f ca="1">IF(AND('Reconciliation report'!$E$104=RefData!$B$7,OR('Reconciliation report'!$E$105=RefData!$B$38,'Reconciliation report'!$E$105=RefData!$B$39,'Reconciliation report'!$E$105=RefData!$B$40)),'All Statement of strategy (D)'!$B582,"")</f>
        <v/>
      </c>
      <c r="H582" s="585" t="str">
        <f ca="1">IF(AND('Reconciliation report'!$E$104=RefData!$B$7,OR('Reconciliation report'!$E$105=RefData!$B$38,'Reconciliation report'!$E$105=RefData!$B$39,'Reconciliation report'!$E$105=RefData!$B$40)),'All Statement of strategy (D)'!$B582,"")</f>
        <v/>
      </c>
      <c r="I582" s="595" t="str">
        <f ca="1">IF($C$1=RefData!$B$418,'All Statement of strategy (D)'!$E582,IF('All Statement of strategy (D)'!$C$1=RefData!$B$419,'All Statement of strategy (D)'!$F582,IF('All Statement of strategy (D)'!$C$1=RefData!$B$420,'All Statement of strategy (D)'!$G582,IF('All Statement of strategy (D)'!$C$1=RefData!$B$421,'All Statement of strategy (D)'!$H582," "))))</f>
        <v xml:space="preserve"> </v>
      </c>
    </row>
    <row r="583" spans="1:9">
      <c r="A583" s="584" t="s">
        <v>2023</v>
      </c>
      <c r="B583" s="594" t="str">
        <f ca="1">IF('Reconciliation report'!$E$105=RefData!$B$40,LEFT('Reconciliation report'!$E$106,1000),"")</f>
        <v/>
      </c>
      <c r="E583" s="585" t="str">
        <f ca="1">IF(AND('Reconciliation report'!$E$104=RefData!$B$7,OR('Reconciliation report'!$E$105=RefData!$B$38,'Reconciliation report'!$E$105=RefData!$B$39,'Reconciliation report'!$E$105=RefData!$B$40)),'All Statement of strategy (D)'!$B583,"")</f>
        <v/>
      </c>
      <c r="F583" s="585" t="str">
        <f ca="1">IF(AND('Reconciliation report'!$E$104=RefData!$B$7,OR('Reconciliation report'!$E$105=RefData!$B$38,'Reconciliation report'!$E$105=RefData!$B$39,'Reconciliation report'!$E$105=RefData!$B$40)),'All Statement of strategy (D)'!$B583&amp;$C583,"")</f>
        <v/>
      </c>
      <c r="G583" s="585" t="str">
        <f ca="1">IF(AND('Reconciliation report'!$E$104=RefData!$B$7,OR('Reconciliation report'!$E$105=RefData!$B$38,'Reconciliation report'!$E$105=RefData!$B$39,'Reconciliation report'!$E$105=RefData!$B$40)),'All Statement of strategy (D)'!$B583,"")</f>
        <v/>
      </c>
      <c r="H583" s="585" t="str">
        <f ca="1">IF(AND('Reconciliation report'!$E$104=RefData!$B$7,OR('Reconciliation report'!$E$105=RefData!$B$38,'Reconciliation report'!$E$105=RefData!$B$39,'Reconciliation report'!$E$105=RefData!$B$40)),'All Statement of strategy (D)'!$B583,"")</f>
        <v/>
      </c>
      <c r="I583" s="595" t="str">
        <f ca="1">IF($C$1=RefData!$B$418,'All Statement of strategy (D)'!$E583,IF('All Statement of strategy (D)'!$C$1=RefData!$B$419,'All Statement of strategy (D)'!$F583,IF('All Statement of strategy (D)'!$C$1=RefData!$B$420,'All Statement of strategy (D)'!$G583,IF('All Statement of strategy (D)'!$C$1=RefData!$B$421,'All Statement of strategy (D)'!$H583," "))))</f>
        <v xml:space="preserve"> </v>
      </c>
    </row>
    <row r="584" spans="1:9">
      <c r="A584" s="584" t="s">
        <v>2023</v>
      </c>
      <c r="B584" s="594" t="str">
        <f ca="1">IF('Reconciliation report'!$E$105=RefData!$B$40,MID('Reconciliation report'!$E$106,1001,1000),"")</f>
        <v/>
      </c>
      <c r="E584" s="585" t="str">
        <f ca="1">IF(AND('Reconciliation report'!$E$104=RefData!$B$7,OR('Reconciliation report'!$E$105=RefData!$B$38,'Reconciliation report'!$E$105=RefData!$B$39,'Reconciliation report'!$E$105=RefData!$B$40)),'All Statement of strategy (D)'!$B584,"")</f>
        <v/>
      </c>
      <c r="F584" s="585" t="str">
        <f ca="1">IF(AND('Reconciliation report'!$E$104=RefData!$B$7,OR('Reconciliation report'!$E$105=RefData!$B$38,'Reconciliation report'!$E$105=RefData!$B$39,'Reconciliation report'!$E$105=RefData!$B$40)),'All Statement of strategy (D)'!$B584&amp;$C584,"")</f>
        <v/>
      </c>
      <c r="G584" s="585" t="str">
        <f ca="1">IF(AND('Reconciliation report'!$E$104=RefData!$B$7,OR('Reconciliation report'!$E$105=RefData!$B$38,'Reconciliation report'!$E$105=RefData!$B$39,'Reconciliation report'!$E$105=RefData!$B$40)),'All Statement of strategy (D)'!$B584,"")</f>
        <v/>
      </c>
      <c r="H584" s="585" t="str">
        <f ca="1">IF(AND('Reconciliation report'!$E$104=RefData!$B$7,OR('Reconciliation report'!$E$105=RefData!$B$38,'Reconciliation report'!$E$105=RefData!$B$39,'Reconciliation report'!$E$105=RefData!$B$40)),'All Statement of strategy (D)'!$B584,"")</f>
        <v/>
      </c>
      <c r="I584" s="595" t="str">
        <f ca="1">IF($C$1=RefData!$B$418,'All Statement of strategy (D)'!$E584,IF('All Statement of strategy (D)'!$C$1=RefData!$B$419,'All Statement of strategy (D)'!$F584,IF('All Statement of strategy (D)'!$C$1=RefData!$B$420,'All Statement of strategy (D)'!$G584,IF('All Statement of strategy (D)'!$C$1=RefData!$B$421,'All Statement of strategy (D)'!$H584," "))))</f>
        <v xml:space="preserve"> </v>
      </c>
    </row>
    <row r="585" spans="1:9">
      <c r="A585" s="584" t="s">
        <v>2023</v>
      </c>
      <c r="B585" s="594" t="str">
        <f ca="1">IF('Reconciliation report'!$E$105=RefData!$B$40,MID('Reconciliation report'!$E$106,2001,1000),"")</f>
        <v/>
      </c>
      <c r="E585" s="585" t="str">
        <f ca="1">IF(AND('Reconciliation report'!$E$104=RefData!$B$7,OR('Reconciliation report'!$E$105=RefData!$B$38,'Reconciliation report'!$E$105=RefData!$B$39,'Reconciliation report'!$E$105=RefData!$B$40)),'All Statement of strategy (D)'!$B585,"")</f>
        <v/>
      </c>
      <c r="F585" s="585" t="str">
        <f ca="1">IF(AND('Reconciliation report'!$E$104=RefData!$B$7,OR('Reconciliation report'!$E$105=RefData!$B$38,'Reconciliation report'!$E$105=RefData!$B$39,'Reconciliation report'!$E$105=RefData!$B$40)),'All Statement of strategy (D)'!$B585&amp;$C585,"")</f>
        <v/>
      </c>
      <c r="G585" s="585" t="str">
        <f ca="1">IF(AND('Reconciliation report'!$E$104=RefData!$B$7,OR('Reconciliation report'!$E$105=RefData!$B$38,'Reconciliation report'!$E$105=RefData!$B$39,'Reconciliation report'!$E$105=RefData!$B$40)),'All Statement of strategy (D)'!$B585,"")</f>
        <v/>
      </c>
      <c r="H585" s="585" t="str">
        <f ca="1">IF(AND('Reconciliation report'!$E$104=RefData!$B$7,OR('Reconciliation report'!$E$105=RefData!$B$38,'Reconciliation report'!$E$105=RefData!$B$39,'Reconciliation report'!$E$105=RefData!$B$40)),'All Statement of strategy (D)'!$B585,"")</f>
        <v/>
      </c>
      <c r="I585" s="595" t="str">
        <f ca="1">IF($C$1=RefData!$B$418,'All Statement of strategy (D)'!$E585,IF('All Statement of strategy (D)'!$C$1=RefData!$B$419,'All Statement of strategy (D)'!$F585,IF('All Statement of strategy (D)'!$C$1=RefData!$B$420,'All Statement of strategy (D)'!$G585,IF('All Statement of strategy (D)'!$C$1=RefData!$B$421,'All Statement of strategy (D)'!$H585," "))))</f>
        <v xml:space="preserve"> </v>
      </c>
    </row>
    <row r="586" spans="1:9">
      <c r="A586" s="584" t="s">
        <v>2023</v>
      </c>
      <c r="B586" s="594" t="str">
        <f ca="1">IF('Reconciliation report'!$E$105=RefData!$B$40,MID('Reconciliation report'!$E$106,3001,1000),"")</f>
        <v/>
      </c>
      <c r="E586" s="585" t="str">
        <f ca="1">IF(AND('Reconciliation report'!$E$104=RefData!$B$7,OR('Reconciliation report'!$E$105=RefData!$B$38,'Reconciliation report'!$E$105=RefData!$B$39,'Reconciliation report'!$E$105=RefData!$B$40)),'All Statement of strategy (D)'!$B586,"")</f>
        <v/>
      </c>
      <c r="F586" s="585" t="str">
        <f ca="1">IF(AND('Reconciliation report'!$E$104=RefData!$B$7,OR('Reconciliation report'!$E$105=RefData!$B$38,'Reconciliation report'!$E$105=RefData!$B$39,'Reconciliation report'!$E$105=RefData!$B$40)),'All Statement of strategy (D)'!$B586&amp;$C586,"")</f>
        <v/>
      </c>
      <c r="G586" s="585" t="str">
        <f ca="1">IF(AND('Reconciliation report'!$E$104=RefData!$B$7,OR('Reconciliation report'!$E$105=RefData!$B$38,'Reconciliation report'!$E$105=RefData!$B$39,'Reconciliation report'!$E$105=RefData!$B$40)),'All Statement of strategy (D)'!$B586,"")</f>
        <v/>
      </c>
      <c r="H586" s="585" t="str">
        <f ca="1">IF(AND('Reconciliation report'!$E$104=RefData!$B$7,OR('Reconciliation report'!$E$105=RefData!$B$38,'Reconciliation report'!$E$105=RefData!$B$39,'Reconciliation report'!$E$105=RefData!$B$40)),'All Statement of strategy (D)'!$B586,"")</f>
        <v/>
      </c>
      <c r="I586" s="595" t="str">
        <f ca="1">IF($C$1=RefData!$B$418,'All Statement of strategy (D)'!$E586,IF('All Statement of strategy (D)'!$C$1=RefData!$B$419,'All Statement of strategy (D)'!$F586,IF('All Statement of strategy (D)'!$C$1=RefData!$B$420,'All Statement of strategy (D)'!$G586,IF('All Statement of strategy (D)'!$C$1=RefData!$B$421,'All Statement of strategy (D)'!$H586," "))))</f>
        <v xml:space="preserve"> </v>
      </c>
    </row>
    <row r="587" spans="1:9">
      <c r="B587" s="594" t="s">
        <v>2024</v>
      </c>
      <c r="C587" s="585" t="str">
        <f>" applying a premium to gilt yields"</f>
        <v xml:space="preserve"> applying a premium to gilt yields</v>
      </c>
      <c r="E587" s="585" t="str">
        <f ca="1">IF(AND('Reconciliation report'!$E$104=RefData!$B$7,OR('Reconciliation report'!$E$105=RefData!$B$38,'Reconciliation report'!$E$105=RefData!$B$39,'Reconciliation report'!$E$105=RefData!$B$40)),'All Statement of strategy (D)'!$B587,"")</f>
        <v/>
      </c>
      <c r="F587" s="585" t="str">
        <f ca="1">IF(AND('Reconciliation report'!$E$104=RefData!$B$7,OR('Reconciliation report'!$E$105=RefData!$B$38,'Reconciliation report'!$E$105=RefData!$B$39,'Reconciliation report'!$E$105=RefData!$B$40)),'All Statement of strategy (D)'!$B587,"")</f>
        <v/>
      </c>
      <c r="G587" s="585" t="str">
        <f ca="1">IF(AND('Reconciliation report'!$E$104=RefData!$B$7,OR('Reconciliation report'!$E$105=RefData!$B$38,'Reconciliation report'!$E$105=RefData!$B$39,'Reconciliation report'!$E$105=RefData!$B$40)),'All Statement of strategy (D)'!$B587&amp;$C587,"")</f>
        <v/>
      </c>
      <c r="H587" s="585" t="str">
        <f ca="1">IF(AND('Reconciliation report'!$E$104=RefData!$B$7,OR('Reconciliation report'!$E$105=RefData!$B$38,'Reconciliation report'!$E$105=RefData!$B$39,'Reconciliation report'!$E$105=RefData!$B$40)),'All Statement of strategy (D)'!$B587&amp;$C587,"")</f>
        <v/>
      </c>
      <c r="I587" s="595" t="str">
        <f ca="1">IF($C$1=RefData!$B$418,'All Statement of strategy (D)'!$E587,IF('All Statement of strategy (D)'!$C$1=RefData!$B$419,'All Statement of strategy (D)'!$F587,IF('All Statement of strategy (D)'!$C$1=RefData!$B$420,'All Statement of strategy (D)'!$G587,IF('All Statement of strategy (D)'!$C$1=RefData!$B$421,'All Statement of strategy (D)'!$H587," "))))</f>
        <v xml:space="preserve"> </v>
      </c>
    </row>
    <row r="588" spans="1:9">
      <c r="A588" s="584" t="s">
        <v>2041</v>
      </c>
      <c r="B588" s="594" t="str">
        <f ca="1">IF('Reconciliation report'!$E$108=RefData!$B$45,"",LOWER('Reconciliation report'!$E$108)&amp;".")</f>
        <v>.</v>
      </c>
      <c r="E588" s="585" t="str">
        <f ca="1">IF(AND('Reconciliation report'!$E$104=RefData!$B$7,OR('Reconciliation report'!$E$105=RefData!$B$38,'Reconciliation report'!$E$105=RefData!$B$39,'Reconciliation report'!$E$105=RefData!$B$40)),'All Statement of strategy (D)'!$B588&amp;$C588,"")</f>
        <v/>
      </c>
      <c r="F588" s="585" t="str">
        <f ca="1">IF(AND('Reconciliation report'!$E$104=RefData!$B$7,OR('Reconciliation report'!$E$105=RefData!$B$38,'Reconciliation report'!$E$105=RefData!$B$39,'Reconciliation report'!$E$105=RefData!$B$40)),'All Statement of strategy (D)'!$B588&amp;$C588,"")</f>
        <v/>
      </c>
      <c r="G588" s="585" t="str">
        <f>""</f>
        <v/>
      </c>
      <c r="H588" s="585" t="str">
        <f>""</f>
        <v/>
      </c>
      <c r="I588" s="595" t="str">
        <f ca="1">IF($C$1=RefData!$B$418,'All Statement of strategy (D)'!$E588,IF('All Statement of strategy (D)'!$C$1=RefData!$B$419,'All Statement of strategy (D)'!$F588,IF('All Statement of strategy (D)'!$C$1=RefData!$B$420,'All Statement of strategy (D)'!$G588,IF('All Statement of strategy (D)'!$C$1=RefData!$B$421,'All Statement of strategy (D)'!$H588," "))))</f>
        <v xml:space="preserve"> </v>
      </c>
    </row>
    <row r="589" spans="1:9">
      <c r="A589" s="584" t="s">
        <v>2026</v>
      </c>
      <c r="B589" s="594" t="str">
        <f ca="1">IF('Reconciliation report'!$E$108=RefData!$B$45,LEFT('Reconciliation report'!$E$109,1000),"")</f>
        <v/>
      </c>
      <c r="E589" s="585" t="str">
        <f ca="1">IF(AND('Reconciliation report'!$E$104=RefData!$B$7,OR('Reconciliation report'!$E$105=RefData!$B$38,'Reconciliation report'!$E$105=RefData!$B$39,'Reconciliation report'!$E$105=RefData!$B$40)),'All Statement of strategy (D)'!$B589&amp;$C589,"")</f>
        <v/>
      </c>
      <c r="F589" s="585" t="str">
        <f ca="1">IF(AND('Reconciliation report'!$E$104=RefData!$B$7,OR('Reconciliation report'!$E$105=RefData!$B$38,'Reconciliation report'!$E$105=RefData!$B$39,'Reconciliation report'!$E$105=RefData!$B$40)),'All Statement of strategy (D)'!$B589&amp;$C589,"")</f>
        <v/>
      </c>
      <c r="G589" s="585" t="str">
        <f>""</f>
        <v/>
      </c>
      <c r="H589" s="585" t="str">
        <f>""</f>
        <v/>
      </c>
      <c r="I589" s="595" t="str">
        <f ca="1">IF($C$1=RefData!$B$418,'All Statement of strategy (D)'!$E589,IF('All Statement of strategy (D)'!$C$1=RefData!$B$419,'All Statement of strategy (D)'!$F589,IF('All Statement of strategy (D)'!$C$1=RefData!$B$420,'All Statement of strategy (D)'!$G589,IF('All Statement of strategy (D)'!$C$1=RefData!$B$421,'All Statement of strategy (D)'!$H589," "))))</f>
        <v xml:space="preserve"> </v>
      </c>
    </row>
    <row r="590" spans="1:9">
      <c r="A590" s="584" t="s">
        <v>2026</v>
      </c>
      <c r="B590" s="594" t="str">
        <f ca="1">IF('Reconciliation report'!$E$108=RefData!$B$45,MID('Reconciliation report'!$E$109,1001,1000),"")</f>
        <v/>
      </c>
      <c r="E590" s="585" t="str">
        <f ca="1">IF(AND('Reconciliation report'!$E$104=RefData!$B$7,OR('Reconciliation report'!$E$105=RefData!$B$38,'Reconciliation report'!$E$105=RefData!$B$39,'Reconciliation report'!$E$105=RefData!$B$40)),'All Statement of strategy (D)'!$B590&amp;$C590,"")</f>
        <v/>
      </c>
      <c r="F590" s="585" t="str">
        <f ca="1">IF(AND('Reconciliation report'!$E$104=RefData!$B$7,OR('Reconciliation report'!$E$105=RefData!$B$38,'Reconciliation report'!$E$105=RefData!$B$39,'Reconciliation report'!$E$105=RefData!$B$40)),'All Statement of strategy (D)'!$B590&amp;$C590,"")</f>
        <v/>
      </c>
      <c r="G590" s="585" t="str">
        <f>""</f>
        <v/>
      </c>
      <c r="H590" s="585" t="str">
        <f>""</f>
        <v/>
      </c>
      <c r="I590" s="595" t="str">
        <f ca="1">IF($C$1=RefData!$B$418,'All Statement of strategy (D)'!$E590,IF('All Statement of strategy (D)'!$C$1=RefData!$B$419,'All Statement of strategy (D)'!$F590,IF('All Statement of strategy (D)'!$C$1=RefData!$B$420,'All Statement of strategy (D)'!$G590,IF('All Statement of strategy (D)'!$C$1=RefData!$B$421,'All Statement of strategy (D)'!$H590," "))))</f>
        <v xml:space="preserve"> </v>
      </c>
    </row>
    <row r="591" spans="1:9">
      <c r="A591" s="584" t="s">
        <v>2026</v>
      </c>
      <c r="B591" s="594" t="str">
        <f ca="1">IF('Reconciliation report'!$E$108=RefData!$B$45,MID('Reconciliation report'!$E$109,2001,1000),"")</f>
        <v/>
      </c>
      <c r="E591" s="585" t="str">
        <f ca="1">IF(AND('Reconciliation report'!$E$104=RefData!$B$7,OR('Reconciliation report'!$E$105=RefData!$B$38,'Reconciliation report'!$E$105=RefData!$B$39,'Reconciliation report'!$E$105=RefData!$B$40)),'All Statement of strategy (D)'!$B591&amp;$C591,"")</f>
        <v/>
      </c>
      <c r="F591" s="585" t="str">
        <f ca="1">IF(AND('Reconciliation report'!$E$104=RefData!$B$7,OR('Reconciliation report'!$E$105=RefData!$B$38,'Reconciliation report'!$E$105=RefData!$B$39,'Reconciliation report'!$E$105=RefData!$B$40)),'All Statement of strategy (D)'!$B591&amp;$C591,"")</f>
        <v/>
      </c>
      <c r="G591" s="585" t="str">
        <f>""</f>
        <v/>
      </c>
      <c r="H591" s="585" t="str">
        <f>""</f>
        <v/>
      </c>
      <c r="I591" s="595" t="str">
        <f ca="1">IF($C$1=RefData!$B$418,'All Statement of strategy (D)'!$E591,IF('All Statement of strategy (D)'!$C$1=RefData!$B$419,'All Statement of strategy (D)'!$F591,IF('All Statement of strategy (D)'!$C$1=RefData!$B$420,'All Statement of strategy (D)'!$G591,IF('All Statement of strategy (D)'!$C$1=RefData!$B$421,'All Statement of strategy (D)'!$H591," "))))</f>
        <v xml:space="preserve"> </v>
      </c>
    </row>
    <row r="592" spans="1:9" ht="16.5" customHeight="1">
      <c r="A592" s="584" t="s">
        <v>2026</v>
      </c>
      <c r="B592" s="594" t="str">
        <f ca="1">IF('Reconciliation report'!$E$108=RefData!$B$45,MID('Reconciliation report'!$E$109,3001,1000),"")</f>
        <v/>
      </c>
      <c r="E592" s="585" t="str">
        <f ca="1">IF(AND('Reconciliation report'!$E$104=RefData!$B$7,OR('Reconciliation report'!$E$105=RefData!$B$38,'Reconciliation report'!$E$105=RefData!$B$39,'Reconciliation report'!$E$105=RefData!$B$40)),'All Statement of strategy (D)'!$B592&amp;$C592,"")</f>
        <v/>
      </c>
      <c r="F592" s="585" t="str">
        <f ca="1">IF(AND('Reconciliation report'!$E$104=RefData!$B$7,OR('Reconciliation report'!$E$105=RefData!$B$38,'Reconciliation report'!$E$105=RefData!$B$39,'Reconciliation report'!$E$105=RefData!$B$40)),'All Statement of strategy (D)'!$B592&amp;$C592,"")</f>
        <v/>
      </c>
      <c r="G592" s="585" t="str">
        <f>""</f>
        <v/>
      </c>
      <c r="H592" s="585" t="str">
        <f>""</f>
        <v/>
      </c>
      <c r="I592" s="595" t="str">
        <f ca="1">IF($C$1=RefData!$B$418,'All Statement of strategy (D)'!$E592,IF('All Statement of strategy (D)'!$C$1=RefData!$B$419,'All Statement of strategy (D)'!$F592,IF('All Statement of strategy (D)'!$C$1=RefData!$B$420,'All Statement of strategy (D)'!$G592,IF('All Statement of strategy (D)'!$C$1=RefData!$B$421,'All Statement of strategy (D)'!$H592," "))))</f>
        <v xml:space="preserve"> </v>
      </c>
    </row>
    <row r="593" spans="1:9" s="653" customFormat="1">
      <c r="A593" s="650" t="s">
        <v>2032</v>
      </c>
      <c r="B593" s="651" t="str">
        <f ca="1">IF('Reconciliation report'!$E$110=0,"","The spot rate associated with the ")</f>
        <v xml:space="preserve">The spot rate associated with the </v>
      </c>
      <c r="C593" s="583" t="str" cm="1">
        <f t="array" aca="1" ref="C593" ca="1">IF('Reconciliation report'!$E$110=0,"",
_xlfn.IFS(
OR('Reconciliation report'!$E$11=RefData!$B$9,'Reconciliation report'!$E$108=RefData!$B$41),"gilt yield curve is ",
'Reconciliation report'!$E$108=RefData!$B$42,"swap yield curve is ",
'Reconciliation report'!$E$108=RefData!$B$43,"inflation yield curve is ",
'Reconciliation report'!$E$108=RefData!$B$44,"composite yield curve is ",
'Reconciliation report'!$E$108=RefData!$B$45,"yield curve is ",
1=1,""))</f>
        <v/>
      </c>
      <c r="D593" s="583" t="str">
        <f ca="1">IF('Reconciliation report'!$E$110=0,"",TEXT('Reconciliation report'!$E$110,RefData!$B$423)&amp;".")</f>
        <v>.</v>
      </c>
      <c r="E593" s="583" t="str">
        <f ca="1">IF(AND('Reconciliation report'!$E$104=RefData!$B$7,OR('Reconciliation report'!$E$105=RefData!$B$38,'Reconciliation report'!$E$105=RefData!$B$39,'Reconciliation report'!$E$105=RefData!$B$40)),'All Statement of strategy (D)'!$B593&amp;$C593&amp;D593,"")</f>
        <v/>
      </c>
      <c r="F593" s="583" t="str">
        <f ca="1">IF(AND('Reconciliation report'!$E$104=RefData!$B$7,OR('Reconciliation report'!$E$105=RefData!$B$38,'Reconciliation report'!$E$105=RefData!$B$39,'Reconciliation report'!$E$105=RefData!$B$40)),'All Statement of strategy (D)'!$B593&amp;$C593&amp;D593,"")</f>
        <v/>
      </c>
      <c r="G593" s="583" t="str">
        <f ca="1">IF(AND('Reconciliation report'!$E$104=RefData!$B$7,OR('Reconciliation report'!$E$105=RefData!$B$38,'Reconciliation report'!$E$105=RefData!$B$39,'Reconciliation report'!$E$105=RefData!$B$40)),'All Statement of strategy (D)'!$B593&amp;$C593&amp;D593,"")</f>
        <v/>
      </c>
      <c r="H593" s="583" t="str">
        <f ca="1">IF(AND('Reconciliation report'!$E$104=RefData!$B$7,OR('Reconciliation report'!$E$105=RefData!$B$38,'Reconciliation report'!$E$105=RefData!$B$39,'Reconciliation report'!$E$105=RefData!$B$40)),'All Statement of strategy (D)'!$B593&amp;$C593&amp;D593,"")</f>
        <v/>
      </c>
      <c r="I593" s="652" t="str">
        <f ca="1">IF($C$1=RefData!$B$418,'All Statement of strategy (D)'!$E593,IF('All Statement of strategy (D)'!$C$1=RefData!$B$419,'All Statement of strategy (D)'!$F593,IF('All Statement of strategy (D)'!$C$1=RefData!$B$420,'All Statement of strategy (D)'!$G593,IF('All Statement of strategy (D)'!$C$1=RefData!$B$421,'All Statement of strategy (D)'!$H593," "))))</f>
        <v xml:space="preserve"> </v>
      </c>
    </row>
    <row r="594" spans="1:9">
      <c r="B594" s="594" t="s">
        <v>2042</v>
      </c>
      <c r="E594" s="585" t="str">
        <f ca="1">IF(AND('Reconciliation report'!$E$104=RefData!$B$7,OR('Reconciliation report'!$E$105=RefData!$B$38,'Reconciliation report'!$E$105=RefData!$B$39,'Reconciliation report'!$E$105=RefData!$B$40)),'All Statement of strategy (D)'!$B594,"")</f>
        <v/>
      </c>
      <c r="F594" s="585" t="str">
        <f ca="1">IF(AND('Reconciliation report'!$E$104=RefData!$B$7,OR('Reconciliation report'!$E$105=RefData!$B$38,'Reconciliation report'!$E$105=RefData!$B$39,'Reconciliation report'!$E$105=RefData!$B$40)),'All Statement of strategy (D)'!$B594&amp;$C594,"")</f>
        <v/>
      </c>
      <c r="G594" s="585" t="str">
        <f ca="1">IF(AND('Reconciliation report'!$E$104=RefData!$B$7,OR('Reconciliation report'!$E$105=RefData!$B$38,'Reconciliation report'!$E$105=RefData!$B$39,'Reconciliation report'!$E$105=RefData!$B$40)),'All Statement of strategy (D)'!$B594,"")</f>
        <v/>
      </c>
      <c r="H594" s="585" t="str">
        <f ca="1">IF(AND('Reconciliation report'!$E$104=RefData!$B$7,OR('Reconciliation report'!$E$105=RefData!$B$38,'Reconciliation report'!$E$105=RefData!$B$39,'Reconciliation report'!$E$105=RefData!$B$40)),'All Statement of strategy (D)'!$B594,"")</f>
        <v/>
      </c>
      <c r="I594" s="595" t="str">
        <f ca="1">IF($C$1=RefData!$B$418,'All Statement of strategy (D)'!$E594,IF('All Statement of strategy (D)'!$C$1=RefData!$B$419,'All Statement of strategy (D)'!$F594,IF('All Statement of strategy (D)'!$C$1=RefData!$B$420,'All Statement of strategy (D)'!$G594,IF('All Statement of strategy (D)'!$C$1=RefData!$B$421,'All Statement of strategy (D)'!$H594," "))))</f>
        <v xml:space="preserve"> </v>
      </c>
    </row>
    <row r="595" spans="1:9">
      <c r="A595" s="584" t="s">
        <v>2043</v>
      </c>
      <c r="B595" s="619" t="str">
        <f ca="1">TEXT('Reconciliation report'!$E$115,RefData!$B$423)</f>
        <v/>
      </c>
      <c r="C595" s="585" t="s">
        <v>2044</v>
      </c>
      <c r="E595" s="585" t="str">
        <f ca="1">IF(AND('Reconciliation report'!$E$104=RefData!$B$7,OR('Reconciliation report'!$E$105=RefData!$B$38,'Reconciliation report'!$E$105=RefData!$B$39,'Reconciliation report'!$E$105=RefData!$B$40)),'All Statement of strategy (D)'!$B595&amp;$C595,"")</f>
        <v/>
      </c>
      <c r="F595" s="585" t="str">
        <f>""</f>
        <v/>
      </c>
      <c r="G595" s="585" t="str">
        <f ca="1">IF(AND('Reconciliation report'!$E$104=RefData!$B$7,OR('Reconciliation report'!$E$105=RefData!$B$38,'Reconciliation report'!$E$105=RefData!$B$39,'Reconciliation report'!$E$105=RefData!$B$40)),'All Statement of strategy (D)'!$B595&amp;$C595,"")</f>
        <v/>
      </c>
      <c r="H595" s="585" t="str">
        <f>""</f>
        <v/>
      </c>
      <c r="I595" s="595" t="str">
        <f ca="1">IF($C$1=RefData!$B$418,'All Statement of strategy (D)'!$E595,IF('All Statement of strategy (D)'!$C$1=RefData!$B$419,'All Statement of strategy (D)'!$F595,IF('All Statement of strategy (D)'!$C$1=RefData!$B$420,'All Statement of strategy (D)'!$G595,IF('All Statement of strategy (D)'!$C$1=RefData!$B$421,'All Statement of strategy (D)'!$H595," "))))</f>
        <v xml:space="preserve"> </v>
      </c>
    </row>
    <row r="596" spans="1:9">
      <c r="A596" s="584" t="s">
        <v>2043</v>
      </c>
      <c r="B596" s="619" t="str">
        <f ca="1">TEXT('Reconciliation report'!$E$115,RefData!$B$423)</f>
        <v/>
      </c>
      <c r="C596" s="585" t="s">
        <v>2045</v>
      </c>
      <c r="E596" s="585" t="str">
        <f>""</f>
        <v/>
      </c>
      <c r="F596" s="585" t="str">
        <f ca="1">IF(AND('Reconciliation report'!$E$104=RefData!$B$7,OR('Reconciliation report'!$E$105=RefData!$B$38,'Reconciliation report'!$E$105=RefData!$B$39,'Reconciliation report'!$E$105=RefData!$B$40)),'All Statement of strategy (D)'!$B596&amp;$C596,"")</f>
        <v/>
      </c>
      <c r="G596" s="585" t="str">
        <f>""</f>
        <v/>
      </c>
      <c r="H596" s="585" t="str">
        <f ca="1">IF(AND('Reconciliation report'!$E$104=RefData!$B$7,OR('Reconciliation report'!$E$105=RefData!$B$38,'Reconciliation report'!$E$105=RefData!$B$39,'Reconciliation report'!$E$105=RefData!$B$40)),'All Statement of strategy (D)'!$B596&amp;$C596,"")</f>
        <v/>
      </c>
      <c r="I596" s="595" t="str">
        <f ca="1">IF($C$1=RefData!$B$418,'All Statement of strategy (D)'!$E596,IF('All Statement of strategy (D)'!$C$1=RefData!$B$419,'All Statement of strategy (D)'!$F596,IF('All Statement of strategy (D)'!$C$1=RefData!$B$420,'All Statement of strategy (D)'!$G596,IF('All Statement of strategy (D)'!$C$1=RefData!$B$421,'All Statement of strategy (D)'!$H596," "))))</f>
        <v xml:space="preserve"> </v>
      </c>
    </row>
    <row r="597" spans="1:9">
      <c r="A597" s="584" t="s">
        <v>2040</v>
      </c>
      <c r="B597" s="594" t="str">
        <f ca="1">TEXT('Reconciliation report'!$E$114,RefData!$B$423)</f>
        <v/>
      </c>
      <c r="C597" s="585" t="s">
        <v>2046</v>
      </c>
      <c r="E597" s="585" t="str">
        <f ca="1">IF(AND('Reconciliation report'!$E$104=RefData!$B$7,OR('Reconciliation report'!$E$105=RefData!$B$38,'Reconciliation report'!$E$105=RefData!$B$39,'Reconciliation report'!$E$105=RefData!$B$40)),'All Statement of strategy (D)'!$B597&amp;$C597,"")</f>
        <v/>
      </c>
      <c r="F597" s="585" t="str">
        <f>""</f>
        <v/>
      </c>
      <c r="G597" s="585" t="str">
        <f ca="1">IF(AND('Reconciliation report'!$E$104=RefData!$B$7,OR('Reconciliation report'!$E$105=RefData!$B$38,'Reconciliation report'!$E$105=RefData!$B$39,'Reconciliation report'!$E$105=RefData!$B$40)),'All Statement of strategy (D)'!$B597&amp;$C597,"")</f>
        <v/>
      </c>
      <c r="H597" s="585" t="str">
        <f>""</f>
        <v/>
      </c>
      <c r="I597" s="595" t="str">
        <f ca="1">IF($C$1=RefData!$B$418,'All Statement of strategy (D)'!$E597,IF('All Statement of strategy (D)'!$C$1=RefData!$B$419,'All Statement of strategy (D)'!$F597,IF('All Statement of strategy (D)'!$C$1=RefData!$B$420,'All Statement of strategy (D)'!$G597,IF('All Statement of strategy (D)'!$C$1=RefData!$B$421,'All Statement of strategy (D)'!$H597," "))))</f>
        <v xml:space="preserve"> </v>
      </c>
    </row>
    <row r="598" spans="1:9" ht="16" thickBot="1">
      <c r="A598" s="584" t="s">
        <v>2040</v>
      </c>
      <c r="B598" s="597" t="str">
        <f ca="1">TEXT('Reconciliation report'!$E$114,RefData!$B$423)</f>
        <v/>
      </c>
      <c r="C598" s="598" t="s">
        <v>2047</v>
      </c>
      <c r="D598" s="598"/>
      <c r="E598" s="598" t="str">
        <f>""</f>
        <v/>
      </c>
      <c r="F598" s="598" t="str">
        <f ca="1">IF(AND('Reconciliation report'!$E$104=RefData!$B$7,OR('Reconciliation report'!$E$105=RefData!$B$38,'Reconciliation report'!$E$105=RefData!$B$39,'Reconciliation report'!$E$105=RefData!$B$40)),'All Statement of strategy (D)'!$B598&amp;$C598,"")</f>
        <v/>
      </c>
      <c r="G598" s="598" t="str">
        <f>""</f>
        <v/>
      </c>
      <c r="H598" s="598" t="str">
        <f ca="1">IF(AND('Reconciliation report'!$E$104=RefData!$B$7,OR('Reconciliation report'!$E$105=RefData!$B$38,'Reconciliation report'!$E$105=RefData!$B$39,'Reconciliation report'!$E$105=RefData!$B$40)),'All Statement of strategy (D)'!$B598&amp;$C598,"")</f>
        <v/>
      </c>
      <c r="I598" s="599" t="str">
        <f ca="1">IF($C$1=RefData!$B$418,'All Statement of strategy (D)'!$E598,IF('All Statement of strategy (D)'!$C$1=RefData!$B$419,'All Statement of strategy (D)'!$F598,IF('All Statement of strategy (D)'!$C$1=RefData!$B$420,'All Statement of strategy (D)'!$G598,IF('All Statement of strategy (D)'!$C$1=RefData!$B$421,'All Statement of strategy (D)'!$H598," "))))</f>
        <v xml:space="preserve"> </v>
      </c>
    </row>
    <row r="599" spans="1:9">
      <c r="B599" s="590" t="s">
        <v>2048</v>
      </c>
      <c r="C599" s="591"/>
      <c r="D599" s="591"/>
      <c r="E599" s="591" t="str">
        <f ca="1">IF(AND(OR('Reconciliation report'!$E$104=RefData!$B$8,'Reconciliation report'!$E$104=""),'Reconciliation report'!$E$105=RefData!$B$35),'All Statement of strategy (D)'!$B599,"")</f>
        <v/>
      </c>
      <c r="F599" s="591" t="str">
        <f ca="1">IF(AND(OR('Reconciliation report'!$E$104=RefData!$B$8,'Reconciliation report'!$E$104=""),'Reconciliation report'!$E$105=RefData!$B$35),'All Statement of strategy (D)'!$B599,"")</f>
        <v/>
      </c>
      <c r="G599" s="591" t="str">
        <f ca="1">IF(AND(OR('Reconciliation report'!$E$104=RefData!$B$8,'Reconciliation report'!$E$104=""),'Reconciliation report'!$E$105=RefData!$B$35),'All Statement of strategy (D)'!$B599,"")</f>
        <v/>
      </c>
      <c r="H599" s="591" t="str">
        <f ca="1">IF(AND(OR('Reconciliation report'!$E$104=RefData!$B$8,'Reconciliation report'!$E$104=""),'Reconciliation report'!$E$105=RefData!$B$35),'All Statement of strategy (D)'!$B599,"")</f>
        <v/>
      </c>
      <c r="I599" s="592" t="str">
        <f ca="1">IF($C$1=RefData!$B$418,'All Statement of strategy (D)'!$E599,IF('All Statement of strategy (D)'!$C$1=RefData!$B$419,'All Statement of strategy (D)'!$F599,IF('All Statement of strategy (D)'!$C$1=RefData!$B$420,'All Statement of strategy (D)'!$G599,IF('All Statement of strategy (D)'!$C$1=RefData!$B$421,'All Statement of strategy (D)'!$H599," "))))</f>
        <v xml:space="preserve"> </v>
      </c>
    </row>
    <row r="600" spans="1:9">
      <c r="B600" s="594" t="s">
        <v>2024</v>
      </c>
      <c r="C600" s="585" t="str">
        <f>" applying a premium to gilt yields"</f>
        <v xml:space="preserve"> applying a premium to gilt yields</v>
      </c>
      <c r="E600" s="585" t="str">
        <f ca="1">IF(AND(OR('Reconciliation report'!$E$104=RefData!$B$8,'Reconciliation report'!$E$104=""),'Reconciliation report'!$E$105=RefData!$B$35),'All Statement of strategy (D)'!$B600,"")</f>
        <v/>
      </c>
      <c r="F600" s="585" t="str">
        <f ca="1">IF(AND(OR('Reconciliation report'!$E$104=RefData!$B$8,'Reconciliation report'!$E$104=""),'Reconciliation report'!$E$105=RefData!$B$35),'All Statement of strategy (D)'!$B600,"")</f>
        <v/>
      </c>
      <c r="G600" s="585" t="str">
        <f ca="1">IF(AND(OR('Reconciliation report'!$E$104=RefData!$B$8,'Reconciliation report'!$E$104=""),'Reconciliation report'!$E$105=RefData!$B$35),'All Statement of strategy (D)'!$B600&amp;$C600,"")</f>
        <v/>
      </c>
      <c r="H600" s="585" t="str">
        <f ca="1">IF(AND(OR('Reconciliation report'!$E$104=RefData!$B$8,'Reconciliation report'!$E$104=""),'Reconciliation report'!$E$105=RefData!$B$35),'All Statement of strategy (D)'!$B600&amp;$C600,"")</f>
        <v/>
      </c>
      <c r="I600" s="595" t="str">
        <f ca="1">IF($C$1=RefData!$B$418,'All Statement of strategy (D)'!$E600,IF('All Statement of strategy (D)'!$C$1=RefData!$B$419,'All Statement of strategy (D)'!$F600,IF('All Statement of strategy (D)'!$C$1=RefData!$B$420,'All Statement of strategy (D)'!$G600,IF('All Statement of strategy (D)'!$C$1=RefData!$B$421,'All Statement of strategy (D)'!$H600," "))))</f>
        <v xml:space="preserve"> </v>
      </c>
    </row>
    <row r="601" spans="1:9">
      <c r="A601" s="584" t="s">
        <v>2041</v>
      </c>
      <c r="B601" s="594" t="str">
        <f ca="1">IF('Reconciliation report'!$E$108=RefData!$B$45,"",LOWER('Reconciliation report'!$E$108)&amp;".")</f>
        <v>.</v>
      </c>
      <c r="E601" s="585" t="str">
        <f ca="1">IF(AND(OR('Reconciliation report'!$E$104=RefData!$B$8,'Reconciliation report'!$E$104=""),'Reconciliation report'!$E$105=RefData!$B$35),'All Statement of strategy (D)'!$B601,"")</f>
        <v/>
      </c>
      <c r="F601" s="585" t="str">
        <f ca="1">IF(AND(OR('Reconciliation report'!$E$104=RefData!$B$8,'Reconciliation report'!$E$104=""),'Reconciliation report'!$E$105=RefData!$B$35),'All Statement of strategy (D)'!$B601,"")</f>
        <v/>
      </c>
      <c r="G601" s="585" t="str">
        <f>""</f>
        <v/>
      </c>
      <c r="H601" s="585" t="str">
        <f>""</f>
        <v/>
      </c>
      <c r="I601" s="595" t="str">
        <f ca="1">IF($C$1=RefData!$B$418,'All Statement of strategy (D)'!$E601,IF('All Statement of strategy (D)'!$C$1=RefData!$B$419,'All Statement of strategy (D)'!$F601,IF('All Statement of strategy (D)'!$C$1=RefData!$B$420,'All Statement of strategy (D)'!$G601,IF('All Statement of strategy (D)'!$C$1=RefData!$B$421,'All Statement of strategy (D)'!$H601," "))))</f>
        <v xml:space="preserve"> </v>
      </c>
    </row>
    <row r="602" spans="1:9">
      <c r="A602" s="584" t="s">
        <v>2026</v>
      </c>
      <c r="B602" s="594" t="str">
        <f ca="1">IF('Reconciliation report'!$E$108=RefData!$B$45,LEFT('Reconciliation report'!$E$109,1000),"")</f>
        <v/>
      </c>
      <c r="E602" s="585" t="str">
        <f ca="1">IF(AND(OR('Reconciliation report'!$E$104=RefData!$B$8,'Reconciliation report'!$E$104=""),'Reconciliation report'!$E$105=RefData!$B$35),'All Statement of strategy (D)'!$B602,"")</f>
        <v/>
      </c>
      <c r="F602" s="585" t="str">
        <f ca="1">IF(AND(OR('Reconciliation report'!$E$104=RefData!$B$8,'Reconciliation report'!$E$104=""),'Reconciliation report'!$E$105=RefData!$B$35),'All Statement of strategy (D)'!$B602,"")</f>
        <v/>
      </c>
      <c r="G602" s="585" t="str">
        <f>""</f>
        <v/>
      </c>
      <c r="H602" s="585" t="str">
        <f>""</f>
        <v/>
      </c>
      <c r="I602" s="595" t="str">
        <f ca="1">IF($C$1=RefData!$B$418,'All Statement of strategy (D)'!$E602,IF('All Statement of strategy (D)'!$C$1=RefData!$B$419,'All Statement of strategy (D)'!$F602,IF('All Statement of strategy (D)'!$C$1=RefData!$B$420,'All Statement of strategy (D)'!$G602,IF('All Statement of strategy (D)'!$C$1=RefData!$B$421,'All Statement of strategy (D)'!$H602," "))))</f>
        <v xml:space="preserve"> </v>
      </c>
    </row>
    <row r="603" spans="1:9">
      <c r="A603" s="584" t="s">
        <v>2026</v>
      </c>
      <c r="B603" s="594" t="str">
        <f ca="1">IF('Reconciliation report'!$E$108=RefData!$B$45,MID('Reconciliation report'!$E$109,1001,1000),"")</f>
        <v/>
      </c>
      <c r="E603" s="585" t="str">
        <f ca="1">IF(AND(OR('Reconciliation report'!$E$104=RefData!$B$8,'Reconciliation report'!$E$104=""),'Reconciliation report'!$E$105=RefData!$B$35),'All Statement of strategy (D)'!$B603,"")</f>
        <v/>
      </c>
      <c r="F603" s="585" t="str">
        <f ca="1">IF(AND(OR('Reconciliation report'!$E$104=RefData!$B$8,'Reconciliation report'!$E$104=""),'Reconciliation report'!$E$105=RefData!$B$35),'All Statement of strategy (D)'!$B603,"")</f>
        <v/>
      </c>
      <c r="G603" s="585" t="str">
        <f>""</f>
        <v/>
      </c>
      <c r="H603" s="585" t="str">
        <f>""</f>
        <v/>
      </c>
      <c r="I603" s="595" t="str">
        <f ca="1">IF($C$1=RefData!$B$418,'All Statement of strategy (D)'!$E603,IF('All Statement of strategy (D)'!$C$1=RefData!$B$419,'All Statement of strategy (D)'!$F603,IF('All Statement of strategy (D)'!$C$1=RefData!$B$420,'All Statement of strategy (D)'!$G603,IF('All Statement of strategy (D)'!$C$1=RefData!$B$421,'All Statement of strategy (D)'!$H603," "))))</f>
        <v xml:space="preserve"> </v>
      </c>
    </row>
    <row r="604" spans="1:9">
      <c r="A604" s="584" t="s">
        <v>2026</v>
      </c>
      <c r="B604" s="594" t="str">
        <f ca="1">IF('Reconciliation report'!$E$108=RefData!$B$45,MID('Reconciliation report'!$E$109,2001,1000),"")</f>
        <v/>
      </c>
      <c r="E604" s="585" t="str">
        <f ca="1">IF(AND(OR('Reconciliation report'!$E$104=RefData!$B$8,'Reconciliation report'!$E$104=""),'Reconciliation report'!$E$105=RefData!$B$35),'All Statement of strategy (D)'!$B604,"")</f>
        <v/>
      </c>
      <c r="F604" s="585" t="str">
        <f ca="1">IF(AND(OR('Reconciliation report'!$E$104=RefData!$B$8,'Reconciliation report'!$E$104=""),'Reconciliation report'!$E$105=RefData!$B$35),'All Statement of strategy (D)'!$B604,"")</f>
        <v/>
      </c>
      <c r="G604" s="585" t="str">
        <f>""</f>
        <v/>
      </c>
      <c r="H604" s="585" t="str">
        <f>""</f>
        <v/>
      </c>
      <c r="I604" s="595" t="str">
        <f ca="1">IF($C$1=RefData!$B$418,'All Statement of strategy (D)'!$E604,IF('All Statement of strategy (D)'!$C$1=RefData!$B$419,'All Statement of strategy (D)'!$F604,IF('All Statement of strategy (D)'!$C$1=RefData!$B$420,'All Statement of strategy (D)'!$G604,IF('All Statement of strategy (D)'!$C$1=RefData!$B$421,'All Statement of strategy (D)'!$H604," "))))</f>
        <v xml:space="preserve"> </v>
      </c>
    </row>
    <row r="605" spans="1:9">
      <c r="A605" s="584" t="s">
        <v>2026</v>
      </c>
      <c r="B605" s="594" t="str">
        <f ca="1">IF('Reconciliation report'!$E$108=RefData!$B$45,MID('Reconciliation report'!$E$109,3001,1000),"")</f>
        <v/>
      </c>
      <c r="E605" s="585" t="str">
        <f ca="1">IF(AND(OR('Reconciliation report'!$E$104=RefData!$B$8,'Reconciliation report'!$E$104=""),'Reconciliation report'!$E$105=RefData!$B$35),'All Statement of strategy (D)'!$B605,"")</f>
        <v/>
      </c>
      <c r="F605" s="585" t="str">
        <f ca="1">IF(AND(OR('Reconciliation report'!$E$104=RefData!$B$8,'Reconciliation report'!$E$104=""),'Reconciliation report'!$E$105=RefData!$B$35),'All Statement of strategy (D)'!$B605,"")</f>
        <v/>
      </c>
      <c r="G605" s="585" t="str">
        <f>""</f>
        <v/>
      </c>
      <c r="H605" s="585" t="str">
        <f>""</f>
        <v/>
      </c>
      <c r="I605" s="595" t="str">
        <f ca="1">IF($C$1=RefData!$B$418,'All Statement of strategy (D)'!$E605,IF('All Statement of strategy (D)'!$C$1=RefData!$B$419,'All Statement of strategy (D)'!$F605,IF('All Statement of strategy (D)'!$C$1=RefData!$B$420,'All Statement of strategy (D)'!$G605,IF('All Statement of strategy (D)'!$C$1=RefData!$B$421,'All Statement of strategy (D)'!$H605," "))))</f>
        <v xml:space="preserve"> </v>
      </c>
    </row>
    <row r="606" spans="1:9">
      <c r="B606" s="594" t="s">
        <v>2049</v>
      </c>
      <c r="E606" s="585" t="str">
        <f ca="1">IF(AND(OR('Reconciliation report'!$E$104=RefData!$B$8,'Reconciliation report'!$E$104=""),'Reconciliation report'!$E$105=RefData!$B$35),'All Statement of strategy (D)'!$B606,"")</f>
        <v/>
      </c>
      <c r="F606" s="585" t="str">
        <f ca="1">IF(AND(OR('Reconciliation report'!$E$104=RefData!$B$8,'Reconciliation report'!$E$104=""),'Reconciliation report'!$E$105=RefData!$B$35),'All Statement of strategy (D)'!$B606,"")</f>
        <v/>
      </c>
      <c r="G606" s="585" t="str">
        <f ca="1">IF(AND(OR('Reconciliation report'!$E$104=RefData!$B$8,'Reconciliation report'!$E$104=""),'Reconciliation report'!$E$105=RefData!$B$35),'All Statement of strategy (D)'!$B606,"")</f>
        <v/>
      </c>
      <c r="H606" s="585" t="str">
        <f ca="1">IF(AND(OR('Reconciliation report'!$E$104=RefData!$B$8,'Reconciliation report'!$E$104=""),'Reconciliation report'!$E$105=RefData!$B$35),'All Statement of strategy (D)'!$B606,"")</f>
        <v/>
      </c>
      <c r="I606" s="595" t="str">
        <f ca="1">IF($C$1=RefData!$B$418,'All Statement of strategy (D)'!$E606,IF('All Statement of strategy (D)'!$C$1=RefData!$B$419,'All Statement of strategy (D)'!$F606,IF('All Statement of strategy (D)'!$C$1=RefData!$B$420,'All Statement of strategy (D)'!$G606,IF('All Statement of strategy (D)'!$C$1=RefData!$B$421,'All Statement of strategy (D)'!$H606," "))))</f>
        <v xml:space="preserve"> </v>
      </c>
    </row>
    <row r="607" spans="1:9">
      <c r="B607" s="594" t="s">
        <v>2050</v>
      </c>
      <c r="E607" s="585" t="str">
        <f ca="1">IF(AND(OR('Reconciliation report'!$E$104=RefData!$B$8,'Reconciliation report'!$E$104=""),'Reconciliation report'!$E$105=RefData!$B$35),'All Statement of strategy (D)'!$B607,"")</f>
        <v/>
      </c>
      <c r="F607" s="585" t="str">
        <f ca="1">IF(AND(OR('Reconciliation report'!$E$104=RefData!$B$8,'Reconciliation report'!$E$104=""),'Reconciliation report'!$E$105=RefData!$B$35),'All Statement of strategy (D)'!$B607,"")</f>
        <v/>
      </c>
      <c r="G607" s="585" t="str">
        <f ca="1">IF(AND(OR('Reconciliation report'!$E$104=RefData!$B$8,'Reconciliation report'!$E$104=""),'Reconciliation report'!$E$105=RefData!$B$35),'All Statement of strategy (D)'!$B607,"")</f>
        <v/>
      </c>
      <c r="H607" s="585" t="str">
        <f ca="1">IF(AND(OR('Reconciliation report'!$E$104=RefData!$B$8,'Reconciliation report'!$E$104=""),'Reconciliation report'!$E$105=RefData!$B$35),'All Statement of strategy (D)'!$B607,"")</f>
        <v/>
      </c>
      <c r="I607" s="595" t="str">
        <f ca="1">IF($C$1=RefData!$B$418,'All Statement of strategy (D)'!$E607,IF('All Statement of strategy (D)'!$C$1=RefData!$B$419,'All Statement of strategy (D)'!$F607,IF('All Statement of strategy (D)'!$C$1=RefData!$B$420,'All Statement of strategy (D)'!$G607,IF('All Statement of strategy (D)'!$C$1=RefData!$B$421,'All Statement of strategy (D)'!$H607," "))))</f>
        <v xml:space="preserve"> </v>
      </c>
    </row>
    <row r="608" spans="1:9">
      <c r="B608" s="594" t="s">
        <v>2051</v>
      </c>
      <c r="E608" s="585" t="str">
        <f ca="1">IF(AND(OR('Reconciliation report'!$E$104=RefData!$B$8,'Reconciliation report'!$E$104=""),'Reconciliation report'!$E$105=RefData!$B$35),'All Statement of strategy (D)'!$B608,"")</f>
        <v/>
      </c>
      <c r="F608" s="585" t="str">
        <f ca="1">IF(AND(OR('Reconciliation report'!$E$104=RefData!$B$8,'Reconciliation report'!$E$104=""),'Reconciliation report'!$E$105=RefData!$B$35),'All Statement of strategy (D)'!$B608,"")</f>
        <v/>
      </c>
      <c r="G608" s="585" t="str">
        <f ca="1">IF(AND(OR('Reconciliation report'!$E$104=RefData!$B$8,'Reconciliation report'!$E$104=""),'Reconciliation report'!$E$105=RefData!$B$35),'All Statement of strategy (D)'!$B608,"")</f>
        <v/>
      </c>
      <c r="H608" s="585" t="str">
        <f ca="1">IF(AND(OR('Reconciliation report'!$E$104=RefData!$B$8,'Reconciliation report'!$E$104=""),'Reconciliation report'!$E$105=RefData!$B$35),'All Statement of strategy (D)'!$B608,"")</f>
        <v/>
      </c>
      <c r="I608" s="595" t="str">
        <f ca="1">IF($C$1=RefData!$B$418,'All Statement of strategy (D)'!$E608,IF('All Statement of strategy (D)'!$C$1=RefData!$B$419,'All Statement of strategy (D)'!$F608,IF('All Statement of strategy (D)'!$C$1=RefData!$B$420,'All Statement of strategy (D)'!$G608,IF('All Statement of strategy (D)'!$C$1=RefData!$B$421,'All Statement of strategy (D)'!$H608," "))))</f>
        <v xml:space="preserve"> </v>
      </c>
    </row>
    <row r="609" spans="1:9">
      <c r="B609" s="594" t="s">
        <v>2052</v>
      </c>
      <c r="E609" s="585" t="str">
        <f ca="1">IF(AND(OR('Reconciliation report'!$E$104=RefData!$B$8,'Reconciliation report'!$E$104=""),'Reconciliation report'!$E$105=RefData!$B$35),'All Statement of strategy (D)'!$B609,"")</f>
        <v/>
      </c>
      <c r="F609" s="585" t="str">
        <f>""</f>
        <v/>
      </c>
      <c r="G609" s="585" t="str">
        <f ca="1">IF(AND(OR('Reconciliation report'!$E$104=RefData!$B$8,'Reconciliation report'!$E$104=""),'Reconciliation report'!$E$105=RefData!$B$35),'All Statement of strategy (D)'!$B609,"")</f>
        <v/>
      </c>
      <c r="H609" s="585" t="str">
        <f>""</f>
        <v/>
      </c>
      <c r="I609" s="595" t="str">
        <f ca="1">IF($C$1=RefData!$B$418,'All Statement of strategy (D)'!$E609,IF('All Statement of strategy (D)'!$C$1=RefData!$B$419,'All Statement of strategy (D)'!$F609,IF('All Statement of strategy (D)'!$C$1=RefData!$B$420,'All Statement of strategy (D)'!$G609,IF('All Statement of strategy (D)'!$C$1=RefData!$B$421,'All Statement of strategy (D)'!$H609," "))))</f>
        <v xml:space="preserve"> </v>
      </c>
    </row>
    <row r="610" spans="1:9">
      <c r="B610" s="594" t="s">
        <v>2053</v>
      </c>
      <c r="E610" s="585" t="str">
        <f>""</f>
        <v/>
      </c>
      <c r="F610" s="585" t="str">
        <f ca="1">IF(AND(OR('Reconciliation report'!$E$104=RefData!$B$8,'Reconciliation report'!$E$104=""),'Reconciliation report'!$E$105=RefData!$B$35),'All Statement of strategy (D)'!$B610,"")</f>
        <v/>
      </c>
      <c r="G610" s="585" t="str">
        <f>""</f>
        <v/>
      </c>
      <c r="H610" s="585" t="str">
        <f ca="1">IF(AND(OR('Reconciliation report'!$E$104=RefData!$B$8,'Reconciliation report'!$E$104=""),'Reconciliation report'!$E$105=RefData!$B$35),'All Statement of strategy (D)'!$B610,"")</f>
        <v/>
      </c>
      <c r="I610" s="595" t="str">
        <f ca="1">IF($C$1=RefData!$B$418,'All Statement of strategy (D)'!$E610,IF('All Statement of strategy (D)'!$C$1=RefData!$B$419,'All Statement of strategy (D)'!$F610,IF('All Statement of strategy (D)'!$C$1=RefData!$B$420,'All Statement of strategy (D)'!$G610,IF('All Statement of strategy (D)'!$C$1=RefData!$B$421,'All Statement of strategy (D)'!$H610," "))))</f>
        <v xml:space="preserve"> </v>
      </c>
    </row>
    <row r="611" spans="1:9">
      <c r="B611" s="594" t="s">
        <v>2034</v>
      </c>
      <c r="E611" s="585" t="str">
        <f ca="1">IF(AND(OR('Reconciliation report'!$E$104=RefData!$B$8,'Reconciliation report'!$E$104=""),'Reconciliation report'!$E$105=RefData!$B$35),'All Statement of strategy (D)'!$B611,"")</f>
        <v/>
      </c>
      <c r="F611" s="585" t="str">
        <f ca="1">IF(AND(OR('Reconciliation report'!$E$104=RefData!$B$8,'Reconciliation report'!$E$104=""),'Reconciliation report'!$E$105=RefData!$B$35),'All Statement of strategy (D)'!$B611,"")</f>
        <v/>
      </c>
      <c r="G611" s="585" t="str">
        <f ca="1">IF(AND(OR('Reconciliation report'!$E$104=RefData!$B$8,'Reconciliation report'!$E$104=""),'Reconciliation report'!$E$105=RefData!$B$35),'All Statement of strategy (D)'!$B611,"")</f>
        <v/>
      </c>
      <c r="H611" s="585" t="str">
        <f ca="1">IF(AND(OR('Reconciliation report'!$E$104=RefData!$B$8,'Reconciliation report'!$E$104=""),'Reconciliation report'!$E$105=RefData!$B$35),'All Statement of strategy (D)'!$B611,"")</f>
        <v/>
      </c>
      <c r="I611" s="595" t="str">
        <f ca="1">IF($C$1=RefData!$B$418,'All Statement of strategy (D)'!$E611,IF('All Statement of strategy (D)'!$C$1=RefData!$B$419,'All Statement of strategy (D)'!$F611,IF('All Statement of strategy (D)'!$C$1=RefData!$B$420,'All Statement of strategy (D)'!$G611,IF('All Statement of strategy (D)'!$C$1=RefData!$B$421,'All Statement of strategy (D)'!$H611," "))))</f>
        <v xml:space="preserve"> </v>
      </c>
    </row>
    <row r="612" spans="1:9">
      <c r="B612" s="594" t="s">
        <v>1600</v>
      </c>
      <c r="E612" s="585" t="str">
        <f ca="1">IF(AND(OR('Reconciliation report'!$E$104=RefData!$B$8,'Reconciliation report'!$E$104=""),'Reconciliation report'!$E$105=RefData!$B$35),'All Statement of strategy (D)'!$B612,"")</f>
        <v/>
      </c>
      <c r="F612" s="585" t="str">
        <f ca="1">IF(AND(OR('Reconciliation report'!$E$104=RefData!$B$8,'Reconciliation report'!$E$104=""),'Reconciliation report'!$E$105=RefData!$B$35),'All Statement of strategy (D)'!$B612,"")</f>
        <v/>
      </c>
      <c r="G612" s="585" t="str">
        <f ca="1">IF(AND(OR('Reconciliation report'!$E$104=RefData!$B$8,'Reconciliation report'!$E$104=""),'Reconciliation report'!$E$105=RefData!$B$35),'All Statement of strategy (D)'!$B612,"")</f>
        <v/>
      </c>
      <c r="H612" s="585" t="str">
        <f ca="1">IF(AND(OR('Reconciliation report'!$E$104=RefData!$B$8,'Reconciliation report'!$E$104=""),'Reconciliation report'!$E$105=RefData!$B$35),'All Statement of strategy (D)'!$B612,"")</f>
        <v/>
      </c>
      <c r="I612" s="595" t="str">
        <f ca="1">IF($C$1=RefData!$B$418,'All Statement of strategy (D)'!$E612,IF('All Statement of strategy (D)'!$C$1=RefData!$B$419,'All Statement of strategy (D)'!$F612,IF('All Statement of strategy (D)'!$C$1=RefData!$B$420,'All Statement of strategy (D)'!$G612,IF('All Statement of strategy (D)'!$C$1=RefData!$B$421,'All Statement of strategy (D)'!$H612," "))))</f>
        <v xml:space="preserve"> </v>
      </c>
    </row>
    <row r="613" spans="1:9">
      <c r="B613" s="594" t="s">
        <v>1601</v>
      </c>
      <c r="E613" s="585" t="str">
        <f ca="1">IF(AND(OR('Reconciliation report'!$E$104=RefData!$B$8,'Reconciliation report'!$E$104=""),'Reconciliation report'!$E$105=RefData!$B$35,'Reconciliation report'!$E$114&lt;&gt;""),'All Statement of strategy (D)'!$B613,"")</f>
        <v/>
      </c>
      <c r="F613" s="585" t="str">
        <f ca="1">IF(AND(OR('Reconciliation report'!$E$104=RefData!$B$8,'Reconciliation report'!$E$104=""),'Reconciliation report'!$E$105=RefData!$B$35,'Reconciliation report'!$E$114&lt;&gt;""),'All Statement of strategy (D)'!$B613,"")</f>
        <v/>
      </c>
      <c r="G613" s="585" t="str">
        <f ca="1">IF(AND(OR('Reconciliation report'!$E$104=RefData!$B$8,'Reconciliation report'!$E$104=""),'Reconciliation report'!$E$105=RefData!$B$35,'Reconciliation report'!$E$114&lt;&gt;""),'All Statement of strategy (D)'!$B613,"")</f>
        <v/>
      </c>
      <c r="H613" s="585" t="str">
        <f ca="1">IF(AND(OR('Reconciliation report'!$E$104=RefData!$B$8,'Reconciliation report'!$E$104=""),'Reconciliation report'!$E$105=RefData!$B$35,'Reconciliation report'!$E$114&lt;&gt;""),'All Statement of strategy (D)'!$B613,"")</f>
        <v/>
      </c>
      <c r="I613" s="595" t="str">
        <f ca="1">IF($C$1=RefData!$B$418,'All Statement of strategy (D)'!$E613,IF('All Statement of strategy (D)'!$C$1=RefData!$B$419,'All Statement of strategy (D)'!$F613,IF('All Statement of strategy (D)'!$C$1=RefData!$B$420,'All Statement of strategy (D)'!$G613,IF('All Statement of strategy (D)'!$C$1=RefData!$B$421,'All Statement of strategy (D)'!$H613," "))))</f>
        <v xml:space="preserve"> </v>
      </c>
    </row>
    <row r="614" spans="1:9">
      <c r="B614" s="594" t="s">
        <v>2054</v>
      </c>
      <c r="E614" s="585" t="str">
        <f ca="1">IF(AND(OR('Reconciliation report'!$E$104=RefData!$B$8,'Reconciliation report'!$E$104=""),'Reconciliation report'!$E$105=RefData!$B$35),'All Statement of strategy (D)'!$B614,"")</f>
        <v/>
      </c>
      <c r="F614" s="585" t="str">
        <f ca="1">IF(AND(OR('Reconciliation report'!$E$104=RefData!$B$8,'Reconciliation report'!$E$104=""),'Reconciliation report'!$E$105=RefData!$B$35),'All Statement of strategy (D)'!$B614,"")</f>
        <v/>
      </c>
      <c r="G614" s="585" t="str">
        <f ca="1">IF(AND(OR('Reconciliation report'!$E$104=RefData!$B$8,'Reconciliation report'!$E$104=""),'Reconciliation report'!$E$105=RefData!$B$35),'All Statement of strategy (D)'!$B614,"")</f>
        <v/>
      </c>
      <c r="H614" s="585" t="str">
        <f ca="1">IF(AND(OR('Reconciliation report'!$E$104=RefData!$B$8,'Reconciliation report'!$E$104=""),'Reconciliation report'!$E$105=RefData!$B$35),'All Statement of strategy (D)'!$B614,"")</f>
        <v/>
      </c>
      <c r="I614" s="595" t="str">
        <f ca="1">IF($C$1=RefData!$B$418,'All Statement of strategy (D)'!$E614,IF('All Statement of strategy (D)'!$C$1=RefData!$B$419,'All Statement of strategy (D)'!$F614,IF('All Statement of strategy (D)'!$C$1=RefData!$B$420,'All Statement of strategy (D)'!$G614,IF('All Statement of strategy (D)'!$C$1=RefData!$B$421,'All Statement of strategy (D)'!$H614," "))))</f>
        <v xml:space="preserve"> </v>
      </c>
    </row>
    <row r="615" spans="1:9">
      <c r="B615" s="594" t="s">
        <v>2055</v>
      </c>
      <c r="E615" s="585" t="str">
        <f ca="1">IF(AND(OR('Reconciliation report'!$E$104=RefData!$B$8,'Reconciliation report'!$E$104=""),'Reconciliation report'!$E$105=RefData!$B$35),'All Statement of strategy (D)'!$B615,"")</f>
        <v/>
      </c>
      <c r="F615" s="585" t="str">
        <f ca="1">IF(AND(OR('Reconciliation report'!$E$104=RefData!$B$8,'Reconciliation report'!$E$104=""),'Reconciliation report'!$E$105=RefData!$B$35),'All Statement of strategy (D)'!$B615,"")</f>
        <v/>
      </c>
      <c r="G615" s="585" t="str">
        <f ca="1">IF(AND(OR('Reconciliation report'!$E$104=RefData!$B$8,'Reconciliation report'!$E$104=""),'Reconciliation report'!$E$105=RefData!$B$35),'All Statement of strategy (D)'!$B615,"")</f>
        <v/>
      </c>
      <c r="H615" s="585" t="str">
        <f ca="1">IF(AND(OR('Reconciliation report'!$E$104=RefData!$B$8,'Reconciliation report'!$E$104=""),'Reconciliation report'!$E$105=RefData!$B$35),'All Statement of strategy (D)'!$B615,"")</f>
        <v/>
      </c>
      <c r="I615" s="595" t="str">
        <f ca="1">IF($C$1=RefData!$B$418,'All Statement of strategy (D)'!$E615,IF('All Statement of strategy (D)'!$C$1=RefData!$B$419,'All Statement of strategy (D)'!$F615,IF('All Statement of strategy (D)'!$C$1=RefData!$B$420,'All Statement of strategy (D)'!$G615,IF('All Statement of strategy (D)'!$C$1=RefData!$B$421,'All Statement of strategy (D)'!$H615," "))))</f>
        <v xml:space="preserve"> </v>
      </c>
    </row>
    <row r="616" spans="1:9">
      <c r="B616" s="594" t="s">
        <v>2056</v>
      </c>
      <c r="E616" s="585" t="str">
        <f ca="1">IF(AND(OR('Reconciliation report'!$E$104=RefData!$B$8,'Reconciliation report'!$E$104=""),'Reconciliation report'!$E$105=RefData!$B$35),'All Statement of strategy (D)'!$B616,"")</f>
        <v/>
      </c>
      <c r="F616" s="585" t="str">
        <f ca="1">IF(AND(OR('Reconciliation report'!$E$104=RefData!$B$8,'Reconciliation report'!$E$104=""),'Reconciliation report'!$E$105=RefData!$B$35),'All Statement of strategy (D)'!$B616,"")</f>
        <v/>
      </c>
      <c r="G616" s="585" t="str">
        <f ca="1">IF(AND(OR('Reconciliation report'!$E$104=RefData!$B$8,'Reconciliation report'!$E$104=""),'Reconciliation report'!$E$105=RefData!$B$35),'All Statement of strategy (D)'!$B616,"")</f>
        <v/>
      </c>
      <c r="H616" s="585" t="str">
        <f ca="1">IF(AND(OR('Reconciliation report'!$E$104=RefData!$B$8,'Reconciliation report'!$E$104=""),'Reconciliation report'!$E$105=RefData!$B$35),'All Statement of strategy (D)'!$B616,"")</f>
        <v/>
      </c>
      <c r="I616" s="595" t="str">
        <f ca="1">IF($C$1=RefData!$B$418,'All Statement of strategy (D)'!$E616,IF('All Statement of strategy (D)'!$C$1=RefData!$B$419,'All Statement of strategy (D)'!$F616,IF('All Statement of strategy (D)'!$C$1=RefData!$B$420,'All Statement of strategy (D)'!$G616,IF('All Statement of strategy (D)'!$C$1=RefData!$B$421,'All Statement of strategy (D)'!$H616," "))))</f>
        <v xml:space="preserve"> </v>
      </c>
    </row>
    <row r="617" spans="1:9">
      <c r="A617" s="584" t="s">
        <v>2057</v>
      </c>
      <c r="B617" s="619" t="str">
        <f ca="1">TEXT('Reconciliation report'!$E$116,RefData!$B$423)</f>
        <v/>
      </c>
      <c r="E617" s="585" t="str">
        <f ca="1">IF(AND(OR('Reconciliation report'!$E$104=RefData!$B$8,'Reconciliation report'!$E$104=""),'Reconciliation report'!$E$105=RefData!$B$35),'All Statement of strategy (D)'!$B617,"")</f>
        <v/>
      </c>
      <c r="F617" s="585" t="str">
        <f ca="1">IF(AND(OR('Reconciliation report'!$E$104=RefData!$B$8,'Reconciliation report'!$E$104=""),'Reconciliation report'!$E$105=RefData!$B$35),'All Statement of strategy (D)'!$B617,"")</f>
        <v/>
      </c>
      <c r="G617" s="585" t="str">
        <f ca="1">IF(AND(OR('Reconciliation report'!$E$104=RefData!$B$8,'Reconciliation report'!$E$104=""),'Reconciliation report'!$E$105=RefData!$B$35),'All Statement of strategy (D)'!$B617,"")</f>
        <v/>
      </c>
      <c r="H617" s="585" t="str">
        <f ca="1">IF(AND(OR('Reconciliation report'!$E$104=RefData!$B$8,'Reconciliation report'!$E$104=""),'Reconciliation report'!$E$105=RefData!$B$35),'All Statement of strategy (D)'!$B617,"")</f>
        <v/>
      </c>
      <c r="I617" s="595" t="str">
        <f ca="1">IF($C$1=RefData!$B$418,'All Statement of strategy (D)'!$E617,IF('All Statement of strategy (D)'!$C$1=RefData!$B$419,'All Statement of strategy (D)'!$F617,IF('All Statement of strategy (D)'!$C$1=RefData!$B$420,'All Statement of strategy (D)'!$G617,IF('All Statement of strategy (D)'!$C$1=RefData!$B$421,'All Statement of strategy (D)'!$H617," "))))</f>
        <v xml:space="preserve"> </v>
      </c>
    </row>
    <row r="618" spans="1:9">
      <c r="A618" s="584" t="s">
        <v>2058</v>
      </c>
      <c r="B618" s="619" t="str">
        <f ca="1">TEXT('Reconciliation report'!$E$117,RefData!$B$423)</f>
        <v/>
      </c>
      <c r="E618" s="585" t="str">
        <f ca="1">IF(AND(OR('Reconciliation report'!$E$104=RefData!$B$8,'Reconciliation report'!$E$104=""),'Reconciliation report'!$E$105=RefData!$B$35),'All Statement of strategy (D)'!$B618,"")</f>
        <v/>
      </c>
      <c r="F618" s="585" t="str">
        <f ca="1">IF(AND(OR('Reconciliation report'!$E$104=RefData!$B$8,'Reconciliation report'!$E$104=""),'Reconciliation report'!$E$105=RefData!$B$35),'All Statement of strategy (D)'!$B618,"")</f>
        <v/>
      </c>
      <c r="G618" s="585" t="str">
        <f ca="1">IF(AND(OR('Reconciliation report'!$E$104=RefData!$B$8,'Reconciliation report'!$E$104=""),'Reconciliation report'!$E$105=RefData!$B$35),'All Statement of strategy (D)'!$B618,"")</f>
        <v/>
      </c>
      <c r="H618" s="585" t="str">
        <f ca="1">IF(AND(OR('Reconciliation report'!$E$104=RefData!$B$8,'Reconciliation report'!$E$104=""),'Reconciliation report'!$E$105=RefData!$B$35),'All Statement of strategy (D)'!$B618,"")</f>
        <v/>
      </c>
      <c r="I618" s="595" t="str">
        <f ca="1">IF($C$1=RefData!$B$418,'All Statement of strategy (D)'!$E618,IF('All Statement of strategy (D)'!$C$1=RefData!$B$419,'All Statement of strategy (D)'!$F618,IF('All Statement of strategy (D)'!$C$1=RefData!$B$420,'All Statement of strategy (D)'!$G618,IF('All Statement of strategy (D)'!$C$1=RefData!$B$421,'All Statement of strategy (D)'!$H618," "))))</f>
        <v xml:space="preserve"> </v>
      </c>
    </row>
    <row r="619" spans="1:9">
      <c r="A619" s="584" t="s">
        <v>2059</v>
      </c>
      <c r="B619" s="619" t="str">
        <f ca="1">TEXT('Reconciliation report'!$E$118,RefData!$B$423)</f>
        <v/>
      </c>
      <c r="E619" s="585" t="str">
        <f ca="1">IF(AND(OR('Reconciliation report'!$E$104=RefData!$B$8,'Reconciliation report'!$E$104=""),'Reconciliation report'!$E$105=RefData!$B$35),'All Statement of strategy (D)'!$B619,"")</f>
        <v/>
      </c>
      <c r="F619" s="585" t="str">
        <f ca="1">IF(AND(OR('Reconciliation report'!$E$104=RefData!$B$8,'Reconciliation report'!$E$104=""),'Reconciliation report'!$E$105=RefData!$B$35),'All Statement of strategy (D)'!$B619,"")</f>
        <v/>
      </c>
      <c r="G619" s="585" t="str">
        <f ca="1">IF(AND(OR('Reconciliation report'!$E$104=RefData!$B$8,'Reconciliation report'!$E$104=""),'Reconciliation report'!$E$105=RefData!$B$35),'All Statement of strategy (D)'!$B619,"")</f>
        <v/>
      </c>
      <c r="H619" s="585" t="str">
        <f ca="1">IF(AND(OR('Reconciliation report'!$E$104=RefData!$B$8,'Reconciliation report'!$E$104=""),'Reconciliation report'!$E$105=RefData!$B$35),'All Statement of strategy (D)'!$B619,"")</f>
        <v/>
      </c>
      <c r="I619" s="595" t="str">
        <f ca="1">IF($C$1=RefData!$B$418,'All Statement of strategy (D)'!$E619,IF('All Statement of strategy (D)'!$C$1=RefData!$B$419,'All Statement of strategy (D)'!$F619,IF('All Statement of strategy (D)'!$C$1=RefData!$B$420,'All Statement of strategy (D)'!$G619,IF('All Statement of strategy (D)'!$C$1=RefData!$B$421,'All Statement of strategy (D)'!$H619," "))))</f>
        <v xml:space="preserve"> </v>
      </c>
    </row>
    <row r="620" spans="1:9" ht="16" thickBot="1">
      <c r="A620" s="584" t="s">
        <v>2040</v>
      </c>
      <c r="B620" s="620" t="str">
        <f ca="1">TEXT('Reconciliation report'!$E$114,RefData!$B$423)</f>
        <v/>
      </c>
      <c r="C620" s="598"/>
      <c r="D620" s="598"/>
      <c r="E620" s="585" t="str">
        <f ca="1">IF(AND(OR('Reconciliation report'!$E$104=RefData!$B$8,'Reconciliation report'!$E$104=""),'Reconciliation report'!$E$105=RefData!$B$35),'All Statement of strategy (D)'!$B620,"")</f>
        <v/>
      </c>
      <c r="F620" s="585" t="str">
        <f ca="1">IF(AND(OR('Reconciliation report'!$E$104=RefData!$B$8,'Reconciliation report'!$E$104=""),'Reconciliation report'!$E$105=RefData!$B$35),'All Statement of strategy (D)'!$B620,"")</f>
        <v/>
      </c>
      <c r="G620" s="585" t="str">
        <f ca="1">IF(AND(OR('Reconciliation report'!$E$104=RefData!$B$8,'Reconciliation report'!$E$104=""),'Reconciliation report'!$E$105=RefData!$B$35),'All Statement of strategy (D)'!$B620,"")</f>
        <v/>
      </c>
      <c r="H620" s="585" t="str">
        <f ca="1">IF(AND(OR('Reconciliation report'!$E$104=RefData!$B$8,'Reconciliation report'!$E$104=""),'Reconciliation report'!$E$105=RefData!$B$35),'All Statement of strategy (D)'!$B620,"")</f>
        <v/>
      </c>
      <c r="I620" s="599" t="str">
        <f ca="1">IF($C$1=RefData!$B$418,'All Statement of strategy (D)'!$E620,IF('All Statement of strategy (D)'!$C$1=RefData!$B$419,'All Statement of strategy (D)'!$F620,IF('All Statement of strategy (D)'!$C$1=RefData!$B$420,'All Statement of strategy (D)'!$G620,IF('All Statement of strategy (D)'!$C$1=RefData!$B$421,'All Statement of strategy (D)'!$H620," "))))</f>
        <v xml:space="preserve"> </v>
      </c>
    </row>
    <row r="621" spans="1:9">
      <c r="B621" s="590" t="s">
        <v>2048</v>
      </c>
      <c r="C621" s="591"/>
      <c r="D621" s="591"/>
      <c r="E621" s="591" t="str">
        <f ca="1">IF(AND('Reconciliation report'!$E$104=RefData!$B$7,'Reconciliation report'!$E$105=RefData!$B$35),'All Statement of strategy (D)'!$B621,"")</f>
        <v/>
      </c>
      <c r="F621" s="591" t="str">
        <f ca="1">IF(AND('Reconciliation report'!$E$104=RefData!$B$7,'Reconciliation report'!$E$105=RefData!$B$35),'All Statement of strategy (D)'!$B621,"")</f>
        <v/>
      </c>
      <c r="G621" s="591" t="str">
        <f ca="1">IF(AND('Reconciliation report'!$E$104=RefData!$B$7,'Reconciliation report'!$E$105=RefData!$B$35),'All Statement of strategy (D)'!$B621,"")</f>
        <v/>
      </c>
      <c r="H621" s="591" t="str">
        <f ca="1">IF(AND('Reconciliation report'!$E$104=RefData!$B$7,'Reconciliation report'!$E$105=RefData!$B$35),'All Statement of strategy (D)'!$B621,"")</f>
        <v/>
      </c>
      <c r="I621" s="592" t="str">
        <f ca="1">IF($C$1=RefData!$B$418,'All Statement of strategy (D)'!$E621,IF('All Statement of strategy (D)'!$C$1=RefData!$B$419,'All Statement of strategy (D)'!$F621,IF('All Statement of strategy (D)'!$C$1=RefData!$B$420,'All Statement of strategy (D)'!$G621,IF('All Statement of strategy (D)'!$C$1=RefData!$B$421,'All Statement of strategy (D)'!$H621," "))))</f>
        <v xml:space="preserve"> </v>
      </c>
    </row>
    <row r="622" spans="1:9">
      <c r="B622" s="594" t="s">
        <v>2024</v>
      </c>
      <c r="C622" s="585" t="str">
        <f>" applying a premium to gilt yields"</f>
        <v xml:space="preserve"> applying a premium to gilt yields</v>
      </c>
      <c r="E622" s="585" t="str">
        <f ca="1">IF(AND('Reconciliation report'!$E$104=RefData!$B$7,'Reconciliation report'!$E$105=RefData!$B$35),'All Statement of strategy (D)'!$B622,"")</f>
        <v/>
      </c>
      <c r="F622" s="585" t="str">
        <f ca="1">IF(AND('Reconciliation report'!$E$104=RefData!$B$7,'Reconciliation report'!$E$105=RefData!$B$35),'All Statement of strategy (D)'!$B622,"")</f>
        <v/>
      </c>
      <c r="G622" s="585" t="str">
        <f ca="1">IF(AND('Reconciliation report'!$E$104=RefData!$B$7,'Reconciliation report'!$E$105=RefData!$B$35),'All Statement of strategy (D)'!$B622&amp;$C622,"")</f>
        <v/>
      </c>
      <c r="H622" s="585" t="str">
        <f ca="1">IF(AND('Reconciliation report'!$E$104=RefData!$B$7,'Reconciliation report'!$E$105=RefData!$B$35),'All Statement of strategy (D)'!$B622&amp;$C622,"")</f>
        <v/>
      </c>
      <c r="I622" s="595" t="str">
        <f ca="1">IF($C$1=RefData!$B$418,'All Statement of strategy (D)'!$E622,IF('All Statement of strategy (D)'!$C$1=RefData!$B$419,'All Statement of strategy (D)'!$F622,IF('All Statement of strategy (D)'!$C$1=RefData!$B$420,'All Statement of strategy (D)'!$G622,IF('All Statement of strategy (D)'!$C$1=RefData!$B$421,'All Statement of strategy (D)'!$H622," "))))</f>
        <v xml:space="preserve"> </v>
      </c>
    </row>
    <row r="623" spans="1:9">
      <c r="A623" s="584" t="s">
        <v>2041</v>
      </c>
      <c r="B623" s="594" t="str">
        <f ca="1">IF('Reconciliation report'!$E$108=RefData!$B$45,"",LOWER('Reconciliation report'!$E$108)&amp;".")</f>
        <v>.</v>
      </c>
      <c r="E623" s="585" t="str">
        <f ca="1">IF(AND('Reconciliation report'!$E$104=RefData!$B$7,'Reconciliation report'!$E$105=RefData!$B$35),'All Statement of strategy (D)'!$B623,"")</f>
        <v/>
      </c>
      <c r="F623" s="585" t="str">
        <f ca="1">IF(AND('Reconciliation report'!$E$104=RefData!$B$7,'Reconciliation report'!$E$105=RefData!$B$35),'All Statement of strategy (D)'!$B623,"")</f>
        <v/>
      </c>
      <c r="G623" s="585" t="str">
        <f>""</f>
        <v/>
      </c>
      <c r="H623" s="585" t="str">
        <f>""</f>
        <v/>
      </c>
      <c r="I623" s="595" t="str">
        <f ca="1">IF($C$1=RefData!$B$418,'All Statement of strategy (D)'!$E623,IF('All Statement of strategy (D)'!$C$1=RefData!$B$419,'All Statement of strategy (D)'!$F623,IF('All Statement of strategy (D)'!$C$1=RefData!$B$420,'All Statement of strategy (D)'!$G623,IF('All Statement of strategy (D)'!$C$1=RefData!$B$421,'All Statement of strategy (D)'!$H623," "))))</f>
        <v xml:space="preserve"> </v>
      </c>
    </row>
    <row r="624" spans="1:9">
      <c r="A624" s="584" t="s">
        <v>2026</v>
      </c>
      <c r="B624" s="594" t="str">
        <f ca="1">IF('Reconciliation report'!$E$108=RefData!$B$45,LEFT('Reconciliation report'!$E$109,1000),"")</f>
        <v/>
      </c>
      <c r="E624" s="585" t="str">
        <f ca="1">IF(AND('Reconciliation report'!$E$104=RefData!$B$7,'Reconciliation report'!$E$105=RefData!$B$35),'All Statement of strategy (D)'!$B624,"")</f>
        <v/>
      </c>
      <c r="F624" s="585" t="str">
        <f ca="1">IF(AND('Reconciliation report'!$E$104=RefData!$B$7,'Reconciliation report'!$E$105=RefData!$B$35),'All Statement of strategy (D)'!$B624,"")</f>
        <v/>
      </c>
      <c r="G624" s="585" t="str">
        <f>""</f>
        <v/>
      </c>
      <c r="H624" s="585" t="str">
        <f>""</f>
        <v/>
      </c>
      <c r="I624" s="595" t="str">
        <f ca="1">IF($C$1=RefData!$B$418,'All Statement of strategy (D)'!$E624,IF('All Statement of strategy (D)'!$C$1=RefData!$B$419,'All Statement of strategy (D)'!$F624,IF('All Statement of strategy (D)'!$C$1=RefData!$B$420,'All Statement of strategy (D)'!$G624,IF('All Statement of strategy (D)'!$C$1=RefData!$B$421,'All Statement of strategy (D)'!$H624," "))))</f>
        <v xml:space="preserve"> </v>
      </c>
    </row>
    <row r="625" spans="1:9">
      <c r="A625" s="584" t="s">
        <v>2026</v>
      </c>
      <c r="B625" s="594" t="str">
        <f ca="1">IF('Reconciliation report'!$E$108=RefData!$B$45,MID('Reconciliation report'!$E$109,1001,1000),"")</f>
        <v/>
      </c>
      <c r="E625" s="585" t="str">
        <f ca="1">IF(AND('Reconciliation report'!$E$104=RefData!$B$7,'Reconciliation report'!$E$105=RefData!$B$35),'All Statement of strategy (D)'!$B625,"")</f>
        <v/>
      </c>
      <c r="F625" s="585" t="str">
        <f ca="1">IF(AND('Reconciliation report'!$E$104=RefData!$B$7,'Reconciliation report'!$E$105=RefData!$B$35),'All Statement of strategy (D)'!$B625,"")</f>
        <v/>
      </c>
      <c r="G625" s="585" t="str">
        <f>""</f>
        <v/>
      </c>
      <c r="H625" s="585" t="str">
        <f>""</f>
        <v/>
      </c>
      <c r="I625" s="595" t="str">
        <f ca="1">IF($C$1=RefData!$B$418,'All Statement of strategy (D)'!$E625,IF('All Statement of strategy (D)'!$C$1=RefData!$B$419,'All Statement of strategy (D)'!$F625,IF('All Statement of strategy (D)'!$C$1=RefData!$B$420,'All Statement of strategy (D)'!$G625,IF('All Statement of strategy (D)'!$C$1=RefData!$B$421,'All Statement of strategy (D)'!$H625," "))))</f>
        <v xml:space="preserve"> </v>
      </c>
    </row>
    <row r="626" spans="1:9">
      <c r="A626" s="584" t="s">
        <v>2026</v>
      </c>
      <c r="B626" s="594" t="str">
        <f ca="1">IF('Reconciliation report'!$E$108=RefData!$B$45,MID('Reconciliation report'!$E$109,2001,1000),"")</f>
        <v/>
      </c>
      <c r="E626" s="585" t="str">
        <f ca="1">IF(AND('Reconciliation report'!$E$104=RefData!$B$7,'Reconciliation report'!$E$105=RefData!$B$35),'All Statement of strategy (D)'!$B626,"")</f>
        <v/>
      </c>
      <c r="F626" s="585" t="str">
        <f ca="1">IF(AND('Reconciliation report'!$E$104=RefData!$B$7,'Reconciliation report'!$E$105=RefData!$B$35),'All Statement of strategy (D)'!$B626,"")</f>
        <v/>
      </c>
      <c r="G626" s="585" t="str">
        <f>""</f>
        <v/>
      </c>
      <c r="H626" s="585" t="str">
        <f>""</f>
        <v/>
      </c>
      <c r="I626" s="595" t="str">
        <f ca="1">IF($C$1=RefData!$B$418,'All Statement of strategy (D)'!$E626,IF('All Statement of strategy (D)'!$C$1=RefData!$B$419,'All Statement of strategy (D)'!$F626,IF('All Statement of strategy (D)'!$C$1=RefData!$B$420,'All Statement of strategy (D)'!$G626,IF('All Statement of strategy (D)'!$C$1=RefData!$B$421,'All Statement of strategy (D)'!$H626," "))))</f>
        <v xml:space="preserve"> </v>
      </c>
    </row>
    <row r="627" spans="1:9">
      <c r="A627" s="584" t="s">
        <v>2026</v>
      </c>
      <c r="B627" s="594" t="str">
        <f ca="1">IF('Reconciliation report'!$E$108=RefData!$B$45,MID('Reconciliation report'!$E$109,3001,1000),"")</f>
        <v/>
      </c>
      <c r="E627" s="585" t="str">
        <f ca="1">IF(AND('Reconciliation report'!$E$104=RefData!$B$7,'Reconciliation report'!$E$105=RefData!$B$35),'All Statement of strategy (D)'!$B627,"")</f>
        <v/>
      </c>
      <c r="F627" s="585" t="str">
        <f ca="1">IF(AND('Reconciliation report'!$E$104=RefData!$B$7,'Reconciliation report'!$E$105=RefData!$B$35),'All Statement of strategy (D)'!$B627,"")</f>
        <v/>
      </c>
      <c r="G627" s="585" t="str">
        <f>""</f>
        <v/>
      </c>
      <c r="H627" s="585" t="str">
        <f>""</f>
        <v/>
      </c>
      <c r="I627" s="595" t="str">
        <f ca="1">IF($C$1=RefData!$B$418,'All Statement of strategy (D)'!$E627,IF('All Statement of strategy (D)'!$C$1=RefData!$B$419,'All Statement of strategy (D)'!$F627,IF('All Statement of strategy (D)'!$C$1=RefData!$B$420,'All Statement of strategy (D)'!$G627,IF('All Statement of strategy (D)'!$C$1=RefData!$B$421,'All Statement of strategy (D)'!$H627," "))))</f>
        <v xml:space="preserve"> </v>
      </c>
    </row>
    <row r="628" spans="1:9" s="653" customFormat="1">
      <c r="A628" s="650" t="s">
        <v>2032</v>
      </c>
      <c r="B628" s="651" t="str">
        <f ca="1">IF('Reconciliation report'!$E$110=0,"","The spot rate associated with the ")</f>
        <v xml:space="preserve">The spot rate associated with the </v>
      </c>
      <c r="C628" s="583" t="str" cm="1">
        <f t="array" aca="1" ref="C628" ca="1">IF('Reconciliation report'!$E$110=0,"",
_xlfn.IFS(
OR('Reconciliation report'!$E$11=RefData!$B$9,'Reconciliation report'!$E$108=RefData!$B$41),"gilt yield curve is ",
'Reconciliation report'!$E$108=RefData!$B$42,"swap yield curve is ",
'Reconciliation report'!$E$108=RefData!$B$43,"inflation yield curve is ",
'Reconciliation report'!$E$108=RefData!$B$44,"composite yield curve is ",
'Reconciliation report'!$E$108=RefData!$B$45,"yield curve is ",
1=1,""))</f>
        <v/>
      </c>
      <c r="D628" s="583" t="str">
        <f ca="1">IF('Reconciliation report'!$E$110=0,"",TEXT('Reconciliation report'!$E$110,RefData!$B$423)&amp;".")</f>
        <v>.</v>
      </c>
      <c r="E628" s="583" t="str">
        <f ca="1">IF(AND('Reconciliation report'!$E$104=RefData!$B$7,'Reconciliation report'!$E$105=RefData!$B$35),'All Statement of strategy (D)'!$B628&amp;$C628&amp;D628,"")</f>
        <v/>
      </c>
      <c r="F628" s="583" t="str">
        <f ca="1">IF(AND('Reconciliation report'!$E$104=RefData!$B$7,'Reconciliation report'!$E$105=RefData!$B$35),'All Statement of strategy (D)'!$B628&amp;$C628&amp;D628,"")</f>
        <v/>
      </c>
      <c r="G628" s="583" t="str">
        <f ca="1">IF(AND('Reconciliation report'!$E$104=RefData!$B$7,'Reconciliation report'!$E$105=RefData!$B$35),'All Statement of strategy (D)'!$B628&amp;$C628&amp;D628,"")</f>
        <v/>
      </c>
      <c r="H628" s="583" t="str">
        <f ca="1">IF(AND('Reconciliation report'!$E$104=RefData!$B$7,'Reconciliation report'!$E$105=RefData!$B$35),'All Statement of strategy (D)'!$B628&amp;$C628&amp;D628,"")</f>
        <v/>
      </c>
      <c r="I628" s="652" t="str">
        <f ca="1">IF($C$1=RefData!$B$418,'All Statement of strategy (D)'!$E628,IF('All Statement of strategy (D)'!$C$1=RefData!$B$419,'All Statement of strategy (D)'!$F628,IF('All Statement of strategy (D)'!$C$1=RefData!$B$420,'All Statement of strategy (D)'!$G628,IF('All Statement of strategy (D)'!$C$1=RefData!$B$421,'All Statement of strategy (D)'!$H628," "))))</f>
        <v xml:space="preserve"> </v>
      </c>
    </row>
    <row r="629" spans="1:9">
      <c r="B629" s="594" t="s">
        <v>2060</v>
      </c>
      <c r="E629" s="585" t="str">
        <f ca="1">IF(AND('Reconciliation report'!$E$104=RefData!$B$7,'Reconciliation report'!$E$105=RefData!$B$35),'All Statement of strategy (D)'!$B629,"")</f>
        <v/>
      </c>
      <c r="F629" s="585" t="str">
        <f ca="1">IF(AND('Reconciliation report'!$E$104=RefData!$B$7,'Reconciliation report'!$E$105=RefData!$B$35),'All Statement of strategy (D)'!$B629,"")</f>
        <v/>
      </c>
      <c r="G629" s="585" t="str">
        <f ca="1">IF(AND('Reconciliation report'!$E$104=RefData!$B$7,'Reconciliation report'!$E$105=RefData!$B$35),'All Statement of strategy (D)'!$B629,"")</f>
        <v/>
      </c>
      <c r="H629" s="585" t="str">
        <f ca="1">IF(AND('Reconciliation report'!$E$104=RefData!$B$7,'Reconciliation report'!$E$105=RefData!$B$35),'All Statement of strategy (D)'!$B629,"")</f>
        <v/>
      </c>
      <c r="I629" s="595" t="str">
        <f ca="1">IF($C$1=RefData!$B$418,'All Statement of strategy (D)'!$E629,IF('All Statement of strategy (D)'!$C$1=RefData!$B$419,'All Statement of strategy (D)'!$F629,IF('All Statement of strategy (D)'!$C$1=RefData!$B$420,'All Statement of strategy (D)'!$G629,IF('All Statement of strategy (D)'!$C$1=RefData!$B$421,'All Statement of strategy (D)'!$H629," "))))</f>
        <v xml:space="preserve"> </v>
      </c>
    </row>
    <row r="630" spans="1:9">
      <c r="B630" s="594" t="s">
        <v>2051</v>
      </c>
      <c r="E630" s="585" t="str">
        <f ca="1">IF(AND('Reconciliation report'!$E$104=RefData!$B$7,'Reconciliation report'!$E$105=RefData!$B$35),'All Statement of strategy (D)'!$B630,"")</f>
        <v/>
      </c>
      <c r="F630" s="585" t="str">
        <f ca="1">IF(AND('Reconciliation report'!$E$104=RefData!$B$7,'Reconciliation report'!$E$105=RefData!$B$35),'All Statement of strategy (D)'!$B630,"")</f>
        <v/>
      </c>
      <c r="G630" s="585" t="str">
        <f ca="1">IF(AND('Reconciliation report'!$E$104=RefData!$B$7,'Reconciliation report'!$E$105=RefData!$B$35),'All Statement of strategy (D)'!$B630,"")</f>
        <v/>
      </c>
      <c r="H630" s="585" t="str">
        <f ca="1">IF(AND('Reconciliation report'!$E$104=RefData!$B$7,'Reconciliation report'!$E$105=RefData!$B$35),'All Statement of strategy (D)'!$B630,"")</f>
        <v/>
      </c>
      <c r="I630" s="595" t="str">
        <f ca="1">IF($C$1=RefData!$B$418,'All Statement of strategy (D)'!$E630,IF('All Statement of strategy (D)'!$C$1=RefData!$B$419,'All Statement of strategy (D)'!$F630,IF('All Statement of strategy (D)'!$C$1=RefData!$B$420,'All Statement of strategy (D)'!$G630,IF('All Statement of strategy (D)'!$C$1=RefData!$B$421,'All Statement of strategy (D)'!$H630," "))))</f>
        <v xml:space="preserve"> </v>
      </c>
    </row>
    <row r="631" spans="1:9">
      <c r="B631" s="594" t="s">
        <v>2052</v>
      </c>
      <c r="E631" s="585" t="str">
        <f ca="1">IF(AND('Reconciliation report'!$E$104=RefData!$B$7,'Reconciliation report'!$E$105=RefData!$B$35),'All Statement of strategy (D)'!$B631,"")</f>
        <v/>
      </c>
      <c r="F631" s="585" t="str">
        <f>""</f>
        <v/>
      </c>
      <c r="G631" s="585" t="str">
        <f ca="1">IF(AND('Reconciliation report'!$E$104=RefData!$B$7,'Reconciliation report'!$E$105=RefData!$B$35),'All Statement of strategy (D)'!$B631,"")</f>
        <v/>
      </c>
      <c r="H631" s="585" t="str">
        <f>""</f>
        <v/>
      </c>
      <c r="I631" s="595" t="str">
        <f ca="1">IF($C$1=RefData!$B$418,'All Statement of strategy (D)'!$E631,IF('All Statement of strategy (D)'!$C$1=RefData!$B$419,'All Statement of strategy (D)'!$F631,IF('All Statement of strategy (D)'!$C$1=RefData!$B$420,'All Statement of strategy (D)'!$G631,IF('All Statement of strategy (D)'!$C$1=RefData!$B$421,'All Statement of strategy (D)'!$H631," "))))</f>
        <v xml:space="preserve"> </v>
      </c>
    </row>
    <row r="632" spans="1:9">
      <c r="B632" s="594" t="s">
        <v>2053</v>
      </c>
      <c r="E632" s="585" t="str">
        <f>""</f>
        <v/>
      </c>
      <c r="F632" s="585" t="str">
        <f ca="1">IF(AND('Reconciliation report'!$E$104=RefData!$B$7,'Reconciliation report'!$E$105=RefData!$B$35),'All Statement of strategy (D)'!$B632,"")</f>
        <v/>
      </c>
      <c r="G632" s="585" t="str">
        <f>""</f>
        <v/>
      </c>
      <c r="H632" s="585" t="str">
        <f ca="1">IF(AND('Reconciliation report'!$E$104=RefData!$B$7,'Reconciliation report'!$E$105=RefData!$B$35),'All Statement of strategy (D)'!$B632,"")</f>
        <v/>
      </c>
      <c r="I632" s="595" t="str">
        <f ca="1">IF($C$1=RefData!$B$418,'All Statement of strategy (D)'!$E632,IF('All Statement of strategy (D)'!$C$1=RefData!$B$419,'All Statement of strategy (D)'!$F632,IF('All Statement of strategy (D)'!$C$1=RefData!$B$420,'All Statement of strategy (D)'!$G632,IF('All Statement of strategy (D)'!$C$1=RefData!$B$421,'All Statement of strategy (D)'!$H632," "))))</f>
        <v xml:space="preserve"> </v>
      </c>
    </row>
    <row r="633" spans="1:9">
      <c r="B633" s="594" t="s">
        <v>2061</v>
      </c>
      <c r="E633" s="585" t="str">
        <f ca="1">IF(AND('Reconciliation report'!$E$104=RefData!$B$7,'Reconciliation report'!$E$105=RefData!$B$35),'All Statement of strategy (D)'!$B633,"")</f>
        <v/>
      </c>
      <c r="F633" s="585" t="str">
        <f ca="1">IF(AND('Reconciliation report'!$E$104=RefData!$B$7,'Reconciliation report'!$E$105=RefData!$B$35),'All Statement of strategy (D)'!$B633,"")</f>
        <v/>
      </c>
      <c r="G633" s="585" t="str">
        <f ca="1">IF(AND('Reconciliation report'!$E$104=RefData!$B$7,'Reconciliation report'!$E$105=RefData!$B$35),'All Statement of strategy (D)'!$B633,"")</f>
        <v/>
      </c>
      <c r="H633" s="585" t="str">
        <f ca="1">IF(AND('Reconciliation report'!$E$104=RefData!$B$7,'Reconciliation report'!$E$105=RefData!$B$35),'All Statement of strategy (D)'!$B633,"")</f>
        <v/>
      </c>
      <c r="I633" s="595" t="str">
        <f ca="1">IF($C$1=RefData!$B$418,'All Statement of strategy (D)'!$E633,IF('All Statement of strategy (D)'!$C$1=RefData!$B$419,'All Statement of strategy (D)'!$F633,IF('All Statement of strategy (D)'!$C$1=RefData!$B$420,'All Statement of strategy (D)'!$G633,IF('All Statement of strategy (D)'!$C$1=RefData!$B$421,'All Statement of strategy (D)'!$H633," "))))</f>
        <v xml:space="preserve"> </v>
      </c>
    </row>
    <row r="634" spans="1:9">
      <c r="B634" s="594" t="s">
        <v>1600</v>
      </c>
      <c r="E634" s="585" t="str">
        <f ca="1">IF(AND('Reconciliation report'!$E$104=RefData!$B$7,'Reconciliation report'!$E$105=RefData!$B$35),'All Statement of strategy (D)'!$B634,"")</f>
        <v/>
      </c>
      <c r="F634" s="585" t="str">
        <f ca="1">IF(AND('Reconciliation report'!$E$104=RefData!$B$7,'Reconciliation report'!$E$105=RefData!$B$35),'All Statement of strategy (D)'!$B634,"")</f>
        <v/>
      </c>
      <c r="G634" s="585" t="str">
        <f ca="1">IF(AND('Reconciliation report'!$E$104=RefData!$B$7,'Reconciliation report'!$E$105=RefData!$B$35),'All Statement of strategy (D)'!$B634,"")</f>
        <v/>
      </c>
      <c r="H634" s="585" t="str">
        <f ca="1">IF(AND('Reconciliation report'!$E$104=RefData!$B$7,'Reconciliation report'!$E$105=RefData!$B$35),'All Statement of strategy (D)'!$B634,"")</f>
        <v/>
      </c>
      <c r="I634" s="595" t="str">
        <f ca="1">IF($C$1=RefData!$B$418,'All Statement of strategy (D)'!$E634,IF('All Statement of strategy (D)'!$C$1=RefData!$B$419,'All Statement of strategy (D)'!$F634,IF('All Statement of strategy (D)'!$C$1=RefData!$B$420,'All Statement of strategy (D)'!$G634,IF('All Statement of strategy (D)'!$C$1=RefData!$B$421,'All Statement of strategy (D)'!$H634," "))))</f>
        <v xml:space="preserve"> </v>
      </c>
    </row>
    <row r="635" spans="1:9">
      <c r="B635" s="594" t="s">
        <v>1601</v>
      </c>
      <c r="E635" s="585" t="str">
        <f ca="1">IF(AND('Reconciliation report'!$E$104=RefData!$B$7,'Reconciliation report'!$E$105=RefData!$B$35,'Reconciliation report'!$E$114&lt;&gt;""),'All Statement of strategy (D)'!$B635,"")</f>
        <v/>
      </c>
      <c r="F635" s="585" t="str">
        <f ca="1">IF(AND('Reconciliation report'!$E$104=RefData!$B$7,'Reconciliation report'!$E$105=RefData!$B$35,'Reconciliation report'!$E$114&lt;&gt;""),'All Statement of strategy (D)'!$B635,"")</f>
        <v/>
      </c>
      <c r="G635" s="585" t="str">
        <f ca="1">IF(AND('Reconciliation report'!$E$104=RefData!$B$7,'Reconciliation report'!$E$105=RefData!$B$35,'Reconciliation report'!$E$114&lt;&gt;""),'All Statement of strategy (D)'!$B635,"")</f>
        <v/>
      </c>
      <c r="H635" s="585" t="str">
        <f ca="1">IF(AND('Reconciliation report'!$E$104=RefData!$B$7,'Reconciliation report'!$E$105=RefData!$B$35,'Reconciliation report'!$E$114&lt;&gt;""),'All Statement of strategy (D)'!$B635,"")</f>
        <v/>
      </c>
      <c r="I635" s="595" t="str">
        <f ca="1">IF($C$1=RefData!$B$418,'All Statement of strategy (D)'!$E635,IF('All Statement of strategy (D)'!$C$1=RefData!$B$419,'All Statement of strategy (D)'!$F635,IF('All Statement of strategy (D)'!$C$1=RefData!$B$420,'All Statement of strategy (D)'!$G635,IF('All Statement of strategy (D)'!$C$1=RefData!$B$421,'All Statement of strategy (D)'!$H635," "))))</f>
        <v xml:space="preserve"> </v>
      </c>
    </row>
    <row r="636" spans="1:9">
      <c r="B636" s="594" t="s">
        <v>2054</v>
      </c>
      <c r="E636" s="585" t="str">
        <f ca="1">IF(AND('Reconciliation report'!$E$104=RefData!$B$7,'Reconciliation report'!$E$105=RefData!$B$35),'All Statement of strategy (D)'!$B636,"")</f>
        <v/>
      </c>
      <c r="F636" s="585" t="str">
        <f ca="1">IF(AND('Reconciliation report'!$E$104=RefData!$B$7,'Reconciliation report'!$E$105=RefData!$B$35),'All Statement of strategy (D)'!$B636,"")</f>
        <v/>
      </c>
      <c r="G636" s="585" t="str">
        <f ca="1">IF(AND('Reconciliation report'!$E$104=RefData!$B$7,'Reconciliation report'!$E$105=RefData!$B$35),'All Statement of strategy (D)'!$B636,"")</f>
        <v/>
      </c>
      <c r="H636" s="585" t="str">
        <f ca="1">IF(AND('Reconciliation report'!$E$104=RefData!$B$7,'Reconciliation report'!$E$105=RefData!$B$35),'All Statement of strategy (D)'!$B636,"")</f>
        <v/>
      </c>
      <c r="I636" s="595" t="str">
        <f ca="1">IF($C$1=RefData!$B$418,'All Statement of strategy (D)'!$E636,IF('All Statement of strategy (D)'!$C$1=RefData!$B$419,'All Statement of strategy (D)'!$F636,IF('All Statement of strategy (D)'!$C$1=RefData!$B$420,'All Statement of strategy (D)'!$G636,IF('All Statement of strategy (D)'!$C$1=RefData!$B$421,'All Statement of strategy (D)'!$H636," "))))</f>
        <v xml:space="preserve"> </v>
      </c>
    </row>
    <row r="637" spans="1:9">
      <c r="B637" s="594" t="s">
        <v>2055</v>
      </c>
      <c r="E637" s="585" t="str">
        <f ca="1">IF(AND('Reconciliation report'!$E$104=RefData!$B$7,'Reconciliation report'!$E$105=RefData!$B$35),'All Statement of strategy (D)'!$B637,"")</f>
        <v/>
      </c>
      <c r="F637" s="585" t="str">
        <f ca="1">IF(AND('Reconciliation report'!$E$104=RefData!$B$7,'Reconciliation report'!$E$105=RefData!$B$35),'All Statement of strategy (D)'!$B637,"")</f>
        <v/>
      </c>
      <c r="G637" s="585" t="str">
        <f ca="1">IF(AND('Reconciliation report'!$E$104=RefData!$B$7,'Reconciliation report'!$E$105=RefData!$B$35),'All Statement of strategy (D)'!$B637,"")</f>
        <v/>
      </c>
      <c r="H637" s="585" t="str">
        <f ca="1">IF(AND('Reconciliation report'!$E$104=RefData!$B$7,'Reconciliation report'!$E$105=RefData!$B$35),'All Statement of strategy (D)'!$B637,"")</f>
        <v/>
      </c>
      <c r="I637" s="595" t="str">
        <f ca="1">IF($C$1=RefData!$B$418,'All Statement of strategy (D)'!$E637,IF('All Statement of strategy (D)'!$C$1=RefData!$B$419,'All Statement of strategy (D)'!$F637,IF('All Statement of strategy (D)'!$C$1=RefData!$B$420,'All Statement of strategy (D)'!$G637,IF('All Statement of strategy (D)'!$C$1=RefData!$B$421,'All Statement of strategy (D)'!$H637," "))))</f>
        <v xml:space="preserve"> </v>
      </c>
    </row>
    <row r="638" spans="1:9">
      <c r="B638" s="594" t="s">
        <v>2056</v>
      </c>
      <c r="E638" s="585" t="str">
        <f ca="1">IF(AND('Reconciliation report'!$E$104=RefData!$B$7,'Reconciliation report'!$E$105=RefData!$B$35),'All Statement of strategy (D)'!$B638,"")</f>
        <v/>
      </c>
      <c r="F638" s="585" t="str">
        <f ca="1">IF(AND('Reconciliation report'!$E$104=RefData!$B$7,'Reconciliation report'!$E$105=RefData!$B$35),'All Statement of strategy (D)'!$B638,"")</f>
        <v/>
      </c>
      <c r="G638" s="585" t="str">
        <f ca="1">IF(AND('Reconciliation report'!$E$104=RefData!$B$7,'Reconciliation report'!$E$105=RefData!$B$35),'All Statement of strategy (D)'!$B638,"")</f>
        <v/>
      </c>
      <c r="H638" s="585" t="str">
        <f ca="1">IF(AND('Reconciliation report'!$E$104=RefData!$B$7,'Reconciliation report'!$E$105=RefData!$B$35),'All Statement of strategy (D)'!$B638,"")</f>
        <v/>
      </c>
      <c r="I638" s="595" t="str">
        <f ca="1">IF($C$1=RefData!$B$418,'All Statement of strategy (D)'!$E638,IF('All Statement of strategy (D)'!$C$1=RefData!$B$419,'All Statement of strategy (D)'!$F638,IF('All Statement of strategy (D)'!$C$1=RefData!$B$420,'All Statement of strategy (D)'!$G638,IF('All Statement of strategy (D)'!$C$1=RefData!$B$421,'All Statement of strategy (D)'!$H638," "))))</f>
        <v xml:space="preserve"> </v>
      </c>
    </row>
    <row r="639" spans="1:9">
      <c r="A639" s="584" t="s">
        <v>2057</v>
      </c>
      <c r="B639" s="619" t="str">
        <f ca="1">TEXT('Reconciliation report'!$E$116,RefData!$B$423)</f>
        <v/>
      </c>
      <c r="E639" s="585" t="str">
        <f ca="1">IF(AND('Reconciliation report'!$E$104=RefData!$B$7,'Reconciliation report'!$E$105=RefData!$B$35),'All Statement of strategy (D)'!$B639,"")</f>
        <v/>
      </c>
      <c r="F639" s="585" t="str">
        <f ca="1">IF(AND('Reconciliation report'!$E$104=RefData!$B$7,'Reconciliation report'!$E$105=RefData!$B$35),'All Statement of strategy (D)'!$B639,"")</f>
        <v/>
      </c>
      <c r="G639" s="585" t="str">
        <f ca="1">IF(AND('Reconciliation report'!$E$104=RefData!$B$7,'Reconciliation report'!$E$105=RefData!$B$35),'All Statement of strategy (D)'!$B639,"")</f>
        <v/>
      </c>
      <c r="H639" s="585" t="str">
        <f ca="1">IF(AND('Reconciliation report'!$E$104=RefData!$B$7,'Reconciliation report'!$E$105=RefData!$B$35),'All Statement of strategy (D)'!$B639,"")</f>
        <v/>
      </c>
      <c r="I639" s="595" t="str">
        <f ca="1">IF($C$1=RefData!$B$418,'All Statement of strategy (D)'!$E639,IF('All Statement of strategy (D)'!$C$1=RefData!$B$419,'All Statement of strategy (D)'!$F639,IF('All Statement of strategy (D)'!$C$1=RefData!$B$420,'All Statement of strategy (D)'!$G639,IF('All Statement of strategy (D)'!$C$1=RefData!$B$421,'All Statement of strategy (D)'!$H639," "))))</f>
        <v xml:space="preserve"> </v>
      </c>
    </row>
    <row r="640" spans="1:9">
      <c r="A640" s="584" t="s">
        <v>2058</v>
      </c>
      <c r="B640" s="619" t="str">
        <f ca="1">TEXT('Reconciliation report'!$E$117,RefData!$B$423)</f>
        <v/>
      </c>
      <c r="E640" s="585" t="str">
        <f ca="1">IF(AND('Reconciliation report'!$E$104=RefData!$B$7,'Reconciliation report'!$E$105=RefData!$B$35),'All Statement of strategy (D)'!$B640,"")</f>
        <v/>
      </c>
      <c r="F640" s="585" t="str">
        <f ca="1">IF(AND('Reconciliation report'!$E$104=RefData!$B$7,'Reconciliation report'!$E$105=RefData!$B$35),'All Statement of strategy (D)'!$B640,"")</f>
        <v/>
      </c>
      <c r="G640" s="585" t="str">
        <f ca="1">IF(AND('Reconciliation report'!$E$104=RefData!$B$7,'Reconciliation report'!$E$105=RefData!$B$35),'All Statement of strategy (D)'!$B640,"")</f>
        <v/>
      </c>
      <c r="H640" s="585" t="str">
        <f ca="1">IF(AND('Reconciliation report'!$E$104=RefData!$B$7,'Reconciliation report'!$E$105=RefData!$B$35),'All Statement of strategy (D)'!$B640,"")</f>
        <v/>
      </c>
      <c r="I640" s="595" t="str">
        <f ca="1">IF($C$1=RefData!$B$418,'All Statement of strategy (D)'!$E640,IF('All Statement of strategy (D)'!$C$1=RefData!$B$419,'All Statement of strategy (D)'!$F640,IF('All Statement of strategy (D)'!$C$1=RefData!$B$420,'All Statement of strategy (D)'!$G640,IF('All Statement of strategy (D)'!$C$1=RefData!$B$421,'All Statement of strategy (D)'!$H640," "))))</f>
        <v xml:space="preserve"> </v>
      </c>
    </row>
    <row r="641" spans="1:9">
      <c r="A641" s="584" t="s">
        <v>2059</v>
      </c>
      <c r="B641" s="619" t="str">
        <f ca="1">TEXT('Reconciliation report'!$E$118,RefData!$B$423)</f>
        <v/>
      </c>
      <c r="E641" s="585" t="str">
        <f ca="1">IF(AND('Reconciliation report'!$E$104=RefData!$B$7,'Reconciliation report'!$E$105=RefData!$B$35),'All Statement of strategy (D)'!$B641,"")</f>
        <v/>
      </c>
      <c r="F641" s="585" t="str">
        <f ca="1">IF(AND('Reconciliation report'!$E$104=RefData!$B$7,'Reconciliation report'!$E$105=RefData!$B$35),'All Statement of strategy (D)'!$B641,"")</f>
        <v/>
      </c>
      <c r="G641" s="585" t="str">
        <f ca="1">IF(AND('Reconciliation report'!$E$104=RefData!$B$7,'Reconciliation report'!$E$105=RefData!$B$35),'All Statement of strategy (D)'!$B641,"")</f>
        <v/>
      </c>
      <c r="H641" s="585" t="str">
        <f ca="1">IF(AND('Reconciliation report'!$E$104=RefData!$B$7,'Reconciliation report'!$E$105=RefData!$B$35),'All Statement of strategy (D)'!$B641,"")</f>
        <v/>
      </c>
      <c r="I641" s="595" t="str">
        <f ca="1">IF($C$1=RefData!$B$418,'All Statement of strategy (D)'!$E641,IF('All Statement of strategy (D)'!$C$1=RefData!$B$419,'All Statement of strategy (D)'!$F641,IF('All Statement of strategy (D)'!$C$1=RefData!$B$420,'All Statement of strategy (D)'!$G641,IF('All Statement of strategy (D)'!$C$1=RefData!$B$421,'All Statement of strategy (D)'!$H641," "))))</f>
        <v xml:space="preserve"> </v>
      </c>
    </row>
    <row r="642" spans="1:9" ht="16" thickBot="1">
      <c r="A642" s="584" t="s">
        <v>2040</v>
      </c>
      <c r="B642" s="619" t="str">
        <f ca="1">TEXT('Reconciliation report'!$E$114,RefData!$B$423)</f>
        <v/>
      </c>
      <c r="E642" s="585" t="str">
        <f ca="1">IF(AND('Reconciliation report'!$E$104=RefData!$B$7,'Reconciliation report'!$E$105=RefData!$B$35),'All Statement of strategy (D)'!$B642,"")</f>
        <v/>
      </c>
      <c r="F642" s="585" t="str">
        <f ca="1">IF(AND('Reconciliation report'!$E$104=RefData!$B$7,'Reconciliation report'!$E$105=RefData!$B$35),'All Statement of strategy (D)'!$B642,"")</f>
        <v/>
      </c>
      <c r="G642" s="585" t="str">
        <f ca="1">IF(AND('Reconciliation report'!$E$104=RefData!$B$7,'Reconciliation report'!$E$105=RefData!$B$35),'All Statement of strategy (D)'!$B642,"")</f>
        <v/>
      </c>
      <c r="H642" s="585" t="str">
        <f ca="1">IF(AND('Reconciliation report'!$E$104=RefData!$B$7,'Reconciliation report'!$E$105=RefData!$B$35),'All Statement of strategy (D)'!$B642,"")</f>
        <v/>
      </c>
      <c r="I642" s="595" t="str">
        <f ca="1">IF($C$1=RefData!$B$418,'All Statement of strategy (D)'!$E642,IF('All Statement of strategy (D)'!$C$1=RefData!$B$419,'All Statement of strategy (D)'!$F642,IF('All Statement of strategy (D)'!$C$1=RefData!$B$420,'All Statement of strategy (D)'!$G642,IF('All Statement of strategy (D)'!$C$1=RefData!$B$421,'All Statement of strategy (D)'!$H642," "))))</f>
        <v xml:space="preserve"> </v>
      </c>
    </row>
    <row r="643" spans="1:9">
      <c r="B643" s="590" t="s">
        <v>40</v>
      </c>
      <c r="C643" s="591"/>
      <c r="D643" s="591"/>
      <c r="E643" s="591" t="str">
        <f>$B643</f>
        <v>Other assumptions</v>
      </c>
      <c r="F643" s="591" t="str">
        <f>$B643</f>
        <v>Other assumptions</v>
      </c>
      <c r="G643" s="591" t="str">
        <f>$B643</f>
        <v>Other assumptions</v>
      </c>
      <c r="H643" s="591" t="str">
        <f>$B643</f>
        <v>Other assumptions</v>
      </c>
      <c r="I643" s="592" t="str">
        <f ca="1">IF($C$1=RefData!$B$418,'All Statement of strategy (D)'!$E643,IF('All Statement of strategy (D)'!$C$1=RefData!$B$419,'All Statement of strategy (D)'!$F643,IF('All Statement of strategy (D)'!$C$1=RefData!$B$420,'All Statement of strategy (D)'!$G643,IF('All Statement of strategy (D)'!$C$1=RefData!$B$421,'All Statement of strategy (D)'!$H643," "))))</f>
        <v xml:space="preserve"> </v>
      </c>
    </row>
    <row r="644" spans="1:9">
      <c r="B644" s="594" t="s">
        <v>2062</v>
      </c>
      <c r="E644" s="585" t="str">
        <f>$B644</f>
        <v>The other assumptions used to calculate the scheme’s technical provisions at the effective date of the actuarial valuation are as follows:</v>
      </c>
      <c r="F644" s="585" t="str">
        <f t="shared" ref="F644" si="32">$B644</f>
        <v>The other assumptions used to calculate the scheme’s technical provisions at the effective date of the actuarial valuation are as follows:</v>
      </c>
      <c r="G644" s="585" t="str">
        <f>$B644</f>
        <v>The other assumptions used to calculate the scheme’s technical provisions at the effective date of the actuarial valuation are as follows:</v>
      </c>
      <c r="H644" s="585" t="str">
        <f>$B644</f>
        <v>The other assumptions used to calculate the scheme’s technical provisions at the effective date of the actuarial valuation are as follows:</v>
      </c>
      <c r="I644" s="595" t="str">
        <f ca="1">IF($C$1=RefData!$B$418,'All Statement of strategy (D)'!$E644,IF('All Statement of strategy (D)'!$C$1=RefData!$B$419,'All Statement of strategy (D)'!$F644,IF('All Statement of strategy (D)'!$C$1=RefData!$B$420,'All Statement of strategy (D)'!$G644,IF('All Statement of strategy (D)'!$C$1=RefData!$B$421,'All Statement of strategy (D)'!$H644," "))))</f>
        <v xml:space="preserve"> </v>
      </c>
    </row>
    <row r="645" spans="1:9">
      <c r="B645" s="594" t="s">
        <v>2063</v>
      </c>
      <c r="E645" s="585" t="str">
        <f ca="1">IF(AND(OR('Reconciliation report'!$E$104=RefData!$B$8,'Reconciliation report'!$E$104=""),OR(ISNUMBER(MATCH('Reconciliation report'!$E$119,RefData!$B$46:$B$48,0)),'Reconciliation report'!$E$122=RefData!$B$50)),'All Statement of strategy (D)'!$B645,"")</f>
        <v/>
      </c>
      <c r="F645" s="585" t="str">
        <f ca="1">IF(AND(OR('Reconciliation report'!$E$104=RefData!$B$8,'Reconciliation report'!$E$104=""),OR(ISNUMBER(MATCH('Reconciliation report'!$E$119,RefData!$B$46:$B$48,0)),'Reconciliation report'!$E$122=RefData!$B$50)),'All Statement of strategy (D)'!$B645,"")</f>
        <v/>
      </c>
      <c r="G645" s="585" t="str">
        <f ca="1">IF(AND(OR('Reconciliation report'!$E$104=RefData!$B$8,'Reconciliation report'!$E$104=""),OR(ISNUMBER(MATCH('Reconciliation report'!$E$119,RefData!$B$46:$B$48,0)),'Reconciliation report'!$E$122=RefData!$B$50)),'All Statement of strategy (D)'!$B645,"")</f>
        <v/>
      </c>
      <c r="H645" s="585" t="str">
        <f ca="1">IF(AND(OR('Reconciliation report'!$E$104=RefData!$B$8,'Reconciliation report'!$E$104=""),OR(ISNUMBER(MATCH('Reconciliation report'!$E$119,RefData!$B$46:$B$48,0)),'Reconciliation report'!$E$122=RefData!$B$50)),'All Statement of strategy (D)'!$B645,"")</f>
        <v/>
      </c>
      <c r="I645" s="595" t="str">
        <f ca="1">IF($C$1=RefData!$B$418,'All Statement of strategy (D)'!$E645,IF('All Statement of strategy (D)'!$C$1=RefData!$B$419,'All Statement of strategy (D)'!$F645,IF('All Statement of strategy (D)'!$C$1=RefData!$B$420,'All Statement of strategy (D)'!$G645,IF('All Statement of strategy (D)'!$C$1=RefData!$B$421,'All Statement of strategy (D)'!$H645," "))))</f>
        <v xml:space="preserve"> </v>
      </c>
    </row>
    <row r="646" spans="1:9">
      <c r="A646" s="584" t="s">
        <v>2064</v>
      </c>
      <c r="B646" s="594" t="s">
        <v>2065</v>
      </c>
      <c r="C646" s="606" t="str">
        <f ca="1">TEXT('Reconciliation report'!$E$120,RefData!$B$423)&amp;"."</f>
        <v>.</v>
      </c>
      <c r="E646" s="585" t="str">
        <f ca="1">IF(AND('Reconciliation report'!$E$104=RefData!$B$7,OR('Reconciliation report'!$E$119=RefData!$B$46,'Reconciliation report'!$E$119=RefData!$B$48)),'All Statement of strategy (D)'!$B646&amp;'All Statement of strategy (D)'!$C646,"")</f>
        <v/>
      </c>
      <c r="F646" s="585" t="str">
        <f ca="1">IF(AND('Reconciliation report'!$E$104=RefData!$B$7,OR('Reconciliation report'!$E$119=RefData!$B$46,'Reconciliation report'!$E$119=RefData!$B$48)),'All Statement of strategy (D)'!$B646&amp;'All Statement of strategy (D)'!$C646,"")</f>
        <v/>
      </c>
      <c r="G646" s="585" t="str">
        <f ca="1">IF(AND('Reconciliation report'!$E$104=RefData!$B$7,OR('Reconciliation report'!$E$119=RefData!$B$46,'Reconciliation report'!$E$119=RefData!$B$48)),'All Statement of strategy (D)'!$B646&amp;'All Statement of strategy (D)'!$C646,"")</f>
        <v/>
      </c>
      <c r="H646" s="585" t="str">
        <f ca="1">IF(AND('Reconciliation report'!$E$104=RefData!$B$7,OR('Reconciliation report'!$E$119=RefData!$B$46,'Reconciliation report'!$E$119=RefData!$B$48)),'All Statement of strategy (D)'!$B646&amp;'All Statement of strategy (D)'!$C646,"")</f>
        <v/>
      </c>
      <c r="I646" s="595" t="str">
        <f ca="1">IF($C$1=RefData!$B$418,'All Statement of strategy (D)'!$E646,IF('All Statement of strategy (D)'!$C$1=RefData!$B$419,'All Statement of strategy (D)'!$F646,IF('All Statement of strategy (D)'!$C$1=RefData!$B$420,'All Statement of strategy (D)'!$G646,IF('All Statement of strategy (D)'!$C$1=RefData!$B$421,'All Statement of strategy (D)'!$H646," "))))</f>
        <v xml:space="preserve"> </v>
      </c>
    </row>
    <row r="647" spans="1:9">
      <c r="A647" s="584" t="s">
        <v>2066</v>
      </c>
      <c r="B647" s="594" t="s">
        <v>2067</v>
      </c>
      <c r="C647" s="606" t="str">
        <f ca="1">TEXT('Reconciliation report'!$E$121,RefData!$B$423)&amp;"."</f>
        <v>.</v>
      </c>
      <c r="E647" s="585" t="str">
        <f ca="1">IF(AND('Reconciliation report'!$E$104=RefData!$B$7,OR('Reconciliation report'!$E$119=RefData!$B$46,'Reconciliation report'!$E$119=RefData!$B$47)),'All Statement of strategy (D)'!$B647&amp;'All Statement of strategy (D)'!$C647,"")</f>
        <v/>
      </c>
      <c r="F647" s="585" t="str">
        <f ca="1">IF(AND('Reconciliation report'!$E$104=RefData!$B$7,OR('Reconciliation report'!$E$119=RefData!$B$46,'Reconciliation report'!$E$119=RefData!$B$47)),'All Statement of strategy (D)'!$B647&amp;'All Statement of strategy (D)'!$C647,"")</f>
        <v/>
      </c>
      <c r="G647" s="585" t="str">
        <f ca="1">IF(AND('Reconciliation report'!$E$104=RefData!$B$7,OR('Reconciliation report'!$E$119=RefData!$B$46,'Reconciliation report'!$E$119=RefData!$B$47)),'All Statement of strategy (D)'!$B647&amp;'All Statement of strategy (D)'!$C647,"")</f>
        <v/>
      </c>
      <c r="H647" s="585" t="str">
        <f ca="1">IF(AND('Reconciliation report'!$E$104=RefData!$B$7,OR('Reconciliation report'!$E$119=RefData!$B$46,'Reconciliation report'!$E$119=RefData!$B$47)),'All Statement of strategy (D)'!$B647&amp;'All Statement of strategy (D)'!$C647,"")</f>
        <v/>
      </c>
      <c r="I647" s="595" t="str">
        <f ca="1">IF($C$1=RefData!$B$418,'All Statement of strategy (D)'!$E647,IF('All Statement of strategy (D)'!$C$1=RefData!$B$419,'All Statement of strategy (D)'!$F647,IF('All Statement of strategy (D)'!$C$1=RefData!$B$420,'All Statement of strategy (D)'!$G647,IF('All Statement of strategy (D)'!$C$1=RefData!$B$421,'All Statement of strategy (D)'!$H647," "))))</f>
        <v xml:space="preserve"> </v>
      </c>
    </row>
    <row r="648" spans="1:9">
      <c r="A648" s="584" t="s">
        <v>2068</v>
      </c>
      <c r="B648" s="594" t="s">
        <v>2069</v>
      </c>
      <c r="C648" s="606" t="str">
        <f ca="1">TEXT('Reconciliation report'!$E$123,RefData!$B$423)&amp;"."</f>
        <v>.</v>
      </c>
      <c r="E648" s="585" t="str">
        <f ca="1">IF(AND('Reconciliation report'!$E$104=RefData!$B$7,'Reconciliation report'!$E$122=RefData!$B$50),'All Statement of strategy (D)'!$B648&amp;'All Statement of strategy (D)'!$C648,"")</f>
        <v/>
      </c>
      <c r="F648" s="585" t="str">
        <f ca="1">IF(AND('Reconciliation report'!$E$104=RefData!$B$7,'Reconciliation report'!$E$122=RefData!$B$50),'All Statement of strategy (D)'!$B648&amp;'All Statement of strategy (D)'!$C648,"")</f>
        <v/>
      </c>
      <c r="G648" s="585" t="str">
        <f ca="1">IF(AND('Reconciliation report'!$E$104=RefData!$B$7,'Reconciliation report'!$E$122=RefData!$B$50),'All Statement of strategy (D)'!$B648&amp;'All Statement of strategy (D)'!$C648,"")</f>
        <v/>
      </c>
      <c r="H648" s="585" t="str">
        <f ca="1">IF(AND('Reconciliation report'!$E$104=RefData!$B$7,'Reconciliation report'!$E$122=RefData!$B$50),'All Statement of strategy (D)'!$B648&amp;'All Statement of strategy (D)'!$C648,"")</f>
        <v/>
      </c>
      <c r="I648" s="595" t="str">
        <f ca="1">IF($C$1=RefData!$B$418,'All Statement of strategy (D)'!$E648,IF('All Statement of strategy (D)'!$C$1=RefData!$B$419,'All Statement of strategy (D)'!$F648,IF('All Statement of strategy (D)'!$C$1=RefData!$B$420,'All Statement of strategy (D)'!$G648,IF('All Statement of strategy (D)'!$C$1=RefData!$B$421,'All Statement of strategy (D)'!$H648," "))))</f>
        <v xml:space="preserve"> </v>
      </c>
    </row>
    <row r="649" spans="1:9">
      <c r="A649" s="584" t="s">
        <v>2070</v>
      </c>
      <c r="B649" s="594" t="s">
        <v>2071</v>
      </c>
      <c r="C649" s="585" t="str">
        <f ca="1">TEXT('Reconciliation report'!$E$125,RefData!$B$425)&amp;"."</f>
        <v>.</v>
      </c>
      <c r="E649" s="585" t="str">
        <f ca="1">IF('Reconciliation report'!$E$124=RefData!$B$196,'All Statement of strategy (D)'!$B649&amp;'All Statement of strategy (D)'!$C649,"")</f>
        <v/>
      </c>
      <c r="F649" s="585" t="str">
        <f ca="1">IF('Reconciliation report'!$E$124=RefData!$B$196,'All Statement of strategy (D)'!$B649&amp;'All Statement of strategy (D)'!$C649,"")</f>
        <v/>
      </c>
      <c r="G649" s="585" t="str">
        <f ca="1">IF('Reconciliation report'!$E$124=RefData!$B$196,'All Statement of strategy (D)'!$B649&amp;'All Statement of strategy (D)'!$C649,"")</f>
        <v/>
      </c>
      <c r="H649" s="585" t="str">
        <f ca="1">IF('Reconciliation report'!$E$124=RefData!$B$196,'All Statement of strategy (D)'!$B649&amp;'All Statement of strategy (D)'!$C649,"")</f>
        <v/>
      </c>
      <c r="I649" s="595" t="str">
        <f ca="1">IF($C$1=RefData!$B$418,'All Statement of strategy (D)'!$E649,IF('All Statement of strategy (D)'!$C$1=RefData!$B$419,'All Statement of strategy (D)'!$F649,IF('All Statement of strategy (D)'!$C$1=RefData!$B$420,'All Statement of strategy (D)'!$G649,IF('All Statement of strategy (D)'!$C$1=RefData!$B$421,'All Statement of strategy (D)'!$H649," "))))</f>
        <v xml:space="preserve"> </v>
      </c>
    </row>
    <row r="650" spans="1:9">
      <c r="B650" s="594" t="s">
        <v>2072</v>
      </c>
      <c r="E650" s="585" t="str">
        <f>$B650</f>
        <v xml:space="preserve">Mortality assumptions of: </v>
      </c>
      <c r="F650" s="585" t="str">
        <f>$B650</f>
        <v xml:space="preserve">Mortality assumptions of: </v>
      </c>
      <c r="G650" s="585" t="str">
        <f>$B650</f>
        <v xml:space="preserve">Mortality assumptions of: </v>
      </c>
      <c r="H650" s="585" t="str">
        <f>$B650</f>
        <v xml:space="preserve">Mortality assumptions of: </v>
      </c>
      <c r="I650" s="595" t="str">
        <f ca="1">IF($C$1=RefData!$B$418,'All Statement of strategy (D)'!$E650,IF('All Statement of strategy (D)'!$C$1=RefData!$B$419,'All Statement of strategy (D)'!$F650,IF('All Statement of strategy (D)'!$C$1=RefData!$B$420,'All Statement of strategy (D)'!$G650,IF('All Statement of strategy (D)'!$C$1=RefData!$B$421,'All Statement of strategy (D)'!$H650," "))))</f>
        <v xml:space="preserve"> </v>
      </c>
    </row>
    <row r="651" spans="1:9">
      <c r="A651" s="584" t="s">
        <v>2073</v>
      </c>
      <c r="B651" s="594" t="s">
        <v>2074</v>
      </c>
      <c r="C651" s="585" t="str">
        <f ca="1">TEXT('Reconciliation report'!$E$126,RefData!$B$432)</f>
        <v/>
      </c>
      <c r="E651" s="585" t="str">
        <f ca="1">$B651&amp;$C651</f>
        <v xml:space="preserve">•    an expected age of death for male pensioners aged 65 at the valuation date of </v>
      </c>
      <c r="F651" s="585" t="str">
        <f ca="1">$B651&amp;$C651</f>
        <v xml:space="preserve">•    an expected age of death for male pensioners aged 65 at the valuation date of </v>
      </c>
      <c r="G651" s="585" t="str">
        <f ca="1">$B651&amp;$C651</f>
        <v xml:space="preserve">•    an expected age of death for male pensioners aged 65 at the valuation date of </v>
      </c>
      <c r="H651" s="585" t="str">
        <f ca="1">$B651&amp;$C651</f>
        <v xml:space="preserve">•    an expected age of death for male pensioners aged 65 at the valuation date of </v>
      </c>
      <c r="I651" s="595" t="str">
        <f ca="1">IF($C$1=RefData!$B$418,'All Statement of strategy (D)'!$E651,IF('All Statement of strategy (D)'!$C$1=RefData!$B$419,'All Statement of strategy (D)'!$F651,IF('All Statement of strategy (D)'!$C$1=RefData!$B$420,'All Statement of strategy (D)'!$G651,IF('All Statement of strategy (D)'!$C$1=RefData!$B$421,'All Statement of strategy (D)'!$H651," "))))</f>
        <v xml:space="preserve"> </v>
      </c>
    </row>
    <row r="652" spans="1:9">
      <c r="A652" s="584" t="s">
        <v>2075</v>
      </c>
      <c r="B652" s="594" t="s">
        <v>2076</v>
      </c>
      <c r="C652" s="585" t="str">
        <f ca="1">TEXT('Reconciliation report'!$E$127,RefData!$B$432)</f>
        <v/>
      </c>
      <c r="E652" s="585" t="str">
        <f t="shared" ref="E652:E654" ca="1" si="33">$B652&amp;$C652</f>
        <v xml:space="preserve">•    an expected age of death for female pensioners aged 65 at the valuation date of </v>
      </c>
      <c r="F652" s="585" t="str">
        <f t="shared" ref="F652:H654" ca="1" si="34">$B652&amp;$C652</f>
        <v xml:space="preserve">•    an expected age of death for female pensioners aged 65 at the valuation date of </v>
      </c>
      <c r="G652" s="585" t="str">
        <f t="shared" ca="1" si="34"/>
        <v xml:space="preserve">•    an expected age of death for female pensioners aged 65 at the valuation date of </v>
      </c>
      <c r="H652" s="585" t="str">
        <f t="shared" ca="1" si="34"/>
        <v xml:space="preserve">•    an expected age of death for female pensioners aged 65 at the valuation date of </v>
      </c>
      <c r="I652" s="595" t="str">
        <f ca="1">IF($C$1=RefData!$B$418,'All Statement of strategy (D)'!$E652,IF('All Statement of strategy (D)'!$C$1=RefData!$B$419,'All Statement of strategy (D)'!$F652,IF('All Statement of strategy (D)'!$C$1=RefData!$B$420,'All Statement of strategy (D)'!$G652,IF('All Statement of strategy (D)'!$C$1=RefData!$B$421,'All Statement of strategy (D)'!$H652," "))))</f>
        <v xml:space="preserve"> </v>
      </c>
    </row>
    <row r="653" spans="1:9">
      <c r="A653" s="584" t="s">
        <v>2077</v>
      </c>
      <c r="B653" s="594" t="s">
        <v>2078</v>
      </c>
      <c r="C653" s="585" t="str">
        <f ca="1">TEXT('Reconciliation report'!$E$128,RefData!$B$432)</f>
        <v/>
      </c>
      <c r="E653" s="585" t="str">
        <f t="shared" ca="1" si="33"/>
        <v xml:space="preserve">•    an expected age of death for future male pensioners aged 45 at the valuation date of </v>
      </c>
      <c r="F653" s="585" t="str">
        <f t="shared" ca="1" si="34"/>
        <v xml:space="preserve">•    an expected age of death for future male pensioners aged 45 at the valuation date of </v>
      </c>
      <c r="G653" s="585" t="str">
        <f t="shared" ca="1" si="34"/>
        <v xml:space="preserve">•    an expected age of death for future male pensioners aged 45 at the valuation date of </v>
      </c>
      <c r="H653" s="585" t="str">
        <f t="shared" ca="1" si="34"/>
        <v xml:space="preserve">•    an expected age of death for future male pensioners aged 45 at the valuation date of </v>
      </c>
      <c r="I653" s="595" t="str">
        <f ca="1">IF($C$1=RefData!$B$418,'All Statement of strategy (D)'!$E653,IF('All Statement of strategy (D)'!$C$1=RefData!$B$419,'All Statement of strategy (D)'!$F653,IF('All Statement of strategy (D)'!$C$1=RefData!$B$420,'All Statement of strategy (D)'!$G653,IF('All Statement of strategy (D)'!$C$1=RefData!$B$421,'All Statement of strategy (D)'!$H653," "))))</f>
        <v xml:space="preserve"> </v>
      </c>
    </row>
    <row r="654" spans="1:9">
      <c r="A654" s="584" t="s">
        <v>2079</v>
      </c>
      <c r="B654" s="594" t="s">
        <v>2080</v>
      </c>
      <c r="C654" s="585" t="str">
        <f ca="1">TEXT('Reconciliation report'!$E$129,RefData!$B$432)</f>
        <v/>
      </c>
      <c r="E654" s="585" t="str">
        <f t="shared" ca="1" si="33"/>
        <v xml:space="preserve">•    an expected age of death for future female pensioners aged 45 at the valuation date of </v>
      </c>
      <c r="F654" s="585" t="str">
        <f t="shared" ca="1" si="34"/>
        <v xml:space="preserve">•    an expected age of death for future female pensioners aged 45 at the valuation date of </v>
      </c>
      <c r="G654" s="585" t="str">
        <f t="shared" ca="1" si="34"/>
        <v xml:space="preserve">•    an expected age of death for future female pensioners aged 45 at the valuation date of </v>
      </c>
      <c r="H654" s="585" t="str">
        <f t="shared" ca="1" si="34"/>
        <v xml:space="preserve">•    an expected age of death for future female pensioners aged 45 at the valuation date of </v>
      </c>
      <c r="I654" s="595" t="str">
        <f ca="1">IF($C$1=RefData!$B$418,'All Statement of strategy (D)'!$E654,IF('All Statement of strategy (D)'!$C$1=RefData!$B$419,'All Statement of strategy (D)'!$F654,IF('All Statement of strategy (D)'!$C$1=RefData!$B$420,'All Statement of strategy (D)'!$G654,IF('All Statement of strategy (D)'!$C$1=RefData!$B$421,'All Statement of strategy (D)'!$H654," "))))</f>
        <v xml:space="preserve"> </v>
      </c>
    </row>
    <row r="655" spans="1:9">
      <c r="B655" s="594" t="s">
        <v>2081</v>
      </c>
      <c r="E655" s="585" t="str">
        <f>$B655</f>
        <v xml:space="preserve">Differences between technical provisions and low dependency funding basis assumptions </v>
      </c>
      <c r="F655" s="585" t="str">
        <f>$B655</f>
        <v xml:space="preserve">Differences between technical provisions and low dependency funding basis assumptions </v>
      </c>
      <c r="G655" s="585" t="str">
        <f>$B655</f>
        <v xml:space="preserve">Differences between technical provisions and low dependency funding basis assumptions </v>
      </c>
      <c r="H655" s="585" t="str">
        <f>$B655</f>
        <v xml:space="preserve">Differences between technical provisions and low dependency funding basis assumptions </v>
      </c>
      <c r="I655" s="595" t="str">
        <f ca="1">IF($C$1=RefData!$B$418,'All Statement of strategy (D)'!$E655,IF('All Statement of strategy (D)'!$C$1=RefData!$B$419,'All Statement of strategy (D)'!$F655,IF('All Statement of strategy (D)'!$C$1=RefData!$B$420,'All Statement of strategy (D)'!$G655,IF('All Statement of strategy (D)'!$C$1=RefData!$B$421,'All Statement of strategy (D)'!$H655," "))))</f>
        <v xml:space="preserve"> </v>
      </c>
    </row>
    <row r="656" spans="1:9">
      <c r="B656" s="594" t="s">
        <v>2082</v>
      </c>
      <c r="E656" s="585" t="str">
        <f ca="1">IF('Reconciliation report'!$E$130=RefData!$B$198,'All Statement of strategy (D)'!$B656,"")</f>
        <v/>
      </c>
      <c r="F656" s="585" t="str">
        <f>""</f>
        <v/>
      </c>
      <c r="G656" s="585" t="str">
        <f ca="1">IF('Reconciliation report'!$E$130=RefData!$B$198,'All Statement of strategy (D)'!$B656,"")</f>
        <v/>
      </c>
      <c r="H656" s="585" t="str">
        <f>""</f>
        <v/>
      </c>
      <c r="I656" s="595" t="str">
        <f ca="1">IF($C$1=RefData!$B$418,'All Statement of strategy (D)'!$E656,IF('All Statement of strategy (D)'!$C$1=RefData!$B$419,'All Statement of strategy (D)'!$F656,IF('All Statement of strategy (D)'!$C$1=RefData!$B$420,'All Statement of strategy (D)'!$G656,IF('All Statement of strategy (D)'!$C$1=RefData!$B$421,'All Statement of strategy (D)'!$H656," "))))</f>
        <v xml:space="preserve"> </v>
      </c>
    </row>
    <row r="657" spans="1:9">
      <c r="B657" s="594" t="s">
        <v>2083</v>
      </c>
      <c r="E657" s="585" t="str">
        <f>""</f>
        <v/>
      </c>
      <c r="F657" s="585" t="str">
        <f ca="1">IF('Reconciliation report'!$E$130=RefData!$B$198,'All Statement of strategy (D)'!$B657,"")</f>
        <v/>
      </c>
      <c r="G657" s="585" t="str">
        <f>""</f>
        <v/>
      </c>
      <c r="H657" s="585" t="str">
        <f ca="1">IF('Reconciliation report'!$E$130=RefData!$B$198,'All Statement of strategy (D)'!$B657,"")</f>
        <v/>
      </c>
      <c r="I657" s="595" t="str">
        <f ca="1">IF($C$1=RefData!$B$418,'All Statement of strategy (D)'!$E657,IF('All Statement of strategy (D)'!$C$1=RefData!$B$419,'All Statement of strategy (D)'!$F657,IF('All Statement of strategy (D)'!$C$1=RefData!$B$420,'All Statement of strategy (D)'!$G657,IF('All Statement of strategy (D)'!$C$1=RefData!$B$421,'All Statement of strategy (D)'!$H657," "))))</f>
        <v xml:space="preserve"> </v>
      </c>
    </row>
    <row r="658" spans="1:9">
      <c r="B658" s="594" t="s">
        <v>2084</v>
      </c>
      <c r="E658" s="585" t="str">
        <f ca="1">IF(AND('Reconciliation report'!$E$131=RefData!$B$200,'Reconciliation report'!$E$132=RefData!$B$202),'All Statement of strategy (D)'!$B658,"")</f>
        <v/>
      </c>
      <c r="F658" s="585" t="str">
        <f>""</f>
        <v/>
      </c>
      <c r="G658" s="585" t="str">
        <f ca="1">IF(AND('Reconciliation report'!$E$131=RefData!$B$200,'Reconciliation report'!$E$132=RefData!$B$202),'All Statement of strategy (D)'!$B658,"")</f>
        <v/>
      </c>
      <c r="H658" s="585" t="str">
        <f>""</f>
        <v/>
      </c>
      <c r="I658" s="595" t="str">
        <f ca="1">IF($C$1=RefData!$B$418,'All Statement of strategy (D)'!$E658,IF('All Statement of strategy (D)'!$C$1=RefData!$B$419,'All Statement of strategy (D)'!$F658,IF('All Statement of strategy (D)'!$C$1=RefData!$B$420,'All Statement of strategy (D)'!$G658,IF('All Statement of strategy (D)'!$C$1=RefData!$B$421,'All Statement of strategy (D)'!$H658," "))))</f>
        <v xml:space="preserve"> </v>
      </c>
    </row>
    <row r="659" spans="1:9">
      <c r="B659" s="594" t="s">
        <v>2084</v>
      </c>
      <c r="E659" s="585" t="str">
        <f>""</f>
        <v/>
      </c>
      <c r="F659" s="585" t="str">
        <f ca="1">IF(AND('Reconciliation report'!$E$131=RefData!$B$200,'Reconciliation report'!$E$132=RefData!$B$202),'All Statement of strategy (D)'!$B659,"")</f>
        <v/>
      </c>
      <c r="G659" s="585" t="str">
        <f>""</f>
        <v/>
      </c>
      <c r="H659" s="585" t="str">
        <f ca="1">IF(AND('Reconciliation report'!$E$131=RefData!$B$200,'Reconciliation report'!$E$132=RefData!$B$202),'All Statement of strategy (D)'!$B659,"")</f>
        <v/>
      </c>
      <c r="I659" s="595" t="str">
        <f ca="1">IF($C$1=RefData!$B$418,'All Statement of strategy (D)'!$E659,IF('All Statement of strategy (D)'!$C$1=RefData!$B$419,'All Statement of strategy (D)'!$F659,IF('All Statement of strategy (D)'!$C$1=RefData!$B$420,'All Statement of strategy (D)'!$G659,IF('All Statement of strategy (D)'!$C$1=RefData!$B$421,'All Statement of strategy (D)'!$H659," "))))</f>
        <v xml:space="preserve"> </v>
      </c>
    </row>
    <row r="660" spans="1:9">
      <c r="B660" s="594" t="s">
        <v>2085</v>
      </c>
      <c r="E660" s="585" t="str">
        <f ca="1">IF(OR('Reconciliation report'!$E$131=RefData!$B$201,'Reconciliation report'!$E$132=RefData!$B$203),'All Statement of strategy (D)'!$B660,"")</f>
        <v/>
      </c>
      <c r="F660" s="585" t="str">
        <f>""</f>
        <v/>
      </c>
      <c r="G660" s="585" t="str">
        <f ca="1">IF(OR('Reconciliation report'!$E$131=RefData!$B$201,'Reconciliation report'!$E$132=RefData!$B$203),'All Statement of strategy (D)'!$B660,"")</f>
        <v/>
      </c>
      <c r="H660" s="585" t="str">
        <f>""</f>
        <v/>
      </c>
      <c r="I660" s="595" t="str">
        <f ca="1">IF($C$1=RefData!$B$418,'All Statement of strategy (D)'!$E660,IF('All Statement of strategy (D)'!$C$1=RefData!$B$419,'All Statement of strategy (D)'!$F660,IF('All Statement of strategy (D)'!$C$1=RefData!$B$420,'All Statement of strategy (D)'!$G660,IF('All Statement of strategy (D)'!$C$1=RefData!$B$421,'All Statement of strategy (D)'!$H660," "))))</f>
        <v xml:space="preserve"> </v>
      </c>
    </row>
    <row r="661" spans="1:9">
      <c r="B661" s="594" t="s">
        <v>2086</v>
      </c>
      <c r="E661" s="585" t="str">
        <f>""</f>
        <v/>
      </c>
      <c r="F661" s="585" t="str">
        <f ca="1">IF(OR('Reconciliation report'!$E$131=RefData!$B$201,'Reconciliation report'!$E$132=RefData!$B$203),'All Statement of strategy (D)'!$B661,"")</f>
        <v/>
      </c>
      <c r="G661" s="585" t="str">
        <f>""</f>
        <v/>
      </c>
      <c r="H661" s="585" t="str">
        <f ca="1">IF(OR('Reconciliation report'!$E$131=RefData!$B$201,'Reconciliation report'!$E$132=RefData!$B$203),'All Statement of strategy (D)'!$B661,"")</f>
        <v/>
      </c>
      <c r="I661" s="595" t="str">
        <f ca="1">IF($C$1=RefData!$B$418,'All Statement of strategy (D)'!$E661,IF('All Statement of strategy (D)'!$C$1=RefData!$B$419,'All Statement of strategy (D)'!$F661,IF('All Statement of strategy (D)'!$C$1=RefData!$B$420,'All Statement of strategy (D)'!$G661,IF('All Statement of strategy (D)'!$C$1=RefData!$B$421,'All Statement of strategy (D)'!$H661," "))))</f>
        <v xml:space="preserve"> </v>
      </c>
    </row>
    <row r="662" spans="1:9">
      <c r="A662" s="584" t="s">
        <v>2087</v>
      </c>
      <c r="B662" s="594" t="str">
        <f ca="1">LEFT('Reconciliation report'!$E$133,1000)</f>
        <v/>
      </c>
      <c r="E662" s="585" t="str">
        <f ca="1">IF(OR('Reconciliation report'!$E$131=RefData!$B$201,'Reconciliation report'!$E$132=RefData!$B$203),'All Statement of strategy (D)'!$B662,"")</f>
        <v/>
      </c>
      <c r="F662" s="585" t="str">
        <f ca="1">IF(OR('Reconciliation report'!$E$131=RefData!$B$201,'Reconciliation report'!$E$132=RefData!$B$203),'All Statement of strategy (D)'!$B662,"")</f>
        <v/>
      </c>
      <c r="G662" s="585" t="str">
        <f ca="1">IF(OR('Reconciliation report'!$E$131=RefData!$B$201,'Reconciliation report'!$E$132=RefData!$B$203),'All Statement of strategy (D)'!$B662,"")</f>
        <v/>
      </c>
      <c r="H662" s="585" t="str">
        <f ca="1">IF(OR('Reconciliation report'!$E$131=RefData!$B$201,'Reconciliation report'!$E$132=RefData!$B$203),'All Statement of strategy (D)'!$B662,"")</f>
        <v/>
      </c>
      <c r="I662" s="595" t="str">
        <f ca="1">IF($C$1=RefData!$B$418,'All Statement of strategy (D)'!$E662,IF('All Statement of strategy (D)'!$C$1=RefData!$B$419,'All Statement of strategy (D)'!$F662,IF('All Statement of strategy (D)'!$C$1=RefData!$B$420,'All Statement of strategy (D)'!$G662,IF('All Statement of strategy (D)'!$C$1=RefData!$B$421,'All Statement of strategy (D)'!$H662," "))))</f>
        <v xml:space="preserve"> </v>
      </c>
    </row>
    <row r="663" spans="1:9">
      <c r="A663" s="584" t="s">
        <v>2087</v>
      </c>
      <c r="B663" s="594" t="str">
        <f ca="1">MID('Reconciliation report'!$E$133,1001,1000)</f>
        <v/>
      </c>
      <c r="E663" s="585" t="str">
        <f ca="1">IF(OR('Reconciliation report'!$E$131=RefData!$B$201,'Reconciliation report'!$E$132=RefData!$B$203),'All Statement of strategy (D)'!$B663,"")</f>
        <v/>
      </c>
      <c r="F663" s="585" t="str">
        <f ca="1">IF(OR('Reconciliation report'!$E$131=RefData!$B$201,'Reconciliation report'!$E$132=RefData!$B$203),'All Statement of strategy (D)'!$B663,"")</f>
        <v/>
      </c>
      <c r="G663" s="585" t="str">
        <f ca="1">IF(OR('Reconciliation report'!$E$131=RefData!$B$201,'Reconciliation report'!$E$132=RefData!$B$203),'All Statement of strategy (D)'!$B663,"")</f>
        <v/>
      </c>
      <c r="H663" s="585" t="str">
        <f ca="1">IF(OR('Reconciliation report'!$E$131=RefData!$B$201,'Reconciliation report'!$E$132=RefData!$B$203),'All Statement of strategy (D)'!$B663,"")</f>
        <v/>
      </c>
      <c r="I663" s="595" t="str">
        <f ca="1">IF($C$1=RefData!$B$418,'All Statement of strategy (D)'!$E663,IF('All Statement of strategy (D)'!$C$1=RefData!$B$419,'All Statement of strategy (D)'!$F663,IF('All Statement of strategy (D)'!$C$1=RefData!$B$420,'All Statement of strategy (D)'!$G663,IF('All Statement of strategy (D)'!$C$1=RefData!$B$421,'All Statement of strategy (D)'!$H663," "))))</f>
        <v xml:space="preserve"> </v>
      </c>
    </row>
    <row r="664" spans="1:9">
      <c r="A664" s="584" t="s">
        <v>2087</v>
      </c>
      <c r="B664" s="594" t="str">
        <f ca="1">MID('Reconciliation report'!$E$133,2001,1000)</f>
        <v/>
      </c>
      <c r="E664" s="585" t="str">
        <f ca="1">IF(OR('Reconciliation report'!$E$131=RefData!$B$201,'Reconciliation report'!$E$132=RefData!$B$203),'All Statement of strategy (D)'!$B664,"")</f>
        <v/>
      </c>
      <c r="F664" s="585" t="str">
        <f ca="1">IF(OR('Reconciliation report'!$E$131=RefData!$B$201,'Reconciliation report'!$E$132=RefData!$B$203),'All Statement of strategy (D)'!$B664,"")</f>
        <v/>
      </c>
      <c r="G664" s="585" t="str">
        <f ca="1">IF(OR('Reconciliation report'!$E$131=RefData!$B$201,'Reconciliation report'!$E$132=RefData!$B$203),'All Statement of strategy (D)'!$B664,"")</f>
        <v/>
      </c>
      <c r="H664" s="585" t="str">
        <f ca="1">IF(OR('Reconciliation report'!$E$131=RefData!$B$201,'Reconciliation report'!$E$132=RefData!$B$203),'All Statement of strategy (D)'!$B664,"")</f>
        <v/>
      </c>
      <c r="I664" s="595" t="str">
        <f ca="1">IF($C$1=RefData!$B$418,'All Statement of strategy (D)'!$E664,IF('All Statement of strategy (D)'!$C$1=RefData!$B$419,'All Statement of strategy (D)'!$F664,IF('All Statement of strategy (D)'!$C$1=RefData!$B$420,'All Statement of strategy (D)'!$G664,IF('All Statement of strategy (D)'!$C$1=RefData!$B$421,'All Statement of strategy (D)'!$H664," "))))</f>
        <v xml:space="preserve"> </v>
      </c>
    </row>
    <row r="665" spans="1:9" ht="16" thickBot="1">
      <c r="A665" s="584" t="s">
        <v>2087</v>
      </c>
      <c r="B665" s="597" t="str">
        <f ca="1">MID('Reconciliation report'!$E$133,3001,1000)</f>
        <v/>
      </c>
      <c r="C665" s="598"/>
      <c r="D665" s="598"/>
      <c r="E665" s="598" t="str">
        <f ca="1">IF(OR('Reconciliation report'!$E$131=RefData!$B$201,'Reconciliation report'!$E$132=RefData!$B$203),'All Statement of strategy (D)'!$B665,"")</f>
        <v/>
      </c>
      <c r="F665" s="598" t="str">
        <f ca="1">IF(OR('Reconciliation report'!$E$131=RefData!$B$201,'Reconciliation report'!$E$132=RefData!$B$203),'All Statement of strategy (D)'!$B665,"")</f>
        <v/>
      </c>
      <c r="G665" s="598" t="str">
        <f ca="1">IF(OR('Reconciliation report'!$E$131=RefData!$B$201,'Reconciliation report'!$E$132=RefData!$B$203),'All Statement of strategy (D)'!$B665,"")</f>
        <v/>
      </c>
      <c r="H665" s="598" t="str">
        <f ca="1">IF(OR('Reconciliation report'!$E$131=RefData!$B$201,'Reconciliation report'!$E$132=RefData!$B$203),'All Statement of strategy (D)'!$B665,"")</f>
        <v/>
      </c>
      <c r="I665" s="599" t="str">
        <f ca="1">IF($C$1=RefData!$B$418,'All Statement of strategy (D)'!$E665,IF('All Statement of strategy (D)'!$C$1=RefData!$B$419,'All Statement of strategy (D)'!$F665,IF('All Statement of strategy (D)'!$C$1=RefData!$B$420,'All Statement of strategy (D)'!$G665,IF('All Statement of strategy (D)'!$C$1=RefData!$B$421,'All Statement of strategy (D)'!$H665," "))))</f>
        <v xml:space="preserve"> </v>
      </c>
    </row>
    <row r="666" spans="1:9">
      <c r="B666" s="594" t="s">
        <v>2088</v>
      </c>
      <c r="E666" s="585" t="str">
        <f ca="1">IF(OR('Reconciliation report'!$E$104=RefData!$B$8,'Reconciliation report'!$E$9=RefData!$B$5),'All Statement of strategy (D)'!$B666,"")</f>
        <v/>
      </c>
      <c r="F666" s="585" t="str">
        <f ca="1">IF(OR('Reconciliation report'!$E$104=RefData!$B$8,'Reconciliation report'!$E$9=RefData!$B$5),'All Statement of strategy (D)'!$B666,"")</f>
        <v/>
      </c>
      <c r="G666" s="585" t="str">
        <f ca="1">IF(OR('Reconciliation report'!$E$104=RefData!$B$8,'Reconciliation report'!$E$9=RefData!$B$5),'All Statement of strategy (D)'!$B666,"")</f>
        <v/>
      </c>
      <c r="H666" s="585" t="str">
        <f ca="1">IF(OR('Reconciliation report'!$E$104=RefData!$B$8,'Reconciliation report'!$E$9=RefData!$B$5),'All Statement of strategy (D)'!$B666,"")</f>
        <v/>
      </c>
      <c r="I666" s="595" t="str">
        <f ca="1">IF($C$1=RefData!$B$418,'All Statement of strategy (D)'!$E666,IF('All Statement of strategy (D)'!$C$1=RefData!$B$419,'All Statement of strategy (D)'!$F666,IF('All Statement of strategy (D)'!$C$1=RefData!$B$420,'All Statement of strategy (D)'!$G666,IF('All Statement of strategy (D)'!$C$1=RefData!$B$421,'All Statement of strategy (D)'!$H666," "))))</f>
        <v xml:space="preserve"> </v>
      </c>
    </row>
    <row r="667" spans="1:9">
      <c r="B667" s="594" t="s">
        <v>2089</v>
      </c>
      <c r="E667" s="585" t="str">
        <f ca="1">IF(OR('Reconciliation report'!$E$104=RefData!$B$8,'Reconciliation report'!$E$9=RefData!$B$5),'All Statement of strategy (D)'!$B667,"")</f>
        <v/>
      </c>
      <c r="F667" s="585" t="str">
        <f ca="1">IF(OR('Reconciliation report'!$E$104=RefData!$B$8,'Reconciliation report'!$E$9=RefData!$B$5),'All Statement of strategy (D)'!$B667,"")</f>
        <v/>
      </c>
      <c r="G667" s="585" t="str">
        <f ca="1">IF(OR('Reconciliation report'!$E$104=RefData!$B$8,'Reconciliation report'!$E$9=RefData!$B$5),'All Statement of strategy (D)'!$B667,"")</f>
        <v/>
      </c>
      <c r="H667" s="585" t="str">
        <f ca="1">IF(OR('Reconciliation report'!$E$104=RefData!$B$8,'Reconciliation report'!$E$9=RefData!$B$5),'All Statement of strategy (D)'!$B667,"")</f>
        <v/>
      </c>
      <c r="I667" s="595" t="str">
        <f ca="1">IF($C$1=RefData!$B$418,'All Statement of strategy (D)'!$E667,IF('All Statement of strategy (D)'!$C$1=RefData!$B$419,'All Statement of strategy (D)'!$F667,IF('All Statement of strategy (D)'!$C$1=RefData!$B$420,'All Statement of strategy (D)'!$G667,IF('All Statement of strategy (D)'!$C$1=RefData!$B$421,'All Statement of strategy (D)'!$H667," "))))</f>
        <v xml:space="preserve"> </v>
      </c>
    </row>
    <row r="668" spans="1:9">
      <c r="B668" s="594" t="str">
        <f>"
Year
"</f>
        <v xml:space="preserve">
Year
</v>
      </c>
      <c r="E668" s="585" t="str">
        <f ca="1">IF(OR('Reconciliation report'!$E$104=RefData!$B$8,'Reconciliation report'!$E$9=RefData!$B$5),'All Statement of strategy (D)'!$B668,"")</f>
        <v/>
      </c>
      <c r="F668" s="585" t="str">
        <f ca="1">IF(OR('Reconciliation report'!$E$104=RefData!$B$8,'Reconciliation report'!$E$9=RefData!$B$5),'All Statement of strategy (D)'!$B668,"")</f>
        <v/>
      </c>
      <c r="G668" s="585" t="str">
        <f ca="1">IF(OR('Reconciliation report'!$E$104=RefData!$B$8,'Reconciliation report'!$E$9=RefData!$B$5),'All Statement of strategy (D)'!$B668,"")</f>
        <v/>
      </c>
      <c r="H668" s="585" t="str">
        <f ca="1">IF(OR('Reconciliation report'!$E$104=RefData!$B$8,'Reconciliation report'!$E$9=RefData!$B$5),'All Statement of strategy (D)'!$B668,"")</f>
        <v/>
      </c>
      <c r="I668" s="595" t="str">
        <f ca="1">IF($C$1=RefData!$B$418,'All Statement of strategy (D)'!$E668,IF('All Statement of strategy (D)'!$C$1=RefData!$B$419,'All Statement of strategy (D)'!$F668,IF('All Statement of strategy (D)'!$C$1=RefData!$B$420,'All Statement of strategy (D)'!$G668,IF('All Statement of strategy (D)'!$C$1=RefData!$B$421,'All Statement of strategy (D)'!$H668," "))))</f>
        <v xml:space="preserve"> </v>
      </c>
    </row>
    <row r="669" spans="1:9">
      <c r="B669" s="594" t="str">
        <f>"
Discount rate: underlying yields (excluding additions)
"</f>
        <v xml:space="preserve">
Discount rate: underlying yields (excluding additions)
</v>
      </c>
      <c r="E669" s="585" t="str">
        <f ca="1">IF(OR('Reconciliation report'!$E$104=RefData!$B$8,'Reconciliation report'!$E$9=RefData!$B$5),'All Statement of strategy (D)'!$B669,"")</f>
        <v/>
      </c>
      <c r="F669" s="585" t="str">
        <f ca="1">IF(OR('Reconciliation report'!$E$104=RefData!$B$8,'Reconciliation report'!$E$9=RefData!$B$5),'All Statement of strategy (D)'!$B669,"")</f>
        <v/>
      </c>
      <c r="G669" s="585" t="str">
        <f ca="1">IF(OR('Reconciliation report'!$E$104=RefData!$B$8,'Reconciliation report'!$E$9=RefData!$B$5),'All Statement of strategy (D)'!$B669,"")</f>
        <v/>
      </c>
      <c r="H669" s="585" t="str">
        <f ca="1">IF(OR('Reconciliation report'!$E$104=RefData!$B$8,'Reconciliation report'!$E$9=RefData!$B$5),'All Statement of strategy (D)'!$B669,"")</f>
        <v/>
      </c>
      <c r="I669" s="595" t="str">
        <f ca="1">IF($C$1=RefData!$B$418,'All Statement of strategy (D)'!$E669,IF('All Statement of strategy (D)'!$C$1=RefData!$B$419,'All Statement of strategy (D)'!$F669,IF('All Statement of strategy (D)'!$C$1=RefData!$B$420,'All Statement of strategy (D)'!$G669,IF('All Statement of strategy (D)'!$C$1=RefData!$B$421,'All Statement of strategy (D)'!$H669," "))))</f>
        <v xml:space="preserve"> </v>
      </c>
    </row>
    <row r="670" spans="1:9">
      <c r="B670" s="594" t="str">
        <f>"
Discount rate: additions to curve - technical provisions
"</f>
        <v xml:space="preserve">
Discount rate: additions to curve - technical provisions
</v>
      </c>
      <c r="E670" s="585" t="str">
        <f ca="1">IF(AND(OR('Reconciliation report'!$E$104=RefData!$B$8,'Reconciliation report'!$E$9=RefData!$B$5),'Reconciliation report'!$E$105&lt;&gt;RefData!$B$35),'All Statement of strategy (D)'!$B670,"")</f>
        <v/>
      </c>
      <c r="F670" s="585" t="str">
        <f ca="1">IF(AND(OR('Reconciliation report'!$E$104=RefData!$B$8,'Reconciliation report'!$E$9=RefData!$B$5),'Reconciliation report'!$E$105&lt;&gt;RefData!$B$35),'All Statement of strategy (D)'!$B670,"")</f>
        <v/>
      </c>
      <c r="G670" s="585" t="str">
        <f ca="1">IF(AND(OR('Reconciliation report'!$E$104=RefData!$B$8,'Reconciliation report'!$E$9=RefData!$B$5),'Reconciliation report'!$E$105&lt;&gt;RefData!$B$35),'All Statement of strategy (D)'!$B670,"")</f>
        <v/>
      </c>
      <c r="H670" s="585" t="str">
        <f ca="1">IF(AND(OR('Reconciliation report'!$E$104=RefData!$B$8,'Reconciliation report'!$E$9=RefData!$B$5),'Reconciliation report'!$E$105&lt;&gt;RefData!$B$35),'All Statement of strategy (D)'!$B670,"")</f>
        <v/>
      </c>
      <c r="I670" s="595" t="str">
        <f ca="1">IF($C$1=RefData!$B$418,'All Statement of strategy (D)'!$E670,IF('All Statement of strategy (D)'!$C$1=RefData!$B$419,'All Statement of strategy (D)'!$F670,IF('All Statement of strategy (D)'!$C$1=RefData!$B$420,'All Statement of strategy (D)'!$G670,IF('All Statement of strategy (D)'!$C$1=RefData!$B$421,'All Statement of strategy (D)'!$H670," "))))</f>
        <v xml:space="preserve"> </v>
      </c>
    </row>
    <row r="671" spans="1:9">
      <c r="B671" s="594" t="str">
        <f>"
Discount rate: additions to curve - low dependency
"</f>
        <v xml:space="preserve">
Discount rate: additions to curve - low dependency
</v>
      </c>
      <c r="E671" s="585" t="str">
        <f ca="1">IF(AND(OR('Reconciliation report'!$E$104=RefData!$B$8,'Reconciliation report'!$E$9=RefData!$B$5),'Reconciliation report'!$E$105&lt;&gt;RefData!$B$35),'All Statement of strategy (D)'!$B671,"")</f>
        <v/>
      </c>
      <c r="F671" s="585" t="str">
        <f ca="1">IF(AND(OR('Reconciliation report'!$E$104=RefData!$B$8,'Reconciliation report'!$E$9=RefData!$B$5),'Reconciliation report'!$E$105&lt;&gt;RefData!$B$35),'All Statement of strategy (D)'!$B671,"")</f>
        <v/>
      </c>
      <c r="G671" s="585" t="str">
        <f ca="1">IF(AND(OR('Reconciliation report'!$E$104=RefData!$B$8,'Reconciliation report'!$E$9=RefData!$B$5),'Reconciliation report'!$E$105&lt;&gt;RefData!$B$35),'All Statement of strategy (D)'!$B671,"")</f>
        <v/>
      </c>
      <c r="H671" s="585" t="str">
        <f ca="1">IF(AND(OR('Reconciliation report'!$E$104=RefData!$B$8,'Reconciliation report'!$E$9=RefData!$B$5),'Reconciliation report'!$E$105&lt;&gt;RefData!$B$35),'All Statement of strategy (D)'!$B671,"")</f>
        <v/>
      </c>
      <c r="I671" s="595" t="str">
        <f ca="1">IF($C$1=RefData!$B$418,'All Statement of strategy (D)'!$E671,IF('All Statement of strategy (D)'!$C$1=RefData!$B$419,'All Statement of strategy (D)'!$F671,IF('All Statement of strategy (D)'!$C$1=RefData!$B$420,'All Statement of strategy (D)'!$G671,IF('All Statement of strategy (D)'!$C$1=RefData!$B$421,'All Statement of strategy (D)'!$H671," "))))</f>
        <v xml:space="preserve"> </v>
      </c>
    </row>
    <row r="672" spans="1:9">
      <c r="B672" s="594" t="str">
        <f>"
RPI assumption curve
"</f>
        <v xml:space="preserve">
RPI assumption curve
</v>
      </c>
      <c r="E672" s="585" t="str">
        <f ca="1">IF(AND(OR('Reconciliation report'!$E$104=RefData!$B$8,'Reconciliation report'!$E$9=RefData!$B$5),OR('Reconciliation report'!$E$119=RefData!$B$46,'Reconciliation report'!$E$119=RefData!$B$48)),'All Statement of strategy (D)'!$B672,"")</f>
        <v/>
      </c>
      <c r="F672" s="585" t="str">
        <f ca="1">IF(AND(OR('Reconciliation report'!$E$104=RefData!$B$8,'Reconciliation report'!$E$9=RefData!$B$5),OR('Reconciliation report'!$E$119=RefData!$B$46,'Reconciliation report'!$E$119=RefData!$B$48)),'All Statement of strategy (D)'!$B672,"")</f>
        <v/>
      </c>
      <c r="G672" s="585" t="str">
        <f ca="1">IF(AND(OR('Reconciliation report'!$E$104=RefData!$B$8,'Reconciliation report'!$E$9=RefData!$B$5),OR('Reconciliation report'!$E$119=RefData!$B$46,'Reconciliation report'!$E$119=RefData!$B$48)),'All Statement of strategy (D)'!$B672,"")</f>
        <v/>
      </c>
      <c r="H672" s="585" t="str">
        <f ca="1">IF(AND(OR('Reconciliation report'!$E$104=RefData!$B$8,'Reconciliation report'!$E$9=RefData!$B$5),OR('Reconciliation report'!$E$119=RefData!$B$46,'Reconciliation report'!$E$119=RefData!$B$48)),'All Statement of strategy (D)'!$B672,"")</f>
        <v/>
      </c>
      <c r="I672" s="595" t="str">
        <f ca="1">IF($C$1=RefData!$B$418,'All Statement of strategy (D)'!$E672,IF('All Statement of strategy (D)'!$C$1=RefData!$B$419,'All Statement of strategy (D)'!$F672,IF('All Statement of strategy (D)'!$C$1=RefData!$B$420,'All Statement of strategy (D)'!$G672,IF('All Statement of strategy (D)'!$C$1=RefData!$B$421,'All Statement of strategy (D)'!$H672," "))))</f>
        <v xml:space="preserve"> </v>
      </c>
    </row>
    <row r="673" spans="2:9">
      <c r="B673" s="594" t="str">
        <f>"
CPI assumption curve
"</f>
        <v xml:space="preserve">
CPI assumption curve
</v>
      </c>
      <c r="E673" s="585" t="str">
        <f ca="1">IF(AND(OR('Reconciliation report'!$E$104=RefData!$B$8,'Reconciliation report'!$E$9=RefData!$B$5),OR('Reconciliation report'!$E$119=RefData!$B$46,'Reconciliation report'!$E$119=RefData!$B$47)),'All Statement of strategy (D)'!$B673,"")</f>
        <v/>
      </c>
      <c r="F673" s="585" t="str">
        <f ca="1">IF(AND(OR('Reconciliation report'!$E$104=RefData!$B$8,'Reconciliation report'!$E$9=RefData!$B$5),OR('Reconciliation report'!$E$119=RefData!$B$46,'Reconciliation report'!$E$119=RefData!$B$47)),'All Statement of strategy (D)'!$B673,"")</f>
        <v/>
      </c>
      <c r="G673" s="585" t="str">
        <f ca="1">IF(AND(OR('Reconciliation report'!$E$104=RefData!$B$8,'Reconciliation report'!$E$9=RefData!$B$5),OR('Reconciliation report'!$E$119=RefData!$B$46,'Reconciliation report'!$E$119=RefData!$B$47)),'All Statement of strategy (D)'!$B673,"")</f>
        <v/>
      </c>
      <c r="H673" s="585" t="str">
        <f ca="1">IF(AND(OR('Reconciliation report'!$E$104=RefData!$B$8,'Reconciliation report'!$E$9=RefData!$B$5),OR('Reconciliation report'!$E$119=RefData!$B$46,'Reconciliation report'!$E$119=RefData!$B$47)),'All Statement of strategy (D)'!$B673,"")</f>
        <v/>
      </c>
      <c r="I673" s="595" t="str">
        <f ca="1">IF($C$1=RefData!$B$418,'All Statement of strategy (D)'!$E673,IF('All Statement of strategy (D)'!$C$1=RefData!$B$419,'All Statement of strategy (D)'!$F673,IF('All Statement of strategy (D)'!$C$1=RefData!$B$420,'All Statement of strategy (D)'!$G673,IF('All Statement of strategy (D)'!$C$1=RefData!$B$421,'All Statement of strategy (D)'!$H673," "))))</f>
        <v xml:space="preserve"> </v>
      </c>
    </row>
    <row r="674" spans="2:9">
      <c r="B674" s="594" t="str">
        <f>"
Pay increase assumption curve
"</f>
        <v xml:space="preserve">
Pay increase assumption curve
</v>
      </c>
      <c r="E674" s="585" t="str">
        <f ca="1">IF(AND(OR('Reconciliation report'!$E$104=RefData!$B$8,'Reconciliation report'!$E$9=RefData!$B$5),'Reconciliation report'!$E$122=RefData!$B$50),'All Statement of strategy (D)'!$B674,"")</f>
        <v/>
      </c>
      <c r="F674" s="585" t="str">
        <f ca="1">IF(AND(OR('Reconciliation report'!$E$104=RefData!$B$8,'Reconciliation report'!$E$9=RefData!$B$5),'Reconciliation report'!$E$122=RefData!$B$50),'All Statement of strategy (D)'!$B674,"")</f>
        <v/>
      </c>
      <c r="G674" s="585" t="str">
        <f ca="1">IF(AND(OR('Reconciliation report'!$E$104=RefData!$B$8,'Reconciliation report'!$E$9=RefData!$B$5),'Reconciliation report'!$E$122=RefData!$B$50),'All Statement of strategy (D)'!$B674,"")</f>
        <v/>
      </c>
      <c r="H674" s="585" t="str">
        <f ca="1">IF(AND(OR('Reconciliation report'!$E$104=RefData!$B$8,'Reconciliation report'!$E$9=RefData!$B$5),'Reconciliation report'!$E$122=RefData!$B$50),'All Statement of strategy (D)'!$B674,"")</f>
        <v/>
      </c>
      <c r="I674" s="595" t="str">
        <f ca="1">IF($C$1=RefData!$B$418,'All Statement of strategy (D)'!$E674,IF('All Statement of strategy (D)'!$C$1=RefData!$B$419,'All Statement of strategy (D)'!$F674,IF('All Statement of strategy (D)'!$C$1=RefData!$B$420,'All Statement of strategy (D)'!$G674,IF('All Statement of strategy (D)'!$C$1=RefData!$B$421,'All Statement of strategy (D)'!$H674," "))))</f>
        <v xml:space="preserve"> </v>
      </c>
    </row>
    <row r="675" spans="2:9">
      <c r="B675" s="594">
        <v>1</v>
      </c>
      <c r="E675" s="585" t="str">
        <f ca="1">IF(OR('Reconciliation report'!$E$104=RefData!$B$8,'Reconciliation report'!$E$9=RefData!$B$5),'All Statement of strategy (D)'!$B675,"")</f>
        <v/>
      </c>
      <c r="F675" s="585" t="str">
        <f ca="1">IF(OR('Reconciliation report'!$E$104=RefData!$B$8,'Reconciliation report'!$E$9=RefData!$B$5),'All Statement of strategy (D)'!$B675,"")</f>
        <v/>
      </c>
      <c r="G675" s="585" t="str">
        <f ca="1">IF(OR('Reconciliation report'!$E$104=RefData!$B$8,'Reconciliation report'!$E$9=RefData!$B$5),'All Statement of strategy (D)'!$B675,"")</f>
        <v/>
      </c>
      <c r="H675" s="585" t="str">
        <f ca="1">IF(OR('Reconciliation report'!$E$104=RefData!$B$8,'Reconciliation report'!$E$9=RefData!$B$5),'All Statement of strategy (D)'!$B675,"")</f>
        <v/>
      </c>
      <c r="I675" s="595" t="str">
        <f ca="1">IF($C$1=RefData!$B$418,'All Statement of strategy (D)'!$E675,IF('All Statement of strategy (D)'!$C$1=RefData!$B$419,'All Statement of strategy (D)'!$F675,IF('All Statement of strategy (D)'!$C$1=RefData!$B$420,'All Statement of strategy (D)'!$G675,IF('All Statement of strategy (D)'!$C$1=RefData!$B$421,'All Statement of strategy (D)'!$H675," "))))</f>
        <v xml:space="preserve"> </v>
      </c>
    </row>
    <row r="676" spans="2:9">
      <c r="B676" s="594">
        <v>2</v>
      </c>
      <c r="E676" s="585" t="str">
        <f ca="1">IF(OR('Reconciliation report'!$E$104=RefData!$B$8,'Reconciliation report'!$E$9=RefData!$B$5),'All Statement of strategy (D)'!$B676,"")</f>
        <v/>
      </c>
      <c r="F676" s="585" t="str">
        <f ca="1">IF(OR('Reconciliation report'!$E$104=RefData!$B$8,'Reconciliation report'!$E$9=RefData!$B$5),'All Statement of strategy (D)'!$B676,"")</f>
        <v/>
      </c>
      <c r="G676" s="585" t="str">
        <f ca="1">IF(OR('Reconciliation report'!$E$104=RefData!$B$8,'Reconciliation report'!$E$9=RefData!$B$5),'All Statement of strategy (D)'!$B676,"")</f>
        <v/>
      </c>
      <c r="H676" s="585" t="str">
        <f ca="1">IF(OR('Reconciliation report'!$E$104=RefData!$B$8,'Reconciliation report'!$E$9=RefData!$B$5),'All Statement of strategy (D)'!$B676,"")</f>
        <v/>
      </c>
      <c r="I676" s="595" t="str">
        <f ca="1">IF($C$1=RefData!$B$418,'All Statement of strategy (D)'!$E676,IF('All Statement of strategy (D)'!$C$1=RefData!$B$419,'All Statement of strategy (D)'!$F676,IF('All Statement of strategy (D)'!$C$1=RefData!$B$420,'All Statement of strategy (D)'!$G676,IF('All Statement of strategy (D)'!$C$1=RefData!$B$421,'All Statement of strategy (D)'!$H676," "))))</f>
        <v xml:space="preserve"> </v>
      </c>
    </row>
    <row r="677" spans="2:9">
      <c r="B677" s="594">
        <v>3</v>
      </c>
      <c r="E677" s="585" t="str">
        <f ca="1">IF(OR('Reconciliation report'!$E$104=RefData!$B$8,'Reconciliation report'!$E$9=RefData!$B$5),'All Statement of strategy (D)'!$B677,"")</f>
        <v/>
      </c>
      <c r="F677" s="585" t="str">
        <f ca="1">IF(OR('Reconciliation report'!$E$104=RefData!$B$8,'Reconciliation report'!$E$9=RefData!$B$5),'All Statement of strategy (D)'!$B677,"")</f>
        <v/>
      </c>
      <c r="G677" s="585" t="str">
        <f ca="1">IF(OR('Reconciliation report'!$E$104=RefData!$B$8,'Reconciliation report'!$E$9=RefData!$B$5),'All Statement of strategy (D)'!$B677,"")</f>
        <v/>
      </c>
      <c r="H677" s="585" t="str">
        <f ca="1">IF(OR('Reconciliation report'!$E$104=RefData!$B$8,'Reconciliation report'!$E$9=RefData!$B$5),'All Statement of strategy (D)'!$B677,"")</f>
        <v/>
      </c>
      <c r="I677" s="595" t="str">
        <f ca="1">IF($C$1=RefData!$B$418,'All Statement of strategy (D)'!$E677,IF('All Statement of strategy (D)'!$C$1=RefData!$B$419,'All Statement of strategy (D)'!$F677,IF('All Statement of strategy (D)'!$C$1=RefData!$B$420,'All Statement of strategy (D)'!$G677,IF('All Statement of strategy (D)'!$C$1=RefData!$B$421,'All Statement of strategy (D)'!$H677," "))))</f>
        <v xml:space="preserve"> </v>
      </c>
    </row>
    <row r="678" spans="2:9">
      <c r="B678" s="594">
        <v>4</v>
      </c>
      <c r="E678" s="585" t="str">
        <f ca="1">IF(OR('Reconciliation report'!$E$104=RefData!$B$8,'Reconciliation report'!$E$9=RefData!$B$5),'All Statement of strategy (D)'!$B678,"")</f>
        <v/>
      </c>
      <c r="F678" s="585" t="str">
        <f ca="1">IF(OR('Reconciliation report'!$E$104=RefData!$B$8,'Reconciliation report'!$E$9=RefData!$B$5),'All Statement of strategy (D)'!$B678,"")</f>
        <v/>
      </c>
      <c r="G678" s="585" t="str">
        <f ca="1">IF(OR('Reconciliation report'!$E$104=RefData!$B$8,'Reconciliation report'!$E$9=RefData!$B$5),'All Statement of strategy (D)'!$B678,"")</f>
        <v/>
      </c>
      <c r="H678" s="585" t="str">
        <f ca="1">IF(OR('Reconciliation report'!$E$104=RefData!$B$8,'Reconciliation report'!$E$9=RefData!$B$5),'All Statement of strategy (D)'!$B678,"")</f>
        <v/>
      </c>
      <c r="I678" s="595" t="str">
        <f ca="1">IF($C$1=RefData!$B$418,'All Statement of strategy (D)'!$E678,IF('All Statement of strategy (D)'!$C$1=RefData!$B$419,'All Statement of strategy (D)'!$F678,IF('All Statement of strategy (D)'!$C$1=RefData!$B$420,'All Statement of strategy (D)'!$G678,IF('All Statement of strategy (D)'!$C$1=RefData!$B$421,'All Statement of strategy (D)'!$H678," "))))</f>
        <v xml:space="preserve"> </v>
      </c>
    </row>
    <row r="679" spans="2:9">
      <c r="B679" s="594">
        <v>5</v>
      </c>
      <c r="E679" s="585" t="str">
        <f ca="1">IF(OR('Reconciliation report'!$E$104=RefData!$B$8,'Reconciliation report'!$E$9=RefData!$B$5),'All Statement of strategy (D)'!$B679,"")</f>
        <v/>
      </c>
      <c r="F679" s="585" t="str">
        <f ca="1">IF(OR('Reconciliation report'!$E$104=RefData!$B$8,'Reconciliation report'!$E$9=RefData!$B$5),'All Statement of strategy (D)'!$B679,"")</f>
        <v/>
      </c>
      <c r="G679" s="585" t="str">
        <f ca="1">IF(OR('Reconciliation report'!$E$104=RefData!$B$8,'Reconciliation report'!$E$9=RefData!$B$5),'All Statement of strategy (D)'!$B679,"")</f>
        <v/>
      </c>
      <c r="H679" s="585" t="str">
        <f ca="1">IF(OR('Reconciliation report'!$E$104=RefData!$B$8,'Reconciliation report'!$E$9=RefData!$B$5),'All Statement of strategy (D)'!$B679,"")</f>
        <v/>
      </c>
      <c r="I679" s="595" t="str">
        <f ca="1">IF($C$1=RefData!$B$418,'All Statement of strategy (D)'!$E679,IF('All Statement of strategy (D)'!$C$1=RefData!$B$419,'All Statement of strategy (D)'!$F679,IF('All Statement of strategy (D)'!$C$1=RefData!$B$420,'All Statement of strategy (D)'!$G679,IF('All Statement of strategy (D)'!$C$1=RefData!$B$421,'All Statement of strategy (D)'!$H679," "))))</f>
        <v xml:space="preserve"> </v>
      </c>
    </row>
    <row r="680" spans="2:9">
      <c r="B680" s="594">
        <v>6</v>
      </c>
      <c r="E680" s="585" t="str">
        <f ca="1">IF(OR('Reconciliation report'!$E$104=RefData!$B$8,'Reconciliation report'!$E$9=RefData!$B$5),'All Statement of strategy (D)'!$B680,"")</f>
        <v/>
      </c>
      <c r="F680" s="585" t="str">
        <f ca="1">IF(OR('Reconciliation report'!$E$104=RefData!$B$8,'Reconciliation report'!$E$9=RefData!$B$5),'All Statement of strategy (D)'!$B680,"")</f>
        <v/>
      </c>
      <c r="G680" s="585" t="str">
        <f ca="1">IF(OR('Reconciliation report'!$E$104=RefData!$B$8,'Reconciliation report'!$E$9=RefData!$B$5),'All Statement of strategy (D)'!$B680,"")</f>
        <v/>
      </c>
      <c r="H680" s="585" t="str">
        <f ca="1">IF(OR('Reconciliation report'!$E$104=RefData!$B$8,'Reconciliation report'!$E$9=RefData!$B$5),'All Statement of strategy (D)'!$B680,"")</f>
        <v/>
      </c>
      <c r="I680" s="595" t="str">
        <f ca="1">IF($C$1=RefData!$B$418,'All Statement of strategy (D)'!$E680,IF('All Statement of strategy (D)'!$C$1=RefData!$B$419,'All Statement of strategy (D)'!$F680,IF('All Statement of strategy (D)'!$C$1=RefData!$B$420,'All Statement of strategy (D)'!$G680,IF('All Statement of strategy (D)'!$C$1=RefData!$B$421,'All Statement of strategy (D)'!$H680," "))))</f>
        <v xml:space="preserve"> </v>
      </c>
    </row>
    <row r="681" spans="2:9">
      <c r="B681" s="594">
        <v>7</v>
      </c>
      <c r="E681" s="585" t="str">
        <f ca="1">IF(OR('Reconciliation report'!$E$104=RefData!$B$8,'Reconciliation report'!$E$9=RefData!$B$5),'All Statement of strategy (D)'!$B681,"")</f>
        <v/>
      </c>
      <c r="F681" s="585" t="str">
        <f ca="1">IF(OR('Reconciliation report'!$E$104=RefData!$B$8,'Reconciliation report'!$E$9=RefData!$B$5),'All Statement of strategy (D)'!$B681,"")</f>
        <v/>
      </c>
      <c r="G681" s="585" t="str">
        <f ca="1">IF(OR('Reconciliation report'!$E$104=RefData!$B$8,'Reconciliation report'!$E$9=RefData!$B$5),'All Statement of strategy (D)'!$B681,"")</f>
        <v/>
      </c>
      <c r="H681" s="585" t="str">
        <f ca="1">IF(OR('Reconciliation report'!$E$104=RefData!$B$8,'Reconciliation report'!$E$9=RefData!$B$5),'All Statement of strategy (D)'!$B681,"")</f>
        <v/>
      </c>
      <c r="I681" s="595" t="str">
        <f ca="1">IF($C$1=RefData!$B$418,'All Statement of strategy (D)'!$E681,IF('All Statement of strategy (D)'!$C$1=RefData!$B$419,'All Statement of strategy (D)'!$F681,IF('All Statement of strategy (D)'!$C$1=RefData!$B$420,'All Statement of strategy (D)'!$G681,IF('All Statement of strategy (D)'!$C$1=RefData!$B$421,'All Statement of strategy (D)'!$H681," "))))</f>
        <v xml:space="preserve"> </v>
      </c>
    </row>
    <row r="682" spans="2:9">
      <c r="B682" s="594">
        <v>8</v>
      </c>
      <c r="E682" s="585" t="str">
        <f ca="1">IF(OR('Reconciliation report'!$E$104=RefData!$B$8,'Reconciliation report'!$E$9=RefData!$B$5),'All Statement of strategy (D)'!$B682,"")</f>
        <v/>
      </c>
      <c r="F682" s="585" t="str">
        <f ca="1">IF(OR('Reconciliation report'!$E$104=RefData!$B$8,'Reconciliation report'!$E$9=RefData!$B$5),'All Statement of strategy (D)'!$B682,"")</f>
        <v/>
      </c>
      <c r="G682" s="585" t="str">
        <f ca="1">IF(OR('Reconciliation report'!$E$104=RefData!$B$8,'Reconciliation report'!$E$9=RefData!$B$5),'All Statement of strategy (D)'!$B682,"")</f>
        <v/>
      </c>
      <c r="H682" s="585" t="str">
        <f ca="1">IF(OR('Reconciliation report'!$E$104=RefData!$B$8,'Reconciliation report'!$E$9=RefData!$B$5),'All Statement of strategy (D)'!$B682,"")</f>
        <v/>
      </c>
      <c r="I682" s="595" t="str">
        <f ca="1">IF($C$1=RefData!$B$418,'All Statement of strategy (D)'!$E682,IF('All Statement of strategy (D)'!$C$1=RefData!$B$419,'All Statement of strategy (D)'!$F682,IF('All Statement of strategy (D)'!$C$1=RefData!$B$420,'All Statement of strategy (D)'!$G682,IF('All Statement of strategy (D)'!$C$1=RefData!$B$421,'All Statement of strategy (D)'!$H682," "))))</f>
        <v xml:space="preserve"> </v>
      </c>
    </row>
    <row r="683" spans="2:9">
      <c r="B683" s="594">
        <v>9</v>
      </c>
      <c r="E683" s="585" t="str">
        <f ca="1">IF(OR('Reconciliation report'!$E$104=RefData!$B$8,'Reconciliation report'!$E$9=RefData!$B$5),'All Statement of strategy (D)'!$B683,"")</f>
        <v/>
      </c>
      <c r="F683" s="585" t="str">
        <f ca="1">IF(OR('Reconciliation report'!$E$104=RefData!$B$8,'Reconciliation report'!$E$9=RefData!$B$5),'All Statement of strategy (D)'!$B683,"")</f>
        <v/>
      </c>
      <c r="G683" s="585" t="str">
        <f ca="1">IF(OR('Reconciliation report'!$E$104=RefData!$B$8,'Reconciliation report'!$E$9=RefData!$B$5),'All Statement of strategy (D)'!$B683,"")</f>
        <v/>
      </c>
      <c r="H683" s="585" t="str">
        <f ca="1">IF(OR('Reconciliation report'!$E$104=RefData!$B$8,'Reconciliation report'!$E$9=RefData!$B$5),'All Statement of strategy (D)'!$B683,"")</f>
        <v/>
      </c>
      <c r="I683" s="595" t="str">
        <f ca="1">IF($C$1=RefData!$B$418,'All Statement of strategy (D)'!$E683,IF('All Statement of strategy (D)'!$C$1=RefData!$B$419,'All Statement of strategy (D)'!$F683,IF('All Statement of strategy (D)'!$C$1=RefData!$B$420,'All Statement of strategy (D)'!$G683,IF('All Statement of strategy (D)'!$C$1=RefData!$B$421,'All Statement of strategy (D)'!$H683," "))))</f>
        <v xml:space="preserve"> </v>
      </c>
    </row>
    <row r="684" spans="2:9">
      <c r="B684" s="594">
        <v>10</v>
      </c>
      <c r="E684" s="585" t="str">
        <f ca="1">IF(OR('Reconciliation report'!$E$104=RefData!$B$8,'Reconciliation report'!$E$9=RefData!$B$5),'All Statement of strategy (D)'!$B684,"")</f>
        <v/>
      </c>
      <c r="F684" s="585" t="str">
        <f ca="1">IF(OR('Reconciliation report'!$E$104=RefData!$B$8,'Reconciliation report'!$E$9=RefData!$B$5),'All Statement of strategy (D)'!$B684,"")</f>
        <v/>
      </c>
      <c r="G684" s="585" t="str">
        <f ca="1">IF(OR('Reconciliation report'!$E$104=RefData!$B$8,'Reconciliation report'!$E$9=RefData!$B$5),'All Statement of strategy (D)'!$B684,"")</f>
        <v/>
      </c>
      <c r="H684" s="585" t="str">
        <f ca="1">IF(OR('Reconciliation report'!$E$104=RefData!$B$8,'Reconciliation report'!$E$9=RefData!$B$5),'All Statement of strategy (D)'!$B684,"")</f>
        <v/>
      </c>
      <c r="I684" s="595" t="str">
        <f ca="1">IF($C$1=RefData!$B$418,'All Statement of strategy (D)'!$E684,IF('All Statement of strategy (D)'!$C$1=RefData!$B$419,'All Statement of strategy (D)'!$F684,IF('All Statement of strategy (D)'!$C$1=RefData!$B$420,'All Statement of strategy (D)'!$G684,IF('All Statement of strategy (D)'!$C$1=RefData!$B$421,'All Statement of strategy (D)'!$H684," "))))</f>
        <v xml:space="preserve"> </v>
      </c>
    </row>
    <row r="685" spans="2:9">
      <c r="B685" s="594">
        <v>11</v>
      </c>
      <c r="E685" s="585" t="str">
        <f ca="1">IF(OR('Reconciliation report'!$E$104=RefData!$B$8,'Reconciliation report'!$E$9=RefData!$B$5),'All Statement of strategy (D)'!$B685,"")</f>
        <v/>
      </c>
      <c r="F685" s="585" t="str">
        <f ca="1">IF(OR('Reconciliation report'!$E$104=RefData!$B$8,'Reconciliation report'!$E$9=RefData!$B$5),'All Statement of strategy (D)'!$B685,"")</f>
        <v/>
      </c>
      <c r="G685" s="585" t="str">
        <f ca="1">IF(OR('Reconciliation report'!$E$104=RefData!$B$8,'Reconciliation report'!$E$9=RefData!$B$5),'All Statement of strategy (D)'!$B685,"")</f>
        <v/>
      </c>
      <c r="H685" s="585" t="str">
        <f ca="1">IF(OR('Reconciliation report'!$E$104=RefData!$B$8,'Reconciliation report'!$E$9=RefData!$B$5),'All Statement of strategy (D)'!$B685,"")</f>
        <v/>
      </c>
      <c r="I685" s="595" t="str">
        <f ca="1">IF($C$1=RefData!$B$418,'All Statement of strategy (D)'!$E685,IF('All Statement of strategy (D)'!$C$1=RefData!$B$419,'All Statement of strategy (D)'!$F685,IF('All Statement of strategy (D)'!$C$1=RefData!$B$420,'All Statement of strategy (D)'!$G685,IF('All Statement of strategy (D)'!$C$1=RefData!$B$421,'All Statement of strategy (D)'!$H685," "))))</f>
        <v xml:space="preserve"> </v>
      </c>
    </row>
    <row r="686" spans="2:9">
      <c r="B686" s="594">
        <v>12</v>
      </c>
      <c r="E686" s="585" t="str">
        <f ca="1">IF(OR('Reconciliation report'!$E$104=RefData!$B$8,'Reconciliation report'!$E$9=RefData!$B$5),'All Statement of strategy (D)'!$B686,"")</f>
        <v/>
      </c>
      <c r="F686" s="585" t="str">
        <f ca="1">IF(OR('Reconciliation report'!$E$104=RefData!$B$8,'Reconciliation report'!$E$9=RefData!$B$5),'All Statement of strategy (D)'!$B686,"")</f>
        <v/>
      </c>
      <c r="G686" s="585" t="str">
        <f ca="1">IF(OR('Reconciliation report'!$E$104=RefData!$B$8,'Reconciliation report'!$E$9=RefData!$B$5),'All Statement of strategy (D)'!$B686,"")</f>
        <v/>
      </c>
      <c r="H686" s="585" t="str">
        <f ca="1">IF(OR('Reconciliation report'!$E$104=RefData!$B$8,'Reconciliation report'!$E$9=RefData!$B$5),'All Statement of strategy (D)'!$B686,"")</f>
        <v/>
      </c>
      <c r="I686" s="595" t="str">
        <f ca="1">IF($C$1=RefData!$B$418,'All Statement of strategy (D)'!$E686,IF('All Statement of strategy (D)'!$C$1=RefData!$B$419,'All Statement of strategy (D)'!$F686,IF('All Statement of strategy (D)'!$C$1=RefData!$B$420,'All Statement of strategy (D)'!$G686,IF('All Statement of strategy (D)'!$C$1=RefData!$B$421,'All Statement of strategy (D)'!$H686," "))))</f>
        <v xml:space="preserve"> </v>
      </c>
    </row>
    <row r="687" spans="2:9">
      <c r="B687" s="594">
        <v>13</v>
      </c>
      <c r="E687" s="585" t="str">
        <f ca="1">IF(OR('Reconciliation report'!$E$104=RefData!$B$8,'Reconciliation report'!$E$9=RefData!$B$5),'All Statement of strategy (D)'!$B687,"")</f>
        <v/>
      </c>
      <c r="F687" s="585" t="str">
        <f ca="1">IF(OR('Reconciliation report'!$E$104=RefData!$B$8,'Reconciliation report'!$E$9=RefData!$B$5),'All Statement of strategy (D)'!$B687,"")</f>
        <v/>
      </c>
      <c r="G687" s="585" t="str">
        <f ca="1">IF(OR('Reconciliation report'!$E$104=RefData!$B$8,'Reconciliation report'!$E$9=RefData!$B$5),'All Statement of strategy (D)'!$B687,"")</f>
        <v/>
      </c>
      <c r="H687" s="585" t="str">
        <f ca="1">IF(OR('Reconciliation report'!$E$104=RefData!$B$8,'Reconciliation report'!$E$9=RefData!$B$5),'All Statement of strategy (D)'!$B687,"")</f>
        <v/>
      </c>
      <c r="I687" s="595" t="str">
        <f ca="1">IF($C$1=RefData!$B$418,'All Statement of strategy (D)'!$E687,IF('All Statement of strategy (D)'!$C$1=RefData!$B$419,'All Statement of strategy (D)'!$F687,IF('All Statement of strategy (D)'!$C$1=RefData!$B$420,'All Statement of strategy (D)'!$G687,IF('All Statement of strategy (D)'!$C$1=RefData!$B$421,'All Statement of strategy (D)'!$H687," "))))</f>
        <v xml:space="preserve"> </v>
      </c>
    </row>
    <row r="688" spans="2:9">
      <c r="B688" s="594">
        <v>14</v>
      </c>
      <c r="E688" s="585" t="str">
        <f ca="1">IF(OR('Reconciliation report'!$E$104=RefData!$B$8,'Reconciliation report'!$E$9=RefData!$B$5),'All Statement of strategy (D)'!$B688,"")</f>
        <v/>
      </c>
      <c r="F688" s="585" t="str">
        <f ca="1">IF(OR('Reconciliation report'!$E$104=RefData!$B$8,'Reconciliation report'!$E$9=RefData!$B$5),'All Statement of strategy (D)'!$B688,"")</f>
        <v/>
      </c>
      <c r="G688" s="585" t="str">
        <f ca="1">IF(OR('Reconciliation report'!$E$104=RefData!$B$8,'Reconciliation report'!$E$9=RefData!$B$5),'All Statement of strategy (D)'!$B688,"")</f>
        <v/>
      </c>
      <c r="H688" s="585" t="str">
        <f ca="1">IF(OR('Reconciliation report'!$E$104=RefData!$B$8,'Reconciliation report'!$E$9=RefData!$B$5),'All Statement of strategy (D)'!$B688,"")</f>
        <v/>
      </c>
      <c r="I688" s="595" t="str">
        <f ca="1">IF($C$1=RefData!$B$418,'All Statement of strategy (D)'!$E688,IF('All Statement of strategy (D)'!$C$1=RefData!$B$419,'All Statement of strategy (D)'!$F688,IF('All Statement of strategy (D)'!$C$1=RefData!$B$420,'All Statement of strategy (D)'!$G688,IF('All Statement of strategy (D)'!$C$1=RefData!$B$421,'All Statement of strategy (D)'!$H688," "))))</f>
        <v xml:space="preserve"> </v>
      </c>
    </row>
    <row r="689" spans="2:9">
      <c r="B689" s="594">
        <v>15</v>
      </c>
      <c r="E689" s="585" t="str">
        <f ca="1">IF(OR('Reconciliation report'!$E$104=RefData!$B$8,'Reconciliation report'!$E$9=RefData!$B$5),'All Statement of strategy (D)'!$B689,"")</f>
        <v/>
      </c>
      <c r="F689" s="585" t="str">
        <f ca="1">IF(OR('Reconciliation report'!$E$104=RefData!$B$8,'Reconciliation report'!$E$9=RefData!$B$5),'All Statement of strategy (D)'!$B689,"")</f>
        <v/>
      </c>
      <c r="G689" s="585" t="str">
        <f ca="1">IF(OR('Reconciliation report'!$E$104=RefData!$B$8,'Reconciliation report'!$E$9=RefData!$B$5),'All Statement of strategy (D)'!$B689,"")</f>
        <v/>
      </c>
      <c r="H689" s="585" t="str">
        <f ca="1">IF(OR('Reconciliation report'!$E$104=RefData!$B$8,'Reconciliation report'!$E$9=RefData!$B$5),'All Statement of strategy (D)'!$B689,"")</f>
        <v/>
      </c>
      <c r="I689" s="595" t="str">
        <f ca="1">IF($C$1=RefData!$B$418,'All Statement of strategy (D)'!$E689,IF('All Statement of strategy (D)'!$C$1=RefData!$B$419,'All Statement of strategy (D)'!$F689,IF('All Statement of strategy (D)'!$C$1=RefData!$B$420,'All Statement of strategy (D)'!$G689,IF('All Statement of strategy (D)'!$C$1=RefData!$B$421,'All Statement of strategy (D)'!$H689," "))))</f>
        <v xml:space="preserve"> </v>
      </c>
    </row>
    <row r="690" spans="2:9">
      <c r="B690" s="594">
        <v>16</v>
      </c>
      <c r="E690" s="585" t="str">
        <f ca="1">IF(OR('Reconciliation report'!$E$104=RefData!$B$8,'Reconciliation report'!$E$9=RefData!$B$5),'All Statement of strategy (D)'!$B690,"")</f>
        <v/>
      </c>
      <c r="F690" s="585" t="str">
        <f ca="1">IF(OR('Reconciliation report'!$E$104=RefData!$B$8,'Reconciliation report'!$E$9=RefData!$B$5),'All Statement of strategy (D)'!$B690,"")</f>
        <v/>
      </c>
      <c r="G690" s="585" t="str">
        <f ca="1">IF(OR('Reconciliation report'!$E$104=RefData!$B$8,'Reconciliation report'!$E$9=RefData!$B$5),'All Statement of strategy (D)'!$B690,"")</f>
        <v/>
      </c>
      <c r="H690" s="585" t="str">
        <f ca="1">IF(OR('Reconciliation report'!$E$104=RefData!$B$8,'Reconciliation report'!$E$9=RefData!$B$5),'All Statement of strategy (D)'!$B690,"")</f>
        <v/>
      </c>
      <c r="I690" s="595" t="str">
        <f ca="1">IF($C$1=RefData!$B$418,'All Statement of strategy (D)'!$E690,IF('All Statement of strategy (D)'!$C$1=RefData!$B$419,'All Statement of strategy (D)'!$F690,IF('All Statement of strategy (D)'!$C$1=RefData!$B$420,'All Statement of strategy (D)'!$G690,IF('All Statement of strategy (D)'!$C$1=RefData!$B$421,'All Statement of strategy (D)'!$H690," "))))</f>
        <v xml:space="preserve"> </v>
      </c>
    </row>
    <row r="691" spans="2:9">
      <c r="B691" s="594">
        <v>17</v>
      </c>
      <c r="E691" s="585" t="str">
        <f ca="1">IF(OR('Reconciliation report'!$E$104=RefData!$B$8,'Reconciliation report'!$E$9=RefData!$B$5),'All Statement of strategy (D)'!$B691,"")</f>
        <v/>
      </c>
      <c r="F691" s="585" t="str">
        <f ca="1">IF(OR('Reconciliation report'!$E$104=RefData!$B$8,'Reconciliation report'!$E$9=RefData!$B$5),'All Statement of strategy (D)'!$B691,"")</f>
        <v/>
      </c>
      <c r="G691" s="585" t="str">
        <f ca="1">IF(OR('Reconciliation report'!$E$104=RefData!$B$8,'Reconciliation report'!$E$9=RefData!$B$5),'All Statement of strategy (D)'!$B691,"")</f>
        <v/>
      </c>
      <c r="H691" s="585" t="str">
        <f ca="1">IF(OR('Reconciliation report'!$E$104=RefData!$B$8,'Reconciliation report'!$E$9=RefData!$B$5),'All Statement of strategy (D)'!$B691,"")</f>
        <v/>
      </c>
      <c r="I691" s="595" t="str">
        <f ca="1">IF($C$1=RefData!$B$418,'All Statement of strategy (D)'!$E691,IF('All Statement of strategy (D)'!$C$1=RefData!$B$419,'All Statement of strategy (D)'!$F691,IF('All Statement of strategy (D)'!$C$1=RefData!$B$420,'All Statement of strategy (D)'!$G691,IF('All Statement of strategy (D)'!$C$1=RefData!$B$421,'All Statement of strategy (D)'!$H691," "))))</f>
        <v xml:space="preserve"> </v>
      </c>
    </row>
    <row r="692" spans="2:9">
      <c r="B692" s="594">
        <v>18</v>
      </c>
      <c r="E692" s="585" t="str">
        <f ca="1">IF(OR('Reconciliation report'!$E$104=RefData!$B$8,'Reconciliation report'!$E$9=RefData!$B$5),'All Statement of strategy (D)'!$B692,"")</f>
        <v/>
      </c>
      <c r="F692" s="585" t="str">
        <f ca="1">IF(OR('Reconciliation report'!$E$104=RefData!$B$8,'Reconciliation report'!$E$9=RefData!$B$5),'All Statement of strategy (D)'!$B692,"")</f>
        <v/>
      </c>
      <c r="G692" s="585" t="str">
        <f ca="1">IF(OR('Reconciliation report'!$E$104=RefData!$B$8,'Reconciliation report'!$E$9=RefData!$B$5),'All Statement of strategy (D)'!$B692,"")</f>
        <v/>
      </c>
      <c r="H692" s="585" t="str">
        <f ca="1">IF(OR('Reconciliation report'!$E$104=RefData!$B$8,'Reconciliation report'!$E$9=RefData!$B$5),'All Statement of strategy (D)'!$B692,"")</f>
        <v/>
      </c>
      <c r="I692" s="595" t="str">
        <f ca="1">IF($C$1=RefData!$B$418,'All Statement of strategy (D)'!$E692,IF('All Statement of strategy (D)'!$C$1=RefData!$B$419,'All Statement of strategy (D)'!$F692,IF('All Statement of strategy (D)'!$C$1=RefData!$B$420,'All Statement of strategy (D)'!$G692,IF('All Statement of strategy (D)'!$C$1=RefData!$B$421,'All Statement of strategy (D)'!$H692," "))))</f>
        <v xml:space="preserve"> </v>
      </c>
    </row>
    <row r="693" spans="2:9">
      <c r="B693" s="594">
        <v>19</v>
      </c>
      <c r="E693" s="585" t="str">
        <f ca="1">IF(OR('Reconciliation report'!$E$104=RefData!$B$8,'Reconciliation report'!$E$9=RefData!$B$5),'All Statement of strategy (D)'!$B693,"")</f>
        <v/>
      </c>
      <c r="F693" s="585" t="str">
        <f ca="1">IF(OR('Reconciliation report'!$E$104=RefData!$B$8,'Reconciliation report'!$E$9=RefData!$B$5),'All Statement of strategy (D)'!$B693,"")</f>
        <v/>
      </c>
      <c r="G693" s="585" t="str">
        <f ca="1">IF(OR('Reconciliation report'!$E$104=RefData!$B$8,'Reconciliation report'!$E$9=RefData!$B$5),'All Statement of strategy (D)'!$B693,"")</f>
        <v/>
      </c>
      <c r="H693" s="585" t="str">
        <f ca="1">IF(OR('Reconciliation report'!$E$104=RefData!$B$8,'Reconciliation report'!$E$9=RefData!$B$5),'All Statement of strategy (D)'!$B693,"")</f>
        <v/>
      </c>
      <c r="I693" s="595" t="str">
        <f ca="1">IF($C$1=RefData!$B$418,'All Statement of strategy (D)'!$E693,IF('All Statement of strategy (D)'!$C$1=RefData!$B$419,'All Statement of strategy (D)'!$F693,IF('All Statement of strategy (D)'!$C$1=RefData!$B$420,'All Statement of strategy (D)'!$G693,IF('All Statement of strategy (D)'!$C$1=RefData!$B$421,'All Statement of strategy (D)'!$H693," "))))</f>
        <v xml:space="preserve"> </v>
      </c>
    </row>
    <row r="694" spans="2:9">
      <c r="B694" s="594">
        <v>20</v>
      </c>
      <c r="E694" s="585" t="str">
        <f ca="1">IF(OR('Reconciliation report'!$E$104=RefData!$B$8,'Reconciliation report'!$E$9=RefData!$B$5),'All Statement of strategy (D)'!$B694,"")</f>
        <v/>
      </c>
      <c r="F694" s="585" t="str">
        <f ca="1">IF(OR('Reconciliation report'!$E$104=RefData!$B$8,'Reconciliation report'!$E$9=RefData!$B$5),'All Statement of strategy (D)'!$B694,"")</f>
        <v/>
      </c>
      <c r="G694" s="585" t="str">
        <f ca="1">IF(OR('Reconciliation report'!$E$104=RefData!$B$8,'Reconciliation report'!$E$9=RefData!$B$5),'All Statement of strategy (D)'!$B694,"")</f>
        <v/>
      </c>
      <c r="H694" s="585" t="str">
        <f ca="1">IF(OR('Reconciliation report'!$E$104=RefData!$B$8,'Reconciliation report'!$E$9=RefData!$B$5),'All Statement of strategy (D)'!$B694,"")</f>
        <v/>
      </c>
      <c r="I694" s="595" t="str">
        <f ca="1">IF($C$1=RefData!$B$418,'All Statement of strategy (D)'!$E694,IF('All Statement of strategy (D)'!$C$1=RefData!$B$419,'All Statement of strategy (D)'!$F694,IF('All Statement of strategy (D)'!$C$1=RefData!$B$420,'All Statement of strategy (D)'!$G694,IF('All Statement of strategy (D)'!$C$1=RefData!$B$421,'All Statement of strategy (D)'!$H694," "))))</f>
        <v xml:space="preserve"> </v>
      </c>
    </row>
    <row r="695" spans="2:9">
      <c r="B695" s="594">
        <v>21</v>
      </c>
      <c r="E695" s="585" t="str">
        <f ca="1">IF(OR('Reconciliation report'!$E$104=RefData!$B$8,'Reconciliation report'!$E$9=RefData!$B$5),'All Statement of strategy (D)'!$B695,"")</f>
        <v/>
      </c>
      <c r="F695" s="585" t="str">
        <f ca="1">IF(OR('Reconciliation report'!$E$104=RefData!$B$8,'Reconciliation report'!$E$9=RefData!$B$5),'All Statement of strategy (D)'!$B695,"")</f>
        <v/>
      </c>
      <c r="G695" s="585" t="str">
        <f ca="1">IF(OR('Reconciliation report'!$E$104=RefData!$B$8,'Reconciliation report'!$E$9=RefData!$B$5),'All Statement of strategy (D)'!$B695,"")</f>
        <v/>
      </c>
      <c r="H695" s="585" t="str">
        <f ca="1">IF(OR('Reconciliation report'!$E$104=RefData!$B$8,'Reconciliation report'!$E$9=RefData!$B$5),'All Statement of strategy (D)'!$B695,"")</f>
        <v/>
      </c>
      <c r="I695" s="595" t="str">
        <f ca="1">IF($C$1=RefData!$B$418,'All Statement of strategy (D)'!$E695,IF('All Statement of strategy (D)'!$C$1=RefData!$B$419,'All Statement of strategy (D)'!$F695,IF('All Statement of strategy (D)'!$C$1=RefData!$B$420,'All Statement of strategy (D)'!$G695,IF('All Statement of strategy (D)'!$C$1=RefData!$B$421,'All Statement of strategy (D)'!$H695," "))))</f>
        <v xml:space="preserve"> </v>
      </c>
    </row>
    <row r="696" spans="2:9">
      <c r="B696" s="594">
        <v>22</v>
      </c>
      <c r="E696" s="585" t="str">
        <f ca="1">IF(OR('Reconciliation report'!$E$104=RefData!$B$8,'Reconciliation report'!$E$9=RefData!$B$5),'All Statement of strategy (D)'!$B696,"")</f>
        <v/>
      </c>
      <c r="F696" s="585" t="str">
        <f ca="1">IF(OR('Reconciliation report'!$E$104=RefData!$B$8,'Reconciliation report'!$E$9=RefData!$B$5),'All Statement of strategy (D)'!$B696,"")</f>
        <v/>
      </c>
      <c r="G696" s="585" t="str">
        <f ca="1">IF(OR('Reconciliation report'!$E$104=RefData!$B$8,'Reconciliation report'!$E$9=RefData!$B$5),'All Statement of strategy (D)'!$B696,"")</f>
        <v/>
      </c>
      <c r="H696" s="585" t="str">
        <f ca="1">IF(OR('Reconciliation report'!$E$104=RefData!$B$8,'Reconciliation report'!$E$9=RefData!$B$5),'All Statement of strategy (D)'!$B696,"")</f>
        <v/>
      </c>
      <c r="I696" s="595" t="str">
        <f ca="1">IF($C$1=RefData!$B$418,'All Statement of strategy (D)'!$E696,IF('All Statement of strategy (D)'!$C$1=RefData!$B$419,'All Statement of strategy (D)'!$F696,IF('All Statement of strategy (D)'!$C$1=RefData!$B$420,'All Statement of strategy (D)'!$G696,IF('All Statement of strategy (D)'!$C$1=RefData!$B$421,'All Statement of strategy (D)'!$H696," "))))</f>
        <v xml:space="preserve"> </v>
      </c>
    </row>
    <row r="697" spans="2:9">
      <c r="B697" s="594">
        <v>23</v>
      </c>
      <c r="E697" s="585" t="str">
        <f ca="1">IF(OR('Reconciliation report'!$E$104=RefData!$B$8,'Reconciliation report'!$E$9=RefData!$B$5),'All Statement of strategy (D)'!$B697,"")</f>
        <v/>
      </c>
      <c r="F697" s="585" t="str">
        <f ca="1">IF(OR('Reconciliation report'!$E$104=RefData!$B$8,'Reconciliation report'!$E$9=RefData!$B$5),'All Statement of strategy (D)'!$B697,"")</f>
        <v/>
      </c>
      <c r="G697" s="585" t="str">
        <f ca="1">IF(OR('Reconciliation report'!$E$104=RefData!$B$8,'Reconciliation report'!$E$9=RefData!$B$5),'All Statement of strategy (D)'!$B697,"")</f>
        <v/>
      </c>
      <c r="H697" s="585" t="str">
        <f ca="1">IF(OR('Reconciliation report'!$E$104=RefData!$B$8,'Reconciliation report'!$E$9=RefData!$B$5),'All Statement of strategy (D)'!$B697,"")</f>
        <v/>
      </c>
      <c r="I697" s="595" t="str">
        <f ca="1">IF($C$1=RefData!$B$418,'All Statement of strategy (D)'!$E697,IF('All Statement of strategy (D)'!$C$1=RefData!$B$419,'All Statement of strategy (D)'!$F697,IF('All Statement of strategy (D)'!$C$1=RefData!$B$420,'All Statement of strategy (D)'!$G697,IF('All Statement of strategy (D)'!$C$1=RefData!$B$421,'All Statement of strategy (D)'!$H697," "))))</f>
        <v xml:space="preserve"> </v>
      </c>
    </row>
    <row r="698" spans="2:9">
      <c r="B698" s="594">
        <v>24</v>
      </c>
      <c r="E698" s="585" t="str">
        <f ca="1">IF(OR('Reconciliation report'!$E$104=RefData!$B$8,'Reconciliation report'!$E$9=RefData!$B$5),'All Statement of strategy (D)'!$B698,"")</f>
        <v/>
      </c>
      <c r="F698" s="585" t="str">
        <f ca="1">IF(OR('Reconciliation report'!$E$104=RefData!$B$8,'Reconciliation report'!$E$9=RefData!$B$5),'All Statement of strategy (D)'!$B698,"")</f>
        <v/>
      </c>
      <c r="G698" s="585" t="str">
        <f ca="1">IF(OR('Reconciliation report'!$E$104=RefData!$B$8,'Reconciliation report'!$E$9=RefData!$B$5),'All Statement of strategy (D)'!$B698,"")</f>
        <v/>
      </c>
      <c r="H698" s="585" t="str">
        <f ca="1">IF(OR('Reconciliation report'!$E$104=RefData!$B$8,'Reconciliation report'!$E$9=RefData!$B$5),'All Statement of strategy (D)'!$B698,"")</f>
        <v/>
      </c>
      <c r="I698" s="595" t="str">
        <f ca="1">IF($C$1=RefData!$B$418,'All Statement of strategy (D)'!$E698,IF('All Statement of strategy (D)'!$C$1=RefData!$B$419,'All Statement of strategy (D)'!$F698,IF('All Statement of strategy (D)'!$C$1=RefData!$B$420,'All Statement of strategy (D)'!$G698,IF('All Statement of strategy (D)'!$C$1=RefData!$B$421,'All Statement of strategy (D)'!$H698," "))))</f>
        <v xml:space="preserve"> </v>
      </c>
    </row>
    <row r="699" spans="2:9">
      <c r="B699" s="594">
        <v>25</v>
      </c>
      <c r="E699" s="585" t="str">
        <f ca="1">IF(OR('Reconciliation report'!$E$104=RefData!$B$8,'Reconciliation report'!$E$9=RefData!$B$5),'All Statement of strategy (D)'!$B699,"")</f>
        <v/>
      </c>
      <c r="F699" s="585" t="str">
        <f ca="1">IF(OR('Reconciliation report'!$E$104=RefData!$B$8,'Reconciliation report'!$E$9=RefData!$B$5),'All Statement of strategy (D)'!$B699,"")</f>
        <v/>
      </c>
      <c r="G699" s="585" t="str">
        <f ca="1">IF(OR('Reconciliation report'!$E$104=RefData!$B$8,'Reconciliation report'!$E$9=RefData!$B$5),'All Statement of strategy (D)'!$B699,"")</f>
        <v/>
      </c>
      <c r="H699" s="585" t="str">
        <f ca="1">IF(OR('Reconciliation report'!$E$104=RefData!$B$8,'Reconciliation report'!$E$9=RefData!$B$5),'All Statement of strategy (D)'!$B699,"")</f>
        <v/>
      </c>
      <c r="I699" s="595" t="str">
        <f ca="1">IF($C$1=RefData!$B$418,'All Statement of strategy (D)'!$E699,IF('All Statement of strategy (D)'!$C$1=RefData!$B$419,'All Statement of strategy (D)'!$F699,IF('All Statement of strategy (D)'!$C$1=RefData!$B$420,'All Statement of strategy (D)'!$G699,IF('All Statement of strategy (D)'!$C$1=RefData!$B$421,'All Statement of strategy (D)'!$H699," "))))</f>
        <v xml:space="preserve"> </v>
      </c>
    </row>
    <row r="700" spans="2:9">
      <c r="B700" s="594">
        <v>26</v>
      </c>
      <c r="E700" s="585" t="str">
        <f ca="1">IF(OR('Reconciliation report'!$E$104=RefData!$B$8,'Reconciliation report'!$E$9=RefData!$B$5),'All Statement of strategy (D)'!$B700,"")</f>
        <v/>
      </c>
      <c r="F700" s="585" t="str">
        <f ca="1">IF(OR('Reconciliation report'!$E$104=RefData!$B$8,'Reconciliation report'!$E$9=RefData!$B$5),'All Statement of strategy (D)'!$B700,"")</f>
        <v/>
      </c>
      <c r="G700" s="585" t="str">
        <f ca="1">IF(OR('Reconciliation report'!$E$104=RefData!$B$8,'Reconciliation report'!$E$9=RefData!$B$5),'All Statement of strategy (D)'!$B700,"")</f>
        <v/>
      </c>
      <c r="H700" s="585" t="str">
        <f ca="1">IF(OR('Reconciliation report'!$E$104=RefData!$B$8,'Reconciliation report'!$E$9=RefData!$B$5),'All Statement of strategy (D)'!$B700,"")</f>
        <v/>
      </c>
      <c r="I700" s="595" t="str">
        <f ca="1">IF($C$1=RefData!$B$418,'All Statement of strategy (D)'!$E700,IF('All Statement of strategy (D)'!$C$1=RefData!$B$419,'All Statement of strategy (D)'!$F700,IF('All Statement of strategy (D)'!$C$1=RefData!$B$420,'All Statement of strategy (D)'!$G700,IF('All Statement of strategy (D)'!$C$1=RefData!$B$421,'All Statement of strategy (D)'!$H700," "))))</f>
        <v xml:space="preserve"> </v>
      </c>
    </row>
    <row r="701" spans="2:9">
      <c r="B701" s="594">
        <v>27</v>
      </c>
      <c r="E701" s="585" t="str">
        <f ca="1">IF(OR('Reconciliation report'!$E$104=RefData!$B$8,'Reconciliation report'!$E$9=RefData!$B$5),'All Statement of strategy (D)'!$B701,"")</f>
        <v/>
      </c>
      <c r="F701" s="585" t="str">
        <f ca="1">IF(OR('Reconciliation report'!$E$104=RefData!$B$8,'Reconciliation report'!$E$9=RefData!$B$5),'All Statement of strategy (D)'!$B701,"")</f>
        <v/>
      </c>
      <c r="G701" s="585" t="str">
        <f ca="1">IF(OR('Reconciliation report'!$E$104=RefData!$B$8,'Reconciliation report'!$E$9=RefData!$B$5),'All Statement of strategy (D)'!$B701,"")</f>
        <v/>
      </c>
      <c r="H701" s="585" t="str">
        <f ca="1">IF(OR('Reconciliation report'!$E$104=RefData!$B$8,'Reconciliation report'!$E$9=RefData!$B$5),'All Statement of strategy (D)'!$B701,"")</f>
        <v/>
      </c>
      <c r="I701" s="595" t="str">
        <f ca="1">IF($C$1=RefData!$B$418,'All Statement of strategy (D)'!$E701,IF('All Statement of strategy (D)'!$C$1=RefData!$B$419,'All Statement of strategy (D)'!$F701,IF('All Statement of strategy (D)'!$C$1=RefData!$B$420,'All Statement of strategy (D)'!$G701,IF('All Statement of strategy (D)'!$C$1=RefData!$B$421,'All Statement of strategy (D)'!$H701," "))))</f>
        <v xml:space="preserve"> </v>
      </c>
    </row>
    <row r="702" spans="2:9">
      <c r="B702" s="594">
        <v>28</v>
      </c>
      <c r="E702" s="585" t="str">
        <f ca="1">IF(OR('Reconciliation report'!$E$104=RefData!$B$8,'Reconciliation report'!$E$9=RefData!$B$5),'All Statement of strategy (D)'!$B702,"")</f>
        <v/>
      </c>
      <c r="F702" s="585" t="str">
        <f ca="1">IF(OR('Reconciliation report'!$E$104=RefData!$B$8,'Reconciliation report'!$E$9=RefData!$B$5),'All Statement of strategy (D)'!$B702,"")</f>
        <v/>
      </c>
      <c r="G702" s="585" t="str">
        <f ca="1">IF(OR('Reconciliation report'!$E$104=RefData!$B$8,'Reconciliation report'!$E$9=RefData!$B$5),'All Statement of strategy (D)'!$B702,"")</f>
        <v/>
      </c>
      <c r="H702" s="585" t="str">
        <f ca="1">IF(OR('Reconciliation report'!$E$104=RefData!$B$8,'Reconciliation report'!$E$9=RefData!$B$5),'All Statement of strategy (D)'!$B702,"")</f>
        <v/>
      </c>
      <c r="I702" s="595" t="str">
        <f ca="1">IF($C$1=RefData!$B$418,'All Statement of strategy (D)'!$E702,IF('All Statement of strategy (D)'!$C$1=RefData!$B$419,'All Statement of strategy (D)'!$F702,IF('All Statement of strategy (D)'!$C$1=RefData!$B$420,'All Statement of strategy (D)'!$G702,IF('All Statement of strategy (D)'!$C$1=RefData!$B$421,'All Statement of strategy (D)'!$H702," "))))</f>
        <v xml:space="preserve"> </v>
      </c>
    </row>
    <row r="703" spans="2:9">
      <c r="B703" s="594">
        <v>29</v>
      </c>
      <c r="E703" s="585" t="str">
        <f ca="1">IF(OR('Reconciliation report'!$E$104=RefData!$B$8,'Reconciliation report'!$E$9=RefData!$B$5),'All Statement of strategy (D)'!$B703,"")</f>
        <v/>
      </c>
      <c r="F703" s="585" t="str">
        <f ca="1">IF(OR('Reconciliation report'!$E$104=RefData!$B$8,'Reconciliation report'!$E$9=RefData!$B$5),'All Statement of strategy (D)'!$B703,"")</f>
        <v/>
      </c>
      <c r="G703" s="585" t="str">
        <f ca="1">IF(OR('Reconciliation report'!$E$104=RefData!$B$8,'Reconciliation report'!$E$9=RefData!$B$5),'All Statement of strategy (D)'!$B703,"")</f>
        <v/>
      </c>
      <c r="H703" s="585" t="str">
        <f ca="1">IF(OR('Reconciliation report'!$E$104=RefData!$B$8,'Reconciliation report'!$E$9=RefData!$B$5),'All Statement of strategy (D)'!$B703,"")</f>
        <v/>
      </c>
      <c r="I703" s="595" t="str">
        <f ca="1">IF($C$1=RefData!$B$418,'All Statement of strategy (D)'!$E703,IF('All Statement of strategy (D)'!$C$1=RefData!$B$419,'All Statement of strategy (D)'!$F703,IF('All Statement of strategy (D)'!$C$1=RefData!$B$420,'All Statement of strategy (D)'!$G703,IF('All Statement of strategy (D)'!$C$1=RefData!$B$421,'All Statement of strategy (D)'!$H703," "))))</f>
        <v xml:space="preserve"> </v>
      </c>
    </row>
    <row r="704" spans="2:9">
      <c r="B704" s="594">
        <v>30</v>
      </c>
      <c r="E704" s="585" t="str">
        <f ca="1">IF(OR('Reconciliation report'!$E$104=RefData!$B$8,'Reconciliation report'!$E$9=RefData!$B$5),'All Statement of strategy (D)'!$B704,"")</f>
        <v/>
      </c>
      <c r="F704" s="585" t="str">
        <f ca="1">IF(OR('Reconciliation report'!$E$104=RefData!$B$8,'Reconciliation report'!$E$9=RefData!$B$5),'All Statement of strategy (D)'!$B704,"")</f>
        <v/>
      </c>
      <c r="G704" s="585" t="str">
        <f ca="1">IF(OR('Reconciliation report'!$E$104=RefData!$B$8,'Reconciliation report'!$E$9=RefData!$B$5),'All Statement of strategy (D)'!$B704,"")</f>
        <v/>
      </c>
      <c r="H704" s="585" t="str">
        <f ca="1">IF(OR('Reconciliation report'!$E$104=RefData!$B$8,'Reconciliation report'!$E$9=RefData!$B$5),'All Statement of strategy (D)'!$B704,"")</f>
        <v/>
      </c>
      <c r="I704" s="595" t="str">
        <f ca="1">IF($C$1=RefData!$B$418,'All Statement of strategy (D)'!$E704,IF('All Statement of strategy (D)'!$C$1=RefData!$B$419,'All Statement of strategy (D)'!$F704,IF('All Statement of strategy (D)'!$C$1=RefData!$B$420,'All Statement of strategy (D)'!$G704,IF('All Statement of strategy (D)'!$C$1=RefData!$B$421,'All Statement of strategy (D)'!$H704," "))))</f>
        <v xml:space="preserve"> </v>
      </c>
    </row>
    <row r="705" spans="1:9">
      <c r="B705" s="594">
        <v>31</v>
      </c>
      <c r="E705" s="585" t="str">
        <f ca="1">IF(OR('Reconciliation report'!$E$104=RefData!$B$8,'Reconciliation report'!$E$9=RefData!$B$5),'All Statement of strategy (D)'!$B705,"")</f>
        <v/>
      </c>
      <c r="F705" s="585" t="str">
        <f ca="1">IF(OR('Reconciliation report'!$E$104=RefData!$B$8,'Reconciliation report'!$E$9=RefData!$B$5),'All Statement of strategy (D)'!$B705,"")</f>
        <v/>
      </c>
      <c r="G705" s="585" t="str">
        <f ca="1">IF(OR('Reconciliation report'!$E$104=RefData!$B$8,'Reconciliation report'!$E$9=RefData!$B$5),'All Statement of strategy (D)'!$B705,"")</f>
        <v/>
      </c>
      <c r="H705" s="585" t="str">
        <f ca="1">IF(OR('Reconciliation report'!$E$104=RefData!$B$8,'Reconciliation report'!$E$9=RefData!$B$5),'All Statement of strategy (D)'!$B705,"")</f>
        <v/>
      </c>
      <c r="I705" s="595" t="str">
        <f ca="1">IF($C$1=RefData!$B$418,'All Statement of strategy (D)'!$E705,IF('All Statement of strategy (D)'!$C$1=RefData!$B$419,'All Statement of strategy (D)'!$F705,IF('All Statement of strategy (D)'!$C$1=RefData!$B$420,'All Statement of strategy (D)'!$G705,IF('All Statement of strategy (D)'!$C$1=RefData!$B$421,'All Statement of strategy (D)'!$H705," "))))</f>
        <v xml:space="preserve"> </v>
      </c>
    </row>
    <row r="706" spans="1:9">
      <c r="B706" s="594">
        <v>32</v>
      </c>
      <c r="E706" s="585" t="str">
        <f ca="1">IF(OR('Reconciliation report'!$E$104=RefData!$B$8,'Reconciliation report'!$E$9=RefData!$B$5),'All Statement of strategy (D)'!$B706,"")</f>
        <v/>
      </c>
      <c r="F706" s="585" t="str">
        <f ca="1">IF(OR('Reconciliation report'!$E$104=RefData!$B$8,'Reconciliation report'!$E$9=RefData!$B$5),'All Statement of strategy (D)'!$B706,"")</f>
        <v/>
      </c>
      <c r="G706" s="585" t="str">
        <f ca="1">IF(OR('Reconciliation report'!$E$104=RefData!$B$8,'Reconciliation report'!$E$9=RefData!$B$5),'All Statement of strategy (D)'!$B706,"")</f>
        <v/>
      </c>
      <c r="H706" s="585" t="str">
        <f ca="1">IF(OR('Reconciliation report'!$E$104=RefData!$B$8,'Reconciliation report'!$E$9=RefData!$B$5),'All Statement of strategy (D)'!$B706,"")</f>
        <v/>
      </c>
      <c r="I706" s="595" t="str">
        <f ca="1">IF($C$1=RefData!$B$418,'All Statement of strategy (D)'!$E706,IF('All Statement of strategy (D)'!$C$1=RefData!$B$419,'All Statement of strategy (D)'!$F706,IF('All Statement of strategy (D)'!$C$1=RefData!$B$420,'All Statement of strategy (D)'!$G706,IF('All Statement of strategy (D)'!$C$1=RefData!$B$421,'All Statement of strategy (D)'!$H706," "))))</f>
        <v xml:space="preserve"> </v>
      </c>
    </row>
    <row r="707" spans="1:9">
      <c r="B707" s="594">
        <v>33</v>
      </c>
      <c r="E707" s="585" t="str">
        <f ca="1">IF(OR('Reconciliation report'!$E$104=RefData!$B$8,'Reconciliation report'!$E$9=RefData!$B$5),'All Statement of strategy (D)'!$B707,"")</f>
        <v/>
      </c>
      <c r="F707" s="585" t="str">
        <f ca="1">IF(OR('Reconciliation report'!$E$104=RefData!$B$8,'Reconciliation report'!$E$9=RefData!$B$5),'All Statement of strategy (D)'!$B707,"")</f>
        <v/>
      </c>
      <c r="G707" s="585" t="str">
        <f ca="1">IF(OR('Reconciliation report'!$E$104=RefData!$B$8,'Reconciliation report'!$E$9=RefData!$B$5),'All Statement of strategy (D)'!$B707,"")</f>
        <v/>
      </c>
      <c r="H707" s="585" t="str">
        <f ca="1">IF(OR('Reconciliation report'!$E$104=RefData!$B$8,'Reconciliation report'!$E$9=RefData!$B$5),'All Statement of strategy (D)'!$B707,"")</f>
        <v/>
      </c>
      <c r="I707" s="595" t="str">
        <f ca="1">IF($C$1=RefData!$B$418,'All Statement of strategy (D)'!$E707,IF('All Statement of strategy (D)'!$C$1=RefData!$B$419,'All Statement of strategy (D)'!$F707,IF('All Statement of strategy (D)'!$C$1=RefData!$B$420,'All Statement of strategy (D)'!$G707,IF('All Statement of strategy (D)'!$C$1=RefData!$B$421,'All Statement of strategy (D)'!$H707," "))))</f>
        <v xml:space="preserve"> </v>
      </c>
    </row>
    <row r="708" spans="1:9">
      <c r="B708" s="594">
        <v>34</v>
      </c>
      <c r="E708" s="585" t="str">
        <f ca="1">IF(OR('Reconciliation report'!$E$104=RefData!$B$8,'Reconciliation report'!$E$9=RefData!$B$5),'All Statement of strategy (D)'!$B708,"")</f>
        <v/>
      </c>
      <c r="F708" s="585" t="str">
        <f ca="1">IF(OR('Reconciliation report'!$E$104=RefData!$B$8,'Reconciliation report'!$E$9=RefData!$B$5),'All Statement of strategy (D)'!$B708,"")</f>
        <v/>
      </c>
      <c r="G708" s="585" t="str">
        <f ca="1">IF(OR('Reconciliation report'!$E$104=RefData!$B$8,'Reconciliation report'!$E$9=RefData!$B$5),'All Statement of strategy (D)'!$B708,"")</f>
        <v/>
      </c>
      <c r="H708" s="585" t="str">
        <f ca="1">IF(OR('Reconciliation report'!$E$104=RefData!$B$8,'Reconciliation report'!$E$9=RefData!$B$5),'All Statement of strategy (D)'!$B708,"")</f>
        <v/>
      </c>
      <c r="I708" s="595" t="str">
        <f ca="1">IF($C$1=RefData!$B$418,'All Statement of strategy (D)'!$E708,IF('All Statement of strategy (D)'!$C$1=RefData!$B$419,'All Statement of strategy (D)'!$F708,IF('All Statement of strategy (D)'!$C$1=RefData!$B$420,'All Statement of strategy (D)'!$G708,IF('All Statement of strategy (D)'!$C$1=RefData!$B$421,'All Statement of strategy (D)'!$H708," "))))</f>
        <v xml:space="preserve"> </v>
      </c>
    </row>
    <row r="709" spans="1:9">
      <c r="B709" s="594">
        <v>35</v>
      </c>
      <c r="E709" s="585" t="str">
        <f ca="1">IF(OR('Reconciliation report'!$E$104=RefData!$B$8,'Reconciliation report'!$E$9=RefData!$B$5),'All Statement of strategy (D)'!$B709,"")</f>
        <v/>
      </c>
      <c r="F709" s="585" t="str">
        <f ca="1">IF(OR('Reconciliation report'!$E$104=RefData!$B$8,'Reconciliation report'!$E$9=RefData!$B$5),'All Statement of strategy (D)'!$B709,"")</f>
        <v/>
      </c>
      <c r="G709" s="585" t="str">
        <f ca="1">IF(OR('Reconciliation report'!$E$104=RefData!$B$8,'Reconciliation report'!$E$9=RefData!$B$5),'All Statement of strategy (D)'!$B709,"")</f>
        <v/>
      </c>
      <c r="H709" s="585" t="str">
        <f ca="1">IF(OR('Reconciliation report'!$E$104=RefData!$B$8,'Reconciliation report'!$E$9=RefData!$B$5),'All Statement of strategy (D)'!$B709,"")</f>
        <v/>
      </c>
      <c r="I709" s="595" t="str">
        <f ca="1">IF($C$1=RefData!$B$418,'All Statement of strategy (D)'!$E709,IF('All Statement of strategy (D)'!$C$1=RefData!$B$419,'All Statement of strategy (D)'!$F709,IF('All Statement of strategy (D)'!$C$1=RefData!$B$420,'All Statement of strategy (D)'!$G709,IF('All Statement of strategy (D)'!$C$1=RefData!$B$421,'All Statement of strategy (D)'!$H709," "))))</f>
        <v xml:space="preserve"> </v>
      </c>
    </row>
    <row r="710" spans="1:9">
      <c r="B710" s="594">
        <v>36</v>
      </c>
      <c r="E710" s="585" t="str">
        <f ca="1">IF(OR('Reconciliation report'!$E$104=RefData!$B$8,'Reconciliation report'!$E$9=RefData!$B$5),'All Statement of strategy (D)'!$B710,"")</f>
        <v/>
      </c>
      <c r="F710" s="585" t="str">
        <f ca="1">IF(OR('Reconciliation report'!$E$104=RefData!$B$8,'Reconciliation report'!$E$9=RefData!$B$5),'All Statement of strategy (D)'!$B710,"")</f>
        <v/>
      </c>
      <c r="G710" s="585" t="str">
        <f ca="1">IF(OR('Reconciliation report'!$E$104=RefData!$B$8,'Reconciliation report'!$E$9=RefData!$B$5),'All Statement of strategy (D)'!$B710,"")</f>
        <v/>
      </c>
      <c r="H710" s="585" t="str">
        <f ca="1">IF(OR('Reconciliation report'!$E$104=RefData!$B$8,'Reconciliation report'!$E$9=RefData!$B$5),'All Statement of strategy (D)'!$B710,"")</f>
        <v/>
      </c>
      <c r="I710" s="595" t="str">
        <f ca="1">IF($C$1=RefData!$B$418,'All Statement of strategy (D)'!$E710,IF('All Statement of strategy (D)'!$C$1=RefData!$B$419,'All Statement of strategy (D)'!$F710,IF('All Statement of strategy (D)'!$C$1=RefData!$B$420,'All Statement of strategy (D)'!$G710,IF('All Statement of strategy (D)'!$C$1=RefData!$B$421,'All Statement of strategy (D)'!$H710," "))))</f>
        <v xml:space="preserve"> </v>
      </c>
    </row>
    <row r="711" spans="1:9">
      <c r="B711" s="594">
        <v>37</v>
      </c>
      <c r="E711" s="585" t="str">
        <f ca="1">IF(OR('Reconciliation report'!$E$104=RefData!$B$8,'Reconciliation report'!$E$9=RefData!$B$5),'All Statement of strategy (D)'!$B711,"")</f>
        <v/>
      </c>
      <c r="F711" s="585" t="str">
        <f ca="1">IF(OR('Reconciliation report'!$E$104=RefData!$B$8,'Reconciliation report'!$E$9=RefData!$B$5),'All Statement of strategy (D)'!$B711,"")</f>
        <v/>
      </c>
      <c r="G711" s="585" t="str">
        <f ca="1">IF(OR('Reconciliation report'!$E$104=RefData!$B$8,'Reconciliation report'!$E$9=RefData!$B$5),'All Statement of strategy (D)'!$B711,"")</f>
        <v/>
      </c>
      <c r="H711" s="585" t="str">
        <f ca="1">IF(OR('Reconciliation report'!$E$104=RefData!$B$8,'Reconciliation report'!$E$9=RefData!$B$5),'All Statement of strategy (D)'!$B711,"")</f>
        <v/>
      </c>
      <c r="I711" s="595" t="str">
        <f ca="1">IF($C$1=RefData!$B$418,'All Statement of strategy (D)'!$E711,IF('All Statement of strategy (D)'!$C$1=RefData!$B$419,'All Statement of strategy (D)'!$F711,IF('All Statement of strategy (D)'!$C$1=RefData!$B$420,'All Statement of strategy (D)'!$G711,IF('All Statement of strategy (D)'!$C$1=RefData!$B$421,'All Statement of strategy (D)'!$H711," "))))</f>
        <v xml:space="preserve"> </v>
      </c>
    </row>
    <row r="712" spans="1:9">
      <c r="B712" s="594">
        <v>38</v>
      </c>
      <c r="E712" s="585" t="str">
        <f ca="1">IF(OR('Reconciliation report'!$E$104=RefData!$B$8,'Reconciliation report'!$E$9=RefData!$B$5),'All Statement of strategy (D)'!$B712,"")</f>
        <v/>
      </c>
      <c r="F712" s="585" t="str">
        <f ca="1">IF(OR('Reconciliation report'!$E$104=RefData!$B$8,'Reconciliation report'!$E$9=RefData!$B$5),'All Statement of strategy (D)'!$B712,"")</f>
        <v/>
      </c>
      <c r="G712" s="585" t="str">
        <f ca="1">IF(OR('Reconciliation report'!$E$104=RefData!$B$8,'Reconciliation report'!$E$9=RefData!$B$5),'All Statement of strategy (D)'!$B712,"")</f>
        <v/>
      </c>
      <c r="H712" s="585" t="str">
        <f ca="1">IF(OR('Reconciliation report'!$E$104=RefData!$B$8,'Reconciliation report'!$E$9=RefData!$B$5),'All Statement of strategy (D)'!$B712,"")</f>
        <v/>
      </c>
      <c r="I712" s="595" t="str">
        <f ca="1">IF($C$1=RefData!$B$418,'All Statement of strategy (D)'!$E712,IF('All Statement of strategy (D)'!$C$1=RefData!$B$419,'All Statement of strategy (D)'!$F712,IF('All Statement of strategy (D)'!$C$1=RefData!$B$420,'All Statement of strategy (D)'!$G712,IF('All Statement of strategy (D)'!$C$1=RefData!$B$421,'All Statement of strategy (D)'!$H712," "))))</f>
        <v xml:space="preserve"> </v>
      </c>
    </row>
    <row r="713" spans="1:9">
      <c r="B713" s="594">
        <v>39</v>
      </c>
      <c r="E713" s="585" t="str">
        <f ca="1">IF(OR('Reconciliation report'!$E$104=RefData!$B$8,'Reconciliation report'!$E$9=RefData!$B$5),'All Statement of strategy (D)'!$B713,"")</f>
        <v/>
      </c>
      <c r="F713" s="585" t="str">
        <f ca="1">IF(OR('Reconciliation report'!$E$104=RefData!$B$8,'Reconciliation report'!$E$9=RefData!$B$5),'All Statement of strategy (D)'!$B713,"")</f>
        <v/>
      </c>
      <c r="G713" s="585" t="str">
        <f ca="1">IF(OR('Reconciliation report'!$E$104=RefData!$B$8,'Reconciliation report'!$E$9=RefData!$B$5),'All Statement of strategy (D)'!$B713,"")</f>
        <v/>
      </c>
      <c r="H713" s="585" t="str">
        <f ca="1">IF(OR('Reconciliation report'!$E$104=RefData!$B$8,'Reconciliation report'!$E$9=RefData!$B$5),'All Statement of strategy (D)'!$B713,"")</f>
        <v/>
      </c>
      <c r="I713" s="595" t="str">
        <f ca="1">IF($C$1=RefData!$B$418,'All Statement of strategy (D)'!$E713,IF('All Statement of strategy (D)'!$C$1=RefData!$B$419,'All Statement of strategy (D)'!$F713,IF('All Statement of strategy (D)'!$C$1=RefData!$B$420,'All Statement of strategy (D)'!$G713,IF('All Statement of strategy (D)'!$C$1=RefData!$B$421,'All Statement of strategy (D)'!$H713," "))))</f>
        <v xml:space="preserve"> </v>
      </c>
    </row>
    <row r="714" spans="1:9">
      <c r="B714" s="594">
        <v>40</v>
      </c>
      <c r="E714" s="585" t="str">
        <f ca="1">IF(OR('Reconciliation report'!$E$104=RefData!$B$8,'Reconciliation report'!$E$9=RefData!$B$5),'All Statement of strategy (D)'!$B714,"")</f>
        <v/>
      </c>
      <c r="F714" s="585" t="str">
        <f ca="1">IF(OR('Reconciliation report'!$E$104=RefData!$B$8,'Reconciliation report'!$E$9=RefData!$B$5),'All Statement of strategy (D)'!$B714,"")</f>
        <v/>
      </c>
      <c r="G714" s="585" t="str">
        <f ca="1">IF(OR('Reconciliation report'!$E$104=RefData!$B$8,'Reconciliation report'!$E$9=RefData!$B$5),'All Statement of strategy (D)'!$B714,"")</f>
        <v/>
      </c>
      <c r="H714" s="585" t="str">
        <f ca="1">IF(OR('Reconciliation report'!$E$104=RefData!$B$8,'Reconciliation report'!$E$9=RefData!$B$5),'All Statement of strategy (D)'!$B714,"")</f>
        <v/>
      </c>
      <c r="I714" s="595" t="str">
        <f ca="1">IF($C$1=RefData!$B$418,'All Statement of strategy (D)'!$E714,IF('All Statement of strategy (D)'!$C$1=RefData!$B$419,'All Statement of strategy (D)'!$F714,IF('All Statement of strategy (D)'!$C$1=RefData!$B$420,'All Statement of strategy (D)'!$G714,IF('All Statement of strategy (D)'!$C$1=RefData!$B$421,'All Statement of strategy (D)'!$H714," "))))</f>
        <v xml:space="preserve"> </v>
      </c>
    </row>
    <row r="715" spans="1:9">
      <c r="A715" s="584" t="s">
        <v>2090</v>
      </c>
      <c r="B715" s="621" t="str">
        <f ca="1">TEXT('Reconciliation report'!$E$134,RefData!$B$423)</f>
        <v/>
      </c>
      <c r="E715" s="585" t="str">
        <f ca="1">IF(OR('Reconciliation report'!$E$104=RefData!$B$8,'Reconciliation report'!$E$9=RefData!$B$5),'All Statement of strategy (D)'!$B715,"")</f>
        <v/>
      </c>
      <c r="F715" s="585" t="str">
        <f ca="1">IF(OR('Reconciliation report'!$E$104=RefData!$B$8,'Reconciliation report'!$E$9=RefData!$B$5),'All Statement of strategy (D)'!$B715,"")</f>
        <v/>
      </c>
      <c r="G715" s="585" t="str">
        <f ca="1">IF(OR('Reconciliation report'!$E$104=RefData!$B$8,'Reconciliation report'!$E$9=RefData!$B$5),'All Statement of strategy (D)'!$B715,"")</f>
        <v/>
      </c>
      <c r="H715" s="585" t="str">
        <f ca="1">IF(OR('Reconciliation report'!$E$104=RefData!$B$8,'Reconciliation report'!$E$9=RefData!$B$5),'All Statement of strategy (D)'!$B715,"")</f>
        <v/>
      </c>
      <c r="I715" s="595" t="str">
        <f ca="1">IF($C$1=RefData!$B$418,'All Statement of strategy (D)'!$E715,IF('All Statement of strategy (D)'!$C$1=RefData!$B$419,'All Statement of strategy (D)'!$F715,IF('All Statement of strategy (D)'!$C$1=RefData!$B$420,'All Statement of strategy (D)'!$G715,IF('All Statement of strategy (D)'!$C$1=RefData!$B$421,'All Statement of strategy (D)'!$H715," "))))</f>
        <v xml:space="preserve"> </v>
      </c>
    </row>
    <row r="716" spans="1:9">
      <c r="A716" s="584" t="s">
        <v>2091</v>
      </c>
      <c r="B716" s="621" t="str">
        <f ca="1">TEXT('Reconciliation report'!$E$135,RefData!$B$423)</f>
        <v/>
      </c>
      <c r="E716" s="585" t="str">
        <f ca="1">IF(OR('Reconciliation report'!$E$104=RefData!$B$8,'Reconciliation report'!$E$9=RefData!$B$5),'All Statement of strategy (D)'!$B716,"")</f>
        <v/>
      </c>
      <c r="F716" s="585" t="str">
        <f ca="1">IF(OR('Reconciliation report'!$E$104=RefData!$B$8,'Reconciliation report'!$E$9=RefData!$B$5),'All Statement of strategy (D)'!$B716,"")</f>
        <v/>
      </c>
      <c r="G716" s="585" t="str">
        <f ca="1">IF(OR('Reconciliation report'!$E$104=RefData!$B$8,'Reconciliation report'!$E$9=RefData!$B$5),'All Statement of strategy (D)'!$B716,"")</f>
        <v/>
      </c>
      <c r="H716" s="585" t="str">
        <f ca="1">IF(OR('Reconciliation report'!$E$104=RefData!$B$8,'Reconciliation report'!$E$9=RefData!$B$5),'All Statement of strategy (D)'!$B716,"")</f>
        <v/>
      </c>
      <c r="I716" s="595" t="str">
        <f ca="1">IF($C$1=RefData!$B$418,'All Statement of strategy (D)'!$E716,IF('All Statement of strategy (D)'!$C$1=RefData!$B$419,'All Statement of strategy (D)'!$F716,IF('All Statement of strategy (D)'!$C$1=RefData!$B$420,'All Statement of strategy (D)'!$G716,IF('All Statement of strategy (D)'!$C$1=RefData!$B$421,'All Statement of strategy (D)'!$H716," "))))</f>
        <v xml:space="preserve"> </v>
      </c>
    </row>
    <row r="717" spans="1:9">
      <c r="A717" s="584" t="s">
        <v>2092</v>
      </c>
      <c r="B717" s="621" t="str">
        <f ca="1">TEXT('Reconciliation report'!$E$136,RefData!$B$423)</f>
        <v/>
      </c>
      <c r="E717" s="585" t="str">
        <f ca="1">IF(OR('Reconciliation report'!$E$104=RefData!$B$8,'Reconciliation report'!$E$9=RefData!$B$5),'All Statement of strategy (D)'!$B717,"")</f>
        <v/>
      </c>
      <c r="F717" s="585" t="str">
        <f ca="1">IF(OR('Reconciliation report'!$E$104=RefData!$B$8,'Reconciliation report'!$E$9=RefData!$B$5),'All Statement of strategy (D)'!$B717,"")</f>
        <v/>
      </c>
      <c r="G717" s="585" t="str">
        <f ca="1">IF(OR('Reconciliation report'!$E$104=RefData!$B$8,'Reconciliation report'!$E$9=RefData!$B$5),'All Statement of strategy (D)'!$B717,"")</f>
        <v/>
      </c>
      <c r="H717" s="585" t="str">
        <f ca="1">IF(OR('Reconciliation report'!$E$104=RefData!$B$8,'Reconciliation report'!$E$9=RefData!$B$5),'All Statement of strategy (D)'!$B717,"")</f>
        <v/>
      </c>
      <c r="I717" s="595" t="str">
        <f ca="1">IF($C$1=RefData!$B$418,'All Statement of strategy (D)'!$E717,IF('All Statement of strategy (D)'!$C$1=RefData!$B$419,'All Statement of strategy (D)'!$F717,IF('All Statement of strategy (D)'!$C$1=RefData!$B$420,'All Statement of strategy (D)'!$G717,IF('All Statement of strategy (D)'!$C$1=RefData!$B$421,'All Statement of strategy (D)'!$H717," "))))</f>
        <v xml:space="preserve"> </v>
      </c>
    </row>
    <row r="718" spans="1:9">
      <c r="A718" s="584" t="s">
        <v>2093</v>
      </c>
      <c r="B718" s="621" t="str">
        <f ca="1">TEXT('Reconciliation report'!$E$137,RefData!$B$423)</f>
        <v/>
      </c>
      <c r="E718" s="585" t="str">
        <f ca="1">IF(OR('Reconciliation report'!$E$104=RefData!$B$8,'Reconciliation report'!$E$9=RefData!$B$5),'All Statement of strategy (D)'!$B718,"")</f>
        <v/>
      </c>
      <c r="F718" s="585" t="str">
        <f ca="1">IF(OR('Reconciliation report'!$E$104=RefData!$B$8,'Reconciliation report'!$E$9=RefData!$B$5),'All Statement of strategy (D)'!$B718,"")</f>
        <v/>
      </c>
      <c r="G718" s="585" t="str">
        <f ca="1">IF(OR('Reconciliation report'!$E$104=RefData!$B$8,'Reconciliation report'!$E$9=RefData!$B$5),'All Statement of strategy (D)'!$B718,"")</f>
        <v/>
      </c>
      <c r="H718" s="585" t="str">
        <f ca="1">IF(OR('Reconciliation report'!$E$104=RefData!$B$8,'Reconciliation report'!$E$9=RefData!$B$5),'All Statement of strategy (D)'!$B718,"")</f>
        <v/>
      </c>
      <c r="I718" s="595" t="str">
        <f ca="1">IF($C$1=RefData!$B$418,'All Statement of strategy (D)'!$E718,IF('All Statement of strategy (D)'!$C$1=RefData!$B$419,'All Statement of strategy (D)'!$F718,IF('All Statement of strategy (D)'!$C$1=RefData!$B$420,'All Statement of strategy (D)'!$G718,IF('All Statement of strategy (D)'!$C$1=RefData!$B$421,'All Statement of strategy (D)'!$H718," "))))</f>
        <v xml:space="preserve"> </v>
      </c>
    </row>
    <row r="719" spans="1:9">
      <c r="A719" s="584" t="s">
        <v>2094</v>
      </c>
      <c r="B719" s="621" t="str">
        <f ca="1">TEXT('Reconciliation report'!$E$138,RefData!$B$423)</f>
        <v/>
      </c>
      <c r="E719" s="585" t="str">
        <f ca="1">IF(OR('Reconciliation report'!$E$104=RefData!$B$8,'Reconciliation report'!$E$9=RefData!$B$5),'All Statement of strategy (D)'!$B719,"")</f>
        <v/>
      </c>
      <c r="F719" s="585" t="str">
        <f ca="1">IF(OR('Reconciliation report'!$E$104=RefData!$B$8,'Reconciliation report'!$E$9=RefData!$B$5),'All Statement of strategy (D)'!$B719,"")</f>
        <v/>
      </c>
      <c r="G719" s="585" t="str">
        <f ca="1">IF(OR('Reconciliation report'!$E$104=RefData!$B$8,'Reconciliation report'!$E$9=RefData!$B$5),'All Statement of strategy (D)'!$B719,"")</f>
        <v/>
      </c>
      <c r="H719" s="585" t="str">
        <f ca="1">IF(OR('Reconciliation report'!$E$104=RefData!$B$8,'Reconciliation report'!$E$9=RefData!$B$5),'All Statement of strategy (D)'!$B719,"")</f>
        <v/>
      </c>
      <c r="I719" s="595" t="str">
        <f ca="1">IF($C$1=RefData!$B$418,'All Statement of strategy (D)'!$E719,IF('All Statement of strategy (D)'!$C$1=RefData!$B$419,'All Statement of strategy (D)'!$F719,IF('All Statement of strategy (D)'!$C$1=RefData!$B$420,'All Statement of strategy (D)'!$G719,IF('All Statement of strategy (D)'!$C$1=RefData!$B$421,'All Statement of strategy (D)'!$H719," "))))</f>
        <v xml:space="preserve"> </v>
      </c>
    </row>
    <row r="720" spans="1:9">
      <c r="A720" s="584" t="s">
        <v>2095</v>
      </c>
      <c r="B720" s="621" t="str">
        <f ca="1">TEXT('Reconciliation report'!$E$139,RefData!$B$423)</f>
        <v/>
      </c>
      <c r="E720" s="585" t="str">
        <f ca="1">IF(OR('Reconciliation report'!$E$104=RefData!$B$8,'Reconciliation report'!$E$9=RefData!$B$5),'All Statement of strategy (D)'!$B720,"")</f>
        <v/>
      </c>
      <c r="F720" s="585" t="str">
        <f ca="1">IF(OR('Reconciliation report'!$E$104=RefData!$B$8,'Reconciliation report'!$E$9=RefData!$B$5),'All Statement of strategy (D)'!$B720,"")</f>
        <v/>
      </c>
      <c r="G720" s="585" t="str">
        <f ca="1">IF(OR('Reconciliation report'!$E$104=RefData!$B$8,'Reconciliation report'!$E$9=RefData!$B$5),'All Statement of strategy (D)'!$B720,"")</f>
        <v/>
      </c>
      <c r="H720" s="585" t="str">
        <f ca="1">IF(OR('Reconciliation report'!$E$104=RefData!$B$8,'Reconciliation report'!$E$9=RefData!$B$5),'All Statement of strategy (D)'!$B720,"")</f>
        <v/>
      </c>
      <c r="I720" s="595" t="str">
        <f ca="1">IF($C$1=RefData!$B$418,'All Statement of strategy (D)'!$E720,IF('All Statement of strategy (D)'!$C$1=RefData!$B$419,'All Statement of strategy (D)'!$F720,IF('All Statement of strategy (D)'!$C$1=RefData!$B$420,'All Statement of strategy (D)'!$G720,IF('All Statement of strategy (D)'!$C$1=RefData!$B$421,'All Statement of strategy (D)'!$H720," "))))</f>
        <v xml:space="preserve"> </v>
      </c>
    </row>
    <row r="721" spans="1:9">
      <c r="A721" s="584" t="s">
        <v>2096</v>
      </c>
      <c r="B721" s="621" t="str">
        <f ca="1">TEXT('Reconciliation report'!$E$140,RefData!$B$423)</f>
        <v/>
      </c>
      <c r="E721" s="585" t="str">
        <f ca="1">IF(OR('Reconciliation report'!$E$104=RefData!$B$8,'Reconciliation report'!$E$9=RefData!$B$5),'All Statement of strategy (D)'!$B721,"")</f>
        <v/>
      </c>
      <c r="F721" s="585" t="str">
        <f ca="1">IF(OR('Reconciliation report'!$E$104=RefData!$B$8,'Reconciliation report'!$E$9=RefData!$B$5),'All Statement of strategy (D)'!$B721,"")</f>
        <v/>
      </c>
      <c r="G721" s="585" t="str">
        <f ca="1">IF(OR('Reconciliation report'!$E$104=RefData!$B$8,'Reconciliation report'!$E$9=RefData!$B$5),'All Statement of strategy (D)'!$B721,"")</f>
        <v/>
      </c>
      <c r="H721" s="585" t="str">
        <f ca="1">IF(OR('Reconciliation report'!$E$104=RefData!$B$8,'Reconciliation report'!$E$9=RefData!$B$5),'All Statement of strategy (D)'!$B721,"")</f>
        <v/>
      </c>
      <c r="I721" s="595" t="str">
        <f ca="1">IF($C$1=RefData!$B$418,'All Statement of strategy (D)'!$E721,IF('All Statement of strategy (D)'!$C$1=RefData!$B$419,'All Statement of strategy (D)'!$F721,IF('All Statement of strategy (D)'!$C$1=RefData!$B$420,'All Statement of strategy (D)'!$G721,IF('All Statement of strategy (D)'!$C$1=RefData!$B$421,'All Statement of strategy (D)'!$H721," "))))</f>
        <v xml:space="preserve"> </v>
      </c>
    </row>
    <row r="722" spans="1:9">
      <c r="A722" s="584" t="s">
        <v>2097</v>
      </c>
      <c r="B722" s="621" t="str">
        <f ca="1">TEXT('Reconciliation report'!$E$141,RefData!$B$423)</f>
        <v/>
      </c>
      <c r="E722" s="585" t="str">
        <f ca="1">IF(OR('Reconciliation report'!$E$104=RefData!$B$8,'Reconciliation report'!$E$9=RefData!$B$5),'All Statement of strategy (D)'!$B722,"")</f>
        <v/>
      </c>
      <c r="F722" s="585" t="str">
        <f ca="1">IF(OR('Reconciliation report'!$E$104=RefData!$B$8,'Reconciliation report'!$E$9=RefData!$B$5),'All Statement of strategy (D)'!$B722,"")</f>
        <v/>
      </c>
      <c r="G722" s="585" t="str">
        <f ca="1">IF(OR('Reconciliation report'!$E$104=RefData!$B$8,'Reconciliation report'!$E$9=RefData!$B$5),'All Statement of strategy (D)'!$B722,"")</f>
        <v/>
      </c>
      <c r="H722" s="585" t="str">
        <f ca="1">IF(OR('Reconciliation report'!$E$104=RefData!$B$8,'Reconciliation report'!$E$9=RefData!$B$5),'All Statement of strategy (D)'!$B722,"")</f>
        <v/>
      </c>
      <c r="I722" s="595" t="str">
        <f ca="1">IF($C$1=RefData!$B$418,'All Statement of strategy (D)'!$E722,IF('All Statement of strategy (D)'!$C$1=RefData!$B$419,'All Statement of strategy (D)'!$F722,IF('All Statement of strategy (D)'!$C$1=RefData!$B$420,'All Statement of strategy (D)'!$G722,IF('All Statement of strategy (D)'!$C$1=RefData!$B$421,'All Statement of strategy (D)'!$H722," "))))</f>
        <v xml:space="preserve"> </v>
      </c>
    </row>
    <row r="723" spans="1:9">
      <c r="A723" s="584" t="s">
        <v>2098</v>
      </c>
      <c r="B723" s="621" t="str">
        <f ca="1">TEXT('Reconciliation report'!$E$142,RefData!$B$423)</f>
        <v/>
      </c>
      <c r="E723" s="585" t="str">
        <f ca="1">IF(OR('Reconciliation report'!$E$104=RefData!$B$8,'Reconciliation report'!$E$9=RefData!$B$5),'All Statement of strategy (D)'!$B723,"")</f>
        <v/>
      </c>
      <c r="F723" s="585" t="str">
        <f ca="1">IF(OR('Reconciliation report'!$E$104=RefData!$B$8,'Reconciliation report'!$E$9=RefData!$B$5),'All Statement of strategy (D)'!$B723,"")</f>
        <v/>
      </c>
      <c r="G723" s="585" t="str">
        <f ca="1">IF(OR('Reconciliation report'!$E$104=RefData!$B$8,'Reconciliation report'!$E$9=RefData!$B$5),'All Statement of strategy (D)'!$B723,"")</f>
        <v/>
      </c>
      <c r="H723" s="585" t="str">
        <f ca="1">IF(OR('Reconciliation report'!$E$104=RefData!$B$8,'Reconciliation report'!$E$9=RefData!$B$5),'All Statement of strategy (D)'!$B723,"")</f>
        <v/>
      </c>
      <c r="I723" s="595" t="str">
        <f ca="1">IF($C$1=RefData!$B$418,'All Statement of strategy (D)'!$E723,IF('All Statement of strategy (D)'!$C$1=RefData!$B$419,'All Statement of strategy (D)'!$F723,IF('All Statement of strategy (D)'!$C$1=RefData!$B$420,'All Statement of strategy (D)'!$G723,IF('All Statement of strategy (D)'!$C$1=RefData!$B$421,'All Statement of strategy (D)'!$H723," "))))</f>
        <v xml:space="preserve"> </v>
      </c>
    </row>
    <row r="724" spans="1:9">
      <c r="A724" s="584" t="s">
        <v>2099</v>
      </c>
      <c r="B724" s="621" t="str">
        <f ca="1">TEXT('Reconciliation report'!$E$143,RefData!$B$423)</f>
        <v/>
      </c>
      <c r="E724" s="585" t="str">
        <f ca="1">IF(OR('Reconciliation report'!$E$104=RefData!$B$8,'Reconciliation report'!$E$9=RefData!$B$5),'All Statement of strategy (D)'!$B724,"")</f>
        <v/>
      </c>
      <c r="F724" s="585" t="str">
        <f ca="1">IF(OR('Reconciliation report'!$E$104=RefData!$B$8,'Reconciliation report'!$E$9=RefData!$B$5),'All Statement of strategy (D)'!$B724,"")</f>
        <v/>
      </c>
      <c r="G724" s="585" t="str">
        <f ca="1">IF(OR('Reconciliation report'!$E$104=RefData!$B$8,'Reconciliation report'!$E$9=RefData!$B$5),'All Statement of strategy (D)'!$B724,"")</f>
        <v/>
      </c>
      <c r="H724" s="585" t="str">
        <f ca="1">IF(OR('Reconciliation report'!$E$104=RefData!$B$8,'Reconciliation report'!$E$9=RefData!$B$5),'All Statement of strategy (D)'!$B724,"")</f>
        <v/>
      </c>
      <c r="I724" s="595" t="str">
        <f ca="1">IF($C$1=RefData!$B$418,'All Statement of strategy (D)'!$E724,IF('All Statement of strategy (D)'!$C$1=RefData!$B$419,'All Statement of strategy (D)'!$F724,IF('All Statement of strategy (D)'!$C$1=RefData!$B$420,'All Statement of strategy (D)'!$G724,IF('All Statement of strategy (D)'!$C$1=RefData!$B$421,'All Statement of strategy (D)'!$H724," "))))</f>
        <v xml:space="preserve"> </v>
      </c>
    </row>
    <row r="725" spans="1:9">
      <c r="A725" s="584" t="s">
        <v>2100</v>
      </c>
      <c r="B725" s="621" t="str">
        <f ca="1">TEXT('Reconciliation report'!$E$144,RefData!$B$423)</f>
        <v/>
      </c>
      <c r="E725" s="585" t="str">
        <f ca="1">IF(OR('Reconciliation report'!$E$104=RefData!$B$8,'Reconciliation report'!$E$9=RefData!$B$5),'All Statement of strategy (D)'!$B725,"")</f>
        <v/>
      </c>
      <c r="F725" s="585" t="str">
        <f ca="1">IF(OR('Reconciliation report'!$E$104=RefData!$B$8,'Reconciliation report'!$E$9=RefData!$B$5),'All Statement of strategy (D)'!$B725,"")</f>
        <v/>
      </c>
      <c r="G725" s="585" t="str">
        <f ca="1">IF(OR('Reconciliation report'!$E$104=RefData!$B$8,'Reconciliation report'!$E$9=RefData!$B$5),'All Statement of strategy (D)'!$B725,"")</f>
        <v/>
      </c>
      <c r="H725" s="585" t="str">
        <f ca="1">IF(OR('Reconciliation report'!$E$104=RefData!$B$8,'Reconciliation report'!$E$9=RefData!$B$5),'All Statement of strategy (D)'!$B725,"")</f>
        <v/>
      </c>
      <c r="I725" s="595" t="str">
        <f ca="1">IF($C$1=RefData!$B$418,'All Statement of strategy (D)'!$E725,IF('All Statement of strategy (D)'!$C$1=RefData!$B$419,'All Statement of strategy (D)'!$F725,IF('All Statement of strategy (D)'!$C$1=RefData!$B$420,'All Statement of strategy (D)'!$G725,IF('All Statement of strategy (D)'!$C$1=RefData!$B$421,'All Statement of strategy (D)'!$H725," "))))</f>
        <v xml:space="preserve"> </v>
      </c>
    </row>
    <row r="726" spans="1:9">
      <c r="A726" s="584" t="s">
        <v>2101</v>
      </c>
      <c r="B726" s="621" t="str">
        <f ca="1">TEXT('Reconciliation report'!$E$145,RefData!$B$423)</f>
        <v/>
      </c>
      <c r="E726" s="585" t="str">
        <f ca="1">IF(OR('Reconciliation report'!$E$104=RefData!$B$8,'Reconciliation report'!$E$9=RefData!$B$5),'All Statement of strategy (D)'!$B726,"")</f>
        <v/>
      </c>
      <c r="F726" s="585" t="str">
        <f ca="1">IF(OR('Reconciliation report'!$E$104=RefData!$B$8,'Reconciliation report'!$E$9=RefData!$B$5),'All Statement of strategy (D)'!$B726,"")</f>
        <v/>
      </c>
      <c r="G726" s="585" t="str">
        <f ca="1">IF(OR('Reconciliation report'!$E$104=RefData!$B$8,'Reconciliation report'!$E$9=RefData!$B$5),'All Statement of strategy (D)'!$B726,"")</f>
        <v/>
      </c>
      <c r="H726" s="585" t="str">
        <f ca="1">IF(OR('Reconciliation report'!$E$104=RefData!$B$8,'Reconciliation report'!$E$9=RefData!$B$5),'All Statement of strategy (D)'!$B726,"")</f>
        <v/>
      </c>
      <c r="I726" s="595" t="str">
        <f ca="1">IF($C$1=RefData!$B$418,'All Statement of strategy (D)'!$E726,IF('All Statement of strategy (D)'!$C$1=RefData!$B$419,'All Statement of strategy (D)'!$F726,IF('All Statement of strategy (D)'!$C$1=RefData!$B$420,'All Statement of strategy (D)'!$G726,IF('All Statement of strategy (D)'!$C$1=RefData!$B$421,'All Statement of strategy (D)'!$H726," "))))</f>
        <v xml:space="preserve"> </v>
      </c>
    </row>
    <row r="727" spans="1:9">
      <c r="A727" s="584" t="s">
        <v>2102</v>
      </c>
      <c r="B727" s="621" t="str">
        <f ca="1">TEXT('Reconciliation report'!$E$146,RefData!$B$423)</f>
        <v/>
      </c>
      <c r="E727" s="585" t="str">
        <f ca="1">IF(OR('Reconciliation report'!$E$104=RefData!$B$8,'Reconciliation report'!$E$9=RefData!$B$5),'All Statement of strategy (D)'!$B727,"")</f>
        <v/>
      </c>
      <c r="F727" s="585" t="str">
        <f ca="1">IF(OR('Reconciliation report'!$E$104=RefData!$B$8,'Reconciliation report'!$E$9=RefData!$B$5),'All Statement of strategy (D)'!$B727,"")</f>
        <v/>
      </c>
      <c r="G727" s="585" t="str">
        <f ca="1">IF(OR('Reconciliation report'!$E$104=RefData!$B$8,'Reconciliation report'!$E$9=RefData!$B$5),'All Statement of strategy (D)'!$B727,"")</f>
        <v/>
      </c>
      <c r="H727" s="585" t="str">
        <f ca="1">IF(OR('Reconciliation report'!$E$104=RefData!$B$8,'Reconciliation report'!$E$9=RefData!$B$5),'All Statement of strategy (D)'!$B727,"")</f>
        <v/>
      </c>
      <c r="I727" s="595" t="str">
        <f ca="1">IF($C$1=RefData!$B$418,'All Statement of strategy (D)'!$E727,IF('All Statement of strategy (D)'!$C$1=RefData!$B$419,'All Statement of strategy (D)'!$F727,IF('All Statement of strategy (D)'!$C$1=RefData!$B$420,'All Statement of strategy (D)'!$G727,IF('All Statement of strategy (D)'!$C$1=RefData!$B$421,'All Statement of strategy (D)'!$H727," "))))</f>
        <v xml:space="preserve"> </v>
      </c>
    </row>
    <row r="728" spans="1:9">
      <c r="A728" s="584" t="s">
        <v>2103</v>
      </c>
      <c r="B728" s="621" t="str">
        <f ca="1">TEXT('Reconciliation report'!$E$147,RefData!$B$423)</f>
        <v/>
      </c>
      <c r="E728" s="585" t="str">
        <f ca="1">IF(OR('Reconciliation report'!$E$104=RefData!$B$8,'Reconciliation report'!$E$9=RefData!$B$5),'All Statement of strategy (D)'!$B728,"")</f>
        <v/>
      </c>
      <c r="F728" s="585" t="str">
        <f ca="1">IF(OR('Reconciliation report'!$E$104=RefData!$B$8,'Reconciliation report'!$E$9=RefData!$B$5),'All Statement of strategy (D)'!$B728,"")</f>
        <v/>
      </c>
      <c r="G728" s="585" t="str">
        <f ca="1">IF(OR('Reconciliation report'!$E$104=RefData!$B$8,'Reconciliation report'!$E$9=RefData!$B$5),'All Statement of strategy (D)'!$B728,"")</f>
        <v/>
      </c>
      <c r="H728" s="585" t="str">
        <f ca="1">IF(OR('Reconciliation report'!$E$104=RefData!$B$8,'Reconciliation report'!$E$9=RefData!$B$5),'All Statement of strategy (D)'!$B728,"")</f>
        <v/>
      </c>
      <c r="I728" s="595" t="str">
        <f ca="1">IF($C$1=RefData!$B$418,'All Statement of strategy (D)'!$E728,IF('All Statement of strategy (D)'!$C$1=RefData!$B$419,'All Statement of strategy (D)'!$F728,IF('All Statement of strategy (D)'!$C$1=RefData!$B$420,'All Statement of strategy (D)'!$G728,IF('All Statement of strategy (D)'!$C$1=RefData!$B$421,'All Statement of strategy (D)'!$H728," "))))</f>
        <v xml:space="preserve"> </v>
      </c>
    </row>
    <row r="729" spans="1:9">
      <c r="A729" s="584" t="s">
        <v>2104</v>
      </c>
      <c r="B729" s="621" t="str">
        <f ca="1">TEXT('Reconciliation report'!$E$148,RefData!$B$423)</f>
        <v/>
      </c>
      <c r="E729" s="585" t="str">
        <f ca="1">IF(OR('Reconciliation report'!$E$104=RefData!$B$8,'Reconciliation report'!$E$9=RefData!$B$5),'All Statement of strategy (D)'!$B729,"")</f>
        <v/>
      </c>
      <c r="F729" s="585" t="str">
        <f ca="1">IF(OR('Reconciliation report'!$E$104=RefData!$B$8,'Reconciliation report'!$E$9=RefData!$B$5),'All Statement of strategy (D)'!$B729,"")</f>
        <v/>
      </c>
      <c r="G729" s="585" t="str">
        <f ca="1">IF(OR('Reconciliation report'!$E$104=RefData!$B$8,'Reconciliation report'!$E$9=RefData!$B$5),'All Statement of strategy (D)'!$B729,"")</f>
        <v/>
      </c>
      <c r="H729" s="585" t="str">
        <f ca="1">IF(OR('Reconciliation report'!$E$104=RefData!$B$8,'Reconciliation report'!$E$9=RefData!$B$5),'All Statement of strategy (D)'!$B729,"")</f>
        <v/>
      </c>
      <c r="I729" s="595" t="str">
        <f ca="1">IF($C$1=RefData!$B$418,'All Statement of strategy (D)'!$E729,IF('All Statement of strategy (D)'!$C$1=RefData!$B$419,'All Statement of strategy (D)'!$F729,IF('All Statement of strategy (D)'!$C$1=RefData!$B$420,'All Statement of strategy (D)'!$G729,IF('All Statement of strategy (D)'!$C$1=RefData!$B$421,'All Statement of strategy (D)'!$H729," "))))</f>
        <v xml:space="preserve"> </v>
      </c>
    </row>
    <row r="730" spans="1:9">
      <c r="A730" s="584" t="s">
        <v>2105</v>
      </c>
      <c r="B730" s="621" t="str">
        <f ca="1">TEXT('Reconciliation report'!$E$149,RefData!$B$423)</f>
        <v/>
      </c>
      <c r="E730" s="585" t="str">
        <f ca="1">IF(OR('Reconciliation report'!$E$104=RefData!$B$8,'Reconciliation report'!$E$9=RefData!$B$5),'All Statement of strategy (D)'!$B730,"")</f>
        <v/>
      </c>
      <c r="F730" s="585" t="str">
        <f ca="1">IF(OR('Reconciliation report'!$E$104=RefData!$B$8,'Reconciliation report'!$E$9=RefData!$B$5),'All Statement of strategy (D)'!$B730,"")</f>
        <v/>
      </c>
      <c r="G730" s="585" t="str">
        <f ca="1">IF(OR('Reconciliation report'!$E$104=RefData!$B$8,'Reconciliation report'!$E$9=RefData!$B$5),'All Statement of strategy (D)'!$B730,"")</f>
        <v/>
      </c>
      <c r="H730" s="585" t="str">
        <f ca="1">IF(OR('Reconciliation report'!$E$104=RefData!$B$8,'Reconciliation report'!$E$9=RefData!$B$5),'All Statement of strategy (D)'!$B730,"")</f>
        <v/>
      </c>
      <c r="I730" s="595" t="str">
        <f ca="1">IF($C$1=RefData!$B$418,'All Statement of strategy (D)'!$E730,IF('All Statement of strategy (D)'!$C$1=RefData!$B$419,'All Statement of strategy (D)'!$F730,IF('All Statement of strategy (D)'!$C$1=RefData!$B$420,'All Statement of strategy (D)'!$G730,IF('All Statement of strategy (D)'!$C$1=RefData!$B$421,'All Statement of strategy (D)'!$H730," "))))</f>
        <v xml:space="preserve"> </v>
      </c>
    </row>
    <row r="731" spans="1:9">
      <c r="A731" s="584" t="s">
        <v>2106</v>
      </c>
      <c r="B731" s="621" t="str">
        <f ca="1">TEXT('Reconciliation report'!$E$150,RefData!$B$423)</f>
        <v/>
      </c>
      <c r="E731" s="585" t="str">
        <f ca="1">IF(OR('Reconciliation report'!$E$104=RefData!$B$8,'Reconciliation report'!$E$9=RefData!$B$5),'All Statement of strategy (D)'!$B731,"")</f>
        <v/>
      </c>
      <c r="F731" s="585" t="str">
        <f ca="1">IF(OR('Reconciliation report'!$E$104=RefData!$B$8,'Reconciliation report'!$E$9=RefData!$B$5),'All Statement of strategy (D)'!$B731,"")</f>
        <v/>
      </c>
      <c r="G731" s="585" t="str">
        <f ca="1">IF(OR('Reconciliation report'!$E$104=RefData!$B$8,'Reconciliation report'!$E$9=RefData!$B$5),'All Statement of strategy (D)'!$B731,"")</f>
        <v/>
      </c>
      <c r="H731" s="585" t="str">
        <f ca="1">IF(OR('Reconciliation report'!$E$104=RefData!$B$8,'Reconciliation report'!$E$9=RefData!$B$5),'All Statement of strategy (D)'!$B731,"")</f>
        <v/>
      </c>
      <c r="I731" s="595" t="str">
        <f ca="1">IF($C$1=RefData!$B$418,'All Statement of strategy (D)'!$E731,IF('All Statement of strategy (D)'!$C$1=RefData!$B$419,'All Statement of strategy (D)'!$F731,IF('All Statement of strategy (D)'!$C$1=RefData!$B$420,'All Statement of strategy (D)'!$G731,IF('All Statement of strategy (D)'!$C$1=RefData!$B$421,'All Statement of strategy (D)'!$H731," "))))</f>
        <v xml:space="preserve"> </v>
      </c>
    </row>
    <row r="732" spans="1:9">
      <c r="A732" s="584" t="s">
        <v>2107</v>
      </c>
      <c r="B732" s="621" t="str">
        <f ca="1">TEXT('Reconciliation report'!$E$151,RefData!$B$423)</f>
        <v/>
      </c>
      <c r="E732" s="585" t="str">
        <f ca="1">IF(OR('Reconciliation report'!$E$104=RefData!$B$8,'Reconciliation report'!$E$9=RefData!$B$5),'All Statement of strategy (D)'!$B732,"")</f>
        <v/>
      </c>
      <c r="F732" s="585" t="str">
        <f ca="1">IF(OR('Reconciliation report'!$E$104=RefData!$B$8,'Reconciliation report'!$E$9=RefData!$B$5),'All Statement of strategy (D)'!$B732,"")</f>
        <v/>
      </c>
      <c r="G732" s="585" t="str">
        <f ca="1">IF(OR('Reconciliation report'!$E$104=RefData!$B$8,'Reconciliation report'!$E$9=RefData!$B$5),'All Statement of strategy (D)'!$B732,"")</f>
        <v/>
      </c>
      <c r="H732" s="585" t="str">
        <f ca="1">IF(OR('Reconciliation report'!$E$104=RefData!$B$8,'Reconciliation report'!$E$9=RefData!$B$5),'All Statement of strategy (D)'!$B732,"")</f>
        <v/>
      </c>
      <c r="I732" s="595" t="str">
        <f ca="1">IF($C$1=RefData!$B$418,'All Statement of strategy (D)'!$E732,IF('All Statement of strategy (D)'!$C$1=RefData!$B$419,'All Statement of strategy (D)'!$F732,IF('All Statement of strategy (D)'!$C$1=RefData!$B$420,'All Statement of strategy (D)'!$G732,IF('All Statement of strategy (D)'!$C$1=RefData!$B$421,'All Statement of strategy (D)'!$H732," "))))</f>
        <v xml:space="preserve"> </v>
      </c>
    </row>
    <row r="733" spans="1:9">
      <c r="A733" s="584" t="s">
        <v>2108</v>
      </c>
      <c r="B733" s="621" t="str">
        <f ca="1">TEXT('Reconciliation report'!$E$152,RefData!$B$423)</f>
        <v/>
      </c>
      <c r="E733" s="585" t="str">
        <f ca="1">IF(OR('Reconciliation report'!$E$104=RefData!$B$8,'Reconciliation report'!$E$9=RefData!$B$5),'All Statement of strategy (D)'!$B733,"")</f>
        <v/>
      </c>
      <c r="F733" s="585" t="str">
        <f ca="1">IF(OR('Reconciliation report'!$E$104=RefData!$B$8,'Reconciliation report'!$E$9=RefData!$B$5),'All Statement of strategy (D)'!$B733,"")</f>
        <v/>
      </c>
      <c r="G733" s="585" t="str">
        <f ca="1">IF(OR('Reconciliation report'!$E$104=RefData!$B$8,'Reconciliation report'!$E$9=RefData!$B$5),'All Statement of strategy (D)'!$B733,"")</f>
        <v/>
      </c>
      <c r="H733" s="585" t="str">
        <f ca="1">IF(OR('Reconciliation report'!$E$104=RefData!$B$8,'Reconciliation report'!$E$9=RefData!$B$5),'All Statement of strategy (D)'!$B733,"")</f>
        <v/>
      </c>
      <c r="I733" s="595" t="str">
        <f ca="1">IF($C$1=RefData!$B$418,'All Statement of strategy (D)'!$E733,IF('All Statement of strategy (D)'!$C$1=RefData!$B$419,'All Statement of strategy (D)'!$F733,IF('All Statement of strategy (D)'!$C$1=RefData!$B$420,'All Statement of strategy (D)'!$G733,IF('All Statement of strategy (D)'!$C$1=RefData!$B$421,'All Statement of strategy (D)'!$H733," "))))</f>
        <v xml:space="preserve"> </v>
      </c>
    </row>
    <row r="734" spans="1:9">
      <c r="A734" s="584" t="s">
        <v>2109</v>
      </c>
      <c r="B734" s="621" t="str">
        <f ca="1">TEXT('Reconciliation report'!$E$153,RefData!$B$423)</f>
        <v/>
      </c>
      <c r="E734" s="585" t="str">
        <f ca="1">IF(OR('Reconciliation report'!$E$104=RefData!$B$8,'Reconciliation report'!$E$9=RefData!$B$5),'All Statement of strategy (D)'!$B734,"")</f>
        <v/>
      </c>
      <c r="F734" s="585" t="str">
        <f ca="1">IF(OR('Reconciliation report'!$E$104=RefData!$B$8,'Reconciliation report'!$E$9=RefData!$B$5),'All Statement of strategy (D)'!$B734,"")</f>
        <v/>
      </c>
      <c r="G734" s="585" t="str">
        <f ca="1">IF(OR('Reconciliation report'!$E$104=RefData!$B$8,'Reconciliation report'!$E$9=RefData!$B$5),'All Statement of strategy (D)'!$B734,"")</f>
        <v/>
      </c>
      <c r="H734" s="585" t="str">
        <f ca="1">IF(OR('Reconciliation report'!$E$104=RefData!$B$8,'Reconciliation report'!$E$9=RefData!$B$5),'All Statement of strategy (D)'!$B734,"")</f>
        <v/>
      </c>
      <c r="I734" s="595" t="str">
        <f ca="1">IF($C$1=RefData!$B$418,'All Statement of strategy (D)'!$E734,IF('All Statement of strategy (D)'!$C$1=RefData!$B$419,'All Statement of strategy (D)'!$F734,IF('All Statement of strategy (D)'!$C$1=RefData!$B$420,'All Statement of strategy (D)'!$G734,IF('All Statement of strategy (D)'!$C$1=RefData!$B$421,'All Statement of strategy (D)'!$H734," "))))</f>
        <v xml:space="preserve"> </v>
      </c>
    </row>
    <row r="735" spans="1:9">
      <c r="A735" s="584" t="s">
        <v>2110</v>
      </c>
      <c r="B735" s="621" t="str">
        <f ca="1">TEXT('Reconciliation report'!$E$154,RefData!$B$423)</f>
        <v/>
      </c>
      <c r="E735" s="585" t="str">
        <f ca="1">IF(OR('Reconciliation report'!$E$104=RefData!$B$8,'Reconciliation report'!$E$9=RefData!$B$5),'All Statement of strategy (D)'!$B735,"")</f>
        <v/>
      </c>
      <c r="F735" s="585" t="str">
        <f ca="1">IF(OR('Reconciliation report'!$E$104=RefData!$B$8,'Reconciliation report'!$E$9=RefData!$B$5),'All Statement of strategy (D)'!$B735,"")</f>
        <v/>
      </c>
      <c r="G735" s="585" t="str">
        <f ca="1">IF(OR('Reconciliation report'!$E$104=RefData!$B$8,'Reconciliation report'!$E$9=RefData!$B$5),'All Statement of strategy (D)'!$B735,"")</f>
        <v/>
      </c>
      <c r="H735" s="585" t="str">
        <f ca="1">IF(OR('Reconciliation report'!$E$104=RefData!$B$8,'Reconciliation report'!$E$9=RefData!$B$5),'All Statement of strategy (D)'!$B735,"")</f>
        <v/>
      </c>
      <c r="I735" s="595" t="str">
        <f ca="1">IF($C$1=RefData!$B$418,'All Statement of strategy (D)'!$E735,IF('All Statement of strategy (D)'!$C$1=RefData!$B$419,'All Statement of strategy (D)'!$F735,IF('All Statement of strategy (D)'!$C$1=RefData!$B$420,'All Statement of strategy (D)'!$G735,IF('All Statement of strategy (D)'!$C$1=RefData!$B$421,'All Statement of strategy (D)'!$H735," "))))</f>
        <v xml:space="preserve"> </v>
      </c>
    </row>
    <row r="736" spans="1:9">
      <c r="A736" s="584" t="s">
        <v>2111</v>
      </c>
      <c r="B736" s="621" t="str">
        <f ca="1">TEXT('Reconciliation report'!$E$155,RefData!$B$423)</f>
        <v/>
      </c>
      <c r="E736" s="585" t="str">
        <f ca="1">IF(OR('Reconciliation report'!$E$104=RefData!$B$8,'Reconciliation report'!$E$9=RefData!$B$5),'All Statement of strategy (D)'!$B736,"")</f>
        <v/>
      </c>
      <c r="F736" s="585" t="str">
        <f ca="1">IF(OR('Reconciliation report'!$E$104=RefData!$B$8,'Reconciliation report'!$E$9=RefData!$B$5),'All Statement of strategy (D)'!$B736,"")</f>
        <v/>
      </c>
      <c r="G736" s="585" t="str">
        <f ca="1">IF(OR('Reconciliation report'!$E$104=RefData!$B$8,'Reconciliation report'!$E$9=RefData!$B$5),'All Statement of strategy (D)'!$B736,"")</f>
        <v/>
      </c>
      <c r="H736" s="585" t="str">
        <f ca="1">IF(OR('Reconciliation report'!$E$104=RefData!$B$8,'Reconciliation report'!$E$9=RefData!$B$5),'All Statement of strategy (D)'!$B736,"")</f>
        <v/>
      </c>
      <c r="I736" s="595" t="str">
        <f ca="1">IF($C$1=RefData!$B$418,'All Statement of strategy (D)'!$E736,IF('All Statement of strategy (D)'!$C$1=RefData!$B$419,'All Statement of strategy (D)'!$F736,IF('All Statement of strategy (D)'!$C$1=RefData!$B$420,'All Statement of strategy (D)'!$G736,IF('All Statement of strategy (D)'!$C$1=RefData!$B$421,'All Statement of strategy (D)'!$H736," "))))</f>
        <v xml:space="preserve"> </v>
      </c>
    </row>
    <row r="737" spans="1:9">
      <c r="A737" s="584" t="s">
        <v>2112</v>
      </c>
      <c r="B737" s="621" t="str">
        <f ca="1">TEXT('Reconciliation report'!$E$156,RefData!$B$423)</f>
        <v/>
      </c>
      <c r="E737" s="585" t="str">
        <f ca="1">IF(OR('Reconciliation report'!$E$104=RefData!$B$8,'Reconciliation report'!$E$9=RefData!$B$5),'All Statement of strategy (D)'!$B737,"")</f>
        <v/>
      </c>
      <c r="F737" s="585" t="str">
        <f ca="1">IF(OR('Reconciliation report'!$E$104=RefData!$B$8,'Reconciliation report'!$E$9=RefData!$B$5),'All Statement of strategy (D)'!$B737,"")</f>
        <v/>
      </c>
      <c r="G737" s="585" t="str">
        <f ca="1">IF(OR('Reconciliation report'!$E$104=RefData!$B$8,'Reconciliation report'!$E$9=RefData!$B$5),'All Statement of strategy (D)'!$B737,"")</f>
        <v/>
      </c>
      <c r="H737" s="585" t="str">
        <f ca="1">IF(OR('Reconciliation report'!$E$104=RefData!$B$8,'Reconciliation report'!$E$9=RefData!$B$5),'All Statement of strategy (D)'!$B737,"")</f>
        <v/>
      </c>
      <c r="I737" s="595" t="str">
        <f ca="1">IF($C$1=RefData!$B$418,'All Statement of strategy (D)'!$E737,IF('All Statement of strategy (D)'!$C$1=RefData!$B$419,'All Statement of strategy (D)'!$F737,IF('All Statement of strategy (D)'!$C$1=RefData!$B$420,'All Statement of strategy (D)'!$G737,IF('All Statement of strategy (D)'!$C$1=RefData!$B$421,'All Statement of strategy (D)'!$H737," "))))</f>
        <v xml:space="preserve"> </v>
      </c>
    </row>
    <row r="738" spans="1:9">
      <c r="A738" s="584" t="s">
        <v>2113</v>
      </c>
      <c r="B738" s="621" t="str">
        <f ca="1">TEXT('Reconciliation report'!$E$157,RefData!$B$423)</f>
        <v/>
      </c>
      <c r="E738" s="585" t="str">
        <f ca="1">IF(OR('Reconciliation report'!$E$104=RefData!$B$8,'Reconciliation report'!$E$9=RefData!$B$5),'All Statement of strategy (D)'!$B738,"")</f>
        <v/>
      </c>
      <c r="F738" s="585" t="str">
        <f ca="1">IF(OR('Reconciliation report'!$E$104=RefData!$B$8,'Reconciliation report'!$E$9=RefData!$B$5),'All Statement of strategy (D)'!$B738,"")</f>
        <v/>
      </c>
      <c r="G738" s="585" t="str">
        <f ca="1">IF(OR('Reconciliation report'!$E$104=RefData!$B$8,'Reconciliation report'!$E$9=RefData!$B$5),'All Statement of strategy (D)'!$B738,"")</f>
        <v/>
      </c>
      <c r="H738" s="585" t="str">
        <f ca="1">IF(OR('Reconciliation report'!$E$104=RefData!$B$8,'Reconciliation report'!$E$9=RefData!$B$5),'All Statement of strategy (D)'!$B738,"")</f>
        <v/>
      </c>
      <c r="I738" s="595" t="str">
        <f ca="1">IF($C$1=RefData!$B$418,'All Statement of strategy (D)'!$E738,IF('All Statement of strategy (D)'!$C$1=RefData!$B$419,'All Statement of strategy (D)'!$F738,IF('All Statement of strategy (D)'!$C$1=RefData!$B$420,'All Statement of strategy (D)'!$G738,IF('All Statement of strategy (D)'!$C$1=RefData!$B$421,'All Statement of strategy (D)'!$H738," "))))</f>
        <v xml:space="preserve"> </v>
      </c>
    </row>
    <row r="739" spans="1:9">
      <c r="A739" s="584" t="s">
        <v>2114</v>
      </c>
      <c r="B739" s="621" t="str">
        <f ca="1">TEXT('Reconciliation report'!$E$158,RefData!$B$423)</f>
        <v/>
      </c>
      <c r="E739" s="585" t="str">
        <f ca="1">IF(OR('Reconciliation report'!$E$104=RefData!$B$8,'Reconciliation report'!$E$9=RefData!$B$5),'All Statement of strategy (D)'!$B739,"")</f>
        <v/>
      </c>
      <c r="F739" s="585" t="str">
        <f ca="1">IF(OR('Reconciliation report'!$E$104=RefData!$B$8,'Reconciliation report'!$E$9=RefData!$B$5),'All Statement of strategy (D)'!$B739,"")</f>
        <v/>
      </c>
      <c r="G739" s="585" t="str">
        <f ca="1">IF(OR('Reconciliation report'!$E$104=RefData!$B$8,'Reconciliation report'!$E$9=RefData!$B$5),'All Statement of strategy (D)'!$B739,"")</f>
        <v/>
      </c>
      <c r="H739" s="585" t="str">
        <f ca="1">IF(OR('Reconciliation report'!$E$104=RefData!$B$8,'Reconciliation report'!$E$9=RefData!$B$5),'All Statement of strategy (D)'!$B739,"")</f>
        <v/>
      </c>
      <c r="I739" s="595" t="str">
        <f ca="1">IF($C$1=RefData!$B$418,'All Statement of strategy (D)'!$E739,IF('All Statement of strategy (D)'!$C$1=RefData!$B$419,'All Statement of strategy (D)'!$F739,IF('All Statement of strategy (D)'!$C$1=RefData!$B$420,'All Statement of strategy (D)'!$G739,IF('All Statement of strategy (D)'!$C$1=RefData!$B$421,'All Statement of strategy (D)'!$H739," "))))</f>
        <v xml:space="preserve"> </v>
      </c>
    </row>
    <row r="740" spans="1:9">
      <c r="A740" s="584" t="s">
        <v>2115</v>
      </c>
      <c r="B740" s="621" t="str">
        <f ca="1">TEXT('Reconciliation report'!$E$159,RefData!$B$423)</f>
        <v/>
      </c>
      <c r="E740" s="585" t="str">
        <f ca="1">IF(OR('Reconciliation report'!$E$104=RefData!$B$8,'Reconciliation report'!$E$9=RefData!$B$5),'All Statement of strategy (D)'!$B740,"")</f>
        <v/>
      </c>
      <c r="F740" s="585" t="str">
        <f ca="1">IF(OR('Reconciliation report'!$E$104=RefData!$B$8,'Reconciliation report'!$E$9=RefData!$B$5),'All Statement of strategy (D)'!$B740,"")</f>
        <v/>
      </c>
      <c r="G740" s="585" t="str">
        <f ca="1">IF(OR('Reconciliation report'!$E$104=RefData!$B$8,'Reconciliation report'!$E$9=RefData!$B$5),'All Statement of strategy (D)'!$B740,"")</f>
        <v/>
      </c>
      <c r="H740" s="585" t="str">
        <f ca="1">IF(OR('Reconciliation report'!$E$104=RefData!$B$8,'Reconciliation report'!$E$9=RefData!$B$5),'All Statement of strategy (D)'!$B740,"")</f>
        <v/>
      </c>
      <c r="I740" s="595" t="str">
        <f ca="1">IF($C$1=RefData!$B$418,'All Statement of strategy (D)'!$E740,IF('All Statement of strategy (D)'!$C$1=RefData!$B$419,'All Statement of strategy (D)'!$F740,IF('All Statement of strategy (D)'!$C$1=RefData!$B$420,'All Statement of strategy (D)'!$G740,IF('All Statement of strategy (D)'!$C$1=RefData!$B$421,'All Statement of strategy (D)'!$H740," "))))</f>
        <v xml:space="preserve"> </v>
      </c>
    </row>
    <row r="741" spans="1:9">
      <c r="A741" s="584" t="s">
        <v>2116</v>
      </c>
      <c r="B741" s="621" t="str">
        <f ca="1">TEXT('Reconciliation report'!$E$160,RefData!$B$423)</f>
        <v/>
      </c>
      <c r="E741" s="585" t="str">
        <f ca="1">IF(OR('Reconciliation report'!$E$104=RefData!$B$8,'Reconciliation report'!$E$9=RefData!$B$5),'All Statement of strategy (D)'!$B741,"")</f>
        <v/>
      </c>
      <c r="F741" s="585" t="str">
        <f ca="1">IF(OR('Reconciliation report'!$E$104=RefData!$B$8,'Reconciliation report'!$E$9=RefData!$B$5),'All Statement of strategy (D)'!$B741,"")</f>
        <v/>
      </c>
      <c r="G741" s="585" t="str">
        <f ca="1">IF(OR('Reconciliation report'!$E$104=RefData!$B$8,'Reconciliation report'!$E$9=RefData!$B$5),'All Statement of strategy (D)'!$B741,"")</f>
        <v/>
      </c>
      <c r="H741" s="585" t="str">
        <f ca="1">IF(OR('Reconciliation report'!$E$104=RefData!$B$8,'Reconciliation report'!$E$9=RefData!$B$5),'All Statement of strategy (D)'!$B741,"")</f>
        <v/>
      </c>
      <c r="I741" s="595" t="str">
        <f ca="1">IF($C$1=RefData!$B$418,'All Statement of strategy (D)'!$E741,IF('All Statement of strategy (D)'!$C$1=RefData!$B$419,'All Statement of strategy (D)'!$F741,IF('All Statement of strategy (D)'!$C$1=RefData!$B$420,'All Statement of strategy (D)'!$G741,IF('All Statement of strategy (D)'!$C$1=RefData!$B$421,'All Statement of strategy (D)'!$H741," "))))</f>
        <v xml:space="preserve"> </v>
      </c>
    </row>
    <row r="742" spans="1:9">
      <c r="A742" s="584" t="s">
        <v>2117</v>
      </c>
      <c r="B742" s="621" t="str">
        <f ca="1">TEXT('Reconciliation report'!$E$161,RefData!$B$423)</f>
        <v/>
      </c>
      <c r="E742" s="585" t="str">
        <f ca="1">IF(OR('Reconciliation report'!$E$104=RefData!$B$8,'Reconciliation report'!$E$9=RefData!$B$5),'All Statement of strategy (D)'!$B742,"")</f>
        <v/>
      </c>
      <c r="F742" s="585" t="str">
        <f ca="1">IF(OR('Reconciliation report'!$E$104=RefData!$B$8,'Reconciliation report'!$E$9=RefData!$B$5),'All Statement of strategy (D)'!$B742,"")</f>
        <v/>
      </c>
      <c r="G742" s="585" t="str">
        <f ca="1">IF(OR('Reconciliation report'!$E$104=RefData!$B$8,'Reconciliation report'!$E$9=RefData!$B$5),'All Statement of strategy (D)'!$B742,"")</f>
        <v/>
      </c>
      <c r="H742" s="585" t="str">
        <f ca="1">IF(OR('Reconciliation report'!$E$104=RefData!$B$8,'Reconciliation report'!$E$9=RefData!$B$5),'All Statement of strategy (D)'!$B742,"")</f>
        <v/>
      </c>
      <c r="I742" s="595" t="str">
        <f ca="1">IF($C$1=RefData!$B$418,'All Statement of strategy (D)'!$E742,IF('All Statement of strategy (D)'!$C$1=RefData!$B$419,'All Statement of strategy (D)'!$F742,IF('All Statement of strategy (D)'!$C$1=RefData!$B$420,'All Statement of strategy (D)'!$G742,IF('All Statement of strategy (D)'!$C$1=RefData!$B$421,'All Statement of strategy (D)'!$H742," "))))</f>
        <v xml:space="preserve"> </v>
      </c>
    </row>
    <row r="743" spans="1:9">
      <c r="A743" s="584" t="s">
        <v>2118</v>
      </c>
      <c r="B743" s="621" t="str">
        <f ca="1">TEXT('Reconciliation report'!$E$162,RefData!$B$423)</f>
        <v/>
      </c>
      <c r="E743" s="585" t="str">
        <f ca="1">IF(OR('Reconciliation report'!$E$104=RefData!$B$8,'Reconciliation report'!$E$9=RefData!$B$5),'All Statement of strategy (D)'!$B743,"")</f>
        <v/>
      </c>
      <c r="F743" s="585" t="str">
        <f ca="1">IF(OR('Reconciliation report'!$E$104=RefData!$B$8,'Reconciliation report'!$E$9=RefData!$B$5),'All Statement of strategy (D)'!$B743,"")</f>
        <v/>
      </c>
      <c r="G743" s="585" t="str">
        <f ca="1">IF(OR('Reconciliation report'!$E$104=RefData!$B$8,'Reconciliation report'!$E$9=RefData!$B$5),'All Statement of strategy (D)'!$B743,"")</f>
        <v/>
      </c>
      <c r="H743" s="585" t="str">
        <f ca="1">IF(OR('Reconciliation report'!$E$104=RefData!$B$8,'Reconciliation report'!$E$9=RefData!$B$5),'All Statement of strategy (D)'!$B743,"")</f>
        <v/>
      </c>
      <c r="I743" s="595" t="str">
        <f ca="1">IF($C$1=RefData!$B$418,'All Statement of strategy (D)'!$E743,IF('All Statement of strategy (D)'!$C$1=RefData!$B$419,'All Statement of strategy (D)'!$F743,IF('All Statement of strategy (D)'!$C$1=RefData!$B$420,'All Statement of strategy (D)'!$G743,IF('All Statement of strategy (D)'!$C$1=RefData!$B$421,'All Statement of strategy (D)'!$H743," "))))</f>
        <v xml:space="preserve"> </v>
      </c>
    </row>
    <row r="744" spans="1:9">
      <c r="A744" s="584" t="s">
        <v>2119</v>
      </c>
      <c r="B744" s="621" t="str">
        <f ca="1">TEXT('Reconciliation report'!$E$163,RefData!$B$423)</f>
        <v/>
      </c>
      <c r="E744" s="585" t="str">
        <f ca="1">IF(OR('Reconciliation report'!$E$104=RefData!$B$8,'Reconciliation report'!$E$9=RefData!$B$5),'All Statement of strategy (D)'!$B744,"")</f>
        <v/>
      </c>
      <c r="F744" s="585" t="str">
        <f ca="1">IF(OR('Reconciliation report'!$E$104=RefData!$B$8,'Reconciliation report'!$E$9=RefData!$B$5),'All Statement of strategy (D)'!$B744,"")</f>
        <v/>
      </c>
      <c r="G744" s="585" t="str">
        <f ca="1">IF(OR('Reconciliation report'!$E$104=RefData!$B$8,'Reconciliation report'!$E$9=RefData!$B$5),'All Statement of strategy (D)'!$B744,"")</f>
        <v/>
      </c>
      <c r="H744" s="585" t="str">
        <f ca="1">IF(OR('Reconciliation report'!$E$104=RefData!$B$8,'Reconciliation report'!$E$9=RefData!$B$5),'All Statement of strategy (D)'!$B744,"")</f>
        <v/>
      </c>
      <c r="I744" s="595" t="str">
        <f ca="1">IF($C$1=RefData!$B$418,'All Statement of strategy (D)'!$E744,IF('All Statement of strategy (D)'!$C$1=RefData!$B$419,'All Statement of strategy (D)'!$F744,IF('All Statement of strategy (D)'!$C$1=RefData!$B$420,'All Statement of strategy (D)'!$G744,IF('All Statement of strategy (D)'!$C$1=RefData!$B$421,'All Statement of strategy (D)'!$H744," "))))</f>
        <v xml:space="preserve"> </v>
      </c>
    </row>
    <row r="745" spans="1:9">
      <c r="A745" s="584" t="s">
        <v>2120</v>
      </c>
      <c r="B745" s="621" t="str">
        <f ca="1">TEXT('Reconciliation report'!$E$164,RefData!$B$423)</f>
        <v/>
      </c>
      <c r="E745" s="585" t="str">
        <f ca="1">IF(OR('Reconciliation report'!$E$104=RefData!$B$8,'Reconciliation report'!$E$9=RefData!$B$5),'All Statement of strategy (D)'!$B745,"")</f>
        <v/>
      </c>
      <c r="F745" s="585" t="str">
        <f ca="1">IF(OR('Reconciliation report'!$E$104=RefData!$B$8,'Reconciliation report'!$E$9=RefData!$B$5),'All Statement of strategy (D)'!$B745,"")</f>
        <v/>
      </c>
      <c r="G745" s="585" t="str">
        <f ca="1">IF(OR('Reconciliation report'!$E$104=RefData!$B$8,'Reconciliation report'!$E$9=RefData!$B$5),'All Statement of strategy (D)'!$B745,"")</f>
        <v/>
      </c>
      <c r="H745" s="585" t="str">
        <f ca="1">IF(OR('Reconciliation report'!$E$104=RefData!$B$8,'Reconciliation report'!$E$9=RefData!$B$5),'All Statement of strategy (D)'!$B745,"")</f>
        <v/>
      </c>
      <c r="I745" s="595" t="str">
        <f ca="1">IF($C$1=RefData!$B$418,'All Statement of strategy (D)'!$E745,IF('All Statement of strategy (D)'!$C$1=RefData!$B$419,'All Statement of strategy (D)'!$F745,IF('All Statement of strategy (D)'!$C$1=RefData!$B$420,'All Statement of strategy (D)'!$G745,IF('All Statement of strategy (D)'!$C$1=RefData!$B$421,'All Statement of strategy (D)'!$H745," "))))</f>
        <v xml:space="preserve"> </v>
      </c>
    </row>
    <row r="746" spans="1:9">
      <c r="A746" s="584" t="s">
        <v>2121</v>
      </c>
      <c r="B746" s="621" t="str">
        <f ca="1">TEXT('Reconciliation report'!$E$165,RefData!$B$423)</f>
        <v/>
      </c>
      <c r="E746" s="585" t="str">
        <f ca="1">IF(OR('Reconciliation report'!$E$104=RefData!$B$8,'Reconciliation report'!$E$9=RefData!$B$5),'All Statement of strategy (D)'!$B746,"")</f>
        <v/>
      </c>
      <c r="F746" s="585" t="str">
        <f ca="1">IF(OR('Reconciliation report'!$E$104=RefData!$B$8,'Reconciliation report'!$E$9=RefData!$B$5),'All Statement of strategy (D)'!$B746,"")</f>
        <v/>
      </c>
      <c r="G746" s="585" t="str">
        <f ca="1">IF(OR('Reconciliation report'!$E$104=RefData!$B$8,'Reconciliation report'!$E$9=RefData!$B$5),'All Statement of strategy (D)'!$B746,"")</f>
        <v/>
      </c>
      <c r="H746" s="585" t="str">
        <f ca="1">IF(OR('Reconciliation report'!$E$104=RefData!$B$8,'Reconciliation report'!$E$9=RefData!$B$5),'All Statement of strategy (D)'!$B746,"")</f>
        <v/>
      </c>
      <c r="I746" s="595" t="str">
        <f ca="1">IF($C$1=RefData!$B$418,'All Statement of strategy (D)'!$E746,IF('All Statement of strategy (D)'!$C$1=RefData!$B$419,'All Statement of strategy (D)'!$F746,IF('All Statement of strategy (D)'!$C$1=RefData!$B$420,'All Statement of strategy (D)'!$G746,IF('All Statement of strategy (D)'!$C$1=RefData!$B$421,'All Statement of strategy (D)'!$H746," "))))</f>
        <v xml:space="preserve"> </v>
      </c>
    </row>
    <row r="747" spans="1:9">
      <c r="A747" s="584" t="s">
        <v>2122</v>
      </c>
      <c r="B747" s="621" t="str">
        <f ca="1">TEXT('Reconciliation report'!$E$166,RefData!$B$423)</f>
        <v/>
      </c>
      <c r="E747" s="585" t="str">
        <f ca="1">IF(OR('Reconciliation report'!$E$104=RefData!$B$8,'Reconciliation report'!$E$9=RefData!$B$5),'All Statement of strategy (D)'!$B747,"")</f>
        <v/>
      </c>
      <c r="F747" s="585" t="str">
        <f ca="1">IF(OR('Reconciliation report'!$E$104=RefData!$B$8,'Reconciliation report'!$E$9=RefData!$B$5),'All Statement of strategy (D)'!$B747,"")</f>
        <v/>
      </c>
      <c r="G747" s="585" t="str">
        <f ca="1">IF(OR('Reconciliation report'!$E$104=RefData!$B$8,'Reconciliation report'!$E$9=RefData!$B$5),'All Statement of strategy (D)'!$B747,"")</f>
        <v/>
      </c>
      <c r="H747" s="585" t="str">
        <f ca="1">IF(OR('Reconciliation report'!$E$104=RefData!$B$8,'Reconciliation report'!$E$9=RefData!$B$5),'All Statement of strategy (D)'!$B747,"")</f>
        <v/>
      </c>
      <c r="I747" s="595" t="str">
        <f ca="1">IF($C$1=RefData!$B$418,'All Statement of strategy (D)'!$E747,IF('All Statement of strategy (D)'!$C$1=RefData!$B$419,'All Statement of strategy (D)'!$F747,IF('All Statement of strategy (D)'!$C$1=RefData!$B$420,'All Statement of strategy (D)'!$G747,IF('All Statement of strategy (D)'!$C$1=RefData!$B$421,'All Statement of strategy (D)'!$H747," "))))</f>
        <v xml:space="preserve"> </v>
      </c>
    </row>
    <row r="748" spans="1:9">
      <c r="A748" s="584" t="s">
        <v>2123</v>
      </c>
      <c r="B748" s="621" t="str">
        <f ca="1">TEXT('Reconciliation report'!$E$167,RefData!$B$423)</f>
        <v/>
      </c>
      <c r="E748" s="585" t="str">
        <f ca="1">IF(OR('Reconciliation report'!$E$104=RefData!$B$8,'Reconciliation report'!$E$9=RefData!$B$5),'All Statement of strategy (D)'!$B748,"")</f>
        <v/>
      </c>
      <c r="F748" s="585" t="str">
        <f ca="1">IF(OR('Reconciliation report'!$E$104=RefData!$B$8,'Reconciliation report'!$E$9=RefData!$B$5),'All Statement of strategy (D)'!$B748,"")</f>
        <v/>
      </c>
      <c r="G748" s="585" t="str">
        <f ca="1">IF(OR('Reconciliation report'!$E$104=RefData!$B$8,'Reconciliation report'!$E$9=RefData!$B$5),'All Statement of strategy (D)'!$B748,"")</f>
        <v/>
      </c>
      <c r="H748" s="585" t="str">
        <f ca="1">IF(OR('Reconciliation report'!$E$104=RefData!$B$8,'Reconciliation report'!$E$9=RefData!$B$5),'All Statement of strategy (D)'!$B748,"")</f>
        <v/>
      </c>
      <c r="I748" s="595" t="str">
        <f ca="1">IF($C$1=RefData!$B$418,'All Statement of strategy (D)'!$E748,IF('All Statement of strategy (D)'!$C$1=RefData!$B$419,'All Statement of strategy (D)'!$F748,IF('All Statement of strategy (D)'!$C$1=RefData!$B$420,'All Statement of strategy (D)'!$G748,IF('All Statement of strategy (D)'!$C$1=RefData!$B$421,'All Statement of strategy (D)'!$H748," "))))</f>
        <v xml:space="preserve"> </v>
      </c>
    </row>
    <row r="749" spans="1:9">
      <c r="A749" s="584" t="s">
        <v>2124</v>
      </c>
      <c r="B749" s="621" t="str">
        <f ca="1">TEXT('Reconciliation report'!$E$168,RefData!$B$423)</f>
        <v/>
      </c>
      <c r="E749" s="585" t="str">
        <f ca="1">IF(OR('Reconciliation report'!$E$104=RefData!$B$8,'Reconciliation report'!$E$9=RefData!$B$5),'All Statement of strategy (D)'!$B749,"")</f>
        <v/>
      </c>
      <c r="F749" s="585" t="str">
        <f ca="1">IF(OR('Reconciliation report'!$E$104=RefData!$B$8,'Reconciliation report'!$E$9=RefData!$B$5),'All Statement of strategy (D)'!$B749,"")</f>
        <v/>
      </c>
      <c r="G749" s="585" t="str">
        <f ca="1">IF(OR('Reconciliation report'!$E$104=RefData!$B$8,'Reconciliation report'!$E$9=RefData!$B$5),'All Statement of strategy (D)'!$B749,"")</f>
        <v/>
      </c>
      <c r="H749" s="585" t="str">
        <f ca="1">IF(OR('Reconciliation report'!$E$104=RefData!$B$8,'Reconciliation report'!$E$9=RefData!$B$5),'All Statement of strategy (D)'!$B749,"")</f>
        <v/>
      </c>
      <c r="I749" s="595" t="str">
        <f ca="1">IF($C$1=RefData!$B$418,'All Statement of strategy (D)'!$E749,IF('All Statement of strategy (D)'!$C$1=RefData!$B$419,'All Statement of strategy (D)'!$F749,IF('All Statement of strategy (D)'!$C$1=RefData!$B$420,'All Statement of strategy (D)'!$G749,IF('All Statement of strategy (D)'!$C$1=RefData!$B$421,'All Statement of strategy (D)'!$H749," "))))</f>
        <v xml:space="preserve"> </v>
      </c>
    </row>
    <row r="750" spans="1:9">
      <c r="A750" s="584" t="s">
        <v>2125</v>
      </c>
      <c r="B750" s="621" t="str">
        <f ca="1">TEXT('Reconciliation report'!$E$169,RefData!$B$423)</f>
        <v/>
      </c>
      <c r="E750" s="585" t="str">
        <f ca="1">IF(OR('Reconciliation report'!$E$104=RefData!$B$8,'Reconciliation report'!$E$9=RefData!$B$5),'All Statement of strategy (D)'!$B750,"")</f>
        <v/>
      </c>
      <c r="F750" s="585" t="str">
        <f ca="1">IF(OR('Reconciliation report'!$E$104=RefData!$B$8,'Reconciliation report'!$E$9=RefData!$B$5),'All Statement of strategy (D)'!$B750,"")</f>
        <v/>
      </c>
      <c r="G750" s="585" t="str">
        <f ca="1">IF(OR('Reconciliation report'!$E$104=RefData!$B$8,'Reconciliation report'!$E$9=RefData!$B$5),'All Statement of strategy (D)'!$B750,"")</f>
        <v/>
      </c>
      <c r="H750" s="585" t="str">
        <f ca="1">IF(OR('Reconciliation report'!$E$104=RefData!$B$8,'Reconciliation report'!$E$9=RefData!$B$5),'All Statement of strategy (D)'!$B750,"")</f>
        <v/>
      </c>
      <c r="I750" s="595" t="str">
        <f ca="1">IF($C$1=RefData!$B$418,'All Statement of strategy (D)'!$E750,IF('All Statement of strategy (D)'!$C$1=RefData!$B$419,'All Statement of strategy (D)'!$F750,IF('All Statement of strategy (D)'!$C$1=RefData!$B$420,'All Statement of strategy (D)'!$G750,IF('All Statement of strategy (D)'!$C$1=RefData!$B$421,'All Statement of strategy (D)'!$H750," "))))</f>
        <v xml:space="preserve"> </v>
      </c>
    </row>
    <row r="751" spans="1:9">
      <c r="A751" s="584" t="s">
        <v>2126</v>
      </c>
      <c r="B751" s="621" t="str">
        <f ca="1">TEXT('Reconciliation report'!$E$170,RefData!$B$423)</f>
        <v/>
      </c>
      <c r="E751" s="585" t="str">
        <f ca="1">IF(OR('Reconciliation report'!$E$104=RefData!$B$8,'Reconciliation report'!$E$9=RefData!$B$5),'All Statement of strategy (D)'!$B751,"")</f>
        <v/>
      </c>
      <c r="F751" s="585" t="str">
        <f ca="1">IF(OR('Reconciliation report'!$E$104=RefData!$B$8,'Reconciliation report'!$E$9=RefData!$B$5),'All Statement of strategy (D)'!$B751,"")</f>
        <v/>
      </c>
      <c r="G751" s="585" t="str">
        <f ca="1">IF(OR('Reconciliation report'!$E$104=RefData!$B$8,'Reconciliation report'!$E$9=RefData!$B$5),'All Statement of strategy (D)'!$B751,"")</f>
        <v/>
      </c>
      <c r="H751" s="585" t="str">
        <f ca="1">IF(OR('Reconciliation report'!$E$104=RefData!$B$8,'Reconciliation report'!$E$9=RefData!$B$5),'All Statement of strategy (D)'!$B751,"")</f>
        <v/>
      </c>
      <c r="I751" s="595" t="str">
        <f ca="1">IF($C$1=RefData!$B$418,'All Statement of strategy (D)'!$E751,IF('All Statement of strategy (D)'!$C$1=RefData!$B$419,'All Statement of strategy (D)'!$F751,IF('All Statement of strategy (D)'!$C$1=RefData!$B$420,'All Statement of strategy (D)'!$G751,IF('All Statement of strategy (D)'!$C$1=RefData!$B$421,'All Statement of strategy (D)'!$H751," "))))</f>
        <v xml:space="preserve"> </v>
      </c>
    </row>
    <row r="752" spans="1:9">
      <c r="A752" s="584" t="s">
        <v>2127</v>
      </c>
      <c r="B752" s="621" t="str">
        <f ca="1">TEXT('Reconciliation report'!$E$171,RefData!$B$423)</f>
        <v/>
      </c>
      <c r="E752" s="585" t="str">
        <f ca="1">IF(OR('Reconciliation report'!$E$104=RefData!$B$8,'Reconciliation report'!$E$9=RefData!$B$5),'All Statement of strategy (D)'!$B752,"")</f>
        <v/>
      </c>
      <c r="F752" s="585" t="str">
        <f ca="1">IF(OR('Reconciliation report'!$E$104=RefData!$B$8,'Reconciliation report'!$E$9=RefData!$B$5),'All Statement of strategy (D)'!$B752,"")</f>
        <v/>
      </c>
      <c r="G752" s="585" t="str">
        <f ca="1">IF(OR('Reconciliation report'!$E$104=RefData!$B$8,'Reconciliation report'!$E$9=RefData!$B$5),'All Statement of strategy (D)'!$B752,"")</f>
        <v/>
      </c>
      <c r="H752" s="585" t="str">
        <f ca="1">IF(OR('Reconciliation report'!$E$104=RefData!$B$8,'Reconciliation report'!$E$9=RefData!$B$5),'All Statement of strategy (D)'!$B752,"")</f>
        <v/>
      </c>
      <c r="I752" s="595" t="str">
        <f ca="1">IF($C$1=RefData!$B$418,'All Statement of strategy (D)'!$E752,IF('All Statement of strategy (D)'!$C$1=RefData!$B$419,'All Statement of strategy (D)'!$F752,IF('All Statement of strategy (D)'!$C$1=RefData!$B$420,'All Statement of strategy (D)'!$G752,IF('All Statement of strategy (D)'!$C$1=RefData!$B$421,'All Statement of strategy (D)'!$H752," "))))</f>
        <v xml:space="preserve"> </v>
      </c>
    </row>
    <row r="753" spans="1:9">
      <c r="A753" s="584" t="s">
        <v>2128</v>
      </c>
      <c r="B753" s="621" t="str">
        <f ca="1">TEXT('Reconciliation report'!$E$172,RefData!$B$423)</f>
        <v/>
      </c>
      <c r="E753" s="585" t="str">
        <f ca="1">IF(OR('Reconciliation report'!$E$104=RefData!$B$8,'Reconciliation report'!$E$9=RefData!$B$5),'All Statement of strategy (D)'!$B753,"")</f>
        <v/>
      </c>
      <c r="F753" s="585" t="str">
        <f ca="1">IF(OR('Reconciliation report'!$E$104=RefData!$B$8,'Reconciliation report'!$E$9=RefData!$B$5),'All Statement of strategy (D)'!$B753,"")</f>
        <v/>
      </c>
      <c r="G753" s="585" t="str">
        <f ca="1">IF(OR('Reconciliation report'!$E$104=RefData!$B$8,'Reconciliation report'!$E$9=RefData!$B$5),'All Statement of strategy (D)'!$B753,"")</f>
        <v/>
      </c>
      <c r="H753" s="585" t="str">
        <f ca="1">IF(OR('Reconciliation report'!$E$104=RefData!$B$8,'Reconciliation report'!$E$9=RefData!$B$5),'All Statement of strategy (D)'!$B753,"")</f>
        <v/>
      </c>
      <c r="I753" s="595" t="str">
        <f ca="1">IF($C$1=RefData!$B$418,'All Statement of strategy (D)'!$E753,IF('All Statement of strategy (D)'!$C$1=RefData!$B$419,'All Statement of strategy (D)'!$F753,IF('All Statement of strategy (D)'!$C$1=RefData!$B$420,'All Statement of strategy (D)'!$G753,IF('All Statement of strategy (D)'!$C$1=RefData!$B$421,'All Statement of strategy (D)'!$H753," "))))</f>
        <v xml:space="preserve"> </v>
      </c>
    </row>
    <row r="754" spans="1:9">
      <c r="A754" s="584" t="s">
        <v>2129</v>
      </c>
      <c r="B754" s="621" t="str">
        <f ca="1">TEXT('Reconciliation report'!$E$173,RefData!$B$423)</f>
        <v/>
      </c>
      <c r="E754" s="585" t="str">
        <f ca="1">IF(OR('Reconciliation report'!$E$104=RefData!$B$8,'Reconciliation report'!$E$9=RefData!$B$5),'All Statement of strategy (D)'!$B754,"")</f>
        <v/>
      </c>
      <c r="F754" s="585" t="str">
        <f ca="1">IF(OR('Reconciliation report'!$E$104=RefData!$B$8,'Reconciliation report'!$E$9=RefData!$B$5),'All Statement of strategy (D)'!$B754,"")</f>
        <v/>
      </c>
      <c r="G754" s="585" t="str">
        <f ca="1">IF(OR('Reconciliation report'!$E$104=RefData!$B$8,'Reconciliation report'!$E$9=RefData!$B$5),'All Statement of strategy (D)'!$B754,"")</f>
        <v/>
      </c>
      <c r="H754" s="585" t="str">
        <f ca="1">IF(OR('Reconciliation report'!$E$104=RefData!$B$8,'Reconciliation report'!$E$9=RefData!$B$5),'All Statement of strategy (D)'!$B754,"")</f>
        <v/>
      </c>
      <c r="I754" s="595" t="str">
        <f ca="1">IF($C$1=RefData!$B$418,'All Statement of strategy (D)'!$E754,IF('All Statement of strategy (D)'!$C$1=RefData!$B$419,'All Statement of strategy (D)'!$F754,IF('All Statement of strategy (D)'!$C$1=RefData!$B$420,'All Statement of strategy (D)'!$G754,IF('All Statement of strategy (D)'!$C$1=RefData!$B$421,'All Statement of strategy (D)'!$H754," "))))</f>
        <v xml:space="preserve"> </v>
      </c>
    </row>
    <row r="755" spans="1:9">
      <c r="A755" s="584" t="s">
        <v>2130</v>
      </c>
      <c r="B755" s="621" t="str">
        <f ca="1">TEXT('Reconciliation report'!$E$174,RefData!$B$423)</f>
        <v/>
      </c>
      <c r="E755" s="585" t="str">
        <f ca="1">IF(AND(OR('Reconciliation report'!$E$104=RefData!$B$8,'Reconciliation report'!$E$9=RefData!$B$5),'Reconciliation report'!$E$105&lt;&gt;RefData!$B$35),'All Statement of strategy (D)'!$B755,"")</f>
        <v/>
      </c>
      <c r="F755" s="585" t="str">
        <f ca="1">IF(AND(OR('Reconciliation report'!$E$104=RefData!$B$8,'Reconciliation report'!$E$9=RefData!$B$5),'Reconciliation report'!$E$105&lt;&gt;RefData!$B$35),'All Statement of strategy (D)'!$B755,"")</f>
        <v/>
      </c>
      <c r="G755" s="585" t="str">
        <f ca="1">IF(AND(OR('Reconciliation report'!$E$104=RefData!$B$8,'Reconciliation report'!$E$9=RefData!$B$5),'Reconciliation report'!$E$105&lt;&gt;RefData!$B$35),'All Statement of strategy (D)'!$B755,"")</f>
        <v/>
      </c>
      <c r="H755" s="585" t="str">
        <f ca="1">IF(AND(OR('Reconciliation report'!$E$104=RefData!$B$8,'Reconciliation report'!$E$9=RefData!$B$5),'Reconciliation report'!$E$105&lt;&gt;RefData!$B$35),'All Statement of strategy (D)'!$B755,"")</f>
        <v/>
      </c>
      <c r="I755" s="595" t="str">
        <f ca="1">IF($C$1=RefData!$B$418,'All Statement of strategy (D)'!$E755,IF('All Statement of strategy (D)'!$C$1=RefData!$B$419,'All Statement of strategy (D)'!$F755,IF('All Statement of strategy (D)'!$C$1=RefData!$B$420,'All Statement of strategy (D)'!$G755,IF('All Statement of strategy (D)'!$C$1=RefData!$B$421,'All Statement of strategy (D)'!$H755," "))))</f>
        <v xml:space="preserve"> </v>
      </c>
    </row>
    <row r="756" spans="1:9">
      <c r="A756" s="584" t="s">
        <v>2131</v>
      </c>
      <c r="B756" s="621" t="str">
        <f ca="1">TEXT('Reconciliation report'!$E$175,RefData!$B$423)</f>
        <v/>
      </c>
      <c r="E756" s="585" t="str">
        <f ca="1">IF(AND(OR('Reconciliation report'!$E$104=RefData!$B$8,'Reconciliation report'!$E$9=RefData!$B$5),'Reconciliation report'!$E$105&lt;&gt;RefData!$B$35),'All Statement of strategy (D)'!$B756,"")</f>
        <v/>
      </c>
      <c r="F756" s="585" t="str">
        <f ca="1">IF(AND(OR('Reconciliation report'!$E$104=RefData!$B$8,'Reconciliation report'!$E$9=RefData!$B$5),'Reconciliation report'!$E$105&lt;&gt;RefData!$B$35),'All Statement of strategy (D)'!$B756,"")</f>
        <v/>
      </c>
      <c r="G756" s="585" t="str">
        <f ca="1">IF(AND(OR('Reconciliation report'!$E$104=RefData!$B$8,'Reconciliation report'!$E$9=RefData!$B$5),'Reconciliation report'!$E$105&lt;&gt;RefData!$B$35),'All Statement of strategy (D)'!$B756,"")</f>
        <v/>
      </c>
      <c r="H756" s="585" t="str">
        <f ca="1">IF(AND(OR('Reconciliation report'!$E$104=RefData!$B$8,'Reconciliation report'!$E$9=RefData!$B$5),'Reconciliation report'!$E$105&lt;&gt;RefData!$B$35),'All Statement of strategy (D)'!$B756,"")</f>
        <v/>
      </c>
      <c r="I756" s="595" t="str">
        <f ca="1">IF($C$1=RefData!$B$418,'All Statement of strategy (D)'!$E756,IF('All Statement of strategy (D)'!$C$1=RefData!$B$419,'All Statement of strategy (D)'!$F756,IF('All Statement of strategy (D)'!$C$1=RefData!$B$420,'All Statement of strategy (D)'!$G756,IF('All Statement of strategy (D)'!$C$1=RefData!$B$421,'All Statement of strategy (D)'!$H756," "))))</f>
        <v xml:space="preserve"> </v>
      </c>
    </row>
    <row r="757" spans="1:9">
      <c r="A757" s="584" t="s">
        <v>2132</v>
      </c>
      <c r="B757" s="621" t="str">
        <f ca="1">TEXT('Reconciliation report'!$E$176,RefData!$B$423)</f>
        <v/>
      </c>
      <c r="E757" s="585" t="str">
        <f ca="1">IF(AND(OR('Reconciliation report'!$E$104=RefData!$B$8,'Reconciliation report'!$E$9=RefData!$B$5),'Reconciliation report'!$E$105&lt;&gt;RefData!$B$35),'All Statement of strategy (D)'!$B757,"")</f>
        <v/>
      </c>
      <c r="F757" s="585" t="str">
        <f ca="1">IF(AND(OR('Reconciliation report'!$E$104=RefData!$B$8,'Reconciliation report'!$E$9=RefData!$B$5),'Reconciliation report'!$E$105&lt;&gt;RefData!$B$35),'All Statement of strategy (D)'!$B757,"")</f>
        <v/>
      </c>
      <c r="G757" s="585" t="str">
        <f ca="1">IF(AND(OR('Reconciliation report'!$E$104=RefData!$B$8,'Reconciliation report'!$E$9=RefData!$B$5),'Reconciliation report'!$E$105&lt;&gt;RefData!$B$35),'All Statement of strategy (D)'!$B757,"")</f>
        <v/>
      </c>
      <c r="H757" s="585" t="str">
        <f ca="1">IF(AND(OR('Reconciliation report'!$E$104=RefData!$B$8,'Reconciliation report'!$E$9=RefData!$B$5),'Reconciliation report'!$E$105&lt;&gt;RefData!$B$35),'All Statement of strategy (D)'!$B757,"")</f>
        <v/>
      </c>
      <c r="I757" s="595" t="str">
        <f ca="1">IF($C$1=RefData!$B$418,'All Statement of strategy (D)'!$E757,IF('All Statement of strategy (D)'!$C$1=RefData!$B$419,'All Statement of strategy (D)'!$F757,IF('All Statement of strategy (D)'!$C$1=RefData!$B$420,'All Statement of strategy (D)'!$G757,IF('All Statement of strategy (D)'!$C$1=RefData!$B$421,'All Statement of strategy (D)'!$H757," "))))</f>
        <v xml:space="preserve"> </v>
      </c>
    </row>
    <row r="758" spans="1:9">
      <c r="A758" s="584" t="s">
        <v>2133</v>
      </c>
      <c r="B758" s="621" t="str">
        <f ca="1">TEXT('Reconciliation report'!$E$177,RefData!$B$423)</f>
        <v/>
      </c>
      <c r="E758" s="585" t="str">
        <f ca="1">IF(AND(OR('Reconciliation report'!$E$104=RefData!$B$8,'Reconciliation report'!$E$9=RefData!$B$5),'Reconciliation report'!$E$105&lt;&gt;RefData!$B$35),'All Statement of strategy (D)'!$B758,"")</f>
        <v/>
      </c>
      <c r="F758" s="585" t="str">
        <f ca="1">IF(AND(OR('Reconciliation report'!$E$104=RefData!$B$8,'Reconciliation report'!$E$9=RefData!$B$5),'Reconciliation report'!$E$105&lt;&gt;RefData!$B$35),'All Statement of strategy (D)'!$B758,"")</f>
        <v/>
      </c>
      <c r="G758" s="585" t="str">
        <f ca="1">IF(AND(OR('Reconciliation report'!$E$104=RefData!$B$8,'Reconciliation report'!$E$9=RefData!$B$5),'Reconciliation report'!$E$105&lt;&gt;RefData!$B$35),'All Statement of strategy (D)'!$B758,"")</f>
        <v/>
      </c>
      <c r="H758" s="585" t="str">
        <f ca="1">IF(AND(OR('Reconciliation report'!$E$104=RefData!$B$8,'Reconciliation report'!$E$9=RefData!$B$5),'Reconciliation report'!$E$105&lt;&gt;RefData!$B$35),'All Statement of strategy (D)'!$B758,"")</f>
        <v/>
      </c>
      <c r="I758" s="595" t="str">
        <f ca="1">IF($C$1=RefData!$B$418,'All Statement of strategy (D)'!$E758,IF('All Statement of strategy (D)'!$C$1=RefData!$B$419,'All Statement of strategy (D)'!$F758,IF('All Statement of strategy (D)'!$C$1=RefData!$B$420,'All Statement of strategy (D)'!$G758,IF('All Statement of strategy (D)'!$C$1=RefData!$B$421,'All Statement of strategy (D)'!$H758," "))))</f>
        <v xml:space="preserve"> </v>
      </c>
    </row>
    <row r="759" spans="1:9">
      <c r="A759" s="584" t="s">
        <v>2134</v>
      </c>
      <c r="B759" s="621" t="str">
        <f ca="1">TEXT('Reconciliation report'!$E$178,RefData!$B$423)</f>
        <v/>
      </c>
      <c r="E759" s="585" t="str">
        <f ca="1">IF(AND(OR('Reconciliation report'!$E$104=RefData!$B$8,'Reconciliation report'!$E$9=RefData!$B$5),'Reconciliation report'!$E$105&lt;&gt;RefData!$B$35),'All Statement of strategy (D)'!$B759,"")</f>
        <v/>
      </c>
      <c r="F759" s="585" t="str">
        <f ca="1">IF(AND(OR('Reconciliation report'!$E$104=RefData!$B$8,'Reconciliation report'!$E$9=RefData!$B$5),'Reconciliation report'!$E$105&lt;&gt;RefData!$B$35),'All Statement of strategy (D)'!$B759,"")</f>
        <v/>
      </c>
      <c r="G759" s="585" t="str">
        <f ca="1">IF(AND(OR('Reconciliation report'!$E$104=RefData!$B$8,'Reconciliation report'!$E$9=RefData!$B$5),'Reconciliation report'!$E$105&lt;&gt;RefData!$B$35),'All Statement of strategy (D)'!$B759,"")</f>
        <v/>
      </c>
      <c r="H759" s="585" t="str">
        <f ca="1">IF(AND(OR('Reconciliation report'!$E$104=RefData!$B$8,'Reconciliation report'!$E$9=RefData!$B$5),'Reconciliation report'!$E$105&lt;&gt;RefData!$B$35),'All Statement of strategy (D)'!$B759,"")</f>
        <v/>
      </c>
      <c r="I759" s="595" t="str">
        <f ca="1">IF($C$1=RefData!$B$418,'All Statement of strategy (D)'!$E759,IF('All Statement of strategy (D)'!$C$1=RefData!$B$419,'All Statement of strategy (D)'!$F759,IF('All Statement of strategy (D)'!$C$1=RefData!$B$420,'All Statement of strategy (D)'!$G759,IF('All Statement of strategy (D)'!$C$1=RefData!$B$421,'All Statement of strategy (D)'!$H759," "))))</f>
        <v xml:space="preserve"> </v>
      </c>
    </row>
    <row r="760" spans="1:9">
      <c r="A760" s="584" t="s">
        <v>2135</v>
      </c>
      <c r="B760" s="621" t="str">
        <f ca="1">TEXT('Reconciliation report'!$E$179,RefData!$B$423)</f>
        <v/>
      </c>
      <c r="E760" s="585" t="str">
        <f ca="1">IF(AND(OR('Reconciliation report'!$E$104=RefData!$B$8,'Reconciliation report'!$E$9=RefData!$B$5),'Reconciliation report'!$E$105&lt;&gt;RefData!$B$35),'All Statement of strategy (D)'!$B760,"")</f>
        <v/>
      </c>
      <c r="F760" s="585" t="str">
        <f ca="1">IF(AND(OR('Reconciliation report'!$E$104=RefData!$B$8,'Reconciliation report'!$E$9=RefData!$B$5),'Reconciliation report'!$E$105&lt;&gt;RefData!$B$35),'All Statement of strategy (D)'!$B760,"")</f>
        <v/>
      </c>
      <c r="G760" s="585" t="str">
        <f ca="1">IF(AND(OR('Reconciliation report'!$E$104=RefData!$B$8,'Reconciliation report'!$E$9=RefData!$B$5),'Reconciliation report'!$E$105&lt;&gt;RefData!$B$35),'All Statement of strategy (D)'!$B760,"")</f>
        <v/>
      </c>
      <c r="H760" s="585" t="str">
        <f ca="1">IF(AND(OR('Reconciliation report'!$E$104=RefData!$B$8,'Reconciliation report'!$E$9=RefData!$B$5),'Reconciliation report'!$E$105&lt;&gt;RefData!$B$35),'All Statement of strategy (D)'!$B760,"")</f>
        <v/>
      </c>
      <c r="I760" s="595" t="str">
        <f ca="1">IF($C$1=RefData!$B$418,'All Statement of strategy (D)'!$E760,IF('All Statement of strategy (D)'!$C$1=RefData!$B$419,'All Statement of strategy (D)'!$F760,IF('All Statement of strategy (D)'!$C$1=RefData!$B$420,'All Statement of strategy (D)'!$G760,IF('All Statement of strategy (D)'!$C$1=RefData!$B$421,'All Statement of strategy (D)'!$H760," "))))</f>
        <v xml:space="preserve"> </v>
      </c>
    </row>
    <row r="761" spans="1:9">
      <c r="A761" s="584" t="s">
        <v>2136</v>
      </c>
      <c r="B761" s="621" t="str">
        <f ca="1">TEXT('Reconciliation report'!$E$180,RefData!$B$423)</f>
        <v/>
      </c>
      <c r="E761" s="585" t="str">
        <f ca="1">IF(AND(OR('Reconciliation report'!$E$104=RefData!$B$8,'Reconciliation report'!$E$9=RefData!$B$5),'Reconciliation report'!$E$105&lt;&gt;RefData!$B$35),'All Statement of strategy (D)'!$B761,"")</f>
        <v/>
      </c>
      <c r="F761" s="585" t="str">
        <f ca="1">IF(AND(OR('Reconciliation report'!$E$104=RefData!$B$8,'Reconciliation report'!$E$9=RefData!$B$5),'Reconciliation report'!$E$105&lt;&gt;RefData!$B$35),'All Statement of strategy (D)'!$B761,"")</f>
        <v/>
      </c>
      <c r="G761" s="585" t="str">
        <f ca="1">IF(AND(OR('Reconciliation report'!$E$104=RefData!$B$8,'Reconciliation report'!$E$9=RefData!$B$5),'Reconciliation report'!$E$105&lt;&gt;RefData!$B$35),'All Statement of strategy (D)'!$B761,"")</f>
        <v/>
      </c>
      <c r="H761" s="585" t="str">
        <f ca="1">IF(AND(OR('Reconciliation report'!$E$104=RefData!$B$8,'Reconciliation report'!$E$9=RefData!$B$5),'Reconciliation report'!$E$105&lt;&gt;RefData!$B$35),'All Statement of strategy (D)'!$B761,"")</f>
        <v/>
      </c>
      <c r="I761" s="595" t="str">
        <f ca="1">IF($C$1=RefData!$B$418,'All Statement of strategy (D)'!$E761,IF('All Statement of strategy (D)'!$C$1=RefData!$B$419,'All Statement of strategy (D)'!$F761,IF('All Statement of strategy (D)'!$C$1=RefData!$B$420,'All Statement of strategy (D)'!$G761,IF('All Statement of strategy (D)'!$C$1=RefData!$B$421,'All Statement of strategy (D)'!$H761," "))))</f>
        <v xml:space="preserve"> </v>
      </c>
    </row>
    <row r="762" spans="1:9">
      <c r="A762" s="584" t="s">
        <v>2137</v>
      </c>
      <c r="B762" s="621" t="str">
        <f ca="1">TEXT('Reconciliation report'!$E$181,RefData!$B$423)</f>
        <v/>
      </c>
      <c r="E762" s="585" t="str">
        <f ca="1">IF(AND(OR('Reconciliation report'!$E$104=RefData!$B$8,'Reconciliation report'!$E$9=RefData!$B$5),'Reconciliation report'!$E$105&lt;&gt;RefData!$B$35),'All Statement of strategy (D)'!$B762,"")</f>
        <v/>
      </c>
      <c r="F762" s="585" t="str">
        <f ca="1">IF(AND(OR('Reconciliation report'!$E$104=RefData!$B$8,'Reconciliation report'!$E$9=RefData!$B$5),'Reconciliation report'!$E$105&lt;&gt;RefData!$B$35),'All Statement of strategy (D)'!$B762,"")</f>
        <v/>
      </c>
      <c r="G762" s="585" t="str">
        <f ca="1">IF(AND(OR('Reconciliation report'!$E$104=RefData!$B$8,'Reconciliation report'!$E$9=RefData!$B$5),'Reconciliation report'!$E$105&lt;&gt;RefData!$B$35),'All Statement of strategy (D)'!$B762,"")</f>
        <v/>
      </c>
      <c r="H762" s="585" t="str">
        <f ca="1">IF(AND(OR('Reconciliation report'!$E$104=RefData!$B$8,'Reconciliation report'!$E$9=RefData!$B$5),'Reconciliation report'!$E$105&lt;&gt;RefData!$B$35),'All Statement of strategy (D)'!$B762,"")</f>
        <v/>
      </c>
      <c r="I762" s="595" t="str">
        <f ca="1">IF($C$1=RefData!$B$418,'All Statement of strategy (D)'!$E762,IF('All Statement of strategy (D)'!$C$1=RefData!$B$419,'All Statement of strategy (D)'!$F762,IF('All Statement of strategy (D)'!$C$1=RefData!$B$420,'All Statement of strategy (D)'!$G762,IF('All Statement of strategy (D)'!$C$1=RefData!$B$421,'All Statement of strategy (D)'!$H762," "))))</f>
        <v xml:space="preserve"> </v>
      </c>
    </row>
    <row r="763" spans="1:9">
      <c r="A763" s="584" t="s">
        <v>2138</v>
      </c>
      <c r="B763" s="621" t="str">
        <f ca="1">TEXT('Reconciliation report'!$E$182,RefData!$B$423)</f>
        <v/>
      </c>
      <c r="E763" s="585" t="str">
        <f ca="1">IF(AND(OR('Reconciliation report'!$E$104=RefData!$B$8,'Reconciliation report'!$E$9=RefData!$B$5),'Reconciliation report'!$E$105&lt;&gt;RefData!$B$35),'All Statement of strategy (D)'!$B763,"")</f>
        <v/>
      </c>
      <c r="F763" s="585" t="str">
        <f ca="1">IF(AND(OR('Reconciliation report'!$E$104=RefData!$B$8,'Reconciliation report'!$E$9=RefData!$B$5),'Reconciliation report'!$E$105&lt;&gt;RefData!$B$35),'All Statement of strategy (D)'!$B763,"")</f>
        <v/>
      </c>
      <c r="G763" s="585" t="str">
        <f ca="1">IF(AND(OR('Reconciliation report'!$E$104=RefData!$B$8,'Reconciliation report'!$E$9=RefData!$B$5),'Reconciliation report'!$E$105&lt;&gt;RefData!$B$35),'All Statement of strategy (D)'!$B763,"")</f>
        <v/>
      </c>
      <c r="H763" s="585" t="str">
        <f ca="1">IF(AND(OR('Reconciliation report'!$E$104=RefData!$B$8,'Reconciliation report'!$E$9=RefData!$B$5),'Reconciliation report'!$E$105&lt;&gt;RefData!$B$35),'All Statement of strategy (D)'!$B763,"")</f>
        <v/>
      </c>
      <c r="I763" s="595" t="str">
        <f ca="1">IF($C$1=RefData!$B$418,'All Statement of strategy (D)'!$E763,IF('All Statement of strategy (D)'!$C$1=RefData!$B$419,'All Statement of strategy (D)'!$F763,IF('All Statement of strategy (D)'!$C$1=RefData!$B$420,'All Statement of strategy (D)'!$G763,IF('All Statement of strategy (D)'!$C$1=RefData!$B$421,'All Statement of strategy (D)'!$H763," "))))</f>
        <v xml:space="preserve"> </v>
      </c>
    </row>
    <row r="764" spans="1:9">
      <c r="A764" s="584" t="s">
        <v>2139</v>
      </c>
      <c r="B764" s="621" t="str">
        <f ca="1">TEXT('Reconciliation report'!$E$183,RefData!$B$423)</f>
        <v/>
      </c>
      <c r="E764" s="585" t="str">
        <f ca="1">IF(AND(OR('Reconciliation report'!$E$104=RefData!$B$8,'Reconciliation report'!$E$9=RefData!$B$5),'Reconciliation report'!$E$105&lt;&gt;RefData!$B$35),'All Statement of strategy (D)'!$B764,"")</f>
        <v/>
      </c>
      <c r="F764" s="585" t="str">
        <f ca="1">IF(AND(OR('Reconciliation report'!$E$104=RefData!$B$8,'Reconciliation report'!$E$9=RefData!$B$5),'Reconciliation report'!$E$105&lt;&gt;RefData!$B$35),'All Statement of strategy (D)'!$B764,"")</f>
        <v/>
      </c>
      <c r="G764" s="585" t="str">
        <f ca="1">IF(AND(OR('Reconciliation report'!$E$104=RefData!$B$8,'Reconciliation report'!$E$9=RefData!$B$5),'Reconciliation report'!$E$105&lt;&gt;RefData!$B$35),'All Statement of strategy (D)'!$B764,"")</f>
        <v/>
      </c>
      <c r="H764" s="585" t="str">
        <f ca="1">IF(AND(OR('Reconciliation report'!$E$104=RefData!$B$8,'Reconciliation report'!$E$9=RefData!$B$5),'Reconciliation report'!$E$105&lt;&gt;RefData!$B$35),'All Statement of strategy (D)'!$B764,"")</f>
        <v/>
      </c>
      <c r="I764" s="595" t="str">
        <f ca="1">IF($C$1=RefData!$B$418,'All Statement of strategy (D)'!$E764,IF('All Statement of strategy (D)'!$C$1=RefData!$B$419,'All Statement of strategy (D)'!$F764,IF('All Statement of strategy (D)'!$C$1=RefData!$B$420,'All Statement of strategy (D)'!$G764,IF('All Statement of strategy (D)'!$C$1=RefData!$B$421,'All Statement of strategy (D)'!$H764," "))))</f>
        <v xml:space="preserve"> </v>
      </c>
    </row>
    <row r="765" spans="1:9">
      <c r="A765" s="584" t="s">
        <v>2140</v>
      </c>
      <c r="B765" s="621" t="str">
        <f ca="1">TEXT('Reconciliation report'!$E$184,RefData!$B$423)</f>
        <v/>
      </c>
      <c r="E765" s="585" t="str">
        <f ca="1">IF(AND(OR('Reconciliation report'!$E$104=RefData!$B$8,'Reconciliation report'!$E$9=RefData!$B$5),'Reconciliation report'!$E$105&lt;&gt;RefData!$B$35),'All Statement of strategy (D)'!$B765,"")</f>
        <v/>
      </c>
      <c r="F765" s="585" t="str">
        <f ca="1">IF(AND(OR('Reconciliation report'!$E$104=RefData!$B$8,'Reconciliation report'!$E$9=RefData!$B$5),'Reconciliation report'!$E$105&lt;&gt;RefData!$B$35),'All Statement of strategy (D)'!$B765,"")</f>
        <v/>
      </c>
      <c r="G765" s="585" t="str">
        <f ca="1">IF(AND(OR('Reconciliation report'!$E$104=RefData!$B$8,'Reconciliation report'!$E$9=RefData!$B$5),'Reconciliation report'!$E$105&lt;&gt;RefData!$B$35),'All Statement of strategy (D)'!$B765,"")</f>
        <v/>
      </c>
      <c r="H765" s="585" t="str">
        <f ca="1">IF(AND(OR('Reconciliation report'!$E$104=RefData!$B$8,'Reconciliation report'!$E$9=RefData!$B$5),'Reconciliation report'!$E$105&lt;&gt;RefData!$B$35),'All Statement of strategy (D)'!$B765,"")</f>
        <v/>
      </c>
      <c r="I765" s="595" t="str">
        <f ca="1">IF($C$1=RefData!$B$418,'All Statement of strategy (D)'!$E765,IF('All Statement of strategy (D)'!$C$1=RefData!$B$419,'All Statement of strategy (D)'!$F765,IF('All Statement of strategy (D)'!$C$1=RefData!$B$420,'All Statement of strategy (D)'!$G765,IF('All Statement of strategy (D)'!$C$1=RefData!$B$421,'All Statement of strategy (D)'!$H765," "))))</f>
        <v xml:space="preserve"> </v>
      </c>
    </row>
    <row r="766" spans="1:9">
      <c r="A766" s="584" t="s">
        <v>2141</v>
      </c>
      <c r="B766" s="621" t="str">
        <f ca="1">TEXT('Reconciliation report'!$E$185,RefData!$B$423)</f>
        <v/>
      </c>
      <c r="E766" s="585" t="str">
        <f ca="1">IF(AND(OR('Reconciliation report'!$E$104=RefData!$B$8,'Reconciliation report'!$E$9=RefData!$B$5),'Reconciliation report'!$E$105&lt;&gt;RefData!$B$35),'All Statement of strategy (D)'!$B766,"")</f>
        <v/>
      </c>
      <c r="F766" s="585" t="str">
        <f ca="1">IF(AND(OR('Reconciliation report'!$E$104=RefData!$B$8,'Reconciliation report'!$E$9=RefData!$B$5),'Reconciliation report'!$E$105&lt;&gt;RefData!$B$35),'All Statement of strategy (D)'!$B766,"")</f>
        <v/>
      </c>
      <c r="G766" s="585" t="str">
        <f ca="1">IF(AND(OR('Reconciliation report'!$E$104=RefData!$B$8,'Reconciliation report'!$E$9=RefData!$B$5),'Reconciliation report'!$E$105&lt;&gt;RefData!$B$35),'All Statement of strategy (D)'!$B766,"")</f>
        <v/>
      </c>
      <c r="H766" s="585" t="str">
        <f ca="1">IF(AND(OR('Reconciliation report'!$E$104=RefData!$B$8,'Reconciliation report'!$E$9=RefData!$B$5),'Reconciliation report'!$E$105&lt;&gt;RefData!$B$35),'All Statement of strategy (D)'!$B766,"")</f>
        <v/>
      </c>
      <c r="I766" s="595" t="str">
        <f ca="1">IF($C$1=RefData!$B$418,'All Statement of strategy (D)'!$E766,IF('All Statement of strategy (D)'!$C$1=RefData!$B$419,'All Statement of strategy (D)'!$F766,IF('All Statement of strategy (D)'!$C$1=RefData!$B$420,'All Statement of strategy (D)'!$G766,IF('All Statement of strategy (D)'!$C$1=RefData!$B$421,'All Statement of strategy (D)'!$H766," "))))</f>
        <v xml:space="preserve"> </v>
      </c>
    </row>
    <row r="767" spans="1:9">
      <c r="A767" s="584" t="s">
        <v>2142</v>
      </c>
      <c r="B767" s="621" t="str">
        <f ca="1">TEXT('Reconciliation report'!$E$186,RefData!$B$423)</f>
        <v/>
      </c>
      <c r="E767" s="585" t="str">
        <f ca="1">IF(AND(OR('Reconciliation report'!$E$104=RefData!$B$8,'Reconciliation report'!$E$9=RefData!$B$5),'Reconciliation report'!$E$105&lt;&gt;RefData!$B$35),'All Statement of strategy (D)'!$B767,"")</f>
        <v/>
      </c>
      <c r="F767" s="585" t="str">
        <f ca="1">IF(AND(OR('Reconciliation report'!$E$104=RefData!$B$8,'Reconciliation report'!$E$9=RefData!$B$5),'Reconciliation report'!$E$105&lt;&gt;RefData!$B$35),'All Statement of strategy (D)'!$B767,"")</f>
        <v/>
      </c>
      <c r="G767" s="585" t="str">
        <f ca="1">IF(AND(OR('Reconciliation report'!$E$104=RefData!$B$8,'Reconciliation report'!$E$9=RefData!$B$5),'Reconciliation report'!$E$105&lt;&gt;RefData!$B$35),'All Statement of strategy (D)'!$B767,"")</f>
        <v/>
      </c>
      <c r="H767" s="585" t="str">
        <f ca="1">IF(AND(OR('Reconciliation report'!$E$104=RefData!$B$8,'Reconciliation report'!$E$9=RefData!$B$5),'Reconciliation report'!$E$105&lt;&gt;RefData!$B$35),'All Statement of strategy (D)'!$B767,"")</f>
        <v/>
      </c>
      <c r="I767" s="595" t="str">
        <f ca="1">IF($C$1=RefData!$B$418,'All Statement of strategy (D)'!$E767,IF('All Statement of strategy (D)'!$C$1=RefData!$B$419,'All Statement of strategy (D)'!$F767,IF('All Statement of strategy (D)'!$C$1=RefData!$B$420,'All Statement of strategy (D)'!$G767,IF('All Statement of strategy (D)'!$C$1=RefData!$B$421,'All Statement of strategy (D)'!$H767," "))))</f>
        <v xml:space="preserve"> </v>
      </c>
    </row>
    <row r="768" spans="1:9">
      <c r="A768" s="584" t="s">
        <v>2143</v>
      </c>
      <c r="B768" s="621" t="str">
        <f ca="1">TEXT('Reconciliation report'!$E$187,RefData!$B$423)</f>
        <v/>
      </c>
      <c r="E768" s="585" t="str">
        <f ca="1">IF(AND(OR('Reconciliation report'!$E$104=RefData!$B$8,'Reconciliation report'!$E$9=RefData!$B$5),'Reconciliation report'!$E$105&lt;&gt;RefData!$B$35),'All Statement of strategy (D)'!$B768,"")</f>
        <v/>
      </c>
      <c r="F768" s="585" t="str">
        <f ca="1">IF(AND(OR('Reconciliation report'!$E$104=RefData!$B$8,'Reconciliation report'!$E$9=RefData!$B$5),'Reconciliation report'!$E$105&lt;&gt;RefData!$B$35),'All Statement of strategy (D)'!$B768,"")</f>
        <v/>
      </c>
      <c r="G768" s="585" t="str">
        <f ca="1">IF(AND(OR('Reconciliation report'!$E$104=RefData!$B$8,'Reconciliation report'!$E$9=RefData!$B$5),'Reconciliation report'!$E$105&lt;&gt;RefData!$B$35),'All Statement of strategy (D)'!$B768,"")</f>
        <v/>
      </c>
      <c r="H768" s="585" t="str">
        <f ca="1">IF(AND(OR('Reconciliation report'!$E$104=RefData!$B$8,'Reconciliation report'!$E$9=RefData!$B$5),'Reconciliation report'!$E$105&lt;&gt;RefData!$B$35),'All Statement of strategy (D)'!$B768,"")</f>
        <v/>
      </c>
      <c r="I768" s="595" t="str">
        <f ca="1">IF($C$1=RefData!$B$418,'All Statement of strategy (D)'!$E768,IF('All Statement of strategy (D)'!$C$1=RefData!$B$419,'All Statement of strategy (D)'!$F768,IF('All Statement of strategy (D)'!$C$1=RefData!$B$420,'All Statement of strategy (D)'!$G768,IF('All Statement of strategy (D)'!$C$1=RefData!$B$421,'All Statement of strategy (D)'!$H768," "))))</f>
        <v xml:space="preserve"> </v>
      </c>
    </row>
    <row r="769" spans="1:9">
      <c r="A769" s="584" t="s">
        <v>2144</v>
      </c>
      <c r="B769" s="621" t="str">
        <f ca="1">TEXT('Reconciliation report'!$E$188,RefData!$B$423)</f>
        <v/>
      </c>
      <c r="E769" s="585" t="str">
        <f ca="1">IF(AND(OR('Reconciliation report'!$E$104=RefData!$B$8,'Reconciliation report'!$E$9=RefData!$B$5),'Reconciliation report'!$E$105&lt;&gt;RefData!$B$35),'All Statement of strategy (D)'!$B769,"")</f>
        <v/>
      </c>
      <c r="F769" s="585" t="str">
        <f ca="1">IF(AND(OR('Reconciliation report'!$E$104=RefData!$B$8,'Reconciliation report'!$E$9=RefData!$B$5),'Reconciliation report'!$E$105&lt;&gt;RefData!$B$35),'All Statement of strategy (D)'!$B769,"")</f>
        <v/>
      </c>
      <c r="G769" s="585" t="str">
        <f ca="1">IF(AND(OR('Reconciliation report'!$E$104=RefData!$B$8,'Reconciliation report'!$E$9=RefData!$B$5),'Reconciliation report'!$E$105&lt;&gt;RefData!$B$35),'All Statement of strategy (D)'!$B769,"")</f>
        <v/>
      </c>
      <c r="H769" s="585" t="str">
        <f ca="1">IF(AND(OR('Reconciliation report'!$E$104=RefData!$B$8,'Reconciliation report'!$E$9=RefData!$B$5),'Reconciliation report'!$E$105&lt;&gt;RefData!$B$35),'All Statement of strategy (D)'!$B769,"")</f>
        <v/>
      </c>
      <c r="I769" s="595" t="str">
        <f ca="1">IF($C$1=RefData!$B$418,'All Statement of strategy (D)'!$E769,IF('All Statement of strategy (D)'!$C$1=RefData!$B$419,'All Statement of strategy (D)'!$F769,IF('All Statement of strategy (D)'!$C$1=RefData!$B$420,'All Statement of strategy (D)'!$G769,IF('All Statement of strategy (D)'!$C$1=RefData!$B$421,'All Statement of strategy (D)'!$H769," "))))</f>
        <v xml:space="preserve"> </v>
      </c>
    </row>
    <row r="770" spans="1:9">
      <c r="A770" s="584" t="s">
        <v>2145</v>
      </c>
      <c r="B770" s="621" t="str">
        <f ca="1">TEXT('Reconciliation report'!$E$189,RefData!$B$423)</f>
        <v/>
      </c>
      <c r="E770" s="585" t="str">
        <f ca="1">IF(AND(OR('Reconciliation report'!$E$104=RefData!$B$8,'Reconciliation report'!$E$9=RefData!$B$5),'Reconciliation report'!$E$105&lt;&gt;RefData!$B$35),'All Statement of strategy (D)'!$B770,"")</f>
        <v/>
      </c>
      <c r="F770" s="585" t="str">
        <f ca="1">IF(AND(OR('Reconciliation report'!$E$104=RefData!$B$8,'Reconciliation report'!$E$9=RefData!$B$5),'Reconciliation report'!$E$105&lt;&gt;RefData!$B$35),'All Statement of strategy (D)'!$B770,"")</f>
        <v/>
      </c>
      <c r="G770" s="585" t="str">
        <f ca="1">IF(AND(OR('Reconciliation report'!$E$104=RefData!$B$8,'Reconciliation report'!$E$9=RefData!$B$5),'Reconciliation report'!$E$105&lt;&gt;RefData!$B$35),'All Statement of strategy (D)'!$B770,"")</f>
        <v/>
      </c>
      <c r="H770" s="585" t="str">
        <f ca="1">IF(AND(OR('Reconciliation report'!$E$104=RefData!$B$8,'Reconciliation report'!$E$9=RefData!$B$5),'Reconciliation report'!$E$105&lt;&gt;RefData!$B$35),'All Statement of strategy (D)'!$B770,"")</f>
        <v/>
      </c>
      <c r="I770" s="595" t="str">
        <f ca="1">IF($C$1=RefData!$B$418,'All Statement of strategy (D)'!$E770,IF('All Statement of strategy (D)'!$C$1=RefData!$B$419,'All Statement of strategy (D)'!$F770,IF('All Statement of strategy (D)'!$C$1=RefData!$B$420,'All Statement of strategy (D)'!$G770,IF('All Statement of strategy (D)'!$C$1=RefData!$B$421,'All Statement of strategy (D)'!$H770," "))))</f>
        <v xml:space="preserve"> </v>
      </c>
    </row>
    <row r="771" spans="1:9">
      <c r="A771" s="584" t="s">
        <v>2146</v>
      </c>
      <c r="B771" s="621" t="str">
        <f ca="1">TEXT('Reconciliation report'!$E$190,RefData!$B$423)</f>
        <v/>
      </c>
      <c r="E771" s="585" t="str">
        <f ca="1">IF(AND(OR('Reconciliation report'!$E$104=RefData!$B$8,'Reconciliation report'!$E$9=RefData!$B$5),'Reconciliation report'!$E$105&lt;&gt;RefData!$B$35),'All Statement of strategy (D)'!$B771,"")</f>
        <v/>
      </c>
      <c r="F771" s="585" t="str">
        <f ca="1">IF(AND(OR('Reconciliation report'!$E$104=RefData!$B$8,'Reconciliation report'!$E$9=RefData!$B$5),'Reconciliation report'!$E$105&lt;&gt;RefData!$B$35),'All Statement of strategy (D)'!$B771,"")</f>
        <v/>
      </c>
      <c r="G771" s="585" t="str">
        <f ca="1">IF(AND(OR('Reconciliation report'!$E$104=RefData!$B$8,'Reconciliation report'!$E$9=RefData!$B$5),'Reconciliation report'!$E$105&lt;&gt;RefData!$B$35),'All Statement of strategy (D)'!$B771,"")</f>
        <v/>
      </c>
      <c r="H771" s="585" t="str">
        <f ca="1">IF(AND(OR('Reconciliation report'!$E$104=RefData!$B$8,'Reconciliation report'!$E$9=RefData!$B$5),'Reconciliation report'!$E$105&lt;&gt;RefData!$B$35),'All Statement of strategy (D)'!$B771,"")</f>
        <v/>
      </c>
      <c r="I771" s="595" t="str">
        <f ca="1">IF($C$1=RefData!$B$418,'All Statement of strategy (D)'!$E771,IF('All Statement of strategy (D)'!$C$1=RefData!$B$419,'All Statement of strategy (D)'!$F771,IF('All Statement of strategy (D)'!$C$1=RefData!$B$420,'All Statement of strategy (D)'!$G771,IF('All Statement of strategy (D)'!$C$1=RefData!$B$421,'All Statement of strategy (D)'!$H771," "))))</f>
        <v xml:space="preserve"> </v>
      </c>
    </row>
    <row r="772" spans="1:9">
      <c r="A772" s="584" t="s">
        <v>2147</v>
      </c>
      <c r="B772" s="621" t="str">
        <f ca="1">TEXT('Reconciliation report'!$E$191,RefData!$B$423)</f>
        <v/>
      </c>
      <c r="E772" s="585" t="str">
        <f ca="1">IF(AND(OR('Reconciliation report'!$E$104=RefData!$B$8,'Reconciliation report'!$E$9=RefData!$B$5),'Reconciliation report'!$E$105&lt;&gt;RefData!$B$35),'All Statement of strategy (D)'!$B772,"")</f>
        <v/>
      </c>
      <c r="F772" s="585" t="str">
        <f ca="1">IF(AND(OR('Reconciliation report'!$E$104=RefData!$B$8,'Reconciliation report'!$E$9=RefData!$B$5),'Reconciliation report'!$E$105&lt;&gt;RefData!$B$35),'All Statement of strategy (D)'!$B772,"")</f>
        <v/>
      </c>
      <c r="G772" s="585" t="str">
        <f ca="1">IF(AND(OR('Reconciliation report'!$E$104=RefData!$B$8,'Reconciliation report'!$E$9=RefData!$B$5),'Reconciliation report'!$E$105&lt;&gt;RefData!$B$35),'All Statement of strategy (D)'!$B772,"")</f>
        <v/>
      </c>
      <c r="H772" s="585" t="str">
        <f ca="1">IF(AND(OR('Reconciliation report'!$E$104=RefData!$B$8,'Reconciliation report'!$E$9=RefData!$B$5),'Reconciliation report'!$E$105&lt;&gt;RefData!$B$35),'All Statement of strategy (D)'!$B772,"")</f>
        <v/>
      </c>
      <c r="I772" s="595" t="str">
        <f ca="1">IF($C$1=RefData!$B$418,'All Statement of strategy (D)'!$E772,IF('All Statement of strategy (D)'!$C$1=RefData!$B$419,'All Statement of strategy (D)'!$F772,IF('All Statement of strategy (D)'!$C$1=RefData!$B$420,'All Statement of strategy (D)'!$G772,IF('All Statement of strategy (D)'!$C$1=RefData!$B$421,'All Statement of strategy (D)'!$H772," "))))</f>
        <v xml:space="preserve"> </v>
      </c>
    </row>
    <row r="773" spans="1:9">
      <c r="A773" s="584" t="s">
        <v>2148</v>
      </c>
      <c r="B773" s="621" t="str">
        <f ca="1">TEXT('Reconciliation report'!$E$192,RefData!$B$423)</f>
        <v/>
      </c>
      <c r="E773" s="585" t="str">
        <f ca="1">IF(AND(OR('Reconciliation report'!$E$104=RefData!$B$8,'Reconciliation report'!$E$9=RefData!$B$5),'Reconciliation report'!$E$105&lt;&gt;RefData!$B$35),'All Statement of strategy (D)'!$B773,"")</f>
        <v/>
      </c>
      <c r="F773" s="585" t="str">
        <f ca="1">IF(AND(OR('Reconciliation report'!$E$104=RefData!$B$8,'Reconciliation report'!$E$9=RefData!$B$5),'Reconciliation report'!$E$105&lt;&gt;RefData!$B$35),'All Statement of strategy (D)'!$B773,"")</f>
        <v/>
      </c>
      <c r="G773" s="585" t="str">
        <f ca="1">IF(AND(OR('Reconciliation report'!$E$104=RefData!$B$8,'Reconciliation report'!$E$9=RefData!$B$5),'Reconciliation report'!$E$105&lt;&gt;RefData!$B$35),'All Statement of strategy (D)'!$B773,"")</f>
        <v/>
      </c>
      <c r="H773" s="585" t="str">
        <f ca="1">IF(AND(OR('Reconciliation report'!$E$104=RefData!$B$8,'Reconciliation report'!$E$9=RefData!$B$5),'Reconciliation report'!$E$105&lt;&gt;RefData!$B$35),'All Statement of strategy (D)'!$B773,"")</f>
        <v/>
      </c>
      <c r="I773" s="595" t="str">
        <f ca="1">IF($C$1=RefData!$B$418,'All Statement of strategy (D)'!$E773,IF('All Statement of strategy (D)'!$C$1=RefData!$B$419,'All Statement of strategy (D)'!$F773,IF('All Statement of strategy (D)'!$C$1=RefData!$B$420,'All Statement of strategy (D)'!$G773,IF('All Statement of strategy (D)'!$C$1=RefData!$B$421,'All Statement of strategy (D)'!$H773," "))))</f>
        <v xml:space="preserve"> </v>
      </c>
    </row>
    <row r="774" spans="1:9">
      <c r="A774" s="584" t="s">
        <v>2149</v>
      </c>
      <c r="B774" s="621" t="str">
        <f ca="1">TEXT('Reconciliation report'!$E$193,RefData!$B$423)</f>
        <v/>
      </c>
      <c r="E774" s="585" t="str">
        <f ca="1">IF(AND(OR('Reconciliation report'!$E$104=RefData!$B$8,'Reconciliation report'!$E$9=RefData!$B$5),'Reconciliation report'!$E$105&lt;&gt;RefData!$B$35),'All Statement of strategy (D)'!$B774,"")</f>
        <v/>
      </c>
      <c r="F774" s="585" t="str">
        <f ca="1">IF(AND(OR('Reconciliation report'!$E$104=RefData!$B$8,'Reconciliation report'!$E$9=RefData!$B$5),'Reconciliation report'!$E$105&lt;&gt;RefData!$B$35),'All Statement of strategy (D)'!$B774,"")</f>
        <v/>
      </c>
      <c r="G774" s="585" t="str">
        <f ca="1">IF(AND(OR('Reconciliation report'!$E$104=RefData!$B$8,'Reconciliation report'!$E$9=RefData!$B$5),'Reconciliation report'!$E$105&lt;&gt;RefData!$B$35),'All Statement of strategy (D)'!$B774,"")</f>
        <v/>
      </c>
      <c r="H774" s="585" t="str">
        <f ca="1">IF(AND(OR('Reconciliation report'!$E$104=RefData!$B$8,'Reconciliation report'!$E$9=RefData!$B$5),'Reconciliation report'!$E$105&lt;&gt;RefData!$B$35),'All Statement of strategy (D)'!$B774,"")</f>
        <v/>
      </c>
      <c r="I774" s="595" t="str">
        <f ca="1">IF($C$1=RefData!$B$418,'All Statement of strategy (D)'!$E774,IF('All Statement of strategy (D)'!$C$1=RefData!$B$419,'All Statement of strategy (D)'!$F774,IF('All Statement of strategy (D)'!$C$1=RefData!$B$420,'All Statement of strategy (D)'!$G774,IF('All Statement of strategy (D)'!$C$1=RefData!$B$421,'All Statement of strategy (D)'!$H774," "))))</f>
        <v xml:space="preserve"> </v>
      </c>
    </row>
    <row r="775" spans="1:9">
      <c r="A775" s="584" t="s">
        <v>2150</v>
      </c>
      <c r="B775" s="621" t="str">
        <f ca="1">TEXT('Reconciliation report'!$E$194,RefData!$B$423)</f>
        <v/>
      </c>
      <c r="E775" s="585" t="str">
        <f ca="1">IF(AND(OR('Reconciliation report'!$E$104=RefData!$B$8,'Reconciliation report'!$E$9=RefData!$B$5),'Reconciliation report'!$E$105&lt;&gt;RefData!$B$35),'All Statement of strategy (D)'!$B775,"")</f>
        <v/>
      </c>
      <c r="F775" s="585" t="str">
        <f ca="1">IF(AND(OR('Reconciliation report'!$E$104=RefData!$B$8,'Reconciliation report'!$E$9=RefData!$B$5),'Reconciliation report'!$E$105&lt;&gt;RefData!$B$35),'All Statement of strategy (D)'!$B775,"")</f>
        <v/>
      </c>
      <c r="G775" s="585" t="str">
        <f ca="1">IF(AND(OR('Reconciliation report'!$E$104=RefData!$B$8,'Reconciliation report'!$E$9=RefData!$B$5),'Reconciliation report'!$E$105&lt;&gt;RefData!$B$35),'All Statement of strategy (D)'!$B775,"")</f>
        <v/>
      </c>
      <c r="H775" s="585" t="str">
        <f ca="1">IF(AND(OR('Reconciliation report'!$E$104=RefData!$B$8,'Reconciliation report'!$E$9=RefData!$B$5),'Reconciliation report'!$E$105&lt;&gt;RefData!$B$35),'All Statement of strategy (D)'!$B775,"")</f>
        <v/>
      </c>
      <c r="I775" s="595" t="str">
        <f ca="1">IF($C$1=RefData!$B$418,'All Statement of strategy (D)'!$E775,IF('All Statement of strategy (D)'!$C$1=RefData!$B$419,'All Statement of strategy (D)'!$F775,IF('All Statement of strategy (D)'!$C$1=RefData!$B$420,'All Statement of strategy (D)'!$G775,IF('All Statement of strategy (D)'!$C$1=RefData!$B$421,'All Statement of strategy (D)'!$H775," "))))</f>
        <v xml:space="preserve"> </v>
      </c>
    </row>
    <row r="776" spans="1:9">
      <c r="A776" s="584" t="s">
        <v>2151</v>
      </c>
      <c r="B776" s="621" t="str">
        <f ca="1">TEXT('Reconciliation report'!$E$195,RefData!$B$423)</f>
        <v/>
      </c>
      <c r="E776" s="585" t="str">
        <f ca="1">IF(AND(OR('Reconciliation report'!$E$104=RefData!$B$8,'Reconciliation report'!$E$9=RefData!$B$5),'Reconciliation report'!$E$105&lt;&gt;RefData!$B$35),'All Statement of strategy (D)'!$B776,"")</f>
        <v/>
      </c>
      <c r="F776" s="585" t="str">
        <f ca="1">IF(AND(OR('Reconciliation report'!$E$104=RefData!$B$8,'Reconciliation report'!$E$9=RefData!$B$5),'Reconciliation report'!$E$105&lt;&gt;RefData!$B$35),'All Statement of strategy (D)'!$B776,"")</f>
        <v/>
      </c>
      <c r="G776" s="585" t="str">
        <f ca="1">IF(AND(OR('Reconciliation report'!$E$104=RefData!$B$8,'Reconciliation report'!$E$9=RefData!$B$5),'Reconciliation report'!$E$105&lt;&gt;RefData!$B$35),'All Statement of strategy (D)'!$B776,"")</f>
        <v/>
      </c>
      <c r="H776" s="585" t="str">
        <f ca="1">IF(AND(OR('Reconciliation report'!$E$104=RefData!$B$8,'Reconciliation report'!$E$9=RefData!$B$5),'Reconciliation report'!$E$105&lt;&gt;RefData!$B$35),'All Statement of strategy (D)'!$B776,"")</f>
        <v/>
      </c>
      <c r="I776" s="595" t="str">
        <f ca="1">IF($C$1=RefData!$B$418,'All Statement of strategy (D)'!$E776,IF('All Statement of strategy (D)'!$C$1=RefData!$B$419,'All Statement of strategy (D)'!$F776,IF('All Statement of strategy (D)'!$C$1=RefData!$B$420,'All Statement of strategy (D)'!$G776,IF('All Statement of strategy (D)'!$C$1=RefData!$B$421,'All Statement of strategy (D)'!$H776," "))))</f>
        <v xml:space="preserve"> </v>
      </c>
    </row>
    <row r="777" spans="1:9">
      <c r="A777" s="584" t="s">
        <v>2152</v>
      </c>
      <c r="B777" s="621" t="str">
        <f ca="1">TEXT('Reconciliation report'!$E$196,RefData!$B$423)</f>
        <v/>
      </c>
      <c r="E777" s="585" t="str">
        <f ca="1">IF(AND(OR('Reconciliation report'!$E$104=RefData!$B$8,'Reconciliation report'!$E$9=RefData!$B$5),'Reconciliation report'!$E$105&lt;&gt;RefData!$B$35),'All Statement of strategy (D)'!$B777,"")</f>
        <v/>
      </c>
      <c r="F777" s="585" t="str">
        <f ca="1">IF(AND(OR('Reconciliation report'!$E$104=RefData!$B$8,'Reconciliation report'!$E$9=RefData!$B$5),'Reconciliation report'!$E$105&lt;&gt;RefData!$B$35),'All Statement of strategy (D)'!$B777,"")</f>
        <v/>
      </c>
      <c r="G777" s="585" t="str">
        <f ca="1">IF(AND(OR('Reconciliation report'!$E$104=RefData!$B$8,'Reconciliation report'!$E$9=RefData!$B$5),'Reconciliation report'!$E$105&lt;&gt;RefData!$B$35),'All Statement of strategy (D)'!$B777,"")</f>
        <v/>
      </c>
      <c r="H777" s="585" t="str">
        <f ca="1">IF(AND(OR('Reconciliation report'!$E$104=RefData!$B$8,'Reconciliation report'!$E$9=RefData!$B$5),'Reconciliation report'!$E$105&lt;&gt;RefData!$B$35),'All Statement of strategy (D)'!$B777,"")</f>
        <v/>
      </c>
      <c r="I777" s="595" t="str">
        <f ca="1">IF($C$1=RefData!$B$418,'All Statement of strategy (D)'!$E777,IF('All Statement of strategy (D)'!$C$1=RefData!$B$419,'All Statement of strategy (D)'!$F777,IF('All Statement of strategy (D)'!$C$1=RefData!$B$420,'All Statement of strategy (D)'!$G777,IF('All Statement of strategy (D)'!$C$1=RefData!$B$421,'All Statement of strategy (D)'!$H777," "))))</f>
        <v xml:space="preserve"> </v>
      </c>
    </row>
    <row r="778" spans="1:9">
      <c r="A778" s="584" t="s">
        <v>2153</v>
      </c>
      <c r="B778" s="621" t="str">
        <f ca="1">TEXT('Reconciliation report'!$E$197,RefData!$B$423)</f>
        <v/>
      </c>
      <c r="E778" s="585" t="str">
        <f ca="1">IF(AND(OR('Reconciliation report'!$E$104=RefData!$B$8,'Reconciliation report'!$E$9=RefData!$B$5),'Reconciliation report'!$E$105&lt;&gt;RefData!$B$35),'All Statement of strategy (D)'!$B778,"")</f>
        <v/>
      </c>
      <c r="F778" s="585" t="str">
        <f ca="1">IF(AND(OR('Reconciliation report'!$E$104=RefData!$B$8,'Reconciliation report'!$E$9=RefData!$B$5),'Reconciliation report'!$E$105&lt;&gt;RefData!$B$35),'All Statement of strategy (D)'!$B778,"")</f>
        <v/>
      </c>
      <c r="G778" s="585" t="str">
        <f ca="1">IF(AND(OR('Reconciliation report'!$E$104=RefData!$B$8,'Reconciliation report'!$E$9=RefData!$B$5),'Reconciliation report'!$E$105&lt;&gt;RefData!$B$35),'All Statement of strategy (D)'!$B778,"")</f>
        <v/>
      </c>
      <c r="H778" s="585" t="str">
        <f ca="1">IF(AND(OR('Reconciliation report'!$E$104=RefData!$B$8,'Reconciliation report'!$E$9=RefData!$B$5),'Reconciliation report'!$E$105&lt;&gt;RefData!$B$35),'All Statement of strategy (D)'!$B778,"")</f>
        <v/>
      </c>
      <c r="I778" s="595" t="str">
        <f ca="1">IF($C$1=RefData!$B$418,'All Statement of strategy (D)'!$E778,IF('All Statement of strategy (D)'!$C$1=RefData!$B$419,'All Statement of strategy (D)'!$F778,IF('All Statement of strategy (D)'!$C$1=RefData!$B$420,'All Statement of strategy (D)'!$G778,IF('All Statement of strategy (D)'!$C$1=RefData!$B$421,'All Statement of strategy (D)'!$H778," "))))</f>
        <v xml:space="preserve"> </v>
      </c>
    </row>
    <row r="779" spans="1:9">
      <c r="A779" s="584" t="s">
        <v>2154</v>
      </c>
      <c r="B779" s="621" t="str">
        <f ca="1">TEXT('Reconciliation report'!$E$198,RefData!$B$423)</f>
        <v/>
      </c>
      <c r="E779" s="585" t="str">
        <f ca="1">IF(AND(OR('Reconciliation report'!$E$104=RefData!$B$8,'Reconciliation report'!$E$9=RefData!$B$5),'Reconciliation report'!$E$105&lt;&gt;RefData!$B$35),'All Statement of strategy (D)'!$B779,"")</f>
        <v/>
      </c>
      <c r="F779" s="585" t="str">
        <f ca="1">IF(AND(OR('Reconciliation report'!$E$104=RefData!$B$8,'Reconciliation report'!$E$9=RefData!$B$5),'Reconciliation report'!$E$105&lt;&gt;RefData!$B$35),'All Statement of strategy (D)'!$B779,"")</f>
        <v/>
      </c>
      <c r="G779" s="585" t="str">
        <f ca="1">IF(AND(OR('Reconciliation report'!$E$104=RefData!$B$8,'Reconciliation report'!$E$9=RefData!$B$5),'Reconciliation report'!$E$105&lt;&gt;RefData!$B$35),'All Statement of strategy (D)'!$B779,"")</f>
        <v/>
      </c>
      <c r="H779" s="585" t="str">
        <f ca="1">IF(AND(OR('Reconciliation report'!$E$104=RefData!$B$8,'Reconciliation report'!$E$9=RefData!$B$5),'Reconciliation report'!$E$105&lt;&gt;RefData!$B$35),'All Statement of strategy (D)'!$B779,"")</f>
        <v/>
      </c>
      <c r="I779" s="595" t="str">
        <f ca="1">IF($C$1=RefData!$B$418,'All Statement of strategy (D)'!$E779,IF('All Statement of strategy (D)'!$C$1=RefData!$B$419,'All Statement of strategy (D)'!$F779,IF('All Statement of strategy (D)'!$C$1=RefData!$B$420,'All Statement of strategy (D)'!$G779,IF('All Statement of strategy (D)'!$C$1=RefData!$B$421,'All Statement of strategy (D)'!$H779," "))))</f>
        <v xml:space="preserve"> </v>
      </c>
    </row>
    <row r="780" spans="1:9">
      <c r="A780" s="584" t="s">
        <v>2155</v>
      </c>
      <c r="B780" s="621" t="str">
        <f ca="1">TEXT('Reconciliation report'!$E$199,RefData!$B$423)</f>
        <v/>
      </c>
      <c r="E780" s="585" t="str">
        <f ca="1">IF(AND(OR('Reconciliation report'!$E$104=RefData!$B$8,'Reconciliation report'!$E$9=RefData!$B$5),'Reconciliation report'!$E$105&lt;&gt;RefData!$B$35),'All Statement of strategy (D)'!$B780,"")</f>
        <v/>
      </c>
      <c r="F780" s="585" t="str">
        <f ca="1">IF(AND(OR('Reconciliation report'!$E$104=RefData!$B$8,'Reconciliation report'!$E$9=RefData!$B$5),'Reconciliation report'!$E$105&lt;&gt;RefData!$B$35),'All Statement of strategy (D)'!$B780,"")</f>
        <v/>
      </c>
      <c r="G780" s="585" t="str">
        <f ca="1">IF(AND(OR('Reconciliation report'!$E$104=RefData!$B$8,'Reconciliation report'!$E$9=RefData!$B$5),'Reconciliation report'!$E$105&lt;&gt;RefData!$B$35),'All Statement of strategy (D)'!$B780,"")</f>
        <v/>
      </c>
      <c r="H780" s="585" t="str">
        <f ca="1">IF(AND(OR('Reconciliation report'!$E$104=RefData!$B$8,'Reconciliation report'!$E$9=RefData!$B$5),'Reconciliation report'!$E$105&lt;&gt;RefData!$B$35),'All Statement of strategy (D)'!$B780,"")</f>
        <v/>
      </c>
      <c r="I780" s="595" t="str">
        <f ca="1">IF($C$1=RefData!$B$418,'All Statement of strategy (D)'!$E780,IF('All Statement of strategy (D)'!$C$1=RefData!$B$419,'All Statement of strategy (D)'!$F780,IF('All Statement of strategy (D)'!$C$1=RefData!$B$420,'All Statement of strategy (D)'!$G780,IF('All Statement of strategy (D)'!$C$1=RefData!$B$421,'All Statement of strategy (D)'!$H780," "))))</f>
        <v xml:space="preserve"> </v>
      </c>
    </row>
    <row r="781" spans="1:9">
      <c r="A781" s="584" t="s">
        <v>2156</v>
      </c>
      <c r="B781" s="621" t="str">
        <f ca="1">TEXT('Reconciliation report'!$E$200,RefData!$B$423)</f>
        <v/>
      </c>
      <c r="E781" s="585" t="str">
        <f ca="1">IF(AND(OR('Reconciliation report'!$E$104=RefData!$B$8,'Reconciliation report'!$E$9=RefData!$B$5),'Reconciliation report'!$E$105&lt;&gt;RefData!$B$35),'All Statement of strategy (D)'!$B781,"")</f>
        <v/>
      </c>
      <c r="F781" s="585" t="str">
        <f ca="1">IF(AND(OR('Reconciliation report'!$E$104=RefData!$B$8,'Reconciliation report'!$E$9=RefData!$B$5),'Reconciliation report'!$E$105&lt;&gt;RefData!$B$35),'All Statement of strategy (D)'!$B781,"")</f>
        <v/>
      </c>
      <c r="G781" s="585" t="str">
        <f ca="1">IF(AND(OR('Reconciliation report'!$E$104=RefData!$B$8,'Reconciliation report'!$E$9=RefData!$B$5),'Reconciliation report'!$E$105&lt;&gt;RefData!$B$35),'All Statement of strategy (D)'!$B781,"")</f>
        <v/>
      </c>
      <c r="H781" s="585" t="str">
        <f ca="1">IF(AND(OR('Reconciliation report'!$E$104=RefData!$B$8,'Reconciliation report'!$E$9=RefData!$B$5),'Reconciliation report'!$E$105&lt;&gt;RefData!$B$35),'All Statement of strategy (D)'!$B781,"")</f>
        <v/>
      </c>
      <c r="I781" s="595" t="str">
        <f ca="1">IF($C$1=RefData!$B$418,'All Statement of strategy (D)'!$E781,IF('All Statement of strategy (D)'!$C$1=RefData!$B$419,'All Statement of strategy (D)'!$F781,IF('All Statement of strategy (D)'!$C$1=RefData!$B$420,'All Statement of strategy (D)'!$G781,IF('All Statement of strategy (D)'!$C$1=RefData!$B$421,'All Statement of strategy (D)'!$H781," "))))</f>
        <v xml:space="preserve"> </v>
      </c>
    </row>
    <row r="782" spans="1:9">
      <c r="A782" s="584" t="s">
        <v>2157</v>
      </c>
      <c r="B782" s="621" t="str">
        <f ca="1">TEXT('Reconciliation report'!$E$201,RefData!$B$423)</f>
        <v/>
      </c>
      <c r="E782" s="585" t="str">
        <f ca="1">IF(AND(OR('Reconciliation report'!$E$104=RefData!$B$8,'Reconciliation report'!$E$9=RefData!$B$5),'Reconciliation report'!$E$105&lt;&gt;RefData!$B$35),'All Statement of strategy (D)'!$B782,"")</f>
        <v/>
      </c>
      <c r="F782" s="585" t="str">
        <f ca="1">IF(AND(OR('Reconciliation report'!$E$104=RefData!$B$8,'Reconciliation report'!$E$9=RefData!$B$5),'Reconciliation report'!$E$105&lt;&gt;RefData!$B$35),'All Statement of strategy (D)'!$B782,"")</f>
        <v/>
      </c>
      <c r="G782" s="585" t="str">
        <f ca="1">IF(AND(OR('Reconciliation report'!$E$104=RefData!$B$8,'Reconciliation report'!$E$9=RefData!$B$5),'Reconciliation report'!$E$105&lt;&gt;RefData!$B$35),'All Statement of strategy (D)'!$B782,"")</f>
        <v/>
      </c>
      <c r="H782" s="585" t="str">
        <f ca="1">IF(AND(OR('Reconciliation report'!$E$104=RefData!$B$8,'Reconciliation report'!$E$9=RefData!$B$5),'Reconciliation report'!$E$105&lt;&gt;RefData!$B$35),'All Statement of strategy (D)'!$B782,"")</f>
        <v/>
      </c>
      <c r="I782" s="595" t="str">
        <f ca="1">IF($C$1=RefData!$B$418,'All Statement of strategy (D)'!$E782,IF('All Statement of strategy (D)'!$C$1=RefData!$B$419,'All Statement of strategy (D)'!$F782,IF('All Statement of strategy (D)'!$C$1=RefData!$B$420,'All Statement of strategy (D)'!$G782,IF('All Statement of strategy (D)'!$C$1=RefData!$B$421,'All Statement of strategy (D)'!$H782," "))))</f>
        <v xml:space="preserve"> </v>
      </c>
    </row>
    <row r="783" spans="1:9">
      <c r="A783" s="584" t="s">
        <v>2158</v>
      </c>
      <c r="B783" s="621" t="str">
        <f ca="1">TEXT('Reconciliation report'!$E$202,RefData!$B$423)</f>
        <v/>
      </c>
      <c r="E783" s="585" t="str">
        <f ca="1">IF(AND(OR('Reconciliation report'!$E$104=RefData!$B$8,'Reconciliation report'!$E$9=RefData!$B$5),'Reconciliation report'!$E$105&lt;&gt;RefData!$B$35),'All Statement of strategy (D)'!$B783,"")</f>
        <v/>
      </c>
      <c r="F783" s="585" t="str">
        <f ca="1">IF(AND(OR('Reconciliation report'!$E$104=RefData!$B$8,'Reconciliation report'!$E$9=RefData!$B$5),'Reconciliation report'!$E$105&lt;&gt;RefData!$B$35),'All Statement of strategy (D)'!$B783,"")</f>
        <v/>
      </c>
      <c r="G783" s="585" t="str">
        <f ca="1">IF(AND(OR('Reconciliation report'!$E$104=RefData!$B$8,'Reconciliation report'!$E$9=RefData!$B$5),'Reconciliation report'!$E$105&lt;&gt;RefData!$B$35),'All Statement of strategy (D)'!$B783,"")</f>
        <v/>
      </c>
      <c r="H783" s="585" t="str">
        <f ca="1">IF(AND(OR('Reconciliation report'!$E$104=RefData!$B$8,'Reconciliation report'!$E$9=RefData!$B$5),'Reconciliation report'!$E$105&lt;&gt;RefData!$B$35),'All Statement of strategy (D)'!$B783,"")</f>
        <v/>
      </c>
      <c r="I783" s="595" t="str">
        <f ca="1">IF($C$1=RefData!$B$418,'All Statement of strategy (D)'!$E783,IF('All Statement of strategy (D)'!$C$1=RefData!$B$419,'All Statement of strategy (D)'!$F783,IF('All Statement of strategy (D)'!$C$1=RefData!$B$420,'All Statement of strategy (D)'!$G783,IF('All Statement of strategy (D)'!$C$1=RefData!$B$421,'All Statement of strategy (D)'!$H783," "))))</f>
        <v xml:space="preserve"> </v>
      </c>
    </row>
    <row r="784" spans="1:9">
      <c r="A784" s="584" t="s">
        <v>2159</v>
      </c>
      <c r="B784" s="621" t="str">
        <f ca="1">TEXT('Reconciliation report'!$E$203,RefData!$B$423)</f>
        <v/>
      </c>
      <c r="E784" s="585" t="str">
        <f ca="1">IF(AND(OR('Reconciliation report'!$E$104=RefData!$B$8,'Reconciliation report'!$E$9=RefData!$B$5),'Reconciliation report'!$E$105&lt;&gt;RefData!$B$35),'All Statement of strategy (D)'!$B784,"")</f>
        <v/>
      </c>
      <c r="F784" s="585" t="str">
        <f ca="1">IF(AND(OR('Reconciliation report'!$E$104=RefData!$B$8,'Reconciliation report'!$E$9=RefData!$B$5),'Reconciliation report'!$E$105&lt;&gt;RefData!$B$35),'All Statement of strategy (D)'!$B784,"")</f>
        <v/>
      </c>
      <c r="G784" s="585" t="str">
        <f ca="1">IF(AND(OR('Reconciliation report'!$E$104=RefData!$B$8,'Reconciliation report'!$E$9=RefData!$B$5),'Reconciliation report'!$E$105&lt;&gt;RefData!$B$35),'All Statement of strategy (D)'!$B784,"")</f>
        <v/>
      </c>
      <c r="H784" s="585" t="str">
        <f ca="1">IF(AND(OR('Reconciliation report'!$E$104=RefData!$B$8,'Reconciliation report'!$E$9=RefData!$B$5),'Reconciliation report'!$E$105&lt;&gt;RefData!$B$35),'All Statement of strategy (D)'!$B784,"")</f>
        <v/>
      </c>
      <c r="I784" s="595" t="str">
        <f ca="1">IF($C$1=RefData!$B$418,'All Statement of strategy (D)'!$E784,IF('All Statement of strategy (D)'!$C$1=RefData!$B$419,'All Statement of strategy (D)'!$F784,IF('All Statement of strategy (D)'!$C$1=RefData!$B$420,'All Statement of strategy (D)'!$G784,IF('All Statement of strategy (D)'!$C$1=RefData!$B$421,'All Statement of strategy (D)'!$H784," "))))</f>
        <v xml:space="preserve"> </v>
      </c>
    </row>
    <row r="785" spans="1:9">
      <c r="A785" s="584" t="s">
        <v>2160</v>
      </c>
      <c r="B785" s="621" t="str">
        <f ca="1">TEXT('Reconciliation report'!$E$204,RefData!$B$423)</f>
        <v/>
      </c>
      <c r="E785" s="585" t="str">
        <f ca="1">IF(AND(OR('Reconciliation report'!$E$104=RefData!$B$8,'Reconciliation report'!$E$9=RefData!$B$5),'Reconciliation report'!$E$105&lt;&gt;RefData!$B$35),'All Statement of strategy (D)'!$B785,"")</f>
        <v/>
      </c>
      <c r="F785" s="585" t="str">
        <f ca="1">IF(AND(OR('Reconciliation report'!$E$104=RefData!$B$8,'Reconciliation report'!$E$9=RefData!$B$5),'Reconciliation report'!$E$105&lt;&gt;RefData!$B$35),'All Statement of strategy (D)'!$B785,"")</f>
        <v/>
      </c>
      <c r="G785" s="585" t="str">
        <f ca="1">IF(AND(OR('Reconciliation report'!$E$104=RefData!$B$8,'Reconciliation report'!$E$9=RefData!$B$5),'Reconciliation report'!$E$105&lt;&gt;RefData!$B$35),'All Statement of strategy (D)'!$B785,"")</f>
        <v/>
      </c>
      <c r="H785" s="585" t="str">
        <f ca="1">IF(AND(OR('Reconciliation report'!$E$104=RefData!$B$8,'Reconciliation report'!$E$9=RefData!$B$5),'Reconciliation report'!$E$105&lt;&gt;RefData!$B$35),'All Statement of strategy (D)'!$B785,"")</f>
        <v/>
      </c>
      <c r="I785" s="595" t="str">
        <f ca="1">IF($C$1=RefData!$B$418,'All Statement of strategy (D)'!$E785,IF('All Statement of strategy (D)'!$C$1=RefData!$B$419,'All Statement of strategy (D)'!$F785,IF('All Statement of strategy (D)'!$C$1=RefData!$B$420,'All Statement of strategy (D)'!$G785,IF('All Statement of strategy (D)'!$C$1=RefData!$B$421,'All Statement of strategy (D)'!$H785," "))))</f>
        <v xml:space="preserve"> </v>
      </c>
    </row>
    <row r="786" spans="1:9">
      <c r="A786" s="584" t="s">
        <v>2161</v>
      </c>
      <c r="B786" s="621" t="str">
        <f ca="1">TEXT('Reconciliation report'!$E$205,RefData!$B$423)</f>
        <v/>
      </c>
      <c r="E786" s="585" t="str">
        <f ca="1">IF(AND(OR('Reconciliation report'!$E$104=RefData!$B$8,'Reconciliation report'!$E$9=RefData!$B$5),'Reconciliation report'!$E$105&lt;&gt;RefData!$B$35),'All Statement of strategy (D)'!$B786,"")</f>
        <v/>
      </c>
      <c r="F786" s="585" t="str">
        <f ca="1">IF(AND(OR('Reconciliation report'!$E$104=RefData!$B$8,'Reconciliation report'!$E$9=RefData!$B$5),'Reconciliation report'!$E$105&lt;&gt;RefData!$B$35),'All Statement of strategy (D)'!$B786,"")</f>
        <v/>
      </c>
      <c r="G786" s="585" t="str">
        <f ca="1">IF(AND(OR('Reconciliation report'!$E$104=RefData!$B$8,'Reconciliation report'!$E$9=RefData!$B$5),'Reconciliation report'!$E$105&lt;&gt;RefData!$B$35),'All Statement of strategy (D)'!$B786,"")</f>
        <v/>
      </c>
      <c r="H786" s="585" t="str">
        <f ca="1">IF(AND(OR('Reconciliation report'!$E$104=RefData!$B$8,'Reconciliation report'!$E$9=RefData!$B$5),'Reconciliation report'!$E$105&lt;&gt;RefData!$B$35),'All Statement of strategy (D)'!$B786,"")</f>
        <v/>
      </c>
      <c r="I786" s="595" t="str">
        <f ca="1">IF($C$1=RefData!$B$418,'All Statement of strategy (D)'!$E786,IF('All Statement of strategy (D)'!$C$1=RefData!$B$419,'All Statement of strategy (D)'!$F786,IF('All Statement of strategy (D)'!$C$1=RefData!$B$420,'All Statement of strategy (D)'!$G786,IF('All Statement of strategy (D)'!$C$1=RefData!$B$421,'All Statement of strategy (D)'!$H786," "))))</f>
        <v xml:space="preserve"> </v>
      </c>
    </row>
    <row r="787" spans="1:9">
      <c r="A787" s="584" t="s">
        <v>2162</v>
      </c>
      <c r="B787" s="621" t="str">
        <f ca="1">TEXT('Reconciliation report'!$E$206,RefData!$B$423)</f>
        <v/>
      </c>
      <c r="E787" s="585" t="str">
        <f ca="1">IF(AND(OR('Reconciliation report'!$E$104=RefData!$B$8,'Reconciliation report'!$E$9=RefData!$B$5),'Reconciliation report'!$E$105&lt;&gt;RefData!$B$35),'All Statement of strategy (D)'!$B787,"")</f>
        <v/>
      </c>
      <c r="F787" s="585" t="str">
        <f ca="1">IF(AND(OR('Reconciliation report'!$E$104=RefData!$B$8,'Reconciliation report'!$E$9=RefData!$B$5),'Reconciliation report'!$E$105&lt;&gt;RefData!$B$35),'All Statement of strategy (D)'!$B787,"")</f>
        <v/>
      </c>
      <c r="G787" s="585" t="str">
        <f ca="1">IF(AND(OR('Reconciliation report'!$E$104=RefData!$B$8,'Reconciliation report'!$E$9=RefData!$B$5),'Reconciliation report'!$E$105&lt;&gt;RefData!$B$35),'All Statement of strategy (D)'!$B787,"")</f>
        <v/>
      </c>
      <c r="H787" s="585" t="str">
        <f ca="1">IF(AND(OR('Reconciliation report'!$E$104=RefData!$B$8,'Reconciliation report'!$E$9=RefData!$B$5),'Reconciliation report'!$E$105&lt;&gt;RefData!$B$35),'All Statement of strategy (D)'!$B787,"")</f>
        <v/>
      </c>
      <c r="I787" s="595" t="str">
        <f ca="1">IF($C$1=RefData!$B$418,'All Statement of strategy (D)'!$E787,IF('All Statement of strategy (D)'!$C$1=RefData!$B$419,'All Statement of strategy (D)'!$F787,IF('All Statement of strategy (D)'!$C$1=RefData!$B$420,'All Statement of strategy (D)'!$G787,IF('All Statement of strategy (D)'!$C$1=RefData!$B$421,'All Statement of strategy (D)'!$H787," "))))</f>
        <v xml:space="preserve"> </v>
      </c>
    </row>
    <row r="788" spans="1:9">
      <c r="A788" s="584" t="s">
        <v>2163</v>
      </c>
      <c r="B788" s="621" t="str">
        <f ca="1">TEXT('Reconciliation report'!$E$207,RefData!$B$423)</f>
        <v/>
      </c>
      <c r="E788" s="585" t="str">
        <f ca="1">IF(AND(OR('Reconciliation report'!$E$104=RefData!$B$8,'Reconciliation report'!$E$9=RefData!$B$5),'Reconciliation report'!$E$105&lt;&gt;RefData!$B$35),'All Statement of strategy (D)'!$B788,"")</f>
        <v/>
      </c>
      <c r="F788" s="585" t="str">
        <f ca="1">IF(AND(OR('Reconciliation report'!$E$104=RefData!$B$8,'Reconciliation report'!$E$9=RefData!$B$5),'Reconciliation report'!$E$105&lt;&gt;RefData!$B$35),'All Statement of strategy (D)'!$B788,"")</f>
        <v/>
      </c>
      <c r="G788" s="585" t="str">
        <f ca="1">IF(AND(OR('Reconciliation report'!$E$104=RefData!$B$8,'Reconciliation report'!$E$9=RefData!$B$5),'Reconciliation report'!$E$105&lt;&gt;RefData!$B$35),'All Statement of strategy (D)'!$B788,"")</f>
        <v/>
      </c>
      <c r="H788" s="585" t="str">
        <f ca="1">IF(AND(OR('Reconciliation report'!$E$104=RefData!$B$8,'Reconciliation report'!$E$9=RefData!$B$5),'Reconciliation report'!$E$105&lt;&gt;RefData!$B$35),'All Statement of strategy (D)'!$B788,"")</f>
        <v/>
      </c>
      <c r="I788" s="595" t="str">
        <f ca="1">IF($C$1=RefData!$B$418,'All Statement of strategy (D)'!$E788,IF('All Statement of strategy (D)'!$C$1=RefData!$B$419,'All Statement of strategy (D)'!$F788,IF('All Statement of strategy (D)'!$C$1=RefData!$B$420,'All Statement of strategy (D)'!$G788,IF('All Statement of strategy (D)'!$C$1=RefData!$B$421,'All Statement of strategy (D)'!$H788," "))))</f>
        <v xml:space="preserve"> </v>
      </c>
    </row>
    <row r="789" spans="1:9">
      <c r="A789" s="584" t="s">
        <v>2164</v>
      </c>
      <c r="B789" s="621" t="str">
        <f ca="1">TEXT('Reconciliation report'!$E$208,RefData!$B$423)</f>
        <v/>
      </c>
      <c r="E789" s="585" t="str">
        <f ca="1">IF(AND(OR('Reconciliation report'!$E$104=RefData!$B$8,'Reconciliation report'!$E$9=RefData!$B$5),'Reconciliation report'!$E$105&lt;&gt;RefData!$B$35),'All Statement of strategy (D)'!$B789,"")</f>
        <v/>
      </c>
      <c r="F789" s="585" t="str">
        <f ca="1">IF(AND(OR('Reconciliation report'!$E$104=RefData!$B$8,'Reconciliation report'!$E$9=RefData!$B$5),'Reconciliation report'!$E$105&lt;&gt;RefData!$B$35),'All Statement of strategy (D)'!$B789,"")</f>
        <v/>
      </c>
      <c r="G789" s="585" t="str">
        <f ca="1">IF(AND(OR('Reconciliation report'!$E$104=RefData!$B$8,'Reconciliation report'!$E$9=RefData!$B$5),'Reconciliation report'!$E$105&lt;&gt;RefData!$B$35),'All Statement of strategy (D)'!$B789,"")</f>
        <v/>
      </c>
      <c r="H789" s="585" t="str">
        <f ca="1">IF(AND(OR('Reconciliation report'!$E$104=RefData!$B$8,'Reconciliation report'!$E$9=RefData!$B$5),'Reconciliation report'!$E$105&lt;&gt;RefData!$B$35),'All Statement of strategy (D)'!$B789,"")</f>
        <v/>
      </c>
      <c r="I789" s="595" t="str">
        <f ca="1">IF($C$1=RefData!$B$418,'All Statement of strategy (D)'!$E789,IF('All Statement of strategy (D)'!$C$1=RefData!$B$419,'All Statement of strategy (D)'!$F789,IF('All Statement of strategy (D)'!$C$1=RefData!$B$420,'All Statement of strategy (D)'!$G789,IF('All Statement of strategy (D)'!$C$1=RefData!$B$421,'All Statement of strategy (D)'!$H789," "))))</f>
        <v xml:space="preserve"> </v>
      </c>
    </row>
    <row r="790" spans="1:9">
      <c r="A790" s="584" t="s">
        <v>2165</v>
      </c>
      <c r="B790" s="621" t="str">
        <f ca="1">TEXT('Reconciliation report'!$E$209,RefData!$B$423)</f>
        <v/>
      </c>
      <c r="E790" s="585" t="str">
        <f ca="1">IF(AND(OR('Reconciliation report'!$E$104=RefData!$B$8,'Reconciliation report'!$E$9=RefData!$B$5),'Reconciliation report'!$E$105&lt;&gt;RefData!$B$35),'All Statement of strategy (D)'!$B790,"")</f>
        <v/>
      </c>
      <c r="F790" s="585" t="str">
        <f ca="1">IF(AND(OR('Reconciliation report'!$E$104=RefData!$B$8,'Reconciliation report'!$E$9=RefData!$B$5),'Reconciliation report'!$E$105&lt;&gt;RefData!$B$35),'All Statement of strategy (D)'!$B790,"")</f>
        <v/>
      </c>
      <c r="G790" s="585" t="str">
        <f ca="1">IF(AND(OR('Reconciliation report'!$E$104=RefData!$B$8,'Reconciliation report'!$E$9=RefData!$B$5),'Reconciliation report'!$E$105&lt;&gt;RefData!$B$35),'All Statement of strategy (D)'!$B790,"")</f>
        <v/>
      </c>
      <c r="H790" s="585" t="str">
        <f ca="1">IF(AND(OR('Reconciliation report'!$E$104=RefData!$B$8,'Reconciliation report'!$E$9=RefData!$B$5),'Reconciliation report'!$E$105&lt;&gt;RefData!$B$35),'All Statement of strategy (D)'!$B790,"")</f>
        <v/>
      </c>
      <c r="I790" s="595" t="str">
        <f ca="1">IF($C$1=RefData!$B$418,'All Statement of strategy (D)'!$E790,IF('All Statement of strategy (D)'!$C$1=RefData!$B$419,'All Statement of strategy (D)'!$F790,IF('All Statement of strategy (D)'!$C$1=RefData!$B$420,'All Statement of strategy (D)'!$G790,IF('All Statement of strategy (D)'!$C$1=RefData!$B$421,'All Statement of strategy (D)'!$H790," "))))</f>
        <v xml:space="preserve"> </v>
      </c>
    </row>
    <row r="791" spans="1:9">
      <c r="A791" s="584" t="s">
        <v>2166</v>
      </c>
      <c r="B791" s="621" t="str">
        <f ca="1">TEXT('Reconciliation report'!$E$210,RefData!$B$423)</f>
        <v/>
      </c>
      <c r="E791" s="585" t="str">
        <f ca="1">IF(AND(OR('Reconciliation report'!$E$104=RefData!$B$8,'Reconciliation report'!$E$9=RefData!$B$5),'Reconciliation report'!$E$105&lt;&gt;RefData!$B$35),'All Statement of strategy (D)'!$B791,"")</f>
        <v/>
      </c>
      <c r="F791" s="585" t="str">
        <f ca="1">IF(AND(OR('Reconciliation report'!$E$104=RefData!$B$8,'Reconciliation report'!$E$9=RefData!$B$5),'Reconciliation report'!$E$105&lt;&gt;RefData!$B$35),'All Statement of strategy (D)'!$B791,"")</f>
        <v/>
      </c>
      <c r="G791" s="585" t="str">
        <f ca="1">IF(AND(OR('Reconciliation report'!$E$104=RefData!$B$8,'Reconciliation report'!$E$9=RefData!$B$5),'Reconciliation report'!$E$105&lt;&gt;RefData!$B$35),'All Statement of strategy (D)'!$B791,"")</f>
        <v/>
      </c>
      <c r="H791" s="585" t="str">
        <f ca="1">IF(AND(OR('Reconciliation report'!$E$104=RefData!$B$8,'Reconciliation report'!$E$9=RefData!$B$5),'Reconciliation report'!$E$105&lt;&gt;RefData!$B$35),'All Statement of strategy (D)'!$B791,"")</f>
        <v/>
      </c>
      <c r="I791" s="595" t="str">
        <f ca="1">IF($C$1=RefData!$B$418,'All Statement of strategy (D)'!$E791,IF('All Statement of strategy (D)'!$C$1=RefData!$B$419,'All Statement of strategy (D)'!$F791,IF('All Statement of strategy (D)'!$C$1=RefData!$B$420,'All Statement of strategy (D)'!$G791,IF('All Statement of strategy (D)'!$C$1=RefData!$B$421,'All Statement of strategy (D)'!$H791," "))))</f>
        <v xml:space="preserve"> </v>
      </c>
    </row>
    <row r="792" spans="1:9">
      <c r="A792" s="584" t="s">
        <v>2167</v>
      </c>
      <c r="B792" s="621" t="str">
        <f ca="1">TEXT('Reconciliation report'!$E$211,RefData!$B$423)</f>
        <v/>
      </c>
      <c r="E792" s="585" t="str">
        <f ca="1">IF(AND(OR('Reconciliation report'!$E$104=RefData!$B$8,'Reconciliation report'!$E$9=RefData!$B$5),'Reconciliation report'!$E$105&lt;&gt;RefData!$B$35),'All Statement of strategy (D)'!$B792,"")</f>
        <v/>
      </c>
      <c r="F792" s="585" t="str">
        <f ca="1">IF(AND(OR('Reconciliation report'!$E$104=RefData!$B$8,'Reconciliation report'!$E$9=RefData!$B$5),'Reconciliation report'!$E$105&lt;&gt;RefData!$B$35),'All Statement of strategy (D)'!$B792,"")</f>
        <v/>
      </c>
      <c r="G792" s="585" t="str">
        <f ca="1">IF(AND(OR('Reconciliation report'!$E$104=RefData!$B$8,'Reconciliation report'!$E$9=RefData!$B$5),'Reconciliation report'!$E$105&lt;&gt;RefData!$B$35),'All Statement of strategy (D)'!$B792,"")</f>
        <v/>
      </c>
      <c r="H792" s="585" t="str">
        <f ca="1">IF(AND(OR('Reconciliation report'!$E$104=RefData!$B$8,'Reconciliation report'!$E$9=RefData!$B$5),'Reconciliation report'!$E$105&lt;&gt;RefData!$B$35),'All Statement of strategy (D)'!$B792,"")</f>
        <v/>
      </c>
      <c r="I792" s="595" t="str">
        <f ca="1">IF($C$1=RefData!$B$418,'All Statement of strategy (D)'!$E792,IF('All Statement of strategy (D)'!$C$1=RefData!$B$419,'All Statement of strategy (D)'!$F792,IF('All Statement of strategy (D)'!$C$1=RefData!$B$420,'All Statement of strategy (D)'!$G792,IF('All Statement of strategy (D)'!$C$1=RefData!$B$421,'All Statement of strategy (D)'!$H792," "))))</f>
        <v xml:space="preserve"> </v>
      </c>
    </row>
    <row r="793" spans="1:9">
      <c r="A793" s="584" t="s">
        <v>2168</v>
      </c>
      <c r="B793" s="621" t="str">
        <f ca="1">TEXT('Reconciliation report'!$E$212,RefData!$B$423)</f>
        <v/>
      </c>
      <c r="E793" s="585" t="str">
        <f ca="1">IF(AND(OR('Reconciliation report'!$E$104=RefData!$B$8,'Reconciliation report'!$E$9=RefData!$B$5),'Reconciliation report'!$E$105&lt;&gt;RefData!$B$35),'All Statement of strategy (D)'!$B793,"")</f>
        <v/>
      </c>
      <c r="F793" s="585" t="str">
        <f ca="1">IF(AND(OR('Reconciliation report'!$E$104=RefData!$B$8,'Reconciliation report'!$E$9=RefData!$B$5),'Reconciliation report'!$E$105&lt;&gt;RefData!$B$35),'All Statement of strategy (D)'!$B793,"")</f>
        <v/>
      </c>
      <c r="G793" s="585" t="str">
        <f ca="1">IF(AND(OR('Reconciliation report'!$E$104=RefData!$B$8,'Reconciliation report'!$E$9=RefData!$B$5),'Reconciliation report'!$E$105&lt;&gt;RefData!$B$35),'All Statement of strategy (D)'!$B793,"")</f>
        <v/>
      </c>
      <c r="H793" s="585" t="str">
        <f ca="1">IF(AND(OR('Reconciliation report'!$E$104=RefData!$B$8,'Reconciliation report'!$E$9=RefData!$B$5),'Reconciliation report'!$E$105&lt;&gt;RefData!$B$35),'All Statement of strategy (D)'!$B793,"")</f>
        <v/>
      </c>
      <c r="I793" s="595" t="str">
        <f ca="1">IF($C$1=RefData!$B$418,'All Statement of strategy (D)'!$E793,IF('All Statement of strategy (D)'!$C$1=RefData!$B$419,'All Statement of strategy (D)'!$F793,IF('All Statement of strategy (D)'!$C$1=RefData!$B$420,'All Statement of strategy (D)'!$G793,IF('All Statement of strategy (D)'!$C$1=RefData!$B$421,'All Statement of strategy (D)'!$H793," "))))</f>
        <v xml:space="preserve"> </v>
      </c>
    </row>
    <row r="794" spans="1:9">
      <c r="A794" s="584" t="s">
        <v>2169</v>
      </c>
      <c r="B794" s="621" t="str">
        <f ca="1">TEXT('Reconciliation report'!$E$213,RefData!$B$423)</f>
        <v/>
      </c>
      <c r="E794" s="585" t="str">
        <f ca="1">IF(AND(OR('Reconciliation report'!$E$104=RefData!$B$8,'Reconciliation report'!$E$9=RefData!$B$5),'Reconciliation report'!$E$105&lt;&gt;RefData!$B$35),'All Statement of strategy (D)'!$B794,"")</f>
        <v/>
      </c>
      <c r="F794" s="585" t="str">
        <f ca="1">IF(AND(OR('Reconciliation report'!$E$104=RefData!$B$8,'Reconciliation report'!$E$9=RefData!$B$5),'Reconciliation report'!$E$105&lt;&gt;RefData!$B$35),'All Statement of strategy (D)'!$B794,"")</f>
        <v/>
      </c>
      <c r="G794" s="585" t="str">
        <f ca="1">IF(AND(OR('Reconciliation report'!$E$104=RefData!$B$8,'Reconciliation report'!$E$9=RefData!$B$5),'Reconciliation report'!$E$105&lt;&gt;RefData!$B$35),'All Statement of strategy (D)'!$B794,"")</f>
        <v/>
      </c>
      <c r="H794" s="585" t="str">
        <f ca="1">IF(AND(OR('Reconciliation report'!$E$104=RefData!$B$8,'Reconciliation report'!$E$9=RefData!$B$5),'Reconciliation report'!$E$105&lt;&gt;RefData!$B$35),'All Statement of strategy (D)'!$B794,"")</f>
        <v/>
      </c>
      <c r="I794" s="595" t="str">
        <f ca="1">IF($C$1=RefData!$B$418,'All Statement of strategy (D)'!$E794,IF('All Statement of strategy (D)'!$C$1=RefData!$B$419,'All Statement of strategy (D)'!$F794,IF('All Statement of strategy (D)'!$C$1=RefData!$B$420,'All Statement of strategy (D)'!$G794,IF('All Statement of strategy (D)'!$C$1=RefData!$B$421,'All Statement of strategy (D)'!$H794," "))))</f>
        <v xml:space="preserve"> </v>
      </c>
    </row>
    <row r="795" spans="1:9">
      <c r="A795" s="584" t="s">
        <v>2170</v>
      </c>
      <c r="B795" s="621" t="str">
        <f ca="1">TEXT('Reconciliation report'!$E$214,RefData!$B$423)</f>
        <v/>
      </c>
      <c r="E795" s="585" t="str">
        <f ca="1">IF(AND(OR('Reconciliation report'!$E$104=RefData!$B$8,'Reconciliation report'!$E$9=RefData!$B$5),'Reconciliation report'!$E$105&lt;&gt;RefData!$B$35),'All Statement of strategy (D)'!$B795,"")</f>
        <v/>
      </c>
      <c r="F795" s="585" t="str">
        <f ca="1">IF(AND(OR('Reconciliation report'!$E$104=RefData!$B$8,'Reconciliation report'!$E$9=RefData!$B$5),'Reconciliation report'!$E$105&lt;&gt;RefData!$B$35),'All Statement of strategy (D)'!$B795,"")</f>
        <v/>
      </c>
      <c r="G795" s="585" t="str">
        <f ca="1">IF(AND(OR('Reconciliation report'!$E$104=RefData!$B$8,'Reconciliation report'!$E$9=RefData!$B$5),'Reconciliation report'!$E$105&lt;&gt;RefData!$B$35),'All Statement of strategy (D)'!$B795,"")</f>
        <v/>
      </c>
      <c r="H795" s="585" t="str">
        <f ca="1">IF(AND(OR('Reconciliation report'!$E$104=RefData!$B$8,'Reconciliation report'!$E$9=RefData!$B$5),'Reconciliation report'!$E$105&lt;&gt;RefData!$B$35),'All Statement of strategy (D)'!$B795,"")</f>
        <v/>
      </c>
      <c r="I795" s="595" t="str">
        <f ca="1">IF($C$1=RefData!$B$418,'All Statement of strategy (D)'!$E795,IF('All Statement of strategy (D)'!$C$1=RefData!$B$419,'All Statement of strategy (D)'!$F795,IF('All Statement of strategy (D)'!$C$1=RefData!$B$420,'All Statement of strategy (D)'!$G795,IF('All Statement of strategy (D)'!$C$1=RefData!$B$421,'All Statement of strategy (D)'!$H795," "))))</f>
        <v xml:space="preserve"> </v>
      </c>
    </row>
    <row r="796" spans="1:9">
      <c r="A796" s="584" t="s">
        <v>2171</v>
      </c>
      <c r="B796" s="621" t="str">
        <f ca="1">TEXT('Reconciliation report'!$E$215,RefData!$B$423)</f>
        <v/>
      </c>
      <c r="E796" s="585" t="str">
        <f ca="1">IF(AND(OR('Reconciliation report'!$E$104=RefData!$B$8,'Reconciliation report'!$E$9=RefData!$B$5),'Reconciliation report'!$E$105&lt;&gt;RefData!$B$35),'All Statement of strategy (D)'!$B796,"")</f>
        <v/>
      </c>
      <c r="F796" s="585" t="str">
        <f ca="1">IF(AND(OR('Reconciliation report'!$E$104=RefData!$B$8,'Reconciliation report'!$E$9=RefData!$B$5),'Reconciliation report'!$E$105&lt;&gt;RefData!$B$35),'All Statement of strategy (D)'!$B796,"")</f>
        <v/>
      </c>
      <c r="G796" s="585" t="str">
        <f ca="1">IF(AND(OR('Reconciliation report'!$E$104=RefData!$B$8,'Reconciliation report'!$E$9=RefData!$B$5),'Reconciliation report'!$E$105&lt;&gt;RefData!$B$35),'All Statement of strategy (D)'!$B796,"")</f>
        <v/>
      </c>
      <c r="H796" s="585" t="str">
        <f ca="1">IF(AND(OR('Reconciliation report'!$E$104=RefData!$B$8,'Reconciliation report'!$E$9=RefData!$B$5),'Reconciliation report'!$E$105&lt;&gt;RefData!$B$35),'All Statement of strategy (D)'!$B796,"")</f>
        <v/>
      </c>
      <c r="I796" s="595" t="str">
        <f ca="1">IF($C$1=RefData!$B$418,'All Statement of strategy (D)'!$E796,IF('All Statement of strategy (D)'!$C$1=RefData!$B$419,'All Statement of strategy (D)'!$F796,IF('All Statement of strategy (D)'!$C$1=RefData!$B$420,'All Statement of strategy (D)'!$G796,IF('All Statement of strategy (D)'!$C$1=RefData!$B$421,'All Statement of strategy (D)'!$H796," "))))</f>
        <v xml:space="preserve"> </v>
      </c>
    </row>
    <row r="797" spans="1:9">
      <c r="A797" s="584" t="s">
        <v>2172</v>
      </c>
      <c r="B797" s="621" t="str">
        <f ca="1">TEXT('Reconciliation report'!$E$216,RefData!$B$423)</f>
        <v/>
      </c>
      <c r="E797" s="585" t="str">
        <f ca="1">IF(AND(OR('Reconciliation report'!$E$104=RefData!$B$8,'Reconciliation report'!$E$9=RefData!$B$5),'Reconciliation report'!$E$105&lt;&gt;RefData!$B$35),'All Statement of strategy (D)'!$B797,"")</f>
        <v/>
      </c>
      <c r="F797" s="585" t="str">
        <f ca="1">IF(AND(OR('Reconciliation report'!$E$104=RefData!$B$8,'Reconciliation report'!$E$9=RefData!$B$5),'Reconciliation report'!$E$105&lt;&gt;RefData!$B$35),'All Statement of strategy (D)'!$B797,"")</f>
        <v/>
      </c>
      <c r="G797" s="585" t="str">
        <f ca="1">IF(AND(OR('Reconciliation report'!$E$104=RefData!$B$8,'Reconciliation report'!$E$9=RefData!$B$5),'Reconciliation report'!$E$105&lt;&gt;RefData!$B$35),'All Statement of strategy (D)'!$B797,"")</f>
        <v/>
      </c>
      <c r="H797" s="585" t="str">
        <f ca="1">IF(AND(OR('Reconciliation report'!$E$104=RefData!$B$8,'Reconciliation report'!$E$9=RefData!$B$5),'Reconciliation report'!$E$105&lt;&gt;RefData!$B$35),'All Statement of strategy (D)'!$B797,"")</f>
        <v/>
      </c>
      <c r="I797" s="595" t="str">
        <f ca="1">IF($C$1=RefData!$B$418,'All Statement of strategy (D)'!$E797,IF('All Statement of strategy (D)'!$C$1=RefData!$B$419,'All Statement of strategy (D)'!$F797,IF('All Statement of strategy (D)'!$C$1=RefData!$B$420,'All Statement of strategy (D)'!$G797,IF('All Statement of strategy (D)'!$C$1=RefData!$B$421,'All Statement of strategy (D)'!$H797," "))))</f>
        <v xml:space="preserve"> </v>
      </c>
    </row>
    <row r="798" spans="1:9">
      <c r="A798" s="584" t="s">
        <v>2173</v>
      </c>
      <c r="B798" s="621" t="str">
        <f ca="1">TEXT('Reconciliation report'!$E$217,RefData!$B$423)</f>
        <v/>
      </c>
      <c r="E798" s="585" t="str">
        <f ca="1">IF(AND(OR('Reconciliation report'!$E$104=RefData!$B$8,'Reconciliation report'!$E$9=RefData!$B$5),'Reconciliation report'!$E$105&lt;&gt;RefData!$B$35),'All Statement of strategy (D)'!$B798,"")</f>
        <v/>
      </c>
      <c r="F798" s="585" t="str">
        <f ca="1">IF(AND(OR('Reconciliation report'!$E$104=RefData!$B$8,'Reconciliation report'!$E$9=RefData!$B$5),'Reconciliation report'!$E$105&lt;&gt;RefData!$B$35),'All Statement of strategy (D)'!$B798,"")</f>
        <v/>
      </c>
      <c r="G798" s="585" t="str">
        <f ca="1">IF(AND(OR('Reconciliation report'!$E$104=RefData!$B$8,'Reconciliation report'!$E$9=RefData!$B$5),'Reconciliation report'!$E$105&lt;&gt;RefData!$B$35),'All Statement of strategy (D)'!$B798,"")</f>
        <v/>
      </c>
      <c r="H798" s="585" t="str">
        <f ca="1">IF(AND(OR('Reconciliation report'!$E$104=RefData!$B$8,'Reconciliation report'!$E$9=RefData!$B$5),'Reconciliation report'!$E$105&lt;&gt;RefData!$B$35),'All Statement of strategy (D)'!$B798,"")</f>
        <v/>
      </c>
      <c r="I798" s="595" t="str">
        <f ca="1">IF($C$1=RefData!$B$418,'All Statement of strategy (D)'!$E798,IF('All Statement of strategy (D)'!$C$1=RefData!$B$419,'All Statement of strategy (D)'!$F798,IF('All Statement of strategy (D)'!$C$1=RefData!$B$420,'All Statement of strategy (D)'!$G798,IF('All Statement of strategy (D)'!$C$1=RefData!$B$421,'All Statement of strategy (D)'!$H798," "))))</f>
        <v xml:space="preserve"> </v>
      </c>
    </row>
    <row r="799" spans="1:9">
      <c r="A799" s="584" t="s">
        <v>2174</v>
      </c>
      <c r="B799" s="621" t="str">
        <f ca="1">TEXT('Reconciliation report'!$E$218,RefData!$B$423)</f>
        <v/>
      </c>
      <c r="E799" s="585" t="str">
        <f ca="1">IF(AND(OR('Reconciliation report'!$E$104=RefData!$B$8,'Reconciliation report'!$E$9=RefData!$B$5),'Reconciliation report'!$E$105&lt;&gt;RefData!$B$35),'All Statement of strategy (D)'!$B799,"")</f>
        <v/>
      </c>
      <c r="F799" s="585" t="str">
        <f ca="1">IF(AND(OR('Reconciliation report'!$E$104=RefData!$B$8,'Reconciliation report'!$E$9=RefData!$B$5),'Reconciliation report'!$E$105&lt;&gt;RefData!$B$35),'All Statement of strategy (D)'!$B799,"")</f>
        <v/>
      </c>
      <c r="G799" s="585" t="str">
        <f ca="1">IF(AND(OR('Reconciliation report'!$E$104=RefData!$B$8,'Reconciliation report'!$E$9=RefData!$B$5),'Reconciliation report'!$E$105&lt;&gt;RefData!$B$35),'All Statement of strategy (D)'!$B799,"")</f>
        <v/>
      </c>
      <c r="H799" s="585" t="str">
        <f ca="1">IF(AND(OR('Reconciliation report'!$E$104=RefData!$B$8,'Reconciliation report'!$E$9=RefData!$B$5),'Reconciliation report'!$E$105&lt;&gt;RefData!$B$35),'All Statement of strategy (D)'!$B799,"")</f>
        <v/>
      </c>
      <c r="I799" s="595" t="str">
        <f ca="1">IF($C$1=RefData!$B$418,'All Statement of strategy (D)'!$E799,IF('All Statement of strategy (D)'!$C$1=RefData!$B$419,'All Statement of strategy (D)'!$F799,IF('All Statement of strategy (D)'!$C$1=RefData!$B$420,'All Statement of strategy (D)'!$G799,IF('All Statement of strategy (D)'!$C$1=RefData!$B$421,'All Statement of strategy (D)'!$H799," "))))</f>
        <v xml:space="preserve"> </v>
      </c>
    </row>
    <row r="800" spans="1:9">
      <c r="A800" s="584" t="s">
        <v>2175</v>
      </c>
      <c r="B800" s="621" t="str">
        <f ca="1">TEXT('Reconciliation report'!$E$219,RefData!$B$423)</f>
        <v/>
      </c>
      <c r="E800" s="585" t="str">
        <f ca="1">IF(AND(OR('Reconciliation report'!$E$104=RefData!$B$8,'Reconciliation report'!$E$9=RefData!$B$5),'Reconciliation report'!$E$105&lt;&gt;RefData!$B$35),'All Statement of strategy (D)'!$B800,"")</f>
        <v/>
      </c>
      <c r="F800" s="585" t="str">
        <f ca="1">IF(AND(OR('Reconciliation report'!$E$104=RefData!$B$8,'Reconciliation report'!$E$9=RefData!$B$5),'Reconciliation report'!$E$105&lt;&gt;RefData!$B$35),'All Statement of strategy (D)'!$B800,"")</f>
        <v/>
      </c>
      <c r="G800" s="585" t="str">
        <f ca="1">IF(AND(OR('Reconciliation report'!$E$104=RefData!$B$8,'Reconciliation report'!$E$9=RefData!$B$5),'Reconciliation report'!$E$105&lt;&gt;RefData!$B$35),'All Statement of strategy (D)'!$B800,"")</f>
        <v/>
      </c>
      <c r="H800" s="585" t="str">
        <f ca="1">IF(AND(OR('Reconciliation report'!$E$104=RefData!$B$8,'Reconciliation report'!$E$9=RefData!$B$5),'Reconciliation report'!$E$105&lt;&gt;RefData!$B$35),'All Statement of strategy (D)'!$B800,"")</f>
        <v/>
      </c>
      <c r="I800" s="595" t="str">
        <f ca="1">IF($C$1=RefData!$B$418,'All Statement of strategy (D)'!$E800,IF('All Statement of strategy (D)'!$C$1=RefData!$B$419,'All Statement of strategy (D)'!$F800,IF('All Statement of strategy (D)'!$C$1=RefData!$B$420,'All Statement of strategy (D)'!$G800,IF('All Statement of strategy (D)'!$C$1=RefData!$B$421,'All Statement of strategy (D)'!$H800," "))))</f>
        <v xml:space="preserve"> </v>
      </c>
    </row>
    <row r="801" spans="1:9">
      <c r="A801" s="584" t="s">
        <v>2176</v>
      </c>
      <c r="B801" s="621" t="str">
        <f ca="1">TEXT('Reconciliation report'!$E$220,RefData!$B$423)</f>
        <v/>
      </c>
      <c r="E801" s="585" t="str">
        <f ca="1">IF(AND(OR('Reconciliation report'!$E$104=RefData!$B$8,'Reconciliation report'!$E$9=RefData!$B$5),'Reconciliation report'!$E$105&lt;&gt;RefData!$B$35),'All Statement of strategy (D)'!$B801,"")</f>
        <v/>
      </c>
      <c r="F801" s="585" t="str">
        <f ca="1">IF(AND(OR('Reconciliation report'!$E$104=RefData!$B$8,'Reconciliation report'!$E$9=RefData!$B$5),'Reconciliation report'!$E$105&lt;&gt;RefData!$B$35),'All Statement of strategy (D)'!$B801,"")</f>
        <v/>
      </c>
      <c r="G801" s="585" t="str">
        <f ca="1">IF(AND(OR('Reconciliation report'!$E$104=RefData!$B$8,'Reconciliation report'!$E$9=RefData!$B$5),'Reconciliation report'!$E$105&lt;&gt;RefData!$B$35),'All Statement of strategy (D)'!$B801,"")</f>
        <v/>
      </c>
      <c r="H801" s="585" t="str">
        <f ca="1">IF(AND(OR('Reconciliation report'!$E$104=RefData!$B$8,'Reconciliation report'!$E$9=RefData!$B$5),'Reconciliation report'!$E$105&lt;&gt;RefData!$B$35),'All Statement of strategy (D)'!$B801,"")</f>
        <v/>
      </c>
      <c r="I801" s="595" t="str">
        <f ca="1">IF($C$1=RefData!$B$418,'All Statement of strategy (D)'!$E801,IF('All Statement of strategy (D)'!$C$1=RefData!$B$419,'All Statement of strategy (D)'!$F801,IF('All Statement of strategy (D)'!$C$1=RefData!$B$420,'All Statement of strategy (D)'!$G801,IF('All Statement of strategy (D)'!$C$1=RefData!$B$421,'All Statement of strategy (D)'!$H801," "))))</f>
        <v xml:space="preserve"> </v>
      </c>
    </row>
    <row r="802" spans="1:9">
      <c r="A802" s="584" t="s">
        <v>2177</v>
      </c>
      <c r="B802" s="621" t="str">
        <f ca="1">TEXT('Reconciliation report'!$E$221,RefData!$B$423)</f>
        <v/>
      </c>
      <c r="E802" s="585" t="str">
        <f ca="1">IF(AND(OR('Reconciliation report'!$E$104=RefData!$B$8,'Reconciliation report'!$E$9=RefData!$B$5),'Reconciliation report'!$E$105&lt;&gt;RefData!$B$35),'All Statement of strategy (D)'!$B802,"")</f>
        <v/>
      </c>
      <c r="F802" s="585" t="str">
        <f ca="1">IF(AND(OR('Reconciliation report'!$E$104=RefData!$B$8,'Reconciliation report'!$E$9=RefData!$B$5),'Reconciliation report'!$E$105&lt;&gt;RefData!$B$35),'All Statement of strategy (D)'!$B802,"")</f>
        <v/>
      </c>
      <c r="G802" s="585" t="str">
        <f ca="1">IF(AND(OR('Reconciliation report'!$E$104=RefData!$B$8,'Reconciliation report'!$E$9=RefData!$B$5),'Reconciliation report'!$E$105&lt;&gt;RefData!$B$35),'All Statement of strategy (D)'!$B802,"")</f>
        <v/>
      </c>
      <c r="H802" s="585" t="str">
        <f ca="1">IF(AND(OR('Reconciliation report'!$E$104=RefData!$B$8,'Reconciliation report'!$E$9=RefData!$B$5),'Reconciliation report'!$E$105&lt;&gt;RefData!$B$35),'All Statement of strategy (D)'!$B802,"")</f>
        <v/>
      </c>
      <c r="I802" s="595" t="str">
        <f ca="1">IF($C$1=RefData!$B$418,'All Statement of strategy (D)'!$E802,IF('All Statement of strategy (D)'!$C$1=RefData!$B$419,'All Statement of strategy (D)'!$F802,IF('All Statement of strategy (D)'!$C$1=RefData!$B$420,'All Statement of strategy (D)'!$G802,IF('All Statement of strategy (D)'!$C$1=RefData!$B$421,'All Statement of strategy (D)'!$H802," "))))</f>
        <v xml:space="preserve"> </v>
      </c>
    </row>
    <row r="803" spans="1:9">
      <c r="A803" s="584" t="s">
        <v>2178</v>
      </c>
      <c r="B803" s="621" t="str">
        <f ca="1">TEXT('Reconciliation report'!$E$222,RefData!$B$423)</f>
        <v/>
      </c>
      <c r="E803" s="585" t="str">
        <f ca="1">IF(AND(OR('Reconciliation report'!$E$104=RefData!$B$8,'Reconciliation report'!$E$9=RefData!$B$5),'Reconciliation report'!$E$105&lt;&gt;RefData!$B$35),'All Statement of strategy (D)'!$B803,"")</f>
        <v/>
      </c>
      <c r="F803" s="585" t="str">
        <f ca="1">IF(AND(OR('Reconciliation report'!$E$104=RefData!$B$8,'Reconciliation report'!$E$9=RefData!$B$5),'Reconciliation report'!$E$105&lt;&gt;RefData!$B$35),'All Statement of strategy (D)'!$B803,"")</f>
        <v/>
      </c>
      <c r="G803" s="585" t="str">
        <f ca="1">IF(AND(OR('Reconciliation report'!$E$104=RefData!$B$8,'Reconciliation report'!$E$9=RefData!$B$5),'Reconciliation report'!$E$105&lt;&gt;RefData!$B$35),'All Statement of strategy (D)'!$B803,"")</f>
        <v/>
      </c>
      <c r="H803" s="585" t="str">
        <f ca="1">IF(AND(OR('Reconciliation report'!$E$104=RefData!$B$8,'Reconciliation report'!$E$9=RefData!$B$5),'Reconciliation report'!$E$105&lt;&gt;RefData!$B$35),'All Statement of strategy (D)'!$B803,"")</f>
        <v/>
      </c>
      <c r="I803" s="595" t="str">
        <f ca="1">IF($C$1=RefData!$B$418,'All Statement of strategy (D)'!$E803,IF('All Statement of strategy (D)'!$C$1=RefData!$B$419,'All Statement of strategy (D)'!$F803,IF('All Statement of strategy (D)'!$C$1=RefData!$B$420,'All Statement of strategy (D)'!$G803,IF('All Statement of strategy (D)'!$C$1=RefData!$B$421,'All Statement of strategy (D)'!$H803," "))))</f>
        <v xml:space="preserve"> </v>
      </c>
    </row>
    <row r="804" spans="1:9">
      <c r="A804" s="584" t="s">
        <v>2179</v>
      </c>
      <c r="B804" s="621" t="str">
        <f ca="1">TEXT('Reconciliation report'!$E$223,RefData!$B$423)</f>
        <v/>
      </c>
      <c r="E804" s="585" t="str">
        <f ca="1">IF(AND(OR('Reconciliation report'!$E$104=RefData!$B$8,'Reconciliation report'!$E$9=RefData!$B$5),'Reconciliation report'!$E$105&lt;&gt;RefData!$B$35),'All Statement of strategy (D)'!$B804,"")</f>
        <v/>
      </c>
      <c r="F804" s="585" t="str">
        <f ca="1">IF(AND(OR('Reconciliation report'!$E$104=RefData!$B$8,'Reconciliation report'!$E$9=RefData!$B$5),'Reconciliation report'!$E$105&lt;&gt;RefData!$B$35),'All Statement of strategy (D)'!$B804,"")</f>
        <v/>
      </c>
      <c r="G804" s="585" t="str">
        <f ca="1">IF(AND(OR('Reconciliation report'!$E$104=RefData!$B$8,'Reconciliation report'!$E$9=RefData!$B$5),'Reconciliation report'!$E$105&lt;&gt;RefData!$B$35),'All Statement of strategy (D)'!$B804,"")</f>
        <v/>
      </c>
      <c r="H804" s="585" t="str">
        <f ca="1">IF(AND(OR('Reconciliation report'!$E$104=RefData!$B$8,'Reconciliation report'!$E$9=RefData!$B$5),'Reconciliation report'!$E$105&lt;&gt;RefData!$B$35),'All Statement of strategy (D)'!$B804,"")</f>
        <v/>
      </c>
      <c r="I804" s="595" t="str">
        <f ca="1">IF($C$1=RefData!$B$418,'All Statement of strategy (D)'!$E804,IF('All Statement of strategy (D)'!$C$1=RefData!$B$419,'All Statement of strategy (D)'!$F804,IF('All Statement of strategy (D)'!$C$1=RefData!$B$420,'All Statement of strategy (D)'!$G804,IF('All Statement of strategy (D)'!$C$1=RefData!$B$421,'All Statement of strategy (D)'!$H804," "))))</f>
        <v xml:space="preserve"> </v>
      </c>
    </row>
    <row r="805" spans="1:9">
      <c r="A805" s="584" t="s">
        <v>2180</v>
      </c>
      <c r="B805" s="621" t="str">
        <f ca="1">TEXT('Reconciliation report'!$E$224,RefData!$B$423)</f>
        <v/>
      </c>
      <c r="E805" s="585" t="str">
        <f ca="1">IF(AND(OR('Reconciliation report'!$E$104=RefData!$B$8,'Reconciliation report'!$E$9=RefData!$B$5),'Reconciliation report'!$E$105&lt;&gt;RefData!$B$35),'All Statement of strategy (D)'!$B805,"")</f>
        <v/>
      </c>
      <c r="F805" s="585" t="str">
        <f ca="1">IF(AND(OR('Reconciliation report'!$E$104=RefData!$B$8,'Reconciliation report'!$E$9=RefData!$B$5),'Reconciliation report'!$E$105&lt;&gt;RefData!$B$35),'All Statement of strategy (D)'!$B805,"")</f>
        <v/>
      </c>
      <c r="G805" s="585" t="str">
        <f ca="1">IF(AND(OR('Reconciliation report'!$E$104=RefData!$B$8,'Reconciliation report'!$E$9=RefData!$B$5),'Reconciliation report'!$E$105&lt;&gt;RefData!$B$35),'All Statement of strategy (D)'!$B805,"")</f>
        <v/>
      </c>
      <c r="H805" s="585" t="str">
        <f ca="1">IF(AND(OR('Reconciliation report'!$E$104=RefData!$B$8,'Reconciliation report'!$E$9=RefData!$B$5),'Reconciliation report'!$E$105&lt;&gt;RefData!$B$35),'All Statement of strategy (D)'!$B805,"")</f>
        <v/>
      </c>
      <c r="I805" s="595" t="str">
        <f ca="1">IF($C$1=RefData!$B$418,'All Statement of strategy (D)'!$E805,IF('All Statement of strategy (D)'!$C$1=RefData!$B$419,'All Statement of strategy (D)'!$F805,IF('All Statement of strategy (D)'!$C$1=RefData!$B$420,'All Statement of strategy (D)'!$G805,IF('All Statement of strategy (D)'!$C$1=RefData!$B$421,'All Statement of strategy (D)'!$H805," "))))</f>
        <v xml:space="preserve"> </v>
      </c>
    </row>
    <row r="806" spans="1:9">
      <c r="A806" s="584" t="s">
        <v>2181</v>
      </c>
      <c r="B806" s="621" t="str">
        <f ca="1">TEXT('Reconciliation report'!$E$225,RefData!$B$423)</f>
        <v/>
      </c>
      <c r="E806" s="585" t="str">
        <f ca="1">IF(AND(OR('Reconciliation report'!$E$104=RefData!$B$8,'Reconciliation report'!$E$9=RefData!$B$5),'Reconciliation report'!$E$105&lt;&gt;RefData!$B$35),'All Statement of strategy (D)'!$B806,"")</f>
        <v/>
      </c>
      <c r="F806" s="585" t="str">
        <f ca="1">IF(AND(OR('Reconciliation report'!$E$104=RefData!$B$8,'Reconciliation report'!$E$9=RefData!$B$5),'Reconciliation report'!$E$105&lt;&gt;RefData!$B$35),'All Statement of strategy (D)'!$B806,"")</f>
        <v/>
      </c>
      <c r="G806" s="585" t="str">
        <f ca="1">IF(AND(OR('Reconciliation report'!$E$104=RefData!$B$8,'Reconciliation report'!$E$9=RefData!$B$5),'Reconciliation report'!$E$105&lt;&gt;RefData!$B$35),'All Statement of strategy (D)'!$B806,"")</f>
        <v/>
      </c>
      <c r="H806" s="585" t="str">
        <f ca="1">IF(AND(OR('Reconciliation report'!$E$104=RefData!$B$8,'Reconciliation report'!$E$9=RefData!$B$5),'Reconciliation report'!$E$105&lt;&gt;RefData!$B$35),'All Statement of strategy (D)'!$B806,"")</f>
        <v/>
      </c>
      <c r="I806" s="595" t="str">
        <f ca="1">IF($C$1=RefData!$B$418,'All Statement of strategy (D)'!$E806,IF('All Statement of strategy (D)'!$C$1=RefData!$B$419,'All Statement of strategy (D)'!$F806,IF('All Statement of strategy (D)'!$C$1=RefData!$B$420,'All Statement of strategy (D)'!$G806,IF('All Statement of strategy (D)'!$C$1=RefData!$B$421,'All Statement of strategy (D)'!$H806," "))))</f>
        <v xml:space="preserve"> </v>
      </c>
    </row>
    <row r="807" spans="1:9">
      <c r="A807" s="584" t="s">
        <v>2182</v>
      </c>
      <c r="B807" s="621" t="str">
        <f ca="1">TEXT('Reconciliation report'!$E$226,RefData!$B$423)</f>
        <v/>
      </c>
      <c r="E807" s="585" t="str">
        <f ca="1">IF(AND(OR('Reconciliation report'!$E$104=RefData!$B$8,'Reconciliation report'!$E$9=RefData!$B$5),'Reconciliation report'!$E$105&lt;&gt;RefData!$B$35),'All Statement of strategy (D)'!$B807,"")</f>
        <v/>
      </c>
      <c r="F807" s="585" t="str">
        <f ca="1">IF(AND(OR('Reconciliation report'!$E$104=RefData!$B$8,'Reconciliation report'!$E$9=RefData!$B$5),'Reconciliation report'!$E$105&lt;&gt;RefData!$B$35),'All Statement of strategy (D)'!$B807,"")</f>
        <v/>
      </c>
      <c r="G807" s="585" t="str">
        <f ca="1">IF(AND(OR('Reconciliation report'!$E$104=RefData!$B$8,'Reconciliation report'!$E$9=RefData!$B$5),'Reconciliation report'!$E$105&lt;&gt;RefData!$B$35),'All Statement of strategy (D)'!$B807,"")</f>
        <v/>
      </c>
      <c r="H807" s="585" t="str">
        <f ca="1">IF(AND(OR('Reconciliation report'!$E$104=RefData!$B$8,'Reconciliation report'!$E$9=RefData!$B$5),'Reconciliation report'!$E$105&lt;&gt;RefData!$B$35),'All Statement of strategy (D)'!$B807,"")</f>
        <v/>
      </c>
      <c r="I807" s="595" t="str">
        <f ca="1">IF($C$1=RefData!$B$418,'All Statement of strategy (D)'!$E807,IF('All Statement of strategy (D)'!$C$1=RefData!$B$419,'All Statement of strategy (D)'!$F807,IF('All Statement of strategy (D)'!$C$1=RefData!$B$420,'All Statement of strategy (D)'!$G807,IF('All Statement of strategy (D)'!$C$1=RefData!$B$421,'All Statement of strategy (D)'!$H807," "))))</f>
        <v xml:space="preserve"> </v>
      </c>
    </row>
    <row r="808" spans="1:9">
      <c r="A808" s="584" t="s">
        <v>2183</v>
      </c>
      <c r="B808" s="621" t="str">
        <f ca="1">TEXT('Reconciliation report'!$E$227,RefData!$B$423)</f>
        <v/>
      </c>
      <c r="E808" s="585" t="str">
        <f ca="1">IF(AND(OR('Reconciliation report'!$E$104=RefData!$B$8,'Reconciliation report'!$E$9=RefData!$B$5),'Reconciliation report'!$E$105&lt;&gt;RefData!$B$35),'All Statement of strategy (D)'!$B808,"")</f>
        <v/>
      </c>
      <c r="F808" s="585" t="str">
        <f ca="1">IF(AND(OR('Reconciliation report'!$E$104=RefData!$B$8,'Reconciliation report'!$E$9=RefData!$B$5),'Reconciliation report'!$E$105&lt;&gt;RefData!$B$35),'All Statement of strategy (D)'!$B808,"")</f>
        <v/>
      </c>
      <c r="G808" s="585" t="str">
        <f ca="1">IF(AND(OR('Reconciliation report'!$E$104=RefData!$B$8,'Reconciliation report'!$E$9=RefData!$B$5),'Reconciliation report'!$E$105&lt;&gt;RefData!$B$35),'All Statement of strategy (D)'!$B808,"")</f>
        <v/>
      </c>
      <c r="H808" s="585" t="str">
        <f ca="1">IF(AND(OR('Reconciliation report'!$E$104=RefData!$B$8,'Reconciliation report'!$E$9=RefData!$B$5),'Reconciliation report'!$E$105&lt;&gt;RefData!$B$35),'All Statement of strategy (D)'!$B808,"")</f>
        <v/>
      </c>
      <c r="I808" s="595" t="str">
        <f ca="1">IF($C$1=RefData!$B$418,'All Statement of strategy (D)'!$E808,IF('All Statement of strategy (D)'!$C$1=RefData!$B$419,'All Statement of strategy (D)'!$F808,IF('All Statement of strategy (D)'!$C$1=RefData!$B$420,'All Statement of strategy (D)'!$G808,IF('All Statement of strategy (D)'!$C$1=RefData!$B$421,'All Statement of strategy (D)'!$H808," "))))</f>
        <v xml:space="preserve"> </v>
      </c>
    </row>
    <row r="809" spans="1:9">
      <c r="A809" s="584" t="s">
        <v>2184</v>
      </c>
      <c r="B809" s="621" t="str">
        <f ca="1">TEXT('Reconciliation report'!$E$228,RefData!$B$423)</f>
        <v/>
      </c>
      <c r="E809" s="585" t="str">
        <f ca="1">IF(AND(OR('Reconciliation report'!$E$104=RefData!$B$8,'Reconciliation report'!$E$9=RefData!$B$5),'Reconciliation report'!$E$105&lt;&gt;RefData!$B$35),'All Statement of strategy (D)'!$B809,"")</f>
        <v/>
      </c>
      <c r="F809" s="585" t="str">
        <f ca="1">IF(AND(OR('Reconciliation report'!$E$104=RefData!$B$8,'Reconciliation report'!$E$9=RefData!$B$5),'Reconciliation report'!$E$105&lt;&gt;RefData!$B$35),'All Statement of strategy (D)'!$B809,"")</f>
        <v/>
      </c>
      <c r="G809" s="585" t="str">
        <f ca="1">IF(AND(OR('Reconciliation report'!$E$104=RefData!$B$8,'Reconciliation report'!$E$9=RefData!$B$5),'Reconciliation report'!$E$105&lt;&gt;RefData!$B$35),'All Statement of strategy (D)'!$B809,"")</f>
        <v/>
      </c>
      <c r="H809" s="585" t="str">
        <f ca="1">IF(AND(OR('Reconciliation report'!$E$104=RefData!$B$8,'Reconciliation report'!$E$9=RefData!$B$5),'Reconciliation report'!$E$105&lt;&gt;RefData!$B$35),'All Statement of strategy (D)'!$B809,"")</f>
        <v/>
      </c>
      <c r="I809" s="595" t="str">
        <f ca="1">IF($C$1=RefData!$B$418,'All Statement of strategy (D)'!$E809,IF('All Statement of strategy (D)'!$C$1=RefData!$B$419,'All Statement of strategy (D)'!$F809,IF('All Statement of strategy (D)'!$C$1=RefData!$B$420,'All Statement of strategy (D)'!$G809,IF('All Statement of strategy (D)'!$C$1=RefData!$B$421,'All Statement of strategy (D)'!$H809," "))))</f>
        <v xml:space="preserve"> </v>
      </c>
    </row>
    <row r="810" spans="1:9">
      <c r="A810" s="584" t="s">
        <v>2185</v>
      </c>
      <c r="B810" s="621" t="str">
        <f ca="1">TEXT('Reconciliation report'!$E$229,RefData!$B$423)</f>
        <v/>
      </c>
      <c r="E810" s="585" t="str">
        <f ca="1">IF(AND(OR('Reconciliation report'!$E$104=RefData!$B$8,'Reconciliation report'!$E$9=RefData!$B$5),'Reconciliation report'!$E$105&lt;&gt;RefData!$B$35),'All Statement of strategy (D)'!$B810,"")</f>
        <v/>
      </c>
      <c r="F810" s="585" t="str">
        <f ca="1">IF(AND(OR('Reconciliation report'!$E$104=RefData!$B$8,'Reconciliation report'!$E$9=RefData!$B$5),'Reconciliation report'!$E$105&lt;&gt;RefData!$B$35),'All Statement of strategy (D)'!$B810,"")</f>
        <v/>
      </c>
      <c r="G810" s="585" t="str">
        <f ca="1">IF(AND(OR('Reconciliation report'!$E$104=RefData!$B$8,'Reconciliation report'!$E$9=RefData!$B$5),'Reconciliation report'!$E$105&lt;&gt;RefData!$B$35),'All Statement of strategy (D)'!$B810,"")</f>
        <v/>
      </c>
      <c r="H810" s="585" t="str">
        <f ca="1">IF(AND(OR('Reconciliation report'!$E$104=RefData!$B$8,'Reconciliation report'!$E$9=RefData!$B$5),'Reconciliation report'!$E$105&lt;&gt;RefData!$B$35),'All Statement of strategy (D)'!$B810,"")</f>
        <v/>
      </c>
      <c r="I810" s="595" t="str">
        <f ca="1">IF($C$1=RefData!$B$418,'All Statement of strategy (D)'!$E810,IF('All Statement of strategy (D)'!$C$1=RefData!$B$419,'All Statement of strategy (D)'!$F810,IF('All Statement of strategy (D)'!$C$1=RefData!$B$420,'All Statement of strategy (D)'!$G810,IF('All Statement of strategy (D)'!$C$1=RefData!$B$421,'All Statement of strategy (D)'!$H810," "))))</f>
        <v xml:space="preserve"> </v>
      </c>
    </row>
    <row r="811" spans="1:9">
      <c r="A811" s="584" t="s">
        <v>2186</v>
      </c>
      <c r="B811" s="621" t="str">
        <f ca="1">TEXT('Reconciliation report'!$E$230,RefData!$B$423)</f>
        <v/>
      </c>
      <c r="E811" s="585" t="str">
        <f ca="1">IF(AND(OR('Reconciliation report'!$E$104=RefData!$B$8,'Reconciliation report'!$E$9=RefData!$B$5),'Reconciliation report'!$E$105&lt;&gt;RefData!$B$35),'All Statement of strategy (D)'!$B811,"")</f>
        <v/>
      </c>
      <c r="F811" s="585" t="str">
        <f ca="1">IF(AND(OR('Reconciliation report'!$E$104=RefData!$B$8,'Reconciliation report'!$E$9=RefData!$B$5),'Reconciliation report'!$E$105&lt;&gt;RefData!$B$35),'All Statement of strategy (D)'!$B811,"")</f>
        <v/>
      </c>
      <c r="G811" s="585" t="str">
        <f ca="1">IF(AND(OR('Reconciliation report'!$E$104=RefData!$B$8,'Reconciliation report'!$E$9=RefData!$B$5),'Reconciliation report'!$E$105&lt;&gt;RefData!$B$35),'All Statement of strategy (D)'!$B811,"")</f>
        <v/>
      </c>
      <c r="H811" s="585" t="str">
        <f ca="1">IF(AND(OR('Reconciliation report'!$E$104=RefData!$B$8,'Reconciliation report'!$E$9=RefData!$B$5),'Reconciliation report'!$E$105&lt;&gt;RefData!$B$35),'All Statement of strategy (D)'!$B811,"")</f>
        <v/>
      </c>
      <c r="I811" s="595" t="str">
        <f ca="1">IF($C$1=RefData!$B$418,'All Statement of strategy (D)'!$E811,IF('All Statement of strategy (D)'!$C$1=RefData!$B$419,'All Statement of strategy (D)'!$F811,IF('All Statement of strategy (D)'!$C$1=RefData!$B$420,'All Statement of strategy (D)'!$G811,IF('All Statement of strategy (D)'!$C$1=RefData!$B$421,'All Statement of strategy (D)'!$H811," "))))</f>
        <v xml:space="preserve"> </v>
      </c>
    </row>
    <row r="812" spans="1:9">
      <c r="A812" s="584" t="s">
        <v>2187</v>
      </c>
      <c r="B812" s="621" t="str">
        <f ca="1">TEXT('Reconciliation report'!$E$231,RefData!$B$423)</f>
        <v/>
      </c>
      <c r="E812" s="585" t="str">
        <f ca="1">IF(AND(OR('Reconciliation report'!$E$104=RefData!$B$8,'Reconciliation report'!$E$9=RefData!$B$5),'Reconciliation report'!$E$105&lt;&gt;RefData!$B$35),'All Statement of strategy (D)'!$B812,"")</f>
        <v/>
      </c>
      <c r="F812" s="585" t="str">
        <f ca="1">IF(AND(OR('Reconciliation report'!$E$104=RefData!$B$8,'Reconciliation report'!$E$9=RefData!$B$5),'Reconciliation report'!$E$105&lt;&gt;RefData!$B$35),'All Statement of strategy (D)'!$B812,"")</f>
        <v/>
      </c>
      <c r="G812" s="585" t="str">
        <f ca="1">IF(AND(OR('Reconciliation report'!$E$104=RefData!$B$8,'Reconciliation report'!$E$9=RefData!$B$5),'Reconciliation report'!$E$105&lt;&gt;RefData!$B$35),'All Statement of strategy (D)'!$B812,"")</f>
        <v/>
      </c>
      <c r="H812" s="585" t="str">
        <f ca="1">IF(AND(OR('Reconciliation report'!$E$104=RefData!$B$8,'Reconciliation report'!$E$9=RefData!$B$5),'Reconciliation report'!$E$105&lt;&gt;RefData!$B$35),'All Statement of strategy (D)'!$B812,"")</f>
        <v/>
      </c>
      <c r="I812" s="595" t="str">
        <f ca="1">IF($C$1=RefData!$B$418,'All Statement of strategy (D)'!$E812,IF('All Statement of strategy (D)'!$C$1=RefData!$B$419,'All Statement of strategy (D)'!$F812,IF('All Statement of strategy (D)'!$C$1=RefData!$B$420,'All Statement of strategy (D)'!$G812,IF('All Statement of strategy (D)'!$C$1=RefData!$B$421,'All Statement of strategy (D)'!$H812," "))))</f>
        <v xml:space="preserve"> </v>
      </c>
    </row>
    <row r="813" spans="1:9">
      <c r="A813" s="584" t="s">
        <v>2188</v>
      </c>
      <c r="B813" s="621" t="str">
        <f ca="1">TEXT('Reconciliation report'!$E$232,RefData!$B$423)</f>
        <v/>
      </c>
      <c r="E813" s="585" t="str">
        <f ca="1">IF(AND(OR('Reconciliation report'!$E$104=RefData!$B$8,'Reconciliation report'!$E$9=RefData!$B$5),'Reconciliation report'!$E$105&lt;&gt;RefData!$B$35),'All Statement of strategy (D)'!$B813,"")</f>
        <v/>
      </c>
      <c r="F813" s="585" t="str">
        <f ca="1">IF(AND(OR('Reconciliation report'!$E$104=RefData!$B$8,'Reconciliation report'!$E$9=RefData!$B$5),'Reconciliation report'!$E$105&lt;&gt;RefData!$B$35),'All Statement of strategy (D)'!$B813,"")</f>
        <v/>
      </c>
      <c r="G813" s="585" t="str">
        <f ca="1">IF(AND(OR('Reconciliation report'!$E$104=RefData!$B$8,'Reconciliation report'!$E$9=RefData!$B$5),'Reconciliation report'!$E$105&lt;&gt;RefData!$B$35),'All Statement of strategy (D)'!$B813,"")</f>
        <v/>
      </c>
      <c r="H813" s="585" t="str">
        <f ca="1">IF(AND(OR('Reconciliation report'!$E$104=RefData!$B$8,'Reconciliation report'!$E$9=RefData!$B$5),'Reconciliation report'!$E$105&lt;&gt;RefData!$B$35),'All Statement of strategy (D)'!$B813,"")</f>
        <v/>
      </c>
      <c r="I813" s="595" t="str">
        <f ca="1">IF($C$1=RefData!$B$418,'All Statement of strategy (D)'!$E813,IF('All Statement of strategy (D)'!$C$1=RefData!$B$419,'All Statement of strategy (D)'!$F813,IF('All Statement of strategy (D)'!$C$1=RefData!$B$420,'All Statement of strategy (D)'!$G813,IF('All Statement of strategy (D)'!$C$1=RefData!$B$421,'All Statement of strategy (D)'!$H813," "))))</f>
        <v xml:space="preserve"> </v>
      </c>
    </row>
    <row r="814" spans="1:9">
      <c r="A814" s="584" t="s">
        <v>2189</v>
      </c>
      <c r="B814" s="621" t="str">
        <f ca="1">TEXT('Reconciliation report'!$E$233,RefData!$B$423)</f>
        <v/>
      </c>
      <c r="E814" s="585" t="str">
        <f ca="1">IF(AND(OR('Reconciliation report'!$E$104=RefData!$B$8,'Reconciliation report'!$E$9=RefData!$B$5),'Reconciliation report'!$E$105&lt;&gt;RefData!$B$35),'All Statement of strategy (D)'!$B814,"")</f>
        <v/>
      </c>
      <c r="F814" s="585" t="str">
        <f ca="1">IF(AND(OR('Reconciliation report'!$E$104=RefData!$B$8,'Reconciliation report'!$E$9=RefData!$B$5),'Reconciliation report'!$E$105&lt;&gt;RefData!$B$35),'All Statement of strategy (D)'!$B814,"")</f>
        <v/>
      </c>
      <c r="G814" s="585" t="str">
        <f ca="1">IF(AND(OR('Reconciliation report'!$E$104=RefData!$B$8,'Reconciliation report'!$E$9=RefData!$B$5),'Reconciliation report'!$E$105&lt;&gt;RefData!$B$35),'All Statement of strategy (D)'!$B814,"")</f>
        <v/>
      </c>
      <c r="H814" s="585" t="str">
        <f ca="1">IF(AND(OR('Reconciliation report'!$E$104=RefData!$B$8,'Reconciliation report'!$E$9=RefData!$B$5),'Reconciliation report'!$E$105&lt;&gt;RefData!$B$35),'All Statement of strategy (D)'!$B814,"")</f>
        <v/>
      </c>
      <c r="I814" s="595" t="str">
        <f ca="1">IF($C$1=RefData!$B$418,'All Statement of strategy (D)'!$E814,IF('All Statement of strategy (D)'!$C$1=RefData!$B$419,'All Statement of strategy (D)'!$F814,IF('All Statement of strategy (D)'!$C$1=RefData!$B$420,'All Statement of strategy (D)'!$G814,IF('All Statement of strategy (D)'!$C$1=RefData!$B$421,'All Statement of strategy (D)'!$H814," "))))</f>
        <v xml:space="preserve"> </v>
      </c>
    </row>
    <row r="815" spans="1:9">
      <c r="A815" s="584" t="s">
        <v>2190</v>
      </c>
      <c r="B815" s="621" t="str">
        <f ca="1">TEXT('Reconciliation report'!$E$234,RefData!$B$423)</f>
        <v/>
      </c>
      <c r="E815" s="585" t="str">
        <f ca="1">IF(AND(OR('Reconciliation report'!$E$104=RefData!$B$8,'Reconciliation report'!$E$9=RefData!$B$5),'Reconciliation report'!$E$105&lt;&gt;RefData!$B$35),'All Statement of strategy (D)'!$B815,"")</f>
        <v/>
      </c>
      <c r="F815" s="585" t="str">
        <f ca="1">IF(AND(OR('Reconciliation report'!$E$104=RefData!$B$8,'Reconciliation report'!$E$9=RefData!$B$5),'Reconciliation report'!$E$105&lt;&gt;RefData!$B$35),'All Statement of strategy (D)'!$B815,"")</f>
        <v/>
      </c>
      <c r="G815" s="585" t="str">
        <f ca="1">IF(AND(OR('Reconciliation report'!$E$104=RefData!$B$8,'Reconciliation report'!$E$9=RefData!$B$5),'Reconciliation report'!$E$105&lt;&gt;RefData!$B$35),'All Statement of strategy (D)'!$B815,"")</f>
        <v/>
      </c>
      <c r="H815" s="585" t="str">
        <f ca="1">IF(AND(OR('Reconciliation report'!$E$104=RefData!$B$8,'Reconciliation report'!$E$9=RefData!$B$5),'Reconciliation report'!$E$105&lt;&gt;RefData!$B$35),'All Statement of strategy (D)'!$B815,"")</f>
        <v/>
      </c>
      <c r="I815" s="595" t="str">
        <f ca="1">IF($C$1=RefData!$B$418,'All Statement of strategy (D)'!$E815,IF('All Statement of strategy (D)'!$C$1=RefData!$B$419,'All Statement of strategy (D)'!$F815,IF('All Statement of strategy (D)'!$C$1=RefData!$B$420,'All Statement of strategy (D)'!$G815,IF('All Statement of strategy (D)'!$C$1=RefData!$B$421,'All Statement of strategy (D)'!$H815," "))))</f>
        <v xml:space="preserve"> </v>
      </c>
    </row>
    <row r="816" spans="1:9">
      <c r="A816" s="584" t="s">
        <v>2191</v>
      </c>
      <c r="B816" s="621" t="str">
        <f ca="1">TEXT('Reconciliation report'!$E$235,RefData!$B$423)</f>
        <v/>
      </c>
      <c r="E816" s="585" t="str">
        <f ca="1">IF(AND(OR('Reconciliation report'!$E$104=RefData!$B$8,'Reconciliation report'!$E$9=RefData!$B$5),'Reconciliation report'!$E$105&lt;&gt;RefData!$B$35),'All Statement of strategy (D)'!$B816,"")</f>
        <v/>
      </c>
      <c r="F816" s="585" t="str">
        <f ca="1">IF(AND(OR('Reconciliation report'!$E$104=RefData!$B$8,'Reconciliation report'!$E$9=RefData!$B$5),'Reconciliation report'!$E$105&lt;&gt;RefData!$B$35),'All Statement of strategy (D)'!$B816,"")</f>
        <v/>
      </c>
      <c r="G816" s="585" t="str">
        <f ca="1">IF(AND(OR('Reconciliation report'!$E$104=RefData!$B$8,'Reconciliation report'!$E$9=RefData!$B$5),'Reconciliation report'!$E$105&lt;&gt;RefData!$B$35),'All Statement of strategy (D)'!$B816,"")</f>
        <v/>
      </c>
      <c r="H816" s="585" t="str">
        <f ca="1">IF(AND(OR('Reconciliation report'!$E$104=RefData!$B$8,'Reconciliation report'!$E$9=RefData!$B$5),'Reconciliation report'!$E$105&lt;&gt;RefData!$B$35),'All Statement of strategy (D)'!$B816,"")</f>
        <v/>
      </c>
      <c r="I816" s="595" t="str">
        <f ca="1">IF($C$1=RefData!$B$418,'All Statement of strategy (D)'!$E816,IF('All Statement of strategy (D)'!$C$1=RefData!$B$419,'All Statement of strategy (D)'!$F816,IF('All Statement of strategy (D)'!$C$1=RefData!$B$420,'All Statement of strategy (D)'!$G816,IF('All Statement of strategy (D)'!$C$1=RefData!$B$421,'All Statement of strategy (D)'!$H816," "))))</f>
        <v xml:space="preserve"> </v>
      </c>
    </row>
    <row r="817" spans="1:9">
      <c r="A817" s="584" t="s">
        <v>2192</v>
      </c>
      <c r="B817" s="621" t="str">
        <f ca="1">TEXT('Reconciliation report'!$E$236,RefData!$B$423)</f>
        <v/>
      </c>
      <c r="E817" s="585" t="str">
        <f ca="1">IF(AND(OR('Reconciliation report'!$E$104=RefData!$B$8,'Reconciliation report'!$E$9=RefData!$B$5),'Reconciliation report'!$E$105&lt;&gt;RefData!$B$35),'All Statement of strategy (D)'!$B817,"")</f>
        <v/>
      </c>
      <c r="F817" s="585" t="str">
        <f ca="1">IF(AND(OR('Reconciliation report'!$E$104=RefData!$B$8,'Reconciliation report'!$E$9=RefData!$B$5),'Reconciliation report'!$E$105&lt;&gt;RefData!$B$35),'All Statement of strategy (D)'!$B817,"")</f>
        <v/>
      </c>
      <c r="G817" s="585" t="str">
        <f ca="1">IF(AND(OR('Reconciliation report'!$E$104=RefData!$B$8,'Reconciliation report'!$E$9=RefData!$B$5),'Reconciliation report'!$E$105&lt;&gt;RefData!$B$35),'All Statement of strategy (D)'!$B817,"")</f>
        <v/>
      </c>
      <c r="H817" s="585" t="str">
        <f ca="1">IF(AND(OR('Reconciliation report'!$E$104=RefData!$B$8,'Reconciliation report'!$E$9=RefData!$B$5),'Reconciliation report'!$E$105&lt;&gt;RefData!$B$35),'All Statement of strategy (D)'!$B817,"")</f>
        <v/>
      </c>
      <c r="I817" s="595" t="str">
        <f ca="1">IF($C$1=RefData!$B$418,'All Statement of strategy (D)'!$E817,IF('All Statement of strategy (D)'!$C$1=RefData!$B$419,'All Statement of strategy (D)'!$F817,IF('All Statement of strategy (D)'!$C$1=RefData!$B$420,'All Statement of strategy (D)'!$G817,IF('All Statement of strategy (D)'!$C$1=RefData!$B$421,'All Statement of strategy (D)'!$H817," "))))</f>
        <v xml:space="preserve"> </v>
      </c>
    </row>
    <row r="818" spans="1:9">
      <c r="A818" s="584" t="s">
        <v>2193</v>
      </c>
      <c r="B818" s="621" t="str">
        <f ca="1">TEXT('Reconciliation report'!$E$237,RefData!$B$423)</f>
        <v/>
      </c>
      <c r="E818" s="585" t="str">
        <f ca="1">IF(AND(OR('Reconciliation report'!$E$104=RefData!$B$8,'Reconciliation report'!$E$9=RefData!$B$5),'Reconciliation report'!$E$105&lt;&gt;RefData!$B$35),'All Statement of strategy (D)'!$B818,"")</f>
        <v/>
      </c>
      <c r="F818" s="585" t="str">
        <f ca="1">IF(AND(OR('Reconciliation report'!$E$104=RefData!$B$8,'Reconciliation report'!$E$9=RefData!$B$5),'Reconciliation report'!$E$105&lt;&gt;RefData!$B$35),'All Statement of strategy (D)'!$B818,"")</f>
        <v/>
      </c>
      <c r="G818" s="585" t="str">
        <f ca="1">IF(AND(OR('Reconciliation report'!$E$104=RefData!$B$8,'Reconciliation report'!$E$9=RefData!$B$5),'Reconciliation report'!$E$105&lt;&gt;RefData!$B$35),'All Statement of strategy (D)'!$B818,"")</f>
        <v/>
      </c>
      <c r="H818" s="585" t="str">
        <f ca="1">IF(AND(OR('Reconciliation report'!$E$104=RefData!$B$8,'Reconciliation report'!$E$9=RefData!$B$5),'Reconciliation report'!$E$105&lt;&gt;RefData!$B$35),'All Statement of strategy (D)'!$B818,"")</f>
        <v/>
      </c>
      <c r="I818" s="595" t="str">
        <f ca="1">IF($C$1=RefData!$B$418,'All Statement of strategy (D)'!$E818,IF('All Statement of strategy (D)'!$C$1=RefData!$B$419,'All Statement of strategy (D)'!$F818,IF('All Statement of strategy (D)'!$C$1=RefData!$B$420,'All Statement of strategy (D)'!$G818,IF('All Statement of strategy (D)'!$C$1=RefData!$B$421,'All Statement of strategy (D)'!$H818," "))))</f>
        <v xml:space="preserve"> </v>
      </c>
    </row>
    <row r="819" spans="1:9">
      <c r="A819" s="584" t="s">
        <v>2194</v>
      </c>
      <c r="B819" s="621" t="str">
        <f ca="1">TEXT('Reconciliation report'!$E$238,RefData!$B$423)</f>
        <v/>
      </c>
      <c r="E819" s="585" t="str">
        <f ca="1">IF(AND(OR('Reconciliation report'!$E$104=RefData!$B$8,'Reconciliation report'!$E$9=RefData!$B$5),'Reconciliation report'!$E$105&lt;&gt;RefData!$B$35),'All Statement of strategy (D)'!$B819,"")</f>
        <v/>
      </c>
      <c r="F819" s="585" t="str">
        <f ca="1">IF(AND(OR('Reconciliation report'!$E$104=RefData!$B$8,'Reconciliation report'!$E$9=RefData!$B$5),'Reconciliation report'!$E$105&lt;&gt;RefData!$B$35),'All Statement of strategy (D)'!$B819,"")</f>
        <v/>
      </c>
      <c r="G819" s="585" t="str">
        <f ca="1">IF(AND(OR('Reconciliation report'!$E$104=RefData!$B$8,'Reconciliation report'!$E$9=RefData!$B$5),'Reconciliation report'!$E$105&lt;&gt;RefData!$B$35),'All Statement of strategy (D)'!$B819,"")</f>
        <v/>
      </c>
      <c r="H819" s="585" t="str">
        <f ca="1">IF(AND(OR('Reconciliation report'!$E$104=RefData!$B$8,'Reconciliation report'!$E$9=RefData!$B$5),'Reconciliation report'!$E$105&lt;&gt;RefData!$B$35),'All Statement of strategy (D)'!$B819,"")</f>
        <v/>
      </c>
      <c r="I819" s="595" t="str">
        <f ca="1">IF($C$1=RefData!$B$418,'All Statement of strategy (D)'!$E819,IF('All Statement of strategy (D)'!$C$1=RefData!$B$419,'All Statement of strategy (D)'!$F819,IF('All Statement of strategy (D)'!$C$1=RefData!$B$420,'All Statement of strategy (D)'!$G819,IF('All Statement of strategy (D)'!$C$1=RefData!$B$421,'All Statement of strategy (D)'!$H819," "))))</f>
        <v xml:space="preserve"> </v>
      </c>
    </row>
    <row r="820" spans="1:9">
      <c r="A820" s="584" t="s">
        <v>2195</v>
      </c>
      <c r="B820" s="621" t="str">
        <f ca="1">TEXT('Reconciliation report'!$E$239,RefData!$B$423)</f>
        <v/>
      </c>
      <c r="E820" s="585" t="str">
        <f ca="1">IF(AND(OR('Reconciliation report'!$E$104=RefData!$B$8,'Reconciliation report'!$E$9=RefData!$B$5),'Reconciliation report'!$E$105&lt;&gt;RefData!$B$35),'All Statement of strategy (D)'!$B820,"")</f>
        <v/>
      </c>
      <c r="F820" s="585" t="str">
        <f ca="1">IF(AND(OR('Reconciliation report'!$E$104=RefData!$B$8,'Reconciliation report'!$E$9=RefData!$B$5),'Reconciliation report'!$E$105&lt;&gt;RefData!$B$35),'All Statement of strategy (D)'!$B820,"")</f>
        <v/>
      </c>
      <c r="G820" s="585" t="str">
        <f ca="1">IF(AND(OR('Reconciliation report'!$E$104=RefData!$B$8,'Reconciliation report'!$E$9=RefData!$B$5),'Reconciliation report'!$E$105&lt;&gt;RefData!$B$35),'All Statement of strategy (D)'!$B820,"")</f>
        <v/>
      </c>
      <c r="H820" s="585" t="str">
        <f ca="1">IF(AND(OR('Reconciliation report'!$E$104=RefData!$B$8,'Reconciliation report'!$E$9=RefData!$B$5),'Reconciliation report'!$E$105&lt;&gt;RefData!$B$35),'All Statement of strategy (D)'!$B820,"")</f>
        <v/>
      </c>
      <c r="I820" s="595" t="str">
        <f ca="1">IF($C$1=RefData!$B$418,'All Statement of strategy (D)'!$E820,IF('All Statement of strategy (D)'!$C$1=RefData!$B$419,'All Statement of strategy (D)'!$F820,IF('All Statement of strategy (D)'!$C$1=RefData!$B$420,'All Statement of strategy (D)'!$G820,IF('All Statement of strategy (D)'!$C$1=RefData!$B$421,'All Statement of strategy (D)'!$H820," "))))</f>
        <v xml:space="preserve"> </v>
      </c>
    </row>
    <row r="821" spans="1:9">
      <c r="A821" s="584" t="s">
        <v>2196</v>
      </c>
      <c r="B821" s="621" t="str">
        <f ca="1">TEXT('Reconciliation report'!$E$240,RefData!$B$423)</f>
        <v/>
      </c>
      <c r="E821" s="585" t="str">
        <f ca="1">IF(AND(OR('Reconciliation report'!$E$104=RefData!$B$8,'Reconciliation report'!$E$9=RefData!$B$5),'Reconciliation report'!$E$105&lt;&gt;RefData!$B$35),'All Statement of strategy (D)'!$B821,"")</f>
        <v/>
      </c>
      <c r="F821" s="585" t="str">
        <f ca="1">IF(AND(OR('Reconciliation report'!$E$104=RefData!$B$8,'Reconciliation report'!$E$9=RefData!$B$5),'Reconciliation report'!$E$105&lt;&gt;RefData!$B$35),'All Statement of strategy (D)'!$B821,"")</f>
        <v/>
      </c>
      <c r="G821" s="585" t="str">
        <f ca="1">IF(AND(OR('Reconciliation report'!$E$104=RefData!$B$8,'Reconciliation report'!$E$9=RefData!$B$5),'Reconciliation report'!$E$105&lt;&gt;RefData!$B$35),'All Statement of strategy (D)'!$B821,"")</f>
        <v/>
      </c>
      <c r="H821" s="585" t="str">
        <f ca="1">IF(AND(OR('Reconciliation report'!$E$104=RefData!$B$8,'Reconciliation report'!$E$9=RefData!$B$5),'Reconciliation report'!$E$105&lt;&gt;RefData!$B$35),'All Statement of strategy (D)'!$B821,"")</f>
        <v/>
      </c>
      <c r="I821" s="595" t="str">
        <f ca="1">IF($C$1=RefData!$B$418,'All Statement of strategy (D)'!$E821,IF('All Statement of strategy (D)'!$C$1=RefData!$B$419,'All Statement of strategy (D)'!$F821,IF('All Statement of strategy (D)'!$C$1=RefData!$B$420,'All Statement of strategy (D)'!$G821,IF('All Statement of strategy (D)'!$C$1=RefData!$B$421,'All Statement of strategy (D)'!$H821," "))))</f>
        <v xml:space="preserve"> </v>
      </c>
    </row>
    <row r="822" spans="1:9">
      <c r="A822" s="584" t="s">
        <v>2197</v>
      </c>
      <c r="B822" s="621" t="str">
        <f ca="1">TEXT('Reconciliation report'!$E$241,RefData!$B$423)</f>
        <v/>
      </c>
      <c r="E822" s="585" t="str">
        <f ca="1">IF(AND(OR('Reconciliation report'!$E$104=RefData!$B$8,'Reconciliation report'!$E$9=RefData!$B$5),'Reconciliation report'!$E$105&lt;&gt;RefData!$B$35),'All Statement of strategy (D)'!$B822,"")</f>
        <v/>
      </c>
      <c r="F822" s="585" t="str">
        <f ca="1">IF(AND(OR('Reconciliation report'!$E$104=RefData!$B$8,'Reconciliation report'!$E$9=RefData!$B$5),'Reconciliation report'!$E$105&lt;&gt;RefData!$B$35),'All Statement of strategy (D)'!$B822,"")</f>
        <v/>
      </c>
      <c r="G822" s="585" t="str">
        <f ca="1">IF(AND(OR('Reconciliation report'!$E$104=RefData!$B$8,'Reconciliation report'!$E$9=RefData!$B$5),'Reconciliation report'!$E$105&lt;&gt;RefData!$B$35),'All Statement of strategy (D)'!$B822,"")</f>
        <v/>
      </c>
      <c r="H822" s="585" t="str">
        <f ca="1">IF(AND(OR('Reconciliation report'!$E$104=RefData!$B$8,'Reconciliation report'!$E$9=RefData!$B$5),'Reconciliation report'!$E$105&lt;&gt;RefData!$B$35),'All Statement of strategy (D)'!$B822,"")</f>
        <v/>
      </c>
      <c r="I822" s="595" t="str">
        <f ca="1">IF($C$1=RefData!$B$418,'All Statement of strategy (D)'!$E822,IF('All Statement of strategy (D)'!$C$1=RefData!$B$419,'All Statement of strategy (D)'!$F822,IF('All Statement of strategy (D)'!$C$1=RefData!$B$420,'All Statement of strategy (D)'!$G822,IF('All Statement of strategy (D)'!$C$1=RefData!$B$421,'All Statement of strategy (D)'!$H822," "))))</f>
        <v xml:space="preserve"> </v>
      </c>
    </row>
    <row r="823" spans="1:9">
      <c r="A823" s="584" t="s">
        <v>2198</v>
      </c>
      <c r="B823" s="621" t="str">
        <f ca="1">TEXT('Reconciliation report'!$E$242,RefData!$B$423)</f>
        <v/>
      </c>
      <c r="E823" s="585" t="str">
        <f ca="1">IF(AND(OR('Reconciliation report'!$E$104=RefData!$B$8,'Reconciliation report'!$E$9=RefData!$B$5),'Reconciliation report'!$E$105&lt;&gt;RefData!$B$35),'All Statement of strategy (D)'!$B823,"")</f>
        <v/>
      </c>
      <c r="F823" s="585" t="str">
        <f ca="1">IF(AND(OR('Reconciliation report'!$E$104=RefData!$B$8,'Reconciliation report'!$E$9=RefData!$B$5),'Reconciliation report'!$E$105&lt;&gt;RefData!$B$35),'All Statement of strategy (D)'!$B823,"")</f>
        <v/>
      </c>
      <c r="G823" s="585" t="str">
        <f ca="1">IF(AND(OR('Reconciliation report'!$E$104=RefData!$B$8,'Reconciliation report'!$E$9=RefData!$B$5),'Reconciliation report'!$E$105&lt;&gt;RefData!$B$35),'All Statement of strategy (D)'!$B823,"")</f>
        <v/>
      </c>
      <c r="H823" s="585" t="str">
        <f ca="1">IF(AND(OR('Reconciliation report'!$E$104=RefData!$B$8,'Reconciliation report'!$E$9=RefData!$B$5),'Reconciliation report'!$E$105&lt;&gt;RefData!$B$35),'All Statement of strategy (D)'!$B823,"")</f>
        <v/>
      </c>
      <c r="I823" s="595" t="str">
        <f ca="1">IF($C$1=RefData!$B$418,'All Statement of strategy (D)'!$E823,IF('All Statement of strategy (D)'!$C$1=RefData!$B$419,'All Statement of strategy (D)'!$F823,IF('All Statement of strategy (D)'!$C$1=RefData!$B$420,'All Statement of strategy (D)'!$G823,IF('All Statement of strategy (D)'!$C$1=RefData!$B$421,'All Statement of strategy (D)'!$H823," "))))</f>
        <v xml:space="preserve"> </v>
      </c>
    </row>
    <row r="824" spans="1:9">
      <c r="A824" s="584" t="s">
        <v>2199</v>
      </c>
      <c r="B824" s="621" t="str">
        <f ca="1">TEXT('Reconciliation report'!$E$243,RefData!$B$423)</f>
        <v/>
      </c>
      <c r="E824" s="585" t="str">
        <f ca="1">IF(AND(OR('Reconciliation report'!$E$104=RefData!$B$8,'Reconciliation report'!$E$9=RefData!$B$5),'Reconciliation report'!$E$105&lt;&gt;RefData!$B$35),'All Statement of strategy (D)'!$B824,"")</f>
        <v/>
      </c>
      <c r="F824" s="585" t="str">
        <f ca="1">IF(AND(OR('Reconciliation report'!$E$104=RefData!$B$8,'Reconciliation report'!$E$9=RefData!$B$5),'Reconciliation report'!$E$105&lt;&gt;RefData!$B$35),'All Statement of strategy (D)'!$B824,"")</f>
        <v/>
      </c>
      <c r="G824" s="585" t="str">
        <f ca="1">IF(AND(OR('Reconciliation report'!$E$104=RefData!$B$8,'Reconciliation report'!$E$9=RefData!$B$5),'Reconciliation report'!$E$105&lt;&gt;RefData!$B$35),'All Statement of strategy (D)'!$B824,"")</f>
        <v/>
      </c>
      <c r="H824" s="585" t="str">
        <f ca="1">IF(AND(OR('Reconciliation report'!$E$104=RefData!$B$8,'Reconciliation report'!$E$9=RefData!$B$5),'Reconciliation report'!$E$105&lt;&gt;RefData!$B$35),'All Statement of strategy (D)'!$B824,"")</f>
        <v/>
      </c>
      <c r="I824" s="595" t="str">
        <f ca="1">IF($C$1=RefData!$B$418,'All Statement of strategy (D)'!$E824,IF('All Statement of strategy (D)'!$C$1=RefData!$B$419,'All Statement of strategy (D)'!$F824,IF('All Statement of strategy (D)'!$C$1=RefData!$B$420,'All Statement of strategy (D)'!$G824,IF('All Statement of strategy (D)'!$C$1=RefData!$B$421,'All Statement of strategy (D)'!$H824," "))))</f>
        <v xml:space="preserve"> </v>
      </c>
    </row>
    <row r="825" spans="1:9">
      <c r="A825" s="584" t="s">
        <v>2200</v>
      </c>
      <c r="B825" s="621" t="str">
        <f ca="1">TEXT('Reconciliation report'!$E$244,RefData!$B$423)</f>
        <v/>
      </c>
      <c r="E825" s="585" t="str">
        <f ca="1">IF(AND(OR('Reconciliation report'!$E$104=RefData!$B$8,'Reconciliation report'!$E$9=RefData!$B$5),'Reconciliation report'!$E$105&lt;&gt;RefData!$B$35),'All Statement of strategy (D)'!$B825,"")</f>
        <v/>
      </c>
      <c r="F825" s="585" t="str">
        <f ca="1">IF(AND(OR('Reconciliation report'!$E$104=RefData!$B$8,'Reconciliation report'!$E$9=RefData!$B$5),'Reconciliation report'!$E$105&lt;&gt;RefData!$B$35),'All Statement of strategy (D)'!$B825,"")</f>
        <v/>
      </c>
      <c r="G825" s="585" t="str">
        <f ca="1">IF(AND(OR('Reconciliation report'!$E$104=RefData!$B$8,'Reconciliation report'!$E$9=RefData!$B$5),'Reconciliation report'!$E$105&lt;&gt;RefData!$B$35),'All Statement of strategy (D)'!$B825,"")</f>
        <v/>
      </c>
      <c r="H825" s="585" t="str">
        <f ca="1">IF(AND(OR('Reconciliation report'!$E$104=RefData!$B$8,'Reconciliation report'!$E$9=RefData!$B$5),'Reconciliation report'!$E$105&lt;&gt;RefData!$B$35),'All Statement of strategy (D)'!$B825,"")</f>
        <v/>
      </c>
      <c r="I825" s="595" t="str">
        <f ca="1">IF($C$1=RefData!$B$418,'All Statement of strategy (D)'!$E825,IF('All Statement of strategy (D)'!$C$1=RefData!$B$419,'All Statement of strategy (D)'!$F825,IF('All Statement of strategy (D)'!$C$1=RefData!$B$420,'All Statement of strategy (D)'!$G825,IF('All Statement of strategy (D)'!$C$1=RefData!$B$421,'All Statement of strategy (D)'!$H825," "))))</f>
        <v xml:space="preserve"> </v>
      </c>
    </row>
    <row r="826" spans="1:9">
      <c r="A826" s="584" t="s">
        <v>2201</v>
      </c>
      <c r="B826" s="621" t="str">
        <f ca="1">TEXT('Reconciliation report'!$E$245,RefData!$B$423)</f>
        <v/>
      </c>
      <c r="E826" s="585" t="str">
        <f ca="1">IF(AND(OR('Reconciliation report'!$E$104=RefData!$B$8,'Reconciliation report'!$E$9=RefData!$B$5),'Reconciliation report'!$E$105&lt;&gt;RefData!$B$35),'All Statement of strategy (D)'!$B826,"")</f>
        <v/>
      </c>
      <c r="F826" s="585" t="str">
        <f ca="1">IF(AND(OR('Reconciliation report'!$E$104=RefData!$B$8,'Reconciliation report'!$E$9=RefData!$B$5),'Reconciliation report'!$E$105&lt;&gt;RefData!$B$35),'All Statement of strategy (D)'!$B826,"")</f>
        <v/>
      </c>
      <c r="G826" s="585" t="str">
        <f ca="1">IF(AND(OR('Reconciliation report'!$E$104=RefData!$B$8,'Reconciliation report'!$E$9=RefData!$B$5),'Reconciliation report'!$E$105&lt;&gt;RefData!$B$35),'All Statement of strategy (D)'!$B826,"")</f>
        <v/>
      </c>
      <c r="H826" s="585" t="str">
        <f ca="1">IF(AND(OR('Reconciliation report'!$E$104=RefData!$B$8,'Reconciliation report'!$E$9=RefData!$B$5),'Reconciliation report'!$E$105&lt;&gt;RefData!$B$35),'All Statement of strategy (D)'!$B826,"")</f>
        <v/>
      </c>
      <c r="I826" s="595" t="str">
        <f ca="1">IF($C$1=RefData!$B$418,'All Statement of strategy (D)'!$E826,IF('All Statement of strategy (D)'!$C$1=RefData!$B$419,'All Statement of strategy (D)'!$F826,IF('All Statement of strategy (D)'!$C$1=RefData!$B$420,'All Statement of strategy (D)'!$G826,IF('All Statement of strategy (D)'!$C$1=RefData!$B$421,'All Statement of strategy (D)'!$H826," "))))</f>
        <v xml:space="preserve"> </v>
      </c>
    </row>
    <row r="827" spans="1:9">
      <c r="A827" s="584" t="s">
        <v>2202</v>
      </c>
      <c r="B827" s="621" t="str">
        <f ca="1">TEXT('Reconciliation report'!$E$246,RefData!$B$423)</f>
        <v/>
      </c>
      <c r="E827" s="585" t="str">
        <f ca="1">IF(AND(OR('Reconciliation report'!$E$104=RefData!$B$8,'Reconciliation report'!$E$9=RefData!$B$5),'Reconciliation report'!$E$105&lt;&gt;RefData!$B$35),'All Statement of strategy (D)'!$B827,"")</f>
        <v/>
      </c>
      <c r="F827" s="585" t="str">
        <f ca="1">IF(AND(OR('Reconciliation report'!$E$104=RefData!$B$8,'Reconciliation report'!$E$9=RefData!$B$5),'Reconciliation report'!$E$105&lt;&gt;RefData!$B$35),'All Statement of strategy (D)'!$B827,"")</f>
        <v/>
      </c>
      <c r="G827" s="585" t="str">
        <f ca="1">IF(AND(OR('Reconciliation report'!$E$104=RefData!$B$8,'Reconciliation report'!$E$9=RefData!$B$5),'Reconciliation report'!$E$105&lt;&gt;RefData!$B$35),'All Statement of strategy (D)'!$B827,"")</f>
        <v/>
      </c>
      <c r="H827" s="585" t="str">
        <f ca="1">IF(AND(OR('Reconciliation report'!$E$104=RefData!$B$8,'Reconciliation report'!$E$9=RefData!$B$5),'Reconciliation report'!$E$105&lt;&gt;RefData!$B$35),'All Statement of strategy (D)'!$B827,"")</f>
        <v/>
      </c>
      <c r="I827" s="595" t="str">
        <f ca="1">IF($C$1=RefData!$B$418,'All Statement of strategy (D)'!$E827,IF('All Statement of strategy (D)'!$C$1=RefData!$B$419,'All Statement of strategy (D)'!$F827,IF('All Statement of strategy (D)'!$C$1=RefData!$B$420,'All Statement of strategy (D)'!$G827,IF('All Statement of strategy (D)'!$C$1=RefData!$B$421,'All Statement of strategy (D)'!$H827," "))))</f>
        <v xml:space="preserve"> </v>
      </c>
    </row>
    <row r="828" spans="1:9">
      <c r="A828" s="584" t="s">
        <v>2203</v>
      </c>
      <c r="B828" s="621" t="str">
        <f ca="1">TEXT('Reconciliation report'!$E$247,RefData!$B$423)</f>
        <v/>
      </c>
      <c r="E828" s="585" t="str">
        <f ca="1">IF(AND(OR('Reconciliation report'!$E$104=RefData!$B$8,'Reconciliation report'!$E$9=RefData!$B$5),'Reconciliation report'!$E$105&lt;&gt;RefData!$B$35),'All Statement of strategy (D)'!$B828,"")</f>
        <v/>
      </c>
      <c r="F828" s="585" t="str">
        <f ca="1">IF(AND(OR('Reconciliation report'!$E$104=RefData!$B$8,'Reconciliation report'!$E$9=RefData!$B$5),'Reconciliation report'!$E$105&lt;&gt;RefData!$B$35),'All Statement of strategy (D)'!$B828,"")</f>
        <v/>
      </c>
      <c r="G828" s="585" t="str">
        <f ca="1">IF(AND(OR('Reconciliation report'!$E$104=RefData!$B$8,'Reconciliation report'!$E$9=RefData!$B$5),'Reconciliation report'!$E$105&lt;&gt;RefData!$B$35),'All Statement of strategy (D)'!$B828,"")</f>
        <v/>
      </c>
      <c r="H828" s="585" t="str">
        <f ca="1">IF(AND(OR('Reconciliation report'!$E$104=RefData!$B$8,'Reconciliation report'!$E$9=RefData!$B$5),'Reconciliation report'!$E$105&lt;&gt;RefData!$B$35),'All Statement of strategy (D)'!$B828,"")</f>
        <v/>
      </c>
      <c r="I828" s="595" t="str">
        <f ca="1">IF($C$1=RefData!$B$418,'All Statement of strategy (D)'!$E828,IF('All Statement of strategy (D)'!$C$1=RefData!$B$419,'All Statement of strategy (D)'!$F828,IF('All Statement of strategy (D)'!$C$1=RefData!$B$420,'All Statement of strategy (D)'!$G828,IF('All Statement of strategy (D)'!$C$1=RefData!$B$421,'All Statement of strategy (D)'!$H828," "))))</f>
        <v xml:space="preserve"> </v>
      </c>
    </row>
    <row r="829" spans="1:9">
      <c r="A829" s="584" t="s">
        <v>2204</v>
      </c>
      <c r="B829" s="621" t="str">
        <f ca="1">TEXT('Reconciliation report'!$E$248,RefData!$B$423)</f>
        <v/>
      </c>
      <c r="E829" s="585" t="str">
        <f ca="1">IF(AND(OR('Reconciliation report'!$E$104=RefData!$B$8,'Reconciliation report'!$E$9=RefData!$B$5),'Reconciliation report'!$E$105&lt;&gt;RefData!$B$35),'All Statement of strategy (D)'!$B829,"")</f>
        <v/>
      </c>
      <c r="F829" s="585" t="str">
        <f ca="1">IF(AND(OR('Reconciliation report'!$E$104=RefData!$B$8,'Reconciliation report'!$E$9=RefData!$B$5),'Reconciliation report'!$E$105&lt;&gt;RefData!$B$35),'All Statement of strategy (D)'!$B829,"")</f>
        <v/>
      </c>
      <c r="G829" s="585" t="str">
        <f ca="1">IF(AND(OR('Reconciliation report'!$E$104=RefData!$B$8,'Reconciliation report'!$E$9=RefData!$B$5),'Reconciliation report'!$E$105&lt;&gt;RefData!$B$35),'All Statement of strategy (D)'!$B829,"")</f>
        <v/>
      </c>
      <c r="H829" s="585" t="str">
        <f ca="1">IF(AND(OR('Reconciliation report'!$E$104=RefData!$B$8,'Reconciliation report'!$E$9=RefData!$B$5),'Reconciliation report'!$E$105&lt;&gt;RefData!$B$35),'All Statement of strategy (D)'!$B829,"")</f>
        <v/>
      </c>
      <c r="I829" s="595" t="str">
        <f ca="1">IF($C$1=RefData!$B$418,'All Statement of strategy (D)'!$E829,IF('All Statement of strategy (D)'!$C$1=RefData!$B$419,'All Statement of strategy (D)'!$F829,IF('All Statement of strategy (D)'!$C$1=RefData!$B$420,'All Statement of strategy (D)'!$G829,IF('All Statement of strategy (D)'!$C$1=RefData!$B$421,'All Statement of strategy (D)'!$H829," "))))</f>
        <v xml:space="preserve"> </v>
      </c>
    </row>
    <row r="830" spans="1:9">
      <c r="A830" s="584" t="s">
        <v>2205</v>
      </c>
      <c r="B830" s="621" t="str">
        <f ca="1">TEXT('Reconciliation report'!$E$249,RefData!$B$423)</f>
        <v/>
      </c>
      <c r="E830" s="585" t="str">
        <f ca="1">IF(AND(OR('Reconciliation report'!$E$104=RefData!$B$8,'Reconciliation report'!$E$9=RefData!$B$5),'Reconciliation report'!$E$105&lt;&gt;RefData!$B$35),'All Statement of strategy (D)'!$B830,"")</f>
        <v/>
      </c>
      <c r="F830" s="585" t="str">
        <f ca="1">IF(AND(OR('Reconciliation report'!$E$104=RefData!$B$8,'Reconciliation report'!$E$9=RefData!$B$5),'Reconciliation report'!$E$105&lt;&gt;RefData!$B$35),'All Statement of strategy (D)'!$B830,"")</f>
        <v/>
      </c>
      <c r="G830" s="585" t="str">
        <f ca="1">IF(AND(OR('Reconciliation report'!$E$104=RefData!$B$8,'Reconciliation report'!$E$9=RefData!$B$5),'Reconciliation report'!$E$105&lt;&gt;RefData!$B$35),'All Statement of strategy (D)'!$B830,"")</f>
        <v/>
      </c>
      <c r="H830" s="585" t="str">
        <f ca="1">IF(AND(OR('Reconciliation report'!$E$104=RefData!$B$8,'Reconciliation report'!$E$9=RefData!$B$5),'Reconciliation report'!$E$105&lt;&gt;RefData!$B$35),'All Statement of strategy (D)'!$B830,"")</f>
        <v/>
      </c>
      <c r="I830" s="595" t="str">
        <f ca="1">IF($C$1=RefData!$B$418,'All Statement of strategy (D)'!$E830,IF('All Statement of strategy (D)'!$C$1=RefData!$B$419,'All Statement of strategy (D)'!$F830,IF('All Statement of strategy (D)'!$C$1=RefData!$B$420,'All Statement of strategy (D)'!$G830,IF('All Statement of strategy (D)'!$C$1=RefData!$B$421,'All Statement of strategy (D)'!$H830," "))))</f>
        <v xml:space="preserve"> </v>
      </c>
    </row>
    <row r="831" spans="1:9">
      <c r="A831" s="584" t="s">
        <v>2206</v>
      </c>
      <c r="B831" s="621" t="str">
        <f ca="1">TEXT('Reconciliation report'!$E$250,RefData!$B$423)</f>
        <v/>
      </c>
      <c r="E831" s="585" t="str">
        <f ca="1">IF(AND(OR('Reconciliation report'!$E$104=RefData!$B$8,'Reconciliation report'!$E$9=RefData!$B$5),'Reconciliation report'!$E$105&lt;&gt;RefData!$B$35),'All Statement of strategy (D)'!$B831,"")</f>
        <v/>
      </c>
      <c r="F831" s="585" t="str">
        <f ca="1">IF(AND(OR('Reconciliation report'!$E$104=RefData!$B$8,'Reconciliation report'!$E$9=RefData!$B$5),'Reconciliation report'!$E$105&lt;&gt;RefData!$B$35),'All Statement of strategy (D)'!$B831,"")</f>
        <v/>
      </c>
      <c r="G831" s="585" t="str">
        <f ca="1">IF(AND(OR('Reconciliation report'!$E$104=RefData!$B$8,'Reconciliation report'!$E$9=RefData!$B$5),'Reconciliation report'!$E$105&lt;&gt;RefData!$B$35),'All Statement of strategy (D)'!$B831,"")</f>
        <v/>
      </c>
      <c r="H831" s="585" t="str">
        <f ca="1">IF(AND(OR('Reconciliation report'!$E$104=RefData!$B$8,'Reconciliation report'!$E$9=RefData!$B$5),'Reconciliation report'!$E$105&lt;&gt;RefData!$B$35),'All Statement of strategy (D)'!$B831,"")</f>
        <v/>
      </c>
      <c r="I831" s="595" t="str">
        <f ca="1">IF($C$1=RefData!$B$418,'All Statement of strategy (D)'!$E831,IF('All Statement of strategy (D)'!$C$1=RefData!$B$419,'All Statement of strategy (D)'!$F831,IF('All Statement of strategy (D)'!$C$1=RefData!$B$420,'All Statement of strategy (D)'!$G831,IF('All Statement of strategy (D)'!$C$1=RefData!$B$421,'All Statement of strategy (D)'!$H831," "))))</f>
        <v xml:space="preserve"> </v>
      </c>
    </row>
    <row r="832" spans="1:9">
      <c r="A832" s="584" t="s">
        <v>2207</v>
      </c>
      <c r="B832" s="621" t="str">
        <f ca="1">TEXT('Reconciliation report'!$E$251,RefData!$B$423)</f>
        <v/>
      </c>
      <c r="E832" s="585" t="str">
        <f ca="1">IF(AND(OR('Reconciliation report'!$E$104=RefData!$B$8,'Reconciliation report'!$E$9=RefData!$B$5),'Reconciliation report'!$E$105&lt;&gt;RefData!$B$35),'All Statement of strategy (D)'!$B832,"")</f>
        <v/>
      </c>
      <c r="F832" s="585" t="str">
        <f ca="1">IF(AND(OR('Reconciliation report'!$E$104=RefData!$B$8,'Reconciliation report'!$E$9=RefData!$B$5),'Reconciliation report'!$E$105&lt;&gt;RefData!$B$35),'All Statement of strategy (D)'!$B832,"")</f>
        <v/>
      </c>
      <c r="G832" s="585" t="str">
        <f ca="1">IF(AND(OR('Reconciliation report'!$E$104=RefData!$B$8,'Reconciliation report'!$E$9=RefData!$B$5),'Reconciliation report'!$E$105&lt;&gt;RefData!$B$35),'All Statement of strategy (D)'!$B832,"")</f>
        <v/>
      </c>
      <c r="H832" s="585" t="str">
        <f ca="1">IF(AND(OR('Reconciliation report'!$E$104=RefData!$B$8,'Reconciliation report'!$E$9=RefData!$B$5),'Reconciliation report'!$E$105&lt;&gt;RefData!$B$35),'All Statement of strategy (D)'!$B832,"")</f>
        <v/>
      </c>
      <c r="I832" s="595" t="str">
        <f ca="1">IF($C$1=RefData!$B$418,'All Statement of strategy (D)'!$E832,IF('All Statement of strategy (D)'!$C$1=RefData!$B$419,'All Statement of strategy (D)'!$F832,IF('All Statement of strategy (D)'!$C$1=RefData!$B$420,'All Statement of strategy (D)'!$G832,IF('All Statement of strategy (D)'!$C$1=RefData!$B$421,'All Statement of strategy (D)'!$H832," "))))</f>
        <v xml:space="preserve"> </v>
      </c>
    </row>
    <row r="833" spans="1:9">
      <c r="A833" s="584" t="s">
        <v>2208</v>
      </c>
      <c r="B833" s="621" t="str">
        <f ca="1">TEXT('Reconciliation report'!$E$252,RefData!$B$423)</f>
        <v/>
      </c>
      <c r="E833" s="585" t="str">
        <f ca="1">IF(AND(OR('Reconciliation report'!$E$104=RefData!$B$8,'Reconciliation report'!$E$9=RefData!$B$5),'Reconciliation report'!$E$105&lt;&gt;RefData!$B$35),'All Statement of strategy (D)'!$B833,"")</f>
        <v/>
      </c>
      <c r="F833" s="585" t="str">
        <f ca="1">IF(AND(OR('Reconciliation report'!$E$104=RefData!$B$8,'Reconciliation report'!$E$9=RefData!$B$5),'Reconciliation report'!$E$105&lt;&gt;RefData!$B$35),'All Statement of strategy (D)'!$B833,"")</f>
        <v/>
      </c>
      <c r="G833" s="585" t="str">
        <f ca="1">IF(AND(OR('Reconciliation report'!$E$104=RefData!$B$8,'Reconciliation report'!$E$9=RefData!$B$5),'Reconciliation report'!$E$105&lt;&gt;RefData!$B$35),'All Statement of strategy (D)'!$B833,"")</f>
        <v/>
      </c>
      <c r="H833" s="585" t="str">
        <f ca="1">IF(AND(OR('Reconciliation report'!$E$104=RefData!$B$8,'Reconciliation report'!$E$9=RefData!$B$5),'Reconciliation report'!$E$105&lt;&gt;RefData!$B$35),'All Statement of strategy (D)'!$B833,"")</f>
        <v/>
      </c>
      <c r="I833" s="595" t="str">
        <f ca="1">IF($C$1=RefData!$B$418,'All Statement of strategy (D)'!$E833,IF('All Statement of strategy (D)'!$C$1=RefData!$B$419,'All Statement of strategy (D)'!$F833,IF('All Statement of strategy (D)'!$C$1=RefData!$B$420,'All Statement of strategy (D)'!$G833,IF('All Statement of strategy (D)'!$C$1=RefData!$B$421,'All Statement of strategy (D)'!$H833," "))))</f>
        <v xml:space="preserve"> </v>
      </c>
    </row>
    <row r="834" spans="1:9">
      <c r="A834" s="584" t="s">
        <v>2209</v>
      </c>
      <c r="B834" s="621" t="str">
        <f ca="1">TEXT('Reconciliation report'!$E$253,RefData!$B$423)</f>
        <v/>
      </c>
      <c r="E834" s="585" t="str">
        <f ca="1">IF(AND(OR('Reconciliation report'!$E$104=RefData!$B$8,'Reconciliation report'!$E$9=RefData!$B$5),'Reconciliation report'!$E$105&lt;&gt;RefData!$B$35),'All Statement of strategy (D)'!$B834,"")</f>
        <v/>
      </c>
      <c r="F834" s="585" t="str">
        <f ca="1">IF(AND(OR('Reconciliation report'!$E$104=RefData!$B$8,'Reconciliation report'!$E$9=RefData!$B$5),'Reconciliation report'!$E$105&lt;&gt;RefData!$B$35),'All Statement of strategy (D)'!$B834,"")</f>
        <v/>
      </c>
      <c r="G834" s="585" t="str">
        <f ca="1">IF(AND(OR('Reconciliation report'!$E$104=RefData!$B$8,'Reconciliation report'!$E$9=RefData!$B$5),'Reconciliation report'!$E$105&lt;&gt;RefData!$B$35),'All Statement of strategy (D)'!$B834,"")</f>
        <v/>
      </c>
      <c r="H834" s="585" t="str">
        <f ca="1">IF(AND(OR('Reconciliation report'!$E$104=RefData!$B$8,'Reconciliation report'!$E$9=RefData!$B$5),'Reconciliation report'!$E$105&lt;&gt;RefData!$B$35),'All Statement of strategy (D)'!$B834,"")</f>
        <v/>
      </c>
      <c r="I834" s="595" t="str">
        <f ca="1">IF($C$1=RefData!$B$418,'All Statement of strategy (D)'!$E834,IF('All Statement of strategy (D)'!$C$1=RefData!$B$419,'All Statement of strategy (D)'!$F834,IF('All Statement of strategy (D)'!$C$1=RefData!$B$420,'All Statement of strategy (D)'!$G834,IF('All Statement of strategy (D)'!$C$1=RefData!$B$421,'All Statement of strategy (D)'!$H834," "))))</f>
        <v xml:space="preserve"> </v>
      </c>
    </row>
    <row r="835" spans="1:9">
      <c r="A835" s="584" t="s">
        <v>2210</v>
      </c>
      <c r="B835" s="621" t="str">
        <f ca="1">TEXT('Reconciliation report'!$E$254,RefData!$B$423)</f>
        <v/>
      </c>
      <c r="E835" s="585" t="str">
        <f ca="1">IF(AND(OR('Reconciliation report'!$E$104=RefData!$B$8,'Reconciliation report'!$E$9=RefData!$B$5),OR('Reconciliation report'!$E$119=RefData!$B$46,'Reconciliation report'!$E$119=RefData!$B$48)),'All Statement of strategy (D)'!$B835,"")</f>
        <v/>
      </c>
      <c r="F835" s="585" t="str">
        <f ca="1">IF(AND(OR('Reconciliation report'!$E$104=RefData!$B$8,'Reconciliation report'!$E$9=RefData!$B$5),OR('Reconciliation report'!$E$119=RefData!$B$46,'Reconciliation report'!$E$119=RefData!$B$48)),'All Statement of strategy (D)'!$B835,"")</f>
        <v/>
      </c>
      <c r="G835" s="585" t="str">
        <f ca="1">IF(AND(OR('Reconciliation report'!$E$104=RefData!$B$8,'Reconciliation report'!$E$9=RefData!$B$5),OR('Reconciliation report'!$E$119=RefData!$B$46,'Reconciliation report'!$E$119=RefData!$B$48)),'All Statement of strategy (D)'!$B835,"")</f>
        <v/>
      </c>
      <c r="H835" s="585" t="str">
        <f ca="1">IF(AND(OR('Reconciliation report'!$E$104=RefData!$B$8,'Reconciliation report'!$E$9=RefData!$B$5),OR('Reconciliation report'!$E$119=RefData!$B$46,'Reconciliation report'!$E$119=RefData!$B$48)),'All Statement of strategy (D)'!$B835,"")</f>
        <v/>
      </c>
      <c r="I835" s="595" t="str">
        <f ca="1">IF($C$1=RefData!$B$418,'All Statement of strategy (D)'!$E835,IF('All Statement of strategy (D)'!$C$1=RefData!$B$419,'All Statement of strategy (D)'!$F835,IF('All Statement of strategy (D)'!$C$1=RefData!$B$420,'All Statement of strategy (D)'!$G835,IF('All Statement of strategy (D)'!$C$1=RefData!$B$421,'All Statement of strategy (D)'!$H835," "))))</f>
        <v xml:space="preserve"> </v>
      </c>
    </row>
    <row r="836" spans="1:9">
      <c r="A836" s="584" t="s">
        <v>2211</v>
      </c>
      <c r="B836" s="621" t="str">
        <f ca="1">TEXT('Reconciliation report'!$E$255,RefData!$B$423)</f>
        <v/>
      </c>
      <c r="E836" s="585" t="str">
        <f ca="1">IF(AND(OR('Reconciliation report'!$E$104=RefData!$B$8,'Reconciliation report'!$E$9=RefData!$B$5),OR('Reconciliation report'!$E$119=RefData!$B$46,'Reconciliation report'!$E$119=RefData!$B$48)),'All Statement of strategy (D)'!$B836,"")</f>
        <v/>
      </c>
      <c r="F836" s="585" t="str">
        <f ca="1">IF(AND(OR('Reconciliation report'!$E$104=RefData!$B$8,'Reconciliation report'!$E$9=RefData!$B$5),OR('Reconciliation report'!$E$119=RefData!$B$46,'Reconciliation report'!$E$119=RefData!$B$48)),'All Statement of strategy (D)'!$B836,"")</f>
        <v/>
      </c>
      <c r="G836" s="585" t="str">
        <f ca="1">IF(AND(OR('Reconciliation report'!$E$104=RefData!$B$8,'Reconciliation report'!$E$9=RefData!$B$5),OR('Reconciliation report'!$E$119=RefData!$B$46,'Reconciliation report'!$E$119=RefData!$B$48)),'All Statement of strategy (D)'!$B836,"")</f>
        <v/>
      </c>
      <c r="H836" s="585" t="str">
        <f ca="1">IF(AND(OR('Reconciliation report'!$E$104=RefData!$B$8,'Reconciliation report'!$E$9=RefData!$B$5),OR('Reconciliation report'!$E$119=RefData!$B$46,'Reconciliation report'!$E$119=RefData!$B$48)),'All Statement of strategy (D)'!$B836,"")</f>
        <v/>
      </c>
      <c r="I836" s="595" t="str">
        <f ca="1">IF($C$1=RefData!$B$418,'All Statement of strategy (D)'!$E836,IF('All Statement of strategy (D)'!$C$1=RefData!$B$419,'All Statement of strategy (D)'!$F836,IF('All Statement of strategy (D)'!$C$1=RefData!$B$420,'All Statement of strategy (D)'!$G836,IF('All Statement of strategy (D)'!$C$1=RefData!$B$421,'All Statement of strategy (D)'!$H836," "))))</f>
        <v xml:space="preserve"> </v>
      </c>
    </row>
    <row r="837" spans="1:9">
      <c r="A837" s="584" t="s">
        <v>2212</v>
      </c>
      <c r="B837" s="621" t="str">
        <f ca="1">TEXT('Reconciliation report'!$E$256,RefData!$B$423)</f>
        <v/>
      </c>
      <c r="E837" s="585" t="str">
        <f ca="1">IF(AND(OR('Reconciliation report'!$E$104=RefData!$B$8,'Reconciliation report'!$E$9=RefData!$B$5),OR('Reconciliation report'!$E$119=RefData!$B$46,'Reconciliation report'!$E$119=RefData!$B$48)),'All Statement of strategy (D)'!$B837,"")</f>
        <v/>
      </c>
      <c r="F837" s="585" t="str">
        <f ca="1">IF(AND(OR('Reconciliation report'!$E$104=RefData!$B$8,'Reconciliation report'!$E$9=RefData!$B$5),OR('Reconciliation report'!$E$119=RefData!$B$46,'Reconciliation report'!$E$119=RefData!$B$48)),'All Statement of strategy (D)'!$B837,"")</f>
        <v/>
      </c>
      <c r="G837" s="585" t="str">
        <f ca="1">IF(AND(OR('Reconciliation report'!$E$104=RefData!$B$8,'Reconciliation report'!$E$9=RefData!$B$5),OR('Reconciliation report'!$E$119=RefData!$B$46,'Reconciliation report'!$E$119=RefData!$B$48)),'All Statement of strategy (D)'!$B837,"")</f>
        <v/>
      </c>
      <c r="H837" s="585" t="str">
        <f ca="1">IF(AND(OR('Reconciliation report'!$E$104=RefData!$B$8,'Reconciliation report'!$E$9=RefData!$B$5),OR('Reconciliation report'!$E$119=RefData!$B$46,'Reconciliation report'!$E$119=RefData!$B$48)),'All Statement of strategy (D)'!$B837,"")</f>
        <v/>
      </c>
      <c r="I837" s="595" t="str">
        <f ca="1">IF($C$1=RefData!$B$418,'All Statement of strategy (D)'!$E837,IF('All Statement of strategy (D)'!$C$1=RefData!$B$419,'All Statement of strategy (D)'!$F837,IF('All Statement of strategy (D)'!$C$1=RefData!$B$420,'All Statement of strategy (D)'!$G837,IF('All Statement of strategy (D)'!$C$1=RefData!$B$421,'All Statement of strategy (D)'!$H837," "))))</f>
        <v xml:space="preserve"> </v>
      </c>
    </row>
    <row r="838" spans="1:9">
      <c r="A838" s="584" t="s">
        <v>2213</v>
      </c>
      <c r="B838" s="621" t="str">
        <f ca="1">TEXT('Reconciliation report'!$E$257,RefData!$B$423)</f>
        <v/>
      </c>
      <c r="E838" s="585" t="str">
        <f ca="1">IF(AND(OR('Reconciliation report'!$E$104=RefData!$B$8,'Reconciliation report'!$E$9=RefData!$B$5),OR('Reconciliation report'!$E$119=RefData!$B$46,'Reconciliation report'!$E$119=RefData!$B$48)),'All Statement of strategy (D)'!$B838,"")</f>
        <v/>
      </c>
      <c r="F838" s="585" t="str">
        <f ca="1">IF(AND(OR('Reconciliation report'!$E$104=RefData!$B$8,'Reconciliation report'!$E$9=RefData!$B$5),OR('Reconciliation report'!$E$119=RefData!$B$46,'Reconciliation report'!$E$119=RefData!$B$48)),'All Statement of strategy (D)'!$B838,"")</f>
        <v/>
      </c>
      <c r="G838" s="585" t="str">
        <f ca="1">IF(AND(OR('Reconciliation report'!$E$104=RefData!$B$8,'Reconciliation report'!$E$9=RefData!$B$5),OR('Reconciliation report'!$E$119=RefData!$B$46,'Reconciliation report'!$E$119=RefData!$B$48)),'All Statement of strategy (D)'!$B838,"")</f>
        <v/>
      </c>
      <c r="H838" s="585" t="str">
        <f ca="1">IF(AND(OR('Reconciliation report'!$E$104=RefData!$B$8,'Reconciliation report'!$E$9=RefData!$B$5),OR('Reconciliation report'!$E$119=RefData!$B$46,'Reconciliation report'!$E$119=RefData!$B$48)),'All Statement of strategy (D)'!$B838,"")</f>
        <v/>
      </c>
      <c r="I838" s="595" t="str">
        <f ca="1">IF($C$1=RefData!$B$418,'All Statement of strategy (D)'!$E838,IF('All Statement of strategy (D)'!$C$1=RefData!$B$419,'All Statement of strategy (D)'!$F838,IF('All Statement of strategy (D)'!$C$1=RefData!$B$420,'All Statement of strategy (D)'!$G838,IF('All Statement of strategy (D)'!$C$1=RefData!$B$421,'All Statement of strategy (D)'!$H838," "))))</f>
        <v xml:space="preserve"> </v>
      </c>
    </row>
    <row r="839" spans="1:9">
      <c r="A839" s="584" t="s">
        <v>2214</v>
      </c>
      <c r="B839" s="621" t="str">
        <f ca="1">TEXT('Reconciliation report'!$E$258,RefData!$B$423)</f>
        <v/>
      </c>
      <c r="E839" s="585" t="str">
        <f ca="1">IF(AND(OR('Reconciliation report'!$E$104=RefData!$B$8,'Reconciliation report'!$E$9=RefData!$B$5),OR('Reconciliation report'!$E$119=RefData!$B$46,'Reconciliation report'!$E$119=RefData!$B$48)),'All Statement of strategy (D)'!$B839,"")</f>
        <v/>
      </c>
      <c r="F839" s="585" t="str">
        <f ca="1">IF(AND(OR('Reconciliation report'!$E$104=RefData!$B$8,'Reconciliation report'!$E$9=RefData!$B$5),OR('Reconciliation report'!$E$119=RefData!$B$46,'Reconciliation report'!$E$119=RefData!$B$48)),'All Statement of strategy (D)'!$B839,"")</f>
        <v/>
      </c>
      <c r="G839" s="585" t="str">
        <f ca="1">IF(AND(OR('Reconciliation report'!$E$104=RefData!$B$8,'Reconciliation report'!$E$9=RefData!$B$5),OR('Reconciliation report'!$E$119=RefData!$B$46,'Reconciliation report'!$E$119=RefData!$B$48)),'All Statement of strategy (D)'!$B839,"")</f>
        <v/>
      </c>
      <c r="H839" s="585" t="str">
        <f ca="1">IF(AND(OR('Reconciliation report'!$E$104=RefData!$B$8,'Reconciliation report'!$E$9=RefData!$B$5),OR('Reconciliation report'!$E$119=RefData!$B$46,'Reconciliation report'!$E$119=RefData!$B$48)),'All Statement of strategy (D)'!$B839,"")</f>
        <v/>
      </c>
      <c r="I839" s="595" t="str">
        <f ca="1">IF($C$1=RefData!$B$418,'All Statement of strategy (D)'!$E839,IF('All Statement of strategy (D)'!$C$1=RefData!$B$419,'All Statement of strategy (D)'!$F839,IF('All Statement of strategy (D)'!$C$1=RefData!$B$420,'All Statement of strategy (D)'!$G839,IF('All Statement of strategy (D)'!$C$1=RefData!$B$421,'All Statement of strategy (D)'!$H839," "))))</f>
        <v xml:space="preserve"> </v>
      </c>
    </row>
    <row r="840" spans="1:9">
      <c r="A840" s="584" t="s">
        <v>2215</v>
      </c>
      <c r="B840" s="621" t="str">
        <f ca="1">TEXT('Reconciliation report'!$E$259,RefData!$B$423)</f>
        <v/>
      </c>
      <c r="E840" s="585" t="str">
        <f ca="1">IF(AND(OR('Reconciliation report'!$E$104=RefData!$B$8,'Reconciliation report'!$E$9=RefData!$B$5),OR('Reconciliation report'!$E$119=RefData!$B$46,'Reconciliation report'!$E$119=RefData!$B$48)),'All Statement of strategy (D)'!$B840,"")</f>
        <v/>
      </c>
      <c r="F840" s="585" t="str">
        <f ca="1">IF(AND(OR('Reconciliation report'!$E$104=RefData!$B$8,'Reconciliation report'!$E$9=RefData!$B$5),OR('Reconciliation report'!$E$119=RefData!$B$46,'Reconciliation report'!$E$119=RefData!$B$48)),'All Statement of strategy (D)'!$B840,"")</f>
        <v/>
      </c>
      <c r="G840" s="585" t="str">
        <f ca="1">IF(AND(OR('Reconciliation report'!$E$104=RefData!$B$8,'Reconciliation report'!$E$9=RefData!$B$5),OR('Reconciliation report'!$E$119=RefData!$B$46,'Reconciliation report'!$E$119=RefData!$B$48)),'All Statement of strategy (D)'!$B840,"")</f>
        <v/>
      </c>
      <c r="H840" s="585" t="str">
        <f ca="1">IF(AND(OR('Reconciliation report'!$E$104=RefData!$B$8,'Reconciliation report'!$E$9=RefData!$B$5),OR('Reconciliation report'!$E$119=RefData!$B$46,'Reconciliation report'!$E$119=RefData!$B$48)),'All Statement of strategy (D)'!$B840,"")</f>
        <v/>
      </c>
      <c r="I840" s="595" t="str">
        <f ca="1">IF($C$1=RefData!$B$418,'All Statement of strategy (D)'!$E840,IF('All Statement of strategy (D)'!$C$1=RefData!$B$419,'All Statement of strategy (D)'!$F840,IF('All Statement of strategy (D)'!$C$1=RefData!$B$420,'All Statement of strategy (D)'!$G840,IF('All Statement of strategy (D)'!$C$1=RefData!$B$421,'All Statement of strategy (D)'!$H840," "))))</f>
        <v xml:space="preserve"> </v>
      </c>
    </row>
    <row r="841" spans="1:9">
      <c r="A841" s="584" t="s">
        <v>2216</v>
      </c>
      <c r="B841" s="621" t="str">
        <f ca="1">TEXT('Reconciliation report'!$E$260,RefData!$B$423)</f>
        <v/>
      </c>
      <c r="E841" s="585" t="str">
        <f ca="1">IF(AND(OR('Reconciliation report'!$E$104=RefData!$B$8,'Reconciliation report'!$E$9=RefData!$B$5),OR('Reconciliation report'!$E$119=RefData!$B$46,'Reconciliation report'!$E$119=RefData!$B$48)),'All Statement of strategy (D)'!$B841,"")</f>
        <v/>
      </c>
      <c r="F841" s="585" t="str">
        <f ca="1">IF(AND(OR('Reconciliation report'!$E$104=RefData!$B$8,'Reconciliation report'!$E$9=RefData!$B$5),OR('Reconciliation report'!$E$119=RefData!$B$46,'Reconciliation report'!$E$119=RefData!$B$48)),'All Statement of strategy (D)'!$B841,"")</f>
        <v/>
      </c>
      <c r="G841" s="585" t="str">
        <f ca="1">IF(AND(OR('Reconciliation report'!$E$104=RefData!$B$8,'Reconciliation report'!$E$9=RefData!$B$5),OR('Reconciliation report'!$E$119=RefData!$B$46,'Reconciliation report'!$E$119=RefData!$B$48)),'All Statement of strategy (D)'!$B841,"")</f>
        <v/>
      </c>
      <c r="H841" s="585" t="str">
        <f ca="1">IF(AND(OR('Reconciliation report'!$E$104=RefData!$B$8,'Reconciliation report'!$E$9=RefData!$B$5),OR('Reconciliation report'!$E$119=RefData!$B$46,'Reconciliation report'!$E$119=RefData!$B$48)),'All Statement of strategy (D)'!$B841,"")</f>
        <v/>
      </c>
      <c r="I841" s="595" t="str">
        <f ca="1">IF($C$1=RefData!$B$418,'All Statement of strategy (D)'!$E841,IF('All Statement of strategy (D)'!$C$1=RefData!$B$419,'All Statement of strategy (D)'!$F841,IF('All Statement of strategy (D)'!$C$1=RefData!$B$420,'All Statement of strategy (D)'!$G841,IF('All Statement of strategy (D)'!$C$1=RefData!$B$421,'All Statement of strategy (D)'!$H841," "))))</f>
        <v xml:space="preserve"> </v>
      </c>
    </row>
    <row r="842" spans="1:9">
      <c r="A842" s="584" t="s">
        <v>2217</v>
      </c>
      <c r="B842" s="621" t="str">
        <f ca="1">TEXT('Reconciliation report'!$E$261,RefData!$B$423)</f>
        <v/>
      </c>
      <c r="E842" s="585" t="str">
        <f ca="1">IF(AND(OR('Reconciliation report'!$E$104=RefData!$B$8,'Reconciliation report'!$E$9=RefData!$B$5),OR('Reconciliation report'!$E$119=RefData!$B$46,'Reconciliation report'!$E$119=RefData!$B$48)),'All Statement of strategy (D)'!$B842,"")</f>
        <v/>
      </c>
      <c r="F842" s="585" t="str">
        <f ca="1">IF(AND(OR('Reconciliation report'!$E$104=RefData!$B$8,'Reconciliation report'!$E$9=RefData!$B$5),OR('Reconciliation report'!$E$119=RefData!$B$46,'Reconciliation report'!$E$119=RefData!$B$48)),'All Statement of strategy (D)'!$B842,"")</f>
        <v/>
      </c>
      <c r="G842" s="585" t="str">
        <f ca="1">IF(AND(OR('Reconciliation report'!$E$104=RefData!$B$8,'Reconciliation report'!$E$9=RefData!$B$5),OR('Reconciliation report'!$E$119=RefData!$B$46,'Reconciliation report'!$E$119=RefData!$B$48)),'All Statement of strategy (D)'!$B842,"")</f>
        <v/>
      </c>
      <c r="H842" s="585" t="str">
        <f ca="1">IF(AND(OR('Reconciliation report'!$E$104=RefData!$B$8,'Reconciliation report'!$E$9=RefData!$B$5),OR('Reconciliation report'!$E$119=RefData!$B$46,'Reconciliation report'!$E$119=RefData!$B$48)),'All Statement of strategy (D)'!$B842,"")</f>
        <v/>
      </c>
      <c r="I842" s="595" t="str">
        <f ca="1">IF($C$1=RefData!$B$418,'All Statement of strategy (D)'!$E842,IF('All Statement of strategy (D)'!$C$1=RefData!$B$419,'All Statement of strategy (D)'!$F842,IF('All Statement of strategy (D)'!$C$1=RefData!$B$420,'All Statement of strategy (D)'!$G842,IF('All Statement of strategy (D)'!$C$1=RefData!$B$421,'All Statement of strategy (D)'!$H842," "))))</f>
        <v xml:space="preserve"> </v>
      </c>
    </row>
    <row r="843" spans="1:9">
      <c r="A843" s="584" t="s">
        <v>2218</v>
      </c>
      <c r="B843" s="621" t="str">
        <f ca="1">TEXT('Reconciliation report'!$E$262,RefData!$B$423)</f>
        <v/>
      </c>
      <c r="E843" s="585" t="str">
        <f ca="1">IF(AND(OR('Reconciliation report'!$E$104=RefData!$B$8,'Reconciliation report'!$E$9=RefData!$B$5),OR('Reconciliation report'!$E$119=RefData!$B$46,'Reconciliation report'!$E$119=RefData!$B$48)),'All Statement of strategy (D)'!$B843,"")</f>
        <v/>
      </c>
      <c r="F843" s="585" t="str">
        <f ca="1">IF(AND(OR('Reconciliation report'!$E$104=RefData!$B$8,'Reconciliation report'!$E$9=RefData!$B$5),OR('Reconciliation report'!$E$119=RefData!$B$46,'Reconciliation report'!$E$119=RefData!$B$48)),'All Statement of strategy (D)'!$B843,"")</f>
        <v/>
      </c>
      <c r="G843" s="585" t="str">
        <f ca="1">IF(AND(OR('Reconciliation report'!$E$104=RefData!$B$8,'Reconciliation report'!$E$9=RefData!$B$5),OR('Reconciliation report'!$E$119=RefData!$B$46,'Reconciliation report'!$E$119=RefData!$B$48)),'All Statement of strategy (D)'!$B843,"")</f>
        <v/>
      </c>
      <c r="H843" s="585" t="str">
        <f ca="1">IF(AND(OR('Reconciliation report'!$E$104=RefData!$B$8,'Reconciliation report'!$E$9=RefData!$B$5),OR('Reconciliation report'!$E$119=RefData!$B$46,'Reconciliation report'!$E$119=RefData!$B$48)),'All Statement of strategy (D)'!$B843,"")</f>
        <v/>
      </c>
      <c r="I843" s="595" t="str">
        <f ca="1">IF($C$1=RefData!$B$418,'All Statement of strategy (D)'!$E843,IF('All Statement of strategy (D)'!$C$1=RefData!$B$419,'All Statement of strategy (D)'!$F843,IF('All Statement of strategy (D)'!$C$1=RefData!$B$420,'All Statement of strategy (D)'!$G843,IF('All Statement of strategy (D)'!$C$1=RefData!$B$421,'All Statement of strategy (D)'!$H843," "))))</f>
        <v xml:space="preserve"> </v>
      </c>
    </row>
    <row r="844" spans="1:9">
      <c r="A844" s="584" t="s">
        <v>2219</v>
      </c>
      <c r="B844" s="621" t="str">
        <f ca="1">TEXT('Reconciliation report'!$E$263,RefData!$B$423)</f>
        <v/>
      </c>
      <c r="E844" s="585" t="str">
        <f ca="1">IF(AND(OR('Reconciliation report'!$E$104=RefData!$B$8,'Reconciliation report'!$E$9=RefData!$B$5),OR('Reconciliation report'!$E$119=RefData!$B$46,'Reconciliation report'!$E$119=RefData!$B$48)),'All Statement of strategy (D)'!$B844,"")</f>
        <v/>
      </c>
      <c r="F844" s="585" t="str">
        <f ca="1">IF(AND(OR('Reconciliation report'!$E$104=RefData!$B$8,'Reconciliation report'!$E$9=RefData!$B$5),OR('Reconciliation report'!$E$119=RefData!$B$46,'Reconciliation report'!$E$119=RefData!$B$48)),'All Statement of strategy (D)'!$B844,"")</f>
        <v/>
      </c>
      <c r="G844" s="585" t="str">
        <f ca="1">IF(AND(OR('Reconciliation report'!$E$104=RefData!$B$8,'Reconciliation report'!$E$9=RefData!$B$5),OR('Reconciliation report'!$E$119=RefData!$B$46,'Reconciliation report'!$E$119=RefData!$B$48)),'All Statement of strategy (D)'!$B844,"")</f>
        <v/>
      </c>
      <c r="H844" s="585" t="str">
        <f ca="1">IF(AND(OR('Reconciliation report'!$E$104=RefData!$B$8,'Reconciliation report'!$E$9=RefData!$B$5),OR('Reconciliation report'!$E$119=RefData!$B$46,'Reconciliation report'!$E$119=RefData!$B$48)),'All Statement of strategy (D)'!$B844,"")</f>
        <v/>
      </c>
      <c r="I844" s="595" t="str">
        <f ca="1">IF($C$1=RefData!$B$418,'All Statement of strategy (D)'!$E844,IF('All Statement of strategy (D)'!$C$1=RefData!$B$419,'All Statement of strategy (D)'!$F844,IF('All Statement of strategy (D)'!$C$1=RefData!$B$420,'All Statement of strategy (D)'!$G844,IF('All Statement of strategy (D)'!$C$1=RefData!$B$421,'All Statement of strategy (D)'!$H844," "))))</f>
        <v xml:space="preserve"> </v>
      </c>
    </row>
    <row r="845" spans="1:9">
      <c r="A845" s="584" t="s">
        <v>2220</v>
      </c>
      <c r="B845" s="621" t="str">
        <f ca="1">TEXT('Reconciliation report'!$E$264,RefData!$B$423)</f>
        <v/>
      </c>
      <c r="E845" s="585" t="str">
        <f ca="1">IF(AND(OR('Reconciliation report'!$E$104=RefData!$B$8,'Reconciliation report'!$E$9=RefData!$B$5),OR('Reconciliation report'!$E$119=RefData!$B$46,'Reconciliation report'!$E$119=RefData!$B$48)),'All Statement of strategy (D)'!$B845,"")</f>
        <v/>
      </c>
      <c r="F845" s="585" t="str">
        <f ca="1">IF(AND(OR('Reconciliation report'!$E$104=RefData!$B$8,'Reconciliation report'!$E$9=RefData!$B$5),OR('Reconciliation report'!$E$119=RefData!$B$46,'Reconciliation report'!$E$119=RefData!$B$48)),'All Statement of strategy (D)'!$B845,"")</f>
        <v/>
      </c>
      <c r="G845" s="585" t="str">
        <f ca="1">IF(AND(OR('Reconciliation report'!$E$104=RefData!$B$8,'Reconciliation report'!$E$9=RefData!$B$5),OR('Reconciliation report'!$E$119=RefData!$B$46,'Reconciliation report'!$E$119=RefData!$B$48)),'All Statement of strategy (D)'!$B845,"")</f>
        <v/>
      </c>
      <c r="H845" s="585" t="str">
        <f ca="1">IF(AND(OR('Reconciliation report'!$E$104=RefData!$B$8,'Reconciliation report'!$E$9=RefData!$B$5),OR('Reconciliation report'!$E$119=RefData!$B$46,'Reconciliation report'!$E$119=RefData!$B$48)),'All Statement of strategy (D)'!$B845,"")</f>
        <v/>
      </c>
      <c r="I845" s="595" t="str">
        <f ca="1">IF($C$1=RefData!$B$418,'All Statement of strategy (D)'!$E845,IF('All Statement of strategy (D)'!$C$1=RefData!$B$419,'All Statement of strategy (D)'!$F845,IF('All Statement of strategy (D)'!$C$1=RefData!$B$420,'All Statement of strategy (D)'!$G845,IF('All Statement of strategy (D)'!$C$1=RefData!$B$421,'All Statement of strategy (D)'!$H845," "))))</f>
        <v xml:space="preserve"> </v>
      </c>
    </row>
    <row r="846" spans="1:9">
      <c r="A846" s="584" t="s">
        <v>2221</v>
      </c>
      <c r="B846" s="621" t="str">
        <f ca="1">TEXT('Reconciliation report'!$E$265,RefData!$B$423)</f>
        <v/>
      </c>
      <c r="E846" s="585" t="str">
        <f ca="1">IF(AND(OR('Reconciliation report'!$E$104=RefData!$B$8,'Reconciliation report'!$E$9=RefData!$B$5),OR('Reconciliation report'!$E$119=RefData!$B$46,'Reconciliation report'!$E$119=RefData!$B$48)),'All Statement of strategy (D)'!$B846,"")</f>
        <v/>
      </c>
      <c r="F846" s="585" t="str">
        <f ca="1">IF(AND(OR('Reconciliation report'!$E$104=RefData!$B$8,'Reconciliation report'!$E$9=RefData!$B$5),OR('Reconciliation report'!$E$119=RefData!$B$46,'Reconciliation report'!$E$119=RefData!$B$48)),'All Statement of strategy (D)'!$B846,"")</f>
        <v/>
      </c>
      <c r="G846" s="585" t="str">
        <f ca="1">IF(AND(OR('Reconciliation report'!$E$104=RefData!$B$8,'Reconciliation report'!$E$9=RefData!$B$5),OR('Reconciliation report'!$E$119=RefData!$B$46,'Reconciliation report'!$E$119=RefData!$B$48)),'All Statement of strategy (D)'!$B846,"")</f>
        <v/>
      </c>
      <c r="H846" s="585" t="str">
        <f ca="1">IF(AND(OR('Reconciliation report'!$E$104=RefData!$B$8,'Reconciliation report'!$E$9=RefData!$B$5),OR('Reconciliation report'!$E$119=RefData!$B$46,'Reconciliation report'!$E$119=RefData!$B$48)),'All Statement of strategy (D)'!$B846,"")</f>
        <v/>
      </c>
      <c r="I846" s="595" t="str">
        <f ca="1">IF($C$1=RefData!$B$418,'All Statement of strategy (D)'!$E846,IF('All Statement of strategy (D)'!$C$1=RefData!$B$419,'All Statement of strategy (D)'!$F846,IF('All Statement of strategy (D)'!$C$1=RefData!$B$420,'All Statement of strategy (D)'!$G846,IF('All Statement of strategy (D)'!$C$1=RefData!$B$421,'All Statement of strategy (D)'!$H846," "))))</f>
        <v xml:space="preserve"> </v>
      </c>
    </row>
    <row r="847" spans="1:9">
      <c r="A847" s="584" t="s">
        <v>2222</v>
      </c>
      <c r="B847" s="621" t="str">
        <f ca="1">TEXT('Reconciliation report'!$E$266,RefData!$B$423)</f>
        <v/>
      </c>
      <c r="E847" s="585" t="str">
        <f ca="1">IF(AND(OR('Reconciliation report'!$E$104=RefData!$B$8,'Reconciliation report'!$E$9=RefData!$B$5),OR('Reconciliation report'!$E$119=RefData!$B$46,'Reconciliation report'!$E$119=RefData!$B$48)),'All Statement of strategy (D)'!$B847,"")</f>
        <v/>
      </c>
      <c r="F847" s="585" t="str">
        <f ca="1">IF(AND(OR('Reconciliation report'!$E$104=RefData!$B$8,'Reconciliation report'!$E$9=RefData!$B$5),OR('Reconciliation report'!$E$119=RefData!$B$46,'Reconciliation report'!$E$119=RefData!$B$48)),'All Statement of strategy (D)'!$B847,"")</f>
        <v/>
      </c>
      <c r="G847" s="585" t="str">
        <f ca="1">IF(AND(OR('Reconciliation report'!$E$104=RefData!$B$8,'Reconciliation report'!$E$9=RefData!$B$5),OR('Reconciliation report'!$E$119=RefData!$B$46,'Reconciliation report'!$E$119=RefData!$B$48)),'All Statement of strategy (D)'!$B847,"")</f>
        <v/>
      </c>
      <c r="H847" s="585" t="str">
        <f ca="1">IF(AND(OR('Reconciliation report'!$E$104=RefData!$B$8,'Reconciliation report'!$E$9=RefData!$B$5),OR('Reconciliation report'!$E$119=RefData!$B$46,'Reconciliation report'!$E$119=RefData!$B$48)),'All Statement of strategy (D)'!$B847,"")</f>
        <v/>
      </c>
      <c r="I847" s="595" t="str">
        <f ca="1">IF($C$1=RefData!$B$418,'All Statement of strategy (D)'!$E847,IF('All Statement of strategy (D)'!$C$1=RefData!$B$419,'All Statement of strategy (D)'!$F847,IF('All Statement of strategy (D)'!$C$1=RefData!$B$420,'All Statement of strategy (D)'!$G847,IF('All Statement of strategy (D)'!$C$1=RefData!$B$421,'All Statement of strategy (D)'!$H847," "))))</f>
        <v xml:space="preserve"> </v>
      </c>
    </row>
    <row r="848" spans="1:9">
      <c r="A848" s="584" t="s">
        <v>2223</v>
      </c>
      <c r="B848" s="621" t="str">
        <f ca="1">TEXT('Reconciliation report'!$E$267,RefData!$B$423)</f>
        <v/>
      </c>
      <c r="E848" s="585" t="str">
        <f ca="1">IF(AND(OR('Reconciliation report'!$E$104=RefData!$B$8,'Reconciliation report'!$E$9=RefData!$B$5),OR('Reconciliation report'!$E$119=RefData!$B$46,'Reconciliation report'!$E$119=RefData!$B$48)),'All Statement of strategy (D)'!$B848,"")</f>
        <v/>
      </c>
      <c r="F848" s="585" t="str">
        <f ca="1">IF(AND(OR('Reconciliation report'!$E$104=RefData!$B$8,'Reconciliation report'!$E$9=RefData!$B$5),OR('Reconciliation report'!$E$119=RefData!$B$46,'Reconciliation report'!$E$119=RefData!$B$48)),'All Statement of strategy (D)'!$B848,"")</f>
        <v/>
      </c>
      <c r="G848" s="585" t="str">
        <f ca="1">IF(AND(OR('Reconciliation report'!$E$104=RefData!$B$8,'Reconciliation report'!$E$9=RefData!$B$5),OR('Reconciliation report'!$E$119=RefData!$B$46,'Reconciliation report'!$E$119=RefData!$B$48)),'All Statement of strategy (D)'!$B848,"")</f>
        <v/>
      </c>
      <c r="H848" s="585" t="str">
        <f ca="1">IF(AND(OR('Reconciliation report'!$E$104=RefData!$B$8,'Reconciliation report'!$E$9=RefData!$B$5),OR('Reconciliation report'!$E$119=RefData!$B$46,'Reconciliation report'!$E$119=RefData!$B$48)),'All Statement of strategy (D)'!$B848,"")</f>
        <v/>
      </c>
      <c r="I848" s="595" t="str">
        <f ca="1">IF($C$1=RefData!$B$418,'All Statement of strategy (D)'!$E848,IF('All Statement of strategy (D)'!$C$1=RefData!$B$419,'All Statement of strategy (D)'!$F848,IF('All Statement of strategy (D)'!$C$1=RefData!$B$420,'All Statement of strategy (D)'!$G848,IF('All Statement of strategy (D)'!$C$1=RefData!$B$421,'All Statement of strategy (D)'!$H848," "))))</f>
        <v xml:space="preserve"> </v>
      </c>
    </row>
    <row r="849" spans="1:9">
      <c r="A849" s="584" t="s">
        <v>2224</v>
      </c>
      <c r="B849" s="621" t="str">
        <f ca="1">TEXT('Reconciliation report'!$E$268,RefData!$B$423)</f>
        <v/>
      </c>
      <c r="E849" s="585" t="str">
        <f ca="1">IF(AND(OR('Reconciliation report'!$E$104=RefData!$B$8,'Reconciliation report'!$E$9=RefData!$B$5),OR('Reconciliation report'!$E$119=RefData!$B$46,'Reconciliation report'!$E$119=RefData!$B$48)),'All Statement of strategy (D)'!$B849,"")</f>
        <v/>
      </c>
      <c r="F849" s="585" t="str">
        <f ca="1">IF(AND(OR('Reconciliation report'!$E$104=RefData!$B$8,'Reconciliation report'!$E$9=RefData!$B$5),OR('Reconciliation report'!$E$119=RefData!$B$46,'Reconciliation report'!$E$119=RefData!$B$48)),'All Statement of strategy (D)'!$B849,"")</f>
        <v/>
      </c>
      <c r="G849" s="585" t="str">
        <f ca="1">IF(AND(OR('Reconciliation report'!$E$104=RefData!$B$8,'Reconciliation report'!$E$9=RefData!$B$5),OR('Reconciliation report'!$E$119=RefData!$B$46,'Reconciliation report'!$E$119=RefData!$B$48)),'All Statement of strategy (D)'!$B849,"")</f>
        <v/>
      </c>
      <c r="H849" s="585" t="str">
        <f ca="1">IF(AND(OR('Reconciliation report'!$E$104=RefData!$B$8,'Reconciliation report'!$E$9=RefData!$B$5),OR('Reconciliation report'!$E$119=RefData!$B$46,'Reconciliation report'!$E$119=RefData!$B$48)),'All Statement of strategy (D)'!$B849,"")</f>
        <v/>
      </c>
      <c r="I849" s="595" t="str">
        <f ca="1">IF($C$1=RefData!$B$418,'All Statement of strategy (D)'!$E849,IF('All Statement of strategy (D)'!$C$1=RefData!$B$419,'All Statement of strategy (D)'!$F849,IF('All Statement of strategy (D)'!$C$1=RefData!$B$420,'All Statement of strategy (D)'!$G849,IF('All Statement of strategy (D)'!$C$1=RefData!$B$421,'All Statement of strategy (D)'!$H849," "))))</f>
        <v xml:space="preserve"> </v>
      </c>
    </row>
    <row r="850" spans="1:9">
      <c r="A850" s="584" t="s">
        <v>2225</v>
      </c>
      <c r="B850" s="621" t="str">
        <f ca="1">TEXT('Reconciliation report'!$E$269,RefData!$B$423)</f>
        <v/>
      </c>
      <c r="E850" s="585" t="str">
        <f ca="1">IF(AND(OR('Reconciliation report'!$E$104=RefData!$B$8,'Reconciliation report'!$E$9=RefData!$B$5),OR('Reconciliation report'!$E$119=RefData!$B$46,'Reconciliation report'!$E$119=RefData!$B$48)),'All Statement of strategy (D)'!$B850,"")</f>
        <v/>
      </c>
      <c r="F850" s="585" t="str">
        <f ca="1">IF(AND(OR('Reconciliation report'!$E$104=RefData!$B$8,'Reconciliation report'!$E$9=RefData!$B$5),OR('Reconciliation report'!$E$119=RefData!$B$46,'Reconciliation report'!$E$119=RefData!$B$48)),'All Statement of strategy (D)'!$B850,"")</f>
        <v/>
      </c>
      <c r="G850" s="585" t="str">
        <f ca="1">IF(AND(OR('Reconciliation report'!$E$104=RefData!$B$8,'Reconciliation report'!$E$9=RefData!$B$5),OR('Reconciliation report'!$E$119=RefData!$B$46,'Reconciliation report'!$E$119=RefData!$B$48)),'All Statement of strategy (D)'!$B850,"")</f>
        <v/>
      </c>
      <c r="H850" s="585" t="str">
        <f ca="1">IF(AND(OR('Reconciliation report'!$E$104=RefData!$B$8,'Reconciliation report'!$E$9=RefData!$B$5),OR('Reconciliation report'!$E$119=RefData!$B$46,'Reconciliation report'!$E$119=RefData!$B$48)),'All Statement of strategy (D)'!$B850,"")</f>
        <v/>
      </c>
      <c r="I850" s="595" t="str">
        <f ca="1">IF($C$1=RefData!$B$418,'All Statement of strategy (D)'!$E850,IF('All Statement of strategy (D)'!$C$1=RefData!$B$419,'All Statement of strategy (D)'!$F850,IF('All Statement of strategy (D)'!$C$1=RefData!$B$420,'All Statement of strategy (D)'!$G850,IF('All Statement of strategy (D)'!$C$1=RefData!$B$421,'All Statement of strategy (D)'!$H850," "))))</f>
        <v xml:space="preserve"> </v>
      </c>
    </row>
    <row r="851" spans="1:9">
      <c r="A851" s="584" t="s">
        <v>2226</v>
      </c>
      <c r="B851" s="621" t="str">
        <f ca="1">TEXT('Reconciliation report'!$E$270,RefData!$B$423)</f>
        <v/>
      </c>
      <c r="E851" s="585" t="str">
        <f ca="1">IF(AND(OR('Reconciliation report'!$E$104=RefData!$B$8,'Reconciliation report'!$E$9=RefData!$B$5),OR('Reconciliation report'!$E$119=RefData!$B$46,'Reconciliation report'!$E$119=RefData!$B$48)),'All Statement of strategy (D)'!$B851,"")</f>
        <v/>
      </c>
      <c r="F851" s="585" t="str">
        <f ca="1">IF(AND(OR('Reconciliation report'!$E$104=RefData!$B$8,'Reconciliation report'!$E$9=RefData!$B$5),OR('Reconciliation report'!$E$119=RefData!$B$46,'Reconciliation report'!$E$119=RefData!$B$48)),'All Statement of strategy (D)'!$B851,"")</f>
        <v/>
      </c>
      <c r="G851" s="585" t="str">
        <f ca="1">IF(AND(OR('Reconciliation report'!$E$104=RefData!$B$8,'Reconciliation report'!$E$9=RefData!$B$5),OR('Reconciliation report'!$E$119=RefData!$B$46,'Reconciliation report'!$E$119=RefData!$B$48)),'All Statement of strategy (D)'!$B851,"")</f>
        <v/>
      </c>
      <c r="H851" s="585" t="str">
        <f ca="1">IF(AND(OR('Reconciliation report'!$E$104=RefData!$B$8,'Reconciliation report'!$E$9=RefData!$B$5),OR('Reconciliation report'!$E$119=RefData!$B$46,'Reconciliation report'!$E$119=RefData!$B$48)),'All Statement of strategy (D)'!$B851,"")</f>
        <v/>
      </c>
      <c r="I851" s="595" t="str">
        <f ca="1">IF($C$1=RefData!$B$418,'All Statement of strategy (D)'!$E851,IF('All Statement of strategy (D)'!$C$1=RefData!$B$419,'All Statement of strategy (D)'!$F851,IF('All Statement of strategy (D)'!$C$1=RefData!$B$420,'All Statement of strategy (D)'!$G851,IF('All Statement of strategy (D)'!$C$1=RefData!$B$421,'All Statement of strategy (D)'!$H851," "))))</f>
        <v xml:space="preserve"> </v>
      </c>
    </row>
    <row r="852" spans="1:9">
      <c r="A852" s="584" t="s">
        <v>2227</v>
      </c>
      <c r="B852" s="621" t="str">
        <f ca="1">TEXT('Reconciliation report'!$E$271,RefData!$B$423)</f>
        <v/>
      </c>
      <c r="E852" s="585" t="str">
        <f ca="1">IF(AND(OR('Reconciliation report'!$E$104=RefData!$B$8,'Reconciliation report'!$E$9=RefData!$B$5),OR('Reconciliation report'!$E$119=RefData!$B$46,'Reconciliation report'!$E$119=RefData!$B$48)),'All Statement of strategy (D)'!$B852,"")</f>
        <v/>
      </c>
      <c r="F852" s="585" t="str">
        <f ca="1">IF(AND(OR('Reconciliation report'!$E$104=RefData!$B$8,'Reconciliation report'!$E$9=RefData!$B$5),OR('Reconciliation report'!$E$119=RefData!$B$46,'Reconciliation report'!$E$119=RefData!$B$48)),'All Statement of strategy (D)'!$B852,"")</f>
        <v/>
      </c>
      <c r="G852" s="585" t="str">
        <f ca="1">IF(AND(OR('Reconciliation report'!$E$104=RefData!$B$8,'Reconciliation report'!$E$9=RefData!$B$5),OR('Reconciliation report'!$E$119=RefData!$B$46,'Reconciliation report'!$E$119=RefData!$B$48)),'All Statement of strategy (D)'!$B852,"")</f>
        <v/>
      </c>
      <c r="H852" s="585" t="str">
        <f ca="1">IF(AND(OR('Reconciliation report'!$E$104=RefData!$B$8,'Reconciliation report'!$E$9=RefData!$B$5),OR('Reconciliation report'!$E$119=RefData!$B$46,'Reconciliation report'!$E$119=RefData!$B$48)),'All Statement of strategy (D)'!$B852,"")</f>
        <v/>
      </c>
      <c r="I852" s="595" t="str">
        <f ca="1">IF($C$1=RefData!$B$418,'All Statement of strategy (D)'!$E852,IF('All Statement of strategy (D)'!$C$1=RefData!$B$419,'All Statement of strategy (D)'!$F852,IF('All Statement of strategy (D)'!$C$1=RefData!$B$420,'All Statement of strategy (D)'!$G852,IF('All Statement of strategy (D)'!$C$1=RefData!$B$421,'All Statement of strategy (D)'!$H852," "))))</f>
        <v xml:space="preserve"> </v>
      </c>
    </row>
    <row r="853" spans="1:9">
      <c r="A853" s="584" t="s">
        <v>2228</v>
      </c>
      <c r="B853" s="621" t="str">
        <f ca="1">TEXT('Reconciliation report'!$E$272,RefData!$B$423)</f>
        <v/>
      </c>
      <c r="E853" s="585" t="str">
        <f ca="1">IF(AND(OR('Reconciliation report'!$E$104=RefData!$B$8,'Reconciliation report'!$E$9=RefData!$B$5),OR('Reconciliation report'!$E$119=RefData!$B$46,'Reconciliation report'!$E$119=RefData!$B$48)),'All Statement of strategy (D)'!$B853,"")</f>
        <v/>
      </c>
      <c r="F853" s="585" t="str">
        <f ca="1">IF(AND(OR('Reconciliation report'!$E$104=RefData!$B$8,'Reconciliation report'!$E$9=RefData!$B$5),OR('Reconciliation report'!$E$119=RefData!$B$46,'Reconciliation report'!$E$119=RefData!$B$48)),'All Statement of strategy (D)'!$B853,"")</f>
        <v/>
      </c>
      <c r="G853" s="585" t="str">
        <f ca="1">IF(AND(OR('Reconciliation report'!$E$104=RefData!$B$8,'Reconciliation report'!$E$9=RefData!$B$5),OR('Reconciliation report'!$E$119=RefData!$B$46,'Reconciliation report'!$E$119=RefData!$B$48)),'All Statement of strategy (D)'!$B853,"")</f>
        <v/>
      </c>
      <c r="H853" s="585" t="str">
        <f ca="1">IF(AND(OR('Reconciliation report'!$E$104=RefData!$B$8,'Reconciliation report'!$E$9=RefData!$B$5),OR('Reconciliation report'!$E$119=RefData!$B$46,'Reconciliation report'!$E$119=RefData!$B$48)),'All Statement of strategy (D)'!$B853,"")</f>
        <v/>
      </c>
      <c r="I853" s="595" t="str">
        <f ca="1">IF($C$1=RefData!$B$418,'All Statement of strategy (D)'!$E853,IF('All Statement of strategy (D)'!$C$1=RefData!$B$419,'All Statement of strategy (D)'!$F853,IF('All Statement of strategy (D)'!$C$1=RefData!$B$420,'All Statement of strategy (D)'!$G853,IF('All Statement of strategy (D)'!$C$1=RefData!$B$421,'All Statement of strategy (D)'!$H853," "))))</f>
        <v xml:space="preserve"> </v>
      </c>
    </row>
    <row r="854" spans="1:9">
      <c r="A854" s="584" t="s">
        <v>2229</v>
      </c>
      <c r="B854" s="621" t="str">
        <f ca="1">TEXT('Reconciliation report'!$E$273,RefData!$B$423)</f>
        <v/>
      </c>
      <c r="E854" s="585" t="str">
        <f ca="1">IF(AND(OR('Reconciliation report'!$E$104=RefData!$B$8,'Reconciliation report'!$E$9=RefData!$B$5),OR('Reconciliation report'!$E$119=RefData!$B$46,'Reconciliation report'!$E$119=RefData!$B$48)),'All Statement of strategy (D)'!$B854,"")</f>
        <v/>
      </c>
      <c r="F854" s="585" t="str">
        <f ca="1">IF(AND(OR('Reconciliation report'!$E$104=RefData!$B$8,'Reconciliation report'!$E$9=RefData!$B$5),OR('Reconciliation report'!$E$119=RefData!$B$46,'Reconciliation report'!$E$119=RefData!$B$48)),'All Statement of strategy (D)'!$B854,"")</f>
        <v/>
      </c>
      <c r="G854" s="585" t="str">
        <f ca="1">IF(AND(OR('Reconciliation report'!$E$104=RefData!$B$8,'Reconciliation report'!$E$9=RefData!$B$5),OR('Reconciliation report'!$E$119=RefData!$B$46,'Reconciliation report'!$E$119=RefData!$B$48)),'All Statement of strategy (D)'!$B854,"")</f>
        <v/>
      </c>
      <c r="H854" s="585" t="str">
        <f ca="1">IF(AND(OR('Reconciliation report'!$E$104=RefData!$B$8,'Reconciliation report'!$E$9=RefData!$B$5),OR('Reconciliation report'!$E$119=RefData!$B$46,'Reconciliation report'!$E$119=RefData!$B$48)),'All Statement of strategy (D)'!$B854,"")</f>
        <v/>
      </c>
      <c r="I854" s="595" t="str">
        <f ca="1">IF($C$1=RefData!$B$418,'All Statement of strategy (D)'!$E854,IF('All Statement of strategy (D)'!$C$1=RefData!$B$419,'All Statement of strategy (D)'!$F854,IF('All Statement of strategy (D)'!$C$1=RefData!$B$420,'All Statement of strategy (D)'!$G854,IF('All Statement of strategy (D)'!$C$1=RefData!$B$421,'All Statement of strategy (D)'!$H854," "))))</f>
        <v xml:space="preserve"> </v>
      </c>
    </row>
    <row r="855" spans="1:9">
      <c r="A855" s="584" t="s">
        <v>2230</v>
      </c>
      <c r="B855" s="621" t="str">
        <f ca="1">TEXT('Reconciliation report'!$E$274,RefData!$B$423)</f>
        <v/>
      </c>
      <c r="E855" s="585" t="str">
        <f ca="1">IF(AND(OR('Reconciliation report'!$E$104=RefData!$B$8,'Reconciliation report'!$E$9=RefData!$B$5),OR('Reconciliation report'!$E$119=RefData!$B$46,'Reconciliation report'!$E$119=RefData!$B$48)),'All Statement of strategy (D)'!$B855,"")</f>
        <v/>
      </c>
      <c r="F855" s="585" t="str">
        <f ca="1">IF(AND(OR('Reconciliation report'!$E$104=RefData!$B$8,'Reconciliation report'!$E$9=RefData!$B$5),OR('Reconciliation report'!$E$119=RefData!$B$46,'Reconciliation report'!$E$119=RefData!$B$48)),'All Statement of strategy (D)'!$B855,"")</f>
        <v/>
      </c>
      <c r="G855" s="585" t="str">
        <f ca="1">IF(AND(OR('Reconciliation report'!$E$104=RefData!$B$8,'Reconciliation report'!$E$9=RefData!$B$5),OR('Reconciliation report'!$E$119=RefData!$B$46,'Reconciliation report'!$E$119=RefData!$B$48)),'All Statement of strategy (D)'!$B855,"")</f>
        <v/>
      </c>
      <c r="H855" s="585" t="str">
        <f ca="1">IF(AND(OR('Reconciliation report'!$E$104=RefData!$B$8,'Reconciliation report'!$E$9=RefData!$B$5),OR('Reconciliation report'!$E$119=RefData!$B$46,'Reconciliation report'!$E$119=RefData!$B$48)),'All Statement of strategy (D)'!$B855,"")</f>
        <v/>
      </c>
      <c r="I855" s="595" t="str">
        <f ca="1">IF($C$1=RefData!$B$418,'All Statement of strategy (D)'!$E855,IF('All Statement of strategy (D)'!$C$1=RefData!$B$419,'All Statement of strategy (D)'!$F855,IF('All Statement of strategy (D)'!$C$1=RefData!$B$420,'All Statement of strategy (D)'!$G855,IF('All Statement of strategy (D)'!$C$1=RefData!$B$421,'All Statement of strategy (D)'!$H855," "))))</f>
        <v xml:space="preserve"> </v>
      </c>
    </row>
    <row r="856" spans="1:9">
      <c r="A856" s="584" t="s">
        <v>2231</v>
      </c>
      <c r="B856" s="621" t="str">
        <f ca="1">TEXT('Reconciliation report'!$E$275,RefData!$B$423)</f>
        <v/>
      </c>
      <c r="E856" s="585" t="str">
        <f ca="1">IF(AND(OR('Reconciliation report'!$E$104=RefData!$B$8,'Reconciliation report'!$E$9=RefData!$B$5),OR('Reconciliation report'!$E$119=RefData!$B$46,'Reconciliation report'!$E$119=RefData!$B$48)),'All Statement of strategy (D)'!$B856,"")</f>
        <v/>
      </c>
      <c r="F856" s="585" t="str">
        <f ca="1">IF(AND(OR('Reconciliation report'!$E$104=RefData!$B$8,'Reconciliation report'!$E$9=RefData!$B$5),OR('Reconciliation report'!$E$119=RefData!$B$46,'Reconciliation report'!$E$119=RefData!$B$48)),'All Statement of strategy (D)'!$B856,"")</f>
        <v/>
      </c>
      <c r="G856" s="585" t="str">
        <f ca="1">IF(AND(OR('Reconciliation report'!$E$104=RefData!$B$8,'Reconciliation report'!$E$9=RefData!$B$5),OR('Reconciliation report'!$E$119=RefData!$B$46,'Reconciliation report'!$E$119=RefData!$B$48)),'All Statement of strategy (D)'!$B856,"")</f>
        <v/>
      </c>
      <c r="H856" s="585" t="str">
        <f ca="1">IF(AND(OR('Reconciliation report'!$E$104=RefData!$B$8,'Reconciliation report'!$E$9=RefData!$B$5),OR('Reconciliation report'!$E$119=RefData!$B$46,'Reconciliation report'!$E$119=RefData!$B$48)),'All Statement of strategy (D)'!$B856,"")</f>
        <v/>
      </c>
      <c r="I856" s="595" t="str">
        <f ca="1">IF($C$1=RefData!$B$418,'All Statement of strategy (D)'!$E856,IF('All Statement of strategy (D)'!$C$1=RefData!$B$419,'All Statement of strategy (D)'!$F856,IF('All Statement of strategy (D)'!$C$1=RefData!$B$420,'All Statement of strategy (D)'!$G856,IF('All Statement of strategy (D)'!$C$1=RefData!$B$421,'All Statement of strategy (D)'!$H856," "))))</f>
        <v xml:space="preserve"> </v>
      </c>
    </row>
    <row r="857" spans="1:9">
      <c r="A857" s="584" t="s">
        <v>2232</v>
      </c>
      <c r="B857" s="621" t="str">
        <f ca="1">TEXT('Reconciliation report'!$E$276,RefData!$B$423)</f>
        <v/>
      </c>
      <c r="E857" s="585" t="str">
        <f ca="1">IF(AND(OR('Reconciliation report'!$E$104=RefData!$B$8,'Reconciliation report'!$E$9=RefData!$B$5),OR('Reconciliation report'!$E$119=RefData!$B$46,'Reconciliation report'!$E$119=RefData!$B$48)),'All Statement of strategy (D)'!$B857,"")</f>
        <v/>
      </c>
      <c r="F857" s="585" t="str">
        <f ca="1">IF(AND(OR('Reconciliation report'!$E$104=RefData!$B$8,'Reconciliation report'!$E$9=RefData!$B$5),OR('Reconciliation report'!$E$119=RefData!$B$46,'Reconciliation report'!$E$119=RefData!$B$48)),'All Statement of strategy (D)'!$B857,"")</f>
        <v/>
      </c>
      <c r="G857" s="585" t="str">
        <f ca="1">IF(AND(OR('Reconciliation report'!$E$104=RefData!$B$8,'Reconciliation report'!$E$9=RefData!$B$5),OR('Reconciliation report'!$E$119=RefData!$B$46,'Reconciliation report'!$E$119=RefData!$B$48)),'All Statement of strategy (D)'!$B857,"")</f>
        <v/>
      </c>
      <c r="H857" s="585" t="str">
        <f ca="1">IF(AND(OR('Reconciliation report'!$E$104=RefData!$B$8,'Reconciliation report'!$E$9=RefData!$B$5),OR('Reconciliation report'!$E$119=RefData!$B$46,'Reconciliation report'!$E$119=RefData!$B$48)),'All Statement of strategy (D)'!$B857,"")</f>
        <v/>
      </c>
      <c r="I857" s="595" t="str">
        <f ca="1">IF($C$1=RefData!$B$418,'All Statement of strategy (D)'!$E857,IF('All Statement of strategy (D)'!$C$1=RefData!$B$419,'All Statement of strategy (D)'!$F857,IF('All Statement of strategy (D)'!$C$1=RefData!$B$420,'All Statement of strategy (D)'!$G857,IF('All Statement of strategy (D)'!$C$1=RefData!$B$421,'All Statement of strategy (D)'!$H857," "))))</f>
        <v xml:space="preserve"> </v>
      </c>
    </row>
    <row r="858" spans="1:9">
      <c r="A858" s="584" t="s">
        <v>2233</v>
      </c>
      <c r="B858" s="621" t="str">
        <f ca="1">TEXT('Reconciliation report'!$E$277,RefData!$B$423)</f>
        <v/>
      </c>
      <c r="E858" s="585" t="str">
        <f ca="1">IF(AND(OR('Reconciliation report'!$E$104=RefData!$B$8,'Reconciliation report'!$E$9=RefData!$B$5),OR('Reconciliation report'!$E$119=RefData!$B$46,'Reconciliation report'!$E$119=RefData!$B$48)),'All Statement of strategy (D)'!$B858,"")</f>
        <v/>
      </c>
      <c r="F858" s="585" t="str">
        <f ca="1">IF(AND(OR('Reconciliation report'!$E$104=RefData!$B$8,'Reconciliation report'!$E$9=RefData!$B$5),OR('Reconciliation report'!$E$119=RefData!$B$46,'Reconciliation report'!$E$119=RefData!$B$48)),'All Statement of strategy (D)'!$B858,"")</f>
        <v/>
      </c>
      <c r="G858" s="585" t="str">
        <f ca="1">IF(AND(OR('Reconciliation report'!$E$104=RefData!$B$8,'Reconciliation report'!$E$9=RefData!$B$5),OR('Reconciliation report'!$E$119=RefData!$B$46,'Reconciliation report'!$E$119=RefData!$B$48)),'All Statement of strategy (D)'!$B858,"")</f>
        <v/>
      </c>
      <c r="H858" s="585" t="str">
        <f ca="1">IF(AND(OR('Reconciliation report'!$E$104=RefData!$B$8,'Reconciliation report'!$E$9=RefData!$B$5),OR('Reconciliation report'!$E$119=RefData!$B$46,'Reconciliation report'!$E$119=RefData!$B$48)),'All Statement of strategy (D)'!$B858,"")</f>
        <v/>
      </c>
      <c r="I858" s="595" t="str">
        <f ca="1">IF($C$1=RefData!$B$418,'All Statement of strategy (D)'!$E858,IF('All Statement of strategy (D)'!$C$1=RefData!$B$419,'All Statement of strategy (D)'!$F858,IF('All Statement of strategy (D)'!$C$1=RefData!$B$420,'All Statement of strategy (D)'!$G858,IF('All Statement of strategy (D)'!$C$1=RefData!$B$421,'All Statement of strategy (D)'!$H858," "))))</f>
        <v xml:space="preserve"> </v>
      </c>
    </row>
    <row r="859" spans="1:9">
      <c r="A859" s="584" t="s">
        <v>2234</v>
      </c>
      <c r="B859" s="621" t="str">
        <f ca="1">TEXT('Reconciliation report'!$E$278,RefData!$B$423)</f>
        <v/>
      </c>
      <c r="E859" s="585" t="str">
        <f ca="1">IF(AND(OR('Reconciliation report'!$E$104=RefData!$B$8,'Reconciliation report'!$E$9=RefData!$B$5),OR('Reconciliation report'!$E$119=RefData!$B$46,'Reconciliation report'!$E$119=RefData!$B$48)),'All Statement of strategy (D)'!$B859,"")</f>
        <v/>
      </c>
      <c r="F859" s="585" t="str">
        <f ca="1">IF(AND(OR('Reconciliation report'!$E$104=RefData!$B$8,'Reconciliation report'!$E$9=RefData!$B$5),OR('Reconciliation report'!$E$119=RefData!$B$46,'Reconciliation report'!$E$119=RefData!$B$48)),'All Statement of strategy (D)'!$B859,"")</f>
        <v/>
      </c>
      <c r="G859" s="585" t="str">
        <f ca="1">IF(AND(OR('Reconciliation report'!$E$104=RefData!$B$8,'Reconciliation report'!$E$9=RefData!$B$5),OR('Reconciliation report'!$E$119=RefData!$B$46,'Reconciliation report'!$E$119=RefData!$B$48)),'All Statement of strategy (D)'!$B859,"")</f>
        <v/>
      </c>
      <c r="H859" s="585" t="str">
        <f ca="1">IF(AND(OR('Reconciliation report'!$E$104=RefData!$B$8,'Reconciliation report'!$E$9=RefData!$B$5),OR('Reconciliation report'!$E$119=RefData!$B$46,'Reconciliation report'!$E$119=RefData!$B$48)),'All Statement of strategy (D)'!$B859,"")</f>
        <v/>
      </c>
      <c r="I859" s="595" t="str">
        <f ca="1">IF($C$1=RefData!$B$418,'All Statement of strategy (D)'!$E859,IF('All Statement of strategy (D)'!$C$1=RefData!$B$419,'All Statement of strategy (D)'!$F859,IF('All Statement of strategy (D)'!$C$1=RefData!$B$420,'All Statement of strategy (D)'!$G859,IF('All Statement of strategy (D)'!$C$1=RefData!$B$421,'All Statement of strategy (D)'!$H859," "))))</f>
        <v xml:space="preserve"> </v>
      </c>
    </row>
    <row r="860" spans="1:9">
      <c r="A860" s="584" t="s">
        <v>2235</v>
      </c>
      <c r="B860" s="621" t="str">
        <f ca="1">TEXT('Reconciliation report'!$E$279,RefData!$B$423)</f>
        <v/>
      </c>
      <c r="E860" s="585" t="str">
        <f ca="1">IF(AND(OR('Reconciliation report'!$E$104=RefData!$B$8,'Reconciliation report'!$E$9=RefData!$B$5),OR('Reconciliation report'!$E$119=RefData!$B$46,'Reconciliation report'!$E$119=RefData!$B$48)),'All Statement of strategy (D)'!$B860,"")</f>
        <v/>
      </c>
      <c r="F860" s="585" t="str">
        <f ca="1">IF(AND(OR('Reconciliation report'!$E$104=RefData!$B$8,'Reconciliation report'!$E$9=RefData!$B$5),OR('Reconciliation report'!$E$119=RefData!$B$46,'Reconciliation report'!$E$119=RefData!$B$48)),'All Statement of strategy (D)'!$B860,"")</f>
        <v/>
      </c>
      <c r="G860" s="585" t="str">
        <f ca="1">IF(AND(OR('Reconciliation report'!$E$104=RefData!$B$8,'Reconciliation report'!$E$9=RefData!$B$5),OR('Reconciliation report'!$E$119=RefData!$B$46,'Reconciliation report'!$E$119=RefData!$B$48)),'All Statement of strategy (D)'!$B860,"")</f>
        <v/>
      </c>
      <c r="H860" s="585" t="str">
        <f ca="1">IF(AND(OR('Reconciliation report'!$E$104=RefData!$B$8,'Reconciliation report'!$E$9=RefData!$B$5),OR('Reconciliation report'!$E$119=RefData!$B$46,'Reconciliation report'!$E$119=RefData!$B$48)),'All Statement of strategy (D)'!$B860,"")</f>
        <v/>
      </c>
      <c r="I860" s="595" t="str">
        <f ca="1">IF($C$1=RefData!$B$418,'All Statement of strategy (D)'!$E860,IF('All Statement of strategy (D)'!$C$1=RefData!$B$419,'All Statement of strategy (D)'!$F860,IF('All Statement of strategy (D)'!$C$1=RefData!$B$420,'All Statement of strategy (D)'!$G860,IF('All Statement of strategy (D)'!$C$1=RefData!$B$421,'All Statement of strategy (D)'!$H860," "))))</f>
        <v xml:space="preserve"> </v>
      </c>
    </row>
    <row r="861" spans="1:9">
      <c r="A861" s="584" t="s">
        <v>2236</v>
      </c>
      <c r="B861" s="621" t="str">
        <f ca="1">TEXT('Reconciliation report'!$E$280,RefData!$B$423)</f>
        <v/>
      </c>
      <c r="E861" s="585" t="str">
        <f ca="1">IF(AND(OR('Reconciliation report'!$E$104=RefData!$B$8,'Reconciliation report'!$E$9=RefData!$B$5),OR('Reconciliation report'!$E$119=RefData!$B$46,'Reconciliation report'!$E$119=RefData!$B$48)),'All Statement of strategy (D)'!$B861,"")</f>
        <v/>
      </c>
      <c r="F861" s="585" t="str">
        <f ca="1">IF(AND(OR('Reconciliation report'!$E$104=RefData!$B$8,'Reconciliation report'!$E$9=RefData!$B$5),OR('Reconciliation report'!$E$119=RefData!$B$46,'Reconciliation report'!$E$119=RefData!$B$48)),'All Statement of strategy (D)'!$B861,"")</f>
        <v/>
      </c>
      <c r="G861" s="585" t="str">
        <f ca="1">IF(AND(OR('Reconciliation report'!$E$104=RefData!$B$8,'Reconciliation report'!$E$9=RefData!$B$5),OR('Reconciliation report'!$E$119=RefData!$B$46,'Reconciliation report'!$E$119=RefData!$B$48)),'All Statement of strategy (D)'!$B861,"")</f>
        <v/>
      </c>
      <c r="H861" s="585" t="str">
        <f ca="1">IF(AND(OR('Reconciliation report'!$E$104=RefData!$B$8,'Reconciliation report'!$E$9=RefData!$B$5),OR('Reconciliation report'!$E$119=RefData!$B$46,'Reconciliation report'!$E$119=RefData!$B$48)),'All Statement of strategy (D)'!$B861,"")</f>
        <v/>
      </c>
      <c r="I861" s="595" t="str">
        <f ca="1">IF($C$1=RefData!$B$418,'All Statement of strategy (D)'!$E861,IF('All Statement of strategy (D)'!$C$1=RefData!$B$419,'All Statement of strategy (D)'!$F861,IF('All Statement of strategy (D)'!$C$1=RefData!$B$420,'All Statement of strategy (D)'!$G861,IF('All Statement of strategy (D)'!$C$1=RefData!$B$421,'All Statement of strategy (D)'!$H861," "))))</f>
        <v xml:space="preserve"> </v>
      </c>
    </row>
    <row r="862" spans="1:9">
      <c r="A862" s="584" t="s">
        <v>2237</v>
      </c>
      <c r="B862" s="621" t="str">
        <f ca="1">TEXT('Reconciliation report'!$E$281,RefData!$B$423)</f>
        <v/>
      </c>
      <c r="E862" s="585" t="str">
        <f ca="1">IF(AND(OR('Reconciliation report'!$E$104=RefData!$B$8,'Reconciliation report'!$E$9=RefData!$B$5),OR('Reconciliation report'!$E$119=RefData!$B$46,'Reconciliation report'!$E$119=RefData!$B$48)),'All Statement of strategy (D)'!$B862,"")</f>
        <v/>
      </c>
      <c r="F862" s="585" t="str">
        <f ca="1">IF(AND(OR('Reconciliation report'!$E$104=RefData!$B$8,'Reconciliation report'!$E$9=RefData!$B$5),OR('Reconciliation report'!$E$119=RefData!$B$46,'Reconciliation report'!$E$119=RefData!$B$48)),'All Statement of strategy (D)'!$B862,"")</f>
        <v/>
      </c>
      <c r="G862" s="585" t="str">
        <f ca="1">IF(AND(OR('Reconciliation report'!$E$104=RefData!$B$8,'Reconciliation report'!$E$9=RefData!$B$5),OR('Reconciliation report'!$E$119=RefData!$B$46,'Reconciliation report'!$E$119=RefData!$B$48)),'All Statement of strategy (D)'!$B862,"")</f>
        <v/>
      </c>
      <c r="H862" s="585" t="str">
        <f ca="1">IF(AND(OR('Reconciliation report'!$E$104=RefData!$B$8,'Reconciliation report'!$E$9=RefData!$B$5),OR('Reconciliation report'!$E$119=RefData!$B$46,'Reconciliation report'!$E$119=RefData!$B$48)),'All Statement of strategy (D)'!$B862,"")</f>
        <v/>
      </c>
      <c r="I862" s="595" t="str">
        <f ca="1">IF($C$1=RefData!$B$418,'All Statement of strategy (D)'!$E862,IF('All Statement of strategy (D)'!$C$1=RefData!$B$419,'All Statement of strategy (D)'!$F862,IF('All Statement of strategy (D)'!$C$1=RefData!$B$420,'All Statement of strategy (D)'!$G862,IF('All Statement of strategy (D)'!$C$1=RefData!$B$421,'All Statement of strategy (D)'!$H862," "))))</f>
        <v xml:space="preserve"> </v>
      </c>
    </row>
    <row r="863" spans="1:9">
      <c r="A863" s="584" t="s">
        <v>2238</v>
      </c>
      <c r="B863" s="621" t="str">
        <f ca="1">TEXT('Reconciliation report'!$E$282,RefData!$B$423)</f>
        <v/>
      </c>
      <c r="E863" s="585" t="str">
        <f ca="1">IF(AND(OR('Reconciliation report'!$E$104=RefData!$B$8,'Reconciliation report'!$E$9=RefData!$B$5),OR('Reconciliation report'!$E$119=RefData!$B$46,'Reconciliation report'!$E$119=RefData!$B$48)),'All Statement of strategy (D)'!$B863,"")</f>
        <v/>
      </c>
      <c r="F863" s="585" t="str">
        <f ca="1">IF(AND(OR('Reconciliation report'!$E$104=RefData!$B$8,'Reconciliation report'!$E$9=RefData!$B$5),OR('Reconciliation report'!$E$119=RefData!$B$46,'Reconciliation report'!$E$119=RefData!$B$48)),'All Statement of strategy (D)'!$B863,"")</f>
        <v/>
      </c>
      <c r="G863" s="585" t="str">
        <f ca="1">IF(AND(OR('Reconciliation report'!$E$104=RefData!$B$8,'Reconciliation report'!$E$9=RefData!$B$5),OR('Reconciliation report'!$E$119=RefData!$B$46,'Reconciliation report'!$E$119=RefData!$B$48)),'All Statement of strategy (D)'!$B863,"")</f>
        <v/>
      </c>
      <c r="H863" s="585" t="str">
        <f ca="1">IF(AND(OR('Reconciliation report'!$E$104=RefData!$B$8,'Reconciliation report'!$E$9=RefData!$B$5),OR('Reconciliation report'!$E$119=RefData!$B$46,'Reconciliation report'!$E$119=RefData!$B$48)),'All Statement of strategy (D)'!$B863,"")</f>
        <v/>
      </c>
      <c r="I863" s="595" t="str">
        <f ca="1">IF($C$1=RefData!$B$418,'All Statement of strategy (D)'!$E863,IF('All Statement of strategy (D)'!$C$1=RefData!$B$419,'All Statement of strategy (D)'!$F863,IF('All Statement of strategy (D)'!$C$1=RefData!$B$420,'All Statement of strategy (D)'!$G863,IF('All Statement of strategy (D)'!$C$1=RefData!$B$421,'All Statement of strategy (D)'!$H863," "))))</f>
        <v xml:space="preserve"> </v>
      </c>
    </row>
    <row r="864" spans="1:9">
      <c r="A864" s="584" t="s">
        <v>2239</v>
      </c>
      <c r="B864" s="621" t="str">
        <f ca="1">TEXT('Reconciliation report'!$E$283,RefData!$B$423)</f>
        <v/>
      </c>
      <c r="E864" s="585" t="str">
        <f ca="1">IF(AND(OR('Reconciliation report'!$E$104=RefData!$B$8,'Reconciliation report'!$E$9=RefData!$B$5),OR('Reconciliation report'!$E$119=RefData!$B$46,'Reconciliation report'!$E$119=RefData!$B$48)),'All Statement of strategy (D)'!$B864,"")</f>
        <v/>
      </c>
      <c r="F864" s="585" t="str">
        <f ca="1">IF(AND(OR('Reconciliation report'!$E$104=RefData!$B$8,'Reconciliation report'!$E$9=RefData!$B$5),OR('Reconciliation report'!$E$119=RefData!$B$46,'Reconciliation report'!$E$119=RefData!$B$48)),'All Statement of strategy (D)'!$B864,"")</f>
        <v/>
      </c>
      <c r="G864" s="585" t="str">
        <f ca="1">IF(AND(OR('Reconciliation report'!$E$104=RefData!$B$8,'Reconciliation report'!$E$9=RefData!$B$5),OR('Reconciliation report'!$E$119=RefData!$B$46,'Reconciliation report'!$E$119=RefData!$B$48)),'All Statement of strategy (D)'!$B864,"")</f>
        <v/>
      </c>
      <c r="H864" s="585" t="str">
        <f ca="1">IF(AND(OR('Reconciliation report'!$E$104=RefData!$B$8,'Reconciliation report'!$E$9=RefData!$B$5),OR('Reconciliation report'!$E$119=RefData!$B$46,'Reconciliation report'!$E$119=RefData!$B$48)),'All Statement of strategy (D)'!$B864,"")</f>
        <v/>
      </c>
      <c r="I864" s="595" t="str">
        <f ca="1">IF($C$1=RefData!$B$418,'All Statement of strategy (D)'!$E864,IF('All Statement of strategy (D)'!$C$1=RefData!$B$419,'All Statement of strategy (D)'!$F864,IF('All Statement of strategy (D)'!$C$1=RefData!$B$420,'All Statement of strategy (D)'!$G864,IF('All Statement of strategy (D)'!$C$1=RefData!$B$421,'All Statement of strategy (D)'!$H864," "))))</f>
        <v xml:space="preserve"> </v>
      </c>
    </row>
    <row r="865" spans="1:9">
      <c r="A865" s="584" t="s">
        <v>2240</v>
      </c>
      <c r="B865" s="621" t="str">
        <f ca="1">TEXT('Reconciliation report'!$E$284,RefData!$B$423)</f>
        <v/>
      </c>
      <c r="E865" s="585" t="str">
        <f ca="1">IF(AND(OR('Reconciliation report'!$E$104=RefData!$B$8,'Reconciliation report'!$E$9=RefData!$B$5),OR('Reconciliation report'!$E$119=RefData!$B$46,'Reconciliation report'!$E$119=RefData!$B$48)),'All Statement of strategy (D)'!$B865,"")</f>
        <v/>
      </c>
      <c r="F865" s="585" t="str">
        <f ca="1">IF(AND(OR('Reconciliation report'!$E$104=RefData!$B$8,'Reconciliation report'!$E$9=RefData!$B$5),OR('Reconciliation report'!$E$119=RefData!$B$46,'Reconciliation report'!$E$119=RefData!$B$48)),'All Statement of strategy (D)'!$B865,"")</f>
        <v/>
      </c>
      <c r="G865" s="585" t="str">
        <f ca="1">IF(AND(OR('Reconciliation report'!$E$104=RefData!$B$8,'Reconciliation report'!$E$9=RefData!$B$5),OR('Reconciliation report'!$E$119=RefData!$B$46,'Reconciliation report'!$E$119=RefData!$B$48)),'All Statement of strategy (D)'!$B865,"")</f>
        <v/>
      </c>
      <c r="H865" s="585" t="str">
        <f ca="1">IF(AND(OR('Reconciliation report'!$E$104=RefData!$B$8,'Reconciliation report'!$E$9=RefData!$B$5),OR('Reconciliation report'!$E$119=RefData!$B$46,'Reconciliation report'!$E$119=RefData!$B$48)),'All Statement of strategy (D)'!$B865,"")</f>
        <v/>
      </c>
      <c r="I865" s="595" t="str">
        <f ca="1">IF($C$1=RefData!$B$418,'All Statement of strategy (D)'!$E865,IF('All Statement of strategy (D)'!$C$1=RefData!$B$419,'All Statement of strategy (D)'!$F865,IF('All Statement of strategy (D)'!$C$1=RefData!$B$420,'All Statement of strategy (D)'!$G865,IF('All Statement of strategy (D)'!$C$1=RefData!$B$421,'All Statement of strategy (D)'!$H865," "))))</f>
        <v xml:space="preserve"> </v>
      </c>
    </row>
    <row r="866" spans="1:9">
      <c r="A866" s="584" t="s">
        <v>2241</v>
      </c>
      <c r="B866" s="621" t="str">
        <f ca="1">TEXT('Reconciliation report'!$E$285,RefData!$B$423)</f>
        <v/>
      </c>
      <c r="E866" s="585" t="str">
        <f ca="1">IF(AND(OR('Reconciliation report'!$E$104=RefData!$B$8,'Reconciliation report'!$E$9=RefData!$B$5),OR('Reconciliation report'!$E$119=RefData!$B$46,'Reconciliation report'!$E$119=RefData!$B$48)),'All Statement of strategy (D)'!$B866,"")</f>
        <v/>
      </c>
      <c r="F866" s="585" t="str">
        <f ca="1">IF(AND(OR('Reconciliation report'!$E$104=RefData!$B$8,'Reconciliation report'!$E$9=RefData!$B$5),OR('Reconciliation report'!$E$119=RefData!$B$46,'Reconciliation report'!$E$119=RefData!$B$48)),'All Statement of strategy (D)'!$B866,"")</f>
        <v/>
      </c>
      <c r="G866" s="585" t="str">
        <f ca="1">IF(AND(OR('Reconciliation report'!$E$104=RefData!$B$8,'Reconciliation report'!$E$9=RefData!$B$5),OR('Reconciliation report'!$E$119=RefData!$B$46,'Reconciliation report'!$E$119=RefData!$B$48)),'All Statement of strategy (D)'!$B866,"")</f>
        <v/>
      </c>
      <c r="H866" s="585" t="str">
        <f ca="1">IF(AND(OR('Reconciliation report'!$E$104=RefData!$B$8,'Reconciliation report'!$E$9=RefData!$B$5),OR('Reconciliation report'!$E$119=RefData!$B$46,'Reconciliation report'!$E$119=RefData!$B$48)),'All Statement of strategy (D)'!$B866,"")</f>
        <v/>
      </c>
      <c r="I866" s="595" t="str">
        <f ca="1">IF($C$1=RefData!$B$418,'All Statement of strategy (D)'!$E866,IF('All Statement of strategy (D)'!$C$1=RefData!$B$419,'All Statement of strategy (D)'!$F866,IF('All Statement of strategy (D)'!$C$1=RefData!$B$420,'All Statement of strategy (D)'!$G866,IF('All Statement of strategy (D)'!$C$1=RefData!$B$421,'All Statement of strategy (D)'!$H866," "))))</f>
        <v xml:space="preserve"> </v>
      </c>
    </row>
    <row r="867" spans="1:9">
      <c r="A867" s="584" t="s">
        <v>2242</v>
      </c>
      <c r="B867" s="621" t="str">
        <f ca="1">TEXT('Reconciliation report'!$E$286,RefData!$B$423)</f>
        <v/>
      </c>
      <c r="E867" s="585" t="str">
        <f ca="1">IF(AND(OR('Reconciliation report'!$E$104=RefData!$B$8,'Reconciliation report'!$E$9=RefData!$B$5),OR('Reconciliation report'!$E$119=RefData!$B$46,'Reconciliation report'!$E$119=RefData!$B$48)),'All Statement of strategy (D)'!$B867,"")</f>
        <v/>
      </c>
      <c r="F867" s="585" t="str">
        <f ca="1">IF(AND(OR('Reconciliation report'!$E$104=RefData!$B$8,'Reconciliation report'!$E$9=RefData!$B$5),OR('Reconciliation report'!$E$119=RefData!$B$46,'Reconciliation report'!$E$119=RefData!$B$48)),'All Statement of strategy (D)'!$B867,"")</f>
        <v/>
      </c>
      <c r="G867" s="585" t="str">
        <f ca="1">IF(AND(OR('Reconciliation report'!$E$104=RefData!$B$8,'Reconciliation report'!$E$9=RefData!$B$5),OR('Reconciliation report'!$E$119=RefData!$B$46,'Reconciliation report'!$E$119=RefData!$B$48)),'All Statement of strategy (D)'!$B867,"")</f>
        <v/>
      </c>
      <c r="H867" s="585" t="str">
        <f ca="1">IF(AND(OR('Reconciliation report'!$E$104=RefData!$B$8,'Reconciliation report'!$E$9=RefData!$B$5),OR('Reconciliation report'!$E$119=RefData!$B$46,'Reconciliation report'!$E$119=RefData!$B$48)),'All Statement of strategy (D)'!$B867,"")</f>
        <v/>
      </c>
      <c r="I867" s="595" t="str">
        <f ca="1">IF($C$1=RefData!$B$418,'All Statement of strategy (D)'!$E867,IF('All Statement of strategy (D)'!$C$1=RefData!$B$419,'All Statement of strategy (D)'!$F867,IF('All Statement of strategy (D)'!$C$1=RefData!$B$420,'All Statement of strategy (D)'!$G867,IF('All Statement of strategy (D)'!$C$1=RefData!$B$421,'All Statement of strategy (D)'!$H867," "))))</f>
        <v xml:space="preserve"> </v>
      </c>
    </row>
    <row r="868" spans="1:9">
      <c r="A868" s="584" t="s">
        <v>2243</v>
      </c>
      <c r="B868" s="621" t="str">
        <f ca="1">TEXT('Reconciliation report'!$E$287,RefData!$B$423)</f>
        <v/>
      </c>
      <c r="E868" s="585" t="str">
        <f ca="1">IF(AND(OR('Reconciliation report'!$E$104=RefData!$B$8,'Reconciliation report'!$E$9=RefData!$B$5),OR('Reconciliation report'!$E$119=RefData!$B$46,'Reconciliation report'!$E$119=RefData!$B$48)),'All Statement of strategy (D)'!$B868,"")</f>
        <v/>
      </c>
      <c r="F868" s="585" t="str">
        <f ca="1">IF(AND(OR('Reconciliation report'!$E$104=RefData!$B$8,'Reconciliation report'!$E$9=RefData!$B$5),OR('Reconciliation report'!$E$119=RefData!$B$46,'Reconciliation report'!$E$119=RefData!$B$48)),'All Statement of strategy (D)'!$B868,"")</f>
        <v/>
      </c>
      <c r="G868" s="585" t="str">
        <f ca="1">IF(AND(OR('Reconciliation report'!$E$104=RefData!$B$8,'Reconciliation report'!$E$9=RefData!$B$5),OR('Reconciliation report'!$E$119=RefData!$B$46,'Reconciliation report'!$E$119=RefData!$B$48)),'All Statement of strategy (D)'!$B868,"")</f>
        <v/>
      </c>
      <c r="H868" s="585" t="str">
        <f ca="1">IF(AND(OR('Reconciliation report'!$E$104=RefData!$B$8,'Reconciliation report'!$E$9=RefData!$B$5),OR('Reconciliation report'!$E$119=RefData!$B$46,'Reconciliation report'!$E$119=RefData!$B$48)),'All Statement of strategy (D)'!$B868,"")</f>
        <v/>
      </c>
      <c r="I868" s="595" t="str">
        <f ca="1">IF($C$1=RefData!$B$418,'All Statement of strategy (D)'!$E868,IF('All Statement of strategy (D)'!$C$1=RefData!$B$419,'All Statement of strategy (D)'!$F868,IF('All Statement of strategy (D)'!$C$1=RefData!$B$420,'All Statement of strategy (D)'!$G868,IF('All Statement of strategy (D)'!$C$1=RefData!$B$421,'All Statement of strategy (D)'!$H868," "))))</f>
        <v xml:space="preserve"> </v>
      </c>
    </row>
    <row r="869" spans="1:9">
      <c r="A869" s="584" t="s">
        <v>2244</v>
      </c>
      <c r="B869" s="621" t="str">
        <f ca="1">TEXT('Reconciliation report'!$E$288,RefData!$B$423)</f>
        <v/>
      </c>
      <c r="E869" s="585" t="str">
        <f ca="1">IF(AND(OR('Reconciliation report'!$E$104=RefData!$B$8,'Reconciliation report'!$E$9=RefData!$B$5),OR('Reconciliation report'!$E$119=RefData!$B$46,'Reconciliation report'!$E$119=RefData!$B$48)),'All Statement of strategy (D)'!$B869,"")</f>
        <v/>
      </c>
      <c r="F869" s="585" t="str">
        <f ca="1">IF(AND(OR('Reconciliation report'!$E$104=RefData!$B$8,'Reconciliation report'!$E$9=RefData!$B$5),OR('Reconciliation report'!$E$119=RefData!$B$46,'Reconciliation report'!$E$119=RefData!$B$48)),'All Statement of strategy (D)'!$B869,"")</f>
        <v/>
      </c>
      <c r="G869" s="585" t="str">
        <f ca="1">IF(AND(OR('Reconciliation report'!$E$104=RefData!$B$8,'Reconciliation report'!$E$9=RefData!$B$5),OR('Reconciliation report'!$E$119=RefData!$B$46,'Reconciliation report'!$E$119=RefData!$B$48)),'All Statement of strategy (D)'!$B869,"")</f>
        <v/>
      </c>
      <c r="H869" s="585" t="str">
        <f ca="1">IF(AND(OR('Reconciliation report'!$E$104=RefData!$B$8,'Reconciliation report'!$E$9=RefData!$B$5),OR('Reconciliation report'!$E$119=RefData!$B$46,'Reconciliation report'!$E$119=RefData!$B$48)),'All Statement of strategy (D)'!$B869,"")</f>
        <v/>
      </c>
      <c r="I869" s="595" t="str">
        <f ca="1">IF($C$1=RefData!$B$418,'All Statement of strategy (D)'!$E869,IF('All Statement of strategy (D)'!$C$1=RefData!$B$419,'All Statement of strategy (D)'!$F869,IF('All Statement of strategy (D)'!$C$1=RefData!$B$420,'All Statement of strategy (D)'!$G869,IF('All Statement of strategy (D)'!$C$1=RefData!$B$421,'All Statement of strategy (D)'!$H869," "))))</f>
        <v xml:space="preserve"> </v>
      </c>
    </row>
    <row r="870" spans="1:9">
      <c r="A870" s="584" t="s">
        <v>2245</v>
      </c>
      <c r="B870" s="621" t="str">
        <f ca="1">TEXT('Reconciliation report'!$E$289,RefData!$B$423)</f>
        <v/>
      </c>
      <c r="E870" s="585" t="str">
        <f ca="1">IF(AND(OR('Reconciliation report'!$E$104=RefData!$B$8,'Reconciliation report'!$E$9=RefData!$B$5),OR('Reconciliation report'!$E$119=RefData!$B$46,'Reconciliation report'!$E$119=RefData!$B$48)),'All Statement of strategy (D)'!$B870,"")</f>
        <v/>
      </c>
      <c r="F870" s="585" t="str">
        <f ca="1">IF(AND(OR('Reconciliation report'!$E$104=RefData!$B$8,'Reconciliation report'!$E$9=RefData!$B$5),OR('Reconciliation report'!$E$119=RefData!$B$46,'Reconciliation report'!$E$119=RefData!$B$48)),'All Statement of strategy (D)'!$B870,"")</f>
        <v/>
      </c>
      <c r="G870" s="585" t="str">
        <f ca="1">IF(AND(OR('Reconciliation report'!$E$104=RefData!$B$8,'Reconciliation report'!$E$9=RefData!$B$5),OR('Reconciliation report'!$E$119=RefData!$B$46,'Reconciliation report'!$E$119=RefData!$B$48)),'All Statement of strategy (D)'!$B870,"")</f>
        <v/>
      </c>
      <c r="H870" s="585" t="str">
        <f ca="1">IF(AND(OR('Reconciliation report'!$E$104=RefData!$B$8,'Reconciliation report'!$E$9=RefData!$B$5),OR('Reconciliation report'!$E$119=RefData!$B$46,'Reconciliation report'!$E$119=RefData!$B$48)),'All Statement of strategy (D)'!$B870,"")</f>
        <v/>
      </c>
      <c r="I870" s="595" t="str">
        <f ca="1">IF($C$1=RefData!$B$418,'All Statement of strategy (D)'!$E870,IF('All Statement of strategy (D)'!$C$1=RefData!$B$419,'All Statement of strategy (D)'!$F870,IF('All Statement of strategy (D)'!$C$1=RefData!$B$420,'All Statement of strategy (D)'!$G870,IF('All Statement of strategy (D)'!$C$1=RefData!$B$421,'All Statement of strategy (D)'!$H870," "))))</f>
        <v xml:space="preserve"> </v>
      </c>
    </row>
    <row r="871" spans="1:9">
      <c r="A871" s="584" t="s">
        <v>2246</v>
      </c>
      <c r="B871" s="621" t="str">
        <f ca="1">TEXT('Reconciliation report'!$E$290,RefData!$B$423)</f>
        <v/>
      </c>
      <c r="E871" s="585" t="str">
        <f ca="1">IF(AND(OR('Reconciliation report'!$E$104=RefData!$B$8,'Reconciliation report'!$E$9=RefData!$B$5),OR('Reconciliation report'!$E$119=RefData!$B$46,'Reconciliation report'!$E$119=RefData!$B$48)),'All Statement of strategy (D)'!$B871,"")</f>
        <v/>
      </c>
      <c r="F871" s="585" t="str">
        <f ca="1">IF(AND(OR('Reconciliation report'!$E$104=RefData!$B$8,'Reconciliation report'!$E$9=RefData!$B$5),OR('Reconciliation report'!$E$119=RefData!$B$46,'Reconciliation report'!$E$119=RefData!$B$48)),'All Statement of strategy (D)'!$B871,"")</f>
        <v/>
      </c>
      <c r="G871" s="585" t="str">
        <f ca="1">IF(AND(OR('Reconciliation report'!$E$104=RefData!$B$8,'Reconciliation report'!$E$9=RefData!$B$5),OR('Reconciliation report'!$E$119=RefData!$B$46,'Reconciliation report'!$E$119=RefData!$B$48)),'All Statement of strategy (D)'!$B871,"")</f>
        <v/>
      </c>
      <c r="H871" s="585" t="str">
        <f ca="1">IF(AND(OR('Reconciliation report'!$E$104=RefData!$B$8,'Reconciliation report'!$E$9=RefData!$B$5),OR('Reconciliation report'!$E$119=RefData!$B$46,'Reconciliation report'!$E$119=RefData!$B$48)),'All Statement of strategy (D)'!$B871,"")</f>
        <v/>
      </c>
      <c r="I871" s="595" t="str">
        <f ca="1">IF($C$1=RefData!$B$418,'All Statement of strategy (D)'!$E871,IF('All Statement of strategy (D)'!$C$1=RefData!$B$419,'All Statement of strategy (D)'!$F871,IF('All Statement of strategy (D)'!$C$1=RefData!$B$420,'All Statement of strategy (D)'!$G871,IF('All Statement of strategy (D)'!$C$1=RefData!$B$421,'All Statement of strategy (D)'!$H871," "))))</f>
        <v xml:space="preserve"> </v>
      </c>
    </row>
    <row r="872" spans="1:9">
      <c r="A872" s="584" t="s">
        <v>2247</v>
      </c>
      <c r="B872" s="621" t="str">
        <f ca="1">TEXT('Reconciliation report'!$E$291,RefData!$B$423)</f>
        <v/>
      </c>
      <c r="E872" s="585" t="str">
        <f ca="1">IF(AND(OR('Reconciliation report'!$E$104=RefData!$B$8,'Reconciliation report'!$E$9=RefData!$B$5),OR('Reconciliation report'!$E$119=RefData!$B$46,'Reconciliation report'!$E$119=RefData!$B$48)),'All Statement of strategy (D)'!$B872,"")</f>
        <v/>
      </c>
      <c r="F872" s="585" t="str">
        <f ca="1">IF(AND(OR('Reconciliation report'!$E$104=RefData!$B$8,'Reconciliation report'!$E$9=RefData!$B$5),OR('Reconciliation report'!$E$119=RefData!$B$46,'Reconciliation report'!$E$119=RefData!$B$48)),'All Statement of strategy (D)'!$B872,"")</f>
        <v/>
      </c>
      <c r="G872" s="585" t="str">
        <f ca="1">IF(AND(OR('Reconciliation report'!$E$104=RefData!$B$8,'Reconciliation report'!$E$9=RefData!$B$5),OR('Reconciliation report'!$E$119=RefData!$B$46,'Reconciliation report'!$E$119=RefData!$B$48)),'All Statement of strategy (D)'!$B872,"")</f>
        <v/>
      </c>
      <c r="H872" s="585" t="str">
        <f ca="1">IF(AND(OR('Reconciliation report'!$E$104=RefData!$B$8,'Reconciliation report'!$E$9=RefData!$B$5),OR('Reconciliation report'!$E$119=RefData!$B$46,'Reconciliation report'!$E$119=RefData!$B$48)),'All Statement of strategy (D)'!$B872,"")</f>
        <v/>
      </c>
      <c r="I872" s="595" t="str">
        <f ca="1">IF($C$1=RefData!$B$418,'All Statement of strategy (D)'!$E872,IF('All Statement of strategy (D)'!$C$1=RefData!$B$419,'All Statement of strategy (D)'!$F872,IF('All Statement of strategy (D)'!$C$1=RefData!$B$420,'All Statement of strategy (D)'!$G872,IF('All Statement of strategy (D)'!$C$1=RefData!$B$421,'All Statement of strategy (D)'!$H872," "))))</f>
        <v xml:space="preserve"> </v>
      </c>
    </row>
    <row r="873" spans="1:9">
      <c r="A873" s="584" t="s">
        <v>2248</v>
      </c>
      <c r="B873" s="621" t="str">
        <f ca="1">TEXT('Reconciliation report'!$E$292,RefData!$B$423)</f>
        <v/>
      </c>
      <c r="E873" s="585" t="str">
        <f ca="1">IF(AND(OR('Reconciliation report'!$E$104=RefData!$B$8,'Reconciliation report'!$E$9=RefData!$B$5),OR('Reconciliation report'!$E$119=RefData!$B$46,'Reconciliation report'!$E$119=RefData!$B$48)),'All Statement of strategy (D)'!$B873,"")</f>
        <v/>
      </c>
      <c r="F873" s="585" t="str">
        <f ca="1">IF(AND(OR('Reconciliation report'!$E$104=RefData!$B$8,'Reconciliation report'!$E$9=RefData!$B$5),OR('Reconciliation report'!$E$119=RefData!$B$46,'Reconciliation report'!$E$119=RefData!$B$48)),'All Statement of strategy (D)'!$B873,"")</f>
        <v/>
      </c>
      <c r="G873" s="585" t="str">
        <f ca="1">IF(AND(OR('Reconciliation report'!$E$104=RefData!$B$8,'Reconciliation report'!$E$9=RefData!$B$5),OR('Reconciliation report'!$E$119=RefData!$B$46,'Reconciliation report'!$E$119=RefData!$B$48)),'All Statement of strategy (D)'!$B873,"")</f>
        <v/>
      </c>
      <c r="H873" s="585" t="str">
        <f ca="1">IF(AND(OR('Reconciliation report'!$E$104=RefData!$B$8,'Reconciliation report'!$E$9=RefData!$B$5),OR('Reconciliation report'!$E$119=RefData!$B$46,'Reconciliation report'!$E$119=RefData!$B$48)),'All Statement of strategy (D)'!$B873,"")</f>
        <v/>
      </c>
      <c r="I873" s="595" t="str">
        <f ca="1">IF($C$1=RefData!$B$418,'All Statement of strategy (D)'!$E873,IF('All Statement of strategy (D)'!$C$1=RefData!$B$419,'All Statement of strategy (D)'!$F873,IF('All Statement of strategy (D)'!$C$1=RefData!$B$420,'All Statement of strategy (D)'!$G873,IF('All Statement of strategy (D)'!$C$1=RefData!$B$421,'All Statement of strategy (D)'!$H873," "))))</f>
        <v xml:space="preserve"> </v>
      </c>
    </row>
    <row r="874" spans="1:9">
      <c r="A874" s="584" t="s">
        <v>2249</v>
      </c>
      <c r="B874" s="621" t="str">
        <f ca="1">TEXT('Reconciliation report'!$E$293,RefData!$B$423)</f>
        <v/>
      </c>
      <c r="E874" s="585" t="str">
        <f ca="1">IF(AND(OR('Reconciliation report'!$E$104=RefData!$B$8,'Reconciliation report'!$E$9=RefData!$B$5),OR('Reconciliation report'!$E$119=RefData!$B$46,'Reconciliation report'!$E$119=RefData!$B$48)),'All Statement of strategy (D)'!$B874,"")</f>
        <v/>
      </c>
      <c r="F874" s="585" t="str">
        <f ca="1">IF(AND(OR('Reconciliation report'!$E$104=RefData!$B$8,'Reconciliation report'!$E$9=RefData!$B$5),OR('Reconciliation report'!$E$119=RefData!$B$46,'Reconciliation report'!$E$119=RefData!$B$48)),'All Statement of strategy (D)'!$B874,"")</f>
        <v/>
      </c>
      <c r="G874" s="585" t="str">
        <f ca="1">IF(AND(OR('Reconciliation report'!$E$104=RefData!$B$8,'Reconciliation report'!$E$9=RefData!$B$5),OR('Reconciliation report'!$E$119=RefData!$B$46,'Reconciliation report'!$E$119=RefData!$B$48)),'All Statement of strategy (D)'!$B874,"")</f>
        <v/>
      </c>
      <c r="H874" s="585" t="str">
        <f ca="1">IF(AND(OR('Reconciliation report'!$E$104=RefData!$B$8,'Reconciliation report'!$E$9=RefData!$B$5),OR('Reconciliation report'!$E$119=RefData!$B$46,'Reconciliation report'!$E$119=RefData!$B$48)),'All Statement of strategy (D)'!$B874,"")</f>
        <v/>
      </c>
      <c r="I874" s="595" t="str">
        <f ca="1">IF($C$1=RefData!$B$418,'All Statement of strategy (D)'!$E874,IF('All Statement of strategy (D)'!$C$1=RefData!$B$419,'All Statement of strategy (D)'!$F874,IF('All Statement of strategy (D)'!$C$1=RefData!$B$420,'All Statement of strategy (D)'!$G874,IF('All Statement of strategy (D)'!$C$1=RefData!$B$421,'All Statement of strategy (D)'!$H874," "))))</f>
        <v xml:space="preserve"> </v>
      </c>
    </row>
    <row r="875" spans="1:9">
      <c r="A875" s="584" t="s">
        <v>2250</v>
      </c>
      <c r="B875" s="621" t="str">
        <f ca="1">TEXT('Reconciliation report'!$E$294,RefData!$B$423)</f>
        <v/>
      </c>
      <c r="E875" s="585" t="str">
        <f ca="1">IF(AND(OR('Reconciliation report'!$E$104=RefData!$B$8,'Reconciliation report'!$E$9=RefData!$B$5),OR('Reconciliation report'!$E$119=RefData!$B$46,'Reconciliation report'!$E$119=RefData!$B$47)),'All Statement of strategy (D)'!$B875,"")</f>
        <v/>
      </c>
      <c r="F875" s="585" t="str">
        <f ca="1">IF(AND(OR('Reconciliation report'!$E$104=RefData!$B$8,'Reconciliation report'!$E$9=RefData!$B$5),OR('Reconciliation report'!$E$119=RefData!$B$46,'Reconciliation report'!$E$119=RefData!$B$47)),'All Statement of strategy (D)'!$B875,"")</f>
        <v/>
      </c>
      <c r="G875" s="585" t="str">
        <f ca="1">IF(AND(OR('Reconciliation report'!$E$104=RefData!$B$8,'Reconciliation report'!$E$9=RefData!$B$5),OR('Reconciliation report'!$E$119=RefData!$B$46,'Reconciliation report'!$E$119=RefData!$B$47)),'All Statement of strategy (D)'!$B875,"")</f>
        <v/>
      </c>
      <c r="H875" s="585" t="str">
        <f ca="1">IF(AND(OR('Reconciliation report'!$E$104=RefData!$B$8,'Reconciliation report'!$E$9=RefData!$B$5),OR('Reconciliation report'!$E$119=RefData!$B$46,'Reconciliation report'!$E$119=RefData!$B$47)),'All Statement of strategy (D)'!$B875,"")</f>
        <v/>
      </c>
      <c r="I875" s="595" t="str">
        <f ca="1">IF($C$1=RefData!$B$418,'All Statement of strategy (D)'!$E875,IF('All Statement of strategy (D)'!$C$1=RefData!$B$419,'All Statement of strategy (D)'!$F875,IF('All Statement of strategy (D)'!$C$1=RefData!$B$420,'All Statement of strategy (D)'!$G875,IF('All Statement of strategy (D)'!$C$1=RefData!$B$421,'All Statement of strategy (D)'!$H875," "))))</f>
        <v xml:space="preserve"> </v>
      </c>
    </row>
    <row r="876" spans="1:9">
      <c r="A876" s="584" t="s">
        <v>2251</v>
      </c>
      <c r="B876" s="621" t="str">
        <f ca="1">TEXT('Reconciliation report'!$E$295,RefData!$B$423)</f>
        <v/>
      </c>
      <c r="E876" s="585" t="str">
        <f ca="1">IF(AND(OR('Reconciliation report'!$E$104=RefData!$B$8,'Reconciliation report'!$E$9=RefData!$B$5),OR('Reconciliation report'!$E$119=RefData!$B$46,'Reconciliation report'!$E$119=RefData!$B$47)),'All Statement of strategy (D)'!$B876,"")</f>
        <v/>
      </c>
      <c r="F876" s="585" t="str">
        <f ca="1">IF(AND(OR('Reconciliation report'!$E$104=RefData!$B$8,'Reconciliation report'!$E$9=RefData!$B$5),OR('Reconciliation report'!$E$119=RefData!$B$46,'Reconciliation report'!$E$119=RefData!$B$47)),'All Statement of strategy (D)'!$B876,"")</f>
        <v/>
      </c>
      <c r="G876" s="585" t="str">
        <f ca="1">IF(AND(OR('Reconciliation report'!$E$104=RefData!$B$8,'Reconciliation report'!$E$9=RefData!$B$5),OR('Reconciliation report'!$E$119=RefData!$B$46,'Reconciliation report'!$E$119=RefData!$B$47)),'All Statement of strategy (D)'!$B876,"")</f>
        <v/>
      </c>
      <c r="H876" s="585" t="str">
        <f ca="1">IF(AND(OR('Reconciliation report'!$E$104=RefData!$B$8,'Reconciliation report'!$E$9=RefData!$B$5),OR('Reconciliation report'!$E$119=RefData!$B$46,'Reconciliation report'!$E$119=RefData!$B$47)),'All Statement of strategy (D)'!$B876,"")</f>
        <v/>
      </c>
      <c r="I876" s="595" t="str">
        <f ca="1">IF($C$1=RefData!$B$418,'All Statement of strategy (D)'!$E876,IF('All Statement of strategy (D)'!$C$1=RefData!$B$419,'All Statement of strategy (D)'!$F876,IF('All Statement of strategy (D)'!$C$1=RefData!$B$420,'All Statement of strategy (D)'!$G876,IF('All Statement of strategy (D)'!$C$1=RefData!$B$421,'All Statement of strategy (D)'!$H876," "))))</f>
        <v xml:space="preserve"> </v>
      </c>
    </row>
    <row r="877" spans="1:9">
      <c r="A877" s="584" t="s">
        <v>2252</v>
      </c>
      <c r="B877" s="621" t="str">
        <f ca="1">TEXT('Reconciliation report'!$E$296,RefData!$B$423)</f>
        <v/>
      </c>
      <c r="E877" s="585" t="str">
        <f ca="1">IF(AND(OR('Reconciliation report'!$E$104=RefData!$B$8,'Reconciliation report'!$E$9=RefData!$B$5),OR('Reconciliation report'!$E$119=RefData!$B$46,'Reconciliation report'!$E$119=RefData!$B$47)),'All Statement of strategy (D)'!$B877,"")</f>
        <v/>
      </c>
      <c r="F877" s="585" t="str">
        <f ca="1">IF(AND(OR('Reconciliation report'!$E$104=RefData!$B$8,'Reconciliation report'!$E$9=RefData!$B$5),OR('Reconciliation report'!$E$119=RefData!$B$46,'Reconciliation report'!$E$119=RefData!$B$47)),'All Statement of strategy (D)'!$B877,"")</f>
        <v/>
      </c>
      <c r="G877" s="585" t="str">
        <f ca="1">IF(AND(OR('Reconciliation report'!$E$104=RefData!$B$8,'Reconciliation report'!$E$9=RefData!$B$5),OR('Reconciliation report'!$E$119=RefData!$B$46,'Reconciliation report'!$E$119=RefData!$B$47)),'All Statement of strategy (D)'!$B877,"")</f>
        <v/>
      </c>
      <c r="H877" s="585" t="str">
        <f ca="1">IF(AND(OR('Reconciliation report'!$E$104=RefData!$B$8,'Reconciliation report'!$E$9=RefData!$B$5),OR('Reconciliation report'!$E$119=RefData!$B$46,'Reconciliation report'!$E$119=RefData!$B$47)),'All Statement of strategy (D)'!$B877,"")</f>
        <v/>
      </c>
      <c r="I877" s="595" t="str">
        <f ca="1">IF($C$1=RefData!$B$418,'All Statement of strategy (D)'!$E877,IF('All Statement of strategy (D)'!$C$1=RefData!$B$419,'All Statement of strategy (D)'!$F877,IF('All Statement of strategy (D)'!$C$1=RefData!$B$420,'All Statement of strategy (D)'!$G877,IF('All Statement of strategy (D)'!$C$1=RefData!$B$421,'All Statement of strategy (D)'!$H877," "))))</f>
        <v xml:space="preserve"> </v>
      </c>
    </row>
    <row r="878" spans="1:9">
      <c r="A878" s="584" t="s">
        <v>2253</v>
      </c>
      <c r="B878" s="621" t="str">
        <f ca="1">TEXT('Reconciliation report'!$E$297,RefData!$B$423)</f>
        <v/>
      </c>
      <c r="E878" s="585" t="str">
        <f ca="1">IF(AND(OR('Reconciliation report'!$E$104=RefData!$B$8,'Reconciliation report'!$E$9=RefData!$B$5),OR('Reconciliation report'!$E$119=RefData!$B$46,'Reconciliation report'!$E$119=RefData!$B$47)),'All Statement of strategy (D)'!$B878,"")</f>
        <v/>
      </c>
      <c r="F878" s="585" t="str">
        <f ca="1">IF(AND(OR('Reconciliation report'!$E$104=RefData!$B$8,'Reconciliation report'!$E$9=RefData!$B$5),OR('Reconciliation report'!$E$119=RefData!$B$46,'Reconciliation report'!$E$119=RefData!$B$47)),'All Statement of strategy (D)'!$B878,"")</f>
        <v/>
      </c>
      <c r="G878" s="585" t="str">
        <f ca="1">IF(AND(OR('Reconciliation report'!$E$104=RefData!$B$8,'Reconciliation report'!$E$9=RefData!$B$5),OR('Reconciliation report'!$E$119=RefData!$B$46,'Reconciliation report'!$E$119=RefData!$B$47)),'All Statement of strategy (D)'!$B878,"")</f>
        <v/>
      </c>
      <c r="H878" s="585" t="str">
        <f ca="1">IF(AND(OR('Reconciliation report'!$E$104=RefData!$B$8,'Reconciliation report'!$E$9=RefData!$B$5),OR('Reconciliation report'!$E$119=RefData!$B$46,'Reconciliation report'!$E$119=RefData!$B$47)),'All Statement of strategy (D)'!$B878,"")</f>
        <v/>
      </c>
      <c r="I878" s="595" t="str">
        <f ca="1">IF($C$1=RefData!$B$418,'All Statement of strategy (D)'!$E878,IF('All Statement of strategy (D)'!$C$1=RefData!$B$419,'All Statement of strategy (D)'!$F878,IF('All Statement of strategy (D)'!$C$1=RefData!$B$420,'All Statement of strategy (D)'!$G878,IF('All Statement of strategy (D)'!$C$1=RefData!$B$421,'All Statement of strategy (D)'!$H878," "))))</f>
        <v xml:space="preserve"> </v>
      </c>
    </row>
    <row r="879" spans="1:9">
      <c r="A879" s="584" t="s">
        <v>2254</v>
      </c>
      <c r="B879" s="621" t="str">
        <f ca="1">TEXT('Reconciliation report'!$E$298,RefData!$B$423)</f>
        <v/>
      </c>
      <c r="E879" s="585" t="str">
        <f ca="1">IF(AND(OR('Reconciliation report'!$E$104=RefData!$B$8,'Reconciliation report'!$E$9=RefData!$B$5),OR('Reconciliation report'!$E$119=RefData!$B$46,'Reconciliation report'!$E$119=RefData!$B$47)),'All Statement of strategy (D)'!$B879,"")</f>
        <v/>
      </c>
      <c r="F879" s="585" t="str">
        <f ca="1">IF(AND(OR('Reconciliation report'!$E$104=RefData!$B$8,'Reconciliation report'!$E$9=RefData!$B$5),OR('Reconciliation report'!$E$119=RefData!$B$46,'Reconciliation report'!$E$119=RefData!$B$47)),'All Statement of strategy (D)'!$B879,"")</f>
        <v/>
      </c>
      <c r="G879" s="585" t="str">
        <f ca="1">IF(AND(OR('Reconciliation report'!$E$104=RefData!$B$8,'Reconciliation report'!$E$9=RefData!$B$5),OR('Reconciliation report'!$E$119=RefData!$B$46,'Reconciliation report'!$E$119=RefData!$B$47)),'All Statement of strategy (D)'!$B879,"")</f>
        <v/>
      </c>
      <c r="H879" s="585" t="str">
        <f ca="1">IF(AND(OR('Reconciliation report'!$E$104=RefData!$B$8,'Reconciliation report'!$E$9=RefData!$B$5),OR('Reconciliation report'!$E$119=RefData!$B$46,'Reconciliation report'!$E$119=RefData!$B$47)),'All Statement of strategy (D)'!$B879,"")</f>
        <v/>
      </c>
      <c r="I879" s="595" t="str">
        <f ca="1">IF($C$1=RefData!$B$418,'All Statement of strategy (D)'!$E879,IF('All Statement of strategy (D)'!$C$1=RefData!$B$419,'All Statement of strategy (D)'!$F879,IF('All Statement of strategy (D)'!$C$1=RefData!$B$420,'All Statement of strategy (D)'!$G879,IF('All Statement of strategy (D)'!$C$1=RefData!$B$421,'All Statement of strategy (D)'!$H879," "))))</f>
        <v xml:space="preserve"> </v>
      </c>
    </row>
    <row r="880" spans="1:9">
      <c r="A880" s="584" t="s">
        <v>2255</v>
      </c>
      <c r="B880" s="621" t="str">
        <f ca="1">TEXT('Reconciliation report'!$E$299,RefData!$B$423)</f>
        <v/>
      </c>
      <c r="E880" s="585" t="str">
        <f ca="1">IF(AND(OR('Reconciliation report'!$E$104=RefData!$B$8,'Reconciliation report'!$E$9=RefData!$B$5),OR('Reconciliation report'!$E$119=RefData!$B$46,'Reconciliation report'!$E$119=RefData!$B$47)),'All Statement of strategy (D)'!$B880,"")</f>
        <v/>
      </c>
      <c r="F880" s="585" t="str">
        <f ca="1">IF(AND(OR('Reconciliation report'!$E$104=RefData!$B$8,'Reconciliation report'!$E$9=RefData!$B$5),OR('Reconciliation report'!$E$119=RefData!$B$46,'Reconciliation report'!$E$119=RefData!$B$47)),'All Statement of strategy (D)'!$B880,"")</f>
        <v/>
      </c>
      <c r="G880" s="585" t="str">
        <f ca="1">IF(AND(OR('Reconciliation report'!$E$104=RefData!$B$8,'Reconciliation report'!$E$9=RefData!$B$5),OR('Reconciliation report'!$E$119=RefData!$B$46,'Reconciliation report'!$E$119=RefData!$B$47)),'All Statement of strategy (D)'!$B880,"")</f>
        <v/>
      </c>
      <c r="H880" s="585" t="str">
        <f ca="1">IF(AND(OR('Reconciliation report'!$E$104=RefData!$B$8,'Reconciliation report'!$E$9=RefData!$B$5),OR('Reconciliation report'!$E$119=RefData!$B$46,'Reconciliation report'!$E$119=RefData!$B$47)),'All Statement of strategy (D)'!$B880,"")</f>
        <v/>
      </c>
      <c r="I880" s="595" t="str">
        <f ca="1">IF($C$1=RefData!$B$418,'All Statement of strategy (D)'!$E880,IF('All Statement of strategy (D)'!$C$1=RefData!$B$419,'All Statement of strategy (D)'!$F880,IF('All Statement of strategy (D)'!$C$1=RefData!$B$420,'All Statement of strategy (D)'!$G880,IF('All Statement of strategy (D)'!$C$1=RefData!$B$421,'All Statement of strategy (D)'!$H880," "))))</f>
        <v xml:space="preserve"> </v>
      </c>
    </row>
    <row r="881" spans="1:9">
      <c r="A881" s="584" t="s">
        <v>2256</v>
      </c>
      <c r="B881" s="621" t="str">
        <f ca="1">TEXT('Reconciliation report'!$E$300,RefData!$B$423)</f>
        <v/>
      </c>
      <c r="E881" s="585" t="str">
        <f ca="1">IF(AND(OR('Reconciliation report'!$E$104=RefData!$B$8,'Reconciliation report'!$E$9=RefData!$B$5),OR('Reconciliation report'!$E$119=RefData!$B$46,'Reconciliation report'!$E$119=RefData!$B$47)),'All Statement of strategy (D)'!$B881,"")</f>
        <v/>
      </c>
      <c r="F881" s="585" t="str">
        <f ca="1">IF(AND(OR('Reconciliation report'!$E$104=RefData!$B$8,'Reconciliation report'!$E$9=RefData!$B$5),OR('Reconciliation report'!$E$119=RefData!$B$46,'Reconciliation report'!$E$119=RefData!$B$47)),'All Statement of strategy (D)'!$B881,"")</f>
        <v/>
      </c>
      <c r="G881" s="585" t="str">
        <f ca="1">IF(AND(OR('Reconciliation report'!$E$104=RefData!$B$8,'Reconciliation report'!$E$9=RefData!$B$5),OR('Reconciliation report'!$E$119=RefData!$B$46,'Reconciliation report'!$E$119=RefData!$B$47)),'All Statement of strategy (D)'!$B881,"")</f>
        <v/>
      </c>
      <c r="H881" s="585" t="str">
        <f ca="1">IF(AND(OR('Reconciliation report'!$E$104=RefData!$B$8,'Reconciliation report'!$E$9=RefData!$B$5),OR('Reconciliation report'!$E$119=RefData!$B$46,'Reconciliation report'!$E$119=RefData!$B$47)),'All Statement of strategy (D)'!$B881,"")</f>
        <v/>
      </c>
      <c r="I881" s="595" t="str">
        <f ca="1">IF($C$1=RefData!$B$418,'All Statement of strategy (D)'!$E881,IF('All Statement of strategy (D)'!$C$1=RefData!$B$419,'All Statement of strategy (D)'!$F881,IF('All Statement of strategy (D)'!$C$1=RefData!$B$420,'All Statement of strategy (D)'!$G881,IF('All Statement of strategy (D)'!$C$1=RefData!$B$421,'All Statement of strategy (D)'!$H881," "))))</f>
        <v xml:space="preserve"> </v>
      </c>
    </row>
    <row r="882" spans="1:9">
      <c r="A882" s="584" t="s">
        <v>2257</v>
      </c>
      <c r="B882" s="621" t="str">
        <f ca="1">TEXT('Reconciliation report'!$E$301,RefData!$B$423)</f>
        <v/>
      </c>
      <c r="E882" s="585" t="str">
        <f ca="1">IF(AND(OR('Reconciliation report'!$E$104=RefData!$B$8,'Reconciliation report'!$E$9=RefData!$B$5),OR('Reconciliation report'!$E$119=RefData!$B$46,'Reconciliation report'!$E$119=RefData!$B$47)),'All Statement of strategy (D)'!$B882,"")</f>
        <v/>
      </c>
      <c r="F882" s="585" t="str">
        <f ca="1">IF(AND(OR('Reconciliation report'!$E$104=RefData!$B$8,'Reconciliation report'!$E$9=RefData!$B$5),OR('Reconciliation report'!$E$119=RefData!$B$46,'Reconciliation report'!$E$119=RefData!$B$47)),'All Statement of strategy (D)'!$B882,"")</f>
        <v/>
      </c>
      <c r="G882" s="585" t="str">
        <f ca="1">IF(AND(OR('Reconciliation report'!$E$104=RefData!$B$8,'Reconciliation report'!$E$9=RefData!$B$5),OR('Reconciliation report'!$E$119=RefData!$B$46,'Reconciliation report'!$E$119=RefData!$B$47)),'All Statement of strategy (D)'!$B882,"")</f>
        <v/>
      </c>
      <c r="H882" s="585" t="str">
        <f ca="1">IF(AND(OR('Reconciliation report'!$E$104=RefData!$B$8,'Reconciliation report'!$E$9=RefData!$B$5),OR('Reconciliation report'!$E$119=RefData!$B$46,'Reconciliation report'!$E$119=RefData!$B$47)),'All Statement of strategy (D)'!$B882,"")</f>
        <v/>
      </c>
      <c r="I882" s="595" t="str">
        <f ca="1">IF($C$1=RefData!$B$418,'All Statement of strategy (D)'!$E882,IF('All Statement of strategy (D)'!$C$1=RefData!$B$419,'All Statement of strategy (D)'!$F882,IF('All Statement of strategy (D)'!$C$1=RefData!$B$420,'All Statement of strategy (D)'!$G882,IF('All Statement of strategy (D)'!$C$1=RefData!$B$421,'All Statement of strategy (D)'!$H882," "))))</f>
        <v xml:space="preserve"> </v>
      </c>
    </row>
    <row r="883" spans="1:9">
      <c r="A883" s="584" t="s">
        <v>2258</v>
      </c>
      <c r="B883" s="621" t="str">
        <f ca="1">TEXT('Reconciliation report'!$E$302,RefData!$B$423)</f>
        <v/>
      </c>
      <c r="E883" s="585" t="str">
        <f ca="1">IF(AND(OR('Reconciliation report'!$E$104=RefData!$B$8,'Reconciliation report'!$E$9=RefData!$B$5),OR('Reconciliation report'!$E$119=RefData!$B$46,'Reconciliation report'!$E$119=RefData!$B$47)),'All Statement of strategy (D)'!$B883,"")</f>
        <v/>
      </c>
      <c r="F883" s="585" t="str">
        <f ca="1">IF(AND(OR('Reconciliation report'!$E$104=RefData!$B$8,'Reconciliation report'!$E$9=RefData!$B$5),OR('Reconciliation report'!$E$119=RefData!$B$46,'Reconciliation report'!$E$119=RefData!$B$47)),'All Statement of strategy (D)'!$B883,"")</f>
        <v/>
      </c>
      <c r="G883" s="585" t="str">
        <f ca="1">IF(AND(OR('Reconciliation report'!$E$104=RefData!$B$8,'Reconciliation report'!$E$9=RefData!$B$5),OR('Reconciliation report'!$E$119=RefData!$B$46,'Reconciliation report'!$E$119=RefData!$B$47)),'All Statement of strategy (D)'!$B883,"")</f>
        <v/>
      </c>
      <c r="H883" s="585" t="str">
        <f ca="1">IF(AND(OR('Reconciliation report'!$E$104=RefData!$B$8,'Reconciliation report'!$E$9=RefData!$B$5),OR('Reconciliation report'!$E$119=RefData!$B$46,'Reconciliation report'!$E$119=RefData!$B$47)),'All Statement of strategy (D)'!$B883,"")</f>
        <v/>
      </c>
      <c r="I883" s="595" t="str">
        <f ca="1">IF($C$1=RefData!$B$418,'All Statement of strategy (D)'!$E883,IF('All Statement of strategy (D)'!$C$1=RefData!$B$419,'All Statement of strategy (D)'!$F883,IF('All Statement of strategy (D)'!$C$1=RefData!$B$420,'All Statement of strategy (D)'!$G883,IF('All Statement of strategy (D)'!$C$1=RefData!$B$421,'All Statement of strategy (D)'!$H883," "))))</f>
        <v xml:space="preserve"> </v>
      </c>
    </row>
    <row r="884" spans="1:9">
      <c r="A884" s="584" t="s">
        <v>2259</v>
      </c>
      <c r="B884" s="621" t="str">
        <f ca="1">TEXT('Reconciliation report'!$E$303,RefData!$B$423)</f>
        <v/>
      </c>
      <c r="E884" s="585" t="str">
        <f ca="1">IF(AND(OR('Reconciliation report'!$E$104=RefData!$B$8,'Reconciliation report'!$E$9=RefData!$B$5),OR('Reconciliation report'!$E$119=RefData!$B$46,'Reconciliation report'!$E$119=RefData!$B$47)),'All Statement of strategy (D)'!$B884,"")</f>
        <v/>
      </c>
      <c r="F884" s="585" t="str">
        <f ca="1">IF(AND(OR('Reconciliation report'!$E$104=RefData!$B$8,'Reconciliation report'!$E$9=RefData!$B$5),OR('Reconciliation report'!$E$119=RefData!$B$46,'Reconciliation report'!$E$119=RefData!$B$47)),'All Statement of strategy (D)'!$B884,"")</f>
        <v/>
      </c>
      <c r="G884" s="585" t="str">
        <f ca="1">IF(AND(OR('Reconciliation report'!$E$104=RefData!$B$8,'Reconciliation report'!$E$9=RefData!$B$5),OR('Reconciliation report'!$E$119=RefData!$B$46,'Reconciliation report'!$E$119=RefData!$B$47)),'All Statement of strategy (D)'!$B884,"")</f>
        <v/>
      </c>
      <c r="H884" s="585" t="str">
        <f ca="1">IF(AND(OR('Reconciliation report'!$E$104=RefData!$B$8,'Reconciliation report'!$E$9=RefData!$B$5),OR('Reconciliation report'!$E$119=RefData!$B$46,'Reconciliation report'!$E$119=RefData!$B$47)),'All Statement of strategy (D)'!$B884,"")</f>
        <v/>
      </c>
      <c r="I884" s="595" t="str">
        <f ca="1">IF($C$1=RefData!$B$418,'All Statement of strategy (D)'!$E884,IF('All Statement of strategy (D)'!$C$1=RefData!$B$419,'All Statement of strategy (D)'!$F884,IF('All Statement of strategy (D)'!$C$1=RefData!$B$420,'All Statement of strategy (D)'!$G884,IF('All Statement of strategy (D)'!$C$1=RefData!$B$421,'All Statement of strategy (D)'!$H884," "))))</f>
        <v xml:space="preserve"> </v>
      </c>
    </row>
    <row r="885" spans="1:9">
      <c r="A885" s="584" t="s">
        <v>2260</v>
      </c>
      <c r="B885" s="621" t="str">
        <f ca="1">TEXT('Reconciliation report'!$E$304,RefData!$B$423)</f>
        <v/>
      </c>
      <c r="E885" s="585" t="str">
        <f ca="1">IF(AND(OR('Reconciliation report'!$E$104=RefData!$B$8,'Reconciliation report'!$E$9=RefData!$B$5),OR('Reconciliation report'!$E$119=RefData!$B$46,'Reconciliation report'!$E$119=RefData!$B$47)),'All Statement of strategy (D)'!$B885,"")</f>
        <v/>
      </c>
      <c r="F885" s="585" t="str">
        <f ca="1">IF(AND(OR('Reconciliation report'!$E$104=RefData!$B$8,'Reconciliation report'!$E$9=RefData!$B$5),OR('Reconciliation report'!$E$119=RefData!$B$46,'Reconciliation report'!$E$119=RefData!$B$47)),'All Statement of strategy (D)'!$B885,"")</f>
        <v/>
      </c>
      <c r="G885" s="585" t="str">
        <f ca="1">IF(AND(OR('Reconciliation report'!$E$104=RefData!$B$8,'Reconciliation report'!$E$9=RefData!$B$5),OR('Reconciliation report'!$E$119=RefData!$B$46,'Reconciliation report'!$E$119=RefData!$B$47)),'All Statement of strategy (D)'!$B885,"")</f>
        <v/>
      </c>
      <c r="H885" s="585" t="str">
        <f ca="1">IF(AND(OR('Reconciliation report'!$E$104=RefData!$B$8,'Reconciliation report'!$E$9=RefData!$B$5),OR('Reconciliation report'!$E$119=RefData!$B$46,'Reconciliation report'!$E$119=RefData!$B$47)),'All Statement of strategy (D)'!$B885,"")</f>
        <v/>
      </c>
      <c r="I885" s="595" t="str">
        <f ca="1">IF($C$1=RefData!$B$418,'All Statement of strategy (D)'!$E885,IF('All Statement of strategy (D)'!$C$1=RefData!$B$419,'All Statement of strategy (D)'!$F885,IF('All Statement of strategy (D)'!$C$1=RefData!$B$420,'All Statement of strategy (D)'!$G885,IF('All Statement of strategy (D)'!$C$1=RefData!$B$421,'All Statement of strategy (D)'!$H885," "))))</f>
        <v xml:space="preserve"> </v>
      </c>
    </row>
    <row r="886" spans="1:9">
      <c r="A886" s="584" t="s">
        <v>2261</v>
      </c>
      <c r="B886" s="621" t="str">
        <f ca="1">TEXT('Reconciliation report'!$E$305,RefData!$B$423)</f>
        <v/>
      </c>
      <c r="E886" s="585" t="str">
        <f ca="1">IF(AND(OR('Reconciliation report'!$E$104=RefData!$B$8,'Reconciliation report'!$E$9=RefData!$B$5),OR('Reconciliation report'!$E$119=RefData!$B$46,'Reconciliation report'!$E$119=RefData!$B$47)),'All Statement of strategy (D)'!$B886,"")</f>
        <v/>
      </c>
      <c r="F886" s="585" t="str">
        <f ca="1">IF(AND(OR('Reconciliation report'!$E$104=RefData!$B$8,'Reconciliation report'!$E$9=RefData!$B$5),OR('Reconciliation report'!$E$119=RefData!$B$46,'Reconciliation report'!$E$119=RefData!$B$47)),'All Statement of strategy (D)'!$B886,"")</f>
        <v/>
      </c>
      <c r="G886" s="585" t="str">
        <f ca="1">IF(AND(OR('Reconciliation report'!$E$104=RefData!$B$8,'Reconciliation report'!$E$9=RefData!$B$5),OR('Reconciliation report'!$E$119=RefData!$B$46,'Reconciliation report'!$E$119=RefData!$B$47)),'All Statement of strategy (D)'!$B886,"")</f>
        <v/>
      </c>
      <c r="H886" s="585" t="str">
        <f ca="1">IF(AND(OR('Reconciliation report'!$E$104=RefData!$B$8,'Reconciliation report'!$E$9=RefData!$B$5),OR('Reconciliation report'!$E$119=RefData!$B$46,'Reconciliation report'!$E$119=RefData!$B$47)),'All Statement of strategy (D)'!$B886,"")</f>
        <v/>
      </c>
      <c r="I886" s="595" t="str">
        <f ca="1">IF($C$1=RefData!$B$418,'All Statement of strategy (D)'!$E886,IF('All Statement of strategy (D)'!$C$1=RefData!$B$419,'All Statement of strategy (D)'!$F886,IF('All Statement of strategy (D)'!$C$1=RefData!$B$420,'All Statement of strategy (D)'!$G886,IF('All Statement of strategy (D)'!$C$1=RefData!$B$421,'All Statement of strategy (D)'!$H886," "))))</f>
        <v xml:space="preserve"> </v>
      </c>
    </row>
    <row r="887" spans="1:9">
      <c r="A887" s="584" t="s">
        <v>2262</v>
      </c>
      <c r="B887" s="621" t="str">
        <f ca="1">TEXT('Reconciliation report'!$E$306,RefData!$B$423)</f>
        <v/>
      </c>
      <c r="E887" s="585" t="str">
        <f ca="1">IF(AND(OR('Reconciliation report'!$E$104=RefData!$B$8,'Reconciliation report'!$E$9=RefData!$B$5),OR('Reconciliation report'!$E$119=RefData!$B$46,'Reconciliation report'!$E$119=RefData!$B$47)),'All Statement of strategy (D)'!$B887,"")</f>
        <v/>
      </c>
      <c r="F887" s="585" t="str">
        <f ca="1">IF(AND(OR('Reconciliation report'!$E$104=RefData!$B$8,'Reconciliation report'!$E$9=RefData!$B$5),OR('Reconciliation report'!$E$119=RefData!$B$46,'Reconciliation report'!$E$119=RefData!$B$47)),'All Statement of strategy (D)'!$B887,"")</f>
        <v/>
      </c>
      <c r="G887" s="585" t="str">
        <f ca="1">IF(AND(OR('Reconciliation report'!$E$104=RefData!$B$8,'Reconciliation report'!$E$9=RefData!$B$5),OR('Reconciliation report'!$E$119=RefData!$B$46,'Reconciliation report'!$E$119=RefData!$B$47)),'All Statement of strategy (D)'!$B887,"")</f>
        <v/>
      </c>
      <c r="H887" s="585" t="str">
        <f ca="1">IF(AND(OR('Reconciliation report'!$E$104=RefData!$B$8,'Reconciliation report'!$E$9=RefData!$B$5),OR('Reconciliation report'!$E$119=RefData!$B$46,'Reconciliation report'!$E$119=RefData!$B$47)),'All Statement of strategy (D)'!$B887,"")</f>
        <v/>
      </c>
      <c r="I887" s="595" t="str">
        <f ca="1">IF($C$1=RefData!$B$418,'All Statement of strategy (D)'!$E887,IF('All Statement of strategy (D)'!$C$1=RefData!$B$419,'All Statement of strategy (D)'!$F887,IF('All Statement of strategy (D)'!$C$1=RefData!$B$420,'All Statement of strategy (D)'!$G887,IF('All Statement of strategy (D)'!$C$1=RefData!$B$421,'All Statement of strategy (D)'!$H887," "))))</f>
        <v xml:space="preserve"> </v>
      </c>
    </row>
    <row r="888" spans="1:9">
      <c r="A888" s="584" t="s">
        <v>2263</v>
      </c>
      <c r="B888" s="621" t="str">
        <f ca="1">TEXT('Reconciliation report'!$E$307,RefData!$B$423)</f>
        <v/>
      </c>
      <c r="E888" s="585" t="str">
        <f ca="1">IF(AND(OR('Reconciliation report'!$E$104=RefData!$B$8,'Reconciliation report'!$E$9=RefData!$B$5),OR('Reconciliation report'!$E$119=RefData!$B$46,'Reconciliation report'!$E$119=RefData!$B$47)),'All Statement of strategy (D)'!$B888,"")</f>
        <v/>
      </c>
      <c r="F888" s="585" t="str">
        <f ca="1">IF(AND(OR('Reconciliation report'!$E$104=RefData!$B$8,'Reconciliation report'!$E$9=RefData!$B$5),OR('Reconciliation report'!$E$119=RefData!$B$46,'Reconciliation report'!$E$119=RefData!$B$47)),'All Statement of strategy (D)'!$B888,"")</f>
        <v/>
      </c>
      <c r="G888" s="585" t="str">
        <f ca="1">IF(AND(OR('Reconciliation report'!$E$104=RefData!$B$8,'Reconciliation report'!$E$9=RefData!$B$5),OR('Reconciliation report'!$E$119=RefData!$B$46,'Reconciliation report'!$E$119=RefData!$B$47)),'All Statement of strategy (D)'!$B888,"")</f>
        <v/>
      </c>
      <c r="H888" s="585" t="str">
        <f ca="1">IF(AND(OR('Reconciliation report'!$E$104=RefData!$B$8,'Reconciliation report'!$E$9=RefData!$B$5),OR('Reconciliation report'!$E$119=RefData!$B$46,'Reconciliation report'!$E$119=RefData!$B$47)),'All Statement of strategy (D)'!$B888,"")</f>
        <v/>
      </c>
      <c r="I888" s="595" t="str">
        <f ca="1">IF($C$1=RefData!$B$418,'All Statement of strategy (D)'!$E888,IF('All Statement of strategy (D)'!$C$1=RefData!$B$419,'All Statement of strategy (D)'!$F888,IF('All Statement of strategy (D)'!$C$1=RefData!$B$420,'All Statement of strategy (D)'!$G888,IF('All Statement of strategy (D)'!$C$1=RefData!$B$421,'All Statement of strategy (D)'!$H888," "))))</f>
        <v xml:space="preserve"> </v>
      </c>
    </row>
    <row r="889" spans="1:9">
      <c r="A889" s="584" t="s">
        <v>2264</v>
      </c>
      <c r="B889" s="621" t="str">
        <f ca="1">TEXT('Reconciliation report'!$E$308,RefData!$B$423)</f>
        <v/>
      </c>
      <c r="E889" s="585" t="str">
        <f ca="1">IF(AND(OR('Reconciliation report'!$E$104=RefData!$B$8,'Reconciliation report'!$E$9=RefData!$B$5),OR('Reconciliation report'!$E$119=RefData!$B$46,'Reconciliation report'!$E$119=RefData!$B$47)),'All Statement of strategy (D)'!$B889,"")</f>
        <v/>
      </c>
      <c r="F889" s="585" t="str">
        <f ca="1">IF(AND(OR('Reconciliation report'!$E$104=RefData!$B$8,'Reconciliation report'!$E$9=RefData!$B$5),OR('Reconciliation report'!$E$119=RefData!$B$46,'Reconciliation report'!$E$119=RefData!$B$47)),'All Statement of strategy (D)'!$B889,"")</f>
        <v/>
      </c>
      <c r="G889" s="585" t="str">
        <f ca="1">IF(AND(OR('Reconciliation report'!$E$104=RefData!$B$8,'Reconciliation report'!$E$9=RefData!$B$5),OR('Reconciliation report'!$E$119=RefData!$B$46,'Reconciliation report'!$E$119=RefData!$B$47)),'All Statement of strategy (D)'!$B889,"")</f>
        <v/>
      </c>
      <c r="H889" s="585" t="str">
        <f ca="1">IF(AND(OR('Reconciliation report'!$E$104=RefData!$B$8,'Reconciliation report'!$E$9=RefData!$B$5),OR('Reconciliation report'!$E$119=RefData!$B$46,'Reconciliation report'!$E$119=RefData!$B$47)),'All Statement of strategy (D)'!$B889,"")</f>
        <v/>
      </c>
      <c r="I889" s="595" t="str">
        <f ca="1">IF($C$1=RefData!$B$418,'All Statement of strategy (D)'!$E889,IF('All Statement of strategy (D)'!$C$1=RefData!$B$419,'All Statement of strategy (D)'!$F889,IF('All Statement of strategy (D)'!$C$1=RefData!$B$420,'All Statement of strategy (D)'!$G889,IF('All Statement of strategy (D)'!$C$1=RefData!$B$421,'All Statement of strategy (D)'!$H889," "))))</f>
        <v xml:space="preserve"> </v>
      </c>
    </row>
    <row r="890" spans="1:9">
      <c r="A890" s="584" t="s">
        <v>2265</v>
      </c>
      <c r="B890" s="621" t="str">
        <f ca="1">TEXT('Reconciliation report'!$E$309,RefData!$B$423)</f>
        <v/>
      </c>
      <c r="E890" s="585" t="str">
        <f ca="1">IF(AND(OR('Reconciliation report'!$E$104=RefData!$B$8,'Reconciliation report'!$E$9=RefData!$B$5),OR('Reconciliation report'!$E$119=RefData!$B$46,'Reconciliation report'!$E$119=RefData!$B$47)),'All Statement of strategy (D)'!$B890,"")</f>
        <v/>
      </c>
      <c r="F890" s="585" t="str">
        <f ca="1">IF(AND(OR('Reconciliation report'!$E$104=RefData!$B$8,'Reconciliation report'!$E$9=RefData!$B$5),OR('Reconciliation report'!$E$119=RefData!$B$46,'Reconciliation report'!$E$119=RefData!$B$47)),'All Statement of strategy (D)'!$B890,"")</f>
        <v/>
      </c>
      <c r="G890" s="585" t="str">
        <f ca="1">IF(AND(OR('Reconciliation report'!$E$104=RefData!$B$8,'Reconciliation report'!$E$9=RefData!$B$5),OR('Reconciliation report'!$E$119=RefData!$B$46,'Reconciliation report'!$E$119=RefData!$B$47)),'All Statement of strategy (D)'!$B890,"")</f>
        <v/>
      </c>
      <c r="H890" s="585" t="str">
        <f ca="1">IF(AND(OR('Reconciliation report'!$E$104=RefData!$B$8,'Reconciliation report'!$E$9=RefData!$B$5),OR('Reconciliation report'!$E$119=RefData!$B$46,'Reconciliation report'!$E$119=RefData!$B$47)),'All Statement of strategy (D)'!$B890,"")</f>
        <v/>
      </c>
      <c r="I890" s="595" t="str">
        <f ca="1">IF($C$1=RefData!$B$418,'All Statement of strategy (D)'!$E890,IF('All Statement of strategy (D)'!$C$1=RefData!$B$419,'All Statement of strategy (D)'!$F890,IF('All Statement of strategy (D)'!$C$1=RefData!$B$420,'All Statement of strategy (D)'!$G890,IF('All Statement of strategy (D)'!$C$1=RefData!$B$421,'All Statement of strategy (D)'!$H890," "))))</f>
        <v xml:space="preserve"> </v>
      </c>
    </row>
    <row r="891" spans="1:9">
      <c r="A891" s="584" t="s">
        <v>2266</v>
      </c>
      <c r="B891" s="621" t="str">
        <f ca="1">TEXT('Reconciliation report'!$E$310,RefData!$B$423)</f>
        <v/>
      </c>
      <c r="E891" s="585" t="str">
        <f ca="1">IF(AND(OR('Reconciliation report'!$E$104=RefData!$B$8,'Reconciliation report'!$E$9=RefData!$B$5),OR('Reconciliation report'!$E$119=RefData!$B$46,'Reconciliation report'!$E$119=RefData!$B$47)),'All Statement of strategy (D)'!$B891,"")</f>
        <v/>
      </c>
      <c r="F891" s="585" t="str">
        <f ca="1">IF(AND(OR('Reconciliation report'!$E$104=RefData!$B$8,'Reconciliation report'!$E$9=RefData!$B$5),OR('Reconciliation report'!$E$119=RefData!$B$46,'Reconciliation report'!$E$119=RefData!$B$47)),'All Statement of strategy (D)'!$B891,"")</f>
        <v/>
      </c>
      <c r="G891" s="585" t="str">
        <f ca="1">IF(AND(OR('Reconciliation report'!$E$104=RefData!$B$8,'Reconciliation report'!$E$9=RefData!$B$5),OR('Reconciliation report'!$E$119=RefData!$B$46,'Reconciliation report'!$E$119=RefData!$B$47)),'All Statement of strategy (D)'!$B891,"")</f>
        <v/>
      </c>
      <c r="H891" s="585" t="str">
        <f ca="1">IF(AND(OR('Reconciliation report'!$E$104=RefData!$B$8,'Reconciliation report'!$E$9=RefData!$B$5),OR('Reconciliation report'!$E$119=RefData!$B$46,'Reconciliation report'!$E$119=RefData!$B$47)),'All Statement of strategy (D)'!$B891,"")</f>
        <v/>
      </c>
      <c r="I891" s="595" t="str">
        <f ca="1">IF($C$1=RefData!$B$418,'All Statement of strategy (D)'!$E891,IF('All Statement of strategy (D)'!$C$1=RefData!$B$419,'All Statement of strategy (D)'!$F891,IF('All Statement of strategy (D)'!$C$1=RefData!$B$420,'All Statement of strategy (D)'!$G891,IF('All Statement of strategy (D)'!$C$1=RefData!$B$421,'All Statement of strategy (D)'!$H891," "))))</f>
        <v xml:space="preserve"> </v>
      </c>
    </row>
    <row r="892" spans="1:9">
      <c r="A892" s="584" t="s">
        <v>2267</v>
      </c>
      <c r="B892" s="621" t="str">
        <f ca="1">TEXT('Reconciliation report'!$E$311,RefData!$B$423)</f>
        <v/>
      </c>
      <c r="E892" s="585" t="str">
        <f ca="1">IF(AND(OR('Reconciliation report'!$E$104=RefData!$B$8,'Reconciliation report'!$E$9=RefData!$B$5),OR('Reconciliation report'!$E$119=RefData!$B$46,'Reconciliation report'!$E$119=RefData!$B$47)),'All Statement of strategy (D)'!$B892,"")</f>
        <v/>
      </c>
      <c r="F892" s="585" t="str">
        <f ca="1">IF(AND(OR('Reconciliation report'!$E$104=RefData!$B$8,'Reconciliation report'!$E$9=RefData!$B$5),OR('Reconciliation report'!$E$119=RefData!$B$46,'Reconciliation report'!$E$119=RefData!$B$47)),'All Statement of strategy (D)'!$B892,"")</f>
        <v/>
      </c>
      <c r="G892" s="585" t="str">
        <f ca="1">IF(AND(OR('Reconciliation report'!$E$104=RefData!$B$8,'Reconciliation report'!$E$9=RefData!$B$5),OR('Reconciliation report'!$E$119=RefData!$B$46,'Reconciliation report'!$E$119=RefData!$B$47)),'All Statement of strategy (D)'!$B892,"")</f>
        <v/>
      </c>
      <c r="H892" s="585" t="str">
        <f ca="1">IF(AND(OR('Reconciliation report'!$E$104=RefData!$B$8,'Reconciliation report'!$E$9=RefData!$B$5),OR('Reconciliation report'!$E$119=RefData!$B$46,'Reconciliation report'!$E$119=RefData!$B$47)),'All Statement of strategy (D)'!$B892,"")</f>
        <v/>
      </c>
      <c r="I892" s="595" t="str">
        <f ca="1">IF($C$1=RefData!$B$418,'All Statement of strategy (D)'!$E892,IF('All Statement of strategy (D)'!$C$1=RefData!$B$419,'All Statement of strategy (D)'!$F892,IF('All Statement of strategy (D)'!$C$1=RefData!$B$420,'All Statement of strategy (D)'!$G892,IF('All Statement of strategy (D)'!$C$1=RefData!$B$421,'All Statement of strategy (D)'!$H892," "))))</f>
        <v xml:space="preserve"> </v>
      </c>
    </row>
    <row r="893" spans="1:9">
      <c r="A893" s="584" t="s">
        <v>2268</v>
      </c>
      <c r="B893" s="621" t="str">
        <f ca="1">TEXT('Reconciliation report'!$E$312,RefData!$B$423)</f>
        <v/>
      </c>
      <c r="E893" s="585" t="str">
        <f ca="1">IF(AND(OR('Reconciliation report'!$E$104=RefData!$B$8,'Reconciliation report'!$E$9=RefData!$B$5),OR('Reconciliation report'!$E$119=RefData!$B$46,'Reconciliation report'!$E$119=RefData!$B$47)),'All Statement of strategy (D)'!$B893,"")</f>
        <v/>
      </c>
      <c r="F893" s="585" t="str">
        <f ca="1">IF(AND(OR('Reconciliation report'!$E$104=RefData!$B$8,'Reconciliation report'!$E$9=RefData!$B$5),OR('Reconciliation report'!$E$119=RefData!$B$46,'Reconciliation report'!$E$119=RefData!$B$47)),'All Statement of strategy (D)'!$B893,"")</f>
        <v/>
      </c>
      <c r="G893" s="585" t="str">
        <f ca="1">IF(AND(OR('Reconciliation report'!$E$104=RefData!$B$8,'Reconciliation report'!$E$9=RefData!$B$5),OR('Reconciliation report'!$E$119=RefData!$B$46,'Reconciliation report'!$E$119=RefData!$B$47)),'All Statement of strategy (D)'!$B893,"")</f>
        <v/>
      </c>
      <c r="H893" s="585" t="str">
        <f ca="1">IF(AND(OR('Reconciliation report'!$E$104=RefData!$B$8,'Reconciliation report'!$E$9=RefData!$B$5),OR('Reconciliation report'!$E$119=RefData!$B$46,'Reconciliation report'!$E$119=RefData!$B$47)),'All Statement of strategy (D)'!$B893,"")</f>
        <v/>
      </c>
      <c r="I893" s="595" t="str">
        <f ca="1">IF($C$1=RefData!$B$418,'All Statement of strategy (D)'!$E893,IF('All Statement of strategy (D)'!$C$1=RefData!$B$419,'All Statement of strategy (D)'!$F893,IF('All Statement of strategy (D)'!$C$1=RefData!$B$420,'All Statement of strategy (D)'!$G893,IF('All Statement of strategy (D)'!$C$1=RefData!$B$421,'All Statement of strategy (D)'!$H893," "))))</f>
        <v xml:space="preserve"> </v>
      </c>
    </row>
    <row r="894" spans="1:9">
      <c r="A894" s="584" t="s">
        <v>2269</v>
      </c>
      <c r="B894" s="621" t="str">
        <f ca="1">TEXT('Reconciliation report'!$E$313,RefData!$B$423)</f>
        <v/>
      </c>
      <c r="E894" s="585" t="str">
        <f ca="1">IF(AND(OR('Reconciliation report'!$E$104=RefData!$B$8,'Reconciliation report'!$E$9=RefData!$B$5),OR('Reconciliation report'!$E$119=RefData!$B$46,'Reconciliation report'!$E$119=RefData!$B$47)),'All Statement of strategy (D)'!$B894,"")</f>
        <v/>
      </c>
      <c r="F894" s="585" t="str">
        <f ca="1">IF(AND(OR('Reconciliation report'!$E$104=RefData!$B$8,'Reconciliation report'!$E$9=RefData!$B$5),OR('Reconciliation report'!$E$119=RefData!$B$46,'Reconciliation report'!$E$119=RefData!$B$47)),'All Statement of strategy (D)'!$B894,"")</f>
        <v/>
      </c>
      <c r="G894" s="585" t="str">
        <f ca="1">IF(AND(OR('Reconciliation report'!$E$104=RefData!$B$8,'Reconciliation report'!$E$9=RefData!$B$5),OR('Reconciliation report'!$E$119=RefData!$B$46,'Reconciliation report'!$E$119=RefData!$B$47)),'All Statement of strategy (D)'!$B894,"")</f>
        <v/>
      </c>
      <c r="H894" s="585" t="str">
        <f ca="1">IF(AND(OR('Reconciliation report'!$E$104=RefData!$B$8,'Reconciliation report'!$E$9=RefData!$B$5),OR('Reconciliation report'!$E$119=RefData!$B$46,'Reconciliation report'!$E$119=RefData!$B$47)),'All Statement of strategy (D)'!$B894,"")</f>
        <v/>
      </c>
      <c r="I894" s="595" t="str">
        <f ca="1">IF($C$1=RefData!$B$418,'All Statement of strategy (D)'!$E894,IF('All Statement of strategy (D)'!$C$1=RefData!$B$419,'All Statement of strategy (D)'!$F894,IF('All Statement of strategy (D)'!$C$1=RefData!$B$420,'All Statement of strategy (D)'!$G894,IF('All Statement of strategy (D)'!$C$1=RefData!$B$421,'All Statement of strategy (D)'!$H894," "))))</f>
        <v xml:space="preserve"> </v>
      </c>
    </row>
    <row r="895" spans="1:9">
      <c r="A895" s="584" t="s">
        <v>2270</v>
      </c>
      <c r="B895" s="621" t="str">
        <f ca="1">TEXT('Reconciliation report'!$E$314,RefData!$B$423)</f>
        <v/>
      </c>
      <c r="E895" s="585" t="str">
        <f ca="1">IF(AND(OR('Reconciliation report'!$E$104=RefData!$B$8,'Reconciliation report'!$E$9=RefData!$B$5),OR('Reconciliation report'!$E$119=RefData!$B$46,'Reconciliation report'!$E$119=RefData!$B$47)),'All Statement of strategy (D)'!$B895,"")</f>
        <v/>
      </c>
      <c r="F895" s="585" t="str">
        <f ca="1">IF(AND(OR('Reconciliation report'!$E$104=RefData!$B$8,'Reconciliation report'!$E$9=RefData!$B$5),OR('Reconciliation report'!$E$119=RefData!$B$46,'Reconciliation report'!$E$119=RefData!$B$47)),'All Statement of strategy (D)'!$B895,"")</f>
        <v/>
      </c>
      <c r="G895" s="585" t="str">
        <f ca="1">IF(AND(OR('Reconciliation report'!$E$104=RefData!$B$8,'Reconciliation report'!$E$9=RefData!$B$5),OR('Reconciliation report'!$E$119=RefData!$B$46,'Reconciliation report'!$E$119=RefData!$B$47)),'All Statement of strategy (D)'!$B895,"")</f>
        <v/>
      </c>
      <c r="H895" s="585" t="str">
        <f ca="1">IF(AND(OR('Reconciliation report'!$E$104=RefData!$B$8,'Reconciliation report'!$E$9=RefData!$B$5),OR('Reconciliation report'!$E$119=RefData!$B$46,'Reconciliation report'!$E$119=RefData!$B$47)),'All Statement of strategy (D)'!$B895,"")</f>
        <v/>
      </c>
      <c r="I895" s="595" t="str">
        <f ca="1">IF($C$1=RefData!$B$418,'All Statement of strategy (D)'!$E895,IF('All Statement of strategy (D)'!$C$1=RefData!$B$419,'All Statement of strategy (D)'!$F895,IF('All Statement of strategy (D)'!$C$1=RefData!$B$420,'All Statement of strategy (D)'!$G895,IF('All Statement of strategy (D)'!$C$1=RefData!$B$421,'All Statement of strategy (D)'!$H895," "))))</f>
        <v xml:space="preserve"> </v>
      </c>
    </row>
    <row r="896" spans="1:9">
      <c r="A896" s="584" t="s">
        <v>2271</v>
      </c>
      <c r="B896" s="621" t="str">
        <f ca="1">TEXT('Reconciliation report'!$E$315,RefData!$B$423)</f>
        <v/>
      </c>
      <c r="E896" s="585" t="str">
        <f ca="1">IF(AND(OR('Reconciliation report'!$E$104=RefData!$B$8,'Reconciliation report'!$E$9=RefData!$B$5),OR('Reconciliation report'!$E$119=RefData!$B$46,'Reconciliation report'!$E$119=RefData!$B$47)),'All Statement of strategy (D)'!$B896,"")</f>
        <v/>
      </c>
      <c r="F896" s="585" t="str">
        <f ca="1">IF(AND(OR('Reconciliation report'!$E$104=RefData!$B$8,'Reconciliation report'!$E$9=RefData!$B$5),OR('Reconciliation report'!$E$119=RefData!$B$46,'Reconciliation report'!$E$119=RefData!$B$47)),'All Statement of strategy (D)'!$B896,"")</f>
        <v/>
      </c>
      <c r="G896" s="585" t="str">
        <f ca="1">IF(AND(OR('Reconciliation report'!$E$104=RefData!$B$8,'Reconciliation report'!$E$9=RefData!$B$5),OR('Reconciliation report'!$E$119=RefData!$B$46,'Reconciliation report'!$E$119=RefData!$B$47)),'All Statement of strategy (D)'!$B896,"")</f>
        <v/>
      </c>
      <c r="H896" s="585" t="str">
        <f ca="1">IF(AND(OR('Reconciliation report'!$E$104=RefData!$B$8,'Reconciliation report'!$E$9=RefData!$B$5),OR('Reconciliation report'!$E$119=RefData!$B$46,'Reconciliation report'!$E$119=RefData!$B$47)),'All Statement of strategy (D)'!$B896,"")</f>
        <v/>
      </c>
      <c r="I896" s="595" t="str">
        <f ca="1">IF($C$1=RefData!$B$418,'All Statement of strategy (D)'!$E896,IF('All Statement of strategy (D)'!$C$1=RefData!$B$419,'All Statement of strategy (D)'!$F896,IF('All Statement of strategy (D)'!$C$1=RefData!$B$420,'All Statement of strategy (D)'!$G896,IF('All Statement of strategy (D)'!$C$1=RefData!$B$421,'All Statement of strategy (D)'!$H896," "))))</f>
        <v xml:space="preserve"> </v>
      </c>
    </row>
    <row r="897" spans="1:9">
      <c r="A897" s="584" t="s">
        <v>2272</v>
      </c>
      <c r="B897" s="621" t="str">
        <f ca="1">TEXT('Reconciliation report'!$E$316,RefData!$B$423)</f>
        <v/>
      </c>
      <c r="E897" s="585" t="str">
        <f ca="1">IF(AND(OR('Reconciliation report'!$E$104=RefData!$B$8,'Reconciliation report'!$E$9=RefData!$B$5),OR('Reconciliation report'!$E$119=RefData!$B$46,'Reconciliation report'!$E$119=RefData!$B$47)),'All Statement of strategy (D)'!$B897,"")</f>
        <v/>
      </c>
      <c r="F897" s="585" t="str">
        <f ca="1">IF(AND(OR('Reconciliation report'!$E$104=RefData!$B$8,'Reconciliation report'!$E$9=RefData!$B$5),OR('Reconciliation report'!$E$119=RefData!$B$46,'Reconciliation report'!$E$119=RefData!$B$47)),'All Statement of strategy (D)'!$B897,"")</f>
        <v/>
      </c>
      <c r="G897" s="585" t="str">
        <f ca="1">IF(AND(OR('Reconciliation report'!$E$104=RefData!$B$8,'Reconciliation report'!$E$9=RefData!$B$5),OR('Reconciliation report'!$E$119=RefData!$B$46,'Reconciliation report'!$E$119=RefData!$B$47)),'All Statement of strategy (D)'!$B897,"")</f>
        <v/>
      </c>
      <c r="H897" s="585" t="str">
        <f ca="1">IF(AND(OR('Reconciliation report'!$E$104=RefData!$B$8,'Reconciliation report'!$E$9=RefData!$B$5),OR('Reconciliation report'!$E$119=RefData!$B$46,'Reconciliation report'!$E$119=RefData!$B$47)),'All Statement of strategy (D)'!$B897,"")</f>
        <v/>
      </c>
      <c r="I897" s="595" t="str">
        <f ca="1">IF($C$1=RefData!$B$418,'All Statement of strategy (D)'!$E897,IF('All Statement of strategy (D)'!$C$1=RefData!$B$419,'All Statement of strategy (D)'!$F897,IF('All Statement of strategy (D)'!$C$1=RefData!$B$420,'All Statement of strategy (D)'!$G897,IF('All Statement of strategy (D)'!$C$1=RefData!$B$421,'All Statement of strategy (D)'!$H897," "))))</f>
        <v xml:space="preserve"> </v>
      </c>
    </row>
    <row r="898" spans="1:9">
      <c r="A898" s="584" t="s">
        <v>2273</v>
      </c>
      <c r="B898" s="621" t="str">
        <f ca="1">TEXT('Reconciliation report'!$E$317,RefData!$B$423)</f>
        <v/>
      </c>
      <c r="E898" s="585" t="str">
        <f ca="1">IF(AND(OR('Reconciliation report'!$E$104=RefData!$B$8,'Reconciliation report'!$E$9=RefData!$B$5),OR('Reconciliation report'!$E$119=RefData!$B$46,'Reconciliation report'!$E$119=RefData!$B$47)),'All Statement of strategy (D)'!$B898,"")</f>
        <v/>
      </c>
      <c r="F898" s="585" t="str">
        <f ca="1">IF(AND(OR('Reconciliation report'!$E$104=RefData!$B$8,'Reconciliation report'!$E$9=RefData!$B$5),OR('Reconciliation report'!$E$119=RefData!$B$46,'Reconciliation report'!$E$119=RefData!$B$47)),'All Statement of strategy (D)'!$B898,"")</f>
        <v/>
      </c>
      <c r="G898" s="585" t="str">
        <f ca="1">IF(AND(OR('Reconciliation report'!$E$104=RefData!$B$8,'Reconciliation report'!$E$9=RefData!$B$5),OR('Reconciliation report'!$E$119=RefData!$B$46,'Reconciliation report'!$E$119=RefData!$B$47)),'All Statement of strategy (D)'!$B898,"")</f>
        <v/>
      </c>
      <c r="H898" s="585" t="str">
        <f ca="1">IF(AND(OR('Reconciliation report'!$E$104=RefData!$B$8,'Reconciliation report'!$E$9=RefData!$B$5),OR('Reconciliation report'!$E$119=RefData!$B$46,'Reconciliation report'!$E$119=RefData!$B$47)),'All Statement of strategy (D)'!$B898,"")</f>
        <v/>
      </c>
      <c r="I898" s="595" t="str">
        <f ca="1">IF($C$1=RefData!$B$418,'All Statement of strategy (D)'!$E898,IF('All Statement of strategy (D)'!$C$1=RefData!$B$419,'All Statement of strategy (D)'!$F898,IF('All Statement of strategy (D)'!$C$1=RefData!$B$420,'All Statement of strategy (D)'!$G898,IF('All Statement of strategy (D)'!$C$1=RefData!$B$421,'All Statement of strategy (D)'!$H898," "))))</f>
        <v xml:space="preserve"> </v>
      </c>
    </row>
    <row r="899" spans="1:9">
      <c r="A899" s="584" t="s">
        <v>2274</v>
      </c>
      <c r="B899" s="621" t="str">
        <f ca="1">TEXT('Reconciliation report'!$E$318,RefData!$B$423)</f>
        <v/>
      </c>
      <c r="E899" s="585" t="str">
        <f ca="1">IF(AND(OR('Reconciliation report'!$E$104=RefData!$B$8,'Reconciliation report'!$E$9=RefData!$B$5),OR('Reconciliation report'!$E$119=RefData!$B$46,'Reconciliation report'!$E$119=RefData!$B$47)),'All Statement of strategy (D)'!$B899,"")</f>
        <v/>
      </c>
      <c r="F899" s="585" t="str">
        <f ca="1">IF(AND(OR('Reconciliation report'!$E$104=RefData!$B$8,'Reconciliation report'!$E$9=RefData!$B$5),OR('Reconciliation report'!$E$119=RefData!$B$46,'Reconciliation report'!$E$119=RefData!$B$47)),'All Statement of strategy (D)'!$B899,"")</f>
        <v/>
      </c>
      <c r="G899" s="585" t="str">
        <f ca="1">IF(AND(OR('Reconciliation report'!$E$104=RefData!$B$8,'Reconciliation report'!$E$9=RefData!$B$5),OR('Reconciliation report'!$E$119=RefData!$B$46,'Reconciliation report'!$E$119=RefData!$B$47)),'All Statement of strategy (D)'!$B899,"")</f>
        <v/>
      </c>
      <c r="H899" s="585" t="str">
        <f ca="1">IF(AND(OR('Reconciliation report'!$E$104=RefData!$B$8,'Reconciliation report'!$E$9=RefData!$B$5),OR('Reconciliation report'!$E$119=RefData!$B$46,'Reconciliation report'!$E$119=RefData!$B$47)),'All Statement of strategy (D)'!$B899,"")</f>
        <v/>
      </c>
      <c r="I899" s="595" t="str">
        <f ca="1">IF($C$1=RefData!$B$418,'All Statement of strategy (D)'!$E899,IF('All Statement of strategy (D)'!$C$1=RefData!$B$419,'All Statement of strategy (D)'!$F899,IF('All Statement of strategy (D)'!$C$1=RefData!$B$420,'All Statement of strategy (D)'!$G899,IF('All Statement of strategy (D)'!$C$1=RefData!$B$421,'All Statement of strategy (D)'!$H899," "))))</f>
        <v xml:space="preserve"> </v>
      </c>
    </row>
    <row r="900" spans="1:9">
      <c r="A900" s="584" t="s">
        <v>2275</v>
      </c>
      <c r="B900" s="621" t="str">
        <f ca="1">TEXT('Reconciliation report'!$E$319,RefData!$B$423)</f>
        <v/>
      </c>
      <c r="E900" s="585" t="str">
        <f ca="1">IF(AND(OR('Reconciliation report'!$E$104=RefData!$B$8,'Reconciliation report'!$E$9=RefData!$B$5),OR('Reconciliation report'!$E$119=RefData!$B$46,'Reconciliation report'!$E$119=RefData!$B$47)),'All Statement of strategy (D)'!$B900,"")</f>
        <v/>
      </c>
      <c r="F900" s="585" t="str">
        <f ca="1">IF(AND(OR('Reconciliation report'!$E$104=RefData!$B$8,'Reconciliation report'!$E$9=RefData!$B$5),OR('Reconciliation report'!$E$119=RefData!$B$46,'Reconciliation report'!$E$119=RefData!$B$47)),'All Statement of strategy (D)'!$B900,"")</f>
        <v/>
      </c>
      <c r="G900" s="585" t="str">
        <f ca="1">IF(AND(OR('Reconciliation report'!$E$104=RefData!$B$8,'Reconciliation report'!$E$9=RefData!$B$5),OR('Reconciliation report'!$E$119=RefData!$B$46,'Reconciliation report'!$E$119=RefData!$B$47)),'All Statement of strategy (D)'!$B900,"")</f>
        <v/>
      </c>
      <c r="H900" s="585" t="str">
        <f ca="1">IF(AND(OR('Reconciliation report'!$E$104=RefData!$B$8,'Reconciliation report'!$E$9=RefData!$B$5),OR('Reconciliation report'!$E$119=RefData!$B$46,'Reconciliation report'!$E$119=RefData!$B$47)),'All Statement of strategy (D)'!$B900,"")</f>
        <v/>
      </c>
      <c r="I900" s="595" t="str">
        <f ca="1">IF($C$1=RefData!$B$418,'All Statement of strategy (D)'!$E900,IF('All Statement of strategy (D)'!$C$1=RefData!$B$419,'All Statement of strategy (D)'!$F900,IF('All Statement of strategy (D)'!$C$1=RefData!$B$420,'All Statement of strategy (D)'!$G900,IF('All Statement of strategy (D)'!$C$1=RefData!$B$421,'All Statement of strategy (D)'!$H900," "))))</f>
        <v xml:space="preserve"> </v>
      </c>
    </row>
    <row r="901" spans="1:9">
      <c r="A901" s="584" t="s">
        <v>2276</v>
      </c>
      <c r="B901" s="621" t="str">
        <f ca="1">TEXT('Reconciliation report'!$E$320,RefData!$B$423)</f>
        <v/>
      </c>
      <c r="E901" s="585" t="str">
        <f ca="1">IF(AND(OR('Reconciliation report'!$E$104=RefData!$B$8,'Reconciliation report'!$E$9=RefData!$B$5),OR('Reconciliation report'!$E$119=RefData!$B$46,'Reconciliation report'!$E$119=RefData!$B$47)),'All Statement of strategy (D)'!$B901,"")</f>
        <v/>
      </c>
      <c r="F901" s="585" t="str">
        <f ca="1">IF(AND(OR('Reconciliation report'!$E$104=RefData!$B$8,'Reconciliation report'!$E$9=RefData!$B$5),OR('Reconciliation report'!$E$119=RefData!$B$46,'Reconciliation report'!$E$119=RefData!$B$47)),'All Statement of strategy (D)'!$B901,"")</f>
        <v/>
      </c>
      <c r="G901" s="585" t="str">
        <f ca="1">IF(AND(OR('Reconciliation report'!$E$104=RefData!$B$8,'Reconciliation report'!$E$9=RefData!$B$5),OR('Reconciliation report'!$E$119=RefData!$B$46,'Reconciliation report'!$E$119=RefData!$B$47)),'All Statement of strategy (D)'!$B901,"")</f>
        <v/>
      </c>
      <c r="H901" s="585" t="str">
        <f ca="1">IF(AND(OR('Reconciliation report'!$E$104=RefData!$B$8,'Reconciliation report'!$E$9=RefData!$B$5),OR('Reconciliation report'!$E$119=RefData!$B$46,'Reconciliation report'!$E$119=RefData!$B$47)),'All Statement of strategy (D)'!$B901,"")</f>
        <v/>
      </c>
      <c r="I901" s="595" t="str">
        <f ca="1">IF($C$1=RefData!$B$418,'All Statement of strategy (D)'!$E901,IF('All Statement of strategy (D)'!$C$1=RefData!$B$419,'All Statement of strategy (D)'!$F901,IF('All Statement of strategy (D)'!$C$1=RefData!$B$420,'All Statement of strategy (D)'!$G901,IF('All Statement of strategy (D)'!$C$1=RefData!$B$421,'All Statement of strategy (D)'!$H901," "))))</f>
        <v xml:space="preserve"> </v>
      </c>
    </row>
    <row r="902" spans="1:9">
      <c r="A902" s="584" t="s">
        <v>2277</v>
      </c>
      <c r="B902" s="621" t="str">
        <f ca="1">TEXT('Reconciliation report'!$E$321,RefData!$B$423)</f>
        <v/>
      </c>
      <c r="E902" s="585" t="str">
        <f ca="1">IF(AND(OR('Reconciliation report'!$E$104=RefData!$B$8,'Reconciliation report'!$E$9=RefData!$B$5),OR('Reconciliation report'!$E$119=RefData!$B$46,'Reconciliation report'!$E$119=RefData!$B$47)),'All Statement of strategy (D)'!$B902,"")</f>
        <v/>
      </c>
      <c r="F902" s="585" t="str">
        <f ca="1">IF(AND(OR('Reconciliation report'!$E$104=RefData!$B$8,'Reconciliation report'!$E$9=RefData!$B$5),OR('Reconciliation report'!$E$119=RefData!$B$46,'Reconciliation report'!$E$119=RefData!$B$47)),'All Statement of strategy (D)'!$B902,"")</f>
        <v/>
      </c>
      <c r="G902" s="585" t="str">
        <f ca="1">IF(AND(OR('Reconciliation report'!$E$104=RefData!$B$8,'Reconciliation report'!$E$9=RefData!$B$5),OR('Reconciliation report'!$E$119=RefData!$B$46,'Reconciliation report'!$E$119=RefData!$B$47)),'All Statement of strategy (D)'!$B902,"")</f>
        <v/>
      </c>
      <c r="H902" s="585" t="str">
        <f ca="1">IF(AND(OR('Reconciliation report'!$E$104=RefData!$B$8,'Reconciliation report'!$E$9=RefData!$B$5),OR('Reconciliation report'!$E$119=RefData!$B$46,'Reconciliation report'!$E$119=RefData!$B$47)),'All Statement of strategy (D)'!$B902,"")</f>
        <v/>
      </c>
      <c r="I902" s="595" t="str">
        <f ca="1">IF($C$1=RefData!$B$418,'All Statement of strategy (D)'!$E902,IF('All Statement of strategy (D)'!$C$1=RefData!$B$419,'All Statement of strategy (D)'!$F902,IF('All Statement of strategy (D)'!$C$1=RefData!$B$420,'All Statement of strategy (D)'!$G902,IF('All Statement of strategy (D)'!$C$1=RefData!$B$421,'All Statement of strategy (D)'!$H902," "))))</f>
        <v xml:space="preserve"> </v>
      </c>
    </row>
    <row r="903" spans="1:9">
      <c r="A903" s="584" t="s">
        <v>2278</v>
      </c>
      <c r="B903" s="621" t="str">
        <f ca="1">TEXT('Reconciliation report'!$E$322,RefData!$B$423)</f>
        <v/>
      </c>
      <c r="E903" s="585" t="str">
        <f ca="1">IF(AND(OR('Reconciliation report'!$E$104=RefData!$B$8,'Reconciliation report'!$E$9=RefData!$B$5),OR('Reconciliation report'!$E$119=RefData!$B$46,'Reconciliation report'!$E$119=RefData!$B$47)),'All Statement of strategy (D)'!$B903,"")</f>
        <v/>
      </c>
      <c r="F903" s="585" t="str">
        <f ca="1">IF(AND(OR('Reconciliation report'!$E$104=RefData!$B$8,'Reconciliation report'!$E$9=RefData!$B$5),OR('Reconciliation report'!$E$119=RefData!$B$46,'Reconciliation report'!$E$119=RefData!$B$47)),'All Statement of strategy (D)'!$B903,"")</f>
        <v/>
      </c>
      <c r="G903" s="585" t="str">
        <f ca="1">IF(AND(OR('Reconciliation report'!$E$104=RefData!$B$8,'Reconciliation report'!$E$9=RefData!$B$5),OR('Reconciliation report'!$E$119=RefData!$B$46,'Reconciliation report'!$E$119=RefData!$B$47)),'All Statement of strategy (D)'!$B903,"")</f>
        <v/>
      </c>
      <c r="H903" s="585" t="str">
        <f ca="1">IF(AND(OR('Reconciliation report'!$E$104=RefData!$B$8,'Reconciliation report'!$E$9=RefData!$B$5),OR('Reconciliation report'!$E$119=RefData!$B$46,'Reconciliation report'!$E$119=RefData!$B$47)),'All Statement of strategy (D)'!$B903,"")</f>
        <v/>
      </c>
      <c r="I903" s="595" t="str">
        <f ca="1">IF($C$1=RefData!$B$418,'All Statement of strategy (D)'!$E903,IF('All Statement of strategy (D)'!$C$1=RefData!$B$419,'All Statement of strategy (D)'!$F903,IF('All Statement of strategy (D)'!$C$1=RefData!$B$420,'All Statement of strategy (D)'!$G903,IF('All Statement of strategy (D)'!$C$1=RefData!$B$421,'All Statement of strategy (D)'!$H903," "))))</f>
        <v xml:space="preserve"> </v>
      </c>
    </row>
    <row r="904" spans="1:9">
      <c r="A904" s="584" t="s">
        <v>2279</v>
      </c>
      <c r="B904" s="621" t="str">
        <f ca="1">TEXT('Reconciliation report'!$E$323,RefData!$B$423)</f>
        <v/>
      </c>
      <c r="E904" s="585" t="str">
        <f ca="1">IF(AND(OR('Reconciliation report'!$E$104=RefData!$B$8,'Reconciliation report'!$E$9=RefData!$B$5),OR('Reconciliation report'!$E$119=RefData!$B$46,'Reconciliation report'!$E$119=RefData!$B$47)),'All Statement of strategy (D)'!$B904,"")</f>
        <v/>
      </c>
      <c r="F904" s="585" t="str">
        <f ca="1">IF(AND(OR('Reconciliation report'!$E$104=RefData!$B$8,'Reconciliation report'!$E$9=RefData!$B$5),OR('Reconciliation report'!$E$119=RefData!$B$46,'Reconciliation report'!$E$119=RefData!$B$47)),'All Statement of strategy (D)'!$B904,"")</f>
        <v/>
      </c>
      <c r="G904" s="585" t="str">
        <f ca="1">IF(AND(OR('Reconciliation report'!$E$104=RefData!$B$8,'Reconciliation report'!$E$9=RefData!$B$5),OR('Reconciliation report'!$E$119=RefData!$B$46,'Reconciliation report'!$E$119=RefData!$B$47)),'All Statement of strategy (D)'!$B904,"")</f>
        <v/>
      </c>
      <c r="H904" s="585" t="str">
        <f ca="1">IF(AND(OR('Reconciliation report'!$E$104=RefData!$B$8,'Reconciliation report'!$E$9=RefData!$B$5),OR('Reconciliation report'!$E$119=RefData!$B$46,'Reconciliation report'!$E$119=RefData!$B$47)),'All Statement of strategy (D)'!$B904,"")</f>
        <v/>
      </c>
      <c r="I904" s="595" t="str">
        <f ca="1">IF($C$1=RefData!$B$418,'All Statement of strategy (D)'!$E904,IF('All Statement of strategy (D)'!$C$1=RefData!$B$419,'All Statement of strategy (D)'!$F904,IF('All Statement of strategy (D)'!$C$1=RefData!$B$420,'All Statement of strategy (D)'!$G904,IF('All Statement of strategy (D)'!$C$1=RefData!$B$421,'All Statement of strategy (D)'!$H904," "))))</f>
        <v xml:space="preserve"> </v>
      </c>
    </row>
    <row r="905" spans="1:9">
      <c r="A905" s="584" t="s">
        <v>2280</v>
      </c>
      <c r="B905" s="621" t="str">
        <f ca="1">TEXT('Reconciliation report'!$E$324,RefData!$B$423)</f>
        <v/>
      </c>
      <c r="E905" s="585" t="str">
        <f ca="1">IF(AND(OR('Reconciliation report'!$E$104=RefData!$B$8,'Reconciliation report'!$E$9=RefData!$B$5),OR('Reconciliation report'!$E$119=RefData!$B$46,'Reconciliation report'!$E$119=RefData!$B$47)),'All Statement of strategy (D)'!$B905,"")</f>
        <v/>
      </c>
      <c r="F905" s="585" t="str">
        <f ca="1">IF(AND(OR('Reconciliation report'!$E$104=RefData!$B$8,'Reconciliation report'!$E$9=RefData!$B$5),OR('Reconciliation report'!$E$119=RefData!$B$46,'Reconciliation report'!$E$119=RefData!$B$47)),'All Statement of strategy (D)'!$B905,"")</f>
        <v/>
      </c>
      <c r="G905" s="585" t="str">
        <f ca="1">IF(AND(OR('Reconciliation report'!$E$104=RefData!$B$8,'Reconciliation report'!$E$9=RefData!$B$5),OR('Reconciliation report'!$E$119=RefData!$B$46,'Reconciliation report'!$E$119=RefData!$B$47)),'All Statement of strategy (D)'!$B905,"")</f>
        <v/>
      </c>
      <c r="H905" s="585" t="str">
        <f ca="1">IF(AND(OR('Reconciliation report'!$E$104=RefData!$B$8,'Reconciliation report'!$E$9=RefData!$B$5),OR('Reconciliation report'!$E$119=RefData!$B$46,'Reconciliation report'!$E$119=RefData!$B$47)),'All Statement of strategy (D)'!$B905,"")</f>
        <v/>
      </c>
      <c r="I905" s="595" t="str">
        <f ca="1">IF($C$1=RefData!$B$418,'All Statement of strategy (D)'!$E905,IF('All Statement of strategy (D)'!$C$1=RefData!$B$419,'All Statement of strategy (D)'!$F905,IF('All Statement of strategy (D)'!$C$1=RefData!$B$420,'All Statement of strategy (D)'!$G905,IF('All Statement of strategy (D)'!$C$1=RefData!$B$421,'All Statement of strategy (D)'!$H905," "))))</f>
        <v xml:space="preserve"> </v>
      </c>
    </row>
    <row r="906" spans="1:9">
      <c r="A906" s="584" t="s">
        <v>2281</v>
      </c>
      <c r="B906" s="621" t="str">
        <f ca="1">TEXT('Reconciliation report'!$E$325,RefData!$B$423)</f>
        <v/>
      </c>
      <c r="E906" s="585" t="str">
        <f ca="1">IF(AND(OR('Reconciliation report'!$E$104=RefData!$B$8,'Reconciliation report'!$E$9=RefData!$B$5),OR('Reconciliation report'!$E$119=RefData!$B$46,'Reconciliation report'!$E$119=RefData!$B$47)),'All Statement of strategy (D)'!$B906,"")</f>
        <v/>
      </c>
      <c r="F906" s="585" t="str">
        <f ca="1">IF(AND(OR('Reconciliation report'!$E$104=RefData!$B$8,'Reconciliation report'!$E$9=RefData!$B$5),OR('Reconciliation report'!$E$119=RefData!$B$46,'Reconciliation report'!$E$119=RefData!$B$47)),'All Statement of strategy (D)'!$B906,"")</f>
        <v/>
      </c>
      <c r="G906" s="585" t="str">
        <f ca="1">IF(AND(OR('Reconciliation report'!$E$104=RefData!$B$8,'Reconciliation report'!$E$9=RefData!$B$5),OR('Reconciliation report'!$E$119=RefData!$B$46,'Reconciliation report'!$E$119=RefData!$B$47)),'All Statement of strategy (D)'!$B906,"")</f>
        <v/>
      </c>
      <c r="H906" s="585" t="str">
        <f ca="1">IF(AND(OR('Reconciliation report'!$E$104=RefData!$B$8,'Reconciliation report'!$E$9=RefData!$B$5),OR('Reconciliation report'!$E$119=RefData!$B$46,'Reconciliation report'!$E$119=RefData!$B$47)),'All Statement of strategy (D)'!$B906,"")</f>
        <v/>
      </c>
      <c r="I906" s="595" t="str">
        <f ca="1">IF($C$1=RefData!$B$418,'All Statement of strategy (D)'!$E906,IF('All Statement of strategy (D)'!$C$1=RefData!$B$419,'All Statement of strategy (D)'!$F906,IF('All Statement of strategy (D)'!$C$1=RefData!$B$420,'All Statement of strategy (D)'!$G906,IF('All Statement of strategy (D)'!$C$1=RefData!$B$421,'All Statement of strategy (D)'!$H906," "))))</f>
        <v xml:space="preserve"> </v>
      </c>
    </row>
    <row r="907" spans="1:9">
      <c r="A907" s="584" t="s">
        <v>2282</v>
      </c>
      <c r="B907" s="621" t="str">
        <f ca="1">TEXT('Reconciliation report'!$E$326,RefData!$B$423)</f>
        <v/>
      </c>
      <c r="E907" s="585" t="str">
        <f ca="1">IF(AND(OR('Reconciliation report'!$E$104=RefData!$B$8,'Reconciliation report'!$E$9=RefData!$B$5),OR('Reconciliation report'!$E$119=RefData!$B$46,'Reconciliation report'!$E$119=RefData!$B$47)),'All Statement of strategy (D)'!$B907,"")</f>
        <v/>
      </c>
      <c r="F907" s="585" t="str">
        <f ca="1">IF(AND(OR('Reconciliation report'!$E$104=RefData!$B$8,'Reconciliation report'!$E$9=RefData!$B$5),OR('Reconciliation report'!$E$119=RefData!$B$46,'Reconciliation report'!$E$119=RefData!$B$47)),'All Statement of strategy (D)'!$B907,"")</f>
        <v/>
      </c>
      <c r="G907" s="585" t="str">
        <f ca="1">IF(AND(OR('Reconciliation report'!$E$104=RefData!$B$8,'Reconciliation report'!$E$9=RefData!$B$5),OR('Reconciliation report'!$E$119=RefData!$B$46,'Reconciliation report'!$E$119=RefData!$B$47)),'All Statement of strategy (D)'!$B907,"")</f>
        <v/>
      </c>
      <c r="H907" s="585" t="str">
        <f ca="1">IF(AND(OR('Reconciliation report'!$E$104=RefData!$B$8,'Reconciliation report'!$E$9=RefData!$B$5),OR('Reconciliation report'!$E$119=RefData!$B$46,'Reconciliation report'!$E$119=RefData!$B$47)),'All Statement of strategy (D)'!$B907,"")</f>
        <v/>
      </c>
      <c r="I907" s="595" t="str">
        <f ca="1">IF($C$1=RefData!$B$418,'All Statement of strategy (D)'!$E907,IF('All Statement of strategy (D)'!$C$1=RefData!$B$419,'All Statement of strategy (D)'!$F907,IF('All Statement of strategy (D)'!$C$1=RefData!$B$420,'All Statement of strategy (D)'!$G907,IF('All Statement of strategy (D)'!$C$1=RefData!$B$421,'All Statement of strategy (D)'!$H907," "))))</f>
        <v xml:space="preserve"> </v>
      </c>
    </row>
    <row r="908" spans="1:9">
      <c r="A908" s="584" t="s">
        <v>2283</v>
      </c>
      <c r="B908" s="621" t="str">
        <f ca="1">TEXT('Reconciliation report'!$E$327,RefData!$B$423)</f>
        <v/>
      </c>
      <c r="E908" s="585" t="str">
        <f ca="1">IF(AND(OR('Reconciliation report'!$E$104=RefData!$B$8,'Reconciliation report'!$E$9=RefData!$B$5),OR('Reconciliation report'!$E$119=RefData!$B$46,'Reconciliation report'!$E$119=RefData!$B$47)),'All Statement of strategy (D)'!$B908,"")</f>
        <v/>
      </c>
      <c r="F908" s="585" t="str">
        <f ca="1">IF(AND(OR('Reconciliation report'!$E$104=RefData!$B$8,'Reconciliation report'!$E$9=RefData!$B$5),OR('Reconciliation report'!$E$119=RefData!$B$46,'Reconciliation report'!$E$119=RefData!$B$47)),'All Statement of strategy (D)'!$B908,"")</f>
        <v/>
      </c>
      <c r="G908" s="585" t="str">
        <f ca="1">IF(AND(OR('Reconciliation report'!$E$104=RefData!$B$8,'Reconciliation report'!$E$9=RefData!$B$5),OR('Reconciliation report'!$E$119=RefData!$B$46,'Reconciliation report'!$E$119=RefData!$B$47)),'All Statement of strategy (D)'!$B908,"")</f>
        <v/>
      </c>
      <c r="H908" s="585" t="str">
        <f ca="1">IF(AND(OR('Reconciliation report'!$E$104=RefData!$B$8,'Reconciliation report'!$E$9=RefData!$B$5),OR('Reconciliation report'!$E$119=RefData!$B$46,'Reconciliation report'!$E$119=RefData!$B$47)),'All Statement of strategy (D)'!$B908,"")</f>
        <v/>
      </c>
      <c r="I908" s="595" t="str">
        <f ca="1">IF($C$1=RefData!$B$418,'All Statement of strategy (D)'!$E908,IF('All Statement of strategy (D)'!$C$1=RefData!$B$419,'All Statement of strategy (D)'!$F908,IF('All Statement of strategy (D)'!$C$1=RefData!$B$420,'All Statement of strategy (D)'!$G908,IF('All Statement of strategy (D)'!$C$1=RefData!$B$421,'All Statement of strategy (D)'!$H908," "))))</f>
        <v xml:space="preserve"> </v>
      </c>
    </row>
    <row r="909" spans="1:9">
      <c r="A909" s="584" t="s">
        <v>2284</v>
      </c>
      <c r="B909" s="621" t="str">
        <f ca="1">TEXT('Reconciliation report'!$E$328,RefData!$B$423)</f>
        <v/>
      </c>
      <c r="E909" s="585" t="str">
        <f ca="1">IF(AND(OR('Reconciliation report'!$E$104=RefData!$B$8,'Reconciliation report'!$E$9=RefData!$B$5),OR('Reconciliation report'!$E$119=RefData!$B$46,'Reconciliation report'!$E$119=RefData!$B$47)),'All Statement of strategy (D)'!$B909,"")</f>
        <v/>
      </c>
      <c r="F909" s="585" t="str">
        <f ca="1">IF(AND(OR('Reconciliation report'!$E$104=RefData!$B$8,'Reconciliation report'!$E$9=RefData!$B$5),OR('Reconciliation report'!$E$119=RefData!$B$46,'Reconciliation report'!$E$119=RefData!$B$47)),'All Statement of strategy (D)'!$B909,"")</f>
        <v/>
      </c>
      <c r="G909" s="585" t="str">
        <f ca="1">IF(AND(OR('Reconciliation report'!$E$104=RefData!$B$8,'Reconciliation report'!$E$9=RefData!$B$5),OR('Reconciliation report'!$E$119=RefData!$B$46,'Reconciliation report'!$E$119=RefData!$B$47)),'All Statement of strategy (D)'!$B909,"")</f>
        <v/>
      </c>
      <c r="H909" s="585" t="str">
        <f ca="1">IF(AND(OR('Reconciliation report'!$E$104=RefData!$B$8,'Reconciliation report'!$E$9=RefData!$B$5),OR('Reconciliation report'!$E$119=RefData!$B$46,'Reconciliation report'!$E$119=RefData!$B$47)),'All Statement of strategy (D)'!$B909,"")</f>
        <v/>
      </c>
      <c r="I909" s="595" t="str">
        <f ca="1">IF($C$1=RefData!$B$418,'All Statement of strategy (D)'!$E909,IF('All Statement of strategy (D)'!$C$1=RefData!$B$419,'All Statement of strategy (D)'!$F909,IF('All Statement of strategy (D)'!$C$1=RefData!$B$420,'All Statement of strategy (D)'!$G909,IF('All Statement of strategy (D)'!$C$1=RefData!$B$421,'All Statement of strategy (D)'!$H909," "))))</f>
        <v xml:space="preserve"> </v>
      </c>
    </row>
    <row r="910" spans="1:9">
      <c r="A910" s="584" t="s">
        <v>2285</v>
      </c>
      <c r="B910" s="621" t="str">
        <f ca="1">TEXT('Reconciliation report'!$E$329,RefData!$B$423)</f>
        <v/>
      </c>
      <c r="E910" s="585" t="str">
        <f ca="1">IF(AND(OR('Reconciliation report'!$E$104=RefData!$B$8,'Reconciliation report'!$E$9=RefData!$B$5),OR('Reconciliation report'!$E$119=RefData!$B$46,'Reconciliation report'!$E$119=RefData!$B$47)),'All Statement of strategy (D)'!$B910,"")</f>
        <v/>
      </c>
      <c r="F910" s="585" t="str">
        <f ca="1">IF(AND(OR('Reconciliation report'!$E$104=RefData!$B$8,'Reconciliation report'!$E$9=RefData!$B$5),OR('Reconciliation report'!$E$119=RefData!$B$46,'Reconciliation report'!$E$119=RefData!$B$47)),'All Statement of strategy (D)'!$B910,"")</f>
        <v/>
      </c>
      <c r="G910" s="585" t="str">
        <f ca="1">IF(AND(OR('Reconciliation report'!$E$104=RefData!$B$8,'Reconciliation report'!$E$9=RefData!$B$5),OR('Reconciliation report'!$E$119=RefData!$B$46,'Reconciliation report'!$E$119=RefData!$B$47)),'All Statement of strategy (D)'!$B910,"")</f>
        <v/>
      </c>
      <c r="H910" s="585" t="str">
        <f ca="1">IF(AND(OR('Reconciliation report'!$E$104=RefData!$B$8,'Reconciliation report'!$E$9=RefData!$B$5),OR('Reconciliation report'!$E$119=RefData!$B$46,'Reconciliation report'!$E$119=RefData!$B$47)),'All Statement of strategy (D)'!$B910,"")</f>
        <v/>
      </c>
      <c r="I910" s="595" t="str">
        <f ca="1">IF($C$1=RefData!$B$418,'All Statement of strategy (D)'!$E910,IF('All Statement of strategy (D)'!$C$1=RefData!$B$419,'All Statement of strategy (D)'!$F910,IF('All Statement of strategy (D)'!$C$1=RefData!$B$420,'All Statement of strategy (D)'!$G910,IF('All Statement of strategy (D)'!$C$1=RefData!$B$421,'All Statement of strategy (D)'!$H910," "))))</f>
        <v xml:space="preserve"> </v>
      </c>
    </row>
    <row r="911" spans="1:9">
      <c r="A911" s="584" t="s">
        <v>2286</v>
      </c>
      <c r="B911" s="621" t="str">
        <f ca="1">TEXT('Reconciliation report'!$E$330,RefData!$B$423)</f>
        <v/>
      </c>
      <c r="E911" s="585" t="str">
        <f ca="1">IF(AND(OR('Reconciliation report'!$E$104=RefData!$B$8,'Reconciliation report'!$E$9=RefData!$B$5),OR('Reconciliation report'!$E$119=RefData!$B$46,'Reconciliation report'!$E$119=RefData!$B$47)),'All Statement of strategy (D)'!$B911,"")</f>
        <v/>
      </c>
      <c r="F911" s="585" t="str">
        <f ca="1">IF(AND(OR('Reconciliation report'!$E$104=RefData!$B$8,'Reconciliation report'!$E$9=RefData!$B$5),OR('Reconciliation report'!$E$119=RefData!$B$46,'Reconciliation report'!$E$119=RefData!$B$47)),'All Statement of strategy (D)'!$B911,"")</f>
        <v/>
      </c>
      <c r="G911" s="585" t="str">
        <f ca="1">IF(AND(OR('Reconciliation report'!$E$104=RefData!$B$8,'Reconciliation report'!$E$9=RefData!$B$5),OR('Reconciliation report'!$E$119=RefData!$B$46,'Reconciliation report'!$E$119=RefData!$B$47)),'All Statement of strategy (D)'!$B911,"")</f>
        <v/>
      </c>
      <c r="H911" s="585" t="str">
        <f ca="1">IF(AND(OR('Reconciliation report'!$E$104=RefData!$B$8,'Reconciliation report'!$E$9=RefData!$B$5),OR('Reconciliation report'!$E$119=RefData!$B$46,'Reconciliation report'!$E$119=RefData!$B$47)),'All Statement of strategy (D)'!$B911,"")</f>
        <v/>
      </c>
      <c r="I911" s="595" t="str">
        <f ca="1">IF($C$1=RefData!$B$418,'All Statement of strategy (D)'!$E911,IF('All Statement of strategy (D)'!$C$1=RefData!$B$419,'All Statement of strategy (D)'!$F911,IF('All Statement of strategy (D)'!$C$1=RefData!$B$420,'All Statement of strategy (D)'!$G911,IF('All Statement of strategy (D)'!$C$1=RefData!$B$421,'All Statement of strategy (D)'!$H911," "))))</f>
        <v xml:space="preserve"> </v>
      </c>
    </row>
    <row r="912" spans="1:9">
      <c r="A912" s="584" t="s">
        <v>2287</v>
      </c>
      <c r="B912" s="621" t="str">
        <f ca="1">TEXT('Reconciliation report'!$E$331,RefData!$B$423)</f>
        <v/>
      </c>
      <c r="E912" s="585" t="str">
        <f ca="1">IF(AND(OR('Reconciliation report'!$E$104=RefData!$B$8,'Reconciliation report'!$E$9=RefData!$B$5),OR('Reconciliation report'!$E$119=RefData!$B$46,'Reconciliation report'!$E$119=RefData!$B$47)),'All Statement of strategy (D)'!$B912,"")</f>
        <v/>
      </c>
      <c r="F912" s="585" t="str">
        <f ca="1">IF(AND(OR('Reconciliation report'!$E$104=RefData!$B$8,'Reconciliation report'!$E$9=RefData!$B$5),OR('Reconciliation report'!$E$119=RefData!$B$46,'Reconciliation report'!$E$119=RefData!$B$47)),'All Statement of strategy (D)'!$B912,"")</f>
        <v/>
      </c>
      <c r="G912" s="585" t="str">
        <f ca="1">IF(AND(OR('Reconciliation report'!$E$104=RefData!$B$8,'Reconciliation report'!$E$9=RefData!$B$5),OR('Reconciliation report'!$E$119=RefData!$B$46,'Reconciliation report'!$E$119=RefData!$B$47)),'All Statement of strategy (D)'!$B912,"")</f>
        <v/>
      </c>
      <c r="H912" s="585" t="str">
        <f ca="1">IF(AND(OR('Reconciliation report'!$E$104=RefData!$B$8,'Reconciliation report'!$E$9=RefData!$B$5),OR('Reconciliation report'!$E$119=RefData!$B$46,'Reconciliation report'!$E$119=RefData!$B$47)),'All Statement of strategy (D)'!$B912,"")</f>
        <v/>
      </c>
      <c r="I912" s="595" t="str">
        <f ca="1">IF($C$1=RefData!$B$418,'All Statement of strategy (D)'!$E912,IF('All Statement of strategy (D)'!$C$1=RefData!$B$419,'All Statement of strategy (D)'!$F912,IF('All Statement of strategy (D)'!$C$1=RefData!$B$420,'All Statement of strategy (D)'!$G912,IF('All Statement of strategy (D)'!$C$1=RefData!$B$421,'All Statement of strategy (D)'!$H912," "))))</f>
        <v xml:space="preserve"> </v>
      </c>
    </row>
    <row r="913" spans="1:9">
      <c r="A913" s="584" t="s">
        <v>2288</v>
      </c>
      <c r="B913" s="621" t="str">
        <f ca="1">TEXT('Reconciliation report'!$E$332,RefData!$B$423)</f>
        <v/>
      </c>
      <c r="E913" s="585" t="str">
        <f ca="1">IF(AND(OR('Reconciliation report'!$E$104=RefData!$B$8,'Reconciliation report'!$E$9=RefData!$B$5),OR('Reconciliation report'!$E$119=RefData!$B$46,'Reconciliation report'!$E$119=RefData!$B$47)),'All Statement of strategy (D)'!$B913,"")</f>
        <v/>
      </c>
      <c r="F913" s="585" t="str">
        <f ca="1">IF(AND(OR('Reconciliation report'!$E$104=RefData!$B$8,'Reconciliation report'!$E$9=RefData!$B$5),OR('Reconciliation report'!$E$119=RefData!$B$46,'Reconciliation report'!$E$119=RefData!$B$47)),'All Statement of strategy (D)'!$B913,"")</f>
        <v/>
      </c>
      <c r="G913" s="585" t="str">
        <f ca="1">IF(AND(OR('Reconciliation report'!$E$104=RefData!$B$8,'Reconciliation report'!$E$9=RefData!$B$5),OR('Reconciliation report'!$E$119=RefData!$B$46,'Reconciliation report'!$E$119=RefData!$B$47)),'All Statement of strategy (D)'!$B913,"")</f>
        <v/>
      </c>
      <c r="H913" s="585" t="str">
        <f ca="1">IF(AND(OR('Reconciliation report'!$E$104=RefData!$B$8,'Reconciliation report'!$E$9=RefData!$B$5),OR('Reconciliation report'!$E$119=RefData!$B$46,'Reconciliation report'!$E$119=RefData!$B$47)),'All Statement of strategy (D)'!$B913,"")</f>
        <v/>
      </c>
      <c r="I913" s="595" t="str">
        <f ca="1">IF($C$1=RefData!$B$418,'All Statement of strategy (D)'!$E913,IF('All Statement of strategy (D)'!$C$1=RefData!$B$419,'All Statement of strategy (D)'!$F913,IF('All Statement of strategy (D)'!$C$1=RefData!$B$420,'All Statement of strategy (D)'!$G913,IF('All Statement of strategy (D)'!$C$1=RefData!$B$421,'All Statement of strategy (D)'!$H913," "))))</f>
        <v xml:space="preserve"> </v>
      </c>
    </row>
    <row r="914" spans="1:9">
      <c r="A914" s="584" t="s">
        <v>2289</v>
      </c>
      <c r="B914" s="621" t="str">
        <f ca="1">TEXT('Reconciliation report'!$E$333,RefData!$B$423)</f>
        <v/>
      </c>
      <c r="E914" s="585" t="str">
        <f ca="1">IF(AND(OR('Reconciliation report'!$E$104=RefData!$B$8,'Reconciliation report'!$E$9=RefData!$B$5),OR('Reconciliation report'!$E$119=RefData!$B$46,'Reconciliation report'!$E$119=RefData!$B$47)),'All Statement of strategy (D)'!$B914,"")</f>
        <v/>
      </c>
      <c r="F914" s="585" t="str">
        <f ca="1">IF(AND(OR('Reconciliation report'!$E$104=RefData!$B$8,'Reconciliation report'!$E$9=RefData!$B$5),OR('Reconciliation report'!$E$119=RefData!$B$46,'Reconciliation report'!$E$119=RefData!$B$47)),'All Statement of strategy (D)'!$B914,"")</f>
        <v/>
      </c>
      <c r="G914" s="585" t="str">
        <f ca="1">IF(AND(OR('Reconciliation report'!$E$104=RefData!$B$8,'Reconciliation report'!$E$9=RefData!$B$5),OR('Reconciliation report'!$E$119=RefData!$B$46,'Reconciliation report'!$E$119=RefData!$B$47)),'All Statement of strategy (D)'!$B914,"")</f>
        <v/>
      </c>
      <c r="H914" s="585" t="str">
        <f ca="1">IF(AND(OR('Reconciliation report'!$E$104=RefData!$B$8,'Reconciliation report'!$E$9=RefData!$B$5),OR('Reconciliation report'!$E$119=RefData!$B$46,'Reconciliation report'!$E$119=RefData!$B$47)),'All Statement of strategy (D)'!$B914,"")</f>
        <v/>
      </c>
      <c r="I914" s="595" t="str">
        <f ca="1">IF($C$1=RefData!$B$418,'All Statement of strategy (D)'!$E914,IF('All Statement of strategy (D)'!$C$1=RefData!$B$419,'All Statement of strategy (D)'!$F914,IF('All Statement of strategy (D)'!$C$1=RefData!$B$420,'All Statement of strategy (D)'!$G914,IF('All Statement of strategy (D)'!$C$1=RefData!$B$421,'All Statement of strategy (D)'!$H914," "))))</f>
        <v xml:space="preserve"> </v>
      </c>
    </row>
    <row r="915" spans="1:9">
      <c r="A915" s="584" t="s">
        <v>2290</v>
      </c>
      <c r="B915" s="621" t="str">
        <f ca="1">TEXT('Reconciliation report'!$E$334,RefData!$B$423)</f>
        <v/>
      </c>
      <c r="E915" s="585" t="str">
        <f ca="1">IF(AND(OR('Reconciliation report'!$E$104=RefData!$B$8,'Reconciliation report'!$E$9=RefData!$B$5),'Reconciliation report'!$E$122=RefData!$B$50),'All Statement of strategy (D)'!$B915,"")</f>
        <v/>
      </c>
      <c r="F915" s="585" t="str">
        <f ca="1">IF(AND(OR('Reconciliation report'!$E$104=RefData!$B$8,'Reconciliation report'!$E$9=RefData!$B$5),'Reconciliation report'!$E$122=RefData!$B$50),'All Statement of strategy (D)'!$B915,"")</f>
        <v/>
      </c>
      <c r="G915" s="585" t="str">
        <f ca="1">IF(AND(OR('Reconciliation report'!$E$104=RefData!$B$8,'Reconciliation report'!$E$9=RefData!$B$5),'Reconciliation report'!$E$122=RefData!$B$50),'All Statement of strategy (D)'!$B915,"")</f>
        <v/>
      </c>
      <c r="H915" s="585" t="str">
        <f ca="1">IF(AND(OR('Reconciliation report'!$E$104=RefData!$B$8,'Reconciliation report'!$E$9=RefData!$B$5),'Reconciliation report'!$E$122=RefData!$B$50),'All Statement of strategy (D)'!$B915,"")</f>
        <v/>
      </c>
      <c r="I915" s="595" t="str">
        <f ca="1">IF($C$1=RefData!$B$418,'All Statement of strategy (D)'!$E915,IF('All Statement of strategy (D)'!$C$1=RefData!$B$419,'All Statement of strategy (D)'!$F915,IF('All Statement of strategy (D)'!$C$1=RefData!$B$420,'All Statement of strategy (D)'!$G915,IF('All Statement of strategy (D)'!$C$1=RefData!$B$421,'All Statement of strategy (D)'!$H915," "))))</f>
        <v xml:space="preserve"> </v>
      </c>
    </row>
    <row r="916" spans="1:9">
      <c r="A916" s="584" t="s">
        <v>2291</v>
      </c>
      <c r="B916" s="621" t="str">
        <f ca="1">TEXT('Reconciliation report'!$E$335,RefData!$B$423)</f>
        <v/>
      </c>
      <c r="E916" s="585" t="str">
        <f ca="1">IF(AND(OR('Reconciliation report'!$E$104=RefData!$B$8,'Reconciliation report'!$E$9=RefData!$B$5),'Reconciliation report'!$E$122=RefData!$B$50),'All Statement of strategy (D)'!$B916,"")</f>
        <v/>
      </c>
      <c r="F916" s="585" t="str">
        <f ca="1">IF(AND(OR('Reconciliation report'!$E$104=RefData!$B$8,'Reconciliation report'!$E$9=RefData!$B$5),'Reconciliation report'!$E$122=RefData!$B$50),'All Statement of strategy (D)'!$B916,"")</f>
        <v/>
      </c>
      <c r="G916" s="585" t="str">
        <f ca="1">IF(AND(OR('Reconciliation report'!$E$104=RefData!$B$8,'Reconciliation report'!$E$9=RefData!$B$5),'Reconciliation report'!$E$122=RefData!$B$50),'All Statement of strategy (D)'!$B916,"")</f>
        <v/>
      </c>
      <c r="H916" s="585" t="str">
        <f ca="1">IF(AND(OR('Reconciliation report'!$E$104=RefData!$B$8,'Reconciliation report'!$E$9=RefData!$B$5),'Reconciliation report'!$E$122=RefData!$B$50),'All Statement of strategy (D)'!$B916,"")</f>
        <v/>
      </c>
      <c r="I916" s="595" t="str">
        <f ca="1">IF($C$1=RefData!$B$418,'All Statement of strategy (D)'!$E916,IF('All Statement of strategy (D)'!$C$1=RefData!$B$419,'All Statement of strategy (D)'!$F916,IF('All Statement of strategy (D)'!$C$1=RefData!$B$420,'All Statement of strategy (D)'!$G916,IF('All Statement of strategy (D)'!$C$1=RefData!$B$421,'All Statement of strategy (D)'!$H916," "))))</f>
        <v xml:space="preserve"> </v>
      </c>
    </row>
    <row r="917" spans="1:9">
      <c r="A917" s="584" t="s">
        <v>2292</v>
      </c>
      <c r="B917" s="621" t="str">
        <f ca="1">TEXT('Reconciliation report'!$E$336,RefData!$B$423)</f>
        <v/>
      </c>
      <c r="E917" s="585" t="str">
        <f ca="1">IF(AND(OR('Reconciliation report'!$E$104=RefData!$B$8,'Reconciliation report'!$E$9=RefData!$B$5),'Reconciliation report'!$E$122=RefData!$B$50),'All Statement of strategy (D)'!$B917,"")</f>
        <v/>
      </c>
      <c r="F917" s="585" t="str">
        <f ca="1">IF(AND(OR('Reconciliation report'!$E$104=RefData!$B$8,'Reconciliation report'!$E$9=RefData!$B$5),'Reconciliation report'!$E$122=RefData!$B$50),'All Statement of strategy (D)'!$B917,"")</f>
        <v/>
      </c>
      <c r="G917" s="585" t="str">
        <f ca="1">IF(AND(OR('Reconciliation report'!$E$104=RefData!$B$8,'Reconciliation report'!$E$9=RefData!$B$5),'Reconciliation report'!$E$122=RefData!$B$50),'All Statement of strategy (D)'!$B917,"")</f>
        <v/>
      </c>
      <c r="H917" s="585" t="str">
        <f ca="1">IF(AND(OR('Reconciliation report'!$E$104=RefData!$B$8,'Reconciliation report'!$E$9=RefData!$B$5),'Reconciliation report'!$E$122=RefData!$B$50),'All Statement of strategy (D)'!$B917,"")</f>
        <v/>
      </c>
      <c r="I917" s="595" t="str">
        <f ca="1">IF($C$1=RefData!$B$418,'All Statement of strategy (D)'!$E917,IF('All Statement of strategy (D)'!$C$1=RefData!$B$419,'All Statement of strategy (D)'!$F917,IF('All Statement of strategy (D)'!$C$1=RefData!$B$420,'All Statement of strategy (D)'!$G917,IF('All Statement of strategy (D)'!$C$1=RefData!$B$421,'All Statement of strategy (D)'!$H917," "))))</f>
        <v xml:space="preserve"> </v>
      </c>
    </row>
    <row r="918" spans="1:9">
      <c r="A918" s="584" t="s">
        <v>2293</v>
      </c>
      <c r="B918" s="621" t="str">
        <f ca="1">TEXT('Reconciliation report'!$E$337,RefData!$B$423)</f>
        <v/>
      </c>
      <c r="E918" s="585" t="str">
        <f ca="1">IF(AND(OR('Reconciliation report'!$E$104=RefData!$B$8,'Reconciliation report'!$E$9=RefData!$B$5),'Reconciliation report'!$E$122=RefData!$B$50),'All Statement of strategy (D)'!$B918,"")</f>
        <v/>
      </c>
      <c r="F918" s="585" t="str">
        <f ca="1">IF(AND(OR('Reconciliation report'!$E$104=RefData!$B$8,'Reconciliation report'!$E$9=RefData!$B$5),'Reconciliation report'!$E$122=RefData!$B$50),'All Statement of strategy (D)'!$B918,"")</f>
        <v/>
      </c>
      <c r="G918" s="585" t="str">
        <f ca="1">IF(AND(OR('Reconciliation report'!$E$104=RefData!$B$8,'Reconciliation report'!$E$9=RefData!$B$5),'Reconciliation report'!$E$122=RefData!$B$50),'All Statement of strategy (D)'!$B918,"")</f>
        <v/>
      </c>
      <c r="H918" s="585" t="str">
        <f ca="1">IF(AND(OR('Reconciliation report'!$E$104=RefData!$B$8,'Reconciliation report'!$E$9=RefData!$B$5),'Reconciliation report'!$E$122=RefData!$B$50),'All Statement of strategy (D)'!$B918,"")</f>
        <v/>
      </c>
      <c r="I918" s="595" t="str">
        <f ca="1">IF($C$1=RefData!$B$418,'All Statement of strategy (D)'!$E918,IF('All Statement of strategy (D)'!$C$1=RefData!$B$419,'All Statement of strategy (D)'!$F918,IF('All Statement of strategy (D)'!$C$1=RefData!$B$420,'All Statement of strategy (D)'!$G918,IF('All Statement of strategy (D)'!$C$1=RefData!$B$421,'All Statement of strategy (D)'!$H918," "))))</f>
        <v xml:space="preserve"> </v>
      </c>
    </row>
    <row r="919" spans="1:9">
      <c r="A919" s="584" t="s">
        <v>2294</v>
      </c>
      <c r="B919" s="621" t="str">
        <f ca="1">TEXT('Reconciliation report'!$E$338,RefData!$B$423)</f>
        <v/>
      </c>
      <c r="E919" s="585" t="str">
        <f ca="1">IF(AND(OR('Reconciliation report'!$E$104=RefData!$B$8,'Reconciliation report'!$E$9=RefData!$B$5),'Reconciliation report'!$E$122=RefData!$B$50),'All Statement of strategy (D)'!$B919,"")</f>
        <v/>
      </c>
      <c r="F919" s="585" t="str">
        <f ca="1">IF(AND(OR('Reconciliation report'!$E$104=RefData!$B$8,'Reconciliation report'!$E$9=RefData!$B$5),'Reconciliation report'!$E$122=RefData!$B$50),'All Statement of strategy (D)'!$B919,"")</f>
        <v/>
      </c>
      <c r="G919" s="585" t="str">
        <f ca="1">IF(AND(OR('Reconciliation report'!$E$104=RefData!$B$8,'Reconciliation report'!$E$9=RefData!$B$5),'Reconciliation report'!$E$122=RefData!$B$50),'All Statement of strategy (D)'!$B919,"")</f>
        <v/>
      </c>
      <c r="H919" s="585" t="str">
        <f ca="1">IF(AND(OR('Reconciliation report'!$E$104=RefData!$B$8,'Reconciliation report'!$E$9=RefData!$B$5),'Reconciliation report'!$E$122=RefData!$B$50),'All Statement of strategy (D)'!$B919,"")</f>
        <v/>
      </c>
      <c r="I919" s="595" t="str">
        <f ca="1">IF($C$1=RefData!$B$418,'All Statement of strategy (D)'!$E919,IF('All Statement of strategy (D)'!$C$1=RefData!$B$419,'All Statement of strategy (D)'!$F919,IF('All Statement of strategy (D)'!$C$1=RefData!$B$420,'All Statement of strategy (D)'!$G919,IF('All Statement of strategy (D)'!$C$1=RefData!$B$421,'All Statement of strategy (D)'!$H919," "))))</f>
        <v xml:space="preserve"> </v>
      </c>
    </row>
    <row r="920" spans="1:9">
      <c r="A920" s="584" t="s">
        <v>2295</v>
      </c>
      <c r="B920" s="621" t="str">
        <f ca="1">TEXT('Reconciliation report'!$E$339,RefData!$B$423)</f>
        <v/>
      </c>
      <c r="E920" s="585" t="str">
        <f ca="1">IF(AND(OR('Reconciliation report'!$E$104=RefData!$B$8,'Reconciliation report'!$E$9=RefData!$B$5),'Reconciliation report'!$E$122=RefData!$B$50),'All Statement of strategy (D)'!$B920,"")</f>
        <v/>
      </c>
      <c r="F920" s="585" t="str">
        <f ca="1">IF(AND(OR('Reconciliation report'!$E$104=RefData!$B$8,'Reconciliation report'!$E$9=RefData!$B$5),'Reconciliation report'!$E$122=RefData!$B$50),'All Statement of strategy (D)'!$B920,"")</f>
        <v/>
      </c>
      <c r="G920" s="585" t="str">
        <f ca="1">IF(AND(OR('Reconciliation report'!$E$104=RefData!$B$8,'Reconciliation report'!$E$9=RefData!$B$5),'Reconciliation report'!$E$122=RefData!$B$50),'All Statement of strategy (D)'!$B920,"")</f>
        <v/>
      </c>
      <c r="H920" s="585" t="str">
        <f ca="1">IF(AND(OR('Reconciliation report'!$E$104=RefData!$B$8,'Reconciliation report'!$E$9=RefData!$B$5),'Reconciliation report'!$E$122=RefData!$B$50),'All Statement of strategy (D)'!$B920,"")</f>
        <v/>
      </c>
      <c r="I920" s="595" t="str">
        <f ca="1">IF($C$1=RefData!$B$418,'All Statement of strategy (D)'!$E920,IF('All Statement of strategy (D)'!$C$1=RefData!$B$419,'All Statement of strategy (D)'!$F920,IF('All Statement of strategy (D)'!$C$1=RefData!$B$420,'All Statement of strategy (D)'!$G920,IF('All Statement of strategy (D)'!$C$1=RefData!$B$421,'All Statement of strategy (D)'!$H920," "))))</f>
        <v xml:space="preserve"> </v>
      </c>
    </row>
    <row r="921" spans="1:9">
      <c r="A921" s="584" t="s">
        <v>2296</v>
      </c>
      <c r="B921" s="621" t="str">
        <f ca="1">TEXT('Reconciliation report'!$E$340,RefData!$B$423)</f>
        <v/>
      </c>
      <c r="E921" s="585" t="str">
        <f ca="1">IF(AND(OR('Reconciliation report'!$E$104=RefData!$B$8,'Reconciliation report'!$E$9=RefData!$B$5),'Reconciliation report'!$E$122=RefData!$B$50),'All Statement of strategy (D)'!$B921,"")</f>
        <v/>
      </c>
      <c r="F921" s="585" t="str">
        <f ca="1">IF(AND(OR('Reconciliation report'!$E$104=RefData!$B$8,'Reconciliation report'!$E$9=RefData!$B$5),'Reconciliation report'!$E$122=RefData!$B$50),'All Statement of strategy (D)'!$B921,"")</f>
        <v/>
      </c>
      <c r="G921" s="585" t="str">
        <f ca="1">IF(AND(OR('Reconciliation report'!$E$104=RefData!$B$8,'Reconciliation report'!$E$9=RefData!$B$5),'Reconciliation report'!$E$122=RefData!$B$50),'All Statement of strategy (D)'!$B921,"")</f>
        <v/>
      </c>
      <c r="H921" s="585" t="str">
        <f ca="1">IF(AND(OR('Reconciliation report'!$E$104=RefData!$B$8,'Reconciliation report'!$E$9=RefData!$B$5),'Reconciliation report'!$E$122=RefData!$B$50),'All Statement of strategy (D)'!$B921,"")</f>
        <v/>
      </c>
      <c r="I921" s="595" t="str">
        <f ca="1">IF($C$1=RefData!$B$418,'All Statement of strategy (D)'!$E921,IF('All Statement of strategy (D)'!$C$1=RefData!$B$419,'All Statement of strategy (D)'!$F921,IF('All Statement of strategy (D)'!$C$1=RefData!$B$420,'All Statement of strategy (D)'!$G921,IF('All Statement of strategy (D)'!$C$1=RefData!$B$421,'All Statement of strategy (D)'!$H921," "))))</f>
        <v xml:space="preserve"> </v>
      </c>
    </row>
    <row r="922" spans="1:9">
      <c r="A922" s="584" t="s">
        <v>2297</v>
      </c>
      <c r="B922" s="621" t="str">
        <f ca="1">TEXT('Reconciliation report'!$E$341,RefData!$B$423)</f>
        <v/>
      </c>
      <c r="E922" s="585" t="str">
        <f ca="1">IF(AND(OR('Reconciliation report'!$E$104=RefData!$B$8,'Reconciliation report'!$E$9=RefData!$B$5),'Reconciliation report'!$E$122=RefData!$B$50),'All Statement of strategy (D)'!$B922,"")</f>
        <v/>
      </c>
      <c r="F922" s="585" t="str">
        <f ca="1">IF(AND(OR('Reconciliation report'!$E$104=RefData!$B$8,'Reconciliation report'!$E$9=RefData!$B$5),'Reconciliation report'!$E$122=RefData!$B$50),'All Statement of strategy (D)'!$B922,"")</f>
        <v/>
      </c>
      <c r="G922" s="585" t="str">
        <f ca="1">IF(AND(OR('Reconciliation report'!$E$104=RefData!$B$8,'Reconciliation report'!$E$9=RefData!$B$5),'Reconciliation report'!$E$122=RefData!$B$50),'All Statement of strategy (D)'!$B922,"")</f>
        <v/>
      </c>
      <c r="H922" s="585" t="str">
        <f ca="1">IF(AND(OR('Reconciliation report'!$E$104=RefData!$B$8,'Reconciliation report'!$E$9=RefData!$B$5),'Reconciliation report'!$E$122=RefData!$B$50),'All Statement of strategy (D)'!$B922,"")</f>
        <v/>
      </c>
      <c r="I922" s="595" t="str">
        <f ca="1">IF($C$1=RefData!$B$418,'All Statement of strategy (D)'!$E922,IF('All Statement of strategy (D)'!$C$1=RefData!$B$419,'All Statement of strategy (D)'!$F922,IF('All Statement of strategy (D)'!$C$1=RefData!$B$420,'All Statement of strategy (D)'!$G922,IF('All Statement of strategy (D)'!$C$1=RefData!$B$421,'All Statement of strategy (D)'!$H922," "))))</f>
        <v xml:space="preserve"> </v>
      </c>
    </row>
    <row r="923" spans="1:9">
      <c r="A923" s="584" t="s">
        <v>2298</v>
      </c>
      <c r="B923" s="621" t="str">
        <f ca="1">TEXT('Reconciliation report'!$E$342,RefData!$B$423)</f>
        <v/>
      </c>
      <c r="E923" s="585" t="str">
        <f ca="1">IF(AND(OR('Reconciliation report'!$E$104=RefData!$B$8,'Reconciliation report'!$E$9=RefData!$B$5),'Reconciliation report'!$E$122=RefData!$B$50),'All Statement of strategy (D)'!$B923,"")</f>
        <v/>
      </c>
      <c r="F923" s="585" t="str">
        <f ca="1">IF(AND(OR('Reconciliation report'!$E$104=RefData!$B$8,'Reconciliation report'!$E$9=RefData!$B$5),'Reconciliation report'!$E$122=RefData!$B$50),'All Statement of strategy (D)'!$B923,"")</f>
        <v/>
      </c>
      <c r="G923" s="585" t="str">
        <f ca="1">IF(AND(OR('Reconciliation report'!$E$104=RefData!$B$8,'Reconciliation report'!$E$9=RefData!$B$5),'Reconciliation report'!$E$122=RefData!$B$50),'All Statement of strategy (D)'!$B923,"")</f>
        <v/>
      </c>
      <c r="H923" s="585" t="str">
        <f ca="1">IF(AND(OR('Reconciliation report'!$E$104=RefData!$B$8,'Reconciliation report'!$E$9=RefData!$B$5),'Reconciliation report'!$E$122=RefData!$B$50),'All Statement of strategy (D)'!$B923,"")</f>
        <v/>
      </c>
      <c r="I923" s="595" t="str">
        <f ca="1">IF($C$1=RefData!$B$418,'All Statement of strategy (D)'!$E923,IF('All Statement of strategy (D)'!$C$1=RefData!$B$419,'All Statement of strategy (D)'!$F923,IF('All Statement of strategy (D)'!$C$1=RefData!$B$420,'All Statement of strategy (D)'!$G923,IF('All Statement of strategy (D)'!$C$1=RefData!$B$421,'All Statement of strategy (D)'!$H923," "))))</f>
        <v xml:space="preserve"> </v>
      </c>
    </row>
    <row r="924" spans="1:9">
      <c r="A924" s="584" t="s">
        <v>2299</v>
      </c>
      <c r="B924" s="621" t="str">
        <f ca="1">TEXT('Reconciliation report'!$E$343,RefData!$B$423)</f>
        <v/>
      </c>
      <c r="E924" s="585" t="str">
        <f ca="1">IF(AND(OR('Reconciliation report'!$E$104=RefData!$B$8,'Reconciliation report'!$E$9=RefData!$B$5),'Reconciliation report'!$E$122=RefData!$B$50),'All Statement of strategy (D)'!$B924,"")</f>
        <v/>
      </c>
      <c r="F924" s="585" t="str">
        <f ca="1">IF(AND(OR('Reconciliation report'!$E$104=RefData!$B$8,'Reconciliation report'!$E$9=RefData!$B$5),'Reconciliation report'!$E$122=RefData!$B$50),'All Statement of strategy (D)'!$B924,"")</f>
        <v/>
      </c>
      <c r="G924" s="585" t="str">
        <f ca="1">IF(AND(OR('Reconciliation report'!$E$104=RefData!$B$8,'Reconciliation report'!$E$9=RefData!$B$5),'Reconciliation report'!$E$122=RefData!$B$50),'All Statement of strategy (D)'!$B924,"")</f>
        <v/>
      </c>
      <c r="H924" s="585" t="str">
        <f ca="1">IF(AND(OR('Reconciliation report'!$E$104=RefData!$B$8,'Reconciliation report'!$E$9=RefData!$B$5),'Reconciliation report'!$E$122=RefData!$B$50),'All Statement of strategy (D)'!$B924,"")</f>
        <v/>
      </c>
      <c r="I924" s="595" t="str">
        <f ca="1">IF($C$1=RefData!$B$418,'All Statement of strategy (D)'!$E924,IF('All Statement of strategy (D)'!$C$1=RefData!$B$419,'All Statement of strategy (D)'!$F924,IF('All Statement of strategy (D)'!$C$1=RefData!$B$420,'All Statement of strategy (D)'!$G924,IF('All Statement of strategy (D)'!$C$1=RefData!$B$421,'All Statement of strategy (D)'!$H924," "))))</f>
        <v xml:space="preserve"> </v>
      </c>
    </row>
    <row r="925" spans="1:9">
      <c r="A925" s="584" t="s">
        <v>2300</v>
      </c>
      <c r="B925" s="621" t="str">
        <f ca="1">TEXT('Reconciliation report'!$E$344,RefData!$B$423)</f>
        <v/>
      </c>
      <c r="E925" s="585" t="str">
        <f ca="1">IF(AND(OR('Reconciliation report'!$E$104=RefData!$B$8,'Reconciliation report'!$E$9=RefData!$B$5),'Reconciliation report'!$E$122=RefData!$B$50),'All Statement of strategy (D)'!$B925,"")</f>
        <v/>
      </c>
      <c r="F925" s="585" t="str">
        <f ca="1">IF(AND(OR('Reconciliation report'!$E$104=RefData!$B$8,'Reconciliation report'!$E$9=RefData!$B$5),'Reconciliation report'!$E$122=RefData!$B$50),'All Statement of strategy (D)'!$B925,"")</f>
        <v/>
      </c>
      <c r="G925" s="585" t="str">
        <f ca="1">IF(AND(OR('Reconciliation report'!$E$104=RefData!$B$8,'Reconciliation report'!$E$9=RefData!$B$5),'Reconciliation report'!$E$122=RefData!$B$50),'All Statement of strategy (D)'!$B925,"")</f>
        <v/>
      </c>
      <c r="H925" s="585" t="str">
        <f ca="1">IF(AND(OR('Reconciliation report'!$E$104=RefData!$B$8,'Reconciliation report'!$E$9=RefData!$B$5),'Reconciliation report'!$E$122=RefData!$B$50),'All Statement of strategy (D)'!$B925,"")</f>
        <v/>
      </c>
      <c r="I925" s="595" t="str">
        <f ca="1">IF($C$1=RefData!$B$418,'All Statement of strategy (D)'!$E925,IF('All Statement of strategy (D)'!$C$1=RefData!$B$419,'All Statement of strategy (D)'!$F925,IF('All Statement of strategy (D)'!$C$1=RefData!$B$420,'All Statement of strategy (D)'!$G925,IF('All Statement of strategy (D)'!$C$1=RefData!$B$421,'All Statement of strategy (D)'!$H925," "))))</f>
        <v xml:space="preserve"> </v>
      </c>
    </row>
    <row r="926" spans="1:9">
      <c r="A926" s="584" t="s">
        <v>2301</v>
      </c>
      <c r="B926" s="621" t="str">
        <f ca="1">TEXT('Reconciliation report'!$E$345,RefData!$B$423)</f>
        <v/>
      </c>
      <c r="E926" s="585" t="str">
        <f ca="1">IF(AND(OR('Reconciliation report'!$E$104=RefData!$B$8,'Reconciliation report'!$E$9=RefData!$B$5),'Reconciliation report'!$E$122=RefData!$B$50),'All Statement of strategy (D)'!$B926,"")</f>
        <v/>
      </c>
      <c r="F926" s="585" t="str">
        <f ca="1">IF(AND(OR('Reconciliation report'!$E$104=RefData!$B$8,'Reconciliation report'!$E$9=RefData!$B$5),'Reconciliation report'!$E$122=RefData!$B$50),'All Statement of strategy (D)'!$B926,"")</f>
        <v/>
      </c>
      <c r="G926" s="585" t="str">
        <f ca="1">IF(AND(OR('Reconciliation report'!$E$104=RefData!$B$8,'Reconciliation report'!$E$9=RefData!$B$5),'Reconciliation report'!$E$122=RefData!$B$50),'All Statement of strategy (D)'!$B926,"")</f>
        <v/>
      </c>
      <c r="H926" s="585" t="str">
        <f ca="1">IF(AND(OR('Reconciliation report'!$E$104=RefData!$B$8,'Reconciliation report'!$E$9=RefData!$B$5),'Reconciliation report'!$E$122=RefData!$B$50),'All Statement of strategy (D)'!$B926,"")</f>
        <v/>
      </c>
      <c r="I926" s="595" t="str">
        <f ca="1">IF($C$1=RefData!$B$418,'All Statement of strategy (D)'!$E926,IF('All Statement of strategy (D)'!$C$1=RefData!$B$419,'All Statement of strategy (D)'!$F926,IF('All Statement of strategy (D)'!$C$1=RefData!$B$420,'All Statement of strategy (D)'!$G926,IF('All Statement of strategy (D)'!$C$1=RefData!$B$421,'All Statement of strategy (D)'!$H926," "))))</f>
        <v xml:space="preserve"> </v>
      </c>
    </row>
    <row r="927" spans="1:9">
      <c r="A927" s="584" t="s">
        <v>2302</v>
      </c>
      <c r="B927" s="621" t="str">
        <f ca="1">TEXT('Reconciliation report'!$E$346,RefData!$B$423)</f>
        <v/>
      </c>
      <c r="E927" s="585" t="str">
        <f ca="1">IF(AND(OR('Reconciliation report'!$E$104=RefData!$B$8,'Reconciliation report'!$E$9=RefData!$B$5),'Reconciliation report'!$E$122=RefData!$B$50),'All Statement of strategy (D)'!$B927,"")</f>
        <v/>
      </c>
      <c r="F927" s="585" t="str">
        <f ca="1">IF(AND(OR('Reconciliation report'!$E$104=RefData!$B$8,'Reconciliation report'!$E$9=RefData!$B$5),'Reconciliation report'!$E$122=RefData!$B$50),'All Statement of strategy (D)'!$B927,"")</f>
        <v/>
      </c>
      <c r="G927" s="585" t="str">
        <f ca="1">IF(AND(OR('Reconciliation report'!$E$104=RefData!$B$8,'Reconciliation report'!$E$9=RefData!$B$5),'Reconciliation report'!$E$122=RefData!$B$50),'All Statement of strategy (D)'!$B927,"")</f>
        <v/>
      </c>
      <c r="H927" s="585" t="str">
        <f ca="1">IF(AND(OR('Reconciliation report'!$E$104=RefData!$B$8,'Reconciliation report'!$E$9=RefData!$B$5),'Reconciliation report'!$E$122=RefData!$B$50),'All Statement of strategy (D)'!$B927,"")</f>
        <v/>
      </c>
      <c r="I927" s="595" t="str">
        <f ca="1">IF($C$1=RefData!$B$418,'All Statement of strategy (D)'!$E927,IF('All Statement of strategy (D)'!$C$1=RefData!$B$419,'All Statement of strategy (D)'!$F927,IF('All Statement of strategy (D)'!$C$1=RefData!$B$420,'All Statement of strategy (D)'!$G927,IF('All Statement of strategy (D)'!$C$1=RefData!$B$421,'All Statement of strategy (D)'!$H927," "))))</f>
        <v xml:space="preserve"> </v>
      </c>
    </row>
    <row r="928" spans="1:9">
      <c r="A928" s="584" t="s">
        <v>2303</v>
      </c>
      <c r="B928" s="621" t="str">
        <f ca="1">TEXT('Reconciliation report'!$E$347,RefData!$B$423)</f>
        <v/>
      </c>
      <c r="E928" s="585" t="str">
        <f ca="1">IF(AND(OR('Reconciliation report'!$E$104=RefData!$B$8,'Reconciliation report'!$E$9=RefData!$B$5),'Reconciliation report'!$E$122=RefData!$B$50),'All Statement of strategy (D)'!$B928,"")</f>
        <v/>
      </c>
      <c r="F928" s="585" t="str">
        <f ca="1">IF(AND(OR('Reconciliation report'!$E$104=RefData!$B$8,'Reconciliation report'!$E$9=RefData!$B$5),'Reconciliation report'!$E$122=RefData!$B$50),'All Statement of strategy (D)'!$B928,"")</f>
        <v/>
      </c>
      <c r="G928" s="585" t="str">
        <f ca="1">IF(AND(OR('Reconciliation report'!$E$104=RefData!$B$8,'Reconciliation report'!$E$9=RefData!$B$5),'Reconciliation report'!$E$122=RefData!$B$50),'All Statement of strategy (D)'!$B928,"")</f>
        <v/>
      </c>
      <c r="H928" s="585" t="str">
        <f ca="1">IF(AND(OR('Reconciliation report'!$E$104=RefData!$B$8,'Reconciliation report'!$E$9=RefData!$B$5),'Reconciliation report'!$E$122=RefData!$B$50),'All Statement of strategy (D)'!$B928,"")</f>
        <v/>
      </c>
      <c r="I928" s="595" t="str">
        <f ca="1">IF($C$1=RefData!$B$418,'All Statement of strategy (D)'!$E928,IF('All Statement of strategy (D)'!$C$1=RefData!$B$419,'All Statement of strategy (D)'!$F928,IF('All Statement of strategy (D)'!$C$1=RefData!$B$420,'All Statement of strategy (D)'!$G928,IF('All Statement of strategy (D)'!$C$1=RefData!$B$421,'All Statement of strategy (D)'!$H928," "))))</f>
        <v xml:space="preserve"> </v>
      </c>
    </row>
    <row r="929" spans="1:9">
      <c r="A929" s="584" t="s">
        <v>2304</v>
      </c>
      <c r="B929" s="621" t="str">
        <f ca="1">TEXT('Reconciliation report'!$E$348,RefData!$B$423)</f>
        <v/>
      </c>
      <c r="E929" s="585" t="str">
        <f ca="1">IF(AND(OR('Reconciliation report'!$E$104=RefData!$B$8,'Reconciliation report'!$E$9=RefData!$B$5),'Reconciliation report'!$E$122=RefData!$B$50),'All Statement of strategy (D)'!$B929,"")</f>
        <v/>
      </c>
      <c r="F929" s="585" t="str">
        <f ca="1">IF(AND(OR('Reconciliation report'!$E$104=RefData!$B$8,'Reconciliation report'!$E$9=RefData!$B$5),'Reconciliation report'!$E$122=RefData!$B$50),'All Statement of strategy (D)'!$B929,"")</f>
        <v/>
      </c>
      <c r="G929" s="585" t="str">
        <f ca="1">IF(AND(OR('Reconciliation report'!$E$104=RefData!$B$8,'Reconciliation report'!$E$9=RefData!$B$5),'Reconciliation report'!$E$122=RefData!$B$50),'All Statement of strategy (D)'!$B929,"")</f>
        <v/>
      </c>
      <c r="H929" s="585" t="str">
        <f ca="1">IF(AND(OR('Reconciliation report'!$E$104=RefData!$B$8,'Reconciliation report'!$E$9=RefData!$B$5),'Reconciliation report'!$E$122=RefData!$B$50),'All Statement of strategy (D)'!$B929,"")</f>
        <v/>
      </c>
      <c r="I929" s="595" t="str">
        <f ca="1">IF($C$1=RefData!$B$418,'All Statement of strategy (D)'!$E929,IF('All Statement of strategy (D)'!$C$1=RefData!$B$419,'All Statement of strategy (D)'!$F929,IF('All Statement of strategy (D)'!$C$1=RefData!$B$420,'All Statement of strategy (D)'!$G929,IF('All Statement of strategy (D)'!$C$1=RefData!$B$421,'All Statement of strategy (D)'!$H929," "))))</f>
        <v xml:space="preserve"> </v>
      </c>
    </row>
    <row r="930" spans="1:9">
      <c r="A930" s="584" t="s">
        <v>2305</v>
      </c>
      <c r="B930" s="621" t="str">
        <f ca="1">TEXT('Reconciliation report'!$E$349,RefData!$B$423)</f>
        <v/>
      </c>
      <c r="E930" s="585" t="str">
        <f ca="1">IF(AND(OR('Reconciliation report'!$E$104=RefData!$B$8,'Reconciliation report'!$E$9=RefData!$B$5),'Reconciliation report'!$E$122=RefData!$B$50),'All Statement of strategy (D)'!$B930,"")</f>
        <v/>
      </c>
      <c r="F930" s="585" t="str">
        <f ca="1">IF(AND(OR('Reconciliation report'!$E$104=RefData!$B$8,'Reconciliation report'!$E$9=RefData!$B$5),'Reconciliation report'!$E$122=RefData!$B$50),'All Statement of strategy (D)'!$B930,"")</f>
        <v/>
      </c>
      <c r="G930" s="585" t="str">
        <f ca="1">IF(AND(OR('Reconciliation report'!$E$104=RefData!$B$8,'Reconciliation report'!$E$9=RefData!$B$5),'Reconciliation report'!$E$122=RefData!$B$50),'All Statement of strategy (D)'!$B930,"")</f>
        <v/>
      </c>
      <c r="H930" s="585" t="str">
        <f ca="1">IF(AND(OR('Reconciliation report'!$E$104=RefData!$B$8,'Reconciliation report'!$E$9=RefData!$B$5),'Reconciliation report'!$E$122=RefData!$B$50),'All Statement of strategy (D)'!$B930,"")</f>
        <v/>
      </c>
      <c r="I930" s="595" t="str">
        <f ca="1">IF($C$1=RefData!$B$418,'All Statement of strategy (D)'!$E930,IF('All Statement of strategy (D)'!$C$1=RefData!$B$419,'All Statement of strategy (D)'!$F930,IF('All Statement of strategy (D)'!$C$1=RefData!$B$420,'All Statement of strategy (D)'!$G930,IF('All Statement of strategy (D)'!$C$1=RefData!$B$421,'All Statement of strategy (D)'!$H930," "))))</f>
        <v xml:space="preserve"> </v>
      </c>
    </row>
    <row r="931" spans="1:9">
      <c r="A931" s="584" t="s">
        <v>2306</v>
      </c>
      <c r="B931" s="621" t="str">
        <f ca="1">TEXT('Reconciliation report'!$E$350,RefData!$B$423)</f>
        <v/>
      </c>
      <c r="E931" s="585" t="str">
        <f ca="1">IF(AND(OR('Reconciliation report'!$E$104=RefData!$B$8,'Reconciliation report'!$E$9=RefData!$B$5),'Reconciliation report'!$E$122=RefData!$B$50),'All Statement of strategy (D)'!$B931,"")</f>
        <v/>
      </c>
      <c r="F931" s="585" t="str">
        <f ca="1">IF(AND(OR('Reconciliation report'!$E$104=RefData!$B$8,'Reconciliation report'!$E$9=RefData!$B$5),'Reconciliation report'!$E$122=RefData!$B$50),'All Statement of strategy (D)'!$B931,"")</f>
        <v/>
      </c>
      <c r="G931" s="585" t="str">
        <f ca="1">IF(AND(OR('Reconciliation report'!$E$104=RefData!$B$8,'Reconciliation report'!$E$9=RefData!$B$5),'Reconciliation report'!$E$122=RefData!$B$50),'All Statement of strategy (D)'!$B931,"")</f>
        <v/>
      </c>
      <c r="H931" s="585" t="str">
        <f ca="1">IF(AND(OR('Reconciliation report'!$E$104=RefData!$B$8,'Reconciliation report'!$E$9=RefData!$B$5),'Reconciliation report'!$E$122=RefData!$B$50),'All Statement of strategy (D)'!$B931,"")</f>
        <v/>
      </c>
      <c r="I931" s="595" t="str">
        <f ca="1">IF($C$1=RefData!$B$418,'All Statement of strategy (D)'!$E931,IF('All Statement of strategy (D)'!$C$1=RefData!$B$419,'All Statement of strategy (D)'!$F931,IF('All Statement of strategy (D)'!$C$1=RefData!$B$420,'All Statement of strategy (D)'!$G931,IF('All Statement of strategy (D)'!$C$1=RefData!$B$421,'All Statement of strategy (D)'!$H931," "))))</f>
        <v xml:space="preserve"> </v>
      </c>
    </row>
    <row r="932" spans="1:9">
      <c r="A932" s="584" t="s">
        <v>2307</v>
      </c>
      <c r="B932" s="621" t="str">
        <f ca="1">TEXT('Reconciliation report'!$E$351,RefData!$B$423)</f>
        <v/>
      </c>
      <c r="E932" s="585" t="str">
        <f ca="1">IF(AND(OR('Reconciliation report'!$E$104=RefData!$B$8,'Reconciliation report'!$E$9=RefData!$B$5),'Reconciliation report'!$E$122=RefData!$B$50),'All Statement of strategy (D)'!$B932,"")</f>
        <v/>
      </c>
      <c r="F932" s="585" t="str">
        <f ca="1">IF(AND(OR('Reconciliation report'!$E$104=RefData!$B$8,'Reconciliation report'!$E$9=RefData!$B$5),'Reconciliation report'!$E$122=RefData!$B$50),'All Statement of strategy (D)'!$B932,"")</f>
        <v/>
      </c>
      <c r="G932" s="585" t="str">
        <f ca="1">IF(AND(OR('Reconciliation report'!$E$104=RefData!$B$8,'Reconciliation report'!$E$9=RefData!$B$5),'Reconciliation report'!$E$122=RefData!$B$50),'All Statement of strategy (D)'!$B932,"")</f>
        <v/>
      </c>
      <c r="H932" s="585" t="str">
        <f ca="1">IF(AND(OR('Reconciliation report'!$E$104=RefData!$B$8,'Reconciliation report'!$E$9=RefData!$B$5),'Reconciliation report'!$E$122=RefData!$B$50),'All Statement of strategy (D)'!$B932,"")</f>
        <v/>
      </c>
      <c r="I932" s="595" t="str">
        <f ca="1">IF($C$1=RefData!$B$418,'All Statement of strategy (D)'!$E932,IF('All Statement of strategy (D)'!$C$1=RefData!$B$419,'All Statement of strategy (D)'!$F932,IF('All Statement of strategy (D)'!$C$1=RefData!$B$420,'All Statement of strategy (D)'!$G932,IF('All Statement of strategy (D)'!$C$1=RefData!$B$421,'All Statement of strategy (D)'!$H932," "))))</f>
        <v xml:space="preserve"> </v>
      </c>
    </row>
    <row r="933" spans="1:9">
      <c r="A933" s="584" t="s">
        <v>2308</v>
      </c>
      <c r="B933" s="621" t="str">
        <f ca="1">TEXT('Reconciliation report'!$E$352,RefData!$B$423)</f>
        <v/>
      </c>
      <c r="E933" s="585" t="str">
        <f ca="1">IF(AND(OR('Reconciliation report'!$E$104=RefData!$B$8,'Reconciliation report'!$E$9=RefData!$B$5),'Reconciliation report'!$E$122=RefData!$B$50),'All Statement of strategy (D)'!$B933,"")</f>
        <v/>
      </c>
      <c r="F933" s="585" t="str">
        <f ca="1">IF(AND(OR('Reconciliation report'!$E$104=RefData!$B$8,'Reconciliation report'!$E$9=RefData!$B$5),'Reconciliation report'!$E$122=RefData!$B$50),'All Statement of strategy (D)'!$B933,"")</f>
        <v/>
      </c>
      <c r="G933" s="585" t="str">
        <f ca="1">IF(AND(OR('Reconciliation report'!$E$104=RefData!$B$8,'Reconciliation report'!$E$9=RefData!$B$5),'Reconciliation report'!$E$122=RefData!$B$50),'All Statement of strategy (D)'!$B933,"")</f>
        <v/>
      </c>
      <c r="H933" s="585" t="str">
        <f ca="1">IF(AND(OR('Reconciliation report'!$E$104=RefData!$B$8,'Reconciliation report'!$E$9=RefData!$B$5),'Reconciliation report'!$E$122=RefData!$B$50),'All Statement of strategy (D)'!$B933,"")</f>
        <v/>
      </c>
      <c r="I933" s="595" t="str">
        <f ca="1">IF($C$1=RefData!$B$418,'All Statement of strategy (D)'!$E933,IF('All Statement of strategy (D)'!$C$1=RefData!$B$419,'All Statement of strategy (D)'!$F933,IF('All Statement of strategy (D)'!$C$1=RefData!$B$420,'All Statement of strategy (D)'!$G933,IF('All Statement of strategy (D)'!$C$1=RefData!$B$421,'All Statement of strategy (D)'!$H933," "))))</f>
        <v xml:space="preserve"> </v>
      </c>
    </row>
    <row r="934" spans="1:9">
      <c r="A934" s="584" t="s">
        <v>2309</v>
      </c>
      <c r="B934" s="621" t="str">
        <f ca="1">TEXT('Reconciliation report'!$E$353,RefData!$B$423)</f>
        <v/>
      </c>
      <c r="E934" s="585" t="str">
        <f ca="1">IF(AND(OR('Reconciliation report'!$E$104=RefData!$B$8,'Reconciliation report'!$E$9=RefData!$B$5),'Reconciliation report'!$E$122=RefData!$B$50),'All Statement of strategy (D)'!$B934,"")</f>
        <v/>
      </c>
      <c r="F934" s="585" t="str">
        <f ca="1">IF(AND(OR('Reconciliation report'!$E$104=RefData!$B$8,'Reconciliation report'!$E$9=RefData!$B$5),'Reconciliation report'!$E$122=RefData!$B$50),'All Statement of strategy (D)'!$B934,"")</f>
        <v/>
      </c>
      <c r="G934" s="585" t="str">
        <f ca="1">IF(AND(OR('Reconciliation report'!$E$104=RefData!$B$8,'Reconciliation report'!$E$9=RefData!$B$5),'Reconciliation report'!$E$122=RefData!$B$50),'All Statement of strategy (D)'!$B934,"")</f>
        <v/>
      </c>
      <c r="H934" s="585" t="str">
        <f ca="1">IF(AND(OR('Reconciliation report'!$E$104=RefData!$B$8,'Reconciliation report'!$E$9=RefData!$B$5),'Reconciliation report'!$E$122=RefData!$B$50),'All Statement of strategy (D)'!$B934,"")</f>
        <v/>
      </c>
      <c r="I934" s="595" t="str">
        <f ca="1">IF($C$1=RefData!$B$418,'All Statement of strategy (D)'!$E934,IF('All Statement of strategy (D)'!$C$1=RefData!$B$419,'All Statement of strategy (D)'!$F934,IF('All Statement of strategy (D)'!$C$1=RefData!$B$420,'All Statement of strategy (D)'!$G934,IF('All Statement of strategy (D)'!$C$1=RefData!$B$421,'All Statement of strategy (D)'!$H934," "))))</f>
        <v xml:space="preserve"> </v>
      </c>
    </row>
    <row r="935" spans="1:9">
      <c r="A935" s="584" t="s">
        <v>2310</v>
      </c>
      <c r="B935" s="621" t="str">
        <f ca="1">TEXT('Reconciliation report'!$E$354,RefData!$B$423)</f>
        <v/>
      </c>
      <c r="E935" s="585" t="str">
        <f ca="1">IF(AND(OR('Reconciliation report'!$E$104=RefData!$B$8,'Reconciliation report'!$E$9=RefData!$B$5),'Reconciliation report'!$E$122=RefData!$B$50),'All Statement of strategy (D)'!$B935,"")</f>
        <v/>
      </c>
      <c r="F935" s="585" t="str">
        <f ca="1">IF(AND(OR('Reconciliation report'!$E$104=RefData!$B$8,'Reconciliation report'!$E$9=RefData!$B$5),'Reconciliation report'!$E$122=RefData!$B$50),'All Statement of strategy (D)'!$B935,"")</f>
        <v/>
      </c>
      <c r="G935" s="585" t="str">
        <f ca="1">IF(AND(OR('Reconciliation report'!$E$104=RefData!$B$8,'Reconciliation report'!$E$9=RefData!$B$5),'Reconciliation report'!$E$122=RefData!$B$50),'All Statement of strategy (D)'!$B935,"")</f>
        <v/>
      </c>
      <c r="H935" s="585" t="str">
        <f ca="1">IF(AND(OR('Reconciliation report'!$E$104=RefData!$B$8,'Reconciliation report'!$E$9=RefData!$B$5),'Reconciliation report'!$E$122=RefData!$B$50),'All Statement of strategy (D)'!$B935,"")</f>
        <v/>
      </c>
      <c r="I935" s="595" t="str">
        <f ca="1">IF($C$1=RefData!$B$418,'All Statement of strategy (D)'!$E935,IF('All Statement of strategy (D)'!$C$1=RefData!$B$419,'All Statement of strategy (D)'!$F935,IF('All Statement of strategy (D)'!$C$1=RefData!$B$420,'All Statement of strategy (D)'!$G935,IF('All Statement of strategy (D)'!$C$1=RefData!$B$421,'All Statement of strategy (D)'!$H935," "))))</f>
        <v xml:space="preserve"> </v>
      </c>
    </row>
    <row r="936" spans="1:9">
      <c r="A936" s="584" t="s">
        <v>2311</v>
      </c>
      <c r="B936" s="621" t="str">
        <f ca="1">TEXT('Reconciliation report'!$E$355,RefData!$B$423)</f>
        <v/>
      </c>
      <c r="E936" s="585" t="str">
        <f ca="1">IF(AND(OR('Reconciliation report'!$E$104=RefData!$B$8,'Reconciliation report'!$E$9=RefData!$B$5),'Reconciliation report'!$E$122=RefData!$B$50),'All Statement of strategy (D)'!$B936,"")</f>
        <v/>
      </c>
      <c r="F936" s="585" t="str">
        <f ca="1">IF(AND(OR('Reconciliation report'!$E$104=RefData!$B$8,'Reconciliation report'!$E$9=RefData!$B$5),'Reconciliation report'!$E$122=RefData!$B$50),'All Statement of strategy (D)'!$B936,"")</f>
        <v/>
      </c>
      <c r="G936" s="585" t="str">
        <f ca="1">IF(AND(OR('Reconciliation report'!$E$104=RefData!$B$8,'Reconciliation report'!$E$9=RefData!$B$5),'Reconciliation report'!$E$122=RefData!$B$50),'All Statement of strategy (D)'!$B936,"")</f>
        <v/>
      </c>
      <c r="H936" s="585" t="str">
        <f ca="1">IF(AND(OR('Reconciliation report'!$E$104=RefData!$B$8,'Reconciliation report'!$E$9=RefData!$B$5),'Reconciliation report'!$E$122=RefData!$B$50),'All Statement of strategy (D)'!$B936,"")</f>
        <v/>
      </c>
      <c r="I936" s="595" t="str">
        <f ca="1">IF($C$1=RefData!$B$418,'All Statement of strategy (D)'!$E936,IF('All Statement of strategy (D)'!$C$1=RefData!$B$419,'All Statement of strategy (D)'!$F936,IF('All Statement of strategy (D)'!$C$1=RefData!$B$420,'All Statement of strategy (D)'!$G936,IF('All Statement of strategy (D)'!$C$1=RefData!$B$421,'All Statement of strategy (D)'!$H936," "))))</f>
        <v xml:space="preserve"> </v>
      </c>
    </row>
    <row r="937" spans="1:9">
      <c r="A937" s="584" t="s">
        <v>2312</v>
      </c>
      <c r="B937" s="621" t="str">
        <f ca="1">TEXT('Reconciliation report'!$E$356,RefData!$B$423)</f>
        <v/>
      </c>
      <c r="E937" s="585" t="str">
        <f ca="1">IF(AND(OR('Reconciliation report'!$E$104=RefData!$B$8,'Reconciliation report'!$E$9=RefData!$B$5),'Reconciliation report'!$E$122=RefData!$B$50),'All Statement of strategy (D)'!$B937,"")</f>
        <v/>
      </c>
      <c r="F937" s="585" t="str">
        <f ca="1">IF(AND(OR('Reconciliation report'!$E$104=RefData!$B$8,'Reconciliation report'!$E$9=RefData!$B$5),'Reconciliation report'!$E$122=RefData!$B$50),'All Statement of strategy (D)'!$B937,"")</f>
        <v/>
      </c>
      <c r="G937" s="585" t="str">
        <f ca="1">IF(AND(OR('Reconciliation report'!$E$104=RefData!$B$8,'Reconciliation report'!$E$9=RefData!$B$5),'Reconciliation report'!$E$122=RefData!$B$50),'All Statement of strategy (D)'!$B937,"")</f>
        <v/>
      </c>
      <c r="H937" s="585" t="str">
        <f ca="1">IF(AND(OR('Reconciliation report'!$E$104=RefData!$B$8,'Reconciliation report'!$E$9=RefData!$B$5),'Reconciliation report'!$E$122=RefData!$B$50),'All Statement of strategy (D)'!$B937,"")</f>
        <v/>
      </c>
      <c r="I937" s="595" t="str">
        <f ca="1">IF($C$1=RefData!$B$418,'All Statement of strategy (D)'!$E937,IF('All Statement of strategy (D)'!$C$1=RefData!$B$419,'All Statement of strategy (D)'!$F937,IF('All Statement of strategy (D)'!$C$1=RefData!$B$420,'All Statement of strategy (D)'!$G937,IF('All Statement of strategy (D)'!$C$1=RefData!$B$421,'All Statement of strategy (D)'!$H937," "))))</f>
        <v xml:space="preserve"> </v>
      </c>
    </row>
    <row r="938" spans="1:9">
      <c r="A938" s="584" t="s">
        <v>2313</v>
      </c>
      <c r="B938" s="621" t="str">
        <f ca="1">TEXT('Reconciliation report'!$E$357,RefData!$B$423)</f>
        <v/>
      </c>
      <c r="E938" s="585" t="str">
        <f ca="1">IF(AND(OR('Reconciliation report'!$E$104=RefData!$B$8,'Reconciliation report'!$E$9=RefData!$B$5),'Reconciliation report'!$E$122=RefData!$B$50),'All Statement of strategy (D)'!$B938,"")</f>
        <v/>
      </c>
      <c r="F938" s="585" t="str">
        <f ca="1">IF(AND(OR('Reconciliation report'!$E$104=RefData!$B$8,'Reconciliation report'!$E$9=RefData!$B$5),'Reconciliation report'!$E$122=RefData!$B$50),'All Statement of strategy (D)'!$B938,"")</f>
        <v/>
      </c>
      <c r="G938" s="585" t="str">
        <f ca="1">IF(AND(OR('Reconciliation report'!$E$104=RefData!$B$8,'Reconciliation report'!$E$9=RefData!$B$5),'Reconciliation report'!$E$122=RefData!$B$50),'All Statement of strategy (D)'!$B938,"")</f>
        <v/>
      </c>
      <c r="H938" s="585" t="str">
        <f ca="1">IF(AND(OR('Reconciliation report'!$E$104=RefData!$B$8,'Reconciliation report'!$E$9=RefData!$B$5),'Reconciliation report'!$E$122=RefData!$B$50),'All Statement of strategy (D)'!$B938,"")</f>
        <v/>
      </c>
      <c r="I938" s="595" t="str">
        <f ca="1">IF($C$1=RefData!$B$418,'All Statement of strategy (D)'!$E938,IF('All Statement of strategy (D)'!$C$1=RefData!$B$419,'All Statement of strategy (D)'!$F938,IF('All Statement of strategy (D)'!$C$1=RefData!$B$420,'All Statement of strategy (D)'!$G938,IF('All Statement of strategy (D)'!$C$1=RefData!$B$421,'All Statement of strategy (D)'!$H938," "))))</f>
        <v xml:space="preserve"> </v>
      </c>
    </row>
    <row r="939" spans="1:9">
      <c r="A939" s="584" t="s">
        <v>2314</v>
      </c>
      <c r="B939" s="621" t="str">
        <f ca="1">TEXT('Reconciliation report'!$E$358,RefData!$B$423)</f>
        <v/>
      </c>
      <c r="E939" s="585" t="str">
        <f ca="1">IF(AND(OR('Reconciliation report'!$E$104=RefData!$B$8,'Reconciliation report'!$E$9=RefData!$B$5),'Reconciliation report'!$E$122=RefData!$B$50),'All Statement of strategy (D)'!$B939,"")</f>
        <v/>
      </c>
      <c r="F939" s="585" t="str">
        <f ca="1">IF(AND(OR('Reconciliation report'!$E$104=RefData!$B$8,'Reconciliation report'!$E$9=RefData!$B$5),'Reconciliation report'!$E$122=RefData!$B$50),'All Statement of strategy (D)'!$B939,"")</f>
        <v/>
      </c>
      <c r="G939" s="585" t="str">
        <f ca="1">IF(AND(OR('Reconciliation report'!$E$104=RefData!$B$8,'Reconciliation report'!$E$9=RefData!$B$5),'Reconciliation report'!$E$122=RefData!$B$50),'All Statement of strategy (D)'!$B939,"")</f>
        <v/>
      </c>
      <c r="H939" s="585" t="str">
        <f ca="1">IF(AND(OR('Reconciliation report'!$E$104=RefData!$B$8,'Reconciliation report'!$E$9=RefData!$B$5),'Reconciliation report'!$E$122=RefData!$B$50),'All Statement of strategy (D)'!$B939,"")</f>
        <v/>
      </c>
      <c r="I939" s="595" t="str">
        <f ca="1">IF($C$1=RefData!$B$418,'All Statement of strategy (D)'!$E939,IF('All Statement of strategy (D)'!$C$1=RefData!$B$419,'All Statement of strategy (D)'!$F939,IF('All Statement of strategy (D)'!$C$1=RefData!$B$420,'All Statement of strategy (D)'!$G939,IF('All Statement of strategy (D)'!$C$1=RefData!$B$421,'All Statement of strategy (D)'!$H939," "))))</f>
        <v xml:space="preserve"> </v>
      </c>
    </row>
    <row r="940" spans="1:9">
      <c r="A940" s="584" t="s">
        <v>2315</v>
      </c>
      <c r="B940" s="621" t="str">
        <f ca="1">TEXT('Reconciliation report'!$E$359,RefData!$B$423)</f>
        <v/>
      </c>
      <c r="E940" s="585" t="str">
        <f ca="1">IF(AND(OR('Reconciliation report'!$E$104=RefData!$B$8,'Reconciliation report'!$E$9=RefData!$B$5),'Reconciliation report'!$E$122=RefData!$B$50),'All Statement of strategy (D)'!$B940,"")</f>
        <v/>
      </c>
      <c r="F940" s="585" t="str">
        <f ca="1">IF(AND(OR('Reconciliation report'!$E$104=RefData!$B$8,'Reconciliation report'!$E$9=RefData!$B$5),'Reconciliation report'!$E$122=RefData!$B$50),'All Statement of strategy (D)'!$B940,"")</f>
        <v/>
      </c>
      <c r="G940" s="585" t="str">
        <f ca="1">IF(AND(OR('Reconciliation report'!$E$104=RefData!$B$8,'Reconciliation report'!$E$9=RefData!$B$5),'Reconciliation report'!$E$122=RefData!$B$50),'All Statement of strategy (D)'!$B940,"")</f>
        <v/>
      </c>
      <c r="H940" s="585" t="str">
        <f ca="1">IF(AND(OR('Reconciliation report'!$E$104=RefData!$B$8,'Reconciliation report'!$E$9=RefData!$B$5),'Reconciliation report'!$E$122=RefData!$B$50),'All Statement of strategy (D)'!$B940,"")</f>
        <v/>
      </c>
      <c r="I940" s="595" t="str">
        <f ca="1">IF($C$1=RefData!$B$418,'All Statement of strategy (D)'!$E940,IF('All Statement of strategy (D)'!$C$1=RefData!$B$419,'All Statement of strategy (D)'!$F940,IF('All Statement of strategy (D)'!$C$1=RefData!$B$420,'All Statement of strategy (D)'!$G940,IF('All Statement of strategy (D)'!$C$1=RefData!$B$421,'All Statement of strategy (D)'!$H940," "))))</f>
        <v xml:space="preserve"> </v>
      </c>
    </row>
    <row r="941" spans="1:9">
      <c r="A941" s="584" t="s">
        <v>2316</v>
      </c>
      <c r="B941" s="621" t="str">
        <f ca="1">TEXT('Reconciliation report'!$E$360,RefData!$B$423)</f>
        <v/>
      </c>
      <c r="E941" s="585" t="str">
        <f ca="1">IF(AND(OR('Reconciliation report'!$E$104=RefData!$B$8,'Reconciliation report'!$E$9=RefData!$B$5),'Reconciliation report'!$E$122=RefData!$B$50),'All Statement of strategy (D)'!$B941,"")</f>
        <v/>
      </c>
      <c r="F941" s="585" t="str">
        <f ca="1">IF(AND(OR('Reconciliation report'!$E$104=RefData!$B$8,'Reconciliation report'!$E$9=RefData!$B$5),'Reconciliation report'!$E$122=RefData!$B$50),'All Statement of strategy (D)'!$B941,"")</f>
        <v/>
      </c>
      <c r="G941" s="585" t="str">
        <f ca="1">IF(AND(OR('Reconciliation report'!$E$104=RefData!$B$8,'Reconciliation report'!$E$9=RefData!$B$5),'Reconciliation report'!$E$122=RefData!$B$50),'All Statement of strategy (D)'!$B941,"")</f>
        <v/>
      </c>
      <c r="H941" s="585" t="str">
        <f ca="1">IF(AND(OR('Reconciliation report'!$E$104=RefData!$B$8,'Reconciliation report'!$E$9=RefData!$B$5),'Reconciliation report'!$E$122=RefData!$B$50),'All Statement of strategy (D)'!$B941,"")</f>
        <v/>
      </c>
      <c r="I941" s="595" t="str">
        <f ca="1">IF($C$1=RefData!$B$418,'All Statement of strategy (D)'!$E941,IF('All Statement of strategy (D)'!$C$1=RefData!$B$419,'All Statement of strategy (D)'!$F941,IF('All Statement of strategy (D)'!$C$1=RefData!$B$420,'All Statement of strategy (D)'!$G941,IF('All Statement of strategy (D)'!$C$1=RefData!$B$421,'All Statement of strategy (D)'!$H941," "))))</f>
        <v xml:space="preserve"> </v>
      </c>
    </row>
    <row r="942" spans="1:9">
      <c r="A942" s="584" t="s">
        <v>2317</v>
      </c>
      <c r="B942" s="621" t="str">
        <f ca="1">TEXT('Reconciliation report'!$E$361,RefData!$B$423)</f>
        <v/>
      </c>
      <c r="E942" s="585" t="str">
        <f ca="1">IF(AND(OR('Reconciliation report'!$E$104=RefData!$B$8,'Reconciliation report'!$E$9=RefData!$B$5),'Reconciliation report'!$E$122=RefData!$B$50),'All Statement of strategy (D)'!$B942,"")</f>
        <v/>
      </c>
      <c r="F942" s="585" t="str">
        <f ca="1">IF(AND(OR('Reconciliation report'!$E$104=RefData!$B$8,'Reconciliation report'!$E$9=RefData!$B$5),'Reconciliation report'!$E$122=RefData!$B$50),'All Statement of strategy (D)'!$B942,"")</f>
        <v/>
      </c>
      <c r="G942" s="585" t="str">
        <f ca="1">IF(AND(OR('Reconciliation report'!$E$104=RefData!$B$8,'Reconciliation report'!$E$9=RefData!$B$5),'Reconciliation report'!$E$122=RefData!$B$50),'All Statement of strategy (D)'!$B942,"")</f>
        <v/>
      </c>
      <c r="H942" s="585" t="str">
        <f ca="1">IF(AND(OR('Reconciliation report'!$E$104=RefData!$B$8,'Reconciliation report'!$E$9=RefData!$B$5),'Reconciliation report'!$E$122=RefData!$B$50),'All Statement of strategy (D)'!$B942,"")</f>
        <v/>
      </c>
      <c r="I942" s="595" t="str">
        <f ca="1">IF($C$1=RefData!$B$418,'All Statement of strategy (D)'!$E942,IF('All Statement of strategy (D)'!$C$1=RefData!$B$419,'All Statement of strategy (D)'!$F942,IF('All Statement of strategy (D)'!$C$1=RefData!$B$420,'All Statement of strategy (D)'!$G942,IF('All Statement of strategy (D)'!$C$1=RefData!$B$421,'All Statement of strategy (D)'!$H942," "))))</f>
        <v xml:space="preserve"> </v>
      </c>
    </row>
    <row r="943" spans="1:9">
      <c r="A943" s="584" t="s">
        <v>2318</v>
      </c>
      <c r="B943" s="621" t="str">
        <f ca="1">TEXT('Reconciliation report'!$E$362,RefData!$B$423)</f>
        <v/>
      </c>
      <c r="E943" s="585" t="str">
        <f ca="1">IF(AND(OR('Reconciliation report'!$E$104=RefData!$B$8,'Reconciliation report'!$E$9=RefData!$B$5),'Reconciliation report'!$E$122=RefData!$B$50),'All Statement of strategy (D)'!$B943,"")</f>
        <v/>
      </c>
      <c r="F943" s="585" t="str">
        <f ca="1">IF(AND(OR('Reconciliation report'!$E$104=RefData!$B$8,'Reconciliation report'!$E$9=RefData!$B$5),'Reconciliation report'!$E$122=RefData!$B$50),'All Statement of strategy (D)'!$B943,"")</f>
        <v/>
      </c>
      <c r="G943" s="585" t="str">
        <f ca="1">IF(AND(OR('Reconciliation report'!$E$104=RefData!$B$8,'Reconciliation report'!$E$9=RefData!$B$5),'Reconciliation report'!$E$122=RefData!$B$50),'All Statement of strategy (D)'!$B943,"")</f>
        <v/>
      </c>
      <c r="H943" s="585" t="str">
        <f ca="1">IF(AND(OR('Reconciliation report'!$E$104=RefData!$B$8,'Reconciliation report'!$E$9=RefData!$B$5),'Reconciliation report'!$E$122=RefData!$B$50),'All Statement of strategy (D)'!$B943,"")</f>
        <v/>
      </c>
      <c r="I943" s="595" t="str">
        <f ca="1">IF($C$1=RefData!$B$418,'All Statement of strategy (D)'!$E943,IF('All Statement of strategy (D)'!$C$1=RefData!$B$419,'All Statement of strategy (D)'!$F943,IF('All Statement of strategy (D)'!$C$1=RefData!$B$420,'All Statement of strategy (D)'!$G943,IF('All Statement of strategy (D)'!$C$1=RefData!$B$421,'All Statement of strategy (D)'!$H943," "))))</f>
        <v xml:space="preserve"> </v>
      </c>
    </row>
    <row r="944" spans="1:9">
      <c r="A944" s="584" t="s">
        <v>2319</v>
      </c>
      <c r="B944" s="621" t="str">
        <f ca="1">TEXT('Reconciliation report'!$E$363,RefData!$B$423)</f>
        <v/>
      </c>
      <c r="E944" s="585" t="str">
        <f ca="1">IF(AND(OR('Reconciliation report'!$E$104=RefData!$B$8,'Reconciliation report'!$E$9=RefData!$B$5),'Reconciliation report'!$E$122=RefData!$B$50),'All Statement of strategy (D)'!$B944,"")</f>
        <v/>
      </c>
      <c r="F944" s="585" t="str">
        <f ca="1">IF(AND(OR('Reconciliation report'!$E$104=RefData!$B$8,'Reconciliation report'!$E$9=RefData!$B$5),'Reconciliation report'!$E$122=RefData!$B$50),'All Statement of strategy (D)'!$B944,"")</f>
        <v/>
      </c>
      <c r="G944" s="585" t="str">
        <f ca="1">IF(AND(OR('Reconciliation report'!$E$104=RefData!$B$8,'Reconciliation report'!$E$9=RefData!$B$5),'Reconciliation report'!$E$122=RefData!$B$50),'All Statement of strategy (D)'!$B944,"")</f>
        <v/>
      </c>
      <c r="H944" s="585" t="str">
        <f ca="1">IF(AND(OR('Reconciliation report'!$E$104=RefData!$B$8,'Reconciliation report'!$E$9=RefData!$B$5),'Reconciliation report'!$E$122=RefData!$B$50),'All Statement of strategy (D)'!$B944,"")</f>
        <v/>
      </c>
      <c r="I944" s="595" t="str">
        <f ca="1">IF($C$1=RefData!$B$418,'All Statement of strategy (D)'!$E944,IF('All Statement of strategy (D)'!$C$1=RefData!$B$419,'All Statement of strategy (D)'!$F944,IF('All Statement of strategy (D)'!$C$1=RefData!$B$420,'All Statement of strategy (D)'!$G944,IF('All Statement of strategy (D)'!$C$1=RefData!$B$421,'All Statement of strategy (D)'!$H944," "))))</f>
        <v xml:space="preserve"> </v>
      </c>
    </row>
    <row r="945" spans="1:9">
      <c r="A945" s="584" t="s">
        <v>2320</v>
      </c>
      <c r="B945" s="621" t="str">
        <f ca="1">TEXT('Reconciliation report'!$E$364,RefData!$B$423)</f>
        <v/>
      </c>
      <c r="E945" s="585" t="str">
        <f ca="1">IF(AND(OR('Reconciliation report'!$E$104=RefData!$B$8,'Reconciliation report'!$E$9=RefData!$B$5),'Reconciliation report'!$E$122=RefData!$B$50),'All Statement of strategy (D)'!$B945,"")</f>
        <v/>
      </c>
      <c r="F945" s="585" t="str">
        <f ca="1">IF(AND(OR('Reconciliation report'!$E$104=RefData!$B$8,'Reconciliation report'!$E$9=RefData!$B$5),'Reconciliation report'!$E$122=RefData!$B$50),'All Statement of strategy (D)'!$B945,"")</f>
        <v/>
      </c>
      <c r="G945" s="585" t="str">
        <f ca="1">IF(AND(OR('Reconciliation report'!$E$104=RefData!$B$8,'Reconciliation report'!$E$9=RefData!$B$5),'Reconciliation report'!$E$122=RefData!$B$50),'All Statement of strategy (D)'!$B945,"")</f>
        <v/>
      </c>
      <c r="H945" s="585" t="str">
        <f ca="1">IF(AND(OR('Reconciliation report'!$E$104=RefData!$B$8,'Reconciliation report'!$E$9=RefData!$B$5),'Reconciliation report'!$E$122=RefData!$B$50),'All Statement of strategy (D)'!$B945,"")</f>
        <v/>
      </c>
      <c r="I945" s="595" t="str">
        <f ca="1">IF($C$1=RefData!$B$418,'All Statement of strategy (D)'!$E945,IF('All Statement of strategy (D)'!$C$1=RefData!$B$419,'All Statement of strategy (D)'!$F945,IF('All Statement of strategy (D)'!$C$1=RefData!$B$420,'All Statement of strategy (D)'!$G945,IF('All Statement of strategy (D)'!$C$1=RefData!$B$421,'All Statement of strategy (D)'!$H945," "))))</f>
        <v xml:space="preserve"> </v>
      </c>
    </row>
    <row r="946" spans="1:9">
      <c r="A946" s="584" t="s">
        <v>2321</v>
      </c>
      <c r="B946" s="621" t="str">
        <f ca="1">TEXT('Reconciliation report'!$E$365,RefData!$B$423)</f>
        <v/>
      </c>
      <c r="E946" s="585" t="str">
        <f ca="1">IF(AND(OR('Reconciliation report'!$E$104=RefData!$B$8,'Reconciliation report'!$E$9=RefData!$B$5),'Reconciliation report'!$E$122=RefData!$B$50),'All Statement of strategy (D)'!$B946,"")</f>
        <v/>
      </c>
      <c r="F946" s="585" t="str">
        <f ca="1">IF(AND(OR('Reconciliation report'!$E$104=RefData!$B$8,'Reconciliation report'!$E$9=RefData!$B$5),'Reconciliation report'!$E$122=RefData!$B$50),'All Statement of strategy (D)'!$B946,"")</f>
        <v/>
      </c>
      <c r="G946" s="585" t="str">
        <f ca="1">IF(AND(OR('Reconciliation report'!$E$104=RefData!$B$8,'Reconciliation report'!$E$9=RefData!$B$5),'Reconciliation report'!$E$122=RefData!$B$50),'All Statement of strategy (D)'!$B946,"")</f>
        <v/>
      </c>
      <c r="H946" s="585" t="str">
        <f ca="1">IF(AND(OR('Reconciliation report'!$E$104=RefData!$B$8,'Reconciliation report'!$E$9=RefData!$B$5),'Reconciliation report'!$E$122=RefData!$B$50),'All Statement of strategy (D)'!$B946,"")</f>
        <v/>
      </c>
      <c r="I946" s="595" t="str">
        <f ca="1">IF($C$1=RefData!$B$418,'All Statement of strategy (D)'!$E946,IF('All Statement of strategy (D)'!$C$1=RefData!$B$419,'All Statement of strategy (D)'!$F946,IF('All Statement of strategy (D)'!$C$1=RefData!$B$420,'All Statement of strategy (D)'!$G946,IF('All Statement of strategy (D)'!$C$1=RefData!$B$421,'All Statement of strategy (D)'!$H946," "))))</f>
        <v xml:space="preserve"> </v>
      </c>
    </row>
    <row r="947" spans="1:9">
      <c r="A947" s="584" t="s">
        <v>2322</v>
      </c>
      <c r="B947" s="621" t="str">
        <f ca="1">TEXT('Reconciliation report'!$E$366,RefData!$B$423)</f>
        <v/>
      </c>
      <c r="E947" s="585" t="str">
        <f ca="1">IF(AND(OR('Reconciliation report'!$E$104=RefData!$B$8,'Reconciliation report'!$E$9=RefData!$B$5),'Reconciliation report'!$E$122=RefData!$B$50),'All Statement of strategy (D)'!$B947,"")</f>
        <v/>
      </c>
      <c r="F947" s="585" t="str">
        <f ca="1">IF(AND(OR('Reconciliation report'!$E$104=RefData!$B$8,'Reconciliation report'!$E$9=RefData!$B$5),'Reconciliation report'!$E$122=RefData!$B$50),'All Statement of strategy (D)'!$B947,"")</f>
        <v/>
      </c>
      <c r="G947" s="585" t="str">
        <f ca="1">IF(AND(OR('Reconciliation report'!$E$104=RefData!$B$8,'Reconciliation report'!$E$9=RefData!$B$5),'Reconciliation report'!$E$122=RefData!$B$50),'All Statement of strategy (D)'!$B947,"")</f>
        <v/>
      </c>
      <c r="H947" s="585" t="str">
        <f ca="1">IF(AND(OR('Reconciliation report'!$E$104=RefData!$B$8,'Reconciliation report'!$E$9=RefData!$B$5),'Reconciliation report'!$E$122=RefData!$B$50),'All Statement of strategy (D)'!$B947,"")</f>
        <v/>
      </c>
      <c r="I947" s="595" t="str">
        <f ca="1">IF($C$1=RefData!$B$418,'All Statement of strategy (D)'!$E947,IF('All Statement of strategy (D)'!$C$1=RefData!$B$419,'All Statement of strategy (D)'!$F947,IF('All Statement of strategy (D)'!$C$1=RefData!$B$420,'All Statement of strategy (D)'!$G947,IF('All Statement of strategy (D)'!$C$1=RefData!$B$421,'All Statement of strategy (D)'!$H947," "))))</f>
        <v xml:space="preserve"> </v>
      </c>
    </row>
    <row r="948" spans="1:9">
      <c r="A948" s="584" t="s">
        <v>2323</v>
      </c>
      <c r="B948" s="621" t="str">
        <f ca="1">TEXT('Reconciliation report'!$E$367,RefData!$B$423)</f>
        <v/>
      </c>
      <c r="E948" s="585" t="str">
        <f ca="1">IF(AND(OR('Reconciliation report'!$E$104=RefData!$B$8,'Reconciliation report'!$E$9=RefData!$B$5),'Reconciliation report'!$E$122=RefData!$B$50),'All Statement of strategy (D)'!$B948,"")</f>
        <v/>
      </c>
      <c r="F948" s="585" t="str">
        <f ca="1">IF(AND(OR('Reconciliation report'!$E$104=RefData!$B$8,'Reconciliation report'!$E$9=RefData!$B$5),'Reconciliation report'!$E$122=RefData!$B$50),'All Statement of strategy (D)'!$B948,"")</f>
        <v/>
      </c>
      <c r="G948" s="585" t="str">
        <f ca="1">IF(AND(OR('Reconciliation report'!$E$104=RefData!$B$8,'Reconciliation report'!$E$9=RefData!$B$5),'Reconciliation report'!$E$122=RefData!$B$50),'All Statement of strategy (D)'!$B948,"")</f>
        <v/>
      </c>
      <c r="H948" s="585" t="str">
        <f ca="1">IF(AND(OR('Reconciliation report'!$E$104=RefData!$B$8,'Reconciliation report'!$E$9=RefData!$B$5),'Reconciliation report'!$E$122=RefData!$B$50),'All Statement of strategy (D)'!$B948,"")</f>
        <v/>
      </c>
      <c r="I948" s="595" t="str">
        <f ca="1">IF($C$1=RefData!$B$418,'All Statement of strategy (D)'!$E948,IF('All Statement of strategy (D)'!$C$1=RefData!$B$419,'All Statement of strategy (D)'!$F948,IF('All Statement of strategy (D)'!$C$1=RefData!$B$420,'All Statement of strategy (D)'!$G948,IF('All Statement of strategy (D)'!$C$1=RefData!$B$421,'All Statement of strategy (D)'!$H948," "))))</f>
        <v xml:space="preserve"> </v>
      </c>
    </row>
    <row r="949" spans="1:9">
      <c r="A949" s="584" t="s">
        <v>2324</v>
      </c>
      <c r="B949" s="621" t="str">
        <f ca="1">TEXT('Reconciliation report'!$E$368,RefData!$B$423)</f>
        <v/>
      </c>
      <c r="E949" s="585" t="str">
        <f ca="1">IF(AND(OR('Reconciliation report'!$E$104=RefData!$B$8,'Reconciliation report'!$E$9=RefData!$B$5),'Reconciliation report'!$E$122=RefData!$B$50),'All Statement of strategy (D)'!$B949,"")</f>
        <v/>
      </c>
      <c r="F949" s="585" t="str">
        <f ca="1">IF(AND(OR('Reconciliation report'!$E$104=RefData!$B$8,'Reconciliation report'!$E$9=RefData!$B$5),'Reconciliation report'!$E$122=RefData!$B$50),'All Statement of strategy (D)'!$B949,"")</f>
        <v/>
      </c>
      <c r="G949" s="585" t="str">
        <f ca="1">IF(AND(OR('Reconciliation report'!$E$104=RefData!$B$8,'Reconciliation report'!$E$9=RefData!$B$5),'Reconciliation report'!$E$122=RefData!$B$50),'All Statement of strategy (D)'!$B949,"")</f>
        <v/>
      </c>
      <c r="H949" s="585" t="str">
        <f ca="1">IF(AND(OR('Reconciliation report'!$E$104=RefData!$B$8,'Reconciliation report'!$E$9=RefData!$B$5),'Reconciliation report'!$E$122=RefData!$B$50),'All Statement of strategy (D)'!$B949,"")</f>
        <v/>
      </c>
      <c r="I949" s="595" t="str">
        <f ca="1">IF($C$1=RefData!$B$418,'All Statement of strategy (D)'!$E949,IF('All Statement of strategy (D)'!$C$1=RefData!$B$419,'All Statement of strategy (D)'!$F949,IF('All Statement of strategy (D)'!$C$1=RefData!$B$420,'All Statement of strategy (D)'!$G949,IF('All Statement of strategy (D)'!$C$1=RefData!$B$421,'All Statement of strategy (D)'!$H949," "))))</f>
        <v xml:space="preserve"> </v>
      </c>
    </row>
    <row r="950" spans="1:9">
      <c r="A950" s="584" t="s">
        <v>2325</v>
      </c>
      <c r="B950" s="621" t="str">
        <f ca="1">TEXT('Reconciliation report'!$E$369,RefData!$B$423)</f>
        <v/>
      </c>
      <c r="E950" s="585" t="str">
        <f ca="1">IF(AND(OR('Reconciliation report'!$E$104=RefData!$B$8,'Reconciliation report'!$E$9=RefData!$B$5),'Reconciliation report'!$E$122=RefData!$B$50),'All Statement of strategy (D)'!$B950,"")</f>
        <v/>
      </c>
      <c r="F950" s="585" t="str">
        <f ca="1">IF(AND(OR('Reconciliation report'!$E$104=RefData!$B$8,'Reconciliation report'!$E$9=RefData!$B$5),'Reconciliation report'!$E$122=RefData!$B$50),'All Statement of strategy (D)'!$B950,"")</f>
        <v/>
      </c>
      <c r="G950" s="585" t="str">
        <f ca="1">IF(AND(OR('Reconciliation report'!$E$104=RefData!$B$8,'Reconciliation report'!$E$9=RefData!$B$5),'Reconciliation report'!$E$122=RefData!$B$50),'All Statement of strategy (D)'!$B950,"")</f>
        <v/>
      </c>
      <c r="H950" s="585" t="str">
        <f ca="1">IF(AND(OR('Reconciliation report'!$E$104=RefData!$B$8,'Reconciliation report'!$E$9=RefData!$B$5),'Reconciliation report'!$E$122=RefData!$B$50),'All Statement of strategy (D)'!$B950,"")</f>
        <v/>
      </c>
      <c r="I950" s="595" t="str">
        <f ca="1">IF($C$1=RefData!$B$418,'All Statement of strategy (D)'!$E950,IF('All Statement of strategy (D)'!$C$1=RefData!$B$419,'All Statement of strategy (D)'!$F950,IF('All Statement of strategy (D)'!$C$1=RefData!$B$420,'All Statement of strategy (D)'!$G950,IF('All Statement of strategy (D)'!$C$1=RefData!$B$421,'All Statement of strategy (D)'!$H950," "))))</f>
        <v xml:space="preserve"> </v>
      </c>
    </row>
    <row r="951" spans="1:9">
      <c r="A951" s="584" t="s">
        <v>2326</v>
      </c>
      <c r="B951" s="621" t="str">
        <f ca="1">TEXT('Reconciliation report'!$E$370,RefData!$B$423)</f>
        <v/>
      </c>
      <c r="E951" s="585" t="str">
        <f ca="1">IF(AND(OR('Reconciliation report'!$E$104=RefData!$B$8,'Reconciliation report'!$E$9=RefData!$B$5),'Reconciliation report'!$E$122=RefData!$B$50),'All Statement of strategy (D)'!$B951,"")</f>
        <v/>
      </c>
      <c r="F951" s="585" t="str">
        <f ca="1">IF(AND(OR('Reconciliation report'!$E$104=RefData!$B$8,'Reconciliation report'!$E$9=RefData!$B$5),'Reconciliation report'!$E$122=RefData!$B$50),'All Statement of strategy (D)'!$B951,"")</f>
        <v/>
      </c>
      <c r="G951" s="585" t="str">
        <f ca="1">IF(AND(OR('Reconciliation report'!$E$104=RefData!$B$8,'Reconciliation report'!$E$9=RefData!$B$5),'Reconciliation report'!$E$122=RefData!$B$50),'All Statement of strategy (D)'!$B951,"")</f>
        <v/>
      </c>
      <c r="H951" s="585" t="str">
        <f ca="1">IF(AND(OR('Reconciliation report'!$E$104=RefData!$B$8,'Reconciliation report'!$E$9=RefData!$B$5),'Reconciliation report'!$E$122=RefData!$B$50),'All Statement of strategy (D)'!$B951,"")</f>
        <v/>
      </c>
      <c r="I951" s="595" t="str">
        <f ca="1">IF($C$1=RefData!$B$418,'All Statement of strategy (D)'!$E951,IF('All Statement of strategy (D)'!$C$1=RefData!$B$419,'All Statement of strategy (D)'!$F951,IF('All Statement of strategy (D)'!$C$1=RefData!$B$420,'All Statement of strategy (D)'!$G951,IF('All Statement of strategy (D)'!$C$1=RefData!$B$421,'All Statement of strategy (D)'!$H951," "))))</f>
        <v xml:space="preserve"> </v>
      </c>
    </row>
    <row r="952" spans="1:9">
      <c r="A952" s="584" t="s">
        <v>2327</v>
      </c>
      <c r="B952" s="621" t="str">
        <f ca="1">TEXT('Reconciliation report'!$E$371,RefData!$B$423)</f>
        <v/>
      </c>
      <c r="E952" s="585" t="str">
        <f ca="1">IF(AND(OR('Reconciliation report'!$E$104=RefData!$B$8,'Reconciliation report'!$E$9=RefData!$B$5),'Reconciliation report'!$E$122=RefData!$B$50),'All Statement of strategy (D)'!$B952,"")</f>
        <v/>
      </c>
      <c r="F952" s="585" t="str">
        <f ca="1">IF(AND(OR('Reconciliation report'!$E$104=RefData!$B$8,'Reconciliation report'!$E$9=RefData!$B$5),'Reconciliation report'!$E$122=RefData!$B$50),'All Statement of strategy (D)'!$B952,"")</f>
        <v/>
      </c>
      <c r="G952" s="585" t="str">
        <f ca="1">IF(AND(OR('Reconciliation report'!$E$104=RefData!$B$8,'Reconciliation report'!$E$9=RefData!$B$5),'Reconciliation report'!$E$122=RefData!$B$50),'All Statement of strategy (D)'!$B952,"")</f>
        <v/>
      </c>
      <c r="H952" s="585" t="str">
        <f ca="1">IF(AND(OR('Reconciliation report'!$E$104=RefData!$B$8,'Reconciliation report'!$E$9=RefData!$B$5),'Reconciliation report'!$E$122=RefData!$B$50),'All Statement of strategy (D)'!$B952,"")</f>
        <v/>
      </c>
      <c r="I952" s="595" t="str">
        <f ca="1">IF($C$1=RefData!$B$418,'All Statement of strategy (D)'!$E952,IF('All Statement of strategy (D)'!$C$1=RefData!$B$419,'All Statement of strategy (D)'!$F952,IF('All Statement of strategy (D)'!$C$1=RefData!$B$420,'All Statement of strategy (D)'!$G952,IF('All Statement of strategy (D)'!$C$1=RefData!$B$421,'All Statement of strategy (D)'!$H952," "))))</f>
        <v xml:space="preserve"> </v>
      </c>
    </row>
    <row r="953" spans="1:9">
      <c r="A953" s="584" t="s">
        <v>2328</v>
      </c>
      <c r="B953" s="621" t="str">
        <f ca="1">TEXT('Reconciliation report'!$E$372,RefData!$B$423)</f>
        <v/>
      </c>
      <c r="E953" s="585" t="str">
        <f ca="1">IF(AND(OR('Reconciliation report'!$E$104=RefData!$B$8,'Reconciliation report'!$E$9=RefData!$B$5),'Reconciliation report'!$E$122=RefData!$B$50),'All Statement of strategy (D)'!$B953,"")</f>
        <v/>
      </c>
      <c r="F953" s="585" t="str">
        <f ca="1">IF(AND(OR('Reconciliation report'!$E$104=RefData!$B$8,'Reconciliation report'!$E$9=RefData!$B$5),'Reconciliation report'!$E$122=RefData!$B$50),'All Statement of strategy (D)'!$B953,"")</f>
        <v/>
      </c>
      <c r="G953" s="585" t="str">
        <f ca="1">IF(AND(OR('Reconciliation report'!$E$104=RefData!$B$8,'Reconciliation report'!$E$9=RefData!$B$5),'Reconciliation report'!$E$122=RefData!$B$50),'All Statement of strategy (D)'!$B953,"")</f>
        <v/>
      </c>
      <c r="H953" s="585" t="str">
        <f ca="1">IF(AND(OR('Reconciliation report'!$E$104=RefData!$B$8,'Reconciliation report'!$E$9=RefData!$B$5),'Reconciliation report'!$E$122=RefData!$B$50),'All Statement of strategy (D)'!$B953,"")</f>
        <v/>
      </c>
      <c r="I953" s="595" t="str">
        <f ca="1">IF($C$1=RefData!$B$418,'All Statement of strategy (D)'!$E953,IF('All Statement of strategy (D)'!$C$1=RefData!$B$419,'All Statement of strategy (D)'!$F953,IF('All Statement of strategy (D)'!$C$1=RefData!$B$420,'All Statement of strategy (D)'!$G953,IF('All Statement of strategy (D)'!$C$1=RefData!$B$421,'All Statement of strategy (D)'!$H953," "))))</f>
        <v xml:space="preserve"> </v>
      </c>
    </row>
    <row r="954" spans="1:9" ht="16" thickBot="1">
      <c r="A954" s="584" t="s">
        <v>2329</v>
      </c>
      <c r="B954" s="622" t="str">
        <f ca="1">TEXT('Reconciliation report'!$E$373,RefData!$B$423)</f>
        <v/>
      </c>
      <c r="C954" s="598"/>
      <c r="D954" s="598"/>
      <c r="E954" s="598" t="str">
        <f ca="1">IF(AND(OR('Reconciliation report'!$E$104=RefData!$B$8,'Reconciliation report'!$E$9=RefData!$B$5),'Reconciliation report'!$E$122=RefData!$B$50),'All Statement of strategy (D)'!$B954,"")</f>
        <v/>
      </c>
      <c r="F954" s="598" t="str">
        <f ca="1">IF(AND(OR('Reconciliation report'!$E$104=RefData!$B$8,'Reconciliation report'!$E$9=RefData!$B$5),'Reconciliation report'!$E$122=RefData!$B$50),'All Statement of strategy (D)'!$B954,"")</f>
        <v/>
      </c>
      <c r="G954" s="598" t="str">
        <f ca="1">IF(AND(OR('Reconciliation report'!$E$104=RefData!$B$8,'Reconciliation report'!$E$9=RefData!$B$5),'Reconciliation report'!$E$122=RefData!$B$50),'All Statement of strategy (D)'!$B954,"")</f>
        <v/>
      </c>
      <c r="H954" s="598" t="str">
        <f ca="1">IF(AND(OR('Reconciliation report'!$E$104=RefData!$B$8,'Reconciliation report'!$E$9=RefData!$B$5),'Reconciliation report'!$E$122=RefData!$B$50),'All Statement of strategy (D)'!$B954,"")</f>
        <v/>
      </c>
      <c r="I954" s="599" t="str">
        <f ca="1">IF($C$1=RefData!$B$418,'All Statement of strategy (D)'!$E954,IF('All Statement of strategy (D)'!$C$1=RefData!$B$419,'All Statement of strategy (D)'!$F954,IF('All Statement of strategy (D)'!$C$1=RefData!$B$420,'All Statement of strategy (D)'!$G954,IF('All Statement of strategy (D)'!$C$1=RefData!$B$421,'All Statement of strategy (D)'!$H954," "))))</f>
        <v xml:space="preserve"> </v>
      </c>
    </row>
    <row r="955" spans="1:9">
      <c r="B955" s="594" t="s">
        <v>2330</v>
      </c>
      <c r="C955" s="585" t="s">
        <v>2331</v>
      </c>
      <c r="E955" s="585" t="str">
        <f>$B955&amp;$C955</f>
        <v xml:space="preserve">Appendix 2: Annual scheme cash flows table  </v>
      </c>
      <c r="F955" s="585" t="str">
        <f>$B955&amp;$C955</f>
        <v xml:space="preserve">Appendix 2: Annual scheme cash flows table  </v>
      </c>
      <c r="G955" s="585" t="str">
        <f>$B955&amp;$C955</f>
        <v xml:space="preserve">Appendix 2: Annual scheme cash flows table  </v>
      </c>
      <c r="H955" s="585" t="str">
        <f>$B955&amp;$C955</f>
        <v xml:space="preserve">Appendix 2: Annual scheme cash flows table  </v>
      </c>
      <c r="I955" s="595" t="str">
        <f ca="1">IF($C$1=RefData!$B$418,'All Statement of strategy (D)'!$E955,IF('All Statement of strategy (D)'!$C$1=RefData!$B$419,'All Statement of strategy (D)'!$F955,IF('All Statement of strategy (D)'!$C$1=RefData!$B$420,'All Statement of strategy (D)'!$G955,IF('All Statement of strategy (D)'!$C$1=RefData!$B$421,'All Statement of strategy (D)'!$H955," "))))</f>
        <v xml:space="preserve"> </v>
      </c>
    </row>
    <row r="956" spans="1:9">
      <c r="B956" s="585" t="str">
        <f>RefData!$B$428</f>
        <v>Based on the information provided, Appendix 2 is not required.</v>
      </c>
      <c r="E956" s="585" t="str">
        <f ca="1">IF(AND(NOT('Reconciliation report'!$E$9=RefData!$B$5),NOT('Reconciliation report'!$E$374=RefData!$B$25)),$B956&amp;$C956,"")</f>
        <v>Based on the information provided, Appendix 2 is not required.</v>
      </c>
      <c r="F956" s="585" t="str">
        <f ca="1">IF(AND(NOT('Reconciliation report'!$E$9=RefData!$B$5),NOT('Reconciliation report'!$E$374=RefData!$B$25)),$B956&amp;$C956,"")</f>
        <v>Based on the information provided, Appendix 2 is not required.</v>
      </c>
      <c r="G956" s="585" t="str">
        <f>$B956</f>
        <v>Based on the information provided, Appendix 2 is not required.</v>
      </c>
      <c r="H956" s="585" t="str">
        <f>$B956</f>
        <v>Based on the information provided, Appendix 2 is not required.</v>
      </c>
      <c r="I956" s="595" t="str">
        <f ca="1">IF($C$1=RefData!$B$418,'All Statement of strategy (D)'!$E956,IF('All Statement of strategy (D)'!$C$1=RefData!$B$419,'All Statement of strategy (D)'!$F956,IF('All Statement of strategy (D)'!$C$1=RefData!$B$420,'All Statement of strategy (D)'!$G956,IF('All Statement of strategy (D)'!$C$1=RefData!$B$421,'All Statement of strategy (D)'!$H956," "))))</f>
        <v xml:space="preserve"> </v>
      </c>
    </row>
    <row r="957" spans="1:9">
      <c r="B957" s="594" t="s">
        <v>2332</v>
      </c>
      <c r="C957" s="585" t="str">
        <f ca="1">IF('Reconciliation report'!$E$375=RefData!$B$27,"include ",IF('Reconciliation report'!$E$375=RefData!$B$28, "do not include ",""))</f>
        <v/>
      </c>
      <c r="D957" s="585" t="s">
        <v>2333</v>
      </c>
      <c r="E957" s="585" t="str">
        <f ca="1">IF(OR('Reconciliation report'!$E$9=RefData!$B$5,'Reconciliation report'!$E$374=RefData!$B$25),$B957&amp;$C957&amp;$D957,"")</f>
        <v/>
      </c>
      <c r="F957" s="585" t="str">
        <f ca="1">IF(OR('Reconciliation report'!$E$9=RefData!$B$5,'Reconciliation report'!$E$374=RefData!$B$25),$B957&amp;$C957&amp;$D957,"")</f>
        <v/>
      </c>
      <c r="G957" s="585" t="str">
        <f>""</f>
        <v/>
      </c>
      <c r="H957" s="585" t="str">
        <f>""</f>
        <v/>
      </c>
      <c r="I957" s="595" t="str">
        <f ca="1">IF($C$1=RefData!$B$418,'All Statement of strategy (D)'!$E957,IF('All Statement of strategy (D)'!$C$1=RefData!$B$419,'All Statement of strategy (D)'!$F957,IF('All Statement of strategy (D)'!$C$1=RefData!$B$420,'All Statement of strategy (D)'!$G957,IF('All Statement of strategy (D)'!$C$1=RefData!$B$421,'All Statement of strategy (D)'!$H957," "))))</f>
        <v xml:space="preserve"> </v>
      </c>
    </row>
    <row r="958" spans="1:9">
      <c r="B958" s="594" t="s">
        <v>2334</v>
      </c>
      <c r="E958" s="585" t="str">
        <f ca="1">IF(OR('Reconciliation report'!$E$9=RefData!$B$5,'Reconciliation report'!$E$374=RefData!$B$25),$B958&amp;$C958,"")</f>
        <v/>
      </c>
      <c r="F958" s="585" t="str">
        <f ca="1">IF(OR('Reconciliation report'!$E$9=RefData!$B$5,'Reconciliation report'!$E$374=RefData!$B$25),$B958&amp;$C958,"")</f>
        <v/>
      </c>
      <c r="G958" s="585" t="str">
        <f>""</f>
        <v/>
      </c>
      <c r="H958" s="585" t="str">
        <f>""</f>
        <v/>
      </c>
      <c r="I958" s="595" t="str">
        <f ca="1">IF($C$1=RefData!$B$418,'All Statement of strategy (D)'!$E958,IF('All Statement of strategy (D)'!$C$1=RefData!$B$419,'All Statement of strategy (D)'!$F958,IF('All Statement of strategy (D)'!$C$1=RefData!$B$420,'All Statement of strategy (D)'!$G958,IF('All Statement of strategy (D)'!$C$1=RefData!$B$421,'All Statement of strategy (D)'!$H958," "))))</f>
        <v xml:space="preserve"> </v>
      </c>
    </row>
    <row r="959" spans="1:9">
      <c r="B959" s="594" t="s">
        <v>2335</v>
      </c>
      <c r="E959" s="585" t="str">
        <f ca="1">IF(OR('Reconciliation report'!$E$9=RefData!$B$5,'Reconciliation report'!$E$374=RefData!$B$25),$B959&amp;$C959,"")</f>
        <v/>
      </c>
      <c r="F959" s="585" t="str">
        <f ca="1">IF(OR('Reconciliation report'!$E$9=RefData!$B$5,'Reconciliation report'!$E$374=RefData!$B$25),$B959&amp;$C959,"")</f>
        <v/>
      </c>
      <c r="G959" s="585" t="str">
        <f>""</f>
        <v/>
      </c>
      <c r="H959" s="585" t="str">
        <f>""</f>
        <v/>
      </c>
      <c r="I959" s="595" t="str">
        <f ca="1">IF($C$1=RefData!$B$418,'All Statement of strategy (D)'!$E959,IF('All Statement of strategy (D)'!$C$1=RefData!$B$419,'All Statement of strategy (D)'!$F959,IF('All Statement of strategy (D)'!$C$1=RefData!$B$420,'All Statement of strategy (D)'!$G959,IF('All Statement of strategy (D)'!$C$1=RefData!$B$421,'All Statement of strategy (D)'!$H959," "))))</f>
        <v xml:space="preserve"> </v>
      </c>
    </row>
    <row r="960" spans="1:9">
      <c r="B960" s="594">
        <v>1</v>
      </c>
      <c r="E960" s="585" t="str">
        <f ca="1">IF(OR('Reconciliation report'!$E$9=RefData!$B$5,'Reconciliation report'!$E$374=RefData!$B$25),$B960&amp;$C960,"")</f>
        <v/>
      </c>
      <c r="F960" s="585" t="str">
        <f ca="1">IF(OR('Reconciliation report'!$E$9=RefData!$B$5,'Reconciliation report'!$E$374=RefData!$B$25),$B960&amp;$C960,"")</f>
        <v/>
      </c>
      <c r="G960" s="585" t="str">
        <f>""</f>
        <v/>
      </c>
      <c r="H960" s="585" t="str">
        <f>""</f>
        <v/>
      </c>
      <c r="I960" s="595" t="str">
        <f ca="1">IF($C$1=RefData!$B$418,'All Statement of strategy (D)'!$E960,IF('All Statement of strategy (D)'!$C$1=RefData!$B$419,'All Statement of strategy (D)'!$F960,IF('All Statement of strategy (D)'!$C$1=RefData!$B$420,'All Statement of strategy (D)'!$G960,IF('All Statement of strategy (D)'!$C$1=RefData!$B$421,'All Statement of strategy (D)'!$H960," "))))</f>
        <v xml:space="preserve"> </v>
      </c>
    </row>
    <row r="961" spans="2:9">
      <c r="B961" s="594">
        <v>2</v>
      </c>
      <c r="E961" s="585" t="str">
        <f ca="1">IF(OR('Reconciliation report'!$E$9=RefData!$B$5,'Reconciliation report'!$E$374=RefData!$B$25),$B961&amp;$C961,"")</f>
        <v/>
      </c>
      <c r="F961" s="585" t="str">
        <f ca="1">IF(OR('Reconciliation report'!$E$9=RefData!$B$5,'Reconciliation report'!$E$374=RefData!$B$25),$B961&amp;$C961,"")</f>
        <v/>
      </c>
      <c r="G961" s="585" t="str">
        <f>""</f>
        <v/>
      </c>
      <c r="H961" s="585" t="str">
        <f>""</f>
        <v/>
      </c>
      <c r="I961" s="595" t="str">
        <f ca="1">IF($C$1=RefData!$B$418,'All Statement of strategy (D)'!$E961,IF('All Statement of strategy (D)'!$C$1=RefData!$B$419,'All Statement of strategy (D)'!$F961,IF('All Statement of strategy (D)'!$C$1=RefData!$B$420,'All Statement of strategy (D)'!$G961,IF('All Statement of strategy (D)'!$C$1=RefData!$B$421,'All Statement of strategy (D)'!$H961," "))))</f>
        <v xml:space="preserve"> </v>
      </c>
    </row>
    <row r="962" spans="2:9">
      <c r="B962" s="594">
        <v>3</v>
      </c>
      <c r="E962" s="585" t="str">
        <f ca="1">IF(OR('Reconciliation report'!$E$9=RefData!$B$5,'Reconciliation report'!$E$374=RefData!$B$25),$B962&amp;$C962,"")</f>
        <v/>
      </c>
      <c r="F962" s="585" t="str">
        <f ca="1">IF(OR('Reconciliation report'!$E$9=RefData!$B$5,'Reconciliation report'!$E$374=RefData!$B$25),$B962&amp;$C962,"")</f>
        <v/>
      </c>
      <c r="G962" s="585" t="str">
        <f>""</f>
        <v/>
      </c>
      <c r="H962" s="585" t="str">
        <f>""</f>
        <v/>
      </c>
      <c r="I962" s="595" t="str">
        <f ca="1">IF($C$1=RefData!$B$418,'All Statement of strategy (D)'!$E962,IF('All Statement of strategy (D)'!$C$1=RefData!$B$419,'All Statement of strategy (D)'!$F962,IF('All Statement of strategy (D)'!$C$1=RefData!$B$420,'All Statement of strategy (D)'!$G962,IF('All Statement of strategy (D)'!$C$1=RefData!$B$421,'All Statement of strategy (D)'!$H962," "))))</f>
        <v xml:space="preserve"> </v>
      </c>
    </row>
    <row r="963" spans="2:9">
      <c r="B963" s="594">
        <v>4</v>
      </c>
      <c r="E963" s="585" t="str">
        <f ca="1">IF(OR('Reconciliation report'!$E$9=RefData!$B$5,'Reconciliation report'!$E$374=RefData!$B$25),$B963&amp;$C963,"")</f>
        <v/>
      </c>
      <c r="F963" s="585" t="str">
        <f ca="1">IF(OR('Reconciliation report'!$E$9=RefData!$B$5,'Reconciliation report'!$E$374=RefData!$B$25),$B963&amp;$C963,"")</f>
        <v/>
      </c>
      <c r="G963" s="585" t="str">
        <f>""</f>
        <v/>
      </c>
      <c r="H963" s="585" t="str">
        <f>""</f>
        <v/>
      </c>
      <c r="I963" s="595" t="str">
        <f ca="1">IF($C$1=RefData!$B$418,'All Statement of strategy (D)'!$E963,IF('All Statement of strategy (D)'!$C$1=RefData!$B$419,'All Statement of strategy (D)'!$F963,IF('All Statement of strategy (D)'!$C$1=RefData!$B$420,'All Statement of strategy (D)'!$G963,IF('All Statement of strategy (D)'!$C$1=RefData!$B$421,'All Statement of strategy (D)'!$H963," "))))</f>
        <v xml:space="preserve"> </v>
      </c>
    </row>
    <row r="964" spans="2:9">
      <c r="B964" s="594">
        <v>5</v>
      </c>
      <c r="E964" s="585" t="str">
        <f ca="1">IF(OR('Reconciliation report'!$E$9=RefData!$B$5,'Reconciliation report'!$E$374=RefData!$B$25),$B964&amp;$C964,"")</f>
        <v/>
      </c>
      <c r="F964" s="585" t="str">
        <f ca="1">IF(OR('Reconciliation report'!$E$9=RefData!$B$5,'Reconciliation report'!$E$374=RefData!$B$25),$B964&amp;$C964,"")</f>
        <v/>
      </c>
      <c r="G964" s="585" t="str">
        <f>""</f>
        <v/>
      </c>
      <c r="H964" s="585" t="str">
        <f>""</f>
        <v/>
      </c>
      <c r="I964" s="595" t="str">
        <f ca="1">IF($C$1=RefData!$B$418,'All Statement of strategy (D)'!$E964,IF('All Statement of strategy (D)'!$C$1=RefData!$B$419,'All Statement of strategy (D)'!$F964,IF('All Statement of strategy (D)'!$C$1=RefData!$B$420,'All Statement of strategy (D)'!$G964,IF('All Statement of strategy (D)'!$C$1=RefData!$B$421,'All Statement of strategy (D)'!$H964," "))))</f>
        <v xml:space="preserve"> </v>
      </c>
    </row>
    <row r="965" spans="2:9">
      <c r="B965" s="594">
        <v>6</v>
      </c>
      <c r="E965" s="585" t="str">
        <f ca="1">IF(OR('Reconciliation report'!$E$9=RefData!$B$5,'Reconciliation report'!$E$374=RefData!$B$25),$B965&amp;$C965,"")</f>
        <v/>
      </c>
      <c r="F965" s="585" t="str">
        <f ca="1">IF(OR('Reconciliation report'!$E$9=RefData!$B$5,'Reconciliation report'!$E$374=RefData!$B$25),$B965&amp;$C965,"")</f>
        <v/>
      </c>
      <c r="G965" s="585" t="str">
        <f>""</f>
        <v/>
      </c>
      <c r="H965" s="585" t="str">
        <f>""</f>
        <v/>
      </c>
      <c r="I965" s="595" t="str">
        <f ca="1">IF($C$1=RefData!$B$418,'All Statement of strategy (D)'!$E965,IF('All Statement of strategy (D)'!$C$1=RefData!$B$419,'All Statement of strategy (D)'!$F965,IF('All Statement of strategy (D)'!$C$1=RefData!$B$420,'All Statement of strategy (D)'!$G965,IF('All Statement of strategy (D)'!$C$1=RefData!$B$421,'All Statement of strategy (D)'!$H965," "))))</f>
        <v xml:space="preserve"> </v>
      </c>
    </row>
    <row r="966" spans="2:9">
      <c r="B966" s="594">
        <v>7</v>
      </c>
      <c r="E966" s="585" t="str">
        <f ca="1">IF(OR('Reconciliation report'!$E$9=RefData!$B$5,'Reconciliation report'!$E$374=RefData!$B$25),$B966&amp;$C966,"")</f>
        <v/>
      </c>
      <c r="F966" s="585" t="str">
        <f ca="1">IF(OR('Reconciliation report'!$E$9=RefData!$B$5,'Reconciliation report'!$E$374=RefData!$B$25),$B966&amp;$C966,"")</f>
        <v/>
      </c>
      <c r="G966" s="585" t="str">
        <f>""</f>
        <v/>
      </c>
      <c r="H966" s="585" t="str">
        <f>""</f>
        <v/>
      </c>
      <c r="I966" s="595" t="str">
        <f ca="1">IF($C$1=RefData!$B$418,'All Statement of strategy (D)'!$E966,IF('All Statement of strategy (D)'!$C$1=RefData!$B$419,'All Statement of strategy (D)'!$F966,IF('All Statement of strategy (D)'!$C$1=RefData!$B$420,'All Statement of strategy (D)'!$G966,IF('All Statement of strategy (D)'!$C$1=RefData!$B$421,'All Statement of strategy (D)'!$H966," "))))</f>
        <v xml:space="preserve"> </v>
      </c>
    </row>
    <row r="967" spans="2:9">
      <c r="B967" s="594">
        <v>8</v>
      </c>
      <c r="E967" s="585" t="str">
        <f ca="1">IF(OR('Reconciliation report'!$E$9=RefData!$B$5,'Reconciliation report'!$E$374=RefData!$B$25),$B967&amp;$C967,"")</f>
        <v/>
      </c>
      <c r="F967" s="585" t="str">
        <f ca="1">IF(OR('Reconciliation report'!$E$9=RefData!$B$5,'Reconciliation report'!$E$374=RefData!$B$25),$B967&amp;$C967,"")</f>
        <v/>
      </c>
      <c r="G967" s="585" t="str">
        <f>""</f>
        <v/>
      </c>
      <c r="H967" s="585" t="str">
        <f>""</f>
        <v/>
      </c>
      <c r="I967" s="595" t="str">
        <f ca="1">IF($C$1=RefData!$B$418,'All Statement of strategy (D)'!$E967,IF('All Statement of strategy (D)'!$C$1=RefData!$B$419,'All Statement of strategy (D)'!$F967,IF('All Statement of strategy (D)'!$C$1=RefData!$B$420,'All Statement of strategy (D)'!$G967,IF('All Statement of strategy (D)'!$C$1=RefData!$B$421,'All Statement of strategy (D)'!$H967," "))))</f>
        <v xml:space="preserve"> </v>
      </c>
    </row>
    <row r="968" spans="2:9">
      <c r="B968" s="594">
        <v>9</v>
      </c>
      <c r="E968" s="585" t="str">
        <f ca="1">IF(OR('Reconciliation report'!$E$9=RefData!$B$5,'Reconciliation report'!$E$374=RefData!$B$25),$B968&amp;$C968,"")</f>
        <v/>
      </c>
      <c r="F968" s="585" t="str">
        <f ca="1">IF(OR('Reconciliation report'!$E$9=RefData!$B$5,'Reconciliation report'!$E$374=RefData!$B$25),$B968&amp;$C968,"")</f>
        <v/>
      </c>
      <c r="G968" s="585" t="str">
        <f>""</f>
        <v/>
      </c>
      <c r="H968" s="585" t="str">
        <f>""</f>
        <v/>
      </c>
      <c r="I968" s="595" t="str">
        <f ca="1">IF($C$1=RefData!$B$418,'All Statement of strategy (D)'!$E968,IF('All Statement of strategy (D)'!$C$1=RefData!$B$419,'All Statement of strategy (D)'!$F968,IF('All Statement of strategy (D)'!$C$1=RefData!$B$420,'All Statement of strategy (D)'!$G968,IF('All Statement of strategy (D)'!$C$1=RefData!$B$421,'All Statement of strategy (D)'!$H968," "))))</f>
        <v xml:space="preserve"> </v>
      </c>
    </row>
    <row r="969" spans="2:9">
      <c r="B969" s="594">
        <v>10</v>
      </c>
      <c r="E969" s="585" t="str">
        <f ca="1">IF(OR('Reconciliation report'!$E$9=RefData!$B$5,'Reconciliation report'!$E$374=RefData!$B$25),$B969&amp;$C969,"")</f>
        <v/>
      </c>
      <c r="F969" s="585" t="str">
        <f ca="1">IF(OR('Reconciliation report'!$E$9=RefData!$B$5,'Reconciliation report'!$E$374=RefData!$B$25),$B969&amp;$C969,"")</f>
        <v/>
      </c>
      <c r="G969" s="585" t="str">
        <f>""</f>
        <v/>
      </c>
      <c r="H969" s="585" t="str">
        <f>""</f>
        <v/>
      </c>
      <c r="I969" s="595" t="str">
        <f ca="1">IF($C$1=RefData!$B$418,'All Statement of strategy (D)'!$E969,IF('All Statement of strategy (D)'!$C$1=RefData!$B$419,'All Statement of strategy (D)'!$F969,IF('All Statement of strategy (D)'!$C$1=RefData!$B$420,'All Statement of strategy (D)'!$G969,IF('All Statement of strategy (D)'!$C$1=RefData!$B$421,'All Statement of strategy (D)'!$H969," "))))</f>
        <v xml:space="preserve"> </v>
      </c>
    </row>
    <row r="970" spans="2:9">
      <c r="B970" s="594">
        <v>11</v>
      </c>
      <c r="E970" s="585" t="str">
        <f ca="1">IF(OR('Reconciliation report'!$E$9=RefData!$B$5,'Reconciliation report'!$E$374=RefData!$B$25),$B970&amp;$C970,"")</f>
        <v/>
      </c>
      <c r="F970" s="585" t="str">
        <f ca="1">IF(OR('Reconciliation report'!$E$9=RefData!$B$5,'Reconciliation report'!$E$374=RefData!$B$25),$B970&amp;$C970,"")</f>
        <v/>
      </c>
      <c r="G970" s="585" t="str">
        <f>""</f>
        <v/>
      </c>
      <c r="H970" s="585" t="str">
        <f>""</f>
        <v/>
      </c>
      <c r="I970" s="595" t="str">
        <f ca="1">IF($C$1=RefData!$B$418,'All Statement of strategy (D)'!$E970,IF('All Statement of strategy (D)'!$C$1=RefData!$B$419,'All Statement of strategy (D)'!$F970,IF('All Statement of strategy (D)'!$C$1=RefData!$B$420,'All Statement of strategy (D)'!$G970,IF('All Statement of strategy (D)'!$C$1=RefData!$B$421,'All Statement of strategy (D)'!$H970," "))))</f>
        <v xml:space="preserve"> </v>
      </c>
    </row>
    <row r="971" spans="2:9">
      <c r="B971" s="594">
        <v>12</v>
      </c>
      <c r="E971" s="585" t="str">
        <f ca="1">IF(OR('Reconciliation report'!$E$9=RefData!$B$5,'Reconciliation report'!$E$374=RefData!$B$25),$B971&amp;$C971,"")</f>
        <v/>
      </c>
      <c r="F971" s="585" t="str">
        <f ca="1">IF(OR('Reconciliation report'!$E$9=RefData!$B$5,'Reconciliation report'!$E$374=RefData!$B$25),$B971&amp;$C971,"")</f>
        <v/>
      </c>
      <c r="G971" s="585" t="str">
        <f>""</f>
        <v/>
      </c>
      <c r="H971" s="585" t="str">
        <f>""</f>
        <v/>
      </c>
      <c r="I971" s="595" t="str">
        <f ca="1">IF($C$1=RefData!$B$418,'All Statement of strategy (D)'!$E971,IF('All Statement of strategy (D)'!$C$1=RefData!$B$419,'All Statement of strategy (D)'!$F971,IF('All Statement of strategy (D)'!$C$1=RefData!$B$420,'All Statement of strategy (D)'!$G971,IF('All Statement of strategy (D)'!$C$1=RefData!$B$421,'All Statement of strategy (D)'!$H971," "))))</f>
        <v xml:space="preserve"> </v>
      </c>
    </row>
    <row r="972" spans="2:9">
      <c r="B972" s="594">
        <v>13</v>
      </c>
      <c r="E972" s="585" t="str">
        <f ca="1">IF(OR('Reconciliation report'!$E$9=RefData!$B$5,'Reconciliation report'!$E$374=RefData!$B$25),$B972&amp;$C972,"")</f>
        <v/>
      </c>
      <c r="F972" s="585" t="str">
        <f ca="1">IF(OR('Reconciliation report'!$E$9=RefData!$B$5,'Reconciliation report'!$E$374=RefData!$B$25),$B972&amp;$C972,"")</f>
        <v/>
      </c>
      <c r="G972" s="585" t="str">
        <f>""</f>
        <v/>
      </c>
      <c r="H972" s="585" t="str">
        <f>""</f>
        <v/>
      </c>
      <c r="I972" s="595" t="str">
        <f ca="1">IF($C$1=RefData!$B$418,'All Statement of strategy (D)'!$E972,IF('All Statement of strategy (D)'!$C$1=RefData!$B$419,'All Statement of strategy (D)'!$F972,IF('All Statement of strategy (D)'!$C$1=RefData!$B$420,'All Statement of strategy (D)'!$G972,IF('All Statement of strategy (D)'!$C$1=RefData!$B$421,'All Statement of strategy (D)'!$H972," "))))</f>
        <v xml:space="preserve"> </v>
      </c>
    </row>
    <row r="973" spans="2:9">
      <c r="B973" s="594">
        <v>14</v>
      </c>
      <c r="E973" s="585" t="str">
        <f ca="1">IF(OR('Reconciliation report'!$E$9=RefData!$B$5,'Reconciliation report'!$E$374=RefData!$B$25),$B973&amp;$C973,"")</f>
        <v/>
      </c>
      <c r="F973" s="585" t="str">
        <f ca="1">IF(OR('Reconciliation report'!$E$9=RefData!$B$5,'Reconciliation report'!$E$374=RefData!$B$25),$B973&amp;$C973,"")</f>
        <v/>
      </c>
      <c r="G973" s="585" t="str">
        <f>""</f>
        <v/>
      </c>
      <c r="H973" s="585" t="str">
        <f>""</f>
        <v/>
      </c>
      <c r="I973" s="595" t="str">
        <f ca="1">IF($C$1=RefData!$B$418,'All Statement of strategy (D)'!$E973,IF('All Statement of strategy (D)'!$C$1=RefData!$B$419,'All Statement of strategy (D)'!$F973,IF('All Statement of strategy (D)'!$C$1=RefData!$B$420,'All Statement of strategy (D)'!$G973,IF('All Statement of strategy (D)'!$C$1=RefData!$B$421,'All Statement of strategy (D)'!$H973," "))))</f>
        <v xml:space="preserve"> </v>
      </c>
    </row>
    <row r="974" spans="2:9">
      <c r="B974" s="594">
        <v>15</v>
      </c>
      <c r="E974" s="585" t="str">
        <f ca="1">IF(OR('Reconciliation report'!$E$9=RefData!$B$5,'Reconciliation report'!$E$374=RefData!$B$25),$B974&amp;$C974,"")</f>
        <v/>
      </c>
      <c r="F974" s="585" t="str">
        <f ca="1">IF(OR('Reconciliation report'!$E$9=RefData!$B$5,'Reconciliation report'!$E$374=RefData!$B$25),$B974&amp;$C974,"")</f>
        <v/>
      </c>
      <c r="G974" s="585" t="str">
        <f>""</f>
        <v/>
      </c>
      <c r="H974" s="585" t="str">
        <f>""</f>
        <v/>
      </c>
      <c r="I974" s="595" t="str">
        <f ca="1">IF($C$1=RefData!$B$418,'All Statement of strategy (D)'!$E974,IF('All Statement of strategy (D)'!$C$1=RefData!$B$419,'All Statement of strategy (D)'!$F974,IF('All Statement of strategy (D)'!$C$1=RefData!$B$420,'All Statement of strategy (D)'!$G974,IF('All Statement of strategy (D)'!$C$1=RefData!$B$421,'All Statement of strategy (D)'!$H974," "))))</f>
        <v xml:space="preserve"> </v>
      </c>
    </row>
    <row r="975" spans="2:9">
      <c r="B975" s="594">
        <v>16</v>
      </c>
      <c r="E975" s="585" t="str">
        <f ca="1">IF(OR('Reconciliation report'!$E$9=RefData!$B$5,'Reconciliation report'!$E$374=RefData!$B$25),$B975&amp;$C975,"")</f>
        <v/>
      </c>
      <c r="F975" s="585" t="str">
        <f ca="1">IF(OR('Reconciliation report'!$E$9=RefData!$B$5,'Reconciliation report'!$E$374=RefData!$B$25),$B975&amp;$C975,"")</f>
        <v/>
      </c>
      <c r="G975" s="585" t="str">
        <f>""</f>
        <v/>
      </c>
      <c r="H975" s="585" t="str">
        <f>""</f>
        <v/>
      </c>
      <c r="I975" s="595" t="str">
        <f ca="1">IF($C$1=RefData!$B$418,'All Statement of strategy (D)'!$E975,IF('All Statement of strategy (D)'!$C$1=RefData!$B$419,'All Statement of strategy (D)'!$F975,IF('All Statement of strategy (D)'!$C$1=RefData!$B$420,'All Statement of strategy (D)'!$G975,IF('All Statement of strategy (D)'!$C$1=RefData!$B$421,'All Statement of strategy (D)'!$H975," "))))</f>
        <v xml:space="preserve"> </v>
      </c>
    </row>
    <row r="976" spans="2:9">
      <c r="B976" s="594">
        <v>17</v>
      </c>
      <c r="E976" s="585" t="str">
        <f ca="1">IF(OR('Reconciliation report'!$E$9=RefData!$B$5,'Reconciliation report'!$E$374=RefData!$B$25),$B976&amp;$C976,"")</f>
        <v/>
      </c>
      <c r="F976" s="585" t="str">
        <f ca="1">IF(OR('Reconciliation report'!$E$9=RefData!$B$5,'Reconciliation report'!$E$374=RefData!$B$25),$B976&amp;$C976,"")</f>
        <v/>
      </c>
      <c r="G976" s="585" t="str">
        <f>""</f>
        <v/>
      </c>
      <c r="H976" s="585" t="str">
        <f>""</f>
        <v/>
      </c>
      <c r="I976" s="595" t="str">
        <f ca="1">IF($C$1=RefData!$B$418,'All Statement of strategy (D)'!$E976,IF('All Statement of strategy (D)'!$C$1=RefData!$B$419,'All Statement of strategy (D)'!$F976,IF('All Statement of strategy (D)'!$C$1=RefData!$B$420,'All Statement of strategy (D)'!$G976,IF('All Statement of strategy (D)'!$C$1=RefData!$B$421,'All Statement of strategy (D)'!$H976," "))))</f>
        <v xml:space="preserve"> </v>
      </c>
    </row>
    <row r="977" spans="2:9">
      <c r="B977" s="594">
        <v>18</v>
      </c>
      <c r="E977" s="585" t="str">
        <f ca="1">IF(OR('Reconciliation report'!$E$9=RefData!$B$5,'Reconciliation report'!$E$374=RefData!$B$25),$B977&amp;$C977,"")</f>
        <v/>
      </c>
      <c r="F977" s="585" t="str">
        <f ca="1">IF(OR('Reconciliation report'!$E$9=RefData!$B$5,'Reconciliation report'!$E$374=RefData!$B$25),$B977&amp;$C977,"")</f>
        <v/>
      </c>
      <c r="G977" s="585" t="str">
        <f>""</f>
        <v/>
      </c>
      <c r="H977" s="585" t="str">
        <f>""</f>
        <v/>
      </c>
      <c r="I977" s="595" t="str">
        <f ca="1">IF($C$1=RefData!$B$418,'All Statement of strategy (D)'!$E977,IF('All Statement of strategy (D)'!$C$1=RefData!$B$419,'All Statement of strategy (D)'!$F977,IF('All Statement of strategy (D)'!$C$1=RefData!$B$420,'All Statement of strategy (D)'!$G977,IF('All Statement of strategy (D)'!$C$1=RefData!$B$421,'All Statement of strategy (D)'!$H977," "))))</f>
        <v xml:space="preserve"> </v>
      </c>
    </row>
    <row r="978" spans="2:9">
      <c r="B978" s="594">
        <v>19</v>
      </c>
      <c r="E978" s="585" t="str">
        <f ca="1">IF(OR('Reconciliation report'!$E$9=RefData!$B$5,'Reconciliation report'!$E$374=RefData!$B$25),$B978&amp;$C978,"")</f>
        <v/>
      </c>
      <c r="F978" s="585" t="str">
        <f ca="1">IF(OR('Reconciliation report'!$E$9=RefData!$B$5,'Reconciliation report'!$E$374=RefData!$B$25),$B978&amp;$C978,"")</f>
        <v/>
      </c>
      <c r="G978" s="585" t="str">
        <f>""</f>
        <v/>
      </c>
      <c r="H978" s="585" t="str">
        <f>""</f>
        <v/>
      </c>
      <c r="I978" s="595" t="str">
        <f ca="1">IF($C$1=RefData!$B$418,'All Statement of strategy (D)'!$E978,IF('All Statement of strategy (D)'!$C$1=RefData!$B$419,'All Statement of strategy (D)'!$F978,IF('All Statement of strategy (D)'!$C$1=RefData!$B$420,'All Statement of strategy (D)'!$G978,IF('All Statement of strategy (D)'!$C$1=RefData!$B$421,'All Statement of strategy (D)'!$H978," "))))</f>
        <v xml:space="preserve"> </v>
      </c>
    </row>
    <row r="979" spans="2:9">
      <c r="B979" s="594">
        <v>20</v>
      </c>
      <c r="E979" s="585" t="str">
        <f ca="1">IF(OR('Reconciliation report'!$E$9=RefData!$B$5,'Reconciliation report'!$E$374=RefData!$B$25),$B979&amp;$C979,"")</f>
        <v/>
      </c>
      <c r="F979" s="585" t="str">
        <f ca="1">IF(OR('Reconciliation report'!$E$9=RefData!$B$5,'Reconciliation report'!$E$374=RefData!$B$25),$B979&amp;$C979,"")</f>
        <v/>
      </c>
      <c r="G979" s="585" t="str">
        <f>""</f>
        <v/>
      </c>
      <c r="H979" s="585" t="str">
        <f>""</f>
        <v/>
      </c>
      <c r="I979" s="595" t="str">
        <f ca="1">IF($C$1=RefData!$B$418,'All Statement of strategy (D)'!$E979,IF('All Statement of strategy (D)'!$C$1=RefData!$B$419,'All Statement of strategy (D)'!$F979,IF('All Statement of strategy (D)'!$C$1=RefData!$B$420,'All Statement of strategy (D)'!$G979,IF('All Statement of strategy (D)'!$C$1=RefData!$B$421,'All Statement of strategy (D)'!$H979," "))))</f>
        <v xml:space="preserve"> </v>
      </c>
    </row>
    <row r="980" spans="2:9">
      <c r="B980" s="594">
        <v>21</v>
      </c>
      <c r="E980" s="585" t="str">
        <f ca="1">IF(OR('Reconciliation report'!$E$9=RefData!$B$5,'Reconciliation report'!$E$374=RefData!$B$25),$B980&amp;$C980,"")</f>
        <v/>
      </c>
      <c r="F980" s="585" t="str">
        <f ca="1">IF(OR('Reconciliation report'!$E$9=RefData!$B$5,'Reconciliation report'!$E$374=RefData!$B$25),$B980&amp;$C980,"")</f>
        <v/>
      </c>
      <c r="G980" s="585" t="str">
        <f>""</f>
        <v/>
      </c>
      <c r="H980" s="585" t="str">
        <f>""</f>
        <v/>
      </c>
      <c r="I980" s="595" t="str">
        <f ca="1">IF($C$1=RefData!$B$418,'All Statement of strategy (D)'!$E980,IF('All Statement of strategy (D)'!$C$1=RefData!$B$419,'All Statement of strategy (D)'!$F980,IF('All Statement of strategy (D)'!$C$1=RefData!$B$420,'All Statement of strategy (D)'!$G980,IF('All Statement of strategy (D)'!$C$1=RefData!$B$421,'All Statement of strategy (D)'!$H980," "))))</f>
        <v xml:space="preserve"> </v>
      </c>
    </row>
    <row r="981" spans="2:9">
      <c r="B981" s="594">
        <v>22</v>
      </c>
      <c r="E981" s="585" t="str">
        <f ca="1">IF(OR('Reconciliation report'!$E$9=RefData!$B$5,'Reconciliation report'!$E$374=RefData!$B$25),$B981&amp;$C981,"")</f>
        <v/>
      </c>
      <c r="F981" s="585" t="str">
        <f ca="1">IF(OR('Reconciliation report'!$E$9=RefData!$B$5,'Reconciliation report'!$E$374=RefData!$B$25),$B981&amp;$C981,"")</f>
        <v/>
      </c>
      <c r="G981" s="585" t="str">
        <f>""</f>
        <v/>
      </c>
      <c r="H981" s="585" t="str">
        <f>""</f>
        <v/>
      </c>
      <c r="I981" s="595" t="str">
        <f ca="1">IF($C$1=RefData!$B$418,'All Statement of strategy (D)'!$E981,IF('All Statement of strategy (D)'!$C$1=RefData!$B$419,'All Statement of strategy (D)'!$F981,IF('All Statement of strategy (D)'!$C$1=RefData!$B$420,'All Statement of strategy (D)'!$G981,IF('All Statement of strategy (D)'!$C$1=RefData!$B$421,'All Statement of strategy (D)'!$H981," "))))</f>
        <v xml:space="preserve"> </v>
      </c>
    </row>
    <row r="982" spans="2:9">
      <c r="B982" s="594">
        <v>23</v>
      </c>
      <c r="E982" s="585" t="str">
        <f ca="1">IF(OR('Reconciliation report'!$E$9=RefData!$B$5,'Reconciliation report'!$E$374=RefData!$B$25),$B982&amp;$C982,"")</f>
        <v/>
      </c>
      <c r="F982" s="585" t="str">
        <f ca="1">IF(OR('Reconciliation report'!$E$9=RefData!$B$5,'Reconciliation report'!$E$374=RefData!$B$25),$B982&amp;$C982,"")</f>
        <v/>
      </c>
      <c r="G982" s="585" t="str">
        <f>""</f>
        <v/>
      </c>
      <c r="H982" s="585" t="str">
        <f>""</f>
        <v/>
      </c>
      <c r="I982" s="595" t="str">
        <f ca="1">IF($C$1=RefData!$B$418,'All Statement of strategy (D)'!$E982,IF('All Statement of strategy (D)'!$C$1=RefData!$B$419,'All Statement of strategy (D)'!$F982,IF('All Statement of strategy (D)'!$C$1=RefData!$B$420,'All Statement of strategy (D)'!$G982,IF('All Statement of strategy (D)'!$C$1=RefData!$B$421,'All Statement of strategy (D)'!$H982," "))))</f>
        <v xml:space="preserve"> </v>
      </c>
    </row>
    <row r="983" spans="2:9">
      <c r="B983" s="594">
        <v>24</v>
      </c>
      <c r="E983" s="585" t="str">
        <f ca="1">IF(OR('Reconciliation report'!$E$9=RefData!$B$5,'Reconciliation report'!$E$374=RefData!$B$25),$B983&amp;$C983,"")</f>
        <v/>
      </c>
      <c r="F983" s="585" t="str">
        <f ca="1">IF(OR('Reconciliation report'!$E$9=RefData!$B$5,'Reconciliation report'!$E$374=RefData!$B$25),$B983&amp;$C983,"")</f>
        <v/>
      </c>
      <c r="G983" s="585" t="str">
        <f>""</f>
        <v/>
      </c>
      <c r="H983" s="585" t="str">
        <f>""</f>
        <v/>
      </c>
      <c r="I983" s="595" t="str">
        <f ca="1">IF($C$1=RefData!$B$418,'All Statement of strategy (D)'!$E983,IF('All Statement of strategy (D)'!$C$1=RefData!$B$419,'All Statement of strategy (D)'!$F983,IF('All Statement of strategy (D)'!$C$1=RefData!$B$420,'All Statement of strategy (D)'!$G983,IF('All Statement of strategy (D)'!$C$1=RefData!$B$421,'All Statement of strategy (D)'!$H983," "))))</f>
        <v xml:space="preserve"> </v>
      </c>
    </row>
    <row r="984" spans="2:9">
      <c r="B984" s="594">
        <v>25</v>
      </c>
      <c r="E984" s="585" t="str">
        <f ca="1">IF(OR('Reconciliation report'!$E$9=RefData!$B$5,'Reconciliation report'!$E$374=RefData!$B$25),$B984&amp;$C984,"")</f>
        <v/>
      </c>
      <c r="F984" s="585" t="str">
        <f ca="1">IF(OR('Reconciliation report'!$E$9=RefData!$B$5,'Reconciliation report'!$E$374=RefData!$B$25),$B984&amp;$C984,"")</f>
        <v/>
      </c>
      <c r="G984" s="585" t="str">
        <f>""</f>
        <v/>
      </c>
      <c r="H984" s="585" t="str">
        <f>""</f>
        <v/>
      </c>
      <c r="I984" s="595" t="str">
        <f ca="1">IF($C$1=RefData!$B$418,'All Statement of strategy (D)'!$E984,IF('All Statement of strategy (D)'!$C$1=RefData!$B$419,'All Statement of strategy (D)'!$F984,IF('All Statement of strategy (D)'!$C$1=RefData!$B$420,'All Statement of strategy (D)'!$G984,IF('All Statement of strategy (D)'!$C$1=RefData!$B$421,'All Statement of strategy (D)'!$H984," "))))</f>
        <v xml:space="preserve"> </v>
      </c>
    </row>
    <row r="985" spans="2:9">
      <c r="B985" s="594">
        <v>26</v>
      </c>
      <c r="E985" s="585" t="str">
        <f ca="1">IF(OR('Reconciliation report'!$E$9=RefData!$B$5,'Reconciliation report'!$E$374=RefData!$B$25),$B985&amp;$C985,"")</f>
        <v/>
      </c>
      <c r="F985" s="585" t="str">
        <f ca="1">IF(OR('Reconciliation report'!$E$9=RefData!$B$5,'Reconciliation report'!$E$374=RefData!$B$25),$B985&amp;$C985,"")</f>
        <v/>
      </c>
      <c r="G985" s="585" t="str">
        <f>""</f>
        <v/>
      </c>
      <c r="H985" s="585" t="str">
        <f>""</f>
        <v/>
      </c>
      <c r="I985" s="595" t="str">
        <f ca="1">IF($C$1=RefData!$B$418,'All Statement of strategy (D)'!$E985,IF('All Statement of strategy (D)'!$C$1=RefData!$B$419,'All Statement of strategy (D)'!$F985,IF('All Statement of strategy (D)'!$C$1=RefData!$B$420,'All Statement of strategy (D)'!$G985,IF('All Statement of strategy (D)'!$C$1=RefData!$B$421,'All Statement of strategy (D)'!$H985," "))))</f>
        <v xml:space="preserve"> </v>
      </c>
    </row>
    <row r="986" spans="2:9">
      <c r="B986" s="594">
        <v>27</v>
      </c>
      <c r="E986" s="585" t="str">
        <f ca="1">IF(OR('Reconciliation report'!$E$9=RefData!$B$5,'Reconciliation report'!$E$374=RefData!$B$25),$B986&amp;$C986,"")</f>
        <v/>
      </c>
      <c r="F986" s="585" t="str">
        <f ca="1">IF(OR('Reconciliation report'!$E$9=RefData!$B$5,'Reconciliation report'!$E$374=RefData!$B$25),$B986&amp;$C986,"")</f>
        <v/>
      </c>
      <c r="G986" s="585" t="str">
        <f>""</f>
        <v/>
      </c>
      <c r="H986" s="585" t="str">
        <f>""</f>
        <v/>
      </c>
      <c r="I986" s="595" t="str">
        <f ca="1">IF($C$1=RefData!$B$418,'All Statement of strategy (D)'!$E986,IF('All Statement of strategy (D)'!$C$1=RefData!$B$419,'All Statement of strategy (D)'!$F986,IF('All Statement of strategy (D)'!$C$1=RefData!$B$420,'All Statement of strategy (D)'!$G986,IF('All Statement of strategy (D)'!$C$1=RefData!$B$421,'All Statement of strategy (D)'!$H986," "))))</f>
        <v xml:space="preserve"> </v>
      </c>
    </row>
    <row r="987" spans="2:9">
      <c r="B987" s="594">
        <v>28</v>
      </c>
      <c r="E987" s="585" t="str">
        <f ca="1">IF(OR('Reconciliation report'!$E$9=RefData!$B$5,'Reconciliation report'!$E$374=RefData!$B$25),$B987&amp;$C987,"")</f>
        <v/>
      </c>
      <c r="F987" s="585" t="str">
        <f ca="1">IF(OR('Reconciliation report'!$E$9=RefData!$B$5,'Reconciliation report'!$E$374=RefData!$B$25),$B987&amp;$C987,"")</f>
        <v/>
      </c>
      <c r="G987" s="585" t="str">
        <f>""</f>
        <v/>
      </c>
      <c r="H987" s="585" t="str">
        <f>""</f>
        <v/>
      </c>
      <c r="I987" s="595" t="str">
        <f ca="1">IF($C$1=RefData!$B$418,'All Statement of strategy (D)'!$E987,IF('All Statement of strategy (D)'!$C$1=RefData!$B$419,'All Statement of strategy (D)'!$F987,IF('All Statement of strategy (D)'!$C$1=RefData!$B$420,'All Statement of strategy (D)'!$G987,IF('All Statement of strategy (D)'!$C$1=RefData!$B$421,'All Statement of strategy (D)'!$H987," "))))</f>
        <v xml:space="preserve"> </v>
      </c>
    </row>
    <row r="988" spans="2:9">
      <c r="B988" s="594">
        <v>29</v>
      </c>
      <c r="E988" s="585" t="str">
        <f ca="1">IF(OR('Reconciliation report'!$E$9=RefData!$B$5,'Reconciliation report'!$E$374=RefData!$B$25),$B988&amp;$C988,"")</f>
        <v/>
      </c>
      <c r="F988" s="585" t="str">
        <f ca="1">IF(OR('Reconciliation report'!$E$9=RefData!$B$5,'Reconciliation report'!$E$374=RefData!$B$25),$B988&amp;$C988,"")</f>
        <v/>
      </c>
      <c r="G988" s="585" t="str">
        <f>""</f>
        <v/>
      </c>
      <c r="H988" s="585" t="str">
        <f>""</f>
        <v/>
      </c>
      <c r="I988" s="595" t="str">
        <f ca="1">IF($C$1=RefData!$B$418,'All Statement of strategy (D)'!$E988,IF('All Statement of strategy (D)'!$C$1=RefData!$B$419,'All Statement of strategy (D)'!$F988,IF('All Statement of strategy (D)'!$C$1=RefData!$B$420,'All Statement of strategy (D)'!$G988,IF('All Statement of strategy (D)'!$C$1=RefData!$B$421,'All Statement of strategy (D)'!$H988," "))))</f>
        <v xml:space="preserve"> </v>
      </c>
    </row>
    <row r="989" spans="2:9">
      <c r="B989" s="594">
        <v>30</v>
      </c>
      <c r="E989" s="585" t="str">
        <f ca="1">IF(OR('Reconciliation report'!$E$9=RefData!$B$5,'Reconciliation report'!$E$374=RefData!$B$25),$B989&amp;$C989,"")</f>
        <v/>
      </c>
      <c r="F989" s="585" t="str">
        <f ca="1">IF(OR('Reconciliation report'!$E$9=RefData!$B$5,'Reconciliation report'!$E$374=RefData!$B$25),$B989&amp;$C989,"")</f>
        <v/>
      </c>
      <c r="G989" s="585" t="str">
        <f>""</f>
        <v/>
      </c>
      <c r="H989" s="585" t="str">
        <f>""</f>
        <v/>
      </c>
      <c r="I989" s="595" t="str">
        <f ca="1">IF($C$1=RefData!$B$418,'All Statement of strategy (D)'!$E989,IF('All Statement of strategy (D)'!$C$1=RefData!$B$419,'All Statement of strategy (D)'!$F989,IF('All Statement of strategy (D)'!$C$1=RefData!$B$420,'All Statement of strategy (D)'!$G989,IF('All Statement of strategy (D)'!$C$1=RefData!$B$421,'All Statement of strategy (D)'!$H989," "))))</f>
        <v xml:space="preserve"> </v>
      </c>
    </row>
    <row r="990" spans="2:9">
      <c r="B990" s="594">
        <v>31</v>
      </c>
      <c r="E990" s="585" t="str">
        <f ca="1">IF(OR('Reconciliation report'!$E$9=RefData!$B$5,'Reconciliation report'!$E$374=RefData!$B$25),$B990&amp;$C990,"")</f>
        <v/>
      </c>
      <c r="F990" s="585" t="str">
        <f ca="1">IF(OR('Reconciliation report'!$E$9=RefData!$B$5,'Reconciliation report'!$E$374=RefData!$B$25),$B990&amp;$C990,"")</f>
        <v/>
      </c>
      <c r="G990" s="585" t="str">
        <f>""</f>
        <v/>
      </c>
      <c r="H990" s="585" t="str">
        <f>""</f>
        <v/>
      </c>
      <c r="I990" s="595" t="str">
        <f ca="1">IF($C$1=RefData!$B$418,'All Statement of strategy (D)'!$E990,IF('All Statement of strategy (D)'!$C$1=RefData!$B$419,'All Statement of strategy (D)'!$F990,IF('All Statement of strategy (D)'!$C$1=RefData!$B$420,'All Statement of strategy (D)'!$G990,IF('All Statement of strategy (D)'!$C$1=RefData!$B$421,'All Statement of strategy (D)'!$H990," "))))</f>
        <v xml:space="preserve"> </v>
      </c>
    </row>
    <row r="991" spans="2:9">
      <c r="B991" s="594">
        <v>32</v>
      </c>
      <c r="E991" s="585" t="str">
        <f ca="1">IF(OR('Reconciliation report'!$E$9=RefData!$B$5,'Reconciliation report'!$E$374=RefData!$B$25),$B991&amp;$C991,"")</f>
        <v/>
      </c>
      <c r="F991" s="585" t="str">
        <f ca="1">IF(OR('Reconciliation report'!$E$9=RefData!$B$5,'Reconciliation report'!$E$374=RefData!$B$25),$B991&amp;$C991,"")</f>
        <v/>
      </c>
      <c r="G991" s="585" t="str">
        <f>""</f>
        <v/>
      </c>
      <c r="H991" s="585" t="str">
        <f>""</f>
        <v/>
      </c>
      <c r="I991" s="595" t="str">
        <f ca="1">IF($C$1=RefData!$B$418,'All Statement of strategy (D)'!$E991,IF('All Statement of strategy (D)'!$C$1=RefData!$B$419,'All Statement of strategy (D)'!$F991,IF('All Statement of strategy (D)'!$C$1=RefData!$B$420,'All Statement of strategy (D)'!$G991,IF('All Statement of strategy (D)'!$C$1=RefData!$B$421,'All Statement of strategy (D)'!$H991," "))))</f>
        <v xml:space="preserve"> </v>
      </c>
    </row>
    <row r="992" spans="2:9">
      <c r="B992" s="594">
        <v>33</v>
      </c>
      <c r="E992" s="585" t="str">
        <f ca="1">IF(OR('Reconciliation report'!$E$9=RefData!$B$5,'Reconciliation report'!$E$374=RefData!$B$25),$B992&amp;$C992,"")</f>
        <v/>
      </c>
      <c r="F992" s="585" t="str">
        <f ca="1">IF(OR('Reconciliation report'!$E$9=RefData!$B$5,'Reconciliation report'!$E$374=RefData!$B$25),$B992&amp;$C992,"")</f>
        <v/>
      </c>
      <c r="G992" s="585" t="str">
        <f>""</f>
        <v/>
      </c>
      <c r="H992" s="585" t="str">
        <f>""</f>
        <v/>
      </c>
      <c r="I992" s="595" t="str">
        <f ca="1">IF($C$1=RefData!$B$418,'All Statement of strategy (D)'!$E992,IF('All Statement of strategy (D)'!$C$1=RefData!$B$419,'All Statement of strategy (D)'!$F992,IF('All Statement of strategy (D)'!$C$1=RefData!$B$420,'All Statement of strategy (D)'!$G992,IF('All Statement of strategy (D)'!$C$1=RefData!$B$421,'All Statement of strategy (D)'!$H992," "))))</f>
        <v xml:space="preserve"> </v>
      </c>
    </row>
    <row r="993" spans="1:9">
      <c r="B993" s="594">
        <v>34</v>
      </c>
      <c r="E993" s="585" t="str">
        <f ca="1">IF(OR('Reconciliation report'!$E$9=RefData!$B$5,'Reconciliation report'!$E$374=RefData!$B$25),$B993&amp;$C993,"")</f>
        <v/>
      </c>
      <c r="F993" s="585" t="str">
        <f ca="1">IF(OR('Reconciliation report'!$E$9=RefData!$B$5,'Reconciliation report'!$E$374=RefData!$B$25),$B993&amp;$C993,"")</f>
        <v/>
      </c>
      <c r="G993" s="585" t="str">
        <f>""</f>
        <v/>
      </c>
      <c r="H993" s="585" t="str">
        <f>""</f>
        <v/>
      </c>
      <c r="I993" s="595" t="str">
        <f ca="1">IF($C$1=RefData!$B$418,'All Statement of strategy (D)'!$E993,IF('All Statement of strategy (D)'!$C$1=RefData!$B$419,'All Statement of strategy (D)'!$F993,IF('All Statement of strategy (D)'!$C$1=RefData!$B$420,'All Statement of strategy (D)'!$G993,IF('All Statement of strategy (D)'!$C$1=RefData!$B$421,'All Statement of strategy (D)'!$H993," "))))</f>
        <v xml:space="preserve"> </v>
      </c>
    </row>
    <row r="994" spans="1:9">
      <c r="B994" s="594">
        <v>35</v>
      </c>
      <c r="E994" s="585" t="str">
        <f ca="1">IF(OR('Reconciliation report'!$E$9=RefData!$B$5,'Reconciliation report'!$E$374=RefData!$B$25),$B994&amp;$C994,"")</f>
        <v/>
      </c>
      <c r="F994" s="585" t="str">
        <f ca="1">IF(OR('Reconciliation report'!$E$9=RefData!$B$5,'Reconciliation report'!$E$374=RefData!$B$25),$B994&amp;$C994,"")</f>
        <v/>
      </c>
      <c r="G994" s="585" t="str">
        <f>""</f>
        <v/>
      </c>
      <c r="H994" s="585" t="str">
        <f>""</f>
        <v/>
      </c>
      <c r="I994" s="595" t="str">
        <f ca="1">IF($C$1=RefData!$B$418,'All Statement of strategy (D)'!$E994,IF('All Statement of strategy (D)'!$C$1=RefData!$B$419,'All Statement of strategy (D)'!$F994,IF('All Statement of strategy (D)'!$C$1=RefData!$B$420,'All Statement of strategy (D)'!$G994,IF('All Statement of strategy (D)'!$C$1=RefData!$B$421,'All Statement of strategy (D)'!$H994," "))))</f>
        <v xml:space="preserve"> </v>
      </c>
    </row>
    <row r="995" spans="1:9">
      <c r="B995" s="594">
        <v>36</v>
      </c>
      <c r="E995" s="585" t="str">
        <f ca="1">IF(OR('Reconciliation report'!$E$9=RefData!$B$5,'Reconciliation report'!$E$374=RefData!$B$25),$B995&amp;$C995,"")</f>
        <v/>
      </c>
      <c r="F995" s="585" t="str">
        <f ca="1">IF(OR('Reconciliation report'!$E$9=RefData!$B$5,'Reconciliation report'!$E$374=RefData!$B$25),$B995&amp;$C995,"")</f>
        <v/>
      </c>
      <c r="G995" s="585" t="str">
        <f>""</f>
        <v/>
      </c>
      <c r="H995" s="585" t="str">
        <f>""</f>
        <v/>
      </c>
      <c r="I995" s="595" t="str">
        <f ca="1">IF($C$1=RefData!$B$418,'All Statement of strategy (D)'!$E995,IF('All Statement of strategy (D)'!$C$1=RefData!$B$419,'All Statement of strategy (D)'!$F995,IF('All Statement of strategy (D)'!$C$1=RefData!$B$420,'All Statement of strategy (D)'!$G995,IF('All Statement of strategy (D)'!$C$1=RefData!$B$421,'All Statement of strategy (D)'!$H995," "))))</f>
        <v xml:space="preserve"> </v>
      </c>
    </row>
    <row r="996" spans="1:9">
      <c r="B996" s="594">
        <v>37</v>
      </c>
      <c r="E996" s="585" t="str">
        <f ca="1">IF(OR('Reconciliation report'!$E$9=RefData!$B$5,'Reconciliation report'!$E$374=RefData!$B$25),$B996&amp;$C996,"")</f>
        <v/>
      </c>
      <c r="F996" s="585" t="str">
        <f ca="1">IF(OR('Reconciliation report'!$E$9=RefData!$B$5,'Reconciliation report'!$E$374=RefData!$B$25),$B996&amp;$C996,"")</f>
        <v/>
      </c>
      <c r="G996" s="585" t="str">
        <f>""</f>
        <v/>
      </c>
      <c r="H996" s="585" t="str">
        <f>""</f>
        <v/>
      </c>
      <c r="I996" s="595" t="str">
        <f ca="1">IF($C$1=RefData!$B$418,'All Statement of strategy (D)'!$E996,IF('All Statement of strategy (D)'!$C$1=RefData!$B$419,'All Statement of strategy (D)'!$F996,IF('All Statement of strategy (D)'!$C$1=RefData!$B$420,'All Statement of strategy (D)'!$G996,IF('All Statement of strategy (D)'!$C$1=RefData!$B$421,'All Statement of strategy (D)'!$H996," "))))</f>
        <v xml:space="preserve"> </v>
      </c>
    </row>
    <row r="997" spans="1:9">
      <c r="B997" s="594">
        <v>38</v>
      </c>
      <c r="E997" s="585" t="str">
        <f ca="1">IF(OR('Reconciliation report'!$E$9=RefData!$B$5,'Reconciliation report'!$E$374=RefData!$B$25),$B997&amp;$C997,"")</f>
        <v/>
      </c>
      <c r="F997" s="585" t="str">
        <f ca="1">IF(OR('Reconciliation report'!$E$9=RefData!$B$5,'Reconciliation report'!$E$374=RefData!$B$25),$B997&amp;$C997,"")</f>
        <v/>
      </c>
      <c r="G997" s="585" t="str">
        <f>""</f>
        <v/>
      </c>
      <c r="H997" s="585" t="str">
        <f>""</f>
        <v/>
      </c>
      <c r="I997" s="595" t="str">
        <f ca="1">IF($C$1=RefData!$B$418,'All Statement of strategy (D)'!$E997,IF('All Statement of strategy (D)'!$C$1=RefData!$B$419,'All Statement of strategy (D)'!$F997,IF('All Statement of strategy (D)'!$C$1=RefData!$B$420,'All Statement of strategy (D)'!$G997,IF('All Statement of strategy (D)'!$C$1=RefData!$B$421,'All Statement of strategy (D)'!$H997," "))))</f>
        <v xml:space="preserve"> </v>
      </c>
    </row>
    <row r="998" spans="1:9">
      <c r="B998" s="594">
        <v>39</v>
      </c>
      <c r="E998" s="585" t="str">
        <f ca="1">IF(OR('Reconciliation report'!$E$9=RefData!$B$5,'Reconciliation report'!$E$374=RefData!$B$25),$B998&amp;$C998,"")</f>
        <v/>
      </c>
      <c r="F998" s="585" t="str">
        <f ca="1">IF(OR('Reconciliation report'!$E$9=RefData!$B$5,'Reconciliation report'!$E$374=RefData!$B$25),$B998&amp;$C998,"")</f>
        <v/>
      </c>
      <c r="G998" s="585" t="str">
        <f>""</f>
        <v/>
      </c>
      <c r="H998" s="585" t="str">
        <f>""</f>
        <v/>
      </c>
      <c r="I998" s="595" t="str">
        <f ca="1">IF($C$1=RefData!$B$418,'All Statement of strategy (D)'!$E998,IF('All Statement of strategy (D)'!$C$1=RefData!$B$419,'All Statement of strategy (D)'!$F998,IF('All Statement of strategy (D)'!$C$1=RefData!$B$420,'All Statement of strategy (D)'!$G998,IF('All Statement of strategy (D)'!$C$1=RefData!$B$421,'All Statement of strategy (D)'!$H998," "))))</f>
        <v xml:space="preserve"> </v>
      </c>
    </row>
    <row r="999" spans="1:9">
      <c r="B999" s="594">
        <v>40</v>
      </c>
      <c r="E999" s="585" t="str">
        <f ca="1">IF(OR('Reconciliation report'!$E$9=RefData!$B$5,'Reconciliation report'!$E$374=RefData!$B$25),$B999&amp;$C999,"")</f>
        <v/>
      </c>
      <c r="F999" s="585" t="str">
        <f ca="1">IF(OR('Reconciliation report'!$E$9=RefData!$B$5,'Reconciliation report'!$E$374=RefData!$B$25),$B999&amp;$C999,"")</f>
        <v/>
      </c>
      <c r="G999" s="585" t="str">
        <f>""</f>
        <v/>
      </c>
      <c r="H999" s="585" t="str">
        <f>""</f>
        <v/>
      </c>
      <c r="I999" s="595" t="str">
        <f ca="1">IF($C$1=RefData!$B$418,'All Statement of strategy (D)'!$E999,IF('All Statement of strategy (D)'!$C$1=RefData!$B$419,'All Statement of strategy (D)'!$F999,IF('All Statement of strategy (D)'!$C$1=RefData!$B$420,'All Statement of strategy (D)'!$G999,IF('All Statement of strategy (D)'!$C$1=RefData!$B$421,'All Statement of strategy (D)'!$H999," "))))</f>
        <v xml:space="preserve"> </v>
      </c>
    </row>
    <row r="1000" spans="1:9">
      <c r="A1000" s="584" t="s">
        <v>2336</v>
      </c>
      <c r="B1000" s="594" t="str">
        <f ca="1">TEXT('Reconciliation report'!$E$376,RefData!$B$425)</f>
        <v/>
      </c>
      <c r="E1000" s="585" t="str">
        <f ca="1">IF(OR('Reconciliation report'!$E$9=RefData!$B$5,'Reconciliation report'!$E$374=RefData!$B$25),$B1000&amp;$C1000,"")</f>
        <v/>
      </c>
      <c r="F1000" s="585" t="str">
        <f ca="1">IF(OR('Reconciliation report'!$E$9=RefData!$B$5,'Reconciliation report'!$E$374=RefData!$B$25),$B1000&amp;$C1000,"")</f>
        <v/>
      </c>
      <c r="G1000" s="585" t="str">
        <f>""</f>
        <v/>
      </c>
      <c r="H1000" s="585" t="str">
        <f>""</f>
        <v/>
      </c>
      <c r="I1000" s="595" t="str">
        <f ca="1">IF($C$1=RefData!$B$418,'All Statement of strategy (D)'!$E1000,IF('All Statement of strategy (D)'!$C$1=RefData!$B$419,'All Statement of strategy (D)'!$F1000,IF('All Statement of strategy (D)'!$C$1=RefData!$B$420,'All Statement of strategy (D)'!$G1000,IF('All Statement of strategy (D)'!$C$1=RefData!$B$421,'All Statement of strategy (D)'!$H1000," "))))</f>
        <v xml:space="preserve"> </v>
      </c>
    </row>
    <row r="1001" spans="1:9">
      <c r="A1001" s="584" t="s">
        <v>2337</v>
      </c>
      <c r="B1001" s="594" t="str">
        <f ca="1">TEXT('Reconciliation report'!$E$377,RefData!$B$425)</f>
        <v/>
      </c>
      <c r="E1001" s="585" t="str">
        <f ca="1">IF(OR('Reconciliation report'!$E$9=RefData!$B$5,'Reconciliation report'!$E$374=RefData!$B$25),$B1001&amp;$C1001,"")</f>
        <v/>
      </c>
      <c r="F1001" s="585" t="str">
        <f ca="1">IF(OR('Reconciliation report'!$E$9=RefData!$B$5,'Reconciliation report'!$E$374=RefData!$B$25),$B1001&amp;$C1001,"")</f>
        <v/>
      </c>
      <c r="G1001" s="585" t="str">
        <f>""</f>
        <v/>
      </c>
      <c r="H1001" s="585" t="str">
        <f>""</f>
        <v/>
      </c>
      <c r="I1001" s="595" t="str">
        <f ca="1">IF($C$1=RefData!$B$418,'All Statement of strategy (D)'!$E1001,IF('All Statement of strategy (D)'!$C$1=RefData!$B$419,'All Statement of strategy (D)'!$F1001,IF('All Statement of strategy (D)'!$C$1=RefData!$B$420,'All Statement of strategy (D)'!$G1001,IF('All Statement of strategy (D)'!$C$1=RefData!$B$421,'All Statement of strategy (D)'!$H1001," "))))</f>
        <v xml:space="preserve"> </v>
      </c>
    </row>
    <row r="1002" spans="1:9">
      <c r="A1002" s="584" t="s">
        <v>2338</v>
      </c>
      <c r="B1002" s="594" t="str">
        <f ca="1">TEXT('Reconciliation report'!$E$378,RefData!$B$425)</f>
        <v/>
      </c>
      <c r="E1002" s="585" t="str">
        <f ca="1">IF(OR('Reconciliation report'!$E$9=RefData!$B$5,'Reconciliation report'!$E$374=RefData!$B$25),$B1002&amp;$C1002,"")</f>
        <v/>
      </c>
      <c r="F1002" s="585" t="str">
        <f ca="1">IF(OR('Reconciliation report'!$E$9=RefData!$B$5,'Reconciliation report'!$E$374=RefData!$B$25),$B1002&amp;$C1002,"")</f>
        <v/>
      </c>
      <c r="G1002" s="585" t="str">
        <f>""</f>
        <v/>
      </c>
      <c r="H1002" s="585" t="str">
        <f>""</f>
        <v/>
      </c>
      <c r="I1002" s="595" t="str">
        <f ca="1">IF($C$1=RefData!$B$418,'All Statement of strategy (D)'!$E1002,IF('All Statement of strategy (D)'!$C$1=RefData!$B$419,'All Statement of strategy (D)'!$F1002,IF('All Statement of strategy (D)'!$C$1=RefData!$B$420,'All Statement of strategy (D)'!$G1002,IF('All Statement of strategy (D)'!$C$1=RefData!$B$421,'All Statement of strategy (D)'!$H1002," "))))</f>
        <v xml:space="preserve"> </v>
      </c>
    </row>
    <row r="1003" spans="1:9">
      <c r="A1003" s="584" t="s">
        <v>2339</v>
      </c>
      <c r="B1003" s="594" t="str">
        <f ca="1">TEXT('Reconciliation report'!$E$379,RefData!$B$425)</f>
        <v/>
      </c>
      <c r="E1003" s="585" t="str">
        <f ca="1">IF(OR('Reconciliation report'!$E$9=RefData!$B$5,'Reconciliation report'!$E$374=RefData!$B$25),$B1003&amp;$C1003,"")</f>
        <v/>
      </c>
      <c r="F1003" s="585" t="str">
        <f ca="1">IF(OR('Reconciliation report'!$E$9=RefData!$B$5,'Reconciliation report'!$E$374=RefData!$B$25),$B1003&amp;$C1003,"")</f>
        <v/>
      </c>
      <c r="G1003" s="585" t="str">
        <f>""</f>
        <v/>
      </c>
      <c r="H1003" s="585" t="str">
        <f>""</f>
        <v/>
      </c>
      <c r="I1003" s="595" t="str">
        <f ca="1">IF($C$1=RefData!$B$418,'All Statement of strategy (D)'!$E1003,IF('All Statement of strategy (D)'!$C$1=RefData!$B$419,'All Statement of strategy (D)'!$F1003,IF('All Statement of strategy (D)'!$C$1=RefData!$B$420,'All Statement of strategy (D)'!$G1003,IF('All Statement of strategy (D)'!$C$1=RefData!$B$421,'All Statement of strategy (D)'!$H1003," "))))</f>
        <v xml:space="preserve"> </v>
      </c>
    </row>
    <row r="1004" spans="1:9">
      <c r="A1004" s="584" t="s">
        <v>2340</v>
      </c>
      <c r="B1004" s="594" t="str">
        <f ca="1">TEXT('Reconciliation report'!$E$380,RefData!$B$425)</f>
        <v/>
      </c>
      <c r="E1004" s="585" t="str">
        <f ca="1">IF(OR('Reconciliation report'!$E$9=RefData!$B$5,'Reconciliation report'!$E$374=RefData!$B$25),$B1004&amp;$C1004,"")</f>
        <v/>
      </c>
      <c r="F1004" s="585" t="str">
        <f ca="1">IF(OR('Reconciliation report'!$E$9=RefData!$B$5,'Reconciliation report'!$E$374=RefData!$B$25),$B1004&amp;$C1004,"")</f>
        <v/>
      </c>
      <c r="G1004" s="585" t="str">
        <f>""</f>
        <v/>
      </c>
      <c r="H1004" s="585" t="str">
        <f>""</f>
        <v/>
      </c>
      <c r="I1004" s="595" t="str">
        <f ca="1">IF($C$1=RefData!$B$418,'All Statement of strategy (D)'!$E1004,IF('All Statement of strategy (D)'!$C$1=RefData!$B$419,'All Statement of strategy (D)'!$F1004,IF('All Statement of strategy (D)'!$C$1=RefData!$B$420,'All Statement of strategy (D)'!$G1004,IF('All Statement of strategy (D)'!$C$1=RefData!$B$421,'All Statement of strategy (D)'!$H1004," "))))</f>
        <v xml:space="preserve"> </v>
      </c>
    </row>
    <row r="1005" spans="1:9">
      <c r="A1005" s="584" t="s">
        <v>2341</v>
      </c>
      <c r="B1005" s="594" t="str">
        <f ca="1">TEXT('Reconciliation report'!$E$381,RefData!$B$425)</f>
        <v/>
      </c>
      <c r="E1005" s="585" t="str">
        <f ca="1">IF(OR('Reconciliation report'!$E$9=RefData!$B$5,'Reconciliation report'!$E$374=RefData!$B$25),$B1005&amp;$C1005,"")</f>
        <v/>
      </c>
      <c r="F1005" s="585" t="str">
        <f ca="1">IF(OR('Reconciliation report'!$E$9=RefData!$B$5,'Reconciliation report'!$E$374=RefData!$B$25),$B1005&amp;$C1005,"")</f>
        <v/>
      </c>
      <c r="G1005" s="585" t="str">
        <f>""</f>
        <v/>
      </c>
      <c r="H1005" s="585" t="str">
        <f>""</f>
        <v/>
      </c>
      <c r="I1005" s="595" t="str">
        <f ca="1">IF($C$1=RefData!$B$418,'All Statement of strategy (D)'!$E1005,IF('All Statement of strategy (D)'!$C$1=RefData!$B$419,'All Statement of strategy (D)'!$F1005,IF('All Statement of strategy (D)'!$C$1=RefData!$B$420,'All Statement of strategy (D)'!$G1005,IF('All Statement of strategy (D)'!$C$1=RefData!$B$421,'All Statement of strategy (D)'!$H1005," "))))</f>
        <v xml:space="preserve"> </v>
      </c>
    </row>
    <row r="1006" spans="1:9">
      <c r="A1006" s="584" t="s">
        <v>2342</v>
      </c>
      <c r="B1006" s="594" t="str">
        <f ca="1">TEXT('Reconciliation report'!$E$382,RefData!$B$425)</f>
        <v/>
      </c>
      <c r="E1006" s="585" t="str">
        <f ca="1">IF(OR('Reconciliation report'!$E$9=RefData!$B$5,'Reconciliation report'!$E$374=RefData!$B$25),$B1006&amp;$C1006,"")</f>
        <v/>
      </c>
      <c r="F1006" s="585" t="str">
        <f ca="1">IF(OR('Reconciliation report'!$E$9=RefData!$B$5,'Reconciliation report'!$E$374=RefData!$B$25),$B1006&amp;$C1006,"")</f>
        <v/>
      </c>
      <c r="G1006" s="585" t="str">
        <f>""</f>
        <v/>
      </c>
      <c r="H1006" s="585" t="str">
        <f>""</f>
        <v/>
      </c>
      <c r="I1006" s="595" t="str">
        <f ca="1">IF($C$1=RefData!$B$418,'All Statement of strategy (D)'!$E1006,IF('All Statement of strategy (D)'!$C$1=RefData!$B$419,'All Statement of strategy (D)'!$F1006,IF('All Statement of strategy (D)'!$C$1=RefData!$B$420,'All Statement of strategy (D)'!$G1006,IF('All Statement of strategy (D)'!$C$1=RefData!$B$421,'All Statement of strategy (D)'!$H1006," "))))</f>
        <v xml:space="preserve"> </v>
      </c>
    </row>
    <row r="1007" spans="1:9">
      <c r="A1007" s="584" t="s">
        <v>2343</v>
      </c>
      <c r="B1007" s="594" t="str">
        <f ca="1">TEXT('Reconciliation report'!$E$383,RefData!$B$425)</f>
        <v/>
      </c>
      <c r="E1007" s="585" t="str">
        <f ca="1">IF(OR('Reconciliation report'!$E$9=RefData!$B$5,'Reconciliation report'!$E$374=RefData!$B$25),$B1007&amp;$C1007,"")</f>
        <v/>
      </c>
      <c r="F1007" s="585" t="str">
        <f ca="1">IF(OR('Reconciliation report'!$E$9=RefData!$B$5,'Reconciliation report'!$E$374=RefData!$B$25),$B1007&amp;$C1007,"")</f>
        <v/>
      </c>
      <c r="G1007" s="585" t="str">
        <f>""</f>
        <v/>
      </c>
      <c r="H1007" s="585" t="str">
        <f>""</f>
        <v/>
      </c>
      <c r="I1007" s="595" t="str">
        <f ca="1">IF($C$1=RefData!$B$418,'All Statement of strategy (D)'!$E1007,IF('All Statement of strategy (D)'!$C$1=RefData!$B$419,'All Statement of strategy (D)'!$F1007,IF('All Statement of strategy (D)'!$C$1=RefData!$B$420,'All Statement of strategy (D)'!$G1007,IF('All Statement of strategy (D)'!$C$1=RefData!$B$421,'All Statement of strategy (D)'!$H1007," "))))</f>
        <v xml:space="preserve"> </v>
      </c>
    </row>
    <row r="1008" spans="1:9">
      <c r="A1008" s="584" t="s">
        <v>2344</v>
      </c>
      <c r="B1008" s="594" t="str">
        <f ca="1">TEXT('Reconciliation report'!$E$384,RefData!$B$425)</f>
        <v/>
      </c>
      <c r="E1008" s="585" t="str">
        <f ca="1">IF(OR('Reconciliation report'!$E$9=RefData!$B$5,'Reconciliation report'!$E$374=RefData!$B$25),$B1008&amp;$C1008,"")</f>
        <v/>
      </c>
      <c r="F1008" s="585" t="str">
        <f ca="1">IF(OR('Reconciliation report'!$E$9=RefData!$B$5,'Reconciliation report'!$E$374=RefData!$B$25),$B1008&amp;$C1008,"")</f>
        <v/>
      </c>
      <c r="G1008" s="585" t="str">
        <f>""</f>
        <v/>
      </c>
      <c r="H1008" s="585" t="str">
        <f>""</f>
        <v/>
      </c>
      <c r="I1008" s="595" t="str">
        <f ca="1">IF($C$1=RefData!$B$418,'All Statement of strategy (D)'!$E1008,IF('All Statement of strategy (D)'!$C$1=RefData!$B$419,'All Statement of strategy (D)'!$F1008,IF('All Statement of strategy (D)'!$C$1=RefData!$B$420,'All Statement of strategy (D)'!$G1008,IF('All Statement of strategy (D)'!$C$1=RefData!$B$421,'All Statement of strategy (D)'!$H1008," "))))</f>
        <v xml:space="preserve"> </v>
      </c>
    </row>
    <row r="1009" spans="1:9">
      <c r="A1009" s="584" t="s">
        <v>2345</v>
      </c>
      <c r="B1009" s="594" t="str">
        <f ca="1">TEXT('Reconciliation report'!$E$385,RefData!$B$425)</f>
        <v/>
      </c>
      <c r="E1009" s="585" t="str">
        <f ca="1">IF(OR('Reconciliation report'!$E$9=RefData!$B$5,'Reconciliation report'!$E$374=RefData!$B$25),$B1009&amp;$C1009,"")</f>
        <v/>
      </c>
      <c r="F1009" s="585" t="str">
        <f ca="1">IF(OR('Reconciliation report'!$E$9=RefData!$B$5,'Reconciliation report'!$E$374=RefData!$B$25),$B1009&amp;$C1009,"")</f>
        <v/>
      </c>
      <c r="G1009" s="585" t="str">
        <f>""</f>
        <v/>
      </c>
      <c r="H1009" s="585" t="str">
        <f>""</f>
        <v/>
      </c>
      <c r="I1009" s="595" t="str">
        <f ca="1">IF($C$1=RefData!$B$418,'All Statement of strategy (D)'!$E1009,IF('All Statement of strategy (D)'!$C$1=RefData!$B$419,'All Statement of strategy (D)'!$F1009,IF('All Statement of strategy (D)'!$C$1=RefData!$B$420,'All Statement of strategy (D)'!$G1009,IF('All Statement of strategy (D)'!$C$1=RefData!$B$421,'All Statement of strategy (D)'!$H1009," "))))</f>
        <v xml:space="preserve"> </v>
      </c>
    </row>
    <row r="1010" spans="1:9">
      <c r="A1010" s="584" t="s">
        <v>2346</v>
      </c>
      <c r="B1010" s="594" t="str">
        <f ca="1">TEXT('Reconciliation report'!$E$386,RefData!$B$425)</f>
        <v/>
      </c>
      <c r="E1010" s="585" t="str">
        <f ca="1">IF(OR('Reconciliation report'!$E$9=RefData!$B$5,'Reconciliation report'!$E$374=RefData!$B$25),$B1010&amp;$C1010,"")</f>
        <v/>
      </c>
      <c r="F1010" s="585" t="str">
        <f ca="1">IF(OR('Reconciliation report'!$E$9=RefData!$B$5,'Reconciliation report'!$E$374=RefData!$B$25),$B1010&amp;$C1010,"")</f>
        <v/>
      </c>
      <c r="G1010" s="585" t="str">
        <f>""</f>
        <v/>
      </c>
      <c r="H1010" s="585" t="str">
        <f>""</f>
        <v/>
      </c>
      <c r="I1010" s="595" t="str">
        <f ca="1">IF($C$1=RefData!$B$418,'All Statement of strategy (D)'!$E1010,IF('All Statement of strategy (D)'!$C$1=RefData!$B$419,'All Statement of strategy (D)'!$F1010,IF('All Statement of strategy (D)'!$C$1=RefData!$B$420,'All Statement of strategy (D)'!$G1010,IF('All Statement of strategy (D)'!$C$1=RefData!$B$421,'All Statement of strategy (D)'!$H1010," "))))</f>
        <v xml:space="preserve"> </v>
      </c>
    </row>
    <row r="1011" spans="1:9">
      <c r="A1011" s="584" t="s">
        <v>2347</v>
      </c>
      <c r="B1011" s="594" t="str">
        <f ca="1">TEXT('Reconciliation report'!$E$387,RefData!$B$425)</f>
        <v/>
      </c>
      <c r="E1011" s="585" t="str">
        <f ca="1">IF(OR('Reconciliation report'!$E$9=RefData!$B$5,'Reconciliation report'!$E$374=RefData!$B$25),$B1011&amp;$C1011,"")</f>
        <v/>
      </c>
      <c r="F1011" s="585" t="str">
        <f ca="1">IF(OR('Reconciliation report'!$E$9=RefData!$B$5,'Reconciliation report'!$E$374=RefData!$B$25),$B1011&amp;$C1011,"")</f>
        <v/>
      </c>
      <c r="G1011" s="585" t="str">
        <f>""</f>
        <v/>
      </c>
      <c r="H1011" s="585" t="str">
        <f>""</f>
        <v/>
      </c>
      <c r="I1011" s="595" t="str">
        <f ca="1">IF($C$1=RefData!$B$418,'All Statement of strategy (D)'!$E1011,IF('All Statement of strategy (D)'!$C$1=RefData!$B$419,'All Statement of strategy (D)'!$F1011,IF('All Statement of strategy (D)'!$C$1=RefData!$B$420,'All Statement of strategy (D)'!$G1011,IF('All Statement of strategy (D)'!$C$1=RefData!$B$421,'All Statement of strategy (D)'!$H1011," "))))</f>
        <v xml:space="preserve"> </v>
      </c>
    </row>
    <row r="1012" spans="1:9">
      <c r="A1012" s="584" t="s">
        <v>2348</v>
      </c>
      <c r="B1012" s="594" t="str">
        <f ca="1">TEXT('Reconciliation report'!$E$388,RefData!$B$425)</f>
        <v/>
      </c>
      <c r="E1012" s="585" t="str">
        <f ca="1">IF(OR('Reconciliation report'!$E$9=RefData!$B$5,'Reconciliation report'!$E$374=RefData!$B$25),$B1012&amp;$C1012,"")</f>
        <v/>
      </c>
      <c r="F1012" s="585" t="str">
        <f ca="1">IF(OR('Reconciliation report'!$E$9=RefData!$B$5,'Reconciliation report'!$E$374=RefData!$B$25),$B1012&amp;$C1012,"")</f>
        <v/>
      </c>
      <c r="G1012" s="585" t="str">
        <f>""</f>
        <v/>
      </c>
      <c r="H1012" s="585" t="str">
        <f>""</f>
        <v/>
      </c>
      <c r="I1012" s="595" t="str">
        <f ca="1">IF($C$1=RefData!$B$418,'All Statement of strategy (D)'!$E1012,IF('All Statement of strategy (D)'!$C$1=RefData!$B$419,'All Statement of strategy (D)'!$F1012,IF('All Statement of strategy (D)'!$C$1=RefData!$B$420,'All Statement of strategy (D)'!$G1012,IF('All Statement of strategy (D)'!$C$1=RefData!$B$421,'All Statement of strategy (D)'!$H1012," "))))</f>
        <v xml:space="preserve"> </v>
      </c>
    </row>
    <row r="1013" spans="1:9">
      <c r="A1013" s="584" t="s">
        <v>2349</v>
      </c>
      <c r="B1013" s="594" t="str">
        <f ca="1">TEXT('Reconciliation report'!$E$389,RefData!$B$425)</f>
        <v/>
      </c>
      <c r="E1013" s="585" t="str">
        <f ca="1">IF(OR('Reconciliation report'!$E$9=RefData!$B$5,'Reconciliation report'!$E$374=RefData!$B$25),$B1013&amp;$C1013,"")</f>
        <v/>
      </c>
      <c r="F1013" s="585" t="str">
        <f ca="1">IF(OR('Reconciliation report'!$E$9=RefData!$B$5,'Reconciliation report'!$E$374=RefData!$B$25),$B1013&amp;$C1013,"")</f>
        <v/>
      </c>
      <c r="G1013" s="585" t="str">
        <f>""</f>
        <v/>
      </c>
      <c r="H1013" s="585" t="str">
        <f>""</f>
        <v/>
      </c>
      <c r="I1013" s="595" t="str">
        <f ca="1">IF($C$1=RefData!$B$418,'All Statement of strategy (D)'!$E1013,IF('All Statement of strategy (D)'!$C$1=RefData!$B$419,'All Statement of strategy (D)'!$F1013,IF('All Statement of strategy (D)'!$C$1=RefData!$B$420,'All Statement of strategy (D)'!$G1013,IF('All Statement of strategy (D)'!$C$1=RefData!$B$421,'All Statement of strategy (D)'!$H1013," "))))</f>
        <v xml:space="preserve"> </v>
      </c>
    </row>
    <row r="1014" spans="1:9">
      <c r="A1014" s="584" t="s">
        <v>2350</v>
      </c>
      <c r="B1014" s="594" t="str">
        <f ca="1">TEXT('Reconciliation report'!$E$390,RefData!$B$425)</f>
        <v/>
      </c>
      <c r="E1014" s="585" t="str">
        <f ca="1">IF(OR('Reconciliation report'!$E$9=RefData!$B$5,'Reconciliation report'!$E$374=RefData!$B$25),$B1014&amp;$C1014,"")</f>
        <v/>
      </c>
      <c r="F1014" s="585" t="str">
        <f ca="1">IF(OR('Reconciliation report'!$E$9=RefData!$B$5,'Reconciliation report'!$E$374=RefData!$B$25),$B1014&amp;$C1014,"")</f>
        <v/>
      </c>
      <c r="G1014" s="585" t="str">
        <f>""</f>
        <v/>
      </c>
      <c r="H1014" s="585" t="str">
        <f>""</f>
        <v/>
      </c>
      <c r="I1014" s="595" t="str">
        <f ca="1">IF($C$1=RefData!$B$418,'All Statement of strategy (D)'!$E1014,IF('All Statement of strategy (D)'!$C$1=RefData!$B$419,'All Statement of strategy (D)'!$F1014,IF('All Statement of strategy (D)'!$C$1=RefData!$B$420,'All Statement of strategy (D)'!$G1014,IF('All Statement of strategy (D)'!$C$1=RefData!$B$421,'All Statement of strategy (D)'!$H1014," "))))</f>
        <v xml:space="preserve"> </v>
      </c>
    </row>
    <row r="1015" spans="1:9">
      <c r="A1015" s="584" t="s">
        <v>2351</v>
      </c>
      <c r="B1015" s="594" t="str">
        <f ca="1">TEXT('Reconciliation report'!$E$391,RefData!$B$425)</f>
        <v/>
      </c>
      <c r="E1015" s="585" t="str">
        <f ca="1">IF(OR('Reconciliation report'!$E$9=RefData!$B$5,'Reconciliation report'!$E$374=RefData!$B$25),$B1015&amp;$C1015,"")</f>
        <v/>
      </c>
      <c r="F1015" s="585" t="str">
        <f ca="1">IF(OR('Reconciliation report'!$E$9=RefData!$B$5,'Reconciliation report'!$E$374=RefData!$B$25),$B1015&amp;$C1015,"")</f>
        <v/>
      </c>
      <c r="G1015" s="585" t="str">
        <f>""</f>
        <v/>
      </c>
      <c r="H1015" s="585" t="str">
        <f>""</f>
        <v/>
      </c>
      <c r="I1015" s="595" t="str">
        <f ca="1">IF($C$1=RefData!$B$418,'All Statement of strategy (D)'!$E1015,IF('All Statement of strategy (D)'!$C$1=RefData!$B$419,'All Statement of strategy (D)'!$F1015,IF('All Statement of strategy (D)'!$C$1=RefData!$B$420,'All Statement of strategy (D)'!$G1015,IF('All Statement of strategy (D)'!$C$1=RefData!$B$421,'All Statement of strategy (D)'!$H1015," "))))</f>
        <v xml:space="preserve"> </v>
      </c>
    </row>
    <row r="1016" spans="1:9">
      <c r="A1016" s="584" t="s">
        <v>2352</v>
      </c>
      <c r="B1016" s="594" t="str">
        <f ca="1">TEXT('Reconciliation report'!$E$392,RefData!$B$425)</f>
        <v/>
      </c>
      <c r="E1016" s="585" t="str">
        <f ca="1">IF(OR('Reconciliation report'!$E$9=RefData!$B$5,'Reconciliation report'!$E$374=RefData!$B$25),$B1016&amp;$C1016,"")</f>
        <v/>
      </c>
      <c r="F1016" s="585" t="str">
        <f ca="1">IF(OR('Reconciliation report'!$E$9=RefData!$B$5,'Reconciliation report'!$E$374=RefData!$B$25),$B1016&amp;$C1016,"")</f>
        <v/>
      </c>
      <c r="G1016" s="585" t="str">
        <f>""</f>
        <v/>
      </c>
      <c r="H1016" s="585" t="str">
        <f>""</f>
        <v/>
      </c>
      <c r="I1016" s="595" t="str">
        <f ca="1">IF($C$1=RefData!$B$418,'All Statement of strategy (D)'!$E1016,IF('All Statement of strategy (D)'!$C$1=RefData!$B$419,'All Statement of strategy (D)'!$F1016,IF('All Statement of strategy (D)'!$C$1=RefData!$B$420,'All Statement of strategy (D)'!$G1016,IF('All Statement of strategy (D)'!$C$1=RefData!$B$421,'All Statement of strategy (D)'!$H1016," "))))</f>
        <v xml:space="preserve"> </v>
      </c>
    </row>
    <row r="1017" spans="1:9">
      <c r="A1017" s="584" t="s">
        <v>2353</v>
      </c>
      <c r="B1017" s="594" t="str">
        <f ca="1">TEXT('Reconciliation report'!$E$393,RefData!$B$425)</f>
        <v/>
      </c>
      <c r="E1017" s="585" t="str">
        <f ca="1">IF(OR('Reconciliation report'!$E$9=RefData!$B$5,'Reconciliation report'!$E$374=RefData!$B$25),$B1017&amp;$C1017,"")</f>
        <v/>
      </c>
      <c r="F1017" s="585" t="str">
        <f ca="1">IF(OR('Reconciliation report'!$E$9=RefData!$B$5,'Reconciliation report'!$E$374=RefData!$B$25),$B1017&amp;$C1017,"")</f>
        <v/>
      </c>
      <c r="G1017" s="585" t="str">
        <f>""</f>
        <v/>
      </c>
      <c r="H1017" s="585" t="str">
        <f>""</f>
        <v/>
      </c>
      <c r="I1017" s="595" t="str">
        <f ca="1">IF($C$1=RefData!$B$418,'All Statement of strategy (D)'!$E1017,IF('All Statement of strategy (D)'!$C$1=RefData!$B$419,'All Statement of strategy (D)'!$F1017,IF('All Statement of strategy (D)'!$C$1=RefData!$B$420,'All Statement of strategy (D)'!$G1017,IF('All Statement of strategy (D)'!$C$1=RefData!$B$421,'All Statement of strategy (D)'!$H1017," "))))</f>
        <v xml:space="preserve"> </v>
      </c>
    </row>
    <row r="1018" spans="1:9">
      <c r="A1018" s="584" t="s">
        <v>2354</v>
      </c>
      <c r="B1018" s="594" t="str">
        <f ca="1">TEXT('Reconciliation report'!$E$394,RefData!$B$425)</f>
        <v/>
      </c>
      <c r="E1018" s="585" t="str">
        <f ca="1">IF(OR('Reconciliation report'!$E$9=RefData!$B$5,'Reconciliation report'!$E$374=RefData!$B$25),$B1018&amp;$C1018,"")</f>
        <v/>
      </c>
      <c r="F1018" s="585" t="str">
        <f ca="1">IF(OR('Reconciliation report'!$E$9=RefData!$B$5,'Reconciliation report'!$E$374=RefData!$B$25),$B1018&amp;$C1018,"")</f>
        <v/>
      </c>
      <c r="G1018" s="585" t="str">
        <f>""</f>
        <v/>
      </c>
      <c r="H1018" s="585" t="str">
        <f>""</f>
        <v/>
      </c>
      <c r="I1018" s="595" t="str">
        <f ca="1">IF($C$1=RefData!$B$418,'All Statement of strategy (D)'!$E1018,IF('All Statement of strategy (D)'!$C$1=RefData!$B$419,'All Statement of strategy (D)'!$F1018,IF('All Statement of strategy (D)'!$C$1=RefData!$B$420,'All Statement of strategy (D)'!$G1018,IF('All Statement of strategy (D)'!$C$1=RefData!$B$421,'All Statement of strategy (D)'!$H1018," "))))</f>
        <v xml:space="preserve"> </v>
      </c>
    </row>
    <row r="1019" spans="1:9">
      <c r="A1019" s="584" t="s">
        <v>2355</v>
      </c>
      <c r="B1019" s="594" t="str">
        <f ca="1">TEXT('Reconciliation report'!$E$395,RefData!$B$425)</f>
        <v/>
      </c>
      <c r="E1019" s="585" t="str">
        <f ca="1">IF(OR('Reconciliation report'!$E$9=RefData!$B$5,'Reconciliation report'!$E$374=RefData!$B$25),$B1019&amp;$C1019,"")</f>
        <v/>
      </c>
      <c r="F1019" s="585" t="str">
        <f ca="1">IF(OR('Reconciliation report'!$E$9=RefData!$B$5,'Reconciliation report'!$E$374=RefData!$B$25),$B1019&amp;$C1019,"")</f>
        <v/>
      </c>
      <c r="G1019" s="585" t="str">
        <f>""</f>
        <v/>
      </c>
      <c r="H1019" s="585" t="str">
        <f>""</f>
        <v/>
      </c>
      <c r="I1019" s="595" t="str">
        <f ca="1">IF($C$1=RefData!$B$418,'All Statement of strategy (D)'!$E1019,IF('All Statement of strategy (D)'!$C$1=RefData!$B$419,'All Statement of strategy (D)'!$F1019,IF('All Statement of strategy (D)'!$C$1=RefData!$B$420,'All Statement of strategy (D)'!$G1019,IF('All Statement of strategy (D)'!$C$1=RefData!$B$421,'All Statement of strategy (D)'!$H1019," "))))</f>
        <v xml:space="preserve"> </v>
      </c>
    </row>
    <row r="1020" spans="1:9">
      <c r="A1020" s="584" t="s">
        <v>2356</v>
      </c>
      <c r="B1020" s="594" t="str">
        <f ca="1">TEXT('Reconciliation report'!$E$396,RefData!$B$425)</f>
        <v/>
      </c>
      <c r="E1020" s="585" t="str">
        <f ca="1">IF(OR('Reconciliation report'!$E$9=RefData!$B$5,'Reconciliation report'!$E$374=RefData!$B$25),$B1020&amp;$C1020,"")</f>
        <v/>
      </c>
      <c r="F1020" s="585" t="str">
        <f ca="1">IF(OR('Reconciliation report'!$E$9=RefData!$B$5,'Reconciliation report'!$E$374=RefData!$B$25),$B1020&amp;$C1020,"")</f>
        <v/>
      </c>
      <c r="G1020" s="585" t="str">
        <f>""</f>
        <v/>
      </c>
      <c r="H1020" s="585" t="str">
        <f>""</f>
        <v/>
      </c>
      <c r="I1020" s="595" t="str">
        <f ca="1">IF($C$1=RefData!$B$418,'All Statement of strategy (D)'!$E1020,IF('All Statement of strategy (D)'!$C$1=RefData!$B$419,'All Statement of strategy (D)'!$F1020,IF('All Statement of strategy (D)'!$C$1=RefData!$B$420,'All Statement of strategy (D)'!$G1020,IF('All Statement of strategy (D)'!$C$1=RefData!$B$421,'All Statement of strategy (D)'!$H1020," "))))</f>
        <v xml:space="preserve"> </v>
      </c>
    </row>
    <row r="1021" spans="1:9">
      <c r="A1021" s="584" t="s">
        <v>2357</v>
      </c>
      <c r="B1021" s="594" t="str">
        <f ca="1">TEXT('Reconciliation report'!$E$397,RefData!$B$425)</f>
        <v/>
      </c>
      <c r="E1021" s="585" t="str">
        <f ca="1">IF(OR('Reconciliation report'!$E$9=RefData!$B$5,'Reconciliation report'!$E$374=RefData!$B$25),$B1021&amp;$C1021,"")</f>
        <v/>
      </c>
      <c r="F1021" s="585" t="str">
        <f ca="1">IF(OR('Reconciliation report'!$E$9=RefData!$B$5,'Reconciliation report'!$E$374=RefData!$B$25),$B1021&amp;$C1021,"")</f>
        <v/>
      </c>
      <c r="G1021" s="585" t="str">
        <f>""</f>
        <v/>
      </c>
      <c r="H1021" s="585" t="str">
        <f>""</f>
        <v/>
      </c>
      <c r="I1021" s="595" t="str">
        <f ca="1">IF($C$1=RefData!$B$418,'All Statement of strategy (D)'!$E1021,IF('All Statement of strategy (D)'!$C$1=RefData!$B$419,'All Statement of strategy (D)'!$F1021,IF('All Statement of strategy (D)'!$C$1=RefData!$B$420,'All Statement of strategy (D)'!$G1021,IF('All Statement of strategy (D)'!$C$1=RefData!$B$421,'All Statement of strategy (D)'!$H1021," "))))</f>
        <v xml:space="preserve"> </v>
      </c>
    </row>
    <row r="1022" spans="1:9">
      <c r="A1022" s="584" t="s">
        <v>2358</v>
      </c>
      <c r="B1022" s="594" t="str">
        <f ca="1">TEXT('Reconciliation report'!$E$398,RefData!$B$425)</f>
        <v/>
      </c>
      <c r="E1022" s="585" t="str">
        <f ca="1">IF(OR('Reconciliation report'!$E$9=RefData!$B$5,'Reconciliation report'!$E$374=RefData!$B$25),$B1022&amp;$C1022,"")</f>
        <v/>
      </c>
      <c r="F1022" s="585" t="str">
        <f ca="1">IF(OR('Reconciliation report'!$E$9=RefData!$B$5,'Reconciliation report'!$E$374=RefData!$B$25),$B1022&amp;$C1022,"")</f>
        <v/>
      </c>
      <c r="G1022" s="585" t="str">
        <f>""</f>
        <v/>
      </c>
      <c r="H1022" s="585" t="str">
        <f>""</f>
        <v/>
      </c>
      <c r="I1022" s="595" t="str">
        <f ca="1">IF($C$1=RefData!$B$418,'All Statement of strategy (D)'!$E1022,IF('All Statement of strategy (D)'!$C$1=RefData!$B$419,'All Statement of strategy (D)'!$F1022,IF('All Statement of strategy (D)'!$C$1=RefData!$B$420,'All Statement of strategy (D)'!$G1022,IF('All Statement of strategy (D)'!$C$1=RefData!$B$421,'All Statement of strategy (D)'!$H1022," "))))</f>
        <v xml:space="preserve"> </v>
      </c>
    </row>
    <row r="1023" spans="1:9">
      <c r="A1023" s="584" t="s">
        <v>2359</v>
      </c>
      <c r="B1023" s="594" t="str">
        <f ca="1">TEXT('Reconciliation report'!$E$399,RefData!$B$425)</f>
        <v/>
      </c>
      <c r="E1023" s="585" t="str">
        <f ca="1">IF(OR('Reconciliation report'!$E$9=RefData!$B$5,'Reconciliation report'!$E$374=RefData!$B$25),$B1023&amp;$C1023,"")</f>
        <v/>
      </c>
      <c r="F1023" s="585" t="str">
        <f ca="1">IF(OR('Reconciliation report'!$E$9=RefData!$B$5,'Reconciliation report'!$E$374=RefData!$B$25),$B1023&amp;$C1023,"")</f>
        <v/>
      </c>
      <c r="G1023" s="585" t="str">
        <f>""</f>
        <v/>
      </c>
      <c r="H1023" s="585" t="str">
        <f>""</f>
        <v/>
      </c>
      <c r="I1023" s="595" t="str">
        <f ca="1">IF($C$1=RefData!$B$418,'All Statement of strategy (D)'!$E1023,IF('All Statement of strategy (D)'!$C$1=RefData!$B$419,'All Statement of strategy (D)'!$F1023,IF('All Statement of strategy (D)'!$C$1=RefData!$B$420,'All Statement of strategy (D)'!$G1023,IF('All Statement of strategy (D)'!$C$1=RefData!$B$421,'All Statement of strategy (D)'!$H1023," "))))</f>
        <v xml:space="preserve"> </v>
      </c>
    </row>
    <row r="1024" spans="1:9">
      <c r="A1024" s="584" t="s">
        <v>2360</v>
      </c>
      <c r="B1024" s="594" t="str">
        <f ca="1">TEXT('Reconciliation report'!$E$400,RefData!$B$425)</f>
        <v/>
      </c>
      <c r="E1024" s="585" t="str">
        <f ca="1">IF(OR('Reconciliation report'!$E$9=RefData!$B$5,'Reconciliation report'!$E$374=RefData!$B$25),$B1024&amp;$C1024,"")</f>
        <v/>
      </c>
      <c r="F1024" s="585" t="str">
        <f ca="1">IF(OR('Reconciliation report'!$E$9=RefData!$B$5,'Reconciliation report'!$E$374=RefData!$B$25),$B1024&amp;$C1024,"")</f>
        <v/>
      </c>
      <c r="G1024" s="585" t="str">
        <f>""</f>
        <v/>
      </c>
      <c r="H1024" s="585" t="str">
        <f>""</f>
        <v/>
      </c>
      <c r="I1024" s="595" t="str">
        <f ca="1">IF($C$1=RefData!$B$418,'All Statement of strategy (D)'!$E1024,IF('All Statement of strategy (D)'!$C$1=RefData!$B$419,'All Statement of strategy (D)'!$F1024,IF('All Statement of strategy (D)'!$C$1=RefData!$B$420,'All Statement of strategy (D)'!$G1024,IF('All Statement of strategy (D)'!$C$1=RefData!$B$421,'All Statement of strategy (D)'!$H1024," "))))</f>
        <v xml:space="preserve"> </v>
      </c>
    </row>
    <row r="1025" spans="1:9">
      <c r="A1025" s="584" t="s">
        <v>2361</v>
      </c>
      <c r="B1025" s="594" t="str">
        <f ca="1">TEXT('Reconciliation report'!$E$401,RefData!$B$425)</f>
        <v/>
      </c>
      <c r="E1025" s="585" t="str">
        <f ca="1">IF(OR('Reconciliation report'!$E$9=RefData!$B$5,'Reconciliation report'!$E$374=RefData!$B$25),$B1025&amp;$C1025,"")</f>
        <v/>
      </c>
      <c r="F1025" s="585" t="str">
        <f ca="1">IF(OR('Reconciliation report'!$E$9=RefData!$B$5,'Reconciliation report'!$E$374=RefData!$B$25),$B1025&amp;$C1025,"")</f>
        <v/>
      </c>
      <c r="G1025" s="585" t="str">
        <f>""</f>
        <v/>
      </c>
      <c r="H1025" s="585" t="str">
        <f>""</f>
        <v/>
      </c>
      <c r="I1025" s="595" t="str">
        <f ca="1">IF($C$1=RefData!$B$418,'All Statement of strategy (D)'!$E1025,IF('All Statement of strategy (D)'!$C$1=RefData!$B$419,'All Statement of strategy (D)'!$F1025,IF('All Statement of strategy (D)'!$C$1=RefData!$B$420,'All Statement of strategy (D)'!$G1025,IF('All Statement of strategy (D)'!$C$1=RefData!$B$421,'All Statement of strategy (D)'!$H1025," "))))</f>
        <v xml:space="preserve"> </v>
      </c>
    </row>
    <row r="1026" spans="1:9">
      <c r="A1026" s="584" t="s">
        <v>2362</v>
      </c>
      <c r="B1026" s="594" t="str">
        <f ca="1">TEXT('Reconciliation report'!$E$402,RefData!$B$425)</f>
        <v/>
      </c>
      <c r="E1026" s="585" t="str">
        <f ca="1">IF(OR('Reconciliation report'!$E$9=RefData!$B$5,'Reconciliation report'!$E$374=RefData!$B$25),$B1026&amp;$C1026,"")</f>
        <v/>
      </c>
      <c r="F1026" s="585" t="str">
        <f ca="1">IF(OR('Reconciliation report'!$E$9=RefData!$B$5,'Reconciliation report'!$E$374=RefData!$B$25),$B1026&amp;$C1026,"")</f>
        <v/>
      </c>
      <c r="G1026" s="585" t="str">
        <f>""</f>
        <v/>
      </c>
      <c r="H1026" s="585" t="str">
        <f>""</f>
        <v/>
      </c>
      <c r="I1026" s="595" t="str">
        <f ca="1">IF($C$1=RefData!$B$418,'All Statement of strategy (D)'!$E1026,IF('All Statement of strategy (D)'!$C$1=RefData!$B$419,'All Statement of strategy (D)'!$F1026,IF('All Statement of strategy (D)'!$C$1=RefData!$B$420,'All Statement of strategy (D)'!$G1026,IF('All Statement of strategy (D)'!$C$1=RefData!$B$421,'All Statement of strategy (D)'!$H1026," "))))</f>
        <v xml:space="preserve"> </v>
      </c>
    </row>
    <row r="1027" spans="1:9">
      <c r="A1027" s="584" t="s">
        <v>2363</v>
      </c>
      <c r="B1027" s="594" t="str">
        <f ca="1">TEXT('Reconciliation report'!$E$403,RefData!$B$425)</f>
        <v/>
      </c>
      <c r="E1027" s="585" t="str">
        <f ca="1">IF(OR('Reconciliation report'!$E$9=RefData!$B$5,'Reconciliation report'!$E$374=RefData!$B$25),$B1027&amp;$C1027,"")</f>
        <v/>
      </c>
      <c r="F1027" s="585" t="str">
        <f ca="1">IF(OR('Reconciliation report'!$E$9=RefData!$B$5,'Reconciliation report'!$E$374=RefData!$B$25),$B1027&amp;$C1027,"")</f>
        <v/>
      </c>
      <c r="G1027" s="585" t="str">
        <f>""</f>
        <v/>
      </c>
      <c r="H1027" s="585" t="str">
        <f>""</f>
        <v/>
      </c>
      <c r="I1027" s="595" t="str">
        <f ca="1">IF($C$1=RefData!$B$418,'All Statement of strategy (D)'!$E1027,IF('All Statement of strategy (D)'!$C$1=RefData!$B$419,'All Statement of strategy (D)'!$F1027,IF('All Statement of strategy (D)'!$C$1=RefData!$B$420,'All Statement of strategy (D)'!$G1027,IF('All Statement of strategy (D)'!$C$1=RefData!$B$421,'All Statement of strategy (D)'!$H1027," "))))</f>
        <v xml:space="preserve"> </v>
      </c>
    </row>
    <row r="1028" spans="1:9">
      <c r="A1028" s="584" t="s">
        <v>2364</v>
      </c>
      <c r="B1028" s="594" t="str">
        <f ca="1">TEXT('Reconciliation report'!$E$404,RefData!$B$425)</f>
        <v/>
      </c>
      <c r="E1028" s="585" t="str">
        <f ca="1">IF(OR('Reconciliation report'!$E$9=RefData!$B$5,'Reconciliation report'!$E$374=RefData!$B$25),$B1028&amp;$C1028,"")</f>
        <v/>
      </c>
      <c r="F1028" s="585" t="str">
        <f ca="1">IF(OR('Reconciliation report'!$E$9=RefData!$B$5,'Reconciliation report'!$E$374=RefData!$B$25),$B1028&amp;$C1028,"")</f>
        <v/>
      </c>
      <c r="G1028" s="585" t="str">
        <f>""</f>
        <v/>
      </c>
      <c r="H1028" s="585" t="str">
        <f>""</f>
        <v/>
      </c>
      <c r="I1028" s="595" t="str">
        <f ca="1">IF($C$1=RefData!$B$418,'All Statement of strategy (D)'!$E1028,IF('All Statement of strategy (D)'!$C$1=RefData!$B$419,'All Statement of strategy (D)'!$F1028,IF('All Statement of strategy (D)'!$C$1=RefData!$B$420,'All Statement of strategy (D)'!$G1028,IF('All Statement of strategy (D)'!$C$1=RefData!$B$421,'All Statement of strategy (D)'!$H1028," "))))</f>
        <v xml:space="preserve"> </v>
      </c>
    </row>
    <row r="1029" spans="1:9">
      <c r="A1029" s="584" t="s">
        <v>2365</v>
      </c>
      <c r="B1029" s="594" t="str">
        <f ca="1">TEXT('Reconciliation report'!$E$405,RefData!$B$425)</f>
        <v/>
      </c>
      <c r="E1029" s="585" t="str">
        <f ca="1">IF(OR('Reconciliation report'!$E$9=RefData!$B$5,'Reconciliation report'!$E$374=RefData!$B$25),$B1029&amp;$C1029,"")</f>
        <v/>
      </c>
      <c r="F1029" s="585" t="str">
        <f ca="1">IF(OR('Reconciliation report'!$E$9=RefData!$B$5,'Reconciliation report'!$E$374=RefData!$B$25),$B1029&amp;$C1029,"")</f>
        <v/>
      </c>
      <c r="G1029" s="585" t="str">
        <f>""</f>
        <v/>
      </c>
      <c r="H1029" s="585" t="str">
        <f>""</f>
        <v/>
      </c>
      <c r="I1029" s="595" t="str">
        <f ca="1">IF($C$1=RefData!$B$418,'All Statement of strategy (D)'!$E1029,IF('All Statement of strategy (D)'!$C$1=RefData!$B$419,'All Statement of strategy (D)'!$F1029,IF('All Statement of strategy (D)'!$C$1=RefData!$B$420,'All Statement of strategy (D)'!$G1029,IF('All Statement of strategy (D)'!$C$1=RefData!$B$421,'All Statement of strategy (D)'!$H1029," "))))</f>
        <v xml:space="preserve"> </v>
      </c>
    </row>
    <row r="1030" spans="1:9">
      <c r="A1030" s="584" t="s">
        <v>2366</v>
      </c>
      <c r="B1030" s="594" t="str">
        <f ca="1">TEXT('Reconciliation report'!$E$406,RefData!$B$425)</f>
        <v/>
      </c>
      <c r="E1030" s="585" t="str">
        <f ca="1">IF(OR('Reconciliation report'!$E$9=RefData!$B$5,'Reconciliation report'!$E$374=RefData!$B$25),$B1030&amp;$C1030,"")</f>
        <v/>
      </c>
      <c r="F1030" s="585" t="str">
        <f ca="1">IF(OR('Reconciliation report'!$E$9=RefData!$B$5,'Reconciliation report'!$E$374=RefData!$B$25),$B1030&amp;$C1030,"")</f>
        <v/>
      </c>
      <c r="G1030" s="585" t="str">
        <f>""</f>
        <v/>
      </c>
      <c r="H1030" s="585" t="str">
        <f>""</f>
        <v/>
      </c>
      <c r="I1030" s="595" t="str">
        <f ca="1">IF($C$1=RefData!$B$418,'All Statement of strategy (D)'!$E1030,IF('All Statement of strategy (D)'!$C$1=RefData!$B$419,'All Statement of strategy (D)'!$F1030,IF('All Statement of strategy (D)'!$C$1=RefData!$B$420,'All Statement of strategy (D)'!$G1030,IF('All Statement of strategy (D)'!$C$1=RefData!$B$421,'All Statement of strategy (D)'!$H1030," "))))</f>
        <v xml:space="preserve"> </v>
      </c>
    </row>
    <row r="1031" spans="1:9">
      <c r="A1031" s="584" t="s">
        <v>2367</v>
      </c>
      <c r="B1031" s="594" t="str">
        <f ca="1">TEXT('Reconciliation report'!$E$407,RefData!$B$425)</f>
        <v/>
      </c>
      <c r="E1031" s="585" t="str">
        <f ca="1">IF(OR('Reconciliation report'!$E$9=RefData!$B$5,'Reconciliation report'!$E$374=RefData!$B$25),$B1031&amp;$C1031,"")</f>
        <v/>
      </c>
      <c r="F1031" s="585" t="str">
        <f ca="1">IF(OR('Reconciliation report'!$E$9=RefData!$B$5,'Reconciliation report'!$E$374=RefData!$B$25),$B1031&amp;$C1031,"")</f>
        <v/>
      </c>
      <c r="G1031" s="585" t="str">
        <f>""</f>
        <v/>
      </c>
      <c r="H1031" s="585" t="str">
        <f>""</f>
        <v/>
      </c>
      <c r="I1031" s="595" t="str">
        <f ca="1">IF($C$1=RefData!$B$418,'All Statement of strategy (D)'!$E1031,IF('All Statement of strategy (D)'!$C$1=RefData!$B$419,'All Statement of strategy (D)'!$F1031,IF('All Statement of strategy (D)'!$C$1=RefData!$B$420,'All Statement of strategy (D)'!$G1031,IF('All Statement of strategy (D)'!$C$1=RefData!$B$421,'All Statement of strategy (D)'!$H1031," "))))</f>
        <v xml:space="preserve"> </v>
      </c>
    </row>
    <row r="1032" spans="1:9">
      <c r="A1032" s="584" t="s">
        <v>2368</v>
      </c>
      <c r="B1032" s="594" t="str">
        <f ca="1">TEXT('Reconciliation report'!$E$408,RefData!$B$425)</f>
        <v/>
      </c>
      <c r="E1032" s="585" t="str">
        <f ca="1">IF(OR('Reconciliation report'!$E$9=RefData!$B$5,'Reconciliation report'!$E$374=RefData!$B$25),$B1032&amp;$C1032,"")</f>
        <v/>
      </c>
      <c r="F1032" s="585" t="str">
        <f ca="1">IF(OR('Reconciliation report'!$E$9=RefData!$B$5,'Reconciliation report'!$E$374=RefData!$B$25),$B1032&amp;$C1032,"")</f>
        <v/>
      </c>
      <c r="G1032" s="585" t="str">
        <f>""</f>
        <v/>
      </c>
      <c r="H1032" s="585" t="str">
        <f>""</f>
        <v/>
      </c>
      <c r="I1032" s="595" t="str">
        <f ca="1">IF($C$1=RefData!$B$418,'All Statement of strategy (D)'!$E1032,IF('All Statement of strategy (D)'!$C$1=RefData!$B$419,'All Statement of strategy (D)'!$F1032,IF('All Statement of strategy (D)'!$C$1=RefData!$B$420,'All Statement of strategy (D)'!$G1032,IF('All Statement of strategy (D)'!$C$1=RefData!$B$421,'All Statement of strategy (D)'!$H1032," "))))</f>
        <v xml:space="preserve"> </v>
      </c>
    </row>
    <row r="1033" spans="1:9">
      <c r="A1033" s="584" t="s">
        <v>2369</v>
      </c>
      <c r="B1033" s="594" t="str">
        <f ca="1">TEXT('Reconciliation report'!$E$409,RefData!$B$425)</f>
        <v/>
      </c>
      <c r="E1033" s="585" t="str">
        <f ca="1">IF(OR('Reconciliation report'!$E$9=RefData!$B$5,'Reconciliation report'!$E$374=RefData!$B$25),$B1033&amp;$C1033,"")</f>
        <v/>
      </c>
      <c r="F1033" s="585" t="str">
        <f ca="1">IF(OR('Reconciliation report'!$E$9=RefData!$B$5,'Reconciliation report'!$E$374=RefData!$B$25),$B1033&amp;$C1033,"")</f>
        <v/>
      </c>
      <c r="G1033" s="585" t="str">
        <f>""</f>
        <v/>
      </c>
      <c r="H1033" s="585" t="str">
        <f>""</f>
        <v/>
      </c>
      <c r="I1033" s="595" t="str">
        <f ca="1">IF($C$1=RefData!$B$418,'All Statement of strategy (D)'!$E1033,IF('All Statement of strategy (D)'!$C$1=RefData!$B$419,'All Statement of strategy (D)'!$F1033,IF('All Statement of strategy (D)'!$C$1=RefData!$B$420,'All Statement of strategy (D)'!$G1033,IF('All Statement of strategy (D)'!$C$1=RefData!$B$421,'All Statement of strategy (D)'!$H1033," "))))</f>
        <v xml:space="preserve"> </v>
      </c>
    </row>
    <row r="1034" spans="1:9">
      <c r="A1034" s="584" t="s">
        <v>2370</v>
      </c>
      <c r="B1034" s="594" t="str">
        <f ca="1">TEXT('Reconciliation report'!$E$410,RefData!$B$425)</f>
        <v/>
      </c>
      <c r="E1034" s="585" t="str">
        <f ca="1">IF(OR('Reconciliation report'!$E$9=RefData!$B$5,'Reconciliation report'!$E$374=RefData!$B$25),$B1034&amp;$C1034,"")</f>
        <v/>
      </c>
      <c r="F1034" s="585" t="str">
        <f ca="1">IF(OR('Reconciliation report'!$E$9=RefData!$B$5,'Reconciliation report'!$E$374=RefData!$B$25),$B1034&amp;$C1034,"")</f>
        <v/>
      </c>
      <c r="G1034" s="585" t="str">
        <f>""</f>
        <v/>
      </c>
      <c r="H1034" s="585" t="str">
        <f>""</f>
        <v/>
      </c>
      <c r="I1034" s="595" t="str">
        <f ca="1">IF($C$1=RefData!$B$418,'All Statement of strategy (D)'!$E1034,IF('All Statement of strategy (D)'!$C$1=RefData!$B$419,'All Statement of strategy (D)'!$F1034,IF('All Statement of strategy (D)'!$C$1=RefData!$B$420,'All Statement of strategy (D)'!$G1034,IF('All Statement of strategy (D)'!$C$1=RefData!$B$421,'All Statement of strategy (D)'!$H1034," "))))</f>
        <v xml:space="preserve"> </v>
      </c>
    </row>
    <row r="1035" spans="1:9">
      <c r="A1035" s="584" t="s">
        <v>2371</v>
      </c>
      <c r="B1035" s="594" t="str">
        <f ca="1">TEXT('Reconciliation report'!$E$411,RefData!$B$425)</f>
        <v/>
      </c>
      <c r="E1035" s="585" t="str">
        <f ca="1">IF(OR('Reconciliation report'!$E$9=RefData!$B$5,'Reconciliation report'!$E$374=RefData!$B$25),$B1035&amp;$C1035,"")</f>
        <v/>
      </c>
      <c r="F1035" s="585" t="str">
        <f ca="1">IF(OR('Reconciliation report'!$E$9=RefData!$B$5,'Reconciliation report'!$E$374=RefData!$B$25),$B1035&amp;$C1035,"")</f>
        <v/>
      </c>
      <c r="G1035" s="585" t="str">
        <f>""</f>
        <v/>
      </c>
      <c r="H1035" s="585" t="str">
        <f>""</f>
        <v/>
      </c>
      <c r="I1035" s="595" t="str">
        <f ca="1">IF($C$1=RefData!$B$418,'All Statement of strategy (D)'!$E1035,IF('All Statement of strategy (D)'!$C$1=RefData!$B$419,'All Statement of strategy (D)'!$F1035,IF('All Statement of strategy (D)'!$C$1=RefData!$B$420,'All Statement of strategy (D)'!$G1035,IF('All Statement of strategy (D)'!$C$1=RefData!$B$421,'All Statement of strategy (D)'!$H1035," "))))</f>
        <v xml:space="preserve"> </v>
      </c>
    </row>
    <row r="1036" spans="1:9">
      <c r="A1036" s="584" t="s">
        <v>2372</v>
      </c>
      <c r="B1036" s="594" t="str">
        <f ca="1">TEXT('Reconciliation report'!$E$412,RefData!$B$425)</f>
        <v/>
      </c>
      <c r="E1036" s="585" t="str">
        <f ca="1">IF(OR('Reconciliation report'!$E$9=RefData!$B$5,'Reconciliation report'!$E$374=RefData!$B$25),$B1036&amp;$C1036,"")</f>
        <v/>
      </c>
      <c r="F1036" s="585" t="str">
        <f ca="1">IF(OR('Reconciliation report'!$E$9=RefData!$B$5,'Reconciliation report'!$E$374=RefData!$B$25),$B1036&amp;$C1036,"")</f>
        <v/>
      </c>
      <c r="G1036" s="585" t="str">
        <f>""</f>
        <v/>
      </c>
      <c r="H1036" s="585" t="str">
        <f>""</f>
        <v/>
      </c>
      <c r="I1036" s="595" t="str">
        <f ca="1">IF($C$1=RefData!$B$418,'All Statement of strategy (D)'!$E1036,IF('All Statement of strategy (D)'!$C$1=RefData!$B$419,'All Statement of strategy (D)'!$F1036,IF('All Statement of strategy (D)'!$C$1=RefData!$B$420,'All Statement of strategy (D)'!$G1036,IF('All Statement of strategy (D)'!$C$1=RefData!$B$421,'All Statement of strategy (D)'!$H1036," "))))</f>
        <v xml:space="preserve"> </v>
      </c>
    </row>
    <row r="1037" spans="1:9">
      <c r="A1037" s="584" t="s">
        <v>2373</v>
      </c>
      <c r="B1037" s="594" t="str">
        <f ca="1">TEXT('Reconciliation report'!$E$413,RefData!$B$425)</f>
        <v/>
      </c>
      <c r="E1037" s="585" t="str">
        <f ca="1">IF(OR('Reconciliation report'!$E$9=RefData!$B$5,'Reconciliation report'!$E$374=RefData!$B$25),$B1037&amp;$C1037,"")</f>
        <v/>
      </c>
      <c r="F1037" s="585" t="str">
        <f ca="1">IF(OR('Reconciliation report'!$E$9=RefData!$B$5,'Reconciliation report'!$E$374=RefData!$B$25),$B1037&amp;$C1037,"")</f>
        <v/>
      </c>
      <c r="G1037" s="585" t="str">
        <f>""</f>
        <v/>
      </c>
      <c r="H1037" s="585" t="str">
        <f>""</f>
        <v/>
      </c>
      <c r="I1037" s="595" t="str">
        <f ca="1">IF($C$1=RefData!$B$418,'All Statement of strategy (D)'!$E1037,IF('All Statement of strategy (D)'!$C$1=RefData!$B$419,'All Statement of strategy (D)'!$F1037,IF('All Statement of strategy (D)'!$C$1=RefData!$B$420,'All Statement of strategy (D)'!$G1037,IF('All Statement of strategy (D)'!$C$1=RefData!$B$421,'All Statement of strategy (D)'!$H1037," "))))</f>
        <v xml:space="preserve"> </v>
      </c>
    </row>
    <row r="1038" spans="1:9">
      <c r="A1038" s="584" t="s">
        <v>2374</v>
      </c>
      <c r="B1038" s="594" t="str">
        <f ca="1">TEXT('Reconciliation report'!$E$414,RefData!$B$425)</f>
        <v/>
      </c>
      <c r="E1038" s="585" t="str">
        <f ca="1">IF(OR('Reconciliation report'!$E$9=RefData!$B$5,'Reconciliation report'!$E$374=RefData!$B$25),$B1038&amp;$C1038,"")</f>
        <v/>
      </c>
      <c r="F1038" s="585" t="str">
        <f ca="1">IF(OR('Reconciliation report'!$E$9=RefData!$B$5,'Reconciliation report'!$E$374=RefData!$B$25),$B1038&amp;$C1038,"")</f>
        <v/>
      </c>
      <c r="G1038" s="585" t="str">
        <f>""</f>
        <v/>
      </c>
      <c r="H1038" s="585" t="str">
        <f>""</f>
        <v/>
      </c>
      <c r="I1038" s="595" t="str">
        <f ca="1">IF($C$1=RefData!$B$418,'All Statement of strategy (D)'!$E1038,IF('All Statement of strategy (D)'!$C$1=RefData!$B$419,'All Statement of strategy (D)'!$F1038,IF('All Statement of strategy (D)'!$C$1=RefData!$B$420,'All Statement of strategy (D)'!$G1038,IF('All Statement of strategy (D)'!$C$1=RefData!$B$421,'All Statement of strategy (D)'!$H1038," "))))</f>
        <v xml:space="preserve"> </v>
      </c>
    </row>
    <row r="1039" spans="1:9" ht="16" thickBot="1">
      <c r="A1039" s="584" t="s">
        <v>2375</v>
      </c>
      <c r="B1039" s="597" t="str">
        <f ca="1">TEXT('Reconciliation report'!$E$415,RefData!$B$425)</f>
        <v/>
      </c>
      <c r="C1039" s="598"/>
      <c r="D1039" s="598"/>
      <c r="E1039" s="598" t="str">
        <f ca="1">IF(OR('Reconciliation report'!$E$9=RefData!$B$5,'Reconciliation report'!$E$374=RefData!$B$25),$B1039&amp;$C1039,"")</f>
        <v/>
      </c>
      <c r="F1039" s="598" t="str">
        <f ca="1">IF(OR('Reconciliation report'!$E$9=RefData!$B$5,'Reconciliation report'!$E$374=RefData!$B$25),$B1039&amp;$C1039,"")</f>
        <v/>
      </c>
      <c r="G1039" s="598" t="str">
        <f>""</f>
        <v/>
      </c>
      <c r="H1039" s="598" t="str">
        <f>""</f>
        <v/>
      </c>
      <c r="I1039" s="599" t="str">
        <f ca="1">IF($C$1=RefData!$B$418,'All Statement of strategy (D)'!$E1039,IF('All Statement of strategy (D)'!$C$1=RefData!$B$419,'All Statement of strategy (D)'!$F1039,IF('All Statement of strategy (D)'!$C$1=RefData!$B$420,'All Statement of strategy (D)'!$G1039,IF('All Statement of strategy (D)'!$C$1=RefData!$B$421,'All Statement of strategy (D)'!$H1039," "))))</f>
        <v xml:space="preserve"> </v>
      </c>
    </row>
    <row r="1040" spans="1:9">
      <c r="B1040" s="585" t="s">
        <v>2376</v>
      </c>
      <c r="C1040" s="585" t="s">
        <v>2377</v>
      </c>
      <c r="E1040" s="585" t="str">
        <f>$B1040&amp;$C1040</f>
        <v>Appendix 3: Contingent assets</v>
      </c>
      <c r="F1040" s="585" t="str">
        <f>$B1040&amp;$C1040</f>
        <v>Appendix 3: Contingent assets</v>
      </c>
      <c r="G1040" s="585" t="str">
        <f>$B1040&amp;$C1040</f>
        <v>Appendix 3: Contingent assets</v>
      </c>
      <c r="H1040" s="585" t="str">
        <f>$B1040&amp;$C1040</f>
        <v>Appendix 3: Contingent assets</v>
      </c>
      <c r="I1040" s="585" t="str">
        <f ca="1">IF($C$1=RefData!$B$418,'All Statement of strategy (D)'!$E1040,IF('All Statement of strategy (D)'!$C$1=RefData!$B$419,'All Statement of strategy (D)'!$F1040,IF('All Statement of strategy (D)'!$C$1=RefData!$B$420,'All Statement of strategy (D)'!$G1040,IF('All Statement of strategy (D)'!$C$1=RefData!$B$421,'All Statement of strategy (D)'!$H1040," "))))</f>
        <v xml:space="preserve"> </v>
      </c>
    </row>
    <row r="1041" spans="1:9" ht="16" thickBot="1">
      <c r="B1041" s="585" t="str">
        <f>RefData!$B$429</f>
        <v>Based on the information provided, Appendix 3 is not required.</v>
      </c>
      <c r="E1041" s="585" t="str">
        <f ca="1">IF(NOT('Reconciliation report'!$E$473=RefData!$B$112),'All Statement of strategy (D)'!$B1041,"")</f>
        <v>Based on the information provided, Appendix 3 is not required.</v>
      </c>
      <c r="F1041" s="585" t="str">
        <f ca="1">IF(OR(NOT('Reconciliation report'!$E$473=RefData!$B$112),NOT('Reconciliation report'!$E$12=RefData!$B$12)),'All Statement of strategy (D)'!$B1041,"")</f>
        <v>Based on the information provided, Appendix 3 is not required.</v>
      </c>
      <c r="G1041" s="585" t="str">
        <f ca="1">IF(OR(NOT('Reconciliation report'!$E$473=RefData!$B$112),NOT('Reconciliation report'!$E$9=RefData!$B$5),NOT('Reconciliation report'!$E$13=RefData!$B$14)),'All Statement of strategy (D)'!$B1041,"")</f>
        <v>Based on the information provided, Appendix 3 is not required.</v>
      </c>
      <c r="H1041" s="585" t="str">
        <f ca="1">IF(OR(NOT('Reconciliation report'!$E$473=RefData!$B$112),NOT('Reconciliation report'!$E$9=RefData!$B$5),NOT('Reconciliation report'!$E$13=RefData!$B$14)),'All Statement of strategy (D)'!$B1041,"")</f>
        <v>Based on the information provided, Appendix 3 is not required.</v>
      </c>
      <c r="I1041" s="585" t="str">
        <f ca="1">IF($C$1=RefData!$B$418,'All Statement of strategy (D)'!$E1041,IF('All Statement of strategy (D)'!$C$1=RefData!$B$419,'All Statement of strategy (D)'!$F1041,IF('All Statement of strategy (D)'!$C$1=RefData!$B$420,'All Statement of strategy (D)'!$G1041,IF('All Statement of strategy (D)'!$C$1=RefData!$B$421,'All Statement of strategy (D)'!$H1041," "))))</f>
        <v xml:space="preserve"> </v>
      </c>
    </row>
    <row r="1042" spans="1:9" ht="16" thickBot="1">
      <c r="B1042" s="590" t="s">
        <v>2378</v>
      </c>
      <c r="C1042" s="591"/>
      <c r="D1042" s="591"/>
      <c r="E1042" s="591" t="str">
        <f ca="1">IF(AND('Reconciliation report'!$E$474&gt;0,'Reconciliation report'!$E$473=RefData!$B$112),$B1042,"")</f>
        <v/>
      </c>
      <c r="F1042" s="591" t="str">
        <f ca="1">IF(AND('Reconciliation report'!$E$474&gt;0,'Reconciliation report'!$E$473=RefData!$B$112,'Reconciliation report'!$E$12=RefData!$B$12,'Reconciliation report'!$E$474&gt;0),'All Statement of strategy (D)'!$B1042&amp;'All Statement of strategy (D)'!$C1042,"")</f>
        <v/>
      </c>
      <c r="G1042" s="591" t="str">
        <f ca="1">IF(AND('Reconciliation report'!$E$474&gt;0,'Reconciliation report'!$E$473=RefData!$B$112,'Reconciliation report'!$E$9=RefData!$B$5,'Reconciliation report'!$E$13=RefData!$B$14),'All Statement of strategy (D)'!$B1042&amp;'All Statement of strategy (D)'!$C1042,"")</f>
        <v/>
      </c>
      <c r="H1042" s="591" t="str">
        <f ca="1">IF(AND('Reconciliation report'!$E$474&gt;0,'Reconciliation report'!$E$473=RefData!$B$112,'Reconciliation report'!$E$9=RefData!$B$5,'Reconciliation report'!$E$13=RefData!$B$14),'All Statement of strategy (D)'!$B1042&amp;'All Statement of strategy (D)'!$C1042,"")</f>
        <v/>
      </c>
      <c r="I1042" s="592" t="str">
        <f ca="1">IF($C$1=RefData!$B$418,'All Statement of strategy (D)'!$E1042,IF('All Statement of strategy (D)'!$C$1=RefData!$B$419,'All Statement of strategy (D)'!$F1042,IF('All Statement of strategy (D)'!$C$1=RefData!$B$420,'All Statement of strategy (D)'!$G1042,IF('All Statement of strategy (D)'!$C$1=RefData!$B$421,'All Statement of strategy (D)'!$H1042," "))))</f>
        <v xml:space="preserve"> </v>
      </c>
    </row>
    <row r="1043" spans="1:9" ht="16" thickBot="1">
      <c r="B1043" s="597" t="s">
        <v>2379</v>
      </c>
      <c r="C1043" s="598"/>
      <c r="D1043" s="598"/>
      <c r="E1043" s="608" t="str">
        <f ca="1">IF(AND('Reconciliation report'!$E$474&gt;=1,'Reconciliation report'!$E$473=RefData!$B$112),'All Statement of strategy (D)'!$B1043&amp;'All Statement of strategy (D)'!$C1043,"")</f>
        <v/>
      </c>
      <c r="F1043" s="608" t="str">
        <f ca="1">IF(AND('Reconciliation report'!$E$474&gt;=1,'Reconciliation report'!$E$473=RefData!$B$112,'Reconciliation report'!$E$12=RefData!$B$12),'All Statement of strategy (D)'!$B1043&amp;'All Statement of strategy (D)'!$C1043,"")</f>
        <v/>
      </c>
      <c r="G1043" s="608" t="str">
        <f ca="1">IF(AND('Reconciliation report'!$E$474&gt;=1,'Reconciliation report'!$E$473=RefData!$B$112,'Reconciliation report'!$E$9=RefData!$B$5,'Reconciliation report'!$E$13=RefData!$B$14),'All Statement of strategy (D)'!$B1043&amp;'All Statement of strategy (D)'!$C1043,"")</f>
        <v/>
      </c>
      <c r="H1043" s="608" t="str">
        <f ca="1">IF(AND('Reconciliation report'!$E$474&gt;=1,'Reconciliation report'!$E$473=RefData!$B$112,'Reconciliation report'!$E$9=RefData!$B$5,'Reconciliation report'!$E$13=RefData!$B$14),'All Statement of strategy (D)'!$B1043&amp;'All Statement of strategy (D)'!$C1043,"")</f>
        <v/>
      </c>
      <c r="I1043" s="627" t="str">
        <f ca="1">IF($C$1=RefData!$B$418,'All Statement of strategy (D)'!$E1043,IF('All Statement of strategy (D)'!$C$1=RefData!$B$419,'All Statement of strategy (D)'!$F1043,IF('All Statement of strategy (D)'!$C$1=RefData!$B$420,'All Statement of strategy (D)'!$G1043,IF('All Statement of strategy (D)'!$C$1=RefData!$B$421,'All Statement of strategy (D)'!$H1043," "))))</f>
        <v xml:space="preserve"> </v>
      </c>
    </row>
    <row r="1044" spans="1:9">
      <c r="A1044" s="584" t="s">
        <v>2380</v>
      </c>
      <c r="B1044" s="590" t="s">
        <v>2381</v>
      </c>
      <c r="C1044" s="623" t="str">
        <f ca="1">'Reconciliation report'!$E$562</f>
        <v/>
      </c>
      <c r="D1044" s="591"/>
      <c r="E1044" s="591" t="str">
        <f ca="1">IF(AND('Reconciliation report'!$E$474&gt;=1,'Reconciliation report'!$E$473=RefData!$B$112),'All Statement of strategy (D)'!$B1044&amp;'All Statement of strategy (D)'!$C1044,"")</f>
        <v/>
      </c>
      <c r="F1044" s="591" t="str">
        <f ca="1">IF(AND('Reconciliation report'!$E$474&gt;=1,'Reconciliation report'!$E$473=RefData!$B$112,'Reconciliation report'!$E$12=RefData!$B$12),'All Statement of strategy (D)'!$B1044&amp;'All Statement of strategy (D)'!$C1044,"")</f>
        <v/>
      </c>
      <c r="G1044" s="591" t="str">
        <f ca="1">IF(AND('Reconciliation report'!$E$474&gt;=1,'Reconciliation report'!$E$473=RefData!$B$112,'Reconciliation report'!$E$9=RefData!$B$5,'Reconciliation report'!$E$13=RefData!$B$14),'All Statement of strategy (D)'!$B1044&amp;'All Statement of strategy (D)'!$C1044,"")</f>
        <v/>
      </c>
      <c r="H1044" s="591" t="str">
        <f ca="1">IF(AND('Reconciliation report'!$E$474&gt;=1,'Reconciliation report'!$E$473=RefData!$B$112,'Reconciliation report'!$E$9=RefData!$B$5,'Reconciliation report'!$E$13=RefData!$B$14),'All Statement of strategy (D)'!$B1044&amp;'All Statement of strategy (D)'!$C1044,"")</f>
        <v/>
      </c>
      <c r="I1044" s="592" t="str">
        <f ca="1">IF($C$1=RefData!$B$418,'All Statement of strategy (D)'!$E1044,IF('All Statement of strategy (D)'!$C$1=RefData!$B$419,'All Statement of strategy (D)'!$F1044,IF('All Statement of strategy (D)'!$C$1=RefData!$B$420,'All Statement of strategy (D)'!$G1044,IF('All Statement of strategy (D)'!$C$1=RefData!$B$421,'All Statement of strategy (D)'!$H1044," "))))</f>
        <v xml:space="preserve"> </v>
      </c>
    </row>
    <row r="1045" spans="1:9">
      <c r="A1045" s="584" t="s">
        <v>2382</v>
      </c>
      <c r="B1045" s="594" t="s">
        <v>2383</v>
      </c>
      <c r="C1045" s="585" t="str">
        <f ca="1">IF(AND('Reconciliation report'!$E$563="",'Reconciliation report'!$E$564=""),"",IF('Reconciliation report'!$E$563="","charity number: "&amp;'Reconciliation report'!$E$564,"companies house number: "&amp;'Reconciliation report'!$E$563))</f>
        <v/>
      </c>
      <c r="E1045" s="585" t="str">
        <f ca="1">IF(AND($C1045&lt;&gt;"",'Reconciliation report'!$E$474&gt;=1,'Reconciliation report'!$E$473=RefData!$B$112),'All Statement of strategy (D)'!$B1045&amp;'All Statement of strategy (D)'!$C1045,"")</f>
        <v/>
      </c>
      <c r="F1045" s="585" t="str">
        <f ca="1">IF(AND($C1045&lt;&gt;"",'Reconciliation report'!$E$474&gt;=1,'Reconciliation report'!$E$473=RefData!$B$112,'Reconciliation report'!$E$12=RefData!$B$12),'All Statement of strategy (D)'!$B1045&amp;'All Statement of strategy (D)'!$C1045,"")</f>
        <v/>
      </c>
      <c r="G1045" s="585" t="str">
        <f ca="1">IF(AND($C1045&lt;&gt;"",'Reconciliation report'!$E$474&gt;=1,'Reconciliation report'!$E$473=RefData!$B$112,'Reconciliation report'!$E$9=RefData!$B$5,'Reconciliation report'!$E$13=RefData!$B$14),'All Statement of strategy (D)'!$B1045&amp;'All Statement of strategy (D)'!$C1045,"")</f>
        <v/>
      </c>
      <c r="H1045" s="585" t="str">
        <f ca="1">IF(AND($C1045&lt;&gt;"",'Reconciliation report'!$E$474&gt;=1,'Reconciliation report'!$E$473=RefData!$B$112,'Reconciliation report'!$E$9=RefData!$B$5,'Reconciliation report'!$E$13=RefData!$B$14),'All Statement of strategy (D)'!$B1045&amp;'All Statement of strategy (D)'!$C1045,"")</f>
        <v/>
      </c>
      <c r="I1045" s="595" t="str">
        <f ca="1">IF($C$1=RefData!$B$418,'All Statement of strategy (D)'!$E1045,IF('All Statement of strategy (D)'!$C$1=RefData!$B$419,'All Statement of strategy (D)'!$F1045,IF('All Statement of strategy (D)'!$C$1=RefData!$B$420,'All Statement of strategy (D)'!$G1045,IF('All Statement of strategy (D)'!$C$1=RefData!$B$421,'All Statement of strategy (D)'!$H1045," "))))</f>
        <v xml:space="preserve"> </v>
      </c>
    </row>
    <row r="1046" spans="1:9">
      <c r="A1046" s="584" t="s">
        <v>2384</v>
      </c>
      <c r="B1046" s="594" t="s">
        <v>1858</v>
      </c>
      <c r="C1046" s="615" t="str">
        <f ca="1">'Reconciliation report'!$E$565</f>
        <v/>
      </c>
      <c r="E1046" s="585" t="str">
        <f ca="1">IF(AND($C1046&lt;&gt;"",'Reconciliation report'!$E$474&gt;=1,'Reconciliation report'!$E$473=RefData!$B$112),'All Statement of strategy (D)'!$B1046&amp;'All Statement of strategy (D)'!$C1046,"")</f>
        <v/>
      </c>
      <c r="F1046" s="585" t="str">
        <f ca="1">IF(AND($C1046&lt;&gt;"",'Reconciliation report'!$E$474&gt;=1,'Reconciliation report'!$E$473=RefData!$B$112,'Reconciliation report'!$E$12=RefData!$B$12),'All Statement of strategy (D)'!$B1046&amp;'All Statement of strategy (D)'!$C1046,"")</f>
        <v/>
      </c>
      <c r="G1046" s="585" t="str">
        <f ca="1">IF(AND($C1046&lt;&gt;"",'Reconciliation report'!$E$474&gt;=1,'Reconciliation report'!$E$473=RefData!$B$112,'Reconciliation report'!$E$9=RefData!$B$5,'Reconciliation report'!$E$13=RefData!$B$14),'All Statement of strategy (D)'!$B1046&amp;'All Statement of strategy (D)'!$C1046,"")</f>
        <v/>
      </c>
      <c r="H1046" s="585" t="str">
        <f ca="1">IF(AND($C1046&lt;&gt;"",'Reconciliation report'!$E$474&gt;=1,'Reconciliation report'!$E$473=RefData!$B$112,'Reconciliation report'!$E$9=RefData!$B$5,'Reconciliation report'!$E$13=RefData!$B$14),'All Statement of strategy (D)'!$B1046&amp;'All Statement of strategy (D)'!$C1046,"")</f>
        <v/>
      </c>
      <c r="I1046" s="595" t="str">
        <f ca="1">IF($C$1=RefData!$B$418,'All Statement of strategy (D)'!$E1046,IF('All Statement of strategy (D)'!$C$1=RefData!$B$419,'All Statement of strategy (D)'!$F1046,IF('All Statement of strategy (D)'!$C$1=RefData!$B$420,'All Statement of strategy (D)'!$G1046,IF('All Statement of strategy (D)'!$C$1=RefData!$B$421,'All Statement of strategy (D)'!$H1046," "))))</f>
        <v xml:space="preserve"> </v>
      </c>
    </row>
    <row r="1047" spans="1:9">
      <c r="A1047" s="584" t="s">
        <v>2385</v>
      </c>
      <c r="B1047" s="594" t="s">
        <v>1860</v>
      </c>
      <c r="C1047" s="615" t="str">
        <f ca="1">'Reconciliation report'!$E$566</f>
        <v/>
      </c>
      <c r="E1047" s="585" t="str">
        <f ca="1">IF(AND($C1047&lt;&gt;"",'Reconciliation report'!$E$474&gt;=1,'Reconciliation report'!$E$473=RefData!$B$112),'All Statement of strategy (D)'!$B1047&amp;'All Statement of strategy (D)'!$C1047,"")</f>
        <v/>
      </c>
      <c r="F1047" s="585" t="str">
        <f ca="1">IF(AND($C1047&lt;&gt;"",'Reconciliation report'!$E$474&gt;=1,'Reconciliation report'!$E$473=RefData!$B$112,'Reconciliation report'!$E$12=RefData!$B$12),'All Statement of strategy (D)'!$B1047&amp;'All Statement of strategy (D)'!$C1047,"")</f>
        <v/>
      </c>
      <c r="G1047" s="585" t="str">
        <f ca="1">IF(AND($C1047&lt;&gt;"",'Reconciliation report'!$E$474&gt;=1,'Reconciliation report'!$E$473=RefData!$B$112,'Reconciliation report'!$E$9=RefData!$B$5,'Reconciliation report'!$E$13=RefData!$B$14),'All Statement of strategy (D)'!$B1047&amp;'All Statement of strategy (D)'!$C1047,"")</f>
        <v/>
      </c>
      <c r="H1047" s="585" t="str">
        <f ca="1">IF(AND($C1047&lt;&gt;"",'Reconciliation report'!$E$474&gt;=1,'Reconciliation report'!$E$473=RefData!$B$112,'Reconciliation report'!$E$9=RefData!$B$5,'Reconciliation report'!$E$13=RefData!$B$14),'All Statement of strategy (D)'!$B1047&amp;'All Statement of strategy (D)'!$C1047,"")</f>
        <v/>
      </c>
      <c r="I1047" s="595" t="str">
        <f ca="1">IF($C$1=RefData!$B$418,'All Statement of strategy (D)'!$E1047,IF('All Statement of strategy (D)'!$C$1=RefData!$B$419,'All Statement of strategy (D)'!$F1047,IF('All Statement of strategy (D)'!$C$1=RefData!$B$420,'All Statement of strategy (D)'!$G1047,IF('All Statement of strategy (D)'!$C$1=RefData!$B$421,'All Statement of strategy (D)'!$H1047," "))))</f>
        <v xml:space="preserve"> </v>
      </c>
    </row>
    <row r="1048" spans="1:9">
      <c r="A1048" s="584" t="s">
        <v>2386</v>
      </c>
      <c r="B1048" s="594" t="s">
        <v>1862</v>
      </c>
      <c r="C1048" s="615" t="str">
        <f ca="1">'Reconciliation report'!$E$567</f>
        <v/>
      </c>
      <c r="E1048" s="585" t="str">
        <f ca="1">IF(AND($C1048&lt;&gt;"",'Reconciliation report'!$E$474&gt;=1,'Reconciliation report'!$E$473=RefData!$B$112),'All Statement of strategy (D)'!$B1048&amp;'All Statement of strategy (D)'!$C1048,"")</f>
        <v/>
      </c>
      <c r="F1048" s="585" t="str">
        <f ca="1">IF(AND($C1048&lt;&gt;"",'Reconciliation report'!$E$474&gt;=1,'Reconciliation report'!$E$473=RefData!$B$112,'Reconciliation report'!$E$12=RefData!$B$12),'All Statement of strategy (D)'!$B1048&amp;'All Statement of strategy (D)'!$C1048,"")</f>
        <v/>
      </c>
      <c r="G1048" s="585" t="str">
        <f ca="1">IF(AND($C1048&lt;&gt;"",'Reconciliation report'!$E$474&gt;=1,'Reconciliation report'!$E$473=RefData!$B$112,'Reconciliation report'!$E$9=RefData!$B$5,'Reconciliation report'!$E$13=RefData!$B$14),'All Statement of strategy (D)'!$B1048&amp;'All Statement of strategy (D)'!$C1048,"")</f>
        <v/>
      </c>
      <c r="H1048" s="585" t="str">
        <f ca="1">IF(AND($C1048&lt;&gt;"",'Reconciliation report'!$E$474&gt;=1,'Reconciliation report'!$E$473=RefData!$B$112,'Reconciliation report'!$E$9=RefData!$B$5,'Reconciliation report'!$E$13=RefData!$B$14),'All Statement of strategy (D)'!$B1048&amp;'All Statement of strategy (D)'!$C1048,"")</f>
        <v/>
      </c>
      <c r="I1048" s="595" t="str">
        <f ca="1">IF($C$1=RefData!$B$418,'All Statement of strategy (D)'!$E1048,IF('All Statement of strategy (D)'!$C$1=RefData!$B$419,'All Statement of strategy (D)'!$F1048,IF('All Statement of strategy (D)'!$C$1=RefData!$B$420,'All Statement of strategy (D)'!$G1048,IF('All Statement of strategy (D)'!$C$1=RefData!$B$421,'All Statement of strategy (D)'!$H1048," "))))</f>
        <v xml:space="preserve"> </v>
      </c>
    </row>
    <row r="1049" spans="1:9">
      <c r="A1049" s="584" t="s">
        <v>2387</v>
      </c>
      <c r="B1049" s="594" t="s">
        <v>2388</v>
      </c>
      <c r="C1049" s="615" t="str">
        <f ca="1">'Reconciliation report'!$E$568</f>
        <v/>
      </c>
      <c r="E1049" s="585" t="str">
        <f ca="1">IF(AND($C1049&lt;&gt;"",'Reconciliation report'!$E$474&gt;=1,'Reconciliation report'!$E$473=RefData!$B$112),'All Statement of strategy (D)'!$B1049&amp;'All Statement of strategy (D)'!$C1049,"")</f>
        <v/>
      </c>
      <c r="F1049" s="585" t="str">
        <f ca="1">IF(AND($C1049&lt;&gt;"",'Reconciliation report'!$E$474&gt;=1,'Reconciliation report'!$E$473=RefData!$B$112,'Reconciliation report'!$E$12=RefData!$B$12),'All Statement of strategy (D)'!$B1049&amp;'All Statement of strategy (D)'!$C1049,"")</f>
        <v/>
      </c>
      <c r="G1049" s="585" t="str">
        <f ca="1">IF(AND($C1049&lt;&gt;"",'Reconciliation report'!$E$474&gt;=1,'Reconciliation report'!$E$473=RefData!$B$112,'Reconciliation report'!$E$9=RefData!$B$5,'Reconciliation report'!$E$13=RefData!$B$14),'All Statement of strategy (D)'!$B1049&amp;'All Statement of strategy (D)'!$C1049,"")</f>
        <v/>
      </c>
      <c r="H1049" s="585" t="str">
        <f ca="1">IF(AND($C1049&lt;&gt;"",'Reconciliation report'!$E$474&gt;=1,'Reconciliation report'!$E$473=RefData!$B$112,'Reconciliation report'!$E$9=RefData!$B$5,'Reconciliation report'!$E$13=RefData!$B$14),'All Statement of strategy (D)'!$B1049&amp;'All Statement of strategy (D)'!$C1049,"")</f>
        <v/>
      </c>
      <c r="I1049" s="595" t="str">
        <f ca="1">IF($C$1=RefData!$B$418,'All Statement of strategy (D)'!$E1049,IF('All Statement of strategy (D)'!$C$1=RefData!$B$419,'All Statement of strategy (D)'!$F1049,IF('All Statement of strategy (D)'!$C$1=RefData!$B$420,'All Statement of strategy (D)'!$G1049,IF('All Statement of strategy (D)'!$C$1=RefData!$B$421,'All Statement of strategy (D)'!$H1049," "))))</f>
        <v xml:space="preserve"> </v>
      </c>
    </row>
    <row r="1050" spans="1:9">
      <c r="A1050" s="584" t="s">
        <v>2389</v>
      </c>
      <c r="B1050" s="594" t="s">
        <v>1866</v>
      </c>
      <c r="C1050" s="615" t="str">
        <f ca="1">'Reconciliation report'!$E$569</f>
        <v/>
      </c>
      <c r="E1050" s="585" t="str">
        <f ca="1">IF(AND($C1050&lt;&gt;"",'Reconciliation report'!$E$474&gt;=1,'Reconciliation report'!$E$473=RefData!$B$112),'All Statement of strategy (D)'!$B1050&amp;'All Statement of strategy (D)'!$C1050,"")</f>
        <v/>
      </c>
      <c r="F1050" s="585" t="str">
        <f ca="1">IF(AND($C1050&lt;&gt;"",'Reconciliation report'!$E$474&gt;=1,'Reconciliation report'!$E$473=RefData!$B$112,'Reconciliation report'!$E$12=RefData!$B$12),'All Statement of strategy (D)'!$B1050&amp;'All Statement of strategy (D)'!$C1050,"")</f>
        <v/>
      </c>
      <c r="G1050" s="585" t="str">
        <f ca="1">IF(AND($C1050&lt;&gt;"",'Reconciliation report'!$E$474&gt;=1,'Reconciliation report'!$E$473=RefData!$B$112,'Reconciliation report'!$E$9=RefData!$B$5,'Reconciliation report'!$E$13=RefData!$B$14),'All Statement of strategy (D)'!$B1050&amp;'All Statement of strategy (D)'!$C1050,"")</f>
        <v/>
      </c>
      <c r="H1050" s="585" t="str">
        <f ca="1">IF(AND($C1050&lt;&gt;"",'Reconciliation report'!$E$474&gt;=1,'Reconciliation report'!$E$473=RefData!$B$112,'Reconciliation report'!$E$9=RefData!$B$5,'Reconciliation report'!$E$13=RefData!$B$14),'All Statement of strategy (D)'!$B1050&amp;'All Statement of strategy (D)'!$C1050,"")</f>
        <v/>
      </c>
      <c r="I1050" s="595" t="str">
        <f ca="1">IF($C$1=RefData!$B$418,'All Statement of strategy (D)'!$E1050,IF('All Statement of strategy (D)'!$C$1=RefData!$B$419,'All Statement of strategy (D)'!$F1050,IF('All Statement of strategy (D)'!$C$1=RefData!$B$420,'All Statement of strategy (D)'!$G1050,IF('All Statement of strategy (D)'!$C$1=RefData!$B$421,'All Statement of strategy (D)'!$H1050," "))))</f>
        <v xml:space="preserve"> </v>
      </c>
    </row>
    <row r="1051" spans="1:9">
      <c r="A1051" s="584" t="s">
        <v>2390</v>
      </c>
      <c r="B1051" s="594" t="s">
        <v>1868</v>
      </c>
      <c r="C1051" s="615" t="str">
        <f ca="1">'Reconciliation report'!$E$570</f>
        <v/>
      </c>
      <c r="E1051" s="585" t="str">
        <f ca="1">IF(AND($C1051&lt;&gt;"",'Reconciliation report'!$E$474&gt;=1,'Reconciliation report'!$E$473=RefData!$B$112),'All Statement of strategy (D)'!$B1051&amp;'All Statement of strategy (D)'!$C1051,"")</f>
        <v/>
      </c>
      <c r="F1051" s="585" t="str">
        <f ca="1">IF(AND($C1051&lt;&gt;"",'Reconciliation report'!$E$474&gt;=1,'Reconciliation report'!$E$473=RefData!$B$112,'Reconciliation report'!$E$12=RefData!$B$12),'All Statement of strategy (D)'!$B1051&amp;'All Statement of strategy (D)'!$C1051,"")</f>
        <v/>
      </c>
      <c r="G1051" s="585" t="str">
        <f ca="1">IF(AND($C1051&lt;&gt;"",'Reconciliation report'!$E$474&gt;=1,'Reconciliation report'!$E$473=RefData!$B$112,'Reconciliation report'!$E$9=RefData!$B$5,'Reconciliation report'!$E$13=RefData!$B$14),'All Statement of strategy (D)'!$B1051&amp;'All Statement of strategy (D)'!$C1051,"")</f>
        <v/>
      </c>
      <c r="H1051" s="585" t="str">
        <f ca="1">IF(AND($C1051&lt;&gt;"",'Reconciliation report'!$E$474&gt;=1,'Reconciliation report'!$E$473=RefData!$B$112,'Reconciliation report'!$E$9=RefData!$B$5,'Reconciliation report'!$E$13=RefData!$B$14),'All Statement of strategy (D)'!$B1051&amp;'All Statement of strategy (D)'!$C1051,"")</f>
        <v/>
      </c>
      <c r="I1051" s="595" t="str">
        <f ca="1">IF($C$1=RefData!$B$418,'All Statement of strategy (D)'!$E1051,IF('All Statement of strategy (D)'!$C$1=RefData!$B$419,'All Statement of strategy (D)'!$F1051,IF('All Statement of strategy (D)'!$C$1=RefData!$B$420,'All Statement of strategy (D)'!$G1051,IF('All Statement of strategy (D)'!$C$1=RefData!$B$421,'All Statement of strategy (D)'!$H1051," "))))</f>
        <v xml:space="preserve"> </v>
      </c>
    </row>
    <row r="1052" spans="1:9">
      <c r="A1052" s="584" t="s">
        <v>2391</v>
      </c>
      <c r="B1052" s="594" t="s">
        <v>1870</v>
      </c>
      <c r="C1052" s="615" t="str">
        <f ca="1">'Reconciliation report'!$E$571</f>
        <v/>
      </c>
      <c r="E1052" s="585" t="str">
        <f ca="1">IF(AND($C1052&lt;&gt;"",'Reconciliation report'!$E$474&gt;=1,'Reconciliation report'!$E$473=RefData!$B$112),'All Statement of strategy (D)'!$B1052&amp;'All Statement of strategy (D)'!$C1052,"")</f>
        <v/>
      </c>
      <c r="F1052" s="585" t="str">
        <f ca="1">IF(AND($C1052&lt;&gt;"",'Reconciliation report'!$E$474&gt;=1,'Reconciliation report'!$E$473=RefData!$B$112,'Reconciliation report'!$E$12=RefData!$B$12),'All Statement of strategy (D)'!$B1052&amp;'All Statement of strategy (D)'!$C1052,"")</f>
        <v/>
      </c>
      <c r="G1052" s="585" t="str">
        <f ca="1">IF(AND($C1052&lt;&gt;"",'Reconciliation report'!$E$474&gt;=1,'Reconciliation report'!$E$473=RefData!$B$112,'Reconciliation report'!$E$9=RefData!$B$5,'Reconciliation report'!$E$13=RefData!$B$14),'All Statement of strategy (D)'!$B1052&amp;'All Statement of strategy (D)'!$C1052,"")</f>
        <v/>
      </c>
      <c r="H1052" s="585" t="str">
        <f ca="1">IF(AND($C1052&lt;&gt;"",'Reconciliation report'!$E$474&gt;=1,'Reconciliation report'!$E$473=RefData!$B$112,'Reconciliation report'!$E$9=RefData!$B$5,'Reconciliation report'!$E$13=RefData!$B$14),'All Statement of strategy (D)'!$B1052&amp;'All Statement of strategy (D)'!$C1052,"")</f>
        <v/>
      </c>
      <c r="I1052" s="595" t="str">
        <f ca="1">IF($C$1=RefData!$B$418,'All Statement of strategy (D)'!$E1052,IF('All Statement of strategy (D)'!$C$1=RefData!$B$419,'All Statement of strategy (D)'!$F1052,IF('All Statement of strategy (D)'!$C$1=RefData!$B$420,'All Statement of strategy (D)'!$G1052,IF('All Statement of strategy (D)'!$C$1=RefData!$B$421,'All Statement of strategy (D)'!$H1052," "))))</f>
        <v xml:space="preserve"> </v>
      </c>
    </row>
    <row r="1053" spans="1:9">
      <c r="A1053" s="584" t="s">
        <v>2392</v>
      </c>
      <c r="B1053" s="594" t="s">
        <v>2393</v>
      </c>
      <c r="C1053" s="585" t="str">
        <f ca="1">IF('Reconciliation report'!$E$572=RefData!$B$124,"Yes",IF('Reconciliation report'!$E$572=RefData!$B$125,"No",""))</f>
        <v/>
      </c>
      <c r="E1053" s="585" t="str">
        <f ca="1">IF(AND('Reconciliation report'!$E$474&gt;=1,'Reconciliation report'!$E$473=RefData!$B$112),'All Statement of strategy (D)'!$B1053&amp;'All Statement of strategy (D)'!$C1053,"")</f>
        <v/>
      </c>
      <c r="F1053" s="585" t="str">
        <f ca="1">IF(AND('Reconciliation report'!$E$474&gt;=1,'Reconciliation report'!$E$473=RefData!$B$112,'Reconciliation report'!$E$12=RefData!$B$12),'All Statement of strategy (D)'!$B1053&amp;'All Statement of strategy (D)'!$C1053,"")</f>
        <v/>
      </c>
      <c r="G1053" s="585" t="str">
        <f>""</f>
        <v/>
      </c>
      <c r="H1053" s="585" t="str">
        <f>""</f>
        <v/>
      </c>
      <c r="I1053" s="595" t="str">
        <f ca="1">IF($C$1=RefData!$B$418,'All Statement of strategy (D)'!$E1053,IF('All Statement of strategy (D)'!$C$1=RefData!$B$419,'All Statement of strategy (D)'!$F1053,IF('All Statement of strategy (D)'!$C$1=RefData!$B$420,'All Statement of strategy (D)'!$G1053,IF('All Statement of strategy (D)'!$C$1=RefData!$B$421,'All Statement of strategy (D)'!$H1053," "))))</f>
        <v xml:space="preserve"> </v>
      </c>
    </row>
    <row r="1054" spans="1:9">
      <c r="B1054" s="594" t="s">
        <v>740</v>
      </c>
      <c r="E1054" s="585" t="str">
        <f ca="1">IF(AND('Reconciliation report'!$E$474&gt;=1,'Reconciliation report'!$E$473=RefData!$B$112),'All Statement of strategy (D)'!$B1054&amp;'All Statement of strategy (D)'!$C1054,"")</f>
        <v/>
      </c>
      <c r="F1054" s="585" t="str">
        <f ca="1">IF(AND('Reconciliation report'!$E$474&gt;=1,'Reconciliation report'!$E$473=RefData!$B$112,'Reconciliation report'!$E$12=RefData!$B$12),'All Statement of strategy (D)'!$B1054&amp;'All Statement of strategy (D)'!$C1054,"")</f>
        <v/>
      </c>
      <c r="G1054" s="585" t="str">
        <f ca="1">IF(AND('Reconciliation report'!$E$474&gt;=1,'Reconciliation report'!$E$473=RefData!$B$112,'Reconciliation report'!$E$9=RefData!$B$5,'Reconciliation report'!$E$13=RefData!$B$14),'All Statement of strategy (D)'!$B1054&amp;'All Statement of strategy (D)'!$C1054,"")</f>
        <v/>
      </c>
      <c r="H1054" s="585" t="str">
        <f ca="1">IF(AND('Reconciliation report'!$E$474&gt;=1,'Reconciliation report'!$E$473=RefData!$B$112,'Reconciliation report'!$E$9=RefData!$B$5,'Reconciliation report'!$E$13=RefData!$B$14),'All Statement of strategy (D)'!$B1054&amp;'All Statement of strategy (D)'!$C1054,"")</f>
        <v/>
      </c>
      <c r="I1054" s="595" t="str">
        <f ca="1">IF($C$1=RefData!$B$418,'All Statement of strategy (D)'!$E1054,IF('All Statement of strategy (D)'!$C$1=RefData!$B$419,'All Statement of strategy (D)'!$F1054,IF('All Statement of strategy (D)'!$C$1=RefData!$B$420,'All Statement of strategy (D)'!$G1054,IF('All Statement of strategy (D)'!$C$1=RefData!$B$421,'All Statement of strategy (D)'!$H1054," "))))</f>
        <v xml:space="preserve"> </v>
      </c>
    </row>
    <row r="1055" spans="1:9" ht="34.5" customHeight="1">
      <c r="A1055" s="604" t="s">
        <v>2394</v>
      </c>
      <c r="B1055" s="594" t="str">
        <f ca="1">"Type of guarantee: "&amp;IF('Reconciliation report'!$E$573=RefData!$B$129,"",'Reconciliation report'!$E$573)</f>
        <v xml:space="preserve">Type of guarantee: </v>
      </c>
      <c r="D1055" s="624"/>
      <c r="E1055" s="585" t="str">
        <f ca="1">IF(AND('Reconciliation report'!$E$474&gt;=1,'Reconciliation report'!$E$473=RefData!$B$112),'All Statement of strategy (D)'!$B1055&amp;'All Statement of strategy (D)'!$C1055,"")</f>
        <v/>
      </c>
      <c r="F1055" s="585" t="str">
        <f ca="1">IF(AND('Reconciliation report'!$E$474&gt;=1,'Reconciliation report'!$E$473=RefData!$B$112,'Reconciliation report'!$E$12=RefData!$B$12),'All Statement of strategy (D)'!$B1055&amp;'All Statement of strategy (D)'!$C1055,"")</f>
        <v/>
      </c>
      <c r="G1055" s="585" t="str">
        <f ca="1">IF(AND('Reconciliation report'!$E$474&gt;=1,'Reconciliation report'!$E$473=RefData!$B$112,'Reconciliation report'!$E$9=RefData!$B$5,'Reconciliation report'!$E$13=RefData!$B$14),'All Statement of strategy (D)'!$B1055&amp;'All Statement of strategy (D)'!$C1055,"")</f>
        <v/>
      </c>
      <c r="H1055" s="585" t="str">
        <f ca="1">IF(AND('Reconciliation report'!$E$474&gt;=1,'Reconciliation report'!$E$473=RefData!$B$112,'Reconciliation report'!$E$9=RefData!$B$5,'Reconciliation report'!$E$13=RefData!$B$14),'All Statement of strategy (D)'!$B1055&amp;'All Statement of strategy (D)'!$C1055,"")</f>
        <v/>
      </c>
      <c r="I1055" s="595" t="str">
        <f ca="1">IF($C$1=RefData!$B$418,'All Statement of strategy (D)'!$E1055,IF('All Statement of strategy (D)'!$C$1=RefData!$B$419,'All Statement of strategy (D)'!$F1055,IF('All Statement of strategy (D)'!$C$1=RefData!$B$420,'All Statement of strategy (D)'!$G1055,IF('All Statement of strategy (D)'!$C$1=RefData!$B$421,'All Statement of strategy (D)'!$H1055," "))))</f>
        <v xml:space="preserve"> </v>
      </c>
    </row>
    <row r="1056" spans="1:9" ht="34.5" customHeight="1">
      <c r="A1056" s="584" t="s">
        <v>2395</v>
      </c>
      <c r="B1056" s="594" t="str">
        <f ca="1">B1055&amp;IF('Reconciliation report'!$E$573=RefData!$B$129,LEFT('Reconciliation report'!$E$574,1000),"")</f>
        <v xml:space="preserve">Type of guarantee: </v>
      </c>
      <c r="D1056" s="624"/>
      <c r="E1056" s="585" t="str">
        <f ca="1">IF(AND('Reconciliation report'!$E$474&gt;=1,'Reconciliation report'!$E$473=RefData!$B$112),'All Statement of strategy (D)'!$B1056&amp;'All Statement of strategy (D)'!$C1056,"")</f>
        <v/>
      </c>
      <c r="F1056" s="585" t="str">
        <f ca="1">IF(AND('Reconciliation report'!$E$474&gt;=1,'Reconciliation report'!$E$473=RefData!$B$112,'Reconciliation report'!$E$12=RefData!$B$12),'All Statement of strategy (D)'!$B1056&amp;'All Statement of strategy (D)'!$C1056,"")</f>
        <v/>
      </c>
      <c r="G1056" s="585" t="str">
        <f ca="1">IF(AND('Reconciliation report'!$E$474&gt;=1,'Reconciliation report'!$E$473=RefData!$B$112,'Reconciliation report'!$E$9=RefData!$B$5,'Reconciliation report'!$E$13=RefData!$B$14),'All Statement of strategy (D)'!$B1056&amp;'All Statement of strategy (D)'!$C1056,"")</f>
        <v/>
      </c>
      <c r="H1056" s="585" t="str">
        <f ca="1">IF(AND('Reconciliation report'!$E$474&gt;=1,'Reconciliation report'!$E$473=RefData!$B$112,'Reconciliation report'!$E$9=RefData!$B$5,'Reconciliation report'!$E$13=RefData!$B$14),'All Statement of strategy (D)'!$B1056&amp;'All Statement of strategy (D)'!$C1056,"")</f>
        <v/>
      </c>
      <c r="I1056" s="595" t="str">
        <f ca="1">IF($C$1=RefData!$B$418,'All Statement of strategy (D)'!$E1056,IF('All Statement of strategy (D)'!$C$1=RefData!$B$419,'All Statement of strategy (D)'!$F1056,IF('All Statement of strategy (D)'!$C$1=RefData!$B$420,'All Statement of strategy (D)'!$G1056,IF('All Statement of strategy (D)'!$C$1=RefData!$B$421,'All Statement of strategy (D)'!$H1056," "))))</f>
        <v xml:space="preserve"> </v>
      </c>
    </row>
    <row r="1057" spans="1:9" ht="34.5" customHeight="1">
      <c r="A1057" s="584" t="s">
        <v>2395</v>
      </c>
      <c r="B1057" s="594" t="str">
        <f ca="1">IF('Reconciliation report'!$E$573=RefData!$B$129,MID('Reconciliation report'!$E$574,1001,1000),"")</f>
        <v/>
      </c>
      <c r="D1057" s="624"/>
      <c r="E1057" s="585" t="str">
        <f ca="1">IF(AND('Reconciliation report'!$E$474&gt;=1,'Reconciliation report'!$E$473=RefData!$B$112),'All Statement of strategy (D)'!$B1057&amp;'All Statement of strategy (D)'!$C1057,"")</f>
        <v/>
      </c>
      <c r="F1057" s="585" t="str">
        <f ca="1">IF(AND('Reconciliation report'!$E$474&gt;=1,'Reconciliation report'!$E$473=RefData!$B$112,'Reconciliation report'!$E$12=RefData!$B$12),'All Statement of strategy (D)'!$B1057&amp;'All Statement of strategy (D)'!$C1057,"")</f>
        <v/>
      </c>
      <c r="G1057" s="585" t="str">
        <f ca="1">IF(AND('Reconciliation report'!$E$474&gt;=1,'Reconciliation report'!$E$473=RefData!$B$112,'Reconciliation report'!$E$9=RefData!$B$5,'Reconciliation report'!$E$13=RefData!$B$14),'All Statement of strategy (D)'!$B1057&amp;'All Statement of strategy (D)'!$C1057,"")</f>
        <v/>
      </c>
      <c r="H1057" s="585" t="str">
        <f ca="1">IF(AND('Reconciliation report'!$E$474&gt;=1,'Reconciliation report'!$E$473=RefData!$B$112,'Reconciliation report'!$E$9=RefData!$B$5,'Reconciliation report'!$E$13=RefData!$B$14),'All Statement of strategy (D)'!$B1057&amp;'All Statement of strategy (D)'!$C1057,"")</f>
        <v/>
      </c>
      <c r="I1057" s="595" t="str">
        <f ca="1">IF($C$1=RefData!$B$418,'All Statement of strategy (D)'!$E1057,IF('All Statement of strategy (D)'!$C$1=RefData!$B$419,'All Statement of strategy (D)'!$F1057,IF('All Statement of strategy (D)'!$C$1=RefData!$B$420,'All Statement of strategy (D)'!$G1057,IF('All Statement of strategy (D)'!$C$1=RefData!$B$421,'All Statement of strategy (D)'!$H1057," "))))</f>
        <v xml:space="preserve"> </v>
      </c>
    </row>
    <row r="1058" spans="1:9" ht="34.5" customHeight="1">
      <c r="A1058" s="584" t="s">
        <v>2395</v>
      </c>
      <c r="B1058" s="594" t="str">
        <f ca="1">IF('Reconciliation report'!$E$573=RefData!$B$129,MID('Reconciliation report'!$E$574,2001,1000),"")</f>
        <v/>
      </c>
      <c r="D1058" s="624"/>
      <c r="E1058" s="585" t="str">
        <f ca="1">IF(AND('Reconciliation report'!$E$474&gt;=1,'Reconciliation report'!$E$473=RefData!$B$112),'All Statement of strategy (D)'!$B1058&amp;'All Statement of strategy (D)'!$C1058,"")</f>
        <v/>
      </c>
      <c r="F1058" s="585" t="str">
        <f ca="1">IF(AND('Reconciliation report'!$E$474&gt;=1,'Reconciliation report'!$E$473=RefData!$B$112,'Reconciliation report'!$E$12=RefData!$B$12),'All Statement of strategy (D)'!$B1058&amp;'All Statement of strategy (D)'!$C1058,"")</f>
        <v/>
      </c>
      <c r="G1058" s="585" t="str">
        <f ca="1">IF(AND('Reconciliation report'!$E$474&gt;=1,'Reconciliation report'!$E$473=RefData!$B$112,'Reconciliation report'!$E$9=RefData!$B$5,'Reconciliation report'!$E$13=RefData!$B$14),'All Statement of strategy (D)'!$B1058&amp;'All Statement of strategy (D)'!$C1058,"")</f>
        <v/>
      </c>
      <c r="H1058" s="585" t="str">
        <f ca="1">IF(AND('Reconciliation report'!$E$474&gt;=1,'Reconciliation report'!$E$473=RefData!$B$112,'Reconciliation report'!$E$9=RefData!$B$5,'Reconciliation report'!$E$13=RefData!$B$14),'All Statement of strategy (D)'!$B1058&amp;'All Statement of strategy (D)'!$C1058,"")</f>
        <v/>
      </c>
      <c r="I1058" s="595" t="str">
        <f ca="1">IF($C$1=RefData!$B$418,'All Statement of strategy (D)'!$E1058,IF('All Statement of strategy (D)'!$C$1=RefData!$B$419,'All Statement of strategy (D)'!$F1058,IF('All Statement of strategy (D)'!$C$1=RefData!$B$420,'All Statement of strategy (D)'!$G1058,IF('All Statement of strategy (D)'!$C$1=RefData!$B$421,'All Statement of strategy (D)'!$H1058," "))))</f>
        <v xml:space="preserve"> </v>
      </c>
    </row>
    <row r="1059" spans="1:9" ht="34.5" customHeight="1">
      <c r="A1059" s="584" t="s">
        <v>2395</v>
      </c>
      <c r="B1059" s="594" t="str">
        <f ca="1">IF('Reconciliation report'!$E$573=RefData!$B$129,MID('Reconciliation report'!$E$574,3001,1000),"")</f>
        <v/>
      </c>
      <c r="D1059" s="624"/>
      <c r="E1059" s="585" t="str">
        <f ca="1">IF(AND('Reconciliation report'!$E$474&gt;=1,'Reconciliation report'!$E$473=RefData!$B$112),'All Statement of strategy (D)'!$B1059&amp;'All Statement of strategy (D)'!$C1059,"")</f>
        <v/>
      </c>
      <c r="F1059" s="585" t="str">
        <f ca="1">IF(AND('Reconciliation report'!$E$474&gt;=1,'Reconciliation report'!$E$473=RefData!$B$112,'Reconciliation report'!$E$12=RefData!$B$12),'All Statement of strategy (D)'!$B1059&amp;'All Statement of strategy (D)'!$C1059,"")</f>
        <v/>
      </c>
      <c r="G1059" s="585" t="str">
        <f ca="1">IF(AND('Reconciliation report'!$E$474&gt;=1,'Reconciliation report'!$E$473=RefData!$B$112,'Reconciliation report'!$E$9=RefData!$B$5,'Reconciliation report'!$E$13=RefData!$B$14),'All Statement of strategy (D)'!$B1059&amp;'All Statement of strategy (D)'!$C1059,"")</f>
        <v/>
      </c>
      <c r="H1059" s="585" t="str">
        <f ca="1">IF(AND('Reconciliation report'!$E$474&gt;=1,'Reconciliation report'!$E$473=RefData!$B$112,'Reconciliation report'!$E$9=RefData!$B$5,'Reconciliation report'!$E$13=RefData!$B$14),'All Statement of strategy (D)'!$B1059&amp;'All Statement of strategy (D)'!$C1059,"")</f>
        <v/>
      </c>
      <c r="I1059" s="595" t="str">
        <f ca="1">IF($C$1=RefData!$B$418,'All Statement of strategy (D)'!$E1059,IF('All Statement of strategy (D)'!$C$1=RefData!$B$419,'All Statement of strategy (D)'!$F1059,IF('All Statement of strategy (D)'!$C$1=RefData!$B$420,'All Statement of strategy (D)'!$G1059,IF('All Statement of strategy (D)'!$C$1=RefData!$B$421,'All Statement of strategy (D)'!$H1059," "))))</f>
        <v xml:space="preserve"> </v>
      </c>
    </row>
    <row r="1060" spans="1:9">
      <c r="A1060" s="584" t="s">
        <v>2396</v>
      </c>
      <c r="B1060" s="594" t="str">
        <f ca="1">"Type of maturity: "&amp;IF('Reconciliation report'!$E$575=RefData!$B$131,"Fixed expiry with a maturity date of "&amp;TEXT('Reconciliation report'!$E$576,RefData!$B$424),
IF('Reconciliation report'!$E$575=RefData!$B$130,'Reconciliation report'!$E$575,""))</f>
        <v xml:space="preserve">Type of maturity: </v>
      </c>
      <c r="D1060" s="624"/>
      <c r="E1060" s="585" t="str">
        <f ca="1">IF(AND('Reconciliation report'!$E$474&gt;=1,'Reconciliation report'!$E$473=RefData!$B$112),'All Statement of strategy (D)'!$B1060&amp;'All Statement of strategy (D)'!$C1060,"")</f>
        <v/>
      </c>
      <c r="F1060" s="585" t="str">
        <f ca="1">IF(AND('Reconciliation report'!$E$474&gt;=1,'Reconciliation report'!$E$473=RefData!$B$112,'Reconciliation report'!$E$12=RefData!$B$12),'All Statement of strategy (D)'!$B1060&amp;'All Statement of strategy (D)'!$C1060,"")</f>
        <v/>
      </c>
      <c r="G1060" s="585" t="str">
        <f>""</f>
        <v/>
      </c>
      <c r="H1060" s="585" t="str">
        <f>""</f>
        <v/>
      </c>
      <c r="I1060" s="595" t="str">
        <f ca="1">IF($C$1=RefData!$B$418,'All Statement of strategy (D)'!$E1060,IF('All Statement of strategy (D)'!$C$1=RefData!$B$419,'All Statement of strategy (D)'!$F1060,IF('All Statement of strategy (D)'!$C$1=RefData!$B$420,'All Statement of strategy (D)'!$G1060,IF('All Statement of strategy (D)'!$C$1=RefData!$B$421,'All Statement of strategy (D)'!$H1060," "))))</f>
        <v xml:space="preserve"> </v>
      </c>
    </row>
    <row r="1061" spans="1:9">
      <c r="A1061" s="584" t="s">
        <v>2397</v>
      </c>
      <c r="B1061" s="594" t="str">
        <f ca="1">B1060&amp;IF('Reconciliation report'!$E$575=RefData!$B$132,LEFT('Reconciliation report'!$E$577,1000),"")</f>
        <v xml:space="preserve">Type of maturity: </v>
      </c>
      <c r="D1061" s="624"/>
      <c r="E1061" s="585" t="str">
        <f ca="1">IF(AND('Reconciliation report'!$E$474&gt;=1,'Reconciliation report'!$E$473=RefData!$B$112),'All Statement of strategy (D)'!$B1061&amp;'All Statement of strategy (D)'!$C1061,"")</f>
        <v/>
      </c>
      <c r="F1061" s="585" t="str">
        <f ca="1">IF(AND('Reconciliation report'!$E$474&gt;=1,'Reconciliation report'!$E$473=RefData!$B$112,'Reconciliation report'!$E$12=RefData!$B$12),'All Statement of strategy (D)'!$B1061&amp;'All Statement of strategy (D)'!$C1061,"")</f>
        <v/>
      </c>
      <c r="G1061" s="585" t="str">
        <f>""</f>
        <v/>
      </c>
      <c r="H1061" s="585" t="str">
        <f>""</f>
        <v/>
      </c>
      <c r="I1061" s="595" t="str">
        <f ca="1">IF($C$1=RefData!$B$418,'All Statement of strategy (D)'!$E1061,IF('All Statement of strategy (D)'!$C$1=RefData!$B$419,'All Statement of strategy (D)'!$F1061,IF('All Statement of strategy (D)'!$C$1=RefData!$B$420,'All Statement of strategy (D)'!$G1061,IF('All Statement of strategy (D)'!$C$1=RefData!$B$421,'All Statement of strategy (D)'!$H1061," "))))</f>
        <v xml:space="preserve"> </v>
      </c>
    </row>
    <row r="1062" spans="1:9">
      <c r="A1062" s="584" t="s">
        <v>2397</v>
      </c>
      <c r="B1062" s="594" t="str">
        <f ca="1">IF('Reconciliation report'!$E$575=RefData!$B$132,MID('Reconciliation report'!$E$577,1001,1000),"")</f>
        <v/>
      </c>
      <c r="D1062" s="624"/>
      <c r="E1062" s="585" t="str">
        <f ca="1">IF(AND('Reconciliation report'!$E$474&gt;=1,'Reconciliation report'!$E$473=RefData!$B$112),'All Statement of strategy (D)'!$B1062&amp;'All Statement of strategy (D)'!$C1062,"")</f>
        <v/>
      </c>
      <c r="F1062" s="585" t="str">
        <f ca="1">IF(AND('Reconciliation report'!$E$474&gt;=1,'Reconciliation report'!$E$473=RefData!$B$112,'Reconciliation report'!$E$12=RefData!$B$12),'All Statement of strategy (D)'!$B1062&amp;'All Statement of strategy (D)'!$C1062,"")</f>
        <v/>
      </c>
      <c r="G1062" s="585" t="str">
        <f>""</f>
        <v/>
      </c>
      <c r="H1062" s="585" t="str">
        <f>""</f>
        <v/>
      </c>
      <c r="I1062" s="595" t="str">
        <f ca="1">IF($C$1=RefData!$B$418,'All Statement of strategy (D)'!$E1062,IF('All Statement of strategy (D)'!$C$1=RefData!$B$419,'All Statement of strategy (D)'!$F1062,IF('All Statement of strategy (D)'!$C$1=RefData!$B$420,'All Statement of strategy (D)'!$G1062,IF('All Statement of strategy (D)'!$C$1=RefData!$B$421,'All Statement of strategy (D)'!$H1062," "))))</f>
        <v xml:space="preserve"> </v>
      </c>
    </row>
    <row r="1063" spans="1:9">
      <c r="A1063" s="584" t="s">
        <v>2397</v>
      </c>
      <c r="B1063" s="594" t="str">
        <f ca="1">IF('Reconciliation report'!$E$575=RefData!$B$132,MID('Reconciliation report'!$E$577,2001,1000),"")</f>
        <v/>
      </c>
      <c r="D1063" s="624"/>
      <c r="E1063" s="585" t="str">
        <f ca="1">IF(AND('Reconciliation report'!$E$474&gt;=1,'Reconciliation report'!$E$473=RefData!$B$112),'All Statement of strategy (D)'!$B1063&amp;'All Statement of strategy (D)'!$C1063,"")</f>
        <v/>
      </c>
      <c r="F1063" s="585" t="str">
        <f ca="1">IF(AND('Reconciliation report'!$E$474&gt;=1,'Reconciliation report'!$E$473=RefData!$B$112,'Reconciliation report'!$E$12=RefData!$B$12),'All Statement of strategy (D)'!$B1063&amp;'All Statement of strategy (D)'!$C1063,"")</f>
        <v/>
      </c>
      <c r="G1063" s="585" t="str">
        <f>""</f>
        <v/>
      </c>
      <c r="H1063" s="585" t="str">
        <f>""</f>
        <v/>
      </c>
      <c r="I1063" s="595" t="str">
        <f ca="1">IF($C$1=RefData!$B$418,'All Statement of strategy (D)'!$E1063,IF('All Statement of strategy (D)'!$C$1=RefData!$B$419,'All Statement of strategy (D)'!$F1063,IF('All Statement of strategy (D)'!$C$1=RefData!$B$420,'All Statement of strategy (D)'!$G1063,IF('All Statement of strategy (D)'!$C$1=RefData!$B$421,'All Statement of strategy (D)'!$H1063," "))))</f>
        <v xml:space="preserve"> </v>
      </c>
    </row>
    <row r="1064" spans="1:9">
      <c r="A1064" s="584" t="s">
        <v>2397</v>
      </c>
      <c r="B1064" s="594" t="str">
        <f ca="1">IF('Reconciliation report'!$E$575=RefData!$B$132,MID('Reconciliation report'!$E$577,3001,1000),"")</f>
        <v/>
      </c>
      <c r="D1064" s="624"/>
      <c r="E1064" s="585" t="str">
        <f ca="1">IF(AND('Reconciliation report'!$E$474&gt;=1,'Reconciliation report'!$E$473=RefData!$B$112),'All Statement of strategy (D)'!$B1064&amp;'All Statement of strategy (D)'!$C1064,"")</f>
        <v/>
      </c>
      <c r="F1064" s="585" t="str">
        <f ca="1">IF(AND('Reconciliation report'!$E$474&gt;=1,'Reconciliation report'!$E$473=RefData!$B$112,'Reconciliation report'!$E$12=RefData!$B$12),'All Statement of strategy (D)'!$B1064&amp;'All Statement of strategy (D)'!$C1064,"")</f>
        <v/>
      </c>
      <c r="G1064" s="585" t="str">
        <f>""</f>
        <v/>
      </c>
      <c r="H1064" s="585" t="str">
        <f>""</f>
        <v/>
      </c>
      <c r="I1064" s="595" t="str">
        <f ca="1">IF($C$1=RefData!$B$418,'All Statement of strategy (D)'!$E1064,IF('All Statement of strategy (D)'!$C$1=RefData!$B$419,'All Statement of strategy (D)'!$F1064,IF('All Statement of strategy (D)'!$C$1=RefData!$B$420,'All Statement of strategy (D)'!$G1064,IF('All Statement of strategy (D)'!$C$1=RefData!$B$421,'All Statement of strategy (D)'!$H1064," "))))</f>
        <v xml:space="preserve"> </v>
      </c>
    </row>
    <row r="1065" spans="1:9">
      <c r="A1065" s="584" t="s">
        <v>2398</v>
      </c>
      <c r="B1065" s="594" t="s">
        <v>2399</v>
      </c>
      <c r="E1065" s="585" t="str">
        <f ca="1">IF(AND('Reconciliation report'!$E$474&gt;=1,'Reconciliation report'!$E$473=RefData!$B$112),'All Statement of strategy (D)'!$B1065&amp;'All Statement of strategy (D)'!$C1065,"")</f>
        <v/>
      </c>
      <c r="F1065" s="585" t="str">
        <f ca="1">IF(AND('Reconciliation report'!$E$474&gt;=1,'Reconciliation report'!$E$473=RefData!$B$112,'Reconciliation report'!$E$12=RefData!$B$12),'All Statement of strategy (D)'!$B1065&amp;'All Statement of strategy (D)'!$C1065,"")</f>
        <v/>
      </c>
      <c r="G1065" s="585" t="str">
        <f ca="1">IF(AND('Reconciliation report'!$E$474&gt;=1,'Reconciliation report'!$E$473=RefData!$B$112,'Reconciliation report'!$E$9=RefData!$B$5,'Reconciliation report'!$E$13=RefData!$B$14),'All Statement of strategy (D)'!$B1065&amp;'All Statement of strategy (D)'!$C1065,"")</f>
        <v/>
      </c>
      <c r="H1065" s="585" t="str">
        <f ca="1">IF(AND('Reconciliation report'!$E$474&gt;=1,'Reconciliation report'!$E$473=RefData!$B$112,'Reconciliation report'!$E$9=RefData!$B$5,'Reconciliation report'!$E$13=RefData!$B$14),'All Statement of strategy (D)'!$B1065&amp;'All Statement of strategy (D)'!$C1065,"")</f>
        <v/>
      </c>
      <c r="I1065" s="595" t="str">
        <f ca="1">IF($C$1=RefData!$B$418,'All Statement of strategy (D)'!$E1065,IF('All Statement of strategy (D)'!$C$1=RefData!$B$419,'All Statement of strategy (D)'!$F1065,IF('All Statement of strategy (D)'!$C$1=RefData!$B$420,'All Statement of strategy (D)'!$G1065,IF('All Statement of strategy (D)'!$C$1=RefData!$B$421,'All Statement of strategy (D)'!$H1065," "))))</f>
        <v xml:space="preserve"> </v>
      </c>
    </row>
    <row r="1066" spans="1:9">
      <c r="B1066" s="594" t="s">
        <v>2400</v>
      </c>
      <c r="C1066" s="585" t="str">
        <f ca="1">TEXT('Reconciliation report'!$E$578,RefData!$B$425)</f>
        <v/>
      </c>
      <c r="E1066" s="585" t="str">
        <f ca="1">IF(AND('Reconciliation report'!$E$474&gt;=1,'Reconciliation report'!$E$473=RefData!$B$112),'All Statement of strategy (D)'!$B1066&amp;'All Statement of strategy (D)'!$C1066,"")</f>
        <v/>
      </c>
      <c r="F1066" s="585" t="str">
        <f ca="1">IF(AND('Reconciliation report'!$E$474&gt;=1,'Reconciliation report'!$E$473=RefData!$B$112,'Reconciliation report'!$E$12=RefData!$B$12),'All Statement of strategy (D)'!$B1066&amp;'All Statement of strategy (D)'!$C1066,"")</f>
        <v/>
      </c>
      <c r="G1066" s="585" t="str">
        <f ca="1">IF(AND('Reconciliation report'!$E$474&gt;=1,'Reconciliation report'!$E$473=RefData!$B$112,'Reconciliation report'!$E$9=RefData!$B$5,'Reconciliation report'!$E$13=RefData!$B$14),'All Statement of strategy (D)'!$B1066&amp;'All Statement of strategy (D)'!$C1066,"")</f>
        <v/>
      </c>
      <c r="H1066" s="585" t="str">
        <f ca="1">IF(AND('Reconciliation report'!$E$474&gt;=1,'Reconciliation report'!$E$473=RefData!$B$112,'Reconciliation report'!$E$9=RefData!$B$5,'Reconciliation report'!$E$13=RefData!$B$14),'All Statement of strategy (D)'!$B1066&amp;'All Statement of strategy (D)'!$C1066,"")</f>
        <v/>
      </c>
      <c r="I1066" s="595" t="str">
        <f ca="1">IF($C$1=RefData!$B$418,'All Statement of strategy (D)'!$E1066,IF('All Statement of strategy (D)'!$C$1=RefData!$B$419,'All Statement of strategy (D)'!$F1066,IF('All Statement of strategy (D)'!$C$1=RefData!$B$420,'All Statement of strategy (D)'!$G1066,IF('All Statement of strategy (D)'!$C$1=RefData!$B$421,'All Statement of strategy (D)'!$H1066," "))))</f>
        <v xml:space="preserve"> </v>
      </c>
    </row>
    <row r="1067" spans="1:9">
      <c r="A1067" s="584" t="s">
        <v>2401</v>
      </c>
      <c r="B1067" s="594" t="s">
        <v>2402</v>
      </c>
      <c r="C1067" s="618" t="str">
        <f ca="1">TEXT('Reconciliation report'!$E$579,RefData!$B$424)</f>
        <v/>
      </c>
      <c r="E1067" s="585" t="str">
        <f ca="1">IF(AND('Reconciliation report'!$E$474&gt;=1,'Reconciliation report'!$E$473=RefData!$B$112),'All Statement of strategy (D)'!$B1067&amp;'All Statement of strategy (D)'!$C1067,"")</f>
        <v/>
      </c>
      <c r="F1067" s="585" t="str">
        <f ca="1">IF(AND('Reconciliation report'!$E$474&gt;=1,'Reconciliation report'!$E$473=RefData!$B$112,'Reconciliation report'!$E$12=RefData!$B$12),'All Statement of strategy (D)'!$B1067&amp;'All Statement of strategy (D)'!$C1067,"")</f>
        <v/>
      </c>
      <c r="G1067" s="585" t="str">
        <f ca="1">IF(AND('Reconciliation report'!$E$474&gt;=1,'Reconciliation report'!$E$473=RefData!$B$112,'Reconciliation report'!$E$9=RefData!$B$5,'Reconciliation report'!$E$13=RefData!$B$14),'All Statement of strategy (D)'!$B1067&amp;'All Statement of strategy (D)'!$C1067,"")</f>
        <v/>
      </c>
      <c r="H1067" s="585" t="str">
        <f ca="1">IF(AND('Reconciliation report'!$E$474&gt;=1,'Reconciliation report'!$E$473=RefData!$B$112,'Reconciliation report'!$E$9=RefData!$B$5,'Reconciliation report'!$E$13=RefData!$B$14),'All Statement of strategy (D)'!$B1067&amp;'All Statement of strategy (D)'!$C1067,"")</f>
        <v/>
      </c>
      <c r="I1067" s="595" t="str">
        <f ca="1">IF($C$1=RefData!$B$418,'All Statement of strategy (D)'!$E1067,IF('All Statement of strategy (D)'!$C$1=RefData!$B$419,'All Statement of strategy (D)'!$F1067,IF('All Statement of strategy (D)'!$C$1=RefData!$B$420,'All Statement of strategy (D)'!$G1067,IF('All Statement of strategy (D)'!$C$1=RefData!$B$421,'All Statement of strategy (D)'!$H1067," "))))</f>
        <v xml:space="preserve"> </v>
      </c>
    </row>
    <row r="1068" spans="1:9">
      <c r="A1068" s="584" t="s">
        <v>2403</v>
      </c>
      <c r="B1068" s="594" t="str">
        <f ca="1">"Value cap: "&amp;IF('Reconciliation report'!$E$580=RefData!$B$139,"",'Reconciliation report'!$E$580)</f>
        <v xml:space="preserve">Value cap: </v>
      </c>
      <c r="D1068" s="624"/>
      <c r="E1068" s="585" t="str">
        <f ca="1">IF(AND('Reconciliation report'!$E$474&gt;=1,'Reconciliation report'!$E$473=RefData!$B$112),'All Statement of strategy (D)'!$B1068&amp;'All Statement of strategy (D)'!$C1068,"")</f>
        <v/>
      </c>
      <c r="F1068" s="585" t="str">
        <f ca="1">IF(AND('Reconciliation report'!$E$474&gt;=1,'Reconciliation report'!$E$473=RefData!$B$112,'Reconciliation report'!$E$12=RefData!$B$12),'All Statement of strategy (D)'!$B1068&amp;'All Statement of strategy (D)'!$C1068,"")</f>
        <v/>
      </c>
      <c r="G1068" s="585" t="str">
        <f>""</f>
        <v/>
      </c>
      <c r="H1068" s="585" t="str">
        <f>""</f>
        <v/>
      </c>
      <c r="I1068" s="595" t="str">
        <f ca="1">IF($C$1=RefData!$B$418,'All Statement of strategy (D)'!$E1068,IF('All Statement of strategy (D)'!$C$1=RefData!$B$419,'All Statement of strategy (D)'!$F1068,IF('All Statement of strategy (D)'!$C$1=RefData!$B$420,'All Statement of strategy (D)'!$G1068,IF('All Statement of strategy (D)'!$C$1=RefData!$B$421,'All Statement of strategy (D)'!$H1068," "))))</f>
        <v xml:space="preserve"> </v>
      </c>
    </row>
    <row r="1069" spans="1:9">
      <c r="A1069" s="584" t="s">
        <v>2404</v>
      </c>
      <c r="B1069" s="594" t="str">
        <f ca="1">B1068&amp;IF('Reconciliation report'!$E$580=RefData!$B$139,LEFT('Reconciliation report'!$E$581,1000),"")</f>
        <v xml:space="preserve">Value cap: </v>
      </c>
      <c r="D1069" s="624"/>
      <c r="E1069" s="585" t="str">
        <f ca="1">IF(AND('Reconciliation report'!$E$474&gt;=1,'Reconciliation report'!$E$473=RefData!$B$112),'All Statement of strategy (D)'!$B1069&amp;'All Statement of strategy (D)'!$C1069,"")</f>
        <v/>
      </c>
      <c r="F1069" s="585" t="str">
        <f ca="1">IF(AND('Reconciliation report'!$E$474&gt;=1,'Reconciliation report'!$E$473=RefData!$B$112,'Reconciliation report'!$E$12=RefData!$B$12),'All Statement of strategy (D)'!$B1069&amp;'All Statement of strategy (D)'!$C1069,"")</f>
        <v/>
      </c>
      <c r="G1069" s="585" t="str">
        <f>""</f>
        <v/>
      </c>
      <c r="H1069" s="585" t="str">
        <f>""</f>
        <v/>
      </c>
      <c r="I1069" s="595" t="str">
        <f ca="1">IF($C$1=RefData!$B$418,'All Statement of strategy (D)'!$E1069,IF('All Statement of strategy (D)'!$C$1=RefData!$B$419,'All Statement of strategy (D)'!$F1069,IF('All Statement of strategy (D)'!$C$1=RefData!$B$420,'All Statement of strategy (D)'!$G1069,IF('All Statement of strategy (D)'!$C$1=RefData!$B$421,'All Statement of strategy (D)'!$H1069," "))))</f>
        <v xml:space="preserve"> </v>
      </c>
    </row>
    <row r="1070" spans="1:9">
      <c r="A1070" s="584" t="s">
        <v>2404</v>
      </c>
      <c r="B1070" s="594" t="str">
        <f ca="1">IF('Reconciliation report'!$E$580=RefData!$B$139,MID('Reconciliation report'!$E$581,1001,1000),"")</f>
        <v/>
      </c>
      <c r="D1070" s="624"/>
      <c r="E1070" s="585" t="str">
        <f ca="1">IF(AND('Reconciliation report'!$E$474&gt;=1,'Reconciliation report'!$E$473=RefData!$B$112),'All Statement of strategy (D)'!$B1070&amp;'All Statement of strategy (D)'!$C1070,"")</f>
        <v/>
      </c>
      <c r="F1070" s="585" t="str">
        <f ca="1">IF(AND('Reconciliation report'!$E$474&gt;=1,'Reconciliation report'!$E$473=RefData!$B$112,'Reconciliation report'!$E$12=RefData!$B$12),'All Statement of strategy (D)'!$B1070&amp;'All Statement of strategy (D)'!$C1070,"")</f>
        <v/>
      </c>
      <c r="G1070" s="585" t="str">
        <f>""</f>
        <v/>
      </c>
      <c r="H1070" s="585" t="str">
        <f>""</f>
        <v/>
      </c>
      <c r="I1070" s="595" t="str">
        <f ca="1">IF($C$1=RefData!$B$418,'All Statement of strategy (D)'!$E1070,IF('All Statement of strategy (D)'!$C$1=RefData!$B$419,'All Statement of strategy (D)'!$F1070,IF('All Statement of strategy (D)'!$C$1=RefData!$B$420,'All Statement of strategy (D)'!$G1070,IF('All Statement of strategy (D)'!$C$1=RefData!$B$421,'All Statement of strategy (D)'!$H1070," "))))</f>
        <v xml:space="preserve"> </v>
      </c>
    </row>
    <row r="1071" spans="1:9">
      <c r="A1071" s="584" t="s">
        <v>2404</v>
      </c>
      <c r="B1071" s="594" t="str">
        <f ca="1">IF('Reconciliation report'!$E$580=RefData!$B$139,MID('Reconciliation report'!$E$581,2001,1000),"")</f>
        <v/>
      </c>
      <c r="D1071" s="624"/>
      <c r="E1071" s="585" t="str">
        <f ca="1">IF(AND('Reconciliation report'!$E$474&gt;=1,'Reconciliation report'!$E$473=RefData!$B$112),'All Statement of strategy (D)'!$B1071&amp;'All Statement of strategy (D)'!$C1071,"")</f>
        <v/>
      </c>
      <c r="F1071" s="585" t="str">
        <f ca="1">IF(AND('Reconciliation report'!$E$474&gt;=1,'Reconciliation report'!$E$473=RefData!$B$112,'Reconciliation report'!$E$12=RefData!$B$12),'All Statement of strategy (D)'!$B1071&amp;'All Statement of strategy (D)'!$C1071,"")</f>
        <v/>
      </c>
      <c r="G1071" s="585" t="str">
        <f>""</f>
        <v/>
      </c>
      <c r="H1071" s="585" t="str">
        <f>""</f>
        <v/>
      </c>
      <c r="I1071" s="595" t="str">
        <f ca="1">IF($C$1=RefData!$B$418,'All Statement of strategy (D)'!$E1071,IF('All Statement of strategy (D)'!$C$1=RefData!$B$419,'All Statement of strategy (D)'!$F1071,IF('All Statement of strategy (D)'!$C$1=RefData!$B$420,'All Statement of strategy (D)'!$G1071,IF('All Statement of strategy (D)'!$C$1=RefData!$B$421,'All Statement of strategy (D)'!$H1071," "))))</f>
        <v xml:space="preserve"> </v>
      </c>
    </row>
    <row r="1072" spans="1:9">
      <c r="A1072" s="584" t="s">
        <v>2404</v>
      </c>
      <c r="B1072" s="594" t="str">
        <f ca="1">IF('Reconciliation report'!$E$580=RefData!$B$139,MID('Reconciliation report'!$E$581,3001,1000),"")</f>
        <v/>
      </c>
      <c r="D1072" s="624"/>
      <c r="E1072" s="585" t="str">
        <f ca="1">IF(AND('Reconciliation report'!$E$474&gt;=1,'Reconciliation report'!$E$473=RefData!$B$112),'All Statement of strategy (D)'!$B1072&amp;'All Statement of strategy (D)'!$C1072,"")</f>
        <v/>
      </c>
      <c r="F1072" s="585" t="str">
        <f ca="1">IF(AND('Reconciliation report'!$E$474&gt;=1,'Reconciliation report'!$E$473=RefData!$B$112,'Reconciliation report'!$E$12=RefData!$B$12),'All Statement of strategy (D)'!$B1072&amp;'All Statement of strategy (D)'!$C1072,"")</f>
        <v/>
      </c>
      <c r="G1072" s="585" t="str">
        <f>""</f>
        <v/>
      </c>
      <c r="H1072" s="585" t="str">
        <f>""</f>
        <v/>
      </c>
      <c r="I1072" s="595" t="str">
        <f ca="1">IF($C$1=RefData!$B$418,'All Statement of strategy (D)'!$E1072,IF('All Statement of strategy (D)'!$C$1=RefData!$B$419,'All Statement of strategy (D)'!$F1072,IF('All Statement of strategy (D)'!$C$1=RefData!$B$420,'All Statement of strategy (D)'!$G1072,IF('All Statement of strategy (D)'!$C$1=RefData!$B$421,'All Statement of strategy (D)'!$H1072," "))))</f>
        <v xml:space="preserve"> </v>
      </c>
    </row>
    <row r="1073" spans="1:9">
      <c r="A1073" s="584" t="s">
        <v>2405</v>
      </c>
      <c r="B1073" s="594" t="s">
        <v>2406</v>
      </c>
      <c r="C1073" s="585" t="str">
        <f ca="1">TEXT('Reconciliation report'!$E$582,RefData!$B$425)</f>
        <v/>
      </c>
      <c r="E1073" s="585" t="str">
        <f ca="1">IF(AND('Reconciliation report'!$E$474&gt;=1,'Reconciliation report'!$E$473=RefData!$B$112,'Reconciliation report'!$E$580=RefData!$B$138),'All Statement of strategy (D)'!$B1073&amp;'All Statement of strategy (D)'!$C1073,"")</f>
        <v/>
      </c>
      <c r="F1073" s="585" t="str">
        <f ca="1">IF(AND('Reconciliation report'!$E$474&gt;=1,'Reconciliation report'!$E$473=RefData!$B$112,'Reconciliation report'!$E$12=RefData!$B$12,'Reconciliation report'!$E$580=RefData!$B$138),'All Statement of strategy (D)'!$B1073&amp;'All Statement of strategy (D)'!$C1073,"")</f>
        <v/>
      </c>
      <c r="G1073" s="585" t="str">
        <f>""</f>
        <v/>
      </c>
      <c r="H1073" s="585" t="str">
        <f>""</f>
        <v/>
      </c>
      <c r="I1073" s="595" t="str">
        <f ca="1">IF($C$1=RefData!$B$418,'All Statement of strategy (D)'!$E1073,IF('All Statement of strategy (D)'!$C$1=RefData!$B$419,'All Statement of strategy (D)'!$F1073,IF('All Statement of strategy (D)'!$C$1=RefData!$B$420,'All Statement of strategy (D)'!$G1073,IF('All Statement of strategy (D)'!$C$1=RefData!$B$421,'All Statement of strategy (D)'!$H1073," "))))</f>
        <v xml:space="preserve"> </v>
      </c>
    </row>
    <row r="1074" spans="1:9">
      <c r="B1074" s="594" t="s">
        <v>2407</v>
      </c>
      <c r="E1074" s="585" t="str">
        <f ca="1">IF(AND('Reconciliation report'!$E$474&gt;=1,'Reconciliation report'!$E$473=RefData!$B$112),'All Statement of strategy (D)'!$B1074&amp;'All Statement of strategy (D)'!$C1074,"")</f>
        <v/>
      </c>
      <c r="F1074" s="585" t="str">
        <f ca="1">IF(AND('Reconciliation report'!$E$474&gt;=1,'Reconciliation report'!$E$473=RefData!$B$112,'Reconciliation report'!$E$12=RefData!$B$12),'All Statement of strategy (D)'!$B1074&amp;'All Statement of strategy (D)'!$C1074,"")</f>
        <v/>
      </c>
      <c r="G1074" s="585" t="str">
        <f>""</f>
        <v/>
      </c>
      <c r="H1074" s="585" t="str">
        <f>""</f>
        <v/>
      </c>
      <c r="I1074" s="595" t="str">
        <f ca="1">IF($C$1=RefData!$B$418,'All Statement of strategy (D)'!$E1074,IF('All Statement of strategy (D)'!$C$1=RefData!$B$419,'All Statement of strategy (D)'!$F1074,IF('All Statement of strategy (D)'!$C$1=RefData!$B$420,'All Statement of strategy (D)'!$G1074,IF('All Statement of strategy (D)'!$C$1=RefData!$B$421,'All Statement of strategy (D)'!$H1074," "))))</f>
        <v xml:space="preserve"> </v>
      </c>
    </row>
    <row r="1075" spans="1:9">
      <c r="A1075" s="584" t="s">
        <v>2408</v>
      </c>
      <c r="B1075" s="594" t="s">
        <v>2409</v>
      </c>
      <c r="C1075" s="585" t="str">
        <f ca="1">'Reconciliation report'!$E$583</f>
        <v/>
      </c>
      <c r="E1075" s="585" t="str">
        <f ca="1">IF(AND('Reconciliation report'!$E$474&gt;=1,'Reconciliation report'!$E$473=RefData!$B$112),'All Statement of strategy (D)'!$B1075&amp;'All Statement of strategy (D)'!$C1075,"")</f>
        <v/>
      </c>
      <c r="F1075" s="585" t="str">
        <f ca="1">IF(AND('Reconciliation report'!$E$474&gt;=1,'Reconciliation report'!$E$473=RefData!$B$112,'Reconciliation report'!$E$12=RefData!$B$12),'All Statement of strategy (D)'!$B1075&amp;'All Statement of strategy (D)'!$C1075,"")</f>
        <v/>
      </c>
      <c r="G1075" s="585" t="str">
        <f>""</f>
        <v/>
      </c>
      <c r="H1075" s="585" t="str">
        <f>""</f>
        <v/>
      </c>
      <c r="I1075" s="595" t="str">
        <f ca="1">IF($C$1=RefData!$B$418,'All Statement of strategy (D)'!$E1075,IF('All Statement of strategy (D)'!$C$1=RefData!$B$419,'All Statement of strategy (D)'!$F1075,IF('All Statement of strategy (D)'!$C$1=RefData!$B$420,'All Statement of strategy (D)'!$G1075,IF('All Statement of strategy (D)'!$C$1=RefData!$B$421,'All Statement of strategy (D)'!$H1075," "))))</f>
        <v xml:space="preserve"> </v>
      </c>
    </row>
    <row r="1076" spans="1:9">
      <c r="A1076" s="584" t="s">
        <v>2410</v>
      </c>
      <c r="B1076" s="594" t="s">
        <v>2411</v>
      </c>
      <c r="C1076" s="585" t="str">
        <f ca="1">'Reconciliation report'!$E$584</f>
        <v/>
      </c>
      <c r="E1076" s="585" t="str">
        <f ca="1">IF(AND('Reconciliation report'!$E$474&gt;=1,'Reconciliation report'!$E$473=RefData!$B$112),'All Statement of strategy (D)'!$B1076&amp;'All Statement of strategy (D)'!$C1076,"")</f>
        <v/>
      </c>
      <c r="F1076" s="585" t="str">
        <f ca="1">IF(AND('Reconciliation report'!$E$474&gt;=1,'Reconciliation report'!$E$473=RefData!$B$112,'Reconciliation report'!$E$12=RefData!$B$12),'All Statement of strategy (D)'!$B1076&amp;'All Statement of strategy (D)'!$C1076,"")</f>
        <v/>
      </c>
      <c r="G1076" s="585" t="str">
        <f>""</f>
        <v/>
      </c>
      <c r="H1076" s="585" t="str">
        <f>""</f>
        <v/>
      </c>
      <c r="I1076" s="595" t="str">
        <f ca="1">IF($C$1=RefData!$B$418,'All Statement of strategy (D)'!$E1076,IF('All Statement of strategy (D)'!$C$1=RefData!$B$419,'All Statement of strategy (D)'!$F1076,IF('All Statement of strategy (D)'!$C$1=RefData!$B$420,'All Statement of strategy (D)'!$G1076,IF('All Statement of strategy (D)'!$C$1=RefData!$B$421,'All Statement of strategy (D)'!$H1076," "))))</f>
        <v xml:space="preserve"> </v>
      </c>
    </row>
    <row r="1077" spans="1:9">
      <c r="A1077" s="584" t="s">
        <v>2412</v>
      </c>
      <c r="B1077" s="594" t="s">
        <v>2413</v>
      </c>
      <c r="C1077" s="585" t="str">
        <f ca="1">'Reconciliation report'!$E$585</f>
        <v/>
      </c>
      <c r="E1077" s="585" t="str">
        <f ca="1">IF(AND('Reconciliation report'!$E$474&gt;=1,'Reconciliation report'!$E$473=RefData!$B$112),'All Statement of strategy (D)'!$B1077&amp;'All Statement of strategy (D)'!$C1077,"")</f>
        <v/>
      </c>
      <c r="F1077" s="585" t="str">
        <f ca="1">IF(AND('Reconciliation report'!$E$474&gt;=1,'Reconciliation report'!$E$473=RefData!$B$112,'Reconciliation report'!$E$12=RefData!$B$12),'All Statement of strategy (D)'!$B1077&amp;'All Statement of strategy (D)'!$C1077,"")</f>
        <v/>
      </c>
      <c r="G1077" s="585" t="str">
        <f>""</f>
        <v/>
      </c>
      <c r="H1077" s="585" t="str">
        <f>""</f>
        <v/>
      </c>
      <c r="I1077" s="595" t="str">
        <f ca="1">IF($C$1=RefData!$B$418,'All Statement of strategy (D)'!$E1077,IF('All Statement of strategy (D)'!$C$1=RefData!$B$419,'All Statement of strategy (D)'!$F1077,IF('All Statement of strategy (D)'!$C$1=RefData!$B$420,'All Statement of strategy (D)'!$G1077,IF('All Statement of strategy (D)'!$C$1=RefData!$B$421,'All Statement of strategy (D)'!$H1077," "))))</f>
        <v xml:space="preserve"> </v>
      </c>
    </row>
    <row r="1078" spans="1:9">
      <c r="A1078" s="584" t="s">
        <v>2414</v>
      </c>
      <c r="B1078" s="594" t="s">
        <v>2415</v>
      </c>
      <c r="C1078" s="585" t="str">
        <f ca="1">'Reconciliation report'!$E$586</f>
        <v/>
      </c>
      <c r="E1078" s="585" t="str">
        <f ca="1">IF(AND('Reconciliation report'!$E$474&gt;=1,'Reconciliation report'!$E$473=RefData!$B$112),'All Statement of strategy (D)'!$B1078&amp;'All Statement of strategy (D)'!$C1078,"")</f>
        <v/>
      </c>
      <c r="F1078" s="585" t="str">
        <f ca="1">IF(AND('Reconciliation report'!$E$474&gt;=1,'Reconciliation report'!$E$473=RefData!$B$112,'Reconciliation report'!$E$12=RefData!$B$12),'All Statement of strategy (D)'!$B1078&amp;'All Statement of strategy (D)'!$C1078,"")</f>
        <v/>
      </c>
      <c r="G1078" s="585" t="str">
        <f>""</f>
        <v/>
      </c>
      <c r="H1078" s="585" t="str">
        <f>""</f>
        <v/>
      </c>
      <c r="I1078" s="595" t="str">
        <f ca="1">IF($C$1=RefData!$B$418,'All Statement of strategy (D)'!$E1078,IF('All Statement of strategy (D)'!$C$1=RefData!$B$419,'All Statement of strategy (D)'!$F1078,IF('All Statement of strategy (D)'!$C$1=RefData!$B$420,'All Statement of strategy (D)'!$G1078,IF('All Statement of strategy (D)'!$C$1=RefData!$B$421,'All Statement of strategy (D)'!$H1078," "))))</f>
        <v xml:space="preserve"> </v>
      </c>
    </row>
    <row r="1079" spans="1:9">
      <c r="A1079" s="584" t="s">
        <v>2416</v>
      </c>
      <c r="B1079" s="594" t="str">
        <f ca="1">IF('Reconciliation report'!$E$587=RefData!$B$140,LEFT('Reconciliation report'!$E$588,1000),"")</f>
        <v/>
      </c>
      <c r="E1079" s="585" t="str">
        <f ca="1">IF(AND('Reconciliation report'!$E$474&gt;=1,'Reconciliation report'!$E$473=RefData!$B$112),'All Statement of strategy (D)'!$B1079&amp;'All Statement of strategy (D)'!$C1079,"")</f>
        <v/>
      </c>
      <c r="F1079" s="585" t="str">
        <f ca="1">IF(AND('Reconciliation report'!$E$474&gt;=1,'Reconciliation report'!$E$473=RefData!$B$112,'Reconciliation report'!$E$12=RefData!$B$12),'All Statement of strategy (D)'!$B1079&amp;'All Statement of strategy (D)'!$C1079,"")</f>
        <v/>
      </c>
      <c r="G1079" s="585" t="str">
        <f>""</f>
        <v/>
      </c>
      <c r="H1079" s="585" t="str">
        <f>""</f>
        <v/>
      </c>
      <c r="I1079" s="595" t="str">
        <f ca="1">IF($C$1=RefData!$B$418,'All Statement of strategy (D)'!$E1079,IF('All Statement of strategy (D)'!$C$1=RefData!$B$419,'All Statement of strategy (D)'!$F1079,IF('All Statement of strategy (D)'!$C$1=RefData!$B$420,'All Statement of strategy (D)'!$G1079,IF('All Statement of strategy (D)'!$C$1=RefData!$B$421,'All Statement of strategy (D)'!$H1079," "))))</f>
        <v xml:space="preserve"> </v>
      </c>
    </row>
    <row r="1080" spans="1:9">
      <c r="A1080" s="584" t="s">
        <v>2416</v>
      </c>
      <c r="B1080" s="594" t="str">
        <f ca="1">IF('Reconciliation report'!$E$587=RefData!$B$140,MID('Reconciliation report'!$E$588,1001,1000),"")</f>
        <v/>
      </c>
      <c r="E1080" s="585" t="str">
        <f ca="1">IF(AND('Reconciliation report'!$E$474&gt;=1,'Reconciliation report'!$E$473=RefData!$B$112),'All Statement of strategy (D)'!$B1080&amp;'All Statement of strategy (D)'!$C1080,"")</f>
        <v/>
      </c>
      <c r="F1080" s="585" t="str">
        <f ca="1">IF(AND('Reconciliation report'!$E$474&gt;=1,'Reconciliation report'!$E$473=RefData!$B$112,'Reconciliation report'!$E$12=RefData!$B$12),'All Statement of strategy (D)'!$B1080&amp;'All Statement of strategy (D)'!$C1080,"")</f>
        <v/>
      </c>
      <c r="G1080" s="585" t="str">
        <f>""</f>
        <v/>
      </c>
      <c r="H1080" s="585" t="str">
        <f>""</f>
        <v/>
      </c>
      <c r="I1080" s="595" t="str">
        <f ca="1">IF($C$1=RefData!$B$418,'All Statement of strategy (D)'!$E1080,IF('All Statement of strategy (D)'!$C$1=RefData!$B$419,'All Statement of strategy (D)'!$F1080,IF('All Statement of strategy (D)'!$C$1=RefData!$B$420,'All Statement of strategy (D)'!$G1080,IF('All Statement of strategy (D)'!$C$1=RefData!$B$421,'All Statement of strategy (D)'!$H1080," "))))</f>
        <v xml:space="preserve"> </v>
      </c>
    </row>
    <row r="1081" spans="1:9">
      <c r="A1081" s="584" t="s">
        <v>2416</v>
      </c>
      <c r="B1081" s="594" t="str">
        <f ca="1">IF('Reconciliation report'!$E$587=RefData!$B$140,MID('Reconciliation report'!$E$588,2001,1000),"")</f>
        <v/>
      </c>
      <c r="E1081" s="585" t="str">
        <f ca="1">IF(AND('Reconciliation report'!$E$474&gt;=1,'Reconciliation report'!$E$473=RefData!$B$112),'All Statement of strategy (D)'!$B1081&amp;'All Statement of strategy (D)'!$C1081,"")</f>
        <v/>
      </c>
      <c r="F1081" s="585" t="str">
        <f ca="1">IF(AND('Reconciliation report'!$E$474&gt;=1,'Reconciliation report'!$E$473=RefData!$B$112,'Reconciliation report'!$E$12=RefData!$B$12),'All Statement of strategy (D)'!$B1081&amp;'All Statement of strategy (D)'!$C1081,"")</f>
        <v/>
      </c>
      <c r="G1081" s="585" t="str">
        <f>""</f>
        <v/>
      </c>
      <c r="H1081" s="585" t="str">
        <f>""</f>
        <v/>
      </c>
      <c r="I1081" s="595" t="str">
        <f ca="1">IF($C$1=RefData!$B$418,'All Statement of strategy (D)'!$E1081,IF('All Statement of strategy (D)'!$C$1=RefData!$B$419,'All Statement of strategy (D)'!$F1081,IF('All Statement of strategy (D)'!$C$1=RefData!$B$420,'All Statement of strategy (D)'!$G1081,IF('All Statement of strategy (D)'!$C$1=RefData!$B$421,'All Statement of strategy (D)'!$H1081," "))))</f>
        <v xml:space="preserve"> </v>
      </c>
    </row>
    <row r="1082" spans="1:9">
      <c r="A1082" s="584" t="s">
        <v>2416</v>
      </c>
      <c r="B1082" s="594" t="str">
        <f ca="1">IF('Reconciliation report'!$E$587=RefData!$B$140,MID('Reconciliation report'!$E$588,3001,1000),"")</f>
        <v/>
      </c>
      <c r="E1082" s="585" t="str">
        <f ca="1">IF(AND('Reconciliation report'!$E$474&gt;=1,'Reconciliation report'!$E$473=RefData!$B$112),'All Statement of strategy (D)'!$B1082&amp;'All Statement of strategy (D)'!$C1082,"")</f>
        <v/>
      </c>
      <c r="F1082" s="585" t="str">
        <f ca="1">IF(AND('Reconciliation report'!$E$474&gt;=1,'Reconciliation report'!$E$473=RefData!$B$112,'Reconciliation report'!$E$12=RefData!$B$12),'All Statement of strategy (D)'!$B1082&amp;'All Statement of strategy (D)'!$C1082,"")</f>
        <v/>
      </c>
      <c r="G1082" s="585" t="str">
        <f>""</f>
        <v/>
      </c>
      <c r="H1082" s="585" t="str">
        <f>""</f>
        <v/>
      </c>
      <c r="I1082" s="595" t="str">
        <f ca="1">IF($C$1=RefData!$B$418,'All Statement of strategy (D)'!$E1082,IF('All Statement of strategy (D)'!$C$1=RefData!$B$419,'All Statement of strategy (D)'!$F1082,IF('All Statement of strategy (D)'!$C$1=RefData!$B$420,'All Statement of strategy (D)'!$G1082,IF('All Statement of strategy (D)'!$C$1=RefData!$B$421,'All Statement of strategy (D)'!$H1082," "))))</f>
        <v xml:space="preserve"> </v>
      </c>
    </row>
    <row r="1083" spans="1:9">
      <c r="B1083" s="594" t="s">
        <v>2417</v>
      </c>
      <c r="E1083" s="585" t="str">
        <f ca="1">IF(AND('Reconciliation report'!$E$474&gt;=1,'Reconciliation report'!$E$473=RefData!$B$112),'All Statement of strategy (D)'!$B1083&amp;'All Statement of strategy (D)'!$C1083,"")</f>
        <v/>
      </c>
      <c r="F1083" s="585" t="str">
        <f ca="1">IF(AND('Reconciliation report'!$E$474&gt;=1,'Reconciliation report'!$E$473=RefData!$B$112,'Reconciliation report'!$E$12=RefData!$B$12),'All Statement of strategy (D)'!$B1083&amp;'All Statement of strategy (D)'!$C1083,"")</f>
        <v/>
      </c>
      <c r="G1083" s="585" t="str">
        <f>""</f>
        <v/>
      </c>
      <c r="H1083" s="585" t="str">
        <f>""</f>
        <v/>
      </c>
      <c r="I1083" s="595" t="str">
        <f ca="1">IF($C$1=RefData!$B$418,'All Statement of strategy (D)'!$E1083,IF('All Statement of strategy (D)'!$C$1=RefData!$B$419,'All Statement of strategy (D)'!$F1083,IF('All Statement of strategy (D)'!$C$1=RefData!$B$420,'All Statement of strategy (D)'!$G1083,IF('All Statement of strategy (D)'!$C$1=RefData!$B$421,'All Statement of strategy (D)'!$H1083," "))))</f>
        <v xml:space="preserve"> </v>
      </c>
    </row>
    <row r="1084" spans="1:9">
      <c r="A1084" s="584" t="s">
        <v>2418</v>
      </c>
      <c r="B1084" s="594" t="str">
        <f ca="1">B1083&amp;LEFT('Reconciliation report'!$E$589,1000)</f>
        <v xml:space="preserve">Triggers for termination: </v>
      </c>
      <c r="E1084" s="585" t="str">
        <f ca="1">IF(AND('Reconciliation report'!$E$474&gt;=1,'Reconciliation report'!$E$473=RefData!$B$112),'All Statement of strategy (D)'!$B1084&amp;'All Statement of strategy (D)'!$C1084,"")</f>
        <v/>
      </c>
      <c r="F1084" s="585" t="str">
        <f ca="1">IF(AND('Reconciliation report'!$E$474&gt;=1,'Reconciliation report'!$E$473=RefData!$B$112,'Reconciliation report'!$E$12=RefData!$B$12),'All Statement of strategy (D)'!$B1084&amp;'All Statement of strategy (D)'!$C1084,"")</f>
        <v/>
      </c>
      <c r="G1084" s="585" t="str">
        <f>""</f>
        <v/>
      </c>
      <c r="H1084" s="585" t="str">
        <f>""</f>
        <v/>
      </c>
      <c r="I1084" s="595" t="str">
        <f ca="1">IF($C$1=RefData!$B$418,'All Statement of strategy (D)'!$E1084,IF('All Statement of strategy (D)'!$C$1=RefData!$B$419,'All Statement of strategy (D)'!$F1084,IF('All Statement of strategy (D)'!$C$1=RefData!$B$420,'All Statement of strategy (D)'!$G1084,IF('All Statement of strategy (D)'!$C$1=RefData!$B$421,'All Statement of strategy (D)'!$H1084," "))))</f>
        <v xml:space="preserve"> </v>
      </c>
    </row>
    <row r="1085" spans="1:9">
      <c r="A1085" s="584" t="s">
        <v>2418</v>
      </c>
      <c r="B1085" s="594" t="str">
        <f ca="1">MID('Reconciliation report'!$E$589,1001,1000)</f>
        <v/>
      </c>
      <c r="E1085" s="585" t="str">
        <f ca="1">IF(AND('Reconciliation report'!$E$474&gt;=1,'Reconciliation report'!$E$473=RefData!$B$112),'All Statement of strategy (D)'!$B1085&amp;'All Statement of strategy (D)'!$C1085,"")</f>
        <v/>
      </c>
      <c r="F1085" s="585" t="str">
        <f ca="1">IF(AND('Reconciliation report'!$E$474&gt;=1,'Reconciliation report'!$E$473=RefData!$B$112,'Reconciliation report'!$E$12=RefData!$B$12),'All Statement of strategy (D)'!$B1085&amp;'All Statement of strategy (D)'!$C1085,"")</f>
        <v/>
      </c>
      <c r="G1085" s="585" t="str">
        <f>""</f>
        <v/>
      </c>
      <c r="H1085" s="585" t="str">
        <f>""</f>
        <v/>
      </c>
      <c r="I1085" s="595" t="str">
        <f ca="1">IF($C$1=RefData!$B$418,'All Statement of strategy (D)'!$E1085,IF('All Statement of strategy (D)'!$C$1=RefData!$B$419,'All Statement of strategy (D)'!$F1085,IF('All Statement of strategy (D)'!$C$1=RefData!$B$420,'All Statement of strategy (D)'!$G1085,IF('All Statement of strategy (D)'!$C$1=RefData!$B$421,'All Statement of strategy (D)'!$H1085," "))))</f>
        <v xml:space="preserve"> </v>
      </c>
    </row>
    <row r="1086" spans="1:9">
      <c r="A1086" s="584" t="s">
        <v>2418</v>
      </c>
      <c r="B1086" s="594" t="str">
        <f ca="1">MID('Reconciliation report'!$E$589,2001,1000)</f>
        <v/>
      </c>
      <c r="E1086" s="585" t="str">
        <f ca="1">IF(AND('Reconciliation report'!$E$474&gt;=1,'Reconciliation report'!$E$473=RefData!$B$112),'All Statement of strategy (D)'!$B1086&amp;'All Statement of strategy (D)'!$C1086,"")</f>
        <v/>
      </c>
      <c r="F1086" s="585" t="str">
        <f ca="1">IF(AND('Reconciliation report'!$E$474&gt;=1,'Reconciliation report'!$E$473=RefData!$B$112,'Reconciliation report'!$E$12=RefData!$B$12),'All Statement of strategy (D)'!$B1086&amp;'All Statement of strategy (D)'!$C1086,"")</f>
        <v/>
      </c>
      <c r="G1086" s="585" t="str">
        <f>""</f>
        <v/>
      </c>
      <c r="H1086" s="585" t="str">
        <f>""</f>
        <v/>
      </c>
      <c r="I1086" s="595" t="str">
        <f ca="1">IF($C$1=RefData!$B$418,'All Statement of strategy (D)'!$E1086,IF('All Statement of strategy (D)'!$C$1=RefData!$B$419,'All Statement of strategy (D)'!$F1086,IF('All Statement of strategy (D)'!$C$1=RefData!$B$420,'All Statement of strategy (D)'!$G1086,IF('All Statement of strategy (D)'!$C$1=RefData!$B$421,'All Statement of strategy (D)'!$H1086," "))))</f>
        <v xml:space="preserve"> </v>
      </c>
    </row>
    <row r="1087" spans="1:9" ht="16" thickBot="1">
      <c r="A1087" s="584" t="s">
        <v>2418</v>
      </c>
      <c r="B1087" s="597" t="str">
        <f ca="1">MID('Reconciliation report'!$E$589,3001,1000)</f>
        <v/>
      </c>
      <c r="C1087" s="598"/>
      <c r="D1087" s="598"/>
      <c r="E1087" s="598" t="str">
        <f ca="1">IF(AND('Reconciliation report'!$E$474&gt;=1,'Reconciliation report'!$E$473=RefData!$B$112),'All Statement of strategy (D)'!$B1087&amp;'All Statement of strategy (D)'!$C1087,"")</f>
        <v/>
      </c>
      <c r="F1087" s="598" t="str">
        <f ca="1">IF(AND('Reconciliation report'!$E$474&gt;=1,'Reconciliation report'!$E$473=RefData!$B$112,'Reconciliation report'!$E$12=RefData!$B$12),'All Statement of strategy (D)'!$B1087&amp;'All Statement of strategy (D)'!$C1087,"")</f>
        <v/>
      </c>
      <c r="G1087" s="598" t="str">
        <f>""</f>
        <v/>
      </c>
      <c r="H1087" s="598" t="str">
        <f>""</f>
        <v/>
      </c>
      <c r="I1087" s="599" t="str">
        <f ca="1">IF($C$1=RefData!$B$418,'All Statement of strategy (D)'!$E1087,IF('All Statement of strategy (D)'!$C$1=RefData!$B$419,'All Statement of strategy (D)'!$F1087,IF('All Statement of strategy (D)'!$C$1=RefData!$B$420,'All Statement of strategy (D)'!$G1087,IF('All Statement of strategy (D)'!$C$1=RefData!$B$421,'All Statement of strategy (D)'!$H1087," "))))</f>
        <v xml:space="preserve"> </v>
      </c>
    </row>
    <row r="1088" spans="1:9">
      <c r="B1088" s="594" t="s">
        <v>2419</v>
      </c>
      <c r="E1088" s="585" t="str">
        <f ca="1">IF(AND('Reconciliation report'!$E$474&gt;=2,'Reconciliation report'!$E$473=RefData!$B$112),'All Statement of strategy (D)'!$B1088&amp;'All Statement of strategy (D)'!$C1088,"")</f>
        <v/>
      </c>
      <c r="F1088" s="585" t="str">
        <f ca="1">IF(AND('Reconciliation report'!$E$474&gt;=2,'Reconciliation report'!$E$473=RefData!$B$112,'Reconciliation report'!$E$12=RefData!$B$12),'All Statement of strategy (D)'!$B1088&amp;'All Statement of strategy (D)'!$C1088,"")</f>
        <v/>
      </c>
      <c r="G1088" s="585" t="str">
        <f ca="1">IF(AND('Reconciliation report'!$E$474&gt;=2,'Reconciliation report'!$E$473=RefData!$B$112,'Reconciliation report'!$E$9=RefData!$B$5,'Reconciliation report'!$E$13=RefData!$B$14),'All Statement of strategy (D)'!$B1088&amp;'All Statement of strategy (D)'!$C1088,"")</f>
        <v/>
      </c>
      <c r="H1088" s="585" t="str">
        <f ca="1">IF(AND('Reconciliation report'!$E$474&gt;=2,'Reconciliation report'!$E$473=RefData!$B$112,'Reconciliation report'!$E$9=RefData!$B$5,'Reconciliation report'!$E$13=RefData!$B$14),'All Statement of strategy (D)'!$B1088&amp;'All Statement of strategy (D)'!$C1088,"")</f>
        <v/>
      </c>
      <c r="I1088" s="595" t="str">
        <f ca="1">IF($C$1=RefData!$B$418,'All Statement of strategy (D)'!$E1088,IF('All Statement of strategy (D)'!$C$1=RefData!$B$419,'All Statement of strategy (D)'!$F1088,IF('All Statement of strategy (D)'!$C$1=RefData!$B$420,'All Statement of strategy (D)'!$G1088,IF('All Statement of strategy (D)'!$C$1=RefData!$B$421,'All Statement of strategy (D)'!$H1088," "))))</f>
        <v xml:space="preserve"> </v>
      </c>
    </row>
    <row r="1089" spans="1:9">
      <c r="A1089" s="584" t="s">
        <v>2420</v>
      </c>
      <c r="B1089" s="594" t="s">
        <v>2381</v>
      </c>
      <c r="C1089" s="615" t="str">
        <f ca="1">'Reconciliation report'!$E$590</f>
        <v/>
      </c>
      <c r="E1089" s="585" t="str">
        <f ca="1">IF(AND('Reconciliation report'!$E$474&gt;=2,'Reconciliation report'!$E$473=RefData!$B$112),'All Statement of strategy (D)'!$B1089&amp;'All Statement of strategy (D)'!$C1089,"")</f>
        <v/>
      </c>
      <c r="F1089" s="585" t="str">
        <f ca="1">IF(AND('Reconciliation report'!$E$474&gt;=2,'Reconciliation report'!$E$473=RefData!$B$112,'Reconciliation report'!$E$12=RefData!$B$12),'All Statement of strategy (D)'!$B1089&amp;'All Statement of strategy (D)'!$C1089,"")</f>
        <v/>
      </c>
      <c r="G1089" s="585" t="str">
        <f ca="1">IF(AND('Reconciliation report'!$E$474&gt;=2,'Reconciliation report'!$E$473=RefData!$B$112,'Reconciliation report'!$E$9=RefData!$B$5,'Reconciliation report'!$E$13=RefData!$B$14),'All Statement of strategy (D)'!$B1089&amp;'All Statement of strategy (D)'!$C1089,"")</f>
        <v/>
      </c>
      <c r="H1089" s="585" t="str">
        <f ca="1">IF(AND('Reconciliation report'!$E$474&gt;=2,'Reconciliation report'!$E$473=RefData!$B$112,'Reconciliation report'!$E$9=RefData!$B$5,'Reconciliation report'!$E$13=RefData!$B$14),'All Statement of strategy (D)'!$B1089&amp;'All Statement of strategy (D)'!$C1089,"")</f>
        <v/>
      </c>
      <c r="I1089" s="595" t="str">
        <f ca="1">IF($C$1=RefData!$B$418,'All Statement of strategy (D)'!$E1089,IF('All Statement of strategy (D)'!$C$1=RefData!$B$419,'All Statement of strategy (D)'!$F1089,IF('All Statement of strategy (D)'!$C$1=RefData!$B$420,'All Statement of strategy (D)'!$G1089,IF('All Statement of strategy (D)'!$C$1=RefData!$B$421,'All Statement of strategy (D)'!$H1089," "))))</f>
        <v xml:space="preserve"> </v>
      </c>
    </row>
    <row r="1090" spans="1:9">
      <c r="A1090" s="584" t="s">
        <v>2421</v>
      </c>
      <c r="B1090" s="594" t="s">
        <v>2383</v>
      </c>
      <c r="C1090" s="585" t="str">
        <f ca="1">IF(AND('Reconciliation report'!$E$591="",'Reconciliation report'!$E$592=""),"",IF('Reconciliation report'!$E$591="","charity number: "&amp;'Reconciliation report'!$E$592,"companies house number: "&amp;'Reconciliation report'!$E$591))</f>
        <v/>
      </c>
      <c r="E1090" s="585" t="str">
        <f ca="1">IF(AND($C1090&lt;&gt;"",'Reconciliation report'!$E$474&gt;=2,'Reconciliation report'!$E$473=RefData!$B$112),'All Statement of strategy (D)'!$B1090&amp;'All Statement of strategy (D)'!$C1090,"")</f>
        <v/>
      </c>
      <c r="F1090" s="585" t="str">
        <f ca="1">IF(AND($C1090&lt;&gt;"",'Reconciliation report'!$E$474&gt;=2,'Reconciliation report'!$E$473=RefData!$B$112,'Reconciliation report'!$E$12=RefData!$B$12),'All Statement of strategy (D)'!$B1090&amp;'All Statement of strategy (D)'!$C1090,"")</f>
        <v/>
      </c>
      <c r="G1090" s="585" t="str">
        <f ca="1">IF(AND($C1090&lt;&gt;"",'Reconciliation report'!$E$474&gt;=2,'Reconciliation report'!$E$473=RefData!$B$112,'Reconciliation report'!$E$9=RefData!$B$5,'Reconciliation report'!$E$13=RefData!$B$14),'All Statement of strategy (D)'!$B1090&amp;'All Statement of strategy (D)'!$C1090,"")</f>
        <v/>
      </c>
      <c r="H1090" s="585" t="str">
        <f ca="1">IF(AND($C1090&lt;&gt;"",'Reconciliation report'!$E$474&gt;=2,'Reconciliation report'!$E$473=RefData!$B$112,'Reconciliation report'!$E$9=RefData!$B$5,'Reconciliation report'!$E$13=RefData!$B$14),'All Statement of strategy (D)'!$B1090&amp;'All Statement of strategy (D)'!$C1090,"")</f>
        <v/>
      </c>
      <c r="I1090" s="595" t="str">
        <f ca="1">IF($C$1=RefData!$B$418,'All Statement of strategy (D)'!$E1090,IF('All Statement of strategy (D)'!$C$1=RefData!$B$419,'All Statement of strategy (D)'!$F1090,IF('All Statement of strategy (D)'!$C$1=RefData!$B$420,'All Statement of strategy (D)'!$G1090,IF('All Statement of strategy (D)'!$C$1=RefData!$B$421,'All Statement of strategy (D)'!$H1090," "))))</f>
        <v xml:space="preserve"> </v>
      </c>
    </row>
    <row r="1091" spans="1:9">
      <c r="A1091" s="584" t="s">
        <v>2422</v>
      </c>
      <c r="B1091" s="594" t="s">
        <v>1858</v>
      </c>
      <c r="C1091" s="615" t="str">
        <f ca="1">'Reconciliation report'!$E$593</f>
        <v/>
      </c>
      <c r="E1091" s="585" t="str">
        <f ca="1">IF(AND($C1091&lt;&gt;"",'Reconciliation report'!$E$474&gt;=2,'Reconciliation report'!$E$473=RefData!$B$112),'All Statement of strategy (D)'!$B1091&amp;'All Statement of strategy (D)'!$C1091,"")</f>
        <v/>
      </c>
      <c r="F1091" s="585" t="str">
        <f ca="1">IF(AND($C1091&lt;&gt;"",'Reconciliation report'!$E$474&gt;=2,'Reconciliation report'!$E$473=RefData!$B$112,'Reconciliation report'!$E$12=RefData!$B$12),'All Statement of strategy (D)'!$B1091&amp;'All Statement of strategy (D)'!$C1091,"")</f>
        <v/>
      </c>
      <c r="G1091" s="585" t="str">
        <f ca="1">IF(AND($C1091&lt;&gt;"",'Reconciliation report'!$E$474&gt;=2,'Reconciliation report'!$E$473=RefData!$B$112,'Reconciliation report'!$E$9=RefData!$B$5,'Reconciliation report'!$E$13=RefData!$B$14),'All Statement of strategy (D)'!$B1091&amp;'All Statement of strategy (D)'!$C1091,"")</f>
        <v/>
      </c>
      <c r="H1091" s="585" t="str">
        <f ca="1">IF(AND($C1091&lt;&gt;"",'Reconciliation report'!$E$474&gt;=2,'Reconciliation report'!$E$473=RefData!$B$112,'Reconciliation report'!$E$9=RefData!$B$5,'Reconciliation report'!$E$13=RefData!$B$14),'All Statement of strategy (D)'!$B1091&amp;'All Statement of strategy (D)'!$C1091,"")</f>
        <v/>
      </c>
      <c r="I1091" s="595" t="str">
        <f ca="1">IF($C$1=RefData!$B$418,'All Statement of strategy (D)'!$E1091,IF('All Statement of strategy (D)'!$C$1=RefData!$B$419,'All Statement of strategy (D)'!$F1091,IF('All Statement of strategy (D)'!$C$1=RefData!$B$420,'All Statement of strategy (D)'!$G1091,IF('All Statement of strategy (D)'!$C$1=RefData!$B$421,'All Statement of strategy (D)'!$H1091," "))))</f>
        <v xml:space="preserve"> </v>
      </c>
    </row>
    <row r="1092" spans="1:9">
      <c r="A1092" s="584" t="s">
        <v>2423</v>
      </c>
      <c r="B1092" s="594" t="s">
        <v>1860</v>
      </c>
      <c r="C1092" s="615" t="str">
        <f ca="1">'Reconciliation report'!$E$594</f>
        <v/>
      </c>
      <c r="E1092" s="585" t="str">
        <f ca="1">IF(AND($C1092&lt;&gt;"",'Reconciliation report'!$E$474&gt;=2,'Reconciliation report'!$E$473=RefData!$B$112),'All Statement of strategy (D)'!$B1092&amp;'All Statement of strategy (D)'!$C1092,"")</f>
        <v/>
      </c>
      <c r="F1092" s="585" t="str">
        <f ca="1">IF(AND($C1092&lt;&gt;"",'Reconciliation report'!$E$474&gt;=2,'Reconciliation report'!$E$473=RefData!$B$112,'Reconciliation report'!$E$12=RefData!$B$12),'All Statement of strategy (D)'!$B1092&amp;'All Statement of strategy (D)'!$C1092,"")</f>
        <v/>
      </c>
      <c r="G1092" s="585" t="str">
        <f ca="1">IF(AND($C1092&lt;&gt;"",'Reconciliation report'!$E$474&gt;=2,'Reconciliation report'!$E$473=RefData!$B$112,'Reconciliation report'!$E$9=RefData!$B$5,'Reconciliation report'!$E$13=RefData!$B$14),'All Statement of strategy (D)'!$B1092&amp;'All Statement of strategy (D)'!$C1092,"")</f>
        <v/>
      </c>
      <c r="H1092" s="585" t="str">
        <f ca="1">IF(AND($C1092&lt;&gt;"",'Reconciliation report'!$E$474&gt;=2,'Reconciliation report'!$E$473=RefData!$B$112,'Reconciliation report'!$E$9=RefData!$B$5,'Reconciliation report'!$E$13=RefData!$B$14),'All Statement of strategy (D)'!$B1092&amp;'All Statement of strategy (D)'!$C1092,"")</f>
        <v/>
      </c>
      <c r="I1092" s="595" t="str">
        <f ca="1">IF($C$1=RefData!$B$418,'All Statement of strategy (D)'!$E1092,IF('All Statement of strategy (D)'!$C$1=RefData!$B$419,'All Statement of strategy (D)'!$F1092,IF('All Statement of strategy (D)'!$C$1=RefData!$B$420,'All Statement of strategy (D)'!$G1092,IF('All Statement of strategy (D)'!$C$1=RefData!$B$421,'All Statement of strategy (D)'!$H1092," "))))</f>
        <v xml:space="preserve"> </v>
      </c>
    </row>
    <row r="1093" spans="1:9">
      <c r="A1093" s="584" t="s">
        <v>2424</v>
      </c>
      <c r="B1093" s="594" t="s">
        <v>1862</v>
      </c>
      <c r="C1093" s="615" t="str">
        <f ca="1">'Reconciliation report'!$E$595</f>
        <v/>
      </c>
      <c r="E1093" s="585" t="str">
        <f ca="1">IF(AND($C1093&lt;&gt;"",'Reconciliation report'!$E$474&gt;=2,'Reconciliation report'!$E$473=RefData!$B$112),'All Statement of strategy (D)'!$B1093&amp;'All Statement of strategy (D)'!$C1093,"")</f>
        <v/>
      </c>
      <c r="F1093" s="585" t="str">
        <f ca="1">IF(AND($C1093&lt;&gt;"",'Reconciliation report'!$E$474&gt;=2,'Reconciliation report'!$E$473=RefData!$B$112,'Reconciliation report'!$E$12=RefData!$B$12),'All Statement of strategy (D)'!$B1093&amp;'All Statement of strategy (D)'!$C1093,"")</f>
        <v/>
      </c>
      <c r="G1093" s="585" t="str">
        <f ca="1">IF(AND($C1093&lt;&gt;"",'Reconciliation report'!$E$474&gt;=2,'Reconciliation report'!$E$473=RefData!$B$112,'Reconciliation report'!$E$9=RefData!$B$5,'Reconciliation report'!$E$13=RefData!$B$14),'All Statement of strategy (D)'!$B1093&amp;'All Statement of strategy (D)'!$C1093,"")</f>
        <v/>
      </c>
      <c r="H1093" s="585" t="str">
        <f ca="1">IF(AND($C1093&lt;&gt;"",'Reconciliation report'!$E$474&gt;=2,'Reconciliation report'!$E$473=RefData!$B$112,'Reconciliation report'!$E$9=RefData!$B$5,'Reconciliation report'!$E$13=RefData!$B$14),'All Statement of strategy (D)'!$B1093&amp;'All Statement of strategy (D)'!$C1093,"")</f>
        <v/>
      </c>
      <c r="I1093" s="595" t="str">
        <f ca="1">IF($C$1=RefData!$B$418,'All Statement of strategy (D)'!$E1093,IF('All Statement of strategy (D)'!$C$1=RefData!$B$419,'All Statement of strategy (D)'!$F1093,IF('All Statement of strategy (D)'!$C$1=RefData!$B$420,'All Statement of strategy (D)'!$G1093,IF('All Statement of strategy (D)'!$C$1=RefData!$B$421,'All Statement of strategy (D)'!$H1093," "))))</f>
        <v xml:space="preserve"> </v>
      </c>
    </row>
    <row r="1094" spans="1:9">
      <c r="A1094" s="584" t="s">
        <v>2425</v>
      </c>
      <c r="B1094" s="594" t="s">
        <v>2388</v>
      </c>
      <c r="C1094" s="615" t="str">
        <f ca="1">'Reconciliation report'!$E$596</f>
        <v/>
      </c>
      <c r="E1094" s="585" t="str">
        <f ca="1">IF(AND($C1094&lt;&gt;"",'Reconciliation report'!$E$474&gt;=2,'Reconciliation report'!$E$473=RefData!$B$112),'All Statement of strategy (D)'!$B1094&amp;'All Statement of strategy (D)'!$C1094,"")</f>
        <v/>
      </c>
      <c r="F1094" s="585" t="str">
        <f ca="1">IF(AND($C1094&lt;&gt;"",'Reconciliation report'!$E$474&gt;=2,'Reconciliation report'!$E$473=RefData!$B$112,'Reconciliation report'!$E$12=RefData!$B$12),'All Statement of strategy (D)'!$B1094&amp;'All Statement of strategy (D)'!$C1094,"")</f>
        <v/>
      </c>
      <c r="G1094" s="585" t="str">
        <f ca="1">IF(AND($C1094&lt;&gt;"",'Reconciliation report'!$E$474&gt;=2,'Reconciliation report'!$E$473=RefData!$B$112,'Reconciliation report'!$E$9=RefData!$B$5,'Reconciliation report'!$E$13=RefData!$B$14),'All Statement of strategy (D)'!$B1094&amp;'All Statement of strategy (D)'!$C1094,"")</f>
        <v/>
      </c>
      <c r="H1094" s="585" t="str">
        <f ca="1">IF(AND($C1094&lt;&gt;"",'Reconciliation report'!$E$474&gt;=2,'Reconciliation report'!$E$473=RefData!$B$112,'Reconciliation report'!$E$9=RefData!$B$5,'Reconciliation report'!$E$13=RefData!$B$14),'All Statement of strategy (D)'!$B1094&amp;'All Statement of strategy (D)'!$C1094,"")</f>
        <v/>
      </c>
      <c r="I1094" s="595" t="str">
        <f ca="1">IF($C$1=RefData!$B$418,'All Statement of strategy (D)'!$E1094,IF('All Statement of strategy (D)'!$C$1=RefData!$B$419,'All Statement of strategy (D)'!$F1094,IF('All Statement of strategy (D)'!$C$1=RefData!$B$420,'All Statement of strategy (D)'!$G1094,IF('All Statement of strategy (D)'!$C$1=RefData!$B$421,'All Statement of strategy (D)'!$H1094," "))))</f>
        <v xml:space="preserve"> </v>
      </c>
    </row>
    <row r="1095" spans="1:9">
      <c r="A1095" s="584" t="s">
        <v>2426</v>
      </c>
      <c r="B1095" s="594" t="s">
        <v>1866</v>
      </c>
      <c r="C1095" s="615" t="str">
        <f ca="1">'Reconciliation report'!$E$597</f>
        <v/>
      </c>
      <c r="E1095" s="585" t="str">
        <f ca="1">IF(AND($C1095&lt;&gt;"",'Reconciliation report'!$E$474&gt;=2,'Reconciliation report'!$E$473=RefData!$B$112),'All Statement of strategy (D)'!$B1095&amp;'All Statement of strategy (D)'!$C1095,"")</f>
        <v/>
      </c>
      <c r="F1095" s="585" t="str">
        <f ca="1">IF(AND($C1095&lt;&gt;"",'Reconciliation report'!$E$474&gt;=2,'Reconciliation report'!$E$473=RefData!$B$112,'Reconciliation report'!$E$12=RefData!$B$12),'All Statement of strategy (D)'!$B1095&amp;'All Statement of strategy (D)'!$C1095,"")</f>
        <v/>
      </c>
      <c r="G1095" s="585" t="str">
        <f ca="1">IF(AND($C1095&lt;&gt;"",'Reconciliation report'!$E$474&gt;=2,'Reconciliation report'!$E$473=RefData!$B$112,'Reconciliation report'!$E$9=RefData!$B$5,'Reconciliation report'!$E$13=RefData!$B$14),'All Statement of strategy (D)'!$B1095&amp;'All Statement of strategy (D)'!$C1095,"")</f>
        <v/>
      </c>
      <c r="H1095" s="585" t="str">
        <f ca="1">IF(AND($C1095&lt;&gt;"",'Reconciliation report'!$E$474&gt;=2,'Reconciliation report'!$E$473=RefData!$B$112,'Reconciliation report'!$E$9=RefData!$B$5,'Reconciliation report'!$E$13=RefData!$B$14),'All Statement of strategy (D)'!$B1095&amp;'All Statement of strategy (D)'!$C1095,"")</f>
        <v/>
      </c>
      <c r="I1095" s="595" t="str">
        <f ca="1">IF($C$1=RefData!$B$418,'All Statement of strategy (D)'!$E1095,IF('All Statement of strategy (D)'!$C$1=RefData!$B$419,'All Statement of strategy (D)'!$F1095,IF('All Statement of strategy (D)'!$C$1=RefData!$B$420,'All Statement of strategy (D)'!$G1095,IF('All Statement of strategy (D)'!$C$1=RefData!$B$421,'All Statement of strategy (D)'!$H1095," "))))</f>
        <v xml:space="preserve"> </v>
      </c>
    </row>
    <row r="1096" spans="1:9">
      <c r="A1096" s="584" t="s">
        <v>2427</v>
      </c>
      <c r="B1096" s="594" t="s">
        <v>1868</v>
      </c>
      <c r="C1096" s="615" t="str">
        <f ca="1">'Reconciliation report'!$E$598</f>
        <v/>
      </c>
      <c r="E1096" s="585" t="str">
        <f ca="1">IF(AND($C1096&lt;&gt;"",'Reconciliation report'!$E$474&gt;=2,'Reconciliation report'!$E$473=RefData!$B$112),'All Statement of strategy (D)'!$B1096&amp;'All Statement of strategy (D)'!$C1096,"")</f>
        <v/>
      </c>
      <c r="F1096" s="585" t="str">
        <f ca="1">IF(AND($C1096&lt;&gt;"",'Reconciliation report'!$E$474&gt;=2,'Reconciliation report'!$E$473=RefData!$B$112,'Reconciliation report'!$E$12=RefData!$B$12),'All Statement of strategy (D)'!$B1096&amp;'All Statement of strategy (D)'!$C1096,"")</f>
        <v/>
      </c>
      <c r="G1096" s="585" t="str">
        <f ca="1">IF(AND($C1096&lt;&gt;"",'Reconciliation report'!$E$474&gt;=2,'Reconciliation report'!$E$473=RefData!$B$112,'Reconciliation report'!$E$9=RefData!$B$5,'Reconciliation report'!$E$13=RefData!$B$14),'All Statement of strategy (D)'!$B1096&amp;'All Statement of strategy (D)'!$C1096,"")</f>
        <v/>
      </c>
      <c r="H1096" s="585" t="str">
        <f ca="1">IF(AND($C1096&lt;&gt;"",'Reconciliation report'!$E$474&gt;=2,'Reconciliation report'!$E$473=RefData!$B$112,'Reconciliation report'!$E$9=RefData!$B$5,'Reconciliation report'!$E$13=RefData!$B$14),'All Statement of strategy (D)'!$B1096&amp;'All Statement of strategy (D)'!$C1096,"")</f>
        <v/>
      </c>
      <c r="I1096" s="595" t="str">
        <f ca="1">IF($C$1=RefData!$B$418,'All Statement of strategy (D)'!$E1096,IF('All Statement of strategy (D)'!$C$1=RefData!$B$419,'All Statement of strategy (D)'!$F1096,IF('All Statement of strategy (D)'!$C$1=RefData!$B$420,'All Statement of strategy (D)'!$G1096,IF('All Statement of strategy (D)'!$C$1=RefData!$B$421,'All Statement of strategy (D)'!$H1096," "))))</f>
        <v xml:space="preserve"> </v>
      </c>
    </row>
    <row r="1097" spans="1:9">
      <c r="A1097" s="584" t="s">
        <v>2428</v>
      </c>
      <c r="B1097" s="594" t="s">
        <v>1870</v>
      </c>
      <c r="C1097" s="615" t="str">
        <f ca="1">'Reconciliation report'!$E$599</f>
        <v/>
      </c>
      <c r="E1097" s="585" t="str">
        <f ca="1">IF(AND($C1097&lt;&gt;"",'Reconciliation report'!$E$474&gt;=2,'Reconciliation report'!$E$473=RefData!$B$112),'All Statement of strategy (D)'!$B1097&amp;'All Statement of strategy (D)'!$C1097,"")</f>
        <v/>
      </c>
      <c r="F1097" s="585" t="str">
        <f ca="1">IF(AND($C1097&lt;&gt;"",'Reconciliation report'!$E$474&gt;=2,'Reconciliation report'!$E$473=RefData!$B$112,'Reconciliation report'!$E$12=RefData!$B$12),'All Statement of strategy (D)'!$B1097&amp;'All Statement of strategy (D)'!$C1097,"")</f>
        <v/>
      </c>
      <c r="G1097" s="585" t="str">
        <f ca="1">IF(AND($C1097&lt;&gt;"",'Reconciliation report'!$E$474&gt;=2,'Reconciliation report'!$E$473=RefData!$B$112,'Reconciliation report'!$E$9=RefData!$B$5,'Reconciliation report'!$E$13=RefData!$B$14),'All Statement of strategy (D)'!$B1097&amp;'All Statement of strategy (D)'!$C1097,"")</f>
        <v/>
      </c>
      <c r="H1097" s="585" t="str">
        <f ca="1">IF(AND($C1097&lt;&gt;"",'Reconciliation report'!$E$474&gt;=2,'Reconciliation report'!$E$473=RefData!$B$112,'Reconciliation report'!$E$9=RefData!$B$5,'Reconciliation report'!$E$13=RefData!$B$14),'All Statement of strategy (D)'!$B1097&amp;'All Statement of strategy (D)'!$C1097,"")</f>
        <v/>
      </c>
      <c r="I1097" s="595" t="str">
        <f ca="1">IF($C$1=RefData!$B$418,'All Statement of strategy (D)'!$E1097,IF('All Statement of strategy (D)'!$C$1=RefData!$B$419,'All Statement of strategy (D)'!$F1097,IF('All Statement of strategy (D)'!$C$1=RefData!$B$420,'All Statement of strategy (D)'!$G1097,IF('All Statement of strategy (D)'!$C$1=RefData!$B$421,'All Statement of strategy (D)'!$H1097," "))))</f>
        <v xml:space="preserve"> </v>
      </c>
    </row>
    <row r="1098" spans="1:9">
      <c r="A1098" s="584" t="s">
        <v>2429</v>
      </c>
      <c r="B1098" s="594" t="s">
        <v>2393</v>
      </c>
      <c r="C1098" s="615" t="str">
        <f ca="1">IF('Reconciliation report'!$E$600=RefData!$B$124,"Yes",IF('Reconciliation report'!$E$600=RefData!$B$125,"No",""))</f>
        <v/>
      </c>
      <c r="E1098" s="585" t="str">
        <f ca="1">IF(AND('Reconciliation report'!$E$474&gt;=2,'Reconciliation report'!$E$473=RefData!$B$112),'All Statement of strategy (D)'!$B1098&amp;'All Statement of strategy (D)'!$C1098,"")</f>
        <v/>
      </c>
      <c r="F1098" s="585" t="str">
        <f ca="1">IF(AND('Reconciliation report'!$E$474&gt;=2,'Reconciliation report'!$E$473=RefData!$B$112,'Reconciliation report'!$E$12=RefData!$B$12),'All Statement of strategy (D)'!$B1098&amp;'All Statement of strategy (D)'!$C1098,"")</f>
        <v/>
      </c>
      <c r="G1098" s="585" t="str">
        <f>""</f>
        <v/>
      </c>
      <c r="H1098" s="585" t="str">
        <f>""</f>
        <v/>
      </c>
      <c r="I1098" s="595" t="str">
        <f ca="1">IF($C$1=RefData!$B$418,'All Statement of strategy (D)'!$E1098,IF('All Statement of strategy (D)'!$C$1=RefData!$B$419,'All Statement of strategy (D)'!$F1098,IF('All Statement of strategy (D)'!$C$1=RefData!$B$420,'All Statement of strategy (D)'!$G1098,IF('All Statement of strategy (D)'!$C$1=RefData!$B$421,'All Statement of strategy (D)'!$H1098," "))))</f>
        <v xml:space="preserve"> </v>
      </c>
    </row>
    <row r="1099" spans="1:9">
      <c r="B1099" s="594" t="s">
        <v>2430</v>
      </c>
      <c r="C1099" s="615"/>
      <c r="E1099" s="585" t="str">
        <f ca="1">IF(AND('Reconciliation report'!$E$474&gt;=2,'Reconciliation report'!$E$473=RefData!$B$112),'All Statement of strategy (D)'!$B1099&amp;'All Statement of strategy (D)'!$C1099,"")</f>
        <v/>
      </c>
      <c r="F1099" s="585" t="str">
        <f ca="1">IF(AND('Reconciliation report'!$E$474&gt;=2,'Reconciliation report'!$E$473=RefData!$B$112,'Reconciliation report'!$E$12=RefData!$B$12),'All Statement of strategy (D)'!$B1099&amp;'All Statement of strategy (D)'!$C1099,"")</f>
        <v/>
      </c>
      <c r="G1099" s="585" t="str">
        <f ca="1">IF(AND('Reconciliation report'!$E$474&gt;=2,'Reconciliation report'!$E$473=RefData!$B$112,'Reconciliation report'!$E$9=RefData!$B$5,'Reconciliation report'!$E$13=RefData!$B$14),'All Statement of strategy (D)'!$B1099&amp;'All Statement of strategy (D)'!$C1099,"")</f>
        <v/>
      </c>
      <c r="H1099" s="585" t="str">
        <f ca="1">IF(AND('Reconciliation report'!$E$474&gt;=2,'Reconciliation report'!$E$473=RefData!$B$112,'Reconciliation report'!$E$9=RefData!$B$5,'Reconciliation report'!$E$13=RefData!$B$14),'All Statement of strategy (D)'!$B1099&amp;'All Statement of strategy (D)'!$C1099,"")</f>
        <v/>
      </c>
      <c r="I1099" s="595" t="str">
        <f ca="1">IF($C$1=RefData!$B$418,'All Statement of strategy (D)'!$E1099,IF('All Statement of strategy (D)'!$C$1=RefData!$B$419,'All Statement of strategy (D)'!$F1099,IF('All Statement of strategy (D)'!$C$1=RefData!$B$420,'All Statement of strategy (D)'!$G1099,IF('All Statement of strategy (D)'!$C$1=RefData!$B$421,'All Statement of strategy (D)'!$H1099," "))))</f>
        <v xml:space="preserve"> </v>
      </c>
    </row>
    <row r="1100" spans="1:9">
      <c r="A1100" s="604" t="s">
        <v>2431</v>
      </c>
      <c r="B1100" s="594" t="str">
        <f ca="1">"Type of guarantee: "&amp;IF('Reconciliation report'!$E$601=RefData!$B$129,"",'Reconciliation report'!$E$601)</f>
        <v xml:space="preserve">Type of guarantee: </v>
      </c>
      <c r="D1100" s="624"/>
      <c r="E1100" s="585" t="str">
        <f ca="1">IF(AND('Reconciliation report'!$E$474&gt;=2,'Reconciliation report'!$E$473=RefData!$B$112),'All Statement of strategy (D)'!$B1100&amp;'All Statement of strategy (D)'!$C1100,"")</f>
        <v/>
      </c>
      <c r="F1100" s="585" t="str">
        <f ca="1">IF(AND('Reconciliation report'!$E$474&gt;=2,'Reconciliation report'!$E$473=RefData!$B$112,'Reconciliation report'!$E$12=RefData!$B$12),'All Statement of strategy (D)'!$B1100&amp;'All Statement of strategy (D)'!$C1100,"")</f>
        <v/>
      </c>
      <c r="G1100" s="585" t="str">
        <f ca="1">IF(AND('Reconciliation report'!$E$474&gt;=2,'Reconciliation report'!$E$473=RefData!$B$112,'Reconciliation report'!$E$9=RefData!$B$5,'Reconciliation report'!$E$13=RefData!$B$14),'All Statement of strategy (D)'!$B1100&amp;'All Statement of strategy (D)'!$C1100,"")</f>
        <v/>
      </c>
      <c r="H1100" s="585" t="str">
        <f ca="1">IF(AND('Reconciliation report'!$E$474&gt;=2,'Reconciliation report'!$E$473=RefData!$B$112,'Reconciliation report'!$E$9=RefData!$B$5,'Reconciliation report'!$E$13=RefData!$B$14),'All Statement of strategy (D)'!$B1100&amp;'All Statement of strategy (D)'!$C1100,"")</f>
        <v/>
      </c>
      <c r="I1100" s="595" t="str">
        <f ca="1">IF($C$1=RefData!$B$418,'All Statement of strategy (D)'!$E1100,IF('All Statement of strategy (D)'!$C$1=RefData!$B$419,'All Statement of strategy (D)'!$F1100,IF('All Statement of strategy (D)'!$C$1=RefData!$B$420,'All Statement of strategy (D)'!$G1100,IF('All Statement of strategy (D)'!$C$1=RefData!$B$421,'All Statement of strategy (D)'!$H1100," "))))</f>
        <v xml:space="preserve"> </v>
      </c>
    </row>
    <row r="1101" spans="1:9">
      <c r="A1101" s="584" t="s">
        <v>2432</v>
      </c>
      <c r="B1101" s="594" t="str">
        <f ca="1">B1100&amp;IF('Reconciliation report'!$E$601=RefData!$B$129,LEFT('Reconciliation report'!$E$602,1000),"")</f>
        <v xml:space="preserve">Type of guarantee: </v>
      </c>
      <c r="D1101" s="624"/>
      <c r="E1101" s="585" t="str">
        <f ca="1">IF(AND('Reconciliation report'!$E$474&gt;=2,'Reconciliation report'!$E$473=RefData!$B$112),'All Statement of strategy (D)'!$B1101&amp;'All Statement of strategy (D)'!$C1101,"")</f>
        <v/>
      </c>
      <c r="F1101" s="585" t="str">
        <f ca="1">IF(AND('Reconciliation report'!$E$474&gt;=2,'Reconciliation report'!$E$473=RefData!$B$112,'Reconciliation report'!$E$12=RefData!$B$12),'All Statement of strategy (D)'!$B1101&amp;'All Statement of strategy (D)'!$C1101,"")</f>
        <v/>
      </c>
      <c r="G1101" s="585" t="str">
        <f ca="1">IF(AND('Reconciliation report'!$E$474&gt;=2,'Reconciliation report'!$E$473=RefData!$B$112,'Reconciliation report'!$E$9=RefData!$B$5,'Reconciliation report'!$E$13=RefData!$B$14),'All Statement of strategy (D)'!$B1101&amp;'All Statement of strategy (D)'!$C1101,"")</f>
        <v/>
      </c>
      <c r="H1101" s="585" t="str">
        <f ca="1">IF(AND('Reconciliation report'!$E$474&gt;=2,'Reconciliation report'!$E$473=RefData!$B$112,'Reconciliation report'!$E$9=RefData!$B$5,'Reconciliation report'!$E$13=RefData!$B$14),'All Statement of strategy (D)'!$B1101&amp;'All Statement of strategy (D)'!$C1101,"")</f>
        <v/>
      </c>
      <c r="I1101" s="595" t="str">
        <f ca="1">IF($C$1=RefData!$B$418,'All Statement of strategy (D)'!$E1101,IF('All Statement of strategy (D)'!$C$1=RefData!$B$419,'All Statement of strategy (D)'!$F1101,IF('All Statement of strategy (D)'!$C$1=RefData!$B$420,'All Statement of strategy (D)'!$G1101,IF('All Statement of strategy (D)'!$C$1=RefData!$B$421,'All Statement of strategy (D)'!$H1101," "))))</f>
        <v xml:space="preserve"> </v>
      </c>
    </row>
    <row r="1102" spans="1:9">
      <c r="A1102" s="584" t="s">
        <v>2432</v>
      </c>
      <c r="B1102" s="594" t="str">
        <f ca="1">IF('Reconciliation report'!$E$601=RefData!$B$129,MID('Reconciliation report'!$E$602,1001,1000),"")</f>
        <v/>
      </c>
      <c r="D1102" s="624"/>
      <c r="E1102" s="585" t="str">
        <f ca="1">IF(AND('Reconciliation report'!$E$474&gt;=2,'Reconciliation report'!$E$473=RefData!$B$112),'All Statement of strategy (D)'!$B1102&amp;'All Statement of strategy (D)'!$C1102,"")</f>
        <v/>
      </c>
      <c r="F1102" s="585" t="str">
        <f ca="1">IF(AND('Reconciliation report'!$E$474&gt;=2,'Reconciliation report'!$E$473=RefData!$B$112,'Reconciliation report'!$E$12=RefData!$B$12),'All Statement of strategy (D)'!$B1102&amp;'All Statement of strategy (D)'!$C1102,"")</f>
        <v/>
      </c>
      <c r="G1102" s="585" t="str">
        <f ca="1">IF(AND('Reconciliation report'!$E$474&gt;=2,'Reconciliation report'!$E$473=RefData!$B$112,'Reconciliation report'!$E$9=RefData!$B$5,'Reconciliation report'!$E$13=RefData!$B$14),'All Statement of strategy (D)'!$B1102&amp;'All Statement of strategy (D)'!$C1102,"")</f>
        <v/>
      </c>
      <c r="H1102" s="585" t="str">
        <f ca="1">IF(AND('Reconciliation report'!$E$474&gt;=2,'Reconciliation report'!$E$473=RefData!$B$112,'Reconciliation report'!$E$9=RefData!$B$5,'Reconciliation report'!$E$13=RefData!$B$14),'All Statement of strategy (D)'!$B1102&amp;'All Statement of strategy (D)'!$C1102,"")</f>
        <v/>
      </c>
      <c r="I1102" s="595" t="str">
        <f ca="1">IF($C$1=RefData!$B$418,'All Statement of strategy (D)'!$E1102,IF('All Statement of strategy (D)'!$C$1=RefData!$B$419,'All Statement of strategy (D)'!$F1102,IF('All Statement of strategy (D)'!$C$1=RefData!$B$420,'All Statement of strategy (D)'!$G1102,IF('All Statement of strategy (D)'!$C$1=RefData!$B$421,'All Statement of strategy (D)'!$H1102," "))))</f>
        <v xml:space="preserve"> </v>
      </c>
    </row>
    <row r="1103" spans="1:9">
      <c r="A1103" s="584" t="s">
        <v>2432</v>
      </c>
      <c r="B1103" s="594" t="str">
        <f ca="1">IF('Reconciliation report'!$E$601=RefData!$B$129,MID('Reconciliation report'!$E$602,2001,1000),"")</f>
        <v/>
      </c>
      <c r="D1103" s="624"/>
      <c r="E1103" s="585" t="str">
        <f ca="1">IF(AND('Reconciliation report'!$E$474&gt;=2,'Reconciliation report'!$E$473=RefData!$B$112),'All Statement of strategy (D)'!$B1103&amp;'All Statement of strategy (D)'!$C1103,"")</f>
        <v/>
      </c>
      <c r="F1103" s="585" t="str">
        <f ca="1">IF(AND('Reconciliation report'!$E$474&gt;=2,'Reconciliation report'!$E$473=RefData!$B$112,'Reconciliation report'!$E$12=RefData!$B$12),'All Statement of strategy (D)'!$B1103&amp;'All Statement of strategy (D)'!$C1103,"")</f>
        <v/>
      </c>
      <c r="G1103" s="585" t="str">
        <f ca="1">IF(AND('Reconciliation report'!$E$474&gt;=2,'Reconciliation report'!$E$473=RefData!$B$112,'Reconciliation report'!$E$9=RefData!$B$5,'Reconciliation report'!$E$13=RefData!$B$14),'All Statement of strategy (D)'!$B1103&amp;'All Statement of strategy (D)'!$C1103,"")</f>
        <v/>
      </c>
      <c r="H1103" s="585" t="str">
        <f ca="1">IF(AND('Reconciliation report'!$E$474&gt;=2,'Reconciliation report'!$E$473=RefData!$B$112,'Reconciliation report'!$E$9=RefData!$B$5,'Reconciliation report'!$E$13=RefData!$B$14),'All Statement of strategy (D)'!$B1103&amp;'All Statement of strategy (D)'!$C1103,"")</f>
        <v/>
      </c>
      <c r="I1103" s="595" t="str">
        <f ca="1">IF($C$1=RefData!$B$418,'All Statement of strategy (D)'!$E1103,IF('All Statement of strategy (D)'!$C$1=RefData!$B$419,'All Statement of strategy (D)'!$F1103,IF('All Statement of strategy (D)'!$C$1=RefData!$B$420,'All Statement of strategy (D)'!$G1103,IF('All Statement of strategy (D)'!$C$1=RefData!$B$421,'All Statement of strategy (D)'!$H1103," "))))</f>
        <v xml:space="preserve"> </v>
      </c>
    </row>
    <row r="1104" spans="1:9">
      <c r="A1104" s="584" t="s">
        <v>2432</v>
      </c>
      <c r="B1104" s="594" t="str">
        <f ca="1">IF('Reconciliation report'!$E$601=RefData!$B$129,MID('Reconciliation report'!$E$602,3001,1000),"")</f>
        <v/>
      </c>
      <c r="D1104" s="624"/>
      <c r="E1104" s="585" t="str">
        <f ca="1">IF(AND('Reconciliation report'!$E$474&gt;=2,'Reconciliation report'!$E$473=RefData!$B$112),'All Statement of strategy (D)'!$B1104&amp;'All Statement of strategy (D)'!$C1104,"")</f>
        <v/>
      </c>
      <c r="F1104" s="585" t="str">
        <f ca="1">IF(AND('Reconciliation report'!$E$474&gt;=2,'Reconciliation report'!$E$473=RefData!$B$112,'Reconciliation report'!$E$12=RefData!$B$12),'All Statement of strategy (D)'!$B1104&amp;'All Statement of strategy (D)'!$C1104,"")</f>
        <v/>
      </c>
      <c r="G1104" s="585" t="str">
        <f ca="1">IF(AND('Reconciliation report'!$E$474&gt;=2,'Reconciliation report'!$E$473=RefData!$B$112,'Reconciliation report'!$E$9=RefData!$B$5,'Reconciliation report'!$E$13=RefData!$B$14),'All Statement of strategy (D)'!$B1104&amp;'All Statement of strategy (D)'!$C1104,"")</f>
        <v/>
      </c>
      <c r="H1104" s="585" t="str">
        <f ca="1">IF(AND('Reconciliation report'!$E$474&gt;=2,'Reconciliation report'!$E$473=RefData!$B$112,'Reconciliation report'!$E$9=RefData!$B$5,'Reconciliation report'!$E$13=RefData!$B$14),'All Statement of strategy (D)'!$B1104&amp;'All Statement of strategy (D)'!$C1104,"")</f>
        <v/>
      </c>
      <c r="I1104" s="595" t="str">
        <f ca="1">IF($C$1=RefData!$B$418,'All Statement of strategy (D)'!$E1104,IF('All Statement of strategy (D)'!$C$1=RefData!$B$419,'All Statement of strategy (D)'!$F1104,IF('All Statement of strategy (D)'!$C$1=RefData!$B$420,'All Statement of strategy (D)'!$G1104,IF('All Statement of strategy (D)'!$C$1=RefData!$B$421,'All Statement of strategy (D)'!$H1104," "))))</f>
        <v xml:space="preserve"> </v>
      </c>
    </row>
    <row r="1105" spans="1:9">
      <c r="A1105" s="584" t="s">
        <v>2433</v>
      </c>
      <c r="B1105" s="594" t="str">
        <f ca="1">"Type of maturity: "&amp;IF('Reconciliation report'!$E$603=RefData!$B$130,'Reconciliation report'!$E$603,
IF('Reconciliation report'!$E$603=RefData!$B$131,"Fixed expiry with a maturity date of "&amp;TEXT('Reconciliation report'!$E$604,RefData!$B$424),""))</f>
        <v xml:space="preserve">Type of maturity: </v>
      </c>
      <c r="D1105" s="624"/>
      <c r="E1105" s="585" t="str">
        <f ca="1">IF(AND('Reconciliation report'!$E$474&gt;=2,'Reconciliation report'!$E$473=RefData!$B$112),'All Statement of strategy (D)'!$B1105&amp;'All Statement of strategy (D)'!$C1105,"")</f>
        <v/>
      </c>
      <c r="F1105" s="585" t="str">
        <f ca="1">IF(AND('Reconciliation report'!$E$474&gt;=2,'Reconciliation report'!$E$473=RefData!$B$112,'Reconciliation report'!$E$12=RefData!$B$12),'All Statement of strategy (D)'!$B1105&amp;'All Statement of strategy (D)'!$C1105,"")</f>
        <v/>
      </c>
      <c r="G1105" s="585" t="str">
        <f>""</f>
        <v/>
      </c>
      <c r="H1105" s="585" t="str">
        <f>""</f>
        <v/>
      </c>
      <c r="I1105" s="595" t="str">
        <f ca="1">IF($C$1=RefData!$B$418,'All Statement of strategy (D)'!$E1105,IF('All Statement of strategy (D)'!$C$1=RefData!$B$419,'All Statement of strategy (D)'!$F1105,IF('All Statement of strategy (D)'!$C$1=RefData!$B$420,'All Statement of strategy (D)'!$G1105,IF('All Statement of strategy (D)'!$C$1=RefData!$B$421,'All Statement of strategy (D)'!$H1105," "))))</f>
        <v xml:space="preserve"> </v>
      </c>
    </row>
    <row r="1106" spans="1:9">
      <c r="A1106" s="584" t="s">
        <v>2434</v>
      </c>
      <c r="B1106" s="594" t="str">
        <f ca="1">B1105&amp;IF('Reconciliation report'!$E$603=RefData!$B$132,LEFT('Reconciliation report'!$E$605,1000),"")</f>
        <v xml:space="preserve">Type of maturity: </v>
      </c>
      <c r="D1106" s="624"/>
      <c r="E1106" s="585" t="str">
        <f ca="1">IF(AND('Reconciliation report'!$E$474&gt;=2,'Reconciliation report'!$E$473=RefData!$B$112),'All Statement of strategy (D)'!$B1106&amp;'All Statement of strategy (D)'!$C1106,"")</f>
        <v/>
      </c>
      <c r="F1106" s="585" t="str">
        <f ca="1">IF(AND('Reconciliation report'!$E$474&gt;=2,'Reconciliation report'!$E$473=RefData!$B$112,'Reconciliation report'!$E$12=RefData!$B$12),'All Statement of strategy (D)'!$B1106&amp;'All Statement of strategy (D)'!$C1106,"")</f>
        <v/>
      </c>
      <c r="G1106" s="585" t="str">
        <f>""</f>
        <v/>
      </c>
      <c r="H1106" s="585" t="str">
        <f>""</f>
        <v/>
      </c>
      <c r="I1106" s="595" t="str">
        <f ca="1">IF($C$1=RefData!$B$418,'All Statement of strategy (D)'!$E1106,IF('All Statement of strategy (D)'!$C$1=RefData!$B$419,'All Statement of strategy (D)'!$F1106,IF('All Statement of strategy (D)'!$C$1=RefData!$B$420,'All Statement of strategy (D)'!$G1106,IF('All Statement of strategy (D)'!$C$1=RefData!$B$421,'All Statement of strategy (D)'!$H1106," "))))</f>
        <v xml:space="preserve"> </v>
      </c>
    </row>
    <row r="1107" spans="1:9">
      <c r="A1107" s="584" t="s">
        <v>2434</v>
      </c>
      <c r="B1107" s="594" t="str">
        <f ca="1">IF('Reconciliation report'!$E$603=RefData!$B$132,MID('Reconciliation report'!$E$605,1001,1000),"")</f>
        <v/>
      </c>
      <c r="D1107" s="624"/>
      <c r="E1107" s="585" t="str">
        <f ca="1">IF(AND('Reconciliation report'!$E$474&gt;=2,'Reconciliation report'!$E$473=RefData!$B$112),'All Statement of strategy (D)'!$B1107&amp;'All Statement of strategy (D)'!$C1107,"")</f>
        <v/>
      </c>
      <c r="F1107" s="585" t="str">
        <f ca="1">IF(AND('Reconciliation report'!$E$474&gt;=2,'Reconciliation report'!$E$473=RefData!$B$112,'Reconciliation report'!$E$12=RefData!$B$12),'All Statement of strategy (D)'!$B1107&amp;'All Statement of strategy (D)'!$C1107,"")</f>
        <v/>
      </c>
      <c r="G1107" s="585" t="str">
        <f>""</f>
        <v/>
      </c>
      <c r="H1107" s="585" t="str">
        <f>""</f>
        <v/>
      </c>
      <c r="I1107" s="595" t="str">
        <f ca="1">IF($C$1=RefData!$B$418,'All Statement of strategy (D)'!$E1107,IF('All Statement of strategy (D)'!$C$1=RefData!$B$419,'All Statement of strategy (D)'!$F1107,IF('All Statement of strategy (D)'!$C$1=RefData!$B$420,'All Statement of strategy (D)'!$G1107,IF('All Statement of strategy (D)'!$C$1=RefData!$B$421,'All Statement of strategy (D)'!$H1107," "))))</f>
        <v xml:space="preserve"> </v>
      </c>
    </row>
    <row r="1108" spans="1:9">
      <c r="A1108" s="584" t="s">
        <v>2434</v>
      </c>
      <c r="B1108" s="594" t="str">
        <f ca="1">IF('Reconciliation report'!$E$603=RefData!$B$132,MID('Reconciliation report'!$E$605,2001,1000),"")</f>
        <v/>
      </c>
      <c r="D1108" s="624"/>
      <c r="E1108" s="585" t="str">
        <f ca="1">IF(AND('Reconciliation report'!$E$474&gt;=2,'Reconciliation report'!$E$473=RefData!$B$112),'All Statement of strategy (D)'!$B1108&amp;'All Statement of strategy (D)'!$C1108,"")</f>
        <v/>
      </c>
      <c r="F1108" s="585" t="str">
        <f ca="1">IF(AND('Reconciliation report'!$E$474&gt;=2,'Reconciliation report'!$E$473=RefData!$B$112,'Reconciliation report'!$E$12=RefData!$B$12),'All Statement of strategy (D)'!$B1108&amp;'All Statement of strategy (D)'!$C1108,"")</f>
        <v/>
      </c>
      <c r="G1108" s="585" t="str">
        <f>""</f>
        <v/>
      </c>
      <c r="H1108" s="585" t="str">
        <f>""</f>
        <v/>
      </c>
      <c r="I1108" s="595" t="str">
        <f ca="1">IF($C$1=RefData!$B$418,'All Statement of strategy (D)'!$E1108,IF('All Statement of strategy (D)'!$C$1=RefData!$B$419,'All Statement of strategy (D)'!$F1108,IF('All Statement of strategy (D)'!$C$1=RefData!$B$420,'All Statement of strategy (D)'!$G1108,IF('All Statement of strategy (D)'!$C$1=RefData!$B$421,'All Statement of strategy (D)'!$H1108," "))))</f>
        <v xml:space="preserve"> </v>
      </c>
    </row>
    <row r="1109" spans="1:9">
      <c r="A1109" s="584" t="s">
        <v>2434</v>
      </c>
      <c r="B1109" s="594" t="str">
        <f ca="1">IF('Reconciliation report'!$E$603=RefData!$B$132,MID('Reconciliation report'!$E$605,3001,1000),"")</f>
        <v/>
      </c>
      <c r="D1109" s="624"/>
      <c r="E1109" s="585" t="str">
        <f ca="1">IF(AND('Reconciliation report'!$E$474&gt;=2,'Reconciliation report'!$E$473=RefData!$B$112),'All Statement of strategy (D)'!$B1109&amp;'All Statement of strategy (D)'!$C1109,"")</f>
        <v/>
      </c>
      <c r="F1109" s="585" t="str">
        <f ca="1">IF(AND('Reconciliation report'!$E$474&gt;=2,'Reconciliation report'!$E$473=RefData!$B$112,'Reconciliation report'!$E$12=RefData!$B$12),'All Statement of strategy (D)'!$B1109&amp;'All Statement of strategy (D)'!$C1109,"")</f>
        <v/>
      </c>
      <c r="G1109" s="585" t="str">
        <f>""</f>
        <v/>
      </c>
      <c r="H1109" s="585" t="str">
        <f>""</f>
        <v/>
      </c>
      <c r="I1109" s="595" t="str">
        <f ca="1">IF($C$1=RefData!$B$418,'All Statement of strategy (D)'!$E1109,IF('All Statement of strategy (D)'!$C$1=RefData!$B$419,'All Statement of strategy (D)'!$F1109,IF('All Statement of strategy (D)'!$C$1=RefData!$B$420,'All Statement of strategy (D)'!$G1109,IF('All Statement of strategy (D)'!$C$1=RefData!$B$421,'All Statement of strategy (D)'!$H1109," "))))</f>
        <v xml:space="preserve"> </v>
      </c>
    </row>
    <row r="1110" spans="1:9">
      <c r="A1110" s="584" t="s">
        <v>2435</v>
      </c>
      <c r="B1110" s="594" t="s">
        <v>2399</v>
      </c>
      <c r="E1110" s="585" t="str">
        <f ca="1">IF(AND('Reconciliation report'!$E$474&gt;=2,'Reconciliation report'!$E$473=RefData!$B$112),'All Statement of strategy (D)'!$B1110&amp;'All Statement of strategy (D)'!$C1110,"")</f>
        <v/>
      </c>
      <c r="F1110" s="585" t="str">
        <f ca="1">IF(AND('Reconciliation report'!$E$474&gt;=2,'Reconciliation report'!$E$473=RefData!$B$112,'Reconciliation report'!$E$12=RefData!$B$12),'All Statement of strategy (D)'!$B1110&amp;'All Statement of strategy (D)'!$C1110,"")</f>
        <v/>
      </c>
      <c r="G1110" s="585" t="str">
        <f ca="1">IF(AND('Reconciliation report'!$E$474&gt;=2,'Reconciliation report'!$E$473=RefData!$B$112,'Reconciliation report'!$E$9=RefData!$B$5,'Reconciliation report'!$E$13=RefData!$B$14),'All Statement of strategy (D)'!$B1110&amp;'All Statement of strategy (D)'!$C1110,"")</f>
        <v/>
      </c>
      <c r="H1110" s="585" t="str">
        <f ca="1">IF(AND('Reconciliation report'!$E$474&gt;=2,'Reconciliation report'!$E$473=RefData!$B$112,'Reconciliation report'!$E$9=RefData!$B$5,'Reconciliation report'!$E$13=RefData!$B$14),'All Statement of strategy (D)'!$B1110&amp;'All Statement of strategy (D)'!$C1110,"")</f>
        <v/>
      </c>
      <c r="I1110" s="595" t="str">
        <f ca="1">IF($C$1=RefData!$B$418,'All Statement of strategy (D)'!$E1110,IF('All Statement of strategy (D)'!$C$1=RefData!$B$419,'All Statement of strategy (D)'!$F1110,IF('All Statement of strategy (D)'!$C$1=RefData!$B$420,'All Statement of strategy (D)'!$G1110,IF('All Statement of strategy (D)'!$C$1=RefData!$B$421,'All Statement of strategy (D)'!$H1110," "))))</f>
        <v xml:space="preserve"> </v>
      </c>
    </row>
    <row r="1111" spans="1:9">
      <c r="B1111" s="594" t="s">
        <v>2400</v>
      </c>
      <c r="C1111" s="585" t="str">
        <f ca="1">TEXT('Reconciliation report'!$E$606,RefData!$B$425)</f>
        <v/>
      </c>
      <c r="E1111" s="585" t="str">
        <f ca="1">IF(AND('Reconciliation report'!$E$474&gt;=2,'Reconciliation report'!$E$473=RefData!$B$112),'All Statement of strategy (D)'!$B1111&amp;'All Statement of strategy (D)'!$C1111,"")</f>
        <v/>
      </c>
      <c r="F1111" s="585" t="str">
        <f ca="1">IF(AND('Reconciliation report'!$E$474&gt;=2,'Reconciliation report'!$E$473=RefData!$B$112,'Reconciliation report'!$E$12=RefData!$B$12),'All Statement of strategy (D)'!$B1111&amp;'All Statement of strategy (D)'!$C1111,"")</f>
        <v/>
      </c>
      <c r="G1111" s="585" t="str">
        <f ca="1">IF(AND('Reconciliation report'!$E$474&gt;=2,'Reconciliation report'!$E$473=RefData!$B$112,'Reconciliation report'!$E$9=RefData!$B$5,'Reconciliation report'!$E$13=RefData!$B$14),'All Statement of strategy (D)'!$B1111&amp;'All Statement of strategy (D)'!$C1111,"")</f>
        <v/>
      </c>
      <c r="H1111" s="585" t="str">
        <f ca="1">IF(AND('Reconciliation report'!$E$474&gt;=2,'Reconciliation report'!$E$473=RefData!$B$112,'Reconciliation report'!$E$9=RefData!$B$5,'Reconciliation report'!$E$13=RefData!$B$14),'All Statement of strategy (D)'!$B1111&amp;'All Statement of strategy (D)'!$C1111,"")</f>
        <v/>
      </c>
      <c r="I1111" s="595" t="str">
        <f ca="1">IF($C$1=RefData!$B$418,'All Statement of strategy (D)'!$E1111,IF('All Statement of strategy (D)'!$C$1=RefData!$B$419,'All Statement of strategy (D)'!$F1111,IF('All Statement of strategy (D)'!$C$1=RefData!$B$420,'All Statement of strategy (D)'!$G1111,IF('All Statement of strategy (D)'!$C$1=RefData!$B$421,'All Statement of strategy (D)'!$H1111," "))))</f>
        <v xml:space="preserve"> </v>
      </c>
    </row>
    <row r="1112" spans="1:9">
      <c r="A1112" s="584" t="s">
        <v>2436</v>
      </c>
      <c r="B1112" s="594" t="s">
        <v>2402</v>
      </c>
      <c r="C1112" s="618" t="str">
        <f ca="1">TEXT('Reconciliation report'!$E$607,RefData!$B$424)</f>
        <v/>
      </c>
      <c r="E1112" s="585" t="str">
        <f ca="1">IF(AND('Reconciliation report'!$E$474&gt;=2,'Reconciliation report'!$E$473=RefData!$B$112),'All Statement of strategy (D)'!$B1112&amp;'All Statement of strategy (D)'!$C1112,"")</f>
        <v/>
      </c>
      <c r="F1112" s="585" t="str">
        <f ca="1">IF(AND('Reconciliation report'!$E$474&gt;=2,'Reconciliation report'!$E$473=RefData!$B$112,'Reconciliation report'!$E$12=RefData!$B$12),'All Statement of strategy (D)'!$B1112&amp;'All Statement of strategy (D)'!$C1112,"")</f>
        <v/>
      </c>
      <c r="G1112" s="585" t="str">
        <f ca="1">IF(AND('Reconciliation report'!$E$474&gt;=2,'Reconciliation report'!$E$473=RefData!$B$112,'Reconciliation report'!$E$9=RefData!$B$5,'Reconciliation report'!$E$13=RefData!$B$14),'All Statement of strategy (D)'!$B1112&amp;'All Statement of strategy (D)'!$C1112,"")</f>
        <v/>
      </c>
      <c r="H1112" s="585" t="str">
        <f ca="1">IF(AND('Reconciliation report'!$E$474&gt;=2,'Reconciliation report'!$E$473=RefData!$B$112,'Reconciliation report'!$E$9=RefData!$B$5,'Reconciliation report'!$E$13=RefData!$B$14),'All Statement of strategy (D)'!$B1112&amp;'All Statement of strategy (D)'!$C1112,"")</f>
        <v/>
      </c>
      <c r="I1112" s="595" t="str">
        <f ca="1">IF($C$1=RefData!$B$418,'All Statement of strategy (D)'!$E1112,IF('All Statement of strategy (D)'!$C$1=RefData!$B$419,'All Statement of strategy (D)'!$F1112,IF('All Statement of strategy (D)'!$C$1=RefData!$B$420,'All Statement of strategy (D)'!$G1112,IF('All Statement of strategy (D)'!$C$1=RefData!$B$421,'All Statement of strategy (D)'!$H1112," "))))</f>
        <v xml:space="preserve"> </v>
      </c>
    </row>
    <row r="1113" spans="1:9">
      <c r="A1113" s="584" t="s">
        <v>2437</v>
      </c>
      <c r="B1113" s="594" t="str">
        <f ca="1">"Value cap: "&amp;IF('Reconciliation report'!$E$608=RefData!$B$139,"",'Reconciliation report'!$E$608)</f>
        <v xml:space="preserve">Value cap: </v>
      </c>
      <c r="D1113" s="624"/>
      <c r="E1113" s="585" t="str">
        <f ca="1">IF(AND('Reconciliation report'!$E$474&gt;=2,'Reconciliation report'!$E$473=RefData!$B$112),'All Statement of strategy (D)'!$B1113&amp;'All Statement of strategy (D)'!$C1113,"")</f>
        <v/>
      </c>
      <c r="F1113" s="585" t="str">
        <f ca="1">IF(AND('Reconciliation report'!$E$474&gt;=2,'Reconciliation report'!$E$473=RefData!$B$112,'Reconciliation report'!$E$12=RefData!$B$12),'All Statement of strategy (D)'!$B1113&amp;'All Statement of strategy (D)'!$C1113,"")</f>
        <v/>
      </c>
      <c r="G1113" s="585" t="str">
        <f>""</f>
        <v/>
      </c>
      <c r="H1113" s="585" t="str">
        <f>""</f>
        <v/>
      </c>
      <c r="I1113" s="595" t="str">
        <f ca="1">IF($C$1=RefData!$B$418,'All Statement of strategy (D)'!$E1113,IF('All Statement of strategy (D)'!$C$1=RefData!$B$419,'All Statement of strategy (D)'!$F1113,IF('All Statement of strategy (D)'!$C$1=RefData!$B$420,'All Statement of strategy (D)'!$G1113,IF('All Statement of strategy (D)'!$C$1=RefData!$B$421,'All Statement of strategy (D)'!$H1113," "))))</f>
        <v xml:space="preserve"> </v>
      </c>
    </row>
    <row r="1114" spans="1:9">
      <c r="A1114" s="584" t="s">
        <v>2438</v>
      </c>
      <c r="B1114" s="594" t="str">
        <f ca="1">B1113&amp;IF('Reconciliation report'!$E$608=RefData!$B$139,LEFT('Reconciliation report'!$E$609,1000),"")</f>
        <v xml:space="preserve">Value cap: </v>
      </c>
      <c r="D1114" s="624"/>
      <c r="E1114" s="585" t="str">
        <f ca="1">IF(AND('Reconciliation report'!$E$474&gt;=2,'Reconciliation report'!$E$473=RefData!$B$112),'All Statement of strategy (D)'!$B1114&amp;'All Statement of strategy (D)'!$C1114,"")</f>
        <v/>
      </c>
      <c r="F1114" s="585" t="str">
        <f ca="1">IF(AND('Reconciliation report'!$E$474&gt;=2,'Reconciliation report'!$E$473=RefData!$B$112,'Reconciliation report'!$E$12=RefData!$B$12),'All Statement of strategy (D)'!$B1114&amp;'All Statement of strategy (D)'!$C1114,"")</f>
        <v/>
      </c>
      <c r="G1114" s="585" t="str">
        <f>""</f>
        <v/>
      </c>
      <c r="H1114" s="585" t="str">
        <f>""</f>
        <v/>
      </c>
      <c r="I1114" s="595" t="str">
        <f ca="1">IF($C$1=RefData!$B$418,'All Statement of strategy (D)'!$E1114,IF('All Statement of strategy (D)'!$C$1=RefData!$B$419,'All Statement of strategy (D)'!$F1114,IF('All Statement of strategy (D)'!$C$1=RefData!$B$420,'All Statement of strategy (D)'!$G1114,IF('All Statement of strategy (D)'!$C$1=RefData!$B$421,'All Statement of strategy (D)'!$H1114," "))))</f>
        <v xml:space="preserve"> </v>
      </c>
    </row>
    <row r="1115" spans="1:9">
      <c r="A1115" s="584" t="s">
        <v>2438</v>
      </c>
      <c r="B1115" s="594" t="str">
        <f ca="1">IF('Reconciliation report'!$E$608=RefData!$B$139,MID('Reconciliation report'!$E$609,1001,1000),"")</f>
        <v/>
      </c>
      <c r="D1115" s="624"/>
      <c r="E1115" s="585" t="str">
        <f ca="1">IF(AND('Reconciliation report'!$E$474&gt;=2,'Reconciliation report'!$E$473=RefData!$B$112),'All Statement of strategy (D)'!$B1115&amp;'All Statement of strategy (D)'!$C1115,"")</f>
        <v/>
      </c>
      <c r="F1115" s="585" t="str">
        <f ca="1">IF(AND('Reconciliation report'!$E$474&gt;=2,'Reconciliation report'!$E$473=RefData!$B$112,'Reconciliation report'!$E$12=RefData!$B$12),'All Statement of strategy (D)'!$B1115&amp;'All Statement of strategy (D)'!$C1115,"")</f>
        <v/>
      </c>
      <c r="G1115" s="585" t="str">
        <f>""</f>
        <v/>
      </c>
      <c r="H1115" s="585" t="str">
        <f>""</f>
        <v/>
      </c>
      <c r="I1115" s="595" t="str">
        <f ca="1">IF($C$1=RefData!$B$418,'All Statement of strategy (D)'!$E1115,IF('All Statement of strategy (D)'!$C$1=RefData!$B$419,'All Statement of strategy (D)'!$F1115,IF('All Statement of strategy (D)'!$C$1=RefData!$B$420,'All Statement of strategy (D)'!$G1115,IF('All Statement of strategy (D)'!$C$1=RefData!$B$421,'All Statement of strategy (D)'!$H1115," "))))</f>
        <v xml:space="preserve"> </v>
      </c>
    </row>
    <row r="1116" spans="1:9">
      <c r="A1116" s="584" t="s">
        <v>2438</v>
      </c>
      <c r="B1116" s="594" t="str">
        <f ca="1">IF('Reconciliation report'!$E$608=RefData!$B$139,MID('Reconciliation report'!$E$609,2001,1000),"")</f>
        <v/>
      </c>
      <c r="D1116" s="624"/>
      <c r="E1116" s="585" t="str">
        <f ca="1">IF(AND('Reconciliation report'!$E$474&gt;=2,'Reconciliation report'!$E$473=RefData!$B$112),'All Statement of strategy (D)'!$B1116&amp;'All Statement of strategy (D)'!$C1116,"")</f>
        <v/>
      </c>
      <c r="F1116" s="585" t="str">
        <f ca="1">IF(AND('Reconciliation report'!$E$474&gt;=2,'Reconciliation report'!$E$473=RefData!$B$112,'Reconciliation report'!$E$12=RefData!$B$12),'All Statement of strategy (D)'!$B1116&amp;'All Statement of strategy (D)'!$C1116,"")</f>
        <v/>
      </c>
      <c r="G1116" s="585" t="str">
        <f>""</f>
        <v/>
      </c>
      <c r="H1116" s="585" t="str">
        <f>""</f>
        <v/>
      </c>
      <c r="I1116" s="595" t="str">
        <f ca="1">IF($C$1=RefData!$B$418,'All Statement of strategy (D)'!$E1116,IF('All Statement of strategy (D)'!$C$1=RefData!$B$419,'All Statement of strategy (D)'!$F1116,IF('All Statement of strategy (D)'!$C$1=RefData!$B$420,'All Statement of strategy (D)'!$G1116,IF('All Statement of strategy (D)'!$C$1=RefData!$B$421,'All Statement of strategy (D)'!$H1116," "))))</f>
        <v xml:space="preserve"> </v>
      </c>
    </row>
    <row r="1117" spans="1:9">
      <c r="A1117" s="584" t="s">
        <v>2438</v>
      </c>
      <c r="B1117" s="594" t="str">
        <f ca="1">IF('Reconciliation report'!$E$608=RefData!$B$139,MID('Reconciliation report'!$E$609,3001,1000),"")</f>
        <v/>
      </c>
      <c r="D1117" s="624"/>
      <c r="E1117" s="585" t="str">
        <f ca="1">IF(AND('Reconciliation report'!$E$474&gt;=2,'Reconciliation report'!$E$473=RefData!$B$112),'All Statement of strategy (D)'!$B1117&amp;'All Statement of strategy (D)'!$C1117,"")</f>
        <v/>
      </c>
      <c r="F1117" s="585" t="str">
        <f ca="1">IF(AND('Reconciliation report'!$E$474&gt;=2,'Reconciliation report'!$E$473=RefData!$B$112,'Reconciliation report'!$E$12=RefData!$B$12),'All Statement of strategy (D)'!$B1117&amp;'All Statement of strategy (D)'!$C1117,"")</f>
        <v/>
      </c>
      <c r="G1117" s="585" t="str">
        <f>""</f>
        <v/>
      </c>
      <c r="H1117" s="585" t="str">
        <f>""</f>
        <v/>
      </c>
      <c r="I1117" s="595" t="str">
        <f ca="1">IF($C$1=RefData!$B$418,'All Statement of strategy (D)'!$E1117,IF('All Statement of strategy (D)'!$C$1=RefData!$B$419,'All Statement of strategy (D)'!$F1117,IF('All Statement of strategy (D)'!$C$1=RefData!$B$420,'All Statement of strategy (D)'!$G1117,IF('All Statement of strategy (D)'!$C$1=RefData!$B$421,'All Statement of strategy (D)'!$H1117," "))))</f>
        <v xml:space="preserve"> </v>
      </c>
    </row>
    <row r="1118" spans="1:9">
      <c r="A1118" s="584" t="s">
        <v>2439</v>
      </c>
      <c r="B1118" s="594" t="s">
        <v>2406</v>
      </c>
      <c r="C1118" s="585" t="str">
        <f ca="1">TEXT('Reconciliation report'!$E$610,RefData!$B$425)</f>
        <v/>
      </c>
      <c r="E1118" s="585" t="str">
        <f ca="1">IF(AND('Reconciliation report'!$E$474&gt;=2,'Reconciliation report'!$E$473=RefData!$B$112,'Reconciliation report'!$E$608=RefData!$B$138),'All Statement of strategy (D)'!$B1118&amp;'All Statement of strategy (D)'!$C1118,"")</f>
        <v/>
      </c>
      <c r="F1118" s="585" t="str">
        <f ca="1">IF(AND('Reconciliation report'!$E$474&gt;=2,'Reconciliation report'!$E$473=RefData!$B$112,'Reconciliation report'!$E$12=RefData!$B$12,'Reconciliation report'!$E$580=RefData!$B$138),'All Statement of strategy (D)'!$B1118&amp;'All Statement of strategy (D)'!$C1118,"")</f>
        <v/>
      </c>
      <c r="G1118" s="585" t="str">
        <f>""</f>
        <v/>
      </c>
      <c r="H1118" s="585" t="str">
        <f>""</f>
        <v/>
      </c>
      <c r="I1118" s="595" t="str">
        <f ca="1">IF($C$1=RefData!$B$418,'All Statement of strategy (D)'!$E1118,IF('All Statement of strategy (D)'!$C$1=RefData!$B$419,'All Statement of strategy (D)'!$F1118,IF('All Statement of strategy (D)'!$C$1=RefData!$B$420,'All Statement of strategy (D)'!$G1118,IF('All Statement of strategy (D)'!$C$1=RefData!$B$421,'All Statement of strategy (D)'!$H1118," "))))</f>
        <v xml:space="preserve"> </v>
      </c>
    </row>
    <row r="1119" spans="1:9">
      <c r="B1119" s="594" t="s">
        <v>2407</v>
      </c>
      <c r="E1119" s="585" t="str">
        <f ca="1">IF(AND('Reconciliation report'!$E$474&gt;=2,'Reconciliation report'!$E$473=RefData!$B$112),'All Statement of strategy (D)'!$B1119&amp;'All Statement of strategy (D)'!$C1119,"")</f>
        <v/>
      </c>
      <c r="F1119" s="585" t="str">
        <f ca="1">IF(AND('Reconciliation report'!$E$474&gt;=2,'Reconciliation report'!$E$473=RefData!$B$112,'Reconciliation report'!$E$12=RefData!$B$12),'All Statement of strategy (D)'!$B1119&amp;'All Statement of strategy (D)'!$C1119,"")</f>
        <v/>
      </c>
      <c r="G1119" s="585" t="str">
        <f>""</f>
        <v/>
      </c>
      <c r="H1119" s="585" t="str">
        <f>""</f>
        <v/>
      </c>
      <c r="I1119" s="595" t="str">
        <f ca="1">IF($C$1=RefData!$B$418,'All Statement of strategy (D)'!$E1119,IF('All Statement of strategy (D)'!$C$1=RefData!$B$419,'All Statement of strategy (D)'!$F1119,IF('All Statement of strategy (D)'!$C$1=RefData!$B$420,'All Statement of strategy (D)'!$G1119,IF('All Statement of strategy (D)'!$C$1=RefData!$B$421,'All Statement of strategy (D)'!$H1119," "))))</f>
        <v xml:space="preserve"> </v>
      </c>
    </row>
    <row r="1120" spans="1:9">
      <c r="A1120" s="584" t="s">
        <v>2440</v>
      </c>
      <c r="B1120" s="594" t="s">
        <v>2409</v>
      </c>
      <c r="C1120" s="585" t="str">
        <f ca="1">'Reconciliation report'!$E$611</f>
        <v/>
      </c>
      <c r="E1120" s="585" t="str">
        <f ca="1">IF(AND('Reconciliation report'!$E$474&gt;=2,'Reconciliation report'!$E$473=RefData!$B$112),'All Statement of strategy (D)'!$B1120&amp;'All Statement of strategy (D)'!$C1120,"")</f>
        <v/>
      </c>
      <c r="F1120" s="585" t="str">
        <f ca="1">IF(AND('Reconciliation report'!$E$474&gt;=2,'Reconciliation report'!$E$473=RefData!$B$112,'Reconciliation report'!$E$12=RefData!$B$12),'All Statement of strategy (D)'!$B1120&amp;'All Statement of strategy (D)'!$C1120,"")</f>
        <v/>
      </c>
      <c r="G1120" s="585" t="str">
        <f>""</f>
        <v/>
      </c>
      <c r="H1120" s="585" t="str">
        <f>""</f>
        <v/>
      </c>
      <c r="I1120" s="595" t="str">
        <f ca="1">IF($C$1=RefData!$B$418,'All Statement of strategy (D)'!$E1120,IF('All Statement of strategy (D)'!$C$1=RefData!$B$419,'All Statement of strategy (D)'!$F1120,IF('All Statement of strategy (D)'!$C$1=RefData!$B$420,'All Statement of strategy (D)'!$G1120,IF('All Statement of strategy (D)'!$C$1=RefData!$B$421,'All Statement of strategy (D)'!$H1120," "))))</f>
        <v xml:space="preserve"> </v>
      </c>
    </row>
    <row r="1121" spans="1:9">
      <c r="A1121" s="584" t="s">
        <v>2441</v>
      </c>
      <c r="B1121" s="594" t="s">
        <v>2411</v>
      </c>
      <c r="C1121" s="585" t="str">
        <f ca="1">'Reconciliation report'!$E$612</f>
        <v/>
      </c>
      <c r="E1121" s="585" t="str">
        <f ca="1">IF(AND('Reconciliation report'!$E$474&gt;=2,'Reconciliation report'!$E$473=RefData!$B$112),'All Statement of strategy (D)'!$B1121&amp;'All Statement of strategy (D)'!$C1121,"")</f>
        <v/>
      </c>
      <c r="F1121" s="585" t="str">
        <f ca="1">IF(AND('Reconciliation report'!$E$474&gt;=2,'Reconciliation report'!$E$473=RefData!$B$112,'Reconciliation report'!$E$12=RefData!$B$12),'All Statement of strategy (D)'!$B1121&amp;'All Statement of strategy (D)'!$C1121,"")</f>
        <v/>
      </c>
      <c r="G1121" s="585" t="str">
        <f>""</f>
        <v/>
      </c>
      <c r="H1121" s="585" t="str">
        <f>""</f>
        <v/>
      </c>
      <c r="I1121" s="595" t="str">
        <f ca="1">IF($C$1=RefData!$B$418,'All Statement of strategy (D)'!$E1121,IF('All Statement of strategy (D)'!$C$1=RefData!$B$419,'All Statement of strategy (D)'!$F1121,IF('All Statement of strategy (D)'!$C$1=RefData!$B$420,'All Statement of strategy (D)'!$G1121,IF('All Statement of strategy (D)'!$C$1=RefData!$B$421,'All Statement of strategy (D)'!$H1121," "))))</f>
        <v xml:space="preserve"> </v>
      </c>
    </row>
    <row r="1122" spans="1:9">
      <c r="A1122" s="584" t="s">
        <v>2442</v>
      </c>
      <c r="B1122" s="594" t="s">
        <v>2413</v>
      </c>
      <c r="C1122" s="585" t="str">
        <f ca="1">'Reconciliation report'!$E$613</f>
        <v/>
      </c>
      <c r="E1122" s="585" t="str">
        <f ca="1">IF(AND('Reconciliation report'!$E$474&gt;=2,'Reconciliation report'!$E$473=RefData!$B$112),'All Statement of strategy (D)'!$B1122&amp;'All Statement of strategy (D)'!$C1122,"")</f>
        <v/>
      </c>
      <c r="F1122" s="585" t="str">
        <f ca="1">IF(AND('Reconciliation report'!$E$474&gt;=2,'Reconciliation report'!$E$473=RefData!$B$112,'Reconciliation report'!$E$12=RefData!$B$12),'All Statement of strategy (D)'!$B1122&amp;'All Statement of strategy (D)'!$C1122,"")</f>
        <v/>
      </c>
      <c r="G1122" s="585" t="str">
        <f>""</f>
        <v/>
      </c>
      <c r="H1122" s="585" t="str">
        <f>""</f>
        <v/>
      </c>
      <c r="I1122" s="595" t="str">
        <f ca="1">IF($C$1=RefData!$B$418,'All Statement of strategy (D)'!$E1122,IF('All Statement of strategy (D)'!$C$1=RefData!$B$419,'All Statement of strategy (D)'!$F1122,IF('All Statement of strategy (D)'!$C$1=RefData!$B$420,'All Statement of strategy (D)'!$G1122,IF('All Statement of strategy (D)'!$C$1=RefData!$B$421,'All Statement of strategy (D)'!$H1122," "))))</f>
        <v xml:space="preserve"> </v>
      </c>
    </row>
    <row r="1123" spans="1:9">
      <c r="A1123" s="584" t="s">
        <v>2443</v>
      </c>
      <c r="B1123" s="594" t="s">
        <v>2415</v>
      </c>
      <c r="C1123" s="585" t="str">
        <f ca="1">'Reconciliation report'!$E$614</f>
        <v/>
      </c>
      <c r="E1123" s="585" t="str">
        <f ca="1">IF(AND('Reconciliation report'!$E$474&gt;=2,'Reconciliation report'!$E$473=RefData!$B$112),'All Statement of strategy (D)'!$B1123&amp;'All Statement of strategy (D)'!$C1123,"")</f>
        <v/>
      </c>
      <c r="F1123" s="585" t="str">
        <f ca="1">IF(AND('Reconciliation report'!$E$474&gt;=2,'Reconciliation report'!$E$473=RefData!$B$112,'Reconciliation report'!$E$12=RefData!$B$12),'All Statement of strategy (D)'!$B1123&amp;'All Statement of strategy (D)'!$C1123,"")</f>
        <v/>
      </c>
      <c r="G1123" s="585" t="str">
        <f>""</f>
        <v/>
      </c>
      <c r="H1123" s="585" t="str">
        <f>""</f>
        <v/>
      </c>
      <c r="I1123" s="595" t="str">
        <f ca="1">IF($C$1=RefData!$B$418,'All Statement of strategy (D)'!$E1123,IF('All Statement of strategy (D)'!$C$1=RefData!$B$419,'All Statement of strategy (D)'!$F1123,IF('All Statement of strategy (D)'!$C$1=RefData!$B$420,'All Statement of strategy (D)'!$G1123,IF('All Statement of strategy (D)'!$C$1=RefData!$B$421,'All Statement of strategy (D)'!$H1123," "))))</f>
        <v xml:space="preserve"> </v>
      </c>
    </row>
    <row r="1124" spans="1:9">
      <c r="A1124" s="584" t="s">
        <v>2444</v>
      </c>
      <c r="B1124" s="594" t="str">
        <f ca="1">IF('Reconciliation report'!$E$615=RefData!$B$140,LEFT('Reconciliation report'!$E$616,1000),"")</f>
        <v/>
      </c>
      <c r="E1124" s="585" t="str">
        <f ca="1">IF(AND('Reconciliation report'!$E$474&gt;=2,'Reconciliation report'!$E$473=RefData!$B$112),'All Statement of strategy (D)'!$B1124&amp;'All Statement of strategy (D)'!$C1124,"")</f>
        <v/>
      </c>
      <c r="F1124" s="585" t="str">
        <f ca="1">IF(AND('Reconciliation report'!$E$474&gt;=2,'Reconciliation report'!$E$473=RefData!$B$112,'Reconciliation report'!$E$12=RefData!$B$12),'All Statement of strategy (D)'!$B1124&amp;'All Statement of strategy (D)'!$C1124,"")</f>
        <v/>
      </c>
      <c r="G1124" s="585" t="str">
        <f>""</f>
        <v/>
      </c>
      <c r="H1124" s="585" t="str">
        <f>""</f>
        <v/>
      </c>
      <c r="I1124" s="595" t="str">
        <f ca="1">IF($C$1=RefData!$B$418,'All Statement of strategy (D)'!$E1124,IF('All Statement of strategy (D)'!$C$1=RefData!$B$419,'All Statement of strategy (D)'!$F1124,IF('All Statement of strategy (D)'!$C$1=RefData!$B$420,'All Statement of strategy (D)'!$G1124,IF('All Statement of strategy (D)'!$C$1=RefData!$B$421,'All Statement of strategy (D)'!$H1124," "))))</f>
        <v xml:space="preserve"> </v>
      </c>
    </row>
    <row r="1125" spans="1:9">
      <c r="A1125" s="584" t="s">
        <v>2444</v>
      </c>
      <c r="B1125" s="594" t="str">
        <f ca="1">IF('Reconciliation report'!$E$615=RefData!$B$140,MID('Reconciliation report'!$E$616,1001,1000),"")</f>
        <v/>
      </c>
      <c r="E1125" s="585" t="str">
        <f ca="1">IF(AND('Reconciliation report'!$E$474&gt;=2,'Reconciliation report'!$E$473=RefData!$B$112),'All Statement of strategy (D)'!$B1125&amp;'All Statement of strategy (D)'!$C1125,"")</f>
        <v/>
      </c>
      <c r="F1125" s="585" t="str">
        <f ca="1">IF(AND('Reconciliation report'!$E$474&gt;=2,'Reconciliation report'!$E$473=RefData!$B$112,'Reconciliation report'!$E$12=RefData!$B$12),'All Statement of strategy (D)'!$B1125&amp;'All Statement of strategy (D)'!$C1125,"")</f>
        <v/>
      </c>
      <c r="G1125" s="585" t="str">
        <f>""</f>
        <v/>
      </c>
      <c r="H1125" s="585" t="str">
        <f>""</f>
        <v/>
      </c>
      <c r="I1125" s="595" t="str">
        <f ca="1">IF($C$1=RefData!$B$418,'All Statement of strategy (D)'!$E1125,IF('All Statement of strategy (D)'!$C$1=RefData!$B$419,'All Statement of strategy (D)'!$F1125,IF('All Statement of strategy (D)'!$C$1=RefData!$B$420,'All Statement of strategy (D)'!$G1125,IF('All Statement of strategy (D)'!$C$1=RefData!$B$421,'All Statement of strategy (D)'!$H1125," "))))</f>
        <v xml:space="preserve"> </v>
      </c>
    </row>
    <row r="1126" spans="1:9">
      <c r="A1126" s="584" t="s">
        <v>2444</v>
      </c>
      <c r="B1126" s="594" t="str">
        <f ca="1">IF('Reconciliation report'!$E$615=RefData!$B$140,MID('Reconciliation report'!$E$616,2001,1000),"")</f>
        <v/>
      </c>
      <c r="E1126" s="585" t="str">
        <f ca="1">IF(AND('Reconciliation report'!$E$474&gt;=2,'Reconciliation report'!$E$473=RefData!$B$112),'All Statement of strategy (D)'!$B1126&amp;'All Statement of strategy (D)'!$C1126,"")</f>
        <v/>
      </c>
      <c r="F1126" s="585" t="str">
        <f ca="1">IF(AND('Reconciliation report'!$E$474&gt;=2,'Reconciliation report'!$E$473=RefData!$B$112,'Reconciliation report'!$E$12=RefData!$B$12),'All Statement of strategy (D)'!$B1126&amp;'All Statement of strategy (D)'!$C1126,"")</f>
        <v/>
      </c>
      <c r="G1126" s="585" t="str">
        <f>""</f>
        <v/>
      </c>
      <c r="H1126" s="585" t="str">
        <f>""</f>
        <v/>
      </c>
      <c r="I1126" s="595" t="str">
        <f ca="1">IF($C$1=RefData!$B$418,'All Statement of strategy (D)'!$E1126,IF('All Statement of strategy (D)'!$C$1=RefData!$B$419,'All Statement of strategy (D)'!$F1126,IF('All Statement of strategy (D)'!$C$1=RefData!$B$420,'All Statement of strategy (D)'!$G1126,IF('All Statement of strategy (D)'!$C$1=RefData!$B$421,'All Statement of strategy (D)'!$H1126," "))))</f>
        <v xml:space="preserve"> </v>
      </c>
    </row>
    <row r="1127" spans="1:9">
      <c r="A1127" s="584" t="s">
        <v>2444</v>
      </c>
      <c r="B1127" s="594" t="str">
        <f ca="1">IF('Reconciliation report'!$E$615=RefData!$B$140,MID('Reconciliation report'!$E$616,3001,1000),"")</f>
        <v/>
      </c>
      <c r="E1127" s="585" t="str">
        <f ca="1">IF(AND('Reconciliation report'!$E$474&gt;=2,'Reconciliation report'!$E$473=RefData!$B$112),'All Statement of strategy (D)'!$B1127&amp;'All Statement of strategy (D)'!$C1127,"")</f>
        <v/>
      </c>
      <c r="F1127" s="585" t="str">
        <f ca="1">IF(AND('Reconciliation report'!$E$474&gt;=2,'Reconciliation report'!$E$473=RefData!$B$112,'Reconciliation report'!$E$12=RefData!$B$12),'All Statement of strategy (D)'!$B1127&amp;'All Statement of strategy (D)'!$C1127,"")</f>
        <v/>
      </c>
      <c r="G1127" s="585" t="str">
        <f>""</f>
        <v/>
      </c>
      <c r="H1127" s="585" t="str">
        <f>""</f>
        <v/>
      </c>
      <c r="I1127" s="595" t="str">
        <f ca="1">IF($C$1=RefData!$B$418,'All Statement of strategy (D)'!$E1127,IF('All Statement of strategy (D)'!$C$1=RefData!$B$419,'All Statement of strategy (D)'!$F1127,IF('All Statement of strategy (D)'!$C$1=RefData!$B$420,'All Statement of strategy (D)'!$G1127,IF('All Statement of strategy (D)'!$C$1=RefData!$B$421,'All Statement of strategy (D)'!$H1127," "))))</f>
        <v xml:space="preserve"> </v>
      </c>
    </row>
    <row r="1128" spans="1:9">
      <c r="B1128" s="594" t="s">
        <v>2417</v>
      </c>
      <c r="C1128" s="615"/>
      <c r="E1128" s="585" t="str">
        <f ca="1">IF(AND('Reconciliation report'!$E$474&gt;=2,'Reconciliation report'!$E$473=RefData!$B$112),'All Statement of strategy (D)'!$B1128&amp;'All Statement of strategy (D)'!$C1128,"")</f>
        <v/>
      </c>
      <c r="F1128" s="585" t="str">
        <f ca="1">IF(AND('Reconciliation report'!$E$474&gt;=2,'Reconciliation report'!$E$473=RefData!$B$112,'Reconciliation report'!$E$12=RefData!$B$12),'All Statement of strategy (D)'!$B1128&amp;'All Statement of strategy (D)'!$C1128,"")</f>
        <v/>
      </c>
      <c r="G1128" s="585" t="str">
        <f>""</f>
        <v/>
      </c>
      <c r="H1128" s="585" t="str">
        <f>""</f>
        <v/>
      </c>
      <c r="I1128" s="595" t="str">
        <f ca="1">IF($C$1=RefData!$B$418,'All Statement of strategy (D)'!$E1128,IF('All Statement of strategy (D)'!$C$1=RefData!$B$419,'All Statement of strategy (D)'!$F1128,IF('All Statement of strategy (D)'!$C$1=RefData!$B$420,'All Statement of strategy (D)'!$G1128,IF('All Statement of strategy (D)'!$C$1=RefData!$B$421,'All Statement of strategy (D)'!$H1128," "))))</f>
        <v xml:space="preserve"> </v>
      </c>
    </row>
    <row r="1129" spans="1:9">
      <c r="A1129" s="584" t="s">
        <v>2445</v>
      </c>
      <c r="B1129" s="621" t="str">
        <f ca="1">B1128&amp;LEFT('Reconciliation report'!$E$617,1000)</f>
        <v xml:space="preserve">Triggers for termination: </v>
      </c>
      <c r="C1129" s="615"/>
      <c r="E1129" s="585" t="str">
        <f ca="1">IF(AND('Reconciliation report'!$E$474&gt;=2,'Reconciliation report'!$E$473=RefData!$B$112),'All Statement of strategy (D)'!$B1129&amp;'All Statement of strategy (D)'!$C1129,"")</f>
        <v/>
      </c>
      <c r="F1129" s="585" t="str">
        <f ca="1">IF(AND('Reconciliation report'!$E$474&gt;=2,'Reconciliation report'!$E$473=RefData!$B$112,'Reconciliation report'!$E$12=RefData!$B$12),'All Statement of strategy (D)'!$B1129&amp;'All Statement of strategy (D)'!$C1129,"")</f>
        <v/>
      </c>
      <c r="G1129" s="585" t="str">
        <f>""</f>
        <v/>
      </c>
      <c r="H1129" s="585" t="str">
        <f>""</f>
        <v/>
      </c>
      <c r="I1129" s="595" t="str">
        <f ca="1">IF($C$1=RefData!$B$418,'All Statement of strategy (D)'!$E1129,IF('All Statement of strategy (D)'!$C$1=RefData!$B$419,'All Statement of strategy (D)'!$F1129,IF('All Statement of strategy (D)'!$C$1=RefData!$B$420,'All Statement of strategy (D)'!$G1129,IF('All Statement of strategy (D)'!$C$1=RefData!$B$421,'All Statement of strategy (D)'!$H1129," "))))</f>
        <v xml:space="preserve"> </v>
      </c>
    </row>
    <row r="1130" spans="1:9">
      <c r="A1130" s="584" t="s">
        <v>2445</v>
      </c>
      <c r="B1130" s="594" t="str">
        <f ca="1">MID('Reconciliation report'!$E$617,1001,1000)</f>
        <v/>
      </c>
      <c r="C1130" s="615"/>
      <c r="E1130" s="585" t="str">
        <f ca="1">IF(AND('Reconciliation report'!$E$474&gt;=2,'Reconciliation report'!$E$473=RefData!$B$112),'All Statement of strategy (D)'!$B1130&amp;'All Statement of strategy (D)'!$C1130,"")</f>
        <v/>
      </c>
      <c r="F1130" s="585" t="str">
        <f ca="1">IF(AND('Reconciliation report'!$E$474&gt;=2,'Reconciliation report'!$E$473=RefData!$B$112,'Reconciliation report'!$E$12=RefData!$B$12),'All Statement of strategy (D)'!$B1130&amp;'All Statement of strategy (D)'!$C1130,"")</f>
        <v/>
      </c>
      <c r="G1130" s="585" t="str">
        <f>""</f>
        <v/>
      </c>
      <c r="H1130" s="585" t="str">
        <f>""</f>
        <v/>
      </c>
      <c r="I1130" s="595" t="str">
        <f ca="1">IF($C$1=RefData!$B$418,'All Statement of strategy (D)'!$E1130,IF('All Statement of strategy (D)'!$C$1=RefData!$B$419,'All Statement of strategy (D)'!$F1130,IF('All Statement of strategy (D)'!$C$1=RefData!$B$420,'All Statement of strategy (D)'!$G1130,IF('All Statement of strategy (D)'!$C$1=RefData!$B$421,'All Statement of strategy (D)'!$H1130," "))))</f>
        <v xml:space="preserve"> </v>
      </c>
    </row>
    <row r="1131" spans="1:9">
      <c r="A1131" s="584" t="s">
        <v>2445</v>
      </c>
      <c r="B1131" s="594" t="str">
        <f ca="1">MID('Reconciliation report'!$E$617,2001,1000)</f>
        <v/>
      </c>
      <c r="C1131" s="615"/>
      <c r="E1131" s="585" t="str">
        <f ca="1">IF(AND('Reconciliation report'!$E$474&gt;=2,'Reconciliation report'!$E$473=RefData!$B$112),'All Statement of strategy (D)'!$B1131&amp;'All Statement of strategy (D)'!$C1131,"")</f>
        <v/>
      </c>
      <c r="F1131" s="585" t="str">
        <f ca="1">IF(AND('Reconciliation report'!$E$474&gt;=2,'Reconciliation report'!$E$473=RefData!$B$112,'Reconciliation report'!$E$12=RefData!$B$12),'All Statement of strategy (D)'!$B1131&amp;'All Statement of strategy (D)'!$C1131,"")</f>
        <v/>
      </c>
      <c r="G1131" s="585" t="str">
        <f>""</f>
        <v/>
      </c>
      <c r="H1131" s="585" t="str">
        <f>""</f>
        <v/>
      </c>
      <c r="I1131" s="595" t="str">
        <f ca="1">IF($C$1=RefData!$B$418,'All Statement of strategy (D)'!$E1131,IF('All Statement of strategy (D)'!$C$1=RefData!$B$419,'All Statement of strategy (D)'!$F1131,IF('All Statement of strategy (D)'!$C$1=RefData!$B$420,'All Statement of strategy (D)'!$G1131,IF('All Statement of strategy (D)'!$C$1=RefData!$B$421,'All Statement of strategy (D)'!$H1131," "))))</f>
        <v xml:space="preserve"> </v>
      </c>
    </row>
    <row r="1132" spans="1:9" ht="16" thickBot="1">
      <c r="A1132" s="584" t="s">
        <v>2445</v>
      </c>
      <c r="B1132" s="597" t="str">
        <f ca="1">MID('Reconciliation report'!$E$617,3001,1000)</f>
        <v/>
      </c>
      <c r="C1132" s="625"/>
      <c r="D1132" s="598"/>
      <c r="E1132" s="598" t="str">
        <f ca="1">IF(AND('Reconciliation report'!$E$474&gt;=2,'Reconciliation report'!$E$473=RefData!$B$112),'All Statement of strategy (D)'!$B1132&amp;'All Statement of strategy (D)'!$C1132,"")</f>
        <v/>
      </c>
      <c r="F1132" s="598" t="str">
        <f ca="1">IF(AND('Reconciliation report'!$E$474&gt;=2,'Reconciliation report'!$E$473=RefData!$B$112,'Reconciliation report'!$E$12=RefData!$B$12),'All Statement of strategy (D)'!$B1132&amp;'All Statement of strategy (D)'!$C1132,"")</f>
        <v/>
      </c>
      <c r="G1132" s="598" t="str">
        <f>""</f>
        <v/>
      </c>
      <c r="H1132" s="598" t="str">
        <f>""</f>
        <v/>
      </c>
      <c r="I1132" s="599" t="str">
        <f ca="1">IF($C$1=RefData!$B$418,'All Statement of strategy (D)'!$E1132,IF('All Statement of strategy (D)'!$C$1=RefData!$B$419,'All Statement of strategy (D)'!$F1132,IF('All Statement of strategy (D)'!$C$1=RefData!$B$420,'All Statement of strategy (D)'!$G1132,IF('All Statement of strategy (D)'!$C$1=RefData!$B$421,'All Statement of strategy (D)'!$H1132," "))))</f>
        <v xml:space="preserve"> </v>
      </c>
    </row>
    <row r="1133" spans="1:9">
      <c r="B1133" s="594" t="s">
        <v>2446</v>
      </c>
      <c r="C1133" s="615"/>
      <c r="E1133" s="585" t="str">
        <f ca="1">IF(AND('Reconciliation report'!$E$474&gt;=3,'Reconciliation report'!$E$473=RefData!$B$112),'All Statement of strategy (D)'!$B1133&amp;'All Statement of strategy (D)'!$C1133,"")</f>
        <v/>
      </c>
      <c r="F1133" s="585" t="str">
        <f ca="1">IF(AND('Reconciliation report'!$E$474&gt;=3,'Reconciliation report'!$E$473=RefData!$B$112,'Reconciliation report'!$E$12=RefData!$B$12),'All Statement of strategy (D)'!$B1133&amp;'All Statement of strategy (D)'!$C1133,"")</f>
        <v/>
      </c>
      <c r="G1133" s="585" t="str">
        <f ca="1">IF(AND('Reconciliation report'!$E$474&gt;=3,'Reconciliation report'!$E$473=RefData!$B$112,'Reconciliation report'!$E$9=RefData!$B$5,'Reconciliation report'!$E$13=RefData!$B$14),'All Statement of strategy (D)'!$B1133&amp;'All Statement of strategy (D)'!$C1133,"")</f>
        <v/>
      </c>
      <c r="H1133" s="585" t="str">
        <f ca="1">IF(AND('Reconciliation report'!$E$474&gt;=3,'Reconciliation report'!$E$473=RefData!$B$112,'Reconciliation report'!$E$9=RefData!$B$5,'Reconciliation report'!$E$13=RefData!$B$14),'All Statement of strategy (D)'!$B1133&amp;'All Statement of strategy (D)'!$C1133,"")</f>
        <v/>
      </c>
      <c r="I1133" s="595" t="str">
        <f ca="1">IF($C$1=RefData!$B$418,'All Statement of strategy (D)'!$E1133,IF('All Statement of strategy (D)'!$C$1=RefData!$B$419,'All Statement of strategy (D)'!$F1133,IF('All Statement of strategy (D)'!$C$1=RefData!$B$420,'All Statement of strategy (D)'!$G1133,IF('All Statement of strategy (D)'!$C$1=RefData!$B$421,'All Statement of strategy (D)'!$H1133," "))))</f>
        <v xml:space="preserve"> </v>
      </c>
    </row>
    <row r="1134" spans="1:9">
      <c r="A1134" s="584" t="s">
        <v>2447</v>
      </c>
      <c r="B1134" s="594" t="s">
        <v>2381</v>
      </c>
      <c r="C1134" s="615" t="str">
        <f ca="1">'Reconciliation report'!$E$618</f>
        <v/>
      </c>
      <c r="E1134" s="585" t="str">
        <f ca="1">IF(AND('Reconciliation report'!$E$474&gt;=3,'Reconciliation report'!$E$473=RefData!$B$112),'All Statement of strategy (D)'!$B1134&amp;'All Statement of strategy (D)'!$C1134,"")</f>
        <v/>
      </c>
      <c r="F1134" s="585" t="str">
        <f ca="1">IF(AND('Reconciliation report'!$E$474&gt;=3,'Reconciliation report'!$E$473=RefData!$B$112,'Reconciliation report'!$E$12=RefData!$B$12),'All Statement of strategy (D)'!$B1134&amp;'All Statement of strategy (D)'!$C1134,"")</f>
        <v/>
      </c>
      <c r="G1134" s="585" t="str">
        <f ca="1">IF(AND('Reconciliation report'!$E$474&gt;=3,'Reconciliation report'!$E$473=RefData!$B$112,'Reconciliation report'!$E$9=RefData!$B$5,'Reconciliation report'!$E$13=RefData!$B$14),'All Statement of strategy (D)'!$B1134&amp;'All Statement of strategy (D)'!$C1134,"")</f>
        <v/>
      </c>
      <c r="H1134" s="585" t="str">
        <f ca="1">IF(AND('Reconciliation report'!$E$474&gt;=3,'Reconciliation report'!$E$473=RefData!$B$112,'Reconciliation report'!$E$9=RefData!$B$5,'Reconciliation report'!$E$13=RefData!$B$14),'All Statement of strategy (D)'!$B1134&amp;'All Statement of strategy (D)'!$C1134,"")</f>
        <v/>
      </c>
      <c r="I1134" s="595" t="str">
        <f ca="1">IF($C$1=RefData!$B$418,'All Statement of strategy (D)'!$E1134,IF('All Statement of strategy (D)'!$C$1=RefData!$B$419,'All Statement of strategy (D)'!$F1134,IF('All Statement of strategy (D)'!$C$1=RefData!$B$420,'All Statement of strategy (D)'!$G1134,IF('All Statement of strategy (D)'!$C$1=RefData!$B$421,'All Statement of strategy (D)'!$H1134," "))))</f>
        <v xml:space="preserve"> </v>
      </c>
    </row>
    <row r="1135" spans="1:9">
      <c r="A1135" s="584" t="s">
        <v>2448</v>
      </c>
      <c r="B1135" s="594" t="s">
        <v>2383</v>
      </c>
      <c r="C1135" s="585" t="str">
        <f ca="1">IF(AND('Reconciliation report'!$E$619="",'Reconciliation report'!$E$620=""),"",IF('Reconciliation report'!$E$619="","charity number: "&amp;'Reconciliation report'!$E$620,"companies house number: "&amp;'Reconciliation report'!$E$619))</f>
        <v/>
      </c>
      <c r="E1135" s="585" t="str">
        <f ca="1">IF(AND($C1135&lt;&gt;"",'Reconciliation report'!$E$474&gt;=3,'Reconciliation report'!$E$473=RefData!$B$112),'All Statement of strategy (D)'!$B1135&amp;'All Statement of strategy (D)'!$C1135,"")</f>
        <v/>
      </c>
      <c r="F1135" s="585" t="str">
        <f ca="1">IF(AND($C1135&lt;&gt;"",'Reconciliation report'!$E$474&gt;=3,'Reconciliation report'!$E$473=RefData!$B$112,'Reconciliation report'!$E$12=RefData!$B$12),'All Statement of strategy (D)'!$B1135&amp;'All Statement of strategy (D)'!$C1135,"")</f>
        <v/>
      </c>
      <c r="G1135" s="585" t="str">
        <f ca="1">IF(AND($C1135&lt;&gt;"",'Reconciliation report'!$E$474&gt;=3,'Reconciliation report'!$E$473=RefData!$B$112,'Reconciliation report'!$E$9=RefData!$B$5,'Reconciliation report'!$E$13=RefData!$B$14),'All Statement of strategy (D)'!$B1135&amp;'All Statement of strategy (D)'!$C1135,"")</f>
        <v/>
      </c>
      <c r="H1135" s="585" t="str">
        <f ca="1">IF(AND($C1135&lt;&gt;"",'Reconciliation report'!$E$474&gt;=3,'Reconciliation report'!$E$473=RefData!$B$112,'Reconciliation report'!$E$9=RefData!$B$5,'Reconciliation report'!$E$13=RefData!$B$14),'All Statement of strategy (D)'!$B1135&amp;'All Statement of strategy (D)'!$C1135,"")</f>
        <v/>
      </c>
      <c r="I1135" s="595" t="str">
        <f ca="1">IF($C$1=RefData!$B$418,'All Statement of strategy (D)'!$E1135,IF('All Statement of strategy (D)'!$C$1=RefData!$B$419,'All Statement of strategy (D)'!$F1135,IF('All Statement of strategy (D)'!$C$1=RefData!$B$420,'All Statement of strategy (D)'!$G1135,IF('All Statement of strategy (D)'!$C$1=RefData!$B$421,'All Statement of strategy (D)'!$H1135," "))))</f>
        <v xml:space="preserve"> </v>
      </c>
    </row>
    <row r="1136" spans="1:9">
      <c r="A1136" s="584" t="s">
        <v>2449</v>
      </c>
      <c r="B1136" s="594" t="s">
        <v>1858</v>
      </c>
      <c r="C1136" s="615" t="str">
        <f ca="1">'Reconciliation report'!$E$621</f>
        <v/>
      </c>
      <c r="E1136" s="585" t="str">
        <f ca="1">IF(AND($C1136&lt;&gt;"",'Reconciliation report'!$E$474&gt;=3,'Reconciliation report'!$E$473=RefData!$B$112),'All Statement of strategy (D)'!$B1136&amp;'All Statement of strategy (D)'!$C1136,"")</f>
        <v/>
      </c>
      <c r="F1136" s="585" t="str">
        <f ca="1">IF(AND($C1136&lt;&gt;"",'Reconciliation report'!$E$474&gt;=3,'Reconciliation report'!$E$473=RefData!$B$112,'Reconciliation report'!$E$12=RefData!$B$12),'All Statement of strategy (D)'!$B1136&amp;'All Statement of strategy (D)'!$C1136,"")</f>
        <v/>
      </c>
      <c r="G1136" s="585" t="str">
        <f ca="1">IF(AND($C1136&lt;&gt;"",'Reconciliation report'!$E$474&gt;=3,'Reconciliation report'!$E$473=RefData!$B$112,'Reconciliation report'!$E$9=RefData!$B$5,'Reconciliation report'!$E$13=RefData!$B$14),'All Statement of strategy (D)'!$B1136&amp;'All Statement of strategy (D)'!$C1136,"")</f>
        <v/>
      </c>
      <c r="H1136" s="585" t="str">
        <f ca="1">IF(AND($C1136&lt;&gt;"",'Reconciliation report'!$E$474&gt;=3,'Reconciliation report'!$E$473=RefData!$B$112,'Reconciliation report'!$E$9=RefData!$B$5,'Reconciliation report'!$E$13=RefData!$B$14),'All Statement of strategy (D)'!$B1136&amp;'All Statement of strategy (D)'!$C1136,"")</f>
        <v/>
      </c>
      <c r="I1136" s="595" t="str">
        <f ca="1">IF($C$1=RefData!$B$418,'All Statement of strategy (D)'!$E1136,IF('All Statement of strategy (D)'!$C$1=RefData!$B$419,'All Statement of strategy (D)'!$F1136,IF('All Statement of strategy (D)'!$C$1=RefData!$B$420,'All Statement of strategy (D)'!$G1136,IF('All Statement of strategy (D)'!$C$1=RefData!$B$421,'All Statement of strategy (D)'!$H1136," "))))</f>
        <v xml:space="preserve"> </v>
      </c>
    </row>
    <row r="1137" spans="1:9">
      <c r="A1137" s="584" t="s">
        <v>2450</v>
      </c>
      <c r="B1137" s="594" t="s">
        <v>1860</v>
      </c>
      <c r="C1137" s="615" t="str">
        <f ca="1">'Reconciliation report'!$E$622</f>
        <v/>
      </c>
      <c r="E1137" s="585" t="str">
        <f ca="1">IF(AND($C1137&lt;&gt;"",'Reconciliation report'!$E$474&gt;=3,'Reconciliation report'!$E$473=RefData!$B$112),'All Statement of strategy (D)'!$B1137&amp;'All Statement of strategy (D)'!$C1137,"")</f>
        <v/>
      </c>
      <c r="F1137" s="585" t="str">
        <f ca="1">IF(AND($C1137&lt;&gt;"",'Reconciliation report'!$E$474&gt;=3,'Reconciliation report'!$E$473=RefData!$B$112,'Reconciliation report'!$E$12=RefData!$B$12),'All Statement of strategy (D)'!$B1137&amp;'All Statement of strategy (D)'!$C1137,"")</f>
        <v/>
      </c>
      <c r="G1137" s="585" t="str">
        <f ca="1">IF(AND($C1137&lt;&gt;"",'Reconciliation report'!$E$474&gt;=3,'Reconciliation report'!$E$473=RefData!$B$112,'Reconciliation report'!$E$9=RefData!$B$5,'Reconciliation report'!$E$13=RefData!$B$14),'All Statement of strategy (D)'!$B1137&amp;'All Statement of strategy (D)'!$C1137,"")</f>
        <v/>
      </c>
      <c r="H1137" s="585" t="str">
        <f ca="1">IF(AND($C1137&lt;&gt;"",'Reconciliation report'!$E$474&gt;=3,'Reconciliation report'!$E$473=RefData!$B$112,'Reconciliation report'!$E$9=RefData!$B$5,'Reconciliation report'!$E$13=RefData!$B$14),'All Statement of strategy (D)'!$B1137&amp;'All Statement of strategy (D)'!$C1137,"")</f>
        <v/>
      </c>
      <c r="I1137" s="595" t="str">
        <f ca="1">IF($C$1=RefData!$B$418,'All Statement of strategy (D)'!$E1137,IF('All Statement of strategy (D)'!$C$1=RefData!$B$419,'All Statement of strategy (D)'!$F1137,IF('All Statement of strategy (D)'!$C$1=RefData!$B$420,'All Statement of strategy (D)'!$G1137,IF('All Statement of strategy (D)'!$C$1=RefData!$B$421,'All Statement of strategy (D)'!$H1137," "))))</f>
        <v xml:space="preserve"> </v>
      </c>
    </row>
    <row r="1138" spans="1:9">
      <c r="A1138" s="584" t="s">
        <v>2451</v>
      </c>
      <c r="B1138" s="594" t="s">
        <v>1862</v>
      </c>
      <c r="C1138" s="615" t="str">
        <f ca="1">'Reconciliation report'!$E$623</f>
        <v/>
      </c>
      <c r="E1138" s="585" t="str">
        <f ca="1">IF(AND($C1138&lt;&gt;"",'Reconciliation report'!$E$474&gt;=3,'Reconciliation report'!$E$473=RefData!$B$112),'All Statement of strategy (D)'!$B1138&amp;'All Statement of strategy (D)'!$C1138,"")</f>
        <v/>
      </c>
      <c r="F1138" s="585" t="str">
        <f ca="1">IF(AND($C1138&lt;&gt;"",'Reconciliation report'!$E$474&gt;=3,'Reconciliation report'!$E$473=RefData!$B$112,'Reconciliation report'!$E$12=RefData!$B$12),'All Statement of strategy (D)'!$B1138&amp;'All Statement of strategy (D)'!$C1138,"")</f>
        <v/>
      </c>
      <c r="G1138" s="585" t="str">
        <f ca="1">IF(AND($C1138&lt;&gt;"",'Reconciliation report'!$E$474&gt;=3,'Reconciliation report'!$E$473=RefData!$B$112,'Reconciliation report'!$E$9=RefData!$B$5,'Reconciliation report'!$E$13=RefData!$B$14),'All Statement of strategy (D)'!$B1138&amp;'All Statement of strategy (D)'!$C1138,"")</f>
        <v/>
      </c>
      <c r="H1138" s="585" t="str">
        <f ca="1">IF(AND($C1138&lt;&gt;"",'Reconciliation report'!$E$474&gt;=3,'Reconciliation report'!$E$473=RefData!$B$112,'Reconciliation report'!$E$9=RefData!$B$5,'Reconciliation report'!$E$13=RefData!$B$14),'All Statement of strategy (D)'!$B1138&amp;'All Statement of strategy (D)'!$C1138,"")</f>
        <v/>
      </c>
      <c r="I1138" s="595" t="str">
        <f ca="1">IF($C$1=RefData!$B$418,'All Statement of strategy (D)'!$E1138,IF('All Statement of strategy (D)'!$C$1=RefData!$B$419,'All Statement of strategy (D)'!$F1138,IF('All Statement of strategy (D)'!$C$1=RefData!$B$420,'All Statement of strategy (D)'!$G1138,IF('All Statement of strategy (D)'!$C$1=RefData!$B$421,'All Statement of strategy (D)'!$H1138," "))))</f>
        <v xml:space="preserve"> </v>
      </c>
    </row>
    <row r="1139" spans="1:9">
      <c r="A1139" s="584" t="s">
        <v>2452</v>
      </c>
      <c r="B1139" s="594" t="s">
        <v>2388</v>
      </c>
      <c r="C1139" s="615" t="str">
        <f ca="1">'Reconciliation report'!$E$624</f>
        <v/>
      </c>
      <c r="E1139" s="585" t="str">
        <f ca="1">IF(AND($C1139&lt;&gt;"",'Reconciliation report'!$E$474&gt;=3,'Reconciliation report'!$E$473=RefData!$B$112),'All Statement of strategy (D)'!$B1139&amp;'All Statement of strategy (D)'!$C1139,"")</f>
        <v/>
      </c>
      <c r="F1139" s="585" t="str">
        <f ca="1">IF(AND($C1139&lt;&gt;"",'Reconciliation report'!$E$474&gt;=3,'Reconciliation report'!$E$473=RefData!$B$112,'Reconciliation report'!$E$12=RefData!$B$12),'All Statement of strategy (D)'!$B1139&amp;'All Statement of strategy (D)'!$C1139,"")</f>
        <v/>
      </c>
      <c r="G1139" s="585" t="str">
        <f ca="1">IF(AND($C1139&lt;&gt;"",'Reconciliation report'!$E$474&gt;=3,'Reconciliation report'!$E$473=RefData!$B$112,'Reconciliation report'!$E$9=RefData!$B$5,'Reconciliation report'!$E$13=RefData!$B$14),'All Statement of strategy (D)'!$B1139&amp;'All Statement of strategy (D)'!$C1139,"")</f>
        <v/>
      </c>
      <c r="H1139" s="585" t="str">
        <f ca="1">IF(AND($C1139&lt;&gt;"",'Reconciliation report'!$E$474&gt;=3,'Reconciliation report'!$E$473=RefData!$B$112,'Reconciliation report'!$E$9=RefData!$B$5,'Reconciliation report'!$E$13=RefData!$B$14),'All Statement of strategy (D)'!$B1139&amp;'All Statement of strategy (D)'!$C1139,"")</f>
        <v/>
      </c>
      <c r="I1139" s="595" t="str">
        <f ca="1">IF($C$1=RefData!$B$418,'All Statement of strategy (D)'!$E1139,IF('All Statement of strategy (D)'!$C$1=RefData!$B$419,'All Statement of strategy (D)'!$F1139,IF('All Statement of strategy (D)'!$C$1=RefData!$B$420,'All Statement of strategy (D)'!$G1139,IF('All Statement of strategy (D)'!$C$1=RefData!$B$421,'All Statement of strategy (D)'!$H1139," "))))</f>
        <v xml:space="preserve"> </v>
      </c>
    </row>
    <row r="1140" spans="1:9">
      <c r="A1140" s="584" t="s">
        <v>2453</v>
      </c>
      <c r="B1140" s="594" t="s">
        <v>1866</v>
      </c>
      <c r="C1140" s="615" t="str">
        <f ca="1">'Reconciliation report'!$E$625</f>
        <v/>
      </c>
      <c r="E1140" s="585" t="str">
        <f ca="1">IF(AND($C1140&lt;&gt;"",'Reconciliation report'!$E$474&gt;=3,'Reconciliation report'!$E$473=RefData!$B$112),'All Statement of strategy (D)'!$B1140&amp;'All Statement of strategy (D)'!$C1140,"")</f>
        <v/>
      </c>
      <c r="F1140" s="585" t="str">
        <f ca="1">IF(AND($C1140&lt;&gt;"",'Reconciliation report'!$E$474&gt;=3,'Reconciliation report'!$E$473=RefData!$B$112,'Reconciliation report'!$E$12=RefData!$B$12),'All Statement of strategy (D)'!$B1140&amp;'All Statement of strategy (D)'!$C1140,"")</f>
        <v/>
      </c>
      <c r="G1140" s="585" t="str">
        <f ca="1">IF(AND($C1140&lt;&gt;"",'Reconciliation report'!$E$474&gt;=3,'Reconciliation report'!$E$473=RefData!$B$112,'Reconciliation report'!$E$9=RefData!$B$5,'Reconciliation report'!$E$13=RefData!$B$14),'All Statement of strategy (D)'!$B1140&amp;'All Statement of strategy (D)'!$C1140,"")</f>
        <v/>
      </c>
      <c r="H1140" s="585" t="str">
        <f ca="1">IF(AND($C1140&lt;&gt;"",'Reconciliation report'!$E$474&gt;=3,'Reconciliation report'!$E$473=RefData!$B$112,'Reconciliation report'!$E$9=RefData!$B$5,'Reconciliation report'!$E$13=RefData!$B$14),'All Statement of strategy (D)'!$B1140&amp;'All Statement of strategy (D)'!$C1140,"")</f>
        <v/>
      </c>
      <c r="I1140" s="595" t="str">
        <f ca="1">IF($C$1=RefData!$B$418,'All Statement of strategy (D)'!$E1140,IF('All Statement of strategy (D)'!$C$1=RefData!$B$419,'All Statement of strategy (D)'!$F1140,IF('All Statement of strategy (D)'!$C$1=RefData!$B$420,'All Statement of strategy (D)'!$G1140,IF('All Statement of strategy (D)'!$C$1=RefData!$B$421,'All Statement of strategy (D)'!$H1140," "))))</f>
        <v xml:space="preserve"> </v>
      </c>
    </row>
    <row r="1141" spans="1:9">
      <c r="A1141" s="584" t="s">
        <v>2454</v>
      </c>
      <c r="B1141" s="594" t="s">
        <v>1868</v>
      </c>
      <c r="C1141" s="615" t="str">
        <f ca="1">'Reconciliation report'!$E$626</f>
        <v/>
      </c>
      <c r="E1141" s="585" t="str">
        <f ca="1">IF(AND($C1141&lt;&gt;"",'Reconciliation report'!$E$474&gt;=3,'Reconciliation report'!$E$473=RefData!$B$112),'All Statement of strategy (D)'!$B1141&amp;'All Statement of strategy (D)'!$C1141,"")</f>
        <v/>
      </c>
      <c r="F1141" s="585" t="str">
        <f ca="1">IF(AND($C1141&lt;&gt;"",'Reconciliation report'!$E$474&gt;=3,'Reconciliation report'!$E$473=RefData!$B$112,'Reconciliation report'!$E$12=RefData!$B$12),'All Statement of strategy (D)'!$B1141&amp;'All Statement of strategy (D)'!$C1141,"")</f>
        <v/>
      </c>
      <c r="G1141" s="585" t="str">
        <f ca="1">IF(AND($C1141&lt;&gt;"",'Reconciliation report'!$E$474&gt;=3,'Reconciliation report'!$E$473=RefData!$B$112,'Reconciliation report'!$E$9=RefData!$B$5,'Reconciliation report'!$E$13=RefData!$B$14),'All Statement of strategy (D)'!$B1141&amp;'All Statement of strategy (D)'!$C1141,"")</f>
        <v/>
      </c>
      <c r="H1141" s="585" t="str">
        <f ca="1">IF(AND($C1141&lt;&gt;"",'Reconciliation report'!$E$474&gt;=3,'Reconciliation report'!$E$473=RefData!$B$112,'Reconciliation report'!$E$9=RefData!$B$5,'Reconciliation report'!$E$13=RefData!$B$14),'All Statement of strategy (D)'!$B1141&amp;'All Statement of strategy (D)'!$C1141,"")</f>
        <v/>
      </c>
      <c r="I1141" s="595" t="str">
        <f ca="1">IF($C$1=RefData!$B$418,'All Statement of strategy (D)'!$E1141,IF('All Statement of strategy (D)'!$C$1=RefData!$B$419,'All Statement of strategy (D)'!$F1141,IF('All Statement of strategy (D)'!$C$1=RefData!$B$420,'All Statement of strategy (D)'!$G1141,IF('All Statement of strategy (D)'!$C$1=RefData!$B$421,'All Statement of strategy (D)'!$H1141," "))))</f>
        <v xml:space="preserve"> </v>
      </c>
    </row>
    <row r="1142" spans="1:9">
      <c r="A1142" s="584" t="s">
        <v>2455</v>
      </c>
      <c r="B1142" s="594" t="s">
        <v>1870</v>
      </c>
      <c r="C1142" s="615" t="str">
        <f ca="1">'Reconciliation report'!$E$627</f>
        <v/>
      </c>
      <c r="E1142" s="585" t="str">
        <f ca="1">IF(AND($C1142&lt;&gt;"",'Reconciliation report'!$E$474&gt;=3,'Reconciliation report'!$E$473=RefData!$B$112),'All Statement of strategy (D)'!$B1142&amp;'All Statement of strategy (D)'!$C1142,"")</f>
        <v/>
      </c>
      <c r="F1142" s="585" t="str">
        <f ca="1">IF(AND($C1142&lt;&gt;"",'Reconciliation report'!$E$474&gt;=3,'Reconciliation report'!$E$473=RefData!$B$112,'Reconciliation report'!$E$12=RefData!$B$12),'All Statement of strategy (D)'!$B1142&amp;'All Statement of strategy (D)'!$C1142,"")</f>
        <v/>
      </c>
      <c r="G1142" s="585" t="str">
        <f ca="1">IF(AND($C1142&lt;&gt;"",'Reconciliation report'!$E$474&gt;=3,'Reconciliation report'!$E$473=RefData!$B$112,'Reconciliation report'!$E$9=RefData!$B$5,'Reconciliation report'!$E$13=RefData!$B$14),'All Statement of strategy (D)'!$B1142&amp;'All Statement of strategy (D)'!$C1142,"")</f>
        <v/>
      </c>
      <c r="H1142" s="585" t="str">
        <f ca="1">IF(AND($C1142&lt;&gt;"",'Reconciliation report'!$E$474&gt;=3,'Reconciliation report'!$E$473=RefData!$B$112,'Reconciliation report'!$E$9=RefData!$B$5,'Reconciliation report'!$E$13=RefData!$B$14),'All Statement of strategy (D)'!$B1142&amp;'All Statement of strategy (D)'!$C1142,"")</f>
        <v/>
      </c>
      <c r="I1142" s="595" t="str">
        <f ca="1">IF($C$1=RefData!$B$418,'All Statement of strategy (D)'!$E1142,IF('All Statement of strategy (D)'!$C$1=RefData!$B$419,'All Statement of strategy (D)'!$F1142,IF('All Statement of strategy (D)'!$C$1=RefData!$B$420,'All Statement of strategy (D)'!$G1142,IF('All Statement of strategy (D)'!$C$1=RefData!$B$421,'All Statement of strategy (D)'!$H1142," "))))</f>
        <v xml:space="preserve"> </v>
      </c>
    </row>
    <row r="1143" spans="1:9">
      <c r="A1143" s="584" t="s">
        <v>2456</v>
      </c>
      <c r="B1143" s="594" t="s">
        <v>2393</v>
      </c>
      <c r="C1143" s="615" t="str">
        <f ca="1">IF('Reconciliation report'!$E$628=RefData!$B$124,"Yes",IF('Reconciliation report'!$E$628=RefData!$B$125,"No",""))</f>
        <v/>
      </c>
      <c r="E1143" s="585" t="str">
        <f ca="1">IF(AND('Reconciliation report'!$E$474&gt;=3,'Reconciliation report'!$E$473=RefData!$B$112),'All Statement of strategy (D)'!$B1143&amp;'All Statement of strategy (D)'!$C1143,"")</f>
        <v/>
      </c>
      <c r="F1143" s="585" t="str">
        <f ca="1">IF(AND('Reconciliation report'!$E$474&gt;=3,'Reconciliation report'!$E$473=RefData!$B$112,'Reconciliation report'!$E$12=RefData!$B$12),'All Statement of strategy (D)'!$B1143&amp;'All Statement of strategy (D)'!$C1143,"")</f>
        <v/>
      </c>
      <c r="G1143" s="585" t="str">
        <f>""</f>
        <v/>
      </c>
      <c r="H1143" s="585" t="str">
        <f>""</f>
        <v/>
      </c>
      <c r="I1143" s="595" t="str">
        <f ca="1">IF($C$1=RefData!$B$418,'All Statement of strategy (D)'!$E1143,IF('All Statement of strategy (D)'!$C$1=RefData!$B$419,'All Statement of strategy (D)'!$F1143,IF('All Statement of strategy (D)'!$C$1=RefData!$B$420,'All Statement of strategy (D)'!$G1143,IF('All Statement of strategy (D)'!$C$1=RefData!$B$421,'All Statement of strategy (D)'!$H1143," "))))</f>
        <v xml:space="preserve"> </v>
      </c>
    </row>
    <row r="1144" spans="1:9">
      <c r="B1144" s="594" t="s">
        <v>2457</v>
      </c>
      <c r="C1144" s="615"/>
      <c r="E1144" s="585" t="str">
        <f ca="1">IF(AND('Reconciliation report'!$E$474&gt;=3,'Reconciliation report'!$E$473=RefData!$B$112),'All Statement of strategy (D)'!$B1144&amp;'All Statement of strategy (D)'!$C1144,"")</f>
        <v/>
      </c>
      <c r="F1144" s="585" t="str">
        <f ca="1">IF(AND('Reconciliation report'!$E$474&gt;=3,'Reconciliation report'!$E$473=RefData!$B$112,'Reconciliation report'!$E$12=RefData!$B$12),'All Statement of strategy (D)'!$B1144&amp;'All Statement of strategy (D)'!$C1144,"")</f>
        <v/>
      </c>
      <c r="G1144" s="585" t="str">
        <f ca="1">IF(AND('Reconciliation report'!$E$474&gt;=3,'Reconciliation report'!$E$473=RefData!$B$112,'Reconciliation report'!$E$9=RefData!$B$5,'Reconciliation report'!$E$13=RefData!$B$14),'All Statement of strategy (D)'!$B1144&amp;'All Statement of strategy (D)'!$C1144,"")</f>
        <v/>
      </c>
      <c r="H1144" s="585" t="str">
        <f ca="1">IF(AND('Reconciliation report'!$E$474&gt;=3,'Reconciliation report'!$E$473=RefData!$B$112,'Reconciliation report'!$E$9=RefData!$B$5,'Reconciliation report'!$E$13=RefData!$B$14),'All Statement of strategy (D)'!$B1144&amp;'All Statement of strategy (D)'!$C1144,"")</f>
        <v/>
      </c>
      <c r="I1144" s="595" t="str">
        <f ca="1">IF($C$1=RefData!$B$418,'All Statement of strategy (D)'!$E1144,IF('All Statement of strategy (D)'!$C$1=RefData!$B$419,'All Statement of strategy (D)'!$F1144,IF('All Statement of strategy (D)'!$C$1=RefData!$B$420,'All Statement of strategy (D)'!$G1144,IF('All Statement of strategy (D)'!$C$1=RefData!$B$421,'All Statement of strategy (D)'!$H1144," "))))</f>
        <v xml:space="preserve"> </v>
      </c>
    </row>
    <row r="1145" spans="1:9">
      <c r="A1145" s="584" t="s">
        <v>2458</v>
      </c>
      <c r="B1145" s="594" t="str">
        <f ca="1">"Type of guarantee: "&amp;IF('Reconciliation report'!$E$629=RefData!$B$129,"",'Reconciliation report'!$E$629)</f>
        <v xml:space="preserve">Type of guarantee: </v>
      </c>
      <c r="D1145" s="624"/>
      <c r="E1145" s="585" t="str">
        <f ca="1">IF(AND('Reconciliation report'!$E$474&gt;=3,'Reconciliation report'!$E$473=RefData!$B$112),'All Statement of strategy (D)'!$B1145&amp;'All Statement of strategy (D)'!$C1145,"")</f>
        <v/>
      </c>
      <c r="F1145" s="585" t="str">
        <f ca="1">IF(AND('Reconciliation report'!$E$474&gt;=3,'Reconciliation report'!$E$473=RefData!$B$112,'Reconciliation report'!$E$12=RefData!$B$12),'All Statement of strategy (D)'!$B1145&amp;'All Statement of strategy (D)'!$C1145,"")</f>
        <v/>
      </c>
      <c r="G1145" s="585" t="str">
        <f ca="1">IF(AND('Reconciliation report'!$E$474&gt;=3,'Reconciliation report'!$E$473=RefData!$B$112,'Reconciliation report'!$E$9=RefData!$B$5,'Reconciliation report'!$E$13=RefData!$B$14),'All Statement of strategy (D)'!$B1145&amp;'All Statement of strategy (D)'!$C1145,"")</f>
        <v/>
      </c>
      <c r="H1145" s="585" t="str">
        <f ca="1">IF(AND('Reconciliation report'!$E$474&gt;=3,'Reconciliation report'!$E$473=RefData!$B$112,'Reconciliation report'!$E$9=RefData!$B$5,'Reconciliation report'!$E$13=RefData!$B$14),'All Statement of strategy (D)'!$B1145&amp;'All Statement of strategy (D)'!$C1145,"")</f>
        <v/>
      </c>
      <c r="I1145" s="595" t="str">
        <f ca="1">IF($C$1=RefData!$B$418,'All Statement of strategy (D)'!$E1145,IF('All Statement of strategy (D)'!$C$1=RefData!$B$419,'All Statement of strategy (D)'!$F1145,IF('All Statement of strategy (D)'!$C$1=RefData!$B$420,'All Statement of strategy (D)'!$G1145,IF('All Statement of strategy (D)'!$C$1=RefData!$B$421,'All Statement of strategy (D)'!$H1145," "))))</f>
        <v xml:space="preserve"> </v>
      </c>
    </row>
    <row r="1146" spans="1:9">
      <c r="A1146" s="584" t="s">
        <v>2459</v>
      </c>
      <c r="B1146" s="594" t="str">
        <f ca="1">B1145&amp;IF('Reconciliation report'!$E$629=RefData!$B$129,LEFT('Reconciliation report'!$E$630,1000),"")</f>
        <v xml:space="preserve">Type of guarantee: </v>
      </c>
      <c r="D1146" s="624"/>
      <c r="E1146" s="585" t="str">
        <f ca="1">IF(AND('Reconciliation report'!$E$474&gt;=3,'Reconciliation report'!$E$473=RefData!$B$112),'All Statement of strategy (D)'!$B1146&amp;'All Statement of strategy (D)'!$C1146,"")</f>
        <v/>
      </c>
      <c r="F1146" s="585" t="str">
        <f ca="1">IF(AND('Reconciliation report'!$E$474&gt;=3,'Reconciliation report'!$E$473=RefData!$B$112,'Reconciliation report'!$E$12=RefData!$B$12),'All Statement of strategy (D)'!$B1146&amp;'All Statement of strategy (D)'!$C1146,"")</f>
        <v/>
      </c>
      <c r="G1146" s="585" t="str">
        <f ca="1">IF(AND('Reconciliation report'!$E$474&gt;=3,'Reconciliation report'!$E$473=RefData!$B$112,'Reconciliation report'!$E$9=RefData!$B$5,'Reconciliation report'!$E$13=RefData!$B$14),'All Statement of strategy (D)'!$B1146&amp;'All Statement of strategy (D)'!$C1146,"")</f>
        <v/>
      </c>
      <c r="H1146" s="585" t="str">
        <f ca="1">IF(AND('Reconciliation report'!$E$474&gt;=3,'Reconciliation report'!$E$473=RefData!$B$112,'Reconciliation report'!$E$9=RefData!$B$5,'Reconciliation report'!$E$13=RefData!$B$14),'All Statement of strategy (D)'!$B1146&amp;'All Statement of strategy (D)'!$C1146,"")</f>
        <v/>
      </c>
      <c r="I1146" s="595" t="str">
        <f ca="1">IF($C$1=RefData!$B$418,'All Statement of strategy (D)'!$E1146,IF('All Statement of strategy (D)'!$C$1=RefData!$B$419,'All Statement of strategy (D)'!$F1146,IF('All Statement of strategy (D)'!$C$1=RefData!$B$420,'All Statement of strategy (D)'!$G1146,IF('All Statement of strategy (D)'!$C$1=RefData!$B$421,'All Statement of strategy (D)'!$H1146," "))))</f>
        <v xml:space="preserve"> </v>
      </c>
    </row>
    <row r="1147" spans="1:9">
      <c r="A1147" s="584" t="s">
        <v>2459</v>
      </c>
      <c r="B1147" s="594" t="str">
        <f ca="1">IF('Reconciliation report'!$E$629=RefData!$B$129,MID('Reconciliation report'!$E$630,1001,1000),"")</f>
        <v/>
      </c>
      <c r="D1147" s="624"/>
      <c r="E1147" s="585" t="str">
        <f ca="1">IF(AND('Reconciliation report'!$E$474&gt;=3,'Reconciliation report'!$E$473=RefData!$B$112),'All Statement of strategy (D)'!$B1147&amp;'All Statement of strategy (D)'!$C1147,"")</f>
        <v/>
      </c>
      <c r="F1147" s="585" t="str">
        <f ca="1">IF(AND('Reconciliation report'!$E$474&gt;=3,'Reconciliation report'!$E$473=RefData!$B$112,'Reconciliation report'!$E$12=RefData!$B$12),'All Statement of strategy (D)'!$B1147&amp;'All Statement of strategy (D)'!$C1147,"")</f>
        <v/>
      </c>
      <c r="G1147" s="585" t="str">
        <f ca="1">IF(AND('Reconciliation report'!$E$474&gt;=3,'Reconciliation report'!$E$473=RefData!$B$112,'Reconciliation report'!$E$9=RefData!$B$5,'Reconciliation report'!$E$13=RefData!$B$14),'All Statement of strategy (D)'!$B1147&amp;'All Statement of strategy (D)'!$C1147,"")</f>
        <v/>
      </c>
      <c r="H1147" s="585" t="str">
        <f ca="1">IF(AND('Reconciliation report'!$E$474&gt;=3,'Reconciliation report'!$E$473=RefData!$B$112,'Reconciliation report'!$E$9=RefData!$B$5,'Reconciliation report'!$E$13=RefData!$B$14),'All Statement of strategy (D)'!$B1147&amp;'All Statement of strategy (D)'!$C1147,"")</f>
        <v/>
      </c>
      <c r="I1147" s="595" t="str">
        <f ca="1">IF($C$1=RefData!$B$418,'All Statement of strategy (D)'!$E1147,IF('All Statement of strategy (D)'!$C$1=RefData!$B$419,'All Statement of strategy (D)'!$F1147,IF('All Statement of strategy (D)'!$C$1=RefData!$B$420,'All Statement of strategy (D)'!$G1147,IF('All Statement of strategy (D)'!$C$1=RefData!$B$421,'All Statement of strategy (D)'!$H1147," "))))</f>
        <v xml:space="preserve"> </v>
      </c>
    </row>
    <row r="1148" spans="1:9">
      <c r="A1148" s="584" t="s">
        <v>2459</v>
      </c>
      <c r="B1148" s="594" t="str">
        <f ca="1">IF('Reconciliation report'!$E$629=RefData!$B$129,MID('Reconciliation report'!$E$630,2001,1000),"")</f>
        <v/>
      </c>
      <c r="D1148" s="624"/>
      <c r="E1148" s="585" t="str">
        <f ca="1">IF(AND('Reconciliation report'!$E$474&gt;=3,'Reconciliation report'!$E$473=RefData!$B$112),'All Statement of strategy (D)'!$B1148&amp;'All Statement of strategy (D)'!$C1148,"")</f>
        <v/>
      </c>
      <c r="F1148" s="585" t="str">
        <f ca="1">IF(AND('Reconciliation report'!$E$474&gt;=3,'Reconciliation report'!$E$473=RefData!$B$112,'Reconciliation report'!$E$12=RefData!$B$12),'All Statement of strategy (D)'!$B1148&amp;'All Statement of strategy (D)'!$C1148,"")</f>
        <v/>
      </c>
      <c r="G1148" s="585" t="str">
        <f ca="1">IF(AND('Reconciliation report'!$E$474&gt;=3,'Reconciliation report'!$E$473=RefData!$B$112,'Reconciliation report'!$E$9=RefData!$B$5,'Reconciliation report'!$E$13=RefData!$B$14),'All Statement of strategy (D)'!$B1148&amp;'All Statement of strategy (D)'!$C1148,"")</f>
        <v/>
      </c>
      <c r="H1148" s="585" t="str">
        <f ca="1">IF(AND('Reconciliation report'!$E$474&gt;=3,'Reconciliation report'!$E$473=RefData!$B$112,'Reconciliation report'!$E$9=RefData!$B$5,'Reconciliation report'!$E$13=RefData!$B$14),'All Statement of strategy (D)'!$B1148&amp;'All Statement of strategy (D)'!$C1148,"")</f>
        <v/>
      </c>
      <c r="I1148" s="595" t="str">
        <f ca="1">IF($C$1=RefData!$B$418,'All Statement of strategy (D)'!$E1148,IF('All Statement of strategy (D)'!$C$1=RefData!$B$419,'All Statement of strategy (D)'!$F1148,IF('All Statement of strategy (D)'!$C$1=RefData!$B$420,'All Statement of strategy (D)'!$G1148,IF('All Statement of strategy (D)'!$C$1=RefData!$B$421,'All Statement of strategy (D)'!$H1148," "))))</f>
        <v xml:space="preserve"> </v>
      </c>
    </row>
    <row r="1149" spans="1:9">
      <c r="A1149" s="584" t="s">
        <v>2459</v>
      </c>
      <c r="B1149" s="594" t="str">
        <f ca="1">IF('Reconciliation report'!$E$629=RefData!$B$129,MID('Reconciliation report'!$E$630,3001,1000),"")</f>
        <v/>
      </c>
      <c r="D1149" s="624"/>
      <c r="E1149" s="585" t="str">
        <f ca="1">IF(AND('Reconciliation report'!$E$474&gt;=3,'Reconciliation report'!$E$473=RefData!$B$112),'All Statement of strategy (D)'!$B1149&amp;'All Statement of strategy (D)'!$C1149,"")</f>
        <v/>
      </c>
      <c r="F1149" s="585" t="str">
        <f ca="1">IF(AND('Reconciliation report'!$E$474&gt;=3,'Reconciliation report'!$E$473=RefData!$B$112,'Reconciliation report'!$E$12=RefData!$B$12),'All Statement of strategy (D)'!$B1149&amp;'All Statement of strategy (D)'!$C1149,"")</f>
        <v/>
      </c>
      <c r="G1149" s="585" t="str">
        <f ca="1">IF(AND('Reconciliation report'!$E$474&gt;=3,'Reconciliation report'!$E$473=RefData!$B$112,'Reconciliation report'!$E$9=RefData!$B$5,'Reconciliation report'!$E$13=RefData!$B$14),'All Statement of strategy (D)'!$B1149&amp;'All Statement of strategy (D)'!$C1149,"")</f>
        <v/>
      </c>
      <c r="H1149" s="585" t="str">
        <f ca="1">IF(AND('Reconciliation report'!$E$474&gt;=3,'Reconciliation report'!$E$473=RefData!$B$112,'Reconciliation report'!$E$9=RefData!$B$5,'Reconciliation report'!$E$13=RefData!$B$14),'All Statement of strategy (D)'!$B1149&amp;'All Statement of strategy (D)'!$C1149,"")</f>
        <v/>
      </c>
      <c r="I1149" s="595" t="str">
        <f ca="1">IF($C$1=RefData!$B$418,'All Statement of strategy (D)'!$E1149,IF('All Statement of strategy (D)'!$C$1=RefData!$B$419,'All Statement of strategy (D)'!$F1149,IF('All Statement of strategy (D)'!$C$1=RefData!$B$420,'All Statement of strategy (D)'!$G1149,IF('All Statement of strategy (D)'!$C$1=RefData!$B$421,'All Statement of strategy (D)'!$H1149," "))))</f>
        <v xml:space="preserve"> </v>
      </c>
    </row>
    <row r="1150" spans="1:9">
      <c r="A1150" s="584" t="s">
        <v>2460</v>
      </c>
      <c r="B1150" s="594" t="str">
        <f ca="1">"Type of maturity: "&amp;IF('Reconciliation report'!$E$631=RefData!$B$130,'Reconciliation report'!$E$631,
IF('Reconciliation report'!$E$631=RefData!$B$131,"Fixed expiry with a maturity date of "&amp;TEXT('Reconciliation report'!$E$632,RefData!$B$424),""))</f>
        <v xml:space="preserve">Type of maturity: </v>
      </c>
      <c r="D1150" s="624"/>
      <c r="E1150" s="585" t="str">
        <f ca="1">IF(AND('Reconciliation report'!$E$474&gt;=3,'Reconciliation report'!$E$473=RefData!$B$112),'All Statement of strategy (D)'!$B1150&amp;'All Statement of strategy (D)'!$C1150,"")</f>
        <v/>
      </c>
      <c r="F1150" s="585" t="str">
        <f ca="1">IF(AND('Reconciliation report'!$E$474&gt;=3,'Reconciliation report'!$E$473=RefData!$B$112,'Reconciliation report'!$E$12=RefData!$B$12),'All Statement of strategy (D)'!$B1150&amp;'All Statement of strategy (D)'!$C1150,"")</f>
        <v/>
      </c>
      <c r="G1150" s="585" t="str">
        <f>""</f>
        <v/>
      </c>
      <c r="H1150" s="585" t="str">
        <f>""</f>
        <v/>
      </c>
      <c r="I1150" s="595" t="str">
        <f ca="1">IF($C$1=RefData!$B$418,'All Statement of strategy (D)'!$E1150,IF('All Statement of strategy (D)'!$C$1=RefData!$B$419,'All Statement of strategy (D)'!$F1150,IF('All Statement of strategy (D)'!$C$1=RefData!$B$420,'All Statement of strategy (D)'!$G1150,IF('All Statement of strategy (D)'!$C$1=RefData!$B$421,'All Statement of strategy (D)'!$H1150," "))))</f>
        <v xml:space="preserve"> </v>
      </c>
    </row>
    <row r="1151" spans="1:9">
      <c r="A1151" s="584" t="s">
        <v>2461</v>
      </c>
      <c r="B1151" s="594" t="str">
        <f ca="1">B1150&amp;IF('Reconciliation report'!$E$631=RefData!$B$132,LEFT('Reconciliation report'!$E$633,1000),"")</f>
        <v xml:space="preserve">Type of maturity: </v>
      </c>
      <c r="D1151" s="624"/>
      <c r="E1151" s="585" t="str">
        <f ca="1">IF(AND('Reconciliation report'!$E$474&gt;=3,'Reconciliation report'!$E$473=RefData!$B$112),'All Statement of strategy (D)'!$B1151&amp;'All Statement of strategy (D)'!$C1151,"")</f>
        <v/>
      </c>
      <c r="F1151" s="585" t="str">
        <f ca="1">IF(AND('Reconciliation report'!$E$474&gt;=3,'Reconciliation report'!$E$473=RefData!$B$112,'Reconciliation report'!$E$12=RefData!$B$12),'All Statement of strategy (D)'!$B1151&amp;'All Statement of strategy (D)'!$C1151,"")</f>
        <v/>
      </c>
      <c r="G1151" s="585" t="str">
        <f>""</f>
        <v/>
      </c>
      <c r="H1151" s="585" t="str">
        <f>""</f>
        <v/>
      </c>
      <c r="I1151" s="595" t="str">
        <f ca="1">IF($C$1=RefData!$B$418,'All Statement of strategy (D)'!$E1151,IF('All Statement of strategy (D)'!$C$1=RefData!$B$419,'All Statement of strategy (D)'!$F1151,IF('All Statement of strategy (D)'!$C$1=RefData!$B$420,'All Statement of strategy (D)'!$G1151,IF('All Statement of strategy (D)'!$C$1=RefData!$B$421,'All Statement of strategy (D)'!$H1151," "))))</f>
        <v xml:space="preserve"> </v>
      </c>
    </row>
    <row r="1152" spans="1:9">
      <c r="A1152" s="584" t="s">
        <v>2461</v>
      </c>
      <c r="B1152" s="594" t="str">
        <f ca="1">IF('Reconciliation report'!$E$631=RefData!$B$132,MID('Reconciliation report'!$E$633,1001,1000),"")</f>
        <v/>
      </c>
      <c r="D1152" s="624"/>
      <c r="E1152" s="585" t="str">
        <f ca="1">IF(AND('Reconciliation report'!$E$474&gt;=3,'Reconciliation report'!$E$473=RefData!$B$112),'All Statement of strategy (D)'!$B1152&amp;'All Statement of strategy (D)'!$C1152,"")</f>
        <v/>
      </c>
      <c r="F1152" s="585" t="str">
        <f ca="1">IF(AND('Reconciliation report'!$E$474&gt;=3,'Reconciliation report'!$E$473=RefData!$B$112,'Reconciliation report'!$E$12=RefData!$B$12),'All Statement of strategy (D)'!$B1152&amp;'All Statement of strategy (D)'!$C1152,"")</f>
        <v/>
      </c>
      <c r="G1152" s="585" t="str">
        <f>""</f>
        <v/>
      </c>
      <c r="H1152" s="585" t="str">
        <f>""</f>
        <v/>
      </c>
      <c r="I1152" s="595" t="str">
        <f ca="1">IF($C$1=RefData!$B$418,'All Statement of strategy (D)'!$E1152,IF('All Statement of strategy (D)'!$C$1=RefData!$B$419,'All Statement of strategy (D)'!$F1152,IF('All Statement of strategy (D)'!$C$1=RefData!$B$420,'All Statement of strategy (D)'!$G1152,IF('All Statement of strategy (D)'!$C$1=RefData!$B$421,'All Statement of strategy (D)'!$H1152," "))))</f>
        <v xml:space="preserve"> </v>
      </c>
    </row>
    <row r="1153" spans="1:9">
      <c r="A1153" s="584" t="s">
        <v>2461</v>
      </c>
      <c r="B1153" s="594" t="str">
        <f ca="1">IF('Reconciliation report'!$E$631=RefData!$B$132,MID('Reconciliation report'!$E$633,2001,1000),"")</f>
        <v/>
      </c>
      <c r="D1153" s="624"/>
      <c r="E1153" s="585" t="str">
        <f ca="1">IF(AND('Reconciliation report'!$E$474&gt;=3,'Reconciliation report'!$E$473=RefData!$B$112),'All Statement of strategy (D)'!$B1153&amp;'All Statement of strategy (D)'!$C1153,"")</f>
        <v/>
      </c>
      <c r="F1153" s="585" t="str">
        <f ca="1">IF(AND('Reconciliation report'!$E$474&gt;=3,'Reconciliation report'!$E$473=RefData!$B$112,'Reconciliation report'!$E$12=RefData!$B$12),'All Statement of strategy (D)'!$B1153&amp;'All Statement of strategy (D)'!$C1153,"")</f>
        <v/>
      </c>
      <c r="G1153" s="585" t="str">
        <f>""</f>
        <v/>
      </c>
      <c r="H1153" s="585" t="str">
        <f>""</f>
        <v/>
      </c>
      <c r="I1153" s="595" t="str">
        <f ca="1">IF($C$1=RefData!$B$418,'All Statement of strategy (D)'!$E1153,IF('All Statement of strategy (D)'!$C$1=RefData!$B$419,'All Statement of strategy (D)'!$F1153,IF('All Statement of strategy (D)'!$C$1=RefData!$B$420,'All Statement of strategy (D)'!$G1153,IF('All Statement of strategy (D)'!$C$1=RefData!$B$421,'All Statement of strategy (D)'!$H1153," "))))</f>
        <v xml:space="preserve"> </v>
      </c>
    </row>
    <row r="1154" spans="1:9">
      <c r="A1154" s="584" t="s">
        <v>2461</v>
      </c>
      <c r="B1154" s="594" t="str">
        <f ca="1">IF('Reconciliation report'!$E$631=RefData!$B$132,MID('Reconciliation report'!$E$633,3001,1000),"")</f>
        <v/>
      </c>
      <c r="D1154" s="624"/>
      <c r="E1154" s="585" t="str">
        <f ca="1">IF(AND('Reconciliation report'!$E$474&gt;=3,'Reconciliation report'!$E$473=RefData!$B$112),'All Statement of strategy (D)'!$B1154&amp;'All Statement of strategy (D)'!$C1154,"")</f>
        <v/>
      </c>
      <c r="F1154" s="585" t="str">
        <f ca="1">IF(AND('Reconciliation report'!$E$474&gt;=3,'Reconciliation report'!$E$473=RefData!$B$112,'Reconciliation report'!$E$12=RefData!$B$12),'All Statement of strategy (D)'!$B1154&amp;'All Statement of strategy (D)'!$C1154,"")</f>
        <v/>
      </c>
      <c r="G1154" s="585" t="str">
        <f>""</f>
        <v/>
      </c>
      <c r="H1154" s="585" t="str">
        <f>""</f>
        <v/>
      </c>
      <c r="I1154" s="595" t="str">
        <f ca="1">IF($C$1=RefData!$B$418,'All Statement of strategy (D)'!$E1154,IF('All Statement of strategy (D)'!$C$1=RefData!$B$419,'All Statement of strategy (D)'!$F1154,IF('All Statement of strategy (D)'!$C$1=RefData!$B$420,'All Statement of strategy (D)'!$G1154,IF('All Statement of strategy (D)'!$C$1=RefData!$B$421,'All Statement of strategy (D)'!$H1154," "))))</f>
        <v xml:space="preserve"> </v>
      </c>
    </row>
    <row r="1155" spans="1:9">
      <c r="A1155" s="584" t="s">
        <v>2462</v>
      </c>
      <c r="B1155" s="594" t="s">
        <v>2399</v>
      </c>
      <c r="E1155" s="585" t="str">
        <f ca="1">IF(AND('Reconciliation report'!$E$474&gt;=3,'Reconciliation report'!$E$473=RefData!$B$112),'All Statement of strategy (D)'!$B1155&amp;'All Statement of strategy (D)'!$C1155,"")</f>
        <v/>
      </c>
      <c r="F1155" s="585" t="str">
        <f ca="1">IF(AND('Reconciliation report'!$E$474&gt;=3,'Reconciliation report'!$E$473=RefData!$B$112,'Reconciliation report'!$E$12=RefData!$B$12),'All Statement of strategy (D)'!$B1155&amp;'All Statement of strategy (D)'!$C1155,"")</f>
        <v/>
      </c>
      <c r="G1155" s="585" t="str">
        <f ca="1">IF(AND('Reconciliation report'!$E$474&gt;=3,'Reconciliation report'!$E$473=RefData!$B$112,'Reconciliation report'!$E$9=RefData!$B$5,'Reconciliation report'!$E$13=RefData!$B$14),'All Statement of strategy (D)'!$B1155&amp;'All Statement of strategy (D)'!$C1155,"")</f>
        <v/>
      </c>
      <c r="H1155" s="585" t="str">
        <f ca="1">IF(AND('Reconciliation report'!$E$474&gt;=3,'Reconciliation report'!$E$473=RefData!$B$112,'Reconciliation report'!$E$9=RefData!$B$5,'Reconciliation report'!$E$13=RefData!$B$14),'All Statement of strategy (D)'!$B1155&amp;'All Statement of strategy (D)'!$C1155,"")</f>
        <v/>
      </c>
      <c r="I1155" s="595" t="str">
        <f ca="1">IF($C$1=RefData!$B$418,'All Statement of strategy (D)'!$E1155,IF('All Statement of strategy (D)'!$C$1=RefData!$B$419,'All Statement of strategy (D)'!$F1155,IF('All Statement of strategy (D)'!$C$1=RefData!$B$420,'All Statement of strategy (D)'!$G1155,IF('All Statement of strategy (D)'!$C$1=RefData!$B$421,'All Statement of strategy (D)'!$H1155," "))))</f>
        <v xml:space="preserve"> </v>
      </c>
    </row>
    <row r="1156" spans="1:9">
      <c r="B1156" s="594" t="s">
        <v>2400</v>
      </c>
      <c r="C1156" s="585" t="str">
        <f ca="1">TEXT('Reconciliation report'!$E$634,RefData!$B$425)</f>
        <v/>
      </c>
      <c r="E1156" s="585" t="str">
        <f ca="1">IF(AND('Reconciliation report'!$E$474&gt;=3,'Reconciliation report'!$E$473=RefData!$B$112),'All Statement of strategy (D)'!$B1156&amp;'All Statement of strategy (D)'!$C1156,"")</f>
        <v/>
      </c>
      <c r="F1156" s="585" t="str">
        <f ca="1">IF(AND('Reconciliation report'!$E$474&gt;=3,'Reconciliation report'!$E$473=RefData!$B$112,'Reconciliation report'!$E$12=RefData!$B$12),'All Statement of strategy (D)'!$B1156&amp;'All Statement of strategy (D)'!$C1156,"")</f>
        <v/>
      </c>
      <c r="G1156" s="585" t="str">
        <f ca="1">IF(AND('Reconciliation report'!$E$474&gt;=3,'Reconciliation report'!$E$473=RefData!$B$112,'Reconciliation report'!$E$9=RefData!$B$5,'Reconciliation report'!$E$13=RefData!$B$14),'All Statement of strategy (D)'!$B1156&amp;'All Statement of strategy (D)'!$C1156,"")</f>
        <v/>
      </c>
      <c r="H1156" s="585" t="str">
        <f ca="1">IF(AND('Reconciliation report'!$E$474&gt;=3,'Reconciliation report'!$E$473=RefData!$B$112,'Reconciliation report'!$E$9=RefData!$B$5,'Reconciliation report'!$E$13=RefData!$B$14),'All Statement of strategy (D)'!$B1156&amp;'All Statement of strategy (D)'!$C1156,"")</f>
        <v/>
      </c>
      <c r="I1156" s="595" t="str">
        <f ca="1">IF($C$1=RefData!$B$418,'All Statement of strategy (D)'!$E1156,IF('All Statement of strategy (D)'!$C$1=RefData!$B$419,'All Statement of strategy (D)'!$F1156,IF('All Statement of strategy (D)'!$C$1=RefData!$B$420,'All Statement of strategy (D)'!$G1156,IF('All Statement of strategy (D)'!$C$1=RefData!$B$421,'All Statement of strategy (D)'!$H1156," "))))</f>
        <v xml:space="preserve"> </v>
      </c>
    </row>
    <row r="1157" spans="1:9">
      <c r="A1157" s="584" t="s">
        <v>2463</v>
      </c>
      <c r="B1157" s="594" t="s">
        <v>2402</v>
      </c>
      <c r="C1157" s="618" t="str">
        <f ca="1">TEXT('Reconciliation report'!$E$635,RefData!$B$424)</f>
        <v/>
      </c>
      <c r="E1157" s="585" t="str">
        <f ca="1">IF(AND('Reconciliation report'!$E$474&gt;=3,'Reconciliation report'!$E$473=RefData!$B$112),'All Statement of strategy (D)'!$B1157&amp;'All Statement of strategy (D)'!$C1157,"")</f>
        <v/>
      </c>
      <c r="F1157" s="585" t="str">
        <f ca="1">IF(AND('Reconciliation report'!$E$474&gt;=3,'Reconciliation report'!$E$473=RefData!$B$112,'Reconciliation report'!$E$12=RefData!$B$12),'All Statement of strategy (D)'!$B1157&amp;'All Statement of strategy (D)'!$C1157,"")</f>
        <v/>
      </c>
      <c r="G1157" s="585" t="str">
        <f ca="1">IF(AND('Reconciliation report'!$E$474&gt;=3,'Reconciliation report'!$E$473=RefData!$B$112,'Reconciliation report'!$E$9=RefData!$B$5,'Reconciliation report'!$E$13=RefData!$B$14),'All Statement of strategy (D)'!$B1157&amp;'All Statement of strategy (D)'!$C1157,"")</f>
        <v/>
      </c>
      <c r="H1157" s="585" t="str">
        <f ca="1">IF(AND('Reconciliation report'!$E$474&gt;=3,'Reconciliation report'!$E$473=RefData!$B$112,'Reconciliation report'!$E$9=RefData!$B$5,'Reconciliation report'!$E$13=RefData!$B$14),'All Statement of strategy (D)'!$B1157&amp;'All Statement of strategy (D)'!$C1157,"")</f>
        <v/>
      </c>
      <c r="I1157" s="595" t="str">
        <f ca="1">IF($C$1=RefData!$B$418,'All Statement of strategy (D)'!$E1157,IF('All Statement of strategy (D)'!$C$1=RefData!$B$419,'All Statement of strategy (D)'!$F1157,IF('All Statement of strategy (D)'!$C$1=RefData!$B$420,'All Statement of strategy (D)'!$G1157,IF('All Statement of strategy (D)'!$C$1=RefData!$B$421,'All Statement of strategy (D)'!$H1157," "))))</f>
        <v xml:space="preserve"> </v>
      </c>
    </row>
    <row r="1158" spans="1:9">
      <c r="A1158" s="584" t="s">
        <v>2464</v>
      </c>
      <c r="B1158" s="594" t="str">
        <f ca="1">"Value cap: "&amp;IF('Reconciliation report'!$E$636=RefData!$B$139,"",'Reconciliation report'!$E$636)</f>
        <v xml:space="preserve">Value cap: </v>
      </c>
      <c r="D1158" s="624"/>
      <c r="E1158" s="585" t="str">
        <f ca="1">IF(AND('Reconciliation report'!$E$474&gt;=3,'Reconciliation report'!$E$473=RefData!$B$112),'All Statement of strategy (D)'!$B1158&amp;'All Statement of strategy (D)'!$C1158,"")</f>
        <v/>
      </c>
      <c r="F1158" s="585" t="str">
        <f ca="1">IF(AND('Reconciliation report'!$E$474&gt;=3,'Reconciliation report'!$E$473=RefData!$B$112,'Reconciliation report'!$E$12=RefData!$B$12),'All Statement of strategy (D)'!$B1158&amp;'All Statement of strategy (D)'!$C1158,"")</f>
        <v/>
      </c>
      <c r="G1158" s="585" t="str">
        <f>""</f>
        <v/>
      </c>
      <c r="H1158" s="585" t="str">
        <f>""</f>
        <v/>
      </c>
      <c r="I1158" s="595" t="str">
        <f ca="1">IF($C$1=RefData!$B$418,'All Statement of strategy (D)'!$E1158,IF('All Statement of strategy (D)'!$C$1=RefData!$B$419,'All Statement of strategy (D)'!$F1158,IF('All Statement of strategy (D)'!$C$1=RefData!$B$420,'All Statement of strategy (D)'!$G1158,IF('All Statement of strategy (D)'!$C$1=RefData!$B$421,'All Statement of strategy (D)'!$H1158," "))))</f>
        <v xml:space="preserve"> </v>
      </c>
    </row>
    <row r="1159" spans="1:9">
      <c r="A1159" s="584" t="s">
        <v>2465</v>
      </c>
      <c r="B1159" s="594" t="str">
        <f ca="1">B1158&amp;IF('Reconciliation report'!$E$636=RefData!$B$139,LEFT('Reconciliation report'!$E$637,1000),"")</f>
        <v xml:space="preserve">Value cap: </v>
      </c>
      <c r="D1159" s="624"/>
      <c r="E1159" s="585" t="str">
        <f ca="1">IF(AND('Reconciliation report'!$E$474&gt;=3,'Reconciliation report'!$E$473=RefData!$B$112),'All Statement of strategy (D)'!$B1159&amp;'All Statement of strategy (D)'!$C1159,"")</f>
        <v/>
      </c>
      <c r="F1159" s="585" t="str">
        <f ca="1">IF(AND('Reconciliation report'!$E$474&gt;=3,'Reconciliation report'!$E$473=RefData!$B$112,'Reconciliation report'!$E$12=RefData!$B$12),'All Statement of strategy (D)'!$B1159&amp;'All Statement of strategy (D)'!$C1159,"")</f>
        <v/>
      </c>
      <c r="G1159" s="585" t="str">
        <f>""</f>
        <v/>
      </c>
      <c r="H1159" s="585" t="str">
        <f>""</f>
        <v/>
      </c>
      <c r="I1159" s="595" t="str">
        <f ca="1">IF($C$1=RefData!$B$418,'All Statement of strategy (D)'!$E1159,IF('All Statement of strategy (D)'!$C$1=RefData!$B$419,'All Statement of strategy (D)'!$F1159,IF('All Statement of strategy (D)'!$C$1=RefData!$B$420,'All Statement of strategy (D)'!$G1159,IF('All Statement of strategy (D)'!$C$1=RefData!$B$421,'All Statement of strategy (D)'!$H1159," "))))</f>
        <v xml:space="preserve"> </v>
      </c>
    </row>
    <row r="1160" spans="1:9">
      <c r="A1160" s="584" t="s">
        <v>2465</v>
      </c>
      <c r="B1160" s="594" t="str">
        <f ca="1">IF('Reconciliation report'!$E$636=RefData!$B$139,MID('Reconciliation report'!$E$637,1001,1000),"")</f>
        <v/>
      </c>
      <c r="D1160" s="624"/>
      <c r="E1160" s="585" t="str">
        <f ca="1">IF(AND('Reconciliation report'!$E$474&gt;=3,'Reconciliation report'!$E$473=RefData!$B$112),'All Statement of strategy (D)'!$B1160&amp;'All Statement of strategy (D)'!$C1160,"")</f>
        <v/>
      </c>
      <c r="F1160" s="585" t="str">
        <f ca="1">IF(AND('Reconciliation report'!$E$474&gt;=3,'Reconciliation report'!$E$473=RefData!$B$112,'Reconciliation report'!$E$12=RefData!$B$12),'All Statement of strategy (D)'!$B1160&amp;'All Statement of strategy (D)'!$C1160,"")</f>
        <v/>
      </c>
      <c r="G1160" s="585" t="str">
        <f>""</f>
        <v/>
      </c>
      <c r="H1160" s="585" t="str">
        <f>""</f>
        <v/>
      </c>
      <c r="I1160" s="595" t="str">
        <f ca="1">IF($C$1=RefData!$B$418,'All Statement of strategy (D)'!$E1160,IF('All Statement of strategy (D)'!$C$1=RefData!$B$419,'All Statement of strategy (D)'!$F1160,IF('All Statement of strategy (D)'!$C$1=RefData!$B$420,'All Statement of strategy (D)'!$G1160,IF('All Statement of strategy (D)'!$C$1=RefData!$B$421,'All Statement of strategy (D)'!$H1160," "))))</f>
        <v xml:space="preserve"> </v>
      </c>
    </row>
    <row r="1161" spans="1:9">
      <c r="A1161" s="584" t="s">
        <v>2465</v>
      </c>
      <c r="B1161" s="594" t="str">
        <f ca="1">IF('Reconciliation report'!$E$636=RefData!$B$139,MID('Reconciliation report'!$E$637,2001,1000),"")</f>
        <v/>
      </c>
      <c r="D1161" s="624"/>
      <c r="E1161" s="585" t="str">
        <f ca="1">IF(AND('Reconciliation report'!$E$474&gt;=3,'Reconciliation report'!$E$473=RefData!$B$112),'All Statement of strategy (D)'!$B1161&amp;'All Statement of strategy (D)'!$C1161,"")</f>
        <v/>
      </c>
      <c r="F1161" s="585" t="str">
        <f ca="1">IF(AND('Reconciliation report'!$E$474&gt;=3,'Reconciliation report'!$E$473=RefData!$B$112,'Reconciliation report'!$E$12=RefData!$B$12),'All Statement of strategy (D)'!$B1161&amp;'All Statement of strategy (D)'!$C1161,"")</f>
        <v/>
      </c>
      <c r="G1161" s="585" t="str">
        <f>""</f>
        <v/>
      </c>
      <c r="H1161" s="585" t="str">
        <f>""</f>
        <v/>
      </c>
      <c r="I1161" s="595" t="str">
        <f ca="1">IF($C$1=RefData!$B$418,'All Statement of strategy (D)'!$E1161,IF('All Statement of strategy (D)'!$C$1=RefData!$B$419,'All Statement of strategy (D)'!$F1161,IF('All Statement of strategy (D)'!$C$1=RefData!$B$420,'All Statement of strategy (D)'!$G1161,IF('All Statement of strategy (D)'!$C$1=RefData!$B$421,'All Statement of strategy (D)'!$H1161," "))))</f>
        <v xml:space="preserve"> </v>
      </c>
    </row>
    <row r="1162" spans="1:9">
      <c r="A1162" s="584" t="s">
        <v>2465</v>
      </c>
      <c r="B1162" s="594" t="str">
        <f ca="1">IF('Reconciliation report'!$E$636=RefData!$B$139,MID('Reconciliation report'!$E$637,3001,1000),"")</f>
        <v/>
      </c>
      <c r="D1162" s="624"/>
      <c r="E1162" s="585" t="str">
        <f ca="1">IF(AND('Reconciliation report'!$E$474&gt;=3,'Reconciliation report'!$E$473=RefData!$B$112),'All Statement of strategy (D)'!$B1162&amp;'All Statement of strategy (D)'!$C1162,"")</f>
        <v/>
      </c>
      <c r="F1162" s="585" t="str">
        <f ca="1">IF(AND('Reconciliation report'!$E$474&gt;=3,'Reconciliation report'!$E$473=RefData!$B$112,'Reconciliation report'!$E$12=RefData!$B$12),'All Statement of strategy (D)'!$B1162&amp;'All Statement of strategy (D)'!$C1162,"")</f>
        <v/>
      </c>
      <c r="G1162" s="585" t="str">
        <f>""</f>
        <v/>
      </c>
      <c r="H1162" s="585" t="str">
        <f>""</f>
        <v/>
      </c>
      <c r="I1162" s="595" t="str">
        <f ca="1">IF($C$1=RefData!$B$418,'All Statement of strategy (D)'!$E1162,IF('All Statement of strategy (D)'!$C$1=RefData!$B$419,'All Statement of strategy (D)'!$F1162,IF('All Statement of strategy (D)'!$C$1=RefData!$B$420,'All Statement of strategy (D)'!$G1162,IF('All Statement of strategy (D)'!$C$1=RefData!$B$421,'All Statement of strategy (D)'!$H1162," "))))</f>
        <v xml:space="preserve"> </v>
      </c>
    </row>
    <row r="1163" spans="1:9">
      <c r="A1163" s="584" t="s">
        <v>2466</v>
      </c>
      <c r="B1163" s="594" t="s">
        <v>2406</v>
      </c>
      <c r="C1163" s="585" t="str">
        <f ca="1">TEXT('Reconciliation report'!$E$638,RefData!$B$425)</f>
        <v/>
      </c>
      <c r="E1163" s="585" t="str">
        <f ca="1">IF(AND('Reconciliation report'!$E$474&gt;=3,'Reconciliation report'!$E$473=RefData!$B$112,'Reconciliation report'!$E$636=RefData!$B$138),'All Statement of strategy (D)'!$B1163&amp;'All Statement of strategy (D)'!$C1163,"")</f>
        <v/>
      </c>
      <c r="F1163" s="585" t="str">
        <f ca="1">IF(AND('Reconciliation report'!$E$474&gt;=3,'Reconciliation report'!$E$473=RefData!$B$112,'Reconciliation report'!$E$12=RefData!$B$12,'Reconciliation report'!$E$580=RefData!$B$138),'All Statement of strategy (D)'!$B1163&amp;'All Statement of strategy (D)'!$C1163,"")</f>
        <v/>
      </c>
      <c r="G1163" s="585" t="str">
        <f>""</f>
        <v/>
      </c>
      <c r="H1163" s="585" t="str">
        <f>""</f>
        <v/>
      </c>
      <c r="I1163" s="595" t="str">
        <f ca="1">IF($C$1=RefData!$B$418,'All Statement of strategy (D)'!$E1163,IF('All Statement of strategy (D)'!$C$1=RefData!$B$419,'All Statement of strategy (D)'!$F1163,IF('All Statement of strategy (D)'!$C$1=RefData!$B$420,'All Statement of strategy (D)'!$G1163,IF('All Statement of strategy (D)'!$C$1=RefData!$B$421,'All Statement of strategy (D)'!$H1163," "))))</f>
        <v xml:space="preserve"> </v>
      </c>
    </row>
    <row r="1164" spans="1:9">
      <c r="B1164" s="594" t="s">
        <v>2407</v>
      </c>
      <c r="E1164" s="585" t="str">
        <f ca="1">IF(AND('Reconciliation report'!$E$474&gt;=3,'Reconciliation report'!$E$473=RefData!$B$112),'All Statement of strategy (D)'!$B1164&amp;'All Statement of strategy (D)'!$C1164,"")</f>
        <v/>
      </c>
      <c r="F1164" s="585" t="str">
        <f ca="1">IF(AND('Reconciliation report'!$E$474&gt;=3,'Reconciliation report'!$E$473=RefData!$B$112,'Reconciliation report'!$E$12=RefData!$B$12),'All Statement of strategy (D)'!$B1164&amp;'All Statement of strategy (D)'!$C1164,"")</f>
        <v/>
      </c>
      <c r="G1164" s="585" t="str">
        <f>""</f>
        <v/>
      </c>
      <c r="H1164" s="585" t="str">
        <f>""</f>
        <v/>
      </c>
      <c r="I1164" s="595" t="str">
        <f ca="1">IF($C$1=RefData!$B$418,'All Statement of strategy (D)'!$E1164,IF('All Statement of strategy (D)'!$C$1=RefData!$B$419,'All Statement of strategy (D)'!$F1164,IF('All Statement of strategy (D)'!$C$1=RefData!$B$420,'All Statement of strategy (D)'!$G1164,IF('All Statement of strategy (D)'!$C$1=RefData!$B$421,'All Statement of strategy (D)'!$H1164," "))))</f>
        <v xml:space="preserve"> </v>
      </c>
    </row>
    <row r="1165" spans="1:9">
      <c r="A1165" s="584" t="s">
        <v>2467</v>
      </c>
      <c r="B1165" s="594" t="s">
        <v>2409</v>
      </c>
      <c r="C1165" s="585" t="str">
        <f ca="1">'Reconciliation report'!$E$639</f>
        <v/>
      </c>
      <c r="E1165" s="585" t="str">
        <f ca="1">IF(AND('Reconciliation report'!$E$474&gt;=3,'Reconciliation report'!$E$473=RefData!$B$112),'All Statement of strategy (D)'!$B1165&amp;'All Statement of strategy (D)'!$C1165,"")</f>
        <v/>
      </c>
      <c r="F1165" s="585" t="str">
        <f ca="1">IF(AND('Reconciliation report'!$E$474&gt;=3,'Reconciliation report'!$E$473=RefData!$B$112,'Reconciliation report'!$E$12=RefData!$B$12),'All Statement of strategy (D)'!$B1165&amp;'All Statement of strategy (D)'!$C1165,"")</f>
        <v/>
      </c>
      <c r="G1165" s="585" t="str">
        <f>""</f>
        <v/>
      </c>
      <c r="H1165" s="585" t="str">
        <f>""</f>
        <v/>
      </c>
      <c r="I1165" s="595" t="str">
        <f ca="1">IF($C$1=RefData!$B$418,'All Statement of strategy (D)'!$E1165,IF('All Statement of strategy (D)'!$C$1=RefData!$B$419,'All Statement of strategy (D)'!$F1165,IF('All Statement of strategy (D)'!$C$1=RefData!$B$420,'All Statement of strategy (D)'!$G1165,IF('All Statement of strategy (D)'!$C$1=RefData!$B$421,'All Statement of strategy (D)'!$H1165," "))))</f>
        <v xml:space="preserve"> </v>
      </c>
    </row>
    <row r="1166" spans="1:9">
      <c r="A1166" s="584" t="s">
        <v>2468</v>
      </c>
      <c r="B1166" s="594" t="s">
        <v>2411</v>
      </c>
      <c r="C1166" s="585" t="str">
        <f ca="1">'Reconciliation report'!$E$640</f>
        <v/>
      </c>
      <c r="E1166" s="585" t="str">
        <f ca="1">IF(AND('Reconciliation report'!$E$474&gt;=3,'Reconciliation report'!$E$473=RefData!$B$112),'All Statement of strategy (D)'!$B1166&amp;'All Statement of strategy (D)'!$C1166,"")</f>
        <v/>
      </c>
      <c r="F1166" s="585" t="str">
        <f ca="1">IF(AND('Reconciliation report'!$E$474&gt;=3,'Reconciliation report'!$E$473=RefData!$B$112,'Reconciliation report'!$E$12=RefData!$B$12),'All Statement of strategy (D)'!$B1166&amp;'All Statement of strategy (D)'!$C1166,"")</f>
        <v/>
      </c>
      <c r="G1166" s="585" t="str">
        <f>""</f>
        <v/>
      </c>
      <c r="H1166" s="585" t="str">
        <f>""</f>
        <v/>
      </c>
      <c r="I1166" s="595" t="str">
        <f ca="1">IF($C$1=RefData!$B$418,'All Statement of strategy (D)'!$E1166,IF('All Statement of strategy (D)'!$C$1=RefData!$B$419,'All Statement of strategy (D)'!$F1166,IF('All Statement of strategy (D)'!$C$1=RefData!$B$420,'All Statement of strategy (D)'!$G1166,IF('All Statement of strategy (D)'!$C$1=RefData!$B$421,'All Statement of strategy (D)'!$H1166," "))))</f>
        <v xml:space="preserve"> </v>
      </c>
    </row>
    <row r="1167" spans="1:9">
      <c r="A1167" s="584" t="s">
        <v>2469</v>
      </c>
      <c r="B1167" s="594" t="s">
        <v>2413</v>
      </c>
      <c r="C1167" s="585" t="str">
        <f ca="1">'Reconciliation report'!$E$641</f>
        <v/>
      </c>
      <c r="E1167" s="585" t="str">
        <f ca="1">IF(AND('Reconciliation report'!$E$474&gt;=3,'Reconciliation report'!$E$473=RefData!$B$112),'All Statement of strategy (D)'!$B1167&amp;'All Statement of strategy (D)'!$C1167,"")</f>
        <v/>
      </c>
      <c r="F1167" s="585" t="str">
        <f ca="1">IF(AND('Reconciliation report'!$E$474&gt;=3,'Reconciliation report'!$E$473=RefData!$B$112,'Reconciliation report'!$E$12=RefData!$B$12),'All Statement of strategy (D)'!$B1167&amp;'All Statement of strategy (D)'!$C1167,"")</f>
        <v/>
      </c>
      <c r="G1167" s="585" t="str">
        <f>""</f>
        <v/>
      </c>
      <c r="H1167" s="585" t="str">
        <f>""</f>
        <v/>
      </c>
      <c r="I1167" s="595" t="str">
        <f ca="1">IF($C$1=RefData!$B$418,'All Statement of strategy (D)'!$E1167,IF('All Statement of strategy (D)'!$C$1=RefData!$B$419,'All Statement of strategy (D)'!$F1167,IF('All Statement of strategy (D)'!$C$1=RefData!$B$420,'All Statement of strategy (D)'!$G1167,IF('All Statement of strategy (D)'!$C$1=RefData!$B$421,'All Statement of strategy (D)'!$H1167," "))))</f>
        <v xml:space="preserve"> </v>
      </c>
    </row>
    <row r="1168" spans="1:9">
      <c r="A1168" s="584" t="s">
        <v>2470</v>
      </c>
      <c r="B1168" s="594" t="s">
        <v>2415</v>
      </c>
      <c r="C1168" s="585" t="str">
        <f ca="1">'Reconciliation report'!$E$642</f>
        <v/>
      </c>
      <c r="E1168" s="585" t="str">
        <f ca="1">IF(AND('Reconciliation report'!$E$474&gt;=3,'Reconciliation report'!$E$473=RefData!$B$112),'All Statement of strategy (D)'!$B1168&amp;'All Statement of strategy (D)'!$C1168,"")</f>
        <v/>
      </c>
      <c r="F1168" s="585" t="str">
        <f ca="1">IF(AND('Reconciliation report'!$E$474&gt;=3,'Reconciliation report'!$E$473=RefData!$B$112,'Reconciliation report'!$E$12=RefData!$B$12),'All Statement of strategy (D)'!$B1168&amp;'All Statement of strategy (D)'!$C1168,"")</f>
        <v/>
      </c>
      <c r="G1168" s="585" t="str">
        <f>""</f>
        <v/>
      </c>
      <c r="H1168" s="585" t="str">
        <f>""</f>
        <v/>
      </c>
      <c r="I1168" s="595" t="str">
        <f ca="1">IF($C$1=RefData!$B$418,'All Statement of strategy (D)'!$E1168,IF('All Statement of strategy (D)'!$C$1=RefData!$B$419,'All Statement of strategy (D)'!$F1168,IF('All Statement of strategy (D)'!$C$1=RefData!$B$420,'All Statement of strategy (D)'!$G1168,IF('All Statement of strategy (D)'!$C$1=RefData!$B$421,'All Statement of strategy (D)'!$H1168," "))))</f>
        <v xml:space="preserve"> </v>
      </c>
    </row>
    <row r="1169" spans="1:9">
      <c r="A1169" s="584" t="s">
        <v>2471</v>
      </c>
      <c r="B1169" s="594" t="str">
        <f ca="1">IF('Reconciliation report'!$E$643=RefData!$B$140,LEFT('Reconciliation report'!$E$644,1000),"")</f>
        <v/>
      </c>
      <c r="E1169" s="585" t="str">
        <f ca="1">IF(AND('Reconciliation report'!$E$474&gt;=3,'Reconciliation report'!$E$473=RefData!$B$112),'All Statement of strategy (D)'!$B1169&amp;'All Statement of strategy (D)'!$C1169,"")</f>
        <v/>
      </c>
      <c r="F1169" s="585" t="str">
        <f ca="1">IF(AND('Reconciliation report'!$E$474&gt;=3,'Reconciliation report'!$E$473=RefData!$B$112,'Reconciliation report'!$E$12=RefData!$B$12),'All Statement of strategy (D)'!$B1169&amp;'All Statement of strategy (D)'!$C1169,"")</f>
        <v/>
      </c>
      <c r="G1169" s="585" t="str">
        <f>""</f>
        <v/>
      </c>
      <c r="H1169" s="585" t="str">
        <f>""</f>
        <v/>
      </c>
      <c r="I1169" s="595" t="str">
        <f ca="1">IF($C$1=RefData!$B$418,'All Statement of strategy (D)'!$E1169,IF('All Statement of strategy (D)'!$C$1=RefData!$B$419,'All Statement of strategy (D)'!$F1169,IF('All Statement of strategy (D)'!$C$1=RefData!$B$420,'All Statement of strategy (D)'!$G1169,IF('All Statement of strategy (D)'!$C$1=RefData!$B$421,'All Statement of strategy (D)'!$H1169," "))))</f>
        <v xml:space="preserve"> </v>
      </c>
    </row>
    <row r="1170" spans="1:9">
      <c r="A1170" s="584" t="s">
        <v>2471</v>
      </c>
      <c r="B1170" s="594" t="str">
        <f ca="1">IF('Reconciliation report'!$E$643=RefData!$B$140,MID('Reconciliation report'!$E$644,1001,1000),"")</f>
        <v/>
      </c>
      <c r="E1170" s="585" t="str">
        <f ca="1">IF(AND('Reconciliation report'!$E$474&gt;=3,'Reconciliation report'!$E$473=RefData!$B$112),'All Statement of strategy (D)'!$B1170&amp;'All Statement of strategy (D)'!$C1170,"")</f>
        <v/>
      </c>
      <c r="F1170" s="585" t="str">
        <f ca="1">IF(AND('Reconciliation report'!$E$474&gt;=3,'Reconciliation report'!$E$473=RefData!$B$112,'Reconciliation report'!$E$12=RefData!$B$12),'All Statement of strategy (D)'!$B1170&amp;'All Statement of strategy (D)'!$C1170,"")</f>
        <v/>
      </c>
      <c r="G1170" s="585" t="str">
        <f>""</f>
        <v/>
      </c>
      <c r="H1170" s="585" t="str">
        <f>""</f>
        <v/>
      </c>
      <c r="I1170" s="595" t="str">
        <f ca="1">IF($C$1=RefData!$B$418,'All Statement of strategy (D)'!$E1170,IF('All Statement of strategy (D)'!$C$1=RefData!$B$419,'All Statement of strategy (D)'!$F1170,IF('All Statement of strategy (D)'!$C$1=RefData!$B$420,'All Statement of strategy (D)'!$G1170,IF('All Statement of strategy (D)'!$C$1=RefData!$B$421,'All Statement of strategy (D)'!$H1170," "))))</f>
        <v xml:space="preserve"> </v>
      </c>
    </row>
    <row r="1171" spans="1:9">
      <c r="A1171" s="584" t="s">
        <v>2471</v>
      </c>
      <c r="B1171" s="594" t="str">
        <f ca="1">IF('Reconciliation report'!$E$643=RefData!$B$140,MID('Reconciliation report'!$E$644,2001,1000),"")</f>
        <v/>
      </c>
      <c r="E1171" s="585" t="str">
        <f ca="1">IF(AND('Reconciliation report'!$E$474&gt;=3,'Reconciliation report'!$E$473=RefData!$B$112),'All Statement of strategy (D)'!$B1171&amp;'All Statement of strategy (D)'!$C1171,"")</f>
        <v/>
      </c>
      <c r="F1171" s="585" t="str">
        <f ca="1">IF(AND('Reconciliation report'!$E$474&gt;=3,'Reconciliation report'!$E$473=RefData!$B$112,'Reconciliation report'!$E$12=RefData!$B$12),'All Statement of strategy (D)'!$B1171&amp;'All Statement of strategy (D)'!$C1171,"")</f>
        <v/>
      </c>
      <c r="G1171" s="585" t="str">
        <f>""</f>
        <v/>
      </c>
      <c r="H1171" s="585" t="str">
        <f>""</f>
        <v/>
      </c>
      <c r="I1171" s="595" t="str">
        <f ca="1">IF($C$1=RefData!$B$418,'All Statement of strategy (D)'!$E1171,IF('All Statement of strategy (D)'!$C$1=RefData!$B$419,'All Statement of strategy (D)'!$F1171,IF('All Statement of strategy (D)'!$C$1=RefData!$B$420,'All Statement of strategy (D)'!$G1171,IF('All Statement of strategy (D)'!$C$1=RefData!$B$421,'All Statement of strategy (D)'!$H1171," "))))</f>
        <v xml:space="preserve"> </v>
      </c>
    </row>
    <row r="1172" spans="1:9">
      <c r="A1172" s="584" t="s">
        <v>2471</v>
      </c>
      <c r="B1172" s="594" t="str">
        <f ca="1">IF('Reconciliation report'!$E$643=RefData!$B$140,MID('Reconciliation report'!$E$644,3001,1000),"")</f>
        <v/>
      </c>
      <c r="E1172" s="585" t="str">
        <f ca="1">IF(AND('Reconciliation report'!$E$474&gt;=3,'Reconciliation report'!$E$473=RefData!$B$112),'All Statement of strategy (D)'!$B1172&amp;'All Statement of strategy (D)'!$C1172,"")</f>
        <v/>
      </c>
      <c r="F1172" s="585" t="str">
        <f ca="1">IF(AND('Reconciliation report'!$E$474&gt;=3,'Reconciliation report'!$E$473=RefData!$B$112,'Reconciliation report'!$E$12=RefData!$B$12),'All Statement of strategy (D)'!$B1172&amp;'All Statement of strategy (D)'!$C1172,"")</f>
        <v/>
      </c>
      <c r="G1172" s="585" t="str">
        <f>""</f>
        <v/>
      </c>
      <c r="H1172" s="585" t="str">
        <f>""</f>
        <v/>
      </c>
      <c r="I1172" s="595" t="str">
        <f ca="1">IF($C$1=RefData!$B$418,'All Statement of strategy (D)'!$E1172,IF('All Statement of strategy (D)'!$C$1=RefData!$B$419,'All Statement of strategy (D)'!$F1172,IF('All Statement of strategy (D)'!$C$1=RefData!$B$420,'All Statement of strategy (D)'!$G1172,IF('All Statement of strategy (D)'!$C$1=RefData!$B$421,'All Statement of strategy (D)'!$H1172," "))))</f>
        <v xml:space="preserve"> </v>
      </c>
    </row>
    <row r="1173" spans="1:9">
      <c r="B1173" s="594" t="s">
        <v>2417</v>
      </c>
      <c r="C1173" s="615"/>
      <c r="E1173" s="585" t="str">
        <f ca="1">IF(AND('Reconciliation report'!$E$474&gt;=3,'Reconciliation report'!$E$473=RefData!$B$112),'All Statement of strategy (D)'!$B1173&amp;'All Statement of strategy (D)'!$C1173,"")</f>
        <v/>
      </c>
      <c r="F1173" s="585" t="str">
        <f ca="1">IF(AND('Reconciliation report'!$E$474&gt;=3,'Reconciliation report'!$E$473=RefData!$B$112,'Reconciliation report'!$E$12=RefData!$B$12),'All Statement of strategy (D)'!$B1173&amp;'All Statement of strategy (D)'!$C1173,"")</f>
        <v/>
      </c>
      <c r="G1173" s="585" t="str">
        <f>""</f>
        <v/>
      </c>
      <c r="H1173" s="585" t="str">
        <f>""</f>
        <v/>
      </c>
      <c r="I1173" s="595" t="str">
        <f ca="1">IF($C$1=RefData!$B$418,'All Statement of strategy (D)'!$E1173,IF('All Statement of strategy (D)'!$C$1=RefData!$B$419,'All Statement of strategy (D)'!$F1173,IF('All Statement of strategy (D)'!$C$1=RefData!$B$420,'All Statement of strategy (D)'!$G1173,IF('All Statement of strategy (D)'!$C$1=RefData!$B$421,'All Statement of strategy (D)'!$H1173," "))))</f>
        <v xml:space="preserve"> </v>
      </c>
    </row>
    <row r="1174" spans="1:9">
      <c r="A1174" s="584" t="s">
        <v>2472</v>
      </c>
      <c r="B1174" s="621" t="str">
        <f ca="1">B1173&amp;LEFT('Reconciliation report'!$E$645,1000)</f>
        <v xml:space="preserve">Triggers for termination: </v>
      </c>
      <c r="C1174" s="615"/>
      <c r="E1174" s="585" t="str">
        <f ca="1">IF(AND('Reconciliation report'!$E$474&gt;=3,'Reconciliation report'!$E$473=RefData!$B$112),'All Statement of strategy (D)'!$B1174&amp;'All Statement of strategy (D)'!$C1174,"")</f>
        <v/>
      </c>
      <c r="F1174" s="585" t="str">
        <f ca="1">IF(AND('Reconciliation report'!$E$474&gt;=3,'Reconciliation report'!$E$473=RefData!$B$112,'Reconciliation report'!$E$12=RefData!$B$12),'All Statement of strategy (D)'!$B1174&amp;'All Statement of strategy (D)'!$C1174,"")</f>
        <v/>
      </c>
      <c r="G1174" s="585" t="str">
        <f>""</f>
        <v/>
      </c>
      <c r="H1174" s="585" t="str">
        <f>""</f>
        <v/>
      </c>
      <c r="I1174" s="595" t="str">
        <f ca="1">IF($C$1=RefData!$B$418,'All Statement of strategy (D)'!$E1174,IF('All Statement of strategy (D)'!$C$1=RefData!$B$419,'All Statement of strategy (D)'!$F1174,IF('All Statement of strategy (D)'!$C$1=RefData!$B$420,'All Statement of strategy (D)'!$G1174,IF('All Statement of strategy (D)'!$C$1=RefData!$B$421,'All Statement of strategy (D)'!$H1174," "))))</f>
        <v xml:space="preserve"> </v>
      </c>
    </row>
    <row r="1175" spans="1:9">
      <c r="A1175" s="584" t="s">
        <v>2472</v>
      </c>
      <c r="B1175" s="621" t="str">
        <f ca="1">MID('Reconciliation report'!$E$645,1001,1000)</f>
        <v/>
      </c>
      <c r="C1175" s="615"/>
      <c r="E1175" s="585" t="str">
        <f ca="1">IF(AND('Reconciliation report'!$E$474&gt;=3,'Reconciliation report'!$E$473=RefData!$B$112),'All Statement of strategy (D)'!$B1175&amp;'All Statement of strategy (D)'!$C1175,"")</f>
        <v/>
      </c>
      <c r="F1175" s="585" t="str">
        <f ca="1">IF(AND('Reconciliation report'!$E$474&gt;=3,'Reconciliation report'!$E$473=RefData!$B$112,'Reconciliation report'!$E$12=RefData!$B$12),'All Statement of strategy (D)'!$B1175&amp;'All Statement of strategy (D)'!$C1175,"")</f>
        <v/>
      </c>
      <c r="G1175" s="585" t="str">
        <f>""</f>
        <v/>
      </c>
      <c r="H1175" s="585" t="str">
        <f>""</f>
        <v/>
      </c>
      <c r="I1175" s="595" t="str">
        <f ca="1">IF($C$1=RefData!$B$418,'All Statement of strategy (D)'!$E1175,IF('All Statement of strategy (D)'!$C$1=RefData!$B$419,'All Statement of strategy (D)'!$F1175,IF('All Statement of strategy (D)'!$C$1=RefData!$B$420,'All Statement of strategy (D)'!$G1175,IF('All Statement of strategy (D)'!$C$1=RefData!$B$421,'All Statement of strategy (D)'!$H1175," "))))</f>
        <v xml:space="preserve"> </v>
      </c>
    </row>
    <row r="1176" spans="1:9">
      <c r="A1176" s="584" t="s">
        <v>2472</v>
      </c>
      <c r="B1176" s="621" t="str">
        <f ca="1">MID('Reconciliation report'!$E$645,2001,1000)</f>
        <v/>
      </c>
      <c r="C1176" s="615"/>
      <c r="E1176" s="585" t="str">
        <f ca="1">IF(AND('Reconciliation report'!$E$474&gt;=3,'Reconciliation report'!$E$473=RefData!$B$112),'All Statement of strategy (D)'!$B1176&amp;'All Statement of strategy (D)'!$C1176,"")</f>
        <v/>
      </c>
      <c r="F1176" s="585" t="str">
        <f ca="1">IF(AND('Reconciliation report'!$E$474&gt;=3,'Reconciliation report'!$E$473=RefData!$B$112,'Reconciliation report'!$E$12=RefData!$B$12),'All Statement of strategy (D)'!$B1176&amp;'All Statement of strategy (D)'!$C1176,"")</f>
        <v/>
      </c>
      <c r="G1176" s="585" t="str">
        <f>""</f>
        <v/>
      </c>
      <c r="H1176" s="585" t="str">
        <f>""</f>
        <v/>
      </c>
      <c r="I1176" s="595" t="str">
        <f ca="1">IF($C$1=RefData!$B$418,'All Statement of strategy (D)'!$E1176,IF('All Statement of strategy (D)'!$C$1=RefData!$B$419,'All Statement of strategy (D)'!$F1176,IF('All Statement of strategy (D)'!$C$1=RefData!$B$420,'All Statement of strategy (D)'!$G1176,IF('All Statement of strategy (D)'!$C$1=RefData!$B$421,'All Statement of strategy (D)'!$H1176," "))))</f>
        <v xml:space="preserve"> </v>
      </c>
    </row>
    <row r="1177" spans="1:9" ht="16" thickBot="1">
      <c r="A1177" s="584" t="s">
        <v>2472</v>
      </c>
      <c r="B1177" s="622" t="str">
        <f ca="1">MID('Reconciliation report'!$E$645,3001,1000)</f>
        <v/>
      </c>
      <c r="C1177" s="625"/>
      <c r="D1177" s="598"/>
      <c r="E1177" s="598" t="str">
        <f ca="1">IF(AND('Reconciliation report'!$E$474&gt;=3,'Reconciliation report'!$E$473=RefData!$B$112),'All Statement of strategy (D)'!$B1177&amp;'All Statement of strategy (D)'!$C1177,"")</f>
        <v/>
      </c>
      <c r="F1177" s="598" t="str">
        <f ca="1">IF(AND('Reconciliation report'!$E$474&gt;=3,'Reconciliation report'!$E$473=RefData!$B$112,'Reconciliation report'!$E$12=RefData!$B$12),'All Statement of strategy (D)'!$B1177&amp;'All Statement of strategy (D)'!$C1177,"")</f>
        <v/>
      </c>
      <c r="G1177" s="598" t="str">
        <f>""</f>
        <v/>
      </c>
      <c r="H1177" s="598" t="str">
        <f>""</f>
        <v/>
      </c>
      <c r="I1177" s="599" t="str">
        <f ca="1">IF($C$1=RefData!$B$418,'All Statement of strategy (D)'!$E1177,IF('All Statement of strategy (D)'!$C$1=RefData!$B$419,'All Statement of strategy (D)'!$F1177,IF('All Statement of strategy (D)'!$C$1=RefData!$B$420,'All Statement of strategy (D)'!$G1177,IF('All Statement of strategy (D)'!$C$1=RefData!$B$421,'All Statement of strategy (D)'!$H1177," "))))</f>
        <v xml:space="preserve"> </v>
      </c>
    </row>
    <row r="1178" spans="1:9">
      <c r="B1178" s="594" t="s">
        <v>2473</v>
      </c>
      <c r="C1178" s="615"/>
      <c r="E1178" s="585" t="str">
        <f ca="1">IF(AND('Reconciliation report'!$E$474&gt;=4,'Reconciliation report'!$E$473=RefData!$B$112),'All Statement of strategy (D)'!$B1178&amp;'All Statement of strategy (D)'!$C1178,"")</f>
        <v/>
      </c>
      <c r="F1178" s="585" t="str">
        <f ca="1">IF(AND('Reconciliation report'!$E$474&gt;=4,'Reconciliation report'!$E$473=RefData!$B$112,'Reconciliation report'!$E$12=RefData!$B$12),'All Statement of strategy (D)'!$B1178&amp;'All Statement of strategy (D)'!$C1178,"")</f>
        <v/>
      </c>
      <c r="G1178" s="585" t="str">
        <f ca="1">IF(AND('Reconciliation report'!$E$474&gt;=4,'Reconciliation report'!$E$473=RefData!$B$112,'Reconciliation report'!$E$9=RefData!$B$5,'Reconciliation report'!$E$13=RefData!$B$14),'All Statement of strategy (D)'!$B1178&amp;'All Statement of strategy (D)'!$C1178,"")</f>
        <v/>
      </c>
      <c r="H1178" s="585" t="str">
        <f ca="1">IF(AND('Reconciliation report'!$E$474&gt;=4,'Reconciliation report'!$E$473=RefData!$B$112,'Reconciliation report'!$E$9=RefData!$B$5,'Reconciliation report'!$E$13=RefData!$B$14),'All Statement of strategy (D)'!$B1178&amp;'All Statement of strategy (D)'!$C1178,"")</f>
        <v/>
      </c>
      <c r="I1178" s="595" t="str">
        <f ca="1">IF($C$1=RefData!$B$418,'All Statement of strategy (D)'!$E1178,IF('All Statement of strategy (D)'!$C$1=RefData!$B$419,'All Statement of strategy (D)'!$F1178,IF('All Statement of strategy (D)'!$C$1=RefData!$B$420,'All Statement of strategy (D)'!$G1178,IF('All Statement of strategy (D)'!$C$1=RefData!$B$421,'All Statement of strategy (D)'!$H1178," "))))</f>
        <v xml:space="preserve"> </v>
      </c>
    </row>
    <row r="1179" spans="1:9">
      <c r="A1179" s="584" t="s">
        <v>2474</v>
      </c>
      <c r="B1179" s="594" t="s">
        <v>2381</v>
      </c>
      <c r="C1179" s="615" t="str">
        <f ca="1">'Reconciliation report'!$E$646</f>
        <v/>
      </c>
      <c r="E1179" s="585" t="str">
        <f ca="1">IF(AND('Reconciliation report'!$E$474&gt;=4,'Reconciliation report'!$E$473=RefData!$B$112),'All Statement of strategy (D)'!$B1179&amp;'All Statement of strategy (D)'!$C1179,"")</f>
        <v/>
      </c>
      <c r="F1179" s="585" t="str">
        <f ca="1">IF(AND('Reconciliation report'!$E$474&gt;=4,'Reconciliation report'!$E$473=RefData!$B$112,'Reconciliation report'!$E$12=RefData!$B$12),'All Statement of strategy (D)'!$B1179&amp;'All Statement of strategy (D)'!$C1179,"")</f>
        <v/>
      </c>
      <c r="G1179" s="585" t="str">
        <f ca="1">IF(AND('Reconciliation report'!$E$474&gt;=4,'Reconciliation report'!$E$473=RefData!$B$112,'Reconciliation report'!$E$9=RefData!$B$5,'Reconciliation report'!$E$13=RefData!$B$14),'All Statement of strategy (D)'!$B1179&amp;'All Statement of strategy (D)'!$C1179,"")</f>
        <v/>
      </c>
      <c r="H1179" s="585" t="str">
        <f ca="1">IF(AND('Reconciliation report'!$E$474&gt;=4,'Reconciliation report'!$E$473=RefData!$B$112,'Reconciliation report'!$E$9=RefData!$B$5,'Reconciliation report'!$E$13=RefData!$B$14),'All Statement of strategy (D)'!$B1179&amp;'All Statement of strategy (D)'!$C1179,"")</f>
        <v/>
      </c>
      <c r="I1179" s="595" t="str">
        <f ca="1">IF($C$1=RefData!$B$418,'All Statement of strategy (D)'!$E1179,IF('All Statement of strategy (D)'!$C$1=RefData!$B$419,'All Statement of strategy (D)'!$F1179,IF('All Statement of strategy (D)'!$C$1=RefData!$B$420,'All Statement of strategy (D)'!$G1179,IF('All Statement of strategy (D)'!$C$1=RefData!$B$421,'All Statement of strategy (D)'!$H1179," "))))</f>
        <v xml:space="preserve"> </v>
      </c>
    </row>
    <row r="1180" spans="1:9">
      <c r="A1180" s="584" t="s">
        <v>2475</v>
      </c>
      <c r="B1180" s="594" t="s">
        <v>2383</v>
      </c>
      <c r="C1180" s="585" t="str">
        <f ca="1">IF(AND('Reconciliation report'!$E$647="",'Reconciliation report'!$E$648=""),"",IF('Reconciliation report'!$E$647="","charity number: "&amp;'Reconciliation report'!$E$648,"companies house number: "&amp;'Reconciliation report'!$E$647))</f>
        <v/>
      </c>
      <c r="E1180" s="585" t="str">
        <f ca="1">IF(AND($C1180&lt;&gt;"",'Reconciliation report'!$E$474&gt;=4,'Reconciliation report'!$E$473=RefData!$B$112),'All Statement of strategy (D)'!$B1180&amp;'All Statement of strategy (D)'!$C1180,"")</f>
        <v/>
      </c>
      <c r="F1180" s="585" t="str">
        <f ca="1">IF(AND($C1180&lt;&gt;"",'Reconciliation report'!$E$474&gt;=4,'Reconciliation report'!$E$473=RefData!$B$112,'Reconciliation report'!$E$12=RefData!$B$12),'All Statement of strategy (D)'!$B1180&amp;'All Statement of strategy (D)'!$C1180,"")</f>
        <v/>
      </c>
      <c r="G1180" s="585" t="str">
        <f ca="1">IF(AND($C1180&lt;&gt;"",'Reconciliation report'!$E$474&gt;=4,'Reconciliation report'!$E$473=RefData!$B$112,'Reconciliation report'!$E$9=RefData!$B$5,'Reconciliation report'!$E$13=RefData!$B$14),'All Statement of strategy (D)'!$B1180&amp;'All Statement of strategy (D)'!$C1180,"")</f>
        <v/>
      </c>
      <c r="H1180" s="585" t="str">
        <f ca="1">IF(AND($C1180&lt;&gt;"",'Reconciliation report'!$E$474&gt;=4,'Reconciliation report'!$E$473=RefData!$B$112,'Reconciliation report'!$E$9=RefData!$B$5,'Reconciliation report'!$E$13=RefData!$B$14),'All Statement of strategy (D)'!$B1180&amp;'All Statement of strategy (D)'!$C1180,"")</f>
        <v/>
      </c>
      <c r="I1180" s="595" t="str">
        <f ca="1">IF($C$1=RefData!$B$418,'All Statement of strategy (D)'!$E1180,IF('All Statement of strategy (D)'!$C$1=RefData!$B$419,'All Statement of strategy (D)'!$F1180,IF('All Statement of strategy (D)'!$C$1=RefData!$B$420,'All Statement of strategy (D)'!$G1180,IF('All Statement of strategy (D)'!$C$1=RefData!$B$421,'All Statement of strategy (D)'!$H1180," "))))</f>
        <v xml:space="preserve"> </v>
      </c>
    </row>
    <row r="1181" spans="1:9">
      <c r="A1181" s="584" t="s">
        <v>2476</v>
      </c>
      <c r="B1181" s="594" t="s">
        <v>1858</v>
      </c>
      <c r="C1181" s="615" t="str">
        <f ca="1">'Reconciliation report'!$E$649</f>
        <v/>
      </c>
      <c r="E1181" s="585" t="str">
        <f ca="1">IF(AND($C1181&lt;&gt;"",'Reconciliation report'!$E$474&gt;=4,'Reconciliation report'!$E$473=RefData!$B$112),'All Statement of strategy (D)'!$B1181&amp;'All Statement of strategy (D)'!$C1181,"")</f>
        <v/>
      </c>
      <c r="F1181" s="585" t="str">
        <f ca="1">IF(AND($C1181&lt;&gt;"",'Reconciliation report'!$E$474&gt;=4,'Reconciliation report'!$E$473=RefData!$B$112,'Reconciliation report'!$E$12=RefData!$B$12),'All Statement of strategy (D)'!$B1181&amp;'All Statement of strategy (D)'!$C1181,"")</f>
        <v/>
      </c>
      <c r="G1181" s="585" t="str">
        <f ca="1">IF(AND($C1181&lt;&gt;"",'Reconciliation report'!$E$474&gt;=4,'Reconciliation report'!$E$473=RefData!$B$112,'Reconciliation report'!$E$9=RefData!$B$5,'Reconciliation report'!$E$13=RefData!$B$14),'All Statement of strategy (D)'!$B1181&amp;'All Statement of strategy (D)'!$C1181,"")</f>
        <v/>
      </c>
      <c r="H1181" s="585" t="str">
        <f ca="1">IF(AND($C1181&lt;&gt;"",'Reconciliation report'!$E$474&gt;=4,'Reconciliation report'!$E$473=RefData!$B$112,'Reconciliation report'!$E$9=RefData!$B$5,'Reconciliation report'!$E$13=RefData!$B$14),'All Statement of strategy (D)'!$B1181&amp;'All Statement of strategy (D)'!$C1181,"")</f>
        <v/>
      </c>
      <c r="I1181" s="595" t="str">
        <f ca="1">IF($C$1=RefData!$B$418,'All Statement of strategy (D)'!$E1181,IF('All Statement of strategy (D)'!$C$1=RefData!$B$419,'All Statement of strategy (D)'!$F1181,IF('All Statement of strategy (D)'!$C$1=RefData!$B$420,'All Statement of strategy (D)'!$G1181,IF('All Statement of strategy (D)'!$C$1=RefData!$B$421,'All Statement of strategy (D)'!$H1181," "))))</f>
        <v xml:space="preserve"> </v>
      </c>
    </row>
    <row r="1182" spans="1:9">
      <c r="A1182" s="584" t="s">
        <v>2477</v>
      </c>
      <c r="B1182" s="594" t="s">
        <v>1860</v>
      </c>
      <c r="C1182" s="615" t="str">
        <f ca="1">'Reconciliation report'!$E$650</f>
        <v/>
      </c>
      <c r="E1182" s="585" t="str">
        <f ca="1">IF(AND($C1182&lt;&gt;"",'Reconciliation report'!$E$474&gt;=4,'Reconciliation report'!$E$473=RefData!$B$112),'All Statement of strategy (D)'!$B1182&amp;'All Statement of strategy (D)'!$C1182,"")</f>
        <v/>
      </c>
      <c r="F1182" s="585" t="str">
        <f ca="1">IF(AND($C1182&lt;&gt;"",'Reconciliation report'!$E$474&gt;=4,'Reconciliation report'!$E$473=RefData!$B$112,'Reconciliation report'!$E$12=RefData!$B$12),'All Statement of strategy (D)'!$B1182&amp;'All Statement of strategy (D)'!$C1182,"")</f>
        <v/>
      </c>
      <c r="G1182" s="585" t="str">
        <f ca="1">IF(AND($C1182&lt;&gt;"",'Reconciliation report'!$E$474&gt;=4,'Reconciliation report'!$E$473=RefData!$B$112,'Reconciliation report'!$E$9=RefData!$B$5,'Reconciliation report'!$E$13=RefData!$B$14),'All Statement of strategy (D)'!$B1182&amp;'All Statement of strategy (D)'!$C1182,"")</f>
        <v/>
      </c>
      <c r="H1182" s="585" t="str">
        <f ca="1">IF(AND($C1182&lt;&gt;"",'Reconciliation report'!$E$474&gt;=4,'Reconciliation report'!$E$473=RefData!$B$112,'Reconciliation report'!$E$9=RefData!$B$5,'Reconciliation report'!$E$13=RefData!$B$14),'All Statement of strategy (D)'!$B1182&amp;'All Statement of strategy (D)'!$C1182,"")</f>
        <v/>
      </c>
      <c r="I1182" s="595" t="str">
        <f ca="1">IF($C$1=RefData!$B$418,'All Statement of strategy (D)'!$E1182,IF('All Statement of strategy (D)'!$C$1=RefData!$B$419,'All Statement of strategy (D)'!$F1182,IF('All Statement of strategy (D)'!$C$1=RefData!$B$420,'All Statement of strategy (D)'!$G1182,IF('All Statement of strategy (D)'!$C$1=RefData!$B$421,'All Statement of strategy (D)'!$H1182," "))))</f>
        <v xml:space="preserve"> </v>
      </c>
    </row>
    <row r="1183" spans="1:9">
      <c r="A1183" s="584" t="s">
        <v>2478</v>
      </c>
      <c r="B1183" s="594" t="s">
        <v>1862</v>
      </c>
      <c r="C1183" s="615" t="str">
        <f ca="1">'Reconciliation report'!$E$651</f>
        <v/>
      </c>
      <c r="E1183" s="585" t="str">
        <f ca="1">IF(AND($C1183&lt;&gt;"",'Reconciliation report'!$E$474&gt;=4,'Reconciliation report'!$E$473=RefData!$B$112),'All Statement of strategy (D)'!$B1183&amp;'All Statement of strategy (D)'!$C1183,"")</f>
        <v/>
      </c>
      <c r="F1183" s="585" t="str">
        <f ca="1">IF(AND($C1183&lt;&gt;"",'Reconciliation report'!$E$474&gt;=4,'Reconciliation report'!$E$473=RefData!$B$112,'Reconciliation report'!$E$12=RefData!$B$12),'All Statement of strategy (D)'!$B1183&amp;'All Statement of strategy (D)'!$C1183,"")</f>
        <v/>
      </c>
      <c r="G1183" s="585" t="str">
        <f ca="1">IF(AND($C1183&lt;&gt;"",'Reconciliation report'!$E$474&gt;=4,'Reconciliation report'!$E$473=RefData!$B$112,'Reconciliation report'!$E$9=RefData!$B$5,'Reconciliation report'!$E$13=RefData!$B$14),'All Statement of strategy (D)'!$B1183&amp;'All Statement of strategy (D)'!$C1183,"")</f>
        <v/>
      </c>
      <c r="H1183" s="585" t="str">
        <f ca="1">IF(AND($C1183&lt;&gt;"",'Reconciliation report'!$E$474&gt;=4,'Reconciliation report'!$E$473=RefData!$B$112,'Reconciliation report'!$E$9=RefData!$B$5,'Reconciliation report'!$E$13=RefData!$B$14),'All Statement of strategy (D)'!$B1183&amp;'All Statement of strategy (D)'!$C1183,"")</f>
        <v/>
      </c>
      <c r="I1183" s="595" t="str">
        <f ca="1">IF($C$1=RefData!$B$418,'All Statement of strategy (D)'!$E1183,IF('All Statement of strategy (D)'!$C$1=RefData!$B$419,'All Statement of strategy (D)'!$F1183,IF('All Statement of strategy (D)'!$C$1=RefData!$B$420,'All Statement of strategy (D)'!$G1183,IF('All Statement of strategy (D)'!$C$1=RefData!$B$421,'All Statement of strategy (D)'!$H1183," "))))</f>
        <v xml:space="preserve"> </v>
      </c>
    </row>
    <row r="1184" spans="1:9">
      <c r="A1184" s="584" t="s">
        <v>2479</v>
      </c>
      <c r="B1184" s="594" t="s">
        <v>2388</v>
      </c>
      <c r="C1184" s="615" t="str">
        <f ca="1">'Reconciliation report'!$E$652</f>
        <v/>
      </c>
      <c r="E1184" s="585" t="str">
        <f ca="1">IF(AND($C1184&lt;&gt;"",'Reconciliation report'!$E$474&gt;=4,'Reconciliation report'!$E$473=RefData!$B$112),'All Statement of strategy (D)'!$B1184&amp;'All Statement of strategy (D)'!$C1184,"")</f>
        <v/>
      </c>
      <c r="F1184" s="585" t="str">
        <f ca="1">IF(AND($C1184&lt;&gt;"",'Reconciliation report'!$E$474&gt;=4,'Reconciliation report'!$E$473=RefData!$B$112,'Reconciliation report'!$E$12=RefData!$B$12),'All Statement of strategy (D)'!$B1184&amp;'All Statement of strategy (D)'!$C1184,"")</f>
        <v/>
      </c>
      <c r="G1184" s="585" t="str">
        <f ca="1">IF(AND($C1184&lt;&gt;"",'Reconciliation report'!$E$474&gt;=4,'Reconciliation report'!$E$473=RefData!$B$112,'Reconciliation report'!$E$9=RefData!$B$5,'Reconciliation report'!$E$13=RefData!$B$14),'All Statement of strategy (D)'!$B1184&amp;'All Statement of strategy (D)'!$C1184,"")</f>
        <v/>
      </c>
      <c r="H1184" s="585" t="str">
        <f ca="1">IF(AND($C1184&lt;&gt;"",'Reconciliation report'!$E$474&gt;=4,'Reconciliation report'!$E$473=RefData!$B$112,'Reconciliation report'!$E$9=RefData!$B$5,'Reconciliation report'!$E$13=RefData!$B$14),'All Statement of strategy (D)'!$B1184&amp;'All Statement of strategy (D)'!$C1184,"")</f>
        <v/>
      </c>
      <c r="I1184" s="595" t="str">
        <f ca="1">IF($C$1=RefData!$B$418,'All Statement of strategy (D)'!$E1184,IF('All Statement of strategy (D)'!$C$1=RefData!$B$419,'All Statement of strategy (D)'!$F1184,IF('All Statement of strategy (D)'!$C$1=RefData!$B$420,'All Statement of strategy (D)'!$G1184,IF('All Statement of strategy (D)'!$C$1=RefData!$B$421,'All Statement of strategy (D)'!$H1184," "))))</f>
        <v xml:space="preserve"> </v>
      </c>
    </row>
    <row r="1185" spans="1:9">
      <c r="A1185" s="584" t="s">
        <v>2480</v>
      </c>
      <c r="B1185" s="594" t="s">
        <v>1866</v>
      </c>
      <c r="C1185" s="615" t="str">
        <f ca="1">'Reconciliation report'!$E$653</f>
        <v/>
      </c>
      <c r="E1185" s="585" t="str">
        <f ca="1">IF(AND($C1185&lt;&gt;"",'Reconciliation report'!$E$474&gt;=4,'Reconciliation report'!$E$473=RefData!$B$112),'All Statement of strategy (D)'!$B1185&amp;'All Statement of strategy (D)'!$C1185,"")</f>
        <v/>
      </c>
      <c r="F1185" s="585" t="str">
        <f ca="1">IF(AND($C1185&lt;&gt;"",'Reconciliation report'!$E$474&gt;=4,'Reconciliation report'!$E$473=RefData!$B$112,'Reconciliation report'!$E$12=RefData!$B$12),'All Statement of strategy (D)'!$B1185&amp;'All Statement of strategy (D)'!$C1185,"")</f>
        <v/>
      </c>
      <c r="G1185" s="585" t="str">
        <f ca="1">IF(AND($C1185&lt;&gt;"",'Reconciliation report'!$E$474&gt;=4,'Reconciliation report'!$E$473=RefData!$B$112,'Reconciliation report'!$E$9=RefData!$B$5,'Reconciliation report'!$E$13=RefData!$B$14),'All Statement of strategy (D)'!$B1185&amp;'All Statement of strategy (D)'!$C1185,"")</f>
        <v/>
      </c>
      <c r="H1185" s="585" t="str">
        <f ca="1">IF(AND($C1185&lt;&gt;"",'Reconciliation report'!$E$474&gt;=4,'Reconciliation report'!$E$473=RefData!$B$112,'Reconciliation report'!$E$9=RefData!$B$5,'Reconciliation report'!$E$13=RefData!$B$14),'All Statement of strategy (D)'!$B1185&amp;'All Statement of strategy (D)'!$C1185,"")</f>
        <v/>
      </c>
      <c r="I1185" s="595" t="str">
        <f ca="1">IF($C$1=RefData!$B$418,'All Statement of strategy (D)'!$E1185,IF('All Statement of strategy (D)'!$C$1=RefData!$B$419,'All Statement of strategy (D)'!$F1185,IF('All Statement of strategy (D)'!$C$1=RefData!$B$420,'All Statement of strategy (D)'!$G1185,IF('All Statement of strategy (D)'!$C$1=RefData!$B$421,'All Statement of strategy (D)'!$H1185," "))))</f>
        <v xml:space="preserve"> </v>
      </c>
    </row>
    <row r="1186" spans="1:9">
      <c r="A1186" s="584" t="s">
        <v>2481</v>
      </c>
      <c r="B1186" s="594" t="s">
        <v>1868</v>
      </c>
      <c r="C1186" s="615" t="str">
        <f ca="1">'Reconciliation report'!$E$654</f>
        <v/>
      </c>
      <c r="E1186" s="585" t="str">
        <f ca="1">IF(AND($C1186&lt;&gt;"",'Reconciliation report'!$E$474&gt;=4,'Reconciliation report'!$E$473=RefData!$B$112),'All Statement of strategy (D)'!$B1186&amp;'All Statement of strategy (D)'!$C1186,"")</f>
        <v/>
      </c>
      <c r="F1186" s="585" t="str">
        <f ca="1">IF(AND($C1186&lt;&gt;"",'Reconciliation report'!$E$474&gt;=4,'Reconciliation report'!$E$473=RefData!$B$112,'Reconciliation report'!$E$12=RefData!$B$12),'All Statement of strategy (D)'!$B1186&amp;'All Statement of strategy (D)'!$C1186,"")</f>
        <v/>
      </c>
      <c r="G1186" s="585" t="str">
        <f ca="1">IF(AND($C1186&lt;&gt;"",'Reconciliation report'!$E$474&gt;=4,'Reconciliation report'!$E$473=RefData!$B$112,'Reconciliation report'!$E$9=RefData!$B$5,'Reconciliation report'!$E$13=RefData!$B$14),'All Statement of strategy (D)'!$B1186&amp;'All Statement of strategy (D)'!$C1186,"")</f>
        <v/>
      </c>
      <c r="H1186" s="585" t="str">
        <f ca="1">IF(AND($C1186&lt;&gt;"",'Reconciliation report'!$E$474&gt;=4,'Reconciliation report'!$E$473=RefData!$B$112,'Reconciliation report'!$E$9=RefData!$B$5,'Reconciliation report'!$E$13=RefData!$B$14),'All Statement of strategy (D)'!$B1186&amp;'All Statement of strategy (D)'!$C1186,"")</f>
        <v/>
      </c>
      <c r="I1186" s="595" t="str">
        <f ca="1">IF($C$1=RefData!$B$418,'All Statement of strategy (D)'!$E1186,IF('All Statement of strategy (D)'!$C$1=RefData!$B$419,'All Statement of strategy (D)'!$F1186,IF('All Statement of strategy (D)'!$C$1=RefData!$B$420,'All Statement of strategy (D)'!$G1186,IF('All Statement of strategy (D)'!$C$1=RefData!$B$421,'All Statement of strategy (D)'!$H1186," "))))</f>
        <v xml:space="preserve"> </v>
      </c>
    </row>
    <row r="1187" spans="1:9">
      <c r="A1187" s="584" t="s">
        <v>2482</v>
      </c>
      <c r="B1187" s="594" t="s">
        <v>1870</v>
      </c>
      <c r="C1187" s="615" t="str">
        <f ca="1">'Reconciliation report'!$E$655</f>
        <v/>
      </c>
      <c r="E1187" s="585" t="str">
        <f ca="1">IF(AND($C1187&lt;&gt;"",'Reconciliation report'!$E$474&gt;=4,'Reconciliation report'!$E$473=RefData!$B$112),'All Statement of strategy (D)'!$B1187&amp;'All Statement of strategy (D)'!$C1187,"")</f>
        <v/>
      </c>
      <c r="F1187" s="585" t="str">
        <f ca="1">IF(AND($C1187&lt;&gt;"",'Reconciliation report'!$E$474&gt;=4,'Reconciliation report'!$E$473=RefData!$B$112,'Reconciliation report'!$E$12=RefData!$B$12),'All Statement of strategy (D)'!$B1187&amp;'All Statement of strategy (D)'!$C1187,"")</f>
        <v/>
      </c>
      <c r="G1187" s="585" t="str">
        <f ca="1">IF(AND($C1187&lt;&gt;"",'Reconciliation report'!$E$474&gt;=4,'Reconciliation report'!$E$473=RefData!$B$112,'Reconciliation report'!$E$9=RefData!$B$5,'Reconciliation report'!$E$13=RefData!$B$14),'All Statement of strategy (D)'!$B1187&amp;'All Statement of strategy (D)'!$C1187,"")</f>
        <v/>
      </c>
      <c r="H1187" s="585" t="str">
        <f ca="1">IF(AND($C1187&lt;&gt;"",'Reconciliation report'!$E$474&gt;=4,'Reconciliation report'!$E$473=RefData!$B$112,'Reconciliation report'!$E$9=RefData!$B$5,'Reconciliation report'!$E$13=RefData!$B$14),'All Statement of strategy (D)'!$B1187&amp;'All Statement of strategy (D)'!$C1187,"")</f>
        <v/>
      </c>
      <c r="I1187" s="595" t="str">
        <f ca="1">IF($C$1=RefData!$B$418,'All Statement of strategy (D)'!$E1187,IF('All Statement of strategy (D)'!$C$1=RefData!$B$419,'All Statement of strategy (D)'!$F1187,IF('All Statement of strategy (D)'!$C$1=RefData!$B$420,'All Statement of strategy (D)'!$G1187,IF('All Statement of strategy (D)'!$C$1=RefData!$B$421,'All Statement of strategy (D)'!$H1187," "))))</f>
        <v xml:space="preserve"> </v>
      </c>
    </row>
    <row r="1188" spans="1:9">
      <c r="A1188" s="584" t="s">
        <v>2483</v>
      </c>
      <c r="B1188" s="594" t="s">
        <v>2393</v>
      </c>
      <c r="C1188" s="615" t="str">
        <f ca="1">IF('Reconciliation report'!$E$656=RefData!$B$124,"Yes",IF('Reconciliation report'!$E$656=RefData!$B$125,"No",""))</f>
        <v/>
      </c>
      <c r="E1188" s="585" t="str">
        <f ca="1">IF(AND('Reconciliation report'!$E$474&gt;=4,'Reconciliation report'!$E$473=RefData!$B$112),'All Statement of strategy (D)'!$B1188&amp;'All Statement of strategy (D)'!$C1188,"")</f>
        <v/>
      </c>
      <c r="F1188" s="585" t="str">
        <f ca="1">IF(AND('Reconciliation report'!$E$474&gt;=4,'Reconciliation report'!$E$473=RefData!$B$112,'Reconciliation report'!$E$12=RefData!$B$12),'All Statement of strategy (D)'!$B1188&amp;'All Statement of strategy (D)'!$C1188,"")</f>
        <v/>
      </c>
      <c r="G1188" s="585" t="str">
        <f>""</f>
        <v/>
      </c>
      <c r="H1188" s="585" t="str">
        <f>""</f>
        <v/>
      </c>
      <c r="I1188" s="595" t="str">
        <f ca="1">IF($C$1=RefData!$B$418,'All Statement of strategy (D)'!$E1188,IF('All Statement of strategy (D)'!$C$1=RefData!$B$419,'All Statement of strategy (D)'!$F1188,IF('All Statement of strategy (D)'!$C$1=RefData!$B$420,'All Statement of strategy (D)'!$G1188,IF('All Statement of strategy (D)'!$C$1=RefData!$B$421,'All Statement of strategy (D)'!$H1188," "))))</f>
        <v xml:space="preserve"> </v>
      </c>
    </row>
    <row r="1189" spans="1:9">
      <c r="B1189" s="594" t="s">
        <v>2484</v>
      </c>
      <c r="C1189" s="615"/>
      <c r="E1189" s="585" t="str">
        <f ca="1">IF(AND('Reconciliation report'!$E$474&gt;=4,'Reconciliation report'!$E$473=RefData!$B$112),'All Statement of strategy (D)'!$B1189&amp;'All Statement of strategy (D)'!$C1189,"")</f>
        <v/>
      </c>
      <c r="F1189" s="585" t="str">
        <f ca="1">IF(AND('Reconciliation report'!$E$474&gt;=4,'Reconciliation report'!$E$473=RefData!$B$112,'Reconciliation report'!$E$12=RefData!$B$12),'All Statement of strategy (D)'!$B1189&amp;'All Statement of strategy (D)'!$C1189,"")</f>
        <v/>
      </c>
      <c r="G1189" s="585" t="str">
        <f ca="1">IF(AND('Reconciliation report'!$E$474&gt;=4,'Reconciliation report'!$E$473=RefData!$B$112,'Reconciliation report'!$E$9=RefData!$B$5,'Reconciliation report'!$E$13=RefData!$B$14),'All Statement of strategy (D)'!$B1189&amp;'All Statement of strategy (D)'!$C1189,"")</f>
        <v/>
      </c>
      <c r="H1189" s="585" t="str">
        <f ca="1">IF(AND('Reconciliation report'!$E$474&gt;=4,'Reconciliation report'!$E$473=RefData!$B$112,'Reconciliation report'!$E$9=RefData!$B$5,'Reconciliation report'!$E$13=RefData!$B$14),'All Statement of strategy (D)'!$B1189&amp;'All Statement of strategy (D)'!$C1189,"")</f>
        <v/>
      </c>
      <c r="I1189" s="595" t="str">
        <f ca="1">IF($C$1=RefData!$B$418,'All Statement of strategy (D)'!$E1189,IF('All Statement of strategy (D)'!$C$1=RefData!$B$419,'All Statement of strategy (D)'!$F1189,IF('All Statement of strategy (D)'!$C$1=RefData!$B$420,'All Statement of strategy (D)'!$G1189,IF('All Statement of strategy (D)'!$C$1=RefData!$B$421,'All Statement of strategy (D)'!$H1189," "))))</f>
        <v xml:space="preserve"> </v>
      </c>
    </row>
    <row r="1190" spans="1:9">
      <c r="A1190" s="584" t="s">
        <v>2485</v>
      </c>
      <c r="B1190" s="594" t="str">
        <f ca="1">"Type of guarantee: "&amp;IF('Reconciliation report'!$E$657=RefData!$B$129,"",'Reconciliation report'!$E$657)</f>
        <v xml:space="preserve">Type of guarantee: </v>
      </c>
      <c r="D1190" s="624"/>
      <c r="E1190" s="585" t="str">
        <f ca="1">IF(AND('Reconciliation report'!$E$474&gt;=4,'Reconciliation report'!$E$473=RefData!$B$112),'All Statement of strategy (D)'!$B1190&amp;'All Statement of strategy (D)'!$C1190,"")</f>
        <v/>
      </c>
      <c r="F1190" s="585" t="str">
        <f ca="1">IF(AND('Reconciliation report'!$E$474&gt;=4,'Reconciliation report'!$E$473=RefData!$B$112,'Reconciliation report'!$E$12=RefData!$B$12),'All Statement of strategy (D)'!$B1190&amp;'All Statement of strategy (D)'!$C1190,"")</f>
        <v/>
      </c>
      <c r="G1190" s="585" t="str">
        <f ca="1">IF(AND('Reconciliation report'!$E$474&gt;=4,'Reconciliation report'!$E$473=RefData!$B$112,'Reconciliation report'!$E$9=RefData!$B$5,'Reconciliation report'!$E$13=RefData!$B$14),'All Statement of strategy (D)'!$B1190&amp;'All Statement of strategy (D)'!$C1190,"")</f>
        <v/>
      </c>
      <c r="H1190" s="585" t="str">
        <f ca="1">IF(AND('Reconciliation report'!$E$474&gt;=4,'Reconciliation report'!$E$473=RefData!$B$112,'Reconciliation report'!$E$9=RefData!$B$5,'Reconciliation report'!$E$13=RefData!$B$14),'All Statement of strategy (D)'!$B1190&amp;'All Statement of strategy (D)'!$C1190,"")</f>
        <v/>
      </c>
      <c r="I1190" s="595" t="str">
        <f ca="1">IF($C$1=RefData!$B$418,'All Statement of strategy (D)'!$E1190,IF('All Statement of strategy (D)'!$C$1=RefData!$B$419,'All Statement of strategy (D)'!$F1190,IF('All Statement of strategy (D)'!$C$1=RefData!$B$420,'All Statement of strategy (D)'!$G1190,IF('All Statement of strategy (D)'!$C$1=RefData!$B$421,'All Statement of strategy (D)'!$H1190," "))))</f>
        <v xml:space="preserve"> </v>
      </c>
    </row>
    <row r="1191" spans="1:9">
      <c r="A1191" s="584" t="s">
        <v>2486</v>
      </c>
      <c r="B1191" s="594" t="str">
        <f ca="1">B1190&amp;IF('Reconciliation report'!$E$657=RefData!$B$129,LEFT('Reconciliation report'!$E$658,1000),"")</f>
        <v xml:space="preserve">Type of guarantee: </v>
      </c>
      <c r="D1191" s="624"/>
      <c r="E1191" s="585" t="str">
        <f ca="1">IF(AND('Reconciliation report'!$E$474&gt;=4,'Reconciliation report'!$E$473=RefData!$B$112),'All Statement of strategy (D)'!$B1191&amp;'All Statement of strategy (D)'!$C1191,"")</f>
        <v/>
      </c>
      <c r="F1191" s="585" t="str">
        <f ca="1">IF(AND('Reconciliation report'!$E$474&gt;=4,'Reconciliation report'!$E$473=RefData!$B$112,'Reconciliation report'!$E$12=RefData!$B$12),'All Statement of strategy (D)'!$B1191&amp;'All Statement of strategy (D)'!$C1191,"")</f>
        <v/>
      </c>
      <c r="G1191" s="585" t="str">
        <f ca="1">IF(AND('Reconciliation report'!$E$474&gt;=4,'Reconciliation report'!$E$473=RefData!$B$112,'Reconciliation report'!$E$9=RefData!$B$5,'Reconciliation report'!$E$13=RefData!$B$14),'All Statement of strategy (D)'!$B1191&amp;'All Statement of strategy (D)'!$C1191,"")</f>
        <v/>
      </c>
      <c r="H1191" s="585" t="str">
        <f ca="1">IF(AND('Reconciliation report'!$E$474&gt;=4,'Reconciliation report'!$E$473=RefData!$B$112,'Reconciliation report'!$E$9=RefData!$B$5,'Reconciliation report'!$E$13=RefData!$B$14),'All Statement of strategy (D)'!$B1191&amp;'All Statement of strategy (D)'!$C1191,"")</f>
        <v/>
      </c>
      <c r="I1191" s="595" t="str">
        <f ca="1">IF($C$1=RefData!$B$418,'All Statement of strategy (D)'!$E1191,IF('All Statement of strategy (D)'!$C$1=RefData!$B$419,'All Statement of strategy (D)'!$F1191,IF('All Statement of strategy (D)'!$C$1=RefData!$B$420,'All Statement of strategy (D)'!$G1191,IF('All Statement of strategy (D)'!$C$1=RefData!$B$421,'All Statement of strategy (D)'!$H1191," "))))</f>
        <v xml:space="preserve"> </v>
      </c>
    </row>
    <row r="1192" spans="1:9">
      <c r="A1192" s="584" t="s">
        <v>2486</v>
      </c>
      <c r="B1192" s="594" t="str">
        <f ca="1">IF('Reconciliation report'!$E$657=RefData!$B$129,MID('Reconciliation report'!$E$658,1001,1000),"")</f>
        <v/>
      </c>
      <c r="D1192" s="624"/>
      <c r="E1192" s="585" t="str">
        <f ca="1">IF(AND('Reconciliation report'!$E$474&gt;=4,'Reconciliation report'!$E$473=RefData!$B$112),'All Statement of strategy (D)'!$B1192&amp;'All Statement of strategy (D)'!$C1192,"")</f>
        <v/>
      </c>
      <c r="F1192" s="585" t="str">
        <f ca="1">IF(AND('Reconciliation report'!$E$474&gt;=4,'Reconciliation report'!$E$473=RefData!$B$112,'Reconciliation report'!$E$12=RefData!$B$12),'All Statement of strategy (D)'!$B1192&amp;'All Statement of strategy (D)'!$C1192,"")</f>
        <v/>
      </c>
      <c r="G1192" s="585" t="str">
        <f ca="1">IF(AND('Reconciliation report'!$E$474&gt;=4,'Reconciliation report'!$E$473=RefData!$B$112,'Reconciliation report'!$E$9=RefData!$B$5,'Reconciliation report'!$E$13=RefData!$B$14),'All Statement of strategy (D)'!$B1192&amp;'All Statement of strategy (D)'!$C1192,"")</f>
        <v/>
      </c>
      <c r="H1192" s="585" t="str">
        <f ca="1">IF(AND('Reconciliation report'!$E$474&gt;=4,'Reconciliation report'!$E$473=RefData!$B$112,'Reconciliation report'!$E$9=RefData!$B$5,'Reconciliation report'!$E$13=RefData!$B$14),'All Statement of strategy (D)'!$B1192&amp;'All Statement of strategy (D)'!$C1192,"")</f>
        <v/>
      </c>
      <c r="I1192" s="595" t="str">
        <f ca="1">IF($C$1=RefData!$B$418,'All Statement of strategy (D)'!$E1192,IF('All Statement of strategy (D)'!$C$1=RefData!$B$419,'All Statement of strategy (D)'!$F1192,IF('All Statement of strategy (D)'!$C$1=RefData!$B$420,'All Statement of strategy (D)'!$G1192,IF('All Statement of strategy (D)'!$C$1=RefData!$B$421,'All Statement of strategy (D)'!$H1192," "))))</f>
        <v xml:space="preserve"> </v>
      </c>
    </row>
    <row r="1193" spans="1:9">
      <c r="A1193" s="584" t="s">
        <v>2486</v>
      </c>
      <c r="B1193" s="594" t="str">
        <f ca="1">IF('Reconciliation report'!$E$657=RefData!$B$129,MID('Reconciliation report'!$E$658,2001,1000),"")</f>
        <v/>
      </c>
      <c r="D1193" s="624"/>
      <c r="E1193" s="585" t="str">
        <f ca="1">IF(AND('Reconciliation report'!$E$474&gt;=4,'Reconciliation report'!$E$473=RefData!$B$112),'All Statement of strategy (D)'!$B1193&amp;'All Statement of strategy (D)'!$C1193,"")</f>
        <v/>
      </c>
      <c r="F1193" s="585" t="str">
        <f ca="1">IF(AND('Reconciliation report'!$E$474&gt;=4,'Reconciliation report'!$E$473=RefData!$B$112,'Reconciliation report'!$E$12=RefData!$B$12),'All Statement of strategy (D)'!$B1193&amp;'All Statement of strategy (D)'!$C1193,"")</f>
        <v/>
      </c>
      <c r="G1193" s="585" t="str">
        <f ca="1">IF(AND('Reconciliation report'!$E$474&gt;=4,'Reconciliation report'!$E$473=RefData!$B$112,'Reconciliation report'!$E$9=RefData!$B$5,'Reconciliation report'!$E$13=RefData!$B$14),'All Statement of strategy (D)'!$B1193&amp;'All Statement of strategy (D)'!$C1193,"")</f>
        <v/>
      </c>
      <c r="H1193" s="585" t="str">
        <f ca="1">IF(AND('Reconciliation report'!$E$474&gt;=4,'Reconciliation report'!$E$473=RefData!$B$112,'Reconciliation report'!$E$9=RefData!$B$5,'Reconciliation report'!$E$13=RefData!$B$14),'All Statement of strategy (D)'!$B1193&amp;'All Statement of strategy (D)'!$C1193,"")</f>
        <v/>
      </c>
      <c r="I1193" s="595" t="str">
        <f ca="1">IF($C$1=RefData!$B$418,'All Statement of strategy (D)'!$E1193,IF('All Statement of strategy (D)'!$C$1=RefData!$B$419,'All Statement of strategy (D)'!$F1193,IF('All Statement of strategy (D)'!$C$1=RefData!$B$420,'All Statement of strategy (D)'!$G1193,IF('All Statement of strategy (D)'!$C$1=RefData!$B$421,'All Statement of strategy (D)'!$H1193," "))))</f>
        <v xml:space="preserve"> </v>
      </c>
    </row>
    <row r="1194" spans="1:9">
      <c r="A1194" s="584" t="s">
        <v>2486</v>
      </c>
      <c r="B1194" s="594" t="str">
        <f ca="1">IF('Reconciliation report'!$E$657=RefData!$B$129,MID('Reconciliation report'!$E$658,3001,1000),"")</f>
        <v/>
      </c>
      <c r="D1194" s="624"/>
      <c r="E1194" s="585" t="str">
        <f ca="1">IF(AND('Reconciliation report'!$E$474&gt;=4,'Reconciliation report'!$E$473=RefData!$B$112),'All Statement of strategy (D)'!$B1194&amp;'All Statement of strategy (D)'!$C1194,"")</f>
        <v/>
      </c>
      <c r="F1194" s="585" t="str">
        <f ca="1">IF(AND('Reconciliation report'!$E$474&gt;=4,'Reconciliation report'!$E$473=RefData!$B$112,'Reconciliation report'!$E$12=RefData!$B$12),'All Statement of strategy (D)'!$B1194&amp;'All Statement of strategy (D)'!$C1194,"")</f>
        <v/>
      </c>
      <c r="G1194" s="585" t="str">
        <f ca="1">IF(AND('Reconciliation report'!$E$474&gt;=4,'Reconciliation report'!$E$473=RefData!$B$112,'Reconciliation report'!$E$9=RefData!$B$5,'Reconciliation report'!$E$13=RefData!$B$14),'All Statement of strategy (D)'!$B1194&amp;'All Statement of strategy (D)'!$C1194,"")</f>
        <v/>
      </c>
      <c r="H1194" s="585" t="str">
        <f ca="1">IF(AND('Reconciliation report'!$E$474&gt;=4,'Reconciliation report'!$E$473=RefData!$B$112,'Reconciliation report'!$E$9=RefData!$B$5,'Reconciliation report'!$E$13=RefData!$B$14),'All Statement of strategy (D)'!$B1194&amp;'All Statement of strategy (D)'!$C1194,"")</f>
        <v/>
      </c>
      <c r="I1194" s="595" t="str">
        <f ca="1">IF($C$1=RefData!$B$418,'All Statement of strategy (D)'!$E1194,IF('All Statement of strategy (D)'!$C$1=RefData!$B$419,'All Statement of strategy (D)'!$F1194,IF('All Statement of strategy (D)'!$C$1=RefData!$B$420,'All Statement of strategy (D)'!$G1194,IF('All Statement of strategy (D)'!$C$1=RefData!$B$421,'All Statement of strategy (D)'!$H1194," "))))</f>
        <v xml:space="preserve"> </v>
      </c>
    </row>
    <row r="1195" spans="1:9">
      <c r="A1195" s="584" t="s">
        <v>2487</v>
      </c>
      <c r="B1195" s="594" t="str">
        <f ca="1">"Type of maturity: "&amp;IF('Reconciliation report'!$E$659=RefData!$B$130,'Reconciliation report'!$E$659,
IF('Reconciliation report'!$E$659=RefData!$B$131,"Fixed expiry with a maturity date of "&amp;TEXT('Reconciliation report'!$E$660,RefData!$B$424),""))</f>
        <v xml:space="preserve">Type of maturity: </v>
      </c>
      <c r="D1195" s="624"/>
      <c r="E1195" s="585" t="str">
        <f ca="1">IF(AND('Reconciliation report'!$E$474&gt;=4,'Reconciliation report'!$E$473=RefData!$B$112),'All Statement of strategy (D)'!$B1195&amp;'All Statement of strategy (D)'!$C1195,"")</f>
        <v/>
      </c>
      <c r="F1195" s="585" t="str">
        <f ca="1">IF(AND('Reconciliation report'!$E$474&gt;=4,'Reconciliation report'!$E$473=RefData!$B$112,'Reconciliation report'!$E$12=RefData!$B$12),'All Statement of strategy (D)'!$B1195&amp;'All Statement of strategy (D)'!$C1195,"")</f>
        <v/>
      </c>
      <c r="G1195" s="585" t="str">
        <f>""</f>
        <v/>
      </c>
      <c r="H1195" s="585" t="str">
        <f>""</f>
        <v/>
      </c>
      <c r="I1195" s="595" t="str">
        <f ca="1">IF($C$1=RefData!$B$418,'All Statement of strategy (D)'!$E1195,IF('All Statement of strategy (D)'!$C$1=RefData!$B$419,'All Statement of strategy (D)'!$F1195,IF('All Statement of strategy (D)'!$C$1=RefData!$B$420,'All Statement of strategy (D)'!$G1195,IF('All Statement of strategy (D)'!$C$1=RefData!$B$421,'All Statement of strategy (D)'!$H1195," "))))</f>
        <v xml:space="preserve"> </v>
      </c>
    </row>
    <row r="1196" spans="1:9">
      <c r="A1196" s="584" t="s">
        <v>2488</v>
      </c>
      <c r="B1196" s="594" t="str">
        <f ca="1">B1195&amp;IF('Reconciliation report'!$E$659=RefData!$B$132,LEFT('Reconciliation report'!$E$661,1000),"")</f>
        <v xml:space="preserve">Type of maturity: </v>
      </c>
      <c r="D1196" s="624"/>
      <c r="E1196" s="585" t="str">
        <f ca="1">IF(AND('Reconciliation report'!$E$474&gt;=4,'Reconciliation report'!$E$473=RefData!$B$112),'All Statement of strategy (D)'!$B1196&amp;'All Statement of strategy (D)'!$C1196,"")</f>
        <v/>
      </c>
      <c r="F1196" s="585" t="str">
        <f ca="1">IF(AND('Reconciliation report'!$E$474&gt;=4,'Reconciliation report'!$E$473=RefData!$B$112,'Reconciliation report'!$E$12=RefData!$B$12),'All Statement of strategy (D)'!$B1196&amp;'All Statement of strategy (D)'!$C1196,"")</f>
        <v/>
      </c>
      <c r="G1196" s="585" t="str">
        <f>""</f>
        <v/>
      </c>
      <c r="H1196" s="585" t="str">
        <f>""</f>
        <v/>
      </c>
      <c r="I1196" s="595" t="str">
        <f ca="1">IF($C$1=RefData!$B$418,'All Statement of strategy (D)'!$E1196,IF('All Statement of strategy (D)'!$C$1=RefData!$B$419,'All Statement of strategy (D)'!$F1196,IF('All Statement of strategy (D)'!$C$1=RefData!$B$420,'All Statement of strategy (D)'!$G1196,IF('All Statement of strategy (D)'!$C$1=RefData!$B$421,'All Statement of strategy (D)'!$H1196," "))))</f>
        <v xml:space="preserve"> </v>
      </c>
    </row>
    <row r="1197" spans="1:9">
      <c r="A1197" s="584" t="s">
        <v>2488</v>
      </c>
      <c r="B1197" s="594" t="str">
        <f ca="1">IF('Reconciliation report'!$E$659=RefData!$B$132,MID('Reconciliation report'!$E$661,1001,1000),"")</f>
        <v/>
      </c>
      <c r="D1197" s="624"/>
      <c r="E1197" s="585" t="str">
        <f ca="1">IF(AND('Reconciliation report'!$E$474&gt;=4,'Reconciliation report'!$E$473=RefData!$B$112),'All Statement of strategy (D)'!$B1197&amp;'All Statement of strategy (D)'!$C1197,"")</f>
        <v/>
      </c>
      <c r="F1197" s="585" t="str">
        <f ca="1">IF(AND('Reconciliation report'!$E$474&gt;=4,'Reconciliation report'!$E$473=RefData!$B$112,'Reconciliation report'!$E$12=RefData!$B$12),'All Statement of strategy (D)'!$B1197&amp;'All Statement of strategy (D)'!$C1197,"")</f>
        <v/>
      </c>
      <c r="G1197" s="585" t="str">
        <f>""</f>
        <v/>
      </c>
      <c r="H1197" s="585" t="str">
        <f>""</f>
        <v/>
      </c>
      <c r="I1197" s="595" t="str">
        <f ca="1">IF($C$1=RefData!$B$418,'All Statement of strategy (D)'!$E1197,IF('All Statement of strategy (D)'!$C$1=RefData!$B$419,'All Statement of strategy (D)'!$F1197,IF('All Statement of strategy (D)'!$C$1=RefData!$B$420,'All Statement of strategy (D)'!$G1197,IF('All Statement of strategy (D)'!$C$1=RefData!$B$421,'All Statement of strategy (D)'!$H1197," "))))</f>
        <v xml:space="preserve"> </v>
      </c>
    </row>
    <row r="1198" spans="1:9">
      <c r="A1198" s="584" t="s">
        <v>2488</v>
      </c>
      <c r="B1198" s="594" t="str">
        <f ca="1">IF('Reconciliation report'!$E$659=RefData!$B$132,MID('Reconciliation report'!$E$661,2001,1000),"")</f>
        <v/>
      </c>
      <c r="D1198" s="624"/>
      <c r="E1198" s="585" t="str">
        <f ca="1">IF(AND('Reconciliation report'!$E$474&gt;=4,'Reconciliation report'!$E$473=RefData!$B$112),'All Statement of strategy (D)'!$B1198&amp;'All Statement of strategy (D)'!$C1198,"")</f>
        <v/>
      </c>
      <c r="F1198" s="585" t="str">
        <f ca="1">IF(AND('Reconciliation report'!$E$474&gt;=4,'Reconciliation report'!$E$473=RefData!$B$112,'Reconciliation report'!$E$12=RefData!$B$12),'All Statement of strategy (D)'!$B1198&amp;'All Statement of strategy (D)'!$C1198,"")</f>
        <v/>
      </c>
      <c r="G1198" s="585" t="str">
        <f>""</f>
        <v/>
      </c>
      <c r="H1198" s="585" t="str">
        <f>""</f>
        <v/>
      </c>
      <c r="I1198" s="595" t="str">
        <f ca="1">IF($C$1=RefData!$B$418,'All Statement of strategy (D)'!$E1198,IF('All Statement of strategy (D)'!$C$1=RefData!$B$419,'All Statement of strategy (D)'!$F1198,IF('All Statement of strategy (D)'!$C$1=RefData!$B$420,'All Statement of strategy (D)'!$G1198,IF('All Statement of strategy (D)'!$C$1=RefData!$B$421,'All Statement of strategy (D)'!$H1198," "))))</f>
        <v xml:space="preserve"> </v>
      </c>
    </row>
    <row r="1199" spans="1:9">
      <c r="A1199" s="584" t="s">
        <v>2488</v>
      </c>
      <c r="B1199" s="594" t="str">
        <f ca="1">IF('Reconciliation report'!$E$659=RefData!$B$132,MID('Reconciliation report'!$E$661,3001,1000),"")</f>
        <v/>
      </c>
      <c r="D1199" s="624"/>
      <c r="E1199" s="585" t="str">
        <f ca="1">IF(AND('Reconciliation report'!$E$474&gt;=4,'Reconciliation report'!$E$473=RefData!$B$112),'All Statement of strategy (D)'!$B1199&amp;'All Statement of strategy (D)'!$C1199,"")</f>
        <v/>
      </c>
      <c r="F1199" s="585" t="str">
        <f ca="1">IF(AND('Reconciliation report'!$E$474&gt;=4,'Reconciliation report'!$E$473=RefData!$B$112,'Reconciliation report'!$E$12=RefData!$B$12),'All Statement of strategy (D)'!$B1199&amp;'All Statement of strategy (D)'!$C1199,"")</f>
        <v/>
      </c>
      <c r="G1199" s="585" t="str">
        <f>""</f>
        <v/>
      </c>
      <c r="H1199" s="585" t="str">
        <f>""</f>
        <v/>
      </c>
      <c r="I1199" s="595" t="str">
        <f ca="1">IF($C$1=RefData!$B$418,'All Statement of strategy (D)'!$E1199,IF('All Statement of strategy (D)'!$C$1=RefData!$B$419,'All Statement of strategy (D)'!$F1199,IF('All Statement of strategy (D)'!$C$1=RefData!$B$420,'All Statement of strategy (D)'!$G1199,IF('All Statement of strategy (D)'!$C$1=RefData!$B$421,'All Statement of strategy (D)'!$H1199," "))))</f>
        <v xml:space="preserve"> </v>
      </c>
    </row>
    <row r="1200" spans="1:9">
      <c r="A1200" s="584" t="s">
        <v>2489</v>
      </c>
      <c r="B1200" s="594" t="s">
        <v>2399</v>
      </c>
      <c r="E1200" s="585" t="str">
        <f ca="1">IF(AND('Reconciliation report'!$E$474&gt;=4,'Reconciliation report'!$E$473=RefData!$B$112),'All Statement of strategy (D)'!$B1200&amp;'All Statement of strategy (D)'!$C1200,"")</f>
        <v/>
      </c>
      <c r="F1200" s="585" t="str">
        <f ca="1">IF(AND('Reconciliation report'!$E$474&gt;=4,'Reconciliation report'!$E$473=RefData!$B$112,'Reconciliation report'!$E$12=RefData!$B$12),'All Statement of strategy (D)'!$B1200&amp;'All Statement of strategy (D)'!$C1200,"")</f>
        <v/>
      </c>
      <c r="G1200" s="585" t="str">
        <f ca="1">IF(AND('Reconciliation report'!$E$474&gt;=4,'Reconciliation report'!$E$473=RefData!$B$112,'Reconciliation report'!$E$9=RefData!$B$5,'Reconciliation report'!$E$13=RefData!$B$14),'All Statement of strategy (D)'!$B1200&amp;'All Statement of strategy (D)'!$C1200,"")</f>
        <v/>
      </c>
      <c r="H1200" s="585" t="str">
        <f ca="1">IF(AND('Reconciliation report'!$E$474&gt;=4,'Reconciliation report'!$E$473=RefData!$B$112,'Reconciliation report'!$E$9=RefData!$B$5,'Reconciliation report'!$E$13=RefData!$B$14),'All Statement of strategy (D)'!$B1200&amp;'All Statement of strategy (D)'!$C1200,"")</f>
        <v/>
      </c>
      <c r="I1200" s="595" t="str">
        <f ca="1">IF($C$1=RefData!$B$418,'All Statement of strategy (D)'!$E1200,IF('All Statement of strategy (D)'!$C$1=RefData!$B$419,'All Statement of strategy (D)'!$F1200,IF('All Statement of strategy (D)'!$C$1=RefData!$B$420,'All Statement of strategy (D)'!$G1200,IF('All Statement of strategy (D)'!$C$1=RefData!$B$421,'All Statement of strategy (D)'!$H1200," "))))</f>
        <v xml:space="preserve"> </v>
      </c>
    </row>
    <row r="1201" spans="1:9">
      <c r="B1201" s="594" t="s">
        <v>2400</v>
      </c>
      <c r="C1201" s="585" t="str">
        <f ca="1">TEXT('Reconciliation report'!$E$662,RefData!$B$425)</f>
        <v/>
      </c>
      <c r="E1201" s="585" t="str">
        <f ca="1">IF(AND('Reconciliation report'!$E$474&gt;=4,'Reconciliation report'!$E$473=RefData!$B$112),'All Statement of strategy (D)'!$B1201&amp;'All Statement of strategy (D)'!$C1201,"")</f>
        <v/>
      </c>
      <c r="F1201" s="585" t="str">
        <f ca="1">IF(AND('Reconciliation report'!$E$474&gt;=4,'Reconciliation report'!$E$473=RefData!$B$112,'Reconciliation report'!$E$12=RefData!$B$12),'All Statement of strategy (D)'!$B1201&amp;'All Statement of strategy (D)'!$C1201,"")</f>
        <v/>
      </c>
      <c r="G1201" s="585" t="str">
        <f ca="1">IF(AND('Reconciliation report'!$E$474&gt;=4,'Reconciliation report'!$E$473=RefData!$B$112,'Reconciliation report'!$E$9=RefData!$B$5,'Reconciliation report'!$E$13=RefData!$B$14),'All Statement of strategy (D)'!$B1201&amp;'All Statement of strategy (D)'!$C1201,"")</f>
        <v/>
      </c>
      <c r="H1201" s="585" t="str">
        <f ca="1">IF(AND('Reconciliation report'!$E$474&gt;=4,'Reconciliation report'!$E$473=RefData!$B$112,'Reconciliation report'!$E$9=RefData!$B$5,'Reconciliation report'!$E$13=RefData!$B$14),'All Statement of strategy (D)'!$B1201&amp;'All Statement of strategy (D)'!$C1201,"")</f>
        <v/>
      </c>
      <c r="I1201" s="595" t="str">
        <f ca="1">IF($C$1=RefData!$B$418,'All Statement of strategy (D)'!$E1201,IF('All Statement of strategy (D)'!$C$1=RefData!$B$419,'All Statement of strategy (D)'!$F1201,IF('All Statement of strategy (D)'!$C$1=RefData!$B$420,'All Statement of strategy (D)'!$G1201,IF('All Statement of strategy (D)'!$C$1=RefData!$B$421,'All Statement of strategy (D)'!$H1201," "))))</f>
        <v xml:space="preserve"> </v>
      </c>
    </row>
    <row r="1202" spans="1:9">
      <c r="A1202" s="584" t="s">
        <v>2490</v>
      </c>
      <c r="B1202" s="594" t="s">
        <v>2402</v>
      </c>
      <c r="C1202" s="618" t="str">
        <f ca="1">TEXT('Reconciliation report'!$E$663,RefData!$B$424)</f>
        <v/>
      </c>
      <c r="E1202" s="585" t="str">
        <f ca="1">IF(AND('Reconciliation report'!$E$474&gt;=4,'Reconciliation report'!$E$473=RefData!$B$112),'All Statement of strategy (D)'!$B1202&amp;'All Statement of strategy (D)'!$C1202,"")</f>
        <v/>
      </c>
      <c r="F1202" s="585" t="str">
        <f ca="1">IF(AND('Reconciliation report'!$E$474&gt;=4,'Reconciliation report'!$E$473=RefData!$B$112,'Reconciliation report'!$E$12=RefData!$B$12),'All Statement of strategy (D)'!$B1202&amp;'All Statement of strategy (D)'!$C1202,"")</f>
        <v/>
      </c>
      <c r="G1202" s="585" t="str">
        <f ca="1">IF(AND('Reconciliation report'!$E$474&gt;=4,'Reconciliation report'!$E$473=RefData!$B$112,'Reconciliation report'!$E$9=RefData!$B$5,'Reconciliation report'!$E$13=RefData!$B$14),'All Statement of strategy (D)'!$B1202&amp;'All Statement of strategy (D)'!$C1202,"")</f>
        <v/>
      </c>
      <c r="H1202" s="585" t="str">
        <f ca="1">IF(AND('Reconciliation report'!$E$474&gt;=4,'Reconciliation report'!$E$473=RefData!$B$112,'Reconciliation report'!$E$9=RefData!$B$5,'Reconciliation report'!$E$13=RefData!$B$14),'All Statement of strategy (D)'!$B1202&amp;'All Statement of strategy (D)'!$C1202,"")</f>
        <v/>
      </c>
      <c r="I1202" s="595" t="str">
        <f ca="1">IF($C$1=RefData!$B$418,'All Statement of strategy (D)'!$E1202,IF('All Statement of strategy (D)'!$C$1=RefData!$B$419,'All Statement of strategy (D)'!$F1202,IF('All Statement of strategy (D)'!$C$1=RefData!$B$420,'All Statement of strategy (D)'!$G1202,IF('All Statement of strategy (D)'!$C$1=RefData!$B$421,'All Statement of strategy (D)'!$H1202," "))))</f>
        <v xml:space="preserve"> </v>
      </c>
    </row>
    <row r="1203" spans="1:9">
      <c r="A1203" s="584" t="s">
        <v>2491</v>
      </c>
      <c r="B1203" s="594" t="str">
        <f ca="1">"Value cap: "&amp;IF('Reconciliation report'!$E$664=RefData!$B$139,"",'Reconciliation report'!$E$664)</f>
        <v xml:space="preserve">Value cap: </v>
      </c>
      <c r="D1203" s="624"/>
      <c r="E1203" s="585" t="str">
        <f ca="1">IF(AND('Reconciliation report'!$E$474&gt;=4,'Reconciliation report'!$E$473=RefData!$B$112),'All Statement of strategy (D)'!$B1203&amp;'All Statement of strategy (D)'!$C1203,"")</f>
        <v/>
      </c>
      <c r="F1203" s="585" t="str">
        <f ca="1">IF(AND('Reconciliation report'!$E$474&gt;=4,'Reconciliation report'!$E$473=RefData!$B$112,'Reconciliation report'!$E$12=RefData!$B$12),'All Statement of strategy (D)'!$B1203&amp;'All Statement of strategy (D)'!$C1203,"")</f>
        <v/>
      </c>
      <c r="G1203" s="585" t="str">
        <f>""</f>
        <v/>
      </c>
      <c r="H1203" s="585" t="str">
        <f>""</f>
        <v/>
      </c>
      <c r="I1203" s="595" t="str">
        <f ca="1">IF($C$1=RefData!$B$418,'All Statement of strategy (D)'!$E1203,IF('All Statement of strategy (D)'!$C$1=RefData!$B$419,'All Statement of strategy (D)'!$F1203,IF('All Statement of strategy (D)'!$C$1=RefData!$B$420,'All Statement of strategy (D)'!$G1203,IF('All Statement of strategy (D)'!$C$1=RefData!$B$421,'All Statement of strategy (D)'!$H1203," "))))</f>
        <v xml:space="preserve"> </v>
      </c>
    </row>
    <row r="1204" spans="1:9">
      <c r="A1204" s="584" t="s">
        <v>2492</v>
      </c>
      <c r="B1204" s="594" t="str">
        <f ca="1">B1203&amp;IF('Reconciliation report'!$E$664=RefData!$B$139,LEFT('Reconciliation report'!$E$665,1000),"")</f>
        <v xml:space="preserve">Value cap: </v>
      </c>
      <c r="D1204" s="624"/>
      <c r="E1204" s="585" t="str">
        <f ca="1">IF(AND('Reconciliation report'!$E$474&gt;=4,'Reconciliation report'!$E$473=RefData!$B$112),'All Statement of strategy (D)'!$B1204&amp;'All Statement of strategy (D)'!$C1204,"")</f>
        <v/>
      </c>
      <c r="F1204" s="585" t="str">
        <f ca="1">IF(AND('Reconciliation report'!$E$474&gt;=4,'Reconciliation report'!$E$473=RefData!$B$112,'Reconciliation report'!$E$12=RefData!$B$12),'All Statement of strategy (D)'!$B1204&amp;'All Statement of strategy (D)'!$C1204,"")</f>
        <v/>
      </c>
      <c r="G1204" s="585" t="str">
        <f>""</f>
        <v/>
      </c>
      <c r="H1204" s="585" t="str">
        <f>""</f>
        <v/>
      </c>
      <c r="I1204" s="595" t="str">
        <f ca="1">IF($C$1=RefData!$B$418,'All Statement of strategy (D)'!$E1204,IF('All Statement of strategy (D)'!$C$1=RefData!$B$419,'All Statement of strategy (D)'!$F1204,IF('All Statement of strategy (D)'!$C$1=RefData!$B$420,'All Statement of strategy (D)'!$G1204,IF('All Statement of strategy (D)'!$C$1=RefData!$B$421,'All Statement of strategy (D)'!$H1204," "))))</f>
        <v xml:space="preserve"> </v>
      </c>
    </row>
    <row r="1205" spans="1:9">
      <c r="A1205" s="584" t="s">
        <v>2492</v>
      </c>
      <c r="B1205" s="594" t="str">
        <f ca="1">IF('Reconciliation report'!$E$664=RefData!$B$139,MID('Reconciliation report'!$E$665,1001,1000),"")</f>
        <v/>
      </c>
      <c r="D1205" s="624"/>
      <c r="E1205" s="585" t="str">
        <f ca="1">IF(AND('Reconciliation report'!$E$474&gt;=4,'Reconciliation report'!$E$473=RefData!$B$112),'All Statement of strategy (D)'!$B1205&amp;'All Statement of strategy (D)'!$C1205,"")</f>
        <v/>
      </c>
      <c r="F1205" s="585" t="str">
        <f ca="1">IF(AND('Reconciliation report'!$E$474&gt;=4,'Reconciliation report'!$E$473=RefData!$B$112,'Reconciliation report'!$E$12=RefData!$B$12),'All Statement of strategy (D)'!$B1205&amp;'All Statement of strategy (D)'!$C1205,"")</f>
        <v/>
      </c>
      <c r="G1205" s="585" t="str">
        <f>""</f>
        <v/>
      </c>
      <c r="H1205" s="585" t="str">
        <f>""</f>
        <v/>
      </c>
      <c r="I1205" s="595" t="str">
        <f ca="1">IF($C$1=RefData!$B$418,'All Statement of strategy (D)'!$E1205,IF('All Statement of strategy (D)'!$C$1=RefData!$B$419,'All Statement of strategy (D)'!$F1205,IF('All Statement of strategy (D)'!$C$1=RefData!$B$420,'All Statement of strategy (D)'!$G1205,IF('All Statement of strategy (D)'!$C$1=RefData!$B$421,'All Statement of strategy (D)'!$H1205," "))))</f>
        <v xml:space="preserve"> </v>
      </c>
    </row>
    <row r="1206" spans="1:9">
      <c r="A1206" s="584" t="s">
        <v>2492</v>
      </c>
      <c r="B1206" s="594" t="str">
        <f ca="1">IF('Reconciliation report'!$E$664=RefData!$B$139,MID('Reconciliation report'!$E$665,2001,1000),"")</f>
        <v/>
      </c>
      <c r="D1206" s="624"/>
      <c r="E1206" s="585" t="str">
        <f ca="1">IF(AND('Reconciliation report'!$E$474&gt;=4,'Reconciliation report'!$E$473=RefData!$B$112),'All Statement of strategy (D)'!$B1206&amp;'All Statement of strategy (D)'!$C1206,"")</f>
        <v/>
      </c>
      <c r="F1206" s="585" t="str">
        <f ca="1">IF(AND('Reconciliation report'!$E$474&gt;=4,'Reconciliation report'!$E$473=RefData!$B$112,'Reconciliation report'!$E$12=RefData!$B$12),'All Statement of strategy (D)'!$B1206&amp;'All Statement of strategy (D)'!$C1206,"")</f>
        <v/>
      </c>
      <c r="G1206" s="585" t="str">
        <f>""</f>
        <v/>
      </c>
      <c r="H1206" s="585" t="str">
        <f>""</f>
        <v/>
      </c>
      <c r="I1206" s="595" t="str">
        <f ca="1">IF($C$1=RefData!$B$418,'All Statement of strategy (D)'!$E1206,IF('All Statement of strategy (D)'!$C$1=RefData!$B$419,'All Statement of strategy (D)'!$F1206,IF('All Statement of strategy (D)'!$C$1=RefData!$B$420,'All Statement of strategy (D)'!$G1206,IF('All Statement of strategy (D)'!$C$1=RefData!$B$421,'All Statement of strategy (D)'!$H1206," "))))</f>
        <v xml:space="preserve"> </v>
      </c>
    </row>
    <row r="1207" spans="1:9">
      <c r="A1207" s="584" t="s">
        <v>2492</v>
      </c>
      <c r="B1207" s="594" t="str">
        <f ca="1">IF('Reconciliation report'!$E$664=RefData!$B$139,MID('Reconciliation report'!$E$665,3001,1000),"")</f>
        <v/>
      </c>
      <c r="D1207" s="624"/>
      <c r="E1207" s="585" t="str">
        <f ca="1">IF(AND('Reconciliation report'!$E$474&gt;=4,'Reconciliation report'!$E$473=RefData!$B$112),'All Statement of strategy (D)'!$B1207&amp;'All Statement of strategy (D)'!$C1207,"")</f>
        <v/>
      </c>
      <c r="F1207" s="585" t="str">
        <f ca="1">IF(AND('Reconciliation report'!$E$474&gt;=4,'Reconciliation report'!$E$473=RefData!$B$112,'Reconciliation report'!$E$12=RefData!$B$12),'All Statement of strategy (D)'!$B1207&amp;'All Statement of strategy (D)'!$C1207,"")</f>
        <v/>
      </c>
      <c r="G1207" s="585" t="str">
        <f>""</f>
        <v/>
      </c>
      <c r="H1207" s="585" t="str">
        <f>""</f>
        <v/>
      </c>
      <c r="I1207" s="595" t="str">
        <f ca="1">IF($C$1=RefData!$B$418,'All Statement of strategy (D)'!$E1207,IF('All Statement of strategy (D)'!$C$1=RefData!$B$419,'All Statement of strategy (D)'!$F1207,IF('All Statement of strategy (D)'!$C$1=RefData!$B$420,'All Statement of strategy (D)'!$G1207,IF('All Statement of strategy (D)'!$C$1=RefData!$B$421,'All Statement of strategy (D)'!$H1207," "))))</f>
        <v xml:space="preserve"> </v>
      </c>
    </row>
    <row r="1208" spans="1:9">
      <c r="A1208" s="584" t="s">
        <v>2493</v>
      </c>
      <c r="B1208" s="594" t="s">
        <v>2406</v>
      </c>
      <c r="C1208" s="585" t="str">
        <f ca="1">TEXT('Reconciliation report'!$E$666,RefData!$B$425)</f>
        <v/>
      </c>
      <c r="E1208" s="585" t="str">
        <f ca="1">IF(AND('Reconciliation report'!$E$474&gt;=4,'Reconciliation report'!$E$473=RefData!$B$112,'Reconciliation report'!$E$664=RefData!$B$138),'All Statement of strategy (D)'!$B1208&amp;'All Statement of strategy (D)'!$C1208,"")</f>
        <v/>
      </c>
      <c r="F1208" s="585" t="str">
        <f ca="1">IF(AND('Reconciliation report'!$E$474&gt;=4,'Reconciliation report'!$E$473=RefData!$B$112,'Reconciliation report'!$E$12=RefData!$B$12,'Reconciliation report'!$E$580=RefData!$B$138),'All Statement of strategy (D)'!$B1208&amp;'All Statement of strategy (D)'!$C1208,"")</f>
        <v/>
      </c>
      <c r="G1208" s="585" t="str">
        <f>""</f>
        <v/>
      </c>
      <c r="H1208" s="585" t="str">
        <f>""</f>
        <v/>
      </c>
      <c r="I1208" s="595" t="str">
        <f ca="1">IF($C$1=RefData!$B$418,'All Statement of strategy (D)'!$E1208,IF('All Statement of strategy (D)'!$C$1=RefData!$B$419,'All Statement of strategy (D)'!$F1208,IF('All Statement of strategy (D)'!$C$1=RefData!$B$420,'All Statement of strategy (D)'!$G1208,IF('All Statement of strategy (D)'!$C$1=RefData!$B$421,'All Statement of strategy (D)'!$H1208," "))))</f>
        <v xml:space="preserve"> </v>
      </c>
    </row>
    <row r="1209" spans="1:9">
      <c r="B1209" s="594" t="s">
        <v>2407</v>
      </c>
      <c r="E1209" s="585" t="str">
        <f ca="1">IF(AND('Reconciliation report'!$E$474&gt;=4,'Reconciliation report'!$E$473=RefData!$B$112),'All Statement of strategy (D)'!$B1209&amp;'All Statement of strategy (D)'!$C1209,"")</f>
        <v/>
      </c>
      <c r="F1209" s="585" t="str">
        <f ca="1">IF(AND('Reconciliation report'!$E$474&gt;=4,'Reconciliation report'!$E$473=RefData!$B$112,'Reconciliation report'!$E$12=RefData!$B$12),'All Statement of strategy (D)'!$B1209&amp;'All Statement of strategy (D)'!$C1209,"")</f>
        <v/>
      </c>
      <c r="G1209" s="585" t="str">
        <f>""</f>
        <v/>
      </c>
      <c r="H1209" s="585" t="str">
        <f>""</f>
        <v/>
      </c>
      <c r="I1209" s="595" t="str">
        <f ca="1">IF($C$1=RefData!$B$418,'All Statement of strategy (D)'!$E1209,IF('All Statement of strategy (D)'!$C$1=RefData!$B$419,'All Statement of strategy (D)'!$F1209,IF('All Statement of strategy (D)'!$C$1=RefData!$B$420,'All Statement of strategy (D)'!$G1209,IF('All Statement of strategy (D)'!$C$1=RefData!$B$421,'All Statement of strategy (D)'!$H1209," "))))</f>
        <v xml:space="preserve"> </v>
      </c>
    </row>
    <row r="1210" spans="1:9">
      <c r="A1210" s="584" t="s">
        <v>2494</v>
      </c>
      <c r="B1210" s="594" t="s">
        <v>2409</v>
      </c>
      <c r="C1210" s="585" t="str">
        <f ca="1">'Reconciliation report'!$E$667</f>
        <v/>
      </c>
      <c r="E1210" s="585" t="str">
        <f ca="1">IF(AND('Reconciliation report'!$E$474&gt;=4,'Reconciliation report'!$E$473=RefData!$B$112),'All Statement of strategy (D)'!$B1210&amp;'All Statement of strategy (D)'!$C1210,"")</f>
        <v/>
      </c>
      <c r="F1210" s="585" t="str">
        <f ca="1">IF(AND('Reconciliation report'!$E$474&gt;=4,'Reconciliation report'!$E$473=RefData!$B$112,'Reconciliation report'!$E$12=RefData!$B$12),'All Statement of strategy (D)'!$B1210&amp;'All Statement of strategy (D)'!$C1210,"")</f>
        <v/>
      </c>
      <c r="G1210" s="585" t="str">
        <f>""</f>
        <v/>
      </c>
      <c r="H1210" s="585" t="str">
        <f>""</f>
        <v/>
      </c>
      <c r="I1210" s="595" t="str">
        <f ca="1">IF($C$1=RefData!$B$418,'All Statement of strategy (D)'!$E1210,IF('All Statement of strategy (D)'!$C$1=RefData!$B$419,'All Statement of strategy (D)'!$F1210,IF('All Statement of strategy (D)'!$C$1=RefData!$B$420,'All Statement of strategy (D)'!$G1210,IF('All Statement of strategy (D)'!$C$1=RefData!$B$421,'All Statement of strategy (D)'!$H1210," "))))</f>
        <v xml:space="preserve"> </v>
      </c>
    </row>
    <row r="1211" spans="1:9">
      <c r="A1211" s="584" t="s">
        <v>2495</v>
      </c>
      <c r="B1211" s="594" t="s">
        <v>2411</v>
      </c>
      <c r="C1211" s="585" t="str">
        <f ca="1">'Reconciliation report'!$E$668</f>
        <v/>
      </c>
      <c r="E1211" s="585" t="str">
        <f ca="1">IF(AND('Reconciliation report'!$E$474&gt;=4,'Reconciliation report'!$E$473=RefData!$B$112),'All Statement of strategy (D)'!$B1211&amp;'All Statement of strategy (D)'!$C1211,"")</f>
        <v/>
      </c>
      <c r="F1211" s="585" t="str">
        <f ca="1">IF(AND('Reconciliation report'!$E$474&gt;=4,'Reconciliation report'!$E$473=RefData!$B$112,'Reconciliation report'!$E$12=RefData!$B$12),'All Statement of strategy (D)'!$B1211&amp;'All Statement of strategy (D)'!$C1211,"")</f>
        <v/>
      </c>
      <c r="G1211" s="585" t="str">
        <f>""</f>
        <v/>
      </c>
      <c r="H1211" s="585" t="str">
        <f>""</f>
        <v/>
      </c>
      <c r="I1211" s="595" t="str">
        <f ca="1">IF($C$1=RefData!$B$418,'All Statement of strategy (D)'!$E1211,IF('All Statement of strategy (D)'!$C$1=RefData!$B$419,'All Statement of strategy (D)'!$F1211,IF('All Statement of strategy (D)'!$C$1=RefData!$B$420,'All Statement of strategy (D)'!$G1211,IF('All Statement of strategy (D)'!$C$1=RefData!$B$421,'All Statement of strategy (D)'!$H1211," "))))</f>
        <v xml:space="preserve"> </v>
      </c>
    </row>
    <row r="1212" spans="1:9">
      <c r="A1212" s="584" t="s">
        <v>2496</v>
      </c>
      <c r="B1212" s="594" t="s">
        <v>2413</v>
      </c>
      <c r="C1212" s="585" t="str">
        <f ca="1">'Reconciliation report'!$E$669</f>
        <v/>
      </c>
      <c r="E1212" s="585" t="str">
        <f ca="1">IF(AND('Reconciliation report'!$E$474&gt;=4,'Reconciliation report'!$E$473=RefData!$B$112),'All Statement of strategy (D)'!$B1212&amp;'All Statement of strategy (D)'!$C1212,"")</f>
        <v/>
      </c>
      <c r="F1212" s="585" t="str">
        <f ca="1">IF(AND('Reconciliation report'!$E$474&gt;=4,'Reconciliation report'!$E$473=RefData!$B$112,'Reconciliation report'!$E$12=RefData!$B$12),'All Statement of strategy (D)'!$B1212&amp;'All Statement of strategy (D)'!$C1212,"")</f>
        <v/>
      </c>
      <c r="G1212" s="585" t="str">
        <f>""</f>
        <v/>
      </c>
      <c r="H1212" s="585" t="str">
        <f>""</f>
        <v/>
      </c>
      <c r="I1212" s="595" t="str">
        <f ca="1">IF($C$1=RefData!$B$418,'All Statement of strategy (D)'!$E1212,IF('All Statement of strategy (D)'!$C$1=RefData!$B$419,'All Statement of strategy (D)'!$F1212,IF('All Statement of strategy (D)'!$C$1=RefData!$B$420,'All Statement of strategy (D)'!$G1212,IF('All Statement of strategy (D)'!$C$1=RefData!$B$421,'All Statement of strategy (D)'!$H1212," "))))</f>
        <v xml:space="preserve"> </v>
      </c>
    </row>
    <row r="1213" spans="1:9">
      <c r="A1213" s="584" t="s">
        <v>2497</v>
      </c>
      <c r="B1213" s="594" t="s">
        <v>2415</v>
      </c>
      <c r="C1213" s="585" t="str">
        <f ca="1">'Reconciliation report'!$E$670</f>
        <v/>
      </c>
      <c r="E1213" s="585" t="str">
        <f ca="1">IF(AND('Reconciliation report'!$E$474&gt;=4,'Reconciliation report'!$E$473=RefData!$B$112),'All Statement of strategy (D)'!$B1213&amp;'All Statement of strategy (D)'!$C1213,"")</f>
        <v/>
      </c>
      <c r="F1213" s="585" t="str">
        <f ca="1">IF(AND('Reconciliation report'!$E$474&gt;=4,'Reconciliation report'!$E$473=RefData!$B$112,'Reconciliation report'!$E$12=RefData!$B$12),'All Statement of strategy (D)'!$B1213&amp;'All Statement of strategy (D)'!$C1213,"")</f>
        <v/>
      </c>
      <c r="G1213" s="585" t="str">
        <f>""</f>
        <v/>
      </c>
      <c r="H1213" s="585" t="str">
        <f>""</f>
        <v/>
      </c>
      <c r="I1213" s="595" t="str">
        <f ca="1">IF($C$1=RefData!$B$418,'All Statement of strategy (D)'!$E1213,IF('All Statement of strategy (D)'!$C$1=RefData!$B$419,'All Statement of strategy (D)'!$F1213,IF('All Statement of strategy (D)'!$C$1=RefData!$B$420,'All Statement of strategy (D)'!$G1213,IF('All Statement of strategy (D)'!$C$1=RefData!$B$421,'All Statement of strategy (D)'!$H1213," "))))</f>
        <v xml:space="preserve"> </v>
      </c>
    </row>
    <row r="1214" spans="1:9">
      <c r="A1214" s="584" t="s">
        <v>2498</v>
      </c>
      <c r="B1214" s="594" t="str">
        <f ca="1">IF('Reconciliation report'!$E$671=RefData!$B$140,LEFT('Reconciliation report'!$E$672,1000),"")</f>
        <v/>
      </c>
      <c r="E1214" s="585" t="str">
        <f ca="1">IF(AND('Reconciliation report'!$E$474&gt;=4,'Reconciliation report'!$E$473=RefData!$B$112),'All Statement of strategy (D)'!$B1214&amp;'All Statement of strategy (D)'!$C1214,"")</f>
        <v/>
      </c>
      <c r="F1214" s="585" t="str">
        <f ca="1">IF(AND('Reconciliation report'!$E$474&gt;=4,'Reconciliation report'!$E$473=RefData!$B$112,'Reconciliation report'!$E$12=RefData!$B$12),'All Statement of strategy (D)'!$B1214&amp;'All Statement of strategy (D)'!$C1214,"")</f>
        <v/>
      </c>
      <c r="G1214" s="585" t="str">
        <f>""</f>
        <v/>
      </c>
      <c r="H1214" s="585" t="str">
        <f>""</f>
        <v/>
      </c>
      <c r="I1214" s="595" t="str">
        <f ca="1">IF($C$1=RefData!$B$418,'All Statement of strategy (D)'!$E1214,IF('All Statement of strategy (D)'!$C$1=RefData!$B$419,'All Statement of strategy (D)'!$F1214,IF('All Statement of strategy (D)'!$C$1=RefData!$B$420,'All Statement of strategy (D)'!$G1214,IF('All Statement of strategy (D)'!$C$1=RefData!$B$421,'All Statement of strategy (D)'!$H1214," "))))</f>
        <v xml:space="preserve"> </v>
      </c>
    </row>
    <row r="1215" spans="1:9">
      <c r="A1215" s="584" t="s">
        <v>2498</v>
      </c>
      <c r="B1215" s="594" t="str">
        <f ca="1">IF('Reconciliation report'!$E$671=RefData!$B$140,MID('Reconciliation report'!$E$672,1001,1000),"")</f>
        <v/>
      </c>
      <c r="E1215" s="585" t="str">
        <f ca="1">IF(AND('Reconciliation report'!$E$474&gt;=4,'Reconciliation report'!$E$473=RefData!$B$112),'All Statement of strategy (D)'!$B1215&amp;'All Statement of strategy (D)'!$C1215,"")</f>
        <v/>
      </c>
      <c r="F1215" s="585" t="str">
        <f ca="1">IF(AND('Reconciliation report'!$E$474&gt;=4,'Reconciliation report'!$E$473=RefData!$B$112,'Reconciliation report'!$E$12=RefData!$B$12),'All Statement of strategy (D)'!$B1215&amp;'All Statement of strategy (D)'!$C1215,"")</f>
        <v/>
      </c>
      <c r="G1215" s="585" t="str">
        <f>""</f>
        <v/>
      </c>
      <c r="H1215" s="585" t="str">
        <f>""</f>
        <v/>
      </c>
      <c r="I1215" s="595" t="str">
        <f ca="1">IF($C$1=RefData!$B$418,'All Statement of strategy (D)'!$E1215,IF('All Statement of strategy (D)'!$C$1=RefData!$B$419,'All Statement of strategy (D)'!$F1215,IF('All Statement of strategy (D)'!$C$1=RefData!$B$420,'All Statement of strategy (D)'!$G1215,IF('All Statement of strategy (D)'!$C$1=RefData!$B$421,'All Statement of strategy (D)'!$H1215," "))))</f>
        <v xml:space="preserve"> </v>
      </c>
    </row>
    <row r="1216" spans="1:9">
      <c r="A1216" s="584" t="s">
        <v>2498</v>
      </c>
      <c r="B1216" s="594" t="str">
        <f ca="1">IF('Reconciliation report'!$E$671=RefData!$B$140,MID('Reconciliation report'!$E$672,2001,1000),"")</f>
        <v/>
      </c>
      <c r="E1216" s="585" t="str">
        <f ca="1">IF(AND('Reconciliation report'!$E$474&gt;=4,'Reconciliation report'!$E$473=RefData!$B$112),'All Statement of strategy (D)'!$B1216&amp;'All Statement of strategy (D)'!$C1216,"")</f>
        <v/>
      </c>
      <c r="F1216" s="585" t="str">
        <f ca="1">IF(AND('Reconciliation report'!$E$474&gt;=4,'Reconciliation report'!$E$473=RefData!$B$112,'Reconciliation report'!$E$12=RefData!$B$12),'All Statement of strategy (D)'!$B1216&amp;'All Statement of strategy (D)'!$C1216,"")</f>
        <v/>
      </c>
      <c r="G1216" s="585" t="str">
        <f>""</f>
        <v/>
      </c>
      <c r="H1216" s="585" t="str">
        <f>""</f>
        <v/>
      </c>
      <c r="I1216" s="595" t="str">
        <f ca="1">IF($C$1=RefData!$B$418,'All Statement of strategy (D)'!$E1216,IF('All Statement of strategy (D)'!$C$1=RefData!$B$419,'All Statement of strategy (D)'!$F1216,IF('All Statement of strategy (D)'!$C$1=RefData!$B$420,'All Statement of strategy (D)'!$G1216,IF('All Statement of strategy (D)'!$C$1=RefData!$B$421,'All Statement of strategy (D)'!$H1216," "))))</f>
        <v xml:space="preserve"> </v>
      </c>
    </row>
    <row r="1217" spans="1:9">
      <c r="A1217" s="584" t="s">
        <v>2498</v>
      </c>
      <c r="B1217" s="594" t="str">
        <f ca="1">IF('Reconciliation report'!$E$671=RefData!$B$140,MID('Reconciliation report'!$E$672,3001,1000),"")</f>
        <v/>
      </c>
      <c r="E1217" s="585" t="str">
        <f ca="1">IF(AND('Reconciliation report'!$E$474&gt;=4,'Reconciliation report'!$E$473=RefData!$B$112),'All Statement of strategy (D)'!$B1217&amp;'All Statement of strategy (D)'!$C1217,"")</f>
        <v/>
      </c>
      <c r="F1217" s="585" t="str">
        <f ca="1">IF(AND('Reconciliation report'!$E$474&gt;=4,'Reconciliation report'!$E$473=RefData!$B$112,'Reconciliation report'!$E$12=RefData!$B$12),'All Statement of strategy (D)'!$B1217&amp;'All Statement of strategy (D)'!$C1217,"")</f>
        <v/>
      </c>
      <c r="G1217" s="585" t="str">
        <f>""</f>
        <v/>
      </c>
      <c r="H1217" s="585" t="str">
        <f>""</f>
        <v/>
      </c>
      <c r="I1217" s="595" t="str">
        <f ca="1">IF($C$1=RefData!$B$418,'All Statement of strategy (D)'!$E1217,IF('All Statement of strategy (D)'!$C$1=RefData!$B$419,'All Statement of strategy (D)'!$F1217,IF('All Statement of strategy (D)'!$C$1=RefData!$B$420,'All Statement of strategy (D)'!$G1217,IF('All Statement of strategy (D)'!$C$1=RefData!$B$421,'All Statement of strategy (D)'!$H1217," "))))</f>
        <v xml:space="preserve"> </v>
      </c>
    </row>
    <row r="1218" spans="1:9" ht="16" thickBot="1">
      <c r="B1218" s="594" t="s">
        <v>2417</v>
      </c>
      <c r="C1218" s="615"/>
      <c r="E1218" s="585" t="str">
        <f ca="1">IF(AND('Reconciliation report'!$E$474&gt;=4,'Reconciliation report'!$E$473=RefData!$B$112),'All Statement of strategy (D)'!$B1218&amp;'All Statement of strategy (D)'!$C1218,"")</f>
        <v/>
      </c>
      <c r="F1218" s="585" t="str">
        <f ca="1">IF(AND('Reconciliation report'!$E$474&gt;=4,'Reconciliation report'!$E$473=RefData!$B$112,'Reconciliation report'!$E$12=RefData!$B$12),'All Statement of strategy (D)'!$B1218&amp;'All Statement of strategy (D)'!$C1218,"")</f>
        <v/>
      </c>
      <c r="G1218" s="585" t="str">
        <f>""</f>
        <v/>
      </c>
      <c r="H1218" s="585" t="str">
        <f>""</f>
        <v/>
      </c>
      <c r="I1218" s="595" t="str">
        <f ca="1">IF($C$1=RefData!$B$418,'All Statement of strategy (D)'!$E1218,IF('All Statement of strategy (D)'!$C$1=RefData!$B$419,'All Statement of strategy (D)'!$F1218,IF('All Statement of strategy (D)'!$C$1=RefData!$B$420,'All Statement of strategy (D)'!$G1218,IF('All Statement of strategy (D)'!$C$1=RefData!$B$421,'All Statement of strategy (D)'!$H1218," "))))</f>
        <v xml:space="preserve"> </v>
      </c>
    </row>
    <row r="1219" spans="1:9">
      <c r="A1219" s="584" t="s">
        <v>2499</v>
      </c>
      <c r="B1219" s="633" t="str">
        <f ca="1">B1218&amp;LEFT('Reconciliation report'!$E$673,1000)</f>
        <v xml:space="preserve">Triggers for termination: </v>
      </c>
      <c r="C1219" s="623"/>
      <c r="D1219" s="591"/>
      <c r="E1219" s="591" t="str">
        <f ca="1">IF(AND('Reconciliation report'!$E$474&gt;=4,'Reconciliation report'!$E$473=RefData!$B$112),'All Statement of strategy (D)'!$B1219&amp;'All Statement of strategy (D)'!$C1219,"")</f>
        <v/>
      </c>
      <c r="F1219" s="591" t="str">
        <f ca="1">IF(AND('Reconciliation report'!$E$474&gt;=4,'Reconciliation report'!$E$473=RefData!$B$112,'Reconciliation report'!$E$12=RefData!$B$12),'All Statement of strategy (D)'!$B1219&amp;'All Statement of strategy (D)'!$C1219,"")</f>
        <v/>
      </c>
      <c r="G1219" s="591" t="str">
        <f>""</f>
        <v/>
      </c>
      <c r="H1219" s="591" t="str">
        <f>""</f>
        <v/>
      </c>
      <c r="I1219" s="592" t="str">
        <f ca="1">IF($C$1=RefData!$B$418,'All Statement of strategy (D)'!$E1219,IF('All Statement of strategy (D)'!$C$1=RefData!$B$419,'All Statement of strategy (D)'!$F1219,IF('All Statement of strategy (D)'!$C$1=RefData!$B$420,'All Statement of strategy (D)'!$G1219,IF('All Statement of strategy (D)'!$C$1=RefData!$B$421,'All Statement of strategy (D)'!$H1219," "))))</f>
        <v xml:space="preserve"> </v>
      </c>
    </row>
    <row r="1220" spans="1:9">
      <c r="A1220" s="584" t="s">
        <v>2499</v>
      </c>
      <c r="B1220" s="621" t="str">
        <f ca="1">MID('Reconciliation report'!$E$673,1001,1000)</f>
        <v/>
      </c>
      <c r="C1220" s="615"/>
      <c r="E1220" s="585" t="str">
        <f ca="1">IF(AND('Reconciliation report'!$E$474&gt;=4,'Reconciliation report'!$E$473=RefData!$B$112),'All Statement of strategy (D)'!$B1220&amp;'All Statement of strategy (D)'!$C1220,"")</f>
        <v/>
      </c>
      <c r="F1220" s="585" t="str">
        <f ca="1">IF(AND('Reconciliation report'!$E$474&gt;=4,'Reconciliation report'!$E$473=RefData!$B$112,'Reconciliation report'!$E$12=RefData!$B$12),'All Statement of strategy (D)'!$B1220&amp;'All Statement of strategy (D)'!$C1220,"")</f>
        <v/>
      </c>
      <c r="G1220" s="585" t="str">
        <f>""</f>
        <v/>
      </c>
      <c r="H1220" s="585" t="str">
        <f>""</f>
        <v/>
      </c>
      <c r="I1220" s="595" t="str">
        <f ca="1">IF($C$1=RefData!$B$418,'All Statement of strategy (D)'!$E1220,IF('All Statement of strategy (D)'!$C$1=RefData!$B$419,'All Statement of strategy (D)'!$F1220,IF('All Statement of strategy (D)'!$C$1=RefData!$B$420,'All Statement of strategy (D)'!$G1220,IF('All Statement of strategy (D)'!$C$1=RefData!$B$421,'All Statement of strategy (D)'!$H1220," "))))</f>
        <v xml:space="preserve"> </v>
      </c>
    </row>
    <row r="1221" spans="1:9">
      <c r="A1221" s="584" t="s">
        <v>2499</v>
      </c>
      <c r="B1221" s="621" t="str">
        <f ca="1">MID('Reconciliation report'!$E$673,2001,1000)</f>
        <v/>
      </c>
      <c r="C1221" s="615"/>
      <c r="E1221" s="585" t="str">
        <f ca="1">IF(AND('Reconciliation report'!$E$474&gt;=4,'Reconciliation report'!$E$473=RefData!$B$112),'All Statement of strategy (D)'!$B1221&amp;'All Statement of strategy (D)'!$C1221,"")</f>
        <v/>
      </c>
      <c r="F1221" s="585" t="str">
        <f ca="1">IF(AND('Reconciliation report'!$E$474&gt;=4,'Reconciliation report'!$E$473=RefData!$B$112,'Reconciliation report'!$E$12=RefData!$B$12),'All Statement of strategy (D)'!$B1221&amp;'All Statement of strategy (D)'!$C1221,"")</f>
        <v/>
      </c>
      <c r="G1221" s="585" t="str">
        <f>""</f>
        <v/>
      </c>
      <c r="H1221" s="585" t="str">
        <f>""</f>
        <v/>
      </c>
      <c r="I1221" s="595" t="str">
        <f ca="1">IF($C$1=RefData!$B$418,'All Statement of strategy (D)'!$E1221,IF('All Statement of strategy (D)'!$C$1=RefData!$B$419,'All Statement of strategy (D)'!$F1221,IF('All Statement of strategy (D)'!$C$1=RefData!$B$420,'All Statement of strategy (D)'!$G1221,IF('All Statement of strategy (D)'!$C$1=RefData!$B$421,'All Statement of strategy (D)'!$H1221," "))))</f>
        <v xml:space="preserve"> </v>
      </c>
    </row>
    <row r="1222" spans="1:9" ht="16" thickBot="1">
      <c r="A1222" s="584" t="s">
        <v>2499</v>
      </c>
      <c r="B1222" s="622" t="str">
        <f ca="1">MID('Reconciliation report'!$E$673,3001,1000)</f>
        <v/>
      </c>
      <c r="C1222" s="625"/>
      <c r="D1222" s="598"/>
      <c r="E1222" s="598" t="str">
        <f ca="1">IF(AND('Reconciliation report'!$E$474&gt;=4,'Reconciliation report'!$E$473=RefData!$B$112),'All Statement of strategy (D)'!$B1222&amp;'All Statement of strategy (D)'!$C1222,"")</f>
        <v/>
      </c>
      <c r="F1222" s="598" t="str">
        <f ca="1">IF(AND('Reconciliation report'!$E$474&gt;=4,'Reconciliation report'!$E$473=RefData!$B$112,'Reconciliation report'!$E$12=RefData!$B$12),'All Statement of strategy (D)'!$B1222&amp;'All Statement of strategy (D)'!$C1222,"")</f>
        <v/>
      </c>
      <c r="G1222" s="598" t="str">
        <f>""</f>
        <v/>
      </c>
      <c r="H1222" s="598" t="str">
        <f>""</f>
        <v/>
      </c>
      <c r="I1222" s="599" t="str">
        <f ca="1">IF($C$1=RefData!$B$418,'All Statement of strategy (D)'!$E1222,IF('All Statement of strategy (D)'!$C$1=RefData!$B$419,'All Statement of strategy (D)'!$F1222,IF('All Statement of strategy (D)'!$C$1=RefData!$B$420,'All Statement of strategy (D)'!$G1222,IF('All Statement of strategy (D)'!$C$1=RefData!$B$421,'All Statement of strategy (D)'!$H1222," "))))</f>
        <v xml:space="preserve"> </v>
      </c>
    </row>
    <row r="1223" spans="1:9">
      <c r="B1223" s="621" t="s">
        <v>2500</v>
      </c>
      <c r="C1223" s="615"/>
      <c r="E1223" s="585" t="str">
        <f ca="1">IF(AND('Reconciliation report'!$E$474&gt;=5,'Reconciliation report'!$E$473=RefData!$B$112),'All Statement of strategy (D)'!$B1223&amp;'All Statement of strategy (D)'!$C1223,"")</f>
        <v/>
      </c>
      <c r="F1223" s="585" t="str">
        <f ca="1">IF(AND('Reconciliation report'!$E$474&gt;=5,'Reconciliation report'!$E$473=RefData!$B$112,'Reconciliation report'!$E$12=RefData!$B$12),'All Statement of strategy (D)'!$B1223&amp;'All Statement of strategy (D)'!$C1223,"")</f>
        <v/>
      </c>
      <c r="G1223" s="585" t="str">
        <f ca="1">IF(AND('Reconciliation report'!$E$474&gt;=5,'Reconciliation report'!$E$473=RefData!$B$112,'Reconciliation report'!$E$9=RefData!$B$5,'Reconciliation report'!$E$13=RefData!$B$14),'All Statement of strategy (D)'!$B1223&amp;'All Statement of strategy (D)'!$C1223,"")</f>
        <v/>
      </c>
      <c r="H1223" s="585" t="str">
        <f ca="1">IF(AND('Reconciliation report'!$E$474&gt;=5,'Reconciliation report'!$E$473=RefData!$B$112,'Reconciliation report'!$E$9=RefData!$B$5,'Reconciliation report'!$E$13=RefData!$B$14),'All Statement of strategy (D)'!$B1223&amp;'All Statement of strategy (D)'!$C1223,"")</f>
        <v/>
      </c>
      <c r="I1223" s="595" t="str">
        <f ca="1">IF($C$1=RefData!$B$418,'All Statement of strategy (D)'!$E1223,IF('All Statement of strategy (D)'!$C$1=RefData!$B$419,'All Statement of strategy (D)'!$F1223,IF('All Statement of strategy (D)'!$C$1=RefData!$B$420,'All Statement of strategy (D)'!$G1223,IF('All Statement of strategy (D)'!$C$1=RefData!$B$421,'All Statement of strategy (D)'!$H1223," "))))</f>
        <v xml:space="preserve"> </v>
      </c>
    </row>
    <row r="1224" spans="1:9">
      <c r="A1224" s="584" t="s">
        <v>2501</v>
      </c>
      <c r="B1224" s="594" t="s">
        <v>2381</v>
      </c>
      <c r="C1224" s="615" t="str">
        <f ca="1">'Reconciliation report'!$E$674</f>
        <v/>
      </c>
      <c r="E1224" s="585" t="str">
        <f ca="1">IF(AND('Reconciliation report'!$E$474&gt;=5,'Reconciliation report'!$E$473=RefData!$B$112),'All Statement of strategy (D)'!$B1224&amp;'All Statement of strategy (D)'!$C1224,"")</f>
        <v/>
      </c>
      <c r="F1224" s="585" t="str">
        <f ca="1">IF(AND('Reconciliation report'!$E$474&gt;=5,'Reconciliation report'!$E$473=RefData!$B$112,'Reconciliation report'!$E$12=RefData!$B$12),'All Statement of strategy (D)'!$B1224&amp;'All Statement of strategy (D)'!$C1224,"")</f>
        <v/>
      </c>
      <c r="G1224" s="585" t="str">
        <f ca="1">IF(AND('Reconciliation report'!$E$474&gt;=5,'Reconciliation report'!$E$473=RefData!$B$112,'Reconciliation report'!$E$9=RefData!$B$5,'Reconciliation report'!$E$13=RefData!$B$14),'All Statement of strategy (D)'!$B1224&amp;'All Statement of strategy (D)'!$C1224,"")</f>
        <v/>
      </c>
      <c r="H1224" s="585" t="str">
        <f ca="1">IF(AND('Reconciliation report'!$E$474&gt;=5,'Reconciliation report'!$E$473=RefData!$B$112,'Reconciliation report'!$E$9=RefData!$B$5,'Reconciliation report'!$E$13=RefData!$B$14),'All Statement of strategy (D)'!$B1224&amp;'All Statement of strategy (D)'!$C1224,"")</f>
        <v/>
      </c>
      <c r="I1224" s="595" t="str">
        <f ca="1">IF($C$1=RefData!$B$418,'All Statement of strategy (D)'!$E1224,IF('All Statement of strategy (D)'!$C$1=RefData!$B$419,'All Statement of strategy (D)'!$F1224,IF('All Statement of strategy (D)'!$C$1=RefData!$B$420,'All Statement of strategy (D)'!$G1224,IF('All Statement of strategy (D)'!$C$1=RefData!$B$421,'All Statement of strategy (D)'!$H1224," "))))</f>
        <v xml:space="preserve"> </v>
      </c>
    </row>
    <row r="1225" spans="1:9">
      <c r="A1225" s="584" t="s">
        <v>2502</v>
      </c>
      <c r="B1225" s="594" t="s">
        <v>2383</v>
      </c>
      <c r="C1225" s="585" t="str">
        <f ca="1">IF(AND('Reconciliation report'!$E$675="",'Reconciliation report'!$E$676=""),"",IF('Reconciliation report'!$E$675="","charity number: "&amp;'Reconciliation report'!$E$676,"companies house number: "&amp;'Reconciliation report'!$E$675))</f>
        <v/>
      </c>
      <c r="E1225" s="585" t="str">
        <f ca="1">IF(AND($C1225&lt;&gt;"",'Reconciliation report'!$E$474&gt;=5,'Reconciliation report'!$E$473=RefData!$B$112),'All Statement of strategy (D)'!$B1225&amp;'All Statement of strategy (D)'!$C1225,"")</f>
        <v/>
      </c>
      <c r="F1225" s="585" t="str">
        <f ca="1">IF(AND($C1225&lt;&gt;"",'Reconciliation report'!$E$474&gt;=5,'Reconciliation report'!$E$473=RefData!$B$112,'Reconciliation report'!$E$12=RefData!$B$12),'All Statement of strategy (D)'!$B1225&amp;'All Statement of strategy (D)'!$C1225,"")</f>
        <v/>
      </c>
      <c r="G1225" s="585" t="str">
        <f ca="1">IF(AND($C1225&lt;&gt;"",'Reconciliation report'!$E$474&gt;=5,'Reconciliation report'!$E$473=RefData!$B$112,'Reconciliation report'!$E$9=RefData!$B$5,'Reconciliation report'!$E$13=RefData!$B$14),'All Statement of strategy (D)'!$B1225&amp;'All Statement of strategy (D)'!$C1225,"")</f>
        <v/>
      </c>
      <c r="H1225" s="585" t="str">
        <f ca="1">IF(AND($C1225&lt;&gt;"",'Reconciliation report'!$E$474&gt;=5,'Reconciliation report'!$E$473=RefData!$B$112,'Reconciliation report'!$E$9=RefData!$B$5,'Reconciliation report'!$E$13=RefData!$B$14),'All Statement of strategy (D)'!$B1225&amp;'All Statement of strategy (D)'!$C1225,"")</f>
        <v/>
      </c>
      <c r="I1225" s="595" t="str">
        <f ca="1">IF($C$1=RefData!$B$418,'All Statement of strategy (D)'!$E1225,IF('All Statement of strategy (D)'!$C$1=RefData!$B$419,'All Statement of strategy (D)'!$F1225,IF('All Statement of strategy (D)'!$C$1=RefData!$B$420,'All Statement of strategy (D)'!$G1225,IF('All Statement of strategy (D)'!$C$1=RefData!$B$421,'All Statement of strategy (D)'!$H1225," "))))</f>
        <v xml:space="preserve"> </v>
      </c>
    </row>
    <row r="1226" spans="1:9">
      <c r="A1226" s="584" t="s">
        <v>2503</v>
      </c>
      <c r="B1226" s="594" t="s">
        <v>1858</v>
      </c>
      <c r="C1226" s="615" t="str">
        <f ca="1">'Reconciliation report'!$E$677</f>
        <v/>
      </c>
      <c r="E1226" s="585" t="str">
        <f ca="1">IF(AND($C1226&lt;&gt;"",'Reconciliation report'!$E$474&gt;=5,'Reconciliation report'!$E$473=RefData!$B$112),'All Statement of strategy (D)'!$B1226&amp;'All Statement of strategy (D)'!$C1226,"")</f>
        <v/>
      </c>
      <c r="F1226" s="585" t="str">
        <f ca="1">IF(AND($C1226&lt;&gt;"",'Reconciliation report'!$E$474&gt;=5,'Reconciliation report'!$E$473=RefData!$B$112,'Reconciliation report'!$E$12=RefData!$B$12),'All Statement of strategy (D)'!$B1226&amp;'All Statement of strategy (D)'!$C1226,"")</f>
        <v/>
      </c>
      <c r="G1226" s="585" t="str">
        <f ca="1">IF(AND($C1226&lt;&gt;"",'Reconciliation report'!$E$474&gt;=5,'Reconciliation report'!$E$473=RefData!$B$112,'Reconciliation report'!$E$9=RefData!$B$5,'Reconciliation report'!$E$13=RefData!$B$14),'All Statement of strategy (D)'!$B1226&amp;'All Statement of strategy (D)'!$C1226,"")</f>
        <v/>
      </c>
      <c r="H1226" s="585" t="str">
        <f ca="1">IF(AND($C1226&lt;&gt;"",'Reconciliation report'!$E$474&gt;=5,'Reconciliation report'!$E$473=RefData!$B$112,'Reconciliation report'!$E$9=RefData!$B$5,'Reconciliation report'!$E$13=RefData!$B$14),'All Statement of strategy (D)'!$B1226&amp;'All Statement of strategy (D)'!$C1226,"")</f>
        <v/>
      </c>
      <c r="I1226" s="595" t="str">
        <f ca="1">IF($C$1=RefData!$B$418,'All Statement of strategy (D)'!$E1226,IF('All Statement of strategy (D)'!$C$1=RefData!$B$419,'All Statement of strategy (D)'!$F1226,IF('All Statement of strategy (D)'!$C$1=RefData!$B$420,'All Statement of strategy (D)'!$G1226,IF('All Statement of strategy (D)'!$C$1=RefData!$B$421,'All Statement of strategy (D)'!$H1226," "))))</f>
        <v xml:space="preserve"> </v>
      </c>
    </row>
    <row r="1227" spans="1:9">
      <c r="A1227" s="584" t="s">
        <v>2504</v>
      </c>
      <c r="B1227" s="594" t="s">
        <v>1860</v>
      </c>
      <c r="C1227" s="615" t="str">
        <f ca="1">'Reconciliation report'!$E$678</f>
        <v/>
      </c>
      <c r="E1227" s="585" t="str">
        <f ca="1">IF(AND($C1227&lt;&gt;"",'Reconciliation report'!$E$474&gt;=5,'Reconciliation report'!$E$473=RefData!$B$112),'All Statement of strategy (D)'!$B1227&amp;'All Statement of strategy (D)'!$C1227,"")</f>
        <v/>
      </c>
      <c r="F1227" s="585" t="str">
        <f ca="1">IF(AND($C1227&lt;&gt;"",'Reconciliation report'!$E$474&gt;=5,'Reconciliation report'!$E$473=RefData!$B$112,'Reconciliation report'!$E$12=RefData!$B$12),'All Statement of strategy (D)'!$B1227&amp;'All Statement of strategy (D)'!$C1227,"")</f>
        <v/>
      </c>
      <c r="G1227" s="585" t="str">
        <f ca="1">IF(AND($C1227&lt;&gt;"",'Reconciliation report'!$E$474&gt;=5,'Reconciliation report'!$E$473=RefData!$B$112,'Reconciliation report'!$E$9=RefData!$B$5,'Reconciliation report'!$E$13=RefData!$B$14),'All Statement of strategy (D)'!$B1227&amp;'All Statement of strategy (D)'!$C1227,"")</f>
        <v/>
      </c>
      <c r="H1227" s="585" t="str">
        <f ca="1">IF(AND($C1227&lt;&gt;"",'Reconciliation report'!$E$474&gt;=5,'Reconciliation report'!$E$473=RefData!$B$112,'Reconciliation report'!$E$9=RefData!$B$5,'Reconciliation report'!$E$13=RefData!$B$14),'All Statement of strategy (D)'!$B1227&amp;'All Statement of strategy (D)'!$C1227,"")</f>
        <v/>
      </c>
      <c r="I1227" s="595" t="str">
        <f ca="1">IF($C$1=RefData!$B$418,'All Statement of strategy (D)'!$E1227,IF('All Statement of strategy (D)'!$C$1=RefData!$B$419,'All Statement of strategy (D)'!$F1227,IF('All Statement of strategy (D)'!$C$1=RefData!$B$420,'All Statement of strategy (D)'!$G1227,IF('All Statement of strategy (D)'!$C$1=RefData!$B$421,'All Statement of strategy (D)'!$H1227," "))))</f>
        <v xml:space="preserve"> </v>
      </c>
    </row>
    <row r="1228" spans="1:9">
      <c r="A1228" s="584" t="s">
        <v>2505</v>
      </c>
      <c r="B1228" s="594" t="s">
        <v>1862</v>
      </c>
      <c r="C1228" s="615" t="str">
        <f ca="1">'Reconciliation report'!$E$679</f>
        <v/>
      </c>
      <c r="E1228" s="585" t="str">
        <f ca="1">IF(AND($C1228&lt;&gt;"",'Reconciliation report'!$E$474&gt;=5,'Reconciliation report'!$E$473=RefData!$B$112),'All Statement of strategy (D)'!$B1228&amp;'All Statement of strategy (D)'!$C1228,"")</f>
        <v/>
      </c>
      <c r="F1228" s="585" t="str">
        <f ca="1">IF(AND($C1228&lt;&gt;"",'Reconciliation report'!$E$474&gt;=5,'Reconciliation report'!$E$473=RefData!$B$112,'Reconciliation report'!$E$12=RefData!$B$12),'All Statement of strategy (D)'!$B1228&amp;'All Statement of strategy (D)'!$C1228,"")</f>
        <v/>
      </c>
      <c r="G1228" s="585" t="str">
        <f ca="1">IF(AND($C1228&lt;&gt;"",'Reconciliation report'!$E$474&gt;=5,'Reconciliation report'!$E$473=RefData!$B$112,'Reconciliation report'!$E$9=RefData!$B$5,'Reconciliation report'!$E$13=RefData!$B$14),'All Statement of strategy (D)'!$B1228&amp;'All Statement of strategy (D)'!$C1228,"")</f>
        <v/>
      </c>
      <c r="H1228" s="585" t="str">
        <f ca="1">IF(AND($C1228&lt;&gt;"",'Reconciliation report'!$E$474&gt;=5,'Reconciliation report'!$E$473=RefData!$B$112,'Reconciliation report'!$E$9=RefData!$B$5,'Reconciliation report'!$E$13=RefData!$B$14),'All Statement of strategy (D)'!$B1228&amp;'All Statement of strategy (D)'!$C1228,"")</f>
        <v/>
      </c>
      <c r="I1228" s="595" t="str">
        <f ca="1">IF($C$1=RefData!$B$418,'All Statement of strategy (D)'!$E1228,IF('All Statement of strategy (D)'!$C$1=RefData!$B$419,'All Statement of strategy (D)'!$F1228,IF('All Statement of strategy (D)'!$C$1=RefData!$B$420,'All Statement of strategy (D)'!$G1228,IF('All Statement of strategy (D)'!$C$1=RefData!$B$421,'All Statement of strategy (D)'!$H1228," "))))</f>
        <v xml:space="preserve"> </v>
      </c>
    </row>
    <row r="1229" spans="1:9">
      <c r="A1229" s="584" t="s">
        <v>2506</v>
      </c>
      <c r="B1229" s="594" t="s">
        <v>2388</v>
      </c>
      <c r="C1229" s="615" t="str">
        <f ca="1">'Reconciliation report'!$E$680</f>
        <v/>
      </c>
      <c r="E1229" s="585" t="str">
        <f ca="1">IF(AND($C1229&lt;&gt;"",'Reconciliation report'!$E$474&gt;=5,'Reconciliation report'!$E$473=RefData!$B$112),'All Statement of strategy (D)'!$B1229&amp;'All Statement of strategy (D)'!$C1229,"")</f>
        <v/>
      </c>
      <c r="F1229" s="585" t="str">
        <f ca="1">IF(AND($C1229&lt;&gt;"",'Reconciliation report'!$E$474&gt;=5,'Reconciliation report'!$E$473=RefData!$B$112,'Reconciliation report'!$E$12=RefData!$B$12),'All Statement of strategy (D)'!$B1229&amp;'All Statement of strategy (D)'!$C1229,"")</f>
        <v/>
      </c>
      <c r="G1229" s="585" t="str">
        <f ca="1">IF(AND($C1229&lt;&gt;"",'Reconciliation report'!$E$474&gt;=5,'Reconciliation report'!$E$473=RefData!$B$112,'Reconciliation report'!$E$9=RefData!$B$5,'Reconciliation report'!$E$13=RefData!$B$14),'All Statement of strategy (D)'!$B1229&amp;'All Statement of strategy (D)'!$C1229,"")</f>
        <v/>
      </c>
      <c r="H1229" s="585" t="str">
        <f ca="1">IF(AND($C1229&lt;&gt;"",'Reconciliation report'!$E$474&gt;=5,'Reconciliation report'!$E$473=RefData!$B$112,'Reconciliation report'!$E$9=RefData!$B$5,'Reconciliation report'!$E$13=RefData!$B$14),'All Statement of strategy (D)'!$B1229&amp;'All Statement of strategy (D)'!$C1229,"")</f>
        <v/>
      </c>
      <c r="I1229" s="595" t="str">
        <f ca="1">IF($C$1=RefData!$B$418,'All Statement of strategy (D)'!$E1229,IF('All Statement of strategy (D)'!$C$1=RefData!$B$419,'All Statement of strategy (D)'!$F1229,IF('All Statement of strategy (D)'!$C$1=RefData!$B$420,'All Statement of strategy (D)'!$G1229,IF('All Statement of strategy (D)'!$C$1=RefData!$B$421,'All Statement of strategy (D)'!$H1229," "))))</f>
        <v xml:space="preserve"> </v>
      </c>
    </row>
    <row r="1230" spans="1:9">
      <c r="A1230" s="584" t="s">
        <v>2507</v>
      </c>
      <c r="B1230" s="594" t="s">
        <v>1866</v>
      </c>
      <c r="C1230" s="615" t="str">
        <f ca="1">'Reconciliation report'!$E$681</f>
        <v/>
      </c>
      <c r="E1230" s="585" t="str">
        <f ca="1">IF(AND($C1230&lt;&gt;"",'Reconciliation report'!$E$474&gt;=5,'Reconciliation report'!$E$473=RefData!$B$112),'All Statement of strategy (D)'!$B1230&amp;'All Statement of strategy (D)'!$C1230,"")</f>
        <v/>
      </c>
      <c r="F1230" s="585" t="str">
        <f ca="1">IF(AND($C1230&lt;&gt;"",'Reconciliation report'!$E$474&gt;=5,'Reconciliation report'!$E$473=RefData!$B$112,'Reconciliation report'!$E$12=RefData!$B$12),'All Statement of strategy (D)'!$B1230&amp;'All Statement of strategy (D)'!$C1230,"")</f>
        <v/>
      </c>
      <c r="G1230" s="585" t="str">
        <f ca="1">IF(AND($C1230&lt;&gt;"",'Reconciliation report'!$E$474&gt;=5,'Reconciliation report'!$E$473=RefData!$B$112,'Reconciliation report'!$E$9=RefData!$B$5,'Reconciliation report'!$E$13=RefData!$B$14),'All Statement of strategy (D)'!$B1230&amp;'All Statement of strategy (D)'!$C1230,"")</f>
        <v/>
      </c>
      <c r="H1230" s="585" t="str">
        <f ca="1">IF(AND($C1230&lt;&gt;"",'Reconciliation report'!$E$474&gt;=5,'Reconciliation report'!$E$473=RefData!$B$112,'Reconciliation report'!$E$9=RefData!$B$5,'Reconciliation report'!$E$13=RefData!$B$14),'All Statement of strategy (D)'!$B1230&amp;'All Statement of strategy (D)'!$C1230,"")</f>
        <v/>
      </c>
      <c r="I1230" s="595" t="str">
        <f ca="1">IF($C$1=RefData!$B$418,'All Statement of strategy (D)'!$E1230,IF('All Statement of strategy (D)'!$C$1=RefData!$B$419,'All Statement of strategy (D)'!$F1230,IF('All Statement of strategy (D)'!$C$1=RefData!$B$420,'All Statement of strategy (D)'!$G1230,IF('All Statement of strategy (D)'!$C$1=RefData!$B$421,'All Statement of strategy (D)'!$H1230," "))))</f>
        <v xml:space="preserve"> </v>
      </c>
    </row>
    <row r="1231" spans="1:9">
      <c r="A1231" s="584" t="s">
        <v>2508</v>
      </c>
      <c r="B1231" s="594" t="s">
        <v>1868</v>
      </c>
      <c r="C1231" s="615" t="str">
        <f ca="1">'Reconciliation report'!$E$682</f>
        <v/>
      </c>
      <c r="E1231" s="585" t="str">
        <f ca="1">IF(AND($C1231&lt;&gt;"",'Reconciliation report'!$E$474&gt;=5,'Reconciliation report'!$E$473=RefData!$B$112),'All Statement of strategy (D)'!$B1231&amp;'All Statement of strategy (D)'!$C1231,"")</f>
        <v/>
      </c>
      <c r="F1231" s="585" t="str">
        <f ca="1">IF(AND($C1231&lt;&gt;"",'Reconciliation report'!$E$474&gt;=5,'Reconciliation report'!$E$473=RefData!$B$112,'Reconciliation report'!$E$12=RefData!$B$12),'All Statement of strategy (D)'!$B1231&amp;'All Statement of strategy (D)'!$C1231,"")</f>
        <v/>
      </c>
      <c r="G1231" s="585" t="str">
        <f ca="1">IF(AND($C1231&lt;&gt;"",'Reconciliation report'!$E$474&gt;=5,'Reconciliation report'!$E$473=RefData!$B$112,'Reconciliation report'!$E$9=RefData!$B$5,'Reconciliation report'!$E$13=RefData!$B$14),'All Statement of strategy (D)'!$B1231&amp;'All Statement of strategy (D)'!$C1231,"")</f>
        <v/>
      </c>
      <c r="H1231" s="585" t="str">
        <f ca="1">IF(AND($C1231&lt;&gt;"",'Reconciliation report'!$E$474&gt;=5,'Reconciliation report'!$E$473=RefData!$B$112,'Reconciliation report'!$E$9=RefData!$B$5,'Reconciliation report'!$E$13=RefData!$B$14),'All Statement of strategy (D)'!$B1231&amp;'All Statement of strategy (D)'!$C1231,"")</f>
        <v/>
      </c>
      <c r="I1231" s="595" t="str">
        <f ca="1">IF($C$1=RefData!$B$418,'All Statement of strategy (D)'!$E1231,IF('All Statement of strategy (D)'!$C$1=RefData!$B$419,'All Statement of strategy (D)'!$F1231,IF('All Statement of strategy (D)'!$C$1=RefData!$B$420,'All Statement of strategy (D)'!$G1231,IF('All Statement of strategy (D)'!$C$1=RefData!$B$421,'All Statement of strategy (D)'!$H1231," "))))</f>
        <v xml:space="preserve"> </v>
      </c>
    </row>
    <row r="1232" spans="1:9">
      <c r="A1232" s="584" t="s">
        <v>2509</v>
      </c>
      <c r="B1232" s="594" t="s">
        <v>1870</v>
      </c>
      <c r="C1232" s="615" t="str">
        <f ca="1">'Reconciliation report'!$E$683</f>
        <v/>
      </c>
      <c r="E1232" s="585" t="str">
        <f ca="1">IF(AND($C1232&lt;&gt;"",'Reconciliation report'!$E$474&gt;=5,'Reconciliation report'!$E$473=RefData!$B$112),'All Statement of strategy (D)'!$B1232&amp;'All Statement of strategy (D)'!$C1232,"")</f>
        <v/>
      </c>
      <c r="F1232" s="585" t="str">
        <f ca="1">IF(AND($C1232&lt;&gt;"",'Reconciliation report'!$E$474&gt;=5,'Reconciliation report'!$E$473=RefData!$B$112,'Reconciliation report'!$E$12=RefData!$B$12),'All Statement of strategy (D)'!$B1232&amp;'All Statement of strategy (D)'!$C1232,"")</f>
        <v/>
      </c>
      <c r="G1232" s="585" t="str">
        <f ca="1">IF(AND($C1232&lt;&gt;"",'Reconciliation report'!$E$474&gt;=5,'Reconciliation report'!$E$473=RefData!$B$112,'Reconciliation report'!$E$9=RefData!$B$5,'Reconciliation report'!$E$13=RefData!$B$14),'All Statement of strategy (D)'!$B1232&amp;'All Statement of strategy (D)'!$C1232,"")</f>
        <v/>
      </c>
      <c r="H1232" s="585" t="str">
        <f ca="1">IF(AND($C1232&lt;&gt;"",'Reconciliation report'!$E$474&gt;=5,'Reconciliation report'!$E$473=RefData!$B$112,'Reconciliation report'!$E$9=RefData!$B$5,'Reconciliation report'!$E$13=RefData!$B$14),'All Statement of strategy (D)'!$B1232&amp;'All Statement of strategy (D)'!$C1232,"")</f>
        <v/>
      </c>
      <c r="I1232" s="595" t="str">
        <f ca="1">IF($C$1=RefData!$B$418,'All Statement of strategy (D)'!$E1232,IF('All Statement of strategy (D)'!$C$1=RefData!$B$419,'All Statement of strategy (D)'!$F1232,IF('All Statement of strategy (D)'!$C$1=RefData!$B$420,'All Statement of strategy (D)'!$G1232,IF('All Statement of strategy (D)'!$C$1=RefData!$B$421,'All Statement of strategy (D)'!$H1232," "))))</f>
        <v xml:space="preserve"> </v>
      </c>
    </row>
    <row r="1233" spans="1:9">
      <c r="A1233" s="584" t="s">
        <v>2510</v>
      </c>
      <c r="B1233" s="594" t="s">
        <v>2393</v>
      </c>
      <c r="C1233" s="615" t="str">
        <f ca="1">IF('Reconciliation report'!$E$684=RefData!$B$124,"Yes",IF('Reconciliation report'!$E$684=RefData!$B$125,"No",""))</f>
        <v/>
      </c>
      <c r="E1233" s="585" t="str">
        <f ca="1">IF(AND('Reconciliation report'!$E$474&gt;=5,'Reconciliation report'!$E$473=RefData!$B$112),'All Statement of strategy (D)'!$B1233&amp;'All Statement of strategy (D)'!$C1233,"")</f>
        <v/>
      </c>
      <c r="F1233" s="585" t="str">
        <f ca="1">IF(AND('Reconciliation report'!$E$474&gt;=5,'Reconciliation report'!$E$473=RefData!$B$112,'Reconciliation report'!$E$12=RefData!$B$12),'All Statement of strategy (D)'!$B1233&amp;'All Statement of strategy (D)'!$C1233,"")</f>
        <v/>
      </c>
      <c r="G1233" s="585" t="str">
        <f>""</f>
        <v/>
      </c>
      <c r="H1233" s="585" t="str">
        <f>""</f>
        <v/>
      </c>
      <c r="I1233" s="595" t="str">
        <f ca="1">IF($C$1=RefData!$B$418,'All Statement of strategy (D)'!$E1233,IF('All Statement of strategy (D)'!$C$1=RefData!$B$419,'All Statement of strategy (D)'!$F1233,IF('All Statement of strategy (D)'!$C$1=RefData!$B$420,'All Statement of strategy (D)'!$G1233,IF('All Statement of strategy (D)'!$C$1=RefData!$B$421,'All Statement of strategy (D)'!$H1233," "))))</f>
        <v xml:space="preserve"> </v>
      </c>
    </row>
    <row r="1234" spans="1:9">
      <c r="B1234" s="594" t="s">
        <v>2511</v>
      </c>
      <c r="C1234" s="615"/>
      <c r="E1234" s="585" t="str">
        <f ca="1">IF(AND('Reconciliation report'!$E$474&gt;=5,'Reconciliation report'!$E$473=RefData!$B$112),'All Statement of strategy (D)'!$B1234&amp;'All Statement of strategy (D)'!$C1234,"")</f>
        <v/>
      </c>
      <c r="F1234" s="585" t="str">
        <f ca="1">IF(AND('Reconciliation report'!$E$474&gt;=5,'Reconciliation report'!$E$473=RefData!$B$112,'Reconciliation report'!$E$12=RefData!$B$12),'All Statement of strategy (D)'!$B1234&amp;'All Statement of strategy (D)'!$C1234,"")</f>
        <v/>
      </c>
      <c r="G1234" s="585" t="str">
        <f ca="1">IF(AND('Reconciliation report'!$E$474&gt;=5,'Reconciliation report'!$E$473=RefData!$B$112,'Reconciliation report'!$E$9=RefData!$B$5,'Reconciliation report'!$E$13=RefData!$B$14),'All Statement of strategy (D)'!$B1234&amp;'All Statement of strategy (D)'!$C1234,"")</f>
        <v/>
      </c>
      <c r="H1234" s="585" t="str">
        <f ca="1">IF(AND('Reconciliation report'!$E$474&gt;=5,'Reconciliation report'!$E$473=RefData!$B$112,'Reconciliation report'!$E$9=RefData!$B$5,'Reconciliation report'!$E$13=RefData!$B$14),'All Statement of strategy (D)'!$B1234&amp;'All Statement of strategy (D)'!$C1234,"")</f>
        <v/>
      </c>
      <c r="I1234" s="595" t="str">
        <f ca="1">IF($C$1=RefData!$B$418,'All Statement of strategy (D)'!$E1234,IF('All Statement of strategy (D)'!$C$1=RefData!$B$419,'All Statement of strategy (D)'!$F1234,IF('All Statement of strategy (D)'!$C$1=RefData!$B$420,'All Statement of strategy (D)'!$G1234,IF('All Statement of strategy (D)'!$C$1=RefData!$B$421,'All Statement of strategy (D)'!$H1234," "))))</f>
        <v xml:space="preserve"> </v>
      </c>
    </row>
    <row r="1235" spans="1:9">
      <c r="A1235" s="584" t="s">
        <v>2512</v>
      </c>
      <c r="B1235" s="594" t="str">
        <f ca="1">"Type of guarantee: "&amp;IF('Reconciliation report'!$E$685=RefData!$B$129,"",'Reconciliation report'!$E$685)</f>
        <v xml:space="preserve">Type of guarantee: </v>
      </c>
      <c r="D1235" s="624"/>
      <c r="E1235" s="585" t="str">
        <f ca="1">IF(AND('Reconciliation report'!$E$474&gt;=5,'Reconciliation report'!$E$473=RefData!$B$112),'All Statement of strategy (D)'!$B1235&amp;'All Statement of strategy (D)'!$C1235,"")</f>
        <v/>
      </c>
      <c r="F1235" s="585" t="str">
        <f ca="1">IF(AND('Reconciliation report'!$E$474&gt;=5,'Reconciliation report'!$E$473=RefData!$B$112,'Reconciliation report'!$E$12=RefData!$B$12),'All Statement of strategy (D)'!$B1235&amp;'All Statement of strategy (D)'!$C1235,"")</f>
        <v/>
      </c>
      <c r="G1235" s="585" t="str">
        <f ca="1">IF(AND('Reconciliation report'!$E$474&gt;=5,'Reconciliation report'!$E$473=RefData!$B$112,'Reconciliation report'!$E$9=RefData!$B$5,'Reconciliation report'!$E$13=RefData!$B$14),'All Statement of strategy (D)'!$B1235&amp;'All Statement of strategy (D)'!$C1235,"")</f>
        <v/>
      </c>
      <c r="H1235" s="585" t="str">
        <f ca="1">IF(AND('Reconciliation report'!$E$474&gt;=5,'Reconciliation report'!$E$473=RefData!$B$112,'Reconciliation report'!$E$9=RefData!$B$5,'Reconciliation report'!$E$13=RefData!$B$14),'All Statement of strategy (D)'!$B1235&amp;'All Statement of strategy (D)'!$C1235,"")</f>
        <v/>
      </c>
      <c r="I1235" s="595" t="str">
        <f ca="1">IF($C$1=RefData!$B$418,'All Statement of strategy (D)'!$E1235,IF('All Statement of strategy (D)'!$C$1=RefData!$B$419,'All Statement of strategy (D)'!$F1235,IF('All Statement of strategy (D)'!$C$1=RefData!$B$420,'All Statement of strategy (D)'!$G1235,IF('All Statement of strategy (D)'!$C$1=RefData!$B$421,'All Statement of strategy (D)'!$H1235," "))))</f>
        <v xml:space="preserve"> </v>
      </c>
    </row>
    <row r="1236" spans="1:9">
      <c r="A1236" s="604" t="s">
        <v>2513</v>
      </c>
      <c r="B1236" s="594" t="str">
        <f ca="1">B1235&amp;IF('Reconciliation report'!$E$685=RefData!$B$129,LEFT('Reconciliation report'!$E$686,1000),"")</f>
        <v xml:space="preserve">Type of guarantee: </v>
      </c>
      <c r="D1236" s="624"/>
      <c r="E1236" s="585" t="str">
        <f ca="1">IF(AND('Reconciliation report'!$E$474&gt;=5,'Reconciliation report'!$E$473=RefData!$B$112),'All Statement of strategy (D)'!$B1236&amp;'All Statement of strategy (D)'!$C1236,"")</f>
        <v/>
      </c>
      <c r="F1236" s="585" t="str">
        <f ca="1">IF(AND('Reconciliation report'!$E$474&gt;=5,'Reconciliation report'!$E$473=RefData!$B$112,'Reconciliation report'!$E$12=RefData!$B$12),'All Statement of strategy (D)'!$B1236&amp;'All Statement of strategy (D)'!$C1236,"")</f>
        <v/>
      </c>
      <c r="G1236" s="585" t="str">
        <f ca="1">IF(AND('Reconciliation report'!$E$474&gt;=5,'Reconciliation report'!$E$473=RefData!$B$112,'Reconciliation report'!$E$9=RefData!$B$5,'Reconciliation report'!$E$13=RefData!$B$14),'All Statement of strategy (D)'!$B1236&amp;'All Statement of strategy (D)'!$C1236,"")</f>
        <v/>
      </c>
      <c r="H1236" s="585" t="str">
        <f ca="1">IF(AND('Reconciliation report'!$E$474&gt;=5,'Reconciliation report'!$E$473=RefData!$B$112,'Reconciliation report'!$E$9=RefData!$B$5,'Reconciliation report'!$E$13=RefData!$B$14),'All Statement of strategy (D)'!$B1236&amp;'All Statement of strategy (D)'!$C1236,"")</f>
        <v/>
      </c>
      <c r="I1236" s="595" t="str">
        <f ca="1">IF($C$1=RefData!$B$418,'All Statement of strategy (D)'!$E1236,IF('All Statement of strategy (D)'!$C$1=RefData!$B$419,'All Statement of strategy (D)'!$F1236,IF('All Statement of strategy (D)'!$C$1=RefData!$B$420,'All Statement of strategy (D)'!$G1236,IF('All Statement of strategy (D)'!$C$1=RefData!$B$421,'All Statement of strategy (D)'!$H1236," "))))</f>
        <v xml:space="preserve"> </v>
      </c>
    </row>
    <row r="1237" spans="1:9">
      <c r="A1237" s="604" t="s">
        <v>2513</v>
      </c>
      <c r="B1237" s="594" t="str">
        <f ca="1">IF('Reconciliation report'!$E$685=RefData!$B$129,MID('Reconciliation report'!$E$686,1001,1000),"")</f>
        <v/>
      </c>
      <c r="D1237" s="624"/>
      <c r="E1237" s="585" t="str">
        <f ca="1">IF(AND('Reconciliation report'!$E$474&gt;=5,'Reconciliation report'!$E$473=RefData!$B$112),'All Statement of strategy (D)'!$B1237&amp;'All Statement of strategy (D)'!$C1237,"")</f>
        <v/>
      </c>
      <c r="F1237" s="585" t="str">
        <f ca="1">IF(AND('Reconciliation report'!$E$474&gt;=5,'Reconciliation report'!$E$473=RefData!$B$112,'Reconciliation report'!$E$12=RefData!$B$12),'All Statement of strategy (D)'!$B1237&amp;'All Statement of strategy (D)'!$C1237,"")</f>
        <v/>
      </c>
      <c r="G1237" s="585" t="str">
        <f ca="1">IF(AND('Reconciliation report'!$E$474&gt;=5,'Reconciliation report'!$E$473=RefData!$B$112,'Reconciliation report'!$E$9=RefData!$B$5,'Reconciliation report'!$E$13=RefData!$B$14),'All Statement of strategy (D)'!$B1237&amp;'All Statement of strategy (D)'!$C1237,"")</f>
        <v/>
      </c>
      <c r="H1237" s="585" t="str">
        <f ca="1">IF(AND('Reconciliation report'!$E$474&gt;=5,'Reconciliation report'!$E$473=RefData!$B$112,'Reconciliation report'!$E$9=RefData!$B$5,'Reconciliation report'!$E$13=RefData!$B$14),'All Statement of strategy (D)'!$B1237&amp;'All Statement of strategy (D)'!$C1237,"")</f>
        <v/>
      </c>
      <c r="I1237" s="595" t="str">
        <f ca="1">IF($C$1=RefData!$B$418,'All Statement of strategy (D)'!$E1237,IF('All Statement of strategy (D)'!$C$1=RefData!$B$419,'All Statement of strategy (D)'!$F1237,IF('All Statement of strategy (D)'!$C$1=RefData!$B$420,'All Statement of strategy (D)'!$G1237,IF('All Statement of strategy (D)'!$C$1=RefData!$B$421,'All Statement of strategy (D)'!$H1237," "))))</f>
        <v xml:space="preserve"> </v>
      </c>
    </row>
    <row r="1238" spans="1:9">
      <c r="A1238" s="604" t="s">
        <v>2513</v>
      </c>
      <c r="B1238" s="594" t="str">
        <f ca="1">IF('Reconciliation report'!$E$685=RefData!$B$129,MID('Reconciliation report'!$E$686,2001,1000),"")</f>
        <v/>
      </c>
      <c r="D1238" s="624"/>
      <c r="E1238" s="585" t="str">
        <f ca="1">IF(AND('Reconciliation report'!$E$474&gt;=5,'Reconciliation report'!$E$473=RefData!$B$112),'All Statement of strategy (D)'!$B1238&amp;'All Statement of strategy (D)'!$C1238,"")</f>
        <v/>
      </c>
      <c r="F1238" s="585" t="str">
        <f ca="1">IF(AND('Reconciliation report'!$E$474&gt;=5,'Reconciliation report'!$E$473=RefData!$B$112,'Reconciliation report'!$E$12=RefData!$B$12),'All Statement of strategy (D)'!$B1238&amp;'All Statement of strategy (D)'!$C1238,"")</f>
        <v/>
      </c>
      <c r="G1238" s="585" t="str">
        <f ca="1">IF(AND('Reconciliation report'!$E$474&gt;=5,'Reconciliation report'!$E$473=RefData!$B$112,'Reconciliation report'!$E$9=RefData!$B$5,'Reconciliation report'!$E$13=RefData!$B$14),'All Statement of strategy (D)'!$B1238&amp;'All Statement of strategy (D)'!$C1238,"")</f>
        <v/>
      </c>
      <c r="H1238" s="585" t="str">
        <f ca="1">IF(AND('Reconciliation report'!$E$474&gt;=5,'Reconciliation report'!$E$473=RefData!$B$112,'Reconciliation report'!$E$9=RefData!$B$5,'Reconciliation report'!$E$13=RefData!$B$14),'All Statement of strategy (D)'!$B1238&amp;'All Statement of strategy (D)'!$C1238,"")</f>
        <v/>
      </c>
      <c r="I1238" s="595" t="str">
        <f ca="1">IF($C$1=RefData!$B$418,'All Statement of strategy (D)'!$E1238,IF('All Statement of strategy (D)'!$C$1=RefData!$B$419,'All Statement of strategy (D)'!$F1238,IF('All Statement of strategy (D)'!$C$1=RefData!$B$420,'All Statement of strategy (D)'!$G1238,IF('All Statement of strategy (D)'!$C$1=RefData!$B$421,'All Statement of strategy (D)'!$H1238," "))))</f>
        <v xml:space="preserve"> </v>
      </c>
    </row>
    <row r="1239" spans="1:9">
      <c r="A1239" s="604" t="s">
        <v>2513</v>
      </c>
      <c r="B1239" s="594" t="str">
        <f ca="1">IF('Reconciliation report'!$E$685=RefData!$B$129,MID('Reconciliation report'!$E$686,3001,1000),"")</f>
        <v/>
      </c>
      <c r="D1239" s="624"/>
      <c r="E1239" s="585" t="str">
        <f ca="1">IF(AND('Reconciliation report'!$E$474&gt;=5,'Reconciliation report'!$E$473=RefData!$B$112),'All Statement of strategy (D)'!$B1239&amp;'All Statement of strategy (D)'!$C1239,"")</f>
        <v/>
      </c>
      <c r="F1239" s="585" t="str">
        <f ca="1">IF(AND('Reconciliation report'!$E$474&gt;=5,'Reconciliation report'!$E$473=RefData!$B$112,'Reconciliation report'!$E$12=RefData!$B$12),'All Statement of strategy (D)'!$B1239&amp;'All Statement of strategy (D)'!$C1239,"")</f>
        <v/>
      </c>
      <c r="G1239" s="585" t="str">
        <f ca="1">IF(AND('Reconciliation report'!$E$474&gt;=5,'Reconciliation report'!$E$473=RefData!$B$112,'Reconciliation report'!$E$9=RefData!$B$5,'Reconciliation report'!$E$13=RefData!$B$14),'All Statement of strategy (D)'!$B1239&amp;'All Statement of strategy (D)'!$C1239,"")</f>
        <v/>
      </c>
      <c r="H1239" s="585" t="str">
        <f ca="1">IF(AND('Reconciliation report'!$E$474&gt;=5,'Reconciliation report'!$E$473=RefData!$B$112,'Reconciliation report'!$E$9=RefData!$B$5,'Reconciliation report'!$E$13=RefData!$B$14),'All Statement of strategy (D)'!$B1239&amp;'All Statement of strategy (D)'!$C1239,"")</f>
        <v/>
      </c>
      <c r="I1239" s="595" t="str">
        <f ca="1">IF($C$1=RefData!$B$418,'All Statement of strategy (D)'!$E1239,IF('All Statement of strategy (D)'!$C$1=RefData!$B$419,'All Statement of strategy (D)'!$F1239,IF('All Statement of strategy (D)'!$C$1=RefData!$B$420,'All Statement of strategy (D)'!$G1239,IF('All Statement of strategy (D)'!$C$1=RefData!$B$421,'All Statement of strategy (D)'!$H1239," "))))</f>
        <v xml:space="preserve"> </v>
      </c>
    </row>
    <row r="1240" spans="1:9">
      <c r="A1240" s="584" t="s">
        <v>2514</v>
      </c>
      <c r="B1240" s="594" t="str">
        <f ca="1">"Type of maturity: "&amp;IF('Reconciliation report'!$E$687=RefData!$B$130,'Reconciliation report'!$E$687,
IF('Reconciliation report'!$E$687=RefData!$B$131,"Fixed expiry with a maturity date of "&amp;TEXT('Reconciliation report'!$E$688,RefData!$B$424),""))</f>
        <v xml:space="preserve">Type of maturity: </v>
      </c>
      <c r="D1240" s="624"/>
      <c r="E1240" s="585" t="str">
        <f ca="1">IF(AND('Reconciliation report'!$E$474&gt;=5,'Reconciliation report'!$E$473=RefData!$B$112),'All Statement of strategy (D)'!$B1240&amp;'All Statement of strategy (D)'!$C1240,"")</f>
        <v/>
      </c>
      <c r="F1240" s="585" t="str">
        <f ca="1">IF(AND('Reconciliation report'!$E$474&gt;=5,'Reconciliation report'!$E$473=RefData!$B$112,'Reconciliation report'!$E$12=RefData!$B$12),'All Statement of strategy (D)'!$B1240&amp;'All Statement of strategy (D)'!$C1240,"")</f>
        <v/>
      </c>
      <c r="G1240" s="585" t="str">
        <f>""</f>
        <v/>
      </c>
      <c r="H1240" s="585" t="str">
        <f>""</f>
        <v/>
      </c>
      <c r="I1240" s="595" t="str">
        <f ca="1">IF($C$1=RefData!$B$418,'All Statement of strategy (D)'!$E1240,IF('All Statement of strategy (D)'!$C$1=RefData!$B$419,'All Statement of strategy (D)'!$F1240,IF('All Statement of strategy (D)'!$C$1=RefData!$B$420,'All Statement of strategy (D)'!$G1240,IF('All Statement of strategy (D)'!$C$1=RefData!$B$421,'All Statement of strategy (D)'!$H1240," "))))</f>
        <v xml:space="preserve"> </v>
      </c>
    </row>
    <row r="1241" spans="1:9">
      <c r="A1241" s="584" t="s">
        <v>2515</v>
      </c>
      <c r="B1241" s="594" t="str">
        <f ca="1">B1240&amp;IF('Reconciliation report'!$E$687=RefData!$B$132,LEFT('Reconciliation report'!$E$689,1000),"")</f>
        <v xml:space="preserve">Type of maturity: </v>
      </c>
      <c r="D1241" s="624"/>
      <c r="E1241" s="585" t="str">
        <f ca="1">IF(AND('Reconciliation report'!$E$474&gt;=5,'Reconciliation report'!$E$473=RefData!$B$112),'All Statement of strategy (D)'!$B1241&amp;'All Statement of strategy (D)'!$C1241,"")</f>
        <v/>
      </c>
      <c r="F1241" s="585" t="str">
        <f ca="1">IF(AND('Reconciliation report'!$E$474&gt;=5,'Reconciliation report'!$E$473=RefData!$B$112,'Reconciliation report'!$E$12=RefData!$B$12),'All Statement of strategy (D)'!$B1241&amp;'All Statement of strategy (D)'!$C1241,"")</f>
        <v/>
      </c>
      <c r="G1241" s="585" t="str">
        <f>""</f>
        <v/>
      </c>
      <c r="H1241" s="585" t="str">
        <f>""</f>
        <v/>
      </c>
      <c r="I1241" s="595" t="str">
        <f ca="1">IF($C$1=RefData!$B$418,'All Statement of strategy (D)'!$E1241,IF('All Statement of strategy (D)'!$C$1=RefData!$B$419,'All Statement of strategy (D)'!$F1241,IF('All Statement of strategy (D)'!$C$1=RefData!$B$420,'All Statement of strategy (D)'!$G1241,IF('All Statement of strategy (D)'!$C$1=RefData!$B$421,'All Statement of strategy (D)'!$H1241," "))))</f>
        <v xml:space="preserve"> </v>
      </c>
    </row>
    <row r="1242" spans="1:9">
      <c r="A1242" s="584" t="s">
        <v>2515</v>
      </c>
      <c r="B1242" s="594" t="str">
        <f ca="1">IF('Reconciliation report'!$E$687=RefData!$B$132,MID('Reconciliation report'!$E$689,1001,1000),"")</f>
        <v/>
      </c>
      <c r="D1242" s="624"/>
      <c r="E1242" s="585" t="str">
        <f ca="1">IF(AND('Reconciliation report'!$E$474&gt;=5,'Reconciliation report'!$E$473=RefData!$B$112),'All Statement of strategy (D)'!$B1242&amp;'All Statement of strategy (D)'!$C1242,"")</f>
        <v/>
      </c>
      <c r="F1242" s="585" t="str">
        <f ca="1">IF(AND('Reconciliation report'!$E$474&gt;=5,'Reconciliation report'!$E$473=RefData!$B$112,'Reconciliation report'!$E$12=RefData!$B$12),'All Statement of strategy (D)'!$B1242&amp;'All Statement of strategy (D)'!$C1242,"")</f>
        <v/>
      </c>
      <c r="G1242" s="585" t="str">
        <f>""</f>
        <v/>
      </c>
      <c r="H1242" s="585" t="str">
        <f>""</f>
        <v/>
      </c>
      <c r="I1242" s="595" t="str">
        <f ca="1">IF($C$1=RefData!$B$418,'All Statement of strategy (D)'!$E1242,IF('All Statement of strategy (D)'!$C$1=RefData!$B$419,'All Statement of strategy (D)'!$F1242,IF('All Statement of strategy (D)'!$C$1=RefData!$B$420,'All Statement of strategy (D)'!$G1242,IF('All Statement of strategy (D)'!$C$1=RefData!$B$421,'All Statement of strategy (D)'!$H1242," "))))</f>
        <v xml:space="preserve"> </v>
      </c>
    </row>
    <row r="1243" spans="1:9">
      <c r="A1243" s="584" t="s">
        <v>2515</v>
      </c>
      <c r="B1243" s="594" t="str">
        <f ca="1">IF('Reconciliation report'!$E$687=RefData!$B$132,MID('Reconciliation report'!$E$689,2001,1000),"")</f>
        <v/>
      </c>
      <c r="D1243" s="624"/>
      <c r="E1243" s="585" t="str">
        <f ca="1">IF(AND('Reconciliation report'!$E$474&gt;=5,'Reconciliation report'!$E$473=RefData!$B$112),'All Statement of strategy (D)'!$B1243&amp;'All Statement of strategy (D)'!$C1243,"")</f>
        <v/>
      </c>
      <c r="F1243" s="585" t="str">
        <f ca="1">IF(AND('Reconciliation report'!$E$474&gt;=5,'Reconciliation report'!$E$473=RefData!$B$112,'Reconciliation report'!$E$12=RefData!$B$12),'All Statement of strategy (D)'!$B1243&amp;'All Statement of strategy (D)'!$C1243,"")</f>
        <v/>
      </c>
      <c r="G1243" s="585" t="str">
        <f>""</f>
        <v/>
      </c>
      <c r="H1243" s="585" t="str">
        <f>""</f>
        <v/>
      </c>
      <c r="I1243" s="595" t="str">
        <f ca="1">IF($C$1=RefData!$B$418,'All Statement of strategy (D)'!$E1243,IF('All Statement of strategy (D)'!$C$1=RefData!$B$419,'All Statement of strategy (D)'!$F1243,IF('All Statement of strategy (D)'!$C$1=RefData!$B$420,'All Statement of strategy (D)'!$G1243,IF('All Statement of strategy (D)'!$C$1=RefData!$B$421,'All Statement of strategy (D)'!$H1243," "))))</f>
        <v xml:space="preserve"> </v>
      </c>
    </row>
    <row r="1244" spans="1:9">
      <c r="A1244" s="584" t="s">
        <v>2515</v>
      </c>
      <c r="B1244" s="594" t="str">
        <f ca="1">IF('Reconciliation report'!$E$687=RefData!$B$132,MID('Reconciliation report'!$E$689,3001,1000),"")</f>
        <v/>
      </c>
      <c r="D1244" s="624"/>
      <c r="E1244" s="585" t="str">
        <f ca="1">IF(AND('Reconciliation report'!$E$474&gt;=5,'Reconciliation report'!$E$473=RefData!$B$112),'All Statement of strategy (D)'!$B1244&amp;'All Statement of strategy (D)'!$C1244,"")</f>
        <v/>
      </c>
      <c r="F1244" s="585" t="str">
        <f ca="1">IF(AND('Reconciliation report'!$E$474&gt;=5,'Reconciliation report'!$E$473=RefData!$B$112,'Reconciliation report'!$E$12=RefData!$B$12),'All Statement of strategy (D)'!$B1244&amp;'All Statement of strategy (D)'!$C1244,"")</f>
        <v/>
      </c>
      <c r="G1244" s="585" t="str">
        <f>""</f>
        <v/>
      </c>
      <c r="H1244" s="585" t="str">
        <f>""</f>
        <v/>
      </c>
      <c r="I1244" s="595" t="str">
        <f ca="1">IF($C$1=RefData!$B$418,'All Statement of strategy (D)'!$E1244,IF('All Statement of strategy (D)'!$C$1=RefData!$B$419,'All Statement of strategy (D)'!$F1244,IF('All Statement of strategy (D)'!$C$1=RefData!$B$420,'All Statement of strategy (D)'!$G1244,IF('All Statement of strategy (D)'!$C$1=RefData!$B$421,'All Statement of strategy (D)'!$H1244," "))))</f>
        <v xml:space="preserve"> </v>
      </c>
    </row>
    <row r="1245" spans="1:9">
      <c r="A1245" s="584" t="s">
        <v>2516</v>
      </c>
      <c r="B1245" s="594" t="s">
        <v>2399</v>
      </c>
      <c r="E1245" s="585" t="str">
        <f ca="1">IF(AND('Reconciliation report'!$E$474&gt;=5,'Reconciliation report'!$E$473=RefData!$B$112),'All Statement of strategy (D)'!$B1245&amp;'All Statement of strategy (D)'!$C1245,"")</f>
        <v/>
      </c>
      <c r="F1245" s="585" t="str">
        <f ca="1">IF(AND('Reconciliation report'!$E$474&gt;=5,'Reconciliation report'!$E$473=RefData!$B$112,'Reconciliation report'!$E$12=RefData!$B$12),'All Statement of strategy (D)'!$B1245&amp;'All Statement of strategy (D)'!$C1245,"")</f>
        <v/>
      </c>
      <c r="G1245" s="585" t="str">
        <f ca="1">IF(AND('Reconciliation report'!$E$474&gt;=5,'Reconciliation report'!$E$473=RefData!$B$112,'Reconciliation report'!$E$9=RefData!$B$5,'Reconciliation report'!$E$13=RefData!$B$14),'All Statement of strategy (D)'!$B1245&amp;'All Statement of strategy (D)'!$C1245,"")</f>
        <v/>
      </c>
      <c r="H1245" s="585" t="str">
        <f ca="1">IF(AND('Reconciliation report'!$E$474&gt;=5,'Reconciliation report'!$E$473=RefData!$B$112,'Reconciliation report'!$E$9=RefData!$B$5,'Reconciliation report'!$E$13=RefData!$B$14),'All Statement of strategy (D)'!$B1245&amp;'All Statement of strategy (D)'!$C1245,"")</f>
        <v/>
      </c>
      <c r="I1245" s="595" t="str">
        <f ca="1">IF($C$1=RefData!$B$418,'All Statement of strategy (D)'!$E1245,IF('All Statement of strategy (D)'!$C$1=RefData!$B$419,'All Statement of strategy (D)'!$F1245,IF('All Statement of strategy (D)'!$C$1=RefData!$B$420,'All Statement of strategy (D)'!$G1245,IF('All Statement of strategy (D)'!$C$1=RefData!$B$421,'All Statement of strategy (D)'!$H1245," "))))</f>
        <v xml:space="preserve"> </v>
      </c>
    </row>
    <row r="1246" spans="1:9">
      <c r="B1246" s="594" t="s">
        <v>2400</v>
      </c>
      <c r="C1246" s="585" t="str">
        <f ca="1">TEXT('Reconciliation report'!$E$690,RefData!$B$425)</f>
        <v/>
      </c>
      <c r="E1246" s="585" t="str">
        <f ca="1">IF(AND('Reconciliation report'!$E$474&gt;=5,'Reconciliation report'!$E$473=RefData!$B$112),'All Statement of strategy (D)'!$B1246&amp;'All Statement of strategy (D)'!$C1246,"")</f>
        <v/>
      </c>
      <c r="F1246" s="585" t="str">
        <f ca="1">IF(AND('Reconciliation report'!$E$474&gt;=5,'Reconciliation report'!$E$473=RefData!$B$112,'Reconciliation report'!$E$12=RefData!$B$12),'All Statement of strategy (D)'!$B1246&amp;'All Statement of strategy (D)'!$C1246,"")</f>
        <v/>
      </c>
      <c r="G1246" s="585" t="str">
        <f ca="1">IF(AND('Reconciliation report'!$E$474&gt;=5,'Reconciliation report'!$E$473=RefData!$B$112,'Reconciliation report'!$E$9=RefData!$B$5,'Reconciliation report'!$E$13=RefData!$B$14),'All Statement of strategy (D)'!$B1246&amp;'All Statement of strategy (D)'!$C1246,"")</f>
        <v/>
      </c>
      <c r="H1246" s="585" t="str">
        <f ca="1">IF(AND('Reconciliation report'!$E$474&gt;=5,'Reconciliation report'!$E$473=RefData!$B$112,'Reconciliation report'!$E$9=RefData!$B$5,'Reconciliation report'!$E$13=RefData!$B$14),'All Statement of strategy (D)'!$B1246&amp;'All Statement of strategy (D)'!$C1246,"")</f>
        <v/>
      </c>
      <c r="I1246" s="595" t="str">
        <f ca="1">IF($C$1=RefData!$B$418,'All Statement of strategy (D)'!$E1246,IF('All Statement of strategy (D)'!$C$1=RefData!$B$419,'All Statement of strategy (D)'!$F1246,IF('All Statement of strategy (D)'!$C$1=RefData!$B$420,'All Statement of strategy (D)'!$G1246,IF('All Statement of strategy (D)'!$C$1=RefData!$B$421,'All Statement of strategy (D)'!$H1246," "))))</f>
        <v xml:space="preserve"> </v>
      </c>
    </row>
    <row r="1247" spans="1:9">
      <c r="A1247" s="584" t="s">
        <v>2517</v>
      </c>
      <c r="B1247" s="594" t="s">
        <v>2402</v>
      </c>
      <c r="C1247" s="618" t="str">
        <f ca="1">TEXT('Reconciliation report'!$E$691,RefData!$B$424)</f>
        <v/>
      </c>
      <c r="E1247" s="585" t="str">
        <f ca="1">IF(AND('Reconciliation report'!$E$474&gt;=5,'Reconciliation report'!$E$473=RefData!$B$112),'All Statement of strategy (D)'!$B1247&amp;'All Statement of strategy (D)'!$C1247,"")</f>
        <v/>
      </c>
      <c r="F1247" s="585" t="str">
        <f ca="1">IF(AND('Reconciliation report'!$E$474&gt;=5,'Reconciliation report'!$E$473=RefData!$B$112,'Reconciliation report'!$E$12=RefData!$B$12),'All Statement of strategy (D)'!$B1247&amp;'All Statement of strategy (D)'!$C1247,"")</f>
        <v/>
      </c>
      <c r="G1247" s="585" t="str">
        <f ca="1">IF(AND('Reconciliation report'!$E$474&gt;=5,'Reconciliation report'!$E$473=RefData!$B$112,'Reconciliation report'!$E$9=RefData!$B$5,'Reconciliation report'!$E$13=RefData!$B$14),'All Statement of strategy (D)'!$B1247&amp;'All Statement of strategy (D)'!$C1247,"")</f>
        <v/>
      </c>
      <c r="H1247" s="585" t="str">
        <f ca="1">IF(AND('Reconciliation report'!$E$474&gt;=5,'Reconciliation report'!$E$473=RefData!$B$112,'Reconciliation report'!$E$9=RefData!$B$5,'Reconciliation report'!$E$13=RefData!$B$14),'All Statement of strategy (D)'!$B1247&amp;'All Statement of strategy (D)'!$C1247,"")</f>
        <v/>
      </c>
      <c r="I1247" s="595" t="str">
        <f ca="1">IF($C$1=RefData!$B$418,'All Statement of strategy (D)'!$E1247,IF('All Statement of strategy (D)'!$C$1=RefData!$B$419,'All Statement of strategy (D)'!$F1247,IF('All Statement of strategy (D)'!$C$1=RefData!$B$420,'All Statement of strategy (D)'!$G1247,IF('All Statement of strategy (D)'!$C$1=RefData!$B$421,'All Statement of strategy (D)'!$H1247," "))))</f>
        <v xml:space="preserve"> </v>
      </c>
    </row>
    <row r="1248" spans="1:9">
      <c r="A1248" s="604"/>
      <c r="B1248" s="594" t="s">
        <v>2518</v>
      </c>
      <c r="D1248" s="624"/>
      <c r="E1248" s="585" t="str">
        <f ca="1">IF(AND('Reconciliation report'!$E$474&gt;=5,'Reconciliation report'!$E$473=RefData!$B$112),'All Statement of strategy (D)'!$B1248&amp;'All Statement of strategy (D)'!$C1248,"")</f>
        <v/>
      </c>
      <c r="F1248" s="585" t="str">
        <f ca="1">IF(AND('Reconciliation report'!$E$474&gt;=5,'Reconciliation report'!$E$473=RefData!$B$112,'Reconciliation report'!$E$12=RefData!$B$12),'All Statement of strategy (D)'!$B1248&amp;'All Statement of strategy (D)'!$C1248,"")</f>
        <v/>
      </c>
      <c r="G1248" s="585" t="str">
        <f>""</f>
        <v/>
      </c>
      <c r="H1248" s="585" t="str">
        <f>""</f>
        <v/>
      </c>
      <c r="I1248" s="595" t="str">
        <f ca="1">IF($C$1=RefData!$B$418,'All Statement of strategy (D)'!$E1248,IF('All Statement of strategy (D)'!$C$1=RefData!$B$419,'All Statement of strategy (D)'!$F1248,IF('All Statement of strategy (D)'!$C$1=RefData!$B$420,'All Statement of strategy (D)'!$G1248,IF('All Statement of strategy (D)'!$C$1=RefData!$B$421,'All Statement of strategy (D)'!$H1248," "))))</f>
        <v xml:space="preserve"> </v>
      </c>
    </row>
    <row r="1249" spans="1:9">
      <c r="A1249" s="584" t="s">
        <v>2519</v>
      </c>
      <c r="B1249" s="594" t="str">
        <f ca="1">"Value cap: "&amp;IF('Reconciliation report'!$E$692=RefData!$B$139,"",'Reconciliation report'!$E$692)</f>
        <v xml:space="preserve">Value cap: </v>
      </c>
      <c r="D1249" s="624"/>
      <c r="E1249" s="585" t="str">
        <f ca="1">IF(AND('Reconciliation report'!$E$474&gt;=5,'Reconciliation report'!$E$473=RefData!$B$112),'All Statement of strategy (D)'!$B1249&amp;'All Statement of strategy (D)'!$C1249,"")</f>
        <v/>
      </c>
      <c r="F1249" s="585" t="str">
        <f ca="1">IF(AND('Reconciliation report'!$E$474&gt;=5,'Reconciliation report'!$E$473=RefData!$B$112,'Reconciliation report'!$E$12=RefData!$B$12),'All Statement of strategy (D)'!$B1249&amp;'All Statement of strategy (D)'!$C1249,"")</f>
        <v/>
      </c>
      <c r="G1249" s="585" t="str">
        <f>""</f>
        <v/>
      </c>
      <c r="H1249" s="585" t="str">
        <f>""</f>
        <v/>
      </c>
      <c r="I1249" s="595" t="str">
        <f ca="1">IF($C$1=RefData!$B$418,'All Statement of strategy (D)'!$E1249,IF('All Statement of strategy (D)'!$C$1=RefData!$B$419,'All Statement of strategy (D)'!$F1249,IF('All Statement of strategy (D)'!$C$1=RefData!$B$420,'All Statement of strategy (D)'!$G1249,IF('All Statement of strategy (D)'!$C$1=RefData!$B$421,'All Statement of strategy (D)'!$H1249," "))))</f>
        <v xml:space="preserve"> </v>
      </c>
    </row>
    <row r="1250" spans="1:9">
      <c r="A1250" s="584" t="s">
        <v>2520</v>
      </c>
      <c r="B1250" s="594" t="str">
        <f ca="1">B1249&amp;IF('Reconciliation report'!$E$692=RefData!$B$139,LEFT('Reconciliation report'!$E$693,1000),"")</f>
        <v xml:space="preserve">Value cap: </v>
      </c>
      <c r="D1250" s="624"/>
      <c r="E1250" s="585" t="str">
        <f ca="1">IF(AND('Reconciliation report'!$E$474&gt;=5,'Reconciliation report'!$E$473=RefData!$B$112),'All Statement of strategy (D)'!$B1250&amp;'All Statement of strategy (D)'!$C1250,"")</f>
        <v/>
      </c>
      <c r="F1250" s="585" t="str">
        <f ca="1">IF(AND('Reconciliation report'!$E$474&gt;=5,'Reconciliation report'!$E$473=RefData!$B$112,'Reconciliation report'!$E$12=RefData!$B$12),'All Statement of strategy (D)'!$B1250&amp;'All Statement of strategy (D)'!$C1250,"")</f>
        <v/>
      </c>
      <c r="G1250" s="585" t="str">
        <f>""</f>
        <v/>
      </c>
      <c r="H1250" s="585" t="str">
        <f>""</f>
        <v/>
      </c>
      <c r="I1250" s="595" t="str">
        <f ca="1">IF($C$1=RefData!$B$418,'All Statement of strategy (D)'!$E1250,IF('All Statement of strategy (D)'!$C$1=RefData!$B$419,'All Statement of strategy (D)'!$F1250,IF('All Statement of strategy (D)'!$C$1=RefData!$B$420,'All Statement of strategy (D)'!$G1250,IF('All Statement of strategy (D)'!$C$1=RefData!$B$421,'All Statement of strategy (D)'!$H1250," "))))</f>
        <v xml:space="preserve"> </v>
      </c>
    </row>
    <row r="1251" spans="1:9">
      <c r="A1251" s="584" t="s">
        <v>2520</v>
      </c>
      <c r="B1251" s="594" t="str">
        <f ca="1">IF('Reconciliation report'!$E$692=RefData!$B$139,MID('Reconciliation report'!$E$693,1001,1000),"")</f>
        <v/>
      </c>
      <c r="D1251" s="624"/>
      <c r="E1251" s="585" t="str">
        <f ca="1">IF(AND('Reconciliation report'!$E$474&gt;=5,'Reconciliation report'!$E$473=RefData!$B$112),'All Statement of strategy (D)'!$B1251&amp;'All Statement of strategy (D)'!$C1251,"")</f>
        <v/>
      </c>
      <c r="F1251" s="585" t="str">
        <f ca="1">IF(AND('Reconciliation report'!$E$474&gt;=5,'Reconciliation report'!$E$473=RefData!$B$112,'Reconciliation report'!$E$12=RefData!$B$12),'All Statement of strategy (D)'!$B1251&amp;'All Statement of strategy (D)'!$C1251,"")</f>
        <v/>
      </c>
      <c r="G1251" s="585" t="str">
        <f>""</f>
        <v/>
      </c>
      <c r="H1251" s="585" t="str">
        <f>""</f>
        <v/>
      </c>
      <c r="I1251" s="595" t="str">
        <f ca="1">IF($C$1=RefData!$B$418,'All Statement of strategy (D)'!$E1251,IF('All Statement of strategy (D)'!$C$1=RefData!$B$419,'All Statement of strategy (D)'!$F1251,IF('All Statement of strategy (D)'!$C$1=RefData!$B$420,'All Statement of strategy (D)'!$G1251,IF('All Statement of strategy (D)'!$C$1=RefData!$B$421,'All Statement of strategy (D)'!$H1251," "))))</f>
        <v xml:space="preserve"> </v>
      </c>
    </row>
    <row r="1252" spans="1:9">
      <c r="A1252" s="584" t="s">
        <v>2520</v>
      </c>
      <c r="B1252" s="594" t="str">
        <f ca="1">IF('Reconciliation report'!$E$692=RefData!$B$139,MID('Reconciliation report'!$E$693,2001,1000),"")</f>
        <v/>
      </c>
      <c r="D1252" s="624"/>
      <c r="E1252" s="585" t="str">
        <f ca="1">IF(AND('Reconciliation report'!$E$474&gt;=5,'Reconciliation report'!$E$473=RefData!$B$112),'All Statement of strategy (D)'!$B1252&amp;'All Statement of strategy (D)'!$C1252,"")</f>
        <v/>
      </c>
      <c r="F1252" s="585" t="str">
        <f ca="1">IF(AND('Reconciliation report'!$E$474&gt;=5,'Reconciliation report'!$E$473=RefData!$B$112,'Reconciliation report'!$E$12=RefData!$B$12),'All Statement of strategy (D)'!$B1252&amp;'All Statement of strategy (D)'!$C1252,"")</f>
        <v/>
      </c>
      <c r="G1252" s="585" t="str">
        <f>""</f>
        <v/>
      </c>
      <c r="H1252" s="585" t="str">
        <f>""</f>
        <v/>
      </c>
      <c r="I1252" s="595" t="str">
        <f ca="1">IF($C$1=RefData!$B$418,'All Statement of strategy (D)'!$E1252,IF('All Statement of strategy (D)'!$C$1=RefData!$B$419,'All Statement of strategy (D)'!$F1252,IF('All Statement of strategy (D)'!$C$1=RefData!$B$420,'All Statement of strategy (D)'!$G1252,IF('All Statement of strategy (D)'!$C$1=RefData!$B$421,'All Statement of strategy (D)'!$H1252," "))))</f>
        <v xml:space="preserve"> </v>
      </c>
    </row>
    <row r="1253" spans="1:9">
      <c r="A1253" s="584" t="s">
        <v>2520</v>
      </c>
      <c r="B1253" s="594" t="str">
        <f ca="1">IF('Reconciliation report'!$E$692=RefData!$B$139,MID('Reconciliation report'!$E$693,3001,1000),"")</f>
        <v/>
      </c>
      <c r="D1253" s="624"/>
      <c r="E1253" s="585" t="str">
        <f ca="1">IF(AND('Reconciliation report'!$E$474&gt;=5,'Reconciliation report'!$E$473=RefData!$B$112),'All Statement of strategy (D)'!$B1253&amp;'All Statement of strategy (D)'!$C1253,"")</f>
        <v/>
      </c>
      <c r="F1253" s="585" t="str">
        <f ca="1">IF(AND('Reconciliation report'!$E$474&gt;=5,'Reconciliation report'!$E$473=RefData!$B$112,'Reconciliation report'!$E$12=RefData!$B$12),'All Statement of strategy (D)'!$B1253&amp;'All Statement of strategy (D)'!$C1253,"")</f>
        <v/>
      </c>
      <c r="G1253" s="585" t="str">
        <f>""</f>
        <v/>
      </c>
      <c r="H1253" s="585" t="str">
        <f>""</f>
        <v/>
      </c>
      <c r="I1253" s="595" t="str">
        <f ca="1">IF($C$1=RefData!$B$418,'All Statement of strategy (D)'!$E1253,IF('All Statement of strategy (D)'!$C$1=RefData!$B$419,'All Statement of strategy (D)'!$F1253,IF('All Statement of strategy (D)'!$C$1=RefData!$B$420,'All Statement of strategy (D)'!$G1253,IF('All Statement of strategy (D)'!$C$1=RefData!$B$421,'All Statement of strategy (D)'!$H1253," "))))</f>
        <v xml:space="preserve"> </v>
      </c>
    </row>
    <row r="1254" spans="1:9">
      <c r="A1254" s="584" t="s">
        <v>2521</v>
      </c>
      <c r="B1254" s="594" t="s">
        <v>2406</v>
      </c>
      <c r="C1254" s="585" t="str">
        <f ca="1">TEXT('Reconciliation report'!$E$694,RefData!$B$425)</f>
        <v/>
      </c>
      <c r="E1254" s="585" t="str">
        <f ca="1">IF(AND('Reconciliation report'!$E$474&gt;=5,'Reconciliation report'!$E$473=RefData!$B$112,'Reconciliation report'!$E$692=RefData!$B$138),'All Statement of strategy (D)'!$B1254&amp;'All Statement of strategy (D)'!$C1254,"")</f>
        <v/>
      </c>
      <c r="F1254" s="585" t="str">
        <f ca="1">IF(AND('Reconciliation report'!$E$474&gt;=5,'Reconciliation report'!$E$473=RefData!$B$112,'Reconciliation report'!$E$12=RefData!$B$12,'Reconciliation report'!$E$580=RefData!$B$138),'All Statement of strategy (D)'!$B1254&amp;'All Statement of strategy (D)'!$C1254,"")</f>
        <v/>
      </c>
      <c r="G1254" s="585" t="str">
        <f>""</f>
        <v/>
      </c>
      <c r="H1254" s="585" t="str">
        <f>""</f>
        <v/>
      </c>
      <c r="I1254" s="595" t="str">
        <f ca="1">IF($C$1=RefData!$B$418,'All Statement of strategy (D)'!$E1254,IF('All Statement of strategy (D)'!$C$1=RefData!$B$419,'All Statement of strategy (D)'!$F1254,IF('All Statement of strategy (D)'!$C$1=RefData!$B$420,'All Statement of strategy (D)'!$G1254,IF('All Statement of strategy (D)'!$C$1=RefData!$B$421,'All Statement of strategy (D)'!$H1254," "))))</f>
        <v xml:space="preserve"> </v>
      </c>
    </row>
    <row r="1255" spans="1:9">
      <c r="B1255" s="594" t="s">
        <v>2407</v>
      </c>
      <c r="E1255" s="585" t="str">
        <f ca="1">IF(AND('Reconciliation report'!$E$474&gt;=5,'Reconciliation report'!$E$473=RefData!$B$112),'All Statement of strategy (D)'!$B1255&amp;'All Statement of strategy (D)'!$C1255,"")</f>
        <v/>
      </c>
      <c r="F1255" s="585" t="str">
        <f ca="1">IF(AND('Reconciliation report'!$E$474&gt;=5,'Reconciliation report'!$E$473=RefData!$B$112,'Reconciliation report'!$E$12=RefData!$B$12),'All Statement of strategy (D)'!$B1255&amp;'All Statement of strategy (D)'!$C1255,"")</f>
        <v/>
      </c>
      <c r="G1255" s="585" t="str">
        <f>""</f>
        <v/>
      </c>
      <c r="H1255" s="585" t="str">
        <f>""</f>
        <v/>
      </c>
      <c r="I1255" s="595" t="str">
        <f ca="1">IF($C$1=RefData!$B$418,'All Statement of strategy (D)'!$E1255,IF('All Statement of strategy (D)'!$C$1=RefData!$B$419,'All Statement of strategy (D)'!$F1255,IF('All Statement of strategy (D)'!$C$1=RefData!$B$420,'All Statement of strategy (D)'!$G1255,IF('All Statement of strategy (D)'!$C$1=RefData!$B$421,'All Statement of strategy (D)'!$H1255," "))))</f>
        <v xml:space="preserve"> </v>
      </c>
    </row>
    <row r="1256" spans="1:9">
      <c r="A1256" s="584" t="s">
        <v>2522</v>
      </c>
      <c r="B1256" s="594" t="s">
        <v>2409</v>
      </c>
      <c r="C1256" s="585" t="str">
        <f ca="1">'Reconciliation report'!$E$695</f>
        <v/>
      </c>
      <c r="E1256" s="585" t="str">
        <f ca="1">IF(AND('Reconciliation report'!$E$474&gt;=5,'Reconciliation report'!$E$473=RefData!$B$112),'All Statement of strategy (D)'!$B1256&amp;'All Statement of strategy (D)'!$C1256,"")</f>
        <v/>
      </c>
      <c r="F1256" s="585" t="str">
        <f ca="1">IF(AND('Reconciliation report'!$E$474&gt;=5,'Reconciliation report'!$E$473=RefData!$B$112,'Reconciliation report'!$E$12=RefData!$B$12),'All Statement of strategy (D)'!$B1256&amp;'All Statement of strategy (D)'!$C1256,"")</f>
        <v/>
      </c>
      <c r="G1256" s="585" t="str">
        <f>""</f>
        <v/>
      </c>
      <c r="H1256" s="585" t="str">
        <f>""</f>
        <v/>
      </c>
      <c r="I1256" s="595" t="str">
        <f ca="1">IF($C$1=RefData!$B$418,'All Statement of strategy (D)'!$E1256,IF('All Statement of strategy (D)'!$C$1=RefData!$B$419,'All Statement of strategy (D)'!$F1256,IF('All Statement of strategy (D)'!$C$1=RefData!$B$420,'All Statement of strategy (D)'!$G1256,IF('All Statement of strategy (D)'!$C$1=RefData!$B$421,'All Statement of strategy (D)'!$H1256," "))))</f>
        <v xml:space="preserve"> </v>
      </c>
    </row>
    <row r="1257" spans="1:9">
      <c r="A1257" s="584" t="s">
        <v>2523</v>
      </c>
      <c r="B1257" s="594" t="s">
        <v>2411</v>
      </c>
      <c r="C1257" s="585" t="str">
        <f ca="1">'Reconciliation report'!$E$696</f>
        <v/>
      </c>
      <c r="E1257" s="585" t="str">
        <f ca="1">IF(AND('Reconciliation report'!$E$474&gt;=5,'Reconciliation report'!$E$473=RefData!$B$112),'All Statement of strategy (D)'!$B1257&amp;'All Statement of strategy (D)'!$C1257,"")</f>
        <v/>
      </c>
      <c r="F1257" s="585" t="str">
        <f ca="1">IF(AND('Reconciliation report'!$E$474&gt;=5,'Reconciliation report'!$E$473=RefData!$B$112,'Reconciliation report'!$E$12=RefData!$B$12),'All Statement of strategy (D)'!$B1257&amp;'All Statement of strategy (D)'!$C1257,"")</f>
        <v/>
      </c>
      <c r="G1257" s="585" t="str">
        <f>""</f>
        <v/>
      </c>
      <c r="H1257" s="585" t="str">
        <f>""</f>
        <v/>
      </c>
      <c r="I1257" s="595" t="str">
        <f ca="1">IF($C$1=RefData!$B$418,'All Statement of strategy (D)'!$E1257,IF('All Statement of strategy (D)'!$C$1=RefData!$B$419,'All Statement of strategy (D)'!$F1257,IF('All Statement of strategy (D)'!$C$1=RefData!$B$420,'All Statement of strategy (D)'!$G1257,IF('All Statement of strategy (D)'!$C$1=RefData!$B$421,'All Statement of strategy (D)'!$H1257," "))))</f>
        <v xml:space="preserve"> </v>
      </c>
    </row>
    <row r="1258" spans="1:9">
      <c r="A1258" s="584" t="s">
        <v>2524</v>
      </c>
      <c r="B1258" s="594" t="s">
        <v>2413</v>
      </c>
      <c r="C1258" s="585" t="str">
        <f ca="1">'Reconciliation report'!$E$697</f>
        <v/>
      </c>
      <c r="E1258" s="585" t="str">
        <f ca="1">IF(AND('Reconciliation report'!$E$474&gt;=5,'Reconciliation report'!$E$473=RefData!$B$112),'All Statement of strategy (D)'!$B1258&amp;'All Statement of strategy (D)'!$C1258,"")</f>
        <v/>
      </c>
      <c r="F1258" s="585" t="str">
        <f ca="1">IF(AND('Reconciliation report'!$E$474&gt;=5,'Reconciliation report'!$E$473=RefData!$B$112,'Reconciliation report'!$E$12=RefData!$B$12),'All Statement of strategy (D)'!$B1258&amp;'All Statement of strategy (D)'!$C1258,"")</f>
        <v/>
      </c>
      <c r="G1258" s="585" t="str">
        <f>""</f>
        <v/>
      </c>
      <c r="H1258" s="585" t="str">
        <f>""</f>
        <v/>
      </c>
      <c r="I1258" s="595" t="str">
        <f ca="1">IF($C$1=RefData!$B$418,'All Statement of strategy (D)'!$E1258,IF('All Statement of strategy (D)'!$C$1=RefData!$B$419,'All Statement of strategy (D)'!$F1258,IF('All Statement of strategy (D)'!$C$1=RefData!$B$420,'All Statement of strategy (D)'!$G1258,IF('All Statement of strategy (D)'!$C$1=RefData!$B$421,'All Statement of strategy (D)'!$H1258," "))))</f>
        <v xml:space="preserve"> </v>
      </c>
    </row>
    <row r="1259" spans="1:9">
      <c r="A1259" s="584" t="s">
        <v>2525</v>
      </c>
      <c r="B1259" s="594" t="s">
        <v>2415</v>
      </c>
      <c r="C1259" s="585" t="str">
        <f ca="1">'Reconciliation report'!$E$698</f>
        <v/>
      </c>
      <c r="E1259" s="585" t="str">
        <f ca="1">IF(AND('Reconciliation report'!$E$474&gt;=5,'Reconciliation report'!$E$473=RefData!$B$112),'All Statement of strategy (D)'!$B1259&amp;'All Statement of strategy (D)'!$C1259,"")</f>
        <v/>
      </c>
      <c r="F1259" s="585" t="str">
        <f ca="1">IF(AND('Reconciliation report'!$E$474&gt;=5,'Reconciliation report'!$E$473=RefData!$B$112,'Reconciliation report'!$E$12=RefData!$B$12),'All Statement of strategy (D)'!$B1259&amp;'All Statement of strategy (D)'!$C1259,"")</f>
        <v/>
      </c>
      <c r="G1259" s="585" t="str">
        <f>""</f>
        <v/>
      </c>
      <c r="H1259" s="585" t="str">
        <f>""</f>
        <v/>
      </c>
      <c r="I1259" s="595" t="str">
        <f ca="1">IF($C$1=RefData!$B$418,'All Statement of strategy (D)'!$E1259,IF('All Statement of strategy (D)'!$C$1=RefData!$B$419,'All Statement of strategy (D)'!$F1259,IF('All Statement of strategy (D)'!$C$1=RefData!$B$420,'All Statement of strategy (D)'!$G1259,IF('All Statement of strategy (D)'!$C$1=RefData!$B$421,'All Statement of strategy (D)'!$H1259," "))))</f>
        <v xml:space="preserve"> </v>
      </c>
    </row>
    <row r="1260" spans="1:9">
      <c r="A1260" s="584" t="s">
        <v>2526</v>
      </c>
      <c r="B1260" s="594" t="str">
        <f ca="1">IF('Reconciliation report'!$E$699=RefData!$B$140,LEFT('Reconciliation report'!$E$700,1000),"")</f>
        <v/>
      </c>
      <c r="E1260" s="585" t="str">
        <f ca="1">IF(AND('Reconciliation report'!$E$474&gt;=5,'Reconciliation report'!$E$473=RefData!$B$112),'All Statement of strategy (D)'!$B1260&amp;'All Statement of strategy (D)'!$C1260,"")</f>
        <v/>
      </c>
      <c r="F1260" s="585" t="str">
        <f ca="1">IF(AND('Reconciliation report'!$E$474&gt;=5,'Reconciliation report'!$E$473=RefData!$B$112,'Reconciliation report'!$E$12=RefData!$B$12),'All Statement of strategy (D)'!$B1260&amp;'All Statement of strategy (D)'!$C1260,"")</f>
        <v/>
      </c>
      <c r="G1260" s="585" t="str">
        <f>""</f>
        <v/>
      </c>
      <c r="H1260" s="585" t="str">
        <f>""</f>
        <v/>
      </c>
      <c r="I1260" s="595" t="str">
        <f ca="1">IF($C$1=RefData!$B$418,'All Statement of strategy (D)'!$E1260,IF('All Statement of strategy (D)'!$C$1=RefData!$B$419,'All Statement of strategy (D)'!$F1260,IF('All Statement of strategy (D)'!$C$1=RefData!$B$420,'All Statement of strategy (D)'!$G1260,IF('All Statement of strategy (D)'!$C$1=RefData!$B$421,'All Statement of strategy (D)'!$H1260," "))))</f>
        <v xml:space="preserve"> </v>
      </c>
    </row>
    <row r="1261" spans="1:9">
      <c r="A1261" s="584" t="s">
        <v>2526</v>
      </c>
      <c r="B1261" s="594" t="str">
        <f ca="1">IF('Reconciliation report'!$E$699=RefData!$B$140,MID('Reconciliation report'!$E$700,1001,1000),"")</f>
        <v/>
      </c>
      <c r="E1261" s="585" t="str">
        <f ca="1">IF(AND('Reconciliation report'!$E$474&gt;=5,'Reconciliation report'!$E$473=RefData!$B$112),'All Statement of strategy (D)'!$B1261&amp;'All Statement of strategy (D)'!$C1261,"")</f>
        <v/>
      </c>
      <c r="F1261" s="585" t="str">
        <f ca="1">IF(AND('Reconciliation report'!$E$474&gt;=5,'Reconciliation report'!$E$473=RefData!$B$112,'Reconciliation report'!$E$12=RefData!$B$12),'All Statement of strategy (D)'!$B1261&amp;'All Statement of strategy (D)'!$C1261,"")</f>
        <v/>
      </c>
      <c r="G1261" s="585" t="str">
        <f>""</f>
        <v/>
      </c>
      <c r="H1261" s="585" t="str">
        <f>""</f>
        <v/>
      </c>
      <c r="I1261" s="595" t="str">
        <f ca="1">IF($C$1=RefData!$B$418,'All Statement of strategy (D)'!$E1261,IF('All Statement of strategy (D)'!$C$1=RefData!$B$419,'All Statement of strategy (D)'!$F1261,IF('All Statement of strategy (D)'!$C$1=RefData!$B$420,'All Statement of strategy (D)'!$G1261,IF('All Statement of strategy (D)'!$C$1=RefData!$B$421,'All Statement of strategy (D)'!$H1261," "))))</f>
        <v xml:space="preserve"> </v>
      </c>
    </row>
    <row r="1262" spans="1:9">
      <c r="A1262" s="584" t="s">
        <v>2526</v>
      </c>
      <c r="B1262" s="594" t="str">
        <f ca="1">IF('Reconciliation report'!$E$699=RefData!$B$140,MID('Reconciliation report'!$E$700,2001,1000),"")</f>
        <v/>
      </c>
      <c r="E1262" s="585" t="str">
        <f ca="1">IF(AND('Reconciliation report'!$E$474&gt;=5,'Reconciliation report'!$E$473=RefData!$B$112),'All Statement of strategy (D)'!$B1262&amp;'All Statement of strategy (D)'!$C1262,"")</f>
        <v/>
      </c>
      <c r="F1262" s="585" t="str">
        <f ca="1">IF(AND('Reconciliation report'!$E$474&gt;=5,'Reconciliation report'!$E$473=RefData!$B$112,'Reconciliation report'!$E$12=RefData!$B$12),'All Statement of strategy (D)'!$B1262&amp;'All Statement of strategy (D)'!$C1262,"")</f>
        <v/>
      </c>
      <c r="G1262" s="585" t="str">
        <f>""</f>
        <v/>
      </c>
      <c r="H1262" s="585" t="str">
        <f>""</f>
        <v/>
      </c>
      <c r="I1262" s="595" t="str">
        <f ca="1">IF($C$1=RefData!$B$418,'All Statement of strategy (D)'!$E1262,IF('All Statement of strategy (D)'!$C$1=RefData!$B$419,'All Statement of strategy (D)'!$F1262,IF('All Statement of strategy (D)'!$C$1=RefData!$B$420,'All Statement of strategy (D)'!$G1262,IF('All Statement of strategy (D)'!$C$1=RefData!$B$421,'All Statement of strategy (D)'!$H1262," "))))</f>
        <v xml:space="preserve"> </v>
      </c>
    </row>
    <row r="1263" spans="1:9">
      <c r="A1263" s="584" t="s">
        <v>2526</v>
      </c>
      <c r="B1263" s="594" t="str">
        <f ca="1">IF('Reconciliation report'!$E$699=RefData!$B$140,MID('Reconciliation report'!$E$700,3001,1000),"")</f>
        <v/>
      </c>
      <c r="E1263" s="585" t="str">
        <f ca="1">IF(AND('Reconciliation report'!$E$474&gt;=5,'Reconciliation report'!$E$473=RefData!$B$112),'All Statement of strategy (D)'!$B1263&amp;'All Statement of strategy (D)'!$C1263,"")</f>
        <v/>
      </c>
      <c r="F1263" s="585" t="str">
        <f ca="1">IF(AND('Reconciliation report'!$E$474&gt;=5,'Reconciliation report'!$E$473=RefData!$B$112,'Reconciliation report'!$E$12=RefData!$B$12),'All Statement of strategy (D)'!$B1263&amp;'All Statement of strategy (D)'!$C1263,"")</f>
        <v/>
      </c>
      <c r="G1263" s="585" t="str">
        <f>""</f>
        <v/>
      </c>
      <c r="H1263" s="585" t="str">
        <f>""</f>
        <v/>
      </c>
      <c r="I1263" s="595" t="str">
        <f ca="1">IF($C$1=RefData!$B$418,'All Statement of strategy (D)'!$E1263,IF('All Statement of strategy (D)'!$C$1=RefData!$B$419,'All Statement of strategy (D)'!$F1263,IF('All Statement of strategy (D)'!$C$1=RefData!$B$420,'All Statement of strategy (D)'!$G1263,IF('All Statement of strategy (D)'!$C$1=RefData!$B$421,'All Statement of strategy (D)'!$H1263," "))))</f>
        <v xml:space="preserve"> </v>
      </c>
    </row>
    <row r="1264" spans="1:9">
      <c r="B1264" s="594" t="s">
        <v>2417</v>
      </c>
      <c r="C1264" s="615"/>
      <c r="E1264" s="585" t="str">
        <f ca="1">IF(AND('Reconciliation report'!$E$474&gt;=5,'Reconciliation report'!$E$473=RefData!$B$112),'All Statement of strategy (D)'!$B1264&amp;'All Statement of strategy (D)'!$C1264,"")</f>
        <v/>
      </c>
      <c r="F1264" s="585" t="str">
        <f ca="1">IF(AND('Reconciliation report'!$E$474&gt;=5,'Reconciliation report'!$E$473=RefData!$B$112,'Reconciliation report'!$E$12=RefData!$B$12),'All Statement of strategy (D)'!$B1264&amp;'All Statement of strategy (D)'!$C1264,"")</f>
        <v/>
      </c>
      <c r="G1264" s="585" t="str">
        <f>""</f>
        <v/>
      </c>
      <c r="H1264" s="585" t="str">
        <f>""</f>
        <v/>
      </c>
      <c r="I1264" s="595" t="str">
        <f ca="1">IF($C$1=RefData!$B$418,'All Statement of strategy (D)'!$E1264,IF('All Statement of strategy (D)'!$C$1=RefData!$B$419,'All Statement of strategy (D)'!$F1264,IF('All Statement of strategy (D)'!$C$1=RefData!$B$420,'All Statement of strategy (D)'!$G1264,IF('All Statement of strategy (D)'!$C$1=RefData!$B$421,'All Statement of strategy (D)'!$H1264," "))))</f>
        <v xml:space="preserve"> </v>
      </c>
    </row>
    <row r="1265" spans="1:9">
      <c r="A1265" s="584" t="s">
        <v>2527</v>
      </c>
      <c r="B1265" s="621" t="str">
        <f ca="1">B1264&amp;LEFT('Reconciliation report'!$E$701,1000)</f>
        <v xml:space="preserve">Triggers for termination: </v>
      </c>
      <c r="C1265" s="615"/>
      <c r="E1265" s="585" t="str">
        <f ca="1">IF(AND('Reconciliation report'!$E$474&gt;=5,'Reconciliation report'!$E$473=RefData!$B$112),'All Statement of strategy (D)'!$B1265&amp;'All Statement of strategy (D)'!$C1265,"")</f>
        <v/>
      </c>
      <c r="F1265" s="585" t="str">
        <f ca="1">IF(AND('Reconciliation report'!$E$474&gt;=5,'Reconciliation report'!$E$473=RefData!$B$112,'Reconciliation report'!$E$12=RefData!$B$12),'All Statement of strategy (D)'!$B1265&amp;'All Statement of strategy (D)'!$C1265,"")</f>
        <v/>
      </c>
      <c r="G1265" s="585" t="str">
        <f>""</f>
        <v/>
      </c>
      <c r="H1265" s="585" t="str">
        <f>""</f>
        <v/>
      </c>
      <c r="I1265" s="595" t="str">
        <f ca="1">IF($C$1=RefData!$B$418,'All Statement of strategy (D)'!$E1265,IF('All Statement of strategy (D)'!$C$1=RefData!$B$419,'All Statement of strategy (D)'!$F1265,IF('All Statement of strategy (D)'!$C$1=RefData!$B$420,'All Statement of strategy (D)'!$G1265,IF('All Statement of strategy (D)'!$C$1=RefData!$B$421,'All Statement of strategy (D)'!$H1265," "))))</f>
        <v xml:space="preserve"> </v>
      </c>
    </row>
    <row r="1266" spans="1:9">
      <c r="A1266" s="584" t="s">
        <v>2527</v>
      </c>
      <c r="B1266" s="621" t="str">
        <f ca="1">MID('Reconciliation report'!$E$701,1001,1000)</f>
        <v/>
      </c>
      <c r="C1266" s="615"/>
      <c r="E1266" s="585" t="str">
        <f ca="1">IF(AND('Reconciliation report'!$E$474&gt;=5,'Reconciliation report'!$E$473=RefData!$B$112),'All Statement of strategy (D)'!$B1266&amp;'All Statement of strategy (D)'!$C1266,"")</f>
        <v/>
      </c>
      <c r="F1266" s="585" t="str">
        <f ca="1">IF(AND('Reconciliation report'!$E$474&gt;=5,'Reconciliation report'!$E$473=RefData!$B$112,'Reconciliation report'!$E$12=RefData!$B$12),'All Statement of strategy (D)'!$B1266&amp;'All Statement of strategy (D)'!$C1266,"")</f>
        <v/>
      </c>
      <c r="G1266" s="585" t="str">
        <f>""</f>
        <v/>
      </c>
      <c r="H1266" s="585" t="str">
        <f>""</f>
        <v/>
      </c>
      <c r="I1266" s="595" t="str">
        <f ca="1">IF($C$1=RefData!$B$418,'All Statement of strategy (D)'!$E1266,IF('All Statement of strategy (D)'!$C$1=RefData!$B$419,'All Statement of strategy (D)'!$F1266,IF('All Statement of strategy (D)'!$C$1=RefData!$B$420,'All Statement of strategy (D)'!$G1266,IF('All Statement of strategy (D)'!$C$1=RefData!$B$421,'All Statement of strategy (D)'!$H1266," "))))</f>
        <v xml:space="preserve"> </v>
      </c>
    </row>
    <row r="1267" spans="1:9">
      <c r="A1267" s="584" t="s">
        <v>2527</v>
      </c>
      <c r="B1267" s="621" t="str">
        <f ca="1">MID('Reconciliation report'!$E$701,2001,1000)</f>
        <v/>
      </c>
      <c r="C1267" s="615"/>
      <c r="E1267" s="585" t="str">
        <f ca="1">IF(AND('Reconciliation report'!$E$474&gt;=5,'Reconciliation report'!$E$473=RefData!$B$112),'All Statement of strategy (D)'!$B1267&amp;'All Statement of strategy (D)'!$C1267,"")</f>
        <v/>
      </c>
      <c r="F1267" s="585" t="str">
        <f ca="1">IF(AND('Reconciliation report'!$E$474&gt;=5,'Reconciliation report'!$E$473=RefData!$B$112,'Reconciliation report'!$E$12=RefData!$B$12),'All Statement of strategy (D)'!$B1267&amp;'All Statement of strategy (D)'!$C1267,"")</f>
        <v/>
      </c>
      <c r="G1267" s="585" t="str">
        <f>""</f>
        <v/>
      </c>
      <c r="H1267" s="585" t="str">
        <f>""</f>
        <v/>
      </c>
      <c r="I1267" s="595" t="str">
        <f ca="1">IF($C$1=RefData!$B$418,'All Statement of strategy (D)'!$E1267,IF('All Statement of strategy (D)'!$C$1=RefData!$B$419,'All Statement of strategy (D)'!$F1267,IF('All Statement of strategy (D)'!$C$1=RefData!$B$420,'All Statement of strategy (D)'!$G1267,IF('All Statement of strategy (D)'!$C$1=RefData!$B$421,'All Statement of strategy (D)'!$H1267," "))))</f>
        <v xml:space="preserve"> </v>
      </c>
    </row>
    <row r="1268" spans="1:9" ht="16" thickBot="1">
      <c r="A1268" s="584" t="s">
        <v>2527</v>
      </c>
      <c r="B1268" s="622" t="str">
        <f ca="1">MID('Reconciliation report'!$E$701,3001,1000)</f>
        <v/>
      </c>
      <c r="C1268" s="625"/>
      <c r="D1268" s="598"/>
      <c r="E1268" s="598" t="str">
        <f ca="1">IF(AND('Reconciliation report'!$E$474&gt;=5,'Reconciliation report'!$E$473=RefData!$B$112),'All Statement of strategy (D)'!$B1268&amp;'All Statement of strategy (D)'!$C1268,"")</f>
        <v/>
      </c>
      <c r="F1268" s="598" t="str">
        <f ca="1">IF(AND('Reconciliation report'!$E$474&gt;=5,'Reconciliation report'!$E$473=RefData!$B$112,'Reconciliation report'!$E$12=RefData!$B$12),'All Statement of strategy (D)'!$B1268&amp;'All Statement of strategy (D)'!$C1268,"")</f>
        <v/>
      </c>
      <c r="G1268" s="598" t="str">
        <f>""</f>
        <v/>
      </c>
      <c r="H1268" s="598" t="str">
        <f>""</f>
        <v/>
      </c>
      <c r="I1268" s="599" t="str">
        <f ca="1">IF($C$1=RefData!$B$418,'All Statement of strategy (D)'!$E1268,IF('All Statement of strategy (D)'!$C$1=RefData!$B$419,'All Statement of strategy (D)'!$F1268,IF('All Statement of strategy (D)'!$C$1=RefData!$B$420,'All Statement of strategy (D)'!$G1268,IF('All Statement of strategy (D)'!$C$1=RefData!$B$421,'All Statement of strategy (D)'!$H1268," "))))</f>
        <v xml:space="preserve"> </v>
      </c>
    </row>
    <row r="1269" spans="1:9" ht="17.149999999999999" customHeight="1" thickBot="1">
      <c r="B1269" s="626" t="s">
        <v>2528</v>
      </c>
      <c r="C1269" s="608"/>
      <c r="D1269" s="608"/>
      <c r="E1269" s="608" t="str">
        <f ca="1">IF(AND('Reconciliation report'!$E$475&gt;=1,'Reconciliation report'!$E$475&lt;&gt;"",'Reconciliation report'!$E$473=RefData!$B$112),'All Statement of strategy (D)'!$B1269&amp;$C1269,"")</f>
        <v/>
      </c>
      <c r="F1269" s="608" t="str">
        <f ca="1">IF(AND('Reconciliation report'!$E$475&gt;=1,'Reconciliation report'!$E$475&lt;&gt;"",'Reconciliation report'!$E$473=RefData!$B$112),'All Statement of strategy (D)'!$B1269&amp;$C1269,"")</f>
        <v/>
      </c>
      <c r="G1269" s="608" t="str">
        <f ca="1">IF(AND('Reconciliation report'!$E$475&gt;=1,'Reconciliation report'!$E$475&lt;&gt;"",'Reconciliation report'!$E$473=RefData!$B$112),'All Statement of strategy (D)'!$B1269&amp;$C1269,"")</f>
        <v/>
      </c>
      <c r="H1269" s="608" t="str">
        <f ca="1">IF(AND('Reconciliation report'!$E$475&gt;=1,'Reconciliation report'!$E$475&lt;&gt;"",'Reconciliation report'!$E$473=RefData!$B$112),'All Statement of strategy (D)'!$B1269&amp;$C1269,"")</f>
        <v/>
      </c>
      <c r="I1269" s="627" t="str">
        <f ca="1">IF($C$1=RefData!$B$418,'All Statement of strategy (D)'!$E1269,IF('All Statement of strategy (D)'!$C$1=RefData!$B$419,'All Statement of strategy (D)'!$F1269,IF('All Statement of strategy (D)'!$C$1=RefData!$B$420,'All Statement of strategy (D)'!$G1269,IF('All Statement of strategy (D)'!$C$1=RefData!$B$421,'All Statement of strategy (D)'!$H1269," "))))</f>
        <v xml:space="preserve"> </v>
      </c>
    </row>
    <row r="1270" spans="1:9" ht="17.149999999999999" customHeight="1">
      <c r="B1270" s="590" t="s">
        <v>2529</v>
      </c>
      <c r="C1270" s="591"/>
      <c r="D1270" s="591"/>
      <c r="E1270" s="591" t="str">
        <f ca="1">IF(AND('Reconciliation report'!$E$475&gt;=1,'Reconciliation report'!$E$475&lt;&gt;"",'Reconciliation report'!$E$473=RefData!$B$112),'All Statement of strategy (D)'!$B1270&amp;$C1270,"")</f>
        <v/>
      </c>
      <c r="F1270" s="591" t="str">
        <f ca="1">IF(AND('Reconciliation report'!$E$475&gt;=1,'Reconciliation report'!$E$475&lt;&gt;"",'Reconciliation report'!$E$473=RefData!$B$112),'All Statement of strategy (D)'!$B1270&amp;$C1270,"")</f>
        <v/>
      </c>
      <c r="G1270" s="591" t="str">
        <f ca="1">IF(AND('Reconciliation report'!$E$475&gt;=1,'Reconciliation report'!$E$475&lt;&gt;"",'Reconciliation report'!$E$473=RefData!$B$112),'All Statement of strategy (D)'!$B1270&amp;$C1270,"")</f>
        <v/>
      </c>
      <c r="H1270" s="591" t="str">
        <f ca="1">IF(AND('Reconciliation report'!$E$475&gt;=1,'Reconciliation report'!$E$475&lt;&gt;"",'Reconciliation report'!$E$473=RefData!$B$112),'All Statement of strategy (D)'!$B1270&amp;$C1270,"")</f>
        <v/>
      </c>
      <c r="I1270" s="592" t="str">
        <f ca="1">IF($C$1=RefData!$B$418,'All Statement of strategy (D)'!$E1270,IF('All Statement of strategy (D)'!$C$1=RefData!$B$419,'All Statement of strategy (D)'!$F1270,IF('All Statement of strategy (D)'!$C$1=RefData!$B$420,'All Statement of strategy (D)'!$G1270,IF('All Statement of strategy (D)'!$C$1=RefData!$B$421,'All Statement of strategy (D)'!$H1270," "))))</f>
        <v xml:space="preserve"> </v>
      </c>
    </row>
    <row r="1271" spans="1:9">
      <c r="A1271" s="584" t="s">
        <v>2530</v>
      </c>
      <c r="B1271" s="594" t="str">
        <f ca="1">"Type of security: "&amp;IF('Reconciliation report'!$E$702=RefData!$B$148,"",'Reconciliation report'!$E$702)</f>
        <v xml:space="preserve">Type of security: </v>
      </c>
      <c r="C1271" s="615"/>
      <c r="D1271" s="624"/>
      <c r="E1271" s="585" t="str">
        <f ca="1">IF(AND('Reconciliation report'!$E$475&gt;=1,'Reconciliation report'!$E$475&lt;&gt;"",'Reconciliation report'!$E$473=RefData!$B$112),'All Statement of strategy (D)'!$B1271&amp;$C1271,"")</f>
        <v/>
      </c>
      <c r="F1271" s="585" t="str">
        <f ca="1">IF(AND('Reconciliation report'!$E$475&gt;=1,'Reconciliation report'!$E$475&lt;&gt;"",'Reconciliation report'!$E$473=RefData!$B$112),'All Statement of strategy (D)'!$B1271&amp;$C1271,"")</f>
        <v/>
      </c>
      <c r="G1271" s="585" t="str">
        <f ca="1">IF(AND('Reconciliation report'!$E$475&gt;=1,'Reconciliation report'!$E$475&lt;&gt;"",'Reconciliation report'!$E$473=RefData!$B$112),'All Statement of strategy (D)'!$B1271&amp;$C1271,"")</f>
        <v/>
      </c>
      <c r="H1271" s="585" t="str">
        <f ca="1">IF(AND('Reconciliation report'!$E$475&gt;=1,'Reconciliation report'!$E$475&lt;&gt;"",'Reconciliation report'!$E$473=RefData!$B$112),'All Statement of strategy (D)'!$B1271&amp;$C1271,"")</f>
        <v/>
      </c>
      <c r="I1271" s="595" t="str">
        <f ca="1">IF($C$1=RefData!$B$418,'All Statement of strategy (D)'!$E1271,IF('All Statement of strategy (D)'!$C$1=RefData!$B$419,'All Statement of strategy (D)'!$F1271,IF('All Statement of strategy (D)'!$C$1=RefData!$B$420,'All Statement of strategy (D)'!$G1271,IF('All Statement of strategy (D)'!$C$1=RefData!$B$421,'All Statement of strategy (D)'!$H1271," "))))</f>
        <v xml:space="preserve"> </v>
      </c>
    </row>
    <row r="1272" spans="1:9">
      <c r="A1272" s="584" t="s">
        <v>2531</v>
      </c>
      <c r="B1272" s="594" t="str">
        <f ca="1">"Provide specific details of the underlying asset: "&amp;LEFT('Reconciliation report'!$E$703,1000)</f>
        <v xml:space="preserve">Provide specific details of the underlying asset: </v>
      </c>
      <c r="C1272" s="615"/>
      <c r="D1272" s="624"/>
      <c r="E1272" s="585" t="str">
        <f ca="1">IF(AND('Reconciliation report'!$E$475&gt;=1,'Reconciliation report'!$E$475&lt;&gt;"",'Reconciliation report'!$E$473=RefData!$B$112),'All Statement of strategy (D)'!$B1272&amp;$C1272,"")</f>
        <v/>
      </c>
      <c r="F1272" s="585" t="str">
        <f ca="1">IF(AND('Reconciliation report'!$E$475&gt;=1,'Reconciliation report'!$E$475&lt;&gt;"",'Reconciliation report'!$E$473=RefData!$B$112),'All Statement of strategy (D)'!$B1272&amp;$C1272,"")</f>
        <v/>
      </c>
      <c r="G1272" s="585" t="str">
        <f ca="1">IF(AND('Reconciliation report'!$E$475&gt;=1,'Reconciliation report'!$E$475&lt;&gt;"",'Reconciliation report'!$E$473=RefData!$B$112),'All Statement of strategy (D)'!$B1272&amp;$C1272,"")</f>
        <v/>
      </c>
      <c r="H1272" s="585" t="str">
        <f ca="1">IF(AND('Reconciliation report'!$E$475&gt;=1,'Reconciliation report'!$E$475&lt;&gt;"",'Reconciliation report'!$E$473=RefData!$B$112),'All Statement of strategy (D)'!$B1272&amp;$C1272,"")</f>
        <v/>
      </c>
      <c r="I1272" s="595" t="str">
        <f ca="1">IF($C$1=RefData!$B$418,'All Statement of strategy (D)'!$E1272,IF('All Statement of strategy (D)'!$C$1=RefData!$B$419,'All Statement of strategy (D)'!$F1272,IF('All Statement of strategy (D)'!$C$1=RefData!$B$420,'All Statement of strategy (D)'!$G1272,IF('All Statement of strategy (D)'!$C$1=RefData!$B$421,'All Statement of strategy (D)'!$H1272," "))))</f>
        <v xml:space="preserve"> </v>
      </c>
    </row>
    <row r="1273" spans="1:9">
      <c r="A1273" s="584" t="s">
        <v>2531</v>
      </c>
      <c r="B1273" s="594" t="str">
        <f ca="1">MID('Reconciliation report'!$E$703,1001,1000)</f>
        <v/>
      </c>
      <c r="C1273" s="615"/>
      <c r="D1273" s="624"/>
      <c r="E1273" s="585" t="str">
        <f ca="1">IF(AND('Reconciliation report'!$E$475&gt;=1,'Reconciliation report'!$E$475&lt;&gt;"",'Reconciliation report'!$E$473=RefData!$B$112),'All Statement of strategy (D)'!$B1273&amp;$C1273,"")</f>
        <v/>
      </c>
      <c r="F1273" s="585" t="str">
        <f ca="1">IF(AND('Reconciliation report'!$E$475&gt;=1,'Reconciliation report'!$E$475&lt;&gt;"",'Reconciliation report'!$E$473=RefData!$B$112),'All Statement of strategy (D)'!$B1273&amp;$C1273,"")</f>
        <v/>
      </c>
      <c r="G1273" s="585" t="str">
        <f ca="1">IF(AND('Reconciliation report'!$E$475&gt;=1,'Reconciliation report'!$E$475&lt;&gt;"",'Reconciliation report'!$E$473=RefData!$B$112),'All Statement of strategy (D)'!$B1273&amp;$C1273,"")</f>
        <v/>
      </c>
      <c r="H1273" s="585" t="str">
        <f ca="1">IF(AND('Reconciliation report'!$E$475&gt;=1,'Reconciliation report'!$E$475&lt;&gt;"",'Reconciliation report'!$E$473=RefData!$B$112),'All Statement of strategy (D)'!$B1273&amp;$C1273,"")</f>
        <v/>
      </c>
      <c r="I1273" s="595" t="str">
        <f ca="1">IF($C$1=RefData!$B$418,'All Statement of strategy (D)'!$E1273,IF('All Statement of strategy (D)'!$C$1=RefData!$B$419,'All Statement of strategy (D)'!$F1273,IF('All Statement of strategy (D)'!$C$1=RefData!$B$420,'All Statement of strategy (D)'!$G1273,IF('All Statement of strategy (D)'!$C$1=RefData!$B$421,'All Statement of strategy (D)'!$H1273," "))))</f>
        <v xml:space="preserve"> </v>
      </c>
    </row>
    <row r="1274" spans="1:9">
      <c r="A1274" s="584" t="s">
        <v>2531</v>
      </c>
      <c r="B1274" s="594" t="str">
        <f ca="1">MID('Reconciliation report'!$E$703,2001,1000)</f>
        <v/>
      </c>
      <c r="C1274" s="615"/>
      <c r="D1274" s="624"/>
      <c r="E1274" s="585" t="str">
        <f ca="1">IF(AND('Reconciliation report'!$E$475&gt;=1,'Reconciliation report'!$E$475&lt;&gt;"",'Reconciliation report'!$E$473=RefData!$B$112),'All Statement of strategy (D)'!$B1274&amp;$C1274,"")</f>
        <v/>
      </c>
      <c r="F1274" s="585" t="str">
        <f ca="1">IF(AND('Reconciliation report'!$E$475&gt;=1,'Reconciliation report'!$E$475&lt;&gt;"",'Reconciliation report'!$E$473=RefData!$B$112),'All Statement of strategy (D)'!$B1274&amp;$C1274,"")</f>
        <v/>
      </c>
      <c r="G1274" s="585" t="str">
        <f ca="1">IF(AND('Reconciliation report'!$E$475&gt;=1,'Reconciliation report'!$E$475&lt;&gt;"",'Reconciliation report'!$E$473=RefData!$B$112),'All Statement of strategy (D)'!$B1274&amp;$C1274,"")</f>
        <v/>
      </c>
      <c r="H1274" s="585" t="str">
        <f ca="1">IF(AND('Reconciliation report'!$E$475&gt;=1,'Reconciliation report'!$E$475&lt;&gt;"",'Reconciliation report'!$E$473=RefData!$B$112),'All Statement of strategy (D)'!$B1274&amp;$C1274,"")</f>
        <v/>
      </c>
      <c r="I1274" s="595" t="str">
        <f ca="1">IF($C$1=RefData!$B$418,'All Statement of strategy (D)'!$E1274,IF('All Statement of strategy (D)'!$C$1=RefData!$B$419,'All Statement of strategy (D)'!$F1274,IF('All Statement of strategy (D)'!$C$1=RefData!$B$420,'All Statement of strategy (D)'!$G1274,IF('All Statement of strategy (D)'!$C$1=RefData!$B$421,'All Statement of strategy (D)'!$H1274," "))))</f>
        <v xml:space="preserve"> </v>
      </c>
    </row>
    <row r="1275" spans="1:9">
      <c r="A1275" s="584" t="s">
        <v>2531</v>
      </c>
      <c r="B1275" s="594" t="str">
        <f ca="1">MID('Reconciliation report'!$E$703,3001,1000)</f>
        <v/>
      </c>
      <c r="C1275" s="615"/>
      <c r="D1275" s="624"/>
      <c r="E1275" s="585" t="str">
        <f ca="1">IF(AND('Reconciliation report'!$E$475&gt;=1,'Reconciliation report'!$E$475&lt;&gt;"",'Reconciliation report'!$E$473=RefData!$B$112),'All Statement of strategy (D)'!$B1275&amp;$C1275,"")</f>
        <v/>
      </c>
      <c r="F1275" s="585" t="str">
        <f ca="1">IF(AND('Reconciliation report'!$E$475&gt;=1,'Reconciliation report'!$E$475&lt;&gt;"",'Reconciliation report'!$E$473=RefData!$B$112),'All Statement of strategy (D)'!$B1275&amp;$C1275,"")</f>
        <v/>
      </c>
      <c r="G1275" s="585" t="str">
        <f ca="1">IF(AND('Reconciliation report'!$E$475&gt;=1,'Reconciliation report'!$E$475&lt;&gt;"",'Reconciliation report'!$E$473=RefData!$B$112),'All Statement of strategy (D)'!$B1275&amp;$C1275,"")</f>
        <v/>
      </c>
      <c r="H1275" s="585" t="str">
        <f ca="1">IF(AND('Reconciliation report'!$E$475&gt;=1,'Reconciliation report'!$E$475&lt;&gt;"",'Reconciliation report'!$E$473=RefData!$B$112),'All Statement of strategy (D)'!$B1275&amp;$C1275,"")</f>
        <v/>
      </c>
      <c r="I1275" s="595" t="str">
        <f ca="1">IF($C$1=RefData!$B$418,'All Statement of strategy (D)'!$E1275,IF('All Statement of strategy (D)'!$C$1=RefData!$B$419,'All Statement of strategy (D)'!$F1275,IF('All Statement of strategy (D)'!$C$1=RefData!$B$420,'All Statement of strategy (D)'!$G1275,IF('All Statement of strategy (D)'!$C$1=RefData!$B$421,'All Statement of strategy (D)'!$H1275," "))))</f>
        <v xml:space="preserve"> </v>
      </c>
    </row>
    <row r="1276" spans="1:9">
      <c r="A1276" s="604"/>
      <c r="B1276" s="594" t="s">
        <v>2532</v>
      </c>
      <c r="D1276" s="624"/>
      <c r="E1276" s="585" t="str">
        <f ca="1">IF(AND('Reconciliation report'!$E$475&gt;=1,'Reconciliation report'!$E$475&lt;&gt;"",'Reconciliation report'!$E$473=RefData!$B$112),'All Statement of strategy (D)'!$B1276&amp;$C1276,"")</f>
        <v/>
      </c>
      <c r="F1276" s="585" t="str">
        <f ca="1">IF(AND('Reconciliation report'!$E$475&gt;=1,'Reconciliation report'!$E$475&lt;&gt;"",'Reconciliation report'!$E$473=RefData!$B$112),'All Statement of strategy (D)'!$B1276&amp;$C1276,"")</f>
        <v/>
      </c>
      <c r="G1276" s="585" t="str">
        <f>""</f>
        <v/>
      </c>
      <c r="H1276" s="585" t="str">
        <f>""</f>
        <v/>
      </c>
      <c r="I1276" s="595" t="str">
        <f ca="1">IF($C$1=RefData!$B$418,'All Statement of strategy (D)'!$E1276,IF('All Statement of strategy (D)'!$C$1=RefData!$B$419,'All Statement of strategy (D)'!$F1276,IF('All Statement of strategy (D)'!$C$1=RefData!$B$420,'All Statement of strategy (D)'!$G1276,IF('All Statement of strategy (D)'!$C$1=RefData!$B$421,'All Statement of strategy (D)'!$H1276," "))))</f>
        <v xml:space="preserve"> </v>
      </c>
    </row>
    <row r="1277" spans="1:9">
      <c r="A1277" s="584" t="s">
        <v>2533</v>
      </c>
      <c r="B1277" s="594" t="str">
        <f ca="1">B1276&amp;IF('Reconciliation report'!$E$704=RefData!$B$149,'Reconciliation report'!$E$704,"")</f>
        <v xml:space="preserve">Type of maturity: </v>
      </c>
      <c r="D1277" s="624"/>
      <c r="E1277" s="585" t="str">
        <f ca="1">IF(AND('Reconciliation report'!$E$475&gt;=1,'Reconciliation report'!$E$475&lt;&gt;"",'Reconciliation report'!$E$473=RefData!$B$112),'All Statement of strategy (D)'!$B1277&amp;$C1277,"")</f>
        <v/>
      </c>
      <c r="F1277" s="585" t="str">
        <f ca="1">IF(AND('Reconciliation report'!$E$475&gt;=1,'Reconciliation report'!$E$475&lt;&gt;"",'Reconciliation report'!$E$473=RefData!$B$112),'All Statement of strategy (D)'!$B1277&amp;$C1277,"")</f>
        <v/>
      </c>
      <c r="G1277" s="585" t="str">
        <f>""</f>
        <v/>
      </c>
      <c r="H1277" s="585" t="str">
        <f>""</f>
        <v/>
      </c>
      <c r="I1277" s="595" t="str">
        <f ca="1">IF($C$1=RefData!$B$418,'All Statement of strategy (D)'!$E1277,IF('All Statement of strategy (D)'!$C$1=RefData!$B$419,'All Statement of strategy (D)'!$F1277,IF('All Statement of strategy (D)'!$C$1=RefData!$B$420,'All Statement of strategy (D)'!$G1277,IF('All Statement of strategy (D)'!$C$1=RefData!$B$421,'All Statement of strategy (D)'!$H1277," "))))</f>
        <v xml:space="preserve"> </v>
      </c>
    </row>
    <row r="1278" spans="1:9">
      <c r="A1278" s="584" t="s">
        <v>2534</v>
      </c>
      <c r="B1278" s="594" t="str">
        <f ca="1">B1277&amp;IF('Reconciliation report'!$E$704=RefData!$B$150,"Fixed expiry with a maturity date of "&amp;TEXT('Reconciliation report'!$E$705,RefData!$B$424),"")</f>
        <v xml:space="preserve">Type of maturity: </v>
      </c>
      <c r="D1278" s="624"/>
      <c r="E1278" s="585" t="str">
        <f ca="1">IF(AND('Reconciliation report'!$E$475&gt;=1,'Reconciliation report'!$E$475&lt;&gt;"",'Reconciliation report'!$E$473=RefData!$B$112),'All Statement of strategy (D)'!$B1278&amp;$C1278,"")</f>
        <v/>
      </c>
      <c r="F1278" s="585" t="str">
        <f ca="1">IF(AND('Reconciliation report'!$E$475&gt;=1,'Reconciliation report'!$E$475&lt;&gt;"",'Reconciliation report'!$E$473=RefData!$B$112),'All Statement of strategy (D)'!$B1278&amp;$C1278,"")</f>
        <v/>
      </c>
      <c r="G1278" s="585" t="str">
        <f>""</f>
        <v/>
      </c>
      <c r="H1278" s="585" t="str">
        <f>""</f>
        <v/>
      </c>
      <c r="I1278" s="595" t="str">
        <f ca="1">IF($C$1=RefData!$B$418,'All Statement of strategy (D)'!$E1278,IF('All Statement of strategy (D)'!$C$1=RefData!$B$419,'All Statement of strategy (D)'!$F1278,IF('All Statement of strategy (D)'!$C$1=RefData!$B$420,'All Statement of strategy (D)'!$G1278,IF('All Statement of strategy (D)'!$C$1=RefData!$B$421,'All Statement of strategy (D)'!$H1278," "))))</f>
        <v xml:space="preserve"> </v>
      </c>
    </row>
    <row r="1279" spans="1:9">
      <c r="A1279" s="584" t="s">
        <v>2535</v>
      </c>
      <c r="B1279" s="594" t="str">
        <f ca="1">B1278&amp;IF('Reconciliation report'!$E$704=RefData!$B$151,LEFT('Reconciliation report'!$E$706,1000),"")</f>
        <v xml:space="preserve">Type of maturity: </v>
      </c>
      <c r="D1279" s="624"/>
      <c r="E1279" s="585" t="str">
        <f ca="1">IF(AND('Reconciliation report'!$E$475&gt;=1,'Reconciliation report'!$E$475&lt;&gt;"",'Reconciliation report'!$E$473=RefData!$B$112),'All Statement of strategy (D)'!$B1279&amp;$C1279,"")</f>
        <v/>
      </c>
      <c r="F1279" s="585" t="str">
        <f ca="1">IF(AND('Reconciliation report'!$E$475&gt;=1,'Reconciliation report'!$E$475&lt;&gt;"",'Reconciliation report'!$E$473=RefData!$B$112),'All Statement of strategy (D)'!$B1279&amp;$C1279,"")</f>
        <v/>
      </c>
      <c r="G1279" s="585" t="str">
        <f>""</f>
        <v/>
      </c>
      <c r="H1279" s="585" t="str">
        <f>""</f>
        <v/>
      </c>
      <c r="I1279" s="595" t="str">
        <f ca="1">IF($C$1=RefData!$B$418,'All Statement of strategy (D)'!$E1279,IF('All Statement of strategy (D)'!$C$1=RefData!$B$419,'All Statement of strategy (D)'!$F1279,IF('All Statement of strategy (D)'!$C$1=RefData!$B$420,'All Statement of strategy (D)'!$G1279,IF('All Statement of strategy (D)'!$C$1=RefData!$B$421,'All Statement of strategy (D)'!$H1279," "))))</f>
        <v xml:space="preserve"> </v>
      </c>
    </row>
    <row r="1280" spans="1:9">
      <c r="A1280" s="584" t="s">
        <v>2535</v>
      </c>
      <c r="B1280" s="594" t="str">
        <f ca="1">IF('Reconciliation report'!$E$704=RefData!$B$151,MID('Reconciliation report'!$E$706,1001,1000),"")</f>
        <v/>
      </c>
      <c r="D1280" s="624"/>
      <c r="E1280" s="585" t="str">
        <f ca="1">IF(AND('Reconciliation report'!$E$475&gt;=1,'Reconciliation report'!$E$475&lt;&gt;"",'Reconciliation report'!$E$473=RefData!$B$112),'All Statement of strategy (D)'!$B1280&amp;$C1280,"")</f>
        <v/>
      </c>
      <c r="F1280" s="585" t="str">
        <f ca="1">IF(AND('Reconciliation report'!$E$475&gt;=1,'Reconciliation report'!$E$475&lt;&gt;"",'Reconciliation report'!$E$473=RefData!$B$112),'All Statement of strategy (D)'!$B1280&amp;$C1280,"")</f>
        <v/>
      </c>
      <c r="G1280" s="585" t="str">
        <f>""</f>
        <v/>
      </c>
      <c r="H1280" s="585" t="str">
        <f>""</f>
        <v/>
      </c>
      <c r="I1280" s="595" t="str">
        <f ca="1">IF($C$1=RefData!$B$418,'All Statement of strategy (D)'!$E1280,IF('All Statement of strategy (D)'!$C$1=RefData!$B$419,'All Statement of strategy (D)'!$F1280,IF('All Statement of strategy (D)'!$C$1=RefData!$B$420,'All Statement of strategy (D)'!$G1280,IF('All Statement of strategy (D)'!$C$1=RefData!$B$421,'All Statement of strategy (D)'!$H1280," "))))</f>
        <v xml:space="preserve"> </v>
      </c>
    </row>
    <row r="1281" spans="1:9">
      <c r="A1281" s="584" t="s">
        <v>2535</v>
      </c>
      <c r="B1281" s="594" t="str">
        <f ca="1">IF('Reconciliation report'!$E$704=RefData!$B$151,MID('Reconciliation report'!$E$706,2001,1000),"")</f>
        <v/>
      </c>
      <c r="D1281" s="624"/>
      <c r="E1281" s="585" t="str">
        <f ca="1">IF(AND('Reconciliation report'!$E$475&gt;=1,'Reconciliation report'!$E$475&lt;&gt;"",'Reconciliation report'!$E$473=RefData!$B$112),'All Statement of strategy (D)'!$B1281&amp;$C1281,"")</f>
        <v/>
      </c>
      <c r="F1281" s="585" t="str">
        <f ca="1">IF(AND('Reconciliation report'!$E$475&gt;=1,'Reconciliation report'!$E$475&lt;&gt;"",'Reconciliation report'!$E$473=RefData!$B$112),'All Statement of strategy (D)'!$B1281&amp;$C1281,"")</f>
        <v/>
      </c>
      <c r="G1281" s="585" t="str">
        <f>""</f>
        <v/>
      </c>
      <c r="H1281" s="585" t="str">
        <f>""</f>
        <v/>
      </c>
      <c r="I1281" s="595" t="str">
        <f ca="1">IF($C$1=RefData!$B$418,'All Statement of strategy (D)'!$E1281,IF('All Statement of strategy (D)'!$C$1=RefData!$B$419,'All Statement of strategy (D)'!$F1281,IF('All Statement of strategy (D)'!$C$1=RefData!$B$420,'All Statement of strategy (D)'!$G1281,IF('All Statement of strategy (D)'!$C$1=RefData!$B$421,'All Statement of strategy (D)'!$H1281," "))))</f>
        <v xml:space="preserve"> </v>
      </c>
    </row>
    <row r="1282" spans="1:9">
      <c r="A1282" s="584" t="s">
        <v>2535</v>
      </c>
      <c r="B1282" s="594" t="str">
        <f ca="1">IF('Reconciliation report'!$E$704=RefData!$B$151,MID('Reconciliation report'!$E$706,3001,1000),"")</f>
        <v/>
      </c>
      <c r="D1282" s="624"/>
      <c r="E1282" s="585" t="str">
        <f ca="1">IF(AND('Reconciliation report'!$E$475&gt;=1,'Reconciliation report'!$E$475&lt;&gt;"",'Reconciliation report'!$E$473=RefData!$B$112),'All Statement of strategy (D)'!$B1282&amp;$C1282,"")</f>
        <v/>
      </c>
      <c r="F1282" s="585" t="str">
        <f ca="1">IF(AND('Reconciliation report'!$E$475&gt;=1,'Reconciliation report'!$E$475&lt;&gt;"",'Reconciliation report'!$E$473=RefData!$B$112),'All Statement of strategy (D)'!$B1282&amp;$C1282,"")</f>
        <v/>
      </c>
      <c r="G1282" s="585" t="str">
        <f>""</f>
        <v/>
      </c>
      <c r="H1282" s="585" t="str">
        <f>""</f>
        <v/>
      </c>
      <c r="I1282" s="595" t="str">
        <f ca="1">IF($C$1=RefData!$B$418,'All Statement of strategy (D)'!$E1282,IF('All Statement of strategy (D)'!$C$1=RefData!$B$419,'All Statement of strategy (D)'!$F1282,IF('All Statement of strategy (D)'!$C$1=RefData!$B$420,'All Statement of strategy (D)'!$G1282,IF('All Statement of strategy (D)'!$C$1=RefData!$B$421,'All Statement of strategy (D)'!$H1282," "))))</f>
        <v xml:space="preserve"> </v>
      </c>
    </row>
    <row r="1283" spans="1:9">
      <c r="A1283" s="584" t="s">
        <v>2536</v>
      </c>
      <c r="B1283" s="594" t="s">
        <v>2399</v>
      </c>
      <c r="E1283" s="585" t="str">
        <f ca="1">IF(AND('Reconciliation report'!$E$475&gt;=1,'Reconciliation report'!$E$475&lt;&gt;"",'Reconciliation report'!$E$473=RefData!$B$112),'All Statement of strategy (D)'!$B1283&amp;$C1283,"")</f>
        <v/>
      </c>
      <c r="F1283" s="585" t="str">
        <f ca="1">IF(AND('Reconciliation report'!$E$475&gt;=1,'Reconciliation report'!$E$475&lt;&gt;"",'Reconciliation report'!$E$473=RefData!$B$112),'All Statement of strategy (D)'!$B1283&amp;$C1283,"")</f>
        <v/>
      </c>
      <c r="G1283" s="585" t="str">
        <f ca="1">IF(AND('Reconciliation report'!$E$475&gt;=1,'Reconciliation report'!$E$475&lt;&gt;"",'Reconciliation report'!$E$473=RefData!$B$112),'All Statement of strategy (D)'!$B1283&amp;$C1283,"")</f>
        <v/>
      </c>
      <c r="H1283" s="585" t="str">
        <f ca="1">IF(AND('Reconciliation report'!$E$475&gt;=1,'Reconciliation report'!$E$475&lt;&gt;"",'Reconciliation report'!$E$473=RefData!$B$112),'All Statement of strategy (D)'!$B1283&amp;$C1283,"")</f>
        <v/>
      </c>
      <c r="I1283" s="595" t="str">
        <f ca="1">IF($C$1=RefData!$B$418,'All Statement of strategy (D)'!$E1283,IF('All Statement of strategy (D)'!$C$1=RefData!$B$419,'All Statement of strategy (D)'!$F1283,IF('All Statement of strategy (D)'!$C$1=RefData!$B$420,'All Statement of strategy (D)'!$G1283,IF('All Statement of strategy (D)'!$C$1=RefData!$B$421,'All Statement of strategy (D)'!$H1283," "))))</f>
        <v xml:space="preserve"> </v>
      </c>
    </row>
    <row r="1284" spans="1:9">
      <c r="B1284" s="594" t="s">
        <v>2400</v>
      </c>
      <c r="C1284" s="585" t="str">
        <f ca="1">TEXT('Reconciliation report'!$E$707,RefData!$B$425)</f>
        <v/>
      </c>
      <c r="E1284" s="585" t="str">
        <f ca="1">IF(AND('Reconciliation report'!$E$475&gt;=1,'Reconciliation report'!$E$475&lt;&gt;"",'Reconciliation report'!$E$473=RefData!$B$112),'All Statement of strategy (D)'!$B1284&amp;$C1284,"")</f>
        <v/>
      </c>
      <c r="F1284" s="585" t="str">
        <f ca="1">IF(AND('Reconciliation report'!$E$475&gt;=1,'Reconciliation report'!$E$475&lt;&gt;"",'Reconciliation report'!$E$473=RefData!$B$112),'All Statement of strategy (D)'!$B1284&amp;$C1284,"")</f>
        <v/>
      </c>
      <c r="G1284" s="585" t="str">
        <f ca="1">IF(AND('Reconciliation report'!$E$475&gt;=1,'Reconciliation report'!$E$475&lt;&gt;"",'Reconciliation report'!$E$473=RefData!$B$112),'All Statement of strategy (D)'!$B1284&amp;$C1284,"")</f>
        <v/>
      </c>
      <c r="H1284" s="585" t="str">
        <f ca="1">IF(AND('Reconciliation report'!$E$475&gt;=1,'Reconciliation report'!$E$475&lt;&gt;"",'Reconciliation report'!$E$473=RefData!$B$112),'All Statement of strategy (D)'!$B1284&amp;$C1284,"")</f>
        <v/>
      </c>
      <c r="I1284" s="595" t="str">
        <f ca="1">IF($C$1=RefData!$B$418,'All Statement of strategy (D)'!$E1284,IF('All Statement of strategy (D)'!$C$1=RefData!$B$419,'All Statement of strategy (D)'!$F1284,IF('All Statement of strategy (D)'!$C$1=RefData!$B$420,'All Statement of strategy (D)'!$G1284,IF('All Statement of strategy (D)'!$C$1=RefData!$B$421,'All Statement of strategy (D)'!$H1284," "))))</f>
        <v xml:space="preserve"> </v>
      </c>
    </row>
    <row r="1285" spans="1:9">
      <c r="A1285" s="584" t="s">
        <v>2537</v>
      </c>
      <c r="B1285" s="594" t="s">
        <v>2402</v>
      </c>
      <c r="C1285" s="629" t="str">
        <f ca="1">TEXT('Reconciliation report'!$E$708,RefData!$B$424)</f>
        <v/>
      </c>
      <c r="E1285" s="585" t="str">
        <f ca="1">IF(AND('Reconciliation report'!$E$475&gt;=1,'Reconciliation report'!$E$475&lt;&gt;"",'Reconciliation report'!$E$473=RefData!$B$112),'All Statement of strategy (D)'!$B1285&amp;$C1285,"")</f>
        <v/>
      </c>
      <c r="F1285" s="585" t="str">
        <f ca="1">IF(AND('Reconciliation report'!$E$475&gt;=1,'Reconciliation report'!$E$475&lt;&gt;"",'Reconciliation report'!$E$473=RefData!$B$112),'All Statement of strategy (D)'!$B1285&amp;$C1285,"")</f>
        <v/>
      </c>
      <c r="G1285" s="585" t="str">
        <f ca="1">IF(AND('Reconciliation report'!$E$475&gt;=1,'Reconciliation report'!$E$475&lt;&gt;"",'Reconciliation report'!$E$473=RefData!$B$112),'All Statement of strategy (D)'!$B1285&amp;$C1285,"")</f>
        <v/>
      </c>
      <c r="H1285" s="585" t="str">
        <f ca="1">IF(AND('Reconciliation report'!$E$475&gt;=1,'Reconciliation report'!$E$475&lt;&gt;"",'Reconciliation report'!$E$473=RefData!$B$112),'All Statement of strategy (D)'!$B1285&amp;$C1285,"")</f>
        <v/>
      </c>
      <c r="I1285" s="595" t="str">
        <f ca="1">IF($C$1=RefData!$B$418,'All Statement of strategy (D)'!$E1285,IF('All Statement of strategy (D)'!$C$1=RefData!$B$419,'All Statement of strategy (D)'!$F1285,IF('All Statement of strategy (D)'!$C$1=RefData!$B$420,'All Statement of strategy (D)'!$G1285,IF('All Statement of strategy (D)'!$C$1=RefData!$B$421,'All Statement of strategy (D)'!$H1285," "))))</f>
        <v xml:space="preserve"> </v>
      </c>
    </row>
    <row r="1286" spans="1:9">
      <c r="A1286" s="604"/>
      <c r="B1286" s="594" t="s">
        <v>2518</v>
      </c>
      <c r="C1286" s="629"/>
      <c r="D1286" s="624"/>
      <c r="E1286" s="585" t="str">
        <f ca="1">IF(AND('Reconciliation report'!$E$475&gt;=1,'Reconciliation report'!$E$475&lt;&gt;"",'Reconciliation report'!$E$473=RefData!$B$112),'All Statement of strategy (D)'!$B1286&amp;$C1286,"")</f>
        <v/>
      </c>
      <c r="F1286" s="585" t="str">
        <f ca="1">IF(AND('Reconciliation report'!$E$475&gt;=1,'Reconciliation report'!$E$475&lt;&gt;"",'Reconciliation report'!$E$473=RefData!$B$112),'All Statement of strategy (D)'!$B1286&amp;$C1286,"")</f>
        <v/>
      </c>
      <c r="G1286" s="585" t="str">
        <f>""</f>
        <v/>
      </c>
      <c r="H1286" s="585" t="str">
        <f>""</f>
        <v/>
      </c>
      <c r="I1286" s="595" t="str">
        <f ca="1">IF($C$1=RefData!$B$418,'All Statement of strategy (D)'!$E1286,IF('All Statement of strategy (D)'!$C$1=RefData!$B$419,'All Statement of strategy (D)'!$F1286,IF('All Statement of strategy (D)'!$C$1=RefData!$B$420,'All Statement of strategy (D)'!$G1286,IF('All Statement of strategy (D)'!$C$1=RefData!$B$421,'All Statement of strategy (D)'!$H1286," "))))</f>
        <v xml:space="preserve"> </v>
      </c>
    </row>
    <row r="1287" spans="1:9">
      <c r="A1287" s="584" t="s">
        <v>2538</v>
      </c>
      <c r="B1287" s="630" t="str">
        <f ca="1">B1286&amp;IF('Reconciliation report'!$E$709=RefData!$B$158,"",'Reconciliation report'!$E$709)</f>
        <v xml:space="preserve">Value cap: </v>
      </c>
      <c r="C1287" s="629"/>
      <c r="D1287" s="624"/>
      <c r="E1287" s="585" t="str">
        <f ca="1">IF(AND('Reconciliation report'!$E$475&gt;=1,'Reconciliation report'!$E$475&lt;&gt;"",'Reconciliation report'!$E$473=RefData!$B$112),'All Statement of strategy (D)'!$B1287&amp;$C1287,"")</f>
        <v/>
      </c>
      <c r="F1287" s="585" t="str">
        <f ca="1">IF(AND('Reconciliation report'!$E$475&gt;=1,'Reconciliation report'!$E$475&lt;&gt;"",'Reconciliation report'!$E$473=RefData!$B$112),'All Statement of strategy (D)'!$B1287&amp;$C1287,"")</f>
        <v/>
      </c>
      <c r="G1287" s="585" t="str">
        <f>""</f>
        <v/>
      </c>
      <c r="H1287" s="585" t="str">
        <f>""</f>
        <v/>
      </c>
      <c r="I1287" s="595" t="str">
        <f ca="1">IF($C$1=RefData!$B$418,'All Statement of strategy (D)'!$E1287,IF('All Statement of strategy (D)'!$C$1=RefData!$B$419,'All Statement of strategy (D)'!$F1287,IF('All Statement of strategy (D)'!$C$1=RefData!$B$420,'All Statement of strategy (D)'!$G1287,IF('All Statement of strategy (D)'!$C$1=RefData!$B$421,'All Statement of strategy (D)'!$H1287," "))))</f>
        <v xml:space="preserve"> </v>
      </c>
    </row>
    <row r="1288" spans="1:9">
      <c r="A1288" s="584" t="s">
        <v>2539</v>
      </c>
      <c r="B1288" s="630" t="str">
        <f ca="1">B1287&amp;IF('Reconciliation report'!$E$709=RefData!$B$158,LEFT('Reconciliation report'!$E$710,1000),"")</f>
        <v xml:space="preserve">Value cap: </v>
      </c>
      <c r="C1288" s="629"/>
      <c r="D1288" s="624"/>
      <c r="E1288" s="585" t="str">
        <f ca="1">IF(AND('Reconciliation report'!$E$475&gt;=1,'Reconciliation report'!$E$475&lt;&gt;"",'Reconciliation report'!$E$473=RefData!$B$112),'All Statement of strategy (D)'!$B1288&amp;$C1288,"")</f>
        <v/>
      </c>
      <c r="F1288" s="585" t="str">
        <f ca="1">IF(AND('Reconciliation report'!$E$475&gt;=1,'Reconciliation report'!$E$475&lt;&gt;"",'Reconciliation report'!$E$473=RefData!$B$112),'All Statement of strategy (D)'!$B1288&amp;$C1288,"")</f>
        <v/>
      </c>
      <c r="G1288" s="585" t="str">
        <f>""</f>
        <v/>
      </c>
      <c r="H1288" s="585" t="str">
        <f>""</f>
        <v/>
      </c>
      <c r="I1288" s="595" t="str">
        <f ca="1">IF($C$1=RefData!$B$418,'All Statement of strategy (D)'!$E1288,IF('All Statement of strategy (D)'!$C$1=RefData!$B$419,'All Statement of strategy (D)'!$F1288,IF('All Statement of strategy (D)'!$C$1=RefData!$B$420,'All Statement of strategy (D)'!$G1288,IF('All Statement of strategy (D)'!$C$1=RefData!$B$421,'All Statement of strategy (D)'!$H1288," "))))</f>
        <v xml:space="preserve"> </v>
      </c>
    </row>
    <row r="1289" spans="1:9">
      <c r="A1289" s="584" t="s">
        <v>2539</v>
      </c>
      <c r="B1289" s="630" t="str">
        <f ca="1">IF('Reconciliation report'!$E$709=RefData!$B$158,MID('Reconciliation report'!$E$710,1001,1000),"")</f>
        <v/>
      </c>
      <c r="C1289" s="629"/>
      <c r="D1289" s="624"/>
      <c r="E1289" s="585" t="str">
        <f ca="1">IF(AND('Reconciliation report'!$E$475&gt;=1,'Reconciliation report'!$E$475&lt;&gt;"",'Reconciliation report'!$E$473=RefData!$B$112),'All Statement of strategy (D)'!$B1289&amp;$C1289,"")</f>
        <v/>
      </c>
      <c r="F1289" s="585" t="str">
        <f ca="1">IF(AND('Reconciliation report'!$E$475&gt;=1,'Reconciliation report'!$E$475&lt;&gt;"",'Reconciliation report'!$E$473=RefData!$B$112),'All Statement of strategy (D)'!$B1289&amp;$C1289,"")</f>
        <v/>
      </c>
      <c r="G1289" s="585" t="str">
        <f>""</f>
        <v/>
      </c>
      <c r="H1289" s="585" t="str">
        <f>""</f>
        <v/>
      </c>
      <c r="I1289" s="595" t="str">
        <f ca="1">IF($C$1=RefData!$B$418,'All Statement of strategy (D)'!$E1289,IF('All Statement of strategy (D)'!$C$1=RefData!$B$419,'All Statement of strategy (D)'!$F1289,IF('All Statement of strategy (D)'!$C$1=RefData!$B$420,'All Statement of strategy (D)'!$G1289,IF('All Statement of strategy (D)'!$C$1=RefData!$B$421,'All Statement of strategy (D)'!$H1289," "))))</f>
        <v xml:space="preserve"> </v>
      </c>
    </row>
    <row r="1290" spans="1:9">
      <c r="A1290" s="584" t="s">
        <v>2539</v>
      </c>
      <c r="B1290" s="630" t="str">
        <f ca="1">IF('Reconciliation report'!$E$709=RefData!$B$158,MID('Reconciliation report'!$E$710,2001,1000),"")</f>
        <v/>
      </c>
      <c r="C1290" s="629"/>
      <c r="D1290" s="624"/>
      <c r="E1290" s="585" t="str">
        <f ca="1">IF(AND('Reconciliation report'!$E$475&gt;=1,'Reconciliation report'!$E$475&lt;&gt;"",'Reconciliation report'!$E$473=RefData!$B$112),'All Statement of strategy (D)'!$B1290&amp;$C1290,"")</f>
        <v/>
      </c>
      <c r="F1290" s="585" t="str">
        <f ca="1">IF(AND('Reconciliation report'!$E$475&gt;=1,'Reconciliation report'!$E$475&lt;&gt;"",'Reconciliation report'!$E$473=RefData!$B$112),'All Statement of strategy (D)'!$B1290&amp;$C1290,"")</f>
        <v/>
      </c>
      <c r="G1290" s="585" t="str">
        <f>""</f>
        <v/>
      </c>
      <c r="H1290" s="585" t="str">
        <f>""</f>
        <v/>
      </c>
      <c r="I1290" s="595" t="str">
        <f ca="1">IF($C$1=RefData!$B$418,'All Statement of strategy (D)'!$E1290,IF('All Statement of strategy (D)'!$C$1=RefData!$B$419,'All Statement of strategy (D)'!$F1290,IF('All Statement of strategy (D)'!$C$1=RefData!$B$420,'All Statement of strategy (D)'!$G1290,IF('All Statement of strategy (D)'!$C$1=RefData!$B$421,'All Statement of strategy (D)'!$H1290," "))))</f>
        <v xml:space="preserve"> </v>
      </c>
    </row>
    <row r="1291" spans="1:9">
      <c r="A1291" s="584" t="s">
        <v>2539</v>
      </c>
      <c r="B1291" s="630" t="str">
        <f ca="1">IF('Reconciliation report'!$E$709=RefData!$B$158,MID('Reconciliation report'!$E$710,3001,1000),"")</f>
        <v/>
      </c>
      <c r="C1291" s="629"/>
      <c r="D1291" s="624"/>
      <c r="E1291" s="585" t="str">
        <f ca="1">IF(AND('Reconciliation report'!$E$475&gt;=1,'Reconciliation report'!$E$475&lt;&gt;"",'Reconciliation report'!$E$473=RefData!$B$112),'All Statement of strategy (D)'!$B1291&amp;$C1291,"")</f>
        <v/>
      </c>
      <c r="F1291" s="585" t="str">
        <f ca="1">IF(AND('Reconciliation report'!$E$475&gt;=1,'Reconciliation report'!$E$475&lt;&gt;"",'Reconciliation report'!$E$473=RefData!$B$112),'All Statement of strategy (D)'!$B1291&amp;$C1291,"")</f>
        <v/>
      </c>
      <c r="G1291" s="585" t="str">
        <f>""</f>
        <v/>
      </c>
      <c r="H1291" s="585" t="str">
        <f>""</f>
        <v/>
      </c>
      <c r="I1291" s="595" t="str">
        <f ca="1">IF($C$1=RefData!$B$418,'All Statement of strategy (D)'!$E1291,IF('All Statement of strategy (D)'!$C$1=RefData!$B$419,'All Statement of strategy (D)'!$F1291,IF('All Statement of strategy (D)'!$C$1=RefData!$B$420,'All Statement of strategy (D)'!$G1291,IF('All Statement of strategy (D)'!$C$1=RefData!$B$421,'All Statement of strategy (D)'!$H1291," "))))</f>
        <v xml:space="preserve"> </v>
      </c>
    </row>
    <row r="1292" spans="1:9">
      <c r="A1292" s="584" t="s">
        <v>2540</v>
      </c>
      <c r="B1292" s="594" t="s">
        <v>2406</v>
      </c>
      <c r="C1292" s="615" t="str">
        <f ca="1">TEXT('Reconciliation report'!$E$711,RefData!$B$425)</f>
        <v/>
      </c>
      <c r="E1292" s="585" t="str">
        <f ca="1">IF(AND('Reconciliation report'!$E$475&gt;=1,'Reconciliation report'!$E$475&lt;&gt;"",'Reconciliation report'!$E$709=RefData!$B$157,'Reconciliation report'!$E$473=RefData!$B$112),'All Statement of strategy (D)'!$B1292&amp;$C1292,"")</f>
        <v/>
      </c>
      <c r="F1292" s="585" t="str">
        <f ca="1">IF(AND('Reconciliation report'!$E$475&gt;=1,'Reconciliation report'!$E$475&lt;&gt;"",'Reconciliation report'!$E$709=RefData!$B$157,'Reconciliation report'!$E$473=RefData!$B$112),'All Statement of strategy (D)'!$B1292&amp;$C1292,"")</f>
        <v/>
      </c>
      <c r="G1292" s="585" t="str">
        <f>""</f>
        <v/>
      </c>
      <c r="H1292" s="585" t="str">
        <f>""</f>
        <v/>
      </c>
      <c r="I1292" s="595" t="str">
        <f ca="1">IF($C$1=RefData!$B$418,'All Statement of strategy (D)'!$E1292,IF('All Statement of strategy (D)'!$C$1=RefData!$B$419,'All Statement of strategy (D)'!$F1292,IF('All Statement of strategy (D)'!$C$1=RefData!$B$420,'All Statement of strategy (D)'!$G1292,IF('All Statement of strategy (D)'!$C$1=RefData!$B$421,'All Statement of strategy (D)'!$H1292," "))))</f>
        <v xml:space="preserve"> </v>
      </c>
    </row>
    <row r="1293" spans="1:9">
      <c r="B1293" s="594" t="s">
        <v>2407</v>
      </c>
      <c r="E1293" s="585" t="str">
        <f ca="1">IF(AND('Reconciliation report'!$E$475&gt;=1,'Reconciliation report'!$E$475&lt;&gt;"",'Reconciliation report'!$E$473=RefData!$B$112),'All Statement of strategy (D)'!$B1293&amp;$C1293,"")</f>
        <v/>
      </c>
      <c r="F1293" s="585" t="str">
        <f ca="1">IF(AND('Reconciliation report'!$E$475&gt;=1,'Reconciliation report'!$E$475&lt;&gt;"",'Reconciliation report'!$E$473=RefData!$B$112),'All Statement of strategy (D)'!$B1293&amp;$C1293,"")</f>
        <v/>
      </c>
      <c r="G1293" s="585" t="str">
        <f>""</f>
        <v/>
      </c>
      <c r="H1293" s="585" t="str">
        <f>""</f>
        <v/>
      </c>
      <c r="I1293" s="595" t="str">
        <f ca="1">IF($C$1=RefData!$B$418,'All Statement of strategy (D)'!$E1293,IF('All Statement of strategy (D)'!$C$1=RefData!$B$419,'All Statement of strategy (D)'!$F1293,IF('All Statement of strategy (D)'!$C$1=RefData!$B$420,'All Statement of strategy (D)'!$G1293,IF('All Statement of strategy (D)'!$C$1=RefData!$B$421,'All Statement of strategy (D)'!$H1293," "))))</f>
        <v xml:space="preserve"> </v>
      </c>
    </row>
    <row r="1294" spans="1:9">
      <c r="A1294" s="584" t="s">
        <v>2541</v>
      </c>
      <c r="B1294" s="594" t="s">
        <v>2409</v>
      </c>
      <c r="C1294" s="615" t="str">
        <f ca="1">'Reconciliation report'!$E$712</f>
        <v/>
      </c>
      <c r="E1294" s="585" t="str">
        <f ca="1">IF(AND('Reconciliation report'!$E$475&gt;=1,'Reconciliation report'!$E$475&lt;&gt;"",'Reconciliation report'!$E$473=RefData!$B$112),'All Statement of strategy (D)'!$B1294&amp;$C1294,"")</f>
        <v/>
      </c>
      <c r="F1294" s="585" t="str">
        <f ca="1">IF(AND('Reconciliation report'!$E$475&gt;=1,'Reconciliation report'!$E$475&lt;&gt;"",'Reconciliation report'!$E$473=RefData!$B$112),'All Statement of strategy (D)'!$B1294&amp;$C1294,"")</f>
        <v/>
      </c>
      <c r="G1294" s="585" t="str">
        <f>""</f>
        <v/>
      </c>
      <c r="H1294" s="585" t="str">
        <f>""</f>
        <v/>
      </c>
      <c r="I1294" s="595" t="str">
        <f ca="1">IF($C$1=RefData!$B$418,'All Statement of strategy (D)'!$E1294,IF('All Statement of strategy (D)'!$C$1=RefData!$B$419,'All Statement of strategy (D)'!$F1294,IF('All Statement of strategy (D)'!$C$1=RefData!$B$420,'All Statement of strategy (D)'!$G1294,IF('All Statement of strategy (D)'!$C$1=RefData!$B$421,'All Statement of strategy (D)'!$H1294," "))))</f>
        <v xml:space="preserve"> </v>
      </c>
    </row>
    <row r="1295" spans="1:9">
      <c r="A1295" s="584" t="s">
        <v>2542</v>
      </c>
      <c r="B1295" s="594" t="s">
        <v>2411</v>
      </c>
      <c r="C1295" s="615" t="str">
        <f ca="1">'Reconciliation report'!$E$713</f>
        <v/>
      </c>
      <c r="E1295" s="585" t="str">
        <f ca="1">IF(AND('Reconciliation report'!$E$475&gt;=1,'Reconciliation report'!$E$475&lt;&gt;"",'Reconciliation report'!$E$473=RefData!$B$112),'All Statement of strategy (D)'!$B1295&amp;$C1295,"")</f>
        <v/>
      </c>
      <c r="F1295" s="585" t="str">
        <f ca="1">IF(AND('Reconciliation report'!$E$475&gt;=1,'Reconciliation report'!$E$475&lt;&gt;"",'Reconciliation report'!$E$473=RefData!$B$112),'All Statement of strategy (D)'!$B1295&amp;$C1295,"")</f>
        <v/>
      </c>
      <c r="G1295" s="585" t="str">
        <f>""</f>
        <v/>
      </c>
      <c r="H1295" s="585" t="str">
        <f>""</f>
        <v/>
      </c>
      <c r="I1295" s="595" t="str">
        <f ca="1">IF($C$1=RefData!$B$418,'All Statement of strategy (D)'!$E1295,IF('All Statement of strategy (D)'!$C$1=RefData!$B$419,'All Statement of strategy (D)'!$F1295,IF('All Statement of strategy (D)'!$C$1=RefData!$B$420,'All Statement of strategy (D)'!$G1295,IF('All Statement of strategy (D)'!$C$1=RefData!$B$421,'All Statement of strategy (D)'!$H1295," "))))</f>
        <v xml:space="preserve"> </v>
      </c>
    </row>
    <row r="1296" spans="1:9">
      <c r="A1296" s="584" t="s">
        <v>2543</v>
      </c>
      <c r="B1296" s="594" t="s">
        <v>2413</v>
      </c>
      <c r="C1296" s="615" t="str">
        <f ca="1">'Reconciliation report'!$E$714</f>
        <v/>
      </c>
      <c r="E1296" s="585" t="str">
        <f ca="1">IF(AND('Reconciliation report'!$E$475&gt;=1,'Reconciliation report'!$E$475&lt;&gt;"",'Reconciliation report'!$E$473=RefData!$B$112),'All Statement of strategy (D)'!$B1296&amp;$C1296,"")</f>
        <v/>
      </c>
      <c r="F1296" s="585" t="str">
        <f ca="1">IF(AND('Reconciliation report'!$E$475&gt;=1,'Reconciliation report'!$E$475&lt;&gt;"",'Reconciliation report'!$E$473=RefData!$B$112),'All Statement of strategy (D)'!$B1296&amp;$C1296,"")</f>
        <v/>
      </c>
      <c r="G1296" s="585" t="str">
        <f>""</f>
        <v/>
      </c>
      <c r="H1296" s="585" t="str">
        <f>""</f>
        <v/>
      </c>
      <c r="I1296" s="595" t="str">
        <f ca="1">IF($C$1=RefData!$B$418,'All Statement of strategy (D)'!$E1296,IF('All Statement of strategy (D)'!$C$1=RefData!$B$419,'All Statement of strategy (D)'!$F1296,IF('All Statement of strategy (D)'!$C$1=RefData!$B$420,'All Statement of strategy (D)'!$G1296,IF('All Statement of strategy (D)'!$C$1=RefData!$B$421,'All Statement of strategy (D)'!$H1296," "))))</f>
        <v xml:space="preserve"> </v>
      </c>
    </row>
    <row r="1297" spans="1:9">
      <c r="A1297" s="584" t="s">
        <v>2544</v>
      </c>
      <c r="B1297" s="594" t="s">
        <v>2415</v>
      </c>
      <c r="C1297" s="615" t="str">
        <f ca="1">'Reconciliation report'!$E$715</f>
        <v/>
      </c>
      <c r="E1297" s="585" t="str">
        <f ca="1">IF(AND('Reconciliation report'!$E$475&gt;=1,'Reconciliation report'!$E$475&lt;&gt;"",'Reconciliation report'!$E$473=RefData!$B$112),'All Statement of strategy (D)'!$B1297&amp;$C1297,"")</f>
        <v/>
      </c>
      <c r="F1297" s="585" t="str">
        <f ca="1">IF(AND('Reconciliation report'!$E$475&gt;=1,'Reconciliation report'!$E$475&lt;&gt;"",'Reconciliation report'!$E$473=RefData!$B$112),'All Statement of strategy (D)'!$B1297&amp;$C1297,"")</f>
        <v/>
      </c>
      <c r="G1297" s="585" t="str">
        <f>""</f>
        <v/>
      </c>
      <c r="H1297" s="585" t="str">
        <f>""</f>
        <v/>
      </c>
      <c r="I1297" s="595" t="str">
        <f ca="1">IF($C$1=RefData!$B$418,'All Statement of strategy (D)'!$E1297,IF('All Statement of strategy (D)'!$C$1=RefData!$B$419,'All Statement of strategy (D)'!$F1297,IF('All Statement of strategy (D)'!$C$1=RefData!$B$420,'All Statement of strategy (D)'!$G1297,IF('All Statement of strategy (D)'!$C$1=RefData!$B$421,'All Statement of strategy (D)'!$H1297," "))))</f>
        <v xml:space="preserve"> </v>
      </c>
    </row>
    <row r="1298" spans="1:9">
      <c r="A1298" s="584" t="s">
        <v>2545</v>
      </c>
      <c r="B1298" s="594" t="str">
        <f ca="1">IF('Reconciliation report'!$E$716=RefData!$B$159,LEFT('Reconciliation report'!$E$717,1000),"")</f>
        <v/>
      </c>
      <c r="E1298" s="585" t="str">
        <f ca="1">IF(AND('Reconciliation report'!$E$475&gt;=1,'Reconciliation report'!$E$475&lt;&gt;"",'Reconciliation report'!$E$473=RefData!$B$112),'All Statement of strategy (D)'!$B1298&amp;$C1298,"")</f>
        <v/>
      </c>
      <c r="F1298" s="585" t="str">
        <f ca="1">IF(AND('Reconciliation report'!$E$475&gt;=1,'Reconciliation report'!$E$475&lt;&gt;"",'Reconciliation report'!$E$473=RefData!$B$112),'All Statement of strategy (D)'!$B1298&amp;$C1298,"")</f>
        <v/>
      </c>
      <c r="G1298" s="585" t="str">
        <f>""</f>
        <v/>
      </c>
      <c r="H1298" s="585" t="str">
        <f>""</f>
        <v/>
      </c>
      <c r="I1298" s="595" t="str">
        <f ca="1">IF($C$1=RefData!$B$418,'All Statement of strategy (D)'!$E1298,IF('All Statement of strategy (D)'!$C$1=RefData!$B$419,'All Statement of strategy (D)'!$F1298,IF('All Statement of strategy (D)'!$C$1=RefData!$B$420,'All Statement of strategy (D)'!$G1298,IF('All Statement of strategy (D)'!$C$1=RefData!$B$421,'All Statement of strategy (D)'!$H1298," "))))</f>
        <v xml:space="preserve"> </v>
      </c>
    </row>
    <row r="1299" spans="1:9">
      <c r="A1299" s="584" t="s">
        <v>2545</v>
      </c>
      <c r="B1299" s="594" t="str">
        <f ca="1">IF('Reconciliation report'!$E$716=RefData!$B$159,MID('Reconciliation report'!$E$717,1001,1000),"")</f>
        <v/>
      </c>
      <c r="E1299" s="585" t="str">
        <f ca="1">IF(AND('Reconciliation report'!$E$475&gt;=1,'Reconciliation report'!$E$475&lt;&gt;"",'Reconciliation report'!$E$473=RefData!$B$112),'All Statement of strategy (D)'!$B1299&amp;$C1299,"")</f>
        <v/>
      </c>
      <c r="F1299" s="585" t="str">
        <f ca="1">IF(AND('Reconciliation report'!$E$475&gt;=1,'Reconciliation report'!$E$475&lt;&gt;"",'Reconciliation report'!$E$473=RefData!$B$112),'All Statement of strategy (D)'!$B1299&amp;$C1299,"")</f>
        <v/>
      </c>
      <c r="G1299" s="585" t="str">
        <f>""</f>
        <v/>
      </c>
      <c r="H1299" s="585" t="str">
        <f>""</f>
        <v/>
      </c>
      <c r="I1299" s="595" t="str">
        <f ca="1">IF($C$1=RefData!$B$418,'All Statement of strategy (D)'!$E1299,IF('All Statement of strategy (D)'!$C$1=RefData!$B$419,'All Statement of strategy (D)'!$F1299,IF('All Statement of strategy (D)'!$C$1=RefData!$B$420,'All Statement of strategy (D)'!$G1299,IF('All Statement of strategy (D)'!$C$1=RefData!$B$421,'All Statement of strategy (D)'!$H1299," "))))</f>
        <v xml:space="preserve"> </v>
      </c>
    </row>
    <row r="1300" spans="1:9">
      <c r="A1300" s="584" t="s">
        <v>2545</v>
      </c>
      <c r="B1300" s="594" t="str">
        <f ca="1">IF('Reconciliation report'!$E$716=RefData!$B$159,MID('Reconciliation report'!$E$717,2001,1000),"")</f>
        <v/>
      </c>
      <c r="E1300" s="585" t="str">
        <f ca="1">IF(AND('Reconciliation report'!$E$475&gt;=1,'Reconciliation report'!$E$475&lt;&gt;"",'Reconciliation report'!$E$473=RefData!$B$112),'All Statement of strategy (D)'!$B1300&amp;$C1300,"")</f>
        <v/>
      </c>
      <c r="F1300" s="585" t="str">
        <f ca="1">IF(AND('Reconciliation report'!$E$475&gt;=1,'Reconciliation report'!$E$475&lt;&gt;"",'Reconciliation report'!$E$473=RefData!$B$112),'All Statement of strategy (D)'!$B1300&amp;$C1300,"")</f>
        <v/>
      </c>
      <c r="G1300" s="585" t="str">
        <f>""</f>
        <v/>
      </c>
      <c r="H1300" s="585" t="str">
        <f>""</f>
        <v/>
      </c>
      <c r="I1300" s="595" t="str">
        <f ca="1">IF($C$1=RefData!$B$418,'All Statement of strategy (D)'!$E1300,IF('All Statement of strategy (D)'!$C$1=RefData!$B$419,'All Statement of strategy (D)'!$F1300,IF('All Statement of strategy (D)'!$C$1=RefData!$B$420,'All Statement of strategy (D)'!$G1300,IF('All Statement of strategy (D)'!$C$1=RefData!$B$421,'All Statement of strategy (D)'!$H1300," "))))</f>
        <v xml:space="preserve"> </v>
      </c>
    </row>
    <row r="1301" spans="1:9">
      <c r="A1301" s="584" t="s">
        <v>2545</v>
      </c>
      <c r="B1301" s="594" t="str">
        <f ca="1">IF('Reconciliation report'!$E$716=RefData!$B$159,MID('Reconciliation report'!$E$717,3001,1000),"")</f>
        <v/>
      </c>
      <c r="E1301" s="585" t="str">
        <f ca="1">IF(AND('Reconciliation report'!$E$475&gt;=1,'Reconciliation report'!$E$475&lt;&gt;"",'Reconciliation report'!$E$473=RefData!$B$112),'All Statement of strategy (D)'!$B1301&amp;$C1301,"")</f>
        <v/>
      </c>
      <c r="F1301" s="585" t="str">
        <f ca="1">IF(AND('Reconciliation report'!$E$475&gt;=1,'Reconciliation report'!$E$475&lt;&gt;"",'Reconciliation report'!$E$473=RefData!$B$112),'All Statement of strategy (D)'!$B1301&amp;$C1301,"")</f>
        <v/>
      </c>
      <c r="G1301" s="585" t="str">
        <f>""</f>
        <v/>
      </c>
      <c r="H1301" s="585" t="str">
        <f>""</f>
        <v/>
      </c>
      <c r="I1301" s="595" t="str">
        <f ca="1">IF($C$1=RefData!$B$418,'All Statement of strategy (D)'!$E1301,IF('All Statement of strategy (D)'!$C$1=RefData!$B$419,'All Statement of strategy (D)'!$F1301,IF('All Statement of strategy (D)'!$C$1=RefData!$B$420,'All Statement of strategy (D)'!$G1301,IF('All Statement of strategy (D)'!$C$1=RefData!$B$421,'All Statement of strategy (D)'!$H1301," "))))</f>
        <v xml:space="preserve"> </v>
      </c>
    </row>
    <row r="1302" spans="1:9">
      <c r="B1302" s="594" t="s">
        <v>2417</v>
      </c>
      <c r="C1302" s="615"/>
      <c r="E1302" s="585" t="str">
        <f ca="1">IF(AND('Reconciliation report'!$E$475&gt;=1,'Reconciliation report'!$E$475&lt;&gt;"",'Reconciliation report'!$E$473=RefData!$B$112),'All Statement of strategy (D)'!$B1302&amp;$C1302,"")</f>
        <v/>
      </c>
      <c r="F1302" s="585" t="str">
        <f ca="1">IF(AND('Reconciliation report'!$E$475&gt;=1,'Reconciliation report'!$E$475&lt;&gt;"",'Reconciliation report'!$E$473=RefData!$B$112),'All Statement of strategy (D)'!$B1302&amp;$C1302,"")</f>
        <v/>
      </c>
      <c r="G1302" s="585" t="str">
        <f>""</f>
        <v/>
      </c>
      <c r="H1302" s="585" t="str">
        <f>""</f>
        <v/>
      </c>
      <c r="I1302" s="595" t="str">
        <f ca="1">IF($C$1=RefData!$B$418,'All Statement of strategy (D)'!$E1302,IF('All Statement of strategy (D)'!$C$1=RefData!$B$419,'All Statement of strategy (D)'!$F1302,IF('All Statement of strategy (D)'!$C$1=RefData!$B$420,'All Statement of strategy (D)'!$G1302,IF('All Statement of strategy (D)'!$C$1=RefData!$B$421,'All Statement of strategy (D)'!$H1302," "))))</f>
        <v xml:space="preserve"> </v>
      </c>
    </row>
    <row r="1303" spans="1:9">
      <c r="A1303" s="584" t="s">
        <v>2546</v>
      </c>
      <c r="B1303" s="621" t="str">
        <f ca="1">B1302&amp;LEFT('Reconciliation report'!$E$718,1000)</f>
        <v xml:space="preserve">Triggers for termination: </v>
      </c>
      <c r="C1303" s="615"/>
      <c r="E1303" s="585" t="str">
        <f ca="1">IF(AND('Reconciliation report'!$E$475&gt;=1,'Reconciliation report'!$E$475&lt;&gt;"",'Reconciliation report'!$E$473=RefData!$B$112),'All Statement of strategy (D)'!$B1303&amp;$C1303,"")</f>
        <v/>
      </c>
      <c r="F1303" s="585" t="str">
        <f ca="1">IF(AND('Reconciliation report'!$E$475&gt;=1,'Reconciliation report'!$E$475&lt;&gt;"",'Reconciliation report'!$E$473=RefData!$B$112),'All Statement of strategy (D)'!$B1303&amp;$C1303,"")</f>
        <v/>
      </c>
      <c r="G1303" s="585" t="str">
        <f>""</f>
        <v/>
      </c>
      <c r="H1303" s="585" t="str">
        <f>""</f>
        <v/>
      </c>
      <c r="I1303" s="595" t="str">
        <f ca="1">IF($C$1=RefData!$B$418,'All Statement of strategy (D)'!$E1303,IF('All Statement of strategy (D)'!$C$1=RefData!$B$419,'All Statement of strategy (D)'!$F1303,IF('All Statement of strategy (D)'!$C$1=RefData!$B$420,'All Statement of strategy (D)'!$G1303,IF('All Statement of strategy (D)'!$C$1=RefData!$B$421,'All Statement of strategy (D)'!$H1303," "))))</f>
        <v xml:space="preserve"> </v>
      </c>
    </row>
    <row r="1304" spans="1:9">
      <c r="A1304" s="593" t="s">
        <v>2546</v>
      </c>
      <c r="B1304" s="621" t="str">
        <f ca="1">MID('Reconciliation report'!$E$718,1001,1000)</f>
        <v/>
      </c>
      <c r="C1304" s="615"/>
      <c r="E1304" s="585" t="str">
        <f ca="1">IF(AND('Reconciliation report'!$E$475&gt;=1,'Reconciliation report'!$E$475&lt;&gt;"",'Reconciliation report'!$E$473=RefData!$B$112),'All Statement of strategy (D)'!$B1304&amp;$C1304,"")</f>
        <v/>
      </c>
      <c r="F1304" s="585" t="str">
        <f ca="1">IF(AND('Reconciliation report'!$E$475&gt;=1,'Reconciliation report'!$E$475&lt;&gt;"",'Reconciliation report'!$E$473=RefData!$B$112),'All Statement of strategy (D)'!$B1304&amp;$C1304,"")</f>
        <v/>
      </c>
      <c r="G1304" s="585" t="str">
        <f>""</f>
        <v/>
      </c>
      <c r="H1304" s="585" t="str">
        <f>""</f>
        <v/>
      </c>
      <c r="I1304" s="595" t="str">
        <f ca="1">IF($C$1=RefData!$B$418,'All Statement of strategy (D)'!$E1304,IF('All Statement of strategy (D)'!$C$1=RefData!$B$419,'All Statement of strategy (D)'!$F1304,IF('All Statement of strategy (D)'!$C$1=RefData!$B$420,'All Statement of strategy (D)'!$G1304,IF('All Statement of strategy (D)'!$C$1=RefData!$B$421,'All Statement of strategy (D)'!$H1304," "))))</f>
        <v xml:space="preserve"> </v>
      </c>
    </row>
    <row r="1305" spans="1:9">
      <c r="A1305" s="593" t="s">
        <v>2546</v>
      </c>
      <c r="B1305" s="621" t="str">
        <f ca="1">MID('Reconciliation report'!$E$718,2001,1000)</f>
        <v/>
      </c>
      <c r="C1305" s="615"/>
      <c r="E1305" s="585" t="str">
        <f ca="1">IF(AND('Reconciliation report'!$E$475&gt;=1,'Reconciliation report'!$E$475&lt;&gt;"",'Reconciliation report'!$E$473=RefData!$B$112),'All Statement of strategy (D)'!$B1305&amp;$C1305,"")</f>
        <v/>
      </c>
      <c r="F1305" s="585" t="str">
        <f ca="1">IF(AND('Reconciliation report'!$E$475&gt;=1,'Reconciliation report'!$E$475&lt;&gt;"",'Reconciliation report'!$E$473=RefData!$B$112),'All Statement of strategy (D)'!$B1305&amp;$C1305,"")</f>
        <v/>
      </c>
      <c r="G1305" s="585" t="str">
        <f>""</f>
        <v/>
      </c>
      <c r="H1305" s="585" t="str">
        <f>""</f>
        <v/>
      </c>
      <c r="I1305" s="595" t="str">
        <f ca="1">IF($C$1=RefData!$B$418,'All Statement of strategy (D)'!$E1305,IF('All Statement of strategy (D)'!$C$1=RefData!$B$419,'All Statement of strategy (D)'!$F1305,IF('All Statement of strategy (D)'!$C$1=RefData!$B$420,'All Statement of strategy (D)'!$G1305,IF('All Statement of strategy (D)'!$C$1=RefData!$B$421,'All Statement of strategy (D)'!$H1305," "))))</f>
        <v xml:space="preserve"> </v>
      </c>
    </row>
    <row r="1306" spans="1:9" ht="16" thickBot="1">
      <c r="A1306" s="596" t="s">
        <v>2546</v>
      </c>
      <c r="B1306" s="622" t="str">
        <f ca="1">MID('Reconciliation report'!$E$718,3001,1000)</f>
        <v/>
      </c>
      <c r="C1306" s="625"/>
      <c r="D1306" s="598"/>
      <c r="E1306" s="598" t="str">
        <f ca="1">IF(AND('Reconciliation report'!$E$475&gt;=1,'Reconciliation report'!$E$475&lt;&gt;"",'Reconciliation report'!$E$473=RefData!$B$112),'All Statement of strategy (D)'!$B1306&amp;$C1306,"")</f>
        <v/>
      </c>
      <c r="F1306" s="598" t="str">
        <f ca="1">IF(AND('Reconciliation report'!$E$475&gt;=1,'Reconciliation report'!$E$475&lt;&gt;"",'Reconciliation report'!$E$473=RefData!$B$112),'All Statement of strategy (D)'!$B1306&amp;$C1306,"")</f>
        <v/>
      </c>
      <c r="G1306" s="598" t="str">
        <f>""</f>
        <v/>
      </c>
      <c r="H1306" s="598" t="str">
        <f>""</f>
        <v/>
      </c>
      <c r="I1306" s="599" t="str">
        <f ca="1">IF($C$1=RefData!$B$418,'All Statement of strategy (D)'!$E1306,IF('All Statement of strategy (D)'!$C$1=RefData!$B$419,'All Statement of strategy (D)'!$F1306,IF('All Statement of strategy (D)'!$C$1=RefData!$B$420,'All Statement of strategy (D)'!$G1306,IF('All Statement of strategy (D)'!$C$1=RefData!$B$421,'All Statement of strategy (D)'!$H1306," "))))</f>
        <v xml:space="preserve"> </v>
      </c>
    </row>
    <row r="1307" spans="1:9">
      <c r="B1307" s="621" t="s">
        <v>2547</v>
      </c>
      <c r="C1307" s="615"/>
      <c r="E1307" s="585" t="str">
        <f ca="1">IF(AND('Reconciliation report'!$E$475&gt;=2,'Reconciliation report'!$E$475&lt;&gt;"",'Reconciliation report'!$E$473=RefData!$B$112),'All Statement of strategy (D)'!$B1307&amp;$C1307,"")</f>
        <v/>
      </c>
      <c r="F1307" s="585" t="str">
        <f ca="1">IF(AND('Reconciliation report'!$E$475&gt;=2,'Reconciliation report'!$E$475&lt;&gt;"",'Reconciliation report'!$E$473=RefData!$B$112),'All Statement of strategy (D)'!$B1307&amp;$C1307,"")</f>
        <v/>
      </c>
      <c r="G1307" s="585" t="str">
        <f ca="1">IF(AND('Reconciliation report'!$E$475&gt;=2,'Reconciliation report'!$E$475&lt;&gt;"",'Reconciliation report'!$E$473=RefData!$B$112),'All Statement of strategy (D)'!$B1307&amp;$C1307,"")</f>
        <v/>
      </c>
      <c r="H1307" s="585" t="str">
        <f ca="1">IF(AND('Reconciliation report'!$E$475&gt;=2,'Reconciliation report'!$E$475&lt;&gt;"",'Reconciliation report'!$E$473=RefData!$B$112),'All Statement of strategy (D)'!$B1307&amp;$C1307,"")</f>
        <v/>
      </c>
      <c r="I1307" s="595" t="str">
        <f ca="1">IF($C$1=RefData!$B$418,'All Statement of strategy (D)'!$E1307,IF('All Statement of strategy (D)'!$C$1=RefData!$B$419,'All Statement of strategy (D)'!$F1307,IF('All Statement of strategy (D)'!$C$1=RefData!$B$420,'All Statement of strategy (D)'!$G1307,IF('All Statement of strategy (D)'!$C$1=RefData!$B$421,'All Statement of strategy (D)'!$H1307," "))))</f>
        <v xml:space="preserve"> </v>
      </c>
    </row>
    <row r="1308" spans="1:9">
      <c r="A1308" s="584" t="s">
        <v>2548</v>
      </c>
      <c r="B1308" s="621" t="str">
        <f ca="1">"Type of security: "&amp;IF('Reconciliation report'!$E$719=RefData!$B$148,"",'Reconciliation report'!$E$719)</f>
        <v xml:space="preserve">Type of security: </v>
      </c>
      <c r="C1308" s="615"/>
      <c r="D1308" s="624"/>
      <c r="E1308" s="585" t="str">
        <f ca="1">IF(AND('Reconciliation report'!$E$475&gt;=2,'Reconciliation report'!$E$475&lt;&gt;"",'Reconciliation report'!$E$473=RefData!$B$112),'All Statement of strategy (D)'!$B1308&amp;$C1308,"")</f>
        <v/>
      </c>
      <c r="F1308" s="585" t="str">
        <f ca="1">IF(AND('Reconciliation report'!$E$475&gt;=2,'Reconciliation report'!$E$475&lt;&gt;"",'Reconciliation report'!$E$473=RefData!$B$112),'All Statement of strategy (D)'!$B1308&amp;$C1308,"")</f>
        <v/>
      </c>
      <c r="G1308" s="585" t="str">
        <f ca="1">IF(AND('Reconciliation report'!$E$475&gt;=2,'Reconciliation report'!$E$475&lt;&gt;"",'Reconciliation report'!$E$473=RefData!$B$112),'All Statement of strategy (D)'!$B1308&amp;$C1308,"")</f>
        <v/>
      </c>
      <c r="H1308" s="585" t="str">
        <f ca="1">IF(AND('Reconciliation report'!$E$475&gt;=2,'Reconciliation report'!$E$475&lt;&gt;"",'Reconciliation report'!$E$473=RefData!$B$112),'All Statement of strategy (D)'!$B1308&amp;$C1308,"")</f>
        <v/>
      </c>
      <c r="I1308" s="595" t="str">
        <f ca="1">IF($C$1=RefData!$B$418,'All Statement of strategy (D)'!$E1308,IF('All Statement of strategy (D)'!$C$1=RefData!$B$419,'All Statement of strategy (D)'!$F1308,IF('All Statement of strategy (D)'!$C$1=RefData!$B$420,'All Statement of strategy (D)'!$G1308,IF('All Statement of strategy (D)'!$C$1=RefData!$B$421,'All Statement of strategy (D)'!$H1308," "))))</f>
        <v xml:space="preserve"> </v>
      </c>
    </row>
    <row r="1309" spans="1:9">
      <c r="B1309" s="594" t="s">
        <v>2549</v>
      </c>
      <c r="C1309" s="615"/>
      <c r="D1309" s="624"/>
      <c r="E1309" s="585" t="str">
        <f ca="1">IF(AND('Reconciliation report'!$E$475&gt;=2,'Reconciliation report'!$E$475&lt;&gt;"",'Reconciliation report'!$E$473=RefData!$B$112),'All Statement of strategy (D)'!$B1309&amp;$C1309,"")</f>
        <v/>
      </c>
      <c r="F1309" s="585" t="str">
        <f ca="1">IF(AND('Reconciliation report'!$E$475&gt;=2,'Reconciliation report'!$E$475&lt;&gt;"",'Reconciliation report'!$E$473=RefData!$B$112),'All Statement of strategy (D)'!$B1309&amp;$C1309,"")</f>
        <v/>
      </c>
      <c r="G1309" s="585" t="str">
        <f ca="1">IF(AND('Reconciliation report'!$E$475&gt;=2,'Reconciliation report'!$E$475&lt;&gt;"",'Reconciliation report'!$E$473=RefData!$B$112),'All Statement of strategy (D)'!$B1309&amp;$C1309,"")</f>
        <v/>
      </c>
      <c r="H1309" s="585" t="str">
        <f ca="1">IF(AND('Reconciliation report'!$E$475&gt;=2,'Reconciliation report'!$E$475&lt;&gt;"",'Reconciliation report'!$E$473=RefData!$B$112),'All Statement of strategy (D)'!$B1309&amp;$C1309,"")</f>
        <v/>
      </c>
      <c r="I1309" s="595" t="str">
        <f ca="1">IF($C$1=RefData!$B$418,'All Statement of strategy (D)'!$E1309,IF('All Statement of strategy (D)'!$C$1=RefData!$B$419,'All Statement of strategy (D)'!$F1309,IF('All Statement of strategy (D)'!$C$1=RefData!$B$420,'All Statement of strategy (D)'!$G1309,IF('All Statement of strategy (D)'!$C$1=RefData!$B$421,'All Statement of strategy (D)'!$H1309," "))))</f>
        <v xml:space="preserve"> </v>
      </c>
    </row>
    <row r="1310" spans="1:9">
      <c r="A1310" s="584" t="s">
        <v>2550</v>
      </c>
      <c r="B1310" s="621" t="str">
        <f ca="1">B1309&amp;LEFT('Reconciliation report'!$E$720,1000)</f>
        <v xml:space="preserve">Provide specific details of the underlying asset: </v>
      </c>
      <c r="C1310" s="615"/>
      <c r="D1310" s="624"/>
      <c r="E1310" s="585" t="str">
        <f ca="1">IF(AND('Reconciliation report'!$E$475&gt;=2,'Reconciliation report'!$E$475&lt;&gt;"",'Reconciliation report'!$E$473=RefData!$B$112),'All Statement of strategy (D)'!$B1310&amp;$C1310,"")</f>
        <v/>
      </c>
      <c r="F1310" s="585" t="str">
        <f ca="1">IF(AND('Reconciliation report'!$E$475&gt;=2,'Reconciliation report'!$E$475&lt;&gt;"",'Reconciliation report'!$E$473=RefData!$B$112),'All Statement of strategy (D)'!$B1310&amp;$C1310,"")</f>
        <v/>
      </c>
      <c r="G1310" s="585" t="str">
        <f ca="1">IF(AND('Reconciliation report'!$E$475&gt;=2,'Reconciliation report'!$E$475&lt;&gt;"",'Reconciliation report'!$E$473=RefData!$B$112),'All Statement of strategy (D)'!$B1310&amp;$C1310,"")</f>
        <v/>
      </c>
      <c r="H1310" s="585" t="str">
        <f ca="1">IF(AND('Reconciliation report'!$E$475&gt;=2,'Reconciliation report'!$E$475&lt;&gt;"",'Reconciliation report'!$E$473=RefData!$B$112),'All Statement of strategy (D)'!$B1310&amp;$C1310,"")</f>
        <v/>
      </c>
      <c r="I1310" s="595" t="str">
        <f ca="1">IF($C$1=RefData!$B$418,'All Statement of strategy (D)'!$E1310,IF('All Statement of strategy (D)'!$C$1=RefData!$B$419,'All Statement of strategy (D)'!$F1310,IF('All Statement of strategy (D)'!$C$1=RefData!$B$420,'All Statement of strategy (D)'!$G1310,IF('All Statement of strategy (D)'!$C$1=RefData!$B$421,'All Statement of strategy (D)'!$H1310," "))))</f>
        <v xml:space="preserve"> </v>
      </c>
    </row>
    <row r="1311" spans="1:9">
      <c r="A1311" s="584" t="s">
        <v>2550</v>
      </c>
      <c r="B1311" s="621" t="str">
        <f ca="1">MID('Reconciliation report'!$E$720,1001,1000)</f>
        <v/>
      </c>
      <c r="C1311" s="615"/>
      <c r="D1311" s="624"/>
      <c r="E1311" s="585" t="str">
        <f ca="1">IF(AND('Reconciliation report'!$E$475&gt;=2,'Reconciliation report'!$E$475&lt;&gt;"",'Reconciliation report'!$E$473=RefData!$B$112),'All Statement of strategy (D)'!$B1311&amp;$C1311,"")</f>
        <v/>
      </c>
      <c r="F1311" s="585" t="str">
        <f ca="1">IF(AND('Reconciliation report'!$E$475&gt;=2,'Reconciliation report'!$E$475&lt;&gt;"",'Reconciliation report'!$E$473=RefData!$B$112),'All Statement of strategy (D)'!$B1311&amp;$C1311,"")</f>
        <v/>
      </c>
      <c r="G1311" s="585" t="str">
        <f ca="1">IF(AND('Reconciliation report'!$E$475&gt;=2,'Reconciliation report'!$E$475&lt;&gt;"",'Reconciliation report'!$E$473=RefData!$B$112),'All Statement of strategy (D)'!$B1311&amp;$C1311,"")</f>
        <v/>
      </c>
      <c r="H1311" s="585" t="str">
        <f ca="1">IF(AND('Reconciliation report'!$E$475&gt;=2,'Reconciliation report'!$E$475&lt;&gt;"",'Reconciliation report'!$E$473=RefData!$B$112),'All Statement of strategy (D)'!$B1311&amp;$C1311,"")</f>
        <v/>
      </c>
      <c r="I1311" s="595" t="str">
        <f ca="1">IF($C$1=RefData!$B$418,'All Statement of strategy (D)'!$E1311,IF('All Statement of strategy (D)'!$C$1=RefData!$B$419,'All Statement of strategy (D)'!$F1311,IF('All Statement of strategy (D)'!$C$1=RefData!$B$420,'All Statement of strategy (D)'!$G1311,IF('All Statement of strategy (D)'!$C$1=RefData!$B$421,'All Statement of strategy (D)'!$H1311," "))))</f>
        <v xml:space="preserve"> </v>
      </c>
    </row>
    <row r="1312" spans="1:9">
      <c r="A1312" s="584" t="s">
        <v>2550</v>
      </c>
      <c r="B1312" s="621" t="str">
        <f ca="1">MID('Reconciliation report'!$E$720,2001,1000)</f>
        <v/>
      </c>
      <c r="C1312" s="615"/>
      <c r="D1312" s="624"/>
      <c r="E1312" s="585" t="str">
        <f ca="1">IF(AND('Reconciliation report'!$E$475&gt;=2,'Reconciliation report'!$E$475&lt;&gt;"",'Reconciliation report'!$E$473=RefData!$B$112),'All Statement of strategy (D)'!$B1312&amp;$C1312,"")</f>
        <v/>
      </c>
      <c r="F1312" s="585" t="str">
        <f ca="1">IF(AND('Reconciliation report'!$E$475&gt;=2,'Reconciliation report'!$E$475&lt;&gt;"",'Reconciliation report'!$E$473=RefData!$B$112),'All Statement of strategy (D)'!$B1312&amp;$C1312,"")</f>
        <v/>
      </c>
      <c r="G1312" s="585" t="str">
        <f ca="1">IF(AND('Reconciliation report'!$E$475&gt;=2,'Reconciliation report'!$E$475&lt;&gt;"",'Reconciliation report'!$E$473=RefData!$B$112),'All Statement of strategy (D)'!$B1312&amp;$C1312,"")</f>
        <v/>
      </c>
      <c r="H1312" s="585" t="str">
        <f ca="1">IF(AND('Reconciliation report'!$E$475&gt;=2,'Reconciliation report'!$E$475&lt;&gt;"",'Reconciliation report'!$E$473=RefData!$B$112),'All Statement of strategy (D)'!$B1312&amp;$C1312,"")</f>
        <v/>
      </c>
      <c r="I1312" s="595" t="str">
        <f ca="1">IF($C$1=RefData!$B$418,'All Statement of strategy (D)'!$E1312,IF('All Statement of strategy (D)'!$C$1=RefData!$B$419,'All Statement of strategy (D)'!$F1312,IF('All Statement of strategy (D)'!$C$1=RefData!$B$420,'All Statement of strategy (D)'!$G1312,IF('All Statement of strategy (D)'!$C$1=RefData!$B$421,'All Statement of strategy (D)'!$H1312," "))))</f>
        <v xml:space="preserve"> </v>
      </c>
    </row>
    <row r="1313" spans="1:9">
      <c r="A1313" s="584" t="s">
        <v>2550</v>
      </c>
      <c r="B1313" s="621" t="str">
        <f ca="1">MID('Reconciliation report'!$E$720,3001,1000)</f>
        <v/>
      </c>
      <c r="C1313" s="615"/>
      <c r="D1313" s="624"/>
      <c r="E1313" s="585" t="str">
        <f ca="1">IF(AND('Reconciliation report'!$E$475&gt;=2,'Reconciliation report'!$E$475&lt;&gt;"",'Reconciliation report'!$E$473=RefData!$B$112),'All Statement of strategy (D)'!$B1313&amp;$C1313,"")</f>
        <v/>
      </c>
      <c r="F1313" s="585" t="str">
        <f ca="1">IF(AND('Reconciliation report'!$E$475&gt;=2,'Reconciliation report'!$E$475&lt;&gt;"",'Reconciliation report'!$E$473=RefData!$B$112),'All Statement of strategy (D)'!$B1313&amp;$C1313,"")</f>
        <v/>
      </c>
      <c r="G1313" s="585" t="str">
        <f ca="1">IF(AND('Reconciliation report'!$E$475&gt;=2,'Reconciliation report'!$E$475&lt;&gt;"",'Reconciliation report'!$E$473=RefData!$B$112),'All Statement of strategy (D)'!$B1313&amp;$C1313,"")</f>
        <v/>
      </c>
      <c r="H1313" s="585" t="str">
        <f ca="1">IF(AND('Reconciliation report'!$E$475&gt;=2,'Reconciliation report'!$E$475&lt;&gt;"",'Reconciliation report'!$E$473=RefData!$B$112),'All Statement of strategy (D)'!$B1313&amp;$C1313,"")</f>
        <v/>
      </c>
      <c r="I1313" s="595" t="str">
        <f ca="1">IF($C$1=RefData!$B$418,'All Statement of strategy (D)'!$E1313,IF('All Statement of strategy (D)'!$C$1=RefData!$B$419,'All Statement of strategy (D)'!$F1313,IF('All Statement of strategy (D)'!$C$1=RefData!$B$420,'All Statement of strategy (D)'!$G1313,IF('All Statement of strategy (D)'!$C$1=RefData!$B$421,'All Statement of strategy (D)'!$H1313," "))))</f>
        <v xml:space="preserve"> </v>
      </c>
    </row>
    <row r="1314" spans="1:9">
      <c r="A1314" s="604"/>
      <c r="B1314" s="594" t="s">
        <v>2532</v>
      </c>
      <c r="D1314" s="624"/>
      <c r="E1314" s="585" t="str">
        <f ca="1">IF(AND('Reconciliation report'!$E$475&gt;=2,'Reconciliation report'!$E$475&lt;&gt;"",'Reconciliation report'!$E$473=RefData!$B$112),'All Statement of strategy (D)'!$B1314&amp;$C1314,"")</f>
        <v/>
      </c>
      <c r="F1314" s="585" t="str">
        <f ca="1">IF(AND('Reconciliation report'!$E$475&gt;=2,'Reconciliation report'!$E$475&lt;&gt;"",'Reconciliation report'!$E$473=RefData!$B$112),'All Statement of strategy (D)'!$B1314&amp;$C1314,"")</f>
        <v/>
      </c>
      <c r="G1314" s="585" t="str">
        <f>""</f>
        <v/>
      </c>
      <c r="H1314" s="585" t="str">
        <f>""</f>
        <v/>
      </c>
      <c r="I1314" s="595" t="str">
        <f ca="1">IF($C$1=RefData!$B$418,'All Statement of strategy (D)'!$E1314,IF('All Statement of strategy (D)'!$C$1=RefData!$B$419,'All Statement of strategy (D)'!$F1314,IF('All Statement of strategy (D)'!$C$1=RefData!$B$420,'All Statement of strategy (D)'!$G1314,IF('All Statement of strategy (D)'!$C$1=RefData!$B$421,'All Statement of strategy (D)'!$H1314," "))))</f>
        <v xml:space="preserve"> </v>
      </c>
    </row>
    <row r="1315" spans="1:9">
      <c r="A1315" s="584" t="s">
        <v>2551</v>
      </c>
      <c r="B1315" s="594" t="str">
        <f ca="1">B1314&amp;IF('Reconciliation report'!$E$721=RefData!$B$149,'Reconciliation report'!$E$721,"")</f>
        <v xml:space="preserve">Type of maturity: </v>
      </c>
      <c r="D1315" s="624"/>
      <c r="E1315" s="585" t="str">
        <f ca="1">IF(AND('Reconciliation report'!$E$475&gt;=2,'Reconciliation report'!$E$475&lt;&gt;"",'Reconciliation report'!$E$473=RefData!$B$112),'All Statement of strategy (D)'!$B1315&amp;$C1315,"")</f>
        <v/>
      </c>
      <c r="F1315" s="585" t="str">
        <f ca="1">IF(AND('Reconciliation report'!$E$475&gt;=2,'Reconciliation report'!$E$475&lt;&gt;"",'Reconciliation report'!$E$473=RefData!$B$112),'All Statement of strategy (D)'!$B1315&amp;$C1315,"")</f>
        <v/>
      </c>
      <c r="G1315" s="585" t="str">
        <f>""</f>
        <v/>
      </c>
      <c r="H1315" s="585" t="str">
        <f>""</f>
        <v/>
      </c>
      <c r="I1315" s="595" t="str">
        <f ca="1">IF($C$1=RefData!$B$418,'All Statement of strategy (D)'!$E1315,IF('All Statement of strategy (D)'!$C$1=RefData!$B$419,'All Statement of strategy (D)'!$F1315,IF('All Statement of strategy (D)'!$C$1=RefData!$B$420,'All Statement of strategy (D)'!$G1315,IF('All Statement of strategy (D)'!$C$1=RefData!$B$421,'All Statement of strategy (D)'!$H1315," "))))</f>
        <v xml:space="preserve"> </v>
      </c>
    </row>
    <row r="1316" spans="1:9">
      <c r="A1316" s="584" t="s">
        <v>2552</v>
      </c>
      <c r="B1316" s="594" t="str">
        <f ca="1">B1315&amp;IF('Reconciliation report'!$E$721=RefData!$B$150,"Fixed expiry with a maturity date of "&amp;TEXT('Reconciliation report'!$E$722,RefData!$B$424),"")</f>
        <v xml:space="preserve">Type of maturity: </v>
      </c>
      <c r="D1316" s="624"/>
      <c r="E1316" s="585" t="str">
        <f ca="1">IF(AND('Reconciliation report'!$E$475&gt;=2,'Reconciliation report'!$E$475&lt;&gt;"",'Reconciliation report'!$E$473=RefData!$B$112),'All Statement of strategy (D)'!$B1316&amp;$C1316,"")</f>
        <v/>
      </c>
      <c r="F1316" s="585" t="str">
        <f ca="1">IF(AND('Reconciliation report'!$E$475&gt;=2,'Reconciliation report'!$E$475&lt;&gt;"",'Reconciliation report'!$E$473=RefData!$B$112),'All Statement of strategy (D)'!$B1316&amp;$C1316,"")</f>
        <v/>
      </c>
      <c r="G1316" s="585" t="str">
        <f>""</f>
        <v/>
      </c>
      <c r="H1316" s="585" t="str">
        <f>""</f>
        <v/>
      </c>
      <c r="I1316" s="595" t="str">
        <f ca="1">IF($C$1=RefData!$B$418,'All Statement of strategy (D)'!$E1316,IF('All Statement of strategy (D)'!$C$1=RefData!$B$419,'All Statement of strategy (D)'!$F1316,IF('All Statement of strategy (D)'!$C$1=RefData!$B$420,'All Statement of strategy (D)'!$G1316,IF('All Statement of strategy (D)'!$C$1=RefData!$B$421,'All Statement of strategy (D)'!$H1316," "))))</f>
        <v xml:space="preserve"> </v>
      </c>
    </row>
    <row r="1317" spans="1:9">
      <c r="A1317" s="584" t="s">
        <v>2553</v>
      </c>
      <c r="B1317" s="594" t="str">
        <f ca="1">B1316&amp;IF('Reconciliation report'!$E$721=RefData!$B$151,LEFT('Reconciliation report'!$E$723,1000),"")</f>
        <v xml:space="preserve">Type of maturity: </v>
      </c>
      <c r="D1317" s="624"/>
      <c r="E1317" s="585" t="str">
        <f ca="1">IF(AND('Reconciliation report'!$E$475&gt;=2,'Reconciliation report'!$E$475&lt;&gt;"",'Reconciliation report'!$E$473=RefData!$B$112),'All Statement of strategy (D)'!$B1317&amp;$C1317,"")</f>
        <v/>
      </c>
      <c r="F1317" s="585" t="str">
        <f ca="1">IF(AND('Reconciliation report'!$E$475&gt;=2,'Reconciliation report'!$E$475&lt;&gt;"",'Reconciliation report'!$E$473=RefData!$B$112),'All Statement of strategy (D)'!$B1317&amp;$C1317,"")</f>
        <v/>
      </c>
      <c r="G1317" s="585" t="str">
        <f>""</f>
        <v/>
      </c>
      <c r="H1317" s="585" t="str">
        <f>""</f>
        <v/>
      </c>
      <c r="I1317" s="595" t="str">
        <f ca="1">IF($C$1=RefData!$B$418,'All Statement of strategy (D)'!$E1317,IF('All Statement of strategy (D)'!$C$1=RefData!$B$419,'All Statement of strategy (D)'!$F1317,IF('All Statement of strategy (D)'!$C$1=RefData!$B$420,'All Statement of strategy (D)'!$G1317,IF('All Statement of strategy (D)'!$C$1=RefData!$B$421,'All Statement of strategy (D)'!$H1317," "))))</f>
        <v xml:space="preserve"> </v>
      </c>
    </row>
    <row r="1318" spans="1:9">
      <c r="A1318" s="584" t="s">
        <v>2553</v>
      </c>
      <c r="B1318" s="594" t="str">
        <f ca="1">IF('Reconciliation report'!$E$721=RefData!$B$151,MID('Reconciliation report'!$E$723,1001,1000),"")</f>
        <v/>
      </c>
      <c r="D1318" s="624"/>
      <c r="E1318" s="585" t="str">
        <f ca="1">IF(AND('Reconciliation report'!$E$475&gt;=2,'Reconciliation report'!$E$475&lt;&gt;"",'Reconciliation report'!$E$473=RefData!$B$112),'All Statement of strategy (D)'!$B1318&amp;$C1318,"")</f>
        <v/>
      </c>
      <c r="F1318" s="585" t="str">
        <f ca="1">IF(AND('Reconciliation report'!$E$475&gt;=2,'Reconciliation report'!$E$475&lt;&gt;"",'Reconciliation report'!$E$473=RefData!$B$112),'All Statement of strategy (D)'!$B1318&amp;$C1318,"")</f>
        <v/>
      </c>
      <c r="G1318" s="585" t="str">
        <f>""</f>
        <v/>
      </c>
      <c r="H1318" s="585" t="str">
        <f>""</f>
        <v/>
      </c>
      <c r="I1318" s="595" t="str">
        <f ca="1">IF($C$1=RefData!$B$418,'All Statement of strategy (D)'!$E1318,IF('All Statement of strategy (D)'!$C$1=RefData!$B$419,'All Statement of strategy (D)'!$F1318,IF('All Statement of strategy (D)'!$C$1=RefData!$B$420,'All Statement of strategy (D)'!$G1318,IF('All Statement of strategy (D)'!$C$1=RefData!$B$421,'All Statement of strategy (D)'!$H1318," "))))</f>
        <v xml:space="preserve"> </v>
      </c>
    </row>
    <row r="1319" spans="1:9">
      <c r="A1319" s="584" t="s">
        <v>2553</v>
      </c>
      <c r="B1319" s="594" t="str">
        <f ca="1">IF('Reconciliation report'!$E$721=RefData!$B$151,MID('Reconciliation report'!$E$723,2001,1000),"")</f>
        <v/>
      </c>
      <c r="D1319" s="624"/>
      <c r="E1319" s="585" t="str">
        <f ca="1">IF(AND('Reconciliation report'!$E$475&gt;=2,'Reconciliation report'!$E$475&lt;&gt;"",'Reconciliation report'!$E$473=RefData!$B$112),'All Statement of strategy (D)'!$B1319&amp;$C1319,"")</f>
        <v/>
      </c>
      <c r="F1319" s="585" t="str">
        <f ca="1">IF(AND('Reconciliation report'!$E$475&gt;=2,'Reconciliation report'!$E$475&lt;&gt;"",'Reconciliation report'!$E$473=RefData!$B$112),'All Statement of strategy (D)'!$B1319&amp;$C1319,"")</f>
        <v/>
      </c>
      <c r="G1319" s="585" t="str">
        <f>""</f>
        <v/>
      </c>
      <c r="H1319" s="585" t="str">
        <f>""</f>
        <v/>
      </c>
      <c r="I1319" s="595" t="str">
        <f ca="1">IF($C$1=RefData!$B$418,'All Statement of strategy (D)'!$E1319,IF('All Statement of strategy (D)'!$C$1=RefData!$B$419,'All Statement of strategy (D)'!$F1319,IF('All Statement of strategy (D)'!$C$1=RefData!$B$420,'All Statement of strategy (D)'!$G1319,IF('All Statement of strategy (D)'!$C$1=RefData!$B$421,'All Statement of strategy (D)'!$H1319," "))))</f>
        <v xml:space="preserve"> </v>
      </c>
    </row>
    <row r="1320" spans="1:9">
      <c r="A1320" s="584" t="s">
        <v>2553</v>
      </c>
      <c r="B1320" s="594" t="str">
        <f ca="1">IF('Reconciliation report'!$E$721=RefData!$B$151,MID('Reconciliation report'!$E$723,3001,1000),"")</f>
        <v/>
      </c>
      <c r="D1320" s="624"/>
      <c r="E1320" s="585" t="str">
        <f ca="1">IF(AND('Reconciliation report'!$E$475&gt;=2,'Reconciliation report'!$E$475&lt;&gt;"",'Reconciliation report'!$E$473=RefData!$B$112),'All Statement of strategy (D)'!$B1320&amp;$C1320,"")</f>
        <v/>
      </c>
      <c r="F1320" s="585" t="str">
        <f ca="1">IF(AND('Reconciliation report'!$E$475&gt;=2,'Reconciliation report'!$E$475&lt;&gt;"",'Reconciliation report'!$E$473=RefData!$B$112),'All Statement of strategy (D)'!$B1320&amp;$C1320,"")</f>
        <v/>
      </c>
      <c r="G1320" s="585" t="str">
        <f>""</f>
        <v/>
      </c>
      <c r="H1320" s="585" t="str">
        <f>""</f>
        <v/>
      </c>
      <c r="I1320" s="595" t="str">
        <f ca="1">IF($C$1=RefData!$B$418,'All Statement of strategy (D)'!$E1320,IF('All Statement of strategy (D)'!$C$1=RefData!$B$419,'All Statement of strategy (D)'!$F1320,IF('All Statement of strategy (D)'!$C$1=RefData!$B$420,'All Statement of strategy (D)'!$G1320,IF('All Statement of strategy (D)'!$C$1=RefData!$B$421,'All Statement of strategy (D)'!$H1320," "))))</f>
        <v xml:space="preserve"> </v>
      </c>
    </row>
    <row r="1321" spans="1:9">
      <c r="A1321" s="584" t="s">
        <v>2554</v>
      </c>
      <c r="B1321" s="594" t="s">
        <v>2399</v>
      </c>
      <c r="E1321" s="585" t="str">
        <f ca="1">IF(AND('Reconciliation report'!$E$475&gt;=2,'Reconciliation report'!$E$475&lt;&gt;"",'Reconciliation report'!$E$473=RefData!$B$112),'All Statement of strategy (D)'!$B1321&amp;$C1321,"")</f>
        <v/>
      </c>
      <c r="F1321" s="585" t="str">
        <f ca="1">IF(AND('Reconciliation report'!$E$475&gt;=2,'Reconciliation report'!$E$475&lt;&gt;"",'Reconciliation report'!$E$473=RefData!$B$112),'All Statement of strategy (D)'!$B1321&amp;$C1321,"")</f>
        <v/>
      </c>
      <c r="G1321" s="585" t="str">
        <f ca="1">IF(AND('Reconciliation report'!$E$475&gt;=2,'Reconciliation report'!$E$475&lt;&gt;"",'Reconciliation report'!$E$473=RefData!$B$112),'All Statement of strategy (D)'!$B1321&amp;$C1321,"")</f>
        <v/>
      </c>
      <c r="H1321" s="585" t="str">
        <f ca="1">IF(AND('Reconciliation report'!$E$475&gt;=2,'Reconciliation report'!$E$475&lt;&gt;"",'Reconciliation report'!$E$473=RefData!$B$112),'All Statement of strategy (D)'!$B1321&amp;$C1321,"")</f>
        <v/>
      </c>
      <c r="I1321" s="595" t="str">
        <f ca="1">IF($C$1=RefData!$B$418,'All Statement of strategy (D)'!$E1321,IF('All Statement of strategy (D)'!$C$1=RefData!$B$419,'All Statement of strategy (D)'!$F1321,IF('All Statement of strategy (D)'!$C$1=RefData!$B$420,'All Statement of strategy (D)'!$G1321,IF('All Statement of strategy (D)'!$C$1=RefData!$B$421,'All Statement of strategy (D)'!$H1321," "))))</f>
        <v xml:space="preserve"> </v>
      </c>
    </row>
    <row r="1322" spans="1:9">
      <c r="B1322" s="594" t="s">
        <v>2400</v>
      </c>
      <c r="C1322" s="585" t="str">
        <f ca="1">TEXT('Reconciliation report'!$E$724,RefData!$B$425)</f>
        <v/>
      </c>
      <c r="E1322" s="585" t="str">
        <f ca="1">IF(AND('Reconciliation report'!$E$475&gt;=2,'Reconciliation report'!$E$475&lt;&gt;"",'Reconciliation report'!$E$473=RefData!$B$112),'All Statement of strategy (D)'!$B1322&amp;$C1322,"")</f>
        <v/>
      </c>
      <c r="F1322" s="585" t="str">
        <f ca="1">IF(AND('Reconciliation report'!$E$475&gt;=2,'Reconciliation report'!$E$475&lt;&gt;"",'Reconciliation report'!$E$473=RefData!$B$112),'All Statement of strategy (D)'!$B1322&amp;$C1322,"")</f>
        <v/>
      </c>
      <c r="G1322" s="585" t="str">
        <f ca="1">IF(AND('Reconciliation report'!$E$475&gt;=2,'Reconciliation report'!$E$475&lt;&gt;"",'Reconciliation report'!$E$473=RefData!$B$112),'All Statement of strategy (D)'!$B1322&amp;$C1322,"")</f>
        <v/>
      </c>
      <c r="H1322" s="585" t="str">
        <f ca="1">IF(AND('Reconciliation report'!$E$475&gt;=2,'Reconciliation report'!$E$475&lt;&gt;"",'Reconciliation report'!$E$473=RefData!$B$112),'All Statement of strategy (D)'!$B1322&amp;$C1322,"")</f>
        <v/>
      </c>
      <c r="I1322" s="595" t="str">
        <f ca="1">IF($C$1=RefData!$B$418,'All Statement of strategy (D)'!$E1322,IF('All Statement of strategy (D)'!$C$1=RefData!$B$419,'All Statement of strategy (D)'!$F1322,IF('All Statement of strategy (D)'!$C$1=RefData!$B$420,'All Statement of strategy (D)'!$G1322,IF('All Statement of strategy (D)'!$C$1=RefData!$B$421,'All Statement of strategy (D)'!$H1322," "))))</f>
        <v xml:space="preserve"> </v>
      </c>
    </row>
    <row r="1323" spans="1:9">
      <c r="A1323" s="584" t="s">
        <v>2555</v>
      </c>
      <c r="B1323" s="594" t="s">
        <v>2402</v>
      </c>
      <c r="C1323" s="629" t="str">
        <f ca="1">TEXT('Reconciliation report'!$E$725,RefData!$B$424)</f>
        <v/>
      </c>
      <c r="E1323" s="585" t="str">
        <f ca="1">IF(AND('Reconciliation report'!$E$475&gt;=2,'Reconciliation report'!$E$475&lt;&gt;"",'Reconciliation report'!$E$473=RefData!$B$112),'All Statement of strategy (D)'!$B1323&amp;$C1323,"")</f>
        <v/>
      </c>
      <c r="F1323" s="585" t="str">
        <f ca="1">IF(AND('Reconciliation report'!$E$475&gt;=2,'Reconciliation report'!$E$475&lt;&gt;"",'Reconciliation report'!$E$473=RefData!$B$112),'All Statement of strategy (D)'!$B1323&amp;$C1323,"")</f>
        <v/>
      </c>
      <c r="G1323" s="585" t="str">
        <f ca="1">IF(AND('Reconciliation report'!$E$475&gt;=2,'Reconciliation report'!$E$475&lt;&gt;"",'Reconciliation report'!$E$473=RefData!$B$112),'All Statement of strategy (D)'!$B1323&amp;$C1323,"")</f>
        <v/>
      </c>
      <c r="H1323" s="585" t="str">
        <f ca="1">IF(AND('Reconciliation report'!$E$475&gt;=2,'Reconciliation report'!$E$475&lt;&gt;"",'Reconciliation report'!$E$473=RefData!$B$112),'All Statement of strategy (D)'!$B1323&amp;$C1323,"")</f>
        <v/>
      </c>
      <c r="I1323" s="595" t="str">
        <f ca="1">IF($C$1=RefData!$B$418,'All Statement of strategy (D)'!$E1323,IF('All Statement of strategy (D)'!$C$1=RefData!$B$419,'All Statement of strategy (D)'!$F1323,IF('All Statement of strategy (D)'!$C$1=RefData!$B$420,'All Statement of strategy (D)'!$G1323,IF('All Statement of strategy (D)'!$C$1=RefData!$B$421,'All Statement of strategy (D)'!$H1323," "))))</f>
        <v xml:space="preserve"> </v>
      </c>
    </row>
    <row r="1324" spans="1:9">
      <c r="A1324" s="604"/>
      <c r="B1324" s="594" t="s">
        <v>2518</v>
      </c>
      <c r="C1324" s="629"/>
      <c r="D1324" s="624"/>
      <c r="E1324" s="585" t="str">
        <f ca="1">IF(AND('Reconciliation report'!$E$475&gt;=2,'Reconciliation report'!$E$475&lt;&gt;"",'Reconciliation report'!$E$473=RefData!$B$112),'All Statement of strategy (D)'!$B1324&amp;$C1324,"")</f>
        <v/>
      </c>
      <c r="F1324" s="585" t="str">
        <f ca="1">IF(AND('Reconciliation report'!$E$475&gt;=2,'Reconciliation report'!$E$475&lt;&gt;"",'Reconciliation report'!$E$473=RefData!$B$112),'All Statement of strategy (D)'!$B1324&amp;$C1324,"")</f>
        <v/>
      </c>
      <c r="G1324" s="585" t="str">
        <f>""</f>
        <v/>
      </c>
      <c r="H1324" s="585" t="str">
        <f>""</f>
        <v/>
      </c>
      <c r="I1324" s="595" t="str">
        <f ca="1">IF($C$1=RefData!$B$418,'All Statement of strategy (D)'!$E1324,IF('All Statement of strategy (D)'!$C$1=RefData!$B$419,'All Statement of strategy (D)'!$F1324,IF('All Statement of strategy (D)'!$C$1=RefData!$B$420,'All Statement of strategy (D)'!$G1324,IF('All Statement of strategy (D)'!$C$1=RefData!$B$421,'All Statement of strategy (D)'!$H1324," "))))</f>
        <v xml:space="preserve"> </v>
      </c>
    </row>
    <row r="1325" spans="1:9">
      <c r="A1325" s="584" t="s">
        <v>2556</v>
      </c>
      <c r="B1325" s="630" t="str">
        <f ca="1">B1324&amp;IF('Reconciliation report'!$E$726=RefData!$B$158,"",'Reconciliation report'!$E$726)</f>
        <v xml:space="preserve">Value cap: </v>
      </c>
      <c r="C1325" s="629"/>
      <c r="D1325" s="624"/>
      <c r="E1325" s="585" t="str">
        <f ca="1">IF(AND('Reconciliation report'!$E$475&gt;=2,'Reconciliation report'!$E$475&lt;&gt;"",'Reconciliation report'!$E$473=RefData!$B$112),'All Statement of strategy (D)'!$B1325&amp;$C1325,"")</f>
        <v/>
      </c>
      <c r="F1325" s="585" t="str">
        <f ca="1">IF(AND('Reconciliation report'!$E$475&gt;=2,'Reconciliation report'!$E$475&lt;&gt;"",'Reconciliation report'!$E$473=RefData!$B$112),'All Statement of strategy (D)'!$B1325&amp;$C1325,"")</f>
        <v/>
      </c>
      <c r="G1325" s="585" t="str">
        <f>""</f>
        <v/>
      </c>
      <c r="H1325" s="585" t="str">
        <f>""</f>
        <v/>
      </c>
      <c r="I1325" s="595" t="str">
        <f ca="1">IF($C$1=RefData!$B$418,'All Statement of strategy (D)'!$E1325,IF('All Statement of strategy (D)'!$C$1=RefData!$B$419,'All Statement of strategy (D)'!$F1325,IF('All Statement of strategy (D)'!$C$1=RefData!$B$420,'All Statement of strategy (D)'!$G1325,IF('All Statement of strategy (D)'!$C$1=RefData!$B$421,'All Statement of strategy (D)'!$H1325," "))))</f>
        <v xml:space="preserve"> </v>
      </c>
    </row>
    <row r="1326" spans="1:9">
      <c r="A1326" s="584" t="s">
        <v>2557</v>
      </c>
      <c r="B1326" s="630" t="str">
        <f ca="1">B1325&amp;IF('Reconciliation report'!$E$726=RefData!$B$158,LEFT('Reconciliation report'!$E$727,1000),"")</f>
        <v xml:space="preserve">Value cap: </v>
      </c>
      <c r="C1326" s="629"/>
      <c r="D1326" s="624"/>
      <c r="E1326" s="585" t="str">
        <f ca="1">IF(AND('Reconciliation report'!$E$475&gt;=2,'Reconciliation report'!$E$475&lt;&gt;"",'Reconciliation report'!$E$473=RefData!$B$112),'All Statement of strategy (D)'!$B1326&amp;$C1326,"")</f>
        <v/>
      </c>
      <c r="F1326" s="585" t="str">
        <f ca="1">IF(AND('Reconciliation report'!$E$475&gt;=2,'Reconciliation report'!$E$475&lt;&gt;"",'Reconciliation report'!$E$473=RefData!$B$112),'All Statement of strategy (D)'!$B1326&amp;$C1326,"")</f>
        <v/>
      </c>
      <c r="G1326" s="585" t="str">
        <f>""</f>
        <v/>
      </c>
      <c r="H1326" s="585" t="str">
        <f>""</f>
        <v/>
      </c>
      <c r="I1326" s="595" t="str">
        <f ca="1">IF($C$1=RefData!$B$418,'All Statement of strategy (D)'!$E1326,IF('All Statement of strategy (D)'!$C$1=RefData!$B$419,'All Statement of strategy (D)'!$F1326,IF('All Statement of strategy (D)'!$C$1=RefData!$B$420,'All Statement of strategy (D)'!$G1326,IF('All Statement of strategy (D)'!$C$1=RefData!$B$421,'All Statement of strategy (D)'!$H1326," "))))</f>
        <v xml:space="preserve"> </v>
      </c>
    </row>
    <row r="1327" spans="1:9">
      <c r="A1327" s="584" t="s">
        <v>2557</v>
      </c>
      <c r="B1327" s="630" t="str">
        <f ca="1">IF('Reconciliation report'!$E$726=RefData!$B$158,MID('Reconciliation report'!$E$727,1001,1000),"")</f>
        <v/>
      </c>
      <c r="C1327" s="629"/>
      <c r="D1327" s="624"/>
      <c r="E1327" s="585" t="str">
        <f ca="1">IF(AND('Reconciliation report'!$E$475&gt;=2,'Reconciliation report'!$E$475&lt;&gt;"",'Reconciliation report'!$E$473=RefData!$B$112),'All Statement of strategy (D)'!$B1327&amp;$C1327,"")</f>
        <v/>
      </c>
      <c r="F1327" s="585" t="str">
        <f ca="1">IF(AND('Reconciliation report'!$E$475&gt;=2,'Reconciliation report'!$E$475&lt;&gt;"",'Reconciliation report'!$E$473=RefData!$B$112),'All Statement of strategy (D)'!$B1327&amp;$C1327,"")</f>
        <v/>
      </c>
      <c r="G1327" s="585" t="str">
        <f>""</f>
        <v/>
      </c>
      <c r="H1327" s="585" t="str">
        <f>""</f>
        <v/>
      </c>
      <c r="I1327" s="595" t="str">
        <f ca="1">IF($C$1=RefData!$B$418,'All Statement of strategy (D)'!$E1327,IF('All Statement of strategy (D)'!$C$1=RefData!$B$419,'All Statement of strategy (D)'!$F1327,IF('All Statement of strategy (D)'!$C$1=RefData!$B$420,'All Statement of strategy (D)'!$G1327,IF('All Statement of strategy (D)'!$C$1=RefData!$B$421,'All Statement of strategy (D)'!$H1327," "))))</f>
        <v xml:space="preserve"> </v>
      </c>
    </row>
    <row r="1328" spans="1:9">
      <c r="A1328" s="584" t="s">
        <v>2557</v>
      </c>
      <c r="B1328" s="630" t="str">
        <f ca="1">IF('Reconciliation report'!$E$726=RefData!$B$158,MID('Reconciliation report'!$E$727,2001,1000),"")</f>
        <v/>
      </c>
      <c r="C1328" s="629"/>
      <c r="D1328" s="624"/>
      <c r="E1328" s="585" t="str">
        <f ca="1">IF(AND('Reconciliation report'!$E$475&gt;=2,'Reconciliation report'!$E$475&lt;&gt;"",'Reconciliation report'!$E$473=RefData!$B$112),'All Statement of strategy (D)'!$B1328&amp;$C1328,"")</f>
        <v/>
      </c>
      <c r="F1328" s="585" t="str">
        <f ca="1">IF(AND('Reconciliation report'!$E$475&gt;=2,'Reconciliation report'!$E$475&lt;&gt;"",'Reconciliation report'!$E$473=RefData!$B$112),'All Statement of strategy (D)'!$B1328&amp;$C1328,"")</f>
        <v/>
      </c>
      <c r="G1328" s="585" t="str">
        <f>""</f>
        <v/>
      </c>
      <c r="H1328" s="585" t="str">
        <f>""</f>
        <v/>
      </c>
      <c r="I1328" s="595" t="str">
        <f ca="1">IF($C$1=RefData!$B$418,'All Statement of strategy (D)'!$E1328,IF('All Statement of strategy (D)'!$C$1=RefData!$B$419,'All Statement of strategy (D)'!$F1328,IF('All Statement of strategy (D)'!$C$1=RefData!$B$420,'All Statement of strategy (D)'!$G1328,IF('All Statement of strategy (D)'!$C$1=RefData!$B$421,'All Statement of strategy (D)'!$H1328," "))))</f>
        <v xml:space="preserve"> </v>
      </c>
    </row>
    <row r="1329" spans="1:9">
      <c r="A1329" s="584" t="s">
        <v>2557</v>
      </c>
      <c r="B1329" s="630" t="str">
        <f ca="1">IF('Reconciliation report'!$E$726=RefData!$B$158,MID('Reconciliation report'!$E$727,3001,1000),"")</f>
        <v/>
      </c>
      <c r="C1329" s="629"/>
      <c r="D1329" s="624"/>
      <c r="E1329" s="585" t="str">
        <f ca="1">IF(AND('Reconciliation report'!$E$475&gt;=2,'Reconciliation report'!$E$475&lt;&gt;"",'Reconciliation report'!$E$473=RefData!$B$112),'All Statement of strategy (D)'!$B1329&amp;$C1329,"")</f>
        <v/>
      </c>
      <c r="F1329" s="585" t="str">
        <f ca="1">IF(AND('Reconciliation report'!$E$475&gt;=2,'Reconciliation report'!$E$475&lt;&gt;"",'Reconciliation report'!$E$473=RefData!$B$112),'All Statement of strategy (D)'!$B1329&amp;$C1329,"")</f>
        <v/>
      </c>
      <c r="G1329" s="585" t="str">
        <f>""</f>
        <v/>
      </c>
      <c r="H1329" s="585" t="str">
        <f>""</f>
        <v/>
      </c>
      <c r="I1329" s="595" t="str">
        <f ca="1">IF($C$1=RefData!$B$418,'All Statement of strategy (D)'!$E1329,IF('All Statement of strategy (D)'!$C$1=RefData!$B$419,'All Statement of strategy (D)'!$F1329,IF('All Statement of strategy (D)'!$C$1=RefData!$B$420,'All Statement of strategy (D)'!$G1329,IF('All Statement of strategy (D)'!$C$1=RefData!$B$421,'All Statement of strategy (D)'!$H1329," "))))</f>
        <v xml:space="preserve"> </v>
      </c>
    </row>
    <row r="1330" spans="1:9">
      <c r="A1330" s="584" t="s">
        <v>2558</v>
      </c>
      <c r="B1330" s="594" t="s">
        <v>2406</v>
      </c>
      <c r="C1330" s="615" t="str">
        <f ca="1">TEXT('Reconciliation report'!$E$728,RefData!$B$425)</f>
        <v/>
      </c>
      <c r="E1330" s="585" t="str">
        <f ca="1">IF(AND('Reconciliation report'!$E$475&gt;=2,'Reconciliation report'!$E$475&lt;&gt;"",'Reconciliation report'!$E$726=RefData!$B$157,'Reconciliation report'!$E$473=RefData!$B$112),'All Statement of strategy (D)'!$B1330&amp;$C1330,"")</f>
        <v/>
      </c>
      <c r="F1330" s="585" t="str">
        <f ca="1">IF(AND('Reconciliation report'!$E$475&gt;=2,'Reconciliation report'!$E$475&lt;&gt;"",'Reconciliation report'!$E$726=RefData!$B$157,'Reconciliation report'!$E$473=RefData!$B$112),'All Statement of strategy (D)'!$B1330&amp;$C1330,"")</f>
        <v/>
      </c>
      <c r="G1330" s="585" t="str">
        <f>""</f>
        <v/>
      </c>
      <c r="H1330" s="585" t="str">
        <f>""</f>
        <v/>
      </c>
      <c r="I1330" s="595" t="str">
        <f ca="1">IF($C$1=RefData!$B$418,'All Statement of strategy (D)'!$E1330,IF('All Statement of strategy (D)'!$C$1=RefData!$B$419,'All Statement of strategy (D)'!$F1330,IF('All Statement of strategy (D)'!$C$1=RefData!$B$420,'All Statement of strategy (D)'!$G1330,IF('All Statement of strategy (D)'!$C$1=RefData!$B$421,'All Statement of strategy (D)'!$H1330," "))))</f>
        <v xml:space="preserve"> </v>
      </c>
    </row>
    <row r="1331" spans="1:9">
      <c r="B1331" s="594" t="s">
        <v>2407</v>
      </c>
      <c r="E1331" s="585" t="str">
        <f ca="1">IF(AND('Reconciliation report'!$E$475&gt;=2,'Reconciliation report'!$E$475&lt;&gt;"",'Reconciliation report'!$E$473=RefData!$B$112),'All Statement of strategy (D)'!$B1331&amp;$C1331,"")</f>
        <v/>
      </c>
      <c r="F1331" s="585" t="str">
        <f ca="1">IF(AND('Reconciliation report'!$E$475&gt;=2,'Reconciliation report'!$E$475&lt;&gt;"",'Reconciliation report'!$E$473=RefData!$B$112),'All Statement of strategy (D)'!$B1331&amp;$C1331,"")</f>
        <v/>
      </c>
      <c r="G1331" s="585" t="str">
        <f>""</f>
        <v/>
      </c>
      <c r="H1331" s="585" t="str">
        <f>""</f>
        <v/>
      </c>
      <c r="I1331" s="595" t="str">
        <f ca="1">IF($C$1=RefData!$B$418,'All Statement of strategy (D)'!$E1331,IF('All Statement of strategy (D)'!$C$1=RefData!$B$419,'All Statement of strategy (D)'!$F1331,IF('All Statement of strategy (D)'!$C$1=RefData!$B$420,'All Statement of strategy (D)'!$G1331,IF('All Statement of strategy (D)'!$C$1=RefData!$B$421,'All Statement of strategy (D)'!$H1331," "))))</f>
        <v xml:space="preserve"> </v>
      </c>
    </row>
    <row r="1332" spans="1:9">
      <c r="A1332" s="584" t="s">
        <v>2559</v>
      </c>
      <c r="B1332" s="594" t="s">
        <v>2409</v>
      </c>
      <c r="C1332" s="615" t="str">
        <f ca="1">'Reconciliation report'!$E$729</f>
        <v/>
      </c>
      <c r="E1332" s="585" t="str">
        <f ca="1">IF(AND('Reconciliation report'!$E$475&gt;=2,'Reconciliation report'!$E$475&lt;&gt;"",'Reconciliation report'!$E$473=RefData!$B$112),'All Statement of strategy (D)'!$B1332&amp;$C1332,"")</f>
        <v/>
      </c>
      <c r="F1332" s="585" t="str">
        <f ca="1">IF(AND('Reconciliation report'!$E$475&gt;=2,'Reconciliation report'!$E$475&lt;&gt;"",'Reconciliation report'!$E$473=RefData!$B$112),'All Statement of strategy (D)'!$B1332&amp;$C1332,"")</f>
        <v/>
      </c>
      <c r="G1332" s="585" t="str">
        <f>""</f>
        <v/>
      </c>
      <c r="H1332" s="585" t="str">
        <f>""</f>
        <v/>
      </c>
      <c r="I1332" s="595" t="str">
        <f ca="1">IF($C$1=RefData!$B$418,'All Statement of strategy (D)'!$E1332,IF('All Statement of strategy (D)'!$C$1=RefData!$B$419,'All Statement of strategy (D)'!$F1332,IF('All Statement of strategy (D)'!$C$1=RefData!$B$420,'All Statement of strategy (D)'!$G1332,IF('All Statement of strategy (D)'!$C$1=RefData!$B$421,'All Statement of strategy (D)'!$H1332," "))))</f>
        <v xml:space="preserve"> </v>
      </c>
    </row>
    <row r="1333" spans="1:9">
      <c r="A1333" s="584" t="s">
        <v>2560</v>
      </c>
      <c r="B1333" s="594" t="s">
        <v>2411</v>
      </c>
      <c r="C1333" s="615" t="str">
        <f ca="1">'Reconciliation report'!$E$730</f>
        <v/>
      </c>
      <c r="E1333" s="585" t="str">
        <f ca="1">IF(AND('Reconciliation report'!$E$475&gt;=2,'Reconciliation report'!$E$475&lt;&gt;"",'Reconciliation report'!$E$473=RefData!$B$112),'All Statement of strategy (D)'!$B1333&amp;$C1333,"")</f>
        <v/>
      </c>
      <c r="F1333" s="585" t="str">
        <f ca="1">IF(AND('Reconciliation report'!$E$475&gt;=2,'Reconciliation report'!$E$475&lt;&gt;"",'Reconciliation report'!$E$473=RefData!$B$112),'All Statement of strategy (D)'!$B1333&amp;$C1333,"")</f>
        <v/>
      </c>
      <c r="G1333" s="585" t="str">
        <f>""</f>
        <v/>
      </c>
      <c r="H1333" s="585" t="str">
        <f>""</f>
        <v/>
      </c>
      <c r="I1333" s="595" t="str">
        <f ca="1">IF($C$1=RefData!$B$418,'All Statement of strategy (D)'!$E1333,IF('All Statement of strategy (D)'!$C$1=RefData!$B$419,'All Statement of strategy (D)'!$F1333,IF('All Statement of strategy (D)'!$C$1=RefData!$B$420,'All Statement of strategy (D)'!$G1333,IF('All Statement of strategy (D)'!$C$1=RefData!$B$421,'All Statement of strategy (D)'!$H1333," "))))</f>
        <v xml:space="preserve"> </v>
      </c>
    </row>
    <row r="1334" spans="1:9">
      <c r="A1334" s="584" t="s">
        <v>2561</v>
      </c>
      <c r="B1334" s="594" t="s">
        <v>2413</v>
      </c>
      <c r="C1334" s="615" t="str">
        <f ca="1">'Reconciliation report'!$E$731</f>
        <v/>
      </c>
      <c r="E1334" s="585" t="str">
        <f ca="1">IF(AND('Reconciliation report'!$E$475&gt;=2,'Reconciliation report'!$E$475&lt;&gt;"",'Reconciliation report'!$E$473=RefData!$B$112),'All Statement of strategy (D)'!$B1334&amp;$C1334,"")</f>
        <v/>
      </c>
      <c r="F1334" s="585" t="str">
        <f ca="1">IF(AND('Reconciliation report'!$E$475&gt;=2,'Reconciliation report'!$E$475&lt;&gt;"",'Reconciliation report'!$E$473=RefData!$B$112),'All Statement of strategy (D)'!$B1334&amp;$C1334,"")</f>
        <v/>
      </c>
      <c r="G1334" s="585" t="str">
        <f>""</f>
        <v/>
      </c>
      <c r="H1334" s="585" t="str">
        <f>""</f>
        <v/>
      </c>
      <c r="I1334" s="595" t="str">
        <f ca="1">IF($C$1=RefData!$B$418,'All Statement of strategy (D)'!$E1334,IF('All Statement of strategy (D)'!$C$1=RefData!$B$419,'All Statement of strategy (D)'!$F1334,IF('All Statement of strategy (D)'!$C$1=RefData!$B$420,'All Statement of strategy (D)'!$G1334,IF('All Statement of strategy (D)'!$C$1=RefData!$B$421,'All Statement of strategy (D)'!$H1334," "))))</f>
        <v xml:space="preserve"> </v>
      </c>
    </row>
    <row r="1335" spans="1:9">
      <c r="A1335" s="584" t="s">
        <v>2562</v>
      </c>
      <c r="B1335" s="594" t="s">
        <v>2415</v>
      </c>
      <c r="C1335" s="615" t="str">
        <f ca="1">'Reconciliation report'!$E$732</f>
        <v/>
      </c>
      <c r="E1335" s="585" t="str">
        <f ca="1">IF(AND('Reconciliation report'!$E$475&gt;=2,'Reconciliation report'!$E$475&lt;&gt;"",'Reconciliation report'!$E$473=RefData!$B$112),'All Statement of strategy (D)'!$B1335&amp;$C1335,"")</f>
        <v/>
      </c>
      <c r="F1335" s="585" t="str">
        <f ca="1">IF(AND('Reconciliation report'!$E$475&gt;=2,'Reconciliation report'!$E$475&lt;&gt;"",'Reconciliation report'!$E$473=RefData!$B$112),'All Statement of strategy (D)'!$B1335&amp;$C1335,"")</f>
        <v/>
      </c>
      <c r="G1335" s="585" t="str">
        <f>""</f>
        <v/>
      </c>
      <c r="H1335" s="585" t="str">
        <f>""</f>
        <v/>
      </c>
      <c r="I1335" s="595" t="str">
        <f ca="1">IF($C$1=RefData!$B$418,'All Statement of strategy (D)'!$E1335,IF('All Statement of strategy (D)'!$C$1=RefData!$B$419,'All Statement of strategy (D)'!$F1335,IF('All Statement of strategy (D)'!$C$1=RefData!$B$420,'All Statement of strategy (D)'!$G1335,IF('All Statement of strategy (D)'!$C$1=RefData!$B$421,'All Statement of strategy (D)'!$H1335," "))))</f>
        <v xml:space="preserve"> </v>
      </c>
    </row>
    <row r="1336" spans="1:9">
      <c r="A1336" s="584" t="s">
        <v>2563</v>
      </c>
      <c r="B1336" s="594" t="str">
        <f ca="1">IF('Reconciliation report'!$E$733=RefData!$B$159,LEFT('Reconciliation report'!$E$734,1000),"")</f>
        <v/>
      </c>
      <c r="E1336" s="585" t="str">
        <f ca="1">IF(AND('Reconciliation report'!$E$475&gt;=2,'Reconciliation report'!$E$475&lt;&gt;"",'Reconciliation report'!$E$473=RefData!$B$112),'All Statement of strategy (D)'!$B1336&amp;$C1336,"")</f>
        <v/>
      </c>
      <c r="F1336" s="585" t="str">
        <f ca="1">IF(AND('Reconciliation report'!$E$475&gt;=2,'Reconciliation report'!$E$475&lt;&gt;"",'Reconciliation report'!$E$473=RefData!$B$112),'All Statement of strategy (D)'!$B1336&amp;$C1336,"")</f>
        <v/>
      </c>
      <c r="G1336" s="585" t="str">
        <f>""</f>
        <v/>
      </c>
      <c r="H1336" s="585" t="str">
        <f>""</f>
        <v/>
      </c>
      <c r="I1336" s="595" t="str">
        <f ca="1">IF($C$1=RefData!$B$418,'All Statement of strategy (D)'!$E1336,IF('All Statement of strategy (D)'!$C$1=RefData!$B$419,'All Statement of strategy (D)'!$F1336,IF('All Statement of strategy (D)'!$C$1=RefData!$B$420,'All Statement of strategy (D)'!$G1336,IF('All Statement of strategy (D)'!$C$1=RefData!$B$421,'All Statement of strategy (D)'!$H1336," "))))</f>
        <v xml:space="preserve"> </v>
      </c>
    </row>
    <row r="1337" spans="1:9">
      <c r="A1337" s="584" t="s">
        <v>2563</v>
      </c>
      <c r="B1337" s="594" t="str">
        <f ca="1">IF('Reconciliation report'!$E$733=RefData!$B$159,MID('Reconciliation report'!$E$734,1001,1000),"")</f>
        <v/>
      </c>
      <c r="E1337" s="585" t="str">
        <f ca="1">IF(AND('Reconciliation report'!$E$475&gt;=2,'Reconciliation report'!$E$475&lt;&gt;"",'Reconciliation report'!$E$473=RefData!$B$112),'All Statement of strategy (D)'!$B1337&amp;$C1337,"")</f>
        <v/>
      </c>
      <c r="F1337" s="585" t="str">
        <f ca="1">IF(AND('Reconciliation report'!$E$475&gt;=2,'Reconciliation report'!$E$475&lt;&gt;"",'Reconciliation report'!$E$473=RefData!$B$112),'All Statement of strategy (D)'!$B1337&amp;$C1337,"")</f>
        <v/>
      </c>
      <c r="G1337" s="585" t="str">
        <f>""</f>
        <v/>
      </c>
      <c r="H1337" s="585" t="str">
        <f>""</f>
        <v/>
      </c>
      <c r="I1337" s="595" t="str">
        <f ca="1">IF($C$1=RefData!$B$418,'All Statement of strategy (D)'!$E1337,IF('All Statement of strategy (D)'!$C$1=RefData!$B$419,'All Statement of strategy (D)'!$F1337,IF('All Statement of strategy (D)'!$C$1=RefData!$B$420,'All Statement of strategy (D)'!$G1337,IF('All Statement of strategy (D)'!$C$1=RefData!$B$421,'All Statement of strategy (D)'!$H1337," "))))</f>
        <v xml:space="preserve"> </v>
      </c>
    </row>
    <row r="1338" spans="1:9">
      <c r="A1338" s="584" t="s">
        <v>2563</v>
      </c>
      <c r="B1338" s="594" t="str">
        <f ca="1">IF('Reconciliation report'!$E$733=RefData!$B$159,MID('Reconciliation report'!$E$734,2001,1000),"")</f>
        <v/>
      </c>
      <c r="E1338" s="585" t="str">
        <f ca="1">IF(AND('Reconciliation report'!$E$475&gt;=2,'Reconciliation report'!$E$475&lt;&gt;"",'Reconciliation report'!$E$473=RefData!$B$112),'All Statement of strategy (D)'!$B1338&amp;$C1338,"")</f>
        <v/>
      </c>
      <c r="F1338" s="585" t="str">
        <f ca="1">IF(AND('Reconciliation report'!$E$475&gt;=2,'Reconciliation report'!$E$475&lt;&gt;"",'Reconciliation report'!$E$473=RefData!$B$112),'All Statement of strategy (D)'!$B1338&amp;$C1338,"")</f>
        <v/>
      </c>
      <c r="G1338" s="585" t="str">
        <f>""</f>
        <v/>
      </c>
      <c r="H1338" s="585" t="str">
        <f>""</f>
        <v/>
      </c>
      <c r="I1338" s="595" t="str">
        <f ca="1">IF($C$1=RefData!$B$418,'All Statement of strategy (D)'!$E1338,IF('All Statement of strategy (D)'!$C$1=RefData!$B$419,'All Statement of strategy (D)'!$F1338,IF('All Statement of strategy (D)'!$C$1=RefData!$B$420,'All Statement of strategy (D)'!$G1338,IF('All Statement of strategy (D)'!$C$1=RefData!$B$421,'All Statement of strategy (D)'!$H1338," "))))</f>
        <v xml:space="preserve"> </v>
      </c>
    </row>
    <row r="1339" spans="1:9">
      <c r="A1339" s="584" t="s">
        <v>2563</v>
      </c>
      <c r="B1339" s="594" t="str">
        <f ca="1">IF('Reconciliation report'!$E$733=RefData!$B$159,MID('Reconciliation report'!$E$734,3001,1000),"")</f>
        <v/>
      </c>
      <c r="E1339" s="585" t="str">
        <f ca="1">IF(AND('Reconciliation report'!$E$475&gt;=2,'Reconciliation report'!$E$475&lt;&gt;"",'Reconciliation report'!$E$473=RefData!$B$112),'All Statement of strategy (D)'!$B1339&amp;$C1339,"")</f>
        <v/>
      </c>
      <c r="F1339" s="585" t="str">
        <f ca="1">IF(AND('Reconciliation report'!$E$475&gt;=2,'Reconciliation report'!$E$475&lt;&gt;"",'Reconciliation report'!$E$473=RefData!$B$112),'All Statement of strategy (D)'!$B1339&amp;$C1339,"")</f>
        <v/>
      </c>
      <c r="G1339" s="585" t="str">
        <f>""</f>
        <v/>
      </c>
      <c r="H1339" s="585" t="str">
        <f>""</f>
        <v/>
      </c>
      <c r="I1339" s="595" t="str">
        <f ca="1">IF($C$1=RefData!$B$418,'All Statement of strategy (D)'!$E1339,IF('All Statement of strategy (D)'!$C$1=RefData!$B$419,'All Statement of strategy (D)'!$F1339,IF('All Statement of strategy (D)'!$C$1=RefData!$B$420,'All Statement of strategy (D)'!$G1339,IF('All Statement of strategy (D)'!$C$1=RefData!$B$421,'All Statement of strategy (D)'!$H1339," "))))</f>
        <v xml:space="preserve"> </v>
      </c>
    </row>
    <row r="1340" spans="1:9">
      <c r="B1340" s="594" t="s">
        <v>2417</v>
      </c>
      <c r="C1340" s="615"/>
      <c r="E1340" s="585" t="str">
        <f ca="1">IF(AND('Reconciliation report'!$E$475&gt;=2,'Reconciliation report'!$E$475&lt;&gt;"",'Reconciliation report'!$E$473=RefData!$B$112),'All Statement of strategy (D)'!$B1340&amp;$C1340,"")</f>
        <v/>
      </c>
      <c r="F1340" s="585" t="str">
        <f ca="1">IF(AND('Reconciliation report'!$E$475&gt;=2,'Reconciliation report'!$E$475&lt;&gt;"",'Reconciliation report'!$E$473=RefData!$B$112),'All Statement of strategy (D)'!$B1340&amp;$C1340,"")</f>
        <v/>
      </c>
      <c r="G1340" s="585" t="str">
        <f>""</f>
        <v/>
      </c>
      <c r="H1340" s="585" t="str">
        <f>""</f>
        <v/>
      </c>
      <c r="I1340" s="595" t="str">
        <f ca="1">IF($C$1=RefData!$B$418,'All Statement of strategy (D)'!$E1340,IF('All Statement of strategy (D)'!$C$1=RefData!$B$419,'All Statement of strategy (D)'!$F1340,IF('All Statement of strategy (D)'!$C$1=RefData!$B$420,'All Statement of strategy (D)'!$G1340,IF('All Statement of strategy (D)'!$C$1=RefData!$B$421,'All Statement of strategy (D)'!$H1340," "))))</f>
        <v xml:space="preserve"> </v>
      </c>
    </row>
    <row r="1341" spans="1:9">
      <c r="A1341" s="584" t="s">
        <v>2564</v>
      </c>
      <c r="B1341" s="621" t="str">
        <f ca="1">B1340&amp;LEFT('Reconciliation report'!$E$735,1000)</f>
        <v xml:space="preserve">Triggers for termination: </v>
      </c>
      <c r="C1341" s="615"/>
      <c r="E1341" s="585" t="str">
        <f ca="1">IF(AND('Reconciliation report'!$E$475&gt;=2,'Reconciliation report'!$E$475&lt;&gt;"",'Reconciliation report'!$E$473=RefData!$B$112),'All Statement of strategy (D)'!$B1341&amp;$C1341,"")</f>
        <v/>
      </c>
      <c r="F1341" s="585" t="str">
        <f ca="1">IF(AND('Reconciliation report'!$E$475&gt;=2,'Reconciliation report'!$E$475&lt;&gt;"",'Reconciliation report'!$E$473=RefData!$B$112),'All Statement of strategy (D)'!$B1341&amp;$C1341,"")</f>
        <v/>
      </c>
      <c r="G1341" s="585" t="str">
        <f>""</f>
        <v/>
      </c>
      <c r="H1341" s="585" t="str">
        <f>""</f>
        <v/>
      </c>
      <c r="I1341" s="595" t="str">
        <f ca="1">IF($C$1=RefData!$B$418,'All Statement of strategy (D)'!$E1341,IF('All Statement of strategy (D)'!$C$1=RefData!$B$419,'All Statement of strategy (D)'!$F1341,IF('All Statement of strategy (D)'!$C$1=RefData!$B$420,'All Statement of strategy (D)'!$G1341,IF('All Statement of strategy (D)'!$C$1=RefData!$B$421,'All Statement of strategy (D)'!$H1341," "))))</f>
        <v xml:space="preserve"> </v>
      </c>
    </row>
    <row r="1342" spans="1:9">
      <c r="A1342" s="584" t="s">
        <v>2564</v>
      </c>
      <c r="B1342" s="621" t="str">
        <f ca="1">MID('Reconciliation report'!$E$735,1001,1000)</f>
        <v/>
      </c>
      <c r="C1342" s="615"/>
      <c r="E1342" s="585" t="str">
        <f ca="1">IF(AND('Reconciliation report'!$E$475&gt;=2,'Reconciliation report'!$E$475&lt;&gt;"",'Reconciliation report'!$E$473=RefData!$B$112),'All Statement of strategy (D)'!$B1342&amp;$C1342,"")</f>
        <v/>
      </c>
      <c r="F1342" s="585" t="str">
        <f ca="1">IF(AND('Reconciliation report'!$E$475&gt;=2,'Reconciliation report'!$E$475&lt;&gt;"",'Reconciliation report'!$E$473=RefData!$B$112),'All Statement of strategy (D)'!$B1342&amp;$C1342,"")</f>
        <v/>
      </c>
      <c r="G1342" s="585" t="str">
        <f>""</f>
        <v/>
      </c>
      <c r="H1342" s="585" t="str">
        <f>""</f>
        <v/>
      </c>
      <c r="I1342" s="595" t="str">
        <f ca="1">IF($C$1=RefData!$B$418,'All Statement of strategy (D)'!$E1342,IF('All Statement of strategy (D)'!$C$1=RefData!$B$419,'All Statement of strategy (D)'!$F1342,IF('All Statement of strategy (D)'!$C$1=RefData!$B$420,'All Statement of strategy (D)'!$G1342,IF('All Statement of strategy (D)'!$C$1=RefData!$B$421,'All Statement of strategy (D)'!$H1342," "))))</f>
        <v xml:space="preserve"> </v>
      </c>
    </row>
    <row r="1343" spans="1:9">
      <c r="A1343" s="584" t="s">
        <v>2564</v>
      </c>
      <c r="B1343" s="621" t="str">
        <f ca="1">MID('Reconciliation report'!$E$735,2001,1000)</f>
        <v/>
      </c>
      <c r="C1343" s="615"/>
      <c r="E1343" s="585" t="str">
        <f ca="1">IF(AND('Reconciliation report'!$E$475&gt;=2,'Reconciliation report'!$E$475&lt;&gt;"",'Reconciliation report'!$E$473=RefData!$B$112),'All Statement of strategy (D)'!$B1343&amp;$C1343,"")</f>
        <v/>
      </c>
      <c r="F1343" s="585" t="str">
        <f ca="1">IF(AND('Reconciliation report'!$E$475&gt;=2,'Reconciliation report'!$E$475&lt;&gt;"",'Reconciliation report'!$E$473=RefData!$B$112),'All Statement of strategy (D)'!$B1343&amp;$C1343,"")</f>
        <v/>
      </c>
      <c r="G1343" s="585" t="str">
        <f>""</f>
        <v/>
      </c>
      <c r="H1343" s="585" t="str">
        <f>""</f>
        <v/>
      </c>
      <c r="I1343" s="595" t="str">
        <f ca="1">IF($C$1=RefData!$B$418,'All Statement of strategy (D)'!$E1343,IF('All Statement of strategy (D)'!$C$1=RefData!$B$419,'All Statement of strategy (D)'!$F1343,IF('All Statement of strategy (D)'!$C$1=RefData!$B$420,'All Statement of strategy (D)'!$G1343,IF('All Statement of strategy (D)'!$C$1=RefData!$B$421,'All Statement of strategy (D)'!$H1343," "))))</f>
        <v xml:space="preserve"> </v>
      </c>
    </row>
    <row r="1344" spans="1:9" ht="16" thickBot="1">
      <c r="A1344" s="584" t="s">
        <v>2564</v>
      </c>
      <c r="B1344" s="621" t="str">
        <f ca="1">MID('Reconciliation report'!$E$735,3001,1000)</f>
        <v/>
      </c>
      <c r="C1344" s="615"/>
      <c r="E1344" s="585" t="str">
        <f ca="1">IF(AND('Reconciliation report'!$E$475&gt;=2,'Reconciliation report'!$E$475&lt;&gt;"",'Reconciliation report'!$E$473=RefData!$B$112),'All Statement of strategy (D)'!$B1344&amp;$C1344,"")</f>
        <v/>
      </c>
      <c r="F1344" s="585" t="str">
        <f ca="1">IF(AND('Reconciliation report'!$E$475&gt;=2,'Reconciliation report'!$E$475&lt;&gt;"",'Reconciliation report'!$E$473=RefData!$B$112),'All Statement of strategy (D)'!$B1344&amp;$C1344,"")</f>
        <v/>
      </c>
      <c r="G1344" s="585" t="str">
        <f>""</f>
        <v/>
      </c>
      <c r="H1344" s="585" t="str">
        <f>""</f>
        <v/>
      </c>
      <c r="I1344" s="595" t="str">
        <f ca="1">IF($C$1=RefData!$B$418,'All Statement of strategy (D)'!$E1344,IF('All Statement of strategy (D)'!$C$1=RefData!$B$419,'All Statement of strategy (D)'!$F1344,IF('All Statement of strategy (D)'!$C$1=RefData!$B$420,'All Statement of strategy (D)'!$G1344,IF('All Statement of strategy (D)'!$C$1=RefData!$B$421,'All Statement of strategy (D)'!$H1344," "))))</f>
        <v xml:space="preserve"> </v>
      </c>
    </row>
    <row r="1345" spans="1:9" ht="16" thickBot="1">
      <c r="B1345" s="621" t="s">
        <v>2565</v>
      </c>
      <c r="C1345" s="615"/>
      <c r="E1345" s="591" t="str">
        <f ca="1">IF(AND('Reconciliation report'!$E$475&gt;=3,'Reconciliation report'!$E$475&lt;&gt;"",'Reconciliation report'!$E$473=RefData!$B$112),'All Statement of strategy (D)'!$B1345&amp;$C1345,"")</f>
        <v/>
      </c>
      <c r="F1345" s="591" t="str">
        <f ca="1">IF(AND('Reconciliation report'!$E$475&gt;=3,'Reconciliation report'!$E$475&lt;&gt;"",'Reconciliation report'!$E$473=RefData!$B$112),'All Statement of strategy (D)'!$B1345&amp;$C1345,"")</f>
        <v/>
      </c>
      <c r="G1345" s="591" t="str">
        <f ca="1">IF(AND('Reconciliation report'!$E$475&gt;=3,'Reconciliation report'!$E$475&lt;&gt;"",'Reconciliation report'!$E$473=RefData!$B$112),'All Statement of strategy (D)'!$B1345&amp;$C1345,"")</f>
        <v/>
      </c>
      <c r="H1345" s="591" t="str">
        <f ca="1">IF(AND('Reconciliation report'!$E$475&gt;=3,'Reconciliation report'!$E$475&lt;&gt;"",'Reconciliation report'!$E$473=RefData!$B$112),'All Statement of strategy (D)'!$B1345&amp;$C1345,"")</f>
        <v/>
      </c>
      <c r="I1345" s="592" t="str">
        <f ca="1">IF($C$1=RefData!$B$418,'All Statement of strategy (D)'!$E1345,IF('All Statement of strategy (D)'!$C$1=RefData!$B$419,'All Statement of strategy (D)'!$F1345,IF('All Statement of strategy (D)'!$C$1=RefData!$B$420,'All Statement of strategy (D)'!$G1345,IF('All Statement of strategy (D)'!$C$1=RefData!$B$421,'All Statement of strategy (D)'!$H1345," "))))</f>
        <v xml:space="preserve"> </v>
      </c>
    </row>
    <row r="1346" spans="1:9">
      <c r="A1346" s="604"/>
      <c r="B1346" s="590" t="s">
        <v>2566</v>
      </c>
      <c r="C1346" s="623"/>
      <c r="D1346" s="628"/>
      <c r="E1346" s="591" t="str">
        <f ca="1">IF(AND('Reconciliation report'!$E$475&gt;=3,'Reconciliation report'!$E$475&lt;&gt;"",'Reconciliation report'!$E$473=RefData!$B$112),'All Statement of strategy (D)'!$B1346&amp;$C1346,"")</f>
        <v/>
      </c>
      <c r="F1346" s="591" t="str">
        <f ca="1">IF(AND('Reconciliation report'!$E$475&gt;=3,'Reconciliation report'!$E$475&lt;&gt;"",'Reconciliation report'!$E$473=RefData!$B$112),'All Statement of strategy (D)'!$B1346&amp;$C1346,"")</f>
        <v/>
      </c>
      <c r="G1346" s="591" t="str">
        <f ca="1">IF(AND('Reconciliation report'!$E$475&gt;=3,'Reconciliation report'!$E$475&lt;&gt;"",'Reconciliation report'!$E$473=RefData!$B$112),'All Statement of strategy (D)'!$B1346&amp;$C1346,"")</f>
        <v/>
      </c>
      <c r="H1346" s="591" t="str">
        <f ca="1">IF(AND('Reconciliation report'!$E$475&gt;=3,'Reconciliation report'!$E$475&lt;&gt;"",'Reconciliation report'!$E$473=RefData!$B$112),'All Statement of strategy (D)'!$B1346&amp;$C1346,"")</f>
        <v/>
      </c>
      <c r="I1346" s="592" t="str">
        <f ca="1">IF($C$1=RefData!$B$418,'All Statement of strategy (D)'!$E1346,IF('All Statement of strategy (D)'!$C$1=RefData!$B$419,'All Statement of strategy (D)'!$F1346,IF('All Statement of strategy (D)'!$C$1=RefData!$B$420,'All Statement of strategy (D)'!$G1346,IF('All Statement of strategy (D)'!$C$1=RefData!$B$421,'All Statement of strategy (D)'!$H1346," "))))</f>
        <v xml:space="preserve"> </v>
      </c>
    </row>
    <row r="1347" spans="1:9">
      <c r="A1347" s="584" t="s">
        <v>2567</v>
      </c>
      <c r="B1347" s="621" t="str">
        <f ca="1">B1346&amp;IF('Reconciliation report'!$E$736=RefData!$B$148,"",'Reconciliation report'!$E$736)</f>
        <v xml:space="preserve">Type of security: </v>
      </c>
      <c r="C1347" s="615"/>
      <c r="D1347" s="624"/>
      <c r="E1347" s="585" t="str">
        <f ca="1">IF(AND('Reconciliation report'!$E$475&gt;=3,'Reconciliation report'!$E$475&lt;&gt;"",'Reconciliation report'!$E$473=RefData!$B$112),'All Statement of strategy (D)'!$B1347&amp;$C1347,"")</f>
        <v/>
      </c>
      <c r="F1347" s="585" t="str">
        <f ca="1">IF(AND('Reconciliation report'!$E$475&gt;=3,'Reconciliation report'!$E$475&lt;&gt;"",'Reconciliation report'!$E$473=RefData!$B$112),'All Statement of strategy (D)'!$B1347&amp;$C1347,"")</f>
        <v/>
      </c>
      <c r="G1347" s="585" t="str">
        <f ca="1">IF(AND('Reconciliation report'!$E$475&gt;=3,'Reconciliation report'!$E$475&lt;&gt;"",'Reconciliation report'!$E$473=RefData!$B$112),'All Statement of strategy (D)'!$B1347&amp;$C1347,"")</f>
        <v/>
      </c>
      <c r="H1347" s="585" t="str">
        <f ca="1">IF(AND('Reconciliation report'!$E$475&gt;=3,'Reconciliation report'!$E$475&lt;&gt;"",'Reconciliation report'!$E$473=RefData!$B$112),'All Statement of strategy (D)'!$B1347&amp;$C1347,"")</f>
        <v/>
      </c>
      <c r="I1347" s="595" t="str">
        <f ca="1">IF($C$1=RefData!$B$418,'All Statement of strategy (D)'!$E1347,IF('All Statement of strategy (D)'!$C$1=RefData!$B$419,'All Statement of strategy (D)'!$F1347,IF('All Statement of strategy (D)'!$C$1=RefData!$B$420,'All Statement of strategy (D)'!$G1347,IF('All Statement of strategy (D)'!$C$1=RefData!$B$421,'All Statement of strategy (D)'!$H1347," "))))</f>
        <v xml:space="preserve"> </v>
      </c>
    </row>
    <row r="1348" spans="1:9">
      <c r="B1348" s="594" t="s">
        <v>2568</v>
      </c>
      <c r="C1348" s="615"/>
      <c r="D1348" s="624"/>
      <c r="E1348" s="585" t="str">
        <f ca="1">IF(AND('Reconciliation report'!$E$475&gt;=3,'Reconciliation report'!$E$475&lt;&gt;"",'Reconciliation report'!$E$473=RefData!$B$112),'All Statement of strategy (D)'!$B1348&amp;$C1348,"")</f>
        <v/>
      </c>
      <c r="F1348" s="585" t="str">
        <f ca="1">IF(AND('Reconciliation report'!$E$475&gt;=3,'Reconciliation report'!$E$475&lt;&gt;"",'Reconciliation report'!$E$473=RefData!$B$112),'All Statement of strategy (D)'!$B1348&amp;$C1348,"")</f>
        <v/>
      </c>
      <c r="G1348" s="585" t="str">
        <f ca="1">IF(AND('Reconciliation report'!$E$475&gt;=3,'Reconciliation report'!$E$475&lt;&gt;"",'Reconciliation report'!$E$473=RefData!$B$112),'All Statement of strategy (D)'!$B1348&amp;$C1348,"")</f>
        <v/>
      </c>
      <c r="H1348" s="585" t="str">
        <f ca="1">IF(AND('Reconciliation report'!$E$475&gt;=3,'Reconciliation report'!$E$475&lt;&gt;"",'Reconciliation report'!$E$473=RefData!$B$112),'All Statement of strategy (D)'!$B1348&amp;$C1348,"")</f>
        <v/>
      </c>
      <c r="I1348" s="595" t="str">
        <f ca="1">IF($C$1=RefData!$B$418,'All Statement of strategy (D)'!$E1348,IF('All Statement of strategy (D)'!$C$1=RefData!$B$419,'All Statement of strategy (D)'!$F1348,IF('All Statement of strategy (D)'!$C$1=RefData!$B$420,'All Statement of strategy (D)'!$G1348,IF('All Statement of strategy (D)'!$C$1=RefData!$B$421,'All Statement of strategy (D)'!$H1348," "))))</f>
        <v xml:space="preserve"> </v>
      </c>
    </row>
    <row r="1349" spans="1:9">
      <c r="A1349" s="584" t="s">
        <v>2569</v>
      </c>
      <c r="B1349" s="621" t="str">
        <f ca="1">B1348&amp;LEFT('Reconciliation report'!$E$737,1000)</f>
        <v>Provide specific details of the underlying asset:</v>
      </c>
      <c r="C1349" s="615"/>
      <c r="D1349" s="624"/>
      <c r="E1349" s="585" t="str">
        <f ca="1">IF(AND('Reconciliation report'!$E$475&gt;=3,'Reconciliation report'!$E$475&lt;&gt;"",'Reconciliation report'!$E$473=RefData!$B$112),'All Statement of strategy (D)'!$B1349&amp;$C1349,"")</f>
        <v/>
      </c>
      <c r="F1349" s="585" t="str">
        <f ca="1">IF(AND('Reconciliation report'!$E$475&gt;=3,'Reconciliation report'!$E$475&lt;&gt;"",'Reconciliation report'!$E$473=RefData!$B$112),'All Statement of strategy (D)'!$B1349&amp;$C1349,"")</f>
        <v/>
      </c>
      <c r="G1349" s="585" t="str">
        <f ca="1">IF(AND('Reconciliation report'!$E$475&gt;=3,'Reconciliation report'!$E$475&lt;&gt;"",'Reconciliation report'!$E$473=RefData!$B$112),'All Statement of strategy (D)'!$B1349&amp;$C1349,"")</f>
        <v/>
      </c>
      <c r="H1349" s="585" t="str">
        <f ca="1">IF(AND('Reconciliation report'!$E$475&gt;=3,'Reconciliation report'!$E$475&lt;&gt;"",'Reconciliation report'!$E$473=RefData!$B$112),'All Statement of strategy (D)'!$B1349&amp;$C1349,"")</f>
        <v/>
      </c>
      <c r="I1349" s="595" t="str">
        <f ca="1">IF($C$1=RefData!$B$418,'All Statement of strategy (D)'!$E1349,IF('All Statement of strategy (D)'!$C$1=RefData!$B$419,'All Statement of strategy (D)'!$F1349,IF('All Statement of strategy (D)'!$C$1=RefData!$B$420,'All Statement of strategy (D)'!$G1349,IF('All Statement of strategy (D)'!$C$1=RefData!$B$421,'All Statement of strategy (D)'!$H1349," "))))</f>
        <v xml:space="preserve"> </v>
      </c>
    </row>
    <row r="1350" spans="1:9">
      <c r="A1350" s="584" t="s">
        <v>2569</v>
      </c>
      <c r="B1350" s="621" t="str">
        <f ca="1">MID('Reconciliation report'!$E$737,1001,1000)</f>
        <v/>
      </c>
      <c r="C1350" s="615"/>
      <c r="D1350" s="624"/>
      <c r="E1350" s="585" t="str">
        <f ca="1">IF(AND('Reconciliation report'!$E$475&gt;=3,'Reconciliation report'!$E$475&lt;&gt;"",'Reconciliation report'!$E$473=RefData!$B$112),'All Statement of strategy (D)'!$B1350&amp;$C1350,"")</f>
        <v/>
      </c>
      <c r="F1350" s="585" t="str">
        <f ca="1">IF(AND('Reconciliation report'!$E$475&gt;=3,'Reconciliation report'!$E$475&lt;&gt;"",'Reconciliation report'!$E$473=RefData!$B$112),'All Statement of strategy (D)'!$B1350&amp;$C1350,"")</f>
        <v/>
      </c>
      <c r="G1350" s="585" t="str">
        <f ca="1">IF(AND('Reconciliation report'!$E$475&gt;=3,'Reconciliation report'!$E$475&lt;&gt;"",'Reconciliation report'!$E$473=RefData!$B$112),'All Statement of strategy (D)'!$B1350&amp;$C1350,"")</f>
        <v/>
      </c>
      <c r="H1350" s="585" t="str">
        <f ca="1">IF(AND('Reconciliation report'!$E$475&gt;=3,'Reconciliation report'!$E$475&lt;&gt;"",'Reconciliation report'!$E$473=RefData!$B$112),'All Statement of strategy (D)'!$B1350&amp;$C1350,"")</f>
        <v/>
      </c>
      <c r="I1350" s="595" t="str">
        <f ca="1">IF($C$1=RefData!$B$418,'All Statement of strategy (D)'!$E1350,IF('All Statement of strategy (D)'!$C$1=RefData!$B$419,'All Statement of strategy (D)'!$F1350,IF('All Statement of strategy (D)'!$C$1=RefData!$B$420,'All Statement of strategy (D)'!$G1350,IF('All Statement of strategy (D)'!$C$1=RefData!$B$421,'All Statement of strategy (D)'!$H1350," "))))</f>
        <v xml:space="preserve"> </v>
      </c>
    </row>
    <row r="1351" spans="1:9">
      <c r="A1351" s="584" t="s">
        <v>2569</v>
      </c>
      <c r="B1351" s="621" t="str">
        <f ca="1">MID('Reconciliation report'!$E$737,2001,1000)</f>
        <v/>
      </c>
      <c r="C1351" s="615"/>
      <c r="D1351" s="624"/>
      <c r="E1351" s="585" t="str">
        <f ca="1">IF(AND('Reconciliation report'!$E$475&gt;=3,'Reconciliation report'!$E$475&lt;&gt;"",'Reconciliation report'!$E$473=RefData!$B$112),'All Statement of strategy (D)'!$B1351&amp;$C1351,"")</f>
        <v/>
      </c>
      <c r="F1351" s="585" t="str">
        <f ca="1">IF(AND('Reconciliation report'!$E$475&gt;=3,'Reconciliation report'!$E$475&lt;&gt;"",'Reconciliation report'!$E$473=RefData!$B$112),'All Statement of strategy (D)'!$B1351&amp;$C1351,"")</f>
        <v/>
      </c>
      <c r="G1351" s="585" t="str">
        <f ca="1">IF(AND('Reconciliation report'!$E$475&gt;=3,'Reconciliation report'!$E$475&lt;&gt;"",'Reconciliation report'!$E$473=RefData!$B$112),'All Statement of strategy (D)'!$B1351&amp;$C1351,"")</f>
        <v/>
      </c>
      <c r="H1351" s="585" t="str">
        <f ca="1">IF(AND('Reconciliation report'!$E$475&gt;=3,'Reconciliation report'!$E$475&lt;&gt;"",'Reconciliation report'!$E$473=RefData!$B$112),'All Statement of strategy (D)'!$B1351&amp;$C1351,"")</f>
        <v/>
      </c>
      <c r="I1351" s="595" t="str">
        <f ca="1">IF($C$1=RefData!$B$418,'All Statement of strategy (D)'!$E1351,IF('All Statement of strategy (D)'!$C$1=RefData!$B$419,'All Statement of strategy (D)'!$F1351,IF('All Statement of strategy (D)'!$C$1=RefData!$B$420,'All Statement of strategy (D)'!$G1351,IF('All Statement of strategy (D)'!$C$1=RefData!$B$421,'All Statement of strategy (D)'!$H1351," "))))</f>
        <v xml:space="preserve"> </v>
      </c>
    </row>
    <row r="1352" spans="1:9">
      <c r="A1352" s="584" t="s">
        <v>2569</v>
      </c>
      <c r="B1352" s="621" t="str">
        <f ca="1">MID('Reconciliation report'!$E$737,3001,1000)</f>
        <v/>
      </c>
      <c r="C1352" s="615"/>
      <c r="D1352" s="624"/>
      <c r="E1352" s="585" t="str">
        <f ca="1">IF(AND('Reconciliation report'!$E$475&gt;=3,'Reconciliation report'!$E$475&lt;&gt;"",'Reconciliation report'!$E$473=RefData!$B$112),'All Statement of strategy (D)'!$B1352&amp;$C1352,"")</f>
        <v/>
      </c>
      <c r="F1352" s="585" t="str">
        <f ca="1">IF(AND('Reconciliation report'!$E$475&gt;=3,'Reconciliation report'!$E$475&lt;&gt;"",'Reconciliation report'!$E$473=RefData!$B$112),'All Statement of strategy (D)'!$B1352&amp;$C1352,"")</f>
        <v/>
      </c>
      <c r="G1352" s="585" t="str">
        <f ca="1">IF(AND('Reconciliation report'!$E$475&gt;=3,'Reconciliation report'!$E$475&lt;&gt;"",'Reconciliation report'!$E$473=RefData!$B$112),'All Statement of strategy (D)'!$B1352&amp;$C1352,"")</f>
        <v/>
      </c>
      <c r="H1352" s="585" t="str">
        <f ca="1">IF(AND('Reconciliation report'!$E$475&gt;=3,'Reconciliation report'!$E$475&lt;&gt;"",'Reconciliation report'!$E$473=RefData!$B$112),'All Statement of strategy (D)'!$B1352&amp;$C1352,"")</f>
        <v/>
      </c>
      <c r="I1352" s="595" t="str">
        <f ca="1">IF($C$1=RefData!$B$418,'All Statement of strategy (D)'!$E1352,IF('All Statement of strategy (D)'!$C$1=RefData!$B$419,'All Statement of strategy (D)'!$F1352,IF('All Statement of strategy (D)'!$C$1=RefData!$B$420,'All Statement of strategy (D)'!$G1352,IF('All Statement of strategy (D)'!$C$1=RefData!$B$421,'All Statement of strategy (D)'!$H1352," "))))</f>
        <v xml:space="preserve"> </v>
      </c>
    </row>
    <row r="1353" spans="1:9">
      <c r="A1353" s="604"/>
      <c r="B1353" s="594" t="s">
        <v>2532</v>
      </c>
      <c r="D1353" s="624"/>
      <c r="E1353" s="585" t="str">
        <f ca="1">IF(AND('Reconciliation report'!$E$475&gt;=3,'Reconciliation report'!$E$475&lt;&gt;"",'Reconciliation report'!$E$473=RefData!$B$112),'All Statement of strategy (D)'!$B1353&amp;$C1353,"")</f>
        <v/>
      </c>
      <c r="F1353" s="585" t="str">
        <f ca="1">IF(AND('Reconciliation report'!$E$475&gt;=3,'Reconciliation report'!$E$475&lt;&gt;"",'Reconciliation report'!$E$473=RefData!$B$112),'All Statement of strategy (D)'!$B1353&amp;$C1353,"")</f>
        <v/>
      </c>
      <c r="G1353" s="585" t="str">
        <f>""</f>
        <v/>
      </c>
      <c r="H1353" s="585" t="str">
        <f>""</f>
        <v/>
      </c>
      <c r="I1353" s="595" t="str">
        <f ca="1">IF($C$1=RefData!$B$418,'All Statement of strategy (D)'!$E1353,IF('All Statement of strategy (D)'!$C$1=RefData!$B$419,'All Statement of strategy (D)'!$F1353,IF('All Statement of strategy (D)'!$C$1=RefData!$B$420,'All Statement of strategy (D)'!$G1353,IF('All Statement of strategy (D)'!$C$1=RefData!$B$421,'All Statement of strategy (D)'!$H1353," "))))</f>
        <v xml:space="preserve"> </v>
      </c>
    </row>
    <row r="1354" spans="1:9">
      <c r="A1354" s="584" t="s">
        <v>2570</v>
      </c>
      <c r="B1354" s="594" t="str">
        <f ca="1">B1353&amp;IF('Reconciliation report'!$E$738=RefData!$B$149,'Reconciliation report'!$E$738,"")</f>
        <v xml:space="preserve">Type of maturity: </v>
      </c>
      <c r="D1354" s="624"/>
      <c r="E1354" s="585" t="str">
        <f ca="1">IF(AND('Reconciliation report'!$E$475&gt;=3,'Reconciliation report'!$E$475&lt;&gt;"",'Reconciliation report'!$E$473=RefData!$B$112),'All Statement of strategy (D)'!$B1354&amp;$C1354,"")</f>
        <v/>
      </c>
      <c r="F1354" s="585" t="str">
        <f ca="1">IF(AND('Reconciliation report'!$E$475&gt;=3,'Reconciliation report'!$E$475&lt;&gt;"",'Reconciliation report'!$E$473=RefData!$B$112),'All Statement of strategy (D)'!$B1354&amp;$C1354,"")</f>
        <v/>
      </c>
      <c r="G1354" s="585" t="str">
        <f>""</f>
        <v/>
      </c>
      <c r="H1354" s="585" t="str">
        <f>""</f>
        <v/>
      </c>
      <c r="I1354" s="595" t="str">
        <f ca="1">IF($C$1=RefData!$B$418,'All Statement of strategy (D)'!$E1354,IF('All Statement of strategy (D)'!$C$1=RefData!$B$419,'All Statement of strategy (D)'!$F1354,IF('All Statement of strategy (D)'!$C$1=RefData!$B$420,'All Statement of strategy (D)'!$G1354,IF('All Statement of strategy (D)'!$C$1=RefData!$B$421,'All Statement of strategy (D)'!$H1354," "))))</f>
        <v xml:space="preserve"> </v>
      </c>
    </row>
    <row r="1355" spans="1:9">
      <c r="A1355" s="584" t="s">
        <v>2571</v>
      </c>
      <c r="B1355" s="594" t="str">
        <f ca="1">B1354&amp;IF('Reconciliation report'!$E$738=RefData!$B$150,"Fixed expiry with a maturity date of "&amp;TEXT('Reconciliation report'!$E$739,RefData!$B$424),"")</f>
        <v xml:space="preserve">Type of maturity: </v>
      </c>
      <c r="D1355" s="624"/>
      <c r="E1355" s="585" t="str">
        <f ca="1">IF(AND('Reconciliation report'!$E$475&gt;=3,'Reconciliation report'!$E$475&lt;&gt;"",'Reconciliation report'!$E$473=RefData!$B$112),'All Statement of strategy (D)'!$B1355&amp;$C1355,"")</f>
        <v/>
      </c>
      <c r="F1355" s="585" t="str">
        <f ca="1">IF(AND('Reconciliation report'!$E$475&gt;=3,'Reconciliation report'!$E$475&lt;&gt;"",'Reconciliation report'!$E$473=RefData!$B$112),'All Statement of strategy (D)'!$B1355&amp;$C1355,"")</f>
        <v/>
      </c>
      <c r="G1355" s="585" t="str">
        <f>""</f>
        <v/>
      </c>
      <c r="H1355" s="585" t="str">
        <f>""</f>
        <v/>
      </c>
      <c r="I1355" s="595" t="str">
        <f ca="1">IF($C$1=RefData!$B$418,'All Statement of strategy (D)'!$E1355,IF('All Statement of strategy (D)'!$C$1=RefData!$B$419,'All Statement of strategy (D)'!$F1355,IF('All Statement of strategy (D)'!$C$1=RefData!$B$420,'All Statement of strategy (D)'!$G1355,IF('All Statement of strategy (D)'!$C$1=RefData!$B$421,'All Statement of strategy (D)'!$H1355," "))))</f>
        <v xml:space="preserve"> </v>
      </c>
    </row>
    <row r="1356" spans="1:9">
      <c r="A1356" s="584" t="s">
        <v>2572</v>
      </c>
      <c r="B1356" s="594" t="str">
        <f ca="1">B1355&amp;IF('Reconciliation report'!$E$738=RefData!$B$151,LEFT('Reconciliation report'!$E$740,1000),"")</f>
        <v xml:space="preserve">Type of maturity: </v>
      </c>
      <c r="D1356" s="624"/>
      <c r="E1356" s="585" t="str">
        <f ca="1">IF(AND('Reconciliation report'!$E$475&gt;=3,'Reconciliation report'!$E$475&lt;&gt;"",'Reconciliation report'!$E$473=RefData!$B$112),'All Statement of strategy (D)'!$B1356&amp;$C1356,"")</f>
        <v/>
      </c>
      <c r="F1356" s="585" t="str">
        <f ca="1">IF(AND('Reconciliation report'!$E$475&gt;=3,'Reconciliation report'!$E$475&lt;&gt;"",'Reconciliation report'!$E$473=RefData!$B$112),'All Statement of strategy (D)'!$B1356&amp;$C1356,"")</f>
        <v/>
      </c>
      <c r="G1356" s="585" t="str">
        <f>""</f>
        <v/>
      </c>
      <c r="H1356" s="585" t="str">
        <f>""</f>
        <v/>
      </c>
      <c r="I1356" s="595" t="str">
        <f ca="1">IF($C$1=RefData!$B$418,'All Statement of strategy (D)'!$E1356,IF('All Statement of strategy (D)'!$C$1=RefData!$B$419,'All Statement of strategy (D)'!$F1356,IF('All Statement of strategy (D)'!$C$1=RefData!$B$420,'All Statement of strategy (D)'!$G1356,IF('All Statement of strategy (D)'!$C$1=RefData!$B$421,'All Statement of strategy (D)'!$H1356," "))))</f>
        <v xml:space="preserve"> </v>
      </c>
    </row>
    <row r="1357" spans="1:9">
      <c r="A1357" s="584" t="s">
        <v>2572</v>
      </c>
      <c r="B1357" s="594" t="str">
        <f ca="1">IF('Reconciliation report'!$E$738=RefData!$B$151,MID('Reconciliation report'!$E$740,1001,1000),"")</f>
        <v/>
      </c>
      <c r="D1357" s="624"/>
      <c r="E1357" s="585" t="str">
        <f ca="1">IF(AND('Reconciliation report'!$E$475&gt;=3,'Reconciliation report'!$E$475&lt;&gt;"",'Reconciliation report'!$E$473=RefData!$B$112),'All Statement of strategy (D)'!$B1357&amp;$C1357,"")</f>
        <v/>
      </c>
      <c r="F1357" s="585" t="str">
        <f ca="1">IF(AND('Reconciliation report'!$E$475&gt;=3,'Reconciliation report'!$E$475&lt;&gt;"",'Reconciliation report'!$E$473=RefData!$B$112),'All Statement of strategy (D)'!$B1357&amp;$C1357,"")</f>
        <v/>
      </c>
      <c r="G1357" s="585" t="str">
        <f>""</f>
        <v/>
      </c>
      <c r="H1357" s="585" t="str">
        <f>""</f>
        <v/>
      </c>
      <c r="I1357" s="595" t="str">
        <f ca="1">IF($C$1=RefData!$B$418,'All Statement of strategy (D)'!$E1357,IF('All Statement of strategy (D)'!$C$1=RefData!$B$419,'All Statement of strategy (D)'!$F1357,IF('All Statement of strategy (D)'!$C$1=RefData!$B$420,'All Statement of strategy (D)'!$G1357,IF('All Statement of strategy (D)'!$C$1=RefData!$B$421,'All Statement of strategy (D)'!$H1357," "))))</f>
        <v xml:space="preserve"> </v>
      </c>
    </row>
    <row r="1358" spans="1:9">
      <c r="A1358" s="584" t="s">
        <v>2572</v>
      </c>
      <c r="B1358" s="594" t="str">
        <f ca="1">IF('Reconciliation report'!$E$738=RefData!$B$151,MID('Reconciliation report'!$E$740,2001,1000),"")</f>
        <v/>
      </c>
      <c r="D1358" s="624"/>
      <c r="E1358" s="585" t="str">
        <f ca="1">IF(AND('Reconciliation report'!$E$475&gt;=3,'Reconciliation report'!$E$475&lt;&gt;"",'Reconciliation report'!$E$473=RefData!$B$112),'All Statement of strategy (D)'!$B1358&amp;$C1358,"")</f>
        <v/>
      </c>
      <c r="F1358" s="585" t="str">
        <f ca="1">IF(AND('Reconciliation report'!$E$475&gt;=3,'Reconciliation report'!$E$475&lt;&gt;"",'Reconciliation report'!$E$473=RefData!$B$112),'All Statement of strategy (D)'!$B1358&amp;$C1358,"")</f>
        <v/>
      </c>
      <c r="G1358" s="585" t="str">
        <f>""</f>
        <v/>
      </c>
      <c r="H1358" s="585" t="str">
        <f>""</f>
        <v/>
      </c>
      <c r="I1358" s="595" t="str">
        <f ca="1">IF($C$1=RefData!$B$418,'All Statement of strategy (D)'!$E1358,IF('All Statement of strategy (D)'!$C$1=RefData!$B$419,'All Statement of strategy (D)'!$F1358,IF('All Statement of strategy (D)'!$C$1=RefData!$B$420,'All Statement of strategy (D)'!$G1358,IF('All Statement of strategy (D)'!$C$1=RefData!$B$421,'All Statement of strategy (D)'!$H1358," "))))</f>
        <v xml:space="preserve"> </v>
      </c>
    </row>
    <row r="1359" spans="1:9">
      <c r="A1359" s="584" t="s">
        <v>2572</v>
      </c>
      <c r="B1359" s="594" t="str">
        <f ca="1">IF('Reconciliation report'!$E$738=RefData!$B$151,MID('Reconciliation report'!$E$740,3001,1000),"")</f>
        <v/>
      </c>
      <c r="D1359" s="624"/>
      <c r="E1359" s="585" t="str">
        <f ca="1">IF(AND('Reconciliation report'!$E$475&gt;=3,'Reconciliation report'!$E$475&lt;&gt;"",'Reconciliation report'!$E$473=RefData!$B$112),'All Statement of strategy (D)'!$B1359&amp;$C1359,"")</f>
        <v/>
      </c>
      <c r="F1359" s="585" t="str">
        <f ca="1">IF(AND('Reconciliation report'!$E$475&gt;=3,'Reconciliation report'!$E$475&lt;&gt;"",'Reconciliation report'!$E$473=RefData!$B$112),'All Statement of strategy (D)'!$B1359&amp;$C1359,"")</f>
        <v/>
      </c>
      <c r="G1359" s="585" t="str">
        <f>""</f>
        <v/>
      </c>
      <c r="H1359" s="585" t="str">
        <f>""</f>
        <v/>
      </c>
      <c r="I1359" s="595" t="str">
        <f ca="1">IF($C$1=RefData!$B$418,'All Statement of strategy (D)'!$E1359,IF('All Statement of strategy (D)'!$C$1=RefData!$B$419,'All Statement of strategy (D)'!$F1359,IF('All Statement of strategy (D)'!$C$1=RefData!$B$420,'All Statement of strategy (D)'!$G1359,IF('All Statement of strategy (D)'!$C$1=RefData!$B$421,'All Statement of strategy (D)'!$H1359," "))))</f>
        <v xml:space="preserve"> </v>
      </c>
    </row>
    <row r="1360" spans="1:9">
      <c r="A1360" s="584" t="s">
        <v>2573</v>
      </c>
      <c r="B1360" s="594" t="s">
        <v>2399</v>
      </c>
      <c r="E1360" s="585" t="str">
        <f ca="1">IF(AND('Reconciliation report'!$E$475&gt;=3,'Reconciliation report'!$E$475&lt;&gt;"",'Reconciliation report'!$E$473=RefData!$B$112),'All Statement of strategy (D)'!$B1360&amp;$C1360,"")</f>
        <v/>
      </c>
      <c r="F1360" s="585" t="str">
        <f ca="1">IF(AND('Reconciliation report'!$E$475&gt;=3,'Reconciliation report'!$E$475&lt;&gt;"",'Reconciliation report'!$E$473=RefData!$B$112),'All Statement of strategy (D)'!$B1360&amp;$C1360,"")</f>
        <v/>
      </c>
      <c r="G1360" s="585" t="str">
        <f ca="1">IF(AND('Reconciliation report'!$E$475&gt;=3,'Reconciliation report'!$E$475&lt;&gt;"",'Reconciliation report'!$E$473=RefData!$B$112),'All Statement of strategy (D)'!$B1360&amp;$C1360,"")</f>
        <v/>
      </c>
      <c r="H1360" s="585" t="str">
        <f ca="1">IF(AND('Reconciliation report'!$E$475&gt;=3,'Reconciliation report'!$E$475&lt;&gt;"",'Reconciliation report'!$E$473=RefData!$B$112),'All Statement of strategy (D)'!$B1360&amp;$C1360,"")</f>
        <v/>
      </c>
      <c r="I1360" s="595" t="str">
        <f ca="1">IF($C$1=RefData!$B$418,'All Statement of strategy (D)'!$E1360,IF('All Statement of strategy (D)'!$C$1=RefData!$B$419,'All Statement of strategy (D)'!$F1360,IF('All Statement of strategy (D)'!$C$1=RefData!$B$420,'All Statement of strategy (D)'!$G1360,IF('All Statement of strategy (D)'!$C$1=RefData!$B$421,'All Statement of strategy (D)'!$H1360," "))))</f>
        <v xml:space="preserve"> </v>
      </c>
    </row>
    <row r="1361" spans="1:9">
      <c r="B1361" s="594" t="s">
        <v>2400</v>
      </c>
      <c r="C1361" s="585" t="str">
        <f ca="1">TEXT('Reconciliation report'!$E$741,RefData!$B$425)</f>
        <v/>
      </c>
      <c r="E1361" s="585" t="str">
        <f ca="1">IF(AND('Reconciliation report'!$E$475&gt;=3,'Reconciliation report'!$E$475&lt;&gt;"",'Reconciliation report'!$E$473=RefData!$B$112),'All Statement of strategy (D)'!$B1361&amp;$C1361,"")</f>
        <v/>
      </c>
      <c r="F1361" s="585" t="str">
        <f ca="1">IF(AND('Reconciliation report'!$E$475&gt;=3,'Reconciliation report'!$E$475&lt;&gt;"",'Reconciliation report'!$E$473=RefData!$B$112),'All Statement of strategy (D)'!$B1361&amp;$C1361,"")</f>
        <v/>
      </c>
      <c r="G1361" s="585" t="str">
        <f ca="1">IF(AND('Reconciliation report'!$E$475&gt;=3,'Reconciliation report'!$E$475&lt;&gt;"",'Reconciliation report'!$E$473=RefData!$B$112),'All Statement of strategy (D)'!$B1361&amp;$C1361,"")</f>
        <v/>
      </c>
      <c r="H1361" s="585" t="str">
        <f ca="1">IF(AND('Reconciliation report'!$E$475&gt;=3,'Reconciliation report'!$E$475&lt;&gt;"",'Reconciliation report'!$E$473=RefData!$B$112),'All Statement of strategy (D)'!$B1361&amp;$C1361,"")</f>
        <v/>
      </c>
      <c r="I1361" s="595" t="str">
        <f ca="1">IF($C$1=RefData!$B$418,'All Statement of strategy (D)'!$E1361,IF('All Statement of strategy (D)'!$C$1=RefData!$B$419,'All Statement of strategy (D)'!$F1361,IF('All Statement of strategy (D)'!$C$1=RefData!$B$420,'All Statement of strategy (D)'!$G1361,IF('All Statement of strategy (D)'!$C$1=RefData!$B$421,'All Statement of strategy (D)'!$H1361," "))))</f>
        <v xml:space="preserve"> </v>
      </c>
    </row>
    <row r="1362" spans="1:9">
      <c r="A1362" s="584" t="s">
        <v>2574</v>
      </c>
      <c r="B1362" s="594" t="s">
        <v>2402</v>
      </c>
      <c r="C1362" s="629" t="str">
        <f ca="1">TEXT('Reconciliation report'!$E$742,RefData!$B$424)</f>
        <v/>
      </c>
      <c r="E1362" s="585" t="str">
        <f ca="1">IF(AND('Reconciliation report'!$E$475&gt;=3,'Reconciliation report'!$E$475&lt;&gt;"",'Reconciliation report'!$E$473=RefData!$B$112),'All Statement of strategy (D)'!$B1362&amp;$C1362,"")</f>
        <v/>
      </c>
      <c r="F1362" s="585" t="str">
        <f ca="1">IF(AND('Reconciliation report'!$E$475&gt;=3,'Reconciliation report'!$E$475&lt;&gt;"",'Reconciliation report'!$E$473=RefData!$B$112),'All Statement of strategy (D)'!$B1362&amp;$C1362,"")</f>
        <v/>
      </c>
      <c r="G1362" s="585" t="str">
        <f ca="1">IF(AND('Reconciliation report'!$E$475&gt;=3,'Reconciliation report'!$E$475&lt;&gt;"",'Reconciliation report'!$E$473=RefData!$B$112),'All Statement of strategy (D)'!$B1362&amp;$C1362,"")</f>
        <v/>
      </c>
      <c r="H1362" s="585" t="str">
        <f ca="1">IF(AND('Reconciliation report'!$E$475&gt;=3,'Reconciliation report'!$E$475&lt;&gt;"",'Reconciliation report'!$E$473=RefData!$B$112),'All Statement of strategy (D)'!$B1362&amp;$C1362,"")</f>
        <v/>
      </c>
      <c r="I1362" s="595" t="str">
        <f ca="1">IF($C$1=RefData!$B$418,'All Statement of strategy (D)'!$E1362,IF('All Statement of strategy (D)'!$C$1=RefData!$B$419,'All Statement of strategy (D)'!$F1362,IF('All Statement of strategy (D)'!$C$1=RefData!$B$420,'All Statement of strategy (D)'!$G1362,IF('All Statement of strategy (D)'!$C$1=RefData!$B$421,'All Statement of strategy (D)'!$H1362," "))))</f>
        <v xml:space="preserve"> </v>
      </c>
    </row>
    <row r="1363" spans="1:9">
      <c r="A1363" s="604"/>
      <c r="B1363" s="594" t="s">
        <v>2518</v>
      </c>
      <c r="C1363" s="629"/>
      <c r="D1363" s="624"/>
      <c r="E1363" s="585" t="str">
        <f ca="1">IF(AND('Reconciliation report'!$E$475&gt;=3,'Reconciliation report'!$E$475&lt;&gt;"",'Reconciliation report'!$E$473=RefData!$B$112),'All Statement of strategy (D)'!$B1363&amp;$C1363,"")</f>
        <v/>
      </c>
      <c r="F1363" s="585" t="str">
        <f ca="1">IF(AND('Reconciliation report'!$E$475&gt;=3,'Reconciliation report'!$E$475&lt;&gt;"",'Reconciliation report'!$E$473=RefData!$B$112),'All Statement of strategy (D)'!$B1363&amp;$C1363,"")</f>
        <v/>
      </c>
      <c r="G1363" s="585" t="str">
        <f>""</f>
        <v/>
      </c>
      <c r="H1363" s="585" t="str">
        <f>""</f>
        <v/>
      </c>
      <c r="I1363" s="595" t="str">
        <f ca="1">IF($C$1=RefData!$B$418,'All Statement of strategy (D)'!$E1363,IF('All Statement of strategy (D)'!$C$1=RefData!$B$419,'All Statement of strategy (D)'!$F1363,IF('All Statement of strategy (D)'!$C$1=RefData!$B$420,'All Statement of strategy (D)'!$G1363,IF('All Statement of strategy (D)'!$C$1=RefData!$B$421,'All Statement of strategy (D)'!$H1363," "))))</f>
        <v xml:space="preserve"> </v>
      </c>
    </row>
    <row r="1364" spans="1:9">
      <c r="A1364" s="584" t="s">
        <v>2575</v>
      </c>
      <c r="B1364" s="630" t="str">
        <f ca="1">B1363&amp;IF('Reconciliation report'!$E$743=RefData!$B$158,"",'Reconciliation report'!$E$743)</f>
        <v xml:space="preserve">Value cap: </v>
      </c>
      <c r="C1364" s="629"/>
      <c r="D1364" s="624"/>
      <c r="E1364" s="585" t="str">
        <f ca="1">IF(AND('Reconciliation report'!$E$475&gt;=3,'Reconciliation report'!$E$475&lt;&gt;"",'Reconciliation report'!$E$473=RefData!$B$112),'All Statement of strategy (D)'!$B1364&amp;$C1364,"")</f>
        <v/>
      </c>
      <c r="F1364" s="585" t="str">
        <f ca="1">IF(AND('Reconciliation report'!$E$475&gt;=3,'Reconciliation report'!$E$475&lt;&gt;"",'Reconciliation report'!$E$473=RefData!$B$112),'All Statement of strategy (D)'!$B1364&amp;$C1364,"")</f>
        <v/>
      </c>
      <c r="G1364" s="585" t="str">
        <f>""</f>
        <v/>
      </c>
      <c r="H1364" s="585" t="str">
        <f>""</f>
        <v/>
      </c>
      <c r="I1364" s="595" t="str">
        <f ca="1">IF($C$1=RefData!$B$418,'All Statement of strategy (D)'!$E1364,IF('All Statement of strategy (D)'!$C$1=RefData!$B$419,'All Statement of strategy (D)'!$F1364,IF('All Statement of strategy (D)'!$C$1=RefData!$B$420,'All Statement of strategy (D)'!$G1364,IF('All Statement of strategy (D)'!$C$1=RefData!$B$421,'All Statement of strategy (D)'!$H1364," "))))</f>
        <v xml:space="preserve"> </v>
      </c>
    </row>
    <row r="1365" spans="1:9">
      <c r="A1365" s="584" t="s">
        <v>2576</v>
      </c>
      <c r="B1365" s="630" t="str">
        <f ca="1">B1364&amp;IF('Reconciliation report'!$E$743=RefData!$B$158,LEFT('Reconciliation report'!$E$744,1000),"")</f>
        <v xml:space="preserve">Value cap: </v>
      </c>
      <c r="C1365" s="629"/>
      <c r="D1365" s="624"/>
      <c r="E1365" s="585" t="str">
        <f ca="1">IF(AND('Reconciliation report'!$E$475&gt;=3,'Reconciliation report'!$E$475&lt;&gt;"",'Reconciliation report'!$E$473=RefData!$B$112),'All Statement of strategy (D)'!$B1365&amp;$C1365,"")</f>
        <v/>
      </c>
      <c r="F1365" s="585" t="str">
        <f ca="1">IF(AND('Reconciliation report'!$E$475&gt;=3,'Reconciliation report'!$E$475&lt;&gt;"",'Reconciliation report'!$E$473=RefData!$B$112),'All Statement of strategy (D)'!$B1365&amp;$C1365,"")</f>
        <v/>
      </c>
      <c r="G1365" s="585" t="str">
        <f>""</f>
        <v/>
      </c>
      <c r="H1365" s="585" t="str">
        <f>""</f>
        <v/>
      </c>
      <c r="I1365" s="595" t="str">
        <f ca="1">IF($C$1=RefData!$B$418,'All Statement of strategy (D)'!$E1365,IF('All Statement of strategy (D)'!$C$1=RefData!$B$419,'All Statement of strategy (D)'!$F1365,IF('All Statement of strategy (D)'!$C$1=RefData!$B$420,'All Statement of strategy (D)'!$G1365,IF('All Statement of strategy (D)'!$C$1=RefData!$B$421,'All Statement of strategy (D)'!$H1365," "))))</f>
        <v xml:space="preserve"> </v>
      </c>
    </row>
    <row r="1366" spans="1:9">
      <c r="A1366" s="584" t="s">
        <v>2576</v>
      </c>
      <c r="B1366" s="630" t="str">
        <f ca="1">IF('Reconciliation report'!$E$743=RefData!$B$158,MID('Reconciliation report'!$E$744,1001,1000),"")</f>
        <v/>
      </c>
      <c r="C1366" s="629"/>
      <c r="D1366" s="624"/>
      <c r="E1366" s="585" t="str">
        <f ca="1">IF(AND('Reconciliation report'!$E$475&gt;=3,'Reconciliation report'!$E$475&lt;&gt;"",'Reconciliation report'!$E$473=RefData!$B$112),'All Statement of strategy (D)'!$B1366&amp;$C1366,"")</f>
        <v/>
      </c>
      <c r="F1366" s="585" t="str">
        <f ca="1">IF(AND('Reconciliation report'!$E$475&gt;=3,'Reconciliation report'!$E$475&lt;&gt;"",'Reconciliation report'!$E$473=RefData!$B$112),'All Statement of strategy (D)'!$B1366&amp;$C1366,"")</f>
        <v/>
      </c>
      <c r="G1366" s="585" t="str">
        <f>""</f>
        <v/>
      </c>
      <c r="H1366" s="585" t="str">
        <f>""</f>
        <v/>
      </c>
      <c r="I1366" s="595" t="str">
        <f ca="1">IF($C$1=RefData!$B$418,'All Statement of strategy (D)'!$E1366,IF('All Statement of strategy (D)'!$C$1=RefData!$B$419,'All Statement of strategy (D)'!$F1366,IF('All Statement of strategy (D)'!$C$1=RefData!$B$420,'All Statement of strategy (D)'!$G1366,IF('All Statement of strategy (D)'!$C$1=RefData!$B$421,'All Statement of strategy (D)'!$H1366," "))))</f>
        <v xml:space="preserve"> </v>
      </c>
    </row>
    <row r="1367" spans="1:9">
      <c r="A1367" s="584" t="s">
        <v>2576</v>
      </c>
      <c r="B1367" s="630" t="str">
        <f ca="1">IF('Reconciliation report'!$E$743=RefData!$B$158,MID('Reconciliation report'!$E$744,2001,1000),"")</f>
        <v/>
      </c>
      <c r="C1367" s="629"/>
      <c r="D1367" s="624"/>
      <c r="E1367" s="585" t="str">
        <f ca="1">IF(AND('Reconciliation report'!$E$475&gt;=3,'Reconciliation report'!$E$475&lt;&gt;"",'Reconciliation report'!$E$473=RefData!$B$112),'All Statement of strategy (D)'!$B1367&amp;$C1367,"")</f>
        <v/>
      </c>
      <c r="F1367" s="585" t="str">
        <f ca="1">IF(AND('Reconciliation report'!$E$475&gt;=3,'Reconciliation report'!$E$475&lt;&gt;"",'Reconciliation report'!$E$473=RefData!$B$112),'All Statement of strategy (D)'!$B1367&amp;$C1367,"")</f>
        <v/>
      </c>
      <c r="G1367" s="585" t="str">
        <f>""</f>
        <v/>
      </c>
      <c r="H1367" s="585" t="str">
        <f>""</f>
        <v/>
      </c>
      <c r="I1367" s="595" t="str">
        <f ca="1">IF($C$1=RefData!$B$418,'All Statement of strategy (D)'!$E1367,IF('All Statement of strategy (D)'!$C$1=RefData!$B$419,'All Statement of strategy (D)'!$F1367,IF('All Statement of strategy (D)'!$C$1=RefData!$B$420,'All Statement of strategy (D)'!$G1367,IF('All Statement of strategy (D)'!$C$1=RefData!$B$421,'All Statement of strategy (D)'!$H1367," "))))</f>
        <v xml:space="preserve"> </v>
      </c>
    </row>
    <row r="1368" spans="1:9">
      <c r="A1368" s="584" t="s">
        <v>2576</v>
      </c>
      <c r="B1368" s="630" t="str">
        <f ca="1">IF('Reconciliation report'!$E$743=RefData!$B$158,MID('Reconciliation report'!$E$744,3001,1000),"")</f>
        <v/>
      </c>
      <c r="C1368" s="629"/>
      <c r="D1368" s="624"/>
      <c r="E1368" s="585" t="str">
        <f ca="1">IF(AND('Reconciliation report'!$E$475&gt;=3,'Reconciliation report'!$E$475&lt;&gt;"",'Reconciliation report'!$E$473=RefData!$B$112),'All Statement of strategy (D)'!$B1368&amp;$C1368,"")</f>
        <v/>
      </c>
      <c r="F1368" s="585" t="str">
        <f ca="1">IF(AND('Reconciliation report'!$E$475&gt;=3,'Reconciliation report'!$E$475&lt;&gt;"",'Reconciliation report'!$E$473=RefData!$B$112),'All Statement of strategy (D)'!$B1368&amp;$C1368,"")</f>
        <v/>
      </c>
      <c r="G1368" s="585" t="str">
        <f>""</f>
        <v/>
      </c>
      <c r="H1368" s="585" t="str">
        <f>""</f>
        <v/>
      </c>
      <c r="I1368" s="595" t="str">
        <f ca="1">IF($C$1=RefData!$B$418,'All Statement of strategy (D)'!$E1368,IF('All Statement of strategy (D)'!$C$1=RefData!$B$419,'All Statement of strategy (D)'!$F1368,IF('All Statement of strategy (D)'!$C$1=RefData!$B$420,'All Statement of strategy (D)'!$G1368,IF('All Statement of strategy (D)'!$C$1=RefData!$B$421,'All Statement of strategy (D)'!$H1368," "))))</f>
        <v xml:space="preserve"> </v>
      </c>
    </row>
    <row r="1369" spans="1:9">
      <c r="A1369" s="584" t="s">
        <v>2577</v>
      </c>
      <c r="B1369" s="594" t="s">
        <v>2406</v>
      </c>
      <c r="C1369" s="615" t="str">
        <f ca="1">TEXT('Reconciliation report'!$E$745,RefData!$B$425)</f>
        <v/>
      </c>
      <c r="E1369" s="585" t="str">
        <f ca="1">IF(AND('Reconciliation report'!$E$475&gt;=3,'Reconciliation report'!$E$475&lt;&gt;"",'Reconciliation report'!$E$473=RefData!$B$112,'Reconciliation report'!$E$743=RefData!$B$157),'All Statement of strategy (D)'!$B1369&amp;$C1369,"")</f>
        <v/>
      </c>
      <c r="F1369" s="585" t="str">
        <f ca="1">IF(AND('Reconciliation report'!$E$475&gt;=3,'Reconciliation report'!$E$475&lt;&gt;"",'Reconciliation report'!$E$473=RefData!$B$112,'Reconciliation report'!$E$743=RefData!$B$157),'All Statement of strategy (D)'!$B1369&amp;$C1369,"")</f>
        <v/>
      </c>
      <c r="G1369" s="585" t="str">
        <f>""</f>
        <v/>
      </c>
      <c r="H1369" s="585" t="str">
        <f>""</f>
        <v/>
      </c>
      <c r="I1369" s="595" t="str">
        <f ca="1">IF($C$1=RefData!$B$418,'All Statement of strategy (D)'!$E1369,IF('All Statement of strategy (D)'!$C$1=RefData!$B$419,'All Statement of strategy (D)'!$F1369,IF('All Statement of strategy (D)'!$C$1=RefData!$B$420,'All Statement of strategy (D)'!$G1369,IF('All Statement of strategy (D)'!$C$1=RefData!$B$421,'All Statement of strategy (D)'!$H1369," "))))</f>
        <v xml:space="preserve"> </v>
      </c>
    </row>
    <row r="1370" spans="1:9">
      <c r="B1370" s="594" t="s">
        <v>2407</v>
      </c>
      <c r="E1370" s="585" t="str">
        <f ca="1">IF(AND('Reconciliation report'!$E$475&gt;=3,'Reconciliation report'!$E$475&lt;&gt;"",'Reconciliation report'!$E$473=RefData!$B$112),'All Statement of strategy (D)'!$B1370&amp;$C1370,"")</f>
        <v/>
      </c>
      <c r="F1370" s="585" t="str">
        <f ca="1">IF(AND('Reconciliation report'!$E$475&gt;=3,'Reconciliation report'!$E$475&lt;&gt;"",'Reconciliation report'!$E$473=RefData!$B$112),'All Statement of strategy (D)'!$B1370&amp;$C1370,"")</f>
        <v/>
      </c>
      <c r="G1370" s="585" t="str">
        <f>""</f>
        <v/>
      </c>
      <c r="H1370" s="585" t="str">
        <f>""</f>
        <v/>
      </c>
      <c r="I1370" s="595" t="str">
        <f ca="1">IF($C$1=RefData!$B$418,'All Statement of strategy (D)'!$E1370,IF('All Statement of strategy (D)'!$C$1=RefData!$B$419,'All Statement of strategy (D)'!$F1370,IF('All Statement of strategy (D)'!$C$1=RefData!$B$420,'All Statement of strategy (D)'!$G1370,IF('All Statement of strategy (D)'!$C$1=RefData!$B$421,'All Statement of strategy (D)'!$H1370," "))))</f>
        <v xml:space="preserve"> </v>
      </c>
    </row>
    <row r="1371" spans="1:9">
      <c r="A1371" s="584" t="s">
        <v>2578</v>
      </c>
      <c r="B1371" s="594" t="s">
        <v>2409</v>
      </c>
      <c r="C1371" s="615" t="str">
        <f ca="1">'Reconciliation report'!$E$746</f>
        <v/>
      </c>
      <c r="E1371" s="585" t="str">
        <f ca="1">IF(AND('Reconciliation report'!$E$475&gt;=3,'Reconciliation report'!$E$475&lt;&gt;"",'Reconciliation report'!$E$473=RefData!$B$112),'All Statement of strategy (D)'!$B1371&amp;$C1371,"")</f>
        <v/>
      </c>
      <c r="F1371" s="585" t="str">
        <f ca="1">IF(AND('Reconciliation report'!$E$475&gt;=3,'Reconciliation report'!$E$475&lt;&gt;"",'Reconciliation report'!$E$473=RefData!$B$112),'All Statement of strategy (D)'!$B1371&amp;$C1371,"")</f>
        <v/>
      </c>
      <c r="G1371" s="585" t="str">
        <f>""</f>
        <v/>
      </c>
      <c r="H1371" s="585" t="str">
        <f>""</f>
        <v/>
      </c>
      <c r="I1371" s="595" t="str">
        <f ca="1">IF($C$1=RefData!$B$418,'All Statement of strategy (D)'!$E1371,IF('All Statement of strategy (D)'!$C$1=RefData!$B$419,'All Statement of strategy (D)'!$F1371,IF('All Statement of strategy (D)'!$C$1=RefData!$B$420,'All Statement of strategy (D)'!$G1371,IF('All Statement of strategy (D)'!$C$1=RefData!$B$421,'All Statement of strategy (D)'!$H1371," "))))</f>
        <v xml:space="preserve"> </v>
      </c>
    </row>
    <row r="1372" spans="1:9">
      <c r="A1372" s="584" t="s">
        <v>2579</v>
      </c>
      <c r="B1372" s="594" t="s">
        <v>2411</v>
      </c>
      <c r="C1372" s="615" t="str">
        <f ca="1">'Reconciliation report'!$E$747</f>
        <v/>
      </c>
      <c r="E1372" s="585" t="str">
        <f ca="1">IF(AND('Reconciliation report'!$E$475&gt;=3,'Reconciliation report'!$E$475&lt;&gt;"",'Reconciliation report'!$E$473=RefData!$B$112),'All Statement of strategy (D)'!$B1372&amp;$C1372,"")</f>
        <v/>
      </c>
      <c r="F1372" s="585" t="str">
        <f ca="1">IF(AND('Reconciliation report'!$E$475&gt;=3,'Reconciliation report'!$E$475&lt;&gt;"",'Reconciliation report'!$E$473=RefData!$B$112),'All Statement of strategy (D)'!$B1372&amp;$C1372,"")</f>
        <v/>
      </c>
      <c r="G1372" s="585" t="str">
        <f>""</f>
        <v/>
      </c>
      <c r="H1372" s="585" t="str">
        <f>""</f>
        <v/>
      </c>
      <c r="I1372" s="595" t="str">
        <f ca="1">IF($C$1=RefData!$B$418,'All Statement of strategy (D)'!$E1372,IF('All Statement of strategy (D)'!$C$1=RefData!$B$419,'All Statement of strategy (D)'!$F1372,IF('All Statement of strategy (D)'!$C$1=RefData!$B$420,'All Statement of strategy (D)'!$G1372,IF('All Statement of strategy (D)'!$C$1=RefData!$B$421,'All Statement of strategy (D)'!$H1372," "))))</f>
        <v xml:space="preserve"> </v>
      </c>
    </row>
    <row r="1373" spans="1:9">
      <c r="A1373" s="584" t="s">
        <v>2580</v>
      </c>
      <c r="B1373" s="594" t="s">
        <v>2413</v>
      </c>
      <c r="C1373" s="615" t="str">
        <f ca="1">'Reconciliation report'!$E$748</f>
        <v/>
      </c>
      <c r="E1373" s="585" t="str">
        <f ca="1">IF(AND('Reconciliation report'!$E$475&gt;=3,'Reconciliation report'!$E$475&lt;&gt;"",'Reconciliation report'!$E$473=RefData!$B$112),'All Statement of strategy (D)'!$B1373&amp;$C1373,"")</f>
        <v/>
      </c>
      <c r="F1373" s="585" t="str">
        <f ca="1">IF(AND('Reconciliation report'!$E$475&gt;=3,'Reconciliation report'!$E$475&lt;&gt;"",'Reconciliation report'!$E$473=RefData!$B$112),'All Statement of strategy (D)'!$B1373&amp;$C1373,"")</f>
        <v/>
      </c>
      <c r="G1373" s="585" t="str">
        <f>""</f>
        <v/>
      </c>
      <c r="H1373" s="585" t="str">
        <f>""</f>
        <v/>
      </c>
      <c r="I1373" s="595" t="str">
        <f ca="1">IF($C$1=RefData!$B$418,'All Statement of strategy (D)'!$E1373,IF('All Statement of strategy (D)'!$C$1=RefData!$B$419,'All Statement of strategy (D)'!$F1373,IF('All Statement of strategy (D)'!$C$1=RefData!$B$420,'All Statement of strategy (D)'!$G1373,IF('All Statement of strategy (D)'!$C$1=RefData!$B$421,'All Statement of strategy (D)'!$H1373," "))))</f>
        <v xml:space="preserve"> </v>
      </c>
    </row>
    <row r="1374" spans="1:9">
      <c r="A1374" s="584" t="s">
        <v>2581</v>
      </c>
      <c r="B1374" s="594" t="s">
        <v>2415</v>
      </c>
      <c r="C1374" s="615" t="str">
        <f ca="1">'Reconciliation report'!$E$749</f>
        <v/>
      </c>
      <c r="E1374" s="585" t="str">
        <f ca="1">IF(AND('Reconciliation report'!$E$475&gt;=3,'Reconciliation report'!$E$475&lt;&gt;"",'Reconciliation report'!$E$473=RefData!$B$112),'All Statement of strategy (D)'!$B1374&amp;$C1374,"")</f>
        <v/>
      </c>
      <c r="F1374" s="585" t="str">
        <f ca="1">IF(AND('Reconciliation report'!$E$475&gt;=3,'Reconciliation report'!$E$475&lt;&gt;"",'Reconciliation report'!$E$473=RefData!$B$112),'All Statement of strategy (D)'!$B1374&amp;$C1374,"")</f>
        <v/>
      </c>
      <c r="G1374" s="585" t="str">
        <f>""</f>
        <v/>
      </c>
      <c r="H1374" s="585" t="str">
        <f>""</f>
        <v/>
      </c>
      <c r="I1374" s="595" t="str">
        <f ca="1">IF($C$1=RefData!$B$418,'All Statement of strategy (D)'!$E1374,IF('All Statement of strategy (D)'!$C$1=RefData!$B$419,'All Statement of strategy (D)'!$F1374,IF('All Statement of strategy (D)'!$C$1=RefData!$B$420,'All Statement of strategy (D)'!$G1374,IF('All Statement of strategy (D)'!$C$1=RefData!$B$421,'All Statement of strategy (D)'!$H1374," "))))</f>
        <v xml:space="preserve"> </v>
      </c>
    </row>
    <row r="1375" spans="1:9">
      <c r="A1375" s="584" t="s">
        <v>2582</v>
      </c>
      <c r="B1375" s="594" t="str">
        <f ca="1">IF('Reconciliation report'!$E$750=RefData!$B$159,LEFT('Reconciliation report'!$E$751,1000),"")</f>
        <v/>
      </c>
      <c r="E1375" s="585" t="str">
        <f ca="1">IF(AND('Reconciliation report'!$E$475&gt;=3,'Reconciliation report'!$E$475&lt;&gt;"",'Reconciliation report'!$E$473=RefData!$B$112),'All Statement of strategy (D)'!$B1375&amp;$C1375,"")</f>
        <v/>
      </c>
      <c r="F1375" s="585" t="str">
        <f ca="1">IF(AND('Reconciliation report'!$E$475&gt;=3,'Reconciliation report'!$E$475&lt;&gt;"",'Reconciliation report'!$E$473=RefData!$B$112),'All Statement of strategy (D)'!$B1375&amp;$C1375,"")</f>
        <v/>
      </c>
      <c r="G1375" s="585" t="str">
        <f>""</f>
        <v/>
      </c>
      <c r="H1375" s="585" t="str">
        <f>""</f>
        <v/>
      </c>
      <c r="I1375" s="595" t="str">
        <f ca="1">IF($C$1=RefData!$B$418,'All Statement of strategy (D)'!$E1375,IF('All Statement of strategy (D)'!$C$1=RefData!$B$419,'All Statement of strategy (D)'!$F1375,IF('All Statement of strategy (D)'!$C$1=RefData!$B$420,'All Statement of strategy (D)'!$G1375,IF('All Statement of strategy (D)'!$C$1=RefData!$B$421,'All Statement of strategy (D)'!$H1375," "))))</f>
        <v xml:space="preserve"> </v>
      </c>
    </row>
    <row r="1376" spans="1:9">
      <c r="A1376" s="584" t="s">
        <v>2582</v>
      </c>
      <c r="B1376" s="594" t="str">
        <f ca="1">IF('Reconciliation report'!$E$750=RefData!$B$159,MID('Reconciliation report'!$E$751,1001,1000),"")</f>
        <v/>
      </c>
      <c r="E1376" s="585" t="str">
        <f ca="1">IF(AND('Reconciliation report'!$E$475&gt;=3,'Reconciliation report'!$E$475&lt;&gt;"",'Reconciliation report'!$E$473=RefData!$B$112),'All Statement of strategy (D)'!$B1376&amp;$C1376,"")</f>
        <v/>
      </c>
      <c r="F1376" s="585" t="str">
        <f ca="1">IF(AND('Reconciliation report'!$E$475&gt;=3,'Reconciliation report'!$E$475&lt;&gt;"",'Reconciliation report'!$E$473=RefData!$B$112),'All Statement of strategy (D)'!$B1376&amp;$C1376,"")</f>
        <v/>
      </c>
      <c r="G1376" s="585" t="str">
        <f>""</f>
        <v/>
      </c>
      <c r="H1376" s="585" t="str">
        <f>""</f>
        <v/>
      </c>
      <c r="I1376" s="595" t="str">
        <f ca="1">IF($C$1=RefData!$B$418,'All Statement of strategy (D)'!$E1376,IF('All Statement of strategy (D)'!$C$1=RefData!$B$419,'All Statement of strategy (D)'!$F1376,IF('All Statement of strategy (D)'!$C$1=RefData!$B$420,'All Statement of strategy (D)'!$G1376,IF('All Statement of strategy (D)'!$C$1=RefData!$B$421,'All Statement of strategy (D)'!$H1376," "))))</f>
        <v xml:space="preserve"> </v>
      </c>
    </row>
    <row r="1377" spans="1:9">
      <c r="A1377" s="584" t="s">
        <v>2582</v>
      </c>
      <c r="B1377" s="594" t="str">
        <f ca="1">IF('Reconciliation report'!$E$750=RefData!$B$159,MID('Reconciliation report'!$E$751,2001,1000),"")</f>
        <v/>
      </c>
      <c r="E1377" s="585" t="str">
        <f ca="1">IF(AND('Reconciliation report'!$E$475&gt;=3,'Reconciliation report'!$E$475&lt;&gt;"",'Reconciliation report'!$E$473=RefData!$B$112),'All Statement of strategy (D)'!$B1377&amp;$C1377,"")</f>
        <v/>
      </c>
      <c r="F1377" s="585" t="str">
        <f ca="1">IF(AND('Reconciliation report'!$E$475&gt;=3,'Reconciliation report'!$E$475&lt;&gt;"",'Reconciliation report'!$E$473=RefData!$B$112),'All Statement of strategy (D)'!$B1377&amp;$C1377,"")</f>
        <v/>
      </c>
      <c r="G1377" s="585" t="str">
        <f>""</f>
        <v/>
      </c>
      <c r="H1377" s="585" t="str">
        <f>""</f>
        <v/>
      </c>
      <c r="I1377" s="595" t="str">
        <f ca="1">IF($C$1=RefData!$B$418,'All Statement of strategy (D)'!$E1377,IF('All Statement of strategy (D)'!$C$1=RefData!$B$419,'All Statement of strategy (D)'!$F1377,IF('All Statement of strategy (D)'!$C$1=RefData!$B$420,'All Statement of strategy (D)'!$G1377,IF('All Statement of strategy (D)'!$C$1=RefData!$B$421,'All Statement of strategy (D)'!$H1377," "))))</f>
        <v xml:space="preserve"> </v>
      </c>
    </row>
    <row r="1378" spans="1:9">
      <c r="A1378" s="584" t="s">
        <v>2582</v>
      </c>
      <c r="B1378" s="594" t="str">
        <f ca="1">IF('Reconciliation report'!$E$750=RefData!$B$159,MID('Reconciliation report'!$E$751,3001,1000),"")</f>
        <v/>
      </c>
      <c r="E1378" s="585" t="str">
        <f ca="1">IF(AND('Reconciliation report'!$E$475&gt;=3,'Reconciliation report'!$E$475&lt;&gt;"",'Reconciliation report'!$E$473=RefData!$B$112),'All Statement of strategy (D)'!$B1378&amp;$C1378,"")</f>
        <v/>
      </c>
      <c r="F1378" s="585" t="str">
        <f ca="1">IF(AND('Reconciliation report'!$E$475&gt;=3,'Reconciliation report'!$E$475&lt;&gt;"",'Reconciliation report'!$E$473=RefData!$B$112),'All Statement of strategy (D)'!$B1378&amp;$C1378,"")</f>
        <v/>
      </c>
      <c r="G1378" s="585" t="str">
        <f>""</f>
        <v/>
      </c>
      <c r="H1378" s="585" t="str">
        <f>""</f>
        <v/>
      </c>
      <c r="I1378" s="595" t="str">
        <f ca="1">IF($C$1=RefData!$B$418,'All Statement of strategy (D)'!$E1378,IF('All Statement of strategy (D)'!$C$1=RefData!$B$419,'All Statement of strategy (D)'!$F1378,IF('All Statement of strategy (D)'!$C$1=RefData!$B$420,'All Statement of strategy (D)'!$G1378,IF('All Statement of strategy (D)'!$C$1=RefData!$B$421,'All Statement of strategy (D)'!$H1378," "))))</f>
        <v xml:space="preserve"> </v>
      </c>
    </row>
    <row r="1379" spans="1:9">
      <c r="B1379" s="594" t="s">
        <v>2417</v>
      </c>
      <c r="C1379" s="615"/>
      <c r="E1379" s="585" t="str">
        <f ca="1">IF(AND('Reconciliation report'!$E$475&gt;=3,'Reconciliation report'!$E$475&lt;&gt;"",'Reconciliation report'!$E$473=RefData!$B$112),'All Statement of strategy (D)'!$B1379&amp;$C1379,"")</f>
        <v/>
      </c>
      <c r="F1379" s="585" t="str">
        <f ca="1">IF(AND('Reconciliation report'!$E$475&gt;=3,'Reconciliation report'!$E$475&lt;&gt;"",'Reconciliation report'!$E$473=RefData!$B$112),'All Statement of strategy (D)'!$B1379&amp;$C1379,"")</f>
        <v/>
      </c>
      <c r="G1379" s="585" t="str">
        <f>""</f>
        <v/>
      </c>
      <c r="H1379" s="585" t="str">
        <f>""</f>
        <v/>
      </c>
      <c r="I1379" s="595" t="str">
        <f ca="1">IF($C$1=RefData!$B$418,'All Statement of strategy (D)'!$E1379,IF('All Statement of strategy (D)'!$C$1=RefData!$B$419,'All Statement of strategy (D)'!$F1379,IF('All Statement of strategy (D)'!$C$1=RefData!$B$420,'All Statement of strategy (D)'!$G1379,IF('All Statement of strategy (D)'!$C$1=RefData!$B$421,'All Statement of strategy (D)'!$H1379," "))))</f>
        <v xml:space="preserve"> </v>
      </c>
    </row>
    <row r="1380" spans="1:9">
      <c r="A1380" s="584" t="s">
        <v>2583</v>
      </c>
      <c r="B1380" s="621" t="str">
        <f ca="1">B1379&amp;LEFT('Reconciliation report'!$E$752,1000)</f>
        <v xml:space="preserve">Triggers for termination: </v>
      </c>
      <c r="C1380" s="615"/>
      <c r="E1380" s="585" t="str">
        <f ca="1">IF(AND('Reconciliation report'!$E$475&gt;=3,'Reconciliation report'!$E$475&lt;&gt;"",'Reconciliation report'!$E$473=RefData!$B$112),'All Statement of strategy (D)'!$B1380&amp;$C1380,"")</f>
        <v/>
      </c>
      <c r="F1380" s="585" t="str">
        <f ca="1">IF(AND('Reconciliation report'!$E$475&gt;=3,'Reconciliation report'!$E$475&lt;&gt;"",'Reconciliation report'!$E$473=RefData!$B$112),'All Statement of strategy (D)'!$B1380&amp;$C1380,"")</f>
        <v/>
      </c>
      <c r="G1380" s="585" t="str">
        <f>""</f>
        <v/>
      </c>
      <c r="H1380" s="585" t="str">
        <f>""</f>
        <v/>
      </c>
      <c r="I1380" s="595" t="str">
        <f ca="1">IF($C$1=RefData!$B$418,'All Statement of strategy (D)'!$E1380,IF('All Statement of strategy (D)'!$C$1=RefData!$B$419,'All Statement of strategy (D)'!$F1380,IF('All Statement of strategy (D)'!$C$1=RefData!$B$420,'All Statement of strategy (D)'!$G1380,IF('All Statement of strategy (D)'!$C$1=RefData!$B$421,'All Statement of strategy (D)'!$H1380," "))))</f>
        <v xml:space="preserve"> </v>
      </c>
    </row>
    <row r="1381" spans="1:9">
      <c r="A1381" s="584" t="s">
        <v>2583</v>
      </c>
      <c r="B1381" s="621" t="str">
        <f ca="1">MID('Reconciliation report'!$E$752,1001,1000)</f>
        <v/>
      </c>
      <c r="C1381" s="615"/>
      <c r="E1381" s="585" t="str">
        <f ca="1">IF(AND('Reconciliation report'!$E$475&gt;=3,'Reconciliation report'!$E$475&lt;&gt;"",'Reconciliation report'!$E$473=RefData!$B$112),'All Statement of strategy (D)'!$B1381&amp;$C1381,"")</f>
        <v/>
      </c>
      <c r="F1381" s="585" t="str">
        <f ca="1">IF(AND('Reconciliation report'!$E$475&gt;=3,'Reconciliation report'!$E$475&lt;&gt;"",'Reconciliation report'!$E$473=RefData!$B$112),'All Statement of strategy (D)'!$B1381&amp;$C1381,"")</f>
        <v/>
      </c>
      <c r="G1381" s="585" t="str">
        <f>""</f>
        <v/>
      </c>
      <c r="H1381" s="585" t="str">
        <f>""</f>
        <v/>
      </c>
      <c r="I1381" s="595" t="str">
        <f ca="1">IF($C$1=RefData!$B$418,'All Statement of strategy (D)'!$E1381,IF('All Statement of strategy (D)'!$C$1=RefData!$B$419,'All Statement of strategy (D)'!$F1381,IF('All Statement of strategy (D)'!$C$1=RefData!$B$420,'All Statement of strategy (D)'!$G1381,IF('All Statement of strategy (D)'!$C$1=RefData!$B$421,'All Statement of strategy (D)'!$H1381," "))))</f>
        <v xml:space="preserve"> </v>
      </c>
    </row>
    <row r="1382" spans="1:9">
      <c r="A1382" s="584" t="s">
        <v>2583</v>
      </c>
      <c r="B1382" s="621" t="str">
        <f ca="1">MID('Reconciliation report'!$E$752,2001,1000)</f>
        <v/>
      </c>
      <c r="C1382" s="615"/>
      <c r="E1382" s="585" t="str">
        <f ca="1">IF(AND('Reconciliation report'!$E$475&gt;=3,'Reconciliation report'!$E$475&lt;&gt;"",'Reconciliation report'!$E$473=RefData!$B$112),'All Statement of strategy (D)'!$B1382&amp;$C1382,"")</f>
        <v/>
      </c>
      <c r="F1382" s="585" t="str">
        <f ca="1">IF(AND('Reconciliation report'!$E$475&gt;=3,'Reconciliation report'!$E$475&lt;&gt;"",'Reconciliation report'!$E$473=RefData!$B$112),'All Statement of strategy (D)'!$B1382&amp;$C1382,"")</f>
        <v/>
      </c>
      <c r="G1382" s="585" t="str">
        <f>""</f>
        <v/>
      </c>
      <c r="H1382" s="585" t="str">
        <f>""</f>
        <v/>
      </c>
      <c r="I1382" s="595" t="str">
        <f ca="1">IF($C$1=RefData!$B$418,'All Statement of strategy (D)'!$E1382,IF('All Statement of strategy (D)'!$C$1=RefData!$B$419,'All Statement of strategy (D)'!$F1382,IF('All Statement of strategy (D)'!$C$1=RefData!$B$420,'All Statement of strategy (D)'!$G1382,IF('All Statement of strategy (D)'!$C$1=RefData!$B$421,'All Statement of strategy (D)'!$H1382," "))))</f>
        <v xml:space="preserve"> </v>
      </c>
    </row>
    <row r="1383" spans="1:9" ht="16" thickBot="1">
      <c r="A1383" s="584" t="s">
        <v>2583</v>
      </c>
      <c r="B1383" s="621" t="str">
        <f ca="1">MID('Reconciliation report'!$E$752,3001,1000)</f>
        <v/>
      </c>
      <c r="C1383" s="615"/>
      <c r="E1383" s="585" t="str">
        <f ca="1">IF(AND('Reconciliation report'!$E$475&gt;=3,'Reconciliation report'!$E$475&lt;&gt;"",'Reconciliation report'!$E$473=RefData!$B$112),'All Statement of strategy (D)'!$B1383&amp;$C1383,"")</f>
        <v/>
      </c>
      <c r="F1383" s="585" t="str">
        <f ca="1">IF(AND('Reconciliation report'!$E$475&gt;=3,'Reconciliation report'!$E$475&lt;&gt;"",'Reconciliation report'!$E$473=RefData!$B$112),'All Statement of strategy (D)'!$B1383&amp;$C1383,"")</f>
        <v/>
      </c>
      <c r="G1383" s="585" t="str">
        <f>""</f>
        <v/>
      </c>
      <c r="H1383" s="585" t="str">
        <f>""</f>
        <v/>
      </c>
      <c r="I1383" s="595" t="str">
        <f ca="1">IF($C$1=RefData!$B$418,'All Statement of strategy (D)'!$E1383,IF('All Statement of strategy (D)'!$C$1=RefData!$B$419,'All Statement of strategy (D)'!$F1383,IF('All Statement of strategy (D)'!$C$1=RefData!$B$420,'All Statement of strategy (D)'!$G1383,IF('All Statement of strategy (D)'!$C$1=RefData!$B$421,'All Statement of strategy (D)'!$H1383," "))))</f>
        <v xml:space="preserve"> </v>
      </c>
    </row>
    <row r="1384" spans="1:9" ht="16" thickBot="1">
      <c r="B1384" s="621" t="s">
        <v>2584</v>
      </c>
      <c r="C1384" s="615"/>
      <c r="E1384" s="591" t="str">
        <f ca="1">IF(AND('Reconciliation report'!$E$475&gt;=4,'Reconciliation report'!$E$475&lt;&gt;"",'Reconciliation report'!$E$473=RefData!$B$112),'All Statement of strategy (D)'!$B1384&amp;$C1384,"")</f>
        <v/>
      </c>
      <c r="F1384" s="591" t="str">
        <f ca="1">IF(AND('Reconciliation report'!$E$475&gt;=4,'Reconciliation report'!$E$475&lt;&gt;"",'Reconciliation report'!$E$473=RefData!$B$112),'All Statement of strategy (D)'!$B1384&amp;$C1384,"")</f>
        <v/>
      </c>
      <c r="G1384" s="591" t="str">
        <f ca="1">IF(AND('Reconciliation report'!$E$475&gt;=4,'Reconciliation report'!$E$475&lt;&gt;"",'Reconciliation report'!$E$473=RefData!$B$112),'All Statement of strategy (D)'!$B1384&amp;$C1384,"")</f>
        <v/>
      </c>
      <c r="H1384" s="591" t="str">
        <f ca="1">IF(AND('Reconciliation report'!$E$475&gt;=4,'Reconciliation report'!$E$475&lt;&gt;"",'Reconciliation report'!$E$473=RefData!$B$112),'All Statement of strategy (D)'!$B1384&amp;$C1384,"")</f>
        <v/>
      </c>
      <c r="I1384" s="592" t="str">
        <f ca="1">IF($C$1=RefData!$B$418,'All Statement of strategy (D)'!$E1384,IF('All Statement of strategy (D)'!$C$1=RefData!$B$419,'All Statement of strategy (D)'!$F1384,IF('All Statement of strategy (D)'!$C$1=RefData!$B$420,'All Statement of strategy (D)'!$G1384,IF('All Statement of strategy (D)'!$C$1=RefData!$B$421,'All Statement of strategy (D)'!$H1384," "))))</f>
        <v xml:space="preserve"> </v>
      </c>
    </row>
    <row r="1385" spans="1:9">
      <c r="A1385" s="604"/>
      <c r="B1385" s="590" t="s">
        <v>2566</v>
      </c>
      <c r="C1385" s="623"/>
      <c r="D1385" s="628"/>
      <c r="E1385" s="591" t="str">
        <f ca="1">IF(AND('Reconciliation report'!$E$475&gt;=4,'Reconciliation report'!$E$475&lt;&gt;"",'Reconciliation report'!$E$473=RefData!$B$112),'All Statement of strategy (D)'!$B1385&amp;$C1385,"")</f>
        <v/>
      </c>
      <c r="F1385" s="591" t="str">
        <f ca="1">IF(AND('Reconciliation report'!$E$475&gt;=4,'Reconciliation report'!$E$475&lt;&gt;"",'Reconciliation report'!$E$473=RefData!$B$112),'All Statement of strategy (D)'!$B1385&amp;$C1385,"")</f>
        <v/>
      </c>
      <c r="G1385" s="591" t="str">
        <f ca="1">IF(AND('Reconciliation report'!$E$475&gt;=4,'Reconciliation report'!$E$475&lt;&gt;"",'Reconciliation report'!$E$473=RefData!$B$112),'All Statement of strategy (D)'!$B1385&amp;$C1385,"")</f>
        <v/>
      </c>
      <c r="H1385" s="591" t="str">
        <f ca="1">IF(AND('Reconciliation report'!$E$475&gt;=4,'Reconciliation report'!$E$475&lt;&gt;"",'Reconciliation report'!$E$473=RefData!$B$112),'All Statement of strategy (D)'!$B1385&amp;$C1385,"")</f>
        <v/>
      </c>
      <c r="I1385" s="592" t="str">
        <f ca="1">IF($C$1=RefData!$B$418,'All Statement of strategy (D)'!$E1385,IF('All Statement of strategy (D)'!$C$1=RefData!$B$419,'All Statement of strategy (D)'!$F1385,IF('All Statement of strategy (D)'!$C$1=RefData!$B$420,'All Statement of strategy (D)'!$G1385,IF('All Statement of strategy (D)'!$C$1=RefData!$B$421,'All Statement of strategy (D)'!$H1385," "))))</f>
        <v xml:space="preserve"> </v>
      </c>
    </row>
    <row r="1386" spans="1:9">
      <c r="A1386" s="584" t="s">
        <v>2585</v>
      </c>
      <c r="B1386" s="621" t="str">
        <f ca="1">B1385&amp;IF('Reconciliation report'!$E$753=RefData!$B$148,"",'Reconciliation report'!$E$753)</f>
        <v xml:space="preserve">Type of security: </v>
      </c>
      <c r="C1386" s="615"/>
      <c r="D1386" s="624"/>
      <c r="E1386" s="585" t="str">
        <f ca="1">IF(AND('Reconciliation report'!$E$475&gt;=4,'Reconciliation report'!$E$475&lt;&gt;"",'Reconciliation report'!$E$473=RefData!$B$112),'All Statement of strategy (D)'!$B1386&amp;$C1386,"")</f>
        <v/>
      </c>
      <c r="F1386" s="585" t="str">
        <f ca="1">IF(AND('Reconciliation report'!$E$475&gt;=4,'Reconciliation report'!$E$475&lt;&gt;"",'Reconciliation report'!$E$473=RefData!$B$112),'All Statement of strategy (D)'!$B1386&amp;$C1386,"")</f>
        <v/>
      </c>
      <c r="G1386" s="585" t="str">
        <f ca="1">IF(AND('Reconciliation report'!$E$475&gt;=4,'Reconciliation report'!$E$475&lt;&gt;"",'Reconciliation report'!$E$473=RefData!$B$112),'All Statement of strategy (D)'!$B1386&amp;$C1386,"")</f>
        <v/>
      </c>
      <c r="H1386" s="585" t="str">
        <f ca="1">IF(AND('Reconciliation report'!$E$475&gt;=4,'Reconciliation report'!$E$475&lt;&gt;"",'Reconciliation report'!$E$473=RefData!$B$112),'All Statement of strategy (D)'!$B1386&amp;$C1386,"")</f>
        <v/>
      </c>
      <c r="I1386" s="595" t="str">
        <f ca="1">IF($C$1=RefData!$B$418,'All Statement of strategy (D)'!$E1386,IF('All Statement of strategy (D)'!$C$1=RefData!$B$419,'All Statement of strategy (D)'!$F1386,IF('All Statement of strategy (D)'!$C$1=RefData!$B$420,'All Statement of strategy (D)'!$G1386,IF('All Statement of strategy (D)'!$C$1=RefData!$B$421,'All Statement of strategy (D)'!$H1386," "))))</f>
        <v xml:space="preserve"> </v>
      </c>
    </row>
    <row r="1387" spans="1:9">
      <c r="B1387" s="594" t="s">
        <v>2568</v>
      </c>
      <c r="C1387" s="615"/>
      <c r="D1387" s="624"/>
      <c r="E1387" s="585" t="str">
        <f ca="1">IF(AND('Reconciliation report'!$E$475&gt;=4,'Reconciliation report'!$E$475&lt;&gt;"",'Reconciliation report'!$E$473=RefData!$B$112),'All Statement of strategy (D)'!$B1387&amp;$C1387,"")</f>
        <v/>
      </c>
      <c r="F1387" s="585" t="str">
        <f ca="1">IF(AND('Reconciliation report'!$E$475&gt;=4,'Reconciliation report'!$E$475&lt;&gt;"",'Reconciliation report'!$E$473=RefData!$B$112),'All Statement of strategy (D)'!$B1387&amp;$C1387,"")</f>
        <v/>
      </c>
      <c r="G1387" s="585" t="str">
        <f ca="1">IF(AND('Reconciliation report'!$E$475&gt;=4,'Reconciliation report'!$E$475&lt;&gt;"",'Reconciliation report'!$E$473=RefData!$B$112),'All Statement of strategy (D)'!$B1387&amp;$C1387,"")</f>
        <v/>
      </c>
      <c r="H1387" s="585" t="str">
        <f ca="1">IF(AND('Reconciliation report'!$E$475&gt;=4,'Reconciliation report'!$E$475&lt;&gt;"",'Reconciliation report'!$E$473=RefData!$B$112),'All Statement of strategy (D)'!$B1387&amp;$C1387,"")</f>
        <v/>
      </c>
      <c r="I1387" s="595" t="str">
        <f ca="1">IF($C$1=RefData!$B$418,'All Statement of strategy (D)'!$E1387,IF('All Statement of strategy (D)'!$C$1=RefData!$B$419,'All Statement of strategy (D)'!$F1387,IF('All Statement of strategy (D)'!$C$1=RefData!$B$420,'All Statement of strategy (D)'!$G1387,IF('All Statement of strategy (D)'!$C$1=RefData!$B$421,'All Statement of strategy (D)'!$H1387," "))))</f>
        <v xml:space="preserve"> </v>
      </c>
    </row>
    <row r="1388" spans="1:9">
      <c r="A1388" s="584" t="s">
        <v>2586</v>
      </c>
      <c r="B1388" s="621" t="str">
        <f ca="1">B1387&amp;LEFT('Reconciliation report'!$E$754,1000)</f>
        <v>Provide specific details of the underlying asset:</v>
      </c>
      <c r="C1388" s="615"/>
      <c r="D1388" s="624"/>
      <c r="E1388" s="585" t="str">
        <f ca="1">IF(AND('Reconciliation report'!$E$475&gt;=4,'Reconciliation report'!$E$475&lt;&gt;"",'Reconciliation report'!$E$473=RefData!$B$112),'All Statement of strategy (D)'!$B1388&amp;$C1388,"")</f>
        <v/>
      </c>
      <c r="F1388" s="585" t="str">
        <f ca="1">IF(AND('Reconciliation report'!$E$475&gt;=4,'Reconciliation report'!$E$475&lt;&gt;"",'Reconciliation report'!$E$473=RefData!$B$112),'All Statement of strategy (D)'!$B1388&amp;$C1388,"")</f>
        <v/>
      </c>
      <c r="G1388" s="585" t="str">
        <f ca="1">IF(AND('Reconciliation report'!$E$475&gt;=4,'Reconciliation report'!$E$475&lt;&gt;"",'Reconciliation report'!$E$473=RefData!$B$112),'All Statement of strategy (D)'!$B1388&amp;$C1388,"")</f>
        <v/>
      </c>
      <c r="H1388" s="585" t="str">
        <f ca="1">IF(AND('Reconciliation report'!$E$475&gt;=4,'Reconciliation report'!$E$475&lt;&gt;"",'Reconciliation report'!$E$473=RefData!$B$112),'All Statement of strategy (D)'!$B1388&amp;$C1388,"")</f>
        <v/>
      </c>
      <c r="I1388" s="595" t="str">
        <f ca="1">IF($C$1=RefData!$B$418,'All Statement of strategy (D)'!$E1388,IF('All Statement of strategy (D)'!$C$1=RefData!$B$419,'All Statement of strategy (D)'!$F1388,IF('All Statement of strategy (D)'!$C$1=RefData!$B$420,'All Statement of strategy (D)'!$G1388,IF('All Statement of strategy (D)'!$C$1=RefData!$B$421,'All Statement of strategy (D)'!$H1388," "))))</f>
        <v xml:space="preserve"> </v>
      </c>
    </row>
    <row r="1389" spans="1:9">
      <c r="A1389" s="584" t="s">
        <v>2586</v>
      </c>
      <c r="B1389" s="621" t="str">
        <f ca="1">MID('Reconciliation report'!$E$754,1001,1000)</f>
        <v/>
      </c>
      <c r="C1389" s="615"/>
      <c r="D1389" s="624"/>
      <c r="E1389" s="585" t="str">
        <f ca="1">IF(AND('Reconciliation report'!$E$475&gt;=4,'Reconciliation report'!$E$475&lt;&gt;"",'Reconciliation report'!$E$473=RefData!$B$112),'All Statement of strategy (D)'!$B1389&amp;$C1389,"")</f>
        <v/>
      </c>
      <c r="F1389" s="585" t="str">
        <f ca="1">IF(AND('Reconciliation report'!$E$475&gt;=4,'Reconciliation report'!$E$475&lt;&gt;"",'Reconciliation report'!$E$473=RefData!$B$112),'All Statement of strategy (D)'!$B1389&amp;$C1389,"")</f>
        <v/>
      </c>
      <c r="G1389" s="585" t="str">
        <f ca="1">IF(AND('Reconciliation report'!$E$475&gt;=4,'Reconciliation report'!$E$475&lt;&gt;"",'Reconciliation report'!$E$473=RefData!$B$112),'All Statement of strategy (D)'!$B1389&amp;$C1389,"")</f>
        <v/>
      </c>
      <c r="H1389" s="585" t="str">
        <f ca="1">IF(AND('Reconciliation report'!$E$475&gt;=4,'Reconciliation report'!$E$475&lt;&gt;"",'Reconciliation report'!$E$473=RefData!$B$112),'All Statement of strategy (D)'!$B1389&amp;$C1389,"")</f>
        <v/>
      </c>
      <c r="I1389" s="595" t="str">
        <f ca="1">IF($C$1=RefData!$B$418,'All Statement of strategy (D)'!$E1389,IF('All Statement of strategy (D)'!$C$1=RefData!$B$419,'All Statement of strategy (D)'!$F1389,IF('All Statement of strategy (D)'!$C$1=RefData!$B$420,'All Statement of strategy (D)'!$G1389,IF('All Statement of strategy (D)'!$C$1=RefData!$B$421,'All Statement of strategy (D)'!$H1389," "))))</f>
        <v xml:space="preserve"> </v>
      </c>
    </row>
    <row r="1390" spans="1:9">
      <c r="A1390" s="584" t="s">
        <v>2586</v>
      </c>
      <c r="B1390" s="621" t="str">
        <f ca="1">MID('Reconciliation report'!$E$754,2001,1000)</f>
        <v/>
      </c>
      <c r="C1390" s="615"/>
      <c r="D1390" s="624"/>
      <c r="E1390" s="585" t="str">
        <f ca="1">IF(AND('Reconciliation report'!$E$475&gt;=4,'Reconciliation report'!$E$475&lt;&gt;"",'Reconciliation report'!$E$473=RefData!$B$112),'All Statement of strategy (D)'!$B1390&amp;$C1390,"")</f>
        <v/>
      </c>
      <c r="F1390" s="585" t="str">
        <f ca="1">IF(AND('Reconciliation report'!$E$475&gt;=4,'Reconciliation report'!$E$475&lt;&gt;"",'Reconciliation report'!$E$473=RefData!$B$112),'All Statement of strategy (D)'!$B1390&amp;$C1390,"")</f>
        <v/>
      </c>
      <c r="G1390" s="585" t="str">
        <f ca="1">IF(AND('Reconciliation report'!$E$475&gt;=4,'Reconciliation report'!$E$475&lt;&gt;"",'Reconciliation report'!$E$473=RefData!$B$112),'All Statement of strategy (D)'!$B1390&amp;$C1390,"")</f>
        <v/>
      </c>
      <c r="H1390" s="585" t="str">
        <f ca="1">IF(AND('Reconciliation report'!$E$475&gt;=4,'Reconciliation report'!$E$475&lt;&gt;"",'Reconciliation report'!$E$473=RefData!$B$112),'All Statement of strategy (D)'!$B1390&amp;$C1390,"")</f>
        <v/>
      </c>
      <c r="I1390" s="595" t="str">
        <f ca="1">IF($C$1=RefData!$B$418,'All Statement of strategy (D)'!$E1390,IF('All Statement of strategy (D)'!$C$1=RefData!$B$419,'All Statement of strategy (D)'!$F1390,IF('All Statement of strategy (D)'!$C$1=RefData!$B$420,'All Statement of strategy (D)'!$G1390,IF('All Statement of strategy (D)'!$C$1=RefData!$B$421,'All Statement of strategy (D)'!$H1390," "))))</f>
        <v xml:space="preserve"> </v>
      </c>
    </row>
    <row r="1391" spans="1:9">
      <c r="A1391" s="584" t="s">
        <v>2586</v>
      </c>
      <c r="B1391" s="621" t="str">
        <f ca="1">MID('Reconciliation report'!$E$754,3001,1000)</f>
        <v/>
      </c>
      <c r="C1391" s="615"/>
      <c r="D1391" s="624"/>
      <c r="E1391" s="585" t="str">
        <f ca="1">IF(AND('Reconciliation report'!$E$475&gt;=4,'Reconciliation report'!$E$475&lt;&gt;"",'Reconciliation report'!$E$473=RefData!$B$112),'All Statement of strategy (D)'!$B1391&amp;$C1391,"")</f>
        <v/>
      </c>
      <c r="F1391" s="585" t="str">
        <f ca="1">IF(AND('Reconciliation report'!$E$475&gt;=4,'Reconciliation report'!$E$475&lt;&gt;"",'Reconciliation report'!$E$473=RefData!$B$112),'All Statement of strategy (D)'!$B1391&amp;$C1391,"")</f>
        <v/>
      </c>
      <c r="G1391" s="585" t="str">
        <f ca="1">IF(AND('Reconciliation report'!$E$475&gt;=4,'Reconciliation report'!$E$475&lt;&gt;"",'Reconciliation report'!$E$473=RefData!$B$112),'All Statement of strategy (D)'!$B1391&amp;$C1391,"")</f>
        <v/>
      </c>
      <c r="H1391" s="585" t="str">
        <f ca="1">IF(AND('Reconciliation report'!$E$475&gt;=4,'Reconciliation report'!$E$475&lt;&gt;"",'Reconciliation report'!$E$473=RefData!$B$112),'All Statement of strategy (D)'!$B1391&amp;$C1391,"")</f>
        <v/>
      </c>
      <c r="I1391" s="595" t="str">
        <f ca="1">IF($C$1=RefData!$B$418,'All Statement of strategy (D)'!$E1391,IF('All Statement of strategy (D)'!$C$1=RefData!$B$419,'All Statement of strategy (D)'!$F1391,IF('All Statement of strategy (D)'!$C$1=RefData!$B$420,'All Statement of strategy (D)'!$G1391,IF('All Statement of strategy (D)'!$C$1=RefData!$B$421,'All Statement of strategy (D)'!$H1391," "))))</f>
        <v xml:space="preserve"> </v>
      </c>
    </row>
    <row r="1392" spans="1:9">
      <c r="A1392" s="604"/>
      <c r="B1392" s="594" t="s">
        <v>2532</v>
      </c>
      <c r="D1392" s="624"/>
      <c r="E1392" s="585" t="str">
        <f ca="1">IF(AND('Reconciliation report'!$E$475&gt;=4,'Reconciliation report'!$E$475&lt;&gt;"",'Reconciliation report'!$E$473=RefData!$B$112),'All Statement of strategy (D)'!$B1392&amp;$C1392,"")</f>
        <v/>
      </c>
      <c r="F1392" s="585" t="str">
        <f ca="1">IF(AND('Reconciliation report'!$E$475&gt;=4,'Reconciliation report'!$E$475&lt;&gt;"",'Reconciliation report'!$E$473=RefData!$B$112),'All Statement of strategy (D)'!$B1392&amp;$C1392,"")</f>
        <v/>
      </c>
      <c r="G1392" s="585" t="str">
        <f>""</f>
        <v/>
      </c>
      <c r="H1392" s="585" t="str">
        <f>""</f>
        <v/>
      </c>
      <c r="I1392" s="595" t="str">
        <f ca="1">IF($C$1=RefData!$B$418,'All Statement of strategy (D)'!$E1392,IF('All Statement of strategy (D)'!$C$1=RefData!$B$419,'All Statement of strategy (D)'!$F1392,IF('All Statement of strategy (D)'!$C$1=RefData!$B$420,'All Statement of strategy (D)'!$G1392,IF('All Statement of strategy (D)'!$C$1=RefData!$B$421,'All Statement of strategy (D)'!$H1392," "))))</f>
        <v xml:space="preserve"> </v>
      </c>
    </row>
    <row r="1393" spans="1:9">
      <c r="A1393" s="584" t="s">
        <v>2587</v>
      </c>
      <c r="B1393" s="594" t="str">
        <f ca="1">B1392&amp;IF('Reconciliation report'!$E$755=RefData!$B$149,'Reconciliation report'!$E$755,"")</f>
        <v xml:space="preserve">Type of maturity: </v>
      </c>
      <c r="D1393" s="624"/>
      <c r="E1393" s="585" t="str">
        <f ca="1">IF(AND('Reconciliation report'!$E$475&gt;=4,'Reconciliation report'!$E$475&lt;&gt;"",'Reconciliation report'!$E$473=RefData!$B$112),'All Statement of strategy (D)'!$B1393&amp;$C1393,"")</f>
        <v/>
      </c>
      <c r="F1393" s="585" t="str">
        <f ca="1">IF(AND('Reconciliation report'!$E$475&gt;=4,'Reconciliation report'!$E$475&lt;&gt;"",'Reconciliation report'!$E$473=RefData!$B$112),'All Statement of strategy (D)'!$B1393&amp;$C1393,"")</f>
        <v/>
      </c>
      <c r="G1393" s="585" t="str">
        <f>""</f>
        <v/>
      </c>
      <c r="H1393" s="585" t="str">
        <f>""</f>
        <v/>
      </c>
      <c r="I1393" s="595" t="str">
        <f ca="1">IF($C$1=RefData!$B$418,'All Statement of strategy (D)'!$E1393,IF('All Statement of strategy (D)'!$C$1=RefData!$B$419,'All Statement of strategy (D)'!$F1393,IF('All Statement of strategy (D)'!$C$1=RefData!$B$420,'All Statement of strategy (D)'!$G1393,IF('All Statement of strategy (D)'!$C$1=RefData!$B$421,'All Statement of strategy (D)'!$H1393," "))))</f>
        <v xml:space="preserve"> </v>
      </c>
    </row>
    <row r="1394" spans="1:9">
      <c r="A1394" s="584" t="s">
        <v>2588</v>
      </c>
      <c r="B1394" s="594" t="str">
        <f ca="1">B1393&amp;IF('Reconciliation report'!$E$755=RefData!$B$150,"Fixed expiry with a maturity date of "&amp;TEXT('Reconciliation report'!$E$756,RefData!$B$424),"")</f>
        <v xml:space="preserve">Type of maturity: </v>
      </c>
      <c r="D1394" s="624"/>
      <c r="E1394" s="585" t="str">
        <f ca="1">IF(AND('Reconciliation report'!$E$475&gt;=4,'Reconciliation report'!$E$475&lt;&gt;"",'Reconciliation report'!$E$473=RefData!$B$112),'All Statement of strategy (D)'!$B1394&amp;$C1394,"")</f>
        <v/>
      </c>
      <c r="F1394" s="585" t="str">
        <f ca="1">IF(AND('Reconciliation report'!$E$475&gt;=4,'Reconciliation report'!$E$475&lt;&gt;"",'Reconciliation report'!$E$473=RefData!$B$112),'All Statement of strategy (D)'!$B1394&amp;$C1394,"")</f>
        <v/>
      </c>
      <c r="G1394" s="585" t="str">
        <f>""</f>
        <v/>
      </c>
      <c r="H1394" s="585" t="str">
        <f>""</f>
        <v/>
      </c>
      <c r="I1394" s="595" t="str">
        <f ca="1">IF($C$1=RefData!$B$418,'All Statement of strategy (D)'!$E1394,IF('All Statement of strategy (D)'!$C$1=RefData!$B$419,'All Statement of strategy (D)'!$F1394,IF('All Statement of strategy (D)'!$C$1=RefData!$B$420,'All Statement of strategy (D)'!$G1394,IF('All Statement of strategy (D)'!$C$1=RefData!$B$421,'All Statement of strategy (D)'!$H1394," "))))</f>
        <v xml:space="preserve"> </v>
      </c>
    </row>
    <row r="1395" spans="1:9">
      <c r="A1395" s="584" t="s">
        <v>2589</v>
      </c>
      <c r="B1395" s="594" t="str">
        <f ca="1">B1394&amp;IF('Reconciliation report'!$E$755=RefData!$B$151,LEFT('Reconciliation report'!$E$757,1000),"")</f>
        <v xml:space="preserve">Type of maturity: </v>
      </c>
      <c r="D1395" s="624"/>
      <c r="E1395" s="585" t="str">
        <f ca="1">IF(AND('Reconciliation report'!$E$475&gt;=4,'Reconciliation report'!$E$475&lt;&gt;"",'Reconciliation report'!$E$473=RefData!$B$112),'All Statement of strategy (D)'!$B1395&amp;$C1395,"")</f>
        <v/>
      </c>
      <c r="F1395" s="585" t="str">
        <f ca="1">IF(AND('Reconciliation report'!$E$475&gt;=4,'Reconciliation report'!$E$475&lt;&gt;"",'Reconciliation report'!$E$473=RefData!$B$112),'All Statement of strategy (D)'!$B1395&amp;$C1395,"")</f>
        <v/>
      </c>
      <c r="G1395" s="585" t="str">
        <f>""</f>
        <v/>
      </c>
      <c r="H1395" s="585" t="str">
        <f>""</f>
        <v/>
      </c>
      <c r="I1395" s="595" t="str">
        <f ca="1">IF($C$1=RefData!$B$418,'All Statement of strategy (D)'!$E1395,IF('All Statement of strategy (D)'!$C$1=RefData!$B$419,'All Statement of strategy (D)'!$F1395,IF('All Statement of strategy (D)'!$C$1=RefData!$B$420,'All Statement of strategy (D)'!$G1395,IF('All Statement of strategy (D)'!$C$1=RefData!$B$421,'All Statement of strategy (D)'!$H1395," "))))</f>
        <v xml:space="preserve"> </v>
      </c>
    </row>
    <row r="1396" spans="1:9">
      <c r="A1396" s="584" t="s">
        <v>2589</v>
      </c>
      <c r="B1396" s="594" t="str">
        <f ca="1">IF('Reconciliation report'!$E$755=RefData!$B$151,MID('Reconciliation report'!$E$757,1001,1000),"")</f>
        <v/>
      </c>
      <c r="D1396" s="624"/>
      <c r="E1396" s="585" t="str">
        <f ca="1">IF(AND('Reconciliation report'!$E$475&gt;=4,'Reconciliation report'!$E$475&lt;&gt;"",'Reconciliation report'!$E$473=RefData!$B$112),'All Statement of strategy (D)'!$B1396&amp;$C1396,"")</f>
        <v/>
      </c>
      <c r="F1396" s="585" t="str">
        <f ca="1">IF(AND('Reconciliation report'!$E$475&gt;=4,'Reconciliation report'!$E$475&lt;&gt;"",'Reconciliation report'!$E$473=RefData!$B$112),'All Statement of strategy (D)'!$B1396&amp;$C1396,"")</f>
        <v/>
      </c>
      <c r="G1396" s="585" t="str">
        <f>""</f>
        <v/>
      </c>
      <c r="H1396" s="585" t="str">
        <f>""</f>
        <v/>
      </c>
      <c r="I1396" s="595" t="str">
        <f ca="1">IF($C$1=RefData!$B$418,'All Statement of strategy (D)'!$E1396,IF('All Statement of strategy (D)'!$C$1=RefData!$B$419,'All Statement of strategy (D)'!$F1396,IF('All Statement of strategy (D)'!$C$1=RefData!$B$420,'All Statement of strategy (D)'!$G1396,IF('All Statement of strategy (D)'!$C$1=RefData!$B$421,'All Statement of strategy (D)'!$H1396," "))))</f>
        <v xml:space="preserve"> </v>
      </c>
    </row>
    <row r="1397" spans="1:9">
      <c r="A1397" s="584" t="s">
        <v>2589</v>
      </c>
      <c r="B1397" s="594" t="str">
        <f ca="1">IF('Reconciliation report'!$E$755=RefData!$B$151,MID('Reconciliation report'!$E$757,2001,1000),"")</f>
        <v/>
      </c>
      <c r="D1397" s="624"/>
      <c r="E1397" s="585" t="str">
        <f ca="1">IF(AND('Reconciliation report'!$E$475&gt;=4,'Reconciliation report'!$E$475&lt;&gt;"",'Reconciliation report'!$E$473=RefData!$B$112),'All Statement of strategy (D)'!$B1397&amp;$C1397,"")</f>
        <v/>
      </c>
      <c r="F1397" s="585" t="str">
        <f ca="1">IF(AND('Reconciliation report'!$E$475&gt;=4,'Reconciliation report'!$E$475&lt;&gt;"",'Reconciliation report'!$E$473=RefData!$B$112),'All Statement of strategy (D)'!$B1397&amp;$C1397,"")</f>
        <v/>
      </c>
      <c r="G1397" s="585" t="str">
        <f>""</f>
        <v/>
      </c>
      <c r="H1397" s="585" t="str">
        <f>""</f>
        <v/>
      </c>
      <c r="I1397" s="595" t="str">
        <f ca="1">IF($C$1=RefData!$B$418,'All Statement of strategy (D)'!$E1397,IF('All Statement of strategy (D)'!$C$1=RefData!$B$419,'All Statement of strategy (D)'!$F1397,IF('All Statement of strategy (D)'!$C$1=RefData!$B$420,'All Statement of strategy (D)'!$G1397,IF('All Statement of strategy (D)'!$C$1=RefData!$B$421,'All Statement of strategy (D)'!$H1397," "))))</f>
        <v xml:space="preserve"> </v>
      </c>
    </row>
    <row r="1398" spans="1:9">
      <c r="A1398" s="584" t="s">
        <v>2589</v>
      </c>
      <c r="B1398" s="594" t="str">
        <f ca="1">IF('Reconciliation report'!$E$755=RefData!$B$151,MID('Reconciliation report'!$E$757,3001,1000),"")</f>
        <v/>
      </c>
      <c r="D1398" s="624"/>
      <c r="E1398" s="585" t="str">
        <f ca="1">IF(AND('Reconciliation report'!$E$475&gt;=4,'Reconciliation report'!$E$475&lt;&gt;"",'Reconciliation report'!$E$473=RefData!$B$112),'All Statement of strategy (D)'!$B1398&amp;$C1398,"")</f>
        <v/>
      </c>
      <c r="F1398" s="585" t="str">
        <f ca="1">IF(AND('Reconciliation report'!$E$475&gt;=4,'Reconciliation report'!$E$475&lt;&gt;"",'Reconciliation report'!$E$473=RefData!$B$112),'All Statement of strategy (D)'!$B1398&amp;$C1398,"")</f>
        <v/>
      </c>
      <c r="G1398" s="585" t="str">
        <f>""</f>
        <v/>
      </c>
      <c r="H1398" s="585" t="str">
        <f>""</f>
        <v/>
      </c>
      <c r="I1398" s="595" t="str">
        <f ca="1">IF($C$1=RefData!$B$418,'All Statement of strategy (D)'!$E1398,IF('All Statement of strategy (D)'!$C$1=RefData!$B$419,'All Statement of strategy (D)'!$F1398,IF('All Statement of strategy (D)'!$C$1=RefData!$B$420,'All Statement of strategy (D)'!$G1398,IF('All Statement of strategy (D)'!$C$1=RefData!$B$421,'All Statement of strategy (D)'!$H1398," "))))</f>
        <v xml:space="preserve"> </v>
      </c>
    </row>
    <row r="1399" spans="1:9">
      <c r="A1399" s="584" t="s">
        <v>2590</v>
      </c>
      <c r="B1399" s="594" t="s">
        <v>2399</v>
      </c>
      <c r="E1399" s="585" t="str">
        <f ca="1">IF(AND('Reconciliation report'!$E$475&gt;=4,'Reconciliation report'!$E$475&lt;&gt;"",'Reconciliation report'!$E$473=RefData!$B$112),'All Statement of strategy (D)'!$B1399&amp;$C1399,"")</f>
        <v/>
      </c>
      <c r="F1399" s="585" t="str">
        <f ca="1">IF(AND('Reconciliation report'!$E$475&gt;=4,'Reconciliation report'!$E$475&lt;&gt;"",'Reconciliation report'!$E$473=RefData!$B$112),'All Statement of strategy (D)'!$B1399&amp;$C1399,"")</f>
        <v/>
      </c>
      <c r="G1399" s="585" t="str">
        <f ca="1">IF(AND('Reconciliation report'!$E$475&gt;=4,'Reconciliation report'!$E$475&lt;&gt;"",'Reconciliation report'!$E$473=RefData!$B$112),'All Statement of strategy (D)'!$B1399&amp;$C1399,"")</f>
        <v/>
      </c>
      <c r="H1399" s="585" t="str">
        <f ca="1">IF(AND('Reconciliation report'!$E$475&gt;=4,'Reconciliation report'!$E$475&lt;&gt;"",'Reconciliation report'!$E$473=RefData!$B$112),'All Statement of strategy (D)'!$B1399&amp;$C1399,"")</f>
        <v/>
      </c>
      <c r="I1399" s="595" t="str">
        <f ca="1">IF($C$1=RefData!$B$418,'All Statement of strategy (D)'!$E1399,IF('All Statement of strategy (D)'!$C$1=RefData!$B$419,'All Statement of strategy (D)'!$F1399,IF('All Statement of strategy (D)'!$C$1=RefData!$B$420,'All Statement of strategy (D)'!$G1399,IF('All Statement of strategy (D)'!$C$1=RefData!$B$421,'All Statement of strategy (D)'!$H1399," "))))</f>
        <v xml:space="preserve"> </v>
      </c>
    </row>
    <row r="1400" spans="1:9">
      <c r="B1400" s="594" t="s">
        <v>2400</v>
      </c>
      <c r="C1400" s="585" t="str">
        <f ca="1">TEXT('Reconciliation report'!$E$758,RefData!$B$425)</f>
        <v/>
      </c>
      <c r="E1400" s="585" t="str">
        <f ca="1">IF(AND('Reconciliation report'!$E$475&gt;=4,'Reconciliation report'!$E$475&lt;&gt;"",'Reconciliation report'!$E$473=RefData!$B$112),'All Statement of strategy (D)'!$B1400&amp;$C1400,"")</f>
        <v/>
      </c>
      <c r="F1400" s="585" t="str">
        <f ca="1">IF(AND('Reconciliation report'!$E$475&gt;=4,'Reconciliation report'!$E$475&lt;&gt;"",'Reconciliation report'!$E$473=RefData!$B$112),'All Statement of strategy (D)'!$B1400&amp;$C1400,"")</f>
        <v/>
      </c>
      <c r="G1400" s="585" t="str">
        <f ca="1">IF(AND('Reconciliation report'!$E$475&gt;=4,'Reconciliation report'!$E$475&lt;&gt;"",'Reconciliation report'!$E$473=RefData!$B$112),'All Statement of strategy (D)'!$B1400&amp;$C1400,"")</f>
        <v/>
      </c>
      <c r="H1400" s="585" t="str">
        <f ca="1">IF(AND('Reconciliation report'!$E$475&gt;=4,'Reconciliation report'!$E$475&lt;&gt;"",'Reconciliation report'!$E$473=RefData!$B$112),'All Statement of strategy (D)'!$B1400&amp;$C1400,"")</f>
        <v/>
      </c>
      <c r="I1400" s="595" t="str">
        <f ca="1">IF($C$1=RefData!$B$418,'All Statement of strategy (D)'!$E1400,IF('All Statement of strategy (D)'!$C$1=RefData!$B$419,'All Statement of strategy (D)'!$F1400,IF('All Statement of strategy (D)'!$C$1=RefData!$B$420,'All Statement of strategy (D)'!$G1400,IF('All Statement of strategy (D)'!$C$1=RefData!$B$421,'All Statement of strategy (D)'!$H1400," "))))</f>
        <v xml:space="preserve"> </v>
      </c>
    </row>
    <row r="1401" spans="1:9">
      <c r="A1401" s="584" t="s">
        <v>2591</v>
      </c>
      <c r="B1401" s="594" t="s">
        <v>2402</v>
      </c>
      <c r="C1401" s="629" t="str">
        <f ca="1">TEXT('Reconciliation report'!$E$759,RefData!$B$424)</f>
        <v/>
      </c>
      <c r="E1401" s="585" t="str">
        <f ca="1">IF(AND('Reconciliation report'!$E$475&gt;=4,'Reconciliation report'!$E$475&lt;&gt;"",'Reconciliation report'!$E$473=RefData!$B$112),'All Statement of strategy (D)'!$B1401&amp;$C1401,"")</f>
        <v/>
      </c>
      <c r="F1401" s="585" t="str">
        <f ca="1">IF(AND('Reconciliation report'!$E$475&gt;=4,'Reconciliation report'!$E$475&lt;&gt;"",'Reconciliation report'!$E$473=RefData!$B$112),'All Statement of strategy (D)'!$B1401&amp;$C1401,"")</f>
        <v/>
      </c>
      <c r="G1401" s="585" t="str">
        <f ca="1">IF(AND('Reconciliation report'!$E$475&gt;=4,'Reconciliation report'!$E$475&lt;&gt;"",'Reconciliation report'!$E$473=RefData!$B$112),'All Statement of strategy (D)'!$B1401&amp;$C1401,"")</f>
        <v/>
      </c>
      <c r="H1401" s="585" t="str">
        <f ca="1">IF(AND('Reconciliation report'!$E$475&gt;=4,'Reconciliation report'!$E$475&lt;&gt;"",'Reconciliation report'!$E$473=RefData!$B$112),'All Statement of strategy (D)'!$B1401&amp;$C1401,"")</f>
        <v/>
      </c>
      <c r="I1401" s="595" t="str">
        <f ca="1">IF($C$1=RefData!$B$418,'All Statement of strategy (D)'!$E1401,IF('All Statement of strategy (D)'!$C$1=RefData!$B$419,'All Statement of strategy (D)'!$F1401,IF('All Statement of strategy (D)'!$C$1=RefData!$B$420,'All Statement of strategy (D)'!$G1401,IF('All Statement of strategy (D)'!$C$1=RefData!$B$421,'All Statement of strategy (D)'!$H1401," "))))</f>
        <v xml:space="preserve"> </v>
      </c>
    </row>
    <row r="1402" spans="1:9">
      <c r="B1402" s="594" t="s">
        <v>2518</v>
      </c>
      <c r="C1402" s="629"/>
      <c r="D1402" s="624"/>
      <c r="E1402" s="585" t="str">
        <f ca="1">IF(AND('Reconciliation report'!$E$475&gt;=4,'Reconciliation report'!$E$475&lt;&gt;"",'Reconciliation report'!$E$473=RefData!$B$112),'All Statement of strategy (D)'!$B1402&amp;$C1402,"")</f>
        <v/>
      </c>
      <c r="F1402" s="585" t="str">
        <f ca="1">IF(AND('Reconciliation report'!$E$475&gt;=4,'Reconciliation report'!$E$475&lt;&gt;"",'Reconciliation report'!$E$473=RefData!$B$112),'All Statement of strategy (D)'!$B1402&amp;$C1402,"")</f>
        <v/>
      </c>
      <c r="G1402" s="585" t="str">
        <f>""</f>
        <v/>
      </c>
      <c r="H1402" s="585" t="str">
        <f>""</f>
        <v/>
      </c>
      <c r="I1402" s="595" t="str">
        <f ca="1">IF($C$1=RefData!$B$418,'All Statement of strategy (D)'!$E1402,IF('All Statement of strategy (D)'!$C$1=RefData!$B$419,'All Statement of strategy (D)'!$F1402,IF('All Statement of strategy (D)'!$C$1=RefData!$B$420,'All Statement of strategy (D)'!$G1402,IF('All Statement of strategy (D)'!$C$1=RefData!$B$421,'All Statement of strategy (D)'!$H1402," "))))</f>
        <v xml:space="preserve"> </v>
      </c>
    </row>
    <row r="1403" spans="1:9">
      <c r="A1403" s="584" t="s">
        <v>2592</v>
      </c>
      <c r="B1403" s="630" t="str">
        <f ca="1">B1402&amp;IF('Reconciliation report'!$E$760=RefData!$B$158,"",'Reconciliation report'!$E$760)</f>
        <v xml:space="preserve">Value cap: </v>
      </c>
      <c r="C1403" s="629"/>
      <c r="D1403" s="624"/>
      <c r="E1403" s="585" t="str">
        <f ca="1">IF(AND('Reconciliation report'!$E$475&gt;=4,'Reconciliation report'!$E$475&lt;&gt;"",'Reconciliation report'!$E$473=RefData!$B$112),'All Statement of strategy (D)'!$B1403&amp;$C1403,"")</f>
        <v/>
      </c>
      <c r="F1403" s="585" t="str">
        <f ca="1">IF(AND('Reconciliation report'!$E$475&gt;=4,'Reconciliation report'!$E$475&lt;&gt;"",'Reconciliation report'!$E$473=RefData!$B$112),'All Statement of strategy (D)'!$B1403&amp;$C1403,"")</f>
        <v/>
      </c>
      <c r="G1403" s="585" t="str">
        <f>""</f>
        <v/>
      </c>
      <c r="H1403" s="585" t="str">
        <f>""</f>
        <v/>
      </c>
      <c r="I1403" s="595" t="str">
        <f ca="1">IF($C$1=RefData!$B$418,'All Statement of strategy (D)'!$E1403,IF('All Statement of strategy (D)'!$C$1=RefData!$B$419,'All Statement of strategy (D)'!$F1403,IF('All Statement of strategy (D)'!$C$1=RefData!$B$420,'All Statement of strategy (D)'!$G1403,IF('All Statement of strategy (D)'!$C$1=RefData!$B$421,'All Statement of strategy (D)'!$H1403," "))))</f>
        <v xml:space="preserve"> </v>
      </c>
    </row>
    <row r="1404" spans="1:9">
      <c r="A1404" s="584" t="s">
        <v>2593</v>
      </c>
      <c r="B1404" s="630" t="str">
        <f ca="1">B1403&amp;IF('Reconciliation report'!$E$760=RefData!$B$158,LEFT('Reconciliation report'!$E$761,1000),"")</f>
        <v xml:space="preserve">Value cap: </v>
      </c>
      <c r="C1404" s="629"/>
      <c r="D1404" s="624"/>
      <c r="E1404" s="585" t="str">
        <f ca="1">IF(AND('Reconciliation report'!$E$475&gt;=4,'Reconciliation report'!$E$475&lt;&gt;"",'Reconciliation report'!$E$473=RefData!$B$112),'All Statement of strategy (D)'!$B1404&amp;$C1404,"")</f>
        <v/>
      </c>
      <c r="F1404" s="585" t="str">
        <f ca="1">IF(AND('Reconciliation report'!$E$475&gt;=4,'Reconciliation report'!$E$475&lt;&gt;"",'Reconciliation report'!$E$473=RefData!$B$112),'All Statement of strategy (D)'!$B1404&amp;$C1404,"")</f>
        <v/>
      </c>
      <c r="G1404" s="585" t="str">
        <f>""</f>
        <v/>
      </c>
      <c r="H1404" s="585" t="str">
        <f>""</f>
        <v/>
      </c>
      <c r="I1404" s="595" t="str">
        <f ca="1">IF($C$1=RefData!$B$418,'All Statement of strategy (D)'!$E1404,IF('All Statement of strategy (D)'!$C$1=RefData!$B$419,'All Statement of strategy (D)'!$F1404,IF('All Statement of strategy (D)'!$C$1=RefData!$B$420,'All Statement of strategy (D)'!$G1404,IF('All Statement of strategy (D)'!$C$1=RefData!$B$421,'All Statement of strategy (D)'!$H1404," "))))</f>
        <v xml:space="preserve"> </v>
      </c>
    </row>
    <row r="1405" spans="1:9">
      <c r="A1405" s="584" t="s">
        <v>2593</v>
      </c>
      <c r="B1405" s="630" t="str">
        <f ca="1">IF('Reconciliation report'!$E$760=RefData!$B$158,MID('Reconciliation report'!$E$761,1001,1000),"")</f>
        <v/>
      </c>
      <c r="C1405" s="629"/>
      <c r="D1405" s="624"/>
      <c r="E1405" s="585" t="str">
        <f ca="1">IF(AND('Reconciliation report'!$E$475&gt;=4,'Reconciliation report'!$E$475&lt;&gt;"",'Reconciliation report'!$E$473=RefData!$B$112),'All Statement of strategy (D)'!$B1405&amp;$C1405,"")</f>
        <v/>
      </c>
      <c r="F1405" s="585" t="str">
        <f ca="1">IF(AND('Reconciliation report'!$E$475&gt;=4,'Reconciliation report'!$E$475&lt;&gt;"",'Reconciliation report'!$E$473=RefData!$B$112),'All Statement of strategy (D)'!$B1405&amp;$C1405,"")</f>
        <v/>
      </c>
      <c r="G1405" s="585" t="str">
        <f>""</f>
        <v/>
      </c>
      <c r="H1405" s="585" t="str">
        <f>""</f>
        <v/>
      </c>
      <c r="I1405" s="595" t="str">
        <f ca="1">IF($C$1=RefData!$B$418,'All Statement of strategy (D)'!$E1405,IF('All Statement of strategy (D)'!$C$1=RefData!$B$419,'All Statement of strategy (D)'!$F1405,IF('All Statement of strategy (D)'!$C$1=RefData!$B$420,'All Statement of strategy (D)'!$G1405,IF('All Statement of strategy (D)'!$C$1=RefData!$B$421,'All Statement of strategy (D)'!$H1405," "))))</f>
        <v xml:space="preserve"> </v>
      </c>
    </row>
    <row r="1406" spans="1:9">
      <c r="A1406" s="584" t="s">
        <v>2593</v>
      </c>
      <c r="B1406" s="630" t="str">
        <f ca="1">IF('Reconciliation report'!$E$760=RefData!$B$158,MID('Reconciliation report'!$E$761,2001,1000),"")</f>
        <v/>
      </c>
      <c r="C1406" s="629"/>
      <c r="D1406" s="624"/>
      <c r="E1406" s="585" t="str">
        <f ca="1">IF(AND('Reconciliation report'!$E$475&gt;=4,'Reconciliation report'!$E$475&lt;&gt;"",'Reconciliation report'!$E$473=RefData!$B$112),'All Statement of strategy (D)'!$B1406&amp;$C1406,"")</f>
        <v/>
      </c>
      <c r="F1406" s="585" t="str">
        <f ca="1">IF(AND('Reconciliation report'!$E$475&gt;=4,'Reconciliation report'!$E$475&lt;&gt;"",'Reconciliation report'!$E$473=RefData!$B$112),'All Statement of strategy (D)'!$B1406&amp;$C1406,"")</f>
        <v/>
      </c>
      <c r="G1406" s="585" t="str">
        <f>""</f>
        <v/>
      </c>
      <c r="H1406" s="585" t="str">
        <f>""</f>
        <v/>
      </c>
      <c r="I1406" s="595" t="str">
        <f ca="1">IF($C$1=RefData!$B$418,'All Statement of strategy (D)'!$E1406,IF('All Statement of strategy (D)'!$C$1=RefData!$B$419,'All Statement of strategy (D)'!$F1406,IF('All Statement of strategy (D)'!$C$1=RefData!$B$420,'All Statement of strategy (D)'!$G1406,IF('All Statement of strategy (D)'!$C$1=RefData!$B$421,'All Statement of strategy (D)'!$H1406," "))))</f>
        <v xml:space="preserve"> </v>
      </c>
    </row>
    <row r="1407" spans="1:9">
      <c r="A1407" s="584" t="s">
        <v>2593</v>
      </c>
      <c r="B1407" s="630" t="str">
        <f ca="1">IF('Reconciliation report'!$E$760=RefData!$B$158,MID('Reconciliation report'!$E$761,3001,1000),"")</f>
        <v/>
      </c>
      <c r="C1407" s="629"/>
      <c r="D1407" s="624"/>
      <c r="E1407" s="585" t="str">
        <f ca="1">IF(AND('Reconciliation report'!$E$475&gt;=4,'Reconciliation report'!$E$475&lt;&gt;"",'Reconciliation report'!$E$473=RefData!$B$112),'All Statement of strategy (D)'!$B1407&amp;$C1407,"")</f>
        <v/>
      </c>
      <c r="F1407" s="585" t="str">
        <f ca="1">IF(AND('Reconciliation report'!$E$475&gt;=4,'Reconciliation report'!$E$475&lt;&gt;"",'Reconciliation report'!$E$473=RefData!$B$112),'All Statement of strategy (D)'!$B1407&amp;$C1407,"")</f>
        <v/>
      </c>
      <c r="G1407" s="585" t="str">
        <f>""</f>
        <v/>
      </c>
      <c r="H1407" s="585" t="str">
        <f>""</f>
        <v/>
      </c>
      <c r="I1407" s="595" t="str">
        <f ca="1">IF($C$1=RefData!$B$418,'All Statement of strategy (D)'!$E1407,IF('All Statement of strategy (D)'!$C$1=RefData!$B$419,'All Statement of strategy (D)'!$F1407,IF('All Statement of strategy (D)'!$C$1=RefData!$B$420,'All Statement of strategy (D)'!$G1407,IF('All Statement of strategy (D)'!$C$1=RefData!$B$421,'All Statement of strategy (D)'!$H1407," "))))</f>
        <v xml:space="preserve"> </v>
      </c>
    </row>
    <row r="1408" spans="1:9">
      <c r="A1408" s="584" t="s">
        <v>2594</v>
      </c>
      <c r="B1408" s="594" t="s">
        <v>2406</v>
      </c>
      <c r="C1408" s="615" t="str">
        <f ca="1">TEXT('Reconciliation report'!$E$762,RefData!$B$425)</f>
        <v/>
      </c>
      <c r="E1408" s="585" t="str">
        <f ca="1">IF(AND('Reconciliation report'!$E$475&gt;=4,'Reconciliation report'!$E$475&lt;&gt;"",'Reconciliation report'!$E$473=RefData!$B$112,'Reconciliation report'!$E$760=RefData!$B$157),'All Statement of strategy (D)'!$B1408&amp;$C1408,"")</f>
        <v/>
      </c>
      <c r="F1408" s="585" t="str">
        <f ca="1">IF(AND('Reconciliation report'!$E$475&gt;=4,'Reconciliation report'!$E$475&lt;&gt;"",'Reconciliation report'!$E$473=RefData!$B$112,'Reconciliation report'!$E$760=RefData!$B$157),'All Statement of strategy (D)'!$B1408&amp;$C1408,"")</f>
        <v/>
      </c>
      <c r="G1408" s="585" t="str">
        <f>""</f>
        <v/>
      </c>
      <c r="H1408" s="585" t="str">
        <f>""</f>
        <v/>
      </c>
      <c r="I1408" s="595" t="str">
        <f ca="1">IF($C$1=RefData!$B$418,'All Statement of strategy (D)'!$E1408,IF('All Statement of strategy (D)'!$C$1=RefData!$B$419,'All Statement of strategy (D)'!$F1408,IF('All Statement of strategy (D)'!$C$1=RefData!$B$420,'All Statement of strategy (D)'!$G1408,IF('All Statement of strategy (D)'!$C$1=RefData!$B$421,'All Statement of strategy (D)'!$H1408," "))))</f>
        <v xml:space="preserve"> </v>
      </c>
    </row>
    <row r="1409" spans="1:9">
      <c r="B1409" s="594" t="s">
        <v>2407</v>
      </c>
      <c r="E1409" s="585" t="str">
        <f ca="1">IF(AND('Reconciliation report'!$E$475&gt;=4,'Reconciliation report'!$E$475&lt;&gt;"",'Reconciliation report'!$E$473=RefData!$B$112),'All Statement of strategy (D)'!$B1409&amp;$C1409,"")</f>
        <v/>
      </c>
      <c r="F1409" s="585" t="str">
        <f ca="1">IF(AND('Reconciliation report'!$E$475&gt;=4,'Reconciliation report'!$E$475&lt;&gt;"",'Reconciliation report'!$E$473=RefData!$B$112),'All Statement of strategy (D)'!$B1409&amp;$C1409,"")</f>
        <v/>
      </c>
      <c r="G1409" s="585" t="str">
        <f>""</f>
        <v/>
      </c>
      <c r="H1409" s="585" t="str">
        <f>""</f>
        <v/>
      </c>
      <c r="I1409" s="595" t="str">
        <f ca="1">IF($C$1=RefData!$B$418,'All Statement of strategy (D)'!$E1409,IF('All Statement of strategy (D)'!$C$1=RefData!$B$419,'All Statement of strategy (D)'!$F1409,IF('All Statement of strategy (D)'!$C$1=RefData!$B$420,'All Statement of strategy (D)'!$G1409,IF('All Statement of strategy (D)'!$C$1=RefData!$B$421,'All Statement of strategy (D)'!$H1409," "))))</f>
        <v xml:space="preserve"> </v>
      </c>
    </row>
    <row r="1410" spans="1:9">
      <c r="A1410" s="584" t="s">
        <v>2595</v>
      </c>
      <c r="B1410" s="594" t="s">
        <v>2409</v>
      </c>
      <c r="C1410" s="615" t="str">
        <f ca="1">'Reconciliation report'!$E$763</f>
        <v/>
      </c>
      <c r="E1410" s="585" t="str">
        <f ca="1">IF(AND('Reconciliation report'!$E$475&gt;=4,'Reconciliation report'!$E$475&lt;&gt;"",'Reconciliation report'!$E$473=RefData!$B$112),'All Statement of strategy (D)'!$B1410&amp;$C1410,"")</f>
        <v/>
      </c>
      <c r="F1410" s="585" t="str">
        <f ca="1">IF(AND('Reconciliation report'!$E$475&gt;=4,'Reconciliation report'!$E$475&lt;&gt;"",'Reconciliation report'!$E$473=RefData!$B$112),'All Statement of strategy (D)'!$B1410&amp;$C1410,"")</f>
        <v/>
      </c>
      <c r="G1410" s="585" t="str">
        <f>""</f>
        <v/>
      </c>
      <c r="H1410" s="585" t="str">
        <f>""</f>
        <v/>
      </c>
      <c r="I1410" s="595" t="str">
        <f ca="1">IF($C$1=RefData!$B$418,'All Statement of strategy (D)'!$E1410,IF('All Statement of strategy (D)'!$C$1=RefData!$B$419,'All Statement of strategy (D)'!$F1410,IF('All Statement of strategy (D)'!$C$1=RefData!$B$420,'All Statement of strategy (D)'!$G1410,IF('All Statement of strategy (D)'!$C$1=RefData!$B$421,'All Statement of strategy (D)'!$H1410," "))))</f>
        <v xml:space="preserve"> </v>
      </c>
    </row>
    <row r="1411" spans="1:9">
      <c r="A1411" s="584" t="s">
        <v>2596</v>
      </c>
      <c r="B1411" s="594" t="s">
        <v>2411</v>
      </c>
      <c r="C1411" s="615" t="str">
        <f ca="1">'Reconciliation report'!$E$764</f>
        <v/>
      </c>
      <c r="E1411" s="585" t="str">
        <f ca="1">IF(AND('Reconciliation report'!$E$475&gt;=4,'Reconciliation report'!$E$475&lt;&gt;"",'Reconciliation report'!$E$473=RefData!$B$112),'All Statement of strategy (D)'!$B1411&amp;$C1411,"")</f>
        <v/>
      </c>
      <c r="F1411" s="585" t="str">
        <f ca="1">IF(AND('Reconciliation report'!$E$475&gt;=4,'Reconciliation report'!$E$475&lt;&gt;"",'Reconciliation report'!$E$473=RefData!$B$112),'All Statement of strategy (D)'!$B1411&amp;$C1411,"")</f>
        <v/>
      </c>
      <c r="G1411" s="585" t="str">
        <f>""</f>
        <v/>
      </c>
      <c r="H1411" s="585" t="str">
        <f>""</f>
        <v/>
      </c>
      <c r="I1411" s="595" t="str">
        <f ca="1">IF($C$1=RefData!$B$418,'All Statement of strategy (D)'!$E1411,IF('All Statement of strategy (D)'!$C$1=RefData!$B$419,'All Statement of strategy (D)'!$F1411,IF('All Statement of strategy (D)'!$C$1=RefData!$B$420,'All Statement of strategy (D)'!$G1411,IF('All Statement of strategy (D)'!$C$1=RefData!$B$421,'All Statement of strategy (D)'!$H1411," "))))</f>
        <v xml:space="preserve"> </v>
      </c>
    </row>
    <row r="1412" spans="1:9">
      <c r="A1412" s="584" t="s">
        <v>2597</v>
      </c>
      <c r="B1412" s="594" t="s">
        <v>2413</v>
      </c>
      <c r="C1412" s="615" t="str">
        <f ca="1">'Reconciliation report'!$E$765</f>
        <v/>
      </c>
      <c r="E1412" s="585" t="str">
        <f ca="1">IF(AND('Reconciliation report'!$E$475&gt;=4,'Reconciliation report'!$E$475&lt;&gt;"",'Reconciliation report'!$E$473=RefData!$B$112),'All Statement of strategy (D)'!$B1412&amp;$C1412,"")</f>
        <v/>
      </c>
      <c r="F1412" s="585" t="str">
        <f ca="1">IF(AND('Reconciliation report'!$E$475&gt;=4,'Reconciliation report'!$E$475&lt;&gt;"",'Reconciliation report'!$E$473=RefData!$B$112),'All Statement of strategy (D)'!$B1412&amp;$C1412,"")</f>
        <v/>
      </c>
      <c r="G1412" s="585" t="str">
        <f>""</f>
        <v/>
      </c>
      <c r="H1412" s="585" t="str">
        <f>""</f>
        <v/>
      </c>
      <c r="I1412" s="595" t="str">
        <f ca="1">IF($C$1=RefData!$B$418,'All Statement of strategy (D)'!$E1412,IF('All Statement of strategy (D)'!$C$1=RefData!$B$419,'All Statement of strategy (D)'!$F1412,IF('All Statement of strategy (D)'!$C$1=RefData!$B$420,'All Statement of strategy (D)'!$G1412,IF('All Statement of strategy (D)'!$C$1=RefData!$B$421,'All Statement of strategy (D)'!$H1412," "))))</f>
        <v xml:space="preserve"> </v>
      </c>
    </row>
    <row r="1413" spans="1:9">
      <c r="A1413" s="584" t="s">
        <v>2598</v>
      </c>
      <c r="B1413" s="594" t="s">
        <v>2415</v>
      </c>
      <c r="C1413" s="615" t="str">
        <f ca="1">'Reconciliation report'!$E$766</f>
        <v/>
      </c>
      <c r="E1413" s="585" t="str">
        <f ca="1">IF(AND('Reconciliation report'!$E$475&gt;=4,'Reconciliation report'!$E$475&lt;&gt;"",'Reconciliation report'!$E$473=RefData!$B$112),'All Statement of strategy (D)'!$B1413&amp;$C1413,"")</f>
        <v/>
      </c>
      <c r="F1413" s="585" t="str">
        <f ca="1">IF(AND('Reconciliation report'!$E$475&gt;=4,'Reconciliation report'!$E$475&lt;&gt;"",'Reconciliation report'!$E$473=RefData!$B$112),'All Statement of strategy (D)'!$B1413&amp;$C1413,"")</f>
        <v/>
      </c>
      <c r="G1413" s="585" t="str">
        <f>""</f>
        <v/>
      </c>
      <c r="H1413" s="585" t="str">
        <f>""</f>
        <v/>
      </c>
      <c r="I1413" s="595" t="str">
        <f ca="1">IF($C$1=RefData!$B$418,'All Statement of strategy (D)'!$E1413,IF('All Statement of strategy (D)'!$C$1=RefData!$B$419,'All Statement of strategy (D)'!$F1413,IF('All Statement of strategy (D)'!$C$1=RefData!$B$420,'All Statement of strategy (D)'!$G1413,IF('All Statement of strategy (D)'!$C$1=RefData!$B$421,'All Statement of strategy (D)'!$H1413," "))))</f>
        <v xml:space="preserve"> </v>
      </c>
    </row>
    <row r="1414" spans="1:9">
      <c r="A1414" s="584" t="s">
        <v>2599</v>
      </c>
      <c r="B1414" s="594" t="str">
        <f ca="1">IF('Reconciliation report'!$E$767=RefData!$B$159,LEFT('Reconciliation report'!$E$768,1000),"")</f>
        <v/>
      </c>
      <c r="E1414" s="585" t="str">
        <f ca="1">IF(AND('Reconciliation report'!$E$475&gt;=4,'Reconciliation report'!$E$475&lt;&gt;"",'Reconciliation report'!$E$473=RefData!$B$112),'All Statement of strategy (D)'!$B1414&amp;$C1414,"")</f>
        <v/>
      </c>
      <c r="F1414" s="585" t="str">
        <f ca="1">IF(AND('Reconciliation report'!$E$475&gt;=4,'Reconciliation report'!$E$475&lt;&gt;"",'Reconciliation report'!$E$473=RefData!$B$112),'All Statement of strategy (D)'!$B1414&amp;$C1414,"")</f>
        <v/>
      </c>
      <c r="G1414" s="585" t="str">
        <f>""</f>
        <v/>
      </c>
      <c r="H1414" s="585" t="str">
        <f>""</f>
        <v/>
      </c>
      <c r="I1414" s="595" t="str">
        <f ca="1">IF($C$1=RefData!$B$418,'All Statement of strategy (D)'!$E1414,IF('All Statement of strategy (D)'!$C$1=RefData!$B$419,'All Statement of strategy (D)'!$F1414,IF('All Statement of strategy (D)'!$C$1=RefData!$B$420,'All Statement of strategy (D)'!$G1414,IF('All Statement of strategy (D)'!$C$1=RefData!$B$421,'All Statement of strategy (D)'!$H1414," "))))</f>
        <v xml:space="preserve"> </v>
      </c>
    </row>
    <row r="1415" spans="1:9">
      <c r="A1415" s="584" t="s">
        <v>2599</v>
      </c>
      <c r="B1415" s="594" t="str">
        <f ca="1">IF('Reconciliation report'!$E$767=RefData!$B$159,MID('Reconciliation report'!$E$768,1001,1000),"")</f>
        <v/>
      </c>
      <c r="E1415" s="585" t="str">
        <f ca="1">IF(AND('Reconciliation report'!$E$475&gt;=4,'Reconciliation report'!$E$475&lt;&gt;"",'Reconciliation report'!$E$473=RefData!$B$112),'All Statement of strategy (D)'!$B1415&amp;$C1415,"")</f>
        <v/>
      </c>
      <c r="F1415" s="585" t="str">
        <f ca="1">IF(AND('Reconciliation report'!$E$475&gt;=4,'Reconciliation report'!$E$475&lt;&gt;"",'Reconciliation report'!$E$473=RefData!$B$112),'All Statement of strategy (D)'!$B1415&amp;$C1415,"")</f>
        <v/>
      </c>
      <c r="G1415" s="585" t="str">
        <f>""</f>
        <v/>
      </c>
      <c r="H1415" s="585" t="str">
        <f>""</f>
        <v/>
      </c>
      <c r="I1415" s="595" t="str">
        <f ca="1">IF($C$1=RefData!$B$418,'All Statement of strategy (D)'!$E1415,IF('All Statement of strategy (D)'!$C$1=RefData!$B$419,'All Statement of strategy (D)'!$F1415,IF('All Statement of strategy (D)'!$C$1=RefData!$B$420,'All Statement of strategy (D)'!$G1415,IF('All Statement of strategy (D)'!$C$1=RefData!$B$421,'All Statement of strategy (D)'!$H1415," "))))</f>
        <v xml:space="preserve"> </v>
      </c>
    </row>
    <row r="1416" spans="1:9">
      <c r="A1416" s="584" t="s">
        <v>2599</v>
      </c>
      <c r="B1416" s="594" t="str">
        <f ca="1">IF('Reconciliation report'!$E$767=RefData!$B$159,MID('Reconciliation report'!$E$768,2001,1000),"")</f>
        <v/>
      </c>
      <c r="E1416" s="585" t="str">
        <f ca="1">IF(AND('Reconciliation report'!$E$475&gt;=4,'Reconciliation report'!$E$475&lt;&gt;"",'Reconciliation report'!$E$473=RefData!$B$112),'All Statement of strategy (D)'!$B1416&amp;$C1416,"")</f>
        <v/>
      </c>
      <c r="F1416" s="585" t="str">
        <f ca="1">IF(AND('Reconciliation report'!$E$475&gt;=4,'Reconciliation report'!$E$475&lt;&gt;"",'Reconciliation report'!$E$473=RefData!$B$112),'All Statement of strategy (D)'!$B1416&amp;$C1416,"")</f>
        <v/>
      </c>
      <c r="G1416" s="585" t="str">
        <f>""</f>
        <v/>
      </c>
      <c r="H1416" s="585" t="str">
        <f>""</f>
        <v/>
      </c>
      <c r="I1416" s="595" t="str">
        <f ca="1">IF($C$1=RefData!$B$418,'All Statement of strategy (D)'!$E1416,IF('All Statement of strategy (D)'!$C$1=RefData!$B$419,'All Statement of strategy (D)'!$F1416,IF('All Statement of strategy (D)'!$C$1=RefData!$B$420,'All Statement of strategy (D)'!$G1416,IF('All Statement of strategy (D)'!$C$1=RefData!$B$421,'All Statement of strategy (D)'!$H1416," "))))</f>
        <v xml:space="preserve"> </v>
      </c>
    </row>
    <row r="1417" spans="1:9">
      <c r="A1417" s="584" t="s">
        <v>2599</v>
      </c>
      <c r="B1417" s="594" t="str">
        <f ca="1">IF('Reconciliation report'!$E$767=RefData!$B$159,MID('Reconciliation report'!$E$768,3001,1000),"")</f>
        <v/>
      </c>
      <c r="E1417" s="585" t="str">
        <f ca="1">IF(AND('Reconciliation report'!$E$475&gt;=4,'Reconciliation report'!$E$475&lt;&gt;"",'Reconciliation report'!$E$473=RefData!$B$112),'All Statement of strategy (D)'!$B1417&amp;$C1417,"")</f>
        <v/>
      </c>
      <c r="F1417" s="585" t="str">
        <f ca="1">IF(AND('Reconciliation report'!$E$475&gt;=4,'Reconciliation report'!$E$475&lt;&gt;"",'Reconciliation report'!$E$473=RefData!$B$112),'All Statement of strategy (D)'!$B1417&amp;$C1417,"")</f>
        <v/>
      </c>
      <c r="G1417" s="585" t="str">
        <f>""</f>
        <v/>
      </c>
      <c r="H1417" s="585" t="str">
        <f>""</f>
        <v/>
      </c>
      <c r="I1417" s="595" t="str">
        <f ca="1">IF($C$1=RefData!$B$418,'All Statement of strategy (D)'!$E1417,IF('All Statement of strategy (D)'!$C$1=RefData!$B$419,'All Statement of strategy (D)'!$F1417,IF('All Statement of strategy (D)'!$C$1=RefData!$B$420,'All Statement of strategy (D)'!$G1417,IF('All Statement of strategy (D)'!$C$1=RefData!$B$421,'All Statement of strategy (D)'!$H1417," "))))</f>
        <v xml:space="preserve"> </v>
      </c>
    </row>
    <row r="1418" spans="1:9">
      <c r="B1418" s="594" t="s">
        <v>2417</v>
      </c>
      <c r="C1418" s="615"/>
      <c r="E1418" s="585" t="str">
        <f ca="1">IF(AND('Reconciliation report'!$E$475&gt;=4,'Reconciliation report'!$E$475&lt;&gt;"",'Reconciliation report'!$E$473=RefData!$B$112),'All Statement of strategy (D)'!$B1418&amp;$C1418,"")</f>
        <v/>
      </c>
      <c r="F1418" s="585" t="str">
        <f ca="1">IF(AND('Reconciliation report'!$E$475&gt;=4,'Reconciliation report'!$E$475&lt;&gt;"",'Reconciliation report'!$E$473=RefData!$B$112),'All Statement of strategy (D)'!$B1418&amp;$C1418,"")</f>
        <v/>
      </c>
      <c r="G1418" s="585" t="str">
        <f>""</f>
        <v/>
      </c>
      <c r="H1418" s="585" t="str">
        <f>""</f>
        <v/>
      </c>
      <c r="I1418" s="595" t="str">
        <f ca="1">IF($C$1=RefData!$B$418,'All Statement of strategy (D)'!$E1418,IF('All Statement of strategy (D)'!$C$1=RefData!$B$419,'All Statement of strategy (D)'!$F1418,IF('All Statement of strategy (D)'!$C$1=RefData!$B$420,'All Statement of strategy (D)'!$G1418,IF('All Statement of strategy (D)'!$C$1=RefData!$B$421,'All Statement of strategy (D)'!$H1418," "))))</f>
        <v xml:space="preserve"> </v>
      </c>
    </row>
    <row r="1419" spans="1:9">
      <c r="A1419" s="584" t="s">
        <v>2600</v>
      </c>
      <c r="B1419" s="621" t="str">
        <f ca="1">B1418&amp;LEFT('Reconciliation report'!$E$769,1000)</f>
        <v xml:space="preserve">Triggers for termination: </v>
      </c>
      <c r="C1419" s="615"/>
      <c r="E1419" s="585" t="str">
        <f ca="1">IF(AND('Reconciliation report'!$E$475&gt;=4,'Reconciliation report'!$E$475&lt;&gt;"",'Reconciliation report'!$E$473=RefData!$B$112),'All Statement of strategy (D)'!$B1419&amp;$C1419,"")</f>
        <v/>
      </c>
      <c r="F1419" s="585" t="str">
        <f ca="1">IF(AND('Reconciliation report'!$E$475&gt;=4,'Reconciliation report'!$E$475&lt;&gt;"",'Reconciliation report'!$E$473=RefData!$B$112),'All Statement of strategy (D)'!$B1419&amp;$C1419,"")</f>
        <v/>
      </c>
      <c r="G1419" s="585" t="str">
        <f>""</f>
        <v/>
      </c>
      <c r="H1419" s="585" t="str">
        <f>""</f>
        <v/>
      </c>
      <c r="I1419" s="595" t="str">
        <f ca="1">IF($C$1=RefData!$B$418,'All Statement of strategy (D)'!$E1419,IF('All Statement of strategy (D)'!$C$1=RefData!$B$419,'All Statement of strategy (D)'!$F1419,IF('All Statement of strategy (D)'!$C$1=RefData!$B$420,'All Statement of strategy (D)'!$G1419,IF('All Statement of strategy (D)'!$C$1=RefData!$B$421,'All Statement of strategy (D)'!$H1419," "))))</f>
        <v xml:space="preserve"> </v>
      </c>
    </row>
    <row r="1420" spans="1:9">
      <c r="A1420" s="584" t="s">
        <v>2600</v>
      </c>
      <c r="B1420" s="621" t="str">
        <f ca="1">MID('Reconciliation report'!$E$769,1001,1000)</f>
        <v/>
      </c>
      <c r="C1420" s="615"/>
      <c r="E1420" s="585" t="str">
        <f ca="1">IF(AND('Reconciliation report'!$E$475&gt;=4,'Reconciliation report'!$E$475&lt;&gt;"",'Reconciliation report'!$E$473=RefData!$B$112),'All Statement of strategy (D)'!$B1420&amp;$C1420,"")</f>
        <v/>
      </c>
      <c r="F1420" s="585" t="str">
        <f ca="1">IF(AND('Reconciliation report'!$E$475&gt;=4,'Reconciliation report'!$E$475&lt;&gt;"",'Reconciliation report'!$E$473=RefData!$B$112),'All Statement of strategy (D)'!$B1420&amp;$C1420,"")</f>
        <v/>
      </c>
      <c r="G1420" s="585" t="str">
        <f>""</f>
        <v/>
      </c>
      <c r="H1420" s="585" t="str">
        <f>""</f>
        <v/>
      </c>
      <c r="I1420" s="595" t="str">
        <f ca="1">IF($C$1=RefData!$B$418,'All Statement of strategy (D)'!$E1420,IF('All Statement of strategy (D)'!$C$1=RefData!$B$419,'All Statement of strategy (D)'!$F1420,IF('All Statement of strategy (D)'!$C$1=RefData!$B$420,'All Statement of strategy (D)'!$G1420,IF('All Statement of strategy (D)'!$C$1=RefData!$B$421,'All Statement of strategy (D)'!$H1420," "))))</f>
        <v xml:space="preserve"> </v>
      </c>
    </row>
    <row r="1421" spans="1:9">
      <c r="A1421" s="584" t="s">
        <v>2600</v>
      </c>
      <c r="B1421" s="621" t="str">
        <f ca="1">MID('Reconciliation report'!$E$769,2001,1000)</f>
        <v/>
      </c>
      <c r="C1421" s="615"/>
      <c r="E1421" s="585" t="str">
        <f ca="1">IF(AND('Reconciliation report'!$E$475&gt;=4,'Reconciliation report'!$E$475&lt;&gt;"",'Reconciliation report'!$E$473=RefData!$B$112),'All Statement of strategy (D)'!$B1421&amp;$C1421,"")</f>
        <v/>
      </c>
      <c r="F1421" s="585" t="str">
        <f ca="1">IF(AND('Reconciliation report'!$E$475&gt;=4,'Reconciliation report'!$E$475&lt;&gt;"",'Reconciliation report'!$E$473=RefData!$B$112),'All Statement of strategy (D)'!$B1421&amp;$C1421,"")</f>
        <v/>
      </c>
      <c r="G1421" s="585" t="str">
        <f>""</f>
        <v/>
      </c>
      <c r="H1421" s="585" t="str">
        <f>""</f>
        <v/>
      </c>
      <c r="I1421" s="595" t="str">
        <f ca="1">IF($C$1=RefData!$B$418,'All Statement of strategy (D)'!$E1421,IF('All Statement of strategy (D)'!$C$1=RefData!$B$419,'All Statement of strategy (D)'!$F1421,IF('All Statement of strategy (D)'!$C$1=RefData!$B$420,'All Statement of strategy (D)'!$G1421,IF('All Statement of strategy (D)'!$C$1=RefData!$B$421,'All Statement of strategy (D)'!$H1421," "))))</f>
        <v xml:space="preserve"> </v>
      </c>
    </row>
    <row r="1422" spans="1:9" ht="16" thickBot="1">
      <c r="A1422" s="584" t="s">
        <v>2600</v>
      </c>
      <c r="B1422" s="622" t="str">
        <f ca="1">MID('Reconciliation report'!$E$769,3001,1000)</f>
        <v/>
      </c>
      <c r="C1422" s="625"/>
      <c r="D1422" s="598"/>
      <c r="E1422" s="598" t="str">
        <f ca="1">IF(AND('Reconciliation report'!$E$475&gt;=4,'Reconciliation report'!$E$475&lt;&gt;"",'Reconciliation report'!$E$473=RefData!$B$112),'All Statement of strategy (D)'!$B1422&amp;$C1422,"")</f>
        <v/>
      </c>
      <c r="F1422" s="598" t="str">
        <f ca="1">IF(AND('Reconciliation report'!$E$475&gt;=4,'Reconciliation report'!$E$475&lt;&gt;"",'Reconciliation report'!$E$473=RefData!$B$112),'All Statement of strategy (D)'!$B1422&amp;$C1422,"")</f>
        <v/>
      </c>
      <c r="G1422" s="598" t="str">
        <f>""</f>
        <v/>
      </c>
      <c r="H1422" s="598" t="str">
        <f>""</f>
        <v/>
      </c>
      <c r="I1422" s="599" t="str">
        <f ca="1">IF($C$1=RefData!$B$418,'All Statement of strategy (D)'!$E1422,IF('All Statement of strategy (D)'!$C$1=RefData!$B$419,'All Statement of strategy (D)'!$F1422,IF('All Statement of strategy (D)'!$C$1=RefData!$B$420,'All Statement of strategy (D)'!$G1422,IF('All Statement of strategy (D)'!$C$1=RefData!$B$421,'All Statement of strategy (D)'!$H1422," "))))</f>
        <v xml:space="preserve"> </v>
      </c>
    </row>
    <row r="1423" spans="1:9">
      <c r="B1423" s="621" t="s">
        <v>2601</v>
      </c>
      <c r="C1423" s="615"/>
      <c r="E1423" s="585" t="str">
        <f ca="1">IF(AND('Reconciliation report'!$E$475&gt;=5,'Reconciliation report'!$E$475&lt;&gt;"",'Reconciliation report'!$E$473=RefData!$B$112),'All Statement of strategy (D)'!$B1423&amp;$C1423,"")</f>
        <v/>
      </c>
      <c r="F1423" s="585" t="str">
        <f ca="1">IF(AND('Reconciliation report'!$E$475&gt;=5,'Reconciliation report'!$E$475&lt;&gt;"",'Reconciliation report'!$E$473=RefData!$B$112),'All Statement of strategy (D)'!$B1423&amp;$C1423,"")</f>
        <v/>
      </c>
      <c r="G1423" s="585" t="str">
        <f ca="1">IF(AND('Reconciliation report'!$E$475&gt;=5,'Reconciliation report'!$E$475&lt;&gt;"",'Reconciliation report'!$E$473=RefData!$B$112),'All Statement of strategy (D)'!$B1423&amp;$C1423,"")</f>
        <v/>
      </c>
      <c r="H1423" s="585" t="str">
        <f ca="1">IF(AND('Reconciliation report'!$E$475&gt;=5,'Reconciliation report'!$E$475&lt;&gt;"",'Reconciliation report'!$E$473=RefData!$B$112),'All Statement of strategy (D)'!$B1423&amp;$C1423,"")</f>
        <v/>
      </c>
      <c r="I1423" s="595" t="str">
        <f ca="1">IF($C$1=RefData!$B$418,'All Statement of strategy (D)'!$E1423,IF('All Statement of strategy (D)'!$C$1=RefData!$B$419,'All Statement of strategy (D)'!$F1423,IF('All Statement of strategy (D)'!$C$1=RefData!$B$420,'All Statement of strategy (D)'!$G1423,IF('All Statement of strategy (D)'!$C$1=RefData!$B$421,'All Statement of strategy (D)'!$H1423," "))))</f>
        <v xml:space="preserve"> </v>
      </c>
    </row>
    <row r="1424" spans="1:9">
      <c r="A1424" s="604"/>
      <c r="B1424" s="594" t="s">
        <v>2566</v>
      </c>
      <c r="C1424" s="615"/>
      <c r="D1424" s="624"/>
      <c r="E1424" s="585" t="str">
        <f ca="1">IF(AND('Reconciliation report'!$E$475&gt;=5,'Reconciliation report'!$E$475&lt;&gt;"",'Reconciliation report'!$E$473=RefData!$B$112),'All Statement of strategy (D)'!$B1424&amp;$C1424,"")</f>
        <v/>
      </c>
      <c r="F1424" s="585" t="str">
        <f ca="1">IF(AND('Reconciliation report'!$E$475&gt;=5,'Reconciliation report'!$E$475&lt;&gt;"",'Reconciliation report'!$E$473=RefData!$B$112),'All Statement of strategy (D)'!$B1424&amp;$C1424,"")</f>
        <v/>
      </c>
      <c r="G1424" s="585" t="str">
        <f ca="1">IF(AND('Reconciliation report'!$E$475&gt;=5,'Reconciliation report'!$E$475&lt;&gt;"",'Reconciliation report'!$E$473=RefData!$B$112),'All Statement of strategy (D)'!$B1424&amp;$C1424,"")</f>
        <v/>
      </c>
      <c r="H1424" s="585" t="str">
        <f ca="1">IF(AND('Reconciliation report'!$E$475&gt;=5,'Reconciliation report'!$E$475&lt;&gt;"",'Reconciliation report'!$E$473=RefData!$B$112),'All Statement of strategy (D)'!$B1424&amp;$C1424,"")</f>
        <v/>
      </c>
      <c r="I1424" s="595" t="str">
        <f ca="1">IF($C$1=RefData!$B$418,'All Statement of strategy (D)'!$E1424,IF('All Statement of strategy (D)'!$C$1=RefData!$B$419,'All Statement of strategy (D)'!$F1424,IF('All Statement of strategy (D)'!$C$1=RefData!$B$420,'All Statement of strategy (D)'!$G1424,IF('All Statement of strategy (D)'!$C$1=RefData!$B$421,'All Statement of strategy (D)'!$H1424," "))))</f>
        <v xml:space="preserve"> </v>
      </c>
    </row>
    <row r="1425" spans="1:9">
      <c r="A1425" s="584" t="s">
        <v>2602</v>
      </c>
      <c r="B1425" s="621" t="str">
        <f ca="1">B1424&amp;IF('Reconciliation report'!$E$770=RefData!$B$148,"",'Reconciliation report'!$E$770)</f>
        <v xml:space="preserve">Type of security: </v>
      </c>
      <c r="C1425" s="615"/>
      <c r="D1425" s="624"/>
      <c r="E1425" s="585" t="str">
        <f ca="1">IF(AND('Reconciliation report'!$E$475&gt;=5,'Reconciliation report'!$E$475&lt;&gt;"",'Reconciliation report'!$E$473=RefData!$B$112),'All Statement of strategy (D)'!$B1425&amp;$C1425,"")</f>
        <v/>
      </c>
      <c r="F1425" s="585" t="str">
        <f ca="1">IF(AND('Reconciliation report'!$E$475&gt;=5,'Reconciliation report'!$E$475&lt;&gt;"",'Reconciliation report'!$E$473=RefData!$B$112),'All Statement of strategy (D)'!$B1425&amp;$C1425,"")</f>
        <v/>
      </c>
      <c r="G1425" s="585" t="str">
        <f ca="1">IF(AND('Reconciliation report'!$E$475&gt;=5,'Reconciliation report'!$E$475&lt;&gt;"",'Reconciliation report'!$E$473=RefData!$B$112),'All Statement of strategy (D)'!$B1425&amp;$C1425,"")</f>
        <v/>
      </c>
      <c r="H1425" s="585" t="str">
        <f ca="1">IF(AND('Reconciliation report'!$E$475&gt;=5,'Reconciliation report'!$E$475&lt;&gt;"",'Reconciliation report'!$E$473=RefData!$B$112),'All Statement of strategy (D)'!$B1425&amp;$C1425,"")</f>
        <v/>
      </c>
      <c r="I1425" s="595" t="str">
        <f ca="1">IF($C$1=RefData!$B$418,'All Statement of strategy (D)'!$E1425,IF('All Statement of strategy (D)'!$C$1=RefData!$B$419,'All Statement of strategy (D)'!$F1425,IF('All Statement of strategy (D)'!$C$1=RefData!$B$420,'All Statement of strategy (D)'!$G1425,IF('All Statement of strategy (D)'!$C$1=RefData!$B$421,'All Statement of strategy (D)'!$H1425," "))))</f>
        <v xml:space="preserve"> </v>
      </c>
    </row>
    <row r="1426" spans="1:9">
      <c r="B1426" s="594" t="s">
        <v>2549</v>
      </c>
      <c r="C1426" s="615"/>
      <c r="D1426" s="624"/>
      <c r="E1426" s="585" t="str">
        <f ca="1">IF(AND('Reconciliation report'!$E$475&gt;=5,'Reconciliation report'!$E$475&lt;&gt;"",'Reconciliation report'!$E$473=RefData!$B$112),'All Statement of strategy (D)'!$B1426&amp;$C1426,"")</f>
        <v/>
      </c>
      <c r="F1426" s="585" t="str">
        <f ca="1">IF(AND('Reconciliation report'!$E$475&gt;=5,'Reconciliation report'!$E$475&lt;&gt;"",'Reconciliation report'!$E$473=RefData!$B$112),'All Statement of strategy (D)'!$B1426&amp;$C1426,"")</f>
        <v/>
      </c>
      <c r="G1426" s="585" t="str">
        <f ca="1">IF(AND('Reconciliation report'!$E$475&gt;=5,'Reconciliation report'!$E$475&lt;&gt;"",'Reconciliation report'!$E$473=RefData!$B$112),'All Statement of strategy (D)'!$B1426&amp;$C1426,"")</f>
        <v/>
      </c>
      <c r="H1426" s="585" t="str">
        <f ca="1">IF(AND('Reconciliation report'!$E$475&gt;=5,'Reconciliation report'!$E$475&lt;&gt;"",'Reconciliation report'!$E$473=RefData!$B$112),'All Statement of strategy (D)'!$B1426&amp;$C1426,"")</f>
        <v/>
      </c>
      <c r="I1426" s="595" t="str">
        <f ca="1">IF($C$1=RefData!$B$418,'All Statement of strategy (D)'!$E1426,IF('All Statement of strategy (D)'!$C$1=RefData!$B$419,'All Statement of strategy (D)'!$F1426,IF('All Statement of strategy (D)'!$C$1=RefData!$B$420,'All Statement of strategy (D)'!$G1426,IF('All Statement of strategy (D)'!$C$1=RefData!$B$421,'All Statement of strategy (D)'!$H1426," "))))</f>
        <v xml:space="preserve"> </v>
      </c>
    </row>
    <row r="1427" spans="1:9">
      <c r="A1427" s="584" t="s">
        <v>2603</v>
      </c>
      <c r="B1427" s="621" t="str">
        <f ca="1">B1426&amp;LEFT('Reconciliation report'!$E$771,1000)</f>
        <v xml:space="preserve">Provide specific details of the underlying asset: </v>
      </c>
      <c r="C1427" s="615"/>
      <c r="D1427" s="624"/>
      <c r="E1427" s="585" t="str">
        <f ca="1">IF(AND('Reconciliation report'!$E$475&gt;=5,'Reconciliation report'!$E$475&lt;&gt;"",'Reconciliation report'!$E$473=RefData!$B$112),'All Statement of strategy (D)'!$B1427&amp;$C1427,"")</f>
        <v/>
      </c>
      <c r="F1427" s="585" t="str">
        <f ca="1">IF(AND('Reconciliation report'!$E$475&gt;=5,'Reconciliation report'!$E$475&lt;&gt;"",'Reconciliation report'!$E$473=RefData!$B$112),'All Statement of strategy (D)'!$B1427&amp;$C1427,"")</f>
        <v/>
      </c>
      <c r="G1427" s="585" t="str">
        <f ca="1">IF(AND('Reconciliation report'!$E$475&gt;=5,'Reconciliation report'!$E$475&lt;&gt;"",'Reconciliation report'!$E$473=RefData!$B$112),'All Statement of strategy (D)'!$B1427&amp;$C1427,"")</f>
        <v/>
      </c>
      <c r="H1427" s="585" t="str">
        <f ca="1">IF(AND('Reconciliation report'!$E$475&gt;=5,'Reconciliation report'!$E$475&lt;&gt;"",'Reconciliation report'!$E$473=RefData!$B$112),'All Statement of strategy (D)'!$B1427&amp;$C1427,"")</f>
        <v/>
      </c>
      <c r="I1427" s="595" t="str">
        <f ca="1">IF($C$1=RefData!$B$418,'All Statement of strategy (D)'!$E1427,IF('All Statement of strategy (D)'!$C$1=RefData!$B$419,'All Statement of strategy (D)'!$F1427,IF('All Statement of strategy (D)'!$C$1=RefData!$B$420,'All Statement of strategy (D)'!$G1427,IF('All Statement of strategy (D)'!$C$1=RefData!$B$421,'All Statement of strategy (D)'!$H1427," "))))</f>
        <v xml:space="preserve"> </v>
      </c>
    </row>
    <row r="1428" spans="1:9">
      <c r="A1428" s="584" t="s">
        <v>2603</v>
      </c>
      <c r="B1428" s="621" t="str">
        <f ca="1">MID('Reconciliation report'!$E$771,1001,1000)</f>
        <v/>
      </c>
      <c r="C1428" s="615"/>
      <c r="D1428" s="624"/>
      <c r="E1428" s="585" t="str">
        <f ca="1">IF(AND('Reconciliation report'!$E$475&gt;=5,'Reconciliation report'!$E$475&lt;&gt;"",'Reconciliation report'!$E$473=RefData!$B$112),'All Statement of strategy (D)'!$B1428&amp;$C1428,"")</f>
        <v/>
      </c>
      <c r="F1428" s="585" t="str">
        <f ca="1">IF(AND('Reconciliation report'!$E$475&gt;=5,'Reconciliation report'!$E$475&lt;&gt;"",'Reconciliation report'!$E$473=RefData!$B$112),'All Statement of strategy (D)'!$B1428&amp;$C1428,"")</f>
        <v/>
      </c>
      <c r="G1428" s="585" t="str">
        <f ca="1">IF(AND('Reconciliation report'!$E$475&gt;=5,'Reconciliation report'!$E$475&lt;&gt;"",'Reconciliation report'!$E$473=RefData!$B$112),'All Statement of strategy (D)'!$B1428&amp;$C1428,"")</f>
        <v/>
      </c>
      <c r="H1428" s="585" t="str">
        <f ca="1">IF(AND('Reconciliation report'!$E$475&gt;=5,'Reconciliation report'!$E$475&lt;&gt;"",'Reconciliation report'!$E$473=RefData!$B$112),'All Statement of strategy (D)'!$B1428&amp;$C1428,"")</f>
        <v/>
      </c>
      <c r="I1428" s="595" t="str">
        <f ca="1">IF($C$1=RefData!$B$418,'All Statement of strategy (D)'!$E1428,IF('All Statement of strategy (D)'!$C$1=RefData!$B$419,'All Statement of strategy (D)'!$F1428,IF('All Statement of strategy (D)'!$C$1=RefData!$B$420,'All Statement of strategy (D)'!$G1428,IF('All Statement of strategy (D)'!$C$1=RefData!$B$421,'All Statement of strategy (D)'!$H1428," "))))</f>
        <v xml:space="preserve"> </v>
      </c>
    </row>
    <row r="1429" spans="1:9">
      <c r="A1429" s="584" t="s">
        <v>2603</v>
      </c>
      <c r="B1429" s="621" t="str">
        <f ca="1">MID('Reconciliation report'!$E$771,2001,1000)</f>
        <v/>
      </c>
      <c r="C1429" s="615"/>
      <c r="D1429" s="624"/>
      <c r="E1429" s="585" t="str">
        <f ca="1">IF(AND('Reconciliation report'!$E$475&gt;=5,'Reconciliation report'!$E$475&lt;&gt;"",'Reconciliation report'!$E$473=RefData!$B$112),'All Statement of strategy (D)'!$B1429&amp;$C1429,"")</f>
        <v/>
      </c>
      <c r="F1429" s="585" t="str">
        <f ca="1">IF(AND('Reconciliation report'!$E$475&gt;=5,'Reconciliation report'!$E$475&lt;&gt;"",'Reconciliation report'!$E$473=RefData!$B$112),'All Statement of strategy (D)'!$B1429&amp;$C1429,"")</f>
        <v/>
      </c>
      <c r="G1429" s="585" t="str">
        <f ca="1">IF(AND('Reconciliation report'!$E$475&gt;=5,'Reconciliation report'!$E$475&lt;&gt;"",'Reconciliation report'!$E$473=RefData!$B$112),'All Statement of strategy (D)'!$B1429&amp;$C1429,"")</f>
        <v/>
      </c>
      <c r="H1429" s="585" t="str">
        <f ca="1">IF(AND('Reconciliation report'!$E$475&gt;=5,'Reconciliation report'!$E$475&lt;&gt;"",'Reconciliation report'!$E$473=RefData!$B$112),'All Statement of strategy (D)'!$B1429&amp;$C1429,"")</f>
        <v/>
      </c>
      <c r="I1429" s="595" t="str">
        <f ca="1">IF($C$1=RefData!$B$418,'All Statement of strategy (D)'!$E1429,IF('All Statement of strategy (D)'!$C$1=RefData!$B$419,'All Statement of strategy (D)'!$F1429,IF('All Statement of strategy (D)'!$C$1=RefData!$B$420,'All Statement of strategy (D)'!$G1429,IF('All Statement of strategy (D)'!$C$1=RefData!$B$421,'All Statement of strategy (D)'!$H1429," "))))</f>
        <v xml:space="preserve"> </v>
      </c>
    </row>
    <row r="1430" spans="1:9">
      <c r="A1430" s="584" t="s">
        <v>2603</v>
      </c>
      <c r="B1430" s="621" t="str">
        <f ca="1">MID('Reconciliation report'!$E$771,3001,1000)</f>
        <v/>
      </c>
      <c r="C1430" s="615"/>
      <c r="D1430" s="624"/>
      <c r="E1430" s="585" t="str">
        <f ca="1">IF(AND('Reconciliation report'!$E$475&gt;=5,'Reconciliation report'!$E$475&lt;&gt;"",'Reconciliation report'!$E$473=RefData!$B$112),'All Statement of strategy (D)'!$B1430&amp;$C1430,"")</f>
        <v/>
      </c>
      <c r="F1430" s="585" t="str">
        <f ca="1">IF(AND('Reconciliation report'!$E$475&gt;=5,'Reconciliation report'!$E$475&lt;&gt;"",'Reconciliation report'!$E$473=RefData!$B$112),'All Statement of strategy (D)'!$B1430&amp;$C1430,"")</f>
        <v/>
      </c>
      <c r="G1430" s="585" t="str">
        <f ca="1">IF(AND('Reconciliation report'!$E$475&gt;=5,'Reconciliation report'!$E$475&lt;&gt;"",'Reconciliation report'!$E$473=RefData!$B$112),'All Statement of strategy (D)'!$B1430&amp;$C1430,"")</f>
        <v/>
      </c>
      <c r="H1430" s="585" t="str">
        <f ca="1">IF(AND('Reconciliation report'!$E$475&gt;=5,'Reconciliation report'!$E$475&lt;&gt;"",'Reconciliation report'!$E$473=RefData!$B$112),'All Statement of strategy (D)'!$B1430&amp;$C1430,"")</f>
        <v/>
      </c>
      <c r="I1430" s="595" t="str">
        <f ca="1">IF($C$1=RefData!$B$418,'All Statement of strategy (D)'!$E1430,IF('All Statement of strategy (D)'!$C$1=RefData!$B$419,'All Statement of strategy (D)'!$F1430,IF('All Statement of strategy (D)'!$C$1=RefData!$B$420,'All Statement of strategy (D)'!$G1430,IF('All Statement of strategy (D)'!$C$1=RefData!$B$421,'All Statement of strategy (D)'!$H1430," "))))</f>
        <v xml:space="preserve"> </v>
      </c>
    </row>
    <row r="1431" spans="1:9">
      <c r="A1431" s="604"/>
      <c r="B1431" s="594" t="s">
        <v>2532</v>
      </c>
      <c r="D1431" s="624"/>
      <c r="E1431" s="585" t="str">
        <f ca="1">IF(AND('Reconciliation report'!$E$475&gt;=5,'Reconciliation report'!$E$475&lt;&gt;"",'Reconciliation report'!$E$473=RefData!$B$112),'All Statement of strategy (D)'!$B1431&amp;$C1431,"")</f>
        <v/>
      </c>
      <c r="F1431" s="585" t="str">
        <f ca="1">IF(AND('Reconciliation report'!$E$475&gt;=5,'Reconciliation report'!$E$475&lt;&gt;"",'Reconciliation report'!$E$473=RefData!$B$112),'All Statement of strategy (D)'!$B1431&amp;$C1431,"")</f>
        <v/>
      </c>
      <c r="G1431" s="585" t="str">
        <f>""</f>
        <v/>
      </c>
      <c r="H1431" s="585" t="str">
        <f>""</f>
        <v/>
      </c>
      <c r="I1431" s="595" t="str">
        <f ca="1">IF($C$1=RefData!$B$418,'All Statement of strategy (D)'!$E1431,IF('All Statement of strategy (D)'!$C$1=RefData!$B$419,'All Statement of strategy (D)'!$F1431,IF('All Statement of strategy (D)'!$C$1=RefData!$B$420,'All Statement of strategy (D)'!$G1431,IF('All Statement of strategy (D)'!$C$1=RefData!$B$421,'All Statement of strategy (D)'!$H1431," "))))</f>
        <v xml:space="preserve"> </v>
      </c>
    </row>
    <row r="1432" spans="1:9">
      <c r="A1432" s="584" t="s">
        <v>2604</v>
      </c>
      <c r="B1432" s="594" t="str">
        <f ca="1">B1431&amp;IF('Reconciliation report'!$E$772=RefData!$B$149,'Reconciliation report'!$E$772,"")</f>
        <v xml:space="preserve">Type of maturity: </v>
      </c>
      <c r="D1432" s="624"/>
      <c r="E1432" s="585" t="str">
        <f ca="1">IF(AND('Reconciliation report'!$E$475&gt;=5,'Reconciliation report'!$E$475&lt;&gt;"",'Reconciliation report'!$E$473=RefData!$B$112),'All Statement of strategy (D)'!$B1432&amp;$C1432,"")</f>
        <v/>
      </c>
      <c r="F1432" s="585" t="str">
        <f ca="1">IF(AND('Reconciliation report'!$E$475&gt;=5,'Reconciliation report'!$E$475&lt;&gt;"",'Reconciliation report'!$E$473=RefData!$B$112),'All Statement of strategy (D)'!$B1432&amp;$C1432,"")</f>
        <v/>
      </c>
      <c r="G1432" s="585" t="str">
        <f>""</f>
        <v/>
      </c>
      <c r="H1432" s="585" t="str">
        <f>""</f>
        <v/>
      </c>
      <c r="I1432" s="595" t="str">
        <f ca="1">IF($C$1=RefData!$B$418,'All Statement of strategy (D)'!$E1432,IF('All Statement of strategy (D)'!$C$1=RefData!$B$419,'All Statement of strategy (D)'!$F1432,IF('All Statement of strategy (D)'!$C$1=RefData!$B$420,'All Statement of strategy (D)'!$G1432,IF('All Statement of strategy (D)'!$C$1=RefData!$B$421,'All Statement of strategy (D)'!$H1432," "))))</f>
        <v xml:space="preserve"> </v>
      </c>
    </row>
    <row r="1433" spans="1:9">
      <c r="A1433" s="584" t="s">
        <v>2605</v>
      </c>
      <c r="B1433" s="594" t="str">
        <f ca="1">B1432&amp;IF('Reconciliation report'!$E$772=RefData!$B$150,"Fixed expiry with a maturity date of "&amp;TEXT('Reconciliation report'!$E$773,RefData!$B$424),"")</f>
        <v xml:space="preserve">Type of maturity: </v>
      </c>
      <c r="D1433" s="624"/>
      <c r="E1433" s="585" t="str">
        <f ca="1">IF(AND('Reconciliation report'!$E$475&gt;=5,'Reconciliation report'!$E$475&lt;&gt;"",'Reconciliation report'!$E$473=RefData!$B$112),'All Statement of strategy (D)'!$B1433&amp;$C1433,"")</f>
        <v/>
      </c>
      <c r="F1433" s="585" t="str">
        <f ca="1">IF(AND('Reconciliation report'!$E$475&gt;=5,'Reconciliation report'!$E$475&lt;&gt;"",'Reconciliation report'!$E$473=RefData!$B$112),'All Statement of strategy (D)'!$B1433&amp;$C1433,"")</f>
        <v/>
      </c>
      <c r="G1433" s="585" t="str">
        <f>""</f>
        <v/>
      </c>
      <c r="H1433" s="585" t="str">
        <f>""</f>
        <v/>
      </c>
      <c r="I1433" s="595" t="str">
        <f ca="1">IF($C$1=RefData!$B$418,'All Statement of strategy (D)'!$E1433,IF('All Statement of strategy (D)'!$C$1=RefData!$B$419,'All Statement of strategy (D)'!$F1433,IF('All Statement of strategy (D)'!$C$1=RefData!$B$420,'All Statement of strategy (D)'!$G1433,IF('All Statement of strategy (D)'!$C$1=RefData!$B$421,'All Statement of strategy (D)'!$H1433," "))))</f>
        <v xml:space="preserve"> </v>
      </c>
    </row>
    <row r="1434" spans="1:9">
      <c r="A1434" s="584" t="s">
        <v>2606</v>
      </c>
      <c r="B1434" s="594" t="str">
        <f ca="1">B1433&amp;IF('Reconciliation report'!$E$772=RefData!$B$151,LEFT('Reconciliation report'!$E$774,1000),"")</f>
        <v xml:space="preserve">Type of maturity: </v>
      </c>
      <c r="D1434" s="624"/>
      <c r="E1434" s="585" t="str">
        <f ca="1">IF(AND('Reconciliation report'!$E$475&gt;=5,'Reconciliation report'!$E$475&lt;&gt;"",'Reconciliation report'!$E$473=RefData!$B$112),'All Statement of strategy (D)'!$B1434&amp;$C1434,"")</f>
        <v/>
      </c>
      <c r="F1434" s="585" t="str">
        <f ca="1">IF(AND('Reconciliation report'!$E$475&gt;=5,'Reconciliation report'!$E$475&lt;&gt;"",'Reconciliation report'!$E$473=RefData!$B$112),'All Statement of strategy (D)'!$B1434&amp;$C1434,"")</f>
        <v/>
      </c>
      <c r="G1434" s="585" t="str">
        <f>""</f>
        <v/>
      </c>
      <c r="H1434" s="585" t="str">
        <f>""</f>
        <v/>
      </c>
      <c r="I1434" s="595" t="str">
        <f ca="1">IF($C$1=RefData!$B$418,'All Statement of strategy (D)'!$E1434,IF('All Statement of strategy (D)'!$C$1=RefData!$B$419,'All Statement of strategy (D)'!$F1434,IF('All Statement of strategy (D)'!$C$1=RefData!$B$420,'All Statement of strategy (D)'!$G1434,IF('All Statement of strategy (D)'!$C$1=RefData!$B$421,'All Statement of strategy (D)'!$H1434," "))))</f>
        <v xml:space="preserve"> </v>
      </c>
    </row>
    <row r="1435" spans="1:9">
      <c r="A1435" s="584" t="s">
        <v>2606</v>
      </c>
      <c r="B1435" s="594" t="str">
        <f ca="1">IF('Reconciliation report'!$E$772=RefData!$B$151,MID('Reconciliation report'!$E$774,1001,1000),"")</f>
        <v/>
      </c>
      <c r="D1435" s="624"/>
      <c r="E1435" s="585" t="str">
        <f ca="1">IF(AND('Reconciliation report'!$E$475&gt;=5,'Reconciliation report'!$E$475&lt;&gt;"",'Reconciliation report'!$E$473=RefData!$B$112),'All Statement of strategy (D)'!$B1435&amp;$C1435,"")</f>
        <v/>
      </c>
      <c r="F1435" s="585" t="str">
        <f ca="1">IF(AND('Reconciliation report'!$E$475&gt;=5,'Reconciliation report'!$E$475&lt;&gt;"",'Reconciliation report'!$E$473=RefData!$B$112),'All Statement of strategy (D)'!$B1435&amp;$C1435,"")</f>
        <v/>
      </c>
      <c r="G1435" s="585" t="str">
        <f>""</f>
        <v/>
      </c>
      <c r="H1435" s="585" t="str">
        <f>""</f>
        <v/>
      </c>
      <c r="I1435" s="595" t="str">
        <f ca="1">IF($C$1=RefData!$B$418,'All Statement of strategy (D)'!$E1435,IF('All Statement of strategy (D)'!$C$1=RefData!$B$419,'All Statement of strategy (D)'!$F1435,IF('All Statement of strategy (D)'!$C$1=RefData!$B$420,'All Statement of strategy (D)'!$G1435,IF('All Statement of strategy (D)'!$C$1=RefData!$B$421,'All Statement of strategy (D)'!$H1435," "))))</f>
        <v xml:space="preserve"> </v>
      </c>
    </row>
    <row r="1436" spans="1:9">
      <c r="A1436" s="584" t="s">
        <v>2606</v>
      </c>
      <c r="B1436" s="594" t="str">
        <f ca="1">IF('Reconciliation report'!$E$772=RefData!$B$151,MID('Reconciliation report'!$E$774,2001,1000),"")</f>
        <v/>
      </c>
      <c r="D1436" s="624"/>
      <c r="E1436" s="585" t="str">
        <f ca="1">IF(AND('Reconciliation report'!$E$475&gt;=5,'Reconciliation report'!$E$475&lt;&gt;"",'Reconciliation report'!$E$473=RefData!$B$112),'All Statement of strategy (D)'!$B1436&amp;$C1436,"")</f>
        <v/>
      </c>
      <c r="F1436" s="585" t="str">
        <f ca="1">IF(AND('Reconciliation report'!$E$475&gt;=5,'Reconciliation report'!$E$475&lt;&gt;"",'Reconciliation report'!$E$473=RefData!$B$112),'All Statement of strategy (D)'!$B1436&amp;$C1436,"")</f>
        <v/>
      </c>
      <c r="G1436" s="585" t="str">
        <f>""</f>
        <v/>
      </c>
      <c r="H1436" s="585" t="str">
        <f>""</f>
        <v/>
      </c>
      <c r="I1436" s="595" t="str">
        <f ca="1">IF($C$1=RefData!$B$418,'All Statement of strategy (D)'!$E1436,IF('All Statement of strategy (D)'!$C$1=RefData!$B$419,'All Statement of strategy (D)'!$F1436,IF('All Statement of strategy (D)'!$C$1=RefData!$B$420,'All Statement of strategy (D)'!$G1436,IF('All Statement of strategy (D)'!$C$1=RefData!$B$421,'All Statement of strategy (D)'!$H1436," "))))</f>
        <v xml:space="preserve"> </v>
      </c>
    </row>
    <row r="1437" spans="1:9">
      <c r="A1437" s="584" t="s">
        <v>2606</v>
      </c>
      <c r="B1437" s="594" t="str">
        <f ca="1">IF('Reconciliation report'!$E$772=RefData!$B$151,MID('Reconciliation report'!$E$774,3001,1000),"")</f>
        <v/>
      </c>
      <c r="D1437" s="624"/>
      <c r="E1437" s="585" t="str">
        <f ca="1">IF(AND('Reconciliation report'!$E$475&gt;=5,'Reconciliation report'!$E$475&lt;&gt;"",'Reconciliation report'!$E$473=RefData!$B$112),'All Statement of strategy (D)'!$B1437&amp;$C1437,"")</f>
        <v/>
      </c>
      <c r="F1437" s="585" t="str">
        <f ca="1">IF(AND('Reconciliation report'!$E$475&gt;=5,'Reconciliation report'!$E$475&lt;&gt;"",'Reconciliation report'!$E$473=RefData!$B$112),'All Statement of strategy (D)'!$B1437&amp;$C1437,"")</f>
        <v/>
      </c>
      <c r="G1437" s="585" t="str">
        <f>""</f>
        <v/>
      </c>
      <c r="H1437" s="585" t="str">
        <f>""</f>
        <v/>
      </c>
      <c r="I1437" s="595" t="str">
        <f ca="1">IF($C$1=RefData!$B$418,'All Statement of strategy (D)'!$E1437,IF('All Statement of strategy (D)'!$C$1=RefData!$B$419,'All Statement of strategy (D)'!$F1437,IF('All Statement of strategy (D)'!$C$1=RefData!$B$420,'All Statement of strategy (D)'!$G1437,IF('All Statement of strategy (D)'!$C$1=RefData!$B$421,'All Statement of strategy (D)'!$H1437," "))))</f>
        <v xml:space="preserve"> </v>
      </c>
    </row>
    <row r="1438" spans="1:9">
      <c r="A1438" s="584" t="s">
        <v>2607</v>
      </c>
      <c r="B1438" s="594" t="s">
        <v>2399</v>
      </c>
      <c r="E1438" s="585" t="str">
        <f ca="1">IF(AND('Reconciliation report'!$E$475&gt;=5,'Reconciliation report'!$E$475&lt;&gt;"",'Reconciliation report'!$E$473=RefData!$B$112),'All Statement of strategy (D)'!$B1438&amp;$C1438,"")</f>
        <v/>
      </c>
      <c r="F1438" s="585" t="str">
        <f ca="1">IF(AND('Reconciliation report'!$E$475&gt;=5,'Reconciliation report'!$E$475&lt;&gt;"",'Reconciliation report'!$E$473=RefData!$B$112),'All Statement of strategy (D)'!$B1438&amp;$C1438,"")</f>
        <v/>
      </c>
      <c r="G1438" s="585" t="str">
        <f ca="1">IF(AND('Reconciliation report'!$E$475&gt;=5,'Reconciliation report'!$E$475&lt;&gt;"",'Reconciliation report'!$E$473=RefData!$B$112),'All Statement of strategy (D)'!$B1438&amp;$C1438,"")</f>
        <v/>
      </c>
      <c r="H1438" s="585" t="str">
        <f ca="1">IF(AND('Reconciliation report'!$E$475&gt;=5,'Reconciliation report'!$E$475&lt;&gt;"",'Reconciliation report'!$E$473=RefData!$B$112),'All Statement of strategy (D)'!$B1438&amp;$C1438,"")</f>
        <v/>
      </c>
      <c r="I1438" s="595" t="str">
        <f ca="1">IF($C$1=RefData!$B$418,'All Statement of strategy (D)'!$E1438,IF('All Statement of strategy (D)'!$C$1=RefData!$B$419,'All Statement of strategy (D)'!$F1438,IF('All Statement of strategy (D)'!$C$1=RefData!$B$420,'All Statement of strategy (D)'!$G1438,IF('All Statement of strategy (D)'!$C$1=RefData!$B$421,'All Statement of strategy (D)'!$H1438," "))))</f>
        <v xml:space="preserve"> </v>
      </c>
    </row>
    <row r="1439" spans="1:9">
      <c r="B1439" s="594" t="s">
        <v>2400</v>
      </c>
      <c r="C1439" s="585" t="str">
        <f ca="1">TEXT('Reconciliation report'!$E$775,RefData!$B$425)</f>
        <v/>
      </c>
      <c r="E1439" s="585" t="str">
        <f ca="1">IF(AND('Reconciliation report'!$E$475&gt;=5,'Reconciliation report'!$E$475&lt;&gt;"",'Reconciliation report'!$E$473=RefData!$B$112),'All Statement of strategy (D)'!$B1439&amp;$C1439,"")</f>
        <v/>
      </c>
      <c r="F1439" s="585" t="str">
        <f ca="1">IF(AND('Reconciliation report'!$E$475&gt;=5,'Reconciliation report'!$E$475&lt;&gt;"",'Reconciliation report'!$E$473=RefData!$B$112),'All Statement of strategy (D)'!$B1439&amp;$C1439,"")</f>
        <v/>
      </c>
      <c r="G1439" s="585" t="str">
        <f ca="1">IF(AND('Reconciliation report'!$E$475&gt;=5,'Reconciliation report'!$E$475&lt;&gt;"",'Reconciliation report'!$E$473=RefData!$B$112),'All Statement of strategy (D)'!$B1439&amp;$C1439,"")</f>
        <v/>
      </c>
      <c r="H1439" s="585" t="str">
        <f ca="1">IF(AND('Reconciliation report'!$E$475&gt;=5,'Reconciliation report'!$E$475&lt;&gt;"",'Reconciliation report'!$E$473=RefData!$B$112),'All Statement of strategy (D)'!$B1439&amp;$C1439,"")</f>
        <v/>
      </c>
      <c r="I1439" s="595" t="str">
        <f ca="1">IF($C$1=RefData!$B$418,'All Statement of strategy (D)'!$E1439,IF('All Statement of strategy (D)'!$C$1=RefData!$B$419,'All Statement of strategy (D)'!$F1439,IF('All Statement of strategy (D)'!$C$1=RefData!$B$420,'All Statement of strategy (D)'!$G1439,IF('All Statement of strategy (D)'!$C$1=RefData!$B$421,'All Statement of strategy (D)'!$H1439," "))))</f>
        <v xml:space="preserve"> </v>
      </c>
    </row>
    <row r="1440" spans="1:9">
      <c r="A1440" s="584" t="s">
        <v>2608</v>
      </c>
      <c r="B1440" s="594" t="s">
        <v>2402</v>
      </c>
      <c r="C1440" s="629" t="str">
        <f ca="1">TEXT('Reconciliation report'!$E$776,RefData!$B$424)</f>
        <v/>
      </c>
      <c r="E1440" s="585" t="str">
        <f ca="1">IF(AND('Reconciliation report'!$E$475&gt;=5,'Reconciliation report'!$E$475&lt;&gt;"",'Reconciliation report'!$E$473=RefData!$B$112),'All Statement of strategy (D)'!$B1440&amp;$C1440,"")</f>
        <v/>
      </c>
      <c r="F1440" s="585" t="str">
        <f ca="1">IF(AND('Reconciliation report'!$E$475&gt;=5,'Reconciliation report'!$E$475&lt;&gt;"",'Reconciliation report'!$E$473=RefData!$B$112),'All Statement of strategy (D)'!$B1440&amp;$C1440,"")</f>
        <v/>
      </c>
      <c r="G1440" s="585" t="str">
        <f ca="1">IF(AND('Reconciliation report'!$E$475&gt;=5,'Reconciliation report'!$E$475&lt;&gt;"",'Reconciliation report'!$E$473=RefData!$B$112),'All Statement of strategy (D)'!$B1440&amp;$C1440,"")</f>
        <v/>
      </c>
      <c r="H1440" s="585" t="str">
        <f ca="1">IF(AND('Reconciliation report'!$E$475&gt;=5,'Reconciliation report'!$E$475&lt;&gt;"",'Reconciliation report'!$E$473=RefData!$B$112),'All Statement of strategy (D)'!$B1440&amp;$C1440,"")</f>
        <v/>
      </c>
      <c r="I1440" s="595" t="str">
        <f ca="1">IF($C$1=RefData!$B$418,'All Statement of strategy (D)'!$E1440,IF('All Statement of strategy (D)'!$C$1=RefData!$B$419,'All Statement of strategy (D)'!$F1440,IF('All Statement of strategy (D)'!$C$1=RefData!$B$420,'All Statement of strategy (D)'!$G1440,IF('All Statement of strategy (D)'!$C$1=RefData!$B$421,'All Statement of strategy (D)'!$H1440," "))))</f>
        <v xml:space="preserve"> </v>
      </c>
    </row>
    <row r="1441" spans="1:9">
      <c r="A1441" s="604"/>
      <c r="B1441" s="594" t="s">
        <v>2518</v>
      </c>
      <c r="C1441" s="629"/>
      <c r="D1441" s="624"/>
      <c r="E1441" s="585" t="str">
        <f ca="1">IF(AND('Reconciliation report'!$E$475&gt;=5,'Reconciliation report'!$E$475&lt;&gt;"",'Reconciliation report'!$E$473=RefData!$B$112),'All Statement of strategy (D)'!$B1441&amp;$C1441,"")</f>
        <v/>
      </c>
      <c r="F1441" s="585" t="str">
        <f ca="1">IF(AND('Reconciliation report'!$E$475&gt;=5,'Reconciliation report'!$E$475&lt;&gt;"",'Reconciliation report'!$E$473=RefData!$B$112),'All Statement of strategy (D)'!$B1441&amp;$C1441,"")</f>
        <v/>
      </c>
      <c r="G1441" s="585" t="str">
        <f>""</f>
        <v/>
      </c>
      <c r="H1441" s="585" t="str">
        <f>""</f>
        <v/>
      </c>
      <c r="I1441" s="595" t="str">
        <f ca="1">IF($C$1=RefData!$B$418,'All Statement of strategy (D)'!$E1441,IF('All Statement of strategy (D)'!$C$1=RefData!$B$419,'All Statement of strategy (D)'!$F1441,IF('All Statement of strategy (D)'!$C$1=RefData!$B$420,'All Statement of strategy (D)'!$G1441,IF('All Statement of strategy (D)'!$C$1=RefData!$B$421,'All Statement of strategy (D)'!$H1441," "))))</f>
        <v xml:space="preserve"> </v>
      </c>
    </row>
    <row r="1442" spans="1:9">
      <c r="A1442" s="584" t="s">
        <v>2609</v>
      </c>
      <c r="B1442" s="630" t="str">
        <f ca="1">B1441&amp;IF('Reconciliation report'!$E$777=RefData!$B$158,"",'Reconciliation report'!$E$777)</f>
        <v xml:space="preserve">Value cap: </v>
      </c>
      <c r="C1442" s="629"/>
      <c r="D1442" s="624"/>
      <c r="E1442" s="585" t="str">
        <f ca="1">IF(AND('Reconciliation report'!$E$475&gt;=5,'Reconciliation report'!$E$475&lt;&gt;"",'Reconciliation report'!$E$473=RefData!$B$112),'All Statement of strategy (D)'!$B1442&amp;$C1442,"")</f>
        <v/>
      </c>
      <c r="F1442" s="585" t="str">
        <f ca="1">IF(AND('Reconciliation report'!$E$475&gt;=5,'Reconciliation report'!$E$475&lt;&gt;"",'Reconciliation report'!$E$473=RefData!$B$112),'All Statement of strategy (D)'!$B1442&amp;$C1442,"")</f>
        <v/>
      </c>
      <c r="G1442" s="585" t="str">
        <f>""</f>
        <v/>
      </c>
      <c r="H1442" s="585" t="str">
        <f>""</f>
        <v/>
      </c>
      <c r="I1442" s="595" t="str">
        <f ca="1">IF($C$1=RefData!$B$418,'All Statement of strategy (D)'!$E1442,IF('All Statement of strategy (D)'!$C$1=RefData!$B$419,'All Statement of strategy (D)'!$F1442,IF('All Statement of strategy (D)'!$C$1=RefData!$B$420,'All Statement of strategy (D)'!$G1442,IF('All Statement of strategy (D)'!$C$1=RefData!$B$421,'All Statement of strategy (D)'!$H1442," "))))</f>
        <v xml:space="preserve"> </v>
      </c>
    </row>
    <row r="1443" spans="1:9">
      <c r="A1443" s="584" t="s">
        <v>2610</v>
      </c>
      <c r="B1443" s="630" t="str">
        <f ca="1">B1442&amp;IF('Reconciliation report'!$E$777=RefData!$B$158,LEFT('Reconciliation report'!$E$778,1000),"")</f>
        <v xml:space="preserve">Value cap: </v>
      </c>
      <c r="C1443" s="629"/>
      <c r="D1443" s="624"/>
      <c r="E1443" s="585" t="str">
        <f ca="1">IF(AND('Reconciliation report'!$E$475&gt;=5,'Reconciliation report'!$E$475&lt;&gt;"",'Reconciliation report'!$E$473=RefData!$B$112),'All Statement of strategy (D)'!$B1443&amp;$C1443,"")</f>
        <v/>
      </c>
      <c r="F1443" s="585" t="str">
        <f ca="1">IF(AND('Reconciliation report'!$E$475&gt;=5,'Reconciliation report'!$E$475&lt;&gt;"",'Reconciliation report'!$E$473=RefData!$B$112),'All Statement of strategy (D)'!$B1443&amp;$C1443,"")</f>
        <v/>
      </c>
      <c r="G1443" s="585" t="str">
        <f>""</f>
        <v/>
      </c>
      <c r="H1443" s="585" t="str">
        <f>""</f>
        <v/>
      </c>
      <c r="I1443" s="595" t="str">
        <f ca="1">IF($C$1=RefData!$B$418,'All Statement of strategy (D)'!$E1443,IF('All Statement of strategy (D)'!$C$1=RefData!$B$419,'All Statement of strategy (D)'!$F1443,IF('All Statement of strategy (D)'!$C$1=RefData!$B$420,'All Statement of strategy (D)'!$G1443,IF('All Statement of strategy (D)'!$C$1=RefData!$B$421,'All Statement of strategy (D)'!$H1443," "))))</f>
        <v xml:space="preserve"> </v>
      </c>
    </row>
    <row r="1444" spans="1:9">
      <c r="A1444" s="584" t="s">
        <v>2610</v>
      </c>
      <c r="B1444" s="630" t="str">
        <f ca="1">IF('Reconciliation report'!$E$777=RefData!$B$158,MID('Reconciliation report'!$E$778,1001,1000),"")</f>
        <v/>
      </c>
      <c r="C1444" s="629"/>
      <c r="D1444" s="624"/>
      <c r="E1444" s="585" t="str">
        <f ca="1">IF(AND('Reconciliation report'!$E$475&gt;=5,'Reconciliation report'!$E$475&lt;&gt;"",'Reconciliation report'!$E$473=RefData!$B$112),'All Statement of strategy (D)'!$B1444&amp;$C1444,"")</f>
        <v/>
      </c>
      <c r="F1444" s="585" t="str">
        <f ca="1">IF(AND('Reconciliation report'!$E$475&gt;=5,'Reconciliation report'!$E$475&lt;&gt;"",'Reconciliation report'!$E$473=RefData!$B$112),'All Statement of strategy (D)'!$B1444&amp;$C1444,"")</f>
        <v/>
      </c>
      <c r="G1444" s="585" t="str">
        <f>""</f>
        <v/>
      </c>
      <c r="H1444" s="585" t="str">
        <f>""</f>
        <v/>
      </c>
      <c r="I1444" s="595" t="str">
        <f ca="1">IF($C$1=RefData!$B$418,'All Statement of strategy (D)'!$E1444,IF('All Statement of strategy (D)'!$C$1=RefData!$B$419,'All Statement of strategy (D)'!$F1444,IF('All Statement of strategy (D)'!$C$1=RefData!$B$420,'All Statement of strategy (D)'!$G1444,IF('All Statement of strategy (D)'!$C$1=RefData!$B$421,'All Statement of strategy (D)'!$H1444," "))))</f>
        <v xml:space="preserve"> </v>
      </c>
    </row>
    <row r="1445" spans="1:9">
      <c r="A1445" s="584" t="s">
        <v>2610</v>
      </c>
      <c r="B1445" s="630" t="str">
        <f ca="1">IF('Reconciliation report'!$E$777=RefData!$B$158,MID('Reconciliation report'!$E$778,2001,1000),"")</f>
        <v/>
      </c>
      <c r="C1445" s="629"/>
      <c r="D1445" s="624"/>
      <c r="E1445" s="585" t="str">
        <f ca="1">IF(AND('Reconciliation report'!$E$475&gt;=5,'Reconciliation report'!$E$475&lt;&gt;"",'Reconciliation report'!$E$473=RefData!$B$112),'All Statement of strategy (D)'!$B1445&amp;$C1445,"")</f>
        <v/>
      </c>
      <c r="F1445" s="585" t="str">
        <f ca="1">IF(AND('Reconciliation report'!$E$475&gt;=5,'Reconciliation report'!$E$475&lt;&gt;"",'Reconciliation report'!$E$473=RefData!$B$112),'All Statement of strategy (D)'!$B1445&amp;$C1445,"")</f>
        <v/>
      </c>
      <c r="G1445" s="585" t="str">
        <f>""</f>
        <v/>
      </c>
      <c r="H1445" s="585" t="str">
        <f>""</f>
        <v/>
      </c>
      <c r="I1445" s="595" t="str">
        <f ca="1">IF($C$1=RefData!$B$418,'All Statement of strategy (D)'!$E1445,IF('All Statement of strategy (D)'!$C$1=RefData!$B$419,'All Statement of strategy (D)'!$F1445,IF('All Statement of strategy (D)'!$C$1=RefData!$B$420,'All Statement of strategy (D)'!$G1445,IF('All Statement of strategy (D)'!$C$1=RefData!$B$421,'All Statement of strategy (D)'!$H1445," "))))</f>
        <v xml:space="preserve"> </v>
      </c>
    </row>
    <row r="1446" spans="1:9">
      <c r="A1446" s="584" t="s">
        <v>2610</v>
      </c>
      <c r="B1446" s="630" t="str">
        <f ca="1">IF('Reconciliation report'!$E$777=RefData!$B$158,MID('Reconciliation report'!$E$778,3001,1000),"")</f>
        <v/>
      </c>
      <c r="C1446" s="629"/>
      <c r="D1446" s="624"/>
      <c r="E1446" s="585" t="str">
        <f ca="1">IF(AND('Reconciliation report'!$E$475&gt;=5,'Reconciliation report'!$E$475&lt;&gt;"",'Reconciliation report'!$E$473=RefData!$B$112),'All Statement of strategy (D)'!$B1446&amp;$C1446,"")</f>
        <v/>
      </c>
      <c r="F1446" s="585" t="str">
        <f ca="1">IF(AND('Reconciliation report'!$E$475&gt;=5,'Reconciliation report'!$E$475&lt;&gt;"",'Reconciliation report'!$E$473=RefData!$B$112),'All Statement of strategy (D)'!$B1446&amp;$C1446,"")</f>
        <v/>
      </c>
      <c r="G1446" s="585" t="str">
        <f>""</f>
        <v/>
      </c>
      <c r="H1446" s="585" t="str">
        <f>""</f>
        <v/>
      </c>
      <c r="I1446" s="595" t="str">
        <f ca="1">IF($C$1=RefData!$B$418,'All Statement of strategy (D)'!$E1446,IF('All Statement of strategy (D)'!$C$1=RefData!$B$419,'All Statement of strategy (D)'!$F1446,IF('All Statement of strategy (D)'!$C$1=RefData!$B$420,'All Statement of strategy (D)'!$G1446,IF('All Statement of strategy (D)'!$C$1=RefData!$B$421,'All Statement of strategy (D)'!$H1446," "))))</f>
        <v xml:space="preserve"> </v>
      </c>
    </row>
    <row r="1447" spans="1:9">
      <c r="A1447" s="584" t="s">
        <v>2611</v>
      </c>
      <c r="B1447" s="594" t="s">
        <v>2406</v>
      </c>
      <c r="C1447" s="615" t="str">
        <f ca="1">TEXT('Reconciliation report'!$E$779,RefData!$B$425)</f>
        <v/>
      </c>
      <c r="E1447" s="585" t="str">
        <f ca="1">IF(AND('Reconciliation report'!$E$475&gt;=5,'Reconciliation report'!$E$475&lt;&gt;"",'Reconciliation report'!$E$473=RefData!$B$112,'Reconciliation report'!$E$777=RefData!$B$157),'All Statement of strategy (D)'!$B1447&amp;$C1447,"")</f>
        <v/>
      </c>
      <c r="F1447" s="585" t="str">
        <f ca="1">IF(AND('Reconciliation report'!$E$475&gt;=5,'Reconciliation report'!$E$475&lt;&gt;"",'Reconciliation report'!$E$473=RefData!$B$112,'Reconciliation report'!$E$777=RefData!$B$157),'All Statement of strategy (D)'!$B1447&amp;$C1447,"")</f>
        <v/>
      </c>
      <c r="G1447" s="585" t="str">
        <f>""</f>
        <v/>
      </c>
      <c r="H1447" s="585" t="str">
        <f>""</f>
        <v/>
      </c>
      <c r="I1447" s="595" t="str">
        <f ca="1">IF($C$1=RefData!$B$418,'All Statement of strategy (D)'!$E1447,IF('All Statement of strategy (D)'!$C$1=RefData!$B$419,'All Statement of strategy (D)'!$F1447,IF('All Statement of strategy (D)'!$C$1=RefData!$B$420,'All Statement of strategy (D)'!$G1447,IF('All Statement of strategy (D)'!$C$1=RefData!$B$421,'All Statement of strategy (D)'!$H1447," "))))</f>
        <v xml:space="preserve"> </v>
      </c>
    </row>
    <row r="1448" spans="1:9">
      <c r="B1448" s="594" t="s">
        <v>2407</v>
      </c>
      <c r="E1448" s="585" t="str">
        <f ca="1">IF(AND('Reconciliation report'!$E$475&gt;=5,'Reconciliation report'!$E$475&lt;&gt;"",'Reconciliation report'!$E$473=RefData!$B$112),'All Statement of strategy (D)'!$B1448&amp;$C1448,"")</f>
        <v/>
      </c>
      <c r="F1448" s="585" t="str">
        <f ca="1">IF(AND('Reconciliation report'!$E$475&gt;=5,'Reconciliation report'!$E$475&lt;&gt;"",'Reconciliation report'!$E$473=RefData!$B$112),'All Statement of strategy (D)'!$B1448&amp;$C1448,"")</f>
        <v/>
      </c>
      <c r="G1448" s="585" t="str">
        <f>""</f>
        <v/>
      </c>
      <c r="H1448" s="585" t="str">
        <f>""</f>
        <v/>
      </c>
      <c r="I1448" s="595" t="str">
        <f ca="1">IF($C$1=RefData!$B$418,'All Statement of strategy (D)'!$E1448,IF('All Statement of strategy (D)'!$C$1=RefData!$B$419,'All Statement of strategy (D)'!$F1448,IF('All Statement of strategy (D)'!$C$1=RefData!$B$420,'All Statement of strategy (D)'!$G1448,IF('All Statement of strategy (D)'!$C$1=RefData!$B$421,'All Statement of strategy (D)'!$H1448," "))))</f>
        <v xml:space="preserve"> </v>
      </c>
    </row>
    <row r="1449" spans="1:9">
      <c r="A1449" s="584" t="s">
        <v>2612</v>
      </c>
      <c r="B1449" s="594" t="s">
        <v>2409</v>
      </c>
      <c r="C1449" s="615" t="str">
        <f ca="1">'Reconciliation report'!$E$780</f>
        <v/>
      </c>
      <c r="E1449" s="585" t="str">
        <f ca="1">IF(AND('Reconciliation report'!$E$475&gt;=5,'Reconciliation report'!$E$475&lt;&gt;"",'Reconciliation report'!$E$473=RefData!$B$112),'All Statement of strategy (D)'!$B1449&amp;$C1449,"")</f>
        <v/>
      </c>
      <c r="F1449" s="585" t="str">
        <f ca="1">IF(AND('Reconciliation report'!$E$475&gt;=5,'Reconciliation report'!$E$475&lt;&gt;"",'Reconciliation report'!$E$473=RefData!$B$112),'All Statement of strategy (D)'!$B1449&amp;$C1449,"")</f>
        <v/>
      </c>
      <c r="G1449" s="585" t="str">
        <f>""</f>
        <v/>
      </c>
      <c r="H1449" s="585" t="str">
        <f>""</f>
        <v/>
      </c>
      <c r="I1449" s="595" t="str">
        <f ca="1">IF($C$1=RefData!$B$418,'All Statement of strategy (D)'!$E1449,IF('All Statement of strategy (D)'!$C$1=RefData!$B$419,'All Statement of strategy (D)'!$F1449,IF('All Statement of strategy (D)'!$C$1=RefData!$B$420,'All Statement of strategy (D)'!$G1449,IF('All Statement of strategy (D)'!$C$1=RefData!$B$421,'All Statement of strategy (D)'!$H1449," "))))</f>
        <v xml:space="preserve"> </v>
      </c>
    </row>
    <row r="1450" spans="1:9">
      <c r="A1450" s="584" t="s">
        <v>2613</v>
      </c>
      <c r="B1450" s="594" t="s">
        <v>2411</v>
      </c>
      <c r="C1450" s="615" t="str">
        <f ca="1">'Reconciliation report'!$E$781</f>
        <v/>
      </c>
      <c r="E1450" s="585" t="str">
        <f ca="1">IF(AND('Reconciliation report'!$E$475&gt;=5,'Reconciliation report'!$E$475&lt;&gt;"",'Reconciliation report'!$E$473=RefData!$B$112),'All Statement of strategy (D)'!$B1450&amp;$C1450,"")</f>
        <v/>
      </c>
      <c r="F1450" s="585" t="str">
        <f ca="1">IF(AND('Reconciliation report'!$E$475&gt;=5,'Reconciliation report'!$E$475&lt;&gt;"",'Reconciliation report'!$E$473=RefData!$B$112),'All Statement of strategy (D)'!$B1450&amp;$C1450,"")</f>
        <v/>
      </c>
      <c r="G1450" s="585" t="str">
        <f>""</f>
        <v/>
      </c>
      <c r="H1450" s="585" t="str">
        <f>""</f>
        <v/>
      </c>
      <c r="I1450" s="595" t="str">
        <f ca="1">IF($C$1=RefData!$B$418,'All Statement of strategy (D)'!$E1450,IF('All Statement of strategy (D)'!$C$1=RefData!$B$419,'All Statement of strategy (D)'!$F1450,IF('All Statement of strategy (D)'!$C$1=RefData!$B$420,'All Statement of strategy (D)'!$G1450,IF('All Statement of strategy (D)'!$C$1=RefData!$B$421,'All Statement of strategy (D)'!$H1450," "))))</f>
        <v xml:space="preserve"> </v>
      </c>
    </row>
    <row r="1451" spans="1:9">
      <c r="A1451" s="584" t="s">
        <v>2614</v>
      </c>
      <c r="B1451" s="594" t="s">
        <v>2413</v>
      </c>
      <c r="C1451" s="615" t="str">
        <f ca="1">'Reconciliation report'!$E$782</f>
        <v/>
      </c>
      <c r="E1451" s="585" t="str">
        <f ca="1">IF(AND('Reconciliation report'!$E$475&gt;=5,'Reconciliation report'!$E$475&lt;&gt;"",'Reconciliation report'!$E$473=RefData!$B$112),'All Statement of strategy (D)'!$B1451&amp;$C1451,"")</f>
        <v/>
      </c>
      <c r="F1451" s="585" t="str">
        <f ca="1">IF(AND('Reconciliation report'!$E$475&gt;=5,'Reconciliation report'!$E$475&lt;&gt;"",'Reconciliation report'!$E$473=RefData!$B$112),'All Statement of strategy (D)'!$B1451&amp;$C1451,"")</f>
        <v/>
      </c>
      <c r="G1451" s="585" t="str">
        <f>""</f>
        <v/>
      </c>
      <c r="H1451" s="585" t="str">
        <f>""</f>
        <v/>
      </c>
      <c r="I1451" s="595" t="str">
        <f ca="1">IF($C$1=RefData!$B$418,'All Statement of strategy (D)'!$E1451,IF('All Statement of strategy (D)'!$C$1=RefData!$B$419,'All Statement of strategy (D)'!$F1451,IF('All Statement of strategy (D)'!$C$1=RefData!$B$420,'All Statement of strategy (D)'!$G1451,IF('All Statement of strategy (D)'!$C$1=RefData!$B$421,'All Statement of strategy (D)'!$H1451," "))))</f>
        <v xml:space="preserve"> </v>
      </c>
    </row>
    <row r="1452" spans="1:9">
      <c r="A1452" s="584" t="s">
        <v>2615</v>
      </c>
      <c r="B1452" s="594" t="s">
        <v>2415</v>
      </c>
      <c r="C1452" s="615" t="str">
        <f ca="1">'Reconciliation report'!$E$783</f>
        <v/>
      </c>
      <c r="E1452" s="585" t="str">
        <f ca="1">IF(AND('Reconciliation report'!$E$475&gt;=5,'Reconciliation report'!$E$475&lt;&gt;"",'Reconciliation report'!$E$473=RefData!$B$112),'All Statement of strategy (D)'!$B1452&amp;$C1452,"")</f>
        <v/>
      </c>
      <c r="F1452" s="585" t="str">
        <f ca="1">IF(AND('Reconciliation report'!$E$475&gt;=5,'Reconciliation report'!$E$475&lt;&gt;"",'Reconciliation report'!$E$473=RefData!$B$112),'All Statement of strategy (D)'!$B1452&amp;$C1452,"")</f>
        <v/>
      </c>
      <c r="G1452" s="585" t="str">
        <f>""</f>
        <v/>
      </c>
      <c r="H1452" s="585" t="str">
        <f>""</f>
        <v/>
      </c>
      <c r="I1452" s="595" t="str">
        <f ca="1">IF($C$1=RefData!$B$418,'All Statement of strategy (D)'!$E1452,IF('All Statement of strategy (D)'!$C$1=RefData!$B$419,'All Statement of strategy (D)'!$F1452,IF('All Statement of strategy (D)'!$C$1=RefData!$B$420,'All Statement of strategy (D)'!$G1452,IF('All Statement of strategy (D)'!$C$1=RefData!$B$421,'All Statement of strategy (D)'!$H1452," "))))</f>
        <v xml:space="preserve"> </v>
      </c>
    </row>
    <row r="1453" spans="1:9">
      <c r="A1453" s="584" t="s">
        <v>2616</v>
      </c>
      <c r="B1453" s="594" t="str">
        <f ca="1">IF('Reconciliation report'!$E$784=RefData!$B$159,LEFT('Reconciliation report'!$E$785,1000),"")</f>
        <v/>
      </c>
      <c r="E1453" s="585" t="str">
        <f ca="1">IF(AND('Reconciliation report'!$E$475&gt;=5,'Reconciliation report'!$E$475&lt;&gt;"",'Reconciliation report'!$E$473=RefData!$B$112),'All Statement of strategy (D)'!$B1453&amp;$C1453,"")</f>
        <v/>
      </c>
      <c r="F1453" s="585" t="str">
        <f ca="1">IF(AND('Reconciliation report'!$E$475&gt;=5,'Reconciliation report'!$E$475&lt;&gt;"",'Reconciliation report'!$E$473=RefData!$B$112),'All Statement of strategy (D)'!$B1453&amp;$C1453,"")</f>
        <v/>
      </c>
      <c r="G1453" s="585" t="str">
        <f>""</f>
        <v/>
      </c>
      <c r="H1453" s="585" t="str">
        <f>""</f>
        <v/>
      </c>
      <c r="I1453" s="595" t="str">
        <f ca="1">IF($C$1=RefData!$B$418,'All Statement of strategy (D)'!$E1453,IF('All Statement of strategy (D)'!$C$1=RefData!$B$419,'All Statement of strategy (D)'!$F1453,IF('All Statement of strategy (D)'!$C$1=RefData!$B$420,'All Statement of strategy (D)'!$G1453,IF('All Statement of strategy (D)'!$C$1=RefData!$B$421,'All Statement of strategy (D)'!$H1453," "))))</f>
        <v xml:space="preserve"> </v>
      </c>
    </row>
    <row r="1454" spans="1:9">
      <c r="A1454" s="584" t="s">
        <v>2616</v>
      </c>
      <c r="B1454" s="594" t="str">
        <f ca="1">IF('Reconciliation report'!$E$784=RefData!$B$159,MID('Reconciliation report'!$E$785,1001,1000),"")</f>
        <v/>
      </c>
      <c r="E1454" s="585" t="str">
        <f ca="1">IF(AND('Reconciliation report'!$E$475&gt;=5,'Reconciliation report'!$E$475&lt;&gt;"",'Reconciliation report'!$E$473=RefData!$B$112),'All Statement of strategy (D)'!$B1454&amp;$C1454,"")</f>
        <v/>
      </c>
      <c r="F1454" s="585" t="str">
        <f ca="1">IF(AND('Reconciliation report'!$E$475&gt;=5,'Reconciliation report'!$E$475&lt;&gt;"",'Reconciliation report'!$E$473=RefData!$B$112),'All Statement of strategy (D)'!$B1454&amp;$C1454,"")</f>
        <v/>
      </c>
      <c r="G1454" s="585" t="str">
        <f>""</f>
        <v/>
      </c>
      <c r="H1454" s="585" t="str">
        <f>""</f>
        <v/>
      </c>
      <c r="I1454" s="595" t="str">
        <f ca="1">IF($C$1=RefData!$B$418,'All Statement of strategy (D)'!$E1454,IF('All Statement of strategy (D)'!$C$1=RefData!$B$419,'All Statement of strategy (D)'!$F1454,IF('All Statement of strategy (D)'!$C$1=RefData!$B$420,'All Statement of strategy (D)'!$G1454,IF('All Statement of strategy (D)'!$C$1=RefData!$B$421,'All Statement of strategy (D)'!$H1454," "))))</f>
        <v xml:space="preserve"> </v>
      </c>
    </row>
    <row r="1455" spans="1:9">
      <c r="A1455" s="584" t="s">
        <v>2616</v>
      </c>
      <c r="B1455" s="594" t="str">
        <f ca="1">IF('Reconciliation report'!$E$784=RefData!$B$159,MID('Reconciliation report'!$E$785,2001,1000),"")</f>
        <v/>
      </c>
      <c r="E1455" s="585" t="str">
        <f ca="1">IF(AND('Reconciliation report'!$E$475&gt;=5,'Reconciliation report'!$E$475&lt;&gt;"",'Reconciliation report'!$E$473=RefData!$B$112),'All Statement of strategy (D)'!$B1455&amp;$C1455,"")</f>
        <v/>
      </c>
      <c r="F1455" s="585" t="str">
        <f ca="1">IF(AND('Reconciliation report'!$E$475&gt;=5,'Reconciliation report'!$E$475&lt;&gt;"",'Reconciliation report'!$E$473=RefData!$B$112),'All Statement of strategy (D)'!$B1455&amp;$C1455,"")</f>
        <v/>
      </c>
      <c r="G1455" s="585" t="str">
        <f>""</f>
        <v/>
      </c>
      <c r="H1455" s="585" t="str">
        <f>""</f>
        <v/>
      </c>
      <c r="I1455" s="595" t="str">
        <f ca="1">IF($C$1=RefData!$B$418,'All Statement of strategy (D)'!$E1455,IF('All Statement of strategy (D)'!$C$1=RefData!$B$419,'All Statement of strategy (D)'!$F1455,IF('All Statement of strategy (D)'!$C$1=RefData!$B$420,'All Statement of strategy (D)'!$G1455,IF('All Statement of strategy (D)'!$C$1=RefData!$B$421,'All Statement of strategy (D)'!$H1455," "))))</f>
        <v xml:space="preserve"> </v>
      </c>
    </row>
    <row r="1456" spans="1:9">
      <c r="A1456" s="584" t="s">
        <v>2616</v>
      </c>
      <c r="B1456" s="594" t="str">
        <f ca="1">IF('Reconciliation report'!$E$784=RefData!$B$159,MID('Reconciliation report'!$E$785,3001,1000),"")</f>
        <v/>
      </c>
      <c r="E1456" s="585" t="str">
        <f ca="1">IF(AND('Reconciliation report'!$E$475&gt;=5,'Reconciliation report'!$E$475&lt;&gt;"",'Reconciliation report'!$E$473=RefData!$B$112),'All Statement of strategy (D)'!$B1456&amp;$C1456,"")</f>
        <v/>
      </c>
      <c r="F1456" s="585" t="str">
        <f ca="1">IF(AND('Reconciliation report'!$E$475&gt;=5,'Reconciliation report'!$E$475&lt;&gt;"",'Reconciliation report'!$E$473=RefData!$B$112),'All Statement of strategy (D)'!$B1456&amp;$C1456,"")</f>
        <v/>
      </c>
      <c r="G1456" s="585" t="str">
        <f>""</f>
        <v/>
      </c>
      <c r="H1456" s="585" t="str">
        <f>""</f>
        <v/>
      </c>
      <c r="I1456" s="595" t="str">
        <f ca="1">IF($C$1=RefData!$B$418,'All Statement of strategy (D)'!$E1456,IF('All Statement of strategy (D)'!$C$1=RefData!$B$419,'All Statement of strategy (D)'!$F1456,IF('All Statement of strategy (D)'!$C$1=RefData!$B$420,'All Statement of strategy (D)'!$G1456,IF('All Statement of strategy (D)'!$C$1=RefData!$B$421,'All Statement of strategy (D)'!$H1456," "))))</f>
        <v xml:space="preserve"> </v>
      </c>
    </row>
    <row r="1457" spans="1:9">
      <c r="B1457" s="594" t="s">
        <v>2417</v>
      </c>
      <c r="C1457" s="615" t="str">
        <f ca="1">'Reconciliation report'!$E$786</f>
        <v/>
      </c>
      <c r="E1457" s="585" t="str">
        <f ca="1">IF(AND('Reconciliation report'!$E$475&gt;=5,'Reconciliation report'!$E$475&lt;&gt;"",'Reconciliation report'!$E$473=RefData!$B$112),'All Statement of strategy (D)'!$B1457&amp;$C1457,"")</f>
        <v/>
      </c>
      <c r="F1457" s="585" t="str">
        <f ca="1">IF(AND('Reconciliation report'!$E$475&gt;=5,'Reconciliation report'!$E$475&lt;&gt;"",'Reconciliation report'!$E$473=RefData!$B$112),'All Statement of strategy (D)'!$B1457&amp;$C1457,"")</f>
        <v/>
      </c>
      <c r="G1457" s="585" t="str">
        <f>""</f>
        <v/>
      </c>
      <c r="H1457" s="585" t="str">
        <f>""</f>
        <v/>
      </c>
      <c r="I1457" s="595" t="str">
        <f ca="1">IF($C$1=RefData!$B$418,'All Statement of strategy (D)'!$E1457,IF('All Statement of strategy (D)'!$C$1=RefData!$B$419,'All Statement of strategy (D)'!$F1457,IF('All Statement of strategy (D)'!$C$1=RefData!$B$420,'All Statement of strategy (D)'!$G1457,IF('All Statement of strategy (D)'!$C$1=RefData!$B$421,'All Statement of strategy (D)'!$H1457," "))))</f>
        <v xml:space="preserve"> </v>
      </c>
    </row>
    <row r="1458" spans="1:9">
      <c r="A1458" s="584" t="s">
        <v>2617</v>
      </c>
      <c r="B1458" s="621" t="str">
        <f ca="1">B1457&amp;LEFT('Reconciliation report'!$E$786,1000)</f>
        <v xml:space="preserve">Triggers for termination: </v>
      </c>
      <c r="C1458" s="615"/>
      <c r="E1458" s="585" t="str">
        <f ca="1">IF(AND('Reconciliation report'!$E$475&gt;=5,'Reconciliation report'!$E$475&lt;&gt;"",'Reconciliation report'!$E$473=RefData!$B$112),'All Statement of strategy (D)'!$B1458&amp;$C1458,"")</f>
        <v/>
      </c>
      <c r="F1458" s="585" t="str">
        <f ca="1">IF(AND('Reconciliation report'!$E$475&gt;=5,'Reconciliation report'!$E$475&lt;&gt;"",'Reconciliation report'!$E$473=RefData!$B$112),'All Statement of strategy (D)'!$B1458&amp;$C1458,"")</f>
        <v/>
      </c>
      <c r="G1458" s="585" t="str">
        <f>""</f>
        <v/>
      </c>
      <c r="H1458" s="585" t="str">
        <f>""</f>
        <v/>
      </c>
      <c r="I1458" s="595" t="str">
        <f ca="1">IF($C$1=RefData!$B$418,'All Statement of strategy (D)'!$E1458,IF('All Statement of strategy (D)'!$C$1=RefData!$B$419,'All Statement of strategy (D)'!$F1458,IF('All Statement of strategy (D)'!$C$1=RefData!$B$420,'All Statement of strategy (D)'!$G1458,IF('All Statement of strategy (D)'!$C$1=RefData!$B$421,'All Statement of strategy (D)'!$H1458," "))))</f>
        <v xml:space="preserve"> </v>
      </c>
    </row>
    <row r="1459" spans="1:9">
      <c r="A1459" s="584" t="s">
        <v>2617</v>
      </c>
      <c r="B1459" s="621" t="str">
        <f ca="1">MID('Reconciliation report'!$E$786,1001,1000)</f>
        <v/>
      </c>
      <c r="C1459" s="615"/>
      <c r="E1459" s="585" t="str">
        <f ca="1">IF(AND('Reconciliation report'!$E$475&gt;=5,'Reconciliation report'!$E$475&lt;&gt;"",'Reconciliation report'!$E$473=RefData!$B$112),'All Statement of strategy (D)'!$B1459&amp;$C1459,"")</f>
        <v/>
      </c>
      <c r="F1459" s="585" t="str">
        <f ca="1">IF(AND('Reconciliation report'!$E$475&gt;=5,'Reconciliation report'!$E$475&lt;&gt;"",'Reconciliation report'!$E$473=RefData!$B$112),'All Statement of strategy (D)'!$B1459&amp;$C1459,"")</f>
        <v/>
      </c>
      <c r="G1459" s="585" t="str">
        <f>""</f>
        <v/>
      </c>
      <c r="H1459" s="585" t="str">
        <f>""</f>
        <v/>
      </c>
      <c r="I1459" s="595" t="str">
        <f ca="1">IF($C$1=RefData!$B$418,'All Statement of strategy (D)'!$E1459,IF('All Statement of strategy (D)'!$C$1=RefData!$B$419,'All Statement of strategy (D)'!$F1459,IF('All Statement of strategy (D)'!$C$1=RefData!$B$420,'All Statement of strategy (D)'!$G1459,IF('All Statement of strategy (D)'!$C$1=RefData!$B$421,'All Statement of strategy (D)'!$H1459," "))))</f>
        <v xml:space="preserve"> </v>
      </c>
    </row>
    <row r="1460" spans="1:9">
      <c r="A1460" s="584" t="s">
        <v>2617</v>
      </c>
      <c r="B1460" s="621" t="str">
        <f ca="1">MID('Reconciliation report'!$E$786,2001,1000)</f>
        <v/>
      </c>
      <c r="C1460" s="615"/>
      <c r="E1460" s="585" t="str">
        <f ca="1">IF(AND('Reconciliation report'!$E$475&gt;=5,'Reconciliation report'!$E$475&lt;&gt;"",'Reconciliation report'!$E$473=RefData!$B$112),'All Statement of strategy (D)'!$B1460&amp;$C1460,"")</f>
        <v/>
      </c>
      <c r="F1460" s="585" t="str">
        <f ca="1">IF(AND('Reconciliation report'!$E$475&gt;=5,'Reconciliation report'!$E$475&lt;&gt;"",'Reconciliation report'!$E$473=RefData!$B$112),'All Statement of strategy (D)'!$B1460&amp;$C1460,"")</f>
        <v/>
      </c>
      <c r="G1460" s="585" t="str">
        <f>""</f>
        <v/>
      </c>
      <c r="H1460" s="585" t="str">
        <f>""</f>
        <v/>
      </c>
      <c r="I1460" s="595" t="str">
        <f ca="1">IF($C$1=RefData!$B$418,'All Statement of strategy (D)'!$E1460,IF('All Statement of strategy (D)'!$C$1=RefData!$B$419,'All Statement of strategy (D)'!$F1460,IF('All Statement of strategy (D)'!$C$1=RefData!$B$420,'All Statement of strategy (D)'!$G1460,IF('All Statement of strategy (D)'!$C$1=RefData!$B$421,'All Statement of strategy (D)'!$H1460," "))))</f>
        <v xml:space="preserve"> </v>
      </c>
    </row>
    <row r="1461" spans="1:9" ht="16" thickBot="1">
      <c r="A1461" s="584" t="s">
        <v>2617</v>
      </c>
      <c r="B1461" s="621" t="str">
        <f ca="1">MID('Reconciliation report'!$E$786,3001,1000)</f>
        <v/>
      </c>
      <c r="C1461" s="615"/>
      <c r="E1461" s="585" t="str">
        <f ca="1">IF(AND('Reconciliation report'!$E$475&gt;=5,'Reconciliation report'!$E$475&lt;&gt;"",'Reconciliation report'!$E$473=RefData!$B$112),'All Statement of strategy (D)'!$B1461&amp;$C1461,"")</f>
        <v/>
      </c>
      <c r="F1461" s="585" t="str">
        <f ca="1">IF(AND('Reconciliation report'!$E$475&gt;=5,'Reconciliation report'!$E$475&lt;&gt;"",'Reconciliation report'!$E$473=RefData!$B$112),'All Statement of strategy (D)'!$B1461&amp;$C1461,"")</f>
        <v/>
      </c>
      <c r="G1461" s="585" t="str">
        <f>""</f>
        <v/>
      </c>
      <c r="H1461" s="585" t="str">
        <f>""</f>
        <v/>
      </c>
      <c r="I1461" s="595" t="str">
        <f ca="1">IF($C$1=RefData!$B$418,'All Statement of strategy (D)'!$E1461,IF('All Statement of strategy (D)'!$C$1=RefData!$B$419,'All Statement of strategy (D)'!$F1461,IF('All Statement of strategy (D)'!$C$1=RefData!$B$420,'All Statement of strategy (D)'!$G1461,IF('All Statement of strategy (D)'!$C$1=RefData!$B$421,'All Statement of strategy (D)'!$H1461," "))))</f>
        <v xml:space="preserve"> </v>
      </c>
    </row>
    <row r="1462" spans="1:9" ht="16" thickBot="1">
      <c r="B1462" s="626" t="s">
        <v>2618</v>
      </c>
      <c r="C1462" s="608"/>
      <c r="D1462" s="608"/>
      <c r="E1462" s="608" t="str">
        <f ca="1">IF(AND('Reconciliation report'!$E$476&gt;=1,'Reconciliation report'!$E$476&lt;&gt;"",'Reconciliation report'!$E$473=RefData!$B$112),'All Statement of strategy (D)'!$B1462&amp;$C1462,"")</f>
        <v/>
      </c>
      <c r="F1462" s="608" t="str">
        <f ca="1">IF(AND('Reconciliation report'!$E$476&gt;=1,'Reconciliation report'!$E$476&lt;&gt;"",'Reconciliation report'!$E$473=RefData!$B$112),'All Statement of strategy (D)'!$B1462&amp;$C1462,"")</f>
        <v/>
      </c>
      <c r="G1462" s="608" t="str">
        <f ca="1">IF(AND('Reconciliation report'!$E$476&gt;=1,'Reconciliation report'!$E$476&lt;&gt;"",'Reconciliation report'!$E$473=RefData!$B$112),'All Statement of strategy (D)'!$B1462&amp;$C1462,"")</f>
        <v/>
      </c>
      <c r="H1462" s="608" t="str">
        <f ca="1">IF(AND('Reconciliation report'!$E$476&gt;=1,'Reconciliation report'!$E$476&lt;&gt;"",'Reconciliation report'!$E$473=RefData!$B$112),'All Statement of strategy (D)'!$B1462&amp;$C1462,"")</f>
        <v/>
      </c>
      <c r="I1462" s="627" t="str">
        <f ca="1">IF($C$1=RefData!$B$418,'All Statement of strategy (D)'!$E1462,IF('All Statement of strategy (D)'!$C$1=RefData!$B$419,'All Statement of strategy (D)'!$F1462,IF('All Statement of strategy (D)'!$C$1=RefData!$B$420,'All Statement of strategy (D)'!$G1462,IF('All Statement of strategy (D)'!$C$1=RefData!$B$421,'All Statement of strategy (D)'!$H1462," "))))</f>
        <v xml:space="preserve"> </v>
      </c>
    </row>
    <row r="1463" spans="1:9" ht="16" thickBot="1">
      <c r="B1463" s="590" t="s">
        <v>2619</v>
      </c>
      <c r="C1463" s="591"/>
      <c r="D1463" s="591"/>
      <c r="E1463" s="591" t="str">
        <f ca="1">IF(AND('Reconciliation report'!$E$476&gt;=1,'Reconciliation report'!$E$476&lt;&gt;"",'Reconciliation report'!$E$473=RefData!$B$112),'All Statement of strategy (D)'!$B1463&amp;$C1463,"")</f>
        <v/>
      </c>
      <c r="F1463" s="591" t="str">
        <f ca="1">IF(AND('Reconciliation report'!$E$476&gt;=1,'Reconciliation report'!$E$476&lt;&gt;"",'Reconciliation report'!$E$473=RefData!$B$112),'All Statement of strategy (D)'!$B1463&amp;$C1463,"")</f>
        <v/>
      </c>
      <c r="G1463" s="591" t="str">
        <f ca="1">IF(AND('Reconciliation report'!$E$476&gt;=1,'Reconciliation report'!$E$476&lt;&gt;"",'Reconciliation report'!$E$473=RefData!$B$112),'All Statement of strategy (D)'!$B1463&amp;$C1463,"")</f>
        <v/>
      </c>
      <c r="H1463" s="591" t="str">
        <f ca="1">IF(AND('Reconciliation report'!$E$476&gt;=1,'Reconciliation report'!$E$476&lt;&gt;"",'Reconciliation report'!$E$473=RefData!$B$112),'All Statement of strategy (D)'!$B1463&amp;$C1463,"")</f>
        <v/>
      </c>
      <c r="I1463" s="592" t="str">
        <f ca="1">IF($C$1=RefData!$B$418,'All Statement of strategy (D)'!$E1463,IF('All Statement of strategy (D)'!$C$1=RefData!$B$419,'All Statement of strategy (D)'!$F1463,IF('All Statement of strategy (D)'!$C$1=RefData!$B$420,'All Statement of strategy (D)'!$G1463,IF('All Statement of strategy (D)'!$C$1=RefData!$B$421,'All Statement of strategy (D)'!$H1463," "))))</f>
        <v xml:space="preserve"> </v>
      </c>
    </row>
    <row r="1464" spans="1:9">
      <c r="B1464" s="590" t="s">
        <v>2620</v>
      </c>
      <c r="C1464" s="591"/>
      <c r="D1464" s="591"/>
      <c r="E1464" s="591" t="str">
        <f ca="1">IF(AND('Reconciliation report'!$E$476&gt;=1,'Reconciliation report'!$E$476&lt;&gt;"",'Reconciliation report'!$E$473=RefData!$B$112),'All Statement of strategy (D)'!$B1464&amp;$C1464,"")</f>
        <v/>
      </c>
      <c r="F1464" s="591" t="str">
        <f ca="1">IF(AND('Reconciliation report'!$E$476&gt;=1,'Reconciliation report'!$E$476&lt;&gt;"",'Reconciliation report'!$E$473=RefData!$B$112),'All Statement of strategy (D)'!$B1464&amp;$C1464,"")</f>
        <v/>
      </c>
      <c r="G1464" s="591" t="str">
        <f ca="1">IF(AND('Reconciliation report'!$E$476&gt;=1,'Reconciliation report'!$E$476&lt;&gt;"",'Reconciliation report'!$E$473=RefData!$B$112),'All Statement of strategy (D)'!$B1464&amp;$C1464,"")</f>
        <v/>
      </c>
      <c r="H1464" s="591" t="str">
        <f ca="1">IF(AND('Reconciliation report'!$E$476&gt;=1,'Reconciliation report'!$E$476&lt;&gt;"",'Reconciliation report'!$E$473=RefData!$B$112),'All Statement of strategy (D)'!$B1464&amp;$C1464,"")</f>
        <v/>
      </c>
      <c r="I1464" s="592" t="str">
        <f ca="1">IF($C$1=RefData!$B$418,'All Statement of strategy (D)'!$E1464,IF('All Statement of strategy (D)'!$C$1=RefData!$B$419,'All Statement of strategy (D)'!$F1464,IF('All Statement of strategy (D)'!$C$1=RefData!$B$420,'All Statement of strategy (D)'!$G1464,IF('All Statement of strategy (D)'!$C$1=RefData!$B$421,'All Statement of strategy (D)'!$H1464," "))))</f>
        <v xml:space="preserve"> </v>
      </c>
    </row>
    <row r="1465" spans="1:9">
      <c r="A1465" s="584" t="s">
        <v>2621</v>
      </c>
      <c r="B1465" s="594" t="str">
        <f ca="1">B1464&amp;IF(OR('Reconciliation report'!$E$787=RefData!$B$164,'Reconciliation report'!$E$787=RefData!$B$165),"",'Reconciliation report'!$E$787)</f>
        <v xml:space="preserve">Type of contingent asset: </v>
      </c>
      <c r="E1465" s="585" t="str">
        <f ca="1">IF(AND('Reconciliation report'!$E$476&gt;=1,'Reconciliation report'!$E$476&lt;&gt;"",'Reconciliation report'!$E$473=RefData!$B$112),'All Statement of strategy (D)'!$B1465&amp;$C1465,"")</f>
        <v/>
      </c>
      <c r="F1465" s="585" t="str">
        <f ca="1">IF(AND('Reconciliation report'!$E$476&gt;=1,'Reconciliation report'!$E$476&lt;&gt;"",'Reconciliation report'!$E$473=RefData!$B$112),'All Statement of strategy (D)'!$B1465&amp;$C1465,"")</f>
        <v/>
      </c>
      <c r="G1465" s="585" t="str">
        <f ca="1">IF(AND('Reconciliation report'!$E$476&gt;=1,'Reconciliation report'!$E$476&lt;&gt;"",'Reconciliation report'!$E$473=RefData!$B$112),'All Statement of strategy (D)'!$B1465&amp;$C1465,"")</f>
        <v/>
      </c>
      <c r="H1465" s="585" t="str">
        <f ca="1">IF(AND('Reconciliation report'!$E$476&gt;=1,'Reconciliation report'!$E$476&lt;&gt;"",'Reconciliation report'!$E$473=RefData!$B$112),'All Statement of strategy (D)'!$B1465&amp;$C1465,"")</f>
        <v/>
      </c>
      <c r="I1465" s="595" t="str">
        <f ca="1">IF($C$1=RefData!$B$418,'All Statement of strategy (D)'!$E1465,IF('All Statement of strategy (D)'!$C$1=RefData!$B$419,'All Statement of strategy (D)'!$F1465,IF('All Statement of strategy (D)'!$C$1=RefData!$B$420,'All Statement of strategy (D)'!$G1465,IF('All Statement of strategy (D)'!$C$1=RefData!$B$421,'All Statement of strategy (D)'!$H1465," "))))</f>
        <v xml:space="preserve"> </v>
      </c>
    </row>
    <row r="1466" spans="1:9">
      <c r="A1466" s="584" t="s">
        <v>2622</v>
      </c>
      <c r="B1466" s="594" t="str">
        <f ca="1">B1465&amp;IF(OR('Reconciliation report'!$E$787=RefData!$B$164,'Reconciliation report'!$E$787=RefData!$B$165),"Description of asset and counterparty(s) where applicable: ","")</f>
        <v xml:space="preserve">Type of contingent asset: </v>
      </c>
      <c r="C1466" s="585" t="str">
        <f ca="1">IF(OR('Reconciliation report'!$E$787=RefData!$B$164,'Reconciliation report'!$E$787=RefData!$B$165),'Reconciliation report'!$E$788,"")</f>
        <v/>
      </c>
      <c r="E1466" s="585" t="str">
        <f ca="1">IF(AND('Reconciliation report'!$E$476&gt;=1,'Reconciliation report'!$E$476&lt;&gt;"",'Reconciliation report'!$E$473=RefData!$B$112),'All Statement of strategy (D)'!$B1466&amp;$C1466,"")</f>
        <v/>
      </c>
      <c r="F1466" s="585" t="str">
        <f ca="1">IF(AND('Reconciliation report'!$E$476&gt;=1,'Reconciliation report'!$E$476&lt;&gt;"",'Reconciliation report'!$E$473=RefData!$B$112),'All Statement of strategy (D)'!$B1466&amp;$C1466,"")</f>
        <v/>
      </c>
      <c r="G1466" s="585" t="str">
        <f ca="1">IF(AND('Reconciliation report'!$E$476&gt;=1,'Reconciliation report'!$E$476&lt;&gt;"",'Reconciliation report'!$E$473=RefData!$B$112),'All Statement of strategy (D)'!$B1466&amp;$C1466,"")</f>
        <v/>
      </c>
      <c r="H1466" s="585" t="str">
        <f ca="1">IF(AND('Reconciliation report'!$E$476&gt;=1,'Reconciliation report'!$E$476&lt;&gt;"",'Reconciliation report'!$E$473=RefData!$B$112),'All Statement of strategy (D)'!$B1466&amp;$C1466,"")</f>
        <v/>
      </c>
      <c r="I1466" s="595" t="str">
        <f ca="1">IF($C$1=RefData!$B$418,'All Statement of strategy (D)'!$E1466,IF('All Statement of strategy (D)'!$C$1=RefData!$B$419,'All Statement of strategy (D)'!$F1466,IF('All Statement of strategy (D)'!$C$1=RefData!$B$420,'All Statement of strategy (D)'!$G1466,IF('All Statement of strategy (D)'!$C$1=RefData!$B$421,'All Statement of strategy (D)'!$H1466," "))))</f>
        <v xml:space="preserve"> </v>
      </c>
    </row>
    <row r="1467" spans="1:9">
      <c r="A1467" s="584" t="s">
        <v>2623</v>
      </c>
      <c r="B1467" s="594" t="str">
        <f ca="1">B1466&amp;IF(OR('Reconciliation report'!$E$787=RefData!$B$164,'Reconciliation report'!$E$787=RefData!$B$165),LEFT('Reconciliation report'!$E$788,1000),"")</f>
        <v xml:space="preserve">Type of contingent asset: </v>
      </c>
      <c r="E1467" s="585" t="str">
        <f ca="1">IF(AND('Reconciliation report'!$E$476&gt;=1,'Reconciliation report'!$E$476&lt;&gt;"",'Reconciliation report'!$E$473=RefData!$B$112),'All Statement of strategy (D)'!$B1467&amp;$C1467,"")</f>
        <v/>
      </c>
      <c r="F1467" s="585" t="str">
        <f ca="1">IF(AND('Reconciliation report'!$E$476&gt;=1,'Reconciliation report'!$E$476&lt;&gt;"",'Reconciliation report'!$E$473=RefData!$B$112),'All Statement of strategy (D)'!$B1467&amp;$C1467,"")</f>
        <v/>
      </c>
      <c r="G1467" s="585" t="str">
        <f ca="1">IF(AND('Reconciliation report'!$E$476&gt;=1,'Reconciliation report'!$E$476&lt;&gt;"",'Reconciliation report'!$E$473=RefData!$B$112),'All Statement of strategy (D)'!$B1467&amp;$C1467,"")</f>
        <v/>
      </c>
      <c r="H1467" s="585" t="str">
        <f ca="1">IF(AND('Reconciliation report'!$E$476&gt;=1,'Reconciliation report'!$E$476&lt;&gt;"",'Reconciliation report'!$E$473=RefData!$B$112),'All Statement of strategy (D)'!$B1467&amp;$C1467,"")</f>
        <v/>
      </c>
      <c r="I1467" s="595" t="str">
        <f ca="1">IF($C$1=RefData!$B$418,'All Statement of strategy (D)'!$E1467,IF('All Statement of strategy (D)'!$C$1=RefData!$B$419,'All Statement of strategy (D)'!$F1467,IF('All Statement of strategy (D)'!$C$1=RefData!$B$420,'All Statement of strategy (D)'!$G1467,IF('All Statement of strategy (D)'!$C$1=RefData!$B$421,'All Statement of strategy (D)'!$H1467," "))))</f>
        <v xml:space="preserve"> </v>
      </c>
    </row>
    <row r="1468" spans="1:9">
      <c r="A1468" s="584" t="s">
        <v>2623</v>
      </c>
      <c r="B1468" s="594" t="str">
        <f ca="1">IF(OR('Reconciliation report'!$E$787=RefData!$B$164,'Reconciliation report'!$E$787=RefData!$B$165),MID('Reconciliation report'!$E$788,1001,1000),"")</f>
        <v/>
      </c>
      <c r="E1468" s="585" t="str">
        <f ca="1">IF(AND('Reconciliation report'!$E$476&gt;=1,'Reconciliation report'!$E$476&lt;&gt;"",'Reconciliation report'!$E$473=RefData!$B$112),'All Statement of strategy (D)'!$B1468&amp;$C1468,"")</f>
        <v/>
      </c>
      <c r="F1468" s="585" t="str">
        <f ca="1">IF(AND('Reconciliation report'!$E$476&gt;=1,'Reconciliation report'!$E$476&lt;&gt;"",'Reconciliation report'!$E$473=RefData!$B$112),'All Statement of strategy (D)'!$B1468&amp;$C1468,"")</f>
        <v/>
      </c>
      <c r="G1468" s="585" t="str">
        <f ca="1">IF(AND('Reconciliation report'!$E$476&gt;=1,'Reconciliation report'!$E$476&lt;&gt;"",'Reconciliation report'!$E$473=RefData!$B$112),'All Statement of strategy (D)'!$B1468&amp;$C1468,"")</f>
        <v/>
      </c>
      <c r="H1468" s="585" t="str">
        <f ca="1">IF(AND('Reconciliation report'!$E$476&gt;=1,'Reconciliation report'!$E$476&lt;&gt;"",'Reconciliation report'!$E$473=RefData!$B$112),'All Statement of strategy (D)'!$B1468&amp;$C1468,"")</f>
        <v/>
      </c>
      <c r="I1468" s="595" t="str">
        <f ca="1">IF($C$1=RefData!$B$418,'All Statement of strategy (D)'!$E1468,IF('All Statement of strategy (D)'!$C$1=RefData!$B$419,'All Statement of strategy (D)'!$F1468,IF('All Statement of strategy (D)'!$C$1=RefData!$B$420,'All Statement of strategy (D)'!$G1468,IF('All Statement of strategy (D)'!$C$1=RefData!$B$421,'All Statement of strategy (D)'!$H1468," "))))</f>
        <v xml:space="preserve"> </v>
      </c>
    </row>
    <row r="1469" spans="1:9">
      <c r="A1469" s="584" t="s">
        <v>2623</v>
      </c>
      <c r="B1469" s="594" t="str">
        <f ca="1">IF(OR('Reconciliation report'!$E$787=RefData!$B$164,'Reconciliation report'!$E$787=RefData!$B$165),MID('Reconciliation report'!$E$788,2001,1000),"")</f>
        <v/>
      </c>
      <c r="E1469" s="585" t="str">
        <f ca="1">IF(AND('Reconciliation report'!$E$476&gt;=1,'Reconciliation report'!$E$476&lt;&gt;"",'Reconciliation report'!$E$473=RefData!$B$112),'All Statement of strategy (D)'!$B1469&amp;$C1469,"")</f>
        <v/>
      </c>
      <c r="F1469" s="585" t="str">
        <f ca="1">IF(AND('Reconciliation report'!$E$476&gt;=1,'Reconciliation report'!$E$476&lt;&gt;"",'Reconciliation report'!$E$473=RefData!$B$112),'All Statement of strategy (D)'!$B1469&amp;$C1469,"")</f>
        <v/>
      </c>
      <c r="G1469" s="585" t="str">
        <f ca="1">IF(AND('Reconciliation report'!$E$476&gt;=1,'Reconciliation report'!$E$476&lt;&gt;"",'Reconciliation report'!$E$473=RefData!$B$112),'All Statement of strategy (D)'!$B1469&amp;$C1469,"")</f>
        <v/>
      </c>
      <c r="H1469" s="585" t="str">
        <f ca="1">IF(AND('Reconciliation report'!$E$476&gt;=1,'Reconciliation report'!$E$476&lt;&gt;"",'Reconciliation report'!$E$473=RefData!$B$112),'All Statement of strategy (D)'!$B1469&amp;$C1469,"")</f>
        <v/>
      </c>
      <c r="I1469" s="595" t="str">
        <f ca="1">IF($C$1=RefData!$B$418,'All Statement of strategy (D)'!$E1469,IF('All Statement of strategy (D)'!$C$1=RefData!$B$419,'All Statement of strategy (D)'!$F1469,IF('All Statement of strategy (D)'!$C$1=RefData!$B$420,'All Statement of strategy (D)'!$G1469,IF('All Statement of strategy (D)'!$C$1=RefData!$B$421,'All Statement of strategy (D)'!$H1469," "))))</f>
        <v xml:space="preserve"> </v>
      </c>
    </row>
    <row r="1470" spans="1:9">
      <c r="A1470" s="584" t="s">
        <v>2623</v>
      </c>
      <c r="B1470" s="594" t="str">
        <f ca="1">IF(OR('Reconciliation report'!$E$787=RefData!$B$164,'Reconciliation report'!$E$787=RefData!$B$165),MID('Reconciliation report'!$E$788,3001,1000),"")</f>
        <v/>
      </c>
      <c r="E1470" s="585" t="str">
        <f ca="1">IF(AND('Reconciliation report'!$E$476&gt;=1,'Reconciliation report'!$E$476&lt;&gt;"",'Reconciliation report'!$E$473=RefData!$B$112),'All Statement of strategy (D)'!$B1470&amp;$C1470,"")</f>
        <v/>
      </c>
      <c r="F1470" s="585" t="str">
        <f ca="1">IF(AND('Reconciliation report'!$E$476&gt;=1,'Reconciliation report'!$E$476&lt;&gt;"",'Reconciliation report'!$E$473=RefData!$B$112),'All Statement of strategy (D)'!$B1470&amp;$C1470,"")</f>
        <v/>
      </c>
      <c r="G1470" s="585" t="str">
        <f ca="1">IF(AND('Reconciliation report'!$E$476&gt;=1,'Reconciliation report'!$E$476&lt;&gt;"",'Reconciliation report'!$E$473=RefData!$B$112),'All Statement of strategy (D)'!$B1470&amp;$C1470,"")</f>
        <v/>
      </c>
      <c r="H1470" s="585" t="str">
        <f ca="1">IF(AND('Reconciliation report'!$E$476&gt;=1,'Reconciliation report'!$E$476&lt;&gt;"",'Reconciliation report'!$E$473=RefData!$B$112),'All Statement of strategy (D)'!$B1470&amp;$C1470,"")</f>
        <v/>
      </c>
      <c r="I1470" s="595" t="str">
        <f ca="1">IF($C$1=RefData!$B$418,'All Statement of strategy (D)'!$E1470,IF('All Statement of strategy (D)'!$C$1=RefData!$B$419,'All Statement of strategy (D)'!$F1470,IF('All Statement of strategy (D)'!$C$1=RefData!$B$420,'All Statement of strategy (D)'!$G1470,IF('All Statement of strategy (D)'!$C$1=RefData!$B$421,'All Statement of strategy (D)'!$H1470," "))))</f>
        <v xml:space="preserve"> </v>
      </c>
    </row>
    <row r="1471" spans="1:9">
      <c r="A1471" s="604"/>
      <c r="B1471" s="594" t="s">
        <v>2532</v>
      </c>
      <c r="D1471" s="624"/>
      <c r="E1471" s="585" t="str">
        <f ca="1">IF(AND('Reconciliation report'!$E$476&gt;=1,'Reconciliation report'!$E$476&lt;&gt;"",'Reconciliation report'!$E$473=RefData!$B$112),'All Statement of strategy (D)'!$B1471&amp;$C1471,"")</f>
        <v/>
      </c>
      <c r="F1471" s="585" t="str">
        <f ca="1">IF(AND('Reconciliation report'!$E$476&gt;=1,'Reconciliation report'!$E$476&lt;&gt;"",'Reconciliation report'!$E$473=RefData!$B$112),'All Statement of strategy (D)'!$B1471&amp;$C1471,"")</f>
        <v/>
      </c>
      <c r="G1471" s="585" t="str">
        <f>""</f>
        <v/>
      </c>
      <c r="H1471" s="585" t="str">
        <f>""</f>
        <v/>
      </c>
      <c r="I1471" s="595" t="str">
        <f ca="1">IF($C$1=RefData!$B$418,'All Statement of strategy (D)'!$E1471,IF('All Statement of strategy (D)'!$C$1=RefData!$B$419,'All Statement of strategy (D)'!$F1471,IF('All Statement of strategy (D)'!$C$1=RefData!$B$420,'All Statement of strategy (D)'!$G1471,IF('All Statement of strategy (D)'!$C$1=RefData!$B$421,'All Statement of strategy (D)'!$H1471," "))))</f>
        <v xml:space="preserve"> </v>
      </c>
    </row>
    <row r="1472" spans="1:9">
      <c r="A1472" s="584" t="s">
        <v>2624</v>
      </c>
      <c r="B1472" s="594" t="str">
        <f ca="1">B1471&amp;IF('Reconciliation report'!$E$789=RefData!$B$166,'Reconciliation report'!$E$789,"")</f>
        <v xml:space="preserve">Type of maturity: </v>
      </c>
      <c r="D1472" s="624"/>
      <c r="E1472" s="585" t="str">
        <f ca="1">IF(AND('Reconciliation report'!$E$476&gt;=1,'Reconciliation report'!$E$476&lt;&gt;"",'Reconciliation report'!$E$473=RefData!$B$112),'All Statement of strategy (D)'!$B1472&amp;$C1472,"")</f>
        <v/>
      </c>
      <c r="F1472" s="585" t="str">
        <f ca="1">IF(AND('Reconciliation report'!$E$476&gt;=1,'Reconciliation report'!$E$476&lt;&gt;"",'Reconciliation report'!$E$473=RefData!$B$112),'All Statement of strategy (D)'!$B1472&amp;$C1472,"")</f>
        <v/>
      </c>
      <c r="G1472" s="585" t="str">
        <f>""</f>
        <v/>
      </c>
      <c r="H1472" s="585" t="str">
        <f>""</f>
        <v/>
      </c>
      <c r="I1472" s="595" t="str">
        <f ca="1">IF($C$1=RefData!$B$418,'All Statement of strategy (D)'!$E1472,IF('All Statement of strategy (D)'!$C$1=RefData!$B$419,'All Statement of strategy (D)'!$F1472,IF('All Statement of strategy (D)'!$C$1=RefData!$B$420,'All Statement of strategy (D)'!$G1472,IF('All Statement of strategy (D)'!$C$1=RefData!$B$421,'All Statement of strategy (D)'!$H1472," "))))</f>
        <v xml:space="preserve"> </v>
      </c>
    </row>
    <row r="1473" spans="1:9">
      <c r="A1473" s="584" t="s">
        <v>2625</v>
      </c>
      <c r="B1473" s="594" t="str">
        <f ca="1">B1472&amp;IF('Reconciliation report'!$E$789=RefData!$B$167,"Fixed expiry with a maturity date of "&amp;TEXT('Reconciliation report'!$E$790,RefData!$B$424),"")</f>
        <v xml:space="preserve">Type of maturity: </v>
      </c>
      <c r="D1473" s="624"/>
      <c r="E1473" s="585" t="str">
        <f ca="1">IF(AND('Reconciliation report'!$E$476&gt;=1,'Reconciliation report'!$E$476&lt;&gt;"",'Reconciliation report'!$E$473=RefData!$B$112),'All Statement of strategy (D)'!$B1473&amp;$C1473,"")</f>
        <v/>
      </c>
      <c r="F1473" s="585" t="str">
        <f ca="1">IF(AND('Reconciliation report'!$E$476&gt;=1,'Reconciliation report'!$E$476&lt;&gt;"",'Reconciliation report'!$E$473=RefData!$B$112),'All Statement of strategy (D)'!$B1473&amp;$C1473,"")</f>
        <v/>
      </c>
      <c r="G1473" s="585" t="str">
        <f>""</f>
        <v/>
      </c>
      <c r="H1473" s="585" t="str">
        <f>""</f>
        <v/>
      </c>
      <c r="I1473" s="595" t="str">
        <f ca="1">IF($C$1=RefData!$B$418,'All Statement of strategy (D)'!$E1473,IF('All Statement of strategy (D)'!$C$1=RefData!$B$419,'All Statement of strategy (D)'!$F1473,IF('All Statement of strategy (D)'!$C$1=RefData!$B$420,'All Statement of strategy (D)'!$G1473,IF('All Statement of strategy (D)'!$C$1=RefData!$B$421,'All Statement of strategy (D)'!$H1473," "))))</f>
        <v xml:space="preserve"> </v>
      </c>
    </row>
    <row r="1474" spans="1:9">
      <c r="A1474" s="584" t="s">
        <v>2626</v>
      </c>
      <c r="B1474" s="594" t="str">
        <f ca="1">B1473&amp;IF('Reconciliation report'!$E$789=RefData!$B$168,LEFT('Reconciliation report'!$E$791,1000),"")</f>
        <v xml:space="preserve">Type of maturity: </v>
      </c>
      <c r="D1474" s="624"/>
      <c r="E1474" s="585" t="str">
        <f ca="1">IF(AND('Reconciliation report'!$E$476&gt;=1,'Reconciliation report'!$E$476&lt;&gt;"",'Reconciliation report'!$E$473=RefData!$B$112),'All Statement of strategy (D)'!$B1474&amp;$C1474,"")</f>
        <v/>
      </c>
      <c r="F1474" s="585" t="str">
        <f ca="1">IF(AND('Reconciliation report'!$E$476&gt;=1,'Reconciliation report'!$E$476&lt;&gt;"",'Reconciliation report'!$E$473=RefData!$B$112),'All Statement of strategy (D)'!$B1474&amp;$C1474,"")</f>
        <v/>
      </c>
      <c r="G1474" s="585" t="str">
        <f>""</f>
        <v/>
      </c>
      <c r="H1474" s="585" t="str">
        <f>""</f>
        <v/>
      </c>
      <c r="I1474" s="595" t="str">
        <f ca="1">IF($C$1=RefData!$B$418,'All Statement of strategy (D)'!$E1474,IF('All Statement of strategy (D)'!$C$1=RefData!$B$419,'All Statement of strategy (D)'!$F1474,IF('All Statement of strategy (D)'!$C$1=RefData!$B$420,'All Statement of strategy (D)'!$G1474,IF('All Statement of strategy (D)'!$C$1=RefData!$B$421,'All Statement of strategy (D)'!$H1474," "))))</f>
        <v xml:space="preserve"> </v>
      </c>
    </row>
    <row r="1475" spans="1:9">
      <c r="A1475" s="584" t="s">
        <v>2626</v>
      </c>
      <c r="B1475" s="594" t="str">
        <f ca="1">IF('Reconciliation report'!$E$789=RefData!$B$168,MID('Reconciliation report'!$E$791,1001,1000),"")</f>
        <v/>
      </c>
      <c r="D1475" s="624"/>
      <c r="E1475" s="585" t="str">
        <f ca="1">IF(AND('Reconciliation report'!$E$476&gt;=1,'Reconciliation report'!$E$476&lt;&gt;"",'Reconciliation report'!$E$473=RefData!$B$112),'All Statement of strategy (D)'!$B1475&amp;$C1475,"")</f>
        <v/>
      </c>
      <c r="F1475" s="585" t="str">
        <f ca="1">IF(AND('Reconciliation report'!$E$476&gt;=1,'Reconciliation report'!$E$476&lt;&gt;"",'Reconciliation report'!$E$473=RefData!$B$112),'All Statement of strategy (D)'!$B1475&amp;$C1475,"")</f>
        <v/>
      </c>
      <c r="G1475" s="585" t="str">
        <f>""</f>
        <v/>
      </c>
      <c r="H1475" s="585" t="str">
        <f>""</f>
        <v/>
      </c>
      <c r="I1475" s="595" t="str">
        <f ca="1">IF($C$1=RefData!$B$418,'All Statement of strategy (D)'!$E1475,IF('All Statement of strategy (D)'!$C$1=RefData!$B$419,'All Statement of strategy (D)'!$F1475,IF('All Statement of strategy (D)'!$C$1=RefData!$B$420,'All Statement of strategy (D)'!$G1475,IF('All Statement of strategy (D)'!$C$1=RefData!$B$421,'All Statement of strategy (D)'!$H1475," "))))</f>
        <v xml:space="preserve"> </v>
      </c>
    </row>
    <row r="1476" spans="1:9">
      <c r="A1476" s="584" t="s">
        <v>2626</v>
      </c>
      <c r="B1476" s="594" t="str">
        <f ca="1">IF('Reconciliation report'!$E$789=RefData!$B$168,MID('Reconciliation report'!$E$791,2001,1000),"")</f>
        <v/>
      </c>
      <c r="D1476" s="624"/>
      <c r="E1476" s="585" t="str">
        <f ca="1">IF(AND('Reconciliation report'!$E$476&gt;=1,'Reconciliation report'!$E$476&lt;&gt;"",'Reconciliation report'!$E$473=RefData!$B$112),'All Statement of strategy (D)'!$B1476&amp;$C1476,"")</f>
        <v/>
      </c>
      <c r="F1476" s="585" t="str">
        <f ca="1">IF(AND('Reconciliation report'!$E$476&gt;=1,'Reconciliation report'!$E$476&lt;&gt;"",'Reconciliation report'!$E$473=RefData!$B$112),'All Statement of strategy (D)'!$B1476&amp;$C1476,"")</f>
        <v/>
      </c>
      <c r="G1476" s="585" t="str">
        <f>""</f>
        <v/>
      </c>
      <c r="H1476" s="585" t="str">
        <f>""</f>
        <v/>
      </c>
      <c r="I1476" s="595" t="str">
        <f ca="1">IF($C$1=RefData!$B$418,'All Statement of strategy (D)'!$E1476,IF('All Statement of strategy (D)'!$C$1=RefData!$B$419,'All Statement of strategy (D)'!$F1476,IF('All Statement of strategy (D)'!$C$1=RefData!$B$420,'All Statement of strategy (D)'!$G1476,IF('All Statement of strategy (D)'!$C$1=RefData!$B$421,'All Statement of strategy (D)'!$H1476," "))))</f>
        <v xml:space="preserve"> </v>
      </c>
    </row>
    <row r="1477" spans="1:9">
      <c r="A1477" s="584" t="s">
        <v>2626</v>
      </c>
      <c r="B1477" s="594" t="str">
        <f ca="1">IF('Reconciliation report'!$E$789=RefData!$B$168,MID('Reconciliation report'!$E$791,3001,1000),"")</f>
        <v/>
      </c>
      <c r="D1477" s="624"/>
      <c r="E1477" s="585" t="str">
        <f ca="1">IF(AND('Reconciliation report'!$E$476&gt;=1,'Reconciliation report'!$E$476&lt;&gt;"",'Reconciliation report'!$E$473=RefData!$B$112),'All Statement of strategy (D)'!$B1477&amp;$C1477,"")</f>
        <v/>
      </c>
      <c r="F1477" s="585" t="str">
        <f ca="1">IF(AND('Reconciliation report'!$E$476&gt;=1,'Reconciliation report'!$E$476&lt;&gt;"",'Reconciliation report'!$E$473=RefData!$B$112),'All Statement of strategy (D)'!$B1477&amp;$C1477,"")</f>
        <v/>
      </c>
      <c r="G1477" s="585" t="str">
        <f>""</f>
        <v/>
      </c>
      <c r="H1477" s="585" t="str">
        <f>""</f>
        <v/>
      </c>
      <c r="I1477" s="595" t="str">
        <f ca="1">IF($C$1=RefData!$B$418,'All Statement of strategy (D)'!$E1477,IF('All Statement of strategy (D)'!$C$1=RefData!$B$419,'All Statement of strategy (D)'!$F1477,IF('All Statement of strategy (D)'!$C$1=RefData!$B$420,'All Statement of strategy (D)'!$G1477,IF('All Statement of strategy (D)'!$C$1=RefData!$B$421,'All Statement of strategy (D)'!$H1477," "))))</f>
        <v xml:space="preserve"> </v>
      </c>
    </row>
    <row r="1478" spans="1:9">
      <c r="A1478" s="584" t="s">
        <v>2627</v>
      </c>
      <c r="B1478" s="594" t="s">
        <v>2399</v>
      </c>
      <c r="E1478" s="585" t="str">
        <f ca="1">IF(AND('Reconciliation report'!$E$476&gt;=1,'Reconciliation report'!$E$476&lt;&gt;"",'Reconciliation report'!$E$473=RefData!$B$112),'All Statement of strategy (D)'!$B1478&amp;$C1478,"")</f>
        <v/>
      </c>
      <c r="F1478" s="585" t="str">
        <f ca="1">IF(AND('Reconciliation report'!$E$476&gt;=1,'Reconciliation report'!$E$476&lt;&gt;"",'Reconciliation report'!$E$473=RefData!$B$112),'All Statement of strategy (D)'!$B1478&amp;$C1478,"")</f>
        <v/>
      </c>
      <c r="G1478" s="585" t="str">
        <f ca="1">IF(AND('Reconciliation report'!$E$476&gt;=1,'Reconciliation report'!$E$476&lt;&gt;"",'Reconciliation report'!$E$473=RefData!$B$112),'All Statement of strategy (D)'!$B1478&amp;$C1478,"")</f>
        <v/>
      </c>
      <c r="H1478" s="585" t="str">
        <f ca="1">IF(AND('Reconciliation report'!$E$476&gt;=1,'Reconciliation report'!$E$476&lt;&gt;"",'Reconciliation report'!$E$473=RefData!$B$112),'All Statement of strategy (D)'!$B1478&amp;$C1478,"")</f>
        <v/>
      </c>
      <c r="I1478" s="595" t="str">
        <f ca="1">IF($C$1=RefData!$B$418,'All Statement of strategy (D)'!$E1478,IF('All Statement of strategy (D)'!$C$1=RefData!$B$419,'All Statement of strategy (D)'!$F1478,IF('All Statement of strategy (D)'!$C$1=RefData!$B$420,'All Statement of strategy (D)'!$G1478,IF('All Statement of strategy (D)'!$C$1=RefData!$B$421,'All Statement of strategy (D)'!$H1478," "))))</f>
        <v xml:space="preserve"> </v>
      </c>
    </row>
    <row r="1479" spans="1:9">
      <c r="B1479" s="594" t="s">
        <v>2400</v>
      </c>
      <c r="C1479" s="585" t="str">
        <f ca="1">TEXT('Reconciliation report'!$E$792,RefData!$B$425)</f>
        <v/>
      </c>
      <c r="E1479" s="585" t="str">
        <f ca="1">IF(AND('Reconciliation report'!$E$476&gt;=1,'Reconciliation report'!$E$476&lt;&gt;"",'Reconciliation report'!$E$473=RefData!$B$112),'All Statement of strategy (D)'!$B1479&amp;$C1479,"")</f>
        <v/>
      </c>
      <c r="F1479" s="585" t="str">
        <f ca="1">IF(AND('Reconciliation report'!$E$476&gt;=1,'Reconciliation report'!$E$476&lt;&gt;"",'Reconciliation report'!$E$473=RefData!$B$112),'All Statement of strategy (D)'!$B1479&amp;$C1479,"")</f>
        <v/>
      </c>
      <c r="G1479" s="585" t="str">
        <f ca="1">IF(AND('Reconciliation report'!$E$476&gt;=1,'Reconciliation report'!$E$476&lt;&gt;"",'Reconciliation report'!$E$473=RefData!$B$112),'All Statement of strategy (D)'!$B1479&amp;$C1479,"")</f>
        <v/>
      </c>
      <c r="H1479" s="585" t="str">
        <f ca="1">IF(AND('Reconciliation report'!$E$476&gt;=1,'Reconciliation report'!$E$476&lt;&gt;"",'Reconciliation report'!$E$473=RefData!$B$112),'All Statement of strategy (D)'!$B1479&amp;$C1479,"")</f>
        <v/>
      </c>
      <c r="I1479" s="595" t="str">
        <f ca="1">IF($C$1=RefData!$B$418,'All Statement of strategy (D)'!$E1479,IF('All Statement of strategy (D)'!$C$1=RefData!$B$419,'All Statement of strategy (D)'!$F1479,IF('All Statement of strategy (D)'!$C$1=RefData!$B$420,'All Statement of strategy (D)'!$G1479,IF('All Statement of strategy (D)'!$C$1=RefData!$B$421,'All Statement of strategy (D)'!$H1479," "))))</f>
        <v xml:space="preserve"> </v>
      </c>
    </row>
    <row r="1480" spans="1:9">
      <c r="A1480" s="584" t="s">
        <v>2628</v>
      </c>
      <c r="B1480" s="594" t="s">
        <v>2402</v>
      </c>
      <c r="C1480" s="618" t="str">
        <f ca="1">TEXT('Reconciliation report'!$E$793,RefData!$B$424)</f>
        <v/>
      </c>
      <c r="E1480" s="585" t="str">
        <f ca="1">IF(AND('Reconciliation report'!$E$476&gt;=1,'Reconciliation report'!$E$476&lt;&gt;"",'Reconciliation report'!$E$473=RefData!$B$112),'All Statement of strategy (D)'!$B1480&amp;$C1480,"")</f>
        <v/>
      </c>
      <c r="F1480" s="585" t="str">
        <f ca="1">IF(AND('Reconciliation report'!$E$476&gt;=1,'Reconciliation report'!$E$476&lt;&gt;"",'Reconciliation report'!$E$473=RefData!$B$112),'All Statement of strategy (D)'!$B1480&amp;$C1480,"")</f>
        <v/>
      </c>
      <c r="G1480" s="585" t="str">
        <f ca="1">IF(AND('Reconciliation report'!$E$476&gt;=1,'Reconciliation report'!$E$476&lt;&gt;"",'Reconciliation report'!$E$473=RefData!$B$112),'All Statement of strategy (D)'!$B1480&amp;$C1480,"")</f>
        <v/>
      </c>
      <c r="H1480" s="585" t="str">
        <f ca="1">IF(AND('Reconciliation report'!$E$476&gt;=1,'Reconciliation report'!$E$476&lt;&gt;"",'Reconciliation report'!$E$473=RefData!$B$112),'All Statement of strategy (D)'!$B1480&amp;$C1480,"")</f>
        <v/>
      </c>
      <c r="I1480" s="595" t="str">
        <f ca="1">IF($C$1=RefData!$B$418,'All Statement of strategy (D)'!$E1480,IF('All Statement of strategy (D)'!$C$1=RefData!$B$419,'All Statement of strategy (D)'!$F1480,IF('All Statement of strategy (D)'!$C$1=RefData!$B$420,'All Statement of strategy (D)'!$G1480,IF('All Statement of strategy (D)'!$C$1=RefData!$B$421,'All Statement of strategy (D)'!$H1480," "))))</f>
        <v xml:space="preserve"> </v>
      </c>
    </row>
    <row r="1481" spans="1:9">
      <c r="B1481" s="594" t="s">
        <v>2518</v>
      </c>
      <c r="D1481" s="624"/>
      <c r="E1481" s="585" t="str">
        <f ca="1">IF(AND('Reconciliation report'!$E$476&gt;=1,'Reconciliation report'!$E$476&lt;&gt;"",'Reconciliation report'!$E$473=RefData!$B$112),'All Statement of strategy (D)'!$B1481&amp;$C1481,"")</f>
        <v/>
      </c>
      <c r="F1481" s="585" t="str">
        <f ca="1">IF(AND('Reconciliation report'!$E$476&gt;=1,'Reconciliation report'!$E$476&lt;&gt;"",'Reconciliation report'!$E$473=RefData!$B$112),'All Statement of strategy (D)'!$B1481&amp;$C1481,"")</f>
        <v/>
      </c>
      <c r="G1481" s="585" t="str">
        <f>""</f>
        <v/>
      </c>
      <c r="H1481" s="585" t="str">
        <f>""</f>
        <v/>
      </c>
      <c r="I1481" s="595" t="str">
        <f ca="1">IF($C$1=RefData!$B$418,'All Statement of strategy (D)'!$E1481,IF('All Statement of strategy (D)'!$C$1=RefData!$B$419,'All Statement of strategy (D)'!$F1481,IF('All Statement of strategy (D)'!$C$1=RefData!$B$420,'All Statement of strategy (D)'!$G1481,IF('All Statement of strategy (D)'!$C$1=RefData!$B$421,'All Statement of strategy (D)'!$H1481," "))))</f>
        <v xml:space="preserve"> </v>
      </c>
    </row>
    <row r="1482" spans="1:9">
      <c r="A1482" s="584" t="s">
        <v>2629</v>
      </c>
      <c r="B1482" s="594" t="str">
        <f ca="1">B1481&amp;IF('Reconciliation report'!$E$794=RefData!$B$175,"",'Reconciliation report'!$E$794)</f>
        <v xml:space="preserve">Value cap: </v>
      </c>
      <c r="D1482" s="624"/>
      <c r="E1482" s="585" t="str">
        <f ca="1">IF(AND('Reconciliation report'!$E$476&gt;=1,'Reconciliation report'!$E$476&lt;&gt;"",'Reconciliation report'!$E$473=RefData!$B$112),'All Statement of strategy (D)'!$B1482&amp;$C1482,"")</f>
        <v/>
      </c>
      <c r="F1482" s="585" t="str">
        <f ca="1">IF(AND('Reconciliation report'!$E$476&gt;=1,'Reconciliation report'!$E$476&lt;&gt;"",'Reconciliation report'!$E$473=RefData!$B$112),'All Statement of strategy (D)'!$B1482&amp;$C1482,"")</f>
        <v/>
      </c>
      <c r="G1482" s="585" t="str">
        <f>""</f>
        <v/>
      </c>
      <c r="H1482" s="585" t="str">
        <f>""</f>
        <v/>
      </c>
      <c r="I1482" s="595" t="str">
        <f ca="1">IF($C$1=RefData!$B$418,'All Statement of strategy (D)'!$E1482,IF('All Statement of strategy (D)'!$C$1=RefData!$B$419,'All Statement of strategy (D)'!$F1482,IF('All Statement of strategy (D)'!$C$1=RefData!$B$420,'All Statement of strategy (D)'!$G1482,IF('All Statement of strategy (D)'!$C$1=RefData!$B$421,'All Statement of strategy (D)'!$H1482," "))))</f>
        <v xml:space="preserve"> </v>
      </c>
    </row>
    <row r="1483" spans="1:9">
      <c r="A1483" s="584" t="s">
        <v>2630</v>
      </c>
      <c r="B1483" s="594" t="str">
        <f ca="1">B1482&amp;IF('Reconciliation report'!$E$794=RefData!$B$175,LEFT('Reconciliation report'!$E$795,1000),"")</f>
        <v xml:space="preserve">Value cap: </v>
      </c>
      <c r="D1483" s="624"/>
      <c r="E1483" s="585" t="str">
        <f ca="1">IF(AND('Reconciliation report'!$E$476&gt;=1,'Reconciliation report'!$E$476&lt;&gt;"",'Reconciliation report'!$E$473=RefData!$B$112),'All Statement of strategy (D)'!$B1483&amp;$C1483,"")</f>
        <v/>
      </c>
      <c r="F1483" s="585" t="str">
        <f ca="1">IF(AND('Reconciliation report'!$E$476&gt;=1,'Reconciliation report'!$E$476&lt;&gt;"",'Reconciliation report'!$E$473=RefData!$B$112),'All Statement of strategy (D)'!$B1483&amp;$C1483,"")</f>
        <v/>
      </c>
      <c r="G1483" s="585" t="str">
        <f>""</f>
        <v/>
      </c>
      <c r="H1483" s="585" t="str">
        <f>""</f>
        <v/>
      </c>
      <c r="I1483" s="595" t="str">
        <f ca="1">IF($C$1=RefData!$B$418,'All Statement of strategy (D)'!$E1483,IF('All Statement of strategy (D)'!$C$1=RefData!$B$419,'All Statement of strategy (D)'!$F1483,IF('All Statement of strategy (D)'!$C$1=RefData!$B$420,'All Statement of strategy (D)'!$G1483,IF('All Statement of strategy (D)'!$C$1=RefData!$B$421,'All Statement of strategy (D)'!$H1483," "))))</f>
        <v xml:space="preserve"> </v>
      </c>
    </row>
    <row r="1484" spans="1:9">
      <c r="A1484" s="584" t="s">
        <v>2630</v>
      </c>
      <c r="B1484" s="594" t="str">
        <f ca="1">IF('Reconciliation report'!$E$794=RefData!$B$175,MID('Reconciliation report'!$E$795,1001,1000),"")</f>
        <v/>
      </c>
      <c r="D1484" s="624"/>
      <c r="E1484" s="585" t="str">
        <f ca="1">IF(AND('Reconciliation report'!$E$476&gt;=1,'Reconciliation report'!$E$476&lt;&gt;"",'Reconciliation report'!$E$473=RefData!$B$112),'All Statement of strategy (D)'!$B1484&amp;$C1484,"")</f>
        <v/>
      </c>
      <c r="F1484" s="585" t="str">
        <f ca="1">IF(AND('Reconciliation report'!$E$476&gt;=1,'Reconciliation report'!$E$476&lt;&gt;"",'Reconciliation report'!$E$473=RefData!$B$112),'All Statement of strategy (D)'!$B1484&amp;$C1484,"")</f>
        <v/>
      </c>
      <c r="G1484" s="585" t="str">
        <f>""</f>
        <v/>
      </c>
      <c r="H1484" s="585" t="str">
        <f>""</f>
        <v/>
      </c>
      <c r="I1484" s="595" t="str">
        <f ca="1">IF($C$1=RefData!$B$418,'All Statement of strategy (D)'!$E1484,IF('All Statement of strategy (D)'!$C$1=RefData!$B$419,'All Statement of strategy (D)'!$F1484,IF('All Statement of strategy (D)'!$C$1=RefData!$B$420,'All Statement of strategy (D)'!$G1484,IF('All Statement of strategy (D)'!$C$1=RefData!$B$421,'All Statement of strategy (D)'!$H1484," "))))</f>
        <v xml:space="preserve"> </v>
      </c>
    </row>
    <row r="1485" spans="1:9">
      <c r="A1485" s="584" t="s">
        <v>2630</v>
      </c>
      <c r="B1485" s="594" t="str">
        <f ca="1">IF('Reconciliation report'!$E$794=RefData!$B$175,MID('Reconciliation report'!$E$795,2001,1000),"")</f>
        <v/>
      </c>
      <c r="D1485" s="624"/>
      <c r="E1485" s="585" t="str">
        <f ca="1">IF(AND('Reconciliation report'!$E$476&gt;=1,'Reconciliation report'!$E$476&lt;&gt;"",'Reconciliation report'!$E$473=RefData!$B$112),'All Statement of strategy (D)'!$B1485&amp;$C1485,"")</f>
        <v/>
      </c>
      <c r="F1485" s="585" t="str">
        <f ca="1">IF(AND('Reconciliation report'!$E$476&gt;=1,'Reconciliation report'!$E$476&lt;&gt;"",'Reconciliation report'!$E$473=RefData!$B$112),'All Statement of strategy (D)'!$B1485&amp;$C1485,"")</f>
        <v/>
      </c>
      <c r="G1485" s="585" t="str">
        <f>""</f>
        <v/>
      </c>
      <c r="H1485" s="585" t="str">
        <f>""</f>
        <v/>
      </c>
      <c r="I1485" s="595" t="str">
        <f ca="1">IF($C$1=RefData!$B$418,'All Statement of strategy (D)'!$E1485,IF('All Statement of strategy (D)'!$C$1=RefData!$B$419,'All Statement of strategy (D)'!$F1485,IF('All Statement of strategy (D)'!$C$1=RefData!$B$420,'All Statement of strategy (D)'!$G1485,IF('All Statement of strategy (D)'!$C$1=RefData!$B$421,'All Statement of strategy (D)'!$H1485," "))))</f>
        <v xml:space="preserve"> </v>
      </c>
    </row>
    <row r="1486" spans="1:9">
      <c r="A1486" s="584" t="s">
        <v>2630</v>
      </c>
      <c r="B1486" s="594" t="str">
        <f ca="1">IF('Reconciliation report'!$E$794=RefData!$B$175,MID('Reconciliation report'!$E$795,3001,1000),"")</f>
        <v/>
      </c>
      <c r="D1486" s="624"/>
      <c r="E1486" s="585" t="str">
        <f ca="1">IF(AND('Reconciliation report'!$E$476&gt;=1,'Reconciliation report'!$E$476&lt;&gt;"",'Reconciliation report'!$E$473=RefData!$B$112),'All Statement of strategy (D)'!$B1486&amp;$C1486,"")</f>
        <v/>
      </c>
      <c r="F1486" s="585" t="str">
        <f ca="1">IF(AND('Reconciliation report'!$E$476&gt;=1,'Reconciliation report'!$E$476&lt;&gt;"",'Reconciliation report'!$E$473=RefData!$B$112),'All Statement of strategy (D)'!$B1486&amp;$C1486,"")</f>
        <v/>
      </c>
      <c r="G1486" s="585" t="str">
        <f>""</f>
        <v/>
      </c>
      <c r="H1486" s="585" t="str">
        <f>""</f>
        <v/>
      </c>
      <c r="I1486" s="595" t="str">
        <f ca="1">IF($C$1=RefData!$B$418,'All Statement of strategy (D)'!$E1486,IF('All Statement of strategy (D)'!$C$1=RefData!$B$419,'All Statement of strategy (D)'!$F1486,IF('All Statement of strategy (D)'!$C$1=RefData!$B$420,'All Statement of strategy (D)'!$G1486,IF('All Statement of strategy (D)'!$C$1=RefData!$B$421,'All Statement of strategy (D)'!$H1486," "))))</f>
        <v xml:space="preserve"> </v>
      </c>
    </row>
    <row r="1487" spans="1:9">
      <c r="A1487" s="584" t="s">
        <v>2631</v>
      </c>
      <c r="B1487" s="594" t="s">
        <v>2406</v>
      </c>
      <c r="C1487" s="585" t="str">
        <f ca="1">TEXT('Reconciliation report'!$E$796,RefData!$B$425)</f>
        <v/>
      </c>
      <c r="E1487" s="585" t="str">
        <f ca="1">IF(AND('Reconciliation report'!$E$794=RefData!$B$174,'Reconciliation report'!$E$476&gt;=1,'Reconciliation report'!$E$476&lt;&gt;"",'Reconciliation report'!$E$473=RefData!$B$112),'All Statement of strategy (D)'!$B1487&amp;$C1487,"")</f>
        <v/>
      </c>
      <c r="F1487" s="585" t="str">
        <f ca="1">IF(AND('Reconciliation report'!$E$794=RefData!$B$174,'Reconciliation report'!$E$476&gt;=1,'Reconciliation report'!$E$476&lt;&gt;"",'Reconciliation report'!$E$473=RefData!$B$112),'All Statement of strategy (D)'!$B1487&amp;$C1487,"")</f>
        <v/>
      </c>
      <c r="G1487" s="585" t="str">
        <f>""</f>
        <v/>
      </c>
      <c r="H1487" s="585" t="str">
        <f>""</f>
        <v/>
      </c>
      <c r="I1487" s="595" t="str">
        <f ca="1">IF($C$1=RefData!$B$418,'All Statement of strategy (D)'!$E1487,IF('All Statement of strategy (D)'!$C$1=RefData!$B$419,'All Statement of strategy (D)'!$F1487,IF('All Statement of strategy (D)'!$C$1=RefData!$B$420,'All Statement of strategy (D)'!$G1487,IF('All Statement of strategy (D)'!$C$1=RefData!$B$421,'All Statement of strategy (D)'!$H1487," "))))</f>
        <v xml:space="preserve"> </v>
      </c>
    </row>
    <row r="1488" spans="1:9">
      <c r="B1488" s="594" t="s">
        <v>2407</v>
      </c>
      <c r="E1488" s="585" t="str">
        <f ca="1">IF(AND('Reconciliation report'!$E$476&gt;=1,'Reconciliation report'!$E$476&lt;&gt;"",'Reconciliation report'!$E$473=RefData!$B$112),'All Statement of strategy (D)'!$B1488&amp;$C1488,"")</f>
        <v/>
      </c>
      <c r="F1488" s="585" t="str">
        <f ca="1">IF(AND('Reconciliation report'!$E$476&gt;=1,'Reconciliation report'!$E$476&lt;&gt;"",'Reconciliation report'!$E$473=RefData!$B$112),'All Statement of strategy (D)'!$B1488&amp;$C1488,"")</f>
        <v/>
      </c>
      <c r="G1488" s="585" t="str">
        <f>""</f>
        <v/>
      </c>
      <c r="H1488" s="585" t="str">
        <f>""</f>
        <v/>
      </c>
      <c r="I1488" s="595" t="str">
        <f ca="1">IF($C$1=RefData!$B$418,'All Statement of strategy (D)'!$E1488,IF('All Statement of strategy (D)'!$C$1=RefData!$B$419,'All Statement of strategy (D)'!$F1488,IF('All Statement of strategy (D)'!$C$1=RefData!$B$420,'All Statement of strategy (D)'!$G1488,IF('All Statement of strategy (D)'!$C$1=RefData!$B$421,'All Statement of strategy (D)'!$H1488," "))))</f>
        <v xml:space="preserve"> </v>
      </c>
    </row>
    <row r="1489" spans="1:9">
      <c r="A1489" s="584" t="s">
        <v>2632</v>
      </c>
      <c r="B1489" s="594" t="s">
        <v>2409</v>
      </c>
      <c r="C1489" s="585" t="str">
        <f ca="1">'Reconciliation report'!$E$797</f>
        <v/>
      </c>
      <c r="E1489" s="585" t="str">
        <f ca="1">IF(AND('Reconciliation report'!$E$476&gt;=1,'Reconciliation report'!$E$476&lt;&gt;"",'Reconciliation report'!$E$473=RefData!$B$112),'All Statement of strategy (D)'!$B1489&amp;$C1489,"")</f>
        <v/>
      </c>
      <c r="F1489" s="585" t="str">
        <f ca="1">IF(AND('Reconciliation report'!$E$476&gt;=1,'Reconciliation report'!$E$476&lt;&gt;"",'Reconciliation report'!$E$473=RefData!$B$112),'All Statement of strategy (D)'!$B1489&amp;$C1489,"")</f>
        <v/>
      </c>
      <c r="G1489" s="585" t="str">
        <f>""</f>
        <v/>
      </c>
      <c r="H1489" s="585" t="str">
        <f>""</f>
        <v/>
      </c>
      <c r="I1489" s="595" t="str">
        <f ca="1">IF($C$1=RefData!$B$418,'All Statement of strategy (D)'!$E1489,IF('All Statement of strategy (D)'!$C$1=RefData!$B$419,'All Statement of strategy (D)'!$F1489,IF('All Statement of strategy (D)'!$C$1=RefData!$B$420,'All Statement of strategy (D)'!$G1489,IF('All Statement of strategy (D)'!$C$1=RefData!$B$421,'All Statement of strategy (D)'!$H1489," "))))</f>
        <v xml:space="preserve"> </v>
      </c>
    </row>
    <row r="1490" spans="1:9">
      <c r="A1490" s="584" t="s">
        <v>2633</v>
      </c>
      <c r="B1490" s="594" t="s">
        <v>2411</v>
      </c>
      <c r="C1490" s="585" t="str">
        <f ca="1">'Reconciliation report'!$E$798</f>
        <v/>
      </c>
      <c r="E1490" s="585" t="str">
        <f ca="1">IF(AND('Reconciliation report'!$E$476&gt;=1,'Reconciliation report'!$E$476&lt;&gt;"",'Reconciliation report'!$E$473=RefData!$B$112),'All Statement of strategy (D)'!$B1490&amp;$C1490,"")</f>
        <v/>
      </c>
      <c r="F1490" s="585" t="str">
        <f ca="1">IF(AND('Reconciliation report'!$E$476&gt;=1,'Reconciliation report'!$E$476&lt;&gt;"",'Reconciliation report'!$E$473=RefData!$B$112),'All Statement of strategy (D)'!$B1490&amp;$C1490,"")</f>
        <v/>
      </c>
      <c r="G1490" s="585" t="str">
        <f>""</f>
        <v/>
      </c>
      <c r="H1490" s="585" t="str">
        <f>""</f>
        <v/>
      </c>
      <c r="I1490" s="595" t="str">
        <f ca="1">IF($C$1=RefData!$B$418,'All Statement of strategy (D)'!$E1490,IF('All Statement of strategy (D)'!$C$1=RefData!$B$419,'All Statement of strategy (D)'!$F1490,IF('All Statement of strategy (D)'!$C$1=RefData!$B$420,'All Statement of strategy (D)'!$G1490,IF('All Statement of strategy (D)'!$C$1=RefData!$B$421,'All Statement of strategy (D)'!$H1490," "))))</f>
        <v xml:space="preserve"> </v>
      </c>
    </row>
    <row r="1491" spans="1:9">
      <c r="A1491" s="584" t="s">
        <v>2634</v>
      </c>
      <c r="B1491" s="594" t="s">
        <v>2413</v>
      </c>
      <c r="C1491" s="585" t="str">
        <f ca="1">'Reconciliation report'!$E$799</f>
        <v/>
      </c>
      <c r="E1491" s="585" t="str">
        <f ca="1">IF(AND('Reconciliation report'!$E$476&gt;=1,'Reconciliation report'!$E$476&lt;&gt;"",'Reconciliation report'!$E$473=RefData!$B$112),'All Statement of strategy (D)'!$B1491&amp;$C1491,"")</f>
        <v/>
      </c>
      <c r="F1491" s="585" t="str">
        <f ca="1">IF(AND('Reconciliation report'!$E$476&gt;=1,'Reconciliation report'!$E$476&lt;&gt;"",'Reconciliation report'!$E$473=RefData!$B$112),'All Statement of strategy (D)'!$B1491&amp;$C1491,"")</f>
        <v/>
      </c>
      <c r="G1491" s="585" t="str">
        <f>""</f>
        <v/>
      </c>
      <c r="H1491" s="585" t="str">
        <f>""</f>
        <v/>
      </c>
      <c r="I1491" s="595" t="str">
        <f ca="1">IF($C$1=RefData!$B$418,'All Statement of strategy (D)'!$E1491,IF('All Statement of strategy (D)'!$C$1=RefData!$B$419,'All Statement of strategy (D)'!$F1491,IF('All Statement of strategy (D)'!$C$1=RefData!$B$420,'All Statement of strategy (D)'!$G1491,IF('All Statement of strategy (D)'!$C$1=RefData!$B$421,'All Statement of strategy (D)'!$H1491," "))))</f>
        <v xml:space="preserve"> </v>
      </c>
    </row>
    <row r="1492" spans="1:9">
      <c r="A1492" s="584" t="s">
        <v>2635</v>
      </c>
      <c r="B1492" s="594" t="s">
        <v>2415</v>
      </c>
      <c r="C1492" s="585" t="str">
        <f ca="1">'Reconciliation report'!$E$800</f>
        <v/>
      </c>
      <c r="E1492" s="585" t="str">
        <f ca="1">IF(AND('Reconciliation report'!$E$476&gt;=1,'Reconciliation report'!$E$476&lt;&gt;"",'Reconciliation report'!$E$473=RefData!$B$112),'All Statement of strategy (D)'!$B1492&amp;$C1492,"")</f>
        <v/>
      </c>
      <c r="F1492" s="585" t="str">
        <f ca="1">IF(AND('Reconciliation report'!$E$476&gt;=1,'Reconciliation report'!$E$476&lt;&gt;"",'Reconciliation report'!$E$473=RefData!$B$112),'All Statement of strategy (D)'!$B1492&amp;$C1492,"")</f>
        <v/>
      </c>
      <c r="G1492" s="585" t="str">
        <f>""</f>
        <v/>
      </c>
      <c r="H1492" s="585" t="str">
        <f>""</f>
        <v/>
      </c>
      <c r="I1492" s="595" t="str">
        <f ca="1">IF($C$1=RefData!$B$418,'All Statement of strategy (D)'!$E1492,IF('All Statement of strategy (D)'!$C$1=RefData!$B$419,'All Statement of strategy (D)'!$F1492,IF('All Statement of strategy (D)'!$C$1=RefData!$B$420,'All Statement of strategy (D)'!$G1492,IF('All Statement of strategy (D)'!$C$1=RefData!$B$421,'All Statement of strategy (D)'!$H1492," "))))</f>
        <v xml:space="preserve"> </v>
      </c>
    </row>
    <row r="1493" spans="1:9">
      <c r="A1493" s="584" t="s">
        <v>2636</v>
      </c>
      <c r="B1493" s="594" t="str">
        <f ca="1">IF('Reconciliation report'!$E$801=RefData!$B$159,LEFT('Reconciliation report'!$E$802,1000),"")</f>
        <v/>
      </c>
      <c r="E1493" s="585" t="str">
        <f ca="1">IF(AND('Reconciliation report'!$E$476&gt;=1,'Reconciliation report'!$E$476&lt;&gt;"",'Reconciliation report'!$E$473=RefData!$B$112),'All Statement of strategy (D)'!$B1493&amp;$C1493,"")</f>
        <v/>
      </c>
      <c r="F1493" s="585" t="str">
        <f ca="1">IF(AND('Reconciliation report'!$E$476&gt;=1,'Reconciliation report'!$E$476&lt;&gt;"",'Reconciliation report'!$E$473=RefData!$B$112),'All Statement of strategy (D)'!$B1493&amp;$C1493,"")</f>
        <v/>
      </c>
      <c r="G1493" s="585" t="str">
        <f>""</f>
        <v/>
      </c>
      <c r="H1493" s="585" t="str">
        <f>""</f>
        <v/>
      </c>
      <c r="I1493" s="595" t="str">
        <f ca="1">IF($C$1=RefData!$B$418,'All Statement of strategy (D)'!$E1493,IF('All Statement of strategy (D)'!$C$1=RefData!$B$419,'All Statement of strategy (D)'!$F1493,IF('All Statement of strategy (D)'!$C$1=RefData!$B$420,'All Statement of strategy (D)'!$G1493,IF('All Statement of strategy (D)'!$C$1=RefData!$B$421,'All Statement of strategy (D)'!$H1493," "))))</f>
        <v xml:space="preserve"> </v>
      </c>
    </row>
    <row r="1494" spans="1:9">
      <c r="A1494" s="584" t="s">
        <v>2636</v>
      </c>
      <c r="B1494" s="594" t="str">
        <f ca="1">IF('Reconciliation report'!$E$801=RefData!$B$159,MID('Reconciliation report'!$E$802,1001,1000),"")</f>
        <v/>
      </c>
      <c r="E1494" s="585" t="str">
        <f ca="1">IF(AND('Reconciliation report'!$E$476&gt;=1,'Reconciliation report'!$E$476&lt;&gt;"",'Reconciliation report'!$E$473=RefData!$B$112),'All Statement of strategy (D)'!$B1494&amp;$C1494,"")</f>
        <v/>
      </c>
      <c r="F1494" s="585" t="str">
        <f ca="1">IF(AND('Reconciliation report'!$E$476&gt;=1,'Reconciliation report'!$E$476&lt;&gt;"",'Reconciliation report'!$E$473=RefData!$B$112),'All Statement of strategy (D)'!$B1494&amp;$C1494,"")</f>
        <v/>
      </c>
      <c r="G1494" s="585" t="str">
        <f>""</f>
        <v/>
      </c>
      <c r="H1494" s="585" t="str">
        <f>""</f>
        <v/>
      </c>
      <c r="I1494" s="595" t="str">
        <f ca="1">IF($C$1=RefData!$B$418,'All Statement of strategy (D)'!$E1494,IF('All Statement of strategy (D)'!$C$1=RefData!$B$419,'All Statement of strategy (D)'!$F1494,IF('All Statement of strategy (D)'!$C$1=RefData!$B$420,'All Statement of strategy (D)'!$G1494,IF('All Statement of strategy (D)'!$C$1=RefData!$B$421,'All Statement of strategy (D)'!$H1494," "))))</f>
        <v xml:space="preserve"> </v>
      </c>
    </row>
    <row r="1495" spans="1:9">
      <c r="A1495" s="584" t="s">
        <v>2636</v>
      </c>
      <c r="B1495" s="594" t="str">
        <f ca="1">IF('Reconciliation report'!$E$801=RefData!$B$159,MID('Reconciliation report'!$E$802,2001,1000),"")</f>
        <v/>
      </c>
      <c r="E1495" s="585" t="str">
        <f ca="1">IF(AND('Reconciliation report'!$E$476&gt;=1,'Reconciliation report'!$E$476&lt;&gt;"",'Reconciliation report'!$E$473=RefData!$B$112),'All Statement of strategy (D)'!$B1495&amp;$C1495,"")</f>
        <v/>
      </c>
      <c r="F1495" s="585" t="str">
        <f ca="1">IF(AND('Reconciliation report'!$E$476&gt;=1,'Reconciliation report'!$E$476&lt;&gt;"",'Reconciliation report'!$E$473=RefData!$B$112),'All Statement of strategy (D)'!$B1495&amp;$C1495,"")</f>
        <v/>
      </c>
      <c r="G1495" s="585" t="str">
        <f>""</f>
        <v/>
      </c>
      <c r="H1495" s="585" t="str">
        <f>""</f>
        <v/>
      </c>
      <c r="I1495" s="595" t="str">
        <f ca="1">IF($C$1=RefData!$B$418,'All Statement of strategy (D)'!$E1495,IF('All Statement of strategy (D)'!$C$1=RefData!$B$419,'All Statement of strategy (D)'!$F1495,IF('All Statement of strategy (D)'!$C$1=RefData!$B$420,'All Statement of strategy (D)'!$G1495,IF('All Statement of strategy (D)'!$C$1=RefData!$B$421,'All Statement of strategy (D)'!$H1495," "))))</f>
        <v xml:space="preserve"> </v>
      </c>
    </row>
    <row r="1496" spans="1:9">
      <c r="A1496" s="584" t="s">
        <v>2636</v>
      </c>
      <c r="B1496" s="594" t="str">
        <f ca="1">IF('Reconciliation report'!$E$801=RefData!$B$159,MID('Reconciliation report'!$E$802,3001,1000),"")</f>
        <v/>
      </c>
      <c r="E1496" s="585" t="str">
        <f ca="1">IF(AND('Reconciliation report'!$E$476&gt;=1,'Reconciliation report'!$E$476&lt;&gt;"",'Reconciliation report'!$E$473=RefData!$B$112),'All Statement of strategy (D)'!$B1496&amp;$C1496,"")</f>
        <v/>
      </c>
      <c r="F1496" s="585" t="str">
        <f ca="1">IF(AND('Reconciliation report'!$E$476&gt;=1,'Reconciliation report'!$E$476&lt;&gt;"",'Reconciliation report'!$E$473=RefData!$B$112),'All Statement of strategy (D)'!$B1496&amp;$C1496,"")</f>
        <v/>
      </c>
      <c r="G1496" s="585" t="str">
        <f>""</f>
        <v/>
      </c>
      <c r="H1496" s="585" t="str">
        <f>""</f>
        <v/>
      </c>
      <c r="I1496" s="595" t="str">
        <f ca="1">IF($C$1=RefData!$B$418,'All Statement of strategy (D)'!$E1496,IF('All Statement of strategy (D)'!$C$1=RefData!$B$419,'All Statement of strategy (D)'!$F1496,IF('All Statement of strategy (D)'!$C$1=RefData!$B$420,'All Statement of strategy (D)'!$G1496,IF('All Statement of strategy (D)'!$C$1=RefData!$B$421,'All Statement of strategy (D)'!$H1496," "))))</f>
        <v xml:space="preserve"> </v>
      </c>
    </row>
    <row r="1497" spans="1:9">
      <c r="B1497" s="594" t="s">
        <v>2417</v>
      </c>
      <c r="E1497" s="585" t="str">
        <f ca="1">IF(AND('Reconciliation report'!$E$476&gt;=1,'Reconciliation report'!$E$476&lt;&gt;"",'Reconciliation report'!$E$473=RefData!$B$112),'All Statement of strategy (D)'!$B1497&amp;$C1497,"")</f>
        <v/>
      </c>
      <c r="F1497" s="585" t="str">
        <f ca="1">IF(AND('Reconciliation report'!$E$476&gt;=1,'Reconciliation report'!$E$476&lt;&gt;"",'Reconciliation report'!$E$473=RefData!$B$112),'All Statement of strategy (D)'!$B1497&amp;$C1497,"")</f>
        <v/>
      </c>
      <c r="G1497" s="585" t="str">
        <f>""</f>
        <v/>
      </c>
      <c r="H1497" s="585" t="str">
        <f>""</f>
        <v/>
      </c>
      <c r="I1497" s="595" t="str">
        <f ca="1">IF($C$1=RefData!$B$418,'All Statement of strategy (D)'!$E1497,IF('All Statement of strategy (D)'!$C$1=RefData!$B$419,'All Statement of strategy (D)'!$F1497,IF('All Statement of strategy (D)'!$C$1=RefData!$B$420,'All Statement of strategy (D)'!$G1497,IF('All Statement of strategy (D)'!$C$1=RefData!$B$421,'All Statement of strategy (D)'!$H1497," "))))</f>
        <v xml:space="preserve"> </v>
      </c>
    </row>
    <row r="1498" spans="1:9">
      <c r="A1498" s="584" t="s">
        <v>2637</v>
      </c>
      <c r="B1498" s="594" t="str">
        <f ca="1">B1497&amp;LEFT('Reconciliation report'!$E$803,1000)</f>
        <v xml:space="preserve">Triggers for termination: </v>
      </c>
      <c r="E1498" s="585" t="str">
        <f ca="1">IF(AND('Reconciliation report'!$E$476&gt;=1,'Reconciliation report'!$E$476&lt;&gt;"",'Reconciliation report'!$E$473=RefData!$B$112),'All Statement of strategy (D)'!$B1498&amp;$C1498,"")</f>
        <v/>
      </c>
      <c r="F1498" s="585" t="str">
        <f ca="1">IF(AND('Reconciliation report'!$E$476&gt;=1,'Reconciliation report'!$E$476&lt;&gt;"",'Reconciliation report'!$E$473=RefData!$B$112),'All Statement of strategy (D)'!$B1498&amp;$C1498,"")</f>
        <v/>
      </c>
      <c r="G1498" s="585" t="str">
        <f>""</f>
        <v/>
      </c>
      <c r="H1498" s="585" t="str">
        <f>""</f>
        <v/>
      </c>
      <c r="I1498" s="595" t="str">
        <f ca="1">IF($C$1=RefData!$B$418,'All Statement of strategy (D)'!$E1498,IF('All Statement of strategy (D)'!$C$1=RefData!$B$419,'All Statement of strategy (D)'!$F1498,IF('All Statement of strategy (D)'!$C$1=RefData!$B$420,'All Statement of strategy (D)'!$G1498,IF('All Statement of strategy (D)'!$C$1=RefData!$B$421,'All Statement of strategy (D)'!$H1498," "))))</f>
        <v xml:space="preserve"> </v>
      </c>
    </row>
    <row r="1499" spans="1:9">
      <c r="A1499" s="584" t="s">
        <v>2637</v>
      </c>
      <c r="B1499" s="594" t="str">
        <f ca="1">MID('Reconciliation report'!$E$803,1001,1000)</f>
        <v/>
      </c>
      <c r="E1499" s="585" t="str">
        <f ca="1">IF(AND('Reconciliation report'!$E$476&gt;=1,'Reconciliation report'!$E$476&lt;&gt;"",'Reconciliation report'!$E$473=RefData!$B$112),'All Statement of strategy (D)'!$B1499&amp;$C1499,"")</f>
        <v/>
      </c>
      <c r="F1499" s="585" t="str">
        <f ca="1">IF(AND('Reconciliation report'!$E$476&gt;=1,'Reconciliation report'!$E$476&lt;&gt;"",'Reconciliation report'!$E$473=RefData!$B$112),'All Statement of strategy (D)'!$B1499&amp;$C1499,"")</f>
        <v/>
      </c>
      <c r="G1499" s="585" t="str">
        <f>""</f>
        <v/>
      </c>
      <c r="H1499" s="585" t="str">
        <f>""</f>
        <v/>
      </c>
      <c r="I1499" s="595" t="str">
        <f ca="1">IF($C$1=RefData!$B$418,'All Statement of strategy (D)'!$E1499,IF('All Statement of strategy (D)'!$C$1=RefData!$B$419,'All Statement of strategy (D)'!$F1499,IF('All Statement of strategy (D)'!$C$1=RefData!$B$420,'All Statement of strategy (D)'!$G1499,IF('All Statement of strategy (D)'!$C$1=RefData!$B$421,'All Statement of strategy (D)'!$H1499," "))))</f>
        <v xml:space="preserve"> </v>
      </c>
    </row>
    <row r="1500" spans="1:9">
      <c r="A1500" s="584" t="s">
        <v>2637</v>
      </c>
      <c r="B1500" s="594" t="str">
        <f ca="1">MID('Reconciliation report'!$E$803,2001,1000)</f>
        <v/>
      </c>
      <c r="E1500" s="585" t="str">
        <f ca="1">IF(AND('Reconciliation report'!$E$476&gt;=1,'Reconciliation report'!$E$476&lt;&gt;"",'Reconciliation report'!$E$473=RefData!$B$112),'All Statement of strategy (D)'!$B1500&amp;$C1500,"")</f>
        <v/>
      </c>
      <c r="F1500" s="585" t="str">
        <f ca="1">IF(AND('Reconciliation report'!$E$476&gt;=1,'Reconciliation report'!$E$476&lt;&gt;"",'Reconciliation report'!$E$473=RefData!$B$112),'All Statement of strategy (D)'!$B1500&amp;$C1500,"")</f>
        <v/>
      </c>
      <c r="G1500" s="585" t="str">
        <f>""</f>
        <v/>
      </c>
      <c r="H1500" s="585" t="str">
        <f>""</f>
        <v/>
      </c>
      <c r="I1500" s="595" t="str">
        <f ca="1">IF($C$1=RefData!$B$418,'All Statement of strategy (D)'!$E1500,IF('All Statement of strategy (D)'!$C$1=RefData!$B$419,'All Statement of strategy (D)'!$F1500,IF('All Statement of strategy (D)'!$C$1=RefData!$B$420,'All Statement of strategy (D)'!$G1500,IF('All Statement of strategy (D)'!$C$1=RefData!$B$421,'All Statement of strategy (D)'!$H1500," "))))</f>
        <v xml:space="preserve"> </v>
      </c>
    </row>
    <row r="1501" spans="1:9" ht="16" thickBot="1">
      <c r="A1501" s="584" t="s">
        <v>2637</v>
      </c>
      <c r="B1501" s="597" t="str">
        <f ca="1">MID('Reconciliation report'!$E$803,3001,1000)</f>
        <v/>
      </c>
      <c r="C1501" s="598"/>
      <c r="D1501" s="598"/>
      <c r="E1501" s="598" t="str">
        <f ca="1">IF(AND('Reconciliation report'!$E$476&gt;=1,'Reconciliation report'!$E$476&lt;&gt;"",'Reconciliation report'!$E$473=RefData!$B$112),'All Statement of strategy (D)'!$B1501&amp;$C1501,"")</f>
        <v/>
      </c>
      <c r="F1501" s="598" t="str">
        <f ca="1">IF(AND('Reconciliation report'!$E$476&gt;=1,'Reconciliation report'!$E$476&lt;&gt;"",'Reconciliation report'!$E$473=RefData!$B$112),'All Statement of strategy (D)'!$B1501&amp;$C1501,"")</f>
        <v/>
      </c>
      <c r="G1501" s="598" t="str">
        <f>""</f>
        <v/>
      </c>
      <c r="H1501" s="598" t="str">
        <f>""</f>
        <v/>
      </c>
      <c r="I1501" s="599" t="str">
        <f ca="1">IF($C$1=RefData!$B$418,'All Statement of strategy (D)'!$E1501,IF('All Statement of strategy (D)'!$C$1=RefData!$B$419,'All Statement of strategy (D)'!$F1501,IF('All Statement of strategy (D)'!$C$1=RefData!$B$420,'All Statement of strategy (D)'!$G1501,IF('All Statement of strategy (D)'!$C$1=RefData!$B$421,'All Statement of strategy (D)'!$H1501," "))))</f>
        <v xml:space="preserve"> </v>
      </c>
    </row>
    <row r="1502" spans="1:9">
      <c r="B1502" s="590" t="s">
        <v>2638</v>
      </c>
      <c r="E1502" s="585" t="str">
        <f ca="1">IF(AND('Reconciliation report'!$E$476&gt;=2,'Reconciliation report'!$E$476&lt;&gt;"",'Reconciliation report'!$E$473=RefData!$B$112),'All Statement of strategy (D)'!$B1502&amp;$C1502,"")</f>
        <v/>
      </c>
      <c r="F1502" s="585" t="str">
        <f ca="1">IF(AND('Reconciliation report'!$E$476&gt;=2,'Reconciliation report'!$E$476&lt;&gt;"",'Reconciliation report'!$E$473=RefData!$B$112),'All Statement of strategy (D)'!$B1502&amp;$C1502,"")</f>
        <v/>
      </c>
      <c r="G1502" s="585" t="str">
        <f ca="1">IF(AND('Reconciliation report'!$E$476&gt;=2,'Reconciliation report'!$E$476&lt;&gt;"",'Reconciliation report'!$E$473=RefData!$B$112),'All Statement of strategy (D)'!$B1502&amp;$C1502,"")</f>
        <v/>
      </c>
      <c r="H1502" s="585" t="str">
        <f ca="1">IF(AND('Reconciliation report'!$E$476&gt;=2,'Reconciliation report'!$E$476&lt;&gt;"",'Reconciliation report'!$E$473=RefData!$B$112),'All Statement of strategy (D)'!$B1502&amp;$C1502,"")</f>
        <v/>
      </c>
      <c r="I1502" s="595" t="str">
        <f ca="1">IF($C$1=RefData!$B$418,'All Statement of strategy (D)'!$E1502,IF('All Statement of strategy (D)'!$C$1=RefData!$B$419,'All Statement of strategy (D)'!$F1502,IF('All Statement of strategy (D)'!$C$1=RefData!$B$420,'All Statement of strategy (D)'!$G1502,IF('All Statement of strategy (D)'!$C$1=RefData!$B$421,'All Statement of strategy (D)'!$H1502," "))))</f>
        <v xml:space="preserve"> </v>
      </c>
    </row>
    <row r="1503" spans="1:9">
      <c r="B1503" s="594" t="s">
        <v>2620</v>
      </c>
      <c r="E1503" s="585" t="str">
        <f ca="1">IF(AND('Reconciliation report'!$E$476&gt;=2,'Reconciliation report'!$E$476&lt;&gt;"",'Reconciliation report'!$E$473=RefData!$B$112),'All Statement of strategy (D)'!$B1503&amp;$C1503,"")</f>
        <v/>
      </c>
      <c r="F1503" s="585" t="str">
        <f ca="1">IF(AND('Reconciliation report'!$E$476&gt;=2,'Reconciliation report'!$E$476&lt;&gt;"",'Reconciliation report'!$E$473=RefData!$B$112),'All Statement of strategy (D)'!$B1503&amp;$C1503,"")</f>
        <v/>
      </c>
      <c r="G1503" s="585" t="str">
        <f ca="1">IF(AND('Reconciliation report'!$E$476&gt;=2,'Reconciliation report'!$E$476&lt;&gt;"",'Reconciliation report'!$E$473=RefData!$B$112),'All Statement of strategy (D)'!$B1503&amp;$C1503,"")</f>
        <v/>
      </c>
      <c r="H1503" s="585" t="str">
        <f ca="1">IF(AND('Reconciliation report'!$E$476&gt;=2,'Reconciliation report'!$E$476&lt;&gt;"",'Reconciliation report'!$E$473=RefData!$B$112),'All Statement of strategy (D)'!$B1503&amp;$C1503,"")</f>
        <v/>
      </c>
      <c r="I1503" s="595" t="str">
        <f ca="1">IF($C$1=RefData!$B$418,'All Statement of strategy (D)'!$E1503,IF('All Statement of strategy (D)'!$C$1=RefData!$B$419,'All Statement of strategy (D)'!$F1503,IF('All Statement of strategy (D)'!$C$1=RefData!$B$420,'All Statement of strategy (D)'!$G1503,IF('All Statement of strategy (D)'!$C$1=RefData!$B$421,'All Statement of strategy (D)'!$H1503," "))))</f>
        <v xml:space="preserve"> </v>
      </c>
    </row>
    <row r="1504" spans="1:9">
      <c r="A1504" s="584" t="s">
        <v>2639</v>
      </c>
      <c r="B1504" s="594" t="str">
        <f ca="1">B1503&amp;IF(OR('Reconciliation report'!$E$804=RefData!$B$164,'Reconciliation report'!$E$804=RefData!$B$165),"",'Reconciliation report'!$E$804)</f>
        <v xml:space="preserve">Type of contingent asset: </v>
      </c>
      <c r="E1504" s="585" t="str">
        <f ca="1">IF(AND('Reconciliation report'!$E$476&gt;=2,'Reconciliation report'!$E$476&lt;&gt;"",'Reconciliation report'!$E$473=RefData!$B$112),'All Statement of strategy (D)'!$B1504&amp;$C1504,"")</f>
        <v/>
      </c>
      <c r="F1504" s="585" t="str">
        <f ca="1">IF(AND('Reconciliation report'!$E$476&gt;=2,'Reconciliation report'!$E$476&lt;&gt;"",'Reconciliation report'!$E$473=RefData!$B$112),'All Statement of strategy (D)'!$B1504&amp;$C1504,"")</f>
        <v/>
      </c>
      <c r="G1504" s="585" t="str">
        <f ca="1">IF(AND('Reconciliation report'!$E$476&gt;=2,'Reconciliation report'!$E$476&lt;&gt;"",'Reconciliation report'!$E$473=RefData!$B$112),'All Statement of strategy (D)'!$B1504&amp;$C1504,"")</f>
        <v/>
      </c>
      <c r="H1504" s="585" t="str">
        <f ca="1">IF(AND('Reconciliation report'!$E$476&gt;=2,'Reconciliation report'!$E$476&lt;&gt;"",'Reconciliation report'!$E$473=RefData!$B$112),'All Statement of strategy (D)'!$B1504&amp;$C1504,"")</f>
        <v/>
      </c>
      <c r="I1504" s="595" t="str">
        <f ca="1">IF($C$1=RefData!$B$418,'All Statement of strategy (D)'!$E1504,IF('All Statement of strategy (D)'!$C$1=RefData!$B$419,'All Statement of strategy (D)'!$F1504,IF('All Statement of strategy (D)'!$C$1=RefData!$B$420,'All Statement of strategy (D)'!$G1504,IF('All Statement of strategy (D)'!$C$1=RefData!$B$421,'All Statement of strategy (D)'!$H1504," "))))</f>
        <v xml:space="preserve"> </v>
      </c>
    </row>
    <row r="1505" spans="1:9">
      <c r="A1505" s="584" t="s">
        <v>2640</v>
      </c>
      <c r="B1505" s="594" t="str">
        <f ca="1">B1504&amp;IF(OR('Reconciliation report'!$E$804=RefData!$B$164,'Reconciliation report'!$E$804=RefData!$B$165),"Description of asset and counterparty(s) where applicable: ","")</f>
        <v xml:space="preserve">Type of contingent asset: </v>
      </c>
      <c r="E1505" s="585" t="str">
        <f ca="1">IF(AND('Reconciliation report'!$E$476&gt;=2,'Reconciliation report'!$E$476&lt;&gt;"",'Reconciliation report'!$E$473=RefData!$B$112),'All Statement of strategy (D)'!$B1505&amp;$C1505,"")</f>
        <v/>
      </c>
      <c r="F1505" s="585" t="str">
        <f ca="1">IF(AND('Reconciliation report'!$E$476&gt;=2,'Reconciliation report'!$E$476&lt;&gt;"",'Reconciliation report'!$E$473=RefData!$B$112),'All Statement of strategy (D)'!$B1505&amp;$C1505,"")</f>
        <v/>
      </c>
      <c r="G1505" s="585" t="str">
        <f ca="1">IF(AND('Reconciliation report'!$E$476&gt;=2,'Reconciliation report'!$E$476&lt;&gt;"",'Reconciliation report'!$E$473=RefData!$B$112),'All Statement of strategy (D)'!$B1505&amp;$C1505,"")</f>
        <v/>
      </c>
      <c r="H1505" s="585" t="str">
        <f ca="1">IF(AND('Reconciliation report'!$E$476&gt;=2,'Reconciliation report'!$E$476&lt;&gt;"",'Reconciliation report'!$E$473=RefData!$B$112),'All Statement of strategy (D)'!$B1505&amp;$C1505,"")</f>
        <v/>
      </c>
      <c r="I1505" s="595" t="str">
        <f ca="1">IF($C$1=RefData!$B$418,'All Statement of strategy (D)'!$E1505,IF('All Statement of strategy (D)'!$C$1=RefData!$B$419,'All Statement of strategy (D)'!$F1505,IF('All Statement of strategy (D)'!$C$1=RefData!$B$420,'All Statement of strategy (D)'!$G1505,IF('All Statement of strategy (D)'!$C$1=RefData!$B$421,'All Statement of strategy (D)'!$H1505," "))))</f>
        <v xml:space="preserve"> </v>
      </c>
    </row>
    <row r="1506" spans="1:9">
      <c r="A1506" s="584" t="s">
        <v>2641</v>
      </c>
      <c r="B1506" s="594" t="str">
        <f ca="1">B1505&amp;IF(OR('Reconciliation report'!$E$804=RefData!$B$164,'Reconciliation report'!$E$804=RefData!$B$165),LEFT('Reconciliation report'!$E$805,1000),"")</f>
        <v xml:space="preserve">Type of contingent asset: </v>
      </c>
      <c r="E1506" s="585" t="str">
        <f ca="1">IF(AND('Reconciliation report'!$E$476&gt;=2,'Reconciliation report'!$E$476&lt;&gt;"",'Reconciliation report'!$E$473=RefData!$B$112),'All Statement of strategy (D)'!$B1506&amp;$C1506,"")</f>
        <v/>
      </c>
      <c r="F1506" s="585" t="str">
        <f ca="1">IF(AND('Reconciliation report'!$E$476&gt;=2,'Reconciliation report'!$E$476&lt;&gt;"",'Reconciliation report'!$E$473=RefData!$B$112),'All Statement of strategy (D)'!$B1506&amp;$C1506,"")</f>
        <v/>
      </c>
      <c r="G1506" s="585" t="str">
        <f ca="1">IF(AND('Reconciliation report'!$E$476&gt;=2,'Reconciliation report'!$E$476&lt;&gt;"",'Reconciliation report'!$E$473=RefData!$B$112),'All Statement of strategy (D)'!$B1506&amp;$C1506,"")</f>
        <v/>
      </c>
      <c r="H1506" s="585" t="str">
        <f ca="1">IF(AND('Reconciliation report'!$E$476&gt;=2,'Reconciliation report'!$E$476&lt;&gt;"",'Reconciliation report'!$E$473=RefData!$B$112),'All Statement of strategy (D)'!$B1506&amp;$C1506,"")</f>
        <v/>
      </c>
      <c r="I1506" s="595" t="str">
        <f ca="1">IF($C$1=RefData!$B$418,'All Statement of strategy (D)'!$E1506,IF('All Statement of strategy (D)'!$C$1=RefData!$B$419,'All Statement of strategy (D)'!$F1506,IF('All Statement of strategy (D)'!$C$1=RefData!$B$420,'All Statement of strategy (D)'!$G1506,IF('All Statement of strategy (D)'!$C$1=RefData!$B$421,'All Statement of strategy (D)'!$H1506," "))))</f>
        <v xml:space="preserve"> </v>
      </c>
    </row>
    <row r="1507" spans="1:9">
      <c r="A1507" s="584" t="s">
        <v>2641</v>
      </c>
      <c r="B1507" s="594" t="str">
        <f ca="1">IF(OR('Reconciliation report'!$E$804=RefData!$B$164,'Reconciliation report'!$E$804=RefData!$B$165),MID('Reconciliation report'!$E$805,1001,1000),"")</f>
        <v/>
      </c>
      <c r="E1507" s="585" t="str">
        <f ca="1">IF(AND('Reconciliation report'!$E$476&gt;=2,'Reconciliation report'!$E$476&lt;&gt;"",'Reconciliation report'!$E$473=RefData!$B$112),'All Statement of strategy (D)'!$B1507&amp;$C1507,"")</f>
        <v/>
      </c>
      <c r="F1507" s="585" t="str">
        <f ca="1">IF(AND('Reconciliation report'!$E$476&gt;=2,'Reconciliation report'!$E$476&lt;&gt;"",'Reconciliation report'!$E$473=RefData!$B$112),'All Statement of strategy (D)'!$B1507&amp;$C1507,"")</f>
        <v/>
      </c>
      <c r="G1507" s="585" t="str">
        <f ca="1">IF(AND('Reconciliation report'!$E$476&gt;=2,'Reconciliation report'!$E$476&lt;&gt;"",'Reconciliation report'!$E$473=RefData!$B$112),'All Statement of strategy (D)'!$B1507&amp;$C1507,"")</f>
        <v/>
      </c>
      <c r="H1507" s="585" t="str">
        <f ca="1">IF(AND('Reconciliation report'!$E$476&gt;=2,'Reconciliation report'!$E$476&lt;&gt;"",'Reconciliation report'!$E$473=RefData!$B$112),'All Statement of strategy (D)'!$B1507&amp;$C1507,"")</f>
        <v/>
      </c>
      <c r="I1507" s="595" t="str">
        <f ca="1">IF($C$1=RefData!$B$418,'All Statement of strategy (D)'!$E1507,IF('All Statement of strategy (D)'!$C$1=RefData!$B$419,'All Statement of strategy (D)'!$F1507,IF('All Statement of strategy (D)'!$C$1=RefData!$B$420,'All Statement of strategy (D)'!$G1507,IF('All Statement of strategy (D)'!$C$1=RefData!$B$421,'All Statement of strategy (D)'!$H1507," "))))</f>
        <v xml:space="preserve"> </v>
      </c>
    </row>
    <row r="1508" spans="1:9">
      <c r="A1508" s="584" t="s">
        <v>2641</v>
      </c>
      <c r="B1508" s="594" t="str">
        <f ca="1">IF(OR('Reconciliation report'!$E$804=RefData!$B$164,'Reconciliation report'!$E$804=RefData!$B$165),MID('Reconciliation report'!$E$805,2001,1000),"")</f>
        <v/>
      </c>
      <c r="E1508" s="585" t="str">
        <f ca="1">IF(AND('Reconciliation report'!$E$476&gt;=2,'Reconciliation report'!$E$476&lt;&gt;"",'Reconciliation report'!$E$473=RefData!$B$112),'All Statement of strategy (D)'!$B1508&amp;$C1508,"")</f>
        <v/>
      </c>
      <c r="F1508" s="585" t="str">
        <f ca="1">IF(AND('Reconciliation report'!$E$476&gt;=2,'Reconciliation report'!$E$476&lt;&gt;"",'Reconciliation report'!$E$473=RefData!$B$112),'All Statement of strategy (D)'!$B1508&amp;$C1508,"")</f>
        <v/>
      </c>
      <c r="G1508" s="585" t="str">
        <f ca="1">IF(AND('Reconciliation report'!$E$476&gt;=2,'Reconciliation report'!$E$476&lt;&gt;"",'Reconciliation report'!$E$473=RefData!$B$112),'All Statement of strategy (D)'!$B1508&amp;$C1508,"")</f>
        <v/>
      </c>
      <c r="H1508" s="585" t="str">
        <f ca="1">IF(AND('Reconciliation report'!$E$476&gt;=2,'Reconciliation report'!$E$476&lt;&gt;"",'Reconciliation report'!$E$473=RefData!$B$112),'All Statement of strategy (D)'!$B1508&amp;$C1508,"")</f>
        <v/>
      </c>
      <c r="I1508" s="595" t="str">
        <f ca="1">IF($C$1=RefData!$B$418,'All Statement of strategy (D)'!$E1508,IF('All Statement of strategy (D)'!$C$1=RefData!$B$419,'All Statement of strategy (D)'!$F1508,IF('All Statement of strategy (D)'!$C$1=RefData!$B$420,'All Statement of strategy (D)'!$G1508,IF('All Statement of strategy (D)'!$C$1=RefData!$B$421,'All Statement of strategy (D)'!$H1508," "))))</f>
        <v xml:space="preserve"> </v>
      </c>
    </row>
    <row r="1509" spans="1:9">
      <c r="A1509" s="584" t="s">
        <v>2641</v>
      </c>
      <c r="B1509" s="594" t="str">
        <f ca="1">IF(OR('Reconciliation report'!$E$804=RefData!$B$164,'Reconciliation report'!$E$804=RefData!$B$165),MID('Reconciliation report'!$E$805,3001,1000),"")</f>
        <v/>
      </c>
      <c r="E1509" s="585" t="str">
        <f ca="1">IF(AND('Reconciliation report'!$E$476&gt;=2,'Reconciliation report'!$E$476&lt;&gt;"",'Reconciliation report'!$E$473=RefData!$B$112),'All Statement of strategy (D)'!$B1509&amp;$C1509,"")</f>
        <v/>
      </c>
      <c r="F1509" s="585" t="str">
        <f ca="1">IF(AND('Reconciliation report'!$E$476&gt;=2,'Reconciliation report'!$E$476&lt;&gt;"",'Reconciliation report'!$E$473=RefData!$B$112),'All Statement of strategy (D)'!$B1509&amp;$C1509,"")</f>
        <v/>
      </c>
      <c r="G1509" s="585" t="str">
        <f ca="1">IF(AND('Reconciliation report'!$E$476&gt;=2,'Reconciliation report'!$E$476&lt;&gt;"",'Reconciliation report'!$E$473=RefData!$B$112),'All Statement of strategy (D)'!$B1509&amp;$C1509,"")</f>
        <v/>
      </c>
      <c r="H1509" s="585" t="str">
        <f ca="1">IF(AND('Reconciliation report'!$E$476&gt;=2,'Reconciliation report'!$E$476&lt;&gt;"",'Reconciliation report'!$E$473=RefData!$B$112),'All Statement of strategy (D)'!$B1509&amp;$C1509,"")</f>
        <v/>
      </c>
      <c r="I1509" s="595" t="str">
        <f ca="1">IF($C$1=RefData!$B$418,'All Statement of strategy (D)'!$E1509,IF('All Statement of strategy (D)'!$C$1=RefData!$B$419,'All Statement of strategy (D)'!$F1509,IF('All Statement of strategy (D)'!$C$1=RefData!$B$420,'All Statement of strategy (D)'!$G1509,IF('All Statement of strategy (D)'!$C$1=RefData!$B$421,'All Statement of strategy (D)'!$H1509," "))))</f>
        <v xml:space="preserve"> </v>
      </c>
    </row>
    <row r="1510" spans="1:9">
      <c r="A1510" s="604"/>
      <c r="B1510" s="594" t="s">
        <v>2532</v>
      </c>
      <c r="D1510" s="624"/>
      <c r="E1510" s="585" t="str">
        <f ca="1">IF(AND('Reconciliation report'!$E$476&gt;=2,'Reconciliation report'!$E$476&lt;&gt;"",'Reconciliation report'!$E$473=RefData!$B$112),'All Statement of strategy (D)'!$B1510&amp;$C1510,"")</f>
        <v/>
      </c>
      <c r="F1510" s="585" t="str">
        <f ca="1">IF(AND('Reconciliation report'!$E$476&gt;=2,'Reconciliation report'!$E$476&lt;&gt;"",'Reconciliation report'!$E$473=RefData!$B$112),'All Statement of strategy (D)'!$B1510&amp;$C1510,"")</f>
        <v/>
      </c>
      <c r="G1510" s="585" t="str">
        <f>""</f>
        <v/>
      </c>
      <c r="H1510" s="585" t="str">
        <f>""</f>
        <v/>
      </c>
      <c r="I1510" s="595" t="str">
        <f ca="1">IF($C$1=RefData!$B$418,'All Statement of strategy (D)'!$E1510,IF('All Statement of strategy (D)'!$C$1=RefData!$B$419,'All Statement of strategy (D)'!$F1510,IF('All Statement of strategy (D)'!$C$1=RefData!$B$420,'All Statement of strategy (D)'!$G1510,IF('All Statement of strategy (D)'!$C$1=RefData!$B$421,'All Statement of strategy (D)'!$H1510," "))))</f>
        <v xml:space="preserve"> </v>
      </c>
    </row>
    <row r="1511" spans="1:9">
      <c r="A1511" s="584" t="s">
        <v>2642</v>
      </c>
      <c r="B1511" s="594" t="str">
        <f ca="1">B1510&amp;IF('Reconciliation report'!$E$806=RefData!$B$166,'Reconciliation report'!$E$806,"")</f>
        <v xml:space="preserve">Type of maturity: </v>
      </c>
      <c r="D1511" s="624"/>
      <c r="E1511" s="585" t="str">
        <f ca="1">IF(AND('Reconciliation report'!$E$476&gt;=2,'Reconciliation report'!$E$476&lt;&gt;"",'Reconciliation report'!$E$473=RefData!$B$112),'All Statement of strategy (D)'!$B1511&amp;$C1511,"")</f>
        <v/>
      </c>
      <c r="F1511" s="585" t="str">
        <f ca="1">IF(AND('Reconciliation report'!$E$476&gt;=2,'Reconciliation report'!$E$476&lt;&gt;"",'Reconciliation report'!$E$473=RefData!$B$112),'All Statement of strategy (D)'!$B1511&amp;$C1511,"")</f>
        <v/>
      </c>
      <c r="G1511" s="585" t="str">
        <f>""</f>
        <v/>
      </c>
      <c r="H1511" s="585" t="str">
        <f>""</f>
        <v/>
      </c>
      <c r="I1511" s="595" t="str">
        <f ca="1">IF($C$1=RefData!$B$418,'All Statement of strategy (D)'!$E1511,IF('All Statement of strategy (D)'!$C$1=RefData!$B$419,'All Statement of strategy (D)'!$F1511,IF('All Statement of strategy (D)'!$C$1=RefData!$B$420,'All Statement of strategy (D)'!$G1511,IF('All Statement of strategy (D)'!$C$1=RefData!$B$421,'All Statement of strategy (D)'!$H1511," "))))</f>
        <v xml:space="preserve"> </v>
      </c>
    </row>
    <row r="1512" spans="1:9">
      <c r="A1512" s="584" t="s">
        <v>2643</v>
      </c>
      <c r="B1512" s="594" t="str">
        <f ca="1">B1511&amp;IF('Reconciliation report'!$E$806=RefData!$B$167,"Fixed expiry with a maturity date of "&amp;TEXT('Reconciliation report'!$E$807,RefData!$B$424),"")</f>
        <v xml:space="preserve">Type of maturity: </v>
      </c>
      <c r="D1512" s="624"/>
      <c r="E1512" s="585" t="str">
        <f ca="1">IF(AND('Reconciliation report'!$E$476&gt;=2,'Reconciliation report'!$E$476&lt;&gt;"",'Reconciliation report'!$E$473=RefData!$B$112),'All Statement of strategy (D)'!$B1512&amp;$C1512,"")</f>
        <v/>
      </c>
      <c r="F1512" s="585" t="str">
        <f ca="1">IF(AND('Reconciliation report'!$E$476&gt;=2,'Reconciliation report'!$E$476&lt;&gt;"",'Reconciliation report'!$E$473=RefData!$B$112),'All Statement of strategy (D)'!$B1512&amp;$C1512,"")</f>
        <v/>
      </c>
      <c r="G1512" s="585" t="str">
        <f>""</f>
        <v/>
      </c>
      <c r="H1512" s="585" t="str">
        <f>""</f>
        <v/>
      </c>
      <c r="I1512" s="595" t="str">
        <f ca="1">IF($C$1=RefData!$B$418,'All Statement of strategy (D)'!$E1512,IF('All Statement of strategy (D)'!$C$1=RefData!$B$419,'All Statement of strategy (D)'!$F1512,IF('All Statement of strategy (D)'!$C$1=RefData!$B$420,'All Statement of strategy (D)'!$G1512,IF('All Statement of strategy (D)'!$C$1=RefData!$B$421,'All Statement of strategy (D)'!$H1512," "))))</f>
        <v xml:space="preserve"> </v>
      </c>
    </row>
    <row r="1513" spans="1:9">
      <c r="A1513" s="584" t="s">
        <v>2644</v>
      </c>
      <c r="B1513" s="594" t="str">
        <f ca="1">B1512&amp;IF('Reconciliation report'!$E$806=RefData!$B$168,LEFT('Reconciliation report'!$E$808,1000),"")</f>
        <v xml:space="preserve">Type of maturity: </v>
      </c>
      <c r="D1513" s="624"/>
      <c r="E1513" s="585" t="str">
        <f ca="1">IF(AND('Reconciliation report'!$E$476&gt;=2,'Reconciliation report'!$E$476&lt;&gt;"",'Reconciliation report'!$E$473=RefData!$B$112),'All Statement of strategy (D)'!$B1513&amp;$C1513,"")</f>
        <v/>
      </c>
      <c r="F1513" s="585" t="str">
        <f ca="1">IF(AND('Reconciliation report'!$E$476&gt;=2,'Reconciliation report'!$E$476&lt;&gt;"",'Reconciliation report'!$E$473=RefData!$B$112),'All Statement of strategy (D)'!$B1513&amp;$C1513,"")</f>
        <v/>
      </c>
      <c r="G1513" s="585" t="str">
        <f>""</f>
        <v/>
      </c>
      <c r="H1513" s="585" t="str">
        <f>""</f>
        <v/>
      </c>
      <c r="I1513" s="595" t="str">
        <f ca="1">IF($C$1=RefData!$B$418,'All Statement of strategy (D)'!$E1513,IF('All Statement of strategy (D)'!$C$1=RefData!$B$419,'All Statement of strategy (D)'!$F1513,IF('All Statement of strategy (D)'!$C$1=RefData!$B$420,'All Statement of strategy (D)'!$G1513,IF('All Statement of strategy (D)'!$C$1=RefData!$B$421,'All Statement of strategy (D)'!$H1513," "))))</f>
        <v xml:space="preserve"> </v>
      </c>
    </row>
    <row r="1514" spans="1:9">
      <c r="A1514" s="584" t="s">
        <v>2644</v>
      </c>
      <c r="B1514" s="594" t="str">
        <f ca="1">IF('Reconciliation report'!$E$806=RefData!$B$168,MID('Reconciliation report'!$E$808,1001,1000),"")</f>
        <v/>
      </c>
      <c r="D1514" s="624"/>
      <c r="E1514" s="585" t="str">
        <f ca="1">IF(AND('Reconciliation report'!$E$476&gt;=2,'Reconciliation report'!$E$476&lt;&gt;"",'Reconciliation report'!$E$473=RefData!$B$112),'All Statement of strategy (D)'!$B1514&amp;$C1514,"")</f>
        <v/>
      </c>
      <c r="F1514" s="585" t="str">
        <f ca="1">IF(AND('Reconciliation report'!$E$476&gt;=2,'Reconciliation report'!$E$476&lt;&gt;"",'Reconciliation report'!$E$473=RefData!$B$112),'All Statement of strategy (D)'!$B1514&amp;$C1514,"")</f>
        <v/>
      </c>
      <c r="G1514" s="585" t="str">
        <f>""</f>
        <v/>
      </c>
      <c r="H1514" s="585" t="str">
        <f>""</f>
        <v/>
      </c>
      <c r="I1514" s="595" t="str">
        <f ca="1">IF($C$1=RefData!$B$418,'All Statement of strategy (D)'!$E1514,IF('All Statement of strategy (D)'!$C$1=RefData!$B$419,'All Statement of strategy (D)'!$F1514,IF('All Statement of strategy (D)'!$C$1=RefData!$B$420,'All Statement of strategy (D)'!$G1514,IF('All Statement of strategy (D)'!$C$1=RefData!$B$421,'All Statement of strategy (D)'!$H1514," "))))</f>
        <v xml:space="preserve"> </v>
      </c>
    </row>
    <row r="1515" spans="1:9">
      <c r="A1515" s="584" t="s">
        <v>2644</v>
      </c>
      <c r="B1515" s="594" t="str">
        <f ca="1">IF('Reconciliation report'!$E$806=RefData!$B$168,MID('Reconciliation report'!$E$808,2001,1000),"")</f>
        <v/>
      </c>
      <c r="D1515" s="624"/>
      <c r="E1515" s="585" t="str">
        <f ca="1">IF(AND('Reconciliation report'!$E$476&gt;=2,'Reconciliation report'!$E$476&lt;&gt;"",'Reconciliation report'!$E$473=RefData!$B$112),'All Statement of strategy (D)'!$B1515&amp;$C1515,"")</f>
        <v/>
      </c>
      <c r="F1515" s="585" t="str">
        <f ca="1">IF(AND('Reconciliation report'!$E$476&gt;=2,'Reconciliation report'!$E$476&lt;&gt;"",'Reconciliation report'!$E$473=RefData!$B$112),'All Statement of strategy (D)'!$B1515&amp;$C1515,"")</f>
        <v/>
      </c>
      <c r="G1515" s="585" t="str">
        <f>""</f>
        <v/>
      </c>
      <c r="H1515" s="585" t="str">
        <f>""</f>
        <v/>
      </c>
      <c r="I1515" s="595" t="str">
        <f ca="1">IF($C$1=RefData!$B$418,'All Statement of strategy (D)'!$E1515,IF('All Statement of strategy (D)'!$C$1=RefData!$B$419,'All Statement of strategy (D)'!$F1515,IF('All Statement of strategy (D)'!$C$1=RefData!$B$420,'All Statement of strategy (D)'!$G1515,IF('All Statement of strategy (D)'!$C$1=RefData!$B$421,'All Statement of strategy (D)'!$H1515," "))))</f>
        <v xml:space="preserve"> </v>
      </c>
    </row>
    <row r="1516" spans="1:9">
      <c r="A1516" s="584" t="s">
        <v>2644</v>
      </c>
      <c r="B1516" s="594" t="str">
        <f ca="1">IF('Reconciliation report'!$E$806=RefData!$B$168,MID('Reconciliation report'!$E$808,3001,1000),"")</f>
        <v/>
      </c>
      <c r="D1516" s="624"/>
      <c r="E1516" s="585" t="str">
        <f ca="1">IF(AND('Reconciliation report'!$E$476&gt;=2,'Reconciliation report'!$E$476&lt;&gt;"",'Reconciliation report'!$E$473=RefData!$B$112),'All Statement of strategy (D)'!$B1516&amp;$C1516,"")</f>
        <v/>
      </c>
      <c r="F1516" s="585" t="str">
        <f ca="1">IF(AND('Reconciliation report'!$E$476&gt;=2,'Reconciliation report'!$E$476&lt;&gt;"",'Reconciliation report'!$E$473=RefData!$B$112),'All Statement of strategy (D)'!$B1516&amp;$C1516,"")</f>
        <v/>
      </c>
      <c r="G1516" s="585" t="str">
        <f>""</f>
        <v/>
      </c>
      <c r="H1516" s="585" t="str">
        <f>""</f>
        <v/>
      </c>
      <c r="I1516" s="595" t="str">
        <f ca="1">IF($C$1=RefData!$B$418,'All Statement of strategy (D)'!$E1516,IF('All Statement of strategy (D)'!$C$1=RefData!$B$419,'All Statement of strategy (D)'!$F1516,IF('All Statement of strategy (D)'!$C$1=RefData!$B$420,'All Statement of strategy (D)'!$G1516,IF('All Statement of strategy (D)'!$C$1=RefData!$B$421,'All Statement of strategy (D)'!$H1516," "))))</f>
        <v xml:space="preserve"> </v>
      </c>
    </row>
    <row r="1517" spans="1:9">
      <c r="A1517" s="584" t="s">
        <v>2645</v>
      </c>
      <c r="B1517" s="594" t="s">
        <v>2399</v>
      </c>
      <c r="E1517" s="585" t="str">
        <f ca="1">IF(AND('Reconciliation report'!$E$476&gt;=2,'Reconciliation report'!$E$476&lt;&gt;"",'Reconciliation report'!$E$473=RefData!$B$112),'All Statement of strategy (D)'!$B1517&amp;$C1517,"")</f>
        <v/>
      </c>
      <c r="F1517" s="585" t="str">
        <f ca="1">IF(AND('Reconciliation report'!$E$476&gt;=2,'Reconciliation report'!$E$476&lt;&gt;"",'Reconciliation report'!$E$473=RefData!$B$112),'All Statement of strategy (D)'!$B1517&amp;$C1517,"")</f>
        <v/>
      </c>
      <c r="G1517" s="585" t="str">
        <f ca="1">IF(AND('Reconciliation report'!$E$476&gt;=2,'Reconciliation report'!$E$476&lt;&gt;"",'Reconciliation report'!$E$473=RefData!$B$112),'All Statement of strategy (D)'!$B1517&amp;$C1517,"")</f>
        <v/>
      </c>
      <c r="H1517" s="585" t="str">
        <f ca="1">IF(AND('Reconciliation report'!$E$476&gt;=2,'Reconciliation report'!$E$476&lt;&gt;"",'Reconciliation report'!$E$473=RefData!$B$112),'All Statement of strategy (D)'!$B1517&amp;$C1517,"")</f>
        <v/>
      </c>
      <c r="I1517" s="595" t="str">
        <f ca="1">IF($C$1=RefData!$B$418,'All Statement of strategy (D)'!$E1517,IF('All Statement of strategy (D)'!$C$1=RefData!$B$419,'All Statement of strategy (D)'!$F1517,IF('All Statement of strategy (D)'!$C$1=RefData!$B$420,'All Statement of strategy (D)'!$G1517,IF('All Statement of strategy (D)'!$C$1=RefData!$B$421,'All Statement of strategy (D)'!$H1517," "))))</f>
        <v xml:space="preserve"> </v>
      </c>
    </row>
    <row r="1518" spans="1:9">
      <c r="B1518" s="594" t="s">
        <v>2400</v>
      </c>
      <c r="C1518" s="585" t="str">
        <f ca="1">TEXT('Reconciliation report'!$E$809,RefData!$B$425)</f>
        <v/>
      </c>
      <c r="E1518" s="585" t="str">
        <f ca="1">IF(AND('Reconciliation report'!$E$476&gt;=2,'Reconciliation report'!$E$476&lt;&gt;"",'Reconciliation report'!$E$473=RefData!$B$112),'All Statement of strategy (D)'!$B1518&amp;$C1518,"")</f>
        <v/>
      </c>
      <c r="F1518" s="585" t="str">
        <f ca="1">IF(AND('Reconciliation report'!$E$476&gt;=2,'Reconciliation report'!$E$476&lt;&gt;"",'Reconciliation report'!$E$473=RefData!$B$112),'All Statement of strategy (D)'!$B1518&amp;$C1518,"")</f>
        <v/>
      </c>
      <c r="G1518" s="585" t="str">
        <f ca="1">IF(AND('Reconciliation report'!$E$476&gt;=2,'Reconciliation report'!$E$476&lt;&gt;"",'Reconciliation report'!$E$473=RefData!$B$112),'All Statement of strategy (D)'!$B1518&amp;$C1518,"")</f>
        <v/>
      </c>
      <c r="H1518" s="585" t="str">
        <f ca="1">IF(AND('Reconciliation report'!$E$476&gt;=2,'Reconciliation report'!$E$476&lt;&gt;"",'Reconciliation report'!$E$473=RefData!$B$112),'All Statement of strategy (D)'!$B1518&amp;$C1518,"")</f>
        <v/>
      </c>
      <c r="I1518" s="595" t="str">
        <f ca="1">IF($C$1=RefData!$B$418,'All Statement of strategy (D)'!$E1518,IF('All Statement of strategy (D)'!$C$1=RefData!$B$419,'All Statement of strategy (D)'!$F1518,IF('All Statement of strategy (D)'!$C$1=RefData!$B$420,'All Statement of strategy (D)'!$G1518,IF('All Statement of strategy (D)'!$C$1=RefData!$B$421,'All Statement of strategy (D)'!$H1518," "))))</f>
        <v xml:space="preserve"> </v>
      </c>
    </row>
    <row r="1519" spans="1:9">
      <c r="A1519" s="584" t="s">
        <v>2646</v>
      </c>
      <c r="B1519" s="594" t="s">
        <v>2402</v>
      </c>
      <c r="C1519" s="618" t="str">
        <f ca="1">TEXT('Reconciliation report'!$E$810,RefData!$B$424)</f>
        <v/>
      </c>
      <c r="E1519" s="585" t="str">
        <f ca="1">IF(AND('Reconciliation report'!$E$476&gt;=2,'Reconciliation report'!$E$476&lt;&gt;"",'Reconciliation report'!$E$473=RefData!$B$112),'All Statement of strategy (D)'!$B1519&amp;$C1519,"")</f>
        <v/>
      </c>
      <c r="F1519" s="585" t="str">
        <f ca="1">IF(AND('Reconciliation report'!$E$476&gt;=2,'Reconciliation report'!$E$476&lt;&gt;"",'Reconciliation report'!$E$473=RefData!$B$112),'All Statement of strategy (D)'!$B1519&amp;$C1519,"")</f>
        <v/>
      </c>
      <c r="G1519" s="585" t="str">
        <f ca="1">IF(AND('Reconciliation report'!$E$476&gt;=2,'Reconciliation report'!$E$476&lt;&gt;"",'Reconciliation report'!$E$473=RefData!$B$112),'All Statement of strategy (D)'!$B1519&amp;$C1519,"")</f>
        <v/>
      </c>
      <c r="H1519" s="585" t="str">
        <f ca="1">IF(AND('Reconciliation report'!$E$476&gt;=2,'Reconciliation report'!$E$476&lt;&gt;"",'Reconciliation report'!$E$473=RefData!$B$112),'All Statement of strategy (D)'!$B1519&amp;$C1519,"")</f>
        <v/>
      </c>
      <c r="I1519" s="595" t="str">
        <f ca="1">IF($C$1=RefData!$B$418,'All Statement of strategy (D)'!$E1519,IF('All Statement of strategy (D)'!$C$1=RefData!$B$419,'All Statement of strategy (D)'!$F1519,IF('All Statement of strategy (D)'!$C$1=RefData!$B$420,'All Statement of strategy (D)'!$G1519,IF('All Statement of strategy (D)'!$C$1=RefData!$B$421,'All Statement of strategy (D)'!$H1519," "))))</f>
        <v xml:space="preserve"> </v>
      </c>
    </row>
    <row r="1520" spans="1:9">
      <c r="A1520" s="604"/>
      <c r="B1520" s="594" t="s">
        <v>2518</v>
      </c>
      <c r="D1520" s="624"/>
      <c r="E1520" s="585" t="str">
        <f ca="1">IF(AND('Reconciliation report'!$E$476&gt;=2,'Reconciliation report'!$E$476&lt;&gt;"",'Reconciliation report'!$E$473=RefData!$B$112),'All Statement of strategy (D)'!$B1520&amp;$C1520,"")</f>
        <v/>
      </c>
      <c r="F1520" s="585" t="str">
        <f ca="1">IF(AND('Reconciliation report'!$E$476&gt;=2,'Reconciliation report'!$E$476&lt;&gt;"",'Reconciliation report'!$E$473=RefData!$B$112),'All Statement of strategy (D)'!$B1520&amp;$C1520,"")</f>
        <v/>
      </c>
      <c r="G1520" s="585" t="str">
        <f>""</f>
        <v/>
      </c>
      <c r="H1520" s="585" t="str">
        <f>""</f>
        <v/>
      </c>
      <c r="I1520" s="595" t="str">
        <f ca="1">IF($C$1=RefData!$B$418,'All Statement of strategy (D)'!$E1520,IF('All Statement of strategy (D)'!$C$1=RefData!$B$419,'All Statement of strategy (D)'!$F1520,IF('All Statement of strategy (D)'!$C$1=RefData!$B$420,'All Statement of strategy (D)'!$G1520,IF('All Statement of strategy (D)'!$C$1=RefData!$B$421,'All Statement of strategy (D)'!$H1520," "))))</f>
        <v xml:space="preserve"> </v>
      </c>
    </row>
    <row r="1521" spans="1:9">
      <c r="A1521" s="604" t="s">
        <v>2647</v>
      </c>
      <c r="B1521" s="594" t="str">
        <f ca="1">B1520&amp;IF('Reconciliation report'!$E$811=RefData!$B$175,"",'Reconciliation report'!$E$811)</f>
        <v xml:space="preserve">Value cap: </v>
      </c>
      <c r="D1521" s="624"/>
      <c r="E1521" s="585" t="str">
        <f ca="1">IF(AND('Reconciliation report'!$E$476&gt;=2,'Reconciliation report'!$E$476&lt;&gt;"",'Reconciliation report'!$E$473=RefData!$B$112),'All Statement of strategy (D)'!$B1521&amp;$C1521,"")</f>
        <v/>
      </c>
      <c r="F1521" s="585" t="str">
        <f ca="1">IF(AND('Reconciliation report'!$E$476&gt;=2,'Reconciliation report'!$E$476&lt;&gt;"",'Reconciliation report'!$E$473=RefData!$B$112),'All Statement of strategy (D)'!$B1521&amp;$C1521,"")</f>
        <v/>
      </c>
      <c r="G1521" s="585" t="str">
        <f>""</f>
        <v/>
      </c>
      <c r="H1521" s="585" t="str">
        <f>""</f>
        <v/>
      </c>
      <c r="I1521" s="595" t="str">
        <f ca="1">IF($C$1=RefData!$B$418,'All Statement of strategy (D)'!$E1521,IF('All Statement of strategy (D)'!$C$1=RefData!$B$419,'All Statement of strategy (D)'!$F1521,IF('All Statement of strategy (D)'!$C$1=RefData!$B$420,'All Statement of strategy (D)'!$G1521,IF('All Statement of strategy (D)'!$C$1=RefData!$B$421,'All Statement of strategy (D)'!$H1521," "))))</f>
        <v xml:space="preserve"> </v>
      </c>
    </row>
    <row r="1522" spans="1:9">
      <c r="A1522" s="584" t="s">
        <v>2648</v>
      </c>
      <c r="B1522" s="594" t="str">
        <f ca="1">B1521&amp;IF('Reconciliation report'!$E$811=RefData!$B$175,LEFT('Reconciliation report'!$E$812,1000),"")</f>
        <v xml:space="preserve">Value cap: </v>
      </c>
      <c r="D1522" s="624"/>
      <c r="E1522" s="585" t="str">
        <f ca="1">IF(AND('Reconciliation report'!$E$476&gt;=2,'Reconciliation report'!$E$476&lt;&gt;"",'Reconciliation report'!$E$473=RefData!$B$112),'All Statement of strategy (D)'!$B1522&amp;$C1522,"")</f>
        <v/>
      </c>
      <c r="F1522" s="585" t="str">
        <f ca="1">IF(AND('Reconciliation report'!$E$476&gt;=2,'Reconciliation report'!$E$476&lt;&gt;"",'Reconciliation report'!$E$473=RefData!$B$112),'All Statement of strategy (D)'!$B1522&amp;$C1522,"")</f>
        <v/>
      </c>
      <c r="G1522" s="585" t="str">
        <f>""</f>
        <v/>
      </c>
      <c r="H1522" s="585" t="str">
        <f>""</f>
        <v/>
      </c>
      <c r="I1522" s="595" t="str">
        <f ca="1">IF($C$1=RefData!$B$418,'All Statement of strategy (D)'!$E1522,IF('All Statement of strategy (D)'!$C$1=RefData!$B$419,'All Statement of strategy (D)'!$F1522,IF('All Statement of strategy (D)'!$C$1=RefData!$B$420,'All Statement of strategy (D)'!$G1522,IF('All Statement of strategy (D)'!$C$1=RefData!$B$421,'All Statement of strategy (D)'!$H1522," "))))</f>
        <v xml:space="preserve"> </v>
      </c>
    </row>
    <row r="1523" spans="1:9">
      <c r="A1523" s="584" t="s">
        <v>2648</v>
      </c>
      <c r="B1523" s="594" t="str">
        <f ca="1">IF('Reconciliation report'!$E$811=RefData!$B$175,MID('Reconciliation report'!$E$812,1001,1000),"")</f>
        <v/>
      </c>
      <c r="D1523" s="624"/>
      <c r="E1523" s="585" t="str">
        <f ca="1">IF(AND('Reconciliation report'!$E$476&gt;=2,'Reconciliation report'!$E$476&lt;&gt;"",'Reconciliation report'!$E$473=RefData!$B$112),'All Statement of strategy (D)'!$B1523&amp;$C1523,"")</f>
        <v/>
      </c>
      <c r="F1523" s="585" t="str">
        <f ca="1">IF(AND('Reconciliation report'!$E$476&gt;=2,'Reconciliation report'!$E$476&lt;&gt;"",'Reconciliation report'!$E$473=RefData!$B$112),'All Statement of strategy (D)'!$B1523&amp;$C1523,"")</f>
        <v/>
      </c>
      <c r="G1523" s="585" t="str">
        <f>""</f>
        <v/>
      </c>
      <c r="H1523" s="585" t="str">
        <f>""</f>
        <v/>
      </c>
      <c r="I1523" s="595" t="str">
        <f ca="1">IF($C$1=RefData!$B$418,'All Statement of strategy (D)'!$E1523,IF('All Statement of strategy (D)'!$C$1=RefData!$B$419,'All Statement of strategy (D)'!$F1523,IF('All Statement of strategy (D)'!$C$1=RefData!$B$420,'All Statement of strategy (D)'!$G1523,IF('All Statement of strategy (D)'!$C$1=RefData!$B$421,'All Statement of strategy (D)'!$H1523," "))))</f>
        <v xml:space="preserve"> </v>
      </c>
    </row>
    <row r="1524" spans="1:9">
      <c r="A1524" s="584" t="s">
        <v>2648</v>
      </c>
      <c r="B1524" s="594" t="str">
        <f ca="1">IF('Reconciliation report'!$E$811=RefData!$B$175,MID('Reconciliation report'!$E$812,2001,1000),"")</f>
        <v/>
      </c>
      <c r="D1524" s="624"/>
      <c r="E1524" s="585" t="str">
        <f ca="1">IF(AND('Reconciliation report'!$E$476&gt;=2,'Reconciliation report'!$E$476&lt;&gt;"",'Reconciliation report'!$E$473=RefData!$B$112),'All Statement of strategy (D)'!$B1524&amp;$C1524,"")</f>
        <v/>
      </c>
      <c r="F1524" s="585" t="str">
        <f ca="1">IF(AND('Reconciliation report'!$E$476&gt;=2,'Reconciliation report'!$E$476&lt;&gt;"",'Reconciliation report'!$E$473=RefData!$B$112),'All Statement of strategy (D)'!$B1524&amp;$C1524,"")</f>
        <v/>
      </c>
      <c r="G1524" s="585" t="str">
        <f>""</f>
        <v/>
      </c>
      <c r="H1524" s="585" t="str">
        <f>""</f>
        <v/>
      </c>
      <c r="I1524" s="595" t="str">
        <f ca="1">IF($C$1=RefData!$B$418,'All Statement of strategy (D)'!$E1524,IF('All Statement of strategy (D)'!$C$1=RefData!$B$419,'All Statement of strategy (D)'!$F1524,IF('All Statement of strategy (D)'!$C$1=RefData!$B$420,'All Statement of strategy (D)'!$G1524,IF('All Statement of strategy (D)'!$C$1=RefData!$B$421,'All Statement of strategy (D)'!$H1524," "))))</f>
        <v xml:space="preserve"> </v>
      </c>
    </row>
    <row r="1525" spans="1:9">
      <c r="A1525" s="584" t="s">
        <v>2648</v>
      </c>
      <c r="B1525" s="594" t="str">
        <f ca="1">IF('Reconciliation report'!$E$811=RefData!$B$175,MID('Reconciliation report'!$E$812,3001,1000),"")</f>
        <v/>
      </c>
      <c r="D1525" s="624"/>
      <c r="E1525" s="585" t="str">
        <f ca="1">IF(AND('Reconciliation report'!$E$476&gt;=2,'Reconciliation report'!$E$476&lt;&gt;"",'Reconciliation report'!$E$473=RefData!$B$112),'All Statement of strategy (D)'!$B1525&amp;$C1525,"")</f>
        <v/>
      </c>
      <c r="F1525" s="585" t="str">
        <f ca="1">IF(AND('Reconciliation report'!$E$476&gt;=2,'Reconciliation report'!$E$476&lt;&gt;"",'Reconciliation report'!$E$473=RefData!$B$112),'All Statement of strategy (D)'!$B1525&amp;$C1525,"")</f>
        <v/>
      </c>
      <c r="G1525" s="585" t="str">
        <f>""</f>
        <v/>
      </c>
      <c r="H1525" s="585" t="str">
        <f>""</f>
        <v/>
      </c>
      <c r="I1525" s="595" t="str">
        <f ca="1">IF($C$1=RefData!$B$418,'All Statement of strategy (D)'!$E1525,IF('All Statement of strategy (D)'!$C$1=RefData!$B$419,'All Statement of strategy (D)'!$F1525,IF('All Statement of strategy (D)'!$C$1=RefData!$B$420,'All Statement of strategy (D)'!$G1525,IF('All Statement of strategy (D)'!$C$1=RefData!$B$421,'All Statement of strategy (D)'!$H1525," "))))</f>
        <v xml:space="preserve"> </v>
      </c>
    </row>
    <row r="1526" spans="1:9">
      <c r="A1526" s="584" t="s">
        <v>2649</v>
      </c>
      <c r="B1526" s="594" t="s">
        <v>2406</v>
      </c>
      <c r="C1526" s="585" t="str">
        <f ca="1">TEXT('Reconciliation report'!$E$813,RefData!$B$425)</f>
        <v/>
      </c>
      <c r="E1526" s="585" t="str">
        <f ca="1">IF(AND('Reconciliation report'!$E$811=RefData!$B$174,'Reconciliation report'!$E$476&gt;=2,'Reconciliation report'!$E$476&lt;&gt;"",'Reconciliation report'!$E$473=RefData!$B$112),'All Statement of strategy (D)'!$B1526&amp;$C1526,"")</f>
        <v/>
      </c>
      <c r="F1526" s="585" t="str">
        <f ca="1">IF(AND('Reconciliation report'!$E$811=RefData!$B$174,'Reconciliation report'!$E$476&gt;=2,'Reconciliation report'!$E$476&lt;&gt;"",'Reconciliation report'!$E$473=RefData!$B$112),'All Statement of strategy (D)'!$B1526&amp;$C1526,"")</f>
        <v/>
      </c>
      <c r="G1526" s="585" t="str">
        <f>""</f>
        <v/>
      </c>
      <c r="H1526" s="585" t="str">
        <f>""</f>
        <v/>
      </c>
      <c r="I1526" s="595" t="str">
        <f ca="1">IF($C$1=RefData!$B$418,'All Statement of strategy (D)'!$E1526,IF('All Statement of strategy (D)'!$C$1=RefData!$B$419,'All Statement of strategy (D)'!$F1526,IF('All Statement of strategy (D)'!$C$1=RefData!$B$420,'All Statement of strategy (D)'!$G1526,IF('All Statement of strategy (D)'!$C$1=RefData!$B$421,'All Statement of strategy (D)'!$H1526," "))))</f>
        <v xml:space="preserve"> </v>
      </c>
    </row>
    <row r="1527" spans="1:9">
      <c r="B1527" s="594" t="s">
        <v>2407</v>
      </c>
      <c r="E1527" s="585" t="str">
        <f ca="1">IF(AND('Reconciliation report'!$E$476&gt;=2,'Reconciliation report'!$E$476&lt;&gt;"",'Reconciliation report'!$E$473=RefData!$B$112),'All Statement of strategy (D)'!$B1527&amp;$C1527,"")</f>
        <v/>
      </c>
      <c r="F1527" s="585" t="str">
        <f ca="1">IF(AND('Reconciliation report'!$E$476&gt;=2,'Reconciliation report'!$E$476&lt;&gt;"",'Reconciliation report'!$E$473=RefData!$B$112),'All Statement of strategy (D)'!$B1527&amp;$C1527,"")</f>
        <v/>
      </c>
      <c r="G1527" s="585" t="str">
        <f>""</f>
        <v/>
      </c>
      <c r="H1527" s="585" t="str">
        <f>""</f>
        <v/>
      </c>
      <c r="I1527" s="595" t="str">
        <f ca="1">IF($C$1=RefData!$B$418,'All Statement of strategy (D)'!$E1527,IF('All Statement of strategy (D)'!$C$1=RefData!$B$419,'All Statement of strategy (D)'!$F1527,IF('All Statement of strategy (D)'!$C$1=RefData!$B$420,'All Statement of strategy (D)'!$G1527,IF('All Statement of strategy (D)'!$C$1=RefData!$B$421,'All Statement of strategy (D)'!$H1527," "))))</f>
        <v xml:space="preserve"> </v>
      </c>
    </row>
    <row r="1528" spans="1:9">
      <c r="A1528" s="584" t="s">
        <v>2650</v>
      </c>
      <c r="B1528" s="594" t="s">
        <v>2409</v>
      </c>
      <c r="C1528" s="585" t="str">
        <f ca="1">'Reconciliation report'!$E$814</f>
        <v/>
      </c>
      <c r="E1528" s="585" t="str">
        <f ca="1">IF(AND('Reconciliation report'!$E$476&gt;=2,'Reconciliation report'!$E$476&lt;&gt;"",'Reconciliation report'!$E$473=RefData!$B$112),'All Statement of strategy (D)'!$B1528&amp;$C1528,"")</f>
        <v/>
      </c>
      <c r="F1528" s="585" t="str">
        <f ca="1">IF(AND('Reconciliation report'!$E$476&gt;=2,'Reconciliation report'!$E$476&lt;&gt;"",'Reconciliation report'!$E$473=RefData!$B$112),'All Statement of strategy (D)'!$B1528&amp;$C1528,"")</f>
        <v/>
      </c>
      <c r="G1528" s="585" t="str">
        <f>""</f>
        <v/>
      </c>
      <c r="H1528" s="585" t="str">
        <f>""</f>
        <v/>
      </c>
      <c r="I1528" s="595" t="str">
        <f ca="1">IF($C$1=RefData!$B$418,'All Statement of strategy (D)'!$E1528,IF('All Statement of strategy (D)'!$C$1=RefData!$B$419,'All Statement of strategy (D)'!$F1528,IF('All Statement of strategy (D)'!$C$1=RefData!$B$420,'All Statement of strategy (D)'!$G1528,IF('All Statement of strategy (D)'!$C$1=RefData!$B$421,'All Statement of strategy (D)'!$H1528," "))))</f>
        <v xml:space="preserve"> </v>
      </c>
    </row>
    <row r="1529" spans="1:9">
      <c r="A1529" s="584" t="s">
        <v>2651</v>
      </c>
      <c r="B1529" s="594" t="s">
        <v>2411</v>
      </c>
      <c r="C1529" s="585" t="str">
        <f ca="1">'Reconciliation report'!$E$815</f>
        <v/>
      </c>
      <c r="E1529" s="585" t="str">
        <f ca="1">IF(AND('Reconciliation report'!$E$476&gt;=2,'Reconciliation report'!$E$476&lt;&gt;"",'Reconciliation report'!$E$473=RefData!$B$112),'All Statement of strategy (D)'!$B1529&amp;$C1529,"")</f>
        <v/>
      </c>
      <c r="F1529" s="585" t="str">
        <f ca="1">IF(AND('Reconciliation report'!$E$476&gt;=2,'Reconciliation report'!$E$476&lt;&gt;"",'Reconciliation report'!$E$473=RefData!$B$112),'All Statement of strategy (D)'!$B1529&amp;$C1529,"")</f>
        <v/>
      </c>
      <c r="G1529" s="585" t="str">
        <f>""</f>
        <v/>
      </c>
      <c r="H1529" s="585" t="str">
        <f>""</f>
        <v/>
      </c>
      <c r="I1529" s="595" t="str">
        <f ca="1">IF($C$1=RefData!$B$418,'All Statement of strategy (D)'!$E1529,IF('All Statement of strategy (D)'!$C$1=RefData!$B$419,'All Statement of strategy (D)'!$F1529,IF('All Statement of strategy (D)'!$C$1=RefData!$B$420,'All Statement of strategy (D)'!$G1529,IF('All Statement of strategy (D)'!$C$1=RefData!$B$421,'All Statement of strategy (D)'!$H1529," "))))</f>
        <v xml:space="preserve"> </v>
      </c>
    </row>
    <row r="1530" spans="1:9">
      <c r="A1530" s="584" t="s">
        <v>2652</v>
      </c>
      <c r="B1530" s="594" t="s">
        <v>2413</v>
      </c>
      <c r="C1530" s="585" t="str">
        <f ca="1">'Reconciliation report'!$E$816</f>
        <v/>
      </c>
      <c r="E1530" s="585" t="str">
        <f ca="1">IF(AND('Reconciliation report'!$E$476&gt;=2,'Reconciliation report'!$E$476&lt;&gt;"",'Reconciliation report'!$E$473=RefData!$B$112),'All Statement of strategy (D)'!$B1530&amp;$C1530,"")</f>
        <v/>
      </c>
      <c r="F1530" s="585" t="str">
        <f ca="1">IF(AND('Reconciliation report'!$E$476&gt;=2,'Reconciliation report'!$E$476&lt;&gt;"",'Reconciliation report'!$E$473=RefData!$B$112),'All Statement of strategy (D)'!$B1530&amp;$C1530,"")</f>
        <v/>
      </c>
      <c r="G1530" s="585" t="str">
        <f>""</f>
        <v/>
      </c>
      <c r="H1530" s="585" t="str">
        <f>""</f>
        <v/>
      </c>
      <c r="I1530" s="595" t="str">
        <f ca="1">IF($C$1=RefData!$B$418,'All Statement of strategy (D)'!$E1530,IF('All Statement of strategy (D)'!$C$1=RefData!$B$419,'All Statement of strategy (D)'!$F1530,IF('All Statement of strategy (D)'!$C$1=RefData!$B$420,'All Statement of strategy (D)'!$G1530,IF('All Statement of strategy (D)'!$C$1=RefData!$B$421,'All Statement of strategy (D)'!$H1530," "))))</f>
        <v xml:space="preserve"> </v>
      </c>
    </row>
    <row r="1531" spans="1:9">
      <c r="A1531" s="584" t="s">
        <v>2653</v>
      </c>
      <c r="B1531" s="594" t="s">
        <v>2415</v>
      </c>
      <c r="C1531" s="585" t="str">
        <f ca="1">'Reconciliation report'!$E$817</f>
        <v/>
      </c>
      <c r="E1531" s="585" t="str">
        <f ca="1">IF(AND('Reconciliation report'!$E$476&gt;=2,'Reconciliation report'!$E$476&lt;&gt;"",'Reconciliation report'!$E$473=RefData!$B$112),'All Statement of strategy (D)'!$B1531&amp;$C1531,"")</f>
        <v/>
      </c>
      <c r="F1531" s="585" t="str">
        <f ca="1">IF(AND('Reconciliation report'!$E$476&gt;=2,'Reconciliation report'!$E$476&lt;&gt;"",'Reconciliation report'!$E$473=RefData!$B$112),'All Statement of strategy (D)'!$B1531&amp;$C1531,"")</f>
        <v/>
      </c>
      <c r="G1531" s="585" t="str">
        <f>""</f>
        <v/>
      </c>
      <c r="H1531" s="585" t="str">
        <f>""</f>
        <v/>
      </c>
      <c r="I1531" s="595" t="str">
        <f ca="1">IF($C$1=RefData!$B$418,'All Statement of strategy (D)'!$E1531,IF('All Statement of strategy (D)'!$C$1=RefData!$B$419,'All Statement of strategy (D)'!$F1531,IF('All Statement of strategy (D)'!$C$1=RefData!$B$420,'All Statement of strategy (D)'!$G1531,IF('All Statement of strategy (D)'!$C$1=RefData!$B$421,'All Statement of strategy (D)'!$H1531," "))))</f>
        <v xml:space="preserve"> </v>
      </c>
    </row>
    <row r="1532" spans="1:9">
      <c r="A1532" s="584" t="s">
        <v>2654</v>
      </c>
      <c r="B1532" s="594" t="str">
        <f ca="1">IF('Reconciliation report'!$E$818=RefData!$B$159,LEFT('Reconciliation report'!$E$819,1000),"")</f>
        <v/>
      </c>
      <c r="E1532" s="585" t="str">
        <f ca="1">IF(AND('Reconciliation report'!$E$476&gt;=2,'Reconciliation report'!$E$476&lt;&gt;"",'Reconciliation report'!$E$473=RefData!$B$112),'All Statement of strategy (D)'!$B1532&amp;$C1532,"")</f>
        <v/>
      </c>
      <c r="F1532" s="585" t="str">
        <f ca="1">IF(AND('Reconciliation report'!$E$476&gt;=2,'Reconciliation report'!$E$476&lt;&gt;"",'Reconciliation report'!$E$473=RefData!$B$112),'All Statement of strategy (D)'!$B1532&amp;$C1532,"")</f>
        <v/>
      </c>
      <c r="G1532" s="585" t="str">
        <f>""</f>
        <v/>
      </c>
      <c r="H1532" s="585" t="str">
        <f>""</f>
        <v/>
      </c>
      <c r="I1532" s="595" t="str">
        <f ca="1">IF($C$1=RefData!$B$418,'All Statement of strategy (D)'!$E1532,IF('All Statement of strategy (D)'!$C$1=RefData!$B$419,'All Statement of strategy (D)'!$F1532,IF('All Statement of strategy (D)'!$C$1=RefData!$B$420,'All Statement of strategy (D)'!$G1532,IF('All Statement of strategy (D)'!$C$1=RefData!$B$421,'All Statement of strategy (D)'!$H1532," "))))</f>
        <v xml:space="preserve"> </v>
      </c>
    </row>
    <row r="1533" spans="1:9">
      <c r="A1533" s="584" t="s">
        <v>2654</v>
      </c>
      <c r="B1533" s="594" t="str">
        <f ca="1">IF('Reconciliation report'!$E$818=RefData!$B$159,MID('Reconciliation report'!$E$819,1001,1000),"")</f>
        <v/>
      </c>
      <c r="E1533" s="585" t="str">
        <f ca="1">IF(AND('Reconciliation report'!$E$476&gt;=2,'Reconciliation report'!$E$476&lt;&gt;"",'Reconciliation report'!$E$473=RefData!$B$112),'All Statement of strategy (D)'!$B1533&amp;$C1533,"")</f>
        <v/>
      </c>
      <c r="F1533" s="585" t="str">
        <f ca="1">IF(AND('Reconciliation report'!$E$476&gt;=2,'Reconciliation report'!$E$476&lt;&gt;"",'Reconciliation report'!$E$473=RefData!$B$112),'All Statement of strategy (D)'!$B1533&amp;$C1533,"")</f>
        <v/>
      </c>
      <c r="G1533" s="585" t="str">
        <f>""</f>
        <v/>
      </c>
      <c r="H1533" s="585" t="str">
        <f>""</f>
        <v/>
      </c>
      <c r="I1533" s="595" t="str">
        <f ca="1">IF($C$1=RefData!$B$418,'All Statement of strategy (D)'!$E1533,IF('All Statement of strategy (D)'!$C$1=RefData!$B$419,'All Statement of strategy (D)'!$F1533,IF('All Statement of strategy (D)'!$C$1=RefData!$B$420,'All Statement of strategy (D)'!$G1533,IF('All Statement of strategy (D)'!$C$1=RefData!$B$421,'All Statement of strategy (D)'!$H1533," "))))</f>
        <v xml:space="preserve"> </v>
      </c>
    </row>
    <row r="1534" spans="1:9">
      <c r="A1534" s="584" t="s">
        <v>2654</v>
      </c>
      <c r="B1534" s="594" t="str">
        <f ca="1">IF('Reconciliation report'!$E$818=RefData!$B$159,MID('Reconciliation report'!$E$819,2001,1000),"")</f>
        <v/>
      </c>
      <c r="E1534" s="585" t="str">
        <f ca="1">IF(AND('Reconciliation report'!$E$476&gt;=2,'Reconciliation report'!$E$476&lt;&gt;"",'Reconciliation report'!$E$473=RefData!$B$112),'All Statement of strategy (D)'!$B1534&amp;$C1534,"")</f>
        <v/>
      </c>
      <c r="F1534" s="585" t="str">
        <f ca="1">IF(AND('Reconciliation report'!$E$476&gt;=2,'Reconciliation report'!$E$476&lt;&gt;"",'Reconciliation report'!$E$473=RefData!$B$112),'All Statement of strategy (D)'!$B1534&amp;$C1534,"")</f>
        <v/>
      </c>
      <c r="G1534" s="585" t="str">
        <f>""</f>
        <v/>
      </c>
      <c r="H1534" s="585" t="str">
        <f>""</f>
        <v/>
      </c>
      <c r="I1534" s="595" t="str">
        <f ca="1">IF($C$1=RefData!$B$418,'All Statement of strategy (D)'!$E1534,IF('All Statement of strategy (D)'!$C$1=RefData!$B$419,'All Statement of strategy (D)'!$F1534,IF('All Statement of strategy (D)'!$C$1=RefData!$B$420,'All Statement of strategy (D)'!$G1534,IF('All Statement of strategy (D)'!$C$1=RefData!$B$421,'All Statement of strategy (D)'!$H1534," "))))</f>
        <v xml:space="preserve"> </v>
      </c>
    </row>
    <row r="1535" spans="1:9">
      <c r="A1535" s="584" t="s">
        <v>2654</v>
      </c>
      <c r="B1535" s="594" t="str">
        <f ca="1">IF('Reconciliation report'!$E$818=RefData!$B$159,MID('Reconciliation report'!$E$819,3001,1000),"")</f>
        <v/>
      </c>
      <c r="E1535" s="585" t="str">
        <f ca="1">IF(AND('Reconciliation report'!$E$476&gt;=2,'Reconciliation report'!$E$476&lt;&gt;"",'Reconciliation report'!$E$473=RefData!$B$112),'All Statement of strategy (D)'!$B1535&amp;$C1535,"")</f>
        <v/>
      </c>
      <c r="F1535" s="585" t="str">
        <f ca="1">IF(AND('Reconciliation report'!$E$476&gt;=2,'Reconciliation report'!$E$476&lt;&gt;"",'Reconciliation report'!$E$473=RefData!$B$112),'All Statement of strategy (D)'!$B1535&amp;$C1535,"")</f>
        <v/>
      </c>
      <c r="G1535" s="585" t="str">
        <f>""</f>
        <v/>
      </c>
      <c r="H1535" s="585" t="str">
        <f>""</f>
        <v/>
      </c>
      <c r="I1535" s="595" t="str">
        <f ca="1">IF($C$1=RefData!$B$418,'All Statement of strategy (D)'!$E1535,IF('All Statement of strategy (D)'!$C$1=RefData!$B$419,'All Statement of strategy (D)'!$F1535,IF('All Statement of strategy (D)'!$C$1=RefData!$B$420,'All Statement of strategy (D)'!$G1535,IF('All Statement of strategy (D)'!$C$1=RefData!$B$421,'All Statement of strategy (D)'!$H1535," "))))</f>
        <v xml:space="preserve"> </v>
      </c>
    </row>
    <row r="1536" spans="1:9">
      <c r="B1536" s="594" t="s">
        <v>2417</v>
      </c>
      <c r="E1536" s="585" t="str">
        <f ca="1">IF(AND('Reconciliation report'!$E$476&gt;=2,'Reconciliation report'!$E$476&lt;&gt;"",'Reconciliation report'!$E$473=RefData!$B$112),'All Statement of strategy (D)'!$B1536&amp;$C1536,"")</f>
        <v/>
      </c>
      <c r="F1536" s="585" t="str">
        <f ca="1">IF(AND('Reconciliation report'!$E$476&gt;=2,'Reconciliation report'!$E$476&lt;&gt;"",'Reconciliation report'!$E$473=RefData!$B$112),'All Statement of strategy (D)'!$B1536&amp;$C1536,"")</f>
        <v/>
      </c>
      <c r="G1536" s="585" t="str">
        <f>""</f>
        <v/>
      </c>
      <c r="H1536" s="585" t="str">
        <f>""</f>
        <v/>
      </c>
      <c r="I1536" s="595" t="str">
        <f ca="1">IF($C$1=RefData!$B$418,'All Statement of strategy (D)'!$E1536,IF('All Statement of strategy (D)'!$C$1=RefData!$B$419,'All Statement of strategy (D)'!$F1536,IF('All Statement of strategy (D)'!$C$1=RefData!$B$420,'All Statement of strategy (D)'!$G1536,IF('All Statement of strategy (D)'!$C$1=RefData!$B$421,'All Statement of strategy (D)'!$H1536," "))))</f>
        <v xml:space="preserve"> </v>
      </c>
    </row>
    <row r="1537" spans="1:9">
      <c r="A1537" s="584" t="s">
        <v>2655</v>
      </c>
      <c r="B1537" s="594" t="str">
        <f ca="1">B1536&amp;LEFT('Reconciliation report'!$E$820,1000)</f>
        <v xml:space="preserve">Triggers for termination: </v>
      </c>
      <c r="E1537" s="585" t="str">
        <f ca="1">IF(AND('Reconciliation report'!$E$476&gt;=2,'Reconciliation report'!$E$476&lt;&gt;"",'Reconciliation report'!$E$473=RefData!$B$112),'All Statement of strategy (D)'!$B1537&amp;$C1537,"")</f>
        <v/>
      </c>
      <c r="F1537" s="585" t="str">
        <f ca="1">IF(AND('Reconciliation report'!$E$476&gt;=2,'Reconciliation report'!$E$476&lt;&gt;"",'Reconciliation report'!$E$473=RefData!$B$112),'All Statement of strategy (D)'!$B1537&amp;$C1537,"")</f>
        <v/>
      </c>
      <c r="G1537" s="585" t="str">
        <f>""</f>
        <v/>
      </c>
      <c r="H1537" s="585" t="str">
        <f>""</f>
        <v/>
      </c>
      <c r="I1537" s="595" t="str">
        <f ca="1">IF($C$1=RefData!$B$418,'All Statement of strategy (D)'!$E1537,IF('All Statement of strategy (D)'!$C$1=RefData!$B$419,'All Statement of strategy (D)'!$F1537,IF('All Statement of strategy (D)'!$C$1=RefData!$B$420,'All Statement of strategy (D)'!$G1537,IF('All Statement of strategy (D)'!$C$1=RefData!$B$421,'All Statement of strategy (D)'!$H1537," "))))</f>
        <v xml:space="preserve"> </v>
      </c>
    </row>
    <row r="1538" spans="1:9">
      <c r="A1538" s="584" t="s">
        <v>2655</v>
      </c>
      <c r="B1538" s="594" t="str">
        <f ca="1">MID('Reconciliation report'!$E$820,1001,1000)</f>
        <v/>
      </c>
      <c r="E1538" s="585" t="str">
        <f ca="1">IF(AND('Reconciliation report'!$E$476&gt;=2,'Reconciliation report'!$E$476&lt;&gt;"",'Reconciliation report'!$E$473=RefData!$B$112),'All Statement of strategy (D)'!$B1538&amp;$C1538,"")</f>
        <v/>
      </c>
      <c r="F1538" s="585" t="str">
        <f ca="1">IF(AND('Reconciliation report'!$E$476&gt;=2,'Reconciliation report'!$E$476&lt;&gt;"",'Reconciliation report'!$E$473=RefData!$B$112),'All Statement of strategy (D)'!$B1538&amp;$C1538,"")</f>
        <v/>
      </c>
      <c r="G1538" s="585" t="str">
        <f>""</f>
        <v/>
      </c>
      <c r="H1538" s="585" t="str">
        <f>""</f>
        <v/>
      </c>
      <c r="I1538" s="595" t="str">
        <f ca="1">IF($C$1=RefData!$B$418,'All Statement of strategy (D)'!$E1538,IF('All Statement of strategy (D)'!$C$1=RefData!$B$419,'All Statement of strategy (D)'!$F1538,IF('All Statement of strategy (D)'!$C$1=RefData!$B$420,'All Statement of strategy (D)'!$G1538,IF('All Statement of strategy (D)'!$C$1=RefData!$B$421,'All Statement of strategy (D)'!$H1538," "))))</f>
        <v xml:space="preserve"> </v>
      </c>
    </row>
    <row r="1539" spans="1:9">
      <c r="A1539" s="584" t="s">
        <v>2655</v>
      </c>
      <c r="B1539" s="594" t="str">
        <f ca="1">MID('Reconciliation report'!$E$820,2001,1000)</f>
        <v/>
      </c>
      <c r="E1539" s="585" t="str">
        <f ca="1">IF(AND('Reconciliation report'!$E$476&gt;=2,'Reconciliation report'!$E$476&lt;&gt;"",'Reconciliation report'!$E$473=RefData!$B$112),'All Statement of strategy (D)'!$B1539&amp;$C1539,"")</f>
        <v/>
      </c>
      <c r="F1539" s="585" t="str">
        <f ca="1">IF(AND('Reconciliation report'!$E$476&gt;=2,'Reconciliation report'!$E$476&lt;&gt;"",'Reconciliation report'!$E$473=RefData!$B$112),'All Statement of strategy (D)'!$B1539&amp;$C1539,"")</f>
        <v/>
      </c>
      <c r="G1539" s="585" t="str">
        <f>""</f>
        <v/>
      </c>
      <c r="H1539" s="585" t="str">
        <f>""</f>
        <v/>
      </c>
      <c r="I1539" s="595" t="str">
        <f ca="1">IF($C$1=RefData!$B$418,'All Statement of strategy (D)'!$E1539,IF('All Statement of strategy (D)'!$C$1=RefData!$B$419,'All Statement of strategy (D)'!$F1539,IF('All Statement of strategy (D)'!$C$1=RefData!$B$420,'All Statement of strategy (D)'!$G1539,IF('All Statement of strategy (D)'!$C$1=RefData!$B$421,'All Statement of strategy (D)'!$H1539," "))))</f>
        <v xml:space="preserve"> </v>
      </c>
    </row>
    <row r="1540" spans="1:9" ht="16" thickBot="1">
      <c r="A1540" s="584" t="s">
        <v>2655</v>
      </c>
      <c r="B1540" s="594" t="str">
        <f ca="1">MID('Reconciliation report'!$E$820,3001,1000)</f>
        <v/>
      </c>
      <c r="E1540" s="585" t="str">
        <f ca="1">IF(AND('Reconciliation report'!$E$476&gt;=2,'Reconciliation report'!$E$476&lt;&gt;"",'Reconciliation report'!$E$473=RefData!$B$112),'All Statement of strategy (D)'!$B1540&amp;$C1540,"")</f>
        <v/>
      </c>
      <c r="F1540" s="585" t="str">
        <f ca="1">IF(AND('Reconciliation report'!$E$476&gt;=2,'Reconciliation report'!$E$476&lt;&gt;"",'Reconciliation report'!$E$473=RefData!$B$112),'All Statement of strategy (D)'!$B1540&amp;$C1540,"")</f>
        <v/>
      </c>
      <c r="G1540" s="585" t="str">
        <f>""</f>
        <v/>
      </c>
      <c r="H1540" s="585" t="str">
        <f>""</f>
        <v/>
      </c>
      <c r="I1540" s="595" t="str">
        <f ca="1">IF($C$1=RefData!$B$418,'All Statement of strategy (D)'!$E1540,IF('All Statement of strategy (D)'!$C$1=RefData!$B$419,'All Statement of strategy (D)'!$F1540,IF('All Statement of strategy (D)'!$C$1=RefData!$B$420,'All Statement of strategy (D)'!$G1540,IF('All Statement of strategy (D)'!$C$1=RefData!$B$421,'All Statement of strategy (D)'!$H1540," "))))</f>
        <v xml:space="preserve"> </v>
      </c>
    </row>
    <row r="1541" spans="1:9" ht="16" thickBot="1">
      <c r="B1541" s="590" t="s">
        <v>2656</v>
      </c>
      <c r="E1541" s="591" t="str">
        <f ca="1">IF(AND('Reconciliation report'!$E$476&gt;=3,'Reconciliation report'!$E$476&lt;&gt;"",'Reconciliation report'!$E$473=RefData!$B$112),'All Statement of strategy (D)'!$B1541&amp;$C1541,"")</f>
        <v/>
      </c>
      <c r="F1541" s="591" t="str">
        <f ca="1">IF(AND('Reconciliation report'!$E$476&gt;=3,'Reconciliation report'!$E$476&lt;&gt;"",'Reconciliation report'!$E$473=RefData!$B$112),'All Statement of strategy (D)'!$B1541&amp;$C1541,"")</f>
        <v/>
      </c>
      <c r="G1541" s="591" t="str">
        <f ca="1">IF(AND('Reconciliation report'!$E$476&gt;=3,'Reconciliation report'!$E$476&lt;&gt;"",'Reconciliation report'!$E$473=RefData!$B$112),'All Statement of strategy (D)'!$B1541&amp;$C1541,"")</f>
        <v/>
      </c>
      <c r="H1541" s="591" t="str">
        <f ca="1">IF(AND('Reconciliation report'!$E$476&gt;=3,'Reconciliation report'!$E$476&lt;&gt;"",'Reconciliation report'!$E$473=RefData!$B$112),'All Statement of strategy (D)'!$B1541&amp;$C1541,"")</f>
        <v/>
      </c>
      <c r="I1541" s="592" t="str">
        <f ca="1">IF($C$1=RefData!$B$418,'All Statement of strategy (D)'!$E1541,IF('All Statement of strategy (D)'!$C$1=RefData!$B$419,'All Statement of strategy (D)'!$F1541,IF('All Statement of strategy (D)'!$C$1=RefData!$B$420,'All Statement of strategy (D)'!$G1541,IF('All Statement of strategy (D)'!$C$1=RefData!$B$421,'All Statement of strategy (D)'!$H1541," "))))</f>
        <v xml:space="preserve"> </v>
      </c>
    </row>
    <row r="1542" spans="1:9">
      <c r="B1542" s="590" t="s">
        <v>2620</v>
      </c>
      <c r="C1542" s="591"/>
      <c r="D1542" s="591"/>
      <c r="E1542" s="591" t="str">
        <f ca="1">IF(AND('Reconciliation report'!$E$476&gt;=3,'Reconciliation report'!$E$476&lt;&gt;"",'Reconciliation report'!$E$473=RefData!$B$112),'All Statement of strategy (D)'!$B1542&amp;$C1542,"")</f>
        <v/>
      </c>
      <c r="F1542" s="591" t="str">
        <f ca="1">IF(AND('Reconciliation report'!$E$476&gt;=3,'Reconciliation report'!$E$476&lt;&gt;"",'Reconciliation report'!$E$473=RefData!$B$112),'All Statement of strategy (D)'!$B1542&amp;$C1542,"")</f>
        <v/>
      </c>
      <c r="G1542" s="591" t="str">
        <f ca="1">IF(AND('Reconciliation report'!$E$476&gt;=3,'Reconciliation report'!$E$476&lt;&gt;"",'Reconciliation report'!$E$473=RefData!$B$112),'All Statement of strategy (D)'!$B1542&amp;$C1542,"")</f>
        <v/>
      </c>
      <c r="H1542" s="591" t="str">
        <f ca="1">IF(AND('Reconciliation report'!$E$476&gt;=3,'Reconciliation report'!$E$476&lt;&gt;"",'Reconciliation report'!$E$473=RefData!$B$112),'All Statement of strategy (D)'!$B1542&amp;$C1542,"")</f>
        <v/>
      </c>
      <c r="I1542" s="592" t="str">
        <f ca="1">IF($C$1=RefData!$B$418,'All Statement of strategy (D)'!$E1542,IF('All Statement of strategy (D)'!$C$1=RefData!$B$419,'All Statement of strategy (D)'!$F1542,IF('All Statement of strategy (D)'!$C$1=RefData!$B$420,'All Statement of strategy (D)'!$G1542,IF('All Statement of strategy (D)'!$C$1=RefData!$B$421,'All Statement of strategy (D)'!$H1542," "))))</f>
        <v xml:space="preserve"> </v>
      </c>
    </row>
    <row r="1543" spans="1:9">
      <c r="A1543" s="584" t="s">
        <v>2657</v>
      </c>
      <c r="B1543" s="594" t="str">
        <f ca="1">B1542&amp;IF(OR('Reconciliation report'!$E$821=RefData!$B$164,'Reconciliation report'!$E$821=RefData!$B$165),"",'Reconciliation report'!$E$821)</f>
        <v xml:space="preserve">Type of contingent asset: </v>
      </c>
      <c r="E1543" s="585" t="str">
        <f ca="1">IF(AND('Reconciliation report'!$E$476&gt;=3,'Reconciliation report'!$E$476&lt;&gt;"",'Reconciliation report'!$E$473=RefData!$B$112),'All Statement of strategy (D)'!$B1543&amp;$C1543,"")</f>
        <v/>
      </c>
      <c r="F1543" s="585" t="str">
        <f ca="1">IF(AND('Reconciliation report'!$E$476&gt;=3,'Reconciliation report'!$E$476&lt;&gt;"",'Reconciliation report'!$E$473=RefData!$B$112),'All Statement of strategy (D)'!$B1543&amp;$C1543,"")</f>
        <v/>
      </c>
      <c r="G1543" s="585" t="str">
        <f ca="1">IF(AND('Reconciliation report'!$E$476&gt;=3,'Reconciliation report'!$E$476&lt;&gt;"",'Reconciliation report'!$E$473=RefData!$B$112),'All Statement of strategy (D)'!$B1543&amp;$C1543,"")</f>
        <v/>
      </c>
      <c r="H1543" s="585" t="str">
        <f ca="1">IF(AND('Reconciliation report'!$E$476&gt;=3,'Reconciliation report'!$E$476&lt;&gt;"",'Reconciliation report'!$E$473=RefData!$B$112),'All Statement of strategy (D)'!$B1543&amp;$C1543,"")</f>
        <v/>
      </c>
      <c r="I1543" s="595" t="str">
        <f ca="1">IF($C$1=RefData!$B$418,'All Statement of strategy (D)'!$E1543,IF('All Statement of strategy (D)'!$C$1=RefData!$B$419,'All Statement of strategy (D)'!$F1543,IF('All Statement of strategy (D)'!$C$1=RefData!$B$420,'All Statement of strategy (D)'!$G1543,IF('All Statement of strategy (D)'!$C$1=RefData!$B$421,'All Statement of strategy (D)'!$H1543," "))))</f>
        <v xml:space="preserve"> </v>
      </c>
    </row>
    <row r="1544" spans="1:9">
      <c r="A1544" s="584" t="s">
        <v>2640</v>
      </c>
      <c r="B1544" s="594" t="str">
        <f ca="1">B1543&amp;IF(OR('Reconciliation report'!$E$821=RefData!$B$164,'Reconciliation report'!$E$821=RefData!$B$165),"Description of asset and counterparty(s) where applicable: ","")</f>
        <v xml:space="preserve">Type of contingent asset: </v>
      </c>
      <c r="C1544" s="585" t="str">
        <f ca="1">IF(OR('Reconciliation report'!$E$821=RefData!$B$164,'Reconciliation report'!$E$821=RefData!$B$165),'Reconciliation report'!$E$822,"")</f>
        <v/>
      </c>
      <c r="E1544" s="585" t="str">
        <f ca="1">IF(AND('Reconciliation report'!$E$476&gt;=3,'Reconciliation report'!$E$476&lt;&gt;"",'Reconciliation report'!$E$473=RefData!$B$112),'All Statement of strategy (D)'!$B1544&amp;$C1544,"")</f>
        <v/>
      </c>
      <c r="F1544" s="585" t="str">
        <f ca="1">IF(AND('Reconciliation report'!$E$476&gt;=3,'Reconciliation report'!$E$476&lt;&gt;"",'Reconciliation report'!$E$473=RefData!$B$112),'All Statement of strategy (D)'!$B1544&amp;$C1544,"")</f>
        <v/>
      </c>
      <c r="G1544" s="585" t="str">
        <f ca="1">IF(AND('Reconciliation report'!$E$476&gt;=3,'Reconciliation report'!$E$476&lt;&gt;"",'Reconciliation report'!$E$473=RefData!$B$112),'All Statement of strategy (D)'!$B1544&amp;$C1544,"")</f>
        <v/>
      </c>
      <c r="H1544" s="585" t="str">
        <f ca="1">IF(AND('Reconciliation report'!$E$476&gt;=3,'Reconciliation report'!$E$476&lt;&gt;"",'Reconciliation report'!$E$473=RefData!$B$112),'All Statement of strategy (D)'!$B1544&amp;$C1544,"")</f>
        <v/>
      </c>
      <c r="I1544" s="595" t="str">
        <f ca="1">IF($C$1=RefData!$B$418,'All Statement of strategy (D)'!$E1544,IF('All Statement of strategy (D)'!$C$1=RefData!$B$419,'All Statement of strategy (D)'!$F1544,IF('All Statement of strategy (D)'!$C$1=RefData!$B$420,'All Statement of strategy (D)'!$G1544,IF('All Statement of strategy (D)'!$C$1=RefData!$B$421,'All Statement of strategy (D)'!$H1544," "))))</f>
        <v xml:space="preserve"> </v>
      </c>
    </row>
    <row r="1545" spans="1:9">
      <c r="A1545" s="584" t="s">
        <v>2658</v>
      </c>
      <c r="B1545" s="594" t="str">
        <f ca="1">B1544&amp;IF(OR('Reconciliation report'!$E$821=RefData!$B$164,'Reconciliation report'!$E$821=RefData!$B$165),LEFT('Reconciliation report'!$E$822,1000),"")</f>
        <v xml:space="preserve">Type of contingent asset: </v>
      </c>
      <c r="E1545" s="585" t="str">
        <f ca="1">IF(AND('Reconciliation report'!$E$476&gt;=3,'Reconciliation report'!$E$476&lt;&gt;"",'Reconciliation report'!$E$473=RefData!$B$112),'All Statement of strategy (D)'!$B1545&amp;$C1545,"")</f>
        <v/>
      </c>
      <c r="F1545" s="585" t="str">
        <f ca="1">IF(AND('Reconciliation report'!$E$476&gt;=3,'Reconciliation report'!$E$476&lt;&gt;"",'Reconciliation report'!$E$473=RefData!$B$112),'All Statement of strategy (D)'!$B1545&amp;$C1545,"")</f>
        <v/>
      </c>
      <c r="G1545" s="585" t="str">
        <f ca="1">IF(AND('Reconciliation report'!$E$476&gt;=3,'Reconciliation report'!$E$476&lt;&gt;"",'Reconciliation report'!$E$473=RefData!$B$112),'All Statement of strategy (D)'!$B1545&amp;$C1545,"")</f>
        <v/>
      </c>
      <c r="H1545" s="585" t="str">
        <f ca="1">IF(AND('Reconciliation report'!$E$476&gt;=3,'Reconciliation report'!$E$476&lt;&gt;"",'Reconciliation report'!$E$473=RefData!$B$112),'All Statement of strategy (D)'!$B1545&amp;$C1545,"")</f>
        <v/>
      </c>
      <c r="I1545" s="595" t="str">
        <f ca="1">IF($C$1=RefData!$B$418,'All Statement of strategy (D)'!$E1545,IF('All Statement of strategy (D)'!$C$1=RefData!$B$419,'All Statement of strategy (D)'!$F1545,IF('All Statement of strategy (D)'!$C$1=RefData!$B$420,'All Statement of strategy (D)'!$G1545,IF('All Statement of strategy (D)'!$C$1=RefData!$B$421,'All Statement of strategy (D)'!$H1545," "))))</f>
        <v xml:space="preserve"> </v>
      </c>
    </row>
    <row r="1546" spans="1:9">
      <c r="A1546" s="584" t="s">
        <v>2658</v>
      </c>
      <c r="B1546" s="594" t="str">
        <f ca="1">IF(OR('Reconciliation report'!$E$821=RefData!$B$164,'Reconciliation report'!$E$821=RefData!$B$165),MID('Reconciliation report'!$E$822,1001,1000),"")</f>
        <v/>
      </c>
      <c r="E1546" s="585" t="str">
        <f ca="1">IF(AND('Reconciliation report'!$E$476&gt;=3,'Reconciliation report'!$E$476&lt;&gt;"",'Reconciliation report'!$E$473=RefData!$B$112),'All Statement of strategy (D)'!$B1546&amp;$C1546,"")</f>
        <v/>
      </c>
      <c r="F1546" s="585" t="str">
        <f ca="1">IF(AND('Reconciliation report'!$E$476&gt;=3,'Reconciliation report'!$E$476&lt;&gt;"",'Reconciliation report'!$E$473=RefData!$B$112),'All Statement of strategy (D)'!$B1546&amp;$C1546,"")</f>
        <v/>
      </c>
      <c r="G1546" s="585" t="str">
        <f ca="1">IF(AND('Reconciliation report'!$E$476&gt;=3,'Reconciliation report'!$E$476&lt;&gt;"",'Reconciliation report'!$E$473=RefData!$B$112),'All Statement of strategy (D)'!$B1546&amp;$C1546,"")</f>
        <v/>
      </c>
      <c r="H1546" s="585" t="str">
        <f ca="1">IF(AND('Reconciliation report'!$E$476&gt;=3,'Reconciliation report'!$E$476&lt;&gt;"",'Reconciliation report'!$E$473=RefData!$B$112),'All Statement of strategy (D)'!$B1546&amp;$C1546,"")</f>
        <v/>
      </c>
      <c r="I1546" s="595" t="str">
        <f ca="1">IF($C$1=RefData!$B$418,'All Statement of strategy (D)'!$E1546,IF('All Statement of strategy (D)'!$C$1=RefData!$B$419,'All Statement of strategy (D)'!$F1546,IF('All Statement of strategy (D)'!$C$1=RefData!$B$420,'All Statement of strategy (D)'!$G1546,IF('All Statement of strategy (D)'!$C$1=RefData!$B$421,'All Statement of strategy (D)'!$H1546," "))))</f>
        <v xml:space="preserve"> </v>
      </c>
    </row>
    <row r="1547" spans="1:9">
      <c r="A1547" s="584" t="s">
        <v>2658</v>
      </c>
      <c r="B1547" s="594" t="str">
        <f ca="1">IF(OR('Reconciliation report'!$E$821=RefData!$B$164,'Reconciliation report'!$E$821=RefData!$B$165),MID('Reconciliation report'!$E$822,2001,1000),"")</f>
        <v/>
      </c>
      <c r="E1547" s="585" t="str">
        <f ca="1">IF(AND('Reconciliation report'!$E$476&gt;=3,'Reconciliation report'!$E$476&lt;&gt;"",'Reconciliation report'!$E$473=RefData!$B$112),'All Statement of strategy (D)'!$B1547&amp;$C1547,"")</f>
        <v/>
      </c>
      <c r="F1547" s="585" t="str">
        <f ca="1">IF(AND('Reconciliation report'!$E$476&gt;=3,'Reconciliation report'!$E$476&lt;&gt;"",'Reconciliation report'!$E$473=RefData!$B$112),'All Statement of strategy (D)'!$B1547&amp;$C1547,"")</f>
        <v/>
      </c>
      <c r="G1547" s="585" t="str">
        <f ca="1">IF(AND('Reconciliation report'!$E$476&gt;=3,'Reconciliation report'!$E$476&lt;&gt;"",'Reconciliation report'!$E$473=RefData!$B$112),'All Statement of strategy (D)'!$B1547&amp;$C1547,"")</f>
        <v/>
      </c>
      <c r="H1547" s="585" t="str">
        <f ca="1">IF(AND('Reconciliation report'!$E$476&gt;=3,'Reconciliation report'!$E$476&lt;&gt;"",'Reconciliation report'!$E$473=RefData!$B$112),'All Statement of strategy (D)'!$B1547&amp;$C1547,"")</f>
        <v/>
      </c>
      <c r="I1547" s="595" t="str">
        <f ca="1">IF($C$1=RefData!$B$418,'All Statement of strategy (D)'!$E1547,IF('All Statement of strategy (D)'!$C$1=RefData!$B$419,'All Statement of strategy (D)'!$F1547,IF('All Statement of strategy (D)'!$C$1=RefData!$B$420,'All Statement of strategy (D)'!$G1547,IF('All Statement of strategy (D)'!$C$1=RefData!$B$421,'All Statement of strategy (D)'!$H1547," "))))</f>
        <v xml:space="preserve"> </v>
      </c>
    </row>
    <row r="1548" spans="1:9">
      <c r="A1548" s="584" t="s">
        <v>2658</v>
      </c>
      <c r="B1548" s="594" t="str">
        <f ca="1">IF(OR('Reconciliation report'!$E$821=RefData!$B$164,'Reconciliation report'!$E$821=RefData!$B$165),MID('Reconciliation report'!$E$822,3001,1000),"")</f>
        <v/>
      </c>
      <c r="E1548" s="585" t="str">
        <f ca="1">IF(AND('Reconciliation report'!$E$476&gt;=3,'Reconciliation report'!$E$476&lt;&gt;"",'Reconciliation report'!$E$473=RefData!$B$112),'All Statement of strategy (D)'!$B1548&amp;$C1548,"")</f>
        <v/>
      </c>
      <c r="F1548" s="585" t="str">
        <f ca="1">IF(AND('Reconciliation report'!$E$476&gt;=3,'Reconciliation report'!$E$476&lt;&gt;"",'Reconciliation report'!$E$473=RefData!$B$112),'All Statement of strategy (D)'!$B1548&amp;$C1548,"")</f>
        <v/>
      </c>
      <c r="G1548" s="585" t="str">
        <f ca="1">IF(AND('Reconciliation report'!$E$476&gt;=3,'Reconciliation report'!$E$476&lt;&gt;"",'Reconciliation report'!$E$473=RefData!$B$112),'All Statement of strategy (D)'!$B1548&amp;$C1548,"")</f>
        <v/>
      </c>
      <c r="H1548" s="585" t="str">
        <f ca="1">IF(AND('Reconciliation report'!$E$476&gt;=3,'Reconciliation report'!$E$476&lt;&gt;"",'Reconciliation report'!$E$473=RefData!$B$112),'All Statement of strategy (D)'!$B1548&amp;$C1548,"")</f>
        <v/>
      </c>
      <c r="I1548" s="595" t="str">
        <f ca="1">IF($C$1=RefData!$B$418,'All Statement of strategy (D)'!$E1548,IF('All Statement of strategy (D)'!$C$1=RefData!$B$419,'All Statement of strategy (D)'!$F1548,IF('All Statement of strategy (D)'!$C$1=RefData!$B$420,'All Statement of strategy (D)'!$G1548,IF('All Statement of strategy (D)'!$C$1=RefData!$B$421,'All Statement of strategy (D)'!$H1548," "))))</f>
        <v xml:space="preserve"> </v>
      </c>
    </row>
    <row r="1549" spans="1:9">
      <c r="A1549" s="604"/>
      <c r="B1549" s="594" t="s">
        <v>2532</v>
      </c>
      <c r="D1549" s="624"/>
      <c r="E1549" s="585" t="str">
        <f ca="1">IF(AND('Reconciliation report'!$E$476&gt;=3,'Reconciliation report'!$E$476&lt;&gt;"",'Reconciliation report'!$E$473=RefData!$B$112),'All Statement of strategy (D)'!$B1549&amp;$C1549,"")</f>
        <v/>
      </c>
      <c r="F1549" s="585" t="str">
        <f ca="1">IF(AND('Reconciliation report'!$E$476&gt;=3,'Reconciliation report'!$E$476&lt;&gt;"",'Reconciliation report'!$E$473=RefData!$B$112),'All Statement of strategy (D)'!$B1549&amp;$C1549,"")</f>
        <v/>
      </c>
      <c r="G1549" s="585" t="str">
        <f>""</f>
        <v/>
      </c>
      <c r="H1549" s="585" t="str">
        <f>""</f>
        <v/>
      </c>
      <c r="I1549" s="595" t="str">
        <f ca="1">IF($C$1=RefData!$B$418,'All Statement of strategy (D)'!$E1549,IF('All Statement of strategy (D)'!$C$1=RefData!$B$419,'All Statement of strategy (D)'!$F1549,IF('All Statement of strategy (D)'!$C$1=RefData!$B$420,'All Statement of strategy (D)'!$G1549,IF('All Statement of strategy (D)'!$C$1=RefData!$B$421,'All Statement of strategy (D)'!$H1549," "))))</f>
        <v xml:space="preserve"> </v>
      </c>
    </row>
    <row r="1550" spans="1:9">
      <c r="A1550" s="584" t="s">
        <v>2659</v>
      </c>
      <c r="B1550" s="594" t="str">
        <f ca="1">B1549&amp;IF('Reconciliation report'!$E$823=RefData!$B$166,'Reconciliation report'!$E$823,"")</f>
        <v xml:space="preserve">Type of maturity: </v>
      </c>
      <c r="D1550" s="624"/>
      <c r="E1550" s="585" t="str">
        <f ca="1">IF(AND('Reconciliation report'!$E$476&gt;=3,'Reconciliation report'!$E$476&lt;&gt;"",'Reconciliation report'!$E$473=RefData!$B$112),'All Statement of strategy (D)'!$B1550&amp;$C1550,"")</f>
        <v/>
      </c>
      <c r="F1550" s="585" t="str">
        <f ca="1">IF(AND('Reconciliation report'!$E$476&gt;=3,'Reconciliation report'!$E$476&lt;&gt;"",'Reconciliation report'!$E$473=RefData!$B$112),'All Statement of strategy (D)'!$B1550&amp;$C1550,"")</f>
        <v/>
      </c>
      <c r="G1550" s="585" t="str">
        <f>""</f>
        <v/>
      </c>
      <c r="H1550" s="585" t="str">
        <f>""</f>
        <v/>
      </c>
      <c r="I1550" s="595" t="str">
        <f ca="1">IF($C$1=RefData!$B$418,'All Statement of strategy (D)'!$E1550,IF('All Statement of strategy (D)'!$C$1=RefData!$B$419,'All Statement of strategy (D)'!$F1550,IF('All Statement of strategy (D)'!$C$1=RefData!$B$420,'All Statement of strategy (D)'!$G1550,IF('All Statement of strategy (D)'!$C$1=RefData!$B$421,'All Statement of strategy (D)'!$H1550," "))))</f>
        <v xml:space="preserve"> </v>
      </c>
    </row>
    <row r="1551" spans="1:9">
      <c r="A1551" s="584" t="s">
        <v>2660</v>
      </c>
      <c r="B1551" s="594" t="str">
        <f ca="1">B1550&amp;IF('Reconciliation report'!$E$823=RefData!$B$167,"Fixed expiry with a maturity date of "&amp;TEXT('Reconciliation report'!$E$824,RefData!$B$424),"")</f>
        <v xml:space="preserve">Type of maturity: </v>
      </c>
      <c r="D1551" s="624"/>
      <c r="E1551" s="585" t="str">
        <f ca="1">IF(AND('Reconciliation report'!$E$476&gt;=3,'Reconciliation report'!$E$476&lt;&gt;"",'Reconciliation report'!$E$473=RefData!$B$112),'All Statement of strategy (D)'!$B1551&amp;$C1551,"")</f>
        <v/>
      </c>
      <c r="F1551" s="585" t="str">
        <f ca="1">IF(AND('Reconciliation report'!$E$476&gt;=3,'Reconciliation report'!$E$476&lt;&gt;"",'Reconciliation report'!$E$473=RefData!$B$112),'All Statement of strategy (D)'!$B1551&amp;$C1551,"")</f>
        <v/>
      </c>
      <c r="G1551" s="585" t="str">
        <f>""</f>
        <v/>
      </c>
      <c r="H1551" s="585" t="str">
        <f>""</f>
        <v/>
      </c>
      <c r="I1551" s="595" t="str">
        <f ca="1">IF($C$1=RefData!$B$418,'All Statement of strategy (D)'!$E1551,IF('All Statement of strategy (D)'!$C$1=RefData!$B$419,'All Statement of strategy (D)'!$F1551,IF('All Statement of strategy (D)'!$C$1=RefData!$B$420,'All Statement of strategy (D)'!$G1551,IF('All Statement of strategy (D)'!$C$1=RefData!$B$421,'All Statement of strategy (D)'!$H1551," "))))</f>
        <v xml:space="preserve"> </v>
      </c>
    </row>
    <row r="1552" spans="1:9">
      <c r="A1552" s="584" t="s">
        <v>2661</v>
      </c>
      <c r="B1552" s="594" t="str">
        <f ca="1">B1551&amp;IF('Reconciliation report'!$E$823=RefData!$B$168,LEFT('Reconciliation report'!$E$825,1000),"")</f>
        <v xml:space="preserve">Type of maturity: </v>
      </c>
      <c r="D1552" s="624"/>
      <c r="E1552" s="585" t="str">
        <f ca="1">IF(AND('Reconciliation report'!$E$476&gt;=3,'Reconciliation report'!$E$476&lt;&gt;"",'Reconciliation report'!$E$473=RefData!$B$112),'All Statement of strategy (D)'!$B1552&amp;$C1552,"")</f>
        <v/>
      </c>
      <c r="F1552" s="585" t="str">
        <f ca="1">IF(AND('Reconciliation report'!$E$476&gt;=3,'Reconciliation report'!$E$476&lt;&gt;"",'Reconciliation report'!$E$473=RefData!$B$112),'All Statement of strategy (D)'!$B1552&amp;$C1552,"")</f>
        <v/>
      </c>
      <c r="G1552" s="585" t="str">
        <f>""</f>
        <v/>
      </c>
      <c r="H1552" s="585" t="str">
        <f>""</f>
        <v/>
      </c>
      <c r="I1552" s="595" t="str">
        <f ca="1">IF($C$1=RefData!$B$418,'All Statement of strategy (D)'!$E1552,IF('All Statement of strategy (D)'!$C$1=RefData!$B$419,'All Statement of strategy (D)'!$F1552,IF('All Statement of strategy (D)'!$C$1=RefData!$B$420,'All Statement of strategy (D)'!$G1552,IF('All Statement of strategy (D)'!$C$1=RefData!$B$421,'All Statement of strategy (D)'!$H1552," "))))</f>
        <v xml:space="preserve"> </v>
      </c>
    </row>
    <row r="1553" spans="1:9">
      <c r="A1553" s="584" t="s">
        <v>2661</v>
      </c>
      <c r="B1553" s="594" t="str">
        <f ca="1">IF('Reconciliation report'!$E$823=RefData!$B$168,MID('Reconciliation report'!$E$825,1001,1000),"")</f>
        <v/>
      </c>
      <c r="D1553" s="624"/>
      <c r="E1553" s="585" t="str">
        <f ca="1">IF(AND('Reconciliation report'!$E$476&gt;=3,'Reconciliation report'!$E$476&lt;&gt;"",'Reconciliation report'!$E$473=RefData!$B$112),'All Statement of strategy (D)'!$B1553&amp;$C1553,"")</f>
        <v/>
      </c>
      <c r="F1553" s="585" t="str">
        <f ca="1">IF(AND('Reconciliation report'!$E$476&gt;=3,'Reconciliation report'!$E$476&lt;&gt;"",'Reconciliation report'!$E$473=RefData!$B$112),'All Statement of strategy (D)'!$B1553&amp;$C1553,"")</f>
        <v/>
      </c>
      <c r="G1553" s="585" t="str">
        <f>""</f>
        <v/>
      </c>
      <c r="H1553" s="585" t="str">
        <f>""</f>
        <v/>
      </c>
      <c r="I1553" s="595" t="str">
        <f ca="1">IF($C$1=RefData!$B$418,'All Statement of strategy (D)'!$E1553,IF('All Statement of strategy (D)'!$C$1=RefData!$B$419,'All Statement of strategy (D)'!$F1553,IF('All Statement of strategy (D)'!$C$1=RefData!$B$420,'All Statement of strategy (D)'!$G1553,IF('All Statement of strategy (D)'!$C$1=RefData!$B$421,'All Statement of strategy (D)'!$H1553," "))))</f>
        <v xml:space="preserve"> </v>
      </c>
    </row>
    <row r="1554" spans="1:9">
      <c r="A1554" s="584" t="s">
        <v>2661</v>
      </c>
      <c r="B1554" s="594" t="str">
        <f ca="1">IF('Reconciliation report'!$E$823=RefData!$B$168,MID('Reconciliation report'!$E$825,2001,1000),"")</f>
        <v/>
      </c>
      <c r="D1554" s="624"/>
      <c r="E1554" s="585" t="str">
        <f ca="1">IF(AND('Reconciliation report'!$E$476&gt;=3,'Reconciliation report'!$E$476&lt;&gt;"",'Reconciliation report'!$E$473=RefData!$B$112),'All Statement of strategy (D)'!$B1554&amp;$C1554,"")</f>
        <v/>
      </c>
      <c r="F1554" s="585" t="str">
        <f ca="1">IF(AND('Reconciliation report'!$E$476&gt;=3,'Reconciliation report'!$E$476&lt;&gt;"",'Reconciliation report'!$E$473=RefData!$B$112),'All Statement of strategy (D)'!$B1554&amp;$C1554,"")</f>
        <v/>
      </c>
      <c r="G1554" s="585" t="str">
        <f>""</f>
        <v/>
      </c>
      <c r="H1554" s="585" t="str">
        <f>""</f>
        <v/>
      </c>
      <c r="I1554" s="595" t="str">
        <f ca="1">IF($C$1=RefData!$B$418,'All Statement of strategy (D)'!$E1554,IF('All Statement of strategy (D)'!$C$1=RefData!$B$419,'All Statement of strategy (D)'!$F1554,IF('All Statement of strategy (D)'!$C$1=RefData!$B$420,'All Statement of strategy (D)'!$G1554,IF('All Statement of strategy (D)'!$C$1=RefData!$B$421,'All Statement of strategy (D)'!$H1554," "))))</f>
        <v xml:space="preserve"> </v>
      </c>
    </row>
    <row r="1555" spans="1:9">
      <c r="A1555" s="584" t="s">
        <v>2661</v>
      </c>
      <c r="B1555" s="594" t="str">
        <f ca="1">IF('Reconciliation report'!$E$823=RefData!$B$168,MID('Reconciliation report'!$E$825,3001,1000),"")</f>
        <v/>
      </c>
      <c r="D1555" s="624"/>
      <c r="E1555" s="585" t="str">
        <f ca="1">IF(AND('Reconciliation report'!$E$476&gt;=3,'Reconciliation report'!$E$476&lt;&gt;"",'Reconciliation report'!$E$473=RefData!$B$112),'All Statement of strategy (D)'!$B1555&amp;$C1555,"")</f>
        <v/>
      </c>
      <c r="F1555" s="585" t="str">
        <f ca="1">IF(AND('Reconciliation report'!$E$476&gt;=3,'Reconciliation report'!$E$476&lt;&gt;"",'Reconciliation report'!$E$473=RefData!$B$112),'All Statement of strategy (D)'!$B1555&amp;$C1555,"")</f>
        <v/>
      </c>
      <c r="G1555" s="585" t="str">
        <f>""</f>
        <v/>
      </c>
      <c r="H1555" s="585" t="str">
        <f>""</f>
        <v/>
      </c>
      <c r="I1555" s="595" t="str">
        <f ca="1">IF($C$1=RefData!$B$418,'All Statement of strategy (D)'!$E1555,IF('All Statement of strategy (D)'!$C$1=RefData!$B$419,'All Statement of strategy (D)'!$F1555,IF('All Statement of strategy (D)'!$C$1=RefData!$B$420,'All Statement of strategy (D)'!$G1555,IF('All Statement of strategy (D)'!$C$1=RefData!$B$421,'All Statement of strategy (D)'!$H1555," "))))</f>
        <v xml:space="preserve"> </v>
      </c>
    </row>
    <row r="1556" spans="1:9">
      <c r="A1556" s="584" t="s">
        <v>2662</v>
      </c>
      <c r="B1556" s="594" t="s">
        <v>2399</v>
      </c>
      <c r="E1556" s="585" t="str">
        <f ca="1">IF(AND('Reconciliation report'!$E$476&gt;=3,'Reconciliation report'!$E$476&lt;&gt;"",'Reconciliation report'!$E$473=RefData!$B$112),'All Statement of strategy (D)'!$B1556&amp;$C1556,"")</f>
        <v/>
      </c>
      <c r="F1556" s="585" t="str">
        <f ca="1">IF(AND('Reconciliation report'!$E$476&gt;=3,'Reconciliation report'!$E$476&lt;&gt;"",'Reconciliation report'!$E$473=RefData!$B$112),'All Statement of strategy (D)'!$B1556&amp;$C1556,"")</f>
        <v/>
      </c>
      <c r="G1556" s="585" t="str">
        <f ca="1">IF(AND('Reconciliation report'!$E$476&gt;=3,'Reconciliation report'!$E$476&lt;&gt;"",'Reconciliation report'!$E$473=RefData!$B$112),'All Statement of strategy (D)'!$B1556&amp;$C1556,"")</f>
        <v/>
      </c>
      <c r="H1556" s="585" t="str">
        <f ca="1">IF(AND('Reconciliation report'!$E$476&gt;=3,'Reconciliation report'!$E$476&lt;&gt;"",'Reconciliation report'!$E$473=RefData!$B$112),'All Statement of strategy (D)'!$B1556&amp;$C1556,"")</f>
        <v/>
      </c>
      <c r="I1556" s="595" t="str">
        <f ca="1">IF($C$1=RefData!$B$418,'All Statement of strategy (D)'!$E1556,IF('All Statement of strategy (D)'!$C$1=RefData!$B$419,'All Statement of strategy (D)'!$F1556,IF('All Statement of strategy (D)'!$C$1=RefData!$B$420,'All Statement of strategy (D)'!$G1556,IF('All Statement of strategy (D)'!$C$1=RefData!$B$421,'All Statement of strategy (D)'!$H1556," "))))</f>
        <v xml:space="preserve"> </v>
      </c>
    </row>
    <row r="1557" spans="1:9">
      <c r="B1557" s="594" t="s">
        <v>2400</v>
      </c>
      <c r="C1557" s="585" t="str">
        <f ca="1">TEXT('Reconciliation report'!$E$826,RefData!$B$425)</f>
        <v/>
      </c>
      <c r="E1557" s="585" t="str">
        <f ca="1">IF(AND('Reconciliation report'!$E$476&gt;=3,'Reconciliation report'!$E$476&lt;&gt;"",'Reconciliation report'!$E$473=RefData!$B$112),'All Statement of strategy (D)'!$B1557&amp;$C1557,"")</f>
        <v/>
      </c>
      <c r="F1557" s="585" t="str">
        <f ca="1">IF(AND('Reconciliation report'!$E$476&gt;=3,'Reconciliation report'!$E$476&lt;&gt;"",'Reconciliation report'!$E$473=RefData!$B$112),'All Statement of strategy (D)'!$B1557&amp;$C1557,"")</f>
        <v/>
      </c>
      <c r="G1557" s="585" t="str">
        <f ca="1">IF(AND('Reconciliation report'!$E$476&gt;=3,'Reconciliation report'!$E$476&lt;&gt;"",'Reconciliation report'!$E$473=RefData!$B$112),'All Statement of strategy (D)'!$B1557&amp;$C1557,"")</f>
        <v/>
      </c>
      <c r="H1557" s="585" t="str">
        <f ca="1">IF(AND('Reconciliation report'!$E$476&gt;=3,'Reconciliation report'!$E$476&lt;&gt;"",'Reconciliation report'!$E$473=RefData!$B$112),'All Statement of strategy (D)'!$B1557&amp;$C1557,"")</f>
        <v/>
      </c>
      <c r="I1557" s="595" t="str">
        <f ca="1">IF($C$1=RefData!$B$418,'All Statement of strategy (D)'!$E1557,IF('All Statement of strategy (D)'!$C$1=RefData!$B$419,'All Statement of strategy (D)'!$F1557,IF('All Statement of strategy (D)'!$C$1=RefData!$B$420,'All Statement of strategy (D)'!$G1557,IF('All Statement of strategy (D)'!$C$1=RefData!$B$421,'All Statement of strategy (D)'!$H1557," "))))</f>
        <v xml:space="preserve"> </v>
      </c>
    </row>
    <row r="1558" spans="1:9">
      <c r="A1558" s="584" t="s">
        <v>2663</v>
      </c>
      <c r="B1558" s="594" t="s">
        <v>2402</v>
      </c>
      <c r="C1558" s="618" t="str">
        <f ca="1">TEXT('Reconciliation report'!$E$827,RefData!$B$424)</f>
        <v/>
      </c>
      <c r="E1558" s="585" t="str">
        <f ca="1">IF(AND('Reconciliation report'!$E$476&gt;=3,'Reconciliation report'!$E$476&lt;&gt;"",'Reconciliation report'!$E$473=RefData!$B$112),'All Statement of strategy (D)'!$B1558&amp;$C1558,"")</f>
        <v/>
      </c>
      <c r="F1558" s="585" t="str">
        <f ca="1">IF(AND('Reconciliation report'!$E$476&gt;=3,'Reconciliation report'!$E$476&lt;&gt;"",'Reconciliation report'!$E$473=RefData!$B$112),'All Statement of strategy (D)'!$B1558&amp;$C1558,"")</f>
        <v/>
      </c>
      <c r="G1558" s="585" t="str">
        <f ca="1">IF(AND('Reconciliation report'!$E$476&gt;=3,'Reconciliation report'!$E$476&lt;&gt;"",'Reconciliation report'!$E$473=RefData!$B$112),'All Statement of strategy (D)'!$B1558&amp;$C1558,"")</f>
        <v/>
      </c>
      <c r="H1558" s="585" t="str">
        <f ca="1">IF(AND('Reconciliation report'!$E$476&gt;=3,'Reconciliation report'!$E$476&lt;&gt;"",'Reconciliation report'!$E$473=RefData!$B$112),'All Statement of strategy (D)'!$B1558&amp;$C1558,"")</f>
        <v/>
      </c>
      <c r="I1558" s="595" t="str">
        <f ca="1">IF($C$1=RefData!$B$418,'All Statement of strategy (D)'!$E1558,IF('All Statement of strategy (D)'!$C$1=RefData!$B$419,'All Statement of strategy (D)'!$F1558,IF('All Statement of strategy (D)'!$C$1=RefData!$B$420,'All Statement of strategy (D)'!$G1558,IF('All Statement of strategy (D)'!$C$1=RefData!$B$421,'All Statement of strategy (D)'!$H1558," "))))</f>
        <v xml:space="preserve"> </v>
      </c>
    </row>
    <row r="1559" spans="1:9">
      <c r="A1559" s="604"/>
      <c r="B1559" s="594" t="s">
        <v>2518</v>
      </c>
      <c r="D1559" s="624"/>
      <c r="E1559" s="585" t="str">
        <f ca="1">IF(AND('Reconciliation report'!$E$476&gt;=3,'Reconciliation report'!$E$476&lt;&gt;"",'Reconciliation report'!$E$473=RefData!$B$112),'All Statement of strategy (D)'!$B1559&amp;$C1559,"")</f>
        <v/>
      </c>
      <c r="F1559" s="585" t="str">
        <f ca="1">IF(AND('Reconciliation report'!$E$476&gt;=3,'Reconciliation report'!$E$476&lt;&gt;"",'Reconciliation report'!$E$473=RefData!$B$112),'All Statement of strategy (D)'!$B1559&amp;$C1559,"")</f>
        <v/>
      </c>
      <c r="G1559" s="585" t="str">
        <f>""</f>
        <v/>
      </c>
      <c r="H1559" s="585" t="str">
        <f>""</f>
        <v/>
      </c>
      <c r="I1559" s="595" t="str">
        <f ca="1">IF($C$1=RefData!$B$418,'All Statement of strategy (D)'!$E1559,IF('All Statement of strategy (D)'!$C$1=RefData!$B$419,'All Statement of strategy (D)'!$F1559,IF('All Statement of strategy (D)'!$C$1=RefData!$B$420,'All Statement of strategy (D)'!$G1559,IF('All Statement of strategy (D)'!$C$1=RefData!$B$421,'All Statement of strategy (D)'!$H1559," "))))</f>
        <v xml:space="preserve"> </v>
      </c>
    </row>
    <row r="1560" spans="1:9">
      <c r="A1560" s="584" t="s">
        <v>2664</v>
      </c>
      <c r="B1560" s="594" t="str">
        <f ca="1">B1559&amp;IF('Reconciliation report'!$E$828=RefData!$B$175,"",'Reconciliation report'!$E$828)</f>
        <v xml:space="preserve">Value cap: </v>
      </c>
      <c r="D1560" s="624"/>
      <c r="E1560" s="585" t="str">
        <f ca="1">IF(AND('Reconciliation report'!$E$476&gt;=3,'Reconciliation report'!$E$476&lt;&gt;"",'Reconciliation report'!$E$473=RefData!$B$112),'All Statement of strategy (D)'!$B1560&amp;$C1560,"")</f>
        <v/>
      </c>
      <c r="F1560" s="585" t="str">
        <f ca="1">IF(AND('Reconciliation report'!$E$476&gt;=3,'Reconciliation report'!$E$476&lt;&gt;"",'Reconciliation report'!$E$473=RefData!$B$112),'All Statement of strategy (D)'!$B1560&amp;$C1560,"")</f>
        <v/>
      </c>
      <c r="G1560" s="585" t="str">
        <f>""</f>
        <v/>
      </c>
      <c r="H1560" s="585" t="str">
        <f>""</f>
        <v/>
      </c>
      <c r="I1560" s="595" t="str">
        <f ca="1">IF($C$1=RefData!$B$418,'All Statement of strategy (D)'!$E1560,IF('All Statement of strategy (D)'!$C$1=RefData!$B$419,'All Statement of strategy (D)'!$F1560,IF('All Statement of strategy (D)'!$C$1=RefData!$B$420,'All Statement of strategy (D)'!$G1560,IF('All Statement of strategy (D)'!$C$1=RefData!$B$421,'All Statement of strategy (D)'!$H1560," "))))</f>
        <v xml:space="preserve"> </v>
      </c>
    </row>
    <row r="1561" spans="1:9">
      <c r="A1561" s="584" t="s">
        <v>2665</v>
      </c>
      <c r="B1561" s="594" t="str">
        <f ca="1">B1560&amp;IF('Reconciliation report'!$E$828=RefData!$B$175,LEFT('Reconciliation report'!$E$829,1000),"")</f>
        <v xml:space="preserve">Value cap: </v>
      </c>
      <c r="D1561" s="624"/>
      <c r="E1561" s="585" t="str">
        <f ca="1">IF(AND('Reconciliation report'!$E$476&gt;=3,'Reconciliation report'!$E$476&lt;&gt;"",'Reconciliation report'!$E$473=RefData!$B$112),'All Statement of strategy (D)'!$B1561&amp;$C1561,"")</f>
        <v/>
      </c>
      <c r="F1561" s="585" t="str">
        <f ca="1">IF(AND('Reconciliation report'!$E$476&gt;=3,'Reconciliation report'!$E$476&lt;&gt;"",'Reconciliation report'!$E$473=RefData!$B$112),'All Statement of strategy (D)'!$B1561&amp;$C1561,"")</f>
        <v/>
      </c>
      <c r="G1561" s="585" t="str">
        <f>""</f>
        <v/>
      </c>
      <c r="H1561" s="585" t="str">
        <f>""</f>
        <v/>
      </c>
      <c r="I1561" s="595" t="str">
        <f ca="1">IF($C$1=RefData!$B$418,'All Statement of strategy (D)'!$E1561,IF('All Statement of strategy (D)'!$C$1=RefData!$B$419,'All Statement of strategy (D)'!$F1561,IF('All Statement of strategy (D)'!$C$1=RefData!$B$420,'All Statement of strategy (D)'!$G1561,IF('All Statement of strategy (D)'!$C$1=RefData!$B$421,'All Statement of strategy (D)'!$H1561," "))))</f>
        <v xml:space="preserve"> </v>
      </c>
    </row>
    <row r="1562" spans="1:9">
      <c r="A1562" s="584" t="s">
        <v>2665</v>
      </c>
      <c r="B1562" s="594" t="str">
        <f ca="1">IF('Reconciliation report'!$E$828=RefData!$B$175,MID('Reconciliation report'!$E$829,1001,1000),"")</f>
        <v/>
      </c>
      <c r="D1562" s="624"/>
      <c r="E1562" s="585" t="str">
        <f ca="1">IF(AND('Reconciliation report'!$E$476&gt;=3,'Reconciliation report'!$E$476&lt;&gt;"",'Reconciliation report'!$E$473=RefData!$B$112),'All Statement of strategy (D)'!$B1562&amp;$C1562,"")</f>
        <v/>
      </c>
      <c r="F1562" s="585" t="str">
        <f ca="1">IF(AND('Reconciliation report'!$E$476&gt;=3,'Reconciliation report'!$E$476&lt;&gt;"",'Reconciliation report'!$E$473=RefData!$B$112),'All Statement of strategy (D)'!$B1562&amp;$C1562,"")</f>
        <v/>
      </c>
      <c r="G1562" s="585" t="str">
        <f>""</f>
        <v/>
      </c>
      <c r="H1562" s="585" t="str">
        <f>""</f>
        <v/>
      </c>
      <c r="I1562" s="595" t="str">
        <f ca="1">IF($C$1=RefData!$B$418,'All Statement of strategy (D)'!$E1562,IF('All Statement of strategy (D)'!$C$1=RefData!$B$419,'All Statement of strategy (D)'!$F1562,IF('All Statement of strategy (D)'!$C$1=RefData!$B$420,'All Statement of strategy (D)'!$G1562,IF('All Statement of strategy (D)'!$C$1=RefData!$B$421,'All Statement of strategy (D)'!$H1562," "))))</f>
        <v xml:space="preserve"> </v>
      </c>
    </row>
    <row r="1563" spans="1:9">
      <c r="A1563" s="584" t="s">
        <v>2665</v>
      </c>
      <c r="B1563" s="594" t="str">
        <f ca="1">IF('Reconciliation report'!$E$828=RefData!$B$175,MID('Reconciliation report'!$E$829,2001,1000),"")</f>
        <v/>
      </c>
      <c r="D1563" s="624"/>
      <c r="E1563" s="585" t="str">
        <f ca="1">IF(AND('Reconciliation report'!$E$476&gt;=3,'Reconciliation report'!$E$476&lt;&gt;"",'Reconciliation report'!$E$473=RefData!$B$112),'All Statement of strategy (D)'!$B1563&amp;$C1563,"")</f>
        <v/>
      </c>
      <c r="F1563" s="585" t="str">
        <f ca="1">IF(AND('Reconciliation report'!$E$476&gt;=3,'Reconciliation report'!$E$476&lt;&gt;"",'Reconciliation report'!$E$473=RefData!$B$112),'All Statement of strategy (D)'!$B1563&amp;$C1563,"")</f>
        <v/>
      </c>
      <c r="G1563" s="585" t="str">
        <f>""</f>
        <v/>
      </c>
      <c r="H1563" s="585" t="str">
        <f>""</f>
        <v/>
      </c>
      <c r="I1563" s="595" t="str">
        <f ca="1">IF($C$1=RefData!$B$418,'All Statement of strategy (D)'!$E1563,IF('All Statement of strategy (D)'!$C$1=RefData!$B$419,'All Statement of strategy (D)'!$F1563,IF('All Statement of strategy (D)'!$C$1=RefData!$B$420,'All Statement of strategy (D)'!$G1563,IF('All Statement of strategy (D)'!$C$1=RefData!$B$421,'All Statement of strategy (D)'!$H1563," "))))</f>
        <v xml:space="preserve"> </v>
      </c>
    </row>
    <row r="1564" spans="1:9">
      <c r="A1564" s="584" t="s">
        <v>2665</v>
      </c>
      <c r="B1564" s="594" t="str">
        <f ca="1">IF('Reconciliation report'!$E$828=RefData!$B$175,MID('Reconciliation report'!$E$829,3001,1000),"")</f>
        <v/>
      </c>
      <c r="D1564" s="624"/>
      <c r="E1564" s="585" t="str">
        <f ca="1">IF(AND('Reconciliation report'!$E$476&gt;=3,'Reconciliation report'!$E$476&lt;&gt;"",'Reconciliation report'!$E$473=RefData!$B$112),'All Statement of strategy (D)'!$B1564&amp;$C1564,"")</f>
        <v/>
      </c>
      <c r="F1564" s="585" t="str">
        <f ca="1">IF(AND('Reconciliation report'!$E$476&gt;=3,'Reconciliation report'!$E$476&lt;&gt;"",'Reconciliation report'!$E$473=RefData!$B$112),'All Statement of strategy (D)'!$B1564&amp;$C1564,"")</f>
        <v/>
      </c>
      <c r="G1564" s="585" t="str">
        <f>""</f>
        <v/>
      </c>
      <c r="H1564" s="585" t="str">
        <f>""</f>
        <v/>
      </c>
      <c r="I1564" s="595" t="str">
        <f ca="1">IF($C$1=RefData!$B$418,'All Statement of strategy (D)'!$E1564,IF('All Statement of strategy (D)'!$C$1=RefData!$B$419,'All Statement of strategy (D)'!$F1564,IF('All Statement of strategy (D)'!$C$1=RefData!$B$420,'All Statement of strategy (D)'!$G1564,IF('All Statement of strategy (D)'!$C$1=RefData!$B$421,'All Statement of strategy (D)'!$H1564," "))))</f>
        <v xml:space="preserve"> </v>
      </c>
    </row>
    <row r="1565" spans="1:9">
      <c r="A1565" s="584" t="s">
        <v>2666</v>
      </c>
      <c r="B1565" s="594" t="s">
        <v>2406</v>
      </c>
      <c r="C1565" s="585" t="str">
        <f ca="1">TEXT('Reconciliation report'!$E$830,RefData!$B$425)</f>
        <v/>
      </c>
      <c r="E1565" s="585" t="str">
        <f ca="1">IF(AND('Reconciliation report'!$E$828=RefData!$B$174,'Reconciliation report'!$E$476&gt;=3,'Reconciliation report'!$E$476&lt;&gt;"",'Reconciliation report'!$E$473=RefData!$B$112),'All Statement of strategy (D)'!$B1565&amp;$C1565,"")</f>
        <v/>
      </c>
      <c r="F1565" s="585" t="str">
        <f ca="1">IF(AND('Reconciliation report'!$E$828=RefData!$B$174,'Reconciliation report'!$E$476&gt;=3,'Reconciliation report'!$E$476&lt;&gt;"",'Reconciliation report'!$E$473=RefData!$B$112),'All Statement of strategy (D)'!$B1565&amp;$C1565,"")</f>
        <v/>
      </c>
      <c r="G1565" s="585" t="str">
        <f>""</f>
        <v/>
      </c>
      <c r="H1565" s="585" t="str">
        <f>""</f>
        <v/>
      </c>
      <c r="I1565" s="595" t="str">
        <f ca="1">IF($C$1=RefData!$B$418,'All Statement of strategy (D)'!$E1565,IF('All Statement of strategy (D)'!$C$1=RefData!$B$419,'All Statement of strategy (D)'!$F1565,IF('All Statement of strategy (D)'!$C$1=RefData!$B$420,'All Statement of strategy (D)'!$G1565,IF('All Statement of strategy (D)'!$C$1=RefData!$B$421,'All Statement of strategy (D)'!$H1565," "))))</f>
        <v xml:space="preserve"> </v>
      </c>
    </row>
    <row r="1566" spans="1:9">
      <c r="B1566" s="594" t="s">
        <v>2407</v>
      </c>
      <c r="E1566" s="585" t="str">
        <f ca="1">IF(AND('Reconciliation report'!$E$476&gt;=3,'Reconciliation report'!$E$476&lt;&gt;"",'Reconciliation report'!$E$473=RefData!$B$112),'All Statement of strategy (D)'!$B1566&amp;$C1566,"")</f>
        <v/>
      </c>
      <c r="F1566" s="585" t="str">
        <f ca="1">IF(AND('Reconciliation report'!$E$476&gt;=3,'Reconciliation report'!$E$476&lt;&gt;"",'Reconciliation report'!$E$473=RefData!$B$112),'All Statement of strategy (D)'!$B1566&amp;$C1566,"")</f>
        <v/>
      </c>
      <c r="G1566" s="585" t="str">
        <f>""</f>
        <v/>
      </c>
      <c r="H1566" s="585" t="str">
        <f>""</f>
        <v/>
      </c>
      <c r="I1566" s="595" t="str">
        <f ca="1">IF($C$1=RefData!$B$418,'All Statement of strategy (D)'!$E1566,IF('All Statement of strategy (D)'!$C$1=RefData!$B$419,'All Statement of strategy (D)'!$F1566,IF('All Statement of strategy (D)'!$C$1=RefData!$B$420,'All Statement of strategy (D)'!$G1566,IF('All Statement of strategy (D)'!$C$1=RefData!$B$421,'All Statement of strategy (D)'!$H1566," "))))</f>
        <v xml:space="preserve"> </v>
      </c>
    </row>
    <row r="1567" spans="1:9">
      <c r="A1567" s="584" t="s">
        <v>2667</v>
      </c>
      <c r="B1567" s="594" t="s">
        <v>2409</v>
      </c>
      <c r="C1567" s="585" t="str">
        <f ca="1">'Reconciliation report'!$E$831</f>
        <v/>
      </c>
      <c r="E1567" s="585" t="str">
        <f ca="1">IF(AND('Reconciliation report'!$E$476&gt;=3,'Reconciliation report'!$E$476&lt;&gt;"",'Reconciliation report'!$E$473=RefData!$B$112),'All Statement of strategy (D)'!$B1567&amp;$C1567,"")</f>
        <v/>
      </c>
      <c r="F1567" s="585" t="str">
        <f ca="1">IF(AND('Reconciliation report'!$E$476&gt;=3,'Reconciliation report'!$E$476&lt;&gt;"",'Reconciliation report'!$E$473=RefData!$B$112),'All Statement of strategy (D)'!$B1567&amp;$C1567,"")</f>
        <v/>
      </c>
      <c r="G1567" s="585" t="str">
        <f>""</f>
        <v/>
      </c>
      <c r="H1567" s="585" t="str">
        <f>""</f>
        <v/>
      </c>
      <c r="I1567" s="595" t="str">
        <f ca="1">IF($C$1=RefData!$B$418,'All Statement of strategy (D)'!$E1567,IF('All Statement of strategy (D)'!$C$1=RefData!$B$419,'All Statement of strategy (D)'!$F1567,IF('All Statement of strategy (D)'!$C$1=RefData!$B$420,'All Statement of strategy (D)'!$G1567,IF('All Statement of strategy (D)'!$C$1=RefData!$B$421,'All Statement of strategy (D)'!$H1567," "))))</f>
        <v xml:space="preserve"> </v>
      </c>
    </row>
    <row r="1568" spans="1:9">
      <c r="A1568" s="584" t="s">
        <v>2668</v>
      </c>
      <c r="B1568" s="594" t="s">
        <v>2411</v>
      </c>
      <c r="C1568" s="585" t="str">
        <f ca="1">'Reconciliation report'!$E$832</f>
        <v/>
      </c>
      <c r="E1568" s="585" t="str">
        <f ca="1">IF(AND('Reconciliation report'!$E$476&gt;=3,'Reconciliation report'!$E$476&lt;&gt;"",'Reconciliation report'!$E$473=RefData!$B$112),'All Statement of strategy (D)'!$B1568&amp;$C1568,"")</f>
        <v/>
      </c>
      <c r="F1568" s="585" t="str">
        <f ca="1">IF(AND('Reconciliation report'!$E$476&gt;=3,'Reconciliation report'!$E$476&lt;&gt;"",'Reconciliation report'!$E$473=RefData!$B$112),'All Statement of strategy (D)'!$B1568&amp;$C1568,"")</f>
        <v/>
      </c>
      <c r="G1568" s="585" t="str">
        <f>""</f>
        <v/>
      </c>
      <c r="H1568" s="585" t="str">
        <f>""</f>
        <v/>
      </c>
      <c r="I1568" s="595" t="str">
        <f ca="1">IF($C$1=RefData!$B$418,'All Statement of strategy (D)'!$E1568,IF('All Statement of strategy (D)'!$C$1=RefData!$B$419,'All Statement of strategy (D)'!$F1568,IF('All Statement of strategy (D)'!$C$1=RefData!$B$420,'All Statement of strategy (D)'!$G1568,IF('All Statement of strategy (D)'!$C$1=RefData!$B$421,'All Statement of strategy (D)'!$H1568," "))))</f>
        <v xml:space="preserve"> </v>
      </c>
    </row>
    <row r="1569" spans="1:9">
      <c r="A1569" s="584" t="s">
        <v>2669</v>
      </c>
      <c r="B1569" s="594" t="s">
        <v>2413</v>
      </c>
      <c r="C1569" s="585" t="str">
        <f ca="1">'Reconciliation report'!$E$833</f>
        <v/>
      </c>
      <c r="E1569" s="585" t="str">
        <f ca="1">IF(AND('Reconciliation report'!$E$476&gt;=3,'Reconciliation report'!$E$476&lt;&gt;"",'Reconciliation report'!$E$473=RefData!$B$112),'All Statement of strategy (D)'!$B1569&amp;$C1569,"")</f>
        <v/>
      </c>
      <c r="F1569" s="585" t="str">
        <f ca="1">IF(AND('Reconciliation report'!$E$476&gt;=3,'Reconciliation report'!$E$476&lt;&gt;"",'Reconciliation report'!$E$473=RefData!$B$112),'All Statement of strategy (D)'!$B1569&amp;$C1569,"")</f>
        <v/>
      </c>
      <c r="G1569" s="585" t="str">
        <f>""</f>
        <v/>
      </c>
      <c r="H1569" s="585" t="str">
        <f>""</f>
        <v/>
      </c>
      <c r="I1569" s="595" t="str">
        <f ca="1">IF($C$1=RefData!$B$418,'All Statement of strategy (D)'!$E1569,IF('All Statement of strategy (D)'!$C$1=RefData!$B$419,'All Statement of strategy (D)'!$F1569,IF('All Statement of strategy (D)'!$C$1=RefData!$B$420,'All Statement of strategy (D)'!$G1569,IF('All Statement of strategy (D)'!$C$1=RefData!$B$421,'All Statement of strategy (D)'!$H1569," "))))</f>
        <v xml:space="preserve"> </v>
      </c>
    </row>
    <row r="1570" spans="1:9">
      <c r="A1570" s="584" t="s">
        <v>2670</v>
      </c>
      <c r="B1570" s="594" t="s">
        <v>2415</v>
      </c>
      <c r="C1570" s="585" t="str">
        <f ca="1">'Reconciliation report'!$E$834</f>
        <v/>
      </c>
      <c r="E1570" s="585" t="str">
        <f ca="1">IF(AND('Reconciliation report'!$E$476&gt;=3,'Reconciliation report'!$E$476&lt;&gt;"",'Reconciliation report'!$E$473=RefData!$B$112),'All Statement of strategy (D)'!$B1570&amp;$C1570,"")</f>
        <v/>
      </c>
      <c r="F1570" s="585" t="str">
        <f ca="1">IF(AND('Reconciliation report'!$E$476&gt;=3,'Reconciliation report'!$E$476&lt;&gt;"",'Reconciliation report'!$E$473=RefData!$B$112),'All Statement of strategy (D)'!$B1570&amp;$C1570,"")</f>
        <v/>
      </c>
      <c r="G1570" s="585" t="str">
        <f>""</f>
        <v/>
      </c>
      <c r="H1570" s="585" t="str">
        <f>""</f>
        <v/>
      </c>
      <c r="I1570" s="595" t="str">
        <f ca="1">IF($C$1=RefData!$B$418,'All Statement of strategy (D)'!$E1570,IF('All Statement of strategy (D)'!$C$1=RefData!$B$419,'All Statement of strategy (D)'!$F1570,IF('All Statement of strategy (D)'!$C$1=RefData!$B$420,'All Statement of strategy (D)'!$G1570,IF('All Statement of strategy (D)'!$C$1=RefData!$B$421,'All Statement of strategy (D)'!$H1570," "))))</f>
        <v xml:space="preserve"> </v>
      </c>
    </row>
    <row r="1571" spans="1:9">
      <c r="A1571" s="584" t="s">
        <v>2671</v>
      </c>
      <c r="B1571" s="594" t="str">
        <f ca="1">IF('Reconciliation report'!$E$835=RefData!$B$159,LEFT('Reconciliation report'!$E$836,1000),"")</f>
        <v/>
      </c>
      <c r="E1571" s="585" t="str">
        <f ca="1">IF(AND('Reconciliation report'!$E$476&gt;=3,'Reconciliation report'!$E$476&lt;&gt;"",'Reconciliation report'!$E$473=RefData!$B$112),'All Statement of strategy (D)'!$B1571&amp;$C1571,"")</f>
        <v/>
      </c>
      <c r="F1571" s="585" t="str">
        <f ca="1">IF(AND('Reconciliation report'!$E$476&gt;=3,'Reconciliation report'!$E$476&lt;&gt;"",'Reconciliation report'!$E$473=RefData!$B$112),'All Statement of strategy (D)'!$B1571&amp;$C1571,"")</f>
        <v/>
      </c>
      <c r="G1571" s="585" t="str">
        <f>""</f>
        <v/>
      </c>
      <c r="H1571" s="585" t="str">
        <f>""</f>
        <v/>
      </c>
      <c r="I1571" s="595" t="str">
        <f ca="1">IF($C$1=RefData!$B$418,'All Statement of strategy (D)'!$E1571,IF('All Statement of strategy (D)'!$C$1=RefData!$B$419,'All Statement of strategy (D)'!$F1571,IF('All Statement of strategy (D)'!$C$1=RefData!$B$420,'All Statement of strategy (D)'!$G1571,IF('All Statement of strategy (D)'!$C$1=RefData!$B$421,'All Statement of strategy (D)'!$H1571," "))))</f>
        <v xml:space="preserve"> </v>
      </c>
    </row>
    <row r="1572" spans="1:9">
      <c r="A1572" s="584" t="s">
        <v>2671</v>
      </c>
      <c r="B1572" s="594" t="str">
        <f ca="1">IF('Reconciliation report'!$E$835=RefData!$B$159,MID('Reconciliation report'!$E$836,1001,1000),"")</f>
        <v/>
      </c>
      <c r="E1572" s="585" t="str">
        <f ca="1">IF(AND('Reconciliation report'!$E$476&gt;=3,'Reconciliation report'!$E$476&lt;&gt;"",'Reconciliation report'!$E$473=RefData!$B$112),'All Statement of strategy (D)'!$B1572&amp;$C1572,"")</f>
        <v/>
      </c>
      <c r="F1572" s="585" t="str">
        <f ca="1">IF(AND('Reconciliation report'!$E$476&gt;=3,'Reconciliation report'!$E$476&lt;&gt;"",'Reconciliation report'!$E$473=RefData!$B$112),'All Statement of strategy (D)'!$B1572&amp;$C1572,"")</f>
        <v/>
      </c>
      <c r="G1572" s="585" t="str">
        <f>""</f>
        <v/>
      </c>
      <c r="H1572" s="585" t="str">
        <f>""</f>
        <v/>
      </c>
      <c r="I1572" s="595" t="str">
        <f ca="1">IF($C$1=RefData!$B$418,'All Statement of strategy (D)'!$E1572,IF('All Statement of strategy (D)'!$C$1=RefData!$B$419,'All Statement of strategy (D)'!$F1572,IF('All Statement of strategy (D)'!$C$1=RefData!$B$420,'All Statement of strategy (D)'!$G1572,IF('All Statement of strategy (D)'!$C$1=RefData!$B$421,'All Statement of strategy (D)'!$H1572," "))))</f>
        <v xml:space="preserve"> </v>
      </c>
    </row>
    <row r="1573" spans="1:9">
      <c r="A1573" s="584" t="s">
        <v>2671</v>
      </c>
      <c r="B1573" s="594" t="str">
        <f ca="1">IF('Reconciliation report'!$E$835=RefData!$B$159,MID('Reconciliation report'!$E$836,2001,1000),"")</f>
        <v/>
      </c>
      <c r="E1573" s="585" t="str">
        <f ca="1">IF(AND('Reconciliation report'!$E$476&gt;=3,'Reconciliation report'!$E$476&lt;&gt;"",'Reconciliation report'!$E$473=RefData!$B$112),'All Statement of strategy (D)'!$B1573&amp;$C1573,"")</f>
        <v/>
      </c>
      <c r="F1573" s="585" t="str">
        <f ca="1">IF(AND('Reconciliation report'!$E$476&gt;=3,'Reconciliation report'!$E$476&lt;&gt;"",'Reconciliation report'!$E$473=RefData!$B$112),'All Statement of strategy (D)'!$B1573&amp;$C1573,"")</f>
        <v/>
      </c>
      <c r="G1573" s="585" t="str">
        <f>""</f>
        <v/>
      </c>
      <c r="H1573" s="585" t="str">
        <f>""</f>
        <v/>
      </c>
      <c r="I1573" s="595" t="str">
        <f ca="1">IF($C$1=RefData!$B$418,'All Statement of strategy (D)'!$E1573,IF('All Statement of strategy (D)'!$C$1=RefData!$B$419,'All Statement of strategy (D)'!$F1573,IF('All Statement of strategy (D)'!$C$1=RefData!$B$420,'All Statement of strategy (D)'!$G1573,IF('All Statement of strategy (D)'!$C$1=RefData!$B$421,'All Statement of strategy (D)'!$H1573," "))))</f>
        <v xml:space="preserve"> </v>
      </c>
    </row>
    <row r="1574" spans="1:9">
      <c r="A1574" s="584" t="s">
        <v>2671</v>
      </c>
      <c r="B1574" s="594" t="str">
        <f ca="1">IF('Reconciliation report'!$E$835=RefData!$B$159,MID('Reconciliation report'!$E$836,3001,1000),"")</f>
        <v/>
      </c>
      <c r="E1574" s="585" t="str">
        <f ca="1">IF(AND('Reconciliation report'!$E$476&gt;=3,'Reconciliation report'!$E$476&lt;&gt;"",'Reconciliation report'!$E$473=RefData!$B$112),'All Statement of strategy (D)'!$B1574&amp;$C1574,"")</f>
        <v/>
      </c>
      <c r="F1574" s="585" t="str">
        <f ca="1">IF(AND('Reconciliation report'!$E$476&gt;=3,'Reconciliation report'!$E$476&lt;&gt;"",'Reconciliation report'!$E$473=RefData!$B$112),'All Statement of strategy (D)'!$B1574&amp;$C1574,"")</f>
        <v/>
      </c>
      <c r="G1574" s="585" t="str">
        <f>""</f>
        <v/>
      </c>
      <c r="H1574" s="585" t="str">
        <f>""</f>
        <v/>
      </c>
      <c r="I1574" s="595" t="str">
        <f ca="1">IF($C$1=RefData!$B$418,'All Statement of strategy (D)'!$E1574,IF('All Statement of strategy (D)'!$C$1=RefData!$B$419,'All Statement of strategy (D)'!$F1574,IF('All Statement of strategy (D)'!$C$1=RefData!$B$420,'All Statement of strategy (D)'!$G1574,IF('All Statement of strategy (D)'!$C$1=RefData!$B$421,'All Statement of strategy (D)'!$H1574," "))))</f>
        <v xml:space="preserve"> </v>
      </c>
    </row>
    <row r="1575" spans="1:9">
      <c r="B1575" s="594" t="s">
        <v>2417</v>
      </c>
      <c r="E1575" s="585" t="str">
        <f ca="1">IF(AND('Reconciliation report'!$E$476&gt;=3,'Reconciliation report'!$E$476&lt;&gt;"",'Reconciliation report'!$E$473=RefData!$B$112),'All Statement of strategy (D)'!$B1575&amp;$C1575,"")</f>
        <v/>
      </c>
      <c r="F1575" s="585" t="str">
        <f ca="1">IF(AND('Reconciliation report'!$E$476&gt;=3,'Reconciliation report'!$E$476&lt;&gt;"",'Reconciliation report'!$E$473=RefData!$B$112),'All Statement of strategy (D)'!$B1575&amp;$C1575,"")</f>
        <v/>
      </c>
      <c r="G1575" s="585" t="str">
        <f>""</f>
        <v/>
      </c>
      <c r="H1575" s="585" t="str">
        <f>""</f>
        <v/>
      </c>
      <c r="I1575" s="595" t="str">
        <f ca="1">IF($C$1=RefData!$B$418,'All Statement of strategy (D)'!$E1575,IF('All Statement of strategy (D)'!$C$1=RefData!$B$419,'All Statement of strategy (D)'!$F1575,IF('All Statement of strategy (D)'!$C$1=RefData!$B$420,'All Statement of strategy (D)'!$G1575,IF('All Statement of strategy (D)'!$C$1=RefData!$B$421,'All Statement of strategy (D)'!$H1575," "))))</f>
        <v xml:space="preserve"> </v>
      </c>
    </row>
    <row r="1576" spans="1:9">
      <c r="A1576" s="584" t="s">
        <v>2672</v>
      </c>
      <c r="B1576" s="594" t="str">
        <f ca="1">B1575&amp;LEFT('Reconciliation report'!$E$837,1000)</f>
        <v xml:space="preserve">Triggers for termination: </v>
      </c>
      <c r="E1576" s="585" t="str">
        <f ca="1">IF(AND('Reconciliation report'!$E$476&gt;=3,'Reconciliation report'!$E$476&lt;&gt;"",'Reconciliation report'!$E$473=RefData!$B$112),'All Statement of strategy (D)'!$B1576&amp;$C1576,"")</f>
        <v/>
      </c>
      <c r="F1576" s="585" t="str">
        <f ca="1">IF(AND('Reconciliation report'!$E$476&gt;=3,'Reconciliation report'!$E$476&lt;&gt;"",'Reconciliation report'!$E$473=RefData!$B$112),'All Statement of strategy (D)'!$B1576&amp;$C1576,"")</f>
        <v/>
      </c>
      <c r="G1576" s="585" t="str">
        <f>""</f>
        <v/>
      </c>
      <c r="H1576" s="585" t="str">
        <f>""</f>
        <v/>
      </c>
      <c r="I1576" s="595" t="str">
        <f ca="1">IF($C$1=RefData!$B$418,'All Statement of strategy (D)'!$E1576,IF('All Statement of strategy (D)'!$C$1=RefData!$B$419,'All Statement of strategy (D)'!$F1576,IF('All Statement of strategy (D)'!$C$1=RefData!$B$420,'All Statement of strategy (D)'!$G1576,IF('All Statement of strategy (D)'!$C$1=RefData!$B$421,'All Statement of strategy (D)'!$H1576," "))))</f>
        <v xml:space="preserve"> </v>
      </c>
    </row>
    <row r="1577" spans="1:9">
      <c r="A1577" s="584" t="s">
        <v>2672</v>
      </c>
      <c r="B1577" s="594" t="str">
        <f ca="1">MID('Reconciliation report'!$E$837,1001,1000)</f>
        <v/>
      </c>
      <c r="E1577" s="585" t="str">
        <f ca="1">IF(AND('Reconciliation report'!$E$476&gt;=3,'Reconciliation report'!$E$476&lt;&gt;"",'Reconciliation report'!$E$473=RefData!$B$112),'All Statement of strategy (D)'!$B1577&amp;$C1577,"")</f>
        <v/>
      </c>
      <c r="F1577" s="585" t="str">
        <f ca="1">IF(AND('Reconciliation report'!$E$476&gt;=3,'Reconciliation report'!$E$476&lt;&gt;"",'Reconciliation report'!$E$473=RefData!$B$112),'All Statement of strategy (D)'!$B1577&amp;$C1577,"")</f>
        <v/>
      </c>
      <c r="G1577" s="585" t="str">
        <f>""</f>
        <v/>
      </c>
      <c r="H1577" s="585" t="str">
        <f>""</f>
        <v/>
      </c>
      <c r="I1577" s="595" t="str">
        <f ca="1">IF($C$1=RefData!$B$418,'All Statement of strategy (D)'!$E1577,IF('All Statement of strategy (D)'!$C$1=RefData!$B$419,'All Statement of strategy (D)'!$F1577,IF('All Statement of strategy (D)'!$C$1=RefData!$B$420,'All Statement of strategy (D)'!$G1577,IF('All Statement of strategy (D)'!$C$1=RefData!$B$421,'All Statement of strategy (D)'!$H1577," "))))</f>
        <v xml:space="preserve"> </v>
      </c>
    </row>
    <row r="1578" spans="1:9">
      <c r="A1578" s="584" t="s">
        <v>2672</v>
      </c>
      <c r="B1578" s="594" t="str">
        <f ca="1">MID('Reconciliation report'!$E$837,2001,1000)</f>
        <v/>
      </c>
      <c r="E1578" s="585" t="str">
        <f ca="1">IF(AND('Reconciliation report'!$E$476&gt;=3,'Reconciliation report'!$E$476&lt;&gt;"",'Reconciliation report'!$E$473=RefData!$B$112),'All Statement of strategy (D)'!$B1578&amp;$C1578,"")</f>
        <v/>
      </c>
      <c r="F1578" s="585" t="str">
        <f ca="1">IF(AND('Reconciliation report'!$E$476&gt;=3,'Reconciliation report'!$E$476&lt;&gt;"",'Reconciliation report'!$E$473=RefData!$B$112),'All Statement of strategy (D)'!$B1578&amp;$C1578,"")</f>
        <v/>
      </c>
      <c r="G1578" s="585" t="str">
        <f>""</f>
        <v/>
      </c>
      <c r="H1578" s="585" t="str">
        <f>""</f>
        <v/>
      </c>
      <c r="I1578" s="595" t="str">
        <f ca="1">IF($C$1=RefData!$B$418,'All Statement of strategy (D)'!$E1578,IF('All Statement of strategy (D)'!$C$1=RefData!$B$419,'All Statement of strategy (D)'!$F1578,IF('All Statement of strategy (D)'!$C$1=RefData!$B$420,'All Statement of strategy (D)'!$G1578,IF('All Statement of strategy (D)'!$C$1=RefData!$B$421,'All Statement of strategy (D)'!$H1578," "))))</f>
        <v xml:space="preserve"> </v>
      </c>
    </row>
    <row r="1579" spans="1:9" ht="16" thickBot="1">
      <c r="A1579" s="584" t="s">
        <v>2672</v>
      </c>
      <c r="B1579" s="597" t="str">
        <f ca="1">MID('Reconciliation report'!$E$837,3001,1000)</f>
        <v/>
      </c>
      <c r="C1579" s="598"/>
      <c r="D1579" s="598"/>
      <c r="E1579" s="598" t="str">
        <f ca="1">IF(AND('Reconciliation report'!$E$476&gt;=3,'Reconciliation report'!$E$476&lt;&gt;"",'Reconciliation report'!$E$473=RefData!$B$112),'All Statement of strategy (D)'!$B1579&amp;$C1579,"")</f>
        <v/>
      </c>
      <c r="F1579" s="598" t="str">
        <f ca="1">IF(AND('Reconciliation report'!$E$476&gt;=3,'Reconciliation report'!$E$476&lt;&gt;"",'Reconciliation report'!$E$473=RefData!$B$112),'All Statement of strategy (D)'!$B1579&amp;$C1579,"")</f>
        <v/>
      </c>
      <c r="G1579" s="598" t="str">
        <f>""</f>
        <v/>
      </c>
      <c r="H1579" s="598" t="str">
        <f>""</f>
        <v/>
      </c>
      <c r="I1579" s="599" t="str">
        <f ca="1">IF($C$1=RefData!$B$418,'All Statement of strategy (D)'!$E1579,IF('All Statement of strategy (D)'!$C$1=RefData!$B$419,'All Statement of strategy (D)'!$F1579,IF('All Statement of strategy (D)'!$C$1=RefData!$B$420,'All Statement of strategy (D)'!$G1579,IF('All Statement of strategy (D)'!$C$1=RefData!$B$421,'All Statement of strategy (D)'!$H1579," "))))</f>
        <v xml:space="preserve"> </v>
      </c>
    </row>
    <row r="1580" spans="1:9">
      <c r="B1580" s="590" t="s">
        <v>2673</v>
      </c>
      <c r="E1580" s="585" t="str">
        <f ca="1">IF(AND('Reconciliation report'!$E$476&gt;=4,'Reconciliation report'!$E$476&lt;&gt;"",'Reconciliation report'!$E$473=RefData!$B$112),'All Statement of strategy (D)'!$B1580&amp;$C1580,"")</f>
        <v/>
      </c>
      <c r="F1580" s="585" t="str">
        <f ca="1">IF(AND('Reconciliation report'!$E$476&gt;=4,'Reconciliation report'!$E$476&lt;&gt;"",'Reconciliation report'!$E$473=RefData!$B$112),'All Statement of strategy (D)'!$B1580&amp;$C1580,"")</f>
        <v/>
      </c>
      <c r="G1580" s="585" t="str">
        <f ca="1">IF(AND('Reconciliation report'!$E$476&gt;=4,'Reconciliation report'!$E$476&lt;&gt;"",'Reconciliation report'!$E$473=RefData!$B$112),'All Statement of strategy (D)'!$B1580&amp;$C1580,"")</f>
        <v/>
      </c>
      <c r="H1580" s="585" t="str">
        <f ca="1">IF(AND('Reconciliation report'!$E$476&gt;=4,'Reconciliation report'!$E$476&lt;&gt;"",'Reconciliation report'!$E$473=RefData!$B$112),'All Statement of strategy (D)'!$B1580&amp;$C1580,"")</f>
        <v/>
      </c>
      <c r="I1580" s="595" t="str">
        <f ca="1">IF($C$1=RefData!$B$418,'All Statement of strategy (D)'!$E1580,IF('All Statement of strategy (D)'!$C$1=RefData!$B$419,'All Statement of strategy (D)'!$F1580,IF('All Statement of strategy (D)'!$C$1=RefData!$B$420,'All Statement of strategy (D)'!$G1580,IF('All Statement of strategy (D)'!$C$1=RefData!$B$421,'All Statement of strategy (D)'!$H1580," "))))</f>
        <v xml:space="preserve"> </v>
      </c>
    </row>
    <row r="1581" spans="1:9">
      <c r="B1581" s="594" t="s">
        <v>2620</v>
      </c>
      <c r="E1581" s="585" t="str">
        <f ca="1">IF(AND('Reconciliation report'!$E$476&gt;=4,'Reconciliation report'!$E$476&lt;&gt;"",'Reconciliation report'!$E$473=RefData!$B$112),'All Statement of strategy (D)'!$B1581&amp;$C1581,"")</f>
        <v/>
      </c>
      <c r="F1581" s="585" t="str">
        <f ca="1">IF(AND('Reconciliation report'!$E$476&gt;=4,'Reconciliation report'!$E$476&lt;&gt;"",'Reconciliation report'!$E$473=RefData!$B$112),'All Statement of strategy (D)'!$B1581&amp;$C1581,"")</f>
        <v/>
      </c>
      <c r="G1581" s="585" t="str">
        <f ca="1">IF(AND('Reconciliation report'!$E$476&gt;=4,'Reconciliation report'!$E$476&lt;&gt;"",'Reconciliation report'!$E$473=RefData!$B$112),'All Statement of strategy (D)'!$B1581&amp;$C1581,"")</f>
        <v/>
      </c>
      <c r="H1581" s="585" t="str">
        <f ca="1">IF(AND('Reconciliation report'!$E$476&gt;=4,'Reconciliation report'!$E$476&lt;&gt;"",'Reconciliation report'!$E$473=RefData!$B$112),'All Statement of strategy (D)'!$B1581&amp;$C1581,"")</f>
        <v/>
      </c>
      <c r="I1581" s="595" t="str">
        <f ca="1">IF($C$1=RefData!$B$418,'All Statement of strategy (D)'!$E1581,IF('All Statement of strategy (D)'!$C$1=RefData!$B$419,'All Statement of strategy (D)'!$F1581,IF('All Statement of strategy (D)'!$C$1=RefData!$B$420,'All Statement of strategy (D)'!$G1581,IF('All Statement of strategy (D)'!$C$1=RefData!$B$421,'All Statement of strategy (D)'!$H1581," "))))</f>
        <v xml:space="preserve"> </v>
      </c>
    </row>
    <row r="1582" spans="1:9">
      <c r="A1582" s="584" t="s">
        <v>2674</v>
      </c>
      <c r="B1582" s="594" t="str">
        <f ca="1">B1581&amp;IF(OR('Reconciliation report'!$E$838=RefData!$B$164,'Reconciliation report'!$E$838=RefData!$B$165),"",'Reconciliation report'!$E$838)</f>
        <v xml:space="preserve">Type of contingent asset: </v>
      </c>
      <c r="E1582" s="585" t="str">
        <f ca="1">IF(AND('Reconciliation report'!$E$476&gt;=4,'Reconciliation report'!$E$476&lt;&gt;"",'Reconciliation report'!$E$473=RefData!$B$112),'All Statement of strategy (D)'!$B1582&amp;$C1582,"")</f>
        <v/>
      </c>
      <c r="F1582" s="585" t="str">
        <f ca="1">IF(AND('Reconciliation report'!$E$476&gt;=4,'Reconciliation report'!$E$476&lt;&gt;"",'Reconciliation report'!$E$473=RefData!$B$112),'All Statement of strategy (D)'!$B1582&amp;$C1582,"")</f>
        <v/>
      </c>
      <c r="G1582" s="585" t="str">
        <f ca="1">IF(AND('Reconciliation report'!$E$476&gt;=4,'Reconciliation report'!$E$476&lt;&gt;"",'Reconciliation report'!$E$473=RefData!$B$112),'All Statement of strategy (D)'!$B1582&amp;$C1582,"")</f>
        <v/>
      </c>
      <c r="H1582" s="585" t="str">
        <f ca="1">IF(AND('Reconciliation report'!$E$476&gt;=4,'Reconciliation report'!$E$476&lt;&gt;"",'Reconciliation report'!$E$473=RefData!$B$112),'All Statement of strategy (D)'!$B1582&amp;$C1582,"")</f>
        <v/>
      </c>
      <c r="I1582" s="595" t="str">
        <f ca="1">IF($C$1=RefData!$B$418,'All Statement of strategy (D)'!$E1582,IF('All Statement of strategy (D)'!$C$1=RefData!$B$419,'All Statement of strategy (D)'!$F1582,IF('All Statement of strategy (D)'!$C$1=RefData!$B$420,'All Statement of strategy (D)'!$G1582,IF('All Statement of strategy (D)'!$C$1=RefData!$B$421,'All Statement of strategy (D)'!$H1582," "))))</f>
        <v xml:space="preserve"> </v>
      </c>
    </row>
    <row r="1583" spans="1:9">
      <c r="A1583" s="584" t="s">
        <v>2622</v>
      </c>
      <c r="B1583" s="594" t="str">
        <f ca="1">B1582&amp;IF(OR('Reconciliation report'!$E$838=RefData!$B$164,'Reconciliation report'!$E$838=RefData!$B$165),"Description of asset and counterparty(s) where applicable: ","")</f>
        <v xml:space="preserve">Type of contingent asset: </v>
      </c>
      <c r="C1583" s="585" t="str">
        <f ca="1">IF(OR('Reconciliation report'!$E$838=RefData!$B$164,'Reconciliation report'!$E$838=RefData!$B$165),'Reconciliation report'!$E$839,"")</f>
        <v/>
      </c>
      <c r="E1583" s="585" t="str">
        <f ca="1">IF(AND('Reconciliation report'!$E$476&gt;=4,'Reconciliation report'!$E$476&lt;&gt;"",'Reconciliation report'!$E$473=RefData!$B$112),'All Statement of strategy (D)'!$B1583&amp;$C1583,"")</f>
        <v/>
      </c>
      <c r="F1583" s="585" t="str">
        <f ca="1">IF(AND('Reconciliation report'!$E$476&gt;=4,'Reconciliation report'!$E$476&lt;&gt;"",'Reconciliation report'!$E$473=RefData!$B$112),'All Statement of strategy (D)'!$B1583&amp;$C1583,"")</f>
        <v/>
      </c>
      <c r="G1583" s="585" t="str">
        <f ca="1">IF(AND('Reconciliation report'!$E$476&gt;=4,'Reconciliation report'!$E$476&lt;&gt;"",'Reconciliation report'!$E$473=RefData!$B$112),'All Statement of strategy (D)'!$B1583&amp;$C1583,"")</f>
        <v/>
      </c>
      <c r="H1583" s="585" t="str">
        <f ca="1">IF(AND('Reconciliation report'!$E$476&gt;=4,'Reconciliation report'!$E$476&lt;&gt;"",'Reconciliation report'!$E$473=RefData!$B$112),'All Statement of strategy (D)'!$B1583&amp;$C1583,"")</f>
        <v/>
      </c>
      <c r="I1583" s="595" t="str">
        <f ca="1">IF($C$1=RefData!$B$418,'All Statement of strategy (D)'!$E1583,IF('All Statement of strategy (D)'!$C$1=RefData!$B$419,'All Statement of strategy (D)'!$F1583,IF('All Statement of strategy (D)'!$C$1=RefData!$B$420,'All Statement of strategy (D)'!$G1583,IF('All Statement of strategy (D)'!$C$1=RefData!$B$421,'All Statement of strategy (D)'!$H1583," "))))</f>
        <v xml:space="preserve"> </v>
      </c>
    </row>
    <row r="1584" spans="1:9">
      <c r="A1584" s="584" t="s">
        <v>2675</v>
      </c>
      <c r="B1584" s="594" t="str">
        <f ca="1">B1583&amp;IF(OR('Reconciliation report'!$E$838=RefData!$B$164,'Reconciliation report'!$E$838=RefData!$B$165),LEFT('Reconciliation report'!$E$839,1000),"")</f>
        <v xml:space="preserve">Type of contingent asset: </v>
      </c>
      <c r="E1584" s="585" t="str">
        <f ca="1">IF(AND('Reconciliation report'!$E$476&gt;=4,'Reconciliation report'!$E$476&lt;&gt;"",'Reconciliation report'!$E$473=RefData!$B$112),'All Statement of strategy (D)'!$B1584&amp;$C1584,"")</f>
        <v/>
      </c>
      <c r="F1584" s="585" t="str">
        <f ca="1">IF(AND('Reconciliation report'!$E$476&gt;=4,'Reconciliation report'!$E$476&lt;&gt;"",'Reconciliation report'!$E$473=RefData!$B$112),'All Statement of strategy (D)'!$B1584&amp;$C1584,"")</f>
        <v/>
      </c>
      <c r="G1584" s="585" t="str">
        <f ca="1">IF(AND('Reconciliation report'!$E$476&gt;=4,'Reconciliation report'!$E$476&lt;&gt;"",'Reconciliation report'!$E$473=RefData!$B$112),'All Statement of strategy (D)'!$B1584&amp;$C1584,"")</f>
        <v/>
      </c>
      <c r="H1584" s="585" t="str">
        <f ca="1">IF(AND('Reconciliation report'!$E$476&gt;=4,'Reconciliation report'!$E$476&lt;&gt;"",'Reconciliation report'!$E$473=RefData!$B$112),'All Statement of strategy (D)'!$B1584&amp;$C1584,"")</f>
        <v/>
      </c>
      <c r="I1584" s="595" t="str">
        <f ca="1">IF($C$1=RefData!$B$418,'All Statement of strategy (D)'!$E1584,IF('All Statement of strategy (D)'!$C$1=RefData!$B$419,'All Statement of strategy (D)'!$F1584,IF('All Statement of strategy (D)'!$C$1=RefData!$B$420,'All Statement of strategy (D)'!$G1584,IF('All Statement of strategy (D)'!$C$1=RefData!$B$421,'All Statement of strategy (D)'!$H1584," "))))</f>
        <v xml:space="preserve"> </v>
      </c>
    </row>
    <row r="1585" spans="1:9">
      <c r="A1585" s="584" t="s">
        <v>2675</v>
      </c>
      <c r="B1585" s="594" t="str">
        <f ca="1">IF(OR('Reconciliation report'!$E$838=RefData!$B$164,'Reconciliation report'!$E$838=RefData!$B$165),MID('Reconciliation report'!$E$839,1001,1000),"")</f>
        <v/>
      </c>
      <c r="E1585" s="585" t="str">
        <f ca="1">IF(AND('Reconciliation report'!$E$476&gt;=4,'Reconciliation report'!$E$476&lt;&gt;"",'Reconciliation report'!$E$473=RefData!$B$112),'All Statement of strategy (D)'!$B1585&amp;$C1585,"")</f>
        <v/>
      </c>
      <c r="F1585" s="585" t="str">
        <f ca="1">IF(AND('Reconciliation report'!$E$476&gt;=4,'Reconciliation report'!$E$476&lt;&gt;"",'Reconciliation report'!$E$473=RefData!$B$112),'All Statement of strategy (D)'!$B1585&amp;$C1585,"")</f>
        <v/>
      </c>
      <c r="G1585" s="585" t="str">
        <f ca="1">IF(AND('Reconciliation report'!$E$476&gt;=4,'Reconciliation report'!$E$476&lt;&gt;"",'Reconciliation report'!$E$473=RefData!$B$112),'All Statement of strategy (D)'!$B1585&amp;$C1585,"")</f>
        <v/>
      </c>
      <c r="H1585" s="585" t="str">
        <f ca="1">IF(AND('Reconciliation report'!$E$476&gt;=4,'Reconciliation report'!$E$476&lt;&gt;"",'Reconciliation report'!$E$473=RefData!$B$112),'All Statement of strategy (D)'!$B1585&amp;$C1585,"")</f>
        <v/>
      </c>
      <c r="I1585" s="595" t="str">
        <f ca="1">IF($C$1=RefData!$B$418,'All Statement of strategy (D)'!$E1585,IF('All Statement of strategy (D)'!$C$1=RefData!$B$419,'All Statement of strategy (D)'!$F1585,IF('All Statement of strategy (D)'!$C$1=RefData!$B$420,'All Statement of strategy (D)'!$G1585,IF('All Statement of strategy (D)'!$C$1=RefData!$B$421,'All Statement of strategy (D)'!$H1585," "))))</f>
        <v xml:space="preserve"> </v>
      </c>
    </row>
    <row r="1586" spans="1:9">
      <c r="A1586" s="584" t="s">
        <v>2675</v>
      </c>
      <c r="B1586" s="594" t="str">
        <f ca="1">IF(OR('Reconciliation report'!$E$838=RefData!$B$164,'Reconciliation report'!$E$838=RefData!$B$165),MID('Reconciliation report'!$E$839,2001,1000),"")</f>
        <v/>
      </c>
      <c r="E1586" s="585" t="str">
        <f ca="1">IF(AND('Reconciliation report'!$E$476&gt;=4,'Reconciliation report'!$E$476&lt;&gt;"",'Reconciliation report'!$E$473=RefData!$B$112),'All Statement of strategy (D)'!$B1586&amp;$C1586,"")</f>
        <v/>
      </c>
      <c r="F1586" s="585" t="str">
        <f ca="1">IF(AND('Reconciliation report'!$E$476&gt;=4,'Reconciliation report'!$E$476&lt;&gt;"",'Reconciliation report'!$E$473=RefData!$B$112),'All Statement of strategy (D)'!$B1586&amp;$C1586,"")</f>
        <v/>
      </c>
      <c r="G1586" s="585" t="str">
        <f ca="1">IF(AND('Reconciliation report'!$E$476&gt;=4,'Reconciliation report'!$E$476&lt;&gt;"",'Reconciliation report'!$E$473=RefData!$B$112),'All Statement of strategy (D)'!$B1586&amp;$C1586,"")</f>
        <v/>
      </c>
      <c r="H1586" s="585" t="str">
        <f ca="1">IF(AND('Reconciliation report'!$E$476&gt;=4,'Reconciliation report'!$E$476&lt;&gt;"",'Reconciliation report'!$E$473=RefData!$B$112),'All Statement of strategy (D)'!$B1586&amp;$C1586,"")</f>
        <v/>
      </c>
      <c r="I1586" s="595" t="str">
        <f ca="1">IF($C$1=RefData!$B$418,'All Statement of strategy (D)'!$E1586,IF('All Statement of strategy (D)'!$C$1=RefData!$B$419,'All Statement of strategy (D)'!$F1586,IF('All Statement of strategy (D)'!$C$1=RefData!$B$420,'All Statement of strategy (D)'!$G1586,IF('All Statement of strategy (D)'!$C$1=RefData!$B$421,'All Statement of strategy (D)'!$H1586," "))))</f>
        <v xml:space="preserve"> </v>
      </c>
    </row>
    <row r="1587" spans="1:9">
      <c r="A1587" s="584" t="s">
        <v>2675</v>
      </c>
      <c r="B1587" s="594" t="str">
        <f ca="1">IF(OR('Reconciliation report'!$E$838=RefData!$B$164,'Reconciliation report'!$E$838=RefData!$B$165),MID('Reconciliation report'!$E$839,3001,1000),"")</f>
        <v/>
      </c>
      <c r="E1587" s="585" t="str">
        <f ca="1">IF(AND('Reconciliation report'!$E$476&gt;=4,'Reconciliation report'!$E$476&lt;&gt;"",'Reconciliation report'!$E$473=RefData!$B$112),'All Statement of strategy (D)'!$B1587&amp;$C1587,"")</f>
        <v/>
      </c>
      <c r="F1587" s="585" t="str">
        <f ca="1">IF(AND('Reconciliation report'!$E$476&gt;=4,'Reconciliation report'!$E$476&lt;&gt;"",'Reconciliation report'!$E$473=RefData!$B$112),'All Statement of strategy (D)'!$B1587&amp;$C1587,"")</f>
        <v/>
      </c>
      <c r="G1587" s="585" t="str">
        <f ca="1">IF(AND('Reconciliation report'!$E$476&gt;=4,'Reconciliation report'!$E$476&lt;&gt;"",'Reconciliation report'!$E$473=RefData!$B$112),'All Statement of strategy (D)'!$B1587&amp;$C1587,"")</f>
        <v/>
      </c>
      <c r="H1587" s="585" t="str">
        <f ca="1">IF(AND('Reconciliation report'!$E$476&gt;=4,'Reconciliation report'!$E$476&lt;&gt;"",'Reconciliation report'!$E$473=RefData!$B$112),'All Statement of strategy (D)'!$B1587&amp;$C1587,"")</f>
        <v/>
      </c>
      <c r="I1587" s="595" t="str">
        <f ca="1">IF($C$1=RefData!$B$418,'All Statement of strategy (D)'!$E1587,IF('All Statement of strategy (D)'!$C$1=RefData!$B$419,'All Statement of strategy (D)'!$F1587,IF('All Statement of strategy (D)'!$C$1=RefData!$B$420,'All Statement of strategy (D)'!$G1587,IF('All Statement of strategy (D)'!$C$1=RefData!$B$421,'All Statement of strategy (D)'!$H1587," "))))</f>
        <v xml:space="preserve"> </v>
      </c>
    </row>
    <row r="1588" spans="1:9">
      <c r="A1588" s="604"/>
      <c r="B1588" s="594" t="s">
        <v>2532</v>
      </c>
      <c r="D1588" s="624"/>
      <c r="E1588" s="585" t="str">
        <f ca="1">IF(AND('Reconciliation report'!$E$476&gt;=4,'Reconciliation report'!$E$476&lt;&gt;"",'Reconciliation report'!$E$473=RefData!$B$112),'All Statement of strategy (D)'!$B1588&amp;$C1588,"")</f>
        <v/>
      </c>
      <c r="F1588" s="585" t="str">
        <f ca="1">IF(AND('Reconciliation report'!$E$476&gt;=4,'Reconciliation report'!$E$476&lt;&gt;"",'Reconciliation report'!$E$473=RefData!$B$112),'All Statement of strategy (D)'!$B1588&amp;$C1588,"")</f>
        <v/>
      </c>
      <c r="G1588" s="585" t="str">
        <f>""</f>
        <v/>
      </c>
      <c r="H1588" s="585" t="str">
        <f>""</f>
        <v/>
      </c>
      <c r="I1588" s="595" t="str">
        <f ca="1">IF($C$1=RefData!$B$418,'All Statement of strategy (D)'!$E1588,IF('All Statement of strategy (D)'!$C$1=RefData!$B$419,'All Statement of strategy (D)'!$F1588,IF('All Statement of strategy (D)'!$C$1=RefData!$B$420,'All Statement of strategy (D)'!$G1588,IF('All Statement of strategy (D)'!$C$1=RefData!$B$421,'All Statement of strategy (D)'!$H1588," "))))</f>
        <v xml:space="preserve"> </v>
      </c>
    </row>
    <row r="1589" spans="1:9">
      <c r="A1589" s="584" t="s">
        <v>2676</v>
      </c>
      <c r="B1589" s="594" t="str">
        <f ca="1">B1588&amp;IF('Reconciliation report'!$E$840=RefData!$B$166,'Reconciliation report'!$E$840,"")</f>
        <v xml:space="preserve">Type of maturity: </v>
      </c>
      <c r="D1589" s="624"/>
      <c r="E1589" s="585" t="str">
        <f ca="1">IF(AND('Reconciliation report'!$E$476&gt;=4,'Reconciliation report'!$E$476&lt;&gt;"",'Reconciliation report'!$E$473=RefData!$B$112),'All Statement of strategy (D)'!$B1589&amp;$C1589,"")</f>
        <v/>
      </c>
      <c r="F1589" s="585" t="str">
        <f ca="1">IF(AND('Reconciliation report'!$E$476&gt;=4,'Reconciliation report'!$E$476&lt;&gt;"",'Reconciliation report'!$E$473=RefData!$B$112),'All Statement of strategy (D)'!$B1589&amp;$C1589,"")</f>
        <v/>
      </c>
      <c r="G1589" s="585" t="str">
        <f>""</f>
        <v/>
      </c>
      <c r="H1589" s="585" t="str">
        <f>""</f>
        <v/>
      </c>
      <c r="I1589" s="595" t="str">
        <f ca="1">IF($C$1=RefData!$B$418,'All Statement of strategy (D)'!$E1589,IF('All Statement of strategy (D)'!$C$1=RefData!$B$419,'All Statement of strategy (D)'!$F1589,IF('All Statement of strategy (D)'!$C$1=RefData!$B$420,'All Statement of strategy (D)'!$G1589,IF('All Statement of strategy (D)'!$C$1=RefData!$B$421,'All Statement of strategy (D)'!$H1589," "))))</f>
        <v xml:space="preserve"> </v>
      </c>
    </row>
    <row r="1590" spans="1:9">
      <c r="A1590" s="584" t="s">
        <v>2677</v>
      </c>
      <c r="B1590" s="594" t="str">
        <f ca="1">B1589&amp;IF('Reconciliation report'!$E$840=RefData!$B$167,"Fixed expiry with a maturity date of "&amp;TEXT('Reconciliation report'!$E$841,RefData!$B$424),"")</f>
        <v xml:space="preserve">Type of maturity: </v>
      </c>
      <c r="D1590" s="624"/>
      <c r="E1590" s="585" t="str">
        <f ca="1">IF(AND('Reconciliation report'!$E$476&gt;=4,'Reconciliation report'!$E$476&lt;&gt;"",'Reconciliation report'!$E$473=RefData!$B$112),'All Statement of strategy (D)'!$B1590&amp;$C1590,"")</f>
        <v/>
      </c>
      <c r="F1590" s="585" t="str">
        <f ca="1">IF(AND('Reconciliation report'!$E$476&gt;=4,'Reconciliation report'!$E$476&lt;&gt;"",'Reconciliation report'!$E$473=RefData!$B$112),'All Statement of strategy (D)'!$B1590&amp;$C1590,"")</f>
        <v/>
      </c>
      <c r="G1590" s="585" t="str">
        <f>""</f>
        <v/>
      </c>
      <c r="H1590" s="585" t="str">
        <f>""</f>
        <v/>
      </c>
      <c r="I1590" s="595" t="str">
        <f ca="1">IF($C$1=RefData!$B$418,'All Statement of strategy (D)'!$E1590,IF('All Statement of strategy (D)'!$C$1=RefData!$B$419,'All Statement of strategy (D)'!$F1590,IF('All Statement of strategy (D)'!$C$1=RefData!$B$420,'All Statement of strategy (D)'!$G1590,IF('All Statement of strategy (D)'!$C$1=RefData!$B$421,'All Statement of strategy (D)'!$H1590," "))))</f>
        <v xml:space="preserve"> </v>
      </c>
    </row>
    <row r="1591" spans="1:9">
      <c r="A1591" s="584" t="s">
        <v>2678</v>
      </c>
      <c r="B1591" s="594" t="str">
        <f ca="1">B1590&amp;IF('Reconciliation report'!$E$840=RefData!$B$168,LEFT('Reconciliation report'!$E$842,1000),"")</f>
        <v xml:space="preserve">Type of maturity: </v>
      </c>
      <c r="D1591" s="624"/>
      <c r="E1591" s="585" t="str">
        <f ca="1">IF(AND('Reconciliation report'!$E$476&gt;=4,'Reconciliation report'!$E$476&lt;&gt;"",'Reconciliation report'!$E$473=RefData!$B$112),'All Statement of strategy (D)'!$B1591&amp;$C1591,"")</f>
        <v/>
      </c>
      <c r="F1591" s="585" t="str">
        <f ca="1">IF(AND('Reconciliation report'!$E$476&gt;=4,'Reconciliation report'!$E$476&lt;&gt;"",'Reconciliation report'!$E$473=RefData!$B$112),'All Statement of strategy (D)'!$B1591&amp;$C1591,"")</f>
        <v/>
      </c>
      <c r="G1591" s="585" t="str">
        <f>""</f>
        <v/>
      </c>
      <c r="H1591" s="585" t="str">
        <f>""</f>
        <v/>
      </c>
      <c r="I1591" s="595" t="str">
        <f ca="1">IF($C$1=RefData!$B$418,'All Statement of strategy (D)'!$E1591,IF('All Statement of strategy (D)'!$C$1=RefData!$B$419,'All Statement of strategy (D)'!$F1591,IF('All Statement of strategy (D)'!$C$1=RefData!$B$420,'All Statement of strategy (D)'!$G1591,IF('All Statement of strategy (D)'!$C$1=RefData!$B$421,'All Statement of strategy (D)'!$H1591," "))))</f>
        <v xml:space="preserve"> </v>
      </c>
    </row>
    <row r="1592" spans="1:9">
      <c r="A1592" s="584" t="s">
        <v>2678</v>
      </c>
      <c r="B1592" s="594" t="str">
        <f ca="1">IF('Reconciliation report'!$E$840=RefData!$B$168,MID('Reconciliation report'!$E$842,1001,1000),"")</f>
        <v/>
      </c>
      <c r="D1592" s="624"/>
      <c r="E1592" s="585" t="str">
        <f ca="1">IF(AND('Reconciliation report'!$E$476&gt;=4,'Reconciliation report'!$E$476&lt;&gt;"",'Reconciliation report'!$E$473=RefData!$B$112),'All Statement of strategy (D)'!$B1592&amp;$C1592,"")</f>
        <v/>
      </c>
      <c r="F1592" s="585" t="str">
        <f ca="1">IF(AND('Reconciliation report'!$E$476&gt;=4,'Reconciliation report'!$E$476&lt;&gt;"",'Reconciliation report'!$E$473=RefData!$B$112),'All Statement of strategy (D)'!$B1592&amp;$C1592,"")</f>
        <v/>
      </c>
      <c r="G1592" s="585" t="str">
        <f>""</f>
        <v/>
      </c>
      <c r="H1592" s="585" t="str">
        <f>""</f>
        <v/>
      </c>
      <c r="I1592" s="595" t="str">
        <f ca="1">IF($C$1=RefData!$B$418,'All Statement of strategy (D)'!$E1592,IF('All Statement of strategy (D)'!$C$1=RefData!$B$419,'All Statement of strategy (D)'!$F1592,IF('All Statement of strategy (D)'!$C$1=RefData!$B$420,'All Statement of strategy (D)'!$G1592,IF('All Statement of strategy (D)'!$C$1=RefData!$B$421,'All Statement of strategy (D)'!$H1592," "))))</f>
        <v xml:space="preserve"> </v>
      </c>
    </row>
    <row r="1593" spans="1:9">
      <c r="A1593" s="584" t="s">
        <v>2678</v>
      </c>
      <c r="B1593" s="594" t="str">
        <f ca="1">IF('Reconciliation report'!$E$840=RefData!$B$168,MID('Reconciliation report'!$E$842,2001,1000),"")</f>
        <v/>
      </c>
      <c r="D1593" s="624"/>
      <c r="E1593" s="585" t="str">
        <f ca="1">IF(AND('Reconciliation report'!$E$476&gt;=4,'Reconciliation report'!$E$476&lt;&gt;"",'Reconciliation report'!$E$473=RefData!$B$112),'All Statement of strategy (D)'!$B1593&amp;$C1593,"")</f>
        <v/>
      </c>
      <c r="F1593" s="585" t="str">
        <f ca="1">IF(AND('Reconciliation report'!$E$476&gt;=4,'Reconciliation report'!$E$476&lt;&gt;"",'Reconciliation report'!$E$473=RefData!$B$112),'All Statement of strategy (D)'!$B1593&amp;$C1593,"")</f>
        <v/>
      </c>
      <c r="G1593" s="585" t="str">
        <f>""</f>
        <v/>
      </c>
      <c r="H1593" s="585" t="str">
        <f>""</f>
        <v/>
      </c>
      <c r="I1593" s="595" t="str">
        <f ca="1">IF($C$1=RefData!$B$418,'All Statement of strategy (D)'!$E1593,IF('All Statement of strategy (D)'!$C$1=RefData!$B$419,'All Statement of strategy (D)'!$F1593,IF('All Statement of strategy (D)'!$C$1=RefData!$B$420,'All Statement of strategy (D)'!$G1593,IF('All Statement of strategy (D)'!$C$1=RefData!$B$421,'All Statement of strategy (D)'!$H1593," "))))</f>
        <v xml:space="preserve"> </v>
      </c>
    </row>
    <row r="1594" spans="1:9">
      <c r="A1594" s="584" t="s">
        <v>2678</v>
      </c>
      <c r="B1594" s="594" t="str">
        <f ca="1">IF('Reconciliation report'!$E$840=RefData!$B$168,MID('Reconciliation report'!$E$842,3001,1000),"")</f>
        <v/>
      </c>
      <c r="D1594" s="624"/>
      <c r="E1594" s="585" t="str">
        <f ca="1">IF(AND('Reconciliation report'!$E$476&gt;=4,'Reconciliation report'!$E$476&lt;&gt;"",'Reconciliation report'!$E$473=RefData!$B$112),'All Statement of strategy (D)'!$B1594&amp;$C1594,"")</f>
        <v/>
      </c>
      <c r="F1594" s="585" t="str">
        <f ca="1">IF(AND('Reconciliation report'!$E$476&gt;=4,'Reconciliation report'!$E$476&lt;&gt;"",'Reconciliation report'!$E$473=RefData!$B$112),'All Statement of strategy (D)'!$B1594&amp;$C1594,"")</f>
        <v/>
      </c>
      <c r="G1594" s="585" t="str">
        <f>""</f>
        <v/>
      </c>
      <c r="H1594" s="585" t="str">
        <f>""</f>
        <v/>
      </c>
      <c r="I1594" s="595" t="str">
        <f ca="1">IF($C$1=RefData!$B$418,'All Statement of strategy (D)'!$E1594,IF('All Statement of strategy (D)'!$C$1=RefData!$B$419,'All Statement of strategy (D)'!$F1594,IF('All Statement of strategy (D)'!$C$1=RefData!$B$420,'All Statement of strategy (D)'!$G1594,IF('All Statement of strategy (D)'!$C$1=RefData!$B$421,'All Statement of strategy (D)'!$H1594," "))))</f>
        <v xml:space="preserve"> </v>
      </c>
    </row>
    <row r="1595" spans="1:9">
      <c r="A1595" s="584" t="s">
        <v>2679</v>
      </c>
      <c r="B1595" s="594" t="s">
        <v>2399</v>
      </c>
      <c r="E1595" s="585" t="str">
        <f ca="1">IF(AND('Reconciliation report'!$E$476&gt;=4,'Reconciliation report'!$E$476&lt;&gt;"",'Reconciliation report'!$E$473=RefData!$B$112),'All Statement of strategy (D)'!$B1595&amp;$C1595,"")</f>
        <v/>
      </c>
      <c r="F1595" s="585" t="str">
        <f ca="1">IF(AND('Reconciliation report'!$E$476&gt;=4,'Reconciliation report'!$E$476&lt;&gt;"",'Reconciliation report'!$E$473=RefData!$B$112),'All Statement of strategy (D)'!$B1595&amp;$C1595,"")</f>
        <v/>
      </c>
      <c r="G1595" s="585" t="str">
        <f ca="1">IF(AND('Reconciliation report'!$E$476&gt;=4,'Reconciliation report'!$E$476&lt;&gt;"",'Reconciliation report'!$E$473=RefData!$B$112),'All Statement of strategy (D)'!$B1595&amp;$C1595,"")</f>
        <v/>
      </c>
      <c r="H1595" s="585" t="str">
        <f ca="1">IF(AND('Reconciliation report'!$E$476&gt;=4,'Reconciliation report'!$E$476&lt;&gt;"",'Reconciliation report'!$E$473=RefData!$B$112),'All Statement of strategy (D)'!$B1595&amp;$C1595,"")</f>
        <v/>
      </c>
      <c r="I1595" s="595" t="str">
        <f ca="1">IF($C$1=RefData!$B$418,'All Statement of strategy (D)'!$E1595,IF('All Statement of strategy (D)'!$C$1=RefData!$B$419,'All Statement of strategy (D)'!$F1595,IF('All Statement of strategy (D)'!$C$1=RefData!$B$420,'All Statement of strategy (D)'!$G1595,IF('All Statement of strategy (D)'!$C$1=RefData!$B$421,'All Statement of strategy (D)'!$H1595," "))))</f>
        <v xml:space="preserve"> </v>
      </c>
    </row>
    <row r="1596" spans="1:9">
      <c r="B1596" s="594" t="s">
        <v>2400</v>
      </c>
      <c r="C1596" s="585" t="str">
        <f ca="1">TEXT('Reconciliation report'!$E$843,RefData!$B$425)</f>
        <v/>
      </c>
      <c r="E1596" s="585" t="str">
        <f ca="1">IF(AND('Reconciliation report'!$E$476&gt;=4,'Reconciliation report'!$E$476&lt;&gt;"",'Reconciliation report'!$E$473=RefData!$B$112),'All Statement of strategy (D)'!$B1596&amp;$C1596,"")</f>
        <v/>
      </c>
      <c r="F1596" s="585" t="str">
        <f ca="1">IF(AND('Reconciliation report'!$E$476&gt;=4,'Reconciliation report'!$E$476&lt;&gt;"",'Reconciliation report'!$E$473=RefData!$B$112),'All Statement of strategy (D)'!$B1596&amp;$C1596,"")</f>
        <v/>
      </c>
      <c r="G1596" s="585" t="str">
        <f ca="1">IF(AND('Reconciliation report'!$E$476&gt;=4,'Reconciliation report'!$E$476&lt;&gt;"",'Reconciliation report'!$E$473=RefData!$B$112),'All Statement of strategy (D)'!$B1596&amp;$C1596,"")</f>
        <v/>
      </c>
      <c r="H1596" s="585" t="str">
        <f ca="1">IF(AND('Reconciliation report'!$E$476&gt;=4,'Reconciliation report'!$E$476&lt;&gt;"",'Reconciliation report'!$E$473=RefData!$B$112),'All Statement of strategy (D)'!$B1596&amp;$C1596,"")</f>
        <v/>
      </c>
      <c r="I1596" s="595" t="str">
        <f ca="1">IF($C$1=RefData!$B$418,'All Statement of strategy (D)'!$E1596,IF('All Statement of strategy (D)'!$C$1=RefData!$B$419,'All Statement of strategy (D)'!$F1596,IF('All Statement of strategy (D)'!$C$1=RefData!$B$420,'All Statement of strategy (D)'!$G1596,IF('All Statement of strategy (D)'!$C$1=RefData!$B$421,'All Statement of strategy (D)'!$H1596," "))))</f>
        <v xml:space="preserve"> </v>
      </c>
    </row>
    <row r="1597" spans="1:9">
      <c r="A1597" s="584" t="s">
        <v>2680</v>
      </c>
      <c r="B1597" s="594" t="s">
        <v>2402</v>
      </c>
      <c r="C1597" s="618" t="str">
        <f ca="1">TEXT('Reconciliation report'!$E$844,RefData!$B$424)</f>
        <v/>
      </c>
      <c r="E1597" s="585" t="str">
        <f ca="1">IF(AND('Reconciliation report'!$E$476&gt;=4,'Reconciliation report'!$E$476&lt;&gt;"",'Reconciliation report'!$E$473=RefData!$B$112),'All Statement of strategy (D)'!$B1597&amp;$C1597,"")</f>
        <v/>
      </c>
      <c r="F1597" s="585" t="str">
        <f ca="1">IF(AND('Reconciliation report'!$E$476&gt;=4,'Reconciliation report'!$E$476&lt;&gt;"",'Reconciliation report'!$E$473=RefData!$B$112),'All Statement of strategy (D)'!$B1597&amp;$C1597,"")</f>
        <v/>
      </c>
      <c r="G1597" s="585" t="str">
        <f ca="1">IF(AND('Reconciliation report'!$E$476&gt;=4,'Reconciliation report'!$E$476&lt;&gt;"",'Reconciliation report'!$E$473=RefData!$B$112),'All Statement of strategy (D)'!$B1597&amp;$C1597,"")</f>
        <v/>
      </c>
      <c r="H1597" s="585" t="str">
        <f ca="1">IF(AND('Reconciliation report'!$E$476&gt;=4,'Reconciliation report'!$E$476&lt;&gt;"",'Reconciliation report'!$E$473=RefData!$B$112),'All Statement of strategy (D)'!$B1597&amp;$C1597,"")</f>
        <v/>
      </c>
      <c r="I1597" s="595" t="str">
        <f ca="1">IF($C$1=RefData!$B$418,'All Statement of strategy (D)'!$E1597,IF('All Statement of strategy (D)'!$C$1=RefData!$B$419,'All Statement of strategy (D)'!$F1597,IF('All Statement of strategy (D)'!$C$1=RefData!$B$420,'All Statement of strategy (D)'!$G1597,IF('All Statement of strategy (D)'!$C$1=RefData!$B$421,'All Statement of strategy (D)'!$H1597," "))))</f>
        <v xml:space="preserve"> </v>
      </c>
    </row>
    <row r="1598" spans="1:9">
      <c r="A1598" s="604"/>
      <c r="B1598" s="594" t="s">
        <v>2518</v>
      </c>
      <c r="D1598" s="624"/>
      <c r="E1598" s="585" t="str">
        <f ca="1">IF(AND('Reconciliation report'!$E$476&gt;=4,'Reconciliation report'!$E$476&lt;&gt;"",'Reconciliation report'!$E$473=RefData!$B$112),'All Statement of strategy (D)'!$B1598&amp;$C1598,"")</f>
        <v/>
      </c>
      <c r="F1598" s="585" t="str">
        <f ca="1">IF(AND('Reconciliation report'!$E$476&gt;=4,'Reconciliation report'!$E$476&lt;&gt;"",'Reconciliation report'!$E$473=RefData!$B$112),'All Statement of strategy (D)'!$B1598&amp;$C1598,"")</f>
        <v/>
      </c>
      <c r="G1598" s="585" t="str">
        <f>""</f>
        <v/>
      </c>
      <c r="H1598" s="585" t="str">
        <f>""</f>
        <v/>
      </c>
      <c r="I1598" s="595" t="str">
        <f ca="1">IF($C$1=RefData!$B$418,'All Statement of strategy (D)'!$E1598,IF('All Statement of strategy (D)'!$C$1=RefData!$B$419,'All Statement of strategy (D)'!$F1598,IF('All Statement of strategy (D)'!$C$1=RefData!$B$420,'All Statement of strategy (D)'!$G1598,IF('All Statement of strategy (D)'!$C$1=RefData!$B$421,'All Statement of strategy (D)'!$H1598," "))))</f>
        <v xml:space="preserve"> </v>
      </c>
    </row>
    <row r="1599" spans="1:9">
      <c r="A1599" s="584" t="s">
        <v>2681</v>
      </c>
      <c r="B1599" s="594" t="str">
        <f ca="1">B1598&amp;IF('Reconciliation report'!$E$845=RefData!$B$175,"",'Reconciliation report'!$E$845)</f>
        <v xml:space="preserve">Value cap: </v>
      </c>
      <c r="D1599" s="624"/>
      <c r="E1599" s="585" t="str">
        <f ca="1">IF(AND('Reconciliation report'!$E$476&gt;=4,'Reconciliation report'!$E$476&lt;&gt;"",'Reconciliation report'!$E$473=RefData!$B$112),'All Statement of strategy (D)'!$B1599&amp;$C1599,"")</f>
        <v/>
      </c>
      <c r="F1599" s="585" t="str">
        <f ca="1">IF(AND('Reconciliation report'!$E$476&gt;=4,'Reconciliation report'!$E$476&lt;&gt;"",'Reconciliation report'!$E$473=RefData!$B$112),'All Statement of strategy (D)'!$B1599&amp;$C1599,"")</f>
        <v/>
      </c>
      <c r="G1599" s="585" t="str">
        <f>""</f>
        <v/>
      </c>
      <c r="H1599" s="585" t="str">
        <f>""</f>
        <v/>
      </c>
      <c r="I1599" s="595" t="str">
        <f ca="1">IF($C$1=RefData!$B$418,'All Statement of strategy (D)'!$E1599,IF('All Statement of strategy (D)'!$C$1=RefData!$B$419,'All Statement of strategy (D)'!$F1599,IF('All Statement of strategy (D)'!$C$1=RefData!$B$420,'All Statement of strategy (D)'!$G1599,IF('All Statement of strategy (D)'!$C$1=RefData!$B$421,'All Statement of strategy (D)'!$H1599," "))))</f>
        <v xml:space="preserve"> </v>
      </c>
    </row>
    <row r="1600" spans="1:9">
      <c r="A1600" s="584" t="s">
        <v>2682</v>
      </c>
      <c r="B1600" s="594" t="str">
        <f ca="1">B1599&amp;IF('Reconciliation report'!$E$845=RefData!$B$175,LEFT('Reconciliation report'!$E$846,1000),"")</f>
        <v xml:space="preserve">Value cap: </v>
      </c>
      <c r="D1600" s="624"/>
      <c r="E1600" s="585" t="str">
        <f ca="1">IF(AND('Reconciliation report'!$E$476&gt;=4,'Reconciliation report'!$E$476&lt;&gt;"",'Reconciliation report'!$E$473=RefData!$B$112),'All Statement of strategy (D)'!$B1600&amp;$C1600,"")</f>
        <v/>
      </c>
      <c r="F1600" s="585" t="str">
        <f ca="1">IF(AND('Reconciliation report'!$E$476&gt;=4,'Reconciliation report'!$E$476&lt;&gt;"",'Reconciliation report'!$E$473=RefData!$B$112),'All Statement of strategy (D)'!$B1600&amp;$C1600,"")</f>
        <v/>
      </c>
      <c r="G1600" s="585" t="str">
        <f>""</f>
        <v/>
      </c>
      <c r="H1600" s="585" t="str">
        <f>""</f>
        <v/>
      </c>
      <c r="I1600" s="595" t="str">
        <f ca="1">IF($C$1=RefData!$B$418,'All Statement of strategy (D)'!$E1600,IF('All Statement of strategy (D)'!$C$1=RefData!$B$419,'All Statement of strategy (D)'!$F1600,IF('All Statement of strategy (D)'!$C$1=RefData!$B$420,'All Statement of strategy (D)'!$G1600,IF('All Statement of strategy (D)'!$C$1=RefData!$B$421,'All Statement of strategy (D)'!$H1600," "))))</f>
        <v xml:space="preserve"> </v>
      </c>
    </row>
    <row r="1601" spans="1:9">
      <c r="A1601" s="584" t="s">
        <v>2682</v>
      </c>
      <c r="B1601" s="594" t="str">
        <f ca="1">IF('Reconciliation report'!$E$845=RefData!$B$175,MID('Reconciliation report'!$E$846,1001,1000),"")</f>
        <v/>
      </c>
      <c r="D1601" s="624"/>
      <c r="E1601" s="585" t="str">
        <f ca="1">IF(AND('Reconciliation report'!$E$476&gt;=4,'Reconciliation report'!$E$476&lt;&gt;"",'Reconciliation report'!$E$473=RefData!$B$112),'All Statement of strategy (D)'!$B1601&amp;$C1601,"")</f>
        <v/>
      </c>
      <c r="F1601" s="585" t="str">
        <f ca="1">IF(AND('Reconciliation report'!$E$476&gt;=4,'Reconciliation report'!$E$476&lt;&gt;"",'Reconciliation report'!$E$473=RefData!$B$112),'All Statement of strategy (D)'!$B1601&amp;$C1601,"")</f>
        <v/>
      </c>
      <c r="G1601" s="585" t="str">
        <f>""</f>
        <v/>
      </c>
      <c r="H1601" s="585" t="str">
        <f>""</f>
        <v/>
      </c>
      <c r="I1601" s="595" t="str">
        <f ca="1">IF($C$1=RefData!$B$418,'All Statement of strategy (D)'!$E1601,IF('All Statement of strategy (D)'!$C$1=RefData!$B$419,'All Statement of strategy (D)'!$F1601,IF('All Statement of strategy (D)'!$C$1=RefData!$B$420,'All Statement of strategy (D)'!$G1601,IF('All Statement of strategy (D)'!$C$1=RefData!$B$421,'All Statement of strategy (D)'!$H1601," "))))</f>
        <v xml:space="preserve"> </v>
      </c>
    </row>
    <row r="1602" spans="1:9">
      <c r="A1602" s="584" t="s">
        <v>2682</v>
      </c>
      <c r="B1602" s="594" t="str">
        <f ca="1">IF('Reconciliation report'!$E$845=RefData!$B$175,MID('Reconciliation report'!$E$846,2001,1000),"")</f>
        <v/>
      </c>
      <c r="D1602" s="624"/>
      <c r="E1602" s="585" t="str">
        <f ca="1">IF(AND('Reconciliation report'!$E$476&gt;=4,'Reconciliation report'!$E$476&lt;&gt;"",'Reconciliation report'!$E$473=RefData!$B$112),'All Statement of strategy (D)'!$B1602&amp;$C1602,"")</f>
        <v/>
      </c>
      <c r="F1602" s="585" t="str">
        <f ca="1">IF(AND('Reconciliation report'!$E$476&gt;=4,'Reconciliation report'!$E$476&lt;&gt;"",'Reconciliation report'!$E$473=RefData!$B$112),'All Statement of strategy (D)'!$B1602&amp;$C1602,"")</f>
        <v/>
      </c>
      <c r="G1602" s="585" t="str">
        <f>""</f>
        <v/>
      </c>
      <c r="H1602" s="585" t="str">
        <f>""</f>
        <v/>
      </c>
      <c r="I1602" s="595" t="str">
        <f ca="1">IF($C$1=RefData!$B$418,'All Statement of strategy (D)'!$E1602,IF('All Statement of strategy (D)'!$C$1=RefData!$B$419,'All Statement of strategy (D)'!$F1602,IF('All Statement of strategy (D)'!$C$1=RefData!$B$420,'All Statement of strategy (D)'!$G1602,IF('All Statement of strategy (D)'!$C$1=RefData!$B$421,'All Statement of strategy (D)'!$H1602," "))))</f>
        <v xml:space="preserve"> </v>
      </c>
    </row>
    <row r="1603" spans="1:9">
      <c r="A1603" s="584" t="s">
        <v>2682</v>
      </c>
      <c r="B1603" s="594" t="str">
        <f ca="1">IF('Reconciliation report'!$E$845=RefData!$B$175,MID('Reconciliation report'!$E$846,3001,1000),"")</f>
        <v/>
      </c>
      <c r="D1603" s="624"/>
      <c r="E1603" s="585" t="str">
        <f ca="1">IF(AND('Reconciliation report'!$E$476&gt;=4,'Reconciliation report'!$E$476&lt;&gt;"",'Reconciliation report'!$E$473=RefData!$B$112),'All Statement of strategy (D)'!$B1603&amp;$C1603,"")</f>
        <v/>
      </c>
      <c r="F1603" s="585" t="str">
        <f ca="1">IF(AND('Reconciliation report'!$E$476&gt;=4,'Reconciliation report'!$E$476&lt;&gt;"",'Reconciliation report'!$E$473=RefData!$B$112),'All Statement of strategy (D)'!$B1603&amp;$C1603,"")</f>
        <v/>
      </c>
      <c r="G1603" s="585" t="str">
        <f>""</f>
        <v/>
      </c>
      <c r="H1603" s="585" t="str">
        <f>""</f>
        <v/>
      </c>
      <c r="I1603" s="595" t="str">
        <f ca="1">IF($C$1=RefData!$B$418,'All Statement of strategy (D)'!$E1603,IF('All Statement of strategy (D)'!$C$1=RefData!$B$419,'All Statement of strategy (D)'!$F1603,IF('All Statement of strategy (D)'!$C$1=RefData!$B$420,'All Statement of strategy (D)'!$G1603,IF('All Statement of strategy (D)'!$C$1=RefData!$B$421,'All Statement of strategy (D)'!$H1603," "))))</f>
        <v xml:space="preserve"> </v>
      </c>
    </row>
    <row r="1604" spans="1:9">
      <c r="A1604" s="584" t="s">
        <v>2683</v>
      </c>
      <c r="B1604" s="594" t="s">
        <v>2406</v>
      </c>
      <c r="C1604" s="585" t="str">
        <f ca="1">TEXT('Reconciliation report'!$E$847,RefData!$B$425)</f>
        <v/>
      </c>
      <c r="E1604" s="585" t="str">
        <f ca="1">IF(AND('Reconciliation report'!$E$845=RefData!$B$174,'Reconciliation report'!$E$476&gt;=4,'Reconciliation report'!$E$476&lt;&gt;"",'Reconciliation report'!$E$473=RefData!$B$112),'All Statement of strategy (D)'!$B1604&amp;$C1604,"")</f>
        <v/>
      </c>
      <c r="F1604" s="585" t="str">
        <f ca="1">IF(AND('Reconciliation report'!$E$845=RefData!$B$174,'Reconciliation report'!$E$476&gt;=4,'Reconciliation report'!$E$476&lt;&gt;"",'Reconciliation report'!$E$473=RefData!$B$112),'All Statement of strategy (D)'!$B1604&amp;$C1604,"")</f>
        <v/>
      </c>
      <c r="G1604" s="585" t="str">
        <f>""</f>
        <v/>
      </c>
      <c r="H1604" s="585" t="str">
        <f>""</f>
        <v/>
      </c>
      <c r="I1604" s="595" t="str">
        <f ca="1">IF($C$1=RefData!$B$418,'All Statement of strategy (D)'!$E1604,IF('All Statement of strategy (D)'!$C$1=RefData!$B$419,'All Statement of strategy (D)'!$F1604,IF('All Statement of strategy (D)'!$C$1=RefData!$B$420,'All Statement of strategy (D)'!$G1604,IF('All Statement of strategy (D)'!$C$1=RefData!$B$421,'All Statement of strategy (D)'!$H1604," "))))</f>
        <v xml:space="preserve"> </v>
      </c>
    </row>
    <row r="1605" spans="1:9">
      <c r="B1605" s="594" t="s">
        <v>2407</v>
      </c>
      <c r="E1605" s="585" t="str">
        <f ca="1">IF(AND('Reconciliation report'!$E$476&gt;=4,'Reconciliation report'!$E$476&lt;&gt;"",'Reconciliation report'!$E$473=RefData!$B$112),'All Statement of strategy (D)'!$B1605&amp;$C1605,"")</f>
        <v/>
      </c>
      <c r="F1605" s="585" t="str">
        <f ca="1">IF(AND('Reconciliation report'!$E$476&gt;=4,'Reconciliation report'!$E$476&lt;&gt;"",'Reconciliation report'!$E$473=RefData!$B$112),'All Statement of strategy (D)'!$B1605&amp;$C1605,"")</f>
        <v/>
      </c>
      <c r="G1605" s="585" t="str">
        <f>""</f>
        <v/>
      </c>
      <c r="H1605" s="585" t="str">
        <f>""</f>
        <v/>
      </c>
      <c r="I1605" s="595" t="str">
        <f ca="1">IF($C$1=RefData!$B$418,'All Statement of strategy (D)'!$E1605,IF('All Statement of strategy (D)'!$C$1=RefData!$B$419,'All Statement of strategy (D)'!$F1605,IF('All Statement of strategy (D)'!$C$1=RefData!$B$420,'All Statement of strategy (D)'!$G1605,IF('All Statement of strategy (D)'!$C$1=RefData!$B$421,'All Statement of strategy (D)'!$H1605," "))))</f>
        <v xml:space="preserve"> </v>
      </c>
    </row>
    <row r="1606" spans="1:9">
      <c r="A1606" s="584" t="s">
        <v>2684</v>
      </c>
      <c r="B1606" s="594" t="s">
        <v>2409</v>
      </c>
      <c r="C1606" s="585" t="str">
        <f ca="1">'Reconciliation report'!$E$848</f>
        <v/>
      </c>
      <c r="E1606" s="585" t="str">
        <f ca="1">IF(AND('Reconciliation report'!$E$476&gt;=4,'Reconciliation report'!$E$476&lt;&gt;"",'Reconciliation report'!$E$473=RefData!$B$112),'All Statement of strategy (D)'!$B1606&amp;$C1606,"")</f>
        <v/>
      </c>
      <c r="F1606" s="585" t="str">
        <f ca="1">IF(AND('Reconciliation report'!$E$476&gt;=4,'Reconciliation report'!$E$476&lt;&gt;"",'Reconciliation report'!$E$473=RefData!$B$112),'All Statement of strategy (D)'!$B1606&amp;$C1606,"")</f>
        <v/>
      </c>
      <c r="G1606" s="585" t="str">
        <f>""</f>
        <v/>
      </c>
      <c r="H1606" s="585" t="str">
        <f>""</f>
        <v/>
      </c>
      <c r="I1606" s="595" t="str">
        <f ca="1">IF($C$1=RefData!$B$418,'All Statement of strategy (D)'!$E1606,IF('All Statement of strategy (D)'!$C$1=RefData!$B$419,'All Statement of strategy (D)'!$F1606,IF('All Statement of strategy (D)'!$C$1=RefData!$B$420,'All Statement of strategy (D)'!$G1606,IF('All Statement of strategy (D)'!$C$1=RefData!$B$421,'All Statement of strategy (D)'!$H1606," "))))</f>
        <v xml:space="preserve"> </v>
      </c>
    </row>
    <row r="1607" spans="1:9">
      <c r="A1607" s="584" t="s">
        <v>2685</v>
      </c>
      <c r="B1607" s="594" t="s">
        <v>2411</v>
      </c>
      <c r="C1607" s="585" t="str">
        <f ca="1">'Reconciliation report'!$E$849</f>
        <v/>
      </c>
      <c r="E1607" s="585" t="str">
        <f ca="1">IF(AND('Reconciliation report'!$E$476&gt;=4,'Reconciliation report'!$E$476&lt;&gt;"",'Reconciliation report'!$E$473=RefData!$B$112),'All Statement of strategy (D)'!$B1607&amp;$C1607,"")</f>
        <v/>
      </c>
      <c r="F1607" s="585" t="str">
        <f ca="1">IF(AND('Reconciliation report'!$E$476&gt;=4,'Reconciliation report'!$E$476&lt;&gt;"",'Reconciliation report'!$E$473=RefData!$B$112),'All Statement of strategy (D)'!$B1607&amp;$C1607,"")</f>
        <v/>
      </c>
      <c r="G1607" s="585" t="str">
        <f>""</f>
        <v/>
      </c>
      <c r="H1607" s="585" t="str">
        <f>""</f>
        <v/>
      </c>
      <c r="I1607" s="595" t="str">
        <f ca="1">IF($C$1=RefData!$B$418,'All Statement of strategy (D)'!$E1607,IF('All Statement of strategy (D)'!$C$1=RefData!$B$419,'All Statement of strategy (D)'!$F1607,IF('All Statement of strategy (D)'!$C$1=RefData!$B$420,'All Statement of strategy (D)'!$G1607,IF('All Statement of strategy (D)'!$C$1=RefData!$B$421,'All Statement of strategy (D)'!$H1607," "))))</f>
        <v xml:space="preserve"> </v>
      </c>
    </row>
    <row r="1608" spans="1:9">
      <c r="A1608" s="584" t="s">
        <v>2686</v>
      </c>
      <c r="B1608" s="594" t="s">
        <v>2413</v>
      </c>
      <c r="C1608" s="585" t="str">
        <f ca="1">'Reconciliation report'!$E$850</f>
        <v/>
      </c>
      <c r="E1608" s="585" t="str">
        <f ca="1">IF(AND('Reconciliation report'!$E$476&gt;=4,'Reconciliation report'!$E$476&lt;&gt;"",'Reconciliation report'!$E$473=RefData!$B$112),'All Statement of strategy (D)'!$B1608&amp;$C1608,"")</f>
        <v/>
      </c>
      <c r="F1608" s="585" t="str">
        <f ca="1">IF(AND('Reconciliation report'!$E$476&gt;=4,'Reconciliation report'!$E$476&lt;&gt;"",'Reconciliation report'!$E$473=RefData!$B$112),'All Statement of strategy (D)'!$B1608&amp;$C1608,"")</f>
        <v/>
      </c>
      <c r="G1608" s="585" t="str">
        <f>""</f>
        <v/>
      </c>
      <c r="H1608" s="585" t="str">
        <f>""</f>
        <v/>
      </c>
      <c r="I1608" s="595" t="str">
        <f ca="1">IF($C$1=RefData!$B$418,'All Statement of strategy (D)'!$E1608,IF('All Statement of strategy (D)'!$C$1=RefData!$B$419,'All Statement of strategy (D)'!$F1608,IF('All Statement of strategy (D)'!$C$1=RefData!$B$420,'All Statement of strategy (D)'!$G1608,IF('All Statement of strategy (D)'!$C$1=RefData!$B$421,'All Statement of strategy (D)'!$H1608," "))))</f>
        <v xml:space="preserve"> </v>
      </c>
    </row>
    <row r="1609" spans="1:9">
      <c r="A1609" s="584" t="s">
        <v>2687</v>
      </c>
      <c r="B1609" s="594" t="s">
        <v>2415</v>
      </c>
      <c r="C1609" s="585" t="str">
        <f ca="1">'Reconciliation report'!$E$851</f>
        <v/>
      </c>
      <c r="E1609" s="585" t="str">
        <f ca="1">IF(AND('Reconciliation report'!$E$476&gt;=4,'Reconciliation report'!$E$476&lt;&gt;"",'Reconciliation report'!$E$473=RefData!$B$112),'All Statement of strategy (D)'!$B1609&amp;$C1609,"")</f>
        <v/>
      </c>
      <c r="F1609" s="585" t="str">
        <f ca="1">IF(AND('Reconciliation report'!$E$476&gt;=4,'Reconciliation report'!$E$476&lt;&gt;"",'Reconciliation report'!$E$473=RefData!$B$112),'All Statement of strategy (D)'!$B1609&amp;$C1609,"")</f>
        <v/>
      </c>
      <c r="G1609" s="585" t="str">
        <f>""</f>
        <v/>
      </c>
      <c r="H1609" s="585" t="str">
        <f>""</f>
        <v/>
      </c>
      <c r="I1609" s="595" t="str">
        <f ca="1">IF($C$1=RefData!$B$418,'All Statement of strategy (D)'!$E1609,IF('All Statement of strategy (D)'!$C$1=RefData!$B$419,'All Statement of strategy (D)'!$F1609,IF('All Statement of strategy (D)'!$C$1=RefData!$B$420,'All Statement of strategy (D)'!$G1609,IF('All Statement of strategy (D)'!$C$1=RefData!$B$421,'All Statement of strategy (D)'!$H1609," "))))</f>
        <v xml:space="preserve"> </v>
      </c>
    </row>
    <row r="1610" spans="1:9">
      <c r="A1610" s="584" t="s">
        <v>2688</v>
      </c>
      <c r="B1610" s="594" t="str">
        <f ca="1">IF('Reconciliation report'!$E$852=RefData!$B$159,LEFT('Reconciliation report'!$E$853,1000),"")</f>
        <v/>
      </c>
      <c r="E1610" s="585" t="str">
        <f ca="1">IF(AND('Reconciliation report'!$E$476&gt;=4,'Reconciliation report'!$E$476&lt;&gt;"",'Reconciliation report'!$E$473=RefData!$B$112),'All Statement of strategy (D)'!$B1610&amp;$C1610,"")</f>
        <v/>
      </c>
      <c r="F1610" s="585" t="str">
        <f ca="1">IF(AND('Reconciliation report'!$E$476&gt;=4,'Reconciliation report'!$E$476&lt;&gt;"",'Reconciliation report'!$E$473=RefData!$B$112),'All Statement of strategy (D)'!$B1610&amp;$C1610,"")</f>
        <v/>
      </c>
      <c r="G1610" s="585" t="str">
        <f>""</f>
        <v/>
      </c>
      <c r="H1610" s="585" t="str">
        <f>""</f>
        <v/>
      </c>
      <c r="I1610" s="595" t="str">
        <f ca="1">IF($C$1=RefData!$B$418,'All Statement of strategy (D)'!$E1610,IF('All Statement of strategy (D)'!$C$1=RefData!$B$419,'All Statement of strategy (D)'!$F1610,IF('All Statement of strategy (D)'!$C$1=RefData!$B$420,'All Statement of strategy (D)'!$G1610,IF('All Statement of strategy (D)'!$C$1=RefData!$B$421,'All Statement of strategy (D)'!$H1610," "))))</f>
        <v xml:space="preserve"> </v>
      </c>
    </row>
    <row r="1611" spans="1:9">
      <c r="A1611" s="584" t="s">
        <v>2688</v>
      </c>
      <c r="B1611" s="594" t="str">
        <f ca="1">IF('Reconciliation report'!$E$852=RefData!$B$159,MID('Reconciliation report'!$E$853,1001,1000),"")</f>
        <v/>
      </c>
      <c r="E1611" s="585" t="str">
        <f ca="1">IF(AND('Reconciliation report'!$E$476&gt;=4,'Reconciliation report'!$E$476&lt;&gt;"",'Reconciliation report'!$E$473=RefData!$B$112),'All Statement of strategy (D)'!$B1611&amp;$C1611,"")</f>
        <v/>
      </c>
      <c r="F1611" s="585" t="str">
        <f ca="1">IF(AND('Reconciliation report'!$E$476&gt;=4,'Reconciliation report'!$E$476&lt;&gt;"",'Reconciliation report'!$E$473=RefData!$B$112),'All Statement of strategy (D)'!$B1611&amp;$C1611,"")</f>
        <v/>
      </c>
      <c r="G1611" s="585" t="str">
        <f>""</f>
        <v/>
      </c>
      <c r="H1611" s="585" t="str">
        <f>""</f>
        <v/>
      </c>
      <c r="I1611" s="595" t="str">
        <f ca="1">IF($C$1=RefData!$B$418,'All Statement of strategy (D)'!$E1611,IF('All Statement of strategy (D)'!$C$1=RefData!$B$419,'All Statement of strategy (D)'!$F1611,IF('All Statement of strategy (D)'!$C$1=RefData!$B$420,'All Statement of strategy (D)'!$G1611,IF('All Statement of strategy (D)'!$C$1=RefData!$B$421,'All Statement of strategy (D)'!$H1611," "))))</f>
        <v xml:space="preserve"> </v>
      </c>
    </row>
    <row r="1612" spans="1:9">
      <c r="A1612" s="584" t="s">
        <v>2688</v>
      </c>
      <c r="B1612" s="594" t="str">
        <f ca="1">IF('Reconciliation report'!$E$852=RefData!$B$159,MID('Reconciliation report'!$E$853,2001,1000),"")</f>
        <v/>
      </c>
      <c r="E1612" s="585" t="str">
        <f ca="1">IF(AND('Reconciliation report'!$E$476&gt;=4,'Reconciliation report'!$E$476&lt;&gt;"",'Reconciliation report'!$E$473=RefData!$B$112),'All Statement of strategy (D)'!$B1612&amp;$C1612,"")</f>
        <v/>
      </c>
      <c r="F1612" s="585" t="str">
        <f ca="1">IF(AND('Reconciliation report'!$E$476&gt;=4,'Reconciliation report'!$E$476&lt;&gt;"",'Reconciliation report'!$E$473=RefData!$B$112),'All Statement of strategy (D)'!$B1612&amp;$C1612,"")</f>
        <v/>
      </c>
      <c r="G1612" s="585" t="str">
        <f>""</f>
        <v/>
      </c>
      <c r="H1612" s="585" t="str">
        <f>""</f>
        <v/>
      </c>
      <c r="I1612" s="595" t="str">
        <f ca="1">IF($C$1=RefData!$B$418,'All Statement of strategy (D)'!$E1612,IF('All Statement of strategy (D)'!$C$1=RefData!$B$419,'All Statement of strategy (D)'!$F1612,IF('All Statement of strategy (D)'!$C$1=RefData!$B$420,'All Statement of strategy (D)'!$G1612,IF('All Statement of strategy (D)'!$C$1=RefData!$B$421,'All Statement of strategy (D)'!$H1612," "))))</f>
        <v xml:space="preserve"> </v>
      </c>
    </row>
    <row r="1613" spans="1:9">
      <c r="A1613" s="584" t="s">
        <v>2688</v>
      </c>
      <c r="B1613" s="594" t="str">
        <f ca="1">IF('Reconciliation report'!$E$852=RefData!$B$159,MID('Reconciliation report'!$E$853,3001,1000),"")</f>
        <v/>
      </c>
      <c r="E1613" s="585" t="str">
        <f ca="1">IF(AND('Reconciliation report'!$E$476&gt;=4,'Reconciliation report'!$E$476&lt;&gt;"",'Reconciliation report'!$E$473=RefData!$B$112),'All Statement of strategy (D)'!$B1613&amp;$C1613,"")</f>
        <v/>
      </c>
      <c r="F1613" s="585" t="str">
        <f ca="1">IF(AND('Reconciliation report'!$E$476&gt;=4,'Reconciliation report'!$E$476&lt;&gt;"",'Reconciliation report'!$E$473=RefData!$B$112),'All Statement of strategy (D)'!$B1613&amp;$C1613,"")</f>
        <v/>
      </c>
      <c r="G1613" s="585" t="str">
        <f>""</f>
        <v/>
      </c>
      <c r="H1613" s="585" t="str">
        <f>""</f>
        <v/>
      </c>
      <c r="I1613" s="595" t="str">
        <f ca="1">IF($C$1=RefData!$B$418,'All Statement of strategy (D)'!$E1613,IF('All Statement of strategy (D)'!$C$1=RefData!$B$419,'All Statement of strategy (D)'!$F1613,IF('All Statement of strategy (D)'!$C$1=RefData!$B$420,'All Statement of strategy (D)'!$G1613,IF('All Statement of strategy (D)'!$C$1=RefData!$B$421,'All Statement of strategy (D)'!$H1613," "))))</f>
        <v xml:space="preserve"> </v>
      </c>
    </row>
    <row r="1614" spans="1:9">
      <c r="B1614" s="594" t="s">
        <v>2417</v>
      </c>
      <c r="E1614" s="585" t="str">
        <f ca="1">IF(AND('Reconciliation report'!$E$476&gt;=4,'Reconciliation report'!$E$476&lt;&gt;"",'Reconciliation report'!$E$473=RefData!$B$112),'All Statement of strategy (D)'!$B1614&amp;$C1614,"")</f>
        <v/>
      </c>
      <c r="F1614" s="585" t="str">
        <f ca="1">IF(AND('Reconciliation report'!$E$476&gt;=4,'Reconciliation report'!$E$476&lt;&gt;"",'Reconciliation report'!$E$473=RefData!$B$112),'All Statement of strategy (D)'!$B1614&amp;$C1614,"")</f>
        <v/>
      </c>
      <c r="G1614" s="585" t="str">
        <f>""</f>
        <v/>
      </c>
      <c r="H1614" s="585" t="str">
        <f>""</f>
        <v/>
      </c>
      <c r="I1614" s="595" t="str">
        <f ca="1">IF($C$1=RefData!$B$418,'All Statement of strategy (D)'!$E1614,IF('All Statement of strategy (D)'!$C$1=RefData!$B$419,'All Statement of strategy (D)'!$F1614,IF('All Statement of strategy (D)'!$C$1=RefData!$B$420,'All Statement of strategy (D)'!$G1614,IF('All Statement of strategy (D)'!$C$1=RefData!$B$421,'All Statement of strategy (D)'!$H1614," "))))</f>
        <v xml:space="preserve"> </v>
      </c>
    </row>
    <row r="1615" spans="1:9">
      <c r="A1615" s="584" t="s">
        <v>2689</v>
      </c>
      <c r="B1615" s="594" t="str">
        <f ca="1">B1614&amp;LEFT('Reconciliation report'!$E$854,1000)</f>
        <v xml:space="preserve">Triggers for termination: </v>
      </c>
      <c r="E1615" s="585" t="str">
        <f ca="1">IF(AND('Reconciliation report'!$E$476&gt;=4,'Reconciliation report'!$E$476&lt;&gt;"",'Reconciliation report'!$E$473=RefData!$B$112),'All Statement of strategy (D)'!$B1615&amp;$C1615,"")</f>
        <v/>
      </c>
      <c r="F1615" s="585" t="str">
        <f ca="1">IF(AND('Reconciliation report'!$E$476&gt;=4,'Reconciliation report'!$E$476&lt;&gt;"",'Reconciliation report'!$E$473=RefData!$B$112),'All Statement of strategy (D)'!$B1615&amp;$C1615,"")</f>
        <v/>
      </c>
      <c r="G1615" s="585" t="str">
        <f>""</f>
        <v/>
      </c>
      <c r="H1615" s="585" t="str">
        <f>""</f>
        <v/>
      </c>
      <c r="I1615" s="595" t="str">
        <f ca="1">IF($C$1=RefData!$B$418,'All Statement of strategy (D)'!$E1615,IF('All Statement of strategy (D)'!$C$1=RefData!$B$419,'All Statement of strategy (D)'!$F1615,IF('All Statement of strategy (D)'!$C$1=RefData!$B$420,'All Statement of strategy (D)'!$G1615,IF('All Statement of strategy (D)'!$C$1=RefData!$B$421,'All Statement of strategy (D)'!$H1615," "))))</f>
        <v xml:space="preserve"> </v>
      </c>
    </row>
    <row r="1616" spans="1:9">
      <c r="A1616" s="584" t="s">
        <v>2689</v>
      </c>
      <c r="B1616" s="594" t="str">
        <f ca="1">MID('Reconciliation report'!$E$854,1001,1000)</f>
        <v/>
      </c>
      <c r="E1616" s="585" t="str">
        <f ca="1">IF(AND('Reconciliation report'!$E$476&gt;=4,'Reconciliation report'!$E$476&lt;&gt;"",'Reconciliation report'!$E$473=RefData!$B$112),'All Statement of strategy (D)'!$B1616&amp;$C1616,"")</f>
        <v/>
      </c>
      <c r="F1616" s="585" t="str">
        <f ca="1">IF(AND('Reconciliation report'!$E$476&gt;=4,'Reconciliation report'!$E$476&lt;&gt;"",'Reconciliation report'!$E$473=RefData!$B$112),'All Statement of strategy (D)'!$B1616&amp;$C1616,"")</f>
        <v/>
      </c>
      <c r="G1616" s="585" t="str">
        <f>""</f>
        <v/>
      </c>
      <c r="H1616" s="585" t="str">
        <f>""</f>
        <v/>
      </c>
      <c r="I1616" s="595" t="str">
        <f ca="1">IF($C$1=RefData!$B$418,'All Statement of strategy (D)'!$E1616,IF('All Statement of strategy (D)'!$C$1=RefData!$B$419,'All Statement of strategy (D)'!$F1616,IF('All Statement of strategy (D)'!$C$1=RefData!$B$420,'All Statement of strategy (D)'!$G1616,IF('All Statement of strategy (D)'!$C$1=RefData!$B$421,'All Statement of strategy (D)'!$H1616," "))))</f>
        <v xml:space="preserve"> </v>
      </c>
    </row>
    <row r="1617" spans="1:9">
      <c r="A1617" s="584" t="s">
        <v>2689</v>
      </c>
      <c r="B1617" s="594" t="str">
        <f ca="1">MID('Reconciliation report'!$E$854,2001,1000)</f>
        <v/>
      </c>
      <c r="E1617" s="585" t="str">
        <f ca="1">IF(AND('Reconciliation report'!$E$476&gt;=4,'Reconciliation report'!$E$476&lt;&gt;"",'Reconciliation report'!$E$473=RefData!$B$112),'All Statement of strategy (D)'!$B1617&amp;$C1617,"")</f>
        <v/>
      </c>
      <c r="F1617" s="585" t="str">
        <f ca="1">IF(AND('Reconciliation report'!$E$476&gt;=4,'Reconciliation report'!$E$476&lt;&gt;"",'Reconciliation report'!$E$473=RefData!$B$112),'All Statement of strategy (D)'!$B1617&amp;$C1617,"")</f>
        <v/>
      </c>
      <c r="G1617" s="585" t="str">
        <f>""</f>
        <v/>
      </c>
      <c r="H1617" s="585" t="str">
        <f>""</f>
        <v/>
      </c>
      <c r="I1617" s="595" t="str">
        <f ca="1">IF($C$1=RefData!$B$418,'All Statement of strategy (D)'!$E1617,IF('All Statement of strategy (D)'!$C$1=RefData!$B$419,'All Statement of strategy (D)'!$F1617,IF('All Statement of strategy (D)'!$C$1=RefData!$B$420,'All Statement of strategy (D)'!$G1617,IF('All Statement of strategy (D)'!$C$1=RefData!$B$421,'All Statement of strategy (D)'!$H1617," "))))</f>
        <v xml:space="preserve"> </v>
      </c>
    </row>
    <row r="1618" spans="1:9" ht="16" thickBot="1">
      <c r="A1618" s="584" t="s">
        <v>2689</v>
      </c>
      <c r="B1618" s="594" t="str">
        <f ca="1">MID('Reconciliation report'!$E$854,3001,1000)</f>
        <v/>
      </c>
      <c r="E1618" s="585" t="str">
        <f ca="1">IF(AND('Reconciliation report'!$E$476&gt;=4,'Reconciliation report'!$E$476&lt;&gt;"",'Reconciliation report'!$E$473=RefData!$B$112),'All Statement of strategy (D)'!$B1618&amp;$C1618,"")</f>
        <v/>
      </c>
      <c r="F1618" s="585" t="str">
        <f ca="1">IF(AND('Reconciliation report'!$E$476&gt;=4,'Reconciliation report'!$E$476&lt;&gt;"",'Reconciliation report'!$E$473=RefData!$B$112),'All Statement of strategy (D)'!$B1618&amp;$C1618,"")</f>
        <v/>
      </c>
      <c r="G1618" s="585" t="str">
        <f>""</f>
        <v/>
      </c>
      <c r="H1618" s="585" t="str">
        <f>""</f>
        <v/>
      </c>
      <c r="I1618" s="595" t="str">
        <f ca="1">IF($C$1=RefData!$B$418,'All Statement of strategy (D)'!$E1618,IF('All Statement of strategy (D)'!$C$1=RefData!$B$419,'All Statement of strategy (D)'!$F1618,IF('All Statement of strategy (D)'!$C$1=RefData!$B$420,'All Statement of strategy (D)'!$G1618,IF('All Statement of strategy (D)'!$C$1=RefData!$B$421,'All Statement of strategy (D)'!$H1618," "))))</f>
        <v xml:space="preserve"> </v>
      </c>
    </row>
    <row r="1619" spans="1:9" ht="16" thickBot="1">
      <c r="B1619" s="590" t="s">
        <v>2690</v>
      </c>
      <c r="E1619" s="591" t="str">
        <f ca="1">IF(AND('Reconciliation report'!$E$476&gt;=5,'Reconciliation report'!$E$476&lt;&gt;"",'Reconciliation report'!$E$473=RefData!$B$112),'All Statement of strategy (D)'!$B1619&amp;$C1619,"")</f>
        <v/>
      </c>
      <c r="F1619" s="591" t="str">
        <f ca="1">IF(AND('Reconciliation report'!$E$476&gt;=5,'Reconciliation report'!$E$476&lt;&gt;"",'Reconciliation report'!$E$473=RefData!$B$112),'All Statement of strategy (D)'!$B1619&amp;$C1619,"")</f>
        <v/>
      </c>
      <c r="G1619" s="591" t="str">
        <f ca="1">IF(AND('Reconciliation report'!$E$476&gt;=5,'Reconciliation report'!$E$476&lt;&gt;"",'Reconciliation report'!$E$473=RefData!$B$112),'All Statement of strategy (D)'!$B1619&amp;$C1619,"")</f>
        <v/>
      </c>
      <c r="H1619" s="591" t="str">
        <f ca="1">IF(AND('Reconciliation report'!$E$476&gt;=5,'Reconciliation report'!$E$476&lt;&gt;"",'Reconciliation report'!$E$473=RefData!$B$112),'All Statement of strategy (D)'!$B1619&amp;$C1619,"")</f>
        <v/>
      </c>
      <c r="I1619" s="592" t="str">
        <f ca="1">IF($C$1=RefData!$B$418,'All Statement of strategy (D)'!$E1619,IF('All Statement of strategy (D)'!$C$1=RefData!$B$419,'All Statement of strategy (D)'!$F1619,IF('All Statement of strategy (D)'!$C$1=RefData!$B$420,'All Statement of strategy (D)'!$G1619,IF('All Statement of strategy (D)'!$C$1=RefData!$B$421,'All Statement of strategy (D)'!$H1619," "))))</f>
        <v xml:space="preserve"> </v>
      </c>
    </row>
    <row r="1620" spans="1:9">
      <c r="B1620" s="590" t="s">
        <v>2620</v>
      </c>
      <c r="C1620" s="591"/>
      <c r="D1620" s="591"/>
      <c r="E1620" s="591" t="str">
        <f ca="1">IF(AND('Reconciliation report'!$E$476&gt;=5,'Reconciliation report'!$E$476&lt;&gt;"",'Reconciliation report'!$E$473=RefData!$B$112),'All Statement of strategy (D)'!$B1620&amp;$C1620,"")</f>
        <v/>
      </c>
      <c r="F1620" s="591" t="str">
        <f ca="1">IF(AND('Reconciliation report'!$E$476&gt;=5,'Reconciliation report'!$E$476&lt;&gt;"",'Reconciliation report'!$E$473=RefData!$B$112),'All Statement of strategy (D)'!$B1620&amp;$C1620,"")</f>
        <v/>
      </c>
      <c r="G1620" s="591" t="str">
        <f ca="1">IF(AND('Reconciliation report'!$E$476&gt;=5,'Reconciliation report'!$E$476&lt;&gt;"",'Reconciliation report'!$E$473=RefData!$B$112),'All Statement of strategy (D)'!$B1620&amp;$C1620,"")</f>
        <v/>
      </c>
      <c r="H1620" s="591" t="str">
        <f ca="1">IF(AND('Reconciliation report'!$E$476&gt;=5,'Reconciliation report'!$E$476&lt;&gt;"",'Reconciliation report'!$E$473=RefData!$B$112),'All Statement of strategy (D)'!$B1620&amp;$C1620,"")</f>
        <v/>
      </c>
      <c r="I1620" s="592" t="str">
        <f ca="1">IF($C$1=RefData!$B$418,'All Statement of strategy (D)'!$E1620,IF('All Statement of strategy (D)'!$C$1=RefData!$B$419,'All Statement of strategy (D)'!$F1620,IF('All Statement of strategy (D)'!$C$1=RefData!$B$420,'All Statement of strategy (D)'!$G1620,IF('All Statement of strategy (D)'!$C$1=RefData!$B$421,'All Statement of strategy (D)'!$H1620," "))))</f>
        <v xml:space="preserve"> </v>
      </c>
    </row>
    <row r="1621" spans="1:9">
      <c r="A1621" s="584" t="s">
        <v>2691</v>
      </c>
      <c r="B1621" s="594" t="str">
        <f ca="1">B1620&amp;IF(OR('Reconciliation report'!$E$855=RefData!$B$164,'Reconciliation report'!$E$855=RefData!$B$165),"",'Reconciliation report'!$E$855)</f>
        <v xml:space="preserve">Type of contingent asset: </v>
      </c>
      <c r="E1621" s="585" t="str">
        <f ca="1">IF(AND('Reconciliation report'!$E$476&gt;=5,'Reconciliation report'!$E$476&lt;&gt;"",'Reconciliation report'!$E$473=RefData!$B$112),'All Statement of strategy (D)'!$B1621&amp;$C1621,"")</f>
        <v/>
      </c>
      <c r="F1621" s="585" t="str">
        <f ca="1">IF(AND('Reconciliation report'!$E$476&gt;=5,'Reconciliation report'!$E$476&lt;&gt;"",'Reconciliation report'!$E$473=RefData!$B$112),'All Statement of strategy (D)'!$B1621&amp;$C1621,"")</f>
        <v/>
      </c>
      <c r="G1621" s="585" t="str">
        <f ca="1">IF(AND('Reconciliation report'!$E$476&gt;=5,'Reconciliation report'!$E$476&lt;&gt;"",'Reconciliation report'!$E$473=RefData!$B$112),'All Statement of strategy (D)'!$B1621&amp;$C1621,"")</f>
        <v/>
      </c>
      <c r="H1621" s="585" t="str">
        <f ca="1">IF(AND('Reconciliation report'!$E$476&gt;=5,'Reconciliation report'!$E$476&lt;&gt;"",'Reconciliation report'!$E$473=RefData!$B$112),'All Statement of strategy (D)'!$B1621&amp;$C1621,"")</f>
        <v/>
      </c>
      <c r="I1621" s="595" t="str">
        <f ca="1">IF($C$1=RefData!$B$418,'All Statement of strategy (D)'!$E1621,IF('All Statement of strategy (D)'!$C$1=RefData!$B$419,'All Statement of strategy (D)'!$F1621,IF('All Statement of strategy (D)'!$C$1=RefData!$B$420,'All Statement of strategy (D)'!$G1621,IF('All Statement of strategy (D)'!$C$1=RefData!$B$421,'All Statement of strategy (D)'!$H1621," "))))</f>
        <v xml:space="preserve"> </v>
      </c>
    </row>
    <row r="1622" spans="1:9">
      <c r="A1622" s="584" t="s">
        <v>2622</v>
      </c>
      <c r="B1622" s="594" t="str">
        <f ca="1">B1621&amp;IF(OR('Reconciliation report'!$E$855=RefData!$B$164,'Reconciliation report'!$E$855=RefData!$B$165),"Description of asset and counterparty(s) where applicable: ","")</f>
        <v xml:space="preserve">Type of contingent asset: </v>
      </c>
      <c r="C1622" s="585" t="str">
        <f ca="1">IF(OR('Reconciliation report'!$E$855=RefData!$B$164,'Reconciliation report'!$E$855=RefData!$B$165),'Reconciliation report'!$E$856,"")</f>
        <v/>
      </c>
      <c r="E1622" s="585" t="str">
        <f ca="1">IF(AND('Reconciliation report'!$E$476&gt;=5,'Reconciliation report'!$E$476&lt;&gt;"",'Reconciliation report'!$E$473=RefData!$B$112),'All Statement of strategy (D)'!$B1622&amp;$C1622,"")</f>
        <v/>
      </c>
      <c r="F1622" s="585" t="str">
        <f ca="1">IF(AND('Reconciliation report'!$E$476&gt;=5,'Reconciliation report'!$E$476&lt;&gt;"",'Reconciliation report'!$E$473=RefData!$B$112),'All Statement of strategy (D)'!$B1622&amp;$C1622,"")</f>
        <v/>
      </c>
      <c r="G1622" s="585" t="str">
        <f ca="1">IF(AND('Reconciliation report'!$E$476&gt;=5,'Reconciliation report'!$E$476&lt;&gt;"",'Reconciliation report'!$E$473=RefData!$B$112),'All Statement of strategy (D)'!$B1622&amp;$C1622,"")</f>
        <v/>
      </c>
      <c r="H1622" s="585" t="str">
        <f ca="1">IF(AND('Reconciliation report'!$E$476&gt;=5,'Reconciliation report'!$E$476&lt;&gt;"",'Reconciliation report'!$E$473=RefData!$B$112),'All Statement of strategy (D)'!$B1622&amp;$C1622,"")</f>
        <v/>
      </c>
      <c r="I1622" s="595" t="str">
        <f ca="1">IF($C$1=RefData!$B$418,'All Statement of strategy (D)'!$E1622,IF('All Statement of strategy (D)'!$C$1=RefData!$B$419,'All Statement of strategy (D)'!$F1622,IF('All Statement of strategy (D)'!$C$1=RefData!$B$420,'All Statement of strategy (D)'!$G1622,IF('All Statement of strategy (D)'!$C$1=RefData!$B$421,'All Statement of strategy (D)'!$H1622," "))))</f>
        <v xml:space="preserve"> </v>
      </c>
    </row>
    <row r="1623" spans="1:9">
      <c r="A1623" s="584" t="s">
        <v>2692</v>
      </c>
      <c r="B1623" s="594" t="str">
        <f ca="1">B1622&amp;IF(OR('Reconciliation report'!$E$855=RefData!$B$164,'Reconciliation report'!$E$855=RefData!$B$165),LEFT('Reconciliation report'!$E$856,1000),"")</f>
        <v xml:space="preserve">Type of contingent asset: </v>
      </c>
      <c r="E1623" s="585" t="str">
        <f ca="1">IF(AND('Reconciliation report'!$E$476&gt;=5,'Reconciliation report'!$E$476&lt;&gt;"",'Reconciliation report'!$E$473=RefData!$B$112),'All Statement of strategy (D)'!$B1623&amp;$C1623,"")</f>
        <v/>
      </c>
      <c r="F1623" s="585" t="str">
        <f ca="1">IF(AND('Reconciliation report'!$E$476&gt;=5,'Reconciliation report'!$E$476&lt;&gt;"",'Reconciliation report'!$E$473=RefData!$B$112),'All Statement of strategy (D)'!$B1623&amp;$C1623,"")</f>
        <v/>
      </c>
      <c r="G1623" s="585" t="str">
        <f ca="1">IF(AND('Reconciliation report'!$E$476&gt;=5,'Reconciliation report'!$E$476&lt;&gt;"",'Reconciliation report'!$E$473=RefData!$B$112),'All Statement of strategy (D)'!$B1623&amp;$C1623,"")</f>
        <v/>
      </c>
      <c r="H1623" s="585" t="str">
        <f ca="1">IF(AND('Reconciliation report'!$E$476&gt;=5,'Reconciliation report'!$E$476&lt;&gt;"",'Reconciliation report'!$E$473=RefData!$B$112),'All Statement of strategy (D)'!$B1623&amp;$C1623,"")</f>
        <v/>
      </c>
      <c r="I1623" s="595" t="str">
        <f ca="1">IF($C$1=RefData!$B$418,'All Statement of strategy (D)'!$E1623,IF('All Statement of strategy (D)'!$C$1=RefData!$B$419,'All Statement of strategy (D)'!$F1623,IF('All Statement of strategy (D)'!$C$1=RefData!$B$420,'All Statement of strategy (D)'!$G1623,IF('All Statement of strategy (D)'!$C$1=RefData!$B$421,'All Statement of strategy (D)'!$H1623," "))))</f>
        <v xml:space="preserve"> </v>
      </c>
    </row>
    <row r="1624" spans="1:9">
      <c r="A1624" s="584" t="s">
        <v>2692</v>
      </c>
      <c r="B1624" s="594" t="str">
        <f ca="1">IF(OR('Reconciliation report'!$E$855=RefData!$B$164,'Reconciliation report'!$E$855=RefData!$B$165),MID('Reconciliation report'!$E$856,1001,1000),"")</f>
        <v/>
      </c>
      <c r="E1624" s="585" t="str">
        <f ca="1">IF(AND('Reconciliation report'!$E$476&gt;=5,'Reconciliation report'!$E$476&lt;&gt;"",'Reconciliation report'!$E$473=RefData!$B$112),'All Statement of strategy (D)'!$B1624&amp;$C1624,"")</f>
        <v/>
      </c>
      <c r="F1624" s="585" t="str">
        <f ca="1">IF(AND('Reconciliation report'!$E$476&gt;=5,'Reconciliation report'!$E$476&lt;&gt;"",'Reconciliation report'!$E$473=RefData!$B$112),'All Statement of strategy (D)'!$B1624&amp;$C1624,"")</f>
        <v/>
      </c>
      <c r="G1624" s="585" t="str">
        <f ca="1">IF(AND('Reconciliation report'!$E$476&gt;=5,'Reconciliation report'!$E$476&lt;&gt;"",'Reconciliation report'!$E$473=RefData!$B$112),'All Statement of strategy (D)'!$B1624&amp;$C1624,"")</f>
        <v/>
      </c>
      <c r="H1624" s="585" t="str">
        <f ca="1">IF(AND('Reconciliation report'!$E$476&gt;=5,'Reconciliation report'!$E$476&lt;&gt;"",'Reconciliation report'!$E$473=RefData!$B$112),'All Statement of strategy (D)'!$B1624&amp;$C1624,"")</f>
        <v/>
      </c>
      <c r="I1624" s="595" t="str">
        <f ca="1">IF($C$1=RefData!$B$418,'All Statement of strategy (D)'!$E1624,IF('All Statement of strategy (D)'!$C$1=RefData!$B$419,'All Statement of strategy (D)'!$F1624,IF('All Statement of strategy (D)'!$C$1=RefData!$B$420,'All Statement of strategy (D)'!$G1624,IF('All Statement of strategy (D)'!$C$1=RefData!$B$421,'All Statement of strategy (D)'!$H1624," "))))</f>
        <v xml:space="preserve"> </v>
      </c>
    </row>
    <row r="1625" spans="1:9">
      <c r="A1625" s="584" t="s">
        <v>2692</v>
      </c>
      <c r="B1625" s="594" t="str">
        <f ca="1">IF(OR('Reconciliation report'!$E$855=RefData!$B$164,'Reconciliation report'!$E$855=RefData!$B$165),MID('Reconciliation report'!$E$856,2001,1000),"")</f>
        <v/>
      </c>
      <c r="E1625" s="585" t="str">
        <f ca="1">IF(AND('Reconciliation report'!$E$476&gt;=5,'Reconciliation report'!$E$476&lt;&gt;"",'Reconciliation report'!$E$473=RefData!$B$112),'All Statement of strategy (D)'!$B1625&amp;$C1625,"")</f>
        <v/>
      </c>
      <c r="F1625" s="585" t="str">
        <f ca="1">IF(AND('Reconciliation report'!$E$476&gt;=5,'Reconciliation report'!$E$476&lt;&gt;"",'Reconciliation report'!$E$473=RefData!$B$112),'All Statement of strategy (D)'!$B1625&amp;$C1625,"")</f>
        <v/>
      </c>
      <c r="G1625" s="585" t="str">
        <f ca="1">IF(AND('Reconciliation report'!$E$476&gt;=5,'Reconciliation report'!$E$476&lt;&gt;"",'Reconciliation report'!$E$473=RefData!$B$112),'All Statement of strategy (D)'!$B1625&amp;$C1625,"")</f>
        <v/>
      </c>
      <c r="H1625" s="585" t="str">
        <f ca="1">IF(AND('Reconciliation report'!$E$476&gt;=5,'Reconciliation report'!$E$476&lt;&gt;"",'Reconciliation report'!$E$473=RefData!$B$112),'All Statement of strategy (D)'!$B1625&amp;$C1625,"")</f>
        <v/>
      </c>
      <c r="I1625" s="595" t="str">
        <f ca="1">IF($C$1=RefData!$B$418,'All Statement of strategy (D)'!$E1625,IF('All Statement of strategy (D)'!$C$1=RefData!$B$419,'All Statement of strategy (D)'!$F1625,IF('All Statement of strategy (D)'!$C$1=RefData!$B$420,'All Statement of strategy (D)'!$G1625,IF('All Statement of strategy (D)'!$C$1=RefData!$B$421,'All Statement of strategy (D)'!$H1625," "))))</f>
        <v xml:space="preserve"> </v>
      </c>
    </row>
    <row r="1626" spans="1:9">
      <c r="A1626" s="584" t="s">
        <v>2692</v>
      </c>
      <c r="B1626" s="594" t="str">
        <f ca="1">IF(OR('Reconciliation report'!$E$855=RefData!$B$164,'Reconciliation report'!$E$855=RefData!$B$165),MID('Reconciliation report'!$E$856,3001,1000),"")</f>
        <v/>
      </c>
      <c r="E1626" s="585" t="str">
        <f ca="1">IF(AND('Reconciliation report'!$E$476&gt;=5,'Reconciliation report'!$E$476&lt;&gt;"",'Reconciliation report'!$E$473=RefData!$B$112),'All Statement of strategy (D)'!$B1626&amp;$C1626,"")</f>
        <v/>
      </c>
      <c r="F1626" s="585" t="str">
        <f ca="1">IF(AND('Reconciliation report'!$E$476&gt;=5,'Reconciliation report'!$E$476&lt;&gt;"",'Reconciliation report'!$E$473=RefData!$B$112),'All Statement of strategy (D)'!$B1626&amp;$C1626,"")</f>
        <v/>
      </c>
      <c r="G1626" s="585" t="str">
        <f ca="1">IF(AND('Reconciliation report'!$E$476&gt;=5,'Reconciliation report'!$E$476&lt;&gt;"",'Reconciliation report'!$E$473=RefData!$B$112),'All Statement of strategy (D)'!$B1626&amp;$C1626,"")</f>
        <v/>
      </c>
      <c r="H1626" s="585" t="str">
        <f ca="1">IF(AND('Reconciliation report'!$E$476&gt;=5,'Reconciliation report'!$E$476&lt;&gt;"",'Reconciliation report'!$E$473=RefData!$B$112),'All Statement of strategy (D)'!$B1626&amp;$C1626,"")</f>
        <v/>
      </c>
      <c r="I1626" s="595" t="str">
        <f ca="1">IF($C$1=RefData!$B$418,'All Statement of strategy (D)'!$E1626,IF('All Statement of strategy (D)'!$C$1=RefData!$B$419,'All Statement of strategy (D)'!$F1626,IF('All Statement of strategy (D)'!$C$1=RefData!$B$420,'All Statement of strategy (D)'!$G1626,IF('All Statement of strategy (D)'!$C$1=RefData!$B$421,'All Statement of strategy (D)'!$H1626," "))))</f>
        <v xml:space="preserve"> </v>
      </c>
    </row>
    <row r="1627" spans="1:9">
      <c r="A1627" s="604"/>
      <c r="B1627" s="594" t="s">
        <v>2532</v>
      </c>
      <c r="D1627" s="624"/>
      <c r="E1627" s="585" t="str">
        <f ca="1">IF(AND('Reconciliation report'!$E$476&gt;=5,'Reconciliation report'!$E$476&lt;&gt;"",'Reconciliation report'!$E$473=RefData!$B$112),'All Statement of strategy (D)'!$B1627&amp;$C1627,"")</f>
        <v/>
      </c>
      <c r="F1627" s="585" t="str">
        <f ca="1">IF(AND('Reconciliation report'!$E$476&gt;=5,'Reconciliation report'!$E$476&lt;&gt;"",'Reconciliation report'!$E$473=RefData!$B$112),'All Statement of strategy (D)'!$B1627&amp;$C1627,"")</f>
        <v/>
      </c>
      <c r="G1627" s="585" t="str">
        <f>""</f>
        <v/>
      </c>
      <c r="H1627" s="585" t="str">
        <f>""</f>
        <v/>
      </c>
      <c r="I1627" s="595" t="str">
        <f ca="1">IF($C$1=RefData!$B$418,'All Statement of strategy (D)'!$E1627,IF('All Statement of strategy (D)'!$C$1=RefData!$B$419,'All Statement of strategy (D)'!$F1627,IF('All Statement of strategy (D)'!$C$1=RefData!$B$420,'All Statement of strategy (D)'!$G1627,IF('All Statement of strategy (D)'!$C$1=RefData!$B$421,'All Statement of strategy (D)'!$H1627," "))))</f>
        <v xml:space="preserve"> </v>
      </c>
    </row>
    <row r="1628" spans="1:9">
      <c r="A1628" s="584" t="s">
        <v>2693</v>
      </c>
      <c r="B1628" s="594" t="str">
        <f ca="1">B1627&amp;IF('Reconciliation report'!$E$857=RefData!$B$166,'Reconciliation report'!$E$857,"")</f>
        <v xml:space="preserve">Type of maturity: </v>
      </c>
      <c r="D1628" s="624"/>
      <c r="E1628" s="585" t="str">
        <f ca="1">IF(AND('Reconciliation report'!$E$476&gt;=5,'Reconciliation report'!$E$476&lt;&gt;"",'Reconciliation report'!$E$473=RefData!$B$112),'All Statement of strategy (D)'!$B1628&amp;$C1628,"")</f>
        <v/>
      </c>
      <c r="F1628" s="585" t="str">
        <f ca="1">IF(AND('Reconciliation report'!$E$476&gt;=5,'Reconciliation report'!$E$476&lt;&gt;"",'Reconciliation report'!$E$473=RefData!$B$112),'All Statement of strategy (D)'!$B1628&amp;$C1628,"")</f>
        <v/>
      </c>
      <c r="G1628" s="585" t="str">
        <f>""</f>
        <v/>
      </c>
      <c r="H1628" s="585" t="str">
        <f>""</f>
        <v/>
      </c>
      <c r="I1628" s="595" t="str">
        <f ca="1">IF($C$1=RefData!$B$418,'All Statement of strategy (D)'!$E1628,IF('All Statement of strategy (D)'!$C$1=RefData!$B$419,'All Statement of strategy (D)'!$F1628,IF('All Statement of strategy (D)'!$C$1=RefData!$B$420,'All Statement of strategy (D)'!$G1628,IF('All Statement of strategy (D)'!$C$1=RefData!$B$421,'All Statement of strategy (D)'!$H1628," "))))</f>
        <v xml:space="preserve"> </v>
      </c>
    </row>
    <row r="1629" spans="1:9">
      <c r="A1629" s="584" t="s">
        <v>2694</v>
      </c>
      <c r="B1629" s="594" t="str">
        <f ca="1">B1628&amp;IF('Reconciliation report'!$E$857=RefData!$B$167,"Fixed expiry with a maturity date of "&amp;TEXT('Reconciliation report'!$E$858,RefData!$B$424),"")</f>
        <v xml:space="preserve">Type of maturity: </v>
      </c>
      <c r="D1629" s="624"/>
      <c r="E1629" s="585" t="str">
        <f ca="1">IF(AND('Reconciliation report'!$E$476&gt;=5,'Reconciliation report'!$E$476&lt;&gt;"",'Reconciliation report'!$E$473=RefData!$B$112),'All Statement of strategy (D)'!$B1629&amp;$C1629,"")</f>
        <v/>
      </c>
      <c r="F1629" s="585" t="str">
        <f ca="1">IF(AND('Reconciliation report'!$E$476&gt;=5,'Reconciliation report'!$E$476&lt;&gt;"",'Reconciliation report'!$E$473=RefData!$B$112),'All Statement of strategy (D)'!$B1629&amp;$C1629,"")</f>
        <v/>
      </c>
      <c r="G1629" s="585" t="str">
        <f>""</f>
        <v/>
      </c>
      <c r="H1629" s="585" t="str">
        <f>""</f>
        <v/>
      </c>
      <c r="I1629" s="595" t="str">
        <f ca="1">IF($C$1=RefData!$B$418,'All Statement of strategy (D)'!$E1629,IF('All Statement of strategy (D)'!$C$1=RefData!$B$419,'All Statement of strategy (D)'!$F1629,IF('All Statement of strategy (D)'!$C$1=RefData!$B$420,'All Statement of strategy (D)'!$G1629,IF('All Statement of strategy (D)'!$C$1=RefData!$B$421,'All Statement of strategy (D)'!$H1629," "))))</f>
        <v xml:space="preserve"> </v>
      </c>
    </row>
    <row r="1630" spans="1:9">
      <c r="A1630" s="584" t="s">
        <v>2695</v>
      </c>
      <c r="B1630" s="594" t="str">
        <f ca="1">B1629&amp;IF('Reconciliation report'!$E$857=RefData!$B$168,LEFT('Reconciliation report'!$E$859,1000),"")</f>
        <v xml:space="preserve">Type of maturity: </v>
      </c>
      <c r="D1630" s="624"/>
      <c r="E1630" s="585" t="str">
        <f ca="1">IF(AND('Reconciliation report'!$E$476&gt;=5,'Reconciliation report'!$E$476&lt;&gt;"",'Reconciliation report'!$E$473=RefData!$B$112),'All Statement of strategy (D)'!$B1630&amp;$C1630,"")</f>
        <v/>
      </c>
      <c r="F1630" s="585" t="str">
        <f ca="1">IF(AND('Reconciliation report'!$E$476&gt;=5,'Reconciliation report'!$E$476&lt;&gt;"",'Reconciliation report'!$E$473=RefData!$B$112),'All Statement of strategy (D)'!$B1630&amp;$C1630,"")</f>
        <v/>
      </c>
      <c r="G1630" s="585" t="str">
        <f>""</f>
        <v/>
      </c>
      <c r="H1630" s="585" t="str">
        <f>""</f>
        <v/>
      </c>
      <c r="I1630" s="595" t="str">
        <f ca="1">IF($C$1=RefData!$B$418,'All Statement of strategy (D)'!$E1630,IF('All Statement of strategy (D)'!$C$1=RefData!$B$419,'All Statement of strategy (D)'!$F1630,IF('All Statement of strategy (D)'!$C$1=RefData!$B$420,'All Statement of strategy (D)'!$G1630,IF('All Statement of strategy (D)'!$C$1=RefData!$B$421,'All Statement of strategy (D)'!$H1630," "))))</f>
        <v xml:space="preserve"> </v>
      </c>
    </row>
    <row r="1631" spans="1:9">
      <c r="A1631" s="584" t="s">
        <v>2695</v>
      </c>
      <c r="B1631" s="594" t="str">
        <f ca="1">IF('Reconciliation report'!$E$857=RefData!$B$168,MID('Reconciliation report'!$E$859,1001,1000),"")</f>
        <v/>
      </c>
      <c r="D1631" s="624"/>
      <c r="E1631" s="585" t="str">
        <f ca="1">IF(AND('Reconciliation report'!$E$476&gt;=5,'Reconciliation report'!$E$476&lt;&gt;"",'Reconciliation report'!$E$473=RefData!$B$112),'All Statement of strategy (D)'!$B1631&amp;$C1631,"")</f>
        <v/>
      </c>
      <c r="F1631" s="585" t="str">
        <f ca="1">IF(AND('Reconciliation report'!$E$476&gt;=5,'Reconciliation report'!$E$476&lt;&gt;"",'Reconciliation report'!$E$473=RefData!$B$112),'All Statement of strategy (D)'!$B1631&amp;$C1631,"")</f>
        <v/>
      </c>
      <c r="G1631" s="585" t="str">
        <f>""</f>
        <v/>
      </c>
      <c r="H1631" s="585" t="str">
        <f>""</f>
        <v/>
      </c>
      <c r="I1631" s="595" t="str">
        <f ca="1">IF($C$1=RefData!$B$418,'All Statement of strategy (D)'!$E1631,IF('All Statement of strategy (D)'!$C$1=RefData!$B$419,'All Statement of strategy (D)'!$F1631,IF('All Statement of strategy (D)'!$C$1=RefData!$B$420,'All Statement of strategy (D)'!$G1631,IF('All Statement of strategy (D)'!$C$1=RefData!$B$421,'All Statement of strategy (D)'!$H1631," "))))</f>
        <v xml:space="preserve"> </v>
      </c>
    </row>
    <row r="1632" spans="1:9">
      <c r="A1632" s="584" t="s">
        <v>2695</v>
      </c>
      <c r="B1632" s="594" t="str">
        <f ca="1">IF('Reconciliation report'!$E$857=RefData!$B$168,MID('Reconciliation report'!$E$859,2001,1000),"")</f>
        <v/>
      </c>
      <c r="D1632" s="624"/>
      <c r="E1632" s="585" t="str">
        <f ca="1">IF(AND('Reconciliation report'!$E$476&gt;=5,'Reconciliation report'!$E$476&lt;&gt;"",'Reconciliation report'!$E$473=RefData!$B$112),'All Statement of strategy (D)'!$B1632&amp;$C1632,"")</f>
        <v/>
      </c>
      <c r="F1632" s="585" t="str">
        <f ca="1">IF(AND('Reconciliation report'!$E$476&gt;=5,'Reconciliation report'!$E$476&lt;&gt;"",'Reconciliation report'!$E$473=RefData!$B$112),'All Statement of strategy (D)'!$B1632&amp;$C1632,"")</f>
        <v/>
      </c>
      <c r="G1632" s="585" t="str">
        <f>""</f>
        <v/>
      </c>
      <c r="H1632" s="585" t="str">
        <f>""</f>
        <v/>
      </c>
      <c r="I1632" s="595" t="str">
        <f ca="1">IF($C$1=RefData!$B$418,'All Statement of strategy (D)'!$E1632,IF('All Statement of strategy (D)'!$C$1=RefData!$B$419,'All Statement of strategy (D)'!$F1632,IF('All Statement of strategy (D)'!$C$1=RefData!$B$420,'All Statement of strategy (D)'!$G1632,IF('All Statement of strategy (D)'!$C$1=RefData!$B$421,'All Statement of strategy (D)'!$H1632," "))))</f>
        <v xml:space="preserve"> </v>
      </c>
    </row>
    <row r="1633" spans="1:9">
      <c r="A1633" s="584" t="s">
        <v>2695</v>
      </c>
      <c r="B1633" s="594" t="str">
        <f ca="1">IF('Reconciliation report'!$E$857=RefData!$B$168,MID('Reconciliation report'!$E$859,3001,1000),"")</f>
        <v/>
      </c>
      <c r="D1633" s="624"/>
      <c r="E1633" s="585" t="str">
        <f ca="1">IF(AND('Reconciliation report'!$E$476&gt;=5,'Reconciliation report'!$E$476&lt;&gt;"",'Reconciliation report'!$E$473=RefData!$B$112),'All Statement of strategy (D)'!$B1633&amp;$C1633,"")</f>
        <v/>
      </c>
      <c r="F1633" s="585" t="str">
        <f ca="1">IF(AND('Reconciliation report'!$E$476&gt;=5,'Reconciliation report'!$E$476&lt;&gt;"",'Reconciliation report'!$E$473=RefData!$B$112),'All Statement of strategy (D)'!$B1633&amp;$C1633,"")</f>
        <v/>
      </c>
      <c r="G1633" s="585" t="str">
        <f>""</f>
        <v/>
      </c>
      <c r="H1633" s="585" t="str">
        <f>""</f>
        <v/>
      </c>
      <c r="I1633" s="595" t="str">
        <f ca="1">IF($C$1=RefData!$B$418,'All Statement of strategy (D)'!$E1633,IF('All Statement of strategy (D)'!$C$1=RefData!$B$419,'All Statement of strategy (D)'!$F1633,IF('All Statement of strategy (D)'!$C$1=RefData!$B$420,'All Statement of strategy (D)'!$G1633,IF('All Statement of strategy (D)'!$C$1=RefData!$B$421,'All Statement of strategy (D)'!$H1633," "))))</f>
        <v xml:space="preserve"> </v>
      </c>
    </row>
    <row r="1634" spans="1:9">
      <c r="A1634" s="584" t="s">
        <v>2696</v>
      </c>
      <c r="B1634" s="594" t="s">
        <v>2399</v>
      </c>
      <c r="E1634" s="585" t="str">
        <f ca="1">IF(AND('Reconciliation report'!$E$476&gt;=5,'Reconciliation report'!$E$476&lt;&gt;"",'Reconciliation report'!$E$473=RefData!$B$112),'All Statement of strategy (D)'!$B1634&amp;$C1634,"")</f>
        <v/>
      </c>
      <c r="F1634" s="585" t="str">
        <f ca="1">IF(AND('Reconciliation report'!$E$476&gt;=5,'Reconciliation report'!$E$476&lt;&gt;"",'Reconciliation report'!$E$473=RefData!$B$112),'All Statement of strategy (D)'!$B1634&amp;$C1634,"")</f>
        <v/>
      </c>
      <c r="G1634" s="585" t="str">
        <f ca="1">IF(AND('Reconciliation report'!$E$476&gt;=5,'Reconciliation report'!$E$476&lt;&gt;"",'Reconciliation report'!$E$473=RefData!$B$112),'All Statement of strategy (D)'!$B1634&amp;$C1634,"")</f>
        <v/>
      </c>
      <c r="H1634" s="585" t="str">
        <f ca="1">IF(AND('Reconciliation report'!$E$476&gt;=5,'Reconciliation report'!$E$476&lt;&gt;"",'Reconciliation report'!$E$473=RefData!$B$112),'All Statement of strategy (D)'!$B1634&amp;$C1634,"")</f>
        <v/>
      </c>
      <c r="I1634" s="595" t="str">
        <f ca="1">IF($C$1=RefData!$B$418,'All Statement of strategy (D)'!$E1634,IF('All Statement of strategy (D)'!$C$1=RefData!$B$419,'All Statement of strategy (D)'!$F1634,IF('All Statement of strategy (D)'!$C$1=RefData!$B$420,'All Statement of strategy (D)'!$G1634,IF('All Statement of strategy (D)'!$C$1=RefData!$B$421,'All Statement of strategy (D)'!$H1634," "))))</f>
        <v xml:space="preserve"> </v>
      </c>
    </row>
    <row r="1635" spans="1:9">
      <c r="B1635" s="594" t="s">
        <v>2400</v>
      </c>
      <c r="C1635" s="585" t="str">
        <f ca="1">TEXT('Reconciliation report'!$E$860,RefData!$B$425)</f>
        <v/>
      </c>
      <c r="E1635" s="585" t="str">
        <f ca="1">IF(AND('Reconciliation report'!$E$476&gt;=5,'Reconciliation report'!$E$476&lt;&gt;"",'Reconciliation report'!$E$473=RefData!$B$112),'All Statement of strategy (D)'!$B1635&amp;$C1635,"")</f>
        <v/>
      </c>
      <c r="F1635" s="585" t="str">
        <f ca="1">IF(AND('Reconciliation report'!$E$476&gt;=5,'Reconciliation report'!$E$476&lt;&gt;"",'Reconciliation report'!$E$473=RefData!$B$112),'All Statement of strategy (D)'!$B1635&amp;$C1635,"")</f>
        <v/>
      </c>
      <c r="G1635" s="585" t="str">
        <f ca="1">IF(AND('Reconciliation report'!$E$476&gt;=5,'Reconciliation report'!$E$476&lt;&gt;"",'Reconciliation report'!$E$473=RefData!$B$112),'All Statement of strategy (D)'!$B1635&amp;$C1635,"")</f>
        <v/>
      </c>
      <c r="H1635" s="585" t="str">
        <f ca="1">IF(AND('Reconciliation report'!$E$476&gt;=5,'Reconciliation report'!$E$476&lt;&gt;"",'Reconciliation report'!$E$473=RefData!$B$112),'All Statement of strategy (D)'!$B1635&amp;$C1635,"")</f>
        <v/>
      </c>
      <c r="I1635" s="595" t="str">
        <f ca="1">IF($C$1=RefData!$B$418,'All Statement of strategy (D)'!$E1635,IF('All Statement of strategy (D)'!$C$1=RefData!$B$419,'All Statement of strategy (D)'!$F1635,IF('All Statement of strategy (D)'!$C$1=RefData!$B$420,'All Statement of strategy (D)'!$G1635,IF('All Statement of strategy (D)'!$C$1=RefData!$B$421,'All Statement of strategy (D)'!$H1635," "))))</f>
        <v xml:space="preserve"> </v>
      </c>
    </row>
    <row r="1636" spans="1:9">
      <c r="A1636" s="584" t="s">
        <v>2697</v>
      </c>
      <c r="B1636" s="594" t="s">
        <v>2402</v>
      </c>
      <c r="C1636" s="618" t="str">
        <f ca="1">TEXT('Reconciliation report'!$E$861,RefData!$B$424)</f>
        <v/>
      </c>
      <c r="E1636" s="585" t="str">
        <f ca="1">IF(AND('Reconciliation report'!$E$476&gt;=5,'Reconciliation report'!$E$476&lt;&gt;"",'Reconciliation report'!$E$473=RefData!$B$112),'All Statement of strategy (D)'!$B1636&amp;$C1636,"")</f>
        <v/>
      </c>
      <c r="F1636" s="585" t="str">
        <f ca="1">IF(AND('Reconciliation report'!$E$476&gt;=5,'Reconciliation report'!$E$476&lt;&gt;"",'Reconciliation report'!$E$473=RefData!$B$112),'All Statement of strategy (D)'!$B1636&amp;$C1636,"")</f>
        <v/>
      </c>
      <c r="G1636" s="585" t="str">
        <f ca="1">IF(AND('Reconciliation report'!$E$476&gt;=5,'Reconciliation report'!$E$476&lt;&gt;"",'Reconciliation report'!$E$473=RefData!$B$112),'All Statement of strategy (D)'!$B1636&amp;$C1636,"")</f>
        <v/>
      </c>
      <c r="H1636" s="585" t="str">
        <f ca="1">IF(AND('Reconciliation report'!$E$476&gt;=5,'Reconciliation report'!$E$476&lt;&gt;"",'Reconciliation report'!$E$473=RefData!$B$112),'All Statement of strategy (D)'!$B1636&amp;$C1636,"")</f>
        <v/>
      </c>
      <c r="I1636" s="595" t="str">
        <f ca="1">IF($C$1=RefData!$B$418,'All Statement of strategy (D)'!$E1636,IF('All Statement of strategy (D)'!$C$1=RefData!$B$419,'All Statement of strategy (D)'!$F1636,IF('All Statement of strategy (D)'!$C$1=RefData!$B$420,'All Statement of strategy (D)'!$G1636,IF('All Statement of strategy (D)'!$C$1=RefData!$B$421,'All Statement of strategy (D)'!$H1636," "))))</f>
        <v xml:space="preserve"> </v>
      </c>
    </row>
    <row r="1637" spans="1:9">
      <c r="A1637" s="604"/>
      <c r="B1637" s="594" t="s">
        <v>2518</v>
      </c>
      <c r="D1637" s="624"/>
      <c r="E1637" s="585" t="str">
        <f ca="1">IF(AND('Reconciliation report'!$E$476&gt;=5,'Reconciliation report'!$E$476&lt;&gt;"",'Reconciliation report'!$E$473=RefData!$B$112),'All Statement of strategy (D)'!$B1637&amp;$C1637,"")</f>
        <v/>
      </c>
      <c r="F1637" s="585" t="str">
        <f ca="1">IF(AND('Reconciliation report'!$E$476&gt;=5,'Reconciliation report'!$E$476&lt;&gt;"",'Reconciliation report'!$E$473=RefData!$B$112),'All Statement of strategy (D)'!$B1637&amp;$C1637,"")</f>
        <v/>
      </c>
      <c r="G1637" s="585" t="str">
        <f>""</f>
        <v/>
      </c>
      <c r="H1637" s="585" t="str">
        <f>""</f>
        <v/>
      </c>
      <c r="I1637" s="595" t="str">
        <f ca="1">IF($C$1=RefData!$B$418,'All Statement of strategy (D)'!$E1637,IF('All Statement of strategy (D)'!$C$1=RefData!$B$419,'All Statement of strategy (D)'!$F1637,IF('All Statement of strategy (D)'!$C$1=RefData!$B$420,'All Statement of strategy (D)'!$G1637,IF('All Statement of strategy (D)'!$C$1=RefData!$B$421,'All Statement of strategy (D)'!$H1637," "))))</f>
        <v xml:space="preserve"> </v>
      </c>
    </row>
    <row r="1638" spans="1:9">
      <c r="A1638" s="584" t="s">
        <v>2698</v>
      </c>
      <c r="B1638" s="594" t="str">
        <f ca="1">B1637&amp;IF('Reconciliation report'!$E$862=RefData!$B$175,"",'Reconciliation report'!$E$862)</f>
        <v xml:space="preserve">Value cap: </v>
      </c>
      <c r="D1638" s="624"/>
      <c r="E1638" s="585" t="str">
        <f ca="1">IF(AND('Reconciliation report'!$E$476&gt;=5,'Reconciliation report'!$E$476&lt;&gt;"",'Reconciliation report'!$E$473=RefData!$B$112),'All Statement of strategy (D)'!$B1638&amp;$C1638,"")</f>
        <v/>
      </c>
      <c r="F1638" s="585" t="str">
        <f ca="1">IF(AND('Reconciliation report'!$E$476&gt;=5,'Reconciliation report'!$E$476&lt;&gt;"",'Reconciliation report'!$E$473=RefData!$B$112),'All Statement of strategy (D)'!$B1638&amp;$C1638,"")</f>
        <v/>
      </c>
      <c r="G1638" s="585" t="str">
        <f>""</f>
        <v/>
      </c>
      <c r="H1638" s="585" t="str">
        <f>""</f>
        <v/>
      </c>
      <c r="I1638" s="595" t="str">
        <f ca="1">IF($C$1=RefData!$B$418,'All Statement of strategy (D)'!$E1638,IF('All Statement of strategy (D)'!$C$1=RefData!$B$419,'All Statement of strategy (D)'!$F1638,IF('All Statement of strategy (D)'!$C$1=RefData!$B$420,'All Statement of strategy (D)'!$G1638,IF('All Statement of strategy (D)'!$C$1=RefData!$B$421,'All Statement of strategy (D)'!$H1638," "))))</f>
        <v xml:space="preserve"> </v>
      </c>
    </row>
    <row r="1639" spans="1:9">
      <c r="A1639" s="584" t="s">
        <v>2699</v>
      </c>
      <c r="B1639" s="594" t="str">
        <f ca="1">B1638&amp;IF('Reconciliation report'!$E$862=RefData!$B$175,LEFT('Reconciliation report'!$E$863,1000),"")</f>
        <v xml:space="preserve">Value cap: </v>
      </c>
      <c r="D1639" s="624"/>
      <c r="E1639" s="585" t="str">
        <f ca="1">IF(AND('Reconciliation report'!$E$476&gt;=5,'Reconciliation report'!$E$476&lt;&gt;"",'Reconciliation report'!$E$473=RefData!$B$112),'All Statement of strategy (D)'!$B1639&amp;$C1639,"")</f>
        <v/>
      </c>
      <c r="F1639" s="585" t="str">
        <f ca="1">IF(AND('Reconciliation report'!$E$476&gt;=5,'Reconciliation report'!$E$476&lt;&gt;"",'Reconciliation report'!$E$473=RefData!$B$112),'All Statement of strategy (D)'!$B1639&amp;$C1639,"")</f>
        <v/>
      </c>
      <c r="G1639" s="585" t="str">
        <f>""</f>
        <v/>
      </c>
      <c r="H1639" s="585" t="str">
        <f>""</f>
        <v/>
      </c>
      <c r="I1639" s="595" t="str">
        <f ca="1">IF($C$1=RefData!$B$418,'All Statement of strategy (D)'!$E1639,IF('All Statement of strategy (D)'!$C$1=RefData!$B$419,'All Statement of strategy (D)'!$F1639,IF('All Statement of strategy (D)'!$C$1=RefData!$B$420,'All Statement of strategy (D)'!$G1639,IF('All Statement of strategy (D)'!$C$1=RefData!$B$421,'All Statement of strategy (D)'!$H1639," "))))</f>
        <v xml:space="preserve"> </v>
      </c>
    </row>
    <row r="1640" spans="1:9">
      <c r="A1640" s="584" t="s">
        <v>2699</v>
      </c>
      <c r="B1640" s="594" t="str">
        <f ca="1">IF('Reconciliation report'!$E$862=RefData!$B$175,MID('Reconciliation report'!$E$863,1001,1000),"")</f>
        <v/>
      </c>
      <c r="D1640" s="624"/>
      <c r="E1640" s="585" t="str">
        <f ca="1">IF(AND('Reconciliation report'!$E$476&gt;=5,'Reconciliation report'!$E$476&lt;&gt;"",'Reconciliation report'!$E$473=RefData!$B$112),'All Statement of strategy (D)'!$B1640&amp;$C1640,"")</f>
        <v/>
      </c>
      <c r="F1640" s="585" t="str">
        <f ca="1">IF(AND('Reconciliation report'!$E$476&gt;=5,'Reconciliation report'!$E$476&lt;&gt;"",'Reconciliation report'!$E$473=RefData!$B$112),'All Statement of strategy (D)'!$B1640&amp;$C1640,"")</f>
        <v/>
      </c>
      <c r="G1640" s="585" t="str">
        <f>""</f>
        <v/>
      </c>
      <c r="H1640" s="585" t="str">
        <f>""</f>
        <v/>
      </c>
      <c r="I1640" s="595" t="str">
        <f ca="1">IF($C$1=RefData!$B$418,'All Statement of strategy (D)'!$E1640,IF('All Statement of strategy (D)'!$C$1=RefData!$B$419,'All Statement of strategy (D)'!$F1640,IF('All Statement of strategy (D)'!$C$1=RefData!$B$420,'All Statement of strategy (D)'!$G1640,IF('All Statement of strategy (D)'!$C$1=RefData!$B$421,'All Statement of strategy (D)'!$H1640," "))))</f>
        <v xml:space="preserve"> </v>
      </c>
    </row>
    <row r="1641" spans="1:9">
      <c r="A1641" s="584" t="s">
        <v>2699</v>
      </c>
      <c r="B1641" s="594" t="str">
        <f ca="1">IF('Reconciliation report'!$E$862=RefData!$B$175,MID('Reconciliation report'!$E$863,2001,1000),"")</f>
        <v/>
      </c>
      <c r="D1641" s="624"/>
      <c r="E1641" s="585" t="str">
        <f ca="1">IF(AND('Reconciliation report'!$E$476&gt;=5,'Reconciliation report'!$E$476&lt;&gt;"",'Reconciliation report'!$E$473=RefData!$B$112),'All Statement of strategy (D)'!$B1641&amp;$C1641,"")</f>
        <v/>
      </c>
      <c r="F1641" s="585" t="str">
        <f ca="1">IF(AND('Reconciliation report'!$E$476&gt;=5,'Reconciliation report'!$E$476&lt;&gt;"",'Reconciliation report'!$E$473=RefData!$B$112),'All Statement of strategy (D)'!$B1641&amp;$C1641,"")</f>
        <v/>
      </c>
      <c r="G1641" s="585" t="str">
        <f>""</f>
        <v/>
      </c>
      <c r="H1641" s="585" t="str">
        <f>""</f>
        <v/>
      </c>
      <c r="I1641" s="595" t="str">
        <f ca="1">IF($C$1=RefData!$B$418,'All Statement of strategy (D)'!$E1641,IF('All Statement of strategy (D)'!$C$1=RefData!$B$419,'All Statement of strategy (D)'!$F1641,IF('All Statement of strategy (D)'!$C$1=RefData!$B$420,'All Statement of strategy (D)'!$G1641,IF('All Statement of strategy (D)'!$C$1=RefData!$B$421,'All Statement of strategy (D)'!$H1641," "))))</f>
        <v xml:space="preserve"> </v>
      </c>
    </row>
    <row r="1642" spans="1:9">
      <c r="A1642" s="584" t="s">
        <v>2699</v>
      </c>
      <c r="B1642" s="594" t="str">
        <f ca="1">IF('Reconciliation report'!$E$862=RefData!$B$175,MID('Reconciliation report'!$E$863,3001,1000),"")</f>
        <v/>
      </c>
      <c r="D1642" s="624"/>
      <c r="E1642" s="585" t="str">
        <f ca="1">IF(AND('Reconciliation report'!$E$476&gt;=5,'Reconciliation report'!$E$476&lt;&gt;"",'Reconciliation report'!$E$473=RefData!$B$112),'All Statement of strategy (D)'!$B1642&amp;$C1642,"")</f>
        <v/>
      </c>
      <c r="F1642" s="585" t="str">
        <f ca="1">IF(AND('Reconciliation report'!$E$476&gt;=5,'Reconciliation report'!$E$476&lt;&gt;"",'Reconciliation report'!$E$473=RefData!$B$112),'All Statement of strategy (D)'!$B1642&amp;$C1642,"")</f>
        <v/>
      </c>
      <c r="G1642" s="585" t="str">
        <f>""</f>
        <v/>
      </c>
      <c r="H1642" s="585" t="str">
        <f>""</f>
        <v/>
      </c>
      <c r="I1642" s="595" t="str">
        <f ca="1">IF($C$1=RefData!$B$418,'All Statement of strategy (D)'!$E1642,IF('All Statement of strategy (D)'!$C$1=RefData!$B$419,'All Statement of strategy (D)'!$F1642,IF('All Statement of strategy (D)'!$C$1=RefData!$B$420,'All Statement of strategy (D)'!$G1642,IF('All Statement of strategy (D)'!$C$1=RefData!$B$421,'All Statement of strategy (D)'!$H1642," "))))</f>
        <v xml:space="preserve"> </v>
      </c>
    </row>
    <row r="1643" spans="1:9">
      <c r="A1643" s="584" t="s">
        <v>2700</v>
      </c>
      <c r="B1643" s="594" t="s">
        <v>2406</v>
      </c>
      <c r="C1643" s="585" t="str">
        <f ca="1">TEXT('Reconciliation report'!$E$864,RefData!$B$425)</f>
        <v/>
      </c>
      <c r="E1643" s="585" t="str">
        <f ca="1">IF(AND('Reconciliation report'!$E$862=RefData!$B$174,'Reconciliation report'!$E$476&gt;=5,'Reconciliation report'!$E$476&lt;&gt;"",'Reconciliation report'!$E$473=RefData!$B$112),'All Statement of strategy (D)'!$B1643&amp;$C1643,"")</f>
        <v/>
      </c>
      <c r="F1643" s="585" t="str">
        <f ca="1">IF(AND('Reconciliation report'!$E$862=RefData!$B$174,'Reconciliation report'!$E$476&gt;=5,'Reconciliation report'!$E$476&lt;&gt;"",'Reconciliation report'!$E$473=RefData!$B$112),'All Statement of strategy (D)'!$B1643&amp;$C1643,"")</f>
        <v/>
      </c>
      <c r="G1643" s="585" t="str">
        <f>""</f>
        <v/>
      </c>
      <c r="H1643" s="585" t="str">
        <f>""</f>
        <v/>
      </c>
      <c r="I1643" s="595" t="str">
        <f ca="1">IF($C$1=RefData!$B$418,'All Statement of strategy (D)'!$E1643,IF('All Statement of strategy (D)'!$C$1=RefData!$B$419,'All Statement of strategy (D)'!$F1643,IF('All Statement of strategy (D)'!$C$1=RefData!$B$420,'All Statement of strategy (D)'!$G1643,IF('All Statement of strategy (D)'!$C$1=RefData!$B$421,'All Statement of strategy (D)'!$H1643," "))))</f>
        <v xml:space="preserve"> </v>
      </c>
    </row>
    <row r="1644" spans="1:9">
      <c r="B1644" s="594" t="s">
        <v>2407</v>
      </c>
      <c r="E1644" s="585" t="str">
        <f ca="1">IF(AND('Reconciliation report'!$E$476&gt;=5,'Reconciliation report'!$E$476&lt;&gt;"",'Reconciliation report'!$E$473=RefData!$B$112),'All Statement of strategy (D)'!$B1644&amp;$C1644,"")</f>
        <v/>
      </c>
      <c r="F1644" s="585" t="str">
        <f ca="1">IF(AND('Reconciliation report'!$E$476&gt;=5,'Reconciliation report'!$E$476&lt;&gt;"",'Reconciliation report'!$E$473=RefData!$B$112),'All Statement of strategy (D)'!$B1644&amp;$C1644,"")</f>
        <v/>
      </c>
      <c r="G1644" s="585" t="str">
        <f>""</f>
        <v/>
      </c>
      <c r="H1644" s="585" t="str">
        <f>""</f>
        <v/>
      </c>
      <c r="I1644" s="595" t="str">
        <f ca="1">IF($C$1=RefData!$B$418,'All Statement of strategy (D)'!$E1644,IF('All Statement of strategy (D)'!$C$1=RefData!$B$419,'All Statement of strategy (D)'!$F1644,IF('All Statement of strategy (D)'!$C$1=RefData!$B$420,'All Statement of strategy (D)'!$G1644,IF('All Statement of strategy (D)'!$C$1=RefData!$B$421,'All Statement of strategy (D)'!$H1644," "))))</f>
        <v xml:space="preserve"> </v>
      </c>
    </row>
    <row r="1645" spans="1:9">
      <c r="A1645" s="584" t="s">
        <v>2701</v>
      </c>
      <c r="B1645" s="594" t="s">
        <v>2409</v>
      </c>
      <c r="C1645" s="585" t="str">
        <f ca="1">'Reconciliation report'!$E$865</f>
        <v/>
      </c>
      <c r="E1645" s="585" t="str">
        <f ca="1">IF(AND('Reconciliation report'!$E$476&gt;=5,'Reconciliation report'!$E$476&lt;&gt;"",'Reconciliation report'!$E$473=RefData!$B$112),'All Statement of strategy (D)'!$B1645&amp;$C1645,"")</f>
        <v/>
      </c>
      <c r="F1645" s="585" t="str">
        <f ca="1">IF(AND('Reconciliation report'!$E$476&gt;=5,'Reconciliation report'!$E$476&lt;&gt;"",'Reconciliation report'!$E$473=RefData!$B$112),'All Statement of strategy (D)'!$B1645&amp;$C1645,"")</f>
        <v/>
      </c>
      <c r="G1645" s="585" t="str">
        <f>""</f>
        <v/>
      </c>
      <c r="H1645" s="585" t="str">
        <f>""</f>
        <v/>
      </c>
      <c r="I1645" s="595" t="str">
        <f ca="1">IF($C$1=RefData!$B$418,'All Statement of strategy (D)'!$E1645,IF('All Statement of strategy (D)'!$C$1=RefData!$B$419,'All Statement of strategy (D)'!$F1645,IF('All Statement of strategy (D)'!$C$1=RefData!$B$420,'All Statement of strategy (D)'!$G1645,IF('All Statement of strategy (D)'!$C$1=RefData!$B$421,'All Statement of strategy (D)'!$H1645," "))))</f>
        <v xml:space="preserve"> </v>
      </c>
    </row>
    <row r="1646" spans="1:9">
      <c r="A1646" s="584" t="s">
        <v>2702</v>
      </c>
      <c r="B1646" s="594" t="s">
        <v>2411</v>
      </c>
      <c r="C1646" s="585" t="str">
        <f ca="1">'Reconciliation report'!$E$866</f>
        <v/>
      </c>
      <c r="E1646" s="585" t="str">
        <f ca="1">IF(AND('Reconciliation report'!$E$476&gt;=5,'Reconciliation report'!$E$476&lt;&gt;"",'Reconciliation report'!$E$473=RefData!$B$112),'All Statement of strategy (D)'!$B1646&amp;$C1646,"")</f>
        <v/>
      </c>
      <c r="F1646" s="585" t="str">
        <f ca="1">IF(AND('Reconciliation report'!$E$476&gt;=5,'Reconciliation report'!$E$476&lt;&gt;"",'Reconciliation report'!$E$473=RefData!$B$112),'All Statement of strategy (D)'!$B1646&amp;$C1646,"")</f>
        <v/>
      </c>
      <c r="G1646" s="585" t="str">
        <f>""</f>
        <v/>
      </c>
      <c r="H1646" s="585" t="str">
        <f>""</f>
        <v/>
      </c>
      <c r="I1646" s="595" t="str">
        <f ca="1">IF($C$1=RefData!$B$418,'All Statement of strategy (D)'!$E1646,IF('All Statement of strategy (D)'!$C$1=RefData!$B$419,'All Statement of strategy (D)'!$F1646,IF('All Statement of strategy (D)'!$C$1=RefData!$B$420,'All Statement of strategy (D)'!$G1646,IF('All Statement of strategy (D)'!$C$1=RefData!$B$421,'All Statement of strategy (D)'!$H1646," "))))</f>
        <v xml:space="preserve"> </v>
      </c>
    </row>
    <row r="1647" spans="1:9">
      <c r="A1647" s="584" t="s">
        <v>2703</v>
      </c>
      <c r="B1647" s="594" t="s">
        <v>2413</v>
      </c>
      <c r="C1647" s="585" t="str">
        <f ca="1">'Reconciliation report'!$E$867</f>
        <v/>
      </c>
      <c r="E1647" s="585" t="str">
        <f ca="1">IF(AND('Reconciliation report'!$E$476&gt;=5,'Reconciliation report'!$E$476&lt;&gt;"",'Reconciliation report'!$E$473=RefData!$B$112),'All Statement of strategy (D)'!$B1647&amp;$C1647,"")</f>
        <v/>
      </c>
      <c r="F1647" s="585" t="str">
        <f ca="1">IF(AND('Reconciliation report'!$E$476&gt;=5,'Reconciliation report'!$E$476&lt;&gt;"",'Reconciliation report'!$E$473=RefData!$B$112),'All Statement of strategy (D)'!$B1647&amp;$C1647,"")</f>
        <v/>
      </c>
      <c r="G1647" s="585" t="str">
        <f>""</f>
        <v/>
      </c>
      <c r="H1647" s="585" t="str">
        <f>""</f>
        <v/>
      </c>
      <c r="I1647" s="595" t="str">
        <f ca="1">IF($C$1=RefData!$B$418,'All Statement of strategy (D)'!$E1647,IF('All Statement of strategy (D)'!$C$1=RefData!$B$419,'All Statement of strategy (D)'!$F1647,IF('All Statement of strategy (D)'!$C$1=RefData!$B$420,'All Statement of strategy (D)'!$G1647,IF('All Statement of strategy (D)'!$C$1=RefData!$B$421,'All Statement of strategy (D)'!$H1647," "))))</f>
        <v xml:space="preserve"> </v>
      </c>
    </row>
    <row r="1648" spans="1:9">
      <c r="A1648" s="584" t="s">
        <v>2704</v>
      </c>
      <c r="B1648" s="594" t="s">
        <v>2415</v>
      </c>
      <c r="C1648" s="585" t="str">
        <f ca="1">'Reconciliation report'!$E$868</f>
        <v/>
      </c>
      <c r="E1648" s="585" t="str">
        <f ca="1">IF(AND('Reconciliation report'!$E$476&gt;=5,'Reconciliation report'!$E$476&lt;&gt;"",'Reconciliation report'!$E$473=RefData!$B$112),'All Statement of strategy (D)'!$B1648&amp;$C1648,"")</f>
        <v/>
      </c>
      <c r="F1648" s="585" t="str">
        <f ca="1">IF(AND('Reconciliation report'!$E$476&gt;=5,'Reconciliation report'!$E$476&lt;&gt;"",'Reconciliation report'!$E$473=RefData!$B$112),'All Statement of strategy (D)'!$B1648&amp;$C1648,"")</f>
        <v/>
      </c>
      <c r="G1648" s="585" t="str">
        <f>""</f>
        <v/>
      </c>
      <c r="H1648" s="585" t="str">
        <f>""</f>
        <v/>
      </c>
      <c r="I1648" s="595" t="str">
        <f ca="1">IF($C$1=RefData!$B$418,'All Statement of strategy (D)'!$E1648,IF('All Statement of strategy (D)'!$C$1=RefData!$B$419,'All Statement of strategy (D)'!$F1648,IF('All Statement of strategy (D)'!$C$1=RefData!$B$420,'All Statement of strategy (D)'!$G1648,IF('All Statement of strategy (D)'!$C$1=RefData!$B$421,'All Statement of strategy (D)'!$H1648," "))))</f>
        <v xml:space="preserve"> </v>
      </c>
    </row>
    <row r="1649" spans="1:9">
      <c r="A1649" s="584" t="s">
        <v>2705</v>
      </c>
      <c r="B1649" s="594" t="str">
        <f ca="1">IF('Reconciliation report'!$E$869=RefData!$B$159,LEFT('Reconciliation report'!$E$870,1000),"")</f>
        <v/>
      </c>
      <c r="E1649" s="585" t="str">
        <f ca="1">IF(AND('Reconciliation report'!$E$476&gt;=5,'Reconciliation report'!$E$476&lt;&gt;"",'Reconciliation report'!$E$473=RefData!$B$112),'All Statement of strategy (D)'!$B1649&amp;$C1649,"")</f>
        <v/>
      </c>
      <c r="F1649" s="585" t="str">
        <f ca="1">IF(AND('Reconciliation report'!$E$476&gt;=5,'Reconciliation report'!$E$476&lt;&gt;"",'Reconciliation report'!$E$473=RefData!$B$112),'All Statement of strategy (D)'!$B1649&amp;$C1649,"")</f>
        <v/>
      </c>
      <c r="G1649" s="585" t="str">
        <f>""</f>
        <v/>
      </c>
      <c r="H1649" s="585" t="str">
        <f>""</f>
        <v/>
      </c>
      <c r="I1649" s="595" t="str">
        <f ca="1">IF($C$1=RefData!$B$418,'All Statement of strategy (D)'!$E1649,IF('All Statement of strategy (D)'!$C$1=RefData!$B$419,'All Statement of strategy (D)'!$F1649,IF('All Statement of strategy (D)'!$C$1=RefData!$B$420,'All Statement of strategy (D)'!$G1649,IF('All Statement of strategy (D)'!$C$1=RefData!$B$421,'All Statement of strategy (D)'!$H1649," "))))</f>
        <v xml:space="preserve"> </v>
      </c>
    </row>
    <row r="1650" spans="1:9">
      <c r="A1650" s="584" t="s">
        <v>2705</v>
      </c>
      <c r="B1650" s="594" t="str">
        <f ca="1">IF('Reconciliation report'!$E$869=RefData!$B$159,MID('Reconciliation report'!$E$870,1001,1000),"")</f>
        <v/>
      </c>
      <c r="E1650" s="585" t="str">
        <f ca="1">IF(AND('Reconciliation report'!$E$476&gt;=5,'Reconciliation report'!$E$476&lt;&gt;"",'Reconciliation report'!$E$473=RefData!$B$112),'All Statement of strategy (D)'!$B1650&amp;$C1650,"")</f>
        <v/>
      </c>
      <c r="F1650" s="585" t="str">
        <f ca="1">IF(AND('Reconciliation report'!$E$476&gt;=5,'Reconciliation report'!$E$476&lt;&gt;"",'Reconciliation report'!$E$473=RefData!$B$112),'All Statement of strategy (D)'!$B1650&amp;$C1650,"")</f>
        <v/>
      </c>
      <c r="G1650" s="585" t="str">
        <f>""</f>
        <v/>
      </c>
      <c r="H1650" s="585" t="str">
        <f>""</f>
        <v/>
      </c>
      <c r="I1650" s="595" t="str">
        <f ca="1">IF($C$1=RefData!$B$418,'All Statement of strategy (D)'!$E1650,IF('All Statement of strategy (D)'!$C$1=RefData!$B$419,'All Statement of strategy (D)'!$F1650,IF('All Statement of strategy (D)'!$C$1=RefData!$B$420,'All Statement of strategy (D)'!$G1650,IF('All Statement of strategy (D)'!$C$1=RefData!$B$421,'All Statement of strategy (D)'!$H1650," "))))</f>
        <v xml:space="preserve"> </v>
      </c>
    </row>
    <row r="1651" spans="1:9">
      <c r="A1651" s="584" t="s">
        <v>2705</v>
      </c>
      <c r="B1651" s="594" t="str">
        <f ca="1">IF('Reconciliation report'!$E$869=RefData!$B$159,MID('Reconciliation report'!$E$870,2001,1000),"")</f>
        <v/>
      </c>
      <c r="E1651" s="585" t="str">
        <f ca="1">IF(AND('Reconciliation report'!$E$476&gt;=5,'Reconciliation report'!$E$476&lt;&gt;"",'Reconciliation report'!$E$473=RefData!$B$112),'All Statement of strategy (D)'!$B1651&amp;$C1651,"")</f>
        <v/>
      </c>
      <c r="F1651" s="585" t="str">
        <f ca="1">IF(AND('Reconciliation report'!$E$476&gt;=5,'Reconciliation report'!$E$476&lt;&gt;"",'Reconciliation report'!$E$473=RefData!$B$112),'All Statement of strategy (D)'!$B1651&amp;$C1651,"")</f>
        <v/>
      </c>
      <c r="G1651" s="585" t="str">
        <f>""</f>
        <v/>
      </c>
      <c r="H1651" s="585" t="str">
        <f>""</f>
        <v/>
      </c>
      <c r="I1651" s="595" t="str">
        <f ca="1">IF($C$1=RefData!$B$418,'All Statement of strategy (D)'!$E1651,IF('All Statement of strategy (D)'!$C$1=RefData!$B$419,'All Statement of strategy (D)'!$F1651,IF('All Statement of strategy (D)'!$C$1=RefData!$B$420,'All Statement of strategy (D)'!$G1651,IF('All Statement of strategy (D)'!$C$1=RefData!$B$421,'All Statement of strategy (D)'!$H1651," "))))</f>
        <v xml:space="preserve"> </v>
      </c>
    </row>
    <row r="1652" spans="1:9">
      <c r="A1652" s="584" t="s">
        <v>2705</v>
      </c>
      <c r="B1652" s="594" t="str">
        <f ca="1">IF('Reconciliation report'!$E$869=RefData!$B$159,MID('Reconciliation report'!$E$870,3001,1000),"")</f>
        <v/>
      </c>
      <c r="E1652" s="585" t="str">
        <f ca="1">IF(AND('Reconciliation report'!$E$476&gt;=5,'Reconciliation report'!$E$476&lt;&gt;"",'Reconciliation report'!$E$473=RefData!$B$112),'All Statement of strategy (D)'!$B1652&amp;$C1652,"")</f>
        <v/>
      </c>
      <c r="F1652" s="585" t="str">
        <f ca="1">IF(AND('Reconciliation report'!$E$476&gt;=5,'Reconciliation report'!$E$476&lt;&gt;"",'Reconciliation report'!$E$473=RefData!$B$112),'All Statement of strategy (D)'!$B1652&amp;$C1652,"")</f>
        <v/>
      </c>
      <c r="G1652" s="585" t="str">
        <f>""</f>
        <v/>
      </c>
      <c r="H1652" s="585" t="str">
        <f>""</f>
        <v/>
      </c>
      <c r="I1652" s="595" t="str">
        <f ca="1">IF($C$1=RefData!$B$418,'All Statement of strategy (D)'!$E1652,IF('All Statement of strategy (D)'!$C$1=RefData!$B$419,'All Statement of strategy (D)'!$F1652,IF('All Statement of strategy (D)'!$C$1=RefData!$B$420,'All Statement of strategy (D)'!$G1652,IF('All Statement of strategy (D)'!$C$1=RefData!$B$421,'All Statement of strategy (D)'!$H1652," "))))</f>
        <v xml:space="preserve"> </v>
      </c>
    </row>
    <row r="1653" spans="1:9">
      <c r="B1653" s="594" t="s">
        <v>2417</v>
      </c>
      <c r="E1653" s="585" t="str">
        <f ca="1">IF(AND('Reconciliation report'!$E$476&gt;=5,'Reconciliation report'!$E$476&lt;&gt;"",'Reconciliation report'!$E$473=RefData!$B$112),'All Statement of strategy (D)'!$B1653&amp;$C1653,"")</f>
        <v/>
      </c>
      <c r="F1653" s="585" t="str">
        <f ca="1">IF(AND('Reconciliation report'!$E$476&gt;=5,'Reconciliation report'!$E$476&lt;&gt;"",'Reconciliation report'!$E$473=RefData!$B$112),'All Statement of strategy (D)'!$B1653&amp;$C1653,"")</f>
        <v/>
      </c>
      <c r="G1653" s="585" t="str">
        <f>""</f>
        <v/>
      </c>
      <c r="H1653" s="585" t="str">
        <f>""</f>
        <v/>
      </c>
      <c r="I1653" s="595" t="str">
        <f ca="1">IF($C$1=RefData!$B$418,'All Statement of strategy (D)'!$E1653,IF('All Statement of strategy (D)'!$C$1=RefData!$B$419,'All Statement of strategy (D)'!$F1653,IF('All Statement of strategy (D)'!$C$1=RefData!$B$420,'All Statement of strategy (D)'!$G1653,IF('All Statement of strategy (D)'!$C$1=RefData!$B$421,'All Statement of strategy (D)'!$H1653," "))))</f>
        <v xml:space="preserve"> </v>
      </c>
    </row>
    <row r="1654" spans="1:9">
      <c r="A1654" s="584" t="s">
        <v>2706</v>
      </c>
      <c r="B1654" s="594" t="str">
        <f ca="1">B1653&amp;LEFT('Reconciliation report'!$E$871,1000)</f>
        <v xml:space="preserve">Triggers for termination: </v>
      </c>
      <c r="E1654" s="585" t="str">
        <f ca="1">IF(AND('Reconciliation report'!$E$476&gt;=5,'Reconciliation report'!$E$476&lt;&gt;"",'Reconciliation report'!$E$473=RefData!$B$112),'All Statement of strategy (D)'!$B1654&amp;$C1654,"")</f>
        <v/>
      </c>
      <c r="F1654" s="585" t="str">
        <f ca="1">IF(AND('Reconciliation report'!$E$476&gt;=5,'Reconciliation report'!$E$476&lt;&gt;"",'Reconciliation report'!$E$473=RefData!$B$112),'All Statement of strategy (D)'!$B1654&amp;$C1654,"")</f>
        <v/>
      </c>
      <c r="G1654" s="585" t="str">
        <f>""</f>
        <v/>
      </c>
      <c r="H1654" s="585" t="str">
        <f>""</f>
        <v/>
      </c>
      <c r="I1654" s="595" t="str">
        <f ca="1">IF($C$1=RefData!$B$418,'All Statement of strategy (D)'!$E1654,IF('All Statement of strategy (D)'!$C$1=RefData!$B$419,'All Statement of strategy (D)'!$F1654,IF('All Statement of strategy (D)'!$C$1=RefData!$B$420,'All Statement of strategy (D)'!$G1654,IF('All Statement of strategy (D)'!$C$1=RefData!$B$421,'All Statement of strategy (D)'!$H1654," "))))</f>
        <v xml:space="preserve"> </v>
      </c>
    </row>
    <row r="1655" spans="1:9">
      <c r="A1655" s="584" t="s">
        <v>2706</v>
      </c>
      <c r="B1655" s="594" t="str">
        <f ca="1">MID('Reconciliation report'!$E$871,1001,1000)</f>
        <v/>
      </c>
      <c r="E1655" s="585" t="str">
        <f ca="1">IF(AND('Reconciliation report'!$E$476&gt;=5,'Reconciliation report'!$E$476&lt;&gt;"",'Reconciliation report'!$E$473=RefData!$B$112),'All Statement of strategy (D)'!$B1655&amp;$C1655,"")</f>
        <v/>
      </c>
      <c r="F1655" s="585" t="str">
        <f ca="1">IF(AND('Reconciliation report'!$E$476&gt;=5,'Reconciliation report'!$E$476&lt;&gt;"",'Reconciliation report'!$E$473=RefData!$B$112),'All Statement of strategy (D)'!$B1655&amp;$C1655,"")</f>
        <v/>
      </c>
      <c r="G1655" s="585" t="str">
        <f>""</f>
        <v/>
      </c>
      <c r="H1655" s="585" t="str">
        <f>""</f>
        <v/>
      </c>
      <c r="I1655" s="595" t="str">
        <f ca="1">IF($C$1=RefData!$B$418,'All Statement of strategy (D)'!$E1655,IF('All Statement of strategy (D)'!$C$1=RefData!$B$419,'All Statement of strategy (D)'!$F1655,IF('All Statement of strategy (D)'!$C$1=RefData!$B$420,'All Statement of strategy (D)'!$G1655,IF('All Statement of strategy (D)'!$C$1=RefData!$B$421,'All Statement of strategy (D)'!$H1655," "))))</f>
        <v xml:space="preserve"> </v>
      </c>
    </row>
    <row r="1656" spans="1:9">
      <c r="A1656" s="584" t="s">
        <v>2706</v>
      </c>
      <c r="B1656" s="594" t="str">
        <f ca="1">MID('Reconciliation report'!$E$871,2001,1000)</f>
        <v/>
      </c>
      <c r="E1656" s="585" t="str">
        <f ca="1">IF(AND('Reconciliation report'!$E$476&gt;=5,'Reconciliation report'!$E$476&lt;&gt;"",'Reconciliation report'!$E$473=RefData!$B$112),'All Statement of strategy (D)'!$B1656&amp;$C1656,"")</f>
        <v/>
      </c>
      <c r="F1656" s="585" t="str">
        <f ca="1">IF(AND('Reconciliation report'!$E$476&gt;=5,'Reconciliation report'!$E$476&lt;&gt;"",'Reconciliation report'!$E$473=RefData!$B$112),'All Statement of strategy (D)'!$B1656&amp;$C1656,"")</f>
        <v/>
      </c>
      <c r="G1656" s="585" t="str">
        <f>""</f>
        <v/>
      </c>
      <c r="H1656" s="585" t="str">
        <f>""</f>
        <v/>
      </c>
      <c r="I1656" s="595" t="str">
        <f ca="1">IF($C$1=RefData!$B$418,'All Statement of strategy (D)'!$E1656,IF('All Statement of strategy (D)'!$C$1=RefData!$B$419,'All Statement of strategy (D)'!$F1656,IF('All Statement of strategy (D)'!$C$1=RefData!$B$420,'All Statement of strategy (D)'!$G1656,IF('All Statement of strategy (D)'!$C$1=RefData!$B$421,'All Statement of strategy (D)'!$H1656," "))))</f>
        <v xml:space="preserve"> </v>
      </c>
    </row>
    <row r="1657" spans="1:9" ht="16" thickBot="1">
      <c r="A1657" s="584" t="s">
        <v>2706</v>
      </c>
      <c r="B1657" s="597" t="str">
        <f ca="1">MID('Reconciliation report'!$E$871,3001,1000)</f>
        <v/>
      </c>
      <c r="C1657" s="598"/>
      <c r="D1657" s="598"/>
      <c r="E1657" s="598" t="str">
        <f ca="1">IF(AND('Reconciliation report'!$E$476&gt;=5,'Reconciliation report'!$E$476&lt;&gt;"",'Reconciliation report'!$E$473=RefData!$B$112),'All Statement of strategy (D)'!$B1657&amp;$C1657,"")</f>
        <v/>
      </c>
      <c r="F1657" s="598" t="str">
        <f ca="1">IF(AND('Reconciliation report'!$E$476&gt;=5,'Reconciliation report'!$E$476&lt;&gt;"",'Reconciliation report'!$E$473=RefData!$B$112),'All Statement of strategy (D)'!$B1657&amp;$C1657,"")</f>
        <v/>
      </c>
      <c r="G1657" s="598" t="str">
        <f>""</f>
        <v/>
      </c>
      <c r="H1657" s="598" t="str">
        <f>""</f>
        <v/>
      </c>
      <c r="I1657" s="599" t="str">
        <f ca="1">IF($C$1=RefData!$B$418,'All Statement of strategy (D)'!$E1657,IF('All Statement of strategy (D)'!$C$1=RefData!$B$419,'All Statement of strategy (D)'!$F1657,IF('All Statement of strategy (D)'!$C$1=RefData!$B$420,'All Statement of strategy (D)'!$G1657,IF('All Statement of strategy (D)'!$C$1=RefData!$B$421,'All Statement of strategy (D)'!$H1657," "))))</f>
        <v xml:space="preserve"> </v>
      </c>
    </row>
    <row r="1658" spans="1:9">
      <c r="B1658" s="594" t="s">
        <v>2707</v>
      </c>
      <c r="C1658" s="585" t="s">
        <v>1399</v>
      </c>
      <c r="E1658" s="585" t="str">
        <f>$B1658&amp;$C1658</f>
        <v>Appendix 4: Asset-backed contributions</v>
      </c>
      <c r="F1658" s="585" t="str">
        <f>$B1658&amp;$C1658</f>
        <v>Appendix 4: Asset-backed contributions</v>
      </c>
      <c r="G1658" s="585" t="str">
        <f>$B1658&amp;$C1658</f>
        <v>Appendix 4: Asset-backed contributions</v>
      </c>
      <c r="H1658" s="585" t="str">
        <f>$B1658&amp;$C1658</f>
        <v>Appendix 4: Asset-backed contributions</v>
      </c>
      <c r="I1658" s="595" t="str">
        <f ca="1">IF($C$1=RefData!$B$418,'All Statement of strategy (D)'!$E1658,IF('All Statement of strategy (D)'!$C$1=RefData!$B$419,'All Statement of strategy (D)'!$F1658,IF('All Statement of strategy (D)'!$C$1=RefData!$B$420,'All Statement of strategy (D)'!$G1658,IF('All Statement of strategy (D)'!$C$1=RefData!$B$421,'All Statement of strategy (D)'!$H1658," "))))</f>
        <v xml:space="preserve"> </v>
      </c>
    </row>
    <row r="1659" spans="1:9" ht="16" thickBot="1">
      <c r="B1659" s="585" t="str">
        <f>RefData!$B$430</f>
        <v>Based on the information provided, Appendix 4 is not required.</v>
      </c>
      <c r="E1659" s="585" t="str">
        <f ca="1">IF('Reconciliation report'!$E$872=0,'All Statement of strategy (D)'!$B1659&amp;'All Statement of strategy (D)'!$C1659,"")</f>
        <v/>
      </c>
      <c r="F1659" s="585" t="str">
        <f ca="1">IF('Reconciliation report'!$E$872=0,'All Statement of strategy (D)'!$B1659&amp;'All Statement of strategy (D)'!$C1659,"")</f>
        <v/>
      </c>
      <c r="G1659" s="585" t="str">
        <f ca="1">IF('Reconciliation report'!$E$872=0,'All Statement of strategy (D)'!$B1659&amp;'All Statement of strategy (D)'!$C1659,"")</f>
        <v/>
      </c>
      <c r="H1659" s="585" t="str">
        <f ca="1">IF('Reconciliation report'!$E$872=0,'All Statement of strategy (D)'!$B1659&amp;'All Statement of strategy (D)'!$C1659,"")</f>
        <v/>
      </c>
      <c r="I1659" s="595" t="str">
        <f ca="1">IF($C$1=RefData!$B$418,'All Statement of strategy (D)'!$E1659,IF('All Statement of strategy (D)'!$C$1=RefData!$B$419,'All Statement of strategy (D)'!$F1659,IF('All Statement of strategy (D)'!$C$1=RefData!$B$420,'All Statement of strategy (D)'!$G1659,IF('All Statement of strategy (D)'!$C$1=RefData!$B$421,'All Statement of strategy (D)'!$H1659," "))))</f>
        <v xml:space="preserve"> </v>
      </c>
    </row>
    <row r="1660" spans="1:9" ht="16" thickBot="1">
      <c r="B1660" s="626" t="s">
        <v>2708</v>
      </c>
      <c r="C1660" s="608"/>
      <c r="D1660" s="627"/>
      <c r="E1660" s="591" t="str">
        <f ca="1">IF('Reconciliation report'!$E$872&gt;=1,'All Statement of strategy (D)'!$B1660&amp;'All Statement of strategy (D)'!$C1660,"")</f>
        <v>ABC 1</v>
      </c>
      <c r="F1660" s="591" t="str">
        <f ca="1">IF('Reconciliation report'!$E$872&gt;=1,'All Statement of strategy (D)'!$B1660&amp;'All Statement of strategy (D)'!$C1660,"")</f>
        <v>ABC 1</v>
      </c>
      <c r="G1660" s="591" t="str">
        <f ca="1">IF('Reconciliation report'!$E$872&gt;=1,'All Statement of strategy (D)'!$B1660&amp;'All Statement of strategy (D)'!$C1660,"")</f>
        <v>ABC 1</v>
      </c>
      <c r="H1660" s="591" t="str">
        <f ca="1">IF('Reconciliation report'!$E$872&gt;=1,'All Statement of strategy (D)'!$B1660&amp;'All Statement of strategy (D)'!$C1660,"")</f>
        <v>ABC 1</v>
      </c>
      <c r="I1660" s="592" t="str">
        <f ca="1">IF($C$1=RefData!$B$418,'All Statement of strategy (D)'!$E1660,IF('All Statement of strategy (D)'!$C$1=RefData!$B$419,'All Statement of strategy (D)'!$F1660,IF('All Statement of strategy (D)'!$C$1=RefData!$B$420,'All Statement of strategy (D)'!$G1660,IF('All Statement of strategy (D)'!$C$1=RefData!$B$421,'All Statement of strategy (D)'!$H1660," "))))</f>
        <v xml:space="preserve"> </v>
      </c>
    </row>
    <row r="1661" spans="1:9">
      <c r="A1661" s="604" t="s">
        <v>2709</v>
      </c>
      <c r="B1661" s="590" t="str">
        <f ca="1">IF('Reconciliation report'!$E$874=RefData!$B$186,"","Type of security: ")</f>
        <v xml:space="preserve">Type of security: </v>
      </c>
      <c r="C1661" s="591" t="str">
        <f ca="1">IF('Reconciliation report'!$E$874=RefData!$B$186,"",'Reconciliation report'!$E$874)</f>
        <v/>
      </c>
      <c r="D1661" s="628"/>
      <c r="E1661" s="591" t="str">
        <f ca="1">IF('Reconciliation report'!$E$872&gt;=1,'All Statement of strategy (D)'!$B1661&amp;'All Statement of strategy (D)'!$C1661,"")</f>
        <v xml:space="preserve">Type of security: </v>
      </c>
      <c r="F1661" s="591" t="str">
        <f ca="1">IF('Reconciliation report'!$E$872&gt;=1,'All Statement of strategy (D)'!$B1661&amp;'All Statement of strategy (D)'!$C1661,"")</f>
        <v xml:space="preserve">Type of security: </v>
      </c>
      <c r="G1661" s="591" t="str">
        <f ca="1">IF('Reconciliation report'!$E$872&gt;=1,'All Statement of strategy (D)'!$B1661&amp;'All Statement of strategy (D)'!$C1661,"")</f>
        <v xml:space="preserve">Type of security: </v>
      </c>
      <c r="H1661" s="591" t="str">
        <f ca="1">IF('Reconciliation report'!$E$872&gt;=1,'All Statement of strategy (D)'!$B1661&amp;'All Statement of strategy (D)'!$C1661,"")</f>
        <v xml:space="preserve">Type of security: </v>
      </c>
      <c r="I1661" s="592" t="str">
        <f ca="1">IF($C$1=RefData!$B$418,'All Statement of strategy (D)'!$E1661,IF('All Statement of strategy (D)'!$C$1=RefData!$B$419,'All Statement of strategy (D)'!$F1661,IF('All Statement of strategy (D)'!$C$1=RefData!$B$420,'All Statement of strategy (D)'!$G1661,IF('All Statement of strategy (D)'!$C$1=RefData!$B$421,'All Statement of strategy (D)'!$H1661," "))))</f>
        <v xml:space="preserve"> </v>
      </c>
    </row>
    <row r="1662" spans="1:9">
      <c r="A1662" s="584" t="s">
        <v>2710</v>
      </c>
      <c r="B1662" s="594" t="str">
        <f ca="1">IF('Reconciliation report'!$E$874=RefData!$B$186,"Type of security: ","Description of underlying asset: ")</f>
        <v xml:space="preserve">Description of underlying asset: </v>
      </c>
      <c r="C1662" s="585" t="str">
        <f ca="1">LEFT('Reconciliation report'!$E$875,1000)</f>
        <v/>
      </c>
      <c r="D1662" s="624"/>
      <c r="E1662" s="585" t="str">
        <f ca="1">IF('Reconciliation report'!$E$872&gt;=1,'All Statement of strategy (D)'!$B1662&amp;'All Statement of strategy (D)'!$C1662,"")</f>
        <v xml:space="preserve">Description of underlying asset: </v>
      </c>
      <c r="F1662" s="585" t="str">
        <f ca="1">IF('Reconciliation report'!$E$872&gt;=1,'All Statement of strategy (D)'!$B1662&amp;'All Statement of strategy (D)'!$C1662,"")</f>
        <v xml:space="preserve">Description of underlying asset: </v>
      </c>
      <c r="G1662" s="585" t="str">
        <f ca="1">IF('Reconciliation report'!$E$872&gt;=1,'All Statement of strategy (D)'!$B1662&amp;'All Statement of strategy (D)'!$C1662,"")</f>
        <v xml:space="preserve">Description of underlying asset: </v>
      </c>
      <c r="H1662" s="585" t="str">
        <f ca="1">IF('Reconciliation report'!$E$872&gt;=1,'All Statement of strategy (D)'!$B1662&amp;'All Statement of strategy (D)'!$C1662,"")</f>
        <v xml:space="preserve">Description of underlying asset: </v>
      </c>
      <c r="I1662" s="595" t="str">
        <f ca="1">IF($C$1=RefData!$B$418,'All Statement of strategy (D)'!$E1662,IF('All Statement of strategy (D)'!$C$1=RefData!$B$419,'All Statement of strategy (D)'!$F1662,IF('All Statement of strategy (D)'!$C$1=RefData!$B$420,'All Statement of strategy (D)'!$G1662,IF('All Statement of strategy (D)'!$C$1=RefData!$B$421,'All Statement of strategy (D)'!$H1662," "))))</f>
        <v xml:space="preserve"> </v>
      </c>
    </row>
    <row r="1663" spans="1:9">
      <c r="A1663" s="584" t="s">
        <v>2710</v>
      </c>
      <c r="B1663" s="594" t="str">
        <f ca="1">MID('Reconciliation report'!$E$875,1001,1000)</f>
        <v/>
      </c>
      <c r="D1663" s="624"/>
      <c r="E1663" s="585" t="str">
        <f ca="1">IF('Reconciliation report'!$E$872&gt;=1,'All Statement of strategy (D)'!$B1663&amp;'All Statement of strategy (D)'!$C1663,"")</f>
        <v/>
      </c>
      <c r="F1663" s="585" t="str">
        <f ca="1">IF('Reconciliation report'!$E$872&gt;=1,'All Statement of strategy (D)'!$B1663&amp;'All Statement of strategy (D)'!$C1663,"")</f>
        <v/>
      </c>
      <c r="G1663" s="585" t="str">
        <f ca="1">IF('Reconciliation report'!$E$872&gt;=1,'All Statement of strategy (D)'!$B1663&amp;'All Statement of strategy (D)'!$C1663,"")</f>
        <v/>
      </c>
      <c r="H1663" s="585" t="str">
        <f ca="1">IF('Reconciliation report'!$E$872&gt;=1,'All Statement of strategy (D)'!$B1663&amp;'All Statement of strategy (D)'!$C1663,"")</f>
        <v/>
      </c>
      <c r="I1663" s="595" t="str">
        <f ca="1">IF($C$1=RefData!$B$418,'All Statement of strategy (D)'!$E1663,IF('All Statement of strategy (D)'!$C$1=RefData!$B$419,'All Statement of strategy (D)'!$F1663,IF('All Statement of strategy (D)'!$C$1=RefData!$B$420,'All Statement of strategy (D)'!$G1663,IF('All Statement of strategy (D)'!$C$1=RefData!$B$421,'All Statement of strategy (D)'!$H1663," "))))</f>
        <v xml:space="preserve"> </v>
      </c>
    </row>
    <row r="1664" spans="1:9">
      <c r="A1664" s="584" t="s">
        <v>2710</v>
      </c>
      <c r="B1664" s="594" t="str">
        <f ca="1">MID('Reconciliation report'!$E$875,2001,1000)</f>
        <v/>
      </c>
      <c r="D1664" s="624"/>
      <c r="E1664" s="585" t="str">
        <f ca="1">IF('Reconciliation report'!$E$872&gt;=1,'All Statement of strategy (D)'!$B1664&amp;'All Statement of strategy (D)'!$C1664,"")</f>
        <v/>
      </c>
      <c r="F1664" s="585" t="str">
        <f ca="1">IF('Reconciliation report'!$E$872&gt;=1,'All Statement of strategy (D)'!$B1664&amp;'All Statement of strategy (D)'!$C1664,"")</f>
        <v/>
      </c>
      <c r="G1664" s="585" t="str">
        <f ca="1">IF('Reconciliation report'!$E$872&gt;=1,'All Statement of strategy (D)'!$B1664&amp;'All Statement of strategy (D)'!$C1664,"")</f>
        <v/>
      </c>
      <c r="H1664" s="585" t="str">
        <f ca="1">IF('Reconciliation report'!$E$872&gt;=1,'All Statement of strategy (D)'!$B1664&amp;'All Statement of strategy (D)'!$C1664,"")</f>
        <v/>
      </c>
      <c r="I1664" s="595" t="str">
        <f ca="1">IF($C$1=RefData!$B$418,'All Statement of strategy (D)'!$E1664,IF('All Statement of strategy (D)'!$C$1=RefData!$B$419,'All Statement of strategy (D)'!$F1664,IF('All Statement of strategy (D)'!$C$1=RefData!$B$420,'All Statement of strategy (D)'!$G1664,IF('All Statement of strategy (D)'!$C$1=RefData!$B$421,'All Statement of strategy (D)'!$H1664," "))))</f>
        <v xml:space="preserve"> </v>
      </c>
    </row>
    <row r="1665" spans="1:9">
      <c r="A1665" s="584" t="s">
        <v>2710</v>
      </c>
      <c r="B1665" s="594" t="str">
        <f ca="1">MID('Reconciliation report'!$E$875,3001,1000)</f>
        <v/>
      </c>
      <c r="D1665" s="624"/>
      <c r="E1665" s="585" t="str">
        <f ca="1">IF('Reconciliation report'!$E$872&gt;=1,'All Statement of strategy (D)'!$B1665&amp;'All Statement of strategy (D)'!$C1665,"")</f>
        <v/>
      </c>
      <c r="F1665" s="585" t="str">
        <f ca="1">IF('Reconciliation report'!$E$872&gt;=1,'All Statement of strategy (D)'!$B1665&amp;'All Statement of strategy (D)'!$C1665,"")</f>
        <v/>
      </c>
      <c r="G1665" s="585" t="str">
        <f ca="1">IF('Reconciliation report'!$E$872&gt;=1,'All Statement of strategy (D)'!$B1665&amp;'All Statement of strategy (D)'!$C1665,"")</f>
        <v/>
      </c>
      <c r="H1665" s="585" t="str">
        <f ca="1">IF('Reconciliation report'!$E$872&gt;=1,'All Statement of strategy (D)'!$B1665&amp;'All Statement of strategy (D)'!$C1665,"")</f>
        <v/>
      </c>
      <c r="I1665" s="595" t="str">
        <f ca="1">IF($C$1=RefData!$B$418,'All Statement of strategy (D)'!$E1665,IF('All Statement of strategy (D)'!$C$1=RefData!$B$419,'All Statement of strategy (D)'!$F1665,IF('All Statement of strategy (D)'!$C$1=RefData!$B$420,'All Statement of strategy (D)'!$G1665,IF('All Statement of strategy (D)'!$C$1=RefData!$B$421,'All Statement of strategy (D)'!$H1665," "))))</f>
        <v xml:space="preserve"> </v>
      </c>
    </row>
    <row r="1666" spans="1:9">
      <c r="A1666" s="604"/>
      <c r="B1666" s="594" t="s">
        <v>2532</v>
      </c>
      <c r="C1666" s="615"/>
      <c r="D1666" s="624"/>
      <c r="E1666" s="585" t="str">
        <f ca="1">IF('Reconciliation report'!$E$872&gt;=1,'All Statement of strategy (D)'!$B1666&amp;'All Statement of strategy (D)'!$C1666,"")</f>
        <v xml:space="preserve">Type of maturity: </v>
      </c>
      <c r="F1666" s="585" t="str">
        <f ca="1">IF('Reconciliation report'!$E$872&gt;=1,'All Statement of strategy (D)'!$B1666&amp;'All Statement of strategy (D)'!$C1666,"")</f>
        <v xml:space="preserve">Type of maturity: </v>
      </c>
      <c r="G1666" s="585" t="str">
        <f ca="1">IF('Reconciliation report'!$E$872&gt;=1,'All Statement of strategy (D)'!$B1666&amp;'All Statement of strategy (D)'!$C1666,"")</f>
        <v xml:space="preserve">Type of maturity: </v>
      </c>
      <c r="H1666" s="585" t="str">
        <f ca="1">IF('Reconciliation report'!$E$872&gt;=1,'All Statement of strategy (D)'!$B1666&amp;'All Statement of strategy (D)'!$C1666,"")</f>
        <v xml:space="preserve">Type of maturity: </v>
      </c>
      <c r="I1666" s="595" t="str">
        <f ca="1">IF($C$1=RefData!$B$418,'All Statement of strategy (D)'!$E1666,IF('All Statement of strategy (D)'!$C$1=RefData!$B$419,'All Statement of strategy (D)'!$F1666,IF('All Statement of strategy (D)'!$C$1=RefData!$B$420,'All Statement of strategy (D)'!$G1666,IF('All Statement of strategy (D)'!$C$1=RefData!$B$421,'All Statement of strategy (D)'!$H1666," "))))</f>
        <v xml:space="preserve"> </v>
      </c>
    </row>
    <row r="1667" spans="1:9">
      <c r="A1667" s="584" t="s">
        <v>2711</v>
      </c>
      <c r="B1667" s="594" t="str">
        <f ca="1">IF('Reconciliation report'!$E$876=RefData!$B$187,'Reconciliation report'!$E$876,"")</f>
        <v/>
      </c>
      <c r="C1667" s="615"/>
      <c r="D1667" s="624"/>
      <c r="E1667" s="585" t="str">
        <f ca="1">IF('Reconciliation report'!$E$872&gt;=1,'All Statement of strategy (D)'!$B1667&amp;'All Statement of strategy (D)'!$C1667,"")</f>
        <v/>
      </c>
      <c r="F1667" s="585" t="str">
        <f ca="1">IF('Reconciliation report'!$E$872&gt;=1,'All Statement of strategy (D)'!$B1667&amp;'All Statement of strategy (D)'!$C1667,"")</f>
        <v/>
      </c>
      <c r="G1667" s="585" t="str">
        <f ca="1">IF('Reconciliation report'!$E$872&gt;=1,'All Statement of strategy (D)'!$B1667&amp;'All Statement of strategy (D)'!$C1667,"")</f>
        <v/>
      </c>
      <c r="H1667" s="585" t="str">
        <f ca="1">IF('Reconciliation report'!$E$872&gt;=1,'All Statement of strategy (D)'!$B1667&amp;'All Statement of strategy (D)'!$C1667,"")</f>
        <v/>
      </c>
      <c r="I1667" s="595" t="str">
        <f ca="1">IF($C$1=RefData!$B$418,'All Statement of strategy (D)'!$E1667,IF('All Statement of strategy (D)'!$C$1=RefData!$B$419,'All Statement of strategy (D)'!$F1667,IF('All Statement of strategy (D)'!$C$1=RefData!$B$420,'All Statement of strategy (D)'!$G1667,IF('All Statement of strategy (D)'!$C$1=RefData!$B$421,'All Statement of strategy (D)'!$H1667," "))))</f>
        <v xml:space="preserve"> </v>
      </c>
    </row>
    <row r="1668" spans="1:9">
      <c r="A1668" s="584" t="s">
        <v>2712</v>
      </c>
      <c r="B1668" s="594" t="str">
        <f ca="1">IF('Reconciliation report'!$E$876=RefData!$B$188,"Fixed expiry with a maturity date of ","")</f>
        <v/>
      </c>
      <c r="C1668" s="615" t="str">
        <f ca="1">TEXT('Reconciliation report'!$E$877,RefData!$B$424)</f>
        <v/>
      </c>
      <c r="D1668" s="624"/>
      <c r="E1668" s="585" t="str">
        <f ca="1">IF('Reconciliation report'!$E$872&gt;=1,'All Statement of strategy (D)'!$B1668&amp;'All Statement of strategy (D)'!$C1668,"")</f>
        <v/>
      </c>
      <c r="F1668" s="585" t="str">
        <f ca="1">IF('Reconciliation report'!$E$872&gt;=1,'All Statement of strategy (D)'!$B1668&amp;'All Statement of strategy (D)'!$C1668,"")</f>
        <v/>
      </c>
      <c r="G1668" s="585" t="str">
        <f ca="1">IF('Reconciliation report'!$E$872&gt;=1,'All Statement of strategy (D)'!$B1668&amp;'All Statement of strategy (D)'!$C1668,"")</f>
        <v/>
      </c>
      <c r="H1668" s="585" t="str">
        <f ca="1">IF('Reconciliation report'!$E$872&gt;=1,'All Statement of strategy (D)'!$B1668&amp;'All Statement of strategy (D)'!$C1668,"")</f>
        <v/>
      </c>
      <c r="I1668" s="595" t="str">
        <f ca="1">IF($C$1=RefData!$B$418,'All Statement of strategy (D)'!$E1668,IF('All Statement of strategy (D)'!$C$1=RefData!$B$419,'All Statement of strategy (D)'!$F1668,IF('All Statement of strategy (D)'!$C$1=RefData!$B$420,'All Statement of strategy (D)'!$G1668,IF('All Statement of strategy (D)'!$C$1=RefData!$B$421,'All Statement of strategy (D)'!$H1668," "))))</f>
        <v xml:space="preserve"> </v>
      </c>
    </row>
    <row r="1669" spans="1:9">
      <c r="A1669" s="584" t="s">
        <v>2713</v>
      </c>
      <c r="B1669" s="594" t="str">
        <f ca="1">IF('Reconciliation report'!$E$876=RefData!$B$189,LEFT('Reconciliation report'!$E$878,1000),"")</f>
        <v/>
      </c>
      <c r="C1669" s="615"/>
      <c r="D1669" s="624"/>
      <c r="E1669" s="585" t="str">
        <f ca="1">IF('Reconciliation report'!$E$872&gt;=1,'All Statement of strategy (D)'!$B1669&amp;'All Statement of strategy (D)'!$C1669,"")</f>
        <v/>
      </c>
      <c r="F1669" s="585" t="str">
        <f ca="1">IF('Reconciliation report'!$E$872&gt;=1,'All Statement of strategy (D)'!$B1669&amp;'All Statement of strategy (D)'!$C1669,"")</f>
        <v/>
      </c>
      <c r="G1669" s="585" t="str">
        <f ca="1">IF('Reconciliation report'!$E$872&gt;=1,'All Statement of strategy (D)'!$B1669&amp;'All Statement of strategy (D)'!$C1669,"")</f>
        <v/>
      </c>
      <c r="H1669" s="585" t="str">
        <f ca="1">IF('Reconciliation report'!$E$872&gt;=1,'All Statement of strategy (D)'!$B1669&amp;'All Statement of strategy (D)'!$C1669,"")</f>
        <v/>
      </c>
      <c r="I1669" s="595" t="str">
        <f ca="1">IF($C$1=RefData!$B$418,'All Statement of strategy (D)'!$E1669,IF('All Statement of strategy (D)'!$C$1=RefData!$B$419,'All Statement of strategy (D)'!$F1669,IF('All Statement of strategy (D)'!$C$1=RefData!$B$420,'All Statement of strategy (D)'!$G1669,IF('All Statement of strategy (D)'!$C$1=RefData!$B$421,'All Statement of strategy (D)'!$H1669," "))))</f>
        <v xml:space="preserve"> </v>
      </c>
    </row>
    <row r="1670" spans="1:9">
      <c r="A1670" s="584" t="s">
        <v>2713</v>
      </c>
      <c r="B1670" s="594" t="str">
        <f ca="1">IF('Reconciliation report'!$E$876=RefData!$B$189,MID('Reconciliation report'!$E$878,1001,1000),"")</f>
        <v/>
      </c>
      <c r="C1670" s="615"/>
      <c r="D1670" s="624"/>
      <c r="E1670" s="585" t="str">
        <f ca="1">IF('Reconciliation report'!$E$872&gt;=1,'All Statement of strategy (D)'!$B1670&amp;'All Statement of strategy (D)'!$C1670,"")</f>
        <v/>
      </c>
      <c r="F1670" s="585" t="str">
        <f ca="1">IF('Reconciliation report'!$E$872&gt;=1,'All Statement of strategy (D)'!$B1670&amp;'All Statement of strategy (D)'!$C1670,"")</f>
        <v/>
      </c>
      <c r="G1670" s="585" t="str">
        <f ca="1">IF('Reconciliation report'!$E$872&gt;=1,'All Statement of strategy (D)'!$B1670&amp;'All Statement of strategy (D)'!$C1670,"")</f>
        <v/>
      </c>
      <c r="H1670" s="585" t="str">
        <f ca="1">IF('Reconciliation report'!$E$872&gt;=1,'All Statement of strategy (D)'!$B1670&amp;'All Statement of strategy (D)'!$C1670,"")</f>
        <v/>
      </c>
      <c r="I1670" s="595" t="str">
        <f ca="1">IF($C$1=RefData!$B$418,'All Statement of strategy (D)'!$E1670,IF('All Statement of strategy (D)'!$C$1=RefData!$B$419,'All Statement of strategy (D)'!$F1670,IF('All Statement of strategy (D)'!$C$1=RefData!$B$420,'All Statement of strategy (D)'!$G1670,IF('All Statement of strategy (D)'!$C$1=RefData!$B$421,'All Statement of strategy (D)'!$H1670," "))))</f>
        <v xml:space="preserve"> </v>
      </c>
    </row>
    <row r="1671" spans="1:9">
      <c r="A1671" s="584" t="s">
        <v>2713</v>
      </c>
      <c r="B1671" s="594" t="str">
        <f ca="1">IF('Reconciliation report'!$E$876=RefData!$B$189,MID('Reconciliation report'!$E$878,2001,1000),"")</f>
        <v/>
      </c>
      <c r="C1671" s="615"/>
      <c r="D1671" s="624"/>
      <c r="E1671" s="585" t="str">
        <f ca="1">IF('Reconciliation report'!$E$872&gt;=1,'All Statement of strategy (D)'!$B1671&amp;'All Statement of strategy (D)'!$C1671,"")</f>
        <v/>
      </c>
      <c r="F1671" s="585" t="str">
        <f ca="1">IF('Reconciliation report'!$E$872&gt;=1,'All Statement of strategy (D)'!$B1671&amp;'All Statement of strategy (D)'!$C1671,"")</f>
        <v/>
      </c>
      <c r="G1671" s="585" t="str">
        <f ca="1">IF('Reconciliation report'!$E$872&gt;=1,'All Statement of strategy (D)'!$B1671&amp;'All Statement of strategy (D)'!$C1671,"")</f>
        <v/>
      </c>
      <c r="H1671" s="585" t="str">
        <f ca="1">IF('Reconciliation report'!$E$872&gt;=1,'All Statement of strategy (D)'!$B1671&amp;'All Statement of strategy (D)'!$C1671,"")</f>
        <v/>
      </c>
      <c r="I1671" s="595" t="str">
        <f ca="1">IF($C$1=RefData!$B$418,'All Statement of strategy (D)'!$E1671,IF('All Statement of strategy (D)'!$C$1=RefData!$B$419,'All Statement of strategy (D)'!$F1671,IF('All Statement of strategy (D)'!$C$1=RefData!$B$420,'All Statement of strategy (D)'!$G1671,IF('All Statement of strategy (D)'!$C$1=RefData!$B$421,'All Statement of strategy (D)'!$H1671," "))))</f>
        <v xml:space="preserve"> </v>
      </c>
    </row>
    <row r="1672" spans="1:9">
      <c r="A1672" s="584" t="s">
        <v>2713</v>
      </c>
      <c r="B1672" s="594" t="str">
        <f ca="1">IF('Reconciliation report'!$E$876=RefData!$B$189,MID('Reconciliation report'!$E$878,3001,1000),"")</f>
        <v/>
      </c>
      <c r="C1672" s="615"/>
      <c r="D1672" s="624"/>
      <c r="E1672" s="585" t="str">
        <f ca="1">IF('Reconciliation report'!$E$872&gt;=1,'All Statement of strategy (D)'!$B1672&amp;'All Statement of strategy (D)'!$C1672,"")</f>
        <v/>
      </c>
      <c r="F1672" s="585" t="str">
        <f ca="1">IF('Reconciliation report'!$E$872&gt;=1,'All Statement of strategy (D)'!$B1672&amp;'All Statement of strategy (D)'!$C1672,"")</f>
        <v/>
      </c>
      <c r="G1672" s="585" t="str">
        <f ca="1">IF('Reconciliation report'!$E$872&gt;=1,'All Statement of strategy (D)'!$B1672&amp;'All Statement of strategy (D)'!$C1672,"")</f>
        <v/>
      </c>
      <c r="H1672" s="585" t="str">
        <f ca="1">IF('Reconciliation report'!$E$872&gt;=1,'All Statement of strategy (D)'!$B1672&amp;'All Statement of strategy (D)'!$C1672,"")</f>
        <v/>
      </c>
      <c r="I1672" s="595" t="str">
        <f ca="1">IF($C$1=RefData!$B$418,'All Statement of strategy (D)'!$E1672,IF('All Statement of strategy (D)'!$C$1=RefData!$B$419,'All Statement of strategy (D)'!$F1672,IF('All Statement of strategy (D)'!$C$1=RefData!$B$420,'All Statement of strategy (D)'!$G1672,IF('All Statement of strategy (D)'!$C$1=RefData!$B$421,'All Statement of strategy (D)'!$H1672," "))))</f>
        <v xml:space="preserve"> </v>
      </c>
    </row>
    <row r="1673" spans="1:9">
      <c r="A1673" s="584" t="s">
        <v>2714</v>
      </c>
      <c r="B1673" s="594" t="s">
        <v>2715</v>
      </c>
      <c r="C1673" s="585" t="str">
        <f ca="1">TEXT('Reconciliation report'!$E$879,RefData!$B$425)</f>
        <v/>
      </c>
      <c r="E1673" s="585" t="str">
        <f ca="1">IF('Reconciliation report'!$E$872&gt;=1,'All Statement of strategy (D)'!$B1673&amp;'All Statement of strategy (D)'!$C1673,"")</f>
        <v xml:space="preserve">Value of the scheme's interest in the ABC (net present value): </v>
      </c>
      <c r="F1673" s="585" t="str">
        <f ca="1">IF('Reconciliation report'!$E$872&gt;=1,'All Statement of strategy (D)'!$B1673&amp;'All Statement of strategy (D)'!$C1673,"")</f>
        <v xml:space="preserve">Value of the scheme's interest in the ABC (net present value): </v>
      </c>
      <c r="G1673" s="585" t="str">
        <f ca="1">IF('Reconciliation report'!$E$872&gt;=1,'All Statement of strategy (D)'!$B1673&amp;'All Statement of strategy (D)'!$C1673,"")</f>
        <v xml:space="preserve">Value of the scheme's interest in the ABC (net present value): </v>
      </c>
      <c r="H1673" s="585" t="str">
        <f ca="1">IF('Reconciliation report'!$E$872&gt;=1,'All Statement of strategy (D)'!$B1673&amp;'All Statement of strategy (D)'!$C1673,"")</f>
        <v xml:space="preserve">Value of the scheme's interest in the ABC (net present value): </v>
      </c>
      <c r="I1673" s="595" t="str">
        <f ca="1">IF($C$1=RefData!$B$418,'All Statement of strategy (D)'!$E1673,IF('All Statement of strategy (D)'!$C$1=RefData!$B$419,'All Statement of strategy (D)'!$F1673,IF('All Statement of strategy (D)'!$C$1=RefData!$B$420,'All Statement of strategy (D)'!$G1673,IF('All Statement of strategy (D)'!$C$1=RefData!$B$421,'All Statement of strategy (D)'!$H1673," "))))</f>
        <v xml:space="preserve"> </v>
      </c>
    </row>
    <row r="1674" spans="1:9">
      <c r="A1674" s="584" t="s">
        <v>2716</v>
      </c>
      <c r="B1674" s="594" t="s">
        <v>2717</v>
      </c>
      <c r="C1674" s="618" t="str">
        <f ca="1">TEXT('Reconciliation report'!$E$880,RefData!$B$424)</f>
        <v/>
      </c>
      <c r="E1674" s="585" t="str">
        <f ca="1">IF('Reconciliation report'!$E$872&gt;=1,'All Statement of strategy (D)'!$B1674&amp;'All Statement of strategy (D)'!$C1674,"")</f>
        <v xml:space="preserve">Date of net present value calculation: </v>
      </c>
      <c r="F1674" s="585" t="str">
        <f ca="1">IF('Reconciliation report'!$E$872&gt;=1,'All Statement of strategy (D)'!$B1674&amp;'All Statement of strategy (D)'!$C1674,"")</f>
        <v xml:space="preserve">Date of net present value calculation: </v>
      </c>
      <c r="G1674" s="585" t="str">
        <f ca="1">IF('Reconciliation report'!$E$872&gt;=1,'All Statement of strategy (D)'!$B1674&amp;'All Statement of strategy (D)'!$C1674,"")</f>
        <v xml:space="preserve">Date of net present value calculation: </v>
      </c>
      <c r="H1674" s="585" t="str">
        <f ca="1">IF('Reconciliation report'!$E$872&gt;=1,'All Statement of strategy (D)'!$B1674&amp;'All Statement of strategy (D)'!$C1674,"")</f>
        <v xml:space="preserve">Date of net present value calculation: </v>
      </c>
      <c r="I1674" s="595" t="str">
        <f ca="1">IF($C$1=RefData!$B$418,'All Statement of strategy (D)'!$E1674,IF('All Statement of strategy (D)'!$C$1=RefData!$B$419,'All Statement of strategy (D)'!$F1674,IF('All Statement of strategy (D)'!$C$1=RefData!$B$420,'All Statement of strategy (D)'!$G1674,IF('All Statement of strategy (D)'!$C$1=RefData!$B$421,'All Statement of strategy (D)'!$H1674," "))))</f>
        <v xml:space="preserve"> </v>
      </c>
    </row>
    <row r="1675" spans="1:9">
      <c r="B1675" s="594" t="s">
        <v>2718</v>
      </c>
      <c r="C1675" s="615"/>
      <c r="E1675" s="585" t="str">
        <f ca="1">IF(AND('Reconciliation report'!$E$872&gt;=1,'Reconciliation report'!$E$881&lt;&gt;""),'All Statement of strategy (D)'!$B1675&amp;'All Statement of strategy (D)'!$C1675,"")</f>
        <v/>
      </c>
      <c r="F1675" s="585" t="str">
        <f ca="1">IF(AND('Reconciliation report'!$E$872&gt;=1,'Reconciliation report'!$E$881&lt;&gt;""),'All Statement of strategy (D)'!$B1675&amp;'All Statement of strategy (D)'!$C1675,"")</f>
        <v/>
      </c>
      <c r="G1675" s="585" t="str">
        <f ca="1">IF(AND('Reconciliation report'!$E$872&gt;=1,'Reconciliation report'!$E$881&lt;&gt;""),'All Statement of strategy (D)'!$B1675&amp;'All Statement of strategy (D)'!$C1675,"")</f>
        <v/>
      </c>
      <c r="H1675" s="585" t="str">
        <f ca="1">IF(AND('Reconciliation report'!$E$872&gt;=1,'Reconciliation report'!$E$881&lt;&gt;""),'All Statement of strategy (D)'!$B1675&amp;'All Statement of strategy (D)'!$C1675,"")</f>
        <v/>
      </c>
      <c r="I1675" s="595" t="str">
        <f ca="1">IF($C$1=RefData!$B$418,'All Statement of strategy (D)'!$E1675,IF('All Statement of strategy (D)'!$C$1=RefData!$B$419,'All Statement of strategy (D)'!$F1675,IF('All Statement of strategy (D)'!$C$1=RefData!$B$420,'All Statement of strategy (D)'!$G1675,IF('All Statement of strategy (D)'!$C$1=RefData!$B$421,'All Statement of strategy (D)'!$H1675," "))))</f>
        <v xml:space="preserve"> </v>
      </c>
    </row>
    <row r="1676" spans="1:9">
      <c r="A1676" s="584" t="s">
        <v>2719</v>
      </c>
      <c r="B1676" s="594" t="s">
        <v>2400</v>
      </c>
      <c r="C1676" s="615" t="str">
        <f ca="1">TEXT('Reconciliation report'!$E$881,RefData!$B$425)</f>
        <v/>
      </c>
      <c r="E1676" s="585" t="str">
        <f ca="1">IF(AND('Reconciliation report'!$E$872&gt;=1,$C1676&lt;&gt;""),'All Statement of strategy (D)'!$B1676&amp;'All Statement of strategy (D)'!$C1676,"")</f>
        <v/>
      </c>
      <c r="F1676" s="585" t="str">
        <f ca="1">IF(AND('Reconciliation report'!$E$872&gt;=1,$C1676&lt;&gt;""),'All Statement of strategy (D)'!$B1676&amp;'All Statement of strategy (D)'!$C1676,"")</f>
        <v/>
      </c>
      <c r="G1676" s="585" t="str">
        <f ca="1">IF(AND('Reconciliation report'!$E$872&gt;=1,$C1676&lt;&gt;""),'All Statement of strategy (D)'!$B1676&amp;'All Statement of strategy (D)'!$C1676,"")</f>
        <v/>
      </c>
      <c r="H1676" s="585" t="str">
        <f ca="1">IF(AND('Reconciliation report'!$E$872&gt;=1,$C1676&lt;&gt;""),'All Statement of strategy (D)'!$B1676&amp;'All Statement of strategy (D)'!$C1676,"")</f>
        <v/>
      </c>
      <c r="I1676" s="595" t="str">
        <f ca="1">IF($C$1=RefData!$B$418,'All Statement of strategy (D)'!$E1676,IF('All Statement of strategy (D)'!$C$1=RefData!$B$419,'All Statement of strategy (D)'!$F1676,IF('All Statement of strategy (D)'!$C$1=RefData!$B$420,'All Statement of strategy (D)'!$G1676,IF('All Statement of strategy (D)'!$C$1=RefData!$B$421,'All Statement of strategy (D)'!$H1676," "))))</f>
        <v xml:space="preserve"> </v>
      </c>
    </row>
    <row r="1677" spans="1:9">
      <c r="A1677" s="584" t="s">
        <v>2720</v>
      </c>
      <c r="B1677" s="594" t="s">
        <v>2721</v>
      </c>
      <c r="C1677" s="618" t="str">
        <f ca="1">TEXT('Reconciliation report'!$E$882,RefData!$B$424)</f>
        <v/>
      </c>
      <c r="E1677" s="585" t="str">
        <f ca="1">IF(AND('Reconciliation report'!$E$872&gt;=1,$C1677&lt;&gt;""),'All Statement of strategy (D)'!$B1677&amp;'All Statement of strategy (D)'!$C1677,"")</f>
        <v/>
      </c>
      <c r="F1677" s="585" t="str">
        <f ca="1">IF(AND('Reconciliation report'!$E$872&gt;=1,$C1677&lt;&gt;""),'All Statement of strategy (D)'!$B1677&amp;'All Statement of strategy (D)'!$C1677,"")</f>
        <v/>
      </c>
      <c r="G1677" s="585" t="str">
        <f ca="1">IF(AND('Reconciliation report'!$E$872&gt;=1,$C1677&lt;&gt;""),'All Statement of strategy (D)'!$B1677&amp;'All Statement of strategy (D)'!$C1677,"")</f>
        <v/>
      </c>
      <c r="H1677" s="585" t="str">
        <f ca="1">IF(AND('Reconciliation report'!$E$872&gt;=1,$C1677&lt;&gt;""),'All Statement of strategy (D)'!$B1677&amp;'All Statement of strategy (D)'!$C1677,"")</f>
        <v/>
      </c>
      <c r="I1677" s="595" t="str">
        <f ca="1">IF($C$1=RefData!$B$418,'All Statement of strategy (D)'!$E1677,IF('All Statement of strategy (D)'!$C$1=RefData!$B$419,'All Statement of strategy (D)'!$F1677,IF('All Statement of strategy (D)'!$C$1=RefData!$B$420,'All Statement of strategy (D)'!$G1677,IF('All Statement of strategy (D)'!$C$1=RefData!$B$421,'All Statement of strategy (D)'!$H1677," "))))</f>
        <v xml:space="preserve"> </v>
      </c>
    </row>
    <row r="1678" spans="1:9">
      <c r="B1678" s="594" t="s">
        <v>2722</v>
      </c>
      <c r="C1678" s="615"/>
      <c r="E1678" s="585" t="str">
        <f ca="1">IF('Reconciliation report'!$E$872&gt;=1,'All Statement of strategy (D)'!$B1678&amp;'All Statement of strategy (D)'!$C1678,"")</f>
        <v xml:space="preserve">Triggers for any cessation of payment schedule or termination of ABC: </v>
      </c>
      <c r="F1678" s="585" t="str">
        <f ca="1">IF('Reconciliation report'!$E$872&gt;=1,'All Statement of strategy (D)'!$B1678&amp;'All Statement of strategy (D)'!$C1678,"")</f>
        <v xml:space="preserve">Triggers for any cessation of payment schedule or termination of ABC: </v>
      </c>
      <c r="G1678" s="585" t="str">
        <f>""</f>
        <v/>
      </c>
      <c r="H1678" s="585" t="str">
        <f>""</f>
        <v/>
      </c>
      <c r="I1678" s="595" t="str">
        <f ca="1">IF($C$1=RefData!$B$418,'All Statement of strategy (D)'!$E1678,IF('All Statement of strategy (D)'!$C$1=RefData!$B$419,'All Statement of strategy (D)'!$F1678,IF('All Statement of strategy (D)'!$C$1=RefData!$B$420,'All Statement of strategy (D)'!$G1678,IF('All Statement of strategy (D)'!$C$1=RefData!$B$421,'All Statement of strategy (D)'!$H1678," "))))</f>
        <v xml:space="preserve"> </v>
      </c>
    </row>
    <row r="1679" spans="1:9">
      <c r="A1679" s="584" t="s">
        <v>2723</v>
      </c>
      <c r="B1679" s="621" t="str">
        <f ca="1">LEFT('Reconciliation report'!$E$883,1000)</f>
        <v/>
      </c>
      <c r="C1679" s="615"/>
      <c r="E1679" s="585" t="str">
        <f ca="1">IF('Reconciliation report'!$E$872&gt;=1,'All Statement of strategy (D)'!$B1679&amp;'All Statement of strategy (D)'!$C1679,"")</f>
        <v/>
      </c>
      <c r="F1679" s="585" t="str">
        <f ca="1">IF('Reconciliation report'!$E$872&gt;=1,'All Statement of strategy (D)'!$B1679&amp;'All Statement of strategy (D)'!$C1679,"")</f>
        <v/>
      </c>
      <c r="G1679" s="585" t="str">
        <f>""</f>
        <v/>
      </c>
      <c r="H1679" s="585" t="str">
        <f>""</f>
        <v/>
      </c>
      <c r="I1679" s="595" t="str">
        <f ca="1">IF($C$1=RefData!$B$418,'All Statement of strategy (D)'!$E1679,IF('All Statement of strategy (D)'!$C$1=RefData!$B$419,'All Statement of strategy (D)'!$F1679,IF('All Statement of strategy (D)'!$C$1=RefData!$B$420,'All Statement of strategy (D)'!$G1679,IF('All Statement of strategy (D)'!$C$1=RefData!$B$421,'All Statement of strategy (D)'!$H1679," "))))</f>
        <v xml:space="preserve"> </v>
      </c>
    </row>
    <row r="1680" spans="1:9">
      <c r="A1680" s="584" t="s">
        <v>2723</v>
      </c>
      <c r="B1680" s="594" t="str">
        <f ca="1">MID('Reconciliation report'!$E$883,1001,1000)</f>
        <v/>
      </c>
      <c r="C1680" s="615"/>
      <c r="E1680" s="585" t="str">
        <f ca="1">IF('Reconciliation report'!$E$872&gt;=1,'All Statement of strategy (D)'!$B1680&amp;'All Statement of strategy (D)'!$C1680,"")</f>
        <v/>
      </c>
      <c r="F1680" s="585" t="str">
        <f ca="1">IF('Reconciliation report'!$E$872&gt;=1,'All Statement of strategy (D)'!$B1680&amp;'All Statement of strategy (D)'!$C1680,"")</f>
        <v/>
      </c>
      <c r="G1680" s="585" t="str">
        <f>""</f>
        <v/>
      </c>
      <c r="H1680" s="585" t="str">
        <f>""</f>
        <v/>
      </c>
      <c r="I1680" s="595" t="str">
        <f ca="1">IF($C$1=RefData!$B$418,'All Statement of strategy (D)'!$E1680,IF('All Statement of strategy (D)'!$C$1=RefData!$B$419,'All Statement of strategy (D)'!$F1680,IF('All Statement of strategy (D)'!$C$1=RefData!$B$420,'All Statement of strategy (D)'!$G1680,IF('All Statement of strategy (D)'!$C$1=RefData!$B$421,'All Statement of strategy (D)'!$H1680," "))))</f>
        <v xml:space="preserve"> </v>
      </c>
    </row>
    <row r="1681" spans="1:9">
      <c r="A1681" s="584" t="s">
        <v>2723</v>
      </c>
      <c r="B1681" s="594" t="str">
        <f ca="1">MID('Reconciliation report'!$E$883,2001,1000)</f>
        <v/>
      </c>
      <c r="C1681" s="615"/>
      <c r="E1681" s="585" t="str">
        <f ca="1">IF('Reconciliation report'!$E$872&gt;=1,'All Statement of strategy (D)'!$B1681&amp;'All Statement of strategy (D)'!$C1681,"")</f>
        <v/>
      </c>
      <c r="F1681" s="585" t="str">
        <f ca="1">IF('Reconciliation report'!$E$872&gt;=1,'All Statement of strategy (D)'!$B1681&amp;'All Statement of strategy (D)'!$C1681,"")</f>
        <v/>
      </c>
      <c r="G1681" s="585" t="str">
        <f>""</f>
        <v/>
      </c>
      <c r="H1681" s="585" t="str">
        <f>""</f>
        <v/>
      </c>
      <c r="I1681" s="595" t="str">
        <f ca="1">IF($C$1=RefData!$B$418,'All Statement of strategy (D)'!$E1681,IF('All Statement of strategy (D)'!$C$1=RefData!$B$419,'All Statement of strategy (D)'!$F1681,IF('All Statement of strategy (D)'!$C$1=RefData!$B$420,'All Statement of strategy (D)'!$G1681,IF('All Statement of strategy (D)'!$C$1=RefData!$B$421,'All Statement of strategy (D)'!$H1681," "))))</f>
        <v xml:space="preserve"> </v>
      </c>
    </row>
    <row r="1682" spans="1:9" ht="16" thickBot="1">
      <c r="A1682" s="584" t="s">
        <v>2723</v>
      </c>
      <c r="B1682" s="597" t="str">
        <f ca="1">MID('Reconciliation report'!$E$883,3001,1000)</f>
        <v/>
      </c>
      <c r="C1682" s="625"/>
      <c r="D1682" s="598"/>
      <c r="E1682" s="598" t="str">
        <f ca="1">IF('Reconciliation report'!$E$872&gt;=1,'All Statement of strategy (D)'!$B1682&amp;'All Statement of strategy (D)'!$C1682,"")</f>
        <v/>
      </c>
      <c r="F1682" s="598" t="str">
        <f ca="1">IF('Reconciliation report'!$E$872&gt;=1,'All Statement of strategy (D)'!$B1682&amp;'All Statement of strategy (D)'!$C1682,"")</f>
        <v/>
      </c>
      <c r="G1682" s="598" t="str">
        <f>""</f>
        <v/>
      </c>
      <c r="H1682" s="598" t="str">
        <f>""</f>
        <v/>
      </c>
      <c r="I1682" s="599" t="str">
        <f ca="1">IF($C$1=RefData!$B$418,'All Statement of strategy (D)'!$E1682,IF('All Statement of strategy (D)'!$C$1=RefData!$B$419,'All Statement of strategy (D)'!$F1682,IF('All Statement of strategy (D)'!$C$1=RefData!$B$420,'All Statement of strategy (D)'!$G1682,IF('All Statement of strategy (D)'!$C$1=RefData!$B$421,'All Statement of strategy (D)'!$H1682," "))))</f>
        <v xml:space="preserve"> </v>
      </c>
    </row>
    <row r="1683" spans="1:9" ht="16" thickBot="1">
      <c r="B1683" s="626" t="s">
        <v>2724</v>
      </c>
      <c r="C1683" s="648"/>
      <c r="D1683" s="608"/>
      <c r="E1683" s="608" t="str">
        <f ca="1">IF('Reconciliation report'!$E$872&gt;=2,'All Statement of strategy (D)'!$B1683&amp;'All Statement of strategy (D)'!$C1683,"")</f>
        <v>ABC 2</v>
      </c>
      <c r="F1683" s="608" t="str">
        <f ca="1">IF('Reconciliation report'!$E$872&gt;=2,'All Statement of strategy (D)'!$B1683&amp;'All Statement of strategy (D)'!$C1683,"")</f>
        <v>ABC 2</v>
      </c>
      <c r="G1683" s="608" t="str">
        <f ca="1">IF('Reconciliation report'!$E$872&gt;=2,'All Statement of strategy (D)'!$B1683&amp;'All Statement of strategy (D)'!$C1683,"")</f>
        <v>ABC 2</v>
      </c>
      <c r="H1683" s="608" t="str">
        <f ca="1">IF('Reconciliation report'!$E$872&gt;=2,'All Statement of strategy (D)'!$B1683&amp;'All Statement of strategy (D)'!$C1683,"")</f>
        <v>ABC 2</v>
      </c>
      <c r="I1683" s="627" t="str">
        <f ca="1">IF($C$1=RefData!$B$418,'All Statement of strategy (D)'!$E1683,IF('All Statement of strategy (D)'!$C$1=RefData!$B$419,'All Statement of strategy (D)'!$F1683,IF('All Statement of strategy (D)'!$C$1=RefData!$B$420,'All Statement of strategy (D)'!$G1683,IF('All Statement of strategy (D)'!$C$1=RefData!$B$421,'All Statement of strategy (D)'!$H1683," "))))</f>
        <v xml:space="preserve"> </v>
      </c>
    </row>
    <row r="1684" spans="1:9">
      <c r="A1684" s="604" t="s">
        <v>2725</v>
      </c>
      <c r="B1684" s="594" t="str">
        <f ca="1">IF('Reconciliation report'!$E$884=RefData!$B$186,"","Type of security: ")</f>
        <v xml:space="preserve">Type of security: </v>
      </c>
      <c r="C1684" s="585" t="str">
        <f ca="1">IF('Reconciliation report'!$E$884=RefData!$B$186,"",'Reconciliation report'!$E$884)</f>
        <v/>
      </c>
      <c r="D1684" s="624"/>
      <c r="E1684" s="585" t="str">
        <f ca="1">IF('Reconciliation report'!$E$872&gt;=2,'All Statement of strategy (D)'!$B1684&amp;'All Statement of strategy (D)'!$C1684,"")</f>
        <v xml:space="preserve">Type of security: </v>
      </c>
      <c r="F1684" s="585" t="str">
        <f ca="1">IF('Reconciliation report'!$E$872&gt;=2,'All Statement of strategy (D)'!$B1684&amp;'All Statement of strategy (D)'!$C1684,"")</f>
        <v xml:space="preserve">Type of security: </v>
      </c>
      <c r="G1684" s="585" t="str">
        <f ca="1">IF('Reconciliation report'!$E$872&gt;=2,'All Statement of strategy (D)'!$B1684&amp;'All Statement of strategy (D)'!$C1684,"")</f>
        <v xml:space="preserve">Type of security: </v>
      </c>
      <c r="H1684" s="585" t="str">
        <f ca="1">IF('Reconciliation report'!$E$872&gt;=2,'All Statement of strategy (D)'!$B1684&amp;'All Statement of strategy (D)'!$C1684,"")</f>
        <v xml:space="preserve">Type of security: </v>
      </c>
      <c r="I1684" s="595" t="str">
        <f ca="1">IF($C$1=RefData!$B$418,'All Statement of strategy (D)'!$E1684,IF('All Statement of strategy (D)'!$C$1=RefData!$B$419,'All Statement of strategy (D)'!$F1684,IF('All Statement of strategy (D)'!$C$1=RefData!$B$420,'All Statement of strategy (D)'!$G1684,IF('All Statement of strategy (D)'!$C$1=RefData!$B$421,'All Statement of strategy (D)'!$H1684," "))))</f>
        <v xml:space="preserve"> </v>
      </c>
    </row>
    <row r="1685" spans="1:9">
      <c r="A1685" s="584" t="s">
        <v>2726</v>
      </c>
      <c r="B1685" s="594" t="str">
        <f ca="1">IF('Reconciliation report'!$E$884=RefData!$B$186,"Type of security: ","Description of underlying asset: ")</f>
        <v xml:space="preserve">Description of underlying asset: </v>
      </c>
      <c r="C1685" s="585" t="str">
        <f ca="1">LEFT('Reconciliation report'!$E$885,1000)</f>
        <v/>
      </c>
      <c r="D1685" s="624"/>
      <c r="E1685" s="585" t="str">
        <f ca="1">IF('Reconciliation report'!$E$872&gt;=2,'All Statement of strategy (D)'!$B1685&amp;'All Statement of strategy (D)'!$C1685,"")</f>
        <v xml:space="preserve">Description of underlying asset: </v>
      </c>
      <c r="F1685" s="585" t="str">
        <f ca="1">IF('Reconciliation report'!$E$872&gt;=2,'All Statement of strategy (D)'!$B1685&amp;'All Statement of strategy (D)'!$C1685,"")</f>
        <v xml:space="preserve">Description of underlying asset: </v>
      </c>
      <c r="G1685" s="585" t="str">
        <f ca="1">IF('Reconciliation report'!$E$872&gt;=2,'All Statement of strategy (D)'!$B1685&amp;'All Statement of strategy (D)'!$C1685,"")</f>
        <v xml:space="preserve">Description of underlying asset: </v>
      </c>
      <c r="H1685" s="585" t="str">
        <f ca="1">IF('Reconciliation report'!$E$872&gt;=2,'All Statement of strategy (D)'!$B1685&amp;'All Statement of strategy (D)'!$C1685,"")</f>
        <v xml:space="preserve">Description of underlying asset: </v>
      </c>
      <c r="I1685" s="595" t="str">
        <f ca="1">IF($C$1=RefData!$B$418,'All Statement of strategy (D)'!$E1685,IF('All Statement of strategy (D)'!$C$1=RefData!$B$419,'All Statement of strategy (D)'!$F1685,IF('All Statement of strategy (D)'!$C$1=RefData!$B$420,'All Statement of strategy (D)'!$G1685,IF('All Statement of strategy (D)'!$C$1=RefData!$B$421,'All Statement of strategy (D)'!$H1685," "))))</f>
        <v xml:space="preserve"> </v>
      </c>
    </row>
    <row r="1686" spans="1:9">
      <c r="A1686" s="584" t="s">
        <v>2726</v>
      </c>
      <c r="B1686" s="594" t="str">
        <f ca="1">MID('Reconciliation report'!$E$885,1001,1000)</f>
        <v/>
      </c>
      <c r="D1686" s="624"/>
      <c r="E1686" s="585" t="str">
        <f ca="1">IF('Reconciliation report'!$E$872&gt;=2,'All Statement of strategy (D)'!$B1686&amp;'All Statement of strategy (D)'!$C1686,"")</f>
        <v/>
      </c>
      <c r="F1686" s="585" t="str">
        <f ca="1">IF('Reconciliation report'!$E$872&gt;=2,'All Statement of strategy (D)'!$B1686&amp;'All Statement of strategy (D)'!$C1686,"")</f>
        <v/>
      </c>
      <c r="G1686" s="585" t="str">
        <f ca="1">IF('Reconciliation report'!$E$872&gt;=2,'All Statement of strategy (D)'!$B1686&amp;'All Statement of strategy (D)'!$C1686,"")</f>
        <v/>
      </c>
      <c r="H1686" s="585" t="str">
        <f ca="1">IF('Reconciliation report'!$E$872&gt;=2,'All Statement of strategy (D)'!$B1686&amp;'All Statement of strategy (D)'!$C1686,"")</f>
        <v/>
      </c>
      <c r="I1686" s="595" t="str">
        <f ca="1">IF($C$1=RefData!$B$418,'All Statement of strategy (D)'!$E1686,IF('All Statement of strategy (D)'!$C$1=RefData!$B$419,'All Statement of strategy (D)'!$F1686,IF('All Statement of strategy (D)'!$C$1=RefData!$B$420,'All Statement of strategy (D)'!$G1686,IF('All Statement of strategy (D)'!$C$1=RefData!$B$421,'All Statement of strategy (D)'!$H1686," "))))</f>
        <v xml:space="preserve"> </v>
      </c>
    </row>
    <row r="1687" spans="1:9">
      <c r="A1687" s="584" t="s">
        <v>2726</v>
      </c>
      <c r="B1687" s="594" t="str">
        <f ca="1">MID('Reconciliation report'!$E$885,2001,1000)</f>
        <v/>
      </c>
      <c r="D1687" s="624"/>
      <c r="E1687" s="585" t="str">
        <f ca="1">IF('Reconciliation report'!$E$872&gt;=2,'All Statement of strategy (D)'!$B1687&amp;'All Statement of strategy (D)'!$C1687,"")</f>
        <v/>
      </c>
      <c r="F1687" s="585" t="str">
        <f ca="1">IF('Reconciliation report'!$E$872&gt;=2,'All Statement of strategy (D)'!$B1687&amp;'All Statement of strategy (D)'!$C1687,"")</f>
        <v/>
      </c>
      <c r="G1687" s="585" t="str">
        <f ca="1">IF('Reconciliation report'!$E$872&gt;=2,'All Statement of strategy (D)'!$B1687&amp;'All Statement of strategy (D)'!$C1687,"")</f>
        <v/>
      </c>
      <c r="H1687" s="585" t="str">
        <f ca="1">IF('Reconciliation report'!$E$872&gt;=2,'All Statement of strategy (D)'!$B1687&amp;'All Statement of strategy (D)'!$C1687,"")</f>
        <v/>
      </c>
      <c r="I1687" s="595" t="str">
        <f ca="1">IF($C$1=RefData!$B$418,'All Statement of strategy (D)'!$E1687,IF('All Statement of strategy (D)'!$C$1=RefData!$B$419,'All Statement of strategy (D)'!$F1687,IF('All Statement of strategy (D)'!$C$1=RefData!$B$420,'All Statement of strategy (D)'!$G1687,IF('All Statement of strategy (D)'!$C$1=RefData!$B$421,'All Statement of strategy (D)'!$H1687," "))))</f>
        <v xml:space="preserve"> </v>
      </c>
    </row>
    <row r="1688" spans="1:9">
      <c r="A1688" s="584" t="s">
        <v>2726</v>
      </c>
      <c r="B1688" s="594" t="str">
        <f ca="1">MID('Reconciliation report'!$E$885,3001,1000)</f>
        <v/>
      </c>
      <c r="D1688" s="624"/>
      <c r="E1688" s="585" t="str">
        <f ca="1">IF('Reconciliation report'!$E$872&gt;=2,'All Statement of strategy (D)'!$B1688&amp;'All Statement of strategy (D)'!$C1688,"")</f>
        <v/>
      </c>
      <c r="F1688" s="585" t="str">
        <f ca="1">IF('Reconciliation report'!$E$872&gt;=2,'All Statement of strategy (D)'!$B1688&amp;'All Statement of strategy (D)'!$C1688,"")</f>
        <v/>
      </c>
      <c r="G1688" s="585" t="str">
        <f ca="1">IF('Reconciliation report'!$E$872&gt;=2,'All Statement of strategy (D)'!$B1688&amp;'All Statement of strategy (D)'!$C1688,"")</f>
        <v/>
      </c>
      <c r="H1688" s="585" t="str">
        <f ca="1">IF('Reconciliation report'!$E$872&gt;=2,'All Statement of strategy (D)'!$B1688&amp;'All Statement of strategy (D)'!$C1688,"")</f>
        <v/>
      </c>
      <c r="I1688" s="595" t="str">
        <f ca="1">IF($C$1=RefData!$B$418,'All Statement of strategy (D)'!$E1688,IF('All Statement of strategy (D)'!$C$1=RefData!$B$419,'All Statement of strategy (D)'!$F1688,IF('All Statement of strategy (D)'!$C$1=RefData!$B$420,'All Statement of strategy (D)'!$G1688,IF('All Statement of strategy (D)'!$C$1=RefData!$B$421,'All Statement of strategy (D)'!$H1688," "))))</f>
        <v xml:space="preserve"> </v>
      </c>
    </row>
    <row r="1689" spans="1:9">
      <c r="A1689" s="604"/>
      <c r="B1689" s="594" t="s">
        <v>2532</v>
      </c>
      <c r="C1689" s="615"/>
      <c r="D1689" s="624"/>
      <c r="E1689" s="585" t="str">
        <f ca="1">IF('Reconciliation report'!$E$872&gt;=2,'All Statement of strategy (D)'!$B1689&amp;'All Statement of strategy (D)'!$C1689,"")</f>
        <v xml:space="preserve">Type of maturity: </v>
      </c>
      <c r="F1689" s="585" t="str">
        <f ca="1">IF('Reconciliation report'!$E$872&gt;=2,'All Statement of strategy (D)'!$B1689&amp;'All Statement of strategy (D)'!$C1689,"")</f>
        <v xml:space="preserve">Type of maturity: </v>
      </c>
      <c r="G1689" s="585" t="str">
        <f ca="1">IF('Reconciliation report'!$E$872&gt;=2,'All Statement of strategy (D)'!$B1689&amp;'All Statement of strategy (D)'!$C1689,"")</f>
        <v xml:space="preserve">Type of maturity: </v>
      </c>
      <c r="H1689" s="585" t="str">
        <f ca="1">IF('Reconciliation report'!$E$872&gt;=2,'All Statement of strategy (D)'!$B1689&amp;'All Statement of strategy (D)'!$C1689,"")</f>
        <v xml:space="preserve">Type of maturity: </v>
      </c>
      <c r="I1689" s="595" t="str">
        <f ca="1">IF($C$1=RefData!$B$418,'All Statement of strategy (D)'!$E1689,IF('All Statement of strategy (D)'!$C$1=RefData!$B$419,'All Statement of strategy (D)'!$F1689,IF('All Statement of strategy (D)'!$C$1=RefData!$B$420,'All Statement of strategy (D)'!$G1689,IF('All Statement of strategy (D)'!$C$1=RefData!$B$421,'All Statement of strategy (D)'!$H1689," "))))</f>
        <v xml:space="preserve"> </v>
      </c>
    </row>
    <row r="1690" spans="1:9">
      <c r="A1690" s="584" t="s">
        <v>2727</v>
      </c>
      <c r="B1690" s="594" t="str">
        <f ca="1">IF('Reconciliation report'!$E$886=RefData!$B$187,'Reconciliation report'!$E$886,"")</f>
        <v/>
      </c>
      <c r="C1690" s="615"/>
      <c r="D1690" s="624"/>
      <c r="E1690" s="585" t="str">
        <f ca="1">IF('Reconciliation report'!$E$872&gt;=2,'All Statement of strategy (D)'!$B1690&amp;'All Statement of strategy (D)'!$C1690,"")</f>
        <v/>
      </c>
      <c r="F1690" s="585" t="str">
        <f ca="1">IF('Reconciliation report'!$E$872&gt;=2,'All Statement of strategy (D)'!$B1690&amp;'All Statement of strategy (D)'!$C1690,"")</f>
        <v/>
      </c>
      <c r="G1690" s="585" t="str">
        <f ca="1">IF('Reconciliation report'!$E$872&gt;=2,'All Statement of strategy (D)'!$B1690&amp;'All Statement of strategy (D)'!$C1690,"")</f>
        <v/>
      </c>
      <c r="H1690" s="585" t="str">
        <f ca="1">IF('Reconciliation report'!$E$872&gt;=2,'All Statement of strategy (D)'!$B1690&amp;'All Statement of strategy (D)'!$C1690,"")</f>
        <v/>
      </c>
      <c r="I1690" s="595" t="str">
        <f ca="1">IF($C$1=RefData!$B$418,'All Statement of strategy (D)'!$E1690,IF('All Statement of strategy (D)'!$C$1=RefData!$B$419,'All Statement of strategy (D)'!$F1690,IF('All Statement of strategy (D)'!$C$1=RefData!$B$420,'All Statement of strategy (D)'!$G1690,IF('All Statement of strategy (D)'!$C$1=RefData!$B$421,'All Statement of strategy (D)'!$H1690," "))))</f>
        <v xml:space="preserve"> </v>
      </c>
    </row>
    <row r="1691" spans="1:9">
      <c r="A1691" s="584" t="s">
        <v>2728</v>
      </c>
      <c r="B1691" s="594" t="str">
        <f ca="1">IF('Reconciliation report'!$E$886=RefData!$B$188,"Fixed expiry with a maturity date of ","")</f>
        <v/>
      </c>
      <c r="C1691" s="615" t="str">
        <f ca="1">TEXT('Reconciliation report'!$E$887,RefData!$B$424)</f>
        <v/>
      </c>
      <c r="D1691" s="624"/>
      <c r="E1691" s="585" t="str">
        <f ca="1">IF('Reconciliation report'!$E$872&gt;=2,'All Statement of strategy (D)'!$B1691&amp;'All Statement of strategy (D)'!$C1691,"")</f>
        <v/>
      </c>
      <c r="F1691" s="585" t="str">
        <f ca="1">IF('Reconciliation report'!$E$872&gt;=2,'All Statement of strategy (D)'!$B1691&amp;'All Statement of strategy (D)'!$C1691,"")</f>
        <v/>
      </c>
      <c r="G1691" s="585" t="str">
        <f ca="1">IF('Reconciliation report'!$E$872&gt;=2,'All Statement of strategy (D)'!$B1691&amp;'All Statement of strategy (D)'!$C1691,"")</f>
        <v/>
      </c>
      <c r="H1691" s="585" t="str">
        <f ca="1">IF('Reconciliation report'!$E$872&gt;=2,'All Statement of strategy (D)'!$B1691&amp;'All Statement of strategy (D)'!$C1691,"")</f>
        <v/>
      </c>
      <c r="I1691" s="595" t="str">
        <f ca="1">IF($C$1=RefData!$B$418,'All Statement of strategy (D)'!$E1691,IF('All Statement of strategy (D)'!$C$1=RefData!$B$419,'All Statement of strategy (D)'!$F1691,IF('All Statement of strategy (D)'!$C$1=RefData!$B$420,'All Statement of strategy (D)'!$G1691,IF('All Statement of strategy (D)'!$C$1=RefData!$B$421,'All Statement of strategy (D)'!$H1691," "))))</f>
        <v xml:space="preserve"> </v>
      </c>
    </row>
    <row r="1692" spans="1:9">
      <c r="A1692" s="584" t="s">
        <v>2729</v>
      </c>
      <c r="B1692" s="594" t="str">
        <f ca="1">IF('Reconciliation report'!$E$886=RefData!$B$189,LEFT('Reconciliation report'!$E$888,1000),"")</f>
        <v/>
      </c>
      <c r="C1692" s="615"/>
      <c r="D1692" s="624"/>
      <c r="E1692" s="585" t="str">
        <f ca="1">IF('Reconciliation report'!$E$872&gt;=2,'All Statement of strategy (D)'!$B1692&amp;'All Statement of strategy (D)'!$C1692,"")</f>
        <v/>
      </c>
      <c r="F1692" s="585" t="str">
        <f ca="1">IF('Reconciliation report'!$E$872&gt;=2,'All Statement of strategy (D)'!$B1692&amp;'All Statement of strategy (D)'!$C1692,"")</f>
        <v/>
      </c>
      <c r="G1692" s="585" t="str">
        <f ca="1">IF('Reconciliation report'!$E$872&gt;=2,'All Statement of strategy (D)'!$B1692&amp;'All Statement of strategy (D)'!$C1692,"")</f>
        <v/>
      </c>
      <c r="H1692" s="585" t="str">
        <f ca="1">IF('Reconciliation report'!$E$872&gt;=2,'All Statement of strategy (D)'!$B1692&amp;'All Statement of strategy (D)'!$C1692,"")</f>
        <v/>
      </c>
      <c r="I1692" s="595" t="str">
        <f ca="1">IF($C$1=RefData!$B$418,'All Statement of strategy (D)'!$E1692,IF('All Statement of strategy (D)'!$C$1=RefData!$B$419,'All Statement of strategy (D)'!$F1692,IF('All Statement of strategy (D)'!$C$1=RefData!$B$420,'All Statement of strategy (D)'!$G1692,IF('All Statement of strategy (D)'!$C$1=RefData!$B$421,'All Statement of strategy (D)'!$H1692," "))))</f>
        <v xml:space="preserve"> </v>
      </c>
    </row>
    <row r="1693" spans="1:9">
      <c r="A1693" s="584" t="s">
        <v>2729</v>
      </c>
      <c r="B1693" s="594" t="str">
        <f ca="1">IF('Reconciliation report'!$E$886=RefData!$B$189,MID('Reconciliation report'!$E$888,1001,1000),"")</f>
        <v/>
      </c>
      <c r="C1693" s="615"/>
      <c r="D1693" s="624"/>
      <c r="E1693" s="585" t="str">
        <f ca="1">IF('Reconciliation report'!$E$872&gt;=2,'All Statement of strategy (D)'!$B1693&amp;'All Statement of strategy (D)'!$C1693,"")</f>
        <v/>
      </c>
      <c r="F1693" s="585" t="str">
        <f ca="1">IF('Reconciliation report'!$E$872&gt;=2,'All Statement of strategy (D)'!$B1693&amp;'All Statement of strategy (D)'!$C1693,"")</f>
        <v/>
      </c>
      <c r="G1693" s="585" t="str">
        <f ca="1">IF('Reconciliation report'!$E$872&gt;=2,'All Statement of strategy (D)'!$B1693&amp;'All Statement of strategy (D)'!$C1693,"")</f>
        <v/>
      </c>
      <c r="H1693" s="585" t="str">
        <f ca="1">IF('Reconciliation report'!$E$872&gt;=2,'All Statement of strategy (D)'!$B1693&amp;'All Statement of strategy (D)'!$C1693,"")</f>
        <v/>
      </c>
      <c r="I1693" s="595" t="str">
        <f ca="1">IF($C$1=RefData!$B$418,'All Statement of strategy (D)'!$E1693,IF('All Statement of strategy (D)'!$C$1=RefData!$B$419,'All Statement of strategy (D)'!$F1693,IF('All Statement of strategy (D)'!$C$1=RefData!$B$420,'All Statement of strategy (D)'!$G1693,IF('All Statement of strategy (D)'!$C$1=RefData!$B$421,'All Statement of strategy (D)'!$H1693," "))))</f>
        <v xml:space="preserve"> </v>
      </c>
    </row>
    <row r="1694" spans="1:9">
      <c r="A1694" s="584" t="s">
        <v>2729</v>
      </c>
      <c r="B1694" s="594" t="str">
        <f ca="1">IF('Reconciliation report'!$E$886=RefData!$B$189,MID('Reconciliation report'!$E$888,2001,1000),"")</f>
        <v/>
      </c>
      <c r="C1694" s="615"/>
      <c r="D1694" s="624"/>
      <c r="E1694" s="585" t="str">
        <f ca="1">IF('Reconciliation report'!$E$872&gt;=2,'All Statement of strategy (D)'!$B1694&amp;'All Statement of strategy (D)'!$C1694,"")</f>
        <v/>
      </c>
      <c r="F1694" s="585" t="str">
        <f ca="1">IF('Reconciliation report'!$E$872&gt;=2,'All Statement of strategy (D)'!$B1694&amp;'All Statement of strategy (D)'!$C1694,"")</f>
        <v/>
      </c>
      <c r="G1694" s="585" t="str">
        <f ca="1">IF('Reconciliation report'!$E$872&gt;=2,'All Statement of strategy (D)'!$B1694&amp;'All Statement of strategy (D)'!$C1694,"")</f>
        <v/>
      </c>
      <c r="H1694" s="585" t="str">
        <f ca="1">IF('Reconciliation report'!$E$872&gt;=2,'All Statement of strategy (D)'!$B1694&amp;'All Statement of strategy (D)'!$C1694,"")</f>
        <v/>
      </c>
      <c r="I1694" s="595" t="str">
        <f ca="1">IF($C$1=RefData!$B$418,'All Statement of strategy (D)'!$E1694,IF('All Statement of strategy (D)'!$C$1=RefData!$B$419,'All Statement of strategy (D)'!$F1694,IF('All Statement of strategy (D)'!$C$1=RefData!$B$420,'All Statement of strategy (D)'!$G1694,IF('All Statement of strategy (D)'!$C$1=RefData!$B$421,'All Statement of strategy (D)'!$H1694," "))))</f>
        <v xml:space="preserve"> </v>
      </c>
    </row>
    <row r="1695" spans="1:9">
      <c r="A1695" s="584" t="s">
        <v>2729</v>
      </c>
      <c r="B1695" s="594" t="str">
        <f ca="1">IF('Reconciliation report'!$E$886=RefData!$B$189,MID('Reconciliation report'!$E$888,3001,1000),"")</f>
        <v/>
      </c>
      <c r="C1695" s="615"/>
      <c r="D1695" s="624"/>
      <c r="E1695" s="585" t="str">
        <f ca="1">IF('Reconciliation report'!$E$872&gt;=2,'All Statement of strategy (D)'!$B1695&amp;'All Statement of strategy (D)'!$C1695,"")</f>
        <v/>
      </c>
      <c r="F1695" s="585" t="str">
        <f ca="1">IF('Reconciliation report'!$E$872&gt;=2,'All Statement of strategy (D)'!$B1695&amp;'All Statement of strategy (D)'!$C1695,"")</f>
        <v/>
      </c>
      <c r="G1695" s="585" t="str">
        <f ca="1">IF('Reconciliation report'!$E$872&gt;=2,'All Statement of strategy (D)'!$B1695&amp;'All Statement of strategy (D)'!$C1695,"")</f>
        <v/>
      </c>
      <c r="H1695" s="585" t="str">
        <f ca="1">IF('Reconciliation report'!$E$872&gt;=2,'All Statement of strategy (D)'!$B1695&amp;'All Statement of strategy (D)'!$C1695,"")</f>
        <v/>
      </c>
      <c r="I1695" s="595" t="str">
        <f ca="1">IF($C$1=RefData!$B$418,'All Statement of strategy (D)'!$E1695,IF('All Statement of strategy (D)'!$C$1=RefData!$B$419,'All Statement of strategy (D)'!$F1695,IF('All Statement of strategy (D)'!$C$1=RefData!$B$420,'All Statement of strategy (D)'!$G1695,IF('All Statement of strategy (D)'!$C$1=RefData!$B$421,'All Statement of strategy (D)'!$H1695," "))))</f>
        <v xml:space="preserve"> </v>
      </c>
    </row>
    <row r="1696" spans="1:9">
      <c r="A1696" s="584" t="s">
        <v>2730</v>
      </c>
      <c r="B1696" s="594" t="s">
        <v>2715</v>
      </c>
      <c r="C1696" s="585" t="str">
        <f ca="1">TEXT('Reconciliation report'!$E$889,RefData!$B$425)</f>
        <v/>
      </c>
      <c r="E1696" s="585" t="str">
        <f ca="1">IF('Reconciliation report'!$E$872&gt;=2,'All Statement of strategy (D)'!$B1696&amp;'All Statement of strategy (D)'!$C1696,"")</f>
        <v xml:space="preserve">Value of the scheme's interest in the ABC (net present value): </v>
      </c>
      <c r="F1696" s="585" t="str">
        <f ca="1">IF('Reconciliation report'!$E$872&gt;=2,'All Statement of strategy (D)'!$B1696&amp;'All Statement of strategy (D)'!$C1696,"")</f>
        <v xml:space="preserve">Value of the scheme's interest in the ABC (net present value): </v>
      </c>
      <c r="G1696" s="585" t="str">
        <f ca="1">IF('Reconciliation report'!$E$872&gt;=2,'All Statement of strategy (D)'!$B1696&amp;'All Statement of strategy (D)'!$C1696,"")</f>
        <v xml:space="preserve">Value of the scheme's interest in the ABC (net present value): </v>
      </c>
      <c r="H1696" s="585" t="str">
        <f ca="1">IF('Reconciliation report'!$E$872&gt;=2,'All Statement of strategy (D)'!$B1696&amp;'All Statement of strategy (D)'!$C1696,"")</f>
        <v xml:space="preserve">Value of the scheme's interest in the ABC (net present value): </v>
      </c>
      <c r="I1696" s="595" t="str">
        <f ca="1">IF($C$1=RefData!$B$418,'All Statement of strategy (D)'!$E1696,IF('All Statement of strategy (D)'!$C$1=RefData!$B$419,'All Statement of strategy (D)'!$F1696,IF('All Statement of strategy (D)'!$C$1=RefData!$B$420,'All Statement of strategy (D)'!$G1696,IF('All Statement of strategy (D)'!$C$1=RefData!$B$421,'All Statement of strategy (D)'!$H1696," "))))</f>
        <v xml:space="preserve"> </v>
      </c>
    </row>
    <row r="1697" spans="1:9">
      <c r="A1697" s="584" t="s">
        <v>2731</v>
      </c>
      <c r="B1697" s="594" t="s">
        <v>2717</v>
      </c>
      <c r="C1697" s="618" t="str">
        <f ca="1">TEXT('Reconciliation report'!$E$890,RefData!$B$424)</f>
        <v/>
      </c>
      <c r="E1697" s="585" t="str">
        <f ca="1">IF('Reconciliation report'!$E$872&gt;=2,'All Statement of strategy (D)'!$B1697&amp;'All Statement of strategy (D)'!$C1697,"")</f>
        <v xml:space="preserve">Date of net present value calculation: </v>
      </c>
      <c r="F1697" s="585" t="str">
        <f ca="1">IF('Reconciliation report'!$E$872&gt;=2,'All Statement of strategy (D)'!$B1697&amp;'All Statement of strategy (D)'!$C1697,"")</f>
        <v xml:space="preserve">Date of net present value calculation: </v>
      </c>
      <c r="G1697" s="585" t="str">
        <f ca="1">IF('Reconciliation report'!$E$872&gt;=2,'All Statement of strategy (D)'!$B1697&amp;'All Statement of strategy (D)'!$C1697,"")</f>
        <v xml:space="preserve">Date of net present value calculation: </v>
      </c>
      <c r="H1697" s="585" t="str">
        <f ca="1">IF('Reconciliation report'!$E$872&gt;=2,'All Statement of strategy (D)'!$B1697&amp;'All Statement of strategy (D)'!$C1697,"")</f>
        <v xml:space="preserve">Date of net present value calculation: </v>
      </c>
      <c r="I1697" s="595" t="str">
        <f ca="1">IF($C$1=RefData!$B$418,'All Statement of strategy (D)'!$E1697,IF('All Statement of strategy (D)'!$C$1=RefData!$B$419,'All Statement of strategy (D)'!$F1697,IF('All Statement of strategy (D)'!$C$1=RefData!$B$420,'All Statement of strategy (D)'!$G1697,IF('All Statement of strategy (D)'!$C$1=RefData!$B$421,'All Statement of strategy (D)'!$H1697," "))))</f>
        <v xml:space="preserve"> </v>
      </c>
    </row>
    <row r="1698" spans="1:9">
      <c r="B1698" s="594" t="s">
        <v>2718</v>
      </c>
      <c r="C1698" s="615"/>
      <c r="E1698" s="585" t="str">
        <f ca="1">IF(AND('Reconciliation report'!$E$872&gt;=2,'Reconciliation report'!$E$891&lt;&gt;""),'All Statement of strategy (D)'!$B1698&amp;'All Statement of strategy (D)'!$C1698,"")</f>
        <v/>
      </c>
      <c r="F1698" s="585" t="str">
        <f ca="1">IF(AND('Reconciliation report'!$E$872&gt;=2,'Reconciliation report'!$E$891&lt;&gt;""),'All Statement of strategy (D)'!$B1698&amp;'All Statement of strategy (D)'!$C1698,"")</f>
        <v/>
      </c>
      <c r="G1698" s="585" t="str">
        <f ca="1">IF(AND('Reconciliation report'!$E$872&gt;=2,'Reconciliation report'!$E$891&lt;&gt;""),'All Statement of strategy (D)'!$B1698&amp;'All Statement of strategy (D)'!$C1698,"")</f>
        <v/>
      </c>
      <c r="H1698" s="585" t="str">
        <f ca="1">IF(AND('Reconciliation report'!$E$872&gt;=2,'Reconciliation report'!$E$891&lt;&gt;""),'All Statement of strategy (D)'!$B1698&amp;'All Statement of strategy (D)'!$C1698,"")</f>
        <v/>
      </c>
      <c r="I1698" s="595" t="str">
        <f ca="1">IF($C$1=RefData!$B$418,'All Statement of strategy (D)'!$E1698,IF('All Statement of strategy (D)'!$C$1=RefData!$B$419,'All Statement of strategy (D)'!$F1698,IF('All Statement of strategy (D)'!$C$1=RefData!$B$420,'All Statement of strategy (D)'!$G1698,IF('All Statement of strategy (D)'!$C$1=RefData!$B$421,'All Statement of strategy (D)'!$H1698," "))))</f>
        <v xml:space="preserve"> </v>
      </c>
    </row>
    <row r="1699" spans="1:9">
      <c r="A1699" s="584" t="s">
        <v>2732</v>
      </c>
      <c r="B1699" s="594" t="s">
        <v>2400</v>
      </c>
      <c r="C1699" s="615" t="str">
        <f ca="1">TEXT('Reconciliation report'!$E$891,RefData!$B$425)</f>
        <v/>
      </c>
      <c r="E1699" s="585" t="str">
        <f ca="1">IF(AND('Reconciliation report'!$E$872&gt;=2,$C1699&lt;&gt;""),'All Statement of strategy (D)'!$B1699&amp;'All Statement of strategy (D)'!$C1699,"")</f>
        <v/>
      </c>
      <c r="F1699" s="585" t="str">
        <f ca="1">IF(AND('Reconciliation report'!$E$872&gt;=2,$C1699&lt;&gt;""),'All Statement of strategy (D)'!$B1699&amp;'All Statement of strategy (D)'!$C1699,"")</f>
        <v/>
      </c>
      <c r="G1699" s="585" t="str">
        <f ca="1">IF(AND('Reconciliation report'!$E$872&gt;=2,$C1699&lt;&gt;""),'All Statement of strategy (D)'!$B1699&amp;'All Statement of strategy (D)'!$C1699,"")</f>
        <v/>
      </c>
      <c r="H1699" s="585" t="str">
        <f ca="1">IF(AND('Reconciliation report'!$E$872&gt;=2,$C1699&lt;&gt;""),'All Statement of strategy (D)'!$B1699&amp;'All Statement of strategy (D)'!$C1699,"")</f>
        <v/>
      </c>
      <c r="I1699" s="595" t="str">
        <f ca="1">IF($C$1=RefData!$B$418,'All Statement of strategy (D)'!$E1699,IF('All Statement of strategy (D)'!$C$1=RefData!$B$419,'All Statement of strategy (D)'!$F1699,IF('All Statement of strategy (D)'!$C$1=RefData!$B$420,'All Statement of strategy (D)'!$G1699,IF('All Statement of strategy (D)'!$C$1=RefData!$B$421,'All Statement of strategy (D)'!$H1699," "))))</f>
        <v xml:space="preserve"> </v>
      </c>
    </row>
    <row r="1700" spans="1:9">
      <c r="A1700" s="584" t="s">
        <v>2733</v>
      </c>
      <c r="B1700" s="594" t="s">
        <v>2721</v>
      </c>
      <c r="C1700" s="618" t="str">
        <f ca="1">TEXT('Reconciliation report'!$E$892,RefData!$B$424)</f>
        <v/>
      </c>
      <c r="E1700" s="585" t="str">
        <f ca="1">IF(AND('Reconciliation report'!$E$872&gt;=2,$C1700&lt;&gt;""),'All Statement of strategy (D)'!$B1700&amp;'All Statement of strategy (D)'!$C1700,"")</f>
        <v/>
      </c>
      <c r="F1700" s="585" t="str">
        <f ca="1">IF(AND('Reconciliation report'!$E$872&gt;=2,$C1700&lt;&gt;""),'All Statement of strategy (D)'!$B1700&amp;'All Statement of strategy (D)'!$C1700,"")</f>
        <v/>
      </c>
      <c r="G1700" s="585" t="str">
        <f ca="1">IF(AND('Reconciliation report'!$E$872&gt;=2,$C1700&lt;&gt;""),'All Statement of strategy (D)'!$B1700&amp;'All Statement of strategy (D)'!$C1700,"")</f>
        <v/>
      </c>
      <c r="H1700" s="585" t="str">
        <f ca="1">IF(AND('Reconciliation report'!$E$872&gt;=2,$C1700&lt;&gt;""),'All Statement of strategy (D)'!$B1700&amp;'All Statement of strategy (D)'!$C1700,"")</f>
        <v/>
      </c>
      <c r="I1700" s="595" t="str">
        <f ca="1">IF($C$1=RefData!$B$418,'All Statement of strategy (D)'!$E1700,IF('All Statement of strategy (D)'!$C$1=RefData!$B$419,'All Statement of strategy (D)'!$F1700,IF('All Statement of strategy (D)'!$C$1=RefData!$B$420,'All Statement of strategy (D)'!$G1700,IF('All Statement of strategy (D)'!$C$1=RefData!$B$421,'All Statement of strategy (D)'!$H1700," "))))</f>
        <v xml:space="preserve"> </v>
      </c>
    </row>
    <row r="1701" spans="1:9">
      <c r="B1701" s="594" t="s">
        <v>2722</v>
      </c>
      <c r="C1701" s="615"/>
      <c r="E1701" s="585" t="str">
        <f ca="1">IF('Reconciliation report'!$E$872&gt;=2,'All Statement of strategy (D)'!$B1701&amp;'All Statement of strategy (D)'!$C1701,"")</f>
        <v xml:space="preserve">Triggers for any cessation of payment schedule or termination of ABC: </v>
      </c>
      <c r="F1701" s="585" t="str">
        <f ca="1">IF('Reconciliation report'!$E$872&gt;=2,'All Statement of strategy (D)'!$B1701&amp;'All Statement of strategy (D)'!$C1701,"")</f>
        <v xml:space="preserve">Triggers for any cessation of payment schedule or termination of ABC: </v>
      </c>
      <c r="G1701" s="585" t="str">
        <f>""</f>
        <v/>
      </c>
      <c r="H1701" s="585" t="str">
        <f>""</f>
        <v/>
      </c>
      <c r="I1701" s="595" t="str">
        <f ca="1">IF($C$1=RefData!$B$418,'All Statement of strategy (D)'!$E1701,IF('All Statement of strategy (D)'!$C$1=RefData!$B$419,'All Statement of strategy (D)'!$F1701,IF('All Statement of strategy (D)'!$C$1=RefData!$B$420,'All Statement of strategy (D)'!$G1701,IF('All Statement of strategy (D)'!$C$1=RefData!$B$421,'All Statement of strategy (D)'!$H1701," "))))</f>
        <v xml:space="preserve"> </v>
      </c>
    </row>
    <row r="1702" spans="1:9">
      <c r="A1702" s="584" t="s">
        <v>2734</v>
      </c>
      <c r="B1702" s="594" t="str">
        <f ca="1">LEFT('Reconciliation report'!$E$893,1000)</f>
        <v/>
      </c>
      <c r="C1702" s="615"/>
      <c r="E1702" s="585" t="str">
        <f ca="1">IF('Reconciliation report'!$E$872&gt;=2,'All Statement of strategy (D)'!$B1702&amp;'All Statement of strategy (D)'!$C1702,"")</f>
        <v/>
      </c>
      <c r="F1702" s="585" t="str">
        <f ca="1">IF('Reconciliation report'!$E$872&gt;=2,'All Statement of strategy (D)'!$B1702&amp;'All Statement of strategy (D)'!$C1702,"")</f>
        <v/>
      </c>
      <c r="G1702" s="585" t="str">
        <f>""</f>
        <v/>
      </c>
      <c r="H1702" s="585" t="str">
        <f>""</f>
        <v/>
      </c>
      <c r="I1702" s="595" t="str">
        <f ca="1">IF($C$1=RefData!$B$418,'All Statement of strategy (D)'!$E1702,IF('All Statement of strategy (D)'!$C$1=RefData!$B$419,'All Statement of strategy (D)'!$F1702,IF('All Statement of strategy (D)'!$C$1=RefData!$B$420,'All Statement of strategy (D)'!$G1702,IF('All Statement of strategy (D)'!$C$1=RefData!$B$421,'All Statement of strategy (D)'!$H1702," "))))</f>
        <v xml:space="preserve"> </v>
      </c>
    </row>
    <row r="1703" spans="1:9">
      <c r="A1703" s="584" t="s">
        <v>2734</v>
      </c>
      <c r="B1703" s="594" t="str">
        <f ca="1">MID('Reconciliation report'!$E$893,1001,1000)</f>
        <v/>
      </c>
      <c r="C1703" s="615"/>
      <c r="E1703" s="585" t="str">
        <f ca="1">IF('Reconciliation report'!$E$872&gt;=2,'All Statement of strategy (D)'!$B1703&amp;'All Statement of strategy (D)'!$C1703,"")</f>
        <v/>
      </c>
      <c r="F1703" s="585" t="str">
        <f ca="1">IF('Reconciliation report'!$E$872&gt;=2,'All Statement of strategy (D)'!$B1703&amp;'All Statement of strategy (D)'!$C1703,"")</f>
        <v/>
      </c>
      <c r="G1703" s="585" t="str">
        <f>""</f>
        <v/>
      </c>
      <c r="H1703" s="585" t="str">
        <f>""</f>
        <v/>
      </c>
      <c r="I1703" s="595" t="str">
        <f ca="1">IF($C$1=RefData!$B$418,'All Statement of strategy (D)'!$E1703,IF('All Statement of strategy (D)'!$C$1=RefData!$B$419,'All Statement of strategy (D)'!$F1703,IF('All Statement of strategy (D)'!$C$1=RefData!$B$420,'All Statement of strategy (D)'!$G1703,IF('All Statement of strategy (D)'!$C$1=RefData!$B$421,'All Statement of strategy (D)'!$H1703," "))))</f>
        <v xml:space="preserve"> </v>
      </c>
    </row>
    <row r="1704" spans="1:9">
      <c r="A1704" s="584" t="s">
        <v>2734</v>
      </c>
      <c r="B1704" s="594" t="str">
        <f ca="1">MID('Reconciliation report'!$E$893,2001,1000)</f>
        <v/>
      </c>
      <c r="C1704" s="615"/>
      <c r="E1704" s="585" t="str">
        <f ca="1">IF('Reconciliation report'!$E$872&gt;=2,'All Statement of strategy (D)'!$B1704&amp;'All Statement of strategy (D)'!$C1704,"")</f>
        <v/>
      </c>
      <c r="F1704" s="585" t="str">
        <f ca="1">IF('Reconciliation report'!$E$872&gt;=2,'All Statement of strategy (D)'!$B1704&amp;'All Statement of strategy (D)'!$C1704,"")</f>
        <v/>
      </c>
      <c r="G1704" s="585" t="str">
        <f>""</f>
        <v/>
      </c>
      <c r="H1704" s="585" t="str">
        <f>""</f>
        <v/>
      </c>
      <c r="I1704" s="595" t="str">
        <f ca="1">IF($C$1=RefData!$B$418,'All Statement of strategy (D)'!$E1704,IF('All Statement of strategy (D)'!$C$1=RefData!$B$419,'All Statement of strategy (D)'!$F1704,IF('All Statement of strategy (D)'!$C$1=RefData!$B$420,'All Statement of strategy (D)'!$G1704,IF('All Statement of strategy (D)'!$C$1=RefData!$B$421,'All Statement of strategy (D)'!$H1704," "))))</f>
        <v xml:space="preserve"> </v>
      </c>
    </row>
    <row r="1705" spans="1:9" ht="16" thickBot="1">
      <c r="A1705" s="584" t="s">
        <v>2734</v>
      </c>
      <c r="B1705" s="597" t="str">
        <f ca="1">MID('Reconciliation report'!$E$893,3001,1000)</f>
        <v/>
      </c>
      <c r="C1705" s="625"/>
      <c r="D1705" s="598"/>
      <c r="E1705" s="598" t="str">
        <f ca="1">IF('Reconciliation report'!$E$872&gt;=2,'All Statement of strategy (D)'!$B1705&amp;'All Statement of strategy (D)'!$C1705,"")</f>
        <v/>
      </c>
      <c r="F1705" s="598" t="str">
        <f ca="1">IF('Reconciliation report'!$E$872&gt;=2,'All Statement of strategy (D)'!$B1705&amp;'All Statement of strategy (D)'!$C1705,"")</f>
        <v/>
      </c>
      <c r="G1705" s="598" t="str">
        <f>""</f>
        <v/>
      </c>
      <c r="H1705" s="598" t="str">
        <f>""</f>
        <v/>
      </c>
      <c r="I1705" s="599" t="str">
        <f ca="1">IF($C$1=RefData!$B$418,'All Statement of strategy (D)'!$E1705,IF('All Statement of strategy (D)'!$C$1=RefData!$B$419,'All Statement of strategy (D)'!$F1705,IF('All Statement of strategy (D)'!$C$1=RefData!$B$420,'All Statement of strategy (D)'!$G1705,IF('All Statement of strategy (D)'!$C$1=RefData!$B$421,'All Statement of strategy (D)'!$H1705," "))))</f>
        <v xml:space="preserve"> </v>
      </c>
    </row>
    <row r="1706" spans="1:9" ht="16" thickBot="1">
      <c r="B1706" s="626" t="s">
        <v>2735</v>
      </c>
      <c r="C1706" s="648"/>
      <c r="D1706" s="608"/>
      <c r="E1706" s="608" t="str">
        <f ca="1">IF('Reconciliation report'!$E$872&gt;=3,'All Statement of strategy (D)'!$B1706&amp;'All Statement of strategy (D)'!$C1706,"")</f>
        <v>ABC 3</v>
      </c>
      <c r="F1706" s="608" t="str">
        <f ca="1">IF('Reconciliation report'!$E$872&gt;=3,'All Statement of strategy (D)'!$B1706&amp;'All Statement of strategy (D)'!$C1706,"")</f>
        <v>ABC 3</v>
      </c>
      <c r="G1706" s="608" t="str">
        <f ca="1">IF('Reconciliation report'!$E$872&gt;=3,'All Statement of strategy (D)'!$B1706&amp;'All Statement of strategy (D)'!$C1706,"")</f>
        <v>ABC 3</v>
      </c>
      <c r="H1706" s="608" t="str">
        <f ca="1">IF('Reconciliation report'!$E$872&gt;=3,'All Statement of strategy (D)'!$B1706&amp;'All Statement of strategy (D)'!$C1706,"")</f>
        <v>ABC 3</v>
      </c>
      <c r="I1706" s="627" t="str">
        <f ca="1">IF($C$1=RefData!$B$418,'All Statement of strategy (D)'!$E1706,IF('All Statement of strategy (D)'!$C$1=RefData!$B$419,'All Statement of strategy (D)'!$F1706,IF('All Statement of strategy (D)'!$C$1=RefData!$B$420,'All Statement of strategy (D)'!$G1706,IF('All Statement of strategy (D)'!$C$1=RefData!$B$421,'All Statement of strategy (D)'!$H1706," "))))</f>
        <v xml:space="preserve"> </v>
      </c>
    </row>
    <row r="1707" spans="1:9">
      <c r="A1707" s="604" t="s">
        <v>2736</v>
      </c>
      <c r="B1707" s="594" t="str">
        <f ca="1">IF('Reconciliation report'!$E$894=RefData!$B$186,"","Type of security: ")</f>
        <v xml:space="preserve">Type of security: </v>
      </c>
      <c r="C1707" s="585" t="str">
        <f ca="1">IF('Reconciliation report'!$E$894=RefData!$B$186,"",'Reconciliation report'!$E$894)</f>
        <v/>
      </c>
      <c r="D1707" s="624"/>
      <c r="E1707" s="585" t="str">
        <f ca="1">IF('Reconciliation report'!$E$872&gt;=3,'All Statement of strategy (D)'!$B1707&amp;'All Statement of strategy (D)'!$C1707,"")</f>
        <v xml:space="preserve">Type of security: </v>
      </c>
      <c r="F1707" s="585" t="str">
        <f ca="1">IF('Reconciliation report'!$E$872&gt;=3,'All Statement of strategy (D)'!$B1707&amp;'All Statement of strategy (D)'!$C1707,"")</f>
        <v xml:space="preserve">Type of security: </v>
      </c>
      <c r="G1707" s="585" t="str">
        <f ca="1">IF('Reconciliation report'!$E$872&gt;=3,'All Statement of strategy (D)'!$B1707&amp;'All Statement of strategy (D)'!$C1707,"")</f>
        <v xml:space="preserve">Type of security: </v>
      </c>
      <c r="H1707" s="585" t="str">
        <f ca="1">IF('Reconciliation report'!$E$872&gt;=3,'All Statement of strategy (D)'!$B1707&amp;'All Statement of strategy (D)'!$C1707,"")</f>
        <v xml:space="preserve">Type of security: </v>
      </c>
      <c r="I1707" s="595" t="str">
        <f ca="1">IF($C$1=RefData!$B$418,'All Statement of strategy (D)'!$E1707,IF('All Statement of strategy (D)'!$C$1=RefData!$B$419,'All Statement of strategy (D)'!$F1707,IF('All Statement of strategy (D)'!$C$1=RefData!$B$420,'All Statement of strategy (D)'!$G1707,IF('All Statement of strategy (D)'!$C$1=RefData!$B$421,'All Statement of strategy (D)'!$H1707," "))))</f>
        <v xml:space="preserve"> </v>
      </c>
    </row>
    <row r="1708" spans="1:9">
      <c r="A1708" s="584" t="s">
        <v>2737</v>
      </c>
      <c r="B1708" s="594" t="str">
        <f ca="1">IF('Reconciliation report'!$E$894=RefData!$B$186,"Type of security: ","Description of underlying asset: ")</f>
        <v xml:space="preserve">Description of underlying asset: </v>
      </c>
      <c r="C1708" s="585" t="str">
        <f ca="1">LEFT('Reconciliation report'!$E$895,1000)</f>
        <v/>
      </c>
      <c r="D1708" s="624"/>
      <c r="E1708" s="585" t="str">
        <f ca="1">IF('Reconciliation report'!$E$872&gt;=3,'All Statement of strategy (D)'!$B1708&amp;'All Statement of strategy (D)'!$C1708,"")</f>
        <v xml:space="preserve">Description of underlying asset: </v>
      </c>
      <c r="F1708" s="585" t="str">
        <f ca="1">IF('Reconciliation report'!$E$872&gt;=3,'All Statement of strategy (D)'!$B1708&amp;'All Statement of strategy (D)'!$C1708,"")</f>
        <v xml:space="preserve">Description of underlying asset: </v>
      </c>
      <c r="G1708" s="585" t="str">
        <f ca="1">IF('Reconciliation report'!$E$872&gt;=3,'All Statement of strategy (D)'!$B1708&amp;'All Statement of strategy (D)'!$C1708,"")</f>
        <v xml:space="preserve">Description of underlying asset: </v>
      </c>
      <c r="H1708" s="585" t="str">
        <f ca="1">IF('Reconciliation report'!$E$872&gt;=3,'All Statement of strategy (D)'!$B1708&amp;'All Statement of strategy (D)'!$C1708,"")</f>
        <v xml:space="preserve">Description of underlying asset: </v>
      </c>
      <c r="I1708" s="595" t="str">
        <f ca="1">IF($C$1=RefData!$B$418,'All Statement of strategy (D)'!$E1708,IF('All Statement of strategy (D)'!$C$1=RefData!$B$419,'All Statement of strategy (D)'!$F1708,IF('All Statement of strategy (D)'!$C$1=RefData!$B$420,'All Statement of strategy (D)'!$G1708,IF('All Statement of strategy (D)'!$C$1=RefData!$B$421,'All Statement of strategy (D)'!$H1708," "))))</f>
        <v xml:space="preserve"> </v>
      </c>
    </row>
    <row r="1709" spans="1:9">
      <c r="A1709" s="584" t="s">
        <v>2737</v>
      </c>
      <c r="B1709" s="594" t="str">
        <f ca="1">MID('Reconciliation report'!$E$895,1001,1000)</f>
        <v/>
      </c>
      <c r="D1709" s="624"/>
      <c r="E1709" s="585" t="str">
        <f ca="1">IF('Reconciliation report'!$E$872&gt;=3,'All Statement of strategy (D)'!$B1709&amp;'All Statement of strategy (D)'!$C1709,"")</f>
        <v/>
      </c>
      <c r="F1709" s="585" t="str">
        <f ca="1">IF('Reconciliation report'!$E$872&gt;=3,'All Statement of strategy (D)'!$B1709&amp;'All Statement of strategy (D)'!$C1709,"")</f>
        <v/>
      </c>
      <c r="G1709" s="585" t="str">
        <f ca="1">IF('Reconciliation report'!$E$872&gt;=3,'All Statement of strategy (D)'!$B1709&amp;'All Statement of strategy (D)'!$C1709,"")</f>
        <v/>
      </c>
      <c r="H1709" s="585" t="str">
        <f ca="1">IF('Reconciliation report'!$E$872&gt;=3,'All Statement of strategy (D)'!$B1709&amp;'All Statement of strategy (D)'!$C1709,"")</f>
        <v/>
      </c>
      <c r="I1709" s="595" t="str">
        <f ca="1">IF($C$1=RefData!$B$418,'All Statement of strategy (D)'!$E1709,IF('All Statement of strategy (D)'!$C$1=RefData!$B$419,'All Statement of strategy (D)'!$F1709,IF('All Statement of strategy (D)'!$C$1=RefData!$B$420,'All Statement of strategy (D)'!$G1709,IF('All Statement of strategy (D)'!$C$1=RefData!$B$421,'All Statement of strategy (D)'!$H1709," "))))</f>
        <v xml:space="preserve"> </v>
      </c>
    </row>
    <row r="1710" spans="1:9">
      <c r="A1710" s="584" t="s">
        <v>2737</v>
      </c>
      <c r="B1710" s="594" t="str">
        <f ca="1">MID('Reconciliation report'!$E$895,2001,1000)</f>
        <v/>
      </c>
      <c r="D1710" s="624"/>
      <c r="E1710" s="585" t="str">
        <f ca="1">IF('Reconciliation report'!$E$872&gt;=3,'All Statement of strategy (D)'!$B1710&amp;'All Statement of strategy (D)'!$C1710,"")</f>
        <v/>
      </c>
      <c r="F1710" s="585" t="str">
        <f ca="1">IF('Reconciliation report'!$E$872&gt;=3,'All Statement of strategy (D)'!$B1710&amp;'All Statement of strategy (D)'!$C1710,"")</f>
        <v/>
      </c>
      <c r="G1710" s="585" t="str">
        <f ca="1">IF('Reconciliation report'!$E$872&gt;=3,'All Statement of strategy (D)'!$B1710&amp;'All Statement of strategy (D)'!$C1710,"")</f>
        <v/>
      </c>
      <c r="H1710" s="585" t="str">
        <f ca="1">IF('Reconciliation report'!$E$872&gt;=3,'All Statement of strategy (D)'!$B1710&amp;'All Statement of strategy (D)'!$C1710,"")</f>
        <v/>
      </c>
      <c r="I1710" s="595" t="str">
        <f ca="1">IF($C$1=RefData!$B$418,'All Statement of strategy (D)'!$E1710,IF('All Statement of strategy (D)'!$C$1=RefData!$B$419,'All Statement of strategy (D)'!$F1710,IF('All Statement of strategy (D)'!$C$1=RefData!$B$420,'All Statement of strategy (D)'!$G1710,IF('All Statement of strategy (D)'!$C$1=RefData!$B$421,'All Statement of strategy (D)'!$H1710," "))))</f>
        <v xml:space="preserve"> </v>
      </c>
    </row>
    <row r="1711" spans="1:9">
      <c r="A1711" s="584" t="s">
        <v>2737</v>
      </c>
      <c r="B1711" s="594" t="str">
        <f ca="1">MID('Reconciliation report'!$E$895,3001,1000)</f>
        <v/>
      </c>
      <c r="D1711" s="624"/>
      <c r="E1711" s="585" t="str">
        <f ca="1">IF('Reconciliation report'!$E$872&gt;=3,'All Statement of strategy (D)'!$B1711&amp;'All Statement of strategy (D)'!$C1711,"")</f>
        <v/>
      </c>
      <c r="F1711" s="585" t="str">
        <f ca="1">IF('Reconciliation report'!$E$872&gt;=3,'All Statement of strategy (D)'!$B1711&amp;'All Statement of strategy (D)'!$C1711,"")</f>
        <v/>
      </c>
      <c r="G1711" s="585" t="str">
        <f ca="1">IF('Reconciliation report'!$E$872&gt;=3,'All Statement of strategy (D)'!$B1711&amp;'All Statement of strategy (D)'!$C1711,"")</f>
        <v/>
      </c>
      <c r="H1711" s="585" t="str">
        <f ca="1">IF('Reconciliation report'!$E$872&gt;=3,'All Statement of strategy (D)'!$B1711&amp;'All Statement of strategy (D)'!$C1711,"")</f>
        <v/>
      </c>
      <c r="I1711" s="595" t="str">
        <f ca="1">IF($C$1=RefData!$B$418,'All Statement of strategy (D)'!$E1711,IF('All Statement of strategy (D)'!$C$1=RefData!$B$419,'All Statement of strategy (D)'!$F1711,IF('All Statement of strategy (D)'!$C$1=RefData!$B$420,'All Statement of strategy (D)'!$G1711,IF('All Statement of strategy (D)'!$C$1=RefData!$B$421,'All Statement of strategy (D)'!$H1711," "))))</f>
        <v xml:space="preserve"> </v>
      </c>
    </row>
    <row r="1712" spans="1:9">
      <c r="B1712" s="594" t="s">
        <v>2532</v>
      </c>
      <c r="C1712" s="615"/>
      <c r="D1712" s="624"/>
      <c r="E1712" s="585" t="str">
        <f ca="1">IF('Reconciliation report'!$E$872&gt;=3,'All Statement of strategy (D)'!$B1712&amp;'All Statement of strategy (D)'!$C1712,"")</f>
        <v xml:space="preserve">Type of maturity: </v>
      </c>
      <c r="F1712" s="585" t="str">
        <f ca="1">IF('Reconciliation report'!$E$872&gt;=3,'All Statement of strategy (D)'!$B1712&amp;'All Statement of strategy (D)'!$C1712,"")</f>
        <v xml:space="preserve">Type of maturity: </v>
      </c>
      <c r="G1712" s="585" t="str">
        <f ca="1">IF('Reconciliation report'!$E$872&gt;=3,'All Statement of strategy (D)'!$B1712&amp;'All Statement of strategy (D)'!$C1712,"")</f>
        <v xml:space="preserve">Type of maturity: </v>
      </c>
      <c r="H1712" s="585" t="str">
        <f ca="1">IF('Reconciliation report'!$E$872&gt;=3,'All Statement of strategy (D)'!$B1712&amp;'All Statement of strategy (D)'!$C1712,"")</f>
        <v xml:space="preserve">Type of maturity: </v>
      </c>
      <c r="I1712" s="595" t="str">
        <f ca="1">IF($C$1=RefData!$B$418,'All Statement of strategy (D)'!$E1712,IF('All Statement of strategy (D)'!$C$1=RefData!$B$419,'All Statement of strategy (D)'!$F1712,IF('All Statement of strategy (D)'!$C$1=RefData!$B$420,'All Statement of strategy (D)'!$G1712,IF('All Statement of strategy (D)'!$C$1=RefData!$B$421,'All Statement of strategy (D)'!$H1712," "))))</f>
        <v xml:space="preserve"> </v>
      </c>
    </row>
    <row r="1713" spans="1:9">
      <c r="A1713" s="604" t="s">
        <v>2738</v>
      </c>
      <c r="B1713" s="594" t="str">
        <f ca="1">IF('Reconciliation report'!$E$896=RefData!$B$187,'Reconciliation report'!$E$896,"")</f>
        <v/>
      </c>
      <c r="C1713" s="615"/>
      <c r="D1713" s="624"/>
      <c r="E1713" s="585" t="str">
        <f ca="1">IF('Reconciliation report'!$E$872&gt;=3,'All Statement of strategy (D)'!$B1713&amp;'All Statement of strategy (D)'!$C1713,"")</f>
        <v/>
      </c>
      <c r="F1713" s="585" t="str">
        <f ca="1">IF('Reconciliation report'!$E$872&gt;=3,'All Statement of strategy (D)'!$B1713&amp;'All Statement of strategy (D)'!$C1713,"")</f>
        <v/>
      </c>
      <c r="G1713" s="585" t="str">
        <f ca="1">IF('Reconciliation report'!$E$872&gt;=3,'All Statement of strategy (D)'!$B1713&amp;'All Statement of strategy (D)'!$C1713,"")</f>
        <v/>
      </c>
      <c r="H1713" s="585" t="str">
        <f ca="1">IF('Reconciliation report'!$E$872&gt;=3,'All Statement of strategy (D)'!$B1713&amp;'All Statement of strategy (D)'!$C1713,"")</f>
        <v/>
      </c>
      <c r="I1713" s="595" t="str">
        <f ca="1">IF($C$1=RefData!$B$418,'All Statement of strategy (D)'!$E1713,IF('All Statement of strategy (D)'!$C$1=RefData!$B$419,'All Statement of strategy (D)'!$F1713,IF('All Statement of strategy (D)'!$C$1=RefData!$B$420,'All Statement of strategy (D)'!$G1713,IF('All Statement of strategy (D)'!$C$1=RefData!$B$421,'All Statement of strategy (D)'!$H1713," "))))</f>
        <v xml:space="preserve"> </v>
      </c>
    </row>
    <row r="1714" spans="1:9">
      <c r="A1714" s="584" t="s">
        <v>2739</v>
      </c>
      <c r="B1714" s="594" t="str">
        <f ca="1">IF('Reconciliation report'!$E$896=RefData!$B$188,"Fixed expiry with a maturity date of ","")</f>
        <v/>
      </c>
      <c r="C1714" s="615" t="str">
        <f ca="1">TEXT('Reconciliation report'!$E$897,RefData!$B$424)</f>
        <v/>
      </c>
      <c r="D1714" s="624"/>
      <c r="E1714" s="585" t="str">
        <f ca="1">IF('Reconciliation report'!$E$872&gt;=3,'All Statement of strategy (D)'!$B1714&amp;'All Statement of strategy (D)'!$C1714,"")</f>
        <v/>
      </c>
      <c r="F1714" s="585" t="str">
        <f ca="1">IF('Reconciliation report'!$E$872&gt;=3,'All Statement of strategy (D)'!$B1714&amp;'All Statement of strategy (D)'!$C1714,"")</f>
        <v/>
      </c>
      <c r="G1714" s="585" t="str">
        <f ca="1">IF('Reconciliation report'!$E$872&gt;=3,'All Statement of strategy (D)'!$B1714&amp;'All Statement of strategy (D)'!$C1714,"")</f>
        <v/>
      </c>
      <c r="H1714" s="585" t="str">
        <f ca="1">IF('Reconciliation report'!$E$872&gt;=3,'All Statement of strategy (D)'!$B1714&amp;'All Statement of strategy (D)'!$C1714,"")</f>
        <v/>
      </c>
      <c r="I1714" s="595" t="str">
        <f ca="1">IF($C$1=RefData!$B$418,'All Statement of strategy (D)'!$E1714,IF('All Statement of strategy (D)'!$C$1=RefData!$B$419,'All Statement of strategy (D)'!$F1714,IF('All Statement of strategy (D)'!$C$1=RefData!$B$420,'All Statement of strategy (D)'!$G1714,IF('All Statement of strategy (D)'!$C$1=RefData!$B$421,'All Statement of strategy (D)'!$H1714," "))))</f>
        <v xml:space="preserve"> </v>
      </c>
    </row>
    <row r="1715" spans="1:9">
      <c r="A1715" s="584" t="s">
        <v>2740</v>
      </c>
      <c r="B1715" s="594" t="str">
        <f ca="1">IF('Reconciliation report'!$E$896=RefData!$B$189,LEFT('Reconciliation report'!$E$898,1000),"")</f>
        <v/>
      </c>
      <c r="C1715" s="615"/>
      <c r="D1715" s="624"/>
      <c r="E1715" s="585" t="str">
        <f ca="1">IF('Reconciliation report'!$E$872&gt;=3,'All Statement of strategy (D)'!$B1715&amp;'All Statement of strategy (D)'!$C1715,"")</f>
        <v/>
      </c>
      <c r="F1715" s="585" t="str">
        <f ca="1">IF('Reconciliation report'!$E$872&gt;=3,'All Statement of strategy (D)'!$B1715&amp;'All Statement of strategy (D)'!$C1715,"")</f>
        <v/>
      </c>
      <c r="G1715" s="585" t="str">
        <f ca="1">IF('Reconciliation report'!$E$872&gt;=3,'All Statement of strategy (D)'!$B1715&amp;'All Statement of strategy (D)'!$C1715,"")</f>
        <v/>
      </c>
      <c r="H1715" s="585" t="str">
        <f ca="1">IF('Reconciliation report'!$E$872&gt;=3,'All Statement of strategy (D)'!$B1715&amp;'All Statement of strategy (D)'!$C1715,"")</f>
        <v/>
      </c>
      <c r="I1715" s="595" t="str">
        <f ca="1">IF($C$1=RefData!$B$418,'All Statement of strategy (D)'!$E1715,IF('All Statement of strategy (D)'!$C$1=RefData!$B$419,'All Statement of strategy (D)'!$F1715,IF('All Statement of strategy (D)'!$C$1=RefData!$B$420,'All Statement of strategy (D)'!$G1715,IF('All Statement of strategy (D)'!$C$1=RefData!$B$421,'All Statement of strategy (D)'!$H1715," "))))</f>
        <v xml:space="preserve"> </v>
      </c>
    </row>
    <row r="1716" spans="1:9">
      <c r="A1716" s="584" t="s">
        <v>2740</v>
      </c>
      <c r="B1716" s="594" t="str">
        <f ca="1">IF('Reconciliation report'!$E$896=RefData!$B$189,MID('Reconciliation report'!$E$898,1001,1000),"")</f>
        <v/>
      </c>
      <c r="C1716" s="615"/>
      <c r="D1716" s="624"/>
      <c r="E1716" s="585" t="str">
        <f ca="1">IF('Reconciliation report'!$E$872&gt;=3,'All Statement of strategy (D)'!$B1716&amp;'All Statement of strategy (D)'!$C1716,"")</f>
        <v/>
      </c>
      <c r="F1716" s="585" t="str">
        <f ca="1">IF('Reconciliation report'!$E$872&gt;=3,'All Statement of strategy (D)'!$B1716&amp;'All Statement of strategy (D)'!$C1716,"")</f>
        <v/>
      </c>
      <c r="G1716" s="585" t="str">
        <f ca="1">IF('Reconciliation report'!$E$872&gt;=3,'All Statement of strategy (D)'!$B1716&amp;'All Statement of strategy (D)'!$C1716,"")</f>
        <v/>
      </c>
      <c r="H1716" s="585" t="str">
        <f ca="1">IF('Reconciliation report'!$E$872&gt;=3,'All Statement of strategy (D)'!$B1716&amp;'All Statement of strategy (D)'!$C1716,"")</f>
        <v/>
      </c>
      <c r="I1716" s="595" t="str">
        <f ca="1">IF($C$1=RefData!$B$418,'All Statement of strategy (D)'!$E1716,IF('All Statement of strategy (D)'!$C$1=RefData!$B$419,'All Statement of strategy (D)'!$F1716,IF('All Statement of strategy (D)'!$C$1=RefData!$B$420,'All Statement of strategy (D)'!$G1716,IF('All Statement of strategy (D)'!$C$1=RefData!$B$421,'All Statement of strategy (D)'!$H1716," "))))</f>
        <v xml:space="preserve"> </v>
      </c>
    </row>
    <row r="1717" spans="1:9">
      <c r="A1717" s="584" t="s">
        <v>2740</v>
      </c>
      <c r="B1717" s="594" t="str">
        <f ca="1">IF('Reconciliation report'!$E$896=RefData!$B$189,MID('Reconciliation report'!$E$898,2001,1000),"")</f>
        <v/>
      </c>
      <c r="C1717" s="615"/>
      <c r="D1717" s="624"/>
      <c r="E1717" s="585" t="str">
        <f ca="1">IF('Reconciliation report'!$E$872&gt;=3,'All Statement of strategy (D)'!$B1717&amp;'All Statement of strategy (D)'!$C1717,"")</f>
        <v/>
      </c>
      <c r="F1717" s="585" t="str">
        <f ca="1">IF('Reconciliation report'!$E$872&gt;=3,'All Statement of strategy (D)'!$B1717&amp;'All Statement of strategy (D)'!$C1717,"")</f>
        <v/>
      </c>
      <c r="G1717" s="585" t="str">
        <f ca="1">IF('Reconciliation report'!$E$872&gt;=3,'All Statement of strategy (D)'!$B1717&amp;'All Statement of strategy (D)'!$C1717,"")</f>
        <v/>
      </c>
      <c r="H1717" s="585" t="str">
        <f ca="1">IF('Reconciliation report'!$E$872&gt;=3,'All Statement of strategy (D)'!$B1717&amp;'All Statement of strategy (D)'!$C1717,"")</f>
        <v/>
      </c>
      <c r="I1717" s="595" t="str">
        <f ca="1">IF($C$1=RefData!$B$418,'All Statement of strategy (D)'!$E1717,IF('All Statement of strategy (D)'!$C$1=RefData!$B$419,'All Statement of strategy (D)'!$F1717,IF('All Statement of strategy (D)'!$C$1=RefData!$B$420,'All Statement of strategy (D)'!$G1717,IF('All Statement of strategy (D)'!$C$1=RefData!$B$421,'All Statement of strategy (D)'!$H1717," "))))</f>
        <v xml:space="preserve"> </v>
      </c>
    </row>
    <row r="1718" spans="1:9">
      <c r="A1718" s="584" t="s">
        <v>2740</v>
      </c>
      <c r="B1718" s="594" t="str">
        <f ca="1">IF('Reconciliation report'!$E$896=RefData!$B$189,MID('Reconciliation report'!$E$898,3001,1000),"")</f>
        <v/>
      </c>
      <c r="C1718" s="615"/>
      <c r="D1718" s="624"/>
      <c r="E1718" s="585" t="str">
        <f ca="1">IF('Reconciliation report'!$E$872&gt;=3,'All Statement of strategy (D)'!$B1718&amp;'All Statement of strategy (D)'!$C1718,"")</f>
        <v/>
      </c>
      <c r="F1718" s="585" t="str">
        <f ca="1">IF('Reconciliation report'!$E$872&gt;=3,'All Statement of strategy (D)'!$B1718&amp;'All Statement of strategy (D)'!$C1718,"")</f>
        <v/>
      </c>
      <c r="G1718" s="585" t="str">
        <f ca="1">IF('Reconciliation report'!$E$872&gt;=3,'All Statement of strategy (D)'!$B1718&amp;'All Statement of strategy (D)'!$C1718,"")</f>
        <v/>
      </c>
      <c r="H1718" s="585" t="str">
        <f ca="1">IF('Reconciliation report'!$E$872&gt;=3,'All Statement of strategy (D)'!$B1718&amp;'All Statement of strategy (D)'!$C1718,"")</f>
        <v/>
      </c>
      <c r="I1718" s="595" t="str">
        <f ca="1">IF($C$1=RefData!$B$418,'All Statement of strategy (D)'!$E1718,IF('All Statement of strategy (D)'!$C$1=RefData!$B$419,'All Statement of strategy (D)'!$F1718,IF('All Statement of strategy (D)'!$C$1=RefData!$B$420,'All Statement of strategy (D)'!$G1718,IF('All Statement of strategy (D)'!$C$1=RefData!$B$421,'All Statement of strategy (D)'!$H1718," "))))</f>
        <v xml:space="preserve"> </v>
      </c>
    </row>
    <row r="1719" spans="1:9">
      <c r="A1719" s="584" t="s">
        <v>2741</v>
      </c>
      <c r="B1719" s="594" t="s">
        <v>2715</v>
      </c>
      <c r="C1719" s="585" t="str">
        <f ca="1">TEXT('Reconciliation report'!$E$899,RefData!$B$425)</f>
        <v/>
      </c>
      <c r="E1719" s="585" t="str">
        <f ca="1">IF('Reconciliation report'!$E$872&gt;=3,'All Statement of strategy (D)'!$B1719&amp;'All Statement of strategy (D)'!$C1719,"")</f>
        <v xml:space="preserve">Value of the scheme's interest in the ABC (net present value): </v>
      </c>
      <c r="F1719" s="585" t="str">
        <f ca="1">IF('Reconciliation report'!$E$872&gt;=3,'All Statement of strategy (D)'!$B1719&amp;'All Statement of strategy (D)'!$C1719,"")</f>
        <v xml:space="preserve">Value of the scheme's interest in the ABC (net present value): </v>
      </c>
      <c r="G1719" s="585" t="str">
        <f ca="1">IF('Reconciliation report'!$E$872&gt;=3,'All Statement of strategy (D)'!$B1719&amp;'All Statement of strategy (D)'!$C1719,"")</f>
        <v xml:space="preserve">Value of the scheme's interest in the ABC (net present value): </v>
      </c>
      <c r="H1719" s="585" t="str">
        <f ca="1">IF('Reconciliation report'!$E$872&gt;=3,'All Statement of strategy (D)'!$B1719&amp;'All Statement of strategy (D)'!$C1719,"")</f>
        <v xml:space="preserve">Value of the scheme's interest in the ABC (net present value): </v>
      </c>
      <c r="I1719" s="595" t="str">
        <f ca="1">IF($C$1=RefData!$B$418,'All Statement of strategy (D)'!$E1719,IF('All Statement of strategy (D)'!$C$1=RefData!$B$419,'All Statement of strategy (D)'!$F1719,IF('All Statement of strategy (D)'!$C$1=RefData!$B$420,'All Statement of strategy (D)'!$G1719,IF('All Statement of strategy (D)'!$C$1=RefData!$B$421,'All Statement of strategy (D)'!$H1719," "))))</f>
        <v xml:space="preserve"> </v>
      </c>
    </row>
    <row r="1720" spans="1:9">
      <c r="A1720" s="584" t="s">
        <v>2742</v>
      </c>
      <c r="B1720" s="594" t="s">
        <v>2717</v>
      </c>
      <c r="C1720" s="618" t="str">
        <f ca="1">TEXT('Reconciliation report'!$E$900,RefData!$B$424)</f>
        <v/>
      </c>
      <c r="E1720" s="585" t="str">
        <f ca="1">IF('Reconciliation report'!$E$872&gt;=3,'All Statement of strategy (D)'!$B1720&amp;'All Statement of strategy (D)'!$C1720,"")</f>
        <v xml:space="preserve">Date of net present value calculation: </v>
      </c>
      <c r="F1720" s="585" t="str">
        <f ca="1">IF('Reconciliation report'!$E$872&gt;=3,'All Statement of strategy (D)'!$B1720&amp;'All Statement of strategy (D)'!$C1720,"")</f>
        <v xml:space="preserve">Date of net present value calculation: </v>
      </c>
      <c r="G1720" s="585" t="str">
        <f ca="1">IF('Reconciliation report'!$E$872&gt;=3,'All Statement of strategy (D)'!$B1720&amp;'All Statement of strategy (D)'!$C1720,"")</f>
        <v xml:space="preserve">Date of net present value calculation: </v>
      </c>
      <c r="H1720" s="585" t="str">
        <f ca="1">IF('Reconciliation report'!$E$872&gt;=3,'All Statement of strategy (D)'!$B1720&amp;'All Statement of strategy (D)'!$C1720,"")</f>
        <v xml:space="preserve">Date of net present value calculation: </v>
      </c>
      <c r="I1720" s="595" t="str">
        <f ca="1">IF($C$1=RefData!$B$418,'All Statement of strategy (D)'!$E1720,IF('All Statement of strategy (D)'!$C$1=RefData!$B$419,'All Statement of strategy (D)'!$F1720,IF('All Statement of strategy (D)'!$C$1=RefData!$B$420,'All Statement of strategy (D)'!$G1720,IF('All Statement of strategy (D)'!$C$1=RefData!$B$421,'All Statement of strategy (D)'!$H1720," "))))</f>
        <v xml:space="preserve"> </v>
      </c>
    </row>
    <row r="1721" spans="1:9">
      <c r="B1721" s="594" t="s">
        <v>2718</v>
      </c>
      <c r="C1721" s="615"/>
      <c r="E1721" s="585" t="str">
        <f ca="1">IF(AND('Reconciliation report'!$E$872&gt;=3,'Reconciliation report'!$E$901&lt;&gt;""),'All Statement of strategy (D)'!$B1721&amp;'All Statement of strategy (D)'!$C1721,"")</f>
        <v/>
      </c>
      <c r="F1721" s="585" t="str">
        <f ca="1">IF(AND('Reconciliation report'!$E$872&gt;=3,'Reconciliation report'!$E$901&lt;&gt;""),'All Statement of strategy (D)'!$B1721&amp;'All Statement of strategy (D)'!$C1721,"")</f>
        <v/>
      </c>
      <c r="G1721" s="585" t="str">
        <f ca="1">IF(AND('Reconciliation report'!$E$872&gt;=3,'Reconciliation report'!$E$901&lt;&gt;""),'All Statement of strategy (D)'!$B1721&amp;'All Statement of strategy (D)'!$C1721,"")</f>
        <v/>
      </c>
      <c r="H1721" s="585" t="str">
        <f ca="1">IF(AND('Reconciliation report'!$E$872&gt;=3,'Reconciliation report'!$E$901&lt;&gt;""),'All Statement of strategy (D)'!$B1721&amp;'All Statement of strategy (D)'!$C1721,"")</f>
        <v/>
      </c>
      <c r="I1721" s="595" t="str">
        <f ca="1">IF($C$1=RefData!$B$418,'All Statement of strategy (D)'!$E1721,IF('All Statement of strategy (D)'!$C$1=RefData!$B$419,'All Statement of strategy (D)'!$F1721,IF('All Statement of strategy (D)'!$C$1=RefData!$B$420,'All Statement of strategy (D)'!$G1721,IF('All Statement of strategy (D)'!$C$1=RefData!$B$421,'All Statement of strategy (D)'!$H1721," "))))</f>
        <v xml:space="preserve"> </v>
      </c>
    </row>
    <row r="1722" spans="1:9">
      <c r="A1722" s="584" t="s">
        <v>2743</v>
      </c>
      <c r="B1722" s="594" t="s">
        <v>2400</v>
      </c>
      <c r="C1722" s="615" t="str">
        <f ca="1">TEXT('Reconciliation report'!$E$901,RefData!$B$425)</f>
        <v/>
      </c>
      <c r="E1722" s="585" t="str">
        <f ca="1">IF(AND('Reconciliation report'!$E$872&gt;=3,$C1722&lt;&gt;""),'All Statement of strategy (D)'!$B1722&amp;'All Statement of strategy (D)'!$C1722,"")</f>
        <v/>
      </c>
      <c r="F1722" s="585" t="str">
        <f ca="1">IF(AND('Reconciliation report'!$E$872&gt;=3,$C1722&lt;&gt;""),'All Statement of strategy (D)'!$B1722&amp;'All Statement of strategy (D)'!$C1722,"")</f>
        <v/>
      </c>
      <c r="G1722" s="585" t="str">
        <f ca="1">IF(AND('Reconciliation report'!$E$872&gt;=3,$C1722&lt;&gt;""),'All Statement of strategy (D)'!$B1722&amp;'All Statement of strategy (D)'!$C1722,"")</f>
        <v/>
      </c>
      <c r="H1722" s="585" t="str">
        <f ca="1">IF(AND('Reconciliation report'!$E$872&gt;=3,$C1722&lt;&gt;""),'All Statement of strategy (D)'!$B1722&amp;'All Statement of strategy (D)'!$C1722,"")</f>
        <v/>
      </c>
      <c r="I1722" s="595" t="str">
        <f ca="1">IF($C$1=RefData!$B$418,'All Statement of strategy (D)'!$E1722,IF('All Statement of strategy (D)'!$C$1=RefData!$B$419,'All Statement of strategy (D)'!$F1722,IF('All Statement of strategy (D)'!$C$1=RefData!$B$420,'All Statement of strategy (D)'!$G1722,IF('All Statement of strategy (D)'!$C$1=RefData!$B$421,'All Statement of strategy (D)'!$H1722," "))))</f>
        <v xml:space="preserve"> </v>
      </c>
    </row>
    <row r="1723" spans="1:9">
      <c r="A1723" s="584" t="s">
        <v>2744</v>
      </c>
      <c r="B1723" s="594" t="s">
        <v>2721</v>
      </c>
      <c r="C1723" s="618" t="str">
        <f ca="1">TEXT('Reconciliation report'!$E$902,RefData!$B$424)</f>
        <v/>
      </c>
      <c r="E1723" s="585" t="str">
        <f ca="1">IF(AND('Reconciliation report'!$E$872&gt;=3,$C1723&lt;&gt;""),'All Statement of strategy (D)'!$B1723&amp;'All Statement of strategy (D)'!$C1723,"")</f>
        <v/>
      </c>
      <c r="F1723" s="585" t="str">
        <f ca="1">IF(AND('Reconciliation report'!$E$872&gt;=3,$C1723&lt;&gt;""),'All Statement of strategy (D)'!$B1723&amp;'All Statement of strategy (D)'!$C1723,"")</f>
        <v/>
      </c>
      <c r="G1723" s="585" t="str">
        <f ca="1">IF(AND('Reconciliation report'!$E$872&gt;=3,$C1723&lt;&gt;""),'All Statement of strategy (D)'!$B1723&amp;'All Statement of strategy (D)'!$C1723,"")</f>
        <v/>
      </c>
      <c r="H1723" s="585" t="str">
        <f ca="1">IF(AND('Reconciliation report'!$E$872&gt;=3,$C1723&lt;&gt;""),'All Statement of strategy (D)'!$B1723&amp;'All Statement of strategy (D)'!$C1723,"")</f>
        <v/>
      </c>
      <c r="I1723" s="595" t="str">
        <f ca="1">IF($C$1=RefData!$B$418,'All Statement of strategy (D)'!$E1723,IF('All Statement of strategy (D)'!$C$1=RefData!$B$419,'All Statement of strategy (D)'!$F1723,IF('All Statement of strategy (D)'!$C$1=RefData!$B$420,'All Statement of strategy (D)'!$G1723,IF('All Statement of strategy (D)'!$C$1=RefData!$B$421,'All Statement of strategy (D)'!$H1723," "))))</f>
        <v xml:space="preserve"> </v>
      </c>
    </row>
    <row r="1724" spans="1:9">
      <c r="B1724" s="594" t="s">
        <v>2722</v>
      </c>
      <c r="C1724" s="615"/>
      <c r="E1724" s="585" t="str">
        <f ca="1">IF('Reconciliation report'!$E$872&gt;=3,'All Statement of strategy (D)'!$B1724&amp;'All Statement of strategy (D)'!$C1724,"")</f>
        <v xml:space="preserve">Triggers for any cessation of payment schedule or termination of ABC: </v>
      </c>
      <c r="F1724" s="585" t="str">
        <f ca="1">IF('Reconciliation report'!$E$872&gt;=3,'All Statement of strategy (D)'!$B1724&amp;'All Statement of strategy (D)'!$C1724,"")</f>
        <v xml:space="preserve">Triggers for any cessation of payment schedule or termination of ABC: </v>
      </c>
      <c r="G1724" s="585" t="str">
        <f>""</f>
        <v/>
      </c>
      <c r="H1724" s="585" t="str">
        <f>""</f>
        <v/>
      </c>
      <c r="I1724" s="595" t="str">
        <f ca="1">IF($C$1=RefData!$B$418,'All Statement of strategy (D)'!$E1724,IF('All Statement of strategy (D)'!$C$1=RefData!$B$419,'All Statement of strategy (D)'!$F1724,IF('All Statement of strategy (D)'!$C$1=RefData!$B$420,'All Statement of strategy (D)'!$G1724,IF('All Statement of strategy (D)'!$C$1=RefData!$B$421,'All Statement of strategy (D)'!$H1724," "))))</f>
        <v xml:space="preserve"> </v>
      </c>
    </row>
    <row r="1725" spans="1:9">
      <c r="A1725" s="584" t="s">
        <v>2745</v>
      </c>
      <c r="B1725" s="621" t="str">
        <f ca="1">LEFT('Reconciliation report'!$E$903,1000)</f>
        <v/>
      </c>
      <c r="C1725" s="615"/>
      <c r="E1725" s="585" t="str">
        <f ca="1">IF('Reconciliation report'!$E$872&gt;=3,'All Statement of strategy (D)'!$B1725&amp;'All Statement of strategy (D)'!$C1725,"")</f>
        <v/>
      </c>
      <c r="F1725" s="585" t="str">
        <f ca="1">IF('Reconciliation report'!$E$872&gt;=3,'All Statement of strategy (D)'!$B1725&amp;'All Statement of strategy (D)'!$C1725,"")</f>
        <v/>
      </c>
      <c r="G1725" s="585" t="str">
        <f>""</f>
        <v/>
      </c>
      <c r="H1725" s="585" t="str">
        <f>""</f>
        <v/>
      </c>
      <c r="I1725" s="595" t="str">
        <f ca="1">IF($C$1=RefData!$B$418,'All Statement of strategy (D)'!$E1725,IF('All Statement of strategy (D)'!$C$1=RefData!$B$419,'All Statement of strategy (D)'!$F1725,IF('All Statement of strategy (D)'!$C$1=RefData!$B$420,'All Statement of strategy (D)'!$G1725,IF('All Statement of strategy (D)'!$C$1=RefData!$B$421,'All Statement of strategy (D)'!$H1725," "))))</f>
        <v xml:space="preserve"> </v>
      </c>
    </row>
    <row r="1726" spans="1:9">
      <c r="A1726" s="584" t="s">
        <v>2745</v>
      </c>
      <c r="B1726" s="621" t="str">
        <f ca="1">MID('Reconciliation report'!$E$903,1001,1000)</f>
        <v/>
      </c>
      <c r="C1726" s="615"/>
      <c r="E1726" s="585" t="str">
        <f ca="1">IF('Reconciliation report'!$E$872&gt;=3,'All Statement of strategy (D)'!$B1726&amp;'All Statement of strategy (D)'!$C1726,"")</f>
        <v/>
      </c>
      <c r="F1726" s="585" t="str">
        <f ca="1">IF('Reconciliation report'!$E$872&gt;=3,'All Statement of strategy (D)'!$B1726&amp;'All Statement of strategy (D)'!$C1726,"")</f>
        <v/>
      </c>
      <c r="G1726" s="585" t="str">
        <f>""</f>
        <v/>
      </c>
      <c r="H1726" s="585" t="str">
        <f>""</f>
        <v/>
      </c>
      <c r="I1726" s="595" t="str">
        <f ca="1">IF($C$1=RefData!$B$418,'All Statement of strategy (D)'!$E1726,IF('All Statement of strategy (D)'!$C$1=RefData!$B$419,'All Statement of strategy (D)'!$F1726,IF('All Statement of strategy (D)'!$C$1=RefData!$B$420,'All Statement of strategy (D)'!$G1726,IF('All Statement of strategy (D)'!$C$1=RefData!$B$421,'All Statement of strategy (D)'!$H1726," "))))</f>
        <v xml:space="preserve"> </v>
      </c>
    </row>
    <row r="1727" spans="1:9">
      <c r="A1727" s="584" t="s">
        <v>2745</v>
      </c>
      <c r="B1727" s="621" t="str">
        <f ca="1">MID('Reconciliation report'!$E$903,2001,1000)</f>
        <v/>
      </c>
      <c r="C1727" s="615"/>
      <c r="E1727" s="585" t="str">
        <f ca="1">IF('Reconciliation report'!$E$872&gt;=3,'All Statement of strategy (D)'!$B1727&amp;'All Statement of strategy (D)'!$C1727,"")</f>
        <v/>
      </c>
      <c r="F1727" s="585" t="str">
        <f ca="1">IF('Reconciliation report'!$E$872&gt;=3,'All Statement of strategy (D)'!$B1727&amp;'All Statement of strategy (D)'!$C1727,"")</f>
        <v/>
      </c>
      <c r="G1727" s="585" t="str">
        <f>""</f>
        <v/>
      </c>
      <c r="H1727" s="585" t="str">
        <f>""</f>
        <v/>
      </c>
      <c r="I1727" s="595" t="str">
        <f ca="1">IF($C$1=RefData!$B$418,'All Statement of strategy (D)'!$E1727,IF('All Statement of strategy (D)'!$C$1=RefData!$B$419,'All Statement of strategy (D)'!$F1727,IF('All Statement of strategy (D)'!$C$1=RefData!$B$420,'All Statement of strategy (D)'!$G1727,IF('All Statement of strategy (D)'!$C$1=RefData!$B$421,'All Statement of strategy (D)'!$H1727," "))))</f>
        <v xml:space="preserve"> </v>
      </c>
    </row>
    <row r="1728" spans="1:9" ht="16" thickBot="1">
      <c r="A1728" s="584" t="s">
        <v>2745</v>
      </c>
      <c r="B1728" s="622" t="str">
        <f ca="1">MID('Reconciliation report'!$E$903,3001,1000)</f>
        <v/>
      </c>
      <c r="C1728" s="625"/>
      <c r="D1728" s="598"/>
      <c r="E1728" s="598" t="str">
        <f ca="1">IF('Reconciliation report'!$E$872&gt;=3,'All Statement of strategy (D)'!$B1728&amp;'All Statement of strategy (D)'!$C1728,"")</f>
        <v/>
      </c>
      <c r="F1728" s="598" t="str">
        <f ca="1">IF('Reconciliation report'!$E$872&gt;=3,'All Statement of strategy (D)'!$B1728&amp;'All Statement of strategy (D)'!$C1728,"")</f>
        <v/>
      </c>
      <c r="G1728" s="598" t="str">
        <f>""</f>
        <v/>
      </c>
      <c r="H1728" s="598" t="str">
        <f>""</f>
        <v/>
      </c>
      <c r="I1728" s="599" t="str">
        <f ca="1">IF($C$1=RefData!$B$418,'All Statement of strategy (D)'!$E1728,IF('All Statement of strategy (D)'!$C$1=RefData!$B$419,'All Statement of strategy (D)'!$F1728,IF('All Statement of strategy (D)'!$C$1=RefData!$B$420,'All Statement of strategy (D)'!$G1728,IF('All Statement of strategy (D)'!$C$1=RefData!$B$421,'All Statement of strategy (D)'!$H1728," "))))</f>
        <v xml:space="preserve"> </v>
      </c>
    </row>
    <row r="1729" spans="1:9" ht="16" thickBot="1">
      <c r="B1729" s="649" t="s">
        <v>2746</v>
      </c>
      <c r="C1729" s="648"/>
      <c r="D1729" s="608"/>
      <c r="E1729" s="608" t="str">
        <f ca="1">IF('Reconciliation report'!$E$872&gt;=4,'All Statement of strategy (D)'!$B1729&amp;'All Statement of strategy (D)'!$C1729,"")</f>
        <v>ABC 4</v>
      </c>
      <c r="F1729" s="608" t="str">
        <f ca="1">IF('Reconciliation report'!$E$872&gt;=4,'All Statement of strategy (D)'!$B1729&amp;'All Statement of strategy (D)'!$C1729,"")</f>
        <v>ABC 4</v>
      </c>
      <c r="G1729" s="608" t="str">
        <f ca="1">IF('Reconciliation report'!$E$872&gt;=4,'All Statement of strategy (D)'!$B1729&amp;'All Statement of strategy (D)'!$C1729,"")</f>
        <v>ABC 4</v>
      </c>
      <c r="H1729" s="608" t="str">
        <f ca="1">IF('Reconciliation report'!$E$872&gt;=4,'All Statement of strategy (D)'!$B1729&amp;'All Statement of strategy (D)'!$C1729,"")</f>
        <v>ABC 4</v>
      </c>
      <c r="I1729" s="627" t="str">
        <f ca="1">IF($C$1=RefData!$B$418,'All Statement of strategy (D)'!$E1729,IF('All Statement of strategy (D)'!$C$1=RefData!$B$419,'All Statement of strategy (D)'!$F1729,IF('All Statement of strategy (D)'!$C$1=RefData!$B$420,'All Statement of strategy (D)'!$G1729,IF('All Statement of strategy (D)'!$C$1=RefData!$B$421,'All Statement of strategy (D)'!$H1729," "))))</f>
        <v xml:space="preserve"> </v>
      </c>
    </row>
    <row r="1730" spans="1:9">
      <c r="A1730" s="604" t="s">
        <v>2747</v>
      </c>
      <c r="B1730" s="594" t="str">
        <f ca="1">IF('Reconciliation report'!$E$904=RefData!$B$186,"","Type of security: ")</f>
        <v xml:space="preserve">Type of security: </v>
      </c>
      <c r="C1730" s="585" t="str">
        <f ca="1">IF('Reconciliation report'!$E$904=RefData!$B$186,"",'Reconciliation report'!$E$904)</f>
        <v/>
      </c>
      <c r="D1730" s="624"/>
      <c r="E1730" s="585" t="str">
        <f ca="1">IF('Reconciliation report'!$E$872&gt;=4,'All Statement of strategy (D)'!$B1730&amp;'All Statement of strategy (D)'!$C1730,"")</f>
        <v xml:space="preserve">Type of security: </v>
      </c>
      <c r="F1730" s="585" t="str">
        <f ca="1">IF('Reconciliation report'!$E$872&gt;=4,'All Statement of strategy (D)'!$B1730&amp;'All Statement of strategy (D)'!$C1730,"")</f>
        <v xml:space="preserve">Type of security: </v>
      </c>
      <c r="G1730" s="585" t="str">
        <f ca="1">IF('Reconciliation report'!$E$872&gt;=4,'All Statement of strategy (D)'!$B1730&amp;'All Statement of strategy (D)'!$C1730,"")</f>
        <v xml:space="preserve">Type of security: </v>
      </c>
      <c r="H1730" s="585" t="str">
        <f ca="1">IF('Reconciliation report'!$E$872&gt;=4,'All Statement of strategy (D)'!$B1730&amp;'All Statement of strategy (D)'!$C1730,"")</f>
        <v xml:space="preserve">Type of security: </v>
      </c>
      <c r="I1730" s="595" t="str">
        <f ca="1">IF($C$1=RefData!$B$418,'All Statement of strategy (D)'!$E1730,IF('All Statement of strategy (D)'!$C$1=RefData!$B$419,'All Statement of strategy (D)'!$F1730,IF('All Statement of strategy (D)'!$C$1=RefData!$B$420,'All Statement of strategy (D)'!$G1730,IF('All Statement of strategy (D)'!$C$1=RefData!$B$421,'All Statement of strategy (D)'!$H1730," "))))</f>
        <v xml:space="preserve"> </v>
      </c>
    </row>
    <row r="1731" spans="1:9">
      <c r="A1731" s="584" t="s">
        <v>2748</v>
      </c>
      <c r="B1731" s="594" t="str">
        <f ca="1">IF('Reconciliation report'!$E$904=RefData!$B$186,"Type of security: ","Description of underlying asset: ")</f>
        <v xml:space="preserve">Description of underlying asset: </v>
      </c>
      <c r="C1731" s="585" t="str">
        <f ca="1">LEFT('Reconciliation report'!$E$905,1000)</f>
        <v/>
      </c>
      <c r="D1731" s="624"/>
      <c r="E1731" s="585" t="str">
        <f ca="1">IF('Reconciliation report'!$E$872&gt;=4,'All Statement of strategy (D)'!$B1731&amp;'All Statement of strategy (D)'!$C1731,"")</f>
        <v xml:space="preserve">Description of underlying asset: </v>
      </c>
      <c r="F1731" s="585" t="str">
        <f ca="1">IF('Reconciliation report'!$E$872&gt;=4,'All Statement of strategy (D)'!$B1731&amp;'All Statement of strategy (D)'!$C1731,"")</f>
        <v xml:space="preserve">Description of underlying asset: </v>
      </c>
      <c r="G1731" s="585" t="str">
        <f ca="1">IF('Reconciliation report'!$E$872&gt;=4,'All Statement of strategy (D)'!$B1731&amp;'All Statement of strategy (D)'!$C1731,"")</f>
        <v xml:space="preserve">Description of underlying asset: </v>
      </c>
      <c r="H1731" s="585" t="str">
        <f ca="1">IF('Reconciliation report'!$E$872&gt;=4,'All Statement of strategy (D)'!$B1731&amp;'All Statement of strategy (D)'!$C1731,"")</f>
        <v xml:space="preserve">Description of underlying asset: </v>
      </c>
      <c r="I1731" s="595" t="str">
        <f ca="1">IF($C$1=RefData!$B$418,'All Statement of strategy (D)'!$E1731,IF('All Statement of strategy (D)'!$C$1=RefData!$B$419,'All Statement of strategy (D)'!$F1731,IF('All Statement of strategy (D)'!$C$1=RefData!$B$420,'All Statement of strategy (D)'!$G1731,IF('All Statement of strategy (D)'!$C$1=RefData!$B$421,'All Statement of strategy (D)'!$H1731," "))))</f>
        <v xml:space="preserve"> </v>
      </c>
    </row>
    <row r="1732" spans="1:9">
      <c r="A1732" s="584" t="s">
        <v>2748</v>
      </c>
      <c r="B1732" s="594" t="str">
        <f ca="1">MID('Reconciliation report'!$E$905,1001,1000)</f>
        <v/>
      </c>
      <c r="D1732" s="624"/>
      <c r="E1732" s="585" t="str">
        <f ca="1">IF('Reconciliation report'!$E$872&gt;=4,'All Statement of strategy (D)'!$B1732&amp;'All Statement of strategy (D)'!$C1732,"")</f>
        <v/>
      </c>
      <c r="F1732" s="585" t="str">
        <f ca="1">IF('Reconciliation report'!$E$872&gt;=4,'All Statement of strategy (D)'!$B1732&amp;'All Statement of strategy (D)'!$C1732,"")</f>
        <v/>
      </c>
      <c r="G1732" s="585" t="str">
        <f ca="1">IF('Reconciliation report'!$E$872&gt;=4,'All Statement of strategy (D)'!$B1732&amp;'All Statement of strategy (D)'!$C1732,"")</f>
        <v/>
      </c>
      <c r="H1732" s="585" t="str">
        <f ca="1">IF('Reconciliation report'!$E$872&gt;=4,'All Statement of strategy (D)'!$B1732&amp;'All Statement of strategy (D)'!$C1732,"")</f>
        <v/>
      </c>
      <c r="I1732" s="595" t="str">
        <f ca="1">IF($C$1=RefData!$B$418,'All Statement of strategy (D)'!$E1732,IF('All Statement of strategy (D)'!$C$1=RefData!$B$419,'All Statement of strategy (D)'!$F1732,IF('All Statement of strategy (D)'!$C$1=RefData!$B$420,'All Statement of strategy (D)'!$G1732,IF('All Statement of strategy (D)'!$C$1=RefData!$B$421,'All Statement of strategy (D)'!$H1732," "))))</f>
        <v xml:space="preserve"> </v>
      </c>
    </row>
    <row r="1733" spans="1:9">
      <c r="A1733" s="584" t="s">
        <v>2748</v>
      </c>
      <c r="B1733" s="594" t="str">
        <f ca="1">MID('Reconciliation report'!$E$905,2001,1000)</f>
        <v/>
      </c>
      <c r="D1733" s="624"/>
      <c r="E1733" s="585" t="str">
        <f ca="1">IF('Reconciliation report'!$E$872&gt;=4,'All Statement of strategy (D)'!$B1733&amp;'All Statement of strategy (D)'!$C1733,"")</f>
        <v/>
      </c>
      <c r="F1733" s="585" t="str">
        <f ca="1">IF('Reconciliation report'!$E$872&gt;=4,'All Statement of strategy (D)'!$B1733&amp;'All Statement of strategy (D)'!$C1733,"")</f>
        <v/>
      </c>
      <c r="G1733" s="585" t="str">
        <f ca="1">IF('Reconciliation report'!$E$872&gt;=4,'All Statement of strategy (D)'!$B1733&amp;'All Statement of strategy (D)'!$C1733,"")</f>
        <v/>
      </c>
      <c r="H1733" s="585" t="str">
        <f ca="1">IF('Reconciliation report'!$E$872&gt;=4,'All Statement of strategy (D)'!$B1733&amp;'All Statement of strategy (D)'!$C1733,"")</f>
        <v/>
      </c>
      <c r="I1733" s="595" t="str">
        <f ca="1">IF($C$1=RefData!$B$418,'All Statement of strategy (D)'!$E1733,IF('All Statement of strategy (D)'!$C$1=RefData!$B$419,'All Statement of strategy (D)'!$F1733,IF('All Statement of strategy (D)'!$C$1=RefData!$B$420,'All Statement of strategy (D)'!$G1733,IF('All Statement of strategy (D)'!$C$1=RefData!$B$421,'All Statement of strategy (D)'!$H1733," "))))</f>
        <v xml:space="preserve"> </v>
      </c>
    </row>
    <row r="1734" spans="1:9">
      <c r="A1734" s="584" t="s">
        <v>2748</v>
      </c>
      <c r="B1734" s="594" t="str">
        <f ca="1">MID('Reconciliation report'!$E$905,3001,1000)</f>
        <v/>
      </c>
      <c r="D1734" s="624"/>
      <c r="E1734" s="585" t="str">
        <f ca="1">IF('Reconciliation report'!$E$872&gt;=4,'All Statement of strategy (D)'!$B1734&amp;'All Statement of strategy (D)'!$C1734,"")</f>
        <v/>
      </c>
      <c r="F1734" s="585" t="str">
        <f ca="1">IF('Reconciliation report'!$E$872&gt;=4,'All Statement of strategy (D)'!$B1734&amp;'All Statement of strategy (D)'!$C1734,"")</f>
        <v/>
      </c>
      <c r="G1734" s="585" t="str">
        <f ca="1">IF('Reconciliation report'!$E$872&gt;=4,'All Statement of strategy (D)'!$B1734&amp;'All Statement of strategy (D)'!$C1734,"")</f>
        <v/>
      </c>
      <c r="H1734" s="585" t="str">
        <f ca="1">IF('Reconciliation report'!$E$872&gt;=4,'All Statement of strategy (D)'!$B1734&amp;'All Statement of strategy (D)'!$C1734,"")</f>
        <v/>
      </c>
      <c r="I1734" s="595" t="str">
        <f ca="1">IF($C$1=RefData!$B$418,'All Statement of strategy (D)'!$E1734,IF('All Statement of strategy (D)'!$C$1=RefData!$B$419,'All Statement of strategy (D)'!$F1734,IF('All Statement of strategy (D)'!$C$1=RefData!$B$420,'All Statement of strategy (D)'!$G1734,IF('All Statement of strategy (D)'!$C$1=RefData!$B$421,'All Statement of strategy (D)'!$H1734," "))))</f>
        <v xml:space="preserve"> </v>
      </c>
    </row>
    <row r="1735" spans="1:9">
      <c r="B1735" s="594" t="s">
        <v>2532</v>
      </c>
      <c r="C1735" s="615"/>
      <c r="D1735" s="624"/>
      <c r="E1735" s="585" t="str">
        <f ca="1">IF('Reconciliation report'!$E$872&gt;=4,'All Statement of strategy (D)'!$B1735&amp;'All Statement of strategy (D)'!$C1735,"")</f>
        <v xml:space="preserve">Type of maturity: </v>
      </c>
      <c r="F1735" s="585" t="str">
        <f ca="1">IF('Reconciliation report'!$E$872&gt;=4,'All Statement of strategy (D)'!$B1735&amp;'All Statement of strategy (D)'!$C1735,"")</f>
        <v xml:space="preserve">Type of maturity: </v>
      </c>
      <c r="G1735" s="585" t="str">
        <f ca="1">IF('Reconciliation report'!$E$872&gt;=4,'All Statement of strategy (D)'!$B1735&amp;'All Statement of strategy (D)'!$C1735,"")</f>
        <v xml:space="preserve">Type of maturity: </v>
      </c>
      <c r="H1735" s="585" t="str">
        <f ca="1">IF('Reconciliation report'!$E$872&gt;=4,'All Statement of strategy (D)'!$B1735&amp;'All Statement of strategy (D)'!$C1735,"")</f>
        <v xml:space="preserve">Type of maturity: </v>
      </c>
      <c r="I1735" s="595" t="str">
        <f ca="1">IF($C$1=RefData!$B$418,'All Statement of strategy (D)'!$E1735,IF('All Statement of strategy (D)'!$C$1=RefData!$B$419,'All Statement of strategy (D)'!$F1735,IF('All Statement of strategy (D)'!$C$1=RefData!$B$420,'All Statement of strategy (D)'!$G1735,IF('All Statement of strategy (D)'!$C$1=RefData!$B$421,'All Statement of strategy (D)'!$H1735," "))))</f>
        <v xml:space="preserve"> </v>
      </c>
    </row>
    <row r="1736" spans="1:9">
      <c r="A1736" s="604" t="s">
        <v>2749</v>
      </c>
      <c r="B1736" s="594" t="str">
        <f ca="1">IF('Reconciliation report'!$E$906=RefData!$B$187,'Reconciliation report'!$E$906,"")</f>
        <v/>
      </c>
      <c r="C1736" s="615"/>
      <c r="D1736" s="624"/>
      <c r="E1736" s="585" t="str">
        <f ca="1">IF('Reconciliation report'!$E$872&gt;=4,'All Statement of strategy (D)'!$B1736&amp;'All Statement of strategy (D)'!$C1736,"")</f>
        <v/>
      </c>
      <c r="F1736" s="585" t="str">
        <f ca="1">IF('Reconciliation report'!$E$872&gt;=4,'All Statement of strategy (D)'!$B1736&amp;'All Statement of strategy (D)'!$C1736,"")</f>
        <v/>
      </c>
      <c r="G1736" s="585" t="str">
        <f ca="1">IF('Reconciliation report'!$E$872&gt;=4,'All Statement of strategy (D)'!$B1736&amp;'All Statement of strategy (D)'!$C1736,"")</f>
        <v/>
      </c>
      <c r="H1736" s="585" t="str">
        <f ca="1">IF('Reconciliation report'!$E$872&gt;=4,'All Statement of strategy (D)'!$B1736&amp;'All Statement of strategy (D)'!$C1736,"")</f>
        <v/>
      </c>
      <c r="I1736" s="595" t="str">
        <f ca="1">IF($C$1=RefData!$B$418,'All Statement of strategy (D)'!$E1736,IF('All Statement of strategy (D)'!$C$1=RefData!$B$419,'All Statement of strategy (D)'!$F1736,IF('All Statement of strategy (D)'!$C$1=RefData!$B$420,'All Statement of strategy (D)'!$G1736,IF('All Statement of strategy (D)'!$C$1=RefData!$B$421,'All Statement of strategy (D)'!$H1736," "))))</f>
        <v xml:space="preserve"> </v>
      </c>
    </row>
    <row r="1737" spans="1:9">
      <c r="A1737" s="584" t="s">
        <v>2750</v>
      </c>
      <c r="B1737" s="594" t="str">
        <f ca="1">IF('Reconciliation report'!$E$906=RefData!$B$188,"Fixed expiry with a maturity date of ","")</f>
        <v/>
      </c>
      <c r="C1737" s="615" t="str">
        <f ca="1">TEXT('Reconciliation report'!$E$907,RefData!$B$424)</f>
        <v/>
      </c>
      <c r="D1737" s="624"/>
      <c r="E1737" s="585" t="str">
        <f ca="1">IF('Reconciliation report'!$E$872&gt;=4,'All Statement of strategy (D)'!$B1737&amp;'All Statement of strategy (D)'!$C1737,"")</f>
        <v/>
      </c>
      <c r="F1737" s="585" t="str">
        <f ca="1">IF('Reconciliation report'!$E$872&gt;=4,'All Statement of strategy (D)'!$B1737&amp;'All Statement of strategy (D)'!$C1737,"")</f>
        <v/>
      </c>
      <c r="G1737" s="585" t="str">
        <f ca="1">IF('Reconciliation report'!$E$872&gt;=4,'All Statement of strategy (D)'!$B1737&amp;'All Statement of strategy (D)'!$C1737,"")</f>
        <v/>
      </c>
      <c r="H1737" s="585" t="str">
        <f ca="1">IF('Reconciliation report'!$E$872&gt;=4,'All Statement of strategy (D)'!$B1737&amp;'All Statement of strategy (D)'!$C1737,"")</f>
        <v/>
      </c>
      <c r="I1737" s="595" t="str">
        <f ca="1">IF($C$1=RefData!$B$418,'All Statement of strategy (D)'!$E1737,IF('All Statement of strategy (D)'!$C$1=RefData!$B$419,'All Statement of strategy (D)'!$F1737,IF('All Statement of strategy (D)'!$C$1=RefData!$B$420,'All Statement of strategy (D)'!$G1737,IF('All Statement of strategy (D)'!$C$1=RefData!$B$421,'All Statement of strategy (D)'!$H1737," "))))</f>
        <v xml:space="preserve"> </v>
      </c>
    </row>
    <row r="1738" spans="1:9">
      <c r="A1738" s="584" t="s">
        <v>2751</v>
      </c>
      <c r="B1738" s="594" t="str">
        <f ca="1">IF('Reconciliation report'!$E$906=RefData!$B$189,LEFT('Reconciliation report'!$E$908,1000),"")</f>
        <v/>
      </c>
      <c r="C1738" s="615"/>
      <c r="D1738" s="624"/>
      <c r="E1738" s="585" t="str">
        <f ca="1">IF('Reconciliation report'!$E$872&gt;=4,'All Statement of strategy (D)'!$B1738&amp;'All Statement of strategy (D)'!$C1738,"")</f>
        <v/>
      </c>
      <c r="F1738" s="585" t="str">
        <f ca="1">IF('Reconciliation report'!$E$872&gt;=4,'All Statement of strategy (D)'!$B1738&amp;'All Statement of strategy (D)'!$C1738,"")</f>
        <v/>
      </c>
      <c r="G1738" s="585" t="str">
        <f ca="1">IF('Reconciliation report'!$E$872&gt;=4,'All Statement of strategy (D)'!$B1738&amp;'All Statement of strategy (D)'!$C1738,"")</f>
        <v/>
      </c>
      <c r="H1738" s="585" t="str">
        <f ca="1">IF('Reconciliation report'!$E$872&gt;=4,'All Statement of strategy (D)'!$B1738&amp;'All Statement of strategy (D)'!$C1738,"")</f>
        <v/>
      </c>
      <c r="I1738" s="595" t="str">
        <f ca="1">IF($C$1=RefData!$B$418,'All Statement of strategy (D)'!$E1738,IF('All Statement of strategy (D)'!$C$1=RefData!$B$419,'All Statement of strategy (D)'!$F1738,IF('All Statement of strategy (D)'!$C$1=RefData!$B$420,'All Statement of strategy (D)'!$G1738,IF('All Statement of strategy (D)'!$C$1=RefData!$B$421,'All Statement of strategy (D)'!$H1738," "))))</f>
        <v xml:space="preserve"> </v>
      </c>
    </row>
    <row r="1739" spans="1:9">
      <c r="A1739" s="584" t="s">
        <v>2751</v>
      </c>
      <c r="B1739" s="594" t="str">
        <f ca="1">IF('Reconciliation report'!$E$906=RefData!$B$189,MID('Reconciliation report'!$E$908,1001,1000),"")</f>
        <v/>
      </c>
      <c r="C1739" s="615"/>
      <c r="D1739" s="624"/>
      <c r="E1739" s="585" t="str">
        <f ca="1">IF('Reconciliation report'!$E$872&gt;=4,'All Statement of strategy (D)'!$B1739&amp;'All Statement of strategy (D)'!$C1739,"")</f>
        <v/>
      </c>
      <c r="F1739" s="585" t="str">
        <f ca="1">IF('Reconciliation report'!$E$872&gt;=4,'All Statement of strategy (D)'!$B1739&amp;'All Statement of strategy (D)'!$C1739,"")</f>
        <v/>
      </c>
      <c r="G1739" s="585" t="str">
        <f ca="1">IF('Reconciliation report'!$E$872&gt;=4,'All Statement of strategy (D)'!$B1739&amp;'All Statement of strategy (D)'!$C1739,"")</f>
        <v/>
      </c>
      <c r="H1739" s="585" t="str">
        <f ca="1">IF('Reconciliation report'!$E$872&gt;=4,'All Statement of strategy (D)'!$B1739&amp;'All Statement of strategy (D)'!$C1739,"")</f>
        <v/>
      </c>
      <c r="I1739" s="595" t="str">
        <f ca="1">IF($C$1=RefData!$B$418,'All Statement of strategy (D)'!$E1739,IF('All Statement of strategy (D)'!$C$1=RefData!$B$419,'All Statement of strategy (D)'!$F1739,IF('All Statement of strategy (D)'!$C$1=RefData!$B$420,'All Statement of strategy (D)'!$G1739,IF('All Statement of strategy (D)'!$C$1=RefData!$B$421,'All Statement of strategy (D)'!$H1739," "))))</f>
        <v xml:space="preserve"> </v>
      </c>
    </row>
    <row r="1740" spans="1:9">
      <c r="A1740" s="584" t="s">
        <v>2751</v>
      </c>
      <c r="B1740" s="594" t="str">
        <f ca="1">IF('Reconciliation report'!$E$906=RefData!$B$189,MID('Reconciliation report'!$E$908,2001,1000),"")</f>
        <v/>
      </c>
      <c r="C1740" s="615"/>
      <c r="D1740" s="624"/>
      <c r="E1740" s="585" t="str">
        <f ca="1">IF('Reconciliation report'!$E$872&gt;=4,'All Statement of strategy (D)'!$B1740&amp;'All Statement of strategy (D)'!$C1740,"")</f>
        <v/>
      </c>
      <c r="F1740" s="585" t="str">
        <f ca="1">IF('Reconciliation report'!$E$872&gt;=4,'All Statement of strategy (D)'!$B1740&amp;'All Statement of strategy (D)'!$C1740,"")</f>
        <v/>
      </c>
      <c r="G1740" s="585" t="str">
        <f ca="1">IF('Reconciliation report'!$E$872&gt;=4,'All Statement of strategy (D)'!$B1740&amp;'All Statement of strategy (D)'!$C1740,"")</f>
        <v/>
      </c>
      <c r="H1740" s="585" t="str">
        <f ca="1">IF('Reconciliation report'!$E$872&gt;=4,'All Statement of strategy (D)'!$B1740&amp;'All Statement of strategy (D)'!$C1740,"")</f>
        <v/>
      </c>
      <c r="I1740" s="595" t="str">
        <f ca="1">IF($C$1=RefData!$B$418,'All Statement of strategy (D)'!$E1740,IF('All Statement of strategy (D)'!$C$1=RefData!$B$419,'All Statement of strategy (D)'!$F1740,IF('All Statement of strategy (D)'!$C$1=RefData!$B$420,'All Statement of strategy (D)'!$G1740,IF('All Statement of strategy (D)'!$C$1=RefData!$B$421,'All Statement of strategy (D)'!$H1740," "))))</f>
        <v xml:space="preserve"> </v>
      </c>
    </row>
    <row r="1741" spans="1:9">
      <c r="A1741" s="584" t="s">
        <v>2751</v>
      </c>
      <c r="B1741" s="594" t="str">
        <f ca="1">IF('Reconciliation report'!$E$906=RefData!$B$189,MID('Reconciliation report'!$E$908,3001,1000),"")</f>
        <v/>
      </c>
      <c r="C1741" s="615"/>
      <c r="D1741" s="624"/>
      <c r="E1741" s="585" t="str">
        <f ca="1">IF('Reconciliation report'!$E$872&gt;=4,'All Statement of strategy (D)'!$B1741&amp;'All Statement of strategy (D)'!$C1741,"")</f>
        <v/>
      </c>
      <c r="F1741" s="585" t="str">
        <f ca="1">IF('Reconciliation report'!$E$872&gt;=4,'All Statement of strategy (D)'!$B1741&amp;'All Statement of strategy (D)'!$C1741,"")</f>
        <v/>
      </c>
      <c r="G1741" s="585" t="str">
        <f ca="1">IF('Reconciliation report'!$E$872&gt;=4,'All Statement of strategy (D)'!$B1741&amp;'All Statement of strategy (D)'!$C1741,"")</f>
        <v/>
      </c>
      <c r="H1741" s="585" t="str">
        <f ca="1">IF('Reconciliation report'!$E$872&gt;=4,'All Statement of strategy (D)'!$B1741&amp;'All Statement of strategy (D)'!$C1741,"")</f>
        <v/>
      </c>
      <c r="I1741" s="595" t="str">
        <f ca="1">IF($C$1=RefData!$B$418,'All Statement of strategy (D)'!$E1741,IF('All Statement of strategy (D)'!$C$1=RefData!$B$419,'All Statement of strategy (D)'!$F1741,IF('All Statement of strategy (D)'!$C$1=RefData!$B$420,'All Statement of strategy (D)'!$G1741,IF('All Statement of strategy (D)'!$C$1=RefData!$B$421,'All Statement of strategy (D)'!$H1741," "))))</f>
        <v xml:space="preserve"> </v>
      </c>
    </row>
    <row r="1742" spans="1:9">
      <c r="A1742" s="584" t="s">
        <v>2752</v>
      </c>
      <c r="B1742" s="594" t="s">
        <v>2715</v>
      </c>
      <c r="C1742" s="585" t="str">
        <f ca="1">TEXT('Reconciliation report'!$E$909,RefData!$B$425)</f>
        <v/>
      </c>
      <c r="E1742" s="585" t="str">
        <f ca="1">IF('Reconciliation report'!$E$872&gt;=4,'All Statement of strategy (D)'!$B1742&amp;'All Statement of strategy (D)'!$C1742,"")</f>
        <v xml:space="preserve">Value of the scheme's interest in the ABC (net present value): </v>
      </c>
      <c r="F1742" s="585" t="str">
        <f ca="1">IF('Reconciliation report'!$E$872&gt;=4,'All Statement of strategy (D)'!$B1742&amp;'All Statement of strategy (D)'!$C1742,"")</f>
        <v xml:space="preserve">Value of the scheme's interest in the ABC (net present value): </v>
      </c>
      <c r="G1742" s="585" t="str">
        <f ca="1">IF('Reconciliation report'!$E$872&gt;=4,'All Statement of strategy (D)'!$B1742&amp;'All Statement of strategy (D)'!$C1742,"")</f>
        <v xml:space="preserve">Value of the scheme's interest in the ABC (net present value): </v>
      </c>
      <c r="H1742" s="585" t="str">
        <f ca="1">IF('Reconciliation report'!$E$872&gt;=4,'All Statement of strategy (D)'!$B1742&amp;'All Statement of strategy (D)'!$C1742,"")</f>
        <v xml:space="preserve">Value of the scheme's interest in the ABC (net present value): </v>
      </c>
      <c r="I1742" s="595" t="str">
        <f ca="1">IF($C$1=RefData!$B$418,'All Statement of strategy (D)'!$E1742,IF('All Statement of strategy (D)'!$C$1=RefData!$B$419,'All Statement of strategy (D)'!$F1742,IF('All Statement of strategy (D)'!$C$1=RefData!$B$420,'All Statement of strategy (D)'!$G1742,IF('All Statement of strategy (D)'!$C$1=RefData!$B$421,'All Statement of strategy (D)'!$H1742," "))))</f>
        <v xml:space="preserve"> </v>
      </c>
    </row>
    <row r="1743" spans="1:9">
      <c r="A1743" s="584" t="s">
        <v>2753</v>
      </c>
      <c r="B1743" s="594" t="s">
        <v>2717</v>
      </c>
      <c r="C1743" s="618" t="str">
        <f ca="1">TEXT('Reconciliation report'!$E$910,RefData!$B$424)</f>
        <v/>
      </c>
      <c r="E1743" s="585" t="str">
        <f ca="1">IF('Reconciliation report'!$E$872&gt;=4,'All Statement of strategy (D)'!$B1743&amp;'All Statement of strategy (D)'!$C1743,"")</f>
        <v xml:space="preserve">Date of net present value calculation: </v>
      </c>
      <c r="F1743" s="585" t="str">
        <f ca="1">IF('Reconciliation report'!$E$872&gt;=4,'All Statement of strategy (D)'!$B1743&amp;'All Statement of strategy (D)'!$C1743,"")</f>
        <v xml:space="preserve">Date of net present value calculation: </v>
      </c>
      <c r="G1743" s="585" t="str">
        <f ca="1">IF('Reconciliation report'!$E$872&gt;=4,'All Statement of strategy (D)'!$B1743&amp;'All Statement of strategy (D)'!$C1743,"")</f>
        <v xml:space="preserve">Date of net present value calculation: </v>
      </c>
      <c r="H1743" s="585" t="str">
        <f ca="1">IF('Reconciliation report'!$E$872&gt;=4,'All Statement of strategy (D)'!$B1743&amp;'All Statement of strategy (D)'!$C1743,"")</f>
        <v xml:space="preserve">Date of net present value calculation: </v>
      </c>
      <c r="I1743" s="595" t="str">
        <f ca="1">IF($C$1=RefData!$B$418,'All Statement of strategy (D)'!$E1743,IF('All Statement of strategy (D)'!$C$1=RefData!$B$419,'All Statement of strategy (D)'!$F1743,IF('All Statement of strategy (D)'!$C$1=RefData!$B$420,'All Statement of strategy (D)'!$G1743,IF('All Statement of strategy (D)'!$C$1=RefData!$B$421,'All Statement of strategy (D)'!$H1743," "))))</f>
        <v xml:space="preserve"> </v>
      </c>
    </row>
    <row r="1744" spans="1:9">
      <c r="B1744" s="594" t="s">
        <v>2718</v>
      </c>
      <c r="C1744" s="615"/>
      <c r="E1744" s="585" t="str">
        <f ca="1">IF(AND('Reconciliation report'!$E$872&gt;=4,'Reconciliation report'!$E$911&lt;&gt;""),'All Statement of strategy (D)'!$B1744&amp;'All Statement of strategy (D)'!$C1744,"")</f>
        <v/>
      </c>
      <c r="F1744" s="585" t="str">
        <f ca="1">IF(AND('Reconciliation report'!$E$872&gt;=4,'Reconciliation report'!$E$911&lt;&gt;""),'All Statement of strategy (D)'!$B1744&amp;'All Statement of strategy (D)'!$C1744,"")</f>
        <v/>
      </c>
      <c r="G1744" s="585" t="str">
        <f ca="1">IF(AND('Reconciliation report'!$E$872&gt;=4,'Reconciliation report'!$E$911&lt;&gt;""),'All Statement of strategy (D)'!$B1744&amp;'All Statement of strategy (D)'!$C1744,"")</f>
        <v/>
      </c>
      <c r="H1744" s="585" t="str">
        <f ca="1">IF(AND('Reconciliation report'!$E$872&gt;=4,'Reconciliation report'!$E$911&lt;&gt;""),'All Statement of strategy (D)'!$B1744&amp;'All Statement of strategy (D)'!$C1744,"")</f>
        <v/>
      </c>
      <c r="I1744" s="595" t="str">
        <f ca="1">IF($C$1=RefData!$B$418,'All Statement of strategy (D)'!$E1744,IF('All Statement of strategy (D)'!$C$1=RefData!$B$419,'All Statement of strategy (D)'!$F1744,IF('All Statement of strategy (D)'!$C$1=RefData!$B$420,'All Statement of strategy (D)'!$G1744,IF('All Statement of strategy (D)'!$C$1=RefData!$B$421,'All Statement of strategy (D)'!$H1744," "))))</f>
        <v xml:space="preserve"> </v>
      </c>
    </row>
    <row r="1745" spans="1:9">
      <c r="A1745" s="584" t="s">
        <v>2754</v>
      </c>
      <c r="B1745" s="594" t="s">
        <v>2400</v>
      </c>
      <c r="C1745" s="615" t="str">
        <f ca="1">TEXT('Reconciliation report'!$E$911,RefData!$B$425)</f>
        <v/>
      </c>
      <c r="E1745" s="585" t="str">
        <f ca="1">IF(AND('Reconciliation report'!$E$872&gt;=4,$C1745&lt;&gt;""),'All Statement of strategy (D)'!$B1745&amp;'All Statement of strategy (D)'!$C1745,"")</f>
        <v/>
      </c>
      <c r="F1745" s="585" t="str">
        <f ca="1">IF(AND('Reconciliation report'!$E$872&gt;=4,$C1745&lt;&gt;""),'All Statement of strategy (D)'!$B1745&amp;'All Statement of strategy (D)'!$C1745,"")</f>
        <v/>
      </c>
      <c r="G1745" s="585" t="str">
        <f ca="1">IF(AND('Reconciliation report'!$E$872&gt;=4,$C1745&lt;&gt;""),'All Statement of strategy (D)'!$B1745&amp;'All Statement of strategy (D)'!$C1745,"")</f>
        <v/>
      </c>
      <c r="H1745" s="585" t="str">
        <f ca="1">IF(AND('Reconciliation report'!$E$872&gt;=4,$C1745&lt;&gt;""),'All Statement of strategy (D)'!$B1745&amp;'All Statement of strategy (D)'!$C1745,"")</f>
        <v/>
      </c>
      <c r="I1745" s="595" t="str">
        <f ca="1">IF($C$1=RefData!$B$418,'All Statement of strategy (D)'!$E1745,IF('All Statement of strategy (D)'!$C$1=RefData!$B$419,'All Statement of strategy (D)'!$F1745,IF('All Statement of strategy (D)'!$C$1=RefData!$B$420,'All Statement of strategy (D)'!$G1745,IF('All Statement of strategy (D)'!$C$1=RefData!$B$421,'All Statement of strategy (D)'!$H1745," "))))</f>
        <v xml:space="preserve"> </v>
      </c>
    </row>
    <row r="1746" spans="1:9">
      <c r="A1746" s="584" t="s">
        <v>2755</v>
      </c>
      <c r="B1746" s="594" t="s">
        <v>2721</v>
      </c>
      <c r="C1746" s="618" t="str">
        <f ca="1">TEXT('Reconciliation report'!$E$912,RefData!$B$424)</f>
        <v/>
      </c>
      <c r="E1746" s="585" t="str">
        <f ca="1">IF(AND('Reconciliation report'!$E$872&gt;=4,$C1746&lt;&gt;""),'All Statement of strategy (D)'!$B1746&amp;'All Statement of strategy (D)'!$C1746,"")</f>
        <v/>
      </c>
      <c r="F1746" s="585" t="str">
        <f ca="1">IF(AND('Reconciliation report'!$E$872&gt;=4,$C1746&lt;&gt;""),'All Statement of strategy (D)'!$B1746&amp;'All Statement of strategy (D)'!$C1746,"")</f>
        <v/>
      </c>
      <c r="G1746" s="585" t="str">
        <f ca="1">IF(AND('Reconciliation report'!$E$872&gt;=4,$C1746&lt;&gt;""),'All Statement of strategy (D)'!$B1746&amp;'All Statement of strategy (D)'!$C1746,"")</f>
        <v/>
      </c>
      <c r="H1746" s="585" t="str">
        <f ca="1">IF(AND('Reconciliation report'!$E$872&gt;=4,$C1746&lt;&gt;""),'All Statement of strategy (D)'!$B1746&amp;'All Statement of strategy (D)'!$C1746,"")</f>
        <v/>
      </c>
      <c r="I1746" s="595" t="str">
        <f ca="1">IF($C$1=RefData!$B$418,'All Statement of strategy (D)'!$E1746,IF('All Statement of strategy (D)'!$C$1=RefData!$B$419,'All Statement of strategy (D)'!$F1746,IF('All Statement of strategy (D)'!$C$1=RefData!$B$420,'All Statement of strategy (D)'!$G1746,IF('All Statement of strategy (D)'!$C$1=RefData!$B$421,'All Statement of strategy (D)'!$H1746," "))))</f>
        <v xml:space="preserve"> </v>
      </c>
    </row>
    <row r="1747" spans="1:9">
      <c r="B1747" s="594" t="s">
        <v>2722</v>
      </c>
      <c r="C1747" s="615"/>
      <c r="E1747" s="585" t="str">
        <f ca="1">IF('Reconciliation report'!$E$872&gt;=4,'All Statement of strategy (D)'!$B1747&amp;'All Statement of strategy (D)'!$C1747,"")</f>
        <v xml:space="preserve">Triggers for any cessation of payment schedule or termination of ABC: </v>
      </c>
      <c r="F1747" s="585" t="str">
        <f ca="1">IF('Reconciliation report'!$E$872&gt;=4,'All Statement of strategy (D)'!$B1747&amp;'All Statement of strategy (D)'!$C1747,"")</f>
        <v xml:space="preserve">Triggers for any cessation of payment schedule or termination of ABC: </v>
      </c>
      <c r="G1747" s="585" t="str">
        <f>""</f>
        <v/>
      </c>
      <c r="H1747" s="585" t="str">
        <f>""</f>
        <v/>
      </c>
      <c r="I1747" s="595" t="str">
        <f ca="1">IF($C$1=RefData!$B$418,'All Statement of strategy (D)'!$E1747,IF('All Statement of strategy (D)'!$C$1=RefData!$B$419,'All Statement of strategy (D)'!$F1747,IF('All Statement of strategy (D)'!$C$1=RefData!$B$420,'All Statement of strategy (D)'!$G1747,IF('All Statement of strategy (D)'!$C$1=RefData!$B$421,'All Statement of strategy (D)'!$H1747," "))))</f>
        <v xml:space="preserve"> </v>
      </c>
    </row>
    <row r="1748" spans="1:9">
      <c r="A1748" s="584" t="s">
        <v>2756</v>
      </c>
      <c r="B1748" s="594" t="str">
        <f ca="1">LEFT('Reconciliation report'!$E$913,1000)</f>
        <v/>
      </c>
      <c r="C1748" s="615"/>
      <c r="E1748" s="585" t="str">
        <f ca="1">IF('Reconciliation report'!$E$872&gt;=4,'All Statement of strategy (D)'!$B1748&amp;'All Statement of strategy (D)'!$C1748,"")</f>
        <v/>
      </c>
      <c r="F1748" s="585" t="str">
        <f ca="1">IF('Reconciliation report'!$E$872&gt;=4,'All Statement of strategy (D)'!$B1748&amp;'All Statement of strategy (D)'!$C1748,"")</f>
        <v/>
      </c>
      <c r="G1748" s="585" t="str">
        <f>""</f>
        <v/>
      </c>
      <c r="H1748" s="585" t="str">
        <f>""</f>
        <v/>
      </c>
      <c r="I1748" s="595" t="str">
        <f ca="1">IF($C$1=RefData!$B$418,'All Statement of strategy (D)'!$E1748,IF('All Statement of strategy (D)'!$C$1=RefData!$B$419,'All Statement of strategy (D)'!$F1748,IF('All Statement of strategy (D)'!$C$1=RefData!$B$420,'All Statement of strategy (D)'!$G1748,IF('All Statement of strategy (D)'!$C$1=RefData!$B$421,'All Statement of strategy (D)'!$H1748," "))))</f>
        <v xml:space="preserve"> </v>
      </c>
    </row>
    <row r="1749" spans="1:9">
      <c r="A1749" s="584" t="s">
        <v>2756</v>
      </c>
      <c r="B1749" s="594" t="str">
        <f ca="1">MID('Reconciliation report'!$E$913,1001,1000)</f>
        <v/>
      </c>
      <c r="C1749" s="615"/>
      <c r="E1749" s="585" t="str">
        <f ca="1">IF('Reconciliation report'!$E$872&gt;=4,'All Statement of strategy (D)'!$B1749&amp;'All Statement of strategy (D)'!$C1749,"")</f>
        <v/>
      </c>
      <c r="F1749" s="585" t="str">
        <f ca="1">IF('Reconciliation report'!$E$872&gt;=4,'All Statement of strategy (D)'!$B1749&amp;'All Statement of strategy (D)'!$C1749,"")</f>
        <v/>
      </c>
      <c r="G1749" s="585" t="str">
        <f>""</f>
        <v/>
      </c>
      <c r="H1749" s="585" t="str">
        <f>""</f>
        <v/>
      </c>
      <c r="I1749" s="595" t="str">
        <f ca="1">IF($C$1=RefData!$B$418,'All Statement of strategy (D)'!$E1749,IF('All Statement of strategy (D)'!$C$1=RefData!$B$419,'All Statement of strategy (D)'!$F1749,IF('All Statement of strategy (D)'!$C$1=RefData!$B$420,'All Statement of strategy (D)'!$G1749,IF('All Statement of strategy (D)'!$C$1=RefData!$B$421,'All Statement of strategy (D)'!$H1749," "))))</f>
        <v xml:space="preserve"> </v>
      </c>
    </row>
    <row r="1750" spans="1:9">
      <c r="A1750" s="584" t="s">
        <v>2756</v>
      </c>
      <c r="B1750" s="594" t="str">
        <f ca="1">MID('Reconciliation report'!$E$913,2001,1000)</f>
        <v/>
      </c>
      <c r="C1750" s="615"/>
      <c r="E1750" s="585" t="str">
        <f ca="1">IF('Reconciliation report'!$E$872&gt;=4,'All Statement of strategy (D)'!$B1750&amp;'All Statement of strategy (D)'!$C1750,"")</f>
        <v/>
      </c>
      <c r="F1750" s="585" t="str">
        <f ca="1">IF('Reconciliation report'!$E$872&gt;=4,'All Statement of strategy (D)'!$B1750&amp;'All Statement of strategy (D)'!$C1750,"")</f>
        <v/>
      </c>
      <c r="G1750" s="585" t="str">
        <f>""</f>
        <v/>
      </c>
      <c r="H1750" s="585" t="str">
        <f>""</f>
        <v/>
      </c>
      <c r="I1750" s="595" t="str">
        <f ca="1">IF($C$1=RefData!$B$418,'All Statement of strategy (D)'!$E1750,IF('All Statement of strategy (D)'!$C$1=RefData!$B$419,'All Statement of strategy (D)'!$F1750,IF('All Statement of strategy (D)'!$C$1=RefData!$B$420,'All Statement of strategy (D)'!$G1750,IF('All Statement of strategy (D)'!$C$1=RefData!$B$421,'All Statement of strategy (D)'!$H1750," "))))</f>
        <v xml:space="preserve"> </v>
      </c>
    </row>
    <row r="1751" spans="1:9" ht="16" thickBot="1">
      <c r="A1751" s="584" t="s">
        <v>2756</v>
      </c>
      <c r="B1751" s="594" t="str">
        <f ca="1">MID('Reconciliation report'!$E$913,3001,1000)</f>
        <v/>
      </c>
      <c r="C1751" s="615"/>
      <c r="E1751" s="585" t="str">
        <f ca="1">IF('Reconciliation report'!$E$872&gt;=4,'All Statement of strategy (D)'!$B1751&amp;'All Statement of strategy (D)'!$C1751,"")</f>
        <v/>
      </c>
      <c r="F1751" s="585" t="str">
        <f ca="1">IF('Reconciliation report'!$E$872&gt;=4,'All Statement of strategy (D)'!$B1751&amp;'All Statement of strategy (D)'!$C1751,"")</f>
        <v/>
      </c>
      <c r="G1751" s="585" t="str">
        <f>""</f>
        <v/>
      </c>
      <c r="H1751" s="585" t="str">
        <f>""</f>
        <v/>
      </c>
      <c r="I1751" s="595" t="str">
        <f ca="1">IF($C$1=RefData!$B$418,'All Statement of strategy (D)'!$E1751,IF('All Statement of strategy (D)'!$C$1=RefData!$B$419,'All Statement of strategy (D)'!$F1751,IF('All Statement of strategy (D)'!$C$1=RefData!$B$420,'All Statement of strategy (D)'!$G1751,IF('All Statement of strategy (D)'!$C$1=RefData!$B$421,'All Statement of strategy (D)'!$H1751," "))))</f>
        <v xml:space="preserve"> </v>
      </c>
    </row>
    <row r="1752" spans="1:9" ht="16" thickBot="1">
      <c r="B1752" s="626" t="s">
        <v>2757</v>
      </c>
      <c r="C1752" s="648"/>
      <c r="D1752" s="608"/>
      <c r="E1752" s="608" t="str">
        <f ca="1">IF('Reconciliation report'!$E$872&gt;=5,'All Statement of strategy (D)'!$B1752&amp;'All Statement of strategy (D)'!$C1752,"")</f>
        <v>ABC 5</v>
      </c>
      <c r="F1752" s="608" t="str">
        <f ca="1">IF('Reconciliation report'!$E$872&gt;=5,'All Statement of strategy (D)'!$B1752&amp;'All Statement of strategy (D)'!$C1752,"")</f>
        <v>ABC 5</v>
      </c>
      <c r="G1752" s="608" t="str">
        <f ca="1">IF('Reconciliation report'!$E$872&gt;=5,'All Statement of strategy (D)'!$B1752&amp;'All Statement of strategy (D)'!$C1752,"")</f>
        <v>ABC 5</v>
      </c>
      <c r="H1752" s="608" t="str">
        <f ca="1">IF('Reconciliation report'!$E$872&gt;=5,'All Statement of strategy (D)'!$B1752&amp;'All Statement of strategy (D)'!$C1752,"")</f>
        <v>ABC 5</v>
      </c>
      <c r="I1752" s="627" t="str">
        <f ca="1">IF($C$1=RefData!$B$418,'All Statement of strategy (D)'!$E1752,IF('All Statement of strategy (D)'!$C$1=RefData!$B$419,'All Statement of strategy (D)'!$F1752,IF('All Statement of strategy (D)'!$C$1=RefData!$B$420,'All Statement of strategy (D)'!$G1752,IF('All Statement of strategy (D)'!$C$1=RefData!$B$421,'All Statement of strategy (D)'!$H1752," "))))</f>
        <v xml:space="preserve"> </v>
      </c>
    </row>
    <row r="1753" spans="1:9">
      <c r="A1753" s="584" t="s">
        <v>2758</v>
      </c>
      <c r="B1753" s="594" t="str">
        <f ca="1">IF('Reconciliation report'!$E$914=RefData!$B$186,"","Type of security: ")</f>
        <v xml:space="preserve">Type of security: </v>
      </c>
      <c r="C1753" s="585" t="str">
        <f ca="1">IF('Reconciliation report'!$E$914=RefData!$B$186,"",'Reconciliation report'!$E$914)</f>
        <v/>
      </c>
      <c r="D1753" s="624"/>
      <c r="E1753" s="585" t="str">
        <f ca="1">IF('Reconciliation report'!$E$872&gt;=5,'All Statement of strategy (D)'!$B1753&amp;'All Statement of strategy (D)'!$C1753,"")</f>
        <v xml:space="preserve">Type of security: </v>
      </c>
      <c r="F1753" s="585" t="str">
        <f ca="1">IF('Reconciliation report'!$E$872&gt;=5,'All Statement of strategy (D)'!$B1753&amp;'All Statement of strategy (D)'!$C1753,"")</f>
        <v xml:space="preserve">Type of security: </v>
      </c>
      <c r="G1753" s="585" t="str">
        <f ca="1">IF('Reconciliation report'!$E$872&gt;=5,'All Statement of strategy (D)'!$B1753&amp;'All Statement of strategy (D)'!$C1753,"")</f>
        <v xml:space="preserve">Type of security: </v>
      </c>
      <c r="H1753" s="585" t="str">
        <f ca="1">IF('Reconciliation report'!$E$872&gt;=5,'All Statement of strategy (D)'!$B1753&amp;'All Statement of strategy (D)'!$C1753,"")</f>
        <v xml:space="preserve">Type of security: </v>
      </c>
      <c r="I1753" s="595" t="str">
        <f ca="1">IF($C$1=RefData!$B$418,'All Statement of strategy (D)'!$E1753,IF('All Statement of strategy (D)'!$C$1=RefData!$B$419,'All Statement of strategy (D)'!$F1753,IF('All Statement of strategy (D)'!$C$1=RefData!$B$420,'All Statement of strategy (D)'!$G1753,IF('All Statement of strategy (D)'!$C$1=RefData!$B$421,'All Statement of strategy (D)'!$H1753," "))))</f>
        <v xml:space="preserve"> </v>
      </c>
    </row>
    <row r="1754" spans="1:9">
      <c r="A1754" s="584" t="s">
        <v>2759</v>
      </c>
      <c r="B1754" s="594" t="str">
        <f ca="1">IF('Reconciliation report'!$E$914=RefData!$B$186,"Type of security: ","Description of underlying asset: ")</f>
        <v xml:space="preserve">Description of underlying asset: </v>
      </c>
      <c r="C1754" s="585" t="str">
        <f ca="1">LEFT('Reconciliation report'!$E$915,1000)</f>
        <v/>
      </c>
      <c r="D1754" s="624"/>
      <c r="E1754" s="585" t="str">
        <f ca="1">IF('Reconciliation report'!$E$872&gt;=5,'All Statement of strategy (D)'!$B1754&amp;'All Statement of strategy (D)'!$C1754,"")</f>
        <v xml:space="preserve">Description of underlying asset: </v>
      </c>
      <c r="F1754" s="585" t="str">
        <f ca="1">IF('Reconciliation report'!$E$872&gt;=5,'All Statement of strategy (D)'!$B1754&amp;'All Statement of strategy (D)'!$C1754,"")</f>
        <v xml:space="preserve">Description of underlying asset: </v>
      </c>
      <c r="G1754" s="585" t="str">
        <f ca="1">IF('Reconciliation report'!$E$872&gt;=5,'All Statement of strategy (D)'!$B1754&amp;'All Statement of strategy (D)'!$C1754,"")</f>
        <v xml:space="preserve">Description of underlying asset: </v>
      </c>
      <c r="H1754" s="585" t="str">
        <f ca="1">IF('Reconciliation report'!$E$872&gt;=5,'All Statement of strategy (D)'!$B1754&amp;'All Statement of strategy (D)'!$C1754,"")</f>
        <v xml:space="preserve">Description of underlying asset: </v>
      </c>
      <c r="I1754" s="595" t="str">
        <f ca="1">IF($C$1=RefData!$B$418,'All Statement of strategy (D)'!$E1754,IF('All Statement of strategy (D)'!$C$1=RefData!$B$419,'All Statement of strategy (D)'!$F1754,IF('All Statement of strategy (D)'!$C$1=RefData!$B$420,'All Statement of strategy (D)'!$G1754,IF('All Statement of strategy (D)'!$C$1=RefData!$B$421,'All Statement of strategy (D)'!$H1754," "))))</f>
        <v xml:space="preserve"> </v>
      </c>
    </row>
    <row r="1755" spans="1:9">
      <c r="A1755" s="584" t="s">
        <v>2759</v>
      </c>
      <c r="B1755" s="594" t="str">
        <f ca="1">MID('Reconciliation report'!$E$915,1001,1000)</f>
        <v/>
      </c>
      <c r="D1755" s="624"/>
      <c r="E1755" s="585" t="str">
        <f ca="1">IF('Reconciliation report'!$E$872&gt;=5,'All Statement of strategy (D)'!$B1755&amp;'All Statement of strategy (D)'!$C1755,"")</f>
        <v/>
      </c>
      <c r="F1755" s="585" t="str">
        <f ca="1">IF('Reconciliation report'!$E$872&gt;=5,'All Statement of strategy (D)'!$B1755&amp;'All Statement of strategy (D)'!$C1755,"")</f>
        <v/>
      </c>
      <c r="G1755" s="585" t="str">
        <f ca="1">IF('Reconciliation report'!$E$872&gt;=5,'All Statement of strategy (D)'!$B1755&amp;'All Statement of strategy (D)'!$C1755,"")</f>
        <v/>
      </c>
      <c r="H1755" s="585" t="str">
        <f ca="1">IF('Reconciliation report'!$E$872&gt;=5,'All Statement of strategy (D)'!$B1755&amp;'All Statement of strategy (D)'!$C1755,"")</f>
        <v/>
      </c>
      <c r="I1755" s="595" t="str">
        <f ca="1">IF($C$1=RefData!$B$418,'All Statement of strategy (D)'!$E1755,IF('All Statement of strategy (D)'!$C$1=RefData!$B$419,'All Statement of strategy (D)'!$F1755,IF('All Statement of strategy (D)'!$C$1=RefData!$B$420,'All Statement of strategy (D)'!$G1755,IF('All Statement of strategy (D)'!$C$1=RefData!$B$421,'All Statement of strategy (D)'!$H1755," "))))</f>
        <v xml:space="preserve"> </v>
      </c>
    </row>
    <row r="1756" spans="1:9">
      <c r="A1756" s="584" t="s">
        <v>2759</v>
      </c>
      <c r="B1756" s="594" t="str">
        <f ca="1">MID('Reconciliation report'!$E$915,2001,1000)</f>
        <v/>
      </c>
      <c r="D1756" s="624"/>
      <c r="E1756" s="585" t="str">
        <f ca="1">IF('Reconciliation report'!$E$872&gt;=5,'All Statement of strategy (D)'!$B1756&amp;'All Statement of strategy (D)'!$C1756,"")</f>
        <v/>
      </c>
      <c r="F1756" s="585" t="str">
        <f ca="1">IF('Reconciliation report'!$E$872&gt;=5,'All Statement of strategy (D)'!$B1756&amp;'All Statement of strategy (D)'!$C1756,"")</f>
        <v/>
      </c>
      <c r="G1756" s="585" t="str">
        <f ca="1">IF('Reconciliation report'!$E$872&gt;=5,'All Statement of strategy (D)'!$B1756&amp;'All Statement of strategy (D)'!$C1756,"")</f>
        <v/>
      </c>
      <c r="H1756" s="585" t="str">
        <f ca="1">IF('Reconciliation report'!$E$872&gt;=5,'All Statement of strategy (D)'!$B1756&amp;'All Statement of strategy (D)'!$C1756,"")</f>
        <v/>
      </c>
      <c r="I1756" s="595" t="str">
        <f ca="1">IF($C$1=RefData!$B$418,'All Statement of strategy (D)'!$E1756,IF('All Statement of strategy (D)'!$C$1=RefData!$B$419,'All Statement of strategy (D)'!$F1756,IF('All Statement of strategy (D)'!$C$1=RefData!$B$420,'All Statement of strategy (D)'!$G1756,IF('All Statement of strategy (D)'!$C$1=RefData!$B$421,'All Statement of strategy (D)'!$H1756," "))))</f>
        <v xml:space="preserve"> </v>
      </c>
    </row>
    <row r="1757" spans="1:9">
      <c r="A1757" s="584" t="s">
        <v>2759</v>
      </c>
      <c r="B1757" s="594" t="str">
        <f ca="1">MID('Reconciliation report'!$E$915,3001,1000)</f>
        <v/>
      </c>
      <c r="D1757" s="624"/>
      <c r="E1757" s="585" t="str">
        <f ca="1">IF('Reconciliation report'!$E$872&gt;=5,'All Statement of strategy (D)'!$B1757&amp;'All Statement of strategy (D)'!$C1757,"")</f>
        <v/>
      </c>
      <c r="F1757" s="585" t="str">
        <f ca="1">IF('Reconciliation report'!$E$872&gt;=5,'All Statement of strategy (D)'!$B1757&amp;'All Statement of strategy (D)'!$C1757,"")</f>
        <v/>
      </c>
      <c r="G1757" s="585" t="str">
        <f ca="1">IF('Reconciliation report'!$E$872&gt;=5,'All Statement of strategy (D)'!$B1757&amp;'All Statement of strategy (D)'!$C1757,"")</f>
        <v/>
      </c>
      <c r="H1757" s="585" t="str">
        <f ca="1">IF('Reconciliation report'!$E$872&gt;=5,'All Statement of strategy (D)'!$B1757&amp;'All Statement of strategy (D)'!$C1757,"")</f>
        <v/>
      </c>
      <c r="I1757" s="595" t="str">
        <f ca="1">IF($C$1=RefData!$B$418,'All Statement of strategy (D)'!$E1757,IF('All Statement of strategy (D)'!$C$1=RefData!$B$419,'All Statement of strategy (D)'!$F1757,IF('All Statement of strategy (D)'!$C$1=RefData!$B$420,'All Statement of strategy (D)'!$G1757,IF('All Statement of strategy (D)'!$C$1=RefData!$B$421,'All Statement of strategy (D)'!$H1757," "))))</f>
        <v xml:space="preserve"> </v>
      </c>
    </row>
    <row r="1758" spans="1:9">
      <c r="A1758" s="604"/>
      <c r="B1758" s="594" t="s">
        <v>2532</v>
      </c>
      <c r="C1758" s="615"/>
      <c r="D1758" s="624"/>
      <c r="E1758" s="585" t="str">
        <f ca="1">IF('Reconciliation report'!$E$872&gt;=5,'All Statement of strategy (D)'!$B1758&amp;'All Statement of strategy (D)'!$C1758,"")</f>
        <v xml:space="preserve">Type of maturity: </v>
      </c>
      <c r="F1758" s="585" t="str">
        <f ca="1">IF('Reconciliation report'!$E$872&gt;=5,'All Statement of strategy (D)'!$B1758&amp;'All Statement of strategy (D)'!$C1758,"")</f>
        <v xml:space="preserve">Type of maturity: </v>
      </c>
      <c r="G1758" s="585" t="str">
        <f ca="1">IF('Reconciliation report'!$E$872&gt;=5,'All Statement of strategy (D)'!$B1758&amp;'All Statement of strategy (D)'!$C1758,"")</f>
        <v xml:space="preserve">Type of maturity: </v>
      </c>
      <c r="H1758" s="585" t="str">
        <f ca="1">IF('Reconciliation report'!$E$872&gt;=5,'All Statement of strategy (D)'!$B1758&amp;'All Statement of strategy (D)'!$C1758,"")</f>
        <v xml:space="preserve">Type of maturity: </v>
      </c>
      <c r="I1758" s="595" t="str">
        <f ca="1">IF($C$1=RefData!$B$418,'All Statement of strategy (D)'!$E1758,IF('All Statement of strategy (D)'!$C$1=RefData!$B$419,'All Statement of strategy (D)'!$F1758,IF('All Statement of strategy (D)'!$C$1=RefData!$B$420,'All Statement of strategy (D)'!$G1758,IF('All Statement of strategy (D)'!$C$1=RefData!$B$421,'All Statement of strategy (D)'!$H1758," "))))</f>
        <v xml:space="preserve"> </v>
      </c>
    </row>
    <row r="1759" spans="1:9">
      <c r="A1759" s="584" t="s">
        <v>2760</v>
      </c>
      <c r="B1759" s="594" t="str">
        <f ca="1">IF('Reconciliation report'!$E$916=RefData!$B$187,'Reconciliation report'!$E$916,"")</f>
        <v/>
      </c>
      <c r="C1759" s="615"/>
      <c r="D1759" s="624"/>
      <c r="E1759" s="585" t="str">
        <f ca="1">IF('Reconciliation report'!$E$872&gt;=5,'All Statement of strategy (D)'!$B1759&amp;'All Statement of strategy (D)'!$C1759,"")</f>
        <v/>
      </c>
      <c r="F1759" s="585" t="str">
        <f ca="1">IF('Reconciliation report'!$E$872&gt;=5,'All Statement of strategy (D)'!$B1759&amp;'All Statement of strategy (D)'!$C1759,"")</f>
        <v/>
      </c>
      <c r="G1759" s="585" t="str">
        <f ca="1">IF('Reconciliation report'!$E$872&gt;=5,'All Statement of strategy (D)'!$B1759&amp;'All Statement of strategy (D)'!$C1759,"")</f>
        <v/>
      </c>
      <c r="H1759" s="585" t="str">
        <f ca="1">IF('Reconciliation report'!$E$872&gt;=5,'All Statement of strategy (D)'!$B1759&amp;'All Statement of strategy (D)'!$C1759,"")</f>
        <v/>
      </c>
      <c r="I1759" s="595" t="str">
        <f ca="1">IF($C$1=RefData!$B$418,'All Statement of strategy (D)'!$E1759,IF('All Statement of strategy (D)'!$C$1=RefData!$B$419,'All Statement of strategy (D)'!$F1759,IF('All Statement of strategy (D)'!$C$1=RefData!$B$420,'All Statement of strategy (D)'!$G1759,IF('All Statement of strategy (D)'!$C$1=RefData!$B$421,'All Statement of strategy (D)'!$H1759," "))))</f>
        <v xml:space="preserve"> </v>
      </c>
    </row>
    <row r="1760" spans="1:9">
      <c r="A1760" s="584" t="s">
        <v>2761</v>
      </c>
      <c r="B1760" s="594" t="str">
        <f ca="1">IF('Reconciliation report'!$E$916=RefData!$B$188,"Fixed expiry with a maturity date of ","")</f>
        <v/>
      </c>
      <c r="C1760" s="615" t="str">
        <f ca="1">TEXT('Reconciliation report'!$E$917,RefData!$B$424)</f>
        <v/>
      </c>
      <c r="D1760" s="624"/>
      <c r="E1760" s="585" t="str">
        <f ca="1">IF('Reconciliation report'!$E$872&gt;=5,'All Statement of strategy (D)'!$B1760&amp;'All Statement of strategy (D)'!$C1760,"")</f>
        <v/>
      </c>
      <c r="F1760" s="585" t="str">
        <f ca="1">IF('Reconciliation report'!$E$872&gt;=5,'All Statement of strategy (D)'!$B1760&amp;'All Statement of strategy (D)'!$C1760,"")</f>
        <v/>
      </c>
      <c r="G1760" s="585" t="str">
        <f ca="1">IF('Reconciliation report'!$E$872&gt;=5,'All Statement of strategy (D)'!$B1760&amp;'All Statement of strategy (D)'!$C1760,"")</f>
        <v/>
      </c>
      <c r="H1760" s="585" t="str">
        <f ca="1">IF('Reconciliation report'!$E$872&gt;=5,'All Statement of strategy (D)'!$B1760&amp;'All Statement of strategy (D)'!$C1760,"")</f>
        <v/>
      </c>
      <c r="I1760" s="595" t="str">
        <f ca="1">IF($C$1=RefData!$B$418,'All Statement of strategy (D)'!$E1760,IF('All Statement of strategy (D)'!$C$1=RefData!$B$419,'All Statement of strategy (D)'!$F1760,IF('All Statement of strategy (D)'!$C$1=RefData!$B$420,'All Statement of strategy (D)'!$G1760,IF('All Statement of strategy (D)'!$C$1=RefData!$B$421,'All Statement of strategy (D)'!$H1760," "))))</f>
        <v xml:space="preserve"> </v>
      </c>
    </row>
    <row r="1761" spans="1:9">
      <c r="A1761" s="584" t="s">
        <v>2762</v>
      </c>
      <c r="B1761" s="594" t="str">
        <f ca="1">IF('Reconciliation report'!$E$916=RefData!$B$189,LEFT('Reconciliation report'!$E$918,1000),"")</f>
        <v/>
      </c>
      <c r="C1761" s="615"/>
      <c r="D1761" s="624"/>
      <c r="E1761" s="585" t="str">
        <f ca="1">IF('Reconciliation report'!$E$872&gt;=5,'All Statement of strategy (D)'!$B1761&amp;'All Statement of strategy (D)'!$C1761,"")</f>
        <v/>
      </c>
      <c r="F1761" s="585" t="str">
        <f ca="1">IF('Reconciliation report'!$E$872&gt;=5,'All Statement of strategy (D)'!$B1761&amp;'All Statement of strategy (D)'!$C1761,"")</f>
        <v/>
      </c>
      <c r="G1761" s="585" t="str">
        <f ca="1">IF('Reconciliation report'!$E$872&gt;=5,'All Statement of strategy (D)'!$B1761&amp;'All Statement of strategy (D)'!$C1761,"")</f>
        <v/>
      </c>
      <c r="H1761" s="585" t="str">
        <f ca="1">IF('Reconciliation report'!$E$872&gt;=5,'All Statement of strategy (D)'!$B1761&amp;'All Statement of strategy (D)'!$C1761,"")</f>
        <v/>
      </c>
      <c r="I1761" s="595" t="str">
        <f ca="1">IF($C$1=RefData!$B$418,'All Statement of strategy (D)'!$E1761,IF('All Statement of strategy (D)'!$C$1=RefData!$B$419,'All Statement of strategy (D)'!$F1761,IF('All Statement of strategy (D)'!$C$1=RefData!$B$420,'All Statement of strategy (D)'!$G1761,IF('All Statement of strategy (D)'!$C$1=RefData!$B$421,'All Statement of strategy (D)'!$H1761," "))))</f>
        <v xml:space="preserve"> </v>
      </c>
    </row>
    <row r="1762" spans="1:9">
      <c r="A1762" s="584" t="s">
        <v>2762</v>
      </c>
      <c r="B1762" s="594" t="str">
        <f ca="1">IF('Reconciliation report'!$E$916=RefData!$B$189,MID('Reconciliation report'!$E$918,1001,1000),"")</f>
        <v/>
      </c>
      <c r="C1762" s="615"/>
      <c r="D1762" s="624"/>
      <c r="E1762" s="585" t="str">
        <f ca="1">IF('Reconciliation report'!$E$872&gt;=5,'All Statement of strategy (D)'!$B1762&amp;'All Statement of strategy (D)'!$C1762,"")</f>
        <v/>
      </c>
      <c r="F1762" s="585" t="str">
        <f ca="1">IF('Reconciliation report'!$E$872&gt;=5,'All Statement of strategy (D)'!$B1762&amp;'All Statement of strategy (D)'!$C1762,"")</f>
        <v/>
      </c>
      <c r="G1762" s="585" t="str">
        <f ca="1">IF('Reconciliation report'!$E$872&gt;=5,'All Statement of strategy (D)'!$B1762&amp;'All Statement of strategy (D)'!$C1762,"")</f>
        <v/>
      </c>
      <c r="H1762" s="585" t="str">
        <f ca="1">IF('Reconciliation report'!$E$872&gt;=5,'All Statement of strategy (D)'!$B1762&amp;'All Statement of strategy (D)'!$C1762,"")</f>
        <v/>
      </c>
      <c r="I1762" s="595" t="str">
        <f ca="1">IF($C$1=RefData!$B$418,'All Statement of strategy (D)'!$E1762,IF('All Statement of strategy (D)'!$C$1=RefData!$B$419,'All Statement of strategy (D)'!$F1762,IF('All Statement of strategy (D)'!$C$1=RefData!$B$420,'All Statement of strategy (D)'!$G1762,IF('All Statement of strategy (D)'!$C$1=RefData!$B$421,'All Statement of strategy (D)'!$H1762," "))))</f>
        <v xml:space="preserve"> </v>
      </c>
    </row>
    <row r="1763" spans="1:9">
      <c r="A1763" s="584" t="s">
        <v>2762</v>
      </c>
      <c r="B1763" s="594" t="str">
        <f ca="1">IF('Reconciliation report'!$E$916=RefData!$B$189,MID('Reconciliation report'!$E$918,2001,1000),"")</f>
        <v/>
      </c>
      <c r="C1763" s="615"/>
      <c r="D1763" s="624"/>
      <c r="E1763" s="585" t="str">
        <f ca="1">IF('Reconciliation report'!$E$872&gt;=5,'All Statement of strategy (D)'!$B1763&amp;'All Statement of strategy (D)'!$C1763,"")</f>
        <v/>
      </c>
      <c r="F1763" s="585" t="str">
        <f ca="1">IF('Reconciliation report'!$E$872&gt;=5,'All Statement of strategy (D)'!$B1763&amp;'All Statement of strategy (D)'!$C1763,"")</f>
        <v/>
      </c>
      <c r="G1763" s="585" t="str">
        <f ca="1">IF('Reconciliation report'!$E$872&gt;=5,'All Statement of strategy (D)'!$B1763&amp;'All Statement of strategy (D)'!$C1763,"")</f>
        <v/>
      </c>
      <c r="H1763" s="585" t="str">
        <f ca="1">IF('Reconciliation report'!$E$872&gt;=5,'All Statement of strategy (D)'!$B1763&amp;'All Statement of strategy (D)'!$C1763,"")</f>
        <v/>
      </c>
      <c r="I1763" s="595" t="str">
        <f ca="1">IF($C$1=RefData!$B$418,'All Statement of strategy (D)'!$E1763,IF('All Statement of strategy (D)'!$C$1=RefData!$B$419,'All Statement of strategy (D)'!$F1763,IF('All Statement of strategy (D)'!$C$1=RefData!$B$420,'All Statement of strategy (D)'!$G1763,IF('All Statement of strategy (D)'!$C$1=RefData!$B$421,'All Statement of strategy (D)'!$H1763," "))))</f>
        <v xml:space="preserve"> </v>
      </c>
    </row>
    <row r="1764" spans="1:9">
      <c r="A1764" s="584" t="s">
        <v>2762</v>
      </c>
      <c r="B1764" s="594" t="str">
        <f ca="1">IF('Reconciliation report'!$E$916=RefData!$B$189,MID('Reconciliation report'!$E$918,3001,1000),"")</f>
        <v/>
      </c>
      <c r="C1764" s="615"/>
      <c r="D1764" s="624"/>
      <c r="E1764" s="585" t="str">
        <f ca="1">IF('Reconciliation report'!$E$872&gt;=5,'All Statement of strategy (D)'!$B1764&amp;'All Statement of strategy (D)'!$C1764,"")</f>
        <v/>
      </c>
      <c r="F1764" s="585" t="str">
        <f ca="1">IF('Reconciliation report'!$E$872&gt;=5,'All Statement of strategy (D)'!$B1764&amp;'All Statement of strategy (D)'!$C1764,"")</f>
        <v/>
      </c>
      <c r="G1764" s="585" t="str">
        <f ca="1">IF('Reconciliation report'!$E$872&gt;=5,'All Statement of strategy (D)'!$B1764&amp;'All Statement of strategy (D)'!$C1764,"")</f>
        <v/>
      </c>
      <c r="H1764" s="585" t="str">
        <f ca="1">IF('Reconciliation report'!$E$872&gt;=5,'All Statement of strategy (D)'!$B1764&amp;'All Statement of strategy (D)'!$C1764,"")</f>
        <v/>
      </c>
      <c r="I1764" s="595" t="str">
        <f ca="1">IF($C$1=RefData!$B$418,'All Statement of strategy (D)'!$E1764,IF('All Statement of strategy (D)'!$C$1=RefData!$B$419,'All Statement of strategy (D)'!$F1764,IF('All Statement of strategy (D)'!$C$1=RefData!$B$420,'All Statement of strategy (D)'!$G1764,IF('All Statement of strategy (D)'!$C$1=RefData!$B$421,'All Statement of strategy (D)'!$H1764," "))))</f>
        <v xml:space="preserve"> </v>
      </c>
    </row>
    <row r="1765" spans="1:9">
      <c r="A1765" s="584" t="s">
        <v>2763</v>
      </c>
      <c r="B1765" s="594" t="s">
        <v>2715</v>
      </c>
      <c r="C1765" s="585" t="str">
        <f ca="1">TEXT('Reconciliation report'!$E$919,RefData!$B$425)</f>
        <v/>
      </c>
      <c r="E1765" s="585" t="str">
        <f ca="1">IF('Reconciliation report'!$E$872&gt;=5,'All Statement of strategy (D)'!$B1765&amp;'All Statement of strategy (D)'!$C1765,"")</f>
        <v xml:space="preserve">Value of the scheme's interest in the ABC (net present value): </v>
      </c>
      <c r="F1765" s="585" t="str">
        <f ca="1">IF('Reconciliation report'!$E$872&gt;=5,'All Statement of strategy (D)'!$B1765&amp;'All Statement of strategy (D)'!$C1765,"")</f>
        <v xml:space="preserve">Value of the scheme's interest in the ABC (net present value): </v>
      </c>
      <c r="G1765" s="585" t="str">
        <f ca="1">IF('Reconciliation report'!$E$872&gt;=5,'All Statement of strategy (D)'!$B1765&amp;'All Statement of strategy (D)'!$C1765,"")</f>
        <v xml:space="preserve">Value of the scheme's interest in the ABC (net present value): </v>
      </c>
      <c r="H1765" s="585" t="str">
        <f ca="1">IF('Reconciliation report'!$E$872&gt;=5,'All Statement of strategy (D)'!$B1765&amp;'All Statement of strategy (D)'!$C1765,"")</f>
        <v xml:space="preserve">Value of the scheme's interest in the ABC (net present value): </v>
      </c>
      <c r="I1765" s="595" t="str">
        <f ca="1">IF($C$1=RefData!$B$418,'All Statement of strategy (D)'!$E1765,IF('All Statement of strategy (D)'!$C$1=RefData!$B$419,'All Statement of strategy (D)'!$F1765,IF('All Statement of strategy (D)'!$C$1=RefData!$B$420,'All Statement of strategy (D)'!$G1765,IF('All Statement of strategy (D)'!$C$1=RefData!$B$421,'All Statement of strategy (D)'!$H1765," "))))</f>
        <v xml:space="preserve"> </v>
      </c>
    </row>
    <row r="1766" spans="1:9">
      <c r="A1766" s="584" t="s">
        <v>2764</v>
      </c>
      <c r="B1766" s="594" t="s">
        <v>2717</v>
      </c>
      <c r="C1766" s="618" t="str">
        <f ca="1">TEXT('Reconciliation report'!$E$920,RefData!$B$424)</f>
        <v/>
      </c>
      <c r="E1766" s="585" t="str">
        <f ca="1">IF('Reconciliation report'!$E$872&gt;=5,'All Statement of strategy (D)'!$B1766&amp;'All Statement of strategy (D)'!$C1766,"")</f>
        <v xml:space="preserve">Date of net present value calculation: </v>
      </c>
      <c r="F1766" s="585" t="str">
        <f ca="1">IF('Reconciliation report'!$E$872&gt;=5,'All Statement of strategy (D)'!$B1766&amp;'All Statement of strategy (D)'!$C1766,"")</f>
        <v xml:space="preserve">Date of net present value calculation: </v>
      </c>
      <c r="G1766" s="585" t="str">
        <f ca="1">IF('Reconciliation report'!$E$872&gt;=5,'All Statement of strategy (D)'!$B1766&amp;'All Statement of strategy (D)'!$C1766,"")</f>
        <v xml:space="preserve">Date of net present value calculation: </v>
      </c>
      <c r="H1766" s="585" t="str">
        <f ca="1">IF('Reconciliation report'!$E$872&gt;=5,'All Statement of strategy (D)'!$B1766&amp;'All Statement of strategy (D)'!$C1766,"")</f>
        <v xml:space="preserve">Date of net present value calculation: </v>
      </c>
      <c r="I1766" s="595" t="str">
        <f ca="1">IF($C$1=RefData!$B$418,'All Statement of strategy (D)'!$E1766,IF('All Statement of strategy (D)'!$C$1=RefData!$B$419,'All Statement of strategy (D)'!$F1766,IF('All Statement of strategy (D)'!$C$1=RefData!$B$420,'All Statement of strategy (D)'!$G1766,IF('All Statement of strategy (D)'!$C$1=RefData!$B$421,'All Statement of strategy (D)'!$H1766," "))))</f>
        <v xml:space="preserve"> </v>
      </c>
    </row>
    <row r="1767" spans="1:9">
      <c r="B1767" s="594" t="s">
        <v>2718</v>
      </c>
      <c r="C1767" s="615"/>
      <c r="E1767" s="585" t="str">
        <f ca="1">IF(AND('Reconciliation report'!$E$872&gt;=5,'Reconciliation report'!$E$921&lt;&gt;""),'All Statement of strategy (D)'!$B1767&amp;'All Statement of strategy (D)'!$C1767,"")</f>
        <v/>
      </c>
      <c r="F1767" s="585" t="str">
        <f ca="1">IF(AND('Reconciliation report'!$E$872&gt;=5,'Reconciliation report'!$E$921&lt;&gt;""),'All Statement of strategy (D)'!$B1767&amp;'All Statement of strategy (D)'!$C1767,"")</f>
        <v/>
      </c>
      <c r="G1767" s="585" t="str">
        <f ca="1">IF(AND('Reconciliation report'!$E$872&gt;=5,'Reconciliation report'!$E$921&lt;&gt;""),'All Statement of strategy (D)'!$B1767&amp;'All Statement of strategy (D)'!$C1767,"")</f>
        <v/>
      </c>
      <c r="H1767" s="585" t="str">
        <f ca="1">IF(AND('Reconciliation report'!$E$872&gt;=5,'Reconciliation report'!$E$921&lt;&gt;""),'All Statement of strategy (D)'!$B1767&amp;'All Statement of strategy (D)'!$C1767,"")</f>
        <v/>
      </c>
      <c r="I1767" s="595" t="str">
        <f ca="1">IF($C$1=RefData!$B$418,'All Statement of strategy (D)'!$E1767,IF('All Statement of strategy (D)'!$C$1=RefData!$B$419,'All Statement of strategy (D)'!$F1767,IF('All Statement of strategy (D)'!$C$1=RefData!$B$420,'All Statement of strategy (D)'!$G1767,IF('All Statement of strategy (D)'!$C$1=RefData!$B$421,'All Statement of strategy (D)'!$H1767," "))))</f>
        <v xml:space="preserve"> </v>
      </c>
    </row>
    <row r="1768" spans="1:9">
      <c r="A1768" s="584" t="s">
        <v>2765</v>
      </c>
      <c r="B1768" s="594" t="s">
        <v>2400</v>
      </c>
      <c r="C1768" s="615" t="str">
        <f ca="1">TEXT('Reconciliation report'!$E$921,RefData!$B$425)</f>
        <v/>
      </c>
      <c r="E1768" s="585" t="str">
        <f ca="1">IF(AND('Reconciliation report'!$E$872&gt;=5,$C1768&lt;&gt;""),'All Statement of strategy (D)'!$B1768&amp;'All Statement of strategy (D)'!$C1768,"")</f>
        <v/>
      </c>
      <c r="F1768" s="585" t="str">
        <f ca="1">IF(AND('Reconciliation report'!$E$872&gt;=5,$C1768&lt;&gt;""),'All Statement of strategy (D)'!$B1768&amp;'All Statement of strategy (D)'!$C1768,"")</f>
        <v/>
      </c>
      <c r="G1768" s="585" t="str">
        <f ca="1">IF(AND('Reconciliation report'!$E$872&gt;=5,$C1768&lt;&gt;""),'All Statement of strategy (D)'!$B1768&amp;'All Statement of strategy (D)'!$C1768,"")</f>
        <v/>
      </c>
      <c r="H1768" s="585" t="str">
        <f ca="1">IF(AND('Reconciliation report'!$E$872&gt;=5,$C1768&lt;&gt;""),'All Statement of strategy (D)'!$B1768&amp;'All Statement of strategy (D)'!$C1768,"")</f>
        <v/>
      </c>
      <c r="I1768" s="595" t="str">
        <f ca="1">IF($C$1=RefData!$B$418,'All Statement of strategy (D)'!$E1768,IF('All Statement of strategy (D)'!$C$1=RefData!$B$419,'All Statement of strategy (D)'!$F1768,IF('All Statement of strategy (D)'!$C$1=RefData!$B$420,'All Statement of strategy (D)'!$G1768,IF('All Statement of strategy (D)'!$C$1=RefData!$B$421,'All Statement of strategy (D)'!$H1768," "))))</f>
        <v xml:space="preserve"> </v>
      </c>
    </row>
    <row r="1769" spans="1:9">
      <c r="A1769" s="584" t="s">
        <v>2766</v>
      </c>
      <c r="B1769" s="594" t="s">
        <v>2721</v>
      </c>
      <c r="C1769" s="618" t="str">
        <f ca="1">TEXT('Reconciliation report'!$E$922,RefData!$B$424)</f>
        <v/>
      </c>
      <c r="E1769" s="585" t="str">
        <f ca="1">IF(AND('Reconciliation report'!$E$872&gt;=5,$C1769&lt;&gt;""),'All Statement of strategy (D)'!$B1769&amp;'All Statement of strategy (D)'!$C1769,"")</f>
        <v/>
      </c>
      <c r="F1769" s="585" t="str">
        <f ca="1">IF(AND('Reconciliation report'!$E$872&gt;=5,$C1769&lt;&gt;""),'All Statement of strategy (D)'!$B1769&amp;'All Statement of strategy (D)'!$C1769,"")</f>
        <v/>
      </c>
      <c r="G1769" s="585" t="str">
        <f ca="1">IF(AND('Reconciliation report'!$E$872&gt;=5,$C1769&lt;&gt;""),'All Statement of strategy (D)'!$B1769&amp;'All Statement of strategy (D)'!$C1769,"")</f>
        <v/>
      </c>
      <c r="H1769" s="585" t="str">
        <f ca="1">IF(AND('Reconciliation report'!$E$872&gt;=5,$C1769&lt;&gt;""),'All Statement of strategy (D)'!$B1769&amp;'All Statement of strategy (D)'!$C1769,"")</f>
        <v/>
      </c>
      <c r="I1769" s="595" t="str">
        <f ca="1">IF($C$1=RefData!$B$418,'All Statement of strategy (D)'!$E1769,IF('All Statement of strategy (D)'!$C$1=RefData!$B$419,'All Statement of strategy (D)'!$F1769,IF('All Statement of strategy (D)'!$C$1=RefData!$B$420,'All Statement of strategy (D)'!$G1769,IF('All Statement of strategy (D)'!$C$1=RefData!$B$421,'All Statement of strategy (D)'!$H1769," "))))</f>
        <v xml:space="preserve"> </v>
      </c>
    </row>
    <row r="1770" spans="1:9">
      <c r="B1770" s="594" t="s">
        <v>2722</v>
      </c>
      <c r="C1770" s="615"/>
      <c r="E1770" s="585" t="str">
        <f ca="1">IF('Reconciliation report'!$E$872&gt;=5,'All Statement of strategy (D)'!$B1770&amp;'All Statement of strategy (D)'!$C1770,"")</f>
        <v xml:space="preserve">Triggers for any cessation of payment schedule or termination of ABC: </v>
      </c>
      <c r="F1770" s="585" t="str">
        <f ca="1">IF('Reconciliation report'!$E$872&gt;=5,'All Statement of strategy (D)'!$B1770&amp;'All Statement of strategy (D)'!$C1770,"")</f>
        <v xml:space="preserve">Triggers for any cessation of payment schedule or termination of ABC: </v>
      </c>
      <c r="G1770" s="585" t="str">
        <f>""</f>
        <v/>
      </c>
      <c r="H1770" s="585" t="str">
        <f>""</f>
        <v/>
      </c>
      <c r="I1770" s="595" t="str">
        <f ca="1">IF($C$1=RefData!$B$418,'All Statement of strategy (D)'!$E1770,IF('All Statement of strategy (D)'!$C$1=RefData!$B$419,'All Statement of strategy (D)'!$F1770,IF('All Statement of strategy (D)'!$C$1=RefData!$B$420,'All Statement of strategy (D)'!$G1770,IF('All Statement of strategy (D)'!$C$1=RefData!$B$421,'All Statement of strategy (D)'!$H1770," "))))</f>
        <v xml:space="preserve"> </v>
      </c>
    </row>
    <row r="1771" spans="1:9">
      <c r="A1771" s="584" t="s">
        <v>2767</v>
      </c>
      <c r="B1771" s="621" t="str">
        <f ca="1">LEFT('Reconciliation report'!$E$923,1000)</f>
        <v/>
      </c>
      <c r="C1771" s="615"/>
      <c r="E1771" s="585" t="str">
        <f ca="1">IF('Reconciliation report'!$E$872&gt;=5,'All Statement of strategy (D)'!$B1771&amp;'All Statement of strategy (D)'!$C1771,"")</f>
        <v/>
      </c>
      <c r="F1771" s="585" t="str">
        <f ca="1">IF('Reconciliation report'!$E$872&gt;=5,'All Statement of strategy (D)'!$B1771&amp;'All Statement of strategy (D)'!$C1771,"")</f>
        <v/>
      </c>
      <c r="G1771" s="585" t="str">
        <f>""</f>
        <v/>
      </c>
      <c r="H1771" s="585" t="str">
        <f>""</f>
        <v/>
      </c>
      <c r="I1771" s="595" t="str">
        <f ca="1">IF($C$1=RefData!$B$418,'All Statement of strategy (D)'!$E1771,IF('All Statement of strategy (D)'!$C$1=RefData!$B$419,'All Statement of strategy (D)'!$F1771,IF('All Statement of strategy (D)'!$C$1=RefData!$B$420,'All Statement of strategy (D)'!$G1771,IF('All Statement of strategy (D)'!$C$1=RefData!$B$421,'All Statement of strategy (D)'!$H1771," "))))</f>
        <v xml:space="preserve"> </v>
      </c>
    </row>
    <row r="1772" spans="1:9">
      <c r="A1772" s="584" t="s">
        <v>2767</v>
      </c>
      <c r="B1772" s="621" t="str">
        <f ca="1">MID('Reconciliation report'!$E$923,1001,1000)</f>
        <v/>
      </c>
      <c r="C1772" s="615"/>
      <c r="E1772" s="585" t="str">
        <f ca="1">IF('Reconciliation report'!$E$872&gt;=5,'All Statement of strategy (D)'!$B1772&amp;'All Statement of strategy (D)'!$C1772,"")</f>
        <v/>
      </c>
      <c r="F1772" s="585" t="str">
        <f ca="1">IF('Reconciliation report'!$E$872&gt;=5,'All Statement of strategy (D)'!$B1772&amp;'All Statement of strategy (D)'!$C1772,"")</f>
        <v/>
      </c>
      <c r="G1772" s="585" t="str">
        <f>""</f>
        <v/>
      </c>
      <c r="H1772" s="585" t="str">
        <f>""</f>
        <v/>
      </c>
      <c r="I1772" s="595" t="str">
        <f ca="1">IF($C$1=RefData!$B$418,'All Statement of strategy (D)'!$E1772,IF('All Statement of strategy (D)'!$C$1=RefData!$B$419,'All Statement of strategy (D)'!$F1772,IF('All Statement of strategy (D)'!$C$1=RefData!$B$420,'All Statement of strategy (D)'!$G1772,IF('All Statement of strategy (D)'!$C$1=RefData!$B$421,'All Statement of strategy (D)'!$H1772," "))))</f>
        <v xml:space="preserve"> </v>
      </c>
    </row>
    <row r="1773" spans="1:9">
      <c r="A1773" s="584" t="s">
        <v>2767</v>
      </c>
      <c r="B1773" s="621" t="str">
        <f ca="1">MID('Reconciliation report'!$E$923,2001,1000)</f>
        <v/>
      </c>
      <c r="C1773" s="615"/>
      <c r="E1773" s="585" t="str">
        <f ca="1">IF('Reconciliation report'!$E$872&gt;=5,'All Statement of strategy (D)'!$B1773&amp;'All Statement of strategy (D)'!$C1773,"")</f>
        <v/>
      </c>
      <c r="F1773" s="585" t="str">
        <f ca="1">IF('Reconciliation report'!$E$872&gt;=5,'All Statement of strategy (D)'!$B1773&amp;'All Statement of strategy (D)'!$C1773,"")</f>
        <v/>
      </c>
      <c r="G1773" s="585" t="str">
        <f>""</f>
        <v/>
      </c>
      <c r="H1773" s="585" t="str">
        <f>""</f>
        <v/>
      </c>
      <c r="I1773" s="595" t="str">
        <f ca="1">IF($C$1=RefData!$B$418,'All Statement of strategy (D)'!$E1773,IF('All Statement of strategy (D)'!$C$1=RefData!$B$419,'All Statement of strategy (D)'!$F1773,IF('All Statement of strategy (D)'!$C$1=RefData!$B$420,'All Statement of strategy (D)'!$G1773,IF('All Statement of strategy (D)'!$C$1=RefData!$B$421,'All Statement of strategy (D)'!$H1773," "))))</f>
        <v xml:space="preserve"> </v>
      </c>
    </row>
    <row r="1774" spans="1:9" ht="16" thickBot="1">
      <c r="A1774" s="584" t="s">
        <v>2767</v>
      </c>
      <c r="B1774" s="622" t="str">
        <f ca="1">MID('Reconciliation report'!$E$923,3001,1000)</f>
        <v/>
      </c>
      <c r="C1774" s="625"/>
      <c r="D1774" s="598"/>
      <c r="E1774" s="598" t="str">
        <f ca="1">IF('Reconciliation report'!$E$872&gt;=5,'All Statement of strategy (D)'!$B1774&amp;'All Statement of strategy (D)'!$C1774,"")</f>
        <v/>
      </c>
      <c r="F1774" s="598" t="str">
        <f ca="1">IF('Reconciliation report'!$E$872&gt;=5,'All Statement of strategy (D)'!$B1774&amp;'All Statement of strategy (D)'!$C1774,"")</f>
        <v/>
      </c>
      <c r="G1774" s="598" t="str">
        <f>""</f>
        <v/>
      </c>
      <c r="H1774" s="598" t="str">
        <f>""</f>
        <v/>
      </c>
      <c r="I1774" s="599" t="str">
        <f ca="1">IF($C$1=RefData!$B$418,'All Statement of strategy (D)'!$E1774,IF('All Statement of strategy (D)'!$C$1=RefData!$B$419,'All Statement of strategy (D)'!$F1774,IF('All Statement of strategy (D)'!$C$1=RefData!$B$420,'All Statement of strategy (D)'!$G1774,IF('All Statement of strategy (D)'!$C$1=RefData!$B$421,'All Statement of strategy (D)'!$H1774," "))))</f>
        <v xml:space="preserve"> </v>
      </c>
    </row>
    <row r="1775" spans="1:9">
      <c r="B1775" s="585" t="s">
        <v>2768</v>
      </c>
      <c r="C1775" s="615"/>
      <c r="E1775" s="585" t="str">
        <f ca="1">IF('Reconciliation report'!$E$872&gt;=1,'All Statement of strategy (D)'!$B1775&amp;'All Statement of strategy (D)'!$C1775,"")</f>
        <v>Income stream</v>
      </c>
      <c r="F1775" s="585" t="str">
        <f ca="1">IF('Reconciliation report'!$E$872&gt;=1,'All Statement of strategy (D)'!$B1775&amp;'All Statement of strategy (D)'!$C1775,"")</f>
        <v>Income stream</v>
      </c>
      <c r="G1775" s="585" t="str">
        <f ca="1">IF('Reconciliation report'!$E$872&gt;=1,'All Statement of strategy (D)'!$B1775&amp;'All Statement of strategy (D)'!$C1775,"")</f>
        <v>Income stream</v>
      </c>
      <c r="H1775" s="585" t="str">
        <f ca="1">IF('Reconciliation report'!$E$872&gt;=1,'All Statement of strategy (D)'!$B1775&amp;'All Statement of strategy (D)'!$C1775,"")</f>
        <v>Income stream</v>
      </c>
      <c r="I1775" s="595" t="str">
        <f ca="1">IF($C$1=RefData!$B$418,'All Statement of strategy (D)'!$E1775,IF('All Statement of strategy (D)'!$C$1=RefData!$B$419,'All Statement of strategy (D)'!$F1775,IF('All Statement of strategy (D)'!$C$1=RefData!$B$420,'All Statement of strategy (D)'!$G1775,IF('All Statement of strategy (D)'!$C$1=RefData!$B$421,'All Statement of strategy (D)'!$H1775," "))))</f>
        <v xml:space="preserve"> </v>
      </c>
    </row>
    <row r="1776" spans="1:9">
      <c r="B1776" s="585" t="s">
        <v>2769</v>
      </c>
      <c r="C1776" s="615"/>
      <c r="E1776" s="585" t="str">
        <f ca="1">IF('Reconciliation report'!$E$872&gt;=1,'All Statement of strategy (D)'!$B1776&amp;'All Statement of strategy (D)'!$C1776,"")</f>
        <v>Years</v>
      </c>
      <c r="F1776" s="585" t="str">
        <f ca="1">IF('Reconciliation report'!$E$872&gt;=1,'All Statement of strategy (D)'!$B1776&amp;'All Statement of strategy (D)'!$C1776,"")</f>
        <v>Years</v>
      </c>
      <c r="G1776" s="585" t="str">
        <f ca="1">IF('Reconciliation report'!$E$872&gt;=1,'All Statement of strategy (D)'!$B1776&amp;'All Statement of strategy (D)'!$C1776,"")</f>
        <v>Years</v>
      </c>
      <c r="H1776" s="585" t="str">
        <f ca="1">IF('Reconciliation report'!$E$872&gt;=1,'All Statement of strategy (D)'!$B1776&amp;'All Statement of strategy (D)'!$C1776,"")</f>
        <v>Years</v>
      </c>
      <c r="I1776" s="595" t="str">
        <f ca="1">IF($C$1=RefData!$B$418,'All Statement of strategy (D)'!$E1776,IF('All Statement of strategy (D)'!$C$1=RefData!$B$419,'All Statement of strategy (D)'!$F1776,IF('All Statement of strategy (D)'!$C$1=RefData!$B$420,'All Statement of strategy (D)'!$G1776,IF('All Statement of strategy (D)'!$C$1=RefData!$B$421,'All Statement of strategy (D)'!$H1776," "))))</f>
        <v xml:space="preserve"> </v>
      </c>
    </row>
    <row r="1777" spans="2:9">
      <c r="B1777" s="585" t="s">
        <v>2708</v>
      </c>
      <c r="C1777" s="615"/>
      <c r="E1777" s="585" t="str">
        <f ca="1">IF('Reconciliation report'!$E$872&gt;=1,'All Statement of strategy (D)'!$B1777&amp;'All Statement of strategy (D)'!$C1777,"")</f>
        <v>ABC 1</v>
      </c>
      <c r="F1777" s="585" t="str">
        <f ca="1">IF('Reconciliation report'!$E$872&gt;=1,'All Statement of strategy (D)'!$B1777&amp;'All Statement of strategy (D)'!$C1777,"")</f>
        <v>ABC 1</v>
      </c>
      <c r="G1777" s="585" t="str">
        <f ca="1">IF('Reconciliation report'!$E$872&gt;=1,'All Statement of strategy (D)'!$B1777&amp;'All Statement of strategy (D)'!$C1777,"")</f>
        <v>ABC 1</v>
      </c>
      <c r="H1777" s="585" t="str">
        <f ca="1">IF('Reconciliation report'!$E$872&gt;=1,'All Statement of strategy (D)'!$B1777&amp;'All Statement of strategy (D)'!$C1777,"")</f>
        <v>ABC 1</v>
      </c>
      <c r="I1777" s="595" t="str">
        <f ca="1">IF($C$1=RefData!$B$418,'All Statement of strategy (D)'!$E1777,IF('All Statement of strategy (D)'!$C$1=RefData!$B$419,'All Statement of strategy (D)'!$F1777,IF('All Statement of strategy (D)'!$C$1=RefData!$B$420,'All Statement of strategy (D)'!$G1777,IF('All Statement of strategy (D)'!$C$1=RefData!$B$421,'All Statement of strategy (D)'!$H1777," "))))</f>
        <v xml:space="preserve"> </v>
      </c>
    </row>
    <row r="1778" spans="2:9">
      <c r="B1778" s="585" t="s">
        <v>2724</v>
      </c>
      <c r="C1778" s="615"/>
      <c r="E1778" s="585" t="str">
        <f ca="1">IF('Reconciliation report'!$E$872&gt;=2,'All Statement of strategy (D)'!$B1778&amp;'All Statement of strategy (D)'!$C1778,"")</f>
        <v>ABC 2</v>
      </c>
      <c r="F1778" s="585" t="str">
        <f ca="1">IF('Reconciliation report'!$E$872&gt;=2,'All Statement of strategy (D)'!$B1778&amp;'All Statement of strategy (D)'!$C1778,"")</f>
        <v>ABC 2</v>
      </c>
      <c r="G1778" s="585" t="str">
        <f ca="1">IF('Reconciliation report'!$E$872&gt;=2,'All Statement of strategy (D)'!$B1778&amp;'All Statement of strategy (D)'!$C1778,"")</f>
        <v>ABC 2</v>
      </c>
      <c r="H1778" s="585" t="str">
        <f ca="1">IF('Reconciliation report'!$E$872&gt;=2,'All Statement of strategy (D)'!$B1778&amp;'All Statement of strategy (D)'!$C1778,"")</f>
        <v>ABC 2</v>
      </c>
      <c r="I1778" s="595" t="str">
        <f ca="1">IF($C$1=RefData!$B$418,'All Statement of strategy (D)'!$E1778,IF('All Statement of strategy (D)'!$C$1=RefData!$B$419,'All Statement of strategy (D)'!$F1778,IF('All Statement of strategy (D)'!$C$1=RefData!$B$420,'All Statement of strategy (D)'!$G1778,IF('All Statement of strategy (D)'!$C$1=RefData!$B$421,'All Statement of strategy (D)'!$H1778," "))))</f>
        <v xml:space="preserve"> </v>
      </c>
    </row>
    <row r="1779" spans="2:9">
      <c r="B1779" s="585" t="s">
        <v>2735</v>
      </c>
      <c r="C1779" s="615"/>
      <c r="E1779" s="585" t="str">
        <f ca="1">IF('Reconciliation report'!$E$872&gt;=3,'All Statement of strategy (D)'!$B1779&amp;'All Statement of strategy (D)'!$C1779,"")</f>
        <v>ABC 3</v>
      </c>
      <c r="F1779" s="585" t="str">
        <f ca="1">IF('Reconciliation report'!$E$872&gt;=3,'All Statement of strategy (D)'!$B1779&amp;'All Statement of strategy (D)'!$C1779,"")</f>
        <v>ABC 3</v>
      </c>
      <c r="G1779" s="585" t="str">
        <f ca="1">IF('Reconciliation report'!$E$872&gt;=3,'All Statement of strategy (D)'!$B1779&amp;'All Statement of strategy (D)'!$C1779,"")</f>
        <v>ABC 3</v>
      </c>
      <c r="H1779" s="585" t="str">
        <f ca="1">IF('Reconciliation report'!$E$872&gt;=3,'All Statement of strategy (D)'!$B1779&amp;'All Statement of strategy (D)'!$C1779,"")</f>
        <v>ABC 3</v>
      </c>
      <c r="I1779" s="595" t="str">
        <f ca="1">IF($C$1=RefData!$B$418,'All Statement of strategy (D)'!$E1779,IF('All Statement of strategy (D)'!$C$1=RefData!$B$419,'All Statement of strategy (D)'!$F1779,IF('All Statement of strategy (D)'!$C$1=RefData!$B$420,'All Statement of strategy (D)'!$G1779,IF('All Statement of strategy (D)'!$C$1=RefData!$B$421,'All Statement of strategy (D)'!$H1779," "))))</f>
        <v xml:space="preserve"> </v>
      </c>
    </row>
    <row r="1780" spans="2:9">
      <c r="B1780" s="585" t="s">
        <v>2746</v>
      </c>
      <c r="C1780" s="615"/>
      <c r="E1780" s="585" t="str">
        <f ca="1">IF('Reconciliation report'!$E$872&gt;=4,'All Statement of strategy (D)'!$B1780&amp;'All Statement of strategy (D)'!$C1780,"")</f>
        <v>ABC 4</v>
      </c>
      <c r="F1780" s="585" t="str">
        <f ca="1">IF('Reconciliation report'!$E$872&gt;=4,'All Statement of strategy (D)'!$B1780&amp;'All Statement of strategy (D)'!$C1780,"")</f>
        <v>ABC 4</v>
      </c>
      <c r="G1780" s="585" t="str">
        <f ca="1">IF('Reconciliation report'!$E$872&gt;=4,'All Statement of strategy (D)'!$B1780&amp;'All Statement of strategy (D)'!$C1780,"")</f>
        <v>ABC 4</v>
      </c>
      <c r="H1780" s="585" t="str">
        <f ca="1">IF('Reconciliation report'!$E$872&gt;=4,'All Statement of strategy (D)'!$B1780&amp;'All Statement of strategy (D)'!$C1780,"")</f>
        <v>ABC 4</v>
      </c>
      <c r="I1780" s="595" t="str">
        <f ca="1">IF($C$1=RefData!$B$418,'All Statement of strategy (D)'!$E1780,IF('All Statement of strategy (D)'!$C$1=RefData!$B$419,'All Statement of strategy (D)'!$F1780,IF('All Statement of strategy (D)'!$C$1=RefData!$B$420,'All Statement of strategy (D)'!$G1780,IF('All Statement of strategy (D)'!$C$1=RefData!$B$421,'All Statement of strategy (D)'!$H1780," "))))</f>
        <v xml:space="preserve"> </v>
      </c>
    </row>
    <row r="1781" spans="2:9">
      <c r="B1781" s="585" t="s">
        <v>2757</v>
      </c>
      <c r="C1781" s="615"/>
      <c r="E1781" s="585" t="str">
        <f ca="1">IF('Reconciliation report'!$E$872&gt;=5,'All Statement of strategy (D)'!$B1781&amp;'All Statement of strategy (D)'!$C1781,"")</f>
        <v>ABC 5</v>
      </c>
      <c r="F1781" s="585" t="str">
        <f ca="1">IF('Reconciliation report'!$E$872&gt;=5,'All Statement of strategy (D)'!$B1781&amp;'All Statement of strategy (D)'!$C1781,"")</f>
        <v>ABC 5</v>
      </c>
      <c r="G1781" s="585" t="str">
        <f ca="1">IF('Reconciliation report'!$E$872&gt;=5,'All Statement of strategy (D)'!$B1781&amp;'All Statement of strategy (D)'!$C1781,"")</f>
        <v>ABC 5</v>
      </c>
      <c r="H1781" s="585" t="str">
        <f ca="1">IF('Reconciliation report'!$E$872&gt;=5,'All Statement of strategy (D)'!$B1781&amp;'All Statement of strategy (D)'!$C1781,"")</f>
        <v>ABC 5</v>
      </c>
      <c r="I1781" s="595" t="str">
        <f ca="1">IF($C$1=RefData!$B$418,'All Statement of strategy (D)'!$E1781,IF('All Statement of strategy (D)'!$C$1=RefData!$B$419,'All Statement of strategy (D)'!$F1781,IF('All Statement of strategy (D)'!$C$1=RefData!$B$420,'All Statement of strategy (D)'!$G1781,IF('All Statement of strategy (D)'!$C$1=RefData!$B$421,'All Statement of strategy (D)'!$H1781," "))))</f>
        <v xml:space="preserve"> </v>
      </c>
    </row>
    <row r="1782" spans="2:9">
      <c r="B1782" s="585">
        <v>1</v>
      </c>
      <c r="C1782" s="615"/>
      <c r="E1782" s="585" t="str">
        <f ca="1">IF('Reconciliation report'!$E$872&gt;=1,'All Statement of strategy (D)'!$B1782&amp;'All Statement of strategy (D)'!$C1782,"")</f>
        <v>1</v>
      </c>
      <c r="F1782" s="585" t="str">
        <f ca="1">IF('Reconciliation report'!$E$872&gt;=1,'All Statement of strategy (D)'!$B1782&amp;'All Statement of strategy (D)'!$C1782,"")</f>
        <v>1</v>
      </c>
      <c r="G1782" s="585" t="str">
        <f ca="1">IF('Reconciliation report'!$E$872&gt;=1,'All Statement of strategy (D)'!$B1782&amp;'All Statement of strategy (D)'!$C1782,"")</f>
        <v>1</v>
      </c>
      <c r="H1782" s="585" t="str">
        <f ca="1">IF('Reconciliation report'!$E$872&gt;=1,'All Statement of strategy (D)'!$B1782&amp;'All Statement of strategy (D)'!$C1782,"")</f>
        <v>1</v>
      </c>
      <c r="I1782" s="595" t="str">
        <f ca="1">IF($C$1=RefData!$B$418,'All Statement of strategy (D)'!$E1782,IF('All Statement of strategy (D)'!$C$1=RefData!$B$419,'All Statement of strategy (D)'!$F1782,IF('All Statement of strategy (D)'!$C$1=RefData!$B$420,'All Statement of strategy (D)'!$G1782,IF('All Statement of strategy (D)'!$C$1=RefData!$B$421,'All Statement of strategy (D)'!$H1782," "))))</f>
        <v xml:space="preserve"> </v>
      </c>
    </row>
    <row r="1783" spans="2:9">
      <c r="B1783" s="585">
        <v>2</v>
      </c>
      <c r="C1783" s="615"/>
      <c r="E1783" s="585" t="str">
        <f ca="1">IF('Reconciliation report'!$E$872&gt;=1,'All Statement of strategy (D)'!$B1783&amp;'All Statement of strategy (D)'!$C1783,"")</f>
        <v>2</v>
      </c>
      <c r="F1783" s="585" t="str">
        <f ca="1">IF('Reconciliation report'!$E$872&gt;=1,'All Statement of strategy (D)'!$B1783&amp;'All Statement of strategy (D)'!$C1783,"")</f>
        <v>2</v>
      </c>
      <c r="G1783" s="585" t="str">
        <f ca="1">IF('Reconciliation report'!$E$872&gt;=1,'All Statement of strategy (D)'!$B1783&amp;'All Statement of strategy (D)'!$C1783,"")</f>
        <v>2</v>
      </c>
      <c r="H1783" s="585" t="str">
        <f ca="1">IF('Reconciliation report'!$E$872&gt;=1,'All Statement of strategy (D)'!$B1783&amp;'All Statement of strategy (D)'!$C1783,"")</f>
        <v>2</v>
      </c>
      <c r="I1783" s="595" t="str">
        <f ca="1">IF($C$1=RefData!$B$418,'All Statement of strategy (D)'!$E1783,IF('All Statement of strategy (D)'!$C$1=RefData!$B$419,'All Statement of strategy (D)'!$F1783,IF('All Statement of strategy (D)'!$C$1=RefData!$B$420,'All Statement of strategy (D)'!$G1783,IF('All Statement of strategy (D)'!$C$1=RefData!$B$421,'All Statement of strategy (D)'!$H1783," "))))</f>
        <v xml:space="preserve"> </v>
      </c>
    </row>
    <row r="1784" spans="2:9">
      <c r="B1784" s="585">
        <v>3</v>
      </c>
      <c r="C1784" s="615"/>
      <c r="E1784" s="585" t="str">
        <f ca="1">IF('Reconciliation report'!$E$872&gt;=1,'All Statement of strategy (D)'!$B1784&amp;'All Statement of strategy (D)'!$C1784,"")</f>
        <v>3</v>
      </c>
      <c r="F1784" s="585" t="str">
        <f ca="1">IF('Reconciliation report'!$E$872&gt;=1,'All Statement of strategy (D)'!$B1784&amp;'All Statement of strategy (D)'!$C1784,"")</f>
        <v>3</v>
      </c>
      <c r="G1784" s="585" t="str">
        <f ca="1">IF('Reconciliation report'!$E$872&gt;=1,'All Statement of strategy (D)'!$B1784&amp;'All Statement of strategy (D)'!$C1784,"")</f>
        <v>3</v>
      </c>
      <c r="H1784" s="585" t="str">
        <f ca="1">IF('Reconciliation report'!$E$872&gt;=1,'All Statement of strategy (D)'!$B1784&amp;'All Statement of strategy (D)'!$C1784,"")</f>
        <v>3</v>
      </c>
      <c r="I1784" s="595" t="str">
        <f ca="1">IF($C$1=RefData!$B$418,'All Statement of strategy (D)'!$E1784,IF('All Statement of strategy (D)'!$C$1=RefData!$B$419,'All Statement of strategy (D)'!$F1784,IF('All Statement of strategy (D)'!$C$1=RefData!$B$420,'All Statement of strategy (D)'!$G1784,IF('All Statement of strategy (D)'!$C$1=RefData!$B$421,'All Statement of strategy (D)'!$H1784," "))))</f>
        <v xml:space="preserve"> </v>
      </c>
    </row>
    <row r="1785" spans="2:9">
      <c r="B1785" s="585">
        <v>4</v>
      </c>
      <c r="C1785" s="615"/>
      <c r="E1785" s="585" t="str">
        <f ca="1">IF('Reconciliation report'!$E$872&gt;=1,'All Statement of strategy (D)'!$B1785&amp;'All Statement of strategy (D)'!$C1785,"")</f>
        <v>4</v>
      </c>
      <c r="F1785" s="585" t="str">
        <f ca="1">IF('Reconciliation report'!$E$872&gt;=1,'All Statement of strategy (D)'!$B1785&amp;'All Statement of strategy (D)'!$C1785,"")</f>
        <v>4</v>
      </c>
      <c r="G1785" s="585" t="str">
        <f ca="1">IF('Reconciliation report'!$E$872&gt;=1,'All Statement of strategy (D)'!$B1785&amp;'All Statement of strategy (D)'!$C1785,"")</f>
        <v>4</v>
      </c>
      <c r="H1785" s="585" t="str">
        <f ca="1">IF('Reconciliation report'!$E$872&gt;=1,'All Statement of strategy (D)'!$B1785&amp;'All Statement of strategy (D)'!$C1785,"")</f>
        <v>4</v>
      </c>
      <c r="I1785" s="595" t="str">
        <f ca="1">IF($C$1=RefData!$B$418,'All Statement of strategy (D)'!$E1785,IF('All Statement of strategy (D)'!$C$1=RefData!$B$419,'All Statement of strategy (D)'!$F1785,IF('All Statement of strategy (D)'!$C$1=RefData!$B$420,'All Statement of strategy (D)'!$G1785,IF('All Statement of strategy (D)'!$C$1=RefData!$B$421,'All Statement of strategy (D)'!$H1785," "))))</f>
        <v xml:space="preserve"> </v>
      </c>
    </row>
    <row r="1786" spans="2:9">
      <c r="B1786" s="585">
        <v>5</v>
      </c>
      <c r="C1786" s="615"/>
      <c r="E1786" s="585" t="str">
        <f ca="1">IF('Reconciliation report'!$E$872&gt;=1,'All Statement of strategy (D)'!$B1786&amp;'All Statement of strategy (D)'!$C1786,"")</f>
        <v>5</v>
      </c>
      <c r="F1786" s="585" t="str">
        <f ca="1">IF('Reconciliation report'!$E$872&gt;=1,'All Statement of strategy (D)'!$B1786&amp;'All Statement of strategy (D)'!$C1786,"")</f>
        <v>5</v>
      </c>
      <c r="G1786" s="585" t="str">
        <f ca="1">IF('Reconciliation report'!$E$872&gt;=1,'All Statement of strategy (D)'!$B1786&amp;'All Statement of strategy (D)'!$C1786,"")</f>
        <v>5</v>
      </c>
      <c r="H1786" s="585" t="str">
        <f ca="1">IF('Reconciliation report'!$E$872&gt;=1,'All Statement of strategy (D)'!$B1786&amp;'All Statement of strategy (D)'!$C1786,"")</f>
        <v>5</v>
      </c>
      <c r="I1786" s="595" t="str">
        <f ca="1">IF($C$1=RefData!$B$418,'All Statement of strategy (D)'!$E1786,IF('All Statement of strategy (D)'!$C$1=RefData!$B$419,'All Statement of strategy (D)'!$F1786,IF('All Statement of strategy (D)'!$C$1=RefData!$B$420,'All Statement of strategy (D)'!$G1786,IF('All Statement of strategy (D)'!$C$1=RefData!$B$421,'All Statement of strategy (D)'!$H1786," "))))</f>
        <v xml:space="preserve"> </v>
      </c>
    </row>
    <row r="1787" spans="2:9">
      <c r="B1787" s="585">
        <v>6</v>
      </c>
      <c r="C1787" s="615"/>
      <c r="E1787" s="585" t="str">
        <f ca="1">IF('Reconciliation report'!$E$872&gt;=1,'All Statement of strategy (D)'!$B1787&amp;'All Statement of strategy (D)'!$C1787,"")</f>
        <v>6</v>
      </c>
      <c r="F1787" s="585" t="str">
        <f ca="1">IF('Reconciliation report'!$E$872&gt;=1,'All Statement of strategy (D)'!$B1787&amp;'All Statement of strategy (D)'!$C1787,"")</f>
        <v>6</v>
      </c>
      <c r="G1787" s="585" t="str">
        <f ca="1">IF('Reconciliation report'!$E$872&gt;=1,'All Statement of strategy (D)'!$B1787&amp;'All Statement of strategy (D)'!$C1787,"")</f>
        <v>6</v>
      </c>
      <c r="H1787" s="585" t="str">
        <f ca="1">IF('Reconciliation report'!$E$872&gt;=1,'All Statement of strategy (D)'!$B1787&amp;'All Statement of strategy (D)'!$C1787,"")</f>
        <v>6</v>
      </c>
      <c r="I1787" s="595" t="str">
        <f ca="1">IF($C$1=RefData!$B$418,'All Statement of strategy (D)'!$E1787,IF('All Statement of strategy (D)'!$C$1=RefData!$B$419,'All Statement of strategy (D)'!$F1787,IF('All Statement of strategy (D)'!$C$1=RefData!$B$420,'All Statement of strategy (D)'!$G1787,IF('All Statement of strategy (D)'!$C$1=RefData!$B$421,'All Statement of strategy (D)'!$H1787," "))))</f>
        <v xml:space="preserve"> </v>
      </c>
    </row>
    <row r="1788" spans="2:9">
      <c r="B1788" s="585">
        <v>7</v>
      </c>
      <c r="C1788" s="615"/>
      <c r="E1788" s="585" t="str">
        <f ca="1">IF('Reconciliation report'!$E$872&gt;=1,'All Statement of strategy (D)'!$B1788&amp;'All Statement of strategy (D)'!$C1788,"")</f>
        <v>7</v>
      </c>
      <c r="F1788" s="585" t="str">
        <f ca="1">IF('Reconciliation report'!$E$872&gt;=1,'All Statement of strategy (D)'!$B1788&amp;'All Statement of strategy (D)'!$C1788,"")</f>
        <v>7</v>
      </c>
      <c r="G1788" s="585" t="str">
        <f ca="1">IF('Reconciliation report'!$E$872&gt;=1,'All Statement of strategy (D)'!$B1788&amp;'All Statement of strategy (D)'!$C1788,"")</f>
        <v>7</v>
      </c>
      <c r="H1788" s="585" t="str">
        <f ca="1">IF('Reconciliation report'!$E$872&gt;=1,'All Statement of strategy (D)'!$B1788&amp;'All Statement of strategy (D)'!$C1788,"")</f>
        <v>7</v>
      </c>
      <c r="I1788" s="595" t="str">
        <f ca="1">IF($C$1=RefData!$B$418,'All Statement of strategy (D)'!$E1788,IF('All Statement of strategy (D)'!$C$1=RefData!$B$419,'All Statement of strategy (D)'!$F1788,IF('All Statement of strategy (D)'!$C$1=RefData!$B$420,'All Statement of strategy (D)'!$G1788,IF('All Statement of strategy (D)'!$C$1=RefData!$B$421,'All Statement of strategy (D)'!$H1788," "))))</f>
        <v xml:space="preserve"> </v>
      </c>
    </row>
    <row r="1789" spans="2:9">
      <c r="B1789" s="585">
        <v>8</v>
      </c>
      <c r="C1789" s="615"/>
      <c r="E1789" s="585" t="str">
        <f ca="1">IF('Reconciliation report'!$E$872&gt;=1,'All Statement of strategy (D)'!$B1789&amp;'All Statement of strategy (D)'!$C1789,"")</f>
        <v>8</v>
      </c>
      <c r="F1789" s="585" t="str">
        <f ca="1">IF('Reconciliation report'!$E$872&gt;=1,'All Statement of strategy (D)'!$B1789&amp;'All Statement of strategy (D)'!$C1789,"")</f>
        <v>8</v>
      </c>
      <c r="G1789" s="585" t="str">
        <f ca="1">IF('Reconciliation report'!$E$872&gt;=1,'All Statement of strategy (D)'!$B1789&amp;'All Statement of strategy (D)'!$C1789,"")</f>
        <v>8</v>
      </c>
      <c r="H1789" s="585" t="str">
        <f ca="1">IF('Reconciliation report'!$E$872&gt;=1,'All Statement of strategy (D)'!$B1789&amp;'All Statement of strategy (D)'!$C1789,"")</f>
        <v>8</v>
      </c>
      <c r="I1789" s="595" t="str">
        <f ca="1">IF($C$1=RefData!$B$418,'All Statement of strategy (D)'!$E1789,IF('All Statement of strategy (D)'!$C$1=RefData!$B$419,'All Statement of strategy (D)'!$F1789,IF('All Statement of strategy (D)'!$C$1=RefData!$B$420,'All Statement of strategy (D)'!$G1789,IF('All Statement of strategy (D)'!$C$1=RefData!$B$421,'All Statement of strategy (D)'!$H1789," "))))</f>
        <v xml:space="preserve"> </v>
      </c>
    </row>
    <row r="1790" spans="2:9">
      <c r="B1790" s="585">
        <v>9</v>
      </c>
      <c r="C1790" s="615"/>
      <c r="E1790" s="585" t="str">
        <f ca="1">IF('Reconciliation report'!$E$872&gt;=1,'All Statement of strategy (D)'!$B1790&amp;'All Statement of strategy (D)'!$C1790,"")</f>
        <v>9</v>
      </c>
      <c r="F1790" s="585" t="str">
        <f ca="1">IF('Reconciliation report'!$E$872&gt;=1,'All Statement of strategy (D)'!$B1790&amp;'All Statement of strategy (D)'!$C1790,"")</f>
        <v>9</v>
      </c>
      <c r="G1790" s="585" t="str">
        <f ca="1">IF('Reconciliation report'!$E$872&gt;=1,'All Statement of strategy (D)'!$B1790&amp;'All Statement of strategy (D)'!$C1790,"")</f>
        <v>9</v>
      </c>
      <c r="H1790" s="585" t="str">
        <f ca="1">IF('Reconciliation report'!$E$872&gt;=1,'All Statement of strategy (D)'!$B1790&amp;'All Statement of strategy (D)'!$C1790,"")</f>
        <v>9</v>
      </c>
      <c r="I1790" s="595" t="str">
        <f ca="1">IF($C$1=RefData!$B$418,'All Statement of strategy (D)'!$E1790,IF('All Statement of strategy (D)'!$C$1=RefData!$B$419,'All Statement of strategy (D)'!$F1790,IF('All Statement of strategy (D)'!$C$1=RefData!$B$420,'All Statement of strategy (D)'!$G1790,IF('All Statement of strategy (D)'!$C$1=RefData!$B$421,'All Statement of strategy (D)'!$H1790," "))))</f>
        <v xml:space="preserve"> </v>
      </c>
    </row>
    <row r="1791" spans="2:9">
      <c r="B1791" s="585">
        <v>10</v>
      </c>
      <c r="C1791" s="615"/>
      <c r="E1791" s="585" t="str">
        <f ca="1">IF('Reconciliation report'!$E$872&gt;=1,'All Statement of strategy (D)'!$B1791&amp;'All Statement of strategy (D)'!$C1791,"")</f>
        <v>10</v>
      </c>
      <c r="F1791" s="585" t="str">
        <f ca="1">IF('Reconciliation report'!$E$872&gt;=1,'All Statement of strategy (D)'!$B1791&amp;'All Statement of strategy (D)'!$C1791,"")</f>
        <v>10</v>
      </c>
      <c r="G1791" s="585" t="str">
        <f ca="1">IF('Reconciliation report'!$E$872&gt;=1,'All Statement of strategy (D)'!$B1791&amp;'All Statement of strategy (D)'!$C1791,"")</f>
        <v>10</v>
      </c>
      <c r="H1791" s="585" t="str">
        <f ca="1">IF('Reconciliation report'!$E$872&gt;=1,'All Statement of strategy (D)'!$B1791&amp;'All Statement of strategy (D)'!$C1791,"")</f>
        <v>10</v>
      </c>
      <c r="I1791" s="595" t="str">
        <f ca="1">IF($C$1=RefData!$B$418,'All Statement of strategy (D)'!$E1791,IF('All Statement of strategy (D)'!$C$1=RefData!$B$419,'All Statement of strategy (D)'!$F1791,IF('All Statement of strategy (D)'!$C$1=RefData!$B$420,'All Statement of strategy (D)'!$G1791,IF('All Statement of strategy (D)'!$C$1=RefData!$B$421,'All Statement of strategy (D)'!$H1791," "))))</f>
        <v xml:space="preserve"> </v>
      </c>
    </row>
    <row r="1792" spans="2:9">
      <c r="B1792" s="585">
        <v>11</v>
      </c>
      <c r="C1792" s="615"/>
      <c r="E1792" s="585" t="str">
        <f ca="1">IF('Reconciliation report'!$E$872&gt;=1,'All Statement of strategy (D)'!$B1792&amp;'All Statement of strategy (D)'!$C1792,"")</f>
        <v>11</v>
      </c>
      <c r="F1792" s="585" t="str">
        <f ca="1">IF('Reconciliation report'!$E$872&gt;=1,'All Statement of strategy (D)'!$B1792&amp;'All Statement of strategy (D)'!$C1792,"")</f>
        <v>11</v>
      </c>
      <c r="G1792" s="585" t="str">
        <f ca="1">IF('Reconciliation report'!$E$872&gt;=1,'All Statement of strategy (D)'!$B1792&amp;'All Statement of strategy (D)'!$C1792,"")</f>
        <v>11</v>
      </c>
      <c r="H1792" s="585" t="str">
        <f ca="1">IF('Reconciliation report'!$E$872&gt;=1,'All Statement of strategy (D)'!$B1792&amp;'All Statement of strategy (D)'!$C1792,"")</f>
        <v>11</v>
      </c>
      <c r="I1792" s="595" t="str">
        <f ca="1">IF($C$1=RefData!$B$418,'All Statement of strategy (D)'!$E1792,IF('All Statement of strategy (D)'!$C$1=RefData!$B$419,'All Statement of strategy (D)'!$F1792,IF('All Statement of strategy (D)'!$C$1=RefData!$B$420,'All Statement of strategy (D)'!$G1792,IF('All Statement of strategy (D)'!$C$1=RefData!$B$421,'All Statement of strategy (D)'!$H1792," "))))</f>
        <v xml:space="preserve"> </v>
      </c>
    </row>
    <row r="1793" spans="1:9">
      <c r="B1793" s="585">
        <v>12</v>
      </c>
      <c r="C1793" s="615"/>
      <c r="E1793" s="585" t="str">
        <f ca="1">IF('Reconciliation report'!$E$872&gt;=1,'All Statement of strategy (D)'!$B1793&amp;'All Statement of strategy (D)'!$C1793,"")</f>
        <v>12</v>
      </c>
      <c r="F1793" s="585" t="str">
        <f ca="1">IF('Reconciliation report'!$E$872&gt;=1,'All Statement of strategy (D)'!$B1793&amp;'All Statement of strategy (D)'!$C1793,"")</f>
        <v>12</v>
      </c>
      <c r="G1793" s="585" t="str">
        <f ca="1">IF('Reconciliation report'!$E$872&gt;=1,'All Statement of strategy (D)'!$B1793&amp;'All Statement of strategy (D)'!$C1793,"")</f>
        <v>12</v>
      </c>
      <c r="H1793" s="585" t="str">
        <f ca="1">IF('Reconciliation report'!$E$872&gt;=1,'All Statement of strategy (D)'!$B1793&amp;'All Statement of strategy (D)'!$C1793,"")</f>
        <v>12</v>
      </c>
      <c r="I1793" s="595" t="str">
        <f ca="1">IF($C$1=RefData!$B$418,'All Statement of strategy (D)'!$E1793,IF('All Statement of strategy (D)'!$C$1=RefData!$B$419,'All Statement of strategy (D)'!$F1793,IF('All Statement of strategy (D)'!$C$1=RefData!$B$420,'All Statement of strategy (D)'!$G1793,IF('All Statement of strategy (D)'!$C$1=RefData!$B$421,'All Statement of strategy (D)'!$H1793," "))))</f>
        <v xml:space="preserve"> </v>
      </c>
    </row>
    <row r="1794" spans="1:9">
      <c r="B1794" s="585">
        <v>13</v>
      </c>
      <c r="C1794" s="615"/>
      <c r="E1794" s="585" t="str">
        <f ca="1">IF('Reconciliation report'!$E$872&gt;=1,'All Statement of strategy (D)'!$B1794&amp;'All Statement of strategy (D)'!$C1794,"")</f>
        <v>13</v>
      </c>
      <c r="F1794" s="585" t="str">
        <f ca="1">IF('Reconciliation report'!$E$872&gt;=1,'All Statement of strategy (D)'!$B1794&amp;'All Statement of strategy (D)'!$C1794,"")</f>
        <v>13</v>
      </c>
      <c r="G1794" s="585" t="str">
        <f ca="1">IF('Reconciliation report'!$E$872&gt;=1,'All Statement of strategy (D)'!$B1794&amp;'All Statement of strategy (D)'!$C1794,"")</f>
        <v>13</v>
      </c>
      <c r="H1794" s="585" t="str">
        <f ca="1">IF('Reconciliation report'!$E$872&gt;=1,'All Statement of strategy (D)'!$B1794&amp;'All Statement of strategy (D)'!$C1794,"")</f>
        <v>13</v>
      </c>
      <c r="I1794" s="595" t="str">
        <f ca="1">IF($C$1=RefData!$B$418,'All Statement of strategy (D)'!$E1794,IF('All Statement of strategy (D)'!$C$1=RefData!$B$419,'All Statement of strategy (D)'!$F1794,IF('All Statement of strategy (D)'!$C$1=RefData!$B$420,'All Statement of strategy (D)'!$G1794,IF('All Statement of strategy (D)'!$C$1=RefData!$B$421,'All Statement of strategy (D)'!$H1794," "))))</f>
        <v xml:space="preserve"> </v>
      </c>
    </row>
    <row r="1795" spans="1:9">
      <c r="B1795" s="585">
        <v>14</v>
      </c>
      <c r="C1795" s="615"/>
      <c r="E1795" s="585" t="str">
        <f ca="1">IF('Reconciliation report'!$E$872&gt;=1,'All Statement of strategy (D)'!$B1795&amp;'All Statement of strategy (D)'!$C1795,"")</f>
        <v>14</v>
      </c>
      <c r="F1795" s="585" t="str">
        <f ca="1">IF('Reconciliation report'!$E$872&gt;=1,'All Statement of strategy (D)'!$B1795&amp;'All Statement of strategy (D)'!$C1795,"")</f>
        <v>14</v>
      </c>
      <c r="G1795" s="585" t="str">
        <f ca="1">IF('Reconciliation report'!$E$872&gt;=1,'All Statement of strategy (D)'!$B1795&amp;'All Statement of strategy (D)'!$C1795,"")</f>
        <v>14</v>
      </c>
      <c r="H1795" s="585" t="str">
        <f ca="1">IF('Reconciliation report'!$E$872&gt;=1,'All Statement of strategy (D)'!$B1795&amp;'All Statement of strategy (D)'!$C1795,"")</f>
        <v>14</v>
      </c>
      <c r="I1795" s="595" t="str">
        <f ca="1">IF($C$1=RefData!$B$418,'All Statement of strategy (D)'!$E1795,IF('All Statement of strategy (D)'!$C$1=RefData!$B$419,'All Statement of strategy (D)'!$F1795,IF('All Statement of strategy (D)'!$C$1=RefData!$B$420,'All Statement of strategy (D)'!$G1795,IF('All Statement of strategy (D)'!$C$1=RefData!$B$421,'All Statement of strategy (D)'!$H1795," "))))</f>
        <v xml:space="preserve"> </v>
      </c>
    </row>
    <row r="1796" spans="1:9">
      <c r="B1796" s="585">
        <v>15</v>
      </c>
      <c r="C1796" s="615"/>
      <c r="E1796" s="585" t="str">
        <f ca="1">IF('Reconciliation report'!$E$872&gt;=1,'All Statement of strategy (D)'!$B1796&amp;'All Statement of strategy (D)'!$C1796,"")</f>
        <v>15</v>
      </c>
      <c r="F1796" s="585" t="str">
        <f ca="1">IF('Reconciliation report'!$E$872&gt;=1,'All Statement of strategy (D)'!$B1796&amp;'All Statement of strategy (D)'!$C1796,"")</f>
        <v>15</v>
      </c>
      <c r="G1796" s="585" t="str">
        <f ca="1">IF('Reconciliation report'!$E$872&gt;=1,'All Statement of strategy (D)'!$B1796&amp;'All Statement of strategy (D)'!$C1796,"")</f>
        <v>15</v>
      </c>
      <c r="H1796" s="585" t="str">
        <f ca="1">IF('Reconciliation report'!$E$872&gt;=1,'All Statement of strategy (D)'!$B1796&amp;'All Statement of strategy (D)'!$C1796,"")</f>
        <v>15</v>
      </c>
      <c r="I1796" s="595" t="str">
        <f ca="1">IF($C$1=RefData!$B$418,'All Statement of strategy (D)'!$E1796,IF('All Statement of strategy (D)'!$C$1=RefData!$B$419,'All Statement of strategy (D)'!$F1796,IF('All Statement of strategy (D)'!$C$1=RefData!$B$420,'All Statement of strategy (D)'!$G1796,IF('All Statement of strategy (D)'!$C$1=RefData!$B$421,'All Statement of strategy (D)'!$H1796," "))))</f>
        <v xml:space="preserve"> </v>
      </c>
    </row>
    <row r="1797" spans="1:9">
      <c r="B1797" s="585">
        <v>16</v>
      </c>
      <c r="C1797" s="615"/>
      <c r="E1797" s="585" t="str">
        <f ca="1">IF('Reconciliation report'!$E$872&gt;=1,'All Statement of strategy (D)'!$B1797&amp;'All Statement of strategy (D)'!$C1797,"")</f>
        <v>16</v>
      </c>
      <c r="F1797" s="585" t="str">
        <f ca="1">IF('Reconciliation report'!$E$872&gt;=1,'All Statement of strategy (D)'!$B1797&amp;'All Statement of strategy (D)'!$C1797,"")</f>
        <v>16</v>
      </c>
      <c r="G1797" s="585" t="str">
        <f ca="1">IF('Reconciliation report'!$E$872&gt;=1,'All Statement of strategy (D)'!$B1797&amp;'All Statement of strategy (D)'!$C1797,"")</f>
        <v>16</v>
      </c>
      <c r="H1797" s="585" t="str">
        <f ca="1">IF('Reconciliation report'!$E$872&gt;=1,'All Statement of strategy (D)'!$B1797&amp;'All Statement of strategy (D)'!$C1797,"")</f>
        <v>16</v>
      </c>
      <c r="I1797" s="595" t="str">
        <f ca="1">IF($C$1=RefData!$B$418,'All Statement of strategy (D)'!$E1797,IF('All Statement of strategy (D)'!$C$1=RefData!$B$419,'All Statement of strategy (D)'!$F1797,IF('All Statement of strategy (D)'!$C$1=RefData!$B$420,'All Statement of strategy (D)'!$G1797,IF('All Statement of strategy (D)'!$C$1=RefData!$B$421,'All Statement of strategy (D)'!$H1797," "))))</f>
        <v xml:space="preserve"> </v>
      </c>
    </row>
    <row r="1798" spans="1:9">
      <c r="B1798" s="585">
        <v>17</v>
      </c>
      <c r="C1798" s="615"/>
      <c r="E1798" s="585" t="str">
        <f ca="1">IF('Reconciliation report'!$E$872&gt;=1,'All Statement of strategy (D)'!$B1798&amp;'All Statement of strategy (D)'!$C1798,"")</f>
        <v>17</v>
      </c>
      <c r="F1798" s="585" t="str">
        <f ca="1">IF('Reconciliation report'!$E$872&gt;=1,'All Statement of strategy (D)'!$B1798&amp;'All Statement of strategy (D)'!$C1798,"")</f>
        <v>17</v>
      </c>
      <c r="G1798" s="585" t="str">
        <f ca="1">IF('Reconciliation report'!$E$872&gt;=1,'All Statement of strategy (D)'!$B1798&amp;'All Statement of strategy (D)'!$C1798,"")</f>
        <v>17</v>
      </c>
      <c r="H1798" s="585" t="str">
        <f ca="1">IF('Reconciliation report'!$E$872&gt;=1,'All Statement of strategy (D)'!$B1798&amp;'All Statement of strategy (D)'!$C1798,"")</f>
        <v>17</v>
      </c>
      <c r="I1798" s="595" t="str">
        <f ca="1">IF($C$1=RefData!$B$418,'All Statement of strategy (D)'!$E1798,IF('All Statement of strategy (D)'!$C$1=RefData!$B$419,'All Statement of strategy (D)'!$F1798,IF('All Statement of strategy (D)'!$C$1=RefData!$B$420,'All Statement of strategy (D)'!$G1798,IF('All Statement of strategy (D)'!$C$1=RefData!$B$421,'All Statement of strategy (D)'!$H1798," "))))</f>
        <v xml:space="preserve"> </v>
      </c>
    </row>
    <row r="1799" spans="1:9">
      <c r="B1799" s="585">
        <v>18</v>
      </c>
      <c r="C1799" s="615"/>
      <c r="E1799" s="585" t="str">
        <f ca="1">IF('Reconciliation report'!$E$872&gt;=1,'All Statement of strategy (D)'!$B1799&amp;'All Statement of strategy (D)'!$C1799,"")</f>
        <v>18</v>
      </c>
      <c r="F1799" s="585" t="str">
        <f ca="1">IF('Reconciliation report'!$E$872&gt;=1,'All Statement of strategy (D)'!$B1799&amp;'All Statement of strategy (D)'!$C1799,"")</f>
        <v>18</v>
      </c>
      <c r="G1799" s="585" t="str">
        <f ca="1">IF('Reconciliation report'!$E$872&gt;=1,'All Statement of strategy (D)'!$B1799&amp;'All Statement of strategy (D)'!$C1799,"")</f>
        <v>18</v>
      </c>
      <c r="H1799" s="585" t="str">
        <f ca="1">IF('Reconciliation report'!$E$872&gt;=1,'All Statement of strategy (D)'!$B1799&amp;'All Statement of strategy (D)'!$C1799,"")</f>
        <v>18</v>
      </c>
      <c r="I1799" s="595" t="str">
        <f ca="1">IF($C$1=RefData!$B$418,'All Statement of strategy (D)'!$E1799,IF('All Statement of strategy (D)'!$C$1=RefData!$B$419,'All Statement of strategy (D)'!$F1799,IF('All Statement of strategy (D)'!$C$1=RefData!$B$420,'All Statement of strategy (D)'!$G1799,IF('All Statement of strategy (D)'!$C$1=RefData!$B$421,'All Statement of strategy (D)'!$H1799," "))))</f>
        <v xml:space="preserve"> </v>
      </c>
    </row>
    <row r="1800" spans="1:9">
      <c r="B1800" s="585">
        <v>19</v>
      </c>
      <c r="C1800" s="615"/>
      <c r="E1800" s="585" t="str">
        <f ca="1">IF('Reconciliation report'!$E$872&gt;=1,'All Statement of strategy (D)'!$B1800&amp;'All Statement of strategy (D)'!$C1800,"")</f>
        <v>19</v>
      </c>
      <c r="F1800" s="585" t="str">
        <f ca="1">IF('Reconciliation report'!$E$872&gt;=1,'All Statement of strategy (D)'!$B1800&amp;'All Statement of strategy (D)'!$C1800,"")</f>
        <v>19</v>
      </c>
      <c r="G1800" s="585" t="str">
        <f ca="1">IF('Reconciliation report'!$E$872&gt;=1,'All Statement of strategy (D)'!$B1800&amp;'All Statement of strategy (D)'!$C1800,"")</f>
        <v>19</v>
      </c>
      <c r="H1800" s="585" t="str">
        <f ca="1">IF('Reconciliation report'!$E$872&gt;=1,'All Statement of strategy (D)'!$B1800&amp;'All Statement of strategy (D)'!$C1800,"")</f>
        <v>19</v>
      </c>
      <c r="I1800" s="595" t="str">
        <f ca="1">IF($C$1=RefData!$B$418,'All Statement of strategy (D)'!$E1800,IF('All Statement of strategy (D)'!$C$1=RefData!$B$419,'All Statement of strategy (D)'!$F1800,IF('All Statement of strategy (D)'!$C$1=RefData!$B$420,'All Statement of strategy (D)'!$G1800,IF('All Statement of strategy (D)'!$C$1=RefData!$B$421,'All Statement of strategy (D)'!$H1800," "))))</f>
        <v xml:space="preserve"> </v>
      </c>
    </row>
    <row r="1801" spans="1:9">
      <c r="B1801" s="585">
        <v>20</v>
      </c>
      <c r="C1801" s="615"/>
      <c r="E1801" s="585" t="str">
        <f ca="1">IF('Reconciliation report'!$E$872&gt;=1,'All Statement of strategy (D)'!$B1801&amp;'All Statement of strategy (D)'!$C1801,"")</f>
        <v>20</v>
      </c>
      <c r="F1801" s="585" t="str">
        <f ca="1">IF('Reconciliation report'!$E$872&gt;=1,'All Statement of strategy (D)'!$B1801&amp;'All Statement of strategy (D)'!$C1801,"")</f>
        <v>20</v>
      </c>
      <c r="G1801" s="585" t="str">
        <f ca="1">IF('Reconciliation report'!$E$872&gt;=1,'All Statement of strategy (D)'!$B1801&amp;'All Statement of strategy (D)'!$C1801,"")</f>
        <v>20</v>
      </c>
      <c r="H1801" s="585" t="str">
        <f ca="1">IF('Reconciliation report'!$E$872&gt;=1,'All Statement of strategy (D)'!$B1801&amp;'All Statement of strategy (D)'!$C1801,"")</f>
        <v>20</v>
      </c>
      <c r="I1801" s="595" t="str">
        <f ca="1">IF($C$1=RefData!$B$418,'All Statement of strategy (D)'!$E1801,IF('All Statement of strategy (D)'!$C$1=RefData!$B$419,'All Statement of strategy (D)'!$F1801,IF('All Statement of strategy (D)'!$C$1=RefData!$B$420,'All Statement of strategy (D)'!$G1801,IF('All Statement of strategy (D)'!$C$1=RefData!$B$421,'All Statement of strategy (D)'!$H1801," "))))</f>
        <v xml:space="preserve"> </v>
      </c>
    </row>
    <row r="1802" spans="1:9">
      <c r="B1802" s="585" t="s">
        <v>1702</v>
      </c>
      <c r="C1802" s="615"/>
      <c r="E1802" s="585" t="str">
        <f ca="1">IF('Reconciliation report'!$E$872&gt;=1,'All Statement of strategy (D)'!$B1802&amp;'All Statement of strategy (D)'!$C1802,"")</f>
        <v>21+</v>
      </c>
      <c r="F1802" s="585" t="str">
        <f ca="1">IF('Reconciliation report'!$E$872&gt;=1,'All Statement of strategy (D)'!$B1802&amp;'All Statement of strategy (D)'!$C1802,"")</f>
        <v>21+</v>
      </c>
      <c r="G1802" s="585" t="str">
        <f ca="1">IF('Reconciliation report'!$E$872&gt;=1,'All Statement of strategy (D)'!$B1802&amp;'All Statement of strategy (D)'!$C1802,"")</f>
        <v>21+</v>
      </c>
      <c r="H1802" s="585" t="str">
        <f ca="1">IF('Reconciliation report'!$E$872&gt;=1,'All Statement of strategy (D)'!$B1802&amp;'All Statement of strategy (D)'!$C1802,"")</f>
        <v>21+</v>
      </c>
      <c r="I1802" s="595" t="str">
        <f ca="1">IF($C$1=RefData!$B$418,'All Statement of strategy (D)'!$E1802,IF('All Statement of strategy (D)'!$C$1=RefData!$B$419,'All Statement of strategy (D)'!$F1802,IF('All Statement of strategy (D)'!$C$1=RefData!$B$420,'All Statement of strategy (D)'!$G1802,IF('All Statement of strategy (D)'!$C$1=RefData!$B$421,'All Statement of strategy (D)'!$H1802," "))))</f>
        <v xml:space="preserve"> </v>
      </c>
    </row>
    <row r="1803" spans="1:9">
      <c r="A1803" s="584" t="s">
        <v>2770</v>
      </c>
      <c r="B1803" s="585" t="s">
        <v>2771</v>
      </c>
      <c r="C1803" s="585" t="str">
        <f ca="1">TEXT('Reconciliation report'!$E924,RefData!$B$425)</f>
        <v/>
      </c>
      <c r="E1803" s="585" t="str">
        <f ca="1">IF('Reconciliation report'!$E$872&gt;=1,'All Statement of strategy (D)'!$C1803,"")</f>
        <v/>
      </c>
      <c r="F1803" s="585" t="str">
        <f ca="1">IF('Reconciliation report'!$E$872&gt;=1,'All Statement of strategy (D)'!$C1803,"")</f>
        <v/>
      </c>
      <c r="G1803" s="585" t="str">
        <f ca="1">IF('Reconciliation report'!$E$872&gt;=1,'All Statement of strategy (D)'!$C1803,"")</f>
        <v/>
      </c>
      <c r="H1803" s="585" t="str">
        <f ca="1">IF('Reconciliation report'!$E$872&gt;=1,'All Statement of strategy (D)'!$C1803,"")</f>
        <v/>
      </c>
      <c r="I1803" s="595" t="str">
        <f ca="1">IF($C$1=RefData!$B$418,'All Statement of strategy (D)'!$E1803,IF('All Statement of strategy (D)'!$C$1=RefData!$B$419,'All Statement of strategy (D)'!$F1803,IF('All Statement of strategy (D)'!$C$1=RefData!$B$420,'All Statement of strategy (D)'!$G1803,IF('All Statement of strategy (D)'!$C$1=RefData!$B$421,'All Statement of strategy (D)'!$H1803," "))))</f>
        <v xml:space="preserve"> </v>
      </c>
    </row>
    <row r="1804" spans="1:9">
      <c r="A1804" s="584" t="s">
        <v>2772</v>
      </c>
      <c r="B1804" s="585" t="s">
        <v>2773</v>
      </c>
      <c r="C1804" s="585" t="str">
        <f ca="1">TEXT('Reconciliation report'!$E925,RefData!$B$425)</f>
        <v/>
      </c>
      <c r="E1804" s="585" t="str">
        <f ca="1">IF('Reconciliation report'!$E$872&gt;=1,'All Statement of strategy (D)'!$C1804,"")</f>
        <v/>
      </c>
      <c r="F1804" s="585" t="str">
        <f ca="1">IF('Reconciliation report'!$E$872&gt;=1,'All Statement of strategy (D)'!$C1804,"")</f>
        <v/>
      </c>
      <c r="G1804" s="585" t="str">
        <f ca="1">IF('Reconciliation report'!$E$872&gt;=1,'All Statement of strategy (D)'!$C1804,"")</f>
        <v/>
      </c>
      <c r="H1804" s="585" t="str">
        <f ca="1">IF('Reconciliation report'!$E$872&gt;=1,'All Statement of strategy (D)'!$C1804,"")</f>
        <v/>
      </c>
      <c r="I1804" s="595" t="str">
        <f ca="1">IF($C$1=RefData!$B$418,'All Statement of strategy (D)'!$E1804,IF('All Statement of strategy (D)'!$C$1=RefData!$B$419,'All Statement of strategy (D)'!$F1804,IF('All Statement of strategy (D)'!$C$1=RefData!$B$420,'All Statement of strategy (D)'!$G1804,IF('All Statement of strategy (D)'!$C$1=RefData!$B$421,'All Statement of strategy (D)'!$H1804," "))))</f>
        <v xml:space="preserve"> </v>
      </c>
    </row>
    <row r="1805" spans="1:9">
      <c r="A1805" s="584" t="s">
        <v>2774</v>
      </c>
      <c r="B1805" s="585" t="s">
        <v>2775</v>
      </c>
      <c r="C1805" s="585" t="str">
        <f ca="1">TEXT('Reconciliation report'!$E926,RefData!$B$425)</f>
        <v/>
      </c>
      <c r="E1805" s="585" t="str">
        <f ca="1">IF('Reconciliation report'!$E$872&gt;=1,'All Statement of strategy (D)'!$C1805,"")</f>
        <v/>
      </c>
      <c r="F1805" s="585" t="str">
        <f ca="1">IF('Reconciliation report'!$E$872&gt;=1,'All Statement of strategy (D)'!$C1805,"")</f>
        <v/>
      </c>
      <c r="G1805" s="585" t="str">
        <f ca="1">IF('Reconciliation report'!$E$872&gt;=1,'All Statement of strategy (D)'!$C1805,"")</f>
        <v/>
      </c>
      <c r="H1805" s="585" t="str">
        <f ca="1">IF('Reconciliation report'!$E$872&gt;=1,'All Statement of strategy (D)'!$C1805,"")</f>
        <v/>
      </c>
      <c r="I1805" s="595" t="str">
        <f ca="1">IF($C$1=RefData!$B$418,'All Statement of strategy (D)'!$E1805,IF('All Statement of strategy (D)'!$C$1=RefData!$B$419,'All Statement of strategy (D)'!$F1805,IF('All Statement of strategy (D)'!$C$1=RefData!$B$420,'All Statement of strategy (D)'!$G1805,IF('All Statement of strategy (D)'!$C$1=RefData!$B$421,'All Statement of strategy (D)'!$H1805," "))))</f>
        <v xml:space="preserve"> </v>
      </c>
    </row>
    <row r="1806" spans="1:9">
      <c r="A1806" s="584" t="s">
        <v>2776</v>
      </c>
      <c r="B1806" s="585" t="s">
        <v>2777</v>
      </c>
      <c r="C1806" s="585" t="str">
        <f ca="1">TEXT('Reconciliation report'!$E927,RefData!$B$425)</f>
        <v/>
      </c>
      <c r="E1806" s="585" t="str">
        <f ca="1">IF('Reconciliation report'!$E$872&gt;=1,'All Statement of strategy (D)'!$C1806,"")</f>
        <v/>
      </c>
      <c r="F1806" s="585" t="str">
        <f ca="1">IF('Reconciliation report'!$E$872&gt;=1,'All Statement of strategy (D)'!$C1806,"")</f>
        <v/>
      </c>
      <c r="G1806" s="585" t="str">
        <f ca="1">IF('Reconciliation report'!$E$872&gt;=1,'All Statement of strategy (D)'!$C1806,"")</f>
        <v/>
      </c>
      <c r="H1806" s="585" t="str">
        <f ca="1">IF('Reconciliation report'!$E$872&gt;=1,'All Statement of strategy (D)'!$C1806,"")</f>
        <v/>
      </c>
      <c r="I1806" s="595" t="str">
        <f ca="1">IF($C$1=RefData!$B$418,'All Statement of strategy (D)'!$E1806,IF('All Statement of strategy (D)'!$C$1=RefData!$B$419,'All Statement of strategy (D)'!$F1806,IF('All Statement of strategy (D)'!$C$1=RefData!$B$420,'All Statement of strategy (D)'!$G1806,IF('All Statement of strategy (D)'!$C$1=RefData!$B$421,'All Statement of strategy (D)'!$H1806," "))))</f>
        <v xml:space="preserve"> </v>
      </c>
    </row>
    <row r="1807" spans="1:9">
      <c r="A1807" s="584" t="s">
        <v>2778</v>
      </c>
      <c r="B1807" s="585" t="s">
        <v>2779</v>
      </c>
      <c r="C1807" s="585" t="str">
        <f ca="1">TEXT('Reconciliation report'!$E928,RefData!$B$425)</f>
        <v/>
      </c>
      <c r="E1807" s="585" t="str">
        <f ca="1">IF('Reconciliation report'!$E$872&gt;=1,'All Statement of strategy (D)'!$C1807,"")</f>
        <v/>
      </c>
      <c r="F1807" s="585" t="str">
        <f ca="1">IF('Reconciliation report'!$E$872&gt;=1,'All Statement of strategy (D)'!$C1807,"")</f>
        <v/>
      </c>
      <c r="G1807" s="585" t="str">
        <f ca="1">IF('Reconciliation report'!$E$872&gt;=1,'All Statement of strategy (D)'!$C1807,"")</f>
        <v/>
      </c>
      <c r="H1807" s="585" t="str">
        <f ca="1">IF('Reconciliation report'!$E$872&gt;=1,'All Statement of strategy (D)'!$C1807,"")</f>
        <v/>
      </c>
      <c r="I1807" s="595" t="str">
        <f ca="1">IF($C$1=RefData!$B$418,'All Statement of strategy (D)'!$E1807,IF('All Statement of strategy (D)'!$C$1=RefData!$B$419,'All Statement of strategy (D)'!$F1807,IF('All Statement of strategy (D)'!$C$1=RefData!$B$420,'All Statement of strategy (D)'!$G1807,IF('All Statement of strategy (D)'!$C$1=RefData!$B$421,'All Statement of strategy (D)'!$H1807," "))))</f>
        <v xml:space="preserve"> </v>
      </c>
    </row>
    <row r="1808" spans="1:9">
      <c r="A1808" s="584" t="s">
        <v>2780</v>
      </c>
      <c r="B1808" s="585" t="s">
        <v>2781</v>
      </c>
      <c r="C1808" s="585" t="str">
        <f ca="1">TEXT('Reconciliation report'!$E929,RefData!$B$425)</f>
        <v/>
      </c>
      <c r="E1808" s="585" t="str">
        <f ca="1">IF('Reconciliation report'!$E$872&gt;=1,'All Statement of strategy (D)'!$C1808,"")</f>
        <v/>
      </c>
      <c r="F1808" s="585" t="str">
        <f ca="1">IF('Reconciliation report'!$E$872&gt;=1,'All Statement of strategy (D)'!$C1808,"")</f>
        <v/>
      </c>
      <c r="G1808" s="585" t="str">
        <f ca="1">IF('Reconciliation report'!$E$872&gt;=1,'All Statement of strategy (D)'!$C1808,"")</f>
        <v/>
      </c>
      <c r="H1808" s="585" t="str">
        <f ca="1">IF('Reconciliation report'!$E$872&gt;=1,'All Statement of strategy (D)'!$C1808,"")</f>
        <v/>
      </c>
      <c r="I1808" s="595" t="str">
        <f ca="1">IF($C$1=RefData!$B$418,'All Statement of strategy (D)'!$E1808,IF('All Statement of strategy (D)'!$C$1=RefData!$B$419,'All Statement of strategy (D)'!$F1808,IF('All Statement of strategy (D)'!$C$1=RefData!$B$420,'All Statement of strategy (D)'!$G1808,IF('All Statement of strategy (D)'!$C$1=RefData!$B$421,'All Statement of strategy (D)'!$H1808," "))))</f>
        <v xml:space="preserve"> </v>
      </c>
    </row>
    <row r="1809" spans="1:9">
      <c r="A1809" s="584" t="s">
        <v>2782</v>
      </c>
      <c r="B1809" s="585" t="s">
        <v>2783</v>
      </c>
      <c r="C1809" s="585" t="str">
        <f ca="1">TEXT('Reconciliation report'!$E930,RefData!$B$425)</f>
        <v/>
      </c>
      <c r="E1809" s="585" t="str">
        <f ca="1">IF('Reconciliation report'!$E$872&gt;=1,'All Statement of strategy (D)'!$C1809,"")</f>
        <v/>
      </c>
      <c r="F1809" s="585" t="str">
        <f ca="1">IF('Reconciliation report'!$E$872&gt;=1,'All Statement of strategy (D)'!$C1809,"")</f>
        <v/>
      </c>
      <c r="G1809" s="585" t="str">
        <f ca="1">IF('Reconciliation report'!$E$872&gt;=1,'All Statement of strategy (D)'!$C1809,"")</f>
        <v/>
      </c>
      <c r="H1809" s="585" t="str">
        <f ca="1">IF('Reconciliation report'!$E$872&gt;=1,'All Statement of strategy (D)'!$C1809,"")</f>
        <v/>
      </c>
      <c r="I1809" s="595" t="str">
        <f ca="1">IF($C$1=RefData!$B$418,'All Statement of strategy (D)'!$E1809,IF('All Statement of strategy (D)'!$C$1=RefData!$B$419,'All Statement of strategy (D)'!$F1809,IF('All Statement of strategy (D)'!$C$1=RefData!$B$420,'All Statement of strategy (D)'!$G1809,IF('All Statement of strategy (D)'!$C$1=RefData!$B$421,'All Statement of strategy (D)'!$H1809," "))))</f>
        <v xml:space="preserve"> </v>
      </c>
    </row>
    <row r="1810" spans="1:9">
      <c r="A1810" s="584" t="s">
        <v>2784</v>
      </c>
      <c r="B1810" s="585" t="s">
        <v>2785</v>
      </c>
      <c r="C1810" s="585" t="str">
        <f ca="1">TEXT('Reconciliation report'!$E931,RefData!$B$425)</f>
        <v/>
      </c>
      <c r="E1810" s="585" t="str">
        <f ca="1">IF('Reconciliation report'!$E$872&gt;=1,'All Statement of strategy (D)'!$C1810,"")</f>
        <v/>
      </c>
      <c r="F1810" s="585" t="str">
        <f ca="1">IF('Reconciliation report'!$E$872&gt;=1,'All Statement of strategy (D)'!$C1810,"")</f>
        <v/>
      </c>
      <c r="G1810" s="585" t="str">
        <f ca="1">IF('Reconciliation report'!$E$872&gt;=1,'All Statement of strategy (D)'!$C1810,"")</f>
        <v/>
      </c>
      <c r="H1810" s="585" t="str">
        <f ca="1">IF('Reconciliation report'!$E$872&gt;=1,'All Statement of strategy (D)'!$C1810,"")</f>
        <v/>
      </c>
      <c r="I1810" s="595" t="str">
        <f ca="1">IF($C$1=RefData!$B$418,'All Statement of strategy (D)'!$E1810,IF('All Statement of strategy (D)'!$C$1=RefData!$B$419,'All Statement of strategy (D)'!$F1810,IF('All Statement of strategy (D)'!$C$1=RefData!$B$420,'All Statement of strategy (D)'!$G1810,IF('All Statement of strategy (D)'!$C$1=RefData!$B$421,'All Statement of strategy (D)'!$H1810," "))))</f>
        <v xml:space="preserve"> </v>
      </c>
    </row>
    <row r="1811" spans="1:9">
      <c r="A1811" s="584" t="s">
        <v>2786</v>
      </c>
      <c r="B1811" s="585" t="s">
        <v>2787</v>
      </c>
      <c r="C1811" s="585" t="str">
        <f ca="1">TEXT('Reconciliation report'!$E932,RefData!$B$425)</f>
        <v/>
      </c>
      <c r="E1811" s="585" t="str">
        <f ca="1">IF('Reconciliation report'!$E$872&gt;=1,'All Statement of strategy (D)'!$C1811,"")</f>
        <v/>
      </c>
      <c r="F1811" s="585" t="str">
        <f ca="1">IF('Reconciliation report'!$E$872&gt;=1,'All Statement of strategy (D)'!$C1811,"")</f>
        <v/>
      </c>
      <c r="G1811" s="585" t="str">
        <f ca="1">IF('Reconciliation report'!$E$872&gt;=1,'All Statement of strategy (D)'!$C1811,"")</f>
        <v/>
      </c>
      <c r="H1811" s="585" t="str">
        <f ca="1">IF('Reconciliation report'!$E$872&gt;=1,'All Statement of strategy (D)'!$C1811,"")</f>
        <v/>
      </c>
      <c r="I1811" s="595" t="str">
        <f ca="1">IF($C$1=RefData!$B$418,'All Statement of strategy (D)'!$E1811,IF('All Statement of strategy (D)'!$C$1=RefData!$B$419,'All Statement of strategy (D)'!$F1811,IF('All Statement of strategy (D)'!$C$1=RefData!$B$420,'All Statement of strategy (D)'!$G1811,IF('All Statement of strategy (D)'!$C$1=RefData!$B$421,'All Statement of strategy (D)'!$H1811," "))))</f>
        <v xml:space="preserve"> </v>
      </c>
    </row>
    <row r="1812" spans="1:9">
      <c r="A1812" s="584" t="s">
        <v>2788</v>
      </c>
      <c r="B1812" s="585" t="s">
        <v>2789</v>
      </c>
      <c r="C1812" s="585" t="str">
        <f ca="1">TEXT('Reconciliation report'!$E933,RefData!$B$425)</f>
        <v/>
      </c>
      <c r="E1812" s="585" t="str">
        <f ca="1">IF('Reconciliation report'!$E$872&gt;=1,'All Statement of strategy (D)'!$C1812,"")</f>
        <v/>
      </c>
      <c r="F1812" s="585" t="str">
        <f ca="1">IF('Reconciliation report'!$E$872&gt;=1,'All Statement of strategy (D)'!$C1812,"")</f>
        <v/>
      </c>
      <c r="G1812" s="585" t="str">
        <f ca="1">IF('Reconciliation report'!$E$872&gt;=1,'All Statement of strategy (D)'!$C1812,"")</f>
        <v/>
      </c>
      <c r="H1812" s="585" t="str">
        <f ca="1">IF('Reconciliation report'!$E$872&gt;=1,'All Statement of strategy (D)'!$C1812,"")</f>
        <v/>
      </c>
      <c r="I1812" s="595" t="str">
        <f ca="1">IF($C$1=RefData!$B$418,'All Statement of strategy (D)'!$E1812,IF('All Statement of strategy (D)'!$C$1=RefData!$B$419,'All Statement of strategy (D)'!$F1812,IF('All Statement of strategy (D)'!$C$1=RefData!$B$420,'All Statement of strategy (D)'!$G1812,IF('All Statement of strategy (D)'!$C$1=RefData!$B$421,'All Statement of strategy (D)'!$H1812," "))))</f>
        <v xml:space="preserve"> </v>
      </c>
    </row>
    <row r="1813" spans="1:9">
      <c r="A1813" s="584" t="s">
        <v>2790</v>
      </c>
      <c r="B1813" s="585" t="s">
        <v>2791</v>
      </c>
      <c r="C1813" s="585" t="str">
        <f ca="1">TEXT('Reconciliation report'!$E934,RefData!$B$425)</f>
        <v/>
      </c>
      <c r="E1813" s="585" t="str">
        <f ca="1">IF('Reconciliation report'!$E$872&gt;=1,'All Statement of strategy (D)'!$C1813,"")</f>
        <v/>
      </c>
      <c r="F1813" s="585" t="str">
        <f ca="1">IF('Reconciliation report'!$E$872&gt;=1,'All Statement of strategy (D)'!$C1813,"")</f>
        <v/>
      </c>
      <c r="G1813" s="585" t="str">
        <f ca="1">IF('Reconciliation report'!$E$872&gt;=1,'All Statement of strategy (D)'!$C1813,"")</f>
        <v/>
      </c>
      <c r="H1813" s="585" t="str">
        <f ca="1">IF('Reconciliation report'!$E$872&gt;=1,'All Statement of strategy (D)'!$C1813,"")</f>
        <v/>
      </c>
      <c r="I1813" s="595" t="str">
        <f ca="1">IF($C$1=RefData!$B$418,'All Statement of strategy (D)'!$E1813,IF('All Statement of strategy (D)'!$C$1=RefData!$B$419,'All Statement of strategy (D)'!$F1813,IF('All Statement of strategy (D)'!$C$1=RefData!$B$420,'All Statement of strategy (D)'!$G1813,IF('All Statement of strategy (D)'!$C$1=RefData!$B$421,'All Statement of strategy (D)'!$H1813," "))))</f>
        <v xml:space="preserve"> </v>
      </c>
    </row>
    <row r="1814" spans="1:9">
      <c r="A1814" s="584" t="s">
        <v>2792</v>
      </c>
      <c r="B1814" s="585" t="s">
        <v>2793</v>
      </c>
      <c r="C1814" s="585" t="str">
        <f ca="1">TEXT('Reconciliation report'!$E935,RefData!$B$425)</f>
        <v/>
      </c>
      <c r="E1814" s="585" t="str">
        <f ca="1">IF('Reconciliation report'!$E$872&gt;=1,'All Statement of strategy (D)'!$C1814,"")</f>
        <v/>
      </c>
      <c r="F1814" s="585" t="str">
        <f ca="1">IF('Reconciliation report'!$E$872&gt;=1,'All Statement of strategy (D)'!$C1814,"")</f>
        <v/>
      </c>
      <c r="G1814" s="585" t="str">
        <f ca="1">IF('Reconciliation report'!$E$872&gt;=1,'All Statement of strategy (D)'!$C1814,"")</f>
        <v/>
      </c>
      <c r="H1814" s="585" t="str">
        <f ca="1">IF('Reconciliation report'!$E$872&gt;=1,'All Statement of strategy (D)'!$C1814,"")</f>
        <v/>
      </c>
      <c r="I1814" s="595" t="str">
        <f ca="1">IF($C$1=RefData!$B$418,'All Statement of strategy (D)'!$E1814,IF('All Statement of strategy (D)'!$C$1=RefData!$B$419,'All Statement of strategy (D)'!$F1814,IF('All Statement of strategy (D)'!$C$1=RefData!$B$420,'All Statement of strategy (D)'!$G1814,IF('All Statement of strategy (D)'!$C$1=RefData!$B$421,'All Statement of strategy (D)'!$H1814," "))))</f>
        <v xml:space="preserve"> </v>
      </c>
    </row>
    <row r="1815" spans="1:9">
      <c r="A1815" s="584" t="s">
        <v>2794</v>
      </c>
      <c r="B1815" s="585" t="s">
        <v>2795</v>
      </c>
      <c r="C1815" s="585" t="str">
        <f ca="1">TEXT('Reconciliation report'!$E936,RefData!$B$425)</f>
        <v/>
      </c>
      <c r="E1815" s="585" t="str">
        <f ca="1">IF('Reconciliation report'!$E$872&gt;=1,'All Statement of strategy (D)'!$C1815,"")</f>
        <v/>
      </c>
      <c r="F1815" s="585" t="str">
        <f ca="1">IF('Reconciliation report'!$E$872&gt;=1,'All Statement of strategy (D)'!$C1815,"")</f>
        <v/>
      </c>
      <c r="G1815" s="585" t="str">
        <f ca="1">IF('Reconciliation report'!$E$872&gt;=1,'All Statement of strategy (D)'!$C1815,"")</f>
        <v/>
      </c>
      <c r="H1815" s="585" t="str">
        <f ca="1">IF('Reconciliation report'!$E$872&gt;=1,'All Statement of strategy (D)'!$C1815,"")</f>
        <v/>
      </c>
      <c r="I1815" s="595" t="str">
        <f ca="1">IF($C$1=RefData!$B$418,'All Statement of strategy (D)'!$E1815,IF('All Statement of strategy (D)'!$C$1=RefData!$B$419,'All Statement of strategy (D)'!$F1815,IF('All Statement of strategy (D)'!$C$1=RefData!$B$420,'All Statement of strategy (D)'!$G1815,IF('All Statement of strategy (D)'!$C$1=RefData!$B$421,'All Statement of strategy (D)'!$H1815," "))))</f>
        <v xml:space="preserve"> </v>
      </c>
    </row>
    <row r="1816" spans="1:9">
      <c r="A1816" s="584" t="s">
        <v>2796</v>
      </c>
      <c r="B1816" s="585" t="s">
        <v>2797</v>
      </c>
      <c r="C1816" s="585" t="str">
        <f ca="1">TEXT('Reconciliation report'!$E937,RefData!$B$425)</f>
        <v/>
      </c>
      <c r="E1816" s="585" t="str">
        <f ca="1">IF('Reconciliation report'!$E$872&gt;=1,'All Statement of strategy (D)'!$C1816,"")</f>
        <v/>
      </c>
      <c r="F1816" s="585" t="str">
        <f ca="1">IF('Reconciliation report'!$E$872&gt;=1,'All Statement of strategy (D)'!$C1816,"")</f>
        <v/>
      </c>
      <c r="G1816" s="585" t="str">
        <f ca="1">IF('Reconciliation report'!$E$872&gt;=1,'All Statement of strategy (D)'!$C1816,"")</f>
        <v/>
      </c>
      <c r="H1816" s="585" t="str">
        <f ca="1">IF('Reconciliation report'!$E$872&gt;=1,'All Statement of strategy (D)'!$C1816,"")</f>
        <v/>
      </c>
      <c r="I1816" s="595" t="str">
        <f ca="1">IF($C$1=RefData!$B$418,'All Statement of strategy (D)'!$E1816,IF('All Statement of strategy (D)'!$C$1=RefData!$B$419,'All Statement of strategy (D)'!$F1816,IF('All Statement of strategy (D)'!$C$1=RefData!$B$420,'All Statement of strategy (D)'!$G1816,IF('All Statement of strategy (D)'!$C$1=RefData!$B$421,'All Statement of strategy (D)'!$H1816," "))))</f>
        <v xml:space="preserve"> </v>
      </c>
    </row>
    <row r="1817" spans="1:9">
      <c r="A1817" s="584" t="s">
        <v>2798</v>
      </c>
      <c r="B1817" s="585" t="s">
        <v>2799</v>
      </c>
      <c r="C1817" s="585" t="str">
        <f ca="1">TEXT('Reconciliation report'!$E938,RefData!$B$425)</f>
        <v/>
      </c>
      <c r="E1817" s="585" t="str">
        <f ca="1">IF('Reconciliation report'!$E$872&gt;=1,'All Statement of strategy (D)'!$C1817,"")</f>
        <v/>
      </c>
      <c r="F1817" s="585" t="str">
        <f ca="1">IF('Reconciliation report'!$E$872&gt;=1,'All Statement of strategy (D)'!$C1817,"")</f>
        <v/>
      </c>
      <c r="G1817" s="585" t="str">
        <f ca="1">IF('Reconciliation report'!$E$872&gt;=1,'All Statement of strategy (D)'!$C1817,"")</f>
        <v/>
      </c>
      <c r="H1817" s="585" t="str">
        <f ca="1">IF('Reconciliation report'!$E$872&gt;=1,'All Statement of strategy (D)'!$C1817,"")</f>
        <v/>
      </c>
      <c r="I1817" s="595" t="str">
        <f ca="1">IF($C$1=RefData!$B$418,'All Statement of strategy (D)'!$E1817,IF('All Statement of strategy (D)'!$C$1=RefData!$B$419,'All Statement of strategy (D)'!$F1817,IF('All Statement of strategy (D)'!$C$1=RefData!$B$420,'All Statement of strategy (D)'!$G1817,IF('All Statement of strategy (D)'!$C$1=RefData!$B$421,'All Statement of strategy (D)'!$H1817," "))))</f>
        <v xml:space="preserve"> </v>
      </c>
    </row>
    <row r="1818" spans="1:9">
      <c r="A1818" s="584" t="s">
        <v>2800</v>
      </c>
      <c r="B1818" s="585" t="s">
        <v>2801</v>
      </c>
      <c r="C1818" s="585" t="str">
        <f ca="1">TEXT('Reconciliation report'!$E939,RefData!$B$425)</f>
        <v/>
      </c>
      <c r="E1818" s="585" t="str">
        <f ca="1">IF('Reconciliation report'!$E$872&gt;=1,'All Statement of strategy (D)'!$C1818,"")</f>
        <v/>
      </c>
      <c r="F1818" s="585" t="str">
        <f ca="1">IF('Reconciliation report'!$E$872&gt;=1,'All Statement of strategy (D)'!$C1818,"")</f>
        <v/>
      </c>
      <c r="G1818" s="585" t="str">
        <f ca="1">IF('Reconciliation report'!$E$872&gt;=1,'All Statement of strategy (D)'!$C1818,"")</f>
        <v/>
      </c>
      <c r="H1818" s="585" t="str">
        <f ca="1">IF('Reconciliation report'!$E$872&gt;=1,'All Statement of strategy (D)'!$C1818,"")</f>
        <v/>
      </c>
      <c r="I1818" s="595" t="str">
        <f ca="1">IF($C$1=RefData!$B$418,'All Statement of strategy (D)'!$E1818,IF('All Statement of strategy (D)'!$C$1=RefData!$B$419,'All Statement of strategy (D)'!$F1818,IF('All Statement of strategy (D)'!$C$1=RefData!$B$420,'All Statement of strategy (D)'!$G1818,IF('All Statement of strategy (D)'!$C$1=RefData!$B$421,'All Statement of strategy (D)'!$H1818," "))))</f>
        <v xml:space="preserve"> </v>
      </c>
    </row>
    <row r="1819" spans="1:9">
      <c r="A1819" s="584" t="s">
        <v>2802</v>
      </c>
      <c r="B1819" s="585" t="s">
        <v>2803</v>
      </c>
      <c r="C1819" s="585" t="str">
        <f ca="1">TEXT('Reconciliation report'!$E940,RefData!$B$425)</f>
        <v/>
      </c>
      <c r="E1819" s="585" t="str">
        <f ca="1">IF('Reconciliation report'!$E$872&gt;=1,'All Statement of strategy (D)'!$C1819,"")</f>
        <v/>
      </c>
      <c r="F1819" s="585" t="str">
        <f ca="1">IF('Reconciliation report'!$E$872&gt;=1,'All Statement of strategy (D)'!$C1819,"")</f>
        <v/>
      </c>
      <c r="G1819" s="585" t="str">
        <f ca="1">IF('Reconciliation report'!$E$872&gt;=1,'All Statement of strategy (D)'!$C1819,"")</f>
        <v/>
      </c>
      <c r="H1819" s="585" t="str">
        <f ca="1">IF('Reconciliation report'!$E$872&gt;=1,'All Statement of strategy (D)'!$C1819,"")</f>
        <v/>
      </c>
      <c r="I1819" s="595" t="str">
        <f ca="1">IF($C$1=RefData!$B$418,'All Statement of strategy (D)'!$E1819,IF('All Statement of strategy (D)'!$C$1=RefData!$B$419,'All Statement of strategy (D)'!$F1819,IF('All Statement of strategy (D)'!$C$1=RefData!$B$420,'All Statement of strategy (D)'!$G1819,IF('All Statement of strategy (D)'!$C$1=RefData!$B$421,'All Statement of strategy (D)'!$H1819," "))))</f>
        <v xml:space="preserve"> </v>
      </c>
    </row>
    <row r="1820" spans="1:9">
      <c r="A1820" s="584" t="s">
        <v>2804</v>
      </c>
      <c r="B1820" s="585" t="s">
        <v>2805</v>
      </c>
      <c r="C1820" s="585" t="str">
        <f ca="1">TEXT('Reconciliation report'!$E941,RefData!$B$425)</f>
        <v/>
      </c>
      <c r="E1820" s="585" t="str">
        <f ca="1">IF('Reconciliation report'!$E$872&gt;=1,'All Statement of strategy (D)'!$C1820,"")</f>
        <v/>
      </c>
      <c r="F1820" s="585" t="str">
        <f ca="1">IF('Reconciliation report'!$E$872&gt;=1,'All Statement of strategy (D)'!$C1820,"")</f>
        <v/>
      </c>
      <c r="G1820" s="585" t="str">
        <f ca="1">IF('Reconciliation report'!$E$872&gt;=1,'All Statement of strategy (D)'!$C1820,"")</f>
        <v/>
      </c>
      <c r="H1820" s="585" t="str">
        <f ca="1">IF('Reconciliation report'!$E$872&gt;=1,'All Statement of strategy (D)'!$C1820,"")</f>
        <v/>
      </c>
      <c r="I1820" s="595" t="str">
        <f ca="1">IF($C$1=RefData!$B$418,'All Statement of strategy (D)'!$E1820,IF('All Statement of strategy (D)'!$C$1=RefData!$B$419,'All Statement of strategy (D)'!$F1820,IF('All Statement of strategy (D)'!$C$1=RefData!$B$420,'All Statement of strategy (D)'!$G1820,IF('All Statement of strategy (D)'!$C$1=RefData!$B$421,'All Statement of strategy (D)'!$H1820," "))))</f>
        <v xml:space="preserve"> </v>
      </c>
    </row>
    <row r="1821" spans="1:9">
      <c r="A1821" s="584" t="s">
        <v>2806</v>
      </c>
      <c r="B1821" s="585" t="s">
        <v>2807</v>
      </c>
      <c r="C1821" s="585" t="str">
        <f ca="1">TEXT('Reconciliation report'!$E942,RefData!$B$425)</f>
        <v/>
      </c>
      <c r="E1821" s="585" t="str">
        <f ca="1">IF('Reconciliation report'!$E$872&gt;=1,'All Statement of strategy (D)'!$C1821,"")</f>
        <v/>
      </c>
      <c r="F1821" s="585" t="str">
        <f ca="1">IF('Reconciliation report'!$E$872&gt;=1,'All Statement of strategy (D)'!$C1821,"")</f>
        <v/>
      </c>
      <c r="G1821" s="585" t="str">
        <f ca="1">IF('Reconciliation report'!$E$872&gt;=1,'All Statement of strategy (D)'!$C1821,"")</f>
        <v/>
      </c>
      <c r="H1821" s="585" t="str">
        <f ca="1">IF('Reconciliation report'!$E$872&gt;=1,'All Statement of strategy (D)'!$C1821,"")</f>
        <v/>
      </c>
      <c r="I1821" s="595" t="str">
        <f ca="1">IF($C$1=RefData!$B$418,'All Statement of strategy (D)'!$E1821,IF('All Statement of strategy (D)'!$C$1=RefData!$B$419,'All Statement of strategy (D)'!$F1821,IF('All Statement of strategy (D)'!$C$1=RefData!$B$420,'All Statement of strategy (D)'!$G1821,IF('All Statement of strategy (D)'!$C$1=RefData!$B$421,'All Statement of strategy (D)'!$H1821," "))))</f>
        <v xml:space="preserve"> </v>
      </c>
    </row>
    <row r="1822" spans="1:9">
      <c r="A1822" s="584" t="s">
        <v>2808</v>
      </c>
      <c r="B1822" s="585" t="s">
        <v>2809</v>
      </c>
      <c r="C1822" s="585" t="str">
        <f ca="1">TEXT('Reconciliation report'!$E943,RefData!$B$425)</f>
        <v/>
      </c>
      <c r="E1822" s="585" t="str">
        <f ca="1">IF('Reconciliation report'!$E$872&gt;=1,'All Statement of strategy (D)'!$C1822,"")</f>
        <v/>
      </c>
      <c r="F1822" s="585" t="str">
        <f ca="1">IF('Reconciliation report'!$E$872&gt;=1,'All Statement of strategy (D)'!$C1822,"")</f>
        <v/>
      </c>
      <c r="G1822" s="585" t="str">
        <f ca="1">IF('Reconciliation report'!$E$872&gt;=1,'All Statement of strategy (D)'!$C1822,"")</f>
        <v/>
      </c>
      <c r="H1822" s="585" t="str">
        <f ca="1">IF('Reconciliation report'!$E$872&gt;=1,'All Statement of strategy (D)'!$C1822,"")</f>
        <v/>
      </c>
      <c r="I1822" s="595" t="str">
        <f ca="1">IF($C$1=RefData!$B$418,'All Statement of strategy (D)'!$E1822,IF('All Statement of strategy (D)'!$C$1=RefData!$B$419,'All Statement of strategy (D)'!$F1822,IF('All Statement of strategy (D)'!$C$1=RefData!$B$420,'All Statement of strategy (D)'!$G1822,IF('All Statement of strategy (D)'!$C$1=RefData!$B$421,'All Statement of strategy (D)'!$H1822," "))))</f>
        <v xml:space="preserve"> </v>
      </c>
    </row>
    <row r="1823" spans="1:9">
      <c r="A1823" s="584" t="s">
        <v>2810</v>
      </c>
      <c r="B1823" s="585" t="s">
        <v>2811</v>
      </c>
      <c r="C1823" s="585" t="str">
        <f ca="1">TEXT('Reconciliation report'!$E944,RefData!$B$425)</f>
        <v/>
      </c>
      <c r="E1823" s="585" t="str">
        <f ca="1">IF('Reconciliation report'!$E$872&gt;=1,'All Statement of strategy (D)'!$C1823,"")</f>
        <v/>
      </c>
      <c r="F1823" s="585" t="str">
        <f ca="1">IF('Reconciliation report'!$E$872&gt;=1,'All Statement of strategy (D)'!$C1823,"")</f>
        <v/>
      </c>
      <c r="G1823" s="585" t="str">
        <f ca="1">IF('Reconciliation report'!$E$872&gt;=1,'All Statement of strategy (D)'!$C1823,"")</f>
        <v/>
      </c>
      <c r="H1823" s="585" t="str">
        <f ca="1">IF('Reconciliation report'!$E$872&gt;=1,'All Statement of strategy (D)'!$C1823,"")</f>
        <v/>
      </c>
      <c r="I1823" s="595" t="str">
        <f ca="1">IF($C$1=RefData!$B$418,'All Statement of strategy (D)'!$E1823,IF('All Statement of strategy (D)'!$C$1=RefData!$B$419,'All Statement of strategy (D)'!$F1823,IF('All Statement of strategy (D)'!$C$1=RefData!$B$420,'All Statement of strategy (D)'!$G1823,IF('All Statement of strategy (D)'!$C$1=RefData!$B$421,'All Statement of strategy (D)'!$H1823," "))))</f>
        <v xml:space="preserve"> </v>
      </c>
    </row>
    <row r="1824" spans="1:9">
      <c r="A1824" s="584" t="s">
        <v>2812</v>
      </c>
      <c r="B1824" s="585" t="s">
        <v>2813</v>
      </c>
      <c r="C1824" s="585" t="str">
        <f ca="1">TEXT('Reconciliation report'!$E945,RefData!$B$425)</f>
        <v/>
      </c>
      <c r="E1824" s="585" t="str">
        <f ca="1">IF('Reconciliation report'!$E$872&gt;=2,'All Statement of strategy (D)'!$C1824,"")</f>
        <v/>
      </c>
      <c r="F1824" s="585" t="str">
        <f ca="1">IF('Reconciliation report'!$E$872&gt;=2,'All Statement of strategy (D)'!$C1824,"")</f>
        <v/>
      </c>
      <c r="G1824" s="585" t="str">
        <f ca="1">IF('Reconciliation report'!$E$872&gt;=2,'All Statement of strategy (D)'!$C1824,"")</f>
        <v/>
      </c>
      <c r="H1824" s="585" t="str">
        <f ca="1">IF('Reconciliation report'!$E$872&gt;=2,'All Statement of strategy (D)'!$C1824,"")</f>
        <v/>
      </c>
      <c r="I1824" s="595" t="str">
        <f ca="1">IF($C$1=RefData!$B$418,'All Statement of strategy (D)'!$E1824,IF('All Statement of strategy (D)'!$C$1=RefData!$B$419,'All Statement of strategy (D)'!$F1824,IF('All Statement of strategy (D)'!$C$1=RefData!$B$420,'All Statement of strategy (D)'!$G1824,IF('All Statement of strategy (D)'!$C$1=RefData!$B$421,'All Statement of strategy (D)'!$H1824," "))))</f>
        <v xml:space="preserve"> </v>
      </c>
    </row>
    <row r="1825" spans="1:9">
      <c r="A1825" s="584" t="s">
        <v>2814</v>
      </c>
      <c r="B1825" s="585" t="s">
        <v>2815</v>
      </c>
      <c r="C1825" s="585" t="str">
        <f ca="1">TEXT('Reconciliation report'!$E946,RefData!$B$425)</f>
        <v/>
      </c>
      <c r="E1825" s="585" t="str">
        <f ca="1">IF('Reconciliation report'!$E$872&gt;=2,'All Statement of strategy (D)'!$C1825,"")</f>
        <v/>
      </c>
      <c r="F1825" s="585" t="str">
        <f ca="1">IF('Reconciliation report'!$E$872&gt;=2,'All Statement of strategy (D)'!$C1825,"")</f>
        <v/>
      </c>
      <c r="G1825" s="585" t="str">
        <f ca="1">IF('Reconciliation report'!$E$872&gt;=2,'All Statement of strategy (D)'!$C1825,"")</f>
        <v/>
      </c>
      <c r="H1825" s="585" t="str">
        <f ca="1">IF('Reconciliation report'!$E$872&gt;=2,'All Statement of strategy (D)'!$C1825,"")</f>
        <v/>
      </c>
      <c r="I1825" s="595" t="str">
        <f ca="1">IF($C$1=RefData!$B$418,'All Statement of strategy (D)'!$E1825,IF('All Statement of strategy (D)'!$C$1=RefData!$B$419,'All Statement of strategy (D)'!$F1825,IF('All Statement of strategy (D)'!$C$1=RefData!$B$420,'All Statement of strategy (D)'!$G1825,IF('All Statement of strategy (D)'!$C$1=RefData!$B$421,'All Statement of strategy (D)'!$H1825," "))))</f>
        <v xml:space="preserve"> </v>
      </c>
    </row>
    <row r="1826" spans="1:9">
      <c r="A1826" s="584" t="s">
        <v>2816</v>
      </c>
      <c r="B1826" s="585" t="s">
        <v>2817</v>
      </c>
      <c r="C1826" s="585" t="str">
        <f ca="1">TEXT('Reconciliation report'!$E947,RefData!$B$425)</f>
        <v/>
      </c>
      <c r="E1826" s="585" t="str">
        <f ca="1">IF('Reconciliation report'!$E$872&gt;=2,'All Statement of strategy (D)'!$C1826,"")</f>
        <v/>
      </c>
      <c r="F1826" s="585" t="str">
        <f ca="1">IF('Reconciliation report'!$E$872&gt;=2,'All Statement of strategy (D)'!$C1826,"")</f>
        <v/>
      </c>
      <c r="G1826" s="585" t="str">
        <f ca="1">IF('Reconciliation report'!$E$872&gt;=2,'All Statement of strategy (D)'!$C1826,"")</f>
        <v/>
      </c>
      <c r="H1826" s="585" t="str">
        <f ca="1">IF('Reconciliation report'!$E$872&gt;=2,'All Statement of strategy (D)'!$C1826,"")</f>
        <v/>
      </c>
      <c r="I1826" s="595" t="str">
        <f ca="1">IF($C$1=RefData!$B$418,'All Statement of strategy (D)'!$E1826,IF('All Statement of strategy (D)'!$C$1=RefData!$B$419,'All Statement of strategy (D)'!$F1826,IF('All Statement of strategy (D)'!$C$1=RefData!$B$420,'All Statement of strategy (D)'!$G1826,IF('All Statement of strategy (D)'!$C$1=RefData!$B$421,'All Statement of strategy (D)'!$H1826," "))))</f>
        <v xml:space="preserve"> </v>
      </c>
    </row>
    <row r="1827" spans="1:9">
      <c r="A1827" s="584" t="s">
        <v>2818</v>
      </c>
      <c r="B1827" s="585" t="s">
        <v>2819</v>
      </c>
      <c r="C1827" s="585" t="str">
        <f ca="1">TEXT('Reconciliation report'!$E948,RefData!$B$425)</f>
        <v/>
      </c>
      <c r="E1827" s="585" t="str">
        <f ca="1">IF('Reconciliation report'!$E$872&gt;=2,'All Statement of strategy (D)'!$C1827,"")</f>
        <v/>
      </c>
      <c r="F1827" s="585" t="str">
        <f ca="1">IF('Reconciliation report'!$E$872&gt;=2,'All Statement of strategy (D)'!$C1827,"")</f>
        <v/>
      </c>
      <c r="G1827" s="585" t="str">
        <f ca="1">IF('Reconciliation report'!$E$872&gt;=2,'All Statement of strategy (D)'!$C1827,"")</f>
        <v/>
      </c>
      <c r="H1827" s="585" t="str">
        <f ca="1">IF('Reconciliation report'!$E$872&gt;=2,'All Statement of strategy (D)'!$C1827,"")</f>
        <v/>
      </c>
      <c r="I1827" s="595" t="str">
        <f ca="1">IF($C$1=RefData!$B$418,'All Statement of strategy (D)'!$E1827,IF('All Statement of strategy (D)'!$C$1=RefData!$B$419,'All Statement of strategy (D)'!$F1827,IF('All Statement of strategy (D)'!$C$1=RefData!$B$420,'All Statement of strategy (D)'!$G1827,IF('All Statement of strategy (D)'!$C$1=RefData!$B$421,'All Statement of strategy (D)'!$H1827," "))))</f>
        <v xml:space="preserve"> </v>
      </c>
    </row>
    <row r="1828" spans="1:9">
      <c r="A1828" s="584" t="s">
        <v>2820</v>
      </c>
      <c r="B1828" s="585" t="s">
        <v>2821</v>
      </c>
      <c r="C1828" s="585" t="str">
        <f ca="1">TEXT('Reconciliation report'!$E949,RefData!$B$425)</f>
        <v/>
      </c>
      <c r="E1828" s="585" t="str">
        <f ca="1">IF('Reconciliation report'!$E$872&gt;=2,'All Statement of strategy (D)'!$C1828,"")</f>
        <v/>
      </c>
      <c r="F1828" s="585" t="str">
        <f ca="1">IF('Reconciliation report'!$E$872&gt;=2,'All Statement of strategy (D)'!$C1828,"")</f>
        <v/>
      </c>
      <c r="G1828" s="585" t="str">
        <f ca="1">IF('Reconciliation report'!$E$872&gt;=2,'All Statement of strategy (D)'!$C1828,"")</f>
        <v/>
      </c>
      <c r="H1828" s="585" t="str">
        <f ca="1">IF('Reconciliation report'!$E$872&gt;=2,'All Statement of strategy (D)'!$C1828,"")</f>
        <v/>
      </c>
      <c r="I1828" s="595" t="str">
        <f ca="1">IF($C$1=RefData!$B$418,'All Statement of strategy (D)'!$E1828,IF('All Statement of strategy (D)'!$C$1=RefData!$B$419,'All Statement of strategy (D)'!$F1828,IF('All Statement of strategy (D)'!$C$1=RefData!$B$420,'All Statement of strategy (D)'!$G1828,IF('All Statement of strategy (D)'!$C$1=RefData!$B$421,'All Statement of strategy (D)'!$H1828," "))))</f>
        <v xml:space="preserve"> </v>
      </c>
    </row>
    <row r="1829" spans="1:9">
      <c r="A1829" s="584" t="s">
        <v>2822</v>
      </c>
      <c r="B1829" s="585" t="s">
        <v>2823</v>
      </c>
      <c r="C1829" s="585" t="str">
        <f ca="1">TEXT('Reconciliation report'!$E950,RefData!$B$425)</f>
        <v/>
      </c>
      <c r="E1829" s="585" t="str">
        <f ca="1">IF('Reconciliation report'!$E$872&gt;=2,'All Statement of strategy (D)'!$C1829,"")</f>
        <v/>
      </c>
      <c r="F1829" s="585" t="str">
        <f ca="1">IF('Reconciliation report'!$E$872&gt;=2,'All Statement of strategy (D)'!$C1829,"")</f>
        <v/>
      </c>
      <c r="G1829" s="585" t="str">
        <f ca="1">IF('Reconciliation report'!$E$872&gt;=2,'All Statement of strategy (D)'!$C1829,"")</f>
        <v/>
      </c>
      <c r="H1829" s="585" t="str">
        <f ca="1">IF('Reconciliation report'!$E$872&gt;=2,'All Statement of strategy (D)'!$C1829,"")</f>
        <v/>
      </c>
      <c r="I1829" s="595" t="str">
        <f ca="1">IF($C$1=RefData!$B$418,'All Statement of strategy (D)'!$E1829,IF('All Statement of strategy (D)'!$C$1=RefData!$B$419,'All Statement of strategy (D)'!$F1829,IF('All Statement of strategy (D)'!$C$1=RefData!$B$420,'All Statement of strategy (D)'!$G1829,IF('All Statement of strategy (D)'!$C$1=RefData!$B$421,'All Statement of strategy (D)'!$H1829," "))))</f>
        <v xml:space="preserve"> </v>
      </c>
    </row>
    <row r="1830" spans="1:9">
      <c r="A1830" s="584" t="s">
        <v>2824</v>
      </c>
      <c r="B1830" s="585" t="s">
        <v>2825</v>
      </c>
      <c r="C1830" s="585" t="str">
        <f ca="1">TEXT('Reconciliation report'!$E951,RefData!$B$425)</f>
        <v/>
      </c>
      <c r="E1830" s="585" t="str">
        <f ca="1">IF('Reconciliation report'!$E$872&gt;=2,'All Statement of strategy (D)'!$C1830,"")</f>
        <v/>
      </c>
      <c r="F1830" s="585" t="str">
        <f ca="1">IF('Reconciliation report'!$E$872&gt;=2,'All Statement of strategy (D)'!$C1830,"")</f>
        <v/>
      </c>
      <c r="G1830" s="585" t="str">
        <f ca="1">IF('Reconciliation report'!$E$872&gt;=2,'All Statement of strategy (D)'!$C1830,"")</f>
        <v/>
      </c>
      <c r="H1830" s="585" t="str">
        <f ca="1">IF('Reconciliation report'!$E$872&gt;=2,'All Statement of strategy (D)'!$C1830,"")</f>
        <v/>
      </c>
      <c r="I1830" s="595" t="str">
        <f ca="1">IF($C$1=RefData!$B$418,'All Statement of strategy (D)'!$E1830,IF('All Statement of strategy (D)'!$C$1=RefData!$B$419,'All Statement of strategy (D)'!$F1830,IF('All Statement of strategy (D)'!$C$1=RefData!$B$420,'All Statement of strategy (D)'!$G1830,IF('All Statement of strategy (D)'!$C$1=RefData!$B$421,'All Statement of strategy (D)'!$H1830," "))))</f>
        <v xml:space="preserve"> </v>
      </c>
    </row>
    <row r="1831" spans="1:9">
      <c r="A1831" s="584" t="s">
        <v>2826</v>
      </c>
      <c r="B1831" s="585" t="s">
        <v>2827</v>
      </c>
      <c r="C1831" s="585" t="str">
        <f ca="1">TEXT('Reconciliation report'!$E952,RefData!$B$425)</f>
        <v/>
      </c>
      <c r="E1831" s="585" t="str">
        <f ca="1">IF('Reconciliation report'!$E$872&gt;=2,'All Statement of strategy (D)'!$C1831,"")</f>
        <v/>
      </c>
      <c r="F1831" s="585" t="str">
        <f ca="1">IF('Reconciliation report'!$E$872&gt;=2,'All Statement of strategy (D)'!$C1831,"")</f>
        <v/>
      </c>
      <c r="G1831" s="585" t="str">
        <f ca="1">IF('Reconciliation report'!$E$872&gt;=2,'All Statement of strategy (D)'!$C1831,"")</f>
        <v/>
      </c>
      <c r="H1831" s="585" t="str">
        <f ca="1">IF('Reconciliation report'!$E$872&gt;=2,'All Statement of strategy (D)'!$C1831,"")</f>
        <v/>
      </c>
      <c r="I1831" s="595" t="str">
        <f ca="1">IF($C$1=RefData!$B$418,'All Statement of strategy (D)'!$E1831,IF('All Statement of strategy (D)'!$C$1=RefData!$B$419,'All Statement of strategy (D)'!$F1831,IF('All Statement of strategy (D)'!$C$1=RefData!$B$420,'All Statement of strategy (D)'!$G1831,IF('All Statement of strategy (D)'!$C$1=RefData!$B$421,'All Statement of strategy (D)'!$H1831," "))))</f>
        <v xml:space="preserve"> </v>
      </c>
    </row>
    <row r="1832" spans="1:9">
      <c r="A1832" s="584" t="s">
        <v>2828</v>
      </c>
      <c r="B1832" s="585" t="s">
        <v>2829</v>
      </c>
      <c r="C1832" s="585" t="str">
        <f ca="1">TEXT('Reconciliation report'!$E953,RefData!$B$425)</f>
        <v/>
      </c>
      <c r="E1832" s="585" t="str">
        <f ca="1">IF('Reconciliation report'!$E$872&gt;=2,'All Statement of strategy (D)'!$C1832,"")</f>
        <v/>
      </c>
      <c r="F1832" s="585" t="str">
        <f ca="1">IF('Reconciliation report'!$E$872&gt;=2,'All Statement of strategy (D)'!$C1832,"")</f>
        <v/>
      </c>
      <c r="G1832" s="585" t="str">
        <f ca="1">IF('Reconciliation report'!$E$872&gt;=2,'All Statement of strategy (D)'!$C1832,"")</f>
        <v/>
      </c>
      <c r="H1832" s="585" t="str">
        <f ca="1">IF('Reconciliation report'!$E$872&gt;=2,'All Statement of strategy (D)'!$C1832,"")</f>
        <v/>
      </c>
      <c r="I1832" s="595" t="str">
        <f ca="1">IF($C$1=RefData!$B$418,'All Statement of strategy (D)'!$E1832,IF('All Statement of strategy (D)'!$C$1=RefData!$B$419,'All Statement of strategy (D)'!$F1832,IF('All Statement of strategy (D)'!$C$1=RefData!$B$420,'All Statement of strategy (D)'!$G1832,IF('All Statement of strategy (D)'!$C$1=RefData!$B$421,'All Statement of strategy (D)'!$H1832," "))))</f>
        <v xml:space="preserve"> </v>
      </c>
    </row>
    <row r="1833" spans="1:9">
      <c r="A1833" s="584" t="s">
        <v>2830</v>
      </c>
      <c r="B1833" s="585" t="s">
        <v>2831</v>
      </c>
      <c r="C1833" s="585" t="str">
        <f ca="1">TEXT('Reconciliation report'!$E954,RefData!$B$425)</f>
        <v/>
      </c>
      <c r="E1833" s="585" t="str">
        <f ca="1">IF('Reconciliation report'!$E$872&gt;=2,'All Statement of strategy (D)'!$C1833,"")</f>
        <v/>
      </c>
      <c r="F1833" s="585" t="str">
        <f ca="1">IF('Reconciliation report'!$E$872&gt;=2,'All Statement of strategy (D)'!$C1833,"")</f>
        <v/>
      </c>
      <c r="G1833" s="585" t="str">
        <f ca="1">IF('Reconciliation report'!$E$872&gt;=2,'All Statement of strategy (D)'!$C1833,"")</f>
        <v/>
      </c>
      <c r="H1833" s="585" t="str">
        <f ca="1">IF('Reconciliation report'!$E$872&gt;=2,'All Statement of strategy (D)'!$C1833,"")</f>
        <v/>
      </c>
      <c r="I1833" s="595" t="str">
        <f ca="1">IF($C$1=RefData!$B$418,'All Statement of strategy (D)'!$E1833,IF('All Statement of strategy (D)'!$C$1=RefData!$B$419,'All Statement of strategy (D)'!$F1833,IF('All Statement of strategy (D)'!$C$1=RefData!$B$420,'All Statement of strategy (D)'!$G1833,IF('All Statement of strategy (D)'!$C$1=RefData!$B$421,'All Statement of strategy (D)'!$H1833," "))))</f>
        <v xml:space="preserve"> </v>
      </c>
    </row>
    <row r="1834" spans="1:9">
      <c r="A1834" s="584" t="s">
        <v>2832</v>
      </c>
      <c r="B1834" s="585" t="s">
        <v>2833</v>
      </c>
      <c r="C1834" s="585" t="str">
        <f ca="1">TEXT('Reconciliation report'!$E955,RefData!$B$425)</f>
        <v/>
      </c>
      <c r="E1834" s="585" t="str">
        <f ca="1">IF('Reconciliation report'!$E$872&gt;=2,'All Statement of strategy (D)'!$C1834,"")</f>
        <v/>
      </c>
      <c r="F1834" s="585" t="str">
        <f ca="1">IF('Reconciliation report'!$E$872&gt;=2,'All Statement of strategy (D)'!$C1834,"")</f>
        <v/>
      </c>
      <c r="G1834" s="585" t="str">
        <f ca="1">IF('Reconciliation report'!$E$872&gt;=2,'All Statement of strategy (D)'!$C1834,"")</f>
        <v/>
      </c>
      <c r="H1834" s="585" t="str">
        <f ca="1">IF('Reconciliation report'!$E$872&gt;=2,'All Statement of strategy (D)'!$C1834,"")</f>
        <v/>
      </c>
      <c r="I1834" s="595" t="str">
        <f ca="1">IF($C$1=RefData!$B$418,'All Statement of strategy (D)'!$E1834,IF('All Statement of strategy (D)'!$C$1=RefData!$B$419,'All Statement of strategy (D)'!$F1834,IF('All Statement of strategy (D)'!$C$1=RefData!$B$420,'All Statement of strategy (D)'!$G1834,IF('All Statement of strategy (D)'!$C$1=RefData!$B$421,'All Statement of strategy (D)'!$H1834," "))))</f>
        <v xml:space="preserve"> </v>
      </c>
    </row>
    <row r="1835" spans="1:9">
      <c r="A1835" s="584" t="s">
        <v>2834</v>
      </c>
      <c r="B1835" s="585" t="s">
        <v>2835</v>
      </c>
      <c r="C1835" s="585" t="str">
        <f ca="1">TEXT('Reconciliation report'!$E956,RefData!$B$425)</f>
        <v/>
      </c>
      <c r="E1835" s="585" t="str">
        <f ca="1">IF('Reconciliation report'!$E$872&gt;=2,'All Statement of strategy (D)'!$C1835,"")</f>
        <v/>
      </c>
      <c r="F1835" s="585" t="str">
        <f ca="1">IF('Reconciliation report'!$E$872&gt;=2,'All Statement of strategy (D)'!$C1835,"")</f>
        <v/>
      </c>
      <c r="G1835" s="585" t="str">
        <f ca="1">IF('Reconciliation report'!$E$872&gt;=2,'All Statement of strategy (D)'!$C1835,"")</f>
        <v/>
      </c>
      <c r="H1835" s="585" t="str">
        <f ca="1">IF('Reconciliation report'!$E$872&gt;=2,'All Statement of strategy (D)'!$C1835,"")</f>
        <v/>
      </c>
      <c r="I1835" s="595" t="str">
        <f ca="1">IF($C$1=RefData!$B$418,'All Statement of strategy (D)'!$E1835,IF('All Statement of strategy (D)'!$C$1=RefData!$B$419,'All Statement of strategy (D)'!$F1835,IF('All Statement of strategy (D)'!$C$1=RefData!$B$420,'All Statement of strategy (D)'!$G1835,IF('All Statement of strategy (D)'!$C$1=RefData!$B$421,'All Statement of strategy (D)'!$H1835," "))))</f>
        <v xml:space="preserve"> </v>
      </c>
    </row>
    <row r="1836" spans="1:9">
      <c r="A1836" s="584" t="s">
        <v>2836</v>
      </c>
      <c r="B1836" s="585" t="s">
        <v>2837</v>
      </c>
      <c r="C1836" s="585" t="str">
        <f ca="1">TEXT('Reconciliation report'!$E957,RefData!$B$425)</f>
        <v/>
      </c>
      <c r="E1836" s="585" t="str">
        <f ca="1">IF('Reconciliation report'!$E$872&gt;=2,'All Statement of strategy (D)'!$C1836,"")</f>
        <v/>
      </c>
      <c r="F1836" s="585" t="str">
        <f ca="1">IF('Reconciliation report'!$E$872&gt;=2,'All Statement of strategy (D)'!$C1836,"")</f>
        <v/>
      </c>
      <c r="G1836" s="585" t="str">
        <f ca="1">IF('Reconciliation report'!$E$872&gt;=2,'All Statement of strategy (D)'!$C1836,"")</f>
        <v/>
      </c>
      <c r="H1836" s="585" t="str">
        <f ca="1">IF('Reconciliation report'!$E$872&gt;=2,'All Statement of strategy (D)'!$C1836,"")</f>
        <v/>
      </c>
      <c r="I1836" s="595" t="str">
        <f ca="1">IF($C$1=RefData!$B$418,'All Statement of strategy (D)'!$E1836,IF('All Statement of strategy (D)'!$C$1=RefData!$B$419,'All Statement of strategy (D)'!$F1836,IF('All Statement of strategy (D)'!$C$1=RefData!$B$420,'All Statement of strategy (D)'!$G1836,IF('All Statement of strategy (D)'!$C$1=RefData!$B$421,'All Statement of strategy (D)'!$H1836," "))))</f>
        <v xml:space="preserve"> </v>
      </c>
    </row>
    <row r="1837" spans="1:9">
      <c r="A1837" s="584" t="s">
        <v>2838</v>
      </c>
      <c r="B1837" s="585" t="s">
        <v>2839</v>
      </c>
      <c r="C1837" s="585" t="str">
        <f ca="1">TEXT('Reconciliation report'!$E958,RefData!$B$425)</f>
        <v/>
      </c>
      <c r="E1837" s="585" t="str">
        <f ca="1">IF('Reconciliation report'!$E$872&gt;=2,'All Statement of strategy (D)'!$C1837,"")</f>
        <v/>
      </c>
      <c r="F1837" s="585" t="str">
        <f ca="1">IF('Reconciliation report'!$E$872&gt;=2,'All Statement of strategy (D)'!$C1837,"")</f>
        <v/>
      </c>
      <c r="G1837" s="585" t="str">
        <f ca="1">IF('Reconciliation report'!$E$872&gt;=2,'All Statement of strategy (D)'!$C1837,"")</f>
        <v/>
      </c>
      <c r="H1837" s="585" t="str">
        <f ca="1">IF('Reconciliation report'!$E$872&gt;=2,'All Statement of strategy (D)'!$C1837,"")</f>
        <v/>
      </c>
      <c r="I1837" s="595" t="str">
        <f ca="1">IF($C$1=RefData!$B$418,'All Statement of strategy (D)'!$E1837,IF('All Statement of strategy (D)'!$C$1=RefData!$B$419,'All Statement of strategy (D)'!$F1837,IF('All Statement of strategy (D)'!$C$1=RefData!$B$420,'All Statement of strategy (D)'!$G1837,IF('All Statement of strategy (D)'!$C$1=RefData!$B$421,'All Statement of strategy (D)'!$H1837," "))))</f>
        <v xml:space="preserve"> </v>
      </c>
    </row>
    <row r="1838" spans="1:9">
      <c r="A1838" s="584" t="s">
        <v>2840</v>
      </c>
      <c r="B1838" s="585" t="s">
        <v>2841</v>
      </c>
      <c r="C1838" s="585" t="str">
        <f ca="1">TEXT('Reconciliation report'!$E959,RefData!$B$425)</f>
        <v/>
      </c>
      <c r="E1838" s="585" t="str">
        <f ca="1">IF('Reconciliation report'!$E$872&gt;=2,'All Statement of strategy (D)'!$C1838,"")</f>
        <v/>
      </c>
      <c r="F1838" s="585" t="str">
        <f ca="1">IF('Reconciliation report'!$E$872&gt;=2,'All Statement of strategy (D)'!$C1838,"")</f>
        <v/>
      </c>
      <c r="G1838" s="585" t="str">
        <f ca="1">IF('Reconciliation report'!$E$872&gt;=2,'All Statement of strategy (D)'!$C1838,"")</f>
        <v/>
      </c>
      <c r="H1838" s="585" t="str">
        <f ca="1">IF('Reconciliation report'!$E$872&gt;=2,'All Statement of strategy (D)'!$C1838,"")</f>
        <v/>
      </c>
      <c r="I1838" s="595" t="str">
        <f ca="1">IF($C$1=RefData!$B$418,'All Statement of strategy (D)'!$E1838,IF('All Statement of strategy (D)'!$C$1=RefData!$B$419,'All Statement of strategy (D)'!$F1838,IF('All Statement of strategy (D)'!$C$1=RefData!$B$420,'All Statement of strategy (D)'!$G1838,IF('All Statement of strategy (D)'!$C$1=RefData!$B$421,'All Statement of strategy (D)'!$H1838," "))))</f>
        <v xml:space="preserve"> </v>
      </c>
    </row>
    <row r="1839" spans="1:9">
      <c r="A1839" s="584" t="s">
        <v>2842</v>
      </c>
      <c r="B1839" s="585" t="s">
        <v>2843</v>
      </c>
      <c r="C1839" s="585" t="str">
        <f ca="1">TEXT('Reconciliation report'!$E960,RefData!$B$425)</f>
        <v/>
      </c>
      <c r="E1839" s="585" t="str">
        <f ca="1">IF('Reconciliation report'!$E$872&gt;=2,'All Statement of strategy (D)'!$C1839,"")</f>
        <v/>
      </c>
      <c r="F1839" s="585" t="str">
        <f ca="1">IF('Reconciliation report'!$E$872&gt;=2,'All Statement of strategy (D)'!$C1839,"")</f>
        <v/>
      </c>
      <c r="G1839" s="585" t="str">
        <f ca="1">IF('Reconciliation report'!$E$872&gt;=2,'All Statement of strategy (D)'!$C1839,"")</f>
        <v/>
      </c>
      <c r="H1839" s="585" t="str">
        <f ca="1">IF('Reconciliation report'!$E$872&gt;=2,'All Statement of strategy (D)'!$C1839,"")</f>
        <v/>
      </c>
      <c r="I1839" s="595" t="str">
        <f ca="1">IF($C$1=RefData!$B$418,'All Statement of strategy (D)'!$E1839,IF('All Statement of strategy (D)'!$C$1=RefData!$B$419,'All Statement of strategy (D)'!$F1839,IF('All Statement of strategy (D)'!$C$1=RefData!$B$420,'All Statement of strategy (D)'!$G1839,IF('All Statement of strategy (D)'!$C$1=RefData!$B$421,'All Statement of strategy (D)'!$H1839," "))))</f>
        <v xml:space="preserve"> </v>
      </c>
    </row>
    <row r="1840" spans="1:9">
      <c r="A1840" s="584" t="s">
        <v>2844</v>
      </c>
      <c r="B1840" s="585" t="s">
        <v>2845</v>
      </c>
      <c r="C1840" s="585" t="str">
        <f ca="1">TEXT('Reconciliation report'!$E961,RefData!$B$425)</f>
        <v/>
      </c>
      <c r="E1840" s="585" t="str">
        <f ca="1">IF('Reconciliation report'!$E$872&gt;=2,'All Statement of strategy (D)'!$C1840,"")</f>
        <v/>
      </c>
      <c r="F1840" s="585" t="str">
        <f ca="1">IF('Reconciliation report'!$E$872&gt;=2,'All Statement of strategy (D)'!$C1840,"")</f>
        <v/>
      </c>
      <c r="G1840" s="585" t="str">
        <f ca="1">IF('Reconciliation report'!$E$872&gt;=2,'All Statement of strategy (D)'!$C1840,"")</f>
        <v/>
      </c>
      <c r="H1840" s="585" t="str">
        <f ca="1">IF('Reconciliation report'!$E$872&gt;=2,'All Statement of strategy (D)'!$C1840,"")</f>
        <v/>
      </c>
      <c r="I1840" s="595" t="str">
        <f ca="1">IF($C$1=RefData!$B$418,'All Statement of strategy (D)'!$E1840,IF('All Statement of strategy (D)'!$C$1=RefData!$B$419,'All Statement of strategy (D)'!$F1840,IF('All Statement of strategy (D)'!$C$1=RefData!$B$420,'All Statement of strategy (D)'!$G1840,IF('All Statement of strategy (D)'!$C$1=RefData!$B$421,'All Statement of strategy (D)'!$H1840," "))))</f>
        <v xml:space="preserve"> </v>
      </c>
    </row>
    <row r="1841" spans="1:9">
      <c r="A1841" s="584" t="s">
        <v>2846</v>
      </c>
      <c r="B1841" s="585" t="s">
        <v>2847</v>
      </c>
      <c r="C1841" s="585" t="str">
        <f ca="1">TEXT('Reconciliation report'!$E962,RefData!$B$425)</f>
        <v/>
      </c>
      <c r="E1841" s="585" t="str">
        <f ca="1">IF('Reconciliation report'!$E$872&gt;=2,'All Statement of strategy (D)'!$C1841,"")</f>
        <v/>
      </c>
      <c r="F1841" s="585" t="str">
        <f ca="1">IF('Reconciliation report'!$E$872&gt;=2,'All Statement of strategy (D)'!$C1841,"")</f>
        <v/>
      </c>
      <c r="G1841" s="585" t="str">
        <f ca="1">IF('Reconciliation report'!$E$872&gt;=2,'All Statement of strategy (D)'!$C1841,"")</f>
        <v/>
      </c>
      <c r="H1841" s="585" t="str">
        <f ca="1">IF('Reconciliation report'!$E$872&gt;=2,'All Statement of strategy (D)'!$C1841,"")</f>
        <v/>
      </c>
      <c r="I1841" s="595" t="str">
        <f ca="1">IF($C$1=RefData!$B$418,'All Statement of strategy (D)'!$E1841,IF('All Statement of strategy (D)'!$C$1=RefData!$B$419,'All Statement of strategy (D)'!$F1841,IF('All Statement of strategy (D)'!$C$1=RefData!$B$420,'All Statement of strategy (D)'!$G1841,IF('All Statement of strategy (D)'!$C$1=RefData!$B$421,'All Statement of strategy (D)'!$H1841," "))))</f>
        <v xml:space="preserve"> </v>
      </c>
    </row>
    <row r="1842" spans="1:9">
      <c r="A1842" s="584" t="s">
        <v>2848</v>
      </c>
      <c r="B1842" s="585" t="s">
        <v>2849</v>
      </c>
      <c r="C1842" s="585" t="str">
        <f ca="1">TEXT('Reconciliation report'!$E963,RefData!$B$425)</f>
        <v/>
      </c>
      <c r="E1842" s="585" t="str">
        <f ca="1">IF('Reconciliation report'!$E$872&gt;=2,'All Statement of strategy (D)'!$C1842,"")</f>
        <v/>
      </c>
      <c r="F1842" s="585" t="str">
        <f ca="1">IF('Reconciliation report'!$E$872&gt;=2,'All Statement of strategy (D)'!$C1842,"")</f>
        <v/>
      </c>
      <c r="G1842" s="585" t="str">
        <f ca="1">IF('Reconciliation report'!$E$872&gt;=2,'All Statement of strategy (D)'!$C1842,"")</f>
        <v/>
      </c>
      <c r="H1842" s="585" t="str">
        <f ca="1">IF('Reconciliation report'!$E$872&gt;=2,'All Statement of strategy (D)'!$C1842,"")</f>
        <v/>
      </c>
      <c r="I1842" s="595" t="str">
        <f ca="1">IF($C$1=RefData!$B$418,'All Statement of strategy (D)'!$E1842,IF('All Statement of strategy (D)'!$C$1=RefData!$B$419,'All Statement of strategy (D)'!$F1842,IF('All Statement of strategy (D)'!$C$1=RefData!$B$420,'All Statement of strategy (D)'!$G1842,IF('All Statement of strategy (D)'!$C$1=RefData!$B$421,'All Statement of strategy (D)'!$H1842," "))))</f>
        <v xml:space="preserve"> </v>
      </c>
    </row>
    <row r="1843" spans="1:9">
      <c r="A1843" s="584" t="s">
        <v>2850</v>
      </c>
      <c r="B1843" s="585" t="s">
        <v>2851</v>
      </c>
      <c r="C1843" s="585" t="str">
        <f ca="1">TEXT('Reconciliation report'!$E964,RefData!$B$425)</f>
        <v/>
      </c>
      <c r="E1843" s="585" t="str">
        <f ca="1">IF('Reconciliation report'!$E$872&gt;=2,'All Statement of strategy (D)'!$C1843,"")</f>
        <v/>
      </c>
      <c r="F1843" s="585" t="str">
        <f ca="1">IF('Reconciliation report'!$E$872&gt;=2,'All Statement of strategy (D)'!$C1843,"")</f>
        <v/>
      </c>
      <c r="G1843" s="585" t="str">
        <f ca="1">IF('Reconciliation report'!$E$872&gt;=2,'All Statement of strategy (D)'!$C1843,"")</f>
        <v/>
      </c>
      <c r="H1843" s="585" t="str">
        <f ca="1">IF('Reconciliation report'!$E$872&gt;=2,'All Statement of strategy (D)'!$C1843,"")</f>
        <v/>
      </c>
      <c r="I1843" s="595" t="str">
        <f ca="1">IF($C$1=RefData!$B$418,'All Statement of strategy (D)'!$E1843,IF('All Statement of strategy (D)'!$C$1=RefData!$B$419,'All Statement of strategy (D)'!$F1843,IF('All Statement of strategy (D)'!$C$1=RefData!$B$420,'All Statement of strategy (D)'!$G1843,IF('All Statement of strategy (D)'!$C$1=RefData!$B$421,'All Statement of strategy (D)'!$H1843," "))))</f>
        <v xml:space="preserve"> </v>
      </c>
    </row>
    <row r="1844" spans="1:9">
      <c r="A1844" s="584" t="s">
        <v>2852</v>
      </c>
      <c r="B1844" s="585" t="s">
        <v>2853</v>
      </c>
      <c r="C1844" s="585" t="str">
        <f ca="1">TEXT('Reconciliation report'!$E965,RefData!$B$425)</f>
        <v/>
      </c>
      <c r="E1844" s="585" t="str">
        <f ca="1">IF('Reconciliation report'!$E$872&gt;=2,'All Statement of strategy (D)'!$C1844,"")</f>
        <v/>
      </c>
      <c r="F1844" s="585" t="str">
        <f ca="1">IF('Reconciliation report'!$E$872&gt;=2,'All Statement of strategy (D)'!$C1844,"")</f>
        <v/>
      </c>
      <c r="G1844" s="585" t="str">
        <f ca="1">IF('Reconciliation report'!$E$872&gt;=2,'All Statement of strategy (D)'!$C1844,"")</f>
        <v/>
      </c>
      <c r="H1844" s="585" t="str">
        <f ca="1">IF('Reconciliation report'!$E$872&gt;=2,'All Statement of strategy (D)'!$C1844,"")</f>
        <v/>
      </c>
      <c r="I1844" s="595" t="str">
        <f ca="1">IF($C$1=RefData!$B$418,'All Statement of strategy (D)'!$E1844,IF('All Statement of strategy (D)'!$C$1=RefData!$B$419,'All Statement of strategy (D)'!$F1844,IF('All Statement of strategy (D)'!$C$1=RefData!$B$420,'All Statement of strategy (D)'!$G1844,IF('All Statement of strategy (D)'!$C$1=RefData!$B$421,'All Statement of strategy (D)'!$H1844," "))))</f>
        <v xml:space="preserve"> </v>
      </c>
    </row>
    <row r="1845" spans="1:9">
      <c r="A1845" s="584" t="s">
        <v>2854</v>
      </c>
      <c r="B1845" s="585" t="s">
        <v>2855</v>
      </c>
      <c r="C1845" s="585" t="str">
        <f ca="1">TEXT('Reconciliation report'!$E966,RefData!$B$425)</f>
        <v/>
      </c>
      <c r="E1845" s="585" t="str">
        <f ca="1">IF('Reconciliation report'!$E$872&gt;=3,'All Statement of strategy (D)'!$C1845,"")</f>
        <v/>
      </c>
      <c r="F1845" s="585" t="str">
        <f ca="1">IF('Reconciliation report'!$E$872&gt;=3,'All Statement of strategy (D)'!$C1845,"")</f>
        <v/>
      </c>
      <c r="G1845" s="585" t="str">
        <f ca="1">IF('Reconciliation report'!$E$872&gt;=3,'All Statement of strategy (D)'!$C1845,"")</f>
        <v/>
      </c>
      <c r="H1845" s="585" t="str">
        <f ca="1">IF('Reconciliation report'!$E$872&gt;=3,'All Statement of strategy (D)'!$C1845,"")</f>
        <v/>
      </c>
      <c r="I1845" s="595" t="str">
        <f ca="1">IF($C$1=RefData!$B$418,'All Statement of strategy (D)'!$E1845,IF('All Statement of strategy (D)'!$C$1=RefData!$B$419,'All Statement of strategy (D)'!$F1845,IF('All Statement of strategy (D)'!$C$1=RefData!$B$420,'All Statement of strategy (D)'!$G1845,IF('All Statement of strategy (D)'!$C$1=RefData!$B$421,'All Statement of strategy (D)'!$H1845," "))))</f>
        <v xml:space="preserve"> </v>
      </c>
    </row>
    <row r="1846" spans="1:9">
      <c r="A1846" s="584" t="s">
        <v>2856</v>
      </c>
      <c r="B1846" s="585" t="s">
        <v>2857</v>
      </c>
      <c r="C1846" s="585" t="str">
        <f ca="1">TEXT('Reconciliation report'!$E967,RefData!$B$425)</f>
        <v/>
      </c>
      <c r="E1846" s="585" t="str">
        <f ca="1">IF('Reconciliation report'!$E$872&gt;=3,'All Statement of strategy (D)'!$C1846,"")</f>
        <v/>
      </c>
      <c r="F1846" s="585" t="str">
        <f ca="1">IF('Reconciliation report'!$E$872&gt;=3,'All Statement of strategy (D)'!$C1846,"")</f>
        <v/>
      </c>
      <c r="G1846" s="585" t="str">
        <f ca="1">IF('Reconciliation report'!$E$872&gt;=3,'All Statement of strategy (D)'!$C1846,"")</f>
        <v/>
      </c>
      <c r="H1846" s="585" t="str">
        <f ca="1">IF('Reconciliation report'!$E$872&gt;=3,'All Statement of strategy (D)'!$C1846,"")</f>
        <v/>
      </c>
      <c r="I1846" s="595" t="str">
        <f ca="1">IF($C$1=RefData!$B$418,'All Statement of strategy (D)'!$E1846,IF('All Statement of strategy (D)'!$C$1=RefData!$B$419,'All Statement of strategy (D)'!$F1846,IF('All Statement of strategy (D)'!$C$1=RefData!$B$420,'All Statement of strategy (D)'!$G1846,IF('All Statement of strategy (D)'!$C$1=RefData!$B$421,'All Statement of strategy (D)'!$H1846," "))))</f>
        <v xml:space="preserve"> </v>
      </c>
    </row>
    <row r="1847" spans="1:9">
      <c r="A1847" s="584" t="s">
        <v>2858</v>
      </c>
      <c r="B1847" s="585" t="s">
        <v>2859</v>
      </c>
      <c r="C1847" s="585" t="str">
        <f ca="1">TEXT('Reconciliation report'!$E968,RefData!$B$425)</f>
        <v/>
      </c>
      <c r="E1847" s="585" t="str">
        <f ca="1">IF('Reconciliation report'!$E$872&gt;=3,'All Statement of strategy (D)'!$C1847,"")</f>
        <v/>
      </c>
      <c r="F1847" s="585" t="str">
        <f ca="1">IF('Reconciliation report'!$E$872&gt;=3,'All Statement of strategy (D)'!$C1847,"")</f>
        <v/>
      </c>
      <c r="G1847" s="585" t="str">
        <f ca="1">IF('Reconciliation report'!$E$872&gt;=3,'All Statement of strategy (D)'!$C1847,"")</f>
        <v/>
      </c>
      <c r="H1847" s="585" t="str">
        <f ca="1">IF('Reconciliation report'!$E$872&gt;=3,'All Statement of strategy (D)'!$C1847,"")</f>
        <v/>
      </c>
      <c r="I1847" s="595" t="str">
        <f ca="1">IF($C$1=RefData!$B$418,'All Statement of strategy (D)'!$E1847,IF('All Statement of strategy (D)'!$C$1=RefData!$B$419,'All Statement of strategy (D)'!$F1847,IF('All Statement of strategy (D)'!$C$1=RefData!$B$420,'All Statement of strategy (D)'!$G1847,IF('All Statement of strategy (D)'!$C$1=RefData!$B$421,'All Statement of strategy (D)'!$H1847," "))))</f>
        <v xml:space="preserve"> </v>
      </c>
    </row>
    <row r="1848" spans="1:9">
      <c r="A1848" s="584" t="s">
        <v>2860</v>
      </c>
      <c r="B1848" s="585" t="s">
        <v>2861</v>
      </c>
      <c r="C1848" s="585" t="str">
        <f ca="1">TEXT('Reconciliation report'!$E969,RefData!$B$425)</f>
        <v/>
      </c>
      <c r="E1848" s="585" t="str">
        <f ca="1">IF('Reconciliation report'!$E$872&gt;=3,'All Statement of strategy (D)'!$C1848,"")</f>
        <v/>
      </c>
      <c r="F1848" s="585" t="str">
        <f ca="1">IF('Reconciliation report'!$E$872&gt;=3,'All Statement of strategy (D)'!$C1848,"")</f>
        <v/>
      </c>
      <c r="G1848" s="585" t="str">
        <f ca="1">IF('Reconciliation report'!$E$872&gt;=3,'All Statement of strategy (D)'!$C1848,"")</f>
        <v/>
      </c>
      <c r="H1848" s="585" t="str">
        <f ca="1">IF('Reconciliation report'!$E$872&gt;=3,'All Statement of strategy (D)'!$C1848,"")</f>
        <v/>
      </c>
      <c r="I1848" s="595" t="str">
        <f ca="1">IF($C$1=RefData!$B$418,'All Statement of strategy (D)'!$E1848,IF('All Statement of strategy (D)'!$C$1=RefData!$B$419,'All Statement of strategy (D)'!$F1848,IF('All Statement of strategy (D)'!$C$1=RefData!$B$420,'All Statement of strategy (D)'!$G1848,IF('All Statement of strategy (D)'!$C$1=RefData!$B$421,'All Statement of strategy (D)'!$H1848," "))))</f>
        <v xml:space="preserve"> </v>
      </c>
    </row>
    <row r="1849" spans="1:9">
      <c r="A1849" s="584" t="s">
        <v>2862</v>
      </c>
      <c r="B1849" s="585" t="s">
        <v>2863</v>
      </c>
      <c r="C1849" s="585" t="str">
        <f ca="1">TEXT('Reconciliation report'!$E970,RefData!$B$425)</f>
        <v/>
      </c>
      <c r="E1849" s="585" t="str">
        <f ca="1">IF('Reconciliation report'!$E$872&gt;=3,'All Statement of strategy (D)'!$C1849,"")</f>
        <v/>
      </c>
      <c r="F1849" s="585" t="str">
        <f ca="1">IF('Reconciliation report'!$E$872&gt;=3,'All Statement of strategy (D)'!$C1849,"")</f>
        <v/>
      </c>
      <c r="G1849" s="585" t="str">
        <f ca="1">IF('Reconciliation report'!$E$872&gt;=3,'All Statement of strategy (D)'!$C1849,"")</f>
        <v/>
      </c>
      <c r="H1849" s="585" t="str">
        <f ca="1">IF('Reconciliation report'!$E$872&gt;=3,'All Statement of strategy (D)'!$C1849,"")</f>
        <v/>
      </c>
      <c r="I1849" s="595" t="str">
        <f ca="1">IF($C$1=RefData!$B$418,'All Statement of strategy (D)'!$E1849,IF('All Statement of strategy (D)'!$C$1=RefData!$B$419,'All Statement of strategy (D)'!$F1849,IF('All Statement of strategy (D)'!$C$1=RefData!$B$420,'All Statement of strategy (D)'!$G1849,IF('All Statement of strategy (D)'!$C$1=RefData!$B$421,'All Statement of strategy (D)'!$H1849," "))))</f>
        <v xml:space="preserve"> </v>
      </c>
    </row>
    <row r="1850" spans="1:9">
      <c r="A1850" s="584" t="s">
        <v>2864</v>
      </c>
      <c r="B1850" s="585" t="s">
        <v>2865</v>
      </c>
      <c r="C1850" s="585" t="str">
        <f ca="1">TEXT('Reconciliation report'!$E971,RefData!$B$425)</f>
        <v/>
      </c>
      <c r="E1850" s="585" t="str">
        <f ca="1">IF('Reconciliation report'!$E$872&gt;=3,'All Statement of strategy (D)'!$C1850,"")</f>
        <v/>
      </c>
      <c r="F1850" s="585" t="str">
        <f ca="1">IF('Reconciliation report'!$E$872&gt;=3,'All Statement of strategy (D)'!$C1850,"")</f>
        <v/>
      </c>
      <c r="G1850" s="585" t="str">
        <f ca="1">IF('Reconciliation report'!$E$872&gt;=3,'All Statement of strategy (D)'!$C1850,"")</f>
        <v/>
      </c>
      <c r="H1850" s="585" t="str">
        <f ca="1">IF('Reconciliation report'!$E$872&gt;=3,'All Statement of strategy (D)'!$C1850,"")</f>
        <v/>
      </c>
      <c r="I1850" s="595" t="str">
        <f ca="1">IF($C$1=RefData!$B$418,'All Statement of strategy (D)'!$E1850,IF('All Statement of strategy (D)'!$C$1=RefData!$B$419,'All Statement of strategy (D)'!$F1850,IF('All Statement of strategy (D)'!$C$1=RefData!$B$420,'All Statement of strategy (D)'!$G1850,IF('All Statement of strategy (D)'!$C$1=RefData!$B$421,'All Statement of strategy (D)'!$H1850," "))))</f>
        <v xml:space="preserve"> </v>
      </c>
    </row>
    <row r="1851" spans="1:9">
      <c r="A1851" s="584" t="s">
        <v>2866</v>
      </c>
      <c r="B1851" s="585" t="s">
        <v>2867</v>
      </c>
      <c r="C1851" s="585" t="str">
        <f ca="1">TEXT('Reconciliation report'!$E972,RefData!$B$425)</f>
        <v/>
      </c>
      <c r="E1851" s="585" t="str">
        <f ca="1">IF('Reconciliation report'!$E$872&gt;=3,'All Statement of strategy (D)'!$C1851,"")</f>
        <v/>
      </c>
      <c r="F1851" s="585" t="str">
        <f ca="1">IF('Reconciliation report'!$E$872&gt;=3,'All Statement of strategy (D)'!$C1851,"")</f>
        <v/>
      </c>
      <c r="G1851" s="585" t="str">
        <f ca="1">IF('Reconciliation report'!$E$872&gt;=3,'All Statement of strategy (D)'!$C1851,"")</f>
        <v/>
      </c>
      <c r="H1851" s="585" t="str">
        <f ca="1">IF('Reconciliation report'!$E$872&gt;=3,'All Statement of strategy (D)'!$C1851,"")</f>
        <v/>
      </c>
      <c r="I1851" s="595" t="str">
        <f ca="1">IF($C$1=RefData!$B$418,'All Statement of strategy (D)'!$E1851,IF('All Statement of strategy (D)'!$C$1=RefData!$B$419,'All Statement of strategy (D)'!$F1851,IF('All Statement of strategy (D)'!$C$1=RefData!$B$420,'All Statement of strategy (D)'!$G1851,IF('All Statement of strategy (D)'!$C$1=RefData!$B$421,'All Statement of strategy (D)'!$H1851," "))))</f>
        <v xml:space="preserve"> </v>
      </c>
    </row>
    <row r="1852" spans="1:9">
      <c r="A1852" s="584" t="s">
        <v>2868</v>
      </c>
      <c r="B1852" s="585" t="s">
        <v>2869</v>
      </c>
      <c r="C1852" s="585" t="str">
        <f ca="1">TEXT('Reconciliation report'!$E973,RefData!$B$425)</f>
        <v/>
      </c>
      <c r="E1852" s="585" t="str">
        <f ca="1">IF('Reconciliation report'!$E$872&gt;=3,'All Statement of strategy (D)'!$C1852,"")</f>
        <v/>
      </c>
      <c r="F1852" s="585" t="str">
        <f ca="1">IF('Reconciliation report'!$E$872&gt;=3,'All Statement of strategy (D)'!$C1852,"")</f>
        <v/>
      </c>
      <c r="G1852" s="585" t="str">
        <f ca="1">IF('Reconciliation report'!$E$872&gt;=3,'All Statement of strategy (D)'!$C1852,"")</f>
        <v/>
      </c>
      <c r="H1852" s="585" t="str">
        <f ca="1">IF('Reconciliation report'!$E$872&gt;=3,'All Statement of strategy (D)'!$C1852,"")</f>
        <v/>
      </c>
      <c r="I1852" s="595" t="str">
        <f ca="1">IF($C$1=RefData!$B$418,'All Statement of strategy (D)'!$E1852,IF('All Statement of strategy (D)'!$C$1=RefData!$B$419,'All Statement of strategy (D)'!$F1852,IF('All Statement of strategy (D)'!$C$1=RefData!$B$420,'All Statement of strategy (D)'!$G1852,IF('All Statement of strategy (D)'!$C$1=RefData!$B$421,'All Statement of strategy (D)'!$H1852," "))))</f>
        <v xml:space="preserve"> </v>
      </c>
    </row>
    <row r="1853" spans="1:9">
      <c r="A1853" s="584" t="s">
        <v>2870</v>
      </c>
      <c r="B1853" s="585" t="s">
        <v>2871</v>
      </c>
      <c r="C1853" s="585" t="str">
        <f ca="1">TEXT('Reconciliation report'!$E974,RefData!$B$425)</f>
        <v/>
      </c>
      <c r="E1853" s="585" t="str">
        <f ca="1">IF('Reconciliation report'!$E$872&gt;=3,'All Statement of strategy (D)'!$C1853,"")</f>
        <v/>
      </c>
      <c r="F1853" s="585" t="str">
        <f ca="1">IF('Reconciliation report'!$E$872&gt;=3,'All Statement of strategy (D)'!$C1853,"")</f>
        <v/>
      </c>
      <c r="G1853" s="585" t="str">
        <f ca="1">IF('Reconciliation report'!$E$872&gt;=3,'All Statement of strategy (D)'!$C1853,"")</f>
        <v/>
      </c>
      <c r="H1853" s="585" t="str">
        <f ca="1">IF('Reconciliation report'!$E$872&gt;=3,'All Statement of strategy (D)'!$C1853,"")</f>
        <v/>
      </c>
      <c r="I1853" s="595" t="str">
        <f ca="1">IF($C$1=RefData!$B$418,'All Statement of strategy (D)'!$E1853,IF('All Statement of strategy (D)'!$C$1=RefData!$B$419,'All Statement of strategy (D)'!$F1853,IF('All Statement of strategy (D)'!$C$1=RefData!$B$420,'All Statement of strategy (D)'!$G1853,IF('All Statement of strategy (D)'!$C$1=RefData!$B$421,'All Statement of strategy (D)'!$H1853," "))))</f>
        <v xml:space="preserve"> </v>
      </c>
    </row>
    <row r="1854" spans="1:9">
      <c r="A1854" s="584" t="s">
        <v>2872</v>
      </c>
      <c r="B1854" s="585" t="s">
        <v>2873</v>
      </c>
      <c r="C1854" s="585" t="str">
        <f ca="1">TEXT('Reconciliation report'!$E975,RefData!$B$425)</f>
        <v/>
      </c>
      <c r="E1854" s="585" t="str">
        <f ca="1">IF('Reconciliation report'!$E$872&gt;=3,'All Statement of strategy (D)'!$C1854,"")</f>
        <v/>
      </c>
      <c r="F1854" s="585" t="str">
        <f ca="1">IF('Reconciliation report'!$E$872&gt;=3,'All Statement of strategy (D)'!$C1854,"")</f>
        <v/>
      </c>
      <c r="G1854" s="585" t="str">
        <f ca="1">IF('Reconciliation report'!$E$872&gt;=3,'All Statement of strategy (D)'!$C1854,"")</f>
        <v/>
      </c>
      <c r="H1854" s="585" t="str">
        <f ca="1">IF('Reconciliation report'!$E$872&gt;=3,'All Statement of strategy (D)'!$C1854,"")</f>
        <v/>
      </c>
      <c r="I1854" s="595" t="str">
        <f ca="1">IF($C$1=RefData!$B$418,'All Statement of strategy (D)'!$E1854,IF('All Statement of strategy (D)'!$C$1=RefData!$B$419,'All Statement of strategy (D)'!$F1854,IF('All Statement of strategy (D)'!$C$1=RefData!$B$420,'All Statement of strategy (D)'!$G1854,IF('All Statement of strategy (D)'!$C$1=RefData!$B$421,'All Statement of strategy (D)'!$H1854," "))))</f>
        <v xml:space="preserve"> </v>
      </c>
    </row>
    <row r="1855" spans="1:9">
      <c r="A1855" s="584" t="s">
        <v>2874</v>
      </c>
      <c r="B1855" s="585" t="s">
        <v>2875</v>
      </c>
      <c r="C1855" s="585" t="str">
        <f ca="1">TEXT('Reconciliation report'!$E976,RefData!$B$425)</f>
        <v/>
      </c>
      <c r="E1855" s="585" t="str">
        <f ca="1">IF('Reconciliation report'!$E$872&gt;=3,'All Statement of strategy (D)'!$C1855,"")</f>
        <v/>
      </c>
      <c r="F1855" s="585" t="str">
        <f ca="1">IF('Reconciliation report'!$E$872&gt;=3,'All Statement of strategy (D)'!$C1855,"")</f>
        <v/>
      </c>
      <c r="G1855" s="585" t="str">
        <f ca="1">IF('Reconciliation report'!$E$872&gt;=3,'All Statement of strategy (D)'!$C1855,"")</f>
        <v/>
      </c>
      <c r="H1855" s="585" t="str">
        <f ca="1">IF('Reconciliation report'!$E$872&gt;=3,'All Statement of strategy (D)'!$C1855,"")</f>
        <v/>
      </c>
      <c r="I1855" s="595" t="str">
        <f ca="1">IF($C$1=RefData!$B$418,'All Statement of strategy (D)'!$E1855,IF('All Statement of strategy (D)'!$C$1=RefData!$B$419,'All Statement of strategy (D)'!$F1855,IF('All Statement of strategy (D)'!$C$1=RefData!$B$420,'All Statement of strategy (D)'!$G1855,IF('All Statement of strategy (D)'!$C$1=RefData!$B$421,'All Statement of strategy (D)'!$H1855," "))))</f>
        <v xml:space="preserve"> </v>
      </c>
    </row>
    <row r="1856" spans="1:9">
      <c r="A1856" s="584" t="s">
        <v>2876</v>
      </c>
      <c r="B1856" s="585" t="s">
        <v>2877</v>
      </c>
      <c r="C1856" s="585" t="str">
        <f ca="1">TEXT('Reconciliation report'!$E977,RefData!$B$425)</f>
        <v/>
      </c>
      <c r="E1856" s="585" t="str">
        <f ca="1">IF('Reconciliation report'!$E$872&gt;=3,'All Statement of strategy (D)'!$C1856,"")</f>
        <v/>
      </c>
      <c r="F1856" s="585" t="str">
        <f ca="1">IF('Reconciliation report'!$E$872&gt;=3,'All Statement of strategy (D)'!$C1856,"")</f>
        <v/>
      </c>
      <c r="G1856" s="585" t="str">
        <f ca="1">IF('Reconciliation report'!$E$872&gt;=3,'All Statement of strategy (D)'!$C1856,"")</f>
        <v/>
      </c>
      <c r="H1856" s="585" t="str">
        <f ca="1">IF('Reconciliation report'!$E$872&gt;=3,'All Statement of strategy (D)'!$C1856,"")</f>
        <v/>
      </c>
      <c r="I1856" s="595" t="str">
        <f ca="1">IF($C$1=RefData!$B$418,'All Statement of strategy (D)'!$E1856,IF('All Statement of strategy (D)'!$C$1=RefData!$B$419,'All Statement of strategy (D)'!$F1856,IF('All Statement of strategy (D)'!$C$1=RefData!$B$420,'All Statement of strategy (D)'!$G1856,IF('All Statement of strategy (D)'!$C$1=RefData!$B$421,'All Statement of strategy (D)'!$H1856," "))))</f>
        <v xml:space="preserve"> </v>
      </c>
    </row>
    <row r="1857" spans="1:9">
      <c r="A1857" s="584" t="s">
        <v>2878</v>
      </c>
      <c r="B1857" s="585" t="s">
        <v>2879</v>
      </c>
      <c r="C1857" s="585" t="str">
        <f ca="1">TEXT('Reconciliation report'!$E978,RefData!$B$425)</f>
        <v/>
      </c>
      <c r="E1857" s="585" t="str">
        <f ca="1">IF('Reconciliation report'!$E$872&gt;=3,'All Statement of strategy (D)'!$C1857,"")</f>
        <v/>
      </c>
      <c r="F1857" s="585" t="str">
        <f ca="1">IF('Reconciliation report'!$E$872&gt;=3,'All Statement of strategy (D)'!$C1857,"")</f>
        <v/>
      </c>
      <c r="G1857" s="585" t="str">
        <f ca="1">IF('Reconciliation report'!$E$872&gt;=3,'All Statement of strategy (D)'!$C1857,"")</f>
        <v/>
      </c>
      <c r="H1857" s="585" t="str">
        <f ca="1">IF('Reconciliation report'!$E$872&gt;=3,'All Statement of strategy (D)'!$C1857,"")</f>
        <v/>
      </c>
      <c r="I1857" s="595" t="str">
        <f ca="1">IF($C$1=RefData!$B$418,'All Statement of strategy (D)'!$E1857,IF('All Statement of strategy (D)'!$C$1=RefData!$B$419,'All Statement of strategy (D)'!$F1857,IF('All Statement of strategy (D)'!$C$1=RefData!$B$420,'All Statement of strategy (D)'!$G1857,IF('All Statement of strategy (D)'!$C$1=RefData!$B$421,'All Statement of strategy (D)'!$H1857," "))))</f>
        <v xml:space="preserve"> </v>
      </c>
    </row>
    <row r="1858" spans="1:9">
      <c r="A1858" s="584" t="s">
        <v>2880</v>
      </c>
      <c r="B1858" s="585" t="s">
        <v>2881</v>
      </c>
      <c r="C1858" s="585" t="str">
        <f ca="1">TEXT('Reconciliation report'!$E979,RefData!$B$425)</f>
        <v/>
      </c>
      <c r="E1858" s="585" t="str">
        <f ca="1">IF('Reconciliation report'!$E$872&gt;=3,'All Statement of strategy (D)'!$C1858,"")</f>
        <v/>
      </c>
      <c r="F1858" s="585" t="str">
        <f ca="1">IF('Reconciliation report'!$E$872&gt;=3,'All Statement of strategy (D)'!$C1858,"")</f>
        <v/>
      </c>
      <c r="G1858" s="585" t="str">
        <f ca="1">IF('Reconciliation report'!$E$872&gt;=3,'All Statement of strategy (D)'!$C1858,"")</f>
        <v/>
      </c>
      <c r="H1858" s="585" t="str">
        <f ca="1">IF('Reconciliation report'!$E$872&gt;=3,'All Statement of strategy (D)'!$C1858,"")</f>
        <v/>
      </c>
      <c r="I1858" s="595" t="str">
        <f ca="1">IF($C$1=RefData!$B$418,'All Statement of strategy (D)'!$E1858,IF('All Statement of strategy (D)'!$C$1=RefData!$B$419,'All Statement of strategy (D)'!$F1858,IF('All Statement of strategy (D)'!$C$1=RefData!$B$420,'All Statement of strategy (D)'!$G1858,IF('All Statement of strategy (D)'!$C$1=RefData!$B$421,'All Statement of strategy (D)'!$H1858," "))))</f>
        <v xml:space="preserve"> </v>
      </c>
    </row>
    <row r="1859" spans="1:9">
      <c r="A1859" s="584" t="s">
        <v>2882</v>
      </c>
      <c r="B1859" s="585" t="s">
        <v>2883</v>
      </c>
      <c r="C1859" s="585" t="str">
        <f ca="1">TEXT('Reconciliation report'!$E980,RefData!$B$425)</f>
        <v/>
      </c>
      <c r="E1859" s="585" t="str">
        <f ca="1">IF('Reconciliation report'!$E$872&gt;=3,'All Statement of strategy (D)'!$C1859,"")</f>
        <v/>
      </c>
      <c r="F1859" s="585" t="str">
        <f ca="1">IF('Reconciliation report'!$E$872&gt;=3,'All Statement of strategy (D)'!$C1859,"")</f>
        <v/>
      </c>
      <c r="G1859" s="585" t="str">
        <f ca="1">IF('Reconciliation report'!$E$872&gt;=3,'All Statement of strategy (D)'!$C1859,"")</f>
        <v/>
      </c>
      <c r="H1859" s="585" t="str">
        <f ca="1">IF('Reconciliation report'!$E$872&gt;=3,'All Statement of strategy (D)'!$C1859,"")</f>
        <v/>
      </c>
      <c r="I1859" s="595" t="str">
        <f ca="1">IF($C$1=RefData!$B$418,'All Statement of strategy (D)'!$E1859,IF('All Statement of strategy (D)'!$C$1=RefData!$B$419,'All Statement of strategy (D)'!$F1859,IF('All Statement of strategy (D)'!$C$1=RefData!$B$420,'All Statement of strategy (D)'!$G1859,IF('All Statement of strategy (D)'!$C$1=RefData!$B$421,'All Statement of strategy (D)'!$H1859," "))))</f>
        <v xml:space="preserve"> </v>
      </c>
    </row>
    <row r="1860" spans="1:9">
      <c r="A1860" s="584" t="s">
        <v>2884</v>
      </c>
      <c r="B1860" s="585" t="s">
        <v>2885</v>
      </c>
      <c r="C1860" s="585" t="str">
        <f ca="1">TEXT('Reconciliation report'!$E981,RefData!$B$425)</f>
        <v/>
      </c>
      <c r="E1860" s="585" t="str">
        <f ca="1">IF('Reconciliation report'!$E$872&gt;=3,'All Statement of strategy (D)'!$C1860,"")</f>
        <v/>
      </c>
      <c r="F1860" s="585" t="str">
        <f ca="1">IF('Reconciliation report'!$E$872&gt;=3,'All Statement of strategy (D)'!$C1860,"")</f>
        <v/>
      </c>
      <c r="G1860" s="585" t="str">
        <f ca="1">IF('Reconciliation report'!$E$872&gt;=3,'All Statement of strategy (D)'!$C1860,"")</f>
        <v/>
      </c>
      <c r="H1860" s="585" t="str">
        <f ca="1">IF('Reconciliation report'!$E$872&gt;=3,'All Statement of strategy (D)'!$C1860,"")</f>
        <v/>
      </c>
      <c r="I1860" s="595" t="str">
        <f ca="1">IF($C$1=RefData!$B$418,'All Statement of strategy (D)'!$E1860,IF('All Statement of strategy (D)'!$C$1=RefData!$B$419,'All Statement of strategy (D)'!$F1860,IF('All Statement of strategy (D)'!$C$1=RefData!$B$420,'All Statement of strategy (D)'!$G1860,IF('All Statement of strategy (D)'!$C$1=RefData!$B$421,'All Statement of strategy (D)'!$H1860," "))))</f>
        <v xml:space="preserve"> </v>
      </c>
    </row>
    <row r="1861" spans="1:9">
      <c r="A1861" s="584" t="s">
        <v>2886</v>
      </c>
      <c r="B1861" s="585" t="s">
        <v>2887</v>
      </c>
      <c r="C1861" s="585" t="str">
        <f ca="1">TEXT('Reconciliation report'!$E982,RefData!$B$425)</f>
        <v/>
      </c>
      <c r="E1861" s="585" t="str">
        <f ca="1">IF('Reconciliation report'!$E$872&gt;=3,'All Statement of strategy (D)'!$C1861,"")</f>
        <v/>
      </c>
      <c r="F1861" s="585" t="str">
        <f ca="1">IF('Reconciliation report'!$E$872&gt;=3,'All Statement of strategy (D)'!$C1861,"")</f>
        <v/>
      </c>
      <c r="G1861" s="585" t="str">
        <f ca="1">IF('Reconciliation report'!$E$872&gt;=3,'All Statement of strategy (D)'!$C1861,"")</f>
        <v/>
      </c>
      <c r="H1861" s="585" t="str">
        <f ca="1">IF('Reconciliation report'!$E$872&gt;=3,'All Statement of strategy (D)'!$C1861,"")</f>
        <v/>
      </c>
      <c r="I1861" s="595" t="str">
        <f ca="1">IF($C$1=RefData!$B$418,'All Statement of strategy (D)'!$E1861,IF('All Statement of strategy (D)'!$C$1=RefData!$B$419,'All Statement of strategy (D)'!$F1861,IF('All Statement of strategy (D)'!$C$1=RefData!$B$420,'All Statement of strategy (D)'!$G1861,IF('All Statement of strategy (D)'!$C$1=RefData!$B$421,'All Statement of strategy (D)'!$H1861," "))))</f>
        <v xml:space="preserve"> </v>
      </c>
    </row>
    <row r="1862" spans="1:9">
      <c r="A1862" s="584" t="s">
        <v>2888</v>
      </c>
      <c r="B1862" s="585" t="s">
        <v>2889</v>
      </c>
      <c r="C1862" s="585" t="str">
        <f ca="1">TEXT('Reconciliation report'!$E983,RefData!$B$425)</f>
        <v/>
      </c>
      <c r="E1862" s="585" t="str">
        <f ca="1">IF('Reconciliation report'!$E$872&gt;=3,'All Statement of strategy (D)'!$C1862,"")</f>
        <v/>
      </c>
      <c r="F1862" s="585" t="str">
        <f ca="1">IF('Reconciliation report'!$E$872&gt;=3,'All Statement of strategy (D)'!$C1862,"")</f>
        <v/>
      </c>
      <c r="G1862" s="585" t="str">
        <f ca="1">IF('Reconciliation report'!$E$872&gt;=3,'All Statement of strategy (D)'!$C1862,"")</f>
        <v/>
      </c>
      <c r="H1862" s="585" t="str">
        <f ca="1">IF('Reconciliation report'!$E$872&gt;=3,'All Statement of strategy (D)'!$C1862,"")</f>
        <v/>
      </c>
      <c r="I1862" s="595" t="str">
        <f ca="1">IF($C$1=RefData!$B$418,'All Statement of strategy (D)'!$E1862,IF('All Statement of strategy (D)'!$C$1=RefData!$B$419,'All Statement of strategy (D)'!$F1862,IF('All Statement of strategy (D)'!$C$1=RefData!$B$420,'All Statement of strategy (D)'!$G1862,IF('All Statement of strategy (D)'!$C$1=RefData!$B$421,'All Statement of strategy (D)'!$H1862," "))))</f>
        <v xml:space="preserve"> </v>
      </c>
    </row>
    <row r="1863" spans="1:9">
      <c r="A1863" s="584" t="s">
        <v>2890</v>
      </c>
      <c r="B1863" s="585" t="s">
        <v>2891</v>
      </c>
      <c r="C1863" s="585" t="str">
        <f ca="1">TEXT('Reconciliation report'!$E984,RefData!$B$425)</f>
        <v/>
      </c>
      <c r="E1863" s="585" t="str">
        <f ca="1">IF('Reconciliation report'!$E$872&gt;=3,'All Statement of strategy (D)'!$C1863,"")</f>
        <v/>
      </c>
      <c r="F1863" s="585" t="str">
        <f ca="1">IF('Reconciliation report'!$E$872&gt;=3,'All Statement of strategy (D)'!$C1863,"")</f>
        <v/>
      </c>
      <c r="G1863" s="585" t="str">
        <f ca="1">IF('Reconciliation report'!$E$872&gt;=3,'All Statement of strategy (D)'!$C1863,"")</f>
        <v/>
      </c>
      <c r="H1863" s="585" t="str">
        <f ca="1">IF('Reconciliation report'!$E$872&gt;=3,'All Statement of strategy (D)'!$C1863,"")</f>
        <v/>
      </c>
      <c r="I1863" s="595" t="str">
        <f ca="1">IF($C$1=RefData!$B$418,'All Statement of strategy (D)'!$E1863,IF('All Statement of strategy (D)'!$C$1=RefData!$B$419,'All Statement of strategy (D)'!$F1863,IF('All Statement of strategy (D)'!$C$1=RefData!$B$420,'All Statement of strategy (D)'!$G1863,IF('All Statement of strategy (D)'!$C$1=RefData!$B$421,'All Statement of strategy (D)'!$H1863," "))))</f>
        <v xml:space="preserve"> </v>
      </c>
    </row>
    <row r="1864" spans="1:9">
      <c r="A1864" s="584" t="s">
        <v>2892</v>
      </c>
      <c r="B1864" s="585" t="s">
        <v>2893</v>
      </c>
      <c r="C1864" s="585" t="str">
        <f ca="1">TEXT('Reconciliation report'!$E985,RefData!$B$425)</f>
        <v/>
      </c>
      <c r="E1864" s="585" t="str">
        <f ca="1">IF('Reconciliation report'!$E$872&gt;=3,'All Statement of strategy (D)'!$C1864,"")</f>
        <v/>
      </c>
      <c r="F1864" s="585" t="str">
        <f ca="1">IF('Reconciliation report'!$E$872&gt;=3,'All Statement of strategy (D)'!$C1864,"")</f>
        <v/>
      </c>
      <c r="G1864" s="585" t="str">
        <f ca="1">IF('Reconciliation report'!$E$872&gt;=3,'All Statement of strategy (D)'!$C1864,"")</f>
        <v/>
      </c>
      <c r="H1864" s="585" t="str">
        <f ca="1">IF('Reconciliation report'!$E$872&gt;=3,'All Statement of strategy (D)'!$C1864,"")</f>
        <v/>
      </c>
      <c r="I1864" s="595" t="str">
        <f ca="1">IF($C$1=RefData!$B$418,'All Statement of strategy (D)'!$E1864,IF('All Statement of strategy (D)'!$C$1=RefData!$B$419,'All Statement of strategy (D)'!$F1864,IF('All Statement of strategy (D)'!$C$1=RefData!$B$420,'All Statement of strategy (D)'!$G1864,IF('All Statement of strategy (D)'!$C$1=RefData!$B$421,'All Statement of strategy (D)'!$H1864," "))))</f>
        <v xml:space="preserve"> </v>
      </c>
    </row>
    <row r="1865" spans="1:9">
      <c r="A1865" s="584" t="s">
        <v>2894</v>
      </c>
      <c r="B1865" s="585" t="s">
        <v>2895</v>
      </c>
      <c r="C1865" s="585" t="str">
        <f ca="1">TEXT('Reconciliation report'!$E986,RefData!$B$425)</f>
        <v/>
      </c>
      <c r="E1865" s="585" t="str">
        <f ca="1">IF('Reconciliation report'!$E$872&gt;=3,'All Statement of strategy (D)'!$C1865,"")</f>
        <v/>
      </c>
      <c r="F1865" s="585" t="str">
        <f ca="1">IF('Reconciliation report'!$E$872&gt;=3,'All Statement of strategy (D)'!$C1865,"")</f>
        <v/>
      </c>
      <c r="G1865" s="585" t="str">
        <f ca="1">IF('Reconciliation report'!$E$872&gt;=3,'All Statement of strategy (D)'!$C1865,"")</f>
        <v/>
      </c>
      <c r="H1865" s="585" t="str">
        <f ca="1">IF('Reconciliation report'!$E$872&gt;=3,'All Statement of strategy (D)'!$C1865,"")</f>
        <v/>
      </c>
      <c r="I1865" s="595" t="str">
        <f ca="1">IF($C$1=RefData!$B$418,'All Statement of strategy (D)'!$E1865,IF('All Statement of strategy (D)'!$C$1=RefData!$B$419,'All Statement of strategy (D)'!$F1865,IF('All Statement of strategy (D)'!$C$1=RefData!$B$420,'All Statement of strategy (D)'!$G1865,IF('All Statement of strategy (D)'!$C$1=RefData!$B$421,'All Statement of strategy (D)'!$H1865," "))))</f>
        <v xml:space="preserve"> </v>
      </c>
    </row>
    <row r="1866" spans="1:9">
      <c r="A1866" s="584" t="s">
        <v>2896</v>
      </c>
      <c r="B1866" s="585" t="s">
        <v>2897</v>
      </c>
      <c r="C1866" s="585" t="str">
        <f ca="1">TEXT('Reconciliation report'!$E987,RefData!$B$425)</f>
        <v/>
      </c>
      <c r="E1866" s="585" t="str">
        <f ca="1">IF('Reconciliation report'!$E$872&gt;=4,'All Statement of strategy (D)'!$C1866,"")</f>
        <v/>
      </c>
      <c r="F1866" s="585" t="str">
        <f ca="1">IF('Reconciliation report'!$E$872&gt;=4,'All Statement of strategy (D)'!$C1866,"")</f>
        <v/>
      </c>
      <c r="G1866" s="585" t="str">
        <f ca="1">IF('Reconciliation report'!$E$872&gt;=4,'All Statement of strategy (D)'!$C1866,"")</f>
        <v/>
      </c>
      <c r="H1866" s="585" t="str">
        <f ca="1">IF('Reconciliation report'!$E$872&gt;=4,'All Statement of strategy (D)'!$C1866,"")</f>
        <v/>
      </c>
      <c r="I1866" s="595" t="str">
        <f ca="1">IF($C$1=RefData!$B$418,'All Statement of strategy (D)'!$E1866,IF('All Statement of strategy (D)'!$C$1=RefData!$B$419,'All Statement of strategy (D)'!$F1866,IF('All Statement of strategy (D)'!$C$1=RefData!$B$420,'All Statement of strategy (D)'!$G1866,IF('All Statement of strategy (D)'!$C$1=RefData!$B$421,'All Statement of strategy (D)'!$H1866," "))))</f>
        <v xml:space="preserve"> </v>
      </c>
    </row>
    <row r="1867" spans="1:9">
      <c r="A1867" s="584" t="s">
        <v>2898</v>
      </c>
      <c r="B1867" s="585" t="s">
        <v>2899</v>
      </c>
      <c r="C1867" s="585" t="str">
        <f ca="1">TEXT('Reconciliation report'!$E988,RefData!$B$425)</f>
        <v/>
      </c>
      <c r="E1867" s="585" t="str">
        <f ca="1">IF('Reconciliation report'!$E$872&gt;=4,'All Statement of strategy (D)'!$C1867,"")</f>
        <v/>
      </c>
      <c r="F1867" s="585" t="str">
        <f ca="1">IF('Reconciliation report'!$E$872&gt;=4,'All Statement of strategy (D)'!$C1867,"")</f>
        <v/>
      </c>
      <c r="G1867" s="585" t="str">
        <f ca="1">IF('Reconciliation report'!$E$872&gt;=4,'All Statement of strategy (D)'!$C1867,"")</f>
        <v/>
      </c>
      <c r="H1867" s="585" t="str">
        <f ca="1">IF('Reconciliation report'!$E$872&gt;=4,'All Statement of strategy (D)'!$C1867,"")</f>
        <v/>
      </c>
      <c r="I1867" s="595" t="str">
        <f ca="1">IF($C$1=RefData!$B$418,'All Statement of strategy (D)'!$E1867,IF('All Statement of strategy (D)'!$C$1=RefData!$B$419,'All Statement of strategy (D)'!$F1867,IF('All Statement of strategy (D)'!$C$1=RefData!$B$420,'All Statement of strategy (D)'!$G1867,IF('All Statement of strategy (D)'!$C$1=RefData!$B$421,'All Statement of strategy (D)'!$H1867," "))))</f>
        <v xml:space="preserve"> </v>
      </c>
    </row>
    <row r="1868" spans="1:9">
      <c r="A1868" s="584" t="s">
        <v>2900</v>
      </c>
      <c r="B1868" s="585" t="s">
        <v>2901</v>
      </c>
      <c r="C1868" s="585" t="str">
        <f ca="1">TEXT('Reconciliation report'!$E989,RefData!$B$425)</f>
        <v/>
      </c>
      <c r="E1868" s="585" t="str">
        <f ca="1">IF('Reconciliation report'!$E$872&gt;=4,'All Statement of strategy (D)'!$C1868,"")</f>
        <v/>
      </c>
      <c r="F1868" s="585" t="str">
        <f ca="1">IF('Reconciliation report'!$E$872&gt;=4,'All Statement of strategy (D)'!$C1868,"")</f>
        <v/>
      </c>
      <c r="G1868" s="585" t="str">
        <f ca="1">IF('Reconciliation report'!$E$872&gt;=4,'All Statement of strategy (D)'!$C1868,"")</f>
        <v/>
      </c>
      <c r="H1868" s="585" t="str">
        <f ca="1">IF('Reconciliation report'!$E$872&gt;=4,'All Statement of strategy (D)'!$C1868,"")</f>
        <v/>
      </c>
      <c r="I1868" s="595" t="str">
        <f ca="1">IF($C$1=RefData!$B$418,'All Statement of strategy (D)'!$E1868,IF('All Statement of strategy (D)'!$C$1=RefData!$B$419,'All Statement of strategy (D)'!$F1868,IF('All Statement of strategy (D)'!$C$1=RefData!$B$420,'All Statement of strategy (D)'!$G1868,IF('All Statement of strategy (D)'!$C$1=RefData!$B$421,'All Statement of strategy (D)'!$H1868," "))))</f>
        <v xml:space="preserve"> </v>
      </c>
    </row>
    <row r="1869" spans="1:9">
      <c r="A1869" s="584" t="s">
        <v>2902</v>
      </c>
      <c r="B1869" s="585" t="s">
        <v>2903</v>
      </c>
      <c r="C1869" s="585" t="str">
        <f ca="1">TEXT('Reconciliation report'!$E990,RefData!$B$425)</f>
        <v/>
      </c>
      <c r="E1869" s="585" t="str">
        <f ca="1">IF('Reconciliation report'!$E$872&gt;=4,'All Statement of strategy (D)'!$C1869,"")</f>
        <v/>
      </c>
      <c r="F1869" s="585" t="str">
        <f ca="1">IF('Reconciliation report'!$E$872&gt;=4,'All Statement of strategy (D)'!$C1869,"")</f>
        <v/>
      </c>
      <c r="G1869" s="585" t="str">
        <f ca="1">IF('Reconciliation report'!$E$872&gt;=4,'All Statement of strategy (D)'!$C1869,"")</f>
        <v/>
      </c>
      <c r="H1869" s="585" t="str">
        <f ca="1">IF('Reconciliation report'!$E$872&gt;=4,'All Statement of strategy (D)'!$C1869,"")</f>
        <v/>
      </c>
      <c r="I1869" s="595" t="str">
        <f ca="1">IF($C$1=RefData!$B$418,'All Statement of strategy (D)'!$E1869,IF('All Statement of strategy (D)'!$C$1=RefData!$B$419,'All Statement of strategy (D)'!$F1869,IF('All Statement of strategy (D)'!$C$1=RefData!$B$420,'All Statement of strategy (D)'!$G1869,IF('All Statement of strategy (D)'!$C$1=RefData!$B$421,'All Statement of strategy (D)'!$H1869," "))))</f>
        <v xml:space="preserve"> </v>
      </c>
    </row>
    <row r="1870" spans="1:9">
      <c r="A1870" s="584" t="s">
        <v>2904</v>
      </c>
      <c r="B1870" s="585" t="s">
        <v>2905</v>
      </c>
      <c r="C1870" s="585" t="str">
        <f ca="1">TEXT('Reconciliation report'!$E991,RefData!$B$425)</f>
        <v/>
      </c>
      <c r="E1870" s="585" t="str">
        <f ca="1">IF('Reconciliation report'!$E$872&gt;=4,'All Statement of strategy (D)'!$C1870,"")</f>
        <v/>
      </c>
      <c r="F1870" s="585" t="str">
        <f ca="1">IF('Reconciliation report'!$E$872&gt;=4,'All Statement of strategy (D)'!$C1870,"")</f>
        <v/>
      </c>
      <c r="G1870" s="585" t="str">
        <f ca="1">IF('Reconciliation report'!$E$872&gt;=4,'All Statement of strategy (D)'!$C1870,"")</f>
        <v/>
      </c>
      <c r="H1870" s="585" t="str">
        <f ca="1">IF('Reconciliation report'!$E$872&gt;=4,'All Statement of strategy (D)'!$C1870,"")</f>
        <v/>
      </c>
      <c r="I1870" s="595" t="str">
        <f ca="1">IF($C$1=RefData!$B$418,'All Statement of strategy (D)'!$E1870,IF('All Statement of strategy (D)'!$C$1=RefData!$B$419,'All Statement of strategy (D)'!$F1870,IF('All Statement of strategy (D)'!$C$1=RefData!$B$420,'All Statement of strategy (D)'!$G1870,IF('All Statement of strategy (D)'!$C$1=RefData!$B$421,'All Statement of strategy (D)'!$H1870," "))))</f>
        <v xml:space="preserve"> </v>
      </c>
    </row>
    <row r="1871" spans="1:9">
      <c r="A1871" s="584" t="s">
        <v>2906</v>
      </c>
      <c r="B1871" s="585" t="s">
        <v>2907</v>
      </c>
      <c r="C1871" s="585" t="str">
        <f ca="1">TEXT('Reconciliation report'!$E992,RefData!$B$425)</f>
        <v/>
      </c>
      <c r="E1871" s="585" t="str">
        <f ca="1">IF('Reconciliation report'!$E$872&gt;=4,'All Statement of strategy (D)'!$C1871,"")</f>
        <v/>
      </c>
      <c r="F1871" s="585" t="str">
        <f ca="1">IF('Reconciliation report'!$E$872&gt;=4,'All Statement of strategy (D)'!$C1871,"")</f>
        <v/>
      </c>
      <c r="G1871" s="585" t="str">
        <f ca="1">IF('Reconciliation report'!$E$872&gt;=4,'All Statement of strategy (D)'!$C1871,"")</f>
        <v/>
      </c>
      <c r="H1871" s="585" t="str">
        <f ca="1">IF('Reconciliation report'!$E$872&gt;=4,'All Statement of strategy (D)'!$C1871,"")</f>
        <v/>
      </c>
      <c r="I1871" s="595" t="str">
        <f ca="1">IF($C$1=RefData!$B$418,'All Statement of strategy (D)'!$E1871,IF('All Statement of strategy (D)'!$C$1=RefData!$B$419,'All Statement of strategy (D)'!$F1871,IF('All Statement of strategy (D)'!$C$1=RefData!$B$420,'All Statement of strategy (D)'!$G1871,IF('All Statement of strategy (D)'!$C$1=RefData!$B$421,'All Statement of strategy (D)'!$H1871," "))))</f>
        <v xml:space="preserve"> </v>
      </c>
    </row>
    <row r="1872" spans="1:9">
      <c r="A1872" s="584" t="s">
        <v>2908</v>
      </c>
      <c r="B1872" s="585" t="s">
        <v>2909</v>
      </c>
      <c r="C1872" s="585" t="str">
        <f ca="1">TEXT('Reconciliation report'!$E993,RefData!$B$425)</f>
        <v/>
      </c>
      <c r="E1872" s="585" t="str">
        <f ca="1">IF('Reconciliation report'!$E$872&gt;=4,'All Statement of strategy (D)'!$C1872,"")</f>
        <v/>
      </c>
      <c r="F1872" s="585" t="str">
        <f ca="1">IF('Reconciliation report'!$E$872&gt;=4,'All Statement of strategy (D)'!$C1872,"")</f>
        <v/>
      </c>
      <c r="G1872" s="585" t="str">
        <f ca="1">IF('Reconciliation report'!$E$872&gt;=4,'All Statement of strategy (D)'!$C1872,"")</f>
        <v/>
      </c>
      <c r="H1872" s="585" t="str">
        <f ca="1">IF('Reconciliation report'!$E$872&gt;=4,'All Statement of strategy (D)'!$C1872,"")</f>
        <v/>
      </c>
      <c r="I1872" s="595" t="str">
        <f ca="1">IF($C$1=RefData!$B$418,'All Statement of strategy (D)'!$E1872,IF('All Statement of strategy (D)'!$C$1=RefData!$B$419,'All Statement of strategy (D)'!$F1872,IF('All Statement of strategy (D)'!$C$1=RefData!$B$420,'All Statement of strategy (D)'!$G1872,IF('All Statement of strategy (D)'!$C$1=RefData!$B$421,'All Statement of strategy (D)'!$H1872," "))))</f>
        <v xml:space="preserve"> </v>
      </c>
    </row>
    <row r="1873" spans="1:9">
      <c r="A1873" s="584" t="s">
        <v>2910</v>
      </c>
      <c r="B1873" s="585" t="s">
        <v>2911</v>
      </c>
      <c r="C1873" s="585" t="str">
        <f ca="1">TEXT('Reconciliation report'!$E994,RefData!$B$425)</f>
        <v/>
      </c>
      <c r="E1873" s="585" t="str">
        <f ca="1">IF('Reconciliation report'!$E$872&gt;=4,'All Statement of strategy (D)'!$C1873,"")</f>
        <v/>
      </c>
      <c r="F1873" s="585" t="str">
        <f ca="1">IF('Reconciliation report'!$E$872&gt;=4,'All Statement of strategy (D)'!$C1873,"")</f>
        <v/>
      </c>
      <c r="G1873" s="585" t="str">
        <f ca="1">IF('Reconciliation report'!$E$872&gt;=4,'All Statement of strategy (D)'!$C1873,"")</f>
        <v/>
      </c>
      <c r="H1873" s="585" t="str">
        <f ca="1">IF('Reconciliation report'!$E$872&gt;=4,'All Statement of strategy (D)'!$C1873,"")</f>
        <v/>
      </c>
      <c r="I1873" s="595" t="str">
        <f ca="1">IF($C$1=RefData!$B$418,'All Statement of strategy (D)'!$E1873,IF('All Statement of strategy (D)'!$C$1=RefData!$B$419,'All Statement of strategy (D)'!$F1873,IF('All Statement of strategy (D)'!$C$1=RefData!$B$420,'All Statement of strategy (D)'!$G1873,IF('All Statement of strategy (D)'!$C$1=RefData!$B$421,'All Statement of strategy (D)'!$H1873," "))))</f>
        <v xml:space="preserve"> </v>
      </c>
    </row>
    <row r="1874" spans="1:9">
      <c r="A1874" s="584" t="s">
        <v>2912</v>
      </c>
      <c r="B1874" s="585" t="s">
        <v>2913</v>
      </c>
      <c r="C1874" s="585" t="str">
        <f ca="1">TEXT('Reconciliation report'!$E995,RefData!$B$425)</f>
        <v/>
      </c>
      <c r="E1874" s="585" t="str">
        <f ca="1">IF('Reconciliation report'!$E$872&gt;=4,'All Statement of strategy (D)'!$C1874,"")</f>
        <v/>
      </c>
      <c r="F1874" s="585" t="str">
        <f ca="1">IF('Reconciliation report'!$E$872&gt;=4,'All Statement of strategy (D)'!$C1874,"")</f>
        <v/>
      </c>
      <c r="G1874" s="585" t="str">
        <f ca="1">IF('Reconciliation report'!$E$872&gt;=4,'All Statement of strategy (D)'!$C1874,"")</f>
        <v/>
      </c>
      <c r="H1874" s="585" t="str">
        <f ca="1">IF('Reconciliation report'!$E$872&gt;=4,'All Statement of strategy (D)'!$C1874,"")</f>
        <v/>
      </c>
      <c r="I1874" s="595" t="str">
        <f ca="1">IF($C$1=RefData!$B$418,'All Statement of strategy (D)'!$E1874,IF('All Statement of strategy (D)'!$C$1=RefData!$B$419,'All Statement of strategy (D)'!$F1874,IF('All Statement of strategy (D)'!$C$1=RefData!$B$420,'All Statement of strategy (D)'!$G1874,IF('All Statement of strategy (D)'!$C$1=RefData!$B$421,'All Statement of strategy (D)'!$H1874," "))))</f>
        <v xml:space="preserve"> </v>
      </c>
    </row>
    <row r="1875" spans="1:9">
      <c r="A1875" s="584" t="s">
        <v>2914</v>
      </c>
      <c r="B1875" s="585" t="s">
        <v>2915</v>
      </c>
      <c r="C1875" s="585" t="str">
        <f ca="1">TEXT('Reconciliation report'!$E996,RefData!$B$425)</f>
        <v/>
      </c>
      <c r="E1875" s="585" t="str">
        <f ca="1">IF('Reconciliation report'!$E$872&gt;=4,'All Statement of strategy (D)'!$C1875,"")</f>
        <v/>
      </c>
      <c r="F1875" s="585" t="str">
        <f ca="1">IF('Reconciliation report'!$E$872&gt;=4,'All Statement of strategy (D)'!$C1875,"")</f>
        <v/>
      </c>
      <c r="G1875" s="585" t="str">
        <f ca="1">IF('Reconciliation report'!$E$872&gt;=4,'All Statement of strategy (D)'!$C1875,"")</f>
        <v/>
      </c>
      <c r="H1875" s="585" t="str">
        <f ca="1">IF('Reconciliation report'!$E$872&gt;=4,'All Statement of strategy (D)'!$C1875,"")</f>
        <v/>
      </c>
      <c r="I1875" s="595" t="str">
        <f ca="1">IF($C$1=RefData!$B$418,'All Statement of strategy (D)'!$E1875,IF('All Statement of strategy (D)'!$C$1=RefData!$B$419,'All Statement of strategy (D)'!$F1875,IF('All Statement of strategy (D)'!$C$1=RefData!$B$420,'All Statement of strategy (D)'!$G1875,IF('All Statement of strategy (D)'!$C$1=RefData!$B$421,'All Statement of strategy (D)'!$H1875," "))))</f>
        <v xml:space="preserve"> </v>
      </c>
    </row>
    <row r="1876" spans="1:9">
      <c r="A1876" s="584" t="s">
        <v>2916</v>
      </c>
      <c r="B1876" s="585" t="s">
        <v>2917</v>
      </c>
      <c r="C1876" s="585" t="str">
        <f ca="1">TEXT('Reconciliation report'!$E997,RefData!$B$425)</f>
        <v/>
      </c>
      <c r="E1876" s="585" t="str">
        <f ca="1">IF('Reconciliation report'!$E$872&gt;=4,'All Statement of strategy (D)'!$C1876,"")</f>
        <v/>
      </c>
      <c r="F1876" s="585" t="str">
        <f ca="1">IF('Reconciliation report'!$E$872&gt;=4,'All Statement of strategy (D)'!$C1876,"")</f>
        <v/>
      </c>
      <c r="G1876" s="585" t="str">
        <f ca="1">IF('Reconciliation report'!$E$872&gt;=4,'All Statement of strategy (D)'!$C1876,"")</f>
        <v/>
      </c>
      <c r="H1876" s="585" t="str">
        <f ca="1">IF('Reconciliation report'!$E$872&gt;=4,'All Statement of strategy (D)'!$C1876,"")</f>
        <v/>
      </c>
      <c r="I1876" s="595" t="str">
        <f ca="1">IF($C$1=RefData!$B$418,'All Statement of strategy (D)'!$E1876,IF('All Statement of strategy (D)'!$C$1=RefData!$B$419,'All Statement of strategy (D)'!$F1876,IF('All Statement of strategy (D)'!$C$1=RefData!$B$420,'All Statement of strategy (D)'!$G1876,IF('All Statement of strategy (D)'!$C$1=RefData!$B$421,'All Statement of strategy (D)'!$H1876," "))))</f>
        <v xml:space="preserve"> </v>
      </c>
    </row>
    <row r="1877" spans="1:9">
      <c r="A1877" s="584" t="s">
        <v>2918</v>
      </c>
      <c r="B1877" s="585" t="s">
        <v>2919</v>
      </c>
      <c r="C1877" s="585" t="str">
        <f ca="1">TEXT('Reconciliation report'!$E998,RefData!$B$425)</f>
        <v/>
      </c>
      <c r="E1877" s="585" t="str">
        <f ca="1">IF('Reconciliation report'!$E$872&gt;=4,'All Statement of strategy (D)'!$C1877,"")</f>
        <v/>
      </c>
      <c r="F1877" s="585" t="str">
        <f ca="1">IF('Reconciliation report'!$E$872&gt;=4,'All Statement of strategy (D)'!$C1877,"")</f>
        <v/>
      </c>
      <c r="G1877" s="585" t="str">
        <f ca="1">IF('Reconciliation report'!$E$872&gt;=4,'All Statement of strategy (D)'!$C1877,"")</f>
        <v/>
      </c>
      <c r="H1877" s="585" t="str">
        <f ca="1">IF('Reconciliation report'!$E$872&gt;=4,'All Statement of strategy (D)'!$C1877,"")</f>
        <v/>
      </c>
      <c r="I1877" s="595" t="str">
        <f ca="1">IF($C$1=RefData!$B$418,'All Statement of strategy (D)'!$E1877,IF('All Statement of strategy (D)'!$C$1=RefData!$B$419,'All Statement of strategy (D)'!$F1877,IF('All Statement of strategy (D)'!$C$1=RefData!$B$420,'All Statement of strategy (D)'!$G1877,IF('All Statement of strategy (D)'!$C$1=RefData!$B$421,'All Statement of strategy (D)'!$H1877," "))))</f>
        <v xml:space="preserve"> </v>
      </c>
    </row>
    <row r="1878" spans="1:9">
      <c r="A1878" s="584" t="s">
        <v>2920</v>
      </c>
      <c r="B1878" s="585" t="s">
        <v>2921</v>
      </c>
      <c r="C1878" s="585" t="str">
        <f ca="1">TEXT('Reconciliation report'!$E999,RefData!$B$425)</f>
        <v/>
      </c>
      <c r="E1878" s="585" t="str">
        <f ca="1">IF('Reconciliation report'!$E$872&gt;=4,'All Statement of strategy (D)'!$C1878,"")</f>
        <v/>
      </c>
      <c r="F1878" s="585" t="str">
        <f ca="1">IF('Reconciliation report'!$E$872&gt;=4,'All Statement of strategy (D)'!$C1878,"")</f>
        <v/>
      </c>
      <c r="G1878" s="585" t="str">
        <f ca="1">IF('Reconciliation report'!$E$872&gt;=4,'All Statement of strategy (D)'!$C1878,"")</f>
        <v/>
      </c>
      <c r="H1878" s="585" t="str">
        <f ca="1">IF('Reconciliation report'!$E$872&gt;=4,'All Statement of strategy (D)'!$C1878,"")</f>
        <v/>
      </c>
      <c r="I1878" s="595" t="str">
        <f ca="1">IF($C$1=RefData!$B$418,'All Statement of strategy (D)'!$E1878,IF('All Statement of strategy (D)'!$C$1=RefData!$B$419,'All Statement of strategy (D)'!$F1878,IF('All Statement of strategy (D)'!$C$1=RefData!$B$420,'All Statement of strategy (D)'!$G1878,IF('All Statement of strategy (D)'!$C$1=RefData!$B$421,'All Statement of strategy (D)'!$H1878," "))))</f>
        <v xml:space="preserve"> </v>
      </c>
    </row>
    <row r="1879" spans="1:9">
      <c r="A1879" s="584" t="s">
        <v>2922</v>
      </c>
      <c r="B1879" s="585" t="s">
        <v>2923</v>
      </c>
      <c r="C1879" s="585" t="str">
        <f ca="1">TEXT('Reconciliation report'!$E1000,RefData!$B$425)</f>
        <v/>
      </c>
      <c r="E1879" s="585" t="str">
        <f ca="1">IF('Reconciliation report'!$E$872&gt;=4,'All Statement of strategy (D)'!$C1879,"")</f>
        <v/>
      </c>
      <c r="F1879" s="585" t="str">
        <f ca="1">IF('Reconciliation report'!$E$872&gt;=4,'All Statement of strategy (D)'!$C1879,"")</f>
        <v/>
      </c>
      <c r="G1879" s="585" t="str">
        <f ca="1">IF('Reconciliation report'!$E$872&gt;=4,'All Statement of strategy (D)'!$C1879,"")</f>
        <v/>
      </c>
      <c r="H1879" s="585" t="str">
        <f ca="1">IF('Reconciliation report'!$E$872&gt;=4,'All Statement of strategy (D)'!$C1879,"")</f>
        <v/>
      </c>
      <c r="I1879" s="595" t="str">
        <f ca="1">IF($C$1=RefData!$B$418,'All Statement of strategy (D)'!$E1879,IF('All Statement of strategy (D)'!$C$1=RefData!$B$419,'All Statement of strategy (D)'!$F1879,IF('All Statement of strategy (D)'!$C$1=RefData!$B$420,'All Statement of strategy (D)'!$G1879,IF('All Statement of strategy (D)'!$C$1=RefData!$B$421,'All Statement of strategy (D)'!$H1879," "))))</f>
        <v xml:space="preserve"> </v>
      </c>
    </row>
    <row r="1880" spans="1:9">
      <c r="A1880" s="584" t="s">
        <v>2924</v>
      </c>
      <c r="B1880" s="585" t="s">
        <v>2925</v>
      </c>
      <c r="C1880" s="585" t="str">
        <f ca="1">TEXT('Reconciliation report'!$E1001,RefData!$B$425)</f>
        <v/>
      </c>
      <c r="E1880" s="585" t="str">
        <f ca="1">IF('Reconciliation report'!$E$872&gt;=4,'All Statement of strategy (D)'!$C1880,"")</f>
        <v/>
      </c>
      <c r="F1880" s="585" t="str">
        <f ca="1">IF('Reconciliation report'!$E$872&gt;=4,'All Statement of strategy (D)'!$C1880,"")</f>
        <v/>
      </c>
      <c r="G1880" s="585" t="str">
        <f ca="1">IF('Reconciliation report'!$E$872&gt;=4,'All Statement of strategy (D)'!$C1880,"")</f>
        <v/>
      </c>
      <c r="H1880" s="585" t="str">
        <f ca="1">IF('Reconciliation report'!$E$872&gt;=4,'All Statement of strategy (D)'!$C1880,"")</f>
        <v/>
      </c>
      <c r="I1880" s="595" t="str">
        <f ca="1">IF($C$1=RefData!$B$418,'All Statement of strategy (D)'!$E1880,IF('All Statement of strategy (D)'!$C$1=RefData!$B$419,'All Statement of strategy (D)'!$F1880,IF('All Statement of strategy (D)'!$C$1=RefData!$B$420,'All Statement of strategy (D)'!$G1880,IF('All Statement of strategy (D)'!$C$1=RefData!$B$421,'All Statement of strategy (D)'!$H1880," "))))</f>
        <v xml:space="preserve"> </v>
      </c>
    </row>
    <row r="1881" spans="1:9">
      <c r="A1881" s="584" t="s">
        <v>2926</v>
      </c>
      <c r="B1881" s="585" t="s">
        <v>2927</v>
      </c>
      <c r="C1881" s="585" t="str">
        <f ca="1">TEXT('Reconciliation report'!$E1002,RefData!$B$425)</f>
        <v/>
      </c>
      <c r="E1881" s="585" t="str">
        <f ca="1">IF('Reconciliation report'!$E$872&gt;=4,'All Statement of strategy (D)'!$C1881,"")</f>
        <v/>
      </c>
      <c r="F1881" s="585" t="str">
        <f ca="1">IF('Reconciliation report'!$E$872&gt;=4,'All Statement of strategy (D)'!$C1881,"")</f>
        <v/>
      </c>
      <c r="G1881" s="585" t="str">
        <f ca="1">IF('Reconciliation report'!$E$872&gt;=4,'All Statement of strategy (D)'!$C1881,"")</f>
        <v/>
      </c>
      <c r="H1881" s="585" t="str">
        <f ca="1">IF('Reconciliation report'!$E$872&gt;=4,'All Statement of strategy (D)'!$C1881,"")</f>
        <v/>
      </c>
      <c r="I1881" s="595" t="str">
        <f ca="1">IF($C$1=RefData!$B$418,'All Statement of strategy (D)'!$E1881,IF('All Statement of strategy (D)'!$C$1=RefData!$B$419,'All Statement of strategy (D)'!$F1881,IF('All Statement of strategy (D)'!$C$1=RefData!$B$420,'All Statement of strategy (D)'!$G1881,IF('All Statement of strategy (D)'!$C$1=RefData!$B$421,'All Statement of strategy (D)'!$H1881," "))))</f>
        <v xml:space="preserve"> </v>
      </c>
    </row>
    <row r="1882" spans="1:9">
      <c r="A1882" s="584" t="s">
        <v>2928</v>
      </c>
      <c r="B1882" s="585" t="s">
        <v>2929</v>
      </c>
      <c r="C1882" s="585" t="str">
        <f ca="1">TEXT('Reconciliation report'!$E1003,RefData!$B$425)</f>
        <v/>
      </c>
      <c r="E1882" s="585" t="str">
        <f ca="1">IF('Reconciliation report'!$E$872&gt;=4,'All Statement of strategy (D)'!$C1882,"")</f>
        <v/>
      </c>
      <c r="F1882" s="585" t="str">
        <f ca="1">IF('Reconciliation report'!$E$872&gt;=4,'All Statement of strategy (D)'!$C1882,"")</f>
        <v/>
      </c>
      <c r="G1882" s="585" t="str">
        <f ca="1">IF('Reconciliation report'!$E$872&gt;=4,'All Statement of strategy (D)'!$C1882,"")</f>
        <v/>
      </c>
      <c r="H1882" s="585" t="str">
        <f ca="1">IF('Reconciliation report'!$E$872&gt;=4,'All Statement of strategy (D)'!$C1882,"")</f>
        <v/>
      </c>
      <c r="I1882" s="595" t="str">
        <f ca="1">IF($C$1=RefData!$B$418,'All Statement of strategy (D)'!$E1882,IF('All Statement of strategy (D)'!$C$1=RefData!$B$419,'All Statement of strategy (D)'!$F1882,IF('All Statement of strategy (D)'!$C$1=RefData!$B$420,'All Statement of strategy (D)'!$G1882,IF('All Statement of strategy (D)'!$C$1=RefData!$B$421,'All Statement of strategy (D)'!$H1882," "))))</f>
        <v xml:space="preserve"> </v>
      </c>
    </row>
    <row r="1883" spans="1:9">
      <c r="A1883" s="584" t="s">
        <v>2930</v>
      </c>
      <c r="B1883" s="585" t="s">
        <v>2931</v>
      </c>
      <c r="C1883" s="585" t="str">
        <f ca="1">TEXT('Reconciliation report'!$E1004,RefData!$B$425)</f>
        <v/>
      </c>
      <c r="E1883" s="585" t="str">
        <f ca="1">IF('Reconciliation report'!$E$872&gt;=4,'All Statement of strategy (D)'!$C1883,"")</f>
        <v/>
      </c>
      <c r="F1883" s="585" t="str">
        <f ca="1">IF('Reconciliation report'!$E$872&gt;=4,'All Statement of strategy (D)'!$C1883,"")</f>
        <v/>
      </c>
      <c r="G1883" s="585" t="str">
        <f ca="1">IF('Reconciliation report'!$E$872&gt;=4,'All Statement of strategy (D)'!$C1883,"")</f>
        <v/>
      </c>
      <c r="H1883" s="585" t="str">
        <f ca="1">IF('Reconciliation report'!$E$872&gt;=4,'All Statement of strategy (D)'!$C1883,"")</f>
        <v/>
      </c>
      <c r="I1883" s="595" t="str">
        <f ca="1">IF($C$1=RefData!$B$418,'All Statement of strategy (D)'!$E1883,IF('All Statement of strategy (D)'!$C$1=RefData!$B$419,'All Statement of strategy (D)'!$F1883,IF('All Statement of strategy (D)'!$C$1=RefData!$B$420,'All Statement of strategy (D)'!$G1883,IF('All Statement of strategy (D)'!$C$1=RefData!$B$421,'All Statement of strategy (D)'!$H1883," "))))</f>
        <v xml:space="preserve"> </v>
      </c>
    </row>
    <row r="1884" spans="1:9">
      <c r="A1884" s="584" t="s">
        <v>2932</v>
      </c>
      <c r="B1884" s="585" t="s">
        <v>2933</v>
      </c>
      <c r="C1884" s="585" t="str">
        <f ca="1">TEXT('Reconciliation report'!$E1005,RefData!$B$425)</f>
        <v/>
      </c>
      <c r="E1884" s="585" t="str">
        <f ca="1">IF('Reconciliation report'!$E$872&gt;=4,'All Statement of strategy (D)'!$C1884,"")</f>
        <v/>
      </c>
      <c r="F1884" s="585" t="str">
        <f ca="1">IF('Reconciliation report'!$E$872&gt;=4,'All Statement of strategy (D)'!$C1884,"")</f>
        <v/>
      </c>
      <c r="G1884" s="585" t="str">
        <f ca="1">IF('Reconciliation report'!$E$872&gt;=4,'All Statement of strategy (D)'!$C1884,"")</f>
        <v/>
      </c>
      <c r="H1884" s="585" t="str">
        <f ca="1">IF('Reconciliation report'!$E$872&gt;=4,'All Statement of strategy (D)'!$C1884,"")</f>
        <v/>
      </c>
      <c r="I1884" s="595" t="str">
        <f ca="1">IF($C$1=RefData!$B$418,'All Statement of strategy (D)'!$E1884,IF('All Statement of strategy (D)'!$C$1=RefData!$B$419,'All Statement of strategy (D)'!$F1884,IF('All Statement of strategy (D)'!$C$1=RefData!$B$420,'All Statement of strategy (D)'!$G1884,IF('All Statement of strategy (D)'!$C$1=RefData!$B$421,'All Statement of strategy (D)'!$H1884," "))))</f>
        <v xml:space="preserve"> </v>
      </c>
    </row>
    <row r="1885" spans="1:9">
      <c r="A1885" s="584" t="s">
        <v>2934</v>
      </c>
      <c r="B1885" s="585" t="s">
        <v>2935</v>
      </c>
      <c r="C1885" s="585" t="str">
        <f ca="1">TEXT('Reconciliation report'!$E1006,RefData!$B$425)</f>
        <v/>
      </c>
      <c r="E1885" s="585" t="str">
        <f ca="1">IF('Reconciliation report'!$E$872&gt;=4,'All Statement of strategy (D)'!$C1885,"")</f>
        <v/>
      </c>
      <c r="F1885" s="585" t="str">
        <f ca="1">IF('Reconciliation report'!$E$872&gt;=4,'All Statement of strategy (D)'!$C1885,"")</f>
        <v/>
      </c>
      <c r="G1885" s="585" t="str">
        <f ca="1">IF('Reconciliation report'!$E$872&gt;=4,'All Statement of strategy (D)'!$C1885,"")</f>
        <v/>
      </c>
      <c r="H1885" s="585" t="str">
        <f ca="1">IF('Reconciliation report'!$E$872&gt;=4,'All Statement of strategy (D)'!$C1885,"")</f>
        <v/>
      </c>
      <c r="I1885" s="595" t="str">
        <f ca="1">IF($C$1=RefData!$B$418,'All Statement of strategy (D)'!$E1885,IF('All Statement of strategy (D)'!$C$1=RefData!$B$419,'All Statement of strategy (D)'!$F1885,IF('All Statement of strategy (D)'!$C$1=RefData!$B$420,'All Statement of strategy (D)'!$G1885,IF('All Statement of strategy (D)'!$C$1=RefData!$B$421,'All Statement of strategy (D)'!$H1885," "))))</f>
        <v xml:space="preserve"> </v>
      </c>
    </row>
    <row r="1886" spans="1:9">
      <c r="A1886" s="584" t="s">
        <v>2936</v>
      </c>
      <c r="B1886" s="585" t="s">
        <v>2937</v>
      </c>
      <c r="C1886" s="585" t="str">
        <f ca="1">TEXT('Reconciliation report'!$E1007,RefData!$B$425)</f>
        <v/>
      </c>
      <c r="E1886" s="585" t="str">
        <f ca="1">IF('Reconciliation report'!$E$872&gt;=4,'All Statement of strategy (D)'!$C1886,"")</f>
        <v/>
      </c>
      <c r="F1886" s="585" t="str">
        <f ca="1">IF('Reconciliation report'!$E$872&gt;=4,'All Statement of strategy (D)'!$C1886,"")</f>
        <v/>
      </c>
      <c r="G1886" s="585" t="str">
        <f ca="1">IF('Reconciliation report'!$E$872&gt;=4,'All Statement of strategy (D)'!$C1886,"")</f>
        <v/>
      </c>
      <c r="H1886" s="585" t="str">
        <f ca="1">IF('Reconciliation report'!$E$872&gt;=4,'All Statement of strategy (D)'!$C1886,"")</f>
        <v/>
      </c>
      <c r="I1886" s="595" t="str">
        <f ca="1">IF($C$1=RefData!$B$418,'All Statement of strategy (D)'!$E1886,IF('All Statement of strategy (D)'!$C$1=RefData!$B$419,'All Statement of strategy (D)'!$F1886,IF('All Statement of strategy (D)'!$C$1=RefData!$B$420,'All Statement of strategy (D)'!$G1886,IF('All Statement of strategy (D)'!$C$1=RefData!$B$421,'All Statement of strategy (D)'!$H1886," "))))</f>
        <v xml:space="preserve"> </v>
      </c>
    </row>
    <row r="1887" spans="1:9">
      <c r="A1887" s="584" t="s">
        <v>2938</v>
      </c>
      <c r="B1887" s="585" t="s">
        <v>2939</v>
      </c>
      <c r="C1887" s="585" t="str">
        <f ca="1">TEXT('Reconciliation report'!$E1008,RefData!$B$425)</f>
        <v/>
      </c>
      <c r="E1887" s="585" t="str">
        <f ca="1">IF('Reconciliation report'!$E$872&gt;=5,'All Statement of strategy (D)'!$C1887,"")</f>
        <v/>
      </c>
      <c r="F1887" s="585" t="str">
        <f ca="1">IF('Reconciliation report'!$E$872&gt;=5,'All Statement of strategy (D)'!$C1887,"")</f>
        <v/>
      </c>
      <c r="G1887" s="585" t="str">
        <f ca="1">IF('Reconciliation report'!$E$872&gt;=5,'All Statement of strategy (D)'!$C1887,"")</f>
        <v/>
      </c>
      <c r="H1887" s="585" t="str">
        <f ca="1">IF('Reconciliation report'!$E$872&gt;=5,'All Statement of strategy (D)'!$C1887,"")</f>
        <v/>
      </c>
      <c r="I1887" s="595" t="str">
        <f ca="1">IF($C$1=RefData!$B$418,'All Statement of strategy (D)'!$E1887,IF('All Statement of strategy (D)'!$C$1=RefData!$B$419,'All Statement of strategy (D)'!$F1887,IF('All Statement of strategy (D)'!$C$1=RefData!$B$420,'All Statement of strategy (D)'!$G1887,IF('All Statement of strategy (D)'!$C$1=RefData!$B$421,'All Statement of strategy (D)'!$H1887," "))))</f>
        <v xml:space="preserve"> </v>
      </c>
    </row>
    <row r="1888" spans="1:9">
      <c r="A1888" s="584" t="s">
        <v>2940</v>
      </c>
      <c r="B1888" s="585" t="s">
        <v>2941</v>
      </c>
      <c r="C1888" s="585" t="str">
        <f ca="1">TEXT('Reconciliation report'!$E1009,RefData!$B$425)</f>
        <v/>
      </c>
      <c r="E1888" s="585" t="str">
        <f ca="1">IF('Reconciliation report'!$E$872&gt;=5,'All Statement of strategy (D)'!$C1888,"")</f>
        <v/>
      </c>
      <c r="F1888" s="585" t="str">
        <f ca="1">IF('Reconciliation report'!$E$872&gt;=5,'All Statement of strategy (D)'!$C1888,"")</f>
        <v/>
      </c>
      <c r="G1888" s="585" t="str">
        <f ca="1">IF('Reconciliation report'!$E$872&gt;=5,'All Statement of strategy (D)'!$C1888,"")</f>
        <v/>
      </c>
      <c r="H1888" s="585" t="str">
        <f ca="1">IF('Reconciliation report'!$E$872&gt;=5,'All Statement of strategy (D)'!$C1888,"")</f>
        <v/>
      </c>
      <c r="I1888" s="595" t="str">
        <f ca="1">IF($C$1=RefData!$B$418,'All Statement of strategy (D)'!$E1888,IF('All Statement of strategy (D)'!$C$1=RefData!$B$419,'All Statement of strategy (D)'!$F1888,IF('All Statement of strategy (D)'!$C$1=RefData!$B$420,'All Statement of strategy (D)'!$G1888,IF('All Statement of strategy (D)'!$C$1=RefData!$B$421,'All Statement of strategy (D)'!$H1888," "))))</f>
        <v xml:space="preserve"> </v>
      </c>
    </row>
    <row r="1889" spans="1:9">
      <c r="A1889" s="584" t="s">
        <v>2942</v>
      </c>
      <c r="B1889" s="585" t="s">
        <v>2943</v>
      </c>
      <c r="C1889" s="585" t="str">
        <f ca="1">TEXT('Reconciliation report'!$E1010,RefData!$B$425)</f>
        <v/>
      </c>
      <c r="E1889" s="585" t="str">
        <f ca="1">IF('Reconciliation report'!$E$872&gt;=5,'All Statement of strategy (D)'!$C1889,"")</f>
        <v/>
      </c>
      <c r="F1889" s="585" t="str">
        <f ca="1">IF('Reconciliation report'!$E$872&gt;=5,'All Statement of strategy (D)'!$C1889,"")</f>
        <v/>
      </c>
      <c r="G1889" s="585" t="str">
        <f ca="1">IF('Reconciliation report'!$E$872&gt;=5,'All Statement of strategy (D)'!$C1889,"")</f>
        <v/>
      </c>
      <c r="H1889" s="585" t="str">
        <f ca="1">IF('Reconciliation report'!$E$872&gt;=5,'All Statement of strategy (D)'!$C1889,"")</f>
        <v/>
      </c>
      <c r="I1889" s="595" t="str">
        <f ca="1">IF($C$1=RefData!$B$418,'All Statement of strategy (D)'!$E1889,IF('All Statement of strategy (D)'!$C$1=RefData!$B$419,'All Statement of strategy (D)'!$F1889,IF('All Statement of strategy (D)'!$C$1=RefData!$B$420,'All Statement of strategy (D)'!$G1889,IF('All Statement of strategy (D)'!$C$1=RefData!$B$421,'All Statement of strategy (D)'!$H1889," "))))</f>
        <v xml:space="preserve"> </v>
      </c>
    </row>
    <row r="1890" spans="1:9">
      <c r="A1890" s="584" t="s">
        <v>2944</v>
      </c>
      <c r="B1890" s="585" t="s">
        <v>2945</v>
      </c>
      <c r="C1890" s="585" t="str">
        <f ca="1">TEXT('Reconciliation report'!$E1011,RefData!$B$425)</f>
        <v/>
      </c>
      <c r="E1890" s="585" t="str">
        <f ca="1">IF('Reconciliation report'!$E$872&gt;=5,'All Statement of strategy (D)'!$C1890,"")</f>
        <v/>
      </c>
      <c r="F1890" s="585" t="str">
        <f ca="1">IF('Reconciliation report'!$E$872&gt;=5,'All Statement of strategy (D)'!$C1890,"")</f>
        <v/>
      </c>
      <c r="G1890" s="585" t="str">
        <f ca="1">IF('Reconciliation report'!$E$872&gt;=5,'All Statement of strategy (D)'!$C1890,"")</f>
        <v/>
      </c>
      <c r="H1890" s="585" t="str">
        <f ca="1">IF('Reconciliation report'!$E$872&gt;=5,'All Statement of strategy (D)'!$C1890,"")</f>
        <v/>
      </c>
      <c r="I1890" s="595" t="str">
        <f ca="1">IF($C$1=RefData!$B$418,'All Statement of strategy (D)'!$E1890,IF('All Statement of strategy (D)'!$C$1=RefData!$B$419,'All Statement of strategy (D)'!$F1890,IF('All Statement of strategy (D)'!$C$1=RefData!$B$420,'All Statement of strategy (D)'!$G1890,IF('All Statement of strategy (D)'!$C$1=RefData!$B$421,'All Statement of strategy (D)'!$H1890," "))))</f>
        <v xml:space="preserve"> </v>
      </c>
    </row>
    <row r="1891" spans="1:9">
      <c r="A1891" s="584" t="s">
        <v>2946</v>
      </c>
      <c r="B1891" s="585" t="s">
        <v>2947</v>
      </c>
      <c r="C1891" s="585" t="str">
        <f ca="1">TEXT('Reconciliation report'!$E1012,RefData!$B$425)</f>
        <v/>
      </c>
      <c r="E1891" s="585" t="str">
        <f ca="1">IF('Reconciliation report'!$E$872&gt;=5,'All Statement of strategy (D)'!$C1891,"")</f>
        <v/>
      </c>
      <c r="F1891" s="585" t="str">
        <f ca="1">IF('Reconciliation report'!$E$872&gt;=5,'All Statement of strategy (D)'!$C1891,"")</f>
        <v/>
      </c>
      <c r="G1891" s="585" t="str">
        <f ca="1">IF('Reconciliation report'!$E$872&gt;=5,'All Statement of strategy (D)'!$C1891,"")</f>
        <v/>
      </c>
      <c r="H1891" s="585" t="str">
        <f ca="1">IF('Reconciliation report'!$E$872&gt;=5,'All Statement of strategy (D)'!$C1891,"")</f>
        <v/>
      </c>
      <c r="I1891" s="595" t="str">
        <f ca="1">IF($C$1=RefData!$B$418,'All Statement of strategy (D)'!$E1891,IF('All Statement of strategy (D)'!$C$1=RefData!$B$419,'All Statement of strategy (D)'!$F1891,IF('All Statement of strategy (D)'!$C$1=RefData!$B$420,'All Statement of strategy (D)'!$G1891,IF('All Statement of strategy (D)'!$C$1=RefData!$B$421,'All Statement of strategy (D)'!$H1891," "))))</f>
        <v xml:space="preserve"> </v>
      </c>
    </row>
    <row r="1892" spans="1:9">
      <c r="A1892" s="584" t="s">
        <v>2948</v>
      </c>
      <c r="B1892" s="585" t="s">
        <v>2949</v>
      </c>
      <c r="C1892" s="585" t="str">
        <f ca="1">TEXT('Reconciliation report'!$E1013,RefData!$B$425)</f>
        <v/>
      </c>
      <c r="E1892" s="585" t="str">
        <f ca="1">IF('Reconciliation report'!$E$872&gt;=5,'All Statement of strategy (D)'!$C1892,"")</f>
        <v/>
      </c>
      <c r="F1892" s="585" t="str">
        <f ca="1">IF('Reconciliation report'!$E$872&gt;=5,'All Statement of strategy (D)'!$C1892,"")</f>
        <v/>
      </c>
      <c r="G1892" s="585" t="str">
        <f ca="1">IF('Reconciliation report'!$E$872&gt;=5,'All Statement of strategy (D)'!$C1892,"")</f>
        <v/>
      </c>
      <c r="H1892" s="585" t="str">
        <f ca="1">IF('Reconciliation report'!$E$872&gt;=5,'All Statement of strategy (D)'!$C1892,"")</f>
        <v/>
      </c>
      <c r="I1892" s="595" t="str">
        <f ca="1">IF($C$1=RefData!$B$418,'All Statement of strategy (D)'!$E1892,IF('All Statement of strategy (D)'!$C$1=RefData!$B$419,'All Statement of strategy (D)'!$F1892,IF('All Statement of strategy (D)'!$C$1=RefData!$B$420,'All Statement of strategy (D)'!$G1892,IF('All Statement of strategy (D)'!$C$1=RefData!$B$421,'All Statement of strategy (D)'!$H1892," "))))</f>
        <v xml:space="preserve"> </v>
      </c>
    </row>
    <row r="1893" spans="1:9">
      <c r="A1893" s="584" t="s">
        <v>2950</v>
      </c>
      <c r="B1893" s="585" t="s">
        <v>2951</v>
      </c>
      <c r="C1893" s="585" t="str">
        <f ca="1">TEXT('Reconciliation report'!$E1014,RefData!$B$425)</f>
        <v/>
      </c>
      <c r="E1893" s="585" t="str">
        <f ca="1">IF('Reconciliation report'!$E$872&gt;=5,'All Statement of strategy (D)'!$C1893,"")</f>
        <v/>
      </c>
      <c r="F1893" s="585" t="str">
        <f ca="1">IF('Reconciliation report'!$E$872&gt;=5,'All Statement of strategy (D)'!$C1893,"")</f>
        <v/>
      </c>
      <c r="G1893" s="585" t="str">
        <f ca="1">IF('Reconciliation report'!$E$872&gt;=5,'All Statement of strategy (D)'!$C1893,"")</f>
        <v/>
      </c>
      <c r="H1893" s="585" t="str">
        <f ca="1">IF('Reconciliation report'!$E$872&gt;=5,'All Statement of strategy (D)'!$C1893,"")</f>
        <v/>
      </c>
      <c r="I1893" s="595" t="str">
        <f ca="1">IF($C$1=RefData!$B$418,'All Statement of strategy (D)'!$E1893,IF('All Statement of strategy (D)'!$C$1=RefData!$B$419,'All Statement of strategy (D)'!$F1893,IF('All Statement of strategy (D)'!$C$1=RefData!$B$420,'All Statement of strategy (D)'!$G1893,IF('All Statement of strategy (D)'!$C$1=RefData!$B$421,'All Statement of strategy (D)'!$H1893," "))))</f>
        <v xml:space="preserve"> </v>
      </c>
    </row>
    <row r="1894" spans="1:9">
      <c r="A1894" s="584" t="s">
        <v>2952</v>
      </c>
      <c r="B1894" s="585" t="s">
        <v>2953</v>
      </c>
      <c r="C1894" s="585" t="str">
        <f ca="1">TEXT('Reconciliation report'!$E1015,RefData!$B$425)</f>
        <v/>
      </c>
      <c r="E1894" s="585" t="str">
        <f ca="1">IF('Reconciliation report'!$E$872&gt;=5,'All Statement of strategy (D)'!$C1894,"")</f>
        <v/>
      </c>
      <c r="F1894" s="585" t="str">
        <f ca="1">IF('Reconciliation report'!$E$872&gt;=5,'All Statement of strategy (D)'!$C1894,"")</f>
        <v/>
      </c>
      <c r="G1894" s="585" t="str">
        <f ca="1">IF('Reconciliation report'!$E$872&gt;=5,'All Statement of strategy (D)'!$C1894,"")</f>
        <v/>
      </c>
      <c r="H1894" s="585" t="str">
        <f ca="1">IF('Reconciliation report'!$E$872&gt;=5,'All Statement of strategy (D)'!$C1894,"")</f>
        <v/>
      </c>
      <c r="I1894" s="595" t="str">
        <f ca="1">IF($C$1=RefData!$B$418,'All Statement of strategy (D)'!$E1894,IF('All Statement of strategy (D)'!$C$1=RefData!$B$419,'All Statement of strategy (D)'!$F1894,IF('All Statement of strategy (D)'!$C$1=RefData!$B$420,'All Statement of strategy (D)'!$G1894,IF('All Statement of strategy (D)'!$C$1=RefData!$B$421,'All Statement of strategy (D)'!$H1894," "))))</f>
        <v xml:space="preserve"> </v>
      </c>
    </row>
    <row r="1895" spans="1:9">
      <c r="A1895" s="584" t="s">
        <v>2954</v>
      </c>
      <c r="B1895" s="585" t="s">
        <v>2955</v>
      </c>
      <c r="C1895" s="585" t="str">
        <f ca="1">TEXT('Reconciliation report'!$E1016,RefData!$B$425)</f>
        <v/>
      </c>
      <c r="E1895" s="585" t="str">
        <f ca="1">IF('Reconciliation report'!$E$872&gt;=5,'All Statement of strategy (D)'!$C1895,"")</f>
        <v/>
      </c>
      <c r="F1895" s="585" t="str">
        <f ca="1">IF('Reconciliation report'!$E$872&gt;=5,'All Statement of strategy (D)'!$C1895,"")</f>
        <v/>
      </c>
      <c r="G1895" s="585" t="str">
        <f ca="1">IF('Reconciliation report'!$E$872&gt;=5,'All Statement of strategy (D)'!$C1895,"")</f>
        <v/>
      </c>
      <c r="H1895" s="585" t="str">
        <f ca="1">IF('Reconciliation report'!$E$872&gt;=5,'All Statement of strategy (D)'!$C1895,"")</f>
        <v/>
      </c>
      <c r="I1895" s="595" t="str">
        <f ca="1">IF($C$1=RefData!$B$418,'All Statement of strategy (D)'!$E1895,IF('All Statement of strategy (D)'!$C$1=RefData!$B$419,'All Statement of strategy (D)'!$F1895,IF('All Statement of strategy (D)'!$C$1=RefData!$B$420,'All Statement of strategy (D)'!$G1895,IF('All Statement of strategy (D)'!$C$1=RefData!$B$421,'All Statement of strategy (D)'!$H1895," "))))</f>
        <v xml:space="preserve"> </v>
      </c>
    </row>
    <row r="1896" spans="1:9">
      <c r="A1896" s="584" t="s">
        <v>2956</v>
      </c>
      <c r="B1896" s="585" t="s">
        <v>2957</v>
      </c>
      <c r="C1896" s="585" t="str">
        <f ca="1">TEXT('Reconciliation report'!$E1017,RefData!$B$425)</f>
        <v/>
      </c>
      <c r="E1896" s="585" t="str">
        <f ca="1">IF('Reconciliation report'!$E$872&gt;=5,'All Statement of strategy (D)'!$C1896,"")</f>
        <v/>
      </c>
      <c r="F1896" s="585" t="str">
        <f ca="1">IF('Reconciliation report'!$E$872&gt;=5,'All Statement of strategy (D)'!$C1896,"")</f>
        <v/>
      </c>
      <c r="G1896" s="585" t="str">
        <f ca="1">IF('Reconciliation report'!$E$872&gt;=5,'All Statement of strategy (D)'!$C1896,"")</f>
        <v/>
      </c>
      <c r="H1896" s="585" t="str">
        <f ca="1">IF('Reconciliation report'!$E$872&gt;=5,'All Statement of strategy (D)'!$C1896,"")</f>
        <v/>
      </c>
      <c r="I1896" s="595" t="str">
        <f ca="1">IF($C$1=RefData!$B$418,'All Statement of strategy (D)'!$E1896,IF('All Statement of strategy (D)'!$C$1=RefData!$B$419,'All Statement of strategy (D)'!$F1896,IF('All Statement of strategy (D)'!$C$1=RefData!$B$420,'All Statement of strategy (D)'!$G1896,IF('All Statement of strategy (D)'!$C$1=RefData!$B$421,'All Statement of strategy (D)'!$H1896," "))))</f>
        <v xml:space="preserve"> </v>
      </c>
    </row>
    <row r="1897" spans="1:9">
      <c r="A1897" s="584" t="s">
        <v>2958</v>
      </c>
      <c r="B1897" s="585" t="s">
        <v>2959</v>
      </c>
      <c r="C1897" s="585" t="str">
        <f ca="1">TEXT('Reconciliation report'!$E1018,RefData!$B$425)</f>
        <v/>
      </c>
      <c r="E1897" s="585" t="str">
        <f ca="1">IF('Reconciliation report'!$E$872&gt;=5,'All Statement of strategy (D)'!$C1897,"")</f>
        <v/>
      </c>
      <c r="F1897" s="585" t="str">
        <f ca="1">IF('Reconciliation report'!$E$872&gt;=5,'All Statement of strategy (D)'!$C1897,"")</f>
        <v/>
      </c>
      <c r="G1897" s="585" t="str">
        <f ca="1">IF('Reconciliation report'!$E$872&gt;=5,'All Statement of strategy (D)'!$C1897,"")</f>
        <v/>
      </c>
      <c r="H1897" s="585" t="str">
        <f ca="1">IF('Reconciliation report'!$E$872&gt;=5,'All Statement of strategy (D)'!$C1897,"")</f>
        <v/>
      </c>
      <c r="I1897" s="595" t="str">
        <f ca="1">IF($C$1=RefData!$B$418,'All Statement of strategy (D)'!$E1897,IF('All Statement of strategy (D)'!$C$1=RefData!$B$419,'All Statement of strategy (D)'!$F1897,IF('All Statement of strategy (D)'!$C$1=RefData!$B$420,'All Statement of strategy (D)'!$G1897,IF('All Statement of strategy (D)'!$C$1=RefData!$B$421,'All Statement of strategy (D)'!$H1897," "))))</f>
        <v xml:space="preserve"> </v>
      </c>
    </row>
    <row r="1898" spans="1:9">
      <c r="A1898" s="584" t="s">
        <v>2960</v>
      </c>
      <c r="B1898" s="585" t="s">
        <v>2961</v>
      </c>
      <c r="C1898" s="585" t="str">
        <f ca="1">TEXT('Reconciliation report'!$E1019,RefData!$B$425)</f>
        <v/>
      </c>
      <c r="E1898" s="585" t="str">
        <f ca="1">IF('Reconciliation report'!$E$872&gt;=5,'All Statement of strategy (D)'!$C1898,"")</f>
        <v/>
      </c>
      <c r="F1898" s="585" t="str">
        <f ca="1">IF('Reconciliation report'!$E$872&gt;=5,'All Statement of strategy (D)'!$C1898,"")</f>
        <v/>
      </c>
      <c r="G1898" s="585" t="str">
        <f ca="1">IF('Reconciliation report'!$E$872&gt;=5,'All Statement of strategy (D)'!$C1898,"")</f>
        <v/>
      </c>
      <c r="H1898" s="585" t="str">
        <f ca="1">IF('Reconciliation report'!$E$872&gt;=5,'All Statement of strategy (D)'!$C1898,"")</f>
        <v/>
      </c>
      <c r="I1898" s="595" t="str">
        <f ca="1">IF($C$1=RefData!$B$418,'All Statement of strategy (D)'!$E1898,IF('All Statement of strategy (D)'!$C$1=RefData!$B$419,'All Statement of strategy (D)'!$F1898,IF('All Statement of strategy (D)'!$C$1=RefData!$B$420,'All Statement of strategy (D)'!$G1898,IF('All Statement of strategy (D)'!$C$1=RefData!$B$421,'All Statement of strategy (D)'!$H1898," "))))</f>
        <v xml:space="preserve"> </v>
      </c>
    </row>
    <row r="1899" spans="1:9">
      <c r="A1899" s="584" t="s">
        <v>2962</v>
      </c>
      <c r="B1899" s="585" t="s">
        <v>2963</v>
      </c>
      <c r="C1899" s="585" t="str">
        <f ca="1">TEXT('Reconciliation report'!$E1020,RefData!$B$425)</f>
        <v/>
      </c>
      <c r="E1899" s="585" t="str">
        <f ca="1">IF('Reconciliation report'!$E$872&gt;=5,'All Statement of strategy (D)'!$C1899,"")</f>
        <v/>
      </c>
      <c r="F1899" s="585" t="str">
        <f ca="1">IF('Reconciliation report'!$E$872&gt;=5,'All Statement of strategy (D)'!$C1899,"")</f>
        <v/>
      </c>
      <c r="G1899" s="585" t="str">
        <f ca="1">IF('Reconciliation report'!$E$872&gt;=5,'All Statement of strategy (D)'!$C1899,"")</f>
        <v/>
      </c>
      <c r="H1899" s="585" t="str">
        <f ca="1">IF('Reconciliation report'!$E$872&gt;=5,'All Statement of strategy (D)'!$C1899,"")</f>
        <v/>
      </c>
      <c r="I1899" s="595" t="str">
        <f ca="1">IF($C$1=RefData!$B$418,'All Statement of strategy (D)'!$E1899,IF('All Statement of strategy (D)'!$C$1=RefData!$B$419,'All Statement of strategy (D)'!$F1899,IF('All Statement of strategy (D)'!$C$1=RefData!$B$420,'All Statement of strategy (D)'!$G1899,IF('All Statement of strategy (D)'!$C$1=RefData!$B$421,'All Statement of strategy (D)'!$H1899," "))))</f>
        <v xml:space="preserve"> </v>
      </c>
    </row>
    <row r="1900" spans="1:9">
      <c r="A1900" s="584" t="s">
        <v>2964</v>
      </c>
      <c r="B1900" s="585" t="s">
        <v>2965</v>
      </c>
      <c r="C1900" s="585" t="str">
        <f ca="1">TEXT('Reconciliation report'!$E1021,RefData!$B$425)</f>
        <v/>
      </c>
      <c r="E1900" s="585" t="str">
        <f ca="1">IF('Reconciliation report'!$E$872&gt;=5,'All Statement of strategy (D)'!$C1900,"")</f>
        <v/>
      </c>
      <c r="F1900" s="585" t="str">
        <f ca="1">IF('Reconciliation report'!$E$872&gt;=5,'All Statement of strategy (D)'!$C1900,"")</f>
        <v/>
      </c>
      <c r="G1900" s="585" t="str">
        <f ca="1">IF('Reconciliation report'!$E$872&gt;=5,'All Statement of strategy (D)'!$C1900,"")</f>
        <v/>
      </c>
      <c r="H1900" s="585" t="str">
        <f ca="1">IF('Reconciliation report'!$E$872&gt;=5,'All Statement of strategy (D)'!$C1900,"")</f>
        <v/>
      </c>
      <c r="I1900" s="595" t="str">
        <f ca="1">IF($C$1=RefData!$B$418,'All Statement of strategy (D)'!$E1900,IF('All Statement of strategy (D)'!$C$1=RefData!$B$419,'All Statement of strategy (D)'!$F1900,IF('All Statement of strategy (D)'!$C$1=RefData!$B$420,'All Statement of strategy (D)'!$G1900,IF('All Statement of strategy (D)'!$C$1=RefData!$B$421,'All Statement of strategy (D)'!$H1900," "))))</f>
        <v xml:space="preserve"> </v>
      </c>
    </row>
    <row r="1901" spans="1:9">
      <c r="A1901" s="584" t="s">
        <v>2966</v>
      </c>
      <c r="B1901" s="585" t="s">
        <v>2967</v>
      </c>
      <c r="C1901" s="585" t="str">
        <f ca="1">TEXT('Reconciliation report'!$E1022,RefData!$B$425)</f>
        <v/>
      </c>
      <c r="E1901" s="585" t="str">
        <f ca="1">IF('Reconciliation report'!$E$872&gt;=5,'All Statement of strategy (D)'!$C1901,"")</f>
        <v/>
      </c>
      <c r="F1901" s="585" t="str">
        <f ca="1">IF('Reconciliation report'!$E$872&gt;=5,'All Statement of strategy (D)'!$C1901,"")</f>
        <v/>
      </c>
      <c r="G1901" s="585" t="str">
        <f ca="1">IF('Reconciliation report'!$E$872&gt;=5,'All Statement of strategy (D)'!$C1901,"")</f>
        <v/>
      </c>
      <c r="H1901" s="585" t="str">
        <f ca="1">IF('Reconciliation report'!$E$872&gt;=5,'All Statement of strategy (D)'!$C1901,"")</f>
        <v/>
      </c>
      <c r="I1901" s="595" t="str">
        <f ca="1">IF($C$1=RefData!$B$418,'All Statement of strategy (D)'!$E1901,IF('All Statement of strategy (D)'!$C$1=RefData!$B$419,'All Statement of strategy (D)'!$F1901,IF('All Statement of strategy (D)'!$C$1=RefData!$B$420,'All Statement of strategy (D)'!$G1901,IF('All Statement of strategy (D)'!$C$1=RefData!$B$421,'All Statement of strategy (D)'!$H1901," "))))</f>
        <v xml:space="preserve"> </v>
      </c>
    </row>
    <row r="1902" spans="1:9">
      <c r="A1902" s="584" t="s">
        <v>2968</v>
      </c>
      <c r="B1902" s="585" t="s">
        <v>2969</v>
      </c>
      <c r="C1902" s="585" t="str">
        <f ca="1">TEXT('Reconciliation report'!$E1023,RefData!$B$425)</f>
        <v/>
      </c>
      <c r="E1902" s="585" t="str">
        <f ca="1">IF('Reconciliation report'!$E$872&gt;=5,'All Statement of strategy (D)'!$C1902,"")</f>
        <v/>
      </c>
      <c r="F1902" s="585" t="str">
        <f ca="1">IF('Reconciliation report'!$E$872&gt;=5,'All Statement of strategy (D)'!$C1902,"")</f>
        <v/>
      </c>
      <c r="G1902" s="585" t="str">
        <f ca="1">IF('Reconciliation report'!$E$872&gt;=5,'All Statement of strategy (D)'!$C1902,"")</f>
        <v/>
      </c>
      <c r="H1902" s="585" t="str">
        <f ca="1">IF('Reconciliation report'!$E$872&gt;=5,'All Statement of strategy (D)'!$C1902,"")</f>
        <v/>
      </c>
      <c r="I1902" s="595" t="str">
        <f ca="1">IF($C$1=RefData!$B$418,'All Statement of strategy (D)'!$E1902,IF('All Statement of strategy (D)'!$C$1=RefData!$B$419,'All Statement of strategy (D)'!$F1902,IF('All Statement of strategy (D)'!$C$1=RefData!$B$420,'All Statement of strategy (D)'!$G1902,IF('All Statement of strategy (D)'!$C$1=RefData!$B$421,'All Statement of strategy (D)'!$H1902," "))))</f>
        <v xml:space="preserve"> </v>
      </c>
    </row>
    <row r="1903" spans="1:9">
      <c r="A1903" s="584" t="s">
        <v>2970</v>
      </c>
      <c r="B1903" s="585" t="s">
        <v>2971</v>
      </c>
      <c r="C1903" s="585" t="str">
        <f ca="1">TEXT('Reconciliation report'!$E1024,RefData!$B$425)</f>
        <v/>
      </c>
      <c r="E1903" s="585" t="str">
        <f ca="1">IF('Reconciliation report'!$E$872&gt;=5,'All Statement of strategy (D)'!$C1903,"")</f>
        <v/>
      </c>
      <c r="F1903" s="585" t="str">
        <f ca="1">IF('Reconciliation report'!$E$872&gt;=5,'All Statement of strategy (D)'!$C1903,"")</f>
        <v/>
      </c>
      <c r="G1903" s="585" t="str">
        <f ca="1">IF('Reconciliation report'!$E$872&gt;=5,'All Statement of strategy (D)'!$C1903,"")</f>
        <v/>
      </c>
      <c r="H1903" s="585" t="str">
        <f ca="1">IF('Reconciliation report'!$E$872&gt;=5,'All Statement of strategy (D)'!$C1903,"")</f>
        <v/>
      </c>
      <c r="I1903" s="595" t="str">
        <f ca="1">IF($C$1=RefData!$B$418,'All Statement of strategy (D)'!$E1903,IF('All Statement of strategy (D)'!$C$1=RefData!$B$419,'All Statement of strategy (D)'!$F1903,IF('All Statement of strategy (D)'!$C$1=RefData!$B$420,'All Statement of strategy (D)'!$G1903,IF('All Statement of strategy (D)'!$C$1=RefData!$B$421,'All Statement of strategy (D)'!$H1903," "))))</f>
        <v xml:space="preserve"> </v>
      </c>
    </row>
    <row r="1904" spans="1:9">
      <c r="A1904" s="584" t="s">
        <v>2972</v>
      </c>
      <c r="B1904" s="585" t="s">
        <v>2973</v>
      </c>
      <c r="C1904" s="585" t="str">
        <f ca="1">TEXT('Reconciliation report'!$E1025,RefData!$B$425)</f>
        <v/>
      </c>
      <c r="E1904" s="585" t="str">
        <f ca="1">IF('Reconciliation report'!$E$872&gt;=5,'All Statement of strategy (D)'!$C1904,"")</f>
        <v/>
      </c>
      <c r="F1904" s="585" t="str">
        <f ca="1">IF('Reconciliation report'!$E$872&gt;=5,'All Statement of strategy (D)'!$C1904,"")</f>
        <v/>
      </c>
      <c r="G1904" s="585" t="str">
        <f ca="1">IF('Reconciliation report'!$E$872&gt;=5,'All Statement of strategy (D)'!$C1904,"")</f>
        <v/>
      </c>
      <c r="H1904" s="585" t="str">
        <f ca="1">IF('Reconciliation report'!$E$872&gt;=5,'All Statement of strategy (D)'!$C1904,"")</f>
        <v/>
      </c>
      <c r="I1904" s="595" t="str">
        <f ca="1">IF($C$1=RefData!$B$418,'All Statement of strategy (D)'!$E1904,IF('All Statement of strategy (D)'!$C$1=RefData!$B$419,'All Statement of strategy (D)'!$F1904,IF('All Statement of strategy (D)'!$C$1=RefData!$B$420,'All Statement of strategy (D)'!$G1904,IF('All Statement of strategy (D)'!$C$1=RefData!$B$421,'All Statement of strategy (D)'!$H1904," "))))</f>
        <v xml:space="preserve"> </v>
      </c>
    </row>
    <row r="1905" spans="1:9">
      <c r="A1905" s="584" t="s">
        <v>2974</v>
      </c>
      <c r="B1905" s="585" t="s">
        <v>2975</v>
      </c>
      <c r="C1905" s="585" t="str">
        <f ca="1">TEXT('Reconciliation report'!$E1026,RefData!$B$425)</f>
        <v/>
      </c>
      <c r="E1905" s="585" t="str">
        <f ca="1">IF('Reconciliation report'!$E$872&gt;=5,'All Statement of strategy (D)'!$C1905,"")</f>
        <v/>
      </c>
      <c r="F1905" s="585" t="str">
        <f ca="1">IF('Reconciliation report'!$E$872&gt;=5,'All Statement of strategy (D)'!$C1905,"")</f>
        <v/>
      </c>
      <c r="G1905" s="585" t="str">
        <f ca="1">IF('Reconciliation report'!$E$872&gt;=5,'All Statement of strategy (D)'!$C1905,"")</f>
        <v/>
      </c>
      <c r="H1905" s="585" t="str">
        <f ca="1">IF('Reconciliation report'!$E$872&gt;=5,'All Statement of strategy (D)'!$C1905,"")</f>
        <v/>
      </c>
      <c r="I1905" s="595" t="str">
        <f ca="1">IF($C$1=RefData!$B$418,'All Statement of strategy (D)'!$E1905,IF('All Statement of strategy (D)'!$C$1=RefData!$B$419,'All Statement of strategy (D)'!$F1905,IF('All Statement of strategy (D)'!$C$1=RefData!$B$420,'All Statement of strategy (D)'!$G1905,IF('All Statement of strategy (D)'!$C$1=RefData!$B$421,'All Statement of strategy (D)'!$H1905," "))))</f>
        <v xml:space="preserve"> </v>
      </c>
    </row>
    <row r="1906" spans="1:9">
      <c r="A1906" s="584" t="s">
        <v>2976</v>
      </c>
      <c r="B1906" s="585" t="s">
        <v>2977</v>
      </c>
      <c r="C1906" s="585" t="str">
        <f ca="1">TEXT('Reconciliation report'!$E1027,RefData!$B$425)</f>
        <v/>
      </c>
      <c r="E1906" s="585" t="str">
        <f ca="1">IF('Reconciliation report'!$E$872&gt;=5,'All Statement of strategy (D)'!$C1906,"")</f>
        <v/>
      </c>
      <c r="F1906" s="585" t="str">
        <f ca="1">IF('Reconciliation report'!$E$872&gt;=5,'All Statement of strategy (D)'!$C1906,"")</f>
        <v/>
      </c>
      <c r="G1906" s="585" t="str">
        <f ca="1">IF('Reconciliation report'!$E$872&gt;=5,'All Statement of strategy (D)'!$C1906,"")</f>
        <v/>
      </c>
      <c r="H1906" s="585" t="str">
        <f ca="1">IF('Reconciliation report'!$E$872&gt;=5,'All Statement of strategy (D)'!$C1906,"")</f>
        <v/>
      </c>
      <c r="I1906" s="595" t="str">
        <f ca="1">IF($C$1=RefData!$B$418,'All Statement of strategy (D)'!$E1906,IF('All Statement of strategy (D)'!$C$1=RefData!$B$419,'All Statement of strategy (D)'!$F1906,IF('All Statement of strategy (D)'!$C$1=RefData!$B$420,'All Statement of strategy (D)'!$G1906,IF('All Statement of strategy (D)'!$C$1=RefData!$B$421,'All Statement of strategy (D)'!$H1906," "))))</f>
        <v xml:space="preserve"> </v>
      </c>
    </row>
    <row r="1907" spans="1:9" ht="16" thickBot="1">
      <c r="A1907" s="584" t="s">
        <v>2978</v>
      </c>
      <c r="B1907" s="585" t="s">
        <v>2979</v>
      </c>
      <c r="C1907" s="585" t="str">
        <f ca="1">TEXT('Reconciliation report'!$E1028,RefData!$B$425)</f>
        <v/>
      </c>
      <c r="E1907" s="585" t="str">
        <f ca="1">IF('Reconciliation report'!$E$872&gt;=5,'All Statement of strategy (D)'!$C1907,"")</f>
        <v/>
      </c>
      <c r="F1907" s="585" t="str">
        <f ca="1">IF('Reconciliation report'!$E$872&gt;=5,'All Statement of strategy (D)'!$C1907,"")</f>
        <v/>
      </c>
      <c r="G1907" s="585" t="str">
        <f ca="1">IF('Reconciliation report'!$E$872&gt;=5,'All Statement of strategy (D)'!$C1907,"")</f>
        <v/>
      </c>
      <c r="H1907" s="585" t="str">
        <f ca="1">IF('Reconciliation report'!$E$872&gt;=5,'All Statement of strategy (D)'!$C1907,"")</f>
        <v/>
      </c>
      <c r="I1907" s="595" t="str">
        <f ca="1">IF($C$1=RefData!$B$418,'All Statement of strategy (D)'!$E1907,IF('All Statement of strategy (D)'!$C$1=RefData!$B$419,'All Statement of strategy (D)'!$F1907,IF('All Statement of strategy (D)'!$C$1=RefData!$B$420,'All Statement of strategy (D)'!$G1907,IF('All Statement of strategy (D)'!$C$1=RefData!$B$421,'All Statement of strategy (D)'!$H1907," "))))</f>
        <v xml:space="preserve"> </v>
      </c>
    </row>
    <row r="1908" spans="1:9">
      <c r="A1908" s="589"/>
      <c r="B1908" s="591" t="s">
        <v>2980</v>
      </c>
      <c r="C1908" s="591" t="s">
        <v>2981</v>
      </c>
      <c r="D1908" s="591"/>
      <c r="E1908" s="591" t="str">
        <f ca="1">IF(OR('Reconciliation report'!$E$419=RefData!$B$119,E$1911&lt;&gt;""),$B1908&amp;$C1908,"")</f>
        <v/>
      </c>
      <c r="F1908" s="591" t="str">
        <f ca="1">IF(OR('Reconciliation report'!$E$419=RefData!$B$119,F$1911&lt;&gt;""),$B1908&amp;$C1908,"")</f>
        <v/>
      </c>
      <c r="G1908" s="591" t="str">
        <f ca="1">IF('Reconciliation report'!$E$419&lt;&gt;RefData!$B$118,"",$B1908&amp;$C1908)</f>
        <v/>
      </c>
      <c r="H1908" s="591" t="str">
        <f ca="1">IF('Reconciliation report'!$E$419&lt;&gt;RefData!$B$118,"",$B1908&amp;$C1908)</f>
        <v/>
      </c>
      <c r="I1908" s="592" t="str">
        <f ca="1">IF($C$1=RefData!$B$418,'All Statement of strategy (D)'!$E1908,IF('All Statement of strategy (D)'!$C$1=RefData!$B$419,'All Statement of strategy (D)'!$F1908,IF('All Statement of strategy (D)'!$C$1=RefData!$B$420,'All Statement of strategy (D)'!$G1908,IF('All Statement of strategy (D)'!$C$1=RefData!$B$421,'All Statement of strategy (D)'!$H1908," "))))</f>
        <v xml:space="preserve"> </v>
      </c>
    </row>
    <row r="1909" spans="1:9">
      <c r="A1909" s="593"/>
      <c r="B1909" s="585" t="str">
        <f>RefData!$B$431</f>
        <v>Based on the information provided, Appendix 5 is not required.</v>
      </c>
      <c r="E1909" s="585" t="str">
        <f ca="1">IF(E$1908="","",IF(NOT('Reconciliation report'!$E$419=RefData!$B$119),'All Statement of strategy (D)'!$B1909,""))</f>
        <v/>
      </c>
      <c r="F1909" s="585" t="str">
        <f ca="1">IF(F$1908="","",IF(NOT('Reconciliation report'!$E$419=RefData!$B$119),'All Statement of strategy (D)'!$B1909,""))</f>
        <v/>
      </c>
      <c r="G1909" s="585" t="str">
        <f ca="1">IF('Reconciliation report'!$E$419&lt;&gt;RefData!$B$118,"",$B1909)</f>
        <v/>
      </c>
      <c r="H1909" s="585" t="str">
        <f ca="1">IF('Reconciliation report'!$E$419&lt;&gt;RefData!$B$118,"",$B1909)</f>
        <v/>
      </c>
      <c r="I1909" s="595" t="str">
        <f ca="1">IF($C$1=RefData!$B$418,'All Statement of strategy (D)'!$E1909,IF('All Statement of strategy (D)'!$C$1=RefData!$B$419,'All Statement of strategy (D)'!$F1909,IF('All Statement of strategy (D)'!$C$1=RefData!$B$420,'All Statement of strategy (D)'!$G1909,IF('All Statement of strategy (D)'!$C$1=RefData!$B$421,'All Statement of strategy (D)'!$H1909," "))))</f>
        <v xml:space="preserve"> </v>
      </c>
    </row>
    <row r="1910" spans="1:9" ht="16" thickBot="1">
      <c r="A1910" s="596"/>
      <c r="B1910" s="598" t="s">
        <v>2982</v>
      </c>
      <c r="C1910" s="598"/>
      <c r="D1910" s="598"/>
      <c r="E1910" s="598" t="str">
        <f ca="1">IF('Reconciliation report'!$E$419=RefData!$B$119,'All Statement of strategy (D)'!$B1910&amp;'All Statement of strategy (D)'!$C1910,"")</f>
        <v/>
      </c>
      <c r="F1910" s="598" t="str">
        <f ca="1">IF('Reconciliation report'!$E$419=RefData!$B$119,'All Statement of strategy (D)'!$B1910&amp;'All Statement of strategy (D)'!$C1910,"")</f>
        <v/>
      </c>
      <c r="G1910" s="598" t="str">
        <f>""</f>
        <v/>
      </c>
      <c r="H1910" s="598" t="str">
        <f>""</f>
        <v/>
      </c>
      <c r="I1910" s="599" t="str">
        <f ca="1">IF($C$1=RefData!$B$418,'All Statement of strategy (D)'!$E1910,IF('All Statement of strategy (D)'!$C$1=RefData!$B$419,'All Statement of strategy (D)'!$F1910,IF('All Statement of strategy (D)'!$C$1=RefData!$B$420,'All Statement of strategy (D)'!$G1910,IF('All Statement of strategy (D)'!$C$1=RefData!$B$421,'All Statement of strategy (D)'!$H1910," "))))</f>
        <v xml:space="preserve"> </v>
      </c>
    </row>
    <row r="1911" spans="1:9">
      <c r="A1911" s="593"/>
      <c r="B1911" s="585" t="s">
        <v>2983</v>
      </c>
      <c r="C1911" s="585" t="s">
        <v>2984</v>
      </c>
      <c r="E1911" s="585" t="str">
        <f ca="1">IF('Reconciliation report'!$E$419=RefData!$B$118,'All Statement of strategy (D)'!$B1911&amp;'All Statement of strategy (D)'!$C1911,"")</f>
        <v/>
      </c>
      <c r="F1911" s="585" t="str">
        <f ca="1">IF('Reconciliation report'!$E$419=RefData!$B$118,'All Statement of strategy (D)'!$B1911&amp;'All Statement of strategy (D)'!$C1911,"")</f>
        <v/>
      </c>
      <c r="G1911" s="585" t="str">
        <f ca="1">IF('Reconciliation report'!$E$419=RefData!$B$118,'All Statement of strategy (D)'!$B1911&amp;'All Statement of strategy (D)'!$C1911,"")</f>
        <v/>
      </c>
      <c r="H1911" s="585" t="str">
        <f ca="1">IF('Reconciliation report'!$E$419=RefData!$B$118,'All Statement of strategy (D)'!$B1911&amp;'All Statement of strategy (D)'!$C1911,"")</f>
        <v/>
      </c>
      <c r="I1911" s="595" t="str">
        <f ca="1">IF($C$1=RefData!$B$418,'All Statement of strategy (D)'!$E1911,IF('All Statement of strategy (D)'!$C$1=RefData!$B$419,'All Statement of strategy (D)'!$F1911,IF('All Statement of strategy (D)'!$C$1=RefData!$B$420,'All Statement of strategy (D)'!$G1911,IF('All Statement of strategy (D)'!$C$1=RefData!$B$421,'All Statement of strategy (D)'!$H1911," "))))</f>
        <v xml:space="preserve"> </v>
      </c>
    </row>
    <row r="1912" spans="1:9">
      <c r="A1912" s="593"/>
      <c r="B1912" s="585" t="str">
        <f>""</f>
        <v/>
      </c>
      <c r="E1912" s="585" t="str">
        <f ca="1">IF(NOT('Reconciliation report'!$E$419=RefData!$B$118),'All Statement of strategy (D)'!$B1912,"")</f>
        <v/>
      </c>
      <c r="F1912" s="585" t="str">
        <f ca="1">IF(NOT('Reconciliation report'!$E$419=RefData!$B$118),'All Statement of strategy (D)'!$B1912,"")</f>
        <v/>
      </c>
      <c r="G1912" s="585" t="str">
        <f ca="1">IF(NOT('Reconciliation report'!$E$419=RefData!$B$118),'All Statement of strategy (D)'!$B1912,"")</f>
        <v/>
      </c>
      <c r="H1912" s="585" t="str">
        <f ca="1">IF(NOT('Reconciliation report'!$E$419=RefData!$B$118),'All Statement of strategy (D)'!$B1912,"")</f>
        <v/>
      </c>
      <c r="I1912" s="595" t="str">
        <f ca="1">IF($C$1=RefData!$B$418,'All Statement of strategy (D)'!$E1912,IF('All Statement of strategy (D)'!$C$1=RefData!$B$419,'All Statement of strategy (D)'!$F1912,IF('All Statement of strategy (D)'!$C$1=RefData!$B$420,'All Statement of strategy (D)'!$G1912,IF('All Statement of strategy (D)'!$C$1=RefData!$B$421,'All Statement of strategy (D)'!$H1912," "))))</f>
        <v xml:space="preserve"> </v>
      </c>
    </row>
    <row r="1913" spans="1:9" ht="16" thickBot="1">
      <c r="A1913" s="596"/>
      <c r="B1913" s="598" t="s">
        <v>2985</v>
      </c>
      <c r="C1913" s="598"/>
      <c r="D1913" s="598"/>
      <c r="E1913" s="598" t="str">
        <f ca="1">IF('Reconciliation report'!$E$419=RefData!$B$118,'All Statement of strategy (D)'!$B1913&amp;'All Statement of strategy (D)'!$C1913,"")</f>
        <v/>
      </c>
      <c r="F1913" s="598" t="str">
        <f ca="1">IF('Reconciliation report'!$E$419=RefData!$B$118,'All Statement of strategy (D)'!$B1913&amp;'All Statement of strategy (D)'!$C1913,"")</f>
        <v/>
      </c>
      <c r="G1913" s="598" t="str">
        <f ca="1">IF('Reconciliation report'!$E$419=RefData!$B$118,'All Statement of strategy (D)'!$B1913&amp;'All Statement of strategy (D)'!$C1913,"")</f>
        <v/>
      </c>
      <c r="H1913" s="598" t="str">
        <f ca="1">IF('Reconciliation report'!$E$419=RefData!$B$118,'All Statement of strategy (D)'!$B1913&amp;'All Statement of strategy (D)'!$C1913,"")</f>
        <v/>
      </c>
      <c r="I1913" s="599" t="str">
        <f ca="1">IF($C$1=RefData!$B$418,'All Statement of strategy (D)'!$E1913,IF('All Statement of strategy (D)'!$C$1=RefData!$B$419,'All Statement of strategy (D)'!$F1913,IF('All Statement of strategy (D)'!$C$1=RefData!$B$420,'All Statement of strategy (D)'!$G1913,IF('All Statement of strategy (D)'!$C$1=RefData!$B$421,'All Statement of strategy (D)'!$H1913," "))))</f>
        <v xml:space="preserve"> </v>
      </c>
    </row>
    <row r="1914" spans="1:9"/>
    <row r="1915" spans="1:9"/>
    <row r="1916" spans="1:9"/>
    <row r="1917" spans="1:9"/>
    <row r="1918" spans="1:9"/>
    <row r="1919" spans="1:9"/>
    <row r="1920" spans="1:9"/>
    <row r="1921"/>
    <row r="1922"/>
    <row r="1923"/>
    <row r="1924"/>
    <row r="1925"/>
    <row r="1926"/>
    <row r="1927"/>
    <row r="1928"/>
    <row r="1929"/>
    <row r="1930"/>
    <row r="1931"/>
    <row r="1932"/>
    <row r="1933"/>
    <row r="1934"/>
    <row r="1935"/>
    <row r="1936"/>
    <row r="1937"/>
  </sheetData>
  <sheetProtection algorithmName="SHA-512" hashValue="LPKYNC+CoBSnIW1jEH5SCCnHWQtetXvhYZYkvOTJ2/VwfPXQxZ3eTklUXtw/TLOJrqA/rKfxtgTRg5YvezcRuw==" saltValue="9c8mB5I6qEGLXFGZiwZVqQ==" spinCount="100000" sheet="1" objects="1" scenarios="1"/>
  <autoFilter ref="A3:I1913" xr:uid="{EE27A0AF-3663-4927-8FA5-7F456136B084}"/>
  <phoneticPr fontId="11" type="noConversion"/>
  <conditionalFormatting sqref="A1:XFD1911 A1912:I1912 A1913:XFD1048576">
    <cfRule type="containsErrors" dxfId="1" priority="1">
      <formula>ISERROR(A1)</formula>
    </cfRule>
  </conditionalFormatting>
  <pageMargins left="0.7" right="0.7" top="0.75" bottom="0.75" header="0.3" footer="0.3"/>
  <pageSetup paperSize="9" orientation="portrait" r:id="rId1"/>
  <ignoredErrors>
    <ignoredError sqref="E365:E405" 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42D68-C018-46B9-AB35-685A10C4C2DE}">
  <sheetPr codeName="Sheet40"/>
  <dimension ref="A1:Y1088"/>
  <sheetViews>
    <sheetView topLeftCell="F1" zoomScale="70" zoomScaleNormal="70" workbookViewId="0">
      <selection activeCell="C8" sqref="C8"/>
    </sheetView>
  </sheetViews>
  <sheetFormatPr defaultColWidth="0" defaultRowHeight="15.5" zeroHeight="1"/>
  <cols>
    <col min="1" max="1" width="20.07421875" style="93" customWidth="1"/>
    <col min="2" max="2" width="33.69140625" style="475" bestFit="1" customWidth="1"/>
    <col min="3" max="3" width="58.07421875" style="93" customWidth="1"/>
    <col min="4" max="4" width="66.53515625" style="98" customWidth="1"/>
    <col min="5" max="5" width="45" style="256" customWidth="1"/>
    <col min="6" max="6" width="33.69140625" style="93" customWidth="1"/>
    <col min="7" max="7" width="19.69140625" style="93" bestFit="1" customWidth="1"/>
    <col min="8" max="8" width="13.07421875" style="42" customWidth="1"/>
    <col min="9" max="9" width="30" style="97" customWidth="1" collapsed="1"/>
    <col min="10" max="10" width="34.69140625" style="98" customWidth="1"/>
    <col min="11" max="11" width="12.69140625" style="186" customWidth="1"/>
    <col min="12" max="12" width="13.07421875" style="186" customWidth="1"/>
    <col min="13" max="14" width="13.07421875" style="322" customWidth="1"/>
    <col min="15" max="20" width="13.07421875" style="186" customWidth="1"/>
    <col min="21" max="21" width="27.4609375" style="526" customWidth="1"/>
    <col min="22" max="22" width="8.07421875" style="93" customWidth="1"/>
    <col min="23" max="23" width="17.69140625" style="93" customWidth="1"/>
    <col min="24" max="24" width="12.69140625" style="93" customWidth="1"/>
    <col min="25" max="25" width="11.23046875" style="93" bestFit="1" customWidth="1"/>
    <col min="26" max="16384" width="8.07421875" style="93" hidden="1"/>
  </cols>
  <sheetData>
    <row r="1" spans="1:25" ht="46.5">
      <c r="A1" s="694" t="s">
        <v>1502</v>
      </c>
      <c r="B1" s="695" t="s">
        <v>2986</v>
      </c>
      <c r="C1" s="696" t="s">
        <v>90</v>
      </c>
      <c r="D1" s="697" t="s">
        <v>17</v>
      </c>
      <c r="E1" s="698" t="s">
        <v>2987</v>
      </c>
      <c r="F1" s="699" t="s">
        <v>2988</v>
      </c>
      <c r="G1" s="699" t="s">
        <v>2989</v>
      </c>
      <c r="H1" s="700" t="s">
        <v>2990</v>
      </c>
      <c r="I1" s="701" t="s">
        <v>2991</v>
      </c>
      <c r="J1" s="702" t="s">
        <v>2992</v>
      </c>
      <c r="K1" s="701" t="s">
        <v>2993</v>
      </c>
      <c r="L1" s="701" t="s">
        <v>2994</v>
      </c>
      <c r="M1" s="701" t="s">
        <v>2995</v>
      </c>
      <c r="N1" s="701" t="s">
        <v>2996</v>
      </c>
      <c r="O1" s="701" t="s">
        <v>2997</v>
      </c>
      <c r="P1" s="701" t="s">
        <v>2998</v>
      </c>
      <c r="Q1" s="701" t="s">
        <v>2999</v>
      </c>
      <c r="R1" s="701" t="s">
        <v>3000</v>
      </c>
      <c r="S1" s="701" t="s">
        <v>3001</v>
      </c>
      <c r="T1" s="701" t="s">
        <v>3002</v>
      </c>
      <c r="U1" s="703" t="s">
        <v>3003</v>
      </c>
      <c r="V1" s="93" t="s">
        <v>3004</v>
      </c>
      <c r="W1" s="704" t="s">
        <v>3005</v>
      </c>
      <c r="X1" t="s">
        <v>3006</v>
      </c>
      <c r="Y1" s="93" t="s">
        <v>3007</v>
      </c>
    </row>
    <row r="2" spans="1:25" ht="62">
      <c r="A2" s="705" t="s">
        <v>3008</v>
      </c>
      <c r="B2" s="706" t="str">
        <f ca="1">HYPERLINK("#" &amp; $I2, SUBSTITUTE(SUBSTITUTE($I2, "!", " - "), "'",""))</f>
        <v>Start here - C11</v>
      </c>
      <c r="C2" s="707" t="str" cm="1">
        <f t="array" aca="1" ref="C2" ca="1">INDIRECT(LEFT(I2, FIND("!", I2)) &amp; RefData!$C$426 &amp; RIGHT(I2, LEN(I2) - FIND("!", I2) - 1))</f>
        <v xml:space="preserve">
Scheme name
</v>
      </c>
      <c r="D2" s="92" t="str">
        <f t="shared" ref="D2:D65" ca="1" si="0">""&amp;IF(J2=FALSE, "", J2)
&amp;""</f>
        <v xml:space="preserve">
Enter the scheme’s name as recorded on the Pension Scheme Registry (PSR).
</v>
      </c>
      <c r="E2" s="708" t="str" cm="1">
        <f t="array" aca="1" ref="E2" ca="1">IF(INDIRECT($I2)= "", "", INDIRECT($I2))</f>
        <v/>
      </c>
      <c r="F2" s="709" t="str" cm="1">
        <f t="array" aca="1" ref="F2" ca="1">INDIRECT(LEFT(I2, FIND("!", I2)) &amp; RefData!$C$427 &amp; RIGHT(I2, LEN(I2) - FIND("!", I2) - 1))</f>
        <v>SH 4.0</v>
      </c>
      <c r="G2" s="710" t="b">
        <f ca="1">IF(ISNUMBER(SEARCH(RefData!$B$2, $C2)), FALSE, TRUE)</f>
        <v>1</v>
      </c>
      <c r="H2" s="711">
        <f>'Start here'!C11</f>
        <v>0</v>
      </c>
      <c r="I2" s="712" t="str">
        <f ca="1">SUBSTITUTE(_xlfn.FORMULATEXT($H2), "=", "")</f>
        <v>'Start here'!C11</v>
      </c>
      <c r="J2" s="713" t="str" cm="1">
        <f t="array" aca="1" ref="J2" ca="1">IF(COUNTIF($K2:$T2, "&lt;&gt;FALSE") - COUNTBLANK($K2:$T2) &gt; 0, INDEX($K2:$T2, MATCH(TRUE, $K2:$T2 &lt;&gt; FALSE, 0)))</f>
        <v xml:space="preserve">
Enter the scheme’s name as recorded on the Pension Scheme Registry (PSR).
</v>
      </c>
      <c r="K2" s="712" t="str">
        <f ca="1">IF($E2="",ErrorMsgs!$B2)</f>
        <v xml:space="preserve">
Enter the scheme’s name as recorded on the Pension Scheme Registry (PSR).
</v>
      </c>
      <c r="L2" s="712" t="str">
        <f ca="1">IF(OR(ISERROR($E2), LEN($E2)&lt;2, LEN($E2)&gt;510), ErrorMsgs!$C2)</f>
        <v xml:space="preserve">
Enter the scheme’s name as recorded on the Pension Scheme Registry (PSR) with between 2 and 510 characters.  
</v>
      </c>
      <c r="M2" s="714"/>
      <c r="N2" s="714"/>
      <c r="O2" s="712"/>
      <c r="P2" s="712"/>
      <c r="Q2" s="712"/>
      <c r="R2" s="712"/>
      <c r="S2" s="712"/>
      <c r="T2" s="712"/>
      <c r="U2" s="526" t="str">
        <f ca="1">IF(AND($W2=TRUE,$Y2=FALSE),TEXT($E2,$X2),$E2)</f>
        <v/>
      </c>
      <c r="V2" s="93" t="str" cm="1">
        <f t="array" aca="1" ref="V2" ca="1">CELL("format",INDIRECT(I2))</f>
        <v>G</v>
      </c>
      <c r="W2" s="93" t="b">
        <f ca="1">IF(ISNUMBER(E2), IF(INT(E2)&lt;&gt;E2,TRUE,FALSE),FALSE)</f>
        <v>0</v>
      </c>
      <c r="X2" s="715" t="str">
        <f t="shared" ref="X2:X65" ca="1" si="1">IF(W2, "0." &amp; IF(V2="P2",REPT("0", MIN(4, LEN(E2) - FIND(".", E2))),REPT("0", MIN(6, LEN(E2) - FIND(".", E2)))), "")</f>
        <v/>
      </c>
      <c r="Y2" t="b">
        <f ca="1">ISTEXT(E2)</f>
        <v>1</v>
      </c>
    </row>
    <row r="3" spans="1:25" ht="46.5">
      <c r="A3" s="705" t="s">
        <v>3009</v>
      </c>
      <c r="B3" s="706" t="str">
        <f t="shared" ref="B3:B386" ca="1" si="2">HYPERLINK("#" &amp; $I3, SUBSTITUTE(SUBSTITUTE($I3, "!", " - "), "'",""))</f>
        <v>Start here - C12</v>
      </c>
      <c r="C3" s="707" t="str" cm="1">
        <f t="array" aca="1" ref="C3" ca="1">INDIRECT(LEFT(I3, FIND("!", I3)) &amp; RefData!$C$426 &amp; RIGHT(I3, LEN(I3) - FIND("!", I3) - 1))</f>
        <v xml:space="preserve">
Pension Scheme Registration (PSR) number
</v>
      </c>
      <c r="D3" s="92" t="str">
        <f t="shared" ca="1" si="0"/>
        <v>Enter an eight-digit PSR number beginning with '1'. For example, 12345678.</v>
      </c>
      <c r="E3" s="708" t="str" cm="1">
        <f t="array" aca="1" ref="E3" ca="1">IF(INDIRECT($I3)= "", "", INDIRECT($I3))</f>
        <v/>
      </c>
      <c r="F3" s="709" t="str" cm="1">
        <f t="array" aca="1" ref="F3" ca="1">INDIRECT(LEFT(I3, FIND("!", I3)) &amp; RefData!$C$427 &amp; RIGHT(I3, LEN(I3) - FIND("!", I3) - 1))</f>
        <v>SH 5.0</v>
      </c>
      <c r="G3" s="710" t="b">
        <f ca="1">IF(ISNUMBER(SEARCH(RefData!$B$2, $C3)), FALSE, TRUE)</f>
        <v>1</v>
      </c>
      <c r="H3" s="711">
        <f>'Start here'!C12</f>
        <v>0</v>
      </c>
      <c r="I3" s="712" t="str">
        <f t="shared" ref="I3:I21" ca="1" si="3">SUBSTITUTE(_xlfn.FORMULATEXT($H3), "=", "")</f>
        <v>'Start here'!C12</v>
      </c>
      <c r="J3" s="713" t="str" cm="1">
        <f t="array" aca="1" ref="J3" ca="1">IF(COUNTIF($K3:$T3, "&lt;&gt;FALSE") - COUNTBLANK($K3:$T3) &gt; 0, INDEX($K3:$T3, MATCH(TRUE, $K3:$T3 &lt;&gt; FALSE, 0)))</f>
        <v>Enter an eight-digit PSR number beginning with '1'. For example, 12345678.</v>
      </c>
      <c r="K3" s="712" t="e">
        <f ca="1">IF(OR(ISERROR(E3),E3="", INT(E3)&lt;&gt;E3),ErrorMsgs!B3)</f>
        <v>#VALUE!</v>
      </c>
      <c r="L3" s="712" t="str">
        <f ca="1">IF(OR(NOT(ISNUMBER(E3)), LEN(E3)&lt;&gt;8, LEFT(E3,1)&lt;&gt;"1"), ErrorMsgs!C3)</f>
        <v>Enter an eight-digit PSR number beginning with '1'. For example, 12345678.</v>
      </c>
      <c r="M3" s="714"/>
      <c r="N3" s="714"/>
      <c r="O3" s="712"/>
      <c r="P3" s="712"/>
      <c r="Q3" s="712"/>
      <c r="R3" s="712"/>
      <c r="S3" s="712"/>
      <c r="T3" s="712"/>
      <c r="U3" s="526" t="str">
        <f t="shared" ref="U3:U66" ca="1" si="4">IF(AND($W3=TRUE,$Y3=FALSE),TEXT($E3,$X3),$E3)</f>
        <v/>
      </c>
      <c r="V3" s="93" t="str" cm="1">
        <f t="array" aca="1" ref="V3" ca="1">CELL("format",INDIRECT(I3))</f>
        <v>F0</v>
      </c>
      <c r="W3" s="93" t="b">
        <f t="shared" ref="W3:W66" ca="1" si="5">IF(ISNUMBER(E3), IF(INT(E3)&lt;&gt;E3,TRUE,FALSE),FALSE)</f>
        <v>0</v>
      </c>
      <c r="X3" s="715" t="str">
        <f t="shared" ca="1" si="1"/>
        <v/>
      </c>
      <c r="Y3" t="b">
        <f t="shared" ref="Y3:Y66" ca="1" si="6">ISTEXT(E3)</f>
        <v>1</v>
      </c>
    </row>
    <row r="4" spans="1:25" ht="62">
      <c r="A4" s="705" t="s">
        <v>3010</v>
      </c>
      <c r="B4" s="716" t="str">
        <f ca="1">HYPERLINK("#" &amp; $I4, SUBSTITUTE(SUBSTITUTE($I4, "!", " - "), "'",""))</f>
        <v>Start here - C16</v>
      </c>
      <c r="C4" s="707" t="str" cm="1">
        <f t="array" aca="1" ref="C4" ca="1">INDIRECT(LEFT(I4, FIND("!", I4)) &amp; RefData!$C$426 &amp; RIGHT(I4, LEN(I4) - FIND("!", I4) - 1))</f>
        <v xml:space="preserve">
First name
</v>
      </c>
      <c r="D4" s="92" t="str">
        <f t="shared" ca="1" si="0"/>
        <v xml:space="preserve">
You must answer the question. The answer must be no more than 100 characters.
</v>
      </c>
      <c r="E4" s="708" t="str" cm="1">
        <f t="array" aca="1" ref="E4" ca="1">IF(INDIRECT($I4)= "", "", INDIRECT($I4))</f>
        <v/>
      </c>
      <c r="F4" s="709" t="str" cm="1">
        <f t="array" aca="1" ref="F4" ca="1">INDIRECT(LEFT(I4, FIND("!", I4)) &amp; RefData!$C$427 &amp; RIGHT(I4, LEN(I4) - FIND("!", I4) - 1))</f>
        <v>SH 6.0</v>
      </c>
      <c r="G4" s="710" t="b">
        <f ca="1">IF(ISNUMBER(SEARCH(RefData!$B$2, $C4)), FALSE, TRUE)</f>
        <v>1</v>
      </c>
      <c r="H4" s="717">
        <f>'Start here'!C16</f>
        <v>0</v>
      </c>
      <c r="I4" s="712" t="str">
        <f ca="1">SUBSTITUTE(_xlfn.FORMULATEXT($H4), "=", "")</f>
        <v>'Start here'!C16</v>
      </c>
      <c r="J4" s="713" t="str" cm="1">
        <f t="array" aca="1" ref="J4" ca="1">IF(COUNTIF($K4:$T4, "&lt;&gt;FALSE") - COUNTBLANK($K4:$T4) &gt; 0, INDEX($K4:$T4, MATCH(TRUE, $K4:$T4 &lt;&gt; FALSE, 0)))</f>
        <v xml:space="preserve">
You must answer the question. The answer must be no more than 100 characters.
</v>
      </c>
      <c r="K4" s="712" t="str">
        <f ca="1">IF(OR(ISERROR($E4),$E4=""),ErrorMsgs!$B4)</f>
        <v xml:space="preserve">
You must answer the question. The answer must be no more than 100 characters.
</v>
      </c>
      <c r="L4" s="712" t="str">
        <f ca="1">IF(OR(LEN($E4)&lt;1, LEN($E4)&gt;100), ErrorMsgs!$C4)</f>
        <v xml:space="preserve">
You must answer the question. The answer must be no more than 100 characters.
</v>
      </c>
      <c r="M4" s="714"/>
      <c r="N4" s="714"/>
      <c r="O4" s="712"/>
      <c r="P4" s="712"/>
      <c r="Q4" s="712"/>
      <c r="R4" s="712"/>
      <c r="S4" s="712"/>
      <c r="T4" s="712"/>
      <c r="U4" s="526" t="str">
        <f t="shared" ca="1" si="4"/>
        <v/>
      </c>
      <c r="V4" s="93" t="str" cm="1">
        <f t="array" aca="1" ref="V4" ca="1">CELL("format",INDIRECT(I4))</f>
        <v>G</v>
      </c>
      <c r="W4" s="93" t="b">
        <f t="shared" ca="1" si="5"/>
        <v>0</v>
      </c>
      <c r="X4" s="715" t="str">
        <f t="shared" ca="1" si="1"/>
        <v/>
      </c>
      <c r="Y4" t="b">
        <f t="shared" ca="1" si="6"/>
        <v>1</v>
      </c>
    </row>
    <row r="5" spans="1:25" ht="62">
      <c r="A5" s="705" t="s">
        <v>3011</v>
      </c>
      <c r="B5" s="716" t="str">
        <f ca="1">HYPERLINK("#" &amp; $I5, SUBSTITUTE(SUBSTITUTE($I5, "!", " - "), "'",""))</f>
        <v>Start here - C17</v>
      </c>
      <c r="C5" s="707" t="str" cm="1">
        <f t="array" aca="1" ref="C5" ca="1">INDIRECT(LEFT(I5, FIND("!", I5)) &amp; RefData!$C$426 &amp; RIGHT(I5, LEN(I5) - FIND("!", I5) - 1))</f>
        <v xml:space="preserve">	
Last name
</v>
      </c>
      <c r="D5" s="92" t="str">
        <f t="shared" ca="1" si="0"/>
        <v xml:space="preserve">
You must answer the question. The answer must be no more than 100 characters.
</v>
      </c>
      <c r="E5" s="708" t="str" cm="1">
        <f t="array" aca="1" ref="E5" ca="1">IF(INDIRECT($I5)= "", "", INDIRECT($I5))</f>
        <v/>
      </c>
      <c r="F5" s="709" t="str" cm="1">
        <f t="array" aca="1" ref="F5" ca="1">INDIRECT(LEFT(I5, FIND("!", I5)) &amp; RefData!$C$427 &amp; RIGHT(I5, LEN(I5) - FIND("!", I5) - 1))</f>
        <v>SH 7.0</v>
      </c>
      <c r="G5" s="710" t="b">
        <f ca="1">IF(ISNUMBER(SEARCH(RefData!$B$2, $C5)), FALSE, TRUE)</f>
        <v>1</v>
      </c>
      <c r="H5" s="717">
        <f>'Start here'!C17</f>
        <v>0</v>
      </c>
      <c r="I5" s="712" t="str">
        <f ca="1">SUBSTITUTE(_xlfn.FORMULATEXT($H5), "=", "")</f>
        <v>'Start here'!C17</v>
      </c>
      <c r="J5" s="713" t="str" cm="1">
        <f t="array" aca="1" ref="J5" ca="1">IF(COUNTIF($K5:$T5, "&lt;&gt;FALSE") - COUNTBLANK($K5:$T5) &gt; 0, INDEX($K5:$T5, MATCH(TRUE, $K5:$T5 &lt;&gt; FALSE, 0)))</f>
        <v xml:space="preserve">
You must answer the question. The answer must be no more than 100 characters.
</v>
      </c>
      <c r="K5" s="712" t="str">
        <f ca="1">IF(OR(ISERROR($E5),$E5=""),ErrorMsgs!$B5)</f>
        <v xml:space="preserve">
You must answer the question. The answer must be no more than 100 characters.
</v>
      </c>
      <c r="L5" s="712" t="str">
        <f ca="1">IF(OR(LEN($E5)&lt;1, LEN($E5)&gt;100), ErrorMsgs!$C5)</f>
        <v xml:space="preserve">
You must answer the question. The answer must be no more than 100 characters.
</v>
      </c>
      <c r="M5" s="714"/>
      <c r="N5" s="714"/>
      <c r="O5" s="712"/>
      <c r="P5" s="712"/>
      <c r="Q5" s="712"/>
      <c r="R5" s="712"/>
      <c r="S5" s="712"/>
      <c r="T5" s="712"/>
      <c r="U5" s="526" t="str">
        <f t="shared" ca="1" si="4"/>
        <v/>
      </c>
      <c r="V5" s="93" t="str" cm="1">
        <f t="array" aca="1" ref="V5" ca="1">CELL("format",INDIRECT(I5))</f>
        <v>G</v>
      </c>
      <c r="W5" s="93" t="b">
        <f t="shared" ca="1" si="5"/>
        <v>0</v>
      </c>
      <c r="X5" s="715" t="str">
        <f t="shared" ca="1" si="1"/>
        <v/>
      </c>
      <c r="Y5" t="b">
        <f t="shared" ca="1" si="6"/>
        <v>1</v>
      </c>
    </row>
    <row r="6" spans="1:25" ht="93">
      <c r="A6" s="705" t="s">
        <v>3012</v>
      </c>
      <c r="B6" s="706" t="str">
        <f t="shared" ca="1" si="2"/>
        <v>Start here - C21</v>
      </c>
      <c r="C6" s="707" t="str" cm="1">
        <f t="array" aca="1" ref="C6" ca="1">INDIRECT(LEFT(I6, FIND("!", I6)) &amp; RefData!$C$426 &amp; RIGHT(I6, LEN(I6) - FIND("!", I6) - 1))</f>
        <v xml:space="preserve">
What is the effective date of the actuarial valuation this statement of strategy relates to? (dd/mm/yyyy)
</v>
      </c>
      <c r="D6" s="92" t="str">
        <f t="shared" ca="1" si="0"/>
        <v xml:space="preserve">
Enter a valid date in the format dd/mm/yyyy.
</v>
      </c>
      <c r="E6" s="708" t="str" cm="1">
        <f t="array" aca="1" ref="E6" ca="1">IF(INDIRECT($I6)= "", "", INDIRECT($I6))</f>
        <v/>
      </c>
      <c r="F6" s="709" t="str" cm="1">
        <f t="array" aca="1" ref="F6" ca="1">INDIRECT(LEFT(I6, FIND("!", I6)) &amp; RefData!$C$427 &amp; RIGHT(I6, LEN(I6) - FIND("!", I6) - 1))</f>
        <v>SH 8.0</v>
      </c>
      <c r="G6" s="710" t="b">
        <f ca="1">IF(ISNUMBER(SEARCH(RefData!$B$2, $C6)), FALSE, TRUE)</f>
        <v>1</v>
      </c>
      <c r="H6" s="718">
        <f>'Start here'!C21</f>
        <v>0</v>
      </c>
      <c r="I6" s="712" t="str">
        <f t="shared" ca="1" si="3"/>
        <v>'Start here'!C21</v>
      </c>
      <c r="J6" s="713" t="str" cm="1">
        <f t="array" aca="1" ref="J6" ca="1">IF(COUNTIF($K6:$T6, "&lt;&gt;FALSE") - COUNTBLANK($K6:$T6) &gt; 0, INDEX($K6:$T6, MATCH(TRUE, $K6:$T6 &lt;&gt; FALSE, 0)))</f>
        <v xml:space="preserve">
Enter a valid date in the format dd/mm/yyyy.
</v>
      </c>
      <c r="K6" s="712" t="str">
        <f ca="1">IF(OR($E6="",NOT(ISNUMBER(VALUE($E6)))),ErrorMsgs!$B6)</f>
        <v xml:space="preserve">
Enter a valid date in the format dd/mm/yyyy.
</v>
      </c>
      <c r="L6" s="712" t="e">
        <f ca="1">IF(VALUE($E6)&gt;TODAY(), ErrorMsgs!$C6)</f>
        <v>#VALUE!</v>
      </c>
      <c r="M6" s="714" t="e">
        <f ca="1">IF(VALUE($E6)&lt;45557,ErrorMsgs!$D6)</f>
        <v>#VALUE!</v>
      </c>
      <c r="N6" s="714"/>
      <c r="O6" s="712"/>
      <c r="P6" s="712"/>
      <c r="Q6" s="712"/>
      <c r="R6" s="712"/>
      <c r="S6" s="712"/>
      <c r="T6" s="712"/>
      <c r="U6" s="526" t="str">
        <f t="shared" ca="1" si="4"/>
        <v/>
      </c>
      <c r="V6" s="93" t="str" cm="1">
        <f t="array" aca="1" ref="V6" ca="1">CELL("format",INDIRECT(I6))</f>
        <v>D1</v>
      </c>
      <c r="W6" s="93" t="b">
        <f t="shared" ca="1" si="5"/>
        <v>0</v>
      </c>
      <c r="X6" s="715" t="str">
        <f t="shared" ca="1" si="1"/>
        <v/>
      </c>
      <c r="Y6" t="b">
        <f t="shared" ca="1" si="6"/>
        <v>1</v>
      </c>
    </row>
    <row r="7" spans="1:25" ht="46.5">
      <c r="A7" s="705" t="s">
        <v>3013</v>
      </c>
      <c r="B7" s="706" t="str">
        <f t="shared" ref="B7:B20" ca="1" si="7">HYPERLINK("#" &amp; $I7, SUBSTITUTE(SUBSTITUTE($I7, "!", " - "), "'",""))</f>
        <v>Start here - C22</v>
      </c>
      <c r="C7" s="707" t="str" cm="1">
        <f t="array" aca="1" ref="C7" ca="1">INDIRECT(LEFT(I7, FIND("!", I7)) &amp; RefData!$C$426 &amp; RIGHT(I7, LEN(I7) - FIND("!", I7) - 1))</f>
        <v xml:space="preserve">
What is the scheme's relevant date? (dd/mm/yyyy)
</v>
      </c>
      <c r="D7" s="92" t="str">
        <f t="shared" ca="1" si="0"/>
        <v xml:space="preserve">
Enter a date in the format dd/mm/yyyy.
</v>
      </c>
      <c r="E7" s="708" t="str" cm="1">
        <f t="array" aca="1" ref="E7" ca="1">IF(INDIRECT($I7)= "", "", INDIRECT($I7))</f>
        <v/>
      </c>
      <c r="F7" s="709" t="str" cm="1">
        <f t="array" aca="1" ref="F7" ca="1">INDIRECT(LEFT(I7, FIND("!", I7)) &amp; RefData!$C$427 &amp; RIGHT(I7, LEN(I7) - FIND("!", I7) - 1))</f>
        <v>SH 9.0</v>
      </c>
      <c r="G7" s="710" t="b">
        <f ca="1">IF(ISNUMBER(SEARCH(RefData!$B$2, $C7)), FALSE, TRUE)</f>
        <v>1</v>
      </c>
      <c r="H7" s="719">
        <f>'Start here'!C22</f>
        <v>0</v>
      </c>
      <c r="I7" s="712" t="str">
        <f t="shared" ref="I7:I20" ca="1" si="8">SUBSTITUTE(_xlfn.FORMULATEXT($H7), "=", "")</f>
        <v>'Start here'!C22</v>
      </c>
      <c r="J7" s="713" t="str" cm="1">
        <f t="array" aca="1" ref="J7" ca="1">IF(COUNTIF($K7:$T7, "&lt;&gt;FALSE") - COUNTBLANK($K7:$T7) &gt; 0, INDEX($K7:$T7, MATCH(TRUE, $K7:$T7 &lt;&gt; FALSE, 0)))</f>
        <v xml:space="preserve">
Enter a date in the format dd/mm/yyyy.
</v>
      </c>
      <c r="K7" s="712" t="str">
        <f ca="1">IF($E7="",ErrorMsgs!$B7)</f>
        <v xml:space="preserve">
Enter a date in the format dd/mm/yyyy.
</v>
      </c>
      <c r="L7" s="712" t="str">
        <f ca="1">IF(NOT(ISNUMBER($E7)),ErrorMsgs!$C7)</f>
        <v xml:space="preserve">
Enter a date in the format dd/mm/yyyy.
</v>
      </c>
      <c r="M7" s="714"/>
      <c r="N7" s="714"/>
      <c r="O7" s="712"/>
      <c r="P7" s="712"/>
      <c r="Q7" s="712"/>
      <c r="R7" s="712"/>
      <c r="S7" s="712"/>
      <c r="T7" s="712"/>
      <c r="U7" s="526" t="str">
        <f t="shared" ca="1" si="4"/>
        <v/>
      </c>
      <c r="V7" s="93" t="str" cm="1">
        <f t="array" aca="1" ref="V7" ca="1">CELL("format",INDIRECT(I7))</f>
        <v>D1</v>
      </c>
      <c r="W7" s="93" t="b">
        <f t="shared" ca="1" si="5"/>
        <v>0</v>
      </c>
      <c r="X7" s="715" t="str">
        <f t="shared" ca="1" si="1"/>
        <v/>
      </c>
      <c r="Y7" t="b">
        <f t="shared" ca="1" si="6"/>
        <v>1</v>
      </c>
    </row>
    <row r="8" spans="1:25" ht="77.5">
      <c r="A8" s="705" t="s">
        <v>3014</v>
      </c>
      <c r="B8" s="706" t="str">
        <f t="shared" ca="1" si="7"/>
        <v>Start here - C23</v>
      </c>
      <c r="C8" s="707" t="str" cm="1">
        <f t="array" aca="1" ref="C8" ca="1">INDIRECT(LEFT(I8, FIND("!", I8)) &amp; RefData!$C$426 &amp; RIGHT(I8, LEN(I8) - FIND("!", I8) - 1))</f>
        <v xml:space="preserve">
Has the scheme reached its relevant date on or before the effective date of the valuation? (The answer has been or will be derived from the answers given to questions SH 8.0 and SH 9.0)
</v>
      </c>
      <c r="D8" s="92" t="str">
        <f t="shared" ca="1" si="0"/>
        <v>Select ‘Yes' if the scheme has reached its relevant date on or before the effective date of the valuation or 'No' if it has not.</v>
      </c>
      <c r="E8" s="708" t="str" cm="1">
        <f t="array" aca="1" ref="E8" ca="1">IF(INDIRECT($I8)= "", "", INDIRECT($I8))</f>
        <v/>
      </c>
      <c r="F8" s="709" t="str" cm="1">
        <f t="array" aca="1" ref="F8" ca="1">INDIRECT(LEFT(I8, FIND("!", I8)) &amp; RefData!$C$427 &amp; RIGHT(I8, LEN(I8) - FIND("!", I8) - 1))</f>
        <v>SH 10.0</v>
      </c>
      <c r="G8" s="710" t="b">
        <f ca="1">IF(ISNUMBER(SEARCH(RefData!$B$2, $C8)), FALSE, TRUE)</f>
        <v>1</v>
      </c>
      <c r="H8" s="711" t="str">
        <f>'Start here'!C23</f>
        <v/>
      </c>
      <c r="I8" s="712" t="str">
        <f t="shared" ca="1" si="8"/>
        <v>'Start here'!C23</v>
      </c>
      <c r="J8" s="713" t="str" cm="1">
        <f t="array" aca="1" ref="J8" ca="1">IF(COUNTIF($K8:$T8, "&lt;&gt;FALSE") - COUNTBLANK($K8:$T8) &gt; 0, INDEX($K8:$T8, MATCH(TRUE, $K8:$T8 &lt;&gt; FALSE, 0)))</f>
        <v>Select ‘Yes' if the scheme has reached its relevant date on or before the effective date of the valuation or 'No' if it has not.</v>
      </c>
      <c r="K8" s="712" t="str">
        <f ca="1">IF(OR(ISERROR($E8),$E8=""),ErrorMsgs!B8)</f>
        <v>Select ‘Yes' if the scheme has reached its relevant date on or before the effective date of the valuation or 'No' if it has not.</v>
      </c>
      <c r="L8" s="712" t="str">
        <f ca="1">IF(ISNA(MATCH($E8,RefData!B17:B18,0)),ErrorMsgs!C8)</f>
        <v>Select ‘Yes' if the scheme has reached its relevant date on or before the effective date of the valuation or 'No' if it has not.</v>
      </c>
      <c r="M8" s="714"/>
      <c r="N8" s="714"/>
      <c r="O8" s="712"/>
      <c r="P8" s="712"/>
      <c r="Q8" s="712"/>
      <c r="R8" s="712"/>
      <c r="S8" s="712"/>
      <c r="T8" s="712"/>
      <c r="U8" s="526" t="str">
        <f t="shared" ca="1" si="4"/>
        <v/>
      </c>
      <c r="V8" s="93" t="str" cm="1">
        <f t="array" aca="1" ref="V8" ca="1">CELL("format",INDIRECT(I8))</f>
        <v>G</v>
      </c>
      <c r="W8" s="93" t="b">
        <f t="shared" ca="1" si="5"/>
        <v>0</v>
      </c>
      <c r="X8" s="715" t="str">
        <f t="shared" ca="1" si="1"/>
        <v/>
      </c>
      <c r="Y8" t="b">
        <f t="shared" ca="1" si="6"/>
        <v>1</v>
      </c>
    </row>
    <row r="9" spans="1:25" ht="62">
      <c r="A9" s="705" t="s">
        <v>3015</v>
      </c>
      <c r="B9" s="706" t="str">
        <f t="shared" ca="1" si="7"/>
        <v>Start here - C24</v>
      </c>
      <c r="C9" s="707" t="str" cm="1">
        <f t="array" aca="1" ref="C9" ca="1">INDIRECT(LEFT(I9, FIND("!", I9)) &amp; RefData!$C$426 &amp; RIGHT(I9, LEN(I9) - FIND("!", I9) - 1))</f>
        <v xml:space="preserve">
Is the scheme a 'small scheme' on the effective date of the valuation?
</v>
      </c>
      <c r="D9" s="92" t="str">
        <f t="shared" ca="1" si="0"/>
        <v>Select ‘Yes’ if the scheme meets the 'small scheme' definition on the effective date of the valuation and ‘No’ if it does not.</v>
      </c>
      <c r="E9" s="708" t="str" cm="1">
        <f t="array" aca="1" ref="E9" ca="1">IF(INDIRECT($I9)= "", "", INDIRECT($I9))</f>
        <v/>
      </c>
      <c r="F9" s="709" t="str" cm="1">
        <f t="array" aca="1" ref="F9" ca="1">INDIRECT(LEFT(I9, FIND("!", I9)) &amp; RefData!$C$427 &amp; RIGHT(I9, LEN(I9) - FIND("!", I9) - 1))</f>
        <v>SH 11.0</v>
      </c>
      <c r="G9" s="710" t="b">
        <f ca="1">IF(ISNUMBER(SEARCH(RefData!$B$2, $C9)), FALSE, TRUE)</f>
        <v>1</v>
      </c>
      <c r="H9" s="711">
        <f>'Start here'!C24</f>
        <v>0</v>
      </c>
      <c r="I9" s="712" t="str">
        <f t="shared" ca="1" si="8"/>
        <v>'Start here'!C24</v>
      </c>
      <c r="J9" s="713" t="str" cm="1">
        <f t="array" aca="1" ref="J9" ca="1">IF(COUNTIF($K9:$T9, "&lt;&gt;FALSE") - COUNTBLANK($K9:$T9) &gt; 0, INDEX($K9:$T9, MATCH(TRUE, $K9:$T9 &lt;&gt; FALSE, 0)))</f>
        <v>Select ‘Yes’ if the scheme meets the 'small scheme' definition on the effective date of the valuation and ‘No’ if it does not.</v>
      </c>
      <c r="K9" s="712" t="str">
        <f ca="1">IF(OR(ISERROR($E9),$E9=""),ErrorMsgs!B9)</f>
        <v>Select ‘Yes’ if the scheme meets the 'small scheme' definition on the effective date of the valuation and ‘No’ if it does not.</v>
      </c>
      <c r="L9" s="712" t="str">
        <f ca="1">IF(ISNA(MATCH($E9, RefData!B4:B5, 0)),ErrorMsgs!C9)</f>
        <v>Select ‘Yes’ if the scheme meets the 'small scheme' definition on the effective date of the valuation and ‘No’ if it does not.</v>
      </c>
      <c r="M9" s="714"/>
      <c r="N9" s="714"/>
      <c r="O9" s="712"/>
      <c r="P9" s="712"/>
      <c r="Q9" s="712"/>
      <c r="R9" s="712"/>
      <c r="S9" s="712"/>
      <c r="T9" s="712"/>
      <c r="U9" s="526" t="str">
        <f t="shared" ca="1" si="4"/>
        <v/>
      </c>
      <c r="V9" s="93" t="str" cm="1">
        <f t="array" aca="1" ref="V9" ca="1">CELL("format",INDIRECT(I9))</f>
        <v>G</v>
      </c>
      <c r="W9" s="93" t="b">
        <f t="shared" ca="1" si="5"/>
        <v>0</v>
      </c>
      <c r="X9" s="715" t="str">
        <f t="shared" ca="1" si="1"/>
        <v/>
      </c>
      <c r="Y9" t="b">
        <f t="shared" ca="1" si="6"/>
        <v>1</v>
      </c>
    </row>
    <row r="10" spans="1:25" ht="62">
      <c r="A10" s="705" t="s">
        <v>3016</v>
      </c>
      <c r="B10" s="706" t="str">
        <f t="shared" ca="1" si="7"/>
        <v>Start here - C25</v>
      </c>
      <c r="C10" s="707" t="str" cm="1">
        <f t="array" aca="1" ref="C10" ca="1">INDIRECT(LEFT(I10, FIND("!", I10)) &amp; RefData!$C$426 &amp; RIGHT(I10, LEN(I10) - FIND("!", I10) - 1))</f>
        <v xml:space="preserve">
Is the scheme in surplus or deficit on a technical provisions (TP) basis at the effective date of valuation?
</v>
      </c>
      <c r="D10" s="92" t="str">
        <f ca="1">""&amp;IF(J10=FALSE, "", J10)
&amp;""</f>
        <v>Select ‘In surplus’ if the scheme is in surplus on a technical provisions basis at the effective date of valuation or ‘In deficit’ if it is in deficit.</v>
      </c>
      <c r="E10" s="708" t="str" cm="1">
        <f t="array" aca="1" ref="E10" ca="1">IF(INDIRECT($I10)= "", "", INDIRECT($I10))</f>
        <v/>
      </c>
      <c r="F10" s="709" t="str" cm="1">
        <f t="array" aca="1" ref="F10" ca="1">INDIRECT(LEFT(I10, FIND("!", I10)) &amp; RefData!$C$427 &amp; RIGHT(I10, LEN(I10) - FIND("!", I10) - 1))</f>
        <v>SH 12.0</v>
      </c>
      <c r="G10" s="710" t="b">
        <f ca="1">IF(ISNUMBER(SEARCH(RefData!$B$2, $C10)), FALSE, TRUE)</f>
        <v>1</v>
      </c>
      <c r="H10" s="717">
        <f>'Start here'!C25</f>
        <v>0</v>
      </c>
      <c r="I10" s="712" t="str">
        <f t="shared" ca="1" si="8"/>
        <v>'Start here'!C25</v>
      </c>
      <c r="J10" s="713" t="str" cm="1">
        <f t="array" aca="1" ref="J10" ca="1">IF(COUNTIF($K10:$T10, "&lt;&gt;FALSE") - COUNTBLANK($K10:$T10) &gt; 0, INDEX($K10:$T10, MATCH(TRUE, $K10:$T10 &lt;&gt; FALSE, 0)))</f>
        <v>Select ‘In surplus’ if the scheme is in surplus on a technical provisions basis at the effective date of valuation or ‘In deficit’ if it is in deficit.</v>
      </c>
      <c r="K10" s="712" t="str">
        <f ca="1">IF(OR(ISERROR($E10),$E10=""),ErrorMsgs!B10)</f>
        <v>Select ‘In surplus’ if the scheme is in surplus on a technical provisions basis at the effective date of valuation or ‘In deficit’ if it is in deficit.</v>
      </c>
      <c r="L10" s="712" t="str">
        <f ca="1">IF(ISNA(MATCH( $E10, RefData!B15:B16, 0)),ErrorMsgs!C10)</f>
        <v>Select ‘In surplus’ if the scheme is in surplus on a technical provisions basis at the effective date of valuation or ‘In deficit’ if it is in deficit.</v>
      </c>
      <c r="M10" s="714"/>
      <c r="N10" s="714"/>
      <c r="O10" s="712"/>
      <c r="P10" s="712"/>
      <c r="Q10" s="712"/>
      <c r="R10" s="712"/>
      <c r="S10" s="712"/>
      <c r="T10" s="712"/>
      <c r="U10" s="526" t="str">
        <f t="shared" ca="1" si="4"/>
        <v/>
      </c>
      <c r="V10" s="93" t="str" cm="1">
        <f t="array" aca="1" ref="V10" ca="1">CELL("format",INDIRECT(I10))</f>
        <v>G</v>
      </c>
      <c r="W10" s="93" t="b">
        <f t="shared" ca="1" si="5"/>
        <v>0</v>
      </c>
      <c r="X10" s="715" t="str">
        <f t="shared" ca="1" si="1"/>
        <v/>
      </c>
      <c r="Y10" t="b">
        <f t="shared" ca="1" si="6"/>
        <v>1</v>
      </c>
    </row>
    <row r="11" spans="1:25" ht="46.5">
      <c r="A11" s="705" t="s">
        <v>3017</v>
      </c>
      <c r="B11" s="706" t="str">
        <f t="shared" ca="1" si="7"/>
        <v>Start here - C26</v>
      </c>
      <c r="C11" s="707" t="str" cm="1">
        <f t="array" aca="1" ref="C11" ca="1">INDIRECT(LEFT(I11, FIND("!", I11)) &amp; RefData!$C$426 &amp; RIGHT(I11, LEN(I11) - FIND("!", I11) - 1))</f>
        <v xml:space="preserve">
Does the scheme follow a Fast Track or Bespoke approach?
</v>
      </c>
      <c r="D11" s="92" t="str">
        <f t="shared" ca="1" si="0"/>
        <v>Select 'Fast Track' if the scheme follows a Fast Track approach or 'Bespoke' if it follows a Bespoke approach.</v>
      </c>
      <c r="E11" s="708" t="str" cm="1">
        <f t="array" aca="1" ref="E11" ca="1">IF(INDIRECT($I11)= "", "", INDIRECT($I11))</f>
        <v/>
      </c>
      <c r="F11" s="709" t="str" cm="1">
        <f t="array" aca="1" ref="F11" ca="1">INDIRECT(LEFT(I11, FIND("!", I11)) &amp; RefData!$C$427 &amp; RIGHT(I11, LEN(I11) - FIND("!", I11) - 1))</f>
        <v>SH 13.0</v>
      </c>
      <c r="G11" s="710" t="b">
        <f ca="1">IF(ISNUMBER(SEARCH(RefData!$B$2, $C11)), FALSE, TRUE)</f>
        <v>1</v>
      </c>
      <c r="H11" s="711">
        <f>'Start here'!C26</f>
        <v>0</v>
      </c>
      <c r="I11" s="712" t="str">
        <f t="shared" ca="1" si="8"/>
        <v>'Start here'!C26</v>
      </c>
      <c r="J11" s="713" t="str" cm="1">
        <f t="array" aca="1" ref="J11" ca="1">IF(COUNTIF($K11:$T11, "&lt;&gt;FALSE") - COUNTBLANK($K11:$T11) &gt; 0, INDEX($K11:$T11, MATCH(TRUE, $K11:$T11 &lt;&gt; FALSE, 0)))</f>
        <v>Select 'Fast Track' if the scheme follows a Fast Track approach or 'Bespoke' if it follows a Bespoke approach.</v>
      </c>
      <c r="K11" s="712" t="str">
        <f ca="1">IF(OR(ISERROR($E11),$E11=""),ErrorMsgs!B11)</f>
        <v>Select 'Fast Track' if the scheme follows a Fast Track approach or 'Bespoke' if it follows a Bespoke approach.</v>
      </c>
      <c r="L11" s="712" t="str">
        <f ca="1">IF(ISNA(MATCH($E11,RefData!B9:B10, 0)),ErrorMsgs!C11)</f>
        <v>Select 'Fast Track' if the scheme follows a Fast Track approach or 'Bespoke' if it follows a Bespoke approach.</v>
      </c>
      <c r="M11" s="714"/>
      <c r="N11" s="714"/>
      <c r="O11" s="712"/>
      <c r="P11" s="712"/>
      <c r="Q11" s="712"/>
      <c r="R11" s="712"/>
      <c r="S11" s="712"/>
      <c r="T11" s="712"/>
      <c r="U11" s="526" t="str">
        <f t="shared" ca="1" si="4"/>
        <v/>
      </c>
      <c r="V11" s="93" t="str" cm="1">
        <f t="array" aca="1" ref="V11" ca="1">CELL("format",INDIRECT(I11))</f>
        <v>G</v>
      </c>
      <c r="W11" s="93" t="b">
        <f t="shared" ca="1" si="5"/>
        <v>0</v>
      </c>
      <c r="X11" s="715" t="str">
        <f t="shared" ca="1" si="1"/>
        <v/>
      </c>
      <c r="Y11" t="b">
        <f t="shared" ca="1" si="6"/>
        <v>1</v>
      </c>
    </row>
    <row r="12" spans="1:25" ht="62">
      <c r="A12" s="705" t="s">
        <v>3018</v>
      </c>
      <c r="B12" s="706" t="str">
        <f t="shared" ca="1" si="7"/>
        <v>Start here - C27</v>
      </c>
      <c r="C12" s="707" t="str" cm="1">
        <f t="array" aca="1" ref="C12" ca="1">INDIRECT(LEFT(I12, FIND("!", I12)) &amp; RefData!$C$426 &amp; RIGHT(I12, LEN(I12) - FIND("!", I12) - 1))</f>
        <v xml:space="preserve">
Does the scheme meet the 'Bespoke low-risk scheme' requirements?
</v>
      </c>
      <c r="D12" s="92" t="str">
        <f t="shared" ca="1" si="0"/>
        <v/>
      </c>
      <c r="E12" s="708" t="str" cm="1">
        <f t="array" aca="1" ref="E12" ca="1">IF(INDIRECT($I12)= "", "", INDIRECT($I12))</f>
        <v/>
      </c>
      <c r="F12" s="709" t="str" cm="1">
        <f t="array" aca="1" ref="F12" ca="1">INDIRECT(LEFT(I12, FIND("!", I12)) &amp; RefData!$C$427 &amp; RIGHT(I12, LEN(I12) - FIND("!", I12) - 1))</f>
        <v>SH 14.0</v>
      </c>
      <c r="G12" s="710" t="b">
        <f ca="1">IF(ISNUMBER(SEARCH(RefData!$B$2, $C12)), FALSE, TRUE)</f>
        <v>1</v>
      </c>
      <c r="H12" s="717">
        <f>'Start here'!C27</f>
        <v>0</v>
      </c>
      <c r="I12" s="712" t="str">
        <f t="shared" ca="1" si="8"/>
        <v>'Start here'!C27</v>
      </c>
      <c r="J12" s="713" t="b" cm="1">
        <f t="array" aca="1" ref="J12" ca="1">IF(COUNTIF($K12:$T12, "&lt;&gt;FALSE") - COUNTBLANK($K12:$T12) &gt; 0, INDEX($K12:$T12, MATCH(TRUE, $K12:$T12 &lt;&gt; FALSE, 0)))</f>
        <v>0</v>
      </c>
      <c r="K12" s="712" t="b">
        <f ca="1">IF(OR(ISERROR($E12),AND('Start here'!C26=RefData!B10,'Start here'!C23=RefData!B17,ISNA(MATCH($E12,RefData!B11:B12,0)))),ErrorMsgs!$B12)</f>
        <v>0</v>
      </c>
      <c r="L12" s="712" t="b">
        <f ca="1">IF(AND('Start here'!C26=RefData!B9,E12&lt;&gt;""),ErrorMsgs!$C12)</f>
        <v>0</v>
      </c>
      <c r="M12" s="714" t="b">
        <f ca="1">IF(AND('Start here'!C23=RefData!B18,E12&lt;&gt;""),ErrorMsgs!$D12)</f>
        <v>0</v>
      </c>
      <c r="N12" s="714"/>
      <c r="O12" s="712"/>
      <c r="P12" s="712"/>
      <c r="Q12" s="712"/>
      <c r="R12" s="712"/>
      <c r="S12" s="712"/>
      <c r="T12" s="712"/>
      <c r="U12" s="526" t="str">
        <f t="shared" ca="1" si="4"/>
        <v/>
      </c>
      <c r="V12" s="93" t="str" cm="1">
        <f t="array" aca="1" ref="V12" ca="1">CELL("format",INDIRECT(I12))</f>
        <v>G</v>
      </c>
      <c r="W12" s="93" t="b">
        <f t="shared" ca="1" si="5"/>
        <v>0</v>
      </c>
      <c r="X12" s="715" t="str">
        <f t="shared" ca="1" si="1"/>
        <v/>
      </c>
      <c r="Y12" t="b">
        <f t="shared" ca="1" si="6"/>
        <v>1</v>
      </c>
    </row>
    <row r="13" spans="1:25" ht="62">
      <c r="A13" s="705" t="s">
        <v>3019</v>
      </c>
      <c r="B13" s="706" t="str">
        <f t="shared" ca="1" si="7"/>
        <v>Start here - C28</v>
      </c>
      <c r="C13" s="707" t="str" cm="1">
        <f t="array" aca="1" ref="C13" ca="1">INDIRECT(LEFT(I13, FIND("!", I13)) &amp; RefData!$C$426 &amp; RIGHT(I13, LEN(I13) - FIND("!", I13) - 1))</f>
        <v xml:space="preserve">
Does the scheme meet the 'Fast Track low-risk scheme' requirements?
</v>
      </c>
      <c r="D13" s="92" t="str">
        <f t="shared" ca="1" si="0"/>
        <v/>
      </c>
      <c r="E13" s="708" t="str" cm="1">
        <f t="array" aca="1" ref="E13" ca="1">IF(INDIRECT($I13)= "", "", INDIRECT($I13))</f>
        <v/>
      </c>
      <c r="F13" s="709" t="str" cm="1">
        <f t="array" aca="1" ref="F13" ca="1">INDIRECT(LEFT(I13, FIND("!", I13)) &amp; RefData!$C$427 &amp; RIGHT(I13, LEN(I13) - FIND("!", I13) - 1))</f>
        <v>SH 15.0</v>
      </c>
      <c r="G13" s="710" t="b">
        <f ca="1">IF(ISNUMBER(SEARCH(RefData!$B$2, $C13)), FALSE, TRUE)</f>
        <v>1</v>
      </c>
      <c r="H13" s="711">
        <f>'Start here'!C28</f>
        <v>0</v>
      </c>
      <c r="I13" s="712" t="str">
        <f t="shared" ca="1" si="8"/>
        <v>'Start here'!C28</v>
      </c>
      <c r="J13" s="713" t="b" cm="1">
        <f t="array" aca="1" ref="J13" ca="1">IF(COUNTIF($K13:$T13, "&lt;&gt;FALSE") - COUNTBLANK($K13:$T13) &gt; 0, INDEX($K13:$T13, MATCH(TRUE, $K13:$T13 &lt;&gt; FALSE, 0)))</f>
        <v>0</v>
      </c>
      <c r="K13" s="712" t="b">
        <f ca="1">IF(OR(ISERROR($E13), AND('Start here'!$C$26=RefData!$B$9,'Reconciliation report'!$E13="")),ErrorMsgs!B$13)</f>
        <v>0</v>
      </c>
      <c r="L13" s="712" t="b">
        <f ca="1">IF(AND('Start here'!$C$26=RefData!$B$9,ISNA(MATCH($E13,RefData!B13:B14, 0))),ErrorMsgs!C13)</f>
        <v>0</v>
      </c>
      <c r="M13" s="714" t="b">
        <f ca="1">IF(AND('Start here'!C26=RefData!B10,'Reconciliation report'!E13&lt;&gt;""),ErrorMsgs!D13)</f>
        <v>0</v>
      </c>
      <c r="N13" s="714"/>
      <c r="O13" s="712"/>
      <c r="P13" s="712"/>
      <c r="Q13" s="712"/>
      <c r="R13" s="712"/>
      <c r="S13" s="712"/>
      <c r="T13" s="712"/>
      <c r="U13" s="526" t="str">
        <f t="shared" ca="1" si="4"/>
        <v/>
      </c>
      <c r="V13" s="93" t="str" cm="1">
        <f t="array" aca="1" ref="V13" ca="1">CELL("format",INDIRECT(I13))</f>
        <v>G</v>
      </c>
      <c r="W13" s="93" t="b">
        <f t="shared" ca="1" si="5"/>
        <v>0</v>
      </c>
      <c r="X13" s="715" t="str">
        <f t="shared" ca="1" si="1"/>
        <v/>
      </c>
      <c r="Y13" t="b">
        <f t="shared" ca="1" si="6"/>
        <v>1</v>
      </c>
    </row>
    <row r="14" spans="1:25" ht="77.5">
      <c r="A14" s="705" t="s">
        <v>3020</v>
      </c>
      <c r="B14" s="716" t="str">
        <f t="shared" ca="1" si="7"/>
        <v>Funding and investment strategy - C7</v>
      </c>
      <c r="C14" s="707" t="str" cm="1">
        <f t="array" aca="1" ref="C14" ca="1">INDIRECT(LEFT(I14, FIND("!", I14)) &amp; RefData!$C$426 &amp; RIGHT(I14, LEN(I14) - FIND("!", I14) - 1))</f>
        <v xml:space="preserve">
For past service benefits only, what is the scheme actuary's estimate of the maturity of the scheme expressed in years of duration as at the effective date of the valuation?
</v>
      </c>
      <c r="D14" s="92" t="str">
        <f t="shared" ca="1" si="0"/>
        <v xml:space="preserve">
Enter a value greater than 0. It can be accurate to one decimal place.
</v>
      </c>
      <c r="E14" s="708" t="str" cm="1">
        <f t="array" aca="1" ref="E14" ca="1">IF(INDIRECT($I14)= "", "", INDIRECT($I14))</f>
        <v/>
      </c>
      <c r="F14" s="709" t="str" cm="1">
        <f t="array" aca="1" ref="F14" ca="1">INDIRECT(LEFT(I14, FIND("!", I14)) &amp; RefData!$C$427 &amp; RIGHT(I14, LEN(I14) - FIND("!", I14) - 1))</f>
        <v>FIS 1.0</v>
      </c>
      <c r="G14" s="710" t="b">
        <f ca="1">IF(ISNUMBER(SEARCH(RefData!$B$2, $C14)), FALSE, TRUE)</f>
        <v>1</v>
      </c>
      <c r="H14" s="115">
        <f>'Funding and investment strategy'!C7</f>
        <v>0</v>
      </c>
      <c r="I14" s="712" t="str">
        <f t="shared" ca="1" si="8"/>
        <v>'Funding and investment strategy'!C7</v>
      </c>
      <c r="J14" s="713" t="str" cm="1">
        <f t="array" aca="1" ref="J14" ca="1">IF(COUNTIF($K14:$T14, "&lt;&gt;FALSE") - COUNTBLANK($K14:$T14) &gt; 0, INDEX($K14:$T14, MATCH(TRUE, $K14:$T14 &lt;&gt; FALSE, 0)))</f>
        <v xml:space="preserve">
Enter a value greater than 0. It can be accurate to one decimal place.
</v>
      </c>
      <c r="K14" s="712" t="str">
        <f ca="1">IF(ISERROR(VALUE($E$14)-ROUND(VALUE($E$14),1)&lt;&gt;0),ErrorMsgs!$B$14,IF(OR($E$14="",NOT(ISNUMBER($E$14)),VALUE($E$14)-ROUND(VALUE($E$14),1)&lt;&gt;0,$E$14&lt;0),ErrorMsgs!$B$14))</f>
        <v xml:space="preserve">
Enter a value greater than 0. It can be accurate to one decimal place.
</v>
      </c>
      <c r="L14" s="712"/>
      <c r="M14" s="714"/>
      <c r="N14" s="714"/>
      <c r="O14" s="712"/>
      <c r="P14" s="712"/>
      <c r="Q14" s="712"/>
      <c r="R14" s="712"/>
      <c r="S14" s="712"/>
      <c r="T14" s="712"/>
      <c r="U14" s="526" t="str">
        <f t="shared" ca="1" si="4"/>
        <v/>
      </c>
      <c r="V14" s="93" t="str" cm="1">
        <f t="array" aca="1" ref="V14" ca="1">CELL("format",INDIRECT(I14))</f>
        <v>F1</v>
      </c>
      <c r="W14" s="93" t="b">
        <f t="shared" ca="1" si="5"/>
        <v>0</v>
      </c>
      <c r="X14" s="715" t="str">
        <f t="shared" ca="1" si="1"/>
        <v/>
      </c>
      <c r="Y14" t="b">
        <f t="shared" ca="1" si="6"/>
        <v>1</v>
      </c>
    </row>
    <row r="15" spans="1:25" ht="46.5">
      <c r="A15" s="705" t="s">
        <v>3021</v>
      </c>
      <c r="B15" s="706" t="str">
        <f t="shared" ca="1" si="7"/>
        <v>Funding and investment strategy - C8</v>
      </c>
      <c r="C15" s="707" t="str" cm="1">
        <f t="array" aca="1" ref="C15" ca="1">INDIRECT(LEFT(I15, FIND("!", I15)) &amp; RefData!$C$426 &amp; RIGHT(I15, LEN(I15) - FIND("!", I15) - 1))</f>
        <v xml:space="preserve">
Is the scheme open to accrual?
</v>
      </c>
      <c r="D15" s="92" t="str">
        <f t="shared" ca="1" si="0"/>
        <v xml:space="preserve">
'Select ‘Yes’ if the scheme is open to accrual and 'No' if it is not.
</v>
      </c>
      <c r="E15" s="708" t="str" cm="1">
        <f t="array" aca="1" ref="E15" ca="1">IF(INDIRECT($I15)= "", "", INDIRECT($I15))</f>
        <v/>
      </c>
      <c r="F15" s="709" t="str" cm="1">
        <f t="array" aca="1" ref="F15" ca="1">INDIRECT(LEFT(I15, FIND("!", I15)) &amp; RefData!$C$427 &amp; RIGHT(I15, LEN(I15) - FIND("!", I15) - 1))</f>
        <v>FIS 2.0</v>
      </c>
      <c r="G15" s="710" t="b">
        <f ca="1">IF(ISNUMBER(SEARCH(RefData!$B$2, $C15)), FALSE, TRUE)</f>
        <v>1</v>
      </c>
      <c r="H15" s="711">
        <f>'Funding and investment strategy'!C8</f>
        <v>0</v>
      </c>
      <c r="I15" s="712" t="str">
        <f t="shared" ca="1" si="8"/>
        <v>'Funding and investment strategy'!C8</v>
      </c>
      <c r="J15" s="713" t="str" cm="1">
        <f t="array" aca="1" ref="J15" ca="1">IF(COUNTIF($K15:$T15, "&lt;&gt;FALSE") - COUNTBLANK($K15:$T15) &gt; 0, INDEX($K15:$T15, MATCH(TRUE, $K15:$T15 &lt;&gt; FALSE, 0)))</f>
        <v xml:space="preserve">
'Select ‘Yes’ if the scheme is open to accrual and 'No' if it is not.
</v>
      </c>
      <c r="K15" s="712" t="str">
        <f ca="1">IF(OR($E15="",ISERROR($E15),ISNA(MATCH( $E15, RefData!$B$23:$B$24, 0))),ErrorMsgs!$B$15)</f>
        <v xml:space="preserve">
'Select ‘Yes’ if the scheme is open to accrual and 'No' if it is not.
</v>
      </c>
      <c r="L15" s="712"/>
      <c r="M15" s="714"/>
      <c r="N15" s="714"/>
      <c r="O15" s="712"/>
      <c r="P15" s="712"/>
      <c r="Q15" s="712"/>
      <c r="R15" s="712"/>
      <c r="S15" s="712"/>
      <c r="T15" s="712"/>
      <c r="U15" s="526" t="str">
        <f t="shared" ca="1" si="4"/>
        <v/>
      </c>
      <c r="V15" s="93" t="str" cm="1">
        <f t="array" aca="1" ref="V15" ca="1">CELL("format",INDIRECT(I15))</f>
        <v>G</v>
      </c>
      <c r="W15" s="93" t="b">
        <f t="shared" ca="1" si="5"/>
        <v>0</v>
      </c>
      <c r="X15" s="715" t="str">
        <f t="shared" ca="1" si="1"/>
        <v/>
      </c>
      <c r="Y15" t="b">
        <f t="shared" ca="1" si="6"/>
        <v>1</v>
      </c>
    </row>
    <row r="16" spans="1:25" ht="62">
      <c r="A16" s="705" t="s">
        <v>3022</v>
      </c>
      <c r="B16" s="706" t="str">
        <f t="shared" ca="1" si="7"/>
        <v>Funding and investment strategy - C9</v>
      </c>
      <c r="C16" s="707" t="str" cm="1">
        <f t="array" aca="1" ref="C16" ca="1">INDIRECT(LEFT(I16, FIND("!", I16)) &amp; RefData!$C$426 &amp; RIGHT(I16, LEN(I16) - FIND("!", I16) - 1))</f>
        <v xml:space="preserve">
When estimating the date of significant maturity, what are the number of years included in the allowance for future accrual?
</v>
      </c>
      <c r="D16" s="92" t="str">
        <f t="shared" ca="1" si="0"/>
        <v/>
      </c>
      <c r="E16" s="708" t="str" cm="1">
        <f t="array" aca="1" ref="E16" ca="1">IF(INDIRECT($I16)= "", "", INDIRECT($I16))</f>
        <v/>
      </c>
      <c r="F16" s="709" t="str" cm="1">
        <f t="array" aca="1" ref="F16" ca="1">INDIRECT(LEFT(I16, FIND("!", I16)) &amp; RefData!$C$427 &amp; RIGHT(I16, LEN(I16) - FIND("!", I16) - 1))</f>
        <v>FIS 3.0</v>
      </c>
      <c r="G16" s="710" t="b">
        <f ca="1">IF(ISNUMBER(SEARCH(RefData!$B$2, $C16)), FALSE, TRUE)</f>
        <v>1</v>
      </c>
      <c r="H16" s="720">
        <f>'Funding and investment strategy'!C9</f>
        <v>0</v>
      </c>
      <c r="I16" s="712" t="str">
        <f t="shared" ca="1" si="8"/>
        <v>'Funding and investment strategy'!C9</v>
      </c>
      <c r="J16" s="713" t="b" cm="1">
        <f t="array" aca="1" ref="J16" ca="1">IF(COUNTIF($K16:$T16, "&lt;&gt;FALSE") - COUNTBLANK($K16:$T16) &gt; 0, INDEX($K16:$T16, MATCH(TRUE, $K16:$T16 &lt;&gt; FALSE, 0)))</f>
        <v>0</v>
      </c>
      <c r="K16" s="712" t="b">
        <f ca="1">IF(AND('Funding and investment strategy'!$C$8=RefData!$B$23,'Reconciliation report'!$E16=""),ErrorMsgs!$B$16)</f>
        <v>0</v>
      </c>
      <c r="L16" s="712" t="b">
        <f ca="1">IF(AND('Funding and investment strategy'!$C$8=RefData!$B$24,'Reconciliation report'!$E16&lt;&gt;""),ErrorMsgs!$C$16)</f>
        <v>0</v>
      </c>
      <c r="M16" s="714" t="b">
        <f ca="1">IF($E16="",FALSE,IF(OR(NOT(ISNUMBER(VALUE($E16))),VALUE($E16)&lt;0,INT(E16)&lt;&gt;E16),ErrorMsgs!$D$16))</f>
        <v>0</v>
      </c>
      <c r="N16" s="714" t="b">
        <f ca="1">IF($E16="",FALSE,IF(VALUE($E16)&gt;99,ErrorMsgs!$E16))</f>
        <v>0</v>
      </c>
      <c r="O16" s="712"/>
      <c r="P16" s="712"/>
      <c r="Q16" s="712"/>
      <c r="R16" s="712"/>
      <c r="S16" s="712"/>
      <c r="T16" s="712"/>
      <c r="U16" s="526" t="str">
        <f t="shared" ca="1" si="4"/>
        <v/>
      </c>
      <c r="V16" s="93" t="str" cm="1">
        <f t="array" aca="1" ref="V16" ca="1">CELL("format",INDIRECT(I16))</f>
        <v>F0</v>
      </c>
      <c r="W16" s="93" t="b">
        <f t="shared" ca="1" si="5"/>
        <v>0</v>
      </c>
      <c r="X16" s="715" t="str">
        <f t="shared" ca="1" si="1"/>
        <v/>
      </c>
      <c r="Y16" t="b">
        <f t="shared" ca="1" si="6"/>
        <v>1</v>
      </c>
    </row>
    <row r="17" spans="1:25" ht="77.5">
      <c r="A17" s="705" t="s">
        <v>3023</v>
      </c>
      <c r="B17" s="706" t="str">
        <f t="shared" ca="1" si="7"/>
        <v>Funding and investment strategy - C10</v>
      </c>
      <c r="C17" s="707" t="str" cm="1">
        <f t="array" aca="1" ref="C17" ca="1">INDIRECT(LEFT(I17, FIND("!", I17)) &amp; RefData!$C$426 &amp; RIGHT(I17, LEN(I17) - FIND("!", I17) - 1))</f>
        <v xml:space="preserve">
Including any allowance for future accrual, what is the scheme actuary's estimate of the maturity (duration) of the scheme as at the effective date of the valuation?
</v>
      </c>
      <c r="D17" s="92" t="str">
        <f t="shared" ca="1" si="0"/>
        <v/>
      </c>
      <c r="E17" s="708" t="str" cm="1">
        <f t="array" aca="1" ref="E17" ca="1">IF(INDIRECT($I17)= "", "", INDIRECT($I17))</f>
        <v/>
      </c>
      <c r="F17" s="709" t="str" cm="1">
        <f t="array" aca="1" ref="F17" ca="1">INDIRECT(LEFT(I17, FIND("!", I17)) &amp; RefData!$C$427 &amp; RIGHT(I17, LEN(I17) - FIND("!", I17) - 1))</f>
        <v>FIS 4.0</v>
      </c>
      <c r="G17" s="710" t="b">
        <f ca="1">IF(ISNUMBER(SEARCH(RefData!$B$2, $C17)), FALSE, TRUE)</f>
        <v>1</v>
      </c>
      <c r="H17" s="720">
        <f>'Funding and investment strategy'!C10</f>
        <v>0</v>
      </c>
      <c r="I17" s="712" t="str">
        <f t="shared" ca="1" si="8"/>
        <v>'Funding and investment strategy'!C10</v>
      </c>
      <c r="J17" s="713" t="b" cm="1">
        <f t="array" aca="1" ref="J17" ca="1">IF(COUNTIF($K17:$T17, "&lt;&gt;FALSE") - COUNTBLANK($K17:$T17) &gt; 0, INDEX($K17:$T17, MATCH(TRUE, $K17:$T17 &lt;&gt; FALSE, 0)))</f>
        <v>0</v>
      </c>
      <c r="K17" s="712" t="b">
        <f ca="1">IF(AND('Funding and investment strategy'!$C$8=RefData!$B$23,'Reconciliation report'!$E17="",'Start here'!$C$26=RefData!$B$9),ErrorMsgs!$B$17)</f>
        <v>0</v>
      </c>
      <c r="L17" s="712" t="b">
        <f ca="1">IF(AND('Funding and investment strategy'!$C$8=RefData!$B$24,'Reconciliation report'!$E17&lt;&gt;""),ErrorMsgs!$C$17)</f>
        <v>0</v>
      </c>
      <c r="M17" s="714" t="b">
        <f ca="1">IF($E17="",FALSE,IF(OR(NOT(ISNUMBER(VALUE($E17))),VALUE($E17)&lt;0, INT(E17)&lt;&gt;E17),ErrorMsgs!$D$17))</f>
        <v>0</v>
      </c>
      <c r="N17" s="714" t="b">
        <f ca="1">IF($E17="",FALSE,IF(VALUE($E17)&gt;40,ErrorMsgs!$E17))</f>
        <v>0</v>
      </c>
      <c r="O17" s="712"/>
      <c r="P17" s="712"/>
      <c r="Q17" s="712"/>
      <c r="R17" s="712"/>
      <c r="S17" s="712"/>
      <c r="T17" s="712"/>
      <c r="U17" s="526" t="str">
        <f t="shared" ca="1" si="4"/>
        <v/>
      </c>
      <c r="V17" s="93" t="str" cm="1">
        <f t="array" aca="1" ref="V17" ca="1">CELL("format",INDIRECT(I17))</f>
        <v>F0</v>
      </c>
      <c r="W17" s="93" t="b">
        <f t="shared" ca="1" si="5"/>
        <v>0</v>
      </c>
      <c r="X17" s="715" t="str">
        <f t="shared" ca="1" si="1"/>
        <v/>
      </c>
      <c r="Y17" t="b">
        <f t="shared" ca="1" si="6"/>
        <v>1</v>
      </c>
    </row>
    <row r="18" spans="1:25" ht="62">
      <c r="A18" s="705" t="s">
        <v>3024</v>
      </c>
      <c r="B18" s="706" t="str">
        <f t="shared" ca="1" si="7"/>
        <v>Funding and investment strategy - C11</v>
      </c>
      <c r="C18" s="707" t="str" cm="1">
        <f t="array" aca="1" ref="C18" ca="1">INDIRECT(LEFT(I18, FIND("!", I18)) &amp; RefData!$C$426 &amp; RIGHT(I18, LEN(I18) - FIND("!", I18) - 1))</f>
        <v xml:space="preserve">
What is the expected maturity at the relevant date expressed in years of duration?
</v>
      </c>
      <c r="D18" s="92" t="str">
        <f t="shared" ca="1" si="0"/>
        <v/>
      </c>
      <c r="E18" s="708" t="str" cm="1">
        <f t="array" aca="1" ref="E18" ca="1">IF(INDIRECT($I18)= "", "", INDIRECT($I18))</f>
        <v/>
      </c>
      <c r="F18" s="709" t="str" cm="1">
        <f t="array" aca="1" ref="F18" ca="1">INDIRECT(LEFT(I18, FIND("!", I18)) &amp; RefData!$C$427 &amp; RIGHT(I18, LEN(I18) - FIND("!", I18) - 1))</f>
        <v>FIS 5.0</v>
      </c>
      <c r="G18" s="710" t="b">
        <f ca="1">IF(ISNUMBER(SEARCH(RefData!$B$2, $C18)), FALSE, TRUE)</f>
        <v>1</v>
      </c>
      <c r="H18" s="115">
        <f>'Funding and investment strategy'!C11</f>
        <v>0</v>
      </c>
      <c r="I18" s="712" t="str">
        <f t="shared" ca="1" si="8"/>
        <v>'Funding and investment strategy'!C11</v>
      </c>
      <c r="J18" s="713" t="b" cm="1">
        <f t="array" aca="1" ref="J18" ca="1">IF(COUNTIF($K18:$T18, "&lt;&gt;FALSE") - COUNTBLANK($K18:$T18) &gt; 0, INDEX($K18:$T18, MATCH(TRUE, $K18:$T18 &lt;&gt; FALSE, 0)))</f>
        <v>0</v>
      </c>
      <c r="K18" s="712" t="b">
        <f ca="1">IF(AND('Start here'!$C$23=RefData!$B$18,'Reconciliation report'!$E18=""),ErrorMsgs!$B18)</f>
        <v>0</v>
      </c>
      <c r="L18" s="712" t="b">
        <f ca="1">IF(AND('Start here'!$C$23=RefData!$B$17,'Reconciliation report'!$E18&lt;&gt;""),ErrorMsgs!$C18)</f>
        <v>0</v>
      </c>
      <c r="M18" s="714" t="b">
        <f ca="1">IF(ISERROR(VALUE($E18)),FALSE,IF(OR(VALUE(E18)-ROUND(VALUE(E18),1)&lt;&gt;0,VALUE(E18)&lt;0),ErrorMsgs!$D18))</f>
        <v>0</v>
      </c>
      <c r="N18" s="714"/>
      <c r="O18" s="712"/>
      <c r="P18" s="712"/>
      <c r="Q18" s="712"/>
      <c r="R18" s="712"/>
      <c r="S18" s="712"/>
      <c r="T18" s="712"/>
      <c r="U18" s="526" t="str">
        <f t="shared" ca="1" si="4"/>
        <v/>
      </c>
      <c r="V18" s="93" t="str" cm="1">
        <f t="array" aca="1" ref="V18" ca="1">CELL("format",INDIRECT(I18))</f>
        <v>F1</v>
      </c>
      <c r="W18" s="93" t="b">
        <f t="shared" ca="1" si="5"/>
        <v>0</v>
      </c>
      <c r="X18" s="715" t="str">
        <f t="shared" ca="1" si="1"/>
        <v/>
      </c>
      <c r="Y18" t="b">
        <f t="shared" ca="1" si="6"/>
        <v>1</v>
      </c>
    </row>
    <row r="19" spans="1:25" ht="93">
      <c r="A19" s="705" t="s">
        <v>3025</v>
      </c>
      <c r="B19" s="716" t="str">
        <f ca="1">HYPERLINK("#" &amp; $I19, SUBSTITUTE(SUBSTITUTE($I19, "!", " - "), "'",""))</f>
        <v>Funding and investment strategy - C15</v>
      </c>
      <c r="C19" s="707" t="str" cm="1">
        <f t="array" aca="1" ref="C19" ca="1">INDIRECT(LEFT(I19, FIND("!", I19)) &amp; RefData!$C$426 &amp; RIGHT(I19, LEN(I19) - FIND("!", I19) - 1))</f>
        <v xml:space="preserve">
Do all active members belong to both:
- a section that provides cash balance benefits
- a section which is a collective money purchase scheme?
</v>
      </c>
      <c r="D19" s="92" t="str">
        <f t="shared" ca="1" si="0"/>
        <v/>
      </c>
      <c r="E19" s="708" t="str" cm="1">
        <f t="array" aca="1" ref="E19" ca="1">IF(INDIRECT($I19)= "", "", INDIRECT($I19))</f>
        <v/>
      </c>
      <c r="F19" s="709" t="str" cm="1">
        <f t="array" aca="1" ref="F19" ca="1">INDIRECT(LEFT(I19, FIND("!", I19)) &amp; RefData!$C$427 &amp; RIGHT(I19, LEN(I19) - FIND("!", I19) - 1))</f>
        <v>FIS 6.0</v>
      </c>
      <c r="G19" s="710" t="b">
        <f ca="1">IF(ISNUMBER(SEARCH(RefData!$B$2, $C19)), FALSE, TRUE)</f>
        <v>1</v>
      </c>
      <c r="H19" s="107">
        <f>'Funding and investment strategy'!C15</f>
        <v>0</v>
      </c>
      <c r="I19" s="712" t="str">
        <f ca="1">SUBSTITUTE(_xlfn.FORMULATEXT($H19), "=", "")</f>
        <v>'Funding and investment strategy'!C15</v>
      </c>
      <c r="J19" s="713" t="b" cm="1">
        <f t="array" aca="1" ref="J19" ca="1">IF(COUNTIF($K19:$T19, "&lt;&gt;FALSE") - COUNTBLANK($K19:$T19) &gt; 0, INDEX($K19:$T19, MATCH(TRUE, $K19:$T19 &lt;&gt; FALSE, 0)))</f>
        <v>0</v>
      </c>
      <c r="K19" s="712" t="b">
        <f ca="1">IF(AND('Funding and investment strategy'!$C$8=RefData!$B$24,'Reconciliation report'!$E19&lt;&gt;""),ErrorMsgs!$B19)</f>
        <v>0</v>
      </c>
      <c r="L19" s="712" t="b">
        <f ca="1">IF(AND('Funding and investment strategy'!$C$8=RefData!$B$23,'Reconciliation report'!$E19=""),ErrorMsgs!$C19)</f>
        <v>0</v>
      </c>
      <c r="M19" s="712" t="b">
        <f ca="1">IF(E19="",FALSE,IF(ISNA(MATCH($E19,RefData!$B$194:$B$195,0)),ErrorMsgs!$C$19))</f>
        <v>0</v>
      </c>
      <c r="N19" s="712"/>
      <c r="O19" s="712"/>
      <c r="P19" s="712"/>
      <c r="Q19" s="712"/>
      <c r="R19" s="712"/>
      <c r="S19" s="712"/>
      <c r="T19" s="712"/>
      <c r="U19" s="526" t="str">
        <f t="shared" ca="1" si="4"/>
        <v/>
      </c>
      <c r="V19" s="93" t="str" cm="1">
        <f t="array" aca="1" ref="V19" ca="1">CELL("format",INDIRECT(I19))</f>
        <v>G</v>
      </c>
      <c r="W19" s="93" t="b">
        <f t="shared" ca="1" si="5"/>
        <v>0</v>
      </c>
      <c r="X19" s="715" t="str">
        <f t="shared" ca="1" si="1"/>
        <v/>
      </c>
      <c r="Y19" t="b">
        <f t="shared" ca="1" si="6"/>
        <v>1</v>
      </c>
    </row>
    <row r="20" spans="1:25" ht="46.5">
      <c r="A20" s="705" t="s">
        <v>3026</v>
      </c>
      <c r="B20" s="706" t="str">
        <f t="shared" ca="1" si="7"/>
        <v>Funding and investment strategy - C16</v>
      </c>
      <c r="C20" s="707" t="str" cm="1">
        <f t="array" aca="1" ref="C20" ca="1">INDIRECT(LEFT(I20, FIND("!", I20)) &amp; RefData!$C$426 &amp; RIGHT(I20, LEN(I20) - FIND("!", I20) - 1))</f>
        <v xml:space="preserve">
What is the scheme's date of significant maturity?
</v>
      </c>
      <c r="D20" s="92" t="str">
        <f t="shared" ca="1" si="0"/>
        <v/>
      </c>
      <c r="E20" s="708" t="str" cm="1">
        <f t="array" aca="1" ref="E20" ca="1">IF(INDIRECT($I20)= "", "", INDIRECT($I20))</f>
        <v/>
      </c>
      <c r="F20" s="709" t="str" cm="1">
        <f t="array" aca="1" ref="F20" ca="1">INDIRECT(LEFT(I20, FIND("!", I20)) &amp; RefData!$C$427 &amp; RIGHT(I20, LEN(I20) - FIND("!", I20) - 1))</f>
        <v>FIS 7.0</v>
      </c>
      <c r="G20" s="710" t="b">
        <f ca="1">IF(ISNUMBER(SEARCH(RefData!$B$2, $C20)), FALSE, TRUE)</f>
        <v>1</v>
      </c>
      <c r="H20" s="718">
        <f>'Funding and investment strategy'!C16</f>
        <v>0</v>
      </c>
      <c r="I20" s="712" t="str">
        <f t="shared" ca="1" si="8"/>
        <v>'Funding and investment strategy'!C16</v>
      </c>
      <c r="J20" s="713" t="b" cm="1">
        <f t="array" aca="1" ref="J20" ca="1">IF(COUNTIF($K20:$T20, "&lt;&gt;FALSE") - COUNTBLANK($K20:$T20) &gt; 0, INDEX($K20:$T20, MATCH(TRUE, $K20:$T20 &lt;&gt; FALSE, 0)))</f>
        <v>0</v>
      </c>
      <c r="K20" s="712" t="b">
        <f ca="1">IF(AND('Start here'!$C$23=RefData!$B$17,'Reconciliation report'!$E20&lt;&gt;""),ErrorMsgs!$B20)</f>
        <v>0</v>
      </c>
      <c r="L20" s="712" t="b">
        <f ca="1">IF(AND('Start here'!$C$23=RefData!$B$18,'Reconciliation report'!$E20=""),ErrorMsgs!$C20)</f>
        <v>0</v>
      </c>
      <c r="M20" s="714" t="b">
        <f ca="1">IF(E20="",FALSE,IF(NOT(ISNUMBER($E20)),ErrorMsgs!$D20))</f>
        <v>0</v>
      </c>
      <c r="N20" s="714"/>
      <c r="O20" s="712"/>
      <c r="P20" s="712"/>
      <c r="Q20" s="712"/>
      <c r="R20" s="712"/>
      <c r="S20" s="712"/>
      <c r="T20" s="712"/>
      <c r="U20" s="526" t="str">
        <f t="shared" ca="1" si="4"/>
        <v/>
      </c>
      <c r="V20" s="93" t="str" cm="1">
        <f t="array" aca="1" ref="V20" ca="1">CELL("format",INDIRECT(I20))</f>
        <v>D1</v>
      </c>
      <c r="W20" s="93" t="b">
        <f t="shared" ca="1" si="5"/>
        <v>0</v>
      </c>
      <c r="X20" s="715" t="str">
        <f t="shared" ca="1" si="1"/>
        <v/>
      </c>
      <c r="Y20" t="b">
        <f t="shared" ca="1" si="6"/>
        <v>1</v>
      </c>
    </row>
    <row r="21" spans="1:25" ht="62">
      <c r="A21" s="705" t="s">
        <v>3027</v>
      </c>
      <c r="B21" s="706" t="str">
        <f t="shared" ca="1" si="2"/>
        <v>Funding and investment strategy - C17</v>
      </c>
      <c r="C21" s="707" t="str" cm="1">
        <f t="array" aca="1" ref="C21" ca="1">INDIRECT(LEFT(I21, FIND("!", I21)) &amp; RefData!$C$426 &amp; RIGHT(I21, LEN(I21) - FIND("!", I21) - 1))</f>
        <v xml:space="preserve">
What is the funding level which is or was intended to be achieved at the relevant date expressed as a percentage? (%)
</v>
      </c>
      <c r="D21" s="92" t="str">
        <f t="shared" ca="1" si="0"/>
        <v>Enter a percentage value that is equal to or greater than 100.</v>
      </c>
      <c r="E21" s="708" t="str" cm="1">
        <f t="array" aca="1" ref="E21" ca="1">IF(INDIRECT($I21)= "", "", INDIRECT($I21))</f>
        <v/>
      </c>
      <c r="F21" s="709" t="str" cm="1">
        <f t="array" aca="1" ref="F21" ca="1">INDIRECT(LEFT(I21, FIND("!", I21)) &amp; RefData!$C$427 &amp; RIGHT(I21, LEN(I21) - FIND("!", I21) - 1))</f>
        <v>FIS 8.0</v>
      </c>
      <c r="G21" s="710" t="b">
        <f ca="1">IF(ISNUMBER(SEARCH(RefData!$B$2, $C21)), FALSE, TRUE)</f>
        <v>1</v>
      </c>
      <c r="H21" s="113">
        <f>'Funding and investment strategy'!C17</f>
        <v>0</v>
      </c>
      <c r="I21" s="712" t="str">
        <f t="shared" ca="1" si="3"/>
        <v>'Funding and investment strategy'!C17</v>
      </c>
      <c r="J21" s="713" t="str" cm="1">
        <f t="array" aca="1" ref="J21" ca="1">IF(COUNTIF($K21:$T21, "&lt;&gt;FALSE") - COUNTBLANK($K21:$T21) &gt; 0, INDEX($K21:$T21, MATCH(TRUE, $K21:$T21 &lt;&gt; FALSE, 0)))</f>
        <v>Enter a percentage value that is equal to or greater than 100.</v>
      </c>
      <c r="K21" s="712" t="str">
        <f ca="1">IF($E21="",ErrorMsgs!$B$21)</f>
        <v>Enter a percentage value that is equal to or greater than 100.</v>
      </c>
      <c r="L21" s="712" t="str">
        <f ca="1">IF(ISERROR(VALUE($E21)),ErrorMsgs!$B21,IF(VALUE('Reconciliation report'!$E21)&lt;1,ErrorMsgs!$B21))</f>
        <v>Enter a percentage value that is equal to or greater than 100.</v>
      </c>
      <c r="M21" s="714"/>
      <c r="N21" s="714"/>
      <c r="O21" s="712"/>
      <c r="P21" s="712"/>
      <c r="Q21" s="712"/>
      <c r="R21" s="712"/>
      <c r="S21" s="712"/>
      <c r="T21" s="712"/>
      <c r="U21" s="526" t="str">
        <f t="shared" ca="1" si="4"/>
        <v/>
      </c>
      <c r="V21" s="93" t="str" cm="1">
        <f t="array" aca="1" ref="V21" ca="1">CELL("format",INDIRECT(I21))</f>
        <v>P4</v>
      </c>
      <c r="W21" s="93" t="b">
        <f t="shared" ca="1" si="5"/>
        <v>0</v>
      </c>
      <c r="X21" s="715" t="str">
        <f t="shared" ca="1" si="1"/>
        <v/>
      </c>
      <c r="Y21" t="b">
        <f t="shared" ca="1" si="6"/>
        <v>1</v>
      </c>
    </row>
    <row r="22" spans="1:25" ht="62">
      <c r="A22" s="705" t="s">
        <v>3028</v>
      </c>
      <c r="B22" s="716" t="str">
        <f t="shared" ref="B22:B27" ca="1" si="9">HYPERLINK("#" &amp; $I22, SUBSTITUTE(SUBSTITUTE($I22, "!", " - "), "'",""))</f>
        <v>Funding and investment strategy - C21</v>
      </c>
      <c r="C22" s="707" t="str" cm="1">
        <f t="array" aca="1" ref="C22" ca="1">INDIRECT(LEFT(I22, FIND("!", I22)) &amp; RefData!$C$426 &amp; RIGHT(I22, LEN(I22) - FIND("!", I22) - 1))</f>
        <v xml:space="preserve">
What is the intended investment allocation to matching assets at the relevant date? (%)
</v>
      </c>
      <c r="D22" s="92" t="str">
        <f t="shared" ref="D22" ca="1" si="10">""&amp;IF(J22=FALSE, "", J22)
&amp;""</f>
        <v xml:space="preserve">
Enter a percentage value between 0 and 100.
</v>
      </c>
      <c r="E22" s="708" t="str" cm="1">
        <f t="array" aca="1" ref="E22" ca="1">IF(INDIRECT($I22)= "", "", INDIRECT($I22))</f>
        <v/>
      </c>
      <c r="F22" s="709" t="str" cm="1">
        <f t="array" aca="1" ref="F22" ca="1">INDIRECT(LEFT(I22, FIND("!", I22)) &amp; RefData!$C$427 &amp; RIGHT(I22, LEN(I22) - FIND("!", I22) - 1))</f>
        <v>FIS 9.0</v>
      </c>
      <c r="G22" s="710" t="b">
        <f ca="1">IF(ISNUMBER(SEARCH(RefData!$B$2, $C22)), FALSE, TRUE)</f>
        <v>1</v>
      </c>
      <c r="H22" s="107">
        <f>'Funding and investment strategy'!C21</f>
        <v>0</v>
      </c>
      <c r="I22" s="712" t="str">
        <f t="shared" ref="I22:I27" ca="1" si="11">SUBSTITUTE(_xlfn.FORMULATEXT($H22), "=", "")</f>
        <v>'Funding and investment strategy'!C21</v>
      </c>
      <c r="J22" s="713" t="str" cm="1">
        <f t="array" aca="1" ref="J22" ca="1">IF(COUNTIF($K22:$T22, "&lt;&gt;FALSE") - COUNTBLANK($K22:$T22) &gt; 0, INDEX($K22:$T22, MATCH(TRUE, $K22:$T22 &lt;&gt; FALSE, 0)))</f>
        <v xml:space="preserve">
Enter a percentage value between 0 and 100.
</v>
      </c>
      <c r="K22" s="712" t="str">
        <f ca="1">IF($E22="",ErrorMsgs!$B22)</f>
        <v xml:space="preserve">
Enter a percentage value between 0 and 100.
</v>
      </c>
      <c r="L22" s="712" t="b">
        <f ca="1">IF($E22="",FALSE,IF(OR(VALUE($E22)&lt;0,VALUE($E22)&gt;100),ErrorMsgs!$C22))</f>
        <v>0</v>
      </c>
      <c r="M22" s="714" t="str">
        <f>IF((ROUND('Funding and investment strategy'!$C$21,4)+ROUND('Funding and investment strategy'!$C$22,4)) &lt;&gt; 1, ErrorMsgs!$D22)</f>
        <v xml:space="preserve">
The sum of the intended investment allocation to matching assets (this question) and growth assets at the relevant date (FIS 10.0) must equal 100%.
</v>
      </c>
      <c r="N22" s="714"/>
      <c r="O22" s="712"/>
      <c r="P22" s="712"/>
      <c r="Q22" s="712"/>
      <c r="R22" s="712"/>
      <c r="S22" s="712"/>
      <c r="T22" s="712"/>
      <c r="U22" s="526" t="str">
        <f t="shared" ca="1" si="4"/>
        <v/>
      </c>
      <c r="V22" s="93" t="str" cm="1">
        <f t="array" aca="1" ref="V22" ca="1">CELL("format",INDIRECT(I22))</f>
        <v>P4</v>
      </c>
      <c r="W22" s="93" t="b">
        <f t="shared" ca="1" si="5"/>
        <v>0</v>
      </c>
      <c r="X22" s="715" t="str">
        <f t="shared" ca="1" si="1"/>
        <v/>
      </c>
      <c r="Y22" t="b">
        <f t="shared" ca="1" si="6"/>
        <v>1</v>
      </c>
    </row>
    <row r="23" spans="1:25" ht="62">
      <c r="A23" s="705" t="s">
        <v>3029</v>
      </c>
      <c r="B23" s="721" t="str">
        <f ca="1">HYPERLINK("#" &amp; $I23, SUBSTITUTE(SUBSTITUTE($I23, "!", " - "), "'",""))</f>
        <v>Funding and investment strategy - C22</v>
      </c>
      <c r="C23" s="707" t="str" cm="1">
        <f t="array" aca="1" ref="C23" ca="1">INDIRECT(LEFT(I23, FIND("!", I23)) &amp; RefData!$C$426 &amp; RIGHT(I23, LEN(I23) - FIND("!", I23) - 1))</f>
        <v xml:space="preserve">
What is the intended investment allocation to growth assets at the relevant date? (%)
</v>
      </c>
      <c r="D23" s="92" t="str">
        <f t="shared" ca="1" si="0"/>
        <v xml:space="preserve">
Enter a percentage value between 0 and 100.
</v>
      </c>
      <c r="E23" s="708" t="str" cm="1">
        <f t="array" aca="1" ref="E23" ca="1">IF(INDIRECT($I23)= "", "", INDIRECT($I23))</f>
        <v/>
      </c>
      <c r="F23" s="709" t="str" cm="1">
        <f t="array" aca="1" ref="F23" ca="1">INDIRECT(LEFT(I23, FIND("!", I23)) &amp; RefData!$C$427 &amp; RIGHT(I23, LEN(I23) - FIND("!", I23) - 1))</f>
        <v>FIS 10.0</v>
      </c>
      <c r="G23" s="710" t="b">
        <f ca="1">IF(ISNUMBER(SEARCH(RefData!$B$2, $C23)), FALSE, TRUE)</f>
        <v>1</v>
      </c>
      <c r="H23" s="107">
        <f>'Funding and investment strategy'!C22</f>
        <v>0</v>
      </c>
      <c r="I23" s="712" t="str">
        <f t="shared" ca="1" si="11"/>
        <v>'Funding and investment strategy'!C22</v>
      </c>
      <c r="J23" s="713" t="str" cm="1">
        <f t="array" aca="1" ref="J23" ca="1">IF(COUNTIF($K23:$T23, "&lt;&gt;FALSE") - COUNTBLANK($K23:$T23) &gt; 0, INDEX($K23:$T23, MATCH(TRUE, $K23:$T23 &lt;&gt; FALSE, 0)))</f>
        <v xml:space="preserve">
Enter a percentage value between 0 and 100.
</v>
      </c>
      <c r="K23" s="712" t="str">
        <f ca="1">IF($E23="",ErrorMsgs!$B23)</f>
        <v xml:space="preserve">
Enter a percentage value between 0 and 100.
</v>
      </c>
      <c r="L23" s="712" t="b">
        <f ca="1">IF($E23="",FALSE,IF(OR(VALUE($E23)&lt;0,VALUE($E23)&gt;100),ErrorMsgs!$C23))</f>
        <v>0</v>
      </c>
      <c r="M23" s="714" t="str">
        <f>IF(SUM(ROUND('Funding and investment strategy'!$C$21, 4), ROUND('Funding and investment strategy'!$C$22, 4)) &lt;&gt; 1, ErrorMsgs!$D23)</f>
        <v xml:space="preserve">
The sum of the intended investment allocation to growth assets (this question) and matching assets at the relevant date (FIS 9.0) must equal 100%.
</v>
      </c>
      <c r="N23" s="714"/>
      <c r="O23" s="712"/>
      <c r="P23" s="712"/>
      <c r="Q23" s="712"/>
      <c r="R23" s="712"/>
      <c r="S23" s="712"/>
      <c r="T23" s="712"/>
      <c r="U23" s="526" t="str">
        <f t="shared" ca="1" si="4"/>
        <v/>
      </c>
      <c r="V23" s="93" t="str" cm="1">
        <f t="array" aca="1" ref="V23" ca="1">CELL("format",INDIRECT(I23))</f>
        <v>P4</v>
      </c>
      <c r="W23" s="93" t="b">
        <f t="shared" ca="1" si="5"/>
        <v>0</v>
      </c>
      <c r="X23" s="715" t="str">
        <f t="shared" ca="1" si="1"/>
        <v/>
      </c>
      <c r="Y23" t="b">
        <f t="shared" ca="1" si="6"/>
        <v>1</v>
      </c>
    </row>
    <row r="24" spans="1:25" ht="77.5">
      <c r="A24" s="705" t="s">
        <v>3030</v>
      </c>
      <c r="B24" s="716" t="str">
        <f t="shared" ca="1" si="9"/>
        <v>Funding and investment strategy - C23</v>
      </c>
      <c r="C24" s="707" t="str" cm="1">
        <f t="array" aca="1" ref="C24" ca="1">INDIRECT(LEFT(I24, FIND("!", I24)) &amp; RefData!$C$426 &amp; RIGHT(I24, LEN(I24) - FIND("!", I24) - 1))</f>
        <v xml:space="preserve">
Is there a plan to allocate surplus investments at the relevant date in a different way to those which relate to the minimum funding level?
</v>
      </c>
      <c r="D24" s="92" t="str">
        <f t="shared" ca="1" si="0"/>
        <v xml:space="preserve">
Select ‘Yes’ if there is a plan to allocate surplus investments at the relevant date in a different way to those that relate to the minimum funding level, or ‘No’ if there is not.
</v>
      </c>
      <c r="E24" s="708" t="str" cm="1">
        <f t="array" aca="1" ref="E24" ca="1">IF(INDIRECT($I24)= "", "", INDIRECT($I24))</f>
        <v/>
      </c>
      <c r="F24" s="709" t="str" cm="1">
        <f t="array" aca="1" ref="F24" ca="1">INDIRECT(LEFT(I24, FIND("!", I24)) &amp; RefData!$C$427 &amp; RIGHT(I24, LEN(I24) - FIND("!", I24) - 1))</f>
        <v>FIS 11.0</v>
      </c>
      <c r="G24" s="710" t="b">
        <f ca="1">IF(ISNUMBER(SEARCH(RefData!$B$2, $C24)), FALSE, TRUE)</f>
        <v>1</v>
      </c>
      <c r="H24" s="722">
        <f>'Funding and investment strategy'!C23</f>
        <v>0</v>
      </c>
      <c r="I24" s="712" t="str">
        <f t="shared" ca="1" si="11"/>
        <v>'Funding and investment strategy'!C23</v>
      </c>
      <c r="J24" s="713" t="str" cm="1">
        <f t="array" aca="1" ref="J24" ca="1">IF(COUNTIF($K24:$T24, "&lt;&gt;FALSE") - COUNTBLANK($K24:$T24) &gt; 0, INDEX($K24:$T24, MATCH(TRUE, $K24:$T24 &lt;&gt; FALSE, 0)))</f>
        <v xml:space="preserve">
Select ‘Yes’ if there is a plan to allocate surplus investments at the relevant date in a different way to those that relate to the minimum funding level, or ‘No’ if there is not.
</v>
      </c>
      <c r="K24" s="712" t="str">
        <f ca="1">IF(OR($E24="",ISNA(MATCH($E24, RefData!$B$405:$B$406, 0))),ErrorMsgs!$B24)</f>
        <v xml:space="preserve">
Select ‘Yes’ if there is a plan to allocate surplus investments at the relevant date in a different way to those that relate to the minimum funding level, or ‘No’ if there is not.
</v>
      </c>
      <c r="L24" s="712"/>
      <c r="M24" s="714"/>
      <c r="N24" s="714"/>
      <c r="O24" s="712"/>
      <c r="P24" s="712"/>
      <c r="Q24" s="712"/>
      <c r="R24" s="712"/>
      <c r="S24" s="712"/>
      <c r="T24" s="712"/>
      <c r="U24" s="526" t="str">
        <f t="shared" ca="1" si="4"/>
        <v/>
      </c>
      <c r="V24" s="93" t="str" cm="1">
        <f t="array" aca="1" ref="V24" ca="1">CELL("format",INDIRECT(I24))</f>
        <v>G</v>
      </c>
      <c r="W24" s="93" t="b">
        <f t="shared" ca="1" si="5"/>
        <v>0</v>
      </c>
      <c r="X24" s="715" t="str">
        <f t="shared" ca="1" si="1"/>
        <v/>
      </c>
      <c r="Y24" t="b">
        <f t="shared" ca="1" si="6"/>
        <v>1</v>
      </c>
    </row>
    <row r="25" spans="1:25" ht="62">
      <c r="A25" s="705" t="s">
        <v>3031</v>
      </c>
      <c r="B25" s="716" t="str">
        <f t="shared" ca="1" si="9"/>
        <v>Funding and investment strategy - C24</v>
      </c>
      <c r="C25" s="707" t="str" cm="1">
        <f t="array" aca="1" ref="C25" ca="1">INDIRECT(LEFT(I25, FIND("!", I25)) &amp; RefData!$C$426 &amp; RIGHT(I25, LEN(I25) - FIND("!", I25) - 1))</f>
        <v xml:space="preserve">
What is the intended investment allocation to growth assets at the relevant date for the surplus allocation? (%) (Optional)
</v>
      </c>
      <c r="D25" s="92" t="str">
        <f t="shared" ca="1" si="0"/>
        <v/>
      </c>
      <c r="E25" s="708" t="str" cm="1">
        <f t="array" aca="1" ref="E25" ca="1">IF(INDIRECT($I25)= "", "", INDIRECT($I25))</f>
        <v/>
      </c>
      <c r="F25" s="709" t="str" cm="1">
        <f t="array" aca="1" ref="F25" ca="1">INDIRECT(LEFT(I25, FIND("!", I25)) &amp; RefData!$C$427 &amp; RIGHT(I25, LEN(I25) - FIND("!", I25) - 1))</f>
        <v>FIS 12.0</v>
      </c>
      <c r="G25" s="710" t="b">
        <f ca="1">IF(ISNUMBER(SEARCH(RefData!$B$2, $C25)), FALSE, TRUE)</f>
        <v>1</v>
      </c>
      <c r="H25" s="722">
        <f>'Funding and investment strategy'!C24</f>
        <v>0</v>
      </c>
      <c r="I25" s="712" t="str">
        <f t="shared" ca="1" si="11"/>
        <v>'Funding and investment strategy'!C24</v>
      </c>
      <c r="J25" s="713" t="b" cm="1">
        <f t="array" aca="1" ref="J25" ca="1">IF(COUNTIF($K25:$T25, "&lt;&gt;FALSE") - COUNTBLANK($K25:$T25) &gt; 0, INDEX($K25:$T25, MATCH(TRUE, $K25:$T25 &lt;&gt; FALSE, 0)))</f>
        <v>0</v>
      </c>
      <c r="K25" s="712" t="b">
        <f ca="1">IF(AND('Funding and investment strategy'!$C$23=RefData!$B$406,'Reconciliation report'!$E25&lt;&gt;""),ErrorMsgs!$B25)</f>
        <v>0</v>
      </c>
      <c r="L25" s="712" t="b">
        <f ca="1">IF($E25="",FALSE,IF(OR(VALUE($E25)&lt;0,VALUE($E25)&gt;100),ErrorMsgs!$C25))</f>
        <v>0</v>
      </c>
      <c r="M25" s="712" t="b">
        <f ca="1">IF($E25="", FALSE, IF(SUM(ROUND('Funding and investment strategy'!$C$24, 4), ROUND('Funding and investment strategy'!$C$25, 4)) &lt;&gt; 1, ErrorMsgs!$D25))</f>
        <v>0</v>
      </c>
      <c r="N25" s="712"/>
      <c r="O25" s="712"/>
      <c r="P25" s="712"/>
      <c r="Q25" s="712"/>
      <c r="R25" s="712"/>
      <c r="S25" s="712"/>
      <c r="T25" s="712"/>
      <c r="U25" s="526" t="str">
        <f t="shared" ca="1" si="4"/>
        <v/>
      </c>
      <c r="V25" s="93" t="str" cm="1">
        <f t="array" aca="1" ref="V25" ca="1">CELL("format",INDIRECT(I25))</f>
        <v>P4</v>
      </c>
      <c r="W25" s="93" t="b">
        <f t="shared" ca="1" si="5"/>
        <v>0</v>
      </c>
      <c r="X25" s="715" t="str">
        <f t="shared" ca="1" si="1"/>
        <v/>
      </c>
      <c r="Y25" t="b">
        <f t="shared" ca="1" si="6"/>
        <v>1</v>
      </c>
    </row>
    <row r="26" spans="1:25" ht="62">
      <c r="A26" s="705" t="s">
        <v>3032</v>
      </c>
      <c r="B26" s="716" t="str">
        <f t="shared" ca="1" si="9"/>
        <v>Funding and investment strategy - C25</v>
      </c>
      <c r="C26" s="707" t="str" cm="1">
        <f t="array" aca="1" ref="C26" ca="1">INDIRECT(LEFT(I26, FIND("!", I26)) &amp; RefData!$C$426 &amp; RIGHT(I26, LEN(I26) - FIND("!", I26) - 1))</f>
        <v xml:space="preserve">
What is the intended investment allocation to matching assets at the relevant date for the surplus allocation? (%) (Optional)
</v>
      </c>
      <c r="D26" s="92" t="str">
        <f t="shared" ca="1" si="0"/>
        <v/>
      </c>
      <c r="E26" s="708" t="str" cm="1">
        <f t="array" aca="1" ref="E26" ca="1">IF(INDIRECT($I26)= "", "", INDIRECT($I26))</f>
        <v/>
      </c>
      <c r="F26" s="709" t="str" cm="1">
        <f t="array" aca="1" ref="F26" ca="1">INDIRECT(LEFT(I26, FIND("!", I26)) &amp; RefData!$C$427 &amp; RIGHT(I26, LEN(I26) - FIND("!", I26) - 1))</f>
        <v>FIS 13.0</v>
      </c>
      <c r="G26" s="710" t="b">
        <f ca="1">IF(ISNUMBER(SEARCH(RefData!$B$2, $C26)), FALSE, TRUE)</f>
        <v>1</v>
      </c>
      <c r="H26" s="722">
        <f>'Funding and investment strategy'!C25</f>
        <v>0</v>
      </c>
      <c r="I26" s="712" t="str">
        <f t="shared" ca="1" si="11"/>
        <v>'Funding and investment strategy'!C25</v>
      </c>
      <c r="J26" s="713" t="b" cm="1">
        <f t="array" aca="1" ref="J26" ca="1">IF(COUNTIF($K26:$T26, "&lt;&gt;FALSE") - COUNTBLANK($K26:$T26) &gt; 0, INDEX($K26:$T26, MATCH(TRUE, $K26:$T26 &lt;&gt; FALSE, 0)))</f>
        <v>0</v>
      </c>
      <c r="K26" s="712" t="b">
        <f ca="1">IF(AND('Funding and investment strategy'!$C$23=RefData!$B$406,'Reconciliation report'!$E26&lt;&gt;""),ErrorMsgs!$B26)</f>
        <v>0</v>
      </c>
      <c r="L26" s="712" t="b">
        <f ca="1">IF($E26="",FALSE,IF(OR(VALUE($E26)&lt;0,VALUE($E26)&gt;100),ErrorMsgs!$C26))</f>
        <v>0</v>
      </c>
      <c r="M26" s="712" t="b">
        <f ca="1">IF($E26="", FALSE, IF(SUM(ROUND('Funding and investment strategy'!$C$24, 4), ROUND('Funding and investment strategy'!$C$25, 4)) &lt;&gt; 1, ErrorMsgs!$D26))</f>
        <v>0</v>
      </c>
      <c r="N26" s="712"/>
      <c r="O26" s="712"/>
      <c r="P26" s="712"/>
      <c r="Q26" s="712"/>
      <c r="R26" s="712"/>
      <c r="S26" s="712"/>
      <c r="T26" s="712"/>
      <c r="U26" s="526" t="str">
        <f t="shared" ca="1" si="4"/>
        <v/>
      </c>
      <c r="V26" s="93" t="str" cm="1">
        <f t="array" aca="1" ref="V26" ca="1">CELL("format",INDIRECT(I26))</f>
        <v>P4</v>
      </c>
      <c r="W26" s="93" t="b">
        <f t="shared" ca="1" si="5"/>
        <v>0</v>
      </c>
      <c r="X26" s="715" t="str">
        <f t="shared" ca="1" si="1"/>
        <v/>
      </c>
      <c r="Y26" t="b">
        <f t="shared" ca="1" si="6"/>
        <v>1</v>
      </c>
    </row>
    <row r="27" spans="1:25" ht="60" customHeight="1">
      <c r="A27" s="705" t="s">
        <v>3033</v>
      </c>
      <c r="B27" s="716" t="str">
        <f t="shared" ca="1" si="9"/>
        <v>Funding and investment strategy - C26</v>
      </c>
      <c r="C27" s="707" t="str" cm="1">
        <f t="array" aca="1" ref="C27" ca="1">INDIRECT(LEFT(I27, FIND("!", I27)) &amp; RefData!$C$426 &amp; RIGHT(I27, LEN(I27) - FIND("!", I27) - 1))</f>
        <v xml:space="preserve">
Any additional comments on the funding journey plan or long term funding strategy. (Optional)
</v>
      </c>
      <c r="D27" s="92" t="str">
        <f t="shared" ca="1" si="0"/>
        <v/>
      </c>
      <c r="E27" s="708" t="str" cm="1">
        <f t="array" aca="1" ref="E27" ca="1">IF(INDIRECT($I27)= "", "", INDIRECT($I27))</f>
        <v/>
      </c>
      <c r="F27" s="709" t="str" cm="1">
        <f t="array" aca="1" ref="F27" ca="1">INDIRECT(LEFT(I27, FIND("!", I27)) &amp; RefData!$C$427 &amp; RIGHT(I27, LEN(I27) - FIND("!", I27) - 1))</f>
        <v>FIS 14.0</v>
      </c>
      <c r="G27" s="710" t="b">
        <f ca="1">IF(ISNUMBER(SEARCH(RefData!$B$2, $C27)), FALSE, TRUE)</f>
        <v>1</v>
      </c>
      <c r="H27" s="717">
        <f>'Funding and investment strategy'!C26</f>
        <v>0</v>
      </c>
      <c r="I27" s="712" t="str">
        <f t="shared" ca="1" si="11"/>
        <v>'Funding and investment strategy'!C26</v>
      </c>
      <c r="J27" s="713" t="b" cm="1">
        <f t="array" aca="1" ref="J27" ca="1">IF(COUNTIF($K27:$T27, "&lt;&gt;FALSE") - COUNTBLANK($K27:$T27) &gt; 0, INDEX($K27:$T27, MATCH(TRUE, $K27:$T27 &lt;&gt; FALSE, 0)))</f>
        <v>0</v>
      </c>
      <c r="K27" s="712" t="b">
        <f ca="1">IF(LEN(E27)&gt;4000,ErrorMsgs!$B27)</f>
        <v>0</v>
      </c>
      <c r="L27" s="712"/>
      <c r="M27" s="714"/>
      <c r="N27" s="714"/>
      <c r="O27" s="712"/>
      <c r="P27" s="712"/>
      <c r="Q27" s="712"/>
      <c r="R27" s="712"/>
      <c r="S27" s="712"/>
      <c r="T27" s="712"/>
      <c r="U27" s="526" t="str">
        <f t="shared" ca="1" si="4"/>
        <v/>
      </c>
      <c r="V27" s="93" t="str" cm="1">
        <f t="array" aca="1" ref="V27" ca="1">CELL("format",INDIRECT(I27))</f>
        <v>G</v>
      </c>
      <c r="W27" s="93" t="b">
        <f t="shared" ca="1" si="5"/>
        <v>0</v>
      </c>
      <c r="X27" s="715" t="str">
        <f t="shared" ca="1" si="1"/>
        <v/>
      </c>
      <c r="Y27" t="b">
        <f t="shared" ca="1" si="6"/>
        <v>1</v>
      </c>
    </row>
    <row r="28" spans="1:25" ht="46.5">
      <c r="A28" s="705" t="s">
        <v>3034</v>
      </c>
      <c r="B28" s="716" t="str">
        <f t="shared" ref="B28:B36" ca="1" si="12">HYPERLINK("#" &amp; $I28, SUBSTITUTE(SUBSTITUTE($I28, "!", " - "), "'",""))</f>
        <v>Funding and investment strategy - C30</v>
      </c>
      <c r="C28" s="707" t="str" cm="1">
        <f t="array" aca="1" ref="C28" ca="1">INDIRECT(LEFT(I28, FIND("!", I28)) &amp; RefData!$C$426 &amp; RIGHT(I28, LEN(I28) - FIND("!", I28) - 1))</f>
        <v>What is the way the trustees intend benefits to be provided over the long term?</v>
      </c>
      <c r="D28" s="92" t="str">
        <f t="shared" ca="1" si="0"/>
        <v xml:space="preserve">
The answer must be no more than 4000 characters.
</v>
      </c>
      <c r="E28" s="708" t="str" cm="1">
        <f t="array" aca="1" ref="E28" ca="1">IF(INDIRECT($I28)= "", "", INDIRECT($I28))</f>
        <v/>
      </c>
      <c r="F28" s="709" t="str" cm="1">
        <f t="array" aca="1" ref="F28" ca="1">INDIRECT(LEFT(I28, FIND("!", I28)) &amp; RefData!$C$427 &amp; RIGHT(I28, LEN(I28) - FIND("!", I28) - 1))</f>
        <v>FIS 15.0</v>
      </c>
      <c r="G28" s="710" t="b">
        <f ca="1">IF(ISNUMBER(SEARCH(RefData!$B$2, $C28)), FALSE, TRUE)</f>
        <v>1</v>
      </c>
      <c r="H28" s="717">
        <f>'Funding and investment strategy'!C30</f>
        <v>0</v>
      </c>
      <c r="I28" s="712" t="str">
        <f t="shared" ref="I28:I36" ca="1" si="13">SUBSTITUTE(_xlfn.FORMULATEXT($H28), "=", "")</f>
        <v>'Funding and investment strategy'!C30</v>
      </c>
      <c r="J28" s="713" t="str" cm="1">
        <f t="array" aca="1" ref="J28" ca="1">IF(COUNTIF($K28:$T28, "&lt;&gt;FALSE") - COUNTBLANK($K28:$T28) &gt; 0, INDEX($K28:$T28, MATCH(TRUE, $K28:$T28 &lt;&gt; FALSE, 0)))</f>
        <v xml:space="preserve">
The answer must be no more than 4000 characters.
</v>
      </c>
      <c r="K28" s="712" t="str">
        <f ca="1">IF($E28="",ErrorMsgs!$B28)</f>
        <v xml:space="preserve">
The answer must be no more than 4000 characters.
</v>
      </c>
      <c r="L28" s="712" t="b">
        <f ca="1">IF(LEN($E28)&gt;4000,ErrorMsgs!$C28)</f>
        <v>0</v>
      </c>
      <c r="M28" s="714"/>
      <c r="N28" s="714"/>
      <c r="O28" s="712"/>
      <c r="P28" s="712"/>
      <c r="Q28" s="712"/>
      <c r="R28" s="712"/>
      <c r="S28" s="712"/>
      <c r="T28" s="712"/>
      <c r="U28" s="526" t="str">
        <f t="shared" ca="1" si="4"/>
        <v/>
      </c>
      <c r="V28" s="93" t="str" cm="1">
        <f t="array" aca="1" ref="V28" ca="1">CELL("format",INDIRECT(I28))</f>
        <v>G</v>
      </c>
      <c r="W28" s="93" t="b">
        <f t="shared" ca="1" si="5"/>
        <v>0</v>
      </c>
      <c r="X28" s="715" t="str">
        <f t="shared" ca="1" si="1"/>
        <v/>
      </c>
      <c r="Y28" t="b">
        <f t="shared" ca="1" si="6"/>
        <v>1</v>
      </c>
    </row>
    <row r="29" spans="1:25" ht="77.5">
      <c r="A29" s="705" t="s">
        <v>3035</v>
      </c>
      <c r="B29" s="716" t="str">
        <f t="shared" ca="1" si="12"/>
        <v>Funding and investment strategy - C34</v>
      </c>
      <c r="C29" s="707" t="str" cm="1">
        <f t="array" aca="1" ref="C29" ca="1">INDIRECT(LEFT(I29, FIND("!", I29)) &amp; RefData!$C$426 &amp; RIGHT(I29, LEN(I29) - FIND("!", I29) - 1))</f>
        <v xml:space="preserve">
Are the rates of contributions determined unilaterally by the trustees and only the trustees can reduce those rates or suspend payment of contributions?
</v>
      </c>
      <c r="D29" s="92" t="str">
        <f t="shared" ca="1" si="0"/>
        <v xml:space="preserve">
Select ‘Yes’ if the rates of contributions are determined unilaterally by the trustees and only the trustees can reduce those rates or suspend payment of contributions or ‘No’ if they are not.
</v>
      </c>
      <c r="E29" s="708" t="str" cm="1">
        <f t="array" aca="1" ref="E29" ca="1">IF(INDIRECT($I29)= "", "", INDIRECT($I29))</f>
        <v/>
      </c>
      <c r="F29" s="709" t="str" cm="1">
        <f t="array" aca="1" ref="F29" ca="1">INDIRECT(LEFT(I29, FIND("!", I29)) &amp; RefData!$C$427 &amp; RIGHT(I29, LEN(I29) - FIND("!", I29) - 1))</f>
        <v>FIS 16.0</v>
      </c>
      <c r="G29" s="710" t="b">
        <f ca="1">IF(ISNUMBER(SEARCH(RefData!$B$2, $C29)), FALSE, TRUE)</f>
        <v>1</v>
      </c>
      <c r="H29" s="113">
        <f>'Funding and investment strategy'!C34</f>
        <v>0</v>
      </c>
      <c r="I29" s="712" t="str">
        <f t="shared" ca="1" si="13"/>
        <v>'Funding and investment strategy'!C34</v>
      </c>
      <c r="J29" s="713" t="str" cm="1">
        <f t="array" aca="1" ref="J29" ca="1">IF(COUNTIF($K29:$T29, "&lt;&gt;FALSE") - COUNTBLANK($K29:$T29) &gt; 0, INDEX($K29:$T29, MATCH(TRUE, $K29:$T29 &lt;&gt; FALSE, 0)))</f>
        <v xml:space="preserve">
Select ‘Yes’ if the rates of contributions are determined unilaterally by the trustees and only the trustees can reduce those rates or suspend payment of contributions or ‘No’ if they are not.
</v>
      </c>
      <c r="K29" s="712" t="str">
        <f ca="1">IF(OR($E29="",ISNA(MATCH($E29, RefData!$B$33:$B$34, 0))), ErrorMsgs!$B$29)</f>
        <v xml:space="preserve">
Select ‘Yes’ if the rates of contributions are determined unilaterally by the trustees and only the trustees can reduce those rates or suspend payment of contributions or ‘No’ if they are not.
</v>
      </c>
      <c r="L29" s="712"/>
      <c r="M29" s="714"/>
      <c r="N29" s="714"/>
      <c r="O29" s="712"/>
      <c r="P29" s="712"/>
      <c r="Q29" s="712"/>
      <c r="R29" s="712"/>
      <c r="S29" s="712"/>
      <c r="T29" s="712"/>
      <c r="U29" s="526" t="str">
        <f t="shared" ca="1" si="4"/>
        <v/>
      </c>
      <c r="V29" s="93" t="str" cm="1">
        <f t="array" aca="1" ref="V29" ca="1">CELL("format",INDIRECT(I29))</f>
        <v>G</v>
      </c>
      <c r="W29" s="93" t="b">
        <f t="shared" ca="1" si="5"/>
        <v>0</v>
      </c>
      <c r="X29" s="715" t="str">
        <f t="shared" ca="1" si="1"/>
        <v/>
      </c>
      <c r="Y29" t="b">
        <f t="shared" ca="1" si="6"/>
        <v>1</v>
      </c>
    </row>
    <row r="30" spans="1:25" ht="93">
      <c r="A30" s="705" t="s">
        <v>3036</v>
      </c>
      <c r="B30" s="716" t="str">
        <f t="shared" ca="1" si="12"/>
        <v>Funding and investment strategy - C35</v>
      </c>
      <c r="C30" s="707" t="str" cm="1">
        <f t="array" aca="1" ref="C30" ca="1">INDIRECT(LEFT(I30, FIND("!", I30)) &amp; RefData!$C$426 &amp; RIGHT(I30, LEN(I30) - FIND("!", I30) - 1))</f>
        <v xml:space="preserve">No answer required
To what extent does the funding and investment strategy remain appropriate? Please provide detail about the trustees' conclusion.
</v>
      </c>
      <c r="D30" s="92" t="str">
        <f t="shared" ca="1" si="0"/>
        <v/>
      </c>
      <c r="E30" s="708" t="str" cm="1">
        <f t="array" aca="1" ref="E30" ca="1">IF(INDIRECT($I30)= "", "", INDIRECT($I30))</f>
        <v/>
      </c>
      <c r="F30" s="709" t="str" cm="1">
        <f t="array" aca="1" ref="F30" ca="1">INDIRECT(LEFT(I30, FIND("!", I30)) &amp; RefData!$C$427 &amp; RIGHT(I30, LEN(I30) - FIND("!", I30) - 1))</f>
        <v>FIS 17.0</v>
      </c>
      <c r="G30" s="710" t="b">
        <f ca="1">IF(ISNUMBER(SEARCH(RefData!$B$2, $C30)), FALSE, TRUE)</f>
        <v>0</v>
      </c>
      <c r="H30" s="113">
        <f>'Funding and investment strategy'!C35</f>
        <v>0</v>
      </c>
      <c r="I30" s="712" t="str">
        <f t="shared" ca="1" si="13"/>
        <v>'Funding and investment strategy'!C35</v>
      </c>
      <c r="J30" s="713" t="b" cm="1">
        <f t="array" aca="1" ref="J30" ca="1">IF(COUNTIF($K30:$T30, "&lt;&gt;FALSE") - COUNTBLANK($K30:$T30) &gt; 0, INDEX($K30:$T30, MATCH(TRUE, $K30:$T30 &lt;&gt; FALSE, 0)))</f>
        <v>0</v>
      </c>
      <c r="K30" s="712" t="b">
        <f ca="1">IF(AND('Start here'!$C$26=RefData!$B$9,'Reconciliation report'!$E30&lt;&gt;""),ErrorMsgs!$B30)</f>
        <v>0</v>
      </c>
      <c r="L30" s="712" t="b">
        <f ca="1">IF(AND('Start here'!$C$26=RefData!$B$10,'Reconciliation report'!$E30=""),ErrorMsgs!$C30)</f>
        <v>0</v>
      </c>
      <c r="M30" s="714" t="b">
        <f ca="1">IF(LEN(E30)&gt;4000,ErrorMsgs!$D30)</f>
        <v>0</v>
      </c>
      <c r="N30" s="714"/>
      <c r="O30" s="712"/>
      <c r="P30" s="712"/>
      <c r="Q30" s="712"/>
      <c r="R30" s="712"/>
      <c r="S30" s="712"/>
      <c r="T30" s="712"/>
      <c r="U30" s="526" t="str">
        <f t="shared" ca="1" si="4"/>
        <v/>
      </c>
      <c r="V30" s="93" t="str" cm="1">
        <f t="array" aca="1" ref="V30" ca="1">CELL("format",INDIRECT(I30))</f>
        <v>G</v>
      </c>
      <c r="W30" s="93" t="b">
        <f t="shared" ca="1" si="5"/>
        <v>0</v>
      </c>
      <c r="X30" s="715" t="str">
        <f t="shared" ca="1" si="1"/>
        <v/>
      </c>
      <c r="Y30" t="b">
        <f t="shared" ca="1" si="6"/>
        <v>1</v>
      </c>
    </row>
    <row r="31" spans="1:25" ht="77.5">
      <c r="A31" s="705" t="s">
        <v>3037</v>
      </c>
      <c r="B31" s="716" t="str">
        <f t="shared" ca="1" si="12"/>
        <v>Funding and investment strategy - C36</v>
      </c>
      <c r="C31" s="707" t="str" cm="1">
        <f t="array" aca="1" ref="C31" ca="1">INDIRECT(LEFT(I31, FIND("!", I31)) &amp; RefData!$C$426 &amp; RIGHT(I31, LEN(I31) - FIND("!", I31) - 1))</f>
        <v xml:space="preserve">No answer required
Do the trustees consider that the funding and investment strategy is being successfully implemented in all respects?
</v>
      </c>
      <c r="D31" s="92" t="str">
        <f t="shared" ca="1" si="0"/>
        <v/>
      </c>
      <c r="E31" s="708" t="str" cm="1">
        <f t="array" aca="1" ref="E31" ca="1">IF(INDIRECT($I31)= "", "", INDIRECT($I31))</f>
        <v/>
      </c>
      <c r="F31" s="709" t="str" cm="1">
        <f t="array" aca="1" ref="F31" ca="1">INDIRECT(LEFT(I31, FIND("!", I31)) &amp; RefData!$C$427 &amp; RIGHT(I31, LEN(I31) - FIND("!", I31) - 1))</f>
        <v>FIS 18.0</v>
      </c>
      <c r="G31" s="710" t="b">
        <f ca="1">IF(ISNUMBER(SEARCH(RefData!$B$2, $C31)), FALSE, TRUE)</f>
        <v>0</v>
      </c>
      <c r="H31" s="113">
        <f>'Funding and investment strategy'!C36</f>
        <v>0</v>
      </c>
      <c r="I31" s="712" t="str">
        <f t="shared" ca="1" si="13"/>
        <v>'Funding and investment strategy'!C36</v>
      </c>
      <c r="J31" s="713" t="b" cm="1">
        <f t="array" aca="1" ref="J31" ca="1">IF(COUNTIF($K31:$T31, "&lt;&gt;FALSE") - COUNTBLANK($K31:$T31) &gt; 0, INDEX($K31:$T31, MATCH(TRUE, $K31:$T31 &lt;&gt; FALSE, 0)))</f>
        <v>0</v>
      </c>
      <c r="K31" s="712" t="b">
        <f ca="1">IF(AND('Start here'!$C$23=RefData!$B$17,'Start here'!$C$25=RefData!$B$16,'Reconciliation report'!E31&lt;&gt;""), ErrorMsgs!$B31)</f>
        <v>0</v>
      </c>
      <c r="L31" s="712" t="b">
        <f ca="1">IF(AND('Start here'!$C$23=RefData!$B$18,'Reconciliation report'!E31=""),ErrorMsgs!$C31)</f>
        <v>0</v>
      </c>
      <c r="M31" s="714" t="b">
        <f ca="1">IF(AND('Start here'!$C$23=RefData!$B$17,'Start here'!$C$25=RefData!$B$15,'Reconciliation report'!E31=""),ErrorMsgs!$D31)</f>
        <v>0</v>
      </c>
      <c r="N31" s="714" t="b">
        <f ca="1">IF($E31="",FALSE,IF(ISNA(MATCH($E31,RefData!$B$102:$B$103,0)),ErrorMsgs!$E31))</f>
        <v>0</v>
      </c>
      <c r="O31" s="712"/>
      <c r="P31" s="712"/>
      <c r="Q31" s="712"/>
      <c r="R31" s="712"/>
      <c r="S31" s="712"/>
      <c r="T31" s="712"/>
      <c r="U31" s="526" t="str">
        <f t="shared" ca="1" si="4"/>
        <v/>
      </c>
      <c r="V31" s="93" t="str" cm="1">
        <f t="array" aca="1" ref="V31" ca="1">CELL("format",INDIRECT(I31))</f>
        <v>G</v>
      </c>
      <c r="W31" s="93" t="b">
        <f t="shared" ca="1" si="5"/>
        <v>0</v>
      </c>
      <c r="X31" s="715" t="str">
        <f t="shared" ca="1" si="1"/>
        <v/>
      </c>
      <c r="Y31" t="b">
        <f t="shared" ca="1" si="6"/>
        <v>1</v>
      </c>
    </row>
    <row r="32" spans="1:25" ht="77.5">
      <c r="A32" s="705" t="s">
        <v>3038</v>
      </c>
      <c r="B32" s="716" t="str">
        <f t="shared" ca="1" si="12"/>
        <v>Funding and investment strategy - C37</v>
      </c>
      <c r="C32" s="707" t="str" cm="1">
        <f t="array" aca="1" ref="C32" ca="1">INDIRECT(LEFT(I32, FIND("!", I32)) &amp; RefData!$C$426 &amp; RIGHT(I32, LEN(I32) - FIND("!", I32) - 1))</f>
        <v xml:space="preserve">No answer required
Describe the elements of the funding and investment strategy that are being successfully implemented and those that are not.
</v>
      </c>
      <c r="D32" s="92" t="str">
        <f t="shared" ca="1" si="0"/>
        <v/>
      </c>
      <c r="E32" s="708" t="str" cm="1">
        <f t="array" aca="1" ref="E32" ca="1">IF(INDIRECT($I32)= "", "", INDIRECT($I32))</f>
        <v/>
      </c>
      <c r="F32" s="709" t="str" cm="1">
        <f t="array" aca="1" ref="F32" ca="1">INDIRECT(LEFT(I32, FIND("!", I32)) &amp; RefData!$C$427 &amp; RIGHT(I32, LEN(I32) - FIND("!", I32) - 1))</f>
        <v>FIS 19.0</v>
      </c>
      <c r="G32" s="710" t="b">
        <f ca="1">IF(ISNUMBER(SEARCH(RefData!$B$2, $C32)), FALSE, TRUE)</f>
        <v>0</v>
      </c>
      <c r="H32" s="113">
        <f>'Funding and investment strategy'!C37</f>
        <v>0</v>
      </c>
      <c r="I32" s="712" t="str">
        <f t="shared" ca="1" si="13"/>
        <v>'Funding and investment strategy'!C37</v>
      </c>
      <c r="J32" s="713" t="b" cm="1">
        <f t="array" aca="1" ref="J32" ca="1">IF(COUNTIF($K32:$T32, "&lt;&gt;FALSE") - COUNTBLANK($K32:$T32) &gt; 0, INDEX($K32:$T32, MATCH(TRUE, $K32:$T32 &lt;&gt; FALSE, 0)))</f>
        <v>0</v>
      </c>
      <c r="K32" s="712" t="b">
        <f ca="1">IF(AND('Funding and investment strategy'!$C$36=RefData!$B$102,'Reconciliation report'!$E32&lt;&gt;""), ErrorMsgs!$B32)</f>
        <v>0</v>
      </c>
      <c r="L32" s="712" t="b">
        <f ca="1">IF(AND('Funding and investment strategy'!$C$36=RefData!$B$103,'Reconciliation report'!$E32=""), ErrorMsgs!$C32)</f>
        <v>0</v>
      </c>
      <c r="M32" s="714" t="b">
        <f ca="1">IF(AND('Start here'!$C$23=RefData!$B$17,'Start here'!$C$25=RefData!$B$16,'Reconciliation report'!$E32=""), ErrorMsgs!$D32)</f>
        <v>0</v>
      </c>
      <c r="N32" s="714" t="b">
        <f ca="1">IF(LEN($E32)&gt;4000,ErrorMsgs!$E32)</f>
        <v>0</v>
      </c>
      <c r="O32" s="712"/>
      <c r="P32" s="712"/>
      <c r="Q32" s="712"/>
      <c r="R32" s="712"/>
      <c r="S32" s="712"/>
      <c r="T32" s="712"/>
      <c r="U32" s="526" t="str">
        <f t="shared" ca="1" si="4"/>
        <v/>
      </c>
      <c r="V32" s="93" t="str" cm="1">
        <f t="array" aca="1" ref="V32" ca="1">CELL("format",INDIRECT(I32))</f>
        <v>G</v>
      </c>
      <c r="W32" s="93" t="b">
        <f t="shared" ca="1" si="5"/>
        <v>0</v>
      </c>
      <c r="X32" s="715" t="str">
        <f t="shared" ca="1" si="1"/>
        <v/>
      </c>
      <c r="Y32" t="b">
        <f t="shared" ca="1" si="6"/>
        <v>1</v>
      </c>
    </row>
    <row r="33" spans="1:25" ht="77.5">
      <c r="A33" s="705" t="s">
        <v>3039</v>
      </c>
      <c r="B33" s="716" t="str">
        <f t="shared" ca="1" si="12"/>
        <v>Funding and investment strategy - C38</v>
      </c>
      <c r="C33" s="707" t="str" cm="1">
        <f t="array" aca="1" ref="C33" ca="1">INDIRECT(LEFT(I33, FIND("!", I33)) &amp; RefData!$C$426 &amp; RIGHT(I33, LEN(I33) - FIND("!", I33) - 1))</f>
        <v xml:space="preserve">No answer required
What steps (including timings) do the trustees intend to take to remedy the position?
</v>
      </c>
      <c r="D33" s="92" t="str">
        <f t="shared" ca="1" si="0"/>
        <v/>
      </c>
      <c r="E33" s="708" t="str" cm="1">
        <f t="array" aca="1" ref="E33" ca="1">IF(INDIRECT($I33)= "", "", INDIRECT($I33))</f>
        <v/>
      </c>
      <c r="F33" s="709" t="str" cm="1">
        <f t="array" aca="1" ref="F33" ca="1">INDIRECT(LEFT(I33, FIND("!", I33)) &amp; RefData!$C$427 &amp; RIGHT(I33, LEN(I33) - FIND("!", I33) - 1))</f>
        <v>FIS 20.0</v>
      </c>
      <c r="G33" s="710" t="b">
        <f ca="1">IF(ISNUMBER(SEARCH(RefData!$B$2, $C33)), FALSE, TRUE)</f>
        <v>0</v>
      </c>
      <c r="H33" s="113">
        <f>'Funding and investment strategy'!C38</f>
        <v>0</v>
      </c>
      <c r="I33" s="712" t="str">
        <f t="shared" ca="1" si="13"/>
        <v>'Funding and investment strategy'!C38</v>
      </c>
      <c r="J33" s="713" t="b" cm="1">
        <f t="array" aca="1" ref="J33" ca="1">IF(COUNTIF($K33:$T33, "&lt;&gt;FALSE") - COUNTBLANK($K33:$T33) &gt; 0, INDEX($K33:$T33, MATCH(TRUE, $K33:$T33 &lt;&gt; FALSE, 0)))</f>
        <v>0</v>
      </c>
      <c r="K33" s="712" t="b">
        <f ca="1">IF(AND('Funding and investment strategy'!$C$36=RefData!$B$102,'Reconciliation report'!$E33&lt;&gt;""), ErrorMsgs!$B33)</f>
        <v>0</v>
      </c>
      <c r="L33" s="712" t="b">
        <f ca="1">IF(AND('Funding and investment strategy'!$C$36=RefData!$B$103,'Reconciliation report'!$E33=""), ErrorMsgs!$C33)</f>
        <v>0</v>
      </c>
      <c r="M33" s="714" t="b">
        <f ca="1">IF(AND('Start here'!$C$23=RefData!$B$17,'Start here'!$C$25=RefData!$B$16,'Reconciliation report'!$E33=""), ErrorMsgs!$D33)</f>
        <v>0</v>
      </c>
      <c r="N33" s="714" t="b">
        <f ca="1">IF(LEN($E33)&gt;4000,ErrorMsgs!$E33)</f>
        <v>0</v>
      </c>
      <c r="O33" s="712"/>
      <c r="P33" s="712"/>
      <c r="Q33" s="712"/>
      <c r="R33" s="712"/>
      <c r="S33" s="712"/>
      <c r="T33" s="712"/>
      <c r="U33" s="526" t="str">
        <f t="shared" ca="1" si="4"/>
        <v/>
      </c>
      <c r="V33" s="93" t="str" cm="1">
        <f t="array" aca="1" ref="V33" ca="1">CELL("format",INDIRECT(I33))</f>
        <v>G</v>
      </c>
      <c r="W33" s="93" t="b">
        <f t="shared" ca="1" si="5"/>
        <v>0</v>
      </c>
      <c r="X33" s="715" t="str">
        <f t="shared" ca="1" si="1"/>
        <v/>
      </c>
      <c r="Y33" t="b">
        <f t="shared" ca="1" si="6"/>
        <v>1</v>
      </c>
    </row>
    <row r="34" spans="1:25" ht="93">
      <c r="A34" s="705" t="s">
        <v>3040</v>
      </c>
      <c r="B34" s="716" t="str">
        <f t="shared" ca="1" si="12"/>
        <v>Funding and investment strategy - C39</v>
      </c>
      <c r="C34" s="707" t="str" cm="1">
        <f t="array" aca="1" ref="C34" ca="1">INDIRECT(LEFT(I34, FIND("!", I34)) &amp; RefData!$C$426 &amp; RIGHT(I34, LEN(I34) - FIND("!", I34) - 1))</f>
        <v xml:space="preserve">
Describe the main risks faced by the scheme in implementing the funding and investment strategy. Provide details of how the trustees intend to mitigate and/or manage the risks in the event they materialise.
</v>
      </c>
      <c r="D34" s="92" t="str">
        <f t="shared" ca="1" si="0"/>
        <v xml:space="preserve">
You must answer this question. The answer must be no more than 4000 characters.
</v>
      </c>
      <c r="E34" s="708" t="str" cm="1">
        <f t="array" aca="1" ref="E34" ca="1">IF(INDIRECT($I34)= "", "", INDIRECT($I34))</f>
        <v/>
      </c>
      <c r="F34" s="709" t="str" cm="1">
        <f t="array" aca="1" ref="F34" ca="1">INDIRECT(LEFT(I34, FIND("!", I34)) &amp; RefData!$C$427 &amp; RIGHT(I34, LEN(I34) - FIND("!", I34) - 1))</f>
        <v>FIS 21.0</v>
      </c>
      <c r="G34" s="710" t="b">
        <f ca="1">IF(ISNUMBER(SEARCH(RefData!$B$2, $C34)), FALSE, TRUE)</f>
        <v>1</v>
      </c>
      <c r="H34" s="113">
        <f>'Funding and investment strategy'!C39</f>
        <v>0</v>
      </c>
      <c r="I34" s="712" t="str">
        <f t="shared" ca="1" si="13"/>
        <v>'Funding and investment strategy'!C39</v>
      </c>
      <c r="J34" s="713" t="str" cm="1">
        <f t="array" aca="1" ref="J34" ca="1">IF(COUNTIF($K34:$T34, "&lt;&gt;FALSE") - COUNTBLANK($K34:$T34) &gt; 0, INDEX($K34:$T34, MATCH(TRUE, $K34:$T34 &lt;&gt; FALSE, 0)))</f>
        <v xml:space="preserve">
You must answer this question. The answer must be no more than 4000 characters.
</v>
      </c>
      <c r="K34" s="712" t="str">
        <f ca="1">IF($E34="",ErrorMsgs!$B34)</f>
        <v xml:space="preserve">
You must answer this question. The answer must be no more than 4000 characters.
</v>
      </c>
      <c r="L34" s="712" t="b">
        <f ca="1">IF(LEN($E34)&gt;4000,ErrorMsgs!$C34)</f>
        <v>0</v>
      </c>
      <c r="M34" s="714"/>
      <c r="N34" s="714"/>
      <c r="O34" s="712"/>
      <c r="P34" s="712"/>
      <c r="Q34" s="712"/>
      <c r="R34" s="712"/>
      <c r="S34" s="712"/>
      <c r="T34" s="712"/>
      <c r="U34" s="526" t="str">
        <f t="shared" ca="1" si="4"/>
        <v/>
      </c>
      <c r="V34" s="93" t="str" cm="1">
        <f t="array" aca="1" ref="V34" ca="1">CELL("format",INDIRECT(I34))</f>
        <v>G</v>
      </c>
      <c r="W34" s="93" t="b">
        <f t="shared" ca="1" si="5"/>
        <v>0</v>
      </c>
      <c r="X34" s="715" t="str">
        <f t="shared" ca="1" si="1"/>
        <v/>
      </c>
      <c r="Y34" t="b">
        <f t="shared" ca="1" si="6"/>
        <v>1</v>
      </c>
    </row>
    <row r="35" spans="1:25" ht="62">
      <c r="A35" s="705" t="s">
        <v>3041</v>
      </c>
      <c r="B35" s="716" t="str">
        <f t="shared" ca="1" si="12"/>
        <v>Funding and investment strategy - C40</v>
      </c>
      <c r="C35" s="707" t="str" cm="1">
        <f t="array" aca="1" ref="C35" ca="1">INDIRECT(LEFT(I35, FIND("!", I35)) &amp; RefData!$C$426 &amp; RIGHT(I35, LEN(I35) - FIND("!", I35) - 1))</f>
        <v xml:space="preserve">
Are there any significant past decisions relevant to the funding and investment strategy?
</v>
      </c>
      <c r="D35" s="92" t="str">
        <f t="shared" ca="1" si="0"/>
        <v xml:space="preserve">
Select ‘Yes’ if there are significant past decisions relevant to the funding and investment strategy, or ‘No’ if there are not.
</v>
      </c>
      <c r="E35" s="708" t="str" cm="1">
        <f t="array" aca="1" ref="E35" ca="1">IF(INDIRECT($I35)= "", "", INDIRECT($I35))</f>
        <v/>
      </c>
      <c r="F35" s="709" t="str" cm="1">
        <f t="array" aca="1" ref="F35" ca="1">INDIRECT(LEFT(I35, FIND("!", I35)) &amp; RefData!$C$427 &amp; RIGHT(I35, LEN(I35) - FIND("!", I35) - 1))</f>
        <v>FIS 22.0</v>
      </c>
      <c r="G35" s="710" t="b">
        <f ca="1">IF(ISNUMBER(SEARCH(RefData!$B$2, $C35)), FALSE, TRUE)</f>
        <v>1</v>
      </c>
      <c r="H35" s="113">
        <f>'Funding and investment strategy'!C40</f>
        <v>0</v>
      </c>
      <c r="I35" s="712" t="str">
        <f t="shared" ca="1" si="13"/>
        <v>'Funding and investment strategy'!C40</v>
      </c>
      <c r="J35" s="713" t="str" cm="1">
        <f t="array" aca="1" ref="J35" ca="1">IF(COUNTIF($K35:$T35, "&lt;&gt;FALSE") - COUNTBLANK($K35:$T35) &gt; 0, INDEX($K35:$T35, MATCH(TRUE, $K35:$T35 &lt;&gt; FALSE, 0)))</f>
        <v xml:space="preserve">
Select ‘Yes’ if there are significant past decisions relevant to the funding and investment strategy, or ‘No’ if there are not.
</v>
      </c>
      <c r="K35" s="712" t="str">
        <f ca="1">IF($E35="",ErrorMsgs!$B35)</f>
        <v xml:space="preserve">
Select ‘Yes’ if there are significant past decisions relevant to the funding and investment strategy, or ‘No’ if there are not.
</v>
      </c>
      <c r="L35" s="712" t="str">
        <f ca="1">IF(ISNA(MATCH($E35, RefData!$B$122:$B$123, 0)), ErrorMsgs!$C$35)</f>
        <v xml:space="preserve">
Select ‘Yes’ if there are significant past decisions relevant to the funding and investment strategy, or ‘No’ if there are not.
</v>
      </c>
      <c r="M35" s="714"/>
      <c r="N35" s="714"/>
      <c r="O35" s="712"/>
      <c r="P35" s="712"/>
      <c r="Q35" s="712"/>
      <c r="R35" s="712"/>
      <c r="S35" s="712"/>
      <c r="T35" s="712"/>
      <c r="U35" s="526" t="str">
        <f t="shared" ca="1" si="4"/>
        <v/>
      </c>
      <c r="V35" s="93" t="str" cm="1">
        <f t="array" aca="1" ref="V35" ca="1">CELL("format",INDIRECT(I35))</f>
        <v>G</v>
      </c>
      <c r="W35" s="93" t="b">
        <f t="shared" ca="1" si="5"/>
        <v>0</v>
      </c>
      <c r="X35" s="715" t="str">
        <f t="shared" ca="1" si="1"/>
        <v/>
      </c>
      <c r="Y35" t="b">
        <f t="shared" ca="1" si="6"/>
        <v>1</v>
      </c>
    </row>
    <row r="36" spans="1:25" ht="77.5">
      <c r="A36" s="705" t="s">
        <v>3042</v>
      </c>
      <c r="B36" s="716" t="str">
        <f t="shared" ca="1" si="12"/>
        <v>Funding and investment strategy - C41</v>
      </c>
      <c r="C36" s="707" t="str" cm="1">
        <f t="array" aca="1" ref="C36" ca="1">INDIRECT(LEFT(I36, FIND("!", I36)) &amp; RefData!$C$426 &amp; RIGHT(I36, LEN(I36) - FIND("!", I36) - 1))</f>
        <v xml:space="preserve">
Describe these significant past decisions. What are the trustees' reflections on them, including any lessons learned that have or may affect other decisions?
</v>
      </c>
      <c r="D36" s="92" t="str">
        <f t="shared" ca="1" si="0"/>
        <v/>
      </c>
      <c r="E36" s="708" t="str" cm="1">
        <f t="array" aca="1" ref="E36" ca="1">IF(INDIRECT($I36)= "", "", INDIRECT($I36))</f>
        <v/>
      </c>
      <c r="F36" s="709" t="str" cm="1">
        <f t="array" aca="1" ref="F36" ca="1">INDIRECT(LEFT(I36, FIND("!", I36)) &amp; RefData!$C$427 &amp; RIGHT(I36, LEN(I36) - FIND("!", I36) - 1))</f>
        <v>FIS 23.0</v>
      </c>
      <c r="G36" s="710" t="b">
        <f ca="1">IF(ISNUMBER(SEARCH(RefData!$B$2, $C36)), FALSE, TRUE)</f>
        <v>1</v>
      </c>
      <c r="H36" s="113">
        <f>'Funding and investment strategy'!C41</f>
        <v>0</v>
      </c>
      <c r="I36" s="712" t="str">
        <f t="shared" ca="1" si="13"/>
        <v>'Funding and investment strategy'!C41</v>
      </c>
      <c r="J36" s="713" t="b" cm="1">
        <f t="array" aca="1" ref="J36" ca="1">IF(COUNTIF($K36:$T36, "&lt;&gt;FALSE") - COUNTBLANK($K36:$T36) &gt; 0, INDEX($K36:$T36, MATCH(TRUE, $K36:$T36 &lt;&gt; FALSE, 0)))</f>
        <v>0</v>
      </c>
      <c r="K36" s="712" t="b">
        <f ca="1">IF(AND('Funding and investment strategy'!$C$40=RefData!$B$123,'Reconciliation report'!$E36&lt;&gt;""),ErrorMsgs!$B36)</f>
        <v>0</v>
      </c>
      <c r="L36" s="712" t="b">
        <f ca="1">IF(AND('Funding and investment strategy'!$C$40=RefData!$B$122,'Reconciliation report'!$E36=""),ErrorMsgs!$C36)</f>
        <v>0</v>
      </c>
      <c r="M36" s="714" t="b">
        <f ca="1">IF(LEN($E36)&gt;4000,ErrorMsgs!$D36)</f>
        <v>0</v>
      </c>
      <c r="N36" s="714"/>
      <c r="O36" s="712"/>
      <c r="P36" s="712"/>
      <c r="Q36" s="712"/>
      <c r="R36" s="712"/>
      <c r="S36" s="712"/>
      <c r="T36" s="712"/>
      <c r="U36" s="526" t="str">
        <f t="shared" ca="1" si="4"/>
        <v/>
      </c>
      <c r="V36" s="93" t="str" cm="1">
        <f t="array" aca="1" ref="V36" ca="1">CELL("format",INDIRECT(I36))</f>
        <v>G</v>
      </c>
      <c r="W36" s="93" t="b">
        <f t="shared" ca="1" si="5"/>
        <v>0</v>
      </c>
      <c r="X36" s="715" t="str">
        <f t="shared" ca="1" si="1"/>
        <v/>
      </c>
      <c r="Y36" t="b">
        <f t="shared" ca="1" si="6"/>
        <v>1</v>
      </c>
    </row>
    <row r="37" spans="1:25" ht="77.5">
      <c r="A37" s="705" t="s">
        <v>3043</v>
      </c>
      <c r="B37" s="706" t="str">
        <f t="shared" ca="1" si="2"/>
        <v>Summary of actuarial valuation - C7</v>
      </c>
      <c r="C37" s="707" t="str" cm="1">
        <f t="array" aca="1" ref="C37" ca="1">INDIRECT(LEFT(I37, FIND("!", I37)) &amp; RefData!$C$426 &amp; RIGHT(I37, LEN(I37) - FIND("!", I37) - 1))</f>
        <v xml:space="preserve">
Does the scheme have any defined contributions (DC) liabilities or DC additional voluntary contributions (AVC) that have been included in the actuarial valuation?
</v>
      </c>
      <c r="D37" s="92" t="str">
        <f t="shared" ca="1" si="0"/>
        <v>Select ‘Yes’ if the scheme has defined contributions (DC) liabilities or DC additional voluntary contributions (AVC) that have been included in the actuarial valuation or ‘No’ if it does not.</v>
      </c>
      <c r="E37" s="708" t="str" cm="1">
        <f t="array" aca="1" ref="E37" ca="1">IF(INDIRECT($I37)= "", "", INDIRECT($I37))</f>
        <v/>
      </c>
      <c r="F37" s="709" t="str" cm="1">
        <f t="array" aca="1" ref="F37" ca="1">INDIRECT(LEFT(I37, FIND("!", I37)) &amp; RefData!$C$427 &amp; RIGHT(I37, LEN(I37) - FIND("!", I37) - 1))</f>
        <v>SAV 1.0</v>
      </c>
      <c r="G37" s="710" t="b">
        <f ca="1">IF(ISNUMBER(SEARCH(RefData!$B$2, $C37)), FALSE, TRUE)</f>
        <v>1</v>
      </c>
      <c r="H37" s="711">
        <f>'Summary of actuarial valuation'!C7</f>
        <v>0</v>
      </c>
      <c r="I37" s="712" t="str">
        <f t="shared" ref="I37:I415" ca="1" si="14">SUBSTITUTE(_xlfn.FORMULATEXT($H37), "=", "")</f>
        <v>'Summary of actuarial valuation'!C7</v>
      </c>
      <c r="J37" s="713" t="str" cm="1">
        <f t="array" aca="1" ref="J37" ca="1">IF(COUNTIF($K37:$T37, "&lt;&gt;FALSE") - COUNTBLANK($K37:$T37) &gt; 0, INDEX($K37:$T37, MATCH(TRUE, $K37:$T37 &lt;&gt; FALSE, 0)))</f>
        <v>Select ‘Yes’ if the scheme has defined contributions (DC) liabilities or DC additional voluntary contributions (AVC) that have been included in the actuarial valuation or ‘No’ if it does not.</v>
      </c>
      <c r="K37" s="712" t="str">
        <f ca="1">IF(E37="",ErrorMsgs!$B37)</f>
        <v>Select ‘Yes’ if the scheme has defined contributions (DC) liabilities or DC additional voluntary contributions (AVC) that have been included in the actuarial valuation or ‘No’ if it does not.</v>
      </c>
      <c r="L37" s="712" t="b">
        <f ca="1">IF($E37="",FALSE,IF(ISNA(MATCH($E37,RefData!$B$19:$B$20,0)),ErrorMsgs!$C37))</f>
        <v>0</v>
      </c>
      <c r="M37" s="714"/>
      <c r="N37" s="714"/>
      <c r="O37" s="712"/>
      <c r="P37" s="712"/>
      <c r="Q37" s="712"/>
      <c r="R37" s="712"/>
      <c r="S37" s="712"/>
      <c r="T37" s="712"/>
      <c r="U37" s="526" t="str">
        <f t="shared" ca="1" si="4"/>
        <v/>
      </c>
      <c r="V37" s="93" t="str" cm="1">
        <f t="array" aca="1" ref="V37" ca="1">CELL("format",INDIRECT(I37))</f>
        <v>G</v>
      </c>
      <c r="W37" s="93" t="b">
        <f t="shared" ca="1" si="5"/>
        <v>0</v>
      </c>
      <c r="X37" s="715" t="str">
        <f t="shared" ca="1" si="1"/>
        <v/>
      </c>
      <c r="Y37" t="b">
        <f t="shared" ca="1" si="6"/>
        <v>1</v>
      </c>
    </row>
    <row r="38" spans="1:25" ht="62">
      <c r="A38" s="705" t="s">
        <v>3044</v>
      </c>
      <c r="B38" s="706" t="str">
        <f t="shared" ca="1" si="2"/>
        <v>Summary of actuarial valuation - C8</v>
      </c>
      <c r="C38" s="707" t="str" cm="1">
        <f t="array" aca="1" ref="C38" ca="1">INDIRECT(LEFT(I38, FIND("!", I38)) &amp; RefData!$C$426 &amp; RIGHT(I38, LEN(I38) - FIND("!", I38) - 1))</f>
        <v xml:space="preserve">
Does the valuation include any cash balance liabilities?
</v>
      </c>
      <c r="D38" s="92" t="str">
        <f t="shared" ca="1" si="0"/>
        <v xml:space="preserve">
Select ‘Yes' if the valuation includes cash balance liabilities’ or ‘No' if it does not.
</v>
      </c>
      <c r="E38" s="708" t="str" cm="1">
        <f t="array" aca="1" ref="E38" ca="1">IF(INDIRECT($I38)= "", "", INDIRECT($I38))</f>
        <v/>
      </c>
      <c r="F38" s="709" t="str" cm="1">
        <f t="array" aca="1" ref="F38" ca="1">INDIRECT(LEFT(I38, FIND("!", I38)) &amp; RefData!$C$427 &amp; RIGHT(I38, LEN(I38) - FIND("!", I38) - 1))</f>
        <v>SAV 2.0</v>
      </c>
      <c r="G38" s="710" t="b">
        <f ca="1">IF(ISNUMBER(SEARCH(RefData!$B$2, $C38)), FALSE, TRUE)</f>
        <v>1</v>
      </c>
      <c r="H38" s="711">
        <f>'Summary of actuarial valuation'!C8</f>
        <v>0</v>
      </c>
      <c r="I38" s="712" t="str">
        <f t="shared" ca="1" si="14"/>
        <v>'Summary of actuarial valuation'!C8</v>
      </c>
      <c r="J38" s="713" t="str" cm="1">
        <f t="array" aca="1" ref="J38" ca="1">IF(COUNTIF($K38:$T38, "&lt;&gt;FALSE") - COUNTBLANK($K38:$T38) &gt; 0, INDEX($K38:$T38, MATCH(TRUE, $K38:$T38 &lt;&gt; FALSE, 0)))</f>
        <v xml:space="preserve">
Select ‘Yes' if the valuation includes cash balance liabilities’ or ‘No' if it does not.
</v>
      </c>
      <c r="K38" s="712" t="str">
        <f ca="1">IF(E38="",ErrorMsgs!$B38)</f>
        <v xml:space="preserve">
Select ‘Yes' if the valuation includes cash balance liabilities’ or ‘No' if it does not.
</v>
      </c>
      <c r="L38" s="712" t="b">
        <f ca="1">IF($E38="",FALSE,IF(ISNA(MATCH($E38,RefData!$B$21:$B$22,0)),ErrorMsgs!$C38))</f>
        <v>0</v>
      </c>
      <c r="M38" s="714"/>
      <c r="N38" s="714"/>
      <c r="O38" s="712"/>
      <c r="P38" s="712"/>
      <c r="Q38" s="712"/>
      <c r="R38" s="712"/>
      <c r="S38" s="712"/>
      <c r="T38" s="712"/>
      <c r="U38" s="526" t="str">
        <f t="shared" ca="1" si="4"/>
        <v/>
      </c>
      <c r="V38" s="93" t="str" cm="1">
        <f t="array" aca="1" ref="V38" ca="1">CELL("format",INDIRECT(I38))</f>
        <v>G</v>
      </c>
      <c r="W38" s="93" t="b">
        <f t="shared" ca="1" si="5"/>
        <v>0</v>
      </c>
      <c r="X38" s="715" t="str">
        <f t="shared" ca="1" si="1"/>
        <v/>
      </c>
      <c r="Y38" t="b">
        <f t="shared" ca="1" si="6"/>
        <v>1</v>
      </c>
    </row>
    <row r="39" spans="1:25" ht="61.5" customHeight="1">
      <c r="A39" s="705" t="s">
        <v>3045</v>
      </c>
      <c r="B39" s="706" t="str">
        <f t="shared" ca="1" si="2"/>
        <v>Summary of actuarial valuation - C12</v>
      </c>
      <c r="C39" s="707" t="str" cm="1">
        <f t="array" aca="1" ref="C39" ca="1">INDIRECT(LEFT(I39, FIND("!", I39)) &amp; RefData!$C$426 &amp; RIGHT(I39, LEN(I39) - FIND("!", I39) - 1))</f>
        <v xml:space="preserve">
Technical provisions basis: total scheme assets (£)
</v>
      </c>
      <c r="D39" s="92" t="str">
        <f t="shared" ca="1" si="0"/>
        <v xml:space="preserve">
Enter a value equal to or greater than 0 and less than 1,000,000,000,000 (1 trillion). It can be accurate to two decimal places.
</v>
      </c>
      <c r="E39" s="708" t="str" cm="1">
        <f t="array" aca="1" ref="E39" ca="1">IF(INDIRECT($I39)= "", "", INDIRECT($I39))</f>
        <v/>
      </c>
      <c r="F39" s="709" t="str" cm="1">
        <f t="array" aca="1" ref="F39" ca="1">INDIRECT(LEFT(I39, FIND("!", I39)) &amp; RefData!$C$427 &amp; RIGHT(I39, LEN(I39) - FIND("!", I39) - 1))</f>
        <v>SAV 3.0</v>
      </c>
      <c r="G39" s="710" t="b">
        <f ca="1">IF(ISNUMBER(SEARCH(RefData!$B$2, $C39)), FALSE, TRUE)</f>
        <v>1</v>
      </c>
      <c r="H39" s="723">
        <f>'Summary of actuarial valuation'!C12</f>
        <v>0</v>
      </c>
      <c r="I39" s="712" t="str">
        <f t="shared" ca="1" si="14"/>
        <v>'Summary of actuarial valuation'!C12</v>
      </c>
      <c r="J39" s="713" t="str" cm="1">
        <f t="array" aca="1" ref="J39" ca="1">IF(COUNTIF($K39:$T39, "&lt;&gt;FALSE") - COUNTBLANK($K39:$T39) &gt; 0, INDEX($K39:$T39, MATCH(TRUE, $K39:$T39 &lt;&gt; FALSE, 0)))</f>
        <v xml:space="preserve">
Enter a value equal to or greater than 0 and less than 1,000,000,000,000 (1 trillion). It can be accurate to two decimal places.
</v>
      </c>
      <c r="K39" s="712" t="str">
        <f ca="1">IF($E39="",ErrorMsgs!$B39)</f>
        <v xml:space="preserve">
Enter a value equal to or greater than 0 and less than 1,000,000,000,000 (1 trillion). It can be accurate to two decimal places.
</v>
      </c>
      <c r="L39" s="712" t="str">
        <f ca="1">IF(NOT(ISNUMBER(VALUE(E39))),ErrorMsgs!$C39,IF(VALUE($E39)-ROUND(VALUE($E39),2),ErrorMsgs!$C39))</f>
        <v xml:space="preserve">
Enter a value equal to or greater than 0 and less than 1,000,000,000,000 (1 trillion). It can be accurate to two decimal places.
</v>
      </c>
      <c r="M39" s="714" t="b">
        <f ca="1">IF($E39="",FALSE,IF(VALUE($E39)&lt;0,ErrorMsgs!$D39))</f>
        <v>0</v>
      </c>
      <c r="N39" s="714" t="b">
        <f ca="1">IF($E39="",FALSE,IF(VALUE($E39)&gt;=1000000000000,ErrorMsgs!$E39))</f>
        <v>0</v>
      </c>
      <c r="O39" s="712"/>
      <c r="P39" s="712"/>
      <c r="Q39" s="712"/>
      <c r="R39" s="712"/>
      <c r="S39" s="712"/>
      <c r="T39" s="712"/>
      <c r="U39" s="526" t="str">
        <f t="shared" ca="1" si="4"/>
        <v/>
      </c>
      <c r="V39" s="93" t="str" cm="1">
        <f t="array" aca="1" ref="V39" ca="1">CELL("format",INDIRECT(I39))</f>
        <v>C2</v>
      </c>
      <c r="W39" s="93" t="b">
        <f t="shared" ca="1" si="5"/>
        <v>0</v>
      </c>
      <c r="X39" s="715" t="str">
        <f t="shared" ca="1" si="1"/>
        <v/>
      </c>
      <c r="Y39" t="b">
        <f t="shared" ca="1" si="6"/>
        <v>1</v>
      </c>
    </row>
    <row r="40" spans="1:25" ht="61.5" customHeight="1">
      <c r="A40" s="705" t="s">
        <v>3046</v>
      </c>
      <c r="B40" s="706" t="str">
        <f t="shared" ca="1" si="2"/>
        <v>Summary of actuarial valuation - C13</v>
      </c>
      <c r="C40" s="707" t="str" cm="1">
        <f t="array" aca="1" ref="C40" ca="1">INDIRECT(LEFT(I40, FIND("!", I40)) &amp; RefData!$C$426 &amp; RIGHT(I40, LEN(I40) - FIND("!", I40) - 1))</f>
        <v xml:space="preserve">
Technical provisions basis: active member liabilities (£)
</v>
      </c>
      <c r="D40" s="92" t="str">
        <f t="shared" ca="1" si="0"/>
        <v xml:space="preserve">
Enter a value equal to or greater than 0 and less than 1,000,000,000,000 (1 trillion). It can be accurate to two decimal places.
</v>
      </c>
      <c r="E40" s="708" t="str" cm="1">
        <f t="array" aca="1" ref="E40" ca="1">IF(INDIRECT($I40)= "", "", INDIRECT($I40))</f>
        <v/>
      </c>
      <c r="F40" s="709" t="str" cm="1">
        <f t="array" aca="1" ref="F40" ca="1">INDIRECT(LEFT(I40, FIND("!", I40)) &amp; RefData!$C$427 &amp; RIGHT(I40, LEN(I40) - FIND("!", I40) - 1))</f>
        <v>SAV 4.0</v>
      </c>
      <c r="G40" s="710" t="b">
        <f ca="1">IF(ISNUMBER(SEARCH(RefData!$B$2, $C40)), FALSE, TRUE)</f>
        <v>1</v>
      </c>
      <c r="H40" s="723">
        <f>'Summary of actuarial valuation'!C13</f>
        <v>0</v>
      </c>
      <c r="I40" s="712" t="str">
        <f t="shared" ca="1" si="14"/>
        <v>'Summary of actuarial valuation'!C13</v>
      </c>
      <c r="J40" s="713" t="str" cm="1">
        <f t="array" aca="1" ref="J40" ca="1">IF(COUNTIF($K40:$T40, "&lt;&gt;FALSE") - COUNTBLANK($K40:$T40) &gt; 0, INDEX($K40:$T40, MATCH(TRUE, $K40:$T40 &lt;&gt; FALSE, 0)))</f>
        <v xml:space="preserve">
Enter a value equal to or greater than 0 and less than 1,000,000,000,000 (1 trillion). It can be accurate to two decimal places.
</v>
      </c>
      <c r="K40" s="712" t="str">
        <f ca="1">IF($E40="",ErrorMsgs!$B40)</f>
        <v xml:space="preserve">
Enter a value equal to or greater than 0 and less than 1,000,000,000,000 (1 trillion). It can be accurate to two decimal places.
</v>
      </c>
      <c r="L40" s="712" t="str">
        <f ca="1">IF(NOT(ISNUMBER(VALUE(E40))),ErrorMsgs!$C40,IF(VALUE($E40)-ROUND(VALUE($E40),2),ErrorMsgs!$C40))</f>
        <v xml:space="preserve">
Enter a value equal to or greater than 0 and less than 1,000,000,000,000 (1 trillion). It can be accurate to two decimal places.
</v>
      </c>
      <c r="M40" s="714" t="b">
        <f ca="1">IF($E40="",FALSE,IF(VALUE($E40)&lt;0,ErrorMsgs!$D40))</f>
        <v>0</v>
      </c>
      <c r="N40" s="714" t="b">
        <f ca="1">IF($E40="",FALSE,IF(VALUE($E40)&gt;=1000000000000,ErrorMsgs!$E40))</f>
        <v>0</v>
      </c>
      <c r="O40" s="712"/>
      <c r="P40" s="712"/>
      <c r="Q40" s="712"/>
      <c r="R40" s="712"/>
      <c r="S40" s="712"/>
      <c r="T40" s="712"/>
      <c r="U40" s="526" t="str">
        <f t="shared" ca="1" si="4"/>
        <v/>
      </c>
      <c r="V40" s="93" t="str" cm="1">
        <f t="array" aca="1" ref="V40" ca="1">CELL("format",INDIRECT(I40))</f>
        <v>C2</v>
      </c>
      <c r="W40" s="93" t="b">
        <f t="shared" ca="1" si="5"/>
        <v>0</v>
      </c>
      <c r="X40" s="715" t="str">
        <f t="shared" ca="1" si="1"/>
        <v/>
      </c>
      <c r="Y40" t="b">
        <f t="shared" ca="1" si="6"/>
        <v>1</v>
      </c>
    </row>
    <row r="41" spans="1:25" ht="61.5" customHeight="1">
      <c r="A41" s="705" t="s">
        <v>3047</v>
      </c>
      <c r="B41" s="706" t="str">
        <f t="shared" ca="1" si="2"/>
        <v>Summary of actuarial valuation - C14</v>
      </c>
      <c r="C41" s="707" t="str" cm="1">
        <f t="array" aca="1" ref="C41" ca="1">INDIRECT(LEFT(I41, FIND("!", I41)) &amp; RefData!$C$426 &amp; RIGHT(I41, LEN(I41) - FIND("!", I41) - 1))</f>
        <v xml:space="preserve">
Technical provisions basis: deferred member liabilities (£)
</v>
      </c>
      <c r="D41" s="92" t="str">
        <f t="shared" ca="1" si="0"/>
        <v xml:space="preserve">
Enter a value equal to or greater than 0 and less than 1,000,000,000,000 (1 trillion). It can be accurate to two decimal places.
</v>
      </c>
      <c r="E41" s="708" t="str" cm="1">
        <f t="array" aca="1" ref="E41" ca="1">IF(INDIRECT($I41)= "", "", INDIRECT($I41))</f>
        <v/>
      </c>
      <c r="F41" s="709" t="str" cm="1">
        <f t="array" aca="1" ref="F41" ca="1">INDIRECT(LEFT(I41, FIND("!", I41)) &amp; RefData!$C$427 &amp; RIGHT(I41, LEN(I41) - FIND("!", I41) - 1))</f>
        <v>SAV 5.0</v>
      </c>
      <c r="G41" s="710" t="b">
        <f ca="1">IF(ISNUMBER(SEARCH(RefData!$B$2, $C41)), FALSE, TRUE)</f>
        <v>1</v>
      </c>
      <c r="H41" s="723">
        <f>'Summary of actuarial valuation'!C14</f>
        <v>0</v>
      </c>
      <c r="I41" s="712" t="str">
        <f t="shared" ca="1" si="14"/>
        <v>'Summary of actuarial valuation'!C14</v>
      </c>
      <c r="J41" s="713" t="str" cm="1">
        <f t="array" aca="1" ref="J41" ca="1">IF(COUNTIF($K41:$T41, "&lt;&gt;FALSE") - COUNTBLANK($K41:$T41) &gt; 0, INDEX($K41:$T41, MATCH(TRUE, $K41:$T41 &lt;&gt; FALSE, 0)))</f>
        <v xml:space="preserve">
Enter a value equal to or greater than 0 and less than 1,000,000,000,000 (1 trillion). It can be accurate to two decimal places.
</v>
      </c>
      <c r="K41" s="712" t="str">
        <f ca="1">IF($E41="",ErrorMsgs!$B41)</f>
        <v xml:space="preserve">
Enter a value equal to or greater than 0 and less than 1,000,000,000,000 (1 trillion). It can be accurate to two decimal places.
</v>
      </c>
      <c r="L41" s="712" t="str">
        <f ca="1">IF(NOT(ISNUMBER(VALUE(E41))),ErrorMsgs!$C41,IF(VALUE($E41)-ROUND(VALUE($E41),2),ErrorMsgs!$C41))</f>
        <v xml:space="preserve">
Enter a value equal to or greater than 0 and less than 1,000,000,000,000 (1 trillion). It can be accurate to two decimal places.
</v>
      </c>
      <c r="M41" s="714" t="b">
        <f ca="1">IF($E41="",FALSE,IF(VALUE($E41)&lt;0,ErrorMsgs!$D41))</f>
        <v>0</v>
      </c>
      <c r="N41" s="714" t="b">
        <f ca="1">IF($E41="",FALSE,IF(VALUE($E41)&gt;=1000000000000,ErrorMsgs!$E41))</f>
        <v>0</v>
      </c>
      <c r="O41" s="712"/>
      <c r="P41" s="712"/>
      <c r="Q41" s="712"/>
      <c r="R41" s="712"/>
      <c r="S41" s="712"/>
      <c r="T41" s="712"/>
      <c r="U41" s="526" t="str">
        <f t="shared" ca="1" si="4"/>
        <v/>
      </c>
      <c r="V41" s="93" t="str" cm="1">
        <f t="array" aca="1" ref="V41" ca="1">CELL("format",INDIRECT(I41))</f>
        <v>C2</v>
      </c>
      <c r="W41" s="93" t="b">
        <f t="shared" ca="1" si="5"/>
        <v>0</v>
      </c>
      <c r="X41" s="715" t="str">
        <f t="shared" ca="1" si="1"/>
        <v/>
      </c>
      <c r="Y41" t="b">
        <f t="shared" ca="1" si="6"/>
        <v>1</v>
      </c>
    </row>
    <row r="42" spans="1:25" ht="61.5" customHeight="1">
      <c r="A42" s="705" t="s">
        <v>3048</v>
      </c>
      <c r="B42" s="706" t="str">
        <f t="shared" ca="1" si="2"/>
        <v>Summary of actuarial valuation - C15</v>
      </c>
      <c r="C42" s="707" t="str" cm="1">
        <f t="array" aca="1" ref="C42" ca="1">INDIRECT(LEFT(I42, FIND("!", I42)) &amp; RefData!$C$426 &amp; RIGHT(I42, LEN(I42) - FIND("!", I42) - 1))</f>
        <v xml:space="preserve">
Technical provisions basis: pensioner member liabilities (£)
</v>
      </c>
      <c r="D42" s="92" t="str">
        <f t="shared" ca="1" si="0"/>
        <v xml:space="preserve">
Enter a value equal to or greater than 0 and less than 1,000,000,000,000 (1 trillion). It can be accurate to two decimal places.
</v>
      </c>
      <c r="E42" s="708" t="str" cm="1">
        <f t="array" aca="1" ref="E42" ca="1">IF(INDIRECT($I42)= "", "", INDIRECT($I42))</f>
        <v/>
      </c>
      <c r="F42" s="709" t="str" cm="1">
        <f t="array" aca="1" ref="F42" ca="1">INDIRECT(LEFT(I42, FIND("!", I42)) &amp; RefData!$C$427 &amp; RIGHT(I42, LEN(I42) - FIND("!", I42) - 1))</f>
        <v>SAV 6.0</v>
      </c>
      <c r="G42" s="710" t="b">
        <f ca="1">IF(ISNUMBER(SEARCH(RefData!$B$2, $C42)), FALSE, TRUE)</f>
        <v>1</v>
      </c>
      <c r="H42" s="723">
        <f>'Summary of actuarial valuation'!C15</f>
        <v>0</v>
      </c>
      <c r="I42" s="712" t="str">
        <f t="shared" ca="1" si="14"/>
        <v>'Summary of actuarial valuation'!C15</v>
      </c>
      <c r="J42" s="713" t="str" cm="1">
        <f t="array" aca="1" ref="J42" ca="1">IF(COUNTIF($K42:$T42, "&lt;&gt;FALSE") - COUNTBLANK($K42:$T42) &gt; 0, INDEX($K42:$T42, MATCH(TRUE, $K42:$T42 &lt;&gt; FALSE, 0)))</f>
        <v xml:space="preserve">
Enter a value equal to or greater than 0 and less than 1,000,000,000,000 (1 trillion). It can be accurate to two decimal places.
</v>
      </c>
      <c r="K42" s="712" t="str">
        <f ca="1">IF($E42="",ErrorMsgs!$B42)</f>
        <v xml:space="preserve">
Enter a value equal to or greater than 0 and less than 1,000,000,000,000 (1 trillion). It can be accurate to two decimal places.
</v>
      </c>
      <c r="L42" s="712" t="str">
        <f ca="1">IF(NOT(ISNUMBER(VALUE(E42))),ErrorMsgs!$C42,IF(VALUE($E42)-ROUND(VALUE($E42),2),ErrorMsgs!$C42))</f>
        <v xml:space="preserve">
Enter a value equal to or greater than 0 and less than 1,000,000,000,000 (1 trillion). It can be accurate to two decimal places.
</v>
      </c>
      <c r="M42" s="714" t="b">
        <f ca="1">IF($E42="",FALSE,IF(VALUE($E42)&lt;0,ErrorMsgs!$D42))</f>
        <v>0</v>
      </c>
      <c r="N42" s="714" t="b">
        <f ca="1">IF($E42="",FALSE,IF(VALUE($E42)&gt;=1000000000000,ErrorMsgs!$E42))</f>
        <v>0</v>
      </c>
      <c r="O42" s="712"/>
      <c r="P42" s="712"/>
      <c r="Q42" s="712"/>
      <c r="R42" s="712"/>
      <c r="S42" s="712"/>
      <c r="T42" s="712"/>
      <c r="U42" s="526" t="str">
        <f t="shared" ca="1" si="4"/>
        <v/>
      </c>
      <c r="V42" s="93" t="str" cm="1">
        <f t="array" aca="1" ref="V42" ca="1">CELL("format",INDIRECT(I42))</f>
        <v>C2</v>
      </c>
      <c r="W42" s="93" t="b">
        <f t="shared" ca="1" si="5"/>
        <v>0</v>
      </c>
      <c r="X42" s="715" t="str">
        <f t="shared" ca="1" si="1"/>
        <v/>
      </c>
      <c r="Y42" t="b">
        <f t="shared" ca="1" si="6"/>
        <v>1</v>
      </c>
    </row>
    <row r="43" spans="1:25" ht="61.5" customHeight="1">
      <c r="A43" s="705" t="s">
        <v>3049</v>
      </c>
      <c r="B43" s="706" t="str">
        <f t="shared" ca="1" si="2"/>
        <v>Summary of actuarial valuation - C16</v>
      </c>
      <c r="C43" s="707" t="str" cm="1">
        <f t="array" aca="1" ref="C43" ca="1">INDIRECT(LEFT(I43, FIND("!", I43)) &amp; RefData!$C$426 &amp; RIGHT(I43, LEN(I43) - FIND("!", I43) - 1))</f>
        <v xml:space="preserve">
Technical provisions basis: insured member liabilities (£)
</v>
      </c>
      <c r="D43" s="92" t="str">
        <f t="shared" ca="1" si="0"/>
        <v xml:space="preserve">
Enter a value equal to or greater than 0 and less than 1,000,000,000,000 (1 trillion). It can be accurate to two decimal places.
</v>
      </c>
      <c r="E43" s="708" t="str" cm="1">
        <f t="array" aca="1" ref="E43" ca="1">IF(INDIRECT($I43)= "", "", INDIRECT($I43))</f>
        <v/>
      </c>
      <c r="F43" s="709" t="str" cm="1">
        <f t="array" aca="1" ref="F43" ca="1">INDIRECT(LEFT(I43, FIND("!", I43)) &amp; RefData!$C$427 &amp; RIGHT(I43, LEN(I43) - FIND("!", I43) - 1))</f>
        <v>SAV 7.0</v>
      </c>
      <c r="G43" s="710" t="b">
        <f ca="1">IF(ISNUMBER(SEARCH(RefData!$B$2, $C43)), FALSE, TRUE)</f>
        <v>1</v>
      </c>
      <c r="H43" s="723">
        <f>'Summary of actuarial valuation'!C16</f>
        <v>0</v>
      </c>
      <c r="I43" s="712" t="str">
        <f t="shared" ca="1" si="14"/>
        <v>'Summary of actuarial valuation'!C16</v>
      </c>
      <c r="J43" s="713" t="str" cm="1">
        <f t="array" aca="1" ref="J43" ca="1">IF(COUNTIF($K43:$T43, "&lt;&gt;FALSE") - COUNTBLANK($K43:$T43) &gt; 0, INDEX($K43:$T43, MATCH(TRUE, $K43:$T43 &lt;&gt; FALSE, 0)))</f>
        <v xml:space="preserve">
Enter a value equal to or greater than 0 and less than 1,000,000,000,000 (1 trillion). It can be accurate to two decimal places.
</v>
      </c>
      <c r="K43" s="712" t="str">
        <f ca="1">IF($E43="",ErrorMsgs!$B43)</f>
        <v xml:space="preserve">
Enter a value equal to or greater than 0 and less than 1,000,000,000,000 (1 trillion). It can be accurate to two decimal places.
</v>
      </c>
      <c r="L43" s="712" t="str">
        <f ca="1">IF(NOT(ISNUMBER(VALUE(E43))),ErrorMsgs!$C43,IF(VALUE($E43)-ROUND(VALUE($E43),2),ErrorMsgs!$C43))</f>
        <v xml:space="preserve">
Enter a value equal to or greater than 0 and less than 1,000,000,000,000 (1 trillion). It can be accurate to two decimal places.
</v>
      </c>
      <c r="M43" s="714" t="b">
        <f ca="1">IF($E43="",FALSE,IF(VALUE($E43)&lt;0,ErrorMsgs!$D43))</f>
        <v>0</v>
      </c>
      <c r="N43" s="714" t="b">
        <f ca="1">IF($E43="",FALSE,IF(VALUE($E43)&gt;=1000000000000,ErrorMsgs!$E43))</f>
        <v>0</v>
      </c>
      <c r="O43" s="712"/>
      <c r="P43" s="712"/>
      <c r="Q43" s="712"/>
      <c r="R43" s="712"/>
      <c r="S43" s="712"/>
      <c r="T43" s="712"/>
      <c r="U43" s="526" t="str">
        <f t="shared" ca="1" si="4"/>
        <v/>
      </c>
      <c r="V43" s="93" t="str" cm="1">
        <f t="array" aca="1" ref="V43" ca="1">CELL("format",INDIRECT(I43))</f>
        <v>C2</v>
      </c>
      <c r="W43" s="93" t="b">
        <f t="shared" ca="1" si="5"/>
        <v>0</v>
      </c>
      <c r="X43" s="715" t="str">
        <f t="shared" ca="1" si="1"/>
        <v/>
      </c>
      <c r="Y43" t="b">
        <f t="shared" ca="1" si="6"/>
        <v>1</v>
      </c>
    </row>
    <row r="44" spans="1:25" ht="61.5" customHeight="1">
      <c r="A44" s="705" t="s">
        <v>3050</v>
      </c>
      <c r="B44" s="706" t="str">
        <f t="shared" ca="1" si="2"/>
        <v>Summary of actuarial valuation - C17</v>
      </c>
      <c r="C44" s="707" t="str" cm="1">
        <f t="array" aca="1" ref="C44" ca="1">INDIRECT(LEFT(I44, FIND("!", I44)) &amp; RefData!$C$426 &amp; RIGHT(I44, LEN(I44) - FIND("!", I44) - 1))</f>
        <v xml:space="preserve">
Technical provisions basis: DC liabilities (£)
</v>
      </c>
      <c r="D44" s="92" t="str">
        <f t="shared" ca="1" si="0"/>
        <v/>
      </c>
      <c r="E44" s="708" t="str" cm="1">
        <f t="array" aca="1" ref="E44" ca="1">IF(INDIRECT($I44)= "", "", INDIRECT($I44))</f>
        <v/>
      </c>
      <c r="F44" s="709" t="str" cm="1">
        <f t="array" aca="1" ref="F44" ca="1">INDIRECT(LEFT(I44, FIND("!", I44)) &amp; RefData!$C$427 &amp; RIGHT(I44, LEN(I44) - FIND("!", I44) - 1))</f>
        <v>SAV 8.0</v>
      </c>
      <c r="G44" s="710" t="b">
        <f ca="1">IF(ISNUMBER(SEARCH(RefData!$B$2, $C44)), FALSE, TRUE)</f>
        <v>1</v>
      </c>
      <c r="H44" s="723">
        <f>'Summary of actuarial valuation'!C17</f>
        <v>0</v>
      </c>
      <c r="I44" s="712" t="str">
        <f t="shared" ca="1" si="14"/>
        <v>'Summary of actuarial valuation'!C17</v>
      </c>
      <c r="J44" s="713" t="b" cm="1">
        <f t="array" aca="1" ref="J44" ca="1">IF(COUNTIF($K44:$T44, "&lt;&gt;FALSE") - COUNTBLANK($K44:$T44) &gt; 0, INDEX($K44:$T44, MATCH(TRUE, $K44:$T44 &lt;&gt; FALSE, 0)))</f>
        <v>0</v>
      </c>
      <c r="K44" s="712" t="b">
        <f ca="1">IF(AND('Summary of actuarial valuation'!$C$7=RefData!$B$19,'Reconciliation report'!$E44=""),ErrorMsgs!$B44)</f>
        <v>0</v>
      </c>
      <c r="L44" s="712" t="b">
        <f ca="1">IF(AND('Summary of actuarial valuation'!$C$7=RefData!$B$20,'Reconciliation report'!$E44&lt;&gt;""),ErrorMsgs!$C44)</f>
        <v>0</v>
      </c>
      <c r="M44" s="714" t="b">
        <f ca="1">IF($E44="",FALSE,IF(VALUE($E44)-ROUND(VALUE($E44),2),ErrorMsgs!$D44))</f>
        <v>0</v>
      </c>
      <c r="N44" s="714" t="b">
        <f ca="1">IF($E44="",FALSE,IF(VALUE($E44)&lt;0,ErrorMsgs!$E44))</f>
        <v>0</v>
      </c>
      <c r="O44" s="712" t="b">
        <f ca="1">IF($E44="",FALSE,IF(VALUE($E44)&gt;=1000000000000,ErrorMsgs!$F44))</f>
        <v>0</v>
      </c>
      <c r="P44" s="712"/>
      <c r="Q44" s="712"/>
      <c r="R44" s="712"/>
      <c r="S44" s="712"/>
      <c r="T44" s="712"/>
      <c r="U44" s="526" t="str">
        <f t="shared" ca="1" si="4"/>
        <v/>
      </c>
      <c r="V44" s="93" t="str" cm="1">
        <f t="array" aca="1" ref="V44" ca="1">CELL("format",INDIRECT(I44))</f>
        <v>C2</v>
      </c>
      <c r="W44" s="93" t="b">
        <f t="shared" ca="1" si="5"/>
        <v>0</v>
      </c>
      <c r="X44" s="715" t="str">
        <f t="shared" ca="1" si="1"/>
        <v/>
      </c>
      <c r="Y44" t="b">
        <f t="shared" ca="1" si="6"/>
        <v>1</v>
      </c>
    </row>
    <row r="45" spans="1:25" ht="61.5" customHeight="1">
      <c r="A45" s="705" t="s">
        <v>3051</v>
      </c>
      <c r="B45" s="706" t="str">
        <f t="shared" ca="1" si="2"/>
        <v>Summary of actuarial valuation - C18</v>
      </c>
      <c r="C45" s="707" t="str" cm="1">
        <f t="array" aca="1" ref="C45" ca="1">INDIRECT(LEFT(I45, FIND("!", I45)) &amp; RefData!$C$426 &amp; RIGHT(I45, LEN(I45) - FIND("!", I45) - 1))</f>
        <v xml:space="preserve">
Technical Provisions basis: cash balance liabilities (£)
</v>
      </c>
      <c r="D45" s="92" t="str">
        <f t="shared" ca="1" si="0"/>
        <v/>
      </c>
      <c r="E45" s="708" t="str" cm="1">
        <f t="array" aca="1" ref="E45" ca="1">IF(INDIRECT($I45)= "", "", INDIRECT($I45))</f>
        <v/>
      </c>
      <c r="F45" s="709" t="str" cm="1">
        <f t="array" aca="1" ref="F45" ca="1">INDIRECT(LEFT(I45, FIND("!", I45)) &amp; RefData!$C$427 &amp; RIGHT(I45, LEN(I45) - FIND("!", I45) - 1))</f>
        <v>SAV 9.0</v>
      </c>
      <c r="G45" s="710" t="b">
        <f ca="1">IF(ISNUMBER(SEARCH(RefData!$B$2, $C45)), FALSE, TRUE)</f>
        <v>1</v>
      </c>
      <c r="H45" s="723">
        <f>'Summary of actuarial valuation'!C18</f>
        <v>0</v>
      </c>
      <c r="I45" s="712" t="str">
        <f t="shared" ca="1" si="14"/>
        <v>'Summary of actuarial valuation'!C18</v>
      </c>
      <c r="J45" s="713" t="b" cm="1">
        <f t="array" aca="1" ref="J45" ca="1">IF(COUNTIF($K45:$T45, "&lt;&gt;FALSE") - COUNTBLANK($K45:$T45) &gt; 0, INDEX($K45:$T45, MATCH(TRUE, $K45:$T45 &lt;&gt; FALSE, 0)))</f>
        <v>0</v>
      </c>
      <c r="K45" s="712" t="b">
        <f ca="1">IF(AND('Summary of actuarial valuation'!$C$8=RefData!$B$21,'Reconciliation report'!$E$45=""),ErrorMsgs!$B45)</f>
        <v>0</v>
      </c>
      <c r="L45" s="712" t="b">
        <f ca="1">IF(AND('Summary of actuarial valuation'!$C$8=RefData!$B$22,'Reconciliation report'!$E$45&lt;&gt;""),ErrorMsgs!$C45)</f>
        <v>0</v>
      </c>
      <c r="M45" s="714" t="b">
        <f ca="1">IF($E45="",FALSE,IF(VALUE($E45)-ROUND(VALUE($E45),2),ErrorMsgs!$D45))</f>
        <v>0</v>
      </c>
      <c r="N45" s="714" t="b">
        <f ca="1">IF($E45="",FALSE,IF(VALUE($E45)&lt;0,ErrorMsgs!$E45))</f>
        <v>0</v>
      </c>
      <c r="O45" s="712" t="b">
        <f ca="1">IF($E45="",FALSE,IF(VALUE($E45)&gt;=1000000000000,ErrorMsgs!$F45))</f>
        <v>0</v>
      </c>
      <c r="P45" s="712"/>
      <c r="Q45" s="712"/>
      <c r="R45" s="712"/>
      <c r="S45" s="712"/>
      <c r="T45" s="712"/>
      <c r="U45" s="526" t="str">
        <f t="shared" ca="1" si="4"/>
        <v/>
      </c>
      <c r="V45" s="93" t="str" cm="1">
        <f t="array" aca="1" ref="V45" ca="1">CELL("format",INDIRECT(I45))</f>
        <v>C2</v>
      </c>
      <c r="W45" s="93" t="b">
        <f t="shared" ca="1" si="5"/>
        <v>0</v>
      </c>
      <c r="X45" s="715" t="str">
        <f t="shared" ca="1" si="1"/>
        <v/>
      </c>
      <c r="Y45" t="b">
        <f t="shared" ca="1" si="6"/>
        <v>1</v>
      </c>
    </row>
    <row r="46" spans="1:25" ht="61.5" customHeight="1">
      <c r="A46" s="705" t="s">
        <v>3052</v>
      </c>
      <c r="B46" s="706" t="str">
        <f t="shared" ca="1" si="2"/>
        <v>Summary of actuarial valuation - C19</v>
      </c>
      <c r="C46" s="707" t="str" cm="1">
        <f t="array" aca="1" ref="C46" ca="1">INDIRECT(LEFT(I46, FIND("!", I46)) &amp; RefData!$C$426 &amp; RIGHT(I46, LEN(I46) - FIND("!", I46) - 1))</f>
        <v xml:space="preserve">
Technical provisions basis: expense reserves (£)
</v>
      </c>
      <c r="D46" s="92" t="str">
        <f t="shared" ca="1" si="0"/>
        <v xml:space="preserve">
Enter a value equal to or greater than 0 and less than 1,000,000,000,000 (1 trillion). It can be accurate to two decimal places.
</v>
      </c>
      <c r="E46" s="708" t="str" cm="1">
        <f t="array" aca="1" ref="E46" ca="1">IF(INDIRECT($I46)= "", "", INDIRECT($I46))</f>
        <v/>
      </c>
      <c r="F46" s="709" t="str" cm="1">
        <f t="array" aca="1" ref="F46" ca="1">INDIRECT(LEFT(I46, FIND("!", I46)) &amp; RefData!$C$427 &amp; RIGHT(I46, LEN(I46) - FIND("!", I46) - 1))</f>
        <v>SAV 10.0</v>
      </c>
      <c r="G46" s="710" t="b">
        <f ca="1">IF(ISNUMBER(SEARCH(RefData!$B$2, $C46)), FALSE, TRUE)</f>
        <v>1</v>
      </c>
      <c r="H46" s="723">
        <f>'Summary of actuarial valuation'!C19</f>
        <v>0</v>
      </c>
      <c r="I46" s="712" t="str">
        <f t="shared" ca="1" si="14"/>
        <v>'Summary of actuarial valuation'!C19</v>
      </c>
      <c r="J46" s="713" t="str" cm="1">
        <f t="array" aca="1" ref="J46" ca="1">IF(COUNTIF($K46:$T46, "&lt;&gt;FALSE") - COUNTBLANK($K46:$T46) &gt; 0, INDEX($K46:$T46, MATCH(TRUE, $K46:$T46 &lt;&gt; FALSE, 0)))</f>
        <v xml:space="preserve">
Enter a value equal to or greater than 0 and less than 1,000,000,000,000 (1 trillion). It can be accurate to two decimal places.
</v>
      </c>
      <c r="K46" s="712" t="str">
        <f ca="1">IF($E46="",ErrorMsgs!$B46)</f>
        <v xml:space="preserve">
Enter a value equal to or greater than 0 and less than 1,000,000,000,000 (1 trillion). It can be accurate to two decimal places.
</v>
      </c>
      <c r="L46" s="712" t="str">
        <f ca="1">IF(NOT(ISNUMBER(VALUE(E46))),ErrorMsgs!$C46,IF(VALUE($E46)-ROUND(VALUE($E46),2),ErrorMsgs!$C46))</f>
        <v xml:space="preserve">
Enter a value equal to or greater than 0 and less than 1,000,000,000,000 (1 trillion). It can be accurate to two decimal places.
</v>
      </c>
      <c r="M46" s="714" t="b">
        <f ca="1">IF($E46="",FALSE,IF(VALUE($E46)&lt;0,ErrorMsgs!$D46))</f>
        <v>0</v>
      </c>
      <c r="N46" s="714" t="b">
        <f ca="1">IF($E46="",FALSE,IF(VALUE($E46)&gt;=1000000000000,ErrorMsgs!$E46))</f>
        <v>0</v>
      </c>
      <c r="O46" s="712"/>
      <c r="P46" s="712"/>
      <c r="Q46" s="712"/>
      <c r="R46" s="712"/>
      <c r="S46" s="712"/>
      <c r="T46" s="712"/>
      <c r="U46" s="526" t="str">
        <f t="shared" ca="1" si="4"/>
        <v/>
      </c>
      <c r="V46" s="93" t="str" cm="1">
        <f t="array" aca="1" ref="V46" ca="1">CELL("format",INDIRECT(I46))</f>
        <v>C2</v>
      </c>
      <c r="W46" s="93" t="b">
        <f t="shared" ca="1" si="5"/>
        <v>0</v>
      </c>
      <c r="X46" s="715" t="str">
        <f t="shared" ca="1" si="1"/>
        <v/>
      </c>
      <c r="Y46" t="b">
        <f t="shared" ca="1" si="6"/>
        <v>1</v>
      </c>
    </row>
    <row r="47" spans="1:25" ht="61.5" customHeight="1">
      <c r="A47" s="705" t="s">
        <v>3053</v>
      </c>
      <c r="B47" s="706" t="str">
        <f t="shared" ca="1" si="2"/>
        <v>Summary of actuarial valuation - C20</v>
      </c>
      <c r="C47" s="707" t="str" cm="1">
        <f t="array" aca="1" ref="C47" ca="1">INDIRECT(LEFT(I47, FIND("!", I47)) &amp; RefData!$C$426 &amp; RIGHT(I47, LEN(I47) - FIND("!", I47) - 1))</f>
        <v xml:space="preserve">
Technical provisions basis: total liabilities (£)
</v>
      </c>
      <c r="D47" s="92" t="str">
        <f t="shared" ca="1" si="0"/>
        <v xml:space="preserve">
Enter a value equal to or greater than 0 and less than 1,000,000,000,000 (1 trillion). It can be accurate to two decimal places.
</v>
      </c>
      <c r="E47" s="708" t="str" cm="1">
        <f t="array" aca="1" ref="E47" ca="1">IF(INDIRECT($I47)= "", "", INDIRECT($I47))</f>
        <v/>
      </c>
      <c r="F47" s="709" t="str" cm="1">
        <f t="array" aca="1" ref="F47" ca="1">INDIRECT(LEFT(I47, FIND("!", I47)) &amp; RefData!$C$427 &amp; RIGHT(I47, LEN(I47) - FIND("!", I47) - 1))</f>
        <v>SAV 11.0</v>
      </c>
      <c r="G47" s="710" t="b">
        <f ca="1">IF(ISNUMBER(SEARCH(RefData!$B$2, $C47)), FALSE, TRUE)</f>
        <v>1</v>
      </c>
      <c r="H47" s="723">
        <f>'Summary of actuarial valuation'!C20</f>
        <v>0</v>
      </c>
      <c r="I47" s="712" t="str">
        <f t="shared" ca="1" si="14"/>
        <v>'Summary of actuarial valuation'!C20</v>
      </c>
      <c r="J47" s="713" t="str" cm="1">
        <f t="array" aca="1" ref="J47" ca="1">IF(COUNTIF($K47:$T47, "&lt;&gt;FALSE") - COUNTBLANK($K47:$T47) &gt; 0, INDEX($K47:$T47, MATCH(TRUE, $K47:$T47 &lt;&gt; FALSE, 0)))</f>
        <v xml:space="preserve">
Enter a value equal to or greater than 0 and less than 1,000,000,000,000 (1 trillion). It can be accurate to two decimal places.
</v>
      </c>
      <c r="K47" s="712" t="str">
        <f ca="1">IF($E47="",ErrorMsgs!$B47)</f>
        <v xml:space="preserve">
Enter a value equal to or greater than 0 and less than 1,000,000,000,000 (1 trillion). It can be accurate to two decimal places.
</v>
      </c>
      <c r="L47" s="712" t="str">
        <f ca="1">IF(NOT(ISNUMBER(VALUE(E47))),ErrorMsgs!$C47,IF(VALUE($E47)-ROUND(VALUE($E47),2),ErrorMsgs!$C47))</f>
        <v xml:space="preserve">
Enter a value equal to or greater than 0 and less than 1,000,000,000,000 (1 trillion). It can be accurate to two decimal places.
</v>
      </c>
      <c r="M47" s="714" t="b">
        <f ca="1">IF($E47="",FALSE,IF(VALUE($E47)&lt;0,ErrorMsgs!$D47))</f>
        <v>0</v>
      </c>
      <c r="N47" s="714" t="b">
        <f ca="1">IF($E47="",FALSE,IF(VALUE($E47)&gt;=1000000000000,ErrorMsgs!$E47))</f>
        <v>0</v>
      </c>
      <c r="O47" s="712" t="b" cm="1">
        <f t="array" aca="1" ref="O47" ca="1">IFERROR(IF(SUMPRODUCT(--'Summary of actuarial valuation'!$C$13:$C$19)&lt;&gt;VALUE('Reconciliation report'!$E47),ErrorMsgs!$F47), FALSE)</f>
        <v>0</v>
      </c>
      <c r="P47" s="712"/>
      <c r="Q47" s="712"/>
      <c r="R47" s="712"/>
      <c r="S47" s="712"/>
      <c r="T47" s="712"/>
      <c r="U47" s="526" t="str">
        <f t="shared" ca="1" si="4"/>
        <v/>
      </c>
      <c r="V47" s="93" t="str" cm="1">
        <f t="array" aca="1" ref="V47" ca="1">CELL("format",INDIRECT(I47))</f>
        <v>C2</v>
      </c>
      <c r="W47" s="93" t="b">
        <f t="shared" ca="1" si="5"/>
        <v>0</v>
      </c>
      <c r="X47" s="715" t="str">
        <f t="shared" ca="1" si="1"/>
        <v/>
      </c>
      <c r="Y47" t="b">
        <f t="shared" ca="1" si="6"/>
        <v>1</v>
      </c>
    </row>
    <row r="48" spans="1:25" ht="61.5" customHeight="1">
      <c r="A48" s="705" t="s">
        <v>3054</v>
      </c>
      <c r="B48" s="706" t="str">
        <f t="shared" ca="1" si="2"/>
        <v>Summary of actuarial valuation - C25</v>
      </c>
      <c r="C48" s="707" t="str" cm="1">
        <f t="array" aca="1" ref="C48" ca="1">INDIRECT(LEFT(I48, FIND("!", I48)) &amp; RefData!$C$426 &amp; RIGHT(I48, LEN(I48) - FIND("!", I48) - 1))</f>
        <v xml:space="preserve">
What is the future service contribution rate on an ongoing basis as a percentage of pensionable salary? (%)
</v>
      </c>
      <c r="D48" s="92" t="str">
        <f t="shared" ca="1" si="0"/>
        <v/>
      </c>
      <c r="E48" s="708" t="str" cm="1">
        <f t="array" aca="1" ref="E48" ca="1">IF(INDIRECT($I48)= "", "", INDIRECT($I48))</f>
        <v/>
      </c>
      <c r="F48" s="709" t="str" cm="1">
        <f t="array" aca="1" ref="F48" ca="1">INDIRECT(LEFT(I48, FIND("!", I48)) &amp; RefData!$C$427 &amp; RIGHT(I48, LEN(I48) - FIND("!", I48) - 1))</f>
        <v>SAV 13.0</v>
      </c>
      <c r="G48" s="710" t="b">
        <f ca="1">IF(ISNUMBER(SEARCH(RefData!$B$2, $C48)), FALSE, TRUE)</f>
        <v>1</v>
      </c>
      <c r="H48" s="723">
        <f>'Summary of actuarial valuation'!C25</f>
        <v>0</v>
      </c>
      <c r="I48" s="712" t="str">
        <f t="shared" ca="1" si="14"/>
        <v>'Summary of actuarial valuation'!C25</v>
      </c>
      <c r="J48" s="713" t="b" cm="1">
        <f t="array" aca="1" ref="J48" ca="1">IF(COUNTIF($K48:$T48, "&lt;&gt;FALSE") - COUNTBLANK($K48:$T48) &gt; 0, INDEX($K48:$T48, MATCH(TRUE, $K48:$T48 &lt;&gt; FALSE, 0)))</f>
        <v>0</v>
      </c>
      <c r="K48" s="712" t="b">
        <f ca="1">IF(AND('Funding and investment strategy'!$C$8=RefData!$B$23,$E48=""),ErrorMsgs!$B48)</f>
        <v>0</v>
      </c>
      <c r="L48" s="712" t="b">
        <f ca="1">IF(AND('Funding and investment strategy'!$C$8=RefData!$B$24,$E48&lt;&gt;""),ErrorMsgs!$C48)</f>
        <v>0</v>
      </c>
      <c r="M48" s="714" t="b">
        <f ca="1">IF(E48="", FALSE, IF(ISERROR(VALUE(E48)), ErrorMsgs!D48, IF($E48&lt;0, ErrorMsgs!$D48)))</f>
        <v>0</v>
      </c>
      <c r="N48" s="714"/>
      <c r="O48" s="712"/>
      <c r="P48" s="712"/>
      <c r="Q48" s="712"/>
      <c r="R48" s="712"/>
      <c r="S48" s="712"/>
      <c r="T48" s="712"/>
      <c r="U48" s="526" t="str">
        <f t="shared" ca="1" si="4"/>
        <v/>
      </c>
      <c r="V48" s="93" t="str" cm="1">
        <f t="array" aca="1" ref="V48" ca="1">CELL("format",INDIRECT(I48))</f>
        <v>P2</v>
      </c>
      <c r="W48" s="93" t="b">
        <f t="shared" ca="1" si="5"/>
        <v>0</v>
      </c>
      <c r="X48" s="715" t="str">
        <f t="shared" ca="1" si="1"/>
        <v/>
      </c>
      <c r="Y48" t="b">
        <f t="shared" ca="1" si="6"/>
        <v>1</v>
      </c>
    </row>
    <row r="49" spans="1:25" ht="62">
      <c r="A49" s="705" t="s">
        <v>3055</v>
      </c>
      <c r="B49" s="706" t="str">
        <f t="shared" ca="1" si="2"/>
        <v>Summary of actuarial valuation - C26</v>
      </c>
      <c r="C49" s="707" t="str" cm="1">
        <f t="array" aca="1" ref="C49" ca="1">INDIRECT(LEFT(I49, FIND("!", I49)) &amp; RefData!$C$426 &amp; RIGHT(I49, LEN(I49) - FIND("!", I49) - 1))</f>
        <v xml:space="preserve">
What is the total annual pensionable salary at the effective date of the valuation? (£)
</v>
      </c>
      <c r="D49" s="92" t="str">
        <f t="shared" ca="1" si="0"/>
        <v/>
      </c>
      <c r="E49" s="708" t="str" cm="1">
        <f t="array" aca="1" ref="E49" ca="1">IF(INDIRECT($I49)= "", "", INDIRECT($I49))</f>
        <v/>
      </c>
      <c r="F49" s="709" t="str" cm="1">
        <f t="array" aca="1" ref="F49" ca="1">INDIRECT(LEFT(I49, FIND("!", I49)) &amp; RefData!$C$427 &amp; RIGHT(I49, LEN(I49) - FIND("!", I49) - 1))</f>
        <v>SAV 14.0</v>
      </c>
      <c r="G49" s="710" t="b">
        <f ca="1">IF(ISNUMBER(SEARCH(RefData!$B$2, $C49)), FALSE, TRUE)</f>
        <v>1</v>
      </c>
      <c r="H49" s="723">
        <f>'Summary of actuarial valuation'!C26</f>
        <v>0</v>
      </c>
      <c r="I49" s="712" t="str">
        <f t="shared" ca="1" si="14"/>
        <v>'Summary of actuarial valuation'!C26</v>
      </c>
      <c r="J49" s="713" t="b" cm="1">
        <f t="array" aca="1" ref="J49" ca="1">IF(COUNTIF($K49:$T49, "&lt;&gt;FALSE") - COUNTBLANK($K49:$T49) &gt; 0, INDEX($K49:$T49, MATCH(TRUE, $K49:$T49 &lt;&gt; FALSE, 0)))</f>
        <v>0</v>
      </c>
      <c r="K49" s="712" t="b">
        <f ca="1">IF(AND('Funding and investment strategy'!$C$8=RefData!$B$23,$E49=""),ErrorMsgs!$B49)</f>
        <v>0</v>
      </c>
      <c r="L49" s="712" t="b">
        <f ca="1">IF(AND('Funding and investment strategy'!$C$8=RefData!$B$24,$E49&lt;&gt;""),ErrorMsgs!$C48)</f>
        <v>0</v>
      </c>
      <c r="M49" s="714" t="b">
        <f ca="1">IF($E49="",FALSE,IF(ISERROR(VALUE($E49)),ErrorMsgs!$D49,IF(OR($E49-ROUND($E49,2)&lt;&gt;0,$E49&lt;0,$E49&gt;=1000000000000,),ErrorMsgs!$D49)))</f>
        <v>0</v>
      </c>
      <c r="N49" s="714"/>
      <c r="O49" s="712"/>
      <c r="P49" s="712"/>
      <c r="Q49" s="712"/>
      <c r="R49" s="712"/>
      <c r="S49" s="712"/>
      <c r="T49" s="712"/>
      <c r="U49" s="526" t="str">
        <f t="shared" ca="1" si="4"/>
        <v/>
      </c>
      <c r="V49" s="93" t="str" cm="1">
        <f t="array" aca="1" ref="V49" ca="1">CELL("format",INDIRECT(I49))</f>
        <v>C2</v>
      </c>
      <c r="W49" s="93" t="b">
        <f t="shared" ca="1" si="5"/>
        <v>0</v>
      </c>
      <c r="X49" s="715" t="str">
        <f t="shared" ca="1" si="1"/>
        <v/>
      </c>
      <c r="Y49" t="b">
        <f t="shared" ca="1" si="6"/>
        <v>1</v>
      </c>
    </row>
    <row r="50" spans="1:25" ht="60.65" customHeight="1">
      <c r="A50" s="705" t="s">
        <v>3056</v>
      </c>
      <c r="B50" s="706" t="str">
        <f t="shared" ca="1" si="2"/>
        <v>Summary of actuarial valuation - C30</v>
      </c>
      <c r="C50" s="707" t="str" cm="1">
        <f t="array" aca="1" ref="C50" ca="1">INDIRECT(LEFT(I50, FIND("!", I50)) &amp; RefData!$C$426 &amp; RIGHT(I50, LEN(I50) - FIND("!", I50) - 1))</f>
        <v xml:space="preserve">
Low dependency basis: total scheme assets (£)
</v>
      </c>
      <c r="D50" s="92" t="str">
        <f t="shared" ca="1" si="0"/>
        <v xml:space="preserve">
Enter a value equal to or greater than 0 and less than 1,000,000,000,000 (1 trillion). It can be accurate to two decimal places.
</v>
      </c>
      <c r="E50" s="708" t="str" cm="1">
        <f t="array" aca="1" ref="E50" ca="1">IF(INDIRECT($I50)= "", "", INDIRECT($I50))</f>
        <v/>
      </c>
      <c r="F50" s="709" t="str" cm="1">
        <f t="array" aca="1" ref="F50" ca="1">INDIRECT(LEFT(I50, FIND("!", I50)) &amp; RefData!$C$427 &amp; RIGHT(I50, LEN(I50) - FIND("!", I50) - 1))</f>
        <v>SAV 15.0</v>
      </c>
      <c r="G50" s="710" t="b">
        <f ca="1">IF(ISNUMBER(SEARCH(RefData!$B$2, $C50)), FALSE, TRUE)</f>
        <v>1</v>
      </c>
      <c r="H50" s="723">
        <f>'Summary of actuarial valuation'!C30</f>
        <v>0</v>
      </c>
      <c r="I50" s="712" t="str">
        <f t="shared" ca="1" si="14"/>
        <v>'Summary of actuarial valuation'!C30</v>
      </c>
      <c r="J50" s="713" t="str" cm="1">
        <f t="array" aca="1" ref="J50" ca="1">IF(COUNTIF($K50:$T50, "&lt;&gt;FALSE") - COUNTBLANK($K50:$T50) &gt; 0, INDEX($K50:$T50, MATCH(TRUE, $K50:$T50 &lt;&gt; FALSE, 0)))</f>
        <v xml:space="preserve">
Enter a value equal to or greater than 0 and less than 1,000,000,000,000 (1 trillion). It can be accurate to two decimal places.
</v>
      </c>
      <c r="K50" s="712" t="str">
        <f ca="1">IF($E50="",ErrorMsgs!$B50)</f>
        <v xml:space="preserve">
Enter a value equal to or greater than 0 and less than 1,000,000,000,000 (1 trillion). It can be accurate to two decimal places.
</v>
      </c>
      <c r="L50" s="712" t="str">
        <f ca="1">IF(NOT(ISNUMBER(VALUE($E50))),ErrorMsgs!$C50,IF(VALUE($E50)-ROUND(VALUE($E50),2),ErrorMsgs!$C50))</f>
        <v xml:space="preserve">
Enter a value equal to or greater than 0 and less than 1,000,000,000,000 (1 trillion). It can be accurate to two decimal places 
</v>
      </c>
      <c r="M50" s="714" t="b">
        <f ca="1">IF($E50="",FALSE,IF(VALUE($E50)&lt;0,ErrorMsgs!$D50))</f>
        <v>0</v>
      </c>
      <c r="N50" s="714" t="b">
        <f ca="1">IF($E50="",FALSE,IF(VALUE($E50)&gt;=1000000000000,ErrorMsgs!$E50))</f>
        <v>0</v>
      </c>
      <c r="O50" s="712"/>
      <c r="P50" s="712"/>
      <c r="Q50" s="712"/>
      <c r="R50" s="712"/>
      <c r="S50" s="712"/>
      <c r="T50" s="712"/>
      <c r="U50" s="526" t="str">
        <f t="shared" ca="1" si="4"/>
        <v/>
      </c>
      <c r="V50" s="93" t="str" cm="1">
        <f t="array" aca="1" ref="V50" ca="1">CELL("format",INDIRECT(I50))</f>
        <v>C2</v>
      </c>
      <c r="W50" s="93" t="b">
        <f t="shared" ca="1" si="5"/>
        <v>0</v>
      </c>
      <c r="X50" s="715" t="str">
        <f t="shared" ca="1" si="1"/>
        <v/>
      </c>
      <c r="Y50" t="b">
        <f t="shared" ca="1" si="6"/>
        <v>1</v>
      </c>
    </row>
    <row r="51" spans="1:25" ht="60.65" customHeight="1">
      <c r="A51" s="705" t="s">
        <v>3057</v>
      </c>
      <c r="B51" s="706" t="str">
        <f t="shared" ca="1" si="2"/>
        <v>Summary of actuarial valuation - C31</v>
      </c>
      <c r="C51" s="707" t="str" cm="1">
        <f t="array" aca="1" ref="C51" ca="1">INDIRECT(LEFT(I51, FIND("!", I51)) &amp; RefData!$C$426 &amp; RIGHT(I51, LEN(I51) - FIND("!", I51) - 1))</f>
        <v xml:space="preserve">
Low dependency basis: active member liabilities (£)
</v>
      </c>
      <c r="D51" s="92" t="str">
        <f t="shared" ca="1" si="0"/>
        <v xml:space="preserve">
Enter a value equal to or greater than 0 and less than 1,000,000,000,000 (1 trillion). It can be accurate to two decimal places.
</v>
      </c>
      <c r="E51" s="708" t="str" cm="1">
        <f t="array" aca="1" ref="E51" ca="1">IF(INDIRECT($I51)= "", "", INDIRECT($I51))</f>
        <v/>
      </c>
      <c r="F51" s="709" t="str" cm="1">
        <f t="array" aca="1" ref="F51" ca="1">INDIRECT(LEFT(I51, FIND("!", I51)) &amp; RefData!$C$427 &amp; RIGHT(I51, LEN(I51) - FIND("!", I51) - 1))</f>
        <v>SAV 16.0</v>
      </c>
      <c r="G51" s="710" t="b">
        <f ca="1">IF(ISNUMBER(SEARCH(RefData!$B$2, $C51)), FALSE, TRUE)</f>
        <v>1</v>
      </c>
      <c r="H51" s="723">
        <f>'Summary of actuarial valuation'!C31</f>
        <v>0</v>
      </c>
      <c r="I51" s="712" t="str">
        <f t="shared" ca="1" si="14"/>
        <v>'Summary of actuarial valuation'!C31</v>
      </c>
      <c r="J51" s="713" t="str" cm="1">
        <f t="array" aca="1" ref="J51" ca="1">IF(COUNTIF($K51:$T51, "&lt;&gt;FALSE") - COUNTBLANK($K51:$T51) &gt; 0, INDEX($K51:$T51, MATCH(TRUE, $K51:$T51 &lt;&gt; FALSE, 0)))</f>
        <v xml:space="preserve">
Enter a value equal to or greater than 0 and less than 1,000,000,000,000 (1 trillion). It can be accurate to two decimal places.
</v>
      </c>
      <c r="K51" s="712" t="str">
        <f ca="1">IF($E51="",ErrorMsgs!$B51)</f>
        <v xml:space="preserve">
Enter a value equal to or greater than 0 and less than 1,000,000,000,000 (1 trillion). It can be accurate to two decimal places.
</v>
      </c>
      <c r="L51" s="712" t="str">
        <f ca="1">IF(NOT(ISNUMBER(VALUE($E51))),ErrorMsgs!$C51,IF(VALUE($E51)-ROUND(VALUE($E51),2),ErrorMsgs!$C51))</f>
        <v xml:space="preserve">
Enter a value equal to or greater than 0 and less than 1,000,000,000,000 (1 trillion). It can be accurate to two decimal places 
</v>
      </c>
      <c r="M51" s="714" t="b">
        <f ca="1">IF($E51="",FALSE,IF(VALUE($E51)&lt;0,ErrorMsgs!$D51))</f>
        <v>0</v>
      </c>
      <c r="N51" s="714" t="b">
        <f ca="1">IF($E51="",FALSE,IF(VALUE($E51)&gt;=1000000000000,ErrorMsgs!$E51))</f>
        <v>0</v>
      </c>
      <c r="O51" s="712"/>
      <c r="P51" s="712"/>
      <c r="Q51" s="712"/>
      <c r="R51" s="712"/>
      <c r="S51" s="712"/>
      <c r="T51" s="712"/>
      <c r="U51" s="526" t="str">
        <f t="shared" ca="1" si="4"/>
        <v/>
      </c>
      <c r="V51" s="93" t="str" cm="1">
        <f t="array" aca="1" ref="V51" ca="1">CELL("format",INDIRECT(I51))</f>
        <v>C2</v>
      </c>
      <c r="W51" s="93" t="b">
        <f t="shared" ca="1" si="5"/>
        <v>0</v>
      </c>
      <c r="X51" s="715" t="str">
        <f t="shared" ca="1" si="1"/>
        <v/>
      </c>
      <c r="Y51" t="b">
        <f t="shared" ca="1" si="6"/>
        <v>1</v>
      </c>
    </row>
    <row r="52" spans="1:25" ht="60.65" customHeight="1">
      <c r="A52" s="705" t="s">
        <v>3058</v>
      </c>
      <c r="B52" s="706" t="str">
        <f t="shared" ca="1" si="2"/>
        <v>Summary of actuarial valuation - C32</v>
      </c>
      <c r="C52" s="707" t="str" cm="1">
        <f t="array" aca="1" ref="C52" ca="1">INDIRECT(LEFT(I52, FIND("!", I52)) &amp; RefData!$C$426 &amp; RIGHT(I52, LEN(I52) - FIND("!", I52) - 1))</f>
        <v xml:space="preserve">
Low dependency basis: deferred member liabilities (£)
</v>
      </c>
      <c r="D52" s="92" t="str">
        <f t="shared" ca="1" si="0"/>
        <v xml:space="preserve">
Enter a value equal to or greater than 0 and less than 1,000,000,000,000 (1 trillion). It can be accurate to two decimal places.
</v>
      </c>
      <c r="E52" s="708" t="str" cm="1">
        <f t="array" aca="1" ref="E52" ca="1">IF(INDIRECT($I52)= "", "", INDIRECT($I52))</f>
        <v/>
      </c>
      <c r="F52" s="709" t="str" cm="1">
        <f t="array" aca="1" ref="F52" ca="1">INDIRECT(LEFT(I52, FIND("!", I52)) &amp; RefData!$C$427 &amp; RIGHT(I52, LEN(I52) - FIND("!", I52) - 1))</f>
        <v>SAV 17.0</v>
      </c>
      <c r="G52" s="710" t="b">
        <f ca="1">IF(ISNUMBER(SEARCH(RefData!$B$2, $C52)), FALSE, TRUE)</f>
        <v>1</v>
      </c>
      <c r="H52" s="723">
        <f>'Summary of actuarial valuation'!C32</f>
        <v>0</v>
      </c>
      <c r="I52" s="712" t="str">
        <f t="shared" ca="1" si="14"/>
        <v>'Summary of actuarial valuation'!C32</v>
      </c>
      <c r="J52" s="713" t="str" cm="1">
        <f t="array" aca="1" ref="J52" ca="1">IF(COUNTIF($K52:$T52, "&lt;&gt;FALSE") - COUNTBLANK($K52:$T52) &gt; 0, INDEX($K52:$T52, MATCH(TRUE, $K52:$T52 &lt;&gt; FALSE, 0)))</f>
        <v xml:space="preserve">
Enter a value equal to or greater than 0 and less than 1,000,000,000,000 (1 trillion). It can be accurate to two decimal places.
</v>
      </c>
      <c r="K52" s="712" t="str">
        <f ca="1">IF($E52="",ErrorMsgs!$B52)</f>
        <v xml:space="preserve">
Enter a value equal to or greater than 0 and less than 1,000,000,000,000 (1 trillion). It can be accurate to two decimal places.
</v>
      </c>
      <c r="L52" s="712" t="str">
        <f ca="1">IF(NOT(ISNUMBER(VALUE($E52))),ErrorMsgs!$C52,IF(VALUE($E52)-ROUND(VALUE($E52),2),ErrorMsgs!$C52))</f>
        <v xml:space="preserve">
Enter a value between 0 and 1,000,000,000,000 (1 trillion). It can be accurate to two decimal places.
</v>
      </c>
      <c r="M52" s="714" t="b">
        <f ca="1">IF($E52="",FALSE,IF(VALUE($E52)&lt;0,ErrorMsgs!$D52))</f>
        <v>0</v>
      </c>
      <c r="N52" s="714" t="b">
        <f ca="1">IF($E52="",FALSE,IF(VALUE($E52)&gt;=1000000000000,ErrorMsgs!$E52))</f>
        <v>0</v>
      </c>
      <c r="O52" s="712"/>
      <c r="P52" s="712"/>
      <c r="Q52" s="712"/>
      <c r="R52" s="712"/>
      <c r="S52" s="712"/>
      <c r="T52" s="712"/>
      <c r="U52" s="526" t="str">
        <f t="shared" ca="1" si="4"/>
        <v/>
      </c>
      <c r="V52" s="93" t="str" cm="1">
        <f t="array" aca="1" ref="V52" ca="1">CELL("format",INDIRECT(I52))</f>
        <v>C2</v>
      </c>
      <c r="W52" s="93" t="b">
        <f t="shared" ca="1" si="5"/>
        <v>0</v>
      </c>
      <c r="X52" s="715" t="str">
        <f t="shared" ca="1" si="1"/>
        <v/>
      </c>
      <c r="Y52" t="b">
        <f t="shared" ca="1" si="6"/>
        <v>1</v>
      </c>
    </row>
    <row r="53" spans="1:25" ht="60.65" customHeight="1">
      <c r="A53" s="705" t="s">
        <v>3059</v>
      </c>
      <c r="B53" s="706" t="str">
        <f t="shared" ca="1" si="2"/>
        <v>Summary of actuarial valuation - C33</v>
      </c>
      <c r="C53" s="707" t="str" cm="1">
        <f t="array" aca="1" ref="C53" ca="1">INDIRECT(LEFT(I53, FIND("!", I53)) &amp; RefData!$C$426 &amp; RIGHT(I53, LEN(I53) - FIND("!", I53) - 1))</f>
        <v xml:space="preserve">
Low dependency basis: pensioner member liabilities (£)
</v>
      </c>
      <c r="D53" s="92" t="str">
        <f t="shared" ca="1" si="0"/>
        <v xml:space="preserve">
Enter a value equal to or greater than 0 and less than 1,000,000,000,000 (1 trillion). It can be accurate to two decimal places.
</v>
      </c>
      <c r="E53" s="708" t="str" cm="1">
        <f t="array" aca="1" ref="E53" ca="1">IF(INDIRECT($I53)= "", "", INDIRECT($I53))</f>
        <v/>
      </c>
      <c r="F53" s="709" t="str" cm="1">
        <f t="array" aca="1" ref="F53" ca="1">INDIRECT(LEFT(I53, FIND("!", I53)) &amp; RefData!$C$427 &amp; RIGHT(I53, LEN(I53) - FIND("!", I53) - 1))</f>
        <v>SAV 18.0</v>
      </c>
      <c r="G53" s="710" t="b">
        <f ca="1">IF(ISNUMBER(SEARCH(RefData!$B$2, $C53)), FALSE, TRUE)</f>
        <v>1</v>
      </c>
      <c r="H53" s="723">
        <f>'Summary of actuarial valuation'!C33</f>
        <v>0</v>
      </c>
      <c r="I53" s="712" t="str">
        <f t="shared" ca="1" si="14"/>
        <v>'Summary of actuarial valuation'!C33</v>
      </c>
      <c r="J53" s="713" t="str" cm="1">
        <f t="array" aca="1" ref="J53" ca="1">IF(COUNTIF($K53:$T53, "&lt;&gt;FALSE") - COUNTBLANK($K53:$T53) &gt; 0, INDEX($K53:$T53, MATCH(TRUE, $K53:$T53 &lt;&gt; FALSE, 0)))</f>
        <v xml:space="preserve">
Enter a value equal to or greater than 0 and less than 1,000,000,000,000 (1 trillion). It can be accurate to two decimal places.
</v>
      </c>
      <c r="K53" s="712" t="str">
        <f ca="1">IF($E53="",ErrorMsgs!$B53)</f>
        <v xml:space="preserve">
Enter a value equal to or greater than 0 and less than 1,000,000,000,000 (1 trillion). It can be accurate to two decimal places.
</v>
      </c>
      <c r="L53" s="712" t="str">
        <f ca="1">IF(NOT(ISNUMBER(VALUE($E53))),ErrorMsgs!$C53,IF(VALUE($E53)-ROUND(VALUE($E53),2),ErrorMsgs!$C53))</f>
        <v xml:space="preserve">
Enter a value between 0 and 1,000,000,000,000 (1 trillion). It can be accurate to two decimal places.
</v>
      </c>
      <c r="M53" s="714" t="b">
        <f ca="1">IF($E53="",FALSE,IF(VALUE($E53)&lt;0,ErrorMsgs!$D53))</f>
        <v>0</v>
      </c>
      <c r="N53" s="714" t="b">
        <f ca="1">IF($E53="",FALSE,IF(VALUE($E53)&gt;=1000000000000,ErrorMsgs!$E53))</f>
        <v>0</v>
      </c>
      <c r="O53" s="712"/>
      <c r="P53" s="712"/>
      <c r="Q53" s="712"/>
      <c r="R53" s="712"/>
      <c r="S53" s="712"/>
      <c r="T53" s="712"/>
      <c r="U53" s="526" t="str">
        <f t="shared" ca="1" si="4"/>
        <v/>
      </c>
      <c r="V53" s="93" t="str" cm="1">
        <f t="array" aca="1" ref="V53" ca="1">CELL("format",INDIRECT(I53))</f>
        <v>C2</v>
      </c>
      <c r="W53" s="93" t="b">
        <f t="shared" ca="1" si="5"/>
        <v>0</v>
      </c>
      <c r="X53" s="715" t="str">
        <f t="shared" ca="1" si="1"/>
        <v/>
      </c>
      <c r="Y53" t="b">
        <f t="shared" ca="1" si="6"/>
        <v>1</v>
      </c>
    </row>
    <row r="54" spans="1:25" ht="60.65" customHeight="1">
      <c r="A54" s="705" t="s">
        <v>3060</v>
      </c>
      <c r="B54" s="706" t="str">
        <f t="shared" ca="1" si="2"/>
        <v>Summary of actuarial valuation - C34</v>
      </c>
      <c r="C54" s="707" t="str" cm="1">
        <f t="array" aca="1" ref="C54" ca="1">INDIRECT(LEFT(I54, FIND("!", I54)) &amp; RefData!$C$426 &amp; RIGHT(I54, LEN(I54) - FIND("!", I54) - 1))</f>
        <v xml:space="preserve">
Low dependency basis: insured member liabilities (£)
</v>
      </c>
      <c r="D54" s="92" t="str">
        <f t="shared" ca="1" si="0"/>
        <v xml:space="preserve">
Enter a value equal to or greater than 0 and less than 1,000,000,000,000 (1 trillion). It can be accurate to two decimal places.
</v>
      </c>
      <c r="E54" s="708" t="str" cm="1">
        <f t="array" aca="1" ref="E54" ca="1">IF(INDIRECT($I54)= "", "", INDIRECT($I54))</f>
        <v/>
      </c>
      <c r="F54" s="709" t="str" cm="1">
        <f t="array" aca="1" ref="F54" ca="1">INDIRECT(LEFT(I54, FIND("!", I54)) &amp; RefData!$C$427 &amp; RIGHT(I54, LEN(I54) - FIND("!", I54) - 1))</f>
        <v>SAV 19.0</v>
      </c>
      <c r="G54" s="710" t="b">
        <f ca="1">IF(ISNUMBER(SEARCH(RefData!$B$2, $C54)), FALSE, TRUE)</f>
        <v>1</v>
      </c>
      <c r="H54" s="723">
        <f>'Summary of actuarial valuation'!C34</f>
        <v>0</v>
      </c>
      <c r="I54" s="712" t="str">
        <f t="shared" ca="1" si="14"/>
        <v>'Summary of actuarial valuation'!C34</v>
      </c>
      <c r="J54" s="713" t="str" cm="1">
        <f t="array" aca="1" ref="J54" ca="1">IF(COUNTIF($K54:$T54, "&lt;&gt;FALSE") - COUNTBLANK($K54:$T54) &gt; 0, INDEX($K54:$T54, MATCH(TRUE, $K54:$T54 &lt;&gt; FALSE, 0)))</f>
        <v xml:space="preserve">
Enter a value equal to or greater than 0 and less than 1,000,000,000,000 (1 trillion). It can be accurate to two decimal places.
</v>
      </c>
      <c r="K54" s="712" t="str">
        <f ca="1">IF($E54="",ErrorMsgs!$B54)</f>
        <v xml:space="preserve">
Enter a value equal to or greater than 0 and less than 1,000,000,000,000 (1 trillion). It can be accurate to two decimal places.
</v>
      </c>
      <c r="L54" s="712" t="str">
        <f ca="1">IF(NOT(ISNUMBER(VALUE($E54))),ErrorMsgs!$C54,IF(VALUE($E54)-ROUND(VALUE($E54),2),ErrorMsgs!$C54))</f>
        <v xml:space="preserve">
Enter a value between 0 and 1,000,000,000,000 (1 trillion). It can be accurate to two decimal places.
</v>
      </c>
      <c r="M54" s="714" t="b">
        <f ca="1">IF($E54="",FALSE,IF(VALUE($E54)&lt;0,ErrorMsgs!$D54))</f>
        <v>0</v>
      </c>
      <c r="N54" s="714" t="b">
        <f ca="1">IF($E54="",FALSE,IF(VALUE($E54)&gt;=1000000000000,ErrorMsgs!$E54))</f>
        <v>0</v>
      </c>
      <c r="O54" s="712"/>
      <c r="P54" s="712"/>
      <c r="Q54" s="712"/>
      <c r="R54" s="712"/>
      <c r="S54" s="712"/>
      <c r="T54" s="712"/>
      <c r="U54" s="526" t="str">
        <f t="shared" ca="1" si="4"/>
        <v/>
      </c>
      <c r="V54" s="93" t="str" cm="1">
        <f t="array" aca="1" ref="V54" ca="1">CELL("format",INDIRECT(I54))</f>
        <v>C2</v>
      </c>
      <c r="W54" s="93" t="b">
        <f t="shared" ca="1" si="5"/>
        <v>0</v>
      </c>
      <c r="X54" s="715" t="str">
        <f t="shared" ca="1" si="1"/>
        <v/>
      </c>
      <c r="Y54" t="b">
        <f t="shared" ca="1" si="6"/>
        <v>1</v>
      </c>
    </row>
    <row r="55" spans="1:25" ht="60.65" customHeight="1">
      <c r="A55" s="705" t="s">
        <v>3061</v>
      </c>
      <c r="B55" s="706" t="str">
        <f t="shared" ca="1" si="2"/>
        <v>Summary of actuarial valuation - C35</v>
      </c>
      <c r="C55" s="707" t="str" cm="1">
        <f t="array" aca="1" ref="C55" ca="1">INDIRECT(LEFT(I55, FIND("!", I55)) &amp; RefData!$C$426 &amp; RIGHT(I55, LEN(I55) - FIND("!", I55) - 1))</f>
        <v xml:space="preserve">
Low dependency basis: DC liabilities (£)
</v>
      </c>
      <c r="D55" s="92" t="str">
        <f t="shared" ca="1" si="0"/>
        <v/>
      </c>
      <c r="E55" s="708" t="str" cm="1">
        <f t="array" aca="1" ref="E55" ca="1">IF(INDIRECT($I55)= "", "", INDIRECT($I55))</f>
        <v/>
      </c>
      <c r="F55" s="709" t="str" cm="1">
        <f t="array" aca="1" ref="F55" ca="1">INDIRECT(LEFT(I55, FIND("!", I55)) &amp; RefData!$C$427 &amp; RIGHT(I55, LEN(I55) - FIND("!", I55) - 1))</f>
        <v>SAV 20.0</v>
      </c>
      <c r="G55" s="710" t="b">
        <f ca="1">IF(ISNUMBER(SEARCH(RefData!$B$2, $C55)), FALSE, TRUE)</f>
        <v>1</v>
      </c>
      <c r="H55" s="723">
        <f>'Summary of actuarial valuation'!C35</f>
        <v>0</v>
      </c>
      <c r="I55" s="712" t="str">
        <f t="shared" ca="1" si="14"/>
        <v>'Summary of actuarial valuation'!C35</v>
      </c>
      <c r="J55" s="713" t="b" cm="1">
        <f t="array" aca="1" ref="J55" ca="1">IF(COUNTIF($K55:$T55, "&lt;&gt;FALSE") - COUNTBLANK($K55:$T55) &gt; 0, INDEX($K55:$T55, MATCH(TRUE, $K55:$T55 &lt;&gt; FALSE, 0)))</f>
        <v>0</v>
      </c>
      <c r="K55" s="712" t="b">
        <f ca="1">IF(AND('Summary of actuarial valuation'!$C$7=RefData!$B$19,'Reconciliation report'!$E55=""),ErrorMsgs!$B55)</f>
        <v>0</v>
      </c>
      <c r="L55" s="712" t="b">
        <f ca="1">IF(AND('Summary of actuarial valuation'!$C$7=RefData!$B$20,'Reconciliation report'!$E55&lt;&gt;""),ErrorMsgs!$C55)</f>
        <v>0</v>
      </c>
      <c r="M55" s="714" t="b">
        <f ca="1">IF(E55="",FALSE,IF(VALUE($E55)-ROUND(VALUE($E55),2),ErrorMsgs!$D55))</f>
        <v>0</v>
      </c>
      <c r="N55" s="714" t="b">
        <f ca="1">IF(E55="",FALSE,IF(VALUE($E55)&lt;0,ErrorMsgs!$E55))</f>
        <v>0</v>
      </c>
      <c r="O55" s="712" t="b">
        <f ca="1">IF(E55="",FALSE,IF(VALUE($E55)&gt;=1000000000000,ErrorMsgs!$F55))</f>
        <v>0</v>
      </c>
      <c r="P55" s="712"/>
      <c r="Q55" s="712"/>
      <c r="R55" s="712"/>
      <c r="S55" s="712"/>
      <c r="T55" s="712"/>
      <c r="U55" s="526" t="str">
        <f t="shared" ca="1" si="4"/>
        <v/>
      </c>
      <c r="V55" s="93" t="str" cm="1">
        <f t="array" aca="1" ref="V55" ca="1">CELL("format",INDIRECT(I55))</f>
        <v>C2</v>
      </c>
      <c r="W55" s="93" t="b">
        <f t="shared" ca="1" si="5"/>
        <v>0</v>
      </c>
      <c r="X55" s="715" t="str">
        <f t="shared" ca="1" si="1"/>
        <v/>
      </c>
      <c r="Y55" t="b">
        <f t="shared" ca="1" si="6"/>
        <v>1</v>
      </c>
    </row>
    <row r="56" spans="1:25" ht="60.65" customHeight="1">
      <c r="A56" s="705" t="s">
        <v>3062</v>
      </c>
      <c r="B56" s="706" t="str">
        <f t="shared" ca="1" si="2"/>
        <v>Summary of actuarial valuation - C36</v>
      </c>
      <c r="C56" s="707" t="str" cm="1">
        <f t="array" aca="1" ref="C56" ca="1">INDIRECT(LEFT(I56, FIND("!", I56)) &amp; RefData!$C$426 &amp; RIGHT(I56, LEN(I56) - FIND("!", I56) - 1))</f>
        <v xml:space="preserve">
Low dependency basis: cash balance liabilities (£)
</v>
      </c>
      <c r="D56" s="92" t="str">
        <f t="shared" ca="1" si="0"/>
        <v/>
      </c>
      <c r="E56" s="708" t="str" cm="1">
        <f t="array" aca="1" ref="E56" ca="1">IF(INDIRECT($I56)= "", "", INDIRECT($I56))</f>
        <v/>
      </c>
      <c r="F56" s="709" t="str" cm="1">
        <f t="array" aca="1" ref="F56" ca="1">INDIRECT(LEFT(I56, FIND("!", I56)) &amp; RefData!$C$427 &amp; RIGHT(I56, LEN(I56) - FIND("!", I56) - 1))</f>
        <v>SAV 21.0</v>
      </c>
      <c r="G56" s="710" t="b">
        <f ca="1">IF(ISNUMBER(SEARCH(RefData!$B$2, $C56)), FALSE, TRUE)</f>
        <v>1</v>
      </c>
      <c r="H56" s="723">
        <f>'Summary of actuarial valuation'!C36</f>
        <v>0</v>
      </c>
      <c r="I56" s="712" t="str">
        <f t="shared" ca="1" si="14"/>
        <v>'Summary of actuarial valuation'!C36</v>
      </c>
      <c r="J56" s="713" t="b" cm="1">
        <f t="array" aca="1" ref="J56" ca="1">IF(COUNTIF($K56:$T56, "&lt;&gt;FALSE") - COUNTBLANK($K56:$T56) &gt; 0, INDEX($K56:$T56, MATCH(TRUE, $K56:$T56 &lt;&gt; FALSE, 0)))</f>
        <v>0</v>
      </c>
      <c r="K56" s="712" t="b">
        <f ca="1">IF(AND('Summary of actuarial valuation'!$C$8=RefData!$B$21,'Reconciliation report'!$E$56=""),ErrorMsgs!$B56)</f>
        <v>0</v>
      </c>
      <c r="L56" s="712" t="b">
        <f ca="1">IF(AND('Summary of actuarial valuation'!$C$8=RefData!$B$22,'Reconciliation report'!$E$56&lt;&gt;""),ErrorMsgs!$C56)</f>
        <v>0</v>
      </c>
      <c r="M56" s="714" t="b">
        <f ca="1">IF(E56="",FALSE,IF(VALUE($E56)-ROUND(VALUE($E56),2),ErrorMsgs!$D56))</f>
        <v>0</v>
      </c>
      <c r="N56" s="714" t="b">
        <f ca="1">IF(E56="",FALSE,IF(VALUE($E56)&lt;0,ErrorMsgs!$E56))</f>
        <v>0</v>
      </c>
      <c r="O56" s="712" t="b">
        <f ca="1">IF(E56="",FALSE,IF(VALUE($E56)&gt;=1000000000000,ErrorMsgs!$F56))</f>
        <v>0</v>
      </c>
      <c r="P56" s="712"/>
      <c r="Q56" s="712"/>
      <c r="R56" s="712"/>
      <c r="S56" s="712"/>
      <c r="T56" s="712"/>
      <c r="U56" s="526" t="str">
        <f t="shared" ca="1" si="4"/>
        <v/>
      </c>
      <c r="V56" s="93" t="str" cm="1">
        <f t="array" aca="1" ref="V56" ca="1">CELL("format",INDIRECT(I56))</f>
        <v>C2</v>
      </c>
      <c r="W56" s="93" t="b">
        <f t="shared" ca="1" si="5"/>
        <v>0</v>
      </c>
      <c r="X56" s="715" t="str">
        <f t="shared" ca="1" si="1"/>
        <v/>
      </c>
      <c r="Y56" t="b">
        <f t="shared" ca="1" si="6"/>
        <v>1</v>
      </c>
    </row>
    <row r="57" spans="1:25" ht="60.65" customHeight="1">
      <c r="A57" s="705" t="s">
        <v>3063</v>
      </c>
      <c r="B57" s="706" t="str">
        <f t="shared" ca="1" si="2"/>
        <v>Summary of actuarial valuation - C37</v>
      </c>
      <c r="C57" s="707" t="str" cm="1">
        <f t="array" aca="1" ref="C57" ca="1">INDIRECT(LEFT(I57, FIND("!", I57)) &amp; RefData!$C$426 &amp; RIGHT(I57, LEN(I57) - FIND("!", I57) - 1))</f>
        <v xml:space="preserve">
Low dependency basis: expense reserves (£)
</v>
      </c>
      <c r="D57" s="92" t="str">
        <f t="shared" ca="1" si="0"/>
        <v xml:space="preserve">
Enter a value between 0 and 1,000,000,000,000 (1 trillion). It can be accurate to two decimal places.
</v>
      </c>
      <c r="E57" s="708" t="str" cm="1">
        <f t="array" aca="1" ref="E57" ca="1">IF(INDIRECT($I57)= "", "", INDIRECT($I57))</f>
        <v/>
      </c>
      <c r="F57" s="709" t="str" cm="1">
        <f t="array" aca="1" ref="F57" ca="1">INDIRECT(LEFT(I57, FIND("!", I57)) &amp; RefData!$C$427 &amp; RIGHT(I57, LEN(I57) - FIND("!", I57) - 1))</f>
        <v>SAV 22.0</v>
      </c>
      <c r="G57" s="710" t="b">
        <f ca="1">IF(ISNUMBER(SEARCH(RefData!$B$2, $C57)), FALSE, TRUE)</f>
        <v>1</v>
      </c>
      <c r="H57" s="723">
        <f>'Summary of actuarial valuation'!C37</f>
        <v>0</v>
      </c>
      <c r="I57" s="712" t="str">
        <f t="shared" ca="1" si="14"/>
        <v>'Summary of actuarial valuation'!C37</v>
      </c>
      <c r="J57" s="713" t="str" cm="1">
        <f t="array" aca="1" ref="J57" ca="1">IF(COUNTIF($K57:$T57, "&lt;&gt;FALSE") - COUNTBLANK($K57:$T57) &gt; 0, INDEX($K57:$T57, MATCH(TRUE, $K57:$T57 &lt;&gt; FALSE, 0)))</f>
        <v xml:space="preserve">
Enter a value between 0 and 1,000,000,000,000 (1 trillion). It can be accurate to two decimal places.
</v>
      </c>
      <c r="K57" s="712" t="str">
        <f ca="1">IF($E57="",ErrorMsgs!$B57)</f>
        <v xml:space="preserve">
Enter a value between 0 and 1,000,000,000,000 (1 trillion). It can be accurate to two decimal places.
</v>
      </c>
      <c r="L57" s="712" t="str">
        <f ca="1">IF(NOT(ISNUMBER(VALUE($E57))),ErrorMsgs!$C57,IF(VALUE($E57)-ROUND(VALUE($E57),2),ErrorMsgs!$C57))</f>
        <v xml:space="preserve">
Enter a value between 0 and 1,000,000,000,000 (1 trillion). It can be accurate to two decimal places.
</v>
      </c>
      <c r="M57" s="714" t="b">
        <f ca="1">IF($E57="",FALSE,IF(VALUE($E57)&lt;0,ErrorMsgs!$D57))</f>
        <v>0</v>
      </c>
      <c r="N57" s="714" t="b">
        <f ca="1">IF($E57="",FALSE,IF(VALUE($E57)&gt;=1000000000000,ErrorMsgs!$E57))</f>
        <v>0</v>
      </c>
      <c r="O57" s="712"/>
      <c r="P57" s="712"/>
      <c r="Q57" s="712"/>
      <c r="R57" s="712"/>
      <c r="S57" s="712"/>
      <c r="T57" s="712"/>
      <c r="U57" s="526" t="str">
        <f t="shared" ca="1" si="4"/>
        <v/>
      </c>
      <c r="V57" s="93" t="str" cm="1">
        <f t="array" aca="1" ref="V57" ca="1">CELL("format",INDIRECT(I57))</f>
        <v>C2</v>
      </c>
      <c r="W57" s="93" t="b">
        <f t="shared" ca="1" si="5"/>
        <v>0</v>
      </c>
      <c r="X57" s="715" t="str">
        <f t="shared" ca="1" si="1"/>
        <v/>
      </c>
      <c r="Y57" t="b">
        <f t="shared" ca="1" si="6"/>
        <v>1</v>
      </c>
    </row>
    <row r="58" spans="1:25" ht="60.65" customHeight="1">
      <c r="A58" s="705" t="s">
        <v>3064</v>
      </c>
      <c r="B58" s="706" t="str">
        <f t="shared" ca="1" si="2"/>
        <v>Summary of actuarial valuation - C38</v>
      </c>
      <c r="C58" s="707" t="str" cm="1">
        <f t="array" aca="1" ref="C58" ca="1">INDIRECT(LEFT(I58, FIND("!", I58)) &amp; RefData!$C$426 &amp; RIGHT(I58, LEN(I58) - FIND("!", I58) - 1))</f>
        <v xml:space="preserve">
Low dependency basis: total liabilities (£)
</v>
      </c>
      <c r="D58" s="92" t="str">
        <f t="shared" ca="1" si="0"/>
        <v xml:space="preserve">
Enter a value between 0 and 1,000,000,000,000 (1 trillion). It can be accurate to two decimal places.
</v>
      </c>
      <c r="E58" s="708" t="str" cm="1">
        <f t="array" aca="1" ref="E58" ca="1">IF(INDIRECT($I58)= "", "", INDIRECT($I58))</f>
        <v/>
      </c>
      <c r="F58" s="709" t="str" cm="1">
        <f t="array" aca="1" ref="F58" ca="1">INDIRECT(LEFT(I58, FIND("!", I58)) &amp; RefData!$C$427 &amp; RIGHT(I58, LEN(I58) - FIND("!", I58) - 1))</f>
        <v>SAV 23.0</v>
      </c>
      <c r="G58" s="710" t="b">
        <f ca="1">IF(ISNUMBER(SEARCH(RefData!$B$2, $C58)), FALSE, TRUE)</f>
        <v>1</v>
      </c>
      <c r="H58" s="723">
        <f>'Summary of actuarial valuation'!C38</f>
        <v>0</v>
      </c>
      <c r="I58" s="712" t="str">
        <f t="shared" ca="1" si="14"/>
        <v>'Summary of actuarial valuation'!C38</v>
      </c>
      <c r="J58" s="713" t="str" cm="1">
        <f t="array" aca="1" ref="J58" ca="1">IF(COUNTIF($K58:$T58, "&lt;&gt;FALSE") - COUNTBLANK($K58:$T58) &gt; 0, INDEX($K58:$T58, MATCH(TRUE, $K58:$T58 &lt;&gt; FALSE, 0)))</f>
        <v xml:space="preserve">
Enter a value between 0 and 1,000,000,000,000 (1 trillion). It can be accurate to two decimal places.
</v>
      </c>
      <c r="K58" s="712" t="str">
        <f ca="1">IF($E58="",ErrorMsgs!$B58)</f>
        <v xml:space="preserve">
Enter a value between 0 and 1,000,000,000,000 (1 trillion). It can be accurate to two decimal places.
</v>
      </c>
      <c r="L58" s="712" t="str">
        <f ca="1">IF(NOT(ISNUMBER(VALUE($E58))),ErrorMsgs!$C58,IF(VALUE($E58)-ROUND(VALUE($E58),2),ErrorMsgs!$C58))</f>
        <v xml:space="preserve">
Enter a value between 0 and 1,000,000,000,000 (1 trillion). It can be accurate to two decimal places.
</v>
      </c>
      <c r="M58" s="714" t="b">
        <f ca="1">IF($E58="",FALSE,IF(VALUE($E58)&lt;0,ErrorMsgs!$D58))</f>
        <v>0</v>
      </c>
      <c r="N58" s="714" t="b">
        <f ca="1">IF($E58="",FALSE,IF(VALUE($E58)&gt;=1000000000000,ErrorMsgs!$E58))</f>
        <v>0</v>
      </c>
      <c r="O58" s="712" t="b">
        <f>IF(SUMPRODUCT(H51:H57)*1&lt;&gt;VALUE(H58),ErrorMsgs!$F58)</f>
        <v>0</v>
      </c>
      <c r="P58" s="712"/>
      <c r="Q58" s="712"/>
      <c r="R58" s="712"/>
      <c r="S58" s="712"/>
      <c r="T58" s="712"/>
      <c r="U58" s="526" t="str">
        <f t="shared" ca="1" si="4"/>
        <v/>
      </c>
      <c r="V58" s="93" t="str" cm="1">
        <f t="array" aca="1" ref="V58" ca="1">CELL("format",INDIRECT(I58))</f>
        <v>C2</v>
      </c>
      <c r="W58" s="93" t="b">
        <f t="shared" ca="1" si="5"/>
        <v>0</v>
      </c>
      <c r="X58" s="715" t="str">
        <f t="shared" ca="1" si="1"/>
        <v/>
      </c>
      <c r="Y58" t="b">
        <f t="shared" ca="1" si="6"/>
        <v>1</v>
      </c>
    </row>
    <row r="59" spans="1:25" ht="62">
      <c r="A59" s="705" t="s">
        <v>3065</v>
      </c>
      <c r="B59" s="716" t="str">
        <f ca="1">HYPERLINK("#" &amp; $I59, SUBSTITUTE(SUBSTITUTE($I59, "!", " - "), "'",""))</f>
        <v>Summary of actuarial valuation - C39</v>
      </c>
      <c r="C59" s="707" t="str" cm="1">
        <f t="array" aca="1" ref="C59" ca="1">INDIRECT(LEFT(I59, FIND("!", I59)) &amp; RefData!$C$426 &amp; RIGHT(I59, LEN(I59) - FIND("!", I59) - 1))</f>
        <v xml:space="preserve">
What is the low dependency funding level at the effective date of the actuarial valuation? (%)
</v>
      </c>
      <c r="D59" s="92" t="str">
        <f t="shared" ca="1" si="0"/>
        <v xml:space="preserve">
Enter a percentage value that is equal to or greater than 0.
</v>
      </c>
      <c r="E59" s="708" t="str" cm="1">
        <f t="array" aca="1" ref="E59" ca="1">IF(INDIRECT($I59)= "", "", INDIRECT($I59))</f>
        <v/>
      </c>
      <c r="F59" s="709" t="str" cm="1">
        <f t="array" aca="1" ref="F59" ca="1">INDIRECT(LEFT(I59, FIND("!", I59)) &amp; RefData!$C$427 &amp; RIGHT(I59, LEN(I59) - FIND("!", I59) - 1))</f>
        <v>SAV 24.0</v>
      </c>
      <c r="G59" s="710" t="b">
        <f ca="1">IF(ISNUMBER(SEARCH(RefData!$B$2, $C59)), FALSE, TRUE)</f>
        <v>1</v>
      </c>
      <c r="H59" s="95">
        <f>'Summary of actuarial valuation'!C39</f>
        <v>0</v>
      </c>
      <c r="I59" s="712" t="str">
        <f ca="1">SUBSTITUTE(_xlfn.FORMULATEXT($H59), "=", "")</f>
        <v>'Summary of actuarial valuation'!C39</v>
      </c>
      <c r="J59" s="713" t="str" cm="1">
        <f t="array" aca="1" ref="J59" ca="1">IF(COUNTIF($K59:$T59, "&lt;&gt;FALSE") - COUNTBLANK($K59:$T59) &gt; 0, INDEX($K59:$T59, MATCH(TRUE, $K59:$T59 &lt;&gt; FALSE, 0)))</f>
        <v xml:space="preserve">
Enter a percentage value that is equal to or greater than 0.
</v>
      </c>
      <c r="K59" s="712" t="str">
        <f ca="1">IF($E59="",ErrorMsgs!$B59)</f>
        <v xml:space="preserve">
Enter a percentage value that is equal to or greater than 0.
</v>
      </c>
      <c r="L59" s="712" t="b">
        <f ca="1">IF(OR(ISERROR($E$59),$E$59&lt;0),ErrorMsgs!$C$59)</f>
        <v>0</v>
      </c>
      <c r="M59" s="714" t="b">
        <f ca="1">IFERROR(
IF(
    OR(
        NOT(ISNUMBER(E59)),
        E58="",
        E50="",
        AND(
            E59*100 &lt;&gt; ROUND(E50*100/E58,2),
            E59*100 &lt;&gt; ROUND(E50*100/E58,1),
            E59*100 &lt;&gt; ROUND(E50*100/E58,0)
        )
    ),
    ErrorMsgs!D59
),
FALSE)</f>
        <v>0</v>
      </c>
      <c r="N59" s="714"/>
      <c r="O59" s="712"/>
      <c r="P59" s="712"/>
      <c r="Q59" s="712"/>
      <c r="R59" s="712"/>
      <c r="S59" s="712"/>
      <c r="T59" s="712"/>
      <c r="U59" s="526" t="str">
        <f t="shared" ca="1" si="4"/>
        <v/>
      </c>
      <c r="V59" s="93" t="str" cm="1">
        <f t="array" aca="1" ref="V59" ca="1">CELL("format",INDIRECT(I59))</f>
        <v>P2</v>
      </c>
      <c r="W59" s="93" t="b">
        <f t="shared" ca="1" si="5"/>
        <v>0</v>
      </c>
      <c r="X59" s="715" t="str">
        <f t="shared" ca="1" si="1"/>
        <v/>
      </c>
      <c r="Y59" t="b">
        <f t="shared" ca="1" si="6"/>
        <v>1</v>
      </c>
    </row>
    <row r="60" spans="1:25" ht="62">
      <c r="A60" s="705" t="s">
        <v>3066</v>
      </c>
      <c r="B60" s="716" t="str">
        <f ca="1">HYPERLINK("#" &amp; $I60, SUBSTITUTE(SUBSTITUTE($I60, "!", " - "), "'",""))</f>
        <v>Summary of actuarial valuation - C21</v>
      </c>
      <c r="C60" s="707" t="str" cm="1">
        <f t="array" aca="1" ref="C60" ca="1">INDIRECT(LEFT(I60, FIND("!", I60)) &amp; RefData!$C$426 &amp; RIGHT(I60, LEN(I60) - FIND("!", I60) - 1))</f>
        <v xml:space="preserve">
What is the technical provisions funding level at the effective date of the actuarial valuation? (%)
</v>
      </c>
      <c r="D60" s="92" t="str">
        <f t="shared" ca="1" si="0"/>
        <v xml:space="preserve">
Enter a percentage value that is greater than or equal to 0. It can be accurate to two decimal places.
</v>
      </c>
      <c r="E60" s="708" t="str" cm="1">
        <f t="array" aca="1" ref="E60" ca="1">IF(INDIRECT($I60)= "", "", INDIRECT($I60))</f>
        <v/>
      </c>
      <c r="F60" s="709" t="str" cm="1">
        <f t="array" aca="1" ref="F60" ca="1">INDIRECT(LEFT(I60, FIND("!", I60)) &amp; RefData!$C$427 &amp; RIGHT(I60, LEN(I60) - FIND("!", I60) - 1))</f>
        <v>SAV 12.0</v>
      </c>
      <c r="G60" s="710" t="b">
        <f ca="1">IF(ISNUMBER(SEARCH(RefData!$B$2, $C60)), FALSE, TRUE)</f>
        <v>1</v>
      </c>
      <c r="H60" s="95">
        <f>'Summary of actuarial valuation'!C21</f>
        <v>0</v>
      </c>
      <c r="I60" s="712" t="str">
        <f ca="1">SUBSTITUTE(_xlfn.FORMULATEXT($H60), "=", "")</f>
        <v>'Summary of actuarial valuation'!C21</v>
      </c>
      <c r="J60" s="713" t="str" cm="1">
        <f t="array" aca="1" ref="J60" ca="1">IF(COUNTIF($K60:$T60, "&lt;&gt;FALSE") - COUNTBLANK($K60:$T60) &gt; 0, INDEX($K60:$T60, MATCH(TRUE, $K60:$T60 &lt;&gt; FALSE, 0)))</f>
        <v xml:space="preserve">
Enter a percentage value that is greater than or equal to 0. It can be accurate to two decimal places.
</v>
      </c>
      <c r="K60" s="712" t="str">
        <f ca="1">IF($E60="",ErrorMsgs!$B60)</f>
        <v xml:space="preserve">
Enter a percentage value that is greater than or equal to 0. It can be accurate to two decimal places.
</v>
      </c>
      <c r="L60" s="712" t="b">
        <f ca="1">IF($E60&lt;0,ErrorMsgs!$C60)</f>
        <v>0</v>
      </c>
      <c r="M60" s="714" t="b">
        <f ca="1">IFERROR(
IF(
    OR(
        NOT(ISNUMBER(E60)),
        E59="",
        E51="",
        AND(
            E60*100 &lt;&gt; ROUND(E39*100/E47,2),
            E60*100 &lt;&gt; ROUND(E39*100/E47,1),
            E60*100 &lt;&gt; ROUND(E39*100/E47,0)
        )
    ),
    ErrorMsgs!D60
),
FALSE)</f>
        <v>0</v>
      </c>
      <c r="N60" s="714"/>
      <c r="O60" s="712"/>
      <c r="P60" s="712"/>
      <c r="Q60" s="712"/>
      <c r="R60" s="712"/>
      <c r="S60" s="712"/>
      <c r="T60" s="712"/>
      <c r="U60" s="526" t="str">
        <f t="shared" ca="1" si="4"/>
        <v/>
      </c>
      <c r="V60" s="93" t="str" cm="1">
        <f t="array" aca="1" ref="V60" ca="1">CELL("format",INDIRECT(I60))</f>
        <v>P2</v>
      </c>
      <c r="W60" s="93" t="b">
        <f t="shared" ca="1" si="5"/>
        <v>0</v>
      </c>
      <c r="X60" s="715" t="str">
        <f t="shared" ca="1" si="1"/>
        <v/>
      </c>
      <c r="Y60" t="b">
        <f t="shared" ca="1" si="6"/>
        <v>1</v>
      </c>
    </row>
    <row r="61" spans="1:25" ht="62">
      <c r="A61" s="705" t="s">
        <v>3067</v>
      </c>
      <c r="B61" s="706" t="str">
        <f t="shared" ca="1" si="2"/>
        <v>Summary of actuarial valuation - C43</v>
      </c>
      <c r="C61" s="707" t="str" cm="1">
        <f t="array" aca="1" ref="C61" ca="1">INDIRECT(LEFT(I61, FIND("!", I61)) &amp; RefData!$C$426 &amp; RIGHT(I61, LEN(I61) - FIND("!", I61) - 1))</f>
        <v xml:space="preserve">
Solvency basis: total scheme assets (£)
</v>
      </c>
      <c r="D61" s="92" t="str">
        <f t="shared" ca="1" si="0"/>
        <v xml:space="preserve">
Enter a value equal to or greater than 0 and less than 1,000,000,000,000 (1 trillion). It can be accurate to two decimal places.
</v>
      </c>
      <c r="E61" s="708" t="str" cm="1">
        <f t="array" aca="1" ref="E61" ca="1">IF(INDIRECT($I61)= "", "", INDIRECT($I61))</f>
        <v/>
      </c>
      <c r="F61" s="709" t="str" cm="1">
        <f t="array" aca="1" ref="F61" ca="1">INDIRECT(LEFT(I61, FIND("!", I61)) &amp; RefData!$C$427 &amp; RIGHT(I61, LEN(I61) - FIND("!", I61) - 1))</f>
        <v>SAV 25.0</v>
      </c>
      <c r="G61" s="710" t="b">
        <f ca="1">IF(ISNUMBER(SEARCH(RefData!$B$2, $C61)), FALSE, TRUE)</f>
        <v>1</v>
      </c>
      <c r="H61" s="723">
        <f>'Summary of actuarial valuation'!C43</f>
        <v>0</v>
      </c>
      <c r="I61" s="712" t="str">
        <f t="shared" ca="1" si="14"/>
        <v>'Summary of actuarial valuation'!C43</v>
      </c>
      <c r="J61" s="713" t="str" cm="1">
        <f t="array" aca="1" ref="J61" ca="1">IF(COUNTIF($K61:$T61, "&lt;&gt;FALSE") - COUNTBLANK($K61:$T61) &gt; 0, INDEX($K61:$T61, MATCH(TRUE, $K61:$T61 &lt;&gt; FALSE, 0)))</f>
        <v xml:space="preserve">
Enter a value equal to or greater than 0 and less than 1,000,000,000,000 (1 trillion). It can be accurate to two decimal places.
</v>
      </c>
      <c r="K61" s="713" t="str">
        <f ca="1">IF($E61="",ErrorMsgs!$B61)</f>
        <v xml:space="preserve">
Enter a value equal to or greater than 0 and less than 1,000,000,000,000 (1 trillion). It can be accurate to two decimal places.
</v>
      </c>
      <c r="L61" s="713" t="b">
        <f ca="1">IF($E61="",FALSE,IF(OR(VALUE($E61)-ROUND(VALUE($E61),2)&lt;&gt;0),ErrorMsgs!$B61))</f>
        <v>0</v>
      </c>
      <c r="M61" s="714" t="b">
        <f ca="1">IF($E61="",FALSE,IF(VALUE($E61)&lt;0,ErrorMsgs!$B61))</f>
        <v>0</v>
      </c>
      <c r="N61" s="714" t="b">
        <f ca="1">IF($E61="",FALSE,IF(VALUE($E61)&gt;=1000000000000,ErrorMsgs!$B61))</f>
        <v>0</v>
      </c>
      <c r="O61" s="713"/>
      <c r="P61" s="713"/>
      <c r="Q61" s="713"/>
      <c r="R61" s="713"/>
      <c r="S61" s="713"/>
      <c r="T61" s="713"/>
      <c r="U61" s="526" t="str">
        <f t="shared" ca="1" si="4"/>
        <v/>
      </c>
      <c r="V61" s="93" t="str" cm="1">
        <f t="array" aca="1" ref="V61" ca="1">CELL("format",INDIRECT(I61))</f>
        <v>C2</v>
      </c>
      <c r="W61" s="93" t="b">
        <f t="shared" ca="1" si="5"/>
        <v>0</v>
      </c>
      <c r="X61" s="715" t="str">
        <f t="shared" ca="1" si="1"/>
        <v/>
      </c>
      <c r="Y61" t="b">
        <f t="shared" ca="1" si="6"/>
        <v>1</v>
      </c>
    </row>
    <row r="62" spans="1:25" ht="62">
      <c r="A62" s="705" t="s">
        <v>3068</v>
      </c>
      <c r="B62" s="706" t="str">
        <f t="shared" ca="1" si="2"/>
        <v>Summary of actuarial valuation - C44</v>
      </c>
      <c r="C62" s="707" t="str" cm="1">
        <f t="array" aca="1" ref="C62" ca="1">INDIRECT(LEFT(I62, FIND("!", I62)) &amp; RefData!$C$426 &amp; RIGHT(I62, LEN(I62) - FIND("!", I62) - 1))</f>
        <v xml:space="preserve">
Solvency basis: active member liabilities (£)
</v>
      </c>
      <c r="D62" s="92" t="str">
        <f t="shared" ca="1" si="0"/>
        <v xml:space="preserve">
Enter a value equal to or greater than 0 and less than 1,000,000,000,000 (1 trillion). It can be accurate to two decimal places.
</v>
      </c>
      <c r="E62" s="708" t="str" cm="1">
        <f t="array" aca="1" ref="E62" ca="1">IF(INDIRECT($I62)= "", "", INDIRECT($I62))</f>
        <v/>
      </c>
      <c r="F62" s="709" t="str" cm="1">
        <f t="array" aca="1" ref="F62" ca="1">INDIRECT(LEFT(I62, FIND("!", I62)) &amp; RefData!$C$427 &amp; RIGHT(I62, LEN(I62) - FIND("!", I62) - 1))</f>
        <v>SAV 26.0</v>
      </c>
      <c r="G62" s="710" t="b">
        <f ca="1">IF(ISNUMBER(SEARCH(RefData!$B$2, $C62)), FALSE, TRUE)</f>
        <v>1</v>
      </c>
      <c r="H62" s="723">
        <f>'Summary of actuarial valuation'!C44</f>
        <v>0</v>
      </c>
      <c r="I62" s="712" t="str">
        <f t="shared" ca="1" si="14"/>
        <v>'Summary of actuarial valuation'!C44</v>
      </c>
      <c r="J62" s="713" t="str" cm="1">
        <f t="array" aca="1" ref="J62" ca="1">IF(COUNTIF($K62:$T62, "&lt;&gt;FALSE") - COUNTBLANK($K62:$T62) &gt; 0, INDEX($K62:$T62, MATCH(TRUE, $K62:$T62 &lt;&gt; FALSE, 0)))</f>
        <v xml:space="preserve">
Enter a value equal to or greater than 0 and less than 1,000,000,000,000 (1 trillion). It can be accurate to two decimal places.
</v>
      </c>
      <c r="K62" s="713" t="str">
        <f ca="1">IF($E62="",ErrorMsgs!$B62)</f>
        <v xml:space="preserve">
Enter a value equal to or greater than 0 and less than 1,000,000,000,000 (1 trillion). It can be accurate to two decimal places.
</v>
      </c>
      <c r="L62" s="713" t="b">
        <f ca="1">IF($E62="",FALSE,IF(OR(VALUE($E62)-ROUND(VALUE($E62),2)&lt;&gt;0),ErrorMsgs!$B62))</f>
        <v>0</v>
      </c>
      <c r="M62" s="714" t="b">
        <f ca="1">IF($E62="",FALSE,IF(VALUE($E62)&lt;0,ErrorMsgs!$B62))</f>
        <v>0</v>
      </c>
      <c r="N62" s="714" t="b">
        <f ca="1">IF($E62="",FALSE,IF(VALUE($E62)&gt;=1000000000000,ErrorMsgs!$B62))</f>
        <v>0</v>
      </c>
      <c r="O62" s="713"/>
      <c r="P62" s="713"/>
      <c r="Q62" s="713"/>
      <c r="R62" s="713"/>
      <c r="S62" s="713"/>
      <c r="T62" s="713"/>
      <c r="U62" s="526" t="str">
        <f t="shared" ca="1" si="4"/>
        <v/>
      </c>
      <c r="V62" s="93" t="str" cm="1">
        <f t="array" aca="1" ref="V62" ca="1">CELL("format",INDIRECT(I62))</f>
        <v>C2</v>
      </c>
      <c r="W62" s="93" t="b">
        <f t="shared" ca="1" si="5"/>
        <v>0</v>
      </c>
      <c r="X62" s="715" t="str">
        <f t="shared" ca="1" si="1"/>
        <v/>
      </c>
      <c r="Y62" t="b">
        <f t="shared" ca="1" si="6"/>
        <v>1</v>
      </c>
    </row>
    <row r="63" spans="1:25" ht="62">
      <c r="A63" s="705" t="s">
        <v>3069</v>
      </c>
      <c r="B63" s="706" t="str">
        <f t="shared" ca="1" si="2"/>
        <v>Summary of actuarial valuation - C45</v>
      </c>
      <c r="C63" s="707" t="str" cm="1">
        <f t="array" aca="1" ref="C63" ca="1">INDIRECT(LEFT(I63, FIND("!", I63)) &amp; RefData!$C$426 &amp; RIGHT(I63, LEN(I63) - FIND("!", I63) - 1))</f>
        <v xml:space="preserve">
Solvency basis: deferred member liabilities (£)
</v>
      </c>
      <c r="D63" s="92" t="str">
        <f t="shared" ca="1" si="0"/>
        <v xml:space="preserve">
Enter a value equal to or greater than 0 and less than 1,000,000,000,000 (1 trillion). It can be accurate to two decimal places.
</v>
      </c>
      <c r="E63" s="708" t="str" cm="1">
        <f t="array" aca="1" ref="E63" ca="1">IF(INDIRECT($I63)= "", "", INDIRECT($I63))</f>
        <v/>
      </c>
      <c r="F63" s="709" t="str" cm="1">
        <f t="array" aca="1" ref="F63" ca="1">INDIRECT(LEFT(I63, FIND("!", I63)) &amp; RefData!$C$427 &amp; RIGHT(I63, LEN(I63) - FIND("!", I63) - 1))</f>
        <v>SAV 27.0</v>
      </c>
      <c r="G63" s="710" t="b">
        <f ca="1">IF(ISNUMBER(SEARCH(RefData!$B$2, $C63)), FALSE, TRUE)</f>
        <v>1</v>
      </c>
      <c r="H63" s="723">
        <f>'Summary of actuarial valuation'!C45</f>
        <v>0</v>
      </c>
      <c r="I63" s="712" t="str">
        <f t="shared" ca="1" si="14"/>
        <v>'Summary of actuarial valuation'!C45</v>
      </c>
      <c r="J63" s="713" t="str" cm="1">
        <f t="array" aca="1" ref="J63" ca="1">IF(COUNTIF($K63:$T63, "&lt;&gt;FALSE") - COUNTBLANK($K63:$T63) &gt; 0, INDEX($K63:$T63, MATCH(TRUE, $K63:$T63 &lt;&gt; FALSE, 0)))</f>
        <v xml:space="preserve">
Enter a value equal to or greater than 0 and less than 1,000,000,000,000 (1 trillion). It can be accurate to two decimal places.
</v>
      </c>
      <c r="K63" s="713" t="str">
        <f ca="1">IF($E63="",ErrorMsgs!$B63)</f>
        <v xml:space="preserve">
Enter a value equal to or greater than 0 and less than 1,000,000,000,000 (1 trillion). It can be accurate to two decimal places.
</v>
      </c>
      <c r="L63" s="713" t="b">
        <f ca="1">IF($E63="",FALSE,IF(OR(VALUE($E63)-ROUND(VALUE($E63),2)&lt;&gt;0),ErrorMsgs!$B63))</f>
        <v>0</v>
      </c>
      <c r="M63" s="714" t="b">
        <f ca="1">IF($E63="",FALSE,IF(VALUE($E63)&lt;0,ErrorMsgs!$B63))</f>
        <v>0</v>
      </c>
      <c r="N63" s="714" t="b">
        <f ca="1">IF($E63="",FALSE,IF(VALUE($E63)&gt;=1000000000000,ErrorMsgs!$B63))</f>
        <v>0</v>
      </c>
      <c r="O63" s="713"/>
      <c r="P63" s="713"/>
      <c r="Q63" s="713"/>
      <c r="R63" s="713"/>
      <c r="S63" s="713"/>
      <c r="T63" s="713"/>
      <c r="U63" s="526" t="str">
        <f t="shared" ca="1" si="4"/>
        <v/>
      </c>
      <c r="V63" s="93" t="str" cm="1">
        <f t="array" aca="1" ref="V63" ca="1">CELL("format",INDIRECT(I63))</f>
        <v>C2</v>
      </c>
      <c r="W63" s="93" t="b">
        <f t="shared" ca="1" si="5"/>
        <v>0</v>
      </c>
      <c r="X63" s="715" t="str">
        <f t="shared" ca="1" si="1"/>
        <v/>
      </c>
      <c r="Y63" t="b">
        <f t="shared" ca="1" si="6"/>
        <v>1</v>
      </c>
    </row>
    <row r="64" spans="1:25" ht="62">
      <c r="A64" s="705" t="s">
        <v>3070</v>
      </c>
      <c r="B64" s="706" t="str">
        <f t="shared" ca="1" si="2"/>
        <v>Summary of actuarial valuation - C46</v>
      </c>
      <c r="C64" s="707" t="str" cm="1">
        <f t="array" aca="1" ref="C64" ca="1">INDIRECT(LEFT(I64, FIND("!", I64)) &amp; RefData!$C$426 &amp; RIGHT(I64, LEN(I64) - FIND("!", I64) - 1))</f>
        <v xml:space="preserve">
Solvency basis: pensioner member liabilities (£)
</v>
      </c>
      <c r="D64" s="92" t="str">
        <f t="shared" ca="1" si="0"/>
        <v xml:space="preserve">
Enter a value equal to or greater than 0 and less than 1,000,000,000,000 (1 trillion). It can be accurate to two decimal places.
</v>
      </c>
      <c r="E64" s="708" t="str" cm="1">
        <f t="array" aca="1" ref="E64" ca="1">IF(INDIRECT($I64)= "", "", INDIRECT($I64))</f>
        <v/>
      </c>
      <c r="F64" s="709" t="str" cm="1">
        <f t="array" aca="1" ref="F64" ca="1">INDIRECT(LEFT(I64, FIND("!", I64)) &amp; RefData!$C$427 &amp; RIGHT(I64, LEN(I64) - FIND("!", I64) - 1))</f>
        <v>SAV 28.0</v>
      </c>
      <c r="G64" s="710" t="b">
        <f ca="1">IF(ISNUMBER(SEARCH(RefData!$B$2, $C64)), FALSE, TRUE)</f>
        <v>1</v>
      </c>
      <c r="H64" s="723">
        <f>'Summary of actuarial valuation'!C46</f>
        <v>0</v>
      </c>
      <c r="I64" s="712" t="str">
        <f t="shared" ca="1" si="14"/>
        <v>'Summary of actuarial valuation'!C46</v>
      </c>
      <c r="J64" s="713" t="str" cm="1">
        <f t="array" aca="1" ref="J64" ca="1">IF(COUNTIF($K64:$T64, "&lt;&gt;FALSE") - COUNTBLANK($K64:$T64) &gt; 0, INDEX($K64:$T64, MATCH(TRUE, $K64:$T64 &lt;&gt; FALSE, 0)))</f>
        <v xml:space="preserve">
Enter a value equal to or greater than 0 and less than 1,000,000,000,000 (1 trillion). It can be accurate to two decimal places.
</v>
      </c>
      <c r="K64" s="713" t="str">
        <f ca="1">IF($E64="",ErrorMsgs!$B64)</f>
        <v xml:space="preserve">
Enter a value equal to or greater than 0 and less than 1,000,000,000,000 (1 trillion). It can be accurate to two decimal places.
</v>
      </c>
      <c r="L64" s="713" t="b">
        <f ca="1">IF($E64="",FALSE,IF(OR(VALUE($E64)-ROUND(VALUE($E64),2)&lt;&gt;0),ErrorMsgs!$B64))</f>
        <v>0</v>
      </c>
      <c r="M64" s="714" t="b">
        <f ca="1">IF($E64="",FALSE,IF(VALUE($E64)&lt;0,ErrorMsgs!$B64))</f>
        <v>0</v>
      </c>
      <c r="N64" s="714" t="b">
        <f ca="1">IF($E64="",FALSE,IF(VALUE($E64)&gt;=1000000000000,ErrorMsgs!$B64))</f>
        <v>0</v>
      </c>
      <c r="O64" s="713"/>
      <c r="P64" s="713"/>
      <c r="Q64" s="713"/>
      <c r="R64" s="713"/>
      <c r="S64" s="713"/>
      <c r="T64" s="713"/>
      <c r="U64" s="526" t="str">
        <f t="shared" ca="1" si="4"/>
        <v/>
      </c>
      <c r="V64" s="93" t="str" cm="1">
        <f t="array" aca="1" ref="V64" ca="1">CELL("format",INDIRECT(I64))</f>
        <v>C2</v>
      </c>
      <c r="W64" s="93" t="b">
        <f t="shared" ca="1" si="5"/>
        <v>0</v>
      </c>
      <c r="X64" s="715" t="str">
        <f t="shared" ca="1" si="1"/>
        <v/>
      </c>
      <c r="Y64" t="b">
        <f t="shared" ca="1" si="6"/>
        <v>1</v>
      </c>
    </row>
    <row r="65" spans="1:25" ht="62">
      <c r="A65" s="705" t="s">
        <v>3071</v>
      </c>
      <c r="B65" s="706" t="str">
        <f t="shared" ca="1" si="2"/>
        <v>Summary of actuarial valuation - C47</v>
      </c>
      <c r="C65" s="707" t="str" cm="1">
        <f t="array" aca="1" ref="C65" ca="1">INDIRECT(LEFT(I65, FIND("!", I65)) &amp; RefData!$C$426 &amp; RIGHT(I65, LEN(I65) - FIND("!", I65) - 1))</f>
        <v xml:space="preserve">
Solvency basis: insured member liabilities (£)
</v>
      </c>
      <c r="D65" s="92" t="str">
        <f t="shared" ca="1" si="0"/>
        <v xml:space="preserve">
Enter a value equal to or greater than 0 and less than 1,000,000,000,000 (1 trillion). It can be accurate to two decimal places.
</v>
      </c>
      <c r="E65" s="708" t="str" cm="1">
        <f t="array" aca="1" ref="E65" ca="1">IF(INDIRECT($I65)= "", "", INDIRECT($I65))</f>
        <v/>
      </c>
      <c r="F65" s="709" t="str" cm="1">
        <f t="array" aca="1" ref="F65" ca="1">INDIRECT(LEFT(I65, FIND("!", I65)) &amp; RefData!$C$427 &amp; RIGHT(I65, LEN(I65) - FIND("!", I65) - 1))</f>
        <v>SAV 29.0</v>
      </c>
      <c r="G65" s="710" t="b">
        <f ca="1">IF(ISNUMBER(SEARCH(RefData!$B$2, $C65)), FALSE, TRUE)</f>
        <v>1</v>
      </c>
      <c r="H65" s="723">
        <f>'Summary of actuarial valuation'!C47</f>
        <v>0</v>
      </c>
      <c r="I65" s="712" t="str">
        <f t="shared" ca="1" si="14"/>
        <v>'Summary of actuarial valuation'!C47</v>
      </c>
      <c r="J65" s="713" t="str" cm="1">
        <f t="array" aca="1" ref="J65" ca="1">IF(COUNTIF($K65:$T65, "&lt;&gt;FALSE") - COUNTBLANK($K65:$T65) &gt; 0, INDEX($K65:$T65, MATCH(TRUE, $K65:$T65 &lt;&gt; FALSE, 0)))</f>
        <v xml:space="preserve">
Enter a value equal to or greater than 0 and less than 1,000,000,000,000 (1 trillion). It can be accurate to two decimal places.
</v>
      </c>
      <c r="K65" s="713" t="str">
        <f ca="1">IF($E65="",ErrorMsgs!$B65)</f>
        <v xml:space="preserve">
Enter a value equal to or greater than 0 and less than 1,000,000,000,000 (1 trillion). It can be accurate to two decimal places.
</v>
      </c>
      <c r="L65" s="713" t="b">
        <f ca="1">IF($E65="",FALSE,IF(OR(VALUE($E65)-ROUND(VALUE($E65),2)&lt;&gt;0),ErrorMsgs!$B65))</f>
        <v>0</v>
      </c>
      <c r="M65" s="714" t="b">
        <f ca="1">IF($E65="",FALSE,IF(VALUE($E65)&lt;0,ErrorMsgs!$B65))</f>
        <v>0</v>
      </c>
      <c r="N65" s="714" t="b">
        <f ca="1">IF($E65="",FALSE,IF(VALUE($E65)&gt;=1000000000000,ErrorMsgs!$B65))</f>
        <v>0</v>
      </c>
      <c r="O65" s="713"/>
      <c r="P65" s="713"/>
      <c r="Q65" s="713"/>
      <c r="R65" s="713"/>
      <c r="S65" s="713"/>
      <c r="T65" s="713"/>
      <c r="U65" s="526" t="str">
        <f t="shared" ca="1" si="4"/>
        <v/>
      </c>
      <c r="V65" s="93" t="str" cm="1">
        <f t="array" aca="1" ref="V65" ca="1">CELL("format",INDIRECT(I65))</f>
        <v>C2</v>
      </c>
      <c r="W65" s="93" t="b">
        <f t="shared" ca="1" si="5"/>
        <v>0</v>
      </c>
      <c r="X65" s="715" t="str">
        <f t="shared" ca="1" si="1"/>
        <v/>
      </c>
      <c r="Y65" t="b">
        <f t="shared" ca="1" si="6"/>
        <v>1</v>
      </c>
    </row>
    <row r="66" spans="1:25" ht="46.5">
      <c r="A66" s="705" t="s">
        <v>3072</v>
      </c>
      <c r="B66" s="706" t="str">
        <f t="shared" ca="1" si="2"/>
        <v>Summary of actuarial valuation - C48</v>
      </c>
      <c r="C66" s="707" t="str" cm="1">
        <f t="array" aca="1" ref="C66" ca="1">INDIRECT(LEFT(I66, FIND("!", I66)) &amp; RefData!$C$426 &amp; RIGHT(I66, LEN(I66) - FIND("!", I66) - 1))</f>
        <v xml:space="preserve">
Solvency basis: DC liabilities (£)
</v>
      </c>
      <c r="D66" s="92" t="str">
        <f t="shared" ref="D66:D129" ca="1" si="15">""&amp;IF(J66=FALSE, "", J66)
&amp;""</f>
        <v/>
      </c>
      <c r="E66" s="708" t="str" cm="1">
        <f t="array" aca="1" ref="E66" ca="1">IF(INDIRECT($I66)= "", "", INDIRECT($I66))</f>
        <v/>
      </c>
      <c r="F66" s="709" t="str" cm="1">
        <f t="array" aca="1" ref="F66" ca="1">INDIRECT(LEFT(I66, FIND("!", I66)) &amp; RefData!$C$427 &amp; RIGHT(I66, LEN(I66) - FIND("!", I66) - 1))</f>
        <v>SAV 30.0</v>
      </c>
      <c r="G66" s="710" t="b">
        <f ca="1">IF(ISNUMBER(SEARCH(RefData!$B$2, $C66)), FALSE, TRUE)</f>
        <v>1</v>
      </c>
      <c r="H66" s="723">
        <f>'Summary of actuarial valuation'!C48</f>
        <v>0</v>
      </c>
      <c r="I66" s="712" t="str">
        <f t="shared" ca="1" si="14"/>
        <v>'Summary of actuarial valuation'!C48</v>
      </c>
      <c r="J66" s="713" t="b" cm="1">
        <f t="array" aca="1" ref="J66" ca="1">IF(COUNTIF($K66:$T66, "&lt;&gt;FALSE") - COUNTBLANK($K66:$T66) &gt; 0, INDEX($K66:$T66, MATCH(TRUE, $K66:$T66 &lt;&gt; FALSE, 0)))</f>
        <v>0</v>
      </c>
      <c r="K66" s="713" t="b">
        <f ca="1">IF(AND('Summary of actuarial valuation'!$C$7=RefData!$B$19,'Reconciliation report'!$E66=""),ErrorMsgs!$B66)</f>
        <v>0</v>
      </c>
      <c r="L66" s="713" t="b">
        <f ca="1">IF(AND('Summary of actuarial valuation'!$C$7=RefData!$B$20,'Reconciliation report'!$E66&lt;&gt;""),ErrorMsgs!$C66)</f>
        <v>0</v>
      </c>
      <c r="M66" s="714" t="b">
        <f ca="1">IF($E66="",FALSE,IF(OR(VALUE($E66)-ROUND(VALUE($E66),2)&lt;&gt;0),ErrorMsgs!$D66))</f>
        <v>0</v>
      </c>
      <c r="N66" s="714" t="b">
        <f ca="1">IF($E66="",FALSE,IF(VALUE($E66)&lt;0,ErrorMsgs!$D66))</f>
        <v>0</v>
      </c>
      <c r="O66" s="712" t="b">
        <f ca="1">IF($E66="",FALSE,IF(VALUE($E66)&gt;=1000000000000,ErrorMsgs!$D66))</f>
        <v>0</v>
      </c>
      <c r="P66" s="713"/>
      <c r="Q66" s="713"/>
      <c r="R66" s="713"/>
      <c r="S66" s="713"/>
      <c r="T66" s="713"/>
      <c r="U66" s="526" t="str">
        <f t="shared" ca="1" si="4"/>
        <v/>
      </c>
      <c r="V66" s="93" t="str" cm="1">
        <f t="array" aca="1" ref="V66" ca="1">CELL("format",INDIRECT(I66))</f>
        <v>C2</v>
      </c>
      <c r="W66" s="93" t="b">
        <f t="shared" ca="1" si="5"/>
        <v>0</v>
      </c>
      <c r="X66" s="715" t="str">
        <f t="shared" ref="X66:X129" ca="1" si="16">IF(W66, "0." &amp; IF(V66="P2",REPT("0", MIN(4, LEN(E66) - FIND(".", E66))),REPT("0", MIN(6, LEN(E66) - FIND(".", E66)))), "")</f>
        <v/>
      </c>
      <c r="Y66" t="b">
        <f t="shared" ca="1" si="6"/>
        <v>1</v>
      </c>
    </row>
    <row r="67" spans="1:25" ht="46.5">
      <c r="A67" s="705" t="s">
        <v>3073</v>
      </c>
      <c r="B67" s="706" t="str">
        <f t="shared" ca="1" si="2"/>
        <v>Summary of actuarial valuation - C49</v>
      </c>
      <c r="C67" s="707" t="str" cm="1">
        <f t="array" aca="1" ref="C67" ca="1">INDIRECT(LEFT(I67, FIND("!", I67)) &amp; RefData!$C$426 &amp; RIGHT(I67, LEN(I67) - FIND("!", I67) - 1))</f>
        <v xml:space="preserve">
Solvency basis: cash balance liabilities (£)
</v>
      </c>
      <c r="D67" s="92" t="str">
        <f t="shared" ca="1" si="15"/>
        <v/>
      </c>
      <c r="E67" s="708" t="str" cm="1">
        <f t="array" aca="1" ref="E67" ca="1">IF(INDIRECT($I67)= "", "", INDIRECT($I67))</f>
        <v/>
      </c>
      <c r="F67" s="709" t="str" cm="1">
        <f t="array" aca="1" ref="F67" ca="1">INDIRECT(LEFT(I67, FIND("!", I67)) &amp; RefData!$C$427 &amp; RIGHT(I67, LEN(I67) - FIND("!", I67) - 1))</f>
        <v>SAV 31.0</v>
      </c>
      <c r="G67" s="710" t="b">
        <f ca="1">IF(ISNUMBER(SEARCH(RefData!$B$2, $C67)), FALSE, TRUE)</f>
        <v>1</v>
      </c>
      <c r="H67" s="723">
        <f>'Summary of actuarial valuation'!C49</f>
        <v>0</v>
      </c>
      <c r="I67" s="712" t="str">
        <f t="shared" ca="1" si="14"/>
        <v>'Summary of actuarial valuation'!C49</v>
      </c>
      <c r="J67" s="713" t="b" cm="1">
        <f t="array" aca="1" ref="J67" ca="1">IF(COUNTIF($K67:$T67, "&lt;&gt;FALSE") - COUNTBLANK($K67:$T67) &gt; 0, INDEX($K67:$T67, MATCH(TRUE, $K67:$T67 &lt;&gt; FALSE, 0)))</f>
        <v>0</v>
      </c>
      <c r="K67" s="713" t="b">
        <f ca="1">IF(AND($E67="",'Summary of actuarial valuation'!$C$8=RefData!$B$21),ErrorMsgs!$B67)</f>
        <v>0</v>
      </c>
      <c r="L67" s="713" t="b">
        <f ca="1">IF(AND($E67&lt;&gt;"",'Summary of actuarial valuation'!$C$8=RefData!$B$22),ErrorMsgs!$C67)</f>
        <v>0</v>
      </c>
      <c r="M67" s="714" t="b">
        <f ca="1">IF($E67="",FALSE,IF(OR(VALUE($E67)-ROUND(VALUE($E67),2)&lt;&gt;0),ErrorMsgs!$D67))</f>
        <v>0</v>
      </c>
      <c r="N67" s="714" t="b">
        <f ca="1">IF($E67="",FALSE,IF(VALUE($E67)&lt;0,ErrorMsgs!$D67))</f>
        <v>0</v>
      </c>
      <c r="O67" s="712" t="b">
        <f ca="1">IF($E67="",FALSE,IF(VALUE($E67)&gt;=1000000000000,ErrorMsgs!$D67))</f>
        <v>0</v>
      </c>
      <c r="P67" s="713"/>
      <c r="Q67" s="713"/>
      <c r="R67" s="713"/>
      <c r="S67" s="713"/>
      <c r="T67" s="713"/>
      <c r="U67" s="526" t="str">
        <f t="shared" ref="U67:U130" ca="1" si="17">IF(AND($W67=TRUE,$Y67=FALSE),TEXT($E67,$X67),$E67)</f>
        <v/>
      </c>
      <c r="V67" s="93" t="str" cm="1">
        <f t="array" aca="1" ref="V67" ca="1">CELL("format",INDIRECT(I67))</f>
        <v>C2</v>
      </c>
      <c r="W67" s="93" t="b">
        <f t="shared" ref="W67:W130" ca="1" si="18">IF(ISNUMBER(E67), IF(INT(E67)&lt;&gt;E67,TRUE,FALSE),FALSE)</f>
        <v>0</v>
      </c>
      <c r="X67" s="715" t="str">
        <f t="shared" ca="1" si="16"/>
        <v/>
      </c>
      <c r="Y67" t="b">
        <f t="shared" ref="Y67:Y130" ca="1" si="19">ISTEXT(E67)</f>
        <v>1</v>
      </c>
    </row>
    <row r="68" spans="1:25" ht="62">
      <c r="A68" s="705" t="s">
        <v>3074</v>
      </c>
      <c r="B68" s="706" t="str">
        <f t="shared" ca="1" si="2"/>
        <v>Summary of actuarial valuation - C50</v>
      </c>
      <c r="C68" s="707" t="str" cm="1">
        <f t="array" aca="1" ref="C68" ca="1">INDIRECT(LEFT(I68, FIND("!", I68)) &amp; RefData!$C$426 &amp; RIGHT(I68, LEN(I68) - FIND("!", I68) - 1))</f>
        <v xml:space="preserve">
Solvency basis: expense reserve (£)
</v>
      </c>
      <c r="D68" s="92" t="str">
        <f t="shared" ca="1" si="15"/>
        <v xml:space="preserve">
Enter a value equal to or greater than 0 and less than 1,000,000,000,000 (1 trillion). It can be accurate to two decimal places.
</v>
      </c>
      <c r="E68" s="708" t="str" cm="1">
        <f t="array" aca="1" ref="E68" ca="1">IF(INDIRECT($I68)= "", "", INDIRECT($I68))</f>
        <v/>
      </c>
      <c r="F68" s="709" t="str" cm="1">
        <f t="array" aca="1" ref="F68" ca="1">INDIRECT(LEFT(I68, FIND("!", I68)) &amp; RefData!$C$427 &amp; RIGHT(I68, LEN(I68) - FIND("!", I68) - 1))</f>
        <v>SAV 32.0</v>
      </c>
      <c r="G68" s="710" t="b">
        <f ca="1">IF(ISNUMBER(SEARCH(RefData!$B$2, $C68)), FALSE, TRUE)</f>
        <v>1</v>
      </c>
      <c r="H68" s="723">
        <f>'Summary of actuarial valuation'!C50</f>
        <v>0</v>
      </c>
      <c r="I68" s="712" t="str">
        <f t="shared" ca="1" si="14"/>
        <v>'Summary of actuarial valuation'!C50</v>
      </c>
      <c r="J68" s="713" t="str" cm="1">
        <f t="array" aca="1" ref="J68" ca="1">IF(COUNTIF($K68:$T68, "&lt;&gt;FALSE") - COUNTBLANK($K68:$T68) &gt; 0, INDEX($K68:$T68, MATCH(TRUE, $K68:$T68 &lt;&gt; FALSE, 0)))</f>
        <v xml:space="preserve">
Enter a value equal to or greater than 0 and less than 1,000,000,000,000 (1 trillion). It can be accurate to two decimal places.
</v>
      </c>
      <c r="K68" s="713" t="str">
        <f ca="1">IF($E68="",ErrorMsgs!$B68)</f>
        <v xml:space="preserve">
Enter a value equal to or greater than 0 and less than 1,000,000,000,000 (1 trillion). It can be accurate to two decimal places.
</v>
      </c>
      <c r="L68" s="713" t="b">
        <f ca="1">IF($E68="",FALSE,IF(OR(VALUE($E68)-ROUND(VALUE($E68),2)&lt;&gt;0),ErrorMsgs!$B68))</f>
        <v>0</v>
      </c>
      <c r="M68" s="714" t="b">
        <f ca="1">IF($E68="",FALSE,IF(VALUE($E68)&lt;0,ErrorMsgs!$B68))</f>
        <v>0</v>
      </c>
      <c r="N68" s="714" t="b">
        <f ca="1">IF($E68="",FALSE,IF(VALUE($E68)&gt;=1000000000000,ErrorMsgs!$B68))</f>
        <v>0</v>
      </c>
      <c r="O68" s="713"/>
      <c r="P68" s="713"/>
      <c r="Q68" s="713"/>
      <c r="R68" s="713"/>
      <c r="S68" s="713"/>
      <c r="T68" s="713"/>
      <c r="U68" s="526" t="str">
        <f t="shared" ca="1" si="17"/>
        <v/>
      </c>
      <c r="V68" s="93" t="str" cm="1">
        <f t="array" aca="1" ref="V68" ca="1">CELL("format",INDIRECT(I68))</f>
        <v>C2</v>
      </c>
      <c r="W68" s="93" t="b">
        <f t="shared" ca="1" si="18"/>
        <v>0</v>
      </c>
      <c r="X68" s="715" t="str">
        <f t="shared" ca="1" si="16"/>
        <v/>
      </c>
      <c r="Y68" t="b">
        <f t="shared" ca="1" si="19"/>
        <v>1</v>
      </c>
    </row>
    <row r="69" spans="1:25" ht="62">
      <c r="A69" s="705" t="s">
        <v>3075</v>
      </c>
      <c r="B69" s="706" t="str">
        <f t="shared" ca="1" si="2"/>
        <v>Summary of actuarial valuation - C51</v>
      </c>
      <c r="C69" s="707" t="str" cm="1">
        <f t="array" aca="1" ref="C69" ca="1">INDIRECT(LEFT(I69, FIND("!", I69)) &amp; RefData!$C$426 &amp; RIGHT(I69, LEN(I69) - FIND("!", I69) - 1))</f>
        <v xml:space="preserve">
Solvency basis: total liabilities (£)
</v>
      </c>
      <c r="D69" s="92" t="str">
        <f t="shared" ca="1" si="15"/>
        <v xml:space="preserve">
Enter a value equal to or greater than 0 and less than 1,000,000,000,000 (1 trillion). It can be accurate to two decimal places.
</v>
      </c>
      <c r="E69" s="708" t="str" cm="1">
        <f t="array" aca="1" ref="E69" ca="1">IF(INDIRECT($I69)= "", "", INDIRECT($I69))</f>
        <v/>
      </c>
      <c r="F69" s="709" t="str" cm="1">
        <f t="array" aca="1" ref="F69" ca="1">INDIRECT(LEFT(I69, FIND("!", I69)) &amp; RefData!$C$427 &amp; RIGHT(I69, LEN(I69) - FIND("!", I69) - 1))</f>
        <v>SAV 33.0</v>
      </c>
      <c r="G69" s="710" t="b">
        <f ca="1">IF(ISNUMBER(SEARCH(RefData!$B$2, $C69)), FALSE, TRUE)</f>
        <v>1</v>
      </c>
      <c r="H69" s="723">
        <f>'Summary of actuarial valuation'!C51</f>
        <v>0</v>
      </c>
      <c r="I69" s="712" t="str">
        <f t="shared" ca="1" si="14"/>
        <v>'Summary of actuarial valuation'!C51</v>
      </c>
      <c r="J69" s="713" t="str" cm="1">
        <f t="array" aca="1" ref="J69" ca="1">IF(COUNTIF($K69:$T69, "&lt;&gt;FALSE") - COUNTBLANK($K69:$T69) &gt; 0, INDEX($K69:$T69, MATCH(TRUE, $K69:$T69 &lt;&gt; FALSE, 0)))</f>
        <v xml:space="preserve">
Enter a value equal to or greater than 0 and less than 1,000,000,000,000 (1 trillion). It can be accurate to two decimal places.
</v>
      </c>
      <c r="K69" s="713" t="str">
        <f ca="1">IF($E69="",ErrorMsgs!$B69)</f>
        <v xml:space="preserve">
Enter a value equal to or greater than 0 and less than 1,000,000,000,000 (1 trillion). It can be accurate to two decimal places.
</v>
      </c>
      <c r="L69" s="713" t="b">
        <f ca="1">IF($E69="",FALSE,IF(OR(VALUE($E69)-ROUND(VALUE($E69),2)&lt;&gt;0),ErrorMsgs!$B69))</f>
        <v>0</v>
      </c>
      <c r="M69" s="714" t="b">
        <f ca="1">IF($E69="",FALSE,IF(VALUE($E69)&lt;0,ErrorMsgs!$B69))</f>
        <v>0</v>
      </c>
      <c r="N69" s="714" t="b">
        <f ca="1">IF($E69="",FALSE,IF(VALUE($E69)&gt;=1000000000000,ErrorMsgs!$B69))</f>
        <v>0</v>
      </c>
      <c r="O69" s="713" t="b" cm="1">
        <f t="array" ref="O69">IF(SUMPRODUCT(($H$62:$H$68)*1)&lt;&gt;VALUE($H$69),ErrorMsgs!$C$69)</f>
        <v>0</v>
      </c>
      <c r="P69" s="713"/>
      <c r="Q69" s="713"/>
      <c r="R69" s="713"/>
      <c r="S69" s="713"/>
      <c r="T69" s="713"/>
      <c r="U69" s="526" t="str">
        <f t="shared" ca="1" si="17"/>
        <v/>
      </c>
      <c r="V69" s="93" t="str" cm="1">
        <f t="array" aca="1" ref="V69" ca="1">CELL("format",INDIRECT(I69))</f>
        <v>C2</v>
      </c>
      <c r="W69" s="93" t="b">
        <f t="shared" ca="1" si="18"/>
        <v>0</v>
      </c>
      <c r="X69" s="715" t="str">
        <f t="shared" ca="1" si="16"/>
        <v/>
      </c>
      <c r="Y69" t="b">
        <f t="shared" ca="1" si="19"/>
        <v>1</v>
      </c>
    </row>
    <row r="70" spans="1:25" ht="61.5" customHeight="1">
      <c r="A70" s="705" t="s">
        <v>3076</v>
      </c>
      <c r="B70" s="706" t="str">
        <f t="shared" ca="1" si="2"/>
        <v>Summary of actuarial valuation - C52</v>
      </c>
      <c r="C70" s="707" t="str" cm="1">
        <f t="array" aca="1" ref="C70" ca="1">INDIRECT(LEFT(I70, FIND("!", I70)) &amp; RefData!$C$426 &amp; RIGHT(I70, LEN(I70) - FIND("!", I70) - 1))</f>
        <v xml:space="preserve">
Solvency basis: funding level (%)
</v>
      </c>
      <c r="D70" s="92" t="str">
        <f t="shared" ca="1" si="15"/>
        <v xml:space="preserve">
Enter a percentage value that is equal to or greater than 0. 
</v>
      </c>
      <c r="E70" s="708" t="str" cm="1">
        <f t="array" aca="1" ref="E70" ca="1">IF(INDIRECT($I70)= "", "", INDIRECT($I70))</f>
        <v/>
      </c>
      <c r="F70" s="709" t="str" cm="1">
        <f t="array" aca="1" ref="F70" ca="1">INDIRECT(LEFT(I70, FIND("!", I70)) &amp; RefData!$C$427 &amp; RIGHT(I70, LEN(I70) - FIND("!", I70) - 1))</f>
        <v>SAV 34.0</v>
      </c>
      <c r="G70" s="710" t="b">
        <f ca="1">IF(ISNUMBER(SEARCH(RefData!$B$2, $C70)), FALSE, TRUE)</f>
        <v>1</v>
      </c>
      <c r="H70" s="723">
        <f>'Summary of actuarial valuation'!C52</f>
        <v>0</v>
      </c>
      <c r="I70" s="712" t="str">
        <f t="shared" ca="1" si="14"/>
        <v>'Summary of actuarial valuation'!C52</v>
      </c>
      <c r="J70" s="713" t="str" cm="1">
        <f t="array" aca="1" ref="J70" ca="1">IF(COUNTIF($K70:$T70, "&lt;&gt;FALSE") - COUNTBLANK($K70:$T70) &gt; 0, INDEX($K70:$T70, MATCH(TRUE, $K70:$T70 &lt;&gt; FALSE, 0)))</f>
        <v xml:space="preserve">
Enter a percentage value that is equal to or greater than 0. 
</v>
      </c>
      <c r="K70" s="713" t="str">
        <f ca="1">IF($E70="",ErrorMsgs!$B70)</f>
        <v xml:space="preserve">
Enter a percentage value that is equal to or greater than 0. 
</v>
      </c>
      <c r="L70" s="713" t="b">
        <f ca="1">IF($E70="",FALSE,IF(VALUE($E70)&lt;0,ErrorMsgs!$B70))</f>
        <v>0</v>
      </c>
      <c r="M70" s="714" t="b">
        <f ca="1">IFERROR(
IF(
    OR(
        NOT(ISNUMBER(E70)),
        E69="",
        E61="",
        AND(
            E70*100 &lt;&gt; ROUND(E61*100/E69,2),
            E70*100 &lt;&gt; ROUND(E61*100/E69,1),
            E70*100 &lt;&gt; ROUND(E61*100/E69,0)
        )
    ),
    ErrorMsgs!D70
),
FALSE)</f>
        <v>0</v>
      </c>
      <c r="N70" s="714"/>
      <c r="O70" s="713"/>
      <c r="P70" s="713"/>
      <c r="Q70" s="713"/>
      <c r="R70" s="713"/>
      <c r="S70" s="713"/>
      <c r="T70" s="713"/>
      <c r="U70" s="526" t="str">
        <f t="shared" ca="1" si="17"/>
        <v/>
      </c>
      <c r="V70" s="93" t="str" cm="1">
        <f t="array" aca="1" ref="V70" ca="1">CELL("format",INDIRECT(I70))</f>
        <v>P2</v>
      </c>
      <c r="W70" s="93" t="b">
        <f t="shared" ca="1" si="18"/>
        <v>0</v>
      </c>
      <c r="X70" s="715" t="str">
        <f t="shared" ca="1" si="16"/>
        <v/>
      </c>
      <c r="Y70" t="b">
        <f t="shared" ca="1" si="19"/>
        <v>1</v>
      </c>
    </row>
    <row r="71" spans="1:25" ht="62">
      <c r="A71" s="705" t="s">
        <v>3077</v>
      </c>
      <c r="B71" s="706" t="str">
        <f t="shared" ca="1" si="2"/>
        <v>Summary of actuarial valuation - C56</v>
      </c>
      <c r="C71" s="707" t="str" cm="1">
        <f t="array" aca="1" ref="C71" ca="1">INDIRECT(LEFT(I71, FIND("!", I71)) &amp; RefData!$C$426 &amp; RIGHT(I71, LEN(I71) - FIND("!", I71) - 1))</f>
        <v xml:space="preserve">
Any additional comments the trustees have in relation to expense reserves (optional)
</v>
      </c>
      <c r="D71" s="92" t="str">
        <f t="shared" ca="1" si="15"/>
        <v/>
      </c>
      <c r="E71" s="708" t="str" cm="1">
        <f t="array" aca="1" ref="E71" ca="1">IF(INDIRECT($I71)= "", "", INDIRECT($I71))</f>
        <v/>
      </c>
      <c r="F71" s="709" t="str" cm="1">
        <f t="array" aca="1" ref="F71" ca="1">INDIRECT(LEFT(I71, FIND("!", I71)) &amp; RefData!$C$427 &amp; RIGHT(I71, LEN(I71) - FIND("!", I71) - 1))</f>
        <v>SAV 35.0</v>
      </c>
      <c r="G71" s="710" t="b">
        <f ca="1">IF(ISNUMBER(SEARCH(RefData!$B$2, $C71)), FALSE, TRUE)</f>
        <v>1</v>
      </c>
      <c r="H71" s="724">
        <f>'Summary of actuarial valuation'!C56</f>
        <v>0</v>
      </c>
      <c r="I71" s="712" t="str">
        <f t="shared" ca="1" si="14"/>
        <v>'Summary of actuarial valuation'!C56</v>
      </c>
      <c r="J71" s="713" t="b" cm="1">
        <f t="array" aca="1" ref="J71" ca="1">IF(COUNTIF($K71:$T71, "&lt;&gt;FALSE") - COUNTBLANK($K71:$T71) &gt; 0, INDEX($K71:$T71, MATCH(TRUE, $K71:$T71 &lt;&gt; FALSE, 0)))</f>
        <v>0</v>
      </c>
      <c r="K71" s="713" t="b">
        <f ca="1">IF(LEN($E$71)&gt;4000,ErrorMsgs!$B71)</f>
        <v>0</v>
      </c>
      <c r="L71" s="712"/>
      <c r="M71" s="714"/>
      <c r="N71" s="714"/>
      <c r="O71" s="712"/>
      <c r="P71" s="712"/>
      <c r="Q71" s="712"/>
      <c r="R71" s="712"/>
      <c r="S71" s="712"/>
      <c r="T71" s="712"/>
      <c r="U71" s="526" t="str">
        <f t="shared" ca="1" si="17"/>
        <v/>
      </c>
      <c r="V71" s="93" t="str" cm="1">
        <f t="array" aca="1" ref="V71" ca="1">CELL("format",INDIRECT(I71))</f>
        <v>G</v>
      </c>
      <c r="W71" s="93" t="b">
        <f t="shared" ca="1" si="18"/>
        <v>0</v>
      </c>
      <c r="X71" s="715" t="str">
        <f t="shared" ca="1" si="16"/>
        <v/>
      </c>
      <c r="Y71" t="b">
        <f t="shared" ca="1" si="19"/>
        <v>1</v>
      </c>
    </row>
    <row r="72" spans="1:25" ht="62">
      <c r="A72" s="705" t="s">
        <v>3078</v>
      </c>
      <c r="B72" s="706" t="str">
        <f t="shared" ca="1" si="2"/>
        <v>Summary of actuarial valuation - C60</v>
      </c>
      <c r="C72" s="707" t="str" cm="1">
        <f t="array" aca="1" ref="C72" ca="1">INDIRECT(LEFT(I72, FIND("!", I72)) &amp; RefData!$C$426 &amp; RIGHT(I72, LEN(I72) - FIND("!", I72) - 1))</f>
        <v xml:space="preserve">
What proportion of the liabilities on a low dependency basis are linked to inflation? (%)
</v>
      </c>
      <c r="D72" s="92" t="str">
        <f t="shared" ca="1" si="15"/>
        <v xml:space="preserve">
Enter a percentage value between 0 and 100.
</v>
      </c>
      <c r="E72" s="708" t="str" cm="1">
        <f t="array" aca="1" ref="E72" ca="1">IF(INDIRECT($I72)= "", "", INDIRECT($I72))</f>
        <v/>
      </c>
      <c r="F72" s="709" t="str" cm="1">
        <f t="array" aca="1" ref="F72" ca="1">INDIRECT(LEFT(I72, FIND("!", I72)) &amp; RefData!$C$427 &amp; RIGHT(I72, LEN(I72) - FIND("!", I72) - 1))</f>
        <v>SAV 36.0</v>
      </c>
      <c r="G72" s="710" t="b">
        <f ca="1">IF(ISNUMBER(SEARCH(RefData!$B$2, $C72)), FALSE, TRUE)</f>
        <v>1</v>
      </c>
      <c r="H72" s="723">
        <f>'Summary of actuarial valuation'!C60</f>
        <v>0</v>
      </c>
      <c r="I72" s="712" t="str">
        <f t="shared" ca="1" si="14"/>
        <v>'Summary of actuarial valuation'!C60</v>
      </c>
      <c r="J72" s="713" t="str" cm="1">
        <f t="array" aca="1" ref="J72" ca="1">IF(COUNTIF($K72:$T72, "&lt;&gt;FALSE") - COUNTBLANK($K72:$T72) &gt; 0, INDEX($K72:$T72, MATCH(TRUE, $K72:$T72 &lt;&gt; FALSE, 0)))</f>
        <v xml:space="preserve">
Enter a percentage value between 0 and 100.
</v>
      </c>
      <c r="K72" s="712" t="str">
        <f ca="1">IF($E72="",ErrorMsgs!$B72)</f>
        <v xml:space="preserve">
Enter a percentage value between 0 and 100.
</v>
      </c>
      <c r="L72" s="712" t="b">
        <f ca="1">IF($E72="",FALSE,IF(ISERROR(VALUE($E72)),ErrorMsgs!$C72,IF(OR(VALUE($E72)&lt;0,VALUE($E72)&gt;1),ErrorMsgs!$C72)))</f>
        <v>0</v>
      </c>
      <c r="M72" s="714"/>
      <c r="N72" s="714"/>
      <c r="O72" s="712"/>
      <c r="P72" s="712"/>
      <c r="Q72" s="712"/>
      <c r="R72" s="712"/>
      <c r="S72" s="712"/>
      <c r="T72" s="712"/>
      <c r="U72" s="526" t="str">
        <f t="shared" ca="1" si="17"/>
        <v/>
      </c>
      <c r="V72" s="93" t="str" cm="1">
        <f t="array" aca="1" ref="V72" ca="1">CELL("format",INDIRECT(I72))</f>
        <v>P2</v>
      </c>
      <c r="W72" s="93" t="b">
        <f t="shared" ca="1" si="18"/>
        <v>0</v>
      </c>
      <c r="X72" s="715" t="str">
        <f t="shared" ca="1" si="16"/>
        <v/>
      </c>
      <c r="Y72" t="b">
        <f t="shared" ca="1" si="19"/>
        <v>1</v>
      </c>
    </row>
    <row r="73" spans="1:25" ht="77.5">
      <c r="A73" s="705" t="s">
        <v>3079</v>
      </c>
      <c r="B73" s="706" t="str">
        <f t="shared" ca="1" si="2"/>
        <v>Summary of actuarial valuation - C61</v>
      </c>
      <c r="C73" s="707" t="str" cm="1">
        <f t="array" aca="1" ref="C73" ca="1">INDIRECT(LEFT(I73, FIND("!", I73)) &amp; RefData!$C$426 &amp; RIGHT(I73, LEN(I73) - FIND("!", I73) - 1))</f>
        <v xml:space="preserve">
What is the assumed change in retail price index (RPI) and consumer price index (CPI) – underpinning the related assumptions – for the inflation rate sensitivity? (Basis points)
</v>
      </c>
      <c r="D73" s="92" t="str">
        <f t="shared" ca="1" si="15"/>
        <v xml:space="preserve">
Enter a basis point value between -25 and 25.
</v>
      </c>
      <c r="E73" s="708" t="str" cm="1">
        <f t="array" aca="1" ref="E73" ca="1">IF(INDIRECT($I73)= "", "", INDIRECT($I73))</f>
        <v/>
      </c>
      <c r="F73" s="709" t="str" cm="1">
        <f t="array" aca="1" ref="F73" ca="1">INDIRECT(LEFT(I73, FIND("!", I73)) &amp; RefData!$C$427 &amp; RIGHT(I73, LEN(I73) - FIND("!", I73) - 1))</f>
        <v>SAV 37.0</v>
      </c>
      <c r="G73" s="710" t="b">
        <f ca="1">IF(ISNUMBER(SEARCH(RefData!$B$2, $C73)), FALSE, TRUE)</f>
        <v>1</v>
      </c>
      <c r="H73" s="725">
        <f>'Summary of actuarial valuation'!C61</f>
        <v>0</v>
      </c>
      <c r="I73" s="712" t="str">
        <f t="shared" ca="1" si="14"/>
        <v>'Summary of actuarial valuation'!C61</v>
      </c>
      <c r="J73" s="713" t="str" cm="1">
        <f t="array" aca="1" ref="J73" ca="1">IF(COUNTIF($K73:$T73, "&lt;&gt;FALSE") - COUNTBLANK($K73:$T73) &gt; 0, INDEX($K73:$T73, MATCH(TRUE, $K73:$T73 &lt;&gt; FALSE, 0)))</f>
        <v xml:space="preserve">
Enter a basis point value between -25 and 25.
</v>
      </c>
      <c r="K73" s="712" t="str">
        <f ca="1">IF($E73="", ErrorMsgs!$B73, IF(INT(E73)&lt;&gt;E73, ErrorMsgs!$B73))</f>
        <v xml:space="preserve">
Enter a basis point value between -25 and 25.
</v>
      </c>
      <c r="L73" s="712" t="b">
        <f ca="1">IF($E73="",FALSE,IF(ISERROR(VALUE($E73)),ErrorMsgs!$C73,IF(OR(VALUE($E73)&lt;-25,VALUE($E73)&gt;25,INT(VALUE($E73))&lt;&gt;VALUE($E73)),ErrorMsgs!$C73)))</f>
        <v>0</v>
      </c>
      <c r="M73" s="714"/>
      <c r="N73" s="714"/>
      <c r="O73" s="712"/>
      <c r="P73" s="712"/>
      <c r="Q73" s="712"/>
      <c r="R73" s="712"/>
      <c r="S73" s="712"/>
      <c r="T73" s="712"/>
      <c r="U73" s="526" t="str">
        <f t="shared" ca="1" si="17"/>
        <v/>
      </c>
      <c r="V73" s="93" t="str" cm="1">
        <f t="array" aca="1" ref="V73" ca="1">CELL("format",INDIRECT(I73))</f>
        <v>F0</v>
      </c>
      <c r="W73" s="93" t="b">
        <f t="shared" ca="1" si="18"/>
        <v>0</v>
      </c>
      <c r="X73" s="715" t="str">
        <f t="shared" ca="1" si="16"/>
        <v/>
      </c>
      <c r="Y73" t="b">
        <f t="shared" ca="1" si="19"/>
        <v>1</v>
      </c>
    </row>
    <row r="74" spans="1:25" ht="77.5">
      <c r="A74" s="705" t="s">
        <v>3080</v>
      </c>
      <c r="B74" s="706" t="str">
        <f t="shared" ca="1" si="2"/>
        <v>Summary of actuarial valuation - C62</v>
      </c>
      <c r="C74" s="707" t="str" cm="1">
        <f t="array" aca="1" ref="C74" ca="1">INDIRECT(LEFT(I74, FIND("!", I74)) &amp; RefData!$C$426 &amp; RIGHT(I74, LEN(I74) - FIND("!", I74) - 1))</f>
        <v xml:space="preserve">
What is the change in the technical provisions liabilities given this inflation sensitivity? (£)
</v>
      </c>
      <c r="D74" s="92" t="str">
        <f t="shared" ca="1" si="15"/>
        <v xml:space="preserve">
You must enter a number greater than -1,000,000,000,000 (minus 1 trillion) and less than ​1,000,000,000,000 (1 trillion). It can be accurate to two decimal places. 
</v>
      </c>
      <c r="E74" s="708" t="str" cm="1">
        <f t="array" aca="1" ref="E74" ca="1">IF(INDIRECT($I74)= "", "", INDIRECT($I74))</f>
        <v/>
      </c>
      <c r="F74" s="709" t="str" cm="1">
        <f t="array" aca="1" ref="F74" ca="1">INDIRECT(LEFT(I74, FIND("!", I74)) &amp; RefData!$C$427 &amp; RIGHT(I74, LEN(I74) - FIND("!", I74) - 1))</f>
        <v>SAV 38.0</v>
      </c>
      <c r="G74" s="710" t="b">
        <f ca="1">IF(ISNUMBER(SEARCH(RefData!$B$2, $C74)), FALSE, TRUE)</f>
        <v>1</v>
      </c>
      <c r="H74" s="723">
        <f>'Summary of actuarial valuation'!C62</f>
        <v>0</v>
      </c>
      <c r="I74" s="712" t="str">
        <f t="shared" ca="1" si="14"/>
        <v>'Summary of actuarial valuation'!C62</v>
      </c>
      <c r="J74" s="713" t="str" cm="1">
        <f t="array" aca="1" ref="J74" ca="1">IF(COUNTIF($K74:$T74, "&lt;&gt;FALSE") - COUNTBLANK($K74:$T74) &gt; 0, INDEX($K74:$T74, MATCH(TRUE, $K74:$T74 &lt;&gt; FALSE, 0)))</f>
        <v xml:space="preserve">
You must enter a number greater than -1,000,000,000,000 (minus 1 trillion) and less than ​1,000,000,000,000 (1 trillion). It can be accurate to two decimal places. 
</v>
      </c>
      <c r="K74" s="712" t="str">
        <f ca="1">IF($E74="",ErrorMsgs!$B74)</f>
        <v xml:space="preserve">
You must enter a number greater than -1,000,000,000,000 (minus 1 trillion) and less than ​1,000,000,000,000 (1 trillion). It can be accurate to two decimal places. 
</v>
      </c>
      <c r="L74" s="712" t="b">
        <f ca="1">IF(E74="",FALSE,IF(OR(VALUE($E74)&lt;=-1000000000000,VALUE($E74)&gt;=1000000000000,VALUE($E74)-ROUND(VALUE($E74),2)&lt;&gt;0),ErrorMsgs!$B74))</f>
        <v>0</v>
      </c>
      <c r="M74" s="714"/>
      <c r="N74" s="714"/>
      <c r="O74" s="712"/>
      <c r="P74" s="712"/>
      <c r="Q74" s="712"/>
      <c r="R74" s="712"/>
      <c r="S74" s="712"/>
      <c r="T74" s="712"/>
      <c r="U74" s="526" t="str">
        <f t="shared" ca="1" si="17"/>
        <v/>
      </c>
      <c r="V74" s="93" t="str" cm="1">
        <f t="array" aca="1" ref="V74" ca="1">CELL("format",INDIRECT(I74))</f>
        <v>C2</v>
      </c>
      <c r="W74" s="93" t="b">
        <f t="shared" ca="1" si="18"/>
        <v>0</v>
      </c>
      <c r="X74" s="715" t="str">
        <f t="shared" ca="1" si="16"/>
        <v/>
      </c>
      <c r="Y74" t="b">
        <f t="shared" ca="1" si="19"/>
        <v>1</v>
      </c>
    </row>
    <row r="75" spans="1:25" ht="46.5">
      <c r="A75" s="705" t="s">
        <v>3081</v>
      </c>
      <c r="B75" s="706" t="str">
        <f t="shared" ref="B75:B139" ca="1" si="20">HYPERLINK("#" &amp; $I75, SUBSTITUTE(SUBSTITUTE($I75, "!", " - "), "'",""))</f>
        <v>Summary of recovery plan - C6</v>
      </c>
      <c r="C75" s="707" t="str" cm="1">
        <f t="array" aca="1" ref="C75" ca="1">INDIRECT(LEFT(I75, FIND("!", I75)) &amp; RefData!$C$426 &amp; RIGHT(I75, LEN(I75) - FIND("!", I75) - 1))</f>
        <v xml:space="preserve">
Recovery plan commencement date
</v>
      </c>
      <c r="D75" s="92" t="str">
        <f t="shared" ca="1" si="15"/>
        <v/>
      </c>
      <c r="E75" s="708" t="str" cm="1">
        <f t="array" aca="1" ref="E75" ca="1">IF(INDIRECT($I75)= "", "", INDIRECT($I75))</f>
        <v/>
      </c>
      <c r="F75" s="709" t="str" cm="1">
        <f t="array" aca="1" ref="F75" ca="1">INDIRECT(LEFT(I75, FIND("!", I75)) &amp; RefData!$C$427 &amp; RIGHT(I75, LEN(I75) - FIND("!", I75) - 1))</f>
        <v>SRP 1.0</v>
      </c>
      <c r="G75" s="710" t="b">
        <f ca="1">IF(ISNUMBER(SEARCH(RefData!$B$2, $C75)), FALSE, TRUE)</f>
        <v>1</v>
      </c>
      <c r="H75" s="391">
        <f>'Summary of recovery plan'!C6</f>
        <v>0</v>
      </c>
      <c r="I75" s="712" t="str">
        <f t="shared" ref="I75:I139" ca="1" si="21">SUBSTITUTE(_xlfn.FORMULATEXT($H75), "=", "")</f>
        <v>'Summary of recovery plan'!C6</v>
      </c>
      <c r="J75" s="713" t="b" cm="1">
        <f t="array" aca="1" ref="J75" ca="1">IF(COUNTIF($K75:$T75, "&lt;&gt;FALSE") - COUNTBLANK($K75:$T75) &gt; 0, INDEX($K75:$T75, MATCH(TRUE, $K75:$T75 &lt;&gt; FALSE, 0)))</f>
        <v>0</v>
      </c>
      <c r="K75" s="712" t="b">
        <f ca="1">IF(AND('Start here'!$C$25=RefData!$B$15,'Reconciliation report'!$E75&lt;&gt;""),ErrorMsgs!$B75)</f>
        <v>0</v>
      </c>
      <c r="L75" s="712" t="b">
        <f ca="1">IF(AND('Start here'!$C$25=RefData!$B$16,'Reconciliation report'!$E75=""),ErrorMsgs!$C75)</f>
        <v>0</v>
      </c>
      <c r="M75" s="714" t="b">
        <f ca="1">IF($E75="",FALSE,IF(NOT(ISNUMBER($E75)),ErrorMsgs!$D75))</f>
        <v>0</v>
      </c>
      <c r="N75" s="714" t="b">
        <f ca="1">IF(E75="",FALSE,IF($E75&gt;$E76,ErrorMsgs!E75))</f>
        <v>0</v>
      </c>
      <c r="O75" s="712"/>
      <c r="P75" s="712"/>
      <c r="Q75" s="712"/>
      <c r="R75" s="712"/>
      <c r="S75" s="712"/>
      <c r="T75" s="712"/>
      <c r="U75" s="526" t="str">
        <f t="shared" ca="1" si="17"/>
        <v/>
      </c>
      <c r="V75" s="93" t="str" cm="1">
        <f t="array" aca="1" ref="V75" ca="1">CELL("format",INDIRECT(I75))</f>
        <v>D1</v>
      </c>
      <c r="W75" s="93" t="b">
        <f t="shared" ca="1" si="18"/>
        <v>0</v>
      </c>
      <c r="X75" s="715" t="str">
        <f t="shared" ca="1" si="16"/>
        <v/>
      </c>
      <c r="Y75" t="b">
        <f t="shared" ca="1" si="19"/>
        <v>1</v>
      </c>
    </row>
    <row r="76" spans="1:25" ht="46.5">
      <c r="A76" s="705" t="s">
        <v>3082</v>
      </c>
      <c r="B76" s="706" t="str">
        <f t="shared" ca="1" si="20"/>
        <v>Summary of recovery plan - C7</v>
      </c>
      <c r="C76" s="707" t="str" cm="1">
        <f t="array" aca="1" ref="C76" ca="1">INDIRECT(LEFT(I76, FIND("!", I76)) &amp; RefData!$C$426 &amp; RIGHT(I76, LEN(I76) - FIND("!", I76) - 1))</f>
        <v xml:space="preserve">
Recovery plan end date
</v>
      </c>
      <c r="D76" s="92" t="str">
        <f t="shared" ca="1" si="15"/>
        <v/>
      </c>
      <c r="E76" s="708" t="str" cm="1">
        <f t="array" aca="1" ref="E76" ca="1">IF(INDIRECT($I76)= "", "", INDIRECT($I76))</f>
        <v/>
      </c>
      <c r="F76" s="709" t="str" cm="1">
        <f t="array" aca="1" ref="F76" ca="1">INDIRECT(LEFT(I76, FIND("!", I76)) &amp; RefData!$C$427 &amp; RIGHT(I76, LEN(I76) - FIND("!", I76) - 1))</f>
        <v>SRP 2.0</v>
      </c>
      <c r="G76" s="710" t="b">
        <f ca="1">IF(ISNUMBER(SEARCH(RefData!$B$2, $C76)), FALSE, TRUE)</f>
        <v>1</v>
      </c>
      <c r="H76" s="391">
        <f>'Summary of recovery plan'!C7</f>
        <v>0</v>
      </c>
      <c r="I76" s="712" t="str">
        <f t="shared" ca="1" si="21"/>
        <v>'Summary of recovery plan'!C7</v>
      </c>
      <c r="J76" s="713" t="b" cm="1">
        <f t="array" aca="1" ref="J76" ca="1">IF(COUNTIF($K76:$T76, "&lt;&gt;FALSE") - COUNTBLANK($K76:$T76) &gt; 0, INDEX($K76:$T76, MATCH(TRUE, $K76:$T76 &lt;&gt; FALSE, 0)))</f>
        <v>0</v>
      </c>
      <c r="K76" s="712" t="b">
        <f ca="1">IF(AND('Start here'!$C$25=RefData!$B$15,'Reconciliation report'!$E76&lt;&gt;""),ErrorMsgs!$B76)</f>
        <v>0</v>
      </c>
      <c r="L76" s="712" t="b">
        <f ca="1">IF(AND('Start here'!$C$25=RefData!$B$16,'Reconciliation report'!$E76=""),ErrorMsgs!$C76)</f>
        <v>0</v>
      </c>
      <c r="M76" s="714" t="b">
        <f ca="1">IF($E76="",FALSE,IF(NOT(ISNUMBER($E76)),ErrorMsgs!$D76))</f>
        <v>0</v>
      </c>
      <c r="N76" s="714" t="b">
        <f ca="1">IF(E76&lt;'Start here'!$C$21,ErrorMsgs!$E76)</f>
        <v>0</v>
      </c>
      <c r="O76" s="712" t="b">
        <f ca="1">IF(E76="",FALSE,IF($E76&lt;$E75,ErrorMsgs!F76))</f>
        <v>0</v>
      </c>
      <c r="P76" s="712" t="b">
        <f ca="1">IF(E76="",FALSE,IF($E75+(365.25*25)&lt;E76,ErrorMsgs!G76))</f>
        <v>0</v>
      </c>
      <c r="Q76" s="712"/>
      <c r="R76" s="712"/>
      <c r="S76" s="712"/>
      <c r="T76" s="712"/>
      <c r="U76" s="526" t="str">
        <f t="shared" ca="1" si="17"/>
        <v/>
      </c>
      <c r="V76" s="93" t="str" cm="1">
        <f t="array" aca="1" ref="V76" ca="1">CELL("format",INDIRECT(I76))</f>
        <v>D1</v>
      </c>
      <c r="W76" s="93" t="b">
        <f t="shared" ca="1" si="18"/>
        <v>0</v>
      </c>
      <c r="X76" s="715" t="str">
        <f t="shared" ca="1" si="16"/>
        <v/>
      </c>
      <c r="Y76" t="b">
        <f t="shared" ca="1" si="19"/>
        <v>1</v>
      </c>
    </row>
    <row r="77" spans="1:25" ht="46.5">
      <c r="A77" s="705" t="s">
        <v>3083</v>
      </c>
      <c r="B77" s="706" t="str">
        <f t="shared" ca="1" si="20"/>
        <v>Summary of recovery plan - C8</v>
      </c>
      <c r="C77" s="707" t="str" cm="1">
        <f t="array" aca="1" ref="C77" ca="1">INDIRECT(LEFT(I77, FIND("!", I77)) &amp; RefData!$C$426 &amp; RIGHT(I77, LEN(I77) - FIND("!", I77) - 1))</f>
        <v xml:space="preserve">
What is the technical provision deficit at the valuation date? (£)
</v>
      </c>
      <c r="D77" s="92" t="str">
        <f t="shared" ca="1" si="15"/>
        <v/>
      </c>
      <c r="E77" s="708" t="str" cm="1">
        <f t="array" aca="1" ref="E77" ca="1">IF(INDIRECT($I77)= "", "", INDIRECT($I77))</f>
        <v/>
      </c>
      <c r="F77" s="709" t="str" cm="1">
        <f t="array" aca="1" ref="F77" ca="1">INDIRECT(LEFT(I77, FIND("!", I77)) &amp; RefData!$C$427 &amp; RIGHT(I77, LEN(I77) - FIND("!", I77) - 1))</f>
        <v>SRP 3.0</v>
      </c>
      <c r="G77" s="710" t="b">
        <f ca="1">IF(ISNUMBER(SEARCH(RefData!$B$2, $C77)), FALSE, TRUE)</f>
        <v>1</v>
      </c>
      <c r="H77" s="95">
        <f>'Summary of recovery plan'!C8</f>
        <v>0</v>
      </c>
      <c r="I77" s="712" t="str">
        <f t="shared" ca="1" si="21"/>
        <v>'Summary of recovery plan'!C8</v>
      </c>
      <c r="J77" s="713" t="b" cm="1">
        <f t="array" aca="1" ref="J77" ca="1">IF(COUNTIF($K77:$T77, "&lt;&gt;FALSE") - COUNTBLANK($K77:$T77) &gt; 0, INDEX($K77:$T77, MATCH(TRUE, $K77:$T77 &lt;&gt; FALSE, 0)))</f>
        <v>0</v>
      </c>
      <c r="K77" s="712" t="b">
        <f ca="1">IF(AND('Start here'!$C$25=RefData!$B$15,'Reconciliation report'!$E77&lt;&gt;""),ErrorMsgs!$B77)</f>
        <v>0</v>
      </c>
      <c r="L77" s="712" t="b">
        <f ca="1">IF(AND('Start here'!$C$25=RefData!$B$16,'Reconciliation report'!$E77=""),ErrorMsgs!$C77)</f>
        <v>0</v>
      </c>
      <c r="M77" s="714" t="b">
        <f ca="1">IF($E77="",FALSE,IF($E77-ROUND($E77,2)&lt;&gt;0,ErrorMsgs!$D77))</f>
        <v>0</v>
      </c>
      <c r="N77" s="714" t="b">
        <f ca="1">IF($E77="",FALSE,IF($E77&lt;0,ErrorMsgs!$E77))</f>
        <v>0</v>
      </c>
      <c r="O77" s="712" t="b">
        <f ca="1">IF($E77="",FALSE,IF($E77&gt;=1000000000000,ErrorMsgs!$F77))</f>
        <v>0</v>
      </c>
      <c r="P77" s="712"/>
      <c r="Q77" s="712"/>
      <c r="R77" s="712"/>
      <c r="S77" s="712"/>
      <c r="T77" s="712"/>
      <c r="U77" s="526" t="str">
        <f t="shared" ca="1" si="17"/>
        <v/>
      </c>
      <c r="V77" s="93" t="str" cm="1">
        <f t="array" aca="1" ref="V77" ca="1">CELL("format",INDIRECT(I77))</f>
        <v>C2</v>
      </c>
      <c r="W77" s="93" t="b">
        <f t="shared" ca="1" si="18"/>
        <v>0</v>
      </c>
      <c r="X77" s="715" t="str">
        <f t="shared" ca="1" si="16"/>
        <v/>
      </c>
      <c r="Y77" t="b">
        <f t="shared" ca="1" si="19"/>
        <v>1</v>
      </c>
    </row>
    <row r="78" spans="1:25" ht="77.5">
      <c r="A78" s="705" t="s">
        <v>3084</v>
      </c>
      <c r="B78" s="706" t="str">
        <f t="shared" ca="1" si="20"/>
        <v>Summary of recovery plan - C9</v>
      </c>
      <c r="C78" s="707" t="str" cm="1">
        <f t="array" aca="1" ref="C78" ca="1">INDIRECT(LEFT(I78, FIND("!", I78)) &amp; RefData!$C$426 &amp; RIGHT(I78, LEN(I78) - FIND("!", I78) - 1))</f>
        <v xml:space="preserve">
Is the assumed expected return on assets for the purposes of the recovery plan expressed as a nominal value or as a margin over gilts?
</v>
      </c>
      <c r="D78" s="92" t="str">
        <f t="shared" ca="1" si="15"/>
        <v/>
      </c>
      <c r="E78" s="708" t="str" cm="1">
        <f t="array" aca="1" ref="E78" ca="1">IF(INDIRECT($I78)= "", "", INDIRECT($I78))</f>
        <v/>
      </c>
      <c r="F78" s="709" t="str" cm="1">
        <f t="array" aca="1" ref="F78" ca="1">INDIRECT(LEFT(I78, FIND("!", I78)) &amp; RefData!$C$427 &amp; RIGHT(I78, LEN(I78) - FIND("!", I78) - 1))</f>
        <v>SRP 4.0</v>
      </c>
      <c r="G78" s="710" t="b">
        <f ca="1">IF(ISNUMBER(SEARCH(RefData!$B$2, $C78)), FALSE, TRUE)</f>
        <v>1</v>
      </c>
      <c r="H78" s="95">
        <f>'Summary of recovery plan'!C9</f>
        <v>0</v>
      </c>
      <c r="I78" s="712" t="str">
        <f t="shared" ca="1" si="21"/>
        <v>'Summary of recovery plan'!C9</v>
      </c>
      <c r="J78" s="713" t="b" cm="1">
        <f t="array" aca="1" ref="J78" ca="1">IF(COUNTIF($K78:$T78, "&lt;&gt;FALSE") - COUNTBLANK($K78:$T78) &gt; 0, INDEX($K78:$T78, MATCH(TRUE, $K78:$T78 &lt;&gt; FALSE, 0)))</f>
        <v>0</v>
      </c>
      <c r="K78" s="712" t="b">
        <f ca="1">IF(AND('Start here'!$C$25=RefData!$B$15,'Reconciliation report'!$E78&lt;&gt;""),ErrorMsgs!$B78)</f>
        <v>0</v>
      </c>
      <c r="L78" s="712" t="b">
        <f ca="1">IF(AND('Start here'!$C$25=RefData!$B$16,'Start here'!$C$26=RefData!$B$9,'Reconciliation report'!E78&lt;&gt;""),ErrorMsgs!$C78)</f>
        <v>0</v>
      </c>
      <c r="M78" s="714" t="b">
        <f ca="1">IF(AND('Start here'!$C$25=RefData!$B$16,'Start here'!$C$26=RefData!$B$10,'Reconciliation report'!E78=""),ErrorMsgs!$D78)</f>
        <v>0</v>
      </c>
      <c r="N78" s="714" t="b">
        <f ca="1">IF(E78="",FALSE,IF(ISNA(MATCH($E78,RefData!$B$29:$B$30,0)),ErrorMsgs!E78))</f>
        <v>0</v>
      </c>
      <c r="O78" s="712"/>
      <c r="P78" s="712"/>
      <c r="Q78" s="712"/>
      <c r="R78" s="712"/>
      <c r="S78" s="712"/>
      <c r="T78" s="712"/>
      <c r="U78" s="526" t="str">
        <f t="shared" ca="1" si="17"/>
        <v/>
      </c>
      <c r="V78" s="93" t="str" cm="1">
        <f t="array" aca="1" ref="V78" ca="1">CELL("format",INDIRECT(I78))</f>
        <v>G</v>
      </c>
      <c r="W78" s="93" t="b">
        <f t="shared" ca="1" si="18"/>
        <v>0</v>
      </c>
      <c r="X78" s="715" t="str">
        <f t="shared" ca="1" si="16"/>
        <v/>
      </c>
      <c r="Y78" t="b">
        <f t="shared" ca="1" si="19"/>
        <v>1</v>
      </c>
    </row>
    <row r="79" spans="1:25" ht="62">
      <c r="A79" s="705" t="s">
        <v>3085</v>
      </c>
      <c r="B79" s="706" t="str">
        <f t="shared" ca="1" si="20"/>
        <v>Summary of recovery plan - C10</v>
      </c>
      <c r="C79" s="707" t="str" cm="1">
        <f t="array" aca="1" ref="C79" ca="1">INDIRECT(LEFT(I79, FIND("!", I79)) &amp; RefData!$C$426 &amp; RIGHT(I79, LEN(I79) - FIND("!", I79) - 1))</f>
        <v xml:space="preserve">
What is the assumed investment return over recovery plan expressed as a margin over gilts? (%)
</v>
      </c>
      <c r="D79" s="92" t="str">
        <f t="shared" ca="1" si="15"/>
        <v/>
      </c>
      <c r="E79" s="708" t="str" cm="1">
        <f t="array" aca="1" ref="E79" ca="1">IF(INDIRECT($I79)= "", "", INDIRECT($I79))</f>
        <v/>
      </c>
      <c r="F79" s="709" t="str" cm="1">
        <f t="array" aca="1" ref="F79" ca="1">INDIRECT(LEFT(I79, FIND("!", I79)) &amp; RefData!$C$427 &amp; RIGHT(I79, LEN(I79) - FIND("!", I79) - 1))</f>
        <v>SRP 5.0</v>
      </c>
      <c r="G79" s="710" t="b">
        <f ca="1">IF(ISNUMBER(SEARCH(RefData!$B$2, $C79)), FALSE, TRUE)</f>
        <v>1</v>
      </c>
      <c r="H79" s="107">
        <f>'Summary of recovery plan'!C10</f>
        <v>0</v>
      </c>
      <c r="I79" s="712" t="str">
        <f t="shared" ca="1" si="21"/>
        <v>'Summary of recovery plan'!C10</v>
      </c>
      <c r="J79" s="713" t="b" cm="1">
        <f t="array" aca="1" ref="J79" ca="1">IF(COUNTIF($K79:$T79, "&lt;&gt;FALSE") - COUNTBLANK($K79:$T79) &gt; 0, INDEX($K79:$T79, MATCH(TRUE, $K79:$T79 &lt;&gt; FALSE, 0)))</f>
        <v>0</v>
      </c>
      <c r="K79" s="712" t="b">
        <f ca="1">IF(AND($E79&lt;&gt;"", 'Start here'!$C$25=RefData!$B$15),ErrorMsgs!$B$79)</f>
        <v>0</v>
      </c>
      <c r="L79" s="712" t="b">
        <f ca="1">IF(AND($E79&lt;&gt;"", 'Start here'!$C$25=RefData!$B$16, 'Start here'!$C$26=RefData!$B$9),ErrorMsgs!$C$79)</f>
        <v>0</v>
      </c>
      <c r="M79" s="714" t="b">
        <v>0</v>
      </c>
      <c r="N79" s="714" t="b">
        <f ca="1">IF(AND($E79="", 'Start here'!$C$25=RefData!$B$16, 'Start here'!$C$26=RefData!$B$10, 'Summary of recovery plan'!$C$9=RefData!$B$30),ErrorMsgs!$E$79)</f>
        <v>0</v>
      </c>
      <c r="O79" s="712" t="b">
        <f ca="1">IF(E79="",FALSE,IF(NOT(AND($E79&gt;=0,$E79&lt;=1)),ErrorMsgs!$F$79))</f>
        <v>0</v>
      </c>
      <c r="P79" s="712"/>
      <c r="Q79" s="712"/>
      <c r="R79" s="712"/>
      <c r="S79" s="712"/>
      <c r="T79" s="712"/>
      <c r="U79" s="526" t="str">
        <f t="shared" ca="1" si="17"/>
        <v/>
      </c>
      <c r="V79" s="93" t="str" cm="1">
        <f t="array" aca="1" ref="V79" ca="1">CELL("format",INDIRECT(I79))</f>
        <v>P4</v>
      </c>
      <c r="W79" s="93" t="b">
        <f t="shared" ca="1" si="18"/>
        <v>0</v>
      </c>
      <c r="X79" s="715" t="str">
        <f t="shared" ca="1" si="16"/>
        <v/>
      </c>
      <c r="Y79" t="b">
        <f t="shared" ca="1" si="19"/>
        <v>1</v>
      </c>
    </row>
    <row r="80" spans="1:25" ht="62">
      <c r="A80" s="705" t="s">
        <v>3086</v>
      </c>
      <c r="B80" s="706" t="str">
        <f t="shared" ca="1" si="20"/>
        <v>Summary of recovery plan - C11</v>
      </c>
      <c r="C80" s="707" t="str" cm="1">
        <f t="array" aca="1" ref="C80" ca="1">INDIRECT(LEFT(I80, FIND("!", I80)) &amp; RefData!$C$426 &amp; RIGHT(I80, LEN(I80) - FIND("!", I80) - 1))</f>
        <v xml:space="preserve">
What is the assumed investment return over recovery plan expressed as a nominal value? (%)
</v>
      </c>
      <c r="D80" s="92" t="str">
        <f t="shared" ca="1" si="15"/>
        <v/>
      </c>
      <c r="E80" s="708" t="str" cm="1">
        <f t="array" aca="1" ref="E80" ca="1">IF(INDIRECT($I80)= "", "", INDIRECT($I80))</f>
        <v/>
      </c>
      <c r="F80" s="709" t="str" cm="1">
        <f t="array" aca="1" ref="F80" ca="1">INDIRECT(LEFT(I80, FIND("!", I80)) &amp; RefData!$C$427 &amp; RIGHT(I80, LEN(I80) - FIND("!", I80) - 1))</f>
        <v>SRP 6.0</v>
      </c>
      <c r="G80" s="710" t="b">
        <f ca="1">IF(ISNUMBER(SEARCH(RefData!$B$2, $C80)), FALSE, TRUE)</f>
        <v>1</v>
      </c>
      <c r="H80" s="107">
        <f>'Summary of recovery plan'!C11</f>
        <v>0</v>
      </c>
      <c r="I80" s="712" t="str">
        <f t="shared" ca="1" si="21"/>
        <v>'Summary of recovery plan'!C11</v>
      </c>
      <c r="J80" s="713" t="b" cm="1">
        <f t="array" aca="1" ref="J80" ca="1">IF(COUNTIF($K80:$T80, "&lt;&gt;FALSE") - COUNTBLANK($K80:$T80) &gt; 0, INDEX($K80:$T80, MATCH(TRUE, $K80:$T80 &lt;&gt; FALSE, 0)))</f>
        <v>0</v>
      </c>
      <c r="K80" s="712" t="b">
        <f ca="1">IF(AND( 'Start here'!$C$25=RefData!$B$15,$E80&lt;&gt;""),ErrorMsgs!$B80)</f>
        <v>0</v>
      </c>
      <c r="L80" s="712" t="b">
        <f ca="1">IF(AND('Start here'!$C$25=RefData!$B$16, 'Start here'!$C$26=RefData!$B$9,$E80&lt;&gt;""),ErrorMsgs!$C80)</f>
        <v>0</v>
      </c>
      <c r="M80" s="714" t="b">
        <v>0</v>
      </c>
      <c r="N80" s="714" t="b">
        <f ca="1">IF(AND('Start here'!$C$25=RefData!$B$16, 'Start here'!$C$26=RefData!$B$10, 'Summary of recovery plan'!$C$9=RefData!$B$29,$E80=""),ErrorMsgs!$E80)</f>
        <v>0</v>
      </c>
      <c r="O80" s="712" t="b">
        <f ca="1">IF(E80="",FALSE,IF(NOT(AND($E80&gt;=0,$E80&lt;=1)),ErrorMsgs!$F80))</f>
        <v>0</v>
      </c>
      <c r="P80" s="712"/>
      <c r="Q80" s="712"/>
      <c r="R80" s="712"/>
      <c r="S80" s="712"/>
      <c r="T80" s="712"/>
      <c r="U80" s="526" t="str">
        <f t="shared" ca="1" si="17"/>
        <v/>
      </c>
      <c r="V80" s="93" t="str" cm="1">
        <f t="array" aca="1" ref="V80" ca="1">CELL("format",INDIRECT(I80))</f>
        <v>P4</v>
      </c>
      <c r="W80" s="93" t="b">
        <f t="shared" ca="1" si="18"/>
        <v>0</v>
      </c>
      <c r="X80" s="715" t="str">
        <f t="shared" ca="1" si="16"/>
        <v/>
      </c>
      <c r="Y80" t="b">
        <f t="shared" ca="1" si="19"/>
        <v>1</v>
      </c>
    </row>
    <row r="81" spans="1:25" ht="46.5">
      <c r="A81" s="705" t="s">
        <v>3087</v>
      </c>
      <c r="B81" s="706" t="str">
        <f t="shared" ca="1" si="20"/>
        <v>Summary of recovery plan - C12</v>
      </c>
      <c r="C81" s="707" t="str" cm="1">
        <f t="array" aca="1" ref="C81" ca="1">INDIRECT(LEFT(I81, FIND("!", I81)) &amp; RefData!$C$426 &amp; RIGHT(I81, LEN(I81) - FIND("!", I81) - 1))</f>
        <v xml:space="preserve">
Has any allowance been made for post-valuation experience?
</v>
      </c>
      <c r="D81" s="92" t="str">
        <f t="shared" ca="1" si="15"/>
        <v/>
      </c>
      <c r="E81" s="708" t="str" cm="1">
        <f t="array" aca="1" ref="E81" ca="1">IF(INDIRECT($I81)= "", "", INDIRECT($I81))</f>
        <v/>
      </c>
      <c r="F81" s="709" t="str" cm="1">
        <f t="array" aca="1" ref="F81" ca="1">INDIRECT(LEFT(I81, FIND("!", I81)) &amp; RefData!$C$427 &amp; RIGHT(I81, LEN(I81) - FIND("!", I81) - 1))</f>
        <v>SRP 7.0</v>
      </c>
      <c r="G81" s="710" t="b">
        <f ca="1">IF(ISNUMBER(SEARCH(RefData!$B$2, $C81)), FALSE, TRUE)</f>
        <v>1</v>
      </c>
      <c r="H81" s="95">
        <f>'Summary of recovery plan'!C12</f>
        <v>0</v>
      </c>
      <c r="I81" s="712" t="str">
        <f t="shared" ca="1" si="21"/>
        <v>'Summary of recovery plan'!C12</v>
      </c>
      <c r="J81" s="713" t="b" cm="1">
        <f t="array" aca="1" ref="J81" ca="1">IF(COUNTIF($K81:$T81, "&lt;&gt;FALSE") - COUNTBLANK($K81:$T81) &gt; 0, INDEX($K81:$T81, MATCH(TRUE, $K81:$T81 &lt;&gt; FALSE, 0)))</f>
        <v>0</v>
      </c>
      <c r="K81" s="712" t="b">
        <f ca="1">IF(AND($E81&lt;&gt;"", 'Start here'!$C$25=RefData!$B$15),ErrorMsgs!$B81)</f>
        <v>0</v>
      </c>
      <c r="L81" s="712" t="b">
        <f ca="1">IF(AND($E81="", 'Start here'!$C$25=RefData!$B$16),ErrorMsgs!$C81)</f>
        <v>0</v>
      </c>
      <c r="M81" s="714" t="b">
        <f ca="1">IF(E81="",FALSE,IF(ISNA(MATCH($E81,RefData!$B$31:$B$32,0)),ErrorMsgs!D81))</f>
        <v>0</v>
      </c>
      <c r="N81" s="714"/>
      <c r="O81" s="712"/>
      <c r="P81" s="712"/>
      <c r="Q81" s="712"/>
      <c r="R81" s="712"/>
      <c r="S81" s="712"/>
      <c r="T81" s="712"/>
      <c r="U81" s="526" t="str">
        <f t="shared" ca="1" si="17"/>
        <v/>
      </c>
      <c r="V81" s="93" t="str" cm="1">
        <f t="array" aca="1" ref="V81" ca="1">CELL("format",INDIRECT(I81))</f>
        <v>G</v>
      </c>
      <c r="W81" s="93" t="b">
        <f t="shared" ca="1" si="18"/>
        <v>0</v>
      </c>
      <c r="X81" s="715" t="str">
        <f t="shared" ca="1" si="16"/>
        <v/>
      </c>
      <c r="Y81" t="b">
        <f t="shared" ca="1" si="19"/>
        <v>1</v>
      </c>
    </row>
    <row r="82" spans="1:25" ht="62">
      <c r="A82" s="705" t="s">
        <v>3088</v>
      </c>
      <c r="B82" s="706" t="str">
        <f t="shared" ca="1" si="20"/>
        <v>Summary of recovery plan - C13</v>
      </c>
      <c r="C82" s="707" t="str" cm="1">
        <f t="array" aca="1" ref="C82" ca="1">INDIRECT(LEFT(I82, FIND("!", I82)) &amp; RefData!$C$426 &amp; RIGHT(I82, LEN(I82) - FIND("!", I82) - 1))</f>
        <v xml:space="preserve">
What is the estimated technical provisions deficit used for recovery plan purposes? (£)
</v>
      </c>
      <c r="D82" s="92" t="str">
        <f t="shared" ca="1" si="15"/>
        <v/>
      </c>
      <c r="E82" s="708" t="str" cm="1">
        <f t="array" aca="1" ref="E82" ca="1">IF(INDIRECT($I82)= "", "", INDIRECT($I82))</f>
        <v/>
      </c>
      <c r="F82" s="709" t="str" cm="1">
        <f t="array" aca="1" ref="F82" ca="1">INDIRECT(LEFT(I82, FIND("!", I82)) &amp; RefData!$C$427 &amp; RIGHT(I82, LEN(I82) - FIND("!", I82) - 1))</f>
        <v>SRP 8.0</v>
      </c>
      <c r="G82" s="710" t="b">
        <f ca="1">IF(ISNUMBER(SEARCH(RefData!$B$2, $C82)), FALSE, TRUE)</f>
        <v>1</v>
      </c>
      <c r="H82" s="96">
        <f>'Summary of recovery plan'!C13</f>
        <v>0</v>
      </c>
      <c r="I82" s="712" t="str">
        <f t="shared" ca="1" si="21"/>
        <v>'Summary of recovery plan'!C13</v>
      </c>
      <c r="J82" s="713" t="b" cm="1">
        <f t="array" aca="1" ref="J82" ca="1">IF(COUNTIF($K82:$T82, "&lt;&gt;FALSE") - COUNTBLANK($K82:$T82) &gt; 0, INDEX($K82:$T82, MATCH(TRUE, $K82:$T82 &lt;&gt; FALSE, 0)))</f>
        <v>0</v>
      </c>
      <c r="K82" s="712" t="b">
        <f ca="1">IF(AND($E82&lt;&gt;"", 'Start here'!$C$25=RefData!$B$15),ErrorMsgs!$B82)</f>
        <v>0</v>
      </c>
      <c r="L82" s="712" t="b">
        <f ca="1">IF(AND($E82&lt;&gt;"", 'Start here'!$C$25=RefData!$B$16,$E$81=RefData!$B$32),ErrorMsgs!$C82)</f>
        <v>0</v>
      </c>
      <c r="M82" s="714" t="b">
        <f ca="1">IF(AND($E82="", 'Start here'!$C$25=RefData!$B$16,$E$81=RefData!$B$31),ErrorMsgs!$D82)</f>
        <v>0</v>
      </c>
      <c r="N82" s="714" t="b">
        <f ca="1">IF($E82="",FALSE,IF($E82-ROUND($E82,2)&lt;&gt;0,ErrorMsgs!$E82))</f>
        <v>0</v>
      </c>
      <c r="O82" s="712" t="b">
        <f ca="1">IF($E82="",FALSE,IF($E82&lt;=-1000000000000,ErrorMsgs!$F82))</f>
        <v>0</v>
      </c>
      <c r="P82" s="712" t="b">
        <f ca="1">IF($E82="",FALSE,IF($E82&gt;=1000000000000,ErrorMsgs!$G82))</f>
        <v>0</v>
      </c>
      <c r="Q82" s="712"/>
      <c r="R82" s="712"/>
      <c r="S82" s="712"/>
      <c r="T82" s="712"/>
      <c r="U82" s="526" t="str">
        <f t="shared" ca="1" si="17"/>
        <v/>
      </c>
      <c r="V82" s="93" t="str" cm="1">
        <f t="array" aca="1" ref="V82" ca="1">CELL("format",INDIRECT(I82))</f>
        <v>C2</v>
      </c>
      <c r="W82" s="93" t="b">
        <f t="shared" ca="1" si="18"/>
        <v>0</v>
      </c>
      <c r="X82" s="715" t="str">
        <f t="shared" ca="1" si="16"/>
        <v/>
      </c>
      <c r="Y82" t="b">
        <f t="shared" ca="1" si="19"/>
        <v>1</v>
      </c>
    </row>
    <row r="83" spans="1:25" ht="46.5">
      <c r="A83" s="705" t="s">
        <v>3089</v>
      </c>
      <c r="B83" s="706" t="str">
        <f t="shared" ca="1" si="20"/>
        <v>Deficit repair contributions - C7</v>
      </c>
      <c r="C83" s="707" t="str" cm="1">
        <f t="array" aca="1" ref="C83" ca="1">INDIRECT(LEFT(I83, FIND("!", I83)) &amp; RefData!$C$426 &amp; RIGHT(I83, LEN(I83) - FIND("!", I83) - 1))</f>
        <v xml:space="preserve">
Year 1
</v>
      </c>
      <c r="D83" s="92" t="str">
        <f t="shared" ca="1" si="15"/>
        <v/>
      </c>
      <c r="E83" s="708" t="str" cm="1">
        <f t="array" aca="1" ref="E83" ca="1">IF(INDIRECT($I83)= "", "", INDIRECT($I83))</f>
        <v/>
      </c>
      <c r="F83" s="709" t="str" cm="1">
        <f t="array" aca="1" ref="F83" ca="1">INDIRECT(LEFT(I83, FIND("!", I83)) &amp; RefData!$C$427 &amp; RIGHT(I83, LEN(I83) - FIND("!", I83) - 1))</f>
        <v>DRC 1.0</v>
      </c>
      <c r="G83" s="710" t="b">
        <f ca="1">IF(ISNUMBER(SEARCH(RefData!$B$2, $C83)), FALSE, TRUE)</f>
        <v>1</v>
      </c>
      <c r="H83" s="96">
        <f>'Deficit repair contributions'!C7</f>
        <v>0</v>
      </c>
      <c r="I83" s="712" t="str">
        <f t="shared" ca="1" si="21"/>
        <v>'Deficit repair contributions'!C7</v>
      </c>
      <c r="J83" s="713" t="b" cm="1">
        <f t="array" aca="1" ref="J83" ca="1">IF(COUNTIF($K83:$T83, "&lt;&gt;FALSE") - COUNTBLANK($K83:$T83) &gt; 0, INDEX($K83:$T83, MATCH(TRUE, $K83:$T83 &lt;&gt; FALSE, 0)))</f>
        <v>0</v>
      </c>
      <c r="K83" s="712" t="b">
        <f ca="1">IF(AND('Start here'!$C$25=RefData!$B$15,'Reconciliation report'!$E83&lt;&gt;""),ErrorMsgs!$B83)</f>
        <v>0</v>
      </c>
      <c r="L83" s="712" t="b">
        <f ca="1">IF(AND('Start here'!$C$25=RefData!$B$16,'Reconciliation report'!$E83=""),ErrorMsgs!$C83)</f>
        <v>0</v>
      </c>
      <c r="M83" s="714" t="b">
        <f ca="1">IF(E83="",FALSE,IF(NOT(ISNUMBER($E83)),ErrorMsgs!$D83,IF(E83-ROUND(E83,2)&lt;&gt;0,ErrorMsgs!$D83)))</f>
        <v>0</v>
      </c>
      <c r="N83" s="714" t="b">
        <f ca="1">IF($E83="",FALSE,IF($E83&lt;0,ErrorMsgs!$D83))</f>
        <v>0</v>
      </c>
      <c r="O83" s="712" t="b">
        <f ca="1">IF($E83="",FALSE,IF($E83&gt;=1000000000000,ErrorMsgs!$D83))</f>
        <v>0</v>
      </c>
      <c r="P83" s="712"/>
      <c r="Q83" s="712"/>
      <c r="R83" s="712"/>
      <c r="S83" s="712"/>
      <c r="T83" s="712"/>
      <c r="U83" s="526" t="str">
        <f t="shared" ca="1" si="17"/>
        <v/>
      </c>
      <c r="V83" s="93" t="str" cm="1">
        <f t="array" aca="1" ref="V83" ca="1">CELL("format",INDIRECT(I83))</f>
        <v>C2</v>
      </c>
      <c r="W83" s="93" t="b">
        <f t="shared" ca="1" si="18"/>
        <v>0</v>
      </c>
      <c r="X83" s="715" t="str">
        <f t="shared" ca="1" si="16"/>
        <v/>
      </c>
      <c r="Y83" t="b">
        <f t="shared" ca="1" si="19"/>
        <v>1</v>
      </c>
    </row>
    <row r="84" spans="1:25" ht="46.5">
      <c r="A84" s="705" t="s">
        <v>3090</v>
      </c>
      <c r="B84" s="706" t="str">
        <f t="shared" ca="1" si="20"/>
        <v>Deficit repair contributions - C8</v>
      </c>
      <c r="C84" s="707" t="str" cm="1">
        <f t="array" aca="1" ref="C84" ca="1">INDIRECT(LEFT(I84, FIND("!", I84)) &amp; RefData!$C$426 &amp; RIGHT(I84, LEN(I84) - FIND("!", I84) - 1))</f>
        <v xml:space="preserve">
Year 2
</v>
      </c>
      <c r="D84" s="92" t="str">
        <f t="shared" ca="1" si="15"/>
        <v/>
      </c>
      <c r="E84" s="708" t="str" cm="1">
        <f t="array" aca="1" ref="E84" ca="1">IF(INDIRECT($I84)= "", "", INDIRECT($I84))</f>
        <v/>
      </c>
      <c r="F84" s="709" t="str" cm="1">
        <f t="array" aca="1" ref="F84" ca="1">INDIRECT(LEFT(I84, FIND("!", I84)) &amp; RefData!$C$427 &amp; RIGHT(I84, LEN(I84) - FIND("!", I84) - 1))</f>
        <v>DRC 2.0</v>
      </c>
      <c r="G84" s="710" t="b">
        <f ca="1">IF(ISNUMBER(SEARCH(RefData!$B$2, $C84)), FALSE, TRUE)</f>
        <v>1</v>
      </c>
      <c r="H84" s="96">
        <f>'Deficit repair contributions'!C8</f>
        <v>0</v>
      </c>
      <c r="I84" s="712" t="str">
        <f t="shared" ca="1" si="21"/>
        <v>'Deficit repair contributions'!C8</v>
      </c>
      <c r="J84" s="713" t="b" cm="1">
        <f t="array" aca="1" ref="J84" ca="1">IF(COUNTIF($K84:$T84, "&lt;&gt;FALSE") - COUNTBLANK($K84:$T84) &gt; 0, INDEX($K84:$T84, MATCH(TRUE, $K84:$T84 &lt;&gt; FALSE, 0)))</f>
        <v>0</v>
      </c>
      <c r="K84" s="712" t="b">
        <f ca="1">IF(AND('Start here'!$C$25=RefData!$B$15,'Reconciliation report'!$E84&lt;&gt;""),ErrorMsgs!$B84)</f>
        <v>0</v>
      </c>
      <c r="L84" s="712" t="b">
        <f ca="1">IF(AND('Start here'!$C$25=RefData!$B$16,'Reconciliation report'!$E84=""),ErrorMsgs!$C84)</f>
        <v>0</v>
      </c>
      <c r="M84" s="714" t="b">
        <f ca="1">IF(E84="",FALSE,IF(NOT(ISNUMBER($E84)),ErrorMsgs!$D84,IF(E84-ROUND(E84,2)&lt;&gt;0,ErrorMsgs!$D84)))</f>
        <v>0</v>
      </c>
      <c r="N84" s="714" t="b">
        <f ca="1">IF($E84="",FALSE,IF($E84&lt;0,ErrorMsgs!$D84))</f>
        <v>0</v>
      </c>
      <c r="O84" s="712" t="b">
        <f ca="1">IF($E84="",FALSE,IF($E84&gt;=1000000000000,ErrorMsgs!$D84))</f>
        <v>0</v>
      </c>
      <c r="P84" s="712"/>
      <c r="Q84" s="712"/>
      <c r="R84" s="712"/>
      <c r="S84" s="712"/>
      <c r="T84" s="712"/>
      <c r="U84" s="526" t="str">
        <f t="shared" ca="1" si="17"/>
        <v/>
      </c>
      <c r="V84" s="93" t="str" cm="1">
        <f t="array" aca="1" ref="V84" ca="1">CELL("format",INDIRECT(I84))</f>
        <v>C2</v>
      </c>
      <c r="W84" s="93" t="b">
        <f t="shared" ca="1" si="18"/>
        <v>0</v>
      </c>
      <c r="X84" s="715" t="str">
        <f t="shared" ca="1" si="16"/>
        <v/>
      </c>
      <c r="Y84" t="b">
        <f t="shared" ca="1" si="19"/>
        <v>1</v>
      </c>
    </row>
    <row r="85" spans="1:25" ht="46.5">
      <c r="A85" s="705" t="s">
        <v>3091</v>
      </c>
      <c r="B85" s="706" t="str">
        <f t="shared" ca="1" si="20"/>
        <v>Deficit repair contributions - C9</v>
      </c>
      <c r="C85" s="707" t="str" cm="1">
        <f t="array" aca="1" ref="C85" ca="1">INDIRECT(LEFT(I85, FIND("!", I85)) &amp; RefData!$C$426 &amp; RIGHT(I85, LEN(I85) - FIND("!", I85) - 1))</f>
        <v xml:space="preserve">
Year 3
</v>
      </c>
      <c r="D85" s="92" t="str">
        <f t="shared" ca="1" si="15"/>
        <v/>
      </c>
      <c r="E85" s="708" t="str" cm="1">
        <f t="array" aca="1" ref="E85" ca="1">IF(INDIRECT($I85)= "", "", INDIRECT($I85))</f>
        <v/>
      </c>
      <c r="F85" s="709" t="str" cm="1">
        <f t="array" aca="1" ref="F85" ca="1">INDIRECT(LEFT(I85, FIND("!", I85)) &amp; RefData!$C$427 &amp; RIGHT(I85, LEN(I85) - FIND("!", I85) - 1))</f>
        <v>DRC 3.0</v>
      </c>
      <c r="G85" s="710" t="b">
        <f ca="1">IF(ISNUMBER(SEARCH(RefData!$B$2, $C85)), FALSE, TRUE)</f>
        <v>1</v>
      </c>
      <c r="H85" s="96">
        <f>'Deficit repair contributions'!C9</f>
        <v>0</v>
      </c>
      <c r="I85" s="712" t="str">
        <f t="shared" ca="1" si="21"/>
        <v>'Deficit repair contributions'!C9</v>
      </c>
      <c r="J85" s="713" t="b" cm="1">
        <f t="array" aca="1" ref="J85" ca="1">IF(COUNTIF($K85:$T85, "&lt;&gt;FALSE") - COUNTBLANK($K85:$T85) &gt; 0, INDEX($K85:$T85, MATCH(TRUE, $K85:$T85 &lt;&gt; FALSE, 0)))</f>
        <v>0</v>
      </c>
      <c r="K85" s="712" t="b">
        <f ca="1">IF(AND('Start here'!$C$25=RefData!$B$15,'Reconciliation report'!$E85&lt;&gt;""),ErrorMsgs!$B85)</f>
        <v>0</v>
      </c>
      <c r="L85" s="712" t="b">
        <f ca="1">IF(AND('Start here'!$C$25=RefData!$B$16,'Reconciliation report'!$E85=""),ErrorMsgs!$C85)</f>
        <v>0</v>
      </c>
      <c r="M85" s="714" t="b">
        <f ca="1">IF($E85="",FALSE,IF(NOT(ISNUMBER($E85)),ErrorMsgs!$D85,IF($E85-ROUND($E85,2)&lt;&gt;0,ErrorMsgs!$D85)))</f>
        <v>0</v>
      </c>
      <c r="N85" s="714" t="b">
        <f ca="1">IF($E85="",FALSE,IF($E85&lt;0,ErrorMsgs!$D85))</f>
        <v>0</v>
      </c>
      <c r="O85" s="712" t="b">
        <f ca="1">IF($E85="",FALSE,IF($E85&gt;=1000000000000,ErrorMsgs!$D85))</f>
        <v>0</v>
      </c>
      <c r="P85" s="712"/>
      <c r="Q85" s="712"/>
      <c r="R85" s="712"/>
      <c r="S85" s="712"/>
      <c r="T85" s="712"/>
      <c r="U85" s="526" t="str">
        <f t="shared" ca="1" si="17"/>
        <v/>
      </c>
      <c r="V85" s="93" t="str" cm="1">
        <f t="array" aca="1" ref="V85" ca="1">CELL("format",INDIRECT(I85))</f>
        <v>C2</v>
      </c>
      <c r="W85" s="93" t="b">
        <f t="shared" ca="1" si="18"/>
        <v>0</v>
      </c>
      <c r="X85" s="715" t="str">
        <f t="shared" ca="1" si="16"/>
        <v/>
      </c>
      <c r="Y85" t="b">
        <f t="shared" ca="1" si="19"/>
        <v>1</v>
      </c>
    </row>
    <row r="86" spans="1:25" ht="46.5">
      <c r="A86" s="705" t="s">
        <v>3092</v>
      </c>
      <c r="B86" s="706" t="str">
        <f t="shared" ca="1" si="20"/>
        <v>Deficit repair contributions - C10</v>
      </c>
      <c r="C86" s="707" t="str" cm="1">
        <f t="array" aca="1" ref="C86" ca="1">INDIRECT(LEFT(I86, FIND("!", I86)) &amp; RefData!$C$426 &amp; RIGHT(I86, LEN(I86) - FIND("!", I86) - 1))</f>
        <v xml:space="preserve">
Year 4
</v>
      </c>
      <c r="D86" s="92" t="str">
        <f t="shared" ca="1" si="15"/>
        <v/>
      </c>
      <c r="E86" s="708" t="str" cm="1">
        <f t="array" aca="1" ref="E86" ca="1">IF(INDIRECT($I86)= "", "", INDIRECT($I86))</f>
        <v/>
      </c>
      <c r="F86" s="709" t="str" cm="1">
        <f t="array" aca="1" ref="F86" ca="1">INDIRECT(LEFT(I86, FIND("!", I86)) &amp; RefData!$C$427 &amp; RIGHT(I86, LEN(I86) - FIND("!", I86) - 1))</f>
        <v>DRC 4.0</v>
      </c>
      <c r="G86" s="710" t="b">
        <f ca="1">IF(ISNUMBER(SEARCH(RefData!$B$2, $C86)), FALSE, TRUE)</f>
        <v>1</v>
      </c>
      <c r="H86" s="96">
        <f>'Deficit repair contributions'!C10</f>
        <v>0</v>
      </c>
      <c r="I86" s="712" t="str">
        <f t="shared" ca="1" si="21"/>
        <v>'Deficit repair contributions'!C10</v>
      </c>
      <c r="J86" s="713" t="b" cm="1">
        <f t="array" aca="1" ref="J86" ca="1">IF(COUNTIF($K86:$T86, "&lt;&gt;FALSE") - COUNTBLANK($K86:$T86) &gt; 0, INDEX($K86:$T86, MATCH(TRUE, $K86:$T86 &lt;&gt; FALSE, 0)))</f>
        <v>0</v>
      </c>
      <c r="K86" s="712" t="b">
        <f ca="1">IF(AND('Start here'!$C$25=RefData!$B$15,'Reconciliation report'!$E86&lt;&gt;""),ErrorMsgs!$B86)</f>
        <v>0</v>
      </c>
      <c r="L86" s="712" t="b">
        <f ca="1">IF(AND('Start here'!$C$26=RefData!$B$9,'Start here'!$C$23=RefData!$B$17,'Start here'!$C$25=RefData!$B$16,'Reconciliation report'!E86&lt;&gt;""),ErrorMsgs!$C86)</f>
        <v>0</v>
      </c>
      <c r="M86" s="714" t="b">
        <f ca="1">IF(AND('Start here'!$C$26=RefData!$B$9,'Start here'!$C$23=RefData!$B$18,'Start here'!$C$25=RefData!$B$16,'Reconciliation report'!$E86=""),ErrorMsgs!$D86)</f>
        <v>0</v>
      </c>
      <c r="N86" s="714" t="b">
        <f ca="1">IF(AND('Start here'!$C$26=RefData!$B$10,'Start here'!$C$25=RefData!$B$16,'Reconciliation report'!$E86=""),ErrorMsgs!$E86)</f>
        <v>0</v>
      </c>
      <c r="O86" s="714" t="b">
        <f ca="1">IF($E86="",FALSE,IF(NOT(ISNUMBER($E86)),ErrorMsgs!$F86,IF($E86-ROUND($E86,2)&lt;&gt;0,ErrorMsgs!$F86)))</f>
        <v>0</v>
      </c>
      <c r="P86" s="712" t="b">
        <f ca="1">IF($E86="",FALSE,IF($E86&lt;0,ErrorMsgs!$F86))</f>
        <v>0</v>
      </c>
      <c r="Q86" s="712" t="b">
        <f ca="1">IF($E86="",FALSE,IF($E86&gt;=1000000000000,ErrorMsgs!$F86))</f>
        <v>0</v>
      </c>
      <c r="R86" s="712"/>
      <c r="S86" s="712"/>
      <c r="T86" s="712"/>
      <c r="U86" s="526" t="str">
        <f t="shared" ca="1" si="17"/>
        <v/>
      </c>
      <c r="V86" s="93" t="str" cm="1">
        <f t="array" aca="1" ref="V86" ca="1">CELL("format",INDIRECT(I86))</f>
        <v>C2</v>
      </c>
      <c r="W86" s="93" t="b">
        <f t="shared" ca="1" si="18"/>
        <v>0</v>
      </c>
      <c r="X86" s="715" t="str">
        <f t="shared" ca="1" si="16"/>
        <v/>
      </c>
      <c r="Y86" t="b">
        <f t="shared" ca="1" si="19"/>
        <v>1</v>
      </c>
    </row>
    <row r="87" spans="1:25" ht="46.5">
      <c r="A87" s="705" t="s">
        <v>3093</v>
      </c>
      <c r="B87" s="706" t="str">
        <f t="shared" ca="1" si="20"/>
        <v>Deficit repair contributions - C11</v>
      </c>
      <c r="C87" s="707" t="str" cm="1">
        <f t="array" aca="1" ref="C87" ca="1">INDIRECT(LEFT(I87, FIND("!", I87)) &amp; RefData!$C$426 &amp; RIGHT(I87, LEN(I87) - FIND("!", I87) - 1))</f>
        <v xml:space="preserve">
Year 5
</v>
      </c>
      <c r="D87" s="92" t="str">
        <f t="shared" ca="1" si="15"/>
        <v/>
      </c>
      <c r="E87" s="708" t="str" cm="1">
        <f t="array" aca="1" ref="E87" ca="1">IF(INDIRECT($I87)= "", "", INDIRECT($I87))</f>
        <v/>
      </c>
      <c r="F87" s="709" t="str" cm="1">
        <f t="array" aca="1" ref="F87" ca="1">INDIRECT(LEFT(I87, FIND("!", I87)) &amp; RefData!$C$427 &amp; RIGHT(I87, LEN(I87) - FIND("!", I87) - 1))</f>
        <v>DRC 5.0</v>
      </c>
      <c r="G87" s="710" t="b">
        <f ca="1">IF(ISNUMBER(SEARCH(RefData!$B$2, $C87)), FALSE, TRUE)</f>
        <v>1</v>
      </c>
      <c r="H87" s="96">
        <f>'Deficit repair contributions'!C11</f>
        <v>0</v>
      </c>
      <c r="I87" s="712" t="str">
        <f t="shared" ca="1" si="21"/>
        <v>'Deficit repair contributions'!C11</v>
      </c>
      <c r="J87" s="713" t="b" cm="1">
        <f t="array" aca="1" ref="J87" ca="1">IF(COUNTIF($K87:$T87, "&lt;&gt;FALSE") - COUNTBLANK($K87:$T87) &gt; 0, INDEX($K87:$T87, MATCH(TRUE, $K87:$T87 &lt;&gt; FALSE, 0)))</f>
        <v>0</v>
      </c>
      <c r="K87" s="712" t="b">
        <f ca="1">IF(AND('Start here'!$C$25=RefData!$B$15,'Reconciliation report'!$E87&lt;&gt;""),ErrorMsgs!$B87)</f>
        <v>0</v>
      </c>
      <c r="L87" s="712" t="b">
        <f ca="1">IF(AND('Start here'!$C$26=RefData!$B$9,'Start here'!$C$23=RefData!$B$17,'Start here'!$C$25=RefData!$B$16,'Reconciliation report'!E87&lt;&gt;""),ErrorMsgs!$C87)</f>
        <v>0</v>
      </c>
      <c r="M87" s="714" t="b">
        <f ca="1">IF(AND('Start here'!$C$26=RefData!$B$9,'Start here'!$C$23=RefData!$B$18,'Start here'!$C$25=RefData!$B$16,'Reconciliation report'!$E87=""),ErrorMsgs!$D87)</f>
        <v>0</v>
      </c>
      <c r="N87" s="714" t="b">
        <f ca="1">IF(AND('Start here'!$C$26=RefData!$B$10,'Start here'!$C$25=RefData!$B$16,'Reconciliation report'!$E87=""),ErrorMsgs!$E87)</f>
        <v>0</v>
      </c>
      <c r="O87" s="714" t="b">
        <f ca="1">IF($E87="",FALSE,IF(NOT(ISNUMBER($E87)),ErrorMsgs!$F87,IF($E87-ROUND($E87,2)&lt;&gt;0,ErrorMsgs!$F87)))</f>
        <v>0</v>
      </c>
      <c r="P87" s="712" t="b">
        <f ca="1">IF($E87="",FALSE,IF($E87&lt;0,ErrorMsgs!$F87))</f>
        <v>0</v>
      </c>
      <c r="Q87" s="712" t="b">
        <f ca="1">IF($E87="",FALSE,IF($E87&gt;=1000000000000,ErrorMsgs!$F87))</f>
        <v>0</v>
      </c>
      <c r="R87" s="712"/>
      <c r="S87" s="712"/>
      <c r="T87" s="712"/>
      <c r="U87" s="526" t="str">
        <f t="shared" ca="1" si="17"/>
        <v/>
      </c>
      <c r="V87" s="93" t="str" cm="1">
        <f t="array" aca="1" ref="V87" ca="1">CELL("format",INDIRECT(I87))</f>
        <v>C2</v>
      </c>
      <c r="W87" s="93" t="b">
        <f t="shared" ca="1" si="18"/>
        <v>0</v>
      </c>
      <c r="X87" s="715" t="str">
        <f t="shared" ca="1" si="16"/>
        <v/>
      </c>
      <c r="Y87" t="b">
        <f t="shared" ca="1" si="19"/>
        <v>1</v>
      </c>
    </row>
    <row r="88" spans="1:25" ht="46.5">
      <c r="A88" s="705" t="s">
        <v>3094</v>
      </c>
      <c r="B88" s="706" t="str">
        <f t="shared" ca="1" si="20"/>
        <v>Deficit repair contributions - C12</v>
      </c>
      <c r="C88" s="707" t="str" cm="1">
        <f t="array" aca="1" ref="C88" ca="1">INDIRECT(LEFT(I88, FIND("!", I88)) &amp; RefData!$C$426 &amp; RIGHT(I88, LEN(I88) - FIND("!", I88) - 1))</f>
        <v xml:space="preserve">
Year 6
</v>
      </c>
      <c r="D88" s="92" t="str">
        <f t="shared" ca="1" si="15"/>
        <v/>
      </c>
      <c r="E88" s="708" t="str" cm="1">
        <f t="array" aca="1" ref="E88" ca="1">IF(INDIRECT($I88)= "", "", INDIRECT($I88))</f>
        <v/>
      </c>
      <c r="F88" s="709" t="str" cm="1">
        <f t="array" aca="1" ref="F88" ca="1">INDIRECT(LEFT(I88, FIND("!", I88)) &amp; RefData!$C$427 &amp; RIGHT(I88, LEN(I88) - FIND("!", I88) - 1))</f>
        <v>DRC 6.0</v>
      </c>
      <c r="G88" s="710" t="b">
        <f ca="1">IF(ISNUMBER(SEARCH(RefData!$B$2, $C88)), FALSE, TRUE)</f>
        <v>1</v>
      </c>
      <c r="H88" s="96">
        <f>'Deficit repair contributions'!C12</f>
        <v>0</v>
      </c>
      <c r="I88" s="712" t="str">
        <f t="shared" ca="1" si="21"/>
        <v>'Deficit repair contributions'!C12</v>
      </c>
      <c r="J88" s="713" t="b" cm="1">
        <f t="array" aca="1" ref="J88" ca="1">IF(COUNTIF($K88:$T88, "&lt;&gt;FALSE") - COUNTBLANK($K88:$T88) &gt; 0, INDEX($K88:$T88, MATCH(TRUE, $K88:$T88 &lt;&gt; FALSE, 0)))</f>
        <v>0</v>
      </c>
      <c r="K88" s="712" t="b">
        <f ca="1">IF(AND('Start here'!$C$25=RefData!$B$15,'Reconciliation report'!$E88&lt;&gt;""),ErrorMsgs!$B88)</f>
        <v>0</v>
      </c>
      <c r="L88" s="712" t="b">
        <f ca="1">IF(AND('Start here'!$C$26=RefData!$B$9,'Start here'!$C$23=RefData!$B$17,'Start here'!$C$25=RefData!$B$16,'Reconciliation report'!E88&lt;&gt;""),ErrorMsgs!$C88)</f>
        <v>0</v>
      </c>
      <c r="M88" s="714" t="b">
        <f ca="1">IF(AND('Start here'!$C$26=RefData!$B$9,'Start here'!$C$23=RefData!$B$18,'Start here'!$C$25=RefData!$B$16,'Reconciliation report'!$E88=""),ErrorMsgs!$D88)</f>
        <v>0</v>
      </c>
      <c r="N88" s="714" t="b">
        <f ca="1">IF(AND('Start here'!$C$26=RefData!$B$10,'Start here'!$C$25=RefData!$B$16,'Reconciliation report'!$E88=""),ErrorMsgs!$E88)</f>
        <v>0</v>
      </c>
      <c r="O88" s="714" t="b">
        <f ca="1">IF($E88="",FALSE,IF(NOT(ISNUMBER($E88)),ErrorMsgs!$F88,IF($E88-ROUND($E88,2)&lt;&gt;0,ErrorMsgs!$F88)))</f>
        <v>0</v>
      </c>
      <c r="P88" s="712" t="b">
        <f ca="1">IF($E88="",FALSE,IF($E88&lt;0,ErrorMsgs!$F88))</f>
        <v>0</v>
      </c>
      <c r="Q88" s="712" t="b">
        <f ca="1">IF($E88="",FALSE,IF($E88&gt;=1000000000000,ErrorMsgs!$F88))</f>
        <v>0</v>
      </c>
      <c r="R88" s="712"/>
      <c r="S88" s="712"/>
      <c r="T88" s="712"/>
      <c r="U88" s="526" t="str">
        <f t="shared" ca="1" si="17"/>
        <v/>
      </c>
      <c r="V88" s="93" t="str" cm="1">
        <f t="array" aca="1" ref="V88" ca="1">CELL("format",INDIRECT(I88))</f>
        <v>C2</v>
      </c>
      <c r="W88" s="93" t="b">
        <f t="shared" ca="1" si="18"/>
        <v>0</v>
      </c>
      <c r="X88" s="715" t="str">
        <f t="shared" ca="1" si="16"/>
        <v/>
      </c>
      <c r="Y88" t="b">
        <f t="shared" ca="1" si="19"/>
        <v>1</v>
      </c>
    </row>
    <row r="89" spans="1:25" ht="46.5">
      <c r="A89" s="705" t="s">
        <v>3095</v>
      </c>
      <c r="B89" s="706" t="str">
        <f t="shared" ca="1" si="20"/>
        <v>Deficit repair contributions - C13</v>
      </c>
      <c r="C89" s="707" t="str" cm="1">
        <f t="array" aca="1" ref="C89" ca="1">INDIRECT(LEFT(I89, FIND("!", I89)) &amp; RefData!$C$426 &amp; RIGHT(I89, LEN(I89) - FIND("!", I89) - 1))</f>
        <v xml:space="preserve">
Year 7
</v>
      </c>
      <c r="D89" s="92" t="str">
        <f t="shared" ca="1" si="15"/>
        <v/>
      </c>
      <c r="E89" s="708" t="str" cm="1">
        <f t="array" aca="1" ref="E89" ca="1">IF(INDIRECT($I89)= "", "", INDIRECT($I89))</f>
        <v/>
      </c>
      <c r="F89" s="709" t="str" cm="1">
        <f t="array" aca="1" ref="F89" ca="1">INDIRECT(LEFT(I89, FIND("!", I89)) &amp; RefData!$C$427 &amp; RIGHT(I89, LEN(I89) - FIND("!", I89) - 1))</f>
        <v>DRC 7.0</v>
      </c>
      <c r="G89" s="710" t="b">
        <f ca="1">IF(ISNUMBER(SEARCH(RefData!$B$2, $C89)), FALSE, TRUE)</f>
        <v>1</v>
      </c>
      <c r="H89" s="96">
        <f>'Deficit repair contributions'!C13</f>
        <v>0</v>
      </c>
      <c r="I89" s="712" t="str">
        <f t="shared" ca="1" si="21"/>
        <v>'Deficit repair contributions'!C13</v>
      </c>
      <c r="J89" s="713" t="b" cm="1">
        <f t="array" aca="1" ref="J89" ca="1">IF(COUNTIF($K89:$T89, "&lt;&gt;FALSE") - COUNTBLANK($K89:$T89) &gt; 0, INDEX($K89:$T89, MATCH(TRUE, $K89:$T89 &lt;&gt; FALSE, 0)))</f>
        <v>0</v>
      </c>
      <c r="K89" s="712" t="b">
        <f ca="1">IF(AND('Start here'!$C$25=RefData!$B$15,'Reconciliation report'!$E89&lt;&gt;""),ErrorMsgs!$B89)</f>
        <v>0</v>
      </c>
      <c r="L89" s="712" t="b">
        <f ca="1">IF(AND('Start here'!$C$26=RefData!$B$9,'Start here'!$C$25=RefData!$B$16,'Reconciliation report'!E89&lt;&gt;""),ErrorMsgs!$C89)</f>
        <v>0</v>
      </c>
      <c r="M89" s="712" t="b">
        <f ca="1">IF(AND('Start here'!$C$26=RefData!$B$10,'Start here'!$C$25=RefData!$B$16,'Reconciliation report'!$E89=""),ErrorMsgs!$D89)</f>
        <v>0</v>
      </c>
      <c r="N89" s="712" t="b">
        <f ca="1">IF($E89="",FALSE,IF(NOT(ISNUMBER($E89)),ErrorMsgs!$E89,IF($E89-ROUND($E89,2)&lt;&gt;0,ErrorMsgs!$E89)))</f>
        <v>0</v>
      </c>
      <c r="O89" s="712" t="b">
        <f ca="1">IF($E89="",FALSE,IF($E89&lt;0,ErrorMsgs!$E89))</f>
        <v>0</v>
      </c>
      <c r="P89" s="712" t="b">
        <f ca="1">IF($E89="",FALSE,IF($E89&gt;=1000000000000,ErrorMsgs!$E89))</f>
        <v>0</v>
      </c>
      <c r="Q89" s="712"/>
      <c r="R89" s="712"/>
      <c r="S89" s="712"/>
      <c r="T89" s="712"/>
      <c r="U89" s="526" t="str">
        <f t="shared" ca="1" si="17"/>
        <v/>
      </c>
      <c r="V89" s="93" t="str" cm="1">
        <f t="array" aca="1" ref="V89" ca="1">CELL("format",INDIRECT(I89))</f>
        <v>C2</v>
      </c>
      <c r="W89" s="93" t="b">
        <f t="shared" ca="1" si="18"/>
        <v>0</v>
      </c>
      <c r="X89" s="715" t="str">
        <f t="shared" ca="1" si="16"/>
        <v/>
      </c>
      <c r="Y89" t="b">
        <f t="shared" ca="1" si="19"/>
        <v>1</v>
      </c>
    </row>
    <row r="90" spans="1:25" ht="46.5">
      <c r="A90" s="705" t="s">
        <v>3096</v>
      </c>
      <c r="B90" s="706" t="str">
        <f t="shared" ca="1" si="20"/>
        <v>Deficit repair contributions - C14</v>
      </c>
      <c r="C90" s="707" t="str" cm="1">
        <f t="array" aca="1" ref="C90" ca="1">INDIRECT(LEFT(I90, FIND("!", I90)) &amp; RefData!$C$426 &amp; RIGHT(I90, LEN(I90) - FIND("!", I90) - 1))</f>
        <v xml:space="preserve">
Year 8
</v>
      </c>
      <c r="D90" s="92" t="str">
        <f t="shared" ca="1" si="15"/>
        <v/>
      </c>
      <c r="E90" s="708" t="str" cm="1">
        <f t="array" aca="1" ref="E90" ca="1">IF(INDIRECT($I90)= "", "", INDIRECT($I90))</f>
        <v/>
      </c>
      <c r="F90" s="709" t="str" cm="1">
        <f t="array" aca="1" ref="F90" ca="1">INDIRECT(LEFT(I90, FIND("!", I90)) &amp; RefData!$C$427 &amp; RIGHT(I90, LEN(I90) - FIND("!", I90) - 1))</f>
        <v>DRC 8.0</v>
      </c>
      <c r="G90" s="710" t="b">
        <f ca="1">IF(ISNUMBER(SEARCH(RefData!$B$2, $C90)), FALSE, TRUE)</f>
        <v>1</v>
      </c>
      <c r="H90" s="96">
        <f>'Deficit repair contributions'!C14</f>
        <v>0</v>
      </c>
      <c r="I90" s="712" t="str">
        <f t="shared" ca="1" si="21"/>
        <v>'Deficit repair contributions'!C14</v>
      </c>
      <c r="J90" s="713" t="b" cm="1">
        <f t="array" aca="1" ref="J90" ca="1">IF(COUNTIF($K90:$T90, "&lt;&gt;FALSE") - COUNTBLANK($K90:$T90) &gt; 0, INDEX($K90:$T90, MATCH(TRUE, $K90:$T90 &lt;&gt; FALSE, 0)))</f>
        <v>0</v>
      </c>
      <c r="K90" s="712" t="b">
        <f ca="1">IF(AND('Start here'!$C$25=RefData!$B$15,'Reconciliation report'!$E90&lt;&gt;""),ErrorMsgs!$B90)</f>
        <v>0</v>
      </c>
      <c r="L90" s="712" t="b">
        <f ca="1">IF(AND('Start here'!$C$26=RefData!$B$9,'Start here'!$C$25=RefData!$B$16,'Reconciliation report'!E90&lt;&gt;""),ErrorMsgs!$C90)</f>
        <v>0</v>
      </c>
      <c r="M90" s="712" t="b">
        <f ca="1">IF(AND('Start here'!$C$26=RefData!$B$10,'Start here'!$C$25=RefData!$B$16,'Reconciliation report'!$E90=""),ErrorMsgs!$D90)</f>
        <v>0</v>
      </c>
      <c r="N90" s="712" t="b">
        <f ca="1">IF($E90="",FALSE,IF(NOT(ISNUMBER($E90)),ErrorMsgs!$E90,IF($E90-ROUND($E90,2)&lt;&gt;0,ErrorMsgs!$E90)))</f>
        <v>0</v>
      </c>
      <c r="O90" s="712" t="b">
        <f ca="1">IF($E90="",FALSE,IF($E90&lt;0,ErrorMsgs!$E90))</f>
        <v>0</v>
      </c>
      <c r="P90" s="712" t="b">
        <f ca="1">IF($E90="",FALSE,IF($E90&gt;=1000000000000,ErrorMsgs!$E90))</f>
        <v>0</v>
      </c>
      <c r="Q90" s="712"/>
      <c r="R90" s="712"/>
      <c r="S90" s="712"/>
      <c r="T90" s="712"/>
      <c r="U90" s="526" t="str">
        <f t="shared" ca="1" si="17"/>
        <v/>
      </c>
      <c r="V90" s="93" t="str" cm="1">
        <f t="array" aca="1" ref="V90" ca="1">CELL("format",INDIRECT(I90))</f>
        <v>C2</v>
      </c>
      <c r="W90" s="93" t="b">
        <f t="shared" ca="1" si="18"/>
        <v>0</v>
      </c>
      <c r="X90" s="715" t="str">
        <f t="shared" ca="1" si="16"/>
        <v/>
      </c>
      <c r="Y90" t="b">
        <f t="shared" ca="1" si="19"/>
        <v>1</v>
      </c>
    </row>
    <row r="91" spans="1:25" ht="46.5">
      <c r="A91" s="705" t="s">
        <v>3097</v>
      </c>
      <c r="B91" s="706" t="str">
        <f t="shared" ca="1" si="20"/>
        <v>Deficit repair contributions - C15</v>
      </c>
      <c r="C91" s="707" t="str" cm="1">
        <f t="array" aca="1" ref="C91" ca="1">INDIRECT(LEFT(I91, FIND("!", I91)) &amp; RefData!$C$426 &amp; RIGHT(I91, LEN(I91) - FIND("!", I91) - 1))</f>
        <v xml:space="preserve">
Year 9
</v>
      </c>
      <c r="D91" s="92" t="str">
        <f t="shared" ca="1" si="15"/>
        <v/>
      </c>
      <c r="E91" s="708" t="str" cm="1">
        <f t="array" aca="1" ref="E91" ca="1">IF(INDIRECT($I91)= "", "", INDIRECT($I91))</f>
        <v/>
      </c>
      <c r="F91" s="709" t="str" cm="1">
        <f t="array" aca="1" ref="F91" ca="1">INDIRECT(LEFT(I91, FIND("!", I91)) &amp; RefData!$C$427 &amp; RIGHT(I91, LEN(I91) - FIND("!", I91) - 1))</f>
        <v>DRC 9.0</v>
      </c>
      <c r="G91" s="710" t="b">
        <f ca="1">IF(ISNUMBER(SEARCH(RefData!$B$2, $C91)), FALSE, TRUE)</f>
        <v>1</v>
      </c>
      <c r="H91" s="96">
        <f>'Deficit repair contributions'!C15</f>
        <v>0</v>
      </c>
      <c r="I91" s="712" t="str">
        <f t="shared" ca="1" si="21"/>
        <v>'Deficit repair contributions'!C15</v>
      </c>
      <c r="J91" s="713" t="b" cm="1">
        <f t="array" aca="1" ref="J91" ca="1">IF(COUNTIF($K91:$T91, "&lt;&gt;FALSE") - COUNTBLANK($K91:$T91) &gt; 0, INDEX($K91:$T91, MATCH(TRUE, $K91:$T91 &lt;&gt; FALSE, 0)))</f>
        <v>0</v>
      </c>
      <c r="K91" s="712" t="b">
        <f ca="1">IF(AND('Start here'!$C$25=RefData!$B$15,'Reconciliation report'!$E91&lt;&gt;""),ErrorMsgs!$B91)</f>
        <v>0</v>
      </c>
      <c r="L91" s="712" t="b">
        <f ca="1">IF(AND('Start here'!$C$26=RefData!$B$9,'Start here'!$C$25=RefData!$B$16,'Reconciliation report'!E91&lt;&gt;""),ErrorMsgs!$C91)</f>
        <v>0</v>
      </c>
      <c r="M91" s="712" t="b">
        <f ca="1">IF(AND('Start here'!$C$26=RefData!$B$10,'Start here'!$C$25=RefData!$B$16,'Reconciliation report'!$E91=""),ErrorMsgs!$D91)</f>
        <v>0</v>
      </c>
      <c r="N91" s="712" t="b">
        <f ca="1">IF($E91="",FALSE,IF(NOT(ISNUMBER($E91)),ErrorMsgs!$E91,IF($E91-ROUND($E91,2)&lt;&gt;0,ErrorMsgs!$E91)))</f>
        <v>0</v>
      </c>
      <c r="O91" s="712" t="b">
        <f ca="1">IF($E91="",FALSE,IF($E91&lt;0,ErrorMsgs!$E91))</f>
        <v>0</v>
      </c>
      <c r="P91" s="712" t="b">
        <f ca="1">IF($E91="",FALSE,IF($E91&gt;=1000000000000,ErrorMsgs!$E91))</f>
        <v>0</v>
      </c>
      <c r="Q91" s="712"/>
      <c r="R91" s="712"/>
      <c r="S91" s="712"/>
      <c r="T91" s="712"/>
      <c r="U91" s="526" t="str">
        <f t="shared" ca="1" si="17"/>
        <v/>
      </c>
      <c r="V91" s="93" t="str" cm="1">
        <f t="array" aca="1" ref="V91" ca="1">CELL("format",INDIRECT(I91))</f>
        <v>C2</v>
      </c>
      <c r="W91" s="93" t="b">
        <f t="shared" ca="1" si="18"/>
        <v>0</v>
      </c>
      <c r="X91" s="715" t="str">
        <f t="shared" ca="1" si="16"/>
        <v/>
      </c>
      <c r="Y91" t="b">
        <f t="shared" ca="1" si="19"/>
        <v>1</v>
      </c>
    </row>
    <row r="92" spans="1:25" ht="46.5">
      <c r="A92" s="705" t="s">
        <v>3098</v>
      </c>
      <c r="B92" s="706" t="str">
        <f t="shared" ca="1" si="20"/>
        <v>Deficit repair contributions - C16</v>
      </c>
      <c r="C92" s="707" t="str" cm="1">
        <f t="array" aca="1" ref="C92" ca="1">INDIRECT(LEFT(I92, FIND("!", I92)) &amp; RefData!$C$426 &amp; RIGHT(I92, LEN(I92) - FIND("!", I92) - 1))</f>
        <v xml:space="preserve">
Year 10
</v>
      </c>
      <c r="D92" s="92" t="str">
        <f t="shared" ca="1" si="15"/>
        <v/>
      </c>
      <c r="E92" s="708" t="str" cm="1">
        <f t="array" aca="1" ref="E92" ca="1">IF(INDIRECT($I92)= "", "", INDIRECT($I92))</f>
        <v/>
      </c>
      <c r="F92" s="709" t="str" cm="1">
        <f t="array" aca="1" ref="F92" ca="1">INDIRECT(LEFT(I92, FIND("!", I92)) &amp; RefData!$C$427 &amp; RIGHT(I92, LEN(I92) - FIND("!", I92) - 1))</f>
        <v>DRC 10.0</v>
      </c>
      <c r="G92" s="710" t="b">
        <f ca="1">IF(ISNUMBER(SEARCH(RefData!$B$2, $C92)), FALSE, TRUE)</f>
        <v>1</v>
      </c>
      <c r="H92" s="96">
        <f>'Deficit repair contributions'!C16</f>
        <v>0</v>
      </c>
      <c r="I92" s="712" t="str">
        <f t="shared" ca="1" si="21"/>
        <v>'Deficit repair contributions'!C16</v>
      </c>
      <c r="J92" s="713" t="b" cm="1">
        <f t="array" aca="1" ref="J92" ca="1">IF(COUNTIF($K92:$T92, "&lt;&gt;FALSE") - COUNTBLANK($K92:$T92) &gt; 0, INDEX($K92:$T92, MATCH(TRUE, $K92:$T92 &lt;&gt; FALSE, 0)))</f>
        <v>0</v>
      </c>
      <c r="K92" s="712" t="b">
        <f ca="1">IF(AND('Start here'!$C$25=RefData!$B$15,'Reconciliation report'!$E92&lt;&gt;""),ErrorMsgs!$B92)</f>
        <v>0</v>
      </c>
      <c r="L92" s="712" t="b">
        <f ca="1">IF(AND('Start here'!$C$26=RefData!$B$9,'Start here'!$C$25=RefData!$B$16,'Reconciliation report'!E92&lt;&gt;""),ErrorMsgs!$C92)</f>
        <v>0</v>
      </c>
      <c r="M92" s="712" t="b">
        <f ca="1">IF(AND('Start here'!$C$26=RefData!$B$10,'Start here'!$C$25=RefData!$B$16,'Reconciliation report'!$E92=""),ErrorMsgs!$D92)</f>
        <v>0</v>
      </c>
      <c r="N92" s="712" t="b">
        <f ca="1">IF($E92="",FALSE,IF(NOT(ISNUMBER($E92)),ErrorMsgs!$E92,IF($E92-ROUND($E92,2)&lt;&gt;0,ErrorMsgs!$E92)))</f>
        <v>0</v>
      </c>
      <c r="O92" s="712" t="b">
        <f ca="1">IF($E92="",FALSE,IF($E92&lt;0,ErrorMsgs!$E92))</f>
        <v>0</v>
      </c>
      <c r="P92" s="712" t="b">
        <f ca="1">IF($E92="",FALSE,IF($E92&gt;=1000000000000,ErrorMsgs!$E92))</f>
        <v>0</v>
      </c>
      <c r="Q92" s="712"/>
      <c r="R92" s="712"/>
      <c r="S92" s="712"/>
      <c r="T92" s="712"/>
      <c r="U92" s="526" t="str">
        <f t="shared" ca="1" si="17"/>
        <v/>
      </c>
      <c r="V92" s="93" t="str" cm="1">
        <f t="array" aca="1" ref="V92" ca="1">CELL("format",INDIRECT(I92))</f>
        <v>C2</v>
      </c>
      <c r="W92" s="93" t="b">
        <f t="shared" ca="1" si="18"/>
        <v>0</v>
      </c>
      <c r="X92" s="715" t="str">
        <f t="shared" ca="1" si="16"/>
        <v/>
      </c>
      <c r="Y92" t="b">
        <f t="shared" ca="1" si="19"/>
        <v>1</v>
      </c>
    </row>
    <row r="93" spans="1:25" ht="46.5">
      <c r="A93" s="705" t="s">
        <v>3099</v>
      </c>
      <c r="B93" s="706" t="str">
        <f t="shared" ca="1" si="20"/>
        <v>Deficit repair contributions - C17</v>
      </c>
      <c r="C93" s="707" t="str" cm="1">
        <f t="array" aca="1" ref="C93" ca="1">INDIRECT(LEFT(I93, FIND("!", I93)) &amp; RefData!$C$426 &amp; RIGHT(I93, LEN(I93) - FIND("!", I93) - 1))</f>
        <v xml:space="preserve">
Year 11
</v>
      </c>
      <c r="D93" s="92" t="str">
        <f t="shared" ca="1" si="15"/>
        <v/>
      </c>
      <c r="E93" s="708" t="str" cm="1">
        <f t="array" aca="1" ref="E93" ca="1">IF(INDIRECT($I93)= "", "", INDIRECT($I93))</f>
        <v/>
      </c>
      <c r="F93" s="709" t="str" cm="1">
        <f t="array" aca="1" ref="F93" ca="1">INDIRECT(LEFT(I93, FIND("!", I93)) &amp; RefData!$C$427 &amp; RIGHT(I93, LEN(I93) - FIND("!", I93) - 1))</f>
        <v>DRC 11.0</v>
      </c>
      <c r="G93" s="710" t="b">
        <f ca="1">IF(ISNUMBER(SEARCH(RefData!$B$2, $C93)), FALSE, TRUE)</f>
        <v>1</v>
      </c>
      <c r="H93" s="96">
        <f>'Deficit repair contributions'!C17</f>
        <v>0</v>
      </c>
      <c r="I93" s="712" t="str">
        <f t="shared" ca="1" si="21"/>
        <v>'Deficit repair contributions'!C17</v>
      </c>
      <c r="J93" s="713" t="b" cm="1">
        <f t="array" aca="1" ref="J93" ca="1">IF(COUNTIF($K93:$T93, "&lt;&gt;FALSE") - COUNTBLANK($K93:$T93) &gt; 0, INDEX($K93:$T93, MATCH(TRUE, $K93:$T93 &lt;&gt; FALSE, 0)))</f>
        <v>0</v>
      </c>
      <c r="K93" s="712" t="b">
        <f ca="1">IF(AND('Start here'!$C$25=RefData!$B$15,'Reconciliation report'!$E93&lt;&gt;""),ErrorMsgs!$B93)</f>
        <v>0</v>
      </c>
      <c r="L93" s="712" t="b">
        <f ca="1">IF(AND('Start here'!$C$26=RefData!$B$9,'Start here'!$C$25=RefData!$B$16,'Reconciliation report'!E93&lt;&gt;""),ErrorMsgs!$C93)</f>
        <v>0</v>
      </c>
      <c r="M93" s="712" t="b">
        <f ca="1">IF(AND('Start here'!$C$26=RefData!$B$10,'Start here'!$C$25=RefData!$B$16,'Reconciliation report'!$E93=""),ErrorMsgs!$D93)</f>
        <v>0</v>
      </c>
      <c r="N93" s="712" t="b">
        <f ca="1">IF($E93="",FALSE,IF(NOT(ISNUMBER($E93)),ErrorMsgs!$E93,IF($E93-ROUND($E93,2)&lt;&gt;0,ErrorMsgs!$E93)))</f>
        <v>0</v>
      </c>
      <c r="O93" s="712" t="b">
        <f ca="1">IF($E93="",FALSE,IF($E93&lt;0,ErrorMsgs!$E93))</f>
        <v>0</v>
      </c>
      <c r="P93" s="712" t="b">
        <f ca="1">IF($E93="",FALSE,IF($E93&gt;=1000000000000,ErrorMsgs!$E93))</f>
        <v>0</v>
      </c>
      <c r="Q93" s="712"/>
      <c r="R93" s="712"/>
      <c r="S93" s="712"/>
      <c r="T93" s="712"/>
      <c r="U93" s="526" t="str">
        <f t="shared" ca="1" si="17"/>
        <v/>
      </c>
      <c r="V93" s="93" t="str" cm="1">
        <f t="array" aca="1" ref="V93" ca="1">CELL("format",INDIRECT(I93))</f>
        <v>C2</v>
      </c>
      <c r="W93" s="93" t="b">
        <f t="shared" ca="1" si="18"/>
        <v>0</v>
      </c>
      <c r="X93" s="715" t="str">
        <f t="shared" ca="1" si="16"/>
        <v/>
      </c>
      <c r="Y93" t="b">
        <f t="shared" ca="1" si="19"/>
        <v>1</v>
      </c>
    </row>
    <row r="94" spans="1:25" ht="46.5">
      <c r="A94" s="705" t="s">
        <v>3100</v>
      </c>
      <c r="B94" s="706" t="str">
        <f t="shared" ca="1" si="20"/>
        <v>Deficit repair contributions - C18</v>
      </c>
      <c r="C94" s="707" t="str" cm="1">
        <f t="array" aca="1" ref="C94" ca="1">INDIRECT(LEFT(I94, FIND("!", I94)) &amp; RefData!$C$426 &amp; RIGHT(I94, LEN(I94) - FIND("!", I94) - 1))</f>
        <v xml:space="preserve">
Year 12
</v>
      </c>
      <c r="D94" s="92" t="str">
        <f t="shared" ca="1" si="15"/>
        <v/>
      </c>
      <c r="E94" s="708" t="str" cm="1">
        <f t="array" aca="1" ref="E94" ca="1">IF(INDIRECT($I94)= "", "", INDIRECT($I94))</f>
        <v/>
      </c>
      <c r="F94" s="709" t="str" cm="1">
        <f t="array" aca="1" ref="F94" ca="1">INDIRECT(LEFT(I94, FIND("!", I94)) &amp; RefData!$C$427 &amp; RIGHT(I94, LEN(I94) - FIND("!", I94) - 1))</f>
        <v>DRC 12.0</v>
      </c>
      <c r="G94" s="710" t="b">
        <f ca="1">IF(ISNUMBER(SEARCH(RefData!$B$2, $C94)), FALSE, TRUE)</f>
        <v>1</v>
      </c>
      <c r="H94" s="96">
        <f>'Deficit repair contributions'!C18</f>
        <v>0</v>
      </c>
      <c r="I94" s="712" t="str">
        <f t="shared" ca="1" si="21"/>
        <v>'Deficit repair contributions'!C18</v>
      </c>
      <c r="J94" s="713" t="b" cm="1">
        <f t="array" aca="1" ref="J94" ca="1">IF(COUNTIF($K94:$T94, "&lt;&gt;FALSE") - COUNTBLANK($K94:$T94) &gt; 0, INDEX($K94:$T94, MATCH(TRUE, $K94:$T94 &lt;&gt; FALSE, 0)))</f>
        <v>0</v>
      </c>
      <c r="K94" s="712" t="b">
        <f ca="1">IF(AND('Start here'!$C$25=RefData!$B$15,'Reconciliation report'!$E94&lt;&gt;""),ErrorMsgs!$B94)</f>
        <v>0</v>
      </c>
      <c r="L94" s="712" t="b">
        <f ca="1">IF(AND('Start here'!$C$26=RefData!$B$9,'Start here'!$C$25=RefData!$B$16,'Reconciliation report'!E94&lt;&gt;""),ErrorMsgs!$C94)</f>
        <v>0</v>
      </c>
      <c r="M94" s="712" t="b">
        <f ca="1">IF(AND('Start here'!$C$26=RefData!$B$10,'Start here'!$C$25=RefData!$B$16,'Reconciliation report'!$E94=""),ErrorMsgs!$D94)</f>
        <v>0</v>
      </c>
      <c r="N94" s="712" t="b">
        <f ca="1">IF($E94="",FALSE,IF(NOT(ISNUMBER($E94)),ErrorMsgs!$E94,IF($E94-ROUND($E94,2)&lt;&gt;0,ErrorMsgs!$E94)))</f>
        <v>0</v>
      </c>
      <c r="O94" s="712" t="b">
        <f ca="1">IF($E94="",FALSE,IF($E94&lt;0,ErrorMsgs!$E94))</f>
        <v>0</v>
      </c>
      <c r="P94" s="712" t="b">
        <f ca="1">IF($E94="",FALSE,IF($E94&gt;=1000000000000,ErrorMsgs!$E94))</f>
        <v>0</v>
      </c>
      <c r="Q94" s="712"/>
      <c r="R94" s="712"/>
      <c r="S94" s="712"/>
      <c r="T94" s="712"/>
      <c r="U94" s="526" t="str">
        <f t="shared" ca="1" si="17"/>
        <v/>
      </c>
      <c r="V94" s="93" t="str" cm="1">
        <f t="array" aca="1" ref="V94" ca="1">CELL("format",INDIRECT(I94))</f>
        <v>C2</v>
      </c>
      <c r="W94" s="93" t="b">
        <f t="shared" ca="1" si="18"/>
        <v>0</v>
      </c>
      <c r="X94" s="715" t="str">
        <f t="shared" ca="1" si="16"/>
        <v/>
      </c>
      <c r="Y94" t="b">
        <f t="shared" ca="1" si="19"/>
        <v>1</v>
      </c>
    </row>
    <row r="95" spans="1:25" ht="46.5">
      <c r="A95" s="705" t="s">
        <v>3101</v>
      </c>
      <c r="B95" s="706" t="str">
        <f t="shared" ca="1" si="20"/>
        <v>Deficit repair contributions - C19</v>
      </c>
      <c r="C95" s="707" t="str" cm="1">
        <f t="array" aca="1" ref="C95" ca="1">INDIRECT(LEFT(I95, FIND("!", I95)) &amp; RefData!$C$426 &amp; RIGHT(I95, LEN(I95) - FIND("!", I95) - 1))</f>
        <v xml:space="preserve">
Year 13
</v>
      </c>
      <c r="D95" s="92" t="str">
        <f t="shared" ca="1" si="15"/>
        <v/>
      </c>
      <c r="E95" s="708" t="str" cm="1">
        <f t="array" aca="1" ref="E95" ca="1">IF(INDIRECT($I95)= "", "", INDIRECT($I95))</f>
        <v/>
      </c>
      <c r="F95" s="709" t="str" cm="1">
        <f t="array" aca="1" ref="F95" ca="1">INDIRECT(LEFT(I95, FIND("!", I95)) &amp; RefData!$C$427 &amp; RIGHT(I95, LEN(I95) - FIND("!", I95) - 1))</f>
        <v>DRC 13.0</v>
      </c>
      <c r="G95" s="710" t="b">
        <f ca="1">IF(ISNUMBER(SEARCH(RefData!$B$2, $C95)), FALSE, TRUE)</f>
        <v>1</v>
      </c>
      <c r="H95" s="96">
        <f>'Deficit repair contributions'!C19</f>
        <v>0</v>
      </c>
      <c r="I95" s="712" t="str">
        <f t="shared" ca="1" si="21"/>
        <v>'Deficit repair contributions'!C19</v>
      </c>
      <c r="J95" s="713" t="b" cm="1">
        <f t="array" aca="1" ref="J95" ca="1">IF(COUNTIF($K95:$T95, "&lt;&gt;FALSE") - COUNTBLANK($K95:$T95) &gt; 0, INDEX($K95:$T95, MATCH(TRUE, $K95:$T95 &lt;&gt; FALSE, 0)))</f>
        <v>0</v>
      </c>
      <c r="K95" s="712" t="b">
        <f ca="1">IF(AND('Start here'!$C$25=RefData!$B$15,'Reconciliation report'!$E95&lt;&gt;""),ErrorMsgs!$B95)</f>
        <v>0</v>
      </c>
      <c r="L95" s="712" t="b">
        <f ca="1">IF(AND('Start here'!$C$26=RefData!$B$9,'Start here'!$C$25=RefData!$B$16,'Reconciliation report'!E95&lt;&gt;""),ErrorMsgs!$C95)</f>
        <v>0</v>
      </c>
      <c r="M95" s="712" t="b">
        <f ca="1">IF(AND('Start here'!$C$26=RefData!$B$10,'Start here'!$C$25=RefData!$B$16,'Reconciliation report'!$E95=""),ErrorMsgs!$D95)</f>
        <v>0</v>
      </c>
      <c r="N95" s="712" t="b">
        <f ca="1">IF($E95="",FALSE,IF(NOT(ISNUMBER($E95)),ErrorMsgs!$E95,IF($E95-ROUND($E95,2)&lt;&gt;0,ErrorMsgs!$E95)))</f>
        <v>0</v>
      </c>
      <c r="O95" s="712" t="b">
        <f ca="1">IF($E95="",FALSE,IF($E95&lt;0,ErrorMsgs!$E95))</f>
        <v>0</v>
      </c>
      <c r="P95" s="712" t="b">
        <f ca="1">IF($E95="",FALSE,IF($E95&gt;=1000000000000,ErrorMsgs!$E95))</f>
        <v>0</v>
      </c>
      <c r="Q95" s="712"/>
      <c r="R95" s="712"/>
      <c r="S95" s="712"/>
      <c r="T95" s="712"/>
      <c r="U95" s="526" t="str">
        <f t="shared" ca="1" si="17"/>
        <v/>
      </c>
      <c r="V95" s="93" t="str" cm="1">
        <f t="array" aca="1" ref="V95" ca="1">CELL("format",INDIRECT(I95))</f>
        <v>C2</v>
      </c>
      <c r="W95" s="93" t="b">
        <f t="shared" ca="1" si="18"/>
        <v>0</v>
      </c>
      <c r="X95" s="715" t="str">
        <f t="shared" ca="1" si="16"/>
        <v/>
      </c>
      <c r="Y95" t="b">
        <f t="shared" ca="1" si="19"/>
        <v>1</v>
      </c>
    </row>
    <row r="96" spans="1:25" ht="46.5">
      <c r="A96" s="705" t="s">
        <v>3102</v>
      </c>
      <c r="B96" s="706" t="str">
        <f t="shared" ca="1" si="20"/>
        <v>Deficit repair contributions - C20</v>
      </c>
      <c r="C96" s="707" t="str" cm="1">
        <f t="array" aca="1" ref="C96" ca="1">INDIRECT(LEFT(I96, FIND("!", I96)) &amp; RefData!$C$426 &amp; RIGHT(I96, LEN(I96) - FIND("!", I96) - 1))</f>
        <v xml:space="preserve">
Year 14
</v>
      </c>
      <c r="D96" s="92" t="str">
        <f t="shared" ca="1" si="15"/>
        <v/>
      </c>
      <c r="E96" s="708" t="str" cm="1">
        <f t="array" aca="1" ref="E96" ca="1">IF(INDIRECT($I96)= "", "", INDIRECT($I96))</f>
        <v/>
      </c>
      <c r="F96" s="709" t="str" cm="1">
        <f t="array" aca="1" ref="F96" ca="1">INDIRECT(LEFT(I96, FIND("!", I96)) &amp; RefData!$C$427 &amp; RIGHT(I96, LEN(I96) - FIND("!", I96) - 1))</f>
        <v>DRC 14.0</v>
      </c>
      <c r="G96" s="710" t="b">
        <f ca="1">IF(ISNUMBER(SEARCH(RefData!$B$2, $C96)), FALSE, TRUE)</f>
        <v>1</v>
      </c>
      <c r="H96" s="96">
        <f>'Deficit repair contributions'!C20</f>
        <v>0</v>
      </c>
      <c r="I96" s="712" t="str">
        <f t="shared" ca="1" si="21"/>
        <v>'Deficit repair contributions'!C20</v>
      </c>
      <c r="J96" s="713" t="b" cm="1">
        <f t="array" aca="1" ref="J96" ca="1">IF(COUNTIF($K96:$T96, "&lt;&gt;FALSE") - COUNTBLANK($K96:$T96) &gt; 0, INDEX($K96:$T96, MATCH(TRUE, $K96:$T96 &lt;&gt; FALSE, 0)))</f>
        <v>0</v>
      </c>
      <c r="K96" s="712" t="b">
        <f ca="1">IF(AND('Start here'!$C$25=RefData!$B$15,'Reconciliation report'!$E96&lt;&gt;""),ErrorMsgs!$B96)</f>
        <v>0</v>
      </c>
      <c r="L96" s="712" t="b">
        <f ca="1">IF(AND('Start here'!$C$26=RefData!$B$9,'Start here'!$C$25=RefData!$B$16,'Reconciliation report'!E96&lt;&gt;""),ErrorMsgs!$C96)</f>
        <v>0</v>
      </c>
      <c r="M96" s="712" t="b">
        <f ca="1">IF(AND('Start here'!$C$26=RefData!$B$10,'Start here'!$C$25=RefData!$B$16,'Reconciliation report'!$E96=""),ErrorMsgs!$D96)</f>
        <v>0</v>
      </c>
      <c r="N96" s="712" t="b">
        <f ca="1">IF($E96="",FALSE,IF(NOT(ISNUMBER($E96)),ErrorMsgs!$E96,IF($E96-ROUND($E96,2)&lt;&gt;0,ErrorMsgs!$E96)))</f>
        <v>0</v>
      </c>
      <c r="O96" s="712" t="b">
        <f ca="1">IF($E96="",FALSE,IF($E96&lt;0,ErrorMsgs!$E96))</f>
        <v>0</v>
      </c>
      <c r="P96" s="712" t="b">
        <f ca="1">IF($E96="",FALSE,IF($E96&gt;=1000000000000,ErrorMsgs!$E96))</f>
        <v>0</v>
      </c>
      <c r="Q96" s="712"/>
      <c r="R96" s="712"/>
      <c r="S96" s="712"/>
      <c r="T96" s="712"/>
      <c r="U96" s="526" t="str">
        <f t="shared" ca="1" si="17"/>
        <v/>
      </c>
      <c r="V96" s="93" t="str" cm="1">
        <f t="array" aca="1" ref="V96" ca="1">CELL("format",INDIRECT(I96))</f>
        <v>C2</v>
      </c>
      <c r="W96" s="93" t="b">
        <f t="shared" ca="1" si="18"/>
        <v>0</v>
      </c>
      <c r="X96" s="715" t="str">
        <f t="shared" ca="1" si="16"/>
        <v/>
      </c>
      <c r="Y96" t="b">
        <f t="shared" ca="1" si="19"/>
        <v>1</v>
      </c>
    </row>
    <row r="97" spans="1:25" ht="46.5">
      <c r="A97" s="705" t="s">
        <v>3103</v>
      </c>
      <c r="B97" s="706" t="str">
        <f t="shared" ca="1" si="20"/>
        <v>Deficit repair contributions - C21</v>
      </c>
      <c r="C97" s="707" t="str" cm="1">
        <f t="array" aca="1" ref="C97" ca="1">INDIRECT(LEFT(I97, FIND("!", I97)) &amp; RefData!$C$426 &amp; RIGHT(I97, LEN(I97) - FIND("!", I97) - 1))</f>
        <v xml:space="preserve">
Year 15
</v>
      </c>
      <c r="D97" s="92" t="str">
        <f t="shared" ca="1" si="15"/>
        <v/>
      </c>
      <c r="E97" s="708" t="str" cm="1">
        <f t="array" aca="1" ref="E97" ca="1">IF(INDIRECT($I97)= "", "", INDIRECT($I97))</f>
        <v/>
      </c>
      <c r="F97" s="709" t="str" cm="1">
        <f t="array" aca="1" ref="F97" ca="1">INDIRECT(LEFT(I97, FIND("!", I97)) &amp; RefData!$C$427 &amp; RIGHT(I97, LEN(I97) - FIND("!", I97) - 1))</f>
        <v>DRC 15.0</v>
      </c>
      <c r="G97" s="710" t="b">
        <f ca="1">IF(ISNUMBER(SEARCH(RefData!$B$2, $C97)), FALSE, TRUE)</f>
        <v>1</v>
      </c>
      <c r="H97" s="96">
        <f>'Deficit repair contributions'!C21</f>
        <v>0</v>
      </c>
      <c r="I97" s="712" t="str">
        <f t="shared" ca="1" si="21"/>
        <v>'Deficit repair contributions'!C21</v>
      </c>
      <c r="J97" s="713" t="b" cm="1">
        <f t="array" aca="1" ref="J97" ca="1">IF(COUNTIF($K97:$T97, "&lt;&gt;FALSE") - COUNTBLANK($K97:$T97) &gt; 0, INDEX($K97:$T97, MATCH(TRUE, $K97:$T97 &lt;&gt; FALSE, 0)))</f>
        <v>0</v>
      </c>
      <c r="K97" s="712" t="b">
        <f ca="1">IF(AND('Start here'!$C$25=RefData!$B$15,'Reconciliation report'!$E97&lt;&gt;""),ErrorMsgs!$B97)</f>
        <v>0</v>
      </c>
      <c r="L97" s="712" t="b">
        <f ca="1">IF(AND('Start here'!$C$26=RefData!$B$9,'Start here'!$C$25=RefData!$B$16,'Reconciliation report'!E97&lt;&gt;""),ErrorMsgs!$C97)</f>
        <v>0</v>
      </c>
      <c r="M97" s="712" t="b">
        <f ca="1">IF(AND('Start here'!$C$26=RefData!$B$10,'Start here'!$C$25=RefData!$B$16,'Reconciliation report'!$E97=""),ErrorMsgs!$D97)</f>
        <v>0</v>
      </c>
      <c r="N97" s="712" t="b">
        <f ca="1">IF($E97="",FALSE,IF(NOT(ISNUMBER($E97)),ErrorMsgs!$E97,IF($E97-ROUND($E97,2)&lt;&gt;0,ErrorMsgs!$E97)))</f>
        <v>0</v>
      </c>
      <c r="O97" s="712" t="b">
        <f ca="1">IF($E97="",FALSE,IF($E97&lt;0,ErrorMsgs!$E97))</f>
        <v>0</v>
      </c>
      <c r="P97" s="712" t="b">
        <f ca="1">IF($E97="",FALSE,IF($E97&gt;=1000000000000,ErrorMsgs!$E97))</f>
        <v>0</v>
      </c>
      <c r="Q97" s="712"/>
      <c r="R97" s="712"/>
      <c r="S97" s="712"/>
      <c r="T97" s="712"/>
      <c r="U97" s="526" t="str">
        <f t="shared" ca="1" si="17"/>
        <v/>
      </c>
      <c r="V97" s="93" t="str" cm="1">
        <f t="array" aca="1" ref="V97" ca="1">CELL("format",INDIRECT(I97))</f>
        <v>C2</v>
      </c>
      <c r="W97" s="93" t="b">
        <f t="shared" ca="1" si="18"/>
        <v>0</v>
      </c>
      <c r="X97" s="715" t="str">
        <f t="shared" ca="1" si="16"/>
        <v/>
      </c>
      <c r="Y97" t="b">
        <f t="shared" ca="1" si="19"/>
        <v>1</v>
      </c>
    </row>
    <row r="98" spans="1:25" ht="46.5">
      <c r="A98" s="705" t="s">
        <v>3104</v>
      </c>
      <c r="B98" s="706" t="str">
        <f t="shared" ca="1" si="20"/>
        <v>Deficit repair contributions - C22</v>
      </c>
      <c r="C98" s="707" t="str" cm="1">
        <f t="array" aca="1" ref="C98" ca="1">INDIRECT(LEFT(I98, FIND("!", I98)) &amp; RefData!$C$426 &amp; RIGHT(I98, LEN(I98) - FIND("!", I98) - 1))</f>
        <v xml:space="preserve">
Year 16
</v>
      </c>
      <c r="D98" s="92" t="str">
        <f t="shared" ca="1" si="15"/>
        <v/>
      </c>
      <c r="E98" s="708" t="str" cm="1">
        <f t="array" aca="1" ref="E98" ca="1">IF(INDIRECT($I98)= "", "", INDIRECT($I98))</f>
        <v/>
      </c>
      <c r="F98" s="709" t="str" cm="1">
        <f t="array" aca="1" ref="F98" ca="1">INDIRECT(LEFT(I98, FIND("!", I98)) &amp; RefData!$C$427 &amp; RIGHT(I98, LEN(I98) - FIND("!", I98) - 1))</f>
        <v>DRC 16.0</v>
      </c>
      <c r="G98" s="710" t="b">
        <f ca="1">IF(ISNUMBER(SEARCH(RefData!$B$2, $C98)), FALSE, TRUE)</f>
        <v>1</v>
      </c>
      <c r="H98" s="96">
        <f>'Deficit repair contributions'!C22</f>
        <v>0</v>
      </c>
      <c r="I98" s="712" t="str">
        <f t="shared" ca="1" si="21"/>
        <v>'Deficit repair contributions'!C22</v>
      </c>
      <c r="J98" s="713" t="b" cm="1">
        <f t="array" aca="1" ref="J98" ca="1">IF(COUNTIF($K98:$T98, "&lt;&gt;FALSE") - COUNTBLANK($K98:$T98) &gt; 0, INDEX($K98:$T98, MATCH(TRUE, $K98:$T98 &lt;&gt; FALSE, 0)))</f>
        <v>0</v>
      </c>
      <c r="K98" s="712" t="b">
        <f ca="1">IF(AND('Start here'!$C$25=RefData!$B$15,'Reconciliation report'!$E98&lt;&gt;""),ErrorMsgs!$B98)</f>
        <v>0</v>
      </c>
      <c r="L98" s="712" t="b">
        <f ca="1">IF(AND('Start here'!$C$26=RefData!$B$9,'Start here'!$C$25=RefData!$B$16,'Reconciliation report'!E98&lt;&gt;""),ErrorMsgs!$C98)</f>
        <v>0</v>
      </c>
      <c r="M98" s="712" t="b">
        <f ca="1">IF(AND('Start here'!$C$26=RefData!$B$10,'Start here'!$C$25=RefData!$B$16,'Reconciliation report'!$E98=""),ErrorMsgs!$D98)</f>
        <v>0</v>
      </c>
      <c r="N98" s="712" t="b">
        <f ca="1">IF($E98="",FALSE,IF(NOT(ISNUMBER($E98)),ErrorMsgs!$E98,IF($E98-ROUND($E98,2)&lt;&gt;0,ErrorMsgs!$E98)))</f>
        <v>0</v>
      </c>
      <c r="O98" s="712" t="b">
        <f ca="1">IF($E98="",FALSE,IF($E98&lt;0,ErrorMsgs!$E98))</f>
        <v>0</v>
      </c>
      <c r="P98" s="712" t="b">
        <f ca="1">IF($E98="",FALSE,IF($E98&gt;=1000000000000,ErrorMsgs!$E98))</f>
        <v>0</v>
      </c>
      <c r="Q98" s="712"/>
      <c r="R98" s="712"/>
      <c r="S98" s="712"/>
      <c r="T98" s="712"/>
      <c r="U98" s="526" t="str">
        <f t="shared" ca="1" si="17"/>
        <v/>
      </c>
      <c r="V98" s="93" t="str" cm="1">
        <f t="array" aca="1" ref="V98" ca="1">CELL("format",INDIRECT(I98))</f>
        <v>C2</v>
      </c>
      <c r="W98" s="93" t="b">
        <f t="shared" ca="1" si="18"/>
        <v>0</v>
      </c>
      <c r="X98" s="715" t="str">
        <f t="shared" ca="1" si="16"/>
        <v/>
      </c>
      <c r="Y98" t="b">
        <f t="shared" ca="1" si="19"/>
        <v>1</v>
      </c>
    </row>
    <row r="99" spans="1:25" ht="46.5">
      <c r="A99" s="705" t="s">
        <v>3105</v>
      </c>
      <c r="B99" s="706" t="str">
        <f t="shared" ca="1" si="20"/>
        <v>Deficit repair contributions - C23</v>
      </c>
      <c r="C99" s="707" t="str" cm="1">
        <f t="array" aca="1" ref="C99" ca="1">INDIRECT(LEFT(I99, FIND("!", I99)) &amp; RefData!$C$426 &amp; RIGHT(I99, LEN(I99) - FIND("!", I99) - 1))</f>
        <v xml:space="preserve">
Year 17
</v>
      </c>
      <c r="D99" s="92" t="str">
        <f t="shared" ca="1" si="15"/>
        <v/>
      </c>
      <c r="E99" s="708" t="str" cm="1">
        <f t="array" aca="1" ref="E99" ca="1">IF(INDIRECT($I99)= "", "", INDIRECT($I99))</f>
        <v/>
      </c>
      <c r="F99" s="709" t="str" cm="1">
        <f t="array" aca="1" ref="F99" ca="1">INDIRECT(LEFT(I99, FIND("!", I99)) &amp; RefData!$C$427 &amp; RIGHT(I99, LEN(I99) - FIND("!", I99) - 1))</f>
        <v>DRC 17.0</v>
      </c>
      <c r="G99" s="710" t="b">
        <f ca="1">IF(ISNUMBER(SEARCH(RefData!$B$2, $C99)), FALSE, TRUE)</f>
        <v>1</v>
      </c>
      <c r="H99" s="96">
        <f>'Deficit repair contributions'!C23</f>
        <v>0</v>
      </c>
      <c r="I99" s="712" t="str">
        <f t="shared" ca="1" si="21"/>
        <v>'Deficit repair contributions'!C23</v>
      </c>
      <c r="J99" s="713" t="b" cm="1">
        <f t="array" aca="1" ref="J99" ca="1">IF(COUNTIF($K99:$T99, "&lt;&gt;FALSE") - COUNTBLANK($K99:$T99) &gt; 0, INDEX($K99:$T99, MATCH(TRUE, $K99:$T99 &lt;&gt; FALSE, 0)))</f>
        <v>0</v>
      </c>
      <c r="K99" s="712" t="b">
        <f ca="1">IF(AND('Start here'!$C$25=RefData!$B$15,'Reconciliation report'!$E99&lt;&gt;""),ErrorMsgs!$B99)</f>
        <v>0</v>
      </c>
      <c r="L99" s="712" t="b">
        <f ca="1">IF(AND('Start here'!$C$26=RefData!$B$9,'Start here'!$C$25=RefData!$B$16,'Reconciliation report'!E99&lt;&gt;""),ErrorMsgs!$C99)</f>
        <v>0</v>
      </c>
      <c r="M99" s="712" t="b">
        <f ca="1">IF(AND('Start here'!$C$26=RefData!$B$10,'Start here'!$C$25=RefData!$B$16,'Reconciliation report'!$E99=""),ErrorMsgs!$D99)</f>
        <v>0</v>
      </c>
      <c r="N99" s="712" t="b">
        <f ca="1">IF($E99="",FALSE,IF(NOT(ISNUMBER($E99)),ErrorMsgs!$E99,IF($E99-ROUND($E99,2)&lt;&gt;0,ErrorMsgs!$E99)))</f>
        <v>0</v>
      </c>
      <c r="O99" s="712" t="b">
        <f ca="1">IF($E99="",FALSE,IF($E99&lt;0,ErrorMsgs!$E99))</f>
        <v>0</v>
      </c>
      <c r="P99" s="712" t="b">
        <f ca="1">IF($E99="",FALSE,IF($E99&gt;=1000000000000,ErrorMsgs!$E99))</f>
        <v>0</v>
      </c>
      <c r="Q99" s="712"/>
      <c r="R99" s="712"/>
      <c r="S99" s="712"/>
      <c r="T99" s="712"/>
      <c r="U99" s="526" t="str">
        <f t="shared" ca="1" si="17"/>
        <v/>
      </c>
      <c r="V99" s="93" t="str" cm="1">
        <f t="array" aca="1" ref="V99" ca="1">CELL("format",INDIRECT(I99))</f>
        <v>C2</v>
      </c>
      <c r="W99" s="93" t="b">
        <f t="shared" ca="1" si="18"/>
        <v>0</v>
      </c>
      <c r="X99" s="715" t="str">
        <f t="shared" ca="1" si="16"/>
        <v/>
      </c>
      <c r="Y99" t="b">
        <f t="shared" ca="1" si="19"/>
        <v>1</v>
      </c>
    </row>
    <row r="100" spans="1:25" ht="46.5">
      <c r="A100" s="705" t="s">
        <v>3106</v>
      </c>
      <c r="B100" s="706" t="str">
        <f t="shared" ca="1" si="20"/>
        <v>Deficit repair contributions - C24</v>
      </c>
      <c r="C100" s="707" t="str" cm="1">
        <f t="array" aca="1" ref="C100" ca="1">INDIRECT(LEFT(I100, FIND("!", I100)) &amp; RefData!$C$426 &amp; RIGHT(I100, LEN(I100) - FIND("!", I100) - 1))</f>
        <v xml:space="preserve">
Year 18
</v>
      </c>
      <c r="D100" s="92" t="str">
        <f t="shared" ca="1" si="15"/>
        <v/>
      </c>
      <c r="E100" s="708" t="str" cm="1">
        <f t="array" aca="1" ref="E100" ca="1">IF(INDIRECT($I100)= "", "", INDIRECT($I100))</f>
        <v/>
      </c>
      <c r="F100" s="709" t="str" cm="1">
        <f t="array" aca="1" ref="F100" ca="1">INDIRECT(LEFT(I100, FIND("!", I100)) &amp; RefData!$C$427 &amp; RIGHT(I100, LEN(I100) - FIND("!", I100) - 1))</f>
        <v>DRC 18.0</v>
      </c>
      <c r="G100" s="710" t="b">
        <f ca="1">IF(ISNUMBER(SEARCH(RefData!$B$2, $C100)), FALSE, TRUE)</f>
        <v>1</v>
      </c>
      <c r="H100" s="96">
        <f>'Deficit repair contributions'!C24</f>
        <v>0</v>
      </c>
      <c r="I100" s="712" t="str">
        <f t="shared" ca="1" si="21"/>
        <v>'Deficit repair contributions'!C24</v>
      </c>
      <c r="J100" s="713" t="b" cm="1">
        <f t="array" aca="1" ref="J100" ca="1">IF(COUNTIF($K100:$T100, "&lt;&gt;FALSE") - COUNTBLANK($K100:$T100) &gt; 0, INDEX($K100:$T100, MATCH(TRUE, $K100:$T100 &lt;&gt; FALSE, 0)))</f>
        <v>0</v>
      </c>
      <c r="K100" s="712" t="b">
        <f ca="1">IF(AND('Start here'!$C$25=RefData!$B$15,'Reconciliation report'!$E100&lt;&gt;""),ErrorMsgs!$B100)</f>
        <v>0</v>
      </c>
      <c r="L100" s="712" t="b">
        <f ca="1">IF(AND('Start here'!$C$26=RefData!$B$9,'Start here'!$C$25=RefData!$B$16,'Reconciliation report'!E100&lt;&gt;""),ErrorMsgs!$C100)</f>
        <v>0</v>
      </c>
      <c r="M100" s="712" t="b">
        <f ca="1">IF(AND('Start here'!$C$26=RefData!$B$10,'Start here'!$C$25=RefData!$B$16,'Reconciliation report'!$E100=""),ErrorMsgs!$D100)</f>
        <v>0</v>
      </c>
      <c r="N100" s="712" t="b">
        <f ca="1">IF($E100="",FALSE,IF(NOT(ISNUMBER($E100)),ErrorMsgs!$E100,IF($E100-ROUND($E100,2)&lt;&gt;0,ErrorMsgs!$E100)))</f>
        <v>0</v>
      </c>
      <c r="O100" s="712" t="b">
        <f ca="1">IF($E100="",FALSE,IF($E100&lt;0,ErrorMsgs!$E100))</f>
        <v>0</v>
      </c>
      <c r="P100" s="712" t="b">
        <f ca="1">IF($E100="",FALSE,IF($E100&gt;=1000000000000,ErrorMsgs!$E100))</f>
        <v>0</v>
      </c>
      <c r="Q100" s="712"/>
      <c r="R100" s="712"/>
      <c r="S100" s="712"/>
      <c r="T100" s="712"/>
      <c r="U100" s="526" t="str">
        <f t="shared" ca="1" si="17"/>
        <v/>
      </c>
      <c r="V100" s="93" t="str" cm="1">
        <f t="array" aca="1" ref="V100" ca="1">CELL("format",INDIRECT(I100))</f>
        <v>C2</v>
      </c>
      <c r="W100" s="93" t="b">
        <f t="shared" ca="1" si="18"/>
        <v>0</v>
      </c>
      <c r="X100" s="715" t="str">
        <f t="shared" ca="1" si="16"/>
        <v/>
      </c>
      <c r="Y100" t="b">
        <f t="shared" ca="1" si="19"/>
        <v>1</v>
      </c>
    </row>
    <row r="101" spans="1:25" ht="46.5">
      <c r="A101" s="705" t="s">
        <v>3107</v>
      </c>
      <c r="B101" s="706" t="str">
        <f t="shared" ca="1" si="20"/>
        <v>Deficit repair contributions - C25</v>
      </c>
      <c r="C101" s="707" t="str" cm="1">
        <f t="array" aca="1" ref="C101" ca="1">INDIRECT(LEFT(I101, FIND("!", I101)) &amp; RefData!$C$426 &amp; RIGHT(I101, LEN(I101) - FIND("!", I101) - 1))</f>
        <v xml:space="preserve">
Year 19
</v>
      </c>
      <c r="D101" s="92" t="str">
        <f t="shared" ca="1" si="15"/>
        <v/>
      </c>
      <c r="E101" s="708" t="str" cm="1">
        <f t="array" aca="1" ref="E101" ca="1">IF(INDIRECT($I101)= "", "", INDIRECT($I101))</f>
        <v/>
      </c>
      <c r="F101" s="709" t="str" cm="1">
        <f t="array" aca="1" ref="F101" ca="1">INDIRECT(LEFT(I101, FIND("!", I101)) &amp; RefData!$C$427 &amp; RIGHT(I101, LEN(I101) - FIND("!", I101) - 1))</f>
        <v>DRC 19.0</v>
      </c>
      <c r="G101" s="710" t="b">
        <f ca="1">IF(ISNUMBER(SEARCH(RefData!$B$2, $C101)), FALSE, TRUE)</f>
        <v>1</v>
      </c>
      <c r="H101" s="96">
        <f>'Deficit repair contributions'!C25</f>
        <v>0</v>
      </c>
      <c r="I101" s="712" t="str">
        <f t="shared" ca="1" si="21"/>
        <v>'Deficit repair contributions'!C25</v>
      </c>
      <c r="J101" s="713" t="b" cm="1">
        <f t="array" aca="1" ref="J101" ca="1">IF(COUNTIF($K101:$T101, "&lt;&gt;FALSE") - COUNTBLANK($K101:$T101) &gt; 0, INDEX($K101:$T101, MATCH(TRUE, $K101:$T101 &lt;&gt; FALSE, 0)))</f>
        <v>0</v>
      </c>
      <c r="K101" s="712" t="b">
        <f ca="1">IF(AND('Start here'!$C$25=RefData!$B$15,'Reconciliation report'!$E101&lt;&gt;""),ErrorMsgs!$B101)</f>
        <v>0</v>
      </c>
      <c r="L101" s="712" t="b">
        <f ca="1">IF(AND('Start here'!$C$26=RefData!$B$9,'Start here'!$C$25=RefData!$B$16,'Reconciliation report'!E101&lt;&gt;""),ErrorMsgs!$C101)</f>
        <v>0</v>
      </c>
      <c r="M101" s="712" t="b">
        <f ca="1">IF(AND('Start here'!$C$26=RefData!$B$10,'Start here'!$C$25=RefData!$B$16,'Reconciliation report'!$E101=""),ErrorMsgs!$D101)</f>
        <v>0</v>
      </c>
      <c r="N101" s="712" t="b">
        <f ca="1">IF($E101="",FALSE,IF(NOT(ISNUMBER($E101)),ErrorMsgs!$E101,IF($E101-ROUND($E101,2)&lt;&gt;0,ErrorMsgs!$E101)))</f>
        <v>0</v>
      </c>
      <c r="O101" s="712" t="b">
        <f ca="1">IF($E101="",FALSE,IF($E101&lt;0,ErrorMsgs!$E101))</f>
        <v>0</v>
      </c>
      <c r="P101" s="712" t="b">
        <f ca="1">IF($E101="",FALSE,IF($E101&gt;=1000000000000,ErrorMsgs!$E101))</f>
        <v>0</v>
      </c>
      <c r="Q101" s="712"/>
      <c r="R101" s="712"/>
      <c r="S101" s="712"/>
      <c r="T101" s="712"/>
      <c r="U101" s="526" t="str">
        <f t="shared" ca="1" si="17"/>
        <v/>
      </c>
      <c r="V101" s="93" t="str" cm="1">
        <f t="array" aca="1" ref="V101" ca="1">CELL("format",INDIRECT(I101))</f>
        <v>C2</v>
      </c>
      <c r="W101" s="93" t="b">
        <f t="shared" ca="1" si="18"/>
        <v>0</v>
      </c>
      <c r="X101" s="715" t="str">
        <f t="shared" ca="1" si="16"/>
        <v/>
      </c>
      <c r="Y101" t="b">
        <f t="shared" ca="1" si="19"/>
        <v>1</v>
      </c>
    </row>
    <row r="102" spans="1:25" ht="46.5">
      <c r="A102" s="705" t="s">
        <v>3108</v>
      </c>
      <c r="B102" s="706" t="str">
        <f t="shared" ca="1" si="20"/>
        <v>Deficit repair contributions - C26</v>
      </c>
      <c r="C102" s="707" t="str" cm="1">
        <f t="array" aca="1" ref="C102" ca="1">INDIRECT(LEFT(I102, FIND("!", I102)) &amp; RefData!$C$426 &amp; RIGHT(I102, LEN(I102) - FIND("!", I102) - 1))</f>
        <v xml:space="preserve">
Year 20
</v>
      </c>
      <c r="D102" s="92" t="str">
        <f t="shared" ca="1" si="15"/>
        <v/>
      </c>
      <c r="E102" s="708" t="str" cm="1">
        <f t="array" aca="1" ref="E102" ca="1">IF(INDIRECT($I102)= "", "", INDIRECT($I102))</f>
        <v/>
      </c>
      <c r="F102" s="709" t="str" cm="1">
        <f t="array" aca="1" ref="F102" ca="1">INDIRECT(LEFT(I102, FIND("!", I102)) &amp; RefData!$C$427 &amp; RIGHT(I102, LEN(I102) - FIND("!", I102) - 1))</f>
        <v>DRC 20.0</v>
      </c>
      <c r="G102" s="710" t="b">
        <f ca="1">IF(ISNUMBER(SEARCH(RefData!$B$2, $C102)), FALSE, TRUE)</f>
        <v>1</v>
      </c>
      <c r="H102" s="96">
        <f>'Deficit repair contributions'!C26</f>
        <v>0</v>
      </c>
      <c r="I102" s="712" t="str">
        <f t="shared" ca="1" si="21"/>
        <v>'Deficit repair contributions'!C26</v>
      </c>
      <c r="J102" s="713" t="b" cm="1">
        <f t="array" aca="1" ref="J102" ca="1">IF(COUNTIF($K102:$T102, "&lt;&gt;FALSE") - COUNTBLANK($K102:$T102) &gt; 0, INDEX($K102:$T102, MATCH(TRUE, $K102:$T102 &lt;&gt; FALSE, 0)))</f>
        <v>0</v>
      </c>
      <c r="K102" s="712" t="b">
        <f ca="1">IF(AND('Start here'!$C$25=RefData!$B$15,'Reconciliation report'!$E102&lt;&gt;""),ErrorMsgs!$B102)</f>
        <v>0</v>
      </c>
      <c r="L102" s="712" t="b">
        <f ca="1">IF(AND('Start here'!$C$26=RefData!$B$9,'Start here'!$C$25=RefData!$B$16,'Reconciliation report'!E102&lt;&gt;""),ErrorMsgs!$C102)</f>
        <v>0</v>
      </c>
      <c r="M102" s="712" t="b">
        <f ca="1">IF(AND('Start here'!$C$26=RefData!$B$10,'Start here'!$C$25=RefData!$B$16,'Reconciliation report'!$E102=""),ErrorMsgs!$D102)</f>
        <v>0</v>
      </c>
      <c r="N102" s="712" t="b">
        <f ca="1">IF($E102="",FALSE,IF(NOT(ISNUMBER($E102)),ErrorMsgs!$E102,IF($E102-ROUND($E102,2)&lt;&gt;0,ErrorMsgs!$E102)))</f>
        <v>0</v>
      </c>
      <c r="O102" s="712" t="b">
        <f ca="1">IF($E102="",FALSE,IF($E102&lt;0,ErrorMsgs!$E102))</f>
        <v>0</v>
      </c>
      <c r="P102" s="712" t="b">
        <f ca="1">IF($E102="",FALSE,IF($E102&gt;=1000000000000,ErrorMsgs!$E102))</f>
        <v>0</v>
      </c>
      <c r="Q102" s="712"/>
      <c r="R102" s="712"/>
      <c r="S102" s="712"/>
      <c r="T102" s="712"/>
      <c r="U102" s="526" t="str">
        <f t="shared" ca="1" si="17"/>
        <v/>
      </c>
      <c r="V102" s="93" t="str" cm="1">
        <f t="array" aca="1" ref="V102" ca="1">CELL("format",INDIRECT(I102))</f>
        <v>C2</v>
      </c>
      <c r="W102" s="93" t="b">
        <f t="shared" ca="1" si="18"/>
        <v>0</v>
      </c>
      <c r="X102" s="715" t="str">
        <f t="shared" ca="1" si="16"/>
        <v/>
      </c>
      <c r="Y102" t="b">
        <f t="shared" ca="1" si="19"/>
        <v>1</v>
      </c>
    </row>
    <row r="103" spans="1:25" ht="46.5">
      <c r="A103" s="705" t="s">
        <v>3109</v>
      </c>
      <c r="B103" s="706" t="str">
        <f t="shared" ca="1" si="20"/>
        <v>Deficit repair contributions - C27</v>
      </c>
      <c r="C103" s="707" t="str" cm="1">
        <f t="array" aca="1" ref="C103" ca="1">INDIRECT(LEFT(I103, FIND("!", I103)) &amp; RefData!$C$426 &amp; RIGHT(I103, LEN(I103) - FIND("!", I103) - 1))</f>
        <v xml:space="preserve">
Year 21+
</v>
      </c>
      <c r="D103" s="92" t="str">
        <f t="shared" ca="1" si="15"/>
        <v/>
      </c>
      <c r="E103" s="708" t="str" cm="1">
        <f t="array" aca="1" ref="E103" ca="1">IF(INDIRECT($I103)= "", "", INDIRECT($I103))</f>
        <v/>
      </c>
      <c r="F103" s="709" t="str" cm="1">
        <f t="array" aca="1" ref="F103" ca="1">INDIRECT(LEFT(I103, FIND("!", I103)) &amp; RefData!$C$427 &amp; RIGHT(I103, LEN(I103) - FIND("!", I103) - 1))</f>
        <v>DRC 21.0</v>
      </c>
      <c r="G103" s="710" t="b">
        <f ca="1">IF(ISNUMBER(SEARCH(RefData!$B$2, $C103)), FALSE, TRUE)</f>
        <v>1</v>
      </c>
      <c r="H103" s="96">
        <f>'Deficit repair contributions'!C27</f>
        <v>0</v>
      </c>
      <c r="I103" s="726" t="str">
        <f t="shared" ca="1" si="21"/>
        <v>'Deficit repair contributions'!C27</v>
      </c>
      <c r="J103" s="713" t="b" cm="1">
        <f t="array" aca="1" ref="J103" ca="1">IF(COUNTIF($K103:$T103, "&lt;&gt;FALSE") - COUNTBLANK($K103:$T103) &gt; 0, INDEX($K103:$T103, MATCH(TRUE, $K103:$T103 &lt;&gt; FALSE, 0)))</f>
        <v>0</v>
      </c>
      <c r="K103" s="712" t="b">
        <f ca="1">IF(AND('Start here'!$C$25=RefData!$B$15,'Reconciliation report'!$E103&lt;&gt;""),ErrorMsgs!$B103)</f>
        <v>0</v>
      </c>
      <c r="L103" s="712" t="b">
        <f ca="1">IF(AND('Start here'!$C$26=RefData!$B$9,'Start here'!$C$25=RefData!$B$16,'Reconciliation report'!E103&lt;&gt;""),ErrorMsgs!$C103)</f>
        <v>0</v>
      </c>
      <c r="M103" s="712" t="b">
        <f ca="1">IF(AND('Start here'!$C$26=RefData!$B$10,'Start here'!$C$25=RefData!$B$16,'Reconciliation report'!$E103=""),ErrorMsgs!$D103)</f>
        <v>0</v>
      </c>
      <c r="N103" s="712" t="b">
        <f ca="1">IF($E103="",FALSE,IF(NOT(ISNUMBER($E103)),ErrorMsgs!$E103,IF($E103-ROUND($E103,2)&lt;&gt;0,ErrorMsgs!$E103)))</f>
        <v>0</v>
      </c>
      <c r="O103" s="712" t="b">
        <f ca="1">IF($E103="",FALSE,IF($E103&lt;0,ErrorMsgs!$E103))</f>
        <v>0</v>
      </c>
      <c r="P103" s="712" t="b">
        <f ca="1">IF($E103="",FALSE,IF($E103&gt;=1000000000000,ErrorMsgs!$E103))</f>
        <v>0</v>
      </c>
      <c r="Q103" s="712"/>
      <c r="R103" s="712"/>
      <c r="S103" s="712"/>
      <c r="T103" s="712"/>
      <c r="U103" s="526" t="str">
        <f t="shared" ca="1" si="17"/>
        <v/>
      </c>
      <c r="V103" s="93" t="str" cm="1">
        <f t="array" aca="1" ref="V103" ca="1">CELL("format",INDIRECT(I103))</f>
        <v>C2</v>
      </c>
      <c r="W103" s="93" t="b">
        <f t="shared" ca="1" si="18"/>
        <v>0</v>
      </c>
      <c r="X103" s="715" t="str">
        <f t="shared" ca="1" si="16"/>
        <v/>
      </c>
      <c r="Y103" t="b">
        <f t="shared" ca="1" si="19"/>
        <v>1</v>
      </c>
    </row>
    <row r="104" spans="1:25" ht="46.5">
      <c r="A104" s="705" t="s">
        <v>3110</v>
      </c>
      <c r="B104" s="706" t="str">
        <f t="shared" ca="1" si="20"/>
        <v>Discount rates - C7</v>
      </c>
      <c r="C104" s="707" t="str" cm="1">
        <f t="array" aca="1" ref="C104" ca="1">INDIRECT(LEFT(I104, FIND("!", I104)) &amp; RefData!$C$426 &amp; RIGHT(I104, LEN(I104) - FIND("!", I104) - 1))</f>
        <v xml:space="preserve">
Are you providing yield curve information or a spot rate?
</v>
      </c>
      <c r="D104" s="92" t="str">
        <f t="shared" ca="1" si="15"/>
        <v/>
      </c>
      <c r="E104" s="708" t="str" cm="1">
        <f t="array" aca="1" ref="E104" ca="1">IF(INDIRECT($I104)= "", "", INDIRECT($I104))</f>
        <v/>
      </c>
      <c r="F104" s="709" t="str" cm="1">
        <f t="array" aca="1" ref="F104" ca="1">INDIRECT(LEFT(I104, FIND("!", I104)) &amp; RefData!$C$427 &amp; RIGHT(I104, LEN(I104) - FIND("!", I104) - 1))</f>
        <v>DR 1.0</v>
      </c>
      <c r="G104" s="710" t="b">
        <f ca="1">IF(ISNUMBER(SEARCH(RefData!$B$2, $C104)), FALSE, TRUE)</f>
        <v>1</v>
      </c>
      <c r="H104" s="719">
        <f>'Discount rates'!C7</f>
        <v>0</v>
      </c>
      <c r="I104" s="712" t="str">
        <f t="shared" ca="1" si="21"/>
        <v>'Discount rates'!C7</v>
      </c>
      <c r="J104" s="713" t="b" cm="1">
        <f t="array" aca="1" ref="J104" ca="1">IF(COUNTIF($K104:$T104, "&lt;&gt;FALSE") - COUNTBLANK($K104:$T104) &gt; 0, INDEX($K104:$T104, MATCH(TRUE, $K104:$T104 &lt;&gt; FALSE, 0)))</f>
        <v>0</v>
      </c>
      <c r="K104" s="712" t="b">
        <f ca="1">IF(AND('Start here'!$C$24=RefData!$B$5,'Reconciliation report'!$E104&lt;&gt;""),ErrorMsgs!$B104)</f>
        <v>0</v>
      </c>
      <c r="L104" s="712" t="b">
        <f ca="1">IF(AND('Start here'!$C$24=RefData!$B$4,'Reconciliation report'!$E104=""),ErrorMsgs!$C104)</f>
        <v>0</v>
      </c>
      <c r="M104" s="714" t="b">
        <f ca="1">IF(E104="",FALSE,IF(ISNA(MATCH($E104,RefData!$B$7:$B$8,0)),ErrorMsgs!$D104))</f>
        <v>0</v>
      </c>
      <c r="N104" s="714"/>
      <c r="O104" s="712"/>
      <c r="P104" s="712"/>
      <c r="Q104" s="712"/>
      <c r="R104" s="712"/>
      <c r="S104" s="712"/>
      <c r="T104" s="712"/>
      <c r="U104" s="526" t="str">
        <f t="shared" ca="1" si="17"/>
        <v/>
      </c>
      <c r="V104" s="93" t="str" cm="1">
        <f t="array" aca="1" ref="V104" ca="1">CELL("format",INDIRECT(I104))</f>
        <v>G</v>
      </c>
      <c r="W104" s="93" t="b">
        <f t="shared" ca="1" si="18"/>
        <v>0</v>
      </c>
      <c r="X104" s="715" t="str">
        <f t="shared" ca="1" si="16"/>
        <v/>
      </c>
      <c r="Y104" t="b">
        <f t="shared" ca="1" si="19"/>
        <v>1</v>
      </c>
    </row>
    <row r="105" spans="1:25" ht="139.5">
      <c r="A105" s="705" t="s">
        <v>3111</v>
      </c>
      <c r="B105" s="706" t="str">
        <f t="shared" ca="1" si="20"/>
        <v>Discount rates - C8</v>
      </c>
      <c r="C105" s="707" t="str" cm="1">
        <f t="array" aca="1" ref="C105" ca="1">INDIRECT(LEFT(I105, FIND("!", I105)) &amp; RefData!$C$426 &amp; RIGHT(I105, LEN(I105) - FIND("!", I105) - 1))</f>
        <v xml:space="preserve">
What is the discount rate methodology used to calculate the technical provisions?
</v>
      </c>
      <c r="D105" s="92" t="str">
        <f t="shared" ca="1" si="15"/>
        <v xml:space="preserve">
Select one of the following options from the drop-down list.
- Pre and post retirement
- Horizon method
- Multiple horizon
- Dynamic
- Constant addition
- Other
</v>
      </c>
      <c r="E105" s="708" t="str" cm="1">
        <f t="array" aca="1" ref="E105" ca="1">IF(INDIRECT($I105)= "", "", INDIRECT($I105))</f>
        <v/>
      </c>
      <c r="F105" s="709" t="str" cm="1">
        <f t="array" aca="1" ref="F105" ca="1">INDIRECT(LEFT(I105, FIND("!", I105)) &amp; RefData!$C$427 &amp; RIGHT(I105, LEN(I105) - FIND("!", I105) - 1))</f>
        <v>DR 2.0</v>
      </c>
      <c r="G105" s="710" t="b">
        <f ca="1">IF(ISNUMBER(SEARCH(RefData!$B$2, $C105)), FALSE, TRUE)</f>
        <v>1</v>
      </c>
      <c r="H105" s="711">
        <f>'Discount rates'!C8</f>
        <v>0</v>
      </c>
      <c r="I105" s="712" t="str">
        <f t="shared" ca="1" si="21"/>
        <v>'Discount rates'!C8</v>
      </c>
      <c r="J105" s="713" t="str" cm="1">
        <f t="array" aca="1" ref="J105" ca="1">IF(COUNTIF($K105:$T105, "&lt;&gt;FALSE") - COUNTBLANK($K105:$T105) &gt; 0, INDEX($K105:$T105, MATCH(TRUE, $K105:$T105 &lt;&gt; FALSE, 0)))</f>
        <v xml:space="preserve">
Select one of the following options from the drop-down list.
- Pre and post retirement
- Horizon method
- Multiple horizon
- Dynamic
- Constant addition
- Other
</v>
      </c>
      <c r="K105" s="712" t="str">
        <f ca="1">IF($E105="",ErrorMsgs!$B105)</f>
        <v xml:space="preserve">
Select one of the following options from the drop-down list.
- Pre and post retirement
- Horizon method
- Multiple horizon
- Dynamic
- Constant addition
- Other
</v>
      </c>
      <c r="L105" s="712" t="str">
        <f ca="1">IF(OR(ISERROR($E105), ISNA(MATCH($E105, RefData!$B$35:$B$40, 0))), ErrorMsgs!$C105)</f>
        <v xml:space="preserve">
You must select an option from the drop-down list.
</v>
      </c>
      <c r="M105" s="714"/>
      <c r="N105" s="714"/>
      <c r="O105" s="712"/>
      <c r="P105" s="712"/>
      <c r="Q105" s="712"/>
      <c r="R105" s="712"/>
      <c r="S105" s="712"/>
      <c r="T105" s="712"/>
      <c r="U105" s="526" t="str">
        <f t="shared" ca="1" si="17"/>
        <v/>
      </c>
      <c r="V105" s="93" t="str" cm="1">
        <f t="array" aca="1" ref="V105" ca="1">CELL("format",INDIRECT(I105))</f>
        <v>G</v>
      </c>
      <c r="W105" s="93" t="b">
        <f t="shared" ca="1" si="18"/>
        <v>0</v>
      </c>
      <c r="X105" s="715" t="str">
        <f t="shared" ca="1" si="16"/>
        <v/>
      </c>
      <c r="Y105" t="b">
        <f t="shared" ca="1" si="19"/>
        <v>1</v>
      </c>
    </row>
    <row r="106" spans="1:25" ht="62">
      <c r="A106" s="705" t="s">
        <v>3112</v>
      </c>
      <c r="B106" s="706" t="str">
        <f t="shared" ca="1" si="20"/>
        <v>Discount rates - C9</v>
      </c>
      <c r="C106" s="707" t="str" cm="1">
        <f t="array" aca="1" ref="C106" ca="1">INDIRECT(LEFT(I106, FIND("!", I106)) &amp; RefData!$C$426 &amp; RIGHT(I106, LEN(I106) - FIND("!", I106) - 1))</f>
        <v xml:space="preserve">No answer required
Describe the discount rate methodology used.
</v>
      </c>
      <c r="D106" s="92" t="str">
        <f t="shared" ca="1" si="15"/>
        <v/>
      </c>
      <c r="E106" s="708" t="str" cm="1">
        <f t="array" aca="1" ref="E106" ca="1">IF(INDIRECT($I106)= "", "", INDIRECT($I106))</f>
        <v/>
      </c>
      <c r="F106" s="709" t="str" cm="1">
        <f t="array" aca="1" ref="F106" ca="1">INDIRECT(LEFT(I106, FIND("!", I106)) &amp; RefData!$C$427 &amp; RIGHT(I106, LEN(I106) - FIND("!", I106) - 1))</f>
        <v>DR 3.0</v>
      </c>
      <c r="G106" s="710" t="b">
        <f ca="1">IF(ISNUMBER(SEARCH(RefData!$B$2, $C106)), FALSE, TRUE)</f>
        <v>0</v>
      </c>
      <c r="H106" s="711">
        <f>'Discount rates'!C9</f>
        <v>0</v>
      </c>
      <c r="I106" s="712" t="str">
        <f t="shared" ca="1" si="21"/>
        <v>'Discount rates'!C9</v>
      </c>
      <c r="J106" s="713" t="b" cm="1">
        <f t="array" aca="1" ref="J106" ca="1">IF(COUNTIF($K106:$T106, "&lt;&gt;FALSE") - COUNTBLANK($K106:$T106) &gt; 0, INDEX($K106:$T106, MATCH(TRUE, $K106:$T106 &lt;&gt; FALSE, 0)))</f>
        <v>0</v>
      </c>
      <c r="K106" s="712" t="b">
        <f ca="1">IF(AND($E$105&lt;&gt;RefData!$B$40, $E$106&lt;&gt;""),ErrorMsgs!$B106)</f>
        <v>0</v>
      </c>
      <c r="L106" s="712" t="b">
        <f ca="1">IF(AND($E$105=RefData!$B$40,'Reconciliation report'!$E106=""),ErrorMsgs!$C106)</f>
        <v>0</v>
      </c>
      <c r="M106" s="714" t="b">
        <f ca="1">IF(LEN($E106)&gt;4000,ErrorMsgs!$D106)</f>
        <v>0</v>
      </c>
      <c r="N106" s="714"/>
      <c r="O106" s="712"/>
      <c r="P106" s="712"/>
      <c r="Q106" s="712"/>
      <c r="R106" s="712"/>
      <c r="S106" s="712"/>
      <c r="T106" s="712"/>
      <c r="U106" s="526" t="str">
        <f t="shared" ca="1" si="17"/>
        <v/>
      </c>
      <c r="V106" s="93" t="str" cm="1">
        <f t="array" aca="1" ref="V106" ca="1">CELL("format",INDIRECT(I106))</f>
        <v>G</v>
      </c>
      <c r="W106" s="93" t="b">
        <f t="shared" ca="1" si="18"/>
        <v>0</v>
      </c>
      <c r="X106" s="715" t="str">
        <f t="shared" ca="1" si="16"/>
        <v/>
      </c>
      <c r="Y106" t="b">
        <f t="shared" ca="1" si="19"/>
        <v>1</v>
      </c>
    </row>
    <row r="107" spans="1:25" ht="62">
      <c r="A107" s="705" t="s">
        <v>3113</v>
      </c>
      <c r="B107" s="706" t="str">
        <f t="shared" ca="1" si="20"/>
        <v>Discount rates - C10</v>
      </c>
      <c r="C107" s="707" t="str" cm="1">
        <f t="array" aca="1" ref="C107" ca="1">INDIRECT(LEFT(I107, FIND("!", I107)) &amp; RefData!$C$426 &amp; RIGHT(I107, LEN(I107) - FIND("!", I107) - 1))</f>
        <v xml:space="preserve">
Briefly explain how the trustees expect the discount rate to change over time?
</v>
      </c>
      <c r="D107" s="92" t="str">
        <f t="shared" ca="1" si="15"/>
        <v/>
      </c>
      <c r="E107" s="708" t="str" cm="1">
        <f t="array" aca="1" ref="E107" ca="1">IF(INDIRECT($I107)= "", "", INDIRECT($I107))</f>
        <v/>
      </c>
      <c r="F107" s="709" t="str" cm="1">
        <f t="array" aca="1" ref="F107" ca="1">INDIRECT(LEFT(I107, FIND("!", I107)) &amp; RefData!$C$427 &amp; RIGHT(I107, LEN(I107) - FIND("!", I107) - 1))</f>
        <v>DR 4.0</v>
      </c>
      <c r="G107" s="710" t="b">
        <f ca="1">IF(ISNUMBER(SEARCH(RefData!$B$2, $C107)), FALSE, TRUE)</f>
        <v>1</v>
      </c>
      <c r="H107" s="717">
        <f>'Discount rates'!C10</f>
        <v>0</v>
      </c>
      <c r="I107" s="712" t="str">
        <f t="shared" ca="1" si="21"/>
        <v>'Discount rates'!C10</v>
      </c>
      <c r="J107" s="713" t="b" cm="1">
        <f t="array" aca="1" ref="J107" ca="1">IF(COUNTIF($K107:$T107, "&lt;&gt;FALSE") - COUNTBLANK($K107:$T107) &gt; 0, INDEX($K107:$T107, MATCH(TRUE, $K107:$T107 &lt;&gt; FALSE, 0)))</f>
        <v>0</v>
      </c>
      <c r="K107" s="712" t="b">
        <f ca="1">IF(AND('Start here'!$C$24=RefData!$B$5,'Discount rates'!$C$8&lt;&gt;RefData!$B$35,'Reconciliation report'!$E107&lt;&gt;""),ErrorMsgs!$B107)</f>
        <v>0</v>
      </c>
      <c r="L107" s="712" t="b">
        <f ca="1">IF(AND('Start here'!$C$24=RefData!$B$5,'Discount rates'!$C$8=RefData!$B$35,'Reconciliation report'!$E107=""),ErrorMsgs!$C107)</f>
        <v>0</v>
      </c>
      <c r="M107" s="714" t="b">
        <f ca="1">IF(AND('Start here'!$C$24=RefData!$B$4,'Discount rates'!$C$7=RefData!$B$7,'Reconciliation report'!$E107=""),ErrorMsgs!$D107)</f>
        <v>0</v>
      </c>
      <c r="N107" s="714" t="b">
        <f ca="1">IF(AND('Start here'!$C$24=RefData!$B$4,'Discount rates'!$C$7=RefData!$B$8,'Discount rates'!$C$8&lt;&gt;RefData!$B$35,'Reconciliation report'!$E107&lt;&gt;""),ErrorMsgs!$E107)</f>
        <v>0</v>
      </c>
      <c r="O107" s="712" t="b">
        <f ca="1">IF(AND('Start here'!$C$24=RefData!$B$4,'Discount rates'!$C$7=RefData!$B$8,'Discount rates'!$C$8=RefData!$B$35,'Reconciliation report'!$E107=""),ErrorMsgs!$F107)</f>
        <v>0</v>
      </c>
      <c r="P107" s="712" t="b">
        <f ca="1">IF(LEN($E107)&gt;4000,ErrorMsgs!$G107)</f>
        <v>0</v>
      </c>
      <c r="Q107" s="712"/>
      <c r="R107" s="712"/>
      <c r="S107" s="712"/>
      <c r="T107" s="712"/>
      <c r="U107" s="526" t="str">
        <f t="shared" ca="1" si="17"/>
        <v/>
      </c>
      <c r="V107" s="93" t="str" cm="1">
        <f t="array" aca="1" ref="V107" ca="1">CELL("format",INDIRECT(I107))</f>
        <v>G</v>
      </c>
      <c r="W107" s="93" t="b">
        <f t="shared" ca="1" si="18"/>
        <v>0</v>
      </c>
      <c r="X107" s="715" t="str">
        <f t="shared" ca="1" si="16"/>
        <v/>
      </c>
      <c r="Y107" t="b">
        <f t="shared" ca="1" si="19"/>
        <v>1</v>
      </c>
    </row>
    <row r="108" spans="1:25" ht="139.5">
      <c r="A108" s="705" t="s">
        <v>3114</v>
      </c>
      <c r="B108" s="716" t="str">
        <f t="shared" ca="1" si="20"/>
        <v>Discount rates - C11</v>
      </c>
      <c r="C108" s="707" t="str" cm="1">
        <f t="array" aca="1" ref="C108" ca="1">INDIRECT(LEFT(I108, FIND("!", I108)) &amp; RefData!$C$426 &amp; RIGHT(I108, LEN(I108) - FIND("!", I108) - 1))</f>
        <v xml:space="preserve">
How is the discount rate derived?
</v>
      </c>
      <c r="D108" s="92" t="str">
        <f t="shared" ca="1" si="15"/>
        <v xml:space="preserve">
Select one of the following options from the dropdown list.
• Applying a premium to gilt yields
• Applying a premium to swap yields
• Applying a premium to inflation yields
• Applying a premium to composite yields
• Other
</v>
      </c>
      <c r="E108" s="708" t="str" cm="1">
        <f t="array" aca="1" ref="E108" ca="1">IF(INDIRECT($I108)= "", "", INDIRECT($I108))</f>
        <v/>
      </c>
      <c r="F108" s="709" t="str" cm="1">
        <f t="array" aca="1" ref="F108" ca="1">INDIRECT(LEFT(I108, FIND("!", I108)) &amp; RefData!$C$427 &amp; RIGHT(I108, LEN(I108) - FIND("!", I108) - 1))</f>
        <v>DR 5.0</v>
      </c>
      <c r="G108" s="710" t="b">
        <f ca="1">IF(ISNUMBER(SEARCH(RefData!$B$2, $C108)), FALSE, TRUE)</f>
        <v>1</v>
      </c>
      <c r="H108" s="107">
        <f>'Discount rates'!C11</f>
        <v>0</v>
      </c>
      <c r="I108" s="712" t="str">
        <f t="shared" ca="1" si="21"/>
        <v>'Discount rates'!C11</v>
      </c>
      <c r="J108" s="713" t="str" cm="1">
        <f t="array" aca="1" ref="J108" ca="1">IF(COUNTIF($K108:$T108, "&lt;&gt;FALSE") - COUNTBLANK($K108:$T108) &gt; 0, INDEX($K108:$T108, MATCH(TRUE, $K108:$T108 &lt;&gt; FALSE, 0)))</f>
        <v xml:space="preserve">
Select one of the following options from the dropdown list.
• Applying a premium to gilt yields
• Applying a premium to swap yields
• Applying a premium to inflation yields
• Applying a premium to composite yields
• Other
</v>
      </c>
      <c r="K108" s="712" t="b">
        <f ca="1">IF(AND('Start here'!$C$26=RefData!$B$9, $E108&lt;&gt;""), ErrorMsgs!$B108)</f>
        <v>0</v>
      </c>
      <c r="L108" s="712" t="b">
        <f ca="1">IF(AND('Start here'!$C$26=RefData!$B$10,E108=""),ErrorMsgs!$C$108)</f>
        <v>0</v>
      </c>
      <c r="M108" s="714" t="str">
        <f ca="1">IF(AND('Start here'!$C$26&lt;&gt;RefData!$B$9,OR(ISNA(MATCH($E108,RefData!$B$41:$B$45, 0)),  $E108="")),ErrorMsgs!$D$108)</f>
        <v xml:space="preserve">
Select one of the following options from the dropdown list.
• Applying a premium to gilt yields
• Applying a premium to swap yields
• Applying a premium to inflation yields
• Applying a premium to composite yields
• Other
</v>
      </c>
      <c r="N108" s="714"/>
      <c r="O108" s="712"/>
      <c r="P108" s="712"/>
      <c r="Q108" s="712"/>
      <c r="R108" s="712"/>
      <c r="S108" s="712"/>
      <c r="T108" s="712"/>
      <c r="U108" s="526" t="str">
        <f t="shared" ca="1" si="17"/>
        <v/>
      </c>
      <c r="V108" s="93" t="str" cm="1">
        <f t="array" aca="1" ref="V108" ca="1">CELL("format",INDIRECT(I108))</f>
        <v>G</v>
      </c>
      <c r="W108" s="93" t="b">
        <f t="shared" ca="1" si="18"/>
        <v>0</v>
      </c>
      <c r="X108" s="715" t="str">
        <f t="shared" ca="1" si="16"/>
        <v/>
      </c>
      <c r="Y108" t="b">
        <f t="shared" ca="1" si="19"/>
        <v>1</v>
      </c>
    </row>
    <row r="109" spans="1:25" ht="62">
      <c r="A109" s="705" t="s">
        <v>3115</v>
      </c>
      <c r="B109" s="716" t="str">
        <f t="shared" ca="1" si="20"/>
        <v>Discount rates - C12</v>
      </c>
      <c r="C109" s="707" t="str" cm="1">
        <f t="array" aca="1" ref="C109" ca="1">INDIRECT(LEFT(I109, FIND("!", I109)) &amp; RefData!$C$426 &amp; RIGHT(I109, LEN(I109) - FIND("!", I109) - 1))</f>
        <v xml:space="preserve">No answer required
Describe how the discount rate is derived
</v>
      </c>
      <c r="D109" s="92" t="str">
        <f t="shared" ca="1" si="15"/>
        <v/>
      </c>
      <c r="E109" s="708" t="str" cm="1">
        <f t="array" aca="1" ref="E109" ca="1">IF(INDIRECT($I109)= "", "", INDIRECT($I109))</f>
        <v/>
      </c>
      <c r="F109" s="709" t="str" cm="1">
        <f t="array" aca="1" ref="F109" ca="1">INDIRECT(LEFT(I109, FIND("!", I109)) &amp; RefData!$C$427 &amp; RIGHT(I109, LEN(I109) - FIND("!", I109) - 1))</f>
        <v>DR 6.0</v>
      </c>
      <c r="G109" s="710" t="b">
        <f ca="1">IF(ISNUMBER(SEARCH(RefData!$B$2, $C109)), FALSE, TRUE)</f>
        <v>0</v>
      </c>
      <c r="H109" s="107">
        <f>'Discount rates'!C12</f>
        <v>0</v>
      </c>
      <c r="I109" s="712" t="str">
        <f t="shared" ca="1" si="21"/>
        <v>'Discount rates'!C12</v>
      </c>
      <c r="J109" s="713" t="b" cm="1">
        <f t="array" aca="1" ref="J109" ca="1">IF(COUNTIF($K109:$T109, "&lt;&gt;FALSE") - COUNTBLANK($K109:$T109) &gt; 0, INDEX($K109:$T109, MATCH(TRUE, $K109:$T109 &lt;&gt; FALSE, 0)))</f>
        <v>0</v>
      </c>
      <c r="K109" s="712" t="b">
        <f ca="1">IF(AND('Start here'!$C$26=RefData!$B$9, $E109&lt;&gt;""), ErrorMsgs!$B109)</f>
        <v>0</v>
      </c>
      <c r="L109" s="712" t="b">
        <f ca="1">IF(AND('Discount rates'!$C$11&lt;&gt;RefData!$B$45,'Reconciliation report'!$E109&lt;&gt;""),ErrorMsgs!$C109)</f>
        <v>0</v>
      </c>
      <c r="M109" s="714" t="b">
        <f ca="1">IF(AND('Discount rates'!$C$11=RefData!$B$45,'Reconciliation report'!$E109=""),ErrorMsgs!$D109)</f>
        <v>0</v>
      </c>
      <c r="N109" s="714" t="b">
        <f ca="1">IF(LEN($E109)&gt;4000,ErrorMsgs!$E109)</f>
        <v>0</v>
      </c>
      <c r="O109" s="712"/>
      <c r="P109" s="712"/>
      <c r="Q109" s="712"/>
      <c r="R109" s="712"/>
      <c r="S109" s="712"/>
      <c r="T109" s="712"/>
      <c r="U109" s="526" t="str">
        <f t="shared" ca="1" si="17"/>
        <v/>
      </c>
      <c r="V109" s="93" t="str" cm="1">
        <f t="array" aca="1" ref="V109" ca="1">CELL("format",INDIRECT(I109))</f>
        <v>G</v>
      </c>
      <c r="W109" s="93" t="b">
        <f t="shared" ca="1" si="18"/>
        <v>0</v>
      </c>
      <c r="X109" s="715" t="str">
        <f t="shared" ca="1" si="16"/>
        <v/>
      </c>
      <c r="Y109" t="b">
        <f t="shared" ca="1" si="19"/>
        <v>1</v>
      </c>
    </row>
    <row r="110" spans="1:25" ht="93">
      <c r="A110" s="705" t="s">
        <v>3116</v>
      </c>
      <c r="B110" s="716" t="str">
        <f t="shared" ca="1" si="20"/>
        <v>Discount rates - C13</v>
      </c>
      <c r="C110" s="707" t="str" cm="1">
        <f t="array" aca="1" ref="C110" ca="1">INDIRECT(LEFT(I110, FIND("!", I110)) &amp; RefData!$C$426 &amp; RIGHT(I110, LEN(I110) - FIND("!", I110) - 1))</f>
        <v xml:space="preserve">
No answer required
What is the spot rate associated with the underlying yield curve? (%)
</v>
      </c>
      <c r="D110" s="92" t="str">
        <f t="shared" ca="1" si="15"/>
        <v/>
      </c>
      <c r="E110" s="708" t="str" cm="1">
        <f t="array" aca="1" ref="E110" ca="1">IF(INDIRECT($I110)= "", "", INDIRECT($I110))</f>
        <v/>
      </c>
      <c r="F110" s="709" t="str" cm="1">
        <f t="array" aca="1" ref="F110" ca="1">INDIRECT(LEFT(I110, FIND("!", I110)) &amp; RefData!$C$427 &amp; RIGHT(I110, LEN(I110) - FIND("!", I110) - 1))</f>
        <v>DR 7.0</v>
      </c>
      <c r="G110" s="710" t="b">
        <f ca="1">IF(ISNUMBER(SEARCH(RefData!$B$2, $C110)), FALSE, TRUE)</f>
        <v>0</v>
      </c>
      <c r="H110" s="107">
        <f>'Discount rates'!C13</f>
        <v>0</v>
      </c>
      <c r="I110" s="712" t="str">
        <f t="shared" ca="1" si="21"/>
        <v>'Discount rates'!C13</v>
      </c>
      <c r="J110" s="713" t="b" cm="1">
        <f t="array" aca="1" ref="J110" ca="1">IF(COUNTIF($K110:$T110, "&lt;&gt;FALSE") - COUNTBLANK($K110:$T110) &gt; 0, INDEX($K110:$T110, MATCH(TRUE, $K110:$T110 &lt;&gt; FALSE, 0)))</f>
        <v>0</v>
      </c>
      <c r="K110" s="712" t="b">
        <f ca="1">IF(AND('Start here'!$C$24=RefData!$B$5,E110&lt;&gt;""),ErrorMsgs!$B110)</f>
        <v>0</v>
      </c>
      <c r="L110" s="712" t="b">
        <f ca="1">IF(AND(E110&lt;&gt;"",'Start here'!$C$24=RefData!$B$4,'Discount rates'!$C$7=RefData!$B$8),ErrorMsgs!$C110)</f>
        <v>0</v>
      </c>
      <c r="M110" s="714" t="b">
        <f ca="1">IF(AND(E110="",'Start here'!$C$24=RefData!$B$4,'Discount rates'!$C$7=RefData!$B$7),ErrorMsgs!$D110)</f>
        <v>0</v>
      </c>
      <c r="N110" s="714" t="b">
        <f ca="1">IF(AND('Start here'!$C$24=RefData!$B$4,'Discount rates'!$C$7=RefData!$B$7,NOT(AND(E110&gt;=-0.1,E110&lt;=0.1))),ErrorMsgs!$E110)</f>
        <v>0</v>
      </c>
      <c r="O110" s="712"/>
      <c r="P110" s="712"/>
      <c r="Q110" s="712"/>
      <c r="R110" s="712"/>
      <c r="S110" s="712"/>
      <c r="T110" s="712"/>
      <c r="U110" s="526" t="str">
        <f t="shared" ca="1" si="17"/>
        <v/>
      </c>
      <c r="V110" s="93" t="str" cm="1">
        <f t="array" aca="1" ref="V110" ca="1">CELL("format",INDIRECT(I110))</f>
        <v>P4</v>
      </c>
      <c r="W110" s="93" t="b">
        <f t="shared" ca="1" si="18"/>
        <v>0</v>
      </c>
      <c r="X110" s="715" t="str">
        <f t="shared" ca="1" si="16"/>
        <v/>
      </c>
      <c r="Y110" t="b">
        <f t="shared" ca="1" si="19"/>
        <v>1</v>
      </c>
    </row>
    <row r="111" spans="1:25" ht="93">
      <c r="A111" s="705" t="s">
        <v>3117</v>
      </c>
      <c r="B111" s="716" t="str">
        <f t="shared" ca="1" si="20"/>
        <v>Discount rates - C14</v>
      </c>
      <c r="C111" s="707" t="str" cm="1">
        <f t="array" aca="1" ref="C111" ca="1">INDIRECT(LEFT(I111, FIND("!", I111)) &amp; RefData!$C$426 &amp; RIGHT(I111, LEN(I111) - FIND("!", I111) - 1))</f>
        <v xml:space="preserve">
No answer required
At what date does the discount rate premium apply under a horizon method?
</v>
      </c>
      <c r="D111" s="92" t="str">
        <f t="shared" ca="1" si="15"/>
        <v/>
      </c>
      <c r="E111" s="708" t="str" cm="1">
        <f t="array" aca="1" ref="E111" ca="1">IF(INDIRECT($I111)= "", "", INDIRECT($I111))</f>
        <v/>
      </c>
      <c r="F111" s="709" t="str" cm="1">
        <f t="array" aca="1" ref="F111" ca="1">INDIRECT(LEFT(I111, FIND("!", I111)) &amp; RefData!$C$427 &amp; RIGHT(I111, LEN(I111) - FIND("!", I111) - 1))</f>
        <v>DR 8.0</v>
      </c>
      <c r="G111" s="710" t="b">
        <f ca="1">IF(ISNUMBER(SEARCH(RefData!$B$2, $C111)), FALSE, TRUE)</f>
        <v>0</v>
      </c>
      <c r="H111" s="391">
        <f>'Discount rates'!C14</f>
        <v>0</v>
      </c>
      <c r="I111" s="712" t="str">
        <f t="shared" ca="1" si="21"/>
        <v>'Discount rates'!C14</v>
      </c>
      <c r="J111" s="713" t="b" cm="1">
        <f t="array" aca="1" ref="J111" ca="1">IF(COUNTIF($K111:$T111, "&lt;&gt;FALSE") - COUNTBLANK($K111:$T111) &gt; 0, INDEX($K111:$T111, MATCH(TRUE, $K111:$T111 &lt;&gt; FALSE, 0)))</f>
        <v>0</v>
      </c>
      <c r="K111" s="712" t="b">
        <f ca="1">IF(AND('Start here'!$C$24=RefData!$B$5,E111&lt;&gt;""),ErrorMsgs!$B111)</f>
        <v>0</v>
      </c>
      <c r="L111" s="712" t="b">
        <f ca="1">IF(AND(E111&lt;&gt;"",'Start here'!$C$24=RefData!$B$4,'Discount rates'!$C$7=RefData!$B$8),ErrorMsgs!$C111)</f>
        <v>0</v>
      </c>
      <c r="M111" s="714" t="b">
        <f ca="1">IF(AND(E111&lt;&gt;"",'Start here'!$C$24=RefData!$B$4,'Discount rates'!$C$7=RefData!$B$7, ISNA(MATCH('Discount rates'!$C$8,RefData!$B$36:$B$37, 0))),ErrorMsgs!$D111)</f>
        <v>0</v>
      </c>
      <c r="N111" s="714" t="b">
        <f ca="1">IF(AND(E111="",'Start here'!$C$24=RefData!$B$4,'Discount rates'!$C$7=RefData!$B$7, NOT(ISNA(MATCH('Discount rates'!$C$8,RefData!$B$36:$B$37, 0)))),ErrorMsgs!$E111)</f>
        <v>0</v>
      </c>
      <c r="O111" s="714" t="b">
        <f ca="1">IF(AND(E111&lt;&gt;"",NOT(ISNUMBER(E111))),ErrorMsgs!$F111)</f>
        <v>0</v>
      </c>
      <c r="P111" s="727" t="b">
        <f ca="1">IF(AND(E111&lt;&gt;"",E111&lt;'Start here'!C21),ErrorMsgs!$G111)</f>
        <v>0</v>
      </c>
      <c r="Q111" s="727"/>
      <c r="R111" s="712"/>
      <c r="S111" s="712"/>
      <c r="T111" s="712"/>
      <c r="U111" s="526" t="str">
        <f t="shared" ca="1" si="17"/>
        <v/>
      </c>
      <c r="V111" s="93" t="str" cm="1">
        <f t="array" aca="1" ref="V111" ca="1">CELL("format",INDIRECT(I111))</f>
        <v>D1</v>
      </c>
      <c r="W111" s="93" t="b">
        <f t="shared" ca="1" si="18"/>
        <v>0</v>
      </c>
      <c r="X111" s="715" t="str">
        <f t="shared" ca="1" si="16"/>
        <v/>
      </c>
      <c r="Y111" t="b">
        <f t="shared" ca="1" si="19"/>
        <v>1</v>
      </c>
    </row>
    <row r="112" spans="1:25" ht="93">
      <c r="A112" s="705" t="s">
        <v>3118</v>
      </c>
      <c r="B112" s="716" t="str">
        <f t="shared" ca="1" si="20"/>
        <v>Discount rates - C15</v>
      </c>
      <c r="C112" s="707" t="str" cm="1">
        <f t="array" aca="1" ref="C112" ca="1">INDIRECT(LEFT(I112, FIND("!", I112)) &amp; RefData!$C$426 &amp; RIGHT(I112, LEN(I112) - FIND("!", I112) - 1))</f>
        <v xml:space="preserve">
No answer required
What are the pre-horizon discount rate premiums on a technical provisions basis? (%)
</v>
      </c>
      <c r="D112" s="92" t="str">
        <f t="shared" ca="1" si="15"/>
        <v/>
      </c>
      <c r="E112" s="708" t="str" cm="1">
        <f t="array" aca="1" ref="E112" ca="1">IF(INDIRECT($I112)= "", "", INDIRECT($I112))</f>
        <v/>
      </c>
      <c r="F112" s="709" t="str" cm="1">
        <f t="array" aca="1" ref="F112" ca="1">INDIRECT(LEFT(I112, FIND("!", I112)) &amp; RefData!$C$427 &amp; RIGHT(I112, LEN(I112) - FIND("!", I112) - 1))</f>
        <v>DR 9.0</v>
      </c>
      <c r="G112" s="710" t="b">
        <f ca="1">IF(ISNUMBER(SEARCH(RefData!$B$2, $C112)), FALSE, TRUE)</f>
        <v>0</v>
      </c>
      <c r="H112" s="107">
        <f>'Discount rates'!C15</f>
        <v>0</v>
      </c>
      <c r="I112" s="712" t="str">
        <f t="shared" ca="1" si="21"/>
        <v>'Discount rates'!C15</v>
      </c>
      <c r="J112" s="713" t="b" cm="1">
        <f t="array" aca="1" ref="J112" ca="1">IF(COUNTIF($K112:$T112, "&lt;&gt;FALSE") - COUNTBLANK($K112:$T112) &gt; 0, INDEX($K112:$T112, MATCH(TRUE, $K112:$T112 &lt;&gt; FALSE, 0)))</f>
        <v>0</v>
      </c>
      <c r="K112" s="712" t="b">
        <f ca="1">IF(AND('Start here'!$C$24=RefData!$B$5,$E$112&lt;&gt;""),ErrorMsgs!$B112)</f>
        <v>0</v>
      </c>
      <c r="L112" s="712" t="b">
        <f ca="1">IF(AND(E112&lt;&gt;"",'Start here'!$C$24=RefData!$B$4,'Discount rates'!$C$7=RefData!$B$8),ErrorMsgs!$C112)</f>
        <v>0</v>
      </c>
      <c r="M112" s="714" t="b">
        <f ca="1">IF(AND(E112&lt;&gt;"",'Start here'!$C$24=RefData!$B$4,'Discount rates'!$C$7=RefData!$B$7, ISNA(MATCH('Discount rates'!$C$8,RefData!$B$36:$B$37, 0))),ErrorMsgs!$D112)</f>
        <v>0</v>
      </c>
      <c r="N112" s="714" t="b">
        <f ca="1">IF(AND(E112="",'Start here'!$C$24=RefData!$B$4,'Discount rates'!$C$7=RefData!$B$7, NOT(ISNA(MATCH('Discount rates'!$C$8,RefData!$B$36:$B$37, 0)))),ErrorMsgs!$E112)</f>
        <v>0</v>
      </c>
      <c r="O112" s="712" t="b">
        <f ca="1">IF(AND('Start here'!$C$24=RefData!$B$4,'Discount rates'!$C$7=RefData!$B$7, NOT(ISNA(MATCH('Discount rates'!$C$8,RefData!$B$36:$B$37, 0))),OR(E112&lt;-0.1,E112&gt;0.1)),ErrorMsgs!$F112)</f>
        <v>0</v>
      </c>
      <c r="P112" s="712"/>
      <c r="Q112" s="712"/>
      <c r="R112" s="712"/>
      <c r="S112" s="712"/>
      <c r="T112" s="712"/>
      <c r="U112" s="526" t="str">
        <f t="shared" ca="1" si="17"/>
        <v/>
      </c>
      <c r="V112" s="93" t="str" cm="1">
        <f t="array" aca="1" ref="V112" ca="1">CELL("format",INDIRECT(I112))</f>
        <v>P4</v>
      </c>
      <c r="W112" s="93" t="b">
        <f t="shared" ca="1" si="18"/>
        <v>0</v>
      </c>
      <c r="X112" s="715" t="str">
        <f t="shared" ca="1" si="16"/>
        <v/>
      </c>
      <c r="Y112" t="b">
        <f t="shared" ca="1" si="19"/>
        <v>1</v>
      </c>
    </row>
    <row r="113" spans="1:25" ht="93">
      <c r="A113" s="705" t="s">
        <v>3119</v>
      </c>
      <c r="B113" s="716" t="str">
        <f t="shared" ca="1" si="20"/>
        <v>Discount rates - C16</v>
      </c>
      <c r="C113" s="707" t="str" cm="1">
        <f t="array" aca="1" ref="C113" ca="1">INDIRECT(LEFT(I113, FIND("!", I113)) &amp; RefData!$C$426 &amp; RIGHT(I113, LEN(I113) - FIND("!", I113) - 1))</f>
        <v xml:space="preserve">
No answer required
What is the post-horizon date discount rate premium on a technical provisions basis? (%)
</v>
      </c>
      <c r="D113" s="92" t="str">
        <f t="shared" ca="1" si="15"/>
        <v/>
      </c>
      <c r="E113" s="708" t="str" cm="1">
        <f t="array" aca="1" ref="E113" ca="1">IF(INDIRECT($I113)= "", "", INDIRECT($I113))</f>
        <v/>
      </c>
      <c r="F113" s="709" t="str" cm="1">
        <f t="array" aca="1" ref="F113" ca="1">INDIRECT(LEFT(I113, FIND("!", I113)) &amp; RefData!$C$427 &amp; RIGHT(I113, LEN(I113) - FIND("!", I113) - 1))</f>
        <v>DR 10.0</v>
      </c>
      <c r="G113" s="710" t="b">
        <f ca="1">IF(ISNUMBER(SEARCH(RefData!$B$2, $C113)), FALSE, TRUE)</f>
        <v>0</v>
      </c>
      <c r="H113" s="107">
        <f>'Discount rates'!C16</f>
        <v>0</v>
      </c>
      <c r="I113" s="712" t="str">
        <f t="shared" ca="1" si="21"/>
        <v>'Discount rates'!C16</v>
      </c>
      <c r="J113" s="713" t="b" cm="1">
        <f t="array" aca="1" ref="J113" ca="1">IF(COUNTIF($K113:$T113, "&lt;&gt;FALSE") - COUNTBLANK($K113:$T113) &gt; 0, INDEX($K113:$T113, MATCH(TRUE, $K113:$T113 &lt;&gt; FALSE, 0)))</f>
        <v>0</v>
      </c>
      <c r="K113" s="712" t="b">
        <f ca="1">IF(AND('Start here'!$C$24=RefData!$B$5,$E$113&lt;&gt;""),ErrorMsgs!$B113)</f>
        <v>0</v>
      </c>
      <c r="L113" s="712" t="b">
        <f ca="1">IF(AND(E113&lt;&gt;"",'Start here'!$C$24=RefData!$B$4,'Discount rates'!$C$7=RefData!$B$8),ErrorMsgs!$C113)</f>
        <v>0</v>
      </c>
      <c r="M113" s="714" t="b">
        <f ca="1">IF(AND(E113&lt;&gt;"",'Start here'!$C$24=RefData!$B$4,'Discount rates'!$C$7=RefData!$B$7, ISNA(MATCH('Discount rates'!$C$8,RefData!$B$36:$B$37, 0))),ErrorMsgs!$D113)</f>
        <v>0</v>
      </c>
      <c r="N113" s="714" t="b">
        <f ca="1">IF(AND(E113="",'Start here'!$C$24=RefData!$B$4,'Discount rates'!$C$7=RefData!$B$7, NOT(ISNA(MATCH('Discount rates'!$C$8,RefData!$B$36:$B$37, 0)))),ErrorMsgs!$E113)</f>
        <v>0</v>
      </c>
      <c r="O113" s="712" t="b">
        <f ca="1">IF(AND('Start here'!$C$24=RefData!$B$4,'Discount rates'!$C$7=RefData!$B$7, NOT(ISNA(MATCH('Discount rates'!$C$8,RefData!$B$36:$B$37, 0))),OR($E$113&lt;-0.1,$E$113&gt;0.1)),ErrorMsgs!$F113)</f>
        <v>0</v>
      </c>
      <c r="P113" s="712"/>
      <c r="Q113" s="712"/>
      <c r="R113" s="712"/>
      <c r="S113" s="712"/>
      <c r="T113" s="712"/>
      <c r="U113" s="526" t="str">
        <f t="shared" ca="1" si="17"/>
        <v/>
      </c>
      <c r="V113" s="93" t="str" cm="1">
        <f t="array" aca="1" ref="V113" ca="1">CELL("format",INDIRECT(I113))</f>
        <v>P4</v>
      </c>
      <c r="W113" s="93" t="b">
        <f t="shared" ca="1" si="18"/>
        <v>0</v>
      </c>
      <c r="X113" s="715" t="str">
        <f t="shared" ca="1" si="16"/>
        <v/>
      </c>
      <c r="Y113" t="b">
        <f t="shared" ca="1" si="19"/>
        <v>1</v>
      </c>
    </row>
    <row r="114" spans="1:25" ht="93">
      <c r="A114" s="705" t="s">
        <v>3120</v>
      </c>
      <c r="B114" s="716" t="str">
        <f t="shared" ca="1" si="20"/>
        <v>Discount rates - C17</v>
      </c>
      <c r="C114" s="707" t="str" cm="1">
        <f t="array" aca="1" ref="C114" ca="1">INDIRECT(LEFT(I114, FIND("!", I114)) &amp; RefData!$C$426 &amp; RIGHT(I114, LEN(I114) - FIND("!", I114) - 1))</f>
        <v xml:space="preserve">
No answer required
What is the discount rate premium on a low-dependency basis? (%)
</v>
      </c>
      <c r="D114" s="92" t="str">
        <f t="shared" ca="1" si="15"/>
        <v/>
      </c>
      <c r="E114" s="708" t="str" cm="1">
        <f t="array" aca="1" ref="E114" ca="1">IF(INDIRECT($I114)= "", "", INDIRECT($I114))</f>
        <v/>
      </c>
      <c r="F114" s="709" t="str" cm="1">
        <f t="array" aca="1" ref="F114" ca="1">INDIRECT(LEFT(I114, FIND("!", I114)) &amp; RefData!$C$427 &amp; RIGHT(I114, LEN(I114) - FIND("!", I114) - 1))</f>
        <v>DR 11.0</v>
      </c>
      <c r="G114" s="710" t="b">
        <f ca="1">IF(ISNUMBER(SEARCH(RefData!$B$2, $C114)), FALSE, TRUE)</f>
        <v>0</v>
      </c>
      <c r="H114" s="107">
        <f>'Discount rates'!C17</f>
        <v>0</v>
      </c>
      <c r="I114" s="712" t="str">
        <f t="shared" ca="1" si="21"/>
        <v>'Discount rates'!C17</v>
      </c>
      <c r="J114" s="713" t="b" cm="1">
        <f t="array" aca="1" ref="J114" ca="1">IF(COUNTIF($K114:$T114, "&lt;&gt;FALSE") - COUNTBLANK($K114:$T114) &gt; 0, INDEX($K114:$T114, MATCH(TRUE, $K114:$T114 &lt;&gt; FALSE, 0)))</f>
        <v>0</v>
      </c>
      <c r="K114" s="712" t="b">
        <f ca="1">IF(AND('Start here'!$C$24=RefData!$B$5,'Discount rates'!$C$8&lt;&gt;RefData!$B$35,$E$114&lt;&gt;""),ErrorMsgs!$B114)</f>
        <v>0</v>
      </c>
      <c r="L114" s="712" t="b">
        <f ca="1">IF(AND('Start here'!$C$24=RefData!$B$5,'Discount rates'!$C$8=RefData!$B$35,'Reconciliation report'!$E114=""),ErrorMsgs!$C114)</f>
        <v>0</v>
      </c>
      <c r="M114" s="714" t="b">
        <f ca="1">IF(AND('Start here'!$C$24=RefData!$B$4,'Discount rates'!$C$7=RefData!$B$7,'Reconciliation report'!$E114=""),ErrorMsgs!$D114)</f>
        <v>0</v>
      </c>
      <c r="N114" s="714" t="b">
        <f ca="1">IF(AND('Start here'!$C$24=RefData!$B$4,'Discount rates'!$C$7=RefData!$B$8,'Discount rates'!$C$8&lt;&gt;RefData!$B$35,'Reconciliation report'!$E114&lt;&gt;""),ErrorMsgs!$E114)</f>
        <v>0</v>
      </c>
      <c r="O114" s="712" t="b">
        <f ca="1">IF(AND('Start here'!$C$24=RefData!$B$4,'Discount rates'!$C$7=RefData!$B$8,'Discount rates'!$C$8=RefData!$B$35,'Reconciliation report'!E114=""),ErrorMsgs!$F114)</f>
        <v>0</v>
      </c>
      <c r="P114" s="712" t="b">
        <f ca="1">IF($E$114="",FALSE,IF(AND(OR($E$114&lt;-0.1,$E$114&gt;0.1)),ErrorMsgs!$G114))</f>
        <v>0</v>
      </c>
      <c r="Q114" s="712"/>
      <c r="R114" s="712"/>
      <c r="S114" s="712"/>
      <c r="T114" s="712"/>
      <c r="U114" s="526" t="str">
        <f t="shared" ca="1" si="17"/>
        <v/>
      </c>
      <c r="V114" s="93" t="str" cm="1">
        <f t="array" aca="1" ref="V114" ca="1">CELL("format",INDIRECT(I114))</f>
        <v>P4</v>
      </c>
      <c r="W114" s="93" t="b">
        <f t="shared" ca="1" si="18"/>
        <v>0</v>
      </c>
      <c r="X114" s="715" t="str">
        <f t="shared" ca="1" si="16"/>
        <v/>
      </c>
      <c r="Y114" t="b">
        <f t="shared" ca="1" si="19"/>
        <v>1</v>
      </c>
    </row>
    <row r="115" spans="1:25" ht="93">
      <c r="A115" s="705" t="s">
        <v>3121</v>
      </c>
      <c r="B115" s="716" t="str">
        <f t="shared" ca="1" si="20"/>
        <v>Discount rates - C18</v>
      </c>
      <c r="C115" s="707" t="str" cm="1">
        <f t="array" aca="1" ref="C115" ca="1">INDIRECT(LEFT(I115, FIND("!", I115)) &amp; RefData!$C$426 &amp; RIGHT(I115, LEN(I115) - FIND("!", I115) - 1))</f>
        <v xml:space="preserve">
No answer required
What is the single equivalent discount rate premium on a technical provisions basis? (%)
</v>
      </c>
      <c r="D115" s="92" t="str">
        <f t="shared" ca="1" si="15"/>
        <v/>
      </c>
      <c r="E115" s="708" t="str" cm="1">
        <f t="array" aca="1" ref="E115" ca="1">IF(INDIRECT($I115)= "", "", INDIRECT($I115))</f>
        <v/>
      </c>
      <c r="F115" s="709" t="str" cm="1">
        <f t="array" aca="1" ref="F115" ca="1">INDIRECT(LEFT(I115, FIND("!", I115)) &amp; RefData!$C$427 &amp; RIGHT(I115, LEN(I115) - FIND("!", I115) - 1))</f>
        <v>DR 12.0</v>
      </c>
      <c r="G115" s="710" t="b">
        <f ca="1">IF(ISNUMBER(SEARCH(RefData!$B$2, $C115)), FALSE, TRUE)</f>
        <v>0</v>
      </c>
      <c r="H115" s="107">
        <f>'Discount rates'!C18</f>
        <v>0</v>
      </c>
      <c r="I115" s="712" t="str">
        <f t="shared" ca="1" si="21"/>
        <v>'Discount rates'!C18</v>
      </c>
      <c r="J115" s="713" t="b" cm="1">
        <f t="array" aca="1" ref="J115" ca="1">IF(COUNTIF($K115:$T115, "&lt;&gt;FALSE") - COUNTBLANK($K115:$T115) &gt; 0, INDEX($K115:$T115, MATCH(TRUE, $K115:$T115 &lt;&gt; FALSE, 0)))</f>
        <v>0</v>
      </c>
      <c r="K115" s="712" t="b">
        <f ca="1">IF(AND('Start here'!$C$24=RefData!$B$5,$E$115&lt;&gt;""),ErrorMsgs!$B115)</f>
        <v>0</v>
      </c>
      <c r="L115" s="712" t="b">
        <f ca="1">IF(AND(E115&lt;&gt;"",'Start here'!$C$24=RefData!$B$4,'Discount rates'!$C$7=RefData!$B$8),ErrorMsgs!$C115)</f>
        <v>0</v>
      </c>
      <c r="M115" s="714" t="b">
        <f ca="1">IF(AND(E115&lt;&gt;"",'Start here'!$C$24=RefData!$B$4,'Discount rates'!$C$7=RefData!$B$7,ISNA(MATCH('Discount rates'!$C$8,RefData!$B$38:$B$40, 0))),ErrorMsgs!$D115)</f>
        <v>0</v>
      </c>
      <c r="N115" s="714" t="b">
        <f ca="1">IF(AND(E115="",'Start here'!$C$24=RefData!$B$4,'Discount rates'!$C$7=RefData!$B$7,NOT(ISNA(MATCH('Discount rates'!$C$8,RefData!$B$38:$B$40, 0)))),ErrorMsgs!$E115)</f>
        <v>0</v>
      </c>
      <c r="O115" s="712" t="b">
        <f ca="1">IF(AND('Start here'!$C$24=RefData!$B$4,'Discount rates'!$C$7=RefData!$B$7,NOT(ISNA(MATCH('Discount rates'!$C$8,RefData!$B$38:$B$40, 0))),OR($E$115&lt;-0.1,$E$115&gt;0.1)),ErrorMsgs!$F115)</f>
        <v>0</v>
      </c>
      <c r="P115" s="712"/>
      <c r="Q115" s="712"/>
      <c r="R115" s="712"/>
      <c r="S115" s="712"/>
      <c r="T115" s="712"/>
      <c r="U115" s="526" t="str">
        <f t="shared" ca="1" si="17"/>
        <v/>
      </c>
      <c r="V115" s="93" t="str" cm="1">
        <f t="array" aca="1" ref="V115" ca="1">CELL("format",INDIRECT(I115))</f>
        <v>P4</v>
      </c>
      <c r="W115" s="93" t="b">
        <f t="shared" ca="1" si="18"/>
        <v>0</v>
      </c>
      <c r="X115" s="715" t="str">
        <f t="shared" ca="1" si="16"/>
        <v/>
      </c>
      <c r="Y115" t="b">
        <f t="shared" ca="1" si="19"/>
        <v>1</v>
      </c>
    </row>
    <row r="116" spans="1:25" ht="93">
      <c r="A116" s="705" t="s">
        <v>3122</v>
      </c>
      <c r="B116" s="716" t="str">
        <f t="shared" ca="1" si="20"/>
        <v>Discount rates - C19</v>
      </c>
      <c r="C116" s="707" t="str" cm="1">
        <f t="array" aca="1" ref="C116" ca="1">INDIRECT(LEFT(I116, FIND("!", I116)) &amp; RefData!$C$426 &amp; RIGHT(I116, LEN(I116) - FIND("!", I116) - 1))</f>
        <v xml:space="preserve">
No answer required
What is the pre-retirement discount rate premium on a technical provisions basis? (%)
</v>
      </c>
      <c r="D116" s="92" t="str">
        <f t="shared" ca="1" si="15"/>
        <v/>
      </c>
      <c r="E116" s="708" t="str" cm="1">
        <f t="array" aca="1" ref="E116" ca="1">IF(INDIRECT($I116)= "", "", INDIRECT($I116))</f>
        <v/>
      </c>
      <c r="F116" s="709" t="str" cm="1">
        <f t="array" aca="1" ref="F116" ca="1">INDIRECT(LEFT(I116, FIND("!", I116)) &amp; RefData!$C$427 &amp; RIGHT(I116, LEN(I116) - FIND("!", I116) - 1))</f>
        <v>DR 13.0</v>
      </c>
      <c r="G116" s="710" t="b">
        <f ca="1">IF(ISNUMBER(SEARCH(RefData!$B$2, $C116)), FALSE, TRUE)</f>
        <v>0</v>
      </c>
      <c r="H116" s="107">
        <f>'Discount rates'!C19</f>
        <v>0</v>
      </c>
      <c r="I116" s="712" t="str">
        <f t="shared" ca="1" si="21"/>
        <v>'Discount rates'!C19</v>
      </c>
      <c r="J116" s="713" t="b" cm="1">
        <f t="array" aca="1" ref="J116" ca="1">IF(COUNTIF($K116:$T116, "&lt;&gt;FALSE") - COUNTBLANK($K116:$T116) &gt; 0, INDEX($K116:$T116, MATCH(TRUE, $K116:$T116 &lt;&gt; FALSE, 0)))</f>
        <v>0</v>
      </c>
      <c r="K116" s="712" t="b">
        <f ca="1">IF(AND(E116&lt;&gt;"",NOT('Discount rates'!$C$8=RefData!$B$35)),ErrorMsgs!$B116)</f>
        <v>0</v>
      </c>
      <c r="L116" s="712" t="b">
        <f ca="1">IF(AND(E116="",'Discount rates'!$C$8=RefData!$B$35),ErrorMsgs!$C116)</f>
        <v>0</v>
      </c>
      <c r="M116" s="714" t="b">
        <f ca="1">IF(AND($E$116&lt;&gt;"",'Discount rates'!$C$8=RefData!$B$35,OR($E$116&lt;-0.1,$E$116&gt;0.1)),ErrorMsgs!$D116)</f>
        <v>0</v>
      </c>
      <c r="N116" s="714"/>
      <c r="O116" s="712"/>
      <c r="P116" s="712"/>
      <c r="Q116" s="712"/>
      <c r="R116" s="712"/>
      <c r="S116" s="712"/>
      <c r="T116" s="712"/>
      <c r="U116" s="526" t="str">
        <f t="shared" ca="1" si="17"/>
        <v/>
      </c>
      <c r="V116" s="93" t="str" cm="1">
        <f t="array" aca="1" ref="V116" ca="1">CELL("format",INDIRECT(I116))</f>
        <v>P4</v>
      </c>
      <c r="W116" s="93" t="b">
        <f t="shared" ca="1" si="18"/>
        <v>0</v>
      </c>
      <c r="X116" s="715" t="str">
        <f t="shared" ca="1" si="16"/>
        <v/>
      </c>
      <c r="Y116" t="b">
        <f t="shared" ca="1" si="19"/>
        <v>1</v>
      </c>
    </row>
    <row r="117" spans="1:25" ht="93">
      <c r="A117" s="705" t="s">
        <v>3123</v>
      </c>
      <c r="B117" s="716" t="str">
        <f t="shared" ca="1" si="20"/>
        <v>Discount rates - C20</v>
      </c>
      <c r="C117" s="707" t="str" cm="1">
        <f t="array" aca="1" ref="C117" ca="1">INDIRECT(LEFT(I117, FIND("!", I117)) &amp; RefData!$C$426 &amp; RIGHT(I117, LEN(I117) - FIND("!", I117) - 1))</f>
        <v xml:space="preserve">
No answer required
What is the post-retirement discount rate premium on a technical provisions basis? (%)
</v>
      </c>
      <c r="D117" s="92" t="str">
        <f t="shared" ca="1" si="15"/>
        <v/>
      </c>
      <c r="E117" s="708" t="str" cm="1">
        <f t="array" aca="1" ref="E117" ca="1">IF(INDIRECT($I117)= "", "", INDIRECT($I117))</f>
        <v/>
      </c>
      <c r="F117" s="709" t="str" cm="1">
        <f t="array" aca="1" ref="F117" ca="1">INDIRECT(LEFT(I117, FIND("!", I117)) &amp; RefData!$C$427 &amp; RIGHT(I117, LEN(I117) - FIND("!", I117) - 1))</f>
        <v>DR 14.0</v>
      </c>
      <c r="G117" s="710" t="b">
        <f ca="1">IF(ISNUMBER(SEARCH(RefData!$B$2, $C117)), FALSE, TRUE)</f>
        <v>0</v>
      </c>
      <c r="H117" s="107">
        <f>'Discount rates'!C20</f>
        <v>0</v>
      </c>
      <c r="I117" s="712" t="str">
        <f t="shared" ca="1" si="21"/>
        <v>'Discount rates'!C20</v>
      </c>
      <c r="J117" s="713" t="b" cm="1">
        <f t="array" aca="1" ref="J117" ca="1">IF(COUNTIF($K117:$T117, "&lt;&gt;FALSE") - COUNTBLANK($K117:$T117) &gt; 0, INDEX($K117:$T117, MATCH(TRUE, $K117:$T117 &lt;&gt; FALSE, 0)))</f>
        <v>0</v>
      </c>
      <c r="K117" s="712" t="b">
        <f ca="1">IF(AND($E$117&lt;&gt;"",NOT('Discount rates'!$C$8=RefData!$B$35)),ErrorMsgs!$B117)</f>
        <v>0</v>
      </c>
      <c r="L117" s="712" t="b">
        <f ca="1">IF(AND($E$117="",'Discount rates'!$C$8=RefData!$B$35),ErrorMsgs!$C117)</f>
        <v>0</v>
      </c>
      <c r="M117" s="714" t="b">
        <f ca="1">IF(AND($E$117&lt;&gt;"",'Discount rates'!$C$8=RefData!$B$35,OR($E$117&lt;-0.1,$E$117&gt;0.1)),ErrorMsgs!$D117)</f>
        <v>0</v>
      </c>
      <c r="N117" s="714"/>
      <c r="O117" s="712"/>
      <c r="P117" s="712"/>
      <c r="Q117" s="712"/>
      <c r="R117" s="712"/>
      <c r="S117" s="712"/>
      <c r="T117" s="712"/>
      <c r="U117" s="526" t="str">
        <f t="shared" ca="1" si="17"/>
        <v/>
      </c>
      <c r="V117" s="93" t="str" cm="1">
        <f t="array" aca="1" ref="V117" ca="1">CELL("format",INDIRECT(I117))</f>
        <v>P4</v>
      </c>
      <c r="W117" s="93" t="b">
        <f t="shared" ca="1" si="18"/>
        <v>0</v>
      </c>
      <c r="X117" s="715" t="str">
        <f t="shared" ca="1" si="16"/>
        <v/>
      </c>
      <c r="Y117" t="b">
        <f t="shared" ca="1" si="19"/>
        <v>1</v>
      </c>
    </row>
    <row r="118" spans="1:25" ht="93">
      <c r="A118" s="705" t="s">
        <v>3124</v>
      </c>
      <c r="B118" s="716" t="str">
        <f t="shared" ca="1" si="20"/>
        <v>Discount rates - C21</v>
      </c>
      <c r="C118" s="707" t="str" cm="1">
        <f t="array" aca="1" ref="C118" ca="1">INDIRECT(LEFT(I118, FIND("!", I118)) &amp; RefData!$C$426 &amp; RIGHT(I118, LEN(I118) - FIND("!", I118) - 1))</f>
        <v xml:space="preserve">
No answer required
What is the current pensioner discount rate premium on a technical provisions basis? (%)
</v>
      </c>
      <c r="D118" s="92" t="str">
        <f t="shared" ca="1" si="15"/>
        <v/>
      </c>
      <c r="E118" s="708" t="str" cm="1">
        <f t="array" aca="1" ref="E118" ca="1">IF(INDIRECT($I118)= "", "", INDIRECT($I118))</f>
        <v/>
      </c>
      <c r="F118" s="709" t="str" cm="1">
        <f t="array" aca="1" ref="F118" ca="1">INDIRECT(LEFT(I118, FIND("!", I118)) &amp; RefData!$C$427 &amp; RIGHT(I118, LEN(I118) - FIND("!", I118) - 1))</f>
        <v>DR 15.0</v>
      </c>
      <c r="G118" s="710" t="b">
        <f ca="1">IF(ISNUMBER(SEARCH(RefData!$B$2, $C118)), FALSE, TRUE)</f>
        <v>0</v>
      </c>
      <c r="H118" s="107">
        <f>'Discount rates'!C21</f>
        <v>0</v>
      </c>
      <c r="I118" s="712" t="str">
        <f t="shared" ca="1" si="21"/>
        <v>'Discount rates'!C21</v>
      </c>
      <c r="J118" s="713" t="b" cm="1">
        <f t="array" aca="1" ref="J118" ca="1">IF(COUNTIF($K118:$T118, "&lt;&gt;FALSE") - COUNTBLANK($K118:$T118) &gt; 0, INDEX($K118:$T118, MATCH(TRUE, $K118:$T118 &lt;&gt; FALSE, 0)))</f>
        <v>0</v>
      </c>
      <c r="K118" s="712" t="b">
        <f ca="1">IF(AND($E$118&lt;&gt;"",NOT('Discount rates'!$C$8=RefData!$B$35)),ErrorMsgs!$B118)</f>
        <v>0</v>
      </c>
      <c r="L118" s="712" t="b">
        <f ca="1">IF(AND($E$118="",'Discount rates'!$C$8=RefData!$B$35),ErrorMsgs!$C118)</f>
        <v>0</v>
      </c>
      <c r="M118" s="714" t="b">
        <f ca="1">IF(AND($E$118&lt;&gt;"",'Discount rates'!$C$8=RefData!$B$35,OR($E$118&lt;-0.1,$E$118&gt;0.1)),ErrorMsgs!$D118)</f>
        <v>0</v>
      </c>
      <c r="N118" s="714"/>
      <c r="O118" s="712"/>
      <c r="P118" s="712"/>
      <c r="Q118" s="712"/>
      <c r="R118" s="712"/>
      <c r="S118" s="712"/>
      <c r="T118" s="712"/>
      <c r="U118" s="526" t="str">
        <f t="shared" ca="1" si="17"/>
        <v/>
      </c>
      <c r="V118" s="93" t="str" cm="1">
        <f t="array" aca="1" ref="V118" ca="1">CELL("format",INDIRECT(I118))</f>
        <v>P4</v>
      </c>
      <c r="W118" s="93" t="b">
        <f t="shared" ca="1" si="18"/>
        <v>0</v>
      </c>
      <c r="X118" s="715" t="str">
        <f t="shared" ca="1" si="16"/>
        <v/>
      </c>
      <c r="Y118" t="b">
        <f t="shared" ca="1" si="19"/>
        <v>1</v>
      </c>
    </row>
    <row r="119" spans="1:25" ht="62">
      <c r="A119" s="705" t="s">
        <v>3125</v>
      </c>
      <c r="B119" s="716" t="str">
        <f t="shared" ca="1" si="20"/>
        <v>Other assumptions - C7</v>
      </c>
      <c r="C119" s="707" t="str" cm="1">
        <f t="array" aca="1" ref="C119" ca="1">INDIRECT(LEFT(I119, FIND("!", I119)) &amp; RefData!$C$426 &amp; RIGHT(I119, LEN(I119) - FIND("!", I119) - 1))</f>
        <v xml:space="preserve">
Is any benefit revaluation or indexation linked to inflation?
</v>
      </c>
      <c r="D119" s="92" t="str">
        <f t="shared" ca="1" si="15"/>
        <v xml:space="preserve">
Select the option from the drop down list that describes whether any benefit revaluation or indexation is linked to inflation.
</v>
      </c>
      <c r="E119" s="708" t="str" cm="1">
        <f t="array" aca="1" ref="E119" ca="1">IF(INDIRECT($I119)= "", "", INDIRECT($I119))</f>
        <v/>
      </c>
      <c r="F119" s="709" t="str" cm="1">
        <f t="array" aca="1" ref="F119" ca="1">INDIRECT(LEFT(I119, FIND("!", I119)) &amp; RefData!$C$427 &amp; RIGHT(I119, LEN(I119) - FIND("!", I119) - 1))</f>
        <v>OAS 1.0</v>
      </c>
      <c r="G119" s="710" t="b">
        <f ca="1">IF(ISNUMBER(SEARCH(RefData!$B$2, $C119)), FALSE, TRUE)</f>
        <v>1</v>
      </c>
      <c r="H119" s="107">
        <f>'Other assumptions'!C7</f>
        <v>0</v>
      </c>
      <c r="I119" s="712" t="str">
        <f t="shared" ca="1" si="21"/>
        <v>'Other assumptions'!C7</v>
      </c>
      <c r="J119" s="713" t="str" cm="1">
        <f t="array" aca="1" ref="J119" ca="1">IF(COUNTIF($K119:$T119, "&lt;&gt;FALSE") - COUNTBLANK($K119:$T119) &gt; 0, INDEX($K119:$T119, MATCH(TRUE, $K119:$T119 &lt;&gt; FALSE, 0)))</f>
        <v xml:space="preserve">
Select the option from the drop down list that describes whether any benefit revaluation or indexation is linked to inflation.
</v>
      </c>
      <c r="K119" s="712" t="str">
        <f ca="1">IF($E$119="",ErrorMsgs!$B119)</f>
        <v xml:space="preserve">
Select the option from the drop down list that describes whether any benefit revaluation or indexation is linked to inflation.
</v>
      </c>
      <c r="L119" s="712" t="str">
        <f ca="1">IF(OR(ISNA(MATCH($E119,RefData!$B$46:$B$49, 0)),  $E119=""),ErrorMsgs!$B119)</f>
        <v xml:space="preserve">
Select the option from the drop down list that describes whether any benefit revaluation or indexation is linked to inflation.
</v>
      </c>
      <c r="M119" s="714"/>
      <c r="N119" s="714"/>
      <c r="O119" s="712"/>
      <c r="P119" s="712"/>
      <c r="Q119" s="712"/>
      <c r="R119" s="712"/>
      <c r="S119" s="712"/>
      <c r="T119" s="712"/>
      <c r="U119" s="526" t="str">
        <f t="shared" ca="1" si="17"/>
        <v/>
      </c>
      <c r="V119" s="93" t="str" cm="1">
        <f t="array" aca="1" ref="V119" ca="1">CELL("format",INDIRECT(I119))</f>
        <v>G</v>
      </c>
      <c r="W119" s="93" t="b">
        <f t="shared" ca="1" si="18"/>
        <v>0</v>
      </c>
      <c r="X119" s="715" t="str">
        <f t="shared" ca="1" si="16"/>
        <v/>
      </c>
      <c r="Y119" t="b">
        <f t="shared" ca="1" si="19"/>
        <v>1</v>
      </c>
    </row>
    <row r="120" spans="1:25" ht="62">
      <c r="A120" s="705" t="s">
        <v>3126</v>
      </c>
      <c r="B120" s="716" t="str">
        <f t="shared" ca="1" si="20"/>
        <v>Other assumptions - C8</v>
      </c>
      <c r="C120" s="707" t="str" cm="1">
        <f t="array" aca="1" ref="C120" ca="1">INDIRECT(LEFT(I120, FIND("!", I120)) &amp; RefData!$C$426 &amp; RIGHT(I120, LEN(I120) - FIND("!", I120) - 1))</f>
        <v xml:space="preserve">No answer required
What is the single equivalent RPI assumption?
</v>
      </c>
      <c r="D120" s="92" t="str">
        <f t="shared" ca="1" si="15"/>
        <v/>
      </c>
      <c r="E120" s="708" t="str" cm="1">
        <f t="array" aca="1" ref="E120" ca="1">IF(INDIRECT($I120)= "", "", INDIRECT($I120))</f>
        <v/>
      </c>
      <c r="F120" s="709" t="str" cm="1">
        <f t="array" aca="1" ref="F120" ca="1">INDIRECT(LEFT(I120, FIND("!", I120)) &amp; RefData!$C$427 &amp; RIGHT(I120, LEN(I120) - FIND("!", I120) - 1))</f>
        <v>OAS 2.0</v>
      </c>
      <c r="G120" s="710" t="b">
        <f ca="1">IF(ISNUMBER(SEARCH(RefData!$B$2, $C120)), FALSE, TRUE)</f>
        <v>0</v>
      </c>
      <c r="H120" s="107">
        <f>'Other assumptions'!C8</f>
        <v>0</v>
      </c>
      <c r="I120" s="712" t="str">
        <f t="shared" ca="1" si="21"/>
        <v>'Other assumptions'!C8</v>
      </c>
      <c r="J120" s="713" t="b" cm="1">
        <f t="array" aca="1" ref="J120" ca="1">IF(COUNTIF($K120:$T120, "&lt;&gt;FALSE") - COUNTBLANK($K120:$T120) &gt; 0, INDEX($K120:$T120, MATCH(TRUE, $K120:$T120 &lt;&gt; FALSE, 0)))</f>
        <v>0</v>
      </c>
      <c r="K120" s="712" t="b">
        <f ca="1">IF(AND('Start here'!$C$24=RefData!$B$5, $E120&lt;&gt;""), ErrorMsgs!$B120)</f>
        <v>0</v>
      </c>
      <c r="L120" s="712" t="b">
        <f ca="1">IF(AND('Start here'!$C$24=RefData!$B$4, 'Discount rates'!$C$7=RefData!$B$8, $E120&lt;&gt;""), ErrorMsgs!$C120)</f>
        <v>0</v>
      </c>
      <c r="M120" s="714" t="b">
        <f ca="1">IF(AND('Start here'!$C$24=RefData!$B$4, 'Discount rates'!$C$7=RefData!$B$7, $E120&lt;&gt;"", OR('Other assumptions'!$C$7=RefData!$B$47, 'Other assumptions'!$C$7=RefData!$B$49 )), ErrorMsgs!$D120)</f>
        <v>0</v>
      </c>
      <c r="N120" s="714" t="b">
        <f ca="1">IF(AND('Start here'!$C$24=RefData!$B$4, 'Discount rates'!$C$7=RefData!$B$7, $E120="", OR('Other assumptions'!$C$7=RefData!$B$46, 'Other assumptions'!$C$7=RefData!$B$48 )), ErrorMsgs!$E120)</f>
        <v>0</v>
      </c>
      <c r="O120" s="712" t="b">
        <f ca="1">IF(AND($E120&lt;&gt;"",OR($E120&lt;-0.25,$E120&gt;0.25)),ErrorMsgs!$F120)</f>
        <v>0</v>
      </c>
      <c r="P120" s="712"/>
      <c r="Q120" s="712"/>
      <c r="R120" s="712"/>
      <c r="S120" s="712"/>
      <c r="T120" s="712"/>
      <c r="U120" s="526" t="str">
        <f t="shared" ca="1" si="17"/>
        <v/>
      </c>
      <c r="V120" s="93" t="str" cm="1">
        <f t="array" aca="1" ref="V120" ca="1">CELL("format",INDIRECT(I120))</f>
        <v>P4</v>
      </c>
      <c r="W120" s="93" t="b">
        <f t="shared" ca="1" si="18"/>
        <v>0</v>
      </c>
      <c r="X120" s="715" t="str">
        <f t="shared" ca="1" si="16"/>
        <v/>
      </c>
      <c r="Y120" t="b">
        <f t="shared" ca="1" si="19"/>
        <v>1</v>
      </c>
    </row>
    <row r="121" spans="1:25" ht="62">
      <c r="A121" s="705" t="s">
        <v>3127</v>
      </c>
      <c r="B121" s="716" t="str">
        <f t="shared" ca="1" si="20"/>
        <v>Other assumptions - C9</v>
      </c>
      <c r="C121" s="707" t="str" cm="1">
        <f t="array" aca="1" ref="C121" ca="1">INDIRECT(LEFT(I121, FIND("!", I121)) &amp; RefData!$C$426 &amp; RIGHT(I121, LEN(I121) - FIND("!", I121) - 1))</f>
        <v xml:space="preserve">No answer required
What is the single equivalent CPI assumption?
</v>
      </c>
      <c r="D121" s="92" t="str">
        <f t="shared" ca="1" si="15"/>
        <v/>
      </c>
      <c r="E121" s="708" t="str" cm="1">
        <f t="array" aca="1" ref="E121" ca="1">IF(INDIRECT($I121)= "", "", INDIRECT($I121))</f>
        <v/>
      </c>
      <c r="F121" s="709" t="str" cm="1">
        <f t="array" aca="1" ref="F121" ca="1">INDIRECT(LEFT(I121, FIND("!", I121)) &amp; RefData!$C$427 &amp; RIGHT(I121, LEN(I121) - FIND("!", I121) - 1))</f>
        <v>OAS 3.0</v>
      </c>
      <c r="G121" s="710" t="b">
        <f ca="1">IF(ISNUMBER(SEARCH(RefData!$B$2, $C121)), FALSE, TRUE)</f>
        <v>0</v>
      </c>
      <c r="H121" s="107">
        <f>'Other assumptions'!C9</f>
        <v>0</v>
      </c>
      <c r="I121" s="712" t="str">
        <f t="shared" ca="1" si="21"/>
        <v>'Other assumptions'!C9</v>
      </c>
      <c r="J121" s="713" t="b" cm="1">
        <f t="array" aca="1" ref="J121" ca="1">IF(COUNTIF($K121:$T121, "&lt;&gt;FALSE") - COUNTBLANK($K121:$T121) &gt; 0, INDEX($K121:$T121, MATCH(TRUE, $K121:$T121 &lt;&gt; FALSE, 0)))</f>
        <v>0</v>
      </c>
      <c r="K121" s="712" t="b">
        <f ca="1">IF(AND('Start here'!$C$24=RefData!$B$5, $E121&lt;&gt;""), ErrorMsgs!$B121)</f>
        <v>0</v>
      </c>
      <c r="L121" s="726" t="b">
        <f ca="1">IF(AND('Start here'!$C$24=RefData!$B$4, 'Discount rates'!$C$7=RefData!$B$8, $E121&lt;&gt;""), ErrorMsgs!$C121)</f>
        <v>0</v>
      </c>
      <c r="M121" s="714" t="b">
        <f ca="1">IF(AND('Start here'!$C$24=RefData!$B$4, 'Discount rates'!$C$7=RefData!$B$7, $E121&lt;&gt;"", OR('Other assumptions'!$C$7=RefData!$B$48, 'Other assumptions'!$C$7=RefData!$B$49 )), ErrorMsgs!$D121)</f>
        <v>0</v>
      </c>
      <c r="N121" s="714" t="b">
        <f ca="1">IF(AND('Start here'!$C$24=RefData!$B$4, 'Discount rates'!$C$7=RefData!$B$7, $E121="", OR('Other assumptions'!$C$7=RefData!$B$46, 'Other assumptions'!$C$7=RefData!$B$47 )), ErrorMsgs!$E121)</f>
        <v>0</v>
      </c>
      <c r="O121" s="712" t="b">
        <f ca="1">IF(AND($E121&lt;&gt;"",OR($E121&lt;-0.25,$E121&gt;0.25)),ErrorMsgs!$F121)</f>
        <v>0</v>
      </c>
      <c r="P121" s="712"/>
      <c r="Q121" s="712"/>
      <c r="R121" s="712"/>
      <c r="S121" s="712"/>
      <c r="T121" s="712"/>
      <c r="U121" s="526" t="str">
        <f t="shared" ca="1" si="17"/>
        <v/>
      </c>
      <c r="V121" s="93" t="str" cm="1">
        <f t="array" aca="1" ref="V121" ca="1">CELL("format",INDIRECT(I121))</f>
        <v>P4</v>
      </c>
      <c r="W121" s="93" t="b">
        <f t="shared" ca="1" si="18"/>
        <v>0</v>
      </c>
      <c r="X121" s="715" t="str">
        <f t="shared" ca="1" si="16"/>
        <v/>
      </c>
      <c r="Y121" t="b">
        <f t="shared" ca="1" si="19"/>
        <v>1</v>
      </c>
    </row>
    <row r="122" spans="1:25" ht="46.5">
      <c r="A122" s="705" t="s">
        <v>3128</v>
      </c>
      <c r="B122" s="716" t="str">
        <f t="shared" ca="1" si="20"/>
        <v>Other assumptions - C10</v>
      </c>
      <c r="C122" s="707" t="str" cm="1">
        <f t="array" aca="1" ref="C122" ca="1">INDIRECT(LEFT(I122, FIND("!", I122)) &amp; RefData!$C$426 &amp; RIGHT(I122, LEN(I122) - FIND("!", I122) - 1))</f>
        <v xml:space="preserve">
Do any benefits have a salary link?
</v>
      </c>
      <c r="D122" s="92" t="str">
        <f t="shared" ca="1" si="15"/>
        <v xml:space="preserve">
Select ‘Yes' if some benefits have a salary link or ‘No' if they do not.
</v>
      </c>
      <c r="E122" s="708" t="str" cm="1">
        <f t="array" aca="1" ref="E122" ca="1">IF(INDIRECT($I122)= "", "", INDIRECT($I122))</f>
        <v/>
      </c>
      <c r="F122" s="709" t="str" cm="1">
        <f t="array" aca="1" ref="F122" ca="1">INDIRECT(LEFT(I122, FIND("!", I122)) &amp; RefData!$C$427 &amp; RIGHT(I122, LEN(I122) - FIND("!", I122) - 1))</f>
        <v>OAS 4.0</v>
      </c>
      <c r="G122" s="710" t="b">
        <f ca="1">IF(ISNUMBER(SEARCH(RefData!$B$2, $C122)), FALSE, TRUE)</f>
        <v>1</v>
      </c>
      <c r="H122" s="107">
        <f>'Other assumptions'!C10</f>
        <v>0</v>
      </c>
      <c r="I122" s="712" t="str">
        <f t="shared" ca="1" si="21"/>
        <v>'Other assumptions'!C10</v>
      </c>
      <c r="J122" s="713" t="str" cm="1">
        <f t="array" aca="1" ref="J122" ca="1">IF(COUNTIF($K122:$T122, "&lt;&gt;FALSE") - COUNTBLANK($K122:$T122) &gt; 0, INDEX($K122:$T122, MATCH(TRUE, $K122:$T122 &lt;&gt; FALSE, 0)))</f>
        <v xml:space="preserve">
Select ‘Yes' if some benefits have a salary link or ‘No' if they do not.
</v>
      </c>
      <c r="K122" s="728" t="str">
        <f ca="1">IF($E$122="",ErrorMsgs!B$122)</f>
        <v xml:space="preserve">
Select ‘Yes' if some benefits have a salary link or ‘No' if they do not.
</v>
      </c>
      <c r="L122" s="712" t="str">
        <f ca="1">IF(ISNA(MATCH($E122, RefData!$B$50:$B$51, 0)), ErrorMsgs!$B122)</f>
        <v xml:space="preserve">
Select ‘Yes' if some benefits have a salary link or ‘No' if they do not.
</v>
      </c>
      <c r="M122" s="729"/>
      <c r="N122" s="729"/>
      <c r="O122" s="712"/>
      <c r="P122" s="712"/>
      <c r="Q122" s="712"/>
      <c r="R122" s="712"/>
      <c r="S122" s="712"/>
      <c r="T122" s="712"/>
      <c r="U122" s="526" t="str">
        <f t="shared" ca="1" si="17"/>
        <v/>
      </c>
      <c r="V122" s="93" t="str" cm="1">
        <f t="array" aca="1" ref="V122" ca="1">CELL("format",INDIRECT(I122))</f>
        <v>G</v>
      </c>
      <c r="W122" s="93" t="b">
        <f t="shared" ca="1" si="18"/>
        <v>0</v>
      </c>
      <c r="X122" s="715" t="str">
        <f t="shared" ca="1" si="16"/>
        <v/>
      </c>
      <c r="Y122" t="b">
        <f t="shared" ca="1" si="19"/>
        <v>1</v>
      </c>
    </row>
    <row r="123" spans="1:25" ht="62">
      <c r="A123" s="705" t="s">
        <v>3129</v>
      </c>
      <c r="B123" s="716" t="str">
        <f t="shared" ca="1" si="20"/>
        <v>Other assumptions - C11</v>
      </c>
      <c r="C123" s="707" t="str" cm="1">
        <f t="array" aca="1" ref="C123" ca="1">INDIRECT(LEFT(I123, FIND("!", I123)) &amp; RefData!$C$426 &amp; RIGHT(I123, LEN(I123) - FIND("!", I123) - 1))</f>
        <v xml:space="preserve">No answer required
Pay increases: active members (excluding promotional scale).
</v>
      </c>
      <c r="D123" s="92" t="str">
        <f t="shared" ca="1" si="15"/>
        <v/>
      </c>
      <c r="E123" s="708" t="str" cm="1">
        <f t="array" aca="1" ref="E123" ca="1">IF(INDIRECT($I123)= "", "", INDIRECT($I123))</f>
        <v/>
      </c>
      <c r="F123" s="709" t="str" cm="1">
        <f t="array" aca="1" ref="F123" ca="1">INDIRECT(LEFT(I123, FIND("!", I123)) &amp; RefData!$C$427 &amp; RIGHT(I123, LEN(I123) - FIND("!", I123) - 1))</f>
        <v>OAS 5.0</v>
      </c>
      <c r="G123" s="710" t="b">
        <f ca="1">IF(ISNUMBER(SEARCH(RefData!$B$2, $C123)), FALSE, TRUE)</f>
        <v>0</v>
      </c>
      <c r="H123" s="107">
        <f>'Other assumptions'!C11</f>
        <v>0</v>
      </c>
      <c r="I123" s="712" t="str">
        <f t="shared" ca="1" si="21"/>
        <v>'Other assumptions'!C11</v>
      </c>
      <c r="J123" s="713" t="b" cm="1">
        <f t="array" aca="1" ref="J123" ca="1">IF(COUNTIF($K123:$T123, "&lt;&gt;FALSE") - COUNTBLANK($K123:$T123) &gt; 0, INDEX($K123:$T123, MATCH(TRUE, $K123:$T123 &lt;&gt; FALSE, 0)))</f>
        <v>0</v>
      </c>
      <c r="K123" s="712" t="b">
        <f ca="1">IF(AND('Start here'!$C$24=RefData!$B$5, $E123&lt;&gt;""), ErrorMsgs!$B123)</f>
        <v>0</v>
      </c>
      <c r="L123" s="730" t="b">
        <f ca="1">IF(AND('Start here'!$C$24=RefData!$B$4, 'Discount rates'!$C$7=RefData!$B$8, $E123&lt;&gt;""), ErrorMsgs!$C123)</f>
        <v>0</v>
      </c>
      <c r="M123" s="714" t="b">
        <f ca="1">IF(AND('Start here'!$C$24=RefData!$B$4, 'Discount rates'!$C$7=RefData!$B$7, 'Other assumptions'!$C$10=RefData!$B$51, $E123&lt;&gt;""), ErrorMsgs!$D123)</f>
        <v>0</v>
      </c>
      <c r="N123" s="714" t="b">
        <f ca="1">IF(AND('Start here'!$C$24=RefData!$B$4, 'Discount rates'!$C$7=RefData!$B$7, 'Other assumptions'!$C$10=RefData!$B$50, $E123=""), ErrorMsgs!$E123)</f>
        <v>0</v>
      </c>
      <c r="O123" s="712" t="b">
        <f ca="1">IF(AND('Start here'!$C$24=RefData!$B$4, 'Discount rates'!$C$7=RefData!$B$7, 'Other assumptions'!$C$10=RefData!$B$50,OR($E123&lt;0, $E123&gt;0.25)), ErrorMsgs!$F123)</f>
        <v>0</v>
      </c>
      <c r="P123" s="712"/>
      <c r="Q123" s="712"/>
      <c r="R123" s="712"/>
      <c r="S123" s="712"/>
      <c r="T123" s="712"/>
      <c r="U123" s="526" t="str">
        <f t="shared" ca="1" si="17"/>
        <v/>
      </c>
      <c r="V123" s="93" t="str" cm="1">
        <f t="array" aca="1" ref="V123" ca="1">CELL("format",INDIRECT(I123))</f>
        <v>P4</v>
      </c>
      <c r="W123" s="93" t="b">
        <f t="shared" ca="1" si="18"/>
        <v>0</v>
      </c>
      <c r="X123" s="715" t="str">
        <f t="shared" ca="1" si="16"/>
        <v/>
      </c>
      <c r="Y123" t="b">
        <f t="shared" ca="1" si="19"/>
        <v>1</v>
      </c>
    </row>
    <row r="124" spans="1:25" ht="77.5">
      <c r="A124" s="705" t="s">
        <v>3130</v>
      </c>
      <c r="B124" s="716" t="str">
        <f t="shared" ca="1" si="20"/>
        <v>Other assumptions - C15</v>
      </c>
      <c r="C124" s="707" t="str" cm="1">
        <f t="array" aca="1" ref="C124" ca="1">INDIRECT(LEFT(I124, FIND("!", I124)) &amp; RefData!$C$426 &amp; RIGHT(I124, LEN(I124) - FIND("!", I124) - 1))</f>
        <v xml:space="preserve">
Has allowance been made for pensions to be commuted for tax-free cash on retirement within the calculation of technical provisions?
</v>
      </c>
      <c r="D124" s="92" t="str">
        <f t="shared" ca="1" si="15"/>
        <v xml:space="preserve">
Select ‘Yes' if allowance has been made for pensions to be commuted for tax-free cash on retirement within the calculation of technical provisions’ or ‘No' if it has not.
</v>
      </c>
      <c r="E124" s="708" t="str" cm="1">
        <f t="array" aca="1" ref="E124" ca="1">IF(INDIRECT($I124)= "", "", INDIRECT($I124))</f>
        <v/>
      </c>
      <c r="F124" s="709" t="str" cm="1">
        <f t="array" aca="1" ref="F124" ca="1">INDIRECT(LEFT(I124, FIND("!", I124)) &amp; RefData!$C$427 &amp; RIGHT(I124, LEN(I124) - FIND("!", I124) - 1))</f>
        <v>OAS 6.0</v>
      </c>
      <c r="G124" s="710" t="b">
        <f ca="1">IF(ISNUMBER(SEARCH(RefData!$B$2, $C124)), FALSE, TRUE)</f>
        <v>1</v>
      </c>
      <c r="H124" s="107">
        <f>'Other assumptions'!C15</f>
        <v>0</v>
      </c>
      <c r="I124" s="712" t="str">
        <f t="shared" ca="1" si="21"/>
        <v>'Other assumptions'!C15</v>
      </c>
      <c r="J124" s="713" t="str" cm="1">
        <f t="array" aca="1" ref="J124" ca="1">IF(COUNTIF($K124:$T124, "&lt;&gt;FALSE") - COUNTBLANK($K124:$T124) &gt; 0, INDEX($K124:$T124, MATCH(TRUE, $K124:$T124 &lt;&gt; FALSE, 0)))</f>
        <v xml:space="preserve">
Select ‘Yes' if allowance has been made for pensions to be commuted for tax-free cash on retirement within the calculation of technical provisions’ or ‘No' if it has not.
</v>
      </c>
      <c r="K124" s="712" t="str">
        <f ca="1">IF(E124="",ErrorMsgs!$B$124)</f>
        <v xml:space="preserve">
Select ‘Yes' if allowance has been made for pensions to be commuted for tax-free cash on retirement within the calculation of technical provisions’ or ‘No' if it has not.
</v>
      </c>
      <c r="L124" s="712" t="str">
        <f ca="1">IF(OR(ISNA(MATCH($E124,RefData!$B$196:$B$197,0))),ErrorMsgs!$B124)</f>
        <v xml:space="preserve">
Select ‘Yes' if allowance has been made for pensions to be commuted for tax-free cash on retirement within the calculation of technical provisions’ or ‘No' if it has not.
</v>
      </c>
      <c r="M124" s="714"/>
      <c r="N124" s="714"/>
      <c r="O124" s="712"/>
      <c r="P124" s="712"/>
      <c r="Q124" s="712"/>
      <c r="R124" s="712"/>
      <c r="S124" s="712"/>
      <c r="T124" s="712"/>
      <c r="U124" s="526" t="str">
        <f t="shared" ca="1" si="17"/>
        <v/>
      </c>
      <c r="V124" s="93" t="str" cm="1">
        <f t="array" aca="1" ref="V124" ca="1">CELL("format",INDIRECT(I124))</f>
        <v>G</v>
      </c>
      <c r="W124" s="93" t="b">
        <f t="shared" ca="1" si="18"/>
        <v>0</v>
      </c>
      <c r="X124" s="715" t="str">
        <f t="shared" ca="1" si="16"/>
        <v/>
      </c>
      <c r="Y124" t="b">
        <f t="shared" ca="1" si="19"/>
        <v>1</v>
      </c>
    </row>
    <row r="125" spans="1:25" ht="77.5">
      <c r="A125" s="705" t="s">
        <v>3131</v>
      </c>
      <c r="B125" s="716" t="str">
        <f t="shared" ca="1" si="20"/>
        <v>Other assumptions - C16</v>
      </c>
      <c r="C125" s="707" t="str" cm="1">
        <f t="array" aca="1" ref="C125" ca="1">INDIRECT(LEFT(I125, FIND("!", I125)) &amp; RefData!$C$426 &amp; RIGHT(I125, LEN(I125) - FIND("!", I125) - 1))</f>
        <v xml:space="preserve">
No answer required
What is the assumed increase in the technical provisions liabilities if there were no allowance for commutation? (£)</v>
      </c>
      <c r="D125" s="92" t="str">
        <f t="shared" ca="1" si="15"/>
        <v/>
      </c>
      <c r="E125" s="708" t="str" cm="1">
        <f t="array" aca="1" ref="E125" ca="1">IF(INDIRECT($I125)= "", "", INDIRECT($I125))</f>
        <v/>
      </c>
      <c r="F125" s="709" t="str" cm="1">
        <f t="array" aca="1" ref="F125" ca="1">INDIRECT(LEFT(I125, FIND("!", I125)) &amp; RefData!$C$427 &amp; RIGHT(I125, LEN(I125) - FIND("!", I125) - 1))</f>
        <v>OAS 7.0</v>
      </c>
      <c r="G125" s="710" t="b">
        <f ca="1">IF(ISNUMBER(SEARCH(RefData!$B$2, $C125)), FALSE, TRUE)</f>
        <v>0</v>
      </c>
      <c r="H125" s="96">
        <f>'Other assumptions'!C16</f>
        <v>0</v>
      </c>
      <c r="I125" s="712" t="str">
        <f t="shared" ca="1" si="21"/>
        <v>'Other assumptions'!C16</v>
      </c>
      <c r="J125" s="713" t="b" cm="1">
        <f t="array" aca="1" ref="J125" ca="1">IF(COUNTIF($K125:$T125, "&lt;&gt;FALSE") - COUNTBLANK($K125:$T125) &gt; 0, INDEX($K125:$T125, MATCH(TRUE, $K125:$T125 &lt;&gt; FALSE, 0)))</f>
        <v>0</v>
      </c>
      <c r="K125" s="712" t="b">
        <f ca="1">IF(AND(E125&lt;&gt;"",'Other assumptions'!$C$15=RefData!$B$197),ErrorMsgs!$B125)</f>
        <v>0</v>
      </c>
      <c r="L125" s="712" t="b">
        <f ca="1">IF(AND($E$125="",RefData!$B$196='Other assumptions'!$C$15),ErrorMsgs!$C125)</f>
        <v>0</v>
      </c>
      <c r="M125" s="714" t="b">
        <f ca="1">IF($E$125="",FALSE,IF(OR($E$125-ROUND($E$125,2)&lt;&gt;0,$E125&lt;=-1000000000000,$E125&gt;=1000000000000),ErrorMsgs!$D125))</f>
        <v>0</v>
      </c>
      <c r="N125" s="714"/>
      <c r="O125" s="712"/>
      <c r="P125" s="712"/>
      <c r="Q125" s="712"/>
      <c r="R125" s="712"/>
      <c r="S125" s="712"/>
      <c r="T125" s="712"/>
      <c r="U125" s="526" t="str">
        <f t="shared" ca="1" si="17"/>
        <v/>
      </c>
      <c r="V125" s="93" t="str" cm="1">
        <f t="array" aca="1" ref="V125" ca="1">CELL("format",INDIRECT(I125))</f>
        <v>C2</v>
      </c>
      <c r="W125" s="93" t="b">
        <f t="shared" ca="1" si="18"/>
        <v>0</v>
      </c>
      <c r="X125" s="715" t="str">
        <f t="shared" ca="1" si="16"/>
        <v/>
      </c>
      <c r="Y125" t="b">
        <f t="shared" ca="1" si="19"/>
        <v>1</v>
      </c>
    </row>
    <row r="126" spans="1:25" ht="77.5">
      <c r="A126" s="705" t="s">
        <v>3132</v>
      </c>
      <c r="B126" s="716" t="str">
        <f t="shared" ca="1" si="20"/>
        <v>Other assumptions - C17</v>
      </c>
      <c r="C126" s="707" t="str" cm="1">
        <f t="array" aca="1" ref="C126" ca="1">INDIRECT(LEFT(I126, FIND("!", I126)) &amp; RefData!$C$426 &amp; RIGHT(I126, LEN(I126) - FIND("!", I126) - 1))</f>
        <v xml:space="preserve">
What is the male cohort expected age of death, for current pensioners aged 65 at valuation date on a technical provisions basis?
</v>
      </c>
      <c r="D126" s="92" t="str">
        <f t="shared" ca="1" si="15"/>
        <v xml:space="preserve">
Enter a number between 65 and 125 to 1 decimal place.
</v>
      </c>
      <c r="E126" s="708" t="str" cm="1">
        <f t="array" aca="1" ref="E126" ca="1">IF(INDIRECT($I126)= "", "", INDIRECT($I126))</f>
        <v/>
      </c>
      <c r="F126" s="709" t="str" cm="1">
        <f t="array" aca="1" ref="F126" ca="1">INDIRECT(LEFT(I126, FIND("!", I126)) &amp; RefData!$C$427 &amp; RIGHT(I126, LEN(I126) - FIND("!", I126) - 1))</f>
        <v>OAS 8.0</v>
      </c>
      <c r="G126" s="710" t="b">
        <f ca="1">IF(ISNUMBER(SEARCH(RefData!$B$2, $C126)), FALSE, TRUE)</f>
        <v>1</v>
      </c>
      <c r="H126" s="115">
        <f>'Other assumptions'!C17</f>
        <v>0</v>
      </c>
      <c r="I126" s="712" t="str">
        <f t="shared" ca="1" si="21"/>
        <v>'Other assumptions'!C17</v>
      </c>
      <c r="J126" s="713" t="str" cm="1">
        <f t="array" aca="1" ref="J126" ca="1">IF(COUNTIF($K126:$T126, "&lt;&gt;FALSE") - COUNTBLANK($K126:$T126) &gt; 0, INDEX($K126:$T126, MATCH(TRUE, $K126:$T126 &lt;&gt; FALSE, 0)))</f>
        <v xml:space="preserve">
Enter a number between 65 and 125 to 1 decimal place.
</v>
      </c>
      <c r="K126" s="712" t="str">
        <f ca="1">IF($E126="",ErrorMsgs!$B126)</f>
        <v xml:space="preserve">
Enter a number between 65 and 125 to 1 decimal place.
</v>
      </c>
      <c r="L126" s="712" t="b">
        <f ca="1">IF($E126="",FALSE,IF(OR($E126-ROUND($E126,1)&lt;&gt;0),ErrorMsgs!$B126))</f>
        <v>0</v>
      </c>
      <c r="M126" s="714" t="b">
        <f ca="1">IF($E126="",FALSE,IF(NOT(AND($E126&gt;=65,$E126&lt;=125)),ErrorMsgs!$B126))</f>
        <v>0</v>
      </c>
      <c r="N126" s="714"/>
      <c r="O126" s="712"/>
      <c r="P126" s="712"/>
      <c r="Q126" s="712"/>
      <c r="R126" s="712"/>
      <c r="S126" s="712"/>
      <c r="T126" s="712"/>
      <c r="U126" s="526" t="str">
        <f t="shared" ca="1" si="17"/>
        <v/>
      </c>
      <c r="V126" s="93" t="str" cm="1">
        <f t="array" aca="1" ref="V126" ca="1">CELL("format",INDIRECT(I126))</f>
        <v>F1</v>
      </c>
      <c r="W126" s="93" t="b">
        <f t="shared" ca="1" si="18"/>
        <v>0</v>
      </c>
      <c r="X126" s="715" t="str">
        <f t="shared" ca="1" si="16"/>
        <v/>
      </c>
      <c r="Y126" t="b">
        <f t="shared" ca="1" si="19"/>
        <v>1</v>
      </c>
    </row>
    <row r="127" spans="1:25" ht="77.5">
      <c r="A127" s="705" t="s">
        <v>3133</v>
      </c>
      <c r="B127" s="716" t="str">
        <f t="shared" ca="1" si="20"/>
        <v>Other assumptions - C18</v>
      </c>
      <c r="C127" s="707" t="str" cm="1">
        <f t="array" aca="1" ref="C127" ca="1">INDIRECT(LEFT(I127, FIND("!", I127)) &amp; RefData!$C$426 &amp; RIGHT(I127, LEN(I127) - FIND("!", I127) - 1))</f>
        <v xml:space="preserve">
What is the female cohort expected age of death, for current pensioners aged 65 at valuation date on a technical provisions basis?
</v>
      </c>
      <c r="D127" s="92" t="str">
        <f t="shared" ca="1" si="15"/>
        <v xml:space="preserve">
Enter a number between 65 and 125 to 1 decimal place.
</v>
      </c>
      <c r="E127" s="708" t="str" cm="1">
        <f t="array" aca="1" ref="E127" ca="1">IF(INDIRECT($I127)= "", "", INDIRECT($I127))</f>
        <v/>
      </c>
      <c r="F127" s="709" t="str" cm="1">
        <f t="array" aca="1" ref="F127" ca="1">INDIRECT(LEFT(I127, FIND("!", I127)) &amp; RefData!$C$427 &amp; RIGHT(I127, LEN(I127) - FIND("!", I127) - 1))</f>
        <v>OAS 9.0</v>
      </c>
      <c r="G127" s="710" t="b">
        <f ca="1">IF(ISNUMBER(SEARCH(RefData!$B$2, $C127)), FALSE, TRUE)</f>
        <v>1</v>
      </c>
      <c r="H127" s="115">
        <f>'Other assumptions'!C18</f>
        <v>0</v>
      </c>
      <c r="I127" s="712" t="str">
        <f t="shared" ca="1" si="21"/>
        <v>'Other assumptions'!C18</v>
      </c>
      <c r="J127" s="713" t="str" cm="1">
        <f t="array" aca="1" ref="J127" ca="1">IF(COUNTIF($K127:$T127, "&lt;&gt;FALSE") - COUNTBLANK($K127:$T127) &gt; 0, INDEX($K127:$T127, MATCH(TRUE, $K127:$T127 &lt;&gt; FALSE, 0)))</f>
        <v xml:space="preserve">
Enter a number between 65 and 125 to 1 decimal place.
</v>
      </c>
      <c r="K127" s="712" t="str">
        <f ca="1">IF($E127="",ErrorMsgs!$B127)</f>
        <v xml:space="preserve">
Enter a number between 65 and 125 to 1 decimal place.
</v>
      </c>
      <c r="L127" s="712" t="b">
        <f ca="1">IF($E127="",FALSE,IF(OR($E127-ROUND($E127,1)&lt;&gt;0),ErrorMsgs!$B127))</f>
        <v>0</v>
      </c>
      <c r="M127" s="714" t="b">
        <f ca="1">IF($E127="",FALSE,IF(NOT(AND($E127&gt;=65,$E127&lt;=125)),ErrorMsgs!$B127))</f>
        <v>0</v>
      </c>
      <c r="N127" s="714"/>
      <c r="O127" s="712"/>
      <c r="P127" s="712"/>
      <c r="Q127" s="712"/>
      <c r="R127" s="712"/>
      <c r="S127" s="712"/>
      <c r="T127" s="712"/>
      <c r="U127" s="526" t="str">
        <f t="shared" ca="1" si="17"/>
        <v/>
      </c>
      <c r="V127" s="93" t="str" cm="1">
        <f t="array" aca="1" ref="V127" ca="1">CELL("format",INDIRECT(I127))</f>
        <v>F1</v>
      </c>
      <c r="W127" s="93" t="b">
        <f t="shared" ca="1" si="18"/>
        <v>0</v>
      </c>
      <c r="X127" s="715" t="str">
        <f t="shared" ca="1" si="16"/>
        <v/>
      </c>
      <c r="Y127" t="b">
        <f t="shared" ca="1" si="19"/>
        <v>1</v>
      </c>
    </row>
    <row r="128" spans="1:25" ht="77.5">
      <c r="A128" s="705" t="s">
        <v>3134</v>
      </c>
      <c r="B128" s="716" t="str">
        <f t="shared" ca="1" si="20"/>
        <v>Other assumptions - C19</v>
      </c>
      <c r="C128" s="707" t="str" cm="1">
        <f t="array" aca="1" ref="C128" ca="1">INDIRECT(LEFT(I128, FIND("!", I128)) &amp; RefData!$C$426 &amp; RIGHT(I128, LEN(I128) - FIND("!", I128) - 1))</f>
        <v xml:space="preserve">
What is the male cohort expected age of death, for future pensioners aged 45 at valuation date on a technical provisions basis, assuming they survive to age 65?
</v>
      </c>
      <c r="D128" s="92" t="str">
        <f t="shared" ca="1" si="15"/>
        <v xml:space="preserve">
Enter a number between 65 and 125 to 1 decimal place.
</v>
      </c>
      <c r="E128" s="708" t="str" cm="1">
        <f t="array" aca="1" ref="E128" ca="1">IF(INDIRECT($I128)= "", "", INDIRECT($I128))</f>
        <v/>
      </c>
      <c r="F128" s="709" t="str" cm="1">
        <f t="array" aca="1" ref="F128" ca="1">INDIRECT(LEFT(I128, FIND("!", I128)) &amp; RefData!$C$427 &amp; RIGHT(I128, LEN(I128) - FIND("!", I128) - 1))</f>
        <v>OAS 10.0</v>
      </c>
      <c r="G128" s="710" t="b">
        <f ca="1">IF(ISNUMBER(SEARCH(RefData!$B$2, $C128)), FALSE, TRUE)</f>
        <v>1</v>
      </c>
      <c r="H128" s="115">
        <f>'Other assumptions'!C19</f>
        <v>0</v>
      </c>
      <c r="I128" s="712" t="str">
        <f t="shared" ca="1" si="21"/>
        <v>'Other assumptions'!C19</v>
      </c>
      <c r="J128" s="713" t="str" cm="1">
        <f t="array" aca="1" ref="J128" ca="1">IF(COUNTIF($K128:$T128, "&lt;&gt;FALSE") - COUNTBLANK($K128:$T128) &gt; 0, INDEX($K128:$T128, MATCH(TRUE, $K128:$T128 &lt;&gt; FALSE, 0)))</f>
        <v xml:space="preserve">
Enter a number between 65 and 125 to 1 decimal place.
</v>
      </c>
      <c r="K128" s="712" t="str">
        <f ca="1">IF($E128="",ErrorMsgs!$B128)</f>
        <v xml:space="preserve">
Enter a number between 65 and 125 to 1 decimal place.
</v>
      </c>
      <c r="L128" s="712" t="b">
        <f ca="1">IF($E128="",FALSE,IF(OR($E128-ROUND($E128,1)&lt;&gt;0),ErrorMsgs!$B128))</f>
        <v>0</v>
      </c>
      <c r="M128" s="714" t="b">
        <f ca="1">IF($E128="",FALSE,IF(NOT(AND($E128&gt;=65,$E128&lt;=125)),ErrorMsgs!$B128))</f>
        <v>0</v>
      </c>
      <c r="N128" s="714"/>
      <c r="O128" s="712"/>
      <c r="P128" s="712"/>
      <c r="Q128" s="712"/>
      <c r="R128" s="712"/>
      <c r="S128" s="712"/>
      <c r="T128" s="712"/>
      <c r="U128" s="526" t="str">
        <f t="shared" ca="1" si="17"/>
        <v/>
      </c>
      <c r="V128" s="93" t="str" cm="1">
        <f t="array" aca="1" ref="V128" ca="1">CELL("format",INDIRECT(I128))</f>
        <v>F1</v>
      </c>
      <c r="W128" s="93" t="b">
        <f t="shared" ca="1" si="18"/>
        <v>0</v>
      </c>
      <c r="X128" s="715" t="str">
        <f t="shared" ca="1" si="16"/>
        <v/>
      </c>
      <c r="Y128" t="b">
        <f t="shared" ca="1" si="19"/>
        <v>1</v>
      </c>
    </row>
    <row r="129" spans="1:25" ht="77.5">
      <c r="A129" s="705" t="s">
        <v>3135</v>
      </c>
      <c r="B129" s="716" t="str">
        <f t="shared" ca="1" si="20"/>
        <v>Other assumptions - C20</v>
      </c>
      <c r="C129" s="707" t="str" cm="1">
        <f t="array" aca="1" ref="C129" ca="1">INDIRECT(LEFT(I129, FIND("!", I129)) &amp; RefData!$C$426 &amp; RIGHT(I129, LEN(I129) - FIND("!", I129) - 1))</f>
        <v xml:space="preserve">
What is the female cohort expected age of death, for future pensioners aged 45 at valuation date on a technical provisions basis, assuming they survive to age 65?
</v>
      </c>
      <c r="D129" s="92" t="str">
        <f t="shared" ca="1" si="15"/>
        <v xml:space="preserve">
Enter a number between 65 and 125 to 1 decimal place.
</v>
      </c>
      <c r="E129" s="708" t="str" cm="1">
        <f t="array" aca="1" ref="E129" ca="1">IF(INDIRECT($I129)= "", "", INDIRECT($I129))</f>
        <v/>
      </c>
      <c r="F129" s="709" t="str" cm="1">
        <f t="array" aca="1" ref="F129" ca="1">INDIRECT(LEFT(I129, FIND("!", I129)) &amp; RefData!$C$427 &amp; RIGHT(I129, LEN(I129) - FIND("!", I129) - 1))</f>
        <v>OAS 11.0</v>
      </c>
      <c r="G129" s="710" t="b">
        <f ca="1">IF(ISNUMBER(SEARCH(RefData!$B$2, $C129)), FALSE, TRUE)</f>
        <v>1</v>
      </c>
      <c r="H129" s="115">
        <f>'Other assumptions'!C20</f>
        <v>0</v>
      </c>
      <c r="I129" s="712" t="str">
        <f t="shared" ca="1" si="21"/>
        <v>'Other assumptions'!C20</v>
      </c>
      <c r="J129" s="713" t="str" cm="1">
        <f t="array" aca="1" ref="J129" ca="1">IF(COUNTIF($K129:$T129, "&lt;&gt;FALSE") - COUNTBLANK($K129:$T129) &gt; 0, INDEX($K129:$T129, MATCH(TRUE, $K129:$T129 &lt;&gt; FALSE, 0)))</f>
        <v xml:space="preserve">
Enter a number between 65 and 125 to 1 decimal place.
</v>
      </c>
      <c r="K129" s="712" t="str">
        <f ca="1">IF($E129="",ErrorMsgs!$B129)</f>
        <v xml:space="preserve">
Enter a number between 65 and 125 to 1 decimal place.
</v>
      </c>
      <c r="L129" s="712" t="b">
        <f ca="1">IF($E129="",FALSE,IF(OR($E129-ROUND($E129,1)&lt;&gt;0),ErrorMsgs!$B129))</f>
        <v>0</v>
      </c>
      <c r="M129" s="714" t="b">
        <f ca="1">IF($E129="",FALSE,IF(NOT(AND($E129&gt;=65,$E129&lt;=125)),ErrorMsgs!$B129))</f>
        <v>0</v>
      </c>
      <c r="N129" s="714"/>
      <c r="O129" s="712"/>
      <c r="P129" s="712"/>
      <c r="Q129" s="712"/>
      <c r="R129" s="712"/>
      <c r="S129" s="712"/>
      <c r="T129" s="712"/>
      <c r="U129" s="526" t="str">
        <f t="shared" ca="1" si="17"/>
        <v/>
      </c>
      <c r="V129" s="93" t="str" cm="1">
        <f t="array" aca="1" ref="V129" ca="1">CELL("format",INDIRECT(I129))</f>
        <v>F1</v>
      </c>
      <c r="W129" s="93" t="b">
        <f t="shared" ca="1" si="18"/>
        <v>0</v>
      </c>
      <c r="X129" s="715" t="str">
        <f t="shared" ca="1" si="16"/>
        <v/>
      </c>
      <c r="Y129" t="b">
        <f t="shared" ca="1" si="19"/>
        <v>1</v>
      </c>
    </row>
    <row r="130" spans="1:25" ht="62">
      <c r="A130" s="705" t="s">
        <v>3136</v>
      </c>
      <c r="B130" s="716" t="str">
        <f t="shared" ca="1" si="20"/>
        <v>Other assumptions - C24</v>
      </c>
      <c r="C130" s="707" t="str" cm="1">
        <f t="array" aca="1" ref="C130" ca="1">INDIRECT(LEFT(I130, FIND("!", I130)) &amp; RefData!$C$426 &amp; RIGHT(I130, LEN(I130) - FIND("!", I130) - 1))</f>
        <v xml:space="preserve">
Is the technical provisions basis the same as the low dependency basis in all aspects?
</v>
      </c>
      <c r="D130" s="92" t="str">
        <f t="shared" ref="D130:D193" ca="1" si="22">""&amp;IF(J130=FALSE, "", J130)
&amp;""</f>
        <v xml:space="preserve">
Select ‘Yes' if the technical provisions basis is the same as the low dependency basis in all respects and ‘No' if it is not.
</v>
      </c>
      <c r="E130" s="708" t="str" cm="1">
        <f t="array" aca="1" ref="E130" ca="1">IF(INDIRECT($I130)= "", "", INDIRECT($I130))</f>
        <v/>
      </c>
      <c r="F130" s="709" t="str" cm="1">
        <f t="array" aca="1" ref="F130" ca="1">INDIRECT(LEFT(I130, FIND("!", I130)) &amp; RefData!$C$427 &amp; RIGHT(I130, LEN(I130) - FIND("!", I130) - 1))</f>
        <v>OAS 12.0</v>
      </c>
      <c r="G130" s="710" t="b">
        <f ca="1">IF(ISNUMBER(SEARCH(RefData!$B$2, $C130)), FALSE, TRUE)</f>
        <v>1</v>
      </c>
      <c r="H130" s="113">
        <f>'Other assumptions'!C24</f>
        <v>0</v>
      </c>
      <c r="I130" s="712" t="str">
        <f t="shared" ca="1" si="21"/>
        <v>'Other assumptions'!C24</v>
      </c>
      <c r="J130" s="713" t="str" cm="1">
        <f t="array" aca="1" ref="J130" ca="1">IF(COUNTIF($K130:$T130, "&lt;&gt;FALSE") - COUNTBLANK($K130:$T130) &gt; 0, INDEX($K130:$T130, MATCH(TRUE, $K130:$T130 &lt;&gt; FALSE, 0)))</f>
        <v xml:space="preserve">
Select ‘Yes' if the technical provisions basis is the same as the low dependency basis in all respects and ‘No' if it is not.
</v>
      </c>
      <c r="K130" s="712" t="str">
        <f ca="1">IF($E130="",ErrorMsgs!$B130)</f>
        <v xml:space="preserve">
Select ‘Yes' if the technical provisions basis is the same as the low dependency basis in all respects and ‘No' if it is not.
</v>
      </c>
      <c r="L130" s="712" t="str">
        <f ca="1">IF(ISNA(MATCH($E130, RefData!$B$198:$B$199, 0)), ErrorMsgs!$C130)</f>
        <v xml:space="preserve">
Select ‘Yes' if the technical provisions basis is the same as the low dependency basis in all respects and ‘No' if it is not.
</v>
      </c>
      <c r="M130" s="714"/>
      <c r="N130" s="714"/>
      <c r="O130" s="712"/>
      <c r="P130" s="712"/>
      <c r="Q130" s="712"/>
      <c r="R130" s="712"/>
      <c r="S130" s="712"/>
      <c r="T130" s="712"/>
      <c r="U130" s="526" t="str">
        <f t="shared" ca="1" si="17"/>
        <v/>
      </c>
      <c r="V130" s="93" t="str" cm="1">
        <f t="array" aca="1" ref="V130" ca="1">CELL("format",INDIRECT(I130))</f>
        <v>G</v>
      </c>
      <c r="W130" s="93" t="b">
        <f t="shared" ca="1" si="18"/>
        <v>0</v>
      </c>
      <c r="X130" s="715" t="str">
        <f t="shared" ref="X130:X193" ca="1" si="23">IF(W130, "0." &amp; IF(V130="P2",REPT("0", MIN(4, LEN(E130) - FIND(".", E130))),REPT("0", MIN(6, LEN(E130) - FIND(".", E130)))), "")</f>
        <v/>
      </c>
      <c r="Y130" t="b">
        <f t="shared" ca="1" si="19"/>
        <v>1</v>
      </c>
    </row>
    <row r="131" spans="1:25" ht="62">
      <c r="A131" s="705" t="s">
        <v>3137</v>
      </c>
      <c r="B131" s="716" t="str">
        <f t="shared" ca="1" si="20"/>
        <v>Other assumptions - C25</v>
      </c>
      <c r="C131" s="707" t="str" cm="1">
        <f t="array" aca="1" ref="C131" ca="1">INDIRECT(LEFT(I131, FIND("!", I131)) &amp; RefData!$C$426 &amp; RIGHT(I131, LEN(I131) - FIND("!", I131) - 1))</f>
        <v xml:space="preserve">
Has the same underlying yield curve been used for the low dependency basis and the technical provisions basis?
</v>
      </c>
      <c r="D131" s="92" t="str">
        <f t="shared" ca="1" si="22"/>
        <v/>
      </c>
      <c r="E131" s="708" t="str" cm="1">
        <f t="array" aca="1" ref="E131" ca="1">IF(INDIRECT($I131)= "", "", INDIRECT($I131))</f>
        <v/>
      </c>
      <c r="F131" s="709" t="str" cm="1">
        <f t="array" aca="1" ref="F131" ca="1">INDIRECT(LEFT(I131, FIND("!", I131)) &amp; RefData!$C$427 &amp; RIGHT(I131, LEN(I131) - FIND("!", I131) - 1))</f>
        <v>OAS 13.0</v>
      </c>
      <c r="G131" s="710" t="b">
        <f ca="1">IF(ISNUMBER(SEARCH(RefData!$B$2, $C131)), FALSE, TRUE)</f>
        <v>1</v>
      </c>
      <c r="H131" s="113">
        <f>'Other assumptions'!C25</f>
        <v>0</v>
      </c>
      <c r="I131" s="712" t="str">
        <f t="shared" ca="1" si="21"/>
        <v>'Other assumptions'!C25</v>
      </c>
      <c r="J131" s="713" t="b" cm="1">
        <f t="array" aca="1" ref="J131" ca="1">IF(COUNTIF($K131:$T131, "&lt;&gt;FALSE") - COUNTBLANK($K131:$T131) &gt; 0, INDEX($K131:$T131, MATCH(TRUE, $K131:$T131 &lt;&gt; FALSE, 0)))</f>
        <v>0</v>
      </c>
      <c r="K131" s="712" t="b">
        <f ca="1">IF(AND('Other assumptions'!$C$24=RefData!$B$198,$E131&lt;&gt;""),ErrorMsgs!$B131)</f>
        <v>0</v>
      </c>
      <c r="L131" s="712" t="b">
        <f ca="1">IF(AND('Other assumptions'!$C$24=RefData!$B$199,$E131=""),ErrorMsgs!$C131)</f>
        <v>0</v>
      </c>
      <c r="M131" s="714" t="b">
        <f ca="1">IF(AND('Other assumptions'!$C$24=RefData!$B$199,ISNA(MATCH($E131, RefData!$B$200:$B$201, 0))), ErrorMsgs!$D131)</f>
        <v>0</v>
      </c>
      <c r="N131" s="714"/>
      <c r="O131" s="712"/>
      <c r="P131" s="712"/>
      <c r="Q131" s="712"/>
      <c r="R131" s="712"/>
      <c r="S131" s="712"/>
      <c r="T131" s="712"/>
      <c r="U131" s="526" t="str">
        <f t="shared" ref="U131:U194" ca="1" si="24">IF(AND($W131=TRUE,$Y131=FALSE),TEXT($E131,$X131),$E131)</f>
        <v/>
      </c>
      <c r="V131" s="93" t="str" cm="1">
        <f t="array" aca="1" ref="V131" ca="1">CELL("format",INDIRECT(I131))</f>
        <v>G</v>
      </c>
      <c r="W131" s="93" t="b">
        <f t="shared" ref="W131:W194" ca="1" si="25">IF(ISNUMBER(E131), IF(INT(E131)&lt;&gt;E131,TRUE,FALSE),FALSE)</f>
        <v>0</v>
      </c>
      <c r="X131" s="715" t="str">
        <f t="shared" ca="1" si="23"/>
        <v/>
      </c>
      <c r="Y131" t="b">
        <f t="shared" ref="Y131:Y194" ca="1" si="26">ISTEXT(E131)</f>
        <v>1</v>
      </c>
    </row>
    <row r="132" spans="1:25" ht="62">
      <c r="A132" s="705" t="s">
        <v>3138</v>
      </c>
      <c r="B132" s="716" t="str">
        <f t="shared" ca="1" si="20"/>
        <v>Other assumptions - C26</v>
      </c>
      <c r="C132" s="707" t="str" cm="1">
        <f t="array" aca="1" ref="C132" ca="1">INDIRECT(LEFT(I132, FIND("!", I132)) &amp; RefData!$C$426 &amp; RIGHT(I132, LEN(I132) - FIND("!", I132) - 1))</f>
        <v xml:space="preserve">
Excluding discount rates, is your technical provisions basis the same as your low dependency funding basis?
</v>
      </c>
      <c r="D132" s="92" t="str">
        <f t="shared" ca="1" si="22"/>
        <v/>
      </c>
      <c r="E132" s="708" t="str" cm="1">
        <f t="array" aca="1" ref="E132" ca="1">IF(INDIRECT($I132)= "", "", INDIRECT($I132))</f>
        <v/>
      </c>
      <c r="F132" s="709" t="str" cm="1">
        <f t="array" aca="1" ref="F132" ca="1">INDIRECT(LEFT(I132, FIND("!", I132)) &amp; RefData!$C$427 &amp; RIGHT(I132, LEN(I132) - FIND("!", I132) - 1))</f>
        <v>OAS 14.0</v>
      </c>
      <c r="G132" s="710" t="b">
        <f ca="1">IF(ISNUMBER(SEARCH(RefData!$B$2, $C132)), FALSE, TRUE)</f>
        <v>1</v>
      </c>
      <c r="H132" s="113">
        <f>'Other assumptions'!C26</f>
        <v>0</v>
      </c>
      <c r="I132" s="712" t="str">
        <f t="shared" ca="1" si="21"/>
        <v>'Other assumptions'!C26</v>
      </c>
      <c r="J132" s="713" t="b" cm="1">
        <f t="array" aca="1" ref="J132" ca="1">IF(COUNTIF($K132:$T132, "&lt;&gt;FALSE") - COUNTBLANK($K132:$T132) &gt; 0, INDEX($K132:$T132, MATCH(TRUE, $K132:$T132 &lt;&gt; FALSE, 0)))</f>
        <v>0</v>
      </c>
      <c r="K132" s="712" t="b">
        <f ca="1">IF(AND('Other assumptions'!$C$24=RefData!$B$198,$E132&lt;&gt;""),ErrorMsgs!$B132)</f>
        <v>0</v>
      </c>
      <c r="L132" s="712" t="b">
        <f ca="1">IF(AND('Other assumptions'!$C$24=RefData!$B$199,$E132=""),ErrorMsgs!$C132)</f>
        <v>0</v>
      </c>
      <c r="M132" s="714" t="b">
        <f ca="1">IF(AND('Other assumptions'!$C$24=RefData!$B$199,ISNA(MATCH($E132, RefData!$B$202:$B$203, 0))), ErrorMsgs!$D132)</f>
        <v>0</v>
      </c>
      <c r="N132" s="714"/>
      <c r="O132" s="712"/>
      <c r="P132" s="712"/>
      <c r="Q132" s="712"/>
      <c r="R132" s="712"/>
      <c r="S132" s="712"/>
      <c r="T132" s="712"/>
      <c r="U132" s="526" t="str">
        <f t="shared" ca="1" si="24"/>
        <v/>
      </c>
      <c r="V132" s="93" t="str" cm="1">
        <f t="array" aca="1" ref="V132" ca="1">CELL("format",INDIRECT(I132))</f>
        <v>G</v>
      </c>
      <c r="W132" s="93" t="b">
        <f t="shared" ca="1" si="25"/>
        <v>0</v>
      </c>
      <c r="X132" s="715" t="str">
        <f t="shared" ca="1" si="23"/>
        <v/>
      </c>
      <c r="Y132" t="b">
        <f t="shared" ca="1" si="26"/>
        <v>1</v>
      </c>
    </row>
    <row r="133" spans="1:25" ht="108.5">
      <c r="A133" s="705" t="s">
        <v>3139</v>
      </c>
      <c r="B133" s="716" t="str">
        <f t="shared" ca="1" si="20"/>
        <v>Other assumptions - C27</v>
      </c>
      <c r="C133" s="707" t="str" cm="1">
        <f t="array" aca="1" ref="C133" ca="1">INDIRECT(LEFT(I133, FIND("!", I133)) &amp; RefData!$C$426 &amp; RIGHT(I133, LEN(I133) - FIND("!", I133) - 1))</f>
        <v xml:space="preserve">
No answer required
Explain the differences between the technical provisions assumptions and the low dependency assumptions (with the exception of discount rate premiums).
</v>
      </c>
      <c r="D133" s="92" t="str">
        <f t="shared" ca="1" si="22"/>
        <v/>
      </c>
      <c r="E133" s="708" t="str" cm="1">
        <f t="array" aca="1" ref="E133" ca="1">IF(INDIRECT($I133)= "", "", INDIRECT($I133))</f>
        <v/>
      </c>
      <c r="F133" s="709" t="str" cm="1">
        <f t="array" aca="1" ref="F133" ca="1">INDIRECT(LEFT(I133, FIND("!", I133)) &amp; RefData!$C$427 &amp; RIGHT(I133, LEN(I133) - FIND("!", I133) - 1))</f>
        <v>OAS 15.0</v>
      </c>
      <c r="G133" s="710" t="b">
        <f ca="1">IF(ISNUMBER(SEARCH(RefData!$B$2, $C133)), FALSE, TRUE)</f>
        <v>0</v>
      </c>
      <c r="H133" s="113">
        <f>'Other assumptions'!C27</f>
        <v>0</v>
      </c>
      <c r="I133" s="712" t="str">
        <f t="shared" ca="1" si="21"/>
        <v>'Other assumptions'!C27</v>
      </c>
      <c r="J133" s="713" t="b" cm="1">
        <f t="array" aca="1" ref="J133" ca="1">IF(COUNTIF($K133:$T133, "&lt;&gt;FALSE") - COUNTBLANK($K133:$T133) &gt; 0, INDEX($K133:$T133, MATCH(TRUE, $K133:$T133 &lt;&gt; FALSE, 0)))</f>
        <v>0</v>
      </c>
      <c r="K133" s="712" t="b">
        <f ca="1">IF(AND('Other assumptions'!$C$24=RefData!$B$198,$E133&lt;&gt;""),ErrorMsgs!$B133)</f>
        <v>0</v>
      </c>
      <c r="L133" s="712" t="b">
        <f ca="1">IF(AND('Other assumptions'!$C$25&lt;&gt;RefData!$B$201,'Other assumptions'!$C$26&lt;&gt;RefData!$B$203,'Reconciliation report'!$E133&lt;&gt;""),ErrorMsgs!$C133)</f>
        <v>0</v>
      </c>
      <c r="M133" s="714" t="b">
        <f ca="1">IF(AND('Other assumptions'!$C$24&lt;&gt;RefData!$B$198, 'Reconciliation report'!$E133="", 'Other assumptions'!$C$25=RefData!$B$201, 'Other assumptions'!$C$26=RefData!$B$203),ErrorMsgs!$D133)</f>
        <v>0</v>
      </c>
      <c r="N133" s="714" t="b">
        <f ca="1">IF(AND('Other assumptions'!$C$24&lt;&gt;RefData!$B$198,'Reconciliation report'!$E133="", 'Other assumptions'!$C$25=RefData!$B$201,'Other assumptions'!$C$26=RefData!$B$202),ErrorMsgs!$E133)</f>
        <v>0</v>
      </c>
      <c r="O133" s="714" t="b">
        <f ca="1">IF(AND('Other assumptions'!$C$24&lt;&gt;RefData!$B$198, 'Reconciliation report'!$E133="", 'Other assumptions'!$C$25=RefData!$B$200, 'Other assumptions'!$C$26=RefData!$B$203),ErrorMsgs!$F133)</f>
        <v>0</v>
      </c>
      <c r="P133" s="712" t="b">
        <f ca="1">IF(LEN($E133)&gt;4000,ErrorMsgs!$G133)</f>
        <v>0</v>
      </c>
      <c r="Q133" s="712"/>
      <c r="R133" s="712"/>
      <c r="S133" s="712"/>
      <c r="T133" s="712"/>
      <c r="U133" s="526" t="str">
        <f t="shared" ca="1" si="24"/>
        <v/>
      </c>
      <c r="V133" s="93" t="str" cm="1">
        <f t="array" aca="1" ref="V133" ca="1">CELL("format",INDIRECT(I133))</f>
        <v>G</v>
      </c>
      <c r="W133" s="93" t="b">
        <f t="shared" ca="1" si="25"/>
        <v>0</v>
      </c>
      <c r="X133" s="715" t="str">
        <f t="shared" ca="1" si="23"/>
        <v/>
      </c>
      <c r="Y133" t="b">
        <f t="shared" ca="1" si="26"/>
        <v>1</v>
      </c>
    </row>
    <row r="134" spans="1:25" ht="63" customHeight="1">
      <c r="A134" s="705" t="s">
        <v>3140</v>
      </c>
      <c r="B134" s="716" t="str">
        <f t="shared" ca="1" si="20"/>
        <v>40-year assumptions - C7</v>
      </c>
      <c r="C134" s="707" t="str" cm="1">
        <f t="array" aca="1" ref="C134" ca="1">INDIRECT(LEFT(I134, FIND("!", I134)) &amp; RefData!$C$426 &amp; RIGHT(I134, LEN(I134) - FIND("!", I134) - 1))</f>
        <v>Year 1</v>
      </c>
      <c r="D134" s="92" t="str">
        <f t="shared" ca="1" si="22"/>
        <v/>
      </c>
      <c r="E134" s="708" t="str" cm="1">
        <f t="array" aca="1" ref="E134" ca="1">IF(INDIRECT($I134)= "", "", INDIRECT($I134))</f>
        <v/>
      </c>
      <c r="F134" s="709" t="str" cm="1">
        <f t="array" aca="1" ref="F134" ca="1">INDIRECT(LEFT(I134, FIND("!", I134)) &amp; RefData!$C$427 &amp; RIGHT(I134, LEN(I134) - FIND("!", I134) - 1))</f>
        <v>FYA 1.0</v>
      </c>
      <c r="G134" s="710" t="b">
        <f ca="1">IF(ISNUMBER(SEARCH(RefData!$B$2, $C134)), FALSE, TRUE)</f>
        <v>1</v>
      </c>
      <c r="H134" s="344">
        <f>'40-year assumptions'!C7</f>
        <v>0</v>
      </c>
      <c r="I134" s="712" t="str">
        <f t="shared" ca="1" si="21"/>
        <v>'40-year assumptions'!C7</v>
      </c>
      <c r="J134" s="713" t="b" cm="1">
        <f t="array" aca="1" ref="J134" ca="1">IF(COUNTIF($K134:$T134, "&lt;&gt;FALSE") - COUNTBLANK($K134:$T134) &gt; 0, INDEX($K134:$T134, MATCH(TRUE, $K134:$T134 &lt;&gt; FALSE, 0)))</f>
        <v>0</v>
      </c>
      <c r="K134" s="712" t="b">
        <f ca="1">IF(AND('Start here'!$C$24=RefData!$B$5,'Reconciliation report'!$E134=""),ErrorMsgs!$B134)</f>
        <v>0</v>
      </c>
      <c r="L134" s="712" t="b">
        <f ca="1">IF(AND('Start here'!$C$24=RefData!$B$4,'Discount rates'!$C$7=RefData!$B$8,'Reconciliation report'!$E134=""),ErrorMsgs!$C134)</f>
        <v>0</v>
      </c>
      <c r="M134" s="714" t="b">
        <f ca="1">IF(AND('Start here'!$C$24=RefData!$B$4,'Discount rates'!$C$7=RefData!$B$7,'Reconciliation report'!$E134&lt;&gt;""),ErrorMsgs!$D134)</f>
        <v>0</v>
      </c>
      <c r="N134" s="714" t="b">
        <f ca="1">IF($E134="",FALSE,IF(OR($E134&lt;-0.25,$E134&gt;0.25),ErrorMsgs!$E134))</f>
        <v>0</v>
      </c>
      <c r="O134" s="712"/>
      <c r="P134" s="712"/>
      <c r="Q134" s="712"/>
      <c r="R134" s="712"/>
      <c r="S134" s="712"/>
      <c r="T134" s="712"/>
      <c r="U134" s="526" t="str">
        <f t="shared" ca="1" si="24"/>
        <v/>
      </c>
      <c r="V134" s="93" t="str" cm="1">
        <f t="array" aca="1" ref="V134" ca="1">CELL("format",INDIRECT(I134))</f>
        <v>P4</v>
      </c>
      <c r="W134" s="93" t="b">
        <f t="shared" ca="1" si="25"/>
        <v>0</v>
      </c>
      <c r="X134" s="715" t="str">
        <f t="shared" ca="1" si="23"/>
        <v/>
      </c>
      <c r="Y134" t="b">
        <f t="shared" ca="1" si="26"/>
        <v>1</v>
      </c>
    </row>
    <row r="135" spans="1:25" ht="63" customHeight="1">
      <c r="A135" s="705" t="s">
        <v>3141</v>
      </c>
      <c r="B135" s="716" t="str">
        <f t="shared" ca="1" si="20"/>
        <v>40-year assumptions - C8</v>
      </c>
      <c r="C135" s="707" t="str" cm="1">
        <f t="array" aca="1" ref="C135" ca="1">INDIRECT(LEFT(I135, FIND("!", I135)) &amp; RefData!$C$426 &amp; RIGHT(I135, LEN(I135) - FIND("!", I135) - 1))</f>
        <v>Year 2</v>
      </c>
      <c r="D135" s="92" t="str">
        <f t="shared" ca="1" si="22"/>
        <v/>
      </c>
      <c r="E135" s="708" t="str" cm="1">
        <f t="array" aca="1" ref="E135" ca="1">IF(INDIRECT($I135)= "", "", INDIRECT($I135))</f>
        <v/>
      </c>
      <c r="F135" s="709" t="str" cm="1">
        <f t="array" aca="1" ref="F135" ca="1">INDIRECT(LEFT(I135, FIND("!", I135)) &amp; RefData!$C$427 &amp; RIGHT(I135, LEN(I135) - FIND("!", I135) - 1))</f>
        <v>FYA 2.0</v>
      </c>
      <c r="G135" s="710" t="b">
        <f ca="1">IF(ISNUMBER(SEARCH(RefData!$B$2, $C135)), FALSE, TRUE)</f>
        <v>1</v>
      </c>
      <c r="H135" s="344">
        <f>'40-year assumptions'!C8</f>
        <v>0</v>
      </c>
      <c r="I135" s="712" t="str">
        <f t="shared" ca="1" si="21"/>
        <v>'40-year assumptions'!C8</v>
      </c>
      <c r="J135" s="713" t="b" cm="1">
        <f t="array" aca="1" ref="J135" ca="1">IF(COUNTIF($K135:$T135, "&lt;&gt;FALSE") - COUNTBLANK($K135:$T135) &gt; 0, INDEX($K135:$T135, MATCH(TRUE, $K135:$T135 &lt;&gt; FALSE, 0)))</f>
        <v>0</v>
      </c>
      <c r="K135" s="712" t="b">
        <f ca="1">IF(AND('Start here'!$C$24=RefData!$B$5,'Reconciliation report'!$E135=""),ErrorMsgs!$B135)</f>
        <v>0</v>
      </c>
      <c r="L135" s="712" t="b">
        <f ca="1">IF(AND('Start here'!$C$24=RefData!$B$4,'Discount rates'!$C$7=RefData!$B$8,'Reconciliation report'!$E135=""),ErrorMsgs!$C135)</f>
        <v>0</v>
      </c>
      <c r="M135" s="714" t="b">
        <f ca="1">IF(AND('Start here'!$C$24=RefData!$B$4,'Discount rates'!$C$7=RefData!$B$7,'Reconciliation report'!$E135&lt;&gt;""),ErrorMsgs!$D135)</f>
        <v>0</v>
      </c>
      <c r="N135" s="714" t="b">
        <f ca="1">IF($E135="",FALSE,IF(OR($E135&lt;-0.25,$E135&gt;0.25),ErrorMsgs!$E135))</f>
        <v>0</v>
      </c>
      <c r="O135" s="712"/>
      <c r="P135" s="712"/>
      <c r="Q135" s="712"/>
      <c r="R135" s="712"/>
      <c r="S135" s="712"/>
      <c r="T135" s="712"/>
      <c r="U135" s="526" t="str">
        <f t="shared" ca="1" si="24"/>
        <v/>
      </c>
      <c r="V135" s="93" t="str" cm="1">
        <f t="array" aca="1" ref="V135" ca="1">CELL("format",INDIRECT(I135))</f>
        <v>P4</v>
      </c>
      <c r="W135" s="93" t="b">
        <f t="shared" ca="1" si="25"/>
        <v>0</v>
      </c>
      <c r="X135" s="715" t="str">
        <f t="shared" ca="1" si="23"/>
        <v/>
      </c>
      <c r="Y135" t="b">
        <f t="shared" ca="1" si="26"/>
        <v>1</v>
      </c>
    </row>
    <row r="136" spans="1:25" ht="63" customHeight="1">
      <c r="A136" s="705" t="s">
        <v>3142</v>
      </c>
      <c r="B136" s="716" t="str">
        <f t="shared" ca="1" si="20"/>
        <v>40-year assumptions - C9</v>
      </c>
      <c r="C136" s="707" t="str" cm="1">
        <f t="array" aca="1" ref="C136" ca="1">INDIRECT(LEFT(I136, FIND("!", I136)) &amp; RefData!$C$426 &amp; RIGHT(I136, LEN(I136) - FIND("!", I136) - 1))</f>
        <v>Year 3</v>
      </c>
      <c r="D136" s="92" t="str">
        <f t="shared" ca="1" si="22"/>
        <v/>
      </c>
      <c r="E136" s="708" t="str" cm="1">
        <f t="array" aca="1" ref="E136" ca="1">IF(INDIRECT($I136)= "", "", INDIRECT($I136))</f>
        <v/>
      </c>
      <c r="F136" s="709" t="str" cm="1">
        <f t="array" aca="1" ref="F136" ca="1">INDIRECT(LEFT(I136, FIND("!", I136)) &amp; RefData!$C$427 &amp; RIGHT(I136, LEN(I136) - FIND("!", I136) - 1))</f>
        <v>FYA 3.0</v>
      </c>
      <c r="G136" s="710" t="b">
        <f ca="1">IF(ISNUMBER(SEARCH(RefData!$B$2, $C136)), FALSE, TRUE)</f>
        <v>1</v>
      </c>
      <c r="H136" s="344">
        <f>'40-year assumptions'!C9</f>
        <v>0</v>
      </c>
      <c r="I136" s="712" t="str">
        <f t="shared" ca="1" si="21"/>
        <v>'40-year assumptions'!C9</v>
      </c>
      <c r="J136" s="713" t="b" cm="1">
        <f t="array" aca="1" ref="J136" ca="1">IF(COUNTIF($K136:$T136, "&lt;&gt;FALSE") - COUNTBLANK($K136:$T136) &gt; 0, INDEX($K136:$T136, MATCH(TRUE, $K136:$T136 &lt;&gt; FALSE, 0)))</f>
        <v>0</v>
      </c>
      <c r="K136" s="712" t="b">
        <f ca="1">IF(AND('Start here'!$C$24=RefData!$B$5,'Reconciliation report'!$E136=""),ErrorMsgs!$B136)</f>
        <v>0</v>
      </c>
      <c r="L136" s="712" t="b">
        <f ca="1">IF(AND('Start here'!$C$24=RefData!$B$4,'Discount rates'!$C$7=RefData!$B$8,'Reconciliation report'!$E136=""),ErrorMsgs!$C136)</f>
        <v>0</v>
      </c>
      <c r="M136" s="714" t="b">
        <f ca="1">IF(AND('Start here'!$C$24=RefData!$B$4,'Discount rates'!$C$7=RefData!$B$7,'Reconciliation report'!$E136&lt;&gt;""),ErrorMsgs!$D136)</f>
        <v>0</v>
      </c>
      <c r="N136" s="714" t="b">
        <f ca="1">IF($E136="",FALSE,IF(OR($E136&lt;-0.25,$E136&gt;0.25),ErrorMsgs!$E136))</f>
        <v>0</v>
      </c>
      <c r="O136" s="712"/>
      <c r="P136" s="712"/>
      <c r="Q136" s="712"/>
      <c r="R136" s="712"/>
      <c r="S136" s="712"/>
      <c r="T136" s="712"/>
      <c r="U136" s="526" t="str">
        <f t="shared" ca="1" si="24"/>
        <v/>
      </c>
      <c r="V136" s="93" t="str" cm="1">
        <f t="array" aca="1" ref="V136" ca="1">CELL("format",INDIRECT(I136))</f>
        <v>P4</v>
      </c>
      <c r="W136" s="93" t="b">
        <f t="shared" ca="1" si="25"/>
        <v>0</v>
      </c>
      <c r="X136" s="715" t="str">
        <f t="shared" ca="1" si="23"/>
        <v/>
      </c>
      <c r="Y136" t="b">
        <f t="shared" ca="1" si="26"/>
        <v>1</v>
      </c>
    </row>
    <row r="137" spans="1:25" ht="63" customHeight="1">
      <c r="A137" s="705" t="s">
        <v>3143</v>
      </c>
      <c r="B137" s="716" t="str">
        <f t="shared" ca="1" si="20"/>
        <v>40-year assumptions - C10</v>
      </c>
      <c r="C137" s="707" t="str" cm="1">
        <f t="array" aca="1" ref="C137" ca="1">INDIRECT(LEFT(I137, FIND("!", I137)) &amp; RefData!$C$426 &amp; RIGHT(I137, LEN(I137) - FIND("!", I137) - 1))</f>
        <v>Year 4</v>
      </c>
      <c r="D137" s="92" t="str">
        <f t="shared" ca="1" si="22"/>
        <v/>
      </c>
      <c r="E137" s="708" t="str" cm="1">
        <f t="array" aca="1" ref="E137" ca="1">IF(INDIRECT($I137)= "", "", INDIRECT($I137))</f>
        <v/>
      </c>
      <c r="F137" s="709" t="str" cm="1">
        <f t="array" aca="1" ref="F137" ca="1">INDIRECT(LEFT(I137, FIND("!", I137)) &amp; RefData!$C$427 &amp; RIGHT(I137, LEN(I137) - FIND("!", I137) - 1))</f>
        <v>FYA 4.0</v>
      </c>
      <c r="G137" s="710" t="b">
        <f ca="1">IF(ISNUMBER(SEARCH(RefData!$B$2, $C137)), FALSE, TRUE)</f>
        <v>1</v>
      </c>
      <c r="H137" s="344">
        <f>'40-year assumptions'!C10</f>
        <v>0</v>
      </c>
      <c r="I137" s="712" t="str">
        <f t="shared" ca="1" si="21"/>
        <v>'40-year assumptions'!C10</v>
      </c>
      <c r="J137" s="713" t="b" cm="1">
        <f t="array" aca="1" ref="J137" ca="1">IF(COUNTIF($K137:$T137, "&lt;&gt;FALSE") - COUNTBLANK($K137:$T137) &gt; 0, INDEX($K137:$T137, MATCH(TRUE, $K137:$T137 &lt;&gt; FALSE, 0)))</f>
        <v>0</v>
      </c>
      <c r="K137" s="712" t="b">
        <f ca="1">IF(AND('Start here'!$C$24=RefData!$B$5,'Reconciliation report'!$E137=""),ErrorMsgs!$B137)</f>
        <v>0</v>
      </c>
      <c r="L137" s="712" t="b">
        <f ca="1">IF(AND('Start here'!$C$24=RefData!$B$4,'Discount rates'!$C$7=RefData!$B$8,'Reconciliation report'!$E137=""),ErrorMsgs!$C137)</f>
        <v>0</v>
      </c>
      <c r="M137" s="714" t="b">
        <f ca="1">IF(AND('Start here'!$C$24=RefData!$B$4,'Discount rates'!$C$7=RefData!$B$7,'Reconciliation report'!$E137&lt;&gt;""),ErrorMsgs!$D137)</f>
        <v>0</v>
      </c>
      <c r="N137" s="714" t="b">
        <f ca="1">IF($E137="",FALSE,IF(OR($E137&lt;-0.25,$E137&gt;0.25),ErrorMsgs!$E137))</f>
        <v>0</v>
      </c>
      <c r="O137" s="712"/>
      <c r="P137" s="712"/>
      <c r="Q137" s="712"/>
      <c r="R137" s="712"/>
      <c r="S137" s="712"/>
      <c r="T137" s="712"/>
      <c r="U137" s="526" t="str">
        <f t="shared" ca="1" si="24"/>
        <v/>
      </c>
      <c r="V137" s="93" t="str" cm="1">
        <f t="array" aca="1" ref="V137" ca="1">CELL("format",INDIRECT(I137))</f>
        <v>P4</v>
      </c>
      <c r="W137" s="93" t="b">
        <f t="shared" ca="1" si="25"/>
        <v>0</v>
      </c>
      <c r="X137" s="715" t="str">
        <f t="shared" ca="1" si="23"/>
        <v/>
      </c>
      <c r="Y137" t="b">
        <f t="shared" ca="1" si="26"/>
        <v>1</v>
      </c>
    </row>
    <row r="138" spans="1:25" ht="63" customHeight="1">
      <c r="A138" s="705" t="s">
        <v>3144</v>
      </c>
      <c r="B138" s="716" t="str">
        <f t="shared" ca="1" si="20"/>
        <v>40-year assumptions - C11</v>
      </c>
      <c r="C138" s="707" t="str" cm="1">
        <f t="array" aca="1" ref="C138" ca="1">INDIRECT(LEFT(I138, FIND("!", I138)) &amp; RefData!$C$426 &amp; RIGHT(I138, LEN(I138) - FIND("!", I138) - 1))</f>
        <v>Year 5</v>
      </c>
      <c r="D138" s="92" t="str">
        <f t="shared" ca="1" si="22"/>
        <v/>
      </c>
      <c r="E138" s="708" t="str" cm="1">
        <f t="array" aca="1" ref="E138" ca="1">IF(INDIRECT($I138)= "", "", INDIRECT($I138))</f>
        <v/>
      </c>
      <c r="F138" s="709" t="str" cm="1">
        <f t="array" aca="1" ref="F138" ca="1">INDIRECT(LEFT(I138, FIND("!", I138)) &amp; RefData!$C$427 &amp; RIGHT(I138, LEN(I138) - FIND("!", I138) - 1))</f>
        <v>FYA 5.0</v>
      </c>
      <c r="G138" s="710" t="b">
        <f ca="1">IF(ISNUMBER(SEARCH(RefData!$B$2, $C138)), FALSE, TRUE)</f>
        <v>1</v>
      </c>
      <c r="H138" s="344">
        <f>'40-year assumptions'!C11</f>
        <v>0</v>
      </c>
      <c r="I138" s="712" t="str">
        <f t="shared" ca="1" si="21"/>
        <v>'40-year assumptions'!C11</v>
      </c>
      <c r="J138" s="713" t="b" cm="1">
        <f t="array" aca="1" ref="J138" ca="1">IF(COUNTIF($K138:$T138, "&lt;&gt;FALSE") - COUNTBLANK($K138:$T138) &gt; 0, INDEX($K138:$T138, MATCH(TRUE, $K138:$T138 &lt;&gt; FALSE, 0)))</f>
        <v>0</v>
      </c>
      <c r="K138" s="712" t="b">
        <f ca="1">IF(AND('Start here'!$C$24=RefData!$B$5,'Reconciliation report'!$E138=""),ErrorMsgs!$B138)</f>
        <v>0</v>
      </c>
      <c r="L138" s="712" t="b">
        <f ca="1">IF(AND('Start here'!$C$24=RefData!$B$4,'Discount rates'!$C$7=RefData!$B$8,'Reconciliation report'!$E138=""),ErrorMsgs!$C138)</f>
        <v>0</v>
      </c>
      <c r="M138" s="714" t="b">
        <f ca="1">IF(AND('Start here'!$C$24=RefData!$B$4,'Discount rates'!$C$7=RefData!$B$7,'Reconciliation report'!$E138&lt;&gt;""),ErrorMsgs!$D138)</f>
        <v>0</v>
      </c>
      <c r="N138" s="714" t="b">
        <f ca="1">IF($E138="",FALSE,IF(OR($E138&lt;-0.25,$E138&gt;0.25),ErrorMsgs!$E138))</f>
        <v>0</v>
      </c>
      <c r="O138" s="712"/>
      <c r="P138" s="712"/>
      <c r="Q138" s="712"/>
      <c r="R138" s="712"/>
      <c r="S138" s="712"/>
      <c r="T138" s="712"/>
      <c r="U138" s="526" t="str">
        <f t="shared" ca="1" si="24"/>
        <v/>
      </c>
      <c r="V138" s="93" t="str" cm="1">
        <f t="array" aca="1" ref="V138" ca="1">CELL("format",INDIRECT(I138))</f>
        <v>P4</v>
      </c>
      <c r="W138" s="93" t="b">
        <f t="shared" ca="1" si="25"/>
        <v>0</v>
      </c>
      <c r="X138" s="715" t="str">
        <f t="shared" ca="1" si="23"/>
        <v/>
      </c>
      <c r="Y138" t="b">
        <f t="shared" ca="1" si="26"/>
        <v>1</v>
      </c>
    </row>
    <row r="139" spans="1:25" ht="63" customHeight="1">
      <c r="A139" s="705" t="s">
        <v>3145</v>
      </c>
      <c r="B139" s="716" t="str">
        <f t="shared" ca="1" si="20"/>
        <v>40-year assumptions - C12</v>
      </c>
      <c r="C139" s="707" t="str" cm="1">
        <f t="array" aca="1" ref="C139" ca="1">INDIRECT(LEFT(I139, FIND("!", I139)) &amp; RefData!$C$426 &amp; RIGHT(I139, LEN(I139) - FIND("!", I139) - 1))</f>
        <v>Year 6</v>
      </c>
      <c r="D139" s="92" t="str">
        <f t="shared" ca="1" si="22"/>
        <v/>
      </c>
      <c r="E139" s="708" t="str" cm="1">
        <f t="array" aca="1" ref="E139" ca="1">IF(INDIRECT($I139)= "", "", INDIRECT($I139))</f>
        <v/>
      </c>
      <c r="F139" s="709" t="str" cm="1">
        <f t="array" aca="1" ref="F139" ca="1">INDIRECT(LEFT(I139, FIND("!", I139)) &amp; RefData!$C$427 &amp; RIGHT(I139, LEN(I139) - FIND("!", I139) - 1))</f>
        <v>FYA 6.0</v>
      </c>
      <c r="G139" s="710" t="b">
        <f ca="1">IF(ISNUMBER(SEARCH(RefData!$B$2, $C139)), FALSE, TRUE)</f>
        <v>1</v>
      </c>
      <c r="H139" s="344">
        <f>'40-year assumptions'!C12</f>
        <v>0</v>
      </c>
      <c r="I139" s="712" t="str">
        <f t="shared" ca="1" si="21"/>
        <v>'40-year assumptions'!C12</v>
      </c>
      <c r="J139" s="713" t="b" cm="1">
        <f t="array" aca="1" ref="J139" ca="1">IF(COUNTIF($K139:$T139, "&lt;&gt;FALSE") - COUNTBLANK($K139:$T139) &gt; 0, INDEX($K139:$T139, MATCH(TRUE, $K139:$T139 &lt;&gt; FALSE, 0)))</f>
        <v>0</v>
      </c>
      <c r="K139" s="712" t="b">
        <f ca="1">IF(AND('Start here'!$C$24=RefData!$B$5,'Reconciliation report'!$E139=""),ErrorMsgs!$B139)</f>
        <v>0</v>
      </c>
      <c r="L139" s="712" t="b">
        <f ca="1">IF(AND('Start here'!$C$24=RefData!$B$4,'Discount rates'!$C$7=RefData!$B$8,'Reconciliation report'!$E139=""),ErrorMsgs!$C139)</f>
        <v>0</v>
      </c>
      <c r="M139" s="714" t="b">
        <f ca="1">IF(AND('Start here'!$C$24=RefData!$B$4,'Discount rates'!$C$7=RefData!$B$7,'Reconciliation report'!$E139&lt;&gt;""),ErrorMsgs!$D139)</f>
        <v>0</v>
      </c>
      <c r="N139" s="714" t="b">
        <f ca="1">IF($E139="",FALSE,IF(OR($E139&lt;-0.25,$E139&gt;0.25),ErrorMsgs!$E139))</f>
        <v>0</v>
      </c>
      <c r="O139" s="712"/>
      <c r="P139" s="712"/>
      <c r="Q139" s="712"/>
      <c r="R139" s="712"/>
      <c r="S139" s="712"/>
      <c r="T139" s="712"/>
      <c r="U139" s="526" t="str">
        <f t="shared" ca="1" si="24"/>
        <v/>
      </c>
      <c r="V139" s="93" t="str" cm="1">
        <f t="array" aca="1" ref="V139" ca="1">CELL("format",INDIRECT(I139))</f>
        <v>P4</v>
      </c>
      <c r="W139" s="93" t="b">
        <f t="shared" ca="1" si="25"/>
        <v>0</v>
      </c>
      <c r="X139" s="715" t="str">
        <f t="shared" ca="1" si="23"/>
        <v/>
      </c>
      <c r="Y139" t="b">
        <f t="shared" ca="1" si="26"/>
        <v>1</v>
      </c>
    </row>
    <row r="140" spans="1:25" ht="63" customHeight="1">
      <c r="A140" s="705" t="s">
        <v>3146</v>
      </c>
      <c r="B140" s="716" t="str">
        <f t="shared" ref="B140:B203" ca="1" si="27">HYPERLINK("#" &amp; $I140, SUBSTITUTE(SUBSTITUTE($I140, "!", " - "), "'",""))</f>
        <v>40-year assumptions - C13</v>
      </c>
      <c r="C140" s="707" t="str" cm="1">
        <f t="array" aca="1" ref="C140" ca="1">INDIRECT(LEFT(I140, FIND("!", I140)) &amp; RefData!$C$426 &amp; RIGHT(I140, LEN(I140) - FIND("!", I140) - 1))</f>
        <v>Year 7</v>
      </c>
      <c r="D140" s="92" t="str">
        <f t="shared" ca="1" si="22"/>
        <v/>
      </c>
      <c r="E140" s="708" t="str" cm="1">
        <f t="array" aca="1" ref="E140" ca="1">IF(INDIRECT($I140)= "", "", INDIRECT($I140))</f>
        <v/>
      </c>
      <c r="F140" s="709" t="str" cm="1">
        <f t="array" aca="1" ref="F140" ca="1">INDIRECT(LEFT(I140, FIND("!", I140)) &amp; RefData!$C$427 &amp; RIGHT(I140, LEN(I140) - FIND("!", I140) - 1))</f>
        <v>FYA 7.0</v>
      </c>
      <c r="G140" s="710" t="b">
        <f ca="1">IF(ISNUMBER(SEARCH(RefData!$B$2, $C140)), FALSE, TRUE)</f>
        <v>1</v>
      </c>
      <c r="H140" s="344">
        <f>'40-year assumptions'!C13</f>
        <v>0</v>
      </c>
      <c r="I140" s="712" t="str">
        <f t="shared" ref="I140:I203" ca="1" si="28">SUBSTITUTE(_xlfn.FORMULATEXT($H140), "=", "")</f>
        <v>'40-year assumptions'!C13</v>
      </c>
      <c r="J140" s="713" t="b" cm="1">
        <f t="array" aca="1" ref="J140" ca="1">IF(COUNTIF($K140:$T140, "&lt;&gt;FALSE") - COUNTBLANK($K140:$T140) &gt; 0, INDEX($K140:$T140, MATCH(TRUE, $K140:$T140 &lt;&gt; FALSE, 0)))</f>
        <v>0</v>
      </c>
      <c r="K140" s="712" t="b">
        <f ca="1">IF(AND('Start here'!$C$24=RefData!$B$5,'Reconciliation report'!$E140=""),ErrorMsgs!$B140)</f>
        <v>0</v>
      </c>
      <c r="L140" s="712" t="b">
        <f ca="1">IF(AND('Start here'!$C$24=RefData!$B$4,'Discount rates'!$C$7=RefData!$B$8,'Reconciliation report'!$E140=""),ErrorMsgs!$C140)</f>
        <v>0</v>
      </c>
      <c r="M140" s="714" t="b">
        <f ca="1">IF(AND('Start here'!$C$24=RefData!$B$4,'Discount rates'!$C$7=RefData!$B$7,'Reconciliation report'!$E140&lt;&gt;""),ErrorMsgs!$D140)</f>
        <v>0</v>
      </c>
      <c r="N140" s="714" t="b">
        <f ca="1">IF($E140="",FALSE,IF(OR($E140&lt;-0.25,$E140&gt;0.25),ErrorMsgs!$E140))</f>
        <v>0</v>
      </c>
      <c r="O140" s="712"/>
      <c r="P140" s="712"/>
      <c r="Q140" s="712"/>
      <c r="R140" s="712"/>
      <c r="S140" s="712"/>
      <c r="T140" s="712"/>
      <c r="U140" s="526" t="str">
        <f t="shared" ca="1" si="24"/>
        <v/>
      </c>
      <c r="V140" s="93" t="str" cm="1">
        <f t="array" aca="1" ref="V140" ca="1">CELL("format",INDIRECT(I140))</f>
        <v>P4</v>
      </c>
      <c r="W140" s="93" t="b">
        <f t="shared" ca="1" si="25"/>
        <v>0</v>
      </c>
      <c r="X140" s="715" t="str">
        <f t="shared" ca="1" si="23"/>
        <v/>
      </c>
      <c r="Y140" t="b">
        <f t="shared" ca="1" si="26"/>
        <v>1</v>
      </c>
    </row>
    <row r="141" spans="1:25" ht="63" customHeight="1">
      <c r="A141" s="705" t="s">
        <v>3147</v>
      </c>
      <c r="B141" s="716" t="str">
        <f t="shared" ca="1" si="27"/>
        <v>40-year assumptions - C14</v>
      </c>
      <c r="C141" s="707" t="str" cm="1">
        <f t="array" aca="1" ref="C141" ca="1">INDIRECT(LEFT(I141, FIND("!", I141)) &amp; RefData!$C$426 &amp; RIGHT(I141, LEN(I141) - FIND("!", I141) - 1))</f>
        <v>Year 8</v>
      </c>
      <c r="D141" s="92" t="str">
        <f t="shared" ca="1" si="22"/>
        <v/>
      </c>
      <c r="E141" s="708" t="str" cm="1">
        <f t="array" aca="1" ref="E141" ca="1">IF(INDIRECT($I141)= "", "", INDIRECT($I141))</f>
        <v/>
      </c>
      <c r="F141" s="709" t="str" cm="1">
        <f t="array" aca="1" ref="F141" ca="1">INDIRECT(LEFT(I141, FIND("!", I141)) &amp; RefData!$C$427 &amp; RIGHT(I141, LEN(I141) - FIND("!", I141) - 1))</f>
        <v>FYA 8.0</v>
      </c>
      <c r="G141" s="710" t="b">
        <f ca="1">IF(ISNUMBER(SEARCH(RefData!$B$2, $C141)), FALSE, TRUE)</f>
        <v>1</v>
      </c>
      <c r="H141" s="344">
        <f>'40-year assumptions'!C14</f>
        <v>0</v>
      </c>
      <c r="I141" s="712" t="str">
        <f t="shared" ca="1" si="28"/>
        <v>'40-year assumptions'!C14</v>
      </c>
      <c r="J141" s="713" t="b" cm="1">
        <f t="array" aca="1" ref="J141" ca="1">IF(COUNTIF($K141:$T141, "&lt;&gt;FALSE") - COUNTBLANK($K141:$T141) &gt; 0, INDEX($K141:$T141, MATCH(TRUE, $K141:$T141 &lt;&gt; FALSE, 0)))</f>
        <v>0</v>
      </c>
      <c r="K141" s="712" t="b">
        <f ca="1">IF(AND('Start here'!$C$24=RefData!$B$5,'Reconciliation report'!$E141=""),ErrorMsgs!$B141)</f>
        <v>0</v>
      </c>
      <c r="L141" s="712" t="b">
        <f ca="1">IF(AND('Start here'!$C$24=RefData!$B$4,'Discount rates'!$C$7=RefData!$B$8,'Reconciliation report'!$E141=""),ErrorMsgs!$C141)</f>
        <v>0</v>
      </c>
      <c r="M141" s="714" t="b">
        <f ca="1">IF(AND('Start here'!$C$24=RefData!$B$4,'Discount rates'!$C$7=RefData!$B$7,'Reconciliation report'!$E141&lt;&gt;""),ErrorMsgs!$D141)</f>
        <v>0</v>
      </c>
      <c r="N141" s="714" t="b">
        <f ca="1">IF($E141="",FALSE,IF(OR($E141&lt;-0.25,$E141&gt;0.25),ErrorMsgs!$E141))</f>
        <v>0</v>
      </c>
      <c r="O141" s="712"/>
      <c r="P141" s="712"/>
      <c r="Q141" s="712"/>
      <c r="R141" s="712"/>
      <c r="S141" s="712"/>
      <c r="T141" s="712"/>
      <c r="U141" s="526" t="str">
        <f t="shared" ca="1" si="24"/>
        <v/>
      </c>
      <c r="V141" s="93" t="str" cm="1">
        <f t="array" aca="1" ref="V141" ca="1">CELL("format",INDIRECT(I141))</f>
        <v>P4</v>
      </c>
      <c r="W141" s="93" t="b">
        <f t="shared" ca="1" si="25"/>
        <v>0</v>
      </c>
      <c r="X141" s="715" t="str">
        <f t="shared" ca="1" si="23"/>
        <v/>
      </c>
      <c r="Y141" t="b">
        <f t="shared" ca="1" si="26"/>
        <v>1</v>
      </c>
    </row>
    <row r="142" spans="1:25" ht="63" customHeight="1">
      <c r="A142" s="705" t="s">
        <v>3148</v>
      </c>
      <c r="B142" s="716" t="str">
        <f t="shared" ca="1" si="27"/>
        <v>40-year assumptions - C15</v>
      </c>
      <c r="C142" s="707" t="str" cm="1">
        <f t="array" aca="1" ref="C142" ca="1">INDIRECT(LEFT(I142, FIND("!", I142)) &amp; RefData!$C$426 &amp; RIGHT(I142, LEN(I142) - FIND("!", I142) - 1))</f>
        <v>Year 9</v>
      </c>
      <c r="D142" s="92" t="str">
        <f t="shared" ca="1" si="22"/>
        <v/>
      </c>
      <c r="E142" s="708" t="str" cm="1">
        <f t="array" aca="1" ref="E142" ca="1">IF(INDIRECT($I142)= "", "", INDIRECT($I142))</f>
        <v/>
      </c>
      <c r="F142" s="709" t="str" cm="1">
        <f t="array" aca="1" ref="F142" ca="1">INDIRECT(LEFT(I142, FIND("!", I142)) &amp; RefData!$C$427 &amp; RIGHT(I142, LEN(I142) - FIND("!", I142) - 1))</f>
        <v>FYA 9.0</v>
      </c>
      <c r="G142" s="710" t="b">
        <f ca="1">IF(ISNUMBER(SEARCH(RefData!$B$2, $C142)), FALSE, TRUE)</f>
        <v>1</v>
      </c>
      <c r="H142" s="344">
        <f>'40-year assumptions'!C15</f>
        <v>0</v>
      </c>
      <c r="I142" s="712" t="str">
        <f t="shared" ca="1" si="28"/>
        <v>'40-year assumptions'!C15</v>
      </c>
      <c r="J142" s="713" t="b" cm="1">
        <f t="array" aca="1" ref="J142" ca="1">IF(COUNTIF($K142:$T142, "&lt;&gt;FALSE") - COUNTBLANK($K142:$T142) &gt; 0, INDEX($K142:$T142, MATCH(TRUE, $K142:$T142 &lt;&gt; FALSE, 0)))</f>
        <v>0</v>
      </c>
      <c r="K142" s="712" t="b">
        <f ca="1">IF(AND('Start here'!$C$24=RefData!$B$5,'Reconciliation report'!$E142=""),ErrorMsgs!$B142)</f>
        <v>0</v>
      </c>
      <c r="L142" s="712" t="b">
        <f ca="1">IF(AND('Start here'!$C$24=RefData!$B$4,'Discount rates'!$C$7=RefData!$B$8,'Reconciliation report'!$E142=""),ErrorMsgs!$C142)</f>
        <v>0</v>
      </c>
      <c r="M142" s="714" t="b">
        <f ca="1">IF(AND('Start here'!$C$24=RefData!$B$4,'Discount rates'!$C$7=RefData!$B$7,'Reconciliation report'!$E142&lt;&gt;""),ErrorMsgs!$D142)</f>
        <v>0</v>
      </c>
      <c r="N142" s="714" t="b">
        <f ca="1">IF($E142="",FALSE,IF(OR($E142&lt;-0.25,$E142&gt;0.25),ErrorMsgs!$E142))</f>
        <v>0</v>
      </c>
      <c r="O142" s="712"/>
      <c r="P142" s="712"/>
      <c r="Q142" s="712"/>
      <c r="R142" s="712"/>
      <c r="S142" s="712"/>
      <c r="T142" s="712"/>
      <c r="U142" s="526" t="str">
        <f t="shared" ca="1" si="24"/>
        <v/>
      </c>
      <c r="V142" s="93" t="str" cm="1">
        <f t="array" aca="1" ref="V142" ca="1">CELL("format",INDIRECT(I142))</f>
        <v>P4</v>
      </c>
      <c r="W142" s="93" t="b">
        <f t="shared" ca="1" si="25"/>
        <v>0</v>
      </c>
      <c r="X142" s="715" t="str">
        <f t="shared" ca="1" si="23"/>
        <v/>
      </c>
      <c r="Y142" t="b">
        <f t="shared" ca="1" si="26"/>
        <v>1</v>
      </c>
    </row>
    <row r="143" spans="1:25" ht="63" customHeight="1">
      <c r="A143" s="705" t="s">
        <v>3149</v>
      </c>
      <c r="B143" s="716" t="str">
        <f t="shared" ca="1" si="27"/>
        <v>40-year assumptions - C16</v>
      </c>
      <c r="C143" s="707" t="str" cm="1">
        <f t="array" aca="1" ref="C143" ca="1">INDIRECT(LEFT(I143, FIND("!", I143)) &amp; RefData!$C$426 &amp; RIGHT(I143, LEN(I143) - FIND("!", I143) - 1))</f>
        <v>Year 10</v>
      </c>
      <c r="D143" s="92" t="str">
        <f t="shared" ca="1" si="22"/>
        <v/>
      </c>
      <c r="E143" s="708" t="str" cm="1">
        <f t="array" aca="1" ref="E143" ca="1">IF(INDIRECT($I143)= "", "", INDIRECT($I143))</f>
        <v/>
      </c>
      <c r="F143" s="709" t="str" cm="1">
        <f t="array" aca="1" ref="F143" ca="1">INDIRECT(LEFT(I143, FIND("!", I143)) &amp; RefData!$C$427 &amp; RIGHT(I143, LEN(I143) - FIND("!", I143) - 1))</f>
        <v>FYA 10.0</v>
      </c>
      <c r="G143" s="710" t="b">
        <f ca="1">IF(ISNUMBER(SEARCH(RefData!$B$2, $C143)), FALSE, TRUE)</f>
        <v>1</v>
      </c>
      <c r="H143" s="344">
        <f>'40-year assumptions'!C16</f>
        <v>0</v>
      </c>
      <c r="I143" s="712" t="str">
        <f t="shared" ca="1" si="28"/>
        <v>'40-year assumptions'!C16</v>
      </c>
      <c r="J143" s="713" t="b" cm="1">
        <f t="array" aca="1" ref="J143" ca="1">IF(COUNTIF($K143:$T143, "&lt;&gt;FALSE") - COUNTBLANK($K143:$T143) &gt; 0, INDEX($K143:$T143, MATCH(TRUE, $K143:$T143 &lt;&gt; FALSE, 0)))</f>
        <v>0</v>
      </c>
      <c r="K143" s="712" t="b">
        <f ca="1">IF(AND('Start here'!$C$24=RefData!$B$5,'Reconciliation report'!$E143=""),ErrorMsgs!$B143)</f>
        <v>0</v>
      </c>
      <c r="L143" s="712" t="b">
        <f ca="1">IF(AND('Start here'!$C$24=RefData!$B$4,'Discount rates'!$C$7=RefData!$B$8,'Reconciliation report'!$E143=""),ErrorMsgs!$C143)</f>
        <v>0</v>
      </c>
      <c r="M143" s="714" t="b">
        <f ca="1">IF(AND('Start here'!$C$24=RefData!$B$4,'Discount rates'!$C$7=RefData!$B$7,'Reconciliation report'!$E143&lt;&gt;""),ErrorMsgs!$D143)</f>
        <v>0</v>
      </c>
      <c r="N143" s="714" t="b">
        <f ca="1">IF($E143="",FALSE,IF(OR($E143&lt;-0.25,$E143&gt;0.25),ErrorMsgs!$E143))</f>
        <v>0</v>
      </c>
      <c r="O143" s="712"/>
      <c r="P143" s="712"/>
      <c r="Q143" s="712"/>
      <c r="R143" s="712"/>
      <c r="S143" s="712"/>
      <c r="T143" s="712"/>
      <c r="U143" s="526" t="str">
        <f t="shared" ca="1" si="24"/>
        <v/>
      </c>
      <c r="V143" s="93" t="str" cm="1">
        <f t="array" aca="1" ref="V143" ca="1">CELL("format",INDIRECT(I143))</f>
        <v>P4</v>
      </c>
      <c r="W143" s="93" t="b">
        <f t="shared" ca="1" si="25"/>
        <v>0</v>
      </c>
      <c r="X143" s="715" t="str">
        <f t="shared" ca="1" si="23"/>
        <v/>
      </c>
      <c r="Y143" t="b">
        <f t="shared" ca="1" si="26"/>
        <v>1</v>
      </c>
    </row>
    <row r="144" spans="1:25" ht="63" customHeight="1">
      <c r="A144" s="705" t="s">
        <v>3150</v>
      </c>
      <c r="B144" s="716" t="str">
        <f t="shared" ca="1" si="27"/>
        <v>40-year assumptions - C17</v>
      </c>
      <c r="C144" s="707" t="str" cm="1">
        <f t="array" aca="1" ref="C144" ca="1">INDIRECT(LEFT(I144, FIND("!", I144)) &amp; RefData!$C$426 &amp; RIGHT(I144, LEN(I144) - FIND("!", I144) - 1))</f>
        <v>Year 11</v>
      </c>
      <c r="D144" s="92" t="str">
        <f t="shared" ca="1" si="22"/>
        <v/>
      </c>
      <c r="E144" s="708" t="str" cm="1">
        <f t="array" aca="1" ref="E144" ca="1">IF(INDIRECT($I144)= "", "", INDIRECT($I144))</f>
        <v/>
      </c>
      <c r="F144" s="709" t="str" cm="1">
        <f t="array" aca="1" ref="F144" ca="1">INDIRECT(LEFT(I144, FIND("!", I144)) &amp; RefData!$C$427 &amp; RIGHT(I144, LEN(I144) - FIND("!", I144) - 1))</f>
        <v>FYA 11.0</v>
      </c>
      <c r="G144" s="710" t="b">
        <f ca="1">IF(ISNUMBER(SEARCH(RefData!$B$2, $C144)), FALSE, TRUE)</f>
        <v>1</v>
      </c>
      <c r="H144" s="344">
        <f>'40-year assumptions'!C17</f>
        <v>0</v>
      </c>
      <c r="I144" s="712" t="str">
        <f t="shared" ca="1" si="28"/>
        <v>'40-year assumptions'!C17</v>
      </c>
      <c r="J144" s="713" t="b" cm="1">
        <f t="array" aca="1" ref="J144" ca="1">IF(COUNTIF($K144:$T144, "&lt;&gt;FALSE") - COUNTBLANK($K144:$T144) &gt; 0, INDEX($K144:$T144, MATCH(TRUE, $K144:$T144 &lt;&gt; FALSE, 0)))</f>
        <v>0</v>
      </c>
      <c r="K144" s="712" t="b">
        <f ca="1">IF(AND('Start here'!$C$24=RefData!$B$5,'Reconciliation report'!$E144=""),ErrorMsgs!$B144)</f>
        <v>0</v>
      </c>
      <c r="L144" s="712" t="b">
        <f ca="1">IF(AND('Start here'!$C$24=RefData!$B$4,'Discount rates'!$C$7=RefData!$B$8,'Reconciliation report'!$E144=""),ErrorMsgs!$C144)</f>
        <v>0</v>
      </c>
      <c r="M144" s="714" t="b">
        <f ca="1">IF(AND('Start here'!$C$24=RefData!$B$4,'Discount rates'!$C$7=RefData!$B$7,'Reconciliation report'!$E144&lt;&gt;""),ErrorMsgs!$D144)</f>
        <v>0</v>
      </c>
      <c r="N144" s="714" t="b">
        <f ca="1">IF($E144="",FALSE,IF(OR($E144&lt;-0.25,$E144&gt;0.25),ErrorMsgs!$E144))</f>
        <v>0</v>
      </c>
      <c r="O144" s="712"/>
      <c r="P144" s="712"/>
      <c r="Q144" s="712"/>
      <c r="R144" s="712"/>
      <c r="S144" s="712"/>
      <c r="T144" s="712"/>
      <c r="U144" s="526" t="str">
        <f t="shared" ca="1" si="24"/>
        <v/>
      </c>
      <c r="V144" s="93" t="str" cm="1">
        <f t="array" aca="1" ref="V144" ca="1">CELL("format",INDIRECT(I144))</f>
        <v>P4</v>
      </c>
      <c r="W144" s="93" t="b">
        <f t="shared" ca="1" si="25"/>
        <v>0</v>
      </c>
      <c r="X144" s="715" t="str">
        <f t="shared" ca="1" si="23"/>
        <v/>
      </c>
      <c r="Y144" t="b">
        <f t="shared" ca="1" si="26"/>
        <v>1</v>
      </c>
    </row>
    <row r="145" spans="1:25" ht="63" customHeight="1">
      <c r="A145" s="705" t="s">
        <v>3151</v>
      </c>
      <c r="B145" s="716" t="str">
        <f t="shared" ca="1" si="27"/>
        <v>40-year assumptions - C18</v>
      </c>
      <c r="C145" s="707" t="str" cm="1">
        <f t="array" aca="1" ref="C145" ca="1">INDIRECT(LEFT(I145, FIND("!", I145)) &amp; RefData!$C$426 &amp; RIGHT(I145, LEN(I145) - FIND("!", I145) - 1))</f>
        <v>Year 12</v>
      </c>
      <c r="D145" s="92" t="str">
        <f t="shared" ca="1" si="22"/>
        <v/>
      </c>
      <c r="E145" s="708" t="str" cm="1">
        <f t="array" aca="1" ref="E145" ca="1">IF(INDIRECT($I145)= "", "", INDIRECT($I145))</f>
        <v/>
      </c>
      <c r="F145" s="709" t="str" cm="1">
        <f t="array" aca="1" ref="F145" ca="1">INDIRECT(LEFT(I145, FIND("!", I145)) &amp; RefData!$C$427 &amp; RIGHT(I145, LEN(I145) - FIND("!", I145) - 1))</f>
        <v>FYA 12.0</v>
      </c>
      <c r="G145" s="710" t="b">
        <f ca="1">IF(ISNUMBER(SEARCH(RefData!$B$2, $C145)), FALSE, TRUE)</f>
        <v>1</v>
      </c>
      <c r="H145" s="344">
        <f>'40-year assumptions'!C18</f>
        <v>0</v>
      </c>
      <c r="I145" s="712" t="str">
        <f t="shared" ca="1" si="28"/>
        <v>'40-year assumptions'!C18</v>
      </c>
      <c r="J145" s="713" t="b" cm="1">
        <f t="array" aca="1" ref="J145" ca="1">IF(COUNTIF($K145:$T145, "&lt;&gt;FALSE") - COUNTBLANK($K145:$T145) &gt; 0, INDEX($K145:$T145, MATCH(TRUE, $K145:$T145 &lt;&gt; FALSE, 0)))</f>
        <v>0</v>
      </c>
      <c r="K145" s="712" t="b">
        <f ca="1">IF(AND('Start here'!$C$24=RefData!$B$5,'Reconciliation report'!$E145=""),ErrorMsgs!$B145)</f>
        <v>0</v>
      </c>
      <c r="L145" s="712" t="b">
        <f ca="1">IF(AND('Start here'!$C$24=RefData!$B$4,'Discount rates'!$C$7=RefData!$B$8,'Reconciliation report'!$E145=""),ErrorMsgs!$C145)</f>
        <v>0</v>
      </c>
      <c r="M145" s="714" t="b">
        <f ca="1">IF(AND('Start here'!$C$24=RefData!$B$4,'Discount rates'!$C$7=RefData!$B$7,'Reconciliation report'!$E145&lt;&gt;""),ErrorMsgs!$D145)</f>
        <v>0</v>
      </c>
      <c r="N145" s="714" t="b">
        <f ca="1">IF($E145="",FALSE,IF(OR($E145&lt;-0.25,$E145&gt;0.25),ErrorMsgs!$E145))</f>
        <v>0</v>
      </c>
      <c r="O145" s="712"/>
      <c r="P145" s="712"/>
      <c r="Q145" s="712"/>
      <c r="R145" s="712"/>
      <c r="S145" s="712"/>
      <c r="T145" s="712"/>
      <c r="U145" s="526" t="str">
        <f t="shared" ca="1" si="24"/>
        <v/>
      </c>
      <c r="V145" s="93" t="str" cm="1">
        <f t="array" aca="1" ref="V145" ca="1">CELL("format",INDIRECT(I145))</f>
        <v>P4</v>
      </c>
      <c r="W145" s="93" t="b">
        <f t="shared" ca="1" si="25"/>
        <v>0</v>
      </c>
      <c r="X145" s="715" t="str">
        <f t="shared" ca="1" si="23"/>
        <v/>
      </c>
      <c r="Y145" t="b">
        <f t="shared" ca="1" si="26"/>
        <v>1</v>
      </c>
    </row>
    <row r="146" spans="1:25" ht="63" customHeight="1">
      <c r="A146" s="705" t="s">
        <v>3152</v>
      </c>
      <c r="B146" s="716" t="str">
        <f t="shared" ca="1" si="27"/>
        <v>40-year assumptions - C19</v>
      </c>
      <c r="C146" s="707" t="str" cm="1">
        <f t="array" aca="1" ref="C146" ca="1">INDIRECT(LEFT(I146, FIND("!", I146)) &amp; RefData!$C$426 &amp; RIGHT(I146, LEN(I146) - FIND("!", I146) - 1))</f>
        <v>Year 13</v>
      </c>
      <c r="D146" s="92" t="str">
        <f t="shared" ca="1" si="22"/>
        <v/>
      </c>
      <c r="E146" s="708" t="str" cm="1">
        <f t="array" aca="1" ref="E146" ca="1">IF(INDIRECT($I146)= "", "", INDIRECT($I146))</f>
        <v/>
      </c>
      <c r="F146" s="709" t="str" cm="1">
        <f t="array" aca="1" ref="F146" ca="1">INDIRECT(LEFT(I146, FIND("!", I146)) &amp; RefData!$C$427 &amp; RIGHT(I146, LEN(I146) - FIND("!", I146) - 1))</f>
        <v>FYA 13.0</v>
      </c>
      <c r="G146" s="710" t="b">
        <f ca="1">IF(ISNUMBER(SEARCH(RefData!$B$2, $C146)), FALSE, TRUE)</f>
        <v>1</v>
      </c>
      <c r="H146" s="344">
        <f>'40-year assumptions'!C19</f>
        <v>0</v>
      </c>
      <c r="I146" s="712" t="str">
        <f t="shared" ca="1" si="28"/>
        <v>'40-year assumptions'!C19</v>
      </c>
      <c r="J146" s="713" t="b" cm="1">
        <f t="array" aca="1" ref="J146" ca="1">IF(COUNTIF($K146:$T146, "&lt;&gt;FALSE") - COUNTBLANK($K146:$T146) &gt; 0, INDEX($K146:$T146, MATCH(TRUE, $K146:$T146 &lt;&gt; FALSE, 0)))</f>
        <v>0</v>
      </c>
      <c r="K146" s="712" t="b">
        <f ca="1">IF(AND('Start here'!$C$24=RefData!$B$5,'Reconciliation report'!$E146=""),ErrorMsgs!$B146)</f>
        <v>0</v>
      </c>
      <c r="L146" s="712" t="b">
        <f ca="1">IF(AND('Start here'!$C$24=RefData!$B$4,'Discount rates'!$C$7=RefData!$B$8,'Reconciliation report'!$E146=""),ErrorMsgs!$C146)</f>
        <v>0</v>
      </c>
      <c r="M146" s="714" t="b">
        <f ca="1">IF(AND('Start here'!$C$24=RefData!$B$4,'Discount rates'!$C$7=RefData!$B$7,'Reconciliation report'!$E146&lt;&gt;""),ErrorMsgs!$D146)</f>
        <v>0</v>
      </c>
      <c r="N146" s="714" t="b">
        <f ca="1">IF($E146="",FALSE,IF(OR($E146&lt;-0.25,$E146&gt;0.25),ErrorMsgs!$E146))</f>
        <v>0</v>
      </c>
      <c r="O146" s="712"/>
      <c r="P146" s="712"/>
      <c r="Q146" s="712"/>
      <c r="R146" s="712"/>
      <c r="S146" s="712"/>
      <c r="T146" s="712"/>
      <c r="U146" s="526" t="str">
        <f t="shared" ca="1" si="24"/>
        <v/>
      </c>
      <c r="V146" s="93" t="str" cm="1">
        <f t="array" aca="1" ref="V146" ca="1">CELL("format",INDIRECT(I146))</f>
        <v>P4</v>
      </c>
      <c r="W146" s="93" t="b">
        <f t="shared" ca="1" si="25"/>
        <v>0</v>
      </c>
      <c r="X146" s="715" t="str">
        <f t="shared" ca="1" si="23"/>
        <v/>
      </c>
      <c r="Y146" t="b">
        <f t="shared" ca="1" si="26"/>
        <v>1</v>
      </c>
    </row>
    <row r="147" spans="1:25" ht="63" customHeight="1">
      <c r="A147" s="705" t="s">
        <v>3153</v>
      </c>
      <c r="B147" s="716" t="str">
        <f t="shared" ca="1" si="27"/>
        <v>40-year assumptions - C20</v>
      </c>
      <c r="C147" s="707" t="str" cm="1">
        <f t="array" aca="1" ref="C147" ca="1">INDIRECT(LEFT(I147, FIND("!", I147)) &amp; RefData!$C$426 &amp; RIGHT(I147, LEN(I147) - FIND("!", I147) - 1))</f>
        <v>Year 14</v>
      </c>
      <c r="D147" s="92" t="str">
        <f t="shared" ca="1" si="22"/>
        <v/>
      </c>
      <c r="E147" s="708" t="str" cm="1">
        <f t="array" aca="1" ref="E147" ca="1">IF(INDIRECT($I147)= "", "", INDIRECT($I147))</f>
        <v/>
      </c>
      <c r="F147" s="709" t="str" cm="1">
        <f t="array" aca="1" ref="F147" ca="1">INDIRECT(LEFT(I147, FIND("!", I147)) &amp; RefData!$C$427 &amp; RIGHT(I147, LEN(I147) - FIND("!", I147) - 1))</f>
        <v>FYA 14.0</v>
      </c>
      <c r="G147" s="710" t="b">
        <f ca="1">IF(ISNUMBER(SEARCH(RefData!$B$2, $C147)), FALSE, TRUE)</f>
        <v>1</v>
      </c>
      <c r="H147" s="344">
        <f>'40-year assumptions'!C20</f>
        <v>0</v>
      </c>
      <c r="I147" s="712" t="str">
        <f t="shared" ca="1" si="28"/>
        <v>'40-year assumptions'!C20</v>
      </c>
      <c r="J147" s="713" t="b" cm="1">
        <f t="array" aca="1" ref="J147" ca="1">IF(COUNTIF($K147:$T147, "&lt;&gt;FALSE") - COUNTBLANK($K147:$T147) &gt; 0, INDEX($K147:$T147, MATCH(TRUE, $K147:$T147 &lt;&gt; FALSE, 0)))</f>
        <v>0</v>
      </c>
      <c r="K147" s="712" t="b">
        <f ca="1">IF(AND('Start here'!$C$24=RefData!$B$5,'Reconciliation report'!$E147=""),ErrorMsgs!$B147)</f>
        <v>0</v>
      </c>
      <c r="L147" s="712" t="b">
        <f ca="1">IF(AND('Start here'!$C$24=RefData!$B$4,'Discount rates'!$C$7=RefData!$B$8,'Reconciliation report'!$E147=""),ErrorMsgs!$C147)</f>
        <v>0</v>
      </c>
      <c r="M147" s="714" t="b">
        <f ca="1">IF(AND('Start here'!$C$24=RefData!$B$4,'Discount rates'!$C$7=RefData!$B$7,'Reconciliation report'!$E147&lt;&gt;""),ErrorMsgs!$D147)</f>
        <v>0</v>
      </c>
      <c r="N147" s="714" t="b">
        <f ca="1">IF($E147="",FALSE,IF(OR($E147&lt;-0.25,$E147&gt;0.25),ErrorMsgs!$E147))</f>
        <v>0</v>
      </c>
      <c r="O147" s="712"/>
      <c r="P147" s="712"/>
      <c r="Q147" s="712"/>
      <c r="R147" s="712"/>
      <c r="S147" s="712"/>
      <c r="T147" s="712"/>
      <c r="U147" s="526" t="str">
        <f t="shared" ca="1" si="24"/>
        <v/>
      </c>
      <c r="V147" s="93" t="str" cm="1">
        <f t="array" aca="1" ref="V147" ca="1">CELL("format",INDIRECT(I147))</f>
        <v>P4</v>
      </c>
      <c r="W147" s="93" t="b">
        <f t="shared" ca="1" si="25"/>
        <v>0</v>
      </c>
      <c r="X147" s="715" t="str">
        <f t="shared" ca="1" si="23"/>
        <v/>
      </c>
      <c r="Y147" t="b">
        <f t="shared" ca="1" si="26"/>
        <v>1</v>
      </c>
    </row>
    <row r="148" spans="1:25" ht="63" customHeight="1">
      <c r="A148" s="705" t="s">
        <v>3154</v>
      </c>
      <c r="B148" s="716" t="str">
        <f t="shared" ca="1" si="27"/>
        <v>40-year assumptions - C21</v>
      </c>
      <c r="C148" s="707" t="str" cm="1">
        <f t="array" aca="1" ref="C148" ca="1">INDIRECT(LEFT(I148, FIND("!", I148)) &amp; RefData!$C$426 &amp; RIGHT(I148, LEN(I148) - FIND("!", I148) - 1))</f>
        <v>Year 15</v>
      </c>
      <c r="D148" s="92" t="str">
        <f t="shared" ca="1" si="22"/>
        <v/>
      </c>
      <c r="E148" s="708" t="str" cm="1">
        <f t="array" aca="1" ref="E148" ca="1">IF(INDIRECT($I148)= "", "", INDIRECT($I148))</f>
        <v/>
      </c>
      <c r="F148" s="709" t="str" cm="1">
        <f t="array" aca="1" ref="F148" ca="1">INDIRECT(LEFT(I148, FIND("!", I148)) &amp; RefData!$C$427 &amp; RIGHT(I148, LEN(I148) - FIND("!", I148) - 1))</f>
        <v>FYA 15.0</v>
      </c>
      <c r="G148" s="710" t="b">
        <f ca="1">IF(ISNUMBER(SEARCH(RefData!$B$2, $C148)), FALSE, TRUE)</f>
        <v>1</v>
      </c>
      <c r="H148" s="344">
        <f>'40-year assumptions'!C21</f>
        <v>0</v>
      </c>
      <c r="I148" s="712" t="str">
        <f t="shared" ca="1" si="28"/>
        <v>'40-year assumptions'!C21</v>
      </c>
      <c r="J148" s="713" t="b" cm="1">
        <f t="array" aca="1" ref="J148" ca="1">IF(COUNTIF($K148:$T148, "&lt;&gt;FALSE") - COUNTBLANK($K148:$T148) &gt; 0, INDEX($K148:$T148, MATCH(TRUE, $K148:$T148 &lt;&gt; FALSE, 0)))</f>
        <v>0</v>
      </c>
      <c r="K148" s="712" t="b">
        <f ca="1">IF(AND('Start here'!$C$24=RefData!$B$5,'Reconciliation report'!$E148=""),ErrorMsgs!$B148)</f>
        <v>0</v>
      </c>
      <c r="L148" s="712" t="b">
        <f ca="1">IF(AND('Start here'!$C$24=RefData!$B$4,'Discount rates'!$C$7=RefData!$B$8,'Reconciliation report'!$E148=""),ErrorMsgs!$C148)</f>
        <v>0</v>
      </c>
      <c r="M148" s="714" t="b">
        <f ca="1">IF(AND('Start here'!$C$24=RefData!$B$4,'Discount rates'!$C$7=RefData!$B$7,'Reconciliation report'!$E148&lt;&gt;""),ErrorMsgs!$D148)</f>
        <v>0</v>
      </c>
      <c r="N148" s="714" t="b">
        <f ca="1">IF($E148="",FALSE,IF(OR($E148&lt;-0.25,$E148&gt;0.25),ErrorMsgs!$E148))</f>
        <v>0</v>
      </c>
      <c r="O148" s="712"/>
      <c r="P148" s="712"/>
      <c r="Q148" s="712"/>
      <c r="R148" s="712"/>
      <c r="S148" s="712"/>
      <c r="T148" s="712"/>
      <c r="U148" s="526" t="str">
        <f t="shared" ca="1" si="24"/>
        <v/>
      </c>
      <c r="V148" s="93" t="str" cm="1">
        <f t="array" aca="1" ref="V148" ca="1">CELL("format",INDIRECT(I148))</f>
        <v>P4</v>
      </c>
      <c r="W148" s="93" t="b">
        <f t="shared" ca="1" si="25"/>
        <v>0</v>
      </c>
      <c r="X148" s="715" t="str">
        <f t="shared" ca="1" si="23"/>
        <v/>
      </c>
      <c r="Y148" t="b">
        <f t="shared" ca="1" si="26"/>
        <v>1</v>
      </c>
    </row>
    <row r="149" spans="1:25" ht="63" customHeight="1">
      <c r="A149" s="705" t="s">
        <v>3155</v>
      </c>
      <c r="B149" s="716" t="str">
        <f t="shared" ca="1" si="27"/>
        <v>40-year assumptions - C22</v>
      </c>
      <c r="C149" s="707" t="str" cm="1">
        <f t="array" aca="1" ref="C149" ca="1">INDIRECT(LEFT(I149, FIND("!", I149)) &amp; RefData!$C$426 &amp; RIGHT(I149, LEN(I149) - FIND("!", I149) - 1))</f>
        <v>Year 16</v>
      </c>
      <c r="D149" s="92" t="str">
        <f t="shared" ca="1" si="22"/>
        <v/>
      </c>
      <c r="E149" s="708" t="str" cm="1">
        <f t="array" aca="1" ref="E149" ca="1">IF(INDIRECT($I149)= "", "", INDIRECT($I149))</f>
        <v/>
      </c>
      <c r="F149" s="709" t="str" cm="1">
        <f t="array" aca="1" ref="F149" ca="1">INDIRECT(LEFT(I149, FIND("!", I149)) &amp; RefData!$C$427 &amp; RIGHT(I149, LEN(I149) - FIND("!", I149) - 1))</f>
        <v>FYA 16.0</v>
      </c>
      <c r="G149" s="710" t="b">
        <f ca="1">IF(ISNUMBER(SEARCH(RefData!$B$2, $C149)), FALSE, TRUE)</f>
        <v>1</v>
      </c>
      <c r="H149" s="344">
        <f>'40-year assumptions'!C22</f>
        <v>0</v>
      </c>
      <c r="I149" s="712" t="str">
        <f t="shared" ca="1" si="28"/>
        <v>'40-year assumptions'!C22</v>
      </c>
      <c r="J149" s="713" t="b" cm="1">
        <f t="array" aca="1" ref="J149" ca="1">IF(COUNTIF($K149:$T149, "&lt;&gt;FALSE") - COUNTBLANK($K149:$T149) &gt; 0, INDEX($K149:$T149, MATCH(TRUE, $K149:$T149 &lt;&gt; FALSE, 0)))</f>
        <v>0</v>
      </c>
      <c r="K149" s="712" t="b">
        <f ca="1">IF(AND('Start here'!$C$24=RefData!$B$5,'Reconciliation report'!$E149=""),ErrorMsgs!$B149)</f>
        <v>0</v>
      </c>
      <c r="L149" s="712" t="b">
        <f ca="1">IF(AND('Start here'!$C$24=RefData!$B$4,'Discount rates'!$C$7=RefData!$B$8,'Reconciliation report'!$E149=""),ErrorMsgs!$C149)</f>
        <v>0</v>
      </c>
      <c r="M149" s="714" t="b">
        <f ca="1">IF(AND('Start here'!$C$24=RefData!$B$4,'Discount rates'!$C$7=RefData!$B$7,'Reconciliation report'!$E149&lt;&gt;""),ErrorMsgs!$D149)</f>
        <v>0</v>
      </c>
      <c r="N149" s="714" t="b">
        <f ca="1">IF($E149="",FALSE,IF(OR($E149&lt;-0.25,$E149&gt;0.25),ErrorMsgs!$E149))</f>
        <v>0</v>
      </c>
      <c r="O149" s="712"/>
      <c r="P149" s="712"/>
      <c r="Q149" s="712"/>
      <c r="R149" s="712"/>
      <c r="S149" s="712"/>
      <c r="T149" s="712"/>
      <c r="U149" s="526" t="str">
        <f t="shared" ca="1" si="24"/>
        <v/>
      </c>
      <c r="V149" s="93" t="str" cm="1">
        <f t="array" aca="1" ref="V149" ca="1">CELL("format",INDIRECT(I149))</f>
        <v>P4</v>
      </c>
      <c r="W149" s="93" t="b">
        <f t="shared" ca="1" si="25"/>
        <v>0</v>
      </c>
      <c r="X149" s="715" t="str">
        <f t="shared" ca="1" si="23"/>
        <v/>
      </c>
      <c r="Y149" t="b">
        <f t="shared" ca="1" si="26"/>
        <v>1</v>
      </c>
    </row>
    <row r="150" spans="1:25" ht="63" customHeight="1">
      <c r="A150" s="705" t="s">
        <v>3156</v>
      </c>
      <c r="B150" s="716" t="str">
        <f t="shared" ca="1" si="27"/>
        <v>40-year assumptions - C23</v>
      </c>
      <c r="C150" s="707" t="str" cm="1">
        <f t="array" aca="1" ref="C150" ca="1">INDIRECT(LEFT(I150, FIND("!", I150)) &amp; RefData!$C$426 &amp; RIGHT(I150, LEN(I150) - FIND("!", I150) - 1))</f>
        <v>Year 17</v>
      </c>
      <c r="D150" s="92" t="str">
        <f t="shared" ca="1" si="22"/>
        <v/>
      </c>
      <c r="E150" s="708" t="str" cm="1">
        <f t="array" aca="1" ref="E150" ca="1">IF(INDIRECT($I150)= "", "", INDIRECT($I150))</f>
        <v/>
      </c>
      <c r="F150" s="709" t="str" cm="1">
        <f t="array" aca="1" ref="F150" ca="1">INDIRECT(LEFT(I150, FIND("!", I150)) &amp; RefData!$C$427 &amp; RIGHT(I150, LEN(I150) - FIND("!", I150) - 1))</f>
        <v>FYA 17.0</v>
      </c>
      <c r="G150" s="710" t="b">
        <f ca="1">IF(ISNUMBER(SEARCH(RefData!$B$2, $C150)), FALSE, TRUE)</f>
        <v>1</v>
      </c>
      <c r="H150" s="344">
        <f>'40-year assumptions'!C23</f>
        <v>0</v>
      </c>
      <c r="I150" s="712" t="str">
        <f t="shared" ca="1" si="28"/>
        <v>'40-year assumptions'!C23</v>
      </c>
      <c r="J150" s="713" t="b" cm="1">
        <f t="array" aca="1" ref="J150" ca="1">IF(COUNTIF($K150:$T150, "&lt;&gt;FALSE") - COUNTBLANK($K150:$T150) &gt; 0, INDEX($K150:$T150, MATCH(TRUE, $K150:$T150 &lt;&gt; FALSE, 0)))</f>
        <v>0</v>
      </c>
      <c r="K150" s="712" t="b">
        <f ca="1">IF(AND('Start here'!$C$24=RefData!$B$5,'Reconciliation report'!$E150=""),ErrorMsgs!$B150)</f>
        <v>0</v>
      </c>
      <c r="L150" s="712" t="b">
        <f ca="1">IF(AND('Start here'!$C$24=RefData!$B$4,'Discount rates'!$C$7=RefData!$B$8,'Reconciliation report'!$E150=""),ErrorMsgs!$C150)</f>
        <v>0</v>
      </c>
      <c r="M150" s="714" t="b">
        <f ca="1">IF(AND('Start here'!$C$24=RefData!$B$4,'Discount rates'!$C$7=RefData!$B$7,'Reconciliation report'!$E150&lt;&gt;""),ErrorMsgs!$D150)</f>
        <v>0</v>
      </c>
      <c r="N150" s="714" t="b">
        <f ca="1">IF($E150="",FALSE,IF(OR($E150&lt;-0.25,$E150&gt;0.25),ErrorMsgs!$E150))</f>
        <v>0</v>
      </c>
      <c r="O150" s="712"/>
      <c r="P150" s="712"/>
      <c r="Q150" s="712"/>
      <c r="R150" s="712"/>
      <c r="S150" s="712"/>
      <c r="T150" s="712"/>
      <c r="U150" s="526" t="str">
        <f t="shared" ca="1" si="24"/>
        <v/>
      </c>
      <c r="V150" s="93" t="str" cm="1">
        <f t="array" aca="1" ref="V150" ca="1">CELL("format",INDIRECT(I150))</f>
        <v>P4</v>
      </c>
      <c r="W150" s="93" t="b">
        <f t="shared" ca="1" si="25"/>
        <v>0</v>
      </c>
      <c r="X150" s="715" t="str">
        <f t="shared" ca="1" si="23"/>
        <v/>
      </c>
      <c r="Y150" t="b">
        <f t="shared" ca="1" si="26"/>
        <v>1</v>
      </c>
    </row>
    <row r="151" spans="1:25" ht="63" customHeight="1">
      <c r="A151" s="705" t="s">
        <v>3157</v>
      </c>
      <c r="B151" s="716" t="str">
        <f t="shared" ca="1" si="27"/>
        <v>40-year assumptions - C24</v>
      </c>
      <c r="C151" s="707" t="str" cm="1">
        <f t="array" aca="1" ref="C151" ca="1">INDIRECT(LEFT(I151, FIND("!", I151)) &amp; RefData!$C$426 &amp; RIGHT(I151, LEN(I151) - FIND("!", I151) - 1))</f>
        <v>Year 18</v>
      </c>
      <c r="D151" s="92" t="str">
        <f t="shared" ca="1" si="22"/>
        <v/>
      </c>
      <c r="E151" s="708" t="str" cm="1">
        <f t="array" aca="1" ref="E151" ca="1">IF(INDIRECT($I151)= "", "", INDIRECT($I151))</f>
        <v/>
      </c>
      <c r="F151" s="709" t="str" cm="1">
        <f t="array" aca="1" ref="F151" ca="1">INDIRECT(LEFT(I151, FIND("!", I151)) &amp; RefData!$C$427 &amp; RIGHT(I151, LEN(I151) - FIND("!", I151) - 1))</f>
        <v>FYA 18.0</v>
      </c>
      <c r="G151" s="710" t="b">
        <f ca="1">IF(ISNUMBER(SEARCH(RefData!$B$2, $C151)), FALSE, TRUE)</f>
        <v>1</v>
      </c>
      <c r="H151" s="344">
        <f>'40-year assumptions'!C24</f>
        <v>0</v>
      </c>
      <c r="I151" s="712" t="str">
        <f t="shared" ca="1" si="28"/>
        <v>'40-year assumptions'!C24</v>
      </c>
      <c r="J151" s="713" t="b" cm="1">
        <f t="array" aca="1" ref="J151" ca="1">IF(COUNTIF($K151:$T151, "&lt;&gt;FALSE") - COUNTBLANK($K151:$T151) &gt; 0, INDEX($K151:$T151, MATCH(TRUE, $K151:$T151 &lt;&gt; FALSE, 0)))</f>
        <v>0</v>
      </c>
      <c r="K151" s="712" t="b">
        <f ca="1">IF(AND('Start here'!$C$24=RefData!$B$5,'Reconciliation report'!$E151=""),ErrorMsgs!$B151)</f>
        <v>0</v>
      </c>
      <c r="L151" s="712" t="b">
        <f ca="1">IF(AND('Start here'!$C$24=RefData!$B$4,'Discount rates'!$C$7=RefData!$B$8,'Reconciliation report'!$E151=""),ErrorMsgs!$C151)</f>
        <v>0</v>
      </c>
      <c r="M151" s="714" t="b">
        <f ca="1">IF(AND('Start here'!$C$24=RefData!$B$4,'Discount rates'!$C$7=RefData!$B$7,'Reconciliation report'!$E151&lt;&gt;""),ErrorMsgs!$D151)</f>
        <v>0</v>
      </c>
      <c r="N151" s="714" t="b">
        <f ca="1">IF($E151="",FALSE,IF(OR($E151&lt;-0.25,$E151&gt;0.25),ErrorMsgs!$E151))</f>
        <v>0</v>
      </c>
      <c r="O151" s="712"/>
      <c r="P151" s="712"/>
      <c r="Q151" s="712"/>
      <c r="R151" s="712"/>
      <c r="S151" s="712"/>
      <c r="T151" s="712"/>
      <c r="U151" s="526" t="str">
        <f t="shared" ca="1" si="24"/>
        <v/>
      </c>
      <c r="V151" s="93" t="str" cm="1">
        <f t="array" aca="1" ref="V151" ca="1">CELL("format",INDIRECT(I151))</f>
        <v>P4</v>
      </c>
      <c r="W151" s="93" t="b">
        <f t="shared" ca="1" si="25"/>
        <v>0</v>
      </c>
      <c r="X151" s="715" t="str">
        <f t="shared" ca="1" si="23"/>
        <v/>
      </c>
      <c r="Y151" t="b">
        <f t="shared" ca="1" si="26"/>
        <v>1</v>
      </c>
    </row>
    <row r="152" spans="1:25" ht="63" customHeight="1">
      <c r="A152" s="705" t="s">
        <v>3158</v>
      </c>
      <c r="B152" s="716" t="str">
        <f t="shared" ca="1" si="27"/>
        <v>40-year assumptions - C25</v>
      </c>
      <c r="C152" s="707" t="str" cm="1">
        <f t="array" aca="1" ref="C152" ca="1">INDIRECT(LEFT(I152, FIND("!", I152)) &amp; RefData!$C$426 &amp; RIGHT(I152, LEN(I152) - FIND("!", I152) - 1))</f>
        <v>Year 19</v>
      </c>
      <c r="D152" s="92" t="str">
        <f t="shared" ca="1" si="22"/>
        <v/>
      </c>
      <c r="E152" s="708" t="str" cm="1">
        <f t="array" aca="1" ref="E152" ca="1">IF(INDIRECT($I152)= "", "", INDIRECT($I152))</f>
        <v/>
      </c>
      <c r="F152" s="709" t="str" cm="1">
        <f t="array" aca="1" ref="F152" ca="1">INDIRECT(LEFT(I152, FIND("!", I152)) &amp; RefData!$C$427 &amp; RIGHT(I152, LEN(I152) - FIND("!", I152) - 1))</f>
        <v>FYA 19.0</v>
      </c>
      <c r="G152" s="710" t="b">
        <f ca="1">IF(ISNUMBER(SEARCH(RefData!$B$2, $C152)), FALSE, TRUE)</f>
        <v>1</v>
      </c>
      <c r="H152" s="344">
        <f>'40-year assumptions'!C25</f>
        <v>0</v>
      </c>
      <c r="I152" s="712" t="str">
        <f t="shared" ca="1" si="28"/>
        <v>'40-year assumptions'!C25</v>
      </c>
      <c r="J152" s="713" t="b" cm="1">
        <f t="array" aca="1" ref="J152" ca="1">IF(COUNTIF($K152:$T152, "&lt;&gt;FALSE") - COUNTBLANK($K152:$T152) &gt; 0, INDEX($K152:$T152, MATCH(TRUE, $K152:$T152 &lt;&gt; FALSE, 0)))</f>
        <v>0</v>
      </c>
      <c r="K152" s="712" t="b">
        <f ca="1">IF(AND('Start here'!$C$24=RefData!$B$5,'Reconciliation report'!$E152=""),ErrorMsgs!$B152)</f>
        <v>0</v>
      </c>
      <c r="L152" s="712" t="b">
        <f ca="1">IF(AND('Start here'!$C$24=RefData!$B$4,'Discount rates'!$C$7=RefData!$B$8,'Reconciliation report'!$E152=""),ErrorMsgs!$C152)</f>
        <v>0</v>
      </c>
      <c r="M152" s="714" t="b">
        <f ca="1">IF(AND('Start here'!$C$24=RefData!$B$4,'Discount rates'!$C$7=RefData!$B$7,'Reconciliation report'!$E152&lt;&gt;""),ErrorMsgs!$D152)</f>
        <v>0</v>
      </c>
      <c r="N152" s="714" t="b">
        <f ca="1">IF($E152="",FALSE,IF(OR($E152&lt;-0.25,$E152&gt;0.25),ErrorMsgs!$E152))</f>
        <v>0</v>
      </c>
      <c r="O152" s="712"/>
      <c r="P152" s="712"/>
      <c r="Q152" s="712"/>
      <c r="R152" s="712"/>
      <c r="S152" s="712"/>
      <c r="T152" s="712"/>
      <c r="U152" s="526" t="str">
        <f t="shared" ca="1" si="24"/>
        <v/>
      </c>
      <c r="V152" s="93" t="str" cm="1">
        <f t="array" aca="1" ref="V152" ca="1">CELL("format",INDIRECT(I152))</f>
        <v>P4</v>
      </c>
      <c r="W152" s="93" t="b">
        <f t="shared" ca="1" si="25"/>
        <v>0</v>
      </c>
      <c r="X152" s="715" t="str">
        <f t="shared" ca="1" si="23"/>
        <v/>
      </c>
      <c r="Y152" t="b">
        <f t="shared" ca="1" si="26"/>
        <v>1</v>
      </c>
    </row>
    <row r="153" spans="1:25" ht="63" customHeight="1">
      <c r="A153" s="705" t="s">
        <v>3159</v>
      </c>
      <c r="B153" s="716" t="str">
        <f t="shared" ca="1" si="27"/>
        <v>40-year assumptions - C26</v>
      </c>
      <c r="C153" s="707" t="str" cm="1">
        <f t="array" aca="1" ref="C153" ca="1">INDIRECT(LEFT(I153, FIND("!", I153)) &amp; RefData!$C$426 &amp; RIGHT(I153, LEN(I153) - FIND("!", I153) - 1))</f>
        <v>Year 20</v>
      </c>
      <c r="D153" s="92" t="str">
        <f t="shared" ca="1" si="22"/>
        <v/>
      </c>
      <c r="E153" s="708" t="str" cm="1">
        <f t="array" aca="1" ref="E153" ca="1">IF(INDIRECT($I153)= "", "", INDIRECT($I153))</f>
        <v/>
      </c>
      <c r="F153" s="709" t="str" cm="1">
        <f t="array" aca="1" ref="F153" ca="1">INDIRECT(LEFT(I153, FIND("!", I153)) &amp; RefData!$C$427 &amp; RIGHT(I153, LEN(I153) - FIND("!", I153) - 1))</f>
        <v>FYA 20.0</v>
      </c>
      <c r="G153" s="710" t="b">
        <f ca="1">IF(ISNUMBER(SEARCH(RefData!$B$2, $C153)), FALSE, TRUE)</f>
        <v>1</v>
      </c>
      <c r="H153" s="344">
        <f>'40-year assumptions'!C26</f>
        <v>0</v>
      </c>
      <c r="I153" s="712" t="str">
        <f t="shared" ca="1" si="28"/>
        <v>'40-year assumptions'!C26</v>
      </c>
      <c r="J153" s="713" t="b" cm="1">
        <f t="array" aca="1" ref="J153" ca="1">IF(COUNTIF($K153:$T153, "&lt;&gt;FALSE") - COUNTBLANK($K153:$T153) &gt; 0, INDEX($K153:$T153, MATCH(TRUE, $K153:$T153 &lt;&gt; FALSE, 0)))</f>
        <v>0</v>
      </c>
      <c r="K153" s="712" t="b">
        <f ca="1">IF(AND('Start here'!$C$24=RefData!$B$5,'Reconciliation report'!$E153=""),ErrorMsgs!$B153)</f>
        <v>0</v>
      </c>
      <c r="L153" s="712" t="b">
        <f ca="1">IF(AND('Start here'!$C$24=RefData!$B$4,'Discount rates'!$C$7=RefData!$B$8,'Reconciliation report'!$E153=""),ErrorMsgs!$C153)</f>
        <v>0</v>
      </c>
      <c r="M153" s="714" t="b">
        <f ca="1">IF(AND('Start here'!$C$24=RefData!$B$4,'Discount rates'!$C$7=RefData!$B$7,'Reconciliation report'!$E153&lt;&gt;""),ErrorMsgs!$D153)</f>
        <v>0</v>
      </c>
      <c r="N153" s="714" t="b">
        <f ca="1">IF($E153="",FALSE,IF(OR($E153&lt;-0.25,$E153&gt;0.25),ErrorMsgs!$E153))</f>
        <v>0</v>
      </c>
      <c r="O153" s="712"/>
      <c r="P153" s="712"/>
      <c r="Q153" s="712"/>
      <c r="R153" s="712"/>
      <c r="S153" s="712"/>
      <c r="T153" s="712"/>
      <c r="U153" s="526" t="str">
        <f t="shared" ca="1" si="24"/>
        <v/>
      </c>
      <c r="V153" s="93" t="str" cm="1">
        <f t="array" aca="1" ref="V153" ca="1">CELL("format",INDIRECT(I153))</f>
        <v>P4</v>
      </c>
      <c r="W153" s="93" t="b">
        <f t="shared" ca="1" si="25"/>
        <v>0</v>
      </c>
      <c r="X153" s="715" t="str">
        <f t="shared" ca="1" si="23"/>
        <v/>
      </c>
      <c r="Y153" t="b">
        <f t="shared" ca="1" si="26"/>
        <v>1</v>
      </c>
    </row>
    <row r="154" spans="1:25" ht="63" customHeight="1">
      <c r="A154" s="705" t="s">
        <v>3160</v>
      </c>
      <c r="B154" s="716" t="str">
        <f t="shared" ca="1" si="27"/>
        <v>40-year assumptions - C27</v>
      </c>
      <c r="C154" s="707" t="str" cm="1">
        <f t="array" aca="1" ref="C154" ca="1">INDIRECT(LEFT(I154, FIND("!", I154)) &amp; RefData!$C$426 &amp; RIGHT(I154, LEN(I154) - FIND("!", I154) - 1))</f>
        <v>Year 21</v>
      </c>
      <c r="D154" s="92" t="str">
        <f t="shared" ca="1" si="22"/>
        <v/>
      </c>
      <c r="E154" s="708" t="str" cm="1">
        <f t="array" aca="1" ref="E154" ca="1">IF(INDIRECT($I154)= "", "", INDIRECT($I154))</f>
        <v/>
      </c>
      <c r="F154" s="709" t="str" cm="1">
        <f t="array" aca="1" ref="F154" ca="1">INDIRECT(LEFT(I154, FIND("!", I154)) &amp; RefData!$C$427 &amp; RIGHT(I154, LEN(I154) - FIND("!", I154) - 1))</f>
        <v>FYA 21.0</v>
      </c>
      <c r="G154" s="710" t="b">
        <f ca="1">IF(ISNUMBER(SEARCH(RefData!$B$2, $C154)), FALSE, TRUE)</f>
        <v>1</v>
      </c>
      <c r="H154" s="344">
        <f>'40-year assumptions'!C27</f>
        <v>0</v>
      </c>
      <c r="I154" s="712" t="str">
        <f t="shared" ca="1" si="28"/>
        <v>'40-year assumptions'!C27</v>
      </c>
      <c r="J154" s="713" t="b" cm="1">
        <f t="array" aca="1" ref="J154" ca="1">IF(COUNTIF($K154:$T154, "&lt;&gt;FALSE") - COUNTBLANK($K154:$T154) &gt; 0, INDEX($K154:$T154, MATCH(TRUE, $K154:$T154 &lt;&gt; FALSE, 0)))</f>
        <v>0</v>
      </c>
      <c r="K154" s="712" t="b">
        <f ca="1">IF(AND('Start here'!$C$24=RefData!$B$5,'Reconciliation report'!$E154=""),ErrorMsgs!$B154)</f>
        <v>0</v>
      </c>
      <c r="L154" s="712" t="b">
        <f ca="1">IF(AND('Start here'!$C$24=RefData!$B$4,'Discount rates'!$C$7=RefData!$B$8,'Reconciliation report'!$E154=""),ErrorMsgs!$C154)</f>
        <v>0</v>
      </c>
      <c r="M154" s="714" t="b">
        <f ca="1">IF(AND('Start here'!$C$24=RefData!$B$4,'Discount rates'!$C$7=RefData!$B$7,'Reconciliation report'!$E154&lt;&gt;""),ErrorMsgs!$D154)</f>
        <v>0</v>
      </c>
      <c r="N154" s="714" t="b">
        <f ca="1">IF($E154="",FALSE,IF(OR($E154&lt;-0.25,$E154&gt;0.25),ErrorMsgs!$E154))</f>
        <v>0</v>
      </c>
      <c r="O154" s="712"/>
      <c r="P154" s="712"/>
      <c r="Q154" s="712"/>
      <c r="R154" s="712"/>
      <c r="S154" s="712"/>
      <c r="T154" s="712"/>
      <c r="U154" s="526" t="str">
        <f t="shared" ca="1" si="24"/>
        <v/>
      </c>
      <c r="V154" s="93" t="str" cm="1">
        <f t="array" aca="1" ref="V154" ca="1">CELL("format",INDIRECT(I154))</f>
        <v>P4</v>
      </c>
      <c r="W154" s="93" t="b">
        <f t="shared" ca="1" si="25"/>
        <v>0</v>
      </c>
      <c r="X154" s="715" t="str">
        <f t="shared" ca="1" si="23"/>
        <v/>
      </c>
      <c r="Y154" t="b">
        <f t="shared" ca="1" si="26"/>
        <v>1</v>
      </c>
    </row>
    <row r="155" spans="1:25" ht="63" customHeight="1">
      <c r="A155" s="705" t="s">
        <v>3161</v>
      </c>
      <c r="B155" s="716" t="str">
        <f t="shared" ca="1" si="27"/>
        <v>40-year assumptions - C28</v>
      </c>
      <c r="C155" s="707" t="str" cm="1">
        <f t="array" aca="1" ref="C155" ca="1">INDIRECT(LEFT(I155, FIND("!", I155)) &amp; RefData!$C$426 &amp; RIGHT(I155, LEN(I155) - FIND("!", I155) - 1))</f>
        <v>Year 22</v>
      </c>
      <c r="D155" s="92" t="str">
        <f t="shared" ca="1" si="22"/>
        <v/>
      </c>
      <c r="E155" s="708" t="str" cm="1">
        <f t="array" aca="1" ref="E155" ca="1">IF(INDIRECT($I155)= "", "", INDIRECT($I155))</f>
        <v/>
      </c>
      <c r="F155" s="709" t="str" cm="1">
        <f t="array" aca="1" ref="F155" ca="1">INDIRECT(LEFT(I155, FIND("!", I155)) &amp; RefData!$C$427 &amp; RIGHT(I155, LEN(I155) - FIND("!", I155) - 1))</f>
        <v>FYA 22.0</v>
      </c>
      <c r="G155" s="710" t="b">
        <f ca="1">IF(ISNUMBER(SEARCH(RefData!$B$2, $C155)), FALSE, TRUE)</f>
        <v>1</v>
      </c>
      <c r="H155" s="344">
        <f>'40-year assumptions'!C28</f>
        <v>0</v>
      </c>
      <c r="I155" s="712" t="str">
        <f t="shared" ca="1" si="28"/>
        <v>'40-year assumptions'!C28</v>
      </c>
      <c r="J155" s="713" t="b" cm="1">
        <f t="array" aca="1" ref="J155" ca="1">IF(COUNTIF($K155:$T155, "&lt;&gt;FALSE") - COUNTBLANK($K155:$T155) &gt; 0, INDEX($K155:$T155, MATCH(TRUE, $K155:$T155 &lt;&gt; FALSE, 0)))</f>
        <v>0</v>
      </c>
      <c r="K155" s="712" t="b">
        <f ca="1">IF(AND('Start here'!$C$24=RefData!$B$5,'Reconciliation report'!$E155=""),ErrorMsgs!$B155)</f>
        <v>0</v>
      </c>
      <c r="L155" s="712" t="b">
        <f ca="1">IF(AND('Start here'!$C$24=RefData!$B$4,'Discount rates'!$C$7=RefData!$B$8,'Reconciliation report'!$E155=""),ErrorMsgs!$C155)</f>
        <v>0</v>
      </c>
      <c r="M155" s="714" t="b">
        <f ca="1">IF(AND('Start here'!$C$24=RefData!$B$4,'Discount rates'!$C$7=RefData!$B$7,'Reconciliation report'!$E155&lt;&gt;""),ErrorMsgs!$D155)</f>
        <v>0</v>
      </c>
      <c r="N155" s="714" t="b">
        <f ca="1">IF($E155="",FALSE,IF(OR($E155&lt;-0.25,$E155&gt;0.25),ErrorMsgs!$E155))</f>
        <v>0</v>
      </c>
      <c r="O155" s="712"/>
      <c r="P155" s="712"/>
      <c r="Q155" s="712"/>
      <c r="R155" s="712"/>
      <c r="S155" s="712"/>
      <c r="T155" s="712"/>
      <c r="U155" s="526" t="str">
        <f t="shared" ca="1" si="24"/>
        <v/>
      </c>
      <c r="V155" s="93" t="str" cm="1">
        <f t="array" aca="1" ref="V155" ca="1">CELL("format",INDIRECT(I155))</f>
        <v>P4</v>
      </c>
      <c r="W155" s="93" t="b">
        <f t="shared" ca="1" si="25"/>
        <v>0</v>
      </c>
      <c r="X155" s="715" t="str">
        <f t="shared" ca="1" si="23"/>
        <v/>
      </c>
      <c r="Y155" t="b">
        <f t="shared" ca="1" si="26"/>
        <v>1</v>
      </c>
    </row>
    <row r="156" spans="1:25" ht="63" customHeight="1">
      <c r="A156" s="705" t="s">
        <v>3162</v>
      </c>
      <c r="B156" s="716" t="str">
        <f t="shared" ca="1" si="27"/>
        <v>40-year assumptions - C29</v>
      </c>
      <c r="C156" s="707" t="str" cm="1">
        <f t="array" aca="1" ref="C156" ca="1">INDIRECT(LEFT(I156, FIND("!", I156)) &amp; RefData!$C$426 &amp; RIGHT(I156, LEN(I156) - FIND("!", I156) - 1))</f>
        <v>Year 23</v>
      </c>
      <c r="D156" s="92" t="str">
        <f t="shared" ca="1" si="22"/>
        <v/>
      </c>
      <c r="E156" s="708" t="str" cm="1">
        <f t="array" aca="1" ref="E156" ca="1">IF(INDIRECT($I156)= "", "", INDIRECT($I156))</f>
        <v/>
      </c>
      <c r="F156" s="709" t="str" cm="1">
        <f t="array" aca="1" ref="F156" ca="1">INDIRECT(LEFT(I156, FIND("!", I156)) &amp; RefData!$C$427 &amp; RIGHT(I156, LEN(I156) - FIND("!", I156) - 1))</f>
        <v>FYA 23.0</v>
      </c>
      <c r="G156" s="710" t="b">
        <f ca="1">IF(ISNUMBER(SEARCH(RefData!$B$2, $C156)), FALSE, TRUE)</f>
        <v>1</v>
      </c>
      <c r="H156" s="344">
        <f>'40-year assumptions'!C29</f>
        <v>0</v>
      </c>
      <c r="I156" s="712" t="str">
        <f t="shared" ca="1" si="28"/>
        <v>'40-year assumptions'!C29</v>
      </c>
      <c r="J156" s="713" t="b" cm="1">
        <f t="array" aca="1" ref="J156" ca="1">IF(COUNTIF($K156:$T156, "&lt;&gt;FALSE") - COUNTBLANK($K156:$T156) &gt; 0, INDEX($K156:$T156, MATCH(TRUE, $K156:$T156 &lt;&gt; FALSE, 0)))</f>
        <v>0</v>
      </c>
      <c r="K156" s="712" t="b">
        <f ca="1">IF(AND('Start here'!$C$24=RefData!$B$5,'Reconciliation report'!$E156=""),ErrorMsgs!$B156)</f>
        <v>0</v>
      </c>
      <c r="L156" s="712" t="b">
        <f ca="1">IF(AND('Start here'!$C$24=RefData!$B$4,'Discount rates'!$C$7=RefData!$B$8,'Reconciliation report'!$E156=""),ErrorMsgs!$C156)</f>
        <v>0</v>
      </c>
      <c r="M156" s="714" t="b">
        <f ca="1">IF(AND('Start here'!$C$24=RefData!$B$4,'Discount rates'!$C$7=RefData!$B$7,'Reconciliation report'!$E156&lt;&gt;""),ErrorMsgs!$D156)</f>
        <v>0</v>
      </c>
      <c r="N156" s="714" t="b">
        <f ca="1">IF($E156="",FALSE,IF(OR($E156&lt;-0.25,$E156&gt;0.25),ErrorMsgs!$E156))</f>
        <v>0</v>
      </c>
      <c r="O156" s="712"/>
      <c r="P156" s="712"/>
      <c r="Q156" s="712"/>
      <c r="R156" s="712"/>
      <c r="S156" s="712"/>
      <c r="T156" s="712"/>
      <c r="U156" s="526" t="str">
        <f t="shared" ca="1" si="24"/>
        <v/>
      </c>
      <c r="V156" s="93" t="str" cm="1">
        <f t="array" aca="1" ref="V156" ca="1">CELL("format",INDIRECT(I156))</f>
        <v>P4</v>
      </c>
      <c r="W156" s="93" t="b">
        <f t="shared" ca="1" si="25"/>
        <v>0</v>
      </c>
      <c r="X156" s="715" t="str">
        <f t="shared" ca="1" si="23"/>
        <v/>
      </c>
      <c r="Y156" t="b">
        <f t="shared" ca="1" si="26"/>
        <v>1</v>
      </c>
    </row>
    <row r="157" spans="1:25" ht="63" customHeight="1">
      <c r="A157" s="705" t="s">
        <v>3163</v>
      </c>
      <c r="B157" s="716" t="str">
        <f t="shared" ca="1" si="27"/>
        <v>40-year assumptions - C30</v>
      </c>
      <c r="C157" s="707" t="str" cm="1">
        <f t="array" aca="1" ref="C157" ca="1">INDIRECT(LEFT(I157, FIND("!", I157)) &amp; RefData!$C$426 &amp; RIGHT(I157, LEN(I157) - FIND("!", I157) - 1))</f>
        <v>Year 24</v>
      </c>
      <c r="D157" s="92" t="str">
        <f t="shared" ca="1" si="22"/>
        <v/>
      </c>
      <c r="E157" s="708" t="str" cm="1">
        <f t="array" aca="1" ref="E157" ca="1">IF(INDIRECT($I157)= "", "", INDIRECT($I157))</f>
        <v/>
      </c>
      <c r="F157" s="709" t="str" cm="1">
        <f t="array" aca="1" ref="F157" ca="1">INDIRECT(LEFT(I157, FIND("!", I157)) &amp; RefData!$C$427 &amp; RIGHT(I157, LEN(I157) - FIND("!", I157) - 1))</f>
        <v>FYA 24.0</v>
      </c>
      <c r="G157" s="710" t="b">
        <f ca="1">IF(ISNUMBER(SEARCH(RefData!$B$2, $C157)), FALSE, TRUE)</f>
        <v>1</v>
      </c>
      <c r="H157" s="344">
        <f>'40-year assumptions'!C30</f>
        <v>0</v>
      </c>
      <c r="I157" s="712" t="str">
        <f t="shared" ca="1" si="28"/>
        <v>'40-year assumptions'!C30</v>
      </c>
      <c r="J157" s="713" t="b" cm="1">
        <f t="array" aca="1" ref="J157" ca="1">IF(COUNTIF($K157:$T157, "&lt;&gt;FALSE") - COUNTBLANK($K157:$T157) &gt; 0, INDEX($K157:$T157, MATCH(TRUE, $K157:$T157 &lt;&gt; FALSE, 0)))</f>
        <v>0</v>
      </c>
      <c r="K157" s="712" t="b">
        <f ca="1">IF(AND('Start here'!$C$24=RefData!$B$5,'Reconciliation report'!$E157=""),ErrorMsgs!$B157)</f>
        <v>0</v>
      </c>
      <c r="L157" s="712" t="b">
        <f ca="1">IF(AND('Start here'!$C$24=RefData!$B$4,'Discount rates'!$C$7=RefData!$B$8,'Reconciliation report'!$E157=""),ErrorMsgs!$C157)</f>
        <v>0</v>
      </c>
      <c r="M157" s="714" t="b">
        <f ca="1">IF(AND('Start here'!$C$24=RefData!$B$4,'Discount rates'!$C$7=RefData!$B$7,'Reconciliation report'!$E157&lt;&gt;""),ErrorMsgs!$D157)</f>
        <v>0</v>
      </c>
      <c r="N157" s="714" t="b">
        <f ca="1">IF($E157="",FALSE,IF(OR($E157&lt;-0.25,$E157&gt;0.25),ErrorMsgs!$E157))</f>
        <v>0</v>
      </c>
      <c r="O157" s="712"/>
      <c r="P157" s="712"/>
      <c r="Q157" s="712"/>
      <c r="R157" s="712"/>
      <c r="S157" s="712"/>
      <c r="T157" s="712"/>
      <c r="U157" s="526" t="str">
        <f t="shared" ca="1" si="24"/>
        <v/>
      </c>
      <c r="V157" s="93" t="str" cm="1">
        <f t="array" aca="1" ref="V157" ca="1">CELL("format",INDIRECT(I157))</f>
        <v>P4</v>
      </c>
      <c r="W157" s="93" t="b">
        <f t="shared" ca="1" si="25"/>
        <v>0</v>
      </c>
      <c r="X157" s="715" t="str">
        <f t="shared" ca="1" si="23"/>
        <v/>
      </c>
      <c r="Y157" t="b">
        <f t="shared" ca="1" si="26"/>
        <v>1</v>
      </c>
    </row>
    <row r="158" spans="1:25" ht="63" customHeight="1">
      <c r="A158" s="705" t="s">
        <v>3164</v>
      </c>
      <c r="B158" s="716" t="str">
        <f t="shared" ca="1" si="27"/>
        <v>40-year assumptions - C31</v>
      </c>
      <c r="C158" s="707" t="str" cm="1">
        <f t="array" aca="1" ref="C158" ca="1">INDIRECT(LEFT(I158, FIND("!", I158)) &amp; RefData!$C$426 &amp; RIGHT(I158, LEN(I158) - FIND("!", I158) - 1))</f>
        <v>Year 25</v>
      </c>
      <c r="D158" s="92" t="str">
        <f t="shared" ca="1" si="22"/>
        <v/>
      </c>
      <c r="E158" s="708" t="str" cm="1">
        <f t="array" aca="1" ref="E158" ca="1">IF(INDIRECT($I158)= "", "", INDIRECT($I158))</f>
        <v/>
      </c>
      <c r="F158" s="709" t="str" cm="1">
        <f t="array" aca="1" ref="F158" ca="1">INDIRECT(LEFT(I158, FIND("!", I158)) &amp; RefData!$C$427 &amp; RIGHT(I158, LEN(I158) - FIND("!", I158) - 1))</f>
        <v>FYA 25.0</v>
      </c>
      <c r="G158" s="710" t="b">
        <f ca="1">IF(ISNUMBER(SEARCH(RefData!$B$2, $C158)), FALSE, TRUE)</f>
        <v>1</v>
      </c>
      <c r="H158" s="344">
        <f>'40-year assumptions'!C31</f>
        <v>0</v>
      </c>
      <c r="I158" s="712" t="str">
        <f t="shared" ca="1" si="28"/>
        <v>'40-year assumptions'!C31</v>
      </c>
      <c r="J158" s="713" t="b" cm="1">
        <f t="array" aca="1" ref="J158" ca="1">IF(COUNTIF($K158:$T158, "&lt;&gt;FALSE") - COUNTBLANK($K158:$T158) &gt; 0, INDEX($K158:$T158, MATCH(TRUE, $K158:$T158 &lt;&gt; FALSE, 0)))</f>
        <v>0</v>
      </c>
      <c r="K158" s="712" t="b">
        <f ca="1">IF(AND('Start here'!$C$24=RefData!$B$5,'Reconciliation report'!$E158=""),ErrorMsgs!$B158)</f>
        <v>0</v>
      </c>
      <c r="L158" s="712" t="b">
        <f ca="1">IF(AND('Start here'!$C$24=RefData!$B$4,'Discount rates'!$C$7=RefData!$B$8,'Reconciliation report'!$E158=""),ErrorMsgs!$C158)</f>
        <v>0</v>
      </c>
      <c r="M158" s="714" t="b">
        <f ca="1">IF(AND('Start here'!$C$24=RefData!$B$4,'Discount rates'!$C$7=RefData!$B$7,'Reconciliation report'!$E158&lt;&gt;""),ErrorMsgs!$D158)</f>
        <v>0</v>
      </c>
      <c r="N158" s="714" t="b">
        <f ca="1">IF($E158="",FALSE,IF(OR($E158&lt;-0.25,$E158&gt;0.25),ErrorMsgs!$E158))</f>
        <v>0</v>
      </c>
      <c r="O158" s="712"/>
      <c r="P158" s="712"/>
      <c r="Q158" s="712"/>
      <c r="R158" s="712"/>
      <c r="S158" s="712"/>
      <c r="T158" s="712"/>
      <c r="U158" s="526" t="str">
        <f t="shared" ca="1" si="24"/>
        <v/>
      </c>
      <c r="V158" s="93" t="str" cm="1">
        <f t="array" aca="1" ref="V158" ca="1">CELL("format",INDIRECT(I158))</f>
        <v>P4</v>
      </c>
      <c r="W158" s="93" t="b">
        <f t="shared" ca="1" si="25"/>
        <v>0</v>
      </c>
      <c r="X158" s="715" t="str">
        <f t="shared" ca="1" si="23"/>
        <v/>
      </c>
      <c r="Y158" t="b">
        <f t="shared" ca="1" si="26"/>
        <v>1</v>
      </c>
    </row>
    <row r="159" spans="1:25" ht="63" customHeight="1">
      <c r="A159" s="705" t="s">
        <v>3165</v>
      </c>
      <c r="B159" s="716" t="str">
        <f t="shared" ca="1" si="27"/>
        <v>40-year assumptions - C32</v>
      </c>
      <c r="C159" s="707" t="str" cm="1">
        <f t="array" aca="1" ref="C159" ca="1">INDIRECT(LEFT(I159, FIND("!", I159)) &amp; RefData!$C$426 &amp; RIGHT(I159, LEN(I159) - FIND("!", I159) - 1))</f>
        <v>Year 26</v>
      </c>
      <c r="D159" s="92" t="str">
        <f t="shared" ca="1" si="22"/>
        <v/>
      </c>
      <c r="E159" s="708" t="str" cm="1">
        <f t="array" aca="1" ref="E159" ca="1">IF(INDIRECT($I159)= "", "", INDIRECT($I159))</f>
        <v/>
      </c>
      <c r="F159" s="709" t="str" cm="1">
        <f t="array" aca="1" ref="F159" ca="1">INDIRECT(LEFT(I159, FIND("!", I159)) &amp; RefData!$C$427 &amp; RIGHT(I159, LEN(I159) - FIND("!", I159) - 1))</f>
        <v>FYA 26.0</v>
      </c>
      <c r="G159" s="710" t="b">
        <f ca="1">IF(ISNUMBER(SEARCH(RefData!$B$2, $C159)), FALSE, TRUE)</f>
        <v>1</v>
      </c>
      <c r="H159" s="344">
        <f>'40-year assumptions'!C32</f>
        <v>0</v>
      </c>
      <c r="I159" s="712" t="str">
        <f t="shared" ca="1" si="28"/>
        <v>'40-year assumptions'!C32</v>
      </c>
      <c r="J159" s="713" t="b" cm="1">
        <f t="array" aca="1" ref="J159" ca="1">IF(COUNTIF($K159:$T159, "&lt;&gt;FALSE") - COUNTBLANK($K159:$T159) &gt; 0, INDEX($K159:$T159, MATCH(TRUE, $K159:$T159 &lt;&gt; FALSE, 0)))</f>
        <v>0</v>
      </c>
      <c r="K159" s="712" t="b">
        <f ca="1">IF(AND('Start here'!$C$24=RefData!$B$5,'Reconciliation report'!$E159=""),ErrorMsgs!$B159)</f>
        <v>0</v>
      </c>
      <c r="L159" s="712" t="b">
        <f ca="1">IF(AND('Start here'!$C$24=RefData!$B$4,'Discount rates'!$C$7=RefData!$B$8,'Reconciliation report'!$E159=""),ErrorMsgs!$C159)</f>
        <v>0</v>
      </c>
      <c r="M159" s="714" t="b">
        <f ca="1">IF(AND('Start here'!$C$24=RefData!$B$4,'Discount rates'!$C$7=RefData!$B$7,'Reconciliation report'!$E159&lt;&gt;""),ErrorMsgs!$D159)</f>
        <v>0</v>
      </c>
      <c r="N159" s="714" t="b">
        <f ca="1">IF($E159="",FALSE,IF(OR($E159&lt;-0.25,$E159&gt;0.25),ErrorMsgs!$E159))</f>
        <v>0</v>
      </c>
      <c r="O159" s="712"/>
      <c r="P159" s="712"/>
      <c r="Q159" s="712"/>
      <c r="R159" s="712"/>
      <c r="S159" s="712"/>
      <c r="T159" s="712"/>
      <c r="U159" s="526" t="str">
        <f t="shared" ca="1" si="24"/>
        <v/>
      </c>
      <c r="V159" s="93" t="str" cm="1">
        <f t="array" aca="1" ref="V159" ca="1">CELL("format",INDIRECT(I159))</f>
        <v>P4</v>
      </c>
      <c r="W159" s="93" t="b">
        <f t="shared" ca="1" si="25"/>
        <v>0</v>
      </c>
      <c r="X159" s="715" t="str">
        <f t="shared" ca="1" si="23"/>
        <v/>
      </c>
      <c r="Y159" t="b">
        <f t="shared" ca="1" si="26"/>
        <v>1</v>
      </c>
    </row>
    <row r="160" spans="1:25" ht="63" customHeight="1">
      <c r="A160" s="705" t="s">
        <v>3166</v>
      </c>
      <c r="B160" s="716" t="str">
        <f t="shared" ca="1" si="27"/>
        <v>40-year assumptions - C33</v>
      </c>
      <c r="C160" s="707" t="str" cm="1">
        <f t="array" aca="1" ref="C160" ca="1">INDIRECT(LEFT(I160, FIND("!", I160)) &amp; RefData!$C$426 &amp; RIGHT(I160, LEN(I160) - FIND("!", I160) - 1))</f>
        <v>Year 27</v>
      </c>
      <c r="D160" s="92" t="str">
        <f t="shared" ca="1" si="22"/>
        <v/>
      </c>
      <c r="E160" s="708" t="str" cm="1">
        <f t="array" aca="1" ref="E160" ca="1">IF(INDIRECT($I160)= "", "", INDIRECT($I160))</f>
        <v/>
      </c>
      <c r="F160" s="709" t="str" cm="1">
        <f t="array" aca="1" ref="F160" ca="1">INDIRECT(LEFT(I160, FIND("!", I160)) &amp; RefData!$C$427 &amp; RIGHT(I160, LEN(I160) - FIND("!", I160) - 1))</f>
        <v>FYA 27.0</v>
      </c>
      <c r="G160" s="710" t="b">
        <f ca="1">IF(ISNUMBER(SEARCH(RefData!$B$2, $C160)), FALSE, TRUE)</f>
        <v>1</v>
      </c>
      <c r="H160" s="344">
        <f>'40-year assumptions'!C33</f>
        <v>0</v>
      </c>
      <c r="I160" s="712" t="str">
        <f t="shared" ca="1" si="28"/>
        <v>'40-year assumptions'!C33</v>
      </c>
      <c r="J160" s="713" t="b" cm="1">
        <f t="array" aca="1" ref="J160" ca="1">IF(COUNTIF($K160:$T160, "&lt;&gt;FALSE") - COUNTBLANK($K160:$T160) &gt; 0, INDEX($K160:$T160, MATCH(TRUE, $K160:$T160 &lt;&gt; FALSE, 0)))</f>
        <v>0</v>
      </c>
      <c r="K160" s="712" t="b">
        <f ca="1">IF(AND('Start here'!$C$24=RefData!$B$5,'Reconciliation report'!$E160=""),ErrorMsgs!$B160)</f>
        <v>0</v>
      </c>
      <c r="L160" s="712" t="b">
        <f ca="1">IF(AND('Start here'!$C$24=RefData!$B$4,'Discount rates'!$C$7=RefData!$B$8,'Reconciliation report'!$E160=""),ErrorMsgs!$C160)</f>
        <v>0</v>
      </c>
      <c r="M160" s="714" t="b">
        <f ca="1">IF(AND('Start here'!$C$24=RefData!$B$4,'Discount rates'!$C$7=RefData!$B$7,'Reconciliation report'!$E160&lt;&gt;""),ErrorMsgs!$D160)</f>
        <v>0</v>
      </c>
      <c r="N160" s="714" t="b">
        <f ca="1">IF($E160="",FALSE,IF(OR($E160&lt;-0.25,$E160&gt;0.25),ErrorMsgs!$E160))</f>
        <v>0</v>
      </c>
      <c r="O160" s="712"/>
      <c r="P160" s="712"/>
      <c r="Q160" s="712"/>
      <c r="R160" s="712"/>
      <c r="S160" s="712"/>
      <c r="T160" s="712"/>
      <c r="U160" s="526" t="str">
        <f t="shared" ca="1" si="24"/>
        <v/>
      </c>
      <c r="V160" s="93" t="str" cm="1">
        <f t="array" aca="1" ref="V160" ca="1">CELL("format",INDIRECT(I160))</f>
        <v>P4</v>
      </c>
      <c r="W160" s="93" t="b">
        <f t="shared" ca="1" si="25"/>
        <v>0</v>
      </c>
      <c r="X160" s="715" t="str">
        <f t="shared" ca="1" si="23"/>
        <v/>
      </c>
      <c r="Y160" t="b">
        <f t="shared" ca="1" si="26"/>
        <v>1</v>
      </c>
    </row>
    <row r="161" spans="1:25" ht="63" customHeight="1">
      <c r="A161" s="705" t="s">
        <v>3167</v>
      </c>
      <c r="B161" s="716" t="str">
        <f t="shared" ca="1" si="27"/>
        <v>40-year assumptions - C34</v>
      </c>
      <c r="C161" s="707" t="str" cm="1">
        <f t="array" aca="1" ref="C161" ca="1">INDIRECT(LEFT(I161, FIND("!", I161)) &amp; RefData!$C$426 &amp; RIGHT(I161, LEN(I161) - FIND("!", I161) - 1))</f>
        <v>Year 28</v>
      </c>
      <c r="D161" s="92" t="str">
        <f t="shared" ca="1" si="22"/>
        <v/>
      </c>
      <c r="E161" s="708" t="str" cm="1">
        <f t="array" aca="1" ref="E161" ca="1">IF(INDIRECT($I161)= "", "", INDIRECT($I161))</f>
        <v/>
      </c>
      <c r="F161" s="709" t="str" cm="1">
        <f t="array" aca="1" ref="F161" ca="1">INDIRECT(LEFT(I161, FIND("!", I161)) &amp; RefData!$C$427 &amp; RIGHT(I161, LEN(I161) - FIND("!", I161) - 1))</f>
        <v>FYA 28.0</v>
      </c>
      <c r="G161" s="710" t="b">
        <f ca="1">IF(ISNUMBER(SEARCH(RefData!$B$2, $C161)), FALSE, TRUE)</f>
        <v>1</v>
      </c>
      <c r="H161" s="344">
        <f>'40-year assumptions'!C34</f>
        <v>0</v>
      </c>
      <c r="I161" s="712" t="str">
        <f t="shared" ca="1" si="28"/>
        <v>'40-year assumptions'!C34</v>
      </c>
      <c r="J161" s="713" t="b" cm="1">
        <f t="array" aca="1" ref="J161" ca="1">IF(COUNTIF($K161:$T161, "&lt;&gt;FALSE") - COUNTBLANK($K161:$T161) &gt; 0, INDEX($K161:$T161, MATCH(TRUE, $K161:$T161 &lt;&gt; FALSE, 0)))</f>
        <v>0</v>
      </c>
      <c r="K161" s="712" t="b">
        <f ca="1">IF(AND('Start here'!$C$24=RefData!$B$5,'Reconciliation report'!$E161=""),ErrorMsgs!$B161)</f>
        <v>0</v>
      </c>
      <c r="L161" s="712" t="b">
        <f ca="1">IF(AND('Start here'!$C$24=RefData!$B$4,'Discount rates'!$C$7=RefData!$B$8,'Reconciliation report'!$E161=""),ErrorMsgs!$C161)</f>
        <v>0</v>
      </c>
      <c r="M161" s="714" t="b">
        <f ca="1">IF(AND('Start here'!$C$24=RefData!$B$4,'Discount rates'!$C$7=RefData!$B$7,'Reconciliation report'!$E161&lt;&gt;""),ErrorMsgs!$D161)</f>
        <v>0</v>
      </c>
      <c r="N161" s="714" t="b">
        <f ca="1">IF($E161="",FALSE,IF(OR($E161&lt;-0.25,$E161&gt;0.25),ErrorMsgs!$E161))</f>
        <v>0</v>
      </c>
      <c r="O161" s="712"/>
      <c r="P161" s="712"/>
      <c r="Q161" s="712"/>
      <c r="R161" s="712"/>
      <c r="S161" s="712"/>
      <c r="T161" s="712"/>
      <c r="U161" s="526" t="str">
        <f t="shared" ca="1" si="24"/>
        <v/>
      </c>
      <c r="V161" s="93" t="str" cm="1">
        <f t="array" aca="1" ref="V161" ca="1">CELL("format",INDIRECT(I161))</f>
        <v>P4</v>
      </c>
      <c r="W161" s="93" t="b">
        <f t="shared" ca="1" si="25"/>
        <v>0</v>
      </c>
      <c r="X161" s="715" t="str">
        <f t="shared" ca="1" si="23"/>
        <v/>
      </c>
      <c r="Y161" t="b">
        <f t="shared" ca="1" si="26"/>
        <v>1</v>
      </c>
    </row>
    <row r="162" spans="1:25" ht="63" customHeight="1">
      <c r="A162" s="705" t="s">
        <v>3168</v>
      </c>
      <c r="B162" s="716" t="str">
        <f t="shared" ca="1" si="27"/>
        <v>40-year assumptions - C35</v>
      </c>
      <c r="C162" s="707" t="str" cm="1">
        <f t="array" aca="1" ref="C162" ca="1">INDIRECT(LEFT(I162, FIND("!", I162)) &amp; RefData!$C$426 &amp; RIGHT(I162, LEN(I162) - FIND("!", I162) - 1))</f>
        <v>Year 29</v>
      </c>
      <c r="D162" s="92" t="str">
        <f t="shared" ca="1" si="22"/>
        <v/>
      </c>
      <c r="E162" s="708" t="str" cm="1">
        <f t="array" aca="1" ref="E162" ca="1">IF(INDIRECT($I162)= "", "", INDIRECT($I162))</f>
        <v/>
      </c>
      <c r="F162" s="709" t="str" cm="1">
        <f t="array" aca="1" ref="F162" ca="1">INDIRECT(LEFT(I162, FIND("!", I162)) &amp; RefData!$C$427 &amp; RIGHT(I162, LEN(I162) - FIND("!", I162) - 1))</f>
        <v>FYA 29.0</v>
      </c>
      <c r="G162" s="710" t="b">
        <f ca="1">IF(ISNUMBER(SEARCH(RefData!$B$2, $C162)), FALSE, TRUE)</f>
        <v>1</v>
      </c>
      <c r="H162" s="344">
        <f>'40-year assumptions'!C35</f>
        <v>0</v>
      </c>
      <c r="I162" s="712" t="str">
        <f t="shared" ca="1" si="28"/>
        <v>'40-year assumptions'!C35</v>
      </c>
      <c r="J162" s="713" t="b" cm="1">
        <f t="array" aca="1" ref="J162" ca="1">IF(COUNTIF($K162:$T162, "&lt;&gt;FALSE") - COUNTBLANK($K162:$T162) &gt; 0, INDEX($K162:$T162, MATCH(TRUE, $K162:$T162 &lt;&gt; FALSE, 0)))</f>
        <v>0</v>
      </c>
      <c r="K162" s="712" t="b">
        <f ca="1">IF(AND('Start here'!$C$24=RefData!$B$5,'Reconciliation report'!$E162=""),ErrorMsgs!$B162)</f>
        <v>0</v>
      </c>
      <c r="L162" s="712" t="b">
        <f ca="1">IF(AND('Start here'!$C$24=RefData!$B$4,'Discount rates'!$C$7=RefData!$B$8,'Reconciliation report'!$E162=""),ErrorMsgs!$C162)</f>
        <v>0</v>
      </c>
      <c r="M162" s="714" t="b">
        <f ca="1">IF(AND('Start here'!$C$24=RefData!$B$4,'Discount rates'!$C$7=RefData!$B$7,'Reconciliation report'!$E162&lt;&gt;""),ErrorMsgs!$D162)</f>
        <v>0</v>
      </c>
      <c r="N162" s="714" t="b">
        <f ca="1">IF($E162="",FALSE,IF(OR($E162&lt;-0.25,$E162&gt;0.25),ErrorMsgs!$E162))</f>
        <v>0</v>
      </c>
      <c r="O162" s="712"/>
      <c r="P162" s="712"/>
      <c r="Q162" s="712"/>
      <c r="R162" s="712"/>
      <c r="S162" s="712"/>
      <c r="T162" s="712"/>
      <c r="U162" s="526" t="str">
        <f t="shared" ca="1" si="24"/>
        <v/>
      </c>
      <c r="V162" s="93" t="str" cm="1">
        <f t="array" aca="1" ref="V162" ca="1">CELL("format",INDIRECT(I162))</f>
        <v>P4</v>
      </c>
      <c r="W162" s="93" t="b">
        <f t="shared" ca="1" si="25"/>
        <v>0</v>
      </c>
      <c r="X162" s="715" t="str">
        <f t="shared" ca="1" si="23"/>
        <v/>
      </c>
      <c r="Y162" t="b">
        <f t="shared" ca="1" si="26"/>
        <v>1</v>
      </c>
    </row>
    <row r="163" spans="1:25" ht="63" customHeight="1">
      <c r="A163" s="705" t="s">
        <v>3169</v>
      </c>
      <c r="B163" s="716" t="str">
        <f t="shared" ca="1" si="27"/>
        <v>40-year assumptions - C36</v>
      </c>
      <c r="C163" s="707" t="str" cm="1">
        <f t="array" aca="1" ref="C163" ca="1">INDIRECT(LEFT(I163, FIND("!", I163)) &amp; RefData!$C$426 &amp; RIGHT(I163, LEN(I163) - FIND("!", I163) - 1))</f>
        <v>Year 30</v>
      </c>
      <c r="D163" s="92" t="str">
        <f t="shared" ca="1" si="22"/>
        <v/>
      </c>
      <c r="E163" s="708" t="str" cm="1">
        <f t="array" aca="1" ref="E163" ca="1">IF(INDIRECT($I163)= "", "", INDIRECT($I163))</f>
        <v/>
      </c>
      <c r="F163" s="709" t="str" cm="1">
        <f t="array" aca="1" ref="F163" ca="1">INDIRECT(LEFT(I163, FIND("!", I163)) &amp; RefData!$C$427 &amp; RIGHT(I163, LEN(I163) - FIND("!", I163) - 1))</f>
        <v>FYA 30.0</v>
      </c>
      <c r="G163" s="710" t="b">
        <f ca="1">IF(ISNUMBER(SEARCH(RefData!$B$2, $C163)), FALSE, TRUE)</f>
        <v>1</v>
      </c>
      <c r="H163" s="344">
        <f>'40-year assumptions'!C36</f>
        <v>0</v>
      </c>
      <c r="I163" s="712" t="str">
        <f t="shared" ca="1" si="28"/>
        <v>'40-year assumptions'!C36</v>
      </c>
      <c r="J163" s="713" t="b" cm="1">
        <f t="array" aca="1" ref="J163" ca="1">IF(COUNTIF($K163:$T163, "&lt;&gt;FALSE") - COUNTBLANK($K163:$T163) &gt; 0, INDEX($K163:$T163, MATCH(TRUE, $K163:$T163 &lt;&gt; FALSE, 0)))</f>
        <v>0</v>
      </c>
      <c r="K163" s="712" t="b">
        <f ca="1">IF(AND('Start here'!$C$24=RefData!$B$5,'Reconciliation report'!$E163=""),ErrorMsgs!$B163)</f>
        <v>0</v>
      </c>
      <c r="L163" s="712" t="b">
        <f ca="1">IF(AND('Start here'!$C$24=RefData!$B$4,'Discount rates'!$C$7=RefData!$B$8,'Reconciliation report'!$E163=""),ErrorMsgs!$C163)</f>
        <v>0</v>
      </c>
      <c r="M163" s="714" t="b">
        <f ca="1">IF(AND('Start here'!$C$24=RefData!$B$4,'Discount rates'!$C$7=RefData!$B$7,'Reconciliation report'!$E163&lt;&gt;""),ErrorMsgs!$D163)</f>
        <v>0</v>
      </c>
      <c r="N163" s="714" t="b">
        <f ca="1">IF($E163="",FALSE,IF(OR($E163&lt;-0.25,$E163&gt;0.25),ErrorMsgs!$E163))</f>
        <v>0</v>
      </c>
      <c r="O163" s="712"/>
      <c r="P163" s="712"/>
      <c r="Q163" s="712"/>
      <c r="R163" s="712"/>
      <c r="S163" s="712"/>
      <c r="T163" s="712"/>
      <c r="U163" s="526" t="str">
        <f t="shared" ca="1" si="24"/>
        <v/>
      </c>
      <c r="V163" s="93" t="str" cm="1">
        <f t="array" aca="1" ref="V163" ca="1">CELL("format",INDIRECT(I163))</f>
        <v>P4</v>
      </c>
      <c r="W163" s="93" t="b">
        <f t="shared" ca="1" si="25"/>
        <v>0</v>
      </c>
      <c r="X163" s="715" t="str">
        <f t="shared" ca="1" si="23"/>
        <v/>
      </c>
      <c r="Y163" t="b">
        <f t="shared" ca="1" si="26"/>
        <v>1</v>
      </c>
    </row>
    <row r="164" spans="1:25" ht="63" customHeight="1">
      <c r="A164" s="705" t="s">
        <v>3170</v>
      </c>
      <c r="B164" s="716" t="str">
        <f t="shared" ca="1" si="27"/>
        <v>40-year assumptions - C37</v>
      </c>
      <c r="C164" s="707" t="str" cm="1">
        <f t="array" aca="1" ref="C164" ca="1">INDIRECT(LEFT(I164, FIND("!", I164)) &amp; RefData!$C$426 &amp; RIGHT(I164, LEN(I164) - FIND("!", I164) - 1))</f>
        <v>Year 31</v>
      </c>
      <c r="D164" s="92" t="str">
        <f t="shared" ca="1" si="22"/>
        <v/>
      </c>
      <c r="E164" s="708" t="str" cm="1">
        <f t="array" aca="1" ref="E164" ca="1">IF(INDIRECT($I164)= "", "", INDIRECT($I164))</f>
        <v/>
      </c>
      <c r="F164" s="709" t="str" cm="1">
        <f t="array" aca="1" ref="F164" ca="1">INDIRECT(LEFT(I164, FIND("!", I164)) &amp; RefData!$C$427 &amp; RIGHT(I164, LEN(I164) - FIND("!", I164) - 1))</f>
        <v>FYA 31.0</v>
      </c>
      <c r="G164" s="710" t="b">
        <f ca="1">IF(ISNUMBER(SEARCH(RefData!$B$2, $C164)), FALSE, TRUE)</f>
        <v>1</v>
      </c>
      <c r="H164" s="344">
        <f>'40-year assumptions'!C37</f>
        <v>0</v>
      </c>
      <c r="I164" s="712" t="str">
        <f t="shared" ca="1" si="28"/>
        <v>'40-year assumptions'!C37</v>
      </c>
      <c r="J164" s="713" t="b" cm="1">
        <f t="array" aca="1" ref="J164" ca="1">IF(COUNTIF($K164:$T164, "&lt;&gt;FALSE") - COUNTBLANK($K164:$T164) &gt; 0, INDEX($K164:$T164, MATCH(TRUE, $K164:$T164 &lt;&gt; FALSE, 0)))</f>
        <v>0</v>
      </c>
      <c r="K164" s="712" t="b">
        <f ca="1">IF(AND('Start here'!$C$24=RefData!$B$5,'Reconciliation report'!$E164=""),ErrorMsgs!$B164)</f>
        <v>0</v>
      </c>
      <c r="L164" s="712" t="b">
        <f ca="1">IF(AND('Start here'!$C$24=RefData!$B$4,'Discount rates'!$C$7=RefData!$B$8,'Reconciliation report'!$E164=""),ErrorMsgs!$C164)</f>
        <v>0</v>
      </c>
      <c r="M164" s="714" t="b">
        <f ca="1">IF(AND('Start here'!$C$24=RefData!$B$4,'Discount rates'!$C$7=RefData!$B$7,'Reconciliation report'!$E164&lt;&gt;""),ErrorMsgs!$D164)</f>
        <v>0</v>
      </c>
      <c r="N164" s="714" t="b">
        <f ca="1">IF($E164="",FALSE,IF(OR($E164&lt;-0.25,$E164&gt;0.25),ErrorMsgs!$E164))</f>
        <v>0</v>
      </c>
      <c r="O164" s="712"/>
      <c r="P164" s="712"/>
      <c r="Q164" s="712"/>
      <c r="R164" s="712"/>
      <c r="S164" s="712"/>
      <c r="T164" s="712"/>
      <c r="U164" s="526" t="str">
        <f t="shared" ca="1" si="24"/>
        <v/>
      </c>
      <c r="V164" s="93" t="str" cm="1">
        <f t="array" aca="1" ref="V164" ca="1">CELL("format",INDIRECT(I164))</f>
        <v>P4</v>
      </c>
      <c r="W164" s="93" t="b">
        <f t="shared" ca="1" si="25"/>
        <v>0</v>
      </c>
      <c r="X164" s="715" t="str">
        <f t="shared" ca="1" si="23"/>
        <v/>
      </c>
      <c r="Y164" t="b">
        <f t="shared" ca="1" si="26"/>
        <v>1</v>
      </c>
    </row>
    <row r="165" spans="1:25" ht="63" customHeight="1">
      <c r="A165" s="705" t="s">
        <v>3171</v>
      </c>
      <c r="B165" s="716" t="str">
        <f t="shared" ca="1" si="27"/>
        <v>40-year assumptions - C38</v>
      </c>
      <c r="C165" s="707" t="str" cm="1">
        <f t="array" aca="1" ref="C165" ca="1">INDIRECT(LEFT(I165, FIND("!", I165)) &amp; RefData!$C$426 &amp; RIGHT(I165, LEN(I165) - FIND("!", I165) - 1))</f>
        <v>Year 32</v>
      </c>
      <c r="D165" s="92" t="str">
        <f t="shared" ca="1" si="22"/>
        <v/>
      </c>
      <c r="E165" s="708" t="str" cm="1">
        <f t="array" aca="1" ref="E165" ca="1">IF(INDIRECT($I165)= "", "", INDIRECT($I165))</f>
        <v/>
      </c>
      <c r="F165" s="709" t="str" cm="1">
        <f t="array" aca="1" ref="F165" ca="1">INDIRECT(LEFT(I165, FIND("!", I165)) &amp; RefData!$C$427 &amp; RIGHT(I165, LEN(I165) - FIND("!", I165) - 1))</f>
        <v>FYA 32.0</v>
      </c>
      <c r="G165" s="710" t="b">
        <f ca="1">IF(ISNUMBER(SEARCH(RefData!$B$2, $C165)), FALSE, TRUE)</f>
        <v>1</v>
      </c>
      <c r="H165" s="344">
        <f>'40-year assumptions'!C38</f>
        <v>0</v>
      </c>
      <c r="I165" s="712" t="str">
        <f t="shared" ca="1" si="28"/>
        <v>'40-year assumptions'!C38</v>
      </c>
      <c r="J165" s="713" t="b" cm="1">
        <f t="array" aca="1" ref="J165" ca="1">IF(COUNTIF($K165:$T165, "&lt;&gt;FALSE") - COUNTBLANK($K165:$T165) &gt; 0, INDEX($K165:$T165, MATCH(TRUE, $K165:$T165 &lt;&gt; FALSE, 0)))</f>
        <v>0</v>
      </c>
      <c r="K165" s="712" t="b">
        <f ca="1">IF(AND('Start here'!$C$24=RefData!$B$5,'Reconciliation report'!$E165=""),ErrorMsgs!$B165)</f>
        <v>0</v>
      </c>
      <c r="L165" s="712" t="b">
        <f ca="1">IF(AND('Start here'!$C$24=RefData!$B$4,'Discount rates'!$C$7=RefData!$B$8,'Reconciliation report'!$E165=""),ErrorMsgs!$C165)</f>
        <v>0</v>
      </c>
      <c r="M165" s="714" t="b">
        <f ca="1">IF(AND('Start here'!$C$24=RefData!$B$4,'Discount rates'!$C$7=RefData!$B$7,'Reconciliation report'!$E165&lt;&gt;""),ErrorMsgs!$D165)</f>
        <v>0</v>
      </c>
      <c r="N165" s="714" t="b">
        <f ca="1">IF($E165="",FALSE,IF(OR($E165&lt;-0.25,$E165&gt;0.25),ErrorMsgs!$E165))</f>
        <v>0</v>
      </c>
      <c r="O165" s="712"/>
      <c r="P165" s="712"/>
      <c r="Q165" s="712"/>
      <c r="R165" s="712"/>
      <c r="S165" s="712"/>
      <c r="T165" s="712"/>
      <c r="U165" s="526" t="str">
        <f t="shared" ca="1" si="24"/>
        <v/>
      </c>
      <c r="V165" s="93" t="str" cm="1">
        <f t="array" aca="1" ref="V165" ca="1">CELL("format",INDIRECT(I165))</f>
        <v>P4</v>
      </c>
      <c r="W165" s="93" t="b">
        <f t="shared" ca="1" si="25"/>
        <v>0</v>
      </c>
      <c r="X165" s="715" t="str">
        <f t="shared" ca="1" si="23"/>
        <v/>
      </c>
      <c r="Y165" t="b">
        <f t="shared" ca="1" si="26"/>
        <v>1</v>
      </c>
    </row>
    <row r="166" spans="1:25" ht="63" customHeight="1">
      <c r="A166" s="705" t="s">
        <v>3172</v>
      </c>
      <c r="B166" s="716" t="str">
        <f t="shared" ca="1" si="27"/>
        <v>40-year assumptions - C39</v>
      </c>
      <c r="C166" s="707" t="str" cm="1">
        <f t="array" aca="1" ref="C166" ca="1">INDIRECT(LEFT(I166, FIND("!", I166)) &amp; RefData!$C$426 &amp; RIGHT(I166, LEN(I166) - FIND("!", I166) - 1))</f>
        <v>Year 33</v>
      </c>
      <c r="D166" s="92" t="str">
        <f t="shared" ca="1" si="22"/>
        <v/>
      </c>
      <c r="E166" s="708" t="str" cm="1">
        <f t="array" aca="1" ref="E166" ca="1">IF(INDIRECT($I166)= "", "", INDIRECT($I166))</f>
        <v/>
      </c>
      <c r="F166" s="709" t="str" cm="1">
        <f t="array" aca="1" ref="F166" ca="1">INDIRECT(LEFT(I166, FIND("!", I166)) &amp; RefData!$C$427 &amp; RIGHT(I166, LEN(I166) - FIND("!", I166) - 1))</f>
        <v>FYA 33.0</v>
      </c>
      <c r="G166" s="710" t="b">
        <f ca="1">IF(ISNUMBER(SEARCH(RefData!$B$2, $C166)), FALSE, TRUE)</f>
        <v>1</v>
      </c>
      <c r="H166" s="344">
        <f>'40-year assumptions'!C39</f>
        <v>0</v>
      </c>
      <c r="I166" s="712" t="str">
        <f t="shared" ca="1" si="28"/>
        <v>'40-year assumptions'!C39</v>
      </c>
      <c r="J166" s="713" t="b" cm="1">
        <f t="array" aca="1" ref="J166" ca="1">IF(COUNTIF($K166:$T166, "&lt;&gt;FALSE") - COUNTBLANK($K166:$T166) &gt; 0, INDEX($K166:$T166, MATCH(TRUE, $K166:$T166 &lt;&gt; FALSE, 0)))</f>
        <v>0</v>
      </c>
      <c r="K166" s="712" t="b">
        <f ca="1">IF(AND('Start here'!$C$24=RefData!$B$5,'Reconciliation report'!$E166=""),ErrorMsgs!$B166)</f>
        <v>0</v>
      </c>
      <c r="L166" s="712" t="b">
        <f ca="1">IF(AND('Start here'!$C$24=RefData!$B$4,'Discount rates'!$C$7=RefData!$B$8,'Reconciliation report'!$E166=""),ErrorMsgs!$C166)</f>
        <v>0</v>
      </c>
      <c r="M166" s="714" t="b">
        <f ca="1">IF(AND('Start here'!$C$24=RefData!$B$4,'Discount rates'!$C$7=RefData!$B$7,'Reconciliation report'!$E166&lt;&gt;""),ErrorMsgs!$D166)</f>
        <v>0</v>
      </c>
      <c r="N166" s="714" t="b">
        <f ca="1">IF($E166="",FALSE,IF(OR($E166&lt;-0.25,$E166&gt;0.25),ErrorMsgs!$E166))</f>
        <v>0</v>
      </c>
      <c r="O166" s="712"/>
      <c r="P166" s="712"/>
      <c r="Q166" s="712"/>
      <c r="R166" s="712"/>
      <c r="S166" s="712"/>
      <c r="T166" s="712"/>
      <c r="U166" s="526" t="str">
        <f t="shared" ca="1" si="24"/>
        <v/>
      </c>
      <c r="V166" s="93" t="str" cm="1">
        <f t="array" aca="1" ref="V166" ca="1">CELL("format",INDIRECT(I166))</f>
        <v>P4</v>
      </c>
      <c r="W166" s="93" t="b">
        <f t="shared" ca="1" si="25"/>
        <v>0</v>
      </c>
      <c r="X166" s="715" t="str">
        <f t="shared" ca="1" si="23"/>
        <v/>
      </c>
      <c r="Y166" t="b">
        <f t="shared" ca="1" si="26"/>
        <v>1</v>
      </c>
    </row>
    <row r="167" spans="1:25" ht="63" customHeight="1">
      <c r="A167" s="705" t="s">
        <v>3173</v>
      </c>
      <c r="B167" s="716" t="str">
        <f t="shared" ca="1" si="27"/>
        <v>40-year assumptions - C40</v>
      </c>
      <c r="C167" s="707" t="str" cm="1">
        <f t="array" aca="1" ref="C167" ca="1">INDIRECT(LEFT(I167, FIND("!", I167)) &amp; RefData!$C$426 &amp; RIGHT(I167, LEN(I167) - FIND("!", I167) - 1))</f>
        <v>Year 34</v>
      </c>
      <c r="D167" s="92" t="str">
        <f t="shared" ca="1" si="22"/>
        <v/>
      </c>
      <c r="E167" s="708" t="str" cm="1">
        <f t="array" aca="1" ref="E167" ca="1">IF(INDIRECT($I167)= "", "", INDIRECT($I167))</f>
        <v/>
      </c>
      <c r="F167" s="709" t="str" cm="1">
        <f t="array" aca="1" ref="F167" ca="1">INDIRECT(LEFT(I167, FIND("!", I167)) &amp; RefData!$C$427 &amp; RIGHT(I167, LEN(I167) - FIND("!", I167) - 1))</f>
        <v>FYA 34.0</v>
      </c>
      <c r="G167" s="710" t="b">
        <f ca="1">IF(ISNUMBER(SEARCH(RefData!$B$2, $C167)), FALSE, TRUE)</f>
        <v>1</v>
      </c>
      <c r="H167" s="344">
        <f>'40-year assumptions'!C40</f>
        <v>0</v>
      </c>
      <c r="I167" s="712" t="str">
        <f t="shared" ca="1" si="28"/>
        <v>'40-year assumptions'!C40</v>
      </c>
      <c r="J167" s="713" t="b" cm="1">
        <f t="array" aca="1" ref="J167" ca="1">IF(COUNTIF($K167:$T167, "&lt;&gt;FALSE") - COUNTBLANK($K167:$T167) &gt; 0, INDEX($K167:$T167, MATCH(TRUE, $K167:$T167 &lt;&gt; FALSE, 0)))</f>
        <v>0</v>
      </c>
      <c r="K167" s="712" t="b">
        <f ca="1">IF(AND('Start here'!$C$24=RefData!$B$5,'Reconciliation report'!$E167=""),ErrorMsgs!$B167)</f>
        <v>0</v>
      </c>
      <c r="L167" s="712" t="b">
        <f ca="1">IF(AND('Start here'!$C$24=RefData!$B$4,'Discount rates'!$C$7=RefData!$B$8,'Reconciliation report'!$E167=""),ErrorMsgs!$C167)</f>
        <v>0</v>
      </c>
      <c r="M167" s="714" t="b">
        <f ca="1">IF(AND('Start here'!$C$24=RefData!$B$4,'Discount rates'!$C$7=RefData!$B$7,'Reconciliation report'!$E167&lt;&gt;""),ErrorMsgs!$D167)</f>
        <v>0</v>
      </c>
      <c r="N167" s="714" t="b">
        <f ca="1">IF($E167="",FALSE,IF(OR($E167&lt;-0.25,$E167&gt;0.25),ErrorMsgs!$E167))</f>
        <v>0</v>
      </c>
      <c r="O167" s="712"/>
      <c r="P167" s="712"/>
      <c r="Q167" s="712"/>
      <c r="R167" s="712"/>
      <c r="S167" s="712"/>
      <c r="T167" s="712"/>
      <c r="U167" s="526" t="str">
        <f t="shared" ca="1" si="24"/>
        <v/>
      </c>
      <c r="V167" s="93" t="str" cm="1">
        <f t="array" aca="1" ref="V167" ca="1">CELL("format",INDIRECT(I167))</f>
        <v>P4</v>
      </c>
      <c r="W167" s="93" t="b">
        <f t="shared" ca="1" si="25"/>
        <v>0</v>
      </c>
      <c r="X167" s="715" t="str">
        <f t="shared" ca="1" si="23"/>
        <v/>
      </c>
      <c r="Y167" t="b">
        <f t="shared" ca="1" si="26"/>
        <v>1</v>
      </c>
    </row>
    <row r="168" spans="1:25" ht="63" customHeight="1">
      <c r="A168" s="705" t="s">
        <v>3174</v>
      </c>
      <c r="B168" s="716" t="str">
        <f t="shared" ca="1" si="27"/>
        <v>40-year assumptions - C41</v>
      </c>
      <c r="C168" s="707" t="str" cm="1">
        <f t="array" aca="1" ref="C168" ca="1">INDIRECT(LEFT(I168, FIND("!", I168)) &amp; RefData!$C$426 &amp; RIGHT(I168, LEN(I168) - FIND("!", I168) - 1))</f>
        <v>Year 35</v>
      </c>
      <c r="D168" s="92" t="str">
        <f t="shared" ca="1" si="22"/>
        <v/>
      </c>
      <c r="E168" s="708" t="str" cm="1">
        <f t="array" aca="1" ref="E168" ca="1">IF(INDIRECT($I168)= "", "", INDIRECT($I168))</f>
        <v/>
      </c>
      <c r="F168" s="709" t="str" cm="1">
        <f t="array" aca="1" ref="F168" ca="1">INDIRECT(LEFT(I168, FIND("!", I168)) &amp; RefData!$C$427 &amp; RIGHT(I168, LEN(I168) - FIND("!", I168) - 1))</f>
        <v>FYA 35.0</v>
      </c>
      <c r="G168" s="710" t="b">
        <f ca="1">IF(ISNUMBER(SEARCH(RefData!$B$2, $C168)), FALSE, TRUE)</f>
        <v>1</v>
      </c>
      <c r="H168" s="344">
        <f>'40-year assumptions'!C41</f>
        <v>0</v>
      </c>
      <c r="I168" s="712" t="str">
        <f t="shared" ca="1" si="28"/>
        <v>'40-year assumptions'!C41</v>
      </c>
      <c r="J168" s="713" t="b" cm="1">
        <f t="array" aca="1" ref="J168" ca="1">IF(COUNTIF($K168:$T168, "&lt;&gt;FALSE") - COUNTBLANK($K168:$T168) &gt; 0, INDEX($K168:$T168, MATCH(TRUE, $K168:$T168 &lt;&gt; FALSE, 0)))</f>
        <v>0</v>
      </c>
      <c r="K168" s="712" t="b">
        <f ca="1">IF(AND('Start here'!$C$24=RefData!$B$5,'Reconciliation report'!$E168=""),ErrorMsgs!$B168)</f>
        <v>0</v>
      </c>
      <c r="L168" s="712" t="b">
        <f ca="1">IF(AND('Start here'!$C$24=RefData!$B$4,'Discount rates'!$C$7=RefData!$B$8,'Reconciliation report'!$E168=""),ErrorMsgs!$C168)</f>
        <v>0</v>
      </c>
      <c r="M168" s="714" t="b">
        <f ca="1">IF(AND('Start here'!$C$24=RefData!$B$4,'Discount rates'!$C$7=RefData!$B$7,'Reconciliation report'!$E168&lt;&gt;""),ErrorMsgs!$D168)</f>
        <v>0</v>
      </c>
      <c r="N168" s="714" t="b">
        <f ca="1">IF($E168="",FALSE,IF(OR($E168&lt;-0.25,$E168&gt;0.25),ErrorMsgs!$E168))</f>
        <v>0</v>
      </c>
      <c r="O168" s="712"/>
      <c r="P168" s="712"/>
      <c r="Q168" s="712"/>
      <c r="R168" s="712"/>
      <c r="S168" s="712"/>
      <c r="T168" s="712"/>
      <c r="U168" s="526" t="str">
        <f t="shared" ca="1" si="24"/>
        <v/>
      </c>
      <c r="V168" s="93" t="str" cm="1">
        <f t="array" aca="1" ref="V168" ca="1">CELL("format",INDIRECT(I168))</f>
        <v>P4</v>
      </c>
      <c r="W168" s="93" t="b">
        <f t="shared" ca="1" si="25"/>
        <v>0</v>
      </c>
      <c r="X168" s="715" t="str">
        <f t="shared" ca="1" si="23"/>
        <v/>
      </c>
      <c r="Y168" t="b">
        <f t="shared" ca="1" si="26"/>
        <v>1</v>
      </c>
    </row>
    <row r="169" spans="1:25" ht="63" customHeight="1">
      <c r="A169" s="705" t="s">
        <v>3175</v>
      </c>
      <c r="B169" s="716" t="str">
        <f t="shared" ca="1" si="27"/>
        <v>40-year assumptions - C42</v>
      </c>
      <c r="C169" s="707" t="str" cm="1">
        <f t="array" aca="1" ref="C169" ca="1">INDIRECT(LEFT(I169, FIND("!", I169)) &amp; RefData!$C$426 &amp; RIGHT(I169, LEN(I169) - FIND("!", I169) - 1))</f>
        <v>Year 36</v>
      </c>
      <c r="D169" s="92" t="str">
        <f t="shared" ca="1" si="22"/>
        <v/>
      </c>
      <c r="E169" s="708" t="str" cm="1">
        <f t="array" aca="1" ref="E169" ca="1">IF(INDIRECT($I169)= "", "", INDIRECT($I169))</f>
        <v/>
      </c>
      <c r="F169" s="709" t="str" cm="1">
        <f t="array" aca="1" ref="F169" ca="1">INDIRECT(LEFT(I169, FIND("!", I169)) &amp; RefData!$C$427 &amp; RIGHT(I169, LEN(I169) - FIND("!", I169) - 1))</f>
        <v>FYA 36.0</v>
      </c>
      <c r="G169" s="710" t="b">
        <f ca="1">IF(ISNUMBER(SEARCH(RefData!$B$2, $C169)), FALSE, TRUE)</f>
        <v>1</v>
      </c>
      <c r="H169" s="344">
        <f>'40-year assumptions'!C42</f>
        <v>0</v>
      </c>
      <c r="I169" s="712" t="str">
        <f t="shared" ca="1" si="28"/>
        <v>'40-year assumptions'!C42</v>
      </c>
      <c r="J169" s="713" t="b" cm="1">
        <f t="array" aca="1" ref="J169" ca="1">IF(COUNTIF($K169:$T169, "&lt;&gt;FALSE") - COUNTBLANK($K169:$T169) &gt; 0, INDEX($K169:$T169, MATCH(TRUE, $K169:$T169 &lt;&gt; FALSE, 0)))</f>
        <v>0</v>
      </c>
      <c r="K169" s="712" t="b">
        <f ca="1">IF(AND('Start here'!$C$24=RefData!$B$5,'Reconciliation report'!$E169=""),ErrorMsgs!$B169)</f>
        <v>0</v>
      </c>
      <c r="L169" s="712" t="b">
        <f ca="1">IF(AND('Start here'!$C$24=RefData!$B$4,'Discount rates'!$C$7=RefData!$B$8,'Reconciliation report'!$E169=""),ErrorMsgs!$C169)</f>
        <v>0</v>
      </c>
      <c r="M169" s="714" t="b">
        <f ca="1">IF(AND('Start here'!$C$24=RefData!$B$4,'Discount rates'!$C$7=RefData!$B$7,'Reconciliation report'!$E169&lt;&gt;""),ErrorMsgs!$D169)</f>
        <v>0</v>
      </c>
      <c r="N169" s="714" t="b">
        <f ca="1">IF($E169="",FALSE,IF(OR($E169&lt;-0.25,$E169&gt;0.25),ErrorMsgs!$E169))</f>
        <v>0</v>
      </c>
      <c r="O169" s="712"/>
      <c r="P169" s="712"/>
      <c r="Q169" s="712"/>
      <c r="R169" s="712"/>
      <c r="S169" s="712"/>
      <c r="T169" s="712"/>
      <c r="U169" s="526" t="str">
        <f t="shared" ca="1" si="24"/>
        <v/>
      </c>
      <c r="V169" s="93" t="str" cm="1">
        <f t="array" aca="1" ref="V169" ca="1">CELL("format",INDIRECT(I169))</f>
        <v>P4</v>
      </c>
      <c r="W169" s="93" t="b">
        <f t="shared" ca="1" si="25"/>
        <v>0</v>
      </c>
      <c r="X169" s="715" t="str">
        <f t="shared" ca="1" si="23"/>
        <v/>
      </c>
      <c r="Y169" t="b">
        <f t="shared" ca="1" si="26"/>
        <v>1</v>
      </c>
    </row>
    <row r="170" spans="1:25" ht="63" customHeight="1">
      <c r="A170" s="705" t="s">
        <v>3176</v>
      </c>
      <c r="B170" s="716" t="str">
        <f t="shared" ca="1" si="27"/>
        <v>40-year assumptions - C43</v>
      </c>
      <c r="C170" s="707" t="str" cm="1">
        <f t="array" aca="1" ref="C170" ca="1">INDIRECT(LEFT(I170, FIND("!", I170)) &amp; RefData!$C$426 &amp; RIGHT(I170, LEN(I170) - FIND("!", I170) - 1))</f>
        <v>Year 37</v>
      </c>
      <c r="D170" s="92" t="str">
        <f t="shared" ca="1" si="22"/>
        <v/>
      </c>
      <c r="E170" s="708" t="str" cm="1">
        <f t="array" aca="1" ref="E170" ca="1">IF(INDIRECT($I170)= "", "", INDIRECT($I170))</f>
        <v/>
      </c>
      <c r="F170" s="709" t="str" cm="1">
        <f t="array" aca="1" ref="F170" ca="1">INDIRECT(LEFT(I170, FIND("!", I170)) &amp; RefData!$C$427 &amp; RIGHT(I170, LEN(I170) - FIND("!", I170) - 1))</f>
        <v>FYA 37.0</v>
      </c>
      <c r="G170" s="710" t="b">
        <f ca="1">IF(ISNUMBER(SEARCH(RefData!$B$2, $C170)), FALSE, TRUE)</f>
        <v>1</v>
      </c>
      <c r="H170" s="344">
        <f>'40-year assumptions'!C43</f>
        <v>0</v>
      </c>
      <c r="I170" s="712" t="str">
        <f t="shared" ca="1" si="28"/>
        <v>'40-year assumptions'!C43</v>
      </c>
      <c r="J170" s="713" t="b" cm="1">
        <f t="array" aca="1" ref="J170" ca="1">IF(COUNTIF($K170:$T170, "&lt;&gt;FALSE") - COUNTBLANK($K170:$T170) &gt; 0, INDEX($K170:$T170, MATCH(TRUE, $K170:$T170 &lt;&gt; FALSE, 0)))</f>
        <v>0</v>
      </c>
      <c r="K170" s="712" t="b">
        <f ca="1">IF(AND('Start here'!$C$24=RefData!$B$5,'Reconciliation report'!$E170=""),ErrorMsgs!$B170)</f>
        <v>0</v>
      </c>
      <c r="L170" s="712" t="b">
        <f ca="1">IF(AND('Start here'!$C$24=RefData!$B$4,'Discount rates'!$C$7=RefData!$B$8,'Reconciliation report'!$E170=""),ErrorMsgs!$C170)</f>
        <v>0</v>
      </c>
      <c r="M170" s="714" t="b">
        <f ca="1">IF(AND('Start here'!$C$24=RefData!$B$4,'Discount rates'!$C$7=RefData!$B$7,'Reconciliation report'!$E170&lt;&gt;""),ErrorMsgs!$D170)</f>
        <v>0</v>
      </c>
      <c r="N170" s="714" t="b">
        <f ca="1">IF($E170="",FALSE,IF(OR($E170&lt;-0.25,$E170&gt;0.25),ErrorMsgs!$E170))</f>
        <v>0</v>
      </c>
      <c r="O170" s="712"/>
      <c r="P170" s="712"/>
      <c r="Q170" s="712"/>
      <c r="R170" s="712"/>
      <c r="S170" s="712"/>
      <c r="T170" s="712"/>
      <c r="U170" s="526" t="str">
        <f t="shared" ca="1" si="24"/>
        <v/>
      </c>
      <c r="V170" s="93" t="str" cm="1">
        <f t="array" aca="1" ref="V170" ca="1">CELL("format",INDIRECT(I170))</f>
        <v>P4</v>
      </c>
      <c r="W170" s="93" t="b">
        <f t="shared" ca="1" si="25"/>
        <v>0</v>
      </c>
      <c r="X170" s="715" t="str">
        <f t="shared" ca="1" si="23"/>
        <v/>
      </c>
      <c r="Y170" t="b">
        <f t="shared" ca="1" si="26"/>
        <v>1</v>
      </c>
    </row>
    <row r="171" spans="1:25" ht="63" customHeight="1">
      <c r="A171" s="705" t="s">
        <v>3177</v>
      </c>
      <c r="B171" s="716" t="str">
        <f t="shared" ca="1" si="27"/>
        <v>40-year assumptions - C44</v>
      </c>
      <c r="C171" s="707" t="str" cm="1">
        <f t="array" aca="1" ref="C171" ca="1">INDIRECT(LEFT(I171, FIND("!", I171)) &amp; RefData!$C$426 &amp; RIGHT(I171, LEN(I171) - FIND("!", I171) - 1))</f>
        <v>Year 38</v>
      </c>
      <c r="D171" s="92" t="str">
        <f t="shared" ca="1" si="22"/>
        <v/>
      </c>
      <c r="E171" s="708" t="str" cm="1">
        <f t="array" aca="1" ref="E171" ca="1">IF(INDIRECT($I171)= "", "", INDIRECT($I171))</f>
        <v/>
      </c>
      <c r="F171" s="709" t="str" cm="1">
        <f t="array" aca="1" ref="F171" ca="1">INDIRECT(LEFT(I171, FIND("!", I171)) &amp; RefData!$C$427 &amp; RIGHT(I171, LEN(I171) - FIND("!", I171) - 1))</f>
        <v>FYA 38.0</v>
      </c>
      <c r="G171" s="710" t="b">
        <f ca="1">IF(ISNUMBER(SEARCH(RefData!$B$2, $C171)), FALSE, TRUE)</f>
        <v>1</v>
      </c>
      <c r="H171" s="344">
        <f>'40-year assumptions'!C44</f>
        <v>0</v>
      </c>
      <c r="I171" s="712" t="str">
        <f t="shared" ca="1" si="28"/>
        <v>'40-year assumptions'!C44</v>
      </c>
      <c r="J171" s="713" t="b" cm="1">
        <f t="array" aca="1" ref="J171" ca="1">IF(COUNTIF($K171:$T171, "&lt;&gt;FALSE") - COUNTBLANK($K171:$T171) &gt; 0, INDEX($K171:$T171, MATCH(TRUE, $K171:$T171 &lt;&gt; FALSE, 0)))</f>
        <v>0</v>
      </c>
      <c r="K171" s="712" t="b">
        <f ca="1">IF(AND('Start here'!$C$24=RefData!$B$5,'Reconciliation report'!$E171=""),ErrorMsgs!$B171)</f>
        <v>0</v>
      </c>
      <c r="L171" s="712" t="b">
        <f ca="1">IF(AND('Start here'!$C$24=RefData!$B$4,'Discount rates'!$C$7=RefData!$B$8,'Reconciliation report'!$E171=""),ErrorMsgs!$C171)</f>
        <v>0</v>
      </c>
      <c r="M171" s="714" t="b">
        <f ca="1">IF(AND('Start here'!$C$24=RefData!$B$4,'Discount rates'!$C$7=RefData!$B$7,'Reconciliation report'!$E171&lt;&gt;""),ErrorMsgs!$D171)</f>
        <v>0</v>
      </c>
      <c r="N171" s="714" t="b">
        <f ca="1">IF($E171="",FALSE,IF(OR($E171&lt;-0.25,$E171&gt;0.25),ErrorMsgs!$E171))</f>
        <v>0</v>
      </c>
      <c r="O171" s="712"/>
      <c r="P171" s="712"/>
      <c r="Q171" s="712"/>
      <c r="R171" s="712"/>
      <c r="S171" s="712"/>
      <c r="T171" s="712"/>
      <c r="U171" s="526" t="str">
        <f t="shared" ca="1" si="24"/>
        <v/>
      </c>
      <c r="V171" s="93" t="str" cm="1">
        <f t="array" aca="1" ref="V171" ca="1">CELL("format",INDIRECT(I171))</f>
        <v>P4</v>
      </c>
      <c r="W171" s="93" t="b">
        <f t="shared" ca="1" si="25"/>
        <v>0</v>
      </c>
      <c r="X171" s="715" t="str">
        <f t="shared" ca="1" si="23"/>
        <v/>
      </c>
      <c r="Y171" t="b">
        <f t="shared" ca="1" si="26"/>
        <v>1</v>
      </c>
    </row>
    <row r="172" spans="1:25" ht="63" customHeight="1">
      <c r="A172" s="705" t="s">
        <v>3178</v>
      </c>
      <c r="B172" s="716" t="str">
        <f t="shared" ca="1" si="27"/>
        <v>40-year assumptions - C45</v>
      </c>
      <c r="C172" s="707" t="str" cm="1">
        <f t="array" aca="1" ref="C172" ca="1">INDIRECT(LEFT(I172, FIND("!", I172)) &amp; RefData!$C$426 &amp; RIGHT(I172, LEN(I172) - FIND("!", I172) - 1))</f>
        <v>Year 39</v>
      </c>
      <c r="D172" s="92" t="str">
        <f t="shared" ca="1" si="22"/>
        <v/>
      </c>
      <c r="E172" s="708" t="str" cm="1">
        <f t="array" aca="1" ref="E172" ca="1">IF(INDIRECT($I172)= "", "", INDIRECT($I172))</f>
        <v/>
      </c>
      <c r="F172" s="709" t="str" cm="1">
        <f t="array" aca="1" ref="F172" ca="1">INDIRECT(LEFT(I172, FIND("!", I172)) &amp; RefData!$C$427 &amp; RIGHT(I172, LEN(I172) - FIND("!", I172) - 1))</f>
        <v>FYA 39.0</v>
      </c>
      <c r="G172" s="710" t="b">
        <f ca="1">IF(ISNUMBER(SEARCH(RefData!$B$2, $C172)), FALSE, TRUE)</f>
        <v>1</v>
      </c>
      <c r="H172" s="344">
        <f>'40-year assumptions'!C45</f>
        <v>0</v>
      </c>
      <c r="I172" s="712" t="str">
        <f t="shared" ca="1" si="28"/>
        <v>'40-year assumptions'!C45</v>
      </c>
      <c r="J172" s="713" t="b" cm="1">
        <f t="array" aca="1" ref="J172" ca="1">IF(COUNTIF($K172:$T172, "&lt;&gt;FALSE") - COUNTBLANK($K172:$T172) &gt; 0, INDEX($K172:$T172, MATCH(TRUE, $K172:$T172 &lt;&gt; FALSE, 0)))</f>
        <v>0</v>
      </c>
      <c r="K172" s="712" t="b">
        <f ca="1">IF(AND('Start here'!$C$24=RefData!$B$5,'Reconciliation report'!$E172=""),ErrorMsgs!$B172)</f>
        <v>0</v>
      </c>
      <c r="L172" s="712" t="b">
        <f ca="1">IF(AND('Start here'!$C$24=RefData!$B$4,'Discount rates'!$C$7=RefData!$B$8,'Reconciliation report'!$E172=""),ErrorMsgs!$C172)</f>
        <v>0</v>
      </c>
      <c r="M172" s="714" t="b">
        <f ca="1">IF(AND('Start here'!$C$24=RefData!$B$4,'Discount rates'!$C$7=RefData!$B$7,'Reconciliation report'!$E172&lt;&gt;""),ErrorMsgs!$D172)</f>
        <v>0</v>
      </c>
      <c r="N172" s="714" t="b">
        <f ca="1">IF($E172="",FALSE,IF(OR($E172&lt;-0.25,$E172&gt;0.25),ErrorMsgs!$E172))</f>
        <v>0</v>
      </c>
      <c r="O172" s="712"/>
      <c r="P172" s="712"/>
      <c r="Q172" s="712"/>
      <c r="R172" s="712"/>
      <c r="S172" s="712"/>
      <c r="T172" s="712"/>
      <c r="U172" s="526" t="str">
        <f t="shared" ca="1" si="24"/>
        <v/>
      </c>
      <c r="V172" s="93" t="str" cm="1">
        <f t="array" aca="1" ref="V172" ca="1">CELL("format",INDIRECT(I172))</f>
        <v>P4</v>
      </c>
      <c r="W172" s="93" t="b">
        <f t="shared" ca="1" si="25"/>
        <v>0</v>
      </c>
      <c r="X172" s="715" t="str">
        <f t="shared" ca="1" si="23"/>
        <v/>
      </c>
      <c r="Y172" t="b">
        <f t="shared" ca="1" si="26"/>
        <v>1</v>
      </c>
    </row>
    <row r="173" spans="1:25" ht="63" customHeight="1">
      <c r="A173" s="705" t="s">
        <v>3179</v>
      </c>
      <c r="B173" s="716" t="str">
        <f t="shared" ca="1" si="27"/>
        <v>40-year assumptions - C46</v>
      </c>
      <c r="C173" s="707" t="str" cm="1">
        <f t="array" aca="1" ref="C173" ca="1">INDIRECT(LEFT(I173, FIND("!", I173)) &amp; RefData!$C$426 &amp; RIGHT(I173, LEN(I173) - FIND("!", I173) - 1))</f>
        <v>Year 40</v>
      </c>
      <c r="D173" s="92" t="str">
        <f t="shared" ca="1" si="22"/>
        <v/>
      </c>
      <c r="E173" s="708" t="str" cm="1">
        <f t="array" aca="1" ref="E173" ca="1">IF(INDIRECT($I173)= "", "", INDIRECT($I173))</f>
        <v/>
      </c>
      <c r="F173" s="709" t="str" cm="1">
        <f t="array" aca="1" ref="F173" ca="1">INDIRECT(LEFT(I173, FIND("!", I173)) &amp; RefData!$C$427 &amp; RIGHT(I173, LEN(I173) - FIND("!", I173) - 1))</f>
        <v>FYA 40.0</v>
      </c>
      <c r="G173" s="710" t="b">
        <f ca="1">IF(ISNUMBER(SEARCH(RefData!$B$2, $C173)), FALSE, TRUE)</f>
        <v>1</v>
      </c>
      <c r="H173" s="344">
        <f>'40-year assumptions'!C46</f>
        <v>0</v>
      </c>
      <c r="I173" s="712" t="str">
        <f t="shared" ca="1" si="28"/>
        <v>'40-year assumptions'!C46</v>
      </c>
      <c r="J173" s="713" t="b" cm="1">
        <f t="array" aca="1" ref="J173" ca="1">IF(COUNTIF($K173:$T173, "&lt;&gt;FALSE") - COUNTBLANK($K173:$T173) &gt; 0, INDEX($K173:$T173, MATCH(TRUE, $K173:$T173 &lt;&gt; FALSE, 0)))</f>
        <v>0</v>
      </c>
      <c r="K173" s="712" t="b">
        <f ca="1">IF(AND('Start here'!$C$24=RefData!$B$5,'Reconciliation report'!$E173=""),ErrorMsgs!$B173)</f>
        <v>0</v>
      </c>
      <c r="L173" s="712" t="b">
        <f ca="1">IF(AND('Start here'!$C$24=RefData!$B$4,'Discount rates'!$C$7=RefData!$B$8,'Reconciliation report'!$E173=""),ErrorMsgs!$C173)</f>
        <v>0</v>
      </c>
      <c r="M173" s="714" t="b">
        <f ca="1">IF(AND('Start here'!$C$24=RefData!$B$4,'Discount rates'!$C$7=RefData!$B$7,'Reconciliation report'!$E173&lt;&gt;""),ErrorMsgs!$D173)</f>
        <v>0</v>
      </c>
      <c r="N173" s="714" t="b">
        <f ca="1">IF($E173="",FALSE,IF(OR($E173&lt;-0.25,$E173&gt;0.25),ErrorMsgs!$E173))</f>
        <v>0</v>
      </c>
      <c r="O173" s="712"/>
      <c r="P173" s="712"/>
      <c r="Q173" s="712"/>
      <c r="R173" s="712"/>
      <c r="S173" s="712"/>
      <c r="T173" s="712"/>
      <c r="U173" s="526" t="str">
        <f t="shared" ca="1" si="24"/>
        <v/>
      </c>
      <c r="V173" s="93" t="str" cm="1">
        <f t="array" aca="1" ref="V173" ca="1">CELL("format",INDIRECT(I173))</f>
        <v>P4</v>
      </c>
      <c r="W173" s="93" t="b">
        <f t="shared" ca="1" si="25"/>
        <v>0</v>
      </c>
      <c r="X173" s="715" t="str">
        <f t="shared" ca="1" si="23"/>
        <v/>
      </c>
      <c r="Y173" t="b">
        <f t="shared" ca="1" si="26"/>
        <v>1</v>
      </c>
    </row>
    <row r="174" spans="1:25" ht="63" customHeight="1">
      <c r="A174" s="705" t="s">
        <v>3180</v>
      </c>
      <c r="B174" s="716" t="str">
        <f t="shared" ca="1" si="27"/>
        <v>40-year assumptions - D7</v>
      </c>
      <c r="C174" s="707" t="str" cm="1">
        <f t="array" aca="1" ref="C174" ca="1">INDIRECT(LEFT(I174, FIND("!", I174)) &amp; RefData!$C$426 &amp; RIGHT(I174, LEN(I174) - FIND("!", I174) - 1))</f>
        <v>Year 1</v>
      </c>
      <c r="D174" s="92" t="str">
        <f t="shared" ca="1" si="22"/>
        <v/>
      </c>
      <c r="E174" s="708" t="str" cm="1">
        <f t="array" aca="1" ref="E174" ca="1">IF(INDIRECT($I174)= "", "", INDIRECT($I174))</f>
        <v/>
      </c>
      <c r="F174" s="709" t="str" cm="1">
        <f t="array" aca="1" ref="F174" ca="1">INDIRECT(LEFT(I174, FIND("!", I174)) &amp; RefData!$C$427 &amp; RIGHT(I174, LEN(I174) - FIND("!", I174) - 1))</f>
        <v>FYA 1.0</v>
      </c>
      <c r="G174" s="710" t="b">
        <f ca="1">IF(ISNUMBER(SEARCH(RefData!$B$2, $C174)), FALSE, TRUE)</f>
        <v>1</v>
      </c>
      <c r="H174" s="344">
        <f>'40-year assumptions'!D7</f>
        <v>0</v>
      </c>
      <c r="I174" s="712" t="str">
        <f t="shared" ca="1" si="28"/>
        <v>'40-year assumptions'!D7</v>
      </c>
      <c r="J174" s="713" t="b" cm="1">
        <f t="array" aca="1" ref="J174" ca="1">IF(COUNTIF($K174:$T174, "&lt;&gt;FALSE") - COUNTBLANK($K174:$T174) &gt; 0, INDEX($K174:$T174, MATCH(TRUE, $K174:$T174 &lt;&gt; FALSE, 0)))</f>
        <v>0</v>
      </c>
      <c r="K174" s="712" t="b">
        <f ca="1">IF(AND('Start here'!$C$24=RefData!$B$5,'Discount rates'!$C$8&lt;&gt;RefData!$B$35,'Reconciliation report'!$E174=""),ErrorMsgs!$B174)</f>
        <v>0</v>
      </c>
      <c r="L174" s="712" t="b">
        <f ca="1">IF(AND('Start here'!$C$24=RefData!$B$5,'Discount rates'!$C$8=RefData!$B$35,'Reconciliation report'!$E174&lt;&gt;""),ErrorMsgs!$C174)</f>
        <v>0</v>
      </c>
      <c r="M174" s="714" t="b">
        <f ca="1">IF(AND('Start here'!$C$24=RefData!$B$4,'Discount rates'!$C$7=RefData!$B$8,'Discount rates'!$C$8&lt;&gt;RefData!$B$35,'Reconciliation report'!$E174=""),ErrorMsgs!$D174)</f>
        <v>0</v>
      </c>
      <c r="N174" s="714" t="b">
        <f ca="1">IF(AND('Start here'!$C$24=RefData!$B$4,'Discount rates'!$C$7=RefData!$B$8,'Discount rates'!$C$8=RefData!$B$35,'Reconciliation report'!$E174&lt;&gt;""),ErrorMsgs!$E174)</f>
        <v>0</v>
      </c>
      <c r="O174" s="712" t="b">
        <f ca="1">IF(AND('Start here'!$C$24=RefData!$B$4,'Discount rates'!$C$7=RefData!$B$7,'Reconciliation report'!$E174&lt;&gt;""),ErrorMsgs!$F174)</f>
        <v>0</v>
      </c>
      <c r="P174" s="712" t="b">
        <f ca="1">IF($E174&lt;-0.1,ErrorMsgs!$G174)</f>
        <v>0</v>
      </c>
      <c r="Q174" s="712" t="b">
        <f ca="1">IF($E174="",FALSE,IF($E174&gt;0.1,ErrorMsgs!$H174))</f>
        <v>0</v>
      </c>
      <c r="R174" s="712"/>
      <c r="S174" s="712"/>
      <c r="T174" s="712"/>
      <c r="U174" s="526" t="str">
        <f t="shared" ca="1" si="24"/>
        <v/>
      </c>
      <c r="V174" s="93" t="str" cm="1">
        <f t="array" aca="1" ref="V174" ca="1">CELL("format",INDIRECT(I174))</f>
        <v>P4</v>
      </c>
      <c r="W174" s="93" t="b">
        <f t="shared" ca="1" si="25"/>
        <v>0</v>
      </c>
      <c r="X174" s="715" t="str">
        <f t="shared" ca="1" si="23"/>
        <v/>
      </c>
      <c r="Y174" t="b">
        <f t="shared" ca="1" si="26"/>
        <v>1</v>
      </c>
    </row>
    <row r="175" spans="1:25" ht="63" customHeight="1">
      <c r="A175" s="705" t="s">
        <v>3181</v>
      </c>
      <c r="B175" s="716" t="str">
        <f t="shared" ca="1" si="27"/>
        <v>40-year assumptions - D8</v>
      </c>
      <c r="C175" s="707" t="str" cm="1">
        <f t="array" aca="1" ref="C175" ca="1">INDIRECT(LEFT(I175, FIND("!", I175)) &amp; RefData!$C$426 &amp; RIGHT(I175, LEN(I175) - FIND("!", I175) - 1))</f>
        <v>Year 2</v>
      </c>
      <c r="D175" s="92" t="str">
        <f t="shared" ca="1" si="22"/>
        <v/>
      </c>
      <c r="E175" s="708" t="str" cm="1">
        <f t="array" aca="1" ref="E175" ca="1">IF(INDIRECT($I175)= "", "", INDIRECT($I175))</f>
        <v/>
      </c>
      <c r="F175" s="709" t="str" cm="1">
        <f t="array" aca="1" ref="F175" ca="1">INDIRECT(LEFT(I175, FIND("!", I175)) &amp; RefData!$C$427 &amp; RIGHT(I175, LEN(I175) - FIND("!", I175) - 1))</f>
        <v>FYA 2.0</v>
      </c>
      <c r="G175" s="710" t="b">
        <f ca="1">IF(ISNUMBER(SEARCH(RefData!$B$2, $C175)), FALSE, TRUE)</f>
        <v>1</v>
      </c>
      <c r="H175" s="344">
        <f>'40-year assumptions'!D8</f>
        <v>0</v>
      </c>
      <c r="I175" s="712" t="str">
        <f t="shared" ca="1" si="28"/>
        <v>'40-year assumptions'!D8</v>
      </c>
      <c r="J175" s="713" t="b" cm="1">
        <f t="array" aca="1" ref="J175" ca="1">IF(COUNTIF($K175:$T175, "&lt;&gt;FALSE") - COUNTBLANK($K175:$T175) &gt; 0, INDEX($K175:$T175, MATCH(TRUE, $K175:$T175 &lt;&gt; FALSE, 0)))</f>
        <v>0</v>
      </c>
      <c r="K175" s="712" t="b">
        <f ca="1">IF(AND('Start here'!$C$24=RefData!$B$5,'Discount rates'!$C$8&lt;&gt;RefData!$B$35,'Reconciliation report'!$E175=""),ErrorMsgs!$B175)</f>
        <v>0</v>
      </c>
      <c r="L175" s="712" t="b">
        <f ca="1">IF(AND('Start here'!$C$24=RefData!$B$5,'Discount rates'!$C$8=RefData!$B$35,'Reconciliation report'!$E175&lt;&gt;""),ErrorMsgs!$C175)</f>
        <v>0</v>
      </c>
      <c r="M175" s="714" t="b">
        <f ca="1">IF(AND('Start here'!$C$24=RefData!$B$4,'Discount rates'!$C$7=RefData!$B$8,'Discount rates'!$C$8&lt;&gt;RefData!$B$35,'Reconciliation report'!$E175=""),ErrorMsgs!$D175)</f>
        <v>0</v>
      </c>
      <c r="N175" s="714" t="b">
        <f ca="1">IF(AND('Start here'!$C$24=RefData!$B$4,'Discount rates'!$C$7=RefData!$B$8,'Discount rates'!$C$8=RefData!$B$35,'Reconciliation report'!$E175&lt;&gt;""),ErrorMsgs!$E175)</f>
        <v>0</v>
      </c>
      <c r="O175" s="712" t="b">
        <f ca="1">IF(AND('Start here'!$C$24=RefData!$B$4,'Discount rates'!$C$7=RefData!$B$7,'Reconciliation report'!$E175&lt;&gt;""),ErrorMsgs!$F175)</f>
        <v>0</v>
      </c>
      <c r="P175" s="712" t="b">
        <f ca="1">IF($E175&lt;-0.1,ErrorMsgs!$G175)</f>
        <v>0</v>
      </c>
      <c r="Q175" s="712" t="b">
        <f ca="1">IF($E175="",FALSE,IF($E175&gt;0.1,ErrorMsgs!$H175))</f>
        <v>0</v>
      </c>
      <c r="R175" s="712"/>
      <c r="S175" s="712"/>
      <c r="T175" s="712"/>
      <c r="U175" s="526" t="str">
        <f t="shared" ca="1" si="24"/>
        <v/>
      </c>
      <c r="V175" s="93" t="str" cm="1">
        <f t="array" aca="1" ref="V175" ca="1">CELL("format",INDIRECT(I175))</f>
        <v>P4</v>
      </c>
      <c r="W175" s="93" t="b">
        <f t="shared" ca="1" si="25"/>
        <v>0</v>
      </c>
      <c r="X175" s="715" t="str">
        <f t="shared" ca="1" si="23"/>
        <v/>
      </c>
      <c r="Y175" t="b">
        <f t="shared" ca="1" si="26"/>
        <v>1</v>
      </c>
    </row>
    <row r="176" spans="1:25" ht="63" customHeight="1">
      <c r="A176" s="705" t="s">
        <v>3182</v>
      </c>
      <c r="B176" s="716" t="str">
        <f t="shared" ca="1" si="27"/>
        <v>40-year assumptions - D9</v>
      </c>
      <c r="C176" s="707" t="str" cm="1">
        <f t="array" aca="1" ref="C176" ca="1">INDIRECT(LEFT(I176, FIND("!", I176)) &amp; RefData!$C$426 &amp; RIGHT(I176, LEN(I176) - FIND("!", I176) - 1))</f>
        <v>Year 3</v>
      </c>
      <c r="D176" s="92" t="str">
        <f t="shared" ca="1" si="22"/>
        <v/>
      </c>
      <c r="E176" s="708" t="str" cm="1">
        <f t="array" aca="1" ref="E176" ca="1">IF(INDIRECT($I176)= "", "", INDIRECT($I176))</f>
        <v/>
      </c>
      <c r="F176" s="709" t="str" cm="1">
        <f t="array" aca="1" ref="F176" ca="1">INDIRECT(LEFT(I176, FIND("!", I176)) &amp; RefData!$C$427 &amp; RIGHT(I176, LEN(I176) - FIND("!", I176) - 1))</f>
        <v>FYA 3.0</v>
      </c>
      <c r="G176" s="710" t="b">
        <f ca="1">IF(ISNUMBER(SEARCH(RefData!$B$2, $C176)), FALSE, TRUE)</f>
        <v>1</v>
      </c>
      <c r="H176" s="344">
        <f>'40-year assumptions'!D9</f>
        <v>0</v>
      </c>
      <c r="I176" s="712" t="str">
        <f t="shared" ca="1" si="28"/>
        <v>'40-year assumptions'!D9</v>
      </c>
      <c r="J176" s="713" t="b" cm="1">
        <f t="array" aca="1" ref="J176" ca="1">IF(COUNTIF($K176:$T176, "&lt;&gt;FALSE") - COUNTBLANK($K176:$T176) &gt; 0, INDEX($K176:$T176, MATCH(TRUE, $K176:$T176 &lt;&gt; FALSE, 0)))</f>
        <v>0</v>
      </c>
      <c r="K176" s="712" t="b">
        <f ca="1">IF(AND('Start here'!$C$24=RefData!$B$5,'Discount rates'!$C$8&lt;&gt;RefData!$B$35,'Reconciliation report'!$E176=""),ErrorMsgs!$B176)</f>
        <v>0</v>
      </c>
      <c r="L176" s="712" t="b">
        <f ca="1">IF(AND('Start here'!$C$24=RefData!$B$5,'Discount rates'!$C$8=RefData!$B$35,'Reconciliation report'!$E176&lt;&gt;""),ErrorMsgs!$C176)</f>
        <v>0</v>
      </c>
      <c r="M176" s="714" t="b">
        <f ca="1">IF(AND('Start here'!$C$24=RefData!$B$4,'Discount rates'!$C$7=RefData!$B$8,'Discount rates'!$C$8&lt;&gt;RefData!$B$35,'Reconciliation report'!$E176=""),ErrorMsgs!$D176)</f>
        <v>0</v>
      </c>
      <c r="N176" s="714" t="b">
        <f ca="1">IF(AND('Start here'!$C$24=RefData!$B$4,'Discount rates'!$C$7=RefData!$B$8,'Discount rates'!$C$8=RefData!$B$35,'Reconciliation report'!$E176&lt;&gt;""),ErrorMsgs!$E176)</f>
        <v>0</v>
      </c>
      <c r="O176" s="712" t="b">
        <f ca="1">IF(AND('Start here'!$C$24=RefData!$B$4,'Discount rates'!$C$7=RefData!$B$7,'Reconciliation report'!$E176&lt;&gt;""),ErrorMsgs!$F176)</f>
        <v>0</v>
      </c>
      <c r="P176" s="712" t="b">
        <f ca="1">IF($E176&lt;-0.1,ErrorMsgs!$G176)</f>
        <v>0</v>
      </c>
      <c r="Q176" s="712" t="b">
        <f ca="1">IF($E176="",FALSE,IF($E176&gt;0.1,ErrorMsgs!$H176))</f>
        <v>0</v>
      </c>
      <c r="R176" s="712"/>
      <c r="S176" s="712"/>
      <c r="T176" s="712"/>
      <c r="U176" s="526" t="str">
        <f t="shared" ca="1" si="24"/>
        <v/>
      </c>
      <c r="V176" s="93" t="str" cm="1">
        <f t="array" aca="1" ref="V176" ca="1">CELL("format",INDIRECT(I176))</f>
        <v>P4</v>
      </c>
      <c r="W176" s="93" t="b">
        <f t="shared" ca="1" si="25"/>
        <v>0</v>
      </c>
      <c r="X176" s="715" t="str">
        <f t="shared" ca="1" si="23"/>
        <v/>
      </c>
      <c r="Y176" t="b">
        <f t="shared" ca="1" si="26"/>
        <v>1</v>
      </c>
    </row>
    <row r="177" spans="1:25" ht="63" customHeight="1">
      <c r="A177" s="705" t="s">
        <v>3183</v>
      </c>
      <c r="B177" s="716" t="str">
        <f t="shared" ca="1" si="27"/>
        <v>40-year assumptions - D10</v>
      </c>
      <c r="C177" s="707" t="str" cm="1">
        <f t="array" aca="1" ref="C177" ca="1">INDIRECT(LEFT(I177, FIND("!", I177)) &amp; RefData!$C$426 &amp; RIGHT(I177, LEN(I177) - FIND("!", I177) - 1))</f>
        <v>Year 4</v>
      </c>
      <c r="D177" s="92" t="str">
        <f t="shared" ca="1" si="22"/>
        <v/>
      </c>
      <c r="E177" s="708" t="str" cm="1">
        <f t="array" aca="1" ref="E177" ca="1">IF(INDIRECT($I177)= "", "", INDIRECT($I177))</f>
        <v/>
      </c>
      <c r="F177" s="709" t="str" cm="1">
        <f t="array" aca="1" ref="F177" ca="1">INDIRECT(LEFT(I177, FIND("!", I177)) &amp; RefData!$C$427 &amp; RIGHT(I177, LEN(I177) - FIND("!", I177) - 1))</f>
        <v>FYA 4.0</v>
      </c>
      <c r="G177" s="710" t="b">
        <f ca="1">IF(ISNUMBER(SEARCH(RefData!$B$2, $C177)), FALSE, TRUE)</f>
        <v>1</v>
      </c>
      <c r="H177" s="344">
        <f>'40-year assumptions'!D10</f>
        <v>0</v>
      </c>
      <c r="I177" s="712" t="str">
        <f t="shared" ca="1" si="28"/>
        <v>'40-year assumptions'!D10</v>
      </c>
      <c r="J177" s="713" t="b" cm="1">
        <f t="array" aca="1" ref="J177" ca="1">IF(COUNTIF($K177:$T177, "&lt;&gt;FALSE") - COUNTBLANK($K177:$T177) &gt; 0, INDEX($K177:$T177, MATCH(TRUE, $K177:$T177 &lt;&gt; FALSE, 0)))</f>
        <v>0</v>
      </c>
      <c r="K177" s="712" t="b">
        <f ca="1">IF(AND('Start here'!$C$24=RefData!$B$5,'Discount rates'!$C$8&lt;&gt;RefData!$B$35,'Reconciliation report'!$E177=""),ErrorMsgs!$B177)</f>
        <v>0</v>
      </c>
      <c r="L177" s="712" t="b">
        <f ca="1">IF(AND('Start here'!$C$24=RefData!$B$5,'Discount rates'!$C$8=RefData!$B$35,'Reconciliation report'!$E177&lt;&gt;""),ErrorMsgs!$C177)</f>
        <v>0</v>
      </c>
      <c r="M177" s="714" t="b">
        <f ca="1">IF(AND('Start here'!$C$24=RefData!$B$4,'Discount rates'!$C$7=RefData!$B$8,'Discount rates'!$C$8&lt;&gt;RefData!$B$35,'Reconciliation report'!$E177=""),ErrorMsgs!$D177)</f>
        <v>0</v>
      </c>
      <c r="N177" s="714" t="b">
        <f ca="1">IF(AND('Start here'!$C$24=RefData!$B$4,'Discount rates'!$C$7=RefData!$B$8,'Discount rates'!$C$8=RefData!$B$35,'Reconciliation report'!$E177&lt;&gt;""),ErrorMsgs!$E177)</f>
        <v>0</v>
      </c>
      <c r="O177" s="712" t="b">
        <f ca="1">IF(AND('Start here'!$C$24=RefData!$B$4,'Discount rates'!$C$7=RefData!$B$7,'Reconciliation report'!$E177&lt;&gt;""),ErrorMsgs!$F177)</f>
        <v>0</v>
      </c>
      <c r="P177" s="712" t="b">
        <f ca="1">IF($E177&lt;-0.1,ErrorMsgs!$G177)</f>
        <v>0</v>
      </c>
      <c r="Q177" s="712" t="b">
        <f ca="1">IF($E177="",FALSE,IF($E177&gt;0.1,ErrorMsgs!$H177))</f>
        <v>0</v>
      </c>
      <c r="R177" s="712"/>
      <c r="S177" s="712"/>
      <c r="T177" s="712"/>
      <c r="U177" s="526" t="str">
        <f t="shared" ca="1" si="24"/>
        <v/>
      </c>
      <c r="V177" s="93" t="str" cm="1">
        <f t="array" aca="1" ref="V177" ca="1">CELL("format",INDIRECT(I177))</f>
        <v>P4</v>
      </c>
      <c r="W177" s="93" t="b">
        <f t="shared" ca="1" si="25"/>
        <v>0</v>
      </c>
      <c r="X177" s="715" t="str">
        <f t="shared" ca="1" si="23"/>
        <v/>
      </c>
      <c r="Y177" t="b">
        <f t="shared" ca="1" si="26"/>
        <v>1</v>
      </c>
    </row>
    <row r="178" spans="1:25" ht="63" customHeight="1">
      <c r="A178" s="705" t="s">
        <v>3184</v>
      </c>
      <c r="B178" s="716" t="str">
        <f t="shared" ca="1" si="27"/>
        <v>40-year assumptions - D11</v>
      </c>
      <c r="C178" s="707" t="str" cm="1">
        <f t="array" aca="1" ref="C178" ca="1">INDIRECT(LEFT(I178, FIND("!", I178)) &amp; RefData!$C$426 &amp; RIGHT(I178, LEN(I178) - FIND("!", I178) - 1))</f>
        <v>Year 5</v>
      </c>
      <c r="D178" s="92" t="str">
        <f t="shared" ca="1" si="22"/>
        <v/>
      </c>
      <c r="E178" s="708" t="str" cm="1">
        <f t="array" aca="1" ref="E178" ca="1">IF(INDIRECT($I178)= "", "", INDIRECT($I178))</f>
        <v/>
      </c>
      <c r="F178" s="709" t="str" cm="1">
        <f t="array" aca="1" ref="F178" ca="1">INDIRECT(LEFT(I178, FIND("!", I178)) &amp; RefData!$C$427 &amp; RIGHT(I178, LEN(I178) - FIND("!", I178) - 1))</f>
        <v>FYA 5.0</v>
      </c>
      <c r="G178" s="710" t="b">
        <f ca="1">IF(ISNUMBER(SEARCH(RefData!$B$2, $C178)), FALSE, TRUE)</f>
        <v>1</v>
      </c>
      <c r="H178" s="344">
        <f>'40-year assumptions'!D11</f>
        <v>0</v>
      </c>
      <c r="I178" s="712" t="str">
        <f t="shared" ca="1" si="28"/>
        <v>'40-year assumptions'!D11</v>
      </c>
      <c r="J178" s="713" t="b" cm="1">
        <f t="array" aca="1" ref="J178" ca="1">IF(COUNTIF($K178:$T178, "&lt;&gt;FALSE") - COUNTBLANK($K178:$T178) &gt; 0, INDEX($K178:$T178, MATCH(TRUE, $K178:$T178 &lt;&gt; FALSE, 0)))</f>
        <v>0</v>
      </c>
      <c r="K178" s="712" t="b">
        <f ca="1">IF(AND('Start here'!$C$24=RefData!$B$5,'Discount rates'!$C$8&lt;&gt;RefData!$B$35,'Reconciliation report'!$E178=""),ErrorMsgs!$B178)</f>
        <v>0</v>
      </c>
      <c r="L178" s="712" t="b">
        <f ca="1">IF(AND('Start here'!$C$24=RefData!$B$5,'Discount rates'!$C$8=RefData!$B$35,'Reconciliation report'!$E178&lt;&gt;""),ErrorMsgs!$C178)</f>
        <v>0</v>
      </c>
      <c r="M178" s="714" t="b">
        <f ca="1">IF(AND('Start here'!$C$24=RefData!$B$4,'Discount rates'!$C$7=RefData!$B$8,'Discount rates'!$C$8&lt;&gt;RefData!$B$35,'Reconciliation report'!$E178=""),ErrorMsgs!$D178)</f>
        <v>0</v>
      </c>
      <c r="N178" s="714" t="b">
        <f ca="1">IF(AND('Start here'!$C$24=RefData!$B$4,'Discount rates'!$C$7=RefData!$B$8,'Discount rates'!$C$8=RefData!$B$35,'Reconciliation report'!$E178&lt;&gt;""),ErrorMsgs!$E178)</f>
        <v>0</v>
      </c>
      <c r="O178" s="712" t="b">
        <f ca="1">IF(AND('Start here'!$C$24=RefData!$B$4,'Discount rates'!$C$7=RefData!$B$7,'Reconciliation report'!$E178&lt;&gt;""),ErrorMsgs!$F178)</f>
        <v>0</v>
      </c>
      <c r="P178" s="712" t="b">
        <f ca="1">IF($E178&lt;-0.1,ErrorMsgs!$G178)</f>
        <v>0</v>
      </c>
      <c r="Q178" s="712" t="b">
        <f ca="1">IF($E178="",FALSE,IF($E178&gt;0.1,ErrorMsgs!$H178))</f>
        <v>0</v>
      </c>
      <c r="R178" s="712"/>
      <c r="S178" s="712"/>
      <c r="T178" s="712"/>
      <c r="U178" s="526" t="str">
        <f t="shared" ca="1" si="24"/>
        <v/>
      </c>
      <c r="V178" s="93" t="str" cm="1">
        <f t="array" aca="1" ref="V178" ca="1">CELL("format",INDIRECT(I178))</f>
        <v>P4</v>
      </c>
      <c r="W178" s="93" t="b">
        <f t="shared" ca="1" si="25"/>
        <v>0</v>
      </c>
      <c r="X178" s="715" t="str">
        <f t="shared" ca="1" si="23"/>
        <v/>
      </c>
      <c r="Y178" t="b">
        <f t="shared" ca="1" si="26"/>
        <v>1</v>
      </c>
    </row>
    <row r="179" spans="1:25" ht="63" customHeight="1">
      <c r="A179" s="705" t="s">
        <v>3185</v>
      </c>
      <c r="B179" s="716" t="str">
        <f t="shared" ca="1" si="27"/>
        <v>40-year assumptions - D12</v>
      </c>
      <c r="C179" s="707" t="str" cm="1">
        <f t="array" aca="1" ref="C179" ca="1">INDIRECT(LEFT(I179, FIND("!", I179)) &amp; RefData!$C$426 &amp; RIGHT(I179, LEN(I179) - FIND("!", I179) - 1))</f>
        <v>Year 6</v>
      </c>
      <c r="D179" s="92" t="str">
        <f t="shared" ca="1" si="22"/>
        <v/>
      </c>
      <c r="E179" s="708" t="str" cm="1">
        <f t="array" aca="1" ref="E179" ca="1">IF(INDIRECT($I179)= "", "", INDIRECT($I179))</f>
        <v/>
      </c>
      <c r="F179" s="709" t="str" cm="1">
        <f t="array" aca="1" ref="F179" ca="1">INDIRECT(LEFT(I179, FIND("!", I179)) &amp; RefData!$C$427 &amp; RIGHT(I179, LEN(I179) - FIND("!", I179) - 1))</f>
        <v>FYA 6.0</v>
      </c>
      <c r="G179" s="710" t="b">
        <f ca="1">IF(ISNUMBER(SEARCH(RefData!$B$2, $C179)), FALSE, TRUE)</f>
        <v>1</v>
      </c>
      <c r="H179" s="344">
        <f>'40-year assumptions'!D12</f>
        <v>0</v>
      </c>
      <c r="I179" s="712" t="str">
        <f t="shared" ca="1" si="28"/>
        <v>'40-year assumptions'!D12</v>
      </c>
      <c r="J179" s="713" t="b" cm="1">
        <f t="array" aca="1" ref="J179" ca="1">IF(COUNTIF($K179:$T179, "&lt;&gt;FALSE") - COUNTBLANK($K179:$T179) &gt; 0, INDEX($K179:$T179, MATCH(TRUE, $K179:$T179 &lt;&gt; FALSE, 0)))</f>
        <v>0</v>
      </c>
      <c r="K179" s="712" t="b">
        <f ca="1">IF(AND('Start here'!$C$24=RefData!$B$5,'Discount rates'!$C$8&lt;&gt;RefData!$B$35,'Reconciliation report'!$E179=""),ErrorMsgs!$B179)</f>
        <v>0</v>
      </c>
      <c r="L179" s="712" t="b">
        <f ca="1">IF(AND('Start here'!$C$24=RefData!$B$5,'Discount rates'!$C$8=RefData!$B$35,'Reconciliation report'!$E179&lt;&gt;""),ErrorMsgs!$C179)</f>
        <v>0</v>
      </c>
      <c r="M179" s="714" t="b">
        <f ca="1">IF(AND('Start here'!$C$24=RefData!$B$4,'Discount rates'!$C$7=RefData!$B$8,'Discount rates'!$C$8&lt;&gt;RefData!$B$35,'Reconciliation report'!$E179=""),ErrorMsgs!$D179)</f>
        <v>0</v>
      </c>
      <c r="N179" s="714" t="b">
        <f ca="1">IF(AND('Start here'!$C$24=RefData!$B$4,'Discount rates'!$C$7=RefData!$B$8,'Discount rates'!$C$8=RefData!$B$35,'Reconciliation report'!$E179&lt;&gt;""),ErrorMsgs!$E179)</f>
        <v>0</v>
      </c>
      <c r="O179" s="712" t="b">
        <f ca="1">IF(AND('Start here'!$C$24=RefData!$B$4,'Discount rates'!$C$7=RefData!$B$7,'Reconciliation report'!$E179&lt;&gt;""),ErrorMsgs!$F179)</f>
        <v>0</v>
      </c>
      <c r="P179" s="712" t="b">
        <f ca="1">IF($E179&lt;-0.1,ErrorMsgs!$G179)</f>
        <v>0</v>
      </c>
      <c r="Q179" s="712" t="b">
        <f ca="1">IF($E179="",FALSE,IF($E179&gt;0.1,ErrorMsgs!$H179))</f>
        <v>0</v>
      </c>
      <c r="R179" s="712"/>
      <c r="S179" s="712"/>
      <c r="T179" s="712"/>
      <c r="U179" s="526" t="str">
        <f t="shared" ca="1" si="24"/>
        <v/>
      </c>
      <c r="V179" s="93" t="str" cm="1">
        <f t="array" aca="1" ref="V179" ca="1">CELL("format",INDIRECT(I179))</f>
        <v>P4</v>
      </c>
      <c r="W179" s="93" t="b">
        <f t="shared" ca="1" si="25"/>
        <v>0</v>
      </c>
      <c r="X179" s="715" t="str">
        <f t="shared" ca="1" si="23"/>
        <v/>
      </c>
      <c r="Y179" t="b">
        <f t="shared" ca="1" si="26"/>
        <v>1</v>
      </c>
    </row>
    <row r="180" spans="1:25" ht="63" customHeight="1">
      <c r="A180" s="705" t="s">
        <v>3186</v>
      </c>
      <c r="B180" s="716" t="str">
        <f t="shared" ca="1" si="27"/>
        <v>40-year assumptions - D13</v>
      </c>
      <c r="C180" s="707" t="str" cm="1">
        <f t="array" aca="1" ref="C180" ca="1">INDIRECT(LEFT(I180, FIND("!", I180)) &amp; RefData!$C$426 &amp; RIGHT(I180, LEN(I180) - FIND("!", I180) - 1))</f>
        <v>Year 7</v>
      </c>
      <c r="D180" s="92" t="str">
        <f t="shared" ca="1" si="22"/>
        <v/>
      </c>
      <c r="E180" s="708" t="str" cm="1">
        <f t="array" aca="1" ref="E180" ca="1">IF(INDIRECT($I180)= "", "", INDIRECT($I180))</f>
        <v/>
      </c>
      <c r="F180" s="709" t="str" cm="1">
        <f t="array" aca="1" ref="F180" ca="1">INDIRECT(LEFT(I180, FIND("!", I180)) &amp; RefData!$C$427 &amp; RIGHT(I180, LEN(I180) - FIND("!", I180) - 1))</f>
        <v>FYA 7.0</v>
      </c>
      <c r="G180" s="710" t="b">
        <f ca="1">IF(ISNUMBER(SEARCH(RefData!$B$2, $C180)), FALSE, TRUE)</f>
        <v>1</v>
      </c>
      <c r="H180" s="344">
        <f>'40-year assumptions'!D13</f>
        <v>0</v>
      </c>
      <c r="I180" s="712" t="str">
        <f t="shared" ca="1" si="28"/>
        <v>'40-year assumptions'!D13</v>
      </c>
      <c r="J180" s="713" t="b" cm="1">
        <f t="array" aca="1" ref="J180" ca="1">IF(COUNTIF($K180:$T180, "&lt;&gt;FALSE") - COUNTBLANK($K180:$T180) &gt; 0, INDEX($K180:$T180, MATCH(TRUE, $K180:$T180 &lt;&gt; FALSE, 0)))</f>
        <v>0</v>
      </c>
      <c r="K180" s="712" t="b">
        <f ca="1">IF(AND('Start here'!$C$24=RefData!$B$5,'Discount rates'!$C$8&lt;&gt;RefData!$B$35,'Reconciliation report'!$E180=""),ErrorMsgs!$B180)</f>
        <v>0</v>
      </c>
      <c r="L180" s="712" t="b">
        <f ca="1">IF(AND('Start here'!$C$24=RefData!$B$5,'Discount rates'!$C$8=RefData!$B$35,'Reconciliation report'!$E180&lt;&gt;""),ErrorMsgs!$C180)</f>
        <v>0</v>
      </c>
      <c r="M180" s="714" t="b">
        <f ca="1">IF(AND('Start here'!$C$24=RefData!$B$4,'Discount rates'!$C$7=RefData!$B$8,'Discount rates'!$C$8&lt;&gt;RefData!$B$35,'Reconciliation report'!$E180=""),ErrorMsgs!$D180)</f>
        <v>0</v>
      </c>
      <c r="N180" s="714" t="b">
        <f ca="1">IF(AND('Start here'!$C$24=RefData!$B$4,'Discount rates'!$C$7=RefData!$B$8,'Discount rates'!$C$8=RefData!$B$35,'Reconciliation report'!$E180&lt;&gt;""),ErrorMsgs!$E180)</f>
        <v>0</v>
      </c>
      <c r="O180" s="712" t="b">
        <f ca="1">IF(AND('Start here'!$C$24=RefData!$B$4,'Discount rates'!$C$7=RefData!$B$7,'Reconciliation report'!$E180&lt;&gt;""),ErrorMsgs!$F180)</f>
        <v>0</v>
      </c>
      <c r="P180" s="712" t="b">
        <f ca="1">IF($E180&lt;-0.1,ErrorMsgs!$G180)</f>
        <v>0</v>
      </c>
      <c r="Q180" s="712" t="b">
        <f ca="1">IF($E180="",FALSE,IF($E180&gt;0.1,ErrorMsgs!$H180))</f>
        <v>0</v>
      </c>
      <c r="R180" s="712"/>
      <c r="S180" s="712"/>
      <c r="T180" s="712"/>
      <c r="U180" s="526" t="str">
        <f t="shared" ca="1" si="24"/>
        <v/>
      </c>
      <c r="V180" s="93" t="str" cm="1">
        <f t="array" aca="1" ref="V180" ca="1">CELL("format",INDIRECT(I180))</f>
        <v>P4</v>
      </c>
      <c r="W180" s="93" t="b">
        <f t="shared" ca="1" si="25"/>
        <v>0</v>
      </c>
      <c r="X180" s="715" t="str">
        <f t="shared" ca="1" si="23"/>
        <v/>
      </c>
      <c r="Y180" t="b">
        <f t="shared" ca="1" si="26"/>
        <v>1</v>
      </c>
    </row>
    <row r="181" spans="1:25" ht="63" customHeight="1">
      <c r="A181" s="705" t="s">
        <v>3187</v>
      </c>
      <c r="B181" s="716" t="str">
        <f t="shared" ca="1" si="27"/>
        <v>40-year assumptions - D14</v>
      </c>
      <c r="C181" s="707" t="str" cm="1">
        <f t="array" aca="1" ref="C181" ca="1">INDIRECT(LEFT(I181, FIND("!", I181)) &amp; RefData!$C$426 &amp; RIGHT(I181, LEN(I181) - FIND("!", I181) - 1))</f>
        <v>Year 8</v>
      </c>
      <c r="D181" s="92" t="str">
        <f t="shared" ca="1" si="22"/>
        <v/>
      </c>
      <c r="E181" s="708" t="str" cm="1">
        <f t="array" aca="1" ref="E181" ca="1">IF(INDIRECT($I181)= "", "", INDIRECT($I181))</f>
        <v/>
      </c>
      <c r="F181" s="709" t="str" cm="1">
        <f t="array" aca="1" ref="F181" ca="1">INDIRECT(LEFT(I181, FIND("!", I181)) &amp; RefData!$C$427 &amp; RIGHT(I181, LEN(I181) - FIND("!", I181) - 1))</f>
        <v>FYA 8.0</v>
      </c>
      <c r="G181" s="710" t="b">
        <f ca="1">IF(ISNUMBER(SEARCH(RefData!$B$2, $C181)), FALSE, TRUE)</f>
        <v>1</v>
      </c>
      <c r="H181" s="344">
        <f>'40-year assumptions'!D14</f>
        <v>0</v>
      </c>
      <c r="I181" s="712" t="str">
        <f t="shared" ca="1" si="28"/>
        <v>'40-year assumptions'!D14</v>
      </c>
      <c r="J181" s="713" t="b" cm="1">
        <f t="array" aca="1" ref="J181" ca="1">IF(COUNTIF($K181:$T181, "&lt;&gt;FALSE") - COUNTBLANK($K181:$T181) &gt; 0, INDEX($K181:$T181, MATCH(TRUE, $K181:$T181 &lt;&gt; FALSE, 0)))</f>
        <v>0</v>
      </c>
      <c r="K181" s="712" t="b">
        <f ca="1">IF(AND('Start here'!$C$24=RefData!$B$5,'Discount rates'!$C$8&lt;&gt;RefData!$B$35,'Reconciliation report'!$E181=""),ErrorMsgs!$B181)</f>
        <v>0</v>
      </c>
      <c r="L181" s="712" t="b">
        <f ca="1">IF(AND('Start here'!$C$24=RefData!$B$5,'Discount rates'!$C$8=RefData!$B$35,'Reconciliation report'!$E181&lt;&gt;""),ErrorMsgs!$C181)</f>
        <v>0</v>
      </c>
      <c r="M181" s="714" t="b">
        <f ca="1">IF(AND('Start here'!$C$24=RefData!$B$4,'Discount rates'!$C$7=RefData!$B$8,'Discount rates'!$C$8&lt;&gt;RefData!$B$35,'Reconciliation report'!$E181=""),ErrorMsgs!$D181)</f>
        <v>0</v>
      </c>
      <c r="N181" s="714" t="b">
        <f ca="1">IF(AND('Start here'!$C$24=RefData!$B$4,'Discount rates'!$C$7=RefData!$B$8,'Discount rates'!$C$8=RefData!$B$35,'Reconciliation report'!$E181&lt;&gt;""),ErrorMsgs!$E181)</f>
        <v>0</v>
      </c>
      <c r="O181" s="712" t="b">
        <f ca="1">IF(AND('Start here'!$C$24=RefData!$B$4,'Discount rates'!$C$7=RefData!$B$7,'Reconciliation report'!$E181&lt;&gt;""),ErrorMsgs!$F181)</f>
        <v>0</v>
      </c>
      <c r="P181" s="712" t="b">
        <f ca="1">IF($E181&lt;-0.1,ErrorMsgs!$G181)</f>
        <v>0</v>
      </c>
      <c r="Q181" s="712" t="b">
        <f ca="1">IF($E181="",FALSE,IF($E181&gt;0.1,ErrorMsgs!$H181))</f>
        <v>0</v>
      </c>
      <c r="R181" s="712"/>
      <c r="S181" s="712"/>
      <c r="T181" s="712"/>
      <c r="U181" s="526" t="str">
        <f t="shared" ca="1" si="24"/>
        <v/>
      </c>
      <c r="V181" s="93" t="str" cm="1">
        <f t="array" aca="1" ref="V181" ca="1">CELL("format",INDIRECT(I181))</f>
        <v>P4</v>
      </c>
      <c r="W181" s="93" t="b">
        <f t="shared" ca="1" si="25"/>
        <v>0</v>
      </c>
      <c r="X181" s="715" t="str">
        <f t="shared" ca="1" si="23"/>
        <v/>
      </c>
      <c r="Y181" t="b">
        <f t="shared" ca="1" si="26"/>
        <v>1</v>
      </c>
    </row>
    <row r="182" spans="1:25" ht="63" customHeight="1">
      <c r="A182" s="705" t="s">
        <v>3188</v>
      </c>
      <c r="B182" s="716" t="str">
        <f t="shared" ca="1" si="27"/>
        <v>40-year assumptions - D15</v>
      </c>
      <c r="C182" s="707" t="str" cm="1">
        <f t="array" aca="1" ref="C182" ca="1">INDIRECT(LEFT(I182, FIND("!", I182)) &amp; RefData!$C$426 &amp; RIGHT(I182, LEN(I182) - FIND("!", I182) - 1))</f>
        <v>Year 9</v>
      </c>
      <c r="D182" s="92" t="str">
        <f t="shared" ca="1" si="22"/>
        <v/>
      </c>
      <c r="E182" s="708" t="str" cm="1">
        <f t="array" aca="1" ref="E182" ca="1">IF(INDIRECT($I182)= "", "", INDIRECT($I182))</f>
        <v/>
      </c>
      <c r="F182" s="709" t="str" cm="1">
        <f t="array" aca="1" ref="F182" ca="1">INDIRECT(LEFT(I182, FIND("!", I182)) &amp; RefData!$C$427 &amp; RIGHT(I182, LEN(I182) - FIND("!", I182) - 1))</f>
        <v>FYA 9.0</v>
      </c>
      <c r="G182" s="710" t="b">
        <f ca="1">IF(ISNUMBER(SEARCH(RefData!$B$2, $C182)), FALSE, TRUE)</f>
        <v>1</v>
      </c>
      <c r="H182" s="344">
        <f>'40-year assumptions'!D15</f>
        <v>0</v>
      </c>
      <c r="I182" s="712" t="str">
        <f t="shared" ca="1" si="28"/>
        <v>'40-year assumptions'!D15</v>
      </c>
      <c r="J182" s="713" t="b" cm="1">
        <f t="array" aca="1" ref="J182" ca="1">IF(COUNTIF($K182:$T182, "&lt;&gt;FALSE") - COUNTBLANK($K182:$T182) &gt; 0, INDEX($K182:$T182, MATCH(TRUE, $K182:$T182 &lt;&gt; FALSE, 0)))</f>
        <v>0</v>
      </c>
      <c r="K182" s="712" t="b">
        <f ca="1">IF(AND('Start here'!$C$24=RefData!$B$5,'Discount rates'!$C$8&lt;&gt;RefData!$B$35,'Reconciliation report'!$E182=""),ErrorMsgs!$B182)</f>
        <v>0</v>
      </c>
      <c r="L182" s="712" t="b">
        <f ca="1">IF(AND('Start here'!$C$24=RefData!$B$5,'Discount rates'!$C$8=RefData!$B$35,'Reconciliation report'!$E182&lt;&gt;""),ErrorMsgs!$C182)</f>
        <v>0</v>
      </c>
      <c r="M182" s="714" t="b">
        <f ca="1">IF(AND('Start here'!$C$24=RefData!$B$4,'Discount rates'!$C$7=RefData!$B$8,'Discount rates'!$C$8&lt;&gt;RefData!$B$35,'Reconciliation report'!$E182=""),ErrorMsgs!$D182)</f>
        <v>0</v>
      </c>
      <c r="N182" s="714" t="b">
        <f ca="1">IF(AND('Start here'!$C$24=RefData!$B$4,'Discount rates'!$C$7=RefData!$B$8,'Discount rates'!$C$8=RefData!$B$35,'Reconciliation report'!$E182&lt;&gt;""),ErrorMsgs!$E182)</f>
        <v>0</v>
      </c>
      <c r="O182" s="712" t="b">
        <f ca="1">IF(AND('Start here'!$C$24=RefData!$B$4,'Discount rates'!$C$7=RefData!$B$7,'Reconciliation report'!$E182&lt;&gt;""),ErrorMsgs!$F182)</f>
        <v>0</v>
      </c>
      <c r="P182" s="712" t="b">
        <f ca="1">IF($E182&lt;-0.1,ErrorMsgs!$G182)</f>
        <v>0</v>
      </c>
      <c r="Q182" s="712" t="b">
        <f ca="1">IF($E182="",FALSE,IF($E182&gt;0.1,ErrorMsgs!$H182))</f>
        <v>0</v>
      </c>
      <c r="R182" s="712"/>
      <c r="S182" s="712"/>
      <c r="T182" s="712"/>
      <c r="U182" s="526" t="str">
        <f t="shared" ca="1" si="24"/>
        <v/>
      </c>
      <c r="V182" s="93" t="str" cm="1">
        <f t="array" aca="1" ref="V182" ca="1">CELL("format",INDIRECT(I182))</f>
        <v>P4</v>
      </c>
      <c r="W182" s="93" t="b">
        <f t="shared" ca="1" si="25"/>
        <v>0</v>
      </c>
      <c r="X182" s="715" t="str">
        <f t="shared" ca="1" si="23"/>
        <v/>
      </c>
      <c r="Y182" t="b">
        <f t="shared" ca="1" si="26"/>
        <v>1</v>
      </c>
    </row>
    <row r="183" spans="1:25" ht="63" customHeight="1">
      <c r="A183" s="705" t="s">
        <v>3189</v>
      </c>
      <c r="B183" s="716" t="str">
        <f t="shared" ca="1" si="27"/>
        <v>40-year assumptions - D16</v>
      </c>
      <c r="C183" s="707" t="str" cm="1">
        <f t="array" aca="1" ref="C183" ca="1">INDIRECT(LEFT(I183, FIND("!", I183)) &amp; RefData!$C$426 &amp; RIGHT(I183, LEN(I183) - FIND("!", I183) - 1))</f>
        <v>Year 10</v>
      </c>
      <c r="D183" s="92" t="str">
        <f t="shared" ca="1" si="22"/>
        <v/>
      </c>
      <c r="E183" s="708" t="str" cm="1">
        <f t="array" aca="1" ref="E183" ca="1">IF(INDIRECT($I183)= "", "", INDIRECT($I183))</f>
        <v/>
      </c>
      <c r="F183" s="709" t="str" cm="1">
        <f t="array" aca="1" ref="F183" ca="1">INDIRECT(LEFT(I183, FIND("!", I183)) &amp; RefData!$C$427 &amp; RIGHT(I183, LEN(I183) - FIND("!", I183) - 1))</f>
        <v>FYA 10.0</v>
      </c>
      <c r="G183" s="710" t="b">
        <f ca="1">IF(ISNUMBER(SEARCH(RefData!$B$2, $C183)), FALSE, TRUE)</f>
        <v>1</v>
      </c>
      <c r="H183" s="344">
        <f>'40-year assumptions'!D16</f>
        <v>0</v>
      </c>
      <c r="I183" s="712" t="str">
        <f t="shared" ca="1" si="28"/>
        <v>'40-year assumptions'!D16</v>
      </c>
      <c r="J183" s="713" t="b" cm="1">
        <f t="array" aca="1" ref="J183" ca="1">IF(COUNTIF($K183:$T183, "&lt;&gt;FALSE") - COUNTBLANK($K183:$T183) &gt; 0, INDEX($K183:$T183, MATCH(TRUE, $K183:$T183 &lt;&gt; FALSE, 0)))</f>
        <v>0</v>
      </c>
      <c r="K183" s="712" t="b">
        <f ca="1">IF(AND('Start here'!$C$24=RefData!$B$5,'Discount rates'!$C$8&lt;&gt;RefData!$B$35,'Reconciliation report'!$E183=""),ErrorMsgs!$B183)</f>
        <v>0</v>
      </c>
      <c r="L183" s="712" t="b">
        <f ca="1">IF(AND('Start here'!$C$24=RefData!$B$5,'Discount rates'!$C$8=RefData!$B$35,'Reconciliation report'!$E183&lt;&gt;""),ErrorMsgs!$C183)</f>
        <v>0</v>
      </c>
      <c r="M183" s="714" t="b">
        <f ca="1">IF(AND('Start here'!$C$24=RefData!$B$4,'Discount rates'!$C$7=RefData!$B$8,'Discount rates'!$C$8&lt;&gt;RefData!$B$35,'Reconciliation report'!$E183=""),ErrorMsgs!$D183)</f>
        <v>0</v>
      </c>
      <c r="N183" s="714" t="b">
        <f ca="1">IF(AND('Start here'!$C$24=RefData!$B$4,'Discount rates'!$C$7=RefData!$B$8,'Discount rates'!$C$8=RefData!$B$35,'Reconciliation report'!$E183&lt;&gt;""),ErrorMsgs!$E183)</f>
        <v>0</v>
      </c>
      <c r="O183" s="712" t="b">
        <f ca="1">IF(AND('Start here'!$C$24=RefData!$B$4,'Discount rates'!$C$7=RefData!$B$7,'Reconciliation report'!$E183&lt;&gt;""),ErrorMsgs!$F183)</f>
        <v>0</v>
      </c>
      <c r="P183" s="712" t="b">
        <f ca="1">IF($E183&lt;-0.1,ErrorMsgs!$G183)</f>
        <v>0</v>
      </c>
      <c r="Q183" s="712" t="b">
        <f ca="1">IF($E183="",FALSE,IF($E183&gt;0.1,ErrorMsgs!$H183))</f>
        <v>0</v>
      </c>
      <c r="R183" s="712"/>
      <c r="S183" s="712"/>
      <c r="T183" s="712"/>
      <c r="U183" s="526" t="str">
        <f t="shared" ca="1" si="24"/>
        <v/>
      </c>
      <c r="V183" s="93" t="str" cm="1">
        <f t="array" aca="1" ref="V183" ca="1">CELL("format",INDIRECT(I183))</f>
        <v>P4</v>
      </c>
      <c r="W183" s="93" t="b">
        <f t="shared" ca="1" si="25"/>
        <v>0</v>
      </c>
      <c r="X183" s="715" t="str">
        <f t="shared" ca="1" si="23"/>
        <v/>
      </c>
      <c r="Y183" t="b">
        <f t="shared" ca="1" si="26"/>
        <v>1</v>
      </c>
    </row>
    <row r="184" spans="1:25" ht="63" customHeight="1">
      <c r="A184" s="705" t="s">
        <v>3190</v>
      </c>
      <c r="B184" s="716" t="str">
        <f t="shared" ca="1" si="27"/>
        <v>40-year assumptions - D17</v>
      </c>
      <c r="C184" s="707" t="str" cm="1">
        <f t="array" aca="1" ref="C184" ca="1">INDIRECT(LEFT(I184, FIND("!", I184)) &amp; RefData!$C$426 &amp; RIGHT(I184, LEN(I184) - FIND("!", I184) - 1))</f>
        <v>Year 11</v>
      </c>
      <c r="D184" s="92" t="str">
        <f t="shared" ca="1" si="22"/>
        <v/>
      </c>
      <c r="E184" s="708" t="str" cm="1">
        <f t="array" aca="1" ref="E184" ca="1">IF(INDIRECT($I184)= "", "", INDIRECT($I184))</f>
        <v/>
      </c>
      <c r="F184" s="709" t="str" cm="1">
        <f t="array" aca="1" ref="F184" ca="1">INDIRECT(LEFT(I184, FIND("!", I184)) &amp; RefData!$C$427 &amp; RIGHT(I184, LEN(I184) - FIND("!", I184) - 1))</f>
        <v>FYA 11.0</v>
      </c>
      <c r="G184" s="710" t="b">
        <f ca="1">IF(ISNUMBER(SEARCH(RefData!$B$2, $C184)), FALSE, TRUE)</f>
        <v>1</v>
      </c>
      <c r="H184" s="344">
        <f>'40-year assumptions'!D17</f>
        <v>0</v>
      </c>
      <c r="I184" s="712" t="str">
        <f t="shared" ca="1" si="28"/>
        <v>'40-year assumptions'!D17</v>
      </c>
      <c r="J184" s="713" t="b" cm="1">
        <f t="array" aca="1" ref="J184" ca="1">IF(COUNTIF($K184:$T184, "&lt;&gt;FALSE") - COUNTBLANK($K184:$T184) &gt; 0, INDEX($K184:$T184, MATCH(TRUE, $K184:$T184 &lt;&gt; FALSE, 0)))</f>
        <v>0</v>
      </c>
      <c r="K184" s="712" t="b">
        <f ca="1">IF(AND('Start here'!$C$24=RefData!$B$5,'Discount rates'!$C$8&lt;&gt;RefData!$B$35,'Reconciliation report'!$E184=""),ErrorMsgs!$B184)</f>
        <v>0</v>
      </c>
      <c r="L184" s="712" t="b">
        <f ca="1">IF(AND('Start here'!$C$24=RefData!$B$5,'Discount rates'!$C$8=RefData!$B$35,'Reconciliation report'!$E184&lt;&gt;""),ErrorMsgs!$C184)</f>
        <v>0</v>
      </c>
      <c r="M184" s="714" t="b">
        <f ca="1">IF(AND('Start here'!$C$24=RefData!$B$4,'Discount rates'!$C$7=RefData!$B$8,'Discount rates'!$C$8&lt;&gt;RefData!$B$35,'Reconciliation report'!$E184=""),ErrorMsgs!$D184)</f>
        <v>0</v>
      </c>
      <c r="N184" s="714" t="b">
        <f ca="1">IF(AND('Start here'!$C$24=RefData!$B$4,'Discount rates'!$C$7=RefData!$B$8,'Discount rates'!$C$8=RefData!$B$35,'Reconciliation report'!$E184&lt;&gt;""),ErrorMsgs!$E184)</f>
        <v>0</v>
      </c>
      <c r="O184" s="712" t="b">
        <f ca="1">IF(AND('Start here'!$C$24=RefData!$B$4,'Discount rates'!$C$7=RefData!$B$7,'Reconciliation report'!$E184&lt;&gt;""),ErrorMsgs!$F184)</f>
        <v>0</v>
      </c>
      <c r="P184" s="712" t="b">
        <f ca="1">IF($E184&lt;-0.1,ErrorMsgs!$G184)</f>
        <v>0</v>
      </c>
      <c r="Q184" s="712" t="b">
        <f ca="1">IF($E184="",FALSE,IF($E184&gt;0.1,ErrorMsgs!$H184))</f>
        <v>0</v>
      </c>
      <c r="R184" s="712"/>
      <c r="S184" s="712"/>
      <c r="T184" s="712"/>
      <c r="U184" s="526" t="str">
        <f t="shared" ca="1" si="24"/>
        <v/>
      </c>
      <c r="V184" s="93" t="str" cm="1">
        <f t="array" aca="1" ref="V184" ca="1">CELL("format",INDIRECT(I184))</f>
        <v>P4</v>
      </c>
      <c r="W184" s="93" t="b">
        <f t="shared" ca="1" si="25"/>
        <v>0</v>
      </c>
      <c r="X184" s="715" t="str">
        <f t="shared" ca="1" si="23"/>
        <v/>
      </c>
      <c r="Y184" t="b">
        <f t="shared" ca="1" si="26"/>
        <v>1</v>
      </c>
    </row>
    <row r="185" spans="1:25" ht="63" customHeight="1">
      <c r="A185" s="705" t="s">
        <v>3191</v>
      </c>
      <c r="B185" s="716" t="str">
        <f t="shared" ca="1" si="27"/>
        <v>40-year assumptions - D18</v>
      </c>
      <c r="C185" s="707" t="str" cm="1">
        <f t="array" aca="1" ref="C185" ca="1">INDIRECT(LEFT(I185, FIND("!", I185)) &amp; RefData!$C$426 &amp; RIGHT(I185, LEN(I185) - FIND("!", I185) - 1))</f>
        <v>Year 12</v>
      </c>
      <c r="D185" s="92" t="str">
        <f t="shared" ca="1" si="22"/>
        <v/>
      </c>
      <c r="E185" s="708" t="str" cm="1">
        <f t="array" aca="1" ref="E185" ca="1">IF(INDIRECT($I185)= "", "", INDIRECT($I185))</f>
        <v/>
      </c>
      <c r="F185" s="709" t="str" cm="1">
        <f t="array" aca="1" ref="F185" ca="1">INDIRECT(LEFT(I185, FIND("!", I185)) &amp; RefData!$C$427 &amp; RIGHT(I185, LEN(I185) - FIND("!", I185) - 1))</f>
        <v>FYA 12.0</v>
      </c>
      <c r="G185" s="710" t="b">
        <f ca="1">IF(ISNUMBER(SEARCH(RefData!$B$2, $C185)), FALSE, TRUE)</f>
        <v>1</v>
      </c>
      <c r="H185" s="344">
        <f>'40-year assumptions'!D18</f>
        <v>0</v>
      </c>
      <c r="I185" s="712" t="str">
        <f t="shared" ca="1" si="28"/>
        <v>'40-year assumptions'!D18</v>
      </c>
      <c r="J185" s="713" t="b" cm="1">
        <f t="array" aca="1" ref="J185" ca="1">IF(COUNTIF($K185:$T185, "&lt;&gt;FALSE") - COUNTBLANK($K185:$T185) &gt; 0, INDEX($K185:$T185, MATCH(TRUE, $K185:$T185 &lt;&gt; FALSE, 0)))</f>
        <v>0</v>
      </c>
      <c r="K185" s="712" t="b">
        <f ca="1">IF(AND('Start here'!$C$24=RefData!$B$5,'Discount rates'!$C$8&lt;&gt;RefData!$B$35,'Reconciliation report'!$E185=""),ErrorMsgs!$B185)</f>
        <v>0</v>
      </c>
      <c r="L185" s="712" t="b">
        <f ca="1">IF(AND('Start here'!$C$24=RefData!$B$5,'Discount rates'!$C$8=RefData!$B$35,'Reconciliation report'!$E185&lt;&gt;""),ErrorMsgs!$C185)</f>
        <v>0</v>
      </c>
      <c r="M185" s="714" t="b">
        <f ca="1">IF(AND('Start here'!$C$24=RefData!$B$4,'Discount rates'!$C$7=RefData!$B$8,'Discount rates'!$C$8&lt;&gt;RefData!$B$35,'Reconciliation report'!$E185=""),ErrorMsgs!$D185)</f>
        <v>0</v>
      </c>
      <c r="N185" s="714" t="b">
        <f ca="1">IF(AND('Start here'!$C$24=RefData!$B$4,'Discount rates'!$C$7=RefData!$B$8,'Discount rates'!$C$8=RefData!$B$35,'Reconciliation report'!$E185&lt;&gt;""),ErrorMsgs!$E185)</f>
        <v>0</v>
      </c>
      <c r="O185" s="712" t="b">
        <f ca="1">IF(AND('Start here'!$C$24=RefData!$B$4,'Discount rates'!$C$7=RefData!$B$7,'Reconciliation report'!$E185&lt;&gt;""),ErrorMsgs!$F185)</f>
        <v>0</v>
      </c>
      <c r="P185" s="712" t="b">
        <f ca="1">IF($E185&lt;-0.1,ErrorMsgs!$G185)</f>
        <v>0</v>
      </c>
      <c r="Q185" s="712" t="b">
        <f ca="1">IF($E185="",FALSE,IF($E185&gt;0.1,ErrorMsgs!$H185))</f>
        <v>0</v>
      </c>
      <c r="R185" s="712"/>
      <c r="S185" s="712"/>
      <c r="T185" s="712"/>
      <c r="U185" s="526" t="str">
        <f t="shared" ca="1" si="24"/>
        <v/>
      </c>
      <c r="V185" s="93" t="str" cm="1">
        <f t="array" aca="1" ref="V185" ca="1">CELL("format",INDIRECT(I185))</f>
        <v>P4</v>
      </c>
      <c r="W185" s="93" t="b">
        <f t="shared" ca="1" si="25"/>
        <v>0</v>
      </c>
      <c r="X185" s="715" t="str">
        <f t="shared" ca="1" si="23"/>
        <v/>
      </c>
      <c r="Y185" t="b">
        <f t="shared" ca="1" si="26"/>
        <v>1</v>
      </c>
    </row>
    <row r="186" spans="1:25" ht="63" customHeight="1">
      <c r="A186" s="705" t="s">
        <v>3192</v>
      </c>
      <c r="B186" s="716" t="str">
        <f t="shared" ca="1" si="27"/>
        <v>40-year assumptions - D19</v>
      </c>
      <c r="C186" s="707" t="str" cm="1">
        <f t="array" aca="1" ref="C186" ca="1">INDIRECT(LEFT(I186, FIND("!", I186)) &amp; RefData!$C$426 &amp; RIGHT(I186, LEN(I186) - FIND("!", I186) - 1))</f>
        <v>Year 13</v>
      </c>
      <c r="D186" s="92" t="str">
        <f t="shared" ca="1" si="22"/>
        <v/>
      </c>
      <c r="E186" s="708" t="str" cm="1">
        <f t="array" aca="1" ref="E186" ca="1">IF(INDIRECT($I186)= "", "", INDIRECT($I186))</f>
        <v/>
      </c>
      <c r="F186" s="709" t="str" cm="1">
        <f t="array" aca="1" ref="F186" ca="1">INDIRECT(LEFT(I186, FIND("!", I186)) &amp; RefData!$C$427 &amp; RIGHT(I186, LEN(I186) - FIND("!", I186) - 1))</f>
        <v>FYA 13.0</v>
      </c>
      <c r="G186" s="710" t="b">
        <f ca="1">IF(ISNUMBER(SEARCH(RefData!$B$2, $C186)), FALSE, TRUE)</f>
        <v>1</v>
      </c>
      <c r="H186" s="344">
        <f>'40-year assumptions'!D19</f>
        <v>0</v>
      </c>
      <c r="I186" s="712" t="str">
        <f t="shared" ca="1" si="28"/>
        <v>'40-year assumptions'!D19</v>
      </c>
      <c r="J186" s="713" t="b" cm="1">
        <f t="array" aca="1" ref="J186" ca="1">IF(COUNTIF($K186:$T186, "&lt;&gt;FALSE") - COUNTBLANK($K186:$T186) &gt; 0, INDEX($K186:$T186, MATCH(TRUE, $K186:$T186 &lt;&gt; FALSE, 0)))</f>
        <v>0</v>
      </c>
      <c r="K186" s="712" t="b">
        <f ca="1">IF(AND('Start here'!$C$24=RefData!$B$5,'Discount rates'!$C$8&lt;&gt;RefData!$B$35,'Reconciliation report'!$E186=""),ErrorMsgs!$B186)</f>
        <v>0</v>
      </c>
      <c r="L186" s="712" t="b">
        <f ca="1">IF(AND('Start here'!$C$24=RefData!$B$5,'Discount rates'!$C$8=RefData!$B$35,'Reconciliation report'!$E186&lt;&gt;""),ErrorMsgs!$C186)</f>
        <v>0</v>
      </c>
      <c r="M186" s="714" t="b">
        <f ca="1">IF(AND('Start here'!$C$24=RefData!$B$4,'Discount rates'!$C$7=RefData!$B$8,'Discount rates'!$C$8&lt;&gt;RefData!$B$35,'Reconciliation report'!$E186=""),ErrorMsgs!$D186)</f>
        <v>0</v>
      </c>
      <c r="N186" s="714" t="b">
        <f ca="1">IF(AND('Start here'!$C$24=RefData!$B$4,'Discount rates'!$C$7=RefData!$B$8,'Discount rates'!$C$8=RefData!$B$35,'Reconciliation report'!$E186&lt;&gt;""),ErrorMsgs!$E186)</f>
        <v>0</v>
      </c>
      <c r="O186" s="712" t="b">
        <f ca="1">IF(AND('Start here'!$C$24=RefData!$B$4,'Discount rates'!$C$7=RefData!$B$7,'Reconciliation report'!$E186&lt;&gt;""),ErrorMsgs!$F186)</f>
        <v>0</v>
      </c>
      <c r="P186" s="712" t="b">
        <f ca="1">IF($E186&lt;-0.1,ErrorMsgs!$G186)</f>
        <v>0</v>
      </c>
      <c r="Q186" s="712" t="b">
        <f ca="1">IF($E186="",FALSE,IF($E186&gt;0.1,ErrorMsgs!$H186))</f>
        <v>0</v>
      </c>
      <c r="R186" s="712"/>
      <c r="S186" s="712"/>
      <c r="T186" s="712"/>
      <c r="U186" s="526" t="str">
        <f t="shared" ca="1" si="24"/>
        <v/>
      </c>
      <c r="V186" s="93" t="str" cm="1">
        <f t="array" aca="1" ref="V186" ca="1">CELL("format",INDIRECT(I186))</f>
        <v>P4</v>
      </c>
      <c r="W186" s="93" t="b">
        <f t="shared" ca="1" si="25"/>
        <v>0</v>
      </c>
      <c r="X186" s="715" t="str">
        <f t="shared" ca="1" si="23"/>
        <v/>
      </c>
      <c r="Y186" t="b">
        <f t="shared" ca="1" si="26"/>
        <v>1</v>
      </c>
    </row>
    <row r="187" spans="1:25" ht="63" customHeight="1">
      <c r="A187" s="705" t="s">
        <v>3193</v>
      </c>
      <c r="B187" s="716" t="str">
        <f t="shared" ca="1" si="27"/>
        <v>40-year assumptions - D20</v>
      </c>
      <c r="C187" s="707" t="str" cm="1">
        <f t="array" aca="1" ref="C187" ca="1">INDIRECT(LEFT(I187, FIND("!", I187)) &amp; RefData!$C$426 &amp; RIGHT(I187, LEN(I187) - FIND("!", I187) - 1))</f>
        <v>Year 14</v>
      </c>
      <c r="D187" s="92" t="str">
        <f t="shared" ca="1" si="22"/>
        <v/>
      </c>
      <c r="E187" s="708" t="str" cm="1">
        <f t="array" aca="1" ref="E187" ca="1">IF(INDIRECT($I187)= "", "", INDIRECT($I187))</f>
        <v/>
      </c>
      <c r="F187" s="709" t="str" cm="1">
        <f t="array" aca="1" ref="F187" ca="1">INDIRECT(LEFT(I187, FIND("!", I187)) &amp; RefData!$C$427 &amp; RIGHT(I187, LEN(I187) - FIND("!", I187) - 1))</f>
        <v>FYA 14.0</v>
      </c>
      <c r="G187" s="710" t="b">
        <f ca="1">IF(ISNUMBER(SEARCH(RefData!$B$2, $C187)), FALSE, TRUE)</f>
        <v>1</v>
      </c>
      <c r="H187" s="344">
        <f>'40-year assumptions'!D20</f>
        <v>0</v>
      </c>
      <c r="I187" s="712" t="str">
        <f t="shared" ca="1" si="28"/>
        <v>'40-year assumptions'!D20</v>
      </c>
      <c r="J187" s="713" t="b" cm="1">
        <f t="array" aca="1" ref="J187" ca="1">IF(COUNTIF($K187:$T187, "&lt;&gt;FALSE") - COUNTBLANK($K187:$T187) &gt; 0, INDEX($K187:$T187, MATCH(TRUE, $K187:$T187 &lt;&gt; FALSE, 0)))</f>
        <v>0</v>
      </c>
      <c r="K187" s="712" t="b">
        <f ca="1">IF(AND('Start here'!$C$24=RefData!$B$5,'Discount rates'!$C$8&lt;&gt;RefData!$B$35,'Reconciliation report'!$E187=""),ErrorMsgs!$B187)</f>
        <v>0</v>
      </c>
      <c r="L187" s="712" t="b">
        <f ca="1">IF(AND('Start here'!$C$24=RefData!$B$5,'Discount rates'!$C$8=RefData!$B$35,'Reconciliation report'!$E187&lt;&gt;""),ErrorMsgs!$C187)</f>
        <v>0</v>
      </c>
      <c r="M187" s="714" t="b">
        <f ca="1">IF(AND('Start here'!$C$24=RefData!$B$4,'Discount rates'!$C$7=RefData!$B$8,'Discount rates'!$C$8&lt;&gt;RefData!$B$35,'Reconciliation report'!$E187=""),ErrorMsgs!$D187)</f>
        <v>0</v>
      </c>
      <c r="N187" s="714" t="b">
        <f ca="1">IF(AND('Start here'!$C$24=RefData!$B$4,'Discount rates'!$C$7=RefData!$B$8,'Discount rates'!$C$8=RefData!$B$35,'Reconciliation report'!$E187&lt;&gt;""),ErrorMsgs!$E187)</f>
        <v>0</v>
      </c>
      <c r="O187" s="712" t="b">
        <f ca="1">IF(AND('Start here'!$C$24=RefData!$B$4,'Discount rates'!$C$7=RefData!$B$7,'Reconciliation report'!$E187&lt;&gt;""),ErrorMsgs!$F187)</f>
        <v>0</v>
      </c>
      <c r="P187" s="712" t="b">
        <f ca="1">IF($E187&lt;-0.1,ErrorMsgs!$G187)</f>
        <v>0</v>
      </c>
      <c r="Q187" s="712" t="b">
        <f ca="1">IF($E187="",FALSE,IF($E187&gt;0.1,ErrorMsgs!$H187))</f>
        <v>0</v>
      </c>
      <c r="R187" s="712"/>
      <c r="S187" s="712"/>
      <c r="T187" s="712"/>
      <c r="U187" s="526" t="str">
        <f t="shared" ca="1" si="24"/>
        <v/>
      </c>
      <c r="V187" s="93" t="str" cm="1">
        <f t="array" aca="1" ref="V187" ca="1">CELL("format",INDIRECT(I187))</f>
        <v>P4</v>
      </c>
      <c r="W187" s="93" t="b">
        <f t="shared" ca="1" si="25"/>
        <v>0</v>
      </c>
      <c r="X187" s="715" t="str">
        <f t="shared" ca="1" si="23"/>
        <v/>
      </c>
      <c r="Y187" t="b">
        <f t="shared" ca="1" si="26"/>
        <v>1</v>
      </c>
    </row>
    <row r="188" spans="1:25" ht="63" customHeight="1">
      <c r="A188" s="705" t="s">
        <v>3194</v>
      </c>
      <c r="B188" s="716" t="str">
        <f t="shared" ca="1" si="27"/>
        <v>40-year assumptions - D21</v>
      </c>
      <c r="C188" s="707" t="str" cm="1">
        <f t="array" aca="1" ref="C188" ca="1">INDIRECT(LEFT(I188, FIND("!", I188)) &amp; RefData!$C$426 &amp; RIGHT(I188, LEN(I188) - FIND("!", I188) - 1))</f>
        <v>Year 15</v>
      </c>
      <c r="D188" s="92" t="str">
        <f t="shared" ca="1" si="22"/>
        <v/>
      </c>
      <c r="E188" s="708" t="str" cm="1">
        <f t="array" aca="1" ref="E188" ca="1">IF(INDIRECT($I188)= "", "", INDIRECT($I188))</f>
        <v/>
      </c>
      <c r="F188" s="709" t="str" cm="1">
        <f t="array" aca="1" ref="F188" ca="1">INDIRECT(LEFT(I188, FIND("!", I188)) &amp; RefData!$C$427 &amp; RIGHT(I188, LEN(I188) - FIND("!", I188) - 1))</f>
        <v>FYA 15.0</v>
      </c>
      <c r="G188" s="710" t="b">
        <f ca="1">IF(ISNUMBER(SEARCH(RefData!$B$2, $C188)), FALSE, TRUE)</f>
        <v>1</v>
      </c>
      <c r="H188" s="344">
        <f>'40-year assumptions'!D21</f>
        <v>0</v>
      </c>
      <c r="I188" s="712" t="str">
        <f t="shared" ca="1" si="28"/>
        <v>'40-year assumptions'!D21</v>
      </c>
      <c r="J188" s="713" t="b" cm="1">
        <f t="array" aca="1" ref="J188" ca="1">IF(COUNTIF($K188:$T188, "&lt;&gt;FALSE") - COUNTBLANK($K188:$T188) &gt; 0, INDEX($K188:$T188, MATCH(TRUE, $K188:$T188 &lt;&gt; FALSE, 0)))</f>
        <v>0</v>
      </c>
      <c r="K188" s="712" t="b">
        <f ca="1">IF(AND('Start here'!$C$24=RefData!$B$5,'Discount rates'!$C$8&lt;&gt;RefData!$B$35,'Reconciliation report'!$E188=""),ErrorMsgs!$B188)</f>
        <v>0</v>
      </c>
      <c r="L188" s="712" t="b">
        <f ca="1">IF(AND('Start here'!$C$24=RefData!$B$5,'Discount rates'!$C$8=RefData!$B$35,'Reconciliation report'!$E188&lt;&gt;""),ErrorMsgs!$C188)</f>
        <v>0</v>
      </c>
      <c r="M188" s="714" t="b">
        <f ca="1">IF(AND('Start here'!$C$24=RefData!$B$4,'Discount rates'!$C$7=RefData!$B$8,'Discount rates'!$C$8&lt;&gt;RefData!$B$35,'Reconciliation report'!$E188=""),ErrorMsgs!$D188)</f>
        <v>0</v>
      </c>
      <c r="N188" s="714" t="b">
        <f ca="1">IF(AND('Start here'!$C$24=RefData!$B$4,'Discount rates'!$C$7=RefData!$B$8,'Discount rates'!$C$8=RefData!$B$35,'Reconciliation report'!$E188&lt;&gt;""),ErrorMsgs!$E188)</f>
        <v>0</v>
      </c>
      <c r="O188" s="712" t="b">
        <f ca="1">IF(AND('Start here'!$C$24=RefData!$B$4,'Discount rates'!$C$7=RefData!$B$7,'Reconciliation report'!$E188&lt;&gt;""),ErrorMsgs!$F188)</f>
        <v>0</v>
      </c>
      <c r="P188" s="712" t="b">
        <f ca="1">IF($E188&lt;-0.1,ErrorMsgs!$G188)</f>
        <v>0</v>
      </c>
      <c r="Q188" s="712" t="b">
        <f ca="1">IF($E188="",FALSE,IF($E188&gt;0.1,ErrorMsgs!$H188))</f>
        <v>0</v>
      </c>
      <c r="R188" s="712"/>
      <c r="S188" s="712"/>
      <c r="T188" s="712"/>
      <c r="U188" s="526" t="str">
        <f t="shared" ca="1" si="24"/>
        <v/>
      </c>
      <c r="V188" s="93" t="str" cm="1">
        <f t="array" aca="1" ref="V188" ca="1">CELL("format",INDIRECT(I188))</f>
        <v>P4</v>
      </c>
      <c r="W188" s="93" t="b">
        <f t="shared" ca="1" si="25"/>
        <v>0</v>
      </c>
      <c r="X188" s="715" t="str">
        <f t="shared" ca="1" si="23"/>
        <v/>
      </c>
      <c r="Y188" t="b">
        <f t="shared" ca="1" si="26"/>
        <v>1</v>
      </c>
    </row>
    <row r="189" spans="1:25" ht="63" customHeight="1">
      <c r="A189" s="705" t="s">
        <v>3195</v>
      </c>
      <c r="B189" s="716" t="str">
        <f t="shared" ca="1" si="27"/>
        <v>40-year assumptions - D22</v>
      </c>
      <c r="C189" s="707" t="str" cm="1">
        <f t="array" aca="1" ref="C189" ca="1">INDIRECT(LEFT(I189, FIND("!", I189)) &amp; RefData!$C$426 &amp; RIGHT(I189, LEN(I189) - FIND("!", I189) - 1))</f>
        <v>Year 16</v>
      </c>
      <c r="D189" s="92" t="str">
        <f t="shared" ca="1" si="22"/>
        <v/>
      </c>
      <c r="E189" s="708" t="str" cm="1">
        <f t="array" aca="1" ref="E189" ca="1">IF(INDIRECT($I189)= "", "", INDIRECT($I189))</f>
        <v/>
      </c>
      <c r="F189" s="709" t="str" cm="1">
        <f t="array" aca="1" ref="F189" ca="1">INDIRECT(LEFT(I189, FIND("!", I189)) &amp; RefData!$C$427 &amp; RIGHT(I189, LEN(I189) - FIND("!", I189) - 1))</f>
        <v>FYA 16.0</v>
      </c>
      <c r="G189" s="710" t="b">
        <f ca="1">IF(ISNUMBER(SEARCH(RefData!$B$2, $C189)), FALSE, TRUE)</f>
        <v>1</v>
      </c>
      <c r="H189" s="344">
        <f>'40-year assumptions'!D22</f>
        <v>0</v>
      </c>
      <c r="I189" s="712" t="str">
        <f t="shared" ca="1" si="28"/>
        <v>'40-year assumptions'!D22</v>
      </c>
      <c r="J189" s="713" t="b" cm="1">
        <f t="array" aca="1" ref="J189" ca="1">IF(COUNTIF($K189:$T189, "&lt;&gt;FALSE") - COUNTBLANK($K189:$T189) &gt; 0, INDEX($K189:$T189, MATCH(TRUE, $K189:$T189 &lt;&gt; FALSE, 0)))</f>
        <v>0</v>
      </c>
      <c r="K189" s="712" t="b">
        <f ca="1">IF(AND('Start here'!$C$24=RefData!$B$5,'Discount rates'!$C$8&lt;&gt;RefData!$B$35,'Reconciliation report'!$E189=""),ErrorMsgs!$B189)</f>
        <v>0</v>
      </c>
      <c r="L189" s="712" t="b">
        <f ca="1">IF(AND('Start here'!$C$24=RefData!$B$5,'Discount rates'!$C$8=RefData!$B$35,'Reconciliation report'!$E189&lt;&gt;""),ErrorMsgs!$C189)</f>
        <v>0</v>
      </c>
      <c r="M189" s="714" t="b">
        <f ca="1">IF(AND('Start here'!$C$24=RefData!$B$4,'Discount rates'!$C$7=RefData!$B$8,'Discount rates'!$C$8&lt;&gt;RefData!$B$35,'Reconciliation report'!$E189=""),ErrorMsgs!$D189)</f>
        <v>0</v>
      </c>
      <c r="N189" s="714" t="b">
        <f ca="1">IF(AND('Start here'!$C$24=RefData!$B$4,'Discount rates'!$C$7=RefData!$B$8,'Discount rates'!$C$8=RefData!$B$35,'Reconciliation report'!$E189&lt;&gt;""),ErrorMsgs!$E189)</f>
        <v>0</v>
      </c>
      <c r="O189" s="712" t="b">
        <f ca="1">IF(AND('Start here'!$C$24=RefData!$B$4,'Discount rates'!$C$7=RefData!$B$7,'Reconciliation report'!$E189&lt;&gt;""),ErrorMsgs!$F189)</f>
        <v>0</v>
      </c>
      <c r="P189" s="712" t="b">
        <f ca="1">IF($E189&lt;-0.1,ErrorMsgs!$G189)</f>
        <v>0</v>
      </c>
      <c r="Q189" s="712" t="b">
        <f ca="1">IF($E189="",FALSE,IF($E189&gt;0.1,ErrorMsgs!$H189))</f>
        <v>0</v>
      </c>
      <c r="R189" s="712"/>
      <c r="S189" s="712"/>
      <c r="T189" s="712"/>
      <c r="U189" s="526" t="str">
        <f t="shared" ca="1" si="24"/>
        <v/>
      </c>
      <c r="V189" s="93" t="str" cm="1">
        <f t="array" aca="1" ref="V189" ca="1">CELL("format",INDIRECT(I189))</f>
        <v>P4</v>
      </c>
      <c r="W189" s="93" t="b">
        <f t="shared" ca="1" si="25"/>
        <v>0</v>
      </c>
      <c r="X189" s="715" t="str">
        <f t="shared" ca="1" si="23"/>
        <v/>
      </c>
      <c r="Y189" t="b">
        <f t="shared" ca="1" si="26"/>
        <v>1</v>
      </c>
    </row>
    <row r="190" spans="1:25" ht="63" customHeight="1">
      <c r="A190" s="705" t="s">
        <v>3196</v>
      </c>
      <c r="B190" s="716" t="str">
        <f t="shared" ca="1" si="27"/>
        <v>40-year assumptions - D23</v>
      </c>
      <c r="C190" s="707" t="str" cm="1">
        <f t="array" aca="1" ref="C190" ca="1">INDIRECT(LEFT(I190, FIND("!", I190)) &amp; RefData!$C$426 &amp; RIGHT(I190, LEN(I190) - FIND("!", I190) - 1))</f>
        <v>Year 17</v>
      </c>
      <c r="D190" s="92" t="str">
        <f t="shared" ca="1" si="22"/>
        <v/>
      </c>
      <c r="E190" s="708" t="str" cm="1">
        <f t="array" aca="1" ref="E190" ca="1">IF(INDIRECT($I190)= "", "", INDIRECT($I190))</f>
        <v/>
      </c>
      <c r="F190" s="709" t="str" cm="1">
        <f t="array" aca="1" ref="F190" ca="1">INDIRECT(LEFT(I190, FIND("!", I190)) &amp; RefData!$C$427 &amp; RIGHT(I190, LEN(I190) - FIND("!", I190) - 1))</f>
        <v>FYA 17.0</v>
      </c>
      <c r="G190" s="710" t="b">
        <f ca="1">IF(ISNUMBER(SEARCH(RefData!$B$2, $C190)), FALSE, TRUE)</f>
        <v>1</v>
      </c>
      <c r="H190" s="344">
        <f>'40-year assumptions'!D23</f>
        <v>0</v>
      </c>
      <c r="I190" s="712" t="str">
        <f t="shared" ca="1" si="28"/>
        <v>'40-year assumptions'!D23</v>
      </c>
      <c r="J190" s="713" t="b" cm="1">
        <f t="array" aca="1" ref="J190" ca="1">IF(COUNTIF($K190:$T190, "&lt;&gt;FALSE") - COUNTBLANK($K190:$T190) &gt; 0, INDEX($K190:$T190, MATCH(TRUE, $K190:$T190 &lt;&gt; FALSE, 0)))</f>
        <v>0</v>
      </c>
      <c r="K190" s="712" t="b">
        <f ca="1">IF(AND('Start here'!$C$24=RefData!$B$5,'Discount rates'!$C$8&lt;&gt;RefData!$B$35,'Reconciliation report'!$E190=""),ErrorMsgs!$B190)</f>
        <v>0</v>
      </c>
      <c r="L190" s="712" t="b">
        <f ca="1">IF(AND('Start here'!$C$24=RefData!$B$5,'Discount rates'!$C$8=RefData!$B$35,'Reconciliation report'!$E190&lt;&gt;""),ErrorMsgs!$C190)</f>
        <v>0</v>
      </c>
      <c r="M190" s="714" t="b">
        <f ca="1">IF(AND('Start here'!$C$24=RefData!$B$4,'Discount rates'!$C$7=RefData!$B$8,'Discount rates'!$C$8&lt;&gt;RefData!$B$35,'Reconciliation report'!$E190=""),ErrorMsgs!$D190)</f>
        <v>0</v>
      </c>
      <c r="N190" s="714" t="b">
        <f ca="1">IF(AND('Start here'!$C$24=RefData!$B$4,'Discount rates'!$C$7=RefData!$B$8,'Discount rates'!$C$8=RefData!$B$35,'Reconciliation report'!$E190&lt;&gt;""),ErrorMsgs!$E190)</f>
        <v>0</v>
      </c>
      <c r="O190" s="712" t="b">
        <f ca="1">IF(AND('Start here'!$C$24=RefData!$B$4,'Discount rates'!$C$7=RefData!$B$7,'Reconciliation report'!$E190&lt;&gt;""),ErrorMsgs!$F190)</f>
        <v>0</v>
      </c>
      <c r="P190" s="712" t="b">
        <f ca="1">IF($E190&lt;-0.1,ErrorMsgs!$G190)</f>
        <v>0</v>
      </c>
      <c r="Q190" s="712" t="b">
        <f ca="1">IF($E190="",FALSE,IF($E190&gt;0.1,ErrorMsgs!$H190))</f>
        <v>0</v>
      </c>
      <c r="R190" s="712"/>
      <c r="S190" s="712"/>
      <c r="T190" s="712"/>
      <c r="U190" s="526" t="str">
        <f t="shared" ca="1" si="24"/>
        <v/>
      </c>
      <c r="V190" s="93" t="str" cm="1">
        <f t="array" aca="1" ref="V190" ca="1">CELL("format",INDIRECT(I190))</f>
        <v>P4</v>
      </c>
      <c r="W190" s="93" t="b">
        <f t="shared" ca="1" si="25"/>
        <v>0</v>
      </c>
      <c r="X190" s="715" t="str">
        <f t="shared" ca="1" si="23"/>
        <v/>
      </c>
      <c r="Y190" t="b">
        <f t="shared" ca="1" si="26"/>
        <v>1</v>
      </c>
    </row>
    <row r="191" spans="1:25" ht="63" customHeight="1">
      <c r="A191" s="705" t="s">
        <v>3197</v>
      </c>
      <c r="B191" s="716" t="str">
        <f t="shared" ca="1" si="27"/>
        <v>40-year assumptions - D24</v>
      </c>
      <c r="C191" s="707" t="str" cm="1">
        <f t="array" aca="1" ref="C191" ca="1">INDIRECT(LEFT(I191, FIND("!", I191)) &amp; RefData!$C$426 &amp; RIGHT(I191, LEN(I191) - FIND("!", I191) - 1))</f>
        <v>Year 18</v>
      </c>
      <c r="D191" s="92" t="str">
        <f t="shared" ca="1" si="22"/>
        <v/>
      </c>
      <c r="E191" s="708" t="str" cm="1">
        <f t="array" aca="1" ref="E191" ca="1">IF(INDIRECT($I191)= "", "", INDIRECT($I191))</f>
        <v/>
      </c>
      <c r="F191" s="709" t="str" cm="1">
        <f t="array" aca="1" ref="F191" ca="1">INDIRECT(LEFT(I191, FIND("!", I191)) &amp; RefData!$C$427 &amp; RIGHT(I191, LEN(I191) - FIND("!", I191) - 1))</f>
        <v>FYA 18.0</v>
      </c>
      <c r="G191" s="710" t="b">
        <f ca="1">IF(ISNUMBER(SEARCH(RefData!$B$2, $C191)), FALSE, TRUE)</f>
        <v>1</v>
      </c>
      <c r="H191" s="344">
        <f>'40-year assumptions'!D24</f>
        <v>0</v>
      </c>
      <c r="I191" s="712" t="str">
        <f t="shared" ca="1" si="28"/>
        <v>'40-year assumptions'!D24</v>
      </c>
      <c r="J191" s="713" t="b" cm="1">
        <f t="array" aca="1" ref="J191" ca="1">IF(COUNTIF($K191:$T191, "&lt;&gt;FALSE") - COUNTBLANK($K191:$T191) &gt; 0, INDEX($K191:$T191, MATCH(TRUE, $K191:$T191 &lt;&gt; FALSE, 0)))</f>
        <v>0</v>
      </c>
      <c r="K191" s="712" t="b">
        <f ca="1">IF(AND('Start here'!$C$24=RefData!$B$5,'Discount rates'!$C$8&lt;&gt;RefData!$B$35,'Reconciliation report'!$E191=""),ErrorMsgs!$B191)</f>
        <v>0</v>
      </c>
      <c r="L191" s="712" t="b">
        <f ca="1">IF(AND('Start here'!$C$24=RefData!$B$5,'Discount rates'!$C$8=RefData!$B$35,'Reconciliation report'!$E191&lt;&gt;""),ErrorMsgs!$C191)</f>
        <v>0</v>
      </c>
      <c r="M191" s="714" t="b">
        <f ca="1">IF(AND('Start here'!$C$24=RefData!$B$4,'Discount rates'!$C$7=RefData!$B$8,'Discount rates'!$C$8&lt;&gt;RefData!$B$35,'Reconciliation report'!$E191=""),ErrorMsgs!$D191)</f>
        <v>0</v>
      </c>
      <c r="N191" s="714" t="b">
        <f ca="1">IF(AND('Start here'!$C$24=RefData!$B$4,'Discount rates'!$C$7=RefData!$B$8,'Discount rates'!$C$8=RefData!$B$35,'Reconciliation report'!$E191&lt;&gt;""),ErrorMsgs!$E191)</f>
        <v>0</v>
      </c>
      <c r="O191" s="712" t="b">
        <f ca="1">IF(AND('Start here'!$C$24=RefData!$B$4,'Discount rates'!$C$7=RefData!$B$7,'Reconciliation report'!$E191&lt;&gt;""),ErrorMsgs!$F191)</f>
        <v>0</v>
      </c>
      <c r="P191" s="712" t="b">
        <f ca="1">IF($E191&lt;-0.1,ErrorMsgs!$G191)</f>
        <v>0</v>
      </c>
      <c r="Q191" s="712" t="b">
        <f ca="1">IF($E191="",FALSE,IF($E191&gt;0.1,ErrorMsgs!$H191))</f>
        <v>0</v>
      </c>
      <c r="R191" s="712"/>
      <c r="S191" s="712"/>
      <c r="T191" s="712"/>
      <c r="U191" s="526" t="str">
        <f t="shared" ca="1" si="24"/>
        <v/>
      </c>
      <c r="V191" s="93" t="str" cm="1">
        <f t="array" aca="1" ref="V191" ca="1">CELL("format",INDIRECT(I191))</f>
        <v>P4</v>
      </c>
      <c r="W191" s="93" t="b">
        <f t="shared" ca="1" si="25"/>
        <v>0</v>
      </c>
      <c r="X191" s="715" t="str">
        <f t="shared" ca="1" si="23"/>
        <v/>
      </c>
      <c r="Y191" t="b">
        <f t="shared" ca="1" si="26"/>
        <v>1</v>
      </c>
    </row>
    <row r="192" spans="1:25" ht="63" customHeight="1">
      <c r="A192" s="705" t="s">
        <v>3198</v>
      </c>
      <c r="B192" s="716" t="str">
        <f t="shared" ca="1" si="27"/>
        <v>40-year assumptions - D25</v>
      </c>
      <c r="C192" s="707" t="str" cm="1">
        <f t="array" aca="1" ref="C192" ca="1">INDIRECT(LEFT(I192, FIND("!", I192)) &amp; RefData!$C$426 &amp; RIGHT(I192, LEN(I192) - FIND("!", I192) - 1))</f>
        <v>Year 19</v>
      </c>
      <c r="D192" s="92" t="str">
        <f t="shared" ca="1" si="22"/>
        <v/>
      </c>
      <c r="E192" s="708" t="str" cm="1">
        <f t="array" aca="1" ref="E192" ca="1">IF(INDIRECT($I192)= "", "", INDIRECT($I192))</f>
        <v/>
      </c>
      <c r="F192" s="709" t="str" cm="1">
        <f t="array" aca="1" ref="F192" ca="1">INDIRECT(LEFT(I192, FIND("!", I192)) &amp; RefData!$C$427 &amp; RIGHT(I192, LEN(I192) - FIND("!", I192) - 1))</f>
        <v>FYA 19.0</v>
      </c>
      <c r="G192" s="710" t="b">
        <f ca="1">IF(ISNUMBER(SEARCH(RefData!$B$2, $C192)), FALSE, TRUE)</f>
        <v>1</v>
      </c>
      <c r="H192" s="344">
        <f>'40-year assumptions'!D25</f>
        <v>0</v>
      </c>
      <c r="I192" s="712" t="str">
        <f t="shared" ca="1" si="28"/>
        <v>'40-year assumptions'!D25</v>
      </c>
      <c r="J192" s="713" t="b" cm="1">
        <f t="array" aca="1" ref="J192" ca="1">IF(COUNTIF($K192:$T192, "&lt;&gt;FALSE") - COUNTBLANK($K192:$T192) &gt; 0, INDEX($K192:$T192, MATCH(TRUE, $K192:$T192 &lt;&gt; FALSE, 0)))</f>
        <v>0</v>
      </c>
      <c r="K192" s="712" t="b">
        <f ca="1">IF(AND('Start here'!$C$24=RefData!$B$5,'Discount rates'!$C$8&lt;&gt;RefData!$B$35,'Reconciliation report'!$E192=""),ErrorMsgs!$B192)</f>
        <v>0</v>
      </c>
      <c r="L192" s="712" t="b">
        <f ca="1">IF(AND('Start here'!$C$24=RefData!$B$5,'Discount rates'!$C$8=RefData!$B$35,'Reconciliation report'!$E192&lt;&gt;""),ErrorMsgs!$C192)</f>
        <v>0</v>
      </c>
      <c r="M192" s="714" t="b">
        <f ca="1">IF(AND('Start here'!$C$24=RefData!$B$4,'Discount rates'!$C$7=RefData!$B$8,'Discount rates'!$C$8&lt;&gt;RefData!$B$35,'Reconciliation report'!$E192=""),ErrorMsgs!$D192)</f>
        <v>0</v>
      </c>
      <c r="N192" s="714" t="b">
        <f ca="1">IF(AND('Start here'!$C$24=RefData!$B$4,'Discount rates'!$C$7=RefData!$B$8,'Discount rates'!$C$8=RefData!$B$35,'Reconciliation report'!$E192&lt;&gt;""),ErrorMsgs!$E192)</f>
        <v>0</v>
      </c>
      <c r="O192" s="712" t="b">
        <f ca="1">IF(AND('Start here'!$C$24=RefData!$B$4,'Discount rates'!$C$7=RefData!$B$7,'Reconciliation report'!$E192&lt;&gt;""),ErrorMsgs!$F192)</f>
        <v>0</v>
      </c>
      <c r="P192" s="712" t="b">
        <f ca="1">IF($E192&lt;-0.1,ErrorMsgs!$G192)</f>
        <v>0</v>
      </c>
      <c r="Q192" s="712" t="b">
        <f ca="1">IF($E192="",FALSE,IF($E192&gt;0.1,ErrorMsgs!$H192))</f>
        <v>0</v>
      </c>
      <c r="R192" s="712"/>
      <c r="S192" s="712"/>
      <c r="T192" s="712"/>
      <c r="U192" s="526" t="str">
        <f t="shared" ca="1" si="24"/>
        <v/>
      </c>
      <c r="V192" s="93" t="str" cm="1">
        <f t="array" aca="1" ref="V192" ca="1">CELL("format",INDIRECT(I192))</f>
        <v>P4</v>
      </c>
      <c r="W192" s="93" t="b">
        <f t="shared" ca="1" si="25"/>
        <v>0</v>
      </c>
      <c r="X192" s="715" t="str">
        <f t="shared" ca="1" si="23"/>
        <v/>
      </c>
      <c r="Y192" t="b">
        <f t="shared" ca="1" si="26"/>
        <v>1</v>
      </c>
    </row>
    <row r="193" spans="1:25" ht="63" customHeight="1">
      <c r="A193" s="705" t="s">
        <v>3199</v>
      </c>
      <c r="B193" s="716" t="str">
        <f t="shared" ca="1" si="27"/>
        <v>40-year assumptions - D26</v>
      </c>
      <c r="C193" s="707" t="str" cm="1">
        <f t="array" aca="1" ref="C193" ca="1">INDIRECT(LEFT(I193, FIND("!", I193)) &amp; RefData!$C$426 &amp; RIGHT(I193, LEN(I193) - FIND("!", I193) - 1))</f>
        <v>Year 20</v>
      </c>
      <c r="D193" s="92" t="str">
        <f t="shared" ca="1" si="22"/>
        <v/>
      </c>
      <c r="E193" s="708" t="str" cm="1">
        <f t="array" aca="1" ref="E193" ca="1">IF(INDIRECT($I193)= "", "", INDIRECT($I193))</f>
        <v/>
      </c>
      <c r="F193" s="709" t="str" cm="1">
        <f t="array" aca="1" ref="F193" ca="1">INDIRECT(LEFT(I193, FIND("!", I193)) &amp; RefData!$C$427 &amp; RIGHT(I193, LEN(I193) - FIND("!", I193) - 1))</f>
        <v>FYA 20.0</v>
      </c>
      <c r="G193" s="710" t="b">
        <f ca="1">IF(ISNUMBER(SEARCH(RefData!$B$2, $C193)), FALSE, TRUE)</f>
        <v>1</v>
      </c>
      <c r="H193" s="344">
        <f>'40-year assumptions'!D26</f>
        <v>0</v>
      </c>
      <c r="I193" s="712" t="str">
        <f t="shared" ca="1" si="28"/>
        <v>'40-year assumptions'!D26</v>
      </c>
      <c r="J193" s="713" t="b" cm="1">
        <f t="array" aca="1" ref="J193" ca="1">IF(COUNTIF($K193:$T193, "&lt;&gt;FALSE") - COUNTBLANK($K193:$T193) &gt; 0, INDEX($K193:$T193, MATCH(TRUE, $K193:$T193 &lt;&gt; FALSE, 0)))</f>
        <v>0</v>
      </c>
      <c r="K193" s="712" t="b">
        <f ca="1">IF(AND('Start here'!$C$24=RefData!$B$5,'Discount rates'!$C$8&lt;&gt;RefData!$B$35,'Reconciliation report'!$E193=""),ErrorMsgs!$B193)</f>
        <v>0</v>
      </c>
      <c r="L193" s="712" t="b">
        <f ca="1">IF(AND('Start here'!$C$24=RefData!$B$5,'Discount rates'!$C$8=RefData!$B$35,'Reconciliation report'!$E193&lt;&gt;""),ErrorMsgs!$C193)</f>
        <v>0</v>
      </c>
      <c r="M193" s="714" t="b">
        <f ca="1">IF(AND('Start here'!$C$24=RefData!$B$4,'Discount rates'!$C$7=RefData!$B$8,'Discount rates'!$C$8&lt;&gt;RefData!$B$35,'Reconciliation report'!$E193=""),ErrorMsgs!$D193)</f>
        <v>0</v>
      </c>
      <c r="N193" s="714" t="b">
        <f ca="1">IF(AND('Start here'!$C$24=RefData!$B$4,'Discount rates'!$C$7=RefData!$B$8,'Discount rates'!$C$8=RefData!$B$35,'Reconciliation report'!$E193&lt;&gt;""),ErrorMsgs!$E193)</f>
        <v>0</v>
      </c>
      <c r="O193" s="712" t="b">
        <f ca="1">IF(AND('Start here'!$C$24=RefData!$B$4,'Discount rates'!$C$7=RefData!$B$7,'Reconciliation report'!$E193&lt;&gt;""),ErrorMsgs!$F193)</f>
        <v>0</v>
      </c>
      <c r="P193" s="712" t="b">
        <f ca="1">IF($E193&lt;-0.1,ErrorMsgs!$G193)</f>
        <v>0</v>
      </c>
      <c r="Q193" s="712" t="b">
        <f ca="1">IF($E193="",FALSE,IF($E193&gt;0.1,ErrorMsgs!$H193))</f>
        <v>0</v>
      </c>
      <c r="R193" s="712"/>
      <c r="S193" s="712"/>
      <c r="T193" s="712"/>
      <c r="U193" s="526" t="str">
        <f t="shared" ca="1" si="24"/>
        <v/>
      </c>
      <c r="V193" s="93" t="str" cm="1">
        <f t="array" aca="1" ref="V193" ca="1">CELL("format",INDIRECT(I193))</f>
        <v>P4</v>
      </c>
      <c r="W193" s="93" t="b">
        <f t="shared" ca="1" si="25"/>
        <v>0</v>
      </c>
      <c r="X193" s="715" t="str">
        <f t="shared" ca="1" si="23"/>
        <v/>
      </c>
      <c r="Y193" t="b">
        <f t="shared" ca="1" si="26"/>
        <v>1</v>
      </c>
    </row>
    <row r="194" spans="1:25" ht="63" customHeight="1">
      <c r="A194" s="705" t="s">
        <v>3200</v>
      </c>
      <c r="B194" s="716" t="str">
        <f t="shared" ca="1" si="27"/>
        <v>40-year assumptions - D27</v>
      </c>
      <c r="C194" s="707" t="str" cm="1">
        <f t="array" aca="1" ref="C194" ca="1">INDIRECT(LEFT(I194, FIND("!", I194)) &amp; RefData!$C$426 &amp; RIGHT(I194, LEN(I194) - FIND("!", I194) - 1))</f>
        <v>Year 21</v>
      </c>
      <c r="D194" s="92" t="str">
        <f t="shared" ref="D194:D257" ca="1" si="29">""&amp;IF(J194=FALSE, "", J194)
&amp;""</f>
        <v/>
      </c>
      <c r="E194" s="708" t="str" cm="1">
        <f t="array" aca="1" ref="E194" ca="1">IF(INDIRECT($I194)= "", "", INDIRECT($I194))</f>
        <v/>
      </c>
      <c r="F194" s="709" t="str" cm="1">
        <f t="array" aca="1" ref="F194" ca="1">INDIRECT(LEFT(I194, FIND("!", I194)) &amp; RefData!$C$427 &amp; RIGHT(I194, LEN(I194) - FIND("!", I194) - 1))</f>
        <v>FYA 21.0</v>
      </c>
      <c r="G194" s="710" t="b">
        <f ca="1">IF(ISNUMBER(SEARCH(RefData!$B$2, $C194)), FALSE, TRUE)</f>
        <v>1</v>
      </c>
      <c r="H194" s="344">
        <f>'40-year assumptions'!D27</f>
        <v>0</v>
      </c>
      <c r="I194" s="712" t="str">
        <f t="shared" ca="1" si="28"/>
        <v>'40-year assumptions'!D27</v>
      </c>
      <c r="J194" s="713" t="b" cm="1">
        <f t="array" aca="1" ref="J194" ca="1">IF(COUNTIF($K194:$T194, "&lt;&gt;FALSE") - COUNTBLANK($K194:$T194) &gt; 0, INDEX($K194:$T194, MATCH(TRUE, $K194:$T194 &lt;&gt; FALSE, 0)))</f>
        <v>0</v>
      </c>
      <c r="K194" s="712" t="b">
        <f ca="1">IF(AND('Start here'!$C$24=RefData!$B$5,'Discount rates'!$C$8&lt;&gt;RefData!$B$35,'Reconciliation report'!$E194=""),ErrorMsgs!$B194)</f>
        <v>0</v>
      </c>
      <c r="L194" s="712" t="b">
        <f ca="1">IF(AND('Start here'!$C$24=RefData!$B$5,'Discount rates'!$C$8=RefData!$B$35,'Reconciliation report'!$E194&lt;&gt;""),ErrorMsgs!$C194)</f>
        <v>0</v>
      </c>
      <c r="M194" s="714" t="b">
        <f ca="1">IF(AND('Start here'!$C$24=RefData!$B$4,'Discount rates'!$C$7=RefData!$B$8,'Discount rates'!$C$8&lt;&gt;RefData!$B$35,'Reconciliation report'!$E194=""),ErrorMsgs!$D194)</f>
        <v>0</v>
      </c>
      <c r="N194" s="714" t="b">
        <f ca="1">IF(AND('Start here'!$C$24=RefData!$B$4,'Discount rates'!$C$7=RefData!$B$8,'Discount rates'!$C$8=RefData!$B$35,'Reconciliation report'!$E194&lt;&gt;""),ErrorMsgs!$E194)</f>
        <v>0</v>
      </c>
      <c r="O194" s="712" t="b">
        <f ca="1">IF(AND('Start here'!$C$24=RefData!$B$4,'Discount rates'!$C$7=RefData!$B$7,'Reconciliation report'!$E194&lt;&gt;""),ErrorMsgs!$F194)</f>
        <v>0</v>
      </c>
      <c r="P194" s="712" t="b">
        <f ca="1">IF($E194&lt;-0.1,ErrorMsgs!$G194)</f>
        <v>0</v>
      </c>
      <c r="Q194" s="712" t="b">
        <f ca="1">IF($E194="",FALSE,IF($E194&gt;0.1,ErrorMsgs!$H194))</f>
        <v>0</v>
      </c>
      <c r="R194" s="712"/>
      <c r="S194" s="712"/>
      <c r="T194" s="712"/>
      <c r="U194" s="526" t="str">
        <f t="shared" ca="1" si="24"/>
        <v/>
      </c>
      <c r="V194" s="93" t="str" cm="1">
        <f t="array" aca="1" ref="V194" ca="1">CELL("format",INDIRECT(I194))</f>
        <v>P4</v>
      </c>
      <c r="W194" s="93" t="b">
        <f t="shared" ca="1" si="25"/>
        <v>0</v>
      </c>
      <c r="X194" s="715" t="str">
        <f t="shared" ref="X194:X257" ca="1" si="30">IF(W194, "0." &amp; IF(V194="P2",REPT("0", MIN(4, LEN(E194) - FIND(".", E194))),REPT("0", MIN(6, LEN(E194) - FIND(".", E194)))), "")</f>
        <v/>
      </c>
      <c r="Y194" t="b">
        <f t="shared" ca="1" si="26"/>
        <v>1</v>
      </c>
    </row>
    <row r="195" spans="1:25" ht="63" customHeight="1">
      <c r="A195" s="705" t="s">
        <v>3201</v>
      </c>
      <c r="B195" s="716" t="str">
        <f t="shared" ca="1" si="27"/>
        <v>40-year assumptions - D28</v>
      </c>
      <c r="C195" s="707" t="str" cm="1">
        <f t="array" aca="1" ref="C195" ca="1">INDIRECT(LEFT(I195, FIND("!", I195)) &amp; RefData!$C$426 &amp; RIGHT(I195, LEN(I195) - FIND("!", I195) - 1))</f>
        <v>Year 22</v>
      </c>
      <c r="D195" s="92" t="str">
        <f t="shared" ca="1" si="29"/>
        <v/>
      </c>
      <c r="E195" s="708" t="str" cm="1">
        <f t="array" aca="1" ref="E195" ca="1">IF(INDIRECT($I195)= "", "", INDIRECT($I195))</f>
        <v/>
      </c>
      <c r="F195" s="709" t="str" cm="1">
        <f t="array" aca="1" ref="F195" ca="1">INDIRECT(LEFT(I195, FIND("!", I195)) &amp; RefData!$C$427 &amp; RIGHT(I195, LEN(I195) - FIND("!", I195) - 1))</f>
        <v>FYA 22.0</v>
      </c>
      <c r="G195" s="710" t="b">
        <f ca="1">IF(ISNUMBER(SEARCH(RefData!$B$2, $C195)), FALSE, TRUE)</f>
        <v>1</v>
      </c>
      <c r="H195" s="344">
        <f>'40-year assumptions'!D28</f>
        <v>0</v>
      </c>
      <c r="I195" s="712" t="str">
        <f t="shared" ca="1" si="28"/>
        <v>'40-year assumptions'!D28</v>
      </c>
      <c r="J195" s="713" t="b" cm="1">
        <f t="array" aca="1" ref="J195" ca="1">IF(COUNTIF($K195:$T195, "&lt;&gt;FALSE") - COUNTBLANK($K195:$T195) &gt; 0, INDEX($K195:$T195, MATCH(TRUE, $K195:$T195 &lt;&gt; FALSE, 0)))</f>
        <v>0</v>
      </c>
      <c r="K195" s="712" t="b">
        <f ca="1">IF(AND('Start here'!$C$24=RefData!$B$5,'Discount rates'!$C$8&lt;&gt;RefData!$B$35,'Reconciliation report'!$E195=""),ErrorMsgs!$B195)</f>
        <v>0</v>
      </c>
      <c r="L195" s="712" t="b">
        <f ca="1">IF(AND('Start here'!$C$24=RefData!$B$5,'Discount rates'!$C$8=RefData!$B$35,'Reconciliation report'!$E195&lt;&gt;""),ErrorMsgs!$C195)</f>
        <v>0</v>
      </c>
      <c r="M195" s="714" t="b">
        <f ca="1">IF(AND('Start here'!$C$24=RefData!$B$4,'Discount rates'!$C$7=RefData!$B$8,'Discount rates'!$C$8&lt;&gt;RefData!$B$35,'Reconciliation report'!$E195=""),ErrorMsgs!$D195)</f>
        <v>0</v>
      </c>
      <c r="N195" s="714" t="b">
        <f ca="1">IF(AND('Start here'!$C$24=RefData!$B$4,'Discount rates'!$C$7=RefData!$B$8,'Discount rates'!$C$8=RefData!$B$35,'Reconciliation report'!$E195&lt;&gt;""),ErrorMsgs!$E195)</f>
        <v>0</v>
      </c>
      <c r="O195" s="712" t="b">
        <f ca="1">IF(AND('Start here'!$C$24=RefData!$B$4,'Discount rates'!$C$7=RefData!$B$7,'Reconciliation report'!$E195&lt;&gt;""),ErrorMsgs!$F195)</f>
        <v>0</v>
      </c>
      <c r="P195" s="712" t="b">
        <f ca="1">IF($E195&lt;-0.1,ErrorMsgs!$G195)</f>
        <v>0</v>
      </c>
      <c r="Q195" s="712" t="b">
        <f ca="1">IF($E195="",FALSE,IF($E195&gt;0.1,ErrorMsgs!$H195))</f>
        <v>0</v>
      </c>
      <c r="R195" s="712"/>
      <c r="S195" s="712"/>
      <c r="T195" s="712"/>
      <c r="U195" s="526" t="str">
        <f t="shared" ref="U195:U258" ca="1" si="31">IF(AND($W195=TRUE,$Y195=FALSE),TEXT($E195,$X195),$E195)</f>
        <v/>
      </c>
      <c r="V195" s="93" t="str" cm="1">
        <f t="array" aca="1" ref="V195" ca="1">CELL("format",INDIRECT(I195))</f>
        <v>P4</v>
      </c>
      <c r="W195" s="93" t="b">
        <f t="shared" ref="W195:W258" ca="1" si="32">IF(ISNUMBER(E195), IF(INT(E195)&lt;&gt;E195,TRUE,FALSE),FALSE)</f>
        <v>0</v>
      </c>
      <c r="X195" s="715" t="str">
        <f t="shared" ca="1" si="30"/>
        <v/>
      </c>
      <c r="Y195" t="b">
        <f t="shared" ref="Y195:Y258" ca="1" si="33">ISTEXT(E195)</f>
        <v>1</v>
      </c>
    </row>
    <row r="196" spans="1:25" ht="63" customHeight="1">
      <c r="A196" s="705" t="s">
        <v>3202</v>
      </c>
      <c r="B196" s="716" t="str">
        <f t="shared" ca="1" si="27"/>
        <v>40-year assumptions - D29</v>
      </c>
      <c r="C196" s="707" t="str" cm="1">
        <f t="array" aca="1" ref="C196" ca="1">INDIRECT(LEFT(I196, FIND("!", I196)) &amp; RefData!$C$426 &amp; RIGHT(I196, LEN(I196) - FIND("!", I196) - 1))</f>
        <v>Year 23</v>
      </c>
      <c r="D196" s="92" t="str">
        <f t="shared" ca="1" si="29"/>
        <v/>
      </c>
      <c r="E196" s="708" t="str" cm="1">
        <f t="array" aca="1" ref="E196" ca="1">IF(INDIRECT($I196)= "", "", INDIRECT($I196))</f>
        <v/>
      </c>
      <c r="F196" s="709" t="str" cm="1">
        <f t="array" aca="1" ref="F196" ca="1">INDIRECT(LEFT(I196, FIND("!", I196)) &amp; RefData!$C$427 &amp; RIGHT(I196, LEN(I196) - FIND("!", I196) - 1))</f>
        <v>FYA 23.0</v>
      </c>
      <c r="G196" s="710" t="b">
        <f ca="1">IF(ISNUMBER(SEARCH(RefData!$B$2, $C196)), FALSE, TRUE)</f>
        <v>1</v>
      </c>
      <c r="H196" s="344">
        <f>'40-year assumptions'!D29</f>
        <v>0</v>
      </c>
      <c r="I196" s="712" t="str">
        <f t="shared" ca="1" si="28"/>
        <v>'40-year assumptions'!D29</v>
      </c>
      <c r="J196" s="713" t="b" cm="1">
        <f t="array" aca="1" ref="J196" ca="1">IF(COUNTIF($K196:$T196, "&lt;&gt;FALSE") - COUNTBLANK($K196:$T196) &gt; 0, INDEX($K196:$T196, MATCH(TRUE, $K196:$T196 &lt;&gt; FALSE, 0)))</f>
        <v>0</v>
      </c>
      <c r="K196" s="712" t="b">
        <f ca="1">IF(AND('Start here'!$C$24=RefData!$B$5,'Discount rates'!$C$8&lt;&gt;RefData!$B$35,'Reconciliation report'!$E196=""),ErrorMsgs!$B196)</f>
        <v>0</v>
      </c>
      <c r="L196" s="712" t="b">
        <f ca="1">IF(AND('Start here'!$C$24=RefData!$B$5,'Discount rates'!$C$8=RefData!$B$35,'Reconciliation report'!$E196&lt;&gt;""),ErrorMsgs!$C196)</f>
        <v>0</v>
      </c>
      <c r="M196" s="714" t="b">
        <f ca="1">IF(AND('Start here'!$C$24=RefData!$B$4,'Discount rates'!$C$7=RefData!$B$8,'Discount rates'!$C$8&lt;&gt;RefData!$B$35,'Reconciliation report'!$E196=""),ErrorMsgs!$D196)</f>
        <v>0</v>
      </c>
      <c r="N196" s="714" t="b">
        <f ca="1">IF(AND('Start here'!$C$24=RefData!$B$4,'Discount rates'!$C$7=RefData!$B$8,'Discount rates'!$C$8=RefData!$B$35,'Reconciliation report'!$E196&lt;&gt;""),ErrorMsgs!$E196)</f>
        <v>0</v>
      </c>
      <c r="O196" s="712" t="b">
        <f ca="1">IF(AND('Start here'!$C$24=RefData!$B$4,'Discount rates'!$C$7=RefData!$B$7,'Reconciliation report'!$E196&lt;&gt;""),ErrorMsgs!$F196)</f>
        <v>0</v>
      </c>
      <c r="P196" s="712" t="b">
        <f ca="1">IF($E196&lt;-0.1,ErrorMsgs!$G196)</f>
        <v>0</v>
      </c>
      <c r="Q196" s="712" t="b">
        <f ca="1">IF($E196="",FALSE,IF($E196&gt;0.1,ErrorMsgs!$H196))</f>
        <v>0</v>
      </c>
      <c r="R196" s="712"/>
      <c r="S196" s="712"/>
      <c r="T196" s="712"/>
      <c r="U196" s="526" t="str">
        <f t="shared" ca="1" si="31"/>
        <v/>
      </c>
      <c r="V196" s="93" t="str" cm="1">
        <f t="array" aca="1" ref="V196" ca="1">CELL("format",INDIRECT(I196))</f>
        <v>P4</v>
      </c>
      <c r="W196" s="93" t="b">
        <f t="shared" ca="1" si="32"/>
        <v>0</v>
      </c>
      <c r="X196" s="715" t="str">
        <f t="shared" ca="1" si="30"/>
        <v/>
      </c>
      <c r="Y196" t="b">
        <f t="shared" ca="1" si="33"/>
        <v>1</v>
      </c>
    </row>
    <row r="197" spans="1:25" ht="63" customHeight="1">
      <c r="A197" s="705" t="s">
        <v>3203</v>
      </c>
      <c r="B197" s="716" t="str">
        <f t="shared" ca="1" si="27"/>
        <v>40-year assumptions - D30</v>
      </c>
      <c r="C197" s="707" t="str" cm="1">
        <f t="array" aca="1" ref="C197" ca="1">INDIRECT(LEFT(I197, FIND("!", I197)) &amp; RefData!$C$426 &amp; RIGHT(I197, LEN(I197) - FIND("!", I197) - 1))</f>
        <v>Year 24</v>
      </c>
      <c r="D197" s="92" t="str">
        <f t="shared" ca="1" si="29"/>
        <v/>
      </c>
      <c r="E197" s="708" t="str" cm="1">
        <f t="array" aca="1" ref="E197" ca="1">IF(INDIRECT($I197)= "", "", INDIRECT($I197))</f>
        <v/>
      </c>
      <c r="F197" s="709" t="str" cm="1">
        <f t="array" aca="1" ref="F197" ca="1">INDIRECT(LEFT(I197, FIND("!", I197)) &amp; RefData!$C$427 &amp; RIGHT(I197, LEN(I197) - FIND("!", I197) - 1))</f>
        <v>FYA 24.0</v>
      </c>
      <c r="G197" s="710" t="b">
        <f ca="1">IF(ISNUMBER(SEARCH(RefData!$B$2, $C197)), FALSE, TRUE)</f>
        <v>1</v>
      </c>
      <c r="H197" s="344">
        <f>'40-year assumptions'!D30</f>
        <v>0</v>
      </c>
      <c r="I197" s="712" t="str">
        <f t="shared" ca="1" si="28"/>
        <v>'40-year assumptions'!D30</v>
      </c>
      <c r="J197" s="713" t="b" cm="1">
        <f t="array" aca="1" ref="J197" ca="1">IF(COUNTIF($K197:$T197, "&lt;&gt;FALSE") - COUNTBLANK($K197:$T197) &gt; 0, INDEX($K197:$T197, MATCH(TRUE, $K197:$T197 &lt;&gt; FALSE, 0)))</f>
        <v>0</v>
      </c>
      <c r="K197" s="712" t="b">
        <f ca="1">IF(AND('Start here'!$C$24=RefData!$B$5,'Discount rates'!$C$8&lt;&gt;RefData!$B$35,'Reconciliation report'!$E197=""),ErrorMsgs!$B197)</f>
        <v>0</v>
      </c>
      <c r="L197" s="712" t="b">
        <f ca="1">IF(AND('Start here'!$C$24=RefData!$B$5,'Discount rates'!$C$8=RefData!$B$35,'Reconciliation report'!$E197&lt;&gt;""),ErrorMsgs!$C197)</f>
        <v>0</v>
      </c>
      <c r="M197" s="714" t="b">
        <f ca="1">IF(AND('Start here'!$C$24=RefData!$B$4,'Discount rates'!$C$7=RefData!$B$8,'Discount rates'!$C$8&lt;&gt;RefData!$B$35,'Reconciliation report'!$E197=""),ErrorMsgs!$D197)</f>
        <v>0</v>
      </c>
      <c r="N197" s="714" t="b">
        <f ca="1">IF(AND('Start here'!$C$24=RefData!$B$4,'Discount rates'!$C$7=RefData!$B$8,'Discount rates'!$C$8=RefData!$B$35,'Reconciliation report'!$E197&lt;&gt;""),ErrorMsgs!$E197)</f>
        <v>0</v>
      </c>
      <c r="O197" s="712" t="b">
        <f ca="1">IF(AND('Start here'!$C$24=RefData!$B$4,'Discount rates'!$C$7=RefData!$B$7,'Reconciliation report'!$E197&lt;&gt;""),ErrorMsgs!$F197)</f>
        <v>0</v>
      </c>
      <c r="P197" s="712" t="b">
        <f ca="1">IF($E197&lt;-0.1,ErrorMsgs!$G197)</f>
        <v>0</v>
      </c>
      <c r="Q197" s="712" t="b">
        <f ca="1">IF($E197="",FALSE,IF($E197&gt;0.1,ErrorMsgs!$H197))</f>
        <v>0</v>
      </c>
      <c r="R197" s="712"/>
      <c r="S197" s="712"/>
      <c r="T197" s="712"/>
      <c r="U197" s="526" t="str">
        <f t="shared" ca="1" si="31"/>
        <v/>
      </c>
      <c r="V197" s="93" t="str" cm="1">
        <f t="array" aca="1" ref="V197" ca="1">CELL("format",INDIRECT(I197))</f>
        <v>P4</v>
      </c>
      <c r="W197" s="93" t="b">
        <f t="shared" ca="1" si="32"/>
        <v>0</v>
      </c>
      <c r="X197" s="715" t="str">
        <f t="shared" ca="1" si="30"/>
        <v/>
      </c>
      <c r="Y197" t="b">
        <f t="shared" ca="1" si="33"/>
        <v>1</v>
      </c>
    </row>
    <row r="198" spans="1:25" ht="63" customHeight="1">
      <c r="A198" s="705" t="s">
        <v>3204</v>
      </c>
      <c r="B198" s="716" t="str">
        <f t="shared" ca="1" si="27"/>
        <v>40-year assumptions - D31</v>
      </c>
      <c r="C198" s="707" t="str" cm="1">
        <f t="array" aca="1" ref="C198" ca="1">INDIRECT(LEFT(I198, FIND("!", I198)) &amp; RefData!$C$426 &amp; RIGHT(I198, LEN(I198) - FIND("!", I198) - 1))</f>
        <v>Year 25</v>
      </c>
      <c r="D198" s="92" t="str">
        <f t="shared" ca="1" si="29"/>
        <v/>
      </c>
      <c r="E198" s="708" t="str" cm="1">
        <f t="array" aca="1" ref="E198" ca="1">IF(INDIRECT($I198)= "", "", INDIRECT($I198))</f>
        <v/>
      </c>
      <c r="F198" s="709" t="str" cm="1">
        <f t="array" aca="1" ref="F198" ca="1">INDIRECT(LEFT(I198, FIND("!", I198)) &amp; RefData!$C$427 &amp; RIGHT(I198, LEN(I198) - FIND("!", I198) - 1))</f>
        <v>FYA 25.0</v>
      </c>
      <c r="G198" s="710" t="b">
        <f ca="1">IF(ISNUMBER(SEARCH(RefData!$B$2, $C198)), FALSE, TRUE)</f>
        <v>1</v>
      </c>
      <c r="H198" s="344">
        <f>'40-year assumptions'!D31</f>
        <v>0</v>
      </c>
      <c r="I198" s="712" t="str">
        <f t="shared" ca="1" si="28"/>
        <v>'40-year assumptions'!D31</v>
      </c>
      <c r="J198" s="713" t="b" cm="1">
        <f t="array" aca="1" ref="J198" ca="1">IF(COUNTIF($K198:$T198, "&lt;&gt;FALSE") - COUNTBLANK($K198:$T198) &gt; 0, INDEX($K198:$T198, MATCH(TRUE, $K198:$T198 &lt;&gt; FALSE, 0)))</f>
        <v>0</v>
      </c>
      <c r="K198" s="712" t="b">
        <f ca="1">IF(AND('Start here'!$C$24=RefData!$B$5,'Discount rates'!$C$8&lt;&gt;RefData!$B$35,'Reconciliation report'!$E198=""),ErrorMsgs!$B198)</f>
        <v>0</v>
      </c>
      <c r="L198" s="712" t="b">
        <f ca="1">IF(AND('Start here'!$C$24=RefData!$B$5,'Discount rates'!$C$8=RefData!$B$35,'Reconciliation report'!$E198&lt;&gt;""),ErrorMsgs!$C198)</f>
        <v>0</v>
      </c>
      <c r="M198" s="714" t="b">
        <f ca="1">IF(AND('Start here'!$C$24=RefData!$B$4,'Discount rates'!$C$7=RefData!$B$8,'Discount rates'!$C$8&lt;&gt;RefData!$B$35,'Reconciliation report'!$E198=""),ErrorMsgs!$D198)</f>
        <v>0</v>
      </c>
      <c r="N198" s="714" t="b">
        <f ca="1">IF(AND('Start here'!$C$24=RefData!$B$4,'Discount rates'!$C$7=RefData!$B$8,'Discount rates'!$C$8=RefData!$B$35,'Reconciliation report'!$E198&lt;&gt;""),ErrorMsgs!$E198)</f>
        <v>0</v>
      </c>
      <c r="O198" s="712" t="b">
        <f ca="1">IF(AND('Start here'!$C$24=RefData!$B$4,'Discount rates'!$C$7=RefData!$B$7,'Reconciliation report'!$E198&lt;&gt;""),ErrorMsgs!$F198)</f>
        <v>0</v>
      </c>
      <c r="P198" s="712" t="b">
        <f ca="1">IF($E198&lt;-0.1,ErrorMsgs!$G198)</f>
        <v>0</v>
      </c>
      <c r="Q198" s="712" t="b">
        <f ca="1">IF($E198="",FALSE,IF($E198&gt;0.1,ErrorMsgs!$H198))</f>
        <v>0</v>
      </c>
      <c r="R198" s="712"/>
      <c r="S198" s="712"/>
      <c r="T198" s="712"/>
      <c r="U198" s="526" t="str">
        <f t="shared" ca="1" si="31"/>
        <v/>
      </c>
      <c r="V198" s="93" t="str" cm="1">
        <f t="array" aca="1" ref="V198" ca="1">CELL("format",INDIRECT(I198))</f>
        <v>P4</v>
      </c>
      <c r="W198" s="93" t="b">
        <f t="shared" ca="1" si="32"/>
        <v>0</v>
      </c>
      <c r="X198" s="715" t="str">
        <f t="shared" ca="1" si="30"/>
        <v/>
      </c>
      <c r="Y198" t="b">
        <f t="shared" ca="1" si="33"/>
        <v>1</v>
      </c>
    </row>
    <row r="199" spans="1:25" ht="63" customHeight="1">
      <c r="A199" s="705" t="s">
        <v>3205</v>
      </c>
      <c r="B199" s="716" t="str">
        <f t="shared" ca="1" si="27"/>
        <v>40-year assumptions - D32</v>
      </c>
      <c r="C199" s="707" t="str" cm="1">
        <f t="array" aca="1" ref="C199" ca="1">INDIRECT(LEFT(I199, FIND("!", I199)) &amp; RefData!$C$426 &amp; RIGHT(I199, LEN(I199) - FIND("!", I199) - 1))</f>
        <v>Year 26</v>
      </c>
      <c r="D199" s="92" t="str">
        <f t="shared" ca="1" si="29"/>
        <v/>
      </c>
      <c r="E199" s="708" t="str" cm="1">
        <f t="array" aca="1" ref="E199" ca="1">IF(INDIRECT($I199)= "", "", INDIRECT($I199))</f>
        <v/>
      </c>
      <c r="F199" s="709" t="str" cm="1">
        <f t="array" aca="1" ref="F199" ca="1">INDIRECT(LEFT(I199, FIND("!", I199)) &amp; RefData!$C$427 &amp; RIGHT(I199, LEN(I199) - FIND("!", I199) - 1))</f>
        <v>FYA 26.0</v>
      </c>
      <c r="G199" s="710" t="b">
        <f ca="1">IF(ISNUMBER(SEARCH(RefData!$B$2, $C199)), FALSE, TRUE)</f>
        <v>1</v>
      </c>
      <c r="H199" s="344">
        <f>'40-year assumptions'!D32</f>
        <v>0</v>
      </c>
      <c r="I199" s="712" t="str">
        <f t="shared" ca="1" si="28"/>
        <v>'40-year assumptions'!D32</v>
      </c>
      <c r="J199" s="713" t="b" cm="1">
        <f t="array" aca="1" ref="J199" ca="1">IF(COUNTIF($K199:$T199, "&lt;&gt;FALSE") - COUNTBLANK($K199:$T199) &gt; 0, INDEX($K199:$T199, MATCH(TRUE, $K199:$T199 &lt;&gt; FALSE, 0)))</f>
        <v>0</v>
      </c>
      <c r="K199" s="712" t="b">
        <f ca="1">IF(AND('Start here'!$C$24=RefData!$B$5,'Discount rates'!$C$8&lt;&gt;RefData!$B$35,'Reconciliation report'!$E199=""),ErrorMsgs!$B199)</f>
        <v>0</v>
      </c>
      <c r="L199" s="712" t="b">
        <f ca="1">IF(AND('Start here'!$C$24=RefData!$B$5,'Discount rates'!$C$8=RefData!$B$35,'Reconciliation report'!$E199&lt;&gt;""),ErrorMsgs!$C199)</f>
        <v>0</v>
      </c>
      <c r="M199" s="714" t="b">
        <f ca="1">IF(AND('Start here'!$C$24=RefData!$B$4,'Discount rates'!$C$7=RefData!$B$8,'Discount rates'!$C$8&lt;&gt;RefData!$B$35,'Reconciliation report'!$E199=""),ErrorMsgs!$D199)</f>
        <v>0</v>
      </c>
      <c r="N199" s="714" t="b">
        <f ca="1">IF(AND('Start here'!$C$24=RefData!$B$4,'Discount rates'!$C$7=RefData!$B$8,'Discount rates'!$C$8=RefData!$B$35,'Reconciliation report'!$E199&lt;&gt;""),ErrorMsgs!$E199)</f>
        <v>0</v>
      </c>
      <c r="O199" s="712" t="b">
        <f ca="1">IF(AND('Start here'!$C$24=RefData!$B$4,'Discount rates'!$C$7=RefData!$B$7,'Reconciliation report'!$E199&lt;&gt;""),ErrorMsgs!$F199)</f>
        <v>0</v>
      </c>
      <c r="P199" s="712" t="b">
        <f ca="1">IF($E199&lt;-0.1,ErrorMsgs!$G199)</f>
        <v>0</v>
      </c>
      <c r="Q199" s="712" t="b">
        <f ca="1">IF($E199="",FALSE,IF($E199&gt;0.1,ErrorMsgs!$H199))</f>
        <v>0</v>
      </c>
      <c r="R199" s="712"/>
      <c r="S199" s="712"/>
      <c r="T199" s="712"/>
      <c r="U199" s="526" t="str">
        <f t="shared" ca="1" si="31"/>
        <v/>
      </c>
      <c r="V199" s="93" t="str" cm="1">
        <f t="array" aca="1" ref="V199" ca="1">CELL("format",INDIRECT(I199))</f>
        <v>P4</v>
      </c>
      <c r="W199" s="93" t="b">
        <f t="shared" ca="1" si="32"/>
        <v>0</v>
      </c>
      <c r="X199" s="715" t="str">
        <f t="shared" ca="1" si="30"/>
        <v/>
      </c>
      <c r="Y199" t="b">
        <f t="shared" ca="1" si="33"/>
        <v>1</v>
      </c>
    </row>
    <row r="200" spans="1:25" ht="63" customHeight="1">
      <c r="A200" s="705" t="s">
        <v>3206</v>
      </c>
      <c r="B200" s="716" t="str">
        <f t="shared" ca="1" si="27"/>
        <v>40-year assumptions - D33</v>
      </c>
      <c r="C200" s="707" t="str" cm="1">
        <f t="array" aca="1" ref="C200" ca="1">INDIRECT(LEFT(I200, FIND("!", I200)) &amp; RefData!$C$426 &amp; RIGHT(I200, LEN(I200) - FIND("!", I200) - 1))</f>
        <v>Year 27</v>
      </c>
      <c r="D200" s="92" t="str">
        <f t="shared" ca="1" si="29"/>
        <v/>
      </c>
      <c r="E200" s="708" t="str" cm="1">
        <f t="array" aca="1" ref="E200" ca="1">IF(INDIRECT($I200)= "", "", INDIRECT($I200))</f>
        <v/>
      </c>
      <c r="F200" s="709" t="str" cm="1">
        <f t="array" aca="1" ref="F200" ca="1">INDIRECT(LEFT(I200, FIND("!", I200)) &amp; RefData!$C$427 &amp; RIGHT(I200, LEN(I200) - FIND("!", I200) - 1))</f>
        <v>FYA 27.0</v>
      </c>
      <c r="G200" s="710" t="b">
        <f ca="1">IF(ISNUMBER(SEARCH(RefData!$B$2, $C200)), FALSE, TRUE)</f>
        <v>1</v>
      </c>
      <c r="H200" s="344">
        <f>'40-year assumptions'!D33</f>
        <v>0</v>
      </c>
      <c r="I200" s="712" t="str">
        <f t="shared" ca="1" si="28"/>
        <v>'40-year assumptions'!D33</v>
      </c>
      <c r="J200" s="713" t="b" cm="1">
        <f t="array" aca="1" ref="J200" ca="1">IF(COUNTIF($K200:$T200, "&lt;&gt;FALSE") - COUNTBLANK($K200:$T200) &gt; 0, INDEX($K200:$T200, MATCH(TRUE, $K200:$T200 &lt;&gt; FALSE, 0)))</f>
        <v>0</v>
      </c>
      <c r="K200" s="712" t="b">
        <f ca="1">IF(AND('Start here'!$C$24=RefData!$B$5,'Discount rates'!$C$8&lt;&gt;RefData!$B$35,'Reconciliation report'!$E200=""),ErrorMsgs!$B200)</f>
        <v>0</v>
      </c>
      <c r="L200" s="712" t="b">
        <f ca="1">IF(AND('Start here'!$C$24=RefData!$B$5,'Discount rates'!$C$8=RefData!$B$35,'Reconciliation report'!$E200&lt;&gt;""),ErrorMsgs!$C200)</f>
        <v>0</v>
      </c>
      <c r="M200" s="714" t="b">
        <f ca="1">IF(AND('Start here'!$C$24=RefData!$B$4,'Discount rates'!$C$7=RefData!$B$8,'Discount rates'!$C$8&lt;&gt;RefData!$B$35,'Reconciliation report'!$E200=""),ErrorMsgs!$D200)</f>
        <v>0</v>
      </c>
      <c r="N200" s="714" t="b">
        <f ca="1">IF(AND('Start here'!$C$24=RefData!$B$4,'Discount rates'!$C$7=RefData!$B$8,'Discount rates'!$C$8=RefData!$B$35,'Reconciliation report'!$E200&lt;&gt;""),ErrorMsgs!$E200)</f>
        <v>0</v>
      </c>
      <c r="O200" s="712" t="b">
        <f ca="1">IF(AND('Start here'!$C$24=RefData!$B$4,'Discount rates'!$C$7=RefData!$B$7,'Reconciliation report'!$E200&lt;&gt;""),ErrorMsgs!$F200)</f>
        <v>0</v>
      </c>
      <c r="P200" s="712" t="b">
        <f ca="1">IF($E200&lt;-0.1,ErrorMsgs!$G200)</f>
        <v>0</v>
      </c>
      <c r="Q200" s="712" t="b">
        <f ca="1">IF($E200="",FALSE,IF($E200&gt;0.1,ErrorMsgs!$H200))</f>
        <v>0</v>
      </c>
      <c r="R200" s="712"/>
      <c r="S200" s="712"/>
      <c r="T200" s="712"/>
      <c r="U200" s="526" t="str">
        <f t="shared" ca="1" si="31"/>
        <v/>
      </c>
      <c r="V200" s="93" t="str" cm="1">
        <f t="array" aca="1" ref="V200" ca="1">CELL("format",INDIRECT(I200))</f>
        <v>P4</v>
      </c>
      <c r="W200" s="93" t="b">
        <f t="shared" ca="1" si="32"/>
        <v>0</v>
      </c>
      <c r="X200" s="715" t="str">
        <f t="shared" ca="1" si="30"/>
        <v/>
      </c>
      <c r="Y200" t="b">
        <f t="shared" ca="1" si="33"/>
        <v>1</v>
      </c>
    </row>
    <row r="201" spans="1:25" ht="63" customHeight="1">
      <c r="A201" s="705" t="s">
        <v>3207</v>
      </c>
      <c r="B201" s="716" t="str">
        <f t="shared" ca="1" si="27"/>
        <v>40-year assumptions - D34</v>
      </c>
      <c r="C201" s="707" t="str" cm="1">
        <f t="array" aca="1" ref="C201" ca="1">INDIRECT(LEFT(I201, FIND("!", I201)) &amp; RefData!$C$426 &amp; RIGHT(I201, LEN(I201) - FIND("!", I201) - 1))</f>
        <v>Year 28</v>
      </c>
      <c r="D201" s="92" t="str">
        <f t="shared" ca="1" si="29"/>
        <v/>
      </c>
      <c r="E201" s="708" t="str" cm="1">
        <f t="array" aca="1" ref="E201" ca="1">IF(INDIRECT($I201)= "", "", INDIRECT($I201))</f>
        <v/>
      </c>
      <c r="F201" s="709" t="str" cm="1">
        <f t="array" aca="1" ref="F201" ca="1">INDIRECT(LEFT(I201, FIND("!", I201)) &amp; RefData!$C$427 &amp; RIGHT(I201, LEN(I201) - FIND("!", I201) - 1))</f>
        <v>FYA 28.0</v>
      </c>
      <c r="G201" s="710" t="b">
        <f ca="1">IF(ISNUMBER(SEARCH(RefData!$B$2, $C201)), FALSE, TRUE)</f>
        <v>1</v>
      </c>
      <c r="H201" s="344">
        <f>'40-year assumptions'!D34</f>
        <v>0</v>
      </c>
      <c r="I201" s="712" t="str">
        <f t="shared" ca="1" si="28"/>
        <v>'40-year assumptions'!D34</v>
      </c>
      <c r="J201" s="713" t="b" cm="1">
        <f t="array" aca="1" ref="J201" ca="1">IF(COUNTIF($K201:$T201, "&lt;&gt;FALSE") - COUNTBLANK($K201:$T201) &gt; 0, INDEX($K201:$T201, MATCH(TRUE, $K201:$T201 &lt;&gt; FALSE, 0)))</f>
        <v>0</v>
      </c>
      <c r="K201" s="712" t="b">
        <f ca="1">IF(AND('Start here'!$C$24=RefData!$B$5,'Discount rates'!$C$8&lt;&gt;RefData!$B$35,'Reconciliation report'!$E201=""),ErrorMsgs!$B201)</f>
        <v>0</v>
      </c>
      <c r="L201" s="712" t="b">
        <f ca="1">IF(AND('Start here'!$C$24=RefData!$B$5,'Discount rates'!$C$8=RefData!$B$35,'Reconciliation report'!$E201&lt;&gt;""),ErrorMsgs!$C201)</f>
        <v>0</v>
      </c>
      <c r="M201" s="714" t="b">
        <f ca="1">IF(AND('Start here'!$C$24=RefData!$B$4,'Discount rates'!$C$7=RefData!$B$8,'Discount rates'!$C$8&lt;&gt;RefData!$B$35,'Reconciliation report'!$E201=""),ErrorMsgs!$D201)</f>
        <v>0</v>
      </c>
      <c r="N201" s="714" t="b">
        <f ca="1">IF(AND('Start here'!$C$24=RefData!$B$4,'Discount rates'!$C$7=RefData!$B$8,'Discount rates'!$C$8=RefData!$B$35,'Reconciliation report'!$E201&lt;&gt;""),ErrorMsgs!$E201)</f>
        <v>0</v>
      </c>
      <c r="O201" s="712" t="b">
        <f ca="1">IF(AND('Start here'!$C$24=RefData!$B$4,'Discount rates'!$C$7=RefData!$B$7,'Reconciliation report'!$E201&lt;&gt;""),ErrorMsgs!$F201)</f>
        <v>0</v>
      </c>
      <c r="P201" s="712" t="b">
        <f ca="1">IF($E201&lt;-0.1,ErrorMsgs!$G201)</f>
        <v>0</v>
      </c>
      <c r="Q201" s="712" t="b">
        <f ca="1">IF($E201="",FALSE,IF($E201&gt;0.1,ErrorMsgs!$H201))</f>
        <v>0</v>
      </c>
      <c r="R201" s="712"/>
      <c r="S201" s="712"/>
      <c r="T201" s="712"/>
      <c r="U201" s="526" t="str">
        <f t="shared" ca="1" si="31"/>
        <v/>
      </c>
      <c r="V201" s="93" t="str" cm="1">
        <f t="array" aca="1" ref="V201" ca="1">CELL("format",INDIRECT(I201))</f>
        <v>P4</v>
      </c>
      <c r="W201" s="93" t="b">
        <f t="shared" ca="1" si="32"/>
        <v>0</v>
      </c>
      <c r="X201" s="715" t="str">
        <f t="shared" ca="1" si="30"/>
        <v/>
      </c>
      <c r="Y201" t="b">
        <f t="shared" ca="1" si="33"/>
        <v>1</v>
      </c>
    </row>
    <row r="202" spans="1:25" ht="63" customHeight="1">
      <c r="A202" s="705" t="s">
        <v>3208</v>
      </c>
      <c r="B202" s="716" t="str">
        <f t="shared" ca="1" si="27"/>
        <v>40-year assumptions - D35</v>
      </c>
      <c r="C202" s="707" t="str" cm="1">
        <f t="array" aca="1" ref="C202" ca="1">INDIRECT(LEFT(I202, FIND("!", I202)) &amp; RefData!$C$426 &amp; RIGHT(I202, LEN(I202) - FIND("!", I202) - 1))</f>
        <v>Year 29</v>
      </c>
      <c r="D202" s="92" t="str">
        <f t="shared" ca="1" si="29"/>
        <v/>
      </c>
      <c r="E202" s="708" t="str" cm="1">
        <f t="array" aca="1" ref="E202" ca="1">IF(INDIRECT($I202)= "", "", INDIRECT($I202))</f>
        <v/>
      </c>
      <c r="F202" s="709" t="str" cm="1">
        <f t="array" aca="1" ref="F202" ca="1">INDIRECT(LEFT(I202, FIND("!", I202)) &amp; RefData!$C$427 &amp; RIGHT(I202, LEN(I202) - FIND("!", I202) - 1))</f>
        <v>FYA 29.0</v>
      </c>
      <c r="G202" s="710" t="b">
        <f ca="1">IF(ISNUMBER(SEARCH(RefData!$B$2, $C202)), FALSE, TRUE)</f>
        <v>1</v>
      </c>
      <c r="H202" s="344">
        <f>'40-year assumptions'!D35</f>
        <v>0</v>
      </c>
      <c r="I202" s="712" t="str">
        <f t="shared" ca="1" si="28"/>
        <v>'40-year assumptions'!D35</v>
      </c>
      <c r="J202" s="713" t="b" cm="1">
        <f t="array" aca="1" ref="J202" ca="1">IF(COUNTIF($K202:$T202, "&lt;&gt;FALSE") - COUNTBLANK($K202:$T202) &gt; 0, INDEX($K202:$T202, MATCH(TRUE, $K202:$T202 &lt;&gt; FALSE, 0)))</f>
        <v>0</v>
      </c>
      <c r="K202" s="712" t="b">
        <f ca="1">IF(AND('Start here'!$C$24=RefData!$B$5,'Discount rates'!$C$8&lt;&gt;RefData!$B$35,'Reconciliation report'!$E202=""),ErrorMsgs!$B202)</f>
        <v>0</v>
      </c>
      <c r="L202" s="712" t="b">
        <f ca="1">IF(AND('Start here'!$C$24=RefData!$B$5,'Discount rates'!$C$8=RefData!$B$35,'Reconciliation report'!$E202&lt;&gt;""),ErrorMsgs!$C202)</f>
        <v>0</v>
      </c>
      <c r="M202" s="714" t="b">
        <f ca="1">IF(AND('Start here'!$C$24=RefData!$B$4,'Discount rates'!$C$7=RefData!$B$8,'Discount rates'!$C$8&lt;&gt;RefData!$B$35,'Reconciliation report'!$E202=""),ErrorMsgs!$D202)</f>
        <v>0</v>
      </c>
      <c r="N202" s="714" t="b">
        <f ca="1">IF(AND('Start here'!$C$24=RefData!$B$4,'Discount rates'!$C$7=RefData!$B$8,'Discount rates'!$C$8=RefData!$B$35,'Reconciliation report'!$E202&lt;&gt;""),ErrorMsgs!$E202)</f>
        <v>0</v>
      </c>
      <c r="O202" s="712" t="b">
        <f ca="1">IF(AND('Start here'!$C$24=RefData!$B$4,'Discount rates'!$C$7=RefData!$B$7,'Reconciliation report'!$E202&lt;&gt;""),ErrorMsgs!$F202)</f>
        <v>0</v>
      </c>
      <c r="P202" s="712" t="b">
        <f ca="1">IF($E202&lt;-0.1,ErrorMsgs!$G202)</f>
        <v>0</v>
      </c>
      <c r="Q202" s="712" t="b">
        <f ca="1">IF($E202="",FALSE,IF($E202&gt;0.1,ErrorMsgs!$H202))</f>
        <v>0</v>
      </c>
      <c r="R202" s="712"/>
      <c r="S202" s="712"/>
      <c r="T202" s="712"/>
      <c r="U202" s="526" t="str">
        <f t="shared" ca="1" si="31"/>
        <v/>
      </c>
      <c r="V202" s="93" t="str" cm="1">
        <f t="array" aca="1" ref="V202" ca="1">CELL("format",INDIRECT(I202))</f>
        <v>P4</v>
      </c>
      <c r="W202" s="93" t="b">
        <f t="shared" ca="1" si="32"/>
        <v>0</v>
      </c>
      <c r="X202" s="715" t="str">
        <f t="shared" ca="1" si="30"/>
        <v/>
      </c>
      <c r="Y202" t="b">
        <f t="shared" ca="1" si="33"/>
        <v>1</v>
      </c>
    </row>
    <row r="203" spans="1:25" ht="63" customHeight="1">
      <c r="A203" s="705" t="s">
        <v>3209</v>
      </c>
      <c r="B203" s="716" t="str">
        <f t="shared" ca="1" si="27"/>
        <v>40-year assumptions - D36</v>
      </c>
      <c r="C203" s="707" t="str" cm="1">
        <f t="array" aca="1" ref="C203" ca="1">INDIRECT(LEFT(I203, FIND("!", I203)) &amp; RefData!$C$426 &amp; RIGHT(I203, LEN(I203) - FIND("!", I203) - 1))</f>
        <v>Year 30</v>
      </c>
      <c r="D203" s="92" t="str">
        <f t="shared" ca="1" si="29"/>
        <v/>
      </c>
      <c r="E203" s="708" t="str" cm="1">
        <f t="array" aca="1" ref="E203" ca="1">IF(INDIRECT($I203)= "", "", INDIRECT($I203))</f>
        <v/>
      </c>
      <c r="F203" s="709" t="str" cm="1">
        <f t="array" aca="1" ref="F203" ca="1">INDIRECT(LEFT(I203, FIND("!", I203)) &amp; RefData!$C$427 &amp; RIGHT(I203, LEN(I203) - FIND("!", I203) - 1))</f>
        <v>FYA 30.0</v>
      </c>
      <c r="G203" s="710" t="b">
        <f ca="1">IF(ISNUMBER(SEARCH(RefData!$B$2, $C203)), FALSE, TRUE)</f>
        <v>1</v>
      </c>
      <c r="H203" s="344">
        <f>'40-year assumptions'!D36</f>
        <v>0</v>
      </c>
      <c r="I203" s="712" t="str">
        <f t="shared" ca="1" si="28"/>
        <v>'40-year assumptions'!D36</v>
      </c>
      <c r="J203" s="713" t="b" cm="1">
        <f t="array" aca="1" ref="J203" ca="1">IF(COUNTIF($K203:$T203, "&lt;&gt;FALSE") - COUNTBLANK($K203:$T203) &gt; 0, INDEX($K203:$T203, MATCH(TRUE, $K203:$T203 &lt;&gt; FALSE, 0)))</f>
        <v>0</v>
      </c>
      <c r="K203" s="712" t="b">
        <f ca="1">IF(AND('Start here'!$C$24=RefData!$B$5,'Discount rates'!$C$8&lt;&gt;RefData!$B$35,'Reconciliation report'!$E203=""),ErrorMsgs!$B203)</f>
        <v>0</v>
      </c>
      <c r="L203" s="712" t="b">
        <f ca="1">IF(AND('Start here'!$C$24=RefData!$B$5,'Discount rates'!$C$8=RefData!$B$35,'Reconciliation report'!$E203&lt;&gt;""),ErrorMsgs!$C203)</f>
        <v>0</v>
      </c>
      <c r="M203" s="714" t="b">
        <f ca="1">IF(AND('Start here'!$C$24=RefData!$B$4,'Discount rates'!$C$7=RefData!$B$8,'Discount rates'!$C$8&lt;&gt;RefData!$B$35,'Reconciliation report'!$E203=""),ErrorMsgs!$D203)</f>
        <v>0</v>
      </c>
      <c r="N203" s="714" t="b">
        <f ca="1">IF(AND('Start here'!$C$24=RefData!$B$4,'Discount rates'!$C$7=RefData!$B$8,'Discount rates'!$C$8=RefData!$B$35,'Reconciliation report'!$E203&lt;&gt;""),ErrorMsgs!$E203)</f>
        <v>0</v>
      </c>
      <c r="O203" s="712" t="b">
        <f ca="1">IF(AND('Start here'!$C$24=RefData!$B$4,'Discount rates'!$C$7=RefData!$B$7,'Reconciliation report'!$E203&lt;&gt;""),ErrorMsgs!$F203)</f>
        <v>0</v>
      </c>
      <c r="P203" s="712" t="b">
        <f ca="1">IF($E203&lt;-0.1,ErrorMsgs!$G203)</f>
        <v>0</v>
      </c>
      <c r="Q203" s="712" t="b">
        <f ca="1">IF($E203="",FALSE,IF($E203&gt;0.1,ErrorMsgs!$H203))</f>
        <v>0</v>
      </c>
      <c r="R203" s="712"/>
      <c r="S203" s="712"/>
      <c r="T203" s="712"/>
      <c r="U203" s="526" t="str">
        <f t="shared" ca="1" si="31"/>
        <v/>
      </c>
      <c r="V203" s="93" t="str" cm="1">
        <f t="array" aca="1" ref="V203" ca="1">CELL("format",INDIRECT(I203))</f>
        <v>P4</v>
      </c>
      <c r="W203" s="93" t="b">
        <f t="shared" ca="1" si="32"/>
        <v>0</v>
      </c>
      <c r="X203" s="715" t="str">
        <f t="shared" ca="1" si="30"/>
        <v/>
      </c>
      <c r="Y203" t="b">
        <f t="shared" ca="1" si="33"/>
        <v>1</v>
      </c>
    </row>
    <row r="204" spans="1:25" ht="63" customHeight="1">
      <c r="A204" s="705" t="s">
        <v>3210</v>
      </c>
      <c r="B204" s="716" t="str">
        <f t="shared" ref="B204:B267" ca="1" si="34">HYPERLINK("#" &amp; $I204, SUBSTITUTE(SUBSTITUTE($I204, "!", " - "), "'",""))</f>
        <v>40-year assumptions - D37</v>
      </c>
      <c r="C204" s="707" t="str" cm="1">
        <f t="array" aca="1" ref="C204" ca="1">INDIRECT(LEFT(I204, FIND("!", I204)) &amp; RefData!$C$426 &amp; RIGHT(I204, LEN(I204) - FIND("!", I204) - 1))</f>
        <v>Year 31</v>
      </c>
      <c r="D204" s="92" t="str">
        <f t="shared" ca="1" si="29"/>
        <v/>
      </c>
      <c r="E204" s="708" t="str" cm="1">
        <f t="array" aca="1" ref="E204" ca="1">IF(INDIRECT($I204)= "", "", INDIRECT($I204))</f>
        <v/>
      </c>
      <c r="F204" s="709" t="str" cm="1">
        <f t="array" aca="1" ref="F204" ca="1">INDIRECT(LEFT(I204, FIND("!", I204)) &amp; RefData!$C$427 &amp; RIGHT(I204, LEN(I204) - FIND("!", I204) - 1))</f>
        <v>FYA 31.0</v>
      </c>
      <c r="G204" s="710" t="b">
        <f ca="1">IF(ISNUMBER(SEARCH(RefData!$B$2, $C204)), FALSE, TRUE)</f>
        <v>1</v>
      </c>
      <c r="H204" s="344">
        <f>'40-year assumptions'!D37</f>
        <v>0</v>
      </c>
      <c r="I204" s="712" t="str">
        <f t="shared" ref="I204:I267" ca="1" si="35">SUBSTITUTE(_xlfn.FORMULATEXT($H204), "=", "")</f>
        <v>'40-year assumptions'!D37</v>
      </c>
      <c r="J204" s="713" t="b" cm="1">
        <f t="array" aca="1" ref="J204" ca="1">IF(COUNTIF($K204:$T204, "&lt;&gt;FALSE") - COUNTBLANK($K204:$T204) &gt; 0, INDEX($K204:$T204, MATCH(TRUE, $K204:$T204 &lt;&gt; FALSE, 0)))</f>
        <v>0</v>
      </c>
      <c r="K204" s="712" t="b">
        <f ca="1">IF(AND('Start here'!$C$24=RefData!$B$5,'Discount rates'!$C$8&lt;&gt;RefData!$B$35,'Reconciliation report'!$E204=""),ErrorMsgs!$B204)</f>
        <v>0</v>
      </c>
      <c r="L204" s="712" t="b">
        <f ca="1">IF(AND('Start here'!$C$24=RefData!$B$5,'Discount rates'!$C$8=RefData!$B$35,'Reconciliation report'!$E204&lt;&gt;""),ErrorMsgs!$C204)</f>
        <v>0</v>
      </c>
      <c r="M204" s="714" t="b">
        <f ca="1">IF(AND('Start here'!$C$24=RefData!$B$4,'Discount rates'!$C$7=RefData!$B$8,'Discount rates'!$C$8&lt;&gt;RefData!$B$35,'Reconciliation report'!$E204=""),ErrorMsgs!$D204)</f>
        <v>0</v>
      </c>
      <c r="N204" s="714" t="b">
        <f ca="1">IF(AND('Start here'!$C$24=RefData!$B$4,'Discount rates'!$C$7=RefData!$B$8,'Discount rates'!$C$8=RefData!$B$35,'Reconciliation report'!$E204&lt;&gt;""),ErrorMsgs!$E204)</f>
        <v>0</v>
      </c>
      <c r="O204" s="712" t="b">
        <f ca="1">IF(AND('Start here'!$C$24=RefData!$B$4,'Discount rates'!$C$7=RefData!$B$7,'Reconciliation report'!$E204&lt;&gt;""),ErrorMsgs!$F204)</f>
        <v>0</v>
      </c>
      <c r="P204" s="712" t="b">
        <f ca="1">IF($E204&lt;-0.1,ErrorMsgs!$G204)</f>
        <v>0</v>
      </c>
      <c r="Q204" s="712" t="b">
        <f ca="1">IF($E204="",FALSE,IF($E204&gt;0.1,ErrorMsgs!$H204))</f>
        <v>0</v>
      </c>
      <c r="R204" s="712"/>
      <c r="S204" s="712"/>
      <c r="T204" s="712"/>
      <c r="U204" s="526" t="str">
        <f t="shared" ca="1" si="31"/>
        <v/>
      </c>
      <c r="V204" s="93" t="str" cm="1">
        <f t="array" aca="1" ref="V204" ca="1">CELL("format",INDIRECT(I204))</f>
        <v>P4</v>
      </c>
      <c r="W204" s="93" t="b">
        <f t="shared" ca="1" si="32"/>
        <v>0</v>
      </c>
      <c r="X204" s="715" t="str">
        <f t="shared" ca="1" si="30"/>
        <v/>
      </c>
      <c r="Y204" t="b">
        <f t="shared" ca="1" si="33"/>
        <v>1</v>
      </c>
    </row>
    <row r="205" spans="1:25" ht="63" customHeight="1">
      <c r="A205" s="705" t="s">
        <v>3211</v>
      </c>
      <c r="B205" s="716" t="str">
        <f t="shared" ca="1" si="34"/>
        <v>40-year assumptions - D38</v>
      </c>
      <c r="C205" s="707" t="str" cm="1">
        <f t="array" aca="1" ref="C205" ca="1">INDIRECT(LEFT(I205, FIND("!", I205)) &amp; RefData!$C$426 &amp; RIGHT(I205, LEN(I205) - FIND("!", I205) - 1))</f>
        <v>Year 32</v>
      </c>
      <c r="D205" s="92" t="str">
        <f t="shared" ca="1" si="29"/>
        <v/>
      </c>
      <c r="E205" s="708" t="str" cm="1">
        <f t="array" aca="1" ref="E205" ca="1">IF(INDIRECT($I205)= "", "", INDIRECT($I205))</f>
        <v/>
      </c>
      <c r="F205" s="709" t="str" cm="1">
        <f t="array" aca="1" ref="F205" ca="1">INDIRECT(LEFT(I205, FIND("!", I205)) &amp; RefData!$C$427 &amp; RIGHT(I205, LEN(I205) - FIND("!", I205) - 1))</f>
        <v>FYA 32.0</v>
      </c>
      <c r="G205" s="710" t="b">
        <f ca="1">IF(ISNUMBER(SEARCH(RefData!$B$2, $C205)), FALSE, TRUE)</f>
        <v>1</v>
      </c>
      <c r="H205" s="344">
        <f>'40-year assumptions'!D38</f>
        <v>0</v>
      </c>
      <c r="I205" s="712" t="str">
        <f t="shared" ca="1" si="35"/>
        <v>'40-year assumptions'!D38</v>
      </c>
      <c r="J205" s="713" t="b" cm="1">
        <f t="array" aca="1" ref="J205" ca="1">IF(COUNTIF($K205:$T205, "&lt;&gt;FALSE") - COUNTBLANK($K205:$T205) &gt; 0, INDEX($K205:$T205, MATCH(TRUE, $K205:$T205 &lt;&gt; FALSE, 0)))</f>
        <v>0</v>
      </c>
      <c r="K205" s="712" t="b">
        <f ca="1">IF(AND('Start here'!$C$24=RefData!$B$5,'Discount rates'!$C$8&lt;&gt;RefData!$B$35,'Reconciliation report'!$E205=""),ErrorMsgs!$B205)</f>
        <v>0</v>
      </c>
      <c r="L205" s="712" t="b">
        <f ca="1">IF(AND('Start here'!$C$24=RefData!$B$5,'Discount rates'!$C$8=RefData!$B$35,'Reconciliation report'!$E205&lt;&gt;""),ErrorMsgs!$C205)</f>
        <v>0</v>
      </c>
      <c r="M205" s="714" t="b">
        <f ca="1">IF(AND('Start here'!$C$24=RefData!$B$4,'Discount rates'!$C$7=RefData!$B$8,'Discount rates'!$C$8&lt;&gt;RefData!$B$35,'Reconciliation report'!$E205=""),ErrorMsgs!$D205)</f>
        <v>0</v>
      </c>
      <c r="N205" s="714" t="b">
        <f ca="1">IF(AND('Start here'!$C$24=RefData!$B$4,'Discount rates'!$C$7=RefData!$B$8,'Discount rates'!$C$8=RefData!$B$35,'Reconciliation report'!$E205&lt;&gt;""),ErrorMsgs!$E205)</f>
        <v>0</v>
      </c>
      <c r="O205" s="712" t="b">
        <f ca="1">IF(AND('Start here'!$C$24=RefData!$B$4,'Discount rates'!$C$7=RefData!$B$7,'Reconciliation report'!$E205&lt;&gt;""),ErrorMsgs!$F205)</f>
        <v>0</v>
      </c>
      <c r="P205" s="712" t="b">
        <f ca="1">IF($E205&lt;-0.1,ErrorMsgs!$G205)</f>
        <v>0</v>
      </c>
      <c r="Q205" s="712" t="b">
        <f ca="1">IF($E205="",FALSE,IF($E205&gt;0.1,ErrorMsgs!$H205))</f>
        <v>0</v>
      </c>
      <c r="R205" s="712"/>
      <c r="S205" s="712"/>
      <c r="T205" s="712"/>
      <c r="U205" s="526" t="str">
        <f t="shared" ca="1" si="31"/>
        <v/>
      </c>
      <c r="V205" s="93" t="str" cm="1">
        <f t="array" aca="1" ref="V205" ca="1">CELL("format",INDIRECT(I205))</f>
        <v>P4</v>
      </c>
      <c r="W205" s="93" t="b">
        <f t="shared" ca="1" si="32"/>
        <v>0</v>
      </c>
      <c r="X205" s="715" t="str">
        <f t="shared" ca="1" si="30"/>
        <v/>
      </c>
      <c r="Y205" t="b">
        <f t="shared" ca="1" si="33"/>
        <v>1</v>
      </c>
    </row>
    <row r="206" spans="1:25" ht="63" customHeight="1">
      <c r="A206" s="705" t="s">
        <v>3212</v>
      </c>
      <c r="B206" s="716" t="str">
        <f t="shared" ca="1" si="34"/>
        <v>40-year assumptions - D39</v>
      </c>
      <c r="C206" s="707" t="str" cm="1">
        <f t="array" aca="1" ref="C206" ca="1">INDIRECT(LEFT(I206, FIND("!", I206)) &amp; RefData!$C$426 &amp; RIGHT(I206, LEN(I206) - FIND("!", I206) - 1))</f>
        <v>Year 33</v>
      </c>
      <c r="D206" s="92" t="str">
        <f t="shared" ca="1" si="29"/>
        <v/>
      </c>
      <c r="E206" s="708" t="str" cm="1">
        <f t="array" aca="1" ref="E206" ca="1">IF(INDIRECT($I206)= "", "", INDIRECT($I206))</f>
        <v/>
      </c>
      <c r="F206" s="709" t="str" cm="1">
        <f t="array" aca="1" ref="F206" ca="1">INDIRECT(LEFT(I206, FIND("!", I206)) &amp; RefData!$C$427 &amp; RIGHT(I206, LEN(I206) - FIND("!", I206) - 1))</f>
        <v>FYA 33.0</v>
      </c>
      <c r="G206" s="710" t="b">
        <f ca="1">IF(ISNUMBER(SEARCH(RefData!$B$2, $C206)), FALSE, TRUE)</f>
        <v>1</v>
      </c>
      <c r="H206" s="344">
        <f>'40-year assumptions'!D39</f>
        <v>0</v>
      </c>
      <c r="I206" s="712" t="str">
        <f t="shared" ca="1" si="35"/>
        <v>'40-year assumptions'!D39</v>
      </c>
      <c r="J206" s="713" t="b" cm="1">
        <f t="array" aca="1" ref="J206" ca="1">IF(COUNTIF($K206:$T206, "&lt;&gt;FALSE") - COUNTBLANK($K206:$T206) &gt; 0, INDEX($K206:$T206, MATCH(TRUE, $K206:$T206 &lt;&gt; FALSE, 0)))</f>
        <v>0</v>
      </c>
      <c r="K206" s="712" t="b">
        <f ca="1">IF(AND('Start here'!$C$24=RefData!$B$5,'Discount rates'!$C$8&lt;&gt;RefData!$B$35,'Reconciliation report'!$E206=""),ErrorMsgs!$B206)</f>
        <v>0</v>
      </c>
      <c r="L206" s="712" t="b">
        <f ca="1">IF(AND('Start here'!$C$24=RefData!$B$5,'Discount rates'!$C$8=RefData!$B$35,'Reconciliation report'!$E206&lt;&gt;""),ErrorMsgs!$C206)</f>
        <v>0</v>
      </c>
      <c r="M206" s="714" t="b">
        <f ca="1">IF(AND('Start here'!$C$24=RefData!$B$4,'Discount rates'!$C$7=RefData!$B$8,'Discount rates'!$C$8&lt;&gt;RefData!$B$35,'Reconciliation report'!$E206=""),ErrorMsgs!$D206)</f>
        <v>0</v>
      </c>
      <c r="N206" s="714" t="b">
        <f ca="1">IF(AND('Start here'!$C$24=RefData!$B$4,'Discount rates'!$C$7=RefData!$B$8,'Discount rates'!$C$8=RefData!$B$35,'Reconciliation report'!$E206&lt;&gt;""),ErrorMsgs!$E206)</f>
        <v>0</v>
      </c>
      <c r="O206" s="712" t="b">
        <f ca="1">IF(AND('Start here'!$C$24=RefData!$B$4,'Discount rates'!$C$7=RefData!$B$7,'Reconciliation report'!$E206&lt;&gt;""),ErrorMsgs!$F206)</f>
        <v>0</v>
      </c>
      <c r="P206" s="712" t="b">
        <f ca="1">IF($E206&lt;-0.1,ErrorMsgs!$G206)</f>
        <v>0</v>
      </c>
      <c r="Q206" s="712" t="b">
        <f ca="1">IF($E206="",FALSE,IF($E206&gt;0.1,ErrorMsgs!$H206))</f>
        <v>0</v>
      </c>
      <c r="R206" s="712"/>
      <c r="S206" s="712"/>
      <c r="T206" s="712"/>
      <c r="U206" s="526" t="str">
        <f t="shared" ca="1" si="31"/>
        <v/>
      </c>
      <c r="V206" s="93" t="str" cm="1">
        <f t="array" aca="1" ref="V206" ca="1">CELL("format",INDIRECT(I206))</f>
        <v>P4</v>
      </c>
      <c r="W206" s="93" t="b">
        <f t="shared" ca="1" si="32"/>
        <v>0</v>
      </c>
      <c r="X206" s="715" t="str">
        <f t="shared" ca="1" si="30"/>
        <v/>
      </c>
      <c r="Y206" t="b">
        <f t="shared" ca="1" si="33"/>
        <v>1</v>
      </c>
    </row>
    <row r="207" spans="1:25" ht="63" customHeight="1">
      <c r="A207" s="705" t="s">
        <v>3213</v>
      </c>
      <c r="B207" s="716" t="str">
        <f t="shared" ca="1" si="34"/>
        <v>40-year assumptions - D40</v>
      </c>
      <c r="C207" s="707" t="str" cm="1">
        <f t="array" aca="1" ref="C207" ca="1">INDIRECT(LEFT(I207, FIND("!", I207)) &amp; RefData!$C$426 &amp; RIGHT(I207, LEN(I207) - FIND("!", I207) - 1))</f>
        <v>Year 34</v>
      </c>
      <c r="D207" s="92" t="str">
        <f t="shared" ca="1" si="29"/>
        <v/>
      </c>
      <c r="E207" s="708" t="str" cm="1">
        <f t="array" aca="1" ref="E207" ca="1">IF(INDIRECT($I207)= "", "", INDIRECT($I207))</f>
        <v/>
      </c>
      <c r="F207" s="709" t="str" cm="1">
        <f t="array" aca="1" ref="F207" ca="1">INDIRECT(LEFT(I207, FIND("!", I207)) &amp; RefData!$C$427 &amp; RIGHT(I207, LEN(I207) - FIND("!", I207) - 1))</f>
        <v>FYA 34.0</v>
      </c>
      <c r="G207" s="710" t="b">
        <f ca="1">IF(ISNUMBER(SEARCH(RefData!$B$2, $C207)), FALSE, TRUE)</f>
        <v>1</v>
      </c>
      <c r="H207" s="344">
        <f>'40-year assumptions'!D40</f>
        <v>0</v>
      </c>
      <c r="I207" s="712" t="str">
        <f t="shared" ca="1" si="35"/>
        <v>'40-year assumptions'!D40</v>
      </c>
      <c r="J207" s="713" t="b" cm="1">
        <f t="array" aca="1" ref="J207" ca="1">IF(COUNTIF($K207:$T207, "&lt;&gt;FALSE") - COUNTBLANK($K207:$T207) &gt; 0, INDEX($K207:$T207, MATCH(TRUE, $K207:$T207 &lt;&gt; FALSE, 0)))</f>
        <v>0</v>
      </c>
      <c r="K207" s="712" t="b">
        <f ca="1">IF(AND('Start here'!$C$24=RefData!$B$5,'Discount rates'!$C$8&lt;&gt;RefData!$B$35,'Reconciliation report'!$E207=""),ErrorMsgs!$B207)</f>
        <v>0</v>
      </c>
      <c r="L207" s="712" t="b">
        <f ca="1">IF(AND('Start here'!$C$24=RefData!$B$5,'Discount rates'!$C$8=RefData!$B$35,'Reconciliation report'!$E207&lt;&gt;""),ErrorMsgs!$C207)</f>
        <v>0</v>
      </c>
      <c r="M207" s="714" t="b">
        <f ca="1">IF(AND('Start here'!$C$24=RefData!$B$4,'Discount rates'!$C$7=RefData!$B$8,'Discount rates'!$C$8&lt;&gt;RefData!$B$35,'Reconciliation report'!$E207=""),ErrorMsgs!$D207)</f>
        <v>0</v>
      </c>
      <c r="N207" s="714" t="b">
        <f ca="1">IF(AND('Start here'!$C$24=RefData!$B$4,'Discount rates'!$C$7=RefData!$B$8,'Discount rates'!$C$8=RefData!$B$35,'Reconciliation report'!$E207&lt;&gt;""),ErrorMsgs!$E207)</f>
        <v>0</v>
      </c>
      <c r="O207" s="712" t="b">
        <f ca="1">IF(AND('Start here'!$C$24=RefData!$B$4,'Discount rates'!$C$7=RefData!$B$7,'Reconciliation report'!$E207&lt;&gt;""),ErrorMsgs!$F207)</f>
        <v>0</v>
      </c>
      <c r="P207" s="712" t="b">
        <f ca="1">IF($E207&lt;-0.1,ErrorMsgs!$G207)</f>
        <v>0</v>
      </c>
      <c r="Q207" s="712" t="b">
        <f ca="1">IF($E207="",FALSE,IF($E207&gt;0.1,ErrorMsgs!$H207))</f>
        <v>0</v>
      </c>
      <c r="R207" s="712"/>
      <c r="S207" s="712"/>
      <c r="T207" s="712"/>
      <c r="U207" s="526" t="str">
        <f t="shared" ca="1" si="31"/>
        <v/>
      </c>
      <c r="V207" s="93" t="str" cm="1">
        <f t="array" aca="1" ref="V207" ca="1">CELL("format",INDIRECT(I207))</f>
        <v>P4</v>
      </c>
      <c r="W207" s="93" t="b">
        <f t="shared" ca="1" si="32"/>
        <v>0</v>
      </c>
      <c r="X207" s="715" t="str">
        <f t="shared" ca="1" si="30"/>
        <v/>
      </c>
      <c r="Y207" t="b">
        <f t="shared" ca="1" si="33"/>
        <v>1</v>
      </c>
    </row>
    <row r="208" spans="1:25" ht="63" customHeight="1">
      <c r="A208" s="705" t="s">
        <v>3214</v>
      </c>
      <c r="B208" s="716" t="str">
        <f t="shared" ca="1" si="34"/>
        <v>40-year assumptions - D41</v>
      </c>
      <c r="C208" s="707" t="str" cm="1">
        <f t="array" aca="1" ref="C208" ca="1">INDIRECT(LEFT(I208, FIND("!", I208)) &amp; RefData!$C$426 &amp; RIGHT(I208, LEN(I208) - FIND("!", I208) - 1))</f>
        <v>Year 35</v>
      </c>
      <c r="D208" s="92" t="str">
        <f t="shared" ca="1" si="29"/>
        <v/>
      </c>
      <c r="E208" s="708" t="str" cm="1">
        <f t="array" aca="1" ref="E208" ca="1">IF(INDIRECT($I208)= "", "", INDIRECT($I208))</f>
        <v/>
      </c>
      <c r="F208" s="709" t="str" cm="1">
        <f t="array" aca="1" ref="F208" ca="1">INDIRECT(LEFT(I208, FIND("!", I208)) &amp; RefData!$C$427 &amp; RIGHT(I208, LEN(I208) - FIND("!", I208) - 1))</f>
        <v>FYA 35.0</v>
      </c>
      <c r="G208" s="710" t="b">
        <f ca="1">IF(ISNUMBER(SEARCH(RefData!$B$2, $C208)), FALSE, TRUE)</f>
        <v>1</v>
      </c>
      <c r="H208" s="344">
        <f>'40-year assumptions'!D41</f>
        <v>0</v>
      </c>
      <c r="I208" s="712" t="str">
        <f t="shared" ca="1" si="35"/>
        <v>'40-year assumptions'!D41</v>
      </c>
      <c r="J208" s="713" t="b" cm="1">
        <f t="array" aca="1" ref="J208" ca="1">IF(COUNTIF($K208:$T208, "&lt;&gt;FALSE") - COUNTBLANK($K208:$T208) &gt; 0, INDEX($K208:$T208, MATCH(TRUE, $K208:$T208 &lt;&gt; FALSE, 0)))</f>
        <v>0</v>
      </c>
      <c r="K208" s="712" t="b">
        <f ca="1">IF(AND('Start here'!$C$24=RefData!$B$5,'Discount rates'!$C$8&lt;&gt;RefData!$B$35,'Reconciliation report'!$E208=""),ErrorMsgs!$B208)</f>
        <v>0</v>
      </c>
      <c r="L208" s="712" t="b">
        <f ca="1">IF(AND('Start here'!$C$24=RefData!$B$5,'Discount rates'!$C$8=RefData!$B$35,'Reconciliation report'!$E208&lt;&gt;""),ErrorMsgs!$C208)</f>
        <v>0</v>
      </c>
      <c r="M208" s="714" t="b">
        <f ca="1">IF(AND('Start here'!$C$24=RefData!$B$4,'Discount rates'!$C$7=RefData!$B$8,'Discount rates'!$C$8&lt;&gt;RefData!$B$35,'Reconciliation report'!$E208=""),ErrorMsgs!$D208)</f>
        <v>0</v>
      </c>
      <c r="N208" s="714" t="b">
        <f ca="1">IF(AND('Start here'!$C$24=RefData!$B$4,'Discount rates'!$C$7=RefData!$B$8,'Discount rates'!$C$8=RefData!$B$35,'Reconciliation report'!$E208&lt;&gt;""),ErrorMsgs!$E208)</f>
        <v>0</v>
      </c>
      <c r="O208" s="712" t="b">
        <f ca="1">IF(AND('Start here'!$C$24=RefData!$B$4,'Discount rates'!$C$7=RefData!$B$7,'Reconciliation report'!$E208&lt;&gt;""),ErrorMsgs!$F208)</f>
        <v>0</v>
      </c>
      <c r="P208" s="712" t="b">
        <f ca="1">IF($E208&lt;-0.1,ErrorMsgs!$G208)</f>
        <v>0</v>
      </c>
      <c r="Q208" s="712" t="b">
        <f ca="1">IF($E208="",FALSE,IF($E208&gt;0.1,ErrorMsgs!$H208))</f>
        <v>0</v>
      </c>
      <c r="R208" s="712"/>
      <c r="S208" s="712"/>
      <c r="T208" s="712"/>
      <c r="U208" s="526" t="str">
        <f t="shared" ca="1" si="31"/>
        <v/>
      </c>
      <c r="V208" s="93" t="str" cm="1">
        <f t="array" aca="1" ref="V208" ca="1">CELL("format",INDIRECT(I208))</f>
        <v>P4</v>
      </c>
      <c r="W208" s="93" t="b">
        <f t="shared" ca="1" si="32"/>
        <v>0</v>
      </c>
      <c r="X208" s="715" t="str">
        <f t="shared" ca="1" si="30"/>
        <v/>
      </c>
      <c r="Y208" t="b">
        <f t="shared" ca="1" si="33"/>
        <v>1</v>
      </c>
    </row>
    <row r="209" spans="1:25" ht="63" customHeight="1">
      <c r="A209" s="705" t="s">
        <v>3215</v>
      </c>
      <c r="B209" s="716" t="str">
        <f t="shared" ca="1" si="34"/>
        <v>40-year assumptions - D42</v>
      </c>
      <c r="C209" s="707" t="str" cm="1">
        <f t="array" aca="1" ref="C209" ca="1">INDIRECT(LEFT(I209, FIND("!", I209)) &amp; RefData!$C$426 &amp; RIGHT(I209, LEN(I209) - FIND("!", I209) - 1))</f>
        <v>Year 36</v>
      </c>
      <c r="D209" s="92" t="str">
        <f t="shared" ca="1" si="29"/>
        <v/>
      </c>
      <c r="E209" s="708" t="str" cm="1">
        <f t="array" aca="1" ref="E209" ca="1">IF(INDIRECT($I209)= "", "", INDIRECT($I209))</f>
        <v/>
      </c>
      <c r="F209" s="709" t="str" cm="1">
        <f t="array" aca="1" ref="F209" ca="1">INDIRECT(LEFT(I209, FIND("!", I209)) &amp; RefData!$C$427 &amp; RIGHT(I209, LEN(I209) - FIND("!", I209) - 1))</f>
        <v>FYA 36.0</v>
      </c>
      <c r="G209" s="710" t="b">
        <f ca="1">IF(ISNUMBER(SEARCH(RefData!$B$2, $C209)), FALSE, TRUE)</f>
        <v>1</v>
      </c>
      <c r="H209" s="344">
        <f>'40-year assumptions'!D42</f>
        <v>0</v>
      </c>
      <c r="I209" s="712" t="str">
        <f t="shared" ca="1" si="35"/>
        <v>'40-year assumptions'!D42</v>
      </c>
      <c r="J209" s="713" t="b" cm="1">
        <f t="array" aca="1" ref="J209" ca="1">IF(COUNTIF($K209:$T209, "&lt;&gt;FALSE") - COUNTBLANK($K209:$T209) &gt; 0, INDEX($K209:$T209, MATCH(TRUE, $K209:$T209 &lt;&gt; FALSE, 0)))</f>
        <v>0</v>
      </c>
      <c r="K209" s="712" t="b">
        <f ca="1">IF(AND('Start here'!$C$24=RefData!$B$5,'Discount rates'!$C$8&lt;&gt;RefData!$B$35,'Reconciliation report'!$E209=""),ErrorMsgs!$B209)</f>
        <v>0</v>
      </c>
      <c r="L209" s="712" t="b">
        <f ca="1">IF(AND('Start here'!$C$24=RefData!$B$5,'Discount rates'!$C$8=RefData!$B$35,'Reconciliation report'!$E209&lt;&gt;""),ErrorMsgs!$C209)</f>
        <v>0</v>
      </c>
      <c r="M209" s="714" t="b">
        <f ca="1">IF(AND('Start here'!$C$24=RefData!$B$4,'Discount rates'!$C$7=RefData!$B$8,'Discount rates'!$C$8&lt;&gt;RefData!$B$35,'Reconciliation report'!$E209=""),ErrorMsgs!$D209)</f>
        <v>0</v>
      </c>
      <c r="N209" s="714" t="b">
        <f ca="1">IF(AND('Start here'!$C$24=RefData!$B$4,'Discount rates'!$C$7=RefData!$B$8,'Discount rates'!$C$8=RefData!$B$35,'Reconciliation report'!$E209&lt;&gt;""),ErrorMsgs!$E209)</f>
        <v>0</v>
      </c>
      <c r="O209" s="712" t="b">
        <f ca="1">IF(AND('Start here'!$C$24=RefData!$B$4,'Discount rates'!$C$7=RefData!$B$7,'Reconciliation report'!$E209&lt;&gt;""),ErrorMsgs!$F209)</f>
        <v>0</v>
      </c>
      <c r="P209" s="712" t="b">
        <f ca="1">IF($E209&lt;-0.1,ErrorMsgs!$G209)</f>
        <v>0</v>
      </c>
      <c r="Q209" s="712" t="b">
        <f ca="1">IF($E209="",FALSE,IF($E209&gt;0.1,ErrorMsgs!$H209))</f>
        <v>0</v>
      </c>
      <c r="R209" s="712"/>
      <c r="S209" s="712"/>
      <c r="T209" s="712"/>
      <c r="U209" s="526" t="str">
        <f t="shared" ca="1" si="31"/>
        <v/>
      </c>
      <c r="V209" s="93" t="str" cm="1">
        <f t="array" aca="1" ref="V209" ca="1">CELL("format",INDIRECT(I209))</f>
        <v>P4</v>
      </c>
      <c r="W209" s="93" t="b">
        <f t="shared" ca="1" si="32"/>
        <v>0</v>
      </c>
      <c r="X209" s="715" t="str">
        <f t="shared" ca="1" si="30"/>
        <v/>
      </c>
      <c r="Y209" t="b">
        <f t="shared" ca="1" si="33"/>
        <v>1</v>
      </c>
    </row>
    <row r="210" spans="1:25" ht="63" customHeight="1">
      <c r="A210" s="705" t="s">
        <v>3216</v>
      </c>
      <c r="B210" s="716" t="str">
        <f t="shared" ca="1" si="34"/>
        <v>40-year assumptions - D43</v>
      </c>
      <c r="C210" s="707" t="str" cm="1">
        <f t="array" aca="1" ref="C210" ca="1">INDIRECT(LEFT(I210, FIND("!", I210)) &amp; RefData!$C$426 &amp; RIGHT(I210, LEN(I210) - FIND("!", I210) - 1))</f>
        <v>Year 37</v>
      </c>
      <c r="D210" s="92" t="str">
        <f t="shared" ca="1" si="29"/>
        <v/>
      </c>
      <c r="E210" s="708" t="str" cm="1">
        <f t="array" aca="1" ref="E210" ca="1">IF(INDIRECT($I210)= "", "", INDIRECT($I210))</f>
        <v/>
      </c>
      <c r="F210" s="709" t="str" cm="1">
        <f t="array" aca="1" ref="F210" ca="1">INDIRECT(LEFT(I210, FIND("!", I210)) &amp; RefData!$C$427 &amp; RIGHT(I210, LEN(I210) - FIND("!", I210) - 1))</f>
        <v>FYA 37.0</v>
      </c>
      <c r="G210" s="710" t="b">
        <f ca="1">IF(ISNUMBER(SEARCH(RefData!$B$2, $C210)), FALSE, TRUE)</f>
        <v>1</v>
      </c>
      <c r="H210" s="344">
        <f>'40-year assumptions'!D43</f>
        <v>0</v>
      </c>
      <c r="I210" s="712" t="str">
        <f t="shared" ca="1" si="35"/>
        <v>'40-year assumptions'!D43</v>
      </c>
      <c r="J210" s="713" t="b" cm="1">
        <f t="array" aca="1" ref="J210" ca="1">IF(COUNTIF($K210:$T210, "&lt;&gt;FALSE") - COUNTBLANK($K210:$T210) &gt; 0, INDEX($K210:$T210, MATCH(TRUE, $K210:$T210 &lt;&gt; FALSE, 0)))</f>
        <v>0</v>
      </c>
      <c r="K210" s="712" t="b">
        <f ca="1">IF(AND('Start here'!$C$24=RefData!$B$5,'Discount rates'!$C$8&lt;&gt;RefData!$B$35,'Reconciliation report'!$E210=""),ErrorMsgs!$B210)</f>
        <v>0</v>
      </c>
      <c r="L210" s="712" t="b">
        <f ca="1">IF(AND('Start here'!$C$24=RefData!$B$5,'Discount rates'!$C$8=RefData!$B$35,'Reconciliation report'!$E210&lt;&gt;""),ErrorMsgs!$C210)</f>
        <v>0</v>
      </c>
      <c r="M210" s="714" t="b">
        <f ca="1">IF(AND('Start here'!$C$24=RefData!$B$4,'Discount rates'!$C$7=RefData!$B$8,'Discount rates'!$C$8&lt;&gt;RefData!$B$35,'Reconciliation report'!$E210=""),ErrorMsgs!$D210)</f>
        <v>0</v>
      </c>
      <c r="N210" s="714" t="b">
        <f ca="1">IF(AND('Start here'!$C$24=RefData!$B$4,'Discount rates'!$C$7=RefData!$B$8,'Discount rates'!$C$8=RefData!$B$35,'Reconciliation report'!$E210&lt;&gt;""),ErrorMsgs!$E210)</f>
        <v>0</v>
      </c>
      <c r="O210" s="712" t="b">
        <f ca="1">IF(AND('Start here'!$C$24=RefData!$B$4,'Discount rates'!$C$7=RefData!$B$7,'Reconciliation report'!$E210&lt;&gt;""),ErrorMsgs!$F210)</f>
        <v>0</v>
      </c>
      <c r="P210" s="712" t="b">
        <f ca="1">IF($E210&lt;-0.1,ErrorMsgs!$G210)</f>
        <v>0</v>
      </c>
      <c r="Q210" s="712" t="b">
        <f ca="1">IF($E210="",FALSE,IF($E210&gt;0.1,ErrorMsgs!$H210))</f>
        <v>0</v>
      </c>
      <c r="R210" s="712"/>
      <c r="S210" s="712"/>
      <c r="T210" s="712"/>
      <c r="U210" s="526" t="str">
        <f t="shared" ca="1" si="31"/>
        <v/>
      </c>
      <c r="V210" s="93" t="str" cm="1">
        <f t="array" aca="1" ref="V210" ca="1">CELL("format",INDIRECT(I210))</f>
        <v>P4</v>
      </c>
      <c r="W210" s="93" t="b">
        <f t="shared" ca="1" si="32"/>
        <v>0</v>
      </c>
      <c r="X210" s="715" t="str">
        <f t="shared" ca="1" si="30"/>
        <v/>
      </c>
      <c r="Y210" t="b">
        <f t="shared" ca="1" si="33"/>
        <v>1</v>
      </c>
    </row>
    <row r="211" spans="1:25" ht="63" customHeight="1">
      <c r="A211" s="705" t="s">
        <v>3217</v>
      </c>
      <c r="B211" s="716" t="str">
        <f t="shared" ca="1" si="34"/>
        <v>40-year assumptions - D44</v>
      </c>
      <c r="C211" s="707" t="str" cm="1">
        <f t="array" aca="1" ref="C211" ca="1">INDIRECT(LEFT(I211, FIND("!", I211)) &amp; RefData!$C$426 &amp; RIGHT(I211, LEN(I211) - FIND("!", I211) - 1))</f>
        <v>Year 38</v>
      </c>
      <c r="D211" s="92" t="str">
        <f t="shared" ca="1" si="29"/>
        <v/>
      </c>
      <c r="E211" s="708" t="str" cm="1">
        <f t="array" aca="1" ref="E211" ca="1">IF(INDIRECT($I211)= "", "", INDIRECT($I211))</f>
        <v/>
      </c>
      <c r="F211" s="709" t="str" cm="1">
        <f t="array" aca="1" ref="F211" ca="1">INDIRECT(LEFT(I211, FIND("!", I211)) &amp; RefData!$C$427 &amp; RIGHT(I211, LEN(I211) - FIND("!", I211) - 1))</f>
        <v>FYA 38.0</v>
      </c>
      <c r="G211" s="710" t="b">
        <f ca="1">IF(ISNUMBER(SEARCH(RefData!$B$2, $C211)), FALSE, TRUE)</f>
        <v>1</v>
      </c>
      <c r="H211" s="344">
        <f>'40-year assumptions'!D44</f>
        <v>0</v>
      </c>
      <c r="I211" s="712" t="str">
        <f t="shared" ca="1" si="35"/>
        <v>'40-year assumptions'!D44</v>
      </c>
      <c r="J211" s="713" t="b" cm="1">
        <f t="array" aca="1" ref="J211" ca="1">IF(COUNTIF($K211:$T211, "&lt;&gt;FALSE") - COUNTBLANK($K211:$T211) &gt; 0, INDEX($K211:$T211, MATCH(TRUE, $K211:$T211 &lt;&gt; FALSE, 0)))</f>
        <v>0</v>
      </c>
      <c r="K211" s="712" t="b">
        <f ca="1">IF(AND('Start here'!$C$24=RefData!$B$5,'Discount rates'!$C$8&lt;&gt;RefData!$B$35,'Reconciliation report'!$E211=""),ErrorMsgs!$B211)</f>
        <v>0</v>
      </c>
      <c r="L211" s="712" t="b">
        <f ca="1">IF(AND('Start here'!$C$24=RefData!$B$5,'Discount rates'!$C$8=RefData!$B$35,'Reconciliation report'!$E211&lt;&gt;""),ErrorMsgs!$C211)</f>
        <v>0</v>
      </c>
      <c r="M211" s="714" t="b">
        <f ca="1">IF(AND('Start here'!$C$24=RefData!$B$4,'Discount rates'!$C$7=RefData!$B$8,'Discount rates'!$C$8&lt;&gt;RefData!$B$35,'Reconciliation report'!$E211=""),ErrorMsgs!$D211)</f>
        <v>0</v>
      </c>
      <c r="N211" s="714" t="b">
        <f ca="1">IF(AND('Start here'!$C$24=RefData!$B$4,'Discount rates'!$C$7=RefData!$B$8,'Discount rates'!$C$8=RefData!$B$35,'Reconciliation report'!$E211&lt;&gt;""),ErrorMsgs!$E211)</f>
        <v>0</v>
      </c>
      <c r="O211" s="712" t="b">
        <f ca="1">IF(AND('Start here'!$C$24=RefData!$B$4,'Discount rates'!$C$7=RefData!$B$7,'Reconciliation report'!$E211&lt;&gt;""),ErrorMsgs!$F211)</f>
        <v>0</v>
      </c>
      <c r="P211" s="712" t="b">
        <f ca="1">IF($E211&lt;-0.1,ErrorMsgs!$G211)</f>
        <v>0</v>
      </c>
      <c r="Q211" s="712" t="b">
        <f ca="1">IF($E211="",FALSE,IF($E211&gt;0.1,ErrorMsgs!$H211))</f>
        <v>0</v>
      </c>
      <c r="R211" s="712"/>
      <c r="S211" s="712"/>
      <c r="T211" s="712"/>
      <c r="U211" s="526" t="str">
        <f t="shared" ca="1" si="31"/>
        <v/>
      </c>
      <c r="V211" s="93" t="str" cm="1">
        <f t="array" aca="1" ref="V211" ca="1">CELL("format",INDIRECT(I211))</f>
        <v>P4</v>
      </c>
      <c r="W211" s="93" t="b">
        <f t="shared" ca="1" si="32"/>
        <v>0</v>
      </c>
      <c r="X211" s="715" t="str">
        <f t="shared" ca="1" si="30"/>
        <v/>
      </c>
      <c r="Y211" t="b">
        <f t="shared" ca="1" si="33"/>
        <v>1</v>
      </c>
    </row>
    <row r="212" spans="1:25" ht="63" customHeight="1">
      <c r="A212" s="705" t="s">
        <v>3218</v>
      </c>
      <c r="B212" s="716" t="str">
        <f t="shared" ca="1" si="34"/>
        <v>40-year assumptions - D45</v>
      </c>
      <c r="C212" s="707" t="str" cm="1">
        <f t="array" aca="1" ref="C212" ca="1">INDIRECT(LEFT(I212, FIND("!", I212)) &amp; RefData!$C$426 &amp; RIGHT(I212, LEN(I212) - FIND("!", I212) - 1))</f>
        <v>Year 39</v>
      </c>
      <c r="D212" s="92" t="str">
        <f t="shared" ca="1" si="29"/>
        <v/>
      </c>
      <c r="E212" s="708" t="str" cm="1">
        <f t="array" aca="1" ref="E212" ca="1">IF(INDIRECT($I212)= "", "", INDIRECT($I212))</f>
        <v/>
      </c>
      <c r="F212" s="709" t="str" cm="1">
        <f t="array" aca="1" ref="F212" ca="1">INDIRECT(LEFT(I212, FIND("!", I212)) &amp; RefData!$C$427 &amp; RIGHT(I212, LEN(I212) - FIND("!", I212) - 1))</f>
        <v>FYA 39.0</v>
      </c>
      <c r="G212" s="710" t="b">
        <f ca="1">IF(ISNUMBER(SEARCH(RefData!$B$2, $C212)), FALSE, TRUE)</f>
        <v>1</v>
      </c>
      <c r="H212" s="344">
        <f>'40-year assumptions'!D45</f>
        <v>0</v>
      </c>
      <c r="I212" s="712" t="str">
        <f t="shared" ca="1" si="35"/>
        <v>'40-year assumptions'!D45</v>
      </c>
      <c r="J212" s="713" t="b" cm="1">
        <f t="array" aca="1" ref="J212" ca="1">IF(COUNTIF($K212:$T212, "&lt;&gt;FALSE") - COUNTBLANK($K212:$T212) &gt; 0, INDEX($K212:$T212, MATCH(TRUE, $K212:$T212 &lt;&gt; FALSE, 0)))</f>
        <v>0</v>
      </c>
      <c r="K212" s="712" t="b">
        <f ca="1">IF(AND('Start here'!$C$24=RefData!$B$5,'Discount rates'!$C$8&lt;&gt;RefData!$B$35,'Reconciliation report'!$E212=""),ErrorMsgs!$B212)</f>
        <v>0</v>
      </c>
      <c r="L212" s="712" t="b">
        <f ca="1">IF(AND('Start here'!$C$24=RefData!$B$5,'Discount rates'!$C$8=RefData!$B$35,'Reconciliation report'!$E212&lt;&gt;""),ErrorMsgs!$C212)</f>
        <v>0</v>
      </c>
      <c r="M212" s="714" t="b">
        <f ca="1">IF(AND('Start here'!$C$24=RefData!$B$4,'Discount rates'!$C$7=RefData!$B$8,'Discount rates'!$C$8&lt;&gt;RefData!$B$35,'Reconciliation report'!$E212=""),ErrorMsgs!$D212)</f>
        <v>0</v>
      </c>
      <c r="N212" s="714" t="b">
        <f ca="1">IF(AND('Start here'!$C$24=RefData!$B$4,'Discount rates'!$C$7=RefData!$B$8,'Discount rates'!$C$8=RefData!$B$35,'Reconciliation report'!$E212&lt;&gt;""),ErrorMsgs!$E212)</f>
        <v>0</v>
      </c>
      <c r="O212" s="712" t="b">
        <f ca="1">IF(AND('Start here'!$C$24=RefData!$B$4,'Discount rates'!$C$7=RefData!$B$7,'Reconciliation report'!$E212&lt;&gt;""),ErrorMsgs!$F212)</f>
        <v>0</v>
      </c>
      <c r="P212" s="712" t="b">
        <f ca="1">IF($E212&lt;-0.1,ErrorMsgs!$G212)</f>
        <v>0</v>
      </c>
      <c r="Q212" s="712" t="b">
        <f ca="1">IF($E212="",FALSE,IF($E212&gt;0.1,ErrorMsgs!$H212))</f>
        <v>0</v>
      </c>
      <c r="R212" s="712"/>
      <c r="S212" s="712"/>
      <c r="T212" s="712"/>
      <c r="U212" s="526" t="str">
        <f t="shared" ca="1" si="31"/>
        <v/>
      </c>
      <c r="V212" s="93" t="str" cm="1">
        <f t="array" aca="1" ref="V212" ca="1">CELL("format",INDIRECT(I212))</f>
        <v>P4</v>
      </c>
      <c r="W212" s="93" t="b">
        <f t="shared" ca="1" si="32"/>
        <v>0</v>
      </c>
      <c r="X212" s="715" t="str">
        <f t="shared" ca="1" si="30"/>
        <v/>
      </c>
      <c r="Y212" t="b">
        <f t="shared" ca="1" si="33"/>
        <v>1</v>
      </c>
    </row>
    <row r="213" spans="1:25" ht="63" customHeight="1">
      <c r="A213" s="705" t="s">
        <v>3219</v>
      </c>
      <c r="B213" s="716" t="str">
        <f t="shared" ca="1" si="34"/>
        <v>40-year assumptions - D46</v>
      </c>
      <c r="C213" s="707" t="str" cm="1">
        <f t="array" aca="1" ref="C213" ca="1">INDIRECT(LEFT(I213, FIND("!", I213)) &amp; RefData!$C$426 &amp; RIGHT(I213, LEN(I213) - FIND("!", I213) - 1))</f>
        <v>Year 40</v>
      </c>
      <c r="D213" s="92" t="str">
        <f t="shared" ca="1" si="29"/>
        <v/>
      </c>
      <c r="E213" s="708" t="str" cm="1">
        <f t="array" aca="1" ref="E213" ca="1">IF(INDIRECT($I213)= "", "", INDIRECT($I213))</f>
        <v/>
      </c>
      <c r="F213" s="709" t="str" cm="1">
        <f t="array" aca="1" ref="F213" ca="1">INDIRECT(LEFT(I213, FIND("!", I213)) &amp; RefData!$C$427 &amp; RIGHT(I213, LEN(I213) - FIND("!", I213) - 1))</f>
        <v>FYA 40.0</v>
      </c>
      <c r="G213" s="710" t="b">
        <f ca="1">IF(ISNUMBER(SEARCH(RefData!$B$2, $C213)), FALSE, TRUE)</f>
        <v>1</v>
      </c>
      <c r="H213" s="344">
        <f>'40-year assumptions'!D46</f>
        <v>0</v>
      </c>
      <c r="I213" s="712" t="str">
        <f t="shared" ca="1" si="35"/>
        <v>'40-year assumptions'!D46</v>
      </c>
      <c r="J213" s="713" t="b" cm="1">
        <f t="array" aca="1" ref="J213" ca="1">IF(COUNTIF($K213:$T213, "&lt;&gt;FALSE") - COUNTBLANK($K213:$T213) &gt; 0, INDEX($K213:$T213, MATCH(TRUE, $K213:$T213 &lt;&gt; FALSE, 0)))</f>
        <v>0</v>
      </c>
      <c r="K213" s="712" t="b">
        <f ca="1">IF(AND('Start here'!$C$24=RefData!$B$5,'Discount rates'!$C$8&lt;&gt;RefData!$B$35,'Reconciliation report'!$E213=""),ErrorMsgs!$B213)</f>
        <v>0</v>
      </c>
      <c r="L213" s="712" t="b">
        <f ca="1">IF(AND('Start here'!$C$24=RefData!$B$5,'Discount rates'!$C$8=RefData!$B$35,'Reconciliation report'!$E213&lt;&gt;""),ErrorMsgs!$C213)</f>
        <v>0</v>
      </c>
      <c r="M213" s="714" t="b">
        <f ca="1">IF(AND('Start here'!$C$24=RefData!$B$4,'Discount rates'!$C$7=RefData!$B$8,'Discount rates'!$C$8&lt;&gt;RefData!$B$35,'Reconciliation report'!$E213=""),ErrorMsgs!$D213)</f>
        <v>0</v>
      </c>
      <c r="N213" s="714" t="b">
        <f ca="1">IF(AND('Start here'!$C$24=RefData!$B$4,'Discount rates'!$C$7=RefData!$B$8,'Discount rates'!$C$8=RefData!$B$35,'Reconciliation report'!$E213&lt;&gt;""),ErrorMsgs!$E213)</f>
        <v>0</v>
      </c>
      <c r="O213" s="712" t="b">
        <f ca="1">IF(AND('Start here'!$C$24=RefData!$B$4,'Discount rates'!$C$7=RefData!$B$7,'Reconciliation report'!$E213&lt;&gt;""),ErrorMsgs!$F213)</f>
        <v>0</v>
      </c>
      <c r="P213" s="712" t="b">
        <f ca="1">IF($E213&lt;-0.1,ErrorMsgs!$G213)</f>
        <v>0</v>
      </c>
      <c r="Q213" s="712" t="b">
        <f ca="1">IF($E213="",FALSE,IF($E213&gt;0.1,ErrorMsgs!$H213))</f>
        <v>0</v>
      </c>
      <c r="R213" s="712"/>
      <c r="S213" s="712"/>
      <c r="T213" s="712"/>
      <c r="U213" s="526" t="str">
        <f t="shared" ca="1" si="31"/>
        <v/>
      </c>
      <c r="V213" s="93" t="str" cm="1">
        <f t="array" aca="1" ref="V213" ca="1">CELL("format",INDIRECT(I213))</f>
        <v>P4</v>
      </c>
      <c r="W213" s="93" t="b">
        <f t="shared" ca="1" si="32"/>
        <v>0</v>
      </c>
      <c r="X213" s="715" t="str">
        <f t="shared" ca="1" si="30"/>
        <v/>
      </c>
      <c r="Y213" t="b">
        <f t="shared" ca="1" si="33"/>
        <v>1</v>
      </c>
    </row>
    <row r="214" spans="1:25" ht="63" customHeight="1">
      <c r="A214" s="705" t="s">
        <v>3220</v>
      </c>
      <c r="B214" s="716" t="str">
        <f t="shared" ca="1" si="34"/>
        <v>40-year assumptions - E7</v>
      </c>
      <c r="C214" s="707" t="str" cm="1">
        <f t="array" aca="1" ref="C214" ca="1">INDIRECT(LEFT(I214, FIND("!", I214)) &amp; RefData!$C$426 &amp; RIGHT(I214, LEN(I214) - FIND("!", I214) - 1))</f>
        <v>Year 1</v>
      </c>
      <c r="D214" s="92" t="str">
        <f t="shared" ca="1" si="29"/>
        <v/>
      </c>
      <c r="E214" s="708" t="str" cm="1">
        <f t="array" aca="1" ref="E214" ca="1">IF(INDIRECT($I214)= "", "", INDIRECT($I214))</f>
        <v/>
      </c>
      <c r="F214" s="709" t="str" cm="1">
        <f t="array" aca="1" ref="F214" ca="1">INDIRECT(LEFT(I214, FIND("!", I214)) &amp; RefData!$C$427 &amp; RIGHT(I214, LEN(I214) - FIND("!", I214) - 1))</f>
        <v>FYA 1.0</v>
      </c>
      <c r="G214" s="710" t="b">
        <f ca="1">IF(ISNUMBER(SEARCH(RefData!$B$2, $C214)), FALSE, TRUE)</f>
        <v>1</v>
      </c>
      <c r="H214" s="344">
        <f>'40-year assumptions'!E7</f>
        <v>0</v>
      </c>
      <c r="I214" s="712" t="str">
        <f t="shared" ca="1" si="35"/>
        <v>'40-year assumptions'!E7</v>
      </c>
      <c r="J214" s="713" t="b" cm="1">
        <f t="array" aca="1" ref="J214" ca="1">IF(COUNTIF($K214:$T214, "&lt;&gt;FALSE") - COUNTBLANK($K214:$T214) &gt; 0, INDEX($K214:$T214, MATCH(TRUE, $K214:$T214 &lt;&gt; FALSE, 0)))</f>
        <v>0</v>
      </c>
      <c r="K214" s="712" t="b">
        <f ca="1">IF(AND('Start here'!$C$24=RefData!$B$5,'Discount rates'!$C$8&lt;&gt;RefData!$B$35,'Reconciliation report'!$E214=""),ErrorMsgs!$B214)</f>
        <v>0</v>
      </c>
      <c r="L214" s="712" t="b">
        <f ca="1">IF(AND('Start here'!$C$24=RefData!$B$5,'Discount rates'!$C$8=RefData!$B$35,'Reconciliation report'!$E214&lt;&gt;""),ErrorMsgs!$C214)</f>
        <v>0</v>
      </c>
      <c r="M214" s="714" t="b">
        <f ca="1">IF(AND('Start here'!$C$24=RefData!$B$4,'Discount rates'!$C$7=RefData!$B$8,'Discount rates'!$C$8&lt;&gt;RefData!$B$35,'Reconciliation report'!$E214=""),ErrorMsgs!$D214)</f>
        <v>0</v>
      </c>
      <c r="N214" s="714" t="b">
        <f ca="1">IF(AND('Start here'!$C$24=RefData!$B$4,'Discount rates'!$C$7=RefData!$B$8,'Discount rates'!$C$8=RefData!$B$35,'Reconciliation report'!$E214&lt;&gt;""),ErrorMsgs!$E214)</f>
        <v>0</v>
      </c>
      <c r="O214" s="712" t="b">
        <f ca="1">IF(AND('Start here'!$C$24=RefData!$B$4,'Discount rates'!$C$7=RefData!$B$7,'Reconciliation report'!$E214&lt;&gt;""),ErrorMsgs!$F214)</f>
        <v>0</v>
      </c>
      <c r="P214" s="712" t="b">
        <f ca="1">IF($E214&lt;-0.1,ErrorMsgs!$G214)</f>
        <v>0</v>
      </c>
      <c r="Q214" s="712" t="b">
        <f ca="1">IF($E214="",FALSE,IF($E214&gt;0.1,ErrorMsgs!$H214))</f>
        <v>0</v>
      </c>
      <c r="R214" s="712"/>
      <c r="S214" s="712"/>
      <c r="T214" s="712"/>
      <c r="U214" s="526" t="str">
        <f t="shared" ca="1" si="31"/>
        <v/>
      </c>
      <c r="V214" s="93" t="str" cm="1">
        <f t="array" aca="1" ref="V214" ca="1">CELL("format",INDIRECT(I214))</f>
        <v>P4</v>
      </c>
      <c r="W214" s="93" t="b">
        <f t="shared" ca="1" si="32"/>
        <v>0</v>
      </c>
      <c r="X214" s="715" t="str">
        <f t="shared" ca="1" si="30"/>
        <v/>
      </c>
      <c r="Y214" t="b">
        <f t="shared" ca="1" si="33"/>
        <v>1</v>
      </c>
    </row>
    <row r="215" spans="1:25" ht="63" customHeight="1">
      <c r="A215" s="705" t="s">
        <v>3221</v>
      </c>
      <c r="B215" s="716" t="str">
        <f t="shared" ca="1" si="34"/>
        <v>40-year assumptions - E8</v>
      </c>
      <c r="C215" s="707" t="str" cm="1">
        <f t="array" aca="1" ref="C215" ca="1">INDIRECT(LEFT(I215, FIND("!", I215)) &amp; RefData!$C$426 &amp; RIGHT(I215, LEN(I215) - FIND("!", I215) - 1))</f>
        <v>Year 2</v>
      </c>
      <c r="D215" s="92" t="str">
        <f t="shared" ca="1" si="29"/>
        <v/>
      </c>
      <c r="E215" s="708" t="str" cm="1">
        <f t="array" aca="1" ref="E215" ca="1">IF(INDIRECT($I215)= "", "", INDIRECT($I215))</f>
        <v/>
      </c>
      <c r="F215" s="709" t="str" cm="1">
        <f t="array" aca="1" ref="F215" ca="1">INDIRECT(LEFT(I215, FIND("!", I215)) &amp; RefData!$C$427 &amp; RIGHT(I215, LEN(I215) - FIND("!", I215) - 1))</f>
        <v>FYA 2.0</v>
      </c>
      <c r="G215" s="710" t="b">
        <f ca="1">IF(ISNUMBER(SEARCH(RefData!$B$2, $C215)), FALSE, TRUE)</f>
        <v>1</v>
      </c>
      <c r="H215" s="344">
        <f>'40-year assumptions'!E8</f>
        <v>0</v>
      </c>
      <c r="I215" s="712" t="str">
        <f t="shared" ca="1" si="35"/>
        <v>'40-year assumptions'!E8</v>
      </c>
      <c r="J215" s="713" t="b" cm="1">
        <f t="array" aca="1" ref="J215" ca="1">IF(COUNTIF($K215:$T215, "&lt;&gt;FALSE") - COUNTBLANK($K215:$T215) &gt; 0, INDEX($K215:$T215, MATCH(TRUE, $K215:$T215 &lt;&gt; FALSE, 0)))</f>
        <v>0</v>
      </c>
      <c r="K215" s="712" t="b">
        <f ca="1">IF(AND('Start here'!$C$24=RefData!$B$5,'Discount rates'!$C$8&lt;&gt;RefData!$B$35,'Reconciliation report'!$E215=""),ErrorMsgs!$B215)</f>
        <v>0</v>
      </c>
      <c r="L215" s="712" t="b">
        <f ca="1">IF(AND('Start here'!$C$24=RefData!$B$5,'Discount rates'!$C$8=RefData!$B$35,'Reconciliation report'!$E215&lt;&gt;""),ErrorMsgs!$C215)</f>
        <v>0</v>
      </c>
      <c r="M215" s="714" t="b">
        <f ca="1">IF(AND('Start here'!$C$24=RefData!$B$4,'Discount rates'!$C$7=RefData!$B$8,'Discount rates'!$C$8&lt;&gt;RefData!$B$35,'Reconciliation report'!$E215=""),ErrorMsgs!$D215)</f>
        <v>0</v>
      </c>
      <c r="N215" s="714" t="b">
        <f ca="1">IF(AND('Start here'!$C$24=RefData!$B$4,'Discount rates'!$C$7=RefData!$B$8,'Discount rates'!$C$8=RefData!$B$35,'Reconciliation report'!E215&lt;&gt;""),ErrorMsgs!$E215)</f>
        <v>0</v>
      </c>
      <c r="O215" s="712" t="b">
        <f ca="1">IF(AND('Start here'!$C$24=RefData!$B$4,'Discount rates'!$C$7=RefData!$B$7,'Reconciliation report'!$E215&lt;&gt;""),ErrorMsgs!$F215)</f>
        <v>0</v>
      </c>
      <c r="P215" s="712" t="b">
        <f ca="1">IF($E215&lt;-0.1,ErrorMsgs!$G215)</f>
        <v>0</v>
      </c>
      <c r="Q215" s="712" t="b">
        <f ca="1">IF($E215="",FALSE,IF($E215&gt;0.1,ErrorMsgs!$H215))</f>
        <v>0</v>
      </c>
      <c r="R215" s="712"/>
      <c r="S215" s="712"/>
      <c r="T215" s="712"/>
      <c r="U215" s="526" t="str">
        <f t="shared" ca="1" si="31"/>
        <v/>
      </c>
      <c r="V215" s="93" t="str" cm="1">
        <f t="array" aca="1" ref="V215" ca="1">CELL("format",INDIRECT(I215))</f>
        <v>P4</v>
      </c>
      <c r="W215" s="93" t="b">
        <f t="shared" ca="1" si="32"/>
        <v>0</v>
      </c>
      <c r="X215" s="715" t="str">
        <f t="shared" ca="1" si="30"/>
        <v/>
      </c>
      <c r="Y215" t="b">
        <f t="shared" ca="1" si="33"/>
        <v>1</v>
      </c>
    </row>
    <row r="216" spans="1:25" ht="63" customHeight="1">
      <c r="A216" s="705" t="s">
        <v>3222</v>
      </c>
      <c r="B216" s="716" t="str">
        <f t="shared" ca="1" si="34"/>
        <v>40-year assumptions - E9</v>
      </c>
      <c r="C216" s="707" t="str" cm="1">
        <f t="array" aca="1" ref="C216" ca="1">INDIRECT(LEFT(I216, FIND("!", I216)) &amp; RefData!$C$426 &amp; RIGHT(I216, LEN(I216) - FIND("!", I216) - 1))</f>
        <v>Year 3</v>
      </c>
      <c r="D216" s="92" t="str">
        <f t="shared" ca="1" si="29"/>
        <v/>
      </c>
      <c r="E216" s="708" t="str" cm="1">
        <f t="array" aca="1" ref="E216" ca="1">IF(INDIRECT($I216)= "", "", INDIRECT($I216))</f>
        <v/>
      </c>
      <c r="F216" s="709" t="str" cm="1">
        <f t="array" aca="1" ref="F216" ca="1">INDIRECT(LEFT(I216, FIND("!", I216)) &amp; RefData!$C$427 &amp; RIGHT(I216, LEN(I216) - FIND("!", I216) - 1))</f>
        <v>FYA 3.0</v>
      </c>
      <c r="G216" s="710" t="b">
        <f ca="1">IF(ISNUMBER(SEARCH(RefData!$B$2, $C216)), FALSE, TRUE)</f>
        <v>1</v>
      </c>
      <c r="H216" s="344">
        <f>'40-year assumptions'!E9</f>
        <v>0</v>
      </c>
      <c r="I216" s="712" t="str">
        <f t="shared" ca="1" si="35"/>
        <v>'40-year assumptions'!E9</v>
      </c>
      <c r="J216" s="713" t="b" cm="1">
        <f t="array" aca="1" ref="J216" ca="1">IF(COUNTIF($K216:$T216, "&lt;&gt;FALSE") - COUNTBLANK($K216:$T216) &gt; 0, INDEX($K216:$T216, MATCH(TRUE, $K216:$T216 &lt;&gt; FALSE, 0)))</f>
        <v>0</v>
      </c>
      <c r="K216" s="712" t="b">
        <f ca="1">IF(AND('Start here'!$C$24=RefData!$B$5,'Discount rates'!$C$8&lt;&gt;RefData!$B$35,'Reconciliation report'!$E216=""),ErrorMsgs!$B216)</f>
        <v>0</v>
      </c>
      <c r="L216" s="712" t="b">
        <f ca="1">IF(AND('Start here'!$C$24=RefData!$B$5,'Discount rates'!$C$8=RefData!$B$35,'Reconciliation report'!$E216&lt;&gt;""),ErrorMsgs!$C216)</f>
        <v>0</v>
      </c>
      <c r="M216" s="714" t="b">
        <f ca="1">IF(AND('Start here'!$C$24=RefData!$B$4,'Discount rates'!$C$7=RefData!$B$8,'Discount rates'!$C$8&lt;&gt;RefData!$B$35,'Reconciliation report'!$E216=""),ErrorMsgs!$D216)</f>
        <v>0</v>
      </c>
      <c r="N216" s="714" t="b">
        <f ca="1">IF(AND('Start here'!$C$24=RefData!$B$4,'Discount rates'!$C$7=RefData!$B$8,'Discount rates'!$C$8=RefData!$B$35,'Reconciliation report'!E216&lt;&gt;""),ErrorMsgs!$E216)</f>
        <v>0</v>
      </c>
      <c r="O216" s="712" t="b">
        <f ca="1">IF(AND('Start here'!$C$24=RefData!$B$4,'Discount rates'!$C$7=RefData!$B$7,'Reconciliation report'!$E216&lt;&gt;""),ErrorMsgs!$F216)</f>
        <v>0</v>
      </c>
      <c r="P216" s="712" t="b">
        <f ca="1">IF($E216&lt;-0.1,ErrorMsgs!$G216)</f>
        <v>0</v>
      </c>
      <c r="Q216" s="712" t="b">
        <f ca="1">IF($E216="",FALSE,IF($E216&gt;0.1,ErrorMsgs!$H216))</f>
        <v>0</v>
      </c>
      <c r="R216" s="712"/>
      <c r="S216" s="712"/>
      <c r="T216" s="712"/>
      <c r="U216" s="526" t="str">
        <f t="shared" ca="1" si="31"/>
        <v/>
      </c>
      <c r="V216" s="93" t="str" cm="1">
        <f t="array" aca="1" ref="V216" ca="1">CELL("format",INDIRECT(I216))</f>
        <v>P4</v>
      </c>
      <c r="W216" s="93" t="b">
        <f t="shared" ca="1" si="32"/>
        <v>0</v>
      </c>
      <c r="X216" s="715" t="str">
        <f t="shared" ca="1" si="30"/>
        <v/>
      </c>
      <c r="Y216" t="b">
        <f t="shared" ca="1" si="33"/>
        <v>1</v>
      </c>
    </row>
    <row r="217" spans="1:25" ht="63" customHeight="1">
      <c r="A217" s="705" t="s">
        <v>3223</v>
      </c>
      <c r="B217" s="716" t="str">
        <f t="shared" ca="1" si="34"/>
        <v>40-year assumptions - E10</v>
      </c>
      <c r="C217" s="707" t="str" cm="1">
        <f t="array" aca="1" ref="C217" ca="1">INDIRECT(LEFT(I217, FIND("!", I217)) &amp; RefData!$C$426 &amp; RIGHT(I217, LEN(I217) - FIND("!", I217) - 1))</f>
        <v>Year 4</v>
      </c>
      <c r="D217" s="92" t="str">
        <f t="shared" ca="1" si="29"/>
        <v/>
      </c>
      <c r="E217" s="708" t="str" cm="1">
        <f t="array" aca="1" ref="E217" ca="1">IF(INDIRECT($I217)= "", "", INDIRECT($I217))</f>
        <v/>
      </c>
      <c r="F217" s="709" t="str" cm="1">
        <f t="array" aca="1" ref="F217" ca="1">INDIRECT(LEFT(I217, FIND("!", I217)) &amp; RefData!$C$427 &amp; RIGHT(I217, LEN(I217) - FIND("!", I217) - 1))</f>
        <v>FYA 4.0</v>
      </c>
      <c r="G217" s="710" t="b">
        <f ca="1">IF(ISNUMBER(SEARCH(RefData!$B$2, $C217)), FALSE, TRUE)</f>
        <v>1</v>
      </c>
      <c r="H217" s="344">
        <f>'40-year assumptions'!E10</f>
        <v>0</v>
      </c>
      <c r="I217" s="712" t="str">
        <f t="shared" ca="1" si="35"/>
        <v>'40-year assumptions'!E10</v>
      </c>
      <c r="J217" s="713" t="b" cm="1">
        <f t="array" aca="1" ref="J217" ca="1">IF(COUNTIF($K217:$T217, "&lt;&gt;FALSE") - COUNTBLANK($K217:$T217) &gt; 0, INDEX($K217:$T217, MATCH(TRUE, $K217:$T217 &lt;&gt; FALSE, 0)))</f>
        <v>0</v>
      </c>
      <c r="K217" s="712" t="b">
        <f ca="1">IF(AND('Start here'!$C$24=RefData!$B$5,'Discount rates'!$C$8&lt;&gt;RefData!$B$35,'Reconciliation report'!$E217=""),ErrorMsgs!$B217)</f>
        <v>0</v>
      </c>
      <c r="L217" s="712" t="b">
        <f ca="1">IF(AND('Start here'!$C$24=RefData!$B$5,'Discount rates'!$C$8=RefData!$B$35,'Reconciliation report'!$E217&lt;&gt;""),ErrorMsgs!$C217)</f>
        <v>0</v>
      </c>
      <c r="M217" s="714" t="b">
        <f ca="1">IF(AND('Start here'!$C$24=RefData!$B$4,'Discount rates'!$C$7=RefData!$B$8,'Discount rates'!$C$8&lt;&gt;RefData!$B$35,'Reconciliation report'!$E217=""),ErrorMsgs!$D217)</f>
        <v>0</v>
      </c>
      <c r="N217" s="714" t="b">
        <f ca="1">IF(AND('Start here'!$C$24=RefData!$B$4,'Discount rates'!$C$7=RefData!$B$8,'Discount rates'!$C$8=RefData!$B$35,'Reconciliation report'!E217&lt;&gt;""),ErrorMsgs!$E217)</f>
        <v>0</v>
      </c>
      <c r="O217" s="712" t="b">
        <f ca="1">IF(AND('Start here'!$C$24=RefData!$B$4,'Discount rates'!$C$7=RefData!$B$7,'Reconciliation report'!$E217&lt;&gt;""),ErrorMsgs!$F217)</f>
        <v>0</v>
      </c>
      <c r="P217" s="712" t="b">
        <f ca="1">IF($E217&lt;-0.1,ErrorMsgs!$G217)</f>
        <v>0</v>
      </c>
      <c r="Q217" s="712" t="b">
        <f ca="1">IF($E217="",FALSE,IF($E217&gt;0.1,ErrorMsgs!$H217))</f>
        <v>0</v>
      </c>
      <c r="R217" s="712"/>
      <c r="S217" s="712"/>
      <c r="T217" s="712"/>
      <c r="U217" s="526" t="str">
        <f t="shared" ca="1" si="31"/>
        <v/>
      </c>
      <c r="V217" s="93" t="str" cm="1">
        <f t="array" aca="1" ref="V217" ca="1">CELL("format",INDIRECT(I217))</f>
        <v>P4</v>
      </c>
      <c r="W217" s="93" t="b">
        <f t="shared" ca="1" si="32"/>
        <v>0</v>
      </c>
      <c r="X217" s="715" t="str">
        <f t="shared" ca="1" si="30"/>
        <v/>
      </c>
      <c r="Y217" t="b">
        <f t="shared" ca="1" si="33"/>
        <v>1</v>
      </c>
    </row>
    <row r="218" spans="1:25" ht="63" customHeight="1">
      <c r="A218" s="705" t="s">
        <v>3224</v>
      </c>
      <c r="B218" s="716" t="str">
        <f t="shared" ca="1" si="34"/>
        <v>40-year assumptions - E11</v>
      </c>
      <c r="C218" s="707" t="str" cm="1">
        <f t="array" aca="1" ref="C218" ca="1">INDIRECT(LEFT(I218, FIND("!", I218)) &amp; RefData!$C$426 &amp; RIGHT(I218, LEN(I218) - FIND("!", I218) - 1))</f>
        <v>Year 5</v>
      </c>
      <c r="D218" s="92" t="str">
        <f t="shared" ca="1" si="29"/>
        <v/>
      </c>
      <c r="E218" s="708" t="str" cm="1">
        <f t="array" aca="1" ref="E218" ca="1">IF(INDIRECT($I218)= "", "", INDIRECT($I218))</f>
        <v/>
      </c>
      <c r="F218" s="709" t="str" cm="1">
        <f t="array" aca="1" ref="F218" ca="1">INDIRECT(LEFT(I218, FIND("!", I218)) &amp; RefData!$C$427 &amp; RIGHT(I218, LEN(I218) - FIND("!", I218) - 1))</f>
        <v>FYA 5.0</v>
      </c>
      <c r="G218" s="710" t="b">
        <f ca="1">IF(ISNUMBER(SEARCH(RefData!$B$2, $C218)), FALSE, TRUE)</f>
        <v>1</v>
      </c>
      <c r="H218" s="344">
        <f>'40-year assumptions'!E11</f>
        <v>0</v>
      </c>
      <c r="I218" s="712" t="str">
        <f t="shared" ca="1" si="35"/>
        <v>'40-year assumptions'!E11</v>
      </c>
      <c r="J218" s="713" t="b" cm="1">
        <f t="array" aca="1" ref="J218" ca="1">IF(COUNTIF($K218:$T218, "&lt;&gt;FALSE") - COUNTBLANK($K218:$T218) &gt; 0, INDEX($K218:$T218, MATCH(TRUE, $K218:$T218 &lt;&gt; FALSE, 0)))</f>
        <v>0</v>
      </c>
      <c r="K218" s="712" t="b">
        <f ca="1">IF(AND('Start here'!$C$24=RefData!$B$5,'Discount rates'!$C$8&lt;&gt;RefData!$B$35,'Reconciliation report'!$E218=""),ErrorMsgs!$B218)</f>
        <v>0</v>
      </c>
      <c r="L218" s="712" t="b">
        <f ca="1">IF(AND('Start here'!$C$24=RefData!$B$5,'Discount rates'!$C$8=RefData!$B$35,'Reconciliation report'!$E218&lt;&gt;""),ErrorMsgs!$C218)</f>
        <v>0</v>
      </c>
      <c r="M218" s="714" t="b">
        <f ca="1">IF(AND('Start here'!$C$24=RefData!$B$4,'Discount rates'!$C$7=RefData!$B$8,'Discount rates'!$C$8&lt;&gt;RefData!$B$35,'Reconciliation report'!$E218=""),ErrorMsgs!$D218)</f>
        <v>0</v>
      </c>
      <c r="N218" s="714" t="b">
        <f ca="1">IF(AND('Start here'!$C$24=RefData!$B$4,'Discount rates'!$C$7=RefData!$B$8,'Discount rates'!$C$8=RefData!$B$35,'Reconciliation report'!E218&lt;&gt;""),ErrorMsgs!$E218)</f>
        <v>0</v>
      </c>
      <c r="O218" s="712" t="b">
        <f ca="1">IF(AND('Start here'!$C$24=RefData!$B$4,'Discount rates'!$C$7=RefData!$B$7,'Reconciliation report'!$E218&lt;&gt;""),ErrorMsgs!$F218)</f>
        <v>0</v>
      </c>
      <c r="P218" s="712" t="b">
        <f ca="1">IF($E218&lt;-0.1,ErrorMsgs!$G218)</f>
        <v>0</v>
      </c>
      <c r="Q218" s="712" t="b">
        <f ca="1">IF($E218="",FALSE,IF($E218&gt;0.1,ErrorMsgs!$H218))</f>
        <v>0</v>
      </c>
      <c r="R218" s="712"/>
      <c r="S218" s="712"/>
      <c r="T218" s="712"/>
      <c r="U218" s="526" t="str">
        <f t="shared" ca="1" si="31"/>
        <v/>
      </c>
      <c r="V218" s="93" t="str" cm="1">
        <f t="array" aca="1" ref="V218" ca="1">CELL("format",INDIRECT(I218))</f>
        <v>P4</v>
      </c>
      <c r="W218" s="93" t="b">
        <f t="shared" ca="1" si="32"/>
        <v>0</v>
      </c>
      <c r="X218" s="715" t="str">
        <f t="shared" ca="1" si="30"/>
        <v/>
      </c>
      <c r="Y218" t="b">
        <f t="shared" ca="1" si="33"/>
        <v>1</v>
      </c>
    </row>
    <row r="219" spans="1:25" ht="63" customHeight="1">
      <c r="A219" s="705" t="s">
        <v>3225</v>
      </c>
      <c r="B219" s="716" t="str">
        <f t="shared" ca="1" si="34"/>
        <v>40-year assumptions - E12</v>
      </c>
      <c r="C219" s="707" t="str" cm="1">
        <f t="array" aca="1" ref="C219" ca="1">INDIRECT(LEFT(I219, FIND("!", I219)) &amp; RefData!$C$426 &amp; RIGHT(I219, LEN(I219) - FIND("!", I219) - 1))</f>
        <v>Year 6</v>
      </c>
      <c r="D219" s="92" t="str">
        <f t="shared" ca="1" si="29"/>
        <v/>
      </c>
      <c r="E219" s="708" t="str" cm="1">
        <f t="array" aca="1" ref="E219" ca="1">IF(INDIRECT($I219)= "", "", INDIRECT($I219))</f>
        <v/>
      </c>
      <c r="F219" s="709" t="str" cm="1">
        <f t="array" aca="1" ref="F219" ca="1">INDIRECT(LEFT(I219, FIND("!", I219)) &amp; RefData!$C$427 &amp; RIGHT(I219, LEN(I219) - FIND("!", I219) - 1))</f>
        <v>FYA 6.0</v>
      </c>
      <c r="G219" s="710" t="b">
        <f ca="1">IF(ISNUMBER(SEARCH(RefData!$B$2, $C219)), FALSE, TRUE)</f>
        <v>1</v>
      </c>
      <c r="H219" s="344">
        <f>'40-year assumptions'!E12</f>
        <v>0</v>
      </c>
      <c r="I219" s="712" t="str">
        <f t="shared" ca="1" si="35"/>
        <v>'40-year assumptions'!E12</v>
      </c>
      <c r="J219" s="713" t="b" cm="1">
        <f t="array" aca="1" ref="J219" ca="1">IF(COUNTIF($K219:$T219, "&lt;&gt;FALSE") - COUNTBLANK($K219:$T219) &gt; 0, INDEX($K219:$T219, MATCH(TRUE, $K219:$T219 &lt;&gt; FALSE, 0)))</f>
        <v>0</v>
      </c>
      <c r="K219" s="712" t="b">
        <f ca="1">IF(AND('Start here'!$C$24=RefData!$B$5,'Discount rates'!$C$8&lt;&gt;RefData!$B$35,'Reconciliation report'!$E219=""),ErrorMsgs!$B219)</f>
        <v>0</v>
      </c>
      <c r="L219" s="712" t="b">
        <f ca="1">IF(AND('Start here'!$C$24=RefData!$B$5,'Discount rates'!$C$8=RefData!$B$35,'Reconciliation report'!$E219&lt;&gt;""),ErrorMsgs!$C219)</f>
        <v>0</v>
      </c>
      <c r="M219" s="714" t="b">
        <f ca="1">IF(AND('Start here'!$C$24=RefData!$B$4,'Discount rates'!$C$7=RefData!$B$8,'Discount rates'!$C$8&lt;&gt;RefData!$B$35,'Reconciliation report'!$E219=""),ErrorMsgs!$D219)</f>
        <v>0</v>
      </c>
      <c r="N219" s="714" t="b">
        <f ca="1">IF(AND('Start here'!$C$24=RefData!$B$4,'Discount rates'!$C$7=RefData!$B$8,'Discount rates'!$C$8=RefData!$B$35,'Reconciliation report'!E219&lt;&gt;""),ErrorMsgs!$E219)</f>
        <v>0</v>
      </c>
      <c r="O219" s="712" t="b">
        <f ca="1">IF(AND('Start here'!$C$24=RefData!$B$4,'Discount rates'!$C$7=RefData!$B$7,'Reconciliation report'!$E219&lt;&gt;""),ErrorMsgs!$F219)</f>
        <v>0</v>
      </c>
      <c r="P219" s="712" t="b">
        <f ca="1">IF($E219&lt;-0.1,ErrorMsgs!$G219)</f>
        <v>0</v>
      </c>
      <c r="Q219" s="712" t="b">
        <f ca="1">IF($E219="",FALSE,IF($E219&gt;0.1,ErrorMsgs!$H219))</f>
        <v>0</v>
      </c>
      <c r="R219" s="712"/>
      <c r="S219" s="712"/>
      <c r="T219" s="712"/>
      <c r="U219" s="526" t="str">
        <f t="shared" ca="1" si="31"/>
        <v/>
      </c>
      <c r="V219" s="93" t="str" cm="1">
        <f t="array" aca="1" ref="V219" ca="1">CELL("format",INDIRECT(I219))</f>
        <v>P4</v>
      </c>
      <c r="W219" s="93" t="b">
        <f t="shared" ca="1" si="32"/>
        <v>0</v>
      </c>
      <c r="X219" s="715" t="str">
        <f t="shared" ca="1" si="30"/>
        <v/>
      </c>
      <c r="Y219" t="b">
        <f t="shared" ca="1" si="33"/>
        <v>1</v>
      </c>
    </row>
    <row r="220" spans="1:25" ht="63" customHeight="1">
      <c r="A220" s="705" t="s">
        <v>3226</v>
      </c>
      <c r="B220" s="716" t="str">
        <f t="shared" ca="1" si="34"/>
        <v>40-year assumptions - E13</v>
      </c>
      <c r="C220" s="707" t="str" cm="1">
        <f t="array" aca="1" ref="C220" ca="1">INDIRECT(LEFT(I220, FIND("!", I220)) &amp; RefData!$C$426 &amp; RIGHT(I220, LEN(I220) - FIND("!", I220) - 1))</f>
        <v>Year 7</v>
      </c>
      <c r="D220" s="92" t="str">
        <f t="shared" ca="1" si="29"/>
        <v/>
      </c>
      <c r="E220" s="708" t="str" cm="1">
        <f t="array" aca="1" ref="E220" ca="1">IF(INDIRECT($I220)= "", "", INDIRECT($I220))</f>
        <v/>
      </c>
      <c r="F220" s="709" t="str" cm="1">
        <f t="array" aca="1" ref="F220" ca="1">INDIRECT(LEFT(I220, FIND("!", I220)) &amp; RefData!$C$427 &amp; RIGHT(I220, LEN(I220) - FIND("!", I220) - 1))</f>
        <v>FYA 7.0</v>
      </c>
      <c r="G220" s="710" t="b">
        <f ca="1">IF(ISNUMBER(SEARCH(RefData!$B$2, $C220)), FALSE, TRUE)</f>
        <v>1</v>
      </c>
      <c r="H220" s="344">
        <f>'40-year assumptions'!E13</f>
        <v>0</v>
      </c>
      <c r="I220" s="712" t="str">
        <f t="shared" ca="1" si="35"/>
        <v>'40-year assumptions'!E13</v>
      </c>
      <c r="J220" s="713" t="b" cm="1">
        <f t="array" aca="1" ref="J220" ca="1">IF(COUNTIF($K220:$T220, "&lt;&gt;FALSE") - COUNTBLANK($K220:$T220) &gt; 0, INDEX($K220:$T220, MATCH(TRUE, $K220:$T220 &lt;&gt; FALSE, 0)))</f>
        <v>0</v>
      </c>
      <c r="K220" s="712" t="b">
        <f ca="1">IF(AND('Start here'!$C$24=RefData!$B$5,'Discount rates'!$C$8&lt;&gt;RefData!$B$35,'Reconciliation report'!$E220=""),ErrorMsgs!$B220)</f>
        <v>0</v>
      </c>
      <c r="L220" s="712" t="b">
        <f ca="1">IF(AND('Start here'!$C$24=RefData!$B$5,'Discount rates'!$C$8=RefData!$B$35,'Reconciliation report'!$E220&lt;&gt;""),ErrorMsgs!$C220)</f>
        <v>0</v>
      </c>
      <c r="M220" s="714" t="b">
        <f ca="1">IF(AND('Start here'!$C$24=RefData!$B$4,'Discount rates'!$C$7=RefData!$B$8,'Discount rates'!$C$8&lt;&gt;RefData!$B$35,'Reconciliation report'!$E220=""),ErrorMsgs!$D220)</f>
        <v>0</v>
      </c>
      <c r="N220" s="714" t="b">
        <f ca="1">IF(AND('Start here'!$C$24=RefData!$B$4,'Discount rates'!$C$7=RefData!$B$8,'Discount rates'!$C$8=RefData!$B$35,'Reconciliation report'!E220&lt;&gt;""),ErrorMsgs!$E220)</f>
        <v>0</v>
      </c>
      <c r="O220" s="712" t="b">
        <f ca="1">IF(AND('Start here'!$C$24=RefData!$B$4,'Discount rates'!$C$7=RefData!$B$7,'Reconciliation report'!$E220&lt;&gt;""),ErrorMsgs!$F220)</f>
        <v>0</v>
      </c>
      <c r="P220" s="712" t="b">
        <f ca="1">IF($E220&lt;-0.1,ErrorMsgs!$G220)</f>
        <v>0</v>
      </c>
      <c r="Q220" s="712" t="b">
        <f ca="1">IF($E220="",FALSE,IF($E220&gt;0.1,ErrorMsgs!$H220))</f>
        <v>0</v>
      </c>
      <c r="R220" s="712"/>
      <c r="S220" s="712"/>
      <c r="T220" s="712"/>
      <c r="U220" s="526" t="str">
        <f t="shared" ca="1" si="31"/>
        <v/>
      </c>
      <c r="V220" s="93" t="str" cm="1">
        <f t="array" aca="1" ref="V220" ca="1">CELL("format",INDIRECT(I220))</f>
        <v>P4</v>
      </c>
      <c r="W220" s="93" t="b">
        <f t="shared" ca="1" si="32"/>
        <v>0</v>
      </c>
      <c r="X220" s="715" t="str">
        <f t="shared" ca="1" si="30"/>
        <v/>
      </c>
      <c r="Y220" t="b">
        <f t="shared" ca="1" si="33"/>
        <v>1</v>
      </c>
    </row>
    <row r="221" spans="1:25" ht="63" customHeight="1">
      <c r="A221" s="705" t="s">
        <v>3227</v>
      </c>
      <c r="B221" s="716" t="str">
        <f t="shared" ca="1" si="34"/>
        <v>40-year assumptions - E14</v>
      </c>
      <c r="C221" s="707" t="str" cm="1">
        <f t="array" aca="1" ref="C221" ca="1">INDIRECT(LEFT(I221, FIND("!", I221)) &amp; RefData!$C$426 &amp; RIGHT(I221, LEN(I221) - FIND("!", I221) - 1))</f>
        <v>Year 8</v>
      </c>
      <c r="D221" s="92" t="str">
        <f t="shared" ca="1" si="29"/>
        <v/>
      </c>
      <c r="E221" s="708" t="str" cm="1">
        <f t="array" aca="1" ref="E221" ca="1">IF(INDIRECT($I221)= "", "", INDIRECT($I221))</f>
        <v/>
      </c>
      <c r="F221" s="709" t="str" cm="1">
        <f t="array" aca="1" ref="F221" ca="1">INDIRECT(LEFT(I221, FIND("!", I221)) &amp; RefData!$C$427 &amp; RIGHT(I221, LEN(I221) - FIND("!", I221) - 1))</f>
        <v>FYA 8.0</v>
      </c>
      <c r="G221" s="710" t="b">
        <f ca="1">IF(ISNUMBER(SEARCH(RefData!$B$2, $C221)), FALSE, TRUE)</f>
        <v>1</v>
      </c>
      <c r="H221" s="344">
        <f>'40-year assumptions'!E14</f>
        <v>0</v>
      </c>
      <c r="I221" s="712" t="str">
        <f t="shared" ca="1" si="35"/>
        <v>'40-year assumptions'!E14</v>
      </c>
      <c r="J221" s="713" t="b" cm="1">
        <f t="array" aca="1" ref="J221" ca="1">IF(COUNTIF($K221:$T221, "&lt;&gt;FALSE") - COUNTBLANK($K221:$T221) &gt; 0, INDEX($K221:$T221, MATCH(TRUE, $K221:$T221 &lt;&gt; FALSE, 0)))</f>
        <v>0</v>
      </c>
      <c r="K221" s="712" t="b">
        <f ca="1">IF(AND('Start here'!$C$24=RefData!$B$5,'Discount rates'!$C$8&lt;&gt;RefData!$B$35,'Reconciliation report'!$E221=""),ErrorMsgs!$B221)</f>
        <v>0</v>
      </c>
      <c r="L221" s="712" t="b">
        <f ca="1">IF(AND('Start here'!$C$24=RefData!$B$5,'Discount rates'!$C$8=RefData!$B$35,'Reconciliation report'!$E221&lt;&gt;""),ErrorMsgs!$C221)</f>
        <v>0</v>
      </c>
      <c r="M221" s="714" t="b">
        <f ca="1">IF(AND('Start here'!$C$24=RefData!$B$4,'Discount rates'!$C$7=RefData!$B$8,'Discount rates'!$C$8&lt;&gt;RefData!$B$35,'Reconciliation report'!$E221=""),ErrorMsgs!$D221)</f>
        <v>0</v>
      </c>
      <c r="N221" s="714" t="b">
        <f ca="1">IF(AND('Start here'!$C$24=RefData!$B$4,'Discount rates'!$C$7=RefData!$B$8,'Discount rates'!$C$8=RefData!$B$35,'Reconciliation report'!E221&lt;&gt;""),ErrorMsgs!$E221)</f>
        <v>0</v>
      </c>
      <c r="O221" s="712" t="b">
        <f ca="1">IF(AND('Start here'!$C$24=RefData!$B$4,'Discount rates'!$C$7=RefData!$B$7,'Reconciliation report'!$E221&lt;&gt;""),ErrorMsgs!$F221)</f>
        <v>0</v>
      </c>
      <c r="P221" s="712" t="b">
        <f ca="1">IF($E221&lt;-0.1,ErrorMsgs!$G221)</f>
        <v>0</v>
      </c>
      <c r="Q221" s="712" t="b">
        <f ca="1">IF($E221="",FALSE,IF($E221&gt;0.1,ErrorMsgs!$H221))</f>
        <v>0</v>
      </c>
      <c r="R221" s="712"/>
      <c r="S221" s="712"/>
      <c r="T221" s="712"/>
      <c r="U221" s="526" t="str">
        <f t="shared" ca="1" si="31"/>
        <v/>
      </c>
      <c r="V221" s="93" t="str" cm="1">
        <f t="array" aca="1" ref="V221" ca="1">CELL("format",INDIRECT(I221))</f>
        <v>P4</v>
      </c>
      <c r="W221" s="93" t="b">
        <f t="shared" ca="1" si="32"/>
        <v>0</v>
      </c>
      <c r="X221" s="715" t="str">
        <f t="shared" ca="1" si="30"/>
        <v/>
      </c>
      <c r="Y221" t="b">
        <f t="shared" ca="1" si="33"/>
        <v>1</v>
      </c>
    </row>
    <row r="222" spans="1:25" ht="63" customHeight="1">
      <c r="A222" s="705" t="s">
        <v>3228</v>
      </c>
      <c r="B222" s="716" t="str">
        <f t="shared" ca="1" si="34"/>
        <v>40-year assumptions - E15</v>
      </c>
      <c r="C222" s="707" t="str" cm="1">
        <f t="array" aca="1" ref="C222" ca="1">INDIRECT(LEFT(I222, FIND("!", I222)) &amp; RefData!$C$426 &amp; RIGHT(I222, LEN(I222) - FIND("!", I222) - 1))</f>
        <v>Year 9</v>
      </c>
      <c r="D222" s="92" t="str">
        <f t="shared" ca="1" si="29"/>
        <v/>
      </c>
      <c r="E222" s="708" t="str" cm="1">
        <f t="array" aca="1" ref="E222" ca="1">IF(INDIRECT($I222)= "", "", INDIRECT($I222))</f>
        <v/>
      </c>
      <c r="F222" s="709" t="str" cm="1">
        <f t="array" aca="1" ref="F222" ca="1">INDIRECT(LEFT(I222, FIND("!", I222)) &amp; RefData!$C$427 &amp; RIGHT(I222, LEN(I222) - FIND("!", I222) - 1))</f>
        <v>FYA 9.0</v>
      </c>
      <c r="G222" s="710" t="b">
        <f ca="1">IF(ISNUMBER(SEARCH(RefData!$B$2, $C222)), FALSE, TRUE)</f>
        <v>1</v>
      </c>
      <c r="H222" s="344">
        <f>'40-year assumptions'!E15</f>
        <v>0</v>
      </c>
      <c r="I222" s="712" t="str">
        <f t="shared" ca="1" si="35"/>
        <v>'40-year assumptions'!E15</v>
      </c>
      <c r="J222" s="713" t="b" cm="1">
        <f t="array" aca="1" ref="J222" ca="1">IF(COUNTIF($K222:$T222, "&lt;&gt;FALSE") - COUNTBLANK($K222:$T222) &gt; 0, INDEX($K222:$T222, MATCH(TRUE, $K222:$T222 &lt;&gt; FALSE, 0)))</f>
        <v>0</v>
      </c>
      <c r="K222" s="712" t="b">
        <f ca="1">IF(AND('Start here'!$C$24=RefData!$B$5,'Discount rates'!$C$8&lt;&gt;RefData!$B$35,'Reconciliation report'!$E222=""),ErrorMsgs!$B222)</f>
        <v>0</v>
      </c>
      <c r="L222" s="712" t="b">
        <f ca="1">IF(AND('Start here'!$C$24=RefData!$B$5,'Discount rates'!$C$8=RefData!$B$35,'Reconciliation report'!$E222&lt;&gt;""),ErrorMsgs!$C222)</f>
        <v>0</v>
      </c>
      <c r="M222" s="714" t="b">
        <f ca="1">IF(AND('Start here'!$C$24=RefData!$B$4,'Discount rates'!$C$7=RefData!$B$8,'Discount rates'!$C$8&lt;&gt;RefData!$B$35,'Reconciliation report'!$E222=""),ErrorMsgs!$D222)</f>
        <v>0</v>
      </c>
      <c r="N222" s="714" t="b">
        <f ca="1">IF(AND('Start here'!$C$24=RefData!$B$4,'Discount rates'!$C$7=RefData!$B$8,'Discount rates'!$C$8=RefData!$B$35,'Reconciliation report'!E222&lt;&gt;""),ErrorMsgs!$E222)</f>
        <v>0</v>
      </c>
      <c r="O222" s="712" t="b">
        <f ca="1">IF(AND('Start here'!$C$24=RefData!$B$4,'Discount rates'!$C$7=RefData!$B$7,'Reconciliation report'!$E222&lt;&gt;""),ErrorMsgs!$F222)</f>
        <v>0</v>
      </c>
      <c r="P222" s="712" t="b">
        <f ca="1">IF($E222&lt;-0.1,ErrorMsgs!$G222)</f>
        <v>0</v>
      </c>
      <c r="Q222" s="712" t="b">
        <f ca="1">IF($E222="",FALSE,IF($E222&gt;0.1,ErrorMsgs!$H222))</f>
        <v>0</v>
      </c>
      <c r="R222" s="712"/>
      <c r="S222" s="712"/>
      <c r="T222" s="712"/>
      <c r="U222" s="526" t="str">
        <f t="shared" ca="1" si="31"/>
        <v/>
      </c>
      <c r="V222" s="93" t="str" cm="1">
        <f t="array" aca="1" ref="V222" ca="1">CELL("format",INDIRECT(I222))</f>
        <v>P4</v>
      </c>
      <c r="W222" s="93" t="b">
        <f t="shared" ca="1" si="32"/>
        <v>0</v>
      </c>
      <c r="X222" s="715" t="str">
        <f t="shared" ca="1" si="30"/>
        <v/>
      </c>
      <c r="Y222" t="b">
        <f t="shared" ca="1" si="33"/>
        <v>1</v>
      </c>
    </row>
    <row r="223" spans="1:25" ht="63" customHeight="1">
      <c r="A223" s="705" t="s">
        <v>3229</v>
      </c>
      <c r="B223" s="716" t="str">
        <f t="shared" ca="1" si="34"/>
        <v>40-year assumptions - E16</v>
      </c>
      <c r="C223" s="707" t="str" cm="1">
        <f t="array" aca="1" ref="C223" ca="1">INDIRECT(LEFT(I223, FIND("!", I223)) &amp; RefData!$C$426 &amp; RIGHT(I223, LEN(I223) - FIND("!", I223) - 1))</f>
        <v>Year 10</v>
      </c>
      <c r="D223" s="92" t="str">
        <f t="shared" ca="1" si="29"/>
        <v/>
      </c>
      <c r="E223" s="708" t="str" cm="1">
        <f t="array" aca="1" ref="E223" ca="1">IF(INDIRECT($I223)= "", "", INDIRECT($I223))</f>
        <v/>
      </c>
      <c r="F223" s="709" t="str" cm="1">
        <f t="array" aca="1" ref="F223" ca="1">INDIRECT(LEFT(I223, FIND("!", I223)) &amp; RefData!$C$427 &amp; RIGHT(I223, LEN(I223) - FIND("!", I223) - 1))</f>
        <v>FYA 10.0</v>
      </c>
      <c r="G223" s="710" t="b">
        <f ca="1">IF(ISNUMBER(SEARCH(RefData!$B$2, $C223)), FALSE, TRUE)</f>
        <v>1</v>
      </c>
      <c r="H223" s="344">
        <f>'40-year assumptions'!E16</f>
        <v>0</v>
      </c>
      <c r="I223" s="712" t="str">
        <f t="shared" ca="1" si="35"/>
        <v>'40-year assumptions'!E16</v>
      </c>
      <c r="J223" s="713" t="b" cm="1">
        <f t="array" aca="1" ref="J223" ca="1">IF(COUNTIF($K223:$T223, "&lt;&gt;FALSE") - COUNTBLANK($K223:$T223) &gt; 0, INDEX($K223:$T223, MATCH(TRUE, $K223:$T223 &lt;&gt; FALSE, 0)))</f>
        <v>0</v>
      </c>
      <c r="K223" s="712" t="b">
        <f ca="1">IF(AND('Start here'!$C$24=RefData!$B$5,'Discount rates'!$C$8&lt;&gt;RefData!$B$35,'Reconciliation report'!$E223=""),ErrorMsgs!$B223)</f>
        <v>0</v>
      </c>
      <c r="L223" s="712" t="b">
        <f ca="1">IF(AND('Start here'!$C$24=RefData!$B$5,'Discount rates'!$C$8=RefData!$B$35,'Reconciliation report'!$E223&lt;&gt;""),ErrorMsgs!$C223)</f>
        <v>0</v>
      </c>
      <c r="M223" s="714" t="b">
        <f ca="1">IF(AND('Start here'!$C$24=RefData!$B$4,'Discount rates'!$C$7=RefData!$B$8,'Discount rates'!$C$8&lt;&gt;RefData!$B$35,'Reconciliation report'!$E223=""),ErrorMsgs!$D223)</f>
        <v>0</v>
      </c>
      <c r="N223" s="714" t="b">
        <f ca="1">IF(AND('Start here'!$C$24=RefData!$B$4,'Discount rates'!$C$7=RefData!$B$8,'Discount rates'!$C$8=RefData!$B$35,'Reconciliation report'!E223&lt;&gt;""),ErrorMsgs!$E223)</f>
        <v>0</v>
      </c>
      <c r="O223" s="712" t="b">
        <f ca="1">IF(AND('Start here'!$C$24=RefData!$B$4,'Discount rates'!$C$7=RefData!$B$7,'Reconciliation report'!$E223&lt;&gt;""),ErrorMsgs!$F223)</f>
        <v>0</v>
      </c>
      <c r="P223" s="712" t="b">
        <f ca="1">IF($E223&lt;-0.1,ErrorMsgs!$G223)</f>
        <v>0</v>
      </c>
      <c r="Q223" s="712" t="b">
        <f ca="1">IF($E223="",FALSE,IF($E223&gt;0.1,ErrorMsgs!$H223))</f>
        <v>0</v>
      </c>
      <c r="R223" s="712"/>
      <c r="S223" s="712"/>
      <c r="T223" s="712"/>
      <c r="U223" s="526" t="str">
        <f t="shared" ca="1" si="31"/>
        <v/>
      </c>
      <c r="V223" s="93" t="str" cm="1">
        <f t="array" aca="1" ref="V223" ca="1">CELL("format",INDIRECT(I223))</f>
        <v>P4</v>
      </c>
      <c r="W223" s="93" t="b">
        <f t="shared" ca="1" si="32"/>
        <v>0</v>
      </c>
      <c r="X223" s="715" t="str">
        <f t="shared" ca="1" si="30"/>
        <v/>
      </c>
      <c r="Y223" t="b">
        <f t="shared" ca="1" si="33"/>
        <v>1</v>
      </c>
    </row>
    <row r="224" spans="1:25" ht="63" customHeight="1">
      <c r="A224" s="705" t="s">
        <v>3230</v>
      </c>
      <c r="B224" s="716" t="str">
        <f t="shared" ca="1" si="34"/>
        <v>40-year assumptions - E17</v>
      </c>
      <c r="C224" s="707" t="str" cm="1">
        <f t="array" aca="1" ref="C224" ca="1">INDIRECT(LEFT(I224, FIND("!", I224)) &amp; RefData!$C$426 &amp; RIGHT(I224, LEN(I224) - FIND("!", I224) - 1))</f>
        <v>Year 11</v>
      </c>
      <c r="D224" s="92" t="str">
        <f t="shared" ca="1" si="29"/>
        <v/>
      </c>
      <c r="E224" s="708" t="str" cm="1">
        <f t="array" aca="1" ref="E224" ca="1">IF(INDIRECT($I224)= "", "", INDIRECT($I224))</f>
        <v/>
      </c>
      <c r="F224" s="709" t="str" cm="1">
        <f t="array" aca="1" ref="F224" ca="1">INDIRECT(LEFT(I224, FIND("!", I224)) &amp; RefData!$C$427 &amp; RIGHT(I224, LEN(I224) - FIND("!", I224) - 1))</f>
        <v>FYA 11.0</v>
      </c>
      <c r="G224" s="710" t="b">
        <f ca="1">IF(ISNUMBER(SEARCH(RefData!$B$2, $C224)), FALSE, TRUE)</f>
        <v>1</v>
      </c>
      <c r="H224" s="344">
        <f>'40-year assumptions'!E17</f>
        <v>0</v>
      </c>
      <c r="I224" s="712" t="str">
        <f t="shared" ca="1" si="35"/>
        <v>'40-year assumptions'!E17</v>
      </c>
      <c r="J224" s="713" t="b" cm="1">
        <f t="array" aca="1" ref="J224" ca="1">IF(COUNTIF($K224:$T224, "&lt;&gt;FALSE") - COUNTBLANK($K224:$T224) &gt; 0, INDEX($K224:$T224, MATCH(TRUE, $K224:$T224 &lt;&gt; FALSE, 0)))</f>
        <v>0</v>
      </c>
      <c r="K224" s="712" t="b">
        <f ca="1">IF(AND('Start here'!$C$24=RefData!$B$5,'Discount rates'!$C$8&lt;&gt;RefData!$B$35,'Reconciliation report'!$E224=""),ErrorMsgs!$B224)</f>
        <v>0</v>
      </c>
      <c r="L224" s="712" t="b">
        <f ca="1">IF(AND('Start here'!$C$24=RefData!$B$5,'Discount rates'!$C$8=RefData!$B$35,'Reconciliation report'!$E224&lt;&gt;""),ErrorMsgs!$C224)</f>
        <v>0</v>
      </c>
      <c r="M224" s="714" t="b">
        <f ca="1">IF(AND('Start here'!$C$24=RefData!$B$4,'Discount rates'!$C$7=RefData!$B$8,'Discount rates'!$C$8&lt;&gt;RefData!$B$35,'Reconciliation report'!$E224=""),ErrorMsgs!$D224)</f>
        <v>0</v>
      </c>
      <c r="N224" s="714" t="b">
        <f ca="1">IF(AND('Start here'!$C$24=RefData!$B$4,'Discount rates'!$C$7=RefData!$B$8,'Discount rates'!$C$8=RefData!$B$35,'Reconciliation report'!E224&lt;&gt;""),ErrorMsgs!$E224)</f>
        <v>0</v>
      </c>
      <c r="O224" s="712" t="b">
        <f ca="1">IF(AND('Start here'!$C$24=RefData!$B$4,'Discount rates'!$C$7=RefData!$B$7,'Reconciliation report'!$E224&lt;&gt;""),ErrorMsgs!$F224)</f>
        <v>0</v>
      </c>
      <c r="P224" s="712" t="b">
        <f ca="1">IF($E224&lt;-0.1,ErrorMsgs!$G224)</f>
        <v>0</v>
      </c>
      <c r="Q224" s="712" t="b">
        <f ca="1">IF($E224="",FALSE,IF($E224&gt;0.1,ErrorMsgs!$H224))</f>
        <v>0</v>
      </c>
      <c r="R224" s="712"/>
      <c r="S224" s="712"/>
      <c r="T224" s="712"/>
      <c r="U224" s="526" t="str">
        <f t="shared" ca="1" si="31"/>
        <v/>
      </c>
      <c r="V224" s="93" t="str" cm="1">
        <f t="array" aca="1" ref="V224" ca="1">CELL("format",INDIRECT(I224))</f>
        <v>P4</v>
      </c>
      <c r="W224" s="93" t="b">
        <f t="shared" ca="1" si="32"/>
        <v>0</v>
      </c>
      <c r="X224" s="715" t="str">
        <f t="shared" ca="1" si="30"/>
        <v/>
      </c>
      <c r="Y224" t="b">
        <f t="shared" ca="1" si="33"/>
        <v>1</v>
      </c>
    </row>
    <row r="225" spans="1:25" ht="63" customHeight="1">
      <c r="A225" s="705" t="s">
        <v>3231</v>
      </c>
      <c r="B225" s="716" t="str">
        <f t="shared" ca="1" si="34"/>
        <v>40-year assumptions - E18</v>
      </c>
      <c r="C225" s="707" t="str" cm="1">
        <f t="array" aca="1" ref="C225" ca="1">INDIRECT(LEFT(I225, FIND("!", I225)) &amp; RefData!$C$426 &amp; RIGHT(I225, LEN(I225) - FIND("!", I225) - 1))</f>
        <v>Year 12</v>
      </c>
      <c r="D225" s="92" t="str">
        <f t="shared" ca="1" si="29"/>
        <v/>
      </c>
      <c r="E225" s="708" t="str" cm="1">
        <f t="array" aca="1" ref="E225" ca="1">IF(INDIRECT($I225)= "", "", INDIRECT($I225))</f>
        <v/>
      </c>
      <c r="F225" s="709" t="str" cm="1">
        <f t="array" aca="1" ref="F225" ca="1">INDIRECT(LEFT(I225, FIND("!", I225)) &amp; RefData!$C$427 &amp; RIGHT(I225, LEN(I225) - FIND("!", I225) - 1))</f>
        <v>FYA 12.0</v>
      </c>
      <c r="G225" s="710" t="b">
        <f ca="1">IF(ISNUMBER(SEARCH(RefData!$B$2, $C225)), FALSE, TRUE)</f>
        <v>1</v>
      </c>
      <c r="H225" s="344">
        <f>'40-year assumptions'!E18</f>
        <v>0</v>
      </c>
      <c r="I225" s="712" t="str">
        <f t="shared" ca="1" si="35"/>
        <v>'40-year assumptions'!E18</v>
      </c>
      <c r="J225" s="713" t="b" cm="1">
        <f t="array" aca="1" ref="J225" ca="1">IF(COUNTIF($K225:$T225, "&lt;&gt;FALSE") - COUNTBLANK($K225:$T225) &gt; 0, INDEX($K225:$T225, MATCH(TRUE, $K225:$T225 &lt;&gt; FALSE, 0)))</f>
        <v>0</v>
      </c>
      <c r="K225" s="712" t="b">
        <f ca="1">IF(AND('Start here'!$C$24=RefData!$B$5,'Discount rates'!$C$8&lt;&gt;RefData!$B$35,'Reconciliation report'!$E225=""),ErrorMsgs!$B225)</f>
        <v>0</v>
      </c>
      <c r="L225" s="712" t="b">
        <f ca="1">IF(AND('Start here'!$C$24=RefData!$B$5,'Discount rates'!$C$8=RefData!$B$35,'Reconciliation report'!$E225&lt;&gt;""),ErrorMsgs!$C225)</f>
        <v>0</v>
      </c>
      <c r="M225" s="714" t="b">
        <f ca="1">IF(AND('Start here'!$C$24=RefData!$B$4,'Discount rates'!$C$7=RefData!$B$8,'Discount rates'!$C$8&lt;&gt;RefData!$B$35,'Reconciliation report'!$E225=""),ErrorMsgs!$D225)</f>
        <v>0</v>
      </c>
      <c r="N225" s="714" t="b">
        <f ca="1">IF(AND('Start here'!$C$24=RefData!$B$4,'Discount rates'!$C$7=RefData!$B$8,'Discount rates'!$C$8=RefData!$B$35,'Reconciliation report'!E225&lt;&gt;""),ErrorMsgs!$E225)</f>
        <v>0</v>
      </c>
      <c r="O225" s="712" t="b">
        <f ca="1">IF(AND('Start here'!$C$24=RefData!$B$4,'Discount rates'!$C$7=RefData!$B$7,'Reconciliation report'!$E225&lt;&gt;""),ErrorMsgs!$F225)</f>
        <v>0</v>
      </c>
      <c r="P225" s="712" t="b">
        <f ca="1">IF($E225&lt;-0.1,ErrorMsgs!$G225)</f>
        <v>0</v>
      </c>
      <c r="Q225" s="712" t="b">
        <f ca="1">IF($E225="",FALSE,IF($E225&gt;0.1,ErrorMsgs!$H225))</f>
        <v>0</v>
      </c>
      <c r="R225" s="712"/>
      <c r="S225" s="712"/>
      <c r="T225" s="712"/>
      <c r="U225" s="526" t="str">
        <f t="shared" ca="1" si="31"/>
        <v/>
      </c>
      <c r="V225" s="93" t="str" cm="1">
        <f t="array" aca="1" ref="V225" ca="1">CELL("format",INDIRECT(I225))</f>
        <v>P4</v>
      </c>
      <c r="W225" s="93" t="b">
        <f t="shared" ca="1" si="32"/>
        <v>0</v>
      </c>
      <c r="X225" s="715" t="str">
        <f t="shared" ca="1" si="30"/>
        <v/>
      </c>
      <c r="Y225" t="b">
        <f t="shared" ca="1" si="33"/>
        <v>1</v>
      </c>
    </row>
    <row r="226" spans="1:25" ht="63" customHeight="1">
      <c r="A226" s="705" t="s">
        <v>3232</v>
      </c>
      <c r="B226" s="716" t="str">
        <f t="shared" ca="1" si="34"/>
        <v>40-year assumptions - E19</v>
      </c>
      <c r="C226" s="707" t="str" cm="1">
        <f t="array" aca="1" ref="C226" ca="1">INDIRECT(LEFT(I226, FIND("!", I226)) &amp; RefData!$C$426 &amp; RIGHT(I226, LEN(I226) - FIND("!", I226) - 1))</f>
        <v>Year 13</v>
      </c>
      <c r="D226" s="92" t="str">
        <f t="shared" ca="1" si="29"/>
        <v/>
      </c>
      <c r="E226" s="708" t="str" cm="1">
        <f t="array" aca="1" ref="E226" ca="1">IF(INDIRECT($I226)= "", "", INDIRECT($I226))</f>
        <v/>
      </c>
      <c r="F226" s="709" t="str" cm="1">
        <f t="array" aca="1" ref="F226" ca="1">INDIRECT(LEFT(I226, FIND("!", I226)) &amp; RefData!$C$427 &amp; RIGHT(I226, LEN(I226) - FIND("!", I226) - 1))</f>
        <v>FYA 13.0</v>
      </c>
      <c r="G226" s="710" t="b">
        <f ca="1">IF(ISNUMBER(SEARCH(RefData!$B$2, $C226)), FALSE, TRUE)</f>
        <v>1</v>
      </c>
      <c r="H226" s="344">
        <f>'40-year assumptions'!E19</f>
        <v>0</v>
      </c>
      <c r="I226" s="712" t="str">
        <f t="shared" ca="1" si="35"/>
        <v>'40-year assumptions'!E19</v>
      </c>
      <c r="J226" s="713" t="b" cm="1">
        <f t="array" aca="1" ref="J226" ca="1">IF(COUNTIF($K226:$T226, "&lt;&gt;FALSE") - COUNTBLANK($K226:$T226) &gt; 0, INDEX($K226:$T226, MATCH(TRUE, $K226:$T226 &lt;&gt; FALSE, 0)))</f>
        <v>0</v>
      </c>
      <c r="K226" s="712" t="b">
        <f ca="1">IF(AND('Start here'!$C$24=RefData!$B$5,'Discount rates'!$C$8&lt;&gt;RefData!$B$35,'Reconciliation report'!$E226=""),ErrorMsgs!$B226)</f>
        <v>0</v>
      </c>
      <c r="L226" s="712" t="b">
        <f ca="1">IF(AND('Start here'!$C$24=RefData!$B$5,'Discount rates'!$C$8=RefData!$B$35,'Reconciliation report'!$E226&lt;&gt;""),ErrorMsgs!$C226)</f>
        <v>0</v>
      </c>
      <c r="M226" s="714" t="b">
        <f ca="1">IF(AND('Start here'!$C$24=RefData!$B$4,'Discount rates'!$C$7=RefData!$B$8,'Discount rates'!$C$8&lt;&gt;RefData!$B$35,'Reconciliation report'!$E226=""),ErrorMsgs!$D226)</f>
        <v>0</v>
      </c>
      <c r="N226" s="714" t="b">
        <f ca="1">IF(AND('Start here'!$C$24=RefData!$B$4,'Discount rates'!$C$7=RefData!$B$8,'Discount rates'!$C$8=RefData!$B$35,'Reconciliation report'!E226&lt;&gt;""),ErrorMsgs!$E226)</f>
        <v>0</v>
      </c>
      <c r="O226" s="712" t="b">
        <f ca="1">IF(AND('Start here'!$C$24=RefData!$B$4,'Discount rates'!$C$7=RefData!$B$7,'Reconciliation report'!$E226&lt;&gt;""),ErrorMsgs!$F226)</f>
        <v>0</v>
      </c>
      <c r="P226" s="712" t="b">
        <f ca="1">IF($E226&lt;-0.1,ErrorMsgs!$G226)</f>
        <v>0</v>
      </c>
      <c r="Q226" s="712" t="b">
        <f ca="1">IF($E226="",FALSE,IF($E226&gt;0.1,ErrorMsgs!$H226))</f>
        <v>0</v>
      </c>
      <c r="R226" s="712"/>
      <c r="S226" s="712"/>
      <c r="T226" s="712"/>
      <c r="U226" s="526" t="str">
        <f t="shared" ca="1" si="31"/>
        <v/>
      </c>
      <c r="V226" s="93" t="str" cm="1">
        <f t="array" aca="1" ref="V226" ca="1">CELL("format",INDIRECT(I226))</f>
        <v>P4</v>
      </c>
      <c r="W226" s="93" t="b">
        <f t="shared" ca="1" si="32"/>
        <v>0</v>
      </c>
      <c r="X226" s="715" t="str">
        <f t="shared" ca="1" si="30"/>
        <v/>
      </c>
      <c r="Y226" t="b">
        <f t="shared" ca="1" si="33"/>
        <v>1</v>
      </c>
    </row>
    <row r="227" spans="1:25" ht="63" customHeight="1">
      <c r="A227" s="705" t="s">
        <v>3233</v>
      </c>
      <c r="B227" s="716" t="str">
        <f t="shared" ca="1" si="34"/>
        <v>40-year assumptions - E20</v>
      </c>
      <c r="C227" s="707" t="str" cm="1">
        <f t="array" aca="1" ref="C227" ca="1">INDIRECT(LEFT(I227, FIND("!", I227)) &amp; RefData!$C$426 &amp; RIGHT(I227, LEN(I227) - FIND("!", I227) - 1))</f>
        <v>Year 14</v>
      </c>
      <c r="D227" s="92" t="str">
        <f t="shared" ca="1" si="29"/>
        <v/>
      </c>
      <c r="E227" s="708" t="str" cm="1">
        <f t="array" aca="1" ref="E227" ca="1">IF(INDIRECT($I227)= "", "", INDIRECT($I227))</f>
        <v/>
      </c>
      <c r="F227" s="709" t="str" cm="1">
        <f t="array" aca="1" ref="F227" ca="1">INDIRECT(LEFT(I227, FIND("!", I227)) &amp; RefData!$C$427 &amp; RIGHT(I227, LEN(I227) - FIND("!", I227) - 1))</f>
        <v>FYA 14.0</v>
      </c>
      <c r="G227" s="710" t="b">
        <f ca="1">IF(ISNUMBER(SEARCH(RefData!$B$2, $C227)), FALSE, TRUE)</f>
        <v>1</v>
      </c>
      <c r="H227" s="344">
        <f>'40-year assumptions'!E20</f>
        <v>0</v>
      </c>
      <c r="I227" s="712" t="str">
        <f t="shared" ca="1" si="35"/>
        <v>'40-year assumptions'!E20</v>
      </c>
      <c r="J227" s="713" t="b" cm="1">
        <f t="array" aca="1" ref="J227" ca="1">IF(COUNTIF($K227:$T227, "&lt;&gt;FALSE") - COUNTBLANK($K227:$T227) &gt; 0, INDEX($K227:$T227, MATCH(TRUE, $K227:$T227 &lt;&gt; FALSE, 0)))</f>
        <v>0</v>
      </c>
      <c r="K227" s="712" t="b">
        <f ca="1">IF(AND('Start here'!$C$24=RefData!$B$5,'Discount rates'!$C$8&lt;&gt;RefData!$B$35,'Reconciliation report'!$E227=""),ErrorMsgs!$B227)</f>
        <v>0</v>
      </c>
      <c r="L227" s="712" t="b">
        <f ca="1">IF(AND('Start here'!$C$24=RefData!$B$5,'Discount rates'!$C$8=RefData!$B$35,'Reconciliation report'!$E227&lt;&gt;""),ErrorMsgs!$C227)</f>
        <v>0</v>
      </c>
      <c r="M227" s="714" t="b">
        <f ca="1">IF(AND('Start here'!$C$24=RefData!$B$4,'Discount rates'!$C$7=RefData!$B$8,'Discount rates'!$C$8&lt;&gt;RefData!$B$35,'Reconciliation report'!$E227=""),ErrorMsgs!$D227)</f>
        <v>0</v>
      </c>
      <c r="N227" s="714" t="b">
        <f ca="1">IF(AND('Start here'!$C$24=RefData!$B$4,'Discount rates'!$C$7=RefData!$B$8,'Discount rates'!$C$8=RefData!$B$35,'Reconciliation report'!E227&lt;&gt;""),ErrorMsgs!$E227)</f>
        <v>0</v>
      </c>
      <c r="O227" s="712" t="b">
        <f ca="1">IF(AND('Start here'!$C$24=RefData!$B$4,'Discount rates'!$C$7=RefData!$B$7,'Reconciliation report'!$E227&lt;&gt;""),ErrorMsgs!$F227)</f>
        <v>0</v>
      </c>
      <c r="P227" s="712" t="b">
        <f ca="1">IF($E227&lt;-0.1,ErrorMsgs!$G227)</f>
        <v>0</v>
      </c>
      <c r="Q227" s="712" t="b">
        <f ca="1">IF($E227="",FALSE,IF($E227&gt;0.1,ErrorMsgs!$H227))</f>
        <v>0</v>
      </c>
      <c r="R227" s="712"/>
      <c r="S227" s="712"/>
      <c r="T227" s="712"/>
      <c r="U227" s="526" t="str">
        <f t="shared" ca="1" si="31"/>
        <v/>
      </c>
      <c r="V227" s="93" t="str" cm="1">
        <f t="array" aca="1" ref="V227" ca="1">CELL("format",INDIRECT(I227))</f>
        <v>P4</v>
      </c>
      <c r="W227" s="93" t="b">
        <f t="shared" ca="1" si="32"/>
        <v>0</v>
      </c>
      <c r="X227" s="715" t="str">
        <f t="shared" ca="1" si="30"/>
        <v/>
      </c>
      <c r="Y227" t="b">
        <f t="shared" ca="1" si="33"/>
        <v>1</v>
      </c>
    </row>
    <row r="228" spans="1:25" ht="63" customHeight="1">
      <c r="A228" s="705" t="s">
        <v>3234</v>
      </c>
      <c r="B228" s="716" t="str">
        <f t="shared" ca="1" si="34"/>
        <v>40-year assumptions - E21</v>
      </c>
      <c r="C228" s="707" t="str" cm="1">
        <f t="array" aca="1" ref="C228" ca="1">INDIRECT(LEFT(I228, FIND("!", I228)) &amp; RefData!$C$426 &amp; RIGHT(I228, LEN(I228) - FIND("!", I228) - 1))</f>
        <v>Year 15</v>
      </c>
      <c r="D228" s="92" t="str">
        <f t="shared" ca="1" si="29"/>
        <v/>
      </c>
      <c r="E228" s="708" t="str" cm="1">
        <f t="array" aca="1" ref="E228" ca="1">IF(INDIRECT($I228)= "", "", INDIRECT($I228))</f>
        <v/>
      </c>
      <c r="F228" s="709" t="str" cm="1">
        <f t="array" aca="1" ref="F228" ca="1">INDIRECT(LEFT(I228, FIND("!", I228)) &amp; RefData!$C$427 &amp; RIGHT(I228, LEN(I228) - FIND("!", I228) - 1))</f>
        <v>FYA 15.0</v>
      </c>
      <c r="G228" s="710" t="b">
        <f ca="1">IF(ISNUMBER(SEARCH(RefData!$B$2, $C228)), FALSE, TRUE)</f>
        <v>1</v>
      </c>
      <c r="H228" s="344">
        <f>'40-year assumptions'!E21</f>
        <v>0</v>
      </c>
      <c r="I228" s="712" t="str">
        <f t="shared" ca="1" si="35"/>
        <v>'40-year assumptions'!E21</v>
      </c>
      <c r="J228" s="713" t="b" cm="1">
        <f t="array" aca="1" ref="J228" ca="1">IF(COUNTIF($K228:$T228, "&lt;&gt;FALSE") - COUNTBLANK($K228:$T228) &gt; 0, INDEX($K228:$T228, MATCH(TRUE, $K228:$T228 &lt;&gt; FALSE, 0)))</f>
        <v>0</v>
      </c>
      <c r="K228" s="712" t="b">
        <f ca="1">IF(AND('Start here'!$C$24=RefData!$B$5,'Discount rates'!$C$8&lt;&gt;RefData!$B$35,'Reconciliation report'!$E228=""),ErrorMsgs!$B228)</f>
        <v>0</v>
      </c>
      <c r="L228" s="712" t="b">
        <f ca="1">IF(AND('Start here'!$C$24=RefData!$B$5,'Discount rates'!$C$8=RefData!$B$35,'Reconciliation report'!$E228&lt;&gt;""),ErrorMsgs!$C228)</f>
        <v>0</v>
      </c>
      <c r="M228" s="714" t="b">
        <f ca="1">IF(AND('Start here'!$C$24=RefData!$B$4,'Discount rates'!$C$7=RefData!$B$8,'Discount rates'!$C$8&lt;&gt;RefData!$B$35,'Reconciliation report'!$E228=""),ErrorMsgs!$D228)</f>
        <v>0</v>
      </c>
      <c r="N228" s="714" t="b">
        <f ca="1">IF(AND('Start here'!$C$24=RefData!$B$4,'Discount rates'!$C$7=RefData!$B$8,'Discount rates'!$C$8=RefData!$B$35,'Reconciliation report'!E228&lt;&gt;""),ErrorMsgs!$E228)</f>
        <v>0</v>
      </c>
      <c r="O228" s="712" t="b">
        <f ca="1">IF(AND('Start here'!$C$24=RefData!$B$4,'Discount rates'!$C$7=RefData!$B$7,'Reconciliation report'!$E228&lt;&gt;""),ErrorMsgs!$F228)</f>
        <v>0</v>
      </c>
      <c r="P228" s="712" t="b">
        <f ca="1">IF($E228&lt;-0.1,ErrorMsgs!$G228)</f>
        <v>0</v>
      </c>
      <c r="Q228" s="712" t="b">
        <f ca="1">IF($E228="",FALSE,IF($E228&gt;0.1,ErrorMsgs!$H228))</f>
        <v>0</v>
      </c>
      <c r="R228" s="712"/>
      <c r="S228" s="712"/>
      <c r="T228" s="712"/>
      <c r="U228" s="526" t="str">
        <f t="shared" ca="1" si="31"/>
        <v/>
      </c>
      <c r="V228" s="93" t="str" cm="1">
        <f t="array" aca="1" ref="V228" ca="1">CELL("format",INDIRECT(I228))</f>
        <v>P4</v>
      </c>
      <c r="W228" s="93" t="b">
        <f t="shared" ca="1" si="32"/>
        <v>0</v>
      </c>
      <c r="X228" s="715" t="str">
        <f t="shared" ca="1" si="30"/>
        <v/>
      </c>
      <c r="Y228" t="b">
        <f t="shared" ca="1" si="33"/>
        <v>1</v>
      </c>
    </row>
    <row r="229" spans="1:25" ht="63" customHeight="1">
      <c r="A229" s="705" t="s">
        <v>3235</v>
      </c>
      <c r="B229" s="716" t="str">
        <f t="shared" ca="1" si="34"/>
        <v>40-year assumptions - E22</v>
      </c>
      <c r="C229" s="707" t="str" cm="1">
        <f t="array" aca="1" ref="C229" ca="1">INDIRECT(LEFT(I229, FIND("!", I229)) &amp; RefData!$C$426 &amp; RIGHT(I229, LEN(I229) - FIND("!", I229) - 1))</f>
        <v>Year 16</v>
      </c>
      <c r="D229" s="92" t="str">
        <f t="shared" ca="1" si="29"/>
        <v/>
      </c>
      <c r="E229" s="708" t="str" cm="1">
        <f t="array" aca="1" ref="E229" ca="1">IF(INDIRECT($I229)= "", "", INDIRECT($I229))</f>
        <v/>
      </c>
      <c r="F229" s="709" t="str" cm="1">
        <f t="array" aca="1" ref="F229" ca="1">INDIRECT(LEFT(I229, FIND("!", I229)) &amp; RefData!$C$427 &amp; RIGHT(I229, LEN(I229) - FIND("!", I229) - 1))</f>
        <v>FYA 16.0</v>
      </c>
      <c r="G229" s="710" t="b">
        <f ca="1">IF(ISNUMBER(SEARCH(RefData!$B$2, $C229)), FALSE, TRUE)</f>
        <v>1</v>
      </c>
      <c r="H229" s="344">
        <f>'40-year assumptions'!E22</f>
        <v>0</v>
      </c>
      <c r="I229" s="712" t="str">
        <f t="shared" ca="1" si="35"/>
        <v>'40-year assumptions'!E22</v>
      </c>
      <c r="J229" s="713" t="b" cm="1">
        <f t="array" aca="1" ref="J229" ca="1">IF(COUNTIF($K229:$T229, "&lt;&gt;FALSE") - COUNTBLANK($K229:$T229) &gt; 0, INDEX($K229:$T229, MATCH(TRUE, $K229:$T229 &lt;&gt; FALSE, 0)))</f>
        <v>0</v>
      </c>
      <c r="K229" s="712" t="b">
        <f ca="1">IF(AND('Start here'!$C$24=RefData!$B$5,'Discount rates'!$C$8&lt;&gt;RefData!$B$35,'Reconciliation report'!$E229=""),ErrorMsgs!$B229)</f>
        <v>0</v>
      </c>
      <c r="L229" s="712" t="b">
        <f ca="1">IF(AND('Start here'!$C$24=RefData!$B$5,'Discount rates'!$C$8=RefData!$B$35,'Reconciliation report'!$E229&lt;&gt;""),ErrorMsgs!$C229)</f>
        <v>0</v>
      </c>
      <c r="M229" s="714" t="b">
        <f ca="1">IF(AND('Start here'!$C$24=RefData!$B$4,'Discount rates'!$C$7=RefData!$B$8,'Discount rates'!$C$8&lt;&gt;RefData!$B$35,'Reconciliation report'!$E229=""),ErrorMsgs!$D229)</f>
        <v>0</v>
      </c>
      <c r="N229" s="714" t="b">
        <f ca="1">IF(AND('Start here'!$C$24=RefData!$B$4,'Discount rates'!$C$7=RefData!$B$8,'Discount rates'!$C$8=RefData!$B$35,'Reconciliation report'!E229&lt;&gt;""),ErrorMsgs!$E229)</f>
        <v>0</v>
      </c>
      <c r="O229" s="712" t="b">
        <f ca="1">IF(AND('Start here'!$C$24=RefData!$B$4,'Discount rates'!$C$7=RefData!$B$7,'Reconciliation report'!$E229&lt;&gt;""),ErrorMsgs!$F229)</f>
        <v>0</v>
      </c>
      <c r="P229" s="712" t="b">
        <f ca="1">IF($E229&lt;-0.1,ErrorMsgs!$G229)</f>
        <v>0</v>
      </c>
      <c r="Q229" s="712" t="b">
        <f ca="1">IF($E229="",FALSE,IF($E229&gt;0.1,ErrorMsgs!$H229))</f>
        <v>0</v>
      </c>
      <c r="R229" s="712"/>
      <c r="S229" s="712"/>
      <c r="T229" s="712"/>
      <c r="U229" s="526" t="str">
        <f t="shared" ca="1" si="31"/>
        <v/>
      </c>
      <c r="V229" s="93" t="str" cm="1">
        <f t="array" aca="1" ref="V229" ca="1">CELL("format",INDIRECT(I229))</f>
        <v>P4</v>
      </c>
      <c r="W229" s="93" t="b">
        <f t="shared" ca="1" si="32"/>
        <v>0</v>
      </c>
      <c r="X229" s="715" t="str">
        <f t="shared" ca="1" si="30"/>
        <v/>
      </c>
      <c r="Y229" t="b">
        <f t="shared" ca="1" si="33"/>
        <v>1</v>
      </c>
    </row>
    <row r="230" spans="1:25" ht="63" customHeight="1">
      <c r="A230" s="705" t="s">
        <v>3236</v>
      </c>
      <c r="B230" s="716" t="str">
        <f t="shared" ca="1" si="34"/>
        <v>40-year assumptions - E23</v>
      </c>
      <c r="C230" s="707" t="str" cm="1">
        <f t="array" aca="1" ref="C230" ca="1">INDIRECT(LEFT(I230, FIND("!", I230)) &amp; RefData!$C$426 &amp; RIGHT(I230, LEN(I230) - FIND("!", I230) - 1))</f>
        <v>Year 17</v>
      </c>
      <c r="D230" s="92" t="str">
        <f t="shared" ca="1" si="29"/>
        <v/>
      </c>
      <c r="E230" s="708" t="str" cm="1">
        <f t="array" aca="1" ref="E230" ca="1">IF(INDIRECT($I230)= "", "", INDIRECT($I230))</f>
        <v/>
      </c>
      <c r="F230" s="709" t="str" cm="1">
        <f t="array" aca="1" ref="F230" ca="1">INDIRECT(LEFT(I230, FIND("!", I230)) &amp; RefData!$C$427 &amp; RIGHT(I230, LEN(I230) - FIND("!", I230) - 1))</f>
        <v>FYA 17.0</v>
      </c>
      <c r="G230" s="710" t="b">
        <f ca="1">IF(ISNUMBER(SEARCH(RefData!$B$2, $C230)), FALSE, TRUE)</f>
        <v>1</v>
      </c>
      <c r="H230" s="344">
        <f>'40-year assumptions'!E23</f>
        <v>0</v>
      </c>
      <c r="I230" s="712" t="str">
        <f t="shared" ca="1" si="35"/>
        <v>'40-year assumptions'!E23</v>
      </c>
      <c r="J230" s="713" t="b" cm="1">
        <f t="array" aca="1" ref="J230" ca="1">IF(COUNTIF($K230:$T230, "&lt;&gt;FALSE") - COUNTBLANK($K230:$T230) &gt; 0, INDEX($K230:$T230, MATCH(TRUE, $K230:$T230 &lt;&gt; FALSE, 0)))</f>
        <v>0</v>
      </c>
      <c r="K230" s="712" t="b">
        <f ca="1">IF(AND('Start here'!$C$24=RefData!$B$5,'Discount rates'!$C$8&lt;&gt;RefData!$B$35,'Reconciliation report'!$E230=""),ErrorMsgs!$B230)</f>
        <v>0</v>
      </c>
      <c r="L230" s="712" t="b">
        <f ca="1">IF(AND('Start here'!$C$24=RefData!$B$5,'Discount rates'!$C$8=RefData!$B$35,'Reconciliation report'!$E230&lt;&gt;""),ErrorMsgs!$C230)</f>
        <v>0</v>
      </c>
      <c r="M230" s="714" t="b">
        <f ca="1">IF(AND('Start here'!$C$24=RefData!$B$4,'Discount rates'!$C$7=RefData!$B$8,'Discount rates'!$C$8&lt;&gt;RefData!$B$35,'Reconciliation report'!$E230=""),ErrorMsgs!$D230)</f>
        <v>0</v>
      </c>
      <c r="N230" s="714" t="b">
        <f ca="1">IF(AND('Start here'!$C$24=RefData!$B$4,'Discount rates'!$C$7=RefData!$B$8,'Discount rates'!$C$8=RefData!$B$35,'Reconciliation report'!E230&lt;&gt;""),ErrorMsgs!$E230)</f>
        <v>0</v>
      </c>
      <c r="O230" s="712" t="b">
        <f ca="1">IF(AND('Start here'!$C$24=RefData!$B$4,'Discount rates'!$C$7=RefData!$B$7,'Reconciliation report'!$E230&lt;&gt;""),ErrorMsgs!$F230)</f>
        <v>0</v>
      </c>
      <c r="P230" s="712" t="b">
        <f ca="1">IF($E230&lt;-0.1,ErrorMsgs!$G230)</f>
        <v>0</v>
      </c>
      <c r="Q230" s="712" t="b">
        <f ca="1">IF($E230="",FALSE,IF($E230&gt;0.1,ErrorMsgs!$H230))</f>
        <v>0</v>
      </c>
      <c r="R230" s="712"/>
      <c r="S230" s="712"/>
      <c r="T230" s="712"/>
      <c r="U230" s="526" t="str">
        <f t="shared" ca="1" si="31"/>
        <v/>
      </c>
      <c r="V230" s="93" t="str" cm="1">
        <f t="array" aca="1" ref="V230" ca="1">CELL("format",INDIRECT(I230))</f>
        <v>P4</v>
      </c>
      <c r="W230" s="93" t="b">
        <f t="shared" ca="1" si="32"/>
        <v>0</v>
      </c>
      <c r="X230" s="715" t="str">
        <f t="shared" ca="1" si="30"/>
        <v/>
      </c>
      <c r="Y230" t="b">
        <f t="shared" ca="1" si="33"/>
        <v>1</v>
      </c>
    </row>
    <row r="231" spans="1:25" ht="63" customHeight="1">
      <c r="A231" s="705" t="s">
        <v>3237</v>
      </c>
      <c r="B231" s="716" t="str">
        <f t="shared" ca="1" si="34"/>
        <v>40-year assumptions - E24</v>
      </c>
      <c r="C231" s="707" t="str" cm="1">
        <f t="array" aca="1" ref="C231" ca="1">INDIRECT(LEFT(I231, FIND("!", I231)) &amp; RefData!$C$426 &amp; RIGHT(I231, LEN(I231) - FIND("!", I231) - 1))</f>
        <v>Year 18</v>
      </c>
      <c r="D231" s="92" t="str">
        <f t="shared" ca="1" si="29"/>
        <v/>
      </c>
      <c r="E231" s="708" t="str" cm="1">
        <f t="array" aca="1" ref="E231" ca="1">IF(INDIRECT($I231)= "", "", INDIRECT($I231))</f>
        <v/>
      </c>
      <c r="F231" s="709" t="str" cm="1">
        <f t="array" aca="1" ref="F231" ca="1">INDIRECT(LEFT(I231, FIND("!", I231)) &amp; RefData!$C$427 &amp; RIGHT(I231, LEN(I231) - FIND("!", I231) - 1))</f>
        <v>FYA 18.0</v>
      </c>
      <c r="G231" s="710" t="b">
        <f ca="1">IF(ISNUMBER(SEARCH(RefData!$B$2, $C231)), FALSE, TRUE)</f>
        <v>1</v>
      </c>
      <c r="H231" s="344">
        <f>'40-year assumptions'!E24</f>
        <v>0</v>
      </c>
      <c r="I231" s="712" t="str">
        <f t="shared" ca="1" si="35"/>
        <v>'40-year assumptions'!E24</v>
      </c>
      <c r="J231" s="713" t="b" cm="1">
        <f t="array" aca="1" ref="J231" ca="1">IF(COUNTIF($K231:$T231, "&lt;&gt;FALSE") - COUNTBLANK($K231:$T231) &gt; 0, INDEX($K231:$T231, MATCH(TRUE, $K231:$T231 &lt;&gt; FALSE, 0)))</f>
        <v>0</v>
      </c>
      <c r="K231" s="712" t="b">
        <f ca="1">IF(AND('Start here'!$C$24=RefData!$B$5,'Discount rates'!$C$8&lt;&gt;RefData!$B$35,'Reconciliation report'!$E231=""),ErrorMsgs!$B231)</f>
        <v>0</v>
      </c>
      <c r="L231" s="712" t="b">
        <f ca="1">IF(AND('Start here'!$C$24=RefData!$B$5,'Discount rates'!$C$8=RefData!$B$35,'Reconciliation report'!$E231&lt;&gt;""),ErrorMsgs!$C231)</f>
        <v>0</v>
      </c>
      <c r="M231" s="714" t="b">
        <f ca="1">IF(AND('Start here'!$C$24=RefData!$B$4,'Discount rates'!$C$7=RefData!$B$8,'Discount rates'!$C$8&lt;&gt;RefData!$B$35,'Reconciliation report'!$E231=""),ErrorMsgs!$D231)</f>
        <v>0</v>
      </c>
      <c r="N231" s="714" t="b">
        <f ca="1">IF(AND('Start here'!$C$24=RefData!$B$4,'Discount rates'!$C$7=RefData!$B$8,'Discount rates'!$C$8=RefData!$B$35,'Reconciliation report'!E231&lt;&gt;""),ErrorMsgs!$E231)</f>
        <v>0</v>
      </c>
      <c r="O231" s="712" t="b">
        <f ca="1">IF(AND('Start here'!$C$24=RefData!$B$4,'Discount rates'!$C$7=RefData!$B$7,'Reconciliation report'!$E231&lt;&gt;""),ErrorMsgs!$F231)</f>
        <v>0</v>
      </c>
      <c r="P231" s="712" t="b">
        <f ca="1">IF($E231&lt;-0.1,ErrorMsgs!$G231)</f>
        <v>0</v>
      </c>
      <c r="Q231" s="712" t="b">
        <f ca="1">IF($E231="",FALSE,IF($E231&gt;0.1,ErrorMsgs!$H231))</f>
        <v>0</v>
      </c>
      <c r="R231" s="712"/>
      <c r="S231" s="712"/>
      <c r="T231" s="712"/>
      <c r="U231" s="526" t="str">
        <f t="shared" ca="1" si="31"/>
        <v/>
      </c>
      <c r="V231" s="93" t="str" cm="1">
        <f t="array" aca="1" ref="V231" ca="1">CELL("format",INDIRECT(I231))</f>
        <v>P4</v>
      </c>
      <c r="W231" s="93" t="b">
        <f t="shared" ca="1" si="32"/>
        <v>0</v>
      </c>
      <c r="X231" s="715" t="str">
        <f t="shared" ca="1" si="30"/>
        <v/>
      </c>
      <c r="Y231" t="b">
        <f t="shared" ca="1" si="33"/>
        <v>1</v>
      </c>
    </row>
    <row r="232" spans="1:25" ht="63" customHeight="1">
      <c r="A232" s="705" t="s">
        <v>3238</v>
      </c>
      <c r="B232" s="716" t="str">
        <f t="shared" ca="1" si="34"/>
        <v>40-year assumptions - E25</v>
      </c>
      <c r="C232" s="707" t="str" cm="1">
        <f t="array" aca="1" ref="C232" ca="1">INDIRECT(LEFT(I232, FIND("!", I232)) &amp; RefData!$C$426 &amp; RIGHT(I232, LEN(I232) - FIND("!", I232) - 1))</f>
        <v>Year 19</v>
      </c>
      <c r="D232" s="92" t="str">
        <f t="shared" ca="1" si="29"/>
        <v/>
      </c>
      <c r="E232" s="708" t="str" cm="1">
        <f t="array" aca="1" ref="E232" ca="1">IF(INDIRECT($I232)= "", "", INDIRECT($I232))</f>
        <v/>
      </c>
      <c r="F232" s="709" t="str" cm="1">
        <f t="array" aca="1" ref="F232" ca="1">INDIRECT(LEFT(I232, FIND("!", I232)) &amp; RefData!$C$427 &amp; RIGHT(I232, LEN(I232) - FIND("!", I232) - 1))</f>
        <v>FYA 19.0</v>
      </c>
      <c r="G232" s="710" t="b">
        <f ca="1">IF(ISNUMBER(SEARCH(RefData!$B$2, $C232)), FALSE, TRUE)</f>
        <v>1</v>
      </c>
      <c r="H232" s="344">
        <f>'40-year assumptions'!E25</f>
        <v>0</v>
      </c>
      <c r="I232" s="712" t="str">
        <f t="shared" ca="1" si="35"/>
        <v>'40-year assumptions'!E25</v>
      </c>
      <c r="J232" s="713" t="b" cm="1">
        <f t="array" aca="1" ref="J232" ca="1">IF(COUNTIF($K232:$T232, "&lt;&gt;FALSE") - COUNTBLANK($K232:$T232) &gt; 0, INDEX($K232:$T232, MATCH(TRUE, $K232:$T232 &lt;&gt; FALSE, 0)))</f>
        <v>0</v>
      </c>
      <c r="K232" s="712" t="b">
        <f ca="1">IF(AND('Start here'!$C$24=RefData!$B$5,'Discount rates'!$C$8&lt;&gt;RefData!$B$35,'Reconciliation report'!$E232=""),ErrorMsgs!$B232)</f>
        <v>0</v>
      </c>
      <c r="L232" s="712" t="b">
        <f ca="1">IF(AND('Start here'!$C$24=RefData!$B$5,'Discount rates'!$C$8=RefData!$B$35,'Reconciliation report'!$E232&lt;&gt;""),ErrorMsgs!$C232)</f>
        <v>0</v>
      </c>
      <c r="M232" s="714" t="b">
        <f ca="1">IF(AND('Start here'!$C$24=RefData!$B$4,'Discount rates'!$C$7=RefData!$B$8,'Discount rates'!$C$8&lt;&gt;RefData!$B$35,'Reconciliation report'!$E232=""),ErrorMsgs!$D232)</f>
        <v>0</v>
      </c>
      <c r="N232" s="714" t="b">
        <f ca="1">IF(AND('Start here'!$C$24=RefData!$B$4,'Discount rates'!$C$7=RefData!$B$8,'Discount rates'!$C$8=RefData!$B$35,'Reconciliation report'!E232&lt;&gt;""),ErrorMsgs!$E232)</f>
        <v>0</v>
      </c>
      <c r="O232" s="712" t="b">
        <f ca="1">IF(AND('Start here'!$C$24=RefData!$B$4,'Discount rates'!$C$7=RefData!$B$7,'Reconciliation report'!$E232&lt;&gt;""),ErrorMsgs!$F232)</f>
        <v>0</v>
      </c>
      <c r="P232" s="712" t="b">
        <f ca="1">IF($E232&lt;-0.1,ErrorMsgs!$G232)</f>
        <v>0</v>
      </c>
      <c r="Q232" s="712" t="b">
        <f ca="1">IF($E232="",FALSE,IF($E232&gt;0.1,ErrorMsgs!$H232))</f>
        <v>0</v>
      </c>
      <c r="R232" s="712"/>
      <c r="S232" s="712"/>
      <c r="T232" s="712"/>
      <c r="U232" s="526" t="str">
        <f t="shared" ca="1" si="31"/>
        <v/>
      </c>
      <c r="V232" s="93" t="str" cm="1">
        <f t="array" aca="1" ref="V232" ca="1">CELL("format",INDIRECT(I232))</f>
        <v>P4</v>
      </c>
      <c r="W232" s="93" t="b">
        <f t="shared" ca="1" si="32"/>
        <v>0</v>
      </c>
      <c r="X232" s="715" t="str">
        <f t="shared" ca="1" si="30"/>
        <v/>
      </c>
      <c r="Y232" t="b">
        <f t="shared" ca="1" si="33"/>
        <v>1</v>
      </c>
    </row>
    <row r="233" spans="1:25" ht="63" customHeight="1">
      <c r="A233" s="705" t="s">
        <v>3239</v>
      </c>
      <c r="B233" s="716" t="str">
        <f t="shared" ca="1" si="34"/>
        <v>40-year assumptions - E26</v>
      </c>
      <c r="C233" s="707" t="str" cm="1">
        <f t="array" aca="1" ref="C233" ca="1">INDIRECT(LEFT(I233, FIND("!", I233)) &amp; RefData!$C$426 &amp; RIGHT(I233, LEN(I233) - FIND("!", I233) - 1))</f>
        <v>Year 20</v>
      </c>
      <c r="D233" s="92" t="str">
        <f t="shared" ca="1" si="29"/>
        <v/>
      </c>
      <c r="E233" s="708" t="str" cm="1">
        <f t="array" aca="1" ref="E233" ca="1">IF(INDIRECT($I233)= "", "", INDIRECT($I233))</f>
        <v/>
      </c>
      <c r="F233" s="709" t="str" cm="1">
        <f t="array" aca="1" ref="F233" ca="1">INDIRECT(LEFT(I233, FIND("!", I233)) &amp; RefData!$C$427 &amp; RIGHT(I233, LEN(I233) - FIND("!", I233) - 1))</f>
        <v>FYA 20.0</v>
      </c>
      <c r="G233" s="710" t="b">
        <f ca="1">IF(ISNUMBER(SEARCH(RefData!$B$2, $C233)), FALSE, TRUE)</f>
        <v>1</v>
      </c>
      <c r="H233" s="344">
        <f>'40-year assumptions'!E26</f>
        <v>0</v>
      </c>
      <c r="I233" s="712" t="str">
        <f t="shared" ca="1" si="35"/>
        <v>'40-year assumptions'!E26</v>
      </c>
      <c r="J233" s="713" t="b" cm="1">
        <f t="array" aca="1" ref="J233" ca="1">IF(COUNTIF($K233:$T233, "&lt;&gt;FALSE") - COUNTBLANK($K233:$T233) &gt; 0, INDEX($K233:$T233, MATCH(TRUE, $K233:$T233 &lt;&gt; FALSE, 0)))</f>
        <v>0</v>
      </c>
      <c r="K233" s="712" t="b">
        <f ca="1">IF(AND('Start here'!$C$24=RefData!$B$5,'Discount rates'!$C$8&lt;&gt;RefData!$B$35,'Reconciliation report'!$E233=""),ErrorMsgs!$B233)</f>
        <v>0</v>
      </c>
      <c r="L233" s="712" t="b">
        <f ca="1">IF(AND('Start here'!$C$24=RefData!$B$5,'Discount rates'!$C$8=RefData!$B$35,'Reconciliation report'!$E233&lt;&gt;""),ErrorMsgs!$C233)</f>
        <v>0</v>
      </c>
      <c r="M233" s="714" t="b">
        <f ca="1">IF(AND('Start here'!$C$24=RefData!$B$4,'Discount rates'!$C$7=RefData!$B$8,'Discount rates'!$C$8&lt;&gt;RefData!$B$35,'Reconciliation report'!$E233=""),ErrorMsgs!$D233)</f>
        <v>0</v>
      </c>
      <c r="N233" s="714" t="b">
        <f ca="1">IF(AND('Start here'!$C$24=RefData!$B$4,'Discount rates'!$C$7=RefData!$B$8,'Discount rates'!$C$8=RefData!$B$35,'Reconciliation report'!E233&lt;&gt;""),ErrorMsgs!$E233)</f>
        <v>0</v>
      </c>
      <c r="O233" s="712" t="b">
        <f ca="1">IF(AND('Start here'!$C$24=RefData!$B$4,'Discount rates'!$C$7=RefData!$B$7,'Reconciliation report'!$E233&lt;&gt;""),ErrorMsgs!$F233)</f>
        <v>0</v>
      </c>
      <c r="P233" s="712" t="b">
        <f ca="1">IF($E233&lt;-0.1,ErrorMsgs!$G233)</f>
        <v>0</v>
      </c>
      <c r="Q233" s="712" t="b">
        <f ca="1">IF($E233="",FALSE,IF($E233&gt;0.1,ErrorMsgs!$H233))</f>
        <v>0</v>
      </c>
      <c r="R233" s="712"/>
      <c r="S233" s="712"/>
      <c r="T233" s="712"/>
      <c r="U233" s="526" t="str">
        <f t="shared" ca="1" si="31"/>
        <v/>
      </c>
      <c r="V233" s="93" t="str" cm="1">
        <f t="array" aca="1" ref="V233" ca="1">CELL("format",INDIRECT(I233))</f>
        <v>P4</v>
      </c>
      <c r="W233" s="93" t="b">
        <f t="shared" ca="1" si="32"/>
        <v>0</v>
      </c>
      <c r="X233" s="715" t="str">
        <f t="shared" ca="1" si="30"/>
        <v/>
      </c>
      <c r="Y233" t="b">
        <f t="shared" ca="1" si="33"/>
        <v>1</v>
      </c>
    </row>
    <row r="234" spans="1:25" ht="63" customHeight="1">
      <c r="A234" s="705" t="s">
        <v>3240</v>
      </c>
      <c r="B234" s="716" t="str">
        <f t="shared" ca="1" si="34"/>
        <v>40-year assumptions - E27</v>
      </c>
      <c r="C234" s="707" t="str" cm="1">
        <f t="array" aca="1" ref="C234" ca="1">INDIRECT(LEFT(I234, FIND("!", I234)) &amp; RefData!$C$426 &amp; RIGHT(I234, LEN(I234) - FIND("!", I234) - 1))</f>
        <v>Year 21</v>
      </c>
      <c r="D234" s="92" t="str">
        <f t="shared" ca="1" si="29"/>
        <v/>
      </c>
      <c r="E234" s="708" t="str" cm="1">
        <f t="array" aca="1" ref="E234" ca="1">IF(INDIRECT($I234)= "", "", INDIRECT($I234))</f>
        <v/>
      </c>
      <c r="F234" s="709" t="str" cm="1">
        <f t="array" aca="1" ref="F234" ca="1">INDIRECT(LEFT(I234, FIND("!", I234)) &amp; RefData!$C$427 &amp; RIGHT(I234, LEN(I234) - FIND("!", I234) - 1))</f>
        <v>FYA 21.0</v>
      </c>
      <c r="G234" s="710" t="b">
        <f ca="1">IF(ISNUMBER(SEARCH(RefData!$B$2, $C234)), FALSE, TRUE)</f>
        <v>1</v>
      </c>
      <c r="H234" s="344">
        <f>'40-year assumptions'!E27</f>
        <v>0</v>
      </c>
      <c r="I234" s="712" t="str">
        <f t="shared" ca="1" si="35"/>
        <v>'40-year assumptions'!E27</v>
      </c>
      <c r="J234" s="713" t="b" cm="1">
        <f t="array" aca="1" ref="J234" ca="1">IF(COUNTIF($K234:$T234, "&lt;&gt;FALSE") - COUNTBLANK($K234:$T234) &gt; 0, INDEX($K234:$T234, MATCH(TRUE, $K234:$T234 &lt;&gt; FALSE, 0)))</f>
        <v>0</v>
      </c>
      <c r="K234" s="712" t="b">
        <f ca="1">IF(AND('Start here'!$C$24=RefData!$B$5,'Discount rates'!$C$8&lt;&gt;RefData!$B$35,'Reconciliation report'!$E234=""),ErrorMsgs!$B234)</f>
        <v>0</v>
      </c>
      <c r="L234" s="712" t="b">
        <f ca="1">IF(AND('Start here'!$C$24=RefData!$B$5,'Discount rates'!$C$8=RefData!$B$35,'Reconciliation report'!$E234&lt;&gt;""),ErrorMsgs!$C234)</f>
        <v>0</v>
      </c>
      <c r="M234" s="714" t="b">
        <f ca="1">IF(AND('Start here'!$C$24=RefData!$B$4,'Discount rates'!$C$7=RefData!$B$8,'Discount rates'!$C$8&lt;&gt;RefData!$B$35,'Reconciliation report'!$E234=""),ErrorMsgs!$D234)</f>
        <v>0</v>
      </c>
      <c r="N234" s="714" t="b">
        <f ca="1">IF(AND('Start here'!$C$24=RefData!$B$4,'Discount rates'!$C$7=RefData!$B$8,'Discount rates'!$C$8=RefData!$B$35,'Reconciliation report'!E234&lt;&gt;""),ErrorMsgs!$E234)</f>
        <v>0</v>
      </c>
      <c r="O234" s="712" t="b">
        <f ca="1">IF(AND('Start here'!$C$24=RefData!$B$4,'Discount rates'!$C$7=RefData!$B$7,'Reconciliation report'!$E234&lt;&gt;""),ErrorMsgs!$F234)</f>
        <v>0</v>
      </c>
      <c r="P234" s="712" t="b">
        <f ca="1">IF($E234&lt;-0.1,ErrorMsgs!$G234)</f>
        <v>0</v>
      </c>
      <c r="Q234" s="712" t="b">
        <f ca="1">IF($E234="",FALSE,IF($E234&gt;0.1,ErrorMsgs!$H234))</f>
        <v>0</v>
      </c>
      <c r="R234" s="712"/>
      <c r="S234" s="712"/>
      <c r="T234" s="712"/>
      <c r="U234" s="526" t="str">
        <f t="shared" ca="1" si="31"/>
        <v/>
      </c>
      <c r="V234" s="93" t="str" cm="1">
        <f t="array" aca="1" ref="V234" ca="1">CELL("format",INDIRECT(I234))</f>
        <v>P4</v>
      </c>
      <c r="W234" s="93" t="b">
        <f t="shared" ca="1" si="32"/>
        <v>0</v>
      </c>
      <c r="X234" s="715" t="str">
        <f t="shared" ca="1" si="30"/>
        <v/>
      </c>
      <c r="Y234" t="b">
        <f t="shared" ca="1" si="33"/>
        <v>1</v>
      </c>
    </row>
    <row r="235" spans="1:25" ht="63" customHeight="1">
      <c r="A235" s="705" t="s">
        <v>3241</v>
      </c>
      <c r="B235" s="716" t="str">
        <f t="shared" ca="1" si="34"/>
        <v>40-year assumptions - E28</v>
      </c>
      <c r="C235" s="707" t="str" cm="1">
        <f t="array" aca="1" ref="C235" ca="1">INDIRECT(LEFT(I235, FIND("!", I235)) &amp; RefData!$C$426 &amp; RIGHT(I235, LEN(I235) - FIND("!", I235) - 1))</f>
        <v>Year 22</v>
      </c>
      <c r="D235" s="92" t="str">
        <f t="shared" ca="1" si="29"/>
        <v/>
      </c>
      <c r="E235" s="708" t="str" cm="1">
        <f t="array" aca="1" ref="E235" ca="1">IF(INDIRECT($I235)= "", "", INDIRECT($I235))</f>
        <v/>
      </c>
      <c r="F235" s="709" t="str" cm="1">
        <f t="array" aca="1" ref="F235" ca="1">INDIRECT(LEFT(I235, FIND("!", I235)) &amp; RefData!$C$427 &amp; RIGHT(I235, LEN(I235) - FIND("!", I235) - 1))</f>
        <v>FYA 22.0</v>
      </c>
      <c r="G235" s="710" t="b">
        <f ca="1">IF(ISNUMBER(SEARCH(RefData!$B$2, $C235)), FALSE, TRUE)</f>
        <v>1</v>
      </c>
      <c r="H235" s="344">
        <f>'40-year assumptions'!E28</f>
        <v>0</v>
      </c>
      <c r="I235" s="712" t="str">
        <f t="shared" ca="1" si="35"/>
        <v>'40-year assumptions'!E28</v>
      </c>
      <c r="J235" s="713" t="b" cm="1">
        <f t="array" aca="1" ref="J235" ca="1">IF(COUNTIF($K235:$T235, "&lt;&gt;FALSE") - COUNTBLANK($K235:$T235) &gt; 0, INDEX($K235:$T235, MATCH(TRUE, $K235:$T235 &lt;&gt; FALSE, 0)))</f>
        <v>0</v>
      </c>
      <c r="K235" s="712" t="b">
        <f ca="1">IF(AND('Start here'!$C$24=RefData!$B$5,'Discount rates'!$C$8&lt;&gt;RefData!$B$35,'Reconciliation report'!$E235=""),ErrorMsgs!$B235)</f>
        <v>0</v>
      </c>
      <c r="L235" s="712" t="b">
        <f ca="1">IF(AND('Start here'!$C$24=RefData!$B$5,'Discount rates'!$C$8=RefData!$B$35,'Reconciliation report'!$E235&lt;&gt;""),ErrorMsgs!$C235)</f>
        <v>0</v>
      </c>
      <c r="M235" s="714" t="b">
        <f ca="1">IF(AND('Start here'!$C$24=RefData!$B$4,'Discount rates'!$C$7=RefData!$B$8,'Discount rates'!$C$8&lt;&gt;RefData!$B$35,'Reconciliation report'!$E235=""),ErrorMsgs!$D235)</f>
        <v>0</v>
      </c>
      <c r="N235" s="714" t="b">
        <f ca="1">IF(AND('Start here'!$C$24=RefData!$B$4,'Discount rates'!$C$7=RefData!$B$8,'Discount rates'!$C$8=RefData!$B$35,'Reconciliation report'!E235&lt;&gt;""),ErrorMsgs!$E235)</f>
        <v>0</v>
      </c>
      <c r="O235" s="712" t="b">
        <f ca="1">IF(AND('Start here'!$C$24=RefData!$B$4,'Discount rates'!$C$7=RefData!$B$7,'Reconciliation report'!$E235&lt;&gt;""),ErrorMsgs!$F235)</f>
        <v>0</v>
      </c>
      <c r="P235" s="712" t="b">
        <f ca="1">IF($E235&lt;-0.1,ErrorMsgs!$G235)</f>
        <v>0</v>
      </c>
      <c r="Q235" s="712" t="b">
        <f ca="1">IF($E235="",FALSE,IF($E235&gt;0.1,ErrorMsgs!$H235))</f>
        <v>0</v>
      </c>
      <c r="R235" s="712"/>
      <c r="S235" s="712"/>
      <c r="T235" s="712"/>
      <c r="U235" s="526" t="str">
        <f t="shared" ca="1" si="31"/>
        <v/>
      </c>
      <c r="V235" s="93" t="str" cm="1">
        <f t="array" aca="1" ref="V235" ca="1">CELL("format",INDIRECT(I235))</f>
        <v>P4</v>
      </c>
      <c r="W235" s="93" t="b">
        <f t="shared" ca="1" si="32"/>
        <v>0</v>
      </c>
      <c r="X235" s="715" t="str">
        <f t="shared" ca="1" si="30"/>
        <v/>
      </c>
      <c r="Y235" t="b">
        <f t="shared" ca="1" si="33"/>
        <v>1</v>
      </c>
    </row>
    <row r="236" spans="1:25" ht="63" customHeight="1">
      <c r="A236" s="705" t="s">
        <v>3242</v>
      </c>
      <c r="B236" s="716" t="str">
        <f t="shared" ca="1" si="34"/>
        <v>40-year assumptions - E29</v>
      </c>
      <c r="C236" s="707" t="str" cm="1">
        <f t="array" aca="1" ref="C236" ca="1">INDIRECT(LEFT(I236, FIND("!", I236)) &amp; RefData!$C$426 &amp; RIGHT(I236, LEN(I236) - FIND("!", I236) - 1))</f>
        <v>Year 23</v>
      </c>
      <c r="D236" s="92" t="str">
        <f t="shared" ca="1" si="29"/>
        <v/>
      </c>
      <c r="E236" s="708" t="str" cm="1">
        <f t="array" aca="1" ref="E236" ca="1">IF(INDIRECT($I236)= "", "", INDIRECT($I236))</f>
        <v/>
      </c>
      <c r="F236" s="709" t="str" cm="1">
        <f t="array" aca="1" ref="F236" ca="1">INDIRECT(LEFT(I236, FIND("!", I236)) &amp; RefData!$C$427 &amp; RIGHT(I236, LEN(I236) - FIND("!", I236) - 1))</f>
        <v>FYA 23.0</v>
      </c>
      <c r="G236" s="710" t="b">
        <f ca="1">IF(ISNUMBER(SEARCH(RefData!$B$2, $C236)), FALSE, TRUE)</f>
        <v>1</v>
      </c>
      <c r="H236" s="344">
        <f>'40-year assumptions'!E29</f>
        <v>0</v>
      </c>
      <c r="I236" s="712" t="str">
        <f t="shared" ca="1" si="35"/>
        <v>'40-year assumptions'!E29</v>
      </c>
      <c r="J236" s="713" t="b" cm="1">
        <f t="array" aca="1" ref="J236" ca="1">IF(COUNTIF($K236:$T236, "&lt;&gt;FALSE") - COUNTBLANK($K236:$T236) &gt; 0, INDEX($K236:$T236, MATCH(TRUE, $K236:$T236 &lt;&gt; FALSE, 0)))</f>
        <v>0</v>
      </c>
      <c r="K236" s="712" t="b">
        <f ca="1">IF(AND('Start here'!$C$24=RefData!$B$5,'Discount rates'!$C$8&lt;&gt;RefData!$B$35,'Reconciliation report'!$E236=""),ErrorMsgs!$B236)</f>
        <v>0</v>
      </c>
      <c r="L236" s="712" t="b">
        <f ca="1">IF(AND('Start here'!$C$24=RefData!$B$5,'Discount rates'!$C$8=RefData!$B$35,'Reconciliation report'!$E236&lt;&gt;""),ErrorMsgs!$C236)</f>
        <v>0</v>
      </c>
      <c r="M236" s="714" t="b">
        <f ca="1">IF(AND('Start here'!$C$24=RefData!$B$4,'Discount rates'!$C$7=RefData!$B$8,'Discount rates'!$C$8&lt;&gt;RefData!$B$35,'Reconciliation report'!$E236=""),ErrorMsgs!$D236)</f>
        <v>0</v>
      </c>
      <c r="N236" s="714" t="b">
        <f ca="1">IF(AND('Start here'!$C$24=RefData!$B$4,'Discount rates'!$C$7=RefData!$B$8,'Discount rates'!$C$8=RefData!$B$35,'Reconciliation report'!E236&lt;&gt;""),ErrorMsgs!$E236)</f>
        <v>0</v>
      </c>
      <c r="O236" s="712" t="b">
        <f ca="1">IF(AND('Start here'!$C$24=RefData!$B$4,'Discount rates'!$C$7=RefData!$B$7,'Reconciliation report'!$E236&lt;&gt;""),ErrorMsgs!$F236)</f>
        <v>0</v>
      </c>
      <c r="P236" s="712" t="b">
        <f ca="1">IF($E236&lt;-0.1,ErrorMsgs!$G236)</f>
        <v>0</v>
      </c>
      <c r="Q236" s="712" t="b">
        <f ca="1">IF($E236="",FALSE,IF($E236&gt;0.1,ErrorMsgs!$H236))</f>
        <v>0</v>
      </c>
      <c r="R236" s="712"/>
      <c r="S236" s="712"/>
      <c r="T236" s="712"/>
      <c r="U236" s="526" t="str">
        <f t="shared" ca="1" si="31"/>
        <v/>
      </c>
      <c r="V236" s="93" t="str" cm="1">
        <f t="array" aca="1" ref="V236" ca="1">CELL("format",INDIRECT(I236))</f>
        <v>P4</v>
      </c>
      <c r="W236" s="93" t="b">
        <f t="shared" ca="1" si="32"/>
        <v>0</v>
      </c>
      <c r="X236" s="715" t="str">
        <f t="shared" ca="1" si="30"/>
        <v/>
      </c>
      <c r="Y236" t="b">
        <f t="shared" ca="1" si="33"/>
        <v>1</v>
      </c>
    </row>
    <row r="237" spans="1:25" ht="63" customHeight="1">
      <c r="A237" s="705" t="s">
        <v>3243</v>
      </c>
      <c r="B237" s="716" t="str">
        <f t="shared" ca="1" si="34"/>
        <v>40-year assumptions - E30</v>
      </c>
      <c r="C237" s="707" t="str" cm="1">
        <f t="array" aca="1" ref="C237" ca="1">INDIRECT(LEFT(I237, FIND("!", I237)) &amp; RefData!$C$426 &amp; RIGHT(I237, LEN(I237) - FIND("!", I237) - 1))</f>
        <v>Year 24</v>
      </c>
      <c r="D237" s="92" t="str">
        <f t="shared" ca="1" si="29"/>
        <v/>
      </c>
      <c r="E237" s="708" t="str" cm="1">
        <f t="array" aca="1" ref="E237" ca="1">IF(INDIRECT($I237)= "", "", INDIRECT($I237))</f>
        <v/>
      </c>
      <c r="F237" s="709" t="str" cm="1">
        <f t="array" aca="1" ref="F237" ca="1">INDIRECT(LEFT(I237, FIND("!", I237)) &amp; RefData!$C$427 &amp; RIGHT(I237, LEN(I237) - FIND("!", I237) - 1))</f>
        <v>FYA 24.0</v>
      </c>
      <c r="G237" s="710" t="b">
        <f ca="1">IF(ISNUMBER(SEARCH(RefData!$B$2, $C237)), FALSE, TRUE)</f>
        <v>1</v>
      </c>
      <c r="H237" s="344">
        <f>'40-year assumptions'!E30</f>
        <v>0</v>
      </c>
      <c r="I237" s="712" t="str">
        <f t="shared" ca="1" si="35"/>
        <v>'40-year assumptions'!E30</v>
      </c>
      <c r="J237" s="713" t="b" cm="1">
        <f t="array" aca="1" ref="J237" ca="1">IF(COUNTIF($K237:$T237, "&lt;&gt;FALSE") - COUNTBLANK($K237:$T237) &gt; 0, INDEX($K237:$T237, MATCH(TRUE, $K237:$T237 &lt;&gt; FALSE, 0)))</f>
        <v>0</v>
      </c>
      <c r="K237" s="712" t="b">
        <f ca="1">IF(AND('Start here'!$C$24=RefData!$B$5,'Discount rates'!$C$8&lt;&gt;RefData!$B$35,'Reconciliation report'!$E237=""),ErrorMsgs!$B237)</f>
        <v>0</v>
      </c>
      <c r="L237" s="712" t="b">
        <f ca="1">IF(AND('Start here'!$C$24=RefData!$B$5,'Discount rates'!$C$8=RefData!$B$35,'Reconciliation report'!$E237&lt;&gt;""),ErrorMsgs!$C237)</f>
        <v>0</v>
      </c>
      <c r="M237" s="714" t="b">
        <f ca="1">IF(AND('Start here'!$C$24=RefData!$B$4,'Discount rates'!$C$7=RefData!$B$8,'Discount rates'!$C$8&lt;&gt;RefData!$B$35,'Reconciliation report'!$E237=""),ErrorMsgs!$D237)</f>
        <v>0</v>
      </c>
      <c r="N237" s="714" t="b">
        <f ca="1">IF(AND('Start here'!$C$24=RefData!$B$4,'Discount rates'!$C$7=RefData!$B$8,'Discount rates'!$C$8=RefData!$B$35,'Reconciliation report'!E237&lt;&gt;""),ErrorMsgs!$E237)</f>
        <v>0</v>
      </c>
      <c r="O237" s="712" t="b">
        <f ca="1">IF(AND('Start here'!$C$24=RefData!$B$4,'Discount rates'!$C$7=RefData!$B$7,'Reconciliation report'!$E237&lt;&gt;""),ErrorMsgs!$F237)</f>
        <v>0</v>
      </c>
      <c r="P237" s="712" t="b">
        <f ca="1">IF($E237&lt;-0.1,ErrorMsgs!$G237)</f>
        <v>0</v>
      </c>
      <c r="Q237" s="712" t="b">
        <f ca="1">IF($E237="",FALSE,IF($E237&gt;0.1,ErrorMsgs!$H237))</f>
        <v>0</v>
      </c>
      <c r="R237" s="712"/>
      <c r="S237" s="712"/>
      <c r="T237" s="712"/>
      <c r="U237" s="526" t="str">
        <f t="shared" ca="1" si="31"/>
        <v/>
      </c>
      <c r="V237" s="93" t="str" cm="1">
        <f t="array" aca="1" ref="V237" ca="1">CELL("format",INDIRECT(I237))</f>
        <v>P4</v>
      </c>
      <c r="W237" s="93" t="b">
        <f t="shared" ca="1" si="32"/>
        <v>0</v>
      </c>
      <c r="X237" s="715" t="str">
        <f t="shared" ca="1" si="30"/>
        <v/>
      </c>
      <c r="Y237" t="b">
        <f t="shared" ca="1" si="33"/>
        <v>1</v>
      </c>
    </row>
    <row r="238" spans="1:25" ht="63" customHeight="1">
      <c r="A238" s="705" t="s">
        <v>3244</v>
      </c>
      <c r="B238" s="716" t="str">
        <f t="shared" ca="1" si="34"/>
        <v>40-year assumptions - E31</v>
      </c>
      <c r="C238" s="707" t="str" cm="1">
        <f t="array" aca="1" ref="C238" ca="1">INDIRECT(LEFT(I238, FIND("!", I238)) &amp; RefData!$C$426 &amp; RIGHT(I238, LEN(I238) - FIND("!", I238) - 1))</f>
        <v>Year 25</v>
      </c>
      <c r="D238" s="92" t="str">
        <f t="shared" ca="1" si="29"/>
        <v/>
      </c>
      <c r="E238" s="708" t="str" cm="1">
        <f t="array" aca="1" ref="E238" ca="1">IF(INDIRECT($I238)= "", "", INDIRECT($I238))</f>
        <v/>
      </c>
      <c r="F238" s="709" t="str" cm="1">
        <f t="array" aca="1" ref="F238" ca="1">INDIRECT(LEFT(I238, FIND("!", I238)) &amp; RefData!$C$427 &amp; RIGHT(I238, LEN(I238) - FIND("!", I238) - 1))</f>
        <v>FYA 25.0</v>
      </c>
      <c r="G238" s="710" t="b">
        <f ca="1">IF(ISNUMBER(SEARCH(RefData!$B$2, $C238)), FALSE, TRUE)</f>
        <v>1</v>
      </c>
      <c r="H238" s="344">
        <f>'40-year assumptions'!E31</f>
        <v>0</v>
      </c>
      <c r="I238" s="712" t="str">
        <f t="shared" ca="1" si="35"/>
        <v>'40-year assumptions'!E31</v>
      </c>
      <c r="J238" s="713" t="b" cm="1">
        <f t="array" aca="1" ref="J238" ca="1">IF(COUNTIF($K238:$T238, "&lt;&gt;FALSE") - COUNTBLANK($K238:$T238) &gt; 0, INDEX($K238:$T238, MATCH(TRUE, $K238:$T238 &lt;&gt; FALSE, 0)))</f>
        <v>0</v>
      </c>
      <c r="K238" s="712" t="b">
        <f ca="1">IF(AND('Start here'!$C$24=RefData!$B$5,'Discount rates'!$C$8&lt;&gt;RefData!$B$35,'Reconciliation report'!$E238=""),ErrorMsgs!$B238)</f>
        <v>0</v>
      </c>
      <c r="L238" s="712" t="b">
        <f ca="1">IF(AND('Start here'!$C$24=RefData!$B$5,'Discount rates'!$C$8=RefData!$B$35,'Reconciliation report'!$E238&lt;&gt;""),ErrorMsgs!$C238)</f>
        <v>0</v>
      </c>
      <c r="M238" s="714" t="b">
        <f ca="1">IF(AND('Start here'!$C$24=RefData!$B$4,'Discount rates'!$C$7=RefData!$B$8,'Discount rates'!$C$8&lt;&gt;RefData!$B$35,'Reconciliation report'!$E238=""),ErrorMsgs!$D238)</f>
        <v>0</v>
      </c>
      <c r="N238" s="714" t="b">
        <f ca="1">IF(AND('Start here'!$C$24=RefData!$B$4,'Discount rates'!$C$7=RefData!$B$8,'Discount rates'!$C$8=RefData!$B$35,'Reconciliation report'!E238&lt;&gt;""),ErrorMsgs!$E238)</f>
        <v>0</v>
      </c>
      <c r="O238" s="712" t="b">
        <f ca="1">IF(AND('Start here'!$C$24=RefData!$B$4,'Discount rates'!$C$7=RefData!$B$7,'Reconciliation report'!$E238&lt;&gt;""),ErrorMsgs!$F238)</f>
        <v>0</v>
      </c>
      <c r="P238" s="712" t="b">
        <f ca="1">IF($E238&lt;-0.1,ErrorMsgs!$G238)</f>
        <v>0</v>
      </c>
      <c r="Q238" s="712" t="b">
        <f ca="1">IF($E238="",FALSE,IF($E238&gt;0.1,ErrorMsgs!$H238))</f>
        <v>0</v>
      </c>
      <c r="R238" s="712"/>
      <c r="S238" s="712"/>
      <c r="T238" s="712"/>
      <c r="U238" s="526" t="str">
        <f t="shared" ca="1" si="31"/>
        <v/>
      </c>
      <c r="V238" s="93" t="str" cm="1">
        <f t="array" aca="1" ref="V238" ca="1">CELL("format",INDIRECT(I238))</f>
        <v>P4</v>
      </c>
      <c r="W238" s="93" t="b">
        <f t="shared" ca="1" si="32"/>
        <v>0</v>
      </c>
      <c r="X238" s="715" t="str">
        <f t="shared" ca="1" si="30"/>
        <v/>
      </c>
      <c r="Y238" t="b">
        <f t="shared" ca="1" si="33"/>
        <v>1</v>
      </c>
    </row>
    <row r="239" spans="1:25" ht="63" customHeight="1">
      <c r="A239" s="705" t="s">
        <v>3245</v>
      </c>
      <c r="B239" s="716" t="str">
        <f t="shared" ca="1" si="34"/>
        <v>40-year assumptions - E32</v>
      </c>
      <c r="C239" s="707" t="str" cm="1">
        <f t="array" aca="1" ref="C239" ca="1">INDIRECT(LEFT(I239, FIND("!", I239)) &amp; RefData!$C$426 &amp; RIGHT(I239, LEN(I239) - FIND("!", I239) - 1))</f>
        <v>Year 26</v>
      </c>
      <c r="D239" s="92" t="str">
        <f t="shared" ca="1" si="29"/>
        <v/>
      </c>
      <c r="E239" s="708" t="str" cm="1">
        <f t="array" aca="1" ref="E239" ca="1">IF(INDIRECT($I239)= "", "", INDIRECT($I239))</f>
        <v/>
      </c>
      <c r="F239" s="709" t="str" cm="1">
        <f t="array" aca="1" ref="F239" ca="1">INDIRECT(LEFT(I239, FIND("!", I239)) &amp; RefData!$C$427 &amp; RIGHT(I239, LEN(I239) - FIND("!", I239) - 1))</f>
        <v>FYA 26.0</v>
      </c>
      <c r="G239" s="710" t="b">
        <f ca="1">IF(ISNUMBER(SEARCH(RefData!$B$2, $C239)), FALSE, TRUE)</f>
        <v>1</v>
      </c>
      <c r="H239" s="344">
        <f>'40-year assumptions'!E32</f>
        <v>0</v>
      </c>
      <c r="I239" s="712" t="str">
        <f t="shared" ca="1" si="35"/>
        <v>'40-year assumptions'!E32</v>
      </c>
      <c r="J239" s="713" t="b" cm="1">
        <f t="array" aca="1" ref="J239" ca="1">IF(COUNTIF($K239:$T239, "&lt;&gt;FALSE") - COUNTBLANK($K239:$T239) &gt; 0, INDEX($K239:$T239, MATCH(TRUE, $K239:$T239 &lt;&gt; FALSE, 0)))</f>
        <v>0</v>
      </c>
      <c r="K239" s="712" t="b">
        <f ca="1">IF(AND('Start here'!$C$24=RefData!$B$5,'Discount rates'!$C$8&lt;&gt;RefData!$B$35,'Reconciliation report'!$E239=""),ErrorMsgs!$B239)</f>
        <v>0</v>
      </c>
      <c r="L239" s="712" t="b">
        <f ca="1">IF(AND('Start here'!$C$24=RefData!$B$5,'Discount rates'!$C$8=RefData!$B$35,'Reconciliation report'!$E239&lt;&gt;""),ErrorMsgs!$C239)</f>
        <v>0</v>
      </c>
      <c r="M239" s="714" t="b">
        <f ca="1">IF(AND('Start here'!$C$24=RefData!$B$4,'Discount rates'!$C$7=RefData!$B$8,'Discount rates'!$C$8&lt;&gt;RefData!$B$35,'Reconciliation report'!$E239=""),ErrorMsgs!$D239)</f>
        <v>0</v>
      </c>
      <c r="N239" s="714" t="b">
        <f ca="1">IF(AND('Start here'!$C$24=RefData!$B$4,'Discount rates'!$C$7=RefData!$B$8,'Discount rates'!$C$8=RefData!$B$35,'Reconciliation report'!E239&lt;&gt;""),ErrorMsgs!$E239)</f>
        <v>0</v>
      </c>
      <c r="O239" s="712" t="b">
        <f ca="1">IF(AND('Start here'!$C$24=RefData!$B$4,'Discount rates'!$C$7=RefData!$B$7,'Reconciliation report'!$E239&lt;&gt;""),ErrorMsgs!$F239)</f>
        <v>0</v>
      </c>
      <c r="P239" s="712" t="b">
        <f ca="1">IF($E239&lt;-0.1,ErrorMsgs!$G239)</f>
        <v>0</v>
      </c>
      <c r="Q239" s="712" t="b">
        <f ca="1">IF($E239="",FALSE,IF($E239&gt;0.1,ErrorMsgs!$H239))</f>
        <v>0</v>
      </c>
      <c r="R239" s="712"/>
      <c r="S239" s="712"/>
      <c r="T239" s="712"/>
      <c r="U239" s="526" t="str">
        <f t="shared" ca="1" si="31"/>
        <v/>
      </c>
      <c r="V239" s="93" t="str" cm="1">
        <f t="array" aca="1" ref="V239" ca="1">CELL("format",INDIRECT(I239))</f>
        <v>P4</v>
      </c>
      <c r="W239" s="93" t="b">
        <f t="shared" ca="1" si="32"/>
        <v>0</v>
      </c>
      <c r="X239" s="715" t="str">
        <f t="shared" ca="1" si="30"/>
        <v/>
      </c>
      <c r="Y239" t="b">
        <f t="shared" ca="1" si="33"/>
        <v>1</v>
      </c>
    </row>
    <row r="240" spans="1:25" ht="63" customHeight="1">
      <c r="A240" s="705" t="s">
        <v>3246</v>
      </c>
      <c r="B240" s="716" t="str">
        <f t="shared" ca="1" si="34"/>
        <v>40-year assumptions - E33</v>
      </c>
      <c r="C240" s="707" t="str" cm="1">
        <f t="array" aca="1" ref="C240" ca="1">INDIRECT(LEFT(I240, FIND("!", I240)) &amp; RefData!$C$426 &amp; RIGHT(I240, LEN(I240) - FIND("!", I240) - 1))</f>
        <v>Year 27</v>
      </c>
      <c r="D240" s="92" t="str">
        <f t="shared" ca="1" si="29"/>
        <v/>
      </c>
      <c r="E240" s="708" t="str" cm="1">
        <f t="array" aca="1" ref="E240" ca="1">IF(INDIRECT($I240)= "", "", INDIRECT($I240))</f>
        <v/>
      </c>
      <c r="F240" s="709" t="str" cm="1">
        <f t="array" aca="1" ref="F240" ca="1">INDIRECT(LEFT(I240, FIND("!", I240)) &amp; RefData!$C$427 &amp; RIGHT(I240, LEN(I240) - FIND("!", I240) - 1))</f>
        <v>FYA 27.0</v>
      </c>
      <c r="G240" s="710" t="b">
        <f ca="1">IF(ISNUMBER(SEARCH(RefData!$B$2, $C240)), FALSE, TRUE)</f>
        <v>1</v>
      </c>
      <c r="H240" s="344">
        <f>'40-year assumptions'!E33</f>
        <v>0</v>
      </c>
      <c r="I240" s="712" t="str">
        <f t="shared" ca="1" si="35"/>
        <v>'40-year assumptions'!E33</v>
      </c>
      <c r="J240" s="713" t="b" cm="1">
        <f t="array" aca="1" ref="J240" ca="1">IF(COUNTIF($K240:$T240, "&lt;&gt;FALSE") - COUNTBLANK($K240:$T240) &gt; 0, INDEX($K240:$T240, MATCH(TRUE, $K240:$T240 &lt;&gt; FALSE, 0)))</f>
        <v>0</v>
      </c>
      <c r="K240" s="712" t="b">
        <f ca="1">IF(AND('Start here'!$C$24=RefData!$B$5,'Discount rates'!$C$8&lt;&gt;RefData!$B$35,'Reconciliation report'!$E240=""),ErrorMsgs!$B240)</f>
        <v>0</v>
      </c>
      <c r="L240" s="712" t="b">
        <f ca="1">IF(AND('Start here'!$C$24=RefData!$B$5,'Discount rates'!$C$8=RefData!$B$35,'Reconciliation report'!$E240&lt;&gt;""),ErrorMsgs!$C240)</f>
        <v>0</v>
      </c>
      <c r="M240" s="714" t="b">
        <f ca="1">IF(AND('Start here'!$C$24=RefData!$B$4,'Discount rates'!$C$7=RefData!$B$8,'Discount rates'!$C$8&lt;&gt;RefData!$B$35,'Reconciliation report'!$E240=""),ErrorMsgs!$D240)</f>
        <v>0</v>
      </c>
      <c r="N240" s="714" t="b">
        <f ca="1">IF(AND('Start here'!$C$24=RefData!$B$4,'Discount rates'!$C$7=RefData!$B$8,'Discount rates'!$C$8=RefData!$B$35,'Reconciliation report'!E240&lt;&gt;""),ErrorMsgs!$E240)</f>
        <v>0</v>
      </c>
      <c r="O240" s="712" t="b">
        <f ca="1">IF(AND('Start here'!$C$24=RefData!$B$4,'Discount rates'!$C$7=RefData!$B$7,'Reconciliation report'!$E240&lt;&gt;""),ErrorMsgs!$F240)</f>
        <v>0</v>
      </c>
      <c r="P240" s="712" t="b">
        <f ca="1">IF($E240&lt;-0.1,ErrorMsgs!$G240)</f>
        <v>0</v>
      </c>
      <c r="Q240" s="712" t="b">
        <f ca="1">IF($E240="",FALSE,IF($E240&gt;0.1,ErrorMsgs!$H240))</f>
        <v>0</v>
      </c>
      <c r="R240" s="712"/>
      <c r="S240" s="712"/>
      <c r="T240" s="712"/>
      <c r="U240" s="526" t="str">
        <f t="shared" ca="1" si="31"/>
        <v/>
      </c>
      <c r="V240" s="93" t="str" cm="1">
        <f t="array" aca="1" ref="V240" ca="1">CELL("format",INDIRECT(I240))</f>
        <v>P4</v>
      </c>
      <c r="W240" s="93" t="b">
        <f t="shared" ca="1" si="32"/>
        <v>0</v>
      </c>
      <c r="X240" s="715" t="str">
        <f t="shared" ca="1" si="30"/>
        <v/>
      </c>
      <c r="Y240" t="b">
        <f t="shared" ca="1" si="33"/>
        <v>1</v>
      </c>
    </row>
    <row r="241" spans="1:25" ht="63" customHeight="1">
      <c r="A241" s="705" t="s">
        <v>3247</v>
      </c>
      <c r="B241" s="716" t="str">
        <f t="shared" ca="1" si="34"/>
        <v>40-year assumptions - E34</v>
      </c>
      <c r="C241" s="707" t="str" cm="1">
        <f t="array" aca="1" ref="C241" ca="1">INDIRECT(LEFT(I241, FIND("!", I241)) &amp; RefData!$C$426 &amp; RIGHT(I241, LEN(I241) - FIND("!", I241) - 1))</f>
        <v>Year 28</v>
      </c>
      <c r="D241" s="92" t="str">
        <f t="shared" ca="1" si="29"/>
        <v/>
      </c>
      <c r="E241" s="708" t="str" cm="1">
        <f t="array" aca="1" ref="E241" ca="1">IF(INDIRECT($I241)= "", "", INDIRECT($I241))</f>
        <v/>
      </c>
      <c r="F241" s="709" t="str" cm="1">
        <f t="array" aca="1" ref="F241" ca="1">INDIRECT(LEFT(I241, FIND("!", I241)) &amp; RefData!$C$427 &amp; RIGHT(I241, LEN(I241) - FIND("!", I241) - 1))</f>
        <v>FYA 28.0</v>
      </c>
      <c r="G241" s="710" t="b">
        <f ca="1">IF(ISNUMBER(SEARCH(RefData!$B$2, $C241)), FALSE, TRUE)</f>
        <v>1</v>
      </c>
      <c r="H241" s="344">
        <f>'40-year assumptions'!E34</f>
        <v>0</v>
      </c>
      <c r="I241" s="712" t="str">
        <f t="shared" ca="1" si="35"/>
        <v>'40-year assumptions'!E34</v>
      </c>
      <c r="J241" s="713" t="b" cm="1">
        <f t="array" aca="1" ref="J241" ca="1">IF(COUNTIF($K241:$T241, "&lt;&gt;FALSE") - COUNTBLANK($K241:$T241) &gt; 0, INDEX($K241:$T241, MATCH(TRUE, $K241:$T241 &lt;&gt; FALSE, 0)))</f>
        <v>0</v>
      </c>
      <c r="K241" s="712" t="b">
        <f ca="1">IF(AND('Start here'!$C$24=RefData!$B$5,'Discount rates'!$C$8&lt;&gt;RefData!$B$35,'Reconciliation report'!$E241=""),ErrorMsgs!$B241)</f>
        <v>0</v>
      </c>
      <c r="L241" s="712" t="b">
        <f ca="1">IF(AND('Start here'!$C$24=RefData!$B$5,'Discount rates'!$C$8=RefData!$B$35,'Reconciliation report'!$E241&lt;&gt;""),ErrorMsgs!$C241)</f>
        <v>0</v>
      </c>
      <c r="M241" s="714" t="b">
        <f ca="1">IF(AND('Start here'!$C$24=RefData!$B$4,'Discount rates'!$C$7=RefData!$B$8,'Discount rates'!$C$8&lt;&gt;RefData!$B$35,'Reconciliation report'!$E241=""),ErrorMsgs!$D241)</f>
        <v>0</v>
      </c>
      <c r="N241" s="714" t="b">
        <f ca="1">IF(AND('Start here'!$C$24=RefData!$B$4,'Discount rates'!$C$7=RefData!$B$8,'Discount rates'!$C$8=RefData!$B$35,'Reconciliation report'!E241&lt;&gt;""),ErrorMsgs!$E241)</f>
        <v>0</v>
      </c>
      <c r="O241" s="712" t="b">
        <f ca="1">IF(AND('Start here'!$C$24=RefData!$B$4,'Discount rates'!$C$7=RefData!$B$7,'Reconciliation report'!$E241&lt;&gt;""),ErrorMsgs!$F241)</f>
        <v>0</v>
      </c>
      <c r="P241" s="712" t="b">
        <f ca="1">IF($E241&lt;-0.1,ErrorMsgs!$G241)</f>
        <v>0</v>
      </c>
      <c r="Q241" s="712" t="b">
        <f ca="1">IF($E241="",FALSE,IF($E241&gt;0.1,ErrorMsgs!$H241))</f>
        <v>0</v>
      </c>
      <c r="R241" s="712"/>
      <c r="S241" s="712"/>
      <c r="T241" s="712"/>
      <c r="U241" s="526" t="str">
        <f t="shared" ca="1" si="31"/>
        <v/>
      </c>
      <c r="V241" s="93" t="str" cm="1">
        <f t="array" aca="1" ref="V241" ca="1">CELL("format",INDIRECT(I241))</f>
        <v>P4</v>
      </c>
      <c r="W241" s="93" t="b">
        <f t="shared" ca="1" si="32"/>
        <v>0</v>
      </c>
      <c r="X241" s="715" t="str">
        <f t="shared" ca="1" si="30"/>
        <v/>
      </c>
      <c r="Y241" t="b">
        <f t="shared" ca="1" si="33"/>
        <v>1</v>
      </c>
    </row>
    <row r="242" spans="1:25" ht="63" customHeight="1">
      <c r="A242" s="705" t="s">
        <v>3248</v>
      </c>
      <c r="B242" s="716" t="str">
        <f t="shared" ca="1" si="34"/>
        <v>40-year assumptions - E35</v>
      </c>
      <c r="C242" s="707" t="str" cm="1">
        <f t="array" aca="1" ref="C242" ca="1">INDIRECT(LEFT(I242, FIND("!", I242)) &amp; RefData!$C$426 &amp; RIGHT(I242, LEN(I242) - FIND("!", I242) - 1))</f>
        <v>Year 29</v>
      </c>
      <c r="D242" s="92" t="str">
        <f t="shared" ca="1" si="29"/>
        <v/>
      </c>
      <c r="E242" s="708" t="str" cm="1">
        <f t="array" aca="1" ref="E242" ca="1">IF(INDIRECT($I242)= "", "", INDIRECT($I242))</f>
        <v/>
      </c>
      <c r="F242" s="709" t="str" cm="1">
        <f t="array" aca="1" ref="F242" ca="1">INDIRECT(LEFT(I242, FIND("!", I242)) &amp; RefData!$C$427 &amp; RIGHT(I242, LEN(I242) - FIND("!", I242) - 1))</f>
        <v>FYA 29.0</v>
      </c>
      <c r="G242" s="710" t="b">
        <f ca="1">IF(ISNUMBER(SEARCH(RefData!$B$2, $C242)), FALSE, TRUE)</f>
        <v>1</v>
      </c>
      <c r="H242" s="344">
        <f>'40-year assumptions'!E35</f>
        <v>0</v>
      </c>
      <c r="I242" s="712" t="str">
        <f t="shared" ca="1" si="35"/>
        <v>'40-year assumptions'!E35</v>
      </c>
      <c r="J242" s="713" t="b" cm="1">
        <f t="array" aca="1" ref="J242" ca="1">IF(COUNTIF($K242:$T242, "&lt;&gt;FALSE") - COUNTBLANK($K242:$T242) &gt; 0, INDEX($K242:$T242, MATCH(TRUE, $K242:$T242 &lt;&gt; FALSE, 0)))</f>
        <v>0</v>
      </c>
      <c r="K242" s="712" t="b">
        <f ca="1">IF(AND('Start here'!$C$24=RefData!$B$5,'Discount rates'!$C$8&lt;&gt;RefData!$B$35,'Reconciliation report'!$E242=""),ErrorMsgs!$B242)</f>
        <v>0</v>
      </c>
      <c r="L242" s="712" t="b">
        <f ca="1">IF(AND('Start here'!$C$24=RefData!$B$5,'Discount rates'!$C$8=RefData!$B$35,'Reconciliation report'!$E242&lt;&gt;""),ErrorMsgs!$C242)</f>
        <v>0</v>
      </c>
      <c r="M242" s="714" t="b">
        <f ca="1">IF(AND('Start here'!$C$24=RefData!$B$4,'Discount rates'!$C$7=RefData!$B$8,'Discount rates'!$C$8&lt;&gt;RefData!$B$35,'Reconciliation report'!$E242=""),ErrorMsgs!$D242)</f>
        <v>0</v>
      </c>
      <c r="N242" s="714" t="b">
        <f ca="1">IF(AND('Start here'!$C$24=RefData!$B$4,'Discount rates'!$C$7=RefData!$B$8,'Discount rates'!$C$8=RefData!$B$35,'Reconciliation report'!E242&lt;&gt;""),ErrorMsgs!$E242)</f>
        <v>0</v>
      </c>
      <c r="O242" s="712" t="b">
        <f ca="1">IF(AND('Start here'!$C$24=RefData!$B$4,'Discount rates'!$C$7=RefData!$B$7,'Reconciliation report'!$E242&lt;&gt;""),ErrorMsgs!$F242)</f>
        <v>0</v>
      </c>
      <c r="P242" s="712" t="b">
        <f ca="1">IF($E242&lt;-0.1,ErrorMsgs!$G242)</f>
        <v>0</v>
      </c>
      <c r="Q242" s="712" t="b">
        <f ca="1">IF($E242="",FALSE,IF($E242&gt;0.1,ErrorMsgs!$H242))</f>
        <v>0</v>
      </c>
      <c r="R242" s="712"/>
      <c r="S242" s="712"/>
      <c r="T242" s="712"/>
      <c r="U242" s="526" t="str">
        <f t="shared" ca="1" si="31"/>
        <v/>
      </c>
      <c r="V242" s="93" t="str" cm="1">
        <f t="array" aca="1" ref="V242" ca="1">CELL("format",INDIRECT(I242))</f>
        <v>P4</v>
      </c>
      <c r="W242" s="93" t="b">
        <f t="shared" ca="1" si="32"/>
        <v>0</v>
      </c>
      <c r="X242" s="715" t="str">
        <f t="shared" ca="1" si="30"/>
        <v/>
      </c>
      <c r="Y242" t="b">
        <f t="shared" ca="1" si="33"/>
        <v>1</v>
      </c>
    </row>
    <row r="243" spans="1:25" ht="63" customHeight="1">
      <c r="A243" s="705" t="s">
        <v>3249</v>
      </c>
      <c r="B243" s="716" t="str">
        <f t="shared" ca="1" si="34"/>
        <v>40-year assumptions - E36</v>
      </c>
      <c r="C243" s="707" t="str" cm="1">
        <f t="array" aca="1" ref="C243" ca="1">INDIRECT(LEFT(I243, FIND("!", I243)) &amp; RefData!$C$426 &amp; RIGHT(I243, LEN(I243) - FIND("!", I243) - 1))</f>
        <v>Year 30</v>
      </c>
      <c r="D243" s="92" t="str">
        <f t="shared" ca="1" si="29"/>
        <v/>
      </c>
      <c r="E243" s="708" t="str" cm="1">
        <f t="array" aca="1" ref="E243" ca="1">IF(INDIRECT($I243)= "", "", INDIRECT($I243))</f>
        <v/>
      </c>
      <c r="F243" s="709" t="str" cm="1">
        <f t="array" aca="1" ref="F243" ca="1">INDIRECT(LEFT(I243, FIND("!", I243)) &amp; RefData!$C$427 &amp; RIGHT(I243, LEN(I243) - FIND("!", I243) - 1))</f>
        <v>FYA 30.0</v>
      </c>
      <c r="G243" s="710" t="b">
        <f ca="1">IF(ISNUMBER(SEARCH(RefData!$B$2, $C243)), FALSE, TRUE)</f>
        <v>1</v>
      </c>
      <c r="H243" s="344">
        <f>'40-year assumptions'!E36</f>
        <v>0</v>
      </c>
      <c r="I243" s="712" t="str">
        <f t="shared" ca="1" si="35"/>
        <v>'40-year assumptions'!E36</v>
      </c>
      <c r="J243" s="713" t="b" cm="1">
        <f t="array" aca="1" ref="J243" ca="1">IF(COUNTIF($K243:$T243, "&lt;&gt;FALSE") - COUNTBLANK($K243:$T243) &gt; 0, INDEX($K243:$T243, MATCH(TRUE, $K243:$T243 &lt;&gt; FALSE, 0)))</f>
        <v>0</v>
      </c>
      <c r="K243" s="712" t="b">
        <f ca="1">IF(AND('Start here'!$C$24=RefData!$B$5,'Discount rates'!$C$8&lt;&gt;RefData!$B$35,'Reconciliation report'!$E243=""),ErrorMsgs!$B243)</f>
        <v>0</v>
      </c>
      <c r="L243" s="712" t="b">
        <f ca="1">IF(AND('Start here'!$C$24=RefData!$B$5,'Discount rates'!$C$8=RefData!$B$35,'Reconciliation report'!$E243&lt;&gt;""),ErrorMsgs!$C243)</f>
        <v>0</v>
      </c>
      <c r="M243" s="714" t="b">
        <f ca="1">IF(AND('Start here'!$C$24=RefData!$B$4,'Discount rates'!$C$7=RefData!$B$8,'Discount rates'!$C$8&lt;&gt;RefData!$B$35,'Reconciliation report'!$E243=""),ErrorMsgs!$D243)</f>
        <v>0</v>
      </c>
      <c r="N243" s="714" t="b">
        <f ca="1">IF(AND('Start here'!$C$24=RefData!$B$4,'Discount rates'!$C$7=RefData!$B$8,'Discount rates'!$C$8=RefData!$B$35,'Reconciliation report'!E243&lt;&gt;""),ErrorMsgs!$E243)</f>
        <v>0</v>
      </c>
      <c r="O243" s="712" t="b">
        <f ca="1">IF(AND('Start here'!$C$24=RefData!$B$4,'Discount rates'!$C$7=RefData!$B$7,'Reconciliation report'!$E243&lt;&gt;""),ErrorMsgs!$F243)</f>
        <v>0</v>
      </c>
      <c r="P243" s="712" t="b">
        <f ca="1">IF($E243&lt;-0.1,ErrorMsgs!$G243)</f>
        <v>0</v>
      </c>
      <c r="Q243" s="712" t="b">
        <f ca="1">IF($E243="",FALSE,IF($E243&gt;0.1,ErrorMsgs!$H243))</f>
        <v>0</v>
      </c>
      <c r="R243" s="712"/>
      <c r="S243" s="712"/>
      <c r="T243" s="712"/>
      <c r="U243" s="526" t="str">
        <f t="shared" ca="1" si="31"/>
        <v/>
      </c>
      <c r="V243" s="93" t="str" cm="1">
        <f t="array" aca="1" ref="V243" ca="1">CELL("format",INDIRECT(I243))</f>
        <v>P4</v>
      </c>
      <c r="W243" s="93" t="b">
        <f t="shared" ca="1" si="32"/>
        <v>0</v>
      </c>
      <c r="X243" s="715" t="str">
        <f t="shared" ca="1" si="30"/>
        <v/>
      </c>
      <c r="Y243" t="b">
        <f t="shared" ca="1" si="33"/>
        <v>1</v>
      </c>
    </row>
    <row r="244" spans="1:25" ht="63" customHeight="1">
      <c r="A244" s="705" t="s">
        <v>3250</v>
      </c>
      <c r="B244" s="716" t="str">
        <f t="shared" ca="1" si="34"/>
        <v>40-year assumptions - E37</v>
      </c>
      <c r="C244" s="707" t="str" cm="1">
        <f t="array" aca="1" ref="C244" ca="1">INDIRECT(LEFT(I244, FIND("!", I244)) &amp; RefData!$C$426 &amp; RIGHT(I244, LEN(I244) - FIND("!", I244) - 1))</f>
        <v>Year 31</v>
      </c>
      <c r="D244" s="92" t="str">
        <f t="shared" ca="1" si="29"/>
        <v/>
      </c>
      <c r="E244" s="708" t="str" cm="1">
        <f t="array" aca="1" ref="E244" ca="1">IF(INDIRECT($I244)= "", "", INDIRECT($I244))</f>
        <v/>
      </c>
      <c r="F244" s="709" t="str" cm="1">
        <f t="array" aca="1" ref="F244" ca="1">INDIRECT(LEFT(I244, FIND("!", I244)) &amp; RefData!$C$427 &amp; RIGHT(I244, LEN(I244) - FIND("!", I244) - 1))</f>
        <v>FYA 31.0</v>
      </c>
      <c r="G244" s="710" t="b">
        <f ca="1">IF(ISNUMBER(SEARCH(RefData!$B$2, $C244)), FALSE, TRUE)</f>
        <v>1</v>
      </c>
      <c r="H244" s="344">
        <f>'40-year assumptions'!E37</f>
        <v>0</v>
      </c>
      <c r="I244" s="712" t="str">
        <f t="shared" ca="1" si="35"/>
        <v>'40-year assumptions'!E37</v>
      </c>
      <c r="J244" s="713" t="b" cm="1">
        <f t="array" aca="1" ref="J244" ca="1">IF(COUNTIF($K244:$T244, "&lt;&gt;FALSE") - COUNTBLANK($K244:$T244) &gt; 0, INDEX($K244:$T244, MATCH(TRUE, $K244:$T244 &lt;&gt; FALSE, 0)))</f>
        <v>0</v>
      </c>
      <c r="K244" s="712" t="b">
        <f ca="1">IF(AND('Start here'!$C$24=RefData!$B$5,'Discount rates'!$C$8&lt;&gt;RefData!$B$35,'Reconciliation report'!$E244=""),ErrorMsgs!$B244)</f>
        <v>0</v>
      </c>
      <c r="L244" s="712" t="b">
        <f ca="1">IF(AND('Start here'!$C$24=RefData!$B$5,'Discount rates'!$C$8=RefData!$B$35,'Reconciliation report'!$E244&lt;&gt;""),ErrorMsgs!$C244)</f>
        <v>0</v>
      </c>
      <c r="M244" s="714" t="b">
        <f ca="1">IF(AND('Start here'!$C$24=RefData!$B$4,'Discount rates'!$C$7=RefData!$B$8,'Discount rates'!$C$8&lt;&gt;RefData!$B$35,'Reconciliation report'!$E244=""),ErrorMsgs!$D244)</f>
        <v>0</v>
      </c>
      <c r="N244" s="714" t="b">
        <f ca="1">IF(AND('Start here'!$C$24=RefData!$B$4,'Discount rates'!$C$7=RefData!$B$8,'Discount rates'!$C$8=RefData!$B$35,'Reconciliation report'!E244&lt;&gt;""),ErrorMsgs!$E244)</f>
        <v>0</v>
      </c>
      <c r="O244" s="712" t="b">
        <f ca="1">IF(AND('Start here'!$C$24=RefData!$B$4,'Discount rates'!$C$7=RefData!$B$7,'Reconciliation report'!$E244&lt;&gt;""),ErrorMsgs!$F244)</f>
        <v>0</v>
      </c>
      <c r="P244" s="712" t="b">
        <f ca="1">IF($E244&lt;-0.1,ErrorMsgs!$G244)</f>
        <v>0</v>
      </c>
      <c r="Q244" s="712" t="b">
        <f ca="1">IF($E244="",FALSE,IF($E244&gt;0.1,ErrorMsgs!$H244))</f>
        <v>0</v>
      </c>
      <c r="R244" s="712"/>
      <c r="S244" s="712"/>
      <c r="T244" s="712"/>
      <c r="U244" s="526" t="str">
        <f t="shared" ca="1" si="31"/>
        <v/>
      </c>
      <c r="V244" s="93" t="str" cm="1">
        <f t="array" aca="1" ref="V244" ca="1">CELL("format",INDIRECT(I244))</f>
        <v>P4</v>
      </c>
      <c r="W244" s="93" t="b">
        <f t="shared" ca="1" si="32"/>
        <v>0</v>
      </c>
      <c r="X244" s="715" t="str">
        <f t="shared" ca="1" si="30"/>
        <v/>
      </c>
      <c r="Y244" t="b">
        <f t="shared" ca="1" si="33"/>
        <v>1</v>
      </c>
    </row>
    <row r="245" spans="1:25" ht="63" customHeight="1">
      <c r="A245" s="705" t="s">
        <v>3251</v>
      </c>
      <c r="B245" s="716" t="str">
        <f t="shared" ca="1" si="34"/>
        <v>40-year assumptions - E38</v>
      </c>
      <c r="C245" s="707" t="str" cm="1">
        <f t="array" aca="1" ref="C245" ca="1">INDIRECT(LEFT(I245, FIND("!", I245)) &amp; RefData!$C$426 &amp; RIGHT(I245, LEN(I245) - FIND("!", I245) - 1))</f>
        <v>Year 32</v>
      </c>
      <c r="D245" s="92" t="str">
        <f t="shared" ca="1" si="29"/>
        <v/>
      </c>
      <c r="E245" s="708" t="str" cm="1">
        <f t="array" aca="1" ref="E245" ca="1">IF(INDIRECT($I245)= "", "", INDIRECT($I245))</f>
        <v/>
      </c>
      <c r="F245" s="709" t="str" cm="1">
        <f t="array" aca="1" ref="F245" ca="1">INDIRECT(LEFT(I245, FIND("!", I245)) &amp; RefData!$C$427 &amp; RIGHT(I245, LEN(I245) - FIND("!", I245) - 1))</f>
        <v>FYA 32.0</v>
      </c>
      <c r="G245" s="710" t="b">
        <f ca="1">IF(ISNUMBER(SEARCH(RefData!$B$2, $C245)), FALSE, TRUE)</f>
        <v>1</v>
      </c>
      <c r="H245" s="344">
        <f>'40-year assumptions'!E38</f>
        <v>0</v>
      </c>
      <c r="I245" s="712" t="str">
        <f t="shared" ca="1" si="35"/>
        <v>'40-year assumptions'!E38</v>
      </c>
      <c r="J245" s="713" t="b" cm="1">
        <f t="array" aca="1" ref="J245" ca="1">IF(COUNTIF($K245:$T245, "&lt;&gt;FALSE") - COUNTBLANK($K245:$T245) &gt; 0, INDEX($K245:$T245, MATCH(TRUE, $K245:$T245 &lt;&gt; FALSE, 0)))</f>
        <v>0</v>
      </c>
      <c r="K245" s="712" t="b">
        <f ca="1">IF(AND('Start here'!$C$24=RefData!$B$5,'Discount rates'!$C$8&lt;&gt;RefData!$B$35,'Reconciliation report'!$E245=""),ErrorMsgs!$B245)</f>
        <v>0</v>
      </c>
      <c r="L245" s="712" t="b">
        <f ca="1">IF(AND('Start here'!$C$24=RefData!$B$5,'Discount rates'!$C$8=RefData!$B$35,'Reconciliation report'!$E245&lt;&gt;""),ErrorMsgs!$C245)</f>
        <v>0</v>
      </c>
      <c r="M245" s="714" t="b">
        <f ca="1">IF(AND('Start here'!$C$24=RefData!$B$4,'Discount rates'!$C$7=RefData!$B$8,'Discount rates'!$C$8&lt;&gt;RefData!$B$35,'Reconciliation report'!$E245=""),ErrorMsgs!$D245)</f>
        <v>0</v>
      </c>
      <c r="N245" s="714" t="b">
        <f ca="1">IF(AND('Start here'!$C$24=RefData!$B$4,'Discount rates'!$C$7=RefData!$B$8,'Discount rates'!$C$8=RefData!$B$35,'Reconciliation report'!E245&lt;&gt;""),ErrorMsgs!$E245)</f>
        <v>0</v>
      </c>
      <c r="O245" s="712" t="b">
        <f ca="1">IF(AND('Start here'!$C$24=RefData!$B$4,'Discount rates'!$C$7=RefData!$B$7,'Reconciliation report'!$E245&lt;&gt;""),ErrorMsgs!$F245)</f>
        <v>0</v>
      </c>
      <c r="P245" s="712" t="b">
        <f ca="1">IF($E245&lt;-0.1,ErrorMsgs!$G245)</f>
        <v>0</v>
      </c>
      <c r="Q245" s="712" t="b">
        <f ca="1">IF($E245="",FALSE,IF($E245&gt;0.1,ErrorMsgs!$H245))</f>
        <v>0</v>
      </c>
      <c r="R245" s="712"/>
      <c r="S245" s="712"/>
      <c r="T245" s="712"/>
      <c r="U245" s="526" t="str">
        <f t="shared" ca="1" si="31"/>
        <v/>
      </c>
      <c r="V245" s="93" t="str" cm="1">
        <f t="array" aca="1" ref="V245" ca="1">CELL("format",INDIRECT(I245))</f>
        <v>P4</v>
      </c>
      <c r="W245" s="93" t="b">
        <f t="shared" ca="1" si="32"/>
        <v>0</v>
      </c>
      <c r="X245" s="715" t="str">
        <f t="shared" ca="1" si="30"/>
        <v/>
      </c>
      <c r="Y245" t="b">
        <f t="shared" ca="1" si="33"/>
        <v>1</v>
      </c>
    </row>
    <row r="246" spans="1:25" ht="63" customHeight="1">
      <c r="A246" s="705" t="s">
        <v>3252</v>
      </c>
      <c r="B246" s="716" t="str">
        <f t="shared" ca="1" si="34"/>
        <v>40-year assumptions - E39</v>
      </c>
      <c r="C246" s="707" t="str" cm="1">
        <f t="array" aca="1" ref="C246" ca="1">INDIRECT(LEFT(I246, FIND("!", I246)) &amp; RefData!$C$426 &amp; RIGHT(I246, LEN(I246) - FIND("!", I246) - 1))</f>
        <v>Year 33</v>
      </c>
      <c r="D246" s="92" t="str">
        <f t="shared" ca="1" si="29"/>
        <v/>
      </c>
      <c r="E246" s="708" t="str" cm="1">
        <f t="array" aca="1" ref="E246" ca="1">IF(INDIRECT($I246)= "", "", INDIRECT($I246))</f>
        <v/>
      </c>
      <c r="F246" s="709" t="str" cm="1">
        <f t="array" aca="1" ref="F246" ca="1">INDIRECT(LEFT(I246, FIND("!", I246)) &amp; RefData!$C$427 &amp; RIGHT(I246, LEN(I246) - FIND("!", I246) - 1))</f>
        <v>FYA 33.0</v>
      </c>
      <c r="G246" s="710" t="b">
        <f ca="1">IF(ISNUMBER(SEARCH(RefData!$B$2, $C246)), FALSE, TRUE)</f>
        <v>1</v>
      </c>
      <c r="H246" s="344">
        <f>'40-year assumptions'!E39</f>
        <v>0</v>
      </c>
      <c r="I246" s="712" t="str">
        <f t="shared" ca="1" si="35"/>
        <v>'40-year assumptions'!E39</v>
      </c>
      <c r="J246" s="713" t="b" cm="1">
        <f t="array" aca="1" ref="J246" ca="1">IF(COUNTIF($K246:$T246, "&lt;&gt;FALSE") - COUNTBLANK($K246:$T246) &gt; 0, INDEX($K246:$T246, MATCH(TRUE, $K246:$T246 &lt;&gt; FALSE, 0)))</f>
        <v>0</v>
      </c>
      <c r="K246" s="712" t="b">
        <f ca="1">IF(AND('Start here'!$C$24=RefData!$B$5,'Discount rates'!$C$8&lt;&gt;RefData!$B$35,'Reconciliation report'!$E246=""),ErrorMsgs!$B246)</f>
        <v>0</v>
      </c>
      <c r="L246" s="712" t="b">
        <f ca="1">IF(AND('Start here'!$C$24=RefData!$B$5,'Discount rates'!$C$8=RefData!$B$35,'Reconciliation report'!$E246&lt;&gt;""),ErrorMsgs!$C246)</f>
        <v>0</v>
      </c>
      <c r="M246" s="714" t="b">
        <f ca="1">IF(AND('Start here'!$C$24=RefData!$B$4,'Discount rates'!$C$7=RefData!$B$8,'Discount rates'!$C$8&lt;&gt;RefData!$B$35,'Reconciliation report'!$E246=""),ErrorMsgs!$D246)</f>
        <v>0</v>
      </c>
      <c r="N246" s="714" t="b">
        <f ca="1">IF(AND('Start here'!$C$24=RefData!$B$4,'Discount rates'!$C$7=RefData!$B$8,'Discount rates'!$C$8=RefData!$B$35,'Reconciliation report'!E246&lt;&gt;""),ErrorMsgs!$E246)</f>
        <v>0</v>
      </c>
      <c r="O246" s="712" t="b">
        <f ca="1">IF(AND('Start here'!$C$24=RefData!$B$4,'Discount rates'!$C$7=RefData!$B$7,'Reconciliation report'!$E246&lt;&gt;""),ErrorMsgs!$F246)</f>
        <v>0</v>
      </c>
      <c r="P246" s="712" t="b">
        <f ca="1">IF($E246&lt;-0.1,ErrorMsgs!$G246)</f>
        <v>0</v>
      </c>
      <c r="Q246" s="712" t="b">
        <f ca="1">IF($E246="",FALSE,IF($E246&gt;0.1,ErrorMsgs!$H246))</f>
        <v>0</v>
      </c>
      <c r="R246" s="712"/>
      <c r="S246" s="712"/>
      <c r="T246" s="712"/>
      <c r="U246" s="526" t="str">
        <f t="shared" ca="1" si="31"/>
        <v/>
      </c>
      <c r="V246" s="93" t="str" cm="1">
        <f t="array" aca="1" ref="V246" ca="1">CELL("format",INDIRECT(I246))</f>
        <v>P4</v>
      </c>
      <c r="W246" s="93" t="b">
        <f t="shared" ca="1" si="32"/>
        <v>0</v>
      </c>
      <c r="X246" s="715" t="str">
        <f t="shared" ca="1" si="30"/>
        <v/>
      </c>
      <c r="Y246" t="b">
        <f t="shared" ca="1" si="33"/>
        <v>1</v>
      </c>
    </row>
    <row r="247" spans="1:25" ht="63" customHeight="1">
      <c r="A247" s="705" t="s">
        <v>3253</v>
      </c>
      <c r="B247" s="716" t="str">
        <f t="shared" ca="1" si="34"/>
        <v>40-year assumptions - E40</v>
      </c>
      <c r="C247" s="707" t="str" cm="1">
        <f t="array" aca="1" ref="C247" ca="1">INDIRECT(LEFT(I247, FIND("!", I247)) &amp; RefData!$C$426 &amp; RIGHT(I247, LEN(I247) - FIND("!", I247) - 1))</f>
        <v>Year 34</v>
      </c>
      <c r="D247" s="92" t="str">
        <f t="shared" ca="1" si="29"/>
        <v/>
      </c>
      <c r="E247" s="708" t="str" cm="1">
        <f t="array" aca="1" ref="E247" ca="1">IF(INDIRECT($I247)= "", "", INDIRECT($I247))</f>
        <v/>
      </c>
      <c r="F247" s="709" t="str" cm="1">
        <f t="array" aca="1" ref="F247" ca="1">INDIRECT(LEFT(I247, FIND("!", I247)) &amp; RefData!$C$427 &amp; RIGHT(I247, LEN(I247) - FIND("!", I247) - 1))</f>
        <v>FYA 34.0</v>
      </c>
      <c r="G247" s="710" t="b">
        <f ca="1">IF(ISNUMBER(SEARCH(RefData!$B$2, $C247)), FALSE, TRUE)</f>
        <v>1</v>
      </c>
      <c r="H247" s="344">
        <f>'40-year assumptions'!E40</f>
        <v>0</v>
      </c>
      <c r="I247" s="712" t="str">
        <f t="shared" ca="1" si="35"/>
        <v>'40-year assumptions'!E40</v>
      </c>
      <c r="J247" s="713" t="b" cm="1">
        <f t="array" aca="1" ref="J247" ca="1">IF(COUNTIF($K247:$T247, "&lt;&gt;FALSE") - COUNTBLANK($K247:$T247) &gt; 0, INDEX($K247:$T247, MATCH(TRUE, $K247:$T247 &lt;&gt; FALSE, 0)))</f>
        <v>0</v>
      </c>
      <c r="K247" s="712" t="b">
        <f ca="1">IF(AND('Start here'!$C$24=RefData!$B$5,'Discount rates'!$C$8&lt;&gt;RefData!$B$35,'Reconciliation report'!$E247=""),ErrorMsgs!$B247)</f>
        <v>0</v>
      </c>
      <c r="L247" s="712" t="b">
        <f ca="1">IF(AND('Start here'!$C$24=RefData!$B$5,'Discount rates'!$C$8=RefData!$B$35,'Reconciliation report'!$E247&lt;&gt;""),ErrorMsgs!$C247)</f>
        <v>0</v>
      </c>
      <c r="M247" s="714" t="b">
        <f ca="1">IF(AND('Start here'!$C$24=RefData!$B$4,'Discount rates'!$C$7=RefData!$B$8,'Discount rates'!$C$8&lt;&gt;RefData!$B$35,'Reconciliation report'!$E247=""),ErrorMsgs!$D247)</f>
        <v>0</v>
      </c>
      <c r="N247" s="714" t="b">
        <f ca="1">IF(AND('Start here'!$C$24=RefData!$B$4,'Discount rates'!$C$7=RefData!$B$8,'Discount rates'!$C$8=RefData!$B$35,'Reconciliation report'!E247&lt;&gt;""),ErrorMsgs!$E247)</f>
        <v>0</v>
      </c>
      <c r="O247" s="712" t="b">
        <f ca="1">IF(AND('Start here'!$C$24=RefData!$B$4,'Discount rates'!$C$7=RefData!$B$7,'Reconciliation report'!$E247&lt;&gt;""),ErrorMsgs!$F247)</f>
        <v>0</v>
      </c>
      <c r="P247" s="712" t="b">
        <f ca="1">IF($E247&lt;-0.1,ErrorMsgs!$G247)</f>
        <v>0</v>
      </c>
      <c r="Q247" s="712" t="b">
        <f ca="1">IF($E247="",FALSE,IF($E247&gt;0.1,ErrorMsgs!$H247))</f>
        <v>0</v>
      </c>
      <c r="R247" s="712"/>
      <c r="S247" s="712"/>
      <c r="T247" s="712"/>
      <c r="U247" s="526" t="str">
        <f t="shared" ca="1" si="31"/>
        <v/>
      </c>
      <c r="V247" s="93" t="str" cm="1">
        <f t="array" aca="1" ref="V247" ca="1">CELL("format",INDIRECT(I247))</f>
        <v>P4</v>
      </c>
      <c r="W247" s="93" t="b">
        <f t="shared" ca="1" si="32"/>
        <v>0</v>
      </c>
      <c r="X247" s="715" t="str">
        <f t="shared" ca="1" si="30"/>
        <v/>
      </c>
      <c r="Y247" t="b">
        <f t="shared" ca="1" si="33"/>
        <v>1</v>
      </c>
    </row>
    <row r="248" spans="1:25" ht="63" customHeight="1">
      <c r="A248" s="705" t="s">
        <v>3254</v>
      </c>
      <c r="B248" s="716" t="str">
        <f t="shared" ca="1" si="34"/>
        <v>40-year assumptions - E41</v>
      </c>
      <c r="C248" s="707" t="str" cm="1">
        <f t="array" aca="1" ref="C248" ca="1">INDIRECT(LEFT(I248, FIND("!", I248)) &amp; RefData!$C$426 &amp; RIGHT(I248, LEN(I248) - FIND("!", I248) - 1))</f>
        <v>Year 35</v>
      </c>
      <c r="D248" s="92" t="str">
        <f t="shared" ca="1" si="29"/>
        <v/>
      </c>
      <c r="E248" s="708" t="str" cm="1">
        <f t="array" aca="1" ref="E248" ca="1">IF(INDIRECT($I248)= "", "", INDIRECT($I248))</f>
        <v/>
      </c>
      <c r="F248" s="709" t="str" cm="1">
        <f t="array" aca="1" ref="F248" ca="1">INDIRECT(LEFT(I248, FIND("!", I248)) &amp; RefData!$C$427 &amp; RIGHT(I248, LEN(I248) - FIND("!", I248) - 1))</f>
        <v>FYA 35.0</v>
      </c>
      <c r="G248" s="710" t="b">
        <f ca="1">IF(ISNUMBER(SEARCH(RefData!$B$2, $C248)), FALSE, TRUE)</f>
        <v>1</v>
      </c>
      <c r="H248" s="344">
        <f>'40-year assumptions'!E41</f>
        <v>0</v>
      </c>
      <c r="I248" s="712" t="str">
        <f t="shared" ca="1" si="35"/>
        <v>'40-year assumptions'!E41</v>
      </c>
      <c r="J248" s="713" t="b" cm="1">
        <f t="array" aca="1" ref="J248" ca="1">IF(COUNTIF($K248:$T248, "&lt;&gt;FALSE") - COUNTBLANK($K248:$T248) &gt; 0, INDEX($K248:$T248, MATCH(TRUE, $K248:$T248 &lt;&gt; FALSE, 0)))</f>
        <v>0</v>
      </c>
      <c r="K248" s="712" t="b">
        <f ca="1">IF(AND('Start here'!$C$24=RefData!$B$5,'Discount rates'!$C$8&lt;&gt;RefData!$B$35,'Reconciliation report'!$E248=""),ErrorMsgs!$B248)</f>
        <v>0</v>
      </c>
      <c r="L248" s="712" t="b">
        <f ca="1">IF(AND('Start here'!$C$24=RefData!$B$5,'Discount rates'!$C$8=RefData!$B$35,'Reconciliation report'!$E248&lt;&gt;""),ErrorMsgs!$C248)</f>
        <v>0</v>
      </c>
      <c r="M248" s="714" t="b">
        <f ca="1">IF(AND('Start here'!$C$24=RefData!$B$4,'Discount rates'!$C$7=RefData!$B$8,'Discount rates'!$C$8&lt;&gt;RefData!$B$35,'Reconciliation report'!$E248=""),ErrorMsgs!$D248)</f>
        <v>0</v>
      </c>
      <c r="N248" s="714" t="b">
        <f ca="1">IF(AND('Start here'!$C$24=RefData!$B$4,'Discount rates'!$C$7=RefData!$B$8,'Discount rates'!$C$8=RefData!$B$35,'Reconciliation report'!E248&lt;&gt;""),ErrorMsgs!$E248)</f>
        <v>0</v>
      </c>
      <c r="O248" s="712" t="b">
        <f ca="1">IF(AND('Start here'!$C$24=RefData!$B$4,'Discount rates'!$C$7=RefData!$B$7,'Reconciliation report'!$E248&lt;&gt;""),ErrorMsgs!$F248)</f>
        <v>0</v>
      </c>
      <c r="P248" s="712" t="b">
        <f ca="1">IF($E248&lt;-0.1,ErrorMsgs!$G248)</f>
        <v>0</v>
      </c>
      <c r="Q248" s="712" t="b">
        <f ca="1">IF($E248="",FALSE,IF($E248&gt;0.1,ErrorMsgs!$H248))</f>
        <v>0</v>
      </c>
      <c r="R248" s="712"/>
      <c r="S248" s="712"/>
      <c r="T248" s="712"/>
      <c r="U248" s="526" t="str">
        <f t="shared" ca="1" si="31"/>
        <v/>
      </c>
      <c r="V248" s="93" t="str" cm="1">
        <f t="array" aca="1" ref="V248" ca="1">CELL("format",INDIRECT(I248))</f>
        <v>P4</v>
      </c>
      <c r="W248" s="93" t="b">
        <f t="shared" ca="1" si="32"/>
        <v>0</v>
      </c>
      <c r="X248" s="715" t="str">
        <f t="shared" ca="1" si="30"/>
        <v/>
      </c>
      <c r="Y248" t="b">
        <f t="shared" ca="1" si="33"/>
        <v>1</v>
      </c>
    </row>
    <row r="249" spans="1:25" ht="63" customHeight="1">
      <c r="A249" s="705" t="s">
        <v>3255</v>
      </c>
      <c r="B249" s="716" t="str">
        <f t="shared" ca="1" si="34"/>
        <v>40-year assumptions - E42</v>
      </c>
      <c r="C249" s="707" t="str" cm="1">
        <f t="array" aca="1" ref="C249" ca="1">INDIRECT(LEFT(I249, FIND("!", I249)) &amp; RefData!$C$426 &amp; RIGHT(I249, LEN(I249) - FIND("!", I249) - 1))</f>
        <v>Year 36</v>
      </c>
      <c r="D249" s="92" t="str">
        <f t="shared" ca="1" si="29"/>
        <v/>
      </c>
      <c r="E249" s="708" t="str" cm="1">
        <f t="array" aca="1" ref="E249" ca="1">IF(INDIRECT($I249)= "", "", INDIRECT($I249))</f>
        <v/>
      </c>
      <c r="F249" s="709" t="str" cm="1">
        <f t="array" aca="1" ref="F249" ca="1">INDIRECT(LEFT(I249, FIND("!", I249)) &amp; RefData!$C$427 &amp; RIGHT(I249, LEN(I249) - FIND("!", I249) - 1))</f>
        <v>FYA 36.0</v>
      </c>
      <c r="G249" s="710" t="b">
        <f ca="1">IF(ISNUMBER(SEARCH(RefData!$B$2, $C249)), FALSE, TRUE)</f>
        <v>1</v>
      </c>
      <c r="H249" s="344">
        <f>'40-year assumptions'!E42</f>
        <v>0</v>
      </c>
      <c r="I249" s="712" t="str">
        <f t="shared" ca="1" si="35"/>
        <v>'40-year assumptions'!E42</v>
      </c>
      <c r="J249" s="713" t="b" cm="1">
        <f t="array" aca="1" ref="J249" ca="1">IF(COUNTIF($K249:$T249, "&lt;&gt;FALSE") - COUNTBLANK($K249:$T249) &gt; 0, INDEX($K249:$T249, MATCH(TRUE, $K249:$T249 &lt;&gt; FALSE, 0)))</f>
        <v>0</v>
      </c>
      <c r="K249" s="712" t="b">
        <f ca="1">IF(AND('Start here'!$C$24=RefData!$B$5,'Discount rates'!$C$8&lt;&gt;RefData!$B$35,'Reconciliation report'!$E249=""),ErrorMsgs!$B249)</f>
        <v>0</v>
      </c>
      <c r="L249" s="712" t="b">
        <f ca="1">IF(AND('Start here'!$C$24=RefData!$B$5,'Discount rates'!$C$8=RefData!$B$35,'Reconciliation report'!$E249&lt;&gt;""),ErrorMsgs!$C249)</f>
        <v>0</v>
      </c>
      <c r="M249" s="714" t="b">
        <f ca="1">IF(AND('Start here'!$C$24=RefData!$B$4,'Discount rates'!$C$7=RefData!$B$8,'Discount rates'!$C$8&lt;&gt;RefData!$B$35,'Reconciliation report'!$E249=""),ErrorMsgs!$D249)</f>
        <v>0</v>
      </c>
      <c r="N249" s="714" t="b">
        <f ca="1">IF(AND('Start here'!$C$24=RefData!$B$4,'Discount rates'!$C$7=RefData!$B$8,'Discount rates'!$C$8=RefData!$B$35,'Reconciliation report'!E249&lt;&gt;""),ErrorMsgs!$E249)</f>
        <v>0</v>
      </c>
      <c r="O249" s="712" t="b">
        <f ca="1">IF(AND('Start here'!$C$24=RefData!$B$4,'Discount rates'!$C$7=RefData!$B$7,'Reconciliation report'!$E249&lt;&gt;""),ErrorMsgs!$F249)</f>
        <v>0</v>
      </c>
      <c r="P249" s="712" t="b">
        <f ca="1">IF($E249&lt;-0.1,ErrorMsgs!$G249)</f>
        <v>0</v>
      </c>
      <c r="Q249" s="712" t="b">
        <f ca="1">IF($E249="",FALSE,IF($E249&gt;0.1,ErrorMsgs!$H249))</f>
        <v>0</v>
      </c>
      <c r="R249" s="712"/>
      <c r="S249" s="712"/>
      <c r="T249" s="712"/>
      <c r="U249" s="526" t="str">
        <f t="shared" ca="1" si="31"/>
        <v/>
      </c>
      <c r="V249" s="93" t="str" cm="1">
        <f t="array" aca="1" ref="V249" ca="1">CELL("format",INDIRECT(I249))</f>
        <v>P4</v>
      </c>
      <c r="W249" s="93" t="b">
        <f t="shared" ca="1" si="32"/>
        <v>0</v>
      </c>
      <c r="X249" s="715" t="str">
        <f t="shared" ca="1" si="30"/>
        <v/>
      </c>
      <c r="Y249" t="b">
        <f t="shared" ca="1" si="33"/>
        <v>1</v>
      </c>
    </row>
    <row r="250" spans="1:25" ht="63" customHeight="1">
      <c r="A250" s="705" t="s">
        <v>3256</v>
      </c>
      <c r="B250" s="716" t="str">
        <f t="shared" ca="1" si="34"/>
        <v>40-year assumptions - E43</v>
      </c>
      <c r="C250" s="707" t="str" cm="1">
        <f t="array" aca="1" ref="C250" ca="1">INDIRECT(LEFT(I250, FIND("!", I250)) &amp; RefData!$C$426 &amp; RIGHT(I250, LEN(I250) - FIND("!", I250) - 1))</f>
        <v>Year 37</v>
      </c>
      <c r="D250" s="92" t="str">
        <f t="shared" ca="1" si="29"/>
        <v/>
      </c>
      <c r="E250" s="708" t="str" cm="1">
        <f t="array" aca="1" ref="E250" ca="1">IF(INDIRECT($I250)= "", "", INDIRECT($I250))</f>
        <v/>
      </c>
      <c r="F250" s="709" t="str" cm="1">
        <f t="array" aca="1" ref="F250" ca="1">INDIRECT(LEFT(I250, FIND("!", I250)) &amp; RefData!$C$427 &amp; RIGHT(I250, LEN(I250) - FIND("!", I250) - 1))</f>
        <v>FYA 37.0</v>
      </c>
      <c r="G250" s="710" t="b">
        <f ca="1">IF(ISNUMBER(SEARCH(RefData!$B$2, $C250)), FALSE, TRUE)</f>
        <v>1</v>
      </c>
      <c r="H250" s="344">
        <f>'40-year assumptions'!E43</f>
        <v>0</v>
      </c>
      <c r="I250" s="712" t="str">
        <f t="shared" ca="1" si="35"/>
        <v>'40-year assumptions'!E43</v>
      </c>
      <c r="J250" s="713" t="b" cm="1">
        <f t="array" aca="1" ref="J250" ca="1">IF(COUNTIF($K250:$T250, "&lt;&gt;FALSE") - COUNTBLANK($K250:$T250) &gt; 0, INDEX($K250:$T250, MATCH(TRUE, $K250:$T250 &lt;&gt; FALSE, 0)))</f>
        <v>0</v>
      </c>
      <c r="K250" s="712" t="b">
        <f ca="1">IF(AND('Start here'!$C$24=RefData!$B$5,'Discount rates'!$C$8&lt;&gt;RefData!$B$35,'Reconciliation report'!$E250=""),ErrorMsgs!$B250)</f>
        <v>0</v>
      </c>
      <c r="L250" s="712" t="b">
        <f ca="1">IF(AND('Start here'!$C$24=RefData!$B$5,'Discount rates'!$C$8=RefData!$B$35,'Reconciliation report'!$E250&lt;&gt;""),ErrorMsgs!$C250)</f>
        <v>0</v>
      </c>
      <c r="M250" s="714" t="b">
        <f ca="1">IF(AND('Start here'!$C$24=RefData!$B$4,'Discount rates'!$C$7=RefData!$B$8,'Discount rates'!$C$8&lt;&gt;RefData!$B$35,'Reconciliation report'!$E250=""),ErrorMsgs!$D250)</f>
        <v>0</v>
      </c>
      <c r="N250" s="714" t="b">
        <f ca="1">IF(AND('Start here'!$C$24=RefData!$B$4,'Discount rates'!$C$7=RefData!$B$8,'Discount rates'!$C$8=RefData!$B$35,'Reconciliation report'!E250&lt;&gt;""),ErrorMsgs!$E250)</f>
        <v>0</v>
      </c>
      <c r="O250" s="712" t="b">
        <f ca="1">IF(AND('Start here'!$C$24=RefData!$B$4,'Discount rates'!$C$7=RefData!$B$7,'Reconciliation report'!$E250&lt;&gt;""),ErrorMsgs!$F250)</f>
        <v>0</v>
      </c>
      <c r="P250" s="712" t="b">
        <f ca="1">IF($E250&lt;-0.1,ErrorMsgs!$G250)</f>
        <v>0</v>
      </c>
      <c r="Q250" s="712" t="b">
        <f ca="1">IF($E250="",FALSE,IF($E250&gt;0.1,ErrorMsgs!$H250))</f>
        <v>0</v>
      </c>
      <c r="R250" s="712"/>
      <c r="S250" s="712"/>
      <c r="T250" s="712"/>
      <c r="U250" s="526" t="str">
        <f t="shared" ca="1" si="31"/>
        <v/>
      </c>
      <c r="V250" s="93" t="str" cm="1">
        <f t="array" aca="1" ref="V250" ca="1">CELL("format",INDIRECT(I250))</f>
        <v>P4</v>
      </c>
      <c r="W250" s="93" t="b">
        <f t="shared" ca="1" si="32"/>
        <v>0</v>
      </c>
      <c r="X250" s="715" t="str">
        <f t="shared" ca="1" si="30"/>
        <v/>
      </c>
      <c r="Y250" t="b">
        <f t="shared" ca="1" si="33"/>
        <v>1</v>
      </c>
    </row>
    <row r="251" spans="1:25" ht="63" customHeight="1">
      <c r="A251" s="705" t="s">
        <v>3257</v>
      </c>
      <c r="B251" s="716" t="str">
        <f t="shared" ca="1" si="34"/>
        <v>40-year assumptions - E44</v>
      </c>
      <c r="C251" s="707" t="str" cm="1">
        <f t="array" aca="1" ref="C251" ca="1">INDIRECT(LEFT(I251, FIND("!", I251)) &amp; RefData!$C$426 &amp; RIGHT(I251, LEN(I251) - FIND("!", I251) - 1))</f>
        <v>Year 38</v>
      </c>
      <c r="D251" s="92" t="str">
        <f t="shared" ca="1" si="29"/>
        <v/>
      </c>
      <c r="E251" s="708" t="str" cm="1">
        <f t="array" aca="1" ref="E251" ca="1">IF(INDIRECT($I251)= "", "", INDIRECT($I251))</f>
        <v/>
      </c>
      <c r="F251" s="709" t="str" cm="1">
        <f t="array" aca="1" ref="F251" ca="1">INDIRECT(LEFT(I251, FIND("!", I251)) &amp; RefData!$C$427 &amp; RIGHT(I251, LEN(I251) - FIND("!", I251) - 1))</f>
        <v>FYA 38.0</v>
      </c>
      <c r="G251" s="710" t="b">
        <f ca="1">IF(ISNUMBER(SEARCH(RefData!$B$2, $C251)), FALSE, TRUE)</f>
        <v>1</v>
      </c>
      <c r="H251" s="344">
        <f>'40-year assumptions'!E44</f>
        <v>0</v>
      </c>
      <c r="I251" s="712" t="str">
        <f t="shared" ca="1" si="35"/>
        <v>'40-year assumptions'!E44</v>
      </c>
      <c r="J251" s="713" t="b" cm="1">
        <f t="array" aca="1" ref="J251" ca="1">IF(COUNTIF($K251:$T251, "&lt;&gt;FALSE") - COUNTBLANK($K251:$T251) &gt; 0, INDEX($K251:$T251, MATCH(TRUE, $K251:$T251 &lt;&gt; FALSE, 0)))</f>
        <v>0</v>
      </c>
      <c r="K251" s="712" t="b">
        <f ca="1">IF(AND('Start here'!$C$24=RefData!$B$5,'Discount rates'!$C$8&lt;&gt;RefData!$B$35,'Reconciliation report'!$E251=""),ErrorMsgs!$B251)</f>
        <v>0</v>
      </c>
      <c r="L251" s="712" t="b">
        <f ca="1">IF(AND('Start here'!$C$24=RefData!$B$5,'Discount rates'!$C$8=RefData!$B$35,'Reconciliation report'!$E251&lt;&gt;""),ErrorMsgs!$C251)</f>
        <v>0</v>
      </c>
      <c r="M251" s="714" t="b">
        <f ca="1">IF(AND('Start here'!$C$24=RefData!$B$4,'Discount rates'!$C$7=RefData!$B$8,'Discount rates'!$C$8&lt;&gt;RefData!$B$35,'Reconciliation report'!$E251=""),ErrorMsgs!$D251)</f>
        <v>0</v>
      </c>
      <c r="N251" s="714" t="b">
        <f ca="1">IF(AND('Start here'!$C$24=RefData!$B$4,'Discount rates'!$C$7=RefData!$B$8,'Discount rates'!$C$8=RefData!$B$35,'Reconciliation report'!E251&lt;&gt;""),ErrorMsgs!$E251)</f>
        <v>0</v>
      </c>
      <c r="O251" s="712" t="b">
        <f ca="1">IF(AND('Start here'!$C$24=RefData!$B$4,'Discount rates'!$C$7=RefData!$B$7,'Reconciliation report'!$E251&lt;&gt;""),ErrorMsgs!$F251)</f>
        <v>0</v>
      </c>
      <c r="P251" s="712" t="b">
        <f ca="1">IF($E251&lt;-0.1,ErrorMsgs!$G251)</f>
        <v>0</v>
      </c>
      <c r="Q251" s="712" t="b">
        <f ca="1">IF($E251="",FALSE,IF($E251&gt;0.1,ErrorMsgs!$H251))</f>
        <v>0</v>
      </c>
      <c r="R251" s="712"/>
      <c r="S251" s="712"/>
      <c r="T251" s="712"/>
      <c r="U251" s="526" t="str">
        <f t="shared" ca="1" si="31"/>
        <v/>
      </c>
      <c r="V251" s="93" t="str" cm="1">
        <f t="array" aca="1" ref="V251" ca="1">CELL("format",INDIRECT(I251))</f>
        <v>P4</v>
      </c>
      <c r="W251" s="93" t="b">
        <f t="shared" ca="1" si="32"/>
        <v>0</v>
      </c>
      <c r="X251" s="715" t="str">
        <f t="shared" ca="1" si="30"/>
        <v/>
      </c>
      <c r="Y251" t="b">
        <f t="shared" ca="1" si="33"/>
        <v>1</v>
      </c>
    </row>
    <row r="252" spans="1:25" ht="63" customHeight="1">
      <c r="A252" s="705" t="s">
        <v>3258</v>
      </c>
      <c r="B252" s="716" t="str">
        <f t="shared" ca="1" si="34"/>
        <v>40-year assumptions - E45</v>
      </c>
      <c r="C252" s="707" t="str" cm="1">
        <f t="array" aca="1" ref="C252" ca="1">INDIRECT(LEFT(I252, FIND("!", I252)) &amp; RefData!$C$426 &amp; RIGHT(I252, LEN(I252) - FIND("!", I252) - 1))</f>
        <v>Year 39</v>
      </c>
      <c r="D252" s="92" t="str">
        <f t="shared" ca="1" si="29"/>
        <v/>
      </c>
      <c r="E252" s="708" t="str" cm="1">
        <f t="array" aca="1" ref="E252" ca="1">IF(INDIRECT($I252)= "", "", INDIRECT($I252))</f>
        <v/>
      </c>
      <c r="F252" s="709" t="str" cm="1">
        <f t="array" aca="1" ref="F252" ca="1">INDIRECT(LEFT(I252, FIND("!", I252)) &amp; RefData!$C$427 &amp; RIGHT(I252, LEN(I252) - FIND("!", I252) - 1))</f>
        <v>FYA 39.0</v>
      </c>
      <c r="G252" s="710" t="b">
        <f ca="1">IF(ISNUMBER(SEARCH(RefData!$B$2, $C252)), FALSE, TRUE)</f>
        <v>1</v>
      </c>
      <c r="H252" s="344">
        <f>'40-year assumptions'!E45</f>
        <v>0</v>
      </c>
      <c r="I252" s="712" t="str">
        <f t="shared" ca="1" si="35"/>
        <v>'40-year assumptions'!E45</v>
      </c>
      <c r="J252" s="713" t="b" cm="1">
        <f t="array" aca="1" ref="J252" ca="1">IF(COUNTIF($K252:$T252, "&lt;&gt;FALSE") - COUNTBLANK($K252:$T252) &gt; 0, INDEX($K252:$T252, MATCH(TRUE, $K252:$T252 &lt;&gt; FALSE, 0)))</f>
        <v>0</v>
      </c>
      <c r="K252" s="712" t="b">
        <f ca="1">IF(AND('Start here'!$C$24=RefData!$B$5,'Discount rates'!$C$8&lt;&gt;RefData!$B$35,'Reconciliation report'!$E252=""),ErrorMsgs!$B252)</f>
        <v>0</v>
      </c>
      <c r="L252" s="712" t="b">
        <f ca="1">IF(AND('Start here'!$C$24=RefData!$B$5,'Discount rates'!$C$8=RefData!$B$35,'Reconciliation report'!$E252&lt;&gt;""),ErrorMsgs!$C252)</f>
        <v>0</v>
      </c>
      <c r="M252" s="714" t="b">
        <f ca="1">IF(AND('Start here'!$C$24=RefData!$B$4,'Discount rates'!$C$7=RefData!$B$8,'Discount rates'!$C$8&lt;&gt;RefData!$B$35,'Reconciliation report'!$E252=""),ErrorMsgs!$D252)</f>
        <v>0</v>
      </c>
      <c r="N252" s="714" t="b">
        <f ca="1">IF(AND('Start here'!$C$24=RefData!$B$4,'Discount rates'!$C$7=RefData!$B$8,'Discount rates'!$C$8=RefData!$B$35,'Reconciliation report'!E252&lt;&gt;""),ErrorMsgs!$E252)</f>
        <v>0</v>
      </c>
      <c r="O252" s="712" t="b">
        <f ca="1">IF(AND('Start here'!$C$24=RefData!$B$4,'Discount rates'!$C$7=RefData!$B$7,'Reconciliation report'!$E252&lt;&gt;""),ErrorMsgs!$F252)</f>
        <v>0</v>
      </c>
      <c r="P252" s="712" t="b">
        <f ca="1">IF($E252&lt;-0.1,ErrorMsgs!$G252)</f>
        <v>0</v>
      </c>
      <c r="Q252" s="712" t="b">
        <f ca="1">IF($E252="",FALSE,IF($E252&gt;0.1,ErrorMsgs!$H252))</f>
        <v>0</v>
      </c>
      <c r="R252" s="712"/>
      <c r="S252" s="712"/>
      <c r="T252" s="712"/>
      <c r="U252" s="526" t="str">
        <f t="shared" ca="1" si="31"/>
        <v/>
      </c>
      <c r="V252" s="93" t="str" cm="1">
        <f t="array" aca="1" ref="V252" ca="1">CELL("format",INDIRECT(I252))</f>
        <v>P4</v>
      </c>
      <c r="W252" s="93" t="b">
        <f t="shared" ca="1" si="32"/>
        <v>0</v>
      </c>
      <c r="X252" s="715" t="str">
        <f t="shared" ca="1" si="30"/>
        <v/>
      </c>
      <c r="Y252" t="b">
        <f t="shared" ca="1" si="33"/>
        <v>1</v>
      </c>
    </row>
    <row r="253" spans="1:25" ht="63" customHeight="1">
      <c r="A253" s="705" t="s">
        <v>3259</v>
      </c>
      <c r="B253" s="716" t="str">
        <f t="shared" ca="1" si="34"/>
        <v>40-year assumptions - E46</v>
      </c>
      <c r="C253" s="707" t="str" cm="1">
        <f t="array" aca="1" ref="C253" ca="1">INDIRECT(LEFT(I253, FIND("!", I253)) &amp; RefData!$C$426 &amp; RIGHT(I253, LEN(I253) - FIND("!", I253) - 1))</f>
        <v>Year 40</v>
      </c>
      <c r="D253" s="92" t="str">
        <f t="shared" ca="1" si="29"/>
        <v/>
      </c>
      <c r="E253" s="708" t="str" cm="1">
        <f t="array" aca="1" ref="E253" ca="1">IF(INDIRECT($I253)= "", "", INDIRECT($I253))</f>
        <v/>
      </c>
      <c r="F253" s="709" t="str" cm="1">
        <f t="array" aca="1" ref="F253" ca="1">INDIRECT(LEFT(I253, FIND("!", I253)) &amp; RefData!$C$427 &amp; RIGHT(I253, LEN(I253) - FIND("!", I253) - 1))</f>
        <v>FYA 40.0</v>
      </c>
      <c r="G253" s="710" t="b">
        <f ca="1">IF(ISNUMBER(SEARCH(RefData!$B$2, $C253)), FALSE, TRUE)</f>
        <v>1</v>
      </c>
      <c r="H253" s="344">
        <f>'40-year assumptions'!E46</f>
        <v>0</v>
      </c>
      <c r="I253" s="712" t="str">
        <f t="shared" ca="1" si="35"/>
        <v>'40-year assumptions'!E46</v>
      </c>
      <c r="J253" s="713" t="b" cm="1">
        <f t="array" aca="1" ref="J253" ca="1">IF(COUNTIF($K253:$T253, "&lt;&gt;FALSE") - COUNTBLANK($K253:$T253) &gt; 0, INDEX($K253:$T253, MATCH(TRUE, $K253:$T253 &lt;&gt; FALSE, 0)))</f>
        <v>0</v>
      </c>
      <c r="K253" s="712" t="b">
        <f ca="1">IF(AND('Start here'!$C$24=RefData!$B$5,'Discount rates'!$C$8&lt;&gt;RefData!$B$35,'Reconciliation report'!$E253=""),ErrorMsgs!$B253)</f>
        <v>0</v>
      </c>
      <c r="L253" s="712" t="b">
        <f ca="1">IF(AND('Start here'!$C$24=RefData!$B$5,'Discount rates'!$C$8=RefData!$B$35,'Reconciliation report'!$E253&lt;&gt;""),ErrorMsgs!$C253)</f>
        <v>0</v>
      </c>
      <c r="M253" s="714" t="b">
        <f ca="1">IF(AND('Start here'!$C$24=RefData!$B$4,'Discount rates'!$C$7=RefData!$B$8,'Discount rates'!$C$8&lt;&gt;RefData!$B$35,'Reconciliation report'!$E253=""),ErrorMsgs!$D253)</f>
        <v>0</v>
      </c>
      <c r="N253" s="714" t="b">
        <f ca="1">IF(AND('Start here'!$C$24=RefData!$B$4,'Discount rates'!$C$7=RefData!$B$8,'Discount rates'!$C$8=RefData!$B$35,'Reconciliation report'!E253&lt;&gt;""),ErrorMsgs!$E253)</f>
        <v>0</v>
      </c>
      <c r="O253" s="712" t="b">
        <f ca="1">IF(AND('Start here'!$C$24=RefData!$B$4,'Discount rates'!$C$7=RefData!$B$7,'Reconciliation report'!$E253&lt;&gt;""),ErrorMsgs!$F253)</f>
        <v>0</v>
      </c>
      <c r="P253" s="712" t="b">
        <f ca="1">IF($E253&lt;-0.1,ErrorMsgs!$G253)</f>
        <v>0</v>
      </c>
      <c r="Q253" s="712" t="b">
        <f ca="1">IF($E253="",FALSE,IF($E253&gt;0.1,ErrorMsgs!$H253))</f>
        <v>0</v>
      </c>
      <c r="R253" s="712"/>
      <c r="S253" s="712"/>
      <c r="T253" s="712"/>
      <c r="U253" s="526" t="str">
        <f t="shared" ca="1" si="31"/>
        <v/>
      </c>
      <c r="V253" s="93" t="str" cm="1">
        <f t="array" aca="1" ref="V253" ca="1">CELL("format",INDIRECT(I253))</f>
        <v>P4</v>
      </c>
      <c r="W253" s="93" t="b">
        <f t="shared" ca="1" si="32"/>
        <v>0</v>
      </c>
      <c r="X253" s="715" t="str">
        <f t="shared" ca="1" si="30"/>
        <v/>
      </c>
      <c r="Y253" t="b">
        <f t="shared" ca="1" si="33"/>
        <v>1</v>
      </c>
    </row>
    <row r="254" spans="1:25" ht="63" customHeight="1">
      <c r="A254" s="705" t="s">
        <v>3260</v>
      </c>
      <c r="B254" s="716" t="str">
        <f t="shared" ca="1" si="34"/>
        <v>40-year assumptions - F7</v>
      </c>
      <c r="C254" s="707" t="str" cm="1">
        <f t="array" aca="1" ref="C254" ca="1">INDIRECT(LEFT(I254, FIND("!", I254)) &amp; RefData!$C$426 &amp; RIGHT(I254, LEN(I254) - FIND("!", I254) - 1))</f>
        <v>Year 1</v>
      </c>
      <c r="D254" s="92" t="str">
        <f t="shared" ca="1" si="29"/>
        <v/>
      </c>
      <c r="E254" s="708" t="str" cm="1">
        <f t="array" aca="1" ref="E254" ca="1">IF(INDIRECT($I254)= "", "", INDIRECT($I254))</f>
        <v/>
      </c>
      <c r="F254" s="709" t="str" cm="1">
        <f t="array" aca="1" ref="F254" ca="1">INDIRECT(LEFT(I254, FIND("!", I254)) &amp; RefData!$C$427 &amp; RIGHT(I254, LEN(I254) - FIND("!", I254) - 1))</f>
        <v>FYA 1.0</v>
      </c>
      <c r="G254" s="710" t="b">
        <f ca="1">IF(ISNUMBER(SEARCH(RefData!$B$2, $C254)), FALSE, TRUE)</f>
        <v>1</v>
      </c>
      <c r="H254" s="344">
        <f>'40-year assumptions'!F7</f>
        <v>0</v>
      </c>
      <c r="I254" s="712" t="str">
        <f t="shared" ca="1" si="35"/>
        <v>'40-year assumptions'!F7</v>
      </c>
      <c r="J254" s="713" t="b" cm="1">
        <f t="array" aca="1" ref="J254" ca="1">IF(COUNTIF($K254:$T254, "&lt;&gt;FALSE") - COUNTBLANK($K254:$T254) &gt; 0, INDEX($K254:$T254, MATCH(TRUE, $K254:$T254 &lt;&gt; FALSE, 0)))</f>
        <v>0</v>
      </c>
      <c r="K254" s="712" t="b">
        <f ca="1">IF(AND('Start here'!$C$24=RefData!$B$5,OR('Other assumptions'!$C$7=RefData!$B$48,'Other assumptions'!$C$7=RefData!$B$46),'Reconciliation report'!$E254=""),ErrorMsgs!$B254)</f>
        <v>0</v>
      </c>
      <c r="L254" s="712" t="b">
        <f ca="1">IF(AND('Start here'!$C$24=RefData!$B$5,OR('Other assumptions'!$C$7=RefData!$B$47,'Other assumptions'!$C$7=RefData!$B$49),'Reconciliation report'!$E254&lt;&gt;""),ErrorMsgs!$C254)</f>
        <v>0</v>
      </c>
      <c r="M254" s="714" t="b">
        <f ca="1">IF(AND('Start here'!$C$24=RefData!$B$4,'Discount rates'!$C$7=RefData!$B$8,OR('Other assumptions'!$C$7=RefData!$B$48,'Other assumptions'!$C$7=RefData!$B$46),'Reconciliation report'!$E254=""),ErrorMsgs!$D254)</f>
        <v>0</v>
      </c>
      <c r="N254" s="714" t="b">
        <f ca="1">IF(AND('Start here'!$C$24=RefData!$B$4,'Discount rates'!$C$7=RefData!$B$8,OR('Other assumptions'!$C$7=RefData!$B$47,'Other assumptions'!$C$7=RefData!$B$49),'Reconciliation report'!$E254&lt;&gt;""),ErrorMsgs!$E254)</f>
        <v>0</v>
      </c>
      <c r="O254" s="712" t="b">
        <f ca="1">IF(AND('Start here'!$C$24=RefData!$B$4,'Discount rates'!$C$7=RefData!$B$7,'Reconciliation report'!$E254&lt;&gt;""),ErrorMsgs!$F254)</f>
        <v>0</v>
      </c>
      <c r="P254" s="712" t="b">
        <f ca="1">IF($E254&lt;-0.25,ErrorMsgs!$G254)</f>
        <v>0</v>
      </c>
      <c r="Q254" s="712" t="b">
        <f ca="1">IF($E254="",FALSE,IF($E254&gt;0.25,ErrorMsgs!$H254))</f>
        <v>0</v>
      </c>
      <c r="R254" s="712"/>
      <c r="S254" s="712"/>
      <c r="T254" s="712"/>
      <c r="U254" s="526" t="str">
        <f t="shared" ca="1" si="31"/>
        <v/>
      </c>
      <c r="V254" s="93" t="str" cm="1">
        <f t="array" aca="1" ref="V254" ca="1">CELL("format",INDIRECT(I254))</f>
        <v>P4</v>
      </c>
      <c r="W254" s="93" t="b">
        <f t="shared" ca="1" si="32"/>
        <v>0</v>
      </c>
      <c r="X254" s="715" t="str">
        <f t="shared" ca="1" si="30"/>
        <v/>
      </c>
      <c r="Y254" t="b">
        <f t="shared" ca="1" si="33"/>
        <v>1</v>
      </c>
    </row>
    <row r="255" spans="1:25" ht="63" customHeight="1">
      <c r="A255" s="705" t="s">
        <v>3261</v>
      </c>
      <c r="B255" s="716" t="str">
        <f t="shared" ca="1" si="34"/>
        <v>40-year assumptions - F8</v>
      </c>
      <c r="C255" s="707" t="str" cm="1">
        <f t="array" aca="1" ref="C255" ca="1">INDIRECT(LEFT(I255, FIND("!", I255)) &amp; RefData!$C$426 &amp; RIGHT(I255, LEN(I255) - FIND("!", I255) - 1))</f>
        <v>Year 2</v>
      </c>
      <c r="D255" s="92" t="str">
        <f t="shared" ca="1" si="29"/>
        <v/>
      </c>
      <c r="E255" s="708" t="str" cm="1">
        <f t="array" aca="1" ref="E255" ca="1">IF(INDIRECT($I255)= "", "", INDIRECT($I255))</f>
        <v/>
      </c>
      <c r="F255" s="709" t="str" cm="1">
        <f t="array" aca="1" ref="F255" ca="1">INDIRECT(LEFT(I255, FIND("!", I255)) &amp; RefData!$C$427 &amp; RIGHT(I255, LEN(I255) - FIND("!", I255) - 1))</f>
        <v>FYA 2.0</v>
      </c>
      <c r="G255" s="710" t="b">
        <f ca="1">IF(ISNUMBER(SEARCH(RefData!$B$2, $C255)), FALSE, TRUE)</f>
        <v>1</v>
      </c>
      <c r="H255" s="344">
        <f>'40-year assumptions'!F8</f>
        <v>0</v>
      </c>
      <c r="I255" s="712" t="str">
        <f t="shared" ca="1" si="35"/>
        <v>'40-year assumptions'!F8</v>
      </c>
      <c r="J255" s="713" t="b" cm="1">
        <f t="array" aca="1" ref="J255" ca="1">IF(COUNTIF($K255:$T255, "&lt;&gt;FALSE") - COUNTBLANK($K255:$T255) &gt; 0, INDEX($K255:$T255, MATCH(TRUE, $K255:$T255 &lt;&gt; FALSE, 0)))</f>
        <v>0</v>
      </c>
      <c r="K255" s="712" t="b">
        <f ca="1">IF(AND('Start here'!$C$24=RefData!$B$5,OR('Other assumptions'!$C$7=RefData!$B$48,'Other assumptions'!$C$7=RefData!$B$46),'Reconciliation report'!$E255=""),ErrorMsgs!$B255)</f>
        <v>0</v>
      </c>
      <c r="L255" s="712" t="b">
        <f ca="1">IF(AND('Start here'!$C$24=RefData!$B$5,OR('Other assumptions'!$C$7=RefData!$B$47,'Other assumptions'!$C$7=RefData!$B$49),'Reconciliation report'!$E255&lt;&gt;""),ErrorMsgs!$C255)</f>
        <v>0</v>
      </c>
      <c r="M255" s="714" t="b">
        <f ca="1">IF(AND('Start here'!$C$24=RefData!$B$4,'Discount rates'!$C$7=RefData!$B$8,OR('Other assumptions'!$C$7=RefData!$B$48,'Other assumptions'!$C$7=RefData!$B$46),'Reconciliation report'!$E255=""),ErrorMsgs!$D255)</f>
        <v>0</v>
      </c>
      <c r="N255" s="714" t="b">
        <f ca="1">IF(AND('Start here'!$C$24=RefData!$B$4,'Discount rates'!$C$7=RefData!$B$8,OR('Other assumptions'!$C$7=RefData!$B$47,'Other assumptions'!$C$7=RefData!$B$49),'Reconciliation report'!$E255&lt;&gt;""),ErrorMsgs!$E255)</f>
        <v>0</v>
      </c>
      <c r="O255" s="712" t="b">
        <f ca="1">IF(AND('Start here'!$C$24=RefData!$B$4,'Discount rates'!$C$7=RefData!$B$7,'Reconciliation report'!$E255&lt;&gt;""),ErrorMsgs!$F255)</f>
        <v>0</v>
      </c>
      <c r="P255" s="712" t="b">
        <f ca="1">IF($E255&lt;-0.25,ErrorMsgs!$G255)</f>
        <v>0</v>
      </c>
      <c r="Q255" s="712" t="b">
        <f ca="1">IF($E255="",FALSE,IF($E255&gt;0.25,ErrorMsgs!$H255))</f>
        <v>0</v>
      </c>
      <c r="R255" s="712"/>
      <c r="S255" s="712"/>
      <c r="T255" s="712"/>
      <c r="U255" s="526" t="str">
        <f t="shared" ca="1" si="31"/>
        <v/>
      </c>
      <c r="V255" s="93" t="str" cm="1">
        <f t="array" aca="1" ref="V255" ca="1">CELL("format",INDIRECT(I255))</f>
        <v>P4</v>
      </c>
      <c r="W255" s="93" t="b">
        <f t="shared" ca="1" si="32"/>
        <v>0</v>
      </c>
      <c r="X255" s="715" t="str">
        <f t="shared" ca="1" si="30"/>
        <v/>
      </c>
      <c r="Y255" t="b">
        <f t="shared" ca="1" si="33"/>
        <v>1</v>
      </c>
    </row>
    <row r="256" spans="1:25" ht="63" customHeight="1">
      <c r="A256" s="705" t="s">
        <v>3262</v>
      </c>
      <c r="B256" s="716" t="str">
        <f t="shared" ca="1" si="34"/>
        <v>40-year assumptions - F9</v>
      </c>
      <c r="C256" s="707" t="str" cm="1">
        <f t="array" aca="1" ref="C256" ca="1">INDIRECT(LEFT(I256, FIND("!", I256)) &amp; RefData!$C$426 &amp; RIGHT(I256, LEN(I256) - FIND("!", I256) - 1))</f>
        <v>Year 3</v>
      </c>
      <c r="D256" s="92" t="str">
        <f t="shared" ca="1" si="29"/>
        <v/>
      </c>
      <c r="E256" s="708" t="str" cm="1">
        <f t="array" aca="1" ref="E256" ca="1">IF(INDIRECT($I256)= "", "", INDIRECT($I256))</f>
        <v/>
      </c>
      <c r="F256" s="709" t="str" cm="1">
        <f t="array" aca="1" ref="F256" ca="1">INDIRECT(LEFT(I256, FIND("!", I256)) &amp; RefData!$C$427 &amp; RIGHT(I256, LEN(I256) - FIND("!", I256) - 1))</f>
        <v>FYA 3.0</v>
      </c>
      <c r="G256" s="710" t="b">
        <f ca="1">IF(ISNUMBER(SEARCH(RefData!$B$2, $C256)), FALSE, TRUE)</f>
        <v>1</v>
      </c>
      <c r="H256" s="344">
        <f>'40-year assumptions'!F9</f>
        <v>0</v>
      </c>
      <c r="I256" s="712" t="str">
        <f t="shared" ca="1" si="35"/>
        <v>'40-year assumptions'!F9</v>
      </c>
      <c r="J256" s="713" t="b" cm="1">
        <f t="array" aca="1" ref="J256" ca="1">IF(COUNTIF($K256:$T256, "&lt;&gt;FALSE") - COUNTBLANK($K256:$T256) &gt; 0, INDEX($K256:$T256, MATCH(TRUE, $K256:$T256 &lt;&gt; FALSE, 0)))</f>
        <v>0</v>
      </c>
      <c r="K256" s="712" t="b">
        <f ca="1">IF(AND('Start here'!$C$24=RefData!$B$5,OR('Other assumptions'!$C$7=RefData!$B$48,'Other assumptions'!$C$7=RefData!$B$46),'Reconciliation report'!$E256=""),ErrorMsgs!$B256)</f>
        <v>0</v>
      </c>
      <c r="L256" s="712" t="b">
        <f ca="1">IF(AND('Start here'!$C$24=RefData!$B$5,OR('Other assumptions'!$C$7=RefData!$B$47,'Other assumptions'!$C$7=RefData!$B$49),'Reconciliation report'!$E256&lt;&gt;""),ErrorMsgs!$C256)</f>
        <v>0</v>
      </c>
      <c r="M256" s="714" t="b">
        <f ca="1">IF(AND('Start here'!$C$24=RefData!$B$4,'Discount rates'!$C$7=RefData!$B$8,OR('Other assumptions'!$C$7=RefData!$B$48,'Other assumptions'!$C$7=RefData!$B$46),'Reconciliation report'!$E256=""),ErrorMsgs!$D256)</f>
        <v>0</v>
      </c>
      <c r="N256" s="714" t="b">
        <f ca="1">IF(AND('Start here'!$C$24=RefData!$B$4,'Discount rates'!$C$7=RefData!$B$8,OR('Other assumptions'!$C$7=RefData!$B$47,'Other assumptions'!$C$7=RefData!$B$49),'Reconciliation report'!$E256&lt;&gt;""),ErrorMsgs!$E256)</f>
        <v>0</v>
      </c>
      <c r="O256" s="712" t="b">
        <f ca="1">IF(AND('Start here'!$C$24=RefData!$B$4,'Discount rates'!$C$7=RefData!$B$7,'Reconciliation report'!$E256&lt;&gt;""),ErrorMsgs!$F256)</f>
        <v>0</v>
      </c>
      <c r="P256" s="712" t="b">
        <f ca="1">IF($E256&lt;-0.25,ErrorMsgs!$G256)</f>
        <v>0</v>
      </c>
      <c r="Q256" s="712" t="b">
        <f ca="1">IF($E256="",FALSE,IF($E256&gt;0.25,ErrorMsgs!$H256))</f>
        <v>0</v>
      </c>
      <c r="R256" s="712"/>
      <c r="S256" s="712"/>
      <c r="T256" s="712"/>
      <c r="U256" s="526" t="str">
        <f t="shared" ca="1" si="31"/>
        <v/>
      </c>
      <c r="V256" s="93" t="str" cm="1">
        <f t="array" aca="1" ref="V256" ca="1">CELL("format",INDIRECT(I256))</f>
        <v>P4</v>
      </c>
      <c r="W256" s="93" t="b">
        <f t="shared" ca="1" si="32"/>
        <v>0</v>
      </c>
      <c r="X256" s="715" t="str">
        <f t="shared" ca="1" si="30"/>
        <v/>
      </c>
      <c r="Y256" t="b">
        <f t="shared" ca="1" si="33"/>
        <v>1</v>
      </c>
    </row>
    <row r="257" spans="1:25" ht="63" customHeight="1">
      <c r="A257" s="705" t="s">
        <v>3263</v>
      </c>
      <c r="B257" s="716" t="str">
        <f t="shared" ca="1" si="34"/>
        <v>40-year assumptions - F10</v>
      </c>
      <c r="C257" s="707" t="str" cm="1">
        <f t="array" aca="1" ref="C257" ca="1">INDIRECT(LEFT(I257, FIND("!", I257)) &amp; RefData!$C$426 &amp; RIGHT(I257, LEN(I257) - FIND("!", I257) - 1))</f>
        <v>Year 4</v>
      </c>
      <c r="D257" s="92" t="str">
        <f t="shared" ca="1" si="29"/>
        <v/>
      </c>
      <c r="E257" s="708" t="str" cm="1">
        <f t="array" aca="1" ref="E257" ca="1">IF(INDIRECT($I257)= "", "", INDIRECT($I257))</f>
        <v/>
      </c>
      <c r="F257" s="709" t="str" cm="1">
        <f t="array" aca="1" ref="F257" ca="1">INDIRECT(LEFT(I257, FIND("!", I257)) &amp; RefData!$C$427 &amp; RIGHT(I257, LEN(I257) - FIND("!", I257) - 1))</f>
        <v>FYA 4.0</v>
      </c>
      <c r="G257" s="710" t="b">
        <f ca="1">IF(ISNUMBER(SEARCH(RefData!$B$2, $C257)), FALSE, TRUE)</f>
        <v>1</v>
      </c>
      <c r="H257" s="344">
        <f>'40-year assumptions'!F10</f>
        <v>0</v>
      </c>
      <c r="I257" s="712" t="str">
        <f t="shared" ca="1" si="35"/>
        <v>'40-year assumptions'!F10</v>
      </c>
      <c r="J257" s="713" t="b" cm="1">
        <f t="array" aca="1" ref="J257" ca="1">IF(COUNTIF($K257:$T257, "&lt;&gt;FALSE") - COUNTBLANK($K257:$T257) &gt; 0, INDEX($K257:$T257, MATCH(TRUE, $K257:$T257 &lt;&gt; FALSE, 0)))</f>
        <v>0</v>
      </c>
      <c r="K257" s="712" t="b">
        <f ca="1">IF(AND('Start here'!$C$24=RefData!$B$5,OR('Other assumptions'!$C$7=RefData!$B$48,'Other assumptions'!$C$7=RefData!$B$46),'Reconciliation report'!$E257=""),ErrorMsgs!$B257)</f>
        <v>0</v>
      </c>
      <c r="L257" s="712" t="b">
        <f ca="1">IF(AND('Start here'!$C$24=RefData!$B$5,OR('Other assumptions'!$C$7=RefData!$B$47,'Other assumptions'!$C$7=RefData!$B$49),'Reconciliation report'!$E257&lt;&gt;""),ErrorMsgs!$C257)</f>
        <v>0</v>
      </c>
      <c r="M257" s="714" t="b">
        <f ca="1">IF(AND('Start here'!$C$24=RefData!$B$4,'Discount rates'!$C$7=RefData!$B$8,OR('Other assumptions'!$C$7=RefData!$B$48,'Other assumptions'!$C$7=RefData!$B$46),'Reconciliation report'!$E257=""),ErrorMsgs!$D257)</f>
        <v>0</v>
      </c>
      <c r="N257" s="714" t="b">
        <f ca="1">IF(AND('Start here'!$C$24=RefData!$B$4,'Discount rates'!$C$7=RefData!$B$8,OR('Other assumptions'!$C$7=RefData!$B$47,'Other assumptions'!$C$7=RefData!$B$49),'Reconciliation report'!$E257&lt;&gt;""),ErrorMsgs!$E257)</f>
        <v>0</v>
      </c>
      <c r="O257" s="712" t="b">
        <f ca="1">IF(AND('Start here'!$C$24=RefData!$B$4,'Discount rates'!$C$7=RefData!$B$7,'Reconciliation report'!$E257&lt;&gt;""),ErrorMsgs!$F257)</f>
        <v>0</v>
      </c>
      <c r="P257" s="712" t="b">
        <f ca="1">IF($E257&lt;-0.25,ErrorMsgs!$G257)</f>
        <v>0</v>
      </c>
      <c r="Q257" s="712" t="b">
        <f ca="1">IF($E257="",FALSE,IF($E257&gt;0.25,ErrorMsgs!$H257))</f>
        <v>0</v>
      </c>
      <c r="R257" s="712"/>
      <c r="S257" s="712"/>
      <c r="T257" s="712"/>
      <c r="U257" s="526" t="str">
        <f t="shared" ca="1" si="31"/>
        <v/>
      </c>
      <c r="V257" s="93" t="str" cm="1">
        <f t="array" aca="1" ref="V257" ca="1">CELL("format",INDIRECT(I257))</f>
        <v>P4</v>
      </c>
      <c r="W257" s="93" t="b">
        <f t="shared" ca="1" si="32"/>
        <v>0</v>
      </c>
      <c r="X257" s="715" t="str">
        <f t="shared" ca="1" si="30"/>
        <v/>
      </c>
      <c r="Y257" t="b">
        <f t="shared" ca="1" si="33"/>
        <v>1</v>
      </c>
    </row>
    <row r="258" spans="1:25" ht="63" customHeight="1">
      <c r="A258" s="705" t="s">
        <v>3264</v>
      </c>
      <c r="B258" s="716" t="str">
        <f t="shared" ca="1" si="34"/>
        <v>40-year assumptions - F11</v>
      </c>
      <c r="C258" s="707" t="str" cm="1">
        <f t="array" aca="1" ref="C258" ca="1">INDIRECT(LEFT(I258, FIND("!", I258)) &amp; RefData!$C$426 &amp; RIGHT(I258, LEN(I258) - FIND("!", I258) - 1))</f>
        <v>Year 5</v>
      </c>
      <c r="D258" s="92" t="str">
        <f t="shared" ref="D258:D321" ca="1" si="36">""&amp;IF(J258=FALSE, "", J258)
&amp;""</f>
        <v/>
      </c>
      <c r="E258" s="708" t="str" cm="1">
        <f t="array" aca="1" ref="E258" ca="1">IF(INDIRECT($I258)= "", "", INDIRECT($I258))</f>
        <v/>
      </c>
      <c r="F258" s="709" t="str" cm="1">
        <f t="array" aca="1" ref="F258" ca="1">INDIRECT(LEFT(I258, FIND("!", I258)) &amp; RefData!$C$427 &amp; RIGHT(I258, LEN(I258) - FIND("!", I258) - 1))</f>
        <v>FYA 5.0</v>
      </c>
      <c r="G258" s="710" t="b">
        <f ca="1">IF(ISNUMBER(SEARCH(RefData!$B$2, $C258)), FALSE, TRUE)</f>
        <v>1</v>
      </c>
      <c r="H258" s="344">
        <f>'40-year assumptions'!F11</f>
        <v>0</v>
      </c>
      <c r="I258" s="712" t="str">
        <f t="shared" ca="1" si="35"/>
        <v>'40-year assumptions'!F11</v>
      </c>
      <c r="J258" s="713" t="b" cm="1">
        <f t="array" aca="1" ref="J258" ca="1">IF(COUNTIF($K258:$T258, "&lt;&gt;FALSE") - COUNTBLANK($K258:$T258) &gt; 0, INDEX($K258:$T258, MATCH(TRUE, $K258:$T258 &lt;&gt; FALSE, 0)))</f>
        <v>0</v>
      </c>
      <c r="K258" s="712" t="b">
        <f ca="1">IF(AND('Start here'!$C$24=RefData!$B$5,OR('Other assumptions'!$C$7=RefData!$B$48,'Other assumptions'!$C$7=RefData!$B$46),'Reconciliation report'!$E258=""),ErrorMsgs!$B258)</f>
        <v>0</v>
      </c>
      <c r="L258" s="712" t="b">
        <f ca="1">IF(AND('Start here'!$C$24=RefData!$B$5,OR('Other assumptions'!$C$7=RefData!$B$47,'Other assumptions'!$C$7=RefData!$B$49),'Reconciliation report'!$E258&lt;&gt;""),ErrorMsgs!$C258)</f>
        <v>0</v>
      </c>
      <c r="M258" s="714" t="b">
        <f ca="1">IF(AND('Start here'!$C$24=RefData!$B$4,'Discount rates'!$C$7=RefData!$B$8,OR('Other assumptions'!$C$7=RefData!$B$48,'Other assumptions'!$C$7=RefData!$B$46),'Reconciliation report'!$E258=""),ErrorMsgs!$D258)</f>
        <v>0</v>
      </c>
      <c r="N258" s="714" t="b">
        <f ca="1">IF(AND('Start here'!$C$24=RefData!$B$4,'Discount rates'!$C$7=RefData!$B$8,OR('Other assumptions'!$C$7=RefData!$B$47,'Other assumptions'!$C$7=RefData!$B$49),'Reconciliation report'!$E258&lt;&gt;""),ErrorMsgs!$E258)</f>
        <v>0</v>
      </c>
      <c r="O258" s="712" t="b">
        <f ca="1">IF(AND('Start here'!$C$24=RefData!$B$4,'Discount rates'!$C$7=RefData!$B$7,'Reconciliation report'!$E258&lt;&gt;""),ErrorMsgs!$F258)</f>
        <v>0</v>
      </c>
      <c r="P258" s="712" t="b">
        <f ca="1">IF($E258&lt;-0.25,ErrorMsgs!$G258)</f>
        <v>0</v>
      </c>
      <c r="Q258" s="712" t="b">
        <f ca="1">IF($E258="",FALSE,IF($E258&gt;0.25,ErrorMsgs!$H258))</f>
        <v>0</v>
      </c>
      <c r="R258" s="712"/>
      <c r="S258" s="712"/>
      <c r="T258" s="712"/>
      <c r="U258" s="526" t="str">
        <f t="shared" ca="1" si="31"/>
        <v/>
      </c>
      <c r="V258" s="93" t="str" cm="1">
        <f t="array" aca="1" ref="V258" ca="1">CELL("format",INDIRECT(I258))</f>
        <v>P4</v>
      </c>
      <c r="W258" s="93" t="b">
        <f t="shared" ca="1" si="32"/>
        <v>0</v>
      </c>
      <c r="X258" s="715" t="str">
        <f t="shared" ref="X258:X321" ca="1" si="37">IF(W258, "0." &amp; IF(V258="P2",REPT("0", MIN(4, LEN(E258) - FIND(".", E258))),REPT("0", MIN(6, LEN(E258) - FIND(".", E258)))), "")</f>
        <v/>
      </c>
      <c r="Y258" t="b">
        <f t="shared" ca="1" si="33"/>
        <v>1</v>
      </c>
    </row>
    <row r="259" spans="1:25" ht="63" customHeight="1">
      <c r="A259" s="705" t="s">
        <v>3265</v>
      </c>
      <c r="B259" s="716" t="str">
        <f t="shared" ca="1" si="34"/>
        <v>40-year assumptions - F12</v>
      </c>
      <c r="C259" s="707" t="str" cm="1">
        <f t="array" aca="1" ref="C259" ca="1">INDIRECT(LEFT(I259, FIND("!", I259)) &amp; RefData!$C$426 &amp; RIGHT(I259, LEN(I259) - FIND("!", I259) - 1))</f>
        <v>Year 6</v>
      </c>
      <c r="D259" s="92" t="str">
        <f t="shared" ca="1" si="36"/>
        <v/>
      </c>
      <c r="E259" s="708" t="str" cm="1">
        <f t="array" aca="1" ref="E259" ca="1">IF(INDIRECT($I259)= "", "", INDIRECT($I259))</f>
        <v/>
      </c>
      <c r="F259" s="709" t="str" cm="1">
        <f t="array" aca="1" ref="F259" ca="1">INDIRECT(LEFT(I259, FIND("!", I259)) &amp; RefData!$C$427 &amp; RIGHT(I259, LEN(I259) - FIND("!", I259) - 1))</f>
        <v>FYA 6.0</v>
      </c>
      <c r="G259" s="710" t="b">
        <f ca="1">IF(ISNUMBER(SEARCH(RefData!$B$2, $C259)), FALSE, TRUE)</f>
        <v>1</v>
      </c>
      <c r="H259" s="344">
        <f>'40-year assumptions'!F12</f>
        <v>0</v>
      </c>
      <c r="I259" s="712" t="str">
        <f t="shared" ca="1" si="35"/>
        <v>'40-year assumptions'!F12</v>
      </c>
      <c r="J259" s="713" t="b" cm="1">
        <f t="array" aca="1" ref="J259" ca="1">IF(COUNTIF($K259:$T259, "&lt;&gt;FALSE") - COUNTBLANK($K259:$T259) &gt; 0, INDEX($K259:$T259, MATCH(TRUE, $K259:$T259 &lt;&gt; FALSE, 0)))</f>
        <v>0</v>
      </c>
      <c r="K259" s="712" t="b">
        <f ca="1">IF(AND('Start here'!$C$24=RefData!$B$5,OR('Other assumptions'!$C$7=RefData!$B$48,'Other assumptions'!$C$7=RefData!$B$46),'Reconciliation report'!$E259=""),ErrorMsgs!$B259)</f>
        <v>0</v>
      </c>
      <c r="L259" s="712" t="b">
        <f ca="1">IF(AND('Start here'!$C$24=RefData!$B$5,OR('Other assumptions'!$C$7=RefData!$B$47,'Other assumptions'!$C$7=RefData!$B$49),'Reconciliation report'!$E259&lt;&gt;""),ErrorMsgs!$C259)</f>
        <v>0</v>
      </c>
      <c r="M259" s="714" t="b">
        <f ca="1">IF(AND('Start here'!$C$24=RefData!$B$4,'Discount rates'!$C$7=RefData!$B$8,OR('Other assumptions'!$C$7=RefData!$B$48,'Other assumptions'!$C$7=RefData!$B$46),'Reconciliation report'!$E259=""),ErrorMsgs!$D259)</f>
        <v>0</v>
      </c>
      <c r="N259" s="714" t="b">
        <f ca="1">IF(AND('Start here'!$C$24=RefData!$B$4,'Discount rates'!$C$7=RefData!$B$8,OR('Other assumptions'!$C$7=RefData!$B$47,'Other assumptions'!$C$7=RefData!$B$49),'Reconciliation report'!$E259&lt;&gt;""),ErrorMsgs!$E259)</f>
        <v>0</v>
      </c>
      <c r="O259" s="712" t="b">
        <f ca="1">IF(AND('Start here'!$C$24=RefData!$B$4,'Discount rates'!$C$7=RefData!$B$7,'Reconciliation report'!$E259&lt;&gt;""),ErrorMsgs!$F259)</f>
        <v>0</v>
      </c>
      <c r="P259" s="712" t="b">
        <f ca="1">IF($E259&lt;-0.25,ErrorMsgs!$G259)</f>
        <v>0</v>
      </c>
      <c r="Q259" s="712" t="b">
        <f ca="1">IF($E259="",FALSE,IF($E259&gt;0.25,ErrorMsgs!$H259))</f>
        <v>0</v>
      </c>
      <c r="R259" s="712"/>
      <c r="S259" s="712"/>
      <c r="T259" s="712"/>
      <c r="U259" s="526" t="str">
        <f t="shared" ref="U259:U322" ca="1" si="38">IF(AND($W259=TRUE,$Y259=FALSE),TEXT($E259,$X259),$E259)</f>
        <v/>
      </c>
      <c r="V259" s="93" t="str" cm="1">
        <f t="array" aca="1" ref="V259" ca="1">CELL("format",INDIRECT(I259))</f>
        <v>P4</v>
      </c>
      <c r="W259" s="93" t="b">
        <f t="shared" ref="W259:W322" ca="1" si="39">IF(ISNUMBER(E259), IF(INT(E259)&lt;&gt;E259,TRUE,FALSE),FALSE)</f>
        <v>0</v>
      </c>
      <c r="X259" s="715" t="str">
        <f t="shared" ca="1" si="37"/>
        <v/>
      </c>
      <c r="Y259" t="b">
        <f t="shared" ref="Y259:Y322" ca="1" si="40">ISTEXT(E259)</f>
        <v>1</v>
      </c>
    </row>
    <row r="260" spans="1:25" ht="63" customHeight="1">
      <c r="A260" s="705" t="s">
        <v>3266</v>
      </c>
      <c r="B260" s="716" t="str">
        <f t="shared" ca="1" si="34"/>
        <v>40-year assumptions - F13</v>
      </c>
      <c r="C260" s="707" t="str" cm="1">
        <f t="array" aca="1" ref="C260" ca="1">INDIRECT(LEFT(I260, FIND("!", I260)) &amp; RefData!$C$426 &amp; RIGHT(I260, LEN(I260) - FIND("!", I260) - 1))</f>
        <v>Year 7</v>
      </c>
      <c r="D260" s="92" t="str">
        <f t="shared" ca="1" si="36"/>
        <v/>
      </c>
      <c r="E260" s="708" t="str" cm="1">
        <f t="array" aca="1" ref="E260" ca="1">IF(INDIRECT($I260)= "", "", INDIRECT($I260))</f>
        <v/>
      </c>
      <c r="F260" s="709" t="str" cm="1">
        <f t="array" aca="1" ref="F260" ca="1">INDIRECT(LEFT(I260, FIND("!", I260)) &amp; RefData!$C$427 &amp; RIGHT(I260, LEN(I260) - FIND("!", I260) - 1))</f>
        <v>FYA 7.0</v>
      </c>
      <c r="G260" s="710" t="b">
        <f ca="1">IF(ISNUMBER(SEARCH(RefData!$B$2, $C260)), FALSE, TRUE)</f>
        <v>1</v>
      </c>
      <c r="H260" s="344">
        <f>'40-year assumptions'!F13</f>
        <v>0</v>
      </c>
      <c r="I260" s="712" t="str">
        <f t="shared" ca="1" si="35"/>
        <v>'40-year assumptions'!F13</v>
      </c>
      <c r="J260" s="713" t="b" cm="1">
        <f t="array" aca="1" ref="J260" ca="1">IF(COUNTIF($K260:$T260, "&lt;&gt;FALSE") - COUNTBLANK($K260:$T260) &gt; 0, INDEX($K260:$T260, MATCH(TRUE, $K260:$T260 &lt;&gt; FALSE, 0)))</f>
        <v>0</v>
      </c>
      <c r="K260" s="712" t="b">
        <f ca="1">IF(AND('Start here'!$C$24=RefData!$B$5,OR('Other assumptions'!$C$7=RefData!$B$48,'Other assumptions'!$C$7=RefData!$B$46),'Reconciliation report'!$E260=""),ErrorMsgs!$B260)</f>
        <v>0</v>
      </c>
      <c r="L260" s="712" t="b">
        <f ca="1">IF(AND('Start here'!$C$24=RefData!$B$5,OR('Other assumptions'!$C$7=RefData!$B$47,'Other assumptions'!$C$7=RefData!$B$49),'Reconciliation report'!$E260&lt;&gt;""),ErrorMsgs!$C260)</f>
        <v>0</v>
      </c>
      <c r="M260" s="714" t="b">
        <f ca="1">IF(AND('Start here'!$C$24=RefData!$B$4,'Discount rates'!$C$7=RefData!$B$8,OR('Other assumptions'!$C$7=RefData!$B$48,'Other assumptions'!$C$7=RefData!$B$46),'Reconciliation report'!$E260=""),ErrorMsgs!$D260)</f>
        <v>0</v>
      </c>
      <c r="N260" s="714" t="b">
        <f ca="1">IF(AND('Start here'!$C$24=RefData!$B$4,'Discount rates'!$C$7=RefData!$B$8,OR('Other assumptions'!$C$7=RefData!$B$47,'Other assumptions'!$C$7=RefData!$B$49),'Reconciliation report'!$E260&lt;&gt;""),ErrorMsgs!$E260)</f>
        <v>0</v>
      </c>
      <c r="O260" s="712" t="b">
        <f ca="1">IF(AND('Start here'!$C$24=RefData!$B$4,'Discount rates'!$C$7=RefData!$B$7,'Reconciliation report'!$E260&lt;&gt;""),ErrorMsgs!$F260)</f>
        <v>0</v>
      </c>
      <c r="P260" s="712" t="b">
        <f ca="1">IF($E260&lt;-0.25,ErrorMsgs!$G260)</f>
        <v>0</v>
      </c>
      <c r="Q260" s="712" t="b">
        <f ca="1">IF($E260="",FALSE,IF($E260&gt;0.25,ErrorMsgs!$H260))</f>
        <v>0</v>
      </c>
      <c r="R260" s="712"/>
      <c r="S260" s="712"/>
      <c r="T260" s="712"/>
      <c r="U260" s="526" t="str">
        <f t="shared" ca="1" si="38"/>
        <v/>
      </c>
      <c r="V260" s="93" t="str" cm="1">
        <f t="array" aca="1" ref="V260" ca="1">CELL("format",INDIRECT(I260))</f>
        <v>P4</v>
      </c>
      <c r="W260" s="93" t="b">
        <f t="shared" ca="1" si="39"/>
        <v>0</v>
      </c>
      <c r="X260" s="715" t="str">
        <f t="shared" ca="1" si="37"/>
        <v/>
      </c>
      <c r="Y260" t="b">
        <f t="shared" ca="1" si="40"/>
        <v>1</v>
      </c>
    </row>
    <row r="261" spans="1:25" ht="63" customHeight="1">
      <c r="A261" s="705" t="s">
        <v>3267</v>
      </c>
      <c r="B261" s="716" t="str">
        <f t="shared" ca="1" si="34"/>
        <v>40-year assumptions - F14</v>
      </c>
      <c r="C261" s="707" t="str" cm="1">
        <f t="array" aca="1" ref="C261" ca="1">INDIRECT(LEFT(I261, FIND("!", I261)) &amp; RefData!$C$426 &amp; RIGHT(I261, LEN(I261) - FIND("!", I261) - 1))</f>
        <v>Year 8</v>
      </c>
      <c r="D261" s="92" t="str">
        <f t="shared" ca="1" si="36"/>
        <v/>
      </c>
      <c r="E261" s="708" t="str" cm="1">
        <f t="array" aca="1" ref="E261" ca="1">IF(INDIRECT($I261)= "", "", INDIRECT($I261))</f>
        <v/>
      </c>
      <c r="F261" s="709" t="str" cm="1">
        <f t="array" aca="1" ref="F261" ca="1">INDIRECT(LEFT(I261, FIND("!", I261)) &amp; RefData!$C$427 &amp; RIGHT(I261, LEN(I261) - FIND("!", I261) - 1))</f>
        <v>FYA 8.0</v>
      </c>
      <c r="G261" s="710" t="b">
        <f ca="1">IF(ISNUMBER(SEARCH(RefData!$B$2, $C261)), FALSE, TRUE)</f>
        <v>1</v>
      </c>
      <c r="H261" s="344">
        <f>'40-year assumptions'!F14</f>
        <v>0</v>
      </c>
      <c r="I261" s="712" t="str">
        <f t="shared" ca="1" si="35"/>
        <v>'40-year assumptions'!F14</v>
      </c>
      <c r="J261" s="713" t="b" cm="1">
        <f t="array" aca="1" ref="J261" ca="1">IF(COUNTIF($K261:$T261, "&lt;&gt;FALSE") - COUNTBLANK($K261:$T261) &gt; 0, INDEX($K261:$T261, MATCH(TRUE, $K261:$T261 &lt;&gt; FALSE, 0)))</f>
        <v>0</v>
      </c>
      <c r="K261" s="712" t="b">
        <f ca="1">IF(AND('Start here'!$C$24=RefData!$B$5,OR('Other assumptions'!$C$7=RefData!$B$48,'Other assumptions'!$C$7=RefData!$B$46),'Reconciliation report'!$E261=""),ErrorMsgs!$B261)</f>
        <v>0</v>
      </c>
      <c r="L261" s="712" t="b">
        <f ca="1">IF(AND('Start here'!$C$24=RefData!$B$5,OR('Other assumptions'!$C$7=RefData!$B$47,'Other assumptions'!$C$7=RefData!$B$49),'Reconciliation report'!$E261&lt;&gt;""),ErrorMsgs!$C261)</f>
        <v>0</v>
      </c>
      <c r="M261" s="714" t="b">
        <f ca="1">IF(AND('Start here'!$C$24=RefData!$B$4,'Discount rates'!$C$7=RefData!$B$8,OR('Other assumptions'!$C$7=RefData!$B$48,'Other assumptions'!$C$7=RefData!$B$46),'Reconciliation report'!$E261=""),ErrorMsgs!$D261)</f>
        <v>0</v>
      </c>
      <c r="N261" s="714" t="b">
        <f ca="1">IF(AND('Start here'!$C$24=RefData!$B$4,'Discount rates'!$C$7=RefData!$B$8,OR('Other assumptions'!$C$7=RefData!$B$47,'Other assumptions'!$C$7=RefData!$B$49),'Reconciliation report'!$E261&lt;&gt;""),ErrorMsgs!$E261)</f>
        <v>0</v>
      </c>
      <c r="O261" s="712" t="b">
        <f ca="1">IF(AND('Start here'!$C$24=RefData!$B$4,'Discount rates'!$C$7=RefData!$B$7,'Reconciliation report'!$E261&lt;&gt;""),ErrorMsgs!$F261)</f>
        <v>0</v>
      </c>
      <c r="P261" s="712" t="b">
        <f ca="1">IF($E261&lt;-0.25,ErrorMsgs!$G261)</f>
        <v>0</v>
      </c>
      <c r="Q261" s="712" t="b">
        <f ca="1">IF($E261="",FALSE,IF($E261&gt;0.25,ErrorMsgs!$H261))</f>
        <v>0</v>
      </c>
      <c r="R261" s="712"/>
      <c r="S261" s="712"/>
      <c r="T261" s="712"/>
      <c r="U261" s="526" t="str">
        <f t="shared" ca="1" si="38"/>
        <v/>
      </c>
      <c r="V261" s="93" t="str" cm="1">
        <f t="array" aca="1" ref="V261" ca="1">CELL("format",INDIRECT(I261))</f>
        <v>P4</v>
      </c>
      <c r="W261" s="93" t="b">
        <f t="shared" ca="1" si="39"/>
        <v>0</v>
      </c>
      <c r="X261" s="715" t="str">
        <f t="shared" ca="1" si="37"/>
        <v/>
      </c>
      <c r="Y261" t="b">
        <f t="shared" ca="1" si="40"/>
        <v>1</v>
      </c>
    </row>
    <row r="262" spans="1:25" ht="63" customHeight="1">
      <c r="A262" s="705" t="s">
        <v>3268</v>
      </c>
      <c r="B262" s="716" t="str">
        <f t="shared" ca="1" si="34"/>
        <v>40-year assumptions - F15</v>
      </c>
      <c r="C262" s="707" t="str" cm="1">
        <f t="array" aca="1" ref="C262" ca="1">INDIRECT(LEFT(I262, FIND("!", I262)) &amp; RefData!$C$426 &amp; RIGHT(I262, LEN(I262) - FIND("!", I262) - 1))</f>
        <v>Year 9</v>
      </c>
      <c r="D262" s="92" t="str">
        <f t="shared" ca="1" si="36"/>
        <v/>
      </c>
      <c r="E262" s="708" t="str" cm="1">
        <f t="array" aca="1" ref="E262" ca="1">IF(INDIRECT($I262)= "", "", INDIRECT($I262))</f>
        <v/>
      </c>
      <c r="F262" s="709" t="str" cm="1">
        <f t="array" aca="1" ref="F262" ca="1">INDIRECT(LEFT(I262, FIND("!", I262)) &amp; RefData!$C$427 &amp; RIGHT(I262, LEN(I262) - FIND("!", I262) - 1))</f>
        <v>FYA 9.0</v>
      </c>
      <c r="G262" s="710" t="b">
        <f ca="1">IF(ISNUMBER(SEARCH(RefData!$B$2, $C262)), FALSE, TRUE)</f>
        <v>1</v>
      </c>
      <c r="H262" s="344">
        <f>'40-year assumptions'!F15</f>
        <v>0</v>
      </c>
      <c r="I262" s="712" t="str">
        <f t="shared" ca="1" si="35"/>
        <v>'40-year assumptions'!F15</v>
      </c>
      <c r="J262" s="713" t="b" cm="1">
        <f t="array" aca="1" ref="J262" ca="1">IF(COUNTIF($K262:$T262, "&lt;&gt;FALSE") - COUNTBLANK($K262:$T262) &gt; 0, INDEX($K262:$T262, MATCH(TRUE, $K262:$T262 &lt;&gt; FALSE, 0)))</f>
        <v>0</v>
      </c>
      <c r="K262" s="712" t="b">
        <f ca="1">IF(AND('Start here'!$C$24=RefData!$B$5,OR('Other assumptions'!$C$7=RefData!$B$48,'Other assumptions'!$C$7=RefData!$B$46),'Reconciliation report'!$E262=""),ErrorMsgs!$B262)</f>
        <v>0</v>
      </c>
      <c r="L262" s="712" t="b">
        <f ca="1">IF(AND('Start here'!$C$24=RefData!$B$5,OR('Other assumptions'!$C$7=RefData!$B$47,'Other assumptions'!$C$7=RefData!$B$49),'Reconciliation report'!$E262&lt;&gt;""),ErrorMsgs!$C262)</f>
        <v>0</v>
      </c>
      <c r="M262" s="714" t="b">
        <f ca="1">IF(AND('Start here'!$C$24=RefData!$B$4,'Discount rates'!$C$7=RefData!$B$8,OR('Other assumptions'!$C$7=RefData!$B$48,'Other assumptions'!$C$7=RefData!$B$46),'Reconciliation report'!$E262=""),ErrorMsgs!$D262)</f>
        <v>0</v>
      </c>
      <c r="N262" s="714" t="b">
        <f ca="1">IF(AND('Start here'!$C$24=RefData!$B$4,'Discount rates'!$C$7=RefData!$B$8,OR('Other assumptions'!$C$7=RefData!$B$47,'Other assumptions'!$C$7=RefData!$B$49),'Reconciliation report'!$E262&lt;&gt;""),ErrorMsgs!$E262)</f>
        <v>0</v>
      </c>
      <c r="O262" s="712" t="b">
        <f ca="1">IF(AND('Start here'!$C$24=RefData!$B$4,'Discount rates'!$C$7=RefData!$B$7,'Reconciliation report'!$E262&lt;&gt;""),ErrorMsgs!$F262)</f>
        <v>0</v>
      </c>
      <c r="P262" s="712" t="b">
        <f ca="1">IF($E262&lt;-0.25,ErrorMsgs!$G262)</f>
        <v>0</v>
      </c>
      <c r="Q262" s="712" t="b">
        <f ca="1">IF($E262="",FALSE,IF($E262&gt;0.25,ErrorMsgs!$H262))</f>
        <v>0</v>
      </c>
      <c r="R262" s="712"/>
      <c r="S262" s="712"/>
      <c r="T262" s="712"/>
      <c r="U262" s="526" t="str">
        <f t="shared" ca="1" si="38"/>
        <v/>
      </c>
      <c r="V262" s="93" t="str" cm="1">
        <f t="array" aca="1" ref="V262" ca="1">CELL("format",INDIRECT(I262))</f>
        <v>P4</v>
      </c>
      <c r="W262" s="93" t="b">
        <f t="shared" ca="1" si="39"/>
        <v>0</v>
      </c>
      <c r="X262" s="715" t="str">
        <f t="shared" ca="1" si="37"/>
        <v/>
      </c>
      <c r="Y262" t="b">
        <f t="shared" ca="1" si="40"/>
        <v>1</v>
      </c>
    </row>
    <row r="263" spans="1:25" ht="63" customHeight="1">
      <c r="A263" s="705" t="s">
        <v>3269</v>
      </c>
      <c r="B263" s="716" t="str">
        <f t="shared" ca="1" si="34"/>
        <v>40-year assumptions - F16</v>
      </c>
      <c r="C263" s="707" t="str" cm="1">
        <f t="array" aca="1" ref="C263" ca="1">INDIRECT(LEFT(I263, FIND("!", I263)) &amp; RefData!$C$426 &amp; RIGHT(I263, LEN(I263) - FIND("!", I263) - 1))</f>
        <v>Year 10</v>
      </c>
      <c r="D263" s="92" t="str">
        <f t="shared" ca="1" si="36"/>
        <v/>
      </c>
      <c r="E263" s="708" t="str" cm="1">
        <f t="array" aca="1" ref="E263" ca="1">IF(INDIRECT($I263)= "", "", INDIRECT($I263))</f>
        <v/>
      </c>
      <c r="F263" s="709" t="str" cm="1">
        <f t="array" aca="1" ref="F263" ca="1">INDIRECT(LEFT(I263, FIND("!", I263)) &amp; RefData!$C$427 &amp; RIGHT(I263, LEN(I263) - FIND("!", I263) - 1))</f>
        <v>FYA 10.0</v>
      </c>
      <c r="G263" s="710" t="b">
        <f ca="1">IF(ISNUMBER(SEARCH(RefData!$B$2, $C263)), FALSE, TRUE)</f>
        <v>1</v>
      </c>
      <c r="H263" s="344">
        <f>'40-year assumptions'!F16</f>
        <v>0</v>
      </c>
      <c r="I263" s="712" t="str">
        <f t="shared" ca="1" si="35"/>
        <v>'40-year assumptions'!F16</v>
      </c>
      <c r="J263" s="713" t="b" cm="1">
        <f t="array" aca="1" ref="J263" ca="1">IF(COUNTIF($K263:$T263, "&lt;&gt;FALSE") - COUNTBLANK($K263:$T263) &gt; 0, INDEX($K263:$T263, MATCH(TRUE, $K263:$T263 &lt;&gt; FALSE, 0)))</f>
        <v>0</v>
      </c>
      <c r="K263" s="712" t="b">
        <f ca="1">IF(AND('Start here'!$C$24=RefData!$B$5,OR('Other assumptions'!$C$7=RefData!$B$48,'Other assumptions'!$C$7=RefData!$B$46),'Reconciliation report'!$E263=""),ErrorMsgs!$B263)</f>
        <v>0</v>
      </c>
      <c r="L263" s="712" t="b">
        <f ca="1">IF(AND('Start here'!$C$24=RefData!$B$5,OR('Other assumptions'!$C$7=RefData!$B$47,'Other assumptions'!$C$7=RefData!$B$49),'Reconciliation report'!$E263&lt;&gt;""),ErrorMsgs!$C263)</f>
        <v>0</v>
      </c>
      <c r="M263" s="714" t="b">
        <f ca="1">IF(AND('Start here'!$C$24=RefData!$B$4,'Discount rates'!$C$7=RefData!$B$8,OR('Other assumptions'!$C$7=RefData!$B$48,'Other assumptions'!$C$7=RefData!$B$46),'Reconciliation report'!$E263=""),ErrorMsgs!$D263)</f>
        <v>0</v>
      </c>
      <c r="N263" s="714" t="b">
        <f ca="1">IF(AND('Start here'!$C$24=RefData!$B$4,'Discount rates'!$C$7=RefData!$B$8,OR('Other assumptions'!$C$7=RefData!$B$47,'Other assumptions'!$C$7=RefData!$B$49),'Reconciliation report'!$E263&lt;&gt;""),ErrorMsgs!$E263)</f>
        <v>0</v>
      </c>
      <c r="O263" s="712" t="b">
        <f ca="1">IF(AND('Start here'!$C$24=RefData!$B$4,'Discount rates'!$C$7=RefData!$B$7,'Reconciliation report'!$E263&lt;&gt;""),ErrorMsgs!$F263)</f>
        <v>0</v>
      </c>
      <c r="P263" s="712" t="b">
        <f ca="1">IF($E263&lt;-0.25,ErrorMsgs!$G263)</f>
        <v>0</v>
      </c>
      <c r="Q263" s="712" t="b">
        <f ca="1">IF($E263="",FALSE,IF($E263&gt;0.25,ErrorMsgs!$H263))</f>
        <v>0</v>
      </c>
      <c r="R263" s="712"/>
      <c r="S263" s="712"/>
      <c r="T263" s="712"/>
      <c r="U263" s="526" t="str">
        <f t="shared" ca="1" si="38"/>
        <v/>
      </c>
      <c r="V263" s="93" t="str" cm="1">
        <f t="array" aca="1" ref="V263" ca="1">CELL("format",INDIRECT(I263))</f>
        <v>P4</v>
      </c>
      <c r="W263" s="93" t="b">
        <f t="shared" ca="1" si="39"/>
        <v>0</v>
      </c>
      <c r="X263" s="715" t="str">
        <f t="shared" ca="1" si="37"/>
        <v/>
      </c>
      <c r="Y263" t="b">
        <f t="shared" ca="1" si="40"/>
        <v>1</v>
      </c>
    </row>
    <row r="264" spans="1:25" ht="63" customHeight="1">
      <c r="A264" s="705" t="s">
        <v>3270</v>
      </c>
      <c r="B264" s="716" t="str">
        <f t="shared" ca="1" si="34"/>
        <v>40-year assumptions - F17</v>
      </c>
      <c r="C264" s="707" t="str" cm="1">
        <f t="array" aca="1" ref="C264" ca="1">INDIRECT(LEFT(I264, FIND("!", I264)) &amp; RefData!$C$426 &amp; RIGHT(I264, LEN(I264) - FIND("!", I264) - 1))</f>
        <v>Year 11</v>
      </c>
      <c r="D264" s="92" t="str">
        <f t="shared" ca="1" si="36"/>
        <v/>
      </c>
      <c r="E264" s="708" t="str" cm="1">
        <f t="array" aca="1" ref="E264" ca="1">IF(INDIRECT($I264)= "", "", INDIRECT($I264))</f>
        <v/>
      </c>
      <c r="F264" s="709" t="str" cm="1">
        <f t="array" aca="1" ref="F264" ca="1">INDIRECT(LEFT(I264, FIND("!", I264)) &amp; RefData!$C$427 &amp; RIGHT(I264, LEN(I264) - FIND("!", I264) - 1))</f>
        <v>FYA 11.0</v>
      </c>
      <c r="G264" s="710" t="b">
        <f ca="1">IF(ISNUMBER(SEARCH(RefData!$B$2, $C264)), FALSE, TRUE)</f>
        <v>1</v>
      </c>
      <c r="H264" s="344">
        <f>'40-year assumptions'!F17</f>
        <v>0</v>
      </c>
      <c r="I264" s="712" t="str">
        <f t="shared" ca="1" si="35"/>
        <v>'40-year assumptions'!F17</v>
      </c>
      <c r="J264" s="713" t="b" cm="1">
        <f t="array" aca="1" ref="J264" ca="1">IF(COUNTIF($K264:$T264, "&lt;&gt;FALSE") - COUNTBLANK($K264:$T264) &gt; 0, INDEX($K264:$T264, MATCH(TRUE, $K264:$T264 &lt;&gt; FALSE, 0)))</f>
        <v>0</v>
      </c>
      <c r="K264" s="712" t="b">
        <f ca="1">IF(AND('Start here'!$C$24=RefData!$B$5,OR('Other assumptions'!$C$7=RefData!$B$48,'Other assumptions'!$C$7=RefData!$B$46),'Reconciliation report'!$E264=""),ErrorMsgs!$B264)</f>
        <v>0</v>
      </c>
      <c r="L264" s="712" t="b">
        <f ca="1">IF(AND('Start here'!$C$24=RefData!$B$5,OR('Other assumptions'!$C$7=RefData!$B$47,'Other assumptions'!$C$7=RefData!$B$49),'Reconciliation report'!$E264&lt;&gt;""),ErrorMsgs!$C264)</f>
        <v>0</v>
      </c>
      <c r="M264" s="714" t="b">
        <f ca="1">IF(AND('Start here'!$C$24=RefData!$B$4,'Discount rates'!$C$7=RefData!$B$8,OR('Other assumptions'!$C$7=RefData!$B$48,'Other assumptions'!$C$7=RefData!$B$46),'Reconciliation report'!$E264=""),ErrorMsgs!$D264)</f>
        <v>0</v>
      </c>
      <c r="N264" s="714" t="b">
        <f ca="1">IF(AND('Start here'!$C$24=RefData!$B$4,'Discount rates'!$C$7=RefData!$B$8,OR('Other assumptions'!$C$7=RefData!$B$47,'Other assumptions'!$C$7=RefData!$B$49),'Reconciliation report'!$E264&lt;&gt;""),ErrorMsgs!$E264)</f>
        <v>0</v>
      </c>
      <c r="O264" s="712" t="b">
        <f ca="1">IF(AND('Start here'!$C$24=RefData!$B$4,'Discount rates'!$C$7=RefData!$B$7,'Reconciliation report'!$E264&lt;&gt;""),ErrorMsgs!$F264)</f>
        <v>0</v>
      </c>
      <c r="P264" s="712" t="b">
        <f ca="1">IF($E264&lt;-0.25,ErrorMsgs!$G264)</f>
        <v>0</v>
      </c>
      <c r="Q264" s="712" t="b">
        <f ca="1">IF($E264="",FALSE,IF($E264&gt;0.25,ErrorMsgs!$H264))</f>
        <v>0</v>
      </c>
      <c r="R264" s="712"/>
      <c r="S264" s="712"/>
      <c r="T264" s="712"/>
      <c r="U264" s="526" t="str">
        <f t="shared" ca="1" si="38"/>
        <v/>
      </c>
      <c r="V264" s="93" t="str" cm="1">
        <f t="array" aca="1" ref="V264" ca="1">CELL("format",INDIRECT(I264))</f>
        <v>P4</v>
      </c>
      <c r="W264" s="93" t="b">
        <f t="shared" ca="1" si="39"/>
        <v>0</v>
      </c>
      <c r="X264" s="715" t="str">
        <f t="shared" ca="1" si="37"/>
        <v/>
      </c>
      <c r="Y264" t="b">
        <f t="shared" ca="1" si="40"/>
        <v>1</v>
      </c>
    </row>
    <row r="265" spans="1:25" ht="63" customHeight="1">
      <c r="A265" s="705" t="s">
        <v>3271</v>
      </c>
      <c r="B265" s="716" t="str">
        <f t="shared" ca="1" si="34"/>
        <v>40-year assumptions - F18</v>
      </c>
      <c r="C265" s="707" t="str" cm="1">
        <f t="array" aca="1" ref="C265" ca="1">INDIRECT(LEFT(I265, FIND("!", I265)) &amp; RefData!$C$426 &amp; RIGHT(I265, LEN(I265) - FIND("!", I265) - 1))</f>
        <v>Year 12</v>
      </c>
      <c r="D265" s="92" t="str">
        <f t="shared" ca="1" si="36"/>
        <v/>
      </c>
      <c r="E265" s="708" t="str" cm="1">
        <f t="array" aca="1" ref="E265" ca="1">IF(INDIRECT($I265)= "", "", INDIRECT($I265))</f>
        <v/>
      </c>
      <c r="F265" s="709" t="str" cm="1">
        <f t="array" aca="1" ref="F265" ca="1">INDIRECT(LEFT(I265, FIND("!", I265)) &amp; RefData!$C$427 &amp; RIGHT(I265, LEN(I265) - FIND("!", I265) - 1))</f>
        <v>FYA 12.0</v>
      </c>
      <c r="G265" s="710" t="b">
        <f ca="1">IF(ISNUMBER(SEARCH(RefData!$B$2, $C265)), FALSE, TRUE)</f>
        <v>1</v>
      </c>
      <c r="H265" s="344">
        <f>'40-year assumptions'!F18</f>
        <v>0</v>
      </c>
      <c r="I265" s="712" t="str">
        <f t="shared" ca="1" si="35"/>
        <v>'40-year assumptions'!F18</v>
      </c>
      <c r="J265" s="713" t="b" cm="1">
        <f t="array" aca="1" ref="J265" ca="1">IF(COUNTIF($K265:$T265, "&lt;&gt;FALSE") - COUNTBLANK($K265:$T265) &gt; 0, INDEX($K265:$T265, MATCH(TRUE, $K265:$T265 &lt;&gt; FALSE, 0)))</f>
        <v>0</v>
      </c>
      <c r="K265" s="712" t="b">
        <f ca="1">IF(AND('Start here'!$C$24=RefData!$B$5,OR('Other assumptions'!$C$7=RefData!$B$48,'Other assumptions'!$C$7=RefData!$B$46),'Reconciliation report'!$E265=""),ErrorMsgs!$B265)</f>
        <v>0</v>
      </c>
      <c r="L265" s="712" t="b">
        <f ca="1">IF(AND('Start here'!$C$24=RefData!$B$5,OR('Other assumptions'!$C$7=RefData!$B$47,'Other assumptions'!$C$7=RefData!$B$49),'Reconciliation report'!$E265&lt;&gt;""),ErrorMsgs!$C265)</f>
        <v>0</v>
      </c>
      <c r="M265" s="714" t="b">
        <f ca="1">IF(AND('Start here'!$C$24=RefData!$B$4,'Discount rates'!$C$7=RefData!$B$8,OR('Other assumptions'!$C$7=RefData!$B$48,'Other assumptions'!$C$7=RefData!$B$46),'Reconciliation report'!$E265=""),ErrorMsgs!$D265)</f>
        <v>0</v>
      </c>
      <c r="N265" s="714" t="b">
        <f ca="1">IF(AND('Start here'!$C$24=RefData!$B$4,'Discount rates'!$C$7=RefData!$B$8,OR('Other assumptions'!$C$7=RefData!$B$47,'Other assumptions'!$C$7=RefData!$B$49),'Reconciliation report'!$E265&lt;&gt;""),ErrorMsgs!$E265)</f>
        <v>0</v>
      </c>
      <c r="O265" s="712" t="b">
        <f ca="1">IF(AND('Start here'!$C$24=RefData!$B$4,'Discount rates'!$C$7=RefData!$B$7,'Reconciliation report'!$E265&lt;&gt;""),ErrorMsgs!$F265)</f>
        <v>0</v>
      </c>
      <c r="P265" s="712" t="b">
        <f ca="1">IF($E265&lt;-0.25,ErrorMsgs!$G265)</f>
        <v>0</v>
      </c>
      <c r="Q265" s="712" t="b">
        <f ca="1">IF($E265="",FALSE,IF($E265&gt;0.25,ErrorMsgs!$H265))</f>
        <v>0</v>
      </c>
      <c r="R265" s="712"/>
      <c r="S265" s="712"/>
      <c r="T265" s="712"/>
      <c r="U265" s="526" t="str">
        <f t="shared" ca="1" si="38"/>
        <v/>
      </c>
      <c r="V265" s="93" t="str" cm="1">
        <f t="array" aca="1" ref="V265" ca="1">CELL("format",INDIRECT(I265))</f>
        <v>P4</v>
      </c>
      <c r="W265" s="93" t="b">
        <f t="shared" ca="1" si="39"/>
        <v>0</v>
      </c>
      <c r="X265" s="715" t="str">
        <f t="shared" ca="1" si="37"/>
        <v/>
      </c>
      <c r="Y265" t="b">
        <f t="shared" ca="1" si="40"/>
        <v>1</v>
      </c>
    </row>
    <row r="266" spans="1:25" ht="63" customHeight="1">
      <c r="A266" s="705" t="s">
        <v>3272</v>
      </c>
      <c r="B266" s="716" t="str">
        <f t="shared" ca="1" si="34"/>
        <v>40-year assumptions - F19</v>
      </c>
      <c r="C266" s="707" t="str" cm="1">
        <f t="array" aca="1" ref="C266" ca="1">INDIRECT(LEFT(I266, FIND("!", I266)) &amp; RefData!$C$426 &amp; RIGHT(I266, LEN(I266) - FIND("!", I266) - 1))</f>
        <v>Year 13</v>
      </c>
      <c r="D266" s="92" t="str">
        <f t="shared" ca="1" si="36"/>
        <v/>
      </c>
      <c r="E266" s="708" t="str" cm="1">
        <f t="array" aca="1" ref="E266" ca="1">IF(INDIRECT($I266)= "", "", INDIRECT($I266))</f>
        <v/>
      </c>
      <c r="F266" s="709" t="str" cm="1">
        <f t="array" aca="1" ref="F266" ca="1">INDIRECT(LEFT(I266, FIND("!", I266)) &amp; RefData!$C$427 &amp; RIGHT(I266, LEN(I266) - FIND("!", I266) - 1))</f>
        <v>FYA 13.0</v>
      </c>
      <c r="G266" s="710" t="b">
        <f ca="1">IF(ISNUMBER(SEARCH(RefData!$B$2, $C266)), FALSE, TRUE)</f>
        <v>1</v>
      </c>
      <c r="H266" s="344">
        <f>'40-year assumptions'!F19</f>
        <v>0</v>
      </c>
      <c r="I266" s="712" t="str">
        <f t="shared" ca="1" si="35"/>
        <v>'40-year assumptions'!F19</v>
      </c>
      <c r="J266" s="713" t="b" cm="1">
        <f t="array" aca="1" ref="J266" ca="1">IF(COUNTIF($K266:$T266, "&lt;&gt;FALSE") - COUNTBLANK($K266:$T266) &gt; 0, INDEX($K266:$T266, MATCH(TRUE, $K266:$T266 &lt;&gt; FALSE, 0)))</f>
        <v>0</v>
      </c>
      <c r="K266" s="712" t="b">
        <f ca="1">IF(AND('Start here'!$C$24=RefData!$B$5,OR('Other assumptions'!$C$7=RefData!$B$48,'Other assumptions'!$C$7=RefData!$B$46),'Reconciliation report'!$E266=""),ErrorMsgs!$B266)</f>
        <v>0</v>
      </c>
      <c r="L266" s="712" t="b">
        <f ca="1">IF(AND('Start here'!$C$24=RefData!$B$5,OR('Other assumptions'!$C$7=RefData!$B$47,'Other assumptions'!$C$7=RefData!$B$49),'Reconciliation report'!$E266&lt;&gt;""),ErrorMsgs!$C266)</f>
        <v>0</v>
      </c>
      <c r="M266" s="714" t="b">
        <f ca="1">IF(AND('Start here'!$C$24=RefData!$B$4,'Discount rates'!$C$7=RefData!$B$8,OR('Other assumptions'!$C$7=RefData!$B$48,'Other assumptions'!$C$7=RefData!$B$46),'Reconciliation report'!$E266=""),ErrorMsgs!$D266)</f>
        <v>0</v>
      </c>
      <c r="N266" s="714" t="b">
        <f ca="1">IF(AND('Start here'!$C$24=RefData!$B$4,'Discount rates'!$C$7=RefData!$B$8,OR('Other assumptions'!$C$7=RefData!$B$47,'Other assumptions'!$C$7=RefData!$B$49),'Reconciliation report'!$E266&lt;&gt;""),ErrorMsgs!$E266)</f>
        <v>0</v>
      </c>
      <c r="O266" s="712" t="b">
        <f ca="1">IF(AND('Start here'!$C$24=RefData!$B$4,'Discount rates'!$C$7=RefData!$B$7,'Reconciliation report'!$E266&lt;&gt;""),ErrorMsgs!$F266)</f>
        <v>0</v>
      </c>
      <c r="P266" s="712" t="b">
        <f ca="1">IF($E266&lt;-0.25,ErrorMsgs!$G266)</f>
        <v>0</v>
      </c>
      <c r="Q266" s="712" t="b">
        <f ca="1">IF($E266="",FALSE,IF($E266&gt;0.25,ErrorMsgs!$H266))</f>
        <v>0</v>
      </c>
      <c r="R266" s="712"/>
      <c r="S266" s="712"/>
      <c r="T266" s="712"/>
      <c r="U266" s="526" t="str">
        <f t="shared" ca="1" si="38"/>
        <v/>
      </c>
      <c r="V266" s="93" t="str" cm="1">
        <f t="array" aca="1" ref="V266" ca="1">CELL("format",INDIRECT(I266))</f>
        <v>P4</v>
      </c>
      <c r="W266" s="93" t="b">
        <f t="shared" ca="1" si="39"/>
        <v>0</v>
      </c>
      <c r="X266" s="715" t="str">
        <f t="shared" ca="1" si="37"/>
        <v/>
      </c>
      <c r="Y266" t="b">
        <f t="shared" ca="1" si="40"/>
        <v>1</v>
      </c>
    </row>
    <row r="267" spans="1:25" ht="63" customHeight="1">
      <c r="A267" s="705" t="s">
        <v>3273</v>
      </c>
      <c r="B267" s="716" t="str">
        <f t="shared" ca="1" si="34"/>
        <v>40-year assumptions - F20</v>
      </c>
      <c r="C267" s="707" t="str" cm="1">
        <f t="array" aca="1" ref="C267" ca="1">INDIRECT(LEFT(I267, FIND("!", I267)) &amp; RefData!$C$426 &amp; RIGHT(I267, LEN(I267) - FIND("!", I267) - 1))</f>
        <v>Year 14</v>
      </c>
      <c r="D267" s="92" t="str">
        <f t="shared" ca="1" si="36"/>
        <v/>
      </c>
      <c r="E267" s="708" t="str" cm="1">
        <f t="array" aca="1" ref="E267" ca="1">IF(INDIRECT($I267)= "", "", INDIRECT($I267))</f>
        <v/>
      </c>
      <c r="F267" s="709" t="str" cm="1">
        <f t="array" aca="1" ref="F267" ca="1">INDIRECT(LEFT(I267, FIND("!", I267)) &amp; RefData!$C$427 &amp; RIGHT(I267, LEN(I267) - FIND("!", I267) - 1))</f>
        <v>FYA 14.0</v>
      </c>
      <c r="G267" s="710" t="b">
        <f ca="1">IF(ISNUMBER(SEARCH(RefData!$B$2, $C267)), FALSE, TRUE)</f>
        <v>1</v>
      </c>
      <c r="H267" s="344">
        <f>'40-year assumptions'!F20</f>
        <v>0</v>
      </c>
      <c r="I267" s="712" t="str">
        <f t="shared" ca="1" si="35"/>
        <v>'40-year assumptions'!F20</v>
      </c>
      <c r="J267" s="713" t="b" cm="1">
        <f t="array" aca="1" ref="J267" ca="1">IF(COUNTIF($K267:$T267, "&lt;&gt;FALSE") - COUNTBLANK($K267:$T267) &gt; 0, INDEX($K267:$T267, MATCH(TRUE, $K267:$T267 &lt;&gt; FALSE, 0)))</f>
        <v>0</v>
      </c>
      <c r="K267" s="712" t="b">
        <f ca="1">IF(AND('Start here'!$C$24=RefData!$B$5,OR('Other assumptions'!$C$7=RefData!$B$48,'Other assumptions'!$C$7=RefData!$B$46),'Reconciliation report'!$E267=""),ErrorMsgs!$B267)</f>
        <v>0</v>
      </c>
      <c r="L267" s="712" t="b">
        <f ca="1">IF(AND('Start here'!$C$24=RefData!$B$5,OR('Other assumptions'!$C$7=RefData!$B$47,'Other assumptions'!$C$7=RefData!$B$49),'Reconciliation report'!$E267&lt;&gt;""),ErrorMsgs!$C267)</f>
        <v>0</v>
      </c>
      <c r="M267" s="714" t="b">
        <f ca="1">IF(AND('Start here'!$C$24=RefData!$B$4,'Discount rates'!$C$7=RefData!$B$8,OR('Other assumptions'!$C$7=RefData!$B$48,'Other assumptions'!$C$7=RefData!$B$46),'Reconciliation report'!$E267=""),ErrorMsgs!$D267)</f>
        <v>0</v>
      </c>
      <c r="N267" s="714" t="b">
        <f ca="1">IF(AND('Start here'!$C$24=RefData!$B$4,'Discount rates'!$C$7=RefData!$B$8,OR('Other assumptions'!$C$7=RefData!$B$47,'Other assumptions'!$C$7=RefData!$B$49),'Reconciliation report'!$E267&lt;&gt;""),ErrorMsgs!$E267)</f>
        <v>0</v>
      </c>
      <c r="O267" s="712" t="b">
        <f ca="1">IF(AND('Start here'!$C$24=RefData!$B$4,'Discount rates'!$C$7=RefData!$B$7,'Reconciliation report'!$E267&lt;&gt;""),ErrorMsgs!$F267)</f>
        <v>0</v>
      </c>
      <c r="P267" s="712" t="b">
        <f ca="1">IF($E267&lt;-0.25,ErrorMsgs!$G267)</f>
        <v>0</v>
      </c>
      <c r="Q267" s="712" t="b">
        <f ca="1">IF($E267="",FALSE,IF($E267&gt;0.25,ErrorMsgs!$H267))</f>
        <v>0</v>
      </c>
      <c r="R267" s="712"/>
      <c r="S267" s="712"/>
      <c r="T267" s="712"/>
      <c r="U267" s="526" t="str">
        <f t="shared" ca="1" si="38"/>
        <v/>
      </c>
      <c r="V267" s="93" t="str" cm="1">
        <f t="array" aca="1" ref="V267" ca="1">CELL("format",INDIRECT(I267))</f>
        <v>P4</v>
      </c>
      <c r="W267" s="93" t="b">
        <f t="shared" ca="1" si="39"/>
        <v>0</v>
      </c>
      <c r="X267" s="715" t="str">
        <f t="shared" ca="1" si="37"/>
        <v/>
      </c>
      <c r="Y267" t="b">
        <f t="shared" ca="1" si="40"/>
        <v>1</v>
      </c>
    </row>
    <row r="268" spans="1:25" ht="63" customHeight="1">
      <c r="A268" s="705" t="s">
        <v>3274</v>
      </c>
      <c r="B268" s="716" t="str">
        <f t="shared" ref="B268:B331" ca="1" si="41">HYPERLINK("#" &amp; $I268, SUBSTITUTE(SUBSTITUTE($I268, "!", " - "), "'",""))</f>
        <v>40-year assumptions - F21</v>
      </c>
      <c r="C268" s="707" t="str" cm="1">
        <f t="array" aca="1" ref="C268" ca="1">INDIRECT(LEFT(I268, FIND("!", I268)) &amp; RefData!$C$426 &amp; RIGHT(I268, LEN(I268) - FIND("!", I268) - 1))</f>
        <v>Year 15</v>
      </c>
      <c r="D268" s="92" t="str">
        <f t="shared" ca="1" si="36"/>
        <v/>
      </c>
      <c r="E268" s="708" t="str" cm="1">
        <f t="array" aca="1" ref="E268" ca="1">IF(INDIRECT($I268)= "", "", INDIRECT($I268))</f>
        <v/>
      </c>
      <c r="F268" s="709" t="str" cm="1">
        <f t="array" aca="1" ref="F268" ca="1">INDIRECT(LEFT(I268, FIND("!", I268)) &amp; RefData!$C$427 &amp; RIGHT(I268, LEN(I268) - FIND("!", I268) - 1))</f>
        <v>FYA 15.0</v>
      </c>
      <c r="G268" s="710" t="b">
        <f ca="1">IF(ISNUMBER(SEARCH(RefData!$B$2, $C268)), FALSE, TRUE)</f>
        <v>1</v>
      </c>
      <c r="H268" s="344">
        <f>'40-year assumptions'!F21</f>
        <v>0</v>
      </c>
      <c r="I268" s="712" t="str">
        <f t="shared" ref="I268:I331" ca="1" si="42">SUBSTITUTE(_xlfn.FORMULATEXT($H268), "=", "")</f>
        <v>'40-year assumptions'!F21</v>
      </c>
      <c r="J268" s="713" t="b" cm="1">
        <f t="array" aca="1" ref="J268" ca="1">IF(COUNTIF($K268:$T268, "&lt;&gt;FALSE") - COUNTBLANK($K268:$T268) &gt; 0, INDEX($K268:$T268, MATCH(TRUE, $K268:$T268 &lt;&gt; FALSE, 0)))</f>
        <v>0</v>
      </c>
      <c r="K268" s="712" t="b">
        <f ca="1">IF(AND('Start here'!$C$24=RefData!$B$5,OR('Other assumptions'!$C$7=RefData!$B$48,'Other assumptions'!$C$7=RefData!$B$46),'Reconciliation report'!$E268=""),ErrorMsgs!$B268)</f>
        <v>0</v>
      </c>
      <c r="L268" s="712" t="b">
        <f ca="1">IF(AND('Start here'!$C$24=RefData!$B$5,OR('Other assumptions'!$C$7=RefData!$B$47,'Other assumptions'!$C$7=RefData!$B$49),'Reconciliation report'!$E268&lt;&gt;""),ErrorMsgs!$C268)</f>
        <v>0</v>
      </c>
      <c r="M268" s="714" t="b">
        <f ca="1">IF(AND('Start here'!$C$24=RefData!$B$4,'Discount rates'!$C$7=RefData!$B$8,OR('Other assumptions'!$C$7=RefData!$B$48,'Other assumptions'!$C$7=RefData!$B$46),'Reconciliation report'!$E268=""),ErrorMsgs!$D268)</f>
        <v>0</v>
      </c>
      <c r="N268" s="714" t="b">
        <f ca="1">IF(AND('Start here'!$C$24=RefData!$B$4,'Discount rates'!$C$7=RefData!$B$8,OR('Other assumptions'!$C$7=RefData!$B$47,'Other assumptions'!$C$7=RefData!$B$49),'Reconciliation report'!$E268&lt;&gt;""),ErrorMsgs!$E268)</f>
        <v>0</v>
      </c>
      <c r="O268" s="712" t="b">
        <f ca="1">IF(AND('Start here'!$C$24=RefData!$B$4,'Discount rates'!$C$7=RefData!$B$7,'Reconciliation report'!$E268&lt;&gt;""),ErrorMsgs!$F268)</f>
        <v>0</v>
      </c>
      <c r="P268" s="712" t="b">
        <f ca="1">IF($E268&lt;-0.25,ErrorMsgs!$G268)</f>
        <v>0</v>
      </c>
      <c r="Q268" s="712" t="b">
        <f ca="1">IF($E268="",FALSE,IF($E268&gt;0.25,ErrorMsgs!$H268))</f>
        <v>0</v>
      </c>
      <c r="R268" s="712"/>
      <c r="S268" s="712"/>
      <c r="T268" s="712"/>
      <c r="U268" s="526" t="str">
        <f t="shared" ca="1" si="38"/>
        <v/>
      </c>
      <c r="V268" s="93" t="str" cm="1">
        <f t="array" aca="1" ref="V268" ca="1">CELL("format",INDIRECT(I268))</f>
        <v>P4</v>
      </c>
      <c r="W268" s="93" t="b">
        <f t="shared" ca="1" si="39"/>
        <v>0</v>
      </c>
      <c r="X268" s="715" t="str">
        <f t="shared" ca="1" si="37"/>
        <v/>
      </c>
      <c r="Y268" t="b">
        <f t="shared" ca="1" si="40"/>
        <v>1</v>
      </c>
    </row>
    <row r="269" spans="1:25" ht="63" customHeight="1">
      <c r="A269" s="705" t="s">
        <v>3275</v>
      </c>
      <c r="B269" s="716" t="str">
        <f t="shared" ca="1" si="41"/>
        <v>40-year assumptions - F22</v>
      </c>
      <c r="C269" s="707" t="str" cm="1">
        <f t="array" aca="1" ref="C269" ca="1">INDIRECT(LEFT(I269, FIND("!", I269)) &amp; RefData!$C$426 &amp; RIGHT(I269, LEN(I269) - FIND("!", I269) - 1))</f>
        <v>Year 16</v>
      </c>
      <c r="D269" s="92" t="str">
        <f t="shared" ca="1" si="36"/>
        <v/>
      </c>
      <c r="E269" s="708" t="str" cm="1">
        <f t="array" aca="1" ref="E269" ca="1">IF(INDIRECT($I269)= "", "", INDIRECT($I269))</f>
        <v/>
      </c>
      <c r="F269" s="709" t="str" cm="1">
        <f t="array" aca="1" ref="F269" ca="1">INDIRECT(LEFT(I269, FIND("!", I269)) &amp; RefData!$C$427 &amp; RIGHT(I269, LEN(I269) - FIND("!", I269) - 1))</f>
        <v>FYA 16.0</v>
      </c>
      <c r="G269" s="710" t="b">
        <f ca="1">IF(ISNUMBER(SEARCH(RefData!$B$2, $C269)), FALSE, TRUE)</f>
        <v>1</v>
      </c>
      <c r="H269" s="344">
        <f>'40-year assumptions'!F22</f>
        <v>0</v>
      </c>
      <c r="I269" s="712" t="str">
        <f t="shared" ca="1" si="42"/>
        <v>'40-year assumptions'!F22</v>
      </c>
      <c r="J269" s="713" t="b" cm="1">
        <f t="array" aca="1" ref="J269" ca="1">IF(COUNTIF($K269:$T269, "&lt;&gt;FALSE") - COUNTBLANK($K269:$T269) &gt; 0, INDEX($K269:$T269, MATCH(TRUE, $K269:$T269 &lt;&gt; FALSE, 0)))</f>
        <v>0</v>
      </c>
      <c r="K269" s="712" t="b">
        <f ca="1">IF(AND('Start here'!$C$24=RefData!$B$5,OR('Other assumptions'!$C$7=RefData!$B$48,'Other assumptions'!$C$7=RefData!$B$46),'Reconciliation report'!$E269=""),ErrorMsgs!$B269)</f>
        <v>0</v>
      </c>
      <c r="L269" s="712" t="b">
        <f ca="1">IF(AND('Start here'!$C$24=RefData!$B$5,OR('Other assumptions'!$C$7=RefData!$B$47,'Other assumptions'!$C$7=RefData!$B$49),'Reconciliation report'!$E269&lt;&gt;""),ErrorMsgs!$C269)</f>
        <v>0</v>
      </c>
      <c r="M269" s="714" t="b">
        <f ca="1">IF(AND('Start here'!$C$24=RefData!$B$4,'Discount rates'!$C$7=RefData!$B$8,OR('Other assumptions'!$C$7=RefData!$B$48,'Other assumptions'!$C$7=RefData!$B$46),'Reconciliation report'!$E269=""),ErrorMsgs!$D269)</f>
        <v>0</v>
      </c>
      <c r="N269" s="714" t="b">
        <f ca="1">IF(AND('Start here'!$C$24=RefData!$B$4,'Discount rates'!$C$7=RefData!$B$8,OR('Other assumptions'!$C$7=RefData!$B$47,'Other assumptions'!$C$7=RefData!$B$49),'Reconciliation report'!$E269&lt;&gt;""),ErrorMsgs!$E269)</f>
        <v>0</v>
      </c>
      <c r="O269" s="712" t="b">
        <f ca="1">IF(AND('Start here'!$C$24=RefData!$B$4,'Discount rates'!$C$7=RefData!$B$7,'Reconciliation report'!$E269&lt;&gt;""),ErrorMsgs!$F269)</f>
        <v>0</v>
      </c>
      <c r="P269" s="712" t="b">
        <f ca="1">IF($E269&lt;-0.25,ErrorMsgs!$G269)</f>
        <v>0</v>
      </c>
      <c r="Q269" s="712" t="b">
        <f ca="1">IF($E269="",FALSE,IF($E269&gt;0.25,ErrorMsgs!$H269))</f>
        <v>0</v>
      </c>
      <c r="R269" s="712"/>
      <c r="S269" s="712"/>
      <c r="T269" s="712"/>
      <c r="U269" s="526" t="str">
        <f t="shared" ca="1" si="38"/>
        <v/>
      </c>
      <c r="V269" s="93" t="str" cm="1">
        <f t="array" aca="1" ref="V269" ca="1">CELL("format",INDIRECT(I269))</f>
        <v>P4</v>
      </c>
      <c r="W269" s="93" t="b">
        <f t="shared" ca="1" si="39"/>
        <v>0</v>
      </c>
      <c r="X269" s="715" t="str">
        <f t="shared" ca="1" si="37"/>
        <v/>
      </c>
      <c r="Y269" t="b">
        <f t="shared" ca="1" si="40"/>
        <v>1</v>
      </c>
    </row>
    <row r="270" spans="1:25" ht="63" customHeight="1">
      <c r="A270" s="705" t="s">
        <v>3276</v>
      </c>
      <c r="B270" s="716" t="str">
        <f t="shared" ca="1" si="41"/>
        <v>40-year assumptions - F23</v>
      </c>
      <c r="C270" s="707" t="str" cm="1">
        <f t="array" aca="1" ref="C270" ca="1">INDIRECT(LEFT(I270, FIND("!", I270)) &amp; RefData!$C$426 &amp; RIGHT(I270, LEN(I270) - FIND("!", I270) - 1))</f>
        <v>Year 17</v>
      </c>
      <c r="D270" s="92" t="str">
        <f t="shared" ca="1" si="36"/>
        <v/>
      </c>
      <c r="E270" s="708" t="str" cm="1">
        <f t="array" aca="1" ref="E270" ca="1">IF(INDIRECT($I270)= "", "", INDIRECT($I270))</f>
        <v/>
      </c>
      <c r="F270" s="709" t="str" cm="1">
        <f t="array" aca="1" ref="F270" ca="1">INDIRECT(LEFT(I270, FIND("!", I270)) &amp; RefData!$C$427 &amp; RIGHT(I270, LEN(I270) - FIND("!", I270) - 1))</f>
        <v>FYA 17.0</v>
      </c>
      <c r="G270" s="710" t="b">
        <f ca="1">IF(ISNUMBER(SEARCH(RefData!$B$2, $C270)), FALSE, TRUE)</f>
        <v>1</v>
      </c>
      <c r="H270" s="344">
        <f>'40-year assumptions'!F23</f>
        <v>0</v>
      </c>
      <c r="I270" s="712" t="str">
        <f t="shared" ca="1" si="42"/>
        <v>'40-year assumptions'!F23</v>
      </c>
      <c r="J270" s="713" t="b" cm="1">
        <f t="array" aca="1" ref="J270" ca="1">IF(COUNTIF($K270:$T270, "&lt;&gt;FALSE") - COUNTBLANK($K270:$T270) &gt; 0, INDEX($K270:$T270, MATCH(TRUE, $K270:$T270 &lt;&gt; FALSE, 0)))</f>
        <v>0</v>
      </c>
      <c r="K270" s="712" t="b">
        <f ca="1">IF(AND('Start here'!$C$24=RefData!$B$5,OR('Other assumptions'!$C$7=RefData!$B$48,'Other assumptions'!$C$7=RefData!$B$46),'Reconciliation report'!$E270=""),ErrorMsgs!$B270)</f>
        <v>0</v>
      </c>
      <c r="L270" s="712" t="b">
        <f ca="1">IF(AND('Start here'!$C$24=RefData!$B$5,OR('Other assumptions'!$C$7=RefData!$B$47,'Other assumptions'!$C$7=RefData!$B$49),'Reconciliation report'!$E270&lt;&gt;""),ErrorMsgs!$C270)</f>
        <v>0</v>
      </c>
      <c r="M270" s="714" t="b">
        <f ca="1">IF(AND('Start here'!$C$24=RefData!$B$4,'Discount rates'!$C$7=RefData!$B$8,OR('Other assumptions'!$C$7=RefData!$B$48,'Other assumptions'!$C$7=RefData!$B$46),'Reconciliation report'!$E270=""),ErrorMsgs!$D270)</f>
        <v>0</v>
      </c>
      <c r="N270" s="714" t="b">
        <f ca="1">IF(AND('Start here'!$C$24=RefData!$B$4,'Discount rates'!$C$7=RefData!$B$8,OR('Other assumptions'!$C$7=RefData!$B$47,'Other assumptions'!$C$7=RefData!$B$49),'Reconciliation report'!$E270&lt;&gt;""),ErrorMsgs!$E270)</f>
        <v>0</v>
      </c>
      <c r="O270" s="712" t="b">
        <f ca="1">IF(AND('Start here'!$C$24=RefData!$B$4,'Discount rates'!$C$7=RefData!$B$7,'Reconciliation report'!$E270&lt;&gt;""),ErrorMsgs!$F270)</f>
        <v>0</v>
      </c>
      <c r="P270" s="712" t="b">
        <f ca="1">IF($E270&lt;-0.25,ErrorMsgs!$G270)</f>
        <v>0</v>
      </c>
      <c r="Q270" s="712" t="b">
        <f ca="1">IF($E270="",FALSE,IF($E270&gt;0.25,ErrorMsgs!$H270))</f>
        <v>0</v>
      </c>
      <c r="R270" s="712"/>
      <c r="S270" s="712"/>
      <c r="T270" s="712"/>
      <c r="U270" s="526" t="str">
        <f t="shared" ca="1" si="38"/>
        <v/>
      </c>
      <c r="V270" s="93" t="str" cm="1">
        <f t="array" aca="1" ref="V270" ca="1">CELL("format",INDIRECT(I270))</f>
        <v>P4</v>
      </c>
      <c r="W270" s="93" t="b">
        <f t="shared" ca="1" si="39"/>
        <v>0</v>
      </c>
      <c r="X270" s="715" t="str">
        <f t="shared" ca="1" si="37"/>
        <v/>
      </c>
      <c r="Y270" t="b">
        <f t="shared" ca="1" si="40"/>
        <v>1</v>
      </c>
    </row>
    <row r="271" spans="1:25" ht="63" customHeight="1">
      <c r="A271" s="705" t="s">
        <v>3277</v>
      </c>
      <c r="B271" s="716" t="str">
        <f t="shared" ca="1" si="41"/>
        <v>40-year assumptions - F24</v>
      </c>
      <c r="C271" s="707" t="str" cm="1">
        <f t="array" aca="1" ref="C271" ca="1">INDIRECT(LEFT(I271, FIND("!", I271)) &amp; RefData!$C$426 &amp; RIGHT(I271, LEN(I271) - FIND("!", I271) - 1))</f>
        <v>Year 18</v>
      </c>
      <c r="D271" s="92" t="str">
        <f t="shared" ca="1" si="36"/>
        <v/>
      </c>
      <c r="E271" s="708" t="str" cm="1">
        <f t="array" aca="1" ref="E271" ca="1">IF(INDIRECT($I271)= "", "", INDIRECT($I271))</f>
        <v/>
      </c>
      <c r="F271" s="709" t="str" cm="1">
        <f t="array" aca="1" ref="F271" ca="1">INDIRECT(LEFT(I271, FIND("!", I271)) &amp; RefData!$C$427 &amp; RIGHT(I271, LEN(I271) - FIND("!", I271) - 1))</f>
        <v>FYA 18.0</v>
      </c>
      <c r="G271" s="710" t="b">
        <f ca="1">IF(ISNUMBER(SEARCH(RefData!$B$2, $C271)), FALSE, TRUE)</f>
        <v>1</v>
      </c>
      <c r="H271" s="344">
        <f>'40-year assumptions'!F24</f>
        <v>0</v>
      </c>
      <c r="I271" s="712" t="str">
        <f t="shared" ca="1" si="42"/>
        <v>'40-year assumptions'!F24</v>
      </c>
      <c r="J271" s="713" t="b" cm="1">
        <f t="array" aca="1" ref="J271" ca="1">IF(COUNTIF($K271:$T271, "&lt;&gt;FALSE") - COUNTBLANK($K271:$T271) &gt; 0, INDEX($K271:$T271, MATCH(TRUE, $K271:$T271 &lt;&gt; FALSE, 0)))</f>
        <v>0</v>
      </c>
      <c r="K271" s="712" t="b">
        <f ca="1">IF(AND('Start here'!$C$24=RefData!$B$5,OR('Other assumptions'!$C$7=RefData!$B$48,'Other assumptions'!$C$7=RefData!$B$46),'Reconciliation report'!$E271=""),ErrorMsgs!$B271)</f>
        <v>0</v>
      </c>
      <c r="L271" s="712" t="b">
        <f ca="1">IF(AND('Start here'!$C$24=RefData!$B$5,OR('Other assumptions'!$C$7=RefData!$B$47,'Other assumptions'!$C$7=RefData!$B$49),'Reconciliation report'!$E271&lt;&gt;""),ErrorMsgs!$C271)</f>
        <v>0</v>
      </c>
      <c r="M271" s="714" t="b">
        <f ca="1">IF(AND('Start here'!$C$24=RefData!$B$4,'Discount rates'!$C$7=RefData!$B$8,OR('Other assumptions'!$C$7=RefData!$B$48,'Other assumptions'!$C$7=RefData!$B$46),'Reconciliation report'!$E271=""),ErrorMsgs!$D271)</f>
        <v>0</v>
      </c>
      <c r="N271" s="714" t="b">
        <f ca="1">IF(AND('Start here'!$C$24=RefData!$B$4,'Discount rates'!$C$7=RefData!$B$8,OR('Other assumptions'!$C$7=RefData!$B$47,'Other assumptions'!$C$7=RefData!$B$49),'Reconciliation report'!$E271&lt;&gt;""),ErrorMsgs!$E271)</f>
        <v>0</v>
      </c>
      <c r="O271" s="712" t="b">
        <f ca="1">IF(AND('Start here'!$C$24=RefData!$B$4,'Discount rates'!$C$7=RefData!$B$7,'Reconciliation report'!$E271&lt;&gt;""),ErrorMsgs!$F271)</f>
        <v>0</v>
      </c>
      <c r="P271" s="712" t="b">
        <f ca="1">IF($E271&lt;-0.25,ErrorMsgs!$G271)</f>
        <v>0</v>
      </c>
      <c r="Q271" s="712" t="b">
        <f ca="1">IF($E271="",FALSE,IF($E271&gt;0.25,ErrorMsgs!$H271))</f>
        <v>0</v>
      </c>
      <c r="R271" s="712"/>
      <c r="S271" s="712"/>
      <c r="T271" s="712"/>
      <c r="U271" s="526" t="str">
        <f t="shared" ca="1" si="38"/>
        <v/>
      </c>
      <c r="V271" s="93" t="str" cm="1">
        <f t="array" aca="1" ref="V271" ca="1">CELL("format",INDIRECT(I271))</f>
        <v>P4</v>
      </c>
      <c r="W271" s="93" t="b">
        <f t="shared" ca="1" si="39"/>
        <v>0</v>
      </c>
      <c r="X271" s="715" t="str">
        <f t="shared" ca="1" si="37"/>
        <v/>
      </c>
      <c r="Y271" t="b">
        <f t="shared" ca="1" si="40"/>
        <v>1</v>
      </c>
    </row>
    <row r="272" spans="1:25" ht="63" customHeight="1">
      <c r="A272" s="705" t="s">
        <v>3278</v>
      </c>
      <c r="B272" s="716" t="str">
        <f t="shared" ca="1" si="41"/>
        <v>40-year assumptions - F25</v>
      </c>
      <c r="C272" s="707" t="str" cm="1">
        <f t="array" aca="1" ref="C272" ca="1">INDIRECT(LEFT(I272, FIND("!", I272)) &amp; RefData!$C$426 &amp; RIGHT(I272, LEN(I272) - FIND("!", I272) - 1))</f>
        <v>Year 19</v>
      </c>
      <c r="D272" s="92" t="str">
        <f t="shared" ca="1" si="36"/>
        <v/>
      </c>
      <c r="E272" s="708" t="str" cm="1">
        <f t="array" aca="1" ref="E272" ca="1">IF(INDIRECT($I272)= "", "", INDIRECT($I272))</f>
        <v/>
      </c>
      <c r="F272" s="709" t="str" cm="1">
        <f t="array" aca="1" ref="F272" ca="1">INDIRECT(LEFT(I272, FIND("!", I272)) &amp; RefData!$C$427 &amp; RIGHT(I272, LEN(I272) - FIND("!", I272) - 1))</f>
        <v>FYA 19.0</v>
      </c>
      <c r="G272" s="710" t="b">
        <f ca="1">IF(ISNUMBER(SEARCH(RefData!$B$2, $C272)), FALSE, TRUE)</f>
        <v>1</v>
      </c>
      <c r="H272" s="344">
        <f>'40-year assumptions'!F25</f>
        <v>0</v>
      </c>
      <c r="I272" s="712" t="str">
        <f t="shared" ca="1" si="42"/>
        <v>'40-year assumptions'!F25</v>
      </c>
      <c r="J272" s="713" t="b" cm="1">
        <f t="array" aca="1" ref="J272" ca="1">IF(COUNTIF($K272:$T272, "&lt;&gt;FALSE") - COUNTBLANK($K272:$T272) &gt; 0, INDEX($K272:$T272, MATCH(TRUE, $K272:$T272 &lt;&gt; FALSE, 0)))</f>
        <v>0</v>
      </c>
      <c r="K272" s="712" t="b">
        <f ca="1">IF(AND('Start here'!$C$24=RefData!$B$5,OR('Other assumptions'!$C$7=RefData!$B$48,'Other assumptions'!$C$7=RefData!$B$46),'Reconciliation report'!$E272=""),ErrorMsgs!$B272)</f>
        <v>0</v>
      </c>
      <c r="L272" s="712" t="b">
        <f ca="1">IF(AND('Start here'!$C$24=RefData!$B$5,OR('Other assumptions'!$C$7=RefData!$B$47,'Other assumptions'!$C$7=RefData!$B$49),'Reconciliation report'!$E272&lt;&gt;""),ErrorMsgs!$C272)</f>
        <v>0</v>
      </c>
      <c r="M272" s="714" t="b">
        <f ca="1">IF(AND('Start here'!$C$24=RefData!$B$4,'Discount rates'!$C$7=RefData!$B$8,OR('Other assumptions'!$C$7=RefData!$B$48,'Other assumptions'!$C$7=RefData!$B$46),'Reconciliation report'!$E272=""),ErrorMsgs!$D272)</f>
        <v>0</v>
      </c>
      <c r="N272" s="714" t="b">
        <f ca="1">IF(AND('Start here'!$C$24=RefData!$B$4,'Discount rates'!$C$7=RefData!$B$8,OR('Other assumptions'!$C$7=RefData!$B$47,'Other assumptions'!$C$7=RefData!$B$49),'Reconciliation report'!$E272&lt;&gt;""),ErrorMsgs!$E272)</f>
        <v>0</v>
      </c>
      <c r="O272" s="712" t="b">
        <f ca="1">IF(AND('Start here'!$C$24=RefData!$B$4,'Discount rates'!$C$7=RefData!$B$7,'Reconciliation report'!$E272&lt;&gt;""),ErrorMsgs!$F272)</f>
        <v>0</v>
      </c>
      <c r="P272" s="712" t="b">
        <f ca="1">IF($E272&lt;-0.25,ErrorMsgs!$G272)</f>
        <v>0</v>
      </c>
      <c r="Q272" s="712" t="b">
        <f ca="1">IF($E272="",FALSE,IF($E272&gt;0.25,ErrorMsgs!$H272))</f>
        <v>0</v>
      </c>
      <c r="R272" s="712"/>
      <c r="S272" s="712"/>
      <c r="T272" s="712"/>
      <c r="U272" s="526" t="str">
        <f t="shared" ca="1" si="38"/>
        <v/>
      </c>
      <c r="V272" s="93" t="str" cm="1">
        <f t="array" aca="1" ref="V272" ca="1">CELL("format",INDIRECT(I272))</f>
        <v>P4</v>
      </c>
      <c r="W272" s="93" t="b">
        <f t="shared" ca="1" si="39"/>
        <v>0</v>
      </c>
      <c r="X272" s="715" t="str">
        <f t="shared" ca="1" si="37"/>
        <v/>
      </c>
      <c r="Y272" t="b">
        <f t="shared" ca="1" si="40"/>
        <v>1</v>
      </c>
    </row>
    <row r="273" spans="1:25" ht="63" customHeight="1">
      <c r="A273" s="705" t="s">
        <v>3279</v>
      </c>
      <c r="B273" s="716" t="str">
        <f t="shared" ca="1" si="41"/>
        <v>40-year assumptions - F26</v>
      </c>
      <c r="C273" s="707" t="str" cm="1">
        <f t="array" aca="1" ref="C273" ca="1">INDIRECT(LEFT(I273, FIND("!", I273)) &amp; RefData!$C$426 &amp; RIGHT(I273, LEN(I273) - FIND("!", I273) - 1))</f>
        <v>Year 20</v>
      </c>
      <c r="D273" s="92" t="str">
        <f t="shared" ca="1" si="36"/>
        <v/>
      </c>
      <c r="E273" s="708" t="str" cm="1">
        <f t="array" aca="1" ref="E273" ca="1">IF(INDIRECT($I273)= "", "", INDIRECT($I273))</f>
        <v/>
      </c>
      <c r="F273" s="709" t="str" cm="1">
        <f t="array" aca="1" ref="F273" ca="1">INDIRECT(LEFT(I273, FIND("!", I273)) &amp; RefData!$C$427 &amp; RIGHT(I273, LEN(I273) - FIND("!", I273) - 1))</f>
        <v>FYA 20.0</v>
      </c>
      <c r="G273" s="710" t="b">
        <f ca="1">IF(ISNUMBER(SEARCH(RefData!$B$2, $C273)), FALSE, TRUE)</f>
        <v>1</v>
      </c>
      <c r="H273" s="344">
        <f>'40-year assumptions'!F26</f>
        <v>0</v>
      </c>
      <c r="I273" s="712" t="str">
        <f t="shared" ca="1" si="42"/>
        <v>'40-year assumptions'!F26</v>
      </c>
      <c r="J273" s="713" t="b" cm="1">
        <f t="array" aca="1" ref="J273" ca="1">IF(COUNTIF($K273:$T273, "&lt;&gt;FALSE") - COUNTBLANK($K273:$T273) &gt; 0, INDEX($K273:$T273, MATCH(TRUE, $K273:$T273 &lt;&gt; FALSE, 0)))</f>
        <v>0</v>
      </c>
      <c r="K273" s="712" t="b">
        <f ca="1">IF(AND('Start here'!$C$24=RefData!$B$5,OR('Other assumptions'!$C$7=RefData!$B$48,'Other assumptions'!$C$7=RefData!$B$46),'Reconciliation report'!$E273=""),ErrorMsgs!$B273)</f>
        <v>0</v>
      </c>
      <c r="L273" s="712" t="b">
        <f ca="1">IF(AND('Start here'!$C$24=RefData!$B$5,OR('Other assumptions'!$C$7=RefData!$B$47,'Other assumptions'!$C$7=RefData!$B$49),'Reconciliation report'!$E273&lt;&gt;""),ErrorMsgs!$C273)</f>
        <v>0</v>
      </c>
      <c r="M273" s="714" t="b">
        <f ca="1">IF(AND('Start here'!$C$24=RefData!$B$4,'Discount rates'!$C$7=RefData!$B$8,OR('Other assumptions'!$C$7=RefData!$B$48,'Other assumptions'!$C$7=RefData!$B$46),'Reconciliation report'!$E273=""),ErrorMsgs!$D273)</f>
        <v>0</v>
      </c>
      <c r="N273" s="714" t="b">
        <f ca="1">IF(AND('Start here'!$C$24=RefData!$B$4,'Discount rates'!$C$7=RefData!$B$8,OR('Other assumptions'!$C$7=RefData!$B$47,'Other assumptions'!$C$7=RefData!$B$49),'Reconciliation report'!$E273&lt;&gt;""),ErrorMsgs!$E273)</f>
        <v>0</v>
      </c>
      <c r="O273" s="712" t="b">
        <f ca="1">IF(AND('Start here'!$C$24=RefData!$B$4,'Discount rates'!$C$7=RefData!$B$7,'Reconciliation report'!$E273&lt;&gt;""),ErrorMsgs!$F273)</f>
        <v>0</v>
      </c>
      <c r="P273" s="712" t="b">
        <f ca="1">IF($E273&lt;-0.25,ErrorMsgs!$G273)</f>
        <v>0</v>
      </c>
      <c r="Q273" s="712" t="b">
        <f ca="1">IF($E273="",FALSE,IF($E273&gt;0.25,ErrorMsgs!$H273))</f>
        <v>0</v>
      </c>
      <c r="R273" s="712"/>
      <c r="S273" s="712"/>
      <c r="T273" s="712"/>
      <c r="U273" s="526" t="str">
        <f t="shared" ca="1" si="38"/>
        <v/>
      </c>
      <c r="V273" s="93" t="str" cm="1">
        <f t="array" aca="1" ref="V273" ca="1">CELL("format",INDIRECT(I273))</f>
        <v>P4</v>
      </c>
      <c r="W273" s="93" t="b">
        <f t="shared" ca="1" si="39"/>
        <v>0</v>
      </c>
      <c r="X273" s="715" t="str">
        <f t="shared" ca="1" si="37"/>
        <v/>
      </c>
      <c r="Y273" t="b">
        <f t="shared" ca="1" si="40"/>
        <v>1</v>
      </c>
    </row>
    <row r="274" spans="1:25" ht="63" customHeight="1">
      <c r="A274" s="705" t="s">
        <v>3280</v>
      </c>
      <c r="B274" s="716" t="str">
        <f t="shared" ca="1" si="41"/>
        <v>40-year assumptions - F27</v>
      </c>
      <c r="C274" s="707" t="str" cm="1">
        <f t="array" aca="1" ref="C274" ca="1">INDIRECT(LEFT(I274, FIND("!", I274)) &amp; RefData!$C$426 &amp; RIGHT(I274, LEN(I274) - FIND("!", I274) - 1))</f>
        <v>Year 21</v>
      </c>
      <c r="D274" s="92" t="str">
        <f t="shared" ca="1" si="36"/>
        <v/>
      </c>
      <c r="E274" s="708" t="str" cm="1">
        <f t="array" aca="1" ref="E274" ca="1">IF(INDIRECT($I274)= "", "", INDIRECT($I274))</f>
        <v/>
      </c>
      <c r="F274" s="709" t="str" cm="1">
        <f t="array" aca="1" ref="F274" ca="1">INDIRECT(LEFT(I274, FIND("!", I274)) &amp; RefData!$C$427 &amp; RIGHT(I274, LEN(I274) - FIND("!", I274) - 1))</f>
        <v>FYA 21.0</v>
      </c>
      <c r="G274" s="710" t="b">
        <f ca="1">IF(ISNUMBER(SEARCH(RefData!$B$2, $C274)), FALSE, TRUE)</f>
        <v>1</v>
      </c>
      <c r="H274" s="344">
        <f>'40-year assumptions'!F27</f>
        <v>0</v>
      </c>
      <c r="I274" s="712" t="str">
        <f t="shared" ca="1" si="42"/>
        <v>'40-year assumptions'!F27</v>
      </c>
      <c r="J274" s="713" t="b" cm="1">
        <f t="array" aca="1" ref="J274" ca="1">IF(COUNTIF($K274:$T274, "&lt;&gt;FALSE") - COUNTBLANK($K274:$T274) &gt; 0, INDEX($K274:$T274, MATCH(TRUE, $K274:$T274 &lt;&gt; FALSE, 0)))</f>
        <v>0</v>
      </c>
      <c r="K274" s="712" t="b">
        <f ca="1">IF(AND('Start here'!$C$24=RefData!$B$5,OR('Other assumptions'!$C$7=RefData!$B$48,'Other assumptions'!$C$7=RefData!$B$46),'Reconciliation report'!$E274=""),ErrorMsgs!$B274)</f>
        <v>0</v>
      </c>
      <c r="L274" s="712" t="b">
        <f ca="1">IF(AND('Start here'!$C$24=RefData!$B$5,OR('Other assumptions'!$C$7=RefData!$B$47,'Other assumptions'!$C$7=RefData!$B$49),'Reconciliation report'!$E274&lt;&gt;""),ErrorMsgs!$C274)</f>
        <v>0</v>
      </c>
      <c r="M274" s="714" t="b">
        <f ca="1">IF(AND('Start here'!$C$24=RefData!$B$4,'Discount rates'!$C$7=RefData!$B$8,OR('Other assumptions'!$C$7=RefData!$B$48,'Other assumptions'!$C$7=RefData!$B$46),'Reconciliation report'!$E274=""),ErrorMsgs!$D274)</f>
        <v>0</v>
      </c>
      <c r="N274" s="714" t="b">
        <f ca="1">IF(AND('Start here'!$C$24=RefData!$B$4,'Discount rates'!$C$7=RefData!$B$8,OR('Other assumptions'!$C$7=RefData!$B$47,'Other assumptions'!$C$7=RefData!$B$49),'Reconciliation report'!$E274&lt;&gt;""),ErrorMsgs!$E274)</f>
        <v>0</v>
      </c>
      <c r="O274" s="712" t="b">
        <f ca="1">IF(AND('Start here'!$C$24=RefData!$B$4,'Discount rates'!$C$7=RefData!$B$7,'Reconciliation report'!$E274&lt;&gt;""),ErrorMsgs!$F274)</f>
        <v>0</v>
      </c>
      <c r="P274" s="712" t="b">
        <f ca="1">IF($E274&lt;-0.25,ErrorMsgs!$G274)</f>
        <v>0</v>
      </c>
      <c r="Q274" s="712" t="b">
        <f ca="1">IF($E274="",FALSE,IF($E274&gt;0.25,ErrorMsgs!$H274))</f>
        <v>0</v>
      </c>
      <c r="R274" s="712"/>
      <c r="S274" s="712"/>
      <c r="T274" s="712"/>
      <c r="U274" s="526" t="str">
        <f t="shared" ca="1" si="38"/>
        <v/>
      </c>
      <c r="V274" s="93" t="str" cm="1">
        <f t="array" aca="1" ref="V274" ca="1">CELL("format",INDIRECT(I274))</f>
        <v>P4</v>
      </c>
      <c r="W274" s="93" t="b">
        <f t="shared" ca="1" si="39"/>
        <v>0</v>
      </c>
      <c r="X274" s="715" t="str">
        <f t="shared" ca="1" si="37"/>
        <v/>
      </c>
      <c r="Y274" t="b">
        <f t="shared" ca="1" si="40"/>
        <v>1</v>
      </c>
    </row>
    <row r="275" spans="1:25" ht="63" customHeight="1">
      <c r="A275" s="705" t="s">
        <v>3281</v>
      </c>
      <c r="B275" s="716" t="str">
        <f t="shared" ca="1" si="41"/>
        <v>40-year assumptions - F28</v>
      </c>
      <c r="C275" s="707" t="str" cm="1">
        <f t="array" aca="1" ref="C275" ca="1">INDIRECT(LEFT(I275, FIND("!", I275)) &amp; RefData!$C$426 &amp; RIGHT(I275, LEN(I275) - FIND("!", I275) - 1))</f>
        <v>Year 22</v>
      </c>
      <c r="D275" s="92" t="str">
        <f t="shared" ca="1" si="36"/>
        <v/>
      </c>
      <c r="E275" s="708" t="str" cm="1">
        <f t="array" aca="1" ref="E275" ca="1">IF(INDIRECT($I275)= "", "", INDIRECT($I275))</f>
        <v/>
      </c>
      <c r="F275" s="709" t="str" cm="1">
        <f t="array" aca="1" ref="F275" ca="1">INDIRECT(LEFT(I275, FIND("!", I275)) &amp; RefData!$C$427 &amp; RIGHT(I275, LEN(I275) - FIND("!", I275) - 1))</f>
        <v>FYA 22.0</v>
      </c>
      <c r="G275" s="710" t="b">
        <f ca="1">IF(ISNUMBER(SEARCH(RefData!$B$2, $C275)), FALSE, TRUE)</f>
        <v>1</v>
      </c>
      <c r="H275" s="344">
        <f>'40-year assumptions'!F28</f>
        <v>0</v>
      </c>
      <c r="I275" s="712" t="str">
        <f t="shared" ca="1" si="42"/>
        <v>'40-year assumptions'!F28</v>
      </c>
      <c r="J275" s="713" t="b" cm="1">
        <f t="array" aca="1" ref="J275" ca="1">IF(COUNTIF($K275:$T275, "&lt;&gt;FALSE") - COUNTBLANK($K275:$T275) &gt; 0, INDEX($K275:$T275, MATCH(TRUE, $K275:$T275 &lt;&gt; FALSE, 0)))</f>
        <v>0</v>
      </c>
      <c r="K275" s="712" t="b">
        <f ca="1">IF(AND('Start here'!$C$24=RefData!$B$5,OR('Other assumptions'!$C$7=RefData!$B$48,'Other assumptions'!$C$7=RefData!$B$46),'Reconciliation report'!$E275=""),ErrorMsgs!$B275)</f>
        <v>0</v>
      </c>
      <c r="L275" s="712" t="b">
        <f ca="1">IF(AND('Start here'!$C$24=RefData!$B$5,OR('Other assumptions'!$C$7=RefData!$B$47,'Other assumptions'!$C$7=RefData!$B$49),'Reconciliation report'!$E275&lt;&gt;""),ErrorMsgs!$C275)</f>
        <v>0</v>
      </c>
      <c r="M275" s="714" t="b">
        <f ca="1">IF(AND('Start here'!$C$24=RefData!$B$4,'Discount rates'!$C$7=RefData!$B$8,OR('Other assumptions'!$C$7=RefData!$B$48,'Other assumptions'!$C$7=RefData!$B$46),'Reconciliation report'!$E275=""),ErrorMsgs!$D275)</f>
        <v>0</v>
      </c>
      <c r="N275" s="714" t="b">
        <f ca="1">IF(AND('Start here'!$C$24=RefData!$B$4,'Discount rates'!$C$7=RefData!$B$8,OR('Other assumptions'!$C$7=RefData!$B$47,'Other assumptions'!$C$7=RefData!$B$49),'Reconciliation report'!$E275&lt;&gt;""),ErrorMsgs!$E275)</f>
        <v>0</v>
      </c>
      <c r="O275" s="712" t="b">
        <f ca="1">IF(AND('Start here'!$C$24=RefData!$B$4,'Discount rates'!$C$7=RefData!$B$7,'Reconciliation report'!$E275&lt;&gt;""),ErrorMsgs!$F275)</f>
        <v>0</v>
      </c>
      <c r="P275" s="712" t="b">
        <f ca="1">IF($E275&lt;-0.25,ErrorMsgs!$G275)</f>
        <v>0</v>
      </c>
      <c r="Q275" s="712" t="b">
        <f ca="1">IF($E275="",FALSE,IF($E275&gt;0.25,ErrorMsgs!$H275))</f>
        <v>0</v>
      </c>
      <c r="R275" s="712"/>
      <c r="S275" s="712"/>
      <c r="T275" s="712"/>
      <c r="U275" s="526" t="str">
        <f t="shared" ca="1" si="38"/>
        <v/>
      </c>
      <c r="V275" s="93" t="str" cm="1">
        <f t="array" aca="1" ref="V275" ca="1">CELL("format",INDIRECT(I275))</f>
        <v>P4</v>
      </c>
      <c r="W275" s="93" t="b">
        <f t="shared" ca="1" si="39"/>
        <v>0</v>
      </c>
      <c r="X275" s="715" t="str">
        <f t="shared" ca="1" si="37"/>
        <v/>
      </c>
      <c r="Y275" t="b">
        <f t="shared" ca="1" si="40"/>
        <v>1</v>
      </c>
    </row>
    <row r="276" spans="1:25" ht="63" customHeight="1">
      <c r="A276" s="705" t="s">
        <v>3282</v>
      </c>
      <c r="B276" s="716" t="str">
        <f t="shared" ca="1" si="41"/>
        <v>40-year assumptions - F29</v>
      </c>
      <c r="C276" s="707" t="str" cm="1">
        <f t="array" aca="1" ref="C276" ca="1">INDIRECT(LEFT(I276, FIND("!", I276)) &amp; RefData!$C$426 &amp; RIGHT(I276, LEN(I276) - FIND("!", I276) - 1))</f>
        <v>Year 23</v>
      </c>
      <c r="D276" s="92" t="str">
        <f t="shared" ca="1" si="36"/>
        <v/>
      </c>
      <c r="E276" s="708" t="str" cm="1">
        <f t="array" aca="1" ref="E276" ca="1">IF(INDIRECT($I276)= "", "", INDIRECT($I276))</f>
        <v/>
      </c>
      <c r="F276" s="709" t="str" cm="1">
        <f t="array" aca="1" ref="F276" ca="1">INDIRECT(LEFT(I276, FIND("!", I276)) &amp; RefData!$C$427 &amp; RIGHT(I276, LEN(I276) - FIND("!", I276) - 1))</f>
        <v>FYA 23.0</v>
      </c>
      <c r="G276" s="710" t="b">
        <f ca="1">IF(ISNUMBER(SEARCH(RefData!$B$2, $C276)), FALSE, TRUE)</f>
        <v>1</v>
      </c>
      <c r="H276" s="344">
        <f>'40-year assumptions'!F29</f>
        <v>0</v>
      </c>
      <c r="I276" s="712" t="str">
        <f t="shared" ca="1" si="42"/>
        <v>'40-year assumptions'!F29</v>
      </c>
      <c r="J276" s="713" t="b" cm="1">
        <f t="array" aca="1" ref="J276" ca="1">IF(COUNTIF($K276:$T276, "&lt;&gt;FALSE") - COUNTBLANK($K276:$T276) &gt; 0, INDEX($K276:$T276, MATCH(TRUE, $K276:$T276 &lt;&gt; FALSE, 0)))</f>
        <v>0</v>
      </c>
      <c r="K276" s="712" t="b">
        <f ca="1">IF(AND('Start here'!$C$24=RefData!$B$5,OR('Other assumptions'!$C$7=RefData!$B$48,'Other assumptions'!$C$7=RefData!$B$46),'Reconciliation report'!$E276=""),ErrorMsgs!$B276)</f>
        <v>0</v>
      </c>
      <c r="L276" s="712" t="b">
        <f ca="1">IF(AND('Start here'!$C$24=RefData!$B$5,OR('Other assumptions'!$C$7=RefData!$B$47,'Other assumptions'!$C$7=RefData!$B$49),'Reconciliation report'!$E276&lt;&gt;""),ErrorMsgs!$C276)</f>
        <v>0</v>
      </c>
      <c r="M276" s="714" t="b">
        <f ca="1">IF(AND('Start here'!$C$24=RefData!$B$4,'Discount rates'!$C$7=RefData!$B$8,OR('Other assumptions'!$C$7=RefData!$B$48,'Other assumptions'!$C$7=RefData!$B$46),'Reconciliation report'!$E276=""),ErrorMsgs!$D276)</f>
        <v>0</v>
      </c>
      <c r="N276" s="714" t="b">
        <f ca="1">IF(AND('Start here'!$C$24=RefData!$B$4,'Discount rates'!$C$7=RefData!$B$8,OR('Other assumptions'!$C$7=RefData!$B$47,'Other assumptions'!$C$7=RefData!$B$49),'Reconciliation report'!$E276&lt;&gt;""),ErrorMsgs!$E276)</f>
        <v>0</v>
      </c>
      <c r="O276" s="712" t="b">
        <f ca="1">IF(AND('Start here'!$C$24=RefData!$B$4,'Discount rates'!$C$7=RefData!$B$7,'Reconciliation report'!$E276&lt;&gt;""),ErrorMsgs!$F276)</f>
        <v>0</v>
      </c>
      <c r="P276" s="712" t="b">
        <f ca="1">IF($E276&lt;-0.25,ErrorMsgs!$G276)</f>
        <v>0</v>
      </c>
      <c r="Q276" s="712" t="b">
        <f ca="1">IF($E276="",FALSE,IF($E276&gt;0.25,ErrorMsgs!$H276))</f>
        <v>0</v>
      </c>
      <c r="R276" s="712"/>
      <c r="S276" s="712"/>
      <c r="T276" s="712"/>
      <c r="U276" s="526" t="str">
        <f t="shared" ca="1" si="38"/>
        <v/>
      </c>
      <c r="V276" s="93" t="str" cm="1">
        <f t="array" aca="1" ref="V276" ca="1">CELL("format",INDIRECT(I276))</f>
        <v>P4</v>
      </c>
      <c r="W276" s="93" t="b">
        <f t="shared" ca="1" si="39"/>
        <v>0</v>
      </c>
      <c r="X276" s="715" t="str">
        <f t="shared" ca="1" si="37"/>
        <v/>
      </c>
      <c r="Y276" t="b">
        <f t="shared" ca="1" si="40"/>
        <v>1</v>
      </c>
    </row>
    <row r="277" spans="1:25" ht="63" customHeight="1">
      <c r="A277" s="705" t="s">
        <v>3283</v>
      </c>
      <c r="B277" s="716" t="str">
        <f t="shared" ca="1" si="41"/>
        <v>40-year assumptions - F30</v>
      </c>
      <c r="C277" s="707" t="str" cm="1">
        <f t="array" aca="1" ref="C277" ca="1">INDIRECT(LEFT(I277, FIND("!", I277)) &amp; RefData!$C$426 &amp; RIGHT(I277, LEN(I277) - FIND("!", I277) - 1))</f>
        <v>Year 24</v>
      </c>
      <c r="D277" s="92" t="str">
        <f t="shared" ca="1" si="36"/>
        <v/>
      </c>
      <c r="E277" s="708" t="str" cm="1">
        <f t="array" aca="1" ref="E277" ca="1">IF(INDIRECT($I277)= "", "", INDIRECT($I277))</f>
        <v/>
      </c>
      <c r="F277" s="709" t="str" cm="1">
        <f t="array" aca="1" ref="F277" ca="1">INDIRECT(LEFT(I277, FIND("!", I277)) &amp; RefData!$C$427 &amp; RIGHT(I277, LEN(I277) - FIND("!", I277) - 1))</f>
        <v>FYA 24.0</v>
      </c>
      <c r="G277" s="710" t="b">
        <f ca="1">IF(ISNUMBER(SEARCH(RefData!$B$2, $C277)), FALSE, TRUE)</f>
        <v>1</v>
      </c>
      <c r="H277" s="344">
        <f>'40-year assumptions'!F30</f>
        <v>0</v>
      </c>
      <c r="I277" s="712" t="str">
        <f t="shared" ca="1" si="42"/>
        <v>'40-year assumptions'!F30</v>
      </c>
      <c r="J277" s="713" t="b" cm="1">
        <f t="array" aca="1" ref="J277" ca="1">IF(COUNTIF($K277:$T277, "&lt;&gt;FALSE") - COUNTBLANK($K277:$T277) &gt; 0, INDEX($K277:$T277, MATCH(TRUE, $K277:$T277 &lt;&gt; FALSE, 0)))</f>
        <v>0</v>
      </c>
      <c r="K277" s="712" t="b">
        <f ca="1">IF(AND('Start here'!$C$24=RefData!$B$5,OR('Other assumptions'!$C$7=RefData!$B$48,'Other assumptions'!$C$7=RefData!$B$46),'Reconciliation report'!$E277=""),ErrorMsgs!$B277)</f>
        <v>0</v>
      </c>
      <c r="L277" s="712" t="b">
        <f ca="1">IF(AND('Start here'!$C$24=RefData!$B$5,OR('Other assumptions'!$C$7=RefData!$B$47,'Other assumptions'!$C$7=RefData!$B$49),'Reconciliation report'!$E277&lt;&gt;""),ErrorMsgs!$C277)</f>
        <v>0</v>
      </c>
      <c r="M277" s="714" t="b">
        <f ca="1">IF(AND('Start here'!$C$24=RefData!$B$4,'Discount rates'!$C$7=RefData!$B$8,OR('Other assumptions'!$C$7=RefData!$B$48,'Other assumptions'!$C$7=RefData!$B$46),'Reconciliation report'!$E277=""),ErrorMsgs!$D277)</f>
        <v>0</v>
      </c>
      <c r="N277" s="714" t="b">
        <f ca="1">IF(AND('Start here'!$C$24=RefData!$B$4,'Discount rates'!$C$7=RefData!$B$8,OR('Other assumptions'!$C$7=RefData!$B$47,'Other assumptions'!$C$7=RefData!$B$49),'Reconciliation report'!$E277&lt;&gt;""),ErrorMsgs!$E277)</f>
        <v>0</v>
      </c>
      <c r="O277" s="712" t="b">
        <f ca="1">IF(AND('Start here'!$C$24=RefData!$B$4,'Discount rates'!$C$7=RefData!$B$7,'Reconciliation report'!$E277&lt;&gt;""),ErrorMsgs!$F277)</f>
        <v>0</v>
      </c>
      <c r="P277" s="712" t="b">
        <f ca="1">IF($E277&lt;-0.25,ErrorMsgs!$G277)</f>
        <v>0</v>
      </c>
      <c r="Q277" s="712" t="b">
        <f ca="1">IF($E277="",FALSE,IF($E277&gt;0.25,ErrorMsgs!$H277))</f>
        <v>0</v>
      </c>
      <c r="R277" s="712"/>
      <c r="S277" s="712"/>
      <c r="T277" s="712"/>
      <c r="U277" s="526" t="str">
        <f t="shared" ca="1" si="38"/>
        <v/>
      </c>
      <c r="V277" s="93" t="str" cm="1">
        <f t="array" aca="1" ref="V277" ca="1">CELL("format",INDIRECT(I277))</f>
        <v>P4</v>
      </c>
      <c r="W277" s="93" t="b">
        <f t="shared" ca="1" si="39"/>
        <v>0</v>
      </c>
      <c r="X277" s="715" t="str">
        <f t="shared" ca="1" si="37"/>
        <v/>
      </c>
      <c r="Y277" t="b">
        <f t="shared" ca="1" si="40"/>
        <v>1</v>
      </c>
    </row>
    <row r="278" spans="1:25" ht="63" customHeight="1">
      <c r="A278" s="705" t="s">
        <v>3284</v>
      </c>
      <c r="B278" s="716" t="str">
        <f t="shared" ca="1" si="41"/>
        <v>40-year assumptions - F31</v>
      </c>
      <c r="C278" s="707" t="str" cm="1">
        <f t="array" aca="1" ref="C278" ca="1">INDIRECT(LEFT(I278, FIND("!", I278)) &amp; RefData!$C$426 &amp; RIGHT(I278, LEN(I278) - FIND("!", I278) - 1))</f>
        <v>Year 25</v>
      </c>
      <c r="D278" s="92" t="str">
        <f t="shared" ca="1" si="36"/>
        <v/>
      </c>
      <c r="E278" s="708" t="str" cm="1">
        <f t="array" aca="1" ref="E278" ca="1">IF(INDIRECT($I278)= "", "", INDIRECT($I278))</f>
        <v/>
      </c>
      <c r="F278" s="709" t="str" cm="1">
        <f t="array" aca="1" ref="F278" ca="1">INDIRECT(LEFT(I278, FIND("!", I278)) &amp; RefData!$C$427 &amp; RIGHT(I278, LEN(I278) - FIND("!", I278) - 1))</f>
        <v>FYA 25.0</v>
      </c>
      <c r="G278" s="710" t="b">
        <f ca="1">IF(ISNUMBER(SEARCH(RefData!$B$2, $C278)), FALSE, TRUE)</f>
        <v>1</v>
      </c>
      <c r="H278" s="344">
        <f>'40-year assumptions'!F31</f>
        <v>0</v>
      </c>
      <c r="I278" s="712" t="str">
        <f t="shared" ca="1" si="42"/>
        <v>'40-year assumptions'!F31</v>
      </c>
      <c r="J278" s="713" t="b" cm="1">
        <f t="array" aca="1" ref="J278" ca="1">IF(COUNTIF($K278:$T278, "&lt;&gt;FALSE") - COUNTBLANK($K278:$T278) &gt; 0, INDEX($K278:$T278, MATCH(TRUE, $K278:$T278 &lt;&gt; FALSE, 0)))</f>
        <v>0</v>
      </c>
      <c r="K278" s="712" t="b">
        <f ca="1">IF(AND('Start here'!$C$24=RefData!$B$5,OR('Other assumptions'!$C$7=RefData!$B$48,'Other assumptions'!$C$7=RefData!$B$46),'Reconciliation report'!$E278=""),ErrorMsgs!$B278)</f>
        <v>0</v>
      </c>
      <c r="L278" s="712" t="b">
        <f ca="1">IF(AND('Start here'!$C$24=RefData!$B$5,OR('Other assumptions'!$C$7=RefData!$B$47,'Other assumptions'!$C$7=RefData!$B$49),'Reconciliation report'!$E278&lt;&gt;""),ErrorMsgs!$C278)</f>
        <v>0</v>
      </c>
      <c r="M278" s="714" t="b">
        <f ca="1">IF(AND('Start here'!$C$24=RefData!$B$4,'Discount rates'!$C$7=RefData!$B$8,OR('Other assumptions'!$C$7=RefData!$B$48,'Other assumptions'!$C$7=RefData!$B$46),'Reconciliation report'!$E278=""),ErrorMsgs!$D278)</f>
        <v>0</v>
      </c>
      <c r="N278" s="714" t="b">
        <f ca="1">IF(AND('Start here'!$C$24=RefData!$B$4,'Discount rates'!$C$7=RefData!$B$8,OR('Other assumptions'!$C$7=RefData!$B$47,'Other assumptions'!$C$7=RefData!$B$49),'Reconciliation report'!$E278&lt;&gt;""),ErrorMsgs!$E278)</f>
        <v>0</v>
      </c>
      <c r="O278" s="712" t="b">
        <f ca="1">IF(AND('Start here'!$C$24=RefData!$B$4,'Discount rates'!$C$7=RefData!$B$7,'Reconciliation report'!$E278&lt;&gt;""),ErrorMsgs!$F278)</f>
        <v>0</v>
      </c>
      <c r="P278" s="712" t="b">
        <f ca="1">IF($E278&lt;-0.25,ErrorMsgs!$G278)</f>
        <v>0</v>
      </c>
      <c r="Q278" s="712" t="b">
        <f ca="1">IF($E278="",FALSE,IF($E278&gt;0.25,ErrorMsgs!$H278))</f>
        <v>0</v>
      </c>
      <c r="R278" s="712"/>
      <c r="S278" s="712"/>
      <c r="T278" s="712"/>
      <c r="U278" s="526" t="str">
        <f t="shared" ca="1" si="38"/>
        <v/>
      </c>
      <c r="V278" s="93" t="str" cm="1">
        <f t="array" aca="1" ref="V278" ca="1">CELL("format",INDIRECT(I278))</f>
        <v>P4</v>
      </c>
      <c r="W278" s="93" t="b">
        <f t="shared" ca="1" si="39"/>
        <v>0</v>
      </c>
      <c r="X278" s="715" t="str">
        <f t="shared" ca="1" si="37"/>
        <v/>
      </c>
      <c r="Y278" t="b">
        <f t="shared" ca="1" si="40"/>
        <v>1</v>
      </c>
    </row>
    <row r="279" spans="1:25" ht="63" customHeight="1">
      <c r="A279" s="705" t="s">
        <v>3285</v>
      </c>
      <c r="B279" s="716" t="str">
        <f t="shared" ca="1" si="41"/>
        <v>40-year assumptions - F32</v>
      </c>
      <c r="C279" s="707" t="str" cm="1">
        <f t="array" aca="1" ref="C279" ca="1">INDIRECT(LEFT(I279, FIND("!", I279)) &amp; RefData!$C$426 &amp; RIGHT(I279, LEN(I279) - FIND("!", I279) - 1))</f>
        <v>Year 26</v>
      </c>
      <c r="D279" s="92" t="str">
        <f t="shared" ca="1" si="36"/>
        <v/>
      </c>
      <c r="E279" s="708" t="str" cm="1">
        <f t="array" aca="1" ref="E279" ca="1">IF(INDIRECT($I279)= "", "", INDIRECT($I279))</f>
        <v/>
      </c>
      <c r="F279" s="709" t="str" cm="1">
        <f t="array" aca="1" ref="F279" ca="1">INDIRECT(LEFT(I279, FIND("!", I279)) &amp; RefData!$C$427 &amp; RIGHT(I279, LEN(I279) - FIND("!", I279) - 1))</f>
        <v>FYA 26.0</v>
      </c>
      <c r="G279" s="710" t="b">
        <f ca="1">IF(ISNUMBER(SEARCH(RefData!$B$2, $C279)), FALSE, TRUE)</f>
        <v>1</v>
      </c>
      <c r="H279" s="344">
        <f>'40-year assumptions'!F32</f>
        <v>0</v>
      </c>
      <c r="I279" s="712" t="str">
        <f t="shared" ca="1" si="42"/>
        <v>'40-year assumptions'!F32</v>
      </c>
      <c r="J279" s="713" t="b" cm="1">
        <f t="array" aca="1" ref="J279" ca="1">IF(COUNTIF($K279:$T279, "&lt;&gt;FALSE") - COUNTBLANK($K279:$T279) &gt; 0, INDEX($K279:$T279, MATCH(TRUE, $K279:$T279 &lt;&gt; FALSE, 0)))</f>
        <v>0</v>
      </c>
      <c r="K279" s="712" t="b">
        <f ca="1">IF(AND('Start here'!$C$24=RefData!$B$5,OR('Other assumptions'!$C$7=RefData!$B$48,'Other assumptions'!$C$7=RefData!$B$46),'Reconciliation report'!$E279=""),ErrorMsgs!$B279)</f>
        <v>0</v>
      </c>
      <c r="L279" s="712" t="b">
        <f ca="1">IF(AND('Start here'!$C$24=RefData!$B$5,OR('Other assumptions'!$C$7=RefData!$B$47,'Other assumptions'!$C$7=RefData!$B$49),'Reconciliation report'!$E279&lt;&gt;""),ErrorMsgs!$C279)</f>
        <v>0</v>
      </c>
      <c r="M279" s="714" t="b">
        <f ca="1">IF(AND('Start here'!$C$24=RefData!$B$4,'Discount rates'!$C$7=RefData!$B$8,OR('Other assumptions'!$C$7=RefData!$B$48,'Other assumptions'!$C$7=RefData!$B$46),'Reconciliation report'!$E279=""),ErrorMsgs!$D279)</f>
        <v>0</v>
      </c>
      <c r="N279" s="714" t="b">
        <f ca="1">IF(AND('Start here'!$C$24=RefData!$B$4,'Discount rates'!$C$7=RefData!$B$8,OR('Other assumptions'!$C$7=RefData!$B$47,'Other assumptions'!$C$7=RefData!$B$49),'Reconciliation report'!$E279&lt;&gt;""),ErrorMsgs!$E279)</f>
        <v>0</v>
      </c>
      <c r="O279" s="712" t="b">
        <f ca="1">IF(AND('Start here'!$C$24=RefData!$B$4,'Discount rates'!$C$7=RefData!$B$7,'Reconciliation report'!$E279&lt;&gt;""),ErrorMsgs!$F279)</f>
        <v>0</v>
      </c>
      <c r="P279" s="712" t="b">
        <f ca="1">IF($E279&lt;-0.25,ErrorMsgs!$G279)</f>
        <v>0</v>
      </c>
      <c r="Q279" s="712" t="b">
        <f ca="1">IF($E279="",FALSE,IF($E279&gt;0.25,ErrorMsgs!$H279))</f>
        <v>0</v>
      </c>
      <c r="R279" s="712"/>
      <c r="S279" s="712"/>
      <c r="T279" s="712"/>
      <c r="U279" s="526" t="str">
        <f t="shared" ca="1" si="38"/>
        <v/>
      </c>
      <c r="V279" s="93" t="str" cm="1">
        <f t="array" aca="1" ref="V279" ca="1">CELL("format",INDIRECT(I279))</f>
        <v>P4</v>
      </c>
      <c r="W279" s="93" t="b">
        <f t="shared" ca="1" si="39"/>
        <v>0</v>
      </c>
      <c r="X279" s="715" t="str">
        <f t="shared" ca="1" si="37"/>
        <v/>
      </c>
      <c r="Y279" t="b">
        <f t="shared" ca="1" si="40"/>
        <v>1</v>
      </c>
    </row>
    <row r="280" spans="1:25" ht="63" customHeight="1">
      <c r="A280" s="705" t="s">
        <v>3286</v>
      </c>
      <c r="B280" s="716" t="str">
        <f t="shared" ca="1" si="41"/>
        <v>40-year assumptions - F33</v>
      </c>
      <c r="C280" s="707" t="str" cm="1">
        <f t="array" aca="1" ref="C280" ca="1">INDIRECT(LEFT(I280, FIND("!", I280)) &amp; RefData!$C$426 &amp; RIGHT(I280, LEN(I280) - FIND("!", I280) - 1))</f>
        <v>Year 27</v>
      </c>
      <c r="D280" s="92" t="str">
        <f t="shared" ca="1" si="36"/>
        <v/>
      </c>
      <c r="E280" s="708" t="str" cm="1">
        <f t="array" aca="1" ref="E280" ca="1">IF(INDIRECT($I280)= "", "", INDIRECT($I280))</f>
        <v/>
      </c>
      <c r="F280" s="709" t="str" cm="1">
        <f t="array" aca="1" ref="F280" ca="1">INDIRECT(LEFT(I280, FIND("!", I280)) &amp; RefData!$C$427 &amp; RIGHT(I280, LEN(I280) - FIND("!", I280) - 1))</f>
        <v>FYA 27.0</v>
      </c>
      <c r="G280" s="710" t="b">
        <f ca="1">IF(ISNUMBER(SEARCH(RefData!$B$2, $C280)), FALSE, TRUE)</f>
        <v>1</v>
      </c>
      <c r="H280" s="344">
        <f>'40-year assumptions'!F33</f>
        <v>0</v>
      </c>
      <c r="I280" s="712" t="str">
        <f t="shared" ca="1" si="42"/>
        <v>'40-year assumptions'!F33</v>
      </c>
      <c r="J280" s="713" t="b" cm="1">
        <f t="array" aca="1" ref="J280" ca="1">IF(COUNTIF($K280:$T280, "&lt;&gt;FALSE") - COUNTBLANK($K280:$T280) &gt; 0, INDEX($K280:$T280, MATCH(TRUE, $K280:$T280 &lt;&gt; FALSE, 0)))</f>
        <v>0</v>
      </c>
      <c r="K280" s="712" t="b">
        <f ca="1">IF(AND('Start here'!$C$24=RefData!$B$5,OR('Other assumptions'!$C$7=RefData!$B$48,'Other assumptions'!$C$7=RefData!$B$46),'Reconciliation report'!$E280=""),ErrorMsgs!$B280)</f>
        <v>0</v>
      </c>
      <c r="L280" s="712" t="b">
        <f ca="1">IF(AND('Start here'!$C$24=RefData!$B$5,OR('Other assumptions'!$C$7=RefData!$B$47,'Other assumptions'!$C$7=RefData!$B$49),'Reconciliation report'!$E280&lt;&gt;""),ErrorMsgs!$C280)</f>
        <v>0</v>
      </c>
      <c r="M280" s="714" t="b">
        <f ca="1">IF(AND('Start here'!$C$24=RefData!$B$4,'Discount rates'!$C$7=RefData!$B$8,OR('Other assumptions'!$C$7=RefData!$B$48,'Other assumptions'!$C$7=RefData!$B$46),'Reconciliation report'!$E280=""),ErrorMsgs!$D280)</f>
        <v>0</v>
      </c>
      <c r="N280" s="714" t="b">
        <f ca="1">IF(AND('Start here'!$C$24=RefData!$B$4,'Discount rates'!$C$7=RefData!$B$8,OR('Other assumptions'!$C$7=RefData!$B$47,'Other assumptions'!$C$7=RefData!$B$49),'Reconciliation report'!$E280&lt;&gt;""),ErrorMsgs!$E280)</f>
        <v>0</v>
      </c>
      <c r="O280" s="712" t="b">
        <f ca="1">IF(AND('Start here'!$C$24=RefData!$B$4,'Discount rates'!$C$7=RefData!$B$7,'Reconciliation report'!$E280&lt;&gt;""),ErrorMsgs!$F280)</f>
        <v>0</v>
      </c>
      <c r="P280" s="712" t="b">
        <f ca="1">IF($E280&lt;-0.25,ErrorMsgs!$G280)</f>
        <v>0</v>
      </c>
      <c r="Q280" s="712" t="b">
        <f ca="1">IF($E280="",FALSE,IF($E280&gt;0.25,ErrorMsgs!$H280))</f>
        <v>0</v>
      </c>
      <c r="R280" s="712"/>
      <c r="S280" s="712"/>
      <c r="T280" s="712"/>
      <c r="U280" s="526" t="str">
        <f t="shared" ca="1" si="38"/>
        <v/>
      </c>
      <c r="V280" s="93" t="str" cm="1">
        <f t="array" aca="1" ref="V280" ca="1">CELL("format",INDIRECT(I280))</f>
        <v>P4</v>
      </c>
      <c r="W280" s="93" t="b">
        <f t="shared" ca="1" si="39"/>
        <v>0</v>
      </c>
      <c r="X280" s="715" t="str">
        <f t="shared" ca="1" si="37"/>
        <v/>
      </c>
      <c r="Y280" t="b">
        <f t="shared" ca="1" si="40"/>
        <v>1</v>
      </c>
    </row>
    <row r="281" spans="1:25" ht="63" customHeight="1">
      <c r="A281" s="705" t="s">
        <v>3287</v>
      </c>
      <c r="B281" s="716" t="str">
        <f t="shared" ca="1" si="41"/>
        <v>40-year assumptions - F34</v>
      </c>
      <c r="C281" s="707" t="str" cm="1">
        <f t="array" aca="1" ref="C281" ca="1">INDIRECT(LEFT(I281, FIND("!", I281)) &amp; RefData!$C$426 &amp; RIGHT(I281, LEN(I281) - FIND("!", I281) - 1))</f>
        <v>Year 28</v>
      </c>
      <c r="D281" s="92" t="str">
        <f t="shared" ca="1" si="36"/>
        <v/>
      </c>
      <c r="E281" s="708" t="str" cm="1">
        <f t="array" aca="1" ref="E281" ca="1">IF(INDIRECT($I281)= "", "", INDIRECT($I281))</f>
        <v/>
      </c>
      <c r="F281" s="709" t="str" cm="1">
        <f t="array" aca="1" ref="F281" ca="1">INDIRECT(LEFT(I281, FIND("!", I281)) &amp; RefData!$C$427 &amp; RIGHT(I281, LEN(I281) - FIND("!", I281) - 1))</f>
        <v>FYA 28.0</v>
      </c>
      <c r="G281" s="710" t="b">
        <f ca="1">IF(ISNUMBER(SEARCH(RefData!$B$2, $C281)), FALSE, TRUE)</f>
        <v>1</v>
      </c>
      <c r="H281" s="344">
        <f>'40-year assumptions'!F34</f>
        <v>0</v>
      </c>
      <c r="I281" s="712" t="str">
        <f t="shared" ca="1" si="42"/>
        <v>'40-year assumptions'!F34</v>
      </c>
      <c r="J281" s="713" t="b" cm="1">
        <f t="array" aca="1" ref="J281" ca="1">IF(COUNTIF($K281:$T281, "&lt;&gt;FALSE") - COUNTBLANK($K281:$T281) &gt; 0, INDEX($K281:$T281, MATCH(TRUE, $K281:$T281 &lt;&gt; FALSE, 0)))</f>
        <v>0</v>
      </c>
      <c r="K281" s="712" t="b">
        <f ca="1">IF(AND('Start here'!$C$24=RefData!$B$5,OR('Other assumptions'!$C$7=RefData!$B$48,'Other assumptions'!$C$7=RefData!$B$46),'Reconciliation report'!$E281=""),ErrorMsgs!$B281)</f>
        <v>0</v>
      </c>
      <c r="L281" s="712" t="b">
        <f ca="1">IF(AND('Start here'!$C$24=RefData!$B$5,OR('Other assumptions'!$C$7=RefData!$B$47,'Other assumptions'!$C$7=RefData!$B$49),'Reconciliation report'!$E281&lt;&gt;""),ErrorMsgs!$C281)</f>
        <v>0</v>
      </c>
      <c r="M281" s="714" t="b">
        <f ca="1">IF(AND('Start here'!$C$24=RefData!$B$4,'Discount rates'!$C$7=RefData!$B$8,OR('Other assumptions'!$C$7=RefData!$B$48,'Other assumptions'!$C$7=RefData!$B$46),'Reconciliation report'!$E281=""),ErrorMsgs!$D281)</f>
        <v>0</v>
      </c>
      <c r="N281" s="714" t="b">
        <f ca="1">IF(AND('Start here'!$C$24=RefData!$B$4,'Discount rates'!$C$7=RefData!$B$8,OR('Other assumptions'!$C$7=RefData!$B$47,'Other assumptions'!$C$7=RefData!$B$49),'Reconciliation report'!$E281&lt;&gt;""),ErrorMsgs!$E281)</f>
        <v>0</v>
      </c>
      <c r="O281" s="712" t="b">
        <f ca="1">IF(AND('Start here'!$C$24=RefData!$B$4,'Discount rates'!$C$7=RefData!$B$7,'Reconciliation report'!$E281&lt;&gt;""),ErrorMsgs!$F281)</f>
        <v>0</v>
      </c>
      <c r="P281" s="712" t="b">
        <f ca="1">IF($E281&lt;-0.25,ErrorMsgs!$G281)</f>
        <v>0</v>
      </c>
      <c r="Q281" s="712" t="b">
        <f ca="1">IF($E281="",FALSE,IF($E281&gt;0.25,ErrorMsgs!$H281))</f>
        <v>0</v>
      </c>
      <c r="R281" s="712"/>
      <c r="S281" s="712"/>
      <c r="T281" s="712"/>
      <c r="U281" s="526" t="str">
        <f t="shared" ca="1" si="38"/>
        <v/>
      </c>
      <c r="V281" s="93" t="str" cm="1">
        <f t="array" aca="1" ref="V281" ca="1">CELL("format",INDIRECT(I281))</f>
        <v>P4</v>
      </c>
      <c r="W281" s="93" t="b">
        <f t="shared" ca="1" si="39"/>
        <v>0</v>
      </c>
      <c r="X281" s="715" t="str">
        <f t="shared" ca="1" si="37"/>
        <v/>
      </c>
      <c r="Y281" t="b">
        <f t="shared" ca="1" si="40"/>
        <v>1</v>
      </c>
    </row>
    <row r="282" spans="1:25" ht="63" customHeight="1">
      <c r="A282" s="705" t="s">
        <v>3288</v>
      </c>
      <c r="B282" s="716" t="str">
        <f t="shared" ca="1" si="41"/>
        <v>40-year assumptions - F35</v>
      </c>
      <c r="C282" s="707" t="str" cm="1">
        <f t="array" aca="1" ref="C282" ca="1">INDIRECT(LEFT(I282, FIND("!", I282)) &amp; RefData!$C$426 &amp; RIGHT(I282, LEN(I282) - FIND("!", I282) - 1))</f>
        <v>Year 29</v>
      </c>
      <c r="D282" s="92" t="str">
        <f t="shared" ca="1" si="36"/>
        <v/>
      </c>
      <c r="E282" s="708" t="str" cm="1">
        <f t="array" aca="1" ref="E282" ca="1">IF(INDIRECT($I282)= "", "", INDIRECT($I282))</f>
        <v/>
      </c>
      <c r="F282" s="709" t="str" cm="1">
        <f t="array" aca="1" ref="F282" ca="1">INDIRECT(LEFT(I282, FIND("!", I282)) &amp; RefData!$C$427 &amp; RIGHT(I282, LEN(I282) - FIND("!", I282) - 1))</f>
        <v>FYA 29.0</v>
      </c>
      <c r="G282" s="710" t="b">
        <f ca="1">IF(ISNUMBER(SEARCH(RefData!$B$2, $C282)), FALSE, TRUE)</f>
        <v>1</v>
      </c>
      <c r="H282" s="344">
        <f>'40-year assumptions'!F35</f>
        <v>0</v>
      </c>
      <c r="I282" s="712" t="str">
        <f t="shared" ca="1" si="42"/>
        <v>'40-year assumptions'!F35</v>
      </c>
      <c r="J282" s="713" t="b" cm="1">
        <f t="array" aca="1" ref="J282" ca="1">IF(COUNTIF($K282:$T282, "&lt;&gt;FALSE") - COUNTBLANK($K282:$T282) &gt; 0, INDEX($K282:$T282, MATCH(TRUE, $K282:$T282 &lt;&gt; FALSE, 0)))</f>
        <v>0</v>
      </c>
      <c r="K282" s="712" t="b">
        <f ca="1">IF(AND('Start here'!$C$24=RefData!$B$5,OR('Other assumptions'!$C$7=RefData!$B$48,'Other assumptions'!$C$7=RefData!$B$46),'Reconciliation report'!$E282=""),ErrorMsgs!$B282)</f>
        <v>0</v>
      </c>
      <c r="L282" s="712" t="b">
        <f ca="1">IF(AND('Start here'!$C$24=RefData!$B$5,OR('Other assumptions'!$C$7=RefData!$B$47,'Other assumptions'!$C$7=RefData!$B$49),'Reconciliation report'!$E282&lt;&gt;""),ErrorMsgs!$C282)</f>
        <v>0</v>
      </c>
      <c r="M282" s="714" t="b">
        <f ca="1">IF(AND('Start here'!$C$24=RefData!$B$4,'Discount rates'!$C$7=RefData!$B$8,OR('Other assumptions'!$C$7=RefData!$B$48,'Other assumptions'!$C$7=RefData!$B$46),'Reconciliation report'!$E282=""),ErrorMsgs!$D282)</f>
        <v>0</v>
      </c>
      <c r="N282" s="714" t="b">
        <f ca="1">IF(AND('Start here'!$C$24=RefData!$B$4,'Discount rates'!$C$7=RefData!$B$8,OR('Other assumptions'!$C$7=RefData!$B$47,'Other assumptions'!$C$7=RefData!$B$49),'Reconciliation report'!$E282&lt;&gt;""),ErrorMsgs!$E282)</f>
        <v>0</v>
      </c>
      <c r="O282" s="712" t="b">
        <f ca="1">IF(AND('Start here'!$C$24=RefData!$B$4,'Discount rates'!$C$7=RefData!$B$7,'Reconciliation report'!$E282&lt;&gt;""),ErrorMsgs!$F282)</f>
        <v>0</v>
      </c>
      <c r="P282" s="712" t="b">
        <f ca="1">IF($E282&lt;-0.25,ErrorMsgs!$G282)</f>
        <v>0</v>
      </c>
      <c r="Q282" s="712" t="b">
        <f ca="1">IF($E282="",FALSE,IF($E282&gt;0.25,ErrorMsgs!$H282))</f>
        <v>0</v>
      </c>
      <c r="R282" s="712"/>
      <c r="S282" s="712"/>
      <c r="T282" s="712"/>
      <c r="U282" s="526" t="str">
        <f t="shared" ca="1" si="38"/>
        <v/>
      </c>
      <c r="V282" s="93" t="str" cm="1">
        <f t="array" aca="1" ref="V282" ca="1">CELL("format",INDIRECT(I282))</f>
        <v>P4</v>
      </c>
      <c r="W282" s="93" t="b">
        <f t="shared" ca="1" si="39"/>
        <v>0</v>
      </c>
      <c r="X282" s="715" t="str">
        <f t="shared" ca="1" si="37"/>
        <v/>
      </c>
      <c r="Y282" t="b">
        <f t="shared" ca="1" si="40"/>
        <v>1</v>
      </c>
    </row>
    <row r="283" spans="1:25" ht="63" customHeight="1">
      <c r="A283" s="705" t="s">
        <v>3289</v>
      </c>
      <c r="B283" s="716" t="str">
        <f t="shared" ca="1" si="41"/>
        <v>40-year assumptions - F36</v>
      </c>
      <c r="C283" s="707" t="str" cm="1">
        <f t="array" aca="1" ref="C283" ca="1">INDIRECT(LEFT(I283, FIND("!", I283)) &amp; RefData!$C$426 &amp; RIGHT(I283, LEN(I283) - FIND("!", I283) - 1))</f>
        <v>Year 30</v>
      </c>
      <c r="D283" s="92" t="str">
        <f t="shared" ca="1" si="36"/>
        <v/>
      </c>
      <c r="E283" s="708" t="str" cm="1">
        <f t="array" aca="1" ref="E283" ca="1">IF(INDIRECT($I283)= "", "", INDIRECT($I283))</f>
        <v/>
      </c>
      <c r="F283" s="709" t="str" cm="1">
        <f t="array" aca="1" ref="F283" ca="1">INDIRECT(LEFT(I283, FIND("!", I283)) &amp; RefData!$C$427 &amp; RIGHT(I283, LEN(I283) - FIND("!", I283) - 1))</f>
        <v>FYA 30.0</v>
      </c>
      <c r="G283" s="710" t="b">
        <f ca="1">IF(ISNUMBER(SEARCH(RefData!$B$2, $C283)), FALSE, TRUE)</f>
        <v>1</v>
      </c>
      <c r="H283" s="344">
        <f>'40-year assumptions'!F36</f>
        <v>0</v>
      </c>
      <c r="I283" s="712" t="str">
        <f t="shared" ca="1" si="42"/>
        <v>'40-year assumptions'!F36</v>
      </c>
      <c r="J283" s="713" t="b" cm="1">
        <f t="array" aca="1" ref="J283" ca="1">IF(COUNTIF($K283:$T283, "&lt;&gt;FALSE") - COUNTBLANK($K283:$T283) &gt; 0, INDEX($K283:$T283, MATCH(TRUE, $K283:$T283 &lt;&gt; FALSE, 0)))</f>
        <v>0</v>
      </c>
      <c r="K283" s="712" t="b">
        <f ca="1">IF(AND('Start here'!$C$24=RefData!$B$5,OR('Other assumptions'!$C$7=RefData!$B$48,'Other assumptions'!$C$7=RefData!$B$46),'Reconciliation report'!$E283=""),ErrorMsgs!$B283)</f>
        <v>0</v>
      </c>
      <c r="L283" s="712" t="b">
        <f ca="1">IF(AND('Start here'!$C$24=RefData!$B$5,OR('Other assumptions'!$C$7=RefData!$B$47,'Other assumptions'!$C$7=RefData!$B$49),'Reconciliation report'!$E283&lt;&gt;""),ErrorMsgs!$C283)</f>
        <v>0</v>
      </c>
      <c r="M283" s="714" t="b">
        <f ca="1">IF(AND('Start here'!$C$24=RefData!$B$4,'Discount rates'!$C$7=RefData!$B$8,OR('Other assumptions'!$C$7=RefData!$B$48,'Other assumptions'!$C$7=RefData!$B$46),'Reconciliation report'!$E283=""),ErrorMsgs!$D283)</f>
        <v>0</v>
      </c>
      <c r="N283" s="714" t="b">
        <f ca="1">IF(AND('Start here'!$C$24=RefData!$B$4,'Discount rates'!$C$7=RefData!$B$8,OR('Other assumptions'!$C$7=RefData!$B$47,'Other assumptions'!$C$7=RefData!$B$49),'Reconciliation report'!$E283&lt;&gt;""),ErrorMsgs!$E283)</f>
        <v>0</v>
      </c>
      <c r="O283" s="712" t="b">
        <f ca="1">IF(AND('Start here'!$C$24=RefData!$B$4,'Discount rates'!$C$7=RefData!$B$7,'Reconciliation report'!$E283&lt;&gt;""),ErrorMsgs!$F283)</f>
        <v>0</v>
      </c>
      <c r="P283" s="712" t="b">
        <f ca="1">IF($E283&lt;-0.25,ErrorMsgs!$G283)</f>
        <v>0</v>
      </c>
      <c r="Q283" s="712" t="b">
        <f ca="1">IF($E283="",FALSE,IF($E283&gt;0.25,ErrorMsgs!$H283))</f>
        <v>0</v>
      </c>
      <c r="R283" s="712"/>
      <c r="S283" s="712"/>
      <c r="T283" s="712"/>
      <c r="U283" s="526" t="str">
        <f t="shared" ca="1" si="38"/>
        <v/>
      </c>
      <c r="V283" s="93" t="str" cm="1">
        <f t="array" aca="1" ref="V283" ca="1">CELL("format",INDIRECT(I283))</f>
        <v>P4</v>
      </c>
      <c r="W283" s="93" t="b">
        <f t="shared" ca="1" si="39"/>
        <v>0</v>
      </c>
      <c r="X283" s="715" t="str">
        <f t="shared" ca="1" si="37"/>
        <v/>
      </c>
      <c r="Y283" t="b">
        <f t="shared" ca="1" si="40"/>
        <v>1</v>
      </c>
    </row>
    <row r="284" spans="1:25" ht="63" customHeight="1">
      <c r="A284" s="705" t="s">
        <v>3290</v>
      </c>
      <c r="B284" s="716" t="str">
        <f t="shared" ca="1" si="41"/>
        <v>40-year assumptions - F37</v>
      </c>
      <c r="C284" s="707" t="str" cm="1">
        <f t="array" aca="1" ref="C284" ca="1">INDIRECT(LEFT(I284, FIND("!", I284)) &amp; RefData!$C$426 &amp; RIGHT(I284, LEN(I284) - FIND("!", I284) - 1))</f>
        <v>Year 31</v>
      </c>
      <c r="D284" s="92" t="str">
        <f t="shared" ca="1" si="36"/>
        <v/>
      </c>
      <c r="E284" s="708" t="str" cm="1">
        <f t="array" aca="1" ref="E284" ca="1">IF(INDIRECT($I284)= "", "", INDIRECT($I284))</f>
        <v/>
      </c>
      <c r="F284" s="709" t="str" cm="1">
        <f t="array" aca="1" ref="F284" ca="1">INDIRECT(LEFT(I284, FIND("!", I284)) &amp; RefData!$C$427 &amp; RIGHT(I284, LEN(I284) - FIND("!", I284) - 1))</f>
        <v>FYA 31.0</v>
      </c>
      <c r="G284" s="710" t="b">
        <f ca="1">IF(ISNUMBER(SEARCH(RefData!$B$2, $C284)), FALSE, TRUE)</f>
        <v>1</v>
      </c>
      <c r="H284" s="344">
        <f>'40-year assumptions'!F37</f>
        <v>0</v>
      </c>
      <c r="I284" s="712" t="str">
        <f t="shared" ca="1" si="42"/>
        <v>'40-year assumptions'!F37</v>
      </c>
      <c r="J284" s="713" t="b" cm="1">
        <f t="array" aca="1" ref="J284" ca="1">IF(COUNTIF($K284:$T284, "&lt;&gt;FALSE") - COUNTBLANK($K284:$T284) &gt; 0, INDEX($K284:$T284, MATCH(TRUE, $K284:$T284 &lt;&gt; FALSE, 0)))</f>
        <v>0</v>
      </c>
      <c r="K284" s="712" t="b">
        <f ca="1">IF(AND('Start here'!$C$24=RefData!$B$5,OR('Other assumptions'!$C$7=RefData!$B$48,'Other assumptions'!$C$7=RefData!$B$46),'Reconciliation report'!$E284=""),ErrorMsgs!$B284)</f>
        <v>0</v>
      </c>
      <c r="L284" s="712" t="b">
        <f ca="1">IF(AND('Start here'!$C$24=RefData!$B$5,OR('Other assumptions'!$C$7=RefData!$B$47,'Other assumptions'!$C$7=RefData!$B$49),'Reconciliation report'!$E284&lt;&gt;""),ErrorMsgs!$C284)</f>
        <v>0</v>
      </c>
      <c r="M284" s="714" t="b">
        <f ca="1">IF(AND('Start here'!$C$24=RefData!$B$4,'Discount rates'!$C$7=RefData!$B$8,OR('Other assumptions'!$C$7=RefData!$B$48,'Other assumptions'!$C$7=RefData!$B$46),'Reconciliation report'!$E284=""),ErrorMsgs!$D284)</f>
        <v>0</v>
      </c>
      <c r="N284" s="714" t="b">
        <f ca="1">IF(AND('Start here'!$C$24=RefData!$B$4,'Discount rates'!$C$7=RefData!$B$8,OR('Other assumptions'!$C$7=RefData!$B$47,'Other assumptions'!$C$7=RefData!$B$49),'Reconciliation report'!$E284&lt;&gt;""),ErrorMsgs!$E284)</f>
        <v>0</v>
      </c>
      <c r="O284" s="712" t="b">
        <f ca="1">IF(AND('Start here'!$C$24=RefData!$B$4,'Discount rates'!$C$7=RefData!$B$7,'Reconciliation report'!$E284&lt;&gt;""),ErrorMsgs!$F284)</f>
        <v>0</v>
      </c>
      <c r="P284" s="712" t="b">
        <f ca="1">IF($E284&lt;-0.25,ErrorMsgs!$G284)</f>
        <v>0</v>
      </c>
      <c r="Q284" s="712" t="b">
        <f ca="1">IF($E284="",FALSE,IF($E284&gt;0.25,ErrorMsgs!$H284))</f>
        <v>0</v>
      </c>
      <c r="R284" s="712"/>
      <c r="S284" s="712"/>
      <c r="T284" s="712"/>
      <c r="U284" s="526" t="str">
        <f t="shared" ca="1" si="38"/>
        <v/>
      </c>
      <c r="V284" s="93" t="str" cm="1">
        <f t="array" aca="1" ref="V284" ca="1">CELL("format",INDIRECT(I284))</f>
        <v>P4</v>
      </c>
      <c r="W284" s="93" t="b">
        <f t="shared" ca="1" si="39"/>
        <v>0</v>
      </c>
      <c r="X284" s="715" t="str">
        <f t="shared" ca="1" si="37"/>
        <v/>
      </c>
      <c r="Y284" t="b">
        <f t="shared" ca="1" si="40"/>
        <v>1</v>
      </c>
    </row>
    <row r="285" spans="1:25" ht="63" customHeight="1">
      <c r="A285" s="705" t="s">
        <v>3291</v>
      </c>
      <c r="B285" s="716" t="str">
        <f t="shared" ca="1" si="41"/>
        <v>40-year assumptions - F38</v>
      </c>
      <c r="C285" s="707" t="str" cm="1">
        <f t="array" aca="1" ref="C285" ca="1">INDIRECT(LEFT(I285, FIND("!", I285)) &amp; RefData!$C$426 &amp; RIGHT(I285, LEN(I285) - FIND("!", I285) - 1))</f>
        <v>Year 32</v>
      </c>
      <c r="D285" s="92" t="str">
        <f t="shared" ca="1" si="36"/>
        <v/>
      </c>
      <c r="E285" s="708" t="str" cm="1">
        <f t="array" aca="1" ref="E285" ca="1">IF(INDIRECT($I285)= "", "", INDIRECT($I285))</f>
        <v/>
      </c>
      <c r="F285" s="709" t="str" cm="1">
        <f t="array" aca="1" ref="F285" ca="1">INDIRECT(LEFT(I285, FIND("!", I285)) &amp; RefData!$C$427 &amp; RIGHT(I285, LEN(I285) - FIND("!", I285) - 1))</f>
        <v>FYA 32.0</v>
      </c>
      <c r="G285" s="710" t="b">
        <f ca="1">IF(ISNUMBER(SEARCH(RefData!$B$2, $C285)), FALSE, TRUE)</f>
        <v>1</v>
      </c>
      <c r="H285" s="344">
        <f>'40-year assumptions'!F38</f>
        <v>0</v>
      </c>
      <c r="I285" s="712" t="str">
        <f t="shared" ca="1" si="42"/>
        <v>'40-year assumptions'!F38</v>
      </c>
      <c r="J285" s="713" t="b" cm="1">
        <f t="array" aca="1" ref="J285" ca="1">IF(COUNTIF($K285:$T285, "&lt;&gt;FALSE") - COUNTBLANK($K285:$T285) &gt; 0, INDEX($K285:$T285, MATCH(TRUE, $K285:$T285 &lt;&gt; FALSE, 0)))</f>
        <v>0</v>
      </c>
      <c r="K285" s="712" t="b">
        <f ca="1">IF(AND('Start here'!$C$24=RefData!$B$5,OR('Other assumptions'!$C$7=RefData!$B$48,'Other assumptions'!$C$7=RefData!$B$46),'Reconciliation report'!$E285=""),ErrorMsgs!$B285)</f>
        <v>0</v>
      </c>
      <c r="L285" s="712" t="b">
        <f ca="1">IF(AND('Start here'!$C$24=RefData!$B$5,OR('Other assumptions'!$C$7=RefData!$B$47,'Other assumptions'!$C$7=RefData!$B$49),'Reconciliation report'!$E285&lt;&gt;""),ErrorMsgs!$C285)</f>
        <v>0</v>
      </c>
      <c r="M285" s="714" t="b">
        <f ca="1">IF(AND('Start here'!$C$24=RefData!$B$4,'Discount rates'!$C$7=RefData!$B$8,OR('Other assumptions'!$C$7=RefData!$B$48,'Other assumptions'!$C$7=RefData!$B$46),'Reconciliation report'!$E285=""),ErrorMsgs!$D285)</f>
        <v>0</v>
      </c>
      <c r="N285" s="714" t="b">
        <f ca="1">IF(AND('Start here'!$C$24=RefData!$B$4,'Discount rates'!$C$7=RefData!$B$8,OR('Other assumptions'!$C$7=RefData!$B$47,'Other assumptions'!$C$7=RefData!$B$49),'Reconciliation report'!$E285&lt;&gt;""),ErrorMsgs!$E285)</f>
        <v>0</v>
      </c>
      <c r="O285" s="712" t="b">
        <f ca="1">IF(AND('Start here'!$C$24=RefData!$B$4,'Discount rates'!$C$7=RefData!$B$7,'Reconciliation report'!$E285&lt;&gt;""),ErrorMsgs!$F285)</f>
        <v>0</v>
      </c>
      <c r="P285" s="712" t="b">
        <f ca="1">IF($E285&lt;-0.25,ErrorMsgs!$G285)</f>
        <v>0</v>
      </c>
      <c r="Q285" s="712" t="b">
        <f ca="1">IF($E285="",FALSE,IF($E285&gt;0.25,ErrorMsgs!$H285))</f>
        <v>0</v>
      </c>
      <c r="R285" s="712"/>
      <c r="S285" s="712"/>
      <c r="T285" s="712"/>
      <c r="U285" s="526" t="str">
        <f t="shared" ca="1" si="38"/>
        <v/>
      </c>
      <c r="V285" s="93" t="str" cm="1">
        <f t="array" aca="1" ref="V285" ca="1">CELL("format",INDIRECT(I285))</f>
        <v>P4</v>
      </c>
      <c r="W285" s="93" t="b">
        <f t="shared" ca="1" si="39"/>
        <v>0</v>
      </c>
      <c r="X285" s="715" t="str">
        <f t="shared" ca="1" si="37"/>
        <v/>
      </c>
      <c r="Y285" t="b">
        <f t="shared" ca="1" si="40"/>
        <v>1</v>
      </c>
    </row>
    <row r="286" spans="1:25" ht="63" customHeight="1">
      <c r="A286" s="705" t="s">
        <v>3292</v>
      </c>
      <c r="B286" s="716" t="str">
        <f t="shared" ca="1" si="41"/>
        <v>40-year assumptions - F39</v>
      </c>
      <c r="C286" s="707" t="str" cm="1">
        <f t="array" aca="1" ref="C286" ca="1">INDIRECT(LEFT(I286, FIND("!", I286)) &amp; RefData!$C$426 &amp; RIGHT(I286, LEN(I286) - FIND("!", I286) - 1))</f>
        <v>Year 33</v>
      </c>
      <c r="D286" s="92" t="str">
        <f t="shared" ca="1" si="36"/>
        <v/>
      </c>
      <c r="E286" s="708" t="str" cm="1">
        <f t="array" aca="1" ref="E286" ca="1">IF(INDIRECT($I286)= "", "", INDIRECT($I286))</f>
        <v/>
      </c>
      <c r="F286" s="709" t="str" cm="1">
        <f t="array" aca="1" ref="F286" ca="1">INDIRECT(LEFT(I286, FIND("!", I286)) &amp; RefData!$C$427 &amp; RIGHT(I286, LEN(I286) - FIND("!", I286) - 1))</f>
        <v>FYA 33.0</v>
      </c>
      <c r="G286" s="710" t="b">
        <f ca="1">IF(ISNUMBER(SEARCH(RefData!$B$2, $C286)), FALSE, TRUE)</f>
        <v>1</v>
      </c>
      <c r="H286" s="344">
        <f>'40-year assumptions'!F39</f>
        <v>0</v>
      </c>
      <c r="I286" s="712" t="str">
        <f t="shared" ca="1" si="42"/>
        <v>'40-year assumptions'!F39</v>
      </c>
      <c r="J286" s="713" t="b" cm="1">
        <f t="array" aca="1" ref="J286" ca="1">IF(COUNTIF($K286:$T286, "&lt;&gt;FALSE") - COUNTBLANK($K286:$T286) &gt; 0, INDEX($K286:$T286, MATCH(TRUE, $K286:$T286 &lt;&gt; FALSE, 0)))</f>
        <v>0</v>
      </c>
      <c r="K286" s="712" t="b">
        <f ca="1">IF(AND('Start here'!$C$24=RefData!$B$5,OR('Other assumptions'!$C$7=RefData!$B$48,'Other assumptions'!$C$7=RefData!$B$46),'Reconciliation report'!$E286=""),ErrorMsgs!$B286)</f>
        <v>0</v>
      </c>
      <c r="L286" s="712" t="b">
        <f ca="1">IF(AND('Start here'!$C$24=RefData!$B$5,OR('Other assumptions'!$C$7=RefData!$B$47,'Other assumptions'!$C$7=RefData!$B$49),'Reconciliation report'!$E286&lt;&gt;""),ErrorMsgs!$C286)</f>
        <v>0</v>
      </c>
      <c r="M286" s="714" t="b">
        <f ca="1">IF(AND('Start here'!$C$24=RefData!$B$4,'Discount rates'!$C$7=RefData!$B$8,OR('Other assumptions'!$C$7=RefData!$B$48,'Other assumptions'!$C$7=RefData!$B$46),'Reconciliation report'!$E286=""),ErrorMsgs!$D286)</f>
        <v>0</v>
      </c>
      <c r="N286" s="714" t="b">
        <f ca="1">IF(AND('Start here'!$C$24=RefData!$B$4,'Discount rates'!$C$7=RefData!$B$8,OR('Other assumptions'!$C$7=RefData!$B$47,'Other assumptions'!$C$7=RefData!$B$49),'Reconciliation report'!$E286&lt;&gt;""),ErrorMsgs!$E286)</f>
        <v>0</v>
      </c>
      <c r="O286" s="712" t="b">
        <f ca="1">IF(AND('Start here'!$C$24=RefData!$B$4,'Discount rates'!$C$7=RefData!$B$7,'Reconciliation report'!$E286&lt;&gt;""),ErrorMsgs!$F286)</f>
        <v>0</v>
      </c>
      <c r="P286" s="712" t="b">
        <f ca="1">IF($E286&lt;-0.25,ErrorMsgs!$G286)</f>
        <v>0</v>
      </c>
      <c r="Q286" s="712" t="b">
        <f ca="1">IF($E286="",FALSE,IF($E286&gt;0.25,ErrorMsgs!$H286))</f>
        <v>0</v>
      </c>
      <c r="R286" s="712"/>
      <c r="S286" s="712"/>
      <c r="T286" s="712"/>
      <c r="U286" s="526" t="str">
        <f t="shared" ca="1" si="38"/>
        <v/>
      </c>
      <c r="V286" s="93" t="str" cm="1">
        <f t="array" aca="1" ref="V286" ca="1">CELL("format",INDIRECT(I286))</f>
        <v>P4</v>
      </c>
      <c r="W286" s="93" t="b">
        <f t="shared" ca="1" si="39"/>
        <v>0</v>
      </c>
      <c r="X286" s="715" t="str">
        <f t="shared" ca="1" si="37"/>
        <v/>
      </c>
      <c r="Y286" t="b">
        <f t="shared" ca="1" si="40"/>
        <v>1</v>
      </c>
    </row>
    <row r="287" spans="1:25" ht="63" customHeight="1">
      <c r="A287" s="705" t="s">
        <v>3293</v>
      </c>
      <c r="B287" s="716" t="str">
        <f t="shared" ca="1" si="41"/>
        <v>40-year assumptions - F40</v>
      </c>
      <c r="C287" s="707" t="str" cm="1">
        <f t="array" aca="1" ref="C287" ca="1">INDIRECT(LEFT(I287, FIND("!", I287)) &amp; RefData!$C$426 &amp; RIGHT(I287, LEN(I287) - FIND("!", I287) - 1))</f>
        <v>Year 34</v>
      </c>
      <c r="D287" s="92" t="str">
        <f t="shared" ca="1" si="36"/>
        <v/>
      </c>
      <c r="E287" s="708" t="str" cm="1">
        <f t="array" aca="1" ref="E287" ca="1">IF(INDIRECT($I287)= "", "", INDIRECT($I287))</f>
        <v/>
      </c>
      <c r="F287" s="709" t="str" cm="1">
        <f t="array" aca="1" ref="F287" ca="1">INDIRECT(LEFT(I287, FIND("!", I287)) &amp; RefData!$C$427 &amp; RIGHT(I287, LEN(I287) - FIND("!", I287) - 1))</f>
        <v>FYA 34.0</v>
      </c>
      <c r="G287" s="710" t="b">
        <f ca="1">IF(ISNUMBER(SEARCH(RefData!$B$2, $C287)), FALSE, TRUE)</f>
        <v>1</v>
      </c>
      <c r="H287" s="344">
        <f>'40-year assumptions'!F40</f>
        <v>0</v>
      </c>
      <c r="I287" s="712" t="str">
        <f t="shared" ca="1" si="42"/>
        <v>'40-year assumptions'!F40</v>
      </c>
      <c r="J287" s="713" t="b" cm="1">
        <f t="array" aca="1" ref="J287" ca="1">IF(COUNTIF($K287:$T287, "&lt;&gt;FALSE") - COUNTBLANK($K287:$T287) &gt; 0, INDEX($K287:$T287, MATCH(TRUE, $K287:$T287 &lt;&gt; FALSE, 0)))</f>
        <v>0</v>
      </c>
      <c r="K287" s="712" t="b">
        <f ca="1">IF(AND('Start here'!$C$24=RefData!$B$5,OR('Other assumptions'!$C$7=RefData!$B$48,'Other assumptions'!$C$7=RefData!$B$46),'Reconciliation report'!$E287=""),ErrorMsgs!$B287)</f>
        <v>0</v>
      </c>
      <c r="L287" s="712" t="b">
        <f ca="1">IF(AND('Start here'!$C$24=RefData!$B$5,OR('Other assumptions'!$C$7=RefData!$B$47,'Other assumptions'!$C$7=RefData!$B$49),'Reconciliation report'!$E287&lt;&gt;""),ErrorMsgs!$C287)</f>
        <v>0</v>
      </c>
      <c r="M287" s="714" t="b">
        <f ca="1">IF(AND('Start here'!$C$24=RefData!$B$4,'Discount rates'!$C$7=RefData!$B$8,OR('Other assumptions'!$C$7=RefData!$B$48,'Other assumptions'!$C$7=RefData!$B$46),'Reconciliation report'!$E287=""),ErrorMsgs!$D287)</f>
        <v>0</v>
      </c>
      <c r="N287" s="714" t="b">
        <f ca="1">IF(AND('Start here'!$C$24=RefData!$B$4,'Discount rates'!$C$7=RefData!$B$8,OR('Other assumptions'!$C$7=RefData!$B$47,'Other assumptions'!$C$7=RefData!$B$49),'Reconciliation report'!$E287&lt;&gt;""),ErrorMsgs!$E287)</f>
        <v>0</v>
      </c>
      <c r="O287" s="712" t="b">
        <f ca="1">IF(AND('Start here'!$C$24=RefData!$B$4,'Discount rates'!$C$7=RefData!$B$7,'Reconciliation report'!$E287&lt;&gt;""),ErrorMsgs!$F287)</f>
        <v>0</v>
      </c>
      <c r="P287" s="712" t="b">
        <f ca="1">IF($E287&lt;-0.25,ErrorMsgs!$G287)</f>
        <v>0</v>
      </c>
      <c r="Q287" s="712" t="b">
        <f ca="1">IF($E287="",FALSE,IF($E287&gt;0.25,ErrorMsgs!$H287))</f>
        <v>0</v>
      </c>
      <c r="R287" s="712"/>
      <c r="S287" s="712"/>
      <c r="T287" s="712"/>
      <c r="U287" s="526" t="str">
        <f t="shared" ca="1" si="38"/>
        <v/>
      </c>
      <c r="V287" s="93" t="str" cm="1">
        <f t="array" aca="1" ref="V287" ca="1">CELL("format",INDIRECT(I287))</f>
        <v>P4</v>
      </c>
      <c r="W287" s="93" t="b">
        <f t="shared" ca="1" si="39"/>
        <v>0</v>
      </c>
      <c r="X287" s="715" t="str">
        <f t="shared" ca="1" si="37"/>
        <v/>
      </c>
      <c r="Y287" t="b">
        <f t="shared" ca="1" si="40"/>
        <v>1</v>
      </c>
    </row>
    <row r="288" spans="1:25" ht="63" customHeight="1">
      <c r="A288" s="705" t="s">
        <v>3294</v>
      </c>
      <c r="B288" s="716" t="str">
        <f t="shared" ca="1" si="41"/>
        <v>40-year assumptions - F41</v>
      </c>
      <c r="C288" s="707" t="str" cm="1">
        <f t="array" aca="1" ref="C288" ca="1">INDIRECT(LEFT(I288, FIND("!", I288)) &amp; RefData!$C$426 &amp; RIGHT(I288, LEN(I288) - FIND("!", I288) - 1))</f>
        <v>Year 35</v>
      </c>
      <c r="D288" s="92" t="str">
        <f t="shared" ca="1" si="36"/>
        <v/>
      </c>
      <c r="E288" s="708" t="str" cm="1">
        <f t="array" aca="1" ref="E288" ca="1">IF(INDIRECT($I288)= "", "", INDIRECT($I288))</f>
        <v/>
      </c>
      <c r="F288" s="709" t="str" cm="1">
        <f t="array" aca="1" ref="F288" ca="1">INDIRECT(LEFT(I288, FIND("!", I288)) &amp; RefData!$C$427 &amp; RIGHT(I288, LEN(I288) - FIND("!", I288) - 1))</f>
        <v>FYA 35.0</v>
      </c>
      <c r="G288" s="710" t="b">
        <f ca="1">IF(ISNUMBER(SEARCH(RefData!$B$2, $C288)), FALSE, TRUE)</f>
        <v>1</v>
      </c>
      <c r="H288" s="344">
        <f>'40-year assumptions'!F41</f>
        <v>0</v>
      </c>
      <c r="I288" s="712" t="str">
        <f t="shared" ca="1" si="42"/>
        <v>'40-year assumptions'!F41</v>
      </c>
      <c r="J288" s="713" t="b" cm="1">
        <f t="array" aca="1" ref="J288" ca="1">IF(COUNTIF($K288:$T288, "&lt;&gt;FALSE") - COUNTBLANK($K288:$T288) &gt; 0, INDEX($K288:$T288, MATCH(TRUE, $K288:$T288 &lt;&gt; FALSE, 0)))</f>
        <v>0</v>
      </c>
      <c r="K288" s="712" t="b">
        <f ca="1">IF(AND('Start here'!$C$24=RefData!$B$5,OR('Other assumptions'!$C$7=RefData!$B$48,'Other assumptions'!$C$7=RefData!$B$46),'Reconciliation report'!$E288=""),ErrorMsgs!$B288)</f>
        <v>0</v>
      </c>
      <c r="L288" s="712" t="b">
        <f ca="1">IF(AND('Start here'!$C$24=RefData!$B$5,OR('Other assumptions'!$C$7=RefData!$B$47,'Other assumptions'!$C$7=RefData!$B$49),'Reconciliation report'!$E288&lt;&gt;""),ErrorMsgs!$C288)</f>
        <v>0</v>
      </c>
      <c r="M288" s="714" t="b">
        <f ca="1">IF(AND('Start here'!$C$24=RefData!$B$4,'Discount rates'!$C$7=RefData!$B$8,OR('Other assumptions'!$C$7=RefData!$B$48,'Other assumptions'!$C$7=RefData!$B$46),'Reconciliation report'!$E288=""),ErrorMsgs!$D288)</f>
        <v>0</v>
      </c>
      <c r="N288" s="714" t="b">
        <f ca="1">IF(AND('Start here'!$C$24=RefData!$B$4,'Discount rates'!$C$7=RefData!$B$8,OR('Other assumptions'!$C$7=RefData!$B$47,'Other assumptions'!$C$7=RefData!$B$49),'Reconciliation report'!$E288&lt;&gt;""),ErrorMsgs!$E288)</f>
        <v>0</v>
      </c>
      <c r="O288" s="712" t="b">
        <f ca="1">IF(AND('Start here'!$C$24=RefData!$B$4,'Discount rates'!$C$7=RefData!$B$7,'Reconciliation report'!$E288&lt;&gt;""),ErrorMsgs!$F288)</f>
        <v>0</v>
      </c>
      <c r="P288" s="712" t="b">
        <f ca="1">IF($E288&lt;-0.25,ErrorMsgs!$G288)</f>
        <v>0</v>
      </c>
      <c r="Q288" s="712" t="b">
        <f ca="1">IF($E288="",FALSE,IF($E288&gt;0.25,ErrorMsgs!$H288))</f>
        <v>0</v>
      </c>
      <c r="R288" s="712"/>
      <c r="S288" s="712"/>
      <c r="T288" s="712"/>
      <c r="U288" s="526" t="str">
        <f t="shared" ca="1" si="38"/>
        <v/>
      </c>
      <c r="V288" s="93" t="str" cm="1">
        <f t="array" aca="1" ref="V288" ca="1">CELL("format",INDIRECT(I288))</f>
        <v>P4</v>
      </c>
      <c r="W288" s="93" t="b">
        <f t="shared" ca="1" si="39"/>
        <v>0</v>
      </c>
      <c r="X288" s="715" t="str">
        <f t="shared" ca="1" si="37"/>
        <v/>
      </c>
      <c r="Y288" t="b">
        <f t="shared" ca="1" si="40"/>
        <v>1</v>
      </c>
    </row>
    <row r="289" spans="1:25" ht="63" customHeight="1">
      <c r="A289" s="705" t="s">
        <v>3295</v>
      </c>
      <c r="B289" s="716" t="str">
        <f t="shared" ca="1" si="41"/>
        <v>40-year assumptions - F42</v>
      </c>
      <c r="C289" s="707" t="str" cm="1">
        <f t="array" aca="1" ref="C289" ca="1">INDIRECT(LEFT(I289, FIND("!", I289)) &amp; RefData!$C$426 &amp; RIGHT(I289, LEN(I289) - FIND("!", I289) - 1))</f>
        <v>Year 36</v>
      </c>
      <c r="D289" s="92" t="str">
        <f t="shared" ca="1" si="36"/>
        <v/>
      </c>
      <c r="E289" s="708" t="str" cm="1">
        <f t="array" aca="1" ref="E289" ca="1">IF(INDIRECT($I289)= "", "", INDIRECT($I289))</f>
        <v/>
      </c>
      <c r="F289" s="709" t="str" cm="1">
        <f t="array" aca="1" ref="F289" ca="1">INDIRECT(LEFT(I289, FIND("!", I289)) &amp; RefData!$C$427 &amp; RIGHT(I289, LEN(I289) - FIND("!", I289) - 1))</f>
        <v>FYA 36.0</v>
      </c>
      <c r="G289" s="710" t="b">
        <f ca="1">IF(ISNUMBER(SEARCH(RefData!$B$2, $C289)), FALSE, TRUE)</f>
        <v>1</v>
      </c>
      <c r="H289" s="344">
        <f>'40-year assumptions'!F42</f>
        <v>0</v>
      </c>
      <c r="I289" s="712" t="str">
        <f t="shared" ca="1" si="42"/>
        <v>'40-year assumptions'!F42</v>
      </c>
      <c r="J289" s="713" t="b" cm="1">
        <f t="array" aca="1" ref="J289" ca="1">IF(COUNTIF($K289:$T289, "&lt;&gt;FALSE") - COUNTBLANK($K289:$T289) &gt; 0, INDEX($K289:$T289, MATCH(TRUE, $K289:$T289 &lt;&gt; FALSE, 0)))</f>
        <v>0</v>
      </c>
      <c r="K289" s="712" t="b">
        <f ca="1">IF(AND('Start here'!$C$24=RefData!$B$5,OR('Other assumptions'!$C$7=RefData!$B$48,'Other assumptions'!$C$7=RefData!$B$46),'Reconciliation report'!$E289=""),ErrorMsgs!$B289)</f>
        <v>0</v>
      </c>
      <c r="L289" s="712" t="b">
        <f ca="1">IF(AND('Start here'!$C$24=RefData!$B$5,OR('Other assumptions'!$C$7=RefData!$B$47,'Other assumptions'!$C$7=RefData!$B$49),'Reconciliation report'!$E289&lt;&gt;""),ErrorMsgs!$C289)</f>
        <v>0</v>
      </c>
      <c r="M289" s="714" t="b">
        <f ca="1">IF(AND('Start here'!$C$24=RefData!$B$4,'Discount rates'!$C$7=RefData!$B$8,OR('Other assumptions'!$C$7=RefData!$B$48,'Other assumptions'!$C$7=RefData!$B$46),'Reconciliation report'!$E289=""),ErrorMsgs!$D289)</f>
        <v>0</v>
      </c>
      <c r="N289" s="714" t="b">
        <f ca="1">IF(AND('Start here'!$C$24=RefData!$B$4,'Discount rates'!$C$7=RefData!$B$8,OR('Other assumptions'!$C$7=RefData!$B$47,'Other assumptions'!$C$7=RefData!$B$49),'Reconciliation report'!$E289&lt;&gt;""),ErrorMsgs!$E289)</f>
        <v>0</v>
      </c>
      <c r="O289" s="712" t="b">
        <f ca="1">IF(AND('Start here'!$C$24=RefData!$B$4,'Discount rates'!$C$7=RefData!$B$7,'Reconciliation report'!$E289&lt;&gt;""),ErrorMsgs!$F289)</f>
        <v>0</v>
      </c>
      <c r="P289" s="712" t="b">
        <f ca="1">IF($E289&lt;-0.25,ErrorMsgs!$G289)</f>
        <v>0</v>
      </c>
      <c r="Q289" s="712" t="b">
        <f ca="1">IF($E289="",FALSE,IF($E289&gt;0.25,ErrorMsgs!$H289))</f>
        <v>0</v>
      </c>
      <c r="R289" s="712"/>
      <c r="S289" s="712"/>
      <c r="T289" s="712"/>
      <c r="U289" s="526" t="str">
        <f t="shared" ca="1" si="38"/>
        <v/>
      </c>
      <c r="V289" s="93" t="str" cm="1">
        <f t="array" aca="1" ref="V289" ca="1">CELL("format",INDIRECT(I289))</f>
        <v>P4</v>
      </c>
      <c r="W289" s="93" t="b">
        <f t="shared" ca="1" si="39"/>
        <v>0</v>
      </c>
      <c r="X289" s="715" t="str">
        <f t="shared" ca="1" si="37"/>
        <v/>
      </c>
      <c r="Y289" t="b">
        <f t="shared" ca="1" si="40"/>
        <v>1</v>
      </c>
    </row>
    <row r="290" spans="1:25" ht="63" customHeight="1">
      <c r="A290" s="705" t="s">
        <v>3296</v>
      </c>
      <c r="B290" s="716" t="str">
        <f t="shared" ca="1" si="41"/>
        <v>40-year assumptions - F43</v>
      </c>
      <c r="C290" s="707" t="str" cm="1">
        <f t="array" aca="1" ref="C290" ca="1">INDIRECT(LEFT(I290, FIND("!", I290)) &amp; RefData!$C$426 &amp; RIGHT(I290, LEN(I290) - FIND("!", I290) - 1))</f>
        <v>Year 37</v>
      </c>
      <c r="D290" s="92" t="str">
        <f t="shared" ca="1" si="36"/>
        <v/>
      </c>
      <c r="E290" s="708" t="str" cm="1">
        <f t="array" aca="1" ref="E290" ca="1">IF(INDIRECT($I290)= "", "", INDIRECT($I290))</f>
        <v/>
      </c>
      <c r="F290" s="709" t="str" cm="1">
        <f t="array" aca="1" ref="F290" ca="1">INDIRECT(LEFT(I290, FIND("!", I290)) &amp; RefData!$C$427 &amp; RIGHT(I290, LEN(I290) - FIND("!", I290) - 1))</f>
        <v>FYA 37.0</v>
      </c>
      <c r="G290" s="710" t="b">
        <f ca="1">IF(ISNUMBER(SEARCH(RefData!$B$2, $C290)), FALSE, TRUE)</f>
        <v>1</v>
      </c>
      <c r="H290" s="344">
        <f>'40-year assumptions'!F43</f>
        <v>0</v>
      </c>
      <c r="I290" s="712" t="str">
        <f t="shared" ca="1" si="42"/>
        <v>'40-year assumptions'!F43</v>
      </c>
      <c r="J290" s="713" t="b" cm="1">
        <f t="array" aca="1" ref="J290" ca="1">IF(COUNTIF($K290:$T290, "&lt;&gt;FALSE") - COUNTBLANK($K290:$T290) &gt; 0, INDEX($K290:$T290, MATCH(TRUE, $K290:$T290 &lt;&gt; FALSE, 0)))</f>
        <v>0</v>
      </c>
      <c r="K290" s="712" t="b">
        <f ca="1">IF(AND('Start here'!$C$24=RefData!$B$5,OR('Other assumptions'!$C$7=RefData!$B$48,'Other assumptions'!$C$7=RefData!$B$46),'Reconciliation report'!$E290=""),ErrorMsgs!$B290)</f>
        <v>0</v>
      </c>
      <c r="L290" s="712" t="b">
        <f ca="1">IF(AND('Start here'!$C$24=RefData!$B$5,OR('Other assumptions'!$C$7=RefData!$B$47,'Other assumptions'!$C$7=RefData!$B$49),'Reconciliation report'!$E290&lt;&gt;""),ErrorMsgs!$C290)</f>
        <v>0</v>
      </c>
      <c r="M290" s="714" t="b">
        <f ca="1">IF(AND('Start here'!$C$24=RefData!$B$4,'Discount rates'!$C$7=RefData!$B$8,OR('Other assumptions'!$C$7=RefData!$B$48,'Other assumptions'!$C$7=RefData!$B$46),'Reconciliation report'!$E290=""),ErrorMsgs!$D290)</f>
        <v>0</v>
      </c>
      <c r="N290" s="714" t="b">
        <f ca="1">IF(AND('Start here'!$C$24=RefData!$B$4,'Discount rates'!$C$7=RefData!$B$8,OR('Other assumptions'!$C$7=RefData!$B$47,'Other assumptions'!$C$7=RefData!$B$49),'Reconciliation report'!$E290&lt;&gt;""),ErrorMsgs!$E290)</f>
        <v>0</v>
      </c>
      <c r="O290" s="712" t="b">
        <f ca="1">IF(AND('Start here'!$C$24=RefData!$B$4,'Discount rates'!$C$7=RefData!$B$7,'Reconciliation report'!$E290&lt;&gt;""),ErrorMsgs!$F290)</f>
        <v>0</v>
      </c>
      <c r="P290" s="712" t="b">
        <f ca="1">IF($E290&lt;-0.25,ErrorMsgs!$G290)</f>
        <v>0</v>
      </c>
      <c r="Q290" s="712" t="b">
        <f ca="1">IF($E290="",FALSE,IF($E290&gt;0.25,ErrorMsgs!$H290))</f>
        <v>0</v>
      </c>
      <c r="R290" s="712"/>
      <c r="S290" s="712"/>
      <c r="T290" s="712"/>
      <c r="U290" s="526" t="str">
        <f t="shared" ca="1" si="38"/>
        <v/>
      </c>
      <c r="V290" s="93" t="str" cm="1">
        <f t="array" aca="1" ref="V290" ca="1">CELL("format",INDIRECT(I290))</f>
        <v>P4</v>
      </c>
      <c r="W290" s="93" t="b">
        <f t="shared" ca="1" si="39"/>
        <v>0</v>
      </c>
      <c r="X290" s="715" t="str">
        <f t="shared" ca="1" si="37"/>
        <v/>
      </c>
      <c r="Y290" t="b">
        <f t="shared" ca="1" si="40"/>
        <v>1</v>
      </c>
    </row>
    <row r="291" spans="1:25" ht="63" customHeight="1">
      <c r="A291" s="705" t="s">
        <v>3297</v>
      </c>
      <c r="B291" s="716" t="str">
        <f t="shared" ca="1" si="41"/>
        <v>40-year assumptions - F44</v>
      </c>
      <c r="C291" s="707" t="str" cm="1">
        <f t="array" aca="1" ref="C291" ca="1">INDIRECT(LEFT(I291, FIND("!", I291)) &amp; RefData!$C$426 &amp; RIGHT(I291, LEN(I291) - FIND("!", I291) - 1))</f>
        <v>Year 38</v>
      </c>
      <c r="D291" s="92" t="str">
        <f t="shared" ca="1" si="36"/>
        <v/>
      </c>
      <c r="E291" s="708" t="str" cm="1">
        <f t="array" aca="1" ref="E291" ca="1">IF(INDIRECT($I291)= "", "", INDIRECT($I291))</f>
        <v/>
      </c>
      <c r="F291" s="709" t="str" cm="1">
        <f t="array" aca="1" ref="F291" ca="1">INDIRECT(LEFT(I291, FIND("!", I291)) &amp; RefData!$C$427 &amp; RIGHT(I291, LEN(I291) - FIND("!", I291) - 1))</f>
        <v>FYA 38.0</v>
      </c>
      <c r="G291" s="710" t="b">
        <f ca="1">IF(ISNUMBER(SEARCH(RefData!$B$2, $C291)), FALSE, TRUE)</f>
        <v>1</v>
      </c>
      <c r="H291" s="344">
        <f>'40-year assumptions'!F44</f>
        <v>0</v>
      </c>
      <c r="I291" s="712" t="str">
        <f t="shared" ca="1" si="42"/>
        <v>'40-year assumptions'!F44</v>
      </c>
      <c r="J291" s="713" t="b" cm="1">
        <f t="array" aca="1" ref="J291" ca="1">IF(COUNTIF($K291:$T291, "&lt;&gt;FALSE") - COUNTBLANK($K291:$T291) &gt; 0, INDEX($K291:$T291, MATCH(TRUE, $K291:$T291 &lt;&gt; FALSE, 0)))</f>
        <v>0</v>
      </c>
      <c r="K291" s="712" t="b">
        <f ca="1">IF(AND('Start here'!$C$24=RefData!$B$5,OR('Other assumptions'!$C$7=RefData!$B$48,'Other assumptions'!$C$7=RefData!$B$46),'Reconciliation report'!$E291=""),ErrorMsgs!$B291)</f>
        <v>0</v>
      </c>
      <c r="L291" s="712" t="b">
        <f ca="1">IF(AND('Start here'!$C$24=RefData!$B$5,OR('Other assumptions'!$C$7=RefData!$B$47,'Other assumptions'!$C$7=RefData!$B$49),'Reconciliation report'!$E291&lt;&gt;""),ErrorMsgs!$C291)</f>
        <v>0</v>
      </c>
      <c r="M291" s="714" t="b">
        <f ca="1">IF(AND('Start here'!$C$24=RefData!$B$4,'Discount rates'!$C$7=RefData!$B$8,OR('Other assumptions'!$C$7=RefData!$B$48,'Other assumptions'!$C$7=RefData!$B$46),'Reconciliation report'!$E291=""),ErrorMsgs!$D291)</f>
        <v>0</v>
      </c>
      <c r="N291" s="714" t="b">
        <f ca="1">IF(AND('Start here'!$C$24=RefData!$B$4,'Discount rates'!$C$7=RefData!$B$8,OR('Other assumptions'!$C$7=RefData!$B$47,'Other assumptions'!$C$7=RefData!$B$49),'Reconciliation report'!$E291&lt;&gt;""),ErrorMsgs!$E291)</f>
        <v>0</v>
      </c>
      <c r="O291" s="712" t="b">
        <f ca="1">IF(AND('Start here'!$C$24=RefData!$B$4,'Discount rates'!$C$7=RefData!$B$7,'Reconciliation report'!$E291&lt;&gt;""),ErrorMsgs!$F291)</f>
        <v>0</v>
      </c>
      <c r="P291" s="712" t="b">
        <f ca="1">IF($E291&lt;-0.25,ErrorMsgs!$G291)</f>
        <v>0</v>
      </c>
      <c r="Q291" s="712" t="b">
        <f ca="1">IF($E291="",FALSE,IF($E291&gt;0.25,ErrorMsgs!$H291))</f>
        <v>0</v>
      </c>
      <c r="R291" s="712"/>
      <c r="S291" s="712"/>
      <c r="T291" s="712"/>
      <c r="U291" s="526" t="str">
        <f t="shared" ca="1" si="38"/>
        <v/>
      </c>
      <c r="V291" s="93" t="str" cm="1">
        <f t="array" aca="1" ref="V291" ca="1">CELL("format",INDIRECT(I291))</f>
        <v>P4</v>
      </c>
      <c r="W291" s="93" t="b">
        <f t="shared" ca="1" si="39"/>
        <v>0</v>
      </c>
      <c r="X291" s="715" t="str">
        <f t="shared" ca="1" si="37"/>
        <v/>
      </c>
      <c r="Y291" t="b">
        <f t="shared" ca="1" si="40"/>
        <v>1</v>
      </c>
    </row>
    <row r="292" spans="1:25" ht="63" customHeight="1">
      <c r="A292" s="705" t="s">
        <v>3298</v>
      </c>
      <c r="B292" s="716" t="str">
        <f t="shared" ca="1" si="41"/>
        <v>40-year assumptions - F45</v>
      </c>
      <c r="C292" s="707" t="str" cm="1">
        <f t="array" aca="1" ref="C292" ca="1">INDIRECT(LEFT(I292, FIND("!", I292)) &amp; RefData!$C$426 &amp; RIGHT(I292, LEN(I292) - FIND("!", I292) - 1))</f>
        <v>Year 39</v>
      </c>
      <c r="D292" s="92" t="str">
        <f t="shared" ca="1" si="36"/>
        <v/>
      </c>
      <c r="E292" s="708" t="str" cm="1">
        <f t="array" aca="1" ref="E292" ca="1">IF(INDIRECT($I292)= "", "", INDIRECT($I292))</f>
        <v/>
      </c>
      <c r="F292" s="709" t="str" cm="1">
        <f t="array" aca="1" ref="F292" ca="1">INDIRECT(LEFT(I292, FIND("!", I292)) &amp; RefData!$C$427 &amp; RIGHT(I292, LEN(I292) - FIND("!", I292) - 1))</f>
        <v>FYA 39.0</v>
      </c>
      <c r="G292" s="710" t="b">
        <f ca="1">IF(ISNUMBER(SEARCH(RefData!$B$2, $C292)), FALSE, TRUE)</f>
        <v>1</v>
      </c>
      <c r="H292" s="344">
        <f>'40-year assumptions'!F45</f>
        <v>0</v>
      </c>
      <c r="I292" s="712" t="str">
        <f t="shared" ca="1" si="42"/>
        <v>'40-year assumptions'!F45</v>
      </c>
      <c r="J292" s="713" t="b" cm="1">
        <f t="array" aca="1" ref="J292" ca="1">IF(COUNTIF($K292:$T292, "&lt;&gt;FALSE") - COUNTBLANK($K292:$T292) &gt; 0, INDEX($K292:$T292, MATCH(TRUE, $K292:$T292 &lt;&gt; FALSE, 0)))</f>
        <v>0</v>
      </c>
      <c r="K292" s="712" t="b">
        <f ca="1">IF(AND('Start here'!$C$24=RefData!$B$5,OR('Other assumptions'!$C$7=RefData!$B$48,'Other assumptions'!$C$7=RefData!$B$46),'Reconciliation report'!$E292=""),ErrorMsgs!$B292)</f>
        <v>0</v>
      </c>
      <c r="L292" s="712" t="b">
        <f ca="1">IF(AND('Start here'!$C$24=RefData!$B$5,OR('Other assumptions'!$C$7=RefData!$B$47,'Other assumptions'!$C$7=RefData!$B$49),'Reconciliation report'!$E292&lt;&gt;""),ErrorMsgs!$C292)</f>
        <v>0</v>
      </c>
      <c r="M292" s="714" t="b">
        <f ca="1">IF(AND('Start here'!$C$24=RefData!$B$4,'Discount rates'!$C$7=RefData!$B$8,OR('Other assumptions'!$C$7=RefData!$B$48,'Other assumptions'!$C$7=RefData!$B$46),'Reconciliation report'!$E292=""),ErrorMsgs!$D292)</f>
        <v>0</v>
      </c>
      <c r="N292" s="714" t="b">
        <f ca="1">IF(AND('Start here'!$C$24=RefData!$B$4,'Discount rates'!$C$7=RefData!$B$8,OR('Other assumptions'!$C$7=RefData!$B$47,'Other assumptions'!$C$7=RefData!$B$49),'Reconciliation report'!$E292&lt;&gt;""),ErrorMsgs!$E292)</f>
        <v>0</v>
      </c>
      <c r="O292" s="712" t="b">
        <f ca="1">IF(AND('Start here'!$C$24=RefData!$B$4,'Discount rates'!$C$7=RefData!$B$7,'Reconciliation report'!$E292&lt;&gt;""),ErrorMsgs!$F292)</f>
        <v>0</v>
      </c>
      <c r="P292" s="712" t="b">
        <f ca="1">IF($E292&lt;-0.25,ErrorMsgs!$G292)</f>
        <v>0</v>
      </c>
      <c r="Q292" s="712" t="b">
        <f ca="1">IF($E292="",FALSE,IF($E292&gt;0.25,ErrorMsgs!$H292))</f>
        <v>0</v>
      </c>
      <c r="R292" s="712"/>
      <c r="S292" s="712"/>
      <c r="T292" s="712"/>
      <c r="U292" s="526" t="str">
        <f t="shared" ca="1" si="38"/>
        <v/>
      </c>
      <c r="V292" s="93" t="str" cm="1">
        <f t="array" aca="1" ref="V292" ca="1">CELL("format",INDIRECT(I292))</f>
        <v>P4</v>
      </c>
      <c r="W292" s="93" t="b">
        <f t="shared" ca="1" si="39"/>
        <v>0</v>
      </c>
      <c r="X292" s="715" t="str">
        <f t="shared" ca="1" si="37"/>
        <v/>
      </c>
      <c r="Y292" t="b">
        <f t="shared" ca="1" si="40"/>
        <v>1</v>
      </c>
    </row>
    <row r="293" spans="1:25" ht="63" customHeight="1">
      <c r="A293" s="705" t="s">
        <v>3299</v>
      </c>
      <c r="B293" s="716" t="str">
        <f t="shared" ca="1" si="41"/>
        <v>40-year assumptions - F46</v>
      </c>
      <c r="C293" s="707" t="str" cm="1">
        <f t="array" aca="1" ref="C293" ca="1">INDIRECT(LEFT(I293, FIND("!", I293)) &amp; RefData!$C$426 &amp; RIGHT(I293, LEN(I293) - FIND("!", I293) - 1))</f>
        <v>Year 40</v>
      </c>
      <c r="D293" s="92" t="str">
        <f t="shared" ca="1" si="36"/>
        <v/>
      </c>
      <c r="E293" s="708" t="str" cm="1">
        <f t="array" aca="1" ref="E293" ca="1">IF(INDIRECT($I293)= "", "", INDIRECT($I293))</f>
        <v/>
      </c>
      <c r="F293" s="709" t="str" cm="1">
        <f t="array" aca="1" ref="F293" ca="1">INDIRECT(LEFT(I293, FIND("!", I293)) &amp; RefData!$C$427 &amp; RIGHT(I293, LEN(I293) - FIND("!", I293) - 1))</f>
        <v>FYA 40.0</v>
      </c>
      <c r="G293" s="710" t="b">
        <f ca="1">IF(ISNUMBER(SEARCH(RefData!$B$2, $C293)), FALSE, TRUE)</f>
        <v>1</v>
      </c>
      <c r="H293" s="344">
        <f>'40-year assumptions'!F46</f>
        <v>0</v>
      </c>
      <c r="I293" s="712" t="str">
        <f t="shared" ca="1" si="42"/>
        <v>'40-year assumptions'!F46</v>
      </c>
      <c r="J293" s="713" t="b" cm="1">
        <f t="array" aca="1" ref="J293" ca="1">IF(COUNTIF($K293:$T293, "&lt;&gt;FALSE") - COUNTBLANK($K293:$T293) &gt; 0, INDEX($K293:$T293, MATCH(TRUE, $K293:$T293 &lt;&gt; FALSE, 0)))</f>
        <v>0</v>
      </c>
      <c r="K293" s="712" t="b">
        <f ca="1">IF(AND('Start here'!$C$24=RefData!$B$5,OR('Other assumptions'!$C$7=RefData!$B$48,'Other assumptions'!$C$7=RefData!$B$46),'Reconciliation report'!$E293=""),ErrorMsgs!$B293)</f>
        <v>0</v>
      </c>
      <c r="L293" s="712" t="b">
        <f ca="1">IF(AND('Start here'!$C$24=RefData!$B$5,OR('Other assumptions'!$C$7=RefData!$B$47,'Other assumptions'!$C$7=RefData!$B$49),'Reconciliation report'!$E293&lt;&gt;""),ErrorMsgs!$C293)</f>
        <v>0</v>
      </c>
      <c r="M293" s="714" t="b">
        <f ca="1">IF(AND('Start here'!$C$24=RefData!$B$4,'Discount rates'!$C$7=RefData!$B$8,OR('Other assumptions'!$C$7=RefData!$B$48,'Other assumptions'!$C$7=RefData!$B$46),'Reconciliation report'!$E293=""),ErrorMsgs!$D293)</f>
        <v>0</v>
      </c>
      <c r="N293" s="714" t="b">
        <f ca="1">IF(AND('Start here'!$C$24=RefData!$B$4,'Discount rates'!$C$7=RefData!$B$8,OR('Other assumptions'!$C$7=RefData!$B$47,'Other assumptions'!$C$7=RefData!$B$49),'Reconciliation report'!$E293&lt;&gt;""),ErrorMsgs!$E293)</f>
        <v>0</v>
      </c>
      <c r="O293" s="712" t="b">
        <f ca="1">IF(AND('Start here'!$C$24=RefData!$B$4,'Discount rates'!$C$7=RefData!$B$7,'Reconciliation report'!$E293&lt;&gt;""),ErrorMsgs!$F293)</f>
        <v>0</v>
      </c>
      <c r="P293" s="712" t="b">
        <f ca="1">IF($E293&lt;-0.25,ErrorMsgs!$G293)</f>
        <v>0</v>
      </c>
      <c r="Q293" s="712" t="b">
        <f ca="1">IF($E293="",FALSE,IF($E293&gt;0.25,ErrorMsgs!$H293))</f>
        <v>0</v>
      </c>
      <c r="R293" s="712"/>
      <c r="S293" s="712"/>
      <c r="T293" s="712"/>
      <c r="U293" s="526" t="str">
        <f t="shared" ca="1" si="38"/>
        <v/>
      </c>
      <c r="V293" s="93" t="str" cm="1">
        <f t="array" aca="1" ref="V293" ca="1">CELL("format",INDIRECT(I293))</f>
        <v>P4</v>
      </c>
      <c r="W293" s="93" t="b">
        <f t="shared" ca="1" si="39"/>
        <v>0</v>
      </c>
      <c r="X293" s="715" t="str">
        <f t="shared" ca="1" si="37"/>
        <v/>
      </c>
      <c r="Y293" t="b">
        <f t="shared" ca="1" si="40"/>
        <v>1</v>
      </c>
    </row>
    <row r="294" spans="1:25" ht="63" customHeight="1">
      <c r="A294" s="705" t="s">
        <v>3300</v>
      </c>
      <c r="B294" s="716" t="str">
        <f t="shared" ca="1" si="41"/>
        <v>40-year assumptions - G7</v>
      </c>
      <c r="C294" s="707" t="str" cm="1">
        <f t="array" aca="1" ref="C294" ca="1">INDIRECT(LEFT(I294, FIND("!", I294)) &amp; RefData!$C$426 &amp; RIGHT(I294, LEN(I294) - FIND("!", I294) - 1))</f>
        <v>Year 1</v>
      </c>
      <c r="D294" s="92" t="str">
        <f t="shared" ca="1" si="36"/>
        <v/>
      </c>
      <c r="E294" s="708" t="str" cm="1">
        <f t="array" aca="1" ref="E294" ca="1">IF(INDIRECT($I294)= "", "", INDIRECT($I294))</f>
        <v/>
      </c>
      <c r="F294" s="709" t="str" cm="1">
        <f t="array" aca="1" ref="F294" ca="1">INDIRECT(LEFT(I294, FIND("!", I294)) &amp; RefData!$C$427 &amp; RIGHT(I294, LEN(I294) - FIND("!", I294) - 1))</f>
        <v>FYA 1.0</v>
      </c>
      <c r="G294" s="710" t="b">
        <f ca="1">IF(ISNUMBER(SEARCH(RefData!$B$2, $C294)), FALSE, TRUE)</f>
        <v>1</v>
      </c>
      <c r="H294" s="344">
        <f>'40-year assumptions'!G7</f>
        <v>0</v>
      </c>
      <c r="I294" s="712" t="str">
        <f t="shared" ca="1" si="42"/>
        <v>'40-year assumptions'!G7</v>
      </c>
      <c r="J294" s="713" t="b" cm="1">
        <f t="array" aca="1" ref="J294" ca="1">IF(COUNTIF($K294:$T294, "&lt;&gt;FALSE") - COUNTBLANK($K294:$T294) &gt; 0, INDEX($K294:$T294, MATCH(TRUE, $K294:$T294 &lt;&gt; FALSE, 0)))</f>
        <v>0</v>
      </c>
      <c r="K294" s="712" t="b">
        <f ca="1">IF(AND('Start here'!$C$24=RefData!$B$5,OR('Other assumptions'!$C$7=RefData!$B$47,'Other assumptions'!$C$7=RefData!$B$46),'Reconciliation report'!$E294=""),ErrorMsgs!$B294)</f>
        <v>0</v>
      </c>
      <c r="L294" s="712" t="b">
        <f ca="1">IF(AND('Start here'!$C$24=RefData!$B$5,OR('Other assumptions'!$C$7=RefData!$B$48,'Other assumptions'!$C$7=RefData!$B$49),'Reconciliation report'!$E294&lt;&gt;""),ErrorMsgs!$C294)</f>
        <v>0</v>
      </c>
      <c r="M294" s="714" t="b">
        <f ca="1">IF(AND('Start here'!$C$24=RefData!$B$4,'Discount rates'!$C$7=RefData!$B$8,OR('Other assumptions'!$C$7=RefData!$B$47,'Other assumptions'!$C$7=RefData!$B$46),'Reconciliation report'!$E294=""),ErrorMsgs!$D294)</f>
        <v>0</v>
      </c>
      <c r="N294" s="714" t="b">
        <f ca="1">IF(AND('Start here'!$C$24=RefData!$B$4,'Discount rates'!$C$7=RefData!$B$8,OR('Other assumptions'!$C$7=RefData!$B$48,'Other assumptions'!$C$7=RefData!$B$49),'Reconciliation report'!$E294&lt;&gt;""),ErrorMsgs!$E294)</f>
        <v>0</v>
      </c>
      <c r="O294" s="712" t="b">
        <f ca="1">IF(AND('Start here'!$C$24=RefData!$B$4,'Discount rates'!$C$7=RefData!$B$7,'Reconciliation report'!$E294&lt;&gt;""),ErrorMsgs!$F294)</f>
        <v>0</v>
      </c>
      <c r="P294" s="712" t="b">
        <f ca="1">IF($E294&lt;-0.25,ErrorMsgs!$G294)</f>
        <v>0</v>
      </c>
      <c r="Q294" s="712" t="b">
        <f ca="1">IF($E294="",FALSE,IF($E294&gt;0.25,ErrorMsgs!$H294))</f>
        <v>0</v>
      </c>
      <c r="R294" s="712"/>
      <c r="S294" s="712"/>
      <c r="T294" s="712"/>
      <c r="U294" s="526" t="str">
        <f t="shared" ca="1" si="38"/>
        <v/>
      </c>
      <c r="V294" s="93" t="str" cm="1">
        <f t="array" aca="1" ref="V294" ca="1">CELL("format",INDIRECT(I294))</f>
        <v>P4</v>
      </c>
      <c r="W294" s="93" t="b">
        <f t="shared" ca="1" si="39"/>
        <v>0</v>
      </c>
      <c r="X294" s="715" t="str">
        <f t="shared" ca="1" si="37"/>
        <v/>
      </c>
      <c r="Y294" t="b">
        <f t="shared" ca="1" si="40"/>
        <v>1</v>
      </c>
    </row>
    <row r="295" spans="1:25" ht="63" customHeight="1">
      <c r="A295" s="705" t="s">
        <v>3301</v>
      </c>
      <c r="B295" s="716" t="str">
        <f t="shared" ca="1" si="41"/>
        <v>40-year assumptions - G8</v>
      </c>
      <c r="C295" s="707" t="str" cm="1">
        <f t="array" aca="1" ref="C295" ca="1">INDIRECT(LEFT(I295, FIND("!", I295)) &amp; RefData!$C$426 &amp; RIGHT(I295, LEN(I295) - FIND("!", I295) - 1))</f>
        <v>Year 2</v>
      </c>
      <c r="D295" s="92" t="str">
        <f t="shared" ca="1" si="36"/>
        <v/>
      </c>
      <c r="E295" s="708" t="str" cm="1">
        <f t="array" aca="1" ref="E295" ca="1">IF(INDIRECT($I295)= "", "", INDIRECT($I295))</f>
        <v/>
      </c>
      <c r="F295" s="709" t="str" cm="1">
        <f t="array" aca="1" ref="F295" ca="1">INDIRECT(LEFT(I295, FIND("!", I295)) &amp; RefData!$C$427 &amp; RIGHT(I295, LEN(I295) - FIND("!", I295) - 1))</f>
        <v>FYA 2.0</v>
      </c>
      <c r="G295" s="710" t="b">
        <f ca="1">IF(ISNUMBER(SEARCH(RefData!$B$2, $C295)), FALSE, TRUE)</f>
        <v>1</v>
      </c>
      <c r="H295" s="344">
        <f>'40-year assumptions'!G8</f>
        <v>0</v>
      </c>
      <c r="I295" s="712" t="str">
        <f t="shared" ca="1" si="42"/>
        <v>'40-year assumptions'!G8</v>
      </c>
      <c r="J295" s="713" t="b" cm="1">
        <f t="array" aca="1" ref="J295" ca="1">IF(COUNTIF($K295:$T295, "&lt;&gt;FALSE") - COUNTBLANK($K295:$T295) &gt; 0, INDEX($K295:$T295, MATCH(TRUE, $K295:$T295 &lt;&gt; FALSE, 0)))</f>
        <v>0</v>
      </c>
      <c r="K295" s="712" t="b">
        <f ca="1">IF(AND('Start here'!$C$24=RefData!$B$5,OR('Other assumptions'!$C$7=RefData!$B$47,'Other assumptions'!$C$7=RefData!$B$46),'Reconciliation report'!$E295=""),ErrorMsgs!$B295)</f>
        <v>0</v>
      </c>
      <c r="L295" s="712" t="b">
        <f ca="1">IF(AND('Start here'!$C$24=RefData!$B$5,OR('Other assumptions'!$C$7=RefData!$B$48,'Other assumptions'!$C$7=RefData!$B$49),'Reconciliation report'!$E295&lt;&gt;""),ErrorMsgs!$C295)</f>
        <v>0</v>
      </c>
      <c r="M295" s="714" t="b">
        <f ca="1">IF(AND('Start here'!$C$24=RefData!$B$4,'Discount rates'!$C$7=RefData!$B$8,OR('Other assumptions'!$C$7=RefData!$B$47,'Other assumptions'!$C$7=RefData!$B$46),'Reconciliation report'!$E295=""),ErrorMsgs!$D295)</f>
        <v>0</v>
      </c>
      <c r="N295" s="714" t="b">
        <f ca="1">IF(AND('Start here'!$C$24=RefData!$B$4,'Discount rates'!$C$7=RefData!$B$8,OR('Other assumptions'!$C$7=RefData!$B$48,'Other assumptions'!$C$7=RefData!$B$49),'Reconciliation report'!$E295&lt;&gt;""),ErrorMsgs!$E295)</f>
        <v>0</v>
      </c>
      <c r="O295" s="712" t="b">
        <f ca="1">IF(AND('Start here'!$C$24=RefData!$B$4,'Discount rates'!$C$7=RefData!$B$7,'Reconciliation report'!$E295&lt;&gt;""),ErrorMsgs!$F295)</f>
        <v>0</v>
      </c>
      <c r="P295" s="712" t="b">
        <f ca="1">IF($E295&lt;-0.25,ErrorMsgs!$G295)</f>
        <v>0</v>
      </c>
      <c r="Q295" s="712" t="b">
        <f ca="1">IF($E295="",FALSE,IF($E295&gt;0.25,ErrorMsgs!$H295))</f>
        <v>0</v>
      </c>
      <c r="R295" s="712"/>
      <c r="S295" s="712"/>
      <c r="T295" s="712"/>
      <c r="U295" s="526" t="str">
        <f t="shared" ca="1" si="38"/>
        <v/>
      </c>
      <c r="V295" s="93" t="str" cm="1">
        <f t="array" aca="1" ref="V295" ca="1">CELL("format",INDIRECT(I295))</f>
        <v>P4</v>
      </c>
      <c r="W295" s="93" t="b">
        <f t="shared" ca="1" si="39"/>
        <v>0</v>
      </c>
      <c r="X295" s="715" t="str">
        <f t="shared" ca="1" si="37"/>
        <v/>
      </c>
      <c r="Y295" t="b">
        <f t="shared" ca="1" si="40"/>
        <v>1</v>
      </c>
    </row>
    <row r="296" spans="1:25" ht="63" customHeight="1">
      <c r="A296" s="705" t="s">
        <v>3302</v>
      </c>
      <c r="B296" s="716" t="str">
        <f t="shared" ca="1" si="41"/>
        <v>40-year assumptions - G9</v>
      </c>
      <c r="C296" s="707" t="str" cm="1">
        <f t="array" aca="1" ref="C296" ca="1">INDIRECT(LEFT(I296, FIND("!", I296)) &amp; RefData!$C$426 &amp; RIGHT(I296, LEN(I296) - FIND("!", I296) - 1))</f>
        <v>Year 3</v>
      </c>
      <c r="D296" s="92" t="str">
        <f t="shared" ca="1" si="36"/>
        <v/>
      </c>
      <c r="E296" s="708" t="str" cm="1">
        <f t="array" aca="1" ref="E296" ca="1">IF(INDIRECT($I296)= "", "", INDIRECT($I296))</f>
        <v/>
      </c>
      <c r="F296" s="709" t="str" cm="1">
        <f t="array" aca="1" ref="F296" ca="1">INDIRECT(LEFT(I296, FIND("!", I296)) &amp; RefData!$C$427 &amp; RIGHT(I296, LEN(I296) - FIND("!", I296) - 1))</f>
        <v>FYA 3.0</v>
      </c>
      <c r="G296" s="710" t="b">
        <f ca="1">IF(ISNUMBER(SEARCH(RefData!$B$2, $C296)), FALSE, TRUE)</f>
        <v>1</v>
      </c>
      <c r="H296" s="344">
        <f>'40-year assumptions'!G9</f>
        <v>0</v>
      </c>
      <c r="I296" s="712" t="str">
        <f t="shared" ca="1" si="42"/>
        <v>'40-year assumptions'!G9</v>
      </c>
      <c r="J296" s="713" t="b" cm="1">
        <f t="array" aca="1" ref="J296" ca="1">IF(COUNTIF($K296:$T296, "&lt;&gt;FALSE") - COUNTBLANK($K296:$T296) &gt; 0, INDEX($K296:$T296, MATCH(TRUE, $K296:$T296 &lt;&gt; FALSE, 0)))</f>
        <v>0</v>
      </c>
      <c r="K296" s="712" t="b">
        <f ca="1">IF(AND('Start here'!$C$24=RefData!$B$5,OR('Other assumptions'!$C$7=RefData!$B$47,'Other assumptions'!$C$7=RefData!$B$46),'Reconciliation report'!$E296=""),ErrorMsgs!$B296)</f>
        <v>0</v>
      </c>
      <c r="L296" s="712" t="b">
        <f ca="1">IF(AND('Start here'!$C$24=RefData!$B$5,OR('Other assumptions'!$C$7=RefData!$B$48,'Other assumptions'!$C$7=RefData!$B$49),'Reconciliation report'!$E296&lt;&gt;""),ErrorMsgs!$C296)</f>
        <v>0</v>
      </c>
      <c r="M296" s="714" t="b">
        <f ca="1">IF(AND('Start here'!$C$24=RefData!$B$4,'Discount rates'!$C$7=RefData!$B$8,OR('Other assumptions'!$C$7=RefData!$B$47,'Other assumptions'!$C$7=RefData!$B$46),'Reconciliation report'!$E296=""),ErrorMsgs!$D296)</f>
        <v>0</v>
      </c>
      <c r="N296" s="714" t="b">
        <f ca="1">IF(AND('Start here'!$C$24=RefData!$B$4,'Discount rates'!$C$7=RefData!$B$8,OR('Other assumptions'!$C$7=RefData!$B$48,'Other assumptions'!$C$7=RefData!$B$49),'Reconciliation report'!$E296&lt;&gt;""),ErrorMsgs!$E296)</f>
        <v>0</v>
      </c>
      <c r="O296" s="712" t="b">
        <f ca="1">IF(AND('Start here'!$C$24=RefData!$B$4,'Discount rates'!$C$7=RefData!$B$7,'Reconciliation report'!$E296&lt;&gt;""),ErrorMsgs!$F296)</f>
        <v>0</v>
      </c>
      <c r="P296" s="712" t="b">
        <f ca="1">IF($E296&lt;-0.25,ErrorMsgs!$G296)</f>
        <v>0</v>
      </c>
      <c r="Q296" s="712" t="b">
        <f ca="1">IF($E296="",FALSE,IF($E296&gt;0.25,ErrorMsgs!$H296))</f>
        <v>0</v>
      </c>
      <c r="R296" s="712"/>
      <c r="S296" s="712"/>
      <c r="T296" s="712"/>
      <c r="U296" s="526" t="str">
        <f t="shared" ca="1" si="38"/>
        <v/>
      </c>
      <c r="V296" s="93" t="str" cm="1">
        <f t="array" aca="1" ref="V296" ca="1">CELL("format",INDIRECT(I296))</f>
        <v>P4</v>
      </c>
      <c r="W296" s="93" t="b">
        <f t="shared" ca="1" si="39"/>
        <v>0</v>
      </c>
      <c r="X296" s="715" t="str">
        <f t="shared" ca="1" si="37"/>
        <v/>
      </c>
      <c r="Y296" t="b">
        <f t="shared" ca="1" si="40"/>
        <v>1</v>
      </c>
    </row>
    <row r="297" spans="1:25" ht="63" customHeight="1">
      <c r="A297" s="705" t="s">
        <v>3303</v>
      </c>
      <c r="B297" s="716" t="str">
        <f t="shared" ca="1" si="41"/>
        <v>40-year assumptions - G10</v>
      </c>
      <c r="C297" s="707" t="str" cm="1">
        <f t="array" aca="1" ref="C297" ca="1">INDIRECT(LEFT(I297, FIND("!", I297)) &amp; RefData!$C$426 &amp; RIGHT(I297, LEN(I297) - FIND("!", I297) - 1))</f>
        <v>Year 4</v>
      </c>
      <c r="D297" s="92" t="str">
        <f t="shared" ca="1" si="36"/>
        <v/>
      </c>
      <c r="E297" s="708" t="str" cm="1">
        <f t="array" aca="1" ref="E297" ca="1">IF(INDIRECT($I297)= "", "", INDIRECT($I297))</f>
        <v/>
      </c>
      <c r="F297" s="709" t="str" cm="1">
        <f t="array" aca="1" ref="F297" ca="1">INDIRECT(LEFT(I297, FIND("!", I297)) &amp; RefData!$C$427 &amp; RIGHT(I297, LEN(I297) - FIND("!", I297) - 1))</f>
        <v>FYA 4.0</v>
      </c>
      <c r="G297" s="710" t="b">
        <f ca="1">IF(ISNUMBER(SEARCH(RefData!$B$2, $C297)), FALSE, TRUE)</f>
        <v>1</v>
      </c>
      <c r="H297" s="344">
        <f>'40-year assumptions'!G10</f>
        <v>0</v>
      </c>
      <c r="I297" s="712" t="str">
        <f t="shared" ca="1" si="42"/>
        <v>'40-year assumptions'!G10</v>
      </c>
      <c r="J297" s="713" t="b" cm="1">
        <f t="array" aca="1" ref="J297" ca="1">IF(COUNTIF($K297:$T297, "&lt;&gt;FALSE") - COUNTBLANK($K297:$T297) &gt; 0, INDEX($K297:$T297, MATCH(TRUE, $K297:$T297 &lt;&gt; FALSE, 0)))</f>
        <v>0</v>
      </c>
      <c r="K297" s="712" t="b">
        <f ca="1">IF(AND('Start here'!$C$24=RefData!$B$5,OR('Other assumptions'!$C$7=RefData!$B$47,'Other assumptions'!$C$7=RefData!$B$46),'Reconciliation report'!$E297=""),ErrorMsgs!$B297)</f>
        <v>0</v>
      </c>
      <c r="L297" s="712" t="b">
        <f ca="1">IF(AND('Start here'!$C$24=RefData!$B$5,OR('Other assumptions'!$C$7=RefData!$B$48,'Other assumptions'!$C$7=RefData!$B$49),'Reconciliation report'!$E297&lt;&gt;""),ErrorMsgs!$C297)</f>
        <v>0</v>
      </c>
      <c r="M297" s="714" t="b">
        <f ca="1">IF(AND('Start here'!$C$24=RefData!$B$4,'Discount rates'!$C$7=RefData!$B$8,OR('Other assumptions'!$C$7=RefData!$B$47,'Other assumptions'!$C$7=RefData!$B$46),'Reconciliation report'!$E297=""),ErrorMsgs!$D297)</f>
        <v>0</v>
      </c>
      <c r="N297" s="714" t="b">
        <f ca="1">IF(AND('Start here'!$C$24=RefData!$B$4,'Discount rates'!$C$7=RefData!$B$8,OR('Other assumptions'!$C$7=RefData!$B$48,'Other assumptions'!$C$7=RefData!$B$49),'Reconciliation report'!$E297&lt;&gt;""),ErrorMsgs!$E297)</f>
        <v>0</v>
      </c>
      <c r="O297" s="712" t="b">
        <f ca="1">IF(AND('Start here'!$C$24=RefData!$B$4,'Discount rates'!$C$7=RefData!$B$7,'Reconciliation report'!$E297&lt;&gt;""),ErrorMsgs!$F297)</f>
        <v>0</v>
      </c>
      <c r="P297" s="712" t="b">
        <f ca="1">IF($E297&lt;-0.25,ErrorMsgs!$G297)</f>
        <v>0</v>
      </c>
      <c r="Q297" s="712" t="b">
        <f ca="1">IF($E297="",FALSE,IF($E297&gt;0.25,ErrorMsgs!$H297))</f>
        <v>0</v>
      </c>
      <c r="R297" s="712"/>
      <c r="S297" s="712"/>
      <c r="T297" s="712"/>
      <c r="U297" s="526" t="str">
        <f t="shared" ca="1" si="38"/>
        <v/>
      </c>
      <c r="V297" s="93" t="str" cm="1">
        <f t="array" aca="1" ref="V297" ca="1">CELL("format",INDIRECT(I297))</f>
        <v>P4</v>
      </c>
      <c r="W297" s="93" t="b">
        <f t="shared" ca="1" si="39"/>
        <v>0</v>
      </c>
      <c r="X297" s="715" t="str">
        <f t="shared" ca="1" si="37"/>
        <v/>
      </c>
      <c r="Y297" t="b">
        <f t="shared" ca="1" si="40"/>
        <v>1</v>
      </c>
    </row>
    <row r="298" spans="1:25" ht="63" customHeight="1">
      <c r="A298" s="705" t="s">
        <v>3304</v>
      </c>
      <c r="B298" s="716" t="str">
        <f t="shared" ca="1" si="41"/>
        <v>40-year assumptions - G11</v>
      </c>
      <c r="C298" s="707" t="str" cm="1">
        <f t="array" aca="1" ref="C298" ca="1">INDIRECT(LEFT(I298, FIND("!", I298)) &amp; RefData!$C$426 &amp; RIGHT(I298, LEN(I298) - FIND("!", I298) - 1))</f>
        <v>Year 5</v>
      </c>
      <c r="D298" s="92" t="str">
        <f t="shared" ca="1" si="36"/>
        <v/>
      </c>
      <c r="E298" s="708" t="str" cm="1">
        <f t="array" aca="1" ref="E298" ca="1">IF(INDIRECT($I298)= "", "", INDIRECT($I298))</f>
        <v/>
      </c>
      <c r="F298" s="709" t="str" cm="1">
        <f t="array" aca="1" ref="F298" ca="1">INDIRECT(LEFT(I298, FIND("!", I298)) &amp; RefData!$C$427 &amp; RIGHT(I298, LEN(I298) - FIND("!", I298) - 1))</f>
        <v>FYA 5.0</v>
      </c>
      <c r="G298" s="710" t="b">
        <f ca="1">IF(ISNUMBER(SEARCH(RefData!$B$2, $C298)), FALSE, TRUE)</f>
        <v>1</v>
      </c>
      <c r="H298" s="344">
        <f>'40-year assumptions'!G11</f>
        <v>0</v>
      </c>
      <c r="I298" s="712" t="str">
        <f t="shared" ca="1" si="42"/>
        <v>'40-year assumptions'!G11</v>
      </c>
      <c r="J298" s="713" t="b" cm="1">
        <f t="array" aca="1" ref="J298" ca="1">IF(COUNTIF($K298:$T298, "&lt;&gt;FALSE") - COUNTBLANK($K298:$T298) &gt; 0, INDEX($K298:$T298, MATCH(TRUE, $K298:$T298 &lt;&gt; FALSE, 0)))</f>
        <v>0</v>
      </c>
      <c r="K298" s="712" t="b">
        <f ca="1">IF(AND('Start here'!$C$24=RefData!$B$5,OR('Other assumptions'!$C$7=RefData!$B$47,'Other assumptions'!$C$7=RefData!$B$46),'Reconciliation report'!$E298=""),ErrorMsgs!$B298)</f>
        <v>0</v>
      </c>
      <c r="L298" s="712" t="b">
        <f ca="1">IF(AND('Start here'!$C$24=RefData!$B$5,OR('Other assumptions'!$C$7=RefData!$B$48,'Other assumptions'!$C$7=RefData!$B$49),'Reconciliation report'!$E298&lt;&gt;""),ErrorMsgs!$C298)</f>
        <v>0</v>
      </c>
      <c r="M298" s="714" t="b">
        <f ca="1">IF(AND('Start here'!$C$24=RefData!$B$4,'Discount rates'!$C$7=RefData!$B$8,OR('Other assumptions'!$C$7=RefData!$B$47,'Other assumptions'!$C$7=RefData!$B$46),'Reconciliation report'!$E298=""),ErrorMsgs!$D298)</f>
        <v>0</v>
      </c>
      <c r="N298" s="714" t="b">
        <f ca="1">IF(AND('Start here'!$C$24=RefData!$B$4,'Discount rates'!$C$7=RefData!$B$8,OR('Other assumptions'!$C$7=RefData!$B$48,'Other assumptions'!$C$7=RefData!$B$49),'Reconciliation report'!$E298&lt;&gt;""),ErrorMsgs!$E298)</f>
        <v>0</v>
      </c>
      <c r="O298" s="712" t="b">
        <f ca="1">IF(AND('Start here'!$C$24=RefData!$B$4,'Discount rates'!$C$7=RefData!$B$7,'Reconciliation report'!$E298&lt;&gt;""),ErrorMsgs!$F298)</f>
        <v>0</v>
      </c>
      <c r="P298" s="712" t="b">
        <f ca="1">IF($E298&lt;-0.25,ErrorMsgs!$G298)</f>
        <v>0</v>
      </c>
      <c r="Q298" s="712" t="b">
        <f ca="1">IF($E298="",FALSE,IF($E298&gt;0.25,ErrorMsgs!$H298))</f>
        <v>0</v>
      </c>
      <c r="R298" s="712"/>
      <c r="S298" s="712"/>
      <c r="T298" s="712"/>
      <c r="U298" s="526" t="str">
        <f t="shared" ca="1" si="38"/>
        <v/>
      </c>
      <c r="V298" s="93" t="str" cm="1">
        <f t="array" aca="1" ref="V298" ca="1">CELL("format",INDIRECT(I298))</f>
        <v>P4</v>
      </c>
      <c r="W298" s="93" t="b">
        <f t="shared" ca="1" si="39"/>
        <v>0</v>
      </c>
      <c r="X298" s="715" t="str">
        <f t="shared" ca="1" si="37"/>
        <v/>
      </c>
      <c r="Y298" t="b">
        <f t="shared" ca="1" si="40"/>
        <v>1</v>
      </c>
    </row>
    <row r="299" spans="1:25" ht="63" customHeight="1">
      <c r="A299" s="705" t="s">
        <v>3305</v>
      </c>
      <c r="B299" s="716" t="str">
        <f t="shared" ca="1" si="41"/>
        <v>40-year assumptions - G12</v>
      </c>
      <c r="C299" s="707" t="str" cm="1">
        <f t="array" aca="1" ref="C299" ca="1">INDIRECT(LEFT(I299, FIND("!", I299)) &amp; RefData!$C$426 &amp; RIGHT(I299, LEN(I299) - FIND("!", I299) - 1))</f>
        <v>Year 6</v>
      </c>
      <c r="D299" s="92" t="str">
        <f t="shared" ca="1" si="36"/>
        <v/>
      </c>
      <c r="E299" s="708" t="str" cm="1">
        <f t="array" aca="1" ref="E299" ca="1">IF(INDIRECT($I299)= "", "", INDIRECT($I299))</f>
        <v/>
      </c>
      <c r="F299" s="709" t="str" cm="1">
        <f t="array" aca="1" ref="F299" ca="1">INDIRECT(LEFT(I299, FIND("!", I299)) &amp; RefData!$C$427 &amp; RIGHT(I299, LEN(I299) - FIND("!", I299) - 1))</f>
        <v>FYA 6.0</v>
      </c>
      <c r="G299" s="710" t="b">
        <f ca="1">IF(ISNUMBER(SEARCH(RefData!$B$2, $C299)), FALSE, TRUE)</f>
        <v>1</v>
      </c>
      <c r="H299" s="344">
        <f>'40-year assumptions'!G12</f>
        <v>0</v>
      </c>
      <c r="I299" s="712" t="str">
        <f t="shared" ca="1" si="42"/>
        <v>'40-year assumptions'!G12</v>
      </c>
      <c r="J299" s="713" t="b" cm="1">
        <f t="array" aca="1" ref="J299" ca="1">IF(COUNTIF($K299:$T299, "&lt;&gt;FALSE") - COUNTBLANK($K299:$T299) &gt; 0, INDEX($K299:$T299, MATCH(TRUE, $K299:$T299 &lt;&gt; FALSE, 0)))</f>
        <v>0</v>
      </c>
      <c r="K299" s="712" t="b">
        <f ca="1">IF(AND('Start here'!$C$24=RefData!$B$5,OR('Other assumptions'!$C$7=RefData!$B$47,'Other assumptions'!$C$7=RefData!$B$46),'Reconciliation report'!$E299=""),ErrorMsgs!$B299)</f>
        <v>0</v>
      </c>
      <c r="L299" s="712" t="b">
        <f ca="1">IF(AND('Start here'!$C$24=RefData!$B$5,OR('Other assumptions'!$C$7=RefData!$B$48,'Other assumptions'!$C$7=RefData!$B$49),'Reconciliation report'!$E299&lt;&gt;""),ErrorMsgs!$C299)</f>
        <v>0</v>
      </c>
      <c r="M299" s="714" t="b">
        <f ca="1">IF(AND('Start here'!$C$24=RefData!$B$4,'Discount rates'!$C$7=RefData!$B$8,OR('Other assumptions'!$C$7=RefData!$B$47,'Other assumptions'!$C$7=RefData!$B$46),'Reconciliation report'!$E299=""),ErrorMsgs!$D299)</f>
        <v>0</v>
      </c>
      <c r="N299" s="714" t="b">
        <f ca="1">IF(AND('Start here'!$C$24=RefData!$B$4,'Discount rates'!$C$7=RefData!$B$8,OR('Other assumptions'!$C$7=RefData!$B$48,'Other assumptions'!$C$7=RefData!$B$49),'Reconciliation report'!$E299&lt;&gt;""),ErrorMsgs!$E299)</f>
        <v>0</v>
      </c>
      <c r="O299" s="712" t="b">
        <f ca="1">IF(AND('Start here'!$C$24=RefData!$B$4,'Discount rates'!$C$7=RefData!$B$7,'Reconciliation report'!$E299&lt;&gt;""),ErrorMsgs!$F299)</f>
        <v>0</v>
      </c>
      <c r="P299" s="712" t="b">
        <f ca="1">IF($E299&lt;-0.25,ErrorMsgs!$G299)</f>
        <v>0</v>
      </c>
      <c r="Q299" s="712" t="b">
        <f ca="1">IF($E299="",FALSE,IF($E299&gt;0.25,ErrorMsgs!$H299))</f>
        <v>0</v>
      </c>
      <c r="R299" s="712"/>
      <c r="S299" s="712"/>
      <c r="T299" s="712"/>
      <c r="U299" s="526" t="str">
        <f t="shared" ca="1" si="38"/>
        <v/>
      </c>
      <c r="V299" s="93" t="str" cm="1">
        <f t="array" aca="1" ref="V299" ca="1">CELL("format",INDIRECT(I299))</f>
        <v>P4</v>
      </c>
      <c r="W299" s="93" t="b">
        <f t="shared" ca="1" si="39"/>
        <v>0</v>
      </c>
      <c r="X299" s="715" t="str">
        <f t="shared" ca="1" si="37"/>
        <v/>
      </c>
      <c r="Y299" t="b">
        <f t="shared" ca="1" si="40"/>
        <v>1</v>
      </c>
    </row>
    <row r="300" spans="1:25" ht="63" customHeight="1">
      <c r="A300" s="705" t="s">
        <v>3306</v>
      </c>
      <c r="B300" s="716" t="str">
        <f t="shared" ca="1" si="41"/>
        <v>40-year assumptions - G13</v>
      </c>
      <c r="C300" s="707" t="str" cm="1">
        <f t="array" aca="1" ref="C300" ca="1">INDIRECT(LEFT(I300, FIND("!", I300)) &amp; RefData!$C$426 &amp; RIGHT(I300, LEN(I300) - FIND("!", I300) - 1))</f>
        <v>Year 7</v>
      </c>
      <c r="D300" s="92" t="str">
        <f t="shared" ca="1" si="36"/>
        <v/>
      </c>
      <c r="E300" s="708" t="str" cm="1">
        <f t="array" aca="1" ref="E300" ca="1">IF(INDIRECT($I300)= "", "", INDIRECT($I300))</f>
        <v/>
      </c>
      <c r="F300" s="709" t="str" cm="1">
        <f t="array" aca="1" ref="F300" ca="1">INDIRECT(LEFT(I300, FIND("!", I300)) &amp; RefData!$C$427 &amp; RIGHT(I300, LEN(I300) - FIND("!", I300) - 1))</f>
        <v>FYA 7.0</v>
      </c>
      <c r="G300" s="710" t="b">
        <f ca="1">IF(ISNUMBER(SEARCH(RefData!$B$2, $C300)), FALSE, TRUE)</f>
        <v>1</v>
      </c>
      <c r="H300" s="344">
        <f>'40-year assumptions'!G13</f>
        <v>0</v>
      </c>
      <c r="I300" s="712" t="str">
        <f t="shared" ca="1" si="42"/>
        <v>'40-year assumptions'!G13</v>
      </c>
      <c r="J300" s="713" t="b" cm="1">
        <f t="array" aca="1" ref="J300" ca="1">IF(COUNTIF($K300:$T300, "&lt;&gt;FALSE") - COUNTBLANK($K300:$T300) &gt; 0, INDEX($K300:$T300, MATCH(TRUE, $K300:$T300 &lt;&gt; FALSE, 0)))</f>
        <v>0</v>
      </c>
      <c r="K300" s="712" t="b">
        <f ca="1">IF(AND('Start here'!$C$24=RefData!$B$5,OR('Other assumptions'!$C$7=RefData!$B$47,'Other assumptions'!$C$7=RefData!$B$46),'Reconciliation report'!$E300=""),ErrorMsgs!$B300)</f>
        <v>0</v>
      </c>
      <c r="L300" s="712" t="b">
        <f ca="1">IF(AND('Start here'!$C$24=RefData!$B$5,OR('Other assumptions'!$C$7=RefData!$B$48,'Other assumptions'!$C$7=RefData!$B$49),'Reconciliation report'!$E300&lt;&gt;""),ErrorMsgs!$C300)</f>
        <v>0</v>
      </c>
      <c r="M300" s="714" t="b">
        <f ca="1">IF(AND('Start here'!$C$24=RefData!$B$4,'Discount rates'!$C$7=RefData!$B$8,OR('Other assumptions'!$C$7=RefData!$B$47,'Other assumptions'!$C$7=RefData!$B$46),'Reconciliation report'!$E300=""),ErrorMsgs!$D300)</f>
        <v>0</v>
      </c>
      <c r="N300" s="714" t="b">
        <f ca="1">IF(AND('Start here'!$C$24=RefData!$B$4,'Discount rates'!$C$7=RefData!$B$8,OR('Other assumptions'!$C$7=RefData!$B$48,'Other assumptions'!$C$7=RefData!$B$49),'Reconciliation report'!$E300&lt;&gt;""),ErrorMsgs!$E300)</f>
        <v>0</v>
      </c>
      <c r="O300" s="712" t="b">
        <f ca="1">IF(AND('Start here'!$C$24=RefData!$B$4,'Discount rates'!$C$7=RefData!$B$7,'Reconciliation report'!$E300&lt;&gt;""),ErrorMsgs!$F300)</f>
        <v>0</v>
      </c>
      <c r="P300" s="712" t="b">
        <f ca="1">IF($E300&lt;-0.25,ErrorMsgs!$G300)</f>
        <v>0</v>
      </c>
      <c r="Q300" s="712" t="b">
        <f ca="1">IF($E300="",FALSE,IF($E300&gt;0.25,ErrorMsgs!$H300))</f>
        <v>0</v>
      </c>
      <c r="R300" s="712"/>
      <c r="S300" s="712"/>
      <c r="T300" s="712"/>
      <c r="U300" s="526" t="str">
        <f t="shared" ca="1" si="38"/>
        <v/>
      </c>
      <c r="V300" s="93" t="str" cm="1">
        <f t="array" aca="1" ref="V300" ca="1">CELL("format",INDIRECT(I300))</f>
        <v>P4</v>
      </c>
      <c r="W300" s="93" t="b">
        <f t="shared" ca="1" si="39"/>
        <v>0</v>
      </c>
      <c r="X300" s="715" t="str">
        <f t="shared" ca="1" si="37"/>
        <v/>
      </c>
      <c r="Y300" t="b">
        <f t="shared" ca="1" si="40"/>
        <v>1</v>
      </c>
    </row>
    <row r="301" spans="1:25" ht="63" customHeight="1">
      <c r="A301" s="705" t="s">
        <v>3307</v>
      </c>
      <c r="B301" s="716" t="str">
        <f t="shared" ca="1" si="41"/>
        <v>40-year assumptions - G14</v>
      </c>
      <c r="C301" s="707" t="str" cm="1">
        <f t="array" aca="1" ref="C301" ca="1">INDIRECT(LEFT(I301, FIND("!", I301)) &amp; RefData!$C$426 &amp; RIGHT(I301, LEN(I301) - FIND("!", I301) - 1))</f>
        <v>Year 8</v>
      </c>
      <c r="D301" s="92" t="str">
        <f t="shared" ca="1" si="36"/>
        <v/>
      </c>
      <c r="E301" s="708" t="str" cm="1">
        <f t="array" aca="1" ref="E301" ca="1">IF(INDIRECT($I301)= "", "", INDIRECT($I301))</f>
        <v/>
      </c>
      <c r="F301" s="709" t="str" cm="1">
        <f t="array" aca="1" ref="F301" ca="1">INDIRECT(LEFT(I301, FIND("!", I301)) &amp; RefData!$C$427 &amp; RIGHT(I301, LEN(I301) - FIND("!", I301) - 1))</f>
        <v>FYA 8.0</v>
      </c>
      <c r="G301" s="710" t="b">
        <f ca="1">IF(ISNUMBER(SEARCH(RefData!$B$2, $C301)), FALSE, TRUE)</f>
        <v>1</v>
      </c>
      <c r="H301" s="344">
        <f>'40-year assumptions'!G14</f>
        <v>0</v>
      </c>
      <c r="I301" s="712" t="str">
        <f t="shared" ca="1" si="42"/>
        <v>'40-year assumptions'!G14</v>
      </c>
      <c r="J301" s="713" t="b" cm="1">
        <f t="array" aca="1" ref="J301" ca="1">IF(COUNTIF($K301:$T301, "&lt;&gt;FALSE") - COUNTBLANK($K301:$T301) &gt; 0, INDEX($K301:$T301, MATCH(TRUE, $K301:$T301 &lt;&gt; FALSE, 0)))</f>
        <v>0</v>
      </c>
      <c r="K301" s="712" t="b">
        <f ca="1">IF(AND('Start here'!$C$24=RefData!$B$5,OR('Other assumptions'!$C$7=RefData!$B$47,'Other assumptions'!$C$7=RefData!$B$46),'Reconciliation report'!$E301=""),ErrorMsgs!$B301)</f>
        <v>0</v>
      </c>
      <c r="L301" s="712" t="b">
        <f ca="1">IF(AND('Start here'!$C$24=RefData!$B$5,OR('Other assumptions'!$C$7=RefData!$B$48,'Other assumptions'!$C$7=RefData!$B$49),'Reconciliation report'!$E301&lt;&gt;""),ErrorMsgs!$C301)</f>
        <v>0</v>
      </c>
      <c r="M301" s="714" t="b">
        <f ca="1">IF(AND('Start here'!$C$24=RefData!$B$4,'Discount rates'!$C$7=RefData!$B$8,OR('Other assumptions'!$C$7=RefData!$B$47,'Other assumptions'!$C$7=RefData!$B$46),'Reconciliation report'!$E301=""),ErrorMsgs!$D301)</f>
        <v>0</v>
      </c>
      <c r="N301" s="714" t="b">
        <f ca="1">IF(AND('Start here'!$C$24=RefData!$B$4,'Discount rates'!$C$7=RefData!$B$8,OR('Other assumptions'!$C$7=RefData!$B$48,'Other assumptions'!$C$7=RefData!$B$49),'Reconciliation report'!$E301&lt;&gt;""),ErrorMsgs!$E301)</f>
        <v>0</v>
      </c>
      <c r="O301" s="712" t="b">
        <f ca="1">IF(AND('Start here'!$C$24=RefData!$B$4,'Discount rates'!$C$7=RefData!$B$7,'Reconciliation report'!$E301&lt;&gt;""),ErrorMsgs!$F301)</f>
        <v>0</v>
      </c>
      <c r="P301" s="712" t="b">
        <f ca="1">IF($E301&lt;-0.25,ErrorMsgs!$G301)</f>
        <v>0</v>
      </c>
      <c r="Q301" s="712" t="b">
        <f ca="1">IF($E301="",FALSE,IF($E301&gt;0.25,ErrorMsgs!$H301))</f>
        <v>0</v>
      </c>
      <c r="R301" s="712"/>
      <c r="S301" s="712"/>
      <c r="T301" s="712"/>
      <c r="U301" s="526" t="str">
        <f t="shared" ca="1" si="38"/>
        <v/>
      </c>
      <c r="V301" s="93" t="str" cm="1">
        <f t="array" aca="1" ref="V301" ca="1">CELL("format",INDIRECT(I301))</f>
        <v>P4</v>
      </c>
      <c r="W301" s="93" t="b">
        <f t="shared" ca="1" si="39"/>
        <v>0</v>
      </c>
      <c r="X301" s="715" t="str">
        <f t="shared" ca="1" si="37"/>
        <v/>
      </c>
      <c r="Y301" t="b">
        <f t="shared" ca="1" si="40"/>
        <v>1</v>
      </c>
    </row>
    <row r="302" spans="1:25" ht="63" customHeight="1">
      <c r="A302" s="705" t="s">
        <v>3308</v>
      </c>
      <c r="B302" s="716" t="str">
        <f t="shared" ca="1" si="41"/>
        <v>40-year assumptions - G15</v>
      </c>
      <c r="C302" s="707" t="str" cm="1">
        <f t="array" aca="1" ref="C302" ca="1">INDIRECT(LEFT(I302, FIND("!", I302)) &amp; RefData!$C$426 &amp; RIGHT(I302, LEN(I302) - FIND("!", I302) - 1))</f>
        <v>Year 9</v>
      </c>
      <c r="D302" s="92" t="str">
        <f t="shared" ca="1" si="36"/>
        <v/>
      </c>
      <c r="E302" s="708" t="str" cm="1">
        <f t="array" aca="1" ref="E302" ca="1">IF(INDIRECT($I302)= "", "", INDIRECT($I302))</f>
        <v/>
      </c>
      <c r="F302" s="709" t="str" cm="1">
        <f t="array" aca="1" ref="F302" ca="1">INDIRECT(LEFT(I302, FIND("!", I302)) &amp; RefData!$C$427 &amp; RIGHT(I302, LEN(I302) - FIND("!", I302) - 1))</f>
        <v>FYA 9.0</v>
      </c>
      <c r="G302" s="710" t="b">
        <f ca="1">IF(ISNUMBER(SEARCH(RefData!$B$2, $C302)), FALSE, TRUE)</f>
        <v>1</v>
      </c>
      <c r="H302" s="344">
        <f>'40-year assumptions'!G15</f>
        <v>0</v>
      </c>
      <c r="I302" s="712" t="str">
        <f t="shared" ca="1" si="42"/>
        <v>'40-year assumptions'!G15</v>
      </c>
      <c r="J302" s="713" t="b" cm="1">
        <f t="array" aca="1" ref="J302" ca="1">IF(COUNTIF($K302:$T302, "&lt;&gt;FALSE") - COUNTBLANK($K302:$T302) &gt; 0, INDEX($K302:$T302, MATCH(TRUE, $K302:$T302 &lt;&gt; FALSE, 0)))</f>
        <v>0</v>
      </c>
      <c r="K302" s="712" t="b">
        <f ca="1">IF(AND('Start here'!$C$24=RefData!$B$5,OR('Other assumptions'!$C$7=RefData!$B$47,'Other assumptions'!$C$7=RefData!$B$46),'Reconciliation report'!$E302=""),ErrorMsgs!$B302)</f>
        <v>0</v>
      </c>
      <c r="L302" s="712" t="b">
        <f ca="1">IF(AND('Start here'!$C$24=RefData!$B$5,OR('Other assumptions'!$C$7=RefData!$B$48,'Other assumptions'!$C$7=RefData!$B$49),'Reconciliation report'!$E302&lt;&gt;""),ErrorMsgs!$C302)</f>
        <v>0</v>
      </c>
      <c r="M302" s="714" t="b">
        <f ca="1">IF(AND('Start here'!$C$24=RefData!$B$4,'Discount rates'!$C$7=RefData!$B$8,OR('Other assumptions'!$C$7=RefData!$B$47,'Other assumptions'!$C$7=RefData!$B$46),'Reconciliation report'!$E302=""),ErrorMsgs!$D302)</f>
        <v>0</v>
      </c>
      <c r="N302" s="714" t="b">
        <f ca="1">IF(AND('Start here'!$C$24=RefData!$B$4,'Discount rates'!$C$7=RefData!$B$8,OR('Other assumptions'!$C$7=RefData!$B$48,'Other assumptions'!$C$7=RefData!$B$49),'Reconciliation report'!$E302&lt;&gt;""),ErrorMsgs!$E302)</f>
        <v>0</v>
      </c>
      <c r="O302" s="712" t="b">
        <f ca="1">IF(AND('Start here'!$C$24=RefData!$B$4,'Discount rates'!$C$7=RefData!$B$7,'Reconciliation report'!$E302&lt;&gt;""),ErrorMsgs!$F302)</f>
        <v>0</v>
      </c>
      <c r="P302" s="712" t="b">
        <f ca="1">IF($E302&lt;-0.25,ErrorMsgs!$G302)</f>
        <v>0</v>
      </c>
      <c r="Q302" s="712" t="b">
        <f ca="1">IF($E302="",FALSE,IF($E302&gt;0.25,ErrorMsgs!$H302))</f>
        <v>0</v>
      </c>
      <c r="R302" s="712"/>
      <c r="S302" s="712"/>
      <c r="T302" s="712"/>
      <c r="U302" s="526" t="str">
        <f t="shared" ca="1" si="38"/>
        <v/>
      </c>
      <c r="V302" s="93" t="str" cm="1">
        <f t="array" aca="1" ref="V302" ca="1">CELL("format",INDIRECT(I302))</f>
        <v>P4</v>
      </c>
      <c r="W302" s="93" t="b">
        <f t="shared" ca="1" si="39"/>
        <v>0</v>
      </c>
      <c r="X302" s="715" t="str">
        <f t="shared" ca="1" si="37"/>
        <v/>
      </c>
      <c r="Y302" t="b">
        <f t="shared" ca="1" si="40"/>
        <v>1</v>
      </c>
    </row>
    <row r="303" spans="1:25" ht="63" customHeight="1">
      <c r="A303" s="705" t="s">
        <v>3309</v>
      </c>
      <c r="B303" s="716" t="str">
        <f t="shared" ca="1" si="41"/>
        <v>40-year assumptions - G16</v>
      </c>
      <c r="C303" s="707" t="str" cm="1">
        <f t="array" aca="1" ref="C303" ca="1">INDIRECT(LEFT(I303, FIND("!", I303)) &amp; RefData!$C$426 &amp; RIGHT(I303, LEN(I303) - FIND("!", I303) - 1))</f>
        <v>Year 10</v>
      </c>
      <c r="D303" s="92" t="str">
        <f t="shared" ca="1" si="36"/>
        <v/>
      </c>
      <c r="E303" s="708" t="str" cm="1">
        <f t="array" aca="1" ref="E303" ca="1">IF(INDIRECT($I303)= "", "", INDIRECT($I303))</f>
        <v/>
      </c>
      <c r="F303" s="709" t="str" cm="1">
        <f t="array" aca="1" ref="F303" ca="1">INDIRECT(LEFT(I303, FIND("!", I303)) &amp; RefData!$C$427 &amp; RIGHT(I303, LEN(I303) - FIND("!", I303) - 1))</f>
        <v>FYA 10.0</v>
      </c>
      <c r="G303" s="710" t="b">
        <f ca="1">IF(ISNUMBER(SEARCH(RefData!$B$2, $C303)), FALSE, TRUE)</f>
        <v>1</v>
      </c>
      <c r="H303" s="344">
        <f>'40-year assumptions'!G16</f>
        <v>0</v>
      </c>
      <c r="I303" s="712" t="str">
        <f t="shared" ca="1" si="42"/>
        <v>'40-year assumptions'!G16</v>
      </c>
      <c r="J303" s="713" t="b" cm="1">
        <f t="array" aca="1" ref="J303" ca="1">IF(COUNTIF($K303:$T303, "&lt;&gt;FALSE") - COUNTBLANK($K303:$T303) &gt; 0, INDEX($K303:$T303, MATCH(TRUE, $K303:$T303 &lt;&gt; FALSE, 0)))</f>
        <v>0</v>
      </c>
      <c r="K303" s="712" t="b">
        <f ca="1">IF(AND('Start here'!$C$24=RefData!$B$5,OR('Other assumptions'!$C$7=RefData!$B$47,'Other assumptions'!$C$7=RefData!$B$46),'Reconciliation report'!$E303=""),ErrorMsgs!$B303)</f>
        <v>0</v>
      </c>
      <c r="L303" s="712" t="b">
        <f ca="1">IF(AND('Start here'!$C$24=RefData!$B$5,OR('Other assumptions'!$C$7=RefData!$B$48,'Other assumptions'!$C$7=RefData!$B$49),'Reconciliation report'!$E303&lt;&gt;""),ErrorMsgs!$C303)</f>
        <v>0</v>
      </c>
      <c r="M303" s="714" t="b">
        <f ca="1">IF(AND('Start here'!$C$24=RefData!$B$4,'Discount rates'!$C$7=RefData!$B$8,OR('Other assumptions'!$C$7=RefData!$B$47,'Other assumptions'!$C$7=RefData!$B$46),'Reconciliation report'!$E303=""),ErrorMsgs!$D303)</f>
        <v>0</v>
      </c>
      <c r="N303" s="714" t="b">
        <f ca="1">IF(AND('Start here'!$C$24=RefData!$B$4,'Discount rates'!$C$7=RefData!$B$8,OR('Other assumptions'!$C$7=RefData!$B$48,'Other assumptions'!$C$7=RefData!$B$49),'Reconciliation report'!$E303&lt;&gt;""),ErrorMsgs!$E303)</f>
        <v>0</v>
      </c>
      <c r="O303" s="712" t="b">
        <f ca="1">IF(AND('Start here'!$C$24=RefData!$B$4,'Discount rates'!$C$7=RefData!$B$7,'Reconciliation report'!$E303&lt;&gt;""),ErrorMsgs!$F303)</f>
        <v>0</v>
      </c>
      <c r="P303" s="712" t="b">
        <f ca="1">IF($E303&lt;-0.25,ErrorMsgs!$G303)</f>
        <v>0</v>
      </c>
      <c r="Q303" s="712" t="b">
        <f ca="1">IF($E303="",FALSE,IF($E303&gt;0.25,ErrorMsgs!$H303))</f>
        <v>0</v>
      </c>
      <c r="R303" s="712"/>
      <c r="S303" s="712"/>
      <c r="T303" s="712"/>
      <c r="U303" s="526" t="str">
        <f t="shared" ca="1" si="38"/>
        <v/>
      </c>
      <c r="V303" s="93" t="str" cm="1">
        <f t="array" aca="1" ref="V303" ca="1">CELL("format",INDIRECT(I303))</f>
        <v>P4</v>
      </c>
      <c r="W303" s="93" t="b">
        <f t="shared" ca="1" si="39"/>
        <v>0</v>
      </c>
      <c r="X303" s="715" t="str">
        <f t="shared" ca="1" si="37"/>
        <v/>
      </c>
      <c r="Y303" t="b">
        <f t="shared" ca="1" si="40"/>
        <v>1</v>
      </c>
    </row>
    <row r="304" spans="1:25" ht="63" customHeight="1">
      <c r="A304" s="705" t="s">
        <v>3310</v>
      </c>
      <c r="B304" s="716" t="str">
        <f t="shared" ca="1" si="41"/>
        <v>40-year assumptions - G17</v>
      </c>
      <c r="C304" s="707" t="str" cm="1">
        <f t="array" aca="1" ref="C304" ca="1">INDIRECT(LEFT(I304, FIND("!", I304)) &amp; RefData!$C$426 &amp; RIGHT(I304, LEN(I304) - FIND("!", I304) - 1))</f>
        <v>Year 11</v>
      </c>
      <c r="D304" s="92" t="str">
        <f t="shared" ca="1" si="36"/>
        <v/>
      </c>
      <c r="E304" s="708" t="str" cm="1">
        <f t="array" aca="1" ref="E304" ca="1">IF(INDIRECT($I304)= "", "", INDIRECT($I304))</f>
        <v/>
      </c>
      <c r="F304" s="709" t="str" cm="1">
        <f t="array" aca="1" ref="F304" ca="1">INDIRECT(LEFT(I304, FIND("!", I304)) &amp; RefData!$C$427 &amp; RIGHT(I304, LEN(I304) - FIND("!", I304) - 1))</f>
        <v>FYA 11.0</v>
      </c>
      <c r="G304" s="710" t="b">
        <f ca="1">IF(ISNUMBER(SEARCH(RefData!$B$2, $C304)), FALSE, TRUE)</f>
        <v>1</v>
      </c>
      <c r="H304" s="344">
        <f>'40-year assumptions'!G17</f>
        <v>0</v>
      </c>
      <c r="I304" s="712" t="str">
        <f t="shared" ca="1" si="42"/>
        <v>'40-year assumptions'!G17</v>
      </c>
      <c r="J304" s="713" t="b" cm="1">
        <f t="array" aca="1" ref="J304" ca="1">IF(COUNTIF($K304:$T304, "&lt;&gt;FALSE") - COUNTBLANK($K304:$T304) &gt; 0, INDEX($K304:$T304, MATCH(TRUE, $K304:$T304 &lt;&gt; FALSE, 0)))</f>
        <v>0</v>
      </c>
      <c r="K304" s="712" t="b">
        <f ca="1">IF(AND('Start here'!$C$24=RefData!$B$5,OR('Other assumptions'!$C$7=RefData!$B$47,'Other assumptions'!$C$7=RefData!$B$46),'Reconciliation report'!$E304=""),ErrorMsgs!$B304)</f>
        <v>0</v>
      </c>
      <c r="L304" s="712" t="b">
        <f ca="1">IF(AND('Start here'!$C$24=RefData!$B$5,OR('Other assumptions'!$C$7=RefData!$B$48,'Other assumptions'!$C$7=RefData!$B$49),'Reconciliation report'!$E304&lt;&gt;""),ErrorMsgs!$C304)</f>
        <v>0</v>
      </c>
      <c r="M304" s="714" t="b">
        <f ca="1">IF(AND('Start here'!$C$24=RefData!$B$4,'Discount rates'!$C$7=RefData!$B$8,OR('Other assumptions'!$C$7=RefData!$B$47,'Other assumptions'!$C$7=RefData!$B$46),'Reconciliation report'!$E304=""),ErrorMsgs!$D304)</f>
        <v>0</v>
      </c>
      <c r="N304" s="714" t="b">
        <f ca="1">IF(AND('Start here'!$C$24=RefData!$B$4,'Discount rates'!$C$7=RefData!$B$8,OR('Other assumptions'!$C$7=RefData!$B$48,'Other assumptions'!$C$7=RefData!$B$49),'Reconciliation report'!$E304&lt;&gt;""),ErrorMsgs!$E304)</f>
        <v>0</v>
      </c>
      <c r="O304" s="712" t="b">
        <f ca="1">IF(AND('Start here'!$C$24=RefData!$B$4,'Discount rates'!$C$7=RefData!$B$7,'Reconciliation report'!$E304&lt;&gt;""),ErrorMsgs!$F304)</f>
        <v>0</v>
      </c>
      <c r="P304" s="712" t="b">
        <f ca="1">IF($E304&lt;-0.25,ErrorMsgs!$G304)</f>
        <v>0</v>
      </c>
      <c r="Q304" s="712" t="b">
        <f ca="1">IF($E304="",FALSE,IF($E304&gt;0.25,ErrorMsgs!$H304))</f>
        <v>0</v>
      </c>
      <c r="R304" s="712"/>
      <c r="S304" s="712"/>
      <c r="T304" s="712"/>
      <c r="U304" s="526" t="str">
        <f t="shared" ca="1" si="38"/>
        <v/>
      </c>
      <c r="V304" s="93" t="str" cm="1">
        <f t="array" aca="1" ref="V304" ca="1">CELL("format",INDIRECT(I304))</f>
        <v>P4</v>
      </c>
      <c r="W304" s="93" t="b">
        <f t="shared" ca="1" si="39"/>
        <v>0</v>
      </c>
      <c r="X304" s="715" t="str">
        <f t="shared" ca="1" si="37"/>
        <v/>
      </c>
      <c r="Y304" t="b">
        <f t="shared" ca="1" si="40"/>
        <v>1</v>
      </c>
    </row>
    <row r="305" spans="1:25" ht="63" customHeight="1">
      <c r="A305" s="705" t="s">
        <v>3311</v>
      </c>
      <c r="B305" s="716" t="str">
        <f t="shared" ca="1" si="41"/>
        <v>40-year assumptions - G18</v>
      </c>
      <c r="C305" s="707" t="str" cm="1">
        <f t="array" aca="1" ref="C305" ca="1">INDIRECT(LEFT(I305, FIND("!", I305)) &amp; RefData!$C$426 &amp; RIGHT(I305, LEN(I305) - FIND("!", I305) - 1))</f>
        <v>Year 12</v>
      </c>
      <c r="D305" s="92" t="str">
        <f t="shared" ca="1" si="36"/>
        <v/>
      </c>
      <c r="E305" s="708" t="str" cm="1">
        <f t="array" aca="1" ref="E305" ca="1">IF(INDIRECT($I305)= "", "", INDIRECT($I305))</f>
        <v/>
      </c>
      <c r="F305" s="709" t="str" cm="1">
        <f t="array" aca="1" ref="F305" ca="1">INDIRECT(LEFT(I305, FIND("!", I305)) &amp; RefData!$C$427 &amp; RIGHT(I305, LEN(I305) - FIND("!", I305) - 1))</f>
        <v>FYA 12.0</v>
      </c>
      <c r="G305" s="710" t="b">
        <f ca="1">IF(ISNUMBER(SEARCH(RefData!$B$2, $C305)), FALSE, TRUE)</f>
        <v>1</v>
      </c>
      <c r="H305" s="344">
        <f>'40-year assumptions'!G18</f>
        <v>0</v>
      </c>
      <c r="I305" s="712" t="str">
        <f t="shared" ca="1" si="42"/>
        <v>'40-year assumptions'!G18</v>
      </c>
      <c r="J305" s="713" t="b" cm="1">
        <f t="array" aca="1" ref="J305" ca="1">IF(COUNTIF($K305:$T305, "&lt;&gt;FALSE") - COUNTBLANK($K305:$T305) &gt; 0, INDEX($K305:$T305, MATCH(TRUE, $K305:$T305 &lt;&gt; FALSE, 0)))</f>
        <v>0</v>
      </c>
      <c r="K305" s="712" t="b">
        <f ca="1">IF(AND('Start here'!$C$24=RefData!$B$5,OR('Other assumptions'!$C$7=RefData!$B$47,'Other assumptions'!$C$7=RefData!$B$46),'Reconciliation report'!$E305=""),ErrorMsgs!$B305)</f>
        <v>0</v>
      </c>
      <c r="L305" s="712" t="b">
        <f ca="1">IF(AND('Start here'!$C$24=RefData!$B$5,OR('Other assumptions'!$C$7=RefData!$B$48,'Other assumptions'!$C$7=RefData!$B$49),'Reconciliation report'!$E305&lt;&gt;""),ErrorMsgs!$C305)</f>
        <v>0</v>
      </c>
      <c r="M305" s="714" t="b">
        <f ca="1">IF(AND('Start here'!$C$24=RefData!$B$4,'Discount rates'!$C$7=RefData!$B$8,OR('Other assumptions'!$C$7=RefData!$B$47,'Other assumptions'!$C$7=RefData!$B$46),'Reconciliation report'!$E305=""),ErrorMsgs!$D305)</f>
        <v>0</v>
      </c>
      <c r="N305" s="714" t="b">
        <f ca="1">IF(AND('Start here'!$C$24=RefData!$B$4,'Discount rates'!$C$7=RefData!$B$8,OR('Other assumptions'!$C$7=RefData!$B$48,'Other assumptions'!$C$7=RefData!$B$49),'Reconciliation report'!$E305&lt;&gt;""),ErrorMsgs!$E305)</f>
        <v>0</v>
      </c>
      <c r="O305" s="712" t="b">
        <f ca="1">IF(AND('Start here'!$C$24=RefData!$B$4,'Discount rates'!$C$7=RefData!$B$7,'Reconciliation report'!$E305&lt;&gt;""),ErrorMsgs!$F305)</f>
        <v>0</v>
      </c>
      <c r="P305" s="712" t="b">
        <f ca="1">IF($E305&lt;-0.25,ErrorMsgs!$G305)</f>
        <v>0</v>
      </c>
      <c r="Q305" s="712" t="b">
        <f ca="1">IF($E305="",FALSE,IF($E305&gt;0.25,ErrorMsgs!$H305))</f>
        <v>0</v>
      </c>
      <c r="R305" s="712"/>
      <c r="S305" s="712"/>
      <c r="T305" s="712"/>
      <c r="U305" s="526" t="str">
        <f t="shared" ca="1" si="38"/>
        <v/>
      </c>
      <c r="V305" s="93" t="str" cm="1">
        <f t="array" aca="1" ref="V305" ca="1">CELL("format",INDIRECT(I305))</f>
        <v>P4</v>
      </c>
      <c r="W305" s="93" t="b">
        <f t="shared" ca="1" si="39"/>
        <v>0</v>
      </c>
      <c r="X305" s="715" t="str">
        <f t="shared" ca="1" si="37"/>
        <v/>
      </c>
      <c r="Y305" t="b">
        <f t="shared" ca="1" si="40"/>
        <v>1</v>
      </c>
    </row>
    <row r="306" spans="1:25" ht="63" customHeight="1">
      <c r="A306" s="705" t="s">
        <v>3312</v>
      </c>
      <c r="B306" s="716" t="str">
        <f t="shared" ca="1" si="41"/>
        <v>40-year assumptions - G19</v>
      </c>
      <c r="C306" s="707" t="str" cm="1">
        <f t="array" aca="1" ref="C306" ca="1">INDIRECT(LEFT(I306, FIND("!", I306)) &amp; RefData!$C$426 &amp; RIGHT(I306, LEN(I306) - FIND("!", I306) - 1))</f>
        <v>Year 13</v>
      </c>
      <c r="D306" s="92" t="str">
        <f t="shared" ca="1" si="36"/>
        <v/>
      </c>
      <c r="E306" s="708" t="str" cm="1">
        <f t="array" aca="1" ref="E306" ca="1">IF(INDIRECT($I306)= "", "", INDIRECT($I306))</f>
        <v/>
      </c>
      <c r="F306" s="709" t="str" cm="1">
        <f t="array" aca="1" ref="F306" ca="1">INDIRECT(LEFT(I306, FIND("!", I306)) &amp; RefData!$C$427 &amp; RIGHT(I306, LEN(I306) - FIND("!", I306) - 1))</f>
        <v>FYA 13.0</v>
      </c>
      <c r="G306" s="710" t="b">
        <f ca="1">IF(ISNUMBER(SEARCH(RefData!$B$2, $C306)), FALSE, TRUE)</f>
        <v>1</v>
      </c>
      <c r="H306" s="344">
        <f>'40-year assumptions'!G19</f>
        <v>0</v>
      </c>
      <c r="I306" s="712" t="str">
        <f t="shared" ca="1" si="42"/>
        <v>'40-year assumptions'!G19</v>
      </c>
      <c r="J306" s="713" t="b" cm="1">
        <f t="array" aca="1" ref="J306" ca="1">IF(COUNTIF($K306:$T306, "&lt;&gt;FALSE") - COUNTBLANK($K306:$T306) &gt; 0, INDEX($K306:$T306, MATCH(TRUE, $K306:$T306 &lt;&gt; FALSE, 0)))</f>
        <v>0</v>
      </c>
      <c r="K306" s="712" t="b">
        <f ca="1">IF(AND('Start here'!$C$24=RefData!$B$5,OR('Other assumptions'!$C$7=RefData!$B$47,'Other assumptions'!$C$7=RefData!$B$46),'Reconciliation report'!$E306=""),ErrorMsgs!$B306)</f>
        <v>0</v>
      </c>
      <c r="L306" s="712" t="b">
        <f ca="1">IF(AND('Start here'!$C$24=RefData!$B$5,OR('Other assumptions'!$C$7=RefData!$B$48,'Other assumptions'!$C$7=RefData!$B$49),'Reconciliation report'!$E306&lt;&gt;""),ErrorMsgs!$C306)</f>
        <v>0</v>
      </c>
      <c r="M306" s="714" t="b">
        <f ca="1">IF(AND('Start here'!$C$24=RefData!$B$4,'Discount rates'!$C$7=RefData!$B$8,OR('Other assumptions'!$C$7=RefData!$B$47,'Other assumptions'!$C$7=RefData!$B$46),'Reconciliation report'!$E306=""),ErrorMsgs!$D306)</f>
        <v>0</v>
      </c>
      <c r="N306" s="714" t="b">
        <f ca="1">IF(AND('Start here'!$C$24=RefData!$B$4,'Discount rates'!$C$7=RefData!$B$8,OR('Other assumptions'!$C$7=RefData!$B$48,'Other assumptions'!$C$7=RefData!$B$49),'Reconciliation report'!$E306&lt;&gt;""),ErrorMsgs!$E306)</f>
        <v>0</v>
      </c>
      <c r="O306" s="712" t="b">
        <f ca="1">IF(AND('Start here'!$C$24=RefData!$B$4,'Discount rates'!$C$7=RefData!$B$7,'Reconciliation report'!$E306&lt;&gt;""),ErrorMsgs!$F306)</f>
        <v>0</v>
      </c>
      <c r="P306" s="712" t="b">
        <f ca="1">IF($E306&lt;-0.25,ErrorMsgs!$G306)</f>
        <v>0</v>
      </c>
      <c r="Q306" s="712" t="b">
        <f ca="1">IF($E306="",FALSE,IF($E306&gt;0.25,ErrorMsgs!$H306))</f>
        <v>0</v>
      </c>
      <c r="R306" s="712"/>
      <c r="S306" s="712"/>
      <c r="T306" s="712"/>
      <c r="U306" s="526" t="str">
        <f t="shared" ca="1" si="38"/>
        <v/>
      </c>
      <c r="V306" s="93" t="str" cm="1">
        <f t="array" aca="1" ref="V306" ca="1">CELL("format",INDIRECT(I306))</f>
        <v>P4</v>
      </c>
      <c r="W306" s="93" t="b">
        <f t="shared" ca="1" si="39"/>
        <v>0</v>
      </c>
      <c r="X306" s="715" t="str">
        <f t="shared" ca="1" si="37"/>
        <v/>
      </c>
      <c r="Y306" t="b">
        <f t="shared" ca="1" si="40"/>
        <v>1</v>
      </c>
    </row>
    <row r="307" spans="1:25" ht="63" customHeight="1">
      <c r="A307" s="705" t="s">
        <v>3313</v>
      </c>
      <c r="B307" s="716" t="str">
        <f t="shared" ca="1" si="41"/>
        <v>40-year assumptions - G20</v>
      </c>
      <c r="C307" s="707" t="str" cm="1">
        <f t="array" aca="1" ref="C307" ca="1">INDIRECT(LEFT(I307, FIND("!", I307)) &amp; RefData!$C$426 &amp; RIGHT(I307, LEN(I307) - FIND("!", I307) - 1))</f>
        <v>Year 14</v>
      </c>
      <c r="D307" s="92" t="str">
        <f t="shared" ca="1" si="36"/>
        <v/>
      </c>
      <c r="E307" s="708" t="str" cm="1">
        <f t="array" aca="1" ref="E307" ca="1">IF(INDIRECT($I307)= "", "", INDIRECT($I307))</f>
        <v/>
      </c>
      <c r="F307" s="709" t="str" cm="1">
        <f t="array" aca="1" ref="F307" ca="1">INDIRECT(LEFT(I307, FIND("!", I307)) &amp; RefData!$C$427 &amp; RIGHT(I307, LEN(I307) - FIND("!", I307) - 1))</f>
        <v>FYA 14.0</v>
      </c>
      <c r="G307" s="710" t="b">
        <f ca="1">IF(ISNUMBER(SEARCH(RefData!$B$2, $C307)), FALSE, TRUE)</f>
        <v>1</v>
      </c>
      <c r="H307" s="344">
        <f>'40-year assumptions'!G20</f>
        <v>0</v>
      </c>
      <c r="I307" s="712" t="str">
        <f t="shared" ca="1" si="42"/>
        <v>'40-year assumptions'!G20</v>
      </c>
      <c r="J307" s="713" t="b" cm="1">
        <f t="array" aca="1" ref="J307" ca="1">IF(COUNTIF($K307:$T307, "&lt;&gt;FALSE") - COUNTBLANK($K307:$T307) &gt; 0, INDEX($K307:$T307, MATCH(TRUE, $K307:$T307 &lt;&gt; FALSE, 0)))</f>
        <v>0</v>
      </c>
      <c r="K307" s="712" t="b">
        <f ca="1">IF(AND('Start here'!$C$24=RefData!$B$5,OR('Other assumptions'!$C$7=RefData!$B$47,'Other assumptions'!$C$7=RefData!$B$46),'Reconciliation report'!$E307=""),ErrorMsgs!$B307)</f>
        <v>0</v>
      </c>
      <c r="L307" s="712" t="b">
        <f ca="1">IF(AND('Start here'!$C$24=RefData!$B$5,OR('Other assumptions'!$C$7=RefData!$B$48,'Other assumptions'!$C$7=RefData!$B$49),'Reconciliation report'!$E307&lt;&gt;""),ErrorMsgs!$C307)</f>
        <v>0</v>
      </c>
      <c r="M307" s="714" t="b">
        <f ca="1">IF(AND('Start here'!$C$24=RefData!$B$4,'Discount rates'!$C$7=RefData!$B$8,OR('Other assumptions'!$C$7=RefData!$B$47,'Other assumptions'!$C$7=RefData!$B$46),'Reconciliation report'!$E307=""),ErrorMsgs!$D307)</f>
        <v>0</v>
      </c>
      <c r="N307" s="714" t="b">
        <f ca="1">IF(AND('Start here'!$C$24=RefData!$B$4,'Discount rates'!$C$7=RefData!$B$8,OR('Other assumptions'!$C$7=RefData!$B$48,'Other assumptions'!$C$7=RefData!$B$49),'Reconciliation report'!$E307&lt;&gt;""),ErrorMsgs!$E307)</f>
        <v>0</v>
      </c>
      <c r="O307" s="712" t="b">
        <f ca="1">IF(AND('Start here'!$C$24=RefData!$B$4,'Discount rates'!$C$7=RefData!$B$7,'Reconciliation report'!$E307&lt;&gt;""),ErrorMsgs!$F307)</f>
        <v>0</v>
      </c>
      <c r="P307" s="712" t="b">
        <f ca="1">IF($E307&lt;-0.25,ErrorMsgs!$G307)</f>
        <v>0</v>
      </c>
      <c r="Q307" s="712" t="b">
        <f ca="1">IF($E307="",FALSE,IF($E307&gt;0.25,ErrorMsgs!$H307))</f>
        <v>0</v>
      </c>
      <c r="R307" s="712"/>
      <c r="S307" s="712"/>
      <c r="T307" s="712"/>
      <c r="U307" s="526" t="str">
        <f t="shared" ca="1" si="38"/>
        <v/>
      </c>
      <c r="V307" s="93" t="str" cm="1">
        <f t="array" aca="1" ref="V307" ca="1">CELL("format",INDIRECT(I307))</f>
        <v>P4</v>
      </c>
      <c r="W307" s="93" t="b">
        <f t="shared" ca="1" si="39"/>
        <v>0</v>
      </c>
      <c r="X307" s="715" t="str">
        <f t="shared" ca="1" si="37"/>
        <v/>
      </c>
      <c r="Y307" t="b">
        <f t="shared" ca="1" si="40"/>
        <v>1</v>
      </c>
    </row>
    <row r="308" spans="1:25" ht="63" customHeight="1">
      <c r="A308" s="705" t="s">
        <v>3314</v>
      </c>
      <c r="B308" s="716" t="str">
        <f t="shared" ca="1" si="41"/>
        <v>40-year assumptions - G21</v>
      </c>
      <c r="C308" s="707" t="str" cm="1">
        <f t="array" aca="1" ref="C308" ca="1">INDIRECT(LEFT(I308, FIND("!", I308)) &amp; RefData!$C$426 &amp; RIGHT(I308, LEN(I308) - FIND("!", I308) - 1))</f>
        <v>Year 15</v>
      </c>
      <c r="D308" s="92" t="str">
        <f t="shared" ca="1" si="36"/>
        <v/>
      </c>
      <c r="E308" s="708" t="str" cm="1">
        <f t="array" aca="1" ref="E308" ca="1">IF(INDIRECT($I308)= "", "", INDIRECT($I308))</f>
        <v/>
      </c>
      <c r="F308" s="709" t="str" cm="1">
        <f t="array" aca="1" ref="F308" ca="1">INDIRECT(LEFT(I308, FIND("!", I308)) &amp; RefData!$C$427 &amp; RIGHT(I308, LEN(I308) - FIND("!", I308) - 1))</f>
        <v>FYA 15.0</v>
      </c>
      <c r="G308" s="710" t="b">
        <f ca="1">IF(ISNUMBER(SEARCH(RefData!$B$2, $C308)), FALSE, TRUE)</f>
        <v>1</v>
      </c>
      <c r="H308" s="344">
        <f>'40-year assumptions'!G21</f>
        <v>0</v>
      </c>
      <c r="I308" s="712" t="str">
        <f t="shared" ca="1" si="42"/>
        <v>'40-year assumptions'!G21</v>
      </c>
      <c r="J308" s="713" t="b" cm="1">
        <f t="array" aca="1" ref="J308" ca="1">IF(COUNTIF($K308:$T308, "&lt;&gt;FALSE") - COUNTBLANK($K308:$T308) &gt; 0, INDEX($K308:$T308, MATCH(TRUE, $K308:$T308 &lt;&gt; FALSE, 0)))</f>
        <v>0</v>
      </c>
      <c r="K308" s="712" t="b">
        <f ca="1">IF(AND('Start here'!$C$24=RefData!$B$5,OR('Other assumptions'!$C$7=RefData!$B$47,'Other assumptions'!$C$7=RefData!$B$46),'Reconciliation report'!$E308=""),ErrorMsgs!$B308)</f>
        <v>0</v>
      </c>
      <c r="L308" s="712" t="b">
        <f ca="1">IF(AND('Start here'!$C$24=RefData!$B$5,OR('Other assumptions'!$C$7=RefData!$B$48,'Other assumptions'!$C$7=RefData!$B$49),'Reconciliation report'!$E308&lt;&gt;""),ErrorMsgs!$C308)</f>
        <v>0</v>
      </c>
      <c r="M308" s="714" t="b">
        <f ca="1">IF(AND('Start here'!$C$24=RefData!$B$4,'Discount rates'!$C$7=RefData!$B$8,OR('Other assumptions'!$C$7=RefData!$B$47,'Other assumptions'!$C$7=RefData!$B$46),'Reconciliation report'!$E308=""),ErrorMsgs!$D308)</f>
        <v>0</v>
      </c>
      <c r="N308" s="714" t="b">
        <f ca="1">IF(AND('Start here'!$C$24=RefData!$B$4,'Discount rates'!$C$7=RefData!$B$8,OR('Other assumptions'!$C$7=RefData!$B$48,'Other assumptions'!$C$7=RefData!$B$49),'Reconciliation report'!$E308&lt;&gt;""),ErrorMsgs!$E308)</f>
        <v>0</v>
      </c>
      <c r="O308" s="712" t="b">
        <f ca="1">IF(AND('Start here'!$C$24=RefData!$B$4,'Discount rates'!$C$7=RefData!$B$7,'Reconciliation report'!$E308&lt;&gt;""),ErrorMsgs!$F308)</f>
        <v>0</v>
      </c>
      <c r="P308" s="712" t="b">
        <f ca="1">IF($E308&lt;-0.25,ErrorMsgs!$G308)</f>
        <v>0</v>
      </c>
      <c r="Q308" s="712" t="b">
        <f ca="1">IF($E308="",FALSE,IF($E308&gt;0.25,ErrorMsgs!$H308))</f>
        <v>0</v>
      </c>
      <c r="R308" s="712"/>
      <c r="S308" s="712"/>
      <c r="T308" s="712"/>
      <c r="U308" s="526" t="str">
        <f t="shared" ca="1" si="38"/>
        <v/>
      </c>
      <c r="V308" s="93" t="str" cm="1">
        <f t="array" aca="1" ref="V308" ca="1">CELL("format",INDIRECT(I308))</f>
        <v>P4</v>
      </c>
      <c r="W308" s="93" t="b">
        <f t="shared" ca="1" si="39"/>
        <v>0</v>
      </c>
      <c r="X308" s="715" t="str">
        <f t="shared" ca="1" si="37"/>
        <v/>
      </c>
      <c r="Y308" t="b">
        <f t="shared" ca="1" si="40"/>
        <v>1</v>
      </c>
    </row>
    <row r="309" spans="1:25" ht="63" customHeight="1">
      <c r="A309" s="705" t="s">
        <v>3315</v>
      </c>
      <c r="B309" s="716" t="str">
        <f t="shared" ca="1" si="41"/>
        <v>40-year assumptions - G22</v>
      </c>
      <c r="C309" s="707" t="str" cm="1">
        <f t="array" aca="1" ref="C309" ca="1">INDIRECT(LEFT(I309, FIND("!", I309)) &amp; RefData!$C$426 &amp; RIGHT(I309, LEN(I309) - FIND("!", I309) - 1))</f>
        <v>Year 16</v>
      </c>
      <c r="D309" s="92" t="str">
        <f t="shared" ca="1" si="36"/>
        <v/>
      </c>
      <c r="E309" s="708" t="str" cm="1">
        <f t="array" aca="1" ref="E309" ca="1">IF(INDIRECT($I309)= "", "", INDIRECT($I309))</f>
        <v/>
      </c>
      <c r="F309" s="709" t="str" cm="1">
        <f t="array" aca="1" ref="F309" ca="1">INDIRECT(LEFT(I309, FIND("!", I309)) &amp; RefData!$C$427 &amp; RIGHT(I309, LEN(I309) - FIND("!", I309) - 1))</f>
        <v>FYA 16.0</v>
      </c>
      <c r="G309" s="710" t="b">
        <f ca="1">IF(ISNUMBER(SEARCH(RefData!$B$2, $C309)), FALSE, TRUE)</f>
        <v>1</v>
      </c>
      <c r="H309" s="344">
        <f>'40-year assumptions'!G22</f>
        <v>0</v>
      </c>
      <c r="I309" s="712" t="str">
        <f t="shared" ca="1" si="42"/>
        <v>'40-year assumptions'!G22</v>
      </c>
      <c r="J309" s="713" t="b" cm="1">
        <f t="array" aca="1" ref="J309" ca="1">IF(COUNTIF($K309:$T309, "&lt;&gt;FALSE") - COUNTBLANK($K309:$T309) &gt; 0, INDEX($K309:$T309, MATCH(TRUE, $K309:$T309 &lt;&gt; FALSE, 0)))</f>
        <v>0</v>
      </c>
      <c r="K309" s="712" t="b">
        <f ca="1">IF(AND('Start here'!$C$24=RefData!$B$5,OR('Other assumptions'!$C$7=RefData!$B$47,'Other assumptions'!$C$7=RefData!$B$46),'Reconciliation report'!$E309=""),ErrorMsgs!$B309)</f>
        <v>0</v>
      </c>
      <c r="L309" s="712" t="b">
        <f ca="1">IF(AND('Start here'!$C$24=RefData!$B$5,OR('Other assumptions'!$C$7=RefData!$B$48,'Other assumptions'!$C$7=RefData!$B$49),'Reconciliation report'!$E309&lt;&gt;""),ErrorMsgs!$C309)</f>
        <v>0</v>
      </c>
      <c r="M309" s="714" t="b">
        <f ca="1">IF(AND('Start here'!$C$24=RefData!$B$4,'Discount rates'!$C$7=RefData!$B$8,OR('Other assumptions'!$C$7=RefData!$B$47,'Other assumptions'!$C$7=RefData!$B$46),'Reconciliation report'!$E309=""),ErrorMsgs!$D309)</f>
        <v>0</v>
      </c>
      <c r="N309" s="714" t="b">
        <f ca="1">IF(AND('Start here'!$C$24=RefData!$B$4,'Discount rates'!$C$7=RefData!$B$8,OR('Other assumptions'!$C$7=RefData!$B$48,'Other assumptions'!$C$7=RefData!$B$49),'Reconciliation report'!$E309&lt;&gt;""),ErrorMsgs!$E309)</f>
        <v>0</v>
      </c>
      <c r="O309" s="712" t="b">
        <f ca="1">IF(AND('Start here'!$C$24=RefData!$B$4,'Discount rates'!$C$7=RefData!$B$7,'Reconciliation report'!$E309&lt;&gt;""),ErrorMsgs!$F309)</f>
        <v>0</v>
      </c>
      <c r="P309" s="712" t="b">
        <f ca="1">IF($E309&lt;-0.25,ErrorMsgs!$G309)</f>
        <v>0</v>
      </c>
      <c r="Q309" s="712" t="b">
        <f ca="1">IF($E309="",FALSE,IF($E309&gt;0.25,ErrorMsgs!$H309))</f>
        <v>0</v>
      </c>
      <c r="R309" s="712"/>
      <c r="S309" s="712"/>
      <c r="T309" s="712"/>
      <c r="U309" s="526" t="str">
        <f t="shared" ca="1" si="38"/>
        <v/>
      </c>
      <c r="V309" s="93" t="str" cm="1">
        <f t="array" aca="1" ref="V309" ca="1">CELL("format",INDIRECT(I309))</f>
        <v>P4</v>
      </c>
      <c r="W309" s="93" t="b">
        <f t="shared" ca="1" si="39"/>
        <v>0</v>
      </c>
      <c r="X309" s="715" t="str">
        <f t="shared" ca="1" si="37"/>
        <v/>
      </c>
      <c r="Y309" t="b">
        <f t="shared" ca="1" si="40"/>
        <v>1</v>
      </c>
    </row>
    <row r="310" spans="1:25" ht="63" customHeight="1">
      <c r="A310" s="705" t="s">
        <v>3316</v>
      </c>
      <c r="B310" s="716" t="str">
        <f t="shared" ca="1" si="41"/>
        <v>40-year assumptions - G23</v>
      </c>
      <c r="C310" s="707" t="str" cm="1">
        <f t="array" aca="1" ref="C310" ca="1">INDIRECT(LEFT(I310, FIND("!", I310)) &amp; RefData!$C$426 &amp; RIGHT(I310, LEN(I310) - FIND("!", I310) - 1))</f>
        <v>Year 17</v>
      </c>
      <c r="D310" s="92" t="str">
        <f t="shared" ca="1" si="36"/>
        <v/>
      </c>
      <c r="E310" s="708" t="str" cm="1">
        <f t="array" aca="1" ref="E310" ca="1">IF(INDIRECT($I310)= "", "", INDIRECT($I310))</f>
        <v/>
      </c>
      <c r="F310" s="709" t="str" cm="1">
        <f t="array" aca="1" ref="F310" ca="1">INDIRECT(LEFT(I310, FIND("!", I310)) &amp; RefData!$C$427 &amp; RIGHT(I310, LEN(I310) - FIND("!", I310) - 1))</f>
        <v>FYA 17.0</v>
      </c>
      <c r="G310" s="710" t="b">
        <f ca="1">IF(ISNUMBER(SEARCH(RefData!$B$2, $C310)), FALSE, TRUE)</f>
        <v>1</v>
      </c>
      <c r="H310" s="344">
        <f>'40-year assumptions'!G23</f>
        <v>0</v>
      </c>
      <c r="I310" s="712" t="str">
        <f t="shared" ca="1" si="42"/>
        <v>'40-year assumptions'!G23</v>
      </c>
      <c r="J310" s="713" t="b" cm="1">
        <f t="array" aca="1" ref="J310" ca="1">IF(COUNTIF($K310:$T310, "&lt;&gt;FALSE") - COUNTBLANK($K310:$T310) &gt; 0, INDEX($K310:$T310, MATCH(TRUE, $K310:$T310 &lt;&gt; FALSE, 0)))</f>
        <v>0</v>
      </c>
      <c r="K310" s="712" t="b">
        <f ca="1">IF(AND('Start here'!$C$24=RefData!$B$5,OR('Other assumptions'!$C$7=RefData!$B$47,'Other assumptions'!$C$7=RefData!$B$46),'Reconciliation report'!$E310=""),ErrorMsgs!$B310)</f>
        <v>0</v>
      </c>
      <c r="L310" s="712" t="b">
        <f ca="1">IF(AND('Start here'!$C$24=RefData!$B$5,OR('Other assumptions'!$C$7=RefData!$B$48,'Other assumptions'!$C$7=RefData!$B$49),'Reconciliation report'!$E310&lt;&gt;""),ErrorMsgs!$C310)</f>
        <v>0</v>
      </c>
      <c r="M310" s="714" t="b">
        <f ca="1">IF(AND('Start here'!$C$24=RefData!$B$4,'Discount rates'!$C$7=RefData!$B$8,OR('Other assumptions'!$C$7=RefData!$B$47,'Other assumptions'!$C$7=RefData!$B$46),'Reconciliation report'!$E310=""),ErrorMsgs!$D310)</f>
        <v>0</v>
      </c>
      <c r="N310" s="714" t="b">
        <f ca="1">IF(AND('Start here'!$C$24=RefData!$B$4,'Discount rates'!$C$7=RefData!$B$8,OR('Other assumptions'!$C$7=RefData!$B$48,'Other assumptions'!$C$7=RefData!$B$49),'Reconciliation report'!$E310&lt;&gt;""),ErrorMsgs!$E310)</f>
        <v>0</v>
      </c>
      <c r="O310" s="712" t="b">
        <f ca="1">IF(AND('Start here'!$C$24=RefData!$B$4,'Discount rates'!$C$7=RefData!$B$7,'Reconciliation report'!$E310&lt;&gt;""),ErrorMsgs!$F310)</f>
        <v>0</v>
      </c>
      <c r="P310" s="712" t="b">
        <f ca="1">IF($E310&lt;-0.25,ErrorMsgs!$G310)</f>
        <v>0</v>
      </c>
      <c r="Q310" s="712" t="b">
        <f ca="1">IF($E310="",FALSE,IF($E310&gt;0.25,ErrorMsgs!$H310))</f>
        <v>0</v>
      </c>
      <c r="R310" s="712"/>
      <c r="S310" s="712"/>
      <c r="T310" s="712"/>
      <c r="U310" s="526" t="str">
        <f t="shared" ca="1" si="38"/>
        <v/>
      </c>
      <c r="V310" s="93" t="str" cm="1">
        <f t="array" aca="1" ref="V310" ca="1">CELL("format",INDIRECT(I310))</f>
        <v>P4</v>
      </c>
      <c r="W310" s="93" t="b">
        <f t="shared" ca="1" si="39"/>
        <v>0</v>
      </c>
      <c r="X310" s="715" t="str">
        <f t="shared" ca="1" si="37"/>
        <v/>
      </c>
      <c r="Y310" t="b">
        <f t="shared" ca="1" si="40"/>
        <v>1</v>
      </c>
    </row>
    <row r="311" spans="1:25" ht="63" customHeight="1">
      <c r="A311" s="705" t="s">
        <v>3317</v>
      </c>
      <c r="B311" s="716" t="str">
        <f t="shared" ca="1" si="41"/>
        <v>40-year assumptions - G24</v>
      </c>
      <c r="C311" s="707" t="str" cm="1">
        <f t="array" aca="1" ref="C311" ca="1">INDIRECT(LEFT(I311, FIND("!", I311)) &amp; RefData!$C$426 &amp; RIGHT(I311, LEN(I311) - FIND("!", I311) - 1))</f>
        <v>Year 18</v>
      </c>
      <c r="D311" s="92" t="str">
        <f t="shared" ca="1" si="36"/>
        <v/>
      </c>
      <c r="E311" s="708" t="str" cm="1">
        <f t="array" aca="1" ref="E311" ca="1">IF(INDIRECT($I311)= "", "", INDIRECT($I311))</f>
        <v/>
      </c>
      <c r="F311" s="709" t="str" cm="1">
        <f t="array" aca="1" ref="F311" ca="1">INDIRECT(LEFT(I311, FIND("!", I311)) &amp; RefData!$C$427 &amp; RIGHT(I311, LEN(I311) - FIND("!", I311) - 1))</f>
        <v>FYA 18.0</v>
      </c>
      <c r="G311" s="710" t="b">
        <f ca="1">IF(ISNUMBER(SEARCH(RefData!$B$2, $C311)), FALSE, TRUE)</f>
        <v>1</v>
      </c>
      <c r="H311" s="344">
        <f>'40-year assumptions'!G24</f>
        <v>0</v>
      </c>
      <c r="I311" s="712" t="str">
        <f t="shared" ca="1" si="42"/>
        <v>'40-year assumptions'!G24</v>
      </c>
      <c r="J311" s="713" t="b" cm="1">
        <f t="array" aca="1" ref="J311" ca="1">IF(COUNTIF($K311:$T311, "&lt;&gt;FALSE") - COUNTBLANK($K311:$T311) &gt; 0, INDEX($K311:$T311, MATCH(TRUE, $K311:$T311 &lt;&gt; FALSE, 0)))</f>
        <v>0</v>
      </c>
      <c r="K311" s="712" t="b">
        <f ca="1">IF(AND('Start here'!$C$24=RefData!$B$5,OR('Other assumptions'!$C$7=RefData!$B$47,'Other assumptions'!$C$7=RefData!$B$46),'Reconciliation report'!$E311=""),ErrorMsgs!$B311)</f>
        <v>0</v>
      </c>
      <c r="L311" s="712" t="b">
        <f ca="1">IF(AND('Start here'!$C$24=RefData!$B$5,OR('Other assumptions'!$C$7=RefData!$B$48,'Other assumptions'!$C$7=RefData!$B$49),'Reconciliation report'!$E311&lt;&gt;""),ErrorMsgs!$C311)</f>
        <v>0</v>
      </c>
      <c r="M311" s="714" t="b">
        <f ca="1">IF(AND('Start here'!$C$24=RefData!$B$4,'Discount rates'!$C$7=RefData!$B$8,OR('Other assumptions'!$C$7=RefData!$B$47,'Other assumptions'!$C$7=RefData!$B$46),'Reconciliation report'!$E311=""),ErrorMsgs!$D311)</f>
        <v>0</v>
      </c>
      <c r="N311" s="714" t="b">
        <f ca="1">IF(AND('Start here'!$C$24=RefData!$B$4,'Discount rates'!$C$7=RefData!$B$8,OR('Other assumptions'!$C$7=RefData!$B$48,'Other assumptions'!$C$7=RefData!$B$49),'Reconciliation report'!$E311&lt;&gt;""),ErrorMsgs!$E311)</f>
        <v>0</v>
      </c>
      <c r="O311" s="712" t="b">
        <f ca="1">IF(AND('Start here'!$C$24=RefData!$B$4,'Discount rates'!$C$7=RefData!$B$7,'Reconciliation report'!$E311&lt;&gt;""),ErrorMsgs!$F311)</f>
        <v>0</v>
      </c>
      <c r="P311" s="712" t="b">
        <f ca="1">IF($E311&lt;-0.25,ErrorMsgs!$G311)</f>
        <v>0</v>
      </c>
      <c r="Q311" s="712" t="b">
        <f ca="1">IF($E311="",FALSE,IF($E311&gt;0.25,ErrorMsgs!$H311))</f>
        <v>0</v>
      </c>
      <c r="R311" s="712"/>
      <c r="S311" s="712"/>
      <c r="T311" s="712"/>
      <c r="U311" s="526" t="str">
        <f t="shared" ca="1" si="38"/>
        <v/>
      </c>
      <c r="V311" s="93" t="str" cm="1">
        <f t="array" aca="1" ref="V311" ca="1">CELL("format",INDIRECT(I311))</f>
        <v>P4</v>
      </c>
      <c r="W311" s="93" t="b">
        <f t="shared" ca="1" si="39"/>
        <v>0</v>
      </c>
      <c r="X311" s="715" t="str">
        <f t="shared" ca="1" si="37"/>
        <v/>
      </c>
      <c r="Y311" t="b">
        <f t="shared" ca="1" si="40"/>
        <v>1</v>
      </c>
    </row>
    <row r="312" spans="1:25" ht="63" customHeight="1">
      <c r="A312" s="705" t="s">
        <v>3318</v>
      </c>
      <c r="B312" s="716" t="str">
        <f t="shared" ca="1" si="41"/>
        <v>40-year assumptions - G25</v>
      </c>
      <c r="C312" s="707" t="str" cm="1">
        <f t="array" aca="1" ref="C312" ca="1">INDIRECT(LEFT(I312, FIND("!", I312)) &amp; RefData!$C$426 &amp; RIGHT(I312, LEN(I312) - FIND("!", I312) - 1))</f>
        <v>Year 19</v>
      </c>
      <c r="D312" s="92" t="str">
        <f t="shared" ca="1" si="36"/>
        <v/>
      </c>
      <c r="E312" s="708" t="str" cm="1">
        <f t="array" aca="1" ref="E312" ca="1">IF(INDIRECT($I312)= "", "", INDIRECT($I312))</f>
        <v/>
      </c>
      <c r="F312" s="709" t="str" cm="1">
        <f t="array" aca="1" ref="F312" ca="1">INDIRECT(LEFT(I312, FIND("!", I312)) &amp; RefData!$C$427 &amp; RIGHT(I312, LEN(I312) - FIND("!", I312) - 1))</f>
        <v>FYA 19.0</v>
      </c>
      <c r="G312" s="710" t="b">
        <f ca="1">IF(ISNUMBER(SEARCH(RefData!$B$2, $C312)), FALSE, TRUE)</f>
        <v>1</v>
      </c>
      <c r="H312" s="344">
        <f>'40-year assumptions'!G25</f>
        <v>0</v>
      </c>
      <c r="I312" s="712" t="str">
        <f t="shared" ca="1" si="42"/>
        <v>'40-year assumptions'!G25</v>
      </c>
      <c r="J312" s="713" t="b" cm="1">
        <f t="array" aca="1" ref="J312" ca="1">IF(COUNTIF($K312:$T312, "&lt;&gt;FALSE") - COUNTBLANK($K312:$T312) &gt; 0, INDEX($K312:$T312, MATCH(TRUE, $K312:$T312 &lt;&gt; FALSE, 0)))</f>
        <v>0</v>
      </c>
      <c r="K312" s="712" t="b">
        <f ca="1">IF(AND('Start here'!$C$24=RefData!$B$5,OR('Other assumptions'!$C$7=RefData!$B$47,'Other assumptions'!$C$7=RefData!$B$46),'Reconciliation report'!$E312=""),ErrorMsgs!$B312)</f>
        <v>0</v>
      </c>
      <c r="L312" s="712" t="b">
        <f ca="1">IF(AND('Start here'!$C$24=RefData!$B$5,OR('Other assumptions'!$C$7=RefData!$B$48,'Other assumptions'!$C$7=RefData!$B$49),'Reconciliation report'!$E312&lt;&gt;""),ErrorMsgs!$C312)</f>
        <v>0</v>
      </c>
      <c r="M312" s="714" t="b">
        <f ca="1">IF(AND('Start here'!$C$24=RefData!$B$4,'Discount rates'!$C$7=RefData!$B$8,OR('Other assumptions'!$C$7=RefData!$B$47,'Other assumptions'!$C$7=RefData!$B$46),'Reconciliation report'!$E312=""),ErrorMsgs!$D312)</f>
        <v>0</v>
      </c>
      <c r="N312" s="714" t="b">
        <f ca="1">IF(AND('Start here'!$C$24=RefData!$B$4,'Discount rates'!$C$7=RefData!$B$8,OR('Other assumptions'!$C$7=RefData!$B$48,'Other assumptions'!$C$7=RefData!$B$49),'Reconciliation report'!$E312&lt;&gt;""),ErrorMsgs!$E312)</f>
        <v>0</v>
      </c>
      <c r="O312" s="712" t="b">
        <f ca="1">IF(AND('Start here'!$C$24=RefData!$B$4,'Discount rates'!$C$7=RefData!$B$7,'Reconciliation report'!$E312&lt;&gt;""),ErrorMsgs!$F312)</f>
        <v>0</v>
      </c>
      <c r="P312" s="712" t="b">
        <f ca="1">IF($E312&lt;-0.25,ErrorMsgs!$G312)</f>
        <v>0</v>
      </c>
      <c r="Q312" s="712" t="b">
        <f ca="1">IF($E312="",FALSE,IF($E312&gt;0.25,ErrorMsgs!$H312))</f>
        <v>0</v>
      </c>
      <c r="R312" s="712"/>
      <c r="S312" s="712"/>
      <c r="T312" s="712"/>
      <c r="U312" s="526" t="str">
        <f t="shared" ca="1" si="38"/>
        <v/>
      </c>
      <c r="V312" s="93" t="str" cm="1">
        <f t="array" aca="1" ref="V312" ca="1">CELL("format",INDIRECT(I312))</f>
        <v>P4</v>
      </c>
      <c r="W312" s="93" t="b">
        <f t="shared" ca="1" si="39"/>
        <v>0</v>
      </c>
      <c r="X312" s="715" t="str">
        <f t="shared" ca="1" si="37"/>
        <v/>
      </c>
      <c r="Y312" t="b">
        <f t="shared" ca="1" si="40"/>
        <v>1</v>
      </c>
    </row>
    <row r="313" spans="1:25" ht="63" customHeight="1">
      <c r="A313" s="705" t="s">
        <v>3319</v>
      </c>
      <c r="B313" s="716" t="str">
        <f t="shared" ca="1" si="41"/>
        <v>40-year assumptions - G26</v>
      </c>
      <c r="C313" s="707" t="str" cm="1">
        <f t="array" aca="1" ref="C313" ca="1">INDIRECT(LEFT(I313, FIND("!", I313)) &amp; RefData!$C$426 &amp; RIGHT(I313, LEN(I313) - FIND("!", I313) - 1))</f>
        <v>Year 20</v>
      </c>
      <c r="D313" s="92" t="str">
        <f t="shared" ca="1" si="36"/>
        <v/>
      </c>
      <c r="E313" s="708" t="str" cm="1">
        <f t="array" aca="1" ref="E313" ca="1">IF(INDIRECT($I313)= "", "", INDIRECT($I313))</f>
        <v/>
      </c>
      <c r="F313" s="709" t="str" cm="1">
        <f t="array" aca="1" ref="F313" ca="1">INDIRECT(LEFT(I313, FIND("!", I313)) &amp; RefData!$C$427 &amp; RIGHT(I313, LEN(I313) - FIND("!", I313) - 1))</f>
        <v>FYA 20.0</v>
      </c>
      <c r="G313" s="710" t="b">
        <f ca="1">IF(ISNUMBER(SEARCH(RefData!$B$2, $C313)), FALSE, TRUE)</f>
        <v>1</v>
      </c>
      <c r="H313" s="344">
        <f>'40-year assumptions'!G26</f>
        <v>0</v>
      </c>
      <c r="I313" s="712" t="str">
        <f t="shared" ca="1" si="42"/>
        <v>'40-year assumptions'!G26</v>
      </c>
      <c r="J313" s="713" t="b" cm="1">
        <f t="array" aca="1" ref="J313" ca="1">IF(COUNTIF($K313:$T313, "&lt;&gt;FALSE") - COUNTBLANK($K313:$T313) &gt; 0, INDEX($K313:$T313, MATCH(TRUE, $K313:$T313 &lt;&gt; FALSE, 0)))</f>
        <v>0</v>
      </c>
      <c r="K313" s="712" t="b">
        <f ca="1">IF(AND('Start here'!$C$24=RefData!$B$5,OR('Other assumptions'!$C$7=RefData!$B$47,'Other assumptions'!$C$7=RefData!$B$46),'Reconciliation report'!$E313=""),ErrorMsgs!$B313)</f>
        <v>0</v>
      </c>
      <c r="L313" s="712" t="b">
        <f ca="1">IF(AND('Start here'!$C$24=RefData!$B$5,OR('Other assumptions'!$C$7=RefData!$B$48,'Other assumptions'!$C$7=RefData!$B$49),'Reconciliation report'!$E313&lt;&gt;""),ErrorMsgs!$C313)</f>
        <v>0</v>
      </c>
      <c r="M313" s="714" t="b">
        <f ca="1">IF(AND('Start here'!$C$24=RefData!$B$4,'Discount rates'!$C$7=RefData!$B$8,OR('Other assumptions'!$C$7=RefData!$B$47,'Other assumptions'!$C$7=RefData!$B$46),'Reconciliation report'!$E313=""),ErrorMsgs!$D313)</f>
        <v>0</v>
      </c>
      <c r="N313" s="714" t="b">
        <f ca="1">IF(AND('Start here'!$C$24=RefData!$B$4,'Discount rates'!$C$7=RefData!$B$8,OR('Other assumptions'!$C$7=RefData!$B$48,'Other assumptions'!$C$7=RefData!$B$49),'Reconciliation report'!$E313&lt;&gt;""),ErrorMsgs!$E313)</f>
        <v>0</v>
      </c>
      <c r="O313" s="712" t="b">
        <f ca="1">IF(AND('Start here'!$C$24=RefData!$B$4,'Discount rates'!$C$7=RefData!$B$7,'Reconciliation report'!$E313&lt;&gt;""),ErrorMsgs!$F313)</f>
        <v>0</v>
      </c>
      <c r="P313" s="712" t="b">
        <f ca="1">IF($E313&lt;-0.25,ErrorMsgs!$G313)</f>
        <v>0</v>
      </c>
      <c r="Q313" s="712" t="b">
        <f ca="1">IF($E313="",FALSE,IF($E313&gt;0.25,ErrorMsgs!$H313))</f>
        <v>0</v>
      </c>
      <c r="R313" s="712"/>
      <c r="S313" s="712"/>
      <c r="T313" s="712"/>
      <c r="U313" s="526" t="str">
        <f t="shared" ca="1" si="38"/>
        <v/>
      </c>
      <c r="V313" s="93" t="str" cm="1">
        <f t="array" aca="1" ref="V313" ca="1">CELL("format",INDIRECT(I313))</f>
        <v>P4</v>
      </c>
      <c r="W313" s="93" t="b">
        <f t="shared" ca="1" si="39"/>
        <v>0</v>
      </c>
      <c r="X313" s="715" t="str">
        <f t="shared" ca="1" si="37"/>
        <v/>
      </c>
      <c r="Y313" t="b">
        <f t="shared" ca="1" si="40"/>
        <v>1</v>
      </c>
    </row>
    <row r="314" spans="1:25" ht="63" customHeight="1">
      <c r="A314" s="705" t="s">
        <v>3320</v>
      </c>
      <c r="B314" s="716" t="str">
        <f t="shared" ca="1" si="41"/>
        <v>40-year assumptions - G27</v>
      </c>
      <c r="C314" s="707" t="str" cm="1">
        <f t="array" aca="1" ref="C314" ca="1">INDIRECT(LEFT(I314, FIND("!", I314)) &amp; RefData!$C$426 &amp; RIGHT(I314, LEN(I314) - FIND("!", I314) - 1))</f>
        <v>Year 21</v>
      </c>
      <c r="D314" s="92" t="str">
        <f t="shared" ca="1" si="36"/>
        <v/>
      </c>
      <c r="E314" s="708" t="str" cm="1">
        <f t="array" aca="1" ref="E314" ca="1">IF(INDIRECT($I314)= "", "", INDIRECT($I314))</f>
        <v/>
      </c>
      <c r="F314" s="709" t="str" cm="1">
        <f t="array" aca="1" ref="F314" ca="1">INDIRECT(LEFT(I314, FIND("!", I314)) &amp; RefData!$C$427 &amp; RIGHT(I314, LEN(I314) - FIND("!", I314) - 1))</f>
        <v>FYA 21.0</v>
      </c>
      <c r="G314" s="710" t="b">
        <f ca="1">IF(ISNUMBER(SEARCH(RefData!$B$2, $C314)), FALSE, TRUE)</f>
        <v>1</v>
      </c>
      <c r="H314" s="344">
        <f>'40-year assumptions'!G27</f>
        <v>0</v>
      </c>
      <c r="I314" s="712" t="str">
        <f t="shared" ca="1" si="42"/>
        <v>'40-year assumptions'!G27</v>
      </c>
      <c r="J314" s="713" t="b" cm="1">
        <f t="array" aca="1" ref="J314" ca="1">IF(COUNTIF($K314:$T314, "&lt;&gt;FALSE") - COUNTBLANK($K314:$T314) &gt; 0, INDEX($K314:$T314, MATCH(TRUE, $K314:$T314 &lt;&gt; FALSE, 0)))</f>
        <v>0</v>
      </c>
      <c r="K314" s="712" t="b">
        <f ca="1">IF(AND('Start here'!$C$24=RefData!$B$5,OR('Other assumptions'!$C$7=RefData!$B$47,'Other assumptions'!$C$7=RefData!$B$46),'Reconciliation report'!$E314=""),ErrorMsgs!$B314)</f>
        <v>0</v>
      </c>
      <c r="L314" s="712" t="b">
        <f ca="1">IF(AND('Start here'!$C$24=RefData!$B$5,OR('Other assumptions'!$C$7=RefData!$B$48,'Other assumptions'!$C$7=RefData!$B$49),'Reconciliation report'!$E314&lt;&gt;""),ErrorMsgs!$C314)</f>
        <v>0</v>
      </c>
      <c r="M314" s="714" t="b">
        <f ca="1">IF(AND('Start here'!$C$24=RefData!$B$4,'Discount rates'!$C$7=RefData!$B$8,OR('Other assumptions'!$C$7=RefData!$B$47,'Other assumptions'!$C$7=RefData!$B$46),'Reconciliation report'!$E314=""),ErrorMsgs!$D314)</f>
        <v>0</v>
      </c>
      <c r="N314" s="714" t="b">
        <f ca="1">IF(AND('Start here'!$C$24=RefData!$B$4,'Discount rates'!$C$7=RefData!$B$8,OR('Other assumptions'!$C$7=RefData!$B$48,'Other assumptions'!$C$7=RefData!$B$49),'Reconciliation report'!$E314&lt;&gt;""),ErrorMsgs!$E314)</f>
        <v>0</v>
      </c>
      <c r="O314" s="712" t="b">
        <f ca="1">IF(AND('Start here'!$C$24=RefData!$B$4,'Discount rates'!$C$7=RefData!$B$7,'Reconciliation report'!$E314&lt;&gt;""),ErrorMsgs!$F314)</f>
        <v>0</v>
      </c>
      <c r="P314" s="712" t="b">
        <f ca="1">IF($E314&lt;-0.25,ErrorMsgs!$G314)</f>
        <v>0</v>
      </c>
      <c r="Q314" s="712" t="b">
        <f ca="1">IF($E314="",FALSE,IF($E314&gt;0.25,ErrorMsgs!$H314))</f>
        <v>0</v>
      </c>
      <c r="R314" s="712"/>
      <c r="S314" s="712"/>
      <c r="T314" s="712"/>
      <c r="U314" s="526" t="str">
        <f t="shared" ca="1" si="38"/>
        <v/>
      </c>
      <c r="V314" s="93" t="str" cm="1">
        <f t="array" aca="1" ref="V314" ca="1">CELL("format",INDIRECT(I314))</f>
        <v>P4</v>
      </c>
      <c r="W314" s="93" t="b">
        <f t="shared" ca="1" si="39"/>
        <v>0</v>
      </c>
      <c r="X314" s="715" t="str">
        <f t="shared" ca="1" si="37"/>
        <v/>
      </c>
      <c r="Y314" t="b">
        <f t="shared" ca="1" si="40"/>
        <v>1</v>
      </c>
    </row>
    <row r="315" spans="1:25" ht="63" customHeight="1">
      <c r="A315" s="705" t="s">
        <v>3321</v>
      </c>
      <c r="B315" s="716" t="str">
        <f t="shared" ca="1" si="41"/>
        <v>40-year assumptions - G28</v>
      </c>
      <c r="C315" s="707" t="str" cm="1">
        <f t="array" aca="1" ref="C315" ca="1">INDIRECT(LEFT(I315, FIND("!", I315)) &amp; RefData!$C$426 &amp; RIGHT(I315, LEN(I315) - FIND("!", I315) - 1))</f>
        <v>Year 22</v>
      </c>
      <c r="D315" s="92" t="str">
        <f t="shared" ca="1" si="36"/>
        <v/>
      </c>
      <c r="E315" s="708" t="str" cm="1">
        <f t="array" aca="1" ref="E315" ca="1">IF(INDIRECT($I315)= "", "", INDIRECT($I315))</f>
        <v/>
      </c>
      <c r="F315" s="709" t="str" cm="1">
        <f t="array" aca="1" ref="F315" ca="1">INDIRECT(LEFT(I315, FIND("!", I315)) &amp; RefData!$C$427 &amp; RIGHT(I315, LEN(I315) - FIND("!", I315) - 1))</f>
        <v>FYA 22.0</v>
      </c>
      <c r="G315" s="710" t="b">
        <f ca="1">IF(ISNUMBER(SEARCH(RefData!$B$2, $C315)), FALSE, TRUE)</f>
        <v>1</v>
      </c>
      <c r="H315" s="344">
        <f>'40-year assumptions'!G28</f>
        <v>0</v>
      </c>
      <c r="I315" s="712" t="str">
        <f t="shared" ca="1" si="42"/>
        <v>'40-year assumptions'!G28</v>
      </c>
      <c r="J315" s="713" t="b" cm="1">
        <f t="array" aca="1" ref="J315" ca="1">IF(COUNTIF($K315:$T315, "&lt;&gt;FALSE") - COUNTBLANK($K315:$T315) &gt; 0, INDEX($K315:$T315, MATCH(TRUE, $K315:$T315 &lt;&gt; FALSE, 0)))</f>
        <v>0</v>
      </c>
      <c r="K315" s="712" t="b">
        <f ca="1">IF(AND('Start here'!$C$24=RefData!$B$5,OR('Other assumptions'!$C$7=RefData!$B$47,'Other assumptions'!$C$7=RefData!$B$46),'Reconciliation report'!$E315=""),ErrorMsgs!$B315)</f>
        <v>0</v>
      </c>
      <c r="L315" s="712" t="b">
        <f ca="1">IF(AND('Start here'!$C$24=RefData!$B$5,OR('Other assumptions'!$C$7=RefData!$B$48,'Other assumptions'!$C$7=RefData!$B$49),'Reconciliation report'!$E315&lt;&gt;""),ErrorMsgs!$C315)</f>
        <v>0</v>
      </c>
      <c r="M315" s="714" t="b">
        <f ca="1">IF(AND('Start here'!$C$24=RefData!$B$4,'Discount rates'!$C$7=RefData!$B$8,OR('Other assumptions'!$C$7=RefData!$B$47,'Other assumptions'!$C$7=RefData!$B$46),'Reconciliation report'!$E315=""),ErrorMsgs!$D315)</f>
        <v>0</v>
      </c>
      <c r="N315" s="714" t="b">
        <f ca="1">IF(AND('Start here'!$C$24=RefData!$B$4,'Discount rates'!$C$7=RefData!$B$8,OR('Other assumptions'!$C$7=RefData!$B$48,'Other assumptions'!$C$7=RefData!$B$49),'Reconciliation report'!$E315&lt;&gt;""),ErrorMsgs!$E315)</f>
        <v>0</v>
      </c>
      <c r="O315" s="712" t="b">
        <f ca="1">IF(AND('Start here'!$C$24=RefData!$B$4,'Discount rates'!$C$7=RefData!$B$7,'Reconciliation report'!$E315&lt;&gt;""),ErrorMsgs!$F315)</f>
        <v>0</v>
      </c>
      <c r="P315" s="712" t="b">
        <f ca="1">IF($E315&lt;-0.25,ErrorMsgs!$G315)</f>
        <v>0</v>
      </c>
      <c r="Q315" s="712" t="b">
        <f ca="1">IF($E315="",FALSE,IF($E315&gt;0.25,ErrorMsgs!$H315))</f>
        <v>0</v>
      </c>
      <c r="R315" s="712"/>
      <c r="S315" s="712"/>
      <c r="T315" s="712"/>
      <c r="U315" s="526" t="str">
        <f t="shared" ca="1" si="38"/>
        <v/>
      </c>
      <c r="V315" s="93" t="str" cm="1">
        <f t="array" aca="1" ref="V315" ca="1">CELL("format",INDIRECT(I315))</f>
        <v>P4</v>
      </c>
      <c r="W315" s="93" t="b">
        <f t="shared" ca="1" si="39"/>
        <v>0</v>
      </c>
      <c r="X315" s="715" t="str">
        <f t="shared" ca="1" si="37"/>
        <v/>
      </c>
      <c r="Y315" t="b">
        <f t="shared" ca="1" si="40"/>
        <v>1</v>
      </c>
    </row>
    <row r="316" spans="1:25" ht="63" customHeight="1">
      <c r="A316" s="705" t="s">
        <v>3322</v>
      </c>
      <c r="B316" s="716" t="str">
        <f t="shared" ca="1" si="41"/>
        <v>40-year assumptions - G29</v>
      </c>
      <c r="C316" s="707" t="str" cm="1">
        <f t="array" aca="1" ref="C316" ca="1">INDIRECT(LEFT(I316, FIND("!", I316)) &amp; RefData!$C$426 &amp; RIGHT(I316, LEN(I316) - FIND("!", I316) - 1))</f>
        <v>Year 23</v>
      </c>
      <c r="D316" s="92" t="str">
        <f t="shared" ca="1" si="36"/>
        <v/>
      </c>
      <c r="E316" s="708" t="str" cm="1">
        <f t="array" aca="1" ref="E316" ca="1">IF(INDIRECT($I316)= "", "", INDIRECT($I316))</f>
        <v/>
      </c>
      <c r="F316" s="709" t="str" cm="1">
        <f t="array" aca="1" ref="F316" ca="1">INDIRECT(LEFT(I316, FIND("!", I316)) &amp; RefData!$C$427 &amp; RIGHT(I316, LEN(I316) - FIND("!", I316) - 1))</f>
        <v>FYA 23.0</v>
      </c>
      <c r="G316" s="710" t="b">
        <f ca="1">IF(ISNUMBER(SEARCH(RefData!$B$2, $C316)), FALSE, TRUE)</f>
        <v>1</v>
      </c>
      <c r="H316" s="344">
        <f>'40-year assumptions'!G29</f>
        <v>0</v>
      </c>
      <c r="I316" s="712" t="str">
        <f t="shared" ca="1" si="42"/>
        <v>'40-year assumptions'!G29</v>
      </c>
      <c r="J316" s="713" t="b" cm="1">
        <f t="array" aca="1" ref="J316" ca="1">IF(COUNTIF($K316:$T316, "&lt;&gt;FALSE") - COUNTBLANK($K316:$T316) &gt; 0, INDEX($K316:$T316, MATCH(TRUE, $K316:$T316 &lt;&gt; FALSE, 0)))</f>
        <v>0</v>
      </c>
      <c r="K316" s="712" t="b">
        <f ca="1">IF(AND('Start here'!$C$24=RefData!$B$5,OR('Other assumptions'!$C$7=RefData!$B$47,'Other assumptions'!$C$7=RefData!$B$46),'Reconciliation report'!$E316=""),ErrorMsgs!$B316)</f>
        <v>0</v>
      </c>
      <c r="L316" s="712" t="b">
        <f ca="1">IF(AND('Start here'!$C$24=RefData!$B$5,OR('Other assumptions'!$C$7=RefData!$B$48,'Other assumptions'!$C$7=RefData!$B$49),'Reconciliation report'!$E316&lt;&gt;""),ErrorMsgs!$C316)</f>
        <v>0</v>
      </c>
      <c r="M316" s="714" t="b">
        <f ca="1">IF(AND('Start here'!$C$24=RefData!$B$4,'Discount rates'!$C$7=RefData!$B$8,OR('Other assumptions'!$C$7=RefData!$B$47,'Other assumptions'!$C$7=RefData!$B$46),'Reconciliation report'!$E316=""),ErrorMsgs!$D316)</f>
        <v>0</v>
      </c>
      <c r="N316" s="714" t="b">
        <f ca="1">IF(AND('Start here'!$C$24=RefData!$B$4,'Discount rates'!$C$7=RefData!$B$8,OR('Other assumptions'!$C$7=RefData!$B$48,'Other assumptions'!$C$7=RefData!$B$49),'Reconciliation report'!$E316&lt;&gt;""),ErrorMsgs!$E316)</f>
        <v>0</v>
      </c>
      <c r="O316" s="712" t="b">
        <f ca="1">IF(AND('Start here'!$C$24=RefData!$B$4,'Discount rates'!$C$7=RefData!$B$7,'Reconciliation report'!$E316&lt;&gt;""),ErrorMsgs!$F316)</f>
        <v>0</v>
      </c>
      <c r="P316" s="712" t="b">
        <f ca="1">IF($E316&lt;-0.25,ErrorMsgs!$G316)</f>
        <v>0</v>
      </c>
      <c r="Q316" s="712" t="b">
        <f ca="1">IF($E316="",FALSE,IF($E316&gt;0.25,ErrorMsgs!$H316))</f>
        <v>0</v>
      </c>
      <c r="R316" s="712"/>
      <c r="S316" s="712"/>
      <c r="T316" s="712"/>
      <c r="U316" s="526" t="str">
        <f t="shared" ca="1" si="38"/>
        <v/>
      </c>
      <c r="V316" s="93" t="str" cm="1">
        <f t="array" aca="1" ref="V316" ca="1">CELL("format",INDIRECT(I316))</f>
        <v>P4</v>
      </c>
      <c r="W316" s="93" t="b">
        <f t="shared" ca="1" si="39"/>
        <v>0</v>
      </c>
      <c r="X316" s="715" t="str">
        <f t="shared" ca="1" si="37"/>
        <v/>
      </c>
      <c r="Y316" t="b">
        <f t="shared" ca="1" si="40"/>
        <v>1</v>
      </c>
    </row>
    <row r="317" spans="1:25" ht="63" customHeight="1">
      <c r="A317" s="705" t="s">
        <v>3323</v>
      </c>
      <c r="B317" s="716" t="str">
        <f t="shared" ca="1" si="41"/>
        <v>40-year assumptions - G30</v>
      </c>
      <c r="C317" s="707" t="str" cm="1">
        <f t="array" aca="1" ref="C317" ca="1">INDIRECT(LEFT(I317, FIND("!", I317)) &amp; RefData!$C$426 &amp; RIGHT(I317, LEN(I317) - FIND("!", I317) - 1))</f>
        <v>Year 24</v>
      </c>
      <c r="D317" s="92" t="str">
        <f t="shared" ca="1" si="36"/>
        <v/>
      </c>
      <c r="E317" s="708" t="str" cm="1">
        <f t="array" aca="1" ref="E317" ca="1">IF(INDIRECT($I317)= "", "", INDIRECT($I317))</f>
        <v/>
      </c>
      <c r="F317" s="709" t="str" cm="1">
        <f t="array" aca="1" ref="F317" ca="1">INDIRECT(LEFT(I317, FIND("!", I317)) &amp; RefData!$C$427 &amp; RIGHT(I317, LEN(I317) - FIND("!", I317) - 1))</f>
        <v>FYA 24.0</v>
      </c>
      <c r="G317" s="710" t="b">
        <f ca="1">IF(ISNUMBER(SEARCH(RefData!$B$2, $C317)), FALSE, TRUE)</f>
        <v>1</v>
      </c>
      <c r="H317" s="344">
        <f>'40-year assumptions'!G30</f>
        <v>0</v>
      </c>
      <c r="I317" s="712" t="str">
        <f t="shared" ca="1" si="42"/>
        <v>'40-year assumptions'!G30</v>
      </c>
      <c r="J317" s="713" t="b" cm="1">
        <f t="array" aca="1" ref="J317" ca="1">IF(COUNTIF($K317:$T317, "&lt;&gt;FALSE") - COUNTBLANK($K317:$T317) &gt; 0, INDEX($K317:$T317, MATCH(TRUE, $K317:$T317 &lt;&gt; FALSE, 0)))</f>
        <v>0</v>
      </c>
      <c r="K317" s="712" t="b">
        <f ca="1">IF(AND('Start here'!$C$24=RefData!$B$5,OR('Other assumptions'!$C$7=RefData!$B$47,'Other assumptions'!$C$7=RefData!$B$46),'Reconciliation report'!$E317=""),ErrorMsgs!$B317)</f>
        <v>0</v>
      </c>
      <c r="L317" s="712" t="b">
        <f ca="1">IF(AND('Start here'!$C$24=RefData!$B$5,OR('Other assumptions'!$C$7=RefData!$B$48,'Other assumptions'!$C$7=RefData!$B$49),'Reconciliation report'!$E317&lt;&gt;""),ErrorMsgs!$C317)</f>
        <v>0</v>
      </c>
      <c r="M317" s="714" t="b">
        <f ca="1">IF(AND('Start here'!$C$24=RefData!$B$4,'Discount rates'!$C$7=RefData!$B$8,OR('Other assumptions'!$C$7=RefData!$B$47,'Other assumptions'!$C$7=RefData!$B$46),'Reconciliation report'!$E317=""),ErrorMsgs!$D317)</f>
        <v>0</v>
      </c>
      <c r="N317" s="714" t="b">
        <f ca="1">IF(AND('Start here'!$C$24=RefData!$B$4,'Discount rates'!$C$7=RefData!$B$8,OR('Other assumptions'!$C$7=RefData!$B$48,'Other assumptions'!$C$7=RefData!$B$49),'Reconciliation report'!$E317&lt;&gt;""),ErrorMsgs!$E317)</f>
        <v>0</v>
      </c>
      <c r="O317" s="712" t="b">
        <f ca="1">IF(AND('Start here'!$C$24=RefData!$B$4,'Discount rates'!$C$7=RefData!$B$7,'Reconciliation report'!$E317&lt;&gt;""),ErrorMsgs!$F317)</f>
        <v>0</v>
      </c>
      <c r="P317" s="712" t="b">
        <f ca="1">IF($E317&lt;-0.25,ErrorMsgs!$G317)</f>
        <v>0</v>
      </c>
      <c r="Q317" s="712" t="b">
        <f ca="1">IF($E317="",FALSE,IF($E317&gt;0.25,ErrorMsgs!$H317))</f>
        <v>0</v>
      </c>
      <c r="R317" s="712"/>
      <c r="S317" s="712"/>
      <c r="T317" s="712"/>
      <c r="U317" s="526" t="str">
        <f t="shared" ca="1" si="38"/>
        <v/>
      </c>
      <c r="V317" s="93" t="str" cm="1">
        <f t="array" aca="1" ref="V317" ca="1">CELL("format",INDIRECT(I317))</f>
        <v>P4</v>
      </c>
      <c r="W317" s="93" t="b">
        <f t="shared" ca="1" si="39"/>
        <v>0</v>
      </c>
      <c r="X317" s="715" t="str">
        <f t="shared" ca="1" si="37"/>
        <v/>
      </c>
      <c r="Y317" t="b">
        <f t="shared" ca="1" si="40"/>
        <v>1</v>
      </c>
    </row>
    <row r="318" spans="1:25" ht="63" customHeight="1">
      <c r="A318" s="705" t="s">
        <v>3324</v>
      </c>
      <c r="B318" s="716" t="str">
        <f t="shared" ca="1" si="41"/>
        <v>40-year assumptions - G31</v>
      </c>
      <c r="C318" s="707" t="str" cm="1">
        <f t="array" aca="1" ref="C318" ca="1">INDIRECT(LEFT(I318, FIND("!", I318)) &amp; RefData!$C$426 &amp; RIGHT(I318, LEN(I318) - FIND("!", I318) - 1))</f>
        <v>Year 25</v>
      </c>
      <c r="D318" s="92" t="str">
        <f t="shared" ca="1" si="36"/>
        <v/>
      </c>
      <c r="E318" s="708" t="str" cm="1">
        <f t="array" aca="1" ref="E318" ca="1">IF(INDIRECT($I318)= "", "", INDIRECT($I318))</f>
        <v/>
      </c>
      <c r="F318" s="709" t="str" cm="1">
        <f t="array" aca="1" ref="F318" ca="1">INDIRECT(LEFT(I318, FIND("!", I318)) &amp; RefData!$C$427 &amp; RIGHT(I318, LEN(I318) - FIND("!", I318) - 1))</f>
        <v>FYA 25.0</v>
      </c>
      <c r="G318" s="710" t="b">
        <f ca="1">IF(ISNUMBER(SEARCH(RefData!$B$2, $C318)), FALSE, TRUE)</f>
        <v>1</v>
      </c>
      <c r="H318" s="344">
        <f>'40-year assumptions'!G31</f>
        <v>0</v>
      </c>
      <c r="I318" s="712" t="str">
        <f t="shared" ca="1" si="42"/>
        <v>'40-year assumptions'!G31</v>
      </c>
      <c r="J318" s="713" t="b" cm="1">
        <f t="array" aca="1" ref="J318" ca="1">IF(COUNTIF($K318:$T318, "&lt;&gt;FALSE") - COUNTBLANK($K318:$T318) &gt; 0, INDEX($K318:$T318, MATCH(TRUE, $K318:$T318 &lt;&gt; FALSE, 0)))</f>
        <v>0</v>
      </c>
      <c r="K318" s="712" t="b">
        <f ca="1">IF(AND('Start here'!$C$24=RefData!$B$5,OR('Other assumptions'!$C$7=RefData!$B$47,'Other assumptions'!$C$7=RefData!$B$46),'Reconciliation report'!$E318=""),ErrorMsgs!$B318)</f>
        <v>0</v>
      </c>
      <c r="L318" s="712" t="b">
        <f ca="1">IF(AND('Start here'!$C$24=RefData!$B$5,OR('Other assumptions'!$C$7=RefData!$B$48,'Other assumptions'!$C$7=RefData!$B$49),'Reconciliation report'!$E318&lt;&gt;""),ErrorMsgs!$C318)</f>
        <v>0</v>
      </c>
      <c r="M318" s="714" t="b">
        <f ca="1">IF(AND('Start here'!$C$24=RefData!$B$4,'Discount rates'!$C$7=RefData!$B$8,OR('Other assumptions'!$C$7=RefData!$B$47,'Other assumptions'!$C$7=RefData!$B$46),'Reconciliation report'!$E318=""),ErrorMsgs!$D318)</f>
        <v>0</v>
      </c>
      <c r="N318" s="714" t="b">
        <f ca="1">IF(AND('Start here'!$C$24=RefData!$B$4,'Discount rates'!$C$7=RefData!$B$8,OR('Other assumptions'!$C$7=RefData!$B$48,'Other assumptions'!$C$7=RefData!$B$49),'Reconciliation report'!$E318&lt;&gt;""),ErrorMsgs!$E318)</f>
        <v>0</v>
      </c>
      <c r="O318" s="712" t="b">
        <f ca="1">IF(AND('Start here'!$C$24=RefData!$B$4,'Discount rates'!$C$7=RefData!$B$7,'Reconciliation report'!$E318&lt;&gt;""),ErrorMsgs!$F318)</f>
        <v>0</v>
      </c>
      <c r="P318" s="712" t="b">
        <f ca="1">IF($E318&lt;-0.25,ErrorMsgs!$G318)</f>
        <v>0</v>
      </c>
      <c r="Q318" s="712" t="b">
        <f ca="1">IF($E318="",FALSE,IF($E318&gt;0.25,ErrorMsgs!$H318))</f>
        <v>0</v>
      </c>
      <c r="R318" s="712"/>
      <c r="S318" s="712"/>
      <c r="T318" s="712"/>
      <c r="U318" s="526" t="str">
        <f t="shared" ca="1" si="38"/>
        <v/>
      </c>
      <c r="V318" s="93" t="str" cm="1">
        <f t="array" aca="1" ref="V318" ca="1">CELL("format",INDIRECT(I318))</f>
        <v>P4</v>
      </c>
      <c r="W318" s="93" t="b">
        <f t="shared" ca="1" si="39"/>
        <v>0</v>
      </c>
      <c r="X318" s="715" t="str">
        <f t="shared" ca="1" si="37"/>
        <v/>
      </c>
      <c r="Y318" t="b">
        <f t="shared" ca="1" si="40"/>
        <v>1</v>
      </c>
    </row>
    <row r="319" spans="1:25" ht="63" customHeight="1">
      <c r="A319" s="705" t="s">
        <v>3325</v>
      </c>
      <c r="B319" s="716" t="str">
        <f t="shared" ca="1" si="41"/>
        <v>40-year assumptions - G32</v>
      </c>
      <c r="C319" s="707" t="str" cm="1">
        <f t="array" aca="1" ref="C319" ca="1">INDIRECT(LEFT(I319, FIND("!", I319)) &amp; RefData!$C$426 &amp; RIGHT(I319, LEN(I319) - FIND("!", I319) - 1))</f>
        <v>Year 26</v>
      </c>
      <c r="D319" s="92" t="str">
        <f t="shared" ca="1" si="36"/>
        <v/>
      </c>
      <c r="E319" s="708" t="str" cm="1">
        <f t="array" aca="1" ref="E319" ca="1">IF(INDIRECT($I319)= "", "", INDIRECT($I319))</f>
        <v/>
      </c>
      <c r="F319" s="709" t="str" cm="1">
        <f t="array" aca="1" ref="F319" ca="1">INDIRECT(LEFT(I319, FIND("!", I319)) &amp; RefData!$C$427 &amp; RIGHT(I319, LEN(I319) - FIND("!", I319) - 1))</f>
        <v>FYA 26.0</v>
      </c>
      <c r="G319" s="710" t="b">
        <f ca="1">IF(ISNUMBER(SEARCH(RefData!$B$2, $C319)), FALSE, TRUE)</f>
        <v>1</v>
      </c>
      <c r="H319" s="344">
        <f>'40-year assumptions'!G32</f>
        <v>0</v>
      </c>
      <c r="I319" s="712" t="str">
        <f t="shared" ca="1" si="42"/>
        <v>'40-year assumptions'!G32</v>
      </c>
      <c r="J319" s="713" t="b" cm="1">
        <f t="array" aca="1" ref="J319" ca="1">IF(COUNTIF($K319:$T319, "&lt;&gt;FALSE") - COUNTBLANK($K319:$T319) &gt; 0, INDEX($K319:$T319, MATCH(TRUE, $K319:$T319 &lt;&gt; FALSE, 0)))</f>
        <v>0</v>
      </c>
      <c r="K319" s="712" t="b">
        <f ca="1">IF(AND('Start here'!$C$24=RefData!$B$5,OR('Other assumptions'!$C$7=RefData!$B$47,'Other assumptions'!$C$7=RefData!$B$46),'Reconciliation report'!$E319=""),ErrorMsgs!$B319)</f>
        <v>0</v>
      </c>
      <c r="L319" s="712" t="b">
        <f ca="1">IF(AND('Start here'!$C$24=RefData!$B$5,OR('Other assumptions'!$C$7=RefData!$B$48,'Other assumptions'!$C$7=RefData!$B$49),'Reconciliation report'!$E319&lt;&gt;""),ErrorMsgs!$C319)</f>
        <v>0</v>
      </c>
      <c r="M319" s="714" t="b">
        <f ca="1">IF(AND('Start here'!$C$24=RefData!$B$4,'Discount rates'!$C$7=RefData!$B$8,OR('Other assumptions'!$C$7=RefData!$B$47,'Other assumptions'!$C$7=RefData!$B$46),'Reconciliation report'!$E319=""),ErrorMsgs!$D319)</f>
        <v>0</v>
      </c>
      <c r="N319" s="714" t="b">
        <f ca="1">IF(AND('Start here'!$C$24=RefData!$B$4,'Discount rates'!$C$7=RefData!$B$8,OR('Other assumptions'!$C$7=RefData!$B$48,'Other assumptions'!$C$7=RefData!$B$49),'Reconciliation report'!$E319&lt;&gt;""),ErrorMsgs!$E319)</f>
        <v>0</v>
      </c>
      <c r="O319" s="712" t="b">
        <f ca="1">IF(AND('Start here'!$C$24=RefData!$B$4,'Discount rates'!$C$7=RefData!$B$7,'Reconciliation report'!$E319&lt;&gt;""),ErrorMsgs!$F319)</f>
        <v>0</v>
      </c>
      <c r="P319" s="712" t="b">
        <f ca="1">IF($E319&lt;-0.25,ErrorMsgs!$G319)</f>
        <v>0</v>
      </c>
      <c r="Q319" s="712" t="b">
        <f ca="1">IF($E319="",FALSE,IF($E319&gt;0.25,ErrorMsgs!$H319))</f>
        <v>0</v>
      </c>
      <c r="R319" s="712"/>
      <c r="S319" s="712"/>
      <c r="T319" s="712"/>
      <c r="U319" s="526" t="str">
        <f t="shared" ca="1" si="38"/>
        <v/>
      </c>
      <c r="V319" s="93" t="str" cm="1">
        <f t="array" aca="1" ref="V319" ca="1">CELL("format",INDIRECT(I319))</f>
        <v>P4</v>
      </c>
      <c r="W319" s="93" t="b">
        <f t="shared" ca="1" si="39"/>
        <v>0</v>
      </c>
      <c r="X319" s="715" t="str">
        <f t="shared" ca="1" si="37"/>
        <v/>
      </c>
      <c r="Y319" t="b">
        <f t="shared" ca="1" si="40"/>
        <v>1</v>
      </c>
    </row>
    <row r="320" spans="1:25" ht="63" customHeight="1">
      <c r="A320" s="705" t="s">
        <v>3326</v>
      </c>
      <c r="B320" s="716" t="str">
        <f t="shared" ca="1" si="41"/>
        <v>40-year assumptions - G33</v>
      </c>
      <c r="C320" s="707" t="str" cm="1">
        <f t="array" aca="1" ref="C320" ca="1">INDIRECT(LEFT(I320, FIND("!", I320)) &amp; RefData!$C$426 &amp; RIGHT(I320, LEN(I320) - FIND("!", I320) - 1))</f>
        <v>Year 27</v>
      </c>
      <c r="D320" s="92" t="str">
        <f t="shared" ca="1" si="36"/>
        <v/>
      </c>
      <c r="E320" s="708" t="str" cm="1">
        <f t="array" aca="1" ref="E320" ca="1">IF(INDIRECT($I320)= "", "", INDIRECT($I320))</f>
        <v/>
      </c>
      <c r="F320" s="709" t="str" cm="1">
        <f t="array" aca="1" ref="F320" ca="1">INDIRECT(LEFT(I320, FIND("!", I320)) &amp; RefData!$C$427 &amp; RIGHT(I320, LEN(I320) - FIND("!", I320) - 1))</f>
        <v>FYA 27.0</v>
      </c>
      <c r="G320" s="710" t="b">
        <f ca="1">IF(ISNUMBER(SEARCH(RefData!$B$2, $C320)), FALSE, TRUE)</f>
        <v>1</v>
      </c>
      <c r="H320" s="344">
        <f>'40-year assumptions'!G33</f>
        <v>0</v>
      </c>
      <c r="I320" s="712" t="str">
        <f t="shared" ca="1" si="42"/>
        <v>'40-year assumptions'!G33</v>
      </c>
      <c r="J320" s="713" t="b" cm="1">
        <f t="array" aca="1" ref="J320" ca="1">IF(COUNTIF($K320:$T320, "&lt;&gt;FALSE") - COUNTBLANK($K320:$T320) &gt; 0, INDEX($K320:$T320, MATCH(TRUE, $K320:$T320 &lt;&gt; FALSE, 0)))</f>
        <v>0</v>
      </c>
      <c r="K320" s="712" t="b">
        <f ca="1">IF(AND('Start here'!$C$24=RefData!$B$5,OR('Other assumptions'!$C$7=RefData!$B$47,'Other assumptions'!$C$7=RefData!$B$46),'Reconciliation report'!$E320=""),ErrorMsgs!$B320)</f>
        <v>0</v>
      </c>
      <c r="L320" s="712" t="b">
        <f ca="1">IF(AND('Start here'!$C$24=RefData!$B$5,OR('Other assumptions'!$C$7=RefData!$B$48,'Other assumptions'!$C$7=RefData!$B$49),'Reconciliation report'!$E320&lt;&gt;""),ErrorMsgs!$C320)</f>
        <v>0</v>
      </c>
      <c r="M320" s="714" t="b">
        <f ca="1">IF(AND('Start here'!$C$24=RefData!$B$4,'Discount rates'!$C$7=RefData!$B$8,OR('Other assumptions'!$C$7=RefData!$B$47,'Other assumptions'!$C$7=RefData!$B$46),'Reconciliation report'!$E320=""),ErrorMsgs!$D320)</f>
        <v>0</v>
      </c>
      <c r="N320" s="714" t="b">
        <f ca="1">IF(AND('Start here'!$C$24=RefData!$B$4,'Discount rates'!$C$7=RefData!$B$8,OR('Other assumptions'!$C$7=RefData!$B$48,'Other assumptions'!$C$7=RefData!$B$49),'Reconciliation report'!$E320&lt;&gt;""),ErrorMsgs!$E320)</f>
        <v>0</v>
      </c>
      <c r="O320" s="712" t="b">
        <f ca="1">IF(AND('Start here'!$C$24=RefData!$B$4,'Discount rates'!$C$7=RefData!$B$7,'Reconciliation report'!$E320&lt;&gt;""),ErrorMsgs!$F320)</f>
        <v>0</v>
      </c>
      <c r="P320" s="712" t="b">
        <f ca="1">IF($E320&lt;-0.25,ErrorMsgs!$G320)</f>
        <v>0</v>
      </c>
      <c r="Q320" s="712" t="b">
        <f ca="1">IF($E320="",FALSE,IF($E320&gt;0.25,ErrorMsgs!$H320))</f>
        <v>0</v>
      </c>
      <c r="R320" s="712"/>
      <c r="S320" s="712"/>
      <c r="T320" s="712"/>
      <c r="U320" s="526" t="str">
        <f t="shared" ca="1" si="38"/>
        <v/>
      </c>
      <c r="V320" s="93" t="str" cm="1">
        <f t="array" aca="1" ref="V320" ca="1">CELL("format",INDIRECT(I320))</f>
        <v>P4</v>
      </c>
      <c r="W320" s="93" t="b">
        <f t="shared" ca="1" si="39"/>
        <v>0</v>
      </c>
      <c r="X320" s="715" t="str">
        <f t="shared" ca="1" si="37"/>
        <v/>
      </c>
      <c r="Y320" t="b">
        <f t="shared" ca="1" si="40"/>
        <v>1</v>
      </c>
    </row>
    <row r="321" spans="1:25" ht="63" customHeight="1">
      <c r="A321" s="705" t="s">
        <v>3327</v>
      </c>
      <c r="B321" s="716" t="str">
        <f t="shared" ca="1" si="41"/>
        <v>40-year assumptions - G34</v>
      </c>
      <c r="C321" s="707" t="str" cm="1">
        <f t="array" aca="1" ref="C321" ca="1">INDIRECT(LEFT(I321, FIND("!", I321)) &amp; RefData!$C$426 &amp; RIGHT(I321, LEN(I321) - FIND("!", I321) - 1))</f>
        <v>Year 28</v>
      </c>
      <c r="D321" s="92" t="str">
        <f t="shared" ca="1" si="36"/>
        <v/>
      </c>
      <c r="E321" s="708" t="str" cm="1">
        <f t="array" aca="1" ref="E321" ca="1">IF(INDIRECT($I321)= "", "", INDIRECT($I321))</f>
        <v/>
      </c>
      <c r="F321" s="709" t="str" cm="1">
        <f t="array" aca="1" ref="F321" ca="1">INDIRECT(LEFT(I321, FIND("!", I321)) &amp; RefData!$C$427 &amp; RIGHT(I321, LEN(I321) - FIND("!", I321) - 1))</f>
        <v>FYA 28.0</v>
      </c>
      <c r="G321" s="710" t="b">
        <f ca="1">IF(ISNUMBER(SEARCH(RefData!$B$2, $C321)), FALSE, TRUE)</f>
        <v>1</v>
      </c>
      <c r="H321" s="344">
        <f>'40-year assumptions'!G34</f>
        <v>0</v>
      </c>
      <c r="I321" s="712" t="str">
        <f t="shared" ca="1" si="42"/>
        <v>'40-year assumptions'!G34</v>
      </c>
      <c r="J321" s="713" t="b" cm="1">
        <f t="array" aca="1" ref="J321" ca="1">IF(COUNTIF($K321:$T321, "&lt;&gt;FALSE") - COUNTBLANK($K321:$T321) &gt; 0, INDEX($K321:$T321, MATCH(TRUE, $K321:$T321 &lt;&gt; FALSE, 0)))</f>
        <v>0</v>
      </c>
      <c r="K321" s="712" t="b">
        <f ca="1">IF(AND('Start here'!$C$24=RefData!$B$5,OR('Other assumptions'!$C$7=RefData!$B$47,'Other assumptions'!$C$7=RefData!$B$46),'Reconciliation report'!$E321=""),ErrorMsgs!$B321)</f>
        <v>0</v>
      </c>
      <c r="L321" s="712" t="b">
        <f ca="1">IF(AND('Start here'!$C$24=RefData!$B$5,OR('Other assumptions'!$C$7=RefData!$B$48,'Other assumptions'!$C$7=RefData!$B$49),'Reconciliation report'!$E321&lt;&gt;""),ErrorMsgs!$C321)</f>
        <v>0</v>
      </c>
      <c r="M321" s="714" t="b">
        <f ca="1">IF(AND('Start here'!$C$24=RefData!$B$4,'Discount rates'!$C$7=RefData!$B$8,OR('Other assumptions'!$C$7=RefData!$B$47,'Other assumptions'!$C$7=RefData!$B$46),'Reconciliation report'!$E321=""),ErrorMsgs!$D321)</f>
        <v>0</v>
      </c>
      <c r="N321" s="714" t="b">
        <f ca="1">IF(AND('Start here'!$C$24=RefData!$B$4,'Discount rates'!$C$7=RefData!$B$8,OR('Other assumptions'!$C$7=RefData!$B$48,'Other assumptions'!$C$7=RefData!$B$49),'Reconciliation report'!$E321&lt;&gt;""),ErrorMsgs!$E321)</f>
        <v>0</v>
      </c>
      <c r="O321" s="712" t="b">
        <f ca="1">IF(AND('Start here'!$C$24=RefData!$B$4,'Discount rates'!$C$7=RefData!$B$7,'Reconciliation report'!$E321&lt;&gt;""),ErrorMsgs!$F321)</f>
        <v>0</v>
      </c>
      <c r="P321" s="712" t="b">
        <f ca="1">IF($E321&lt;-0.25,ErrorMsgs!$G321)</f>
        <v>0</v>
      </c>
      <c r="Q321" s="712" t="b">
        <f ca="1">IF($E321="",FALSE,IF($E321&gt;0.25,ErrorMsgs!$H321))</f>
        <v>0</v>
      </c>
      <c r="R321" s="712"/>
      <c r="S321" s="712"/>
      <c r="T321" s="712"/>
      <c r="U321" s="526" t="str">
        <f t="shared" ca="1" si="38"/>
        <v/>
      </c>
      <c r="V321" s="93" t="str" cm="1">
        <f t="array" aca="1" ref="V321" ca="1">CELL("format",INDIRECT(I321))</f>
        <v>P4</v>
      </c>
      <c r="W321" s="93" t="b">
        <f t="shared" ca="1" si="39"/>
        <v>0</v>
      </c>
      <c r="X321" s="715" t="str">
        <f t="shared" ca="1" si="37"/>
        <v/>
      </c>
      <c r="Y321" t="b">
        <f t="shared" ca="1" si="40"/>
        <v>1</v>
      </c>
    </row>
    <row r="322" spans="1:25" ht="63" customHeight="1">
      <c r="A322" s="705" t="s">
        <v>3328</v>
      </c>
      <c r="B322" s="716" t="str">
        <f t="shared" ca="1" si="41"/>
        <v>40-year assumptions - G35</v>
      </c>
      <c r="C322" s="707" t="str" cm="1">
        <f t="array" aca="1" ref="C322" ca="1">INDIRECT(LEFT(I322, FIND("!", I322)) &amp; RefData!$C$426 &amp; RIGHT(I322, LEN(I322) - FIND("!", I322) - 1))</f>
        <v>Year 29</v>
      </c>
      <c r="D322" s="92" t="str">
        <f t="shared" ref="D322:D385" ca="1" si="43">""&amp;IF(J322=FALSE, "", J322)
&amp;""</f>
        <v/>
      </c>
      <c r="E322" s="708" t="str" cm="1">
        <f t="array" aca="1" ref="E322" ca="1">IF(INDIRECT($I322)= "", "", INDIRECT($I322))</f>
        <v/>
      </c>
      <c r="F322" s="709" t="str" cm="1">
        <f t="array" aca="1" ref="F322" ca="1">INDIRECT(LEFT(I322, FIND("!", I322)) &amp; RefData!$C$427 &amp; RIGHT(I322, LEN(I322) - FIND("!", I322) - 1))</f>
        <v>FYA 29.0</v>
      </c>
      <c r="G322" s="710" t="b">
        <f ca="1">IF(ISNUMBER(SEARCH(RefData!$B$2, $C322)), FALSE, TRUE)</f>
        <v>1</v>
      </c>
      <c r="H322" s="344">
        <f>'40-year assumptions'!G35</f>
        <v>0</v>
      </c>
      <c r="I322" s="712" t="str">
        <f t="shared" ca="1" si="42"/>
        <v>'40-year assumptions'!G35</v>
      </c>
      <c r="J322" s="713" t="b" cm="1">
        <f t="array" aca="1" ref="J322" ca="1">IF(COUNTIF($K322:$T322, "&lt;&gt;FALSE") - COUNTBLANK($K322:$T322) &gt; 0, INDEX($K322:$T322, MATCH(TRUE, $K322:$T322 &lt;&gt; FALSE, 0)))</f>
        <v>0</v>
      </c>
      <c r="K322" s="712" t="b">
        <f ca="1">IF(AND('Start here'!$C$24=RefData!$B$5,OR('Other assumptions'!$C$7=RefData!$B$47,'Other assumptions'!$C$7=RefData!$B$46),'Reconciliation report'!$E322=""),ErrorMsgs!$B322)</f>
        <v>0</v>
      </c>
      <c r="L322" s="712" t="b">
        <f ca="1">IF(AND('Start here'!$C$24=RefData!$B$5,OR('Other assumptions'!$C$7=RefData!$B$48,'Other assumptions'!$C$7=RefData!$B$49),'Reconciliation report'!$E322&lt;&gt;""),ErrorMsgs!$C322)</f>
        <v>0</v>
      </c>
      <c r="M322" s="714" t="b">
        <f ca="1">IF(AND('Start here'!$C$24=RefData!$B$4,'Discount rates'!$C$7=RefData!$B$8,OR('Other assumptions'!$C$7=RefData!$B$47,'Other assumptions'!$C$7=RefData!$B$46),'Reconciliation report'!$E322=""),ErrorMsgs!$D322)</f>
        <v>0</v>
      </c>
      <c r="N322" s="714" t="b">
        <f ca="1">IF(AND('Start here'!$C$24=RefData!$B$4,'Discount rates'!$C$7=RefData!$B$8,OR('Other assumptions'!$C$7=RefData!$B$48,'Other assumptions'!$C$7=RefData!$B$49),'Reconciliation report'!$E322&lt;&gt;""),ErrorMsgs!$E322)</f>
        <v>0</v>
      </c>
      <c r="O322" s="712" t="b">
        <f ca="1">IF(AND('Start here'!$C$24=RefData!$B$4,'Discount rates'!$C$7=RefData!$B$7,'Reconciliation report'!$E322&lt;&gt;""),ErrorMsgs!$F322)</f>
        <v>0</v>
      </c>
      <c r="P322" s="712" t="b">
        <f ca="1">IF($E322&lt;-0.25,ErrorMsgs!$G322)</f>
        <v>0</v>
      </c>
      <c r="Q322" s="712" t="b">
        <f ca="1">IF($E322="",FALSE,IF($E322&gt;0.25,ErrorMsgs!$H322))</f>
        <v>0</v>
      </c>
      <c r="R322" s="712"/>
      <c r="S322" s="712"/>
      <c r="T322" s="712"/>
      <c r="U322" s="526" t="str">
        <f t="shared" ca="1" si="38"/>
        <v/>
      </c>
      <c r="V322" s="93" t="str" cm="1">
        <f t="array" aca="1" ref="V322" ca="1">CELL("format",INDIRECT(I322))</f>
        <v>P4</v>
      </c>
      <c r="W322" s="93" t="b">
        <f t="shared" ca="1" si="39"/>
        <v>0</v>
      </c>
      <c r="X322" s="715" t="str">
        <f t="shared" ref="X322:X385" ca="1" si="44">IF(W322, "0." &amp; IF(V322="P2",REPT("0", MIN(4, LEN(E322) - FIND(".", E322))),REPT("0", MIN(6, LEN(E322) - FIND(".", E322)))), "")</f>
        <v/>
      </c>
      <c r="Y322" t="b">
        <f t="shared" ca="1" si="40"/>
        <v>1</v>
      </c>
    </row>
    <row r="323" spans="1:25" ht="63" customHeight="1">
      <c r="A323" s="705" t="s">
        <v>3329</v>
      </c>
      <c r="B323" s="716" t="str">
        <f t="shared" ca="1" si="41"/>
        <v>40-year assumptions - G36</v>
      </c>
      <c r="C323" s="707" t="str" cm="1">
        <f t="array" aca="1" ref="C323" ca="1">INDIRECT(LEFT(I323, FIND("!", I323)) &amp; RefData!$C$426 &amp; RIGHT(I323, LEN(I323) - FIND("!", I323) - 1))</f>
        <v>Year 30</v>
      </c>
      <c r="D323" s="92" t="str">
        <f t="shared" ca="1" si="43"/>
        <v/>
      </c>
      <c r="E323" s="708" t="str" cm="1">
        <f t="array" aca="1" ref="E323" ca="1">IF(INDIRECT($I323)= "", "", INDIRECT($I323))</f>
        <v/>
      </c>
      <c r="F323" s="709" t="str" cm="1">
        <f t="array" aca="1" ref="F323" ca="1">INDIRECT(LEFT(I323, FIND("!", I323)) &amp; RefData!$C$427 &amp; RIGHT(I323, LEN(I323) - FIND("!", I323) - 1))</f>
        <v>FYA 30.0</v>
      </c>
      <c r="G323" s="710" t="b">
        <f ca="1">IF(ISNUMBER(SEARCH(RefData!$B$2, $C323)), FALSE, TRUE)</f>
        <v>1</v>
      </c>
      <c r="H323" s="344">
        <f>'40-year assumptions'!G36</f>
        <v>0</v>
      </c>
      <c r="I323" s="712" t="str">
        <f t="shared" ca="1" si="42"/>
        <v>'40-year assumptions'!G36</v>
      </c>
      <c r="J323" s="713" t="b" cm="1">
        <f t="array" aca="1" ref="J323" ca="1">IF(COUNTIF($K323:$T323, "&lt;&gt;FALSE") - COUNTBLANK($K323:$T323) &gt; 0, INDEX($K323:$T323, MATCH(TRUE, $K323:$T323 &lt;&gt; FALSE, 0)))</f>
        <v>0</v>
      </c>
      <c r="K323" s="712" t="b">
        <f ca="1">IF(AND('Start here'!$C$24=RefData!$B$5,OR('Other assumptions'!$C$7=RefData!$B$47,'Other assumptions'!$C$7=RefData!$B$46),'Reconciliation report'!$E323=""),ErrorMsgs!$B323)</f>
        <v>0</v>
      </c>
      <c r="L323" s="712" t="b">
        <f ca="1">IF(AND('Start here'!$C$24=RefData!$B$5,OR('Other assumptions'!$C$7=RefData!$B$48,'Other assumptions'!$C$7=RefData!$B$49),'Reconciliation report'!$E323&lt;&gt;""),ErrorMsgs!$C323)</f>
        <v>0</v>
      </c>
      <c r="M323" s="714" t="b">
        <f ca="1">IF(AND('Start here'!$C$24=RefData!$B$4,'Discount rates'!$C$7=RefData!$B$8,OR('Other assumptions'!$C$7=RefData!$B$47,'Other assumptions'!$C$7=RefData!$B$46),'Reconciliation report'!$E323=""),ErrorMsgs!$D323)</f>
        <v>0</v>
      </c>
      <c r="N323" s="714" t="b">
        <f ca="1">IF(AND('Start here'!$C$24=RefData!$B$4,'Discount rates'!$C$7=RefData!$B$8,OR('Other assumptions'!$C$7=RefData!$B$48,'Other assumptions'!$C$7=RefData!$B$49),'Reconciliation report'!$E323&lt;&gt;""),ErrorMsgs!$E323)</f>
        <v>0</v>
      </c>
      <c r="O323" s="712" t="b">
        <f ca="1">IF(AND('Start here'!$C$24=RefData!$B$4,'Discount rates'!$C$7=RefData!$B$7,'Reconciliation report'!$E323&lt;&gt;""),ErrorMsgs!$F323)</f>
        <v>0</v>
      </c>
      <c r="P323" s="712" t="b">
        <f ca="1">IF($E323&lt;-0.25,ErrorMsgs!$G323)</f>
        <v>0</v>
      </c>
      <c r="Q323" s="712" t="b">
        <f ca="1">IF($E323="",FALSE,IF($E323&gt;0.25,ErrorMsgs!$H323))</f>
        <v>0</v>
      </c>
      <c r="R323" s="712"/>
      <c r="S323" s="712"/>
      <c r="T323" s="712"/>
      <c r="U323" s="526" t="str">
        <f t="shared" ref="U323:U386" ca="1" si="45">IF(AND($W323=TRUE,$Y323=FALSE),TEXT($E323,$X323),$E323)</f>
        <v/>
      </c>
      <c r="V323" s="93" t="str" cm="1">
        <f t="array" aca="1" ref="V323" ca="1">CELL("format",INDIRECT(I323))</f>
        <v>P4</v>
      </c>
      <c r="W323" s="93" t="b">
        <f t="shared" ref="W323:W386" ca="1" si="46">IF(ISNUMBER(E323), IF(INT(E323)&lt;&gt;E323,TRUE,FALSE),FALSE)</f>
        <v>0</v>
      </c>
      <c r="X323" s="715" t="str">
        <f t="shared" ca="1" si="44"/>
        <v/>
      </c>
      <c r="Y323" t="b">
        <f t="shared" ref="Y323:Y386" ca="1" si="47">ISTEXT(E323)</f>
        <v>1</v>
      </c>
    </row>
    <row r="324" spans="1:25" ht="63" customHeight="1">
      <c r="A324" s="705" t="s">
        <v>3330</v>
      </c>
      <c r="B324" s="716" t="str">
        <f t="shared" ca="1" si="41"/>
        <v>40-year assumptions - G37</v>
      </c>
      <c r="C324" s="707" t="str" cm="1">
        <f t="array" aca="1" ref="C324" ca="1">INDIRECT(LEFT(I324, FIND("!", I324)) &amp; RefData!$C$426 &amp; RIGHT(I324, LEN(I324) - FIND("!", I324) - 1))</f>
        <v>Year 31</v>
      </c>
      <c r="D324" s="92" t="str">
        <f t="shared" ca="1" si="43"/>
        <v/>
      </c>
      <c r="E324" s="708" t="str" cm="1">
        <f t="array" aca="1" ref="E324" ca="1">IF(INDIRECT($I324)= "", "", INDIRECT($I324))</f>
        <v/>
      </c>
      <c r="F324" s="709" t="str" cm="1">
        <f t="array" aca="1" ref="F324" ca="1">INDIRECT(LEFT(I324, FIND("!", I324)) &amp; RefData!$C$427 &amp; RIGHT(I324, LEN(I324) - FIND("!", I324) - 1))</f>
        <v>FYA 31.0</v>
      </c>
      <c r="G324" s="710" t="b">
        <f ca="1">IF(ISNUMBER(SEARCH(RefData!$B$2, $C324)), FALSE, TRUE)</f>
        <v>1</v>
      </c>
      <c r="H324" s="344">
        <f>'40-year assumptions'!G37</f>
        <v>0</v>
      </c>
      <c r="I324" s="712" t="str">
        <f t="shared" ca="1" si="42"/>
        <v>'40-year assumptions'!G37</v>
      </c>
      <c r="J324" s="713" t="b" cm="1">
        <f t="array" aca="1" ref="J324" ca="1">IF(COUNTIF($K324:$T324, "&lt;&gt;FALSE") - COUNTBLANK($K324:$T324) &gt; 0, INDEX($K324:$T324, MATCH(TRUE, $K324:$T324 &lt;&gt; FALSE, 0)))</f>
        <v>0</v>
      </c>
      <c r="K324" s="712" t="b">
        <f ca="1">IF(AND('Start here'!$C$24=RefData!$B$5,OR('Other assumptions'!$C$7=RefData!$B$47,'Other assumptions'!$C$7=RefData!$B$46),'Reconciliation report'!$E324=""),ErrorMsgs!$B324)</f>
        <v>0</v>
      </c>
      <c r="L324" s="712" t="b">
        <f ca="1">IF(AND('Start here'!$C$24=RefData!$B$5,OR('Other assumptions'!$C$7=RefData!$B$48,'Other assumptions'!$C$7=RefData!$B$49),'Reconciliation report'!$E324&lt;&gt;""),ErrorMsgs!$C324)</f>
        <v>0</v>
      </c>
      <c r="M324" s="714" t="b">
        <f ca="1">IF(AND('Start here'!$C$24=RefData!$B$4,'Discount rates'!$C$7=RefData!$B$8,OR('Other assumptions'!$C$7=RefData!$B$47,'Other assumptions'!$C$7=RefData!$B$46),'Reconciliation report'!$E324=""),ErrorMsgs!$D324)</f>
        <v>0</v>
      </c>
      <c r="N324" s="714" t="b">
        <f ca="1">IF(AND('Start here'!$C$24=RefData!$B$4,'Discount rates'!$C$7=RefData!$B$8,OR('Other assumptions'!$C$7=RefData!$B$48,'Other assumptions'!$C$7=RefData!$B$49),'Reconciliation report'!$E324&lt;&gt;""),ErrorMsgs!$E324)</f>
        <v>0</v>
      </c>
      <c r="O324" s="712" t="b">
        <f ca="1">IF(AND('Start here'!$C$24=RefData!$B$4,'Discount rates'!$C$7=RefData!$B$7,'Reconciliation report'!$E324&lt;&gt;""),ErrorMsgs!$F324)</f>
        <v>0</v>
      </c>
      <c r="P324" s="712" t="b">
        <f ca="1">IF($E324&lt;-0.25,ErrorMsgs!$G324)</f>
        <v>0</v>
      </c>
      <c r="Q324" s="712" t="b">
        <f ca="1">IF($E324="",FALSE,IF($E324&gt;0.25,ErrorMsgs!$H324))</f>
        <v>0</v>
      </c>
      <c r="R324" s="712"/>
      <c r="S324" s="712"/>
      <c r="T324" s="712"/>
      <c r="U324" s="526" t="str">
        <f t="shared" ca="1" si="45"/>
        <v/>
      </c>
      <c r="V324" s="93" t="str" cm="1">
        <f t="array" aca="1" ref="V324" ca="1">CELL("format",INDIRECT(I324))</f>
        <v>P4</v>
      </c>
      <c r="W324" s="93" t="b">
        <f t="shared" ca="1" si="46"/>
        <v>0</v>
      </c>
      <c r="X324" s="715" t="str">
        <f t="shared" ca="1" si="44"/>
        <v/>
      </c>
      <c r="Y324" t="b">
        <f t="shared" ca="1" si="47"/>
        <v>1</v>
      </c>
    </row>
    <row r="325" spans="1:25" ht="63" customHeight="1">
      <c r="A325" s="705" t="s">
        <v>3331</v>
      </c>
      <c r="B325" s="716" t="str">
        <f t="shared" ca="1" si="41"/>
        <v>40-year assumptions - G38</v>
      </c>
      <c r="C325" s="707" t="str" cm="1">
        <f t="array" aca="1" ref="C325" ca="1">INDIRECT(LEFT(I325, FIND("!", I325)) &amp; RefData!$C$426 &amp; RIGHT(I325, LEN(I325) - FIND("!", I325) - 1))</f>
        <v>Year 32</v>
      </c>
      <c r="D325" s="92" t="str">
        <f t="shared" ca="1" si="43"/>
        <v/>
      </c>
      <c r="E325" s="708" t="str" cm="1">
        <f t="array" aca="1" ref="E325" ca="1">IF(INDIRECT($I325)= "", "", INDIRECT($I325))</f>
        <v/>
      </c>
      <c r="F325" s="709" t="str" cm="1">
        <f t="array" aca="1" ref="F325" ca="1">INDIRECT(LEFT(I325, FIND("!", I325)) &amp; RefData!$C$427 &amp; RIGHT(I325, LEN(I325) - FIND("!", I325) - 1))</f>
        <v>FYA 32.0</v>
      </c>
      <c r="G325" s="710" t="b">
        <f ca="1">IF(ISNUMBER(SEARCH(RefData!$B$2, $C325)), FALSE, TRUE)</f>
        <v>1</v>
      </c>
      <c r="H325" s="344">
        <f>'40-year assumptions'!G38</f>
        <v>0</v>
      </c>
      <c r="I325" s="712" t="str">
        <f t="shared" ca="1" si="42"/>
        <v>'40-year assumptions'!G38</v>
      </c>
      <c r="J325" s="713" t="b" cm="1">
        <f t="array" aca="1" ref="J325" ca="1">IF(COUNTIF($K325:$T325, "&lt;&gt;FALSE") - COUNTBLANK($K325:$T325) &gt; 0, INDEX($K325:$T325, MATCH(TRUE, $K325:$T325 &lt;&gt; FALSE, 0)))</f>
        <v>0</v>
      </c>
      <c r="K325" s="712" t="b">
        <f ca="1">IF(AND('Start here'!$C$24=RefData!$B$5,OR('Other assumptions'!$C$7=RefData!$B$47,'Other assumptions'!$C$7=RefData!$B$46),'Reconciliation report'!$E325=""),ErrorMsgs!$B325)</f>
        <v>0</v>
      </c>
      <c r="L325" s="712" t="b">
        <f ca="1">IF(AND('Start here'!$C$24=RefData!$B$5,OR('Other assumptions'!$C$7=RefData!$B$48,'Other assumptions'!$C$7=RefData!$B$49),'Reconciliation report'!$E325&lt;&gt;""),ErrorMsgs!$C325)</f>
        <v>0</v>
      </c>
      <c r="M325" s="714" t="b">
        <f ca="1">IF(AND('Start here'!$C$24=RefData!$B$4,'Discount rates'!$C$7=RefData!$B$8,OR('Other assumptions'!$C$7=RefData!$B$47,'Other assumptions'!$C$7=RefData!$B$46),'Reconciliation report'!$E325=""),ErrorMsgs!$D325)</f>
        <v>0</v>
      </c>
      <c r="N325" s="714" t="b">
        <f ca="1">IF(AND('Start here'!$C$24=RefData!$B$4,'Discount rates'!$C$7=RefData!$B$8,OR('Other assumptions'!$C$7=RefData!$B$48,'Other assumptions'!$C$7=RefData!$B$49),'Reconciliation report'!$E325&lt;&gt;""),ErrorMsgs!$E325)</f>
        <v>0</v>
      </c>
      <c r="O325" s="712" t="b">
        <f ca="1">IF(AND('Start here'!$C$24=RefData!$B$4,'Discount rates'!$C$7=RefData!$B$7,'Reconciliation report'!$E325&lt;&gt;""),ErrorMsgs!$F325)</f>
        <v>0</v>
      </c>
      <c r="P325" s="712" t="b">
        <f ca="1">IF($E325&lt;-0.25,ErrorMsgs!$G325)</f>
        <v>0</v>
      </c>
      <c r="Q325" s="712" t="b">
        <f ca="1">IF($E325="",FALSE,IF($E325&gt;0.25,ErrorMsgs!$H325))</f>
        <v>0</v>
      </c>
      <c r="R325" s="712"/>
      <c r="S325" s="712"/>
      <c r="T325" s="712"/>
      <c r="U325" s="526" t="str">
        <f t="shared" ca="1" si="45"/>
        <v/>
      </c>
      <c r="V325" s="93" t="str" cm="1">
        <f t="array" aca="1" ref="V325" ca="1">CELL("format",INDIRECT(I325))</f>
        <v>P4</v>
      </c>
      <c r="W325" s="93" t="b">
        <f t="shared" ca="1" si="46"/>
        <v>0</v>
      </c>
      <c r="X325" s="715" t="str">
        <f t="shared" ca="1" si="44"/>
        <v/>
      </c>
      <c r="Y325" t="b">
        <f t="shared" ca="1" si="47"/>
        <v>1</v>
      </c>
    </row>
    <row r="326" spans="1:25" ht="63" customHeight="1">
      <c r="A326" s="705" t="s">
        <v>3332</v>
      </c>
      <c r="B326" s="716" t="str">
        <f t="shared" ca="1" si="41"/>
        <v>40-year assumptions - G39</v>
      </c>
      <c r="C326" s="707" t="str" cm="1">
        <f t="array" aca="1" ref="C326" ca="1">INDIRECT(LEFT(I326, FIND("!", I326)) &amp; RefData!$C$426 &amp; RIGHT(I326, LEN(I326) - FIND("!", I326) - 1))</f>
        <v>Year 33</v>
      </c>
      <c r="D326" s="92" t="str">
        <f t="shared" ca="1" si="43"/>
        <v/>
      </c>
      <c r="E326" s="708" t="str" cm="1">
        <f t="array" aca="1" ref="E326" ca="1">IF(INDIRECT($I326)= "", "", INDIRECT($I326))</f>
        <v/>
      </c>
      <c r="F326" s="709" t="str" cm="1">
        <f t="array" aca="1" ref="F326" ca="1">INDIRECT(LEFT(I326, FIND("!", I326)) &amp; RefData!$C$427 &amp; RIGHT(I326, LEN(I326) - FIND("!", I326) - 1))</f>
        <v>FYA 33.0</v>
      </c>
      <c r="G326" s="710" t="b">
        <f ca="1">IF(ISNUMBER(SEARCH(RefData!$B$2, $C326)), FALSE, TRUE)</f>
        <v>1</v>
      </c>
      <c r="H326" s="344">
        <f>'40-year assumptions'!G39</f>
        <v>0</v>
      </c>
      <c r="I326" s="712" t="str">
        <f t="shared" ca="1" si="42"/>
        <v>'40-year assumptions'!G39</v>
      </c>
      <c r="J326" s="713" t="b" cm="1">
        <f t="array" aca="1" ref="J326" ca="1">IF(COUNTIF($K326:$T326, "&lt;&gt;FALSE") - COUNTBLANK($K326:$T326) &gt; 0, INDEX($K326:$T326, MATCH(TRUE, $K326:$T326 &lt;&gt; FALSE, 0)))</f>
        <v>0</v>
      </c>
      <c r="K326" s="712" t="b">
        <f ca="1">IF(AND('Start here'!$C$24=RefData!$B$5,OR('Other assumptions'!$C$7=RefData!$B$47,'Other assumptions'!$C$7=RefData!$B$46),'Reconciliation report'!$E326=""),ErrorMsgs!$B326)</f>
        <v>0</v>
      </c>
      <c r="L326" s="712" t="b">
        <f ca="1">IF(AND('Start here'!$C$24=RefData!$B$5,OR('Other assumptions'!$C$7=RefData!$B$48,'Other assumptions'!$C$7=RefData!$B$49),'Reconciliation report'!$E326&lt;&gt;""),ErrorMsgs!$C326)</f>
        <v>0</v>
      </c>
      <c r="M326" s="714" t="b">
        <f ca="1">IF(AND('Start here'!$C$24=RefData!$B$4,'Discount rates'!$C$7=RefData!$B$8,OR('Other assumptions'!$C$7=RefData!$B$47,'Other assumptions'!$C$7=RefData!$B$46),'Reconciliation report'!$E326=""),ErrorMsgs!$D326)</f>
        <v>0</v>
      </c>
      <c r="N326" s="714" t="b">
        <f ca="1">IF(AND('Start here'!$C$24=RefData!$B$4,'Discount rates'!$C$7=RefData!$B$8,OR('Other assumptions'!$C$7=RefData!$B$48,'Other assumptions'!$C$7=RefData!$B$49),'Reconciliation report'!$E326&lt;&gt;""),ErrorMsgs!$E326)</f>
        <v>0</v>
      </c>
      <c r="O326" s="712" t="b">
        <f ca="1">IF(AND('Start here'!$C$24=RefData!$B$4,'Discount rates'!$C$7=RefData!$B$7,'Reconciliation report'!$E326&lt;&gt;""),ErrorMsgs!$F326)</f>
        <v>0</v>
      </c>
      <c r="P326" s="712" t="b">
        <f ca="1">IF($E326&lt;-0.25,ErrorMsgs!$G326)</f>
        <v>0</v>
      </c>
      <c r="Q326" s="712" t="b">
        <f ca="1">IF($E326="",FALSE,IF($E326&gt;0.25,ErrorMsgs!$H326))</f>
        <v>0</v>
      </c>
      <c r="R326" s="712"/>
      <c r="S326" s="712"/>
      <c r="T326" s="712"/>
      <c r="U326" s="526" t="str">
        <f t="shared" ca="1" si="45"/>
        <v/>
      </c>
      <c r="V326" s="93" t="str" cm="1">
        <f t="array" aca="1" ref="V326" ca="1">CELL("format",INDIRECT(I326))</f>
        <v>P4</v>
      </c>
      <c r="W326" s="93" t="b">
        <f t="shared" ca="1" si="46"/>
        <v>0</v>
      </c>
      <c r="X326" s="715" t="str">
        <f t="shared" ca="1" si="44"/>
        <v/>
      </c>
      <c r="Y326" t="b">
        <f t="shared" ca="1" si="47"/>
        <v>1</v>
      </c>
    </row>
    <row r="327" spans="1:25" ht="63" customHeight="1">
      <c r="A327" s="705" t="s">
        <v>3333</v>
      </c>
      <c r="B327" s="716" t="str">
        <f t="shared" ca="1" si="41"/>
        <v>40-year assumptions - G40</v>
      </c>
      <c r="C327" s="707" t="str" cm="1">
        <f t="array" aca="1" ref="C327" ca="1">INDIRECT(LEFT(I327, FIND("!", I327)) &amp; RefData!$C$426 &amp; RIGHT(I327, LEN(I327) - FIND("!", I327) - 1))</f>
        <v>Year 34</v>
      </c>
      <c r="D327" s="92" t="str">
        <f t="shared" ca="1" si="43"/>
        <v/>
      </c>
      <c r="E327" s="708" t="str" cm="1">
        <f t="array" aca="1" ref="E327" ca="1">IF(INDIRECT($I327)= "", "", INDIRECT($I327))</f>
        <v/>
      </c>
      <c r="F327" s="709" t="str" cm="1">
        <f t="array" aca="1" ref="F327" ca="1">INDIRECT(LEFT(I327, FIND("!", I327)) &amp; RefData!$C$427 &amp; RIGHT(I327, LEN(I327) - FIND("!", I327) - 1))</f>
        <v>FYA 34.0</v>
      </c>
      <c r="G327" s="710" t="b">
        <f ca="1">IF(ISNUMBER(SEARCH(RefData!$B$2, $C327)), FALSE, TRUE)</f>
        <v>1</v>
      </c>
      <c r="H327" s="344">
        <f>'40-year assumptions'!G40</f>
        <v>0</v>
      </c>
      <c r="I327" s="712" t="str">
        <f t="shared" ca="1" si="42"/>
        <v>'40-year assumptions'!G40</v>
      </c>
      <c r="J327" s="713" t="b" cm="1">
        <f t="array" aca="1" ref="J327" ca="1">IF(COUNTIF($K327:$T327, "&lt;&gt;FALSE") - COUNTBLANK($K327:$T327) &gt; 0, INDEX($K327:$T327, MATCH(TRUE, $K327:$T327 &lt;&gt; FALSE, 0)))</f>
        <v>0</v>
      </c>
      <c r="K327" s="712" t="b">
        <f ca="1">IF(AND('Start here'!$C$24=RefData!$B$5,OR('Other assumptions'!$C$7=RefData!$B$47,'Other assumptions'!$C$7=RefData!$B$46),'Reconciliation report'!$E327=""),ErrorMsgs!$B327)</f>
        <v>0</v>
      </c>
      <c r="L327" s="712" t="b">
        <f ca="1">IF(AND('Start here'!$C$24=RefData!$B$5,OR('Other assumptions'!$C$7=RefData!$B$48,'Other assumptions'!$C$7=RefData!$B$49),'Reconciliation report'!$E327&lt;&gt;""),ErrorMsgs!$C327)</f>
        <v>0</v>
      </c>
      <c r="M327" s="714" t="b">
        <f ca="1">IF(AND('Start here'!$C$24=RefData!$B$4,'Discount rates'!$C$7=RefData!$B$8,OR('Other assumptions'!$C$7=RefData!$B$47,'Other assumptions'!$C$7=RefData!$B$46),'Reconciliation report'!$E327=""),ErrorMsgs!$D327)</f>
        <v>0</v>
      </c>
      <c r="N327" s="714" t="b">
        <f ca="1">IF(AND('Start here'!$C$24=RefData!$B$4,'Discount rates'!$C$7=RefData!$B$8,OR('Other assumptions'!$C$7=RefData!$B$48,'Other assumptions'!$C$7=RefData!$B$49),'Reconciliation report'!$E327&lt;&gt;""),ErrorMsgs!$E327)</f>
        <v>0</v>
      </c>
      <c r="O327" s="712" t="b">
        <f ca="1">IF(AND('Start here'!$C$24=RefData!$B$4,'Discount rates'!$C$7=RefData!$B$7,'Reconciliation report'!$E327&lt;&gt;""),ErrorMsgs!$F327)</f>
        <v>0</v>
      </c>
      <c r="P327" s="712" t="b">
        <f ca="1">IF($E327&lt;-0.25,ErrorMsgs!$G327)</f>
        <v>0</v>
      </c>
      <c r="Q327" s="712" t="b">
        <f ca="1">IF($E327="",FALSE,IF($E327&gt;0.25,ErrorMsgs!$H327))</f>
        <v>0</v>
      </c>
      <c r="R327" s="712"/>
      <c r="S327" s="712"/>
      <c r="T327" s="712"/>
      <c r="U327" s="526" t="str">
        <f t="shared" ca="1" si="45"/>
        <v/>
      </c>
      <c r="V327" s="93" t="str" cm="1">
        <f t="array" aca="1" ref="V327" ca="1">CELL("format",INDIRECT(I327))</f>
        <v>P4</v>
      </c>
      <c r="W327" s="93" t="b">
        <f t="shared" ca="1" si="46"/>
        <v>0</v>
      </c>
      <c r="X327" s="715" t="str">
        <f t="shared" ca="1" si="44"/>
        <v/>
      </c>
      <c r="Y327" t="b">
        <f t="shared" ca="1" si="47"/>
        <v>1</v>
      </c>
    </row>
    <row r="328" spans="1:25" ht="63" customHeight="1">
      <c r="A328" s="705" t="s">
        <v>3334</v>
      </c>
      <c r="B328" s="716" t="str">
        <f t="shared" ca="1" si="41"/>
        <v>40-year assumptions - G41</v>
      </c>
      <c r="C328" s="707" t="str" cm="1">
        <f t="array" aca="1" ref="C328" ca="1">INDIRECT(LEFT(I328, FIND("!", I328)) &amp; RefData!$C$426 &amp; RIGHT(I328, LEN(I328) - FIND("!", I328) - 1))</f>
        <v>Year 35</v>
      </c>
      <c r="D328" s="92" t="str">
        <f t="shared" ca="1" si="43"/>
        <v/>
      </c>
      <c r="E328" s="708" t="str" cm="1">
        <f t="array" aca="1" ref="E328" ca="1">IF(INDIRECT($I328)= "", "", INDIRECT($I328))</f>
        <v/>
      </c>
      <c r="F328" s="709" t="str" cm="1">
        <f t="array" aca="1" ref="F328" ca="1">INDIRECT(LEFT(I328, FIND("!", I328)) &amp; RefData!$C$427 &amp; RIGHT(I328, LEN(I328) - FIND("!", I328) - 1))</f>
        <v>FYA 35.0</v>
      </c>
      <c r="G328" s="710" t="b">
        <f ca="1">IF(ISNUMBER(SEARCH(RefData!$B$2, $C328)), FALSE, TRUE)</f>
        <v>1</v>
      </c>
      <c r="H328" s="344">
        <f>'40-year assumptions'!G41</f>
        <v>0</v>
      </c>
      <c r="I328" s="712" t="str">
        <f t="shared" ca="1" si="42"/>
        <v>'40-year assumptions'!G41</v>
      </c>
      <c r="J328" s="713" t="b" cm="1">
        <f t="array" aca="1" ref="J328" ca="1">IF(COUNTIF($K328:$T328, "&lt;&gt;FALSE") - COUNTBLANK($K328:$T328) &gt; 0, INDEX($K328:$T328, MATCH(TRUE, $K328:$T328 &lt;&gt; FALSE, 0)))</f>
        <v>0</v>
      </c>
      <c r="K328" s="712" t="b">
        <f ca="1">IF(AND('Start here'!$C$24=RefData!$B$5,OR('Other assumptions'!$C$7=RefData!$B$47,'Other assumptions'!$C$7=RefData!$B$46),'Reconciliation report'!$E328=""),ErrorMsgs!$B328)</f>
        <v>0</v>
      </c>
      <c r="L328" s="712" t="b">
        <f ca="1">IF(AND('Start here'!$C$24=RefData!$B$5,OR('Other assumptions'!$C$7=RefData!$B$48,'Other assumptions'!$C$7=RefData!$B$49),'Reconciliation report'!$E328&lt;&gt;""),ErrorMsgs!$C328)</f>
        <v>0</v>
      </c>
      <c r="M328" s="714" t="b">
        <f ca="1">IF(AND('Start here'!$C$24=RefData!$B$4,'Discount rates'!$C$7=RefData!$B$8,OR('Other assumptions'!$C$7=RefData!$B$47,'Other assumptions'!$C$7=RefData!$B$46),'Reconciliation report'!$E328=""),ErrorMsgs!$D328)</f>
        <v>0</v>
      </c>
      <c r="N328" s="714" t="b">
        <f ca="1">IF(AND('Start here'!$C$24=RefData!$B$4,'Discount rates'!$C$7=RefData!$B$8,OR('Other assumptions'!$C$7=RefData!$B$48,'Other assumptions'!$C$7=RefData!$B$49),'Reconciliation report'!$E328&lt;&gt;""),ErrorMsgs!$E328)</f>
        <v>0</v>
      </c>
      <c r="O328" s="712" t="b">
        <f ca="1">IF(AND('Start here'!$C$24=RefData!$B$4,'Discount rates'!$C$7=RefData!$B$7,'Reconciliation report'!$E328&lt;&gt;""),ErrorMsgs!$F328)</f>
        <v>0</v>
      </c>
      <c r="P328" s="712" t="b">
        <f ca="1">IF($E328&lt;-0.25,ErrorMsgs!$G328)</f>
        <v>0</v>
      </c>
      <c r="Q328" s="712" t="b">
        <f ca="1">IF($E328="",FALSE,IF($E328&gt;0.25,ErrorMsgs!$H328))</f>
        <v>0</v>
      </c>
      <c r="R328" s="712"/>
      <c r="S328" s="712"/>
      <c r="T328" s="712"/>
      <c r="U328" s="526" t="str">
        <f t="shared" ca="1" si="45"/>
        <v/>
      </c>
      <c r="V328" s="93" t="str" cm="1">
        <f t="array" aca="1" ref="V328" ca="1">CELL("format",INDIRECT(I328))</f>
        <v>P4</v>
      </c>
      <c r="W328" s="93" t="b">
        <f t="shared" ca="1" si="46"/>
        <v>0</v>
      </c>
      <c r="X328" s="715" t="str">
        <f t="shared" ca="1" si="44"/>
        <v/>
      </c>
      <c r="Y328" t="b">
        <f t="shared" ca="1" si="47"/>
        <v>1</v>
      </c>
    </row>
    <row r="329" spans="1:25" ht="63" customHeight="1">
      <c r="A329" s="705" t="s">
        <v>3335</v>
      </c>
      <c r="B329" s="716" t="str">
        <f t="shared" ca="1" si="41"/>
        <v>40-year assumptions - G42</v>
      </c>
      <c r="C329" s="707" t="str" cm="1">
        <f t="array" aca="1" ref="C329" ca="1">INDIRECT(LEFT(I329, FIND("!", I329)) &amp; RefData!$C$426 &amp; RIGHT(I329, LEN(I329) - FIND("!", I329) - 1))</f>
        <v>Year 36</v>
      </c>
      <c r="D329" s="92" t="str">
        <f t="shared" ca="1" si="43"/>
        <v/>
      </c>
      <c r="E329" s="708" t="str" cm="1">
        <f t="array" aca="1" ref="E329" ca="1">IF(INDIRECT($I329)= "", "", INDIRECT($I329))</f>
        <v/>
      </c>
      <c r="F329" s="709" t="str" cm="1">
        <f t="array" aca="1" ref="F329" ca="1">INDIRECT(LEFT(I329, FIND("!", I329)) &amp; RefData!$C$427 &amp; RIGHT(I329, LEN(I329) - FIND("!", I329) - 1))</f>
        <v>FYA 36.0</v>
      </c>
      <c r="G329" s="710" t="b">
        <f ca="1">IF(ISNUMBER(SEARCH(RefData!$B$2, $C329)), FALSE, TRUE)</f>
        <v>1</v>
      </c>
      <c r="H329" s="344">
        <f>'40-year assumptions'!G42</f>
        <v>0</v>
      </c>
      <c r="I329" s="712" t="str">
        <f t="shared" ca="1" si="42"/>
        <v>'40-year assumptions'!G42</v>
      </c>
      <c r="J329" s="713" t="b" cm="1">
        <f t="array" aca="1" ref="J329" ca="1">IF(COUNTIF($K329:$T329, "&lt;&gt;FALSE") - COUNTBLANK($K329:$T329) &gt; 0, INDEX($K329:$T329, MATCH(TRUE, $K329:$T329 &lt;&gt; FALSE, 0)))</f>
        <v>0</v>
      </c>
      <c r="K329" s="712" t="b">
        <f ca="1">IF(AND('Start here'!$C$24=RefData!$B$5,OR('Other assumptions'!$C$7=RefData!$B$47,'Other assumptions'!$C$7=RefData!$B$46),'Reconciliation report'!$E329=""),ErrorMsgs!$B329)</f>
        <v>0</v>
      </c>
      <c r="L329" s="712" t="b">
        <f ca="1">IF(AND('Start here'!$C$24=RefData!$B$5,OR('Other assumptions'!$C$7=RefData!$B$48,'Other assumptions'!$C$7=RefData!$B$49),'Reconciliation report'!$E329&lt;&gt;""),ErrorMsgs!$C329)</f>
        <v>0</v>
      </c>
      <c r="M329" s="714" t="b">
        <f ca="1">IF(AND('Start here'!$C$24=RefData!$B$4,'Discount rates'!$C$7=RefData!$B$8,OR('Other assumptions'!$C$7=RefData!$B$47,'Other assumptions'!$C$7=RefData!$B$46),'Reconciliation report'!$E329=""),ErrorMsgs!$D329)</f>
        <v>0</v>
      </c>
      <c r="N329" s="714" t="b">
        <f ca="1">IF(AND('Start here'!$C$24=RefData!$B$4,'Discount rates'!$C$7=RefData!$B$8,OR('Other assumptions'!$C$7=RefData!$B$48,'Other assumptions'!$C$7=RefData!$B$49),'Reconciliation report'!$E329&lt;&gt;""),ErrorMsgs!$E329)</f>
        <v>0</v>
      </c>
      <c r="O329" s="712" t="b">
        <f ca="1">IF(AND('Start here'!$C$24=RefData!$B$4,'Discount rates'!$C$7=RefData!$B$7,'Reconciliation report'!$E329&lt;&gt;""),ErrorMsgs!$F329)</f>
        <v>0</v>
      </c>
      <c r="P329" s="712" t="b">
        <f ca="1">IF($E329&lt;-0.25,ErrorMsgs!$G329)</f>
        <v>0</v>
      </c>
      <c r="Q329" s="712" t="b">
        <f ca="1">IF($E329="",FALSE,IF($E329&gt;0.25,ErrorMsgs!$H329))</f>
        <v>0</v>
      </c>
      <c r="R329" s="712"/>
      <c r="S329" s="712"/>
      <c r="T329" s="712"/>
      <c r="U329" s="526" t="str">
        <f t="shared" ca="1" si="45"/>
        <v/>
      </c>
      <c r="V329" s="93" t="str" cm="1">
        <f t="array" aca="1" ref="V329" ca="1">CELL("format",INDIRECT(I329))</f>
        <v>P4</v>
      </c>
      <c r="W329" s="93" t="b">
        <f t="shared" ca="1" si="46"/>
        <v>0</v>
      </c>
      <c r="X329" s="715" t="str">
        <f t="shared" ca="1" si="44"/>
        <v/>
      </c>
      <c r="Y329" t="b">
        <f t="shared" ca="1" si="47"/>
        <v>1</v>
      </c>
    </row>
    <row r="330" spans="1:25" ht="63" customHeight="1">
      <c r="A330" s="705" t="s">
        <v>3336</v>
      </c>
      <c r="B330" s="716" t="str">
        <f t="shared" ca="1" si="41"/>
        <v>40-year assumptions - G43</v>
      </c>
      <c r="C330" s="707" t="str" cm="1">
        <f t="array" aca="1" ref="C330" ca="1">INDIRECT(LEFT(I330, FIND("!", I330)) &amp; RefData!$C$426 &amp; RIGHT(I330, LEN(I330) - FIND("!", I330) - 1))</f>
        <v>Year 37</v>
      </c>
      <c r="D330" s="92" t="str">
        <f t="shared" ca="1" si="43"/>
        <v/>
      </c>
      <c r="E330" s="708" t="str" cm="1">
        <f t="array" aca="1" ref="E330" ca="1">IF(INDIRECT($I330)= "", "", INDIRECT($I330))</f>
        <v/>
      </c>
      <c r="F330" s="709" t="str" cm="1">
        <f t="array" aca="1" ref="F330" ca="1">INDIRECT(LEFT(I330, FIND("!", I330)) &amp; RefData!$C$427 &amp; RIGHT(I330, LEN(I330) - FIND("!", I330) - 1))</f>
        <v>FYA 37.0</v>
      </c>
      <c r="G330" s="710" t="b">
        <f ca="1">IF(ISNUMBER(SEARCH(RefData!$B$2, $C330)), FALSE, TRUE)</f>
        <v>1</v>
      </c>
      <c r="H330" s="344">
        <f>'40-year assumptions'!G43</f>
        <v>0</v>
      </c>
      <c r="I330" s="712" t="str">
        <f t="shared" ca="1" si="42"/>
        <v>'40-year assumptions'!G43</v>
      </c>
      <c r="J330" s="713" t="b" cm="1">
        <f t="array" aca="1" ref="J330" ca="1">IF(COUNTIF($K330:$T330, "&lt;&gt;FALSE") - COUNTBLANK($K330:$T330) &gt; 0, INDEX($K330:$T330, MATCH(TRUE, $K330:$T330 &lt;&gt; FALSE, 0)))</f>
        <v>0</v>
      </c>
      <c r="K330" s="712" t="b">
        <f ca="1">IF(AND('Start here'!$C$24=RefData!$B$5,OR('Other assumptions'!$C$7=RefData!$B$47,'Other assumptions'!$C$7=RefData!$B$46),'Reconciliation report'!$E330=""),ErrorMsgs!$B330)</f>
        <v>0</v>
      </c>
      <c r="L330" s="712" t="b">
        <f ca="1">IF(AND('Start here'!$C$24=RefData!$B$5,OR('Other assumptions'!$C$7=RefData!$B$48,'Other assumptions'!$C$7=RefData!$B$49),'Reconciliation report'!$E330&lt;&gt;""),ErrorMsgs!$C330)</f>
        <v>0</v>
      </c>
      <c r="M330" s="714" t="b">
        <f ca="1">IF(AND('Start here'!$C$24=RefData!$B$4,'Discount rates'!$C$7=RefData!$B$8,OR('Other assumptions'!$C$7=RefData!$B$47,'Other assumptions'!$C$7=RefData!$B$46),'Reconciliation report'!$E330=""),ErrorMsgs!$D330)</f>
        <v>0</v>
      </c>
      <c r="N330" s="714" t="b">
        <f ca="1">IF(AND('Start here'!$C$24=RefData!$B$4,'Discount rates'!$C$7=RefData!$B$8,OR('Other assumptions'!$C$7=RefData!$B$48,'Other assumptions'!$C$7=RefData!$B$49),'Reconciliation report'!$E330&lt;&gt;""),ErrorMsgs!$E330)</f>
        <v>0</v>
      </c>
      <c r="O330" s="712" t="b">
        <f ca="1">IF(AND('Start here'!$C$24=RefData!$B$4,'Discount rates'!$C$7=RefData!$B$7,'Reconciliation report'!$E330&lt;&gt;""),ErrorMsgs!$F330)</f>
        <v>0</v>
      </c>
      <c r="P330" s="712" t="b">
        <f ca="1">IF($E330&lt;-0.25,ErrorMsgs!$G330)</f>
        <v>0</v>
      </c>
      <c r="Q330" s="712" t="b">
        <f ca="1">IF($E330="",FALSE,IF($E330&gt;0.25,ErrorMsgs!$H330))</f>
        <v>0</v>
      </c>
      <c r="R330" s="712"/>
      <c r="S330" s="712"/>
      <c r="T330" s="712"/>
      <c r="U330" s="526" t="str">
        <f t="shared" ca="1" si="45"/>
        <v/>
      </c>
      <c r="V330" s="93" t="str" cm="1">
        <f t="array" aca="1" ref="V330" ca="1">CELL("format",INDIRECT(I330))</f>
        <v>P4</v>
      </c>
      <c r="W330" s="93" t="b">
        <f t="shared" ca="1" si="46"/>
        <v>0</v>
      </c>
      <c r="X330" s="715" t="str">
        <f t="shared" ca="1" si="44"/>
        <v/>
      </c>
      <c r="Y330" t="b">
        <f t="shared" ca="1" si="47"/>
        <v>1</v>
      </c>
    </row>
    <row r="331" spans="1:25" ht="63" customHeight="1">
      <c r="A331" s="705" t="s">
        <v>3337</v>
      </c>
      <c r="B331" s="716" t="str">
        <f t="shared" ca="1" si="41"/>
        <v>40-year assumptions - G44</v>
      </c>
      <c r="C331" s="707" t="str" cm="1">
        <f t="array" aca="1" ref="C331" ca="1">INDIRECT(LEFT(I331, FIND("!", I331)) &amp; RefData!$C$426 &amp; RIGHT(I331, LEN(I331) - FIND("!", I331) - 1))</f>
        <v>Year 38</v>
      </c>
      <c r="D331" s="92" t="str">
        <f t="shared" ca="1" si="43"/>
        <v/>
      </c>
      <c r="E331" s="708" t="str" cm="1">
        <f t="array" aca="1" ref="E331" ca="1">IF(INDIRECT($I331)= "", "", INDIRECT($I331))</f>
        <v/>
      </c>
      <c r="F331" s="709" t="str" cm="1">
        <f t="array" aca="1" ref="F331" ca="1">INDIRECT(LEFT(I331, FIND("!", I331)) &amp; RefData!$C$427 &amp; RIGHT(I331, LEN(I331) - FIND("!", I331) - 1))</f>
        <v>FYA 38.0</v>
      </c>
      <c r="G331" s="710" t="b">
        <f ca="1">IF(ISNUMBER(SEARCH(RefData!$B$2, $C331)), FALSE, TRUE)</f>
        <v>1</v>
      </c>
      <c r="H331" s="344">
        <f>'40-year assumptions'!G44</f>
        <v>0</v>
      </c>
      <c r="I331" s="712" t="str">
        <f t="shared" ca="1" si="42"/>
        <v>'40-year assumptions'!G44</v>
      </c>
      <c r="J331" s="713" t="b" cm="1">
        <f t="array" aca="1" ref="J331" ca="1">IF(COUNTIF($K331:$T331, "&lt;&gt;FALSE") - COUNTBLANK($K331:$T331) &gt; 0, INDEX($K331:$T331, MATCH(TRUE, $K331:$T331 &lt;&gt; FALSE, 0)))</f>
        <v>0</v>
      </c>
      <c r="K331" s="712" t="b">
        <f ca="1">IF(AND('Start here'!$C$24=RefData!$B$5,OR('Other assumptions'!$C$7=RefData!$B$47,'Other assumptions'!$C$7=RefData!$B$46),'Reconciliation report'!$E331=""),ErrorMsgs!$B331)</f>
        <v>0</v>
      </c>
      <c r="L331" s="712" t="b">
        <f ca="1">IF(AND('Start here'!$C$24=RefData!$B$5,OR('Other assumptions'!$C$7=RefData!$B$48,'Other assumptions'!$C$7=RefData!$B$49),'Reconciliation report'!$E331&lt;&gt;""),ErrorMsgs!$C331)</f>
        <v>0</v>
      </c>
      <c r="M331" s="714" t="b">
        <f ca="1">IF(AND('Start here'!$C$24=RefData!$B$4,'Discount rates'!$C$7=RefData!$B$8,OR('Other assumptions'!$C$7=RefData!$B$47,'Other assumptions'!$C$7=RefData!$B$46),'Reconciliation report'!$E331=""),ErrorMsgs!$D331)</f>
        <v>0</v>
      </c>
      <c r="N331" s="714" t="b">
        <f ca="1">IF(AND('Start here'!$C$24=RefData!$B$4,'Discount rates'!$C$7=RefData!$B$8,OR('Other assumptions'!$C$7=RefData!$B$48,'Other assumptions'!$C$7=RefData!$B$49),'Reconciliation report'!$E331&lt;&gt;""),ErrorMsgs!$E331)</f>
        <v>0</v>
      </c>
      <c r="O331" s="712" t="b">
        <f ca="1">IF(AND('Start here'!$C$24=RefData!$B$4,'Discount rates'!$C$7=RefData!$B$7,'Reconciliation report'!$E331&lt;&gt;""),ErrorMsgs!$F331)</f>
        <v>0</v>
      </c>
      <c r="P331" s="712" t="b">
        <f ca="1">IF($E331&lt;-0.25,ErrorMsgs!$G331)</f>
        <v>0</v>
      </c>
      <c r="Q331" s="712" t="b">
        <f ca="1">IF($E331="",FALSE,IF($E331&gt;0.25,ErrorMsgs!$H331))</f>
        <v>0</v>
      </c>
      <c r="R331" s="712"/>
      <c r="S331" s="712"/>
      <c r="T331" s="712"/>
      <c r="U331" s="526" t="str">
        <f t="shared" ca="1" si="45"/>
        <v/>
      </c>
      <c r="V331" s="93" t="str" cm="1">
        <f t="array" aca="1" ref="V331" ca="1">CELL("format",INDIRECT(I331))</f>
        <v>P4</v>
      </c>
      <c r="W331" s="93" t="b">
        <f t="shared" ca="1" si="46"/>
        <v>0</v>
      </c>
      <c r="X331" s="715" t="str">
        <f t="shared" ca="1" si="44"/>
        <v/>
      </c>
      <c r="Y331" t="b">
        <f t="shared" ca="1" si="47"/>
        <v>1</v>
      </c>
    </row>
    <row r="332" spans="1:25" ht="63" customHeight="1">
      <c r="A332" s="705" t="s">
        <v>3338</v>
      </c>
      <c r="B332" s="716" t="str">
        <f t="shared" ref="B332:B373" ca="1" si="48">HYPERLINK("#" &amp; $I332, SUBSTITUTE(SUBSTITUTE($I332, "!", " - "), "'",""))</f>
        <v>40-year assumptions - G45</v>
      </c>
      <c r="C332" s="707" t="str" cm="1">
        <f t="array" aca="1" ref="C332" ca="1">INDIRECT(LEFT(I332, FIND("!", I332)) &amp; RefData!$C$426 &amp; RIGHT(I332, LEN(I332) - FIND("!", I332) - 1))</f>
        <v>Year 39</v>
      </c>
      <c r="D332" s="92" t="str">
        <f t="shared" ca="1" si="43"/>
        <v/>
      </c>
      <c r="E332" s="708" t="str" cm="1">
        <f t="array" aca="1" ref="E332" ca="1">IF(INDIRECT($I332)= "", "", INDIRECT($I332))</f>
        <v/>
      </c>
      <c r="F332" s="709" t="str" cm="1">
        <f t="array" aca="1" ref="F332" ca="1">INDIRECT(LEFT(I332, FIND("!", I332)) &amp; RefData!$C$427 &amp; RIGHT(I332, LEN(I332) - FIND("!", I332) - 1))</f>
        <v>FYA 39.0</v>
      </c>
      <c r="G332" s="710" t="b">
        <f ca="1">IF(ISNUMBER(SEARCH(RefData!$B$2, $C332)), FALSE, TRUE)</f>
        <v>1</v>
      </c>
      <c r="H332" s="344">
        <f>'40-year assumptions'!G45</f>
        <v>0</v>
      </c>
      <c r="I332" s="712" t="str">
        <f t="shared" ref="I332:I373" ca="1" si="49">SUBSTITUTE(_xlfn.FORMULATEXT($H332), "=", "")</f>
        <v>'40-year assumptions'!G45</v>
      </c>
      <c r="J332" s="713" t="b" cm="1">
        <f t="array" aca="1" ref="J332" ca="1">IF(COUNTIF($K332:$T332, "&lt;&gt;FALSE") - COUNTBLANK($K332:$T332) &gt; 0, INDEX($K332:$T332, MATCH(TRUE, $K332:$T332 &lt;&gt; FALSE, 0)))</f>
        <v>0</v>
      </c>
      <c r="K332" s="712" t="b">
        <f ca="1">IF(AND('Start here'!$C$24=RefData!$B$5,OR('Other assumptions'!$C$7=RefData!$B$47,'Other assumptions'!$C$7=RefData!$B$46),'Reconciliation report'!$E332=""),ErrorMsgs!$B332)</f>
        <v>0</v>
      </c>
      <c r="L332" s="712" t="b">
        <f ca="1">IF(AND('Start here'!$C$24=RefData!$B$5,OR('Other assumptions'!$C$7=RefData!$B$48,'Other assumptions'!$C$7=RefData!$B$49),'Reconciliation report'!$E332&lt;&gt;""),ErrorMsgs!$C332)</f>
        <v>0</v>
      </c>
      <c r="M332" s="714" t="b">
        <f ca="1">IF(AND('Start here'!$C$24=RefData!$B$4,'Discount rates'!$C$7=RefData!$B$8,OR('Other assumptions'!$C$7=RefData!$B$47,'Other assumptions'!$C$7=RefData!$B$46),'Reconciliation report'!$E332=""),ErrorMsgs!$D332)</f>
        <v>0</v>
      </c>
      <c r="N332" s="714" t="b">
        <f ca="1">IF(AND('Start here'!$C$24=RefData!$B$4,'Discount rates'!$C$7=RefData!$B$8,OR('Other assumptions'!$C$7=RefData!$B$48,'Other assumptions'!$C$7=RefData!$B$49),'Reconciliation report'!$E332&lt;&gt;""),ErrorMsgs!$E332)</f>
        <v>0</v>
      </c>
      <c r="O332" s="712" t="b">
        <f ca="1">IF(AND('Start here'!$C$24=RefData!$B$4,'Discount rates'!$C$7=RefData!$B$7,'Reconciliation report'!$E332&lt;&gt;""),ErrorMsgs!$F332)</f>
        <v>0</v>
      </c>
      <c r="P332" s="712" t="b">
        <f ca="1">IF($E332&lt;-0.25,ErrorMsgs!$G332)</f>
        <v>0</v>
      </c>
      <c r="Q332" s="712" t="b">
        <f ca="1">IF($E332="",FALSE,IF($E332&gt;0.25,ErrorMsgs!$H332))</f>
        <v>0</v>
      </c>
      <c r="R332" s="712"/>
      <c r="S332" s="712"/>
      <c r="T332" s="712"/>
      <c r="U332" s="526" t="str">
        <f t="shared" ca="1" si="45"/>
        <v/>
      </c>
      <c r="V332" s="93" t="str" cm="1">
        <f t="array" aca="1" ref="V332" ca="1">CELL("format",INDIRECT(I332))</f>
        <v>P4</v>
      </c>
      <c r="W332" s="93" t="b">
        <f t="shared" ca="1" si="46"/>
        <v>0</v>
      </c>
      <c r="X332" s="715" t="str">
        <f t="shared" ca="1" si="44"/>
        <v/>
      </c>
      <c r="Y332" t="b">
        <f t="shared" ca="1" si="47"/>
        <v>1</v>
      </c>
    </row>
    <row r="333" spans="1:25" ht="63" customHeight="1">
      <c r="A333" s="705" t="s">
        <v>3339</v>
      </c>
      <c r="B333" s="716" t="str">
        <f t="shared" ca="1" si="48"/>
        <v>40-year assumptions - G46</v>
      </c>
      <c r="C333" s="707" t="str" cm="1">
        <f t="array" aca="1" ref="C333" ca="1">INDIRECT(LEFT(I333, FIND("!", I333)) &amp; RefData!$C$426 &amp; RIGHT(I333, LEN(I333) - FIND("!", I333) - 1))</f>
        <v>Year 40</v>
      </c>
      <c r="D333" s="92" t="str">
        <f t="shared" ca="1" si="43"/>
        <v/>
      </c>
      <c r="E333" s="708" t="str" cm="1">
        <f t="array" aca="1" ref="E333" ca="1">IF(INDIRECT($I333)= "", "", INDIRECT($I333))</f>
        <v/>
      </c>
      <c r="F333" s="709" t="str" cm="1">
        <f t="array" aca="1" ref="F333" ca="1">INDIRECT(LEFT(I333, FIND("!", I333)) &amp; RefData!$C$427 &amp; RIGHT(I333, LEN(I333) - FIND("!", I333) - 1))</f>
        <v>FYA 40.0</v>
      </c>
      <c r="G333" s="710" t="b">
        <f ca="1">IF(ISNUMBER(SEARCH(RefData!$B$2, $C333)), FALSE, TRUE)</f>
        <v>1</v>
      </c>
      <c r="H333" s="344">
        <f>'40-year assumptions'!G46</f>
        <v>0</v>
      </c>
      <c r="I333" s="712" t="str">
        <f t="shared" ca="1" si="49"/>
        <v>'40-year assumptions'!G46</v>
      </c>
      <c r="J333" s="713" t="b" cm="1">
        <f t="array" aca="1" ref="J333" ca="1">IF(COUNTIF($K333:$T333, "&lt;&gt;FALSE") - COUNTBLANK($K333:$T333) &gt; 0, INDEX($K333:$T333, MATCH(TRUE, $K333:$T333 &lt;&gt; FALSE, 0)))</f>
        <v>0</v>
      </c>
      <c r="K333" s="712" t="b">
        <f ca="1">IF(AND('Start here'!$C$24=RefData!$B$5,OR('Other assumptions'!$C$7=RefData!$B$47,'Other assumptions'!$C$7=RefData!$B$46),'Reconciliation report'!$E333=""),ErrorMsgs!$B333)</f>
        <v>0</v>
      </c>
      <c r="L333" s="712" t="b">
        <f ca="1">IF(AND('Start here'!$C$24=RefData!$B$5,OR('Other assumptions'!$C$7=RefData!$B$48,'Other assumptions'!$C$7=RefData!$B$49),'Reconciliation report'!$E333&lt;&gt;""),ErrorMsgs!$C333)</f>
        <v>0</v>
      </c>
      <c r="M333" s="714" t="b">
        <f ca="1">IF(AND('Start here'!$C$24=RefData!$B$4,'Discount rates'!$C$7=RefData!$B$8,OR('Other assumptions'!$C$7=RefData!$B$47,'Other assumptions'!$C$7=RefData!$B$46),'Reconciliation report'!$E333=""),ErrorMsgs!$D333)</f>
        <v>0</v>
      </c>
      <c r="N333" s="714" t="b">
        <f ca="1">IF(AND('Start here'!$C$24=RefData!$B$4,'Discount rates'!$C$7=RefData!$B$8,OR('Other assumptions'!$C$7=RefData!$B$48,'Other assumptions'!$C$7=RefData!$B$49),'Reconciliation report'!$E333&lt;&gt;""),ErrorMsgs!$E333)</f>
        <v>0</v>
      </c>
      <c r="O333" s="712" t="b">
        <f ca="1">IF(AND('Start here'!$C$24=RefData!$B$4,'Discount rates'!$C$7=RefData!$B$7,'Reconciliation report'!$E333&lt;&gt;""),ErrorMsgs!$F333)</f>
        <v>0</v>
      </c>
      <c r="P333" s="712" t="b">
        <f ca="1">IF($E333&lt;-0.25,ErrorMsgs!$G333)</f>
        <v>0</v>
      </c>
      <c r="Q333" s="712" t="b">
        <f ca="1">IF($E333="",FALSE,IF($E333&gt;0.25,ErrorMsgs!$H333))</f>
        <v>0</v>
      </c>
      <c r="R333" s="712"/>
      <c r="S333" s="712"/>
      <c r="T333" s="712"/>
      <c r="U333" s="526" t="str">
        <f t="shared" ca="1" si="45"/>
        <v/>
      </c>
      <c r="V333" s="93" t="str" cm="1">
        <f t="array" aca="1" ref="V333" ca="1">CELL("format",INDIRECT(I333))</f>
        <v>P4</v>
      </c>
      <c r="W333" s="93" t="b">
        <f t="shared" ca="1" si="46"/>
        <v>0</v>
      </c>
      <c r="X333" s="715" t="str">
        <f t="shared" ca="1" si="44"/>
        <v/>
      </c>
      <c r="Y333" t="b">
        <f t="shared" ca="1" si="47"/>
        <v>1</v>
      </c>
    </row>
    <row r="334" spans="1:25" ht="63" customHeight="1">
      <c r="A334" s="705" t="s">
        <v>3340</v>
      </c>
      <c r="B334" s="716" t="str">
        <f t="shared" ca="1" si="48"/>
        <v>40-year assumptions - H7</v>
      </c>
      <c r="C334" s="707" t="str" cm="1">
        <f t="array" aca="1" ref="C334" ca="1">INDIRECT(LEFT(I334, FIND("!", I334)) &amp; RefData!$C$426 &amp; RIGHT(I334, LEN(I334) - FIND("!", I334) - 1))</f>
        <v>Year 1</v>
      </c>
      <c r="D334" s="92" t="str">
        <f t="shared" ca="1" si="43"/>
        <v/>
      </c>
      <c r="E334" s="708" t="str" cm="1">
        <f t="array" aca="1" ref="E334" ca="1">IF(INDIRECT($I334)= "", "", INDIRECT($I334))</f>
        <v/>
      </c>
      <c r="F334" s="709" t="str" cm="1">
        <f t="array" aca="1" ref="F334" ca="1">INDIRECT(LEFT(I334, FIND("!", I334)) &amp; RefData!$C$427 &amp; RIGHT(I334, LEN(I334) - FIND("!", I334) - 1))</f>
        <v>FYA 1.0</v>
      </c>
      <c r="G334" s="710" t="b">
        <f ca="1">IF(ISNUMBER(SEARCH(RefData!$B$2, $C334)), FALSE, TRUE)</f>
        <v>1</v>
      </c>
      <c r="H334" s="344">
        <f>'40-year assumptions'!H7</f>
        <v>0</v>
      </c>
      <c r="I334" s="712" t="str">
        <f t="shared" ca="1" si="49"/>
        <v>'40-year assumptions'!H7</v>
      </c>
      <c r="J334" s="713" t="b" cm="1">
        <f t="array" aca="1" ref="J334" ca="1">IF(COUNTIF($K334:$T334, "&lt;&gt;FALSE") - COUNTBLANK($K334:$T334) &gt; 0, INDEX($K334:$T334, MATCH(TRUE, $K334:$T334 &lt;&gt; FALSE, 0)))</f>
        <v>0</v>
      </c>
      <c r="K334" s="712" t="b">
        <f ca="1">IF(AND('Start here'!$C$24=RefData!$B$5,'Other assumptions'!$C$10=RefData!$B$50,'Reconciliation report'!$E334=""),ErrorMsgs!$B334)</f>
        <v>0</v>
      </c>
      <c r="L334" s="712" t="b">
        <f ca="1">IF(AND('Start here'!$C$24=RefData!$B$5,'Other assumptions'!$C$10=RefData!$B$51,'Reconciliation report'!$E334&lt;&gt;""),ErrorMsgs!$C334)</f>
        <v>0</v>
      </c>
      <c r="M334" s="714" t="b">
        <f ca="1">IF(AND('Start here'!$C$24=RefData!$B$4,'Discount rates'!$C$7=RefData!$B$8,'Other assumptions'!$C$10=RefData!$B$50,$E334=""),ErrorMsgs!$D334)</f>
        <v>0</v>
      </c>
      <c r="N334" s="714" t="b">
        <f ca="1">IF(AND('Start here'!$C$24=RefData!$B$4,'Discount rates'!$C$7=RefData!$B$8,'Other assumptions'!$C$10=RefData!$B$51,$E334&lt;&gt;""),ErrorMsgs!$E334)</f>
        <v>0</v>
      </c>
      <c r="O334" s="712" t="b">
        <f ca="1">IF(AND('Start here'!$C$24=RefData!$B$4,'Discount rates'!$C$7=RefData!$B$7,'Reconciliation report'!$E334&lt;&gt;""),ErrorMsgs!$F334)</f>
        <v>0</v>
      </c>
      <c r="P334" s="712" t="b">
        <f ca="1">IF($E334&lt;0,ErrorMsgs!$G334)</f>
        <v>0</v>
      </c>
      <c r="Q334" s="712" t="b">
        <f ca="1">IF($E334="",FALSE,IF($E334&gt;0.25,ErrorMsgs!$H334))</f>
        <v>0</v>
      </c>
      <c r="R334" s="712"/>
      <c r="S334" s="712"/>
      <c r="T334" s="712"/>
      <c r="U334" s="526" t="str">
        <f t="shared" ca="1" si="45"/>
        <v/>
      </c>
      <c r="V334" s="93" t="str" cm="1">
        <f t="array" aca="1" ref="V334" ca="1">CELL("format",INDIRECT(I334))</f>
        <v>P4</v>
      </c>
      <c r="W334" s="93" t="b">
        <f t="shared" ca="1" si="46"/>
        <v>0</v>
      </c>
      <c r="X334" s="715" t="str">
        <f t="shared" ca="1" si="44"/>
        <v/>
      </c>
      <c r="Y334" t="b">
        <f t="shared" ca="1" si="47"/>
        <v>1</v>
      </c>
    </row>
    <row r="335" spans="1:25" ht="63" customHeight="1">
      <c r="A335" s="705" t="s">
        <v>3341</v>
      </c>
      <c r="B335" s="716" t="str">
        <f t="shared" ca="1" si="48"/>
        <v>40-year assumptions - H8</v>
      </c>
      <c r="C335" s="707" t="str" cm="1">
        <f t="array" aca="1" ref="C335" ca="1">INDIRECT(LEFT(I335, FIND("!", I335)) &amp; RefData!$C$426 &amp; RIGHT(I335, LEN(I335) - FIND("!", I335) - 1))</f>
        <v>Year 2</v>
      </c>
      <c r="D335" s="92" t="str">
        <f t="shared" ca="1" si="43"/>
        <v/>
      </c>
      <c r="E335" s="708" t="str" cm="1">
        <f t="array" aca="1" ref="E335" ca="1">IF(INDIRECT($I335)= "", "", INDIRECT($I335))</f>
        <v/>
      </c>
      <c r="F335" s="709" t="str" cm="1">
        <f t="array" aca="1" ref="F335" ca="1">INDIRECT(LEFT(I335, FIND("!", I335)) &amp; RefData!$C$427 &amp; RIGHT(I335, LEN(I335) - FIND("!", I335) - 1))</f>
        <v>FYA 2.0</v>
      </c>
      <c r="G335" s="710" t="b">
        <f ca="1">IF(ISNUMBER(SEARCH(RefData!$B$2, $C335)), FALSE, TRUE)</f>
        <v>1</v>
      </c>
      <c r="H335" s="344">
        <f>'40-year assumptions'!H8</f>
        <v>0</v>
      </c>
      <c r="I335" s="712" t="str">
        <f t="shared" ca="1" si="49"/>
        <v>'40-year assumptions'!H8</v>
      </c>
      <c r="J335" s="713" t="b" cm="1">
        <f t="array" aca="1" ref="J335" ca="1">IF(COUNTIF($K335:$T335, "&lt;&gt;FALSE") - COUNTBLANK($K335:$T335) &gt; 0, INDEX($K335:$T335, MATCH(TRUE, $K335:$T335 &lt;&gt; FALSE, 0)))</f>
        <v>0</v>
      </c>
      <c r="K335" s="712" t="b">
        <f ca="1">IF(AND('Start here'!$C$24=RefData!$B$5,'Other assumptions'!$C$10=RefData!$B$50,'Reconciliation report'!$E335=""),ErrorMsgs!$B335)</f>
        <v>0</v>
      </c>
      <c r="L335" s="712" t="b">
        <f ca="1">IF(AND('Start here'!$C$24=RefData!$B$5,'Other assumptions'!$C$10=RefData!$B$51,'Reconciliation report'!$E335&lt;&gt;""),ErrorMsgs!$C335)</f>
        <v>0</v>
      </c>
      <c r="M335" s="714" t="b">
        <f ca="1">IF(AND('Start here'!$C$24=RefData!$B$4,'Discount rates'!$C$7=RefData!$B$8,'Other assumptions'!$C$10=RefData!$B$50,$E335=""),ErrorMsgs!$D335)</f>
        <v>0</v>
      </c>
      <c r="N335" s="714" t="b">
        <f ca="1">IF(AND('Start here'!$C$24=RefData!$B$4,'Discount rates'!$C$7=RefData!$B$8,'Other assumptions'!$C$10=RefData!$B$51,$E335&lt;&gt;""),ErrorMsgs!$E335)</f>
        <v>0</v>
      </c>
      <c r="O335" s="712" t="b">
        <f ca="1">IF(AND('Start here'!$C$24=RefData!$B$4,'Discount rates'!$C$7=RefData!$B$7,'Reconciliation report'!$E335&lt;&gt;""),ErrorMsgs!$F335)</f>
        <v>0</v>
      </c>
      <c r="P335" s="712" t="b">
        <f ca="1">IF($E335&lt;0,ErrorMsgs!$G335)</f>
        <v>0</v>
      </c>
      <c r="Q335" s="712" t="b">
        <f ca="1">IF($E335="",FALSE,IF($E335&gt;0.25,ErrorMsgs!$H335))</f>
        <v>0</v>
      </c>
      <c r="R335" s="712"/>
      <c r="S335" s="712"/>
      <c r="T335" s="712"/>
      <c r="U335" s="526" t="str">
        <f t="shared" ca="1" si="45"/>
        <v/>
      </c>
      <c r="V335" s="93" t="str" cm="1">
        <f t="array" aca="1" ref="V335" ca="1">CELL("format",INDIRECT(I335))</f>
        <v>P4</v>
      </c>
      <c r="W335" s="93" t="b">
        <f t="shared" ca="1" si="46"/>
        <v>0</v>
      </c>
      <c r="X335" s="715" t="str">
        <f t="shared" ca="1" si="44"/>
        <v/>
      </c>
      <c r="Y335" t="b">
        <f t="shared" ca="1" si="47"/>
        <v>1</v>
      </c>
    </row>
    <row r="336" spans="1:25" ht="63" customHeight="1">
      <c r="A336" s="705" t="s">
        <v>3342</v>
      </c>
      <c r="B336" s="716" t="str">
        <f t="shared" ca="1" si="48"/>
        <v>40-year assumptions - H9</v>
      </c>
      <c r="C336" s="707" t="str" cm="1">
        <f t="array" aca="1" ref="C336" ca="1">INDIRECT(LEFT(I336, FIND("!", I336)) &amp; RefData!$C$426 &amp; RIGHT(I336, LEN(I336) - FIND("!", I336) - 1))</f>
        <v>Year 3</v>
      </c>
      <c r="D336" s="92" t="str">
        <f t="shared" ca="1" si="43"/>
        <v/>
      </c>
      <c r="E336" s="708" t="str" cm="1">
        <f t="array" aca="1" ref="E336" ca="1">IF(INDIRECT($I336)= "", "", INDIRECT($I336))</f>
        <v/>
      </c>
      <c r="F336" s="709" t="str" cm="1">
        <f t="array" aca="1" ref="F336" ca="1">INDIRECT(LEFT(I336, FIND("!", I336)) &amp; RefData!$C$427 &amp; RIGHT(I336, LEN(I336) - FIND("!", I336) - 1))</f>
        <v>FYA 3.0</v>
      </c>
      <c r="G336" s="710" t="b">
        <f ca="1">IF(ISNUMBER(SEARCH(RefData!$B$2, $C336)), FALSE, TRUE)</f>
        <v>1</v>
      </c>
      <c r="H336" s="344">
        <f>'40-year assumptions'!H9</f>
        <v>0</v>
      </c>
      <c r="I336" s="712" t="str">
        <f t="shared" ca="1" si="49"/>
        <v>'40-year assumptions'!H9</v>
      </c>
      <c r="J336" s="713" t="b" cm="1">
        <f t="array" aca="1" ref="J336" ca="1">IF(COUNTIF($K336:$T336, "&lt;&gt;FALSE") - COUNTBLANK($K336:$T336) &gt; 0, INDEX($K336:$T336, MATCH(TRUE, $K336:$T336 &lt;&gt; FALSE, 0)))</f>
        <v>0</v>
      </c>
      <c r="K336" s="712" t="b">
        <f ca="1">IF(AND('Start here'!$C$24=RefData!$B$5,'Other assumptions'!$C$10=RefData!$B$50,'Reconciliation report'!$E336=""),ErrorMsgs!$B336)</f>
        <v>0</v>
      </c>
      <c r="L336" s="712" t="b">
        <f ca="1">IF(AND('Start here'!$C$24=RefData!$B$5,'Other assumptions'!$C$10=RefData!$B$51,'Reconciliation report'!$E336&lt;&gt;""),ErrorMsgs!$C336)</f>
        <v>0</v>
      </c>
      <c r="M336" s="714" t="b">
        <f ca="1">IF(AND('Start here'!$C$24=RefData!$B$4,'Discount rates'!$C$7=RefData!$B$8,'Other assumptions'!$C$10=RefData!$B$50,$E336=""),ErrorMsgs!$D336)</f>
        <v>0</v>
      </c>
      <c r="N336" s="714" t="b">
        <f ca="1">IF(AND('Start here'!$C$24=RefData!$B$4,'Discount rates'!$C$7=RefData!$B$8,'Other assumptions'!$C$10=RefData!$B$51,$E336&lt;&gt;""),ErrorMsgs!$E336)</f>
        <v>0</v>
      </c>
      <c r="O336" s="712" t="b">
        <f ca="1">IF(AND('Start here'!$C$24=RefData!$B$4,'Discount rates'!$C$7=RefData!$B$7,'Reconciliation report'!$E336&lt;&gt;""),ErrorMsgs!$F336)</f>
        <v>0</v>
      </c>
      <c r="P336" s="712" t="b">
        <f ca="1">IF($E336&lt;0,ErrorMsgs!$G336)</f>
        <v>0</v>
      </c>
      <c r="Q336" s="712" t="b">
        <f ca="1">IF($E336="",FALSE,IF($E336&gt;0.25,ErrorMsgs!$H336))</f>
        <v>0</v>
      </c>
      <c r="R336" s="712"/>
      <c r="S336" s="712"/>
      <c r="T336" s="712"/>
      <c r="U336" s="526" t="str">
        <f t="shared" ca="1" si="45"/>
        <v/>
      </c>
      <c r="V336" s="93" t="str" cm="1">
        <f t="array" aca="1" ref="V336" ca="1">CELL("format",INDIRECT(I336))</f>
        <v>P4</v>
      </c>
      <c r="W336" s="93" t="b">
        <f t="shared" ca="1" si="46"/>
        <v>0</v>
      </c>
      <c r="X336" s="715" t="str">
        <f t="shared" ca="1" si="44"/>
        <v/>
      </c>
      <c r="Y336" t="b">
        <f t="shared" ca="1" si="47"/>
        <v>1</v>
      </c>
    </row>
    <row r="337" spans="1:25" ht="63" customHeight="1">
      <c r="A337" s="705" t="s">
        <v>3343</v>
      </c>
      <c r="B337" s="716" t="str">
        <f t="shared" ca="1" si="48"/>
        <v>40-year assumptions - H10</v>
      </c>
      <c r="C337" s="707" t="str" cm="1">
        <f t="array" aca="1" ref="C337" ca="1">INDIRECT(LEFT(I337, FIND("!", I337)) &amp; RefData!$C$426 &amp; RIGHT(I337, LEN(I337) - FIND("!", I337) - 1))</f>
        <v>Year 4</v>
      </c>
      <c r="D337" s="92" t="str">
        <f t="shared" ca="1" si="43"/>
        <v/>
      </c>
      <c r="E337" s="708" t="str" cm="1">
        <f t="array" aca="1" ref="E337" ca="1">IF(INDIRECT($I337)= "", "", INDIRECT($I337))</f>
        <v/>
      </c>
      <c r="F337" s="709" t="str" cm="1">
        <f t="array" aca="1" ref="F337" ca="1">INDIRECT(LEFT(I337, FIND("!", I337)) &amp; RefData!$C$427 &amp; RIGHT(I337, LEN(I337) - FIND("!", I337) - 1))</f>
        <v>FYA 4.0</v>
      </c>
      <c r="G337" s="710" t="b">
        <f ca="1">IF(ISNUMBER(SEARCH(RefData!$B$2, $C337)), FALSE, TRUE)</f>
        <v>1</v>
      </c>
      <c r="H337" s="344">
        <f>'40-year assumptions'!H10</f>
        <v>0</v>
      </c>
      <c r="I337" s="712" t="str">
        <f t="shared" ca="1" si="49"/>
        <v>'40-year assumptions'!H10</v>
      </c>
      <c r="J337" s="713" t="b" cm="1">
        <f t="array" aca="1" ref="J337" ca="1">IF(COUNTIF($K337:$T337, "&lt;&gt;FALSE") - COUNTBLANK($K337:$T337) &gt; 0, INDEX($K337:$T337, MATCH(TRUE, $K337:$T337 &lt;&gt; FALSE, 0)))</f>
        <v>0</v>
      </c>
      <c r="K337" s="712" t="b">
        <f ca="1">IF(AND('Start here'!$C$24=RefData!$B$5,'Other assumptions'!$C$10=RefData!$B$50,'Reconciliation report'!$E337=""),ErrorMsgs!$B337)</f>
        <v>0</v>
      </c>
      <c r="L337" s="712" t="b">
        <f ca="1">IF(AND('Start here'!$C$24=RefData!$B$5,'Other assumptions'!$C$10=RefData!$B$51,'Reconciliation report'!$E337&lt;&gt;""),ErrorMsgs!$C337)</f>
        <v>0</v>
      </c>
      <c r="M337" s="714" t="b">
        <f ca="1">IF(AND('Start here'!$C$24=RefData!$B$4,'Discount rates'!$C$7=RefData!$B$8,'Other assumptions'!$C$10=RefData!$B$50,$E337=""),ErrorMsgs!$D337)</f>
        <v>0</v>
      </c>
      <c r="N337" s="714" t="b">
        <f ca="1">IF(AND('Start here'!$C$24=RefData!$B$4,'Discount rates'!$C$7=RefData!$B$8,'Other assumptions'!$C$10=RefData!$B$51,$E337&lt;&gt;""),ErrorMsgs!$E337)</f>
        <v>0</v>
      </c>
      <c r="O337" s="712" t="b">
        <f ca="1">IF(AND('Start here'!$C$24=RefData!$B$4,'Discount rates'!$C$7=RefData!$B$7,'Reconciliation report'!$E337&lt;&gt;""),ErrorMsgs!$F337)</f>
        <v>0</v>
      </c>
      <c r="P337" s="712" t="b">
        <f ca="1">IF($E337&lt;0,ErrorMsgs!$G337)</f>
        <v>0</v>
      </c>
      <c r="Q337" s="712" t="b">
        <f ca="1">IF($E337="",FALSE,IF($E337&gt;0.25,ErrorMsgs!$H337))</f>
        <v>0</v>
      </c>
      <c r="R337" s="712"/>
      <c r="S337" s="712"/>
      <c r="T337" s="712"/>
      <c r="U337" s="526" t="str">
        <f t="shared" ca="1" si="45"/>
        <v/>
      </c>
      <c r="V337" s="93" t="str" cm="1">
        <f t="array" aca="1" ref="V337" ca="1">CELL("format",INDIRECT(I337))</f>
        <v>P4</v>
      </c>
      <c r="W337" s="93" t="b">
        <f t="shared" ca="1" si="46"/>
        <v>0</v>
      </c>
      <c r="X337" s="715" t="str">
        <f t="shared" ca="1" si="44"/>
        <v/>
      </c>
      <c r="Y337" t="b">
        <f t="shared" ca="1" si="47"/>
        <v>1</v>
      </c>
    </row>
    <row r="338" spans="1:25" ht="63" customHeight="1">
      <c r="A338" s="705" t="s">
        <v>3344</v>
      </c>
      <c r="B338" s="716" t="str">
        <f t="shared" ca="1" si="48"/>
        <v>40-year assumptions - H11</v>
      </c>
      <c r="C338" s="707" t="str" cm="1">
        <f t="array" aca="1" ref="C338" ca="1">INDIRECT(LEFT(I338, FIND("!", I338)) &amp; RefData!$C$426 &amp; RIGHT(I338, LEN(I338) - FIND("!", I338) - 1))</f>
        <v>Year 5</v>
      </c>
      <c r="D338" s="92" t="str">
        <f t="shared" ca="1" si="43"/>
        <v/>
      </c>
      <c r="E338" s="708" t="str" cm="1">
        <f t="array" aca="1" ref="E338" ca="1">IF(INDIRECT($I338)= "", "", INDIRECT($I338))</f>
        <v/>
      </c>
      <c r="F338" s="709" t="str" cm="1">
        <f t="array" aca="1" ref="F338" ca="1">INDIRECT(LEFT(I338, FIND("!", I338)) &amp; RefData!$C$427 &amp; RIGHT(I338, LEN(I338) - FIND("!", I338) - 1))</f>
        <v>FYA 5.0</v>
      </c>
      <c r="G338" s="710" t="b">
        <f ca="1">IF(ISNUMBER(SEARCH(RefData!$B$2, $C338)), FALSE, TRUE)</f>
        <v>1</v>
      </c>
      <c r="H338" s="344">
        <f>'40-year assumptions'!H11</f>
        <v>0</v>
      </c>
      <c r="I338" s="712" t="str">
        <f t="shared" ca="1" si="49"/>
        <v>'40-year assumptions'!H11</v>
      </c>
      <c r="J338" s="713" t="b" cm="1">
        <f t="array" aca="1" ref="J338" ca="1">IF(COUNTIF($K338:$T338, "&lt;&gt;FALSE") - COUNTBLANK($K338:$T338) &gt; 0, INDEX($K338:$T338, MATCH(TRUE, $K338:$T338 &lt;&gt; FALSE, 0)))</f>
        <v>0</v>
      </c>
      <c r="K338" s="712" t="b">
        <f ca="1">IF(AND('Start here'!$C$24=RefData!$B$5,'Other assumptions'!$C$10=RefData!$B$50,'Reconciliation report'!$E338=""),ErrorMsgs!$B338)</f>
        <v>0</v>
      </c>
      <c r="L338" s="712" t="b">
        <f ca="1">IF(AND('Start here'!$C$24=RefData!$B$5,'Other assumptions'!$C$10=RefData!$B$51,'Reconciliation report'!$E338&lt;&gt;""),ErrorMsgs!$C338)</f>
        <v>0</v>
      </c>
      <c r="M338" s="714" t="b">
        <f ca="1">IF(AND('Start here'!$C$24=RefData!$B$4,'Discount rates'!$C$7=RefData!$B$8,'Other assumptions'!$C$10=RefData!$B$50,$E338=""),ErrorMsgs!$D338)</f>
        <v>0</v>
      </c>
      <c r="N338" s="714" t="b">
        <f ca="1">IF(AND('Start here'!$C$24=RefData!$B$4,'Discount rates'!$C$7=RefData!$B$8,'Other assumptions'!$C$10=RefData!$B$51,$E338&lt;&gt;""),ErrorMsgs!$E338)</f>
        <v>0</v>
      </c>
      <c r="O338" s="712" t="b">
        <f ca="1">IF(AND('Start here'!$C$24=RefData!$B$4,'Discount rates'!$C$7=RefData!$B$7,'Reconciliation report'!$E338&lt;&gt;""),ErrorMsgs!$F338)</f>
        <v>0</v>
      </c>
      <c r="P338" s="712" t="b">
        <f ca="1">IF($E338&lt;0,ErrorMsgs!$G338)</f>
        <v>0</v>
      </c>
      <c r="Q338" s="712" t="b">
        <f ca="1">IF($E338="",FALSE,IF($E338&gt;0.25,ErrorMsgs!$H338))</f>
        <v>0</v>
      </c>
      <c r="R338" s="712"/>
      <c r="S338" s="712"/>
      <c r="T338" s="712"/>
      <c r="U338" s="526" t="str">
        <f t="shared" ca="1" si="45"/>
        <v/>
      </c>
      <c r="V338" s="93" t="str" cm="1">
        <f t="array" aca="1" ref="V338" ca="1">CELL("format",INDIRECT(I338))</f>
        <v>P4</v>
      </c>
      <c r="W338" s="93" t="b">
        <f t="shared" ca="1" si="46"/>
        <v>0</v>
      </c>
      <c r="X338" s="715" t="str">
        <f t="shared" ca="1" si="44"/>
        <v/>
      </c>
      <c r="Y338" t="b">
        <f t="shared" ca="1" si="47"/>
        <v>1</v>
      </c>
    </row>
    <row r="339" spans="1:25" ht="63" customHeight="1">
      <c r="A339" s="705" t="s">
        <v>3345</v>
      </c>
      <c r="B339" s="716" t="str">
        <f t="shared" ca="1" si="48"/>
        <v>40-year assumptions - H12</v>
      </c>
      <c r="C339" s="707" t="str" cm="1">
        <f t="array" aca="1" ref="C339" ca="1">INDIRECT(LEFT(I339, FIND("!", I339)) &amp; RefData!$C$426 &amp; RIGHT(I339, LEN(I339) - FIND("!", I339) - 1))</f>
        <v>Year 6</v>
      </c>
      <c r="D339" s="92" t="str">
        <f t="shared" ca="1" si="43"/>
        <v/>
      </c>
      <c r="E339" s="708" t="str" cm="1">
        <f t="array" aca="1" ref="E339" ca="1">IF(INDIRECT($I339)= "", "", INDIRECT($I339))</f>
        <v/>
      </c>
      <c r="F339" s="709" t="str" cm="1">
        <f t="array" aca="1" ref="F339" ca="1">INDIRECT(LEFT(I339, FIND("!", I339)) &amp; RefData!$C$427 &amp; RIGHT(I339, LEN(I339) - FIND("!", I339) - 1))</f>
        <v>FYA 6.0</v>
      </c>
      <c r="G339" s="710" t="b">
        <f ca="1">IF(ISNUMBER(SEARCH(RefData!$B$2, $C339)), FALSE, TRUE)</f>
        <v>1</v>
      </c>
      <c r="H339" s="344">
        <f>'40-year assumptions'!H12</f>
        <v>0</v>
      </c>
      <c r="I339" s="712" t="str">
        <f t="shared" ca="1" si="49"/>
        <v>'40-year assumptions'!H12</v>
      </c>
      <c r="J339" s="713" t="b" cm="1">
        <f t="array" aca="1" ref="J339" ca="1">IF(COUNTIF($K339:$T339, "&lt;&gt;FALSE") - COUNTBLANK($K339:$T339) &gt; 0, INDEX($K339:$T339, MATCH(TRUE, $K339:$T339 &lt;&gt; FALSE, 0)))</f>
        <v>0</v>
      </c>
      <c r="K339" s="712" t="b">
        <f ca="1">IF(AND('Start here'!$C$24=RefData!$B$5,'Other assumptions'!$C$10=RefData!$B$50,'Reconciliation report'!$E339=""),ErrorMsgs!$B339)</f>
        <v>0</v>
      </c>
      <c r="L339" s="712" t="b">
        <f ca="1">IF(AND('Start here'!$C$24=RefData!$B$5,'Other assumptions'!$C$10=RefData!$B$51,'Reconciliation report'!$E339&lt;&gt;""),ErrorMsgs!$C339)</f>
        <v>0</v>
      </c>
      <c r="M339" s="714" t="b">
        <f ca="1">IF(AND('Start here'!$C$24=RefData!$B$4,'Discount rates'!$C$7=RefData!$B$8,'Other assumptions'!$C$10=RefData!$B$50,$E339=""),ErrorMsgs!$D339)</f>
        <v>0</v>
      </c>
      <c r="N339" s="714" t="b">
        <f ca="1">IF(AND('Start here'!$C$24=RefData!$B$4,'Discount rates'!$C$7=RefData!$B$8,'Other assumptions'!$C$10=RefData!$B$51,$E339&lt;&gt;""),ErrorMsgs!$E339)</f>
        <v>0</v>
      </c>
      <c r="O339" s="712" t="b">
        <f ca="1">IF(AND('Start here'!$C$24=RefData!$B$4,'Discount rates'!$C$7=RefData!$B$7,'Reconciliation report'!$E339&lt;&gt;""),ErrorMsgs!$F339)</f>
        <v>0</v>
      </c>
      <c r="P339" s="712" t="b">
        <f ca="1">IF($E339&lt;0,ErrorMsgs!$G339)</f>
        <v>0</v>
      </c>
      <c r="Q339" s="712" t="b">
        <f ca="1">IF($E339="",FALSE,IF($E339&gt;0.25,ErrorMsgs!$H339))</f>
        <v>0</v>
      </c>
      <c r="R339" s="712"/>
      <c r="S339" s="712"/>
      <c r="T339" s="712"/>
      <c r="U339" s="526" t="str">
        <f t="shared" ca="1" si="45"/>
        <v/>
      </c>
      <c r="V339" s="93" t="str" cm="1">
        <f t="array" aca="1" ref="V339" ca="1">CELL("format",INDIRECT(I339))</f>
        <v>P4</v>
      </c>
      <c r="W339" s="93" t="b">
        <f t="shared" ca="1" si="46"/>
        <v>0</v>
      </c>
      <c r="X339" s="715" t="str">
        <f t="shared" ca="1" si="44"/>
        <v/>
      </c>
      <c r="Y339" t="b">
        <f t="shared" ca="1" si="47"/>
        <v>1</v>
      </c>
    </row>
    <row r="340" spans="1:25" ht="63" customHeight="1">
      <c r="A340" s="705" t="s">
        <v>3346</v>
      </c>
      <c r="B340" s="716" t="str">
        <f t="shared" ca="1" si="48"/>
        <v>40-year assumptions - H13</v>
      </c>
      <c r="C340" s="707" t="str" cm="1">
        <f t="array" aca="1" ref="C340" ca="1">INDIRECT(LEFT(I340, FIND("!", I340)) &amp; RefData!$C$426 &amp; RIGHT(I340, LEN(I340) - FIND("!", I340) - 1))</f>
        <v>Year 7</v>
      </c>
      <c r="D340" s="92" t="str">
        <f t="shared" ca="1" si="43"/>
        <v/>
      </c>
      <c r="E340" s="708" t="str" cm="1">
        <f t="array" aca="1" ref="E340" ca="1">IF(INDIRECT($I340)= "", "", INDIRECT($I340))</f>
        <v/>
      </c>
      <c r="F340" s="709" t="str" cm="1">
        <f t="array" aca="1" ref="F340" ca="1">INDIRECT(LEFT(I340, FIND("!", I340)) &amp; RefData!$C$427 &amp; RIGHT(I340, LEN(I340) - FIND("!", I340) - 1))</f>
        <v>FYA 7.0</v>
      </c>
      <c r="G340" s="710" t="b">
        <f ca="1">IF(ISNUMBER(SEARCH(RefData!$B$2, $C340)), FALSE, TRUE)</f>
        <v>1</v>
      </c>
      <c r="H340" s="344">
        <f>'40-year assumptions'!H13</f>
        <v>0</v>
      </c>
      <c r="I340" s="712" t="str">
        <f t="shared" ca="1" si="49"/>
        <v>'40-year assumptions'!H13</v>
      </c>
      <c r="J340" s="713" t="b" cm="1">
        <f t="array" aca="1" ref="J340" ca="1">IF(COUNTIF($K340:$T340, "&lt;&gt;FALSE") - COUNTBLANK($K340:$T340) &gt; 0, INDEX($K340:$T340, MATCH(TRUE, $K340:$T340 &lt;&gt; FALSE, 0)))</f>
        <v>0</v>
      </c>
      <c r="K340" s="712" t="b">
        <f ca="1">IF(AND('Start here'!$C$24=RefData!$B$5,'Other assumptions'!$C$10=RefData!$B$50,'Reconciliation report'!$E340=""),ErrorMsgs!$B340)</f>
        <v>0</v>
      </c>
      <c r="L340" s="712" t="b">
        <f ca="1">IF(AND('Start here'!$C$24=RefData!$B$5,'Other assumptions'!$C$10=RefData!$B$51,'Reconciliation report'!$E340&lt;&gt;""),ErrorMsgs!$C340)</f>
        <v>0</v>
      </c>
      <c r="M340" s="714" t="b">
        <f ca="1">IF(AND('Start here'!$C$24=RefData!$B$4,'Discount rates'!$C$7=RefData!$B$8,'Other assumptions'!$C$10=RefData!$B$50,$E340=""),ErrorMsgs!$D340)</f>
        <v>0</v>
      </c>
      <c r="N340" s="714" t="b">
        <f ca="1">IF(AND('Start here'!$C$24=RefData!$B$4,'Discount rates'!$C$7=RefData!$B$8,'Other assumptions'!$C$10=RefData!$B$51,$E340&lt;&gt;""),ErrorMsgs!$E340)</f>
        <v>0</v>
      </c>
      <c r="O340" s="712" t="b">
        <f ca="1">IF(AND('Start here'!$C$24=RefData!$B$4,'Discount rates'!$C$7=RefData!$B$7,'Reconciliation report'!$E340&lt;&gt;""),ErrorMsgs!$F340)</f>
        <v>0</v>
      </c>
      <c r="P340" s="712" t="b">
        <f ca="1">IF($E340&lt;0,ErrorMsgs!$G340)</f>
        <v>0</v>
      </c>
      <c r="Q340" s="712" t="b">
        <f ca="1">IF($E340="",FALSE,IF($E340&gt;0.25,ErrorMsgs!$H340))</f>
        <v>0</v>
      </c>
      <c r="R340" s="712"/>
      <c r="S340" s="712"/>
      <c r="T340" s="712"/>
      <c r="U340" s="526" t="str">
        <f t="shared" ca="1" si="45"/>
        <v/>
      </c>
      <c r="V340" s="93" t="str" cm="1">
        <f t="array" aca="1" ref="V340" ca="1">CELL("format",INDIRECT(I340))</f>
        <v>P4</v>
      </c>
      <c r="W340" s="93" t="b">
        <f t="shared" ca="1" si="46"/>
        <v>0</v>
      </c>
      <c r="X340" s="715" t="str">
        <f t="shared" ca="1" si="44"/>
        <v/>
      </c>
      <c r="Y340" t="b">
        <f t="shared" ca="1" si="47"/>
        <v>1</v>
      </c>
    </row>
    <row r="341" spans="1:25" ht="63" customHeight="1">
      <c r="A341" s="705" t="s">
        <v>3347</v>
      </c>
      <c r="B341" s="716" t="str">
        <f t="shared" ca="1" si="48"/>
        <v>40-year assumptions - H14</v>
      </c>
      <c r="C341" s="707" t="str" cm="1">
        <f t="array" aca="1" ref="C341" ca="1">INDIRECT(LEFT(I341, FIND("!", I341)) &amp; RefData!$C$426 &amp; RIGHT(I341, LEN(I341) - FIND("!", I341) - 1))</f>
        <v>Year 8</v>
      </c>
      <c r="D341" s="92" t="str">
        <f t="shared" ca="1" si="43"/>
        <v/>
      </c>
      <c r="E341" s="708" t="str" cm="1">
        <f t="array" aca="1" ref="E341" ca="1">IF(INDIRECT($I341)= "", "", INDIRECT($I341))</f>
        <v/>
      </c>
      <c r="F341" s="709" t="str" cm="1">
        <f t="array" aca="1" ref="F341" ca="1">INDIRECT(LEFT(I341, FIND("!", I341)) &amp; RefData!$C$427 &amp; RIGHT(I341, LEN(I341) - FIND("!", I341) - 1))</f>
        <v>FYA 8.0</v>
      </c>
      <c r="G341" s="710" t="b">
        <f ca="1">IF(ISNUMBER(SEARCH(RefData!$B$2, $C341)), FALSE, TRUE)</f>
        <v>1</v>
      </c>
      <c r="H341" s="344">
        <f>'40-year assumptions'!H14</f>
        <v>0</v>
      </c>
      <c r="I341" s="712" t="str">
        <f t="shared" ca="1" si="49"/>
        <v>'40-year assumptions'!H14</v>
      </c>
      <c r="J341" s="713" t="b" cm="1">
        <f t="array" aca="1" ref="J341" ca="1">IF(COUNTIF($K341:$T341, "&lt;&gt;FALSE") - COUNTBLANK($K341:$T341) &gt; 0, INDEX($K341:$T341, MATCH(TRUE, $K341:$T341 &lt;&gt; FALSE, 0)))</f>
        <v>0</v>
      </c>
      <c r="K341" s="712" t="b">
        <f ca="1">IF(AND('Start here'!$C$24=RefData!$B$5,'Other assumptions'!$C$10=RefData!$B$50,'Reconciliation report'!$E341=""),ErrorMsgs!$B341)</f>
        <v>0</v>
      </c>
      <c r="L341" s="712" t="b">
        <f ca="1">IF(AND('Start here'!$C$24=RefData!$B$5,'Other assumptions'!$C$10=RefData!$B$51,'Reconciliation report'!$E341&lt;&gt;""),ErrorMsgs!$C341)</f>
        <v>0</v>
      </c>
      <c r="M341" s="714" t="b">
        <f ca="1">IF(AND('Start here'!$C$24=RefData!$B$4,'Discount rates'!$C$7=RefData!$B$8,'Other assumptions'!$C$10=RefData!$B$50,$E341=""),ErrorMsgs!$D341)</f>
        <v>0</v>
      </c>
      <c r="N341" s="714" t="b">
        <f ca="1">IF(AND('Start here'!$C$24=RefData!$B$4,'Discount rates'!$C$7=RefData!$B$8,'Other assumptions'!$C$10=RefData!$B$51,$E341&lt;&gt;""),ErrorMsgs!$E341)</f>
        <v>0</v>
      </c>
      <c r="O341" s="712" t="b">
        <f ca="1">IF(AND('Start here'!$C$24=RefData!$B$4,'Discount rates'!$C$7=RefData!$B$7,'Reconciliation report'!$E341&lt;&gt;""),ErrorMsgs!$F341)</f>
        <v>0</v>
      </c>
      <c r="P341" s="712" t="b">
        <f ca="1">IF($E341&lt;0,ErrorMsgs!$G341)</f>
        <v>0</v>
      </c>
      <c r="Q341" s="712" t="b">
        <f ca="1">IF($E341="",FALSE,IF($E341&gt;0.25,ErrorMsgs!$H341))</f>
        <v>0</v>
      </c>
      <c r="R341" s="712"/>
      <c r="S341" s="712"/>
      <c r="T341" s="712"/>
      <c r="U341" s="526" t="str">
        <f t="shared" ca="1" si="45"/>
        <v/>
      </c>
      <c r="V341" s="93" t="str" cm="1">
        <f t="array" aca="1" ref="V341" ca="1">CELL("format",INDIRECT(I341))</f>
        <v>P4</v>
      </c>
      <c r="W341" s="93" t="b">
        <f t="shared" ca="1" si="46"/>
        <v>0</v>
      </c>
      <c r="X341" s="715" t="str">
        <f t="shared" ca="1" si="44"/>
        <v/>
      </c>
      <c r="Y341" t="b">
        <f t="shared" ca="1" si="47"/>
        <v>1</v>
      </c>
    </row>
    <row r="342" spans="1:25" ht="63" customHeight="1">
      <c r="A342" s="705" t="s">
        <v>3348</v>
      </c>
      <c r="B342" s="716" t="str">
        <f t="shared" ca="1" si="48"/>
        <v>40-year assumptions - H15</v>
      </c>
      <c r="C342" s="707" t="str" cm="1">
        <f t="array" aca="1" ref="C342" ca="1">INDIRECT(LEFT(I342, FIND("!", I342)) &amp; RefData!$C$426 &amp; RIGHT(I342, LEN(I342) - FIND("!", I342) - 1))</f>
        <v>Year 9</v>
      </c>
      <c r="D342" s="92" t="str">
        <f t="shared" ca="1" si="43"/>
        <v/>
      </c>
      <c r="E342" s="708" t="str" cm="1">
        <f t="array" aca="1" ref="E342" ca="1">IF(INDIRECT($I342)= "", "", INDIRECT($I342))</f>
        <v/>
      </c>
      <c r="F342" s="709" t="str" cm="1">
        <f t="array" aca="1" ref="F342" ca="1">INDIRECT(LEFT(I342, FIND("!", I342)) &amp; RefData!$C$427 &amp; RIGHT(I342, LEN(I342) - FIND("!", I342) - 1))</f>
        <v>FYA 9.0</v>
      </c>
      <c r="G342" s="710" t="b">
        <f ca="1">IF(ISNUMBER(SEARCH(RefData!$B$2, $C342)), FALSE, TRUE)</f>
        <v>1</v>
      </c>
      <c r="H342" s="344">
        <f>'40-year assumptions'!H15</f>
        <v>0</v>
      </c>
      <c r="I342" s="712" t="str">
        <f t="shared" ca="1" si="49"/>
        <v>'40-year assumptions'!H15</v>
      </c>
      <c r="J342" s="713" t="b" cm="1">
        <f t="array" aca="1" ref="J342" ca="1">IF(COUNTIF($K342:$T342, "&lt;&gt;FALSE") - COUNTBLANK($K342:$T342) &gt; 0, INDEX($K342:$T342, MATCH(TRUE, $K342:$T342 &lt;&gt; FALSE, 0)))</f>
        <v>0</v>
      </c>
      <c r="K342" s="712" t="b">
        <f ca="1">IF(AND('Start here'!$C$24=RefData!$B$5,'Other assumptions'!$C$10=RefData!$B$50,'Reconciliation report'!$E342=""),ErrorMsgs!$B342)</f>
        <v>0</v>
      </c>
      <c r="L342" s="712" t="b">
        <f ca="1">IF(AND('Start here'!$C$24=RefData!$B$5,'Other assumptions'!$C$10=RefData!$B$51,'Reconciliation report'!$E342&lt;&gt;""),ErrorMsgs!$C342)</f>
        <v>0</v>
      </c>
      <c r="M342" s="714" t="b">
        <f ca="1">IF(AND('Start here'!$C$24=RefData!$B$4,'Discount rates'!$C$7=RefData!$B$8,'Other assumptions'!$C$10=RefData!$B$50,$E342=""),ErrorMsgs!$D342)</f>
        <v>0</v>
      </c>
      <c r="N342" s="714" t="b">
        <f ca="1">IF(AND('Start here'!$C$24=RefData!$B$4,'Discount rates'!$C$7=RefData!$B$8,'Other assumptions'!$C$10=RefData!$B$51,$E342&lt;&gt;""),ErrorMsgs!$E342)</f>
        <v>0</v>
      </c>
      <c r="O342" s="712" t="b">
        <f ca="1">IF(AND('Start here'!$C$24=RefData!$B$4,'Discount rates'!$C$7=RefData!$B$7,'Reconciliation report'!$E342&lt;&gt;""),ErrorMsgs!$F342)</f>
        <v>0</v>
      </c>
      <c r="P342" s="712" t="b">
        <f ca="1">IF($E342&lt;0,ErrorMsgs!$G342)</f>
        <v>0</v>
      </c>
      <c r="Q342" s="712" t="b">
        <f ca="1">IF($E342="",FALSE,IF($E342&gt;0.25,ErrorMsgs!$H342))</f>
        <v>0</v>
      </c>
      <c r="R342" s="712"/>
      <c r="S342" s="712"/>
      <c r="T342" s="712"/>
      <c r="U342" s="526" t="str">
        <f t="shared" ca="1" si="45"/>
        <v/>
      </c>
      <c r="V342" s="93" t="str" cm="1">
        <f t="array" aca="1" ref="V342" ca="1">CELL("format",INDIRECT(I342))</f>
        <v>P4</v>
      </c>
      <c r="W342" s="93" t="b">
        <f t="shared" ca="1" si="46"/>
        <v>0</v>
      </c>
      <c r="X342" s="715" t="str">
        <f t="shared" ca="1" si="44"/>
        <v/>
      </c>
      <c r="Y342" t="b">
        <f t="shared" ca="1" si="47"/>
        <v>1</v>
      </c>
    </row>
    <row r="343" spans="1:25" ht="63" customHeight="1">
      <c r="A343" s="705" t="s">
        <v>3349</v>
      </c>
      <c r="B343" s="716" t="str">
        <f t="shared" ca="1" si="48"/>
        <v>40-year assumptions - H16</v>
      </c>
      <c r="C343" s="707" t="str" cm="1">
        <f t="array" aca="1" ref="C343" ca="1">INDIRECT(LEFT(I343, FIND("!", I343)) &amp; RefData!$C$426 &amp; RIGHT(I343, LEN(I343) - FIND("!", I343) - 1))</f>
        <v>Year 10</v>
      </c>
      <c r="D343" s="92" t="str">
        <f t="shared" ca="1" si="43"/>
        <v/>
      </c>
      <c r="E343" s="708" t="str" cm="1">
        <f t="array" aca="1" ref="E343" ca="1">IF(INDIRECT($I343)= "", "", INDIRECT($I343))</f>
        <v/>
      </c>
      <c r="F343" s="709" t="str" cm="1">
        <f t="array" aca="1" ref="F343" ca="1">INDIRECT(LEFT(I343, FIND("!", I343)) &amp; RefData!$C$427 &amp; RIGHT(I343, LEN(I343) - FIND("!", I343) - 1))</f>
        <v>FYA 10.0</v>
      </c>
      <c r="G343" s="710" t="b">
        <f ca="1">IF(ISNUMBER(SEARCH(RefData!$B$2, $C343)), FALSE, TRUE)</f>
        <v>1</v>
      </c>
      <c r="H343" s="344">
        <f>'40-year assumptions'!H16</f>
        <v>0</v>
      </c>
      <c r="I343" s="712" t="str">
        <f t="shared" ca="1" si="49"/>
        <v>'40-year assumptions'!H16</v>
      </c>
      <c r="J343" s="713" t="b" cm="1">
        <f t="array" aca="1" ref="J343" ca="1">IF(COUNTIF($K343:$T343, "&lt;&gt;FALSE") - COUNTBLANK($K343:$T343) &gt; 0, INDEX($K343:$T343, MATCH(TRUE, $K343:$T343 &lt;&gt; FALSE, 0)))</f>
        <v>0</v>
      </c>
      <c r="K343" s="712" t="b">
        <f ca="1">IF(AND('Start here'!$C$24=RefData!$B$5,'Other assumptions'!$C$10=RefData!$B$50,'Reconciliation report'!$E343=""),ErrorMsgs!$B343)</f>
        <v>0</v>
      </c>
      <c r="L343" s="712" t="b">
        <f ca="1">IF(AND('Start here'!$C$24=RefData!$B$5,'Other assumptions'!$C$10=RefData!$B$51,'Reconciliation report'!$E343&lt;&gt;""),ErrorMsgs!$C343)</f>
        <v>0</v>
      </c>
      <c r="M343" s="714" t="b">
        <f ca="1">IF(AND('Start here'!$C$24=RefData!$B$4,'Discount rates'!$C$7=RefData!$B$8,'Other assumptions'!$C$10=RefData!$B$50,$E343=""),ErrorMsgs!$D343)</f>
        <v>0</v>
      </c>
      <c r="N343" s="714" t="b">
        <f ca="1">IF(AND('Start here'!$C$24=RefData!$B$4,'Discount rates'!$C$7=RefData!$B$8,'Other assumptions'!$C$10=RefData!$B$51,$E343&lt;&gt;""),ErrorMsgs!$E343)</f>
        <v>0</v>
      </c>
      <c r="O343" s="712" t="b">
        <f ca="1">IF(AND('Start here'!$C$24=RefData!$B$4,'Discount rates'!$C$7=RefData!$B$7,'Reconciliation report'!$E343&lt;&gt;""),ErrorMsgs!$F343)</f>
        <v>0</v>
      </c>
      <c r="P343" s="712" t="b">
        <f ca="1">IF($E343&lt;0,ErrorMsgs!$G343)</f>
        <v>0</v>
      </c>
      <c r="Q343" s="712" t="b">
        <f ca="1">IF($E343="",FALSE,IF($E343&gt;0.25,ErrorMsgs!$H343))</f>
        <v>0</v>
      </c>
      <c r="R343" s="712"/>
      <c r="S343" s="712"/>
      <c r="T343" s="712"/>
      <c r="U343" s="526" t="str">
        <f t="shared" ca="1" si="45"/>
        <v/>
      </c>
      <c r="V343" s="93" t="str" cm="1">
        <f t="array" aca="1" ref="V343" ca="1">CELL("format",INDIRECT(I343))</f>
        <v>P4</v>
      </c>
      <c r="W343" s="93" t="b">
        <f t="shared" ca="1" si="46"/>
        <v>0</v>
      </c>
      <c r="X343" s="715" t="str">
        <f t="shared" ca="1" si="44"/>
        <v/>
      </c>
      <c r="Y343" t="b">
        <f t="shared" ca="1" si="47"/>
        <v>1</v>
      </c>
    </row>
    <row r="344" spans="1:25" ht="63" customHeight="1">
      <c r="A344" s="705" t="s">
        <v>3350</v>
      </c>
      <c r="B344" s="716" t="str">
        <f t="shared" ca="1" si="48"/>
        <v>40-year assumptions - H17</v>
      </c>
      <c r="C344" s="707" t="str" cm="1">
        <f t="array" aca="1" ref="C344" ca="1">INDIRECT(LEFT(I344, FIND("!", I344)) &amp; RefData!$C$426 &amp; RIGHT(I344, LEN(I344) - FIND("!", I344) - 1))</f>
        <v>Year 11</v>
      </c>
      <c r="D344" s="92" t="str">
        <f t="shared" ca="1" si="43"/>
        <v/>
      </c>
      <c r="E344" s="708" t="str" cm="1">
        <f t="array" aca="1" ref="E344" ca="1">IF(INDIRECT($I344)= "", "", INDIRECT($I344))</f>
        <v/>
      </c>
      <c r="F344" s="709" t="str" cm="1">
        <f t="array" aca="1" ref="F344" ca="1">INDIRECT(LEFT(I344, FIND("!", I344)) &amp; RefData!$C$427 &amp; RIGHT(I344, LEN(I344) - FIND("!", I344) - 1))</f>
        <v>FYA 11.0</v>
      </c>
      <c r="G344" s="710" t="b">
        <f ca="1">IF(ISNUMBER(SEARCH(RefData!$B$2, $C344)), FALSE, TRUE)</f>
        <v>1</v>
      </c>
      <c r="H344" s="344">
        <f>'40-year assumptions'!H17</f>
        <v>0</v>
      </c>
      <c r="I344" s="712" t="str">
        <f t="shared" ca="1" si="49"/>
        <v>'40-year assumptions'!H17</v>
      </c>
      <c r="J344" s="713" t="b" cm="1">
        <f t="array" aca="1" ref="J344" ca="1">IF(COUNTIF($K344:$T344, "&lt;&gt;FALSE") - COUNTBLANK($K344:$T344) &gt; 0, INDEX($K344:$T344, MATCH(TRUE, $K344:$T344 &lt;&gt; FALSE, 0)))</f>
        <v>0</v>
      </c>
      <c r="K344" s="712" t="b">
        <f ca="1">IF(AND('Start here'!$C$24=RefData!$B$5,'Other assumptions'!$C$10=RefData!$B$50,'Reconciliation report'!$E344=""),ErrorMsgs!$B344)</f>
        <v>0</v>
      </c>
      <c r="L344" s="712" t="b">
        <f ca="1">IF(AND('Start here'!$C$24=RefData!$B$5,'Other assumptions'!$C$10=RefData!$B$51,'Reconciliation report'!$E344&lt;&gt;""),ErrorMsgs!$C344)</f>
        <v>0</v>
      </c>
      <c r="M344" s="714" t="b">
        <f ca="1">IF(AND('Start here'!$C$24=RefData!$B$4,'Discount rates'!$C$7=RefData!$B$8,'Other assumptions'!$C$10=RefData!$B$50,$E344=""),ErrorMsgs!$D344)</f>
        <v>0</v>
      </c>
      <c r="N344" s="714" t="b">
        <f ca="1">IF(AND('Start here'!$C$24=RefData!$B$4,'Discount rates'!$C$7=RefData!$B$8,'Other assumptions'!$C$10=RefData!$B$51,$E344&lt;&gt;""),ErrorMsgs!$E344)</f>
        <v>0</v>
      </c>
      <c r="O344" s="712" t="b">
        <f ca="1">IF(AND('Start here'!$C$24=RefData!$B$4,'Discount rates'!$C$7=RefData!$B$7,'Reconciliation report'!$E344&lt;&gt;""),ErrorMsgs!$F344)</f>
        <v>0</v>
      </c>
      <c r="P344" s="712" t="b">
        <f ca="1">IF($E344&lt;0,ErrorMsgs!$G344)</f>
        <v>0</v>
      </c>
      <c r="Q344" s="712" t="b">
        <f ca="1">IF($E344="",FALSE,IF($E344&gt;0.25,ErrorMsgs!$H344))</f>
        <v>0</v>
      </c>
      <c r="R344" s="712"/>
      <c r="S344" s="712"/>
      <c r="T344" s="712"/>
      <c r="U344" s="526" t="str">
        <f t="shared" ca="1" si="45"/>
        <v/>
      </c>
      <c r="V344" s="93" t="str" cm="1">
        <f t="array" aca="1" ref="V344" ca="1">CELL("format",INDIRECT(I344))</f>
        <v>P4</v>
      </c>
      <c r="W344" s="93" t="b">
        <f t="shared" ca="1" si="46"/>
        <v>0</v>
      </c>
      <c r="X344" s="715" t="str">
        <f t="shared" ca="1" si="44"/>
        <v/>
      </c>
      <c r="Y344" t="b">
        <f t="shared" ca="1" si="47"/>
        <v>1</v>
      </c>
    </row>
    <row r="345" spans="1:25" ht="63" customHeight="1">
      <c r="A345" s="705" t="s">
        <v>3351</v>
      </c>
      <c r="B345" s="716" t="str">
        <f t="shared" ca="1" si="48"/>
        <v>40-year assumptions - H18</v>
      </c>
      <c r="C345" s="707" t="str" cm="1">
        <f t="array" aca="1" ref="C345" ca="1">INDIRECT(LEFT(I345, FIND("!", I345)) &amp; RefData!$C$426 &amp; RIGHT(I345, LEN(I345) - FIND("!", I345) - 1))</f>
        <v>Year 12</v>
      </c>
      <c r="D345" s="92" t="str">
        <f t="shared" ca="1" si="43"/>
        <v/>
      </c>
      <c r="E345" s="708" t="str" cm="1">
        <f t="array" aca="1" ref="E345" ca="1">IF(INDIRECT($I345)= "", "", INDIRECT($I345))</f>
        <v/>
      </c>
      <c r="F345" s="709" t="str" cm="1">
        <f t="array" aca="1" ref="F345" ca="1">INDIRECT(LEFT(I345, FIND("!", I345)) &amp; RefData!$C$427 &amp; RIGHT(I345, LEN(I345) - FIND("!", I345) - 1))</f>
        <v>FYA 12.0</v>
      </c>
      <c r="G345" s="710" t="b">
        <f ca="1">IF(ISNUMBER(SEARCH(RefData!$B$2, $C345)), FALSE, TRUE)</f>
        <v>1</v>
      </c>
      <c r="H345" s="344">
        <f>'40-year assumptions'!H18</f>
        <v>0</v>
      </c>
      <c r="I345" s="712" t="str">
        <f t="shared" ca="1" si="49"/>
        <v>'40-year assumptions'!H18</v>
      </c>
      <c r="J345" s="713" t="b" cm="1">
        <f t="array" aca="1" ref="J345" ca="1">IF(COUNTIF($K345:$T345, "&lt;&gt;FALSE") - COUNTBLANK($K345:$T345) &gt; 0, INDEX($K345:$T345, MATCH(TRUE, $K345:$T345 &lt;&gt; FALSE, 0)))</f>
        <v>0</v>
      </c>
      <c r="K345" s="712" t="b">
        <f ca="1">IF(AND('Start here'!$C$24=RefData!$B$5,'Other assumptions'!$C$10=RefData!$B$50,'Reconciliation report'!$E345=""),ErrorMsgs!$B345)</f>
        <v>0</v>
      </c>
      <c r="L345" s="712" t="b">
        <f ca="1">IF(AND('Start here'!$C$24=RefData!$B$5,'Other assumptions'!$C$10=RefData!$B$51,'Reconciliation report'!$E345&lt;&gt;""),ErrorMsgs!$C345)</f>
        <v>0</v>
      </c>
      <c r="M345" s="714" t="b">
        <f ca="1">IF(AND('Start here'!$C$24=RefData!$B$4,'Discount rates'!$C$7=RefData!$B$8,'Other assumptions'!$C$10=RefData!$B$50,$E345=""),ErrorMsgs!$D345)</f>
        <v>0</v>
      </c>
      <c r="N345" s="714" t="b">
        <f ca="1">IF(AND('Start here'!$C$24=RefData!$B$4,'Discount rates'!$C$7=RefData!$B$8,'Other assumptions'!$C$10=RefData!$B$51,$E345&lt;&gt;""),ErrorMsgs!$E345)</f>
        <v>0</v>
      </c>
      <c r="O345" s="712" t="b">
        <f ca="1">IF(AND('Start here'!$C$24=RefData!$B$4,'Discount rates'!$C$7=RefData!$B$7,'Reconciliation report'!$E345&lt;&gt;""),ErrorMsgs!$F345)</f>
        <v>0</v>
      </c>
      <c r="P345" s="712" t="b">
        <f ca="1">IF($E345&lt;0,ErrorMsgs!$G345)</f>
        <v>0</v>
      </c>
      <c r="Q345" s="712" t="b">
        <f ca="1">IF($E345="",FALSE,IF($E345&gt;0.25,ErrorMsgs!$H345))</f>
        <v>0</v>
      </c>
      <c r="R345" s="712"/>
      <c r="S345" s="712"/>
      <c r="T345" s="712"/>
      <c r="U345" s="526" t="str">
        <f t="shared" ca="1" si="45"/>
        <v/>
      </c>
      <c r="V345" s="93" t="str" cm="1">
        <f t="array" aca="1" ref="V345" ca="1">CELL("format",INDIRECT(I345))</f>
        <v>P4</v>
      </c>
      <c r="W345" s="93" t="b">
        <f t="shared" ca="1" si="46"/>
        <v>0</v>
      </c>
      <c r="X345" s="715" t="str">
        <f t="shared" ca="1" si="44"/>
        <v/>
      </c>
      <c r="Y345" t="b">
        <f t="shared" ca="1" si="47"/>
        <v>1</v>
      </c>
    </row>
    <row r="346" spans="1:25" ht="63" customHeight="1">
      <c r="A346" s="705" t="s">
        <v>3352</v>
      </c>
      <c r="B346" s="716" t="str">
        <f t="shared" ca="1" si="48"/>
        <v>40-year assumptions - H19</v>
      </c>
      <c r="C346" s="707" t="str" cm="1">
        <f t="array" aca="1" ref="C346" ca="1">INDIRECT(LEFT(I346, FIND("!", I346)) &amp; RefData!$C$426 &amp; RIGHT(I346, LEN(I346) - FIND("!", I346) - 1))</f>
        <v>Year 13</v>
      </c>
      <c r="D346" s="92" t="str">
        <f t="shared" ca="1" si="43"/>
        <v/>
      </c>
      <c r="E346" s="708" t="str" cm="1">
        <f t="array" aca="1" ref="E346" ca="1">IF(INDIRECT($I346)= "", "", INDIRECT($I346))</f>
        <v/>
      </c>
      <c r="F346" s="709" t="str" cm="1">
        <f t="array" aca="1" ref="F346" ca="1">INDIRECT(LEFT(I346, FIND("!", I346)) &amp; RefData!$C$427 &amp; RIGHT(I346, LEN(I346) - FIND("!", I346) - 1))</f>
        <v>FYA 13.0</v>
      </c>
      <c r="G346" s="710" t="b">
        <f ca="1">IF(ISNUMBER(SEARCH(RefData!$B$2, $C346)), FALSE, TRUE)</f>
        <v>1</v>
      </c>
      <c r="H346" s="344">
        <f>'40-year assumptions'!H19</f>
        <v>0</v>
      </c>
      <c r="I346" s="712" t="str">
        <f t="shared" ca="1" si="49"/>
        <v>'40-year assumptions'!H19</v>
      </c>
      <c r="J346" s="713" t="b" cm="1">
        <f t="array" aca="1" ref="J346" ca="1">IF(COUNTIF($K346:$T346, "&lt;&gt;FALSE") - COUNTBLANK($K346:$T346) &gt; 0, INDEX($K346:$T346, MATCH(TRUE, $K346:$T346 &lt;&gt; FALSE, 0)))</f>
        <v>0</v>
      </c>
      <c r="K346" s="712" t="b">
        <f ca="1">IF(AND('Start here'!$C$24=RefData!$B$5,'Other assumptions'!$C$10=RefData!$B$50,'Reconciliation report'!$E346=""),ErrorMsgs!$B346)</f>
        <v>0</v>
      </c>
      <c r="L346" s="712" t="b">
        <f ca="1">IF(AND('Start here'!$C$24=RefData!$B$5,'Other assumptions'!$C$10=RefData!$B$51,'Reconciliation report'!$E346&lt;&gt;""),ErrorMsgs!$C346)</f>
        <v>0</v>
      </c>
      <c r="M346" s="714" t="b">
        <f ca="1">IF(AND('Start here'!$C$24=RefData!$B$4,'Discount rates'!$C$7=RefData!$B$8,'Other assumptions'!$C$10=RefData!$B$50,$E346=""),ErrorMsgs!$D346)</f>
        <v>0</v>
      </c>
      <c r="N346" s="714" t="b">
        <f ca="1">IF(AND('Start here'!$C$24=RefData!$B$4,'Discount rates'!$C$7=RefData!$B$8,'Other assumptions'!$C$10=RefData!$B$51,$E346&lt;&gt;""),ErrorMsgs!$E346)</f>
        <v>0</v>
      </c>
      <c r="O346" s="712" t="b">
        <f ca="1">IF(AND('Start here'!$C$24=RefData!$B$4,'Discount rates'!$C$7=RefData!$B$7,'Reconciliation report'!$E346&lt;&gt;""),ErrorMsgs!$F346)</f>
        <v>0</v>
      </c>
      <c r="P346" s="712" t="b">
        <f ca="1">IF($E346&lt;0,ErrorMsgs!$G346)</f>
        <v>0</v>
      </c>
      <c r="Q346" s="712" t="b">
        <f ca="1">IF($E346="",FALSE,IF($E346&gt;0.25,ErrorMsgs!$H346))</f>
        <v>0</v>
      </c>
      <c r="R346" s="712"/>
      <c r="S346" s="712"/>
      <c r="T346" s="712"/>
      <c r="U346" s="526" t="str">
        <f t="shared" ca="1" si="45"/>
        <v/>
      </c>
      <c r="V346" s="93" t="str" cm="1">
        <f t="array" aca="1" ref="V346" ca="1">CELL("format",INDIRECT(I346))</f>
        <v>P4</v>
      </c>
      <c r="W346" s="93" t="b">
        <f t="shared" ca="1" si="46"/>
        <v>0</v>
      </c>
      <c r="X346" s="715" t="str">
        <f t="shared" ca="1" si="44"/>
        <v/>
      </c>
      <c r="Y346" t="b">
        <f t="shared" ca="1" si="47"/>
        <v>1</v>
      </c>
    </row>
    <row r="347" spans="1:25" ht="63" customHeight="1">
      <c r="A347" s="705" t="s">
        <v>3353</v>
      </c>
      <c r="B347" s="716" t="str">
        <f t="shared" ca="1" si="48"/>
        <v>40-year assumptions - H20</v>
      </c>
      <c r="C347" s="707" t="str" cm="1">
        <f t="array" aca="1" ref="C347" ca="1">INDIRECT(LEFT(I347, FIND("!", I347)) &amp; RefData!$C$426 &amp; RIGHT(I347, LEN(I347) - FIND("!", I347) - 1))</f>
        <v>Year 14</v>
      </c>
      <c r="D347" s="92" t="str">
        <f t="shared" ca="1" si="43"/>
        <v/>
      </c>
      <c r="E347" s="708" t="str" cm="1">
        <f t="array" aca="1" ref="E347" ca="1">IF(INDIRECT($I347)= "", "", INDIRECT($I347))</f>
        <v/>
      </c>
      <c r="F347" s="709" t="str" cm="1">
        <f t="array" aca="1" ref="F347" ca="1">INDIRECT(LEFT(I347, FIND("!", I347)) &amp; RefData!$C$427 &amp; RIGHT(I347, LEN(I347) - FIND("!", I347) - 1))</f>
        <v>FYA 14.0</v>
      </c>
      <c r="G347" s="710" t="b">
        <f ca="1">IF(ISNUMBER(SEARCH(RefData!$B$2, $C347)), FALSE, TRUE)</f>
        <v>1</v>
      </c>
      <c r="H347" s="344">
        <f>'40-year assumptions'!H20</f>
        <v>0</v>
      </c>
      <c r="I347" s="712" t="str">
        <f t="shared" ca="1" si="49"/>
        <v>'40-year assumptions'!H20</v>
      </c>
      <c r="J347" s="713" t="b" cm="1">
        <f t="array" aca="1" ref="J347" ca="1">IF(COUNTIF($K347:$T347, "&lt;&gt;FALSE") - COUNTBLANK($K347:$T347) &gt; 0, INDEX($K347:$T347, MATCH(TRUE, $K347:$T347 &lt;&gt; FALSE, 0)))</f>
        <v>0</v>
      </c>
      <c r="K347" s="712" t="b">
        <f ca="1">IF(AND('Start here'!$C$24=RefData!$B$5,'Other assumptions'!$C$10=RefData!$B$50,'Reconciliation report'!$E347=""),ErrorMsgs!$B347)</f>
        <v>0</v>
      </c>
      <c r="L347" s="712" t="b">
        <f ca="1">IF(AND('Start here'!$C$24=RefData!$B$5,'Other assumptions'!$C$10=RefData!$B$51,'Reconciliation report'!$E347&lt;&gt;""),ErrorMsgs!$C347)</f>
        <v>0</v>
      </c>
      <c r="M347" s="714" t="b">
        <f ca="1">IF(AND('Start here'!$C$24=RefData!$B$4,'Discount rates'!$C$7=RefData!$B$8,'Other assumptions'!$C$10=RefData!$B$50,$E347=""),ErrorMsgs!$D347)</f>
        <v>0</v>
      </c>
      <c r="N347" s="714" t="b">
        <f ca="1">IF(AND('Start here'!$C$24=RefData!$B$4,'Discount rates'!$C$7=RefData!$B$8,'Other assumptions'!$C$10=RefData!$B$51,$E347&lt;&gt;""),ErrorMsgs!$E347)</f>
        <v>0</v>
      </c>
      <c r="O347" s="712" t="b">
        <f ca="1">IF(AND('Start here'!$C$24=RefData!$B$4,'Discount rates'!$C$7=RefData!$B$7,'Reconciliation report'!$E347&lt;&gt;""),ErrorMsgs!$F347)</f>
        <v>0</v>
      </c>
      <c r="P347" s="712" t="b">
        <f ca="1">IF($E347&lt;0,ErrorMsgs!$G347)</f>
        <v>0</v>
      </c>
      <c r="Q347" s="712" t="b">
        <f ca="1">IF($E347="",FALSE,IF($E347&gt;0.25,ErrorMsgs!$H347))</f>
        <v>0</v>
      </c>
      <c r="R347" s="712"/>
      <c r="S347" s="712"/>
      <c r="T347" s="712"/>
      <c r="U347" s="526" t="str">
        <f t="shared" ca="1" si="45"/>
        <v/>
      </c>
      <c r="V347" s="93" t="str" cm="1">
        <f t="array" aca="1" ref="V347" ca="1">CELL("format",INDIRECT(I347))</f>
        <v>P4</v>
      </c>
      <c r="W347" s="93" t="b">
        <f t="shared" ca="1" si="46"/>
        <v>0</v>
      </c>
      <c r="X347" s="715" t="str">
        <f t="shared" ca="1" si="44"/>
        <v/>
      </c>
      <c r="Y347" t="b">
        <f t="shared" ca="1" si="47"/>
        <v>1</v>
      </c>
    </row>
    <row r="348" spans="1:25" ht="63" customHeight="1">
      <c r="A348" s="705" t="s">
        <v>3354</v>
      </c>
      <c r="B348" s="716" t="str">
        <f t="shared" ca="1" si="48"/>
        <v>40-year assumptions - H21</v>
      </c>
      <c r="C348" s="707" t="str" cm="1">
        <f t="array" aca="1" ref="C348" ca="1">INDIRECT(LEFT(I348, FIND("!", I348)) &amp; RefData!$C$426 &amp; RIGHT(I348, LEN(I348) - FIND("!", I348) - 1))</f>
        <v>Year 15</v>
      </c>
      <c r="D348" s="92" t="str">
        <f t="shared" ca="1" si="43"/>
        <v/>
      </c>
      <c r="E348" s="708" t="str" cm="1">
        <f t="array" aca="1" ref="E348" ca="1">IF(INDIRECT($I348)= "", "", INDIRECT($I348))</f>
        <v/>
      </c>
      <c r="F348" s="709" t="str" cm="1">
        <f t="array" aca="1" ref="F348" ca="1">INDIRECT(LEFT(I348, FIND("!", I348)) &amp; RefData!$C$427 &amp; RIGHT(I348, LEN(I348) - FIND("!", I348) - 1))</f>
        <v>FYA 15.0</v>
      </c>
      <c r="G348" s="710" t="b">
        <f ca="1">IF(ISNUMBER(SEARCH(RefData!$B$2, $C348)), FALSE, TRUE)</f>
        <v>1</v>
      </c>
      <c r="H348" s="344">
        <f>'40-year assumptions'!H21</f>
        <v>0</v>
      </c>
      <c r="I348" s="712" t="str">
        <f t="shared" ca="1" si="49"/>
        <v>'40-year assumptions'!H21</v>
      </c>
      <c r="J348" s="713" t="b" cm="1">
        <f t="array" aca="1" ref="J348" ca="1">IF(COUNTIF($K348:$T348, "&lt;&gt;FALSE") - COUNTBLANK($K348:$T348) &gt; 0, INDEX($K348:$T348, MATCH(TRUE, $K348:$T348 &lt;&gt; FALSE, 0)))</f>
        <v>0</v>
      </c>
      <c r="K348" s="712" t="b">
        <f ca="1">IF(AND('Start here'!$C$24=RefData!$B$5,'Other assumptions'!$C$10=RefData!$B$50,'Reconciliation report'!$E348=""),ErrorMsgs!$B348)</f>
        <v>0</v>
      </c>
      <c r="L348" s="712" t="b">
        <f ca="1">IF(AND('Start here'!$C$24=RefData!$B$5,'Other assumptions'!$C$10=RefData!$B$51,'Reconciliation report'!$E348&lt;&gt;""),ErrorMsgs!$C348)</f>
        <v>0</v>
      </c>
      <c r="M348" s="714" t="b">
        <f ca="1">IF(AND('Start here'!$C$24=RefData!$B$4,'Discount rates'!$C$7=RefData!$B$8,'Other assumptions'!$C$10=RefData!$B$50,$E348=""),ErrorMsgs!$D348)</f>
        <v>0</v>
      </c>
      <c r="N348" s="714" t="b">
        <f ca="1">IF(AND('Start here'!$C$24=RefData!$B$4,'Discount rates'!$C$7=RefData!$B$8,'Other assumptions'!$C$10=RefData!$B$51,$E348&lt;&gt;""),ErrorMsgs!$E348)</f>
        <v>0</v>
      </c>
      <c r="O348" s="712" t="b">
        <f ca="1">IF(AND('Start here'!$C$24=RefData!$B$4,'Discount rates'!$C$7=RefData!$B$7,'Reconciliation report'!$E348&lt;&gt;""),ErrorMsgs!$F348)</f>
        <v>0</v>
      </c>
      <c r="P348" s="712" t="b">
        <f ca="1">IF($E348&lt;0,ErrorMsgs!$G348)</f>
        <v>0</v>
      </c>
      <c r="Q348" s="712" t="b">
        <f ca="1">IF($E348="",FALSE,IF($E348&gt;0.25,ErrorMsgs!$H348))</f>
        <v>0</v>
      </c>
      <c r="R348" s="712"/>
      <c r="S348" s="712"/>
      <c r="T348" s="712"/>
      <c r="U348" s="526" t="str">
        <f t="shared" ca="1" si="45"/>
        <v/>
      </c>
      <c r="V348" s="93" t="str" cm="1">
        <f t="array" aca="1" ref="V348" ca="1">CELL("format",INDIRECT(I348))</f>
        <v>P4</v>
      </c>
      <c r="W348" s="93" t="b">
        <f t="shared" ca="1" si="46"/>
        <v>0</v>
      </c>
      <c r="X348" s="715" t="str">
        <f t="shared" ca="1" si="44"/>
        <v/>
      </c>
      <c r="Y348" t="b">
        <f t="shared" ca="1" si="47"/>
        <v>1</v>
      </c>
    </row>
    <row r="349" spans="1:25" ht="63" customHeight="1">
      <c r="A349" s="705" t="s">
        <v>3355</v>
      </c>
      <c r="B349" s="716" t="str">
        <f t="shared" ca="1" si="48"/>
        <v>40-year assumptions - H22</v>
      </c>
      <c r="C349" s="707" t="str" cm="1">
        <f t="array" aca="1" ref="C349" ca="1">INDIRECT(LEFT(I349, FIND("!", I349)) &amp; RefData!$C$426 &amp; RIGHT(I349, LEN(I349) - FIND("!", I349) - 1))</f>
        <v>Year 16</v>
      </c>
      <c r="D349" s="92" t="str">
        <f t="shared" ca="1" si="43"/>
        <v/>
      </c>
      <c r="E349" s="708" t="str" cm="1">
        <f t="array" aca="1" ref="E349" ca="1">IF(INDIRECT($I349)= "", "", INDIRECT($I349))</f>
        <v/>
      </c>
      <c r="F349" s="709" t="str" cm="1">
        <f t="array" aca="1" ref="F349" ca="1">INDIRECT(LEFT(I349, FIND("!", I349)) &amp; RefData!$C$427 &amp; RIGHT(I349, LEN(I349) - FIND("!", I349) - 1))</f>
        <v>FYA 16.0</v>
      </c>
      <c r="G349" s="710" t="b">
        <f ca="1">IF(ISNUMBER(SEARCH(RefData!$B$2, $C349)), FALSE, TRUE)</f>
        <v>1</v>
      </c>
      <c r="H349" s="344">
        <f>'40-year assumptions'!H22</f>
        <v>0</v>
      </c>
      <c r="I349" s="712" t="str">
        <f t="shared" ca="1" si="49"/>
        <v>'40-year assumptions'!H22</v>
      </c>
      <c r="J349" s="713" t="b" cm="1">
        <f t="array" aca="1" ref="J349" ca="1">IF(COUNTIF($K349:$T349, "&lt;&gt;FALSE") - COUNTBLANK($K349:$T349) &gt; 0, INDEX($K349:$T349, MATCH(TRUE, $K349:$T349 &lt;&gt; FALSE, 0)))</f>
        <v>0</v>
      </c>
      <c r="K349" s="712" t="b">
        <f ca="1">IF(AND('Start here'!$C$24=RefData!$B$5,'Other assumptions'!$C$10=RefData!$B$50,'Reconciliation report'!$E349=""),ErrorMsgs!$B349)</f>
        <v>0</v>
      </c>
      <c r="L349" s="712" t="b">
        <f ca="1">IF(AND('Start here'!$C$24=RefData!$B$5,'Other assumptions'!$C$10=RefData!$B$51,'Reconciliation report'!$E349&lt;&gt;""),ErrorMsgs!$C349)</f>
        <v>0</v>
      </c>
      <c r="M349" s="714" t="b">
        <f ca="1">IF(AND('Start here'!$C$24=RefData!$B$4,'Discount rates'!$C$7=RefData!$B$8,'Other assumptions'!$C$10=RefData!$B$50,$E349=""),ErrorMsgs!$D349)</f>
        <v>0</v>
      </c>
      <c r="N349" s="714" t="b">
        <f ca="1">IF(AND('Start here'!$C$24=RefData!$B$4,'Discount rates'!$C$7=RefData!$B$8,'Other assumptions'!$C$10=RefData!$B$51,$E349&lt;&gt;""),ErrorMsgs!$E349)</f>
        <v>0</v>
      </c>
      <c r="O349" s="712" t="b">
        <f ca="1">IF(AND('Start here'!$C$24=RefData!$B$4,'Discount rates'!$C$7=RefData!$B$7,'Reconciliation report'!$E349&lt;&gt;""),ErrorMsgs!$F349)</f>
        <v>0</v>
      </c>
      <c r="P349" s="712" t="b">
        <f ca="1">IF($E349&lt;0,ErrorMsgs!$G349)</f>
        <v>0</v>
      </c>
      <c r="Q349" s="712" t="b">
        <f ca="1">IF($E349="",FALSE,IF($E349&gt;0.25,ErrorMsgs!$H349))</f>
        <v>0</v>
      </c>
      <c r="R349" s="712"/>
      <c r="S349" s="712"/>
      <c r="T349" s="712"/>
      <c r="U349" s="526" t="str">
        <f t="shared" ca="1" si="45"/>
        <v/>
      </c>
      <c r="V349" s="93" t="str" cm="1">
        <f t="array" aca="1" ref="V349" ca="1">CELL("format",INDIRECT(I349))</f>
        <v>P4</v>
      </c>
      <c r="W349" s="93" t="b">
        <f t="shared" ca="1" si="46"/>
        <v>0</v>
      </c>
      <c r="X349" s="715" t="str">
        <f t="shared" ca="1" si="44"/>
        <v/>
      </c>
      <c r="Y349" t="b">
        <f t="shared" ca="1" si="47"/>
        <v>1</v>
      </c>
    </row>
    <row r="350" spans="1:25" ht="63" customHeight="1">
      <c r="A350" s="705" t="s">
        <v>3356</v>
      </c>
      <c r="B350" s="716" t="str">
        <f t="shared" ca="1" si="48"/>
        <v>40-year assumptions - H23</v>
      </c>
      <c r="C350" s="707" t="str" cm="1">
        <f t="array" aca="1" ref="C350" ca="1">INDIRECT(LEFT(I350, FIND("!", I350)) &amp; RefData!$C$426 &amp; RIGHT(I350, LEN(I350) - FIND("!", I350) - 1))</f>
        <v>Year 17</v>
      </c>
      <c r="D350" s="92" t="str">
        <f t="shared" ca="1" si="43"/>
        <v/>
      </c>
      <c r="E350" s="708" t="str" cm="1">
        <f t="array" aca="1" ref="E350" ca="1">IF(INDIRECT($I350)= "", "", INDIRECT($I350))</f>
        <v/>
      </c>
      <c r="F350" s="709" t="str" cm="1">
        <f t="array" aca="1" ref="F350" ca="1">INDIRECT(LEFT(I350, FIND("!", I350)) &amp; RefData!$C$427 &amp; RIGHT(I350, LEN(I350) - FIND("!", I350) - 1))</f>
        <v>FYA 17.0</v>
      </c>
      <c r="G350" s="710" t="b">
        <f ca="1">IF(ISNUMBER(SEARCH(RefData!$B$2, $C350)), FALSE, TRUE)</f>
        <v>1</v>
      </c>
      <c r="H350" s="344">
        <f>'40-year assumptions'!H23</f>
        <v>0</v>
      </c>
      <c r="I350" s="712" t="str">
        <f t="shared" ca="1" si="49"/>
        <v>'40-year assumptions'!H23</v>
      </c>
      <c r="J350" s="713" t="b" cm="1">
        <f t="array" aca="1" ref="J350" ca="1">IF(COUNTIF($K350:$T350, "&lt;&gt;FALSE") - COUNTBLANK($K350:$T350) &gt; 0, INDEX($K350:$T350, MATCH(TRUE, $K350:$T350 &lt;&gt; FALSE, 0)))</f>
        <v>0</v>
      </c>
      <c r="K350" s="712" t="b">
        <f ca="1">IF(AND('Start here'!$C$24=RefData!$B$5,'Other assumptions'!$C$10=RefData!$B$50,'Reconciliation report'!$E350=""),ErrorMsgs!$B350)</f>
        <v>0</v>
      </c>
      <c r="L350" s="712" t="b">
        <f ca="1">IF(AND('Start here'!$C$24=RefData!$B$5,'Other assumptions'!$C$10=RefData!$B$51,'Reconciliation report'!$E350&lt;&gt;""),ErrorMsgs!$C350)</f>
        <v>0</v>
      </c>
      <c r="M350" s="714" t="b">
        <f ca="1">IF(AND('Start here'!$C$24=RefData!$B$4,'Discount rates'!$C$7=RefData!$B$8,'Other assumptions'!$C$10=RefData!$B$50,$E350=""),ErrorMsgs!$D350)</f>
        <v>0</v>
      </c>
      <c r="N350" s="714" t="b">
        <f ca="1">IF(AND('Start here'!$C$24=RefData!$B$4,'Discount rates'!$C$7=RefData!$B$8,'Other assumptions'!$C$10=RefData!$B$51,$E350&lt;&gt;""),ErrorMsgs!$E350)</f>
        <v>0</v>
      </c>
      <c r="O350" s="712" t="b">
        <f ca="1">IF(AND('Start here'!$C$24=RefData!$B$4,'Discount rates'!$C$7=RefData!$B$7,'Reconciliation report'!$E350&lt;&gt;""),ErrorMsgs!$F350)</f>
        <v>0</v>
      </c>
      <c r="P350" s="712" t="b">
        <f ca="1">IF($E350&lt;0,ErrorMsgs!$G350)</f>
        <v>0</v>
      </c>
      <c r="Q350" s="712" t="b">
        <f ca="1">IF($E350="",FALSE,IF($E350&gt;0.25,ErrorMsgs!$H350))</f>
        <v>0</v>
      </c>
      <c r="R350" s="712"/>
      <c r="S350" s="712"/>
      <c r="T350" s="712"/>
      <c r="U350" s="526" t="str">
        <f t="shared" ca="1" si="45"/>
        <v/>
      </c>
      <c r="V350" s="93" t="str" cm="1">
        <f t="array" aca="1" ref="V350" ca="1">CELL("format",INDIRECT(I350))</f>
        <v>P4</v>
      </c>
      <c r="W350" s="93" t="b">
        <f t="shared" ca="1" si="46"/>
        <v>0</v>
      </c>
      <c r="X350" s="715" t="str">
        <f t="shared" ca="1" si="44"/>
        <v/>
      </c>
      <c r="Y350" t="b">
        <f t="shared" ca="1" si="47"/>
        <v>1</v>
      </c>
    </row>
    <row r="351" spans="1:25" ht="63" customHeight="1">
      <c r="A351" s="705" t="s">
        <v>3357</v>
      </c>
      <c r="B351" s="716" t="str">
        <f t="shared" ca="1" si="48"/>
        <v>40-year assumptions - H24</v>
      </c>
      <c r="C351" s="707" t="str" cm="1">
        <f t="array" aca="1" ref="C351" ca="1">INDIRECT(LEFT(I351, FIND("!", I351)) &amp; RefData!$C$426 &amp; RIGHT(I351, LEN(I351) - FIND("!", I351) - 1))</f>
        <v>Year 18</v>
      </c>
      <c r="D351" s="92" t="str">
        <f t="shared" ca="1" si="43"/>
        <v/>
      </c>
      <c r="E351" s="708" t="str" cm="1">
        <f t="array" aca="1" ref="E351" ca="1">IF(INDIRECT($I351)= "", "", INDIRECT($I351))</f>
        <v/>
      </c>
      <c r="F351" s="709" t="str" cm="1">
        <f t="array" aca="1" ref="F351" ca="1">INDIRECT(LEFT(I351, FIND("!", I351)) &amp; RefData!$C$427 &amp; RIGHT(I351, LEN(I351) - FIND("!", I351) - 1))</f>
        <v>FYA 18.0</v>
      </c>
      <c r="G351" s="710" t="b">
        <f ca="1">IF(ISNUMBER(SEARCH(RefData!$B$2, $C351)), FALSE, TRUE)</f>
        <v>1</v>
      </c>
      <c r="H351" s="344">
        <f>'40-year assumptions'!H24</f>
        <v>0</v>
      </c>
      <c r="I351" s="712" t="str">
        <f t="shared" ca="1" si="49"/>
        <v>'40-year assumptions'!H24</v>
      </c>
      <c r="J351" s="713" t="b" cm="1">
        <f t="array" aca="1" ref="J351" ca="1">IF(COUNTIF($K351:$T351, "&lt;&gt;FALSE") - COUNTBLANK($K351:$T351) &gt; 0, INDEX($K351:$T351, MATCH(TRUE, $K351:$T351 &lt;&gt; FALSE, 0)))</f>
        <v>0</v>
      </c>
      <c r="K351" s="712" t="b">
        <f ca="1">IF(AND('Start here'!$C$24=RefData!$B$5,'Other assumptions'!$C$10=RefData!$B$50,'Reconciliation report'!$E351=""),ErrorMsgs!$B351)</f>
        <v>0</v>
      </c>
      <c r="L351" s="712" t="b">
        <f ca="1">IF(AND('Start here'!$C$24=RefData!$B$5,'Other assumptions'!$C$10=RefData!$B$51,'Reconciliation report'!$E351&lt;&gt;""),ErrorMsgs!$C351)</f>
        <v>0</v>
      </c>
      <c r="M351" s="714" t="b">
        <f ca="1">IF(AND('Start here'!$C$24=RefData!$B$4,'Discount rates'!$C$7=RefData!$B$8,'Other assumptions'!$C$10=RefData!$B$50,$E351=""),ErrorMsgs!$D351)</f>
        <v>0</v>
      </c>
      <c r="N351" s="714" t="b">
        <f ca="1">IF(AND('Start here'!$C$24=RefData!$B$4,'Discount rates'!$C$7=RefData!$B$8,'Other assumptions'!$C$10=RefData!$B$51,$E351&lt;&gt;""),ErrorMsgs!$E351)</f>
        <v>0</v>
      </c>
      <c r="O351" s="712" t="b">
        <f ca="1">IF(AND('Start here'!$C$24=RefData!$B$4,'Discount rates'!$C$7=RefData!$B$7,'Reconciliation report'!$E351&lt;&gt;""),ErrorMsgs!$F351)</f>
        <v>0</v>
      </c>
      <c r="P351" s="712" t="b">
        <f ca="1">IF($E351&lt;0,ErrorMsgs!$G351)</f>
        <v>0</v>
      </c>
      <c r="Q351" s="712" t="b">
        <f ca="1">IF($E351="",FALSE,IF($E351&gt;0.25,ErrorMsgs!$H351))</f>
        <v>0</v>
      </c>
      <c r="R351" s="712"/>
      <c r="S351" s="712"/>
      <c r="T351" s="712"/>
      <c r="U351" s="526" t="str">
        <f t="shared" ca="1" si="45"/>
        <v/>
      </c>
      <c r="V351" s="93" t="str" cm="1">
        <f t="array" aca="1" ref="V351" ca="1">CELL("format",INDIRECT(I351))</f>
        <v>P4</v>
      </c>
      <c r="W351" s="93" t="b">
        <f t="shared" ca="1" si="46"/>
        <v>0</v>
      </c>
      <c r="X351" s="715" t="str">
        <f t="shared" ca="1" si="44"/>
        <v/>
      </c>
      <c r="Y351" t="b">
        <f t="shared" ca="1" si="47"/>
        <v>1</v>
      </c>
    </row>
    <row r="352" spans="1:25" ht="63" customHeight="1">
      <c r="A352" s="705" t="s">
        <v>3358</v>
      </c>
      <c r="B352" s="716" t="str">
        <f t="shared" ca="1" si="48"/>
        <v>40-year assumptions - H25</v>
      </c>
      <c r="C352" s="707" t="str" cm="1">
        <f t="array" aca="1" ref="C352" ca="1">INDIRECT(LEFT(I352, FIND("!", I352)) &amp; RefData!$C$426 &amp; RIGHT(I352, LEN(I352) - FIND("!", I352) - 1))</f>
        <v>Year 19</v>
      </c>
      <c r="D352" s="92" t="str">
        <f t="shared" ca="1" si="43"/>
        <v/>
      </c>
      <c r="E352" s="708" t="str" cm="1">
        <f t="array" aca="1" ref="E352" ca="1">IF(INDIRECT($I352)= "", "", INDIRECT($I352))</f>
        <v/>
      </c>
      <c r="F352" s="709" t="str" cm="1">
        <f t="array" aca="1" ref="F352" ca="1">INDIRECT(LEFT(I352, FIND("!", I352)) &amp; RefData!$C$427 &amp; RIGHT(I352, LEN(I352) - FIND("!", I352) - 1))</f>
        <v>FYA 19.0</v>
      </c>
      <c r="G352" s="710" t="b">
        <f ca="1">IF(ISNUMBER(SEARCH(RefData!$B$2, $C352)), FALSE, TRUE)</f>
        <v>1</v>
      </c>
      <c r="H352" s="344">
        <f>'40-year assumptions'!H25</f>
        <v>0</v>
      </c>
      <c r="I352" s="712" t="str">
        <f t="shared" ca="1" si="49"/>
        <v>'40-year assumptions'!H25</v>
      </c>
      <c r="J352" s="713" t="b" cm="1">
        <f t="array" aca="1" ref="J352" ca="1">IF(COUNTIF($K352:$T352, "&lt;&gt;FALSE") - COUNTBLANK($K352:$T352) &gt; 0, INDEX($K352:$T352, MATCH(TRUE, $K352:$T352 &lt;&gt; FALSE, 0)))</f>
        <v>0</v>
      </c>
      <c r="K352" s="712" t="b">
        <f ca="1">IF(AND('Start here'!$C$24=RefData!$B$5,'Other assumptions'!$C$10=RefData!$B$50,'Reconciliation report'!$E352=""),ErrorMsgs!$B352)</f>
        <v>0</v>
      </c>
      <c r="L352" s="712" t="b">
        <f ca="1">IF(AND('Start here'!$C$24=RefData!$B$5,'Other assumptions'!$C$10=RefData!$B$51,'Reconciliation report'!$E352&lt;&gt;""),ErrorMsgs!$C352)</f>
        <v>0</v>
      </c>
      <c r="M352" s="714" t="b">
        <f ca="1">IF(AND('Start here'!$C$24=RefData!$B$4,'Discount rates'!$C$7=RefData!$B$8,'Other assumptions'!$C$10=RefData!$B$50,$E352=""),ErrorMsgs!$D352)</f>
        <v>0</v>
      </c>
      <c r="N352" s="714" t="b">
        <f ca="1">IF(AND('Start here'!$C$24=RefData!$B$4,'Discount rates'!$C$7=RefData!$B$8,'Other assumptions'!$C$10=RefData!$B$51,$E352&lt;&gt;""),ErrorMsgs!$E352)</f>
        <v>0</v>
      </c>
      <c r="O352" s="712" t="b">
        <f ca="1">IF(AND('Start here'!$C$24=RefData!$B$4,'Discount rates'!$C$7=RefData!$B$7,'Reconciliation report'!$E352&lt;&gt;""),ErrorMsgs!$F352)</f>
        <v>0</v>
      </c>
      <c r="P352" s="712" t="b">
        <f ca="1">IF($E352&lt;0,ErrorMsgs!$G352)</f>
        <v>0</v>
      </c>
      <c r="Q352" s="712" t="b">
        <f ca="1">IF($E352="",FALSE,IF($E352&gt;0.25,ErrorMsgs!$H352))</f>
        <v>0</v>
      </c>
      <c r="R352" s="712"/>
      <c r="S352" s="712"/>
      <c r="T352" s="712"/>
      <c r="U352" s="526" t="str">
        <f t="shared" ca="1" si="45"/>
        <v/>
      </c>
      <c r="V352" s="93" t="str" cm="1">
        <f t="array" aca="1" ref="V352" ca="1">CELL("format",INDIRECT(I352))</f>
        <v>P4</v>
      </c>
      <c r="W352" s="93" t="b">
        <f t="shared" ca="1" si="46"/>
        <v>0</v>
      </c>
      <c r="X352" s="715" t="str">
        <f t="shared" ca="1" si="44"/>
        <v/>
      </c>
      <c r="Y352" t="b">
        <f t="shared" ca="1" si="47"/>
        <v>1</v>
      </c>
    </row>
    <row r="353" spans="1:25" ht="63" customHeight="1">
      <c r="A353" s="705" t="s">
        <v>3359</v>
      </c>
      <c r="B353" s="716" t="str">
        <f t="shared" ca="1" si="48"/>
        <v>40-year assumptions - H26</v>
      </c>
      <c r="C353" s="707" t="str" cm="1">
        <f t="array" aca="1" ref="C353" ca="1">INDIRECT(LEFT(I353, FIND("!", I353)) &amp; RefData!$C$426 &amp; RIGHT(I353, LEN(I353) - FIND("!", I353) - 1))</f>
        <v>Year 20</v>
      </c>
      <c r="D353" s="92" t="str">
        <f t="shared" ca="1" si="43"/>
        <v/>
      </c>
      <c r="E353" s="708" t="str" cm="1">
        <f t="array" aca="1" ref="E353" ca="1">IF(INDIRECT($I353)= "", "", INDIRECT($I353))</f>
        <v/>
      </c>
      <c r="F353" s="709" t="str" cm="1">
        <f t="array" aca="1" ref="F353" ca="1">INDIRECT(LEFT(I353, FIND("!", I353)) &amp; RefData!$C$427 &amp; RIGHT(I353, LEN(I353) - FIND("!", I353) - 1))</f>
        <v>FYA 20.0</v>
      </c>
      <c r="G353" s="710" t="b">
        <f ca="1">IF(ISNUMBER(SEARCH(RefData!$B$2, $C353)), FALSE, TRUE)</f>
        <v>1</v>
      </c>
      <c r="H353" s="344">
        <f>'40-year assumptions'!H26</f>
        <v>0</v>
      </c>
      <c r="I353" s="712" t="str">
        <f t="shared" ca="1" si="49"/>
        <v>'40-year assumptions'!H26</v>
      </c>
      <c r="J353" s="713" t="b" cm="1">
        <f t="array" aca="1" ref="J353" ca="1">IF(COUNTIF($K353:$T353, "&lt;&gt;FALSE") - COUNTBLANK($K353:$T353) &gt; 0, INDEX($K353:$T353, MATCH(TRUE, $K353:$T353 &lt;&gt; FALSE, 0)))</f>
        <v>0</v>
      </c>
      <c r="K353" s="712" t="b">
        <f ca="1">IF(AND('Start here'!$C$24=RefData!$B$5,'Other assumptions'!$C$10=RefData!$B$50,'Reconciliation report'!$E353=""),ErrorMsgs!$B353)</f>
        <v>0</v>
      </c>
      <c r="L353" s="712" t="b">
        <f ca="1">IF(AND('Start here'!$C$24=RefData!$B$5,'Other assumptions'!$C$10=RefData!$B$51,'Reconciliation report'!$E353&lt;&gt;""),ErrorMsgs!$C353)</f>
        <v>0</v>
      </c>
      <c r="M353" s="714" t="b">
        <f ca="1">IF(AND('Start here'!$C$24=RefData!$B$4,'Discount rates'!$C$7=RefData!$B$8,'Other assumptions'!$C$10=RefData!$B$50,$E353=""),ErrorMsgs!$D353)</f>
        <v>0</v>
      </c>
      <c r="N353" s="714" t="b">
        <f ca="1">IF(AND('Start here'!$C$24=RefData!$B$4,'Discount rates'!$C$7=RefData!$B$8,'Other assumptions'!$C$10=RefData!$B$51,$E353&lt;&gt;""),ErrorMsgs!$E353)</f>
        <v>0</v>
      </c>
      <c r="O353" s="712" t="b">
        <f ca="1">IF(AND('Start here'!$C$24=RefData!$B$4,'Discount rates'!$C$7=RefData!$B$7,'Reconciliation report'!$E353&lt;&gt;""),ErrorMsgs!$F353)</f>
        <v>0</v>
      </c>
      <c r="P353" s="712" t="b">
        <f ca="1">IF($E353&lt;0,ErrorMsgs!$G353)</f>
        <v>0</v>
      </c>
      <c r="Q353" s="712" t="b">
        <f ca="1">IF($E353="",FALSE,IF($E353&gt;0.25,ErrorMsgs!$H353))</f>
        <v>0</v>
      </c>
      <c r="R353" s="712"/>
      <c r="S353" s="712"/>
      <c r="T353" s="712"/>
      <c r="U353" s="526" t="str">
        <f t="shared" ca="1" si="45"/>
        <v/>
      </c>
      <c r="V353" s="93" t="str" cm="1">
        <f t="array" aca="1" ref="V353" ca="1">CELL("format",INDIRECT(I353))</f>
        <v>P4</v>
      </c>
      <c r="W353" s="93" t="b">
        <f t="shared" ca="1" si="46"/>
        <v>0</v>
      </c>
      <c r="X353" s="715" t="str">
        <f t="shared" ca="1" si="44"/>
        <v/>
      </c>
      <c r="Y353" t="b">
        <f t="shared" ca="1" si="47"/>
        <v>1</v>
      </c>
    </row>
    <row r="354" spans="1:25" ht="63" customHeight="1">
      <c r="A354" s="705" t="s">
        <v>3360</v>
      </c>
      <c r="B354" s="716" t="str">
        <f t="shared" ca="1" si="48"/>
        <v>40-year assumptions - H27</v>
      </c>
      <c r="C354" s="707" t="str" cm="1">
        <f t="array" aca="1" ref="C354" ca="1">INDIRECT(LEFT(I354, FIND("!", I354)) &amp; RefData!$C$426 &amp; RIGHT(I354, LEN(I354) - FIND("!", I354) - 1))</f>
        <v>Year 21</v>
      </c>
      <c r="D354" s="92" t="str">
        <f t="shared" ca="1" si="43"/>
        <v/>
      </c>
      <c r="E354" s="708" t="str" cm="1">
        <f t="array" aca="1" ref="E354" ca="1">IF(INDIRECT($I354)= "", "", INDIRECT($I354))</f>
        <v/>
      </c>
      <c r="F354" s="709" t="str" cm="1">
        <f t="array" aca="1" ref="F354" ca="1">INDIRECT(LEFT(I354, FIND("!", I354)) &amp; RefData!$C$427 &amp; RIGHT(I354, LEN(I354) - FIND("!", I354) - 1))</f>
        <v>FYA 21.0</v>
      </c>
      <c r="G354" s="710" t="b">
        <f ca="1">IF(ISNUMBER(SEARCH(RefData!$B$2, $C354)), FALSE, TRUE)</f>
        <v>1</v>
      </c>
      <c r="H354" s="344">
        <f>'40-year assumptions'!H27</f>
        <v>0</v>
      </c>
      <c r="I354" s="712" t="str">
        <f t="shared" ca="1" si="49"/>
        <v>'40-year assumptions'!H27</v>
      </c>
      <c r="J354" s="713" t="b" cm="1">
        <f t="array" aca="1" ref="J354" ca="1">IF(COUNTIF($K354:$T354, "&lt;&gt;FALSE") - COUNTBLANK($K354:$T354) &gt; 0, INDEX($K354:$T354, MATCH(TRUE, $K354:$T354 &lt;&gt; FALSE, 0)))</f>
        <v>0</v>
      </c>
      <c r="K354" s="712" t="b">
        <f ca="1">IF(AND('Start here'!$C$24=RefData!$B$5,'Other assumptions'!$C$10=RefData!$B$50,'Reconciliation report'!$E354=""),ErrorMsgs!$B354)</f>
        <v>0</v>
      </c>
      <c r="L354" s="712" t="b">
        <f ca="1">IF(AND('Start here'!$C$24=RefData!$B$5,'Other assumptions'!$C$10=RefData!$B$51,'Reconciliation report'!$E354&lt;&gt;""),ErrorMsgs!$C354)</f>
        <v>0</v>
      </c>
      <c r="M354" s="714" t="b">
        <f ca="1">IF(AND('Start here'!$C$24=RefData!$B$4,'Discount rates'!$C$7=RefData!$B$8,'Other assumptions'!$C$10=RefData!$B$50,$E354=""),ErrorMsgs!$D354)</f>
        <v>0</v>
      </c>
      <c r="N354" s="714" t="b">
        <f ca="1">IF(AND('Start here'!$C$24=RefData!$B$4,'Discount rates'!$C$7=RefData!$B$8,'Other assumptions'!$C$10=RefData!$B$51,$E354&lt;&gt;""),ErrorMsgs!$E354)</f>
        <v>0</v>
      </c>
      <c r="O354" s="712" t="b">
        <f ca="1">IF(AND('Start here'!$C$24=RefData!$B$4,'Discount rates'!$C$7=RefData!$B$7,'Reconciliation report'!$E354&lt;&gt;""),ErrorMsgs!$F354)</f>
        <v>0</v>
      </c>
      <c r="P354" s="712" t="b">
        <f ca="1">IF($E354&lt;0,ErrorMsgs!$G354)</f>
        <v>0</v>
      </c>
      <c r="Q354" s="712" t="b">
        <f ca="1">IF($E354="",FALSE,IF($E354&gt;0.25,ErrorMsgs!$H354))</f>
        <v>0</v>
      </c>
      <c r="R354" s="712"/>
      <c r="S354" s="712"/>
      <c r="T354" s="712"/>
      <c r="U354" s="526" t="str">
        <f t="shared" ca="1" si="45"/>
        <v/>
      </c>
      <c r="V354" s="93" t="str" cm="1">
        <f t="array" aca="1" ref="V354" ca="1">CELL("format",INDIRECT(I354))</f>
        <v>P4</v>
      </c>
      <c r="W354" s="93" t="b">
        <f t="shared" ca="1" si="46"/>
        <v>0</v>
      </c>
      <c r="X354" s="715" t="str">
        <f t="shared" ca="1" si="44"/>
        <v/>
      </c>
      <c r="Y354" t="b">
        <f t="shared" ca="1" si="47"/>
        <v>1</v>
      </c>
    </row>
    <row r="355" spans="1:25" ht="63" customHeight="1">
      <c r="A355" s="705" t="s">
        <v>3361</v>
      </c>
      <c r="B355" s="716" t="str">
        <f t="shared" ca="1" si="48"/>
        <v>40-year assumptions - H28</v>
      </c>
      <c r="C355" s="707" t="str" cm="1">
        <f t="array" aca="1" ref="C355" ca="1">INDIRECT(LEFT(I355, FIND("!", I355)) &amp; RefData!$C$426 &amp; RIGHT(I355, LEN(I355) - FIND("!", I355) - 1))</f>
        <v>Year 22</v>
      </c>
      <c r="D355" s="92" t="str">
        <f t="shared" ca="1" si="43"/>
        <v/>
      </c>
      <c r="E355" s="708" t="str" cm="1">
        <f t="array" aca="1" ref="E355" ca="1">IF(INDIRECT($I355)= "", "", INDIRECT($I355))</f>
        <v/>
      </c>
      <c r="F355" s="709" t="str" cm="1">
        <f t="array" aca="1" ref="F355" ca="1">INDIRECT(LEFT(I355, FIND("!", I355)) &amp; RefData!$C$427 &amp; RIGHT(I355, LEN(I355) - FIND("!", I355) - 1))</f>
        <v>FYA 22.0</v>
      </c>
      <c r="G355" s="710" t="b">
        <f ca="1">IF(ISNUMBER(SEARCH(RefData!$B$2, $C355)), FALSE, TRUE)</f>
        <v>1</v>
      </c>
      <c r="H355" s="344">
        <f>'40-year assumptions'!H28</f>
        <v>0</v>
      </c>
      <c r="I355" s="712" t="str">
        <f t="shared" ca="1" si="49"/>
        <v>'40-year assumptions'!H28</v>
      </c>
      <c r="J355" s="713" t="b" cm="1">
        <f t="array" aca="1" ref="J355" ca="1">IF(COUNTIF($K355:$T355, "&lt;&gt;FALSE") - COUNTBLANK($K355:$T355) &gt; 0, INDEX($K355:$T355, MATCH(TRUE, $K355:$T355 &lt;&gt; FALSE, 0)))</f>
        <v>0</v>
      </c>
      <c r="K355" s="712" t="b">
        <f ca="1">IF(AND('Start here'!$C$24=RefData!$B$5,'Other assumptions'!$C$10=RefData!$B$50,'Reconciliation report'!$E355=""),ErrorMsgs!$B355)</f>
        <v>0</v>
      </c>
      <c r="L355" s="712" t="b">
        <f ca="1">IF(AND('Start here'!$C$24=RefData!$B$5,'Other assumptions'!$C$10=RefData!$B$51,'Reconciliation report'!$E355&lt;&gt;""),ErrorMsgs!$C355)</f>
        <v>0</v>
      </c>
      <c r="M355" s="714" t="b">
        <f ca="1">IF(AND('Start here'!$C$24=RefData!$B$4,'Discount rates'!$C$7=RefData!$B$8,'Other assumptions'!$C$10=RefData!$B$50,$E355=""),ErrorMsgs!$D355)</f>
        <v>0</v>
      </c>
      <c r="N355" s="714" t="b">
        <f ca="1">IF(AND('Start here'!$C$24=RefData!$B$4,'Discount rates'!$C$7=RefData!$B$8,'Other assumptions'!$C$10=RefData!$B$51,$E355&lt;&gt;""),ErrorMsgs!$E355)</f>
        <v>0</v>
      </c>
      <c r="O355" s="712" t="b">
        <f ca="1">IF(AND('Start here'!$C$24=RefData!$B$4,'Discount rates'!$C$7=RefData!$B$7,'Reconciliation report'!$E355&lt;&gt;""),ErrorMsgs!$F355)</f>
        <v>0</v>
      </c>
      <c r="P355" s="712" t="b">
        <f ca="1">IF($E355&lt;0,ErrorMsgs!$G355)</f>
        <v>0</v>
      </c>
      <c r="Q355" s="712" t="b">
        <f ca="1">IF($E355="",FALSE,IF($E355&gt;0.25,ErrorMsgs!$H355))</f>
        <v>0</v>
      </c>
      <c r="R355" s="712"/>
      <c r="S355" s="712"/>
      <c r="T355" s="712"/>
      <c r="U355" s="526" t="str">
        <f t="shared" ca="1" si="45"/>
        <v/>
      </c>
      <c r="V355" s="93" t="str" cm="1">
        <f t="array" aca="1" ref="V355" ca="1">CELL("format",INDIRECT(I355))</f>
        <v>P4</v>
      </c>
      <c r="W355" s="93" t="b">
        <f t="shared" ca="1" si="46"/>
        <v>0</v>
      </c>
      <c r="X355" s="715" t="str">
        <f t="shared" ca="1" si="44"/>
        <v/>
      </c>
      <c r="Y355" t="b">
        <f t="shared" ca="1" si="47"/>
        <v>1</v>
      </c>
    </row>
    <row r="356" spans="1:25" ht="63" customHeight="1">
      <c r="A356" s="705" t="s">
        <v>3362</v>
      </c>
      <c r="B356" s="716" t="str">
        <f t="shared" ca="1" si="48"/>
        <v>40-year assumptions - H29</v>
      </c>
      <c r="C356" s="707" t="str" cm="1">
        <f t="array" aca="1" ref="C356" ca="1">INDIRECT(LEFT(I356, FIND("!", I356)) &amp; RefData!$C$426 &amp; RIGHT(I356, LEN(I356) - FIND("!", I356) - 1))</f>
        <v>Year 23</v>
      </c>
      <c r="D356" s="92" t="str">
        <f t="shared" ca="1" si="43"/>
        <v/>
      </c>
      <c r="E356" s="708" t="str" cm="1">
        <f t="array" aca="1" ref="E356" ca="1">IF(INDIRECT($I356)= "", "", INDIRECT($I356))</f>
        <v/>
      </c>
      <c r="F356" s="709" t="str" cm="1">
        <f t="array" aca="1" ref="F356" ca="1">INDIRECT(LEFT(I356, FIND("!", I356)) &amp; RefData!$C$427 &amp; RIGHT(I356, LEN(I356) - FIND("!", I356) - 1))</f>
        <v>FYA 23.0</v>
      </c>
      <c r="G356" s="710" t="b">
        <f ca="1">IF(ISNUMBER(SEARCH(RefData!$B$2, $C356)), FALSE, TRUE)</f>
        <v>1</v>
      </c>
      <c r="H356" s="344">
        <f>'40-year assumptions'!H29</f>
        <v>0</v>
      </c>
      <c r="I356" s="712" t="str">
        <f t="shared" ca="1" si="49"/>
        <v>'40-year assumptions'!H29</v>
      </c>
      <c r="J356" s="713" t="b" cm="1">
        <f t="array" aca="1" ref="J356" ca="1">IF(COUNTIF($K356:$T356, "&lt;&gt;FALSE") - COUNTBLANK($K356:$T356) &gt; 0, INDEX($K356:$T356, MATCH(TRUE, $K356:$T356 &lt;&gt; FALSE, 0)))</f>
        <v>0</v>
      </c>
      <c r="K356" s="712" t="b">
        <f ca="1">IF(AND('Start here'!$C$24=RefData!$B$5,'Other assumptions'!$C$10=RefData!$B$50,'Reconciliation report'!$E356=""),ErrorMsgs!$B356)</f>
        <v>0</v>
      </c>
      <c r="L356" s="712" t="b">
        <f ca="1">IF(AND('Start here'!$C$24=RefData!$B$5,'Other assumptions'!$C$10=RefData!$B$51,'Reconciliation report'!$E356&lt;&gt;""),ErrorMsgs!$C356)</f>
        <v>0</v>
      </c>
      <c r="M356" s="714" t="b">
        <f ca="1">IF(AND('Start here'!$C$24=RefData!$B$4,'Discount rates'!$C$7=RefData!$B$8,'Other assumptions'!$C$10=RefData!$B$50,$E356=""),ErrorMsgs!$D356)</f>
        <v>0</v>
      </c>
      <c r="N356" s="714" t="b">
        <f ca="1">IF(AND('Start here'!$C$24=RefData!$B$4,'Discount rates'!$C$7=RefData!$B$8,'Other assumptions'!$C$10=RefData!$B$51,$E356&lt;&gt;""),ErrorMsgs!$E356)</f>
        <v>0</v>
      </c>
      <c r="O356" s="712" t="b">
        <f ca="1">IF(AND('Start here'!$C$24=RefData!$B$4,'Discount rates'!$C$7=RefData!$B$7,'Reconciliation report'!$E356&lt;&gt;""),ErrorMsgs!$F356)</f>
        <v>0</v>
      </c>
      <c r="P356" s="712" t="b">
        <f ca="1">IF($E356&lt;0,ErrorMsgs!$G356)</f>
        <v>0</v>
      </c>
      <c r="Q356" s="712" t="b">
        <f ca="1">IF($E356="",FALSE,IF($E356&gt;0.25,ErrorMsgs!$H356))</f>
        <v>0</v>
      </c>
      <c r="R356" s="712"/>
      <c r="S356" s="712"/>
      <c r="T356" s="712"/>
      <c r="U356" s="526" t="str">
        <f t="shared" ca="1" si="45"/>
        <v/>
      </c>
      <c r="V356" s="93" t="str" cm="1">
        <f t="array" aca="1" ref="V356" ca="1">CELL("format",INDIRECT(I356))</f>
        <v>P4</v>
      </c>
      <c r="W356" s="93" t="b">
        <f t="shared" ca="1" si="46"/>
        <v>0</v>
      </c>
      <c r="X356" s="715" t="str">
        <f t="shared" ca="1" si="44"/>
        <v/>
      </c>
      <c r="Y356" t="b">
        <f t="shared" ca="1" si="47"/>
        <v>1</v>
      </c>
    </row>
    <row r="357" spans="1:25" ht="63" customHeight="1">
      <c r="A357" s="705" t="s">
        <v>3363</v>
      </c>
      <c r="B357" s="716" t="str">
        <f t="shared" ca="1" si="48"/>
        <v>40-year assumptions - H30</v>
      </c>
      <c r="C357" s="707" t="str" cm="1">
        <f t="array" aca="1" ref="C357" ca="1">INDIRECT(LEFT(I357, FIND("!", I357)) &amp; RefData!$C$426 &amp; RIGHT(I357, LEN(I357) - FIND("!", I357) - 1))</f>
        <v>Year 24</v>
      </c>
      <c r="D357" s="92" t="str">
        <f t="shared" ca="1" si="43"/>
        <v/>
      </c>
      <c r="E357" s="708" t="str" cm="1">
        <f t="array" aca="1" ref="E357" ca="1">IF(INDIRECT($I357)= "", "", INDIRECT($I357))</f>
        <v/>
      </c>
      <c r="F357" s="709" t="str" cm="1">
        <f t="array" aca="1" ref="F357" ca="1">INDIRECT(LEFT(I357, FIND("!", I357)) &amp; RefData!$C$427 &amp; RIGHT(I357, LEN(I357) - FIND("!", I357) - 1))</f>
        <v>FYA 24.0</v>
      </c>
      <c r="G357" s="710" t="b">
        <f ca="1">IF(ISNUMBER(SEARCH(RefData!$B$2, $C357)), FALSE, TRUE)</f>
        <v>1</v>
      </c>
      <c r="H357" s="344">
        <f>'40-year assumptions'!H30</f>
        <v>0</v>
      </c>
      <c r="I357" s="712" t="str">
        <f t="shared" ca="1" si="49"/>
        <v>'40-year assumptions'!H30</v>
      </c>
      <c r="J357" s="713" t="b" cm="1">
        <f t="array" aca="1" ref="J357" ca="1">IF(COUNTIF($K357:$T357, "&lt;&gt;FALSE") - COUNTBLANK($K357:$T357) &gt; 0, INDEX($K357:$T357, MATCH(TRUE, $K357:$T357 &lt;&gt; FALSE, 0)))</f>
        <v>0</v>
      </c>
      <c r="K357" s="712" t="b">
        <f ca="1">IF(AND('Start here'!$C$24=RefData!$B$5,'Other assumptions'!$C$10=RefData!$B$50,'Reconciliation report'!$E357=""),ErrorMsgs!$B357)</f>
        <v>0</v>
      </c>
      <c r="L357" s="712" t="b">
        <f ca="1">IF(AND('Start here'!$C$24=RefData!$B$5,'Other assumptions'!$C$10=RefData!$B$51,'Reconciliation report'!$E357&lt;&gt;""),ErrorMsgs!$C357)</f>
        <v>0</v>
      </c>
      <c r="M357" s="714" t="b">
        <f ca="1">IF(AND('Start here'!$C$24=RefData!$B$4,'Discount rates'!$C$7=RefData!$B$8,'Other assumptions'!$C$10=RefData!$B$50,$E357=""),ErrorMsgs!$D357)</f>
        <v>0</v>
      </c>
      <c r="N357" s="714" t="b">
        <f ca="1">IF(AND('Start here'!$C$24=RefData!$B$4,'Discount rates'!$C$7=RefData!$B$8,'Other assumptions'!$C$10=RefData!$B$51,$E357&lt;&gt;""),ErrorMsgs!$E357)</f>
        <v>0</v>
      </c>
      <c r="O357" s="712" t="b">
        <f ca="1">IF(AND('Start here'!$C$24=RefData!$B$4,'Discount rates'!$C$7=RefData!$B$7,'Reconciliation report'!$E357&lt;&gt;""),ErrorMsgs!$F357)</f>
        <v>0</v>
      </c>
      <c r="P357" s="712" t="b">
        <f ca="1">IF($E357&lt;0,ErrorMsgs!$G357)</f>
        <v>0</v>
      </c>
      <c r="Q357" s="712" t="b">
        <f ca="1">IF($E357="",FALSE,IF($E357&gt;0.25,ErrorMsgs!$H357))</f>
        <v>0</v>
      </c>
      <c r="R357" s="712"/>
      <c r="S357" s="712"/>
      <c r="T357" s="712"/>
      <c r="U357" s="526" t="str">
        <f t="shared" ca="1" si="45"/>
        <v/>
      </c>
      <c r="V357" s="93" t="str" cm="1">
        <f t="array" aca="1" ref="V357" ca="1">CELL("format",INDIRECT(I357))</f>
        <v>P4</v>
      </c>
      <c r="W357" s="93" t="b">
        <f t="shared" ca="1" si="46"/>
        <v>0</v>
      </c>
      <c r="X357" s="715" t="str">
        <f t="shared" ca="1" si="44"/>
        <v/>
      </c>
      <c r="Y357" t="b">
        <f t="shared" ca="1" si="47"/>
        <v>1</v>
      </c>
    </row>
    <row r="358" spans="1:25" ht="63" customHeight="1">
      <c r="A358" s="705" t="s">
        <v>3364</v>
      </c>
      <c r="B358" s="716" t="str">
        <f t="shared" ca="1" si="48"/>
        <v>40-year assumptions - H31</v>
      </c>
      <c r="C358" s="707" t="str" cm="1">
        <f t="array" aca="1" ref="C358" ca="1">INDIRECT(LEFT(I358, FIND("!", I358)) &amp; RefData!$C$426 &amp; RIGHT(I358, LEN(I358) - FIND("!", I358) - 1))</f>
        <v>Year 25</v>
      </c>
      <c r="D358" s="92" t="str">
        <f t="shared" ca="1" si="43"/>
        <v/>
      </c>
      <c r="E358" s="708" t="str" cm="1">
        <f t="array" aca="1" ref="E358" ca="1">IF(INDIRECT($I358)= "", "", INDIRECT($I358))</f>
        <v/>
      </c>
      <c r="F358" s="709" t="str" cm="1">
        <f t="array" aca="1" ref="F358" ca="1">INDIRECT(LEFT(I358, FIND("!", I358)) &amp; RefData!$C$427 &amp; RIGHT(I358, LEN(I358) - FIND("!", I358) - 1))</f>
        <v>FYA 25.0</v>
      </c>
      <c r="G358" s="710" t="b">
        <f ca="1">IF(ISNUMBER(SEARCH(RefData!$B$2, $C358)), FALSE, TRUE)</f>
        <v>1</v>
      </c>
      <c r="H358" s="344">
        <f>'40-year assumptions'!H31</f>
        <v>0</v>
      </c>
      <c r="I358" s="712" t="str">
        <f t="shared" ca="1" si="49"/>
        <v>'40-year assumptions'!H31</v>
      </c>
      <c r="J358" s="713" t="b" cm="1">
        <f t="array" aca="1" ref="J358" ca="1">IF(COUNTIF($K358:$T358, "&lt;&gt;FALSE") - COUNTBLANK($K358:$T358) &gt; 0, INDEX($K358:$T358, MATCH(TRUE, $K358:$T358 &lt;&gt; FALSE, 0)))</f>
        <v>0</v>
      </c>
      <c r="K358" s="712" t="b">
        <f ca="1">IF(AND('Start here'!$C$24=RefData!$B$5,'Other assumptions'!$C$10=RefData!$B$50,'Reconciliation report'!$E358=""),ErrorMsgs!$B358)</f>
        <v>0</v>
      </c>
      <c r="L358" s="712" t="b">
        <f ca="1">IF(AND('Start here'!$C$24=RefData!$B$5,'Other assumptions'!$C$10=RefData!$B$51,'Reconciliation report'!$E358&lt;&gt;""),ErrorMsgs!$C358)</f>
        <v>0</v>
      </c>
      <c r="M358" s="714" t="b">
        <f ca="1">IF(AND('Start here'!$C$24=RefData!$B$4,'Discount rates'!$C$7=RefData!$B$8,'Other assumptions'!$C$10=RefData!$B$50,$E358=""),ErrorMsgs!$D358)</f>
        <v>0</v>
      </c>
      <c r="N358" s="714" t="b">
        <f ca="1">IF(AND('Start here'!$C$24=RefData!$B$4,'Discount rates'!$C$7=RefData!$B$8,'Other assumptions'!$C$10=RefData!$B$51,$E358&lt;&gt;""),ErrorMsgs!$E358)</f>
        <v>0</v>
      </c>
      <c r="O358" s="712" t="b">
        <f ca="1">IF(AND('Start here'!$C$24=RefData!$B$4,'Discount rates'!$C$7=RefData!$B$7,'Reconciliation report'!$E358&lt;&gt;""),ErrorMsgs!$F358)</f>
        <v>0</v>
      </c>
      <c r="P358" s="712" t="b">
        <f ca="1">IF($E358&lt;0,ErrorMsgs!$G358)</f>
        <v>0</v>
      </c>
      <c r="Q358" s="712" t="b">
        <f ca="1">IF($E358="",FALSE,IF($E358&gt;0.25,ErrorMsgs!$H358))</f>
        <v>0</v>
      </c>
      <c r="R358" s="712"/>
      <c r="S358" s="712"/>
      <c r="T358" s="712"/>
      <c r="U358" s="526" t="str">
        <f t="shared" ca="1" si="45"/>
        <v/>
      </c>
      <c r="V358" s="93" t="str" cm="1">
        <f t="array" aca="1" ref="V358" ca="1">CELL("format",INDIRECT(I358))</f>
        <v>P4</v>
      </c>
      <c r="W358" s="93" t="b">
        <f t="shared" ca="1" si="46"/>
        <v>0</v>
      </c>
      <c r="X358" s="715" t="str">
        <f t="shared" ca="1" si="44"/>
        <v/>
      </c>
      <c r="Y358" t="b">
        <f t="shared" ca="1" si="47"/>
        <v>1</v>
      </c>
    </row>
    <row r="359" spans="1:25" ht="63" customHeight="1">
      <c r="A359" s="705" t="s">
        <v>3365</v>
      </c>
      <c r="B359" s="716" t="str">
        <f t="shared" ca="1" si="48"/>
        <v>40-year assumptions - H32</v>
      </c>
      <c r="C359" s="707" t="str" cm="1">
        <f t="array" aca="1" ref="C359" ca="1">INDIRECT(LEFT(I359, FIND("!", I359)) &amp; RefData!$C$426 &amp; RIGHT(I359, LEN(I359) - FIND("!", I359) - 1))</f>
        <v>Year 26</v>
      </c>
      <c r="D359" s="92" t="str">
        <f t="shared" ca="1" si="43"/>
        <v/>
      </c>
      <c r="E359" s="708" t="str" cm="1">
        <f t="array" aca="1" ref="E359" ca="1">IF(INDIRECT($I359)= "", "", INDIRECT($I359))</f>
        <v/>
      </c>
      <c r="F359" s="709" t="str" cm="1">
        <f t="array" aca="1" ref="F359" ca="1">INDIRECT(LEFT(I359, FIND("!", I359)) &amp; RefData!$C$427 &amp; RIGHT(I359, LEN(I359) - FIND("!", I359) - 1))</f>
        <v>FYA 26.0</v>
      </c>
      <c r="G359" s="710" t="b">
        <f ca="1">IF(ISNUMBER(SEARCH(RefData!$B$2, $C359)), FALSE, TRUE)</f>
        <v>1</v>
      </c>
      <c r="H359" s="344">
        <f>'40-year assumptions'!H32</f>
        <v>0</v>
      </c>
      <c r="I359" s="712" t="str">
        <f t="shared" ca="1" si="49"/>
        <v>'40-year assumptions'!H32</v>
      </c>
      <c r="J359" s="713" t="b" cm="1">
        <f t="array" aca="1" ref="J359" ca="1">IF(COUNTIF($K359:$T359, "&lt;&gt;FALSE") - COUNTBLANK($K359:$T359) &gt; 0, INDEX($K359:$T359, MATCH(TRUE, $K359:$T359 &lt;&gt; FALSE, 0)))</f>
        <v>0</v>
      </c>
      <c r="K359" s="712" t="b">
        <f ca="1">IF(AND('Start here'!$C$24=RefData!$B$5,'Other assumptions'!$C$10=RefData!$B$50,'Reconciliation report'!$E359=""),ErrorMsgs!$B359)</f>
        <v>0</v>
      </c>
      <c r="L359" s="712" t="b">
        <f ca="1">IF(AND('Start here'!$C$24=RefData!$B$5,'Other assumptions'!$C$10=RefData!$B$51,'Reconciliation report'!$E359&lt;&gt;""),ErrorMsgs!$C359)</f>
        <v>0</v>
      </c>
      <c r="M359" s="714" t="b">
        <f ca="1">IF(AND('Start here'!$C$24=RefData!$B$4,'Discount rates'!$C$7=RefData!$B$8,'Other assumptions'!$C$10=RefData!$B$50,$E359=""),ErrorMsgs!$D359)</f>
        <v>0</v>
      </c>
      <c r="N359" s="714" t="b">
        <f ca="1">IF(AND('Start here'!$C$24=RefData!$B$4,'Discount rates'!$C$7=RefData!$B$8,'Other assumptions'!$C$10=RefData!$B$51,$E359&lt;&gt;""),ErrorMsgs!$E359)</f>
        <v>0</v>
      </c>
      <c r="O359" s="712" t="b">
        <f ca="1">IF(AND('Start here'!$C$24=RefData!$B$4,'Discount rates'!$C$7=RefData!$B$7,'Reconciliation report'!$E359&lt;&gt;""),ErrorMsgs!$F359)</f>
        <v>0</v>
      </c>
      <c r="P359" s="712" t="b">
        <f ca="1">IF($E359&lt;0,ErrorMsgs!$G359)</f>
        <v>0</v>
      </c>
      <c r="Q359" s="712" t="b">
        <f ca="1">IF($E359="",FALSE,IF($E359&gt;0.25,ErrorMsgs!$H359))</f>
        <v>0</v>
      </c>
      <c r="R359" s="712"/>
      <c r="S359" s="712"/>
      <c r="T359" s="712"/>
      <c r="U359" s="526" t="str">
        <f t="shared" ca="1" si="45"/>
        <v/>
      </c>
      <c r="V359" s="93" t="str" cm="1">
        <f t="array" aca="1" ref="V359" ca="1">CELL("format",INDIRECT(I359))</f>
        <v>P4</v>
      </c>
      <c r="W359" s="93" t="b">
        <f t="shared" ca="1" si="46"/>
        <v>0</v>
      </c>
      <c r="X359" s="715" t="str">
        <f t="shared" ca="1" si="44"/>
        <v/>
      </c>
      <c r="Y359" t="b">
        <f t="shared" ca="1" si="47"/>
        <v>1</v>
      </c>
    </row>
    <row r="360" spans="1:25" ht="63" customHeight="1">
      <c r="A360" s="705" t="s">
        <v>3366</v>
      </c>
      <c r="B360" s="716" t="str">
        <f t="shared" ca="1" si="48"/>
        <v>40-year assumptions - H33</v>
      </c>
      <c r="C360" s="707" t="str" cm="1">
        <f t="array" aca="1" ref="C360" ca="1">INDIRECT(LEFT(I360, FIND("!", I360)) &amp; RefData!$C$426 &amp; RIGHT(I360, LEN(I360) - FIND("!", I360) - 1))</f>
        <v>Year 27</v>
      </c>
      <c r="D360" s="92" t="str">
        <f t="shared" ca="1" si="43"/>
        <v/>
      </c>
      <c r="E360" s="708" t="str" cm="1">
        <f t="array" aca="1" ref="E360" ca="1">IF(INDIRECT($I360)= "", "", INDIRECT($I360))</f>
        <v/>
      </c>
      <c r="F360" s="709" t="str" cm="1">
        <f t="array" aca="1" ref="F360" ca="1">INDIRECT(LEFT(I360, FIND("!", I360)) &amp; RefData!$C$427 &amp; RIGHT(I360, LEN(I360) - FIND("!", I360) - 1))</f>
        <v>FYA 27.0</v>
      </c>
      <c r="G360" s="710" t="b">
        <f ca="1">IF(ISNUMBER(SEARCH(RefData!$B$2, $C360)), FALSE, TRUE)</f>
        <v>1</v>
      </c>
      <c r="H360" s="344">
        <f>'40-year assumptions'!H33</f>
        <v>0</v>
      </c>
      <c r="I360" s="712" t="str">
        <f t="shared" ca="1" si="49"/>
        <v>'40-year assumptions'!H33</v>
      </c>
      <c r="J360" s="713" t="b" cm="1">
        <f t="array" aca="1" ref="J360" ca="1">IF(COUNTIF($K360:$T360, "&lt;&gt;FALSE") - COUNTBLANK($K360:$T360) &gt; 0, INDEX($K360:$T360, MATCH(TRUE, $K360:$T360 &lt;&gt; FALSE, 0)))</f>
        <v>0</v>
      </c>
      <c r="K360" s="712" t="b">
        <f ca="1">IF(AND('Start here'!$C$24=RefData!$B$5,'Other assumptions'!$C$10=RefData!$B$50,'Reconciliation report'!$E360=""),ErrorMsgs!$B360)</f>
        <v>0</v>
      </c>
      <c r="L360" s="712" t="b">
        <f ca="1">IF(AND('Start here'!$C$24=RefData!$B$5,'Other assumptions'!$C$10=RefData!$B$51,'Reconciliation report'!$E360&lt;&gt;""),ErrorMsgs!$C360)</f>
        <v>0</v>
      </c>
      <c r="M360" s="714" t="b">
        <f ca="1">IF(AND('Start here'!$C$24=RefData!$B$4,'Discount rates'!$C$7=RefData!$B$8,'Other assumptions'!$C$10=RefData!$B$50,$E360=""),ErrorMsgs!$D360)</f>
        <v>0</v>
      </c>
      <c r="N360" s="714" t="b">
        <f ca="1">IF(AND('Start here'!$C$24=RefData!$B$4,'Discount rates'!$C$7=RefData!$B$8,'Other assumptions'!$C$10=RefData!$B$51,$E360&lt;&gt;""),ErrorMsgs!$E360)</f>
        <v>0</v>
      </c>
      <c r="O360" s="712" t="b">
        <f ca="1">IF(AND('Start here'!$C$24=RefData!$B$4,'Discount rates'!$C$7=RefData!$B$7,'Reconciliation report'!$E360&lt;&gt;""),ErrorMsgs!$F360)</f>
        <v>0</v>
      </c>
      <c r="P360" s="712" t="b">
        <f ca="1">IF($E360&lt;0,ErrorMsgs!$G360)</f>
        <v>0</v>
      </c>
      <c r="Q360" s="712" t="b">
        <f ca="1">IF($E360="",FALSE,IF($E360&gt;0.25,ErrorMsgs!$H360))</f>
        <v>0</v>
      </c>
      <c r="R360" s="712"/>
      <c r="S360" s="712"/>
      <c r="T360" s="712"/>
      <c r="U360" s="526" t="str">
        <f t="shared" ca="1" si="45"/>
        <v/>
      </c>
      <c r="V360" s="93" t="str" cm="1">
        <f t="array" aca="1" ref="V360" ca="1">CELL("format",INDIRECT(I360))</f>
        <v>P4</v>
      </c>
      <c r="W360" s="93" t="b">
        <f t="shared" ca="1" si="46"/>
        <v>0</v>
      </c>
      <c r="X360" s="715" t="str">
        <f t="shared" ca="1" si="44"/>
        <v/>
      </c>
      <c r="Y360" t="b">
        <f t="shared" ca="1" si="47"/>
        <v>1</v>
      </c>
    </row>
    <row r="361" spans="1:25" ht="63" customHeight="1">
      <c r="A361" s="705" t="s">
        <v>3367</v>
      </c>
      <c r="B361" s="716" t="str">
        <f t="shared" ca="1" si="48"/>
        <v>40-year assumptions - H34</v>
      </c>
      <c r="C361" s="707" t="str" cm="1">
        <f t="array" aca="1" ref="C361" ca="1">INDIRECT(LEFT(I361, FIND("!", I361)) &amp; RefData!$C$426 &amp; RIGHT(I361, LEN(I361) - FIND("!", I361) - 1))</f>
        <v>Year 28</v>
      </c>
      <c r="D361" s="92" t="str">
        <f t="shared" ca="1" si="43"/>
        <v/>
      </c>
      <c r="E361" s="708" t="str" cm="1">
        <f t="array" aca="1" ref="E361" ca="1">IF(INDIRECT($I361)= "", "", INDIRECT($I361))</f>
        <v/>
      </c>
      <c r="F361" s="709" t="str" cm="1">
        <f t="array" aca="1" ref="F361" ca="1">INDIRECT(LEFT(I361, FIND("!", I361)) &amp; RefData!$C$427 &amp; RIGHT(I361, LEN(I361) - FIND("!", I361) - 1))</f>
        <v>FYA 28.0</v>
      </c>
      <c r="G361" s="710" t="b">
        <f ca="1">IF(ISNUMBER(SEARCH(RefData!$B$2, $C361)), FALSE, TRUE)</f>
        <v>1</v>
      </c>
      <c r="H361" s="344">
        <f>'40-year assumptions'!H34</f>
        <v>0</v>
      </c>
      <c r="I361" s="712" t="str">
        <f t="shared" ca="1" si="49"/>
        <v>'40-year assumptions'!H34</v>
      </c>
      <c r="J361" s="713" t="b" cm="1">
        <f t="array" aca="1" ref="J361" ca="1">IF(COUNTIF($K361:$T361, "&lt;&gt;FALSE") - COUNTBLANK($K361:$T361) &gt; 0, INDEX($K361:$T361, MATCH(TRUE, $K361:$T361 &lt;&gt; FALSE, 0)))</f>
        <v>0</v>
      </c>
      <c r="K361" s="712" t="b">
        <f ca="1">IF(AND('Start here'!$C$24=RefData!$B$5,'Other assumptions'!$C$10=RefData!$B$50,'Reconciliation report'!$E361=""),ErrorMsgs!$B361)</f>
        <v>0</v>
      </c>
      <c r="L361" s="712" t="b">
        <f ca="1">IF(AND('Start here'!$C$24=RefData!$B$5,'Other assumptions'!$C$10=RefData!$B$51,'Reconciliation report'!$E361&lt;&gt;""),ErrorMsgs!$C361)</f>
        <v>0</v>
      </c>
      <c r="M361" s="714" t="b">
        <f ca="1">IF(AND('Start here'!$C$24=RefData!$B$4,'Discount rates'!$C$7=RefData!$B$8,'Other assumptions'!$C$10=RefData!$B$50,$E361=""),ErrorMsgs!$D361)</f>
        <v>0</v>
      </c>
      <c r="N361" s="714" t="b">
        <f ca="1">IF(AND('Start here'!$C$24=RefData!$B$4,'Discount rates'!$C$7=RefData!$B$8,'Other assumptions'!$C$10=RefData!$B$51,$E361&lt;&gt;""),ErrorMsgs!$E361)</f>
        <v>0</v>
      </c>
      <c r="O361" s="712" t="b">
        <f ca="1">IF(AND('Start here'!$C$24=RefData!$B$4,'Discount rates'!$C$7=RefData!$B$7,'Reconciliation report'!$E361&lt;&gt;""),ErrorMsgs!$F361)</f>
        <v>0</v>
      </c>
      <c r="P361" s="712" t="b">
        <f ca="1">IF($E361&lt;0,ErrorMsgs!$G361)</f>
        <v>0</v>
      </c>
      <c r="Q361" s="712" t="b">
        <f ca="1">IF($E361="",FALSE,IF($E361&gt;0.25,ErrorMsgs!$H361))</f>
        <v>0</v>
      </c>
      <c r="R361" s="712"/>
      <c r="S361" s="712"/>
      <c r="T361" s="712"/>
      <c r="U361" s="526" t="str">
        <f t="shared" ca="1" si="45"/>
        <v/>
      </c>
      <c r="V361" s="93" t="str" cm="1">
        <f t="array" aca="1" ref="V361" ca="1">CELL("format",INDIRECT(I361))</f>
        <v>P4</v>
      </c>
      <c r="W361" s="93" t="b">
        <f t="shared" ca="1" si="46"/>
        <v>0</v>
      </c>
      <c r="X361" s="715" t="str">
        <f t="shared" ca="1" si="44"/>
        <v/>
      </c>
      <c r="Y361" t="b">
        <f t="shared" ca="1" si="47"/>
        <v>1</v>
      </c>
    </row>
    <row r="362" spans="1:25" ht="63" customHeight="1">
      <c r="A362" s="705" t="s">
        <v>3368</v>
      </c>
      <c r="B362" s="716" t="str">
        <f t="shared" ca="1" si="48"/>
        <v>40-year assumptions - H35</v>
      </c>
      <c r="C362" s="707" t="str" cm="1">
        <f t="array" aca="1" ref="C362" ca="1">INDIRECT(LEFT(I362, FIND("!", I362)) &amp; RefData!$C$426 &amp; RIGHT(I362, LEN(I362) - FIND("!", I362) - 1))</f>
        <v>Year 29</v>
      </c>
      <c r="D362" s="92" t="str">
        <f t="shared" ca="1" si="43"/>
        <v/>
      </c>
      <c r="E362" s="708" t="str" cm="1">
        <f t="array" aca="1" ref="E362" ca="1">IF(INDIRECT($I362)= "", "", INDIRECT($I362))</f>
        <v/>
      </c>
      <c r="F362" s="709" t="str" cm="1">
        <f t="array" aca="1" ref="F362" ca="1">INDIRECT(LEFT(I362, FIND("!", I362)) &amp; RefData!$C$427 &amp; RIGHT(I362, LEN(I362) - FIND("!", I362) - 1))</f>
        <v>FYA 29.0</v>
      </c>
      <c r="G362" s="710" t="b">
        <f ca="1">IF(ISNUMBER(SEARCH(RefData!$B$2, $C362)), FALSE, TRUE)</f>
        <v>1</v>
      </c>
      <c r="H362" s="344">
        <f>'40-year assumptions'!H35</f>
        <v>0</v>
      </c>
      <c r="I362" s="712" t="str">
        <f t="shared" ca="1" si="49"/>
        <v>'40-year assumptions'!H35</v>
      </c>
      <c r="J362" s="713" t="b" cm="1">
        <f t="array" aca="1" ref="J362" ca="1">IF(COUNTIF($K362:$T362, "&lt;&gt;FALSE") - COUNTBLANK($K362:$T362) &gt; 0, INDEX($K362:$T362, MATCH(TRUE, $K362:$T362 &lt;&gt; FALSE, 0)))</f>
        <v>0</v>
      </c>
      <c r="K362" s="712" t="b">
        <f ca="1">IF(AND('Start here'!$C$24=RefData!$B$5,'Other assumptions'!$C$10=RefData!$B$50,'Reconciliation report'!$E362=""),ErrorMsgs!$B362)</f>
        <v>0</v>
      </c>
      <c r="L362" s="712" t="b">
        <f ca="1">IF(AND('Start here'!$C$24=RefData!$B$5,'Other assumptions'!$C$10=RefData!$B$51,'Reconciliation report'!$E362&lt;&gt;""),ErrorMsgs!$C362)</f>
        <v>0</v>
      </c>
      <c r="M362" s="714" t="b">
        <f ca="1">IF(AND('Start here'!$C$24=RefData!$B$4,'Discount rates'!$C$7=RefData!$B$8,'Other assumptions'!$C$10=RefData!$B$50,$E362=""),ErrorMsgs!$D362)</f>
        <v>0</v>
      </c>
      <c r="N362" s="714" t="b">
        <f ca="1">IF(AND('Start here'!$C$24=RefData!$B$4,'Discount rates'!$C$7=RefData!$B$8,'Other assumptions'!$C$10=RefData!$B$51,$E362&lt;&gt;""),ErrorMsgs!$E362)</f>
        <v>0</v>
      </c>
      <c r="O362" s="712" t="b">
        <f ca="1">IF(AND('Start here'!$C$24=RefData!$B$4,'Discount rates'!$C$7=RefData!$B$7,'Reconciliation report'!$E362&lt;&gt;""),ErrorMsgs!$F362)</f>
        <v>0</v>
      </c>
      <c r="P362" s="712" t="b">
        <f ca="1">IF($E362&lt;0,ErrorMsgs!$G362)</f>
        <v>0</v>
      </c>
      <c r="Q362" s="712" t="b">
        <f ca="1">IF($E362="",FALSE,IF($E362&gt;0.25,ErrorMsgs!$H362))</f>
        <v>0</v>
      </c>
      <c r="R362" s="712"/>
      <c r="S362" s="712"/>
      <c r="T362" s="712"/>
      <c r="U362" s="526" t="str">
        <f t="shared" ca="1" si="45"/>
        <v/>
      </c>
      <c r="V362" s="93" t="str" cm="1">
        <f t="array" aca="1" ref="V362" ca="1">CELL("format",INDIRECT(I362))</f>
        <v>P4</v>
      </c>
      <c r="W362" s="93" t="b">
        <f t="shared" ca="1" si="46"/>
        <v>0</v>
      </c>
      <c r="X362" s="715" t="str">
        <f t="shared" ca="1" si="44"/>
        <v/>
      </c>
      <c r="Y362" t="b">
        <f t="shared" ca="1" si="47"/>
        <v>1</v>
      </c>
    </row>
    <row r="363" spans="1:25" ht="63" customHeight="1">
      <c r="A363" s="705" t="s">
        <v>3369</v>
      </c>
      <c r="B363" s="716" t="str">
        <f t="shared" ca="1" si="48"/>
        <v>40-year assumptions - H36</v>
      </c>
      <c r="C363" s="707" t="str" cm="1">
        <f t="array" aca="1" ref="C363" ca="1">INDIRECT(LEFT(I363, FIND("!", I363)) &amp; RefData!$C$426 &amp; RIGHT(I363, LEN(I363) - FIND("!", I363) - 1))</f>
        <v>Year 30</v>
      </c>
      <c r="D363" s="92" t="str">
        <f t="shared" ca="1" si="43"/>
        <v/>
      </c>
      <c r="E363" s="708" t="str" cm="1">
        <f t="array" aca="1" ref="E363" ca="1">IF(INDIRECT($I363)= "", "", INDIRECT($I363))</f>
        <v/>
      </c>
      <c r="F363" s="709" t="str" cm="1">
        <f t="array" aca="1" ref="F363" ca="1">INDIRECT(LEFT(I363, FIND("!", I363)) &amp; RefData!$C$427 &amp; RIGHT(I363, LEN(I363) - FIND("!", I363) - 1))</f>
        <v>FYA 30.0</v>
      </c>
      <c r="G363" s="710" t="b">
        <f ca="1">IF(ISNUMBER(SEARCH(RefData!$B$2, $C363)), FALSE, TRUE)</f>
        <v>1</v>
      </c>
      <c r="H363" s="344">
        <f>'40-year assumptions'!H36</f>
        <v>0</v>
      </c>
      <c r="I363" s="712" t="str">
        <f t="shared" ca="1" si="49"/>
        <v>'40-year assumptions'!H36</v>
      </c>
      <c r="J363" s="713" t="b" cm="1">
        <f t="array" aca="1" ref="J363" ca="1">IF(COUNTIF($K363:$T363, "&lt;&gt;FALSE") - COUNTBLANK($K363:$T363) &gt; 0, INDEX($K363:$T363, MATCH(TRUE, $K363:$T363 &lt;&gt; FALSE, 0)))</f>
        <v>0</v>
      </c>
      <c r="K363" s="712" t="b">
        <f ca="1">IF(AND('Start here'!$C$24=RefData!$B$5,'Other assumptions'!$C$10=RefData!$B$50,'Reconciliation report'!$E363=""),ErrorMsgs!$B363)</f>
        <v>0</v>
      </c>
      <c r="L363" s="712" t="b">
        <f ca="1">IF(AND('Start here'!$C$24=RefData!$B$5,'Other assumptions'!$C$10=RefData!$B$51,'Reconciliation report'!$E363&lt;&gt;""),ErrorMsgs!$C363)</f>
        <v>0</v>
      </c>
      <c r="M363" s="714" t="b">
        <f ca="1">IF(AND('Start here'!$C$24=RefData!$B$4,'Discount rates'!$C$7=RefData!$B$8,'Other assumptions'!$C$10=RefData!$B$50,$E363=""),ErrorMsgs!$D363)</f>
        <v>0</v>
      </c>
      <c r="N363" s="714" t="b">
        <f ca="1">IF(AND('Start here'!$C$24=RefData!$B$4,'Discount rates'!$C$7=RefData!$B$8,'Other assumptions'!$C$10=RefData!$B$51,$E363&lt;&gt;""),ErrorMsgs!$E363)</f>
        <v>0</v>
      </c>
      <c r="O363" s="712" t="b">
        <f ca="1">IF(AND('Start here'!$C$24=RefData!$B$4,'Discount rates'!$C$7=RefData!$B$7,'Reconciliation report'!$E363&lt;&gt;""),ErrorMsgs!$F363)</f>
        <v>0</v>
      </c>
      <c r="P363" s="712" t="b">
        <f ca="1">IF($E363&lt;0,ErrorMsgs!$G363)</f>
        <v>0</v>
      </c>
      <c r="Q363" s="712" t="b">
        <f ca="1">IF($E363="",FALSE,IF($E363&gt;0.25,ErrorMsgs!$H363))</f>
        <v>0</v>
      </c>
      <c r="R363" s="712"/>
      <c r="S363" s="712"/>
      <c r="T363" s="712"/>
      <c r="U363" s="526" t="str">
        <f t="shared" ca="1" si="45"/>
        <v/>
      </c>
      <c r="V363" s="93" t="str" cm="1">
        <f t="array" aca="1" ref="V363" ca="1">CELL("format",INDIRECT(I363))</f>
        <v>P4</v>
      </c>
      <c r="W363" s="93" t="b">
        <f t="shared" ca="1" si="46"/>
        <v>0</v>
      </c>
      <c r="X363" s="715" t="str">
        <f t="shared" ca="1" si="44"/>
        <v/>
      </c>
      <c r="Y363" t="b">
        <f t="shared" ca="1" si="47"/>
        <v>1</v>
      </c>
    </row>
    <row r="364" spans="1:25" ht="63" customHeight="1">
      <c r="A364" s="705" t="s">
        <v>3370</v>
      </c>
      <c r="B364" s="716" t="str">
        <f t="shared" ca="1" si="48"/>
        <v>40-year assumptions - H37</v>
      </c>
      <c r="C364" s="707" t="str" cm="1">
        <f t="array" aca="1" ref="C364" ca="1">INDIRECT(LEFT(I364, FIND("!", I364)) &amp; RefData!$C$426 &amp; RIGHT(I364, LEN(I364) - FIND("!", I364) - 1))</f>
        <v>Year 31</v>
      </c>
      <c r="D364" s="92" t="str">
        <f t="shared" ca="1" si="43"/>
        <v/>
      </c>
      <c r="E364" s="708" t="str" cm="1">
        <f t="array" aca="1" ref="E364" ca="1">IF(INDIRECT($I364)= "", "", INDIRECT($I364))</f>
        <v/>
      </c>
      <c r="F364" s="709" t="str" cm="1">
        <f t="array" aca="1" ref="F364" ca="1">INDIRECT(LEFT(I364, FIND("!", I364)) &amp; RefData!$C$427 &amp; RIGHT(I364, LEN(I364) - FIND("!", I364) - 1))</f>
        <v>FYA 31.0</v>
      </c>
      <c r="G364" s="710" t="b">
        <f ca="1">IF(ISNUMBER(SEARCH(RefData!$B$2, $C364)), FALSE, TRUE)</f>
        <v>1</v>
      </c>
      <c r="H364" s="344">
        <f>'40-year assumptions'!H37</f>
        <v>0</v>
      </c>
      <c r="I364" s="712" t="str">
        <f t="shared" ca="1" si="49"/>
        <v>'40-year assumptions'!H37</v>
      </c>
      <c r="J364" s="713" t="b" cm="1">
        <f t="array" aca="1" ref="J364" ca="1">IF(COUNTIF($K364:$T364, "&lt;&gt;FALSE") - COUNTBLANK($K364:$T364) &gt; 0, INDEX($K364:$T364, MATCH(TRUE, $K364:$T364 &lt;&gt; FALSE, 0)))</f>
        <v>0</v>
      </c>
      <c r="K364" s="712" t="b">
        <f ca="1">IF(AND('Start here'!$C$24=RefData!$B$5,'Other assumptions'!$C$10=RefData!$B$50,'Reconciliation report'!$E364=""),ErrorMsgs!$B364)</f>
        <v>0</v>
      </c>
      <c r="L364" s="712" t="b">
        <f ca="1">IF(AND('Start here'!$C$24=RefData!$B$5,'Other assumptions'!$C$10=RefData!$B$51,'Reconciliation report'!$E364&lt;&gt;""),ErrorMsgs!$C364)</f>
        <v>0</v>
      </c>
      <c r="M364" s="714" t="b">
        <f ca="1">IF(AND('Start here'!$C$24=RefData!$B$4,'Discount rates'!$C$7=RefData!$B$8,'Other assumptions'!$C$10=RefData!$B$50,$E364=""),ErrorMsgs!$D364)</f>
        <v>0</v>
      </c>
      <c r="N364" s="714" t="b">
        <f ca="1">IF(AND('Start here'!$C$24=RefData!$B$4,'Discount rates'!$C$7=RefData!$B$8,'Other assumptions'!$C$10=RefData!$B$51,$E364&lt;&gt;""),ErrorMsgs!$E364)</f>
        <v>0</v>
      </c>
      <c r="O364" s="712" t="b">
        <f ca="1">IF(AND('Start here'!$C$24=RefData!$B$4,'Discount rates'!$C$7=RefData!$B$7,'Reconciliation report'!$E364&lt;&gt;""),ErrorMsgs!$F364)</f>
        <v>0</v>
      </c>
      <c r="P364" s="712" t="b">
        <f ca="1">IF($E364&lt;0,ErrorMsgs!$G364)</f>
        <v>0</v>
      </c>
      <c r="Q364" s="712" t="b">
        <f ca="1">IF($E364="",FALSE,IF($E364&gt;0.25,ErrorMsgs!$H364))</f>
        <v>0</v>
      </c>
      <c r="R364" s="712"/>
      <c r="S364" s="712"/>
      <c r="T364" s="712"/>
      <c r="U364" s="526" t="str">
        <f t="shared" ca="1" si="45"/>
        <v/>
      </c>
      <c r="V364" s="93" t="str" cm="1">
        <f t="array" aca="1" ref="V364" ca="1">CELL("format",INDIRECT(I364))</f>
        <v>P4</v>
      </c>
      <c r="W364" s="93" t="b">
        <f t="shared" ca="1" si="46"/>
        <v>0</v>
      </c>
      <c r="X364" s="715" t="str">
        <f t="shared" ca="1" si="44"/>
        <v/>
      </c>
      <c r="Y364" t="b">
        <f t="shared" ca="1" si="47"/>
        <v>1</v>
      </c>
    </row>
    <row r="365" spans="1:25" ht="63" customHeight="1">
      <c r="A365" s="705" t="s">
        <v>3371</v>
      </c>
      <c r="B365" s="716" t="str">
        <f t="shared" ca="1" si="48"/>
        <v>40-year assumptions - H38</v>
      </c>
      <c r="C365" s="707" t="str" cm="1">
        <f t="array" aca="1" ref="C365" ca="1">INDIRECT(LEFT(I365, FIND("!", I365)) &amp; RefData!$C$426 &amp; RIGHT(I365, LEN(I365) - FIND("!", I365) - 1))</f>
        <v>Year 32</v>
      </c>
      <c r="D365" s="92" t="str">
        <f t="shared" ca="1" si="43"/>
        <v/>
      </c>
      <c r="E365" s="708" t="str" cm="1">
        <f t="array" aca="1" ref="E365" ca="1">IF(INDIRECT($I365)= "", "", INDIRECT($I365))</f>
        <v/>
      </c>
      <c r="F365" s="709" t="str" cm="1">
        <f t="array" aca="1" ref="F365" ca="1">INDIRECT(LEFT(I365, FIND("!", I365)) &amp; RefData!$C$427 &amp; RIGHT(I365, LEN(I365) - FIND("!", I365) - 1))</f>
        <v>FYA 32.0</v>
      </c>
      <c r="G365" s="710" t="b">
        <f ca="1">IF(ISNUMBER(SEARCH(RefData!$B$2, $C365)), FALSE, TRUE)</f>
        <v>1</v>
      </c>
      <c r="H365" s="344">
        <f>'40-year assumptions'!H38</f>
        <v>0</v>
      </c>
      <c r="I365" s="712" t="str">
        <f t="shared" ca="1" si="49"/>
        <v>'40-year assumptions'!H38</v>
      </c>
      <c r="J365" s="713" t="b" cm="1">
        <f t="array" aca="1" ref="J365" ca="1">IF(COUNTIF($K365:$T365, "&lt;&gt;FALSE") - COUNTBLANK($K365:$T365) &gt; 0, INDEX($K365:$T365, MATCH(TRUE, $K365:$T365 &lt;&gt; FALSE, 0)))</f>
        <v>0</v>
      </c>
      <c r="K365" s="712" t="b">
        <f ca="1">IF(AND('Start here'!$C$24=RefData!$B$5,'Other assumptions'!$C$10=RefData!$B$50,'Reconciliation report'!$E365=""),ErrorMsgs!$B365)</f>
        <v>0</v>
      </c>
      <c r="L365" s="712" t="b">
        <f ca="1">IF(AND('Start here'!$C$24=RefData!$B$5,'Other assumptions'!$C$10=RefData!$B$51,'Reconciliation report'!$E365&lt;&gt;""),ErrorMsgs!$C365)</f>
        <v>0</v>
      </c>
      <c r="M365" s="714" t="b">
        <f ca="1">IF(AND('Start here'!$C$24=RefData!$B$4,'Discount rates'!$C$7=RefData!$B$8,'Other assumptions'!$C$10=RefData!$B$50,$E365=""),ErrorMsgs!$D365)</f>
        <v>0</v>
      </c>
      <c r="N365" s="714" t="b">
        <f ca="1">IF(AND('Start here'!$C$24=RefData!$B$4,'Discount rates'!$C$7=RefData!$B$8,'Other assumptions'!$C$10=RefData!$B$51,$E365&lt;&gt;""),ErrorMsgs!$E365)</f>
        <v>0</v>
      </c>
      <c r="O365" s="712" t="b">
        <f ca="1">IF(AND('Start here'!$C$24=RefData!$B$4,'Discount rates'!$C$7=RefData!$B$7,'Reconciliation report'!$E365&lt;&gt;""),ErrorMsgs!$F365)</f>
        <v>0</v>
      </c>
      <c r="P365" s="712" t="b">
        <f ca="1">IF($E365&lt;0,ErrorMsgs!$G365)</f>
        <v>0</v>
      </c>
      <c r="Q365" s="712" t="b">
        <f ca="1">IF($E365="",FALSE,IF($E365&gt;0.25,ErrorMsgs!$H365))</f>
        <v>0</v>
      </c>
      <c r="R365" s="712"/>
      <c r="S365" s="712"/>
      <c r="T365" s="712"/>
      <c r="U365" s="526" t="str">
        <f t="shared" ca="1" si="45"/>
        <v/>
      </c>
      <c r="V365" s="93" t="str" cm="1">
        <f t="array" aca="1" ref="V365" ca="1">CELL("format",INDIRECT(I365))</f>
        <v>P4</v>
      </c>
      <c r="W365" s="93" t="b">
        <f t="shared" ca="1" si="46"/>
        <v>0</v>
      </c>
      <c r="X365" s="715" t="str">
        <f t="shared" ca="1" si="44"/>
        <v/>
      </c>
      <c r="Y365" t="b">
        <f t="shared" ca="1" si="47"/>
        <v>1</v>
      </c>
    </row>
    <row r="366" spans="1:25" ht="63" customHeight="1">
      <c r="A366" s="705" t="s">
        <v>3372</v>
      </c>
      <c r="B366" s="716" t="str">
        <f t="shared" ca="1" si="48"/>
        <v>40-year assumptions - H39</v>
      </c>
      <c r="C366" s="707" t="str" cm="1">
        <f t="array" aca="1" ref="C366" ca="1">INDIRECT(LEFT(I366, FIND("!", I366)) &amp; RefData!$C$426 &amp; RIGHT(I366, LEN(I366) - FIND("!", I366) - 1))</f>
        <v>Year 33</v>
      </c>
      <c r="D366" s="92" t="str">
        <f t="shared" ca="1" si="43"/>
        <v/>
      </c>
      <c r="E366" s="708" t="str" cm="1">
        <f t="array" aca="1" ref="E366" ca="1">IF(INDIRECT($I366)= "", "", INDIRECT($I366))</f>
        <v/>
      </c>
      <c r="F366" s="709" t="str" cm="1">
        <f t="array" aca="1" ref="F366" ca="1">INDIRECT(LEFT(I366, FIND("!", I366)) &amp; RefData!$C$427 &amp; RIGHT(I366, LEN(I366) - FIND("!", I366) - 1))</f>
        <v>FYA 33.0</v>
      </c>
      <c r="G366" s="710" t="b">
        <f ca="1">IF(ISNUMBER(SEARCH(RefData!$B$2, $C366)), FALSE, TRUE)</f>
        <v>1</v>
      </c>
      <c r="H366" s="344">
        <f>'40-year assumptions'!H39</f>
        <v>0</v>
      </c>
      <c r="I366" s="712" t="str">
        <f t="shared" ca="1" si="49"/>
        <v>'40-year assumptions'!H39</v>
      </c>
      <c r="J366" s="713" t="b" cm="1">
        <f t="array" aca="1" ref="J366" ca="1">IF(COUNTIF($K366:$T366, "&lt;&gt;FALSE") - COUNTBLANK($K366:$T366) &gt; 0, INDEX($K366:$T366, MATCH(TRUE, $K366:$T366 &lt;&gt; FALSE, 0)))</f>
        <v>0</v>
      </c>
      <c r="K366" s="712" t="b">
        <f ca="1">IF(AND('Start here'!$C$24=RefData!$B$5,'Other assumptions'!$C$10=RefData!$B$50,'Reconciliation report'!$E366=""),ErrorMsgs!$B366)</f>
        <v>0</v>
      </c>
      <c r="L366" s="712" t="b">
        <f ca="1">IF(AND('Start here'!$C$24=RefData!$B$5,'Other assumptions'!$C$10=RefData!$B$51,'Reconciliation report'!$E366&lt;&gt;""),ErrorMsgs!$C366)</f>
        <v>0</v>
      </c>
      <c r="M366" s="714" t="b">
        <f ca="1">IF(AND('Start here'!$C$24=RefData!$B$4,'Discount rates'!$C$7=RefData!$B$8,'Other assumptions'!$C$10=RefData!$B$50,$E366=""),ErrorMsgs!$D366)</f>
        <v>0</v>
      </c>
      <c r="N366" s="714" t="b">
        <f ca="1">IF(AND('Start here'!$C$24=RefData!$B$4,'Discount rates'!$C$7=RefData!$B$8,'Other assumptions'!$C$10=RefData!$B$51,$E366&lt;&gt;""),ErrorMsgs!$E366)</f>
        <v>0</v>
      </c>
      <c r="O366" s="712" t="b">
        <f ca="1">IF(AND('Start here'!$C$24=RefData!$B$4,'Discount rates'!$C$7=RefData!$B$7,'Reconciliation report'!$E366&lt;&gt;""),ErrorMsgs!$F366)</f>
        <v>0</v>
      </c>
      <c r="P366" s="712" t="b">
        <f ca="1">IF($E366&lt;0,ErrorMsgs!$G366)</f>
        <v>0</v>
      </c>
      <c r="Q366" s="712" t="b">
        <f ca="1">IF($E366="",FALSE,IF($E366&gt;0.25,ErrorMsgs!$H366))</f>
        <v>0</v>
      </c>
      <c r="R366" s="712"/>
      <c r="S366" s="712"/>
      <c r="T366" s="712"/>
      <c r="U366" s="526" t="str">
        <f t="shared" ca="1" si="45"/>
        <v/>
      </c>
      <c r="V366" s="93" t="str" cm="1">
        <f t="array" aca="1" ref="V366" ca="1">CELL("format",INDIRECT(I366))</f>
        <v>P4</v>
      </c>
      <c r="W366" s="93" t="b">
        <f t="shared" ca="1" si="46"/>
        <v>0</v>
      </c>
      <c r="X366" s="715" t="str">
        <f t="shared" ca="1" si="44"/>
        <v/>
      </c>
      <c r="Y366" t="b">
        <f t="shared" ca="1" si="47"/>
        <v>1</v>
      </c>
    </row>
    <row r="367" spans="1:25" ht="63" customHeight="1">
      <c r="A367" s="705" t="s">
        <v>3373</v>
      </c>
      <c r="B367" s="716" t="str">
        <f t="shared" ca="1" si="48"/>
        <v>40-year assumptions - H40</v>
      </c>
      <c r="C367" s="707" t="str" cm="1">
        <f t="array" aca="1" ref="C367" ca="1">INDIRECT(LEFT(I367, FIND("!", I367)) &amp; RefData!$C$426 &amp; RIGHT(I367, LEN(I367) - FIND("!", I367) - 1))</f>
        <v>Year 34</v>
      </c>
      <c r="D367" s="92" t="str">
        <f t="shared" ca="1" si="43"/>
        <v/>
      </c>
      <c r="E367" s="708" t="str" cm="1">
        <f t="array" aca="1" ref="E367" ca="1">IF(INDIRECT($I367)= "", "", INDIRECT($I367))</f>
        <v/>
      </c>
      <c r="F367" s="709" t="str" cm="1">
        <f t="array" aca="1" ref="F367" ca="1">INDIRECT(LEFT(I367, FIND("!", I367)) &amp; RefData!$C$427 &amp; RIGHT(I367, LEN(I367) - FIND("!", I367) - 1))</f>
        <v>FYA 34.0</v>
      </c>
      <c r="G367" s="710" t="b">
        <f ca="1">IF(ISNUMBER(SEARCH(RefData!$B$2, $C367)), FALSE, TRUE)</f>
        <v>1</v>
      </c>
      <c r="H367" s="344">
        <f>'40-year assumptions'!H40</f>
        <v>0</v>
      </c>
      <c r="I367" s="712" t="str">
        <f t="shared" ca="1" si="49"/>
        <v>'40-year assumptions'!H40</v>
      </c>
      <c r="J367" s="713" t="b" cm="1">
        <f t="array" aca="1" ref="J367" ca="1">IF(COUNTIF($K367:$T367, "&lt;&gt;FALSE") - COUNTBLANK($K367:$T367) &gt; 0, INDEX($K367:$T367, MATCH(TRUE, $K367:$T367 &lt;&gt; FALSE, 0)))</f>
        <v>0</v>
      </c>
      <c r="K367" s="712" t="b">
        <f ca="1">IF(AND('Start here'!$C$24=RefData!$B$5,'Other assumptions'!$C$10=RefData!$B$50,'Reconciliation report'!$E367=""),ErrorMsgs!$B367)</f>
        <v>0</v>
      </c>
      <c r="L367" s="712" t="b">
        <f ca="1">IF(AND('Start here'!$C$24=RefData!$B$5,'Other assumptions'!$C$10=RefData!$B$51,'Reconciliation report'!$E367&lt;&gt;""),ErrorMsgs!$C367)</f>
        <v>0</v>
      </c>
      <c r="M367" s="714" t="b">
        <f ca="1">IF(AND('Start here'!$C$24=RefData!$B$4,'Discount rates'!$C$7=RefData!$B$8,'Other assumptions'!$C$10=RefData!$B$50,$E367=""),ErrorMsgs!$D367)</f>
        <v>0</v>
      </c>
      <c r="N367" s="714" t="b">
        <f ca="1">IF(AND('Start here'!$C$24=RefData!$B$4,'Discount rates'!$C$7=RefData!$B$8,'Other assumptions'!$C$10=RefData!$B$51,$E367&lt;&gt;""),ErrorMsgs!$E367)</f>
        <v>0</v>
      </c>
      <c r="O367" s="712" t="b">
        <f ca="1">IF(AND('Start here'!$C$24=RefData!$B$4,'Discount rates'!$C$7=RefData!$B$7,'Reconciliation report'!$E367&lt;&gt;""),ErrorMsgs!$F367)</f>
        <v>0</v>
      </c>
      <c r="P367" s="712" t="b">
        <f ca="1">IF($E367&lt;0,ErrorMsgs!$G367)</f>
        <v>0</v>
      </c>
      <c r="Q367" s="712" t="b">
        <f ca="1">IF($E367="",FALSE,IF($E367&gt;0.25,ErrorMsgs!$H367))</f>
        <v>0</v>
      </c>
      <c r="R367" s="712"/>
      <c r="S367" s="712"/>
      <c r="T367" s="712"/>
      <c r="U367" s="526" t="str">
        <f t="shared" ca="1" si="45"/>
        <v/>
      </c>
      <c r="V367" s="93" t="str" cm="1">
        <f t="array" aca="1" ref="V367" ca="1">CELL("format",INDIRECT(I367))</f>
        <v>P4</v>
      </c>
      <c r="W367" s="93" t="b">
        <f t="shared" ca="1" si="46"/>
        <v>0</v>
      </c>
      <c r="X367" s="715" t="str">
        <f t="shared" ca="1" si="44"/>
        <v/>
      </c>
      <c r="Y367" t="b">
        <f t="shared" ca="1" si="47"/>
        <v>1</v>
      </c>
    </row>
    <row r="368" spans="1:25" ht="63" customHeight="1">
      <c r="A368" s="705" t="s">
        <v>3374</v>
      </c>
      <c r="B368" s="716" t="str">
        <f t="shared" ca="1" si="48"/>
        <v>40-year assumptions - H41</v>
      </c>
      <c r="C368" s="707" t="str" cm="1">
        <f t="array" aca="1" ref="C368" ca="1">INDIRECT(LEFT(I368, FIND("!", I368)) &amp; RefData!$C$426 &amp; RIGHT(I368, LEN(I368) - FIND("!", I368) - 1))</f>
        <v>Year 35</v>
      </c>
      <c r="D368" s="92" t="str">
        <f t="shared" ca="1" si="43"/>
        <v/>
      </c>
      <c r="E368" s="708" t="str" cm="1">
        <f t="array" aca="1" ref="E368" ca="1">IF(INDIRECT($I368)= "", "", INDIRECT($I368))</f>
        <v/>
      </c>
      <c r="F368" s="709" t="str" cm="1">
        <f t="array" aca="1" ref="F368" ca="1">INDIRECT(LEFT(I368, FIND("!", I368)) &amp; RefData!$C$427 &amp; RIGHT(I368, LEN(I368) - FIND("!", I368) - 1))</f>
        <v>FYA 35.0</v>
      </c>
      <c r="G368" s="710" t="b">
        <f ca="1">IF(ISNUMBER(SEARCH(RefData!$B$2, $C368)), FALSE, TRUE)</f>
        <v>1</v>
      </c>
      <c r="H368" s="344">
        <f>'40-year assumptions'!H41</f>
        <v>0</v>
      </c>
      <c r="I368" s="712" t="str">
        <f t="shared" ca="1" si="49"/>
        <v>'40-year assumptions'!H41</v>
      </c>
      <c r="J368" s="713" t="b" cm="1">
        <f t="array" aca="1" ref="J368" ca="1">IF(COUNTIF($K368:$T368, "&lt;&gt;FALSE") - COUNTBLANK($K368:$T368) &gt; 0, INDEX($K368:$T368, MATCH(TRUE, $K368:$T368 &lt;&gt; FALSE, 0)))</f>
        <v>0</v>
      </c>
      <c r="K368" s="712" t="b">
        <f ca="1">IF(AND('Start here'!$C$24=RefData!$B$5,'Other assumptions'!$C$10=RefData!$B$50,'Reconciliation report'!$E368=""),ErrorMsgs!$B368)</f>
        <v>0</v>
      </c>
      <c r="L368" s="712" t="b">
        <f ca="1">IF(AND('Start here'!$C$24=RefData!$B$5,'Other assumptions'!$C$10=RefData!$B$51,'Reconciliation report'!$E368&lt;&gt;""),ErrorMsgs!$C368)</f>
        <v>0</v>
      </c>
      <c r="M368" s="714" t="b">
        <f ca="1">IF(AND('Start here'!$C$24=RefData!$B$4,'Discount rates'!$C$7=RefData!$B$8,'Other assumptions'!$C$10=RefData!$B$50,$E368=""),ErrorMsgs!$D368)</f>
        <v>0</v>
      </c>
      <c r="N368" s="714" t="b">
        <f ca="1">IF(AND('Start here'!$C$24=RefData!$B$4,'Discount rates'!$C$7=RefData!$B$8,'Other assumptions'!$C$10=RefData!$B$51,$E368&lt;&gt;""),ErrorMsgs!$E368)</f>
        <v>0</v>
      </c>
      <c r="O368" s="712" t="b">
        <f ca="1">IF(AND('Start here'!$C$24=RefData!$B$4,'Discount rates'!$C$7=RefData!$B$7,'Reconciliation report'!$E368&lt;&gt;""),ErrorMsgs!$F368)</f>
        <v>0</v>
      </c>
      <c r="P368" s="712" t="b">
        <f ca="1">IF($E368&lt;0,ErrorMsgs!$G368)</f>
        <v>0</v>
      </c>
      <c r="Q368" s="712" t="b">
        <f ca="1">IF($E368="",FALSE,IF($E368&gt;0.25,ErrorMsgs!$H368))</f>
        <v>0</v>
      </c>
      <c r="R368" s="712"/>
      <c r="S368" s="712"/>
      <c r="T368" s="712"/>
      <c r="U368" s="526" t="str">
        <f t="shared" ca="1" si="45"/>
        <v/>
      </c>
      <c r="V368" s="93" t="str" cm="1">
        <f t="array" aca="1" ref="V368" ca="1">CELL("format",INDIRECT(I368))</f>
        <v>P4</v>
      </c>
      <c r="W368" s="93" t="b">
        <f t="shared" ca="1" si="46"/>
        <v>0</v>
      </c>
      <c r="X368" s="715" t="str">
        <f t="shared" ca="1" si="44"/>
        <v/>
      </c>
      <c r="Y368" t="b">
        <f t="shared" ca="1" si="47"/>
        <v>1</v>
      </c>
    </row>
    <row r="369" spans="1:25" ht="63" customHeight="1">
      <c r="A369" s="705" t="s">
        <v>3375</v>
      </c>
      <c r="B369" s="716" t="str">
        <f t="shared" ca="1" si="48"/>
        <v>40-year assumptions - H42</v>
      </c>
      <c r="C369" s="707" t="str" cm="1">
        <f t="array" aca="1" ref="C369" ca="1">INDIRECT(LEFT(I369, FIND("!", I369)) &amp; RefData!$C$426 &amp; RIGHT(I369, LEN(I369) - FIND("!", I369) - 1))</f>
        <v>Year 36</v>
      </c>
      <c r="D369" s="92" t="str">
        <f t="shared" ca="1" si="43"/>
        <v/>
      </c>
      <c r="E369" s="708" t="str" cm="1">
        <f t="array" aca="1" ref="E369" ca="1">IF(INDIRECT($I369)= "", "", INDIRECT($I369))</f>
        <v/>
      </c>
      <c r="F369" s="709" t="str" cm="1">
        <f t="array" aca="1" ref="F369" ca="1">INDIRECT(LEFT(I369, FIND("!", I369)) &amp; RefData!$C$427 &amp; RIGHT(I369, LEN(I369) - FIND("!", I369) - 1))</f>
        <v>FYA 36.0</v>
      </c>
      <c r="G369" s="710" t="b">
        <f ca="1">IF(ISNUMBER(SEARCH(RefData!$B$2, $C369)), FALSE, TRUE)</f>
        <v>1</v>
      </c>
      <c r="H369" s="344">
        <f>'40-year assumptions'!H42</f>
        <v>0</v>
      </c>
      <c r="I369" s="712" t="str">
        <f t="shared" ca="1" si="49"/>
        <v>'40-year assumptions'!H42</v>
      </c>
      <c r="J369" s="713" t="b" cm="1">
        <f t="array" aca="1" ref="J369" ca="1">IF(COUNTIF($K369:$T369, "&lt;&gt;FALSE") - COUNTBLANK($K369:$T369) &gt; 0, INDEX($K369:$T369, MATCH(TRUE, $K369:$T369 &lt;&gt; FALSE, 0)))</f>
        <v>0</v>
      </c>
      <c r="K369" s="712" t="b">
        <f ca="1">IF(AND('Start here'!$C$24=RefData!$B$5,'Other assumptions'!$C$10=RefData!$B$50,'Reconciliation report'!$E369=""),ErrorMsgs!$B369)</f>
        <v>0</v>
      </c>
      <c r="L369" s="712" t="b">
        <f ca="1">IF(AND('Start here'!$C$24=RefData!$B$5,'Other assumptions'!$C$10=RefData!$B$51,'Reconciliation report'!$E369&lt;&gt;""),ErrorMsgs!$C369)</f>
        <v>0</v>
      </c>
      <c r="M369" s="714" t="b">
        <f ca="1">IF(AND('Start here'!$C$24=RefData!$B$4,'Discount rates'!$C$7=RefData!$B$8,'Other assumptions'!$C$10=RefData!$B$50,$E369=""),ErrorMsgs!$D369)</f>
        <v>0</v>
      </c>
      <c r="N369" s="714" t="b">
        <f ca="1">IF(AND('Start here'!$C$24=RefData!$B$4,'Discount rates'!$C$7=RefData!$B$8,'Other assumptions'!$C$10=RefData!$B$51,$E369&lt;&gt;""),ErrorMsgs!$E369)</f>
        <v>0</v>
      </c>
      <c r="O369" s="712" t="b">
        <f ca="1">IF(AND('Start here'!$C$24=RefData!$B$4,'Discount rates'!$C$7=RefData!$B$7,'Reconciliation report'!$E369&lt;&gt;""),ErrorMsgs!$F369)</f>
        <v>0</v>
      </c>
      <c r="P369" s="712" t="b">
        <f ca="1">IF($E369&lt;0,ErrorMsgs!$G369)</f>
        <v>0</v>
      </c>
      <c r="Q369" s="712" t="b">
        <f ca="1">IF($E369="",FALSE,IF($E369&gt;0.25,ErrorMsgs!$H369))</f>
        <v>0</v>
      </c>
      <c r="R369" s="712"/>
      <c r="S369" s="712"/>
      <c r="T369" s="712"/>
      <c r="U369" s="526" t="str">
        <f t="shared" ca="1" si="45"/>
        <v/>
      </c>
      <c r="V369" s="93" t="str" cm="1">
        <f t="array" aca="1" ref="V369" ca="1">CELL("format",INDIRECT(I369))</f>
        <v>P4</v>
      </c>
      <c r="W369" s="93" t="b">
        <f t="shared" ca="1" si="46"/>
        <v>0</v>
      </c>
      <c r="X369" s="715" t="str">
        <f t="shared" ca="1" si="44"/>
        <v/>
      </c>
      <c r="Y369" t="b">
        <f t="shared" ca="1" si="47"/>
        <v>1</v>
      </c>
    </row>
    <row r="370" spans="1:25" ht="63" customHeight="1">
      <c r="A370" s="705" t="s">
        <v>3376</v>
      </c>
      <c r="B370" s="716" t="str">
        <f t="shared" ca="1" si="48"/>
        <v>40-year assumptions - H43</v>
      </c>
      <c r="C370" s="707" t="str" cm="1">
        <f t="array" aca="1" ref="C370" ca="1">INDIRECT(LEFT(I370, FIND("!", I370)) &amp; RefData!$C$426 &amp; RIGHT(I370, LEN(I370) - FIND("!", I370) - 1))</f>
        <v>Year 37</v>
      </c>
      <c r="D370" s="92" t="str">
        <f t="shared" ca="1" si="43"/>
        <v/>
      </c>
      <c r="E370" s="708" t="str" cm="1">
        <f t="array" aca="1" ref="E370" ca="1">IF(INDIRECT($I370)= "", "", INDIRECT($I370))</f>
        <v/>
      </c>
      <c r="F370" s="709" t="str" cm="1">
        <f t="array" aca="1" ref="F370" ca="1">INDIRECT(LEFT(I370, FIND("!", I370)) &amp; RefData!$C$427 &amp; RIGHT(I370, LEN(I370) - FIND("!", I370) - 1))</f>
        <v>FYA 37.0</v>
      </c>
      <c r="G370" s="710" t="b">
        <f ca="1">IF(ISNUMBER(SEARCH(RefData!$B$2, $C370)), FALSE, TRUE)</f>
        <v>1</v>
      </c>
      <c r="H370" s="344">
        <f>'40-year assumptions'!H43</f>
        <v>0</v>
      </c>
      <c r="I370" s="712" t="str">
        <f t="shared" ca="1" si="49"/>
        <v>'40-year assumptions'!H43</v>
      </c>
      <c r="J370" s="713" t="b" cm="1">
        <f t="array" aca="1" ref="J370" ca="1">IF(COUNTIF($K370:$T370, "&lt;&gt;FALSE") - COUNTBLANK($K370:$T370) &gt; 0, INDEX($K370:$T370, MATCH(TRUE, $K370:$T370 &lt;&gt; FALSE, 0)))</f>
        <v>0</v>
      </c>
      <c r="K370" s="712" t="b">
        <f ca="1">IF(AND('Start here'!$C$24=RefData!$B$5,'Other assumptions'!$C$10=RefData!$B$50,'Reconciliation report'!$E370=""),ErrorMsgs!$B370)</f>
        <v>0</v>
      </c>
      <c r="L370" s="712" t="b">
        <f ca="1">IF(AND('Start here'!$C$24=RefData!$B$5,'Other assumptions'!$C$10=RefData!$B$51,'Reconciliation report'!$E370&lt;&gt;""),ErrorMsgs!$C370)</f>
        <v>0</v>
      </c>
      <c r="M370" s="714" t="b">
        <f ca="1">IF(AND('Start here'!$C$24=RefData!$B$4,'Discount rates'!$C$7=RefData!$B$8,'Other assumptions'!$C$10=RefData!$B$50,$E370=""),ErrorMsgs!$D370)</f>
        <v>0</v>
      </c>
      <c r="N370" s="714" t="b">
        <f ca="1">IF(AND('Start here'!$C$24=RefData!$B$4,'Discount rates'!$C$7=RefData!$B$8,'Other assumptions'!$C$10=RefData!$B$51,$E370&lt;&gt;""),ErrorMsgs!$E370)</f>
        <v>0</v>
      </c>
      <c r="O370" s="712" t="b">
        <f ca="1">IF(AND('Start here'!$C$24=RefData!$B$4,'Discount rates'!$C$7=RefData!$B$7,'Reconciliation report'!$E370&lt;&gt;""),ErrorMsgs!$F370)</f>
        <v>0</v>
      </c>
      <c r="P370" s="712" t="b">
        <f ca="1">IF($E370&lt;0,ErrorMsgs!$G370)</f>
        <v>0</v>
      </c>
      <c r="Q370" s="712" t="b">
        <f ca="1">IF($E370="",FALSE,IF($E370&gt;0.25,ErrorMsgs!$H370))</f>
        <v>0</v>
      </c>
      <c r="R370" s="712"/>
      <c r="S370" s="712"/>
      <c r="T370" s="712"/>
      <c r="U370" s="526" t="str">
        <f t="shared" ca="1" si="45"/>
        <v/>
      </c>
      <c r="V370" s="93" t="str" cm="1">
        <f t="array" aca="1" ref="V370" ca="1">CELL("format",INDIRECT(I370))</f>
        <v>P4</v>
      </c>
      <c r="W370" s="93" t="b">
        <f t="shared" ca="1" si="46"/>
        <v>0</v>
      </c>
      <c r="X370" s="715" t="str">
        <f t="shared" ca="1" si="44"/>
        <v/>
      </c>
      <c r="Y370" t="b">
        <f t="shared" ca="1" si="47"/>
        <v>1</v>
      </c>
    </row>
    <row r="371" spans="1:25" ht="63" customHeight="1">
      <c r="A371" s="705" t="s">
        <v>3377</v>
      </c>
      <c r="B371" s="716" t="str">
        <f t="shared" ca="1" si="48"/>
        <v>40-year assumptions - H44</v>
      </c>
      <c r="C371" s="707" t="str" cm="1">
        <f t="array" aca="1" ref="C371" ca="1">INDIRECT(LEFT(I371, FIND("!", I371)) &amp; RefData!$C$426 &amp; RIGHT(I371, LEN(I371) - FIND("!", I371) - 1))</f>
        <v>Year 38</v>
      </c>
      <c r="D371" s="92" t="str">
        <f t="shared" ca="1" si="43"/>
        <v/>
      </c>
      <c r="E371" s="708" t="str" cm="1">
        <f t="array" aca="1" ref="E371" ca="1">IF(INDIRECT($I371)= "", "", INDIRECT($I371))</f>
        <v/>
      </c>
      <c r="F371" s="709" t="str" cm="1">
        <f t="array" aca="1" ref="F371" ca="1">INDIRECT(LEFT(I371, FIND("!", I371)) &amp; RefData!$C$427 &amp; RIGHT(I371, LEN(I371) - FIND("!", I371) - 1))</f>
        <v>FYA 38.0</v>
      </c>
      <c r="G371" s="710" t="b">
        <f ca="1">IF(ISNUMBER(SEARCH(RefData!$B$2, $C371)), FALSE, TRUE)</f>
        <v>1</v>
      </c>
      <c r="H371" s="344">
        <f>'40-year assumptions'!H44</f>
        <v>0</v>
      </c>
      <c r="I371" s="712" t="str">
        <f t="shared" ca="1" si="49"/>
        <v>'40-year assumptions'!H44</v>
      </c>
      <c r="J371" s="713" t="b" cm="1">
        <f t="array" aca="1" ref="J371" ca="1">IF(COUNTIF($K371:$T371, "&lt;&gt;FALSE") - COUNTBLANK($K371:$T371) &gt; 0, INDEX($K371:$T371, MATCH(TRUE, $K371:$T371 &lt;&gt; FALSE, 0)))</f>
        <v>0</v>
      </c>
      <c r="K371" s="712" t="b">
        <f ca="1">IF(AND('Start here'!$C$24=RefData!$B$5,'Other assumptions'!$C$10=RefData!$B$50,'Reconciliation report'!$E371=""),ErrorMsgs!$B371)</f>
        <v>0</v>
      </c>
      <c r="L371" s="712" t="b">
        <f ca="1">IF(AND('Start here'!$C$24=RefData!$B$5,'Other assumptions'!$C$10=RefData!$B$51,'Reconciliation report'!$E371&lt;&gt;""),ErrorMsgs!$C371)</f>
        <v>0</v>
      </c>
      <c r="M371" s="714" t="b">
        <f ca="1">IF(AND('Start here'!$C$24=RefData!$B$4,'Discount rates'!$C$7=RefData!$B$8,'Other assumptions'!$C$10=RefData!$B$50,$E371=""),ErrorMsgs!$D371)</f>
        <v>0</v>
      </c>
      <c r="N371" s="714" t="b">
        <f ca="1">IF(AND('Start here'!$C$24=RefData!$B$4,'Discount rates'!$C$7=RefData!$B$8,'Other assumptions'!$C$10=RefData!$B$51,$E371&lt;&gt;""),ErrorMsgs!$E371)</f>
        <v>0</v>
      </c>
      <c r="O371" s="712" t="b">
        <f ca="1">IF(AND('Start here'!$C$24=RefData!$B$4,'Discount rates'!$C$7=RefData!$B$7,'Reconciliation report'!$E371&lt;&gt;""),ErrorMsgs!$F371)</f>
        <v>0</v>
      </c>
      <c r="P371" s="712" t="b">
        <f ca="1">IF($E371&lt;0,ErrorMsgs!$G371)</f>
        <v>0</v>
      </c>
      <c r="Q371" s="712" t="b">
        <f ca="1">IF($E371="",FALSE,IF($E371&gt;0.25,ErrorMsgs!$H371))</f>
        <v>0</v>
      </c>
      <c r="R371" s="712"/>
      <c r="S371" s="712"/>
      <c r="T371" s="712"/>
      <c r="U371" s="526" t="str">
        <f t="shared" ca="1" si="45"/>
        <v/>
      </c>
      <c r="V371" s="93" t="str" cm="1">
        <f t="array" aca="1" ref="V371" ca="1">CELL("format",INDIRECT(I371))</f>
        <v>P4</v>
      </c>
      <c r="W371" s="93" t="b">
        <f t="shared" ca="1" si="46"/>
        <v>0</v>
      </c>
      <c r="X371" s="715" t="str">
        <f t="shared" ca="1" si="44"/>
        <v/>
      </c>
      <c r="Y371" t="b">
        <f t="shared" ca="1" si="47"/>
        <v>1</v>
      </c>
    </row>
    <row r="372" spans="1:25" ht="63" customHeight="1">
      <c r="A372" s="705" t="s">
        <v>3378</v>
      </c>
      <c r="B372" s="716" t="str">
        <f t="shared" ca="1" si="48"/>
        <v>40-year assumptions - H45</v>
      </c>
      <c r="C372" s="707" t="str" cm="1">
        <f t="array" aca="1" ref="C372" ca="1">INDIRECT(LEFT(I372, FIND("!", I372)) &amp; RefData!$C$426 &amp; RIGHT(I372, LEN(I372) - FIND("!", I372) - 1))</f>
        <v>Year 39</v>
      </c>
      <c r="D372" s="92" t="str">
        <f t="shared" ca="1" si="43"/>
        <v/>
      </c>
      <c r="E372" s="708" t="str" cm="1">
        <f t="array" aca="1" ref="E372" ca="1">IF(INDIRECT($I372)= "", "", INDIRECT($I372))</f>
        <v/>
      </c>
      <c r="F372" s="709" t="str" cm="1">
        <f t="array" aca="1" ref="F372" ca="1">INDIRECT(LEFT(I372, FIND("!", I372)) &amp; RefData!$C$427 &amp; RIGHT(I372, LEN(I372) - FIND("!", I372) - 1))</f>
        <v>FYA 39.0</v>
      </c>
      <c r="G372" s="710" t="b">
        <f ca="1">IF(ISNUMBER(SEARCH(RefData!$B$2, $C372)), FALSE, TRUE)</f>
        <v>1</v>
      </c>
      <c r="H372" s="344">
        <f>'40-year assumptions'!H45</f>
        <v>0</v>
      </c>
      <c r="I372" s="712" t="str">
        <f t="shared" ca="1" si="49"/>
        <v>'40-year assumptions'!H45</v>
      </c>
      <c r="J372" s="713" t="b" cm="1">
        <f t="array" aca="1" ref="J372" ca="1">IF(COUNTIF($K372:$T372, "&lt;&gt;FALSE") - COUNTBLANK($K372:$T372) &gt; 0, INDEX($K372:$T372, MATCH(TRUE, $K372:$T372 &lt;&gt; FALSE, 0)))</f>
        <v>0</v>
      </c>
      <c r="K372" s="712" t="b">
        <f ca="1">IF(AND('Start here'!$C$24=RefData!$B$5,'Other assumptions'!$C$10=RefData!$B$50,'Reconciliation report'!$E372=""),ErrorMsgs!$B372)</f>
        <v>0</v>
      </c>
      <c r="L372" s="712" t="b">
        <f ca="1">IF(AND('Start here'!$C$24=RefData!$B$5,'Other assumptions'!$C$10=RefData!$B$51,'Reconciliation report'!$E372&lt;&gt;""),ErrorMsgs!$C372)</f>
        <v>0</v>
      </c>
      <c r="M372" s="714" t="b">
        <f ca="1">IF(AND('Start here'!$C$24=RefData!$B$4,'Discount rates'!$C$7=RefData!$B$8,'Other assumptions'!$C$10=RefData!$B$50,$E372=""),ErrorMsgs!$D372)</f>
        <v>0</v>
      </c>
      <c r="N372" s="714" t="b">
        <f ca="1">IF(AND('Start here'!$C$24=RefData!$B$4,'Discount rates'!$C$7=RefData!$B$8,'Other assumptions'!$C$10=RefData!$B$51,$E372&lt;&gt;""),ErrorMsgs!$E372)</f>
        <v>0</v>
      </c>
      <c r="O372" s="712" t="b">
        <f ca="1">IF(AND('Start here'!$C$24=RefData!$B$4,'Discount rates'!$C$7=RefData!$B$7,'Reconciliation report'!$E372&lt;&gt;""),ErrorMsgs!$F372)</f>
        <v>0</v>
      </c>
      <c r="P372" s="712" t="b">
        <f ca="1">IF($E372&lt;0,ErrorMsgs!$G372)</f>
        <v>0</v>
      </c>
      <c r="Q372" s="712" t="b">
        <f ca="1">IF($E372="",FALSE,IF($E372&gt;0.25,ErrorMsgs!$H372))</f>
        <v>0</v>
      </c>
      <c r="R372" s="712"/>
      <c r="S372" s="712"/>
      <c r="T372" s="712"/>
      <c r="U372" s="526" t="str">
        <f t="shared" ca="1" si="45"/>
        <v/>
      </c>
      <c r="V372" s="93" t="str" cm="1">
        <f t="array" aca="1" ref="V372" ca="1">CELL("format",INDIRECT(I372))</f>
        <v>P4</v>
      </c>
      <c r="W372" s="93" t="b">
        <f t="shared" ca="1" si="46"/>
        <v>0</v>
      </c>
      <c r="X372" s="715" t="str">
        <f t="shared" ca="1" si="44"/>
        <v/>
      </c>
      <c r="Y372" t="b">
        <f t="shared" ca="1" si="47"/>
        <v>1</v>
      </c>
    </row>
    <row r="373" spans="1:25" ht="63" customHeight="1">
      <c r="A373" s="705" t="s">
        <v>3379</v>
      </c>
      <c r="B373" s="716" t="str">
        <f t="shared" ca="1" si="48"/>
        <v>40-year assumptions - H46</v>
      </c>
      <c r="C373" s="707" t="str" cm="1">
        <f t="array" aca="1" ref="C373" ca="1">INDIRECT(LEFT(I373, FIND("!", I373)) &amp; RefData!$C$426 &amp; RIGHT(I373, LEN(I373) - FIND("!", I373) - 1))</f>
        <v>Year 40</v>
      </c>
      <c r="D373" s="92" t="str">
        <f t="shared" ca="1" si="43"/>
        <v/>
      </c>
      <c r="E373" s="708" t="str" cm="1">
        <f t="array" aca="1" ref="E373" ca="1">IF(INDIRECT($I373)= "", "", INDIRECT($I373))</f>
        <v/>
      </c>
      <c r="F373" s="709" t="str" cm="1">
        <f t="array" aca="1" ref="F373" ca="1">INDIRECT(LEFT(I373, FIND("!", I373)) &amp; RefData!$C$427 &amp; RIGHT(I373, LEN(I373) - FIND("!", I373) - 1))</f>
        <v>FYA 40.0</v>
      </c>
      <c r="G373" s="710" t="b">
        <f ca="1">IF(ISNUMBER(SEARCH(RefData!$B$2, $C373)), FALSE, TRUE)</f>
        <v>1</v>
      </c>
      <c r="H373" s="344">
        <f>'40-year assumptions'!H46</f>
        <v>0</v>
      </c>
      <c r="I373" s="712" t="str">
        <f t="shared" ca="1" si="49"/>
        <v>'40-year assumptions'!H46</v>
      </c>
      <c r="J373" s="713" t="b" cm="1">
        <f t="array" aca="1" ref="J373" ca="1">IF(COUNTIF($K373:$T373, "&lt;&gt;FALSE") - COUNTBLANK($K373:$T373) &gt; 0, INDEX($K373:$T373, MATCH(TRUE, $K373:$T373 &lt;&gt; FALSE, 0)))</f>
        <v>0</v>
      </c>
      <c r="K373" s="712" t="b">
        <f ca="1">IF(AND('Start here'!$C$24=RefData!$B$5,'Other assumptions'!$C$10=RefData!$B$50,'Reconciliation report'!$E373=""),ErrorMsgs!$B373)</f>
        <v>0</v>
      </c>
      <c r="L373" s="712" t="b">
        <f ca="1">IF(AND('Start here'!$C$24=RefData!$B$5,'Other assumptions'!$C$10=RefData!$B$51,'Reconciliation report'!$E373&lt;&gt;""),ErrorMsgs!$C373)</f>
        <v>0</v>
      </c>
      <c r="M373" s="714" t="b">
        <f ca="1">IF(AND('Start here'!$C$24=RefData!$B$4,'Discount rates'!$C$7=RefData!$B$8,'Other assumptions'!$C$10=RefData!$B$50,$E373=""),ErrorMsgs!$D373)</f>
        <v>0</v>
      </c>
      <c r="N373" s="714" t="b">
        <f ca="1">IF(AND('Start here'!$C$24=RefData!$B$4,'Discount rates'!$C$7=RefData!$B$8,'Other assumptions'!$C$10=RefData!$B$51,$E373&lt;&gt;""),ErrorMsgs!$E373)</f>
        <v>0</v>
      </c>
      <c r="O373" s="712" t="b">
        <f ca="1">IF(AND('Start here'!$C$24=RefData!$B$4,'Discount rates'!$C$7=RefData!$B$7,'Reconciliation report'!$E373&lt;&gt;""),ErrorMsgs!$F373)</f>
        <v>0</v>
      </c>
      <c r="P373" s="712" t="b">
        <f ca="1">IF($E373&lt;0,ErrorMsgs!$G373)</f>
        <v>0</v>
      </c>
      <c r="Q373" s="712" t="b">
        <f ca="1">IF($E373="",FALSE,IF($E373&gt;0.25,ErrorMsgs!$H373))</f>
        <v>0</v>
      </c>
      <c r="R373" s="712"/>
      <c r="S373" s="712"/>
      <c r="T373" s="712"/>
      <c r="U373" s="526" t="str">
        <f t="shared" ca="1" si="45"/>
        <v/>
      </c>
      <c r="V373" s="93" t="str" cm="1">
        <f t="array" aca="1" ref="V373" ca="1">CELL("format",INDIRECT(I373))</f>
        <v>P4</v>
      </c>
      <c r="W373" s="93" t="b">
        <f t="shared" ca="1" si="46"/>
        <v>0</v>
      </c>
      <c r="X373" s="715" t="str">
        <f t="shared" ca="1" si="44"/>
        <v/>
      </c>
      <c r="Y373" t="b">
        <f t="shared" ca="1" si="47"/>
        <v>1</v>
      </c>
    </row>
    <row r="374" spans="1:25" ht="46.5">
      <c r="A374" s="705" t="s">
        <v>3380</v>
      </c>
      <c r="B374" s="706" t="str">
        <f t="shared" ca="1" si="2"/>
        <v>Scheme benefit cash flow - C7</v>
      </c>
      <c r="C374" s="707" t="str" cm="1">
        <f t="array" aca="1" ref="C374" ca="1">INDIRECT(LEFT(I374, FIND("!", I374)) &amp; RefData!$C$426 &amp; RIGHT(I374, LEN(I374) - FIND("!", I374) - 1))</f>
        <v xml:space="preserve">
Are you providing scheme benefit cash flow information?
</v>
      </c>
      <c r="D374" s="92" t="str">
        <f t="shared" ca="1" si="43"/>
        <v/>
      </c>
      <c r="E374" s="708" t="str" cm="1">
        <f t="array" aca="1" ref="E374" ca="1">IF(INDIRECT($I374)= "", "", INDIRECT($I374))</f>
        <v/>
      </c>
      <c r="F374" s="709" t="str" cm="1">
        <f t="array" aca="1" ref="F374" ca="1">INDIRECT(LEFT(I374, FIND("!", I374)) &amp; RefData!$C$427 &amp; RIGHT(I374, LEN(I374) - FIND("!", I374) - 1))</f>
        <v>SBC 1.0</v>
      </c>
      <c r="G374" s="710" t="b">
        <f ca="1">IF(ISNUMBER(SEARCH(RefData!$B$2, $C374)), FALSE, TRUE)</f>
        <v>1</v>
      </c>
      <c r="H374" s="731">
        <f>'Scheme benefit cash flow'!C7</f>
        <v>0</v>
      </c>
      <c r="I374" s="712" t="str">
        <f t="shared" ca="1" si="14"/>
        <v>'Scheme benefit cash flow'!C7</v>
      </c>
      <c r="J374" s="713" t="b" cm="1">
        <f t="array" aca="1" ref="J374" ca="1">IF(COUNTIF($K374:$T374, "&lt;&gt;FALSE") - COUNTBLANK($K374:$T374) &gt; 0, INDEX($K374:$T374, MATCH(TRUE, $K374:$T374 &lt;&gt; FALSE, 0)))</f>
        <v>0</v>
      </c>
      <c r="K374" s="712" t="b">
        <f ca="1">IF(AND('Start here'!$C$26=RefData!$B$9, $E374&lt;&gt;""), ErrorMsgs!$B374)</f>
        <v>0</v>
      </c>
      <c r="L374" s="712" t="b">
        <f ca="1">IF(AND('Start here'!$C$24=RefData!$B$5, $E374&lt;&gt;""), ErrorMsgs!$C374)</f>
        <v>0</v>
      </c>
      <c r="M374" s="714" t="b">
        <f ca="1">IF(AND('Start here'!$C$26=RefData!$B$10,'Start here'!$C$24=RefData!$B$4, $E374=""), ErrorMsgs!$D374)</f>
        <v>0</v>
      </c>
      <c r="N374" s="714" t="b">
        <f ca="1">IF(E374="",FALSE,IF(AND('Start here'!$C$26&lt;&gt;RefData!$B$9,OR(ISNA(MATCH($E374,RefData!$B$25:$B$26,0)),$E374="")),ErrorMsgs!$E374))</f>
        <v>0</v>
      </c>
      <c r="O374" s="712"/>
      <c r="P374" s="712"/>
      <c r="Q374" s="712"/>
      <c r="R374" s="712"/>
      <c r="S374" s="712"/>
      <c r="T374" s="712"/>
      <c r="U374" s="526" t="str">
        <f t="shared" ca="1" si="45"/>
        <v/>
      </c>
      <c r="V374" s="93" t="str" cm="1">
        <f t="array" aca="1" ref="V374" ca="1">CELL("format",INDIRECT(I374))</f>
        <v>G</v>
      </c>
      <c r="W374" s="93" t="b">
        <f t="shared" ca="1" si="46"/>
        <v>0</v>
      </c>
      <c r="X374" s="715" t="str">
        <f t="shared" ca="1" si="44"/>
        <v/>
      </c>
      <c r="Y374" t="b">
        <f t="shared" ca="1" si="47"/>
        <v>1</v>
      </c>
    </row>
    <row r="375" spans="1:25" ht="62">
      <c r="A375" s="705" t="s">
        <v>3381</v>
      </c>
      <c r="B375" s="706" t="str">
        <f t="shared" ca="1" si="2"/>
        <v>Scheme benefit cash flow - C8</v>
      </c>
      <c r="C375" s="707" t="str" cm="1">
        <f t="array" aca="1" ref="C375" ca="1">INDIRECT(LEFT(I375, FIND("!", I375)) &amp; RefData!$C$426 &amp; RIGHT(I375, LEN(I375) - FIND("!", I375) - 1))</f>
        <v xml:space="preserve">
Do the cash flows include insured benefits where these are included in the calculation of technical provisions liabilities?
</v>
      </c>
      <c r="D375" s="92" t="str">
        <f t="shared" ca="1" si="43"/>
        <v/>
      </c>
      <c r="E375" s="708" t="str" cm="1">
        <f t="array" aca="1" ref="E375" ca="1">IF(INDIRECT($I375)= "", "", INDIRECT($I375))</f>
        <v/>
      </c>
      <c r="F375" s="709" t="str" cm="1">
        <f t="array" aca="1" ref="F375" ca="1">INDIRECT(LEFT(I375, FIND("!", I375)) &amp; RefData!$C$427 &amp; RIGHT(I375, LEN(I375) - FIND("!", I375) - 1))</f>
        <v>SBC 2.0</v>
      </c>
      <c r="G375" s="710" t="b">
        <f ca="1">IF(ISNUMBER(SEARCH(RefData!$B$2, $C375)), FALSE, TRUE)</f>
        <v>1</v>
      </c>
      <c r="H375" s="731">
        <f>'Scheme benefit cash flow'!C8</f>
        <v>0</v>
      </c>
      <c r="I375" s="712" t="str">
        <f t="shared" ca="1" si="14"/>
        <v>'Scheme benefit cash flow'!C8</v>
      </c>
      <c r="J375" s="713" t="b" cm="1">
        <f t="array" aca="1" ref="J375" ca="1">IF(COUNTIF($K375:$T375, "&lt;&gt;FALSE") - COUNTBLANK($K375:$T375) &gt; 0, INDEX($K375:$T375, MATCH(TRUE, $K375:$T375 &lt;&gt; FALSE, 0)))</f>
        <v>0</v>
      </c>
      <c r="K375" s="712" t="b">
        <f ca="1">IF(AND('Start here'!$C$26=RefData!$B$9, $E375&lt;&gt;""), ErrorMsgs!$B375)</f>
        <v>0</v>
      </c>
      <c r="L375" s="712" t="b">
        <f ca="1">IF(AND('Start here'!$C$26=RefData!$B$10,'Start here'!$C$24=RefData!$B$5, $E375=""), ErrorMsgs!$C375)</f>
        <v>0</v>
      </c>
      <c r="M375" s="714" t="b">
        <f ca="1">IF(AND('Start here'!$C$26=RefData!$B$10,'Start here'!$C$24=RefData!$B$4, 'Scheme benefit cash flow'!$C$7=RefData!$B$26, $E375&lt;&gt;""), ErrorMsgs!$D375)</f>
        <v>0</v>
      </c>
      <c r="N375" s="714" t="b">
        <f ca="1">IF(AND('Start here'!$C$26=RefData!$B$10,'Start here'!$C$24=RefData!$B$4, 'Scheme benefit cash flow'!$C$7=RefData!$B$25, $E375=""), ErrorMsgs!$E375)</f>
        <v>0</v>
      </c>
      <c r="O375" s="712" t="b">
        <f ca="1">IF($E375="",FALSE,IF(ISNA(MATCH($E375,RefData!$B$27:$B$28,0)),ErrorMsgs!$F$375))</f>
        <v>0</v>
      </c>
      <c r="P375" s="712"/>
      <c r="Q375" s="712"/>
      <c r="R375" s="712"/>
      <c r="S375" s="712"/>
      <c r="T375" s="712"/>
      <c r="U375" s="526" t="str">
        <f t="shared" ca="1" si="45"/>
        <v/>
      </c>
      <c r="V375" s="93" t="str" cm="1">
        <f t="array" aca="1" ref="V375" ca="1">CELL("format",INDIRECT(I375))</f>
        <v>G</v>
      </c>
      <c r="W375" s="93" t="b">
        <f t="shared" ca="1" si="46"/>
        <v>0</v>
      </c>
      <c r="X375" s="715" t="str">
        <f t="shared" ca="1" si="44"/>
        <v/>
      </c>
      <c r="Y375" t="b">
        <f t="shared" ca="1" si="47"/>
        <v>1</v>
      </c>
    </row>
    <row r="376" spans="1:25" ht="46.5">
      <c r="A376" s="705" t="s">
        <v>3382</v>
      </c>
      <c r="B376" s="706" t="str">
        <f t="shared" ca="1" si="2"/>
        <v>Annual scheme cash flows - C7</v>
      </c>
      <c r="C376" s="707" t="str" cm="1">
        <f t="array" aca="1" ref="C376" ca="1">INDIRECT(LEFT(I376, FIND("!", I376)) &amp; RefData!$C$426 &amp; RIGHT(I376, LEN(I376) - FIND("!", I376) - 1))</f>
        <v xml:space="preserve">
Year 1
</v>
      </c>
      <c r="D376" s="92" t="str">
        <f t="shared" ca="1" si="43"/>
        <v/>
      </c>
      <c r="E376" s="708" t="str" cm="1">
        <f t="array" aca="1" ref="E376" ca="1">IF(INDIRECT($I376)= "", "", INDIRECT($I376))</f>
        <v/>
      </c>
      <c r="F376" s="709" t="str" cm="1">
        <f t="array" aca="1" ref="F376" ca="1">INDIRECT(LEFT(I376, FIND("!", I376)) &amp; RefData!$C$427 &amp; RIGHT(I376, LEN(I376) - FIND("!", I376) - 1))</f>
        <v>ASC 1.0</v>
      </c>
      <c r="G376" s="710" t="b">
        <f ca="1">IF(ISNUMBER(SEARCH(RefData!$B$2, $C376)), FALSE, TRUE)</f>
        <v>1</v>
      </c>
      <c r="H376" s="732">
        <f>'Annual scheme cash flows'!C7</f>
        <v>0</v>
      </c>
      <c r="I376" s="712" t="str">
        <f t="shared" ca="1" si="14"/>
        <v>'Annual scheme cash flows'!C7</v>
      </c>
      <c r="J376" s="713" t="b" cm="1">
        <f t="array" aca="1" ref="J376" ca="1">IF(COUNTIF($K376:$T376, "&lt;&gt;FALSE") - COUNTBLANK($K376:$T376) &gt; 0, INDEX($K376:$T376, MATCH(TRUE, $K376:$T376 &lt;&gt; FALSE, 0)))</f>
        <v>0</v>
      </c>
      <c r="K376" s="712" t="b">
        <f ca="1">IF(AND('Start here'!$C$26=RefData!$B$9,'Reconciliation report'!$E376&lt;&gt;""),ErrorMsgs!$B376)</f>
        <v>0</v>
      </c>
      <c r="L376" s="712" t="b">
        <f ca="1">IF(AND('Start here'!$C$26=RefData!$B$10,'Start here'!$C$24=RefData!$B$5,'Reconciliation report'!$E376=""),ErrorMsgs!$C376)</f>
        <v>0</v>
      </c>
      <c r="M376" s="714" t="b">
        <f ca="1">IF(AND('Start here'!$C$26=RefData!$B$10,'Start here'!$C$24=RefData!$B$4,'Scheme benefit cash flow'!$C$7=RefData!$B$26,'Reconciliation report'!$E376&lt;&gt;""),ErrorMsgs!$D376)</f>
        <v>0</v>
      </c>
      <c r="N376" s="714" t="b">
        <f ca="1">IF(AND('Start here'!$C$26=RefData!$B$10,'Start here'!$C$24=RefData!$B$4,'Scheme benefit cash flow'!$C$7=RefData!$B$25,'Reconciliation report'!E376=""),ErrorMsgs!$E376)</f>
        <v>0</v>
      </c>
      <c r="O376" s="712" t="b">
        <f ca="1">IF($E376="",FALSE,IF(OR(VALUE($E376)-ROUND(VALUE($E376),2)&lt;&gt;0,$E376&lt;0,$E376&gt;=1000000000000),ErrorMsgs!$F376))</f>
        <v>0</v>
      </c>
      <c r="P376" s="712"/>
      <c r="Q376" s="712"/>
      <c r="R376" s="712"/>
      <c r="S376" s="712"/>
      <c r="T376" s="712"/>
      <c r="U376" s="526" t="str">
        <f t="shared" ca="1" si="45"/>
        <v/>
      </c>
      <c r="V376" s="93" t="str" cm="1">
        <f t="array" aca="1" ref="V376" ca="1">CELL("format",INDIRECT(I376))</f>
        <v>C2</v>
      </c>
      <c r="W376" s="93" t="b">
        <f t="shared" ca="1" si="46"/>
        <v>0</v>
      </c>
      <c r="X376" s="715" t="str">
        <f t="shared" ca="1" si="44"/>
        <v/>
      </c>
      <c r="Y376" t="b">
        <f t="shared" ca="1" si="47"/>
        <v>1</v>
      </c>
    </row>
    <row r="377" spans="1:25" ht="46.5">
      <c r="A377" s="705" t="s">
        <v>3383</v>
      </c>
      <c r="B377" s="706" t="str">
        <f t="shared" ca="1" si="2"/>
        <v>Annual scheme cash flows - C8</v>
      </c>
      <c r="C377" s="707" t="str" cm="1">
        <f t="array" aca="1" ref="C377" ca="1">INDIRECT(LEFT(I377, FIND("!", I377)) &amp; RefData!$C$426 &amp; RIGHT(I377, LEN(I377) - FIND("!", I377) - 1))</f>
        <v xml:space="preserve">
Year 2
</v>
      </c>
      <c r="D377" s="92" t="str">
        <f t="shared" ca="1" si="43"/>
        <v/>
      </c>
      <c r="E377" s="708" t="str" cm="1">
        <f t="array" aca="1" ref="E377" ca="1">IF(INDIRECT($I377)= "", "", INDIRECT($I377))</f>
        <v/>
      </c>
      <c r="F377" s="709" t="str" cm="1">
        <f t="array" aca="1" ref="F377" ca="1">INDIRECT(LEFT(I377, FIND("!", I377)) &amp; RefData!$C$427 &amp; RIGHT(I377, LEN(I377) - FIND("!", I377) - 1))</f>
        <v>ASC 2.0</v>
      </c>
      <c r="G377" s="710" t="b">
        <f ca="1">IF(ISNUMBER(SEARCH(RefData!$B$2, $C377)), FALSE, TRUE)</f>
        <v>1</v>
      </c>
      <c r="H377" s="732">
        <f>'Annual scheme cash flows'!C8</f>
        <v>0</v>
      </c>
      <c r="I377" s="712" t="str">
        <f t="shared" ca="1" si="14"/>
        <v>'Annual scheme cash flows'!C8</v>
      </c>
      <c r="J377" s="713" t="b" cm="1">
        <f t="array" aca="1" ref="J377" ca="1">IF(COUNTIF($K377:$T377, "&lt;&gt;FALSE") - COUNTBLANK($K377:$T377) &gt; 0, INDEX($K377:$T377, MATCH(TRUE, $K377:$T377 &lt;&gt; FALSE, 0)))</f>
        <v>0</v>
      </c>
      <c r="K377" s="712" t="b">
        <f ca="1">IF(AND('Start here'!$C$26=RefData!$B$9,'Reconciliation report'!$E377&lt;&gt;""),ErrorMsgs!$B377)</f>
        <v>0</v>
      </c>
      <c r="L377" s="712" t="b">
        <f ca="1">IF(AND('Start here'!$C$26=RefData!$B$10,'Start here'!$C$24=RefData!$B$5,'Reconciliation report'!$E377=""),ErrorMsgs!$C377)</f>
        <v>0</v>
      </c>
      <c r="M377" s="714" t="b">
        <f ca="1">IF(AND('Start here'!$C$26=RefData!$B$10,'Start here'!$C$24=RefData!$B$4,'Scheme benefit cash flow'!$C$7=RefData!$B$26,'Reconciliation report'!$E377&lt;&gt;""),ErrorMsgs!$D377)</f>
        <v>0</v>
      </c>
      <c r="N377" s="714" t="b">
        <f ca="1">IF(AND('Start here'!$C$26=RefData!$B$10,'Start here'!$C$24=RefData!$B$4,'Scheme benefit cash flow'!$C$7=RefData!$B$25,'Reconciliation report'!E377=""),ErrorMsgs!$E377)</f>
        <v>0</v>
      </c>
      <c r="O377" s="712" t="b">
        <f ca="1">IF($E377="",FALSE,IF(OR(VALUE($E377)-ROUND(VALUE($E377),2)&lt;&gt;0,$E377&lt;0,$E377&gt;=1000000000000),ErrorMsgs!$F377))</f>
        <v>0</v>
      </c>
      <c r="P377" s="712"/>
      <c r="Q377" s="712"/>
      <c r="R377" s="712"/>
      <c r="S377" s="712"/>
      <c r="T377" s="712"/>
      <c r="U377" s="526" t="str">
        <f t="shared" ca="1" si="45"/>
        <v/>
      </c>
      <c r="V377" s="93" t="str" cm="1">
        <f t="array" aca="1" ref="V377" ca="1">CELL("format",INDIRECT(I377))</f>
        <v>C2</v>
      </c>
      <c r="W377" s="93" t="b">
        <f t="shared" ca="1" si="46"/>
        <v>0</v>
      </c>
      <c r="X377" s="715" t="str">
        <f t="shared" ca="1" si="44"/>
        <v/>
      </c>
      <c r="Y377" t="b">
        <f t="shared" ca="1" si="47"/>
        <v>1</v>
      </c>
    </row>
    <row r="378" spans="1:25" ht="46.5">
      <c r="A378" s="705" t="s">
        <v>3384</v>
      </c>
      <c r="B378" s="706" t="str">
        <f t="shared" ca="1" si="2"/>
        <v>Annual scheme cash flows - C9</v>
      </c>
      <c r="C378" s="707" t="str" cm="1">
        <f t="array" aca="1" ref="C378" ca="1">INDIRECT(LEFT(I378, FIND("!", I378)) &amp; RefData!$C$426 &amp; RIGHT(I378, LEN(I378) - FIND("!", I378) - 1))</f>
        <v xml:space="preserve">
Year 3
</v>
      </c>
      <c r="D378" s="92" t="str">
        <f t="shared" ca="1" si="43"/>
        <v/>
      </c>
      <c r="E378" s="708" t="str" cm="1">
        <f t="array" aca="1" ref="E378" ca="1">IF(INDIRECT($I378)= "", "", INDIRECT($I378))</f>
        <v/>
      </c>
      <c r="F378" s="709" t="str" cm="1">
        <f t="array" aca="1" ref="F378" ca="1">INDIRECT(LEFT(I378, FIND("!", I378)) &amp; RefData!$C$427 &amp; RIGHT(I378, LEN(I378) - FIND("!", I378) - 1))</f>
        <v>ASC 3.0</v>
      </c>
      <c r="G378" s="710" t="b">
        <f ca="1">IF(ISNUMBER(SEARCH(RefData!$B$2, $C378)), FALSE, TRUE)</f>
        <v>1</v>
      </c>
      <c r="H378" s="732">
        <f>'Annual scheme cash flows'!C9</f>
        <v>0</v>
      </c>
      <c r="I378" s="712" t="str">
        <f t="shared" ca="1" si="14"/>
        <v>'Annual scheme cash flows'!C9</v>
      </c>
      <c r="J378" s="713" t="b" cm="1">
        <f t="array" aca="1" ref="J378" ca="1">IF(COUNTIF($K378:$T378, "&lt;&gt;FALSE") - COUNTBLANK($K378:$T378) &gt; 0, INDEX($K378:$T378, MATCH(TRUE, $K378:$T378 &lt;&gt; FALSE, 0)))</f>
        <v>0</v>
      </c>
      <c r="K378" s="712" t="b">
        <f ca="1">IF(AND('Start here'!$C$26=RefData!$B$9,'Reconciliation report'!$E378&lt;&gt;""),ErrorMsgs!$B378)</f>
        <v>0</v>
      </c>
      <c r="L378" s="712" t="b">
        <f ca="1">IF(AND('Start here'!$C$26=RefData!$B$10,'Start here'!$C$24=RefData!$B$5,'Reconciliation report'!$E378=""),ErrorMsgs!$C378)</f>
        <v>0</v>
      </c>
      <c r="M378" s="714" t="b">
        <f ca="1">IF(AND('Start here'!$C$26=RefData!$B$10,'Start here'!$C$24=RefData!$B$4,'Scheme benefit cash flow'!$C$7=RefData!$B$26,'Reconciliation report'!$E378&lt;&gt;""),ErrorMsgs!$D378)</f>
        <v>0</v>
      </c>
      <c r="N378" s="714" t="b">
        <f ca="1">IF(AND('Start here'!$C$26=RefData!$B$10,'Start here'!$C$24=RefData!$B$4,'Scheme benefit cash flow'!$C$7=RefData!$B$25,'Reconciliation report'!E378=""),ErrorMsgs!$E378)</f>
        <v>0</v>
      </c>
      <c r="O378" s="712" t="b">
        <f ca="1">IF($E378="",FALSE,IF(OR(VALUE($E378)-ROUND(VALUE($E378),2)&lt;&gt;0,$E378&lt;0,$E378&gt;=1000000000000),ErrorMsgs!$F378))</f>
        <v>0</v>
      </c>
      <c r="P378" s="712"/>
      <c r="Q378" s="712"/>
      <c r="R378" s="712"/>
      <c r="S378" s="712"/>
      <c r="T378" s="712"/>
      <c r="U378" s="526" t="str">
        <f t="shared" ca="1" si="45"/>
        <v/>
      </c>
      <c r="V378" s="93" t="str" cm="1">
        <f t="array" aca="1" ref="V378" ca="1">CELL("format",INDIRECT(I378))</f>
        <v>C2</v>
      </c>
      <c r="W378" s="93" t="b">
        <f t="shared" ca="1" si="46"/>
        <v>0</v>
      </c>
      <c r="X378" s="715" t="str">
        <f t="shared" ca="1" si="44"/>
        <v/>
      </c>
      <c r="Y378" t="b">
        <f t="shared" ca="1" si="47"/>
        <v>1</v>
      </c>
    </row>
    <row r="379" spans="1:25" ht="46.5">
      <c r="A379" s="705" t="s">
        <v>3385</v>
      </c>
      <c r="B379" s="706" t="str">
        <f t="shared" ca="1" si="2"/>
        <v>Annual scheme cash flows - C10</v>
      </c>
      <c r="C379" s="707" t="str" cm="1">
        <f t="array" aca="1" ref="C379" ca="1">INDIRECT(LEFT(I379, FIND("!", I379)) &amp; RefData!$C$426 &amp; RIGHT(I379, LEN(I379) - FIND("!", I379) - 1))</f>
        <v xml:space="preserve">
Year 4
</v>
      </c>
      <c r="D379" s="92" t="str">
        <f t="shared" ca="1" si="43"/>
        <v/>
      </c>
      <c r="E379" s="708" t="str" cm="1">
        <f t="array" aca="1" ref="E379" ca="1">IF(INDIRECT($I379)= "", "", INDIRECT($I379))</f>
        <v/>
      </c>
      <c r="F379" s="709" t="str" cm="1">
        <f t="array" aca="1" ref="F379" ca="1">INDIRECT(LEFT(I379, FIND("!", I379)) &amp; RefData!$C$427 &amp; RIGHT(I379, LEN(I379) - FIND("!", I379) - 1))</f>
        <v>ASC 4.0</v>
      </c>
      <c r="G379" s="710" t="b">
        <f ca="1">IF(ISNUMBER(SEARCH(RefData!$B$2, $C379)), FALSE, TRUE)</f>
        <v>1</v>
      </c>
      <c r="H379" s="732">
        <f>'Annual scheme cash flows'!C10</f>
        <v>0</v>
      </c>
      <c r="I379" s="712" t="str">
        <f t="shared" ca="1" si="14"/>
        <v>'Annual scheme cash flows'!C10</v>
      </c>
      <c r="J379" s="713" t="b" cm="1">
        <f t="array" aca="1" ref="J379" ca="1">IF(COUNTIF($K379:$T379, "&lt;&gt;FALSE") - COUNTBLANK($K379:$T379) &gt; 0, INDEX($K379:$T379, MATCH(TRUE, $K379:$T379 &lt;&gt; FALSE, 0)))</f>
        <v>0</v>
      </c>
      <c r="K379" s="712" t="b">
        <f ca="1">IF(AND('Start here'!$C$26=RefData!$B$9,'Reconciliation report'!$E379&lt;&gt;""),ErrorMsgs!$B379)</f>
        <v>0</v>
      </c>
      <c r="L379" s="712" t="b">
        <f ca="1">IF(AND('Start here'!$C$26=RefData!$B$10,'Start here'!$C$24=RefData!$B$5,'Reconciliation report'!$E379=""),ErrorMsgs!$C379)</f>
        <v>0</v>
      </c>
      <c r="M379" s="714" t="b">
        <f ca="1">IF(AND('Start here'!$C$26=RefData!$B$10,'Start here'!$C$24=RefData!$B$4,'Scheme benefit cash flow'!$C$7=RefData!$B$26,'Reconciliation report'!$E379&lt;&gt;""),ErrorMsgs!$D379)</f>
        <v>0</v>
      </c>
      <c r="N379" s="714" t="b">
        <f ca="1">IF(AND('Start here'!$C$26=RefData!$B$10,'Start here'!$C$24=RefData!$B$4,'Scheme benefit cash flow'!$C$7=RefData!$B$25,'Reconciliation report'!E379=""),ErrorMsgs!$E379)</f>
        <v>0</v>
      </c>
      <c r="O379" s="712" t="b">
        <f ca="1">IF($E379="",FALSE,IF(OR(VALUE($E379)-ROUND(VALUE($E379),2)&lt;&gt;0,$E379&lt;0,$E379&gt;=1000000000000),ErrorMsgs!$F379))</f>
        <v>0</v>
      </c>
      <c r="P379" s="712"/>
      <c r="Q379" s="712"/>
      <c r="R379" s="712"/>
      <c r="S379" s="712"/>
      <c r="T379" s="712"/>
      <c r="U379" s="526" t="str">
        <f t="shared" ca="1" si="45"/>
        <v/>
      </c>
      <c r="V379" s="93" t="str" cm="1">
        <f t="array" aca="1" ref="V379" ca="1">CELL("format",INDIRECT(I379))</f>
        <v>C2</v>
      </c>
      <c r="W379" s="93" t="b">
        <f t="shared" ca="1" si="46"/>
        <v>0</v>
      </c>
      <c r="X379" s="715" t="str">
        <f t="shared" ca="1" si="44"/>
        <v/>
      </c>
      <c r="Y379" t="b">
        <f t="shared" ca="1" si="47"/>
        <v>1</v>
      </c>
    </row>
    <row r="380" spans="1:25" ht="46.5">
      <c r="A380" s="705" t="s">
        <v>3386</v>
      </c>
      <c r="B380" s="706" t="str">
        <f t="shared" ca="1" si="2"/>
        <v>Annual scheme cash flows - C11</v>
      </c>
      <c r="C380" s="707" t="str" cm="1">
        <f t="array" aca="1" ref="C380" ca="1">INDIRECT(LEFT(I380, FIND("!", I380)) &amp; RefData!$C$426 &amp; RIGHT(I380, LEN(I380) - FIND("!", I380) - 1))</f>
        <v xml:space="preserve">
Year 5
</v>
      </c>
      <c r="D380" s="92" t="str">
        <f t="shared" ca="1" si="43"/>
        <v/>
      </c>
      <c r="E380" s="708" t="str" cm="1">
        <f t="array" aca="1" ref="E380" ca="1">IF(INDIRECT($I380)= "", "", INDIRECT($I380))</f>
        <v/>
      </c>
      <c r="F380" s="709" t="str" cm="1">
        <f t="array" aca="1" ref="F380" ca="1">INDIRECT(LEFT(I380, FIND("!", I380)) &amp; RefData!$C$427 &amp; RIGHT(I380, LEN(I380) - FIND("!", I380) - 1))</f>
        <v>ASC 5.0</v>
      </c>
      <c r="G380" s="710" t="b">
        <f ca="1">IF(ISNUMBER(SEARCH(RefData!$B$2, $C380)), FALSE, TRUE)</f>
        <v>1</v>
      </c>
      <c r="H380" s="732">
        <f>'Annual scheme cash flows'!C11</f>
        <v>0</v>
      </c>
      <c r="I380" s="712" t="str">
        <f t="shared" ca="1" si="14"/>
        <v>'Annual scheme cash flows'!C11</v>
      </c>
      <c r="J380" s="713" t="b" cm="1">
        <f t="array" aca="1" ref="J380" ca="1">IF(COUNTIF($K380:$T380, "&lt;&gt;FALSE") - COUNTBLANK($K380:$T380) &gt; 0, INDEX($K380:$T380, MATCH(TRUE, $K380:$T380 &lt;&gt; FALSE, 0)))</f>
        <v>0</v>
      </c>
      <c r="K380" s="712" t="b">
        <f ca="1">IF(AND('Start here'!$C$26=RefData!$B$9,'Reconciliation report'!$E380&lt;&gt;""),ErrorMsgs!$B380)</f>
        <v>0</v>
      </c>
      <c r="L380" s="712" t="b">
        <f ca="1">IF(AND('Start here'!$C$26=RefData!$B$10,'Start here'!$C$24=RefData!$B$5,'Reconciliation report'!$E380=""),ErrorMsgs!$C380)</f>
        <v>0</v>
      </c>
      <c r="M380" s="714" t="b">
        <f ca="1">IF(AND('Start here'!$C$26=RefData!$B$10,'Start here'!$C$24=RefData!$B$4,'Scheme benefit cash flow'!$C$7=RefData!$B$26,'Reconciliation report'!$E380&lt;&gt;""),ErrorMsgs!$D380)</f>
        <v>0</v>
      </c>
      <c r="N380" s="714" t="b">
        <f ca="1">IF(AND('Start here'!$C$26=RefData!$B$10,'Start here'!$C$24=RefData!$B$4,'Scheme benefit cash flow'!$C$7=RefData!$B$25,'Reconciliation report'!E380=""),ErrorMsgs!$E380)</f>
        <v>0</v>
      </c>
      <c r="O380" s="712" t="b">
        <f ca="1">IF($E380="",FALSE,IF(OR(VALUE($E380)-ROUND(VALUE($E380),2)&lt;&gt;0,$E380&lt;0,$E380&gt;=1000000000000),ErrorMsgs!$F380))</f>
        <v>0</v>
      </c>
      <c r="P380" s="712"/>
      <c r="Q380" s="712"/>
      <c r="R380" s="712"/>
      <c r="S380" s="712"/>
      <c r="T380" s="712"/>
      <c r="U380" s="526" t="str">
        <f t="shared" ca="1" si="45"/>
        <v/>
      </c>
      <c r="V380" s="93" t="str" cm="1">
        <f t="array" aca="1" ref="V380" ca="1">CELL("format",INDIRECT(I380))</f>
        <v>C2</v>
      </c>
      <c r="W380" s="93" t="b">
        <f t="shared" ca="1" si="46"/>
        <v>0</v>
      </c>
      <c r="X380" s="715" t="str">
        <f t="shared" ca="1" si="44"/>
        <v/>
      </c>
      <c r="Y380" t="b">
        <f t="shared" ca="1" si="47"/>
        <v>1</v>
      </c>
    </row>
    <row r="381" spans="1:25" ht="46.5">
      <c r="A381" s="705" t="s">
        <v>3387</v>
      </c>
      <c r="B381" s="706" t="str">
        <f t="shared" ca="1" si="2"/>
        <v>Annual scheme cash flows - C12</v>
      </c>
      <c r="C381" s="707" t="str" cm="1">
        <f t="array" aca="1" ref="C381" ca="1">INDIRECT(LEFT(I381, FIND("!", I381)) &amp; RefData!$C$426 &amp; RIGHT(I381, LEN(I381) - FIND("!", I381) - 1))</f>
        <v xml:space="preserve">
Year 6
</v>
      </c>
      <c r="D381" s="92" t="str">
        <f t="shared" ca="1" si="43"/>
        <v/>
      </c>
      <c r="E381" s="708" t="str" cm="1">
        <f t="array" aca="1" ref="E381" ca="1">IF(INDIRECT($I381)= "", "", INDIRECT($I381))</f>
        <v/>
      </c>
      <c r="F381" s="709" t="str" cm="1">
        <f t="array" aca="1" ref="F381" ca="1">INDIRECT(LEFT(I381, FIND("!", I381)) &amp; RefData!$C$427 &amp; RIGHT(I381, LEN(I381) - FIND("!", I381) - 1))</f>
        <v>ASC 6.0</v>
      </c>
      <c r="G381" s="710" t="b">
        <f ca="1">IF(ISNUMBER(SEARCH(RefData!$B$2, $C381)), FALSE, TRUE)</f>
        <v>1</v>
      </c>
      <c r="H381" s="732">
        <f>'Annual scheme cash flows'!C12</f>
        <v>0</v>
      </c>
      <c r="I381" s="712" t="str">
        <f t="shared" ca="1" si="14"/>
        <v>'Annual scheme cash flows'!C12</v>
      </c>
      <c r="J381" s="713" t="b" cm="1">
        <f t="array" aca="1" ref="J381" ca="1">IF(COUNTIF($K381:$T381, "&lt;&gt;FALSE") - COUNTBLANK($K381:$T381) &gt; 0, INDEX($K381:$T381, MATCH(TRUE, $K381:$T381 &lt;&gt; FALSE, 0)))</f>
        <v>0</v>
      </c>
      <c r="K381" s="712" t="b">
        <f ca="1">IF(AND('Start here'!$C$26=RefData!$B$9,'Reconciliation report'!$E381&lt;&gt;""),ErrorMsgs!$B381)</f>
        <v>0</v>
      </c>
      <c r="L381" s="712" t="b">
        <f ca="1">IF(AND('Start here'!$C$26=RefData!$B$10,'Start here'!$C$24=RefData!$B$5,'Reconciliation report'!$E381=""),ErrorMsgs!$C381)</f>
        <v>0</v>
      </c>
      <c r="M381" s="714" t="b">
        <f ca="1">IF(AND('Start here'!$C$26=RefData!$B$10,'Start here'!$C$24=RefData!$B$4,'Scheme benefit cash flow'!$C$7=RefData!$B$26,'Reconciliation report'!$E381&lt;&gt;""),ErrorMsgs!$D381)</f>
        <v>0</v>
      </c>
      <c r="N381" s="714" t="b">
        <f ca="1">IF(AND('Start here'!$C$26=RefData!$B$10,'Start here'!$C$24=RefData!$B$4,'Scheme benefit cash flow'!$C$7=RefData!$B$25,'Reconciliation report'!E381=""),ErrorMsgs!$E381)</f>
        <v>0</v>
      </c>
      <c r="O381" s="712" t="b">
        <f ca="1">IF($E381="",FALSE,IF(OR(VALUE($E381)-ROUND(VALUE($E381),2)&lt;&gt;0,$E381&lt;0,$E381&gt;=1000000000000),ErrorMsgs!$F381))</f>
        <v>0</v>
      </c>
      <c r="P381" s="712"/>
      <c r="Q381" s="712"/>
      <c r="R381" s="712"/>
      <c r="S381" s="712"/>
      <c r="T381" s="712"/>
      <c r="U381" s="526" t="str">
        <f t="shared" ca="1" si="45"/>
        <v/>
      </c>
      <c r="V381" s="93" t="str" cm="1">
        <f t="array" aca="1" ref="V381" ca="1">CELL("format",INDIRECT(I381))</f>
        <v>C2</v>
      </c>
      <c r="W381" s="93" t="b">
        <f t="shared" ca="1" si="46"/>
        <v>0</v>
      </c>
      <c r="X381" s="715" t="str">
        <f t="shared" ca="1" si="44"/>
        <v/>
      </c>
      <c r="Y381" t="b">
        <f t="shared" ca="1" si="47"/>
        <v>1</v>
      </c>
    </row>
    <row r="382" spans="1:25" ht="46.5">
      <c r="A382" s="705" t="s">
        <v>3388</v>
      </c>
      <c r="B382" s="706" t="str">
        <f t="shared" ca="1" si="2"/>
        <v>Annual scheme cash flows - C13</v>
      </c>
      <c r="C382" s="707" t="str" cm="1">
        <f t="array" aca="1" ref="C382" ca="1">INDIRECT(LEFT(I382, FIND("!", I382)) &amp; RefData!$C$426 &amp; RIGHT(I382, LEN(I382) - FIND("!", I382) - 1))</f>
        <v xml:space="preserve">
Year 7
</v>
      </c>
      <c r="D382" s="92" t="str">
        <f t="shared" ca="1" si="43"/>
        <v/>
      </c>
      <c r="E382" s="708" t="str" cm="1">
        <f t="array" aca="1" ref="E382" ca="1">IF(INDIRECT($I382)= "", "", INDIRECT($I382))</f>
        <v/>
      </c>
      <c r="F382" s="709" t="str" cm="1">
        <f t="array" aca="1" ref="F382" ca="1">INDIRECT(LEFT(I382, FIND("!", I382)) &amp; RefData!$C$427 &amp; RIGHT(I382, LEN(I382) - FIND("!", I382) - 1))</f>
        <v>ASC 7.0</v>
      </c>
      <c r="G382" s="710" t="b">
        <f ca="1">IF(ISNUMBER(SEARCH(RefData!$B$2, $C382)), FALSE, TRUE)</f>
        <v>1</v>
      </c>
      <c r="H382" s="732">
        <f>'Annual scheme cash flows'!C13</f>
        <v>0</v>
      </c>
      <c r="I382" s="712" t="str">
        <f t="shared" ca="1" si="14"/>
        <v>'Annual scheme cash flows'!C13</v>
      </c>
      <c r="J382" s="713" t="b" cm="1">
        <f t="array" aca="1" ref="J382" ca="1">IF(COUNTIF($K382:$T382, "&lt;&gt;FALSE") - COUNTBLANK($K382:$T382) &gt; 0, INDEX($K382:$T382, MATCH(TRUE, $K382:$T382 &lt;&gt; FALSE, 0)))</f>
        <v>0</v>
      </c>
      <c r="K382" s="712" t="b">
        <f ca="1">IF(AND('Start here'!$C$26=RefData!$B$9,'Reconciliation report'!$E382&lt;&gt;""),ErrorMsgs!$B382)</f>
        <v>0</v>
      </c>
      <c r="L382" s="712" t="b">
        <f ca="1">IF(AND('Start here'!$C$26=RefData!$B$10,'Start here'!$C$24=RefData!$B$5,'Reconciliation report'!$E382=""),ErrorMsgs!$C382)</f>
        <v>0</v>
      </c>
      <c r="M382" s="714" t="b">
        <f ca="1">IF(AND('Start here'!$C$26=RefData!$B$10,'Start here'!$C$24=RefData!$B$4,'Scheme benefit cash flow'!$C$7=RefData!$B$26,'Reconciliation report'!$E382&lt;&gt;""),ErrorMsgs!$D382)</f>
        <v>0</v>
      </c>
      <c r="N382" s="714" t="b">
        <f ca="1">IF(AND('Start here'!$C$26=RefData!$B$10,'Start here'!$C$24=RefData!$B$4,'Scheme benefit cash flow'!$C$7=RefData!$B$25,'Reconciliation report'!E382=""),ErrorMsgs!$E382)</f>
        <v>0</v>
      </c>
      <c r="O382" s="712" t="b">
        <f ca="1">IF($E382="",FALSE,IF(OR(VALUE($E382)-ROUND(VALUE($E382),2)&lt;&gt;0,$E382&lt;0,$E382&gt;=1000000000000),ErrorMsgs!$F382))</f>
        <v>0</v>
      </c>
      <c r="P382" s="712"/>
      <c r="Q382" s="712"/>
      <c r="R382" s="712"/>
      <c r="S382" s="712"/>
      <c r="T382" s="712"/>
      <c r="U382" s="526" t="str">
        <f t="shared" ca="1" si="45"/>
        <v/>
      </c>
      <c r="V382" s="93" t="str" cm="1">
        <f t="array" aca="1" ref="V382" ca="1">CELL("format",INDIRECT(I382))</f>
        <v>C2</v>
      </c>
      <c r="W382" s="93" t="b">
        <f t="shared" ca="1" si="46"/>
        <v>0</v>
      </c>
      <c r="X382" s="715" t="str">
        <f t="shared" ca="1" si="44"/>
        <v/>
      </c>
      <c r="Y382" t="b">
        <f t="shared" ca="1" si="47"/>
        <v>1</v>
      </c>
    </row>
    <row r="383" spans="1:25" ht="46.5">
      <c r="A383" s="705" t="s">
        <v>3389</v>
      </c>
      <c r="B383" s="706" t="str">
        <f t="shared" ca="1" si="2"/>
        <v>Annual scheme cash flows - C14</v>
      </c>
      <c r="C383" s="707" t="str" cm="1">
        <f t="array" aca="1" ref="C383" ca="1">INDIRECT(LEFT(I383, FIND("!", I383)) &amp; RefData!$C$426 &amp; RIGHT(I383, LEN(I383) - FIND("!", I383) - 1))</f>
        <v xml:space="preserve">
Year 8
</v>
      </c>
      <c r="D383" s="92" t="str">
        <f t="shared" ca="1" si="43"/>
        <v/>
      </c>
      <c r="E383" s="708" t="str" cm="1">
        <f t="array" aca="1" ref="E383" ca="1">IF(INDIRECT($I383)= "", "", INDIRECT($I383))</f>
        <v/>
      </c>
      <c r="F383" s="709" t="str" cm="1">
        <f t="array" aca="1" ref="F383" ca="1">INDIRECT(LEFT(I383, FIND("!", I383)) &amp; RefData!$C$427 &amp; RIGHT(I383, LEN(I383) - FIND("!", I383) - 1))</f>
        <v>ASC 8.0</v>
      </c>
      <c r="G383" s="710" t="b">
        <f ca="1">IF(ISNUMBER(SEARCH(RefData!$B$2, $C383)), FALSE, TRUE)</f>
        <v>1</v>
      </c>
      <c r="H383" s="732">
        <f>'Annual scheme cash flows'!C14</f>
        <v>0</v>
      </c>
      <c r="I383" s="712" t="str">
        <f t="shared" ca="1" si="14"/>
        <v>'Annual scheme cash flows'!C14</v>
      </c>
      <c r="J383" s="713" t="b" cm="1">
        <f t="array" aca="1" ref="J383" ca="1">IF(COUNTIF($K383:$T383, "&lt;&gt;FALSE") - COUNTBLANK($K383:$T383) &gt; 0, INDEX($K383:$T383, MATCH(TRUE, $K383:$T383 &lt;&gt; FALSE, 0)))</f>
        <v>0</v>
      </c>
      <c r="K383" s="712" t="b">
        <f ca="1">IF(AND('Start here'!$C$26=RefData!$B$9,'Reconciliation report'!$E383&lt;&gt;""),ErrorMsgs!$B383)</f>
        <v>0</v>
      </c>
      <c r="L383" s="712" t="b">
        <f ca="1">IF(AND('Start here'!$C$26=RefData!$B$10,'Start here'!$C$24=RefData!$B$5,'Reconciliation report'!$E383=""),ErrorMsgs!$C383)</f>
        <v>0</v>
      </c>
      <c r="M383" s="714" t="b">
        <f ca="1">IF(AND('Start here'!$C$26=RefData!$B$10,'Start here'!$C$24=RefData!$B$4,'Scheme benefit cash flow'!$C$7=RefData!$B$26,'Reconciliation report'!$E383&lt;&gt;""),ErrorMsgs!$D383)</f>
        <v>0</v>
      </c>
      <c r="N383" s="714" t="b">
        <f ca="1">IF(AND('Start here'!$C$26=RefData!$B$10,'Start here'!$C$24=RefData!$B$4,'Scheme benefit cash flow'!$C$7=RefData!$B$25,'Reconciliation report'!E383=""),ErrorMsgs!$E383)</f>
        <v>0</v>
      </c>
      <c r="O383" s="712" t="b">
        <f ca="1">IF($E383="",FALSE,IF(OR(VALUE($E383)-ROUND(VALUE($E383),2)&lt;&gt;0,$E383&lt;0,$E383&gt;=1000000000000),ErrorMsgs!$F383))</f>
        <v>0</v>
      </c>
      <c r="P383" s="712"/>
      <c r="Q383" s="712"/>
      <c r="R383" s="712"/>
      <c r="S383" s="712"/>
      <c r="T383" s="712"/>
      <c r="U383" s="526" t="str">
        <f t="shared" ca="1" si="45"/>
        <v/>
      </c>
      <c r="V383" s="93" t="str" cm="1">
        <f t="array" aca="1" ref="V383" ca="1">CELL("format",INDIRECT(I383))</f>
        <v>C2</v>
      </c>
      <c r="W383" s="93" t="b">
        <f t="shared" ca="1" si="46"/>
        <v>0</v>
      </c>
      <c r="X383" s="715" t="str">
        <f t="shared" ca="1" si="44"/>
        <v/>
      </c>
      <c r="Y383" t="b">
        <f t="shared" ca="1" si="47"/>
        <v>1</v>
      </c>
    </row>
    <row r="384" spans="1:25" ht="46.5">
      <c r="A384" s="705" t="s">
        <v>3390</v>
      </c>
      <c r="B384" s="706" t="str">
        <f t="shared" ca="1" si="2"/>
        <v>Annual scheme cash flows - C15</v>
      </c>
      <c r="C384" s="707" t="str" cm="1">
        <f t="array" aca="1" ref="C384" ca="1">INDIRECT(LEFT(I384, FIND("!", I384)) &amp; RefData!$C$426 &amp; RIGHT(I384, LEN(I384) - FIND("!", I384) - 1))</f>
        <v xml:space="preserve">
Year 9
</v>
      </c>
      <c r="D384" s="92" t="str">
        <f t="shared" ca="1" si="43"/>
        <v/>
      </c>
      <c r="E384" s="708" t="str" cm="1">
        <f t="array" aca="1" ref="E384" ca="1">IF(INDIRECT($I384)= "", "", INDIRECT($I384))</f>
        <v/>
      </c>
      <c r="F384" s="709" t="str" cm="1">
        <f t="array" aca="1" ref="F384" ca="1">INDIRECT(LEFT(I384, FIND("!", I384)) &amp; RefData!$C$427 &amp; RIGHT(I384, LEN(I384) - FIND("!", I384) - 1))</f>
        <v>ASC 9.0</v>
      </c>
      <c r="G384" s="710" t="b">
        <f ca="1">IF(ISNUMBER(SEARCH(RefData!$B$2, $C384)), FALSE, TRUE)</f>
        <v>1</v>
      </c>
      <c r="H384" s="732">
        <f>'Annual scheme cash flows'!C15</f>
        <v>0</v>
      </c>
      <c r="I384" s="712" t="str">
        <f t="shared" ca="1" si="14"/>
        <v>'Annual scheme cash flows'!C15</v>
      </c>
      <c r="J384" s="713" t="b" cm="1">
        <f t="array" aca="1" ref="J384" ca="1">IF(COUNTIF($K384:$T384, "&lt;&gt;FALSE") - COUNTBLANK($K384:$T384) &gt; 0, INDEX($K384:$T384, MATCH(TRUE, $K384:$T384 &lt;&gt; FALSE, 0)))</f>
        <v>0</v>
      </c>
      <c r="K384" s="712" t="b">
        <f ca="1">IF(AND('Start here'!$C$26=RefData!$B$9,'Reconciliation report'!$E384&lt;&gt;""),ErrorMsgs!$B384)</f>
        <v>0</v>
      </c>
      <c r="L384" s="712" t="b">
        <f ca="1">IF(AND('Start here'!$C$26=RefData!$B$10,'Start here'!$C$24=RefData!$B$5,'Reconciliation report'!$E384=""),ErrorMsgs!$C384)</f>
        <v>0</v>
      </c>
      <c r="M384" s="714" t="b">
        <f ca="1">IF(AND('Start here'!$C$26=RefData!$B$10,'Start here'!$C$24=RefData!$B$4,'Scheme benefit cash flow'!$C$7=RefData!$B$26,'Reconciliation report'!$E384&lt;&gt;""),ErrorMsgs!$D384)</f>
        <v>0</v>
      </c>
      <c r="N384" s="714" t="b">
        <f ca="1">IF(AND('Start here'!$C$26=RefData!$B$10,'Start here'!$C$24=RefData!$B$4,'Scheme benefit cash flow'!$C$7=RefData!$B$25,'Reconciliation report'!E384=""),ErrorMsgs!$E384)</f>
        <v>0</v>
      </c>
      <c r="O384" s="712" t="b">
        <f ca="1">IF($E384="",FALSE,IF(OR(VALUE($E384)-ROUND(VALUE($E384),2)&lt;&gt;0,$E384&lt;0,$E384&gt;=1000000000000),ErrorMsgs!$F384))</f>
        <v>0</v>
      </c>
      <c r="P384" s="712"/>
      <c r="Q384" s="712"/>
      <c r="R384" s="712"/>
      <c r="S384" s="712"/>
      <c r="T384" s="712"/>
      <c r="U384" s="526" t="str">
        <f t="shared" ca="1" si="45"/>
        <v/>
      </c>
      <c r="V384" s="93" t="str" cm="1">
        <f t="array" aca="1" ref="V384" ca="1">CELL("format",INDIRECT(I384))</f>
        <v>C2</v>
      </c>
      <c r="W384" s="93" t="b">
        <f t="shared" ca="1" si="46"/>
        <v>0</v>
      </c>
      <c r="X384" s="715" t="str">
        <f t="shared" ca="1" si="44"/>
        <v/>
      </c>
      <c r="Y384" t="b">
        <f t="shared" ca="1" si="47"/>
        <v>1</v>
      </c>
    </row>
    <row r="385" spans="1:25" ht="46.5">
      <c r="A385" s="705" t="s">
        <v>3391</v>
      </c>
      <c r="B385" s="706" t="str">
        <f t="shared" ca="1" si="2"/>
        <v>Annual scheme cash flows - C16</v>
      </c>
      <c r="C385" s="707" t="str" cm="1">
        <f t="array" aca="1" ref="C385" ca="1">INDIRECT(LEFT(I385, FIND("!", I385)) &amp; RefData!$C$426 &amp; RIGHT(I385, LEN(I385) - FIND("!", I385) - 1))</f>
        <v xml:space="preserve">
Year 10
</v>
      </c>
      <c r="D385" s="92" t="str">
        <f t="shared" ca="1" si="43"/>
        <v/>
      </c>
      <c r="E385" s="708" t="str" cm="1">
        <f t="array" aca="1" ref="E385" ca="1">IF(INDIRECT($I385)= "", "", INDIRECT($I385))</f>
        <v/>
      </c>
      <c r="F385" s="709" t="str" cm="1">
        <f t="array" aca="1" ref="F385" ca="1">INDIRECT(LEFT(I385, FIND("!", I385)) &amp; RefData!$C$427 &amp; RIGHT(I385, LEN(I385) - FIND("!", I385) - 1))</f>
        <v>ASC 10.0</v>
      </c>
      <c r="G385" s="710" t="b">
        <f ca="1">IF(ISNUMBER(SEARCH(RefData!$B$2, $C385)), FALSE, TRUE)</f>
        <v>1</v>
      </c>
      <c r="H385" s="732">
        <f>'Annual scheme cash flows'!C16</f>
        <v>0</v>
      </c>
      <c r="I385" s="712" t="str">
        <f t="shared" ca="1" si="14"/>
        <v>'Annual scheme cash flows'!C16</v>
      </c>
      <c r="J385" s="713" t="b" cm="1">
        <f t="array" aca="1" ref="J385" ca="1">IF(COUNTIF($K385:$T385, "&lt;&gt;FALSE") - COUNTBLANK($K385:$T385) &gt; 0, INDEX($K385:$T385, MATCH(TRUE, $K385:$T385 &lt;&gt; FALSE, 0)))</f>
        <v>0</v>
      </c>
      <c r="K385" s="712" t="b">
        <f ca="1">IF(AND('Start here'!$C$26=RefData!$B$9,'Reconciliation report'!$E385&lt;&gt;""),ErrorMsgs!$B385)</f>
        <v>0</v>
      </c>
      <c r="L385" s="712" t="b">
        <f ca="1">IF(AND('Start here'!$C$26=RefData!$B$10,'Start here'!$C$24=RefData!$B$5,'Reconciliation report'!$E385=""),ErrorMsgs!$C385)</f>
        <v>0</v>
      </c>
      <c r="M385" s="714" t="b">
        <f ca="1">IF(AND('Start here'!$C$26=RefData!$B$10,'Start here'!$C$24=RefData!$B$4,'Scheme benefit cash flow'!$C$7=RefData!$B$26,'Reconciliation report'!$E385&lt;&gt;""),ErrorMsgs!$D385)</f>
        <v>0</v>
      </c>
      <c r="N385" s="714" t="b">
        <f ca="1">IF(AND('Start here'!$C$26=RefData!$B$10,'Start here'!$C$24=RefData!$B$4,'Scheme benefit cash flow'!$C$7=RefData!$B$25,'Reconciliation report'!E385=""),ErrorMsgs!$E385)</f>
        <v>0</v>
      </c>
      <c r="O385" s="712" t="b">
        <f ca="1">IF($E385="",FALSE,IF(OR(VALUE($E385)-ROUND(VALUE($E385),2)&lt;&gt;0,$E385&lt;0,$E385&gt;=1000000000000),ErrorMsgs!$F385))</f>
        <v>0</v>
      </c>
      <c r="P385" s="712"/>
      <c r="Q385" s="712"/>
      <c r="R385" s="712"/>
      <c r="S385" s="712"/>
      <c r="T385" s="712"/>
      <c r="U385" s="526" t="str">
        <f t="shared" ca="1" si="45"/>
        <v/>
      </c>
      <c r="V385" s="93" t="str" cm="1">
        <f t="array" aca="1" ref="V385" ca="1">CELL("format",INDIRECT(I385))</f>
        <v>C2</v>
      </c>
      <c r="W385" s="93" t="b">
        <f t="shared" ca="1" si="46"/>
        <v>0</v>
      </c>
      <c r="X385" s="715" t="str">
        <f t="shared" ca="1" si="44"/>
        <v/>
      </c>
      <c r="Y385" t="b">
        <f t="shared" ca="1" si="47"/>
        <v>1</v>
      </c>
    </row>
    <row r="386" spans="1:25" ht="46.5">
      <c r="A386" s="705" t="s">
        <v>3392</v>
      </c>
      <c r="B386" s="706" t="str">
        <f t="shared" ca="1" si="2"/>
        <v>Annual scheme cash flows - C17</v>
      </c>
      <c r="C386" s="707" t="str" cm="1">
        <f t="array" aca="1" ref="C386" ca="1">INDIRECT(LEFT(I386, FIND("!", I386)) &amp; RefData!$C$426 &amp; RIGHT(I386, LEN(I386) - FIND("!", I386) - 1))</f>
        <v xml:space="preserve">
Year 11
</v>
      </c>
      <c r="D386" s="92" t="str">
        <f t="shared" ref="D386:D540" ca="1" si="50">""&amp;IF(J386=FALSE, "", J386)
&amp;""</f>
        <v/>
      </c>
      <c r="E386" s="708" t="str" cm="1">
        <f t="array" aca="1" ref="E386" ca="1">IF(INDIRECT($I386)= "", "", INDIRECT($I386))</f>
        <v/>
      </c>
      <c r="F386" s="709" t="str" cm="1">
        <f t="array" aca="1" ref="F386" ca="1">INDIRECT(LEFT(I386, FIND("!", I386)) &amp; RefData!$C$427 &amp; RIGHT(I386, LEN(I386) - FIND("!", I386) - 1))</f>
        <v>ASC 11.0</v>
      </c>
      <c r="G386" s="710" t="b">
        <f ca="1">IF(ISNUMBER(SEARCH(RefData!$B$2, $C386)), FALSE, TRUE)</f>
        <v>1</v>
      </c>
      <c r="H386" s="732">
        <f>'Annual scheme cash flows'!C17</f>
        <v>0</v>
      </c>
      <c r="I386" s="712" t="str">
        <f t="shared" ca="1" si="14"/>
        <v>'Annual scheme cash flows'!C17</v>
      </c>
      <c r="J386" s="713" t="b" cm="1">
        <f t="array" aca="1" ref="J386" ca="1">IF(COUNTIF($K386:$T386, "&lt;&gt;FALSE") - COUNTBLANK($K386:$T386) &gt; 0, INDEX($K386:$T386, MATCH(TRUE, $K386:$T386 &lt;&gt; FALSE, 0)))</f>
        <v>0</v>
      </c>
      <c r="K386" s="712" t="b">
        <f ca="1">IF(AND('Start here'!$C$26=RefData!$B$9,'Reconciliation report'!$E386&lt;&gt;""),ErrorMsgs!$B386)</f>
        <v>0</v>
      </c>
      <c r="L386" s="712" t="b">
        <f ca="1">IF(AND('Start here'!$C$26=RefData!$B$10,'Start here'!$C$24=RefData!$B$5,'Reconciliation report'!$E386=""),ErrorMsgs!$C386)</f>
        <v>0</v>
      </c>
      <c r="M386" s="714" t="b">
        <f ca="1">IF(AND('Start here'!$C$26=RefData!$B$10,'Start here'!$C$24=RefData!$B$4,'Scheme benefit cash flow'!$C$7=RefData!$B$26,'Reconciliation report'!$E386&lt;&gt;""),ErrorMsgs!$D386)</f>
        <v>0</v>
      </c>
      <c r="N386" s="714" t="b">
        <f ca="1">IF(AND('Start here'!$C$26=RefData!$B$10,'Start here'!$C$24=RefData!$B$4,'Scheme benefit cash flow'!$C$7=RefData!$B$25,'Reconciliation report'!E386=""),ErrorMsgs!$E386)</f>
        <v>0</v>
      </c>
      <c r="O386" s="712" t="b">
        <f ca="1">IF($E386="",FALSE,IF(OR(VALUE($E386)-ROUND(VALUE($E386),2)&lt;&gt;0,$E386&lt;0,$E386&gt;=1000000000000),ErrorMsgs!$F386))</f>
        <v>0</v>
      </c>
      <c r="P386" s="712"/>
      <c r="Q386" s="712"/>
      <c r="R386" s="712"/>
      <c r="S386" s="712"/>
      <c r="T386" s="712"/>
      <c r="U386" s="526" t="str">
        <f t="shared" ca="1" si="45"/>
        <v/>
      </c>
      <c r="V386" s="93" t="str" cm="1">
        <f t="array" aca="1" ref="V386" ca="1">CELL("format",INDIRECT(I386))</f>
        <v>C2</v>
      </c>
      <c r="W386" s="93" t="b">
        <f t="shared" ca="1" si="46"/>
        <v>0</v>
      </c>
      <c r="X386" s="715" t="str">
        <f t="shared" ref="X386:X449" ca="1" si="51">IF(W386, "0." &amp; IF(V386="P2",REPT("0", MIN(4, LEN(E386) - FIND(".", E386))),REPT("0", MIN(6, LEN(E386) - FIND(".", E386)))), "")</f>
        <v/>
      </c>
      <c r="Y386" t="b">
        <f t="shared" ca="1" si="47"/>
        <v>1</v>
      </c>
    </row>
    <row r="387" spans="1:25" ht="46.5">
      <c r="A387" s="705" t="s">
        <v>3393</v>
      </c>
      <c r="B387" s="706" t="str">
        <f t="shared" ref="B387:B1038" ca="1" si="52">HYPERLINK("#" &amp; $I387, SUBSTITUTE(SUBSTITUTE($I387, "!", " - "), "'",""))</f>
        <v>Annual scheme cash flows - C18</v>
      </c>
      <c r="C387" s="707" t="str" cm="1">
        <f t="array" aca="1" ref="C387" ca="1">INDIRECT(LEFT(I387, FIND("!", I387)) &amp; RefData!$C$426 &amp; RIGHT(I387, LEN(I387) - FIND("!", I387) - 1))</f>
        <v xml:space="preserve">
Year 12
</v>
      </c>
      <c r="D387" s="92" t="str">
        <f t="shared" ca="1" si="50"/>
        <v/>
      </c>
      <c r="E387" s="708" t="str" cm="1">
        <f t="array" aca="1" ref="E387" ca="1">IF(INDIRECT($I387)= "", "", INDIRECT($I387))</f>
        <v/>
      </c>
      <c r="F387" s="709" t="str" cm="1">
        <f t="array" aca="1" ref="F387" ca="1">INDIRECT(LEFT(I387, FIND("!", I387)) &amp; RefData!$C$427 &amp; RIGHT(I387, LEN(I387) - FIND("!", I387) - 1))</f>
        <v>ASC 12.0</v>
      </c>
      <c r="G387" s="710" t="b">
        <f ca="1">IF(ISNUMBER(SEARCH(RefData!$B$2, $C387)), FALSE, TRUE)</f>
        <v>1</v>
      </c>
      <c r="H387" s="732">
        <f>'Annual scheme cash flows'!C18</f>
        <v>0</v>
      </c>
      <c r="I387" s="712" t="str">
        <f t="shared" ca="1" si="14"/>
        <v>'Annual scheme cash flows'!C18</v>
      </c>
      <c r="J387" s="713" t="b" cm="1">
        <f t="array" aca="1" ref="J387" ca="1">IF(COUNTIF($K387:$T387, "&lt;&gt;FALSE") - COUNTBLANK($K387:$T387) &gt; 0, INDEX($K387:$T387, MATCH(TRUE, $K387:$T387 &lt;&gt; FALSE, 0)))</f>
        <v>0</v>
      </c>
      <c r="K387" s="712" t="b">
        <f ca="1">IF(AND('Start here'!$C$26=RefData!$B$9,'Reconciliation report'!$E387&lt;&gt;""),ErrorMsgs!$B387)</f>
        <v>0</v>
      </c>
      <c r="L387" s="712" t="b">
        <f ca="1">IF(AND('Start here'!$C$26=RefData!$B$10,'Start here'!$C$24=RefData!$B$5,'Reconciliation report'!$E387=""),ErrorMsgs!$C387)</f>
        <v>0</v>
      </c>
      <c r="M387" s="714" t="b">
        <f ca="1">IF(AND('Start here'!$C$26=RefData!$B$10,'Start here'!$C$24=RefData!$B$4,'Scheme benefit cash flow'!$C$7=RefData!$B$26,'Reconciliation report'!$E387&lt;&gt;""),ErrorMsgs!$D387)</f>
        <v>0</v>
      </c>
      <c r="N387" s="714" t="b">
        <f ca="1">IF(AND('Start here'!$C$26=RefData!$B$10,'Start here'!$C$24=RefData!$B$4,'Scheme benefit cash flow'!$C$7=RefData!$B$25,'Reconciliation report'!E387=""),ErrorMsgs!$E387)</f>
        <v>0</v>
      </c>
      <c r="O387" s="712" t="b">
        <f ca="1">IF($E387="",FALSE,IF(OR(VALUE($E387)-ROUND(VALUE($E387),2)&lt;&gt;0,$E387&lt;0,$E387&gt;=1000000000000),ErrorMsgs!$F387))</f>
        <v>0</v>
      </c>
      <c r="P387" s="712"/>
      <c r="Q387" s="712"/>
      <c r="R387" s="712"/>
      <c r="S387" s="712"/>
      <c r="T387" s="712"/>
      <c r="U387" s="526" t="str">
        <f t="shared" ref="U387:U450" ca="1" si="53">IF(AND($W387=TRUE,$Y387=FALSE),TEXT($E387,$X387),$E387)</f>
        <v/>
      </c>
      <c r="V387" s="93" t="str" cm="1">
        <f t="array" aca="1" ref="V387" ca="1">CELL("format",INDIRECT(I387))</f>
        <v>C2</v>
      </c>
      <c r="W387" s="93" t="b">
        <f t="shared" ref="W387:W450" ca="1" si="54">IF(ISNUMBER(E387), IF(INT(E387)&lt;&gt;E387,TRUE,FALSE),FALSE)</f>
        <v>0</v>
      </c>
      <c r="X387" s="715" t="str">
        <f t="shared" ca="1" si="51"/>
        <v/>
      </c>
      <c r="Y387" t="b">
        <f t="shared" ref="Y387:Y450" ca="1" si="55">ISTEXT(E387)</f>
        <v>1</v>
      </c>
    </row>
    <row r="388" spans="1:25" ht="46.5">
      <c r="A388" s="705" t="s">
        <v>3394</v>
      </c>
      <c r="B388" s="706" t="str">
        <f t="shared" ca="1" si="52"/>
        <v>Annual scheme cash flows - C19</v>
      </c>
      <c r="C388" s="707" t="str" cm="1">
        <f t="array" aca="1" ref="C388" ca="1">INDIRECT(LEFT(I388, FIND("!", I388)) &amp; RefData!$C$426 &amp; RIGHT(I388, LEN(I388) - FIND("!", I388) - 1))</f>
        <v xml:space="preserve">
Year 13
</v>
      </c>
      <c r="D388" s="92" t="str">
        <f ca="1">""&amp;IF(J388=FALSE, "", J388)
&amp;""</f>
        <v/>
      </c>
      <c r="E388" s="708" t="str" cm="1">
        <f t="array" aca="1" ref="E388" ca="1">IF(INDIRECT($I388)= "", "", INDIRECT($I388))</f>
        <v/>
      </c>
      <c r="F388" s="709" t="str" cm="1">
        <f t="array" aca="1" ref="F388" ca="1">INDIRECT(LEFT(I388, FIND("!", I388)) &amp; RefData!$C$427 &amp; RIGHT(I388, LEN(I388) - FIND("!", I388) - 1))</f>
        <v>ASC 13.0</v>
      </c>
      <c r="G388" s="710" t="b">
        <f ca="1">IF(ISNUMBER(SEARCH(RefData!$B$2, $C388)), FALSE, TRUE)</f>
        <v>1</v>
      </c>
      <c r="H388" s="732">
        <f>'Annual scheme cash flows'!C19</f>
        <v>0</v>
      </c>
      <c r="I388" s="712" t="str">
        <f t="shared" ca="1" si="14"/>
        <v>'Annual scheme cash flows'!C19</v>
      </c>
      <c r="J388" s="713" t="b" cm="1">
        <f t="array" aca="1" ref="J388" ca="1">IF(COUNTIF($K388:$T388, "&lt;&gt;FALSE") - COUNTBLANK($K388:$T388) &gt; 0, INDEX($K388:$T388, MATCH(TRUE, $K388:$T388 &lt;&gt; FALSE, 0)))</f>
        <v>0</v>
      </c>
      <c r="K388" s="712" t="b">
        <f ca="1">IF(AND('Start here'!$C$26=RefData!$B$9,'Reconciliation report'!$E388&lt;&gt;""),ErrorMsgs!$B388)</f>
        <v>0</v>
      </c>
      <c r="L388" s="712" t="b">
        <f ca="1">IF(AND('Start here'!$C$26=RefData!$B$10,'Start here'!$C$24=RefData!$B$5,'Reconciliation report'!$E388=""),ErrorMsgs!$C388)</f>
        <v>0</v>
      </c>
      <c r="M388" s="714" t="b">
        <f ca="1">IF(AND('Start here'!$C$26=RefData!$B$10,'Start here'!$C$24=RefData!$B$4,'Scheme benefit cash flow'!$C$7=RefData!$B$26,'Reconciliation report'!$E388&lt;&gt;""),ErrorMsgs!$D388)</f>
        <v>0</v>
      </c>
      <c r="N388" s="714" t="b">
        <f ca="1">IF(AND('Start here'!$C$26=RefData!$B$10,'Start here'!$C$24=RefData!$B$4,'Scheme benefit cash flow'!$C$7=RefData!$B$25,'Reconciliation report'!E388=""),ErrorMsgs!$E388)</f>
        <v>0</v>
      </c>
      <c r="O388" s="712" t="b">
        <f ca="1">IF($E388="",FALSE,IF(OR(VALUE($E388)-ROUND(VALUE($E388),2)&lt;&gt;0,$E388&lt;0,$E388&gt;=1000000000000),ErrorMsgs!$F388))</f>
        <v>0</v>
      </c>
      <c r="P388" s="712"/>
      <c r="Q388" s="712"/>
      <c r="R388" s="712"/>
      <c r="S388" s="712"/>
      <c r="T388" s="712"/>
      <c r="U388" s="526" t="str">
        <f t="shared" ca="1" si="53"/>
        <v/>
      </c>
      <c r="V388" s="93" t="str" cm="1">
        <f t="array" aca="1" ref="V388" ca="1">CELL("format",INDIRECT(I388))</f>
        <v>C2</v>
      </c>
      <c r="W388" s="93" t="b">
        <f t="shared" ca="1" si="54"/>
        <v>0</v>
      </c>
      <c r="X388" s="715" t="str">
        <f t="shared" ca="1" si="51"/>
        <v/>
      </c>
      <c r="Y388" t="b">
        <f t="shared" ca="1" si="55"/>
        <v>1</v>
      </c>
    </row>
    <row r="389" spans="1:25" ht="46.5">
      <c r="A389" s="705" t="s">
        <v>3395</v>
      </c>
      <c r="B389" s="706" t="str">
        <f t="shared" ca="1" si="52"/>
        <v>Annual scheme cash flows - C20</v>
      </c>
      <c r="C389" s="707" t="str" cm="1">
        <f t="array" aca="1" ref="C389" ca="1">INDIRECT(LEFT(I389, FIND("!", I389)) &amp; RefData!$C$426 &amp; RIGHT(I389, LEN(I389) - FIND("!", I389) - 1))</f>
        <v xml:space="preserve">
Year 14
</v>
      </c>
      <c r="D389" s="92" t="str">
        <f t="shared" ca="1" si="50"/>
        <v/>
      </c>
      <c r="E389" s="708" t="str" cm="1">
        <f t="array" aca="1" ref="E389" ca="1">IF(INDIRECT($I389)= "", "", INDIRECT($I389))</f>
        <v/>
      </c>
      <c r="F389" s="709" t="str" cm="1">
        <f t="array" aca="1" ref="F389" ca="1">INDIRECT(LEFT(I389, FIND("!", I389)) &amp; RefData!$C$427 &amp; RIGHT(I389, LEN(I389) - FIND("!", I389) - 1))</f>
        <v>ASC 14.0</v>
      </c>
      <c r="G389" s="710" t="b">
        <f ca="1">IF(ISNUMBER(SEARCH(RefData!$B$2, $C389)), FALSE, TRUE)</f>
        <v>1</v>
      </c>
      <c r="H389" s="732">
        <f>'Annual scheme cash flows'!C20</f>
        <v>0</v>
      </c>
      <c r="I389" s="712" t="str">
        <f t="shared" ca="1" si="14"/>
        <v>'Annual scheme cash flows'!C20</v>
      </c>
      <c r="J389" s="713" t="b" cm="1">
        <f t="array" aca="1" ref="J389" ca="1">IF(COUNTIF($K389:$T389, "&lt;&gt;FALSE") - COUNTBLANK($K389:$T389) &gt; 0, INDEX($K389:$T389, MATCH(TRUE, $K389:$T389 &lt;&gt; FALSE, 0)))</f>
        <v>0</v>
      </c>
      <c r="K389" s="712" t="b">
        <f ca="1">IF(AND('Start here'!$C$26=RefData!$B$9,'Reconciliation report'!$E389&lt;&gt;""),ErrorMsgs!$B389)</f>
        <v>0</v>
      </c>
      <c r="L389" s="712" t="b">
        <f ca="1">IF(AND('Start here'!$C$26=RefData!$B$10,'Start here'!$C$24=RefData!$B$5,'Reconciliation report'!$E389=""),ErrorMsgs!$C389)</f>
        <v>0</v>
      </c>
      <c r="M389" s="714" t="b">
        <f ca="1">IF(AND('Start here'!$C$26=RefData!$B$10,'Start here'!$C$24=RefData!$B$4,'Scheme benefit cash flow'!$C$7=RefData!$B$26,'Reconciliation report'!$E389&lt;&gt;""),ErrorMsgs!$D389)</f>
        <v>0</v>
      </c>
      <c r="N389" s="714" t="b">
        <f ca="1">IF(AND('Start here'!$C$26=RefData!$B$10,'Start here'!$C$24=RefData!$B$4,'Scheme benefit cash flow'!$C$7=RefData!$B$25,'Reconciliation report'!E389=""),ErrorMsgs!$E389)</f>
        <v>0</v>
      </c>
      <c r="O389" s="712" t="b">
        <f ca="1">IF($E389="",FALSE,IF(OR(VALUE($E389)-ROUND(VALUE($E389),2)&lt;&gt;0,$E389&lt;0,$E389&gt;=1000000000000),ErrorMsgs!$F389))</f>
        <v>0</v>
      </c>
      <c r="P389" s="712"/>
      <c r="Q389" s="712"/>
      <c r="R389" s="712"/>
      <c r="S389" s="712"/>
      <c r="T389" s="712"/>
      <c r="U389" s="526" t="str">
        <f t="shared" ca="1" si="53"/>
        <v/>
      </c>
      <c r="V389" s="93" t="str" cm="1">
        <f t="array" aca="1" ref="V389" ca="1">CELL("format",INDIRECT(I389))</f>
        <v>C2</v>
      </c>
      <c r="W389" s="93" t="b">
        <f t="shared" ca="1" si="54"/>
        <v>0</v>
      </c>
      <c r="X389" s="715" t="str">
        <f t="shared" ca="1" si="51"/>
        <v/>
      </c>
      <c r="Y389" t="b">
        <f t="shared" ca="1" si="55"/>
        <v>1</v>
      </c>
    </row>
    <row r="390" spans="1:25" ht="46.5">
      <c r="A390" s="705" t="s">
        <v>3396</v>
      </c>
      <c r="B390" s="706" t="str">
        <f t="shared" ca="1" si="52"/>
        <v>Annual scheme cash flows - C21</v>
      </c>
      <c r="C390" s="707" t="str" cm="1">
        <f t="array" aca="1" ref="C390" ca="1">INDIRECT(LEFT(I390, FIND("!", I390)) &amp; RefData!$C$426 &amp; RIGHT(I390, LEN(I390) - FIND("!", I390) - 1))</f>
        <v xml:space="preserve">
Year 15
</v>
      </c>
      <c r="D390" s="92" t="str">
        <f t="shared" ca="1" si="50"/>
        <v/>
      </c>
      <c r="E390" s="708" t="str" cm="1">
        <f t="array" aca="1" ref="E390" ca="1">IF(INDIRECT($I390)= "", "", INDIRECT($I390))</f>
        <v/>
      </c>
      <c r="F390" s="709" t="str" cm="1">
        <f t="array" aca="1" ref="F390" ca="1">INDIRECT(LEFT(I390, FIND("!", I390)) &amp; RefData!$C$427 &amp; RIGHT(I390, LEN(I390) - FIND("!", I390) - 1))</f>
        <v>ASC 15.0</v>
      </c>
      <c r="G390" s="710" t="b">
        <f ca="1">IF(ISNUMBER(SEARCH(RefData!$B$2, $C390)), FALSE, TRUE)</f>
        <v>1</v>
      </c>
      <c r="H390" s="732">
        <f>'Annual scheme cash flows'!C21</f>
        <v>0</v>
      </c>
      <c r="I390" s="712" t="str">
        <f t="shared" ca="1" si="14"/>
        <v>'Annual scheme cash flows'!C21</v>
      </c>
      <c r="J390" s="713" t="b" cm="1">
        <f t="array" aca="1" ref="J390" ca="1">IF(COUNTIF($K390:$T390, "&lt;&gt;FALSE") - COUNTBLANK($K390:$T390) &gt; 0, INDEX($K390:$T390, MATCH(TRUE, $K390:$T390 &lt;&gt; FALSE, 0)))</f>
        <v>0</v>
      </c>
      <c r="K390" s="712" t="b">
        <f ca="1">IF(AND('Start here'!$C$26=RefData!$B$9,'Reconciliation report'!$E390&lt;&gt;""),ErrorMsgs!$B390)</f>
        <v>0</v>
      </c>
      <c r="L390" s="712" t="b">
        <f ca="1">IF(AND('Start here'!$C$26=RefData!$B$10,'Start here'!$C$24=RefData!$B$5,'Reconciliation report'!$E390=""),ErrorMsgs!$C390)</f>
        <v>0</v>
      </c>
      <c r="M390" s="714" t="b">
        <f ca="1">IF(AND('Start here'!$C$26=RefData!$B$10,'Start here'!$C$24=RefData!$B$4,'Scheme benefit cash flow'!$C$7=RefData!$B$26,'Reconciliation report'!$E390&lt;&gt;""),ErrorMsgs!$D390)</f>
        <v>0</v>
      </c>
      <c r="N390" s="714" t="b">
        <f ca="1">IF(AND('Start here'!$C$26=RefData!$B$10,'Start here'!$C$24=RefData!$B$4,'Scheme benefit cash flow'!$C$7=RefData!$B$25,'Reconciliation report'!E390=""),ErrorMsgs!$E390)</f>
        <v>0</v>
      </c>
      <c r="O390" s="712" t="b">
        <f ca="1">IF($E390="",FALSE,IF(OR(VALUE($E390)-ROUND(VALUE($E390),2)&lt;&gt;0,$E390&lt;0,$E390&gt;=1000000000000),ErrorMsgs!$F390))</f>
        <v>0</v>
      </c>
      <c r="P390" s="712"/>
      <c r="Q390" s="712"/>
      <c r="R390" s="712"/>
      <c r="S390" s="712"/>
      <c r="T390" s="712"/>
      <c r="U390" s="526" t="str">
        <f t="shared" ca="1" si="53"/>
        <v/>
      </c>
      <c r="V390" s="93" t="str" cm="1">
        <f t="array" aca="1" ref="V390" ca="1">CELL("format",INDIRECT(I390))</f>
        <v>C2</v>
      </c>
      <c r="W390" s="93" t="b">
        <f t="shared" ca="1" si="54"/>
        <v>0</v>
      </c>
      <c r="X390" s="715" t="str">
        <f t="shared" ca="1" si="51"/>
        <v/>
      </c>
      <c r="Y390" t="b">
        <f t="shared" ca="1" si="55"/>
        <v>1</v>
      </c>
    </row>
    <row r="391" spans="1:25" ht="46.5">
      <c r="A391" s="705" t="s">
        <v>3397</v>
      </c>
      <c r="B391" s="706" t="str">
        <f t="shared" ca="1" si="52"/>
        <v>Annual scheme cash flows - C22</v>
      </c>
      <c r="C391" s="707" t="str" cm="1">
        <f t="array" aca="1" ref="C391" ca="1">INDIRECT(LEFT(I391, FIND("!", I391)) &amp; RefData!$C$426 &amp; RIGHT(I391, LEN(I391) - FIND("!", I391) - 1))</f>
        <v xml:space="preserve">
Year 16
</v>
      </c>
      <c r="D391" s="92" t="str">
        <f t="shared" ca="1" si="50"/>
        <v/>
      </c>
      <c r="E391" s="708" t="str" cm="1">
        <f t="array" aca="1" ref="E391" ca="1">IF(INDIRECT($I391)= "", "", INDIRECT($I391))</f>
        <v/>
      </c>
      <c r="F391" s="709" t="str" cm="1">
        <f t="array" aca="1" ref="F391" ca="1">INDIRECT(LEFT(I391, FIND("!", I391)) &amp; RefData!$C$427 &amp; RIGHT(I391, LEN(I391) - FIND("!", I391) - 1))</f>
        <v>ASC 16.0</v>
      </c>
      <c r="G391" s="710" t="b">
        <f ca="1">IF(ISNUMBER(SEARCH(RefData!$B$2, $C391)), FALSE, TRUE)</f>
        <v>1</v>
      </c>
      <c r="H391" s="732">
        <f>'Annual scheme cash flows'!C22</f>
        <v>0</v>
      </c>
      <c r="I391" s="712" t="str">
        <f t="shared" ca="1" si="14"/>
        <v>'Annual scheme cash flows'!C22</v>
      </c>
      <c r="J391" s="713" t="b" cm="1">
        <f t="array" aca="1" ref="J391" ca="1">IF(COUNTIF($K391:$T391, "&lt;&gt;FALSE") - COUNTBLANK($K391:$T391) &gt; 0, INDEX($K391:$T391, MATCH(TRUE, $K391:$T391 &lt;&gt; FALSE, 0)))</f>
        <v>0</v>
      </c>
      <c r="K391" s="712" t="b">
        <f ca="1">IF(AND('Start here'!$C$26=RefData!$B$9,'Reconciliation report'!$E391&lt;&gt;""),ErrorMsgs!$B391)</f>
        <v>0</v>
      </c>
      <c r="L391" s="712" t="b">
        <f ca="1">IF(AND('Start here'!$C$26=RefData!$B$10,'Start here'!$C$24=RefData!$B$5,'Reconciliation report'!$E391=""),ErrorMsgs!$C391)</f>
        <v>0</v>
      </c>
      <c r="M391" s="714" t="b">
        <f ca="1">IF(AND('Start here'!$C$26=RefData!$B$10,'Start here'!$C$24=RefData!$B$4,'Scheme benefit cash flow'!$C$7=RefData!$B$26,'Reconciliation report'!$E391&lt;&gt;""),ErrorMsgs!$D391)</f>
        <v>0</v>
      </c>
      <c r="N391" s="714" t="b">
        <f ca="1">IF(AND('Start here'!$C$26=RefData!$B$10,'Start here'!$C$24=RefData!$B$4,'Scheme benefit cash flow'!$C$7=RefData!$B$25,'Reconciliation report'!E391=""),ErrorMsgs!$E391)</f>
        <v>0</v>
      </c>
      <c r="O391" s="712" t="b">
        <f ca="1">IF($E391="",FALSE,IF(OR(VALUE($E391)-ROUND(VALUE($E391),2)&lt;&gt;0,$E391&lt;0,$E391&gt;=1000000000000),ErrorMsgs!$F391))</f>
        <v>0</v>
      </c>
      <c r="P391" s="712"/>
      <c r="Q391" s="712"/>
      <c r="R391" s="712"/>
      <c r="S391" s="712"/>
      <c r="T391" s="712"/>
      <c r="U391" s="526" t="str">
        <f t="shared" ca="1" si="53"/>
        <v/>
      </c>
      <c r="V391" s="93" t="str" cm="1">
        <f t="array" aca="1" ref="V391" ca="1">CELL("format",INDIRECT(I391))</f>
        <v>C2</v>
      </c>
      <c r="W391" s="93" t="b">
        <f t="shared" ca="1" si="54"/>
        <v>0</v>
      </c>
      <c r="X391" s="715" t="str">
        <f t="shared" ca="1" si="51"/>
        <v/>
      </c>
      <c r="Y391" t="b">
        <f t="shared" ca="1" si="55"/>
        <v>1</v>
      </c>
    </row>
    <row r="392" spans="1:25" ht="46.5">
      <c r="A392" s="705" t="s">
        <v>3398</v>
      </c>
      <c r="B392" s="706" t="str">
        <f t="shared" ca="1" si="52"/>
        <v>Annual scheme cash flows - C23</v>
      </c>
      <c r="C392" s="707" t="str" cm="1">
        <f t="array" aca="1" ref="C392" ca="1">INDIRECT(LEFT(I392, FIND("!", I392)) &amp; RefData!$C$426 &amp; RIGHT(I392, LEN(I392) - FIND("!", I392) - 1))</f>
        <v xml:space="preserve">
Year 17
</v>
      </c>
      <c r="D392" s="92" t="str">
        <f t="shared" ca="1" si="50"/>
        <v/>
      </c>
      <c r="E392" s="708" t="str" cm="1">
        <f t="array" aca="1" ref="E392" ca="1">IF(INDIRECT($I392)= "", "", INDIRECT($I392))</f>
        <v/>
      </c>
      <c r="F392" s="709" t="str" cm="1">
        <f t="array" aca="1" ref="F392" ca="1">INDIRECT(LEFT(I392, FIND("!", I392)) &amp; RefData!$C$427 &amp; RIGHT(I392, LEN(I392) - FIND("!", I392) - 1))</f>
        <v>ASC 17.0</v>
      </c>
      <c r="G392" s="710" t="b">
        <f ca="1">IF(ISNUMBER(SEARCH(RefData!$B$2, $C392)), FALSE, TRUE)</f>
        <v>1</v>
      </c>
      <c r="H392" s="732">
        <f>'Annual scheme cash flows'!C23</f>
        <v>0</v>
      </c>
      <c r="I392" s="712" t="str">
        <f t="shared" ca="1" si="14"/>
        <v>'Annual scheme cash flows'!C23</v>
      </c>
      <c r="J392" s="713" t="b" cm="1">
        <f t="array" aca="1" ref="J392" ca="1">IF(COUNTIF($K392:$T392, "&lt;&gt;FALSE") - COUNTBLANK($K392:$T392) &gt; 0, INDEX($K392:$T392, MATCH(TRUE, $K392:$T392 &lt;&gt; FALSE, 0)))</f>
        <v>0</v>
      </c>
      <c r="K392" s="712" t="b">
        <f ca="1">IF(AND('Start here'!$C$26=RefData!$B$9,'Reconciliation report'!$E392&lt;&gt;""),ErrorMsgs!$B392)</f>
        <v>0</v>
      </c>
      <c r="L392" s="712" t="b">
        <f ca="1">IF(AND('Start here'!$C$26=RefData!$B$10,'Start here'!$C$24=RefData!$B$5,'Reconciliation report'!$E392=""),ErrorMsgs!$C392)</f>
        <v>0</v>
      </c>
      <c r="M392" s="714" t="b">
        <f ca="1">IF(AND('Start here'!$C$26=RefData!$B$10,'Start here'!$C$24=RefData!$B$4,'Scheme benefit cash flow'!$C$7=RefData!$B$26,'Reconciliation report'!$E392&lt;&gt;""),ErrorMsgs!$D392)</f>
        <v>0</v>
      </c>
      <c r="N392" s="714" t="b">
        <f ca="1">IF(AND('Start here'!$C$26=RefData!$B$10,'Start here'!$C$24=RefData!$B$4,'Scheme benefit cash flow'!$C$7=RefData!$B$25,'Reconciliation report'!E392=""),ErrorMsgs!$E392)</f>
        <v>0</v>
      </c>
      <c r="O392" s="712" t="b">
        <f ca="1">IF($E392="",FALSE,IF(OR(VALUE($E392)-ROUND(VALUE($E392),2)&lt;&gt;0,$E392&lt;0,$E392&gt;=1000000000000),ErrorMsgs!$F392))</f>
        <v>0</v>
      </c>
      <c r="P392" s="712"/>
      <c r="Q392" s="712"/>
      <c r="R392" s="712"/>
      <c r="S392" s="712"/>
      <c r="T392" s="712"/>
      <c r="U392" s="526" t="str">
        <f t="shared" ca="1" si="53"/>
        <v/>
      </c>
      <c r="V392" s="93" t="str" cm="1">
        <f t="array" aca="1" ref="V392" ca="1">CELL("format",INDIRECT(I392))</f>
        <v>C2</v>
      </c>
      <c r="W392" s="93" t="b">
        <f t="shared" ca="1" si="54"/>
        <v>0</v>
      </c>
      <c r="X392" s="715" t="str">
        <f t="shared" ca="1" si="51"/>
        <v/>
      </c>
      <c r="Y392" t="b">
        <f t="shared" ca="1" si="55"/>
        <v>1</v>
      </c>
    </row>
    <row r="393" spans="1:25" ht="46.5">
      <c r="A393" s="705" t="s">
        <v>3399</v>
      </c>
      <c r="B393" s="706" t="str">
        <f t="shared" ca="1" si="52"/>
        <v>Annual scheme cash flows - C24</v>
      </c>
      <c r="C393" s="707" t="str" cm="1">
        <f t="array" aca="1" ref="C393" ca="1">INDIRECT(LEFT(I393, FIND("!", I393)) &amp; RefData!$C$426 &amp; RIGHT(I393, LEN(I393) - FIND("!", I393) - 1))</f>
        <v xml:space="preserve">
Year 18
</v>
      </c>
      <c r="D393" s="92" t="str">
        <f t="shared" ca="1" si="50"/>
        <v/>
      </c>
      <c r="E393" s="708" t="str" cm="1">
        <f t="array" aca="1" ref="E393" ca="1">IF(INDIRECT($I393)= "", "", INDIRECT($I393))</f>
        <v/>
      </c>
      <c r="F393" s="709" t="str" cm="1">
        <f t="array" aca="1" ref="F393" ca="1">INDIRECT(LEFT(I393, FIND("!", I393)) &amp; RefData!$C$427 &amp; RIGHT(I393, LEN(I393) - FIND("!", I393) - 1))</f>
        <v>ASC 18.0</v>
      </c>
      <c r="G393" s="710" t="b">
        <f ca="1">IF(ISNUMBER(SEARCH(RefData!$B$2, $C393)), FALSE, TRUE)</f>
        <v>1</v>
      </c>
      <c r="H393" s="732">
        <f>'Annual scheme cash flows'!C24</f>
        <v>0</v>
      </c>
      <c r="I393" s="712" t="str">
        <f t="shared" ca="1" si="14"/>
        <v>'Annual scheme cash flows'!C24</v>
      </c>
      <c r="J393" s="713" t="b" cm="1">
        <f t="array" aca="1" ref="J393" ca="1">IF(COUNTIF($K393:$T393, "&lt;&gt;FALSE") - COUNTBLANK($K393:$T393) &gt; 0, INDEX($K393:$T393, MATCH(TRUE, $K393:$T393 &lt;&gt; FALSE, 0)))</f>
        <v>0</v>
      </c>
      <c r="K393" s="712" t="b">
        <f ca="1">IF(AND('Start here'!$C$26=RefData!$B$9,'Reconciliation report'!$E393&lt;&gt;""),ErrorMsgs!$B393)</f>
        <v>0</v>
      </c>
      <c r="L393" s="712" t="b">
        <f ca="1">IF(AND('Start here'!$C$26=RefData!$B$10,'Start here'!$C$24=RefData!$B$5,'Reconciliation report'!$E393=""),ErrorMsgs!$C393)</f>
        <v>0</v>
      </c>
      <c r="M393" s="714" t="b">
        <f ca="1">IF(AND('Start here'!$C$26=RefData!$B$10,'Start here'!$C$24=RefData!$B$4,'Scheme benefit cash flow'!$C$7=RefData!$B$26,'Reconciliation report'!$E393&lt;&gt;""),ErrorMsgs!$D393)</f>
        <v>0</v>
      </c>
      <c r="N393" s="714" t="b">
        <f ca="1">IF(AND('Start here'!$C$26=RefData!$B$10,'Start here'!$C$24=RefData!$B$4,'Scheme benefit cash flow'!$C$7=RefData!$B$25,'Reconciliation report'!E393=""),ErrorMsgs!$E393)</f>
        <v>0</v>
      </c>
      <c r="O393" s="712" t="b">
        <f ca="1">IF($E393="",FALSE,IF(OR(VALUE($E393)-ROUND(VALUE($E393),2)&lt;&gt;0,$E393&lt;0,$E393&gt;=1000000000000),ErrorMsgs!$F393))</f>
        <v>0</v>
      </c>
      <c r="P393" s="712"/>
      <c r="Q393" s="712"/>
      <c r="R393" s="712"/>
      <c r="S393" s="712"/>
      <c r="T393" s="712"/>
      <c r="U393" s="526" t="str">
        <f t="shared" ca="1" si="53"/>
        <v/>
      </c>
      <c r="V393" s="93" t="str" cm="1">
        <f t="array" aca="1" ref="V393" ca="1">CELL("format",INDIRECT(I393))</f>
        <v>C2</v>
      </c>
      <c r="W393" s="93" t="b">
        <f t="shared" ca="1" si="54"/>
        <v>0</v>
      </c>
      <c r="X393" s="715" t="str">
        <f t="shared" ca="1" si="51"/>
        <v/>
      </c>
      <c r="Y393" t="b">
        <f t="shared" ca="1" si="55"/>
        <v>1</v>
      </c>
    </row>
    <row r="394" spans="1:25" ht="46.5">
      <c r="A394" s="705" t="s">
        <v>3400</v>
      </c>
      <c r="B394" s="706" t="str">
        <f t="shared" ca="1" si="52"/>
        <v>Annual scheme cash flows - C25</v>
      </c>
      <c r="C394" s="707" t="str" cm="1">
        <f t="array" aca="1" ref="C394" ca="1">INDIRECT(LEFT(I394, FIND("!", I394)) &amp; RefData!$C$426 &amp; RIGHT(I394, LEN(I394) - FIND("!", I394) - 1))</f>
        <v xml:space="preserve">
Year 19
</v>
      </c>
      <c r="D394" s="92" t="str">
        <f t="shared" ca="1" si="50"/>
        <v/>
      </c>
      <c r="E394" s="708" t="str" cm="1">
        <f t="array" aca="1" ref="E394" ca="1">IF(INDIRECT($I394)= "", "", INDIRECT($I394))</f>
        <v/>
      </c>
      <c r="F394" s="709" t="str" cm="1">
        <f t="array" aca="1" ref="F394" ca="1">INDIRECT(LEFT(I394, FIND("!", I394)) &amp; RefData!$C$427 &amp; RIGHT(I394, LEN(I394) - FIND("!", I394) - 1))</f>
        <v>ASC 19.0</v>
      </c>
      <c r="G394" s="710" t="b">
        <f ca="1">IF(ISNUMBER(SEARCH(RefData!$B$2, $C394)), FALSE, TRUE)</f>
        <v>1</v>
      </c>
      <c r="H394" s="732">
        <f>'Annual scheme cash flows'!C25</f>
        <v>0</v>
      </c>
      <c r="I394" s="712" t="str">
        <f t="shared" ca="1" si="14"/>
        <v>'Annual scheme cash flows'!C25</v>
      </c>
      <c r="J394" s="713" t="b" cm="1">
        <f t="array" aca="1" ref="J394" ca="1">IF(COUNTIF($K394:$T394, "&lt;&gt;FALSE") - COUNTBLANK($K394:$T394) &gt; 0, INDEX($K394:$T394, MATCH(TRUE, $K394:$T394 &lt;&gt; FALSE, 0)))</f>
        <v>0</v>
      </c>
      <c r="K394" s="712" t="b">
        <f ca="1">IF(AND('Start here'!$C$26=RefData!$B$9,'Reconciliation report'!$E394&lt;&gt;""),ErrorMsgs!$B394)</f>
        <v>0</v>
      </c>
      <c r="L394" s="712" t="b">
        <f ca="1">IF(AND('Start here'!$C$26=RefData!$B$10,'Start here'!$C$24=RefData!$B$5,'Reconciliation report'!$E394=""),ErrorMsgs!$C394)</f>
        <v>0</v>
      </c>
      <c r="M394" s="714" t="b">
        <f ca="1">IF(AND('Start here'!$C$26=RefData!$B$10,'Start here'!$C$24=RefData!$B$4,'Scheme benefit cash flow'!$C$7=RefData!$B$26,'Reconciliation report'!$E394&lt;&gt;""),ErrorMsgs!$D394)</f>
        <v>0</v>
      </c>
      <c r="N394" s="714" t="b">
        <f ca="1">IF(AND('Start here'!$C$26=RefData!$B$10,'Start here'!$C$24=RefData!$B$4,'Scheme benefit cash flow'!$C$7=RefData!$B$25,'Reconciliation report'!E394=""),ErrorMsgs!$E394)</f>
        <v>0</v>
      </c>
      <c r="O394" s="712" t="b">
        <f ca="1">IF($E394="",FALSE,IF(OR(VALUE($E394)-ROUND(VALUE($E394),2)&lt;&gt;0,$E394&lt;0,$E394&gt;=1000000000000),ErrorMsgs!$F394))</f>
        <v>0</v>
      </c>
      <c r="P394" s="712"/>
      <c r="Q394" s="712"/>
      <c r="R394" s="712"/>
      <c r="S394" s="712"/>
      <c r="T394" s="712"/>
      <c r="U394" s="526" t="str">
        <f t="shared" ca="1" si="53"/>
        <v/>
      </c>
      <c r="V394" s="93" t="str" cm="1">
        <f t="array" aca="1" ref="V394" ca="1">CELL("format",INDIRECT(I394))</f>
        <v>C2</v>
      </c>
      <c r="W394" s="93" t="b">
        <f t="shared" ca="1" si="54"/>
        <v>0</v>
      </c>
      <c r="X394" s="715" t="str">
        <f t="shared" ca="1" si="51"/>
        <v/>
      </c>
      <c r="Y394" t="b">
        <f t="shared" ca="1" si="55"/>
        <v>1</v>
      </c>
    </row>
    <row r="395" spans="1:25" ht="46.5">
      <c r="A395" s="705" t="s">
        <v>3401</v>
      </c>
      <c r="B395" s="706" t="str">
        <f t="shared" ca="1" si="52"/>
        <v>Annual scheme cash flows - C26</v>
      </c>
      <c r="C395" s="707" t="str" cm="1">
        <f t="array" aca="1" ref="C395" ca="1">INDIRECT(LEFT(I395, FIND("!", I395)) &amp; RefData!$C$426 &amp; RIGHT(I395, LEN(I395) - FIND("!", I395) - 1))</f>
        <v xml:space="preserve">
Year 20
</v>
      </c>
      <c r="D395" s="92" t="str">
        <f t="shared" ca="1" si="50"/>
        <v/>
      </c>
      <c r="E395" s="708" t="str" cm="1">
        <f t="array" aca="1" ref="E395" ca="1">IF(INDIRECT($I395)= "", "", INDIRECT($I395))</f>
        <v/>
      </c>
      <c r="F395" s="709" t="str" cm="1">
        <f t="array" aca="1" ref="F395" ca="1">INDIRECT(LEFT(I395, FIND("!", I395)) &amp; RefData!$C$427 &amp; RIGHT(I395, LEN(I395) - FIND("!", I395) - 1))</f>
        <v>ASC 20.0</v>
      </c>
      <c r="G395" s="710" t="b">
        <f ca="1">IF(ISNUMBER(SEARCH(RefData!$B$2, $C395)), FALSE, TRUE)</f>
        <v>1</v>
      </c>
      <c r="H395" s="732">
        <f>'Annual scheme cash flows'!C26</f>
        <v>0</v>
      </c>
      <c r="I395" s="712" t="str">
        <f t="shared" ca="1" si="14"/>
        <v>'Annual scheme cash flows'!C26</v>
      </c>
      <c r="J395" s="713" t="b" cm="1">
        <f t="array" aca="1" ref="J395" ca="1">IF(COUNTIF($K395:$T395, "&lt;&gt;FALSE") - COUNTBLANK($K395:$T395) &gt; 0, INDEX($K395:$T395, MATCH(TRUE, $K395:$T395 &lt;&gt; FALSE, 0)))</f>
        <v>0</v>
      </c>
      <c r="K395" s="712" t="b">
        <f ca="1">IF(AND('Start here'!$C$26=RefData!$B$9,'Reconciliation report'!$E395&lt;&gt;""),ErrorMsgs!$B395)</f>
        <v>0</v>
      </c>
      <c r="L395" s="712" t="b">
        <f ca="1">IF(AND('Start here'!$C$26=RefData!$B$10,'Start here'!$C$24=RefData!$B$5,'Reconciliation report'!$E395=""),ErrorMsgs!$C395)</f>
        <v>0</v>
      </c>
      <c r="M395" s="714" t="b">
        <f ca="1">IF(AND('Start here'!$C$26=RefData!$B$10,'Start here'!$C$24=RefData!$B$4,'Scheme benefit cash flow'!$C$7=RefData!$B$26,'Reconciliation report'!$E395&lt;&gt;""),ErrorMsgs!$D395)</f>
        <v>0</v>
      </c>
      <c r="N395" s="714" t="b">
        <f ca="1">IF(AND('Start here'!$C$26=RefData!$B$10,'Start here'!$C$24=RefData!$B$4,'Scheme benefit cash flow'!$C$7=RefData!$B$25,'Reconciliation report'!E395=""),ErrorMsgs!$E395)</f>
        <v>0</v>
      </c>
      <c r="O395" s="712" t="b">
        <f ca="1">IF($E395="",FALSE,IF(OR(VALUE($E395)-ROUND(VALUE($E395),2)&lt;&gt;0,$E395&lt;0,$E395&gt;=1000000000000),ErrorMsgs!$F395))</f>
        <v>0</v>
      </c>
      <c r="P395" s="712"/>
      <c r="Q395" s="712"/>
      <c r="R395" s="712"/>
      <c r="S395" s="712"/>
      <c r="T395" s="712"/>
      <c r="U395" s="526" t="str">
        <f t="shared" ca="1" si="53"/>
        <v/>
      </c>
      <c r="V395" s="93" t="str" cm="1">
        <f t="array" aca="1" ref="V395" ca="1">CELL("format",INDIRECT(I395))</f>
        <v>C2</v>
      </c>
      <c r="W395" s="93" t="b">
        <f t="shared" ca="1" si="54"/>
        <v>0</v>
      </c>
      <c r="X395" s="715" t="str">
        <f t="shared" ca="1" si="51"/>
        <v/>
      </c>
      <c r="Y395" t="b">
        <f t="shared" ca="1" si="55"/>
        <v>1</v>
      </c>
    </row>
    <row r="396" spans="1:25" ht="46.5">
      <c r="A396" s="705" t="s">
        <v>3402</v>
      </c>
      <c r="B396" s="706" t="str">
        <f t="shared" ca="1" si="52"/>
        <v>Annual scheme cash flows - C27</v>
      </c>
      <c r="C396" s="707" t="str" cm="1">
        <f t="array" aca="1" ref="C396" ca="1">INDIRECT(LEFT(I396, FIND("!", I396)) &amp; RefData!$C$426 &amp; RIGHT(I396, LEN(I396) - FIND("!", I396) - 1))</f>
        <v xml:space="preserve">
Year 21
</v>
      </c>
      <c r="D396" s="92" t="str">
        <f t="shared" ca="1" si="50"/>
        <v/>
      </c>
      <c r="E396" s="708" t="str" cm="1">
        <f t="array" aca="1" ref="E396" ca="1">IF(INDIRECT($I396)= "", "", INDIRECT($I396))</f>
        <v/>
      </c>
      <c r="F396" s="709" t="str" cm="1">
        <f t="array" aca="1" ref="F396" ca="1">INDIRECT(LEFT(I396, FIND("!", I396)) &amp; RefData!$C$427 &amp; RIGHT(I396, LEN(I396) - FIND("!", I396) - 1))</f>
        <v>ASC 21.0</v>
      </c>
      <c r="G396" s="710" t="b">
        <f ca="1">IF(ISNUMBER(SEARCH(RefData!$B$2, $C396)), FALSE, TRUE)</f>
        <v>1</v>
      </c>
      <c r="H396" s="732">
        <f>'Annual scheme cash flows'!C27</f>
        <v>0</v>
      </c>
      <c r="I396" s="712" t="str">
        <f t="shared" ca="1" si="14"/>
        <v>'Annual scheme cash flows'!C27</v>
      </c>
      <c r="J396" s="713" t="b" cm="1">
        <f t="array" aca="1" ref="J396" ca="1">IF(COUNTIF($K396:$T396, "&lt;&gt;FALSE") - COUNTBLANK($K396:$T396) &gt; 0, INDEX($K396:$T396, MATCH(TRUE, $K396:$T396 &lt;&gt; FALSE, 0)))</f>
        <v>0</v>
      </c>
      <c r="K396" s="712" t="b">
        <f ca="1">IF(AND('Start here'!$C$26=RefData!$B$9,'Reconciliation report'!$E396&lt;&gt;""),ErrorMsgs!$B396)</f>
        <v>0</v>
      </c>
      <c r="L396" s="712" t="b">
        <f ca="1">IF(AND('Start here'!$C$26=RefData!$B$10,'Start here'!$C$24=RefData!$B$5,'Reconciliation report'!$E396=""),ErrorMsgs!$C396)</f>
        <v>0</v>
      </c>
      <c r="M396" s="714" t="b">
        <f ca="1">IF(AND('Start here'!$C$26=RefData!$B$10,'Start here'!$C$24=RefData!$B$4,'Scheme benefit cash flow'!$C$7=RefData!$B$26,'Reconciliation report'!$E396&lt;&gt;""),ErrorMsgs!$D396)</f>
        <v>0</v>
      </c>
      <c r="N396" s="714" t="b">
        <f ca="1">IF(AND('Start here'!$C$26=RefData!$B$10,'Start here'!$C$24=RefData!$B$4,'Scheme benefit cash flow'!$C$7=RefData!$B$25,'Reconciliation report'!E396=""),ErrorMsgs!$E396)</f>
        <v>0</v>
      </c>
      <c r="O396" s="712" t="b">
        <f ca="1">IF($E396="",FALSE,IF(OR(VALUE($E396)-ROUND(VALUE($E396),2)&lt;&gt;0,$E396&lt;0,$E396&gt;=1000000000000),ErrorMsgs!$F396))</f>
        <v>0</v>
      </c>
      <c r="P396" s="712"/>
      <c r="Q396" s="712"/>
      <c r="R396" s="712"/>
      <c r="S396" s="712"/>
      <c r="T396" s="712"/>
      <c r="U396" s="526" t="str">
        <f t="shared" ca="1" si="53"/>
        <v/>
      </c>
      <c r="V396" s="93" t="str" cm="1">
        <f t="array" aca="1" ref="V396" ca="1">CELL("format",INDIRECT(I396))</f>
        <v>C2</v>
      </c>
      <c r="W396" s="93" t="b">
        <f t="shared" ca="1" si="54"/>
        <v>0</v>
      </c>
      <c r="X396" s="715" t="str">
        <f t="shared" ca="1" si="51"/>
        <v/>
      </c>
      <c r="Y396" t="b">
        <f t="shared" ca="1" si="55"/>
        <v>1</v>
      </c>
    </row>
    <row r="397" spans="1:25" ht="46.5">
      <c r="A397" s="705" t="s">
        <v>3403</v>
      </c>
      <c r="B397" s="706" t="str">
        <f t="shared" ca="1" si="52"/>
        <v>Annual scheme cash flows - C28</v>
      </c>
      <c r="C397" s="707" t="str" cm="1">
        <f t="array" aca="1" ref="C397" ca="1">INDIRECT(LEFT(I397, FIND("!", I397)) &amp; RefData!$C$426 &amp; RIGHT(I397, LEN(I397) - FIND("!", I397) - 1))</f>
        <v xml:space="preserve">
Year 22
</v>
      </c>
      <c r="D397" s="92" t="str">
        <f t="shared" ca="1" si="50"/>
        <v/>
      </c>
      <c r="E397" s="708" t="str" cm="1">
        <f t="array" aca="1" ref="E397" ca="1">IF(INDIRECT($I397)= "", "", INDIRECT($I397))</f>
        <v/>
      </c>
      <c r="F397" s="709" t="str" cm="1">
        <f t="array" aca="1" ref="F397" ca="1">INDIRECT(LEFT(I397, FIND("!", I397)) &amp; RefData!$C$427 &amp; RIGHT(I397, LEN(I397) - FIND("!", I397) - 1))</f>
        <v>ASC 22.0</v>
      </c>
      <c r="G397" s="710" t="b">
        <f ca="1">IF(ISNUMBER(SEARCH(RefData!$B$2, $C397)), FALSE, TRUE)</f>
        <v>1</v>
      </c>
      <c r="H397" s="732">
        <f>'Annual scheme cash flows'!C28</f>
        <v>0</v>
      </c>
      <c r="I397" s="712" t="str">
        <f t="shared" ca="1" si="14"/>
        <v>'Annual scheme cash flows'!C28</v>
      </c>
      <c r="J397" s="713" t="b" cm="1">
        <f t="array" aca="1" ref="J397" ca="1">IF(COUNTIF($K397:$T397, "&lt;&gt;FALSE") - COUNTBLANK($K397:$T397) &gt; 0, INDEX($K397:$T397, MATCH(TRUE, $K397:$T397 &lt;&gt; FALSE, 0)))</f>
        <v>0</v>
      </c>
      <c r="K397" s="712" t="b">
        <f ca="1">IF(AND('Start here'!$C$26=RefData!$B$9,'Reconciliation report'!$E397&lt;&gt;""),ErrorMsgs!$B397)</f>
        <v>0</v>
      </c>
      <c r="L397" s="712" t="b">
        <f ca="1">IF(AND('Start here'!$C$26=RefData!$B$10,'Start here'!$C$24=RefData!$B$5,'Reconciliation report'!$E397=""),ErrorMsgs!$C397)</f>
        <v>0</v>
      </c>
      <c r="M397" s="714" t="b">
        <f ca="1">IF(AND('Start here'!$C$26=RefData!$B$10,'Start here'!$C$24=RefData!$B$4,'Scheme benefit cash flow'!$C$7=RefData!$B$26,'Reconciliation report'!$E397&lt;&gt;""),ErrorMsgs!$D397)</f>
        <v>0</v>
      </c>
      <c r="N397" s="714" t="b">
        <f ca="1">IF(AND('Start here'!$C$26=RefData!$B$10,'Start here'!$C$24=RefData!$B$4,'Scheme benefit cash flow'!$C$7=RefData!$B$25,'Reconciliation report'!E397=""),ErrorMsgs!$E397)</f>
        <v>0</v>
      </c>
      <c r="O397" s="712" t="b">
        <f ca="1">IF($E397="",FALSE,IF(OR(VALUE($E397)-ROUND(VALUE($E397),2)&lt;&gt;0,$E397&lt;0,$E397&gt;=1000000000000),ErrorMsgs!$F397))</f>
        <v>0</v>
      </c>
      <c r="P397" s="712"/>
      <c r="Q397" s="712"/>
      <c r="R397" s="712"/>
      <c r="S397" s="712"/>
      <c r="T397" s="712"/>
      <c r="U397" s="526" t="str">
        <f t="shared" ca="1" si="53"/>
        <v/>
      </c>
      <c r="V397" s="93" t="str" cm="1">
        <f t="array" aca="1" ref="V397" ca="1">CELL("format",INDIRECT(I397))</f>
        <v>C2</v>
      </c>
      <c r="W397" s="93" t="b">
        <f t="shared" ca="1" si="54"/>
        <v>0</v>
      </c>
      <c r="X397" s="715" t="str">
        <f t="shared" ca="1" si="51"/>
        <v/>
      </c>
      <c r="Y397" t="b">
        <f t="shared" ca="1" si="55"/>
        <v>1</v>
      </c>
    </row>
    <row r="398" spans="1:25" ht="46.5">
      <c r="A398" s="705" t="s">
        <v>3404</v>
      </c>
      <c r="B398" s="706" t="str">
        <f t="shared" ca="1" si="52"/>
        <v>Annual scheme cash flows - C29</v>
      </c>
      <c r="C398" s="707" t="str" cm="1">
        <f t="array" aca="1" ref="C398" ca="1">INDIRECT(LEFT(I398, FIND("!", I398)) &amp; RefData!$C$426 &amp; RIGHT(I398, LEN(I398) - FIND("!", I398) - 1))</f>
        <v xml:space="preserve">
Year 23
</v>
      </c>
      <c r="D398" s="92" t="str">
        <f t="shared" ca="1" si="50"/>
        <v/>
      </c>
      <c r="E398" s="708" t="str" cm="1">
        <f t="array" aca="1" ref="E398" ca="1">IF(INDIRECT($I398)= "", "", INDIRECT($I398))</f>
        <v/>
      </c>
      <c r="F398" s="709" t="str" cm="1">
        <f t="array" aca="1" ref="F398" ca="1">INDIRECT(LEFT(I398, FIND("!", I398)) &amp; RefData!$C$427 &amp; RIGHT(I398, LEN(I398) - FIND("!", I398) - 1))</f>
        <v>ASC 23.0</v>
      </c>
      <c r="G398" s="710" t="b">
        <f ca="1">IF(ISNUMBER(SEARCH(RefData!$B$2, $C398)), FALSE, TRUE)</f>
        <v>1</v>
      </c>
      <c r="H398" s="732">
        <f>'Annual scheme cash flows'!C29</f>
        <v>0</v>
      </c>
      <c r="I398" s="712" t="str">
        <f t="shared" ca="1" si="14"/>
        <v>'Annual scheme cash flows'!C29</v>
      </c>
      <c r="J398" s="713" t="b" cm="1">
        <f t="array" aca="1" ref="J398" ca="1">IF(COUNTIF($K398:$T398, "&lt;&gt;FALSE") - COUNTBLANK($K398:$T398) &gt; 0, INDEX($K398:$T398, MATCH(TRUE, $K398:$T398 &lt;&gt; FALSE, 0)))</f>
        <v>0</v>
      </c>
      <c r="K398" s="712" t="b">
        <f ca="1">IF(AND('Start here'!$C$26=RefData!$B$9,'Reconciliation report'!$E398&lt;&gt;""),ErrorMsgs!$B398)</f>
        <v>0</v>
      </c>
      <c r="L398" s="712" t="b">
        <f ca="1">IF(AND('Start here'!$C$26=RefData!$B$10,'Start here'!$C$24=RefData!$B$5,'Reconciliation report'!$E398=""),ErrorMsgs!$C398)</f>
        <v>0</v>
      </c>
      <c r="M398" s="714" t="b">
        <f ca="1">IF(AND('Start here'!$C$26=RefData!$B$10,'Start here'!$C$24=RefData!$B$4,'Scheme benefit cash flow'!$C$7=RefData!$B$26,'Reconciliation report'!$E398&lt;&gt;""),ErrorMsgs!$D398)</f>
        <v>0</v>
      </c>
      <c r="N398" s="714" t="b">
        <f ca="1">IF(AND('Start here'!$C$26=RefData!$B$10,'Start here'!$C$24=RefData!$B$4,'Scheme benefit cash flow'!$C$7=RefData!$B$25,'Reconciliation report'!E398=""),ErrorMsgs!$E398)</f>
        <v>0</v>
      </c>
      <c r="O398" s="712" t="b">
        <f ca="1">IF($E398="",FALSE,IF(OR(VALUE($E398)-ROUND(VALUE($E398),2)&lt;&gt;0,$E398&lt;0,$E398&gt;=1000000000000),ErrorMsgs!$F398))</f>
        <v>0</v>
      </c>
      <c r="P398" s="712"/>
      <c r="Q398" s="712"/>
      <c r="R398" s="712"/>
      <c r="S398" s="712"/>
      <c r="T398" s="712"/>
      <c r="U398" s="526" t="str">
        <f t="shared" ca="1" si="53"/>
        <v/>
      </c>
      <c r="V398" s="93" t="str" cm="1">
        <f t="array" aca="1" ref="V398" ca="1">CELL("format",INDIRECT(I398))</f>
        <v>C2</v>
      </c>
      <c r="W398" s="93" t="b">
        <f t="shared" ca="1" si="54"/>
        <v>0</v>
      </c>
      <c r="X398" s="715" t="str">
        <f t="shared" ca="1" si="51"/>
        <v/>
      </c>
      <c r="Y398" t="b">
        <f t="shared" ca="1" si="55"/>
        <v>1</v>
      </c>
    </row>
    <row r="399" spans="1:25" ht="46.5">
      <c r="A399" s="705" t="s">
        <v>3405</v>
      </c>
      <c r="B399" s="706" t="str">
        <f t="shared" ca="1" si="52"/>
        <v>Annual scheme cash flows - C30</v>
      </c>
      <c r="C399" s="707" t="str" cm="1">
        <f t="array" aca="1" ref="C399" ca="1">INDIRECT(LEFT(I399, FIND("!", I399)) &amp; RefData!$C$426 &amp; RIGHT(I399, LEN(I399) - FIND("!", I399) - 1))</f>
        <v xml:space="preserve">
Year 24
</v>
      </c>
      <c r="D399" s="92" t="str">
        <f t="shared" ca="1" si="50"/>
        <v/>
      </c>
      <c r="E399" s="708" t="str" cm="1">
        <f t="array" aca="1" ref="E399" ca="1">IF(INDIRECT($I399)= "", "", INDIRECT($I399))</f>
        <v/>
      </c>
      <c r="F399" s="709" t="str" cm="1">
        <f t="array" aca="1" ref="F399" ca="1">INDIRECT(LEFT(I399, FIND("!", I399)) &amp; RefData!$C$427 &amp; RIGHT(I399, LEN(I399) - FIND("!", I399) - 1))</f>
        <v>ASC 24.0</v>
      </c>
      <c r="G399" s="710" t="b">
        <f ca="1">IF(ISNUMBER(SEARCH(RefData!$B$2, $C399)), FALSE, TRUE)</f>
        <v>1</v>
      </c>
      <c r="H399" s="732">
        <f>'Annual scheme cash flows'!C30</f>
        <v>0</v>
      </c>
      <c r="I399" s="712" t="str">
        <f t="shared" ca="1" si="14"/>
        <v>'Annual scheme cash flows'!C30</v>
      </c>
      <c r="J399" s="713" t="b" cm="1">
        <f t="array" aca="1" ref="J399" ca="1">IF(COUNTIF($K399:$T399, "&lt;&gt;FALSE") - COUNTBLANK($K399:$T399) &gt; 0, INDEX($K399:$T399, MATCH(TRUE, $K399:$T399 &lt;&gt; FALSE, 0)))</f>
        <v>0</v>
      </c>
      <c r="K399" s="712" t="b">
        <f ca="1">IF(AND('Start here'!$C$26=RefData!$B$9,'Reconciliation report'!$E399&lt;&gt;""),ErrorMsgs!$B399)</f>
        <v>0</v>
      </c>
      <c r="L399" s="712" t="b">
        <f ca="1">IF(AND('Start here'!$C$26=RefData!$B$10,'Start here'!$C$24=RefData!$B$5,'Reconciliation report'!$E399=""),ErrorMsgs!$C399)</f>
        <v>0</v>
      </c>
      <c r="M399" s="714" t="b">
        <f ca="1">IF(AND('Start here'!$C$26=RefData!$B$10,'Start here'!$C$24=RefData!$B$4,'Scheme benefit cash flow'!$C$7=RefData!$B$26,'Reconciliation report'!$E399&lt;&gt;""),ErrorMsgs!$D399)</f>
        <v>0</v>
      </c>
      <c r="N399" s="714" t="b">
        <f ca="1">IF(AND('Start here'!$C$26=RefData!$B$10,'Start here'!$C$24=RefData!$B$4,'Scheme benefit cash flow'!$C$7=RefData!$B$25,'Reconciliation report'!E399=""),ErrorMsgs!$E399)</f>
        <v>0</v>
      </c>
      <c r="O399" s="712" t="b">
        <f ca="1">IF($E399="",FALSE,IF(OR(VALUE($E399)-ROUND(VALUE($E399),2)&lt;&gt;0,$E399&lt;0,$E399&gt;=1000000000000),ErrorMsgs!$F399))</f>
        <v>0</v>
      </c>
      <c r="P399" s="712"/>
      <c r="Q399" s="712"/>
      <c r="R399" s="712"/>
      <c r="S399" s="712"/>
      <c r="T399" s="712"/>
      <c r="U399" s="526" t="str">
        <f t="shared" ca="1" si="53"/>
        <v/>
      </c>
      <c r="V399" s="93" t="str" cm="1">
        <f t="array" aca="1" ref="V399" ca="1">CELL("format",INDIRECT(I399))</f>
        <v>C2</v>
      </c>
      <c r="W399" s="93" t="b">
        <f t="shared" ca="1" si="54"/>
        <v>0</v>
      </c>
      <c r="X399" s="715" t="str">
        <f t="shared" ca="1" si="51"/>
        <v/>
      </c>
      <c r="Y399" t="b">
        <f t="shared" ca="1" si="55"/>
        <v>1</v>
      </c>
    </row>
    <row r="400" spans="1:25" ht="46.5">
      <c r="A400" s="705" t="s">
        <v>3406</v>
      </c>
      <c r="B400" s="706" t="str">
        <f t="shared" ca="1" si="52"/>
        <v>Annual scheme cash flows - C31</v>
      </c>
      <c r="C400" s="707" t="str" cm="1">
        <f t="array" aca="1" ref="C400" ca="1">INDIRECT(LEFT(I400, FIND("!", I400)) &amp; RefData!$C$426 &amp; RIGHT(I400, LEN(I400) - FIND("!", I400) - 1))</f>
        <v xml:space="preserve">
Year 25
</v>
      </c>
      <c r="D400" s="92" t="str">
        <f t="shared" ca="1" si="50"/>
        <v/>
      </c>
      <c r="E400" s="708" t="str" cm="1">
        <f t="array" aca="1" ref="E400" ca="1">IF(INDIRECT($I400)= "", "", INDIRECT($I400))</f>
        <v/>
      </c>
      <c r="F400" s="709" t="str" cm="1">
        <f t="array" aca="1" ref="F400" ca="1">INDIRECT(LEFT(I400, FIND("!", I400)) &amp; RefData!$C$427 &amp; RIGHT(I400, LEN(I400) - FIND("!", I400) - 1))</f>
        <v>ASC 25.0</v>
      </c>
      <c r="G400" s="710" t="b">
        <f ca="1">IF(ISNUMBER(SEARCH(RefData!$B$2, $C400)), FALSE, TRUE)</f>
        <v>1</v>
      </c>
      <c r="H400" s="732">
        <f>'Annual scheme cash flows'!C31</f>
        <v>0</v>
      </c>
      <c r="I400" s="712" t="str">
        <f t="shared" ca="1" si="14"/>
        <v>'Annual scheme cash flows'!C31</v>
      </c>
      <c r="J400" s="713" t="b" cm="1">
        <f t="array" aca="1" ref="J400" ca="1">IF(COUNTIF($K400:$T400, "&lt;&gt;FALSE") - COUNTBLANK($K400:$T400) &gt; 0, INDEX($K400:$T400, MATCH(TRUE, $K400:$T400 &lt;&gt; FALSE, 0)))</f>
        <v>0</v>
      </c>
      <c r="K400" s="712" t="b">
        <f ca="1">IF(AND('Start here'!$C$26=RefData!$B$9,'Reconciliation report'!$E400&lt;&gt;""),ErrorMsgs!$B400)</f>
        <v>0</v>
      </c>
      <c r="L400" s="712" t="b">
        <f ca="1">IF(AND('Start here'!$C$26=RefData!$B$10,'Start here'!$C$24=RefData!$B$5,'Reconciliation report'!$E400=""),ErrorMsgs!$C400)</f>
        <v>0</v>
      </c>
      <c r="M400" s="714" t="b">
        <f ca="1">IF(AND('Start here'!$C$26=RefData!$B$10,'Start here'!$C$24=RefData!$B$4,'Scheme benefit cash flow'!$C$7=RefData!$B$26,'Reconciliation report'!$E400&lt;&gt;""),ErrorMsgs!$D400)</f>
        <v>0</v>
      </c>
      <c r="N400" s="714" t="b">
        <f ca="1">IF(AND('Start here'!$C$26=RefData!$B$10,'Start here'!$C$24=RefData!$B$4,'Scheme benefit cash flow'!$C$7=RefData!$B$25,'Reconciliation report'!E400=""),ErrorMsgs!$E400)</f>
        <v>0</v>
      </c>
      <c r="O400" s="712" t="b">
        <f ca="1">IF($E400="",FALSE,IF(OR(VALUE($E400)-ROUND(VALUE($E400),2)&lt;&gt;0,$E400&lt;0,$E400&gt;=1000000000000),ErrorMsgs!$F400))</f>
        <v>0</v>
      </c>
      <c r="P400" s="712"/>
      <c r="Q400" s="712"/>
      <c r="R400" s="712"/>
      <c r="S400" s="712"/>
      <c r="T400" s="712"/>
      <c r="U400" s="526" t="str">
        <f t="shared" ca="1" si="53"/>
        <v/>
      </c>
      <c r="V400" s="93" t="str" cm="1">
        <f t="array" aca="1" ref="V400" ca="1">CELL("format",INDIRECT(I400))</f>
        <v>C2</v>
      </c>
      <c r="W400" s="93" t="b">
        <f t="shared" ca="1" si="54"/>
        <v>0</v>
      </c>
      <c r="X400" s="715" t="str">
        <f t="shared" ca="1" si="51"/>
        <v/>
      </c>
      <c r="Y400" t="b">
        <f t="shared" ca="1" si="55"/>
        <v>1</v>
      </c>
    </row>
    <row r="401" spans="1:25" ht="46.5">
      <c r="A401" s="705" t="s">
        <v>3407</v>
      </c>
      <c r="B401" s="706" t="str">
        <f t="shared" ca="1" si="52"/>
        <v>Annual scheme cash flows - C32</v>
      </c>
      <c r="C401" s="707" t="str" cm="1">
        <f t="array" aca="1" ref="C401" ca="1">INDIRECT(LEFT(I401, FIND("!", I401)) &amp; RefData!$C$426 &amp; RIGHT(I401, LEN(I401) - FIND("!", I401) - 1))</f>
        <v xml:space="preserve">
Year 26
</v>
      </c>
      <c r="D401" s="92" t="str">
        <f t="shared" ca="1" si="50"/>
        <v/>
      </c>
      <c r="E401" s="708" t="str" cm="1">
        <f t="array" aca="1" ref="E401" ca="1">IF(INDIRECT($I401)= "", "", INDIRECT($I401))</f>
        <v/>
      </c>
      <c r="F401" s="709" t="str" cm="1">
        <f t="array" aca="1" ref="F401" ca="1">INDIRECT(LEFT(I401, FIND("!", I401)) &amp; RefData!$C$427 &amp; RIGHT(I401, LEN(I401) - FIND("!", I401) - 1))</f>
        <v>ASC 26.0</v>
      </c>
      <c r="G401" s="710" t="b">
        <f ca="1">IF(ISNUMBER(SEARCH(RefData!$B$2, $C401)), FALSE, TRUE)</f>
        <v>1</v>
      </c>
      <c r="H401" s="732">
        <f>'Annual scheme cash flows'!C32</f>
        <v>0</v>
      </c>
      <c r="I401" s="712" t="str">
        <f t="shared" ca="1" si="14"/>
        <v>'Annual scheme cash flows'!C32</v>
      </c>
      <c r="J401" s="713" t="b" cm="1">
        <f t="array" aca="1" ref="J401" ca="1">IF(COUNTIF($K401:$T401, "&lt;&gt;FALSE") - COUNTBLANK($K401:$T401) &gt; 0, INDEX($K401:$T401, MATCH(TRUE, $K401:$T401 &lt;&gt; FALSE, 0)))</f>
        <v>0</v>
      </c>
      <c r="K401" s="712" t="b">
        <f ca="1">IF(AND('Start here'!$C$26=RefData!$B$9,'Reconciliation report'!$E401&lt;&gt;""),ErrorMsgs!$B401)</f>
        <v>0</v>
      </c>
      <c r="L401" s="712" t="b">
        <f ca="1">IF(AND('Start here'!$C$26=RefData!$B$10,'Start here'!$C$24=RefData!$B$5,'Reconciliation report'!$E401=""),ErrorMsgs!$C401)</f>
        <v>0</v>
      </c>
      <c r="M401" s="714" t="b">
        <f ca="1">IF(AND('Start here'!$C$26=RefData!$B$10,'Start here'!$C$24=RefData!$B$4,'Scheme benefit cash flow'!$C$7=RefData!$B$26,'Reconciliation report'!$E401&lt;&gt;""),ErrorMsgs!$D401)</f>
        <v>0</v>
      </c>
      <c r="N401" s="714" t="b">
        <f ca="1">IF(AND('Start here'!$C$26=RefData!$B$10,'Start here'!$C$24=RefData!$B$4,'Scheme benefit cash flow'!$C$7=RefData!$B$25,'Reconciliation report'!E401=""),ErrorMsgs!$E401)</f>
        <v>0</v>
      </c>
      <c r="O401" s="712" t="b">
        <f ca="1">IF($E401="",FALSE,IF(OR(VALUE($E401)-ROUND(VALUE($E401),2)&lt;&gt;0,$E401&lt;0,$E401&gt;=1000000000000),ErrorMsgs!$F401))</f>
        <v>0</v>
      </c>
      <c r="P401" s="712"/>
      <c r="Q401" s="712"/>
      <c r="R401" s="712"/>
      <c r="S401" s="712"/>
      <c r="T401" s="712"/>
      <c r="U401" s="526" t="str">
        <f t="shared" ca="1" si="53"/>
        <v/>
      </c>
      <c r="V401" s="93" t="str" cm="1">
        <f t="array" aca="1" ref="V401" ca="1">CELL("format",INDIRECT(I401))</f>
        <v>C2</v>
      </c>
      <c r="W401" s="93" t="b">
        <f t="shared" ca="1" si="54"/>
        <v>0</v>
      </c>
      <c r="X401" s="715" t="str">
        <f t="shared" ca="1" si="51"/>
        <v/>
      </c>
      <c r="Y401" t="b">
        <f t="shared" ca="1" si="55"/>
        <v>1</v>
      </c>
    </row>
    <row r="402" spans="1:25" ht="46.5">
      <c r="A402" s="705" t="s">
        <v>3408</v>
      </c>
      <c r="B402" s="706" t="str">
        <f t="shared" ca="1" si="52"/>
        <v>Annual scheme cash flows - C33</v>
      </c>
      <c r="C402" s="707" t="str" cm="1">
        <f t="array" aca="1" ref="C402" ca="1">INDIRECT(LEFT(I402, FIND("!", I402)) &amp; RefData!$C$426 &amp; RIGHT(I402, LEN(I402) - FIND("!", I402) - 1))</f>
        <v xml:space="preserve">
Year 27
</v>
      </c>
      <c r="D402" s="92" t="str">
        <f t="shared" ca="1" si="50"/>
        <v/>
      </c>
      <c r="E402" s="708" t="str" cm="1">
        <f t="array" aca="1" ref="E402" ca="1">IF(INDIRECT($I402)= "", "", INDIRECT($I402))</f>
        <v/>
      </c>
      <c r="F402" s="709" t="str" cm="1">
        <f t="array" aca="1" ref="F402" ca="1">INDIRECT(LEFT(I402, FIND("!", I402)) &amp; RefData!$C$427 &amp; RIGHT(I402, LEN(I402) - FIND("!", I402) - 1))</f>
        <v>ASC 27.0</v>
      </c>
      <c r="G402" s="710" t="b">
        <f ca="1">IF(ISNUMBER(SEARCH(RefData!$B$2, $C402)), FALSE, TRUE)</f>
        <v>1</v>
      </c>
      <c r="H402" s="732">
        <f>'Annual scheme cash flows'!C33</f>
        <v>0</v>
      </c>
      <c r="I402" s="712" t="str">
        <f t="shared" ca="1" si="14"/>
        <v>'Annual scheme cash flows'!C33</v>
      </c>
      <c r="J402" s="713" t="b" cm="1">
        <f t="array" aca="1" ref="J402" ca="1">IF(COUNTIF($K402:$T402, "&lt;&gt;FALSE") - COUNTBLANK($K402:$T402) &gt; 0, INDEX($K402:$T402, MATCH(TRUE, $K402:$T402 &lt;&gt; FALSE, 0)))</f>
        <v>0</v>
      </c>
      <c r="K402" s="712" t="b">
        <f ca="1">IF(AND('Start here'!$C$26=RefData!$B$9,'Reconciliation report'!$E402&lt;&gt;""),ErrorMsgs!$B402)</f>
        <v>0</v>
      </c>
      <c r="L402" s="712" t="b">
        <f ca="1">IF(AND('Start here'!$C$26=RefData!$B$10,'Start here'!$C$24=RefData!$B$5,'Reconciliation report'!$E402=""),ErrorMsgs!$C402)</f>
        <v>0</v>
      </c>
      <c r="M402" s="714" t="b">
        <f ca="1">IF(AND('Start here'!$C$26=RefData!$B$10,'Start here'!$C$24=RefData!$B$4,'Scheme benefit cash flow'!$C$7=RefData!$B$26,'Reconciliation report'!$E402&lt;&gt;""),ErrorMsgs!$D402)</f>
        <v>0</v>
      </c>
      <c r="N402" s="714" t="b">
        <f ca="1">IF(AND('Start here'!$C$26=RefData!$B$10,'Start here'!$C$24=RefData!$B$4,'Scheme benefit cash flow'!$C$7=RefData!$B$25,'Reconciliation report'!E402=""),ErrorMsgs!$E402)</f>
        <v>0</v>
      </c>
      <c r="O402" s="712" t="b">
        <f ca="1">IF($E402="",FALSE,IF(OR(VALUE($E402)-ROUND(VALUE($E402),2)&lt;&gt;0,$E402&lt;0,$E402&gt;=1000000000000),ErrorMsgs!$F402))</f>
        <v>0</v>
      </c>
      <c r="P402" s="712"/>
      <c r="Q402" s="712"/>
      <c r="R402" s="712"/>
      <c r="S402" s="712"/>
      <c r="T402" s="712"/>
      <c r="U402" s="526" t="str">
        <f t="shared" ca="1" si="53"/>
        <v/>
      </c>
      <c r="V402" s="93" t="str" cm="1">
        <f t="array" aca="1" ref="V402" ca="1">CELL("format",INDIRECT(I402))</f>
        <v>C2</v>
      </c>
      <c r="W402" s="93" t="b">
        <f t="shared" ca="1" si="54"/>
        <v>0</v>
      </c>
      <c r="X402" s="715" t="str">
        <f t="shared" ca="1" si="51"/>
        <v/>
      </c>
      <c r="Y402" t="b">
        <f t="shared" ca="1" si="55"/>
        <v>1</v>
      </c>
    </row>
    <row r="403" spans="1:25" ht="46.5">
      <c r="A403" s="705" t="s">
        <v>3409</v>
      </c>
      <c r="B403" s="706" t="str">
        <f t="shared" ca="1" si="52"/>
        <v>Annual scheme cash flows - C34</v>
      </c>
      <c r="C403" s="707" t="str" cm="1">
        <f t="array" aca="1" ref="C403" ca="1">INDIRECT(LEFT(I403, FIND("!", I403)) &amp; RefData!$C$426 &amp; RIGHT(I403, LEN(I403) - FIND("!", I403) - 1))</f>
        <v xml:space="preserve">
Year 28
</v>
      </c>
      <c r="D403" s="92" t="str">
        <f t="shared" ca="1" si="50"/>
        <v/>
      </c>
      <c r="E403" s="708" t="str" cm="1">
        <f t="array" aca="1" ref="E403" ca="1">IF(INDIRECT($I403)= "", "", INDIRECT($I403))</f>
        <v/>
      </c>
      <c r="F403" s="709" t="str" cm="1">
        <f t="array" aca="1" ref="F403" ca="1">INDIRECT(LEFT(I403, FIND("!", I403)) &amp; RefData!$C$427 &amp; RIGHT(I403, LEN(I403) - FIND("!", I403) - 1))</f>
        <v>ASC 28.0</v>
      </c>
      <c r="G403" s="710" t="b">
        <f ca="1">IF(ISNUMBER(SEARCH(RefData!$B$2, $C403)), FALSE, TRUE)</f>
        <v>1</v>
      </c>
      <c r="H403" s="732">
        <f>'Annual scheme cash flows'!C34</f>
        <v>0</v>
      </c>
      <c r="I403" s="712" t="str">
        <f t="shared" ca="1" si="14"/>
        <v>'Annual scheme cash flows'!C34</v>
      </c>
      <c r="J403" s="713" t="b" cm="1">
        <f t="array" aca="1" ref="J403" ca="1">IF(COUNTIF($K403:$T403, "&lt;&gt;FALSE") - COUNTBLANK($K403:$T403) &gt; 0, INDEX($K403:$T403, MATCH(TRUE, $K403:$T403 &lt;&gt; FALSE, 0)))</f>
        <v>0</v>
      </c>
      <c r="K403" s="712" t="b">
        <f ca="1">IF(AND('Start here'!$C$26=RefData!$B$9,'Reconciliation report'!$E403&lt;&gt;""),ErrorMsgs!$B403)</f>
        <v>0</v>
      </c>
      <c r="L403" s="712" t="b">
        <f ca="1">IF(AND('Start here'!$C$26=RefData!$B$10,'Start here'!$C$24=RefData!$B$5,'Reconciliation report'!$E403=""),ErrorMsgs!$C403)</f>
        <v>0</v>
      </c>
      <c r="M403" s="714" t="b">
        <f ca="1">IF(AND('Start here'!$C$26=RefData!$B$10,'Start here'!$C$24=RefData!$B$4,'Scheme benefit cash flow'!$C$7=RefData!$B$26,'Reconciliation report'!$E403&lt;&gt;""),ErrorMsgs!$D403)</f>
        <v>0</v>
      </c>
      <c r="N403" s="714" t="b">
        <f ca="1">IF(AND('Start here'!$C$26=RefData!$B$10,'Start here'!$C$24=RefData!$B$4,'Scheme benefit cash flow'!$C$7=RefData!$B$25,'Reconciliation report'!E403=""),ErrorMsgs!$E403)</f>
        <v>0</v>
      </c>
      <c r="O403" s="712" t="b">
        <f ca="1">IF($E403="",FALSE,IF(OR(VALUE($E403)-ROUND(VALUE($E403),2)&lt;&gt;0,$E403&lt;0,$E403&gt;=1000000000000),ErrorMsgs!$F403))</f>
        <v>0</v>
      </c>
      <c r="P403" s="712"/>
      <c r="Q403" s="712"/>
      <c r="R403" s="712"/>
      <c r="S403" s="712"/>
      <c r="T403" s="712"/>
      <c r="U403" s="526" t="str">
        <f t="shared" ca="1" si="53"/>
        <v/>
      </c>
      <c r="V403" s="93" t="str" cm="1">
        <f t="array" aca="1" ref="V403" ca="1">CELL("format",INDIRECT(I403))</f>
        <v>C2</v>
      </c>
      <c r="W403" s="93" t="b">
        <f t="shared" ca="1" si="54"/>
        <v>0</v>
      </c>
      <c r="X403" s="715" t="str">
        <f t="shared" ca="1" si="51"/>
        <v/>
      </c>
      <c r="Y403" t="b">
        <f t="shared" ca="1" si="55"/>
        <v>1</v>
      </c>
    </row>
    <row r="404" spans="1:25" ht="46.5">
      <c r="A404" s="705" t="s">
        <v>3410</v>
      </c>
      <c r="B404" s="706" t="str">
        <f t="shared" ca="1" si="52"/>
        <v>Annual scheme cash flows - C35</v>
      </c>
      <c r="C404" s="707" t="str" cm="1">
        <f t="array" aca="1" ref="C404" ca="1">INDIRECT(LEFT(I404, FIND("!", I404)) &amp; RefData!$C$426 &amp; RIGHT(I404, LEN(I404) - FIND("!", I404) - 1))</f>
        <v xml:space="preserve">
Year 29
</v>
      </c>
      <c r="D404" s="92" t="str">
        <f t="shared" ca="1" si="50"/>
        <v/>
      </c>
      <c r="E404" s="708" t="str" cm="1">
        <f t="array" aca="1" ref="E404" ca="1">IF(INDIRECT($I404)= "", "", INDIRECT($I404))</f>
        <v/>
      </c>
      <c r="F404" s="709" t="str" cm="1">
        <f t="array" aca="1" ref="F404" ca="1">INDIRECT(LEFT(I404, FIND("!", I404)) &amp; RefData!$C$427 &amp; RIGHT(I404, LEN(I404) - FIND("!", I404) - 1))</f>
        <v>ASC 29.0</v>
      </c>
      <c r="G404" s="710" t="b">
        <f ca="1">IF(ISNUMBER(SEARCH(RefData!$B$2, $C404)), FALSE, TRUE)</f>
        <v>1</v>
      </c>
      <c r="H404" s="732">
        <f>'Annual scheme cash flows'!C35</f>
        <v>0</v>
      </c>
      <c r="I404" s="712" t="str">
        <f t="shared" ca="1" si="14"/>
        <v>'Annual scheme cash flows'!C35</v>
      </c>
      <c r="J404" s="713" t="b" cm="1">
        <f t="array" aca="1" ref="J404" ca="1">IF(COUNTIF($K404:$T404, "&lt;&gt;FALSE") - COUNTBLANK($K404:$T404) &gt; 0, INDEX($K404:$T404, MATCH(TRUE, $K404:$T404 &lt;&gt; FALSE, 0)))</f>
        <v>0</v>
      </c>
      <c r="K404" s="712" t="b">
        <f ca="1">IF(AND('Start here'!$C$26=RefData!$B$9,'Reconciliation report'!$E404&lt;&gt;""),ErrorMsgs!$B404)</f>
        <v>0</v>
      </c>
      <c r="L404" s="712" t="b">
        <f ca="1">IF(AND('Start here'!$C$26=RefData!$B$10,'Start here'!$C$24=RefData!$B$5,'Reconciliation report'!$E404=""),ErrorMsgs!$C404)</f>
        <v>0</v>
      </c>
      <c r="M404" s="714" t="b">
        <f ca="1">IF(AND('Start here'!$C$26=RefData!$B$10,'Start here'!$C$24=RefData!$B$4,'Scheme benefit cash flow'!$C$7=RefData!$B$26,'Reconciliation report'!$E404&lt;&gt;""),ErrorMsgs!$D404)</f>
        <v>0</v>
      </c>
      <c r="N404" s="714" t="b">
        <f ca="1">IF(AND('Start here'!$C$26=RefData!$B$10,'Start here'!$C$24=RefData!$B$4,'Scheme benefit cash flow'!$C$7=RefData!$B$25,'Reconciliation report'!E404=""),ErrorMsgs!$E404)</f>
        <v>0</v>
      </c>
      <c r="O404" s="712" t="b">
        <f ca="1">IF($E404="",FALSE,IF(OR(VALUE($E404)-ROUND(VALUE($E404),2)&lt;&gt;0,$E404&lt;0,$E404&gt;=1000000000000),ErrorMsgs!$F404))</f>
        <v>0</v>
      </c>
      <c r="P404" s="712"/>
      <c r="Q404" s="712"/>
      <c r="R404" s="712"/>
      <c r="S404" s="712"/>
      <c r="T404" s="712"/>
      <c r="U404" s="526" t="str">
        <f t="shared" ca="1" si="53"/>
        <v/>
      </c>
      <c r="V404" s="93" t="str" cm="1">
        <f t="array" aca="1" ref="V404" ca="1">CELL("format",INDIRECT(I404))</f>
        <v>C2</v>
      </c>
      <c r="W404" s="93" t="b">
        <f t="shared" ca="1" si="54"/>
        <v>0</v>
      </c>
      <c r="X404" s="715" t="str">
        <f t="shared" ca="1" si="51"/>
        <v/>
      </c>
      <c r="Y404" t="b">
        <f t="shared" ca="1" si="55"/>
        <v>1</v>
      </c>
    </row>
    <row r="405" spans="1:25" ht="46.5">
      <c r="A405" s="705" t="s">
        <v>3411</v>
      </c>
      <c r="B405" s="706" t="str">
        <f t="shared" ca="1" si="52"/>
        <v>Annual scheme cash flows - C36</v>
      </c>
      <c r="C405" s="707" t="str" cm="1">
        <f t="array" aca="1" ref="C405" ca="1">INDIRECT(LEFT(I405, FIND("!", I405)) &amp; RefData!$C$426 &amp; RIGHT(I405, LEN(I405) - FIND("!", I405) - 1))</f>
        <v xml:space="preserve">
Year 30
</v>
      </c>
      <c r="D405" s="92" t="str">
        <f t="shared" ca="1" si="50"/>
        <v/>
      </c>
      <c r="E405" s="708" t="str" cm="1">
        <f t="array" aca="1" ref="E405" ca="1">IF(INDIRECT($I405)= "", "", INDIRECT($I405))</f>
        <v/>
      </c>
      <c r="F405" s="709" t="str" cm="1">
        <f t="array" aca="1" ref="F405" ca="1">INDIRECT(LEFT(I405, FIND("!", I405)) &amp; RefData!$C$427 &amp; RIGHT(I405, LEN(I405) - FIND("!", I405) - 1))</f>
        <v>ASC 30.0</v>
      </c>
      <c r="G405" s="710" t="b">
        <f ca="1">IF(ISNUMBER(SEARCH(RefData!$B$2, $C405)), FALSE, TRUE)</f>
        <v>1</v>
      </c>
      <c r="H405" s="732">
        <f>'Annual scheme cash flows'!C36</f>
        <v>0</v>
      </c>
      <c r="I405" s="712" t="str">
        <f t="shared" ca="1" si="14"/>
        <v>'Annual scheme cash flows'!C36</v>
      </c>
      <c r="J405" s="713" t="b" cm="1">
        <f t="array" aca="1" ref="J405" ca="1">IF(COUNTIF($K405:$T405, "&lt;&gt;FALSE") - COUNTBLANK($K405:$T405) &gt; 0, INDEX($K405:$T405, MATCH(TRUE, $K405:$T405 &lt;&gt; FALSE, 0)))</f>
        <v>0</v>
      </c>
      <c r="K405" s="712" t="b">
        <f ca="1">IF(AND('Start here'!$C$26=RefData!$B$9,'Reconciliation report'!$E405&lt;&gt;""),ErrorMsgs!$B405)</f>
        <v>0</v>
      </c>
      <c r="L405" s="712" t="b">
        <f ca="1">IF(AND('Start here'!$C$26=RefData!$B$10,'Start here'!$C$24=RefData!$B$5,'Reconciliation report'!$E405=""),ErrorMsgs!$C405)</f>
        <v>0</v>
      </c>
      <c r="M405" s="714" t="b">
        <f ca="1">IF(AND('Start here'!$C$26=RefData!$B$10,'Start here'!$C$24=RefData!$B$4,'Scheme benefit cash flow'!$C$7=RefData!$B$26,'Reconciliation report'!$E405&lt;&gt;""),ErrorMsgs!$D405)</f>
        <v>0</v>
      </c>
      <c r="N405" s="714" t="b">
        <f ca="1">IF(AND('Start here'!$C$26=RefData!$B$10,'Start here'!$C$24=RefData!$B$4,'Scheme benefit cash flow'!$C$7=RefData!$B$25,'Reconciliation report'!E405=""),ErrorMsgs!$E405)</f>
        <v>0</v>
      </c>
      <c r="O405" s="712" t="b">
        <f ca="1">IF($E405="",FALSE,IF(OR(VALUE($E405)-ROUND(VALUE($E405),2)&lt;&gt;0,$E405&lt;0,$E405&gt;=1000000000000),ErrorMsgs!$F405))</f>
        <v>0</v>
      </c>
      <c r="P405" s="712"/>
      <c r="Q405" s="712"/>
      <c r="R405" s="712"/>
      <c r="S405" s="712"/>
      <c r="T405" s="712"/>
      <c r="U405" s="526" t="str">
        <f t="shared" ca="1" si="53"/>
        <v/>
      </c>
      <c r="V405" s="93" t="str" cm="1">
        <f t="array" aca="1" ref="V405" ca="1">CELL("format",INDIRECT(I405))</f>
        <v>C2</v>
      </c>
      <c r="W405" s="93" t="b">
        <f t="shared" ca="1" si="54"/>
        <v>0</v>
      </c>
      <c r="X405" s="715" t="str">
        <f t="shared" ca="1" si="51"/>
        <v/>
      </c>
      <c r="Y405" t="b">
        <f t="shared" ca="1" si="55"/>
        <v>1</v>
      </c>
    </row>
    <row r="406" spans="1:25" ht="46.5">
      <c r="A406" s="705" t="s">
        <v>3412</v>
      </c>
      <c r="B406" s="706" t="str">
        <f t="shared" ca="1" si="52"/>
        <v>Annual scheme cash flows - C37</v>
      </c>
      <c r="C406" s="707" t="str" cm="1">
        <f t="array" aca="1" ref="C406" ca="1">INDIRECT(LEFT(I406, FIND("!", I406)) &amp; RefData!$C$426 &amp; RIGHT(I406, LEN(I406) - FIND("!", I406) - 1))</f>
        <v xml:space="preserve">
Year 31
</v>
      </c>
      <c r="D406" s="92" t="str">
        <f t="shared" ca="1" si="50"/>
        <v/>
      </c>
      <c r="E406" s="708" t="str" cm="1">
        <f t="array" aca="1" ref="E406" ca="1">IF(INDIRECT($I406)= "", "", INDIRECT($I406))</f>
        <v/>
      </c>
      <c r="F406" s="709" t="str" cm="1">
        <f t="array" aca="1" ref="F406" ca="1">INDIRECT(LEFT(I406, FIND("!", I406)) &amp; RefData!$C$427 &amp; RIGHT(I406, LEN(I406) - FIND("!", I406) - 1))</f>
        <v>ASC 31.0</v>
      </c>
      <c r="G406" s="710" t="b">
        <f ca="1">IF(ISNUMBER(SEARCH(RefData!$B$2, $C406)), FALSE, TRUE)</f>
        <v>1</v>
      </c>
      <c r="H406" s="732">
        <f>'Annual scheme cash flows'!C37</f>
        <v>0</v>
      </c>
      <c r="I406" s="712" t="str">
        <f t="shared" ca="1" si="14"/>
        <v>'Annual scheme cash flows'!C37</v>
      </c>
      <c r="J406" s="713" t="b" cm="1">
        <f t="array" aca="1" ref="J406" ca="1">IF(COUNTIF($K406:$T406, "&lt;&gt;FALSE") - COUNTBLANK($K406:$T406) &gt; 0, INDEX($K406:$T406, MATCH(TRUE, $K406:$T406 &lt;&gt; FALSE, 0)))</f>
        <v>0</v>
      </c>
      <c r="K406" s="712" t="b">
        <f ca="1">IF(AND('Start here'!$C$26=RefData!$B$9,'Reconciliation report'!$E406&lt;&gt;""),ErrorMsgs!$B406)</f>
        <v>0</v>
      </c>
      <c r="L406" s="712" t="b">
        <f ca="1">IF(AND('Start here'!$C$26=RefData!$B$10,'Start here'!$C$24=RefData!$B$5,'Reconciliation report'!$E406=""),ErrorMsgs!$C406)</f>
        <v>0</v>
      </c>
      <c r="M406" s="714" t="b">
        <f ca="1">IF(AND('Start here'!$C$26=RefData!$B$10,'Start here'!$C$24=RefData!$B$4,'Scheme benefit cash flow'!$C$7=RefData!$B$26,'Reconciliation report'!$E406&lt;&gt;""),ErrorMsgs!$D406)</f>
        <v>0</v>
      </c>
      <c r="N406" s="714" t="b">
        <f ca="1">IF(AND('Start here'!$C$26=RefData!$B$10,'Start here'!$C$24=RefData!$B$4,'Scheme benefit cash flow'!$C$7=RefData!$B$25,'Reconciliation report'!E406=""),ErrorMsgs!$E406)</f>
        <v>0</v>
      </c>
      <c r="O406" s="712" t="b">
        <f ca="1">IF($E406="",FALSE,IF(OR(VALUE($E406)-ROUND(VALUE($E406),2)&lt;&gt;0,$E406&lt;0,$E406&gt;=1000000000000),ErrorMsgs!$F406))</f>
        <v>0</v>
      </c>
      <c r="P406" s="712"/>
      <c r="Q406" s="712"/>
      <c r="R406" s="712"/>
      <c r="S406" s="712"/>
      <c r="T406" s="712"/>
      <c r="U406" s="526" t="str">
        <f t="shared" ca="1" si="53"/>
        <v/>
      </c>
      <c r="V406" s="93" t="str" cm="1">
        <f t="array" aca="1" ref="V406" ca="1">CELL("format",INDIRECT(I406))</f>
        <v>C2</v>
      </c>
      <c r="W406" s="93" t="b">
        <f t="shared" ca="1" si="54"/>
        <v>0</v>
      </c>
      <c r="X406" s="715" t="str">
        <f t="shared" ca="1" si="51"/>
        <v/>
      </c>
      <c r="Y406" t="b">
        <f t="shared" ca="1" si="55"/>
        <v>1</v>
      </c>
    </row>
    <row r="407" spans="1:25" ht="46.5">
      <c r="A407" s="705" t="s">
        <v>3413</v>
      </c>
      <c r="B407" s="706" t="str">
        <f t="shared" ca="1" si="52"/>
        <v>Annual scheme cash flows - C38</v>
      </c>
      <c r="C407" s="707" t="str" cm="1">
        <f t="array" aca="1" ref="C407" ca="1">INDIRECT(LEFT(I407, FIND("!", I407)) &amp; RefData!$C$426 &amp; RIGHT(I407, LEN(I407) - FIND("!", I407) - 1))</f>
        <v xml:space="preserve">
Year 32
</v>
      </c>
      <c r="D407" s="92" t="str">
        <f t="shared" ca="1" si="50"/>
        <v/>
      </c>
      <c r="E407" s="708" t="str" cm="1">
        <f t="array" aca="1" ref="E407" ca="1">IF(INDIRECT($I407)= "", "", INDIRECT($I407))</f>
        <v/>
      </c>
      <c r="F407" s="709" t="str" cm="1">
        <f t="array" aca="1" ref="F407" ca="1">INDIRECT(LEFT(I407, FIND("!", I407)) &amp; RefData!$C$427 &amp; RIGHT(I407, LEN(I407) - FIND("!", I407) - 1))</f>
        <v>ASC 32.0</v>
      </c>
      <c r="G407" s="710" t="b">
        <f ca="1">IF(ISNUMBER(SEARCH(RefData!$B$2, $C407)), FALSE, TRUE)</f>
        <v>1</v>
      </c>
      <c r="H407" s="732">
        <f>'Annual scheme cash flows'!C38</f>
        <v>0</v>
      </c>
      <c r="I407" s="712" t="str">
        <f t="shared" ca="1" si="14"/>
        <v>'Annual scheme cash flows'!C38</v>
      </c>
      <c r="J407" s="713" t="b" cm="1">
        <f t="array" aca="1" ref="J407" ca="1">IF(COUNTIF($K407:$T407, "&lt;&gt;FALSE") - COUNTBLANK($K407:$T407) &gt; 0, INDEX($K407:$T407, MATCH(TRUE, $K407:$T407 &lt;&gt; FALSE, 0)))</f>
        <v>0</v>
      </c>
      <c r="K407" s="712" t="b">
        <f ca="1">IF(AND('Start here'!$C$26=RefData!$B$9,'Reconciliation report'!$E407&lt;&gt;""),ErrorMsgs!$B407)</f>
        <v>0</v>
      </c>
      <c r="L407" s="712" t="b">
        <f ca="1">IF(AND('Start here'!$C$26=RefData!$B$10,'Start here'!$C$24=RefData!$B$5,'Reconciliation report'!$E407=""),ErrorMsgs!$C407)</f>
        <v>0</v>
      </c>
      <c r="M407" s="714" t="b">
        <f ca="1">IF(AND('Start here'!$C$26=RefData!$B$10,'Start here'!$C$24=RefData!$B$4,'Scheme benefit cash flow'!$C$7=RefData!$B$26,'Reconciliation report'!$E407&lt;&gt;""),ErrorMsgs!$D407)</f>
        <v>0</v>
      </c>
      <c r="N407" s="714" t="b">
        <f ca="1">IF(AND('Start here'!$C$26=RefData!$B$10,'Start here'!$C$24=RefData!$B$4,'Scheme benefit cash flow'!$C$7=RefData!$B$25,'Reconciliation report'!E407=""),ErrorMsgs!$E407)</f>
        <v>0</v>
      </c>
      <c r="O407" s="712" t="b">
        <f ca="1">IF($E407="",FALSE,IF(OR(VALUE($E407)-ROUND(VALUE($E407),2)&lt;&gt;0,$E407&lt;0,$E407&gt;=1000000000000),ErrorMsgs!$F407))</f>
        <v>0</v>
      </c>
      <c r="P407" s="712"/>
      <c r="Q407" s="712"/>
      <c r="R407" s="712"/>
      <c r="S407" s="712"/>
      <c r="T407" s="712"/>
      <c r="U407" s="526" t="str">
        <f t="shared" ca="1" si="53"/>
        <v/>
      </c>
      <c r="V407" s="93" t="str" cm="1">
        <f t="array" aca="1" ref="V407" ca="1">CELL("format",INDIRECT(I407))</f>
        <v>C2</v>
      </c>
      <c r="W407" s="93" t="b">
        <f t="shared" ca="1" si="54"/>
        <v>0</v>
      </c>
      <c r="X407" s="715" t="str">
        <f t="shared" ca="1" si="51"/>
        <v/>
      </c>
      <c r="Y407" t="b">
        <f t="shared" ca="1" si="55"/>
        <v>1</v>
      </c>
    </row>
    <row r="408" spans="1:25" ht="46.5">
      <c r="A408" s="705" t="s">
        <v>3414</v>
      </c>
      <c r="B408" s="706" t="str">
        <f t="shared" ca="1" si="52"/>
        <v>Annual scheme cash flows - C39</v>
      </c>
      <c r="C408" s="707" t="str" cm="1">
        <f t="array" aca="1" ref="C408" ca="1">INDIRECT(LEFT(I408, FIND("!", I408)) &amp; RefData!$C$426 &amp; RIGHT(I408, LEN(I408) - FIND("!", I408) - 1))</f>
        <v xml:space="preserve">
Year 33
</v>
      </c>
      <c r="D408" s="92" t="str">
        <f t="shared" ca="1" si="50"/>
        <v/>
      </c>
      <c r="E408" s="708" t="str" cm="1">
        <f t="array" aca="1" ref="E408" ca="1">IF(INDIRECT($I408)= "", "", INDIRECT($I408))</f>
        <v/>
      </c>
      <c r="F408" s="709" t="str" cm="1">
        <f t="array" aca="1" ref="F408" ca="1">INDIRECT(LEFT(I408, FIND("!", I408)) &amp; RefData!$C$427 &amp; RIGHT(I408, LEN(I408) - FIND("!", I408) - 1))</f>
        <v>ASC 33.0</v>
      </c>
      <c r="G408" s="710" t="b">
        <f ca="1">IF(ISNUMBER(SEARCH(RefData!$B$2, $C408)), FALSE, TRUE)</f>
        <v>1</v>
      </c>
      <c r="H408" s="732">
        <f>'Annual scheme cash flows'!C39</f>
        <v>0</v>
      </c>
      <c r="I408" s="712" t="str">
        <f t="shared" ca="1" si="14"/>
        <v>'Annual scheme cash flows'!C39</v>
      </c>
      <c r="J408" s="713" t="b" cm="1">
        <f t="array" aca="1" ref="J408" ca="1">IF(COUNTIF($K408:$T408, "&lt;&gt;FALSE") - COUNTBLANK($K408:$T408) &gt; 0, INDEX($K408:$T408, MATCH(TRUE, $K408:$T408 &lt;&gt; FALSE, 0)))</f>
        <v>0</v>
      </c>
      <c r="K408" s="712" t="b">
        <f ca="1">IF(AND('Start here'!$C$26=RefData!$B$9,'Reconciliation report'!$E408&lt;&gt;""),ErrorMsgs!$B408)</f>
        <v>0</v>
      </c>
      <c r="L408" s="712" t="b">
        <f ca="1">IF(AND('Start here'!$C$26=RefData!$B$10,'Start here'!$C$24=RefData!$B$5,'Reconciliation report'!$E408=""),ErrorMsgs!$C408)</f>
        <v>0</v>
      </c>
      <c r="M408" s="714" t="b">
        <f ca="1">IF(AND('Start here'!$C$26=RefData!$B$10,'Start here'!$C$24=RefData!$B$4,'Scheme benefit cash flow'!$C$7=RefData!$B$26,'Reconciliation report'!$E408&lt;&gt;""),ErrorMsgs!$D408)</f>
        <v>0</v>
      </c>
      <c r="N408" s="714" t="b">
        <f ca="1">IF(AND('Start here'!$C$26=RefData!$B$10,'Start here'!$C$24=RefData!$B$4,'Scheme benefit cash flow'!$C$7=RefData!$B$25,'Reconciliation report'!E408=""),ErrorMsgs!$E408)</f>
        <v>0</v>
      </c>
      <c r="O408" s="712" t="b">
        <f ca="1">IF($E408="",FALSE,IF(OR(VALUE($E408)-ROUND(VALUE($E408),2)&lt;&gt;0,$E408&lt;0,$E408&gt;=1000000000000),ErrorMsgs!$F408))</f>
        <v>0</v>
      </c>
      <c r="P408" s="712"/>
      <c r="Q408" s="712"/>
      <c r="R408" s="712"/>
      <c r="S408" s="712"/>
      <c r="T408" s="712"/>
      <c r="U408" s="526" t="str">
        <f t="shared" ca="1" si="53"/>
        <v/>
      </c>
      <c r="V408" s="93" t="str" cm="1">
        <f t="array" aca="1" ref="V408" ca="1">CELL("format",INDIRECT(I408))</f>
        <v>C2</v>
      </c>
      <c r="W408" s="93" t="b">
        <f t="shared" ca="1" si="54"/>
        <v>0</v>
      </c>
      <c r="X408" s="715" t="str">
        <f t="shared" ca="1" si="51"/>
        <v/>
      </c>
      <c r="Y408" t="b">
        <f t="shared" ca="1" si="55"/>
        <v>1</v>
      </c>
    </row>
    <row r="409" spans="1:25" ht="46.5">
      <c r="A409" s="705" t="s">
        <v>3415</v>
      </c>
      <c r="B409" s="706" t="str">
        <f t="shared" ca="1" si="52"/>
        <v>Annual scheme cash flows - C40</v>
      </c>
      <c r="C409" s="707" t="str" cm="1">
        <f t="array" aca="1" ref="C409" ca="1">INDIRECT(LEFT(I409, FIND("!", I409)) &amp; RefData!$C$426 &amp; RIGHT(I409, LEN(I409) - FIND("!", I409) - 1))</f>
        <v xml:space="preserve">
Year 34
</v>
      </c>
      <c r="D409" s="92" t="str">
        <f t="shared" ca="1" si="50"/>
        <v/>
      </c>
      <c r="E409" s="708" t="str" cm="1">
        <f t="array" aca="1" ref="E409" ca="1">IF(INDIRECT($I409)= "", "", INDIRECT($I409))</f>
        <v/>
      </c>
      <c r="F409" s="709" t="str" cm="1">
        <f t="array" aca="1" ref="F409" ca="1">INDIRECT(LEFT(I409, FIND("!", I409)) &amp; RefData!$C$427 &amp; RIGHT(I409, LEN(I409) - FIND("!", I409) - 1))</f>
        <v>ASC 34.0</v>
      </c>
      <c r="G409" s="710" t="b">
        <f ca="1">IF(ISNUMBER(SEARCH(RefData!$B$2, $C409)), FALSE, TRUE)</f>
        <v>1</v>
      </c>
      <c r="H409" s="732">
        <f>'Annual scheme cash flows'!C40</f>
        <v>0</v>
      </c>
      <c r="I409" s="712" t="str">
        <f t="shared" ca="1" si="14"/>
        <v>'Annual scheme cash flows'!C40</v>
      </c>
      <c r="J409" s="713" t="b" cm="1">
        <f t="array" aca="1" ref="J409" ca="1">IF(COUNTIF($K409:$T409, "&lt;&gt;FALSE") - COUNTBLANK($K409:$T409) &gt; 0, INDEX($K409:$T409, MATCH(TRUE, $K409:$T409 &lt;&gt; FALSE, 0)))</f>
        <v>0</v>
      </c>
      <c r="K409" s="712" t="b">
        <f ca="1">IF(AND('Start here'!$C$26=RefData!$B$9,'Reconciliation report'!$E409&lt;&gt;""),ErrorMsgs!$B409)</f>
        <v>0</v>
      </c>
      <c r="L409" s="712" t="b">
        <f ca="1">IF(AND('Start here'!$C$26=RefData!$B$10,'Start here'!$C$24=RefData!$B$5,'Reconciliation report'!$E409=""),ErrorMsgs!$C409)</f>
        <v>0</v>
      </c>
      <c r="M409" s="714" t="b">
        <f ca="1">IF(AND('Start here'!$C$26=RefData!$B$10,'Start here'!$C$24=RefData!$B$4,'Scheme benefit cash flow'!$C$7=RefData!$B$26,'Reconciliation report'!$E409&lt;&gt;""),ErrorMsgs!$D409)</f>
        <v>0</v>
      </c>
      <c r="N409" s="714" t="b">
        <f ca="1">IF(AND('Start here'!$C$26=RefData!$B$10,'Start here'!$C$24=RefData!$B$4,'Scheme benefit cash flow'!$C$7=RefData!$B$25,'Reconciliation report'!E409=""),ErrorMsgs!$E409)</f>
        <v>0</v>
      </c>
      <c r="O409" s="712" t="b">
        <f ca="1">IF($E409="",FALSE,IF(OR(VALUE($E409)-ROUND(VALUE($E409),2)&lt;&gt;0,$E409&lt;0,$E409&gt;=1000000000000),ErrorMsgs!$F409))</f>
        <v>0</v>
      </c>
      <c r="P409" s="712"/>
      <c r="Q409" s="712"/>
      <c r="R409" s="712"/>
      <c r="S409" s="712"/>
      <c r="T409" s="712"/>
      <c r="U409" s="526" t="str">
        <f t="shared" ca="1" si="53"/>
        <v/>
      </c>
      <c r="V409" s="93" t="str" cm="1">
        <f t="array" aca="1" ref="V409" ca="1">CELL("format",INDIRECT(I409))</f>
        <v>C2</v>
      </c>
      <c r="W409" s="93" t="b">
        <f t="shared" ca="1" si="54"/>
        <v>0</v>
      </c>
      <c r="X409" s="715" t="str">
        <f t="shared" ca="1" si="51"/>
        <v/>
      </c>
      <c r="Y409" t="b">
        <f t="shared" ca="1" si="55"/>
        <v>1</v>
      </c>
    </row>
    <row r="410" spans="1:25" ht="46.5">
      <c r="A410" s="705" t="s">
        <v>3416</v>
      </c>
      <c r="B410" s="706" t="str">
        <f t="shared" ca="1" si="52"/>
        <v>Annual scheme cash flows - C41</v>
      </c>
      <c r="C410" s="707" t="str" cm="1">
        <f t="array" aca="1" ref="C410" ca="1">INDIRECT(LEFT(I410, FIND("!", I410)) &amp; RefData!$C$426 &amp; RIGHT(I410, LEN(I410) - FIND("!", I410) - 1))</f>
        <v xml:space="preserve">
Year 35
</v>
      </c>
      <c r="D410" s="92" t="str">
        <f t="shared" ca="1" si="50"/>
        <v/>
      </c>
      <c r="E410" s="708" t="str" cm="1">
        <f t="array" aca="1" ref="E410" ca="1">IF(INDIRECT($I410)= "", "", INDIRECT($I410))</f>
        <v/>
      </c>
      <c r="F410" s="709" t="str" cm="1">
        <f t="array" aca="1" ref="F410" ca="1">INDIRECT(LEFT(I410, FIND("!", I410)) &amp; RefData!$C$427 &amp; RIGHT(I410, LEN(I410) - FIND("!", I410) - 1))</f>
        <v>ASC 35.0</v>
      </c>
      <c r="G410" s="710" t="b">
        <f ca="1">IF(ISNUMBER(SEARCH(RefData!$B$2, $C410)), FALSE, TRUE)</f>
        <v>1</v>
      </c>
      <c r="H410" s="732">
        <f>'Annual scheme cash flows'!C41</f>
        <v>0</v>
      </c>
      <c r="I410" s="712" t="str">
        <f t="shared" ca="1" si="14"/>
        <v>'Annual scheme cash flows'!C41</v>
      </c>
      <c r="J410" s="713" t="b" cm="1">
        <f t="array" aca="1" ref="J410" ca="1">IF(COUNTIF($K410:$T410, "&lt;&gt;FALSE") - COUNTBLANK($K410:$T410) &gt; 0, INDEX($K410:$T410, MATCH(TRUE, $K410:$T410 &lt;&gt; FALSE, 0)))</f>
        <v>0</v>
      </c>
      <c r="K410" s="712" t="b">
        <f ca="1">IF(AND('Start here'!$C$26=RefData!$B$9,'Reconciliation report'!$E410&lt;&gt;""),ErrorMsgs!$B410)</f>
        <v>0</v>
      </c>
      <c r="L410" s="712" t="b">
        <f ca="1">IF(AND('Start here'!$C$26=RefData!$B$10,'Start here'!$C$24=RefData!$B$5,'Reconciliation report'!$E410=""),ErrorMsgs!$C410)</f>
        <v>0</v>
      </c>
      <c r="M410" s="714" t="b">
        <f ca="1">IF(AND('Start here'!$C$26=RefData!$B$10,'Start here'!$C$24=RefData!$B$4,'Scheme benefit cash flow'!$C$7=RefData!$B$26,'Reconciliation report'!$E410&lt;&gt;""),ErrorMsgs!$D410)</f>
        <v>0</v>
      </c>
      <c r="N410" s="714" t="b">
        <f ca="1">IF(AND('Start here'!$C$26=RefData!$B$10,'Start here'!$C$24=RefData!$B$4,'Scheme benefit cash flow'!$C$7=RefData!$B$25,'Reconciliation report'!E410=""),ErrorMsgs!$E410)</f>
        <v>0</v>
      </c>
      <c r="O410" s="712" t="b">
        <f ca="1">IF($E410="",FALSE,IF(OR(VALUE($E410)-ROUND(VALUE($E410),2)&lt;&gt;0,$E410&lt;0,$E410&gt;=1000000000000),ErrorMsgs!$F410))</f>
        <v>0</v>
      </c>
      <c r="P410" s="712"/>
      <c r="Q410" s="712"/>
      <c r="R410" s="712"/>
      <c r="S410" s="712"/>
      <c r="T410" s="712"/>
      <c r="U410" s="526" t="str">
        <f t="shared" ca="1" si="53"/>
        <v/>
      </c>
      <c r="V410" s="93" t="str" cm="1">
        <f t="array" aca="1" ref="V410" ca="1">CELL("format",INDIRECT(I410))</f>
        <v>C2</v>
      </c>
      <c r="W410" s="93" t="b">
        <f t="shared" ca="1" si="54"/>
        <v>0</v>
      </c>
      <c r="X410" s="715" t="str">
        <f t="shared" ca="1" si="51"/>
        <v/>
      </c>
      <c r="Y410" t="b">
        <f t="shared" ca="1" si="55"/>
        <v>1</v>
      </c>
    </row>
    <row r="411" spans="1:25" ht="46.5">
      <c r="A411" s="705" t="s">
        <v>3417</v>
      </c>
      <c r="B411" s="706" t="str">
        <f t="shared" ca="1" si="52"/>
        <v>Annual scheme cash flows - C42</v>
      </c>
      <c r="C411" s="707" t="str" cm="1">
        <f t="array" aca="1" ref="C411" ca="1">INDIRECT(LEFT(I411, FIND("!", I411)) &amp; RefData!$C$426 &amp; RIGHT(I411, LEN(I411) - FIND("!", I411) - 1))</f>
        <v xml:space="preserve">
Year 36
</v>
      </c>
      <c r="D411" s="92" t="str">
        <f t="shared" ca="1" si="50"/>
        <v/>
      </c>
      <c r="E411" s="708" t="str" cm="1">
        <f t="array" aca="1" ref="E411" ca="1">IF(INDIRECT($I411)= "", "", INDIRECT($I411))</f>
        <v/>
      </c>
      <c r="F411" s="709" t="str" cm="1">
        <f t="array" aca="1" ref="F411" ca="1">INDIRECT(LEFT(I411, FIND("!", I411)) &amp; RefData!$C$427 &amp; RIGHT(I411, LEN(I411) - FIND("!", I411) - 1))</f>
        <v>ASC 36.0</v>
      </c>
      <c r="G411" s="710" t="b">
        <f ca="1">IF(ISNUMBER(SEARCH(RefData!$B$2, $C411)), FALSE, TRUE)</f>
        <v>1</v>
      </c>
      <c r="H411" s="732">
        <f>'Annual scheme cash flows'!C42</f>
        <v>0</v>
      </c>
      <c r="I411" s="712" t="str">
        <f t="shared" ca="1" si="14"/>
        <v>'Annual scheme cash flows'!C42</v>
      </c>
      <c r="J411" s="713" t="b" cm="1">
        <f t="array" aca="1" ref="J411" ca="1">IF(COUNTIF($K411:$T411, "&lt;&gt;FALSE") - COUNTBLANK($K411:$T411) &gt; 0, INDEX($K411:$T411, MATCH(TRUE, $K411:$T411 &lt;&gt; FALSE, 0)))</f>
        <v>0</v>
      </c>
      <c r="K411" s="712" t="b">
        <f ca="1">IF(AND('Start here'!$C$26=RefData!$B$9,'Reconciliation report'!$E411&lt;&gt;""),ErrorMsgs!$B411)</f>
        <v>0</v>
      </c>
      <c r="L411" s="712" t="b">
        <f ca="1">IF(AND('Start here'!$C$26=RefData!$B$10,'Start here'!$C$24=RefData!$B$5,'Reconciliation report'!$E411=""),ErrorMsgs!$C411)</f>
        <v>0</v>
      </c>
      <c r="M411" s="714" t="b">
        <f ca="1">IF(AND('Start here'!$C$26=RefData!$B$10,'Start here'!$C$24=RefData!$B$4,'Scheme benefit cash flow'!$C$7=RefData!$B$26,'Reconciliation report'!$E411&lt;&gt;""),ErrorMsgs!$D411)</f>
        <v>0</v>
      </c>
      <c r="N411" s="714" t="b">
        <f ca="1">IF(AND('Start here'!$C$26=RefData!$B$10,'Start here'!$C$24=RefData!$B$4,'Scheme benefit cash flow'!$C$7=RefData!$B$25,'Reconciliation report'!E411=""),ErrorMsgs!$E411)</f>
        <v>0</v>
      </c>
      <c r="O411" s="712" t="b">
        <f ca="1">IF($E411="",FALSE,IF(OR(VALUE($E411)-ROUND(VALUE($E411),2)&lt;&gt;0,$E411&lt;0,$E411&gt;=1000000000000),ErrorMsgs!$F411))</f>
        <v>0</v>
      </c>
      <c r="P411" s="712"/>
      <c r="Q411" s="712"/>
      <c r="R411" s="712"/>
      <c r="S411" s="712"/>
      <c r="T411" s="712"/>
      <c r="U411" s="526" t="str">
        <f t="shared" ca="1" si="53"/>
        <v/>
      </c>
      <c r="V411" s="93" t="str" cm="1">
        <f t="array" aca="1" ref="V411" ca="1">CELL("format",INDIRECT(I411))</f>
        <v>C2</v>
      </c>
      <c r="W411" s="93" t="b">
        <f t="shared" ca="1" si="54"/>
        <v>0</v>
      </c>
      <c r="X411" s="715" t="str">
        <f t="shared" ca="1" si="51"/>
        <v/>
      </c>
      <c r="Y411" t="b">
        <f t="shared" ca="1" si="55"/>
        <v>1</v>
      </c>
    </row>
    <row r="412" spans="1:25" ht="46.5">
      <c r="A412" s="705" t="s">
        <v>3418</v>
      </c>
      <c r="B412" s="706" t="str">
        <f t="shared" ca="1" si="52"/>
        <v>Annual scheme cash flows - C43</v>
      </c>
      <c r="C412" s="707" t="str" cm="1">
        <f t="array" aca="1" ref="C412" ca="1">INDIRECT(LEFT(I412, FIND("!", I412)) &amp; RefData!$C$426 &amp; RIGHT(I412, LEN(I412) - FIND("!", I412) - 1))</f>
        <v xml:space="preserve">
Year 37
</v>
      </c>
      <c r="D412" s="92" t="str">
        <f t="shared" ca="1" si="50"/>
        <v/>
      </c>
      <c r="E412" s="708" t="str" cm="1">
        <f t="array" aca="1" ref="E412" ca="1">IF(INDIRECT($I412)= "", "", INDIRECT($I412))</f>
        <v/>
      </c>
      <c r="F412" s="709" t="str" cm="1">
        <f t="array" aca="1" ref="F412" ca="1">INDIRECT(LEFT(I412, FIND("!", I412)) &amp; RefData!$C$427 &amp; RIGHT(I412, LEN(I412) - FIND("!", I412) - 1))</f>
        <v>ASC 37.0</v>
      </c>
      <c r="G412" s="710" t="b">
        <f ca="1">IF(ISNUMBER(SEARCH(RefData!$B$2, $C412)), FALSE, TRUE)</f>
        <v>1</v>
      </c>
      <c r="H412" s="732">
        <f>'Annual scheme cash flows'!C43</f>
        <v>0</v>
      </c>
      <c r="I412" s="712" t="str">
        <f t="shared" ca="1" si="14"/>
        <v>'Annual scheme cash flows'!C43</v>
      </c>
      <c r="J412" s="713" t="b" cm="1">
        <f t="array" aca="1" ref="J412" ca="1">IF(COUNTIF($K412:$T412, "&lt;&gt;FALSE") - COUNTBLANK($K412:$T412) &gt; 0, INDEX($K412:$T412, MATCH(TRUE, $K412:$T412 &lt;&gt; FALSE, 0)))</f>
        <v>0</v>
      </c>
      <c r="K412" s="712" t="b">
        <f ca="1">IF(AND('Start here'!$C$26=RefData!$B$9,'Reconciliation report'!$E412&lt;&gt;""),ErrorMsgs!$B412)</f>
        <v>0</v>
      </c>
      <c r="L412" s="712" t="b">
        <f ca="1">IF(AND('Start here'!$C$26=RefData!$B$10,'Start here'!$C$24=RefData!$B$5,'Reconciliation report'!$E412=""),ErrorMsgs!$C412)</f>
        <v>0</v>
      </c>
      <c r="M412" s="714" t="b">
        <f ca="1">IF(AND('Start here'!$C$26=RefData!$B$10,'Start here'!$C$24=RefData!$B$4,'Scheme benefit cash flow'!$C$7=RefData!$B$26,'Reconciliation report'!$E412&lt;&gt;""),ErrorMsgs!$D412)</f>
        <v>0</v>
      </c>
      <c r="N412" s="714" t="b">
        <f ca="1">IF(AND('Start here'!$C$26=RefData!$B$10,'Start here'!$C$24=RefData!$B$4,'Scheme benefit cash flow'!$C$7=RefData!$B$25,'Reconciliation report'!E412=""),ErrorMsgs!$E412)</f>
        <v>0</v>
      </c>
      <c r="O412" s="712" t="b">
        <f ca="1">IF($E412="",FALSE,IF(OR(VALUE($E412)-ROUND(VALUE($E412),2)&lt;&gt;0,$E412&lt;0,$E412&gt;=1000000000000),ErrorMsgs!$F412))</f>
        <v>0</v>
      </c>
      <c r="P412" s="712"/>
      <c r="Q412" s="712"/>
      <c r="R412" s="712"/>
      <c r="S412" s="712"/>
      <c r="T412" s="712"/>
      <c r="U412" s="526" t="str">
        <f t="shared" ca="1" si="53"/>
        <v/>
      </c>
      <c r="V412" s="93" t="str" cm="1">
        <f t="array" aca="1" ref="V412" ca="1">CELL("format",INDIRECT(I412))</f>
        <v>C2</v>
      </c>
      <c r="W412" s="93" t="b">
        <f t="shared" ca="1" si="54"/>
        <v>0</v>
      </c>
      <c r="X412" s="715" t="str">
        <f t="shared" ca="1" si="51"/>
        <v/>
      </c>
      <c r="Y412" t="b">
        <f t="shared" ca="1" si="55"/>
        <v>1</v>
      </c>
    </row>
    <row r="413" spans="1:25" ht="46.5">
      <c r="A413" s="705" t="s">
        <v>3419</v>
      </c>
      <c r="B413" s="706" t="str">
        <f t="shared" ca="1" si="52"/>
        <v>Annual scheme cash flows - C44</v>
      </c>
      <c r="C413" s="707" t="str" cm="1">
        <f t="array" aca="1" ref="C413" ca="1">INDIRECT(LEFT(I413, FIND("!", I413)) &amp; RefData!$C$426 &amp; RIGHT(I413, LEN(I413) - FIND("!", I413) - 1))</f>
        <v xml:space="preserve">
Year 38
</v>
      </c>
      <c r="D413" s="92" t="str">
        <f t="shared" ca="1" si="50"/>
        <v/>
      </c>
      <c r="E413" s="708" t="str" cm="1">
        <f t="array" aca="1" ref="E413" ca="1">IF(INDIRECT($I413)= "", "", INDIRECT($I413))</f>
        <v/>
      </c>
      <c r="F413" s="709" t="str" cm="1">
        <f t="array" aca="1" ref="F413" ca="1">INDIRECT(LEFT(I413, FIND("!", I413)) &amp; RefData!$C$427 &amp; RIGHT(I413, LEN(I413) - FIND("!", I413) - 1))</f>
        <v>ASC 38.0</v>
      </c>
      <c r="G413" s="710" t="b">
        <f ca="1">IF(ISNUMBER(SEARCH(RefData!$B$2, $C413)), FALSE, TRUE)</f>
        <v>1</v>
      </c>
      <c r="H413" s="732">
        <f>'Annual scheme cash flows'!C44</f>
        <v>0</v>
      </c>
      <c r="I413" s="712" t="str">
        <f t="shared" ca="1" si="14"/>
        <v>'Annual scheme cash flows'!C44</v>
      </c>
      <c r="J413" s="713" t="b" cm="1">
        <f t="array" aca="1" ref="J413" ca="1">IF(COUNTIF($K413:$T413, "&lt;&gt;FALSE") - COUNTBLANK($K413:$T413) &gt; 0, INDEX($K413:$T413, MATCH(TRUE, $K413:$T413 &lt;&gt; FALSE, 0)))</f>
        <v>0</v>
      </c>
      <c r="K413" s="712" t="b">
        <f ca="1">IF(AND('Start here'!$C$26=RefData!$B$9,'Reconciliation report'!$E413&lt;&gt;""),ErrorMsgs!$B413)</f>
        <v>0</v>
      </c>
      <c r="L413" s="712" t="b">
        <f ca="1">IF(AND('Start here'!$C$26=RefData!$B$10,'Start here'!$C$24=RefData!$B$5,'Reconciliation report'!$E413=""),ErrorMsgs!$C413)</f>
        <v>0</v>
      </c>
      <c r="M413" s="714" t="b">
        <f ca="1">IF(AND('Start here'!$C$26=RefData!$B$10,'Start here'!$C$24=RefData!$B$4,'Scheme benefit cash flow'!$C$7=RefData!$B$26,'Reconciliation report'!$E413&lt;&gt;""),ErrorMsgs!$D413)</f>
        <v>0</v>
      </c>
      <c r="N413" s="714" t="b">
        <f ca="1">IF(AND('Start here'!$C$26=RefData!$B$10,'Start here'!$C$24=RefData!$B$4,'Scheme benefit cash flow'!$C$7=RefData!$B$25,'Reconciliation report'!E413=""),ErrorMsgs!$E413)</f>
        <v>0</v>
      </c>
      <c r="O413" s="712" t="b">
        <f ca="1">IF($E413="",FALSE,IF(OR(VALUE($E413)-ROUND(VALUE($E413),2)&lt;&gt;0,$E413&lt;0,$E413&gt;=1000000000000),ErrorMsgs!$F413))</f>
        <v>0</v>
      </c>
      <c r="P413" s="712"/>
      <c r="Q413" s="712"/>
      <c r="R413" s="712"/>
      <c r="S413" s="712"/>
      <c r="T413" s="712"/>
      <c r="U413" s="526" t="str">
        <f t="shared" ca="1" si="53"/>
        <v/>
      </c>
      <c r="V413" s="93" t="str" cm="1">
        <f t="array" aca="1" ref="V413" ca="1">CELL("format",INDIRECT(I413))</f>
        <v>C2</v>
      </c>
      <c r="W413" s="93" t="b">
        <f t="shared" ca="1" si="54"/>
        <v>0</v>
      </c>
      <c r="X413" s="715" t="str">
        <f t="shared" ca="1" si="51"/>
        <v/>
      </c>
      <c r="Y413" t="b">
        <f t="shared" ca="1" si="55"/>
        <v>1</v>
      </c>
    </row>
    <row r="414" spans="1:25" ht="46.5">
      <c r="A414" s="705" t="s">
        <v>3420</v>
      </c>
      <c r="B414" s="706" t="str">
        <f t="shared" ca="1" si="52"/>
        <v>Annual scheme cash flows - C45</v>
      </c>
      <c r="C414" s="707" t="str" cm="1">
        <f t="array" aca="1" ref="C414" ca="1">INDIRECT(LEFT(I414, FIND("!", I414)) &amp; RefData!$C$426 &amp; RIGHT(I414, LEN(I414) - FIND("!", I414) - 1))</f>
        <v xml:space="preserve">
Year 39
</v>
      </c>
      <c r="D414" s="92" t="str">
        <f t="shared" ca="1" si="50"/>
        <v/>
      </c>
      <c r="E414" s="708" t="str" cm="1">
        <f t="array" aca="1" ref="E414" ca="1">IF(INDIRECT($I414)= "", "", INDIRECT($I414))</f>
        <v/>
      </c>
      <c r="F414" s="709" t="str" cm="1">
        <f t="array" aca="1" ref="F414" ca="1">INDIRECT(LEFT(I414, FIND("!", I414)) &amp; RefData!$C$427 &amp; RIGHT(I414, LEN(I414) - FIND("!", I414) - 1))</f>
        <v>ASC 39.0</v>
      </c>
      <c r="G414" s="710" t="b">
        <f ca="1">IF(ISNUMBER(SEARCH(RefData!$B$2, $C414)), FALSE, TRUE)</f>
        <v>1</v>
      </c>
      <c r="H414" s="732">
        <f>'Annual scheme cash flows'!C45</f>
        <v>0</v>
      </c>
      <c r="I414" s="712" t="str">
        <f t="shared" ca="1" si="14"/>
        <v>'Annual scheme cash flows'!C45</v>
      </c>
      <c r="J414" s="713" t="b" cm="1">
        <f t="array" aca="1" ref="J414" ca="1">IF(COUNTIF($K414:$T414, "&lt;&gt;FALSE") - COUNTBLANK($K414:$T414) &gt; 0, INDEX($K414:$T414, MATCH(TRUE, $K414:$T414 &lt;&gt; FALSE, 0)))</f>
        <v>0</v>
      </c>
      <c r="K414" s="712" t="b">
        <f ca="1">IF(AND('Start here'!$C$26=RefData!$B$9,'Reconciliation report'!$E414&lt;&gt;""),ErrorMsgs!$B414)</f>
        <v>0</v>
      </c>
      <c r="L414" s="712" t="b">
        <f ca="1">IF(AND('Start here'!$C$26=RefData!$B$10,'Start here'!$C$24=RefData!$B$5,'Reconciliation report'!$E414=""),ErrorMsgs!$C414)</f>
        <v>0</v>
      </c>
      <c r="M414" s="714" t="b">
        <f ca="1">IF(AND('Start here'!$C$26=RefData!$B$10,'Start here'!$C$24=RefData!$B$4,'Scheme benefit cash flow'!$C$7=RefData!$B$26,'Reconciliation report'!$E414&lt;&gt;""),ErrorMsgs!$D414)</f>
        <v>0</v>
      </c>
      <c r="N414" s="714" t="b">
        <f ca="1">IF(AND('Start here'!$C$26=RefData!$B$10,'Start here'!$C$24=RefData!$B$4,'Scheme benefit cash flow'!$C$7=RefData!$B$25,'Reconciliation report'!E414=""),ErrorMsgs!$E414)</f>
        <v>0</v>
      </c>
      <c r="O414" s="712" t="b">
        <f ca="1">IF($E414="",FALSE,IF(OR(VALUE($E414)-ROUND(VALUE($E414),2)&lt;&gt;0,$E414&lt;0,$E414&gt;=1000000000000),ErrorMsgs!$F414))</f>
        <v>0</v>
      </c>
      <c r="P414" s="712"/>
      <c r="Q414" s="712"/>
      <c r="R414" s="712"/>
      <c r="S414" s="712"/>
      <c r="T414" s="712"/>
      <c r="U414" s="526" t="str">
        <f t="shared" ca="1" si="53"/>
        <v/>
      </c>
      <c r="V414" s="93" t="str" cm="1">
        <f t="array" aca="1" ref="V414" ca="1">CELL("format",INDIRECT(I414))</f>
        <v>C2</v>
      </c>
      <c r="W414" s="93" t="b">
        <f t="shared" ca="1" si="54"/>
        <v>0</v>
      </c>
      <c r="X414" s="715" t="str">
        <f t="shared" ca="1" si="51"/>
        <v/>
      </c>
      <c r="Y414" t="b">
        <f t="shared" ca="1" si="55"/>
        <v>1</v>
      </c>
    </row>
    <row r="415" spans="1:25" ht="47" thickBot="1">
      <c r="A415" s="705" t="s">
        <v>3421</v>
      </c>
      <c r="B415" s="706" t="str">
        <f t="shared" ca="1" si="52"/>
        <v>Annual scheme cash flows - C46</v>
      </c>
      <c r="C415" s="707" t="str" cm="1">
        <f t="array" aca="1" ref="C415" ca="1">INDIRECT(LEFT(I415, FIND("!", I415)) &amp; RefData!$C$426 &amp; RIGHT(I415, LEN(I415) - FIND("!", I415) - 1))</f>
        <v xml:space="preserve">
Year 40
</v>
      </c>
      <c r="D415" s="92" t="str">
        <f t="shared" ca="1" si="50"/>
        <v/>
      </c>
      <c r="E415" s="708" t="str" cm="1">
        <f t="array" aca="1" ref="E415" ca="1">IF(INDIRECT($I415)= "", "", INDIRECT($I415))</f>
        <v/>
      </c>
      <c r="F415" s="709" t="str" cm="1">
        <f t="array" aca="1" ref="F415" ca="1">INDIRECT(LEFT(I415, FIND("!", I415)) &amp; RefData!$C$427 &amp; RIGHT(I415, LEN(I415) - FIND("!", I415) - 1))</f>
        <v>ASC 40.0</v>
      </c>
      <c r="G415" s="710" t="b">
        <f ca="1">IF(ISNUMBER(SEARCH(RefData!$B$2, $C415)), FALSE, TRUE)</f>
        <v>1</v>
      </c>
      <c r="H415" s="732">
        <f>'Annual scheme cash flows'!C46</f>
        <v>0</v>
      </c>
      <c r="I415" s="712" t="str">
        <f t="shared" ca="1" si="14"/>
        <v>'Annual scheme cash flows'!C46</v>
      </c>
      <c r="J415" s="713" t="b" cm="1">
        <f t="array" aca="1" ref="J415" ca="1">IF(COUNTIF($K415:$T415, "&lt;&gt;FALSE") - COUNTBLANK($K415:$T415) &gt; 0, INDEX($K415:$T415, MATCH(TRUE, $K415:$T415 &lt;&gt; FALSE, 0)))</f>
        <v>0</v>
      </c>
      <c r="K415" s="712" t="b">
        <f ca="1">IF(AND('Start here'!$C$26=RefData!$B$9,'Reconciliation report'!$E415&lt;&gt;""),ErrorMsgs!$B415)</f>
        <v>0</v>
      </c>
      <c r="L415" s="712" t="b">
        <f ca="1">IF(AND('Start here'!$C$26=RefData!$B$10,'Start here'!$C$24=RefData!$B$5,'Reconciliation report'!$E415=""),ErrorMsgs!$C415)</f>
        <v>0</v>
      </c>
      <c r="M415" s="714" t="b">
        <f ca="1">IF(AND('Start here'!$C$26=RefData!$B$10,'Start here'!$C$24=RefData!$B$4,'Scheme benefit cash flow'!$C$7=RefData!$B$26,'Reconciliation report'!$E415&lt;&gt;""),ErrorMsgs!$D415)</f>
        <v>0</v>
      </c>
      <c r="N415" s="714" t="b">
        <f ca="1">IF(AND('Start here'!$C$26=RefData!$B$10,'Start here'!$C$24=RefData!$B$4,'Scheme benefit cash flow'!$C$7=RefData!$B$25,'Reconciliation report'!E415=""),ErrorMsgs!$E415)</f>
        <v>0</v>
      </c>
      <c r="O415" s="712" t="b">
        <f ca="1">IF($E415="",FALSE,IF(OR(VALUE($E415)-ROUND(VALUE($E415),2)&lt;&gt;0,$E415&lt;0,$E415&gt;=1000000000000),ErrorMsgs!$F415))</f>
        <v>0</v>
      </c>
      <c r="P415" s="712"/>
      <c r="Q415" s="712"/>
      <c r="R415" s="712"/>
      <c r="S415" s="712"/>
      <c r="T415" s="712"/>
      <c r="U415" s="526" t="str">
        <f t="shared" ca="1" si="53"/>
        <v/>
      </c>
      <c r="V415" s="93" t="str" cm="1">
        <f t="array" aca="1" ref="V415" ca="1">CELL("format",INDIRECT(I415))</f>
        <v>C2</v>
      </c>
      <c r="W415" s="93" t="b">
        <f t="shared" ca="1" si="54"/>
        <v>0</v>
      </c>
      <c r="X415" s="715" t="str">
        <f t="shared" ca="1" si="51"/>
        <v/>
      </c>
      <c r="Y415" t="b">
        <f t="shared" ca="1" si="55"/>
        <v>1</v>
      </c>
    </row>
    <row r="416" spans="1:25" ht="62.5" thickBot="1">
      <c r="A416" s="705" t="s">
        <v>3422</v>
      </c>
      <c r="B416" s="716" t="str">
        <f t="shared" ref="B416:B478" ca="1" si="56">HYPERLINK("#" &amp; $I416, SUBSTITUTE(SUBSTITUTE($I416, "!", " - "), "'",""))</f>
        <v>Covenant summary information - C7</v>
      </c>
      <c r="C416" s="707" t="str" cm="1">
        <f t="array" aca="1" ref="C416" ca="1">INDIRECT(LEFT(I416, FIND("!", I416)) &amp; RefData!$C$426 &amp; RIGHT(I416, LEN(I416) - FIND("!", I416) - 1))</f>
        <v xml:space="preserve">
As at what date have the trustees assessed the employer covenant?
</v>
      </c>
      <c r="D416" s="92" t="str">
        <f t="shared" ca="1" si="50"/>
        <v xml:space="preserve">
Enter a valid date that is less than or equal to today in the format dd/mm/yyyy.
</v>
      </c>
      <c r="E416" s="708" t="str" cm="1">
        <f t="array" aca="1" ref="E416" ca="1">IF(INDIRECT($I416)= "", "", INDIRECT($I416))</f>
        <v/>
      </c>
      <c r="F416" s="709" t="str" cm="1">
        <f t="array" aca="1" ref="F416" ca="1">INDIRECT(LEFT(I416, FIND("!", I416)) &amp; RefData!$C$427 &amp; RIGHT(I416, LEN(I416) - FIND("!", I416) - 1))</f>
        <v>CSI 1.0</v>
      </c>
      <c r="G416" s="710" t="b">
        <f ca="1">IF(ISNUMBER(SEARCH(RefData!$B$2, $C416)), FALSE, TRUE)</f>
        <v>1</v>
      </c>
      <c r="H416" s="391">
        <f>'Covenant summary information'!C7</f>
        <v>0</v>
      </c>
      <c r="I416" s="712" t="str">
        <f t="shared" ref="I416:I478" ca="1" si="57">SUBSTITUTE(_xlfn.FORMULATEXT($H416), "=", "")</f>
        <v>'Covenant summary information'!C7</v>
      </c>
      <c r="J416" s="713" t="str" cm="1">
        <f t="array" aca="1" ref="J416" ca="1">IF(COUNTIF($K416:$T416, "&lt;&gt;FALSE") - COUNTBLANK($K416:$T416) &gt; 0, INDEX($K416:$T416, MATCH(TRUE, $K416:$T416 &lt;&gt; FALSE, 0)))</f>
        <v xml:space="preserve">
Enter a valid date that is less than or equal to today in the format dd/mm/yyyy.
</v>
      </c>
      <c r="K416" s="712" t="str">
        <f ca="1">IF($E416="",ErrorMsgs!$B416)</f>
        <v xml:space="preserve">
Enter a valid date that is less than or equal to today in the format dd/mm/yyyy.
</v>
      </c>
      <c r="L416" s="714" t="str">
        <f ca="1">IF(NOT(ISNUMBER(VALUE($E416))),ErrorMsgs!$C416)</f>
        <v xml:space="preserve">
Enter a valid date that is less than or equal to today in the format dd/mm/yyyy.
</v>
      </c>
      <c r="M416" s="712" t="b">
        <f ca="1">IF(AND(ISNUMBER($E416),$E416&gt;TODAY()),ErrorMsgs!$D416)</f>
        <v>0</v>
      </c>
      <c r="N416" s="733"/>
      <c r="O416" s="712"/>
      <c r="P416" s="712"/>
      <c r="Q416" s="712"/>
      <c r="R416" s="712"/>
      <c r="S416" s="712"/>
      <c r="T416" s="712"/>
      <c r="U416" s="526" t="str">
        <f t="shared" ca="1" si="53"/>
        <v/>
      </c>
      <c r="V416" s="93" t="str" cm="1">
        <f t="array" aca="1" ref="V416" ca="1">CELL("format",INDIRECT(I416))</f>
        <v>D1</v>
      </c>
      <c r="W416" s="93" t="b">
        <f t="shared" ca="1" si="54"/>
        <v>0</v>
      </c>
      <c r="X416" s="715" t="str">
        <f t="shared" ca="1" si="51"/>
        <v/>
      </c>
      <c r="Y416" t="b">
        <f t="shared" ca="1" si="55"/>
        <v>1</v>
      </c>
    </row>
    <row r="417" spans="1:25" ht="46.5">
      <c r="A417" s="705" t="s">
        <v>3423</v>
      </c>
      <c r="B417" s="716" t="str">
        <f t="shared" ca="1" si="56"/>
        <v>Covenant summary information - C8</v>
      </c>
      <c r="C417" s="707" t="str" cm="1">
        <f t="array" aca="1" ref="C417" ca="1">INDIRECT(LEFT(I417, FIND("!", I417)) &amp; RefData!$C$426 &amp; RIGHT(I417, LEN(I417) - FIND("!", I417) - 1))</f>
        <v xml:space="preserve">
Was professional covenant advice taken for this valuation?
</v>
      </c>
      <c r="D417" s="92" t="str">
        <f t="shared" ca="1" si="50"/>
        <v/>
      </c>
      <c r="E417" s="708" t="str" cm="1">
        <f t="array" aca="1" ref="E417" ca="1">IF(INDIRECT($I417)= "", "", INDIRECT($I417))</f>
        <v/>
      </c>
      <c r="F417" s="709" t="str" cm="1">
        <f t="array" aca="1" ref="F417" ca="1">INDIRECT(LEFT(I417, FIND("!", I417)) &amp; RefData!$C$427 &amp; RIGHT(I417, LEN(I417) - FIND("!", I417) - 1))</f>
        <v>CSI 2.0</v>
      </c>
      <c r="G417" s="710" t="b">
        <f ca="1">IF(ISNUMBER(SEARCH(RefData!$B$2, $C417)), FALSE, TRUE)</f>
        <v>1</v>
      </c>
      <c r="H417" s="113">
        <f>'Covenant summary information'!C8</f>
        <v>0</v>
      </c>
      <c r="I417" s="712" t="str">
        <f t="shared" ca="1" si="57"/>
        <v>'Covenant summary information'!C8</v>
      </c>
      <c r="J417" s="713" t="b" cm="1">
        <f t="array" aca="1" ref="J417" ca="1">IF(COUNTIF($K417:$T417, "&lt;&gt;FALSE") - COUNTBLANK($K417:$T417) &gt; 0, INDEX($K417:$T417, MATCH(TRUE, $K417:$T417 &lt;&gt; FALSE, 0)))</f>
        <v>0</v>
      </c>
      <c r="K417" s="712" t="b">
        <f ca="1">IF(AND('Start here'!$C$26=RefData!$B$9,$E417&lt;&gt;""),ErrorMsgs!$B417)</f>
        <v>0</v>
      </c>
      <c r="L417" s="712" t="b">
        <f ca="1">IF(AND('Start here'!$C$26=RefData!$B$10,'Start here'!$C$23=RefData!$B$18,'Reconciliation report'!$E417=""),ErrorMsgs!$C417)</f>
        <v>0</v>
      </c>
      <c r="M417" s="714" t="b">
        <f ca="1">IF(AND('Start here'!$C$26=RefData!$B$10,'Start here'!$C$23=RefData!$B$17,'Start here'!$C$27=RefData!$B$11,'Reconciliation report'!$E417&lt;&gt;""),ErrorMsgs!$D417)</f>
        <v>0</v>
      </c>
      <c r="N417" s="714" t="b">
        <f ca="1">IF(AND('Start here'!$C$26=RefData!$B$10,'Start here'!$C$23=RefData!$B$17,'Start here'!$C$27=RefData!$B$12,'Reconciliation report'!$E417=""),ErrorMsgs!$E417)</f>
        <v>0</v>
      </c>
      <c r="O417" s="712" t="b">
        <f ca="1">IF($E417="",FALSE,IF(ISNA(MATCH($E417,RefData!$B$114:$B$115,0)),ErrorMsgs!$F417))</f>
        <v>0</v>
      </c>
      <c r="P417" s="712"/>
      <c r="Q417" s="712"/>
      <c r="R417" s="712"/>
      <c r="S417" s="712"/>
      <c r="T417" s="712"/>
      <c r="U417" s="526" t="str">
        <f t="shared" ca="1" si="53"/>
        <v/>
      </c>
      <c r="V417" s="93" t="str" cm="1">
        <f t="array" aca="1" ref="V417" ca="1">CELL("format",INDIRECT(I417))</f>
        <v>G</v>
      </c>
      <c r="W417" s="93" t="b">
        <f t="shared" ca="1" si="54"/>
        <v>0</v>
      </c>
      <c r="X417" s="715" t="str">
        <f t="shared" ca="1" si="51"/>
        <v/>
      </c>
      <c r="Y417" t="b">
        <f t="shared" ca="1" si="55"/>
        <v>1</v>
      </c>
    </row>
    <row r="418" spans="1:25" ht="62">
      <c r="A418" s="705" t="s">
        <v>3424</v>
      </c>
      <c r="B418" s="716" t="str">
        <f t="shared" ca="1" si="56"/>
        <v>Covenant summary information - C9</v>
      </c>
      <c r="C418" s="707" t="str" cm="1">
        <f t="array" aca="1" ref="C418" ca="1">INDIRECT(LEFT(I418, FIND("!", I418)) &amp; RefData!$C$426 &amp; RIGHT(I418, LEN(I418) - FIND("!", I418) - 1))</f>
        <v xml:space="preserve">
What experience do the trustees have to enable them to assess covenant without professional covenant advice?
</v>
      </c>
      <c r="D418" s="92" t="str">
        <f t="shared" ca="1" si="50"/>
        <v/>
      </c>
      <c r="E418" s="708" t="str" cm="1">
        <f t="array" aca="1" ref="E418" ca="1">IF(INDIRECT($I418)= "", "", INDIRECT($I418))</f>
        <v/>
      </c>
      <c r="F418" s="709" t="str" cm="1">
        <f t="array" aca="1" ref="F418" ca="1">INDIRECT(LEFT(I418, FIND("!", I418)) &amp; RefData!$C$427 &amp; RIGHT(I418, LEN(I418) - FIND("!", I418) - 1))</f>
        <v>CSI 3.0</v>
      </c>
      <c r="G418" s="710" t="b">
        <f ca="1">IF(ISNUMBER(SEARCH(RefData!$B$2, $C418)), FALSE, TRUE)</f>
        <v>1</v>
      </c>
      <c r="H418" s="113">
        <f>'Covenant summary information'!C9</f>
        <v>0</v>
      </c>
      <c r="I418" s="712" t="str">
        <f t="shared" ca="1" si="57"/>
        <v>'Covenant summary information'!C9</v>
      </c>
      <c r="J418" s="713" t="b" cm="1">
        <f t="array" aca="1" ref="J418" ca="1">IF(COUNTIF($K418:$T418, "&lt;&gt;FALSE") - COUNTBLANK($K418:$T418) &gt; 0, INDEX($K418:$T418, MATCH(TRUE, $K418:$T418 &lt;&gt; FALSE, 0)))</f>
        <v>0</v>
      </c>
      <c r="K418" s="712" t="b">
        <f ca="1">IF(AND('Start here'!$C$26=RefData!$B$9,$E418&lt;&gt;""),ErrorMsgs!$B418)</f>
        <v>0</v>
      </c>
      <c r="L418" s="712" t="b">
        <f ca="1">IF(AND('Start here'!$C$26=RefData!$B$10,'Covenant summary information'!$C$8=RefData!$B$114,'Reconciliation report'!$E418&lt;&gt;""),ErrorMsgs!$C418)</f>
        <v>0</v>
      </c>
      <c r="M418" s="714" t="b">
        <f ca="1">IF(AND('Start here'!$C$26=RefData!$B$10,'Covenant summary information'!$C$8=RefData!$B$115,'Reconciliation report'!$E418=""),ErrorMsgs!$D418)</f>
        <v>0</v>
      </c>
      <c r="N418" s="714" t="b">
        <f ca="1">IF(LEN($E418)&gt;4000,ErrorMsgs!$E418)</f>
        <v>0</v>
      </c>
      <c r="O418" s="712"/>
      <c r="P418" s="712"/>
      <c r="Q418" s="712"/>
      <c r="R418" s="712"/>
      <c r="S418" s="712"/>
      <c r="T418" s="712"/>
      <c r="U418" s="526" t="str">
        <f t="shared" ca="1" si="53"/>
        <v/>
      </c>
      <c r="V418" s="93" t="str" cm="1">
        <f t="array" aca="1" ref="V418" ca="1">CELL("format",INDIRECT(I418))</f>
        <v>G</v>
      </c>
      <c r="W418" s="93" t="b">
        <f t="shared" ca="1" si="54"/>
        <v>0</v>
      </c>
      <c r="X418" s="715" t="str">
        <f t="shared" ca="1" si="51"/>
        <v/>
      </c>
      <c r="Y418" t="b">
        <f t="shared" ca="1" si="55"/>
        <v>1</v>
      </c>
    </row>
    <row r="419" spans="1:25" ht="62">
      <c r="A419" s="705" t="s">
        <v>3425</v>
      </c>
      <c r="B419" s="716" t="str">
        <f t="shared" ca="1" si="56"/>
        <v>Covenant summary information - C10</v>
      </c>
      <c r="C419" s="707" t="str" cm="1">
        <f t="array" aca="1" ref="C419" ca="1">INDIRECT(LEFT(I419, FIND("!", I419)) &amp; RefData!$C$426 &amp; RIGHT(I419, LEN(I419) - FIND("!", I419) - 1))</f>
        <v xml:space="preserve">
Is the scheme a non-segregated non-associated multi-employer scheme?
</v>
      </c>
      <c r="D419" s="92" t="str">
        <f t="shared" ca="1" si="50"/>
        <v/>
      </c>
      <c r="E419" s="708" t="str" cm="1">
        <f t="array" aca="1" ref="E419" ca="1">IF(INDIRECT($I419)= "", "", INDIRECT($I419))</f>
        <v/>
      </c>
      <c r="F419" s="709" t="str" cm="1">
        <f t="array" aca="1" ref="F419" ca="1">INDIRECT(LEFT(I419, FIND("!", I419)) &amp; RefData!$C$427 &amp; RIGHT(I419, LEN(I419) - FIND("!", I419) - 1))</f>
        <v>CSI 4.0</v>
      </c>
      <c r="G419" s="710" t="b">
        <f ca="1">IF(ISNUMBER(SEARCH(RefData!$B$2, $C419)), FALSE, TRUE)</f>
        <v>1</v>
      </c>
      <c r="H419" s="113">
        <f>'Covenant summary information'!C10</f>
        <v>0</v>
      </c>
      <c r="I419" s="712" t="str">
        <f t="shared" ca="1" si="57"/>
        <v>'Covenant summary information'!C10</v>
      </c>
      <c r="J419" s="713" t="b" cm="1">
        <f t="array" aca="1" ref="J419" ca="1">IF(COUNTIF($K419:$T419, "&lt;&gt;FALSE") - COUNTBLANK($K419:$T419) &gt; 0, INDEX($K419:$T419, MATCH(TRUE, $K419:$T419 &lt;&gt; FALSE, 0)))</f>
        <v>0</v>
      </c>
      <c r="K419" s="712" t="b">
        <f ca="1">IF(AND('Start here'!$C$26=RefData!$B$9,'Start here'!$C$24=RefData!$B$4,'Reconciliation report'!$E419&lt;&gt;""),ErrorMsgs!$B419)</f>
        <v>0</v>
      </c>
      <c r="L419" s="712" t="b">
        <f ca="1">IF(AND('Start here'!$C$26=RefData!$B$9,'Start here'!$C$24=RefData!$B$5,'Start here'!$C$28=RefData!$B$13,'Reconciliation report'!$E419&lt;&gt;""),ErrorMsgs!$C419)</f>
        <v>0</v>
      </c>
      <c r="M419" s="714" t="b">
        <f ca="1">IF(AND('Start here'!$C$26=RefData!$B$9,'Start here'!$C$24=RefData!$B$5,'Start here'!$C$28=RefData!$B$14,'Reconciliation report'!$E419=""),ErrorMsgs!$D419)</f>
        <v>0</v>
      </c>
      <c r="N419" s="714" t="b">
        <f ca="1">IF(AND('Start here'!$C$26=RefData!$B$10,'Start here'!$C$23=RefData!$B$18,'Reconciliation report'!$E419=""),ErrorMsgs!$E419)</f>
        <v>0</v>
      </c>
      <c r="O419" s="712" t="b">
        <f ca="1">IF(AND('Start here'!$C$26=RefData!$B$10,'Start here'!$C$23=RefData!$B$17,'Start here'!$C$27=RefData!$B$11,'Reconciliation report'!$E419&lt;&gt;""),ErrorMsgs!$F419)</f>
        <v>0</v>
      </c>
      <c r="P419" s="712" t="b">
        <f ca="1">IF(AND('Start here'!$C$26=RefData!$B$10,'Start here'!$C$23=RefData!$B$17,'Start here'!$C$27=RefData!$B$12,'Reconciliation report'!$E419=""),ErrorMsgs!$G419)</f>
        <v>0</v>
      </c>
      <c r="Q419" s="712" t="b">
        <f ca="1">IF(E419="",FALSE,IF(ISNA(MATCH($E419,RefData!$B$118:$B$119,0)),ErrorMsgs!$H419))</f>
        <v>0</v>
      </c>
      <c r="R419" s="712"/>
      <c r="S419" s="712"/>
      <c r="T419" s="712"/>
      <c r="U419" s="526" t="str">
        <f t="shared" ca="1" si="53"/>
        <v/>
      </c>
      <c r="V419" s="93" t="str" cm="1">
        <f t="array" aca="1" ref="V419" ca="1">CELL("format",INDIRECT(I419))</f>
        <v>G</v>
      </c>
      <c r="W419" s="93" t="b">
        <f t="shared" ca="1" si="54"/>
        <v>0</v>
      </c>
      <c r="X419" s="715" t="str">
        <f t="shared" ca="1" si="51"/>
        <v/>
      </c>
      <c r="Y419" t="b">
        <f t="shared" ca="1" si="55"/>
        <v>1</v>
      </c>
    </row>
    <row r="420" spans="1:25" ht="62">
      <c r="A420" s="705" t="s">
        <v>3426</v>
      </c>
      <c r="B420" s="716" t="str">
        <f t="shared" ca="1" si="56"/>
        <v>Covenant summary information - C11</v>
      </c>
      <c r="C420" s="707" t="str" cm="1">
        <f t="array" aca="1" ref="C420" ca="1">INDIRECT(LEFT(I420, FIND("!", I420)) &amp; RefData!$C$426 &amp; RIGHT(I420, LEN(I420) - FIND("!", I420) - 1))</f>
        <v xml:space="preserve">
In determining covenant strength, do you place reliance on any entity other than statutory employers and their subsidiaries?
</v>
      </c>
      <c r="D420" s="92" t="str">
        <f t="shared" ca="1" si="50"/>
        <v/>
      </c>
      <c r="E420" s="708" t="str" cm="1">
        <f t="array" aca="1" ref="E420" ca="1">IF(INDIRECT($I420)= "", "", INDIRECT($I420))</f>
        <v/>
      </c>
      <c r="F420" s="709" t="str" cm="1">
        <f t="array" aca="1" ref="F420" ca="1">INDIRECT(LEFT(I420, FIND("!", I420)) &amp; RefData!$C$427 &amp; RIGHT(I420, LEN(I420) - FIND("!", I420) - 1))</f>
        <v>CSI 5.0</v>
      </c>
      <c r="G420" s="710" t="b">
        <f ca="1">IF(ISNUMBER(SEARCH(RefData!$B$2, $C420)), FALSE, TRUE)</f>
        <v>1</v>
      </c>
      <c r="H420" s="113">
        <f>'Covenant summary information'!C11</f>
        <v>0</v>
      </c>
      <c r="I420" s="712" t="str">
        <f t="shared" ca="1" si="57"/>
        <v>'Covenant summary information'!C11</v>
      </c>
      <c r="J420" s="713" t="b" cm="1">
        <f t="array" aca="1" ref="J420" ca="1">IF(COUNTIF($K420:$T420, "&lt;&gt;FALSE") - COUNTBLANK($K420:$T420) &gt; 0, INDEX($K420:$T420, MATCH(TRUE, $K420:$T420 &lt;&gt; FALSE, 0)))</f>
        <v>0</v>
      </c>
      <c r="K420" s="712" t="b">
        <f ca="1">IF(AND('Start here'!$C$26=RefData!$B$9,$E420&lt;&gt;""),ErrorMsgs!$B420)</f>
        <v>0</v>
      </c>
      <c r="L420" s="712" t="b">
        <f ca="1">IF(AND('Start here'!$C$26=RefData!$B$10,'Start here'!$C$23=RefData!$B$18,'Reconciliation report'!$E420=""),ErrorMsgs!$C420)</f>
        <v>0</v>
      </c>
      <c r="M420" s="714" t="b">
        <f ca="1">IF(AND('Start here'!$C$26=RefData!$B$10,'Start here'!$C$23=RefData!$B$17,'Start here'!$C$27=RefData!$B$11,'Reconciliation report'!$E420&lt;&gt;""),ErrorMsgs!$D420)</f>
        <v>0</v>
      </c>
      <c r="N420" s="714" t="b">
        <f ca="1">IF(AND('Start here'!$C$26=RefData!$B$10,'Start here'!$C$23=RefData!$B$17,'Start here'!$C$27=RefData!$B$12,'Reconciliation report'!$E420=""),ErrorMsgs!$E420)</f>
        <v>0</v>
      </c>
      <c r="O420" s="712" t="b">
        <f ca="1">IF(E420="",FALSE,IF(ISNA(MATCH($E420,RefData!$B$116:$B$117,0)),ErrorMsgs!$F420))</f>
        <v>0</v>
      </c>
      <c r="P420" s="712"/>
      <c r="Q420" s="712"/>
      <c r="R420" s="712"/>
      <c r="S420" s="712"/>
      <c r="T420" s="712"/>
      <c r="U420" s="526" t="str">
        <f t="shared" ca="1" si="53"/>
        <v/>
      </c>
      <c r="V420" s="93" t="str" cm="1">
        <f t="array" aca="1" ref="V420" ca="1">CELL("format",INDIRECT(I420))</f>
        <v>G</v>
      </c>
      <c r="W420" s="93" t="b">
        <f t="shared" ca="1" si="54"/>
        <v>0</v>
      </c>
      <c r="X420" s="715" t="str">
        <f t="shared" ca="1" si="51"/>
        <v/>
      </c>
      <c r="Y420" t="b">
        <f t="shared" ca="1" si="55"/>
        <v>1</v>
      </c>
    </row>
    <row r="421" spans="1:25" ht="62">
      <c r="A421" s="705" t="s">
        <v>3427</v>
      </c>
      <c r="B421" s="716" t="str">
        <f t="shared" ca="1" si="56"/>
        <v>Covenant summary information - C12</v>
      </c>
      <c r="C421" s="707" t="str" cm="1">
        <f t="array" aca="1" ref="C421" ca="1">INDIRECT(LEFT(I421, FIND("!", I421)) &amp; RefData!$C$426 &amp; RIGHT(I421, LEN(I421) - FIND("!", I421) - 1))</f>
        <v xml:space="preserve">
Upon how many entities other than statutory employers is covenant reliance placed?
</v>
      </c>
      <c r="D421" s="92" t="str">
        <f t="shared" ca="1" si="50"/>
        <v/>
      </c>
      <c r="E421" s="708" t="str" cm="1">
        <f t="array" aca="1" ref="E421" ca="1">IF(INDIRECT($I421)= "", "", INDIRECT($I421))</f>
        <v/>
      </c>
      <c r="F421" s="709" t="str" cm="1">
        <f t="array" aca="1" ref="F421" ca="1">INDIRECT(LEFT(I421, FIND("!", I421)) &amp; RefData!$C$427 &amp; RIGHT(I421, LEN(I421) - FIND("!", I421) - 1))</f>
        <v>CSI 6.0</v>
      </c>
      <c r="G421" s="710" t="b">
        <f ca="1">IF(ISNUMBER(SEARCH(RefData!$B$2, $C421)), FALSE, TRUE)</f>
        <v>1</v>
      </c>
      <c r="H421" s="734">
        <f>'Covenant summary information'!C12</f>
        <v>0</v>
      </c>
      <c r="I421" s="712" t="str">
        <f t="shared" ca="1" si="57"/>
        <v>'Covenant summary information'!C12</v>
      </c>
      <c r="J421" s="713" t="b" cm="1">
        <f t="array" aca="1" ref="J421" ca="1">IF(COUNTIF($K421:$T421, "&lt;&gt;FALSE") - COUNTBLANK($K421:$T421) &gt; 0, INDEX($K421:$T421, MATCH(TRUE, $K421:$T421 &lt;&gt; FALSE, 0)))</f>
        <v>0</v>
      </c>
      <c r="K421" s="712" t="b">
        <f ca="1">IF(AND('Start here'!$C$26=RefData!$B$9,$E421&lt;&gt;""),ErrorMsgs!$B421)</f>
        <v>0</v>
      </c>
      <c r="L421" s="712" t="b">
        <f ca="1">IF(AND('Start here'!$C$26=RefData!$B$10,'Covenant summary information'!$C$11=RefData!$B$117,'Reconciliation report'!E421&lt;&gt;""),ErrorMsgs!$C421)</f>
        <v>0</v>
      </c>
      <c r="M421" s="714" t="b">
        <f ca="1">IF(AND('Start here'!$C$26=RefData!$B$10,'Covenant summary information'!$C$11=RefData!$B$116,'Reconciliation report'!E421=""),ErrorMsgs!$D421)</f>
        <v>0</v>
      </c>
      <c r="N421" s="714" t="b">
        <f ca="1">IF($E421="",FALSE,IF($E421&lt;0,ErrorMsgs!$E421))</f>
        <v>0</v>
      </c>
      <c r="O421" s="712" t="b">
        <f ca="1">IF($E421="",FALSE,IF($E421&gt;5,ErrorMsgs!$F421))</f>
        <v>0</v>
      </c>
      <c r="P421" s="712" t="b">
        <f ca="1">IF($E421="",FALSE,IF(VALUE($E421)-ROUND(VALUE($E421),0)&lt;&gt;0,ErrorMsgs!$G421))</f>
        <v>0</v>
      </c>
      <c r="Q421" s="714" t="b">
        <f ca="1">IF(AND('Start here'!$C$26=RefData!$B$10,'Start here'!$C$23=RefData!$B$17,'Start here'!$C$27=RefData!$B$11,'Reconciliation report'!$E421&lt;&gt;""),ErrorMsgs!$H421)</f>
        <v>0</v>
      </c>
      <c r="R421" s="714"/>
      <c r="S421" s="714"/>
      <c r="T421" s="714"/>
      <c r="U421" s="526" t="str">
        <f t="shared" ca="1" si="53"/>
        <v/>
      </c>
      <c r="V421" s="93" t="str" cm="1">
        <f t="array" aca="1" ref="V421" ca="1">CELL("format",INDIRECT(I421))</f>
        <v>F0</v>
      </c>
      <c r="W421" s="93" t="b">
        <f t="shared" ca="1" si="54"/>
        <v>0</v>
      </c>
      <c r="X421" s="715" t="str">
        <f t="shared" ca="1" si="51"/>
        <v/>
      </c>
      <c r="Y421" t="b">
        <f t="shared" ca="1" si="55"/>
        <v>1</v>
      </c>
    </row>
    <row r="422" spans="1:25" ht="77.5">
      <c r="A422" s="705" t="s">
        <v>3428</v>
      </c>
      <c r="B422" s="716" t="str">
        <f t="shared" ca="1" si="56"/>
        <v>Covenant summary information - C13</v>
      </c>
      <c r="C422" s="707" t="str" cm="1">
        <f t="array" aca="1" ref="C422" ca="1">INDIRECT(LEFT(I422, FIND("!", I422)) &amp; RefData!$C$426 &amp; RIGHT(I422, LEN(I422) - FIND("!", I422) - 1))</f>
        <v xml:space="preserve">
For what reason or reasons is it appropriate to place reliance on the entities (other than statutory employers) on which covenant reliance is placed?
</v>
      </c>
      <c r="D422" s="92" t="str">
        <f t="shared" ca="1" si="50"/>
        <v/>
      </c>
      <c r="E422" s="708" t="str" cm="1">
        <f t="array" aca="1" ref="E422" ca="1">IF(INDIRECT($I422)= "", "", INDIRECT($I422))</f>
        <v/>
      </c>
      <c r="F422" s="709" t="str" cm="1">
        <f t="array" aca="1" ref="F422" ca="1">INDIRECT(LEFT(I422, FIND("!", I422)) &amp; RefData!$C$427 &amp; RIGHT(I422, LEN(I422) - FIND("!", I422) - 1))</f>
        <v>CSI 7.0</v>
      </c>
      <c r="G422" s="710" t="b">
        <f ca="1">IF(ISNUMBER(SEARCH(RefData!$B$2, $C422)), FALSE, TRUE)</f>
        <v>1</v>
      </c>
      <c r="H422" s="113">
        <f>'Covenant summary information'!C13</f>
        <v>0</v>
      </c>
      <c r="I422" s="712" t="str">
        <f t="shared" ca="1" si="57"/>
        <v>'Covenant summary information'!C13</v>
      </c>
      <c r="J422" s="713" t="b" cm="1">
        <f t="array" aca="1" ref="J422" ca="1">IF(COUNTIF($K422:$T422, "&lt;&gt;FALSE") - COUNTBLANK($K422:$T422) &gt; 0, INDEX($K422:$T422, MATCH(TRUE, $K422:$T422 &lt;&gt; FALSE, 0)))</f>
        <v>0</v>
      </c>
      <c r="K422" s="712" t="b">
        <f ca="1">IF(AND('Start here'!$C$26=RefData!$B$9,$E422&lt;&gt;""),ErrorMsgs!$B422)</f>
        <v>0</v>
      </c>
      <c r="L422" s="712" t="b">
        <f ca="1">IF(AND('Start here'!$C$26=RefData!$B$10,'Covenant summary information'!$C$11=RefData!$B$117,'Reconciliation report'!$E422&lt;&gt;""),ErrorMsgs!$C422)</f>
        <v>0</v>
      </c>
      <c r="M422" s="714" t="b">
        <f ca="1">IF(AND('Start here'!$C$26=RefData!$B$10,'Covenant summary information'!$C$11=RefData!$B$116,'Reconciliation report'!$E422=""),ErrorMsgs!$D422)</f>
        <v>0</v>
      </c>
      <c r="N422" s="714" t="b">
        <f ca="1">IF(LEN($E422)&gt;4000,ErrorMsgs!$E422)</f>
        <v>0</v>
      </c>
      <c r="O422" s="714" t="b">
        <f ca="1">IF(AND('Start here'!$C$26=RefData!$B$10,'Start here'!$C$23=RefData!$B$17,'Start here'!$C$27=RefData!$B$11,'Reconciliation report'!$E422&lt;&gt;""),ErrorMsgs!$F422)</f>
        <v>0</v>
      </c>
      <c r="P422" s="712"/>
      <c r="Q422" s="712"/>
      <c r="R422" s="712"/>
      <c r="S422" s="712"/>
      <c r="T422" s="712"/>
      <c r="U422" s="526" t="str">
        <f t="shared" ca="1" si="53"/>
        <v/>
      </c>
      <c r="V422" s="93" t="str" cm="1">
        <f t="array" aca="1" ref="V422" ca="1">CELL("format",INDIRECT(I422))</f>
        <v>G</v>
      </c>
      <c r="W422" s="93" t="b">
        <f t="shared" ca="1" si="54"/>
        <v>0</v>
      </c>
      <c r="X422" s="715" t="str">
        <f t="shared" ca="1" si="51"/>
        <v/>
      </c>
      <c r="Y422" t="b">
        <f t="shared" ca="1" si="55"/>
        <v>1</v>
      </c>
    </row>
    <row r="423" spans="1:25" ht="77.5">
      <c r="A423" s="705" t="s">
        <v>3429</v>
      </c>
      <c r="B423" s="716" t="str">
        <f t="shared" ca="1" si="56"/>
        <v>Covenant summary information - C17</v>
      </c>
      <c r="C423" s="707" t="str" cm="1">
        <f t="array" aca="1" ref="C423" ca="1">INDIRECT(LEFT(I423, FIND("!", I423)) &amp; RefData!$C$426 &amp; RIGHT(I423, LEN(I423) - FIND("!", I423) - 1))</f>
        <v xml:space="preserve">
No answer required
Legal name
</v>
      </c>
      <c r="D423" s="92" t="str">
        <f t="shared" ref="D423:D432" ca="1" si="58">""&amp;IF(J423=FALSE, "", J423)
&amp;""</f>
        <v/>
      </c>
      <c r="E423" s="708" t="str" cm="1">
        <f t="array" aca="1" ref="E423" ca="1">IF(INDIRECT($I423)= "", "", INDIRECT($I423))</f>
        <v/>
      </c>
      <c r="F423" s="709" t="str" cm="1">
        <f t="array" aca="1" ref="F423" ca="1">INDIRECT(LEFT(I423, FIND("!", I423)) &amp; RefData!$C$427 &amp; RIGHT(I423, LEN(I423) - FIND("!", I423) - 1))</f>
        <v>CSI 8.0/1</v>
      </c>
      <c r="G423" s="710" t="b">
        <f ca="1">IF(ISNUMBER(SEARCH(RefData!$B$2, $C423)), FALSE, TRUE)</f>
        <v>0</v>
      </c>
      <c r="H423" s="113">
        <f>'Covenant summary information'!C17</f>
        <v>0</v>
      </c>
      <c r="I423" s="712" t="str">
        <f t="shared" ca="1" si="57"/>
        <v>'Covenant summary information'!C17</v>
      </c>
      <c r="J423" s="713" t="b" cm="1">
        <f t="array" aca="1" ref="J423" ca="1">IF(
    ISNUMBER(SEARCH(RefData!$B$2, $C$421)),
    IF(
        $E423 &lt;&gt; "",
        $J$421,
        IF(
            $E423 = "",
            FALSE
        )
    ),
    IF(
        COUNTIF($K423:$T423, "&lt;&gt;FALSE") - COUNTBLANK($K423:$T423) &gt; 0,
        INDEX($K423:$T423, MATCH(TRUE, $K423:$T423 &lt;&gt; FALSE, 0))
    )
)</f>
        <v>0</v>
      </c>
      <c r="K423" s="712" t="b">
        <f ca="1">IF(AND('Start here'!$C$26=RefData!$B$9,'Reconciliation report'!$E423&lt;&gt;""),ErrorMsgs!$B423)</f>
        <v>0</v>
      </c>
      <c r="L423" s="712" t="b">
        <f ca="1">IF(AND('Start here'!$C$26=RefData!$B$10,'Covenant summary information'!$C$12=0,'Reconciliation report'!$E423&lt;&gt;""),ErrorMsgs!$C423)</f>
        <v>0</v>
      </c>
      <c r="M423" s="712" t="b">
        <f ca="1">IF(AND('Start here'!$C$26=RefData!$B$10,'Covenant summary information'!$C$12&lt;1,'Reconciliation report'!$E423&lt;&gt;""),ErrorMsgs!$D423)</f>
        <v>0</v>
      </c>
      <c r="N423" s="712" t="b">
        <f ca="1">IF(AND('Start here'!$C$26=RefData!$B$10,'Covenant summary information'!$C$12&gt;=1,'Reconciliation report'!$E423=""),ErrorMsgs!$E423)</f>
        <v>0</v>
      </c>
      <c r="O423" s="712" t="b">
        <f ca="1">IF(E423="",FALSE,IF(LEN(E423)&gt;510,ErrorMsgs!$F423))</f>
        <v>0</v>
      </c>
      <c r="P423" s="714"/>
      <c r="Q423" s="712"/>
      <c r="R423" s="712"/>
      <c r="S423" s="712"/>
      <c r="T423" s="712"/>
      <c r="U423" s="526" t="str">
        <f t="shared" ca="1" si="53"/>
        <v/>
      </c>
      <c r="V423" s="93" t="str" cm="1">
        <f t="array" aca="1" ref="V423" ca="1">CELL("format",INDIRECT(I423))</f>
        <v>G</v>
      </c>
      <c r="W423" s="93" t="b">
        <f t="shared" ca="1" si="54"/>
        <v>0</v>
      </c>
      <c r="X423" s="715" t="str">
        <f t="shared" ca="1" si="51"/>
        <v/>
      </c>
      <c r="Y423" t="b">
        <f t="shared" ca="1" si="55"/>
        <v>1</v>
      </c>
    </row>
    <row r="424" spans="1:25" ht="77.5">
      <c r="A424" s="705" t="s">
        <v>3430</v>
      </c>
      <c r="B424" s="716" t="str">
        <f t="shared" ca="1" si="56"/>
        <v>Covenant summary information - C18</v>
      </c>
      <c r="C424" s="707" t="str" cm="1">
        <f t="array" aca="1" ref="C424" ca="1">INDIRECT(LEFT(I424, FIND("!", I424)) &amp; RefData!$C$426 &amp; RIGHT(I424, LEN(I424) - FIND("!", I424) - 1))</f>
        <v xml:space="preserve">
No answer required
Companies House number (if applicable)
</v>
      </c>
      <c r="D424" s="92" t="str">
        <f t="shared" ca="1" si="58"/>
        <v/>
      </c>
      <c r="E424" s="708" t="str" cm="1">
        <f t="array" aca="1" ref="E424" ca="1">IF(INDIRECT($I424)= "", "", INDIRECT($I424))</f>
        <v/>
      </c>
      <c r="F424" s="709" t="str" cm="1">
        <f t="array" aca="1" ref="F424" ca="1">INDIRECT(LEFT(I424, FIND("!", I424)) &amp; RefData!$C$427 &amp; RIGHT(I424, LEN(I424) - FIND("!", I424) - 1))</f>
        <v>CSI 9.0/1</v>
      </c>
      <c r="G424" s="710" t="b">
        <f ca="1">IF(ISNUMBER(SEARCH(RefData!$B$2, $C424)), FALSE, TRUE)</f>
        <v>0</v>
      </c>
      <c r="H424" s="113">
        <f>'Covenant summary information'!C18</f>
        <v>0</v>
      </c>
      <c r="I424" s="712" t="str">
        <f t="shared" ca="1" si="57"/>
        <v>'Covenant summary information'!C18</v>
      </c>
      <c r="J424" s="713" t="b" cm="1">
        <f t="array" aca="1" ref="J424" ca="1">IF(
    ISNUMBER(SEARCH(RefData!$B$2, $C$421)),
    IF(
        $E424 &lt;&gt; "",
        $J$421,
        IF(
            $E424 = "",
            FALSE
        )
    ),
    IF(
        COUNTIF($K424:$T424, "&lt;&gt;FALSE") - COUNTBLANK($K424:$T424) &gt; 0,
        INDEX($K424:$T424, MATCH(TRUE, $K424:$T424 &lt;&gt; FALSE, 0))
    )
)</f>
        <v>0</v>
      </c>
      <c r="K424" s="712" t="b">
        <f ca="1">IF(AND('Start here'!$C$26=RefData!$B$9,'Reconciliation report'!$E424&lt;&gt;""),ErrorMsgs!$B424)</f>
        <v>0</v>
      </c>
      <c r="L424" s="712" t="b">
        <f ca="1">IF(AND('Start here'!$C$26=RefData!$B$10,'Covenant summary information'!$C$12=0,'Reconciliation report'!$E424&lt;&gt;""),ErrorMsgs!$C424)</f>
        <v>0</v>
      </c>
      <c r="M424" s="712" t="b">
        <f ca="1">IF(AND('Start here'!$C$26=RefData!$B$10,'Covenant summary information'!$C$12&lt;1,'Reconciliation report'!$E424&lt;&gt;""),ErrorMsgs!$D424)</f>
        <v>0</v>
      </c>
      <c r="N424" s="712" t="b">
        <f ca="1">IF(
  AND(
    'Covenant summary information'!$C$12 &gt;= 1,
    OR(
      AND(TRIM($E424) &lt;&gt; "", TRIM($D425) &lt;&gt; ""),
      AND(TRIM($E424) &lt;&gt; "", TRIM($D425) = "", TRIM($E425) = "")
    ),
    OR(
      ISNUMBER(FIND(" ", $E424)),
      NOT(
        OR(
          AND(LEN($E424)=8, ISNUMBER(VALUE($E424))),
          AND(LEN($E424)=8, ISNUMBER(VALUE(RIGHT($E424,6))), ISNUMBER(FIND(LEFT(UPPER($E424),1),"ABCDEFGHIJKLMNOPQRSTUVWXYZ")), ISNUMBER(FIND(MID(UPPER($E424),2,1),"ABCDEFGHIJKLMNOPQRSTUVWXYZ"))),
          AND(LEN($E424)=8, ISNUMBER(VALUE(RIGHT($E424,7))), ISNUMBER(FIND(LEFT(UPPER($E424),1),"ABCDEFGHIJKLMNOPQRSTUVWXYZ"))),
          AND(LEN($E424)=8, ISNUMBER(VALUE(MID($E424,3,5))), ISNUMBER(FIND(LEFT(UPPER($E424),1),"ABCDEFGHIJKLMNOPQRSTUVWXYZ")), ISNUMBER(FIND(MID(UPPER($E424),2,1),"ABCDEFGHIJKLMNOPQRSTUVWXYZ")), ISNUMBER(FIND(RIGHT(UPPER($E424),1),"ABCDEFGHIJKLMNOPQRSTUVWXYZ"))),
          AND(LEN($E424)=8, ISNUMBER(VALUE(MID($E424,3,4))), ISNUMBER(FIND(LEFT(UPPER($E424),1),"ABCDEFGHIJKLMNOPQRSTUVWXYZ")), ISNUMBER(FIND(MID(UPPER($E424),2,1),"ABCDEFGHIJKLMNOPQRSTUVWXYZ")), ISNUMBER(FIND(MID(UPPER($E424),7,1),"ABCDEFGHIJKLMNOPQRSTUVWXYZ")), ISNUMBER(FIND(RIGHT(UPPER($E424),1),"ABCDEFGHIJKLMNOPQRSTUVWXYZ")))
        )
      )
    )
  ),
  ErrorMsgs!E424
)</f>
        <v>0</v>
      </c>
      <c r="O424" s="714"/>
      <c r="P424" s="712"/>
      <c r="Q424" s="712"/>
      <c r="R424" s="712"/>
      <c r="S424" s="712"/>
      <c r="T424" s="712"/>
      <c r="U424" s="526" t="str">
        <f t="shared" ca="1" si="53"/>
        <v/>
      </c>
      <c r="V424" s="93" t="str" cm="1">
        <f t="array" aca="1" ref="V424" ca="1">CELL("format",INDIRECT(I424))</f>
        <v>G</v>
      </c>
      <c r="W424" s="93" t="b">
        <f t="shared" ca="1" si="54"/>
        <v>0</v>
      </c>
      <c r="X424" s="715" t="str">
        <f t="shared" ca="1" si="51"/>
        <v/>
      </c>
      <c r="Y424" t="b">
        <f t="shared" ca="1" si="55"/>
        <v>1</v>
      </c>
    </row>
    <row r="425" spans="1:25" ht="77.5">
      <c r="A425" s="705" t="s">
        <v>3431</v>
      </c>
      <c r="B425" s="716" t="str">
        <f t="shared" ca="1" si="56"/>
        <v>Covenant summary information - C19</v>
      </c>
      <c r="C425" s="707" t="str" cm="1">
        <f t="array" aca="1" ref="C425" ca="1">INDIRECT(LEFT(I425, FIND("!", I425)) &amp; RefData!$C$426 &amp; RIGHT(I425, LEN(I425) - FIND("!", I425) - 1))</f>
        <v xml:space="preserve">
No answer required
Charity number (if applicable)
</v>
      </c>
      <c r="D425" s="92" t="str">
        <f t="shared" ca="1" si="58"/>
        <v/>
      </c>
      <c r="E425" s="708" t="str" cm="1">
        <f t="array" aca="1" ref="E425" ca="1">IF(INDIRECT($I425)= "", "", INDIRECT($I425))</f>
        <v/>
      </c>
      <c r="F425" s="709" t="str" cm="1">
        <f t="array" aca="1" ref="F425" ca="1">INDIRECT(LEFT(I425, FIND("!", I425)) &amp; RefData!$C$427 &amp; RIGHT(I425, LEN(I425) - FIND("!", I425) - 1))</f>
        <v>CSI 10.0/1</v>
      </c>
      <c r="G425" s="710" t="b">
        <f ca="1">IF(ISNUMBER(SEARCH(RefData!$B$2, $C425)), FALSE, TRUE)</f>
        <v>0</v>
      </c>
      <c r="H425" s="113">
        <f>'Covenant summary information'!C19</f>
        <v>0</v>
      </c>
      <c r="I425" s="712" t="str">
        <f t="shared" ca="1" si="57"/>
        <v>'Covenant summary information'!C19</v>
      </c>
      <c r="J425" s="713" t="b" cm="1">
        <f t="array" aca="1" ref="J425" ca="1">IF(
    ISNUMBER(SEARCH(RefData!$B$2, $C$421)),
    IF(
        $E425 &lt;&gt; "",
        $J$421,
        IF(
            $E425 = "",
            FALSE
        )
    ),
    IF(
        COUNTIF($K425:$T425, "&lt;&gt;FALSE") - COUNTBLANK($K425:$T425) &gt; 0,
        INDEX($K425:$T425, MATCH(TRUE, $K425:$T425 &lt;&gt; FALSE, 0))
    )
)</f>
        <v>0</v>
      </c>
      <c r="K425" s="712" t="b">
        <f ca="1">IF(AND('Start here'!$C$26=RefData!$B$9,'Reconciliation report'!$E425&lt;&gt;""),ErrorMsgs!$B425)</f>
        <v>0</v>
      </c>
      <c r="L425" s="712" t="b">
        <f ca="1">IF(AND('Start here'!$C$26=RefData!$B$10,'Covenant summary information'!$C$12=0,'Reconciliation report'!$E425&lt;&gt;""),ErrorMsgs!$C425)</f>
        <v>0</v>
      </c>
      <c r="M425" s="712" t="b">
        <f ca="1">IF(AND('Start here'!$C$26=RefData!$B$10,'Covenant summary information'!$C$12&lt;1,'Reconciliation report'!$E425&lt;&gt;""),ErrorMsgs!$D425)</f>
        <v>0</v>
      </c>
      <c r="N425" s="712" t="b">
        <f ca="1">IF(AND('Start here'!$C$26=RefData!$B$10,'Covenant summary information'!$C$12&gt;=1,TRIM($E424)&lt;&gt;"",'Reconciliation report'!$E425&lt;&gt;""),ErrorMsgs!$E425)</f>
        <v>0</v>
      </c>
      <c r="O425" s="714" t="b">
        <f ca="1">IF($E425="",FALSE,IF(OR(LEN($E425)&lt;6,LEN($E425)&gt;8),ErrorMsgs!$F425))</f>
        <v>0</v>
      </c>
      <c r="P425" s="712"/>
      <c r="Q425" s="712"/>
      <c r="R425" s="712"/>
      <c r="S425" s="712"/>
      <c r="T425" s="712"/>
      <c r="U425" s="526" t="str">
        <f t="shared" ca="1" si="53"/>
        <v/>
      </c>
      <c r="V425" s="93" t="str" cm="1">
        <f t="array" aca="1" ref="V425" ca="1">CELL("format",INDIRECT(I425))</f>
        <v>G</v>
      </c>
      <c r="W425" s="93" t="b">
        <f t="shared" ca="1" si="54"/>
        <v>0</v>
      </c>
      <c r="X425" s="715" t="str">
        <f t="shared" ca="1" si="51"/>
        <v/>
      </c>
      <c r="Y425" t="b">
        <f t="shared" ca="1" si="55"/>
        <v>1</v>
      </c>
    </row>
    <row r="426" spans="1:25" ht="77.5">
      <c r="A426" s="705" t="s">
        <v>3432</v>
      </c>
      <c r="B426" s="716" t="str">
        <f t="shared" ca="1" si="56"/>
        <v>Covenant summary information - C20</v>
      </c>
      <c r="C426" s="707" t="str" cm="1">
        <f t="array" aca="1" ref="C426" ca="1">INDIRECT(LEFT(I426, FIND("!", I426)) &amp; RefData!$C$426 &amp; RIGHT(I426, LEN(I426) - FIND("!", I426) - 1))</f>
        <v xml:space="preserve">
No answer required
Trading name
</v>
      </c>
      <c r="D426" s="92" t="str">
        <f t="shared" ca="1" si="58"/>
        <v/>
      </c>
      <c r="E426" s="708" t="str" cm="1">
        <f t="array" aca="1" ref="E426" ca="1">IF(INDIRECT($I426)= "", "", INDIRECT($I426))</f>
        <v/>
      </c>
      <c r="F426" s="709" t="str" cm="1">
        <f t="array" aca="1" ref="F426" ca="1">INDIRECT(LEFT(I426, FIND("!", I426)) &amp; RefData!$C$427 &amp; RIGHT(I426, LEN(I426) - FIND("!", I426) - 1))</f>
        <v>CSI 11.0/1</v>
      </c>
      <c r="G426" s="710" t="b">
        <f ca="1">IF(ISNUMBER(SEARCH(RefData!$B$2, $C426)), FALSE, TRUE)</f>
        <v>0</v>
      </c>
      <c r="H426" s="113">
        <f>'Covenant summary information'!C20</f>
        <v>0</v>
      </c>
      <c r="I426" s="712" t="str">
        <f t="shared" ca="1" si="57"/>
        <v>'Covenant summary information'!C20</v>
      </c>
      <c r="J426" s="713" t="b" cm="1">
        <f t="array" aca="1" ref="J426" ca="1">IF(
    ISNUMBER(SEARCH(RefData!$B$2, $C$421)),
    IF(
        $E426 &lt;&gt; "",
        $J$421,
        IF(
            $E426 = "",
            FALSE
        )
    ),
    IF(
        COUNTIF($K426:$T426, "&lt;&gt;FALSE") - COUNTBLANK($K426:$T426) &gt; 0,
        INDEX($K426:$T426, MATCH(TRUE, $K426:$T426 &lt;&gt; FALSE, 0))
    )
)</f>
        <v>0</v>
      </c>
      <c r="K426" s="712" t="b">
        <f ca="1">IF(AND('Start here'!$C$26=RefData!$B$9,'Reconciliation report'!$E426&lt;&gt;""),ErrorMsgs!$B426)</f>
        <v>0</v>
      </c>
      <c r="L426" s="712" t="b">
        <f ca="1">IF(AND('Start here'!$C$26=RefData!$B$10,'Covenant summary information'!$C$12=0,'Reconciliation report'!$E426&lt;&gt;""),ErrorMsgs!$C426)</f>
        <v>0</v>
      </c>
      <c r="M426" s="712" t="b">
        <f ca="1">IF(AND('Start here'!$C$26=RefData!$B$10,'Covenant summary information'!$C$12&lt;1,'Reconciliation report'!$E426&lt;&gt;""),ErrorMsgs!$D426)</f>
        <v>0</v>
      </c>
      <c r="N426" s="712" t="b">
        <f ca="1">IF(AND('Start here'!$C$26=RefData!$B$10,'Covenant summary information'!$C$12&gt;=1,TRIM($E424)&lt;&gt;"",'Reconciliation report'!$E426&lt;&gt;""),ErrorMsgs!$E426)</f>
        <v>0</v>
      </c>
      <c r="O426" s="714" t="b">
        <f ca="1">IF(AND('Start here'!$C$26=RefData!$B$10,'Covenant summary information'!$C$12&gt;=1,$E425&lt;&gt;"",'Reconciliation report'!$E426&lt;&gt;""),ErrorMsgs!$F426)</f>
        <v>0</v>
      </c>
      <c r="P426" s="712" t="b">
        <f ca="1">IF(AND('Start here'!$C$26=RefData!$B$10,'Covenant summary information'!$C$12&gt;=1,'Reconciliation report'!$E426="",TRIM($E424)="",$E425=""),ErrorMsgs!$G426)</f>
        <v>0</v>
      </c>
      <c r="Q426" s="714" t="b">
        <f ca="1">IF($E426="",FALSE,IF(LEN($E426)&gt;510,ErrorMsgs!$H426))</f>
        <v>0</v>
      </c>
      <c r="R426" s="714"/>
      <c r="S426" s="714"/>
      <c r="T426" s="714"/>
      <c r="U426" s="526" t="str">
        <f t="shared" ca="1" si="53"/>
        <v/>
      </c>
      <c r="V426" s="93" t="str" cm="1">
        <f t="array" aca="1" ref="V426" ca="1">CELL("format",INDIRECT(I426))</f>
        <v>G</v>
      </c>
      <c r="W426" s="93" t="b">
        <f t="shared" ca="1" si="54"/>
        <v>0</v>
      </c>
      <c r="X426" s="715" t="str">
        <f t="shared" ca="1" si="51"/>
        <v/>
      </c>
      <c r="Y426" t="b">
        <f t="shared" ca="1" si="55"/>
        <v>1</v>
      </c>
    </row>
    <row r="427" spans="1:25" ht="77.5">
      <c r="A427" s="705" t="s">
        <v>3433</v>
      </c>
      <c r="B427" s="716" t="str">
        <f t="shared" ca="1" si="56"/>
        <v>Covenant summary information - C21</v>
      </c>
      <c r="C427" s="707" t="str" cm="1">
        <f t="array" aca="1" ref="C427" ca="1">INDIRECT(LEFT(I427, FIND("!", I427)) &amp; RefData!$C$426 &amp; RIGHT(I427, LEN(I427) - FIND("!", I427) - 1))</f>
        <v xml:space="preserve">
No answer required
Address line 1
</v>
      </c>
      <c r="D427" s="92" t="str">
        <f t="shared" ca="1" si="58"/>
        <v/>
      </c>
      <c r="E427" s="708" t="str" cm="1">
        <f t="array" aca="1" ref="E427" ca="1">IF(INDIRECT($I427)= "", "", INDIRECT($I427))</f>
        <v/>
      </c>
      <c r="F427" s="709" t="str" cm="1">
        <f t="array" aca="1" ref="F427" ca="1">INDIRECT(LEFT(I427, FIND("!", I427)) &amp; RefData!$C$427 &amp; RIGHT(I427, LEN(I427) - FIND("!", I427) - 1))</f>
        <v>CSI 12.0/1</v>
      </c>
      <c r="G427" s="710" t="b">
        <f ca="1">IF(ISNUMBER(SEARCH(RefData!$B$2, $C427)), FALSE, TRUE)</f>
        <v>0</v>
      </c>
      <c r="H427" s="113">
        <f>'Covenant summary information'!C21</f>
        <v>0</v>
      </c>
      <c r="I427" s="712" t="str">
        <f t="shared" ca="1" si="57"/>
        <v>'Covenant summary information'!C21</v>
      </c>
      <c r="J427" s="713" t="b" cm="1">
        <f t="array" aca="1" ref="J427" ca="1">IF(
    ISNUMBER(SEARCH(RefData!$B$2, $C$421)),
    IF(
        $E427 &lt;&gt; "",
        $J$421,
        IF(
            $E427 = "",
            FALSE
        )
    ),
    IF(
        COUNTIF($K427:$T427, "&lt;&gt;FALSE") - COUNTBLANK($K427:$T427) &gt; 0,
        INDEX($K427:$T427, MATCH(TRUE, $K427:$T427 &lt;&gt; FALSE, 0))
    )
)</f>
        <v>0</v>
      </c>
      <c r="K427" s="712" t="b">
        <f ca="1">IF(AND('Start here'!$C$26=RefData!$B$9,'Reconciliation report'!$E427&lt;&gt;""),ErrorMsgs!$B427)</f>
        <v>0</v>
      </c>
      <c r="L427" s="712" t="b">
        <f ca="1">IF(AND('Start here'!$C$26=RefData!$B$10,'Covenant summary information'!$C$12=0,'Reconciliation report'!$E427&lt;&gt;""),ErrorMsgs!$C427)</f>
        <v>0</v>
      </c>
      <c r="M427" s="712" t="b">
        <f ca="1">IF(AND('Start here'!$C$26=RefData!$B$10,'Covenant summary information'!$C$12&lt;1,'Reconciliation report'!$E427&lt;&gt;""),ErrorMsgs!$D427)</f>
        <v>0</v>
      </c>
      <c r="N427" s="712" t="b">
        <f ca="1">IF(AND('Start here'!$C$26=RefData!$B$10,'Covenant summary information'!$C$12&gt;=1,TRIM($E424)&lt;&gt;"",'Reconciliation report'!$E427&lt;&gt;""),ErrorMsgs!$E427)</f>
        <v>0</v>
      </c>
      <c r="O427" s="714" t="b">
        <f ca="1">IF(AND('Start here'!$C$26=RefData!$B$10,'Covenant summary information'!$C$12&gt;=1,$E425&lt;&gt;"",'Reconciliation report'!$E427&lt;&gt;""),ErrorMsgs!$F427)</f>
        <v>0</v>
      </c>
      <c r="P427" s="712" t="b">
        <f ca="1">IF(AND('Start here'!$C$26=RefData!$B$10,'Covenant summary information'!$C$12&gt;=1,'Reconciliation report'!$E427="",TRIM($E424)="",$E425=""),ErrorMsgs!$G427)</f>
        <v>0</v>
      </c>
      <c r="Q427" s="714" t="b">
        <f ca="1">IF($E427="",FALSE,IF(LEN($E427)&gt;510,ErrorMsgs!$H427))</f>
        <v>0</v>
      </c>
      <c r="R427" s="714"/>
      <c r="S427" s="714"/>
      <c r="T427" s="714"/>
      <c r="U427" s="526" t="str">
        <f t="shared" ca="1" si="53"/>
        <v/>
      </c>
      <c r="V427" s="93" t="str" cm="1">
        <f t="array" aca="1" ref="V427" ca="1">CELL("format",INDIRECT(I427))</f>
        <v>G</v>
      </c>
      <c r="W427" s="93" t="b">
        <f t="shared" ca="1" si="54"/>
        <v>0</v>
      </c>
      <c r="X427" s="715" t="str">
        <f t="shared" ca="1" si="51"/>
        <v/>
      </c>
      <c r="Y427" t="b">
        <f t="shared" ca="1" si="55"/>
        <v>1</v>
      </c>
    </row>
    <row r="428" spans="1:25" ht="77.5">
      <c r="A428" s="705" t="s">
        <v>3434</v>
      </c>
      <c r="B428" s="716" t="str">
        <f t="shared" ca="1" si="56"/>
        <v>Covenant summary information - C22</v>
      </c>
      <c r="C428" s="707" t="str" cm="1">
        <f t="array" aca="1" ref="C428" ca="1">INDIRECT(LEFT(I428, FIND("!", I428)) &amp; RefData!$C$426 &amp; RIGHT(I428, LEN(I428) - FIND("!", I428) - 1))</f>
        <v xml:space="preserve">
No answer required
Address line 2 (optional)
</v>
      </c>
      <c r="D428" s="92" t="str">
        <f t="shared" ca="1" si="58"/>
        <v/>
      </c>
      <c r="E428" s="708" t="str" cm="1">
        <f t="array" aca="1" ref="E428" ca="1">IF(INDIRECT($I428)= "", "", INDIRECT($I428))</f>
        <v/>
      </c>
      <c r="F428" s="709" t="str" cm="1">
        <f t="array" aca="1" ref="F428" ca="1">INDIRECT(LEFT(I428, FIND("!", I428)) &amp; RefData!$C$427 &amp; RIGHT(I428, LEN(I428) - FIND("!", I428) - 1))</f>
        <v>CSI 13.0/1</v>
      </c>
      <c r="G428" s="710" t="b">
        <f ca="1">IF(ISNUMBER(SEARCH(RefData!$B$2, $C428)), FALSE, TRUE)</f>
        <v>0</v>
      </c>
      <c r="H428" s="113">
        <f>'Covenant summary information'!C22</f>
        <v>0</v>
      </c>
      <c r="I428" s="712" t="str">
        <f t="shared" ca="1" si="57"/>
        <v>'Covenant summary information'!C22</v>
      </c>
      <c r="J428" s="713" t="b" cm="1">
        <f t="array" aca="1" ref="J428" ca="1">IF(
    ISNUMBER(SEARCH(RefData!$B$2, $C$421)),
    IF(
        $E428 &lt;&gt; "",
        $J$421,
        IF(
            $E428 = "",
            FALSE
        )
    ),
    IF(
        COUNTIF($K428:$T428, "&lt;&gt;FALSE") - COUNTBLANK($K428:$T428) &gt; 0,
        INDEX($K428:$T428, MATCH(TRUE, $K428:$T428 &lt;&gt; FALSE, 0))
    )
)</f>
        <v>0</v>
      </c>
      <c r="K428" s="712" t="b">
        <f ca="1">IF(AND('Start here'!$C$26=RefData!$B$9,'Reconciliation report'!$E428&lt;&gt;""),ErrorMsgs!$B428)</f>
        <v>0</v>
      </c>
      <c r="L428" s="712" t="b">
        <f ca="1">IF(AND('Start here'!$C$26=RefData!$B$10,'Covenant summary information'!$C$12=0,'Reconciliation report'!$E428&lt;&gt;""),ErrorMsgs!$C428)</f>
        <v>0</v>
      </c>
      <c r="M428" s="712" t="b">
        <f ca="1">IF(AND('Start here'!$C$26=RefData!$B$10,'Covenant summary information'!$C$12&lt;1,'Reconciliation report'!$E428&lt;&gt;""),ErrorMsgs!$D428)</f>
        <v>0</v>
      </c>
      <c r="N428" s="712" t="b">
        <f ca="1">IF(AND('Start here'!$C$26=RefData!$B$10,'Covenant summary information'!$C$12&gt;=1,TRIM($E424)&lt;&gt;"",'Reconciliation report'!$E428&lt;&gt;""),ErrorMsgs!$E428)</f>
        <v>0</v>
      </c>
      <c r="O428" s="714" t="b">
        <f ca="1">IF(AND('Start here'!$C$26=RefData!$B$10,'Covenant summary information'!$C$12&gt;=1,$E425&lt;&gt;"",'Reconciliation report'!$E428&lt;&gt;""),ErrorMsgs!$F428)</f>
        <v>0</v>
      </c>
      <c r="P428" s="714" t="b">
        <f ca="1">IF($E428="",FALSE,IF(LEN($E428)&gt;510,ErrorMsgs!$G428))</f>
        <v>0</v>
      </c>
      <c r="Q428" s="714"/>
      <c r="R428" s="714"/>
      <c r="S428" s="714"/>
      <c r="T428" s="714"/>
      <c r="U428" s="526" t="str">
        <f t="shared" ca="1" si="53"/>
        <v/>
      </c>
      <c r="V428" s="93" t="str" cm="1">
        <f t="array" aca="1" ref="V428" ca="1">CELL("format",INDIRECT(I428))</f>
        <v>G</v>
      </c>
      <c r="W428" s="93" t="b">
        <f t="shared" ca="1" si="54"/>
        <v>0</v>
      </c>
      <c r="X428" s="715" t="str">
        <f t="shared" ca="1" si="51"/>
        <v/>
      </c>
      <c r="Y428" t="b">
        <f t="shared" ca="1" si="55"/>
        <v>1</v>
      </c>
    </row>
    <row r="429" spans="1:25" ht="77.5">
      <c r="A429" s="705" t="s">
        <v>3435</v>
      </c>
      <c r="B429" s="716" t="str">
        <f t="shared" ca="1" si="56"/>
        <v>Covenant summary information - C23</v>
      </c>
      <c r="C429" s="707" t="str" cm="1">
        <f t="array" aca="1" ref="C429" ca="1">INDIRECT(LEFT(I429, FIND("!", I429)) &amp; RefData!$C$426 &amp; RIGHT(I429, LEN(I429) - FIND("!", I429) - 1))</f>
        <v xml:space="preserve">
No answer required
Address line 3 (optional)
</v>
      </c>
      <c r="D429" s="92" t="str">
        <f t="shared" ca="1" si="58"/>
        <v/>
      </c>
      <c r="E429" s="708" t="str" cm="1">
        <f t="array" aca="1" ref="E429" ca="1">IF(INDIRECT($I429)= "", "", INDIRECT($I429))</f>
        <v/>
      </c>
      <c r="F429" s="709" t="str" cm="1">
        <f t="array" aca="1" ref="F429" ca="1">INDIRECT(LEFT(I429, FIND("!", I429)) &amp; RefData!$C$427 &amp; RIGHT(I429, LEN(I429) - FIND("!", I429) - 1))</f>
        <v>CSI 14.0/1</v>
      </c>
      <c r="G429" s="710" t="b">
        <f ca="1">IF(ISNUMBER(SEARCH(RefData!$B$2, $C429)), FALSE, TRUE)</f>
        <v>0</v>
      </c>
      <c r="H429" s="113">
        <f>'Covenant summary information'!C23</f>
        <v>0</v>
      </c>
      <c r="I429" s="712" t="str">
        <f t="shared" ca="1" si="57"/>
        <v>'Covenant summary information'!C23</v>
      </c>
      <c r="J429" s="713" t="b" cm="1">
        <f t="array" aca="1" ref="J429" ca="1">IF(
    ISNUMBER(SEARCH(RefData!$B$2, $C$421)),
    IF(
        $E429 &lt;&gt; "",
        $J$421,
        IF(
            $E429 = "",
            FALSE
        )
    ),
    IF(
        COUNTIF($K429:$T429, "&lt;&gt;FALSE") - COUNTBLANK($K429:$T429) &gt; 0,
        INDEX($K429:$T429, MATCH(TRUE, $K429:$T429 &lt;&gt; FALSE, 0))
    )
)</f>
        <v>0</v>
      </c>
      <c r="K429" s="712" t="b">
        <f ca="1">IF(AND('Start here'!$C$26=RefData!$B$9,'Reconciliation report'!$E429&lt;&gt;""),ErrorMsgs!$B429)</f>
        <v>0</v>
      </c>
      <c r="L429" s="712" t="b">
        <f ca="1">IF(AND('Start here'!$C$26=RefData!$B$10,'Covenant summary information'!$C$12=0,'Reconciliation report'!$E429&lt;&gt;""),ErrorMsgs!$C429)</f>
        <v>0</v>
      </c>
      <c r="M429" s="712" t="b">
        <f ca="1">IF(AND('Start here'!$C$26=RefData!$B$10,'Covenant summary information'!$C$12&lt;1,'Reconciliation report'!$E429&lt;&gt;""),ErrorMsgs!$D429)</f>
        <v>0</v>
      </c>
      <c r="N429" s="712" t="b">
        <f ca="1">IF(AND('Start here'!$C$26=RefData!$B$10,'Covenant summary information'!$C$12&gt;=1,TRIM($E424)&lt;&gt;"",'Reconciliation report'!$E429&lt;&gt;""),ErrorMsgs!$E429)</f>
        <v>0</v>
      </c>
      <c r="O429" s="714" t="b">
        <f ca="1">IF(AND('Start here'!$C$26=RefData!$B$10,'Covenant summary information'!$C$12&gt;=1,$E425&lt;&gt;"",'Reconciliation report'!$E429&lt;&gt;""),ErrorMsgs!$F429)</f>
        <v>0</v>
      </c>
      <c r="P429" s="714" t="b">
        <f ca="1">IF($E429="",FALSE,IF(LEN($E429)&gt;510,ErrorMsgs!$G429))</f>
        <v>0</v>
      </c>
      <c r="Q429" s="712"/>
      <c r="R429" s="712"/>
      <c r="S429" s="712"/>
      <c r="T429" s="712"/>
      <c r="U429" s="526" t="str">
        <f t="shared" ca="1" si="53"/>
        <v/>
      </c>
      <c r="V429" s="93" t="str" cm="1">
        <f t="array" aca="1" ref="V429" ca="1">CELL("format",INDIRECT(I429))</f>
        <v>G</v>
      </c>
      <c r="W429" s="93" t="b">
        <f t="shared" ca="1" si="54"/>
        <v>0</v>
      </c>
      <c r="X429" s="715" t="str">
        <f t="shared" ca="1" si="51"/>
        <v/>
      </c>
      <c r="Y429" t="b">
        <f t="shared" ca="1" si="55"/>
        <v>1</v>
      </c>
    </row>
    <row r="430" spans="1:25" ht="77.5">
      <c r="A430" s="705" t="s">
        <v>3436</v>
      </c>
      <c r="B430" s="716" t="str">
        <f t="shared" ca="1" si="56"/>
        <v>Covenant summary information - C24</v>
      </c>
      <c r="C430" s="707" t="str" cm="1">
        <f t="array" aca="1" ref="C430" ca="1">INDIRECT(LEFT(I430, FIND("!", I430)) &amp; RefData!$C$426 &amp; RIGHT(I430, LEN(I430) - FIND("!", I430) - 1))</f>
        <v xml:space="preserve">
No answer required
Post town or city
</v>
      </c>
      <c r="D430" s="92" t="str">
        <f t="shared" ca="1" si="58"/>
        <v/>
      </c>
      <c r="E430" s="708" t="str" cm="1">
        <f t="array" aca="1" ref="E430" ca="1">IF(INDIRECT($I430)= "", "", INDIRECT($I430))</f>
        <v/>
      </c>
      <c r="F430" s="709" t="str" cm="1">
        <f t="array" aca="1" ref="F430" ca="1">INDIRECT(LEFT(I430, FIND("!", I430)) &amp; RefData!$C$427 &amp; RIGHT(I430, LEN(I430) - FIND("!", I430) - 1))</f>
        <v>CSI 15.0/1</v>
      </c>
      <c r="G430" s="710" t="b">
        <f ca="1">IF(ISNUMBER(SEARCH(RefData!$B$2, $C430)), FALSE, TRUE)</f>
        <v>0</v>
      </c>
      <c r="H430" s="113">
        <f>'Covenant summary information'!C24</f>
        <v>0</v>
      </c>
      <c r="I430" s="712" t="str">
        <f t="shared" ca="1" si="57"/>
        <v>'Covenant summary information'!C24</v>
      </c>
      <c r="J430" s="713" t="b" cm="1">
        <f t="array" aca="1" ref="J430" ca="1">IF(
    ISNUMBER(SEARCH(RefData!$B$2, $C$421)),
    IF(
        $E430 &lt;&gt; "",
        $J$421,
        IF(
            $E430 = "",
            FALSE
        )
    ),
    IF(
        COUNTIF($K430:$T430, "&lt;&gt;FALSE") - COUNTBLANK($K430:$T430) &gt; 0,
        INDEX($K430:$T430, MATCH(TRUE, $K430:$T430 &lt;&gt; FALSE, 0))
    )
)</f>
        <v>0</v>
      </c>
      <c r="K430" s="712" t="b">
        <f ca="1">IF(AND('Start here'!$C$26=RefData!$B$9,'Reconciliation report'!$E430&lt;&gt;""),ErrorMsgs!$B430)</f>
        <v>0</v>
      </c>
      <c r="L430" s="712" t="b">
        <f ca="1">IF(AND('Start here'!$C$26=RefData!$B$10,'Covenant summary information'!$C$12=0,'Reconciliation report'!$E430&lt;&gt;""),ErrorMsgs!$C430)</f>
        <v>0</v>
      </c>
      <c r="M430" s="712" t="b">
        <f ca="1">IF(AND('Start here'!$C$26=RefData!$B$10,'Covenant summary information'!$C$12&lt;1,'Reconciliation report'!$E430&lt;&gt;""),ErrorMsgs!$D430)</f>
        <v>0</v>
      </c>
      <c r="N430" s="712" t="b">
        <f ca="1">IF(AND('Start here'!$C$26=RefData!$B$10,'Covenant summary information'!$C$12&gt;=1,TRIM($E$424)&lt;&gt;"",'Reconciliation report'!$E430&lt;&gt;""),ErrorMsgs!$E430)</f>
        <v>0</v>
      </c>
      <c r="O430" s="714" t="b">
        <f ca="1">IF(AND('Start here'!$C$26=RefData!$B$10,'Covenant summary information'!$C$12&gt;=1,$E$425&lt;&gt;"",'Reconciliation report'!$E430&lt;&gt;""),ErrorMsgs!$F430)</f>
        <v>0</v>
      </c>
      <c r="P430" s="712" t="b">
        <f ca="1">IF(AND('Start here'!$C$26=RefData!$B$10,'Covenant summary information'!$C$12&gt;=1,'Reconciliation report'!$E430="",TRIM($E424)="",$E425=""),ErrorMsgs!$G430)</f>
        <v>0</v>
      </c>
      <c r="Q430" s="714" t="b">
        <f ca="1">IF($E430="",FALSE,IF(LEN($E430)&gt;510,ErrorMsgs!H430))</f>
        <v>0</v>
      </c>
      <c r="R430" s="714"/>
      <c r="S430" s="714"/>
      <c r="T430" s="714"/>
      <c r="U430" s="526" t="str">
        <f t="shared" ca="1" si="53"/>
        <v/>
      </c>
      <c r="V430" s="93" t="str" cm="1">
        <f t="array" aca="1" ref="V430" ca="1">CELL("format",INDIRECT(I430))</f>
        <v>G</v>
      </c>
      <c r="W430" s="93" t="b">
        <f t="shared" ca="1" si="54"/>
        <v>0</v>
      </c>
      <c r="X430" s="715" t="str">
        <f t="shared" ca="1" si="51"/>
        <v/>
      </c>
      <c r="Y430" t="b">
        <f t="shared" ca="1" si="55"/>
        <v>1</v>
      </c>
    </row>
    <row r="431" spans="1:25" ht="78" thickBot="1">
      <c r="A431" s="705" t="s">
        <v>3437</v>
      </c>
      <c r="B431" s="716" t="str">
        <f t="shared" ca="1" si="56"/>
        <v>Covenant summary information - C25</v>
      </c>
      <c r="C431" s="707" t="str" cm="1">
        <f t="array" aca="1" ref="C431" ca="1">INDIRECT(LEFT(I431, FIND("!", I431)) &amp; RefData!$C$426 &amp; RIGHT(I431, LEN(I431) - FIND("!", I431) - 1))</f>
        <v xml:space="preserve">
No answer required
Country
</v>
      </c>
      <c r="D431" s="92" t="str">
        <f t="shared" ca="1" si="58"/>
        <v/>
      </c>
      <c r="E431" s="708" t="str" cm="1">
        <f t="array" aca="1" ref="E431" ca="1">IF(INDIRECT($I431)= "", "", INDIRECT($I431))</f>
        <v/>
      </c>
      <c r="F431" s="709" t="str" cm="1">
        <f t="array" aca="1" ref="F431" ca="1">INDIRECT(LEFT(I431, FIND("!", I431)) &amp; RefData!$C$427 &amp; RIGHT(I431, LEN(I431) - FIND("!", I431) - 1))</f>
        <v>CSI 16.0/1</v>
      </c>
      <c r="G431" s="710" t="b">
        <f ca="1">IF(ISNUMBER(SEARCH(RefData!$B$2, $C431)), FALSE, TRUE)</f>
        <v>0</v>
      </c>
      <c r="H431" s="113">
        <f>'Covenant summary information'!C25</f>
        <v>0</v>
      </c>
      <c r="I431" s="712" t="str">
        <f t="shared" ca="1" si="57"/>
        <v>'Covenant summary information'!C25</v>
      </c>
      <c r="J431" s="713" t="b" cm="1">
        <f t="array" aca="1" ref="J431" ca="1">IF(
    ISNUMBER(SEARCH(RefData!$B$2, $C$421)),
    IF(
        $E431 &lt;&gt; "",
        $J$421,
        IF(
            $E431 = "",
            FALSE
        )
    ),
    IF(
        COUNTIF($K431:$T431, "&lt;&gt;FALSE") - COUNTBLANK($K431:$T431) &gt; 0,
        INDEX($K431:$T431, MATCH(TRUE, $K431:$T431 &lt;&gt; FALSE, 0))
    )
)</f>
        <v>0</v>
      </c>
      <c r="K431" s="712" t="b">
        <f ca="1">IF(AND('Start here'!$C$26=RefData!$B$9,'Reconciliation report'!$E431&lt;&gt;""),ErrorMsgs!$B431)</f>
        <v>0</v>
      </c>
      <c r="L431" s="712" t="b">
        <f ca="1">IF(AND('Start here'!$C$26=RefData!$B$10,'Covenant summary information'!$C$12=0,'Reconciliation report'!$E431&lt;&gt;""),ErrorMsgs!$C431)</f>
        <v>0</v>
      </c>
      <c r="M431" s="712" t="b">
        <f ca="1">IF(AND('Start here'!$C$26=RefData!$B$10,'Covenant summary information'!$C$12&lt;1,'Reconciliation report'!$E431&lt;&gt;""),ErrorMsgs!$D431)</f>
        <v>0</v>
      </c>
      <c r="N431" s="712" t="b">
        <f ca="1">IF(AND('Start here'!$C$26=RefData!$B$10,'Covenant summary information'!$C$12&gt;=1,TRIM($E$424)&lt;&gt;"",'Reconciliation report'!$E431&lt;&gt;""),ErrorMsgs!$E431)</f>
        <v>0</v>
      </c>
      <c r="O431" s="714" t="b">
        <f ca="1">IF(AND('Start here'!$C$26=RefData!$B$10,'Covenant summary information'!$C$12&gt;=1,$E$425&lt;&gt;"",'Reconciliation report'!$E431&lt;&gt;""),ErrorMsgs!$F431)</f>
        <v>0</v>
      </c>
      <c r="P431" s="712" t="b">
        <f ca="1">IF(AND('Start here'!$C$26=RefData!$B$10,'Covenant summary information'!$C$12&gt;=1,'Reconciliation report'!$E431="",TRIM($E424)="",$E425=""),ErrorMsgs!$G431)</f>
        <v>0</v>
      </c>
      <c r="Q431" s="712" t="b">
        <f ca="1">IF($E431="",FALSE,IF(ISNA(MATCH($E431,RefData!$B$206:$B$400,0)),ErrorMsgs!$H431))</f>
        <v>0</v>
      </c>
      <c r="R431" s="712"/>
      <c r="S431" s="712"/>
      <c r="T431" s="712"/>
      <c r="U431" s="526" t="str">
        <f t="shared" ca="1" si="53"/>
        <v/>
      </c>
      <c r="V431" s="93" t="str" cm="1">
        <f t="array" aca="1" ref="V431" ca="1">CELL("format",INDIRECT(I431))</f>
        <v>G</v>
      </c>
      <c r="W431" s="93" t="b">
        <f t="shared" ca="1" si="54"/>
        <v>0</v>
      </c>
      <c r="X431" s="715" t="str">
        <f t="shared" ca="1" si="51"/>
        <v/>
      </c>
      <c r="Y431" t="b">
        <f t="shared" ca="1" si="55"/>
        <v>1</v>
      </c>
    </row>
    <row r="432" spans="1:25" ht="78" thickBot="1">
      <c r="A432" s="705" t="s">
        <v>3438</v>
      </c>
      <c r="B432" s="716" t="str">
        <f t="shared" ca="1" si="56"/>
        <v>Covenant summary information - C26</v>
      </c>
      <c r="C432" s="707" t="str" cm="1">
        <f t="array" aca="1" ref="C432" ca="1">INDIRECT(LEFT(I432, FIND("!", I432)) &amp; RefData!$C$426 &amp; RIGHT(I432, LEN(I432) - FIND("!", I432) - 1))</f>
        <v xml:space="preserve">
No answer required
Postcode
</v>
      </c>
      <c r="D432" s="92" t="str">
        <f t="shared" ca="1" si="58"/>
        <v/>
      </c>
      <c r="E432" s="708" t="str" cm="1">
        <f t="array" aca="1" ref="E432" ca="1">IF(INDIRECT($I432)= "", "", INDIRECT($I432))</f>
        <v/>
      </c>
      <c r="F432" s="709" t="str" cm="1">
        <f t="array" aca="1" ref="F432" ca="1">INDIRECT(LEFT(I432, FIND("!", I432)) &amp; RefData!$C$427 &amp; RIGHT(I432, LEN(I432) - FIND("!", I432) - 1))</f>
        <v>CSI 17.0/1</v>
      </c>
      <c r="G432" s="710" t="b">
        <f ca="1">IF(ISNUMBER(SEARCH(RefData!$B$2, $C432)), FALSE, TRUE)</f>
        <v>0</v>
      </c>
      <c r="H432" s="113">
        <f>'Covenant summary information'!C26</f>
        <v>0</v>
      </c>
      <c r="I432" s="712" t="str">
        <f t="shared" ca="1" si="57"/>
        <v>'Covenant summary information'!C26</v>
      </c>
      <c r="J432" s="713" t="b" cm="1">
        <f t="array" aca="1" ref="J432" ca="1">IF(
    ISNUMBER(SEARCH(RefData!$B$2, $C$421)),
    IF(
        $E432 &lt;&gt; "",
        $J$421,
        IF(
            $E432 = "",
            FALSE
        )
    ),
    IF(
        COUNTIF($K432:$T432, "&lt;&gt;FALSE") - COUNTBLANK($K432:$T432) &gt; 0,
        INDEX($K432:$T432, MATCH(TRUE, $K432:$T432 &lt;&gt; FALSE, 0))
    )
)</f>
        <v>0</v>
      </c>
      <c r="K432" s="712" t="b">
        <f ca="1">IF(AND('Start here'!$C$26=RefData!$B$9,'Reconciliation report'!$E432&lt;&gt;""),ErrorMsgs!$B432)</f>
        <v>0</v>
      </c>
      <c r="L432" s="712" t="b">
        <f ca="1">IF(AND('Start here'!$C$26=RefData!$B$10,'Covenant summary information'!$C$12=0,'Reconciliation report'!$E432&lt;&gt;""),ErrorMsgs!$C432)</f>
        <v>0</v>
      </c>
      <c r="M432" s="712" t="b">
        <f ca="1">IF(AND('Start here'!$C$26=RefData!$B$10,'Covenant summary information'!$C$12&lt;1,'Reconciliation report'!$E432&lt;&gt;""),ErrorMsgs!$D432)</f>
        <v>0</v>
      </c>
      <c r="N432" s="712" t="b">
        <f ca="1">IF(AND('Start here'!$C$26=RefData!$B$10,'Covenant summary information'!$C$12&gt;=1,TRIM($E424)&lt;&gt;"",'Reconciliation report'!$E432&lt;&gt;""),ErrorMsgs!$E432)</f>
        <v>0</v>
      </c>
      <c r="O432" s="714" t="b">
        <f ca="1">IF(AND('Start here'!$C$26=RefData!$B$10,'Covenant summary information'!$C$12&gt;=1,$E425&lt;&gt;"",'Reconciliation report'!$E432&lt;&gt;""),ErrorMsgs!$F432)</f>
        <v>0</v>
      </c>
      <c r="P432" s="712" t="b">
        <f ca="1">IF(AND('Start here'!$C$26=RefData!$B$10,'Covenant summary information'!$C$12&gt;=1,'Reconciliation report'!$E432="",TRIM($E424)="",$E425="",$E431=RefData!$B$206),ErrorMsgs!$G432)</f>
        <v>0</v>
      </c>
      <c r="Q432" s="712" t="b">
        <f ca="1">IF(AND($E431=RefData!$B$206,
 OR(LEN($E432)&lt;5,
LEN($E432)&gt;8,
(ISNUMBER(VALUE(LEFT($E432,1)))),
(NOT(ISNUMBER(VALUE(MID($E432,LEN($E432)-2,1))))),
(ISNUMBER(VALUE(MID($E432,LEN($E432)-1,1)))),
ISNUMBER(VALUE(RIGHT($E432,1))))),
ErrorMsgs!$H432, FALSE)</f>
        <v>0</v>
      </c>
      <c r="R432" s="733"/>
      <c r="S432" s="733"/>
      <c r="T432" s="733"/>
      <c r="U432" s="526" t="str">
        <f t="shared" ca="1" si="53"/>
        <v/>
      </c>
      <c r="V432" s="93" t="str" cm="1">
        <f t="array" aca="1" ref="V432" ca="1">CELL("format",INDIRECT(I432))</f>
        <v>G</v>
      </c>
      <c r="W432" s="93" t="b">
        <f t="shared" ca="1" si="54"/>
        <v>0</v>
      </c>
      <c r="X432" s="715" t="str">
        <f t="shared" ca="1" si="51"/>
        <v/>
      </c>
      <c r="Y432" t="b">
        <f t="shared" ca="1" si="55"/>
        <v>1</v>
      </c>
    </row>
    <row r="433" spans="1:25" ht="77.5">
      <c r="A433" s="705" t="s">
        <v>3439</v>
      </c>
      <c r="B433" s="716" t="str">
        <f t="shared" ca="1" si="56"/>
        <v>Covenant summary information - C30</v>
      </c>
      <c r="C433" s="707" t="str" cm="1">
        <f t="array" aca="1" ref="C433" ca="1">INDIRECT(LEFT(I433, FIND("!", I433)) &amp; RefData!$C$426 &amp; RIGHT(I433, LEN(I433) - FIND("!", I433) - 1))</f>
        <v xml:space="preserve">
No answer required
Legal name
</v>
      </c>
      <c r="D433" s="92" t="str">
        <f t="shared" ref="D433:D442" ca="1" si="59">""&amp;IF(J433=FALSE, "", J433)
&amp;""</f>
        <v/>
      </c>
      <c r="E433" s="708" t="str" cm="1">
        <f t="array" aca="1" ref="E433" ca="1">IF(INDIRECT($I433)= "", "", INDIRECT($I433))</f>
        <v/>
      </c>
      <c r="F433" s="709" t="str" cm="1">
        <f t="array" aca="1" ref="F433" ca="1">INDIRECT(LEFT(I433, FIND("!", I433)) &amp; RefData!$C$427 &amp; RIGHT(I433, LEN(I433) - FIND("!", I433) - 1))</f>
        <v>CSI 8.0/2</v>
      </c>
      <c r="G433" s="710" t="b">
        <f ca="1">IF(ISNUMBER(SEARCH(RefData!$B$2, $C433)), FALSE, TRUE)</f>
        <v>0</v>
      </c>
      <c r="H433" s="113">
        <f>'Covenant summary information'!C30</f>
        <v>0</v>
      </c>
      <c r="I433" s="712" t="str">
        <f t="shared" ca="1" si="57"/>
        <v>'Covenant summary information'!C30</v>
      </c>
      <c r="J433" s="713" t="b" cm="1">
        <f t="array" aca="1" ref="J433" ca="1">IF(
    ISNUMBER(SEARCH(RefData!$B$2, $C$421)),
    IF(
        $E433 &lt;&gt; "",
        $J$421,
        IF(
            $E433 = "",
            FALSE
        )
    ),
    IF(
        COUNTIF($K433:$T433, "&lt;&gt;FALSE") - COUNTBLANK($K433:$T433) &gt; 0,
        INDEX($K433:$T433, MATCH(TRUE, $K433:$T433 &lt;&gt; FALSE, 0))
    )
)</f>
        <v>0</v>
      </c>
      <c r="K433" s="712" t="b">
        <f ca="1">IF(AND('Start here'!$C$26=RefData!$B$9,'Reconciliation report'!$E433&lt;&gt;""),ErrorMsgs!$B433)</f>
        <v>0</v>
      </c>
      <c r="L433" s="712" t="b">
        <f ca="1">IF(AND('Start here'!$C$26=RefData!$B$10,'Covenant summary information'!$C$12=0,'Reconciliation report'!$E433&lt;&gt;""),ErrorMsgs!$C433)</f>
        <v>0</v>
      </c>
      <c r="M433" s="712" t="b">
        <f ca="1">IF(AND('Start here'!$C$26=RefData!$B$10,'Covenant summary information'!$C$12&lt;2,'Reconciliation report'!$E433&lt;&gt;""),ErrorMsgs!$D433)</f>
        <v>0</v>
      </c>
      <c r="N433" s="712" t="b">
        <f ca="1">IF(AND('Start here'!$C$26=RefData!$B$10,'Covenant summary information'!$C$12&gt;=2,'Reconciliation report'!$E433=""),ErrorMsgs!$E433)</f>
        <v>0</v>
      </c>
      <c r="O433" s="712" t="b">
        <f ca="1">IF(E433="",FALSE,IF(LEN(E433)&gt;510,ErrorMsgs!$F433))</f>
        <v>0</v>
      </c>
      <c r="P433" s="712"/>
      <c r="Q433" s="712"/>
      <c r="R433" s="712"/>
      <c r="S433" s="712"/>
      <c r="T433" s="712"/>
      <c r="U433" s="526" t="str">
        <f t="shared" ca="1" si="53"/>
        <v/>
      </c>
      <c r="V433" s="93" t="str" cm="1">
        <f t="array" aca="1" ref="V433" ca="1">CELL("format",INDIRECT(I433))</f>
        <v>G</v>
      </c>
      <c r="W433" s="93" t="b">
        <f t="shared" ca="1" si="54"/>
        <v>0</v>
      </c>
      <c r="X433" s="715" t="str">
        <f t="shared" ca="1" si="51"/>
        <v/>
      </c>
      <c r="Y433" t="b">
        <f t="shared" ca="1" si="55"/>
        <v>1</v>
      </c>
    </row>
    <row r="434" spans="1:25" ht="77.5">
      <c r="A434" s="705" t="s">
        <v>3440</v>
      </c>
      <c r="B434" s="716" t="str">
        <f t="shared" ca="1" si="56"/>
        <v>Covenant summary information - C31</v>
      </c>
      <c r="C434" s="707" t="str" cm="1">
        <f t="array" aca="1" ref="C434" ca="1">INDIRECT(LEFT(I434, FIND("!", I434)) &amp; RefData!$C$426 &amp; RIGHT(I434, LEN(I434) - FIND("!", I434) - 1))</f>
        <v xml:space="preserve">
No answer required
Companies House number (if applicable)
</v>
      </c>
      <c r="D434" s="92" t="str">
        <f t="shared" ca="1" si="59"/>
        <v/>
      </c>
      <c r="E434" s="708" t="str" cm="1">
        <f t="array" aca="1" ref="E434" ca="1">IF(INDIRECT($I434)= "", "", INDIRECT($I434))</f>
        <v/>
      </c>
      <c r="F434" s="709" t="str" cm="1">
        <f t="array" aca="1" ref="F434" ca="1">INDIRECT(LEFT(I434, FIND("!", I434)) &amp; RefData!$C$427 &amp; RIGHT(I434, LEN(I434) - FIND("!", I434) - 1))</f>
        <v>CSI 9.0/2</v>
      </c>
      <c r="G434" s="710" t="b">
        <f ca="1">IF(ISNUMBER(SEARCH(RefData!$B$2, $C434)), FALSE, TRUE)</f>
        <v>0</v>
      </c>
      <c r="H434" s="113">
        <f>'Covenant summary information'!C31</f>
        <v>0</v>
      </c>
      <c r="I434" s="712" t="str">
        <f t="shared" ca="1" si="57"/>
        <v>'Covenant summary information'!C31</v>
      </c>
      <c r="J434" s="713" t="b" cm="1">
        <f t="array" aca="1" ref="J434" ca="1">IF(
    ISNUMBER(SEARCH(RefData!$B$2, $C$421)),
    IF(
        $E434 &lt;&gt; "",
        $J$421,
        IF(
            $E434 = "",
            FALSE
        )
    ),
    IF(
        COUNTIF($K434:$T434, "&lt;&gt;FALSE") - COUNTBLANK($K434:$T434) &gt; 0,
        INDEX($K434:$T434, MATCH(TRUE, $K434:$T434 &lt;&gt; FALSE, 0))
    )
)</f>
        <v>0</v>
      </c>
      <c r="K434" s="712" t="b">
        <f ca="1">IF(AND('Start here'!$C$26=RefData!$B$9,'Reconciliation report'!$E434&lt;&gt;""),ErrorMsgs!$B434)</f>
        <v>0</v>
      </c>
      <c r="L434" s="712" t="b">
        <f ca="1">IF(AND('Start here'!$C$26=RefData!$B$10,'Covenant summary information'!$C$12=0,'Reconciliation report'!$E434&lt;&gt;""),ErrorMsgs!$C434)</f>
        <v>0</v>
      </c>
      <c r="M434" s="712" t="b">
        <f ca="1">IF(AND('Start here'!$C$26=RefData!$B$10,'Covenant summary information'!$C$12&lt;2,'Reconciliation report'!$E434&lt;&gt;""),ErrorMsgs!$D434)</f>
        <v>0</v>
      </c>
      <c r="N434" s="712" t="b">
        <f ca="1">IF(
  AND(
    'Covenant summary information'!$C$12 &gt;= 2,
    OR(
      AND(TRIM($E434) &lt;&gt; "", TRIM($D435) &lt;&gt; ""),
      AND(TRIM($E434) &lt;&gt; "", TRIM($D435) = "", TRIM($E435) = "")
    ),
    OR(
      ISNUMBER(FIND(" ", $E434)),
      NOT(
        OR(
          AND(LEN($E434)=8, ISNUMBER(VALUE($E434))),
          AND(LEN($E434)=8, ISNUMBER(VALUE(RIGHT($E434,6))), ISNUMBER(FIND(LEFT(UPPER($E434),1),"ABCDEFGHIJKLMNOPQRSTUVWXYZ")), ISNUMBER(FIND(MID(UPPER($E434),2,1),"ABCDEFGHIJKLMNOPQRSTUVWXYZ"))),
          AND(LEN($E434)=8, ISNUMBER(VALUE(RIGHT($E434,7))), ISNUMBER(FIND(LEFT(UPPER($E434),1),"ABCDEFGHIJKLMNOPQRSTUVWXYZ"))),
          AND(LEN($E434)=8, ISNUMBER(VALUE(MID($E434,3,5))), ISNUMBER(FIND(LEFT(UPPER($E434),1),"ABCDEFGHIJKLMNOPQRSTUVWXYZ")), ISNUMBER(FIND(MID(UPPER($E434),2,1),"ABCDEFGHIJKLMNOPQRSTUVWXYZ")), ISNUMBER(FIND(RIGHT(UPPER($E434),1),"ABCDEFGHIJKLMNOPQRSTUVWXYZ"))),
          AND(LEN($E434)=8, ISNUMBER(VALUE(MID($E434,3,4))), ISNUMBER(FIND(LEFT(UPPER($E434),1),"ABCDEFGHIJKLMNOPQRSTUVWXYZ")), ISNUMBER(FIND(MID(UPPER($E434),2,1),"ABCDEFGHIJKLMNOPQRSTUVWXYZ")), ISNUMBER(FIND(MID(UPPER($E434),7,1),"ABCDEFGHIJKLMNOPQRSTUVWXYZ")), ISNUMBER(FIND(RIGHT(UPPER($E434),1),"ABCDEFGHIJKLMNOPQRSTUVWXYZ")))
        )
      )
    )
  ),
  ErrorMsgs!E434
)</f>
        <v>0</v>
      </c>
      <c r="O434" s="714"/>
      <c r="P434" s="712"/>
      <c r="Q434" s="712"/>
      <c r="R434" s="712"/>
      <c r="S434" s="712"/>
      <c r="T434" s="712"/>
      <c r="U434" s="526" t="str">
        <f t="shared" ca="1" si="53"/>
        <v/>
      </c>
      <c r="V434" s="93" t="str" cm="1">
        <f t="array" aca="1" ref="V434" ca="1">CELL("format",INDIRECT(I434))</f>
        <v>G</v>
      </c>
      <c r="W434" s="93" t="b">
        <f t="shared" ca="1" si="54"/>
        <v>0</v>
      </c>
      <c r="X434" s="715" t="str">
        <f t="shared" ca="1" si="51"/>
        <v/>
      </c>
      <c r="Y434" t="b">
        <f t="shared" ca="1" si="55"/>
        <v>1</v>
      </c>
    </row>
    <row r="435" spans="1:25" ht="77.5">
      <c r="A435" s="705" t="s">
        <v>3441</v>
      </c>
      <c r="B435" s="716" t="str">
        <f t="shared" ca="1" si="56"/>
        <v>Covenant summary information - C32</v>
      </c>
      <c r="C435" s="707" t="str" cm="1">
        <f t="array" aca="1" ref="C435" ca="1">INDIRECT(LEFT(I435, FIND("!", I435)) &amp; RefData!$C$426 &amp; RIGHT(I435, LEN(I435) - FIND("!", I435) - 1))</f>
        <v xml:space="preserve">
No answer required
Charity number (if applicable)
</v>
      </c>
      <c r="D435" s="92" t="str">
        <f t="shared" ca="1" si="59"/>
        <v/>
      </c>
      <c r="E435" s="708" t="str" cm="1">
        <f t="array" aca="1" ref="E435" ca="1">IF(INDIRECT($I435)= "", "", INDIRECT($I435))</f>
        <v/>
      </c>
      <c r="F435" s="709" t="str" cm="1">
        <f t="array" aca="1" ref="F435" ca="1">INDIRECT(LEFT(I435, FIND("!", I435)) &amp; RefData!$C$427 &amp; RIGHT(I435, LEN(I435) - FIND("!", I435) - 1))</f>
        <v>CSI 10.0/2</v>
      </c>
      <c r="G435" s="710" t="b">
        <f ca="1">IF(ISNUMBER(SEARCH(RefData!$B$2, $C435)), FALSE, TRUE)</f>
        <v>0</v>
      </c>
      <c r="H435" s="113">
        <f>'Covenant summary information'!C32</f>
        <v>0</v>
      </c>
      <c r="I435" s="712" t="str">
        <f t="shared" ca="1" si="57"/>
        <v>'Covenant summary information'!C32</v>
      </c>
      <c r="J435" s="713" t="b" cm="1">
        <f t="array" aca="1" ref="J435" ca="1">IF(
    ISNUMBER(SEARCH(RefData!$B$2, $C$421)),
    IF(
        $E435 &lt;&gt; "",
        $J$421,
        IF(
            $E435 = "",
            FALSE
        )
    ),
    IF(
        COUNTIF($K435:$T435, "&lt;&gt;FALSE") - COUNTBLANK($K435:$T435) &gt; 0,
        INDEX($K435:$T435, MATCH(TRUE, $K435:$T435 &lt;&gt; FALSE, 0))
    )
)</f>
        <v>0</v>
      </c>
      <c r="K435" s="712" t="b">
        <f ca="1">IF(AND('Start here'!$C$26=RefData!$B$9,'Reconciliation report'!$E435&lt;&gt;""),ErrorMsgs!$B435)</f>
        <v>0</v>
      </c>
      <c r="L435" s="712" t="b">
        <f ca="1">IF(AND('Start here'!$C$26=RefData!$B$10,'Covenant summary information'!$C$12=0,'Reconciliation report'!$E435&lt;&gt;""),ErrorMsgs!$C435)</f>
        <v>0</v>
      </c>
      <c r="M435" s="712" t="b">
        <f ca="1">IF(AND('Start here'!$C$26=RefData!$B$10,'Covenant summary information'!$C$12&lt;2,'Reconciliation report'!$E435&lt;&gt;""),ErrorMsgs!$D435)</f>
        <v>0</v>
      </c>
      <c r="N435" s="712" t="b">
        <f ca="1">IF(AND('Start here'!$C$26=RefData!$B$10,'Covenant summary information'!$C$12&gt;=2,TRIM($E434)&lt;&gt;"",'Reconciliation report'!$E435&lt;&gt;""),ErrorMsgs!$E435)</f>
        <v>0</v>
      </c>
      <c r="O435" s="712" t="b">
        <f ca="1">IF($E435="",FALSE,IF(OR(LEN($E435)&lt;6,LEN($E435)&gt;8),ErrorMsgs!$F435))</f>
        <v>0</v>
      </c>
      <c r="P435" s="712"/>
      <c r="Q435" s="712"/>
      <c r="R435" s="712"/>
      <c r="S435" s="712"/>
      <c r="T435" s="712"/>
      <c r="U435" s="526" t="str">
        <f t="shared" ca="1" si="53"/>
        <v/>
      </c>
      <c r="V435" s="93" t="str" cm="1">
        <f t="array" aca="1" ref="V435" ca="1">CELL("format",INDIRECT(I435))</f>
        <v>G</v>
      </c>
      <c r="W435" s="93" t="b">
        <f t="shared" ca="1" si="54"/>
        <v>0</v>
      </c>
      <c r="X435" s="715" t="str">
        <f t="shared" ca="1" si="51"/>
        <v/>
      </c>
      <c r="Y435" t="b">
        <f t="shared" ca="1" si="55"/>
        <v>1</v>
      </c>
    </row>
    <row r="436" spans="1:25" ht="77.5">
      <c r="A436" s="705" t="s">
        <v>3442</v>
      </c>
      <c r="B436" s="716" t="str">
        <f t="shared" ca="1" si="56"/>
        <v>Covenant summary information - C33</v>
      </c>
      <c r="C436" s="707" t="str" cm="1">
        <f t="array" aca="1" ref="C436" ca="1">INDIRECT(LEFT(I436, FIND("!", I436)) &amp; RefData!$C$426 &amp; RIGHT(I436, LEN(I436) - FIND("!", I436) - 1))</f>
        <v xml:space="preserve">
No answer required
Trading name
</v>
      </c>
      <c r="D436" s="92" t="str">
        <f t="shared" ca="1" si="59"/>
        <v/>
      </c>
      <c r="E436" s="708" t="str" cm="1">
        <f t="array" aca="1" ref="E436" ca="1">IF(INDIRECT($I436)= "", "", INDIRECT($I436))</f>
        <v/>
      </c>
      <c r="F436" s="709" t="str" cm="1">
        <f t="array" aca="1" ref="F436" ca="1">INDIRECT(LEFT(I436, FIND("!", I436)) &amp; RefData!$C$427 &amp; RIGHT(I436, LEN(I436) - FIND("!", I436) - 1))</f>
        <v>CSI 11.0/2</v>
      </c>
      <c r="G436" s="710" t="b">
        <f ca="1">IF(ISNUMBER(SEARCH(RefData!$B$2, $C436)), FALSE, TRUE)</f>
        <v>0</v>
      </c>
      <c r="H436" s="113">
        <f>'Covenant summary information'!C33</f>
        <v>0</v>
      </c>
      <c r="I436" s="712" t="str">
        <f t="shared" ca="1" si="57"/>
        <v>'Covenant summary information'!C33</v>
      </c>
      <c r="J436" s="713" t="b" cm="1">
        <f t="array" aca="1" ref="J436" ca="1">IF(
    ISNUMBER(SEARCH(RefData!$B$2, $C$421)),
    IF(
        $E436 &lt;&gt; "",
        $J$421,
        IF(
            $E436 = "",
            FALSE
        )
    ),
    IF(
        COUNTIF($K436:$T436, "&lt;&gt;FALSE") - COUNTBLANK($K436:$T436) &gt; 0,
        INDEX($K436:$T436, MATCH(TRUE, $K436:$T436 &lt;&gt; FALSE, 0))
    )
)</f>
        <v>0</v>
      </c>
      <c r="K436" s="712" t="b">
        <f ca="1">IF(AND('Start here'!$C$26=RefData!$B$9,'Reconciliation report'!$E436&lt;&gt;""),ErrorMsgs!$B436)</f>
        <v>0</v>
      </c>
      <c r="L436" s="712" t="b">
        <f ca="1">IF(AND('Start here'!$C$26=RefData!$B$10,'Covenant summary information'!$C$12=0,'Reconciliation report'!$E436&lt;&gt;""),ErrorMsgs!$C436)</f>
        <v>0</v>
      </c>
      <c r="M436" s="712" t="b">
        <f ca="1">IF(AND('Start here'!$C$26=RefData!$B$10,'Covenant summary information'!$C$12&lt;2,'Reconciliation report'!$E436&lt;&gt;""),ErrorMsgs!$D436)</f>
        <v>0</v>
      </c>
      <c r="N436" s="712" t="b">
        <f ca="1">IF(AND('Start here'!$C$26=RefData!$B$10,'Covenant summary information'!$C$12&gt;=2,TRIM($E434)&lt;&gt;"",'Reconciliation report'!$E436&lt;&gt;""),ErrorMsgs!$E436)</f>
        <v>0</v>
      </c>
      <c r="O436" s="714" t="b">
        <f ca="1">IF(AND('Start here'!$C$26=RefData!$B$10,'Covenant summary information'!$C$12&gt;=2,$E435&lt;&gt;"",'Reconciliation report'!$E436&lt;&gt;""),ErrorMsgs!$F436)</f>
        <v>0</v>
      </c>
      <c r="P436" s="712" t="b">
        <f ca="1">IF(AND('Start here'!$C$26=RefData!$B$10,'Covenant summary information'!$C$12&gt;=2,'Reconciliation report'!$E436="",TRIM($E434)="",$E435=""),ErrorMsgs!$G436)</f>
        <v>0</v>
      </c>
      <c r="Q436" s="728" t="b">
        <f ca="1">IF($E436="",FALSE,IF(LEN($E436)&gt;510,ErrorMsgs!$H436))</f>
        <v>0</v>
      </c>
      <c r="R436" s="714"/>
      <c r="S436" s="714"/>
      <c r="T436" s="714"/>
      <c r="U436" s="526" t="str">
        <f t="shared" ca="1" si="53"/>
        <v/>
      </c>
      <c r="V436" s="93" t="str" cm="1">
        <f t="array" aca="1" ref="V436" ca="1">CELL("format",INDIRECT(I436))</f>
        <v>G</v>
      </c>
      <c r="W436" s="93" t="b">
        <f t="shared" ca="1" si="54"/>
        <v>0</v>
      </c>
      <c r="X436" s="715" t="str">
        <f t="shared" ca="1" si="51"/>
        <v/>
      </c>
      <c r="Y436" t="b">
        <f t="shared" ca="1" si="55"/>
        <v>1</v>
      </c>
    </row>
    <row r="437" spans="1:25" ht="77.5">
      <c r="A437" s="705" t="s">
        <v>3443</v>
      </c>
      <c r="B437" s="716" t="str">
        <f t="shared" ca="1" si="56"/>
        <v>Covenant summary information - C34</v>
      </c>
      <c r="C437" s="707" t="str" cm="1">
        <f t="array" aca="1" ref="C437" ca="1">INDIRECT(LEFT(I437, FIND("!", I437)) &amp; RefData!$C$426 &amp; RIGHT(I437, LEN(I437) - FIND("!", I437) - 1))</f>
        <v xml:space="preserve">
No answer required
Address line 1
</v>
      </c>
      <c r="D437" s="92" t="str">
        <f t="shared" ca="1" si="59"/>
        <v/>
      </c>
      <c r="E437" s="708" t="str" cm="1">
        <f t="array" aca="1" ref="E437" ca="1">IF(INDIRECT($I437)= "", "", INDIRECT($I437))</f>
        <v/>
      </c>
      <c r="F437" s="709" t="str" cm="1">
        <f t="array" aca="1" ref="F437" ca="1">INDIRECT(LEFT(I437, FIND("!", I437)) &amp; RefData!$C$427 &amp; RIGHT(I437, LEN(I437) - FIND("!", I437) - 1))</f>
        <v>CSI 12.0/2</v>
      </c>
      <c r="G437" s="710" t="b">
        <f ca="1">IF(ISNUMBER(SEARCH(RefData!$B$2, $C437)), FALSE, TRUE)</f>
        <v>0</v>
      </c>
      <c r="H437" s="113">
        <f>'Covenant summary information'!C34</f>
        <v>0</v>
      </c>
      <c r="I437" s="712" t="str">
        <f t="shared" ca="1" si="57"/>
        <v>'Covenant summary information'!C34</v>
      </c>
      <c r="J437" s="713" t="b" cm="1">
        <f t="array" aca="1" ref="J437" ca="1">IF(
    ISNUMBER(SEARCH(RefData!$B$2, $C$421)),
    IF(
        $E437 &lt;&gt; "",
        $J$421,
        IF(
            $E437 = "",
            FALSE
        )
    ),
    IF(
        COUNTIF($K437:$T437, "&lt;&gt;FALSE") - COUNTBLANK($K437:$T437) &gt; 0,
        INDEX($K437:$T437, MATCH(TRUE, $K437:$T437 &lt;&gt; FALSE, 0))
    )
)</f>
        <v>0</v>
      </c>
      <c r="K437" s="712" t="b">
        <f ca="1">IF(AND('Start here'!$C$26=RefData!$B$9,'Reconciliation report'!$E437&lt;&gt;""),ErrorMsgs!$B437)</f>
        <v>0</v>
      </c>
      <c r="L437" s="712" t="b">
        <f ca="1">IF(AND('Start here'!$C$26=RefData!$B$10,'Covenant summary information'!$C$12=0,'Reconciliation report'!$E437&lt;&gt;""),ErrorMsgs!$C437)</f>
        <v>0</v>
      </c>
      <c r="M437" s="712" t="b">
        <f ca="1">IF(AND('Start here'!$C$26=RefData!$B$10,'Covenant summary information'!$C$12&lt;2,'Reconciliation report'!$E437&lt;&gt;""),ErrorMsgs!$D437)</f>
        <v>0</v>
      </c>
      <c r="N437" s="712" t="b">
        <f ca="1">IF(AND('Start here'!$C$26=RefData!$B$10,'Covenant summary information'!$C$12&gt;=2,TRIM($E434)&lt;&gt;"",'Reconciliation report'!$E437&lt;&gt;""),ErrorMsgs!$E437)</f>
        <v>0</v>
      </c>
      <c r="O437" s="714" t="b">
        <f ca="1">IF(AND('Start here'!$C$26=RefData!$B$10,'Covenant summary information'!$C$12&gt;=2,$E435&lt;&gt;"",'Reconciliation report'!$E437&lt;&gt;""),ErrorMsgs!$F437)</f>
        <v>0</v>
      </c>
      <c r="P437" s="712" t="b">
        <f ca="1">IF(AND('Start here'!$C$26=RefData!$B$10,'Covenant summary information'!$C$12&gt;=2,'Reconciliation report'!$E437="",TRIM($E434)="",$E435=""),ErrorMsgs!$G437)</f>
        <v>0</v>
      </c>
      <c r="Q437" s="712" t="b">
        <f ca="1">IF($E437="",FALSE,IF(LEN($E437)&gt;510,ErrorMsgs!$H437))</f>
        <v>0</v>
      </c>
      <c r="R437" s="714"/>
      <c r="S437" s="714"/>
      <c r="T437" s="714"/>
      <c r="U437" s="526" t="str">
        <f t="shared" ca="1" si="53"/>
        <v/>
      </c>
      <c r="V437" s="93" t="str" cm="1">
        <f t="array" aca="1" ref="V437" ca="1">CELL("format",INDIRECT(I437))</f>
        <v>G</v>
      </c>
      <c r="W437" s="93" t="b">
        <f t="shared" ca="1" si="54"/>
        <v>0</v>
      </c>
      <c r="X437" s="715" t="str">
        <f t="shared" ca="1" si="51"/>
        <v/>
      </c>
      <c r="Y437" t="b">
        <f t="shared" ca="1" si="55"/>
        <v>1</v>
      </c>
    </row>
    <row r="438" spans="1:25" ht="77.5">
      <c r="A438" s="705" t="s">
        <v>3444</v>
      </c>
      <c r="B438" s="716" t="str">
        <f t="shared" ca="1" si="56"/>
        <v>Covenant summary information - C35</v>
      </c>
      <c r="C438" s="707" t="str" cm="1">
        <f t="array" aca="1" ref="C438" ca="1">INDIRECT(LEFT(I438, FIND("!", I438)) &amp; RefData!$C$426 &amp; RIGHT(I438, LEN(I438) - FIND("!", I438) - 1))</f>
        <v xml:space="preserve">
No answer required
Address line 2 (optional)
</v>
      </c>
      <c r="D438" s="92" t="str">
        <f t="shared" ca="1" si="59"/>
        <v/>
      </c>
      <c r="E438" s="708" t="str" cm="1">
        <f t="array" aca="1" ref="E438" ca="1">IF(INDIRECT($I438)= "", "", INDIRECT($I438))</f>
        <v/>
      </c>
      <c r="F438" s="709" t="str" cm="1">
        <f t="array" aca="1" ref="F438" ca="1">INDIRECT(LEFT(I438, FIND("!", I438)) &amp; RefData!$C$427 &amp; RIGHT(I438, LEN(I438) - FIND("!", I438) - 1))</f>
        <v>CSI 13.0/2</v>
      </c>
      <c r="G438" s="710" t="b">
        <f ca="1">IF(ISNUMBER(SEARCH(RefData!$B$2, $C438)), FALSE, TRUE)</f>
        <v>0</v>
      </c>
      <c r="H438" s="113">
        <f>'Covenant summary information'!C35</f>
        <v>0</v>
      </c>
      <c r="I438" s="712" t="str">
        <f t="shared" ca="1" si="57"/>
        <v>'Covenant summary information'!C35</v>
      </c>
      <c r="J438" s="713" t="b" cm="1">
        <f t="array" aca="1" ref="J438" ca="1">IF(
    ISNUMBER(SEARCH(RefData!$B$2, $C$421)),
    IF(
        $E438 &lt;&gt; "",
        $J$421,
        IF(
            $E438 = "",
            FALSE
        )
    ),
    IF(
        COUNTIF($K438:$T438, "&lt;&gt;FALSE") - COUNTBLANK($K438:$T438) &gt; 0,
        INDEX($K438:$T438, MATCH(TRUE, $K438:$T438 &lt;&gt; FALSE, 0))
    )
)</f>
        <v>0</v>
      </c>
      <c r="K438" s="712" t="b">
        <f ca="1">IF(AND('Start here'!$C$26=RefData!$B$9,'Reconciliation report'!$E438&lt;&gt;""),ErrorMsgs!$B438)</f>
        <v>0</v>
      </c>
      <c r="L438" s="712" t="b">
        <f ca="1">IF(AND('Start here'!$C$26=RefData!$B$10,'Covenant summary information'!$C$12=0,'Reconciliation report'!$E438&lt;&gt;""),ErrorMsgs!$C438)</f>
        <v>0</v>
      </c>
      <c r="M438" s="712" t="b">
        <f ca="1">IF(AND('Start here'!$C$26=RefData!$B$10,'Covenant summary information'!$C$12&lt;2,'Reconciliation report'!$E438&lt;&gt;""),ErrorMsgs!$D438)</f>
        <v>0</v>
      </c>
      <c r="N438" s="712" t="b">
        <f ca="1">IF(AND('Start here'!$C$26=RefData!$B$10,'Covenant summary information'!$C$12&gt;=2,TRIM($E434)&lt;&gt;"",'Reconciliation report'!$E438&lt;&gt;""),ErrorMsgs!$E438)</f>
        <v>0</v>
      </c>
      <c r="O438" s="714" t="b">
        <f ca="1">IF(AND('Start here'!$C$26=RefData!$B$10,'Covenant summary information'!$C$12&gt;=2,$E435&lt;&gt;"",'Reconciliation report'!$E438&lt;&gt;""),ErrorMsgs!$F438)</f>
        <v>0</v>
      </c>
      <c r="P438" s="714" t="b">
        <f ca="1">IF($E438="",FALSE,IF(LEN($E438)&gt;510,ErrorMsgs!$G438))</f>
        <v>0</v>
      </c>
      <c r="Q438" s="712"/>
      <c r="R438" s="714"/>
      <c r="S438" s="714"/>
      <c r="T438" s="714"/>
      <c r="U438" s="526" t="str">
        <f t="shared" ca="1" si="53"/>
        <v/>
      </c>
      <c r="V438" s="93" t="str" cm="1">
        <f t="array" aca="1" ref="V438" ca="1">CELL("format",INDIRECT(I438))</f>
        <v>G</v>
      </c>
      <c r="W438" s="93" t="b">
        <f t="shared" ca="1" si="54"/>
        <v>0</v>
      </c>
      <c r="X438" s="715" t="str">
        <f t="shared" ca="1" si="51"/>
        <v/>
      </c>
      <c r="Y438" t="b">
        <f t="shared" ca="1" si="55"/>
        <v>1</v>
      </c>
    </row>
    <row r="439" spans="1:25" ht="77.5">
      <c r="A439" s="705" t="s">
        <v>3445</v>
      </c>
      <c r="B439" s="716" t="str">
        <f t="shared" ca="1" si="56"/>
        <v>Covenant summary information - C36</v>
      </c>
      <c r="C439" s="707" t="str" cm="1">
        <f t="array" aca="1" ref="C439" ca="1">INDIRECT(LEFT(I439, FIND("!", I439)) &amp; RefData!$C$426 &amp; RIGHT(I439, LEN(I439) - FIND("!", I439) - 1))</f>
        <v xml:space="preserve">
No answer required
Address line 3 (optional)
</v>
      </c>
      <c r="D439" s="92" t="str">
        <f t="shared" ca="1" si="59"/>
        <v/>
      </c>
      <c r="E439" s="708" t="str" cm="1">
        <f t="array" aca="1" ref="E439" ca="1">IF(INDIRECT($I439)= "", "", INDIRECT($I439))</f>
        <v/>
      </c>
      <c r="F439" s="709" t="str" cm="1">
        <f t="array" aca="1" ref="F439" ca="1">INDIRECT(LEFT(I439, FIND("!", I439)) &amp; RefData!$C$427 &amp; RIGHT(I439, LEN(I439) - FIND("!", I439) - 1))</f>
        <v>CSI 14.0/2</v>
      </c>
      <c r="G439" s="710" t="b">
        <f ca="1">IF(ISNUMBER(SEARCH(RefData!$B$2, $C439)), FALSE, TRUE)</f>
        <v>0</v>
      </c>
      <c r="H439" s="113">
        <f>'Covenant summary information'!C36</f>
        <v>0</v>
      </c>
      <c r="I439" s="712" t="str">
        <f t="shared" ca="1" si="57"/>
        <v>'Covenant summary information'!C36</v>
      </c>
      <c r="J439" s="713" t="b" cm="1">
        <f t="array" aca="1" ref="J439" ca="1">IF(
    ISNUMBER(SEARCH(RefData!$B$2, $C$421)),
    IF(
        $E439 &lt;&gt; "",
        $J$421,
        IF(
            $E439 = "",
            FALSE
        )
    ),
    IF(
        COUNTIF($K439:$T439, "&lt;&gt;FALSE") - COUNTBLANK($K439:$T439) &gt; 0,
        INDEX($K439:$T439, MATCH(TRUE, $K439:$T439 &lt;&gt; FALSE, 0))
    )
)</f>
        <v>0</v>
      </c>
      <c r="K439" s="712" t="b">
        <f ca="1">IF(AND('Start here'!$C$26=RefData!$B$9,'Reconciliation report'!$E439&lt;&gt;""),ErrorMsgs!$B439)</f>
        <v>0</v>
      </c>
      <c r="L439" s="712" t="b">
        <f ca="1">IF(AND('Start here'!$C$26=RefData!$B$10,'Covenant summary information'!$C$12=0,'Reconciliation report'!$E439&lt;&gt;""),ErrorMsgs!$C439)</f>
        <v>0</v>
      </c>
      <c r="M439" s="712" t="b">
        <f ca="1">IF(AND('Start here'!$C$26=RefData!$B$10,'Covenant summary information'!$C$12&lt;2,'Reconciliation report'!$E439&lt;&gt;""),ErrorMsgs!$D439)</f>
        <v>0</v>
      </c>
      <c r="N439" s="712" t="b">
        <f ca="1">IF(AND('Start here'!$C$26=RefData!$B$10,'Covenant summary information'!$C$12&gt;=2,TRIM($E434)&lt;&gt;"",'Reconciliation report'!$E439&lt;&gt;""),ErrorMsgs!$E439)</f>
        <v>0</v>
      </c>
      <c r="O439" s="714" t="b">
        <f ca="1">IF(AND('Start here'!$C$26=RefData!$B$10,'Covenant summary information'!$C$12&gt;=2,$E435&lt;&gt;"",'Reconciliation report'!$E439&lt;&gt;""),ErrorMsgs!$F439)</f>
        <v>0</v>
      </c>
      <c r="P439" s="714" t="b">
        <f ca="1">IF($E439="",FALSE,IF(LEN($E439)&gt;510,ErrorMsgs!$G439))</f>
        <v>0</v>
      </c>
      <c r="Q439" s="712"/>
      <c r="R439" s="712"/>
      <c r="S439" s="712"/>
      <c r="T439" s="712"/>
      <c r="U439" s="526" t="str">
        <f t="shared" ca="1" si="53"/>
        <v/>
      </c>
      <c r="V439" s="93" t="str" cm="1">
        <f t="array" aca="1" ref="V439" ca="1">CELL("format",INDIRECT(I439))</f>
        <v>G</v>
      </c>
      <c r="W439" s="93" t="b">
        <f t="shared" ca="1" si="54"/>
        <v>0</v>
      </c>
      <c r="X439" s="715" t="str">
        <f t="shared" ca="1" si="51"/>
        <v/>
      </c>
      <c r="Y439" t="b">
        <f t="shared" ca="1" si="55"/>
        <v>1</v>
      </c>
    </row>
    <row r="440" spans="1:25" ht="77.5">
      <c r="A440" s="705" t="s">
        <v>3446</v>
      </c>
      <c r="B440" s="716" t="str">
        <f t="shared" ca="1" si="56"/>
        <v>Covenant summary information - C37</v>
      </c>
      <c r="C440" s="707" t="str" cm="1">
        <f t="array" aca="1" ref="C440" ca="1">INDIRECT(LEFT(I440, FIND("!", I440)) &amp; RefData!$C$426 &amp; RIGHT(I440, LEN(I440) - FIND("!", I440) - 1))</f>
        <v xml:space="preserve">
No answer required
Post town or city
</v>
      </c>
      <c r="D440" s="92" t="str">
        <f t="shared" ca="1" si="59"/>
        <v/>
      </c>
      <c r="E440" s="708" t="str" cm="1">
        <f t="array" aca="1" ref="E440" ca="1">IF(INDIRECT($I440)= "", "", INDIRECT($I440))</f>
        <v/>
      </c>
      <c r="F440" s="709" t="str" cm="1">
        <f t="array" aca="1" ref="F440" ca="1">INDIRECT(LEFT(I440, FIND("!", I440)) &amp; RefData!$C$427 &amp; RIGHT(I440, LEN(I440) - FIND("!", I440) - 1))</f>
        <v>CSI 15.0/2</v>
      </c>
      <c r="G440" s="710" t="b">
        <f ca="1">IF(ISNUMBER(SEARCH(RefData!$B$2, $C440)), FALSE, TRUE)</f>
        <v>0</v>
      </c>
      <c r="H440" s="113">
        <f>'Covenant summary information'!C37</f>
        <v>0</v>
      </c>
      <c r="I440" s="712" t="str">
        <f t="shared" ca="1" si="57"/>
        <v>'Covenant summary information'!C37</v>
      </c>
      <c r="J440" s="713" t="b" cm="1">
        <f t="array" aca="1" ref="J440" ca="1">IF(
    ISNUMBER(SEARCH(RefData!$B$2, $C$421)),
    IF(
        $E440 &lt;&gt; "",
        $J$421,
        IF(
            $E440 = "",
            FALSE
        )
    ),
    IF(
        COUNTIF($K440:$T440, "&lt;&gt;FALSE") - COUNTBLANK($K440:$T440) &gt; 0,
        INDEX($K440:$T440, MATCH(TRUE, $K440:$T440 &lt;&gt; FALSE, 0))
    )
)</f>
        <v>0</v>
      </c>
      <c r="K440" s="712" t="b">
        <f ca="1">IF(AND('Start here'!$C$26=RefData!$B$9,'Reconciliation report'!$E440&lt;&gt;""),ErrorMsgs!$B440)</f>
        <v>0</v>
      </c>
      <c r="L440" s="712" t="b">
        <f ca="1">IF(AND('Start here'!$C$26=RefData!$B$10,'Covenant summary information'!$C$12=0,'Reconciliation report'!$E440&lt;&gt;""),ErrorMsgs!$C440)</f>
        <v>0</v>
      </c>
      <c r="M440" s="712" t="b">
        <f ca="1">IF(AND('Start here'!$C$26=RefData!$B$10,'Covenant summary information'!$C$12&lt;2,'Reconciliation report'!$E440&lt;&gt;""),ErrorMsgs!$D440)</f>
        <v>0</v>
      </c>
      <c r="N440" s="712" t="b">
        <f ca="1">IF(AND('Start here'!$C$26=RefData!$B$10,'Covenant summary information'!$C$12&gt;=2,TRIM($E434)&lt;&gt;"",'Reconciliation report'!$E440&lt;&gt;""),ErrorMsgs!$E440)</f>
        <v>0</v>
      </c>
      <c r="O440" s="714" t="b">
        <f ca="1">IF(AND('Start here'!$C$26=RefData!$B$10,'Covenant summary information'!$C$12&gt;=2,$E435&lt;&gt;"",'Reconciliation report'!$E440&lt;&gt;""),ErrorMsgs!$F440)</f>
        <v>0</v>
      </c>
      <c r="P440" s="712" t="b">
        <f ca="1">IF(AND('Start here'!$C$26=RefData!$B$10,'Covenant summary information'!$C$12&gt;=2,'Reconciliation report'!$E440="",TRIM($E434)="",$E435=""),ErrorMsgs!$G440)</f>
        <v>0</v>
      </c>
      <c r="Q440" s="712" t="b">
        <f ca="1">IF($E440="",FALSE,IF(LEN($E440)&gt;510,ErrorMsgs!H440))</f>
        <v>0</v>
      </c>
      <c r="R440" s="714"/>
      <c r="S440" s="714"/>
      <c r="T440" s="714"/>
      <c r="U440" s="526" t="str">
        <f t="shared" ca="1" si="53"/>
        <v/>
      </c>
      <c r="V440" s="93" t="str" cm="1">
        <f t="array" aca="1" ref="V440" ca="1">CELL("format",INDIRECT(I440))</f>
        <v>G</v>
      </c>
      <c r="W440" s="93" t="b">
        <f t="shared" ca="1" si="54"/>
        <v>0</v>
      </c>
      <c r="X440" s="715" t="str">
        <f t="shared" ca="1" si="51"/>
        <v/>
      </c>
      <c r="Y440" t="b">
        <f t="shared" ca="1" si="55"/>
        <v>1</v>
      </c>
    </row>
    <row r="441" spans="1:25" ht="78" thickBot="1">
      <c r="A441" s="705" t="s">
        <v>3447</v>
      </c>
      <c r="B441" s="716" t="str">
        <f t="shared" ca="1" si="56"/>
        <v>Covenant summary information - C38</v>
      </c>
      <c r="C441" s="707" t="str" cm="1">
        <f t="array" aca="1" ref="C441" ca="1">INDIRECT(LEFT(I441, FIND("!", I441)) &amp; RefData!$C$426 &amp; RIGHT(I441, LEN(I441) - FIND("!", I441) - 1))</f>
        <v xml:space="preserve">
No answer required
Country
</v>
      </c>
      <c r="D441" s="92" t="str">
        <f t="shared" ca="1" si="59"/>
        <v/>
      </c>
      <c r="E441" s="708" t="str" cm="1">
        <f t="array" aca="1" ref="E441" ca="1">IF(INDIRECT($I441)= "", "", INDIRECT($I441))</f>
        <v/>
      </c>
      <c r="F441" s="709" t="str" cm="1">
        <f t="array" aca="1" ref="F441" ca="1">INDIRECT(LEFT(I441, FIND("!", I441)) &amp; RefData!$C$427 &amp; RIGHT(I441, LEN(I441) - FIND("!", I441) - 1))</f>
        <v>CSI 16.0/2</v>
      </c>
      <c r="G441" s="710" t="b">
        <f ca="1">IF(ISNUMBER(SEARCH(RefData!$B$2, $C441)), FALSE, TRUE)</f>
        <v>0</v>
      </c>
      <c r="H441" s="113">
        <f>'Covenant summary information'!C38</f>
        <v>0</v>
      </c>
      <c r="I441" s="712" t="str">
        <f t="shared" ca="1" si="57"/>
        <v>'Covenant summary information'!C38</v>
      </c>
      <c r="J441" s="713" t="b" cm="1">
        <f t="array" aca="1" ref="J441" ca="1">IF(
    ISNUMBER(SEARCH(RefData!$B$2, $C$421)),
    IF(
        $E441 &lt;&gt; "",
        $J$421,
        IF(
            $E441 = "",
            FALSE
        )
    ),
    IF(
        COUNTIF($K441:$T441, "&lt;&gt;FALSE") - COUNTBLANK($K441:$T441) &gt; 0,
        INDEX($K441:$T441, MATCH(TRUE, $K441:$T441 &lt;&gt; FALSE, 0))
    )
)</f>
        <v>0</v>
      </c>
      <c r="K441" s="712" t="b">
        <f ca="1">IF(AND('Start here'!$C$26=RefData!$B$9,'Reconciliation report'!$E441&lt;&gt;""),ErrorMsgs!$B441)</f>
        <v>0</v>
      </c>
      <c r="L441" s="712" t="b">
        <f ca="1">IF(AND('Start here'!$C$26=RefData!$B$10,'Covenant summary information'!$C$12=0,'Reconciliation report'!$E441&lt;&gt;""),ErrorMsgs!$C441)</f>
        <v>0</v>
      </c>
      <c r="M441" s="712" t="b">
        <f ca="1">IF(AND('Start here'!$C$26=RefData!$B$10,'Covenant summary information'!$C$12&lt;2,'Reconciliation report'!$E441&lt;&gt;""),ErrorMsgs!$D441)</f>
        <v>0</v>
      </c>
      <c r="N441" s="712" t="b">
        <f ca="1">IF(AND('Start here'!$C$26=RefData!$B$10,'Covenant summary information'!$C$12&gt;=2,TRIM($E$434)&lt;&gt;"",'Reconciliation report'!$E441&lt;&gt;""),ErrorMsgs!$E441)</f>
        <v>0</v>
      </c>
      <c r="O441" s="714" t="b">
        <f ca="1">IF(AND('Start here'!$C$26=RefData!$B$10,'Covenant summary information'!$C$12&gt;=2,$E$435&lt;&gt;"",'Reconciliation report'!$E441&lt;&gt;""),ErrorMsgs!$F441)</f>
        <v>0</v>
      </c>
      <c r="P441" s="712" t="b">
        <f ca="1">IF(AND('Start here'!$C$26=RefData!$B$10,'Covenant summary information'!$C$12&gt;=2,'Reconciliation report'!$E441="",TRIM($E434)="",$E435=""),ErrorMsgs!$G441)</f>
        <v>0</v>
      </c>
      <c r="Q441" s="728" t="b">
        <f ca="1">IF($E441="",FALSE,IF(ISNA(MATCH($E441,RefData!$B$206:$B$400,0)),ErrorMsgs!$H441))</f>
        <v>0</v>
      </c>
      <c r="R441" s="712"/>
      <c r="S441" s="712"/>
      <c r="T441" s="712"/>
      <c r="U441" s="526" t="str">
        <f t="shared" ca="1" si="53"/>
        <v/>
      </c>
      <c r="V441" s="93" t="str" cm="1">
        <f t="array" aca="1" ref="V441" ca="1">CELL("format",INDIRECT(I441))</f>
        <v>G</v>
      </c>
      <c r="W441" s="93" t="b">
        <f t="shared" ca="1" si="54"/>
        <v>0</v>
      </c>
      <c r="X441" s="715" t="str">
        <f t="shared" ca="1" si="51"/>
        <v/>
      </c>
      <c r="Y441" t="b">
        <f t="shared" ca="1" si="55"/>
        <v>1</v>
      </c>
    </row>
    <row r="442" spans="1:25" ht="78" thickBot="1">
      <c r="A442" s="705" t="s">
        <v>3448</v>
      </c>
      <c r="B442" s="716" t="str">
        <f t="shared" ca="1" si="56"/>
        <v>Covenant summary information - C39</v>
      </c>
      <c r="C442" s="707" t="str" cm="1">
        <f t="array" aca="1" ref="C442" ca="1">INDIRECT(LEFT(I442, FIND("!", I442)) &amp; RefData!$C$426 &amp; RIGHT(I442, LEN(I442) - FIND("!", I442) - 1))</f>
        <v xml:space="preserve">
No answer required
Postcode
</v>
      </c>
      <c r="D442" s="92" t="str">
        <f t="shared" ca="1" si="59"/>
        <v/>
      </c>
      <c r="E442" s="708" t="str" cm="1">
        <f t="array" aca="1" ref="E442" ca="1">IF(INDIRECT($I442)= "", "", INDIRECT($I442))</f>
        <v/>
      </c>
      <c r="F442" s="709" t="str" cm="1">
        <f t="array" aca="1" ref="F442" ca="1">INDIRECT(LEFT(I442, FIND("!", I442)) &amp; RefData!$C$427 &amp; RIGHT(I442, LEN(I442) - FIND("!", I442) - 1))</f>
        <v>CSI 17.0/2</v>
      </c>
      <c r="G442" s="710" t="b">
        <f ca="1">IF(ISNUMBER(SEARCH(RefData!$B$2, $C442)), FALSE, TRUE)</f>
        <v>0</v>
      </c>
      <c r="H442" s="113">
        <f>'Covenant summary information'!C39</f>
        <v>0</v>
      </c>
      <c r="I442" s="712" t="str">
        <f t="shared" ca="1" si="57"/>
        <v>'Covenant summary information'!C39</v>
      </c>
      <c r="J442" s="713" t="b" cm="1">
        <f t="array" aca="1" ref="J442" ca="1">IF(
    ISNUMBER(SEARCH(RefData!$B$2, $C$421)),
    IF(
        $E442 &lt;&gt; "",
        $J$421,
        IF(
            $E442 = "",
            FALSE
        )
    ),
    IF(
        COUNTIF($K442:$T442, "&lt;&gt;FALSE") - COUNTBLANK($K442:$T442) &gt; 0,
        INDEX($K442:$T442, MATCH(TRUE, $K442:$T442 &lt;&gt; FALSE, 0))
    )
)</f>
        <v>0</v>
      </c>
      <c r="K442" s="712" t="b">
        <f ca="1">IF(AND('Start here'!$C$26=RefData!$B$9,'Reconciliation report'!$E442&lt;&gt;""),ErrorMsgs!$B442)</f>
        <v>0</v>
      </c>
      <c r="L442" s="712" t="b">
        <f ca="1">IF(AND('Start here'!$C$26=RefData!$B$10,'Covenant summary information'!$C$12=0,'Reconciliation report'!$E442&lt;&gt;""),ErrorMsgs!$C442)</f>
        <v>0</v>
      </c>
      <c r="M442" s="712" t="b">
        <f ca="1">IF(AND('Start here'!$C$26=RefData!$B$10,'Covenant summary information'!$C$12&lt;2,'Reconciliation report'!$E442&lt;&gt;""),ErrorMsgs!$D442)</f>
        <v>0</v>
      </c>
      <c r="N442" s="712" t="b">
        <f ca="1">IF(AND('Start here'!$C$26=RefData!$B$10,'Covenant summary information'!$C$12&gt;=2,TRIM($E434)&lt;&gt;"",'Reconciliation report'!$E442&lt;&gt;""),ErrorMsgs!$E442)</f>
        <v>0</v>
      </c>
      <c r="O442" s="714" t="b">
        <f ca="1">IF(AND('Start here'!$C$26=RefData!$B$10,'Covenant summary information'!$C$12&gt;=2,$E435&lt;&gt;"",'Reconciliation report'!$E442&lt;&gt;""),ErrorMsgs!$F442)</f>
        <v>0</v>
      </c>
      <c r="P442" s="712" t="b">
        <f ca="1">IF(AND('Start here'!$C$26=RefData!$B$10,'Covenant summary information'!$C$12&gt;=2,'Reconciliation report'!$E442="",TRIM($E434)="",$E435="",$E441=RefData!$B$206),ErrorMsgs!$G442)</f>
        <v>0</v>
      </c>
      <c r="Q442" s="712" t="b">
        <f ca="1">IF(AND($E441=RefData!$B$206,
 OR(LEN($E442)&lt;5,
LEN($E442)&gt;8,
(ISNUMBER(VALUE(LEFT($E442,1)))),
(NOT(ISNUMBER(VALUE(MID($E442,LEN($E442)-2,1))))),
(ISNUMBER(VALUE(MID($E442,LEN($E442)-1,1)))),
ISNUMBER(VALUE(RIGHT($E442,1))))),
ErrorMsgs!$H442, FALSE)</f>
        <v>0</v>
      </c>
      <c r="R442" s="733"/>
      <c r="S442" s="733"/>
      <c r="T442" s="733"/>
      <c r="U442" s="526" t="str">
        <f t="shared" ca="1" si="53"/>
        <v/>
      </c>
      <c r="V442" s="93" t="str" cm="1">
        <f t="array" aca="1" ref="V442" ca="1">CELL("format",INDIRECT(I442))</f>
        <v>G</v>
      </c>
      <c r="W442" s="93" t="b">
        <f t="shared" ca="1" si="54"/>
        <v>0</v>
      </c>
      <c r="X442" s="715" t="str">
        <f t="shared" ca="1" si="51"/>
        <v/>
      </c>
      <c r="Y442" t="b">
        <f t="shared" ca="1" si="55"/>
        <v>1</v>
      </c>
    </row>
    <row r="443" spans="1:25" ht="77.5">
      <c r="A443" s="705" t="s">
        <v>3449</v>
      </c>
      <c r="B443" s="716" t="str">
        <f t="shared" ca="1" si="56"/>
        <v>Covenant summary information - C43</v>
      </c>
      <c r="C443" s="707" t="str" cm="1">
        <f t="array" aca="1" ref="C443" ca="1">INDIRECT(LEFT(I443, FIND("!", I443)) &amp; RefData!$C$426 &amp; RIGHT(I443, LEN(I443) - FIND("!", I443) - 1))</f>
        <v xml:space="preserve">
No answer required
Legal name
</v>
      </c>
      <c r="D443" s="92" t="str">
        <f t="shared" ref="D443:D452" ca="1" si="60">""&amp;IF(J443=FALSE, "", J443)
&amp;""</f>
        <v/>
      </c>
      <c r="E443" s="708" t="str" cm="1">
        <f t="array" aca="1" ref="E443" ca="1">IF(INDIRECT($I443)= "", "", INDIRECT($I443))</f>
        <v/>
      </c>
      <c r="F443" s="709" t="str" cm="1">
        <f t="array" aca="1" ref="F443" ca="1">INDIRECT(LEFT(I443, FIND("!", I443)) &amp; RefData!$C$427 &amp; RIGHT(I443, LEN(I443) - FIND("!", I443) - 1))</f>
        <v>CSI 8.0/3</v>
      </c>
      <c r="G443" s="710" t="b">
        <f ca="1">IF(ISNUMBER(SEARCH(RefData!$B$2, $C443)), FALSE, TRUE)</f>
        <v>0</v>
      </c>
      <c r="H443" s="113">
        <f>'Covenant summary information'!C43</f>
        <v>0</v>
      </c>
      <c r="I443" s="712" t="str">
        <f t="shared" ca="1" si="57"/>
        <v>'Covenant summary information'!C43</v>
      </c>
      <c r="J443" s="713" t="b" cm="1">
        <f t="array" aca="1" ref="J443" ca="1">IF(
    ISNUMBER(SEARCH(RefData!$B$2, $C$421)),
    IF(
        $E443 &lt;&gt; "",
        $J$421,
        IF(
            $E443 = "",
            FALSE
        )
    ),
    IF(
        COUNTIF($K443:$T443, "&lt;&gt;FALSE") - COUNTBLANK($K443:$T443) &gt; 0,
        INDEX($K443:$T443, MATCH(TRUE, $K443:$T443 &lt;&gt; FALSE, 0))
    )
)</f>
        <v>0</v>
      </c>
      <c r="K443" s="712" t="b">
        <f ca="1">IF(AND('Start here'!$C$26=RefData!$B$9,'Reconciliation report'!$E443&lt;&gt;""),ErrorMsgs!$B443)</f>
        <v>0</v>
      </c>
      <c r="L443" s="712" t="b">
        <f ca="1">IF(AND('Start here'!$C$26=RefData!$B$10,'Covenant summary information'!$C$12=0,'Reconciliation report'!$E443&lt;&gt;""),ErrorMsgs!$C443)</f>
        <v>0</v>
      </c>
      <c r="M443" s="712" t="b">
        <f ca="1">IF(AND('Start here'!$C$26=RefData!$B$10,'Covenant summary information'!$C$12&lt;3,'Reconciliation report'!$E443&lt;&gt;""),ErrorMsgs!$D443)</f>
        <v>0</v>
      </c>
      <c r="N443" s="712" t="b">
        <f ca="1">IF(AND('Start here'!$C$26=RefData!$B$10,'Covenant summary information'!$C$12&gt;=3,'Reconciliation report'!$E443=""),ErrorMsgs!$E443)</f>
        <v>0</v>
      </c>
      <c r="O443" s="712" t="b">
        <f ca="1">IF(E443="",FALSE,IF(LEN(E443)&gt;510,ErrorMsgs!$F443))</f>
        <v>0</v>
      </c>
      <c r="P443" s="712"/>
      <c r="Q443" s="712"/>
      <c r="R443" s="712"/>
      <c r="S443" s="712"/>
      <c r="T443" s="712"/>
      <c r="U443" s="526" t="str">
        <f t="shared" ca="1" si="53"/>
        <v/>
      </c>
      <c r="V443" s="93" t="str" cm="1">
        <f t="array" aca="1" ref="V443" ca="1">CELL("format",INDIRECT(I443))</f>
        <v>G</v>
      </c>
      <c r="W443" s="93" t="b">
        <f t="shared" ca="1" si="54"/>
        <v>0</v>
      </c>
      <c r="X443" s="715" t="str">
        <f t="shared" ca="1" si="51"/>
        <v/>
      </c>
      <c r="Y443" t="b">
        <f t="shared" ca="1" si="55"/>
        <v>1</v>
      </c>
    </row>
    <row r="444" spans="1:25" ht="77.5">
      <c r="A444" s="705" t="s">
        <v>3450</v>
      </c>
      <c r="B444" s="716" t="str">
        <f t="shared" ca="1" si="56"/>
        <v>Covenant summary information - C44</v>
      </c>
      <c r="C444" s="707" t="str" cm="1">
        <f t="array" aca="1" ref="C444" ca="1">INDIRECT(LEFT(I444, FIND("!", I444)) &amp; RefData!$C$426 &amp; RIGHT(I444, LEN(I444) - FIND("!", I444) - 1))</f>
        <v xml:space="preserve">
No answer required
Companies House number (if applicable)
</v>
      </c>
      <c r="D444" s="92" t="str">
        <f t="shared" ca="1" si="60"/>
        <v/>
      </c>
      <c r="E444" s="708" t="str" cm="1">
        <f t="array" aca="1" ref="E444" ca="1">IF(INDIRECT($I444)= "", "", INDIRECT($I444))</f>
        <v/>
      </c>
      <c r="F444" s="709" t="str" cm="1">
        <f t="array" aca="1" ref="F444" ca="1">INDIRECT(LEFT(I444, FIND("!", I444)) &amp; RefData!$C$427 &amp; RIGHT(I444, LEN(I444) - FIND("!", I444) - 1))</f>
        <v>CSI 9.0/3</v>
      </c>
      <c r="G444" s="710" t="b">
        <f ca="1">IF(ISNUMBER(SEARCH(RefData!$B$2, $C444)), FALSE, TRUE)</f>
        <v>0</v>
      </c>
      <c r="H444" s="113">
        <f>'Covenant summary information'!C44</f>
        <v>0</v>
      </c>
      <c r="I444" s="712" t="str">
        <f t="shared" ca="1" si="57"/>
        <v>'Covenant summary information'!C44</v>
      </c>
      <c r="J444" s="713" t="b" cm="1">
        <f t="array" aca="1" ref="J444" ca="1">IF(
    ISNUMBER(SEARCH(RefData!$B$2, $C$421)),
    IF(
        $E444 &lt;&gt; "",
        $J$421,
        IF(
            $E444 = "",
            FALSE
        )
    ),
    IF(
        COUNTIF($K444:$T444, "&lt;&gt;FALSE") - COUNTBLANK($K444:$T444) &gt; 0,
        INDEX($K444:$T444, MATCH(TRUE, $K444:$T444 &lt;&gt; FALSE, 0))
    )
)</f>
        <v>0</v>
      </c>
      <c r="K444" s="712" t="b">
        <f ca="1">IF(AND('Start here'!$C$26=RefData!$B$9,'Reconciliation report'!$E444&lt;&gt;""),ErrorMsgs!$B444)</f>
        <v>0</v>
      </c>
      <c r="L444" s="712" t="b">
        <f ca="1">IF(AND('Start here'!$C$26=RefData!$B$10,'Covenant summary information'!$C$12=0,'Reconciliation report'!$E444&lt;&gt;""),ErrorMsgs!$C444)</f>
        <v>0</v>
      </c>
      <c r="M444" s="712" t="b">
        <f ca="1">IF(AND('Start here'!$C$26=RefData!$B$10,'Covenant summary information'!$C$12&lt;3,'Reconciliation report'!$E444&lt;&gt;""),ErrorMsgs!$D444)</f>
        <v>0</v>
      </c>
      <c r="N444" s="712" t="b">
        <f ca="1">IF(
  AND(
    'Covenant summary information'!$C$12 &gt;= 3,
    OR(
      AND(TRIM($E444) &lt;&gt; "", TRIM($D445) &lt;&gt; ""),
      AND(TRIM($E444) &lt;&gt; "", TRIM($D445) = "", TRIM($E445) = "")
    ),
    OR(
      ISNUMBER(FIND(" ", $E444)),
      NOT(
        OR(
          AND(LEN($E444)=8, ISNUMBER(VALUE($E444))),
          AND(LEN($E444)=8, ISNUMBER(VALUE(RIGHT($E444,6))), ISNUMBER(FIND(LEFT(UPPER($E444),1),"ABCDEFGHIJKLMNOPQRSTUVWXYZ")), ISNUMBER(FIND(MID(UPPER($E444),2,1),"ABCDEFGHIJKLMNOPQRSTUVWXYZ"))),
          AND(LEN($E444)=8, ISNUMBER(VALUE(RIGHT($E444,7))), ISNUMBER(FIND(LEFT(UPPER($E444),1),"ABCDEFGHIJKLMNOPQRSTUVWXYZ"))),
          AND(LEN($E444)=8, ISNUMBER(VALUE(MID($E444,3,5))), ISNUMBER(FIND(LEFT(UPPER($E444),1),"ABCDEFGHIJKLMNOPQRSTUVWXYZ")), ISNUMBER(FIND(MID(UPPER($E444),2,1),"ABCDEFGHIJKLMNOPQRSTUVWXYZ")), ISNUMBER(FIND(RIGHT(UPPER($E444),1),"ABCDEFGHIJKLMNOPQRSTUVWXYZ"))),
          AND(LEN($E444)=8, ISNUMBER(VALUE(MID($E444,3,4))), ISNUMBER(FIND(LEFT(UPPER($E444),1),"ABCDEFGHIJKLMNOPQRSTUVWXYZ")), ISNUMBER(FIND(MID(UPPER($E444),2,1),"ABCDEFGHIJKLMNOPQRSTUVWXYZ")), ISNUMBER(FIND(MID(UPPER($E444),7,1),"ABCDEFGHIJKLMNOPQRSTUVWXYZ")), ISNUMBER(FIND(RIGHT(UPPER($E444),1),"ABCDEFGHIJKLMNOPQRSTUVWXYZ")))
        )
      )
    )
  ),
  ErrorMsgs!E444
)</f>
        <v>0</v>
      </c>
      <c r="O444" s="714"/>
      <c r="P444" s="712"/>
      <c r="Q444" s="712"/>
      <c r="R444" s="712"/>
      <c r="S444" s="712"/>
      <c r="T444" s="712"/>
      <c r="U444" s="526" t="str">
        <f t="shared" ca="1" si="53"/>
        <v/>
      </c>
      <c r="V444" s="93" t="str" cm="1">
        <f t="array" aca="1" ref="V444" ca="1">CELL("format",INDIRECT(I444))</f>
        <v>G</v>
      </c>
      <c r="W444" s="93" t="b">
        <f t="shared" ca="1" si="54"/>
        <v>0</v>
      </c>
      <c r="X444" s="715" t="str">
        <f t="shared" ca="1" si="51"/>
        <v/>
      </c>
      <c r="Y444" t="b">
        <f t="shared" ca="1" si="55"/>
        <v>1</v>
      </c>
    </row>
    <row r="445" spans="1:25" ht="77.5">
      <c r="A445" s="705" t="s">
        <v>3451</v>
      </c>
      <c r="B445" s="716" t="str">
        <f t="shared" ca="1" si="56"/>
        <v>Covenant summary information - C45</v>
      </c>
      <c r="C445" s="707" t="str" cm="1">
        <f t="array" aca="1" ref="C445" ca="1">INDIRECT(LEFT(I445, FIND("!", I445)) &amp; RefData!$C$426 &amp; RIGHT(I445, LEN(I445) - FIND("!", I445) - 1))</f>
        <v xml:space="preserve">
No answer required
Charity number (if applicable)
</v>
      </c>
      <c r="D445" s="92" t="str">
        <f t="shared" ca="1" si="60"/>
        <v/>
      </c>
      <c r="E445" s="708" t="str" cm="1">
        <f t="array" aca="1" ref="E445" ca="1">IF(INDIRECT($I445)= "", "", INDIRECT($I445))</f>
        <v/>
      </c>
      <c r="F445" s="709" t="str" cm="1">
        <f t="array" aca="1" ref="F445" ca="1">INDIRECT(LEFT(I445, FIND("!", I445)) &amp; RefData!$C$427 &amp; RIGHT(I445, LEN(I445) - FIND("!", I445) - 1))</f>
        <v>CSI 10.0/3</v>
      </c>
      <c r="G445" s="710" t="b">
        <f ca="1">IF(ISNUMBER(SEARCH(RefData!$B$2, $C445)), FALSE, TRUE)</f>
        <v>0</v>
      </c>
      <c r="H445" s="113">
        <f>'Covenant summary information'!C45</f>
        <v>0</v>
      </c>
      <c r="I445" s="712" t="str">
        <f t="shared" ca="1" si="57"/>
        <v>'Covenant summary information'!C45</v>
      </c>
      <c r="J445" s="713" t="b" cm="1">
        <f t="array" aca="1" ref="J445" ca="1">IF(
    ISNUMBER(SEARCH(RefData!$B$2, $C$421)),
    IF(
        $E445 &lt;&gt; "",
        $J$421,
        IF(
            $E445 = "",
            FALSE
        )
    ),
    IF(
        COUNTIF($K445:$T445, "&lt;&gt;FALSE") - COUNTBLANK($K445:$T445) &gt; 0,
        INDEX($K445:$T445, MATCH(TRUE, $K445:$T445 &lt;&gt; FALSE, 0))
    )
)</f>
        <v>0</v>
      </c>
      <c r="K445" s="712" t="b">
        <f ca="1">IF(AND('Start here'!$C$26=RefData!$B$9,'Reconciliation report'!$E445&lt;&gt;""),ErrorMsgs!$B445)</f>
        <v>0</v>
      </c>
      <c r="L445" s="712" t="b">
        <f ca="1">IF(AND('Start here'!$C$26=RefData!$B$10,'Covenant summary information'!$C$12=0,'Reconciliation report'!$E445&lt;&gt;""),ErrorMsgs!$C445)</f>
        <v>0</v>
      </c>
      <c r="M445" s="712" t="b">
        <f ca="1">IF(AND('Start here'!$C$26=RefData!$B$10,'Covenant summary information'!$C$12&lt;3,'Reconciliation report'!$E445&lt;&gt;""),ErrorMsgs!$D445)</f>
        <v>0</v>
      </c>
      <c r="N445" s="712" t="b">
        <f ca="1">IF(AND('Start here'!$C$26=RefData!$B$10,'Covenant summary information'!$C$12&gt;=3,TRIM($E444)&lt;&gt;"",'Reconciliation report'!$E445&lt;&gt;""),ErrorMsgs!$E445)</f>
        <v>0</v>
      </c>
      <c r="O445" s="712" t="b">
        <f ca="1">IF($E445="",FALSE,IF(OR(LEN($E445)&lt;6,LEN($E445)&gt;8),ErrorMsgs!$F445))</f>
        <v>0</v>
      </c>
      <c r="P445" s="712"/>
      <c r="Q445" s="712"/>
      <c r="R445" s="712"/>
      <c r="S445" s="712"/>
      <c r="T445" s="712"/>
      <c r="U445" s="526" t="str">
        <f t="shared" ca="1" si="53"/>
        <v/>
      </c>
      <c r="V445" s="93" t="str" cm="1">
        <f t="array" aca="1" ref="V445" ca="1">CELL("format",INDIRECT(I445))</f>
        <v>G</v>
      </c>
      <c r="W445" s="93" t="b">
        <f t="shared" ca="1" si="54"/>
        <v>0</v>
      </c>
      <c r="X445" s="715" t="str">
        <f t="shared" ca="1" si="51"/>
        <v/>
      </c>
      <c r="Y445" t="b">
        <f t="shared" ca="1" si="55"/>
        <v>1</v>
      </c>
    </row>
    <row r="446" spans="1:25" ht="77.5">
      <c r="A446" s="705" t="s">
        <v>3452</v>
      </c>
      <c r="B446" s="716" t="str">
        <f t="shared" ca="1" si="56"/>
        <v>Covenant summary information - C46</v>
      </c>
      <c r="C446" s="707" t="str" cm="1">
        <f t="array" aca="1" ref="C446" ca="1">INDIRECT(LEFT(I446, FIND("!", I446)) &amp; RefData!$C$426 &amp; RIGHT(I446, LEN(I446) - FIND("!", I446) - 1))</f>
        <v xml:space="preserve">
No answer required
Trading name
</v>
      </c>
      <c r="D446" s="92" t="str">
        <f t="shared" ca="1" si="60"/>
        <v/>
      </c>
      <c r="E446" s="708" t="str" cm="1">
        <f t="array" aca="1" ref="E446" ca="1">IF(INDIRECT($I446)= "", "", INDIRECT($I446))</f>
        <v/>
      </c>
      <c r="F446" s="709" t="str" cm="1">
        <f t="array" aca="1" ref="F446" ca="1">INDIRECT(LEFT(I446, FIND("!", I446)) &amp; RefData!$C$427 &amp; RIGHT(I446, LEN(I446) - FIND("!", I446) - 1))</f>
        <v>CSI 11.0/3</v>
      </c>
      <c r="G446" s="710" t="b">
        <f ca="1">IF(ISNUMBER(SEARCH(RefData!$B$2, $C446)), FALSE, TRUE)</f>
        <v>0</v>
      </c>
      <c r="H446" s="113">
        <f>'Covenant summary information'!C46</f>
        <v>0</v>
      </c>
      <c r="I446" s="712" t="str">
        <f t="shared" ca="1" si="57"/>
        <v>'Covenant summary information'!C46</v>
      </c>
      <c r="J446" s="713" t="b" cm="1">
        <f t="array" aca="1" ref="J446" ca="1">IF(
    ISNUMBER(SEARCH(RefData!$B$2, $C$421)),
    IF(
        $E446 &lt;&gt; "",
        $J$421,
        IF(
            $E446 = "",
            FALSE
        )
    ),
    IF(
        COUNTIF($K446:$T446, "&lt;&gt;FALSE") - COUNTBLANK($K446:$T446) &gt; 0,
        INDEX($K446:$T446, MATCH(TRUE, $K446:$T446 &lt;&gt; FALSE, 0))
    )
)</f>
        <v>0</v>
      </c>
      <c r="K446" s="712" t="b">
        <f ca="1">IF(AND('Start here'!$C$26=RefData!$B$9,'Reconciliation report'!$E446&lt;&gt;""),ErrorMsgs!$B446)</f>
        <v>0</v>
      </c>
      <c r="L446" s="712" t="b">
        <f ca="1">IF(AND('Start here'!$C$26=RefData!$B$10,'Covenant summary information'!$C$12=0,'Reconciliation report'!$E446&lt;&gt;""),ErrorMsgs!$C446)</f>
        <v>0</v>
      </c>
      <c r="M446" s="712" t="b">
        <f ca="1">IF(AND('Start here'!$C$26=RefData!$B$10,'Covenant summary information'!$C$12&lt;3,'Reconciliation report'!$E446&lt;&gt;""),ErrorMsgs!$D446)</f>
        <v>0</v>
      </c>
      <c r="N446" s="712" t="b">
        <f ca="1">IF(AND('Start here'!$C$26=RefData!$B$10,'Covenant summary information'!$C$12&gt;=3,TRIM($E444)&lt;&gt;"",'Reconciliation report'!$E446&lt;&gt;""),ErrorMsgs!$E446)</f>
        <v>0</v>
      </c>
      <c r="O446" s="714" t="b">
        <f ca="1">IF(AND('Start here'!$C$26=RefData!$B$10,'Covenant summary information'!$C$12&gt;=3,$E445&lt;&gt;"",'Reconciliation report'!$E446&lt;&gt;""),ErrorMsgs!$F446)</f>
        <v>0</v>
      </c>
      <c r="P446" s="712" t="b">
        <f ca="1">IF(AND('Start here'!$C$26=RefData!$B$10,'Covenant summary information'!$C$12&gt;=3,'Reconciliation report'!$E446="",TRIM($E444)="",$E445=""),ErrorMsgs!$G446)</f>
        <v>0</v>
      </c>
      <c r="Q446" s="728" t="b">
        <f ca="1">IF($E446="",FALSE,IF(LEN($E446)&gt;510,ErrorMsgs!$H446))</f>
        <v>0</v>
      </c>
      <c r="R446" s="714"/>
      <c r="S446" s="714"/>
      <c r="T446" s="714"/>
      <c r="U446" s="526" t="str">
        <f t="shared" ca="1" si="53"/>
        <v/>
      </c>
      <c r="V446" s="93" t="str" cm="1">
        <f t="array" aca="1" ref="V446" ca="1">CELL("format",INDIRECT(I446))</f>
        <v>G</v>
      </c>
      <c r="W446" s="93" t="b">
        <f t="shared" ca="1" si="54"/>
        <v>0</v>
      </c>
      <c r="X446" s="715" t="str">
        <f t="shared" ca="1" si="51"/>
        <v/>
      </c>
      <c r="Y446" t="b">
        <f t="shared" ca="1" si="55"/>
        <v>1</v>
      </c>
    </row>
    <row r="447" spans="1:25" ht="77.5">
      <c r="A447" s="705" t="s">
        <v>3453</v>
      </c>
      <c r="B447" s="716" t="str">
        <f t="shared" ca="1" si="56"/>
        <v>Covenant summary information - C47</v>
      </c>
      <c r="C447" s="707" t="str" cm="1">
        <f t="array" aca="1" ref="C447" ca="1">INDIRECT(LEFT(I447, FIND("!", I447)) &amp; RefData!$C$426 &amp; RIGHT(I447, LEN(I447) - FIND("!", I447) - 1))</f>
        <v xml:space="preserve">
No answer required
Address line 1
</v>
      </c>
      <c r="D447" s="92" t="str">
        <f t="shared" ca="1" si="60"/>
        <v/>
      </c>
      <c r="E447" s="708" t="str" cm="1">
        <f t="array" aca="1" ref="E447" ca="1">IF(INDIRECT($I447)= "", "", INDIRECT($I447))</f>
        <v/>
      </c>
      <c r="F447" s="709" t="str" cm="1">
        <f t="array" aca="1" ref="F447" ca="1">INDIRECT(LEFT(I447, FIND("!", I447)) &amp; RefData!$C$427 &amp; RIGHT(I447, LEN(I447) - FIND("!", I447) - 1))</f>
        <v>CSI 12.0/3</v>
      </c>
      <c r="G447" s="710" t="b">
        <f ca="1">IF(ISNUMBER(SEARCH(RefData!$B$2, $C447)), FALSE, TRUE)</f>
        <v>0</v>
      </c>
      <c r="H447" s="113">
        <f>'Covenant summary information'!C47</f>
        <v>0</v>
      </c>
      <c r="I447" s="712" t="str">
        <f t="shared" ca="1" si="57"/>
        <v>'Covenant summary information'!C47</v>
      </c>
      <c r="J447" s="713" t="b" cm="1">
        <f t="array" aca="1" ref="J447" ca="1">IF(
    ISNUMBER(SEARCH(RefData!$B$2, $C$421)),
    IF(
        $E447 &lt;&gt; "",
        $J$421,
        IF(
            $E447 = "",
            FALSE
        )
    ),
    IF(
        COUNTIF($K447:$T447, "&lt;&gt;FALSE") - COUNTBLANK($K447:$T447) &gt; 0,
        INDEX($K447:$T447, MATCH(TRUE, $K447:$T447 &lt;&gt; FALSE, 0))
    )
)</f>
        <v>0</v>
      </c>
      <c r="K447" s="712" t="b">
        <f ca="1">IF(AND('Start here'!$C$26=RefData!$B$9,'Reconciliation report'!$E447&lt;&gt;""),ErrorMsgs!$B447)</f>
        <v>0</v>
      </c>
      <c r="L447" s="712" t="b">
        <f ca="1">IF(AND('Start here'!$C$26=RefData!$B$10,'Covenant summary information'!$C$12=0,'Reconciliation report'!$E447&lt;&gt;""),ErrorMsgs!$C447)</f>
        <v>0</v>
      </c>
      <c r="M447" s="712" t="b">
        <f ca="1">IF(AND('Start here'!$C$26=RefData!$B$10,'Covenant summary information'!$C$12&lt;3,'Reconciliation report'!$E447&lt;&gt;""),ErrorMsgs!$D447)</f>
        <v>0</v>
      </c>
      <c r="N447" s="712" t="b">
        <f ca="1">IF(AND('Start here'!$C$26=RefData!$B$10,'Covenant summary information'!$C$12&gt;=3,TRIM($E444)&lt;&gt;"",'Reconciliation report'!$E447&lt;&gt;""),ErrorMsgs!$E447)</f>
        <v>0</v>
      </c>
      <c r="O447" s="714" t="b">
        <f ca="1">IF(AND('Start here'!$C$26=RefData!$B$10,'Covenant summary information'!$C$12&gt;=3,$E445&lt;&gt;"",'Reconciliation report'!$E447&lt;&gt;""),ErrorMsgs!$F447)</f>
        <v>0</v>
      </c>
      <c r="P447" s="712" t="b">
        <f ca="1">IF(AND('Start here'!$C$26=RefData!$B$10,'Covenant summary information'!$C$12&gt;=3,'Reconciliation report'!$E447="",TRIM($E444)="",$E445=""),ErrorMsgs!$G447)</f>
        <v>0</v>
      </c>
      <c r="Q447" s="712" t="b">
        <f ca="1">IF($E447="",FALSE,IF(LEN($E447)&gt;510,ErrorMsgs!$H447))</f>
        <v>0</v>
      </c>
      <c r="R447" s="714"/>
      <c r="S447" s="714"/>
      <c r="T447" s="714"/>
      <c r="U447" s="526" t="str">
        <f t="shared" ca="1" si="53"/>
        <v/>
      </c>
      <c r="V447" s="93" t="str" cm="1">
        <f t="array" aca="1" ref="V447" ca="1">CELL("format",INDIRECT(I447))</f>
        <v>G</v>
      </c>
      <c r="W447" s="93" t="b">
        <f t="shared" ca="1" si="54"/>
        <v>0</v>
      </c>
      <c r="X447" s="715" t="str">
        <f t="shared" ca="1" si="51"/>
        <v/>
      </c>
      <c r="Y447" t="b">
        <f t="shared" ca="1" si="55"/>
        <v>1</v>
      </c>
    </row>
    <row r="448" spans="1:25" ht="77.5">
      <c r="A448" s="705" t="s">
        <v>3454</v>
      </c>
      <c r="B448" s="716" t="str">
        <f t="shared" ca="1" si="56"/>
        <v>Covenant summary information - C48</v>
      </c>
      <c r="C448" s="707" t="str" cm="1">
        <f t="array" aca="1" ref="C448" ca="1">INDIRECT(LEFT(I448, FIND("!", I448)) &amp; RefData!$C$426 &amp; RIGHT(I448, LEN(I448) - FIND("!", I448) - 1))</f>
        <v xml:space="preserve">
No answer required
Address line 2 (optional)
</v>
      </c>
      <c r="D448" s="92" t="str">
        <f t="shared" ca="1" si="60"/>
        <v/>
      </c>
      <c r="E448" s="708" t="str" cm="1">
        <f t="array" aca="1" ref="E448" ca="1">IF(INDIRECT($I448)= "", "", INDIRECT($I448))</f>
        <v/>
      </c>
      <c r="F448" s="709" t="str" cm="1">
        <f t="array" aca="1" ref="F448" ca="1">INDIRECT(LEFT(I448, FIND("!", I448)) &amp; RefData!$C$427 &amp; RIGHT(I448, LEN(I448) - FIND("!", I448) - 1))</f>
        <v>CSI 13.0/3</v>
      </c>
      <c r="G448" s="710" t="b">
        <f ca="1">IF(ISNUMBER(SEARCH(RefData!$B$2, $C448)), FALSE, TRUE)</f>
        <v>0</v>
      </c>
      <c r="H448" s="113">
        <f>'Covenant summary information'!C48</f>
        <v>0</v>
      </c>
      <c r="I448" s="712" t="str">
        <f t="shared" ca="1" si="57"/>
        <v>'Covenant summary information'!C48</v>
      </c>
      <c r="J448" s="713" t="b" cm="1">
        <f t="array" aca="1" ref="J448" ca="1">IF(
    ISNUMBER(SEARCH(RefData!$B$2, $C$421)),
    IF(
        $E448 &lt;&gt; "",
        $J$421,
        IF(
            $E448 = "",
            FALSE
        )
    ),
    IF(
        COUNTIF($K448:$T448, "&lt;&gt;FALSE") - COUNTBLANK($K448:$T448) &gt; 0,
        INDEX($K448:$T448, MATCH(TRUE, $K448:$T448 &lt;&gt; FALSE, 0))
    )
)</f>
        <v>0</v>
      </c>
      <c r="K448" s="712" t="b">
        <f ca="1">IF(AND('Start here'!$C$26=RefData!$B$9,'Reconciliation report'!$E448&lt;&gt;""),ErrorMsgs!$B448)</f>
        <v>0</v>
      </c>
      <c r="L448" s="712" t="b">
        <f ca="1">IF(AND('Start here'!$C$26=RefData!$B$10,'Covenant summary information'!$C$12=0,'Reconciliation report'!$E448&lt;&gt;""),ErrorMsgs!$C448)</f>
        <v>0</v>
      </c>
      <c r="M448" s="712" t="b">
        <f ca="1">IF(AND('Start here'!$C$26=RefData!$B$10,'Covenant summary information'!$C$12&lt;3,'Reconciliation report'!$E448&lt;&gt;""),ErrorMsgs!$D448)</f>
        <v>0</v>
      </c>
      <c r="N448" s="712" t="b">
        <f ca="1">IF(AND('Start here'!$C$26=RefData!$B$10,'Covenant summary information'!$C$12&gt;=3,TRIM($E444)&lt;&gt;"",'Reconciliation report'!$E448&lt;&gt;""),ErrorMsgs!$E448)</f>
        <v>0</v>
      </c>
      <c r="O448" s="714" t="b">
        <f ca="1">IF(AND('Start here'!$C$26=RefData!$B$10,'Covenant summary information'!$C$12&gt;=3,$E445&lt;&gt;"",'Reconciliation report'!$E448&lt;&gt;""),ErrorMsgs!$F448)</f>
        <v>0</v>
      </c>
      <c r="P448" s="714" t="b">
        <f ca="1">IF($E448="",FALSE,IF(LEN($E448)&gt;510,ErrorMsgs!$G448))</f>
        <v>0</v>
      </c>
      <c r="Q448" s="712"/>
      <c r="R448" s="714"/>
      <c r="S448" s="714"/>
      <c r="T448" s="714"/>
      <c r="U448" s="526" t="str">
        <f t="shared" ca="1" si="53"/>
        <v/>
      </c>
      <c r="V448" s="93" t="str" cm="1">
        <f t="array" aca="1" ref="V448" ca="1">CELL("format",INDIRECT(I448))</f>
        <v>G</v>
      </c>
      <c r="W448" s="93" t="b">
        <f t="shared" ca="1" si="54"/>
        <v>0</v>
      </c>
      <c r="X448" s="715" t="str">
        <f t="shared" ca="1" si="51"/>
        <v/>
      </c>
      <c r="Y448" t="b">
        <f t="shared" ca="1" si="55"/>
        <v>1</v>
      </c>
    </row>
    <row r="449" spans="1:25" ht="77.5">
      <c r="A449" s="705" t="s">
        <v>3455</v>
      </c>
      <c r="B449" s="716" t="str">
        <f t="shared" ca="1" si="56"/>
        <v>Covenant summary information - C49</v>
      </c>
      <c r="C449" s="707" t="str" cm="1">
        <f t="array" aca="1" ref="C449" ca="1">INDIRECT(LEFT(I449, FIND("!", I449)) &amp; RefData!$C$426 &amp; RIGHT(I449, LEN(I449) - FIND("!", I449) - 1))</f>
        <v xml:space="preserve">
No answer required
Address line 3 (optional)
</v>
      </c>
      <c r="D449" s="92" t="str">
        <f t="shared" ca="1" si="60"/>
        <v/>
      </c>
      <c r="E449" s="708" t="str" cm="1">
        <f t="array" aca="1" ref="E449" ca="1">IF(INDIRECT($I449)= "", "", INDIRECT($I449))</f>
        <v/>
      </c>
      <c r="F449" s="709" t="str" cm="1">
        <f t="array" aca="1" ref="F449" ca="1">INDIRECT(LEFT(I449, FIND("!", I449)) &amp; RefData!$C$427 &amp; RIGHT(I449, LEN(I449) - FIND("!", I449) - 1))</f>
        <v>CSI 14.0/3</v>
      </c>
      <c r="G449" s="710" t="b">
        <f ca="1">IF(ISNUMBER(SEARCH(RefData!$B$2, $C449)), FALSE, TRUE)</f>
        <v>0</v>
      </c>
      <c r="H449" s="113">
        <f>'Covenant summary information'!C49</f>
        <v>0</v>
      </c>
      <c r="I449" s="712" t="str">
        <f t="shared" ca="1" si="57"/>
        <v>'Covenant summary information'!C49</v>
      </c>
      <c r="J449" s="713" t="b" cm="1">
        <f t="array" aca="1" ref="J449" ca="1">IF(
    ISNUMBER(SEARCH(RefData!$B$2, $C$421)),
    IF(
        $E449 &lt;&gt; "",
        $J$421,
        IF(
            $E449 = "",
            FALSE
        )
    ),
    IF(
        COUNTIF($K449:$T449, "&lt;&gt;FALSE") - COUNTBLANK($K449:$T449) &gt; 0,
        INDEX($K449:$T449, MATCH(TRUE, $K449:$T449 &lt;&gt; FALSE, 0))
    )
)</f>
        <v>0</v>
      </c>
      <c r="K449" s="712" t="b">
        <f ca="1">IF(AND('Start here'!$C$26=RefData!$B$9,'Reconciliation report'!$E449&lt;&gt;""),ErrorMsgs!$B449)</f>
        <v>0</v>
      </c>
      <c r="L449" s="712" t="b">
        <f ca="1">IF(AND('Start here'!$C$26=RefData!$B$10,'Covenant summary information'!$C$12=0,'Reconciliation report'!$E449&lt;&gt;""),ErrorMsgs!$C449)</f>
        <v>0</v>
      </c>
      <c r="M449" s="712" t="b">
        <f ca="1">IF(AND('Start here'!$C$26=RefData!$B$10,'Covenant summary information'!$C$12&lt;3,'Reconciliation report'!$E449&lt;&gt;""),ErrorMsgs!$D449)</f>
        <v>0</v>
      </c>
      <c r="N449" s="712" t="b">
        <f ca="1">IF(AND('Start here'!$C$26=RefData!$B$10,'Covenant summary information'!$C$12&gt;=3,TRIM($E444)&lt;&gt;"",'Reconciliation report'!$E449&lt;&gt;""),ErrorMsgs!$E449)</f>
        <v>0</v>
      </c>
      <c r="O449" s="714" t="b">
        <f ca="1">IF(AND('Start here'!$C$26=RefData!$B$10,'Covenant summary information'!$C$12&gt;=3,$E445&lt;&gt;"",'Reconciliation report'!$E449&lt;&gt;""),ErrorMsgs!$F449)</f>
        <v>0</v>
      </c>
      <c r="P449" s="714" t="b">
        <f ca="1">IF($E449="",FALSE,IF(LEN($E449)&gt;510,ErrorMsgs!$G449))</f>
        <v>0</v>
      </c>
      <c r="Q449" s="712"/>
      <c r="R449" s="712"/>
      <c r="S449" s="712"/>
      <c r="T449" s="712"/>
      <c r="U449" s="526" t="str">
        <f t="shared" ca="1" si="53"/>
        <v/>
      </c>
      <c r="V449" s="93" t="str" cm="1">
        <f t="array" aca="1" ref="V449" ca="1">CELL("format",INDIRECT(I449))</f>
        <v>G</v>
      </c>
      <c r="W449" s="93" t="b">
        <f t="shared" ca="1" si="54"/>
        <v>0</v>
      </c>
      <c r="X449" s="715" t="str">
        <f t="shared" ca="1" si="51"/>
        <v/>
      </c>
      <c r="Y449" t="b">
        <f t="shared" ca="1" si="55"/>
        <v>1</v>
      </c>
    </row>
    <row r="450" spans="1:25" ht="77.5">
      <c r="A450" s="705" t="s">
        <v>3456</v>
      </c>
      <c r="B450" s="716" t="str">
        <f t="shared" ca="1" si="56"/>
        <v>Covenant summary information - C50</v>
      </c>
      <c r="C450" s="707" t="str" cm="1">
        <f t="array" aca="1" ref="C450" ca="1">INDIRECT(LEFT(I450, FIND("!", I450)) &amp; RefData!$C$426 &amp; RIGHT(I450, LEN(I450) - FIND("!", I450) - 1))</f>
        <v xml:space="preserve">
No answer required
Post town or city
</v>
      </c>
      <c r="D450" s="92" t="str">
        <f t="shared" ca="1" si="60"/>
        <v/>
      </c>
      <c r="E450" s="708" t="str" cm="1">
        <f t="array" aca="1" ref="E450" ca="1">IF(INDIRECT($I450)= "", "", INDIRECT($I450))</f>
        <v/>
      </c>
      <c r="F450" s="709" t="str" cm="1">
        <f t="array" aca="1" ref="F450" ca="1">INDIRECT(LEFT(I450, FIND("!", I450)) &amp; RefData!$C$427 &amp; RIGHT(I450, LEN(I450) - FIND("!", I450) - 1))</f>
        <v>CSI 15.0/3</v>
      </c>
      <c r="G450" s="710" t="b">
        <f ca="1">IF(ISNUMBER(SEARCH(RefData!$B$2, $C450)), FALSE, TRUE)</f>
        <v>0</v>
      </c>
      <c r="H450" s="113">
        <f>'Covenant summary information'!C50</f>
        <v>0</v>
      </c>
      <c r="I450" s="712" t="str">
        <f t="shared" ca="1" si="57"/>
        <v>'Covenant summary information'!C50</v>
      </c>
      <c r="J450" s="713" t="b" cm="1">
        <f t="array" aca="1" ref="J450" ca="1">IF(
    ISNUMBER(SEARCH(RefData!$B$2, $C$421)),
    IF(
        $E450 &lt;&gt; "",
        $J$421,
        IF(
            $E450 = "",
            FALSE
        )
    ),
    IF(
        COUNTIF($K450:$T450, "&lt;&gt;FALSE") - COUNTBLANK($K450:$T450) &gt; 0,
        INDEX($K450:$T450, MATCH(TRUE, $K450:$T450 &lt;&gt; FALSE, 0))
    )
)</f>
        <v>0</v>
      </c>
      <c r="K450" s="712" t="b">
        <f ca="1">IF(AND('Start here'!$C$26=RefData!$B$9,'Reconciliation report'!$E450&lt;&gt;""),ErrorMsgs!$B450)</f>
        <v>0</v>
      </c>
      <c r="L450" s="712" t="b">
        <f ca="1">IF(AND('Start here'!$C$26=RefData!$B$10,'Covenant summary information'!$C$12=0,'Reconciliation report'!$E450&lt;&gt;""),ErrorMsgs!$C450)</f>
        <v>0</v>
      </c>
      <c r="M450" s="712" t="b">
        <f ca="1">IF(AND('Start here'!$C$26=RefData!$B$10,'Covenant summary information'!$C$12&lt;3,'Reconciliation report'!$E450&lt;&gt;""),ErrorMsgs!$D450)</f>
        <v>0</v>
      </c>
      <c r="N450" s="712" t="b">
        <f ca="1">IF(AND('Start here'!$C$26=RefData!$B$10,'Covenant summary information'!$C$12&gt;=3,TRIM($E444)&lt;&gt;"",'Reconciliation report'!$E450&lt;&gt;""),ErrorMsgs!$E450)</f>
        <v>0</v>
      </c>
      <c r="O450" s="714" t="b">
        <f ca="1">IF(AND('Start here'!$C$26=RefData!$B$10,'Covenant summary information'!$C$12&gt;=3,$E445&lt;&gt;"",'Reconciliation report'!$E450&lt;&gt;""),ErrorMsgs!$F450)</f>
        <v>0</v>
      </c>
      <c r="P450" s="712" t="b">
        <f ca="1">IF(AND('Start here'!$C$26=RefData!$B$10,'Covenant summary information'!$C$12&gt;=3,'Reconciliation report'!$E450="",TRIM($E444)="",$E445=""),ErrorMsgs!$G450)</f>
        <v>0</v>
      </c>
      <c r="Q450" s="712" t="b">
        <f ca="1">IF($E450="",FALSE,IF(LEN($E450)&gt;510,ErrorMsgs!H450))</f>
        <v>0</v>
      </c>
      <c r="R450" s="714"/>
      <c r="S450" s="714"/>
      <c r="T450" s="714"/>
      <c r="U450" s="526" t="str">
        <f t="shared" ca="1" si="53"/>
        <v/>
      </c>
      <c r="V450" s="93" t="str" cm="1">
        <f t="array" aca="1" ref="V450" ca="1">CELL("format",INDIRECT(I450))</f>
        <v>G</v>
      </c>
      <c r="W450" s="93" t="b">
        <f t="shared" ca="1" si="54"/>
        <v>0</v>
      </c>
      <c r="X450" s="715" t="str">
        <f t="shared" ref="X450:X513" ca="1" si="61">IF(W450, "0." &amp; IF(V450="P2",REPT("0", MIN(4, LEN(E450) - FIND(".", E450))),REPT("0", MIN(6, LEN(E450) - FIND(".", E450)))), "")</f>
        <v/>
      </c>
      <c r="Y450" t="b">
        <f t="shared" ca="1" si="55"/>
        <v>1</v>
      </c>
    </row>
    <row r="451" spans="1:25" ht="78" thickBot="1">
      <c r="A451" s="705" t="s">
        <v>3457</v>
      </c>
      <c r="B451" s="716" t="str">
        <f t="shared" ca="1" si="56"/>
        <v>Covenant summary information - C51</v>
      </c>
      <c r="C451" s="707" t="str" cm="1">
        <f t="array" aca="1" ref="C451" ca="1">INDIRECT(LEFT(I451, FIND("!", I451)) &amp; RefData!$C$426 &amp; RIGHT(I451, LEN(I451) - FIND("!", I451) - 1))</f>
        <v xml:space="preserve">
No answer required
Country
</v>
      </c>
      <c r="D451" s="92" t="str">
        <f t="shared" ca="1" si="60"/>
        <v/>
      </c>
      <c r="E451" s="708" t="str" cm="1">
        <f t="array" aca="1" ref="E451" ca="1">IF(INDIRECT($I451)= "", "", INDIRECT($I451))</f>
        <v/>
      </c>
      <c r="F451" s="709" t="str" cm="1">
        <f t="array" aca="1" ref="F451" ca="1">INDIRECT(LEFT(I451, FIND("!", I451)) &amp; RefData!$C$427 &amp; RIGHT(I451, LEN(I451) - FIND("!", I451) - 1))</f>
        <v>CSI 16.0/3</v>
      </c>
      <c r="G451" s="710" t="b">
        <f ca="1">IF(ISNUMBER(SEARCH(RefData!$B$2, $C451)), FALSE, TRUE)</f>
        <v>0</v>
      </c>
      <c r="H451" s="113">
        <f>'Covenant summary information'!C51</f>
        <v>0</v>
      </c>
      <c r="I451" s="712" t="str">
        <f t="shared" ca="1" si="57"/>
        <v>'Covenant summary information'!C51</v>
      </c>
      <c r="J451" s="713" t="b" cm="1">
        <f t="array" aca="1" ref="J451" ca="1">IF(
    ISNUMBER(SEARCH(RefData!$B$2, $C$421)),
    IF(
        $E451 &lt;&gt; "",
        $J$421,
        IF(
            $E451 = "",
            FALSE
        )
    ),
    IF(
        COUNTIF($K451:$T451, "&lt;&gt;FALSE") - COUNTBLANK($K451:$T451) &gt; 0,
        INDEX($K451:$T451, MATCH(TRUE, $K451:$T451 &lt;&gt; FALSE, 0))
    )
)</f>
        <v>0</v>
      </c>
      <c r="K451" s="712" t="b">
        <f ca="1">IF(AND('Start here'!$C$26=RefData!$B$9,'Reconciliation report'!$E451&lt;&gt;""),ErrorMsgs!$B451)</f>
        <v>0</v>
      </c>
      <c r="L451" s="712" t="b">
        <f ca="1">IF(AND('Start here'!$C$26=RefData!$B$10,'Covenant summary information'!$C$12=0,'Reconciliation report'!$E451&lt;&gt;""),ErrorMsgs!$C451)</f>
        <v>0</v>
      </c>
      <c r="M451" s="712" t="b">
        <f ca="1">IF(AND('Start here'!$C$26=RefData!$B$10,'Covenant summary information'!$C$12&lt;3,'Reconciliation report'!$E451&lt;&gt;""),ErrorMsgs!$D451)</f>
        <v>0</v>
      </c>
      <c r="N451" s="712" t="b">
        <f ca="1">IF(AND('Start here'!$C$26=RefData!$B$10,'Covenant summary information'!$C$12&gt;=3,TRIM($E$444)&lt;&gt;"",'Reconciliation report'!$E451&lt;&gt;""),ErrorMsgs!$E451)</f>
        <v>0</v>
      </c>
      <c r="O451" s="714" t="b">
        <f ca="1">IF(AND('Start here'!$C$26=RefData!$B$10,'Covenant summary information'!$C$12&gt;=3,$E$445&lt;&gt;"",'Reconciliation report'!$E451&lt;&gt;""),ErrorMsgs!$F451)</f>
        <v>0</v>
      </c>
      <c r="P451" s="712" t="b">
        <f ca="1">IF(AND('Start here'!$C$26=RefData!$B$10,'Covenant summary information'!$C$12&gt;=3,'Reconciliation report'!$E451="",TRIM($E444)="",$E445=""),ErrorMsgs!$G451)</f>
        <v>0</v>
      </c>
      <c r="Q451" s="728" t="b">
        <f ca="1">IF($E451="",FALSE,IF(ISNA(MATCH($E451,RefData!$B$206:$B$400,0)),ErrorMsgs!$H451))</f>
        <v>0</v>
      </c>
      <c r="R451" s="712"/>
      <c r="S451" s="712"/>
      <c r="T451" s="712"/>
      <c r="U451" s="526" t="str">
        <f t="shared" ref="U451:U514" ca="1" si="62">IF(AND($W451=TRUE,$Y451=FALSE),TEXT($E451,$X451),$E451)</f>
        <v/>
      </c>
      <c r="V451" s="93" t="str" cm="1">
        <f t="array" aca="1" ref="V451" ca="1">CELL("format",INDIRECT(I451))</f>
        <v>G</v>
      </c>
      <c r="W451" s="93" t="b">
        <f t="shared" ref="W451:W514" ca="1" si="63">IF(ISNUMBER(E451), IF(INT(E451)&lt;&gt;E451,TRUE,FALSE),FALSE)</f>
        <v>0</v>
      </c>
      <c r="X451" s="715" t="str">
        <f t="shared" ca="1" si="61"/>
        <v/>
      </c>
      <c r="Y451" t="b">
        <f t="shared" ref="Y451:Y514" ca="1" si="64">ISTEXT(E451)</f>
        <v>1</v>
      </c>
    </row>
    <row r="452" spans="1:25" ht="78" thickBot="1">
      <c r="A452" s="705" t="s">
        <v>3458</v>
      </c>
      <c r="B452" s="716" t="str">
        <f t="shared" ca="1" si="56"/>
        <v>Covenant summary information - C52</v>
      </c>
      <c r="C452" s="707" t="str" cm="1">
        <f t="array" aca="1" ref="C452" ca="1">INDIRECT(LEFT(I452, FIND("!", I452)) &amp; RefData!$C$426 &amp; RIGHT(I452, LEN(I452) - FIND("!", I452) - 1))</f>
        <v xml:space="preserve">
No answer required
Postcode
</v>
      </c>
      <c r="D452" s="92" t="str">
        <f t="shared" ca="1" si="60"/>
        <v/>
      </c>
      <c r="E452" s="708" t="str" cm="1">
        <f t="array" aca="1" ref="E452" ca="1">IF(INDIRECT($I452)= "", "", INDIRECT($I452))</f>
        <v/>
      </c>
      <c r="F452" s="709" t="str" cm="1">
        <f t="array" aca="1" ref="F452" ca="1">INDIRECT(LEFT(I452, FIND("!", I452)) &amp; RefData!$C$427 &amp; RIGHT(I452, LEN(I452) - FIND("!", I452) - 1))</f>
        <v>CSI 17.0/3</v>
      </c>
      <c r="G452" s="710" t="b">
        <f ca="1">IF(ISNUMBER(SEARCH(RefData!$B$2, $C452)), FALSE, TRUE)</f>
        <v>0</v>
      </c>
      <c r="H452" s="113">
        <f>'Covenant summary information'!C52</f>
        <v>0</v>
      </c>
      <c r="I452" s="712" t="str">
        <f t="shared" ca="1" si="57"/>
        <v>'Covenant summary information'!C52</v>
      </c>
      <c r="J452" s="713" t="b" cm="1">
        <f t="array" aca="1" ref="J452" ca="1">IF(
    ISNUMBER(SEARCH(RefData!$B$2, $C$421)),
    IF(
        $E452 &lt;&gt; "",
        $J$421,
        IF(
            $E452 = "",
            FALSE
        )
    ),
    IF(
        COUNTIF($K452:$T452, "&lt;&gt;FALSE") - COUNTBLANK($K452:$T452) &gt; 0,
        INDEX($K452:$T452, MATCH(TRUE, $K452:$T452 &lt;&gt; FALSE, 0))
    )
)</f>
        <v>0</v>
      </c>
      <c r="K452" s="712" t="b">
        <f ca="1">IF(AND('Start here'!$C$26=RefData!$B$9,'Reconciliation report'!$E452&lt;&gt;""),ErrorMsgs!$B452)</f>
        <v>0</v>
      </c>
      <c r="L452" s="712" t="b">
        <f ca="1">IF(AND('Start here'!$C$26=RefData!$B$10,'Covenant summary information'!$C$12=0,'Reconciliation report'!$E452&lt;&gt;""),ErrorMsgs!$C452)</f>
        <v>0</v>
      </c>
      <c r="M452" s="712" t="b">
        <f ca="1">IF(AND('Start here'!$C$26=RefData!$B$10,'Covenant summary information'!$C$12&lt;3,'Reconciliation report'!$E452&lt;&gt;""),ErrorMsgs!$D452)</f>
        <v>0</v>
      </c>
      <c r="N452" s="712" t="b">
        <f ca="1">IF(AND('Start here'!$C$26=RefData!$B$10,'Covenant summary information'!$C$12&gt;=3,TRIM($E444)&lt;&gt;"",'Reconciliation report'!$E452&lt;&gt;""),ErrorMsgs!$E452)</f>
        <v>0</v>
      </c>
      <c r="O452" s="714" t="b">
        <f ca="1">IF(AND('Start here'!$C$26=RefData!$B$10,'Covenant summary information'!$C$12&gt;=3,$E445&lt;&gt;"",'Reconciliation report'!$E452&lt;&gt;""),ErrorMsgs!$F452)</f>
        <v>0</v>
      </c>
      <c r="P452" s="712" t="b">
        <f ca="1">IF(AND('Start here'!$C$26=RefData!$B$10,'Covenant summary information'!$C$12&gt;=3,'Reconciliation report'!$E452="",TRIM($E444)="",$E445="",$E451=RefData!$B$206),ErrorMsgs!$G452)</f>
        <v>0</v>
      </c>
      <c r="Q452" s="712" t="b">
        <f ca="1">IF(AND($E451=RefData!$B$206,
 OR(LEN($E452)&lt;5,
LEN($E452)&gt;8,
(ISNUMBER(VALUE(LEFT($E452,1)))),
(NOT(ISNUMBER(VALUE(MID($E452,LEN($E452)-2,1))))),
(ISNUMBER(VALUE(MID($E452,LEN($E452)-1,1)))),
ISNUMBER(VALUE(RIGHT($E452,1))))),
ErrorMsgs!$H452, FALSE)</f>
        <v>0</v>
      </c>
      <c r="R452" s="733"/>
      <c r="S452" s="733"/>
      <c r="T452" s="733"/>
      <c r="U452" s="526" t="str">
        <f t="shared" ca="1" si="62"/>
        <v/>
      </c>
      <c r="V452" s="93" t="str" cm="1">
        <f t="array" aca="1" ref="V452" ca="1">CELL("format",INDIRECT(I452))</f>
        <v>G</v>
      </c>
      <c r="W452" s="93" t="b">
        <f t="shared" ca="1" si="63"/>
        <v>0</v>
      </c>
      <c r="X452" s="715" t="str">
        <f t="shared" ca="1" si="61"/>
        <v/>
      </c>
      <c r="Y452" t="b">
        <f t="shared" ca="1" si="64"/>
        <v>1</v>
      </c>
    </row>
    <row r="453" spans="1:25" ht="77.5">
      <c r="A453" s="705" t="s">
        <v>3459</v>
      </c>
      <c r="B453" s="716" t="str">
        <f t="shared" ca="1" si="56"/>
        <v>Covenant summary information - C56</v>
      </c>
      <c r="C453" s="707" t="str" cm="1">
        <f t="array" aca="1" ref="C453" ca="1">INDIRECT(LEFT(I453, FIND("!", I453)) &amp; RefData!$C$426 &amp; RIGHT(I453, LEN(I453) - FIND("!", I453) - 1))</f>
        <v xml:space="preserve">
No answer required
Legal name
</v>
      </c>
      <c r="D453" s="92" t="str">
        <f t="shared" ref="D453:D462" ca="1" si="65">""&amp;IF(J453=FALSE, "", J453)
&amp;""</f>
        <v/>
      </c>
      <c r="E453" s="708" t="str" cm="1">
        <f t="array" aca="1" ref="E453" ca="1">IF(INDIRECT($I453)= "", "", INDIRECT($I453))</f>
        <v/>
      </c>
      <c r="F453" s="709" t="str" cm="1">
        <f t="array" aca="1" ref="F453" ca="1">INDIRECT(LEFT(I453, FIND("!", I453)) &amp; RefData!$C$427 &amp; RIGHT(I453, LEN(I453) - FIND("!", I453) - 1))</f>
        <v>CSI 8.0/4</v>
      </c>
      <c r="G453" s="710" t="b">
        <f ca="1">IF(ISNUMBER(SEARCH(RefData!$B$2, $C453)), FALSE, TRUE)</f>
        <v>0</v>
      </c>
      <c r="H453" s="113">
        <f>'Covenant summary information'!C56</f>
        <v>0</v>
      </c>
      <c r="I453" s="712" t="str">
        <f t="shared" ca="1" si="57"/>
        <v>'Covenant summary information'!C56</v>
      </c>
      <c r="J453" s="713" t="b" cm="1">
        <f t="array" aca="1" ref="J453" ca="1">IF(
    ISNUMBER(SEARCH(RefData!$B$2, $C$421)),
    IF(
        $E453 &lt;&gt; "",
        $J$421,
        IF(
            $E453 = "",
            FALSE
        )
    ),
    IF(
        COUNTIF($K453:$T453, "&lt;&gt;FALSE") - COUNTBLANK($K453:$T453) &gt; 0,
        INDEX($K453:$T453, MATCH(TRUE, $K453:$T453 &lt;&gt; FALSE, 0))
    )
)</f>
        <v>0</v>
      </c>
      <c r="K453" s="712" t="b">
        <f ca="1">IF(AND('Start here'!$C$26=RefData!$B$9,'Reconciliation report'!$E453&lt;&gt;""),ErrorMsgs!$B453)</f>
        <v>0</v>
      </c>
      <c r="L453" s="712" t="b">
        <f ca="1">IF(AND('Start here'!$C$26=RefData!$B$10,'Covenant summary information'!$C$12=0,'Reconciliation report'!$E453&lt;&gt;""),ErrorMsgs!$C453)</f>
        <v>0</v>
      </c>
      <c r="M453" s="712" t="b">
        <f ca="1">IF(AND('Start here'!$C$26=RefData!$B$10,'Covenant summary information'!$C$12&lt;4,'Reconciliation report'!$E453&lt;&gt;""),ErrorMsgs!$D453)</f>
        <v>0</v>
      </c>
      <c r="N453" s="712" t="b">
        <f ca="1">IF(AND('Start here'!$C$26=RefData!$B$10,'Covenant summary information'!$C$12&gt;=4,'Reconciliation report'!$E453=""),ErrorMsgs!$E453)</f>
        <v>0</v>
      </c>
      <c r="O453" s="712" t="b">
        <f ca="1">IF(E453="",FALSE,IF(LEN(E453)&gt;510,ErrorMsgs!$F453))</f>
        <v>0</v>
      </c>
      <c r="P453" s="712"/>
      <c r="Q453" s="712"/>
      <c r="R453" s="712"/>
      <c r="S453" s="712"/>
      <c r="T453" s="712"/>
      <c r="U453" s="526" t="str">
        <f t="shared" ca="1" si="62"/>
        <v/>
      </c>
      <c r="V453" s="93" t="str" cm="1">
        <f t="array" aca="1" ref="V453" ca="1">CELL("format",INDIRECT(I453))</f>
        <v>G</v>
      </c>
      <c r="W453" s="93" t="b">
        <f t="shared" ca="1" si="63"/>
        <v>0</v>
      </c>
      <c r="X453" s="715" t="str">
        <f t="shared" ca="1" si="61"/>
        <v/>
      </c>
      <c r="Y453" t="b">
        <f t="shared" ca="1" si="64"/>
        <v>1</v>
      </c>
    </row>
    <row r="454" spans="1:25" ht="77.5">
      <c r="A454" s="705" t="s">
        <v>3460</v>
      </c>
      <c r="B454" s="716" t="str">
        <f t="shared" ca="1" si="56"/>
        <v>Covenant summary information - C57</v>
      </c>
      <c r="C454" s="707" t="str" cm="1">
        <f t="array" aca="1" ref="C454" ca="1">INDIRECT(LEFT(I454, FIND("!", I454)) &amp; RefData!$C$426 &amp; RIGHT(I454, LEN(I454) - FIND("!", I454) - 1))</f>
        <v xml:space="preserve">
No answer required
Companies House number (if applicable)
</v>
      </c>
      <c r="D454" s="92" t="str">
        <f t="shared" ca="1" si="65"/>
        <v/>
      </c>
      <c r="E454" s="708" t="str" cm="1">
        <f t="array" aca="1" ref="E454" ca="1">IF(INDIRECT($I454)= "", "", INDIRECT($I454))</f>
        <v/>
      </c>
      <c r="F454" s="709" t="str" cm="1">
        <f t="array" aca="1" ref="F454" ca="1">INDIRECT(LEFT(I454, FIND("!", I454)) &amp; RefData!$C$427 &amp; RIGHT(I454, LEN(I454) - FIND("!", I454) - 1))</f>
        <v>CSI 9.0/4</v>
      </c>
      <c r="G454" s="710" t="b">
        <f ca="1">IF(ISNUMBER(SEARCH(RefData!$B$2, $C454)), FALSE, TRUE)</f>
        <v>0</v>
      </c>
      <c r="H454" s="113">
        <f>'Covenant summary information'!C57</f>
        <v>0</v>
      </c>
      <c r="I454" s="712" t="str">
        <f t="shared" ca="1" si="57"/>
        <v>'Covenant summary information'!C57</v>
      </c>
      <c r="J454" s="713" t="b" cm="1">
        <f t="array" aca="1" ref="J454" ca="1">IF(
    ISNUMBER(SEARCH(RefData!$B$2, $C$421)),
    IF(
        $E454 &lt;&gt; "",
        $J$421,
        IF(
            $E454 = "",
            FALSE
        )
    ),
    IF(
        COUNTIF($K454:$T454, "&lt;&gt;FALSE") - COUNTBLANK($K454:$T454) &gt; 0,
        INDEX($K454:$T454, MATCH(TRUE, $K454:$T454 &lt;&gt; FALSE, 0))
    )
)</f>
        <v>0</v>
      </c>
      <c r="K454" s="712" t="b">
        <f ca="1">IF(AND('Start here'!$C$26=RefData!$B$9,'Reconciliation report'!$E454&lt;&gt;""),ErrorMsgs!$B454)</f>
        <v>0</v>
      </c>
      <c r="L454" s="712" t="b">
        <f ca="1">IF(AND('Start here'!$C$26=RefData!$B$10,'Covenant summary information'!$C$12=0,'Reconciliation report'!$E454&lt;&gt;""),ErrorMsgs!$C454)</f>
        <v>0</v>
      </c>
      <c r="M454" s="712" t="b">
        <f ca="1">IF(AND('Start here'!$C$26=RefData!$B$10,'Covenant summary information'!$C$12&lt;4,'Reconciliation report'!$E454&lt;&gt;""),ErrorMsgs!$D454)</f>
        <v>0</v>
      </c>
      <c r="N454" s="712" t="b">
        <f ca="1">IF(
  AND(
    'Covenant summary information'!$C$12 &gt;= 4,
    OR(
      AND(TRIM($E454) &lt;&gt; "", TRIM($D455) &lt;&gt; ""),
      AND(TRIM($E454) &lt;&gt; "", TRIM($D455) = "", TRIM($E455) = "")
    ),
    OR(
      ISNUMBER(FIND(" ", $E454)),
      NOT(
        OR(
          AND(LEN($E454)=8, ISNUMBER(VALUE($E454))),
          AND(LEN($E454)=8, ISNUMBER(VALUE(RIGHT($E454,6))), ISNUMBER(FIND(LEFT(UPPER($E454),1),"ABCDEFGHIJKLMNOPQRSTUVWXYZ")), ISNUMBER(FIND(MID(UPPER($E454),2,1),"ABCDEFGHIJKLMNOPQRSTUVWXYZ"))),
          AND(LEN($E454)=8, ISNUMBER(VALUE(RIGHT($E454,7))), ISNUMBER(FIND(LEFT(UPPER($E454),1),"ABCDEFGHIJKLMNOPQRSTUVWXYZ"))),
          AND(LEN($E454)=8, ISNUMBER(VALUE(MID($E454,3,5))), ISNUMBER(FIND(LEFT(UPPER($E454),1),"ABCDEFGHIJKLMNOPQRSTUVWXYZ")), ISNUMBER(FIND(MID(UPPER($E454),2,1),"ABCDEFGHIJKLMNOPQRSTUVWXYZ")), ISNUMBER(FIND(RIGHT(UPPER($E454),1),"ABCDEFGHIJKLMNOPQRSTUVWXYZ"))),
          AND(LEN($E454)=8, ISNUMBER(VALUE(MID($E454,3,4))), ISNUMBER(FIND(LEFT(UPPER($E454),1),"ABCDEFGHIJKLMNOPQRSTUVWXYZ")), ISNUMBER(FIND(MID(UPPER($E454),2,1),"ABCDEFGHIJKLMNOPQRSTUVWXYZ")), ISNUMBER(FIND(MID(UPPER($E454),7,1),"ABCDEFGHIJKLMNOPQRSTUVWXYZ")), ISNUMBER(FIND(RIGHT(UPPER($E454),1),"ABCDEFGHIJKLMNOPQRSTUVWXYZ")))
        )
      )
    )
  ),
  ErrorMsgs!E454
)</f>
        <v>0</v>
      </c>
      <c r="O454" s="714"/>
      <c r="P454" s="712"/>
      <c r="Q454" s="712"/>
      <c r="R454" s="712"/>
      <c r="S454" s="712"/>
      <c r="T454" s="712"/>
      <c r="U454" s="526" t="str">
        <f t="shared" ca="1" si="62"/>
        <v/>
      </c>
      <c r="V454" s="93" t="str" cm="1">
        <f t="array" aca="1" ref="V454" ca="1">CELL("format",INDIRECT(I454))</f>
        <v>G</v>
      </c>
      <c r="W454" s="93" t="b">
        <f t="shared" ca="1" si="63"/>
        <v>0</v>
      </c>
      <c r="X454" s="715" t="str">
        <f t="shared" ca="1" si="61"/>
        <v/>
      </c>
      <c r="Y454" t="b">
        <f t="shared" ca="1" si="64"/>
        <v>1</v>
      </c>
    </row>
    <row r="455" spans="1:25" ht="77.5">
      <c r="A455" s="705" t="s">
        <v>3461</v>
      </c>
      <c r="B455" s="716" t="str">
        <f t="shared" ca="1" si="56"/>
        <v>Covenant summary information - C58</v>
      </c>
      <c r="C455" s="707" t="str" cm="1">
        <f t="array" aca="1" ref="C455" ca="1">INDIRECT(LEFT(I455, FIND("!", I455)) &amp; RefData!$C$426 &amp; RIGHT(I455, LEN(I455) - FIND("!", I455) - 1))</f>
        <v xml:space="preserve">
No answer required
Charity number (if applicable)
</v>
      </c>
      <c r="D455" s="92" t="str">
        <f t="shared" ca="1" si="65"/>
        <v/>
      </c>
      <c r="E455" s="708" t="str" cm="1">
        <f t="array" aca="1" ref="E455" ca="1">IF(INDIRECT($I455)= "", "", INDIRECT($I455))</f>
        <v/>
      </c>
      <c r="F455" s="709" t="str" cm="1">
        <f t="array" aca="1" ref="F455" ca="1">INDIRECT(LEFT(I455, FIND("!", I455)) &amp; RefData!$C$427 &amp; RIGHT(I455, LEN(I455) - FIND("!", I455) - 1))</f>
        <v>CSI 10.0/4</v>
      </c>
      <c r="G455" s="710" t="b">
        <f ca="1">IF(ISNUMBER(SEARCH(RefData!$B$2, $C455)), FALSE, TRUE)</f>
        <v>0</v>
      </c>
      <c r="H455" s="113">
        <f>'Covenant summary information'!C58</f>
        <v>0</v>
      </c>
      <c r="I455" s="712" t="str">
        <f t="shared" ca="1" si="57"/>
        <v>'Covenant summary information'!C58</v>
      </c>
      <c r="J455" s="713" t="b" cm="1">
        <f t="array" aca="1" ref="J455" ca="1">IF(
    ISNUMBER(SEARCH(RefData!$B$2, $C$421)),
    IF(
        $E455 &lt;&gt; "",
        $J$421,
        IF(
            $E455 = "",
            FALSE
        )
    ),
    IF(
        COUNTIF($K455:$T455, "&lt;&gt;FALSE") - COUNTBLANK($K455:$T455) &gt; 0,
        INDEX($K455:$T455, MATCH(TRUE, $K455:$T455 &lt;&gt; FALSE, 0))
    )
)</f>
        <v>0</v>
      </c>
      <c r="K455" s="712" t="b">
        <f ca="1">IF(AND('Start here'!$C$26=RefData!$B$9,'Reconciliation report'!$E455&lt;&gt;""),ErrorMsgs!$B455)</f>
        <v>0</v>
      </c>
      <c r="L455" s="712" t="b">
        <f ca="1">IF(AND('Start here'!$C$26=RefData!$B$10,'Covenant summary information'!$C$12=0,'Reconciliation report'!$E455&lt;&gt;""),ErrorMsgs!$C455)</f>
        <v>0</v>
      </c>
      <c r="M455" s="712" t="b">
        <f ca="1">IF(AND('Start here'!$C$26=RefData!$B$10,'Covenant summary information'!$C$12&lt;4,'Reconciliation report'!$E455&lt;&gt;""),ErrorMsgs!$D455)</f>
        <v>0</v>
      </c>
      <c r="N455" s="712" t="b">
        <f ca="1">IF(AND('Start here'!$C$26=RefData!$B$10,'Covenant summary information'!$C$12&gt;=4,TRIM($E454)&lt;&gt;"",'Reconciliation report'!$E455&lt;&gt;""),ErrorMsgs!$E455)</f>
        <v>0</v>
      </c>
      <c r="O455" s="712" t="b">
        <f ca="1">IF($E455="",FALSE,IF(OR(LEN($E455)&lt;6,LEN($E455)&gt;8),ErrorMsgs!$F455))</f>
        <v>0</v>
      </c>
      <c r="P455" s="712"/>
      <c r="Q455" s="712"/>
      <c r="R455" s="712"/>
      <c r="S455" s="712"/>
      <c r="T455" s="712"/>
      <c r="U455" s="526" t="str">
        <f t="shared" ca="1" si="62"/>
        <v/>
      </c>
      <c r="V455" s="93" t="str" cm="1">
        <f t="array" aca="1" ref="V455" ca="1">CELL("format",INDIRECT(I455))</f>
        <v>G</v>
      </c>
      <c r="W455" s="93" t="b">
        <f t="shared" ca="1" si="63"/>
        <v>0</v>
      </c>
      <c r="X455" s="715" t="str">
        <f t="shared" ca="1" si="61"/>
        <v/>
      </c>
      <c r="Y455" t="b">
        <f t="shared" ca="1" si="64"/>
        <v>1</v>
      </c>
    </row>
    <row r="456" spans="1:25" ht="77.5">
      <c r="A456" s="705" t="s">
        <v>3462</v>
      </c>
      <c r="B456" s="716" t="str">
        <f t="shared" ca="1" si="56"/>
        <v>Covenant summary information - C59</v>
      </c>
      <c r="C456" s="707" t="str" cm="1">
        <f t="array" aca="1" ref="C456" ca="1">INDIRECT(LEFT(I456, FIND("!", I456)) &amp; RefData!$C$426 &amp; RIGHT(I456, LEN(I456) - FIND("!", I456) - 1))</f>
        <v xml:space="preserve">
No answer required
Trading name
</v>
      </c>
      <c r="D456" s="92" t="str">
        <f t="shared" ca="1" si="65"/>
        <v/>
      </c>
      <c r="E456" s="708" t="str" cm="1">
        <f t="array" aca="1" ref="E456" ca="1">IF(INDIRECT($I456)= "", "", INDIRECT($I456))</f>
        <v/>
      </c>
      <c r="F456" s="709" t="str" cm="1">
        <f t="array" aca="1" ref="F456" ca="1">INDIRECT(LEFT(I456, FIND("!", I456)) &amp; RefData!$C$427 &amp; RIGHT(I456, LEN(I456) - FIND("!", I456) - 1))</f>
        <v>CSI 11.0/4</v>
      </c>
      <c r="G456" s="710" t="b">
        <f ca="1">IF(ISNUMBER(SEARCH(RefData!$B$2, $C456)), FALSE, TRUE)</f>
        <v>0</v>
      </c>
      <c r="H456" s="113">
        <f>'Covenant summary information'!C59</f>
        <v>0</v>
      </c>
      <c r="I456" s="712" t="str">
        <f t="shared" ca="1" si="57"/>
        <v>'Covenant summary information'!C59</v>
      </c>
      <c r="J456" s="713" t="b" cm="1">
        <f t="array" aca="1" ref="J456" ca="1">IF(
    ISNUMBER(SEARCH(RefData!$B$2, $C$421)),
    IF(
        $E456 &lt;&gt; "",
        $J$421,
        IF(
            $E456 = "",
            FALSE
        )
    ),
    IF(
        COUNTIF($K456:$T456, "&lt;&gt;FALSE") - COUNTBLANK($K456:$T456) &gt; 0,
        INDEX($K456:$T456, MATCH(TRUE, $K456:$T456 &lt;&gt; FALSE, 0))
    )
)</f>
        <v>0</v>
      </c>
      <c r="K456" s="712" t="b">
        <f ca="1">IF(AND('Start here'!$C$26=RefData!$B$9,'Reconciliation report'!$E456&lt;&gt;""),ErrorMsgs!$B456)</f>
        <v>0</v>
      </c>
      <c r="L456" s="712" t="b">
        <f ca="1">IF(AND('Start here'!$C$26=RefData!$B$10,'Covenant summary information'!$C$12=0,'Reconciliation report'!$E456&lt;&gt;""),ErrorMsgs!$C456)</f>
        <v>0</v>
      </c>
      <c r="M456" s="712" t="b">
        <f ca="1">IF(AND('Start here'!$C$26=RefData!$B$10,'Covenant summary information'!$C$12&lt;4,'Reconciliation report'!$E456&lt;&gt;""),ErrorMsgs!$D456)</f>
        <v>0</v>
      </c>
      <c r="N456" s="712" t="b">
        <f ca="1">IF(AND('Start here'!$C$26=RefData!$B$10,'Covenant summary information'!$C$12&gt;=4,TRIM($E454)&lt;&gt;"",'Reconciliation report'!$E456&lt;&gt;""),ErrorMsgs!$E456)</f>
        <v>0</v>
      </c>
      <c r="O456" s="714" t="b">
        <f ca="1">IF(AND('Start here'!$C$26=RefData!$B$10,'Covenant summary information'!$C$12&gt;=4,$E455&lt;&gt;"",'Reconciliation report'!$E456&lt;&gt;""),ErrorMsgs!$F456)</f>
        <v>0</v>
      </c>
      <c r="P456" s="712" t="b">
        <f ca="1">IF(AND('Start here'!$C$26=RefData!$B$10,'Covenant summary information'!$C$12&gt;=4,'Reconciliation report'!$E456="",TRIM($E454)="",$E455=""),ErrorMsgs!$G456)</f>
        <v>0</v>
      </c>
      <c r="Q456" s="728" t="b">
        <f ca="1">IF($E456="",FALSE,IF(LEN($E456)&gt;510,ErrorMsgs!$H456))</f>
        <v>0</v>
      </c>
      <c r="R456" s="714"/>
      <c r="S456" s="714"/>
      <c r="T456" s="714"/>
      <c r="U456" s="526" t="str">
        <f t="shared" ca="1" si="62"/>
        <v/>
      </c>
      <c r="V456" s="93" t="str" cm="1">
        <f t="array" aca="1" ref="V456" ca="1">CELL("format",INDIRECT(I456))</f>
        <v>G</v>
      </c>
      <c r="W456" s="93" t="b">
        <f t="shared" ca="1" si="63"/>
        <v>0</v>
      </c>
      <c r="X456" s="715" t="str">
        <f t="shared" ca="1" si="61"/>
        <v/>
      </c>
      <c r="Y456" t="b">
        <f t="shared" ca="1" si="64"/>
        <v>1</v>
      </c>
    </row>
    <row r="457" spans="1:25" ht="77.5">
      <c r="A457" s="705" t="s">
        <v>3463</v>
      </c>
      <c r="B457" s="716" t="str">
        <f t="shared" ca="1" si="56"/>
        <v>Covenant summary information - C60</v>
      </c>
      <c r="C457" s="707" t="str" cm="1">
        <f t="array" aca="1" ref="C457" ca="1">INDIRECT(LEFT(I457, FIND("!", I457)) &amp; RefData!$C$426 &amp; RIGHT(I457, LEN(I457) - FIND("!", I457) - 1))</f>
        <v xml:space="preserve">
No answer required
Address line 1
</v>
      </c>
      <c r="D457" s="92" t="str">
        <f t="shared" ca="1" si="65"/>
        <v/>
      </c>
      <c r="E457" s="708" t="str" cm="1">
        <f t="array" aca="1" ref="E457" ca="1">IF(INDIRECT($I457)= "", "", INDIRECT($I457))</f>
        <v/>
      </c>
      <c r="F457" s="709" t="str" cm="1">
        <f t="array" aca="1" ref="F457" ca="1">INDIRECT(LEFT(I457, FIND("!", I457)) &amp; RefData!$C$427 &amp; RIGHT(I457, LEN(I457) - FIND("!", I457) - 1))</f>
        <v>CSI 12.0/4</v>
      </c>
      <c r="G457" s="710" t="b">
        <f ca="1">IF(ISNUMBER(SEARCH(RefData!$B$2, $C457)), FALSE, TRUE)</f>
        <v>0</v>
      </c>
      <c r="H457" s="113">
        <f>'Covenant summary information'!C60</f>
        <v>0</v>
      </c>
      <c r="I457" s="712" t="str">
        <f t="shared" ca="1" si="57"/>
        <v>'Covenant summary information'!C60</v>
      </c>
      <c r="J457" s="713" t="b" cm="1">
        <f t="array" aca="1" ref="J457" ca="1">IF(
    ISNUMBER(SEARCH(RefData!$B$2, $C$421)),
    IF(
        $E457 &lt;&gt; "",
        $J$421,
        IF(
            $E457 = "",
            FALSE
        )
    ),
    IF(
        COUNTIF($K457:$T457, "&lt;&gt;FALSE") - COUNTBLANK($K457:$T457) &gt; 0,
        INDEX($K457:$T457, MATCH(TRUE, $K457:$T457 &lt;&gt; FALSE, 0))
    )
)</f>
        <v>0</v>
      </c>
      <c r="K457" s="712" t="b">
        <f ca="1">IF(AND('Start here'!$C$26=RefData!$B$9,'Reconciliation report'!$E457&lt;&gt;""),ErrorMsgs!$B457)</f>
        <v>0</v>
      </c>
      <c r="L457" s="712" t="b">
        <f ca="1">IF(AND('Start here'!$C$26=RefData!$B$10,'Covenant summary information'!$C$12=0,'Reconciliation report'!$E457&lt;&gt;""),ErrorMsgs!$C457)</f>
        <v>0</v>
      </c>
      <c r="M457" s="712" t="b">
        <f ca="1">IF(AND('Start here'!$C$26=RefData!$B$10,'Covenant summary information'!$C$12&lt;4,'Reconciliation report'!$E457&lt;&gt;""),ErrorMsgs!$D457)</f>
        <v>0</v>
      </c>
      <c r="N457" s="712" t="b">
        <f ca="1">IF(AND('Start here'!$C$26=RefData!$B$10,'Covenant summary information'!$C$12&gt;=4,TRIM($E454)&lt;&gt;"",'Reconciliation report'!$E457&lt;&gt;""),ErrorMsgs!$E457)</f>
        <v>0</v>
      </c>
      <c r="O457" s="714" t="b">
        <f ca="1">IF(AND('Start here'!$C$26=RefData!$B$10,'Covenant summary information'!$C$12&gt;=4,$E455&lt;&gt;"",'Reconciliation report'!$E457&lt;&gt;""),ErrorMsgs!$F457)</f>
        <v>0</v>
      </c>
      <c r="P457" s="712" t="b">
        <f ca="1">IF(AND('Start here'!$C$26=RefData!$B$10,'Covenant summary information'!$C$12&gt;=4,'Reconciliation report'!$E457="",TRIM($E454)="",$E455=""),ErrorMsgs!$G457)</f>
        <v>0</v>
      </c>
      <c r="Q457" s="712" t="b">
        <f ca="1">IF($E457="",FALSE,IF(LEN($E457)&gt;510,ErrorMsgs!$H457))</f>
        <v>0</v>
      </c>
      <c r="R457" s="714"/>
      <c r="S457" s="714"/>
      <c r="T457" s="714"/>
      <c r="U457" s="526" t="str">
        <f t="shared" ca="1" si="62"/>
        <v/>
      </c>
      <c r="V457" s="93" t="str" cm="1">
        <f t="array" aca="1" ref="V457" ca="1">CELL("format",INDIRECT(I457))</f>
        <v>G</v>
      </c>
      <c r="W457" s="93" t="b">
        <f t="shared" ca="1" si="63"/>
        <v>0</v>
      </c>
      <c r="X457" s="715" t="str">
        <f t="shared" ca="1" si="61"/>
        <v/>
      </c>
      <c r="Y457" t="b">
        <f t="shared" ca="1" si="64"/>
        <v>1</v>
      </c>
    </row>
    <row r="458" spans="1:25" ht="77.5">
      <c r="A458" s="705" t="s">
        <v>3464</v>
      </c>
      <c r="B458" s="716" t="str">
        <f t="shared" ca="1" si="56"/>
        <v>Covenant summary information - C61</v>
      </c>
      <c r="C458" s="707" t="str" cm="1">
        <f t="array" aca="1" ref="C458" ca="1">INDIRECT(LEFT(I458, FIND("!", I458)) &amp; RefData!$C$426 &amp; RIGHT(I458, LEN(I458) - FIND("!", I458) - 1))</f>
        <v xml:space="preserve">
No answer required
Address line 2 (optional)
</v>
      </c>
      <c r="D458" s="92" t="str">
        <f t="shared" ca="1" si="65"/>
        <v/>
      </c>
      <c r="E458" s="708" t="str" cm="1">
        <f t="array" aca="1" ref="E458" ca="1">IF(INDIRECT($I458)= "", "", INDIRECT($I458))</f>
        <v/>
      </c>
      <c r="F458" s="709" t="str" cm="1">
        <f t="array" aca="1" ref="F458" ca="1">INDIRECT(LEFT(I458, FIND("!", I458)) &amp; RefData!$C$427 &amp; RIGHT(I458, LEN(I458) - FIND("!", I458) - 1))</f>
        <v>CSI 13.0/4</v>
      </c>
      <c r="G458" s="710" t="b">
        <f ca="1">IF(ISNUMBER(SEARCH(RefData!$B$2, $C458)), FALSE, TRUE)</f>
        <v>0</v>
      </c>
      <c r="H458" s="113">
        <f>'Covenant summary information'!C61</f>
        <v>0</v>
      </c>
      <c r="I458" s="712" t="str">
        <f t="shared" ca="1" si="57"/>
        <v>'Covenant summary information'!C61</v>
      </c>
      <c r="J458" s="713" t="b" cm="1">
        <f t="array" aca="1" ref="J458" ca="1">IF(
    ISNUMBER(SEARCH(RefData!$B$2, $C$421)),
    IF(
        $E458 &lt;&gt; "",
        $J$421,
        IF(
            $E458 = "",
            FALSE
        )
    ),
    IF(
        COUNTIF($K458:$T458, "&lt;&gt;FALSE") - COUNTBLANK($K458:$T458) &gt; 0,
        INDEX($K458:$T458, MATCH(TRUE, $K458:$T458 &lt;&gt; FALSE, 0))
    )
)</f>
        <v>0</v>
      </c>
      <c r="K458" s="712" t="b">
        <f ca="1">IF(AND('Start here'!$C$26=RefData!$B$9,'Reconciliation report'!$E458&lt;&gt;""),ErrorMsgs!$B458)</f>
        <v>0</v>
      </c>
      <c r="L458" s="712" t="b">
        <f ca="1">IF(AND('Start here'!$C$26=RefData!$B$10,'Covenant summary information'!$C$12=0,'Reconciliation report'!$E458&lt;&gt;""),ErrorMsgs!$C458)</f>
        <v>0</v>
      </c>
      <c r="M458" s="712" t="b">
        <f ca="1">IF(AND('Start here'!$C$26=RefData!$B$10,'Covenant summary information'!$C$12&lt;4,'Reconciliation report'!$E458&lt;&gt;""),ErrorMsgs!$D458)</f>
        <v>0</v>
      </c>
      <c r="N458" s="712" t="b">
        <f ca="1">IF(AND('Start here'!$C$26=RefData!$B$10,'Covenant summary information'!$C$12&gt;=4,TRIM($E454)&lt;&gt;"",'Reconciliation report'!$E458&lt;&gt;""),ErrorMsgs!$E458)</f>
        <v>0</v>
      </c>
      <c r="O458" s="712" t="b">
        <f ca="1">IF(AND('Start here'!$C$26=RefData!$B$10,'Covenant summary information'!$C$12&gt;=4,$E455&lt;&gt;"",'Reconciliation report'!$E458&lt;&gt;""),ErrorMsgs!$F458)</f>
        <v>0</v>
      </c>
      <c r="P458" s="714" t="b">
        <f ca="1">IF($E458="",FALSE,IF(LEN($E458)&gt;510,ErrorMsgs!$G458))</f>
        <v>0</v>
      </c>
      <c r="Q458" s="712"/>
      <c r="R458" s="714"/>
      <c r="S458" s="714"/>
      <c r="T458" s="714"/>
      <c r="U458" s="526" t="str">
        <f t="shared" ca="1" si="62"/>
        <v/>
      </c>
      <c r="V458" s="93" t="str" cm="1">
        <f t="array" aca="1" ref="V458" ca="1">CELL("format",INDIRECT(I458))</f>
        <v>G</v>
      </c>
      <c r="W458" s="93" t="b">
        <f t="shared" ca="1" si="63"/>
        <v>0</v>
      </c>
      <c r="X458" s="715" t="str">
        <f t="shared" ca="1" si="61"/>
        <v/>
      </c>
      <c r="Y458" t="b">
        <f t="shared" ca="1" si="64"/>
        <v>1</v>
      </c>
    </row>
    <row r="459" spans="1:25" ht="77.5">
      <c r="A459" s="705" t="s">
        <v>3465</v>
      </c>
      <c r="B459" s="716" t="str">
        <f t="shared" ca="1" si="56"/>
        <v>Covenant summary information - C62</v>
      </c>
      <c r="C459" s="707" t="str" cm="1">
        <f t="array" aca="1" ref="C459" ca="1">INDIRECT(LEFT(I459, FIND("!", I459)) &amp; RefData!$C$426 &amp; RIGHT(I459, LEN(I459) - FIND("!", I459) - 1))</f>
        <v xml:space="preserve">
No answer required
Address line 3 (optional)
</v>
      </c>
      <c r="D459" s="92" t="str">
        <f t="shared" ca="1" si="65"/>
        <v/>
      </c>
      <c r="E459" s="708" t="str" cm="1">
        <f t="array" aca="1" ref="E459" ca="1">IF(INDIRECT($I459)= "", "", INDIRECT($I459))</f>
        <v/>
      </c>
      <c r="F459" s="709" t="str" cm="1">
        <f t="array" aca="1" ref="F459" ca="1">INDIRECT(LEFT(I459, FIND("!", I459)) &amp; RefData!$C$427 &amp; RIGHT(I459, LEN(I459) - FIND("!", I459) - 1))</f>
        <v>CSI 14.0/4</v>
      </c>
      <c r="G459" s="710" t="b">
        <f ca="1">IF(ISNUMBER(SEARCH(RefData!$B$2, $C459)), FALSE, TRUE)</f>
        <v>0</v>
      </c>
      <c r="H459" s="113">
        <f>'Covenant summary information'!C62</f>
        <v>0</v>
      </c>
      <c r="I459" s="712" t="str">
        <f t="shared" ca="1" si="57"/>
        <v>'Covenant summary information'!C62</v>
      </c>
      <c r="J459" s="713" t="b" cm="1">
        <f t="array" aca="1" ref="J459" ca="1">IF(
    ISNUMBER(SEARCH(RefData!$B$2, $C$421)),
    IF(
        $E459 &lt;&gt; "",
        $J$421,
        IF(
            $E459 = "",
            FALSE
        )
    ),
    IF(
        COUNTIF($K459:$T459, "&lt;&gt;FALSE") - COUNTBLANK($K459:$T459) &gt; 0,
        INDEX($K459:$T459, MATCH(TRUE, $K459:$T459 &lt;&gt; FALSE, 0))
    )
)</f>
        <v>0</v>
      </c>
      <c r="K459" s="712" t="b">
        <f ca="1">IF(AND('Start here'!$C$26=RefData!$B$9,'Reconciliation report'!$E459&lt;&gt;""),ErrorMsgs!$B459)</f>
        <v>0</v>
      </c>
      <c r="L459" s="712" t="b">
        <f ca="1">IF(AND('Start here'!$C$26=RefData!$B$10,'Covenant summary information'!$C$12=0,'Reconciliation report'!$E459&lt;&gt;""),ErrorMsgs!$C459)</f>
        <v>0</v>
      </c>
      <c r="M459" s="712" t="b">
        <f ca="1">IF(AND('Start here'!$C$26=RefData!$B$10,'Covenant summary information'!$C$12&lt;4,'Reconciliation report'!$E459&lt;&gt;""),ErrorMsgs!$D459)</f>
        <v>0</v>
      </c>
      <c r="N459" s="712" t="b">
        <f ca="1">IF(AND('Start here'!$C$26=RefData!$B$10,'Covenant summary information'!$C$12&gt;=4,TRIM($E454)&lt;&gt;"",'Reconciliation report'!$E459&lt;&gt;""),ErrorMsgs!$E459)</f>
        <v>0</v>
      </c>
      <c r="O459" s="714" t="b">
        <f ca="1">IF(AND('Start here'!$C$26=RefData!$B$10,'Covenant summary information'!$C$12&gt;=4,$E455&lt;&gt;"",'Reconciliation report'!$E459&lt;&gt;""),ErrorMsgs!$F459)</f>
        <v>0</v>
      </c>
      <c r="P459" s="714" t="b">
        <f ca="1">IF($E459="",FALSE,IF(LEN($E459)&gt;510,ErrorMsgs!$G459))</f>
        <v>0</v>
      </c>
      <c r="Q459" s="712"/>
      <c r="R459" s="712"/>
      <c r="S459" s="712"/>
      <c r="T459" s="712"/>
      <c r="U459" s="526" t="str">
        <f t="shared" ca="1" si="62"/>
        <v/>
      </c>
      <c r="V459" s="93" t="str" cm="1">
        <f t="array" aca="1" ref="V459" ca="1">CELL("format",INDIRECT(I459))</f>
        <v>G</v>
      </c>
      <c r="W459" s="93" t="b">
        <f t="shared" ca="1" si="63"/>
        <v>0</v>
      </c>
      <c r="X459" s="715" t="str">
        <f t="shared" ca="1" si="61"/>
        <v/>
      </c>
      <c r="Y459" t="b">
        <f t="shared" ca="1" si="64"/>
        <v>1</v>
      </c>
    </row>
    <row r="460" spans="1:25" ht="77.5">
      <c r="A460" s="705" t="s">
        <v>3466</v>
      </c>
      <c r="B460" s="716" t="str">
        <f t="shared" ca="1" si="56"/>
        <v>Covenant summary information - C63</v>
      </c>
      <c r="C460" s="707" t="str" cm="1">
        <f t="array" aca="1" ref="C460" ca="1">INDIRECT(LEFT(I460, FIND("!", I460)) &amp; RefData!$C$426 &amp; RIGHT(I460, LEN(I460) - FIND("!", I460) - 1))</f>
        <v xml:space="preserve">
No answer required
Post town or city
</v>
      </c>
      <c r="D460" s="92" t="str">
        <f t="shared" ca="1" si="65"/>
        <v/>
      </c>
      <c r="E460" s="708" t="str" cm="1">
        <f t="array" aca="1" ref="E460" ca="1">IF(INDIRECT($I460)= "", "", INDIRECT($I460))</f>
        <v/>
      </c>
      <c r="F460" s="709" t="str" cm="1">
        <f t="array" aca="1" ref="F460" ca="1">INDIRECT(LEFT(I460, FIND("!", I460)) &amp; RefData!$C$427 &amp; RIGHT(I460, LEN(I460) - FIND("!", I460) - 1))</f>
        <v>CSI 15.0/4</v>
      </c>
      <c r="G460" s="710" t="b">
        <f ca="1">IF(ISNUMBER(SEARCH(RefData!$B$2, $C460)), FALSE, TRUE)</f>
        <v>0</v>
      </c>
      <c r="H460" s="113">
        <f>'Covenant summary information'!C63</f>
        <v>0</v>
      </c>
      <c r="I460" s="712" t="str">
        <f t="shared" ca="1" si="57"/>
        <v>'Covenant summary information'!C63</v>
      </c>
      <c r="J460" s="713" t="b" cm="1">
        <f t="array" aca="1" ref="J460" ca="1">IF(
    ISNUMBER(SEARCH(RefData!$B$2, $C$421)),
    IF(
        $E460 &lt;&gt; "",
        $J$421,
        IF(
            $E460 = "",
            FALSE
        )
    ),
    IF(
        COUNTIF($K460:$T460, "&lt;&gt;FALSE") - COUNTBLANK($K460:$T460) &gt; 0,
        INDEX($K460:$T460, MATCH(TRUE, $K460:$T460 &lt;&gt; FALSE, 0))
    )
)</f>
        <v>0</v>
      </c>
      <c r="K460" s="712" t="b">
        <f ca="1">IF(AND('Start here'!$C$26=RefData!$B$9,'Reconciliation report'!$E460&lt;&gt;""),ErrorMsgs!$B460)</f>
        <v>0</v>
      </c>
      <c r="L460" s="712" t="b">
        <f ca="1">IF(AND('Start here'!$C$26=RefData!$B$10,'Covenant summary information'!$C$12=0,'Reconciliation report'!$E460&lt;&gt;""),ErrorMsgs!$C460)</f>
        <v>0</v>
      </c>
      <c r="M460" s="712" t="b">
        <f ca="1">IF(AND('Start here'!$C$26=RefData!$B$10,'Covenant summary information'!$C$12&lt;4,'Reconciliation report'!$E460&lt;&gt;""),ErrorMsgs!$D460)</f>
        <v>0</v>
      </c>
      <c r="N460" s="712" t="b">
        <f ca="1">IF(AND('Start here'!$C$26=RefData!$B$10,'Covenant summary information'!$C$12&gt;=4,TRIM($E454)&lt;&gt;"",'Reconciliation report'!$E460&lt;&gt;""),ErrorMsgs!$E460)</f>
        <v>0</v>
      </c>
      <c r="O460" s="714" t="b">
        <f ca="1">IF(AND('Start here'!$C$26=RefData!$B$10,'Covenant summary information'!$C$12&gt;=4,$E455&lt;&gt;"",'Reconciliation report'!$E460&lt;&gt;""),ErrorMsgs!$F460)</f>
        <v>0</v>
      </c>
      <c r="P460" s="712" t="b">
        <f ca="1">IF(AND('Start here'!$C$26=RefData!$B$10,'Covenant summary information'!$C$12&gt;=4,'Reconciliation report'!$E460="",TRIM($E454)="",$E455=""),ErrorMsgs!$G460)</f>
        <v>0</v>
      </c>
      <c r="Q460" s="712" t="b">
        <f ca="1">IF($E460="",FALSE,IF(LEN($E460)&gt;510,ErrorMsgs!H460))</f>
        <v>0</v>
      </c>
      <c r="R460" s="714"/>
      <c r="S460" s="714"/>
      <c r="T460" s="714"/>
      <c r="U460" s="526" t="str">
        <f t="shared" ca="1" si="62"/>
        <v/>
      </c>
      <c r="V460" s="93" t="str" cm="1">
        <f t="array" aca="1" ref="V460" ca="1">CELL("format",INDIRECT(I460))</f>
        <v>G</v>
      </c>
      <c r="W460" s="93" t="b">
        <f t="shared" ca="1" si="63"/>
        <v>0</v>
      </c>
      <c r="X460" s="715" t="str">
        <f t="shared" ca="1" si="61"/>
        <v/>
      </c>
      <c r="Y460" t="b">
        <f t="shared" ca="1" si="64"/>
        <v>1</v>
      </c>
    </row>
    <row r="461" spans="1:25" ht="78" thickBot="1">
      <c r="A461" s="705" t="s">
        <v>3467</v>
      </c>
      <c r="B461" s="716" t="str">
        <f t="shared" ca="1" si="56"/>
        <v>Covenant summary information - C64</v>
      </c>
      <c r="C461" s="707" t="str" cm="1">
        <f t="array" aca="1" ref="C461" ca="1">INDIRECT(LEFT(I461, FIND("!", I461)) &amp; RefData!$C$426 &amp; RIGHT(I461, LEN(I461) - FIND("!", I461) - 1))</f>
        <v xml:space="preserve">
No answer required
Country
</v>
      </c>
      <c r="D461" s="92" t="str">
        <f t="shared" ca="1" si="65"/>
        <v/>
      </c>
      <c r="E461" s="708" t="str" cm="1">
        <f t="array" aca="1" ref="E461" ca="1">IF(INDIRECT($I461)= "", "", INDIRECT($I461))</f>
        <v/>
      </c>
      <c r="F461" s="709" t="str" cm="1">
        <f t="array" aca="1" ref="F461" ca="1">INDIRECT(LEFT(I461, FIND("!", I461)) &amp; RefData!$C$427 &amp; RIGHT(I461, LEN(I461) - FIND("!", I461) - 1))</f>
        <v>CSI 16.0/4</v>
      </c>
      <c r="G461" s="710" t="b">
        <f ca="1">IF(ISNUMBER(SEARCH(RefData!$B$2, $C461)), FALSE, TRUE)</f>
        <v>0</v>
      </c>
      <c r="H461" s="113">
        <f>'Covenant summary information'!C64</f>
        <v>0</v>
      </c>
      <c r="I461" s="712" t="str">
        <f t="shared" ca="1" si="57"/>
        <v>'Covenant summary information'!C64</v>
      </c>
      <c r="J461" s="713" t="b" cm="1">
        <f t="array" aca="1" ref="J461" ca="1">IF(
    ISNUMBER(SEARCH(RefData!$B$2, $C$421)),
    IF(
        $E461 &lt;&gt; "",
        $J$421,
        IF(
            $E461 = "",
            FALSE
        )
    ),
    IF(
        COUNTIF($K461:$T461, "&lt;&gt;FALSE") - COUNTBLANK($K461:$T461) &gt; 0,
        INDEX($K461:$T461, MATCH(TRUE, $K461:$T461 &lt;&gt; FALSE, 0))
    )
)</f>
        <v>0</v>
      </c>
      <c r="K461" s="712" t="b">
        <f ca="1">IF(AND('Start here'!$C$26=RefData!$B$9,'Reconciliation report'!$E461&lt;&gt;""),ErrorMsgs!$B461)</f>
        <v>0</v>
      </c>
      <c r="L461" s="712" t="b">
        <f ca="1">IF(AND('Start here'!$C$26=RefData!$B$10,'Covenant summary information'!$C$12=0,'Reconciliation report'!$E461&lt;&gt;""),ErrorMsgs!$C461)</f>
        <v>0</v>
      </c>
      <c r="M461" s="712" t="b">
        <f ca="1">IF(AND('Start here'!$C$26=RefData!$B$10,'Covenant summary information'!$C$12&lt;4,'Reconciliation report'!$E461&lt;&gt;""),ErrorMsgs!$D461)</f>
        <v>0</v>
      </c>
      <c r="N461" s="712" t="b">
        <f ca="1">IF(AND('Start here'!$C$26=RefData!$B$10,'Covenant summary information'!$C$12&gt;=4,TRIM($E$454)&lt;&gt;"",'Reconciliation report'!$E461&lt;&gt;""),ErrorMsgs!$E461)</f>
        <v>0</v>
      </c>
      <c r="O461" s="714" t="b">
        <f ca="1">IF(AND('Start here'!$C$26=RefData!$B$10,'Covenant summary information'!$C$12&gt;=4,$E$455&lt;&gt;"",'Reconciliation report'!$E461&lt;&gt;""),ErrorMsgs!$F461)</f>
        <v>0</v>
      </c>
      <c r="P461" s="712" t="b">
        <f ca="1">IF(AND('Start here'!$C$26=RefData!$B$10,'Covenant summary information'!$C$12&gt;=4,'Reconciliation report'!$E461="",TRIM($E454)="",$E455=""),ErrorMsgs!$G461)</f>
        <v>0</v>
      </c>
      <c r="Q461" s="728" t="b">
        <f ca="1">IF($E461="",FALSE,IF(ISNA(MATCH($E461,RefData!$B$206:$B$400,0)),ErrorMsgs!$H461))</f>
        <v>0</v>
      </c>
      <c r="R461" s="712"/>
      <c r="S461" s="712"/>
      <c r="T461" s="712"/>
      <c r="U461" s="526" t="str">
        <f t="shared" ca="1" si="62"/>
        <v/>
      </c>
      <c r="V461" s="93" t="str" cm="1">
        <f t="array" aca="1" ref="V461" ca="1">CELL("format",INDIRECT(I461))</f>
        <v>G</v>
      </c>
      <c r="W461" s="93" t="b">
        <f t="shared" ca="1" si="63"/>
        <v>0</v>
      </c>
      <c r="X461" s="715" t="str">
        <f t="shared" ca="1" si="61"/>
        <v/>
      </c>
      <c r="Y461" t="b">
        <f t="shared" ca="1" si="64"/>
        <v>1</v>
      </c>
    </row>
    <row r="462" spans="1:25" ht="78" thickBot="1">
      <c r="A462" s="705" t="s">
        <v>3468</v>
      </c>
      <c r="B462" s="716" t="str">
        <f t="shared" ca="1" si="56"/>
        <v>Covenant summary information - C65</v>
      </c>
      <c r="C462" s="707" t="str" cm="1">
        <f t="array" aca="1" ref="C462" ca="1">INDIRECT(LEFT(I462, FIND("!", I462)) &amp; RefData!$C$426 &amp; RIGHT(I462, LEN(I462) - FIND("!", I462) - 1))</f>
        <v xml:space="preserve">
No answer required
Postcode
</v>
      </c>
      <c r="D462" s="92" t="str">
        <f t="shared" ca="1" si="65"/>
        <v/>
      </c>
      <c r="E462" s="708" t="str" cm="1">
        <f t="array" aca="1" ref="E462" ca="1">IF(INDIRECT($I462)= "", "", INDIRECT($I462))</f>
        <v/>
      </c>
      <c r="F462" s="709" t="str" cm="1">
        <f t="array" aca="1" ref="F462" ca="1">INDIRECT(LEFT(I462, FIND("!", I462)) &amp; RefData!$C$427 &amp; RIGHT(I462, LEN(I462) - FIND("!", I462) - 1))</f>
        <v>CSI 17.0/4</v>
      </c>
      <c r="G462" s="710" t="b">
        <f ca="1">IF(ISNUMBER(SEARCH(RefData!$B$2, $C462)), FALSE, TRUE)</f>
        <v>0</v>
      </c>
      <c r="H462" s="113">
        <f>'Covenant summary information'!C65</f>
        <v>0</v>
      </c>
      <c r="I462" s="712" t="str">
        <f t="shared" ca="1" si="57"/>
        <v>'Covenant summary information'!C65</v>
      </c>
      <c r="J462" s="713" t="b" cm="1">
        <f t="array" aca="1" ref="J462" ca="1">IF(
    ISNUMBER(SEARCH(RefData!$B$2, $C$421)),
    IF(
        $E462 &lt;&gt; "",
        $J$421,
        IF(
            $E462 = "",
            FALSE
        )
    ),
    IF(
        COUNTIF($K462:$T462, "&lt;&gt;FALSE") - COUNTBLANK($K462:$T462) &gt; 0,
        INDEX($K462:$T462, MATCH(TRUE, $K462:$T462 &lt;&gt; FALSE, 0))
    )
)</f>
        <v>0</v>
      </c>
      <c r="K462" s="712" t="b">
        <f ca="1">IF(AND('Start here'!$C$26=RefData!$B$9,'Reconciliation report'!$E462&lt;&gt;""),ErrorMsgs!$B462)</f>
        <v>0</v>
      </c>
      <c r="L462" s="712" t="b">
        <f ca="1">IF(AND('Start here'!$C$26=RefData!$B$10,'Covenant summary information'!$C$12=0,'Reconciliation report'!$E462&lt;&gt;""),ErrorMsgs!$C462)</f>
        <v>0</v>
      </c>
      <c r="M462" s="712" t="b">
        <f ca="1">IF(AND('Start here'!$C$26=RefData!$B$10,'Covenant summary information'!$C$12&lt;4,'Reconciliation report'!$E462&lt;&gt;""),ErrorMsgs!$D462)</f>
        <v>0</v>
      </c>
      <c r="N462" s="712" t="b">
        <f ca="1">IF(AND('Start here'!$C$26=RefData!$B$10,'Covenant summary information'!$C$12&gt;=4,TRIM($E454)&lt;&gt;"",'Reconciliation report'!$E462&lt;&gt;""),ErrorMsgs!$E462)</f>
        <v>0</v>
      </c>
      <c r="O462" s="714" t="b">
        <f ca="1">IF(AND('Start here'!$C$26=RefData!$B$10,'Covenant summary information'!$C$12&gt;=4,$E455&lt;&gt;"",'Reconciliation report'!$E462&lt;&gt;""),ErrorMsgs!$F462)</f>
        <v>0</v>
      </c>
      <c r="P462" s="712" t="b">
        <f ca="1">IF(AND('Start here'!$C$26=RefData!$B$10,'Covenant summary information'!$C$12&gt;=4,'Reconciliation report'!$E462="",TRIM($E454)="",$E455="",$E461=RefData!$B$206),ErrorMsgs!$G462)</f>
        <v>0</v>
      </c>
      <c r="Q462" s="712" t="b">
        <f ca="1">IF(AND($E461=RefData!$B$206,
 OR(LEN($E462)&lt;5,
LEN($E462)&gt;8,
(ISNUMBER(VALUE(LEFT($E462,1)))),
(NOT(ISNUMBER(VALUE(MID($E462,LEN($E462)-2,1))))),
(ISNUMBER(VALUE(MID($E462,LEN($E462)-1,1)))),
ISNUMBER(VALUE(RIGHT($E462,1))))),
ErrorMsgs!$H462, FALSE)</f>
        <v>0</v>
      </c>
      <c r="R462" s="733"/>
      <c r="S462" s="733"/>
      <c r="T462" s="733"/>
      <c r="U462" s="526" t="str">
        <f t="shared" ca="1" si="62"/>
        <v/>
      </c>
      <c r="V462" s="93" t="str" cm="1">
        <f t="array" aca="1" ref="V462" ca="1">CELL("format",INDIRECT(I462))</f>
        <v>G</v>
      </c>
      <c r="W462" s="93" t="b">
        <f t="shared" ca="1" si="63"/>
        <v>0</v>
      </c>
      <c r="X462" s="715" t="str">
        <f t="shared" ca="1" si="61"/>
        <v/>
      </c>
      <c r="Y462" t="b">
        <f t="shared" ca="1" si="64"/>
        <v>1</v>
      </c>
    </row>
    <row r="463" spans="1:25" ht="77.5">
      <c r="A463" s="705" t="s">
        <v>3469</v>
      </c>
      <c r="B463" s="716" t="str">
        <f t="shared" ca="1" si="56"/>
        <v>Covenant summary information - C69</v>
      </c>
      <c r="C463" s="707" t="str" cm="1">
        <f t="array" aca="1" ref="C463" ca="1">INDIRECT(LEFT(I463, FIND("!", I463)) &amp; RefData!$C$426 &amp; RIGHT(I463, LEN(I463) - FIND("!", I463) - 1))</f>
        <v xml:space="preserve">
No answer required
Legal name
</v>
      </c>
      <c r="D463" s="92" t="str">
        <f t="shared" ref="D463:D472" ca="1" si="66">""&amp;IF(J463=FALSE, "", J463)
&amp;""</f>
        <v/>
      </c>
      <c r="E463" s="708" t="str" cm="1">
        <f t="array" aca="1" ref="E463" ca="1">IF(INDIRECT($I463)= "", "", INDIRECT($I463))</f>
        <v/>
      </c>
      <c r="F463" s="709" t="str" cm="1">
        <f t="array" aca="1" ref="F463" ca="1">INDIRECT(LEFT(I463, FIND("!", I463)) &amp; RefData!$C$427 &amp; RIGHT(I463, LEN(I463) - FIND("!", I463) - 1))</f>
        <v>CSI 8.0/5</v>
      </c>
      <c r="G463" s="710" t="b">
        <f ca="1">IF(ISNUMBER(SEARCH(RefData!$B$2, $C463)), FALSE, TRUE)</f>
        <v>0</v>
      </c>
      <c r="H463" s="113">
        <f>'Covenant summary information'!C69</f>
        <v>0</v>
      </c>
      <c r="I463" s="712" t="str">
        <f t="shared" ca="1" si="57"/>
        <v>'Covenant summary information'!C69</v>
      </c>
      <c r="J463" s="713" t="b" cm="1">
        <f t="array" aca="1" ref="J463" ca="1">IF(
    ISNUMBER(SEARCH(RefData!$B$2, $C$421)),
    IF(
        $E463 &lt;&gt; "",
        $J$421,
        IF(
            $E463 = "",
            FALSE
        )
    ),
    IF(
        COUNTIF($K463:$T463, "&lt;&gt;FALSE") - COUNTBLANK($K463:$T463) &gt; 0,
        INDEX($K463:$T463, MATCH(TRUE, $K463:$T463 &lt;&gt; FALSE, 0))
    )
)</f>
        <v>0</v>
      </c>
      <c r="K463" s="712" t="b">
        <f ca="1">IF(AND('Start here'!$C$26=RefData!$B$9,'Reconciliation report'!$E463&lt;&gt;""),ErrorMsgs!$B463)</f>
        <v>0</v>
      </c>
      <c r="L463" s="712" t="b">
        <f ca="1">IF(AND('Start here'!$C$26=RefData!$B$10,'Covenant summary information'!$C$12=0,'Reconciliation report'!$E463&lt;&gt;""),ErrorMsgs!$C463)</f>
        <v>0</v>
      </c>
      <c r="M463" s="712" t="b">
        <f ca="1">IF(AND('Start here'!$C$26=RefData!$B$10,'Covenant summary information'!$C$12&lt;5,'Reconciliation report'!$E463&lt;&gt;""),ErrorMsgs!$D463)</f>
        <v>0</v>
      </c>
      <c r="N463" s="712" t="b">
        <f ca="1">IF(AND('Start here'!$C$26=RefData!$B$10,'Covenant summary information'!$C$12&gt;=5,'Reconciliation report'!$E463=""),ErrorMsgs!$E463)</f>
        <v>0</v>
      </c>
      <c r="O463" s="712" t="b">
        <f ca="1">IF(E463="",FALSE,IF(LEN(E463)&gt;510,ErrorMsgs!$F463))</f>
        <v>0</v>
      </c>
      <c r="P463" s="712"/>
      <c r="Q463" s="712"/>
      <c r="R463" s="712"/>
      <c r="S463" s="712"/>
      <c r="T463" s="712"/>
      <c r="U463" s="526" t="str">
        <f t="shared" ca="1" si="62"/>
        <v/>
      </c>
      <c r="V463" s="93" t="str" cm="1">
        <f t="array" aca="1" ref="V463" ca="1">CELL("format",INDIRECT(I463))</f>
        <v>G</v>
      </c>
      <c r="W463" s="93" t="b">
        <f t="shared" ca="1" si="63"/>
        <v>0</v>
      </c>
      <c r="X463" s="715" t="str">
        <f t="shared" ca="1" si="61"/>
        <v/>
      </c>
      <c r="Y463" t="b">
        <f t="shared" ca="1" si="64"/>
        <v>1</v>
      </c>
    </row>
    <row r="464" spans="1:25" ht="77.5">
      <c r="A464" s="705" t="s">
        <v>3470</v>
      </c>
      <c r="B464" s="716" t="str">
        <f t="shared" ca="1" si="56"/>
        <v>Covenant summary information - C70</v>
      </c>
      <c r="C464" s="707" t="str" cm="1">
        <f t="array" aca="1" ref="C464" ca="1">INDIRECT(LEFT(I464, FIND("!", I464)) &amp; RefData!$C$426 &amp; RIGHT(I464, LEN(I464) - FIND("!", I464) - 1))</f>
        <v xml:space="preserve">
No answer required
Companies House number (if applicable)
</v>
      </c>
      <c r="D464" s="92" t="str">
        <f t="shared" ca="1" si="66"/>
        <v/>
      </c>
      <c r="E464" s="708" t="str" cm="1">
        <f t="array" aca="1" ref="E464" ca="1">IF(INDIRECT($I464)= "", "", INDIRECT($I464))</f>
        <v/>
      </c>
      <c r="F464" s="709" t="str" cm="1">
        <f t="array" aca="1" ref="F464" ca="1">INDIRECT(LEFT(I464, FIND("!", I464)) &amp; RefData!$C$427 &amp; RIGHT(I464, LEN(I464) - FIND("!", I464) - 1))</f>
        <v>CSI 9.0/5</v>
      </c>
      <c r="G464" s="710" t="b">
        <f ca="1">IF(ISNUMBER(SEARCH(RefData!$B$2, $C464)), FALSE, TRUE)</f>
        <v>0</v>
      </c>
      <c r="H464" s="113">
        <f>'Covenant summary information'!C70</f>
        <v>0</v>
      </c>
      <c r="I464" s="712" t="str">
        <f t="shared" ca="1" si="57"/>
        <v>'Covenant summary information'!C70</v>
      </c>
      <c r="J464" s="713" t="b" cm="1">
        <f t="array" aca="1" ref="J464" ca="1">IF(
    ISNUMBER(SEARCH(RefData!$B$2, $C$421)),
    IF(
        $E464 &lt;&gt; "",
        $J$421,
        IF(
            $E464 = "",
            FALSE
        )
    ),
    IF(
        COUNTIF($K464:$T464, "&lt;&gt;FALSE") - COUNTBLANK($K464:$T464) &gt; 0,
        INDEX($K464:$T464, MATCH(TRUE, $K464:$T464 &lt;&gt; FALSE, 0))
    )
)</f>
        <v>0</v>
      </c>
      <c r="K464" s="712" t="b">
        <f ca="1">IF(AND('Start here'!$C$26=RefData!$B$9,'Reconciliation report'!$E464&lt;&gt;""),ErrorMsgs!$B464)</f>
        <v>0</v>
      </c>
      <c r="L464" s="712" t="b">
        <f ca="1">IF(AND('Start here'!$C$26=RefData!$B$10,'Covenant summary information'!$C$12=0,'Reconciliation report'!$E464&lt;&gt;""),ErrorMsgs!$C464)</f>
        <v>0</v>
      </c>
      <c r="M464" s="712" t="b">
        <f ca="1">IF(AND('Start here'!$C$26=RefData!$B$10,'Covenant summary information'!$C$12&lt;5,'Reconciliation report'!$E464&lt;&gt;""),ErrorMsgs!$D464)</f>
        <v>0</v>
      </c>
      <c r="N464" s="712" t="b">
        <f ca="1">IF(
  AND(
    'Covenant summary information'!$C$12 &gt;= 5,
    OR(
      AND(TRIM($E464) &lt;&gt; "", TRIM($D465) &lt;&gt; ""),
      AND(TRIM($E464) &lt;&gt; "", TRIM($D465) = "", TRIM($E465) = "")
    ),
    OR(
      ISNUMBER(FIND(" ", $E464)),
      NOT(
        OR(
          AND(LEN($E464)=8, ISNUMBER(VALUE($E464))),
          AND(LEN($E464)=8, ISNUMBER(VALUE(RIGHT($E464,6))), ISNUMBER(FIND(LEFT(UPPER($E464),1),"ABCDEFGHIJKLMNOPQRSTUVWXYZ")), ISNUMBER(FIND(MID(UPPER($E464),2,1),"ABCDEFGHIJKLMNOPQRSTUVWXYZ"))),
          AND(LEN($E464)=8, ISNUMBER(VALUE(RIGHT($E464,7))), ISNUMBER(FIND(LEFT(UPPER($E464),1),"ABCDEFGHIJKLMNOPQRSTUVWXYZ"))),
          AND(LEN($E464)=8, ISNUMBER(VALUE(MID($E464,3,5))), ISNUMBER(FIND(LEFT(UPPER($E464),1),"ABCDEFGHIJKLMNOPQRSTUVWXYZ")), ISNUMBER(FIND(MID(UPPER($E464),2,1),"ABCDEFGHIJKLMNOPQRSTUVWXYZ")), ISNUMBER(FIND(RIGHT(UPPER($E464),1),"ABCDEFGHIJKLMNOPQRSTUVWXYZ"))),
          AND(LEN($E464)=8, ISNUMBER(VALUE(MID($E464,3,4))), ISNUMBER(FIND(LEFT(UPPER($E464),1),"ABCDEFGHIJKLMNOPQRSTUVWXYZ")), ISNUMBER(FIND(MID(UPPER($E464),2,1),"ABCDEFGHIJKLMNOPQRSTUVWXYZ")), ISNUMBER(FIND(MID(UPPER($E464),7,1),"ABCDEFGHIJKLMNOPQRSTUVWXYZ")), ISNUMBER(FIND(RIGHT(UPPER($E464),1),"ABCDEFGHIJKLMNOPQRSTUVWXYZ")))
        )
      )
    )
  ),
  ErrorMsgs!E464
)</f>
        <v>0</v>
      </c>
      <c r="O464" s="714"/>
      <c r="P464" s="712"/>
      <c r="Q464" s="712"/>
      <c r="R464" s="712"/>
      <c r="S464" s="712"/>
      <c r="T464" s="712"/>
      <c r="U464" s="526" t="str">
        <f t="shared" ca="1" si="62"/>
        <v/>
      </c>
      <c r="V464" s="93" t="str" cm="1">
        <f t="array" aca="1" ref="V464" ca="1">CELL("format",INDIRECT(I464))</f>
        <v>G</v>
      </c>
      <c r="W464" s="93" t="b">
        <f t="shared" ca="1" si="63"/>
        <v>0</v>
      </c>
      <c r="X464" s="715" t="str">
        <f t="shared" ca="1" si="61"/>
        <v/>
      </c>
      <c r="Y464" t="b">
        <f t="shared" ca="1" si="64"/>
        <v>1</v>
      </c>
    </row>
    <row r="465" spans="1:25" ht="77.5">
      <c r="A465" s="705" t="s">
        <v>3471</v>
      </c>
      <c r="B465" s="716" t="str">
        <f t="shared" ca="1" si="56"/>
        <v>Covenant summary information - C71</v>
      </c>
      <c r="C465" s="707" t="str" cm="1">
        <f t="array" aca="1" ref="C465" ca="1">INDIRECT(LEFT(I465, FIND("!", I465)) &amp; RefData!$C$426 &amp; RIGHT(I465, LEN(I465) - FIND("!", I465) - 1))</f>
        <v xml:space="preserve">
No answer required
Charity number (if applicable)
</v>
      </c>
      <c r="D465" s="92" t="str">
        <f t="shared" ca="1" si="66"/>
        <v/>
      </c>
      <c r="E465" s="708" t="str" cm="1">
        <f t="array" aca="1" ref="E465" ca="1">IF(INDIRECT($I465)= "", "", INDIRECT($I465))</f>
        <v/>
      </c>
      <c r="F465" s="709" t="str" cm="1">
        <f t="array" aca="1" ref="F465" ca="1">INDIRECT(LEFT(I465, FIND("!", I465)) &amp; RefData!$C$427 &amp; RIGHT(I465, LEN(I465) - FIND("!", I465) - 1))</f>
        <v>CSI 10.0/5</v>
      </c>
      <c r="G465" s="710" t="b">
        <f ca="1">IF(ISNUMBER(SEARCH(RefData!$B$2, $C465)), FALSE, TRUE)</f>
        <v>0</v>
      </c>
      <c r="H465" s="113">
        <f>'Covenant summary information'!C71</f>
        <v>0</v>
      </c>
      <c r="I465" s="712" t="str">
        <f t="shared" ca="1" si="57"/>
        <v>'Covenant summary information'!C71</v>
      </c>
      <c r="J465" s="713" t="b" cm="1">
        <f t="array" aca="1" ref="J465" ca="1">IF(
    ISNUMBER(SEARCH(RefData!$B$2, $C$421)),
    IF(
        $E465 &lt;&gt; "",
        $J$421,
        IF(
            $E465 = "",
            FALSE
        )
    ),
    IF(
        COUNTIF($K465:$T465, "&lt;&gt;FALSE") - COUNTBLANK($K465:$T465) &gt; 0,
        INDEX($K465:$T465, MATCH(TRUE, $K465:$T465 &lt;&gt; FALSE, 0))
    )
)</f>
        <v>0</v>
      </c>
      <c r="K465" s="712" t="b">
        <f ca="1">IF(AND('Start here'!$C$26=RefData!$B$9,'Reconciliation report'!$E465&lt;&gt;""),ErrorMsgs!$B465)</f>
        <v>0</v>
      </c>
      <c r="L465" s="712" t="b">
        <f ca="1">IF(AND('Start here'!$C$26=RefData!$B$10,'Covenant summary information'!$C$12=0,'Reconciliation report'!$E465&lt;&gt;""),ErrorMsgs!$C465)</f>
        <v>0</v>
      </c>
      <c r="M465" s="712" t="b">
        <f ca="1">IF(AND('Start here'!$C$26=RefData!$B$10,'Covenant summary information'!$C$12&lt;5,'Reconciliation report'!$E465&lt;&gt;""),ErrorMsgs!$D465)</f>
        <v>0</v>
      </c>
      <c r="N465" s="712" t="b">
        <f ca="1">IF(AND('Start here'!$C$26=RefData!$B$10,'Covenant summary information'!$C$12&gt;=5,TRIM($E464)&lt;&gt;"",'Reconciliation report'!$E465&lt;&gt;""),ErrorMsgs!$E465)</f>
        <v>0</v>
      </c>
      <c r="O465" s="712" t="b">
        <f ca="1">IF($E465="",FALSE,IF(OR(LEN($E465)&lt;6,LEN($E465)&gt;8),ErrorMsgs!$F465))</f>
        <v>0</v>
      </c>
      <c r="P465" s="712"/>
      <c r="Q465" s="712"/>
      <c r="R465" s="712"/>
      <c r="S465" s="712"/>
      <c r="T465" s="712"/>
      <c r="U465" s="526" t="str">
        <f t="shared" ca="1" si="62"/>
        <v/>
      </c>
      <c r="V465" s="93" t="str" cm="1">
        <f t="array" aca="1" ref="V465" ca="1">CELL("format",INDIRECT(I465))</f>
        <v>G</v>
      </c>
      <c r="W465" s="93" t="b">
        <f t="shared" ca="1" si="63"/>
        <v>0</v>
      </c>
      <c r="X465" s="715" t="str">
        <f t="shared" ca="1" si="61"/>
        <v/>
      </c>
      <c r="Y465" t="b">
        <f t="shared" ca="1" si="64"/>
        <v>1</v>
      </c>
    </row>
    <row r="466" spans="1:25" ht="77.5">
      <c r="A466" s="705" t="s">
        <v>3472</v>
      </c>
      <c r="B466" s="716" t="str">
        <f t="shared" ca="1" si="56"/>
        <v>Covenant summary information - C72</v>
      </c>
      <c r="C466" s="707" t="str" cm="1">
        <f t="array" aca="1" ref="C466" ca="1">INDIRECT(LEFT(I466, FIND("!", I466)) &amp; RefData!$C$426 &amp; RIGHT(I466, LEN(I466) - FIND("!", I466) - 1))</f>
        <v xml:space="preserve">
No answer required
Trading name
</v>
      </c>
      <c r="D466" s="92" t="str">
        <f t="shared" ca="1" si="66"/>
        <v/>
      </c>
      <c r="E466" s="708" t="str" cm="1">
        <f t="array" aca="1" ref="E466" ca="1">IF(INDIRECT($I466)= "", "", INDIRECT($I466))</f>
        <v/>
      </c>
      <c r="F466" s="709" t="str" cm="1">
        <f t="array" aca="1" ref="F466" ca="1">INDIRECT(LEFT(I466, FIND("!", I466)) &amp; RefData!$C$427 &amp; RIGHT(I466, LEN(I466) - FIND("!", I466) - 1))</f>
        <v>CSI 11.0/5</v>
      </c>
      <c r="G466" s="710" t="b">
        <f ca="1">IF(ISNUMBER(SEARCH(RefData!$B$2, $C466)), FALSE, TRUE)</f>
        <v>0</v>
      </c>
      <c r="H466" s="113">
        <f>'Covenant summary information'!C72</f>
        <v>0</v>
      </c>
      <c r="I466" s="712" t="str">
        <f t="shared" ca="1" si="57"/>
        <v>'Covenant summary information'!C72</v>
      </c>
      <c r="J466" s="713" t="b" cm="1">
        <f t="array" aca="1" ref="J466" ca="1">IF(
    ISNUMBER(SEARCH(RefData!$B$2, $C$421)),
    IF(
        $E466 &lt;&gt; "",
        $J$421,
        IF(
            $E466 = "",
            FALSE
        )
    ),
    IF(
        COUNTIF($K466:$T466, "&lt;&gt;FALSE") - COUNTBLANK($K466:$T466) &gt; 0,
        INDEX($K466:$T466, MATCH(TRUE, $K466:$T466 &lt;&gt; FALSE, 0))
    )
)</f>
        <v>0</v>
      </c>
      <c r="K466" s="712" t="b">
        <f ca="1">IF(AND('Start here'!$C$26=RefData!$B$9,'Reconciliation report'!$E466&lt;&gt;""),ErrorMsgs!$B466)</f>
        <v>0</v>
      </c>
      <c r="L466" s="712" t="b">
        <f ca="1">IF(AND('Start here'!$C$26=RefData!$B$10,'Covenant summary information'!$C$12=0,'Reconciliation report'!$E466&lt;&gt;""),ErrorMsgs!$C466)</f>
        <v>0</v>
      </c>
      <c r="M466" s="712" t="b">
        <f ca="1">IF(AND('Start here'!$C$26=RefData!$B$10,'Covenant summary information'!$C$12&lt;5,'Reconciliation report'!$E466&lt;&gt;""),ErrorMsgs!$D466)</f>
        <v>0</v>
      </c>
      <c r="N466" s="712" t="b">
        <f ca="1">IF(AND('Start here'!$C$26=RefData!$B$10,'Covenant summary information'!$C$12&gt;=5,TRIM($E464)&lt;&gt;"",'Reconciliation report'!$E466&lt;&gt;""),ErrorMsgs!$E466)</f>
        <v>0</v>
      </c>
      <c r="O466" s="714" t="b">
        <f ca="1">IF(AND('Start here'!$C$26=RefData!$B$10,'Covenant summary information'!$C$12&gt;=5,$E465&lt;&gt;"",'Reconciliation report'!$E466&lt;&gt;""),ErrorMsgs!$F466)</f>
        <v>0</v>
      </c>
      <c r="P466" s="712" t="b">
        <f ca="1">IF(AND('Start here'!$C$26=RefData!$B$10,'Covenant summary information'!$C$12&gt;=5,'Reconciliation report'!$E466="",TRIM($E464)="",$E465=""),ErrorMsgs!$G466)</f>
        <v>0</v>
      </c>
      <c r="Q466" s="728" t="b">
        <f ca="1">IF($E466="",FALSE,IF(LEN($E466)&gt;510,ErrorMsgs!$H466))</f>
        <v>0</v>
      </c>
      <c r="R466" s="714"/>
      <c r="S466" s="714"/>
      <c r="T466" s="714"/>
      <c r="U466" s="526" t="str">
        <f t="shared" ca="1" si="62"/>
        <v/>
      </c>
      <c r="V466" s="93" t="str" cm="1">
        <f t="array" aca="1" ref="V466" ca="1">CELL("format",INDIRECT(I466))</f>
        <v>G</v>
      </c>
      <c r="W466" s="93" t="b">
        <f t="shared" ca="1" si="63"/>
        <v>0</v>
      </c>
      <c r="X466" s="715" t="str">
        <f t="shared" ca="1" si="61"/>
        <v/>
      </c>
      <c r="Y466" t="b">
        <f t="shared" ca="1" si="64"/>
        <v>1</v>
      </c>
    </row>
    <row r="467" spans="1:25" ht="77.5">
      <c r="A467" s="705" t="s">
        <v>3473</v>
      </c>
      <c r="B467" s="716" t="str">
        <f t="shared" ca="1" si="56"/>
        <v>Covenant summary information - C73</v>
      </c>
      <c r="C467" s="707" t="str" cm="1">
        <f t="array" aca="1" ref="C467" ca="1">INDIRECT(LEFT(I467, FIND("!", I467)) &amp; RefData!$C$426 &amp; RIGHT(I467, LEN(I467) - FIND("!", I467) - 1))</f>
        <v xml:space="preserve">
No answer required
Address line 1
</v>
      </c>
      <c r="D467" s="92" t="str">
        <f t="shared" ca="1" si="66"/>
        <v/>
      </c>
      <c r="E467" s="708" t="str" cm="1">
        <f t="array" aca="1" ref="E467" ca="1">IF(INDIRECT($I467)= "", "", INDIRECT($I467))</f>
        <v/>
      </c>
      <c r="F467" s="709" t="str" cm="1">
        <f t="array" aca="1" ref="F467" ca="1">INDIRECT(LEFT(I467, FIND("!", I467)) &amp; RefData!$C$427 &amp; RIGHT(I467, LEN(I467) - FIND("!", I467) - 1))</f>
        <v>CSI 12.0/5</v>
      </c>
      <c r="G467" s="710" t="b">
        <f ca="1">IF(ISNUMBER(SEARCH(RefData!$B$2, $C467)), FALSE, TRUE)</f>
        <v>0</v>
      </c>
      <c r="H467" s="113">
        <f>'Covenant summary information'!C73</f>
        <v>0</v>
      </c>
      <c r="I467" s="712" t="str">
        <f t="shared" ca="1" si="57"/>
        <v>'Covenant summary information'!C73</v>
      </c>
      <c r="J467" s="713" t="b" cm="1">
        <f t="array" aca="1" ref="J467" ca="1">IF(
    ISNUMBER(SEARCH(RefData!$B$2, $C$421)),
    IF(
        $E467 &lt;&gt; "",
        $J$421,
        IF(
            $E467 = "",
            FALSE
        )
    ),
    IF(
        COUNTIF($K467:$T467, "&lt;&gt;FALSE") - COUNTBLANK($K467:$T467) &gt; 0,
        INDEX($K467:$T467, MATCH(TRUE, $K467:$T467 &lt;&gt; FALSE, 0))
    )
)</f>
        <v>0</v>
      </c>
      <c r="K467" s="712" t="b">
        <f ca="1">IF(AND('Start here'!$C$26=RefData!$B$9,'Reconciliation report'!$E467&lt;&gt;""),ErrorMsgs!$B467)</f>
        <v>0</v>
      </c>
      <c r="L467" s="712" t="b">
        <f ca="1">IF(AND('Start here'!$C$26=RefData!$B$10,'Covenant summary information'!$C$12=0,'Reconciliation report'!$E467&lt;&gt;""),ErrorMsgs!$C467)</f>
        <v>0</v>
      </c>
      <c r="M467" s="712" t="b">
        <f ca="1">IF(AND('Start here'!$C$26=RefData!$B$10,'Covenant summary information'!$C$12&lt;5,'Reconciliation report'!$E467&lt;&gt;""),ErrorMsgs!$D467)</f>
        <v>0</v>
      </c>
      <c r="N467" s="712" t="b">
        <f ca="1">IF(AND('Start here'!$C$26=RefData!$B$10,'Covenant summary information'!$C$12&gt;=5,TRIM($E464)&lt;&gt;"",'Reconciliation report'!$E467&lt;&gt;""),ErrorMsgs!$E467)</f>
        <v>0</v>
      </c>
      <c r="O467" s="714" t="b">
        <f ca="1">IF(AND('Start here'!$C$26=RefData!$B$10,'Covenant summary information'!$C$12&gt;=5,$E465&lt;&gt;"",'Reconciliation report'!$E467&lt;&gt;""),ErrorMsgs!$F467)</f>
        <v>0</v>
      </c>
      <c r="P467" s="712" t="b">
        <f ca="1">IF(AND('Start here'!$C$26=RefData!$B$10,'Covenant summary information'!$C$12&gt;=5,'Reconciliation report'!$E467="",TRIM($E464)="",$E465=""),ErrorMsgs!$G467)</f>
        <v>0</v>
      </c>
      <c r="Q467" s="712" t="b">
        <f ca="1">IF($E467="",FALSE,IF(LEN($E467)&gt;510,ErrorMsgs!$H467))</f>
        <v>0</v>
      </c>
      <c r="R467" s="714"/>
      <c r="S467" s="714"/>
      <c r="T467" s="714"/>
      <c r="U467" s="526" t="str">
        <f t="shared" ca="1" si="62"/>
        <v/>
      </c>
      <c r="V467" s="93" t="str" cm="1">
        <f t="array" aca="1" ref="V467" ca="1">CELL("format",INDIRECT(I467))</f>
        <v>G</v>
      </c>
      <c r="W467" s="93" t="b">
        <f t="shared" ca="1" si="63"/>
        <v>0</v>
      </c>
      <c r="X467" s="715" t="str">
        <f t="shared" ca="1" si="61"/>
        <v/>
      </c>
      <c r="Y467" t="b">
        <f t="shared" ca="1" si="64"/>
        <v>1</v>
      </c>
    </row>
    <row r="468" spans="1:25" ht="77.5">
      <c r="A468" s="705" t="s">
        <v>3474</v>
      </c>
      <c r="B468" s="716" t="str">
        <f t="shared" ca="1" si="56"/>
        <v>Covenant summary information - C74</v>
      </c>
      <c r="C468" s="707" t="str" cm="1">
        <f t="array" aca="1" ref="C468" ca="1">INDIRECT(LEFT(I468, FIND("!", I468)) &amp; RefData!$C$426 &amp; RIGHT(I468, LEN(I468) - FIND("!", I468) - 1))</f>
        <v xml:space="preserve">
No answer required
Address line 2 (optional)
</v>
      </c>
      <c r="D468" s="92" t="str">
        <f t="shared" ca="1" si="66"/>
        <v/>
      </c>
      <c r="E468" s="708" t="str" cm="1">
        <f t="array" aca="1" ref="E468" ca="1">IF(INDIRECT($I468)= "", "", INDIRECT($I468))</f>
        <v/>
      </c>
      <c r="F468" s="709" t="str" cm="1">
        <f t="array" aca="1" ref="F468" ca="1">INDIRECT(LEFT(I468, FIND("!", I468)) &amp; RefData!$C$427 &amp; RIGHT(I468, LEN(I468) - FIND("!", I468) - 1))</f>
        <v>CSI 13.0/5</v>
      </c>
      <c r="G468" s="710" t="b">
        <f ca="1">IF(ISNUMBER(SEARCH(RefData!$B$2, $C468)), FALSE, TRUE)</f>
        <v>0</v>
      </c>
      <c r="H468" s="113">
        <f>'Covenant summary information'!C74</f>
        <v>0</v>
      </c>
      <c r="I468" s="712" t="str">
        <f t="shared" ca="1" si="57"/>
        <v>'Covenant summary information'!C74</v>
      </c>
      <c r="J468" s="713" t="b" cm="1">
        <f t="array" aca="1" ref="J468" ca="1">IF(
    ISNUMBER(SEARCH(RefData!$B$2, $C$421)),
    IF(
        $E468 &lt;&gt; "",
        $J$421,
        IF(
            $E468 = "",
            FALSE
        )
    ),
    IF(
        COUNTIF($K468:$T468, "&lt;&gt;FALSE") - COUNTBLANK($K468:$T468) &gt; 0,
        INDEX($K468:$T468, MATCH(TRUE, $K468:$T468 &lt;&gt; FALSE, 0))
    )
)</f>
        <v>0</v>
      </c>
      <c r="K468" s="712" t="b">
        <f ca="1">IF(AND('Start here'!$C$26=RefData!$B$9,'Reconciliation report'!$E468&lt;&gt;""),ErrorMsgs!$B468)</f>
        <v>0</v>
      </c>
      <c r="L468" s="712" t="b">
        <f ca="1">IF(AND('Start here'!$C$26=RefData!$B$10,'Covenant summary information'!$C$12=0,'Reconciliation report'!$E468&lt;&gt;""),ErrorMsgs!$C468)</f>
        <v>0</v>
      </c>
      <c r="M468" s="712" t="b">
        <f ca="1">IF(AND('Start here'!$C$26=RefData!$B$10,'Covenant summary information'!$C$12&lt;5,'Reconciliation report'!$E468&lt;&gt;""),ErrorMsgs!$D468)</f>
        <v>0</v>
      </c>
      <c r="N468" s="712" t="b">
        <f ca="1">IF(AND('Start here'!$C$26=RefData!$B$10,'Covenant summary information'!$C$12&gt;=5,TRIM($E464)&lt;&gt;"",'Reconciliation report'!$E468&lt;&gt;""),ErrorMsgs!$E468)</f>
        <v>0</v>
      </c>
      <c r="O468" s="712" t="b">
        <f ca="1">IF(AND('Start here'!$C$26=RefData!$B$10,'Covenant summary information'!$C$12&gt;=5,$E465&lt;&gt;"",'Reconciliation report'!$E468&lt;&gt;""),ErrorMsgs!$F468)</f>
        <v>0</v>
      </c>
      <c r="P468" s="714" t="b">
        <f ca="1">IF($E468="",FALSE,IF(LEN($E468)&gt;510,ErrorMsgs!$G468))</f>
        <v>0</v>
      </c>
      <c r="Q468" s="712"/>
      <c r="R468" s="714"/>
      <c r="S468" s="714"/>
      <c r="T468" s="714"/>
      <c r="U468" s="526" t="str">
        <f t="shared" ca="1" si="62"/>
        <v/>
      </c>
      <c r="V468" s="93" t="str" cm="1">
        <f t="array" aca="1" ref="V468" ca="1">CELL("format",INDIRECT(I468))</f>
        <v>G</v>
      </c>
      <c r="W468" s="93" t="b">
        <f t="shared" ca="1" si="63"/>
        <v>0</v>
      </c>
      <c r="X468" s="715" t="str">
        <f t="shared" ca="1" si="61"/>
        <v/>
      </c>
      <c r="Y468" t="b">
        <f t="shared" ca="1" si="64"/>
        <v>1</v>
      </c>
    </row>
    <row r="469" spans="1:25" ht="77.5">
      <c r="A469" s="705" t="s">
        <v>3475</v>
      </c>
      <c r="B469" s="716" t="str">
        <f t="shared" ca="1" si="56"/>
        <v>Covenant summary information - C75</v>
      </c>
      <c r="C469" s="707" t="str" cm="1">
        <f t="array" aca="1" ref="C469" ca="1">INDIRECT(LEFT(I469, FIND("!", I469)) &amp; RefData!$C$426 &amp; RIGHT(I469, LEN(I469) - FIND("!", I469) - 1))</f>
        <v xml:space="preserve">
No answer required
Address line 3 (optional)
</v>
      </c>
      <c r="D469" s="92" t="str">
        <f t="shared" ca="1" si="66"/>
        <v/>
      </c>
      <c r="E469" s="708" t="str" cm="1">
        <f t="array" aca="1" ref="E469" ca="1">IF(INDIRECT($I469)= "", "", INDIRECT($I469))</f>
        <v/>
      </c>
      <c r="F469" s="709" t="str" cm="1">
        <f t="array" aca="1" ref="F469" ca="1">INDIRECT(LEFT(I469, FIND("!", I469)) &amp; RefData!$C$427 &amp; RIGHT(I469, LEN(I469) - FIND("!", I469) - 1))</f>
        <v>CSI 14.0/5</v>
      </c>
      <c r="G469" s="710" t="b">
        <f ca="1">IF(ISNUMBER(SEARCH(RefData!$B$2, $C469)), FALSE, TRUE)</f>
        <v>0</v>
      </c>
      <c r="H469" s="113">
        <f>'Covenant summary information'!C75</f>
        <v>0</v>
      </c>
      <c r="I469" s="712" t="str">
        <f t="shared" ca="1" si="57"/>
        <v>'Covenant summary information'!C75</v>
      </c>
      <c r="J469" s="713" t="b" cm="1">
        <f t="array" aca="1" ref="J469" ca="1">IF(
    ISNUMBER(SEARCH(RefData!$B$2, $C$421)),
    IF(
        $E469 &lt;&gt; "",
        $J$421,
        IF(
            $E469 = "",
            FALSE
        )
    ),
    IF(
        COUNTIF($K469:$T469, "&lt;&gt;FALSE") - COUNTBLANK($K469:$T469) &gt; 0,
        INDEX($K469:$T469, MATCH(TRUE, $K469:$T469 &lt;&gt; FALSE, 0))
    )
)</f>
        <v>0</v>
      </c>
      <c r="K469" s="712" t="b">
        <f ca="1">IF(AND('Start here'!$C$26=RefData!$B$9,'Reconciliation report'!$E469&lt;&gt;""),ErrorMsgs!$B469)</f>
        <v>0</v>
      </c>
      <c r="L469" s="712" t="b">
        <f ca="1">IF(AND('Start here'!$C$26=RefData!$B$10,'Covenant summary information'!$C$12=0,'Reconciliation report'!$E469&lt;&gt;""),ErrorMsgs!$C469)</f>
        <v>0</v>
      </c>
      <c r="M469" s="712" t="b">
        <f ca="1">IF(AND('Start here'!$C$26=RefData!$B$10,'Covenant summary information'!$C$12&lt;5,'Reconciliation report'!$E469&lt;&gt;""),ErrorMsgs!$D469)</f>
        <v>0</v>
      </c>
      <c r="N469" s="712" t="b">
        <f ca="1">IF(AND('Start here'!$C$26=RefData!$B$10,'Covenant summary information'!$C$12&gt;=5,TRIM($E464)&lt;&gt;"",'Reconciliation report'!$E469&lt;&gt;""),ErrorMsgs!$E469)</f>
        <v>0</v>
      </c>
      <c r="O469" s="714" t="b">
        <f ca="1">IF(AND('Start here'!$C$26=RefData!$B$10,'Covenant summary information'!$C$12&gt;=5,$E465&lt;&gt;"",'Reconciliation report'!$E469&lt;&gt;""),ErrorMsgs!$F469)</f>
        <v>0</v>
      </c>
      <c r="P469" s="714" t="b">
        <f ca="1">IF($E469="",FALSE,IF(LEN($E469)&gt;510,ErrorMsgs!$G469))</f>
        <v>0</v>
      </c>
      <c r="Q469" s="712"/>
      <c r="R469" s="712"/>
      <c r="S469" s="712"/>
      <c r="T469" s="712"/>
      <c r="U469" s="526" t="str">
        <f t="shared" ca="1" si="62"/>
        <v/>
      </c>
      <c r="V469" s="93" t="str" cm="1">
        <f t="array" aca="1" ref="V469" ca="1">CELL("format",INDIRECT(I469))</f>
        <v>G</v>
      </c>
      <c r="W469" s="93" t="b">
        <f t="shared" ca="1" si="63"/>
        <v>0</v>
      </c>
      <c r="X469" s="715" t="str">
        <f t="shared" ca="1" si="61"/>
        <v/>
      </c>
      <c r="Y469" t="b">
        <f t="shared" ca="1" si="64"/>
        <v>1</v>
      </c>
    </row>
    <row r="470" spans="1:25" ht="77.5">
      <c r="A470" s="705" t="s">
        <v>3476</v>
      </c>
      <c r="B470" s="716" t="str">
        <f t="shared" ca="1" si="56"/>
        <v>Covenant summary information - C76</v>
      </c>
      <c r="C470" s="707" t="str" cm="1">
        <f t="array" aca="1" ref="C470" ca="1">INDIRECT(LEFT(I470, FIND("!", I470)) &amp; RefData!$C$426 &amp; RIGHT(I470, LEN(I470) - FIND("!", I470) - 1))</f>
        <v xml:space="preserve">
No answer required
Post town or city
</v>
      </c>
      <c r="D470" s="92" t="str">
        <f t="shared" ca="1" si="66"/>
        <v/>
      </c>
      <c r="E470" s="708" t="str" cm="1">
        <f t="array" aca="1" ref="E470" ca="1">IF(INDIRECT($I470)= "", "", INDIRECT($I470))</f>
        <v/>
      </c>
      <c r="F470" s="709" t="str" cm="1">
        <f t="array" aca="1" ref="F470" ca="1">INDIRECT(LEFT(I470, FIND("!", I470)) &amp; RefData!$C$427 &amp; RIGHT(I470, LEN(I470) - FIND("!", I470) - 1))</f>
        <v>CSI 15.0/5</v>
      </c>
      <c r="G470" s="710" t="b">
        <f ca="1">IF(ISNUMBER(SEARCH(RefData!$B$2, $C470)), FALSE, TRUE)</f>
        <v>0</v>
      </c>
      <c r="H470" s="113">
        <f>'Covenant summary information'!C76</f>
        <v>0</v>
      </c>
      <c r="I470" s="712" t="str">
        <f t="shared" ca="1" si="57"/>
        <v>'Covenant summary information'!C76</v>
      </c>
      <c r="J470" s="713" t="b" cm="1">
        <f t="array" aca="1" ref="J470" ca="1">IF(
    ISNUMBER(SEARCH(RefData!$B$2, $C$421)),
    IF(
        $E470 &lt;&gt; "",
        $J$421,
        IF(
            $E470 = "",
            FALSE
        )
    ),
    IF(
        COUNTIF($K470:$T470, "&lt;&gt;FALSE") - COUNTBLANK($K470:$T470) &gt; 0,
        INDEX($K470:$T470, MATCH(TRUE, $K470:$T470 &lt;&gt; FALSE, 0))
    )
)</f>
        <v>0</v>
      </c>
      <c r="K470" s="712" t="b">
        <f ca="1">IF(AND('Start here'!$C$26=RefData!$B$9,'Reconciliation report'!$E470&lt;&gt;""),ErrorMsgs!$B470)</f>
        <v>0</v>
      </c>
      <c r="L470" s="712" t="b">
        <f ca="1">IF(AND('Start here'!$C$26=RefData!$B$10,'Covenant summary information'!$C$12=0,'Reconciliation report'!$E470&lt;&gt;""),ErrorMsgs!$C470)</f>
        <v>0</v>
      </c>
      <c r="M470" s="712" t="b">
        <f ca="1">IF(AND('Start here'!$C$26=RefData!$B$10,'Covenant summary information'!$C$12&lt;5,'Reconciliation report'!$E470&lt;&gt;""),ErrorMsgs!$D470)</f>
        <v>0</v>
      </c>
      <c r="N470" s="712" t="b">
        <f ca="1">IF(AND('Start here'!$C$26=RefData!$B$10,'Covenant summary information'!$C$12&gt;=5,TRIM($E464)&lt;&gt;"",'Reconciliation report'!$E470&lt;&gt;""),ErrorMsgs!$E470)</f>
        <v>0</v>
      </c>
      <c r="O470" s="714" t="b">
        <f ca="1">IF(AND('Start here'!$C$26=RefData!$B$10,'Covenant summary information'!$C$12&gt;=5,$E465&lt;&gt;"",'Reconciliation report'!$E470&lt;&gt;""),ErrorMsgs!$F470)</f>
        <v>0</v>
      </c>
      <c r="P470" s="712" t="b">
        <f ca="1">IF(AND('Start here'!$C$26=RefData!$B$10,'Covenant summary information'!$C$12&gt;=5,'Reconciliation report'!$E470="",TRIM($E464)="",$E465=""),ErrorMsgs!$G470)</f>
        <v>0</v>
      </c>
      <c r="Q470" s="712" t="b">
        <f ca="1">IF($E470="",FALSE,IF(LEN($E470)&gt;510,ErrorMsgs!H470))</f>
        <v>0</v>
      </c>
      <c r="R470" s="714"/>
      <c r="S470" s="714"/>
      <c r="T470" s="714"/>
      <c r="U470" s="526" t="str">
        <f t="shared" ca="1" si="62"/>
        <v/>
      </c>
      <c r="V470" s="93" t="str" cm="1">
        <f t="array" aca="1" ref="V470" ca="1">CELL("format",INDIRECT(I470))</f>
        <v>G</v>
      </c>
      <c r="W470" s="93" t="b">
        <f t="shared" ca="1" si="63"/>
        <v>0</v>
      </c>
      <c r="X470" s="715" t="str">
        <f t="shared" ca="1" si="61"/>
        <v/>
      </c>
      <c r="Y470" t="b">
        <f t="shared" ca="1" si="64"/>
        <v>1</v>
      </c>
    </row>
    <row r="471" spans="1:25" ht="77.5">
      <c r="A471" s="705" t="s">
        <v>3477</v>
      </c>
      <c r="B471" s="716" t="str">
        <f t="shared" ca="1" si="56"/>
        <v>Covenant summary information - C77</v>
      </c>
      <c r="C471" s="707" t="str" cm="1">
        <f t="array" aca="1" ref="C471" ca="1">INDIRECT(LEFT(I471, FIND("!", I471)) &amp; RefData!$C$426 &amp; RIGHT(I471, LEN(I471) - FIND("!", I471) - 1))</f>
        <v xml:space="preserve">
No answer required
Country
</v>
      </c>
      <c r="D471" s="92" t="str">
        <f t="shared" ca="1" si="66"/>
        <v/>
      </c>
      <c r="E471" s="708" t="str" cm="1">
        <f t="array" aca="1" ref="E471" ca="1">IF(INDIRECT($I471)= "", "", INDIRECT($I471))</f>
        <v/>
      </c>
      <c r="F471" s="709" t="str" cm="1">
        <f t="array" aca="1" ref="F471" ca="1">INDIRECT(LEFT(I471, FIND("!", I471)) &amp; RefData!$C$427 &amp; RIGHT(I471, LEN(I471) - FIND("!", I471) - 1))</f>
        <v>CSI 16.0/5</v>
      </c>
      <c r="G471" s="710" t="b">
        <f ca="1">IF(ISNUMBER(SEARCH(RefData!$B$2, $C471)), FALSE, TRUE)</f>
        <v>0</v>
      </c>
      <c r="H471" s="113">
        <f>'Covenant summary information'!C77</f>
        <v>0</v>
      </c>
      <c r="I471" s="712" t="str">
        <f t="shared" ca="1" si="57"/>
        <v>'Covenant summary information'!C77</v>
      </c>
      <c r="J471" s="713" t="b" cm="1">
        <f t="array" aca="1" ref="J471" ca="1">IF(
    ISNUMBER(SEARCH(RefData!$B$2, $C$421)),
    IF(
        $E471 &lt;&gt; "",
        $J$421,
        IF(
            $E471 = "",
            FALSE
        )
    ),
    IF(
        COUNTIF($K471:$T471, "&lt;&gt;FALSE") - COUNTBLANK($K471:$T471) &gt; 0,
        INDEX($K471:$T471, MATCH(TRUE, $K471:$T471 &lt;&gt; FALSE, 0))
    )
)</f>
        <v>0</v>
      </c>
      <c r="K471" s="712" t="b">
        <f ca="1">IF(AND('Start here'!$C$26=RefData!$B$9,'Reconciliation report'!$E471&lt;&gt;""),ErrorMsgs!$B471)</f>
        <v>0</v>
      </c>
      <c r="L471" s="712" t="b">
        <f ca="1">IF(AND('Start here'!$C$26=RefData!$B$10,'Covenant summary information'!$C$12=0,'Reconciliation report'!$E471&lt;&gt;""),ErrorMsgs!$C471)</f>
        <v>0</v>
      </c>
      <c r="M471" s="712" t="b">
        <f ca="1">IF(AND('Start here'!$C$26=RefData!$B$10,'Covenant summary information'!$C$12&lt;5,'Reconciliation report'!$E471&lt;&gt;""),ErrorMsgs!$D471)</f>
        <v>0</v>
      </c>
      <c r="N471" s="712" t="b">
        <f ca="1">IF(AND('Start here'!$C$26=RefData!$B$10,'Covenant summary information'!$C$12&gt;=5,TRIM($E$464)&lt;&gt;"",'Reconciliation report'!$E471&lt;&gt;""),ErrorMsgs!$E471)</f>
        <v>0</v>
      </c>
      <c r="O471" s="714" t="b">
        <f ca="1">IF(AND('Start here'!$C$26=RefData!$B$10,'Covenant summary information'!$C$12&gt;=5,$E$465&lt;&gt;"",'Reconciliation report'!$E471&lt;&gt;""),ErrorMsgs!$F471)</f>
        <v>0</v>
      </c>
      <c r="P471" s="712" t="b">
        <f ca="1">IF(AND('Start here'!$C$26=RefData!$B$10,'Covenant summary information'!$C$12&gt;=5,'Reconciliation report'!$E471="",TRIM($E464)="",$E465=""),ErrorMsgs!$G471)</f>
        <v>0</v>
      </c>
      <c r="Q471" s="728" t="b">
        <f ca="1">IF($E471="",FALSE,IF(ISNA(MATCH($E471,RefData!$B$206:$B$400,0)),ErrorMsgs!$H471))</f>
        <v>0</v>
      </c>
      <c r="R471" s="726"/>
      <c r="S471" s="726"/>
      <c r="T471" s="726"/>
      <c r="U471" s="526" t="str">
        <f t="shared" ca="1" si="62"/>
        <v/>
      </c>
      <c r="V471" s="93" t="str" cm="1">
        <f t="array" aca="1" ref="V471" ca="1">CELL("format",INDIRECT(I471))</f>
        <v>G</v>
      </c>
      <c r="W471" s="93" t="b">
        <f t="shared" ca="1" si="63"/>
        <v>0</v>
      </c>
      <c r="X471" s="715" t="str">
        <f t="shared" ca="1" si="61"/>
        <v/>
      </c>
      <c r="Y471" t="b">
        <f t="shared" ca="1" si="64"/>
        <v>1</v>
      </c>
    </row>
    <row r="472" spans="1:25" ht="77.5">
      <c r="A472" s="705" t="s">
        <v>3478</v>
      </c>
      <c r="B472" s="716" t="str">
        <f t="shared" ca="1" si="56"/>
        <v>Covenant summary information - C78</v>
      </c>
      <c r="C472" s="707" t="str" cm="1">
        <f t="array" aca="1" ref="C472" ca="1">INDIRECT(LEFT(I472, FIND("!", I472)) &amp; RefData!$C$426 &amp; RIGHT(I472, LEN(I472) - FIND("!", I472) - 1))</f>
        <v xml:space="preserve">
No answer required
Postcode
</v>
      </c>
      <c r="D472" s="92" t="str">
        <f t="shared" ca="1" si="66"/>
        <v/>
      </c>
      <c r="E472" s="708" t="str" cm="1">
        <f t="array" aca="1" ref="E472" ca="1">IF(INDIRECT($I472)= "", "", INDIRECT($I472))</f>
        <v/>
      </c>
      <c r="F472" s="709" t="str" cm="1">
        <f t="array" aca="1" ref="F472" ca="1">INDIRECT(LEFT(I472, FIND("!", I472)) &amp; RefData!$C$427 &amp; RIGHT(I472, LEN(I472) - FIND("!", I472) - 1))</f>
        <v>CSI 17.0/5</v>
      </c>
      <c r="G472" s="710" t="b">
        <f ca="1">IF(ISNUMBER(SEARCH(RefData!$B$2, $C472)), FALSE, TRUE)</f>
        <v>0</v>
      </c>
      <c r="H472" s="113">
        <f>'Covenant summary information'!C78</f>
        <v>0</v>
      </c>
      <c r="I472" s="712" t="str">
        <f t="shared" ca="1" si="57"/>
        <v>'Covenant summary information'!C78</v>
      </c>
      <c r="J472" s="713" t="b" cm="1">
        <f t="array" aca="1" ref="J472" ca="1">IF(
    ISNUMBER(SEARCH(RefData!$B$2, $C$421)),
    IF(
        $E472 &lt;&gt; "",
        $J$421,
        IF(
            $E472 = "",
            FALSE
        )
    ),
    IF(
        COUNTIF($K472:$T472, "&lt;&gt;FALSE") - COUNTBLANK($K472:$T472) &gt; 0,
        INDEX($K472:$T472, MATCH(TRUE, $K472:$T472 &lt;&gt; FALSE, 0))
    )
)</f>
        <v>0</v>
      </c>
      <c r="K472" s="712" t="b">
        <f ca="1">IF(AND('Start here'!$C$26=RefData!$B$9,'Reconciliation report'!$E472&lt;&gt;""),ErrorMsgs!$B472)</f>
        <v>0</v>
      </c>
      <c r="L472" s="712" t="b">
        <f ca="1">IF(AND('Start here'!$C$26=RefData!$B$10,'Covenant summary information'!$C$12=0,'Reconciliation report'!$E472&lt;&gt;""),ErrorMsgs!$C472)</f>
        <v>0</v>
      </c>
      <c r="M472" s="712" t="b">
        <f ca="1">IF(AND('Start here'!$C$26=RefData!$B$10,'Covenant summary information'!$C$12&lt;5,'Reconciliation report'!$E472&lt;&gt;""),ErrorMsgs!$D472)</f>
        <v>0</v>
      </c>
      <c r="N472" s="712" t="b">
        <f ca="1">IF(AND('Start here'!$C$26=RefData!$B$10,'Covenant summary information'!$C$12&gt;=5,TRIM($E464)&lt;&gt;"",'Reconciliation report'!$E472&lt;&gt;""),ErrorMsgs!$E472)</f>
        <v>0</v>
      </c>
      <c r="O472" s="714" t="b">
        <f ca="1">IF(AND('Start here'!$C$26=RefData!$B$10,'Covenant summary information'!$C$12&gt;=5,$E465&lt;&gt;"",'Reconciliation report'!$E472&lt;&gt;""),ErrorMsgs!$F472)</f>
        <v>0</v>
      </c>
      <c r="P472" s="728" t="b">
        <f ca="1">IF(AND('Start here'!$C$26=RefData!$B$10,'Covenant summary information'!$C$12&gt;=5,'Reconciliation report'!$E472="",TRIM($E464)="",$E465="",$E471=RefData!$B$206),ErrorMsgs!$G472)</f>
        <v>0</v>
      </c>
      <c r="Q472" s="712" t="b">
        <f ca="1">IF(AND($E471=RefData!$B$206,
 OR(LEN($E472)&lt;5,
LEN($E472)&gt;8,
(ISNUMBER(VALUE(LEFT($E472,1)))),
(NOT(ISNUMBER(VALUE(MID($E472,LEN($E472)-2,1))))),
(ISNUMBER(VALUE(MID($E472,LEN($E472)-1,1)))),
ISNUMBER(VALUE(RIGHT($E472,1))))),
ErrorMsgs!$H472, FALSE)</f>
        <v>0</v>
      </c>
      <c r="R472" s="735"/>
      <c r="S472" s="735"/>
      <c r="T472" s="735"/>
      <c r="U472" s="526" t="str">
        <f t="shared" ca="1" si="62"/>
        <v/>
      </c>
      <c r="V472" s="93" t="str" cm="1">
        <f t="array" aca="1" ref="V472" ca="1">CELL("format",INDIRECT(I472))</f>
        <v>G</v>
      </c>
      <c r="W472" s="93" t="b">
        <f t="shared" ca="1" si="63"/>
        <v>0</v>
      </c>
      <c r="X472" s="715" t="str">
        <f t="shared" ca="1" si="61"/>
        <v/>
      </c>
      <c r="Y472" t="b">
        <f t="shared" ca="1" si="64"/>
        <v>1</v>
      </c>
    </row>
    <row r="473" spans="1:25" ht="77.5">
      <c r="A473" s="705" t="s">
        <v>3479</v>
      </c>
      <c r="B473" s="716" t="str">
        <f t="shared" ca="1" si="56"/>
        <v>Covenant summary information - C82</v>
      </c>
      <c r="C473" s="707" t="str" cm="1">
        <f t="array" aca="1" ref="C473" ca="1">INDIRECT(LEFT(I473, FIND("!", I473)) &amp; RefData!$C$426 &amp; RIGHT(I473, LEN(I473) - FIND("!", I473) - 1))</f>
        <v xml:space="preserve">No answer required
Does the scheme rely on contingent assets to take funding and investment risk above what the employer can support?
</v>
      </c>
      <c r="D473" s="92" t="str">
        <f t="shared" ca="1" si="50"/>
        <v/>
      </c>
      <c r="E473" s="708" t="str" cm="1">
        <f t="array" aca="1" ref="E473" ca="1">IF(INDIRECT($I473)= "", "", INDIRECT($I473))</f>
        <v/>
      </c>
      <c r="F473" s="709" t="str" cm="1">
        <f t="array" aca="1" ref="F473" ca="1">INDIRECT(LEFT(I473, FIND("!", I473)) &amp; RefData!$C$427 &amp; RIGHT(I473, LEN(I473) - FIND("!", I473) - 1))</f>
        <v>CSI 18.0</v>
      </c>
      <c r="G473" s="710" t="b">
        <f ca="1">IF(ISNUMBER(SEARCH(RefData!$B$2, $C473)), FALSE, TRUE)</f>
        <v>0</v>
      </c>
      <c r="H473" s="113">
        <f>'Covenant summary information'!C82</f>
        <v>0</v>
      </c>
      <c r="I473" s="712" t="str">
        <f t="shared" ca="1" si="57"/>
        <v>'Covenant summary information'!C82</v>
      </c>
      <c r="J473" s="713" t="b" cm="1">
        <f t="array" aca="1" ref="J473" ca="1">IF(COUNTIF($K473:$T473, "&lt;&gt;FALSE") - COUNTBLANK($K473:$T473) &gt; 0, INDEX($K473:$T473, MATCH(TRUE, $K473:$T473 &lt;&gt; FALSE, 0)))</f>
        <v>0</v>
      </c>
      <c r="K473" s="712" t="b">
        <f ca="1">IF(AND('Start here'!$C$26=RefData!$B$9,'Start here'!$C$24=RefData!$B$4,'Reconciliation report'!E473&lt;&gt;""),ErrorMsgs!$B473)</f>
        <v>0</v>
      </c>
      <c r="L473" s="712" t="b">
        <f ca="1">IF(AND('Start here'!$C$26=RefData!$B$9,'Start here'!$C$24=RefData!$B$5,'Start here'!$C$28=RefData!$B$13,'Reconciliation report'!$E$473&lt;&gt;""),ErrorMsgs!$C473)</f>
        <v>0</v>
      </c>
      <c r="M473" s="714" t="b">
        <f ca="1">IF(AND('Start here'!$C$26=RefData!$B$9,'Start here'!$C$24=RefData!$B$5,'Start here'!$C$28=RefData!$B$14,'Reconciliation report'!$E$473=""),ErrorMsgs!$D473)</f>
        <v>0</v>
      </c>
      <c r="N473" s="714" t="b">
        <f ca="1">IF(AND('Start here'!$C$26=RefData!$B$10,'Start here'!$C$23=RefData!$B$18,'Reconciliation report'!$E473=""),ErrorMsgs!$E473)</f>
        <v>0</v>
      </c>
      <c r="O473" s="712" t="b">
        <f ca="1">IF(AND('Start here'!$C$26=RefData!$B$10,'Start here'!$C$23=RefData!$B$17,'Start here'!$C$27=RefData!$B$11,'Reconciliation report'!$E473&lt;&gt;""),ErrorMsgs!$F473)</f>
        <v>0</v>
      </c>
      <c r="P473" s="712" t="b">
        <f ca="1">IF(AND('Start here'!$C$26=RefData!$B$10,'Start here'!$C$23=RefData!$B$17,'Start here'!$C$27=RefData!$B$12,'Reconciliation report'!$E473=""),ErrorMsgs!$G473)</f>
        <v>0</v>
      </c>
      <c r="Q473" s="712" t="b">
        <f ca="1">IF($E473="",FALSE,IF(ISNA(MATCH($E473,RefData!$B$112:$B$113,0)),ErrorMsgs!$H473))</f>
        <v>0</v>
      </c>
      <c r="R473" s="730"/>
      <c r="S473" s="730"/>
      <c r="T473" s="730"/>
      <c r="U473" s="526" t="str">
        <f t="shared" ca="1" si="62"/>
        <v/>
      </c>
      <c r="V473" s="93" t="str" cm="1">
        <f t="array" aca="1" ref="V473" ca="1">CELL("format",INDIRECT(I473))</f>
        <v>G</v>
      </c>
      <c r="W473" s="93" t="b">
        <f t="shared" ca="1" si="63"/>
        <v>0</v>
      </c>
      <c r="X473" s="715" t="str">
        <f t="shared" ca="1" si="61"/>
        <v/>
      </c>
      <c r="Y473" t="b">
        <f t="shared" ca="1" si="64"/>
        <v>1</v>
      </c>
    </row>
    <row r="474" spans="1:25" ht="77.5">
      <c r="A474" s="705" t="s">
        <v>3480</v>
      </c>
      <c r="B474" s="716" t="str">
        <f t="shared" ca="1" si="56"/>
        <v>Covenant summary information - C83</v>
      </c>
      <c r="C474" s="707" t="str" cm="1">
        <f t="array" aca="1" ref="C474" ca="1">INDIRECT(LEFT(I474, FIND("!", I474)) &amp; RefData!$C$426 &amp; RIGHT(I474, LEN(I474) - FIND("!", I474) - 1))</f>
        <v xml:space="preserve">No answer required
How many guarantees do the trustees wish to include details about?
</v>
      </c>
      <c r="D474" s="92" t="str">
        <f t="shared" ca="1" si="50"/>
        <v/>
      </c>
      <c r="E474" s="708" t="str" cm="1">
        <f t="array" aca="1" ref="E474" ca="1">IF(INDIRECT($I474)= "", "", INDIRECT($I474))</f>
        <v/>
      </c>
      <c r="F474" s="709" t="str" cm="1">
        <f t="array" aca="1" ref="F474" ca="1">INDIRECT(LEFT(I474, FIND("!", I474)) &amp; RefData!$C$427 &amp; RIGHT(I474, LEN(I474) - FIND("!", I474) - 1))</f>
        <v>CSI 19.0</v>
      </c>
      <c r="G474" s="710" t="b">
        <f ca="1">IF(ISNUMBER(SEARCH(RefData!$B$2, $C474)), FALSE, TRUE)</f>
        <v>0</v>
      </c>
      <c r="H474" s="734">
        <f>'Covenant summary information'!C83</f>
        <v>0</v>
      </c>
      <c r="I474" s="712" t="str">
        <f t="shared" ca="1" si="57"/>
        <v>'Covenant summary information'!C83</v>
      </c>
      <c r="J474" s="713" t="b" cm="1">
        <f t="array" aca="1" ref="J474" ca="1">IF(COUNTIF($K474:$T474, "&lt;&gt;FALSE") - COUNTBLANK($K474:$T474) &gt; 0, INDEX($K474:$T474, MATCH(TRUE, $K474:$T474 &lt;&gt; FALSE, 0)))</f>
        <v>0</v>
      </c>
      <c r="K474" s="712" t="b">
        <f ca="1">IF(ISNUMBER(SEARCH(RefData!$B$2,$C$473)), $J473, FALSE)</f>
        <v>0</v>
      </c>
      <c r="L474" s="712" t="b">
        <f ca="1">IF(AND('Covenant summary information'!$C$82=RefData!$B$113,'Reconciliation report'!$E474&lt;&gt;""),ErrorMsgs!$B474)</f>
        <v>0</v>
      </c>
      <c r="M474" s="714" t="b">
        <f ca="1">IF(AND('Covenant summary information'!$C$82=RefData!$B$112,'Reconciliation report'!$E474=""),ErrorMsgs!$C474)</f>
        <v>0</v>
      </c>
      <c r="N474" s="714" t="b">
        <f ca="1">IF(E474="",FALSE,IF(AND($E473=RefData!$B$113,$E474=""),FALSE,IF(ROUND(VALUE($E474),0)-VALUE($E474)&lt;&gt;0,ErrorMsgs!$D474)))</f>
        <v>0</v>
      </c>
      <c r="O474" s="712" t="b">
        <f ca="1">IF(AND($E473=RefData!$B$113,$E474&lt;0),ErrorMsgs!$E474)</f>
        <v>0</v>
      </c>
      <c r="P474" s="712" t="b">
        <f>IF(AND('Covenant summary information'!$C$82=RefData!$B$112,SUM('Covenant summary information'!$C$83:$C$85)=0),ErrorMsgs!$F474)</f>
        <v>0</v>
      </c>
      <c r="Q474" s="712" t="b">
        <f ca="1">IF(AND('Start here'!$C$26=RefData!$B$9,'Start here'!$C$24=RefData!$B$4,'Reconciliation report'!E474&lt;&gt;""),ErrorMsgs!$G474)</f>
        <v>0</v>
      </c>
      <c r="R474" s="712" t="b">
        <f ca="1">IF(AND('Start here'!$C$26=RefData!$B$9,'Start here'!$C$24=RefData!$B$5,'Start here'!$C$28=RefData!$B$13,'Reconciliation report'!$E$474&lt;&gt;""),ErrorMsgs!$H474)</f>
        <v>0</v>
      </c>
      <c r="S474" s="712" t="b">
        <f ca="1">IF(AND('Start here'!$C$26=RefData!$B$10,'Start here'!$C$23=RefData!$B$17,'Start here'!$C$27=RefData!$B$11,'Reconciliation report'!$E474&lt;&gt;""),ErrorMsgs!$I474)</f>
        <v>0</v>
      </c>
      <c r="T474" s="712"/>
      <c r="U474" s="526" t="str">
        <f t="shared" ca="1" si="62"/>
        <v/>
      </c>
      <c r="V474" s="93" t="str" cm="1">
        <f t="array" aca="1" ref="V474" ca="1">CELL("format",INDIRECT(I474))</f>
        <v>F0</v>
      </c>
      <c r="W474" s="93" t="b">
        <f t="shared" ca="1" si="63"/>
        <v>0</v>
      </c>
      <c r="X474" s="715" t="str">
        <f t="shared" ca="1" si="61"/>
        <v/>
      </c>
      <c r="Y474" t="b">
        <f t="shared" ca="1" si="64"/>
        <v>1</v>
      </c>
    </row>
    <row r="475" spans="1:25" ht="77.5">
      <c r="A475" s="705" t="s">
        <v>3481</v>
      </c>
      <c r="B475" s="716" t="str">
        <f t="shared" ca="1" si="56"/>
        <v>Covenant summary information - C84</v>
      </c>
      <c r="C475" s="707" t="str" cm="1">
        <f t="array" aca="1" ref="C475" ca="1">INDIRECT(LEFT(I475, FIND("!", I475)) &amp; RefData!$C$426 &amp; RIGHT(I475, LEN(I475) - FIND("!", I475) - 1))</f>
        <v xml:space="preserve">No answer required
How many securities do the trustees wish to include details about?
</v>
      </c>
      <c r="D475" s="92" t="str">
        <f t="shared" ca="1" si="50"/>
        <v/>
      </c>
      <c r="E475" s="708" t="str" cm="1">
        <f t="array" aca="1" ref="E475" ca="1">IF(INDIRECT($I475)= "", "", INDIRECT($I475))</f>
        <v/>
      </c>
      <c r="F475" s="709" t="str" cm="1">
        <f t="array" aca="1" ref="F475" ca="1">INDIRECT(LEFT(I475, FIND("!", I475)) &amp; RefData!$C$427 &amp; RIGHT(I475, LEN(I475) - FIND("!", I475) - 1))</f>
        <v>CSI 20.0</v>
      </c>
      <c r="G475" s="710" t="b">
        <f ca="1">IF(ISNUMBER(SEARCH(RefData!$B$2, $C475)), FALSE, TRUE)</f>
        <v>0</v>
      </c>
      <c r="H475" s="734">
        <f>'Covenant summary information'!C84</f>
        <v>0</v>
      </c>
      <c r="I475" s="712" t="str">
        <f t="shared" ca="1" si="57"/>
        <v>'Covenant summary information'!C84</v>
      </c>
      <c r="J475" s="713" t="b" cm="1">
        <f t="array" aca="1" ref="J475" ca="1">IF(COUNTIF($K475:$T475, "&lt;&gt;FALSE") - COUNTBLANK($K475:$T475) &gt; 0, INDEX($K475:$T475, MATCH(TRUE, $K475:$T475 &lt;&gt; FALSE, 0)))</f>
        <v>0</v>
      </c>
      <c r="K475" s="712" t="b">
        <f ca="1">IF(ISNUMBER(SEARCH(RefData!$B$2,$C$473)), $J473, FALSE)</f>
        <v>0</v>
      </c>
      <c r="L475" s="712" t="b">
        <f ca="1">IF(AND('Covenant summary information'!$C$82=RefData!$B$113,'Reconciliation report'!$E475&lt;&gt;""),ErrorMsgs!$B475)</f>
        <v>0</v>
      </c>
      <c r="M475" s="714" t="b">
        <f ca="1">IF(AND('Covenant summary information'!$C$82=RefData!$B$112,'Reconciliation report'!$E475=""),ErrorMsgs!$C475)</f>
        <v>0</v>
      </c>
      <c r="N475" s="714" t="b">
        <f ca="1">IF(E475="",FALSE,IF(AND($E473=RefData!$B$113,$E475=""),FALSE,IF(ROUND(VALUE($E475),0)-VALUE($E475)&lt;&gt;0,ErrorMsgs!$D475)))</f>
        <v>0</v>
      </c>
      <c r="O475" s="712" t="b">
        <f ca="1">IF(AND($E473=RefData!$B$113,$E475&lt;0),ErrorMsgs!$E475)</f>
        <v>0</v>
      </c>
      <c r="P475" s="712" t="b">
        <f>IF(AND('Covenant summary information'!$C$82=RefData!$B$112,SUM('Covenant summary information'!$C$83:$C$85)=0),ErrorMsgs!$F475)</f>
        <v>0</v>
      </c>
      <c r="Q475" s="712" t="b">
        <f ca="1">IF(AND('Start here'!$C$26=RefData!$B$9,'Start here'!$C$24=RefData!$B$4,'Reconciliation report'!E475&lt;&gt;""),ErrorMsgs!$G475)</f>
        <v>0</v>
      </c>
      <c r="R475" s="712" t="b">
        <f ca="1">IF(AND('Start here'!$C$26=RefData!$B$9,'Start here'!$C$24=RefData!$B$5,'Start here'!$C$28=RefData!$B$13,'Reconciliation report'!$E$474&lt;&gt;""),ErrorMsgs!$H475)</f>
        <v>0</v>
      </c>
      <c r="S475" s="712" t="b">
        <f ca="1">IF(AND('Start here'!$C$26=RefData!$B$10,'Start here'!$C$23=RefData!$B$17,'Start here'!$C$27=RefData!$B$11,'Reconciliation report'!$E475&lt;&gt;""),ErrorMsgs!$I475)</f>
        <v>0</v>
      </c>
      <c r="T475" s="712"/>
      <c r="U475" s="526" t="str">
        <f t="shared" ca="1" si="62"/>
        <v/>
      </c>
      <c r="V475" s="93" t="str" cm="1">
        <f t="array" aca="1" ref="V475" ca="1">CELL("format",INDIRECT(I475))</f>
        <v>F0</v>
      </c>
      <c r="W475" s="93" t="b">
        <f t="shared" ca="1" si="63"/>
        <v>0</v>
      </c>
      <c r="X475" s="715" t="str">
        <f t="shared" ca="1" si="61"/>
        <v/>
      </c>
      <c r="Y475" t="b">
        <f t="shared" ca="1" si="64"/>
        <v>1</v>
      </c>
    </row>
    <row r="476" spans="1:25" ht="77.5">
      <c r="A476" s="705" t="s">
        <v>3482</v>
      </c>
      <c r="B476" s="716" t="str">
        <f t="shared" ca="1" si="56"/>
        <v>Covenant summary information - C85</v>
      </c>
      <c r="C476" s="707" t="str" cm="1">
        <f t="array" aca="1" ref="C476" ca="1">INDIRECT(LEFT(I476, FIND("!", I476)) &amp; RefData!$C$426 &amp; RIGHT(I476, LEN(I476) - FIND("!", I476) - 1))</f>
        <v xml:space="preserve">No answer required
How many other contingent assets do the trustees wish to include details about (excl ABCs)?
</v>
      </c>
      <c r="D476" s="92" t="str">
        <f t="shared" ca="1" si="50"/>
        <v/>
      </c>
      <c r="E476" s="708" t="str" cm="1">
        <f t="array" aca="1" ref="E476" ca="1">IF(INDIRECT($I476)= "", "", INDIRECT($I476))</f>
        <v/>
      </c>
      <c r="F476" s="709" t="str" cm="1">
        <f t="array" aca="1" ref="F476" ca="1">INDIRECT(LEFT(I476, FIND("!", I476)) &amp; RefData!$C$427 &amp; RIGHT(I476, LEN(I476) - FIND("!", I476) - 1))</f>
        <v>CSI 21.0</v>
      </c>
      <c r="G476" s="710" t="b">
        <f ca="1">IF(ISNUMBER(SEARCH(RefData!$B$2, $C476)), FALSE, TRUE)</f>
        <v>0</v>
      </c>
      <c r="H476" s="734">
        <f>'Covenant summary information'!C85</f>
        <v>0</v>
      </c>
      <c r="I476" s="712" t="str">
        <f t="shared" ca="1" si="57"/>
        <v>'Covenant summary information'!C85</v>
      </c>
      <c r="J476" s="713" t="b" cm="1">
        <f t="array" aca="1" ref="J476" ca="1">IF(COUNTIF($K476:$T476, "&lt;&gt;FALSE") - COUNTBLANK($K476:$T476) &gt; 0, INDEX($K476:$T476, MATCH(TRUE, $K476:$T476 &lt;&gt; FALSE, 0)))</f>
        <v>0</v>
      </c>
      <c r="K476" s="712" t="b">
        <f ca="1">IF(ISNUMBER(SEARCH(RefData!$B$2,$C$473)), $J473, FALSE)</f>
        <v>0</v>
      </c>
      <c r="L476" s="712" t="b">
        <f ca="1">IF(AND('Covenant summary information'!$C$82=RefData!$B$113,'Reconciliation report'!$E476&lt;&gt;""),ErrorMsgs!$B476)</f>
        <v>0</v>
      </c>
      <c r="M476" s="714" t="b">
        <f ca="1">IF(AND('Covenant summary information'!$C$82=RefData!$B$112,'Reconciliation report'!$E476=""),ErrorMsgs!$C476)</f>
        <v>0</v>
      </c>
      <c r="N476" s="714" t="b">
        <f ca="1">IF(E476="",FALSE,IF(AND($E473=RefData!$B$113,$E476=""),FALSE,IF(ROUND(VALUE($E476),0)-VALUE($E476)&lt;&gt;0,ErrorMsgs!$D476)))</f>
        <v>0</v>
      </c>
      <c r="O476" s="712" t="b">
        <f ca="1">IF(AND($E473=RefData!$B$113,$E476&lt;0),ErrorMsgs!$E476)</f>
        <v>0</v>
      </c>
      <c r="P476" s="712" t="b">
        <f>IF(AND('Covenant summary information'!$C$82=RefData!$B$112,SUM('Covenant summary information'!$C$83:$C$85)=0),ErrorMsgs!$F476)</f>
        <v>0</v>
      </c>
      <c r="Q476" s="728" t="b">
        <f ca="1">IF(AND('Start here'!$C$26=RefData!$B$9,'Start here'!$C$24=RefData!$B$4,'Reconciliation report'!E476&lt;&gt;""),ErrorMsgs!$G476)</f>
        <v>0</v>
      </c>
      <c r="R476" s="712" t="b">
        <f ca="1">IF(AND('Start here'!$C$26=RefData!$B$9,'Start here'!$C$24=RefData!$B$5,'Start here'!$C$28=RefData!$B$13,'Reconciliation report'!$E$474&lt;&gt;""),ErrorMsgs!$H476)</f>
        <v>0</v>
      </c>
      <c r="S476" s="712" t="b">
        <f ca="1">IF(AND('Start here'!$C$26=RefData!$B$10,'Start here'!$C$23=RefData!$B$17,'Start here'!$C$27=RefData!$B$11,'Reconciliation report'!$E476&lt;&gt;""),ErrorMsgs!$I476)</f>
        <v>0</v>
      </c>
      <c r="T476" s="712"/>
      <c r="U476" s="526" t="str">
        <f t="shared" ca="1" si="62"/>
        <v/>
      </c>
      <c r="V476" s="93" t="str" cm="1">
        <f t="array" aca="1" ref="V476" ca="1">CELL("format",INDIRECT(I476))</f>
        <v>F0</v>
      </c>
      <c r="W476" s="93" t="b">
        <f t="shared" ca="1" si="63"/>
        <v>0</v>
      </c>
      <c r="X476" s="715" t="str">
        <f t="shared" ca="1" si="61"/>
        <v/>
      </c>
      <c r="Y476" t="b">
        <f t="shared" ca="1" si="64"/>
        <v>1</v>
      </c>
    </row>
    <row r="477" spans="1:25" ht="62">
      <c r="A477" s="705" t="s">
        <v>3483</v>
      </c>
      <c r="B477" s="721" t="str">
        <f ca="1">HYPERLINK("#" &amp; $I477, SUBSTITUTE(SUBSTITUTE($I477, "!", " - "), "'",""))</f>
        <v>Covenant summary information - C86</v>
      </c>
      <c r="C477" s="707" t="str" cm="1">
        <f t="array" aca="1" ref="C477" ca="1">INDIRECT(LEFT(I477, FIND("!", I477)) &amp; RefData!$C$426 &amp; RIGHT(I477, LEN(I477) - FIND("!", I477) - 1))</f>
        <v xml:space="preserve">No answer required
What is the total value ascribed to contingent assets? (£)
</v>
      </c>
      <c r="D477" s="92" t="str">
        <f t="shared" ca="1" si="50"/>
        <v/>
      </c>
      <c r="E477" s="708" t="str" cm="1">
        <f t="array" aca="1" ref="E477" ca="1">IF(INDIRECT($I477)= "", "", INDIRECT($I477))</f>
        <v/>
      </c>
      <c r="F477" s="709" t="str" cm="1">
        <f t="array" aca="1" ref="F477" ca="1">INDIRECT(LEFT(I477, FIND("!", I477)) &amp; RefData!$C$427 &amp; RIGHT(I477, LEN(I477) - FIND("!", I477) - 1))</f>
        <v>CSI 22.0</v>
      </c>
      <c r="G477" s="710" t="b">
        <f ca="1">IF(ISNUMBER(SEARCH(RefData!$B$2, $C477)), FALSE, TRUE)</f>
        <v>0</v>
      </c>
      <c r="H477" s="344">
        <f>'Covenant summary information'!C86</f>
        <v>0</v>
      </c>
      <c r="I477" s="712" t="str">
        <f t="shared" ca="1" si="57"/>
        <v>'Covenant summary information'!C86</v>
      </c>
      <c r="J477" s="713" t="b" cm="1">
        <f t="array" aca="1" ref="J477" ca="1">IF(COUNTIF($K477:$T477, "&lt;&gt;FALSE") - COUNTBLANK($K477:$T477) &gt; 0, INDEX($K477:$T477, MATCH(TRUE, $K477:$T477 &lt;&gt; FALSE, 0)))</f>
        <v>0</v>
      </c>
      <c r="K477" s="712" t="b">
        <f ca="1">IF(AND('Covenant summary information'!$C$82=RefData!$B$113,'Reconciliation report'!$E477&lt;&gt;""),ErrorMsgs!$B477)</f>
        <v>0</v>
      </c>
      <c r="L477" s="712" t="b">
        <f ca="1">IF(AND('Covenant summary information'!$C$82=RefData!$B$112,'Reconciliation report'!$E477=""),ErrorMsgs!$C477)</f>
        <v>0</v>
      </c>
      <c r="M477" s="714" t="b">
        <f ca="1">IF($E477="",FALSE,IF(VALUE($E477)-ROUND(VALUE($E477),2)&lt;&gt;0,ErrorMsgs!$D477))</f>
        <v>0</v>
      </c>
      <c r="N477" s="714" t="b">
        <f ca="1">IF($E477="",FALSE,IF(VALUE($E477)&lt;0,ErrorMsgs!$E477))</f>
        <v>0</v>
      </c>
      <c r="O477" s="712" t="b">
        <f ca="1">IF($E477="",FALSE,IF(VALUE($E477)&gt;=1000000000000,ErrorMsgs!$F477))</f>
        <v>0</v>
      </c>
      <c r="P477" s="712"/>
      <c r="Q477" s="712"/>
      <c r="R477" s="712"/>
      <c r="S477" s="712"/>
      <c r="T477" s="712"/>
      <c r="U477" s="526" t="str">
        <f t="shared" ca="1" si="62"/>
        <v/>
      </c>
      <c r="V477" s="93" t="str" cm="1">
        <f t="array" aca="1" ref="V477" ca="1">CELL("format",INDIRECT(I477))</f>
        <v>C2</v>
      </c>
      <c r="W477" s="93" t="b">
        <f t="shared" ca="1" si="63"/>
        <v>0</v>
      </c>
      <c r="X477" s="715" t="str">
        <f t="shared" ca="1" si="61"/>
        <v/>
      </c>
      <c r="Y477" t="b">
        <f t="shared" ca="1" si="64"/>
        <v>1</v>
      </c>
    </row>
    <row r="478" spans="1:25" ht="46.5">
      <c r="A478" s="705" t="s">
        <v>3484</v>
      </c>
      <c r="B478" s="716" t="str">
        <f t="shared" ca="1" si="56"/>
        <v>Covenant summary information - C90</v>
      </c>
      <c r="C478" s="707" t="str" cm="1">
        <f t="array" aca="1" ref="C478" ca="1">INDIRECT(LEFT(I478, FIND("!", I478)) &amp; RefData!$C$426 &amp; RIGHT(I478, LEN(I478) - FIND("!", I478) - 1))</f>
        <v xml:space="preserve">
What is the reliability period?
</v>
      </c>
      <c r="D478" s="92" t="str">
        <f t="shared" ca="1" si="50"/>
        <v/>
      </c>
      <c r="E478" s="708" t="str" cm="1">
        <f t="array" aca="1" ref="E478" ca="1">IF(INDIRECT($I478)= "", "", INDIRECT($I478))</f>
        <v/>
      </c>
      <c r="F478" s="709" t="str" cm="1">
        <f t="array" aca="1" ref="F478" ca="1">INDIRECT(LEFT(I478, FIND("!", I478)) &amp; RefData!$C$427 &amp; RIGHT(I478, LEN(I478) - FIND("!", I478) - 1))</f>
        <v>CSI 23.0</v>
      </c>
      <c r="G478" s="710" t="b">
        <f ca="1">IF(ISNUMBER(SEARCH(RefData!$B$2, $C478)), FALSE, TRUE)</f>
        <v>1</v>
      </c>
      <c r="H478" s="344">
        <f>'Covenant summary information'!C90</f>
        <v>0</v>
      </c>
      <c r="I478" s="712" t="str">
        <f t="shared" ca="1" si="57"/>
        <v>'Covenant summary information'!C90</v>
      </c>
      <c r="J478" s="713" t="b" cm="1">
        <f t="array" aca="1" ref="J478" ca="1">IF(COUNTIF($K478:$T478, "&lt;&gt;FALSE") - COUNTBLANK($K478:$T478) &gt; 0, INDEX($K478:$T478, MATCH(TRUE, $K478:$T478 &lt;&gt; FALSE, 0)))</f>
        <v>0</v>
      </c>
      <c r="K478" s="712" t="b">
        <f ca="1">IF(AND('Start here'!$C$26=RefData!$B$9,'Start here'!$C$24=RefData!$B$4,'Reconciliation report'!$E478&lt;&gt;""),ErrorMsgs!$B478)</f>
        <v>0</v>
      </c>
      <c r="L478" s="712" t="b">
        <f ca="1">IF(AND('Start here'!$C$26=RefData!$B$9,'Start here'!$C$24=RefData!$B$5,'Start here'!$C$28=RefData!$B$13,'Reconciliation report'!$E478&lt;&gt;""),ErrorMsgs!$C478)</f>
        <v>0</v>
      </c>
      <c r="M478" s="714" t="b">
        <f ca="1">IF(AND('Start here'!$C$26=RefData!$B$9,'Start here'!$C$24=RefData!$B$5,'Start here'!$C$28=RefData!$B$14,'Reconciliation report'!$E478=""),ErrorMsgs!$D478)</f>
        <v>0</v>
      </c>
      <c r="N478" s="714" t="b">
        <f ca="1">IF(AND('Start here'!$C$26=RefData!$B$10,'Start here'!$C$23=RefData!$B$18,'Reconciliation report'!$E478=""),ErrorMsgs!$E478)</f>
        <v>0</v>
      </c>
      <c r="O478" s="712" t="b">
        <f ca="1">IF(AND('Start here'!$C$26=RefData!$B$10,'Start here'!$C$23=RefData!$B$17,'Start here'!$C$27=RefData!$B$11,'Reconciliation report'!$E478&lt;&gt;""),ErrorMsgs!$F478)</f>
        <v>0</v>
      </c>
      <c r="P478" s="712" t="b">
        <f ca="1">IF(AND('Start here'!$C$26=RefData!$B$10,'Start here'!$C$23=RefData!$B$17,'Start here'!$C$27=RefData!$B$12,'Reconciliation report'!$E478=""),ErrorMsgs!$G478)</f>
        <v>0</v>
      </c>
      <c r="Q478" s="712" t="b">
        <f ca="1">IF($E478="",FALSE,IF(ISERROR(VALUE($E478)),ErrorMsgs!$H478,IF(OR($E478&lt;0,VALUE($E478)-ROUND(VALUE($E478),1)),ErrorMsgs!$H478)))</f>
        <v>0</v>
      </c>
      <c r="R478" s="712"/>
      <c r="S478" s="712"/>
      <c r="T478" s="712"/>
      <c r="U478" s="526" t="str">
        <f t="shared" ca="1" si="62"/>
        <v/>
      </c>
      <c r="V478" s="93" t="str" cm="1">
        <f t="array" aca="1" ref="V478" ca="1">CELL("format",INDIRECT(I478))</f>
        <v>F0</v>
      </c>
      <c r="W478" s="93" t="b">
        <f t="shared" ca="1" si="63"/>
        <v>0</v>
      </c>
      <c r="X478" s="715" t="str">
        <f t="shared" ca="1" si="61"/>
        <v/>
      </c>
      <c r="Y478" t="b">
        <f t="shared" ca="1" si="64"/>
        <v>1</v>
      </c>
    </row>
    <row r="479" spans="1:25" ht="88.5" customHeight="1">
      <c r="A479" s="705" t="s">
        <v>3485</v>
      </c>
      <c r="B479" s="716" t="str">
        <f t="shared" ref="B479:B487" ca="1" si="67">HYPERLINK("#" &amp; $I479, SUBSTITUTE(SUBSTITUTE($I479, "!", " - "), "'",""))</f>
        <v>Covenant summary information - C91</v>
      </c>
      <c r="C479" s="707" t="str" cm="1">
        <f t="array" aca="1" ref="C479" ca="1">INDIRECT(LEFT(I479, FIND("!", I479)) &amp; RefData!$C$426 &amp; RIGHT(I479, LEN(I479) - FIND("!", I479) - 1))</f>
        <v xml:space="preserve">
What is the covenant longevity? 
</v>
      </c>
      <c r="D479" s="92" t="str">
        <f t="shared" ca="1" si="50"/>
        <v/>
      </c>
      <c r="E479" s="708" t="str" cm="1">
        <f t="array" aca="1" ref="E479" ca="1">IF(INDIRECT($I479)= "", "", INDIRECT($I479))</f>
        <v/>
      </c>
      <c r="F479" s="709" t="str" cm="1">
        <f t="array" aca="1" ref="F479" ca="1">INDIRECT(LEFT(I479, FIND("!", I479)) &amp; RefData!$C$427 &amp; RIGHT(I479, LEN(I479) - FIND("!", I479) - 1))</f>
        <v>CSI 24.0</v>
      </c>
      <c r="G479" s="710" t="b">
        <f ca="1">IF(ISNUMBER(SEARCH(RefData!$B$2, $C479)), FALSE, TRUE)</f>
        <v>1</v>
      </c>
      <c r="H479" s="344">
        <f>'Covenant summary information'!C91</f>
        <v>0</v>
      </c>
      <c r="I479" s="712" t="str">
        <f t="shared" ref="I479:I487" ca="1" si="68">SUBSTITUTE(_xlfn.FORMULATEXT($H479), "=", "")</f>
        <v>'Covenant summary information'!C91</v>
      </c>
      <c r="J479" s="713" t="b" cm="1">
        <f t="array" aca="1" ref="J479" ca="1">IF(COUNTIF($K479:$T479, "&lt;&gt;FALSE") - COUNTBLANK($K479:$T479) &gt; 0, INDEX($K479:$T479, MATCH(TRUE, $K479:$T479 &lt;&gt; FALSE, 0)))</f>
        <v>0</v>
      </c>
      <c r="K479" s="712" t="b">
        <f ca="1">IF(AND('Start here'!$C$26=RefData!$B$9,'Start here'!$C$24=RefData!$B$4,'Reconciliation report'!$E479&lt;&gt;""),ErrorMsgs!$B479)</f>
        <v>0</v>
      </c>
      <c r="L479" s="712" t="b">
        <f ca="1">IF(AND('Start here'!$C$26=RefData!$B$9,'Start here'!$C$24=RefData!$B$5,'Start here'!$C$28=RefData!$B$13,'Reconciliation report'!$E479&lt;&gt;""),ErrorMsgs!$C479)</f>
        <v>0</v>
      </c>
      <c r="M479" s="714" t="b">
        <f ca="1">IF(AND('Start here'!$C$26=RefData!$B$9,'Start here'!$C$24=RefData!$B$5,'Start here'!$C$28=RefData!$B$14,'Reconciliation report'!$E479=""),ErrorMsgs!$D479)</f>
        <v>0</v>
      </c>
      <c r="N479" s="714" t="b">
        <f ca="1">IF(AND('Start here'!$C$26=RefData!$B$10,'Start here'!$C$23=RefData!$B$18,'Reconciliation report'!$E479=""),ErrorMsgs!$E479)</f>
        <v>0</v>
      </c>
      <c r="O479" s="712" t="b">
        <f ca="1">IF(AND('Start here'!$C$26=RefData!$B$10,'Start here'!$C$23=RefData!$B$17,'Start here'!$C$27=RefData!$B$11,'Reconciliation report'!$E479&lt;&gt;""),ErrorMsgs!$F479)</f>
        <v>0</v>
      </c>
      <c r="P479" s="712" t="b">
        <f ca="1">IF(AND('Start here'!$C$26=RefData!$B$10,'Start here'!$C$23=RefData!$B$17,'Start here'!$C$27=RefData!$B$12,'Reconciliation report'!$E479=""),ErrorMsgs!$G479)</f>
        <v>0</v>
      </c>
      <c r="Q479" s="712" t="b">
        <f ca="1">IF($E479="",FALSE,IF(ISERROR(VALUE($E479)),ErrorMsgs!$H479,IF(OR($E479&lt;0,VALUE($E479)-ROUND(VALUE($E479),1)),ErrorMsgs!$H479)))</f>
        <v>0</v>
      </c>
      <c r="R479" s="712"/>
      <c r="S479" s="712"/>
      <c r="T479" s="712"/>
      <c r="U479" s="526" t="str">
        <f t="shared" ca="1" si="62"/>
        <v/>
      </c>
      <c r="V479" s="93" t="str" cm="1">
        <f t="array" aca="1" ref="V479" ca="1">CELL("format",INDIRECT(I479))</f>
        <v>F0</v>
      </c>
      <c r="W479" s="93" t="b">
        <f t="shared" ca="1" si="63"/>
        <v>0</v>
      </c>
      <c r="X479" s="715" t="str">
        <f t="shared" ca="1" si="61"/>
        <v/>
      </c>
      <c r="Y479" t="b">
        <f t="shared" ca="1" si="64"/>
        <v>1</v>
      </c>
    </row>
    <row r="480" spans="1:25" ht="77.5">
      <c r="A480" s="705" t="s">
        <v>3486</v>
      </c>
      <c r="B480" s="716" t="str">
        <f t="shared" ca="1" si="67"/>
        <v>Covenant summary information - C92</v>
      </c>
      <c r="C480" s="707" t="str" cm="1">
        <f t="array" aca="1" ref="C480" ca="1">INDIRECT(LEFT(I480, FIND("!", I480)) &amp; RefData!$C$426 &amp; RIGHT(I480, LEN(I480) - FIND("!", I480) - 1))</f>
        <v xml:space="preserve">
Add any additional information that will help us understand the trustees' approach to assessing reliability and longevity periods. (Optional)
</v>
      </c>
      <c r="D480" s="92" t="str">
        <f t="shared" ca="1" si="50"/>
        <v/>
      </c>
      <c r="E480" s="708" t="str" cm="1">
        <f t="array" aca="1" ref="E480" ca="1">IF(INDIRECT($I480)= "", "", INDIRECT($I480))</f>
        <v/>
      </c>
      <c r="F480" s="709" t="str" cm="1">
        <f t="array" aca="1" ref="F480" ca="1">INDIRECT(LEFT(I480, FIND("!", I480)) &amp; RefData!$C$427 &amp; RIGHT(I480, LEN(I480) - FIND("!", I480) - 1))</f>
        <v>CSI 25.0</v>
      </c>
      <c r="G480" s="710" t="b">
        <f ca="1">IF(ISNUMBER(SEARCH(RefData!$B$2, $C480)), FALSE, TRUE)</f>
        <v>1</v>
      </c>
      <c r="H480" s="344">
        <f>'Covenant summary information'!C92</f>
        <v>0</v>
      </c>
      <c r="I480" s="712" t="str">
        <f t="shared" ca="1" si="68"/>
        <v>'Covenant summary information'!C92</v>
      </c>
      <c r="J480" s="713" t="b" cm="1">
        <f t="array" aca="1" ref="J480" ca="1">IF(COUNTIF($K480:$T480, "&lt;&gt;FALSE") - COUNTBLANK($K480:$T480) &gt; 0, INDEX($K480:$T480, MATCH(TRUE, $K480:$T480 &lt;&gt; FALSE, 0)))</f>
        <v>0</v>
      </c>
      <c r="K480" s="712" t="b">
        <f ca="1">IF(AND('Start here'!$C$26=RefData!$B$9,'Start here'!$C$24=RefData!$B$4,'Reconciliation report'!$E480&lt;&gt;""),ErrorMsgs!$B480)</f>
        <v>0</v>
      </c>
      <c r="L480" s="712" t="b">
        <f ca="1">IF(AND('Start here'!$C$26=RefData!$B$9,'Start here'!$C$24=RefData!$B$5,'Start here'!$C$28=RefData!$B$13,'Reconciliation report'!$E480&lt;&gt;""),ErrorMsgs!$C480)</f>
        <v>0</v>
      </c>
      <c r="M480" s="714"/>
      <c r="N480" s="714" t="b">
        <f ca="1">IF(AND('Start here'!$C$26=RefData!$B$10,'Start here'!$C$23=RefData!$B$17,'Start here'!$C$27=RefData!$B$11,'Reconciliation report'!$E480&lt;&gt;""),ErrorMsgs!$E480)</f>
        <v>0</v>
      </c>
      <c r="O480" s="712" t="b">
        <f ca="1">IF(LEN(E480)&gt;4000,ErrorMsgs!$F480)</f>
        <v>0</v>
      </c>
      <c r="P480" s="712"/>
      <c r="Q480" s="712"/>
      <c r="R480" s="712"/>
      <c r="S480" s="712"/>
      <c r="T480" s="712"/>
      <c r="U480" s="526" t="str">
        <f t="shared" ca="1" si="62"/>
        <v/>
      </c>
      <c r="V480" s="93" t="str" cm="1">
        <f t="array" aca="1" ref="V480" ca="1">CELL("format",INDIRECT(I480))</f>
        <v>G</v>
      </c>
      <c r="W480" s="93" t="b">
        <f t="shared" ca="1" si="63"/>
        <v>0</v>
      </c>
      <c r="X480" s="715" t="str">
        <f t="shared" ca="1" si="61"/>
        <v/>
      </c>
      <c r="Y480" t="b">
        <f t="shared" ca="1" si="64"/>
        <v>1</v>
      </c>
    </row>
    <row r="481" spans="1:25" ht="62">
      <c r="A481" s="705" t="s">
        <v>3487</v>
      </c>
      <c r="B481" s="716" t="str">
        <f t="shared" ca="1" si="67"/>
        <v>Covenant summary information - C96</v>
      </c>
      <c r="C481" s="707" t="str" cm="1">
        <f t="array" aca="1" ref="C481" ca="1">INDIRECT(LEFT(I481, FIND("!", I481)) &amp; RefData!$C$426 &amp; RIGHT(I481, LEN(I481) - FIND("!", I481) - 1))</f>
        <v xml:space="preserve">
Is the recovery plan longer than the reliability period or more than 6 years?
</v>
      </c>
      <c r="D481" s="92" t="str">
        <f t="shared" ca="1" si="50"/>
        <v/>
      </c>
      <c r="E481" s="708" t="str" cm="1">
        <f t="array" aca="1" ref="E481" ca="1">IF(INDIRECT($I481)= "", "", INDIRECT($I481))</f>
        <v/>
      </c>
      <c r="F481" s="709" t="str" cm="1">
        <f t="array" aca="1" ref="F481" ca="1">INDIRECT(LEFT(I481, FIND("!", I481)) &amp; RefData!$C$427 &amp; RIGHT(I481, LEN(I481) - FIND("!", I481) - 1))</f>
        <v>CSI 26.0</v>
      </c>
      <c r="G481" s="710" t="b">
        <f ca="1">IF(ISNUMBER(SEARCH(RefData!$B$2, $C481)), FALSE, TRUE)</f>
        <v>1</v>
      </c>
      <c r="H481" s="344">
        <f>'Covenant summary information'!C96</f>
        <v>0</v>
      </c>
      <c r="I481" s="712" t="str">
        <f t="shared" ca="1" si="68"/>
        <v>'Covenant summary information'!C96</v>
      </c>
      <c r="J481" s="713" t="b" cm="1">
        <f t="array" aca="1" ref="J481" ca="1">IF(COUNTIF($K481:$T481, "&lt;&gt;FALSE") - COUNTBLANK($K481:$T481) &gt; 0, INDEX($K481:$T481, MATCH(TRUE, $K481:$T481 &lt;&gt; FALSE, 0)))</f>
        <v>0</v>
      </c>
      <c r="K481" s="712" t="b">
        <f ca="1">IF(AND('Start here'!$C$26=RefData!$B$9,'Reconciliation report'!$E481&lt;&gt;""),ErrorMsgs!$B481)</f>
        <v>0</v>
      </c>
      <c r="L481" s="712" t="b">
        <f ca="1">IF(AND('Start here'!$C$26=RefData!$B$10,'Start here'!$C$23=RefData!$B$17,'Reconciliation report'!$E481&lt;&gt;""),ErrorMsgs!$C481)</f>
        <v>0</v>
      </c>
      <c r="M481" s="714" t="b">
        <f ca="1">IF(AND('Start here'!$C$25=RefData!$B$15,'Reconciliation report'!$E481&lt;&gt;""),ErrorMsgs!$D481)</f>
        <v>0</v>
      </c>
      <c r="N481" s="714" t="b">
        <f ca="1">IF(AND('Covenant summary information'!$C$10=RefData!$B$118,'Reconciliation report'!$E481&lt;&gt;""),ErrorMsgs!$E481)</f>
        <v>0</v>
      </c>
      <c r="O481" s="712" t="b">
        <f ca="1">IF(AND('Start here'!$C$26=RefData!$B$10,'Start here'!$C$23=RefData!$B$18,'Start here'!$C$25=RefData!$B$16,'Covenant summary information'!$C$10=RefData!$B$119,'Reconciliation report'!$E481=""),ErrorMsgs!$F481)</f>
        <v>0</v>
      </c>
      <c r="P481" s="712" t="b">
        <f ca="1">IF($E481="",FALSE,IF(ISNA(MATCH($E481,RefData!$B$108:$B$109,0)),ErrorMsgs!$G481))</f>
        <v>0</v>
      </c>
      <c r="Q481" s="712"/>
      <c r="R481" s="712"/>
      <c r="S481" s="712"/>
      <c r="T481" s="712"/>
      <c r="U481" s="526" t="str">
        <f t="shared" ca="1" si="62"/>
        <v/>
      </c>
      <c r="V481" s="93" t="str" cm="1">
        <f t="array" aca="1" ref="V481" ca="1">CELL("format",INDIRECT(I481))</f>
        <v>G</v>
      </c>
      <c r="W481" s="93" t="b">
        <f t="shared" ca="1" si="63"/>
        <v>0</v>
      </c>
      <c r="X481" s="715" t="str">
        <f t="shared" ca="1" si="61"/>
        <v/>
      </c>
      <c r="Y481" t="b">
        <f t="shared" ca="1" si="64"/>
        <v>1</v>
      </c>
    </row>
    <row r="482" spans="1:25" ht="62">
      <c r="A482" s="705" t="s">
        <v>3488</v>
      </c>
      <c r="B482" s="716" t="str">
        <f t="shared" ca="1" si="67"/>
        <v>Covenant summary information - C97</v>
      </c>
      <c r="C482" s="707" t="str" cm="1">
        <f t="array" aca="1" ref="C482" ca="1">INDIRECT(LEFT(I482, FIND("!", I482)) &amp; RefData!$C$426 &amp; RIGHT(I482, LEN(I482) - FIND("!", I482) - 1))</f>
        <v xml:space="preserve">
Is the recovery plan longer than the reliability period or more than 3 years?
</v>
      </c>
      <c r="D482" s="92" t="str">
        <f t="shared" ca="1" si="50"/>
        <v/>
      </c>
      <c r="E482" s="708" t="str" cm="1">
        <f t="array" aca="1" ref="E482" ca="1">IF(INDIRECT($I482)= "", "", INDIRECT($I482))</f>
        <v/>
      </c>
      <c r="F482" s="709" t="str" cm="1">
        <f t="array" aca="1" ref="F482" ca="1">INDIRECT(LEFT(I482, FIND("!", I482)) &amp; RefData!$C$427 &amp; RIGHT(I482, LEN(I482) - FIND("!", I482) - 1))</f>
        <v>CSI 27.0</v>
      </c>
      <c r="G482" s="710" t="b">
        <f ca="1">IF(ISNUMBER(SEARCH(RefData!$B$2, $C482)), FALSE, TRUE)</f>
        <v>1</v>
      </c>
      <c r="H482" s="344">
        <f>'Covenant summary information'!C97</f>
        <v>0</v>
      </c>
      <c r="I482" s="712" t="str">
        <f t="shared" ca="1" si="68"/>
        <v>'Covenant summary information'!C97</v>
      </c>
      <c r="J482" s="713" t="b" cm="1">
        <f t="array" aca="1" ref="J482" ca="1">IF(COUNTIF($K482:$T482, "&lt;&gt;FALSE") - COUNTBLANK($K482:$T482) &gt; 0, INDEX($K482:$T482, MATCH(TRUE, $K482:$T482 &lt;&gt; FALSE, 0)))</f>
        <v>0</v>
      </c>
      <c r="K482" s="712" t="b">
        <f ca="1">IF(AND('Start here'!$C$26=RefData!$B$9,'Reconciliation report'!$E482&lt;&gt;""),ErrorMsgs!$B482)</f>
        <v>0</v>
      </c>
      <c r="L482" s="712" t="b">
        <f ca="1">IF(AND('Start here'!$C$26=RefData!$B$10,'Start here'!$C$23=RefData!$B$18,'Reconciliation report'!$E482&lt;&gt;""),ErrorMsgs!$C482)</f>
        <v>0</v>
      </c>
      <c r="M482" s="714" t="b">
        <f ca="1">IF(AND('Start here'!$C$25=RefData!$B$15,'Reconciliation report'!$E482&lt;&gt;""),ErrorMsgs!$D482)</f>
        <v>0</v>
      </c>
      <c r="N482" s="714" t="b">
        <f ca="1">IF(AND('Covenant summary information'!$C$10=RefData!$B$118,'Reconciliation report'!$E482&lt;&gt;""),ErrorMsgs!$E482)</f>
        <v>0</v>
      </c>
      <c r="O482" s="712" t="b">
        <f ca="1">IF(AND('Start here'!$C$26=RefData!$B$10,'Start here'!$C$23=RefData!$B$17,'Start here'!$C$25=RefData!$B$16,'Covenant summary information'!$C$10=RefData!$B$119,'Start here'!$C$27=RefData!$B$12,'Reconciliation report'!$E482=""),ErrorMsgs!$F482)</f>
        <v>0</v>
      </c>
      <c r="P482" s="712" t="b">
        <f ca="1">IF($E482="",FALSE,IF(ISNA(MATCH($E482,RefData!$B$110:$B$111,0)),ErrorMsgs!$G482))</f>
        <v>0</v>
      </c>
      <c r="Q482" s="712" t="b">
        <f ca="1">IF(AND('Start here'!$C$26=RefData!$B$10,'Start here'!$C$23=RefData!$B$17,'Start here'!$C$25=RefData!$B$16,'Covenant summary information'!$C$10=RefData!$B$119,'Start here'!$C$27=RefData!$B$11,'Reconciliation report'!$E482&lt;&gt;""),ErrorMsgs!$H482)</f>
        <v>0</v>
      </c>
      <c r="R482" s="712"/>
      <c r="S482" s="712"/>
      <c r="T482" s="712"/>
      <c r="U482" s="526" t="str">
        <f t="shared" ca="1" si="62"/>
        <v/>
      </c>
      <c r="V482" s="93" t="str" cm="1">
        <f t="array" aca="1" ref="V482" ca="1">CELL("format",INDIRECT(I482))</f>
        <v>G</v>
      </c>
      <c r="W482" s="93" t="b">
        <f t="shared" ca="1" si="63"/>
        <v>0</v>
      </c>
      <c r="X482" s="715" t="str">
        <f t="shared" ca="1" si="61"/>
        <v/>
      </c>
      <c r="Y482" t="b">
        <f t="shared" ca="1" si="64"/>
        <v>1</v>
      </c>
    </row>
    <row r="483" spans="1:25" ht="93">
      <c r="A483" s="705" t="s">
        <v>3489</v>
      </c>
      <c r="B483" s="716" t="str">
        <f t="shared" ca="1" si="67"/>
        <v>Covenant summary information - C101</v>
      </c>
      <c r="C483" s="707" t="str" cm="1">
        <f t="array" aca="1" ref="C483" ca="1">INDIRECT(LEFT(I483, FIND("!", I483)) &amp; RefData!$C$426 &amp; RIGHT(I483, LEN(I483) - FIND("!", I483) - 1))</f>
        <v xml:space="preserve">
No answer required
What are the maximum affordable contributions over the reliability period after deficit repair contributions (DRCs)? (£)
</v>
      </c>
      <c r="D483" s="92" t="str">
        <f t="shared" ca="1" si="50"/>
        <v/>
      </c>
      <c r="E483" s="708" t="str" cm="1">
        <f t="array" aca="1" ref="E483" ca="1">IF(INDIRECT($I483)= "", "", INDIRECT($I483))</f>
        <v/>
      </c>
      <c r="F483" s="709" t="str" cm="1">
        <f t="array" aca="1" ref="F483" ca="1">INDIRECT(LEFT(I483, FIND("!", I483)) &amp; RefData!$C$427 &amp; RIGHT(I483, LEN(I483) - FIND("!", I483) - 1))</f>
        <v>CSI 28.0</v>
      </c>
      <c r="G483" s="710" t="b">
        <f ca="1">IF(ISNUMBER(SEARCH(RefData!$B$2, $C483)), FALSE, TRUE)</f>
        <v>0</v>
      </c>
      <c r="H483" s="344">
        <f>'Covenant summary information'!C101</f>
        <v>0</v>
      </c>
      <c r="I483" s="712" t="str">
        <f t="shared" ca="1" si="68"/>
        <v>'Covenant summary information'!C101</v>
      </c>
      <c r="J483" s="713" t="b" cm="1">
        <f t="array" aca="1" ref="J483" ca="1">IF(COUNTIF($K483:$T483, "&lt;&gt;FALSE") - COUNTBLANK($K483:$T483) &gt; 0, INDEX($K483:$T483, MATCH(TRUE, $K483:$T483 &lt;&gt; FALSE, 0)))</f>
        <v>0</v>
      </c>
      <c r="K483" s="712" t="b">
        <f ca="1">IF(AND('Start here'!$C$26=RefData!$B$9,'Start here'!$C$24=RefData!$B$4,'Reconciliation report'!$E$483&lt;&gt;""), ErrorMsgs!$B483)</f>
        <v>0</v>
      </c>
      <c r="L483" s="712" t="b">
        <f ca="1">IF(AND('Start here'!$C$26=RefData!$B$9,'Start here'!$C$24=RefData!$B$5,'Start here'!$C$28=RefData!$B$13,'Reconciliation report'!$E$483&lt;&gt;""), ErrorMsgs!$C483)</f>
        <v>0</v>
      </c>
      <c r="M483" s="714" t="b">
        <f ca="1">IF(AND('Start here'!$C$26=RefData!$B$9,'Start here'!$C$24=RefData!$B$5,'Start here'!$C$28=RefData!$B$14,'Covenant summary information'!$C$10=RefData!$B$118,'Reconciliation report'!$E$483&lt;&gt;""), ErrorMsgs!$D483)</f>
        <v>0</v>
      </c>
      <c r="N483" s="714" t="b">
        <f ca="1">IF(AND('Start here'!$C$26=RefData!$B$9,'Start here'!$C$24=RefData!$B$5,'Start here'!$C$28=RefData!$B$14,'Covenant summary information'!$C$10=RefData!$B$119,'Reconciliation report'!$E$483=""), ErrorMsgs!$E483)</f>
        <v>0</v>
      </c>
      <c r="O483" s="712" t="b">
        <f ca="1">IF(AND('Start here'!$C$26=RefData!$B$10,'Start here'!$C$23=RefData!$B$18,'Covenant summary information'!$C$10=RefData!$B$118,'Reconciliation report'!$E$483&lt;&gt;""), ErrorMsgs!$F483)</f>
        <v>0</v>
      </c>
      <c r="P483" s="712" t="b">
        <f ca="1">IF(AND('Start here'!$C$26=RefData!$B$10,'Start here'!$C$23=RefData!$B$18,'Covenant summary information'!$C$10=RefData!$B$119,'Reconciliation report'!$E$483=""), ErrorMsgs!$G483)</f>
        <v>0</v>
      </c>
      <c r="Q483" s="712" t="b">
        <f ca="1">IF(AND('Start here'!$C$26=RefData!$B$10,'Start here'!$C$23=RefData!$B$17,'Start here'!$C$27=RefData!B11,'Reconciliation report'!$E$483&lt;&gt;""), ErrorMsgs!$F483)</f>
        <v>0</v>
      </c>
      <c r="R483" s="712" t="b">
        <f ca="1">IF(AND('Start here'!$C$26=RefData!$B$10,'Start here'!$C$23=RefData!$B$17,'Start here'!$C$27=RefData!$B$12,'Covenant summary information'!$C$10=RefData!$B$118,'Reconciliation report'!$E$483&lt;&gt;""), ErrorMsgs!$H483)</f>
        <v>0</v>
      </c>
      <c r="S483" s="712" t="b">
        <f ca="1">IF(AND('Start here'!$C$26=RefData!$B$10,'Start here'!$C$23=RefData!$B$17,'Start here'!$C$27=RefData!$B$12,'Covenant summary information'!$C$10=RefData!$B$119,'Reconciliation report'!$E$483=""), ErrorMsgs!$I483)</f>
        <v>0</v>
      </c>
      <c r="T483" s="712" t="b">
        <f ca="1">IF(E483="",FALSE,IF(ISERROR(VALUE(E483)),ErrorMsgs!$J483,IF(OR(NOT(ISNUMBER(E483)),E483-ROUND(E483,2)&lt;&gt;0,OR(E483&lt;=-1000000000000,E483&gt;=1000000000000)),ErrorMsgs!$J483)))</f>
        <v>0</v>
      </c>
      <c r="U483" s="526" t="str">
        <f t="shared" ca="1" si="62"/>
        <v/>
      </c>
      <c r="V483" s="93" t="str" cm="1">
        <f t="array" aca="1" ref="V483" ca="1">CELL("format",INDIRECT(I483))</f>
        <v>C2</v>
      </c>
      <c r="W483" s="93" t="b">
        <f t="shared" ca="1" si="63"/>
        <v>0</v>
      </c>
      <c r="X483" s="715" t="str">
        <f t="shared" ca="1" si="61"/>
        <v/>
      </c>
      <c r="Y483" t="b">
        <f t="shared" ca="1" si="64"/>
        <v>1</v>
      </c>
    </row>
    <row r="484" spans="1:25" ht="108.5">
      <c r="A484" s="705" t="s">
        <v>3490</v>
      </c>
      <c r="B484" s="716" t="str">
        <f t="shared" ca="1" si="67"/>
        <v>Covenant summary information - C102</v>
      </c>
      <c r="C484" s="707" t="str" cm="1">
        <f t="array" aca="1" ref="C484" ca="1">INDIRECT(LEFT(I484, FIND("!", I484)) &amp; RefData!$C$426 &amp; RIGHT(I484, LEN(I484) - FIND("!", I484) - 1))</f>
        <v xml:space="preserve">
No answer required
Add any additional information that will help us understand trustees' approach to assessing employer cash flows or maximum affordable contributions or both. (Optional)
</v>
      </c>
      <c r="D484" s="92" t="str">
        <f t="shared" ca="1" si="50"/>
        <v/>
      </c>
      <c r="E484" s="708" t="str" cm="1">
        <f t="array" aca="1" ref="E484" ca="1">IF(INDIRECT($I484)= "", "", INDIRECT($I484))</f>
        <v/>
      </c>
      <c r="F484" s="709" t="str" cm="1">
        <f t="array" aca="1" ref="F484" ca="1">INDIRECT(LEFT(I484, FIND("!", I484)) &amp; RefData!$C$427 &amp; RIGHT(I484, LEN(I484) - FIND("!", I484) - 1))</f>
        <v>CSI 29.0</v>
      </c>
      <c r="G484" s="710" t="b">
        <f ca="1">IF(ISNUMBER(SEARCH(RefData!$B$2, $C484)), FALSE, TRUE)</f>
        <v>0</v>
      </c>
      <c r="H484" s="344">
        <f>'Covenant summary information'!C102</f>
        <v>0</v>
      </c>
      <c r="I484" s="712" t="str">
        <f t="shared" ca="1" si="68"/>
        <v>'Covenant summary information'!C102</v>
      </c>
      <c r="J484" s="713" t="b" cm="1">
        <f t="array" aca="1" ref="J484" ca="1">IF(COUNTIF($K484:$T484, "&lt;&gt;FALSE") - COUNTBLANK($K484:$T484) &gt; 0, INDEX($K484:$T484, MATCH(TRUE, $K484:$T484 &lt;&gt; FALSE, 0)))</f>
        <v>0</v>
      </c>
      <c r="K484" s="712" t="b">
        <f ca="1">IF(AND('Start here'!$C$26=RefData!$B$9,'Reconciliation report'!$E$484&lt;&gt;""), ErrorMsgs!$B484)</f>
        <v>0</v>
      </c>
      <c r="L484" s="712" t="b">
        <f ca="1">IF(AND('Start here'!$C$26=RefData!$B$10,'Start here'!$C$23=RefData!$B$18,'Covenant summary information'!$C$10=RefData!$B$118,'Reconciliation report'!$E$484&lt;&gt;""), ErrorMsgs!$C484)</f>
        <v>0</v>
      </c>
      <c r="M484" s="714" t="b">
        <f ca="1">IF(AND('Start here'!$C$26=RefData!$B$10,'Start here'!$C$23=RefData!$B$17,'Covenant summary information'!$C$10=RefData!$B$118,'Reconciliation report'!$E$484&lt;&gt;""), ErrorMsgs!$D484)</f>
        <v>0</v>
      </c>
      <c r="N484" s="714" t="b">
        <f ca="1">IF(AND('Start here'!$C$26=RefData!$B$10,'Start here'!$C$23=RefData!$B$17,'Covenant summary information'!$C$10=RefData!$B$119,'Start here'!$C$27=RefData!$B$11,'Reconciliation report'!$E$484&lt;&gt;""), ErrorMsgs!$E484)</f>
        <v>0</v>
      </c>
      <c r="O484" s="712" t="b">
        <f ca="1">IF(LEN(E484)&gt;4000,ErrorMsgs!$F484)</f>
        <v>0</v>
      </c>
      <c r="P484" s="712"/>
      <c r="Q484" s="712"/>
      <c r="R484" s="712"/>
      <c r="S484" s="712"/>
      <c r="T484" s="712"/>
      <c r="U484" s="526" t="str">
        <f t="shared" ca="1" si="62"/>
        <v/>
      </c>
      <c r="V484" s="93" t="str" cm="1">
        <f t="array" aca="1" ref="V484" ca="1">CELL("format",INDIRECT(I484))</f>
        <v>G</v>
      </c>
      <c r="W484" s="93" t="b">
        <f t="shared" ca="1" si="63"/>
        <v>0</v>
      </c>
      <c r="X484" s="715" t="str">
        <f t="shared" ca="1" si="61"/>
        <v/>
      </c>
      <c r="Y484" t="b">
        <f t="shared" ca="1" si="64"/>
        <v>1</v>
      </c>
    </row>
    <row r="485" spans="1:25" ht="108.5">
      <c r="A485" s="705" t="s">
        <v>3491</v>
      </c>
      <c r="B485" s="716" t="str">
        <f t="shared" ca="1" si="67"/>
        <v>Covenant summary information - C106</v>
      </c>
      <c r="C485" s="707" t="str" cm="1">
        <f t="array" aca="1" ref="C485" ca="1">INDIRECT(LEFT(I485, FIND("!", I485)) &amp; RefData!$C$426 &amp; RIGHT(I485, LEN(I485) - FIND("!", I485) - 1))</f>
        <v xml:space="preserve">
No answer required
You are required to upload a PDF document showing a summary of the trustees' assessment of supportable risk over the reliability period
</v>
      </c>
      <c r="D485" s="92" t="str">
        <f t="shared" si="50"/>
        <v/>
      </c>
      <c r="E485" s="708" t="str" cm="1">
        <f t="array" aca="1" ref="E485" ca="1">IF(INDIRECT($I485)= "", "", INDIRECT($I485))</f>
        <v/>
      </c>
      <c r="F485" s="709" t="str" cm="1">
        <f t="array" aca="1" ref="F485" ca="1">INDIRECT(LEFT(I485, FIND("!", I485)) &amp; RefData!$C$427 &amp; RIGHT(I485, LEN(I485) - FIND("!", I485) - 1))</f>
        <v>CSI 30.0</v>
      </c>
      <c r="G485" s="710" t="b">
        <f ca="1">IF(ISNUMBER(SEARCH(RefData!$B$2, $C485)), FALSE, TRUE)</f>
        <v>0</v>
      </c>
      <c r="H485" s="344">
        <f>'Covenant summary information'!C106</f>
        <v>0</v>
      </c>
      <c r="I485" s="712" t="str">
        <f t="shared" ca="1" si="68"/>
        <v>'Covenant summary information'!C106</v>
      </c>
      <c r="J485" s="713" t="b" cm="1">
        <f t="array" ref="J485">IF(COUNTIF($K485:$T485, "&lt;&gt;FALSE") - COUNTBLANK($K485:$T485) &gt; 0, INDEX($K485:$T485, MATCH(TRUE, $K485:$T485 &lt;&gt; FALSE, 0)))</f>
        <v>0</v>
      </c>
      <c r="K485" s="712"/>
      <c r="L485" s="712"/>
      <c r="M485" s="714"/>
      <c r="N485" s="714"/>
      <c r="O485" s="712"/>
      <c r="P485" s="712"/>
      <c r="Q485" s="712"/>
      <c r="R485" s="712"/>
      <c r="S485" s="712"/>
      <c r="T485" s="712"/>
      <c r="U485" s="526" t="str">
        <f t="shared" ca="1" si="62"/>
        <v/>
      </c>
      <c r="V485" s="93" t="str" cm="1">
        <f t="array" aca="1" ref="V485" ca="1">CELL("format",INDIRECT(I485))</f>
        <v>G</v>
      </c>
      <c r="W485" s="93" t="b">
        <f t="shared" ca="1" si="63"/>
        <v>0</v>
      </c>
      <c r="X485" s="715" t="str">
        <f t="shared" ca="1" si="61"/>
        <v/>
      </c>
      <c r="Y485" t="b">
        <f t="shared" ca="1" si="64"/>
        <v>1</v>
      </c>
    </row>
    <row r="486" spans="1:25" ht="108.5">
      <c r="A486" s="705" t="s">
        <v>3492</v>
      </c>
      <c r="B486" s="716" t="str">
        <f ca="1">HYPERLINK("#" &amp; $I486, SUBSTITUTE(SUBSTITUTE($I486, "!", " - "), "'",""))</f>
        <v>Covenant summary information - C107</v>
      </c>
      <c r="C486" s="707" t="str" cm="1">
        <f t="array" aca="1" ref="C486" ca="1">INDIRECT(LEFT(I486, FIND("!", I486)) &amp; RefData!$C$426 &amp; RIGHT(I486, LEN(I486) - FIND("!", I486) - 1))</f>
        <v xml:space="preserve">
No answer required
You are required to upload a PDF document showing a summary of the trustees' analysis of maximum affordable contributions
</v>
      </c>
      <c r="D486" s="92" t="str">
        <f t="shared" si="50"/>
        <v/>
      </c>
      <c r="E486" s="708" t="str" cm="1">
        <f t="array" aca="1" ref="E486" ca="1">IF(INDIRECT($I486)= "", "", INDIRECT($I486))</f>
        <v/>
      </c>
      <c r="F486" s="709" t="str" cm="1">
        <f t="array" aca="1" ref="F486" ca="1">INDIRECT(LEFT(I486, FIND("!", I486)) &amp; RefData!$C$427 &amp; RIGHT(I486, LEN(I486) - FIND("!", I486) - 1))</f>
        <v>CSI 31.0</v>
      </c>
      <c r="G486" s="710" t="b">
        <f ca="1">IF(ISNUMBER(SEARCH(RefData!$B$2, $C486)), FALSE, TRUE)</f>
        <v>0</v>
      </c>
      <c r="H486" s="344">
        <f>'Covenant summary information'!C107</f>
        <v>0</v>
      </c>
      <c r="I486" s="712" t="str">
        <f ca="1">SUBSTITUTE(_xlfn.FORMULATEXT($H486), "=", "")</f>
        <v>'Covenant summary information'!C107</v>
      </c>
      <c r="J486" s="713" t="b" cm="1">
        <f t="array" ref="J486">IF(COUNTIF($K486:$T486, "&lt;&gt;FALSE") - COUNTBLANK($K486:$T486) &gt; 0, INDEX($K486:$T486, MATCH(TRUE, $K486:$T486 &lt;&gt; FALSE, 0)))</f>
        <v>0</v>
      </c>
      <c r="K486" s="712"/>
      <c r="L486" s="712"/>
      <c r="M486" s="714"/>
      <c r="N486" s="714"/>
      <c r="O486" s="712"/>
      <c r="P486" s="712"/>
      <c r="Q486" s="712"/>
      <c r="R486" s="712"/>
      <c r="S486" s="712"/>
      <c r="T486" s="712"/>
      <c r="U486" s="526" t="str">
        <f t="shared" ca="1" si="62"/>
        <v/>
      </c>
      <c r="V486" s="93" t="str" cm="1">
        <f t="array" aca="1" ref="V486" ca="1">CELL("format",INDIRECT(I486))</f>
        <v>G</v>
      </c>
      <c r="W486" s="93" t="b">
        <f t="shared" ca="1" si="63"/>
        <v>0</v>
      </c>
      <c r="X486" s="715" t="str">
        <f t="shared" ca="1" si="61"/>
        <v/>
      </c>
      <c r="Y486" t="b">
        <f t="shared" ca="1" si="64"/>
        <v>1</v>
      </c>
    </row>
    <row r="487" spans="1:25" ht="77.5">
      <c r="A487" s="705" t="s">
        <v>3493</v>
      </c>
      <c r="B487" s="716" t="str">
        <f t="shared" ca="1" si="67"/>
        <v>Covenant summary information - C111</v>
      </c>
      <c r="C487" s="707" t="str" cm="1">
        <f t="array" aca="1" ref="C487" ca="1">INDIRECT(LEFT(I487, FIND("!", I487)) &amp; RefData!$C$426 &amp; RIGHT(I487, LEN(I487) - FIND("!", I487) - 1))</f>
        <v xml:space="preserve">
Is the strength of the employer covenant adequate by reference to the actuarial valuation to which the funding and investments strategy relates?
</v>
      </c>
      <c r="D487" s="92" t="str">
        <f t="shared" ca="1" si="50"/>
        <v xml:space="preserve">
Select ‘Yes’ if the strength of the employer covenant is adequate by reference to the actuarial valuation to which the funding and investment strategy relates, or ‘No’ if it does not.
</v>
      </c>
      <c r="E487" s="708" t="str" cm="1">
        <f t="array" aca="1" ref="E487" ca="1">IF(INDIRECT($I487)= "", "", INDIRECT($I487))</f>
        <v/>
      </c>
      <c r="F487" s="709" t="str" cm="1">
        <f t="array" aca="1" ref="F487" ca="1">INDIRECT(LEFT(I487, FIND("!", I487)) &amp; RefData!$C$427 &amp; RIGHT(I487, LEN(I487) - FIND("!", I487) - 1))</f>
        <v>CSI 32.0</v>
      </c>
      <c r="G487" s="710" t="b">
        <f ca="1">IF(ISNUMBER(SEARCH(RefData!$B$2, $C487)), FALSE, TRUE)</f>
        <v>1</v>
      </c>
      <c r="H487" s="344">
        <f>'Covenant summary information'!C111</f>
        <v>0</v>
      </c>
      <c r="I487" s="712" t="str">
        <f t="shared" ca="1" si="68"/>
        <v>'Covenant summary information'!C111</v>
      </c>
      <c r="J487" s="713" t="str" cm="1">
        <f t="array" aca="1" ref="J487" ca="1">IF(COUNTIF($K487:$T487, "&lt;&gt;FALSE") - COUNTBLANK($K487:$T487) &gt; 0, INDEX($K487:$T487, MATCH(TRUE, $K487:$T487 &lt;&gt; FALSE, 0)))</f>
        <v xml:space="preserve">
Select ‘Yes’ if the strength of the employer covenant is adequate by reference to the actuarial valuation to which the funding and investment strategy relates, or ‘No’ if it does not.
</v>
      </c>
      <c r="K487" s="712" t="str">
        <f ca="1">IF($E487="",ErrorMsgs!$B$487)</f>
        <v xml:space="preserve">
Select ‘Yes’ if the strength of the employer covenant is adequate by reference to the actuarial valuation to which the funding and investment strategy relates, or ‘No’ if it does not.
</v>
      </c>
      <c r="L487" s="712" t="str">
        <f ca="1">IF(ISNA(MATCH($E487,RefData!$B$120:$B$121,0)),ErrorMsgs!$B$487)</f>
        <v xml:space="preserve">
Select ‘Yes’ if the strength of the employer covenant is adequate by reference to the actuarial valuation to which the funding and investment strategy relates, or ‘No’ if it does not.
</v>
      </c>
      <c r="M487" s="714"/>
      <c r="N487" s="714"/>
      <c r="O487" s="712"/>
      <c r="P487" s="712"/>
      <c r="Q487" s="712"/>
      <c r="R487" s="712"/>
      <c r="S487" s="712"/>
      <c r="T487" s="712"/>
      <c r="U487" s="526" t="str">
        <f t="shared" ca="1" si="62"/>
        <v/>
      </c>
      <c r="V487" s="93" t="str" cm="1">
        <f t="array" aca="1" ref="V487" ca="1">CELL("format",INDIRECT(I487))</f>
        <v>G</v>
      </c>
      <c r="W487" s="93" t="b">
        <f t="shared" ca="1" si="63"/>
        <v>0</v>
      </c>
      <c r="X487" s="715" t="str">
        <f t="shared" ca="1" si="61"/>
        <v/>
      </c>
      <c r="Y487" t="b">
        <f t="shared" ca="1" si="64"/>
        <v>1</v>
      </c>
    </row>
    <row r="488" spans="1:25" ht="77.5">
      <c r="A488" s="705" t="s">
        <v>612</v>
      </c>
      <c r="B488" s="716" t="str">
        <f t="shared" ref="B488:B546" ca="1" si="69">HYPERLINK("#" &amp; $I488, SUBSTITUTE(SUBSTITUTE($I488, "!", " - "), "'",""))</f>
        <v>Employer CF and liquid assets - D7</v>
      </c>
      <c r="C488" s="707" t="str" cm="1">
        <f t="array" aca="1" ref="C488" ca="1">INDIRECT(LEFT(I488, FIND("!", I488)) &amp; RefData!$C$426 &amp; RIGHT(I488, LEN(I488) - FIND("!", I488) - 1))</f>
        <v xml:space="preserve">No answer required
How many entities have been considered when determining the employer cash flow?
</v>
      </c>
      <c r="D488" s="92" t="str">
        <f t="shared" ref="D488" ca="1" si="70">""&amp;IF(J488=FALSE, "", J488)
&amp;""</f>
        <v/>
      </c>
      <c r="E488" s="708" t="str" cm="1">
        <f t="array" aca="1" ref="E488" ca="1">IF(INDIRECT($I488)= "", "", INDIRECT($I488))</f>
        <v/>
      </c>
      <c r="F488" s="709" t="str" cm="1">
        <f t="array" aca="1" ref="F488" ca="1">INDIRECT(LEFT(I488, FIND("!", I488)) &amp; RefData!$C$427 &amp; RIGHT(I488, LEN(I488) - FIND("!", I488) - 1))</f>
        <v>ECI 0.0</v>
      </c>
      <c r="G488" s="710" t="b">
        <f ca="1">IF(ISNUMBER(SEARCH(RefData!$B$2, $C488)), FALSE, TRUE)</f>
        <v>0</v>
      </c>
      <c r="H488" s="734">
        <f>'Employer CF and liquid assets'!D7</f>
        <v>0</v>
      </c>
      <c r="I488" s="712" t="str">
        <f t="shared" ref="I488:I545" ca="1" si="71">SUBSTITUTE(_xlfn.FORMULATEXT($H488), "=", "")</f>
        <v>'Employer CF and liquid assets'!D7</v>
      </c>
      <c r="J488" s="713" t="b" cm="1">
        <f t="array" aca="1" ref="J488" ca="1">IF(COUNTIF($K488:$T488, "&lt;&gt;FALSE") - COUNTBLANK($K488:$T488) &gt; 0, INDEX($K488:$T488, MATCH(TRUE, $K488:$T488 &lt;&gt; FALSE, 0)))</f>
        <v>0</v>
      </c>
      <c r="K488" s="712" t="b">
        <f ca="1">IF(AND('Start here'!$C$26=RefData!$B$9,'Reconciliation report'!$E488&lt;&gt;""),ErrorMsgs!$B488)</f>
        <v>0</v>
      </c>
      <c r="L488" s="712" t="b">
        <f ca="1">IF(AND('Start here'!$C$26=RefData!$B$10,'Start here'!$C$23=RefData!$B$18,'Covenant summary information'!$C$10=RefData!$B$118,'Reconciliation report'!$E488&lt;&gt;""),ErrorMsgs!$C488)</f>
        <v>0</v>
      </c>
      <c r="M488" s="714" t="b">
        <f ca="1">IF(AND('Start here'!$C$26=RefData!$B$10,'Start here'!$C$23=RefData!$B$18,'Covenant summary information'!$C$10=RefData!$B$119,'Reconciliation report'!$E488=""),ErrorMsgs!$D488)</f>
        <v>0</v>
      </c>
      <c r="N488" s="714" t="b">
        <f ca="1">IF(AND('Start here'!$C$26=RefData!$B$10,'Start here'!$C$23=RefData!$B$17,'Covenant summary information'!$C$10=RefData!$B$118,'Reconciliation report'!$E488&lt;&gt;""),ErrorMsgs!$E488)</f>
        <v>0</v>
      </c>
      <c r="O488" s="736" t="b">
        <f ca="1">IF(AND('Start here'!$C$26=RefData!$B$10,'Start here'!$C$23=RefData!$B$17,'Covenant summary information'!$C$10=RefData!$B$119,'Start here'!$C$27=RefData!$B$11,'Reconciliation report'!$E488&lt;&gt;""),ErrorMsgs!$F488)</f>
        <v>0</v>
      </c>
      <c r="P488" s="736" t="b">
        <f ca="1">IF(AND('Start here'!$C$26=RefData!$B$10,'Start here'!$C$23=RefData!$B$17,'Covenant summary information'!$C$10=RefData!$B$119,'Start here'!$C$27=RefData!$B$12,'Reconciliation report'!$E488=""),ErrorMsgs!$G488)</f>
        <v>0</v>
      </c>
      <c r="Q488" s="712" t="b">
        <f ca="1">IF($E488="",FALSE,IF(OR($E488-ROUND($E488,0)&lt;&gt;0,$E488&lt;0,$E488&gt;5),ErrorMsgs!$H488))</f>
        <v>0</v>
      </c>
      <c r="R488" s="712"/>
      <c r="S488" s="712"/>
      <c r="T488" s="712"/>
      <c r="U488" s="526" t="str">
        <f t="shared" ca="1" si="62"/>
        <v/>
      </c>
      <c r="V488" s="93" t="str" cm="1">
        <f t="array" aca="1" ref="V488" ca="1">CELL("format",INDIRECT(I488))</f>
        <v>F0</v>
      </c>
      <c r="W488" s="93" t="b">
        <f t="shared" ca="1" si="63"/>
        <v>0</v>
      </c>
      <c r="X488" s="715" t="str">
        <f t="shared" ca="1" si="61"/>
        <v/>
      </c>
      <c r="Y488" t="b">
        <f t="shared" ca="1" si="64"/>
        <v>1</v>
      </c>
    </row>
    <row r="489" spans="1:25" ht="77.5">
      <c r="A489" s="705" t="s">
        <v>615</v>
      </c>
      <c r="B489" s="716" t="str">
        <f t="shared" ca="1" si="69"/>
        <v>Employer CF and liquid assets - D11</v>
      </c>
      <c r="C489" s="707" t="str" cm="1">
        <f t="array" aca="1" ref="C489" ca="1">INDIRECT(LEFT(I489, FIND("!", I489)) &amp; RefData!$C$426 &amp; RIGHT(I489, LEN(I489) - FIND("!", I489) - 1))</f>
        <v xml:space="preserve">
No answer required
Legal name
</v>
      </c>
      <c r="D489" s="92" t="str">
        <f t="shared" ca="1" si="50"/>
        <v/>
      </c>
      <c r="E489" s="708" t="str" cm="1">
        <f t="array" aca="1" ref="E489" ca="1">IF(INDIRECT($I489)= "", "", INDIRECT($I489))</f>
        <v/>
      </c>
      <c r="F489" s="709" t="str" cm="1">
        <f t="array" aca="1" ref="F489" ca="1">INDIRECT(LEFT(I489, FIND("!", I489)) &amp; RefData!$C$427 &amp; RIGHT(I489, LEN(I489) - FIND("!", I489) - 1))</f>
        <v>ECI 1.0/1</v>
      </c>
      <c r="G489" s="710" t="b">
        <f ca="1">IF(ISNUMBER(SEARCH(RefData!$B$2, $C489)), FALSE, TRUE)</f>
        <v>0</v>
      </c>
      <c r="H489" s="113">
        <f>'Employer CF and liquid assets'!D11</f>
        <v>0</v>
      </c>
      <c r="I489" s="712" t="str">
        <f t="shared" ca="1" si="71"/>
        <v>'Employer CF and liquid assets'!D11</v>
      </c>
      <c r="J489" s="92" t="b" cm="1">
        <f t="array" aca="1" ref="J489" ca="1">IF(
    ISNUMBER(SEARCH(RefData!$B$2, $C$488)),
    IF(
        $E489 &lt;&gt; "",
        $J$488,
        IF(
            $E489 = "",
            FALSE
        )
    ),
    IF(
        COUNTIF($K489:$T489, "&lt;&gt;FALSE") - COUNTBLANK($K489:$T489) &gt; 0,
        INDEX($K489:$T489, MATCH(TRUE, $K489:$T489 &lt;&gt; FALSE, 0))
    )
)</f>
        <v>0</v>
      </c>
      <c r="K489" s="712" t="b">
        <f ca="1">IF(AND('Start here'!$C$26=RefData!$B$9,'Reconciliation report'!$E489&lt;&gt;""),ErrorMsgs!$B489)</f>
        <v>0</v>
      </c>
      <c r="L489" s="712" t="b">
        <f ca="1">IF(AND('Start here'!$C$26=RefData!$B$10,'Covenant summary information'!$C$10=RefData!$B$118,'Reconciliation report'!$E489&lt;&gt;""),ErrorMsgs!$C489)</f>
        <v>0</v>
      </c>
      <c r="M489" s="714" t="b">
        <f ca="1">IF(AND('Start here'!$C$26=RefData!$B$10,'Covenant summary information'!$C$10=RefData!$B$119,'Employer CF and liquid assets'!$D$7=0,'Reconciliation report'!$E489&lt;&gt;""),ErrorMsgs!$D489)</f>
        <v>0</v>
      </c>
      <c r="N489" s="714" t="b">
        <f ca="1">IF(AND('Start here'!$C$26=RefData!$B$10,'Covenant summary information'!$C$10=RefData!$B$119,'Employer CF and liquid assets'!$D$7&lt;1,'Reconciliation report'!$E489&lt;&gt;""),ErrorMsgs!$E489)</f>
        <v>0</v>
      </c>
      <c r="O489" s="712" t="b">
        <f ca="1">IF(AND('Start here'!$C$26=RefData!$B$10,'Covenant summary information'!$C$10=RefData!$B$119,'Employer CF and liquid assets'!$D$7&gt;=1,'Reconciliation report'!$E489=""),ErrorMsgs!$F489)</f>
        <v>0</v>
      </c>
      <c r="P489" s="712" t="b">
        <f ca="1">IF(LEN($E489)&gt;510,ErrorMsgs!$G489)</f>
        <v>0</v>
      </c>
      <c r="Q489" s="712"/>
      <c r="R489" s="712"/>
      <c r="S489" s="712"/>
      <c r="T489" s="712"/>
      <c r="U489" s="526" t="str">
        <f t="shared" ca="1" si="62"/>
        <v/>
      </c>
      <c r="V489" s="93" t="str" cm="1">
        <f t="array" aca="1" ref="V489" ca="1">CELL("format",INDIRECT(I489))</f>
        <v>G</v>
      </c>
      <c r="W489" s="93" t="b">
        <f t="shared" ca="1" si="63"/>
        <v>0</v>
      </c>
      <c r="X489" s="715" t="str">
        <f t="shared" ca="1" si="61"/>
        <v/>
      </c>
      <c r="Y489" t="b">
        <f t="shared" ca="1" si="64"/>
        <v>1</v>
      </c>
    </row>
    <row r="490" spans="1:25" ht="77.5">
      <c r="A490" s="705" t="s">
        <v>617</v>
      </c>
      <c r="B490" s="716" t="str">
        <f t="shared" ca="1" si="69"/>
        <v>Employer CF and liquid assets - D12</v>
      </c>
      <c r="C490" s="707" t="str" cm="1">
        <f t="array" aca="1" ref="C490" ca="1">INDIRECT(LEFT(I490, FIND("!", I490)) &amp; RefData!$C$426 &amp; RIGHT(I490, LEN(I490) - FIND("!", I490) - 1))</f>
        <v xml:space="preserve">
No answer required
Companies House number (if applicable)
</v>
      </c>
      <c r="D490" s="92" t="str">
        <f t="shared" ca="1" si="50"/>
        <v/>
      </c>
      <c r="E490" s="708" t="str" cm="1">
        <f t="array" aca="1" ref="E490" ca="1">IF(INDIRECT($I490)= "", "", INDIRECT($I490))</f>
        <v/>
      </c>
      <c r="F490" s="709" t="str" cm="1">
        <f t="array" aca="1" ref="F490" ca="1">INDIRECT(LEFT(I490, FIND("!", I490)) &amp; RefData!$C$427 &amp; RIGHT(I490, LEN(I490) - FIND("!", I490) - 1))</f>
        <v>ECI 2.0/1</v>
      </c>
      <c r="G490" s="710" t="b">
        <f ca="1">IF(ISNUMBER(SEARCH(RefData!$B$2, $C490)), FALSE, TRUE)</f>
        <v>0</v>
      </c>
      <c r="H490" s="113">
        <f>'Employer CF and liquid assets'!D12</f>
        <v>0</v>
      </c>
      <c r="I490" s="712" t="str">
        <f t="shared" ca="1" si="71"/>
        <v>'Employer CF and liquid assets'!D12</v>
      </c>
      <c r="J490" s="92" t="b" cm="1">
        <f t="array" aca="1" ref="J490" ca="1">IF(
    ISNUMBER(SEARCH(RefData!$B$2, $C$488)),
    IF(
        $E490 &lt;&gt; "",
        $J$488,
        IF(
            $E490 = "",
            FALSE
        )
    ),
    IF(
        COUNTIF($K490:$T490, "&lt;&gt;FALSE") - COUNTBLANK($K490:$T490) &gt; 0,
        INDEX($K490:$T490, MATCH(TRUE, $K490:$T490 &lt;&gt; FALSE, 0))
    )
)</f>
        <v>0</v>
      </c>
      <c r="K490" s="712" t="b">
        <f ca="1">IF(AND('Start here'!$C$26=RefData!$B$10,'Covenant summary information'!$C$10=RefData!$B$118,'Reconciliation report'!$E490&lt;&gt;""),ErrorMsgs!$C490)</f>
        <v>0</v>
      </c>
      <c r="L490" s="712" t="b">
        <f ca="1">IF(AND('Start here'!$C$26=RefData!$B$10,'Covenant summary information'!$C$10=RefData!$B$119,'Employer CF and liquid assets'!$D$7=0,'Reconciliation report'!$E490&lt;&gt;""),ErrorMsgs!$D490)</f>
        <v>0</v>
      </c>
      <c r="M490" s="714" t="b">
        <f ca="1">IF(AND('Start here'!$C$26=RefData!$B$10,'Covenant summary information'!$C$10=RefData!$B$119,'Employer CF and liquid assets'!$D$7&lt;1,'Reconciliation report'!$E490&lt;&gt;""),ErrorMsgs!$E490)</f>
        <v>0</v>
      </c>
      <c r="N490" s="712" t="b">
        <f ca="1">IF(
  AND(
    'Employer CF and liquid assets'!$D$7 &gt;= 1,
    OR(
      AND(TRIM($E490) &lt;&gt; "", TRIM($D491) &lt;&gt; ""),
      AND(TRIM($E490) &lt;&gt; "", TRIM($D491) = "", TRIM($E491) = "")
    ),
    OR(
      ISNUMBER(FIND(" ", $E490)),
      NOT(
        OR(
          AND(LEN($E490)=8, ISNUMBER(VALUE($E490))),
          AND(LEN($E490)=8, ISNUMBER(VALUE(RIGHT($E490,6))), ISNUMBER(FIND(LEFT(UPPER($E490),1),"ABCDEFGHIJKLMNOPQRSTUVWXYZ")), ISNUMBER(FIND(MID(UPPER($E490),2,1),"ABCDEFGHIJKLMNOPQRSTUVWXYZ"))),
          AND(LEN($E490)=8, ISNUMBER(VALUE(RIGHT($E490,7))), ISNUMBER(FIND(LEFT(UPPER($E490),1),"ABCDEFGHIJKLMNOPQRSTUVWXYZ"))),
          AND(LEN($E490)=8, ISNUMBER(VALUE(MID($E490,3,5))), ISNUMBER(FIND(LEFT(UPPER($E490),1),"ABCDEFGHIJKLMNOPQRSTUVWXYZ")), ISNUMBER(FIND(MID(UPPER($E490),2,1),"ABCDEFGHIJKLMNOPQRSTUVWXYZ")), ISNUMBER(FIND(RIGHT(UPPER($E490),1),"ABCDEFGHIJKLMNOPQRSTUVWXYZ"))),
          AND(LEN($E490)=8, ISNUMBER(VALUE(MID($E490,3,4))), ISNUMBER(FIND(LEFT(UPPER($E490),1),"ABCDEFGHIJKLMNOPQRSTUVWXYZ")), ISNUMBER(FIND(MID(UPPER($E490),2,1),"ABCDEFGHIJKLMNOPQRSTUVWXYZ")), ISNUMBER(FIND(MID(UPPER($E490),7,1),"ABCDEFGHIJKLMNOPQRSTUVWXYZ")), ISNUMBER(FIND(RIGHT(UPPER($E490),1),"ABCDEFGHIJKLMNOPQRSTUVWXYZ")))
        )
      )
    )
  ),
  ErrorMsgs!F490
)</f>
        <v>0</v>
      </c>
      <c r="O490" s="712"/>
      <c r="P490" s="712"/>
      <c r="Q490" s="712"/>
      <c r="R490" s="712"/>
      <c r="S490" s="712"/>
      <c r="T490" s="712"/>
      <c r="U490" s="526" t="str">
        <f t="shared" ca="1" si="62"/>
        <v/>
      </c>
      <c r="V490" s="93" t="str" cm="1">
        <f t="array" aca="1" ref="V490" ca="1">CELL("format",INDIRECT(I490))</f>
        <v>G</v>
      </c>
      <c r="W490" s="93" t="b">
        <f t="shared" ca="1" si="63"/>
        <v>0</v>
      </c>
      <c r="X490" s="715" t="str">
        <f t="shared" ca="1" si="61"/>
        <v/>
      </c>
      <c r="Y490" t="b">
        <f t="shared" ca="1" si="64"/>
        <v>1</v>
      </c>
    </row>
    <row r="491" spans="1:25" ht="77.5">
      <c r="A491" s="705" t="s">
        <v>619</v>
      </c>
      <c r="B491" s="716" t="str">
        <f t="shared" ca="1" si="69"/>
        <v>Employer CF and liquid assets - D13</v>
      </c>
      <c r="C491" s="707" t="str" cm="1">
        <f t="array" aca="1" ref="C491" ca="1">INDIRECT(LEFT(I491, FIND("!", I491)) &amp; RefData!$C$426 &amp; RIGHT(I491, LEN(I491) - FIND("!", I491) - 1))</f>
        <v xml:space="preserve">
No answer required
Charity number (if applicable)
</v>
      </c>
      <c r="D491" s="92" t="str">
        <f t="shared" ca="1" si="50"/>
        <v/>
      </c>
      <c r="E491" s="708" t="str" cm="1">
        <f t="array" aca="1" ref="E491" ca="1">IF(INDIRECT($I491)= "", "", INDIRECT($I491))</f>
        <v/>
      </c>
      <c r="F491" s="709" t="str" cm="1">
        <f t="array" aca="1" ref="F491" ca="1">INDIRECT(LEFT(I491, FIND("!", I491)) &amp; RefData!$C$427 &amp; RIGHT(I491, LEN(I491) - FIND("!", I491) - 1))</f>
        <v>ECI 3.0/1</v>
      </c>
      <c r="G491" s="710" t="b">
        <f ca="1">IF(ISNUMBER(SEARCH(RefData!$B$2, $C491)), FALSE, TRUE)</f>
        <v>0</v>
      </c>
      <c r="H491" s="113">
        <f>'Employer CF and liquid assets'!D13</f>
        <v>0</v>
      </c>
      <c r="I491" s="712" t="str">
        <f t="shared" ca="1" si="71"/>
        <v>'Employer CF and liquid assets'!D13</v>
      </c>
      <c r="J491" s="92" t="b" cm="1">
        <f t="array" aca="1" ref="J491" ca="1">IF(
    ISNUMBER(SEARCH(RefData!$B$2, $C$488)),
    IF(
        $E491 &lt;&gt; "",
        $J$488,
        IF(
            $E491 = "",
            FALSE
        )
    ),
    IF(
        COUNTIF($K491:$T491, "&lt;&gt;FALSE") - COUNTBLANK($K491:$T491) &gt; 0,
        INDEX($K491:$T491, MATCH(TRUE, $K491:$T491 &lt;&gt; FALSE, 0))
    )
)</f>
        <v>0</v>
      </c>
      <c r="K491" s="712" t="b">
        <f ca="1">IF(AND('Start here'!$C$26=RefData!$B$10,'Covenant summary information'!$C$10=RefData!$B$118,'Reconciliation report'!$E491&lt;&gt;""),ErrorMsgs!$C491)</f>
        <v>0</v>
      </c>
      <c r="L491" s="712" t="b">
        <f ca="1">IF(AND('Start here'!$C$26=RefData!$B$10,'Covenant summary information'!$C$10=RefData!$B$119,'Employer CF and liquid assets'!$D$7=0,'Reconciliation report'!$E491&lt;&gt;""),ErrorMsgs!$D491)</f>
        <v>0</v>
      </c>
      <c r="M491" s="714" t="b">
        <f ca="1">IF(AND('Start here'!$C$26=RefData!$B$10,'Covenant summary information'!$C$10=RefData!$B$119,'Employer CF and liquid assets'!$D$7&lt;1,'Reconciliation report'!$E491&lt;&gt;""),ErrorMsgs!$E491)</f>
        <v>0</v>
      </c>
      <c r="N491" s="714" t="b">
        <f ca="1">IF(AND('Start here'!$C$26=RefData!$B$10,'Covenant summary information'!$C$10=RefData!$B$119,'Employer CF and liquid assets'!$D$7&gt;=1,TRIM('Employer CF and liquid assets'!$D12)&lt;&gt;"",'Reconciliation report'!$E491&lt;&gt;""),ErrorMsgs!$F491)</f>
        <v>0</v>
      </c>
      <c r="O491" s="712" t="b">
        <f ca="1">IF($E491="",FALSE,IF(OR(LEN($E491)&lt;6,LEN($E491)&gt;8),ErrorMsgs!$G491))</f>
        <v>0</v>
      </c>
      <c r="P491" s="712"/>
      <c r="Q491" s="712"/>
      <c r="R491" s="712"/>
      <c r="S491" s="712"/>
      <c r="T491" s="712"/>
      <c r="U491" s="526" t="str">
        <f t="shared" ca="1" si="62"/>
        <v/>
      </c>
      <c r="V491" s="93" t="str" cm="1">
        <f t="array" aca="1" ref="V491" ca="1">CELL("format",INDIRECT(I491))</f>
        <v>G</v>
      </c>
      <c r="W491" s="93" t="b">
        <f t="shared" ca="1" si="63"/>
        <v>0</v>
      </c>
      <c r="X491" s="715" t="str">
        <f t="shared" ca="1" si="61"/>
        <v/>
      </c>
      <c r="Y491" t="b">
        <f t="shared" ca="1" si="64"/>
        <v>1</v>
      </c>
    </row>
    <row r="492" spans="1:25" ht="77.5">
      <c r="A492" s="705" t="s">
        <v>621</v>
      </c>
      <c r="B492" s="716" t="str">
        <f t="shared" ca="1" si="69"/>
        <v>Employer CF and liquid assets - D14</v>
      </c>
      <c r="C492" s="707" t="str" cm="1">
        <f t="array" aca="1" ref="C492" ca="1">INDIRECT(LEFT(I492, FIND("!", I492)) &amp; RefData!$C$426 &amp; RIGHT(I492, LEN(I492) - FIND("!", I492) - 1))</f>
        <v xml:space="preserve">
No answer required
Trading name
</v>
      </c>
      <c r="D492" s="92" t="str">
        <f t="shared" ca="1" si="50"/>
        <v/>
      </c>
      <c r="E492" s="708" t="str" cm="1">
        <f t="array" aca="1" ref="E492" ca="1">IF(INDIRECT($I492)= "", "", INDIRECT($I492))</f>
        <v/>
      </c>
      <c r="F492" s="709" t="str" cm="1">
        <f t="array" aca="1" ref="F492" ca="1">INDIRECT(LEFT(I492, FIND("!", I492)) &amp; RefData!$C$427 &amp; RIGHT(I492, LEN(I492) - FIND("!", I492) - 1))</f>
        <v>ECI 4.0/1</v>
      </c>
      <c r="G492" s="710" t="b">
        <f ca="1">IF(ISNUMBER(SEARCH(RefData!$B$2, $C492)), FALSE, TRUE)</f>
        <v>0</v>
      </c>
      <c r="H492" s="113">
        <f>'Employer CF and liquid assets'!D14</f>
        <v>0</v>
      </c>
      <c r="I492" s="712" t="str">
        <f t="shared" ca="1" si="71"/>
        <v>'Employer CF and liquid assets'!D14</v>
      </c>
      <c r="J492" s="92" t="b" cm="1">
        <f t="array" aca="1" ref="J492" ca="1">IF(
    ISNUMBER(SEARCH(RefData!$B$2, $C$488)),
    IF(
        $E492 &lt;&gt; "",
        $J$488,
        IF(
            $E492 = "",
            FALSE
        )
    ),
    IF(
        COUNTIF($K492:$T492, "&lt;&gt;FALSE") - COUNTBLANK($K492:$T492) &gt; 0,
        INDEX($K492:$T492, MATCH(TRUE, $K492:$T492 &lt;&gt; FALSE, 0))
    )
)</f>
        <v>0</v>
      </c>
      <c r="K492" s="712" t="b">
        <f ca="1">IF(AND('Start here'!$C$26=RefData!$B$10,'Covenant summary information'!$C$10=RefData!$B$118,'Reconciliation report'!$E492&lt;&gt;""),ErrorMsgs!$C492)</f>
        <v>0</v>
      </c>
      <c r="L492" s="712" t="b">
        <f ca="1">IF(AND('Start here'!$C$26=RefData!$B$10,'Covenant summary information'!$C$10=RefData!$B$119,'Employer CF and liquid assets'!$D$7=0,'Reconciliation report'!$E492&lt;&gt;""),ErrorMsgs!$D492)</f>
        <v>0</v>
      </c>
      <c r="M492" s="714" t="b">
        <f ca="1">IF(AND('Start here'!$C$26=RefData!$B$10,'Covenant summary information'!$C$10=RefData!$B$119,'Employer CF and liquid assets'!$D$7&lt;1,'Reconciliation report'!$E492&lt;&gt;""),ErrorMsgs!$E492)</f>
        <v>0</v>
      </c>
      <c r="N492" s="714" t="b">
        <f ca="1">IF(AND('Start here'!$C$26=RefData!$B$10,'Covenant summary information'!$C$10=RefData!$B$119,'Employer CF and liquid assets'!$D$7&gt;=1,TRIM('Employer CF and liquid assets'!$D12)&lt;&gt;"",'Reconciliation report'!$E492&lt;&gt;""),ErrorMsgs!$F492)</f>
        <v>0</v>
      </c>
      <c r="O492" s="712" t="b">
        <f ca="1">IF(AND('Start here'!$C$26=RefData!$B$10,'Covenant summary information'!$C$10=RefData!$B$119,'Employer CF and liquid assets'!$D$7&gt;=1,'Employer CF and liquid assets'!$D13&lt;&gt;"",'Reconciliation report'!$E492&lt;&gt;""),ErrorMsgs!$G492)</f>
        <v>0</v>
      </c>
      <c r="P492" s="712" t="b">
        <f ca="1">IF(AND('Start here'!$C$26=RefData!$B$10,'Covenant summary information'!$C$10=RefData!$B$119,'Employer CF and liquid assets'!$D$7&gt;=1,AND(TRIM('Employer CF and liquid assets'!$D12)="",'Employer CF and liquid assets'!$D13=""),'Reconciliation report'!$E492=""),ErrorMsgs!$H492)</f>
        <v>0</v>
      </c>
      <c r="Q492" s="712" t="b">
        <f ca="1">IF(LEN($E492)&gt;510,ErrorMsgs!$I492)</f>
        <v>0</v>
      </c>
      <c r="R492" s="712"/>
      <c r="S492" s="712"/>
      <c r="T492" s="712"/>
      <c r="U492" s="526" t="str">
        <f t="shared" ca="1" si="62"/>
        <v/>
      </c>
      <c r="V492" s="93" t="str" cm="1">
        <f t="array" aca="1" ref="V492" ca="1">CELL("format",INDIRECT(I492))</f>
        <v>G</v>
      </c>
      <c r="W492" s="93" t="b">
        <f t="shared" ca="1" si="63"/>
        <v>0</v>
      </c>
      <c r="X492" s="715" t="str">
        <f t="shared" ca="1" si="61"/>
        <v/>
      </c>
      <c r="Y492" t="b">
        <f t="shared" ca="1" si="64"/>
        <v>1</v>
      </c>
    </row>
    <row r="493" spans="1:25" ht="77.5">
      <c r="A493" s="705" t="s">
        <v>623</v>
      </c>
      <c r="B493" s="716" t="str">
        <f t="shared" ca="1" si="69"/>
        <v>Employer CF and liquid assets - D15</v>
      </c>
      <c r="C493" s="707" t="str" cm="1">
        <f t="array" aca="1" ref="C493" ca="1">INDIRECT(LEFT(I493, FIND("!", I493)) &amp; RefData!$C$426 &amp; RIGHT(I493, LEN(I493) - FIND("!", I493) - 1))</f>
        <v xml:space="preserve">
No answer required
Address line 1
</v>
      </c>
      <c r="D493" s="92" t="str">
        <f t="shared" ca="1" si="50"/>
        <v/>
      </c>
      <c r="E493" s="708" t="str" cm="1">
        <f t="array" aca="1" ref="E493" ca="1">IF(INDIRECT($I493)= "", "", INDIRECT($I493))</f>
        <v/>
      </c>
      <c r="F493" s="709" t="str" cm="1">
        <f t="array" aca="1" ref="F493" ca="1">INDIRECT(LEFT(I493, FIND("!", I493)) &amp; RefData!$C$427 &amp; RIGHT(I493, LEN(I493) - FIND("!", I493) - 1))</f>
        <v>ECI 5.0/1</v>
      </c>
      <c r="G493" s="710" t="b">
        <f ca="1">IF(ISNUMBER(SEARCH(RefData!$B$2, $C493)), FALSE, TRUE)</f>
        <v>0</v>
      </c>
      <c r="H493" s="113">
        <f>'Employer CF and liquid assets'!D15</f>
        <v>0</v>
      </c>
      <c r="I493" s="712" t="str">
        <f t="shared" ca="1" si="71"/>
        <v>'Employer CF and liquid assets'!D15</v>
      </c>
      <c r="J493" s="92" t="b" cm="1">
        <f t="array" aca="1" ref="J493" ca="1">IF(
    ISNUMBER(SEARCH(RefData!$B$2, $C$488)),
    IF(
        $E493 &lt;&gt; "",
        $J$488,
        IF(
            $E493 = "",
            FALSE
        )
    ),
    IF(
        COUNTIF($K493:$T493, "&lt;&gt;FALSE") - COUNTBLANK($K493:$T493) &gt; 0,
        INDEX($K493:$T493, MATCH(TRUE, $K493:$T493 &lt;&gt; FALSE, 0))
    )
)</f>
        <v>0</v>
      </c>
      <c r="K493" s="712" t="b">
        <f ca="1">IF(AND('Start here'!$C$26=RefData!$B$10,'Covenant summary information'!$C$10=RefData!$B$118,'Reconciliation report'!$E493&lt;&gt;""),ErrorMsgs!$C493)</f>
        <v>0</v>
      </c>
      <c r="L493" s="712" t="b">
        <f ca="1">IF(AND('Start here'!$C$26=RefData!$B$10,'Covenant summary information'!$C$10=RefData!$B$119,'Employer CF and liquid assets'!$D$7=0,'Reconciliation report'!$E493&lt;&gt;""),ErrorMsgs!$D493)</f>
        <v>0</v>
      </c>
      <c r="M493" s="714" t="b">
        <f ca="1">IF(AND('Start here'!$C$26=RefData!$B$10,'Covenant summary information'!$C$10=RefData!$B$119,'Employer CF and liquid assets'!$D$7&lt;1,'Reconciliation report'!$E493&lt;&gt;""),ErrorMsgs!$E493)</f>
        <v>0</v>
      </c>
      <c r="N493" s="714" t="b">
        <f ca="1">IF(AND('Start here'!$C$26=RefData!$B$10,'Covenant summary information'!$C$10=RefData!$B$119,'Employer CF and liquid assets'!$D$7&gt;=1,TRIM('Employer CF and liquid assets'!$D12)&lt;&gt;"",'Reconciliation report'!$E493&lt;&gt;""),ErrorMsgs!$F493)</f>
        <v>0</v>
      </c>
      <c r="O493" s="712" t="b">
        <f ca="1">IF(AND('Start here'!$C$26=RefData!$B$10,'Covenant summary information'!$C$10=RefData!$B$119,'Employer CF and liquid assets'!$D$7&gt;=1,'Employer CF and liquid assets'!$D13&lt;&gt;"",'Reconciliation report'!$E493&lt;&gt;""),ErrorMsgs!$G493)</f>
        <v>0</v>
      </c>
      <c r="P493" s="712" t="b">
        <f ca="1">IF(AND('Start here'!$C$26=RefData!$B$10,'Covenant summary information'!$C$10=RefData!$B$119,'Employer CF and liquid assets'!$D$7&gt;=1,AND(TRIM('Employer CF and liquid assets'!$D12)="",'Employer CF and liquid assets'!$D13=""),'Reconciliation report'!$E493=""),ErrorMsgs!$H493)</f>
        <v>0</v>
      </c>
      <c r="Q493" s="712" t="b">
        <f ca="1">IF(LEN($E493)&gt;510,ErrorMsgs!$I493)</f>
        <v>0</v>
      </c>
      <c r="R493" s="712"/>
      <c r="S493" s="712"/>
      <c r="T493" s="712"/>
      <c r="U493" s="526" t="str">
        <f t="shared" ca="1" si="62"/>
        <v/>
      </c>
      <c r="V493" s="93" t="str" cm="1">
        <f t="array" aca="1" ref="V493" ca="1">CELL("format",INDIRECT(I493))</f>
        <v>G</v>
      </c>
      <c r="W493" s="93" t="b">
        <f t="shared" ca="1" si="63"/>
        <v>0</v>
      </c>
      <c r="X493" s="715" t="str">
        <f t="shared" ca="1" si="61"/>
        <v/>
      </c>
      <c r="Y493" t="b">
        <f t="shared" ca="1" si="64"/>
        <v>1</v>
      </c>
    </row>
    <row r="494" spans="1:25" ht="77.5">
      <c r="A494" s="705" t="s">
        <v>625</v>
      </c>
      <c r="B494" s="716" t="str">
        <f t="shared" ca="1" si="69"/>
        <v>Employer CF and liquid assets - D16</v>
      </c>
      <c r="C494" s="707" t="str" cm="1">
        <f t="array" aca="1" ref="C494" ca="1">INDIRECT(LEFT(I494, FIND("!", I494)) &amp; RefData!$C$426 &amp; RIGHT(I494, LEN(I494) - FIND("!", I494) - 1))</f>
        <v xml:space="preserve">
No answer required
Address line 2 (optional)
</v>
      </c>
      <c r="D494" s="92" t="str">
        <f t="shared" ca="1" si="50"/>
        <v/>
      </c>
      <c r="E494" s="708" t="str" cm="1">
        <f t="array" aca="1" ref="E494" ca="1">IF(INDIRECT($I494)= "", "", INDIRECT($I494))</f>
        <v/>
      </c>
      <c r="F494" s="709" t="str" cm="1">
        <f t="array" aca="1" ref="F494" ca="1">INDIRECT(LEFT(I494, FIND("!", I494)) &amp; RefData!$C$427 &amp; RIGHT(I494, LEN(I494) - FIND("!", I494) - 1))</f>
        <v>ECI 6.0/1</v>
      </c>
      <c r="G494" s="710" t="b">
        <f ca="1">IF(ISNUMBER(SEARCH(RefData!$B$2, $C494)), FALSE, TRUE)</f>
        <v>0</v>
      </c>
      <c r="H494" s="113">
        <f>'Employer CF and liquid assets'!D16</f>
        <v>0</v>
      </c>
      <c r="I494" s="712" t="str">
        <f t="shared" ca="1" si="71"/>
        <v>'Employer CF and liquid assets'!D16</v>
      </c>
      <c r="J494" s="92" t="b" cm="1">
        <f t="array" aca="1" ref="J494" ca="1">IF(
    ISNUMBER(SEARCH(RefData!$B$2, $C$488)),
    IF(
        $E494 &lt;&gt; "",
        $J$488,
        IF(
            $E494 = "",
            FALSE
        )
    ),
    IF(
        COUNTIF($K494:$T494, "&lt;&gt;FALSE") - COUNTBLANK($K494:$T494) &gt; 0,
        INDEX($K494:$T494, MATCH(TRUE, $K494:$T494 &lt;&gt; FALSE, 0))
    )
)</f>
        <v>0</v>
      </c>
      <c r="K494" s="712" t="b">
        <f ca="1">IF(AND('Start here'!$C$26=RefData!$B$10,'Covenant summary information'!$C$10=RefData!$B$118,'Reconciliation report'!$E494&lt;&gt;""),ErrorMsgs!$C494)</f>
        <v>0</v>
      </c>
      <c r="L494" s="712" t="b">
        <f ca="1">IF(AND('Start here'!$C$26=RefData!$B$10,'Covenant summary information'!$C$10=RefData!$B$119,'Employer CF and liquid assets'!$D$7=0,'Reconciliation report'!$E494&lt;&gt;""),ErrorMsgs!$D494)</f>
        <v>0</v>
      </c>
      <c r="M494" s="714" t="b">
        <f ca="1">IF(AND('Start here'!$C$26=RefData!$B$10,'Covenant summary information'!$C$10=RefData!$B$119,'Employer CF and liquid assets'!$D$7&lt;1,'Reconciliation report'!$E494&lt;&gt;""),ErrorMsgs!$E494)</f>
        <v>0</v>
      </c>
      <c r="N494" s="714" t="b">
        <f ca="1">IF(AND('Start here'!$C$26=RefData!$B$10,'Covenant summary information'!$C$10=RefData!$B$119,'Employer CF and liquid assets'!$D$7&gt;=1,TRIM('Employer CF and liquid assets'!$D12)&lt;&gt;"",'Reconciliation report'!$E494&lt;&gt;""),ErrorMsgs!$F494)</f>
        <v>0</v>
      </c>
      <c r="O494" s="712" t="b">
        <f ca="1">IF(AND('Start here'!$C$26=RefData!$B$10,'Covenant summary information'!$C$10=RefData!$B$119,'Employer CF and liquid assets'!$D$7&gt;=1,'Employer CF and liquid assets'!$D13&lt;&gt;"",'Reconciliation report'!$E494&lt;&gt;""),ErrorMsgs!$G494)</f>
        <v>0</v>
      </c>
      <c r="P494" s="712" t="b">
        <f ca="1">IF(LEN($E494)&gt;510,ErrorMsgs!$H494)</f>
        <v>0</v>
      </c>
      <c r="Q494" s="737"/>
      <c r="R494" s="737"/>
      <c r="S494" s="737"/>
      <c r="T494" s="737"/>
      <c r="U494" s="526" t="str">
        <f t="shared" ca="1" si="62"/>
        <v/>
      </c>
      <c r="V494" s="93" t="str" cm="1">
        <f t="array" aca="1" ref="V494" ca="1">CELL("format",INDIRECT(I494))</f>
        <v>G</v>
      </c>
      <c r="W494" s="93" t="b">
        <f t="shared" ca="1" si="63"/>
        <v>0</v>
      </c>
      <c r="X494" s="715" t="str">
        <f t="shared" ca="1" si="61"/>
        <v/>
      </c>
      <c r="Y494" t="b">
        <f t="shared" ca="1" si="64"/>
        <v>1</v>
      </c>
    </row>
    <row r="495" spans="1:25" ht="77.5">
      <c r="A495" s="705" t="s">
        <v>627</v>
      </c>
      <c r="B495" s="716" t="str">
        <f t="shared" ca="1" si="69"/>
        <v>Employer CF and liquid assets - D17</v>
      </c>
      <c r="C495" s="707" t="str" cm="1">
        <f t="array" aca="1" ref="C495" ca="1">INDIRECT(LEFT(I495, FIND("!", I495)) &amp; RefData!$C$426 &amp; RIGHT(I495, LEN(I495) - FIND("!", I495) - 1))</f>
        <v xml:space="preserve">
No answer required
Address line 3 (optional)
</v>
      </c>
      <c r="D495" s="92" t="str">
        <f t="shared" ca="1" si="50"/>
        <v/>
      </c>
      <c r="E495" s="708" t="str" cm="1">
        <f t="array" aca="1" ref="E495" ca="1">IF(INDIRECT($I495)= "", "", INDIRECT($I495))</f>
        <v/>
      </c>
      <c r="F495" s="709" t="str" cm="1">
        <f t="array" aca="1" ref="F495" ca="1">INDIRECT(LEFT(I495, FIND("!", I495)) &amp; RefData!$C$427 &amp; RIGHT(I495, LEN(I495) - FIND("!", I495) - 1))</f>
        <v>ECI 7.0/1</v>
      </c>
      <c r="G495" s="710" t="b">
        <f ca="1">IF(ISNUMBER(SEARCH(RefData!$B$2, $C495)), FALSE, TRUE)</f>
        <v>0</v>
      </c>
      <c r="H495" s="113">
        <f>'Employer CF and liquid assets'!D17</f>
        <v>0</v>
      </c>
      <c r="I495" s="712" t="str">
        <f t="shared" ca="1" si="71"/>
        <v>'Employer CF and liquid assets'!D17</v>
      </c>
      <c r="J495" s="92" t="b" cm="1">
        <f t="array" aca="1" ref="J495" ca="1">IF(
    ISNUMBER(SEARCH(RefData!$B$2, $C$488)),
    IF(
        $E495 &lt;&gt; "",
        $J$488,
        IF(
            $E495 = "",
            FALSE
        )
    ),
    IF(
        COUNTIF($K495:$T495, "&lt;&gt;FALSE") - COUNTBLANK($K495:$T495) &gt; 0,
        INDEX($K495:$T495, MATCH(TRUE, $K495:$T495 &lt;&gt; FALSE, 0))
    )
)</f>
        <v>0</v>
      </c>
      <c r="K495" s="712" t="b">
        <f ca="1">IF(AND('Start here'!$C$26=RefData!$B$10,'Covenant summary information'!$C$10=RefData!$B$118,'Reconciliation report'!$E495&lt;&gt;""),ErrorMsgs!$C495)</f>
        <v>0</v>
      </c>
      <c r="L495" s="712" t="b">
        <f ca="1">IF(AND('Start here'!$C$26=RefData!$B$10,'Covenant summary information'!$C$10=RefData!$B$119,'Employer CF and liquid assets'!$D$7=0,'Reconciliation report'!$E495&lt;&gt;""),ErrorMsgs!$D495)</f>
        <v>0</v>
      </c>
      <c r="M495" s="714" t="b">
        <f ca="1">IF(AND('Start here'!$C$26=RefData!$B$10,'Covenant summary information'!$C$10=RefData!$B$119,'Employer CF and liquid assets'!$D$7&lt;1,'Reconciliation report'!$E495&lt;&gt;""),ErrorMsgs!$E495)</f>
        <v>0</v>
      </c>
      <c r="N495" s="714" t="b">
        <f ca="1">IF(AND('Start here'!$C$26=RefData!$B$10,'Covenant summary information'!$C$10=RefData!$B$119,'Employer CF and liquid assets'!$D$7&gt;=1,TRIM('Employer CF and liquid assets'!$D12)&lt;&gt;"",'Reconciliation report'!$E495&lt;&gt;""),ErrorMsgs!$F495)</f>
        <v>0</v>
      </c>
      <c r="O495" s="712" t="b">
        <f ca="1">IF(AND('Start here'!$C$26=RefData!$B$10,'Covenant summary information'!$C$10=RefData!$B$119,'Employer CF and liquid assets'!$D$7&gt;=1,'Employer CF and liquid assets'!$D13&lt;&gt;"",'Reconciliation report'!$E495&lt;&gt;""),ErrorMsgs!$G495)</f>
        <v>0</v>
      </c>
      <c r="P495" s="712" t="b">
        <f ca="1">IF(LEN($E495)&gt;510,ErrorMsgs!$H495)</f>
        <v>0</v>
      </c>
      <c r="Q495" s="737"/>
      <c r="R495" s="737"/>
      <c r="S495" s="737"/>
      <c r="T495" s="737"/>
      <c r="U495" s="526" t="str">
        <f t="shared" ca="1" si="62"/>
        <v/>
      </c>
      <c r="V495" s="93" t="str" cm="1">
        <f t="array" aca="1" ref="V495" ca="1">CELL("format",INDIRECT(I495))</f>
        <v>G</v>
      </c>
      <c r="W495" s="93" t="b">
        <f t="shared" ca="1" si="63"/>
        <v>0</v>
      </c>
      <c r="X495" s="715" t="str">
        <f t="shared" ca="1" si="61"/>
        <v/>
      </c>
      <c r="Y495" t="b">
        <f t="shared" ca="1" si="64"/>
        <v>1</v>
      </c>
    </row>
    <row r="496" spans="1:25" ht="77.5">
      <c r="A496" s="705" t="s">
        <v>629</v>
      </c>
      <c r="B496" s="716" t="str">
        <f t="shared" ca="1" si="69"/>
        <v>Employer CF and liquid assets - D18</v>
      </c>
      <c r="C496" s="707" t="str" cm="1">
        <f t="array" aca="1" ref="C496" ca="1">INDIRECT(LEFT(I496, FIND("!", I496)) &amp; RefData!$C$426 &amp; RIGHT(I496, LEN(I496) - FIND("!", I496) - 1))</f>
        <v xml:space="preserve">
No answer required
Post town or city
</v>
      </c>
      <c r="D496" s="92" t="str">
        <f t="shared" ca="1" si="50"/>
        <v/>
      </c>
      <c r="E496" s="708" t="str" cm="1">
        <f t="array" aca="1" ref="E496" ca="1">IF(INDIRECT($I496)= "", "", INDIRECT($I496))</f>
        <v/>
      </c>
      <c r="F496" s="709" t="str" cm="1">
        <f t="array" aca="1" ref="F496" ca="1">INDIRECT(LEFT(I496, FIND("!", I496)) &amp; RefData!$C$427 &amp; RIGHT(I496, LEN(I496) - FIND("!", I496) - 1))</f>
        <v>ECI 8.0/1</v>
      </c>
      <c r="G496" s="710" t="b">
        <f ca="1">IF(ISNUMBER(SEARCH(RefData!$B$2, $C496)), FALSE, TRUE)</f>
        <v>0</v>
      </c>
      <c r="H496" s="113">
        <f>'Employer CF and liquid assets'!D18</f>
        <v>0</v>
      </c>
      <c r="I496" s="712" t="str">
        <f t="shared" ca="1" si="71"/>
        <v>'Employer CF and liquid assets'!D18</v>
      </c>
      <c r="J496" s="92" t="b" cm="1">
        <f t="array" aca="1" ref="J496" ca="1">IF(
    ISNUMBER(SEARCH(RefData!$B$2, $C$488)),
    IF(
        $E496 &lt;&gt; "",
        $J$488,
        IF(
            $E496 = "",
            FALSE
        )
    ),
    IF(
        COUNTIF($K496:$T496, "&lt;&gt;FALSE") - COUNTBLANK($K496:$T496) &gt; 0,
        INDEX($K496:$T496, MATCH(TRUE, $K496:$T496 &lt;&gt; FALSE, 0))
    )
)</f>
        <v>0</v>
      </c>
      <c r="K496" s="712" t="b">
        <f ca="1">IF(AND('Start here'!$C$26=RefData!$B$10,'Covenant summary information'!$C$10=RefData!$B$118,'Reconciliation report'!$E496&lt;&gt;""),ErrorMsgs!$C496)</f>
        <v>0</v>
      </c>
      <c r="L496" s="712" t="b">
        <f ca="1">IF(AND('Start here'!$C$26=RefData!$B$10,'Covenant summary information'!$C$10=RefData!$B$119,'Employer CF and liquid assets'!$D$7=0,'Reconciliation report'!$E496&lt;&gt;""),ErrorMsgs!$D496)</f>
        <v>0</v>
      </c>
      <c r="M496" s="714" t="b">
        <f ca="1">IF(AND('Start here'!$C$26=RefData!$B$10,'Covenant summary information'!$C$10=RefData!$B$119,'Employer CF and liquid assets'!$D$7&lt;1,'Reconciliation report'!$E496&lt;&gt;""),ErrorMsgs!$E496)</f>
        <v>0</v>
      </c>
      <c r="N496" s="714" t="b">
        <f ca="1">IF(AND('Start here'!$C$26=RefData!$B$10,'Covenant summary information'!$C$10=RefData!$B$119,'Employer CF and liquid assets'!$D$7&gt;=1,TRIM('Employer CF and liquid assets'!$D12)&lt;&gt;"",'Reconciliation report'!$E496&lt;&gt;""),ErrorMsgs!$F496)</f>
        <v>0</v>
      </c>
      <c r="O496" s="712" t="b">
        <f ca="1">IF(AND('Start here'!$C$26=RefData!$B$10,'Covenant summary information'!$C$10=RefData!$B$119,'Employer CF and liquid assets'!$D$7&gt;=1,'Employer CF and liquid assets'!$D13&lt;&gt;"",'Reconciliation report'!$E496&lt;&gt;""),ErrorMsgs!$G496)</f>
        <v>0</v>
      </c>
      <c r="P496" s="712" t="b">
        <f ca="1">IF(AND('Start here'!$C$26=RefData!$B$10,'Covenant summary information'!$C$10=RefData!$B$119,'Employer CF and liquid assets'!$D$7&gt;=1,AND(TRIM('Employer CF and liquid assets'!$D12)="",'Employer CF and liquid assets'!$D13=""),'Reconciliation report'!$E496=""),ErrorMsgs!$H496)</f>
        <v>0</v>
      </c>
      <c r="Q496" s="712" t="b">
        <f ca="1">IF(LEN($E496)&gt;510,ErrorMsgs!$I496)</f>
        <v>0</v>
      </c>
      <c r="R496" s="712"/>
      <c r="S496" s="712"/>
      <c r="T496" s="712"/>
      <c r="U496" s="526" t="str">
        <f t="shared" ca="1" si="62"/>
        <v/>
      </c>
      <c r="V496" s="93" t="str" cm="1">
        <f t="array" aca="1" ref="V496" ca="1">CELL("format",INDIRECT(I496))</f>
        <v>G</v>
      </c>
      <c r="W496" s="93" t="b">
        <f t="shared" ca="1" si="63"/>
        <v>0</v>
      </c>
      <c r="X496" s="715" t="str">
        <f t="shared" ca="1" si="61"/>
        <v/>
      </c>
      <c r="Y496" t="b">
        <f t="shared" ca="1" si="64"/>
        <v>1</v>
      </c>
    </row>
    <row r="497" spans="1:25" ht="77.5">
      <c r="A497" s="705" t="s">
        <v>631</v>
      </c>
      <c r="B497" s="716" t="str">
        <f t="shared" ca="1" si="69"/>
        <v>Employer CF and liquid assets - D19</v>
      </c>
      <c r="C497" s="707" t="str" cm="1">
        <f t="array" aca="1" ref="C497" ca="1">INDIRECT(LEFT(I497, FIND("!", I497)) &amp; RefData!$C$426 &amp; RIGHT(I497, LEN(I497) - FIND("!", I497) - 1))</f>
        <v xml:space="preserve">
No answer required
Country
</v>
      </c>
      <c r="D497" s="92" t="str">
        <f t="shared" ca="1" si="50"/>
        <v/>
      </c>
      <c r="E497" s="708" t="str" cm="1">
        <f t="array" aca="1" ref="E497" ca="1">IF(INDIRECT($I497)= "", "", INDIRECT($I497))</f>
        <v/>
      </c>
      <c r="F497" s="709" t="str" cm="1">
        <f t="array" aca="1" ref="F497" ca="1">INDIRECT(LEFT(I497, FIND("!", I497)) &amp; RefData!$C$427 &amp; RIGHT(I497, LEN(I497) - FIND("!", I497) - 1))</f>
        <v>ECI 9.0/1</v>
      </c>
      <c r="G497" s="710" t="b">
        <f ca="1">IF(ISNUMBER(SEARCH(RefData!$B$2, $C497)), FALSE, TRUE)</f>
        <v>0</v>
      </c>
      <c r="H497" s="113">
        <f>'Employer CF and liquid assets'!D19</f>
        <v>0</v>
      </c>
      <c r="I497" s="712" t="str">
        <f t="shared" ca="1" si="71"/>
        <v>'Employer CF and liquid assets'!D19</v>
      </c>
      <c r="J497" s="92" t="b" cm="1">
        <f t="array" aca="1" ref="J497" ca="1">IF(
    ISNUMBER(SEARCH(RefData!$B$2, $C$488)),
    IF(
        $E497 &lt;&gt; "",
        $J$488,
        IF(
            $E497 = "",
            FALSE
        )
    ),
    IF(
        COUNTIF($K497:$T497, "&lt;&gt;FALSE") - COUNTBLANK($K497:$T497) &gt; 0,
        INDEX($K497:$T497, MATCH(TRUE, $K497:$T497 &lt;&gt; FALSE, 0))
    )
)</f>
        <v>0</v>
      </c>
      <c r="K497" s="712" t="b">
        <f ca="1">IF(AND('Start here'!$C$26=RefData!$B$10,'Covenant summary information'!$C$10=RefData!$B$118,'Reconciliation report'!$E497&lt;&gt;""),ErrorMsgs!$C497)</f>
        <v>0</v>
      </c>
      <c r="L497" s="712" t="b">
        <f ca="1">IF(AND('Start here'!$C$26=RefData!$B$10,'Covenant summary information'!$C$10=RefData!$B$119,'Employer CF and liquid assets'!$D$7=0,'Reconciliation report'!$E497&lt;&gt;""),ErrorMsgs!$D497)</f>
        <v>0</v>
      </c>
      <c r="M497" s="714" t="b">
        <f ca="1">IF(AND('Start here'!$C$26=RefData!$B$10,'Covenant summary information'!$C$10=RefData!$B$119,'Employer CF and liquid assets'!$D$7&lt;1,'Reconciliation report'!$E497&lt;&gt;""),ErrorMsgs!$E497)</f>
        <v>0</v>
      </c>
      <c r="N497" s="714" t="b">
        <f ca="1">IF(AND('Start here'!$C$26=RefData!$B$10,'Covenant summary information'!$C$10=RefData!$B$119,'Employer CF and liquid assets'!$D$7&gt;=1,TRIM('Employer CF and liquid assets'!$D12)&lt;&gt;"",'Reconciliation report'!$E497&lt;&gt;""),ErrorMsgs!$F497)</f>
        <v>0</v>
      </c>
      <c r="O497" s="712" t="b">
        <f ca="1">IF(AND('Start here'!$C$26=RefData!$B$10,'Covenant summary information'!$C$10=RefData!$B$119,'Employer CF and liquid assets'!$D$7&gt;=1,'Employer CF and liquid assets'!$D13&lt;&gt;"",'Reconciliation report'!$E497&lt;&gt;""),ErrorMsgs!$G497)</f>
        <v>0</v>
      </c>
      <c r="P497" s="712" t="b">
        <f ca="1">IF(AND('Start here'!$C$26=RefData!$B$10,'Covenant summary information'!$C$10=RefData!$B$119,'Employer CF and liquid assets'!$D$7&gt;=1,AND(TRIM('Employer CF and liquid assets'!$D12)="",'Employer CF and liquid assets'!$D13=""),'Reconciliation report'!$E497=""),ErrorMsgs!$H497)</f>
        <v>0</v>
      </c>
      <c r="Q497" s="712" t="b">
        <f ca="1">IF($E497="",FALSE,IF(ISNA(MATCH($E497,RefData!$B$206:$B$400,0)),ErrorMsgs!$I497))</f>
        <v>0</v>
      </c>
      <c r="R497" s="712"/>
      <c r="S497" s="712"/>
      <c r="T497" s="712"/>
      <c r="U497" s="526" t="str">
        <f t="shared" ca="1" si="62"/>
        <v/>
      </c>
      <c r="V497" s="93" t="str" cm="1">
        <f t="array" aca="1" ref="V497" ca="1">CELL("format",INDIRECT(I497))</f>
        <v>G</v>
      </c>
      <c r="W497" s="93" t="b">
        <f t="shared" ca="1" si="63"/>
        <v>0</v>
      </c>
      <c r="X497" s="715" t="str">
        <f t="shared" ca="1" si="61"/>
        <v/>
      </c>
      <c r="Y497" t="b">
        <f t="shared" ca="1" si="64"/>
        <v>1</v>
      </c>
    </row>
    <row r="498" spans="1:25" ht="77.5">
      <c r="A498" s="705" t="s">
        <v>633</v>
      </c>
      <c r="B498" s="716" t="str">
        <f t="shared" ca="1" si="69"/>
        <v>Employer CF and liquid assets - D20</v>
      </c>
      <c r="C498" s="707" t="str" cm="1">
        <f t="array" aca="1" ref="C498" ca="1">INDIRECT(LEFT(I498, FIND("!", I498)) &amp; RefData!$C$426 &amp; RIGHT(I498, LEN(I498) - FIND("!", I498) - 1))</f>
        <v xml:space="preserve">
No answer required
Postcode
</v>
      </c>
      <c r="D498" s="92" t="str">
        <f t="shared" ca="1" si="50"/>
        <v/>
      </c>
      <c r="E498" s="708" t="str" cm="1">
        <f t="array" aca="1" ref="E498" ca="1">IF(INDIRECT($I498)= "", "", INDIRECT($I498))</f>
        <v/>
      </c>
      <c r="F498" s="709" t="str" cm="1">
        <f t="array" aca="1" ref="F498" ca="1">INDIRECT(LEFT(I498, FIND("!", I498)) &amp; RefData!$C$427 &amp; RIGHT(I498, LEN(I498) - FIND("!", I498) - 1))</f>
        <v>ECI 10.0/1</v>
      </c>
      <c r="G498" s="710" t="b">
        <f ca="1">IF(ISNUMBER(SEARCH(RefData!$B$2, $C498)), FALSE, TRUE)</f>
        <v>0</v>
      </c>
      <c r="H498" s="113">
        <f>'Employer CF and liquid assets'!D20</f>
        <v>0</v>
      </c>
      <c r="I498" s="712" t="str">
        <f t="shared" ca="1" si="71"/>
        <v>'Employer CF and liquid assets'!D20</v>
      </c>
      <c r="J498" s="92" t="b" cm="1">
        <f t="array" aca="1" ref="J498" ca="1">IF(
    ISNUMBER(SEARCH(RefData!$B$2, $C$488)),
    IF(
        $E498 &lt;&gt; "",
        $J$488,
        IF(
            $E498 = "",
            FALSE
        )
    ),
    IF(
        COUNTIF($K498:$T498, "&lt;&gt;FALSE") - COUNTBLANK($K498:$T498) &gt; 0,
        INDEX($K498:$T498, MATCH(TRUE, $K498:$T498 &lt;&gt; FALSE, 0))
    )
)</f>
        <v>0</v>
      </c>
      <c r="K498" s="712" t="b">
        <f ca="1">IF(AND('Start here'!$C$26=RefData!$B$10,'Covenant summary information'!$C$10=RefData!$B$118,'Reconciliation report'!$E498&lt;&gt;""),ErrorMsgs!$C498)</f>
        <v>0</v>
      </c>
      <c r="L498" s="712" t="b">
        <f ca="1">IF(AND('Start here'!$C$26=RefData!$B$10,'Covenant summary information'!$C$10=RefData!$B$119,'Employer CF and liquid assets'!$D$7=0,'Reconciliation report'!$E498&lt;&gt;""),ErrorMsgs!$D498)</f>
        <v>0</v>
      </c>
      <c r="M498" s="714" t="b">
        <f ca="1">IF(AND('Start here'!$C$26=RefData!$B$10,'Covenant summary information'!$C$10=RefData!$B$119,'Employer CF and liquid assets'!$D$7&lt;1,'Reconciliation report'!$E498&lt;&gt;""),ErrorMsgs!$E498)</f>
        <v>0</v>
      </c>
      <c r="N498" s="714" t="b">
        <f ca="1">IF(AND('Start here'!$C$26=RefData!$B$10,'Covenant summary information'!$C$10=RefData!$B$119,'Employer CF and liquid assets'!$D$7&gt;=1,TRIM('Employer CF and liquid assets'!$D12)&lt;&gt;"",'Reconciliation report'!$E498&lt;&gt;""),ErrorMsgs!$F498)</f>
        <v>0</v>
      </c>
      <c r="O498" s="712" t="b">
        <f ca="1">IF(AND('Start here'!$C$26=RefData!$B$10,'Covenant summary information'!$C$10=RefData!$B$119,'Employer CF and liquid assets'!$D$7&gt;=1,'Employer CF and liquid assets'!$D13&lt;&gt;"",'Reconciliation report'!$E498&lt;&gt;""),ErrorMsgs!$G498)</f>
        <v>0</v>
      </c>
      <c r="P498" s="712" t="b">
        <f ca="1">IF(AND('Start here'!$C$26=RefData!$B$10,'Covenant summary information'!$C$10=RefData!$B$119,'Employer CF and liquid assets'!$D$7&gt;=1,AND(TRIM('Employer CF and liquid assets'!$D12)="",'Employer CF and liquid assets'!$D13=""),$E497=RefData!$B$206,'Reconciliation report'!$E498=""),ErrorMsgs!$H498)</f>
        <v>0</v>
      </c>
      <c r="Q498" s="712" t="b">
        <f ca="1">IF(AND($E497=RefData!$B$206,
 OR(LEN($E498)&lt;5,
LEN($E498)&gt;8,
(ISNUMBER(VALUE(LEFT($E498,1)))),
(NOT(ISNUMBER(VALUE(MID($E498,LEN($E498)-2,1))))),
(ISNUMBER(VALUE(MID($E498,LEN($E498)-1,1)))),
ISNUMBER(VALUE(RIGHT($E498,1))))),
ErrorMsgs!$I498, FALSE)</f>
        <v>0</v>
      </c>
      <c r="R498" s="712"/>
      <c r="S498" s="712"/>
      <c r="T498" s="712"/>
      <c r="U498" s="526" t="str">
        <f t="shared" ca="1" si="62"/>
        <v/>
      </c>
      <c r="V498" s="93" t="str" cm="1">
        <f t="array" aca="1" ref="V498" ca="1">CELL("format",INDIRECT(I498))</f>
        <v>G</v>
      </c>
      <c r="W498" s="93" t="b">
        <f t="shared" ca="1" si="63"/>
        <v>0</v>
      </c>
      <c r="X498" s="715" t="str">
        <f t="shared" ca="1" si="61"/>
        <v/>
      </c>
      <c r="Y498" t="b">
        <f t="shared" ca="1" si="64"/>
        <v>1</v>
      </c>
    </row>
    <row r="499" spans="1:25" ht="77.5">
      <c r="A499" s="705" t="s">
        <v>636</v>
      </c>
      <c r="B499" s="716" t="str">
        <f t="shared" ca="1" si="69"/>
        <v>Employer CF and liquid assets - D24</v>
      </c>
      <c r="C499" s="707" t="str" cm="1">
        <f t="array" aca="1" ref="C499" ca="1">INDIRECT(LEFT(I499, FIND("!", I499)) &amp; RefData!$C$426 &amp; RIGHT(I499, LEN(I499) - FIND("!", I499) - 1))</f>
        <v xml:space="preserve">
No answer required
Legal name
</v>
      </c>
      <c r="D499" s="92" t="str">
        <f t="shared" ref="D499:D538" ca="1" si="72">""&amp;IF(J499=FALSE, "", J499)
&amp;""</f>
        <v/>
      </c>
      <c r="E499" s="708" t="str" cm="1">
        <f t="array" aca="1" ref="E499" ca="1">IF(INDIRECT($I499)= "", "", INDIRECT($I499))</f>
        <v/>
      </c>
      <c r="F499" s="709" t="str" cm="1">
        <f t="array" aca="1" ref="F499" ca="1">INDIRECT(LEFT(I499, FIND("!", I499)) &amp; RefData!$C$427 &amp; RIGHT(I499, LEN(I499) - FIND("!", I499) - 1))</f>
        <v>ECI 1.0/2</v>
      </c>
      <c r="G499" s="710" t="b">
        <f ca="1">IF(ISNUMBER(SEARCH(RefData!$B$2, $C499)), FALSE, TRUE)</f>
        <v>0</v>
      </c>
      <c r="H499" s="113">
        <f>'Employer CF and liquid assets'!D24</f>
        <v>0</v>
      </c>
      <c r="I499" s="712" t="str">
        <f t="shared" ca="1" si="71"/>
        <v>'Employer CF and liquid assets'!D24</v>
      </c>
      <c r="J499" s="92" t="b" cm="1">
        <f t="array" aca="1" ref="J499" ca="1">IF(
    ISNUMBER(SEARCH(RefData!$B$2, $C$488)),
    IF(
        $E499 &lt;&gt; "",
        $J$488,
        IF(
            $E499 = "",
            FALSE
        )
    ),
    IF(
        COUNTIF($K499:$T499, "&lt;&gt;FALSE") - COUNTBLANK($K499:$T499) &gt; 0,
        INDEX($K499:$T499, MATCH(TRUE, $K499:$T499 &lt;&gt; FALSE, 0))
    )
)</f>
        <v>0</v>
      </c>
      <c r="K499" s="712" t="b">
        <f ca="1">IF(AND('Start here'!$C$26=RefData!$B$9,'Reconciliation report'!$E499&lt;&gt;""),ErrorMsgs!$B499)</f>
        <v>0</v>
      </c>
      <c r="L499" s="712" t="b">
        <f ca="1">IF(AND('Start here'!$C$26=RefData!$B$10,'Covenant summary information'!$C$10=RefData!$B$118,'Reconciliation report'!$E499&lt;&gt;""),ErrorMsgs!$C499)</f>
        <v>0</v>
      </c>
      <c r="M499" s="714" t="b">
        <f ca="1">IF(AND('Start here'!$C$26=RefData!$B$10,'Covenant summary information'!$C$10=RefData!$B$119,'Employer CF and liquid assets'!$D$7=0,'Reconciliation report'!$E499&lt;&gt;""),ErrorMsgs!$D499)</f>
        <v>0</v>
      </c>
      <c r="N499" s="714" t="b">
        <f ca="1">IF(AND('Start here'!$C$26=RefData!$B$10,'Covenant summary information'!$C$10=RefData!$B$119,'Employer CF and liquid assets'!$D$7&lt;2,'Reconciliation report'!$E499&lt;&gt;""),ErrorMsgs!$E499)</f>
        <v>0</v>
      </c>
      <c r="O499" s="712" t="b">
        <f ca="1">IF(AND('Start here'!$C$26=RefData!$B$10,'Covenant summary information'!$C$10=RefData!$B$119,'Employer CF and liquid assets'!$D$7&gt;=2,'Reconciliation report'!$E499=""),ErrorMsgs!$F499)</f>
        <v>0</v>
      </c>
      <c r="P499" s="712" t="b">
        <f ca="1">IF(LEN($E499)&gt;510,ErrorMsgs!$G499)</f>
        <v>0</v>
      </c>
      <c r="Q499" s="712"/>
      <c r="R499" s="712"/>
      <c r="S499" s="712"/>
      <c r="T499" s="712"/>
      <c r="U499" s="526" t="str">
        <f t="shared" ca="1" si="62"/>
        <v/>
      </c>
      <c r="V499" s="93" t="str" cm="1">
        <f t="array" aca="1" ref="V499" ca="1">CELL("format",INDIRECT(I499))</f>
        <v>G</v>
      </c>
      <c r="W499" s="93" t="b">
        <f t="shared" ca="1" si="63"/>
        <v>0</v>
      </c>
      <c r="X499" s="715" t="str">
        <f t="shared" ca="1" si="61"/>
        <v/>
      </c>
      <c r="Y499" t="b">
        <f t="shared" ca="1" si="64"/>
        <v>1</v>
      </c>
    </row>
    <row r="500" spans="1:25" ht="77.5">
      <c r="A500" s="705" t="s">
        <v>638</v>
      </c>
      <c r="B500" s="716" t="str">
        <f t="shared" ca="1" si="69"/>
        <v>Employer CF and liquid assets - D25</v>
      </c>
      <c r="C500" s="707" t="str" cm="1">
        <f t="array" aca="1" ref="C500" ca="1">INDIRECT(LEFT(I500, FIND("!", I500)) &amp; RefData!$C$426 &amp; RIGHT(I500, LEN(I500) - FIND("!", I500) - 1))</f>
        <v xml:space="preserve">
No answer required
Companies House number (if applicable)
</v>
      </c>
      <c r="D500" s="92" t="str">
        <f t="shared" ca="1" si="72"/>
        <v/>
      </c>
      <c r="E500" s="708" t="str" cm="1">
        <f t="array" aca="1" ref="E500" ca="1">IF(INDIRECT($I500)= "", "", INDIRECT($I500))</f>
        <v/>
      </c>
      <c r="F500" s="709" t="str" cm="1">
        <f t="array" aca="1" ref="F500" ca="1">INDIRECT(LEFT(I500, FIND("!", I500)) &amp; RefData!$C$427 &amp; RIGHT(I500, LEN(I500) - FIND("!", I500) - 1))</f>
        <v>ECI 2.0/2</v>
      </c>
      <c r="G500" s="710" t="b">
        <f ca="1">IF(ISNUMBER(SEARCH(RefData!$B$2, $C500)), FALSE, TRUE)</f>
        <v>0</v>
      </c>
      <c r="H500" s="113">
        <f>'Employer CF and liquid assets'!D25</f>
        <v>0</v>
      </c>
      <c r="I500" s="712" t="str">
        <f t="shared" ca="1" si="71"/>
        <v>'Employer CF and liquid assets'!D25</v>
      </c>
      <c r="J500" s="92" t="b" cm="1">
        <f t="array" aca="1" ref="J500" ca="1">IF(
    ISNUMBER(SEARCH(RefData!$B$2, $C$488)),
    IF(
        $E500 &lt;&gt; "",
        $J$488,
        IF(
            $E500 = "",
            FALSE
        )
    ),
    IF(
        COUNTIF($K500:$T500, "&lt;&gt;FALSE") - COUNTBLANK($K500:$T500) &gt; 0,
        INDEX($K500:$T500, MATCH(TRUE, $K500:$T500 &lt;&gt; FALSE, 0))
    )
)</f>
        <v>0</v>
      </c>
      <c r="K500" s="712" t="b">
        <f ca="1">IF(AND('Start here'!$C$26=RefData!$B$10,'Covenant summary information'!$C$10=RefData!$B$118,'Reconciliation report'!$E500&lt;&gt;""),ErrorMsgs!$C500)</f>
        <v>0</v>
      </c>
      <c r="L500" s="712" t="b">
        <f ca="1">IF(AND('Start here'!$C$26=RefData!$B$10,'Covenant summary information'!$C$10=RefData!$B$119,'Employer CF and liquid assets'!$D$7=0,'Reconciliation report'!$E500&lt;&gt;""),ErrorMsgs!$D500)</f>
        <v>0</v>
      </c>
      <c r="M500" s="714" t="b">
        <f ca="1">IF(AND('Start here'!$C$26=RefData!$B$10,'Covenant summary information'!$C$10=RefData!$B$119,'Employer CF and liquid assets'!$D$7&lt;2,'Reconciliation report'!$E500&lt;&gt;""),ErrorMsgs!$E500)</f>
        <v>0</v>
      </c>
      <c r="N500" s="712" t="b">
        <f ca="1">IF(
  AND(
    'Employer CF and liquid assets'!$D$7 &gt;= 2,
    OR(
      AND(TRIM($E500) &lt;&gt; "", TRIM($D501) &lt;&gt; ""),
      AND(TRIM($E500) &lt;&gt; "", TRIM($D501) = "", TRIM($E501) = "")
    ),
    OR(
      ISNUMBER(FIND(" ", $E500)),
      NOT(
        OR(
          AND(LEN($E500)=8, ISNUMBER(VALUE($E500))),
          AND(LEN($E500)=8, ISNUMBER(VALUE(RIGHT($E500,6))), ISNUMBER(FIND(LEFT(UPPER($E500),1),"ABCDEFGHIJKLMNOPQRSTUVWXYZ")), ISNUMBER(FIND(MID(UPPER($E500),2,1),"ABCDEFGHIJKLMNOPQRSTUVWXYZ"))),
          AND(LEN($E500)=8, ISNUMBER(VALUE(RIGHT($E500,7))), ISNUMBER(FIND(LEFT(UPPER($E500),1),"ABCDEFGHIJKLMNOPQRSTUVWXYZ"))),
          AND(LEN($E500)=8, ISNUMBER(VALUE(MID($E500,3,5))), ISNUMBER(FIND(LEFT(UPPER($E500),1),"ABCDEFGHIJKLMNOPQRSTUVWXYZ")), ISNUMBER(FIND(MID(UPPER($E500),2,1),"ABCDEFGHIJKLMNOPQRSTUVWXYZ")), ISNUMBER(FIND(RIGHT(UPPER($E500),1),"ABCDEFGHIJKLMNOPQRSTUVWXYZ"))),
          AND(LEN($E500)=8, ISNUMBER(VALUE(MID($E500,3,4))), ISNUMBER(FIND(LEFT(UPPER($E500),1),"ABCDEFGHIJKLMNOPQRSTUVWXYZ")), ISNUMBER(FIND(MID(UPPER($E500),2,1),"ABCDEFGHIJKLMNOPQRSTUVWXYZ")), ISNUMBER(FIND(MID(UPPER($E500),7,1),"ABCDEFGHIJKLMNOPQRSTUVWXYZ")), ISNUMBER(FIND(RIGHT(UPPER($E500),1),"ABCDEFGHIJKLMNOPQRSTUVWXYZ")))
        )
      )
    )
  ),
  ErrorMsgs!F500
)</f>
        <v>0</v>
      </c>
      <c r="O500" s="712"/>
      <c r="P500" s="712"/>
      <c r="Q500" s="712"/>
      <c r="R500" s="712"/>
      <c r="S500" s="712"/>
      <c r="T500" s="712"/>
      <c r="U500" s="526" t="str">
        <f t="shared" ca="1" si="62"/>
        <v/>
      </c>
      <c r="V500" s="93" t="str" cm="1">
        <f t="array" aca="1" ref="V500" ca="1">CELL("format",INDIRECT(I500))</f>
        <v>G</v>
      </c>
      <c r="W500" s="93" t="b">
        <f t="shared" ca="1" si="63"/>
        <v>0</v>
      </c>
      <c r="X500" s="715" t="str">
        <f t="shared" ca="1" si="61"/>
        <v/>
      </c>
      <c r="Y500" t="b">
        <f t="shared" ca="1" si="64"/>
        <v>1</v>
      </c>
    </row>
    <row r="501" spans="1:25" ht="77.5">
      <c r="A501" s="705" t="s">
        <v>640</v>
      </c>
      <c r="B501" s="716" t="str">
        <f t="shared" ca="1" si="69"/>
        <v>Employer CF and liquid assets - D26</v>
      </c>
      <c r="C501" s="707" t="str" cm="1">
        <f t="array" aca="1" ref="C501" ca="1">INDIRECT(LEFT(I501, FIND("!", I501)) &amp; RefData!$C$426 &amp; RIGHT(I501, LEN(I501) - FIND("!", I501) - 1))</f>
        <v xml:space="preserve">
No answer required
Charity number (if applicable)
</v>
      </c>
      <c r="D501" s="92" t="str">
        <f t="shared" ca="1" si="72"/>
        <v/>
      </c>
      <c r="E501" s="708" t="str" cm="1">
        <f t="array" aca="1" ref="E501" ca="1">IF(INDIRECT($I501)= "", "", INDIRECT($I501))</f>
        <v/>
      </c>
      <c r="F501" s="709" t="str" cm="1">
        <f t="array" aca="1" ref="F501" ca="1">INDIRECT(LEFT(I501, FIND("!", I501)) &amp; RefData!$C$427 &amp; RIGHT(I501, LEN(I501) - FIND("!", I501) - 1))</f>
        <v>ECI 3.0/2</v>
      </c>
      <c r="G501" s="710" t="b">
        <f ca="1">IF(ISNUMBER(SEARCH(RefData!$B$2, $C501)), FALSE, TRUE)</f>
        <v>0</v>
      </c>
      <c r="H501" s="113">
        <f>'Employer CF and liquid assets'!D26</f>
        <v>0</v>
      </c>
      <c r="I501" s="712" t="str">
        <f t="shared" ca="1" si="71"/>
        <v>'Employer CF and liquid assets'!D26</v>
      </c>
      <c r="J501" s="92" t="b" cm="1">
        <f t="array" aca="1" ref="J501" ca="1">IF(
    ISNUMBER(SEARCH(RefData!$B$2, $C$488)),
    IF(
        $E501 &lt;&gt; "",
        $J$488,
        IF(
            $E501 = "",
            FALSE
        )
    ),
    IF(
        COUNTIF($K501:$T501, "&lt;&gt;FALSE") - COUNTBLANK($K501:$T501) &gt; 0,
        INDEX($K501:$T501, MATCH(TRUE, $K501:$T501 &lt;&gt; FALSE, 0))
    )
)</f>
        <v>0</v>
      </c>
      <c r="K501" s="712" t="b">
        <f ca="1">IF(AND('Start here'!$C$26=RefData!$B$10,'Covenant summary information'!$C$10=RefData!$B$118,'Reconciliation report'!$E501&lt;&gt;""),ErrorMsgs!$C501)</f>
        <v>0</v>
      </c>
      <c r="L501" s="712" t="b">
        <f ca="1">IF(AND('Start here'!$C$26=RefData!$B$10,'Covenant summary information'!$C$10=RefData!$B$119,'Employer CF and liquid assets'!$D$7=0,'Reconciliation report'!$E501&lt;&gt;""),ErrorMsgs!$D501)</f>
        <v>0</v>
      </c>
      <c r="M501" s="714" t="b">
        <f ca="1">IF(AND('Start here'!$C$26=RefData!$B$10,'Covenant summary information'!$C$10=RefData!$B$119,'Employer CF and liquid assets'!$D$7&lt;2,'Reconciliation report'!$E501&lt;&gt;""),ErrorMsgs!$E501)</f>
        <v>0</v>
      </c>
      <c r="N501" s="714" t="b">
        <f ca="1">IF(AND('Start here'!$C$26=RefData!$B$10,'Covenant summary information'!$C$10=RefData!$B$119,'Employer CF and liquid assets'!$D$7&gt;=2,TRIM('Employer CF and liquid assets'!$D25)&lt;&gt;"",'Reconciliation report'!$E501&lt;&gt;""),ErrorMsgs!$F501)</f>
        <v>0</v>
      </c>
      <c r="O501" s="712" t="b">
        <f ca="1">IF($E501="",FALSE,IF(OR(LEN($E501)&lt;6,LEN($E501)&gt;8),ErrorMsgs!$G501))</f>
        <v>0</v>
      </c>
      <c r="P501" s="712"/>
      <c r="Q501" s="712"/>
      <c r="R501" s="712"/>
      <c r="S501" s="712"/>
      <c r="T501" s="712"/>
      <c r="U501" s="526" t="str">
        <f t="shared" ca="1" si="62"/>
        <v/>
      </c>
      <c r="V501" s="93" t="str" cm="1">
        <f t="array" aca="1" ref="V501" ca="1">CELL("format",INDIRECT(I501))</f>
        <v>G</v>
      </c>
      <c r="W501" s="93" t="b">
        <f t="shared" ca="1" si="63"/>
        <v>0</v>
      </c>
      <c r="X501" s="715" t="str">
        <f t="shared" ca="1" si="61"/>
        <v/>
      </c>
      <c r="Y501" t="b">
        <f t="shared" ca="1" si="64"/>
        <v>1</v>
      </c>
    </row>
    <row r="502" spans="1:25" ht="77.5">
      <c r="A502" s="705" t="s">
        <v>642</v>
      </c>
      <c r="B502" s="716" t="str">
        <f t="shared" ca="1" si="69"/>
        <v>Employer CF and liquid assets - D27</v>
      </c>
      <c r="C502" s="707" t="str" cm="1">
        <f t="array" aca="1" ref="C502" ca="1">INDIRECT(LEFT(I502, FIND("!", I502)) &amp; RefData!$C$426 &amp; RIGHT(I502, LEN(I502) - FIND("!", I502) - 1))</f>
        <v xml:space="preserve">
No answer required
Trading name
</v>
      </c>
      <c r="D502" s="92" t="str">
        <f t="shared" ca="1" si="72"/>
        <v/>
      </c>
      <c r="E502" s="708" t="str" cm="1">
        <f t="array" aca="1" ref="E502" ca="1">IF(INDIRECT($I502)= "", "", INDIRECT($I502))</f>
        <v/>
      </c>
      <c r="F502" s="709" t="str" cm="1">
        <f t="array" aca="1" ref="F502" ca="1">INDIRECT(LEFT(I502, FIND("!", I502)) &amp; RefData!$C$427 &amp; RIGHT(I502, LEN(I502) - FIND("!", I502) - 1))</f>
        <v>ECI 4.0/2</v>
      </c>
      <c r="G502" s="710" t="b">
        <f ca="1">IF(ISNUMBER(SEARCH(RefData!$B$2, $C502)), FALSE, TRUE)</f>
        <v>0</v>
      </c>
      <c r="H502" s="113">
        <f>'Employer CF and liquid assets'!D27</f>
        <v>0</v>
      </c>
      <c r="I502" s="712" t="str">
        <f t="shared" ca="1" si="71"/>
        <v>'Employer CF and liquid assets'!D27</v>
      </c>
      <c r="J502" s="92" t="b" cm="1">
        <f t="array" aca="1" ref="J502" ca="1">IF(
    ISNUMBER(SEARCH(RefData!$B$2, $C$488)),
    IF(
        $E502 &lt;&gt; "",
        $J$488,
        IF(
            $E502 = "",
            FALSE
        )
    ),
    IF(
        COUNTIF($K502:$T502, "&lt;&gt;FALSE") - COUNTBLANK($K502:$T502) &gt; 0,
        INDEX($K502:$T502, MATCH(TRUE, $K502:$T502 &lt;&gt; FALSE, 0))
    )
)</f>
        <v>0</v>
      </c>
      <c r="K502" s="712" t="b">
        <f ca="1">IF(AND('Start here'!$C$26=RefData!$B$10,'Covenant summary information'!$C$10=RefData!$B$118,'Reconciliation report'!$E502&lt;&gt;""),ErrorMsgs!$C502)</f>
        <v>0</v>
      </c>
      <c r="L502" s="712" t="b">
        <f ca="1">IF(AND('Start here'!$C$26=RefData!$B$10,'Covenant summary information'!$C$10=RefData!$B$119,'Employer CF and liquid assets'!$D$7=0,'Reconciliation report'!$E502&lt;&gt;""),ErrorMsgs!$D502)</f>
        <v>0</v>
      </c>
      <c r="M502" s="714" t="b">
        <f ca="1">IF(AND('Start here'!$C$26=RefData!$B$10,'Covenant summary information'!$C$10=RefData!$B$119,'Employer CF and liquid assets'!$D$7&lt;2,'Reconciliation report'!$E502&lt;&gt;""),ErrorMsgs!$E502)</f>
        <v>0</v>
      </c>
      <c r="N502" s="714" t="b">
        <f ca="1">IF(AND('Start here'!$C$26=RefData!$B$10,'Covenant summary information'!$C$10=RefData!$B$119,'Employer CF and liquid assets'!$D$7&gt;=2,TRIM('Employer CF and liquid assets'!$D25)&lt;&gt;"",'Reconciliation report'!$E502&lt;&gt;""),ErrorMsgs!$F502)</f>
        <v>0</v>
      </c>
      <c r="O502" s="712" t="b">
        <f ca="1">IF(AND('Start here'!$C$26=RefData!$B$10,'Covenant summary information'!$C$10=RefData!$B$119,'Employer CF and liquid assets'!$D$7&gt;=2,'Employer CF and liquid assets'!$D26&lt;&gt;"",'Reconciliation report'!$E502&lt;&gt;""),ErrorMsgs!$G502)</f>
        <v>0</v>
      </c>
      <c r="P502" s="712" t="b">
        <f ca="1">IF(AND('Start here'!$C$26=RefData!$B$10,'Covenant summary information'!$C$10=RefData!$B$119,'Employer CF and liquid assets'!$D$7&gt;=2,AND(TRIM('Employer CF and liquid assets'!$D25)="",'Employer CF and liquid assets'!$D26=""),'Reconciliation report'!$E502=""),ErrorMsgs!$H502)</f>
        <v>0</v>
      </c>
      <c r="Q502" s="712" t="b">
        <f ca="1">IF(LEN($E502)&gt;510,ErrorMsgs!$I502)</f>
        <v>0</v>
      </c>
      <c r="R502" s="712"/>
      <c r="S502" s="712"/>
      <c r="T502" s="712"/>
      <c r="U502" s="526" t="str">
        <f t="shared" ca="1" si="62"/>
        <v/>
      </c>
      <c r="V502" s="93" t="str" cm="1">
        <f t="array" aca="1" ref="V502" ca="1">CELL("format",INDIRECT(I502))</f>
        <v>G</v>
      </c>
      <c r="W502" s="93" t="b">
        <f t="shared" ca="1" si="63"/>
        <v>0</v>
      </c>
      <c r="X502" s="715" t="str">
        <f t="shared" ca="1" si="61"/>
        <v/>
      </c>
      <c r="Y502" t="b">
        <f t="shared" ca="1" si="64"/>
        <v>1</v>
      </c>
    </row>
    <row r="503" spans="1:25" ht="77.5">
      <c r="A503" s="705" t="s">
        <v>644</v>
      </c>
      <c r="B503" s="716" t="str">
        <f t="shared" ca="1" si="69"/>
        <v>Employer CF and liquid assets - D28</v>
      </c>
      <c r="C503" s="707" t="str" cm="1">
        <f t="array" aca="1" ref="C503" ca="1">INDIRECT(LEFT(I503, FIND("!", I503)) &amp; RefData!$C$426 &amp; RIGHT(I503, LEN(I503) - FIND("!", I503) - 1))</f>
        <v xml:space="preserve">
No answer required
Address line 1
</v>
      </c>
      <c r="D503" s="92" t="str">
        <f t="shared" ca="1" si="72"/>
        <v/>
      </c>
      <c r="E503" s="708" t="str" cm="1">
        <f t="array" aca="1" ref="E503" ca="1">IF(INDIRECT($I503)= "", "", INDIRECT($I503))</f>
        <v/>
      </c>
      <c r="F503" s="709" t="str" cm="1">
        <f t="array" aca="1" ref="F503" ca="1">INDIRECT(LEFT(I503, FIND("!", I503)) &amp; RefData!$C$427 &amp; RIGHT(I503, LEN(I503) - FIND("!", I503) - 1))</f>
        <v>ECI 5.0/2</v>
      </c>
      <c r="G503" s="710" t="b">
        <f ca="1">IF(ISNUMBER(SEARCH(RefData!$B$2, $C503)), FALSE, TRUE)</f>
        <v>0</v>
      </c>
      <c r="H503" s="113">
        <f>'Employer CF and liquid assets'!D28</f>
        <v>0</v>
      </c>
      <c r="I503" s="712" t="str">
        <f t="shared" ca="1" si="71"/>
        <v>'Employer CF and liquid assets'!D28</v>
      </c>
      <c r="J503" s="92" t="b" cm="1">
        <f t="array" aca="1" ref="J503" ca="1">IF(
    ISNUMBER(SEARCH(RefData!$B$2, $C$488)),
    IF(
        $E503 &lt;&gt; "",
        $J$488,
        IF(
            $E503 = "",
            FALSE
        )
    ),
    IF(
        COUNTIF($K503:$T503, "&lt;&gt;FALSE") - COUNTBLANK($K503:$T503) &gt; 0,
        INDEX($K503:$T503, MATCH(TRUE, $K503:$T503 &lt;&gt; FALSE, 0))
    )
)</f>
        <v>0</v>
      </c>
      <c r="K503" s="712" t="b">
        <f ca="1">IF(AND('Start here'!$C$26=RefData!$B$10,'Covenant summary information'!$C$10=RefData!$B$118,'Reconciliation report'!$E503&lt;&gt;""),ErrorMsgs!$C503)</f>
        <v>0</v>
      </c>
      <c r="L503" s="712" t="b">
        <f ca="1">IF(AND('Start here'!$C$26=RefData!$B$10,'Covenant summary information'!$C$10=RefData!$B$119,'Employer CF and liquid assets'!$D$7=0,'Reconciliation report'!$E503&lt;&gt;""),ErrorMsgs!$D503)</f>
        <v>0</v>
      </c>
      <c r="M503" s="714" t="b">
        <f ca="1">IF(AND('Start here'!$C$26=RefData!$B$10,'Covenant summary information'!$C$10=RefData!$B$119,'Employer CF and liquid assets'!$D$7&lt;2,'Reconciliation report'!$E503&lt;&gt;""),ErrorMsgs!$E503)</f>
        <v>0</v>
      </c>
      <c r="N503" s="714" t="b">
        <f ca="1">IF(AND('Start here'!$C$26=RefData!$B$10,'Covenant summary information'!$C$10=RefData!$B$119,'Employer CF and liquid assets'!$D$7&gt;=2,TRIM('Employer CF and liquid assets'!$D25)&lt;&gt;"",'Reconciliation report'!$E503&lt;&gt;""),ErrorMsgs!$F503)</f>
        <v>0</v>
      </c>
      <c r="O503" s="712" t="b">
        <f ca="1">IF(AND('Start here'!$C$26=RefData!$B$10,'Covenant summary information'!$C$10=RefData!$B$119,'Employer CF and liquid assets'!$D$7&gt;=2,'Employer CF and liquid assets'!$D26&lt;&gt;"",'Reconciliation report'!$E503&lt;&gt;""),ErrorMsgs!$G503)</f>
        <v>0</v>
      </c>
      <c r="P503" s="712" t="b">
        <f ca="1">IF(AND('Start here'!$C$26=RefData!$B$10,'Covenant summary information'!$C$10=RefData!$B$119,'Employer CF and liquid assets'!$D$7&gt;=2,AND(TRIM('Employer CF and liquid assets'!$D25)="",'Employer CF and liquid assets'!$D26=""),'Reconciliation report'!$E503=""),ErrorMsgs!$H503)</f>
        <v>0</v>
      </c>
      <c r="Q503" s="712" t="b">
        <f ca="1">IF(LEN($E503)&gt;510,ErrorMsgs!$I503)</f>
        <v>0</v>
      </c>
      <c r="R503" s="712"/>
      <c r="S503" s="712"/>
      <c r="T503" s="712"/>
      <c r="U503" s="526" t="str">
        <f t="shared" ca="1" si="62"/>
        <v/>
      </c>
      <c r="V503" s="93" t="str" cm="1">
        <f t="array" aca="1" ref="V503" ca="1">CELL("format",INDIRECT(I503))</f>
        <v>G</v>
      </c>
      <c r="W503" s="93" t="b">
        <f t="shared" ca="1" si="63"/>
        <v>0</v>
      </c>
      <c r="X503" s="715" t="str">
        <f t="shared" ca="1" si="61"/>
        <v/>
      </c>
      <c r="Y503" t="b">
        <f t="shared" ca="1" si="64"/>
        <v>1</v>
      </c>
    </row>
    <row r="504" spans="1:25" ht="77.5">
      <c r="A504" s="705" t="s">
        <v>646</v>
      </c>
      <c r="B504" s="716" t="str">
        <f t="shared" ca="1" si="69"/>
        <v>Employer CF and liquid assets - D29</v>
      </c>
      <c r="C504" s="707" t="str" cm="1">
        <f t="array" aca="1" ref="C504" ca="1">INDIRECT(LEFT(I504, FIND("!", I504)) &amp; RefData!$C$426 &amp; RIGHT(I504, LEN(I504) - FIND("!", I504) - 1))</f>
        <v xml:space="preserve">
No answer required
Address line 2 (optional)
</v>
      </c>
      <c r="D504" s="92" t="str">
        <f t="shared" ca="1" si="72"/>
        <v/>
      </c>
      <c r="E504" s="708" t="str" cm="1">
        <f t="array" aca="1" ref="E504" ca="1">IF(INDIRECT($I504)= "", "", INDIRECT($I504))</f>
        <v/>
      </c>
      <c r="F504" s="709" t="str" cm="1">
        <f t="array" aca="1" ref="F504" ca="1">INDIRECT(LEFT(I504, FIND("!", I504)) &amp; RefData!$C$427 &amp; RIGHT(I504, LEN(I504) - FIND("!", I504) - 1))</f>
        <v>ECI 6.0/2</v>
      </c>
      <c r="G504" s="710" t="b">
        <f ca="1">IF(ISNUMBER(SEARCH(RefData!$B$2, $C504)), FALSE, TRUE)</f>
        <v>0</v>
      </c>
      <c r="H504" s="113">
        <f>'Employer CF and liquid assets'!D29</f>
        <v>0</v>
      </c>
      <c r="I504" s="712" t="str">
        <f t="shared" ca="1" si="71"/>
        <v>'Employer CF and liquid assets'!D29</v>
      </c>
      <c r="J504" s="92" t="b" cm="1">
        <f t="array" aca="1" ref="J504" ca="1">IF(
    ISNUMBER(SEARCH(RefData!$B$2, $C$488)),
    IF(
        $E504 &lt;&gt; "",
        $J$488,
        IF(
            $E504 = "",
            FALSE
        )
    ),
    IF(
        COUNTIF($K504:$T504, "&lt;&gt;FALSE") - COUNTBLANK($K504:$T504) &gt; 0,
        INDEX($K504:$T504, MATCH(TRUE, $K504:$T504 &lt;&gt; FALSE, 0))
    )
)</f>
        <v>0</v>
      </c>
      <c r="K504" s="712" t="b">
        <f ca="1">IF(AND('Start here'!$C$26=RefData!$B$10,'Covenant summary information'!$C$10=RefData!$B$118,'Reconciliation report'!$E504&lt;&gt;""),ErrorMsgs!$C504)</f>
        <v>0</v>
      </c>
      <c r="L504" s="712" t="b">
        <f ca="1">IF(AND('Start here'!$C$26=RefData!$B$10,'Covenant summary information'!$C$10=RefData!$B$119,'Employer CF and liquid assets'!$D$7=0,'Reconciliation report'!$E504&lt;&gt;""),ErrorMsgs!$D504)</f>
        <v>0</v>
      </c>
      <c r="M504" s="714" t="b">
        <f ca="1">IF(AND('Start here'!$C$26=RefData!$B$10,'Covenant summary information'!$C$10=RefData!$B$119,'Employer CF and liquid assets'!$D$7&lt;2,'Reconciliation report'!$E504&lt;&gt;""),ErrorMsgs!$E504)</f>
        <v>0</v>
      </c>
      <c r="N504" s="714" t="b">
        <f ca="1">IF(AND('Start here'!$C$26=RefData!$B$10,'Covenant summary information'!$C$10=RefData!$B$119,'Employer CF and liquid assets'!$D$7&gt;=2,TRIM('Employer CF and liquid assets'!$D25)&lt;&gt;"",'Reconciliation report'!$E504&lt;&gt;""),ErrorMsgs!$F504)</f>
        <v>0</v>
      </c>
      <c r="O504" s="712" t="b">
        <f ca="1">IF(AND('Start here'!$C$26=RefData!$B$10,'Covenant summary information'!$C$10=RefData!$B$119,'Employer CF and liquid assets'!$D$7&gt;=2,'Employer CF and liquid assets'!$D26&lt;&gt;"",'Reconciliation report'!$E504&lt;&gt;""),ErrorMsgs!$G504)</f>
        <v>0</v>
      </c>
      <c r="P504" s="712" t="b">
        <f ca="1">IF(LEN($E504)&gt;510,ErrorMsgs!$H504)</f>
        <v>0</v>
      </c>
      <c r="Q504" s="737"/>
      <c r="R504" s="737"/>
      <c r="S504" s="737"/>
      <c r="T504" s="737"/>
      <c r="U504" s="526" t="str">
        <f t="shared" ca="1" si="62"/>
        <v/>
      </c>
      <c r="V504" s="93" t="str" cm="1">
        <f t="array" aca="1" ref="V504" ca="1">CELL("format",INDIRECT(I504))</f>
        <v>G</v>
      </c>
      <c r="W504" s="93" t="b">
        <f t="shared" ca="1" si="63"/>
        <v>0</v>
      </c>
      <c r="X504" s="715" t="str">
        <f t="shared" ca="1" si="61"/>
        <v/>
      </c>
      <c r="Y504" t="b">
        <f t="shared" ca="1" si="64"/>
        <v>1</v>
      </c>
    </row>
    <row r="505" spans="1:25" ht="77.5">
      <c r="A505" s="705" t="s">
        <v>648</v>
      </c>
      <c r="B505" s="716" t="str">
        <f t="shared" ca="1" si="69"/>
        <v>Employer CF and liquid assets - D30</v>
      </c>
      <c r="C505" s="707" t="str" cm="1">
        <f t="array" aca="1" ref="C505" ca="1">INDIRECT(LEFT(I505, FIND("!", I505)) &amp; RefData!$C$426 &amp; RIGHT(I505, LEN(I505) - FIND("!", I505) - 1))</f>
        <v xml:space="preserve">
No answer required
Address line 3 (optional)
</v>
      </c>
      <c r="D505" s="92" t="str">
        <f t="shared" ca="1" si="72"/>
        <v/>
      </c>
      <c r="E505" s="708" t="str" cm="1">
        <f t="array" aca="1" ref="E505" ca="1">IF(INDIRECT($I505)= "", "", INDIRECT($I505))</f>
        <v/>
      </c>
      <c r="F505" s="709" t="str" cm="1">
        <f t="array" aca="1" ref="F505" ca="1">INDIRECT(LEFT(I505, FIND("!", I505)) &amp; RefData!$C$427 &amp; RIGHT(I505, LEN(I505) - FIND("!", I505) - 1))</f>
        <v>ECI 7.0/2</v>
      </c>
      <c r="G505" s="710" t="b">
        <f ca="1">IF(ISNUMBER(SEARCH(RefData!$B$2, $C505)), FALSE, TRUE)</f>
        <v>0</v>
      </c>
      <c r="H505" s="113">
        <f>'Employer CF and liquid assets'!D30</f>
        <v>0</v>
      </c>
      <c r="I505" s="712" t="str">
        <f t="shared" ca="1" si="71"/>
        <v>'Employer CF and liquid assets'!D30</v>
      </c>
      <c r="J505" s="92" t="b" cm="1">
        <f t="array" aca="1" ref="J505" ca="1">IF(
    ISNUMBER(SEARCH(RefData!$B$2, $C$488)),
    IF(
        $E505 &lt;&gt; "",
        $J$488,
        IF(
            $E505 = "",
            FALSE
        )
    ),
    IF(
        COUNTIF($K505:$T505, "&lt;&gt;FALSE") - COUNTBLANK($K505:$T505) &gt; 0,
        INDEX($K505:$T505, MATCH(TRUE, $K505:$T505 &lt;&gt; FALSE, 0))
    )
)</f>
        <v>0</v>
      </c>
      <c r="K505" s="712" t="b">
        <f ca="1">IF(AND('Start here'!$C$26=RefData!$B$10,'Covenant summary information'!$C$10=RefData!$B$118,'Reconciliation report'!$E505&lt;&gt;""),ErrorMsgs!$C505)</f>
        <v>0</v>
      </c>
      <c r="L505" s="712" t="b">
        <f ca="1">IF(AND('Start here'!$C$26=RefData!$B$10,'Covenant summary information'!$C$10=RefData!$B$119,'Employer CF and liquid assets'!$D$7=0,'Reconciliation report'!$E505&lt;&gt;""),ErrorMsgs!$D505)</f>
        <v>0</v>
      </c>
      <c r="M505" s="714" t="b">
        <f ca="1">IF(AND('Start here'!$C$26=RefData!$B$10,'Covenant summary information'!$C$10=RefData!$B$119,'Employer CF and liquid assets'!$D$7&lt;2,'Reconciliation report'!$E505&lt;&gt;""),ErrorMsgs!$E505)</f>
        <v>0</v>
      </c>
      <c r="N505" s="714" t="b">
        <f ca="1">IF(AND('Start here'!$C$26=RefData!$B$10,'Covenant summary information'!$C$10=RefData!$B$119,'Employer CF and liquid assets'!$D$7&gt;=2,TRIM('Employer CF and liquid assets'!$D25)&lt;&gt;"",'Reconciliation report'!$E505&lt;&gt;""),ErrorMsgs!$F505)</f>
        <v>0</v>
      </c>
      <c r="O505" s="712" t="b">
        <f ca="1">IF(AND('Start here'!$C$26=RefData!$B$10,'Covenant summary information'!$C$10=RefData!$B$119,'Employer CF and liquid assets'!$D$7&gt;=2,'Employer CF and liquid assets'!$D26&lt;&gt;"",'Reconciliation report'!$E505&lt;&gt;""),ErrorMsgs!$G505)</f>
        <v>0</v>
      </c>
      <c r="P505" s="712" t="b">
        <f ca="1">IF(LEN($E505)&gt;510,ErrorMsgs!$H505)</f>
        <v>0</v>
      </c>
      <c r="Q505" s="737"/>
      <c r="R505" s="737"/>
      <c r="S505" s="737"/>
      <c r="T505" s="737"/>
      <c r="U505" s="526" t="str">
        <f t="shared" ca="1" si="62"/>
        <v/>
      </c>
      <c r="V505" s="93" t="str" cm="1">
        <f t="array" aca="1" ref="V505" ca="1">CELL("format",INDIRECT(I505))</f>
        <v>G</v>
      </c>
      <c r="W505" s="93" t="b">
        <f t="shared" ca="1" si="63"/>
        <v>0</v>
      </c>
      <c r="X505" s="715" t="str">
        <f t="shared" ca="1" si="61"/>
        <v/>
      </c>
      <c r="Y505" t="b">
        <f t="shared" ca="1" si="64"/>
        <v>1</v>
      </c>
    </row>
    <row r="506" spans="1:25" ht="77.5">
      <c r="A506" s="705" t="s">
        <v>650</v>
      </c>
      <c r="B506" s="716" t="str">
        <f t="shared" ca="1" si="69"/>
        <v>Employer CF and liquid assets - D31</v>
      </c>
      <c r="C506" s="707" t="str" cm="1">
        <f t="array" aca="1" ref="C506" ca="1">INDIRECT(LEFT(I506, FIND("!", I506)) &amp; RefData!$C$426 &amp; RIGHT(I506, LEN(I506) - FIND("!", I506) - 1))</f>
        <v xml:space="preserve">
No answer required
Post town or city
</v>
      </c>
      <c r="D506" s="92" t="str">
        <f t="shared" ca="1" si="72"/>
        <v/>
      </c>
      <c r="E506" s="708" t="str" cm="1">
        <f t="array" aca="1" ref="E506" ca="1">IF(INDIRECT($I506)= "", "", INDIRECT($I506))</f>
        <v/>
      </c>
      <c r="F506" s="709" t="str" cm="1">
        <f t="array" aca="1" ref="F506" ca="1">INDIRECT(LEFT(I506, FIND("!", I506)) &amp; RefData!$C$427 &amp; RIGHT(I506, LEN(I506) - FIND("!", I506) - 1))</f>
        <v>ECI 8.0/2</v>
      </c>
      <c r="G506" s="710" t="b">
        <f ca="1">IF(ISNUMBER(SEARCH(RefData!$B$2, $C506)), FALSE, TRUE)</f>
        <v>0</v>
      </c>
      <c r="H506" s="113">
        <f>'Employer CF and liquid assets'!D31</f>
        <v>0</v>
      </c>
      <c r="I506" s="712" t="str">
        <f t="shared" ca="1" si="71"/>
        <v>'Employer CF and liquid assets'!D31</v>
      </c>
      <c r="J506" s="92" t="b" cm="1">
        <f t="array" aca="1" ref="J506" ca="1">IF(
    ISNUMBER(SEARCH(RefData!$B$2, $C$488)),
    IF(
        $E506 &lt;&gt; "",
        $J$488,
        IF(
            $E506 = "",
            FALSE
        )
    ),
    IF(
        COUNTIF($K506:$T506, "&lt;&gt;FALSE") - COUNTBLANK($K506:$T506) &gt; 0,
        INDEX($K506:$T506, MATCH(TRUE, $K506:$T506 &lt;&gt; FALSE, 0))
    )
)</f>
        <v>0</v>
      </c>
      <c r="K506" s="712" t="b">
        <f ca="1">IF(AND('Start here'!$C$26=RefData!$B$10,'Covenant summary information'!$C$10=RefData!$B$118,'Reconciliation report'!$E506&lt;&gt;""),ErrorMsgs!$C506)</f>
        <v>0</v>
      </c>
      <c r="L506" s="712" t="b">
        <f ca="1">IF(AND('Start here'!$C$26=RefData!$B$10,'Covenant summary information'!$C$10=RefData!$B$119,'Employer CF and liquid assets'!$D$7=0,'Reconciliation report'!$E506&lt;&gt;""),ErrorMsgs!$D506)</f>
        <v>0</v>
      </c>
      <c r="M506" s="714" t="b">
        <f ca="1">IF(AND('Start here'!$C$26=RefData!$B$10,'Covenant summary information'!$C$10=RefData!$B$119,'Employer CF and liquid assets'!$D$7&lt;2,'Reconciliation report'!$E506&lt;&gt;""),ErrorMsgs!$E506)</f>
        <v>0</v>
      </c>
      <c r="N506" s="714" t="b">
        <f ca="1">IF(AND('Start here'!$C$26=RefData!$B$10,'Covenant summary information'!$C$10=RefData!$B$119,'Employer CF and liquid assets'!$D$7&gt;=2,TRIM('Employer CF and liquid assets'!$D25)&lt;&gt;"",'Reconciliation report'!$E506&lt;&gt;""),ErrorMsgs!$F506)</f>
        <v>0</v>
      </c>
      <c r="O506" s="712" t="b">
        <f ca="1">IF(AND('Start here'!$C$26=RefData!$B$10,'Covenant summary information'!$C$10=RefData!$B$119,'Employer CF and liquid assets'!$D$7&gt;=2,'Employer CF and liquid assets'!$D26&lt;&gt;"",'Reconciliation report'!$E506&lt;&gt;""),ErrorMsgs!$G506)</f>
        <v>0</v>
      </c>
      <c r="P506" s="712" t="b">
        <f ca="1">IF(AND('Start here'!$C$26=RefData!$B$10,'Covenant summary information'!$C$10=RefData!$B$119,'Employer CF and liquid assets'!$D$7&gt;=2,AND(TRIM('Employer CF and liquid assets'!$D25)="",'Employer CF and liquid assets'!$D26=""),'Reconciliation report'!$E506=""),ErrorMsgs!$H506)</f>
        <v>0</v>
      </c>
      <c r="Q506" s="712" t="b">
        <f ca="1">IF(LEN($E506)&gt;510,ErrorMsgs!$I506)</f>
        <v>0</v>
      </c>
      <c r="R506" s="712"/>
      <c r="S506" s="712"/>
      <c r="T506" s="712"/>
      <c r="U506" s="526" t="str">
        <f t="shared" ca="1" si="62"/>
        <v/>
      </c>
      <c r="V506" s="93" t="str" cm="1">
        <f t="array" aca="1" ref="V506" ca="1">CELL("format",INDIRECT(I506))</f>
        <v>G</v>
      </c>
      <c r="W506" s="93" t="b">
        <f t="shared" ca="1" si="63"/>
        <v>0</v>
      </c>
      <c r="X506" s="715" t="str">
        <f t="shared" ca="1" si="61"/>
        <v/>
      </c>
      <c r="Y506" t="b">
        <f t="shared" ca="1" si="64"/>
        <v>1</v>
      </c>
    </row>
    <row r="507" spans="1:25" ht="77.5">
      <c r="A507" s="705" t="s">
        <v>652</v>
      </c>
      <c r="B507" s="716" t="str">
        <f t="shared" ca="1" si="69"/>
        <v>Employer CF and liquid assets - D32</v>
      </c>
      <c r="C507" s="707" t="str" cm="1">
        <f t="array" aca="1" ref="C507" ca="1">INDIRECT(LEFT(I507, FIND("!", I507)) &amp; RefData!$C$426 &amp; RIGHT(I507, LEN(I507) - FIND("!", I507) - 1))</f>
        <v xml:space="preserve">
No answer required
Country
</v>
      </c>
      <c r="D507" s="92" t="str">
        <f t="shared" ca="1" si="72"/>
        <v/>
      </c>
      <c r="E507" s="708" t="str" cm="1">
        <f t="array" aca="1" ref="E507" ca="1">IF(INDIRECT($I507)= "", "", INDIRECT($I507))</f>
        <v/>
      </c>
      <c r="F507" s="709" t="str" cm="1">
        <f t="array" aca="1" ref="F507" ca="1">INDIRECT(LEFT(I507, FIND("!", I507)) &amp; RefData!$C$427 &amp; RIGHT(I507, LEN(I507) - FIND("!", I507) - 1))</f>
        <v>ECI 9.0/2</v>
      </c>
      <c r="G507" s="710" t="b">
        <f ca="1">IF(ISNUMBER(SEARCH(RefData!$B$2, $C507)), FALSE, TRUE)</f>
        <v>0</v>
      </c>
      <c r="H507" s="113">
        <f>'Employer CF and liquid assets'!D32</f>
        <v>0</v>
      </c>
      <c r="I507" s="712" t="str">
        <f t="shared" ca="1" si="71"/>
        <v>'Employer CF and liquid assets'!D32</v>
      </c>
      <c r="J507" s="92" t="b" cm="1">
        <f t="array" aca="1" ref="J507" ca="1">IF(
    ISNUMBER(SEARCH(RefData!$B$2, $C$488)),
    IF(
        $E507 &lt;&gt; "",
        $J$488,
        IF(
            $E507 = "",
            FALSE
        )
    ),
    IF(
        COUNTIF($K507:$T507, "&lt;&gt;FALSE") - COUNTBLANK($K507:$T507) &gt; 0,
        INDEX($K507:$T507, MATCH(TRUE, $K507:$T507 &lt;&gt; FALSE, 0))
    )
)</f>
        <v>0</v>
      </c>
      <c r="K507" s="712" t="b">
        <f ca="1">IF(AND('Start here'!$C$26=RefData!$B$10,'Covenant summary information'!$C$10=RefData!$B$118,'Reconciliation report'!$E507&lt;&gt;""),ErrorMsgs!$C507)</f>
        <v>0</v>
      </c>
      <c r="L507" s="712" t="b">
        <f ca="1">IF(AND('Start here'!$C$26=RefData!$B$10,'Covenant summary information'!$C$10=RefData!$B$119,'Employer CF and liquid assets'!$D$7=0,'Reconciliation report'!$E507&lt;&gt;""),ErrorMsgs!$D507)</f>
        <v>0</v>
      </c>
      <c r="M507" s="714" t="b">
        <f ca="1">IF(AND('Start here'!$C$26=RefData!$B$10,'Covenant summary information'!$C$10=RefData!$B$119,'Employer CF and liquid assets'!$D$7&lt;2,'Reconciliation report'!$E507&lt;&gt;""),ErrorMsgs!$E507)</f>
        <v>0</v>
      </c>
      <c r="N507" s="714" t="b">
        <f ca="1">IF(AND('Start here'!$C$26=RefData!$B$10,'Covenant summary information'!$C$10=RefData!$B$119,'Employer CF and liquid assets'!$D$7&gt;=2,TRIM('Employer CF and liquid assets'!$D25)&lt;&gt;"",'Reconciliation report'!$E507&lt;&gt;""),ErrorMsgs!$F507)</f>
        <v>0</v>
      </c>
      <c r="O507" s="712" t="b">
        <f ca="1">IF(AND('Start here'!$C$26=RefData!$B$10,'Covenant summary information'!$C$10=RefData!$B$119,'Employer CF and liquid assets'!$D$7&gt;=2,'Employer CF and liquid assets'!$D26&lt;&gt;"",'Reconciliation report'!$E507&lt;&gt;""),ErrorMsgs!$G507)</f>
        <v>0</v>
      </c>
      <c r="P507" s="712" t="b">
        <f ca="1">IF(AND('Start here'!$C$26=RefData!$B$10,'Covenant summary information'!$C$10=RefData!$B$119,'Employer CF and liquid assets'!$D$7&gt;=2,AND(TRIM('Employer CF and liquid assets'!$D25)="",'Employer CF and liquid assets'!$D26=""),'Reconciliation report'!$E507=""),ErrorMsgs!$H507)</f>
        <v>0</v>
      </c>
      <c r="Q507" s="712" t="b">
        <f ca="1">IF($E507="",FALSE,IF(ISNA(MATCH($E507,RefData!$B$206:$B$400,0)),ErrorMsgs!$I507))</f>
        <v>0</v>
      </c>
      <c r="R507" s="712"/>
      <c r="S507" s="712"/>
      <c r="T507" s="712"/>
      <c r="U507" s="526" t="str">
        <f t="shared" ca="1" si="62"/>
        <v/>
      </c>
      <c r="V507" s="93" t="str" cm="1">
        <f t="array" aca="1" ref="V507" ca="1">CELL("format",INDIRECT(I507))</f>
        <v>G</v>
      </c>
      <c r="W507" s="93" t="b">
        <f t="shared" ca="1" si="63"/>
        <v>0</v>
      </c>
      <c r="X507" s="715" t="str">
        <f t="shared" ca="1" si="61"/>
        <v/>
      </c>
      <c r="Y507" t="b">
        <f t="shared" ca="1" si="64"/>
        <v>1</v>
      </c>
    </row>
    <row r="508" spans="1:25" ht="77.5">
      <c r="A508" s="705" t="s">
        <v>654</v>
      </c>
      <c r="B508" s="716" t="str">
        <f t="shared" ca="1" si="69"/>
        <v>Employer CF and liquid assets - D33</v>
      </c>
      <c r="C508" s="707" t="str" cm="1">
        <f t="array" aca="1" ref="C508" ca="1">INDIRECT(LEFT(I508, FIND("!", I508)) &amp; RefData!$C$426 &amp; RIGHT(I508, LEN(I508) - FIND("!", I508) - 1))</f>
        <v xml:space="preserve">
No answer required
Postcode
</v>
      </c>
      <c r="D508" s="92" t="str">
        <f t="shared" ca="1" si="72"/>
        <v/>
      </c>
      <c r="E508" s="708" t="str" cm="1">
        <f t="array" aca="1" ref="E508" ca="1">IF(INDIRECT($I508)= "", "", INDIRECT($I508))</f>
        <v/>
      </c>
      <c r="F508" s="709" t="str" cm="1">
        <f t="array" aca="1" ref="F508" ca="1">INDIRECT(LEFT(I508, FIND("!", I508)) &amp; RefData!$C$427 &amp; RIGHT(I508, LEN(I508) - FIND("!", I508) - 1))</f>
        <v>ECI 10.0/2</v>
      </c>
      <c r="G508" s="710" t="b">
        <f ca="1">IF(ISNUMBER(SEARCH(RefData!$B$2, $C508)), FALSE, TRUE)</f>
        <v>0</v>
      </c>
      <c r="H508" s="113">
        <f>'Employer CF and liquid assets'!D33</f>
        <v>0</v>
      </c>
      <c r="I508" s="712" t="str">
        <f t="shared" ca="1" si="71"/>
        <v>'Employer CF and liquid assets'!D33</v>
      </c>
      <c r="J508" s="92" t="b" cm="1">
        <f t="array" aca="1" ref="J508" ca="1">IF(
    ISNUMBER(SEARCH(RefData!$B$2, $C$488)),
    IF(
        $E508 &lt;&gt; "",
        $J$488,
        IF(
            $E508 = "",
            FALSE
        )
    ),
    IF(
        COUNTIF($K508:$T508, "&lt;&gt;FALSE") - COUNTBLANK($K508:$T508) &gt; 0,
        INDEX($K508:$T508, MATCH(TRUE, $K508:$T508 &lt;&gt; FALSE, 0))
    )
)</f>
        <v>0</v>
      </c>
      <c r="K508" s="712" t="b">
        <f ca="1">IF(AND('Start here'!$C$26=RefData!$B$10,'Covenant summary information'!$C$10=RefData!$B$118,'Reconciliation report'!$E508&lt;&gt;""),ErrorMsgs!$C508)</f>
        <v>0</v>
      </c>
      <c r="L508" s="712" t="b">
        <f ca="1">IF(AND('Start here'!$C$26=RefData!$B$10,'Covenant summary information'!$C$10=RefData!$B$119,'Employer CF and liquid assets'!$D$7=0,'Reconciliation report'!$E508&lt;&gt;""),ErrorMsgs!$D508)</f>
        <v>0</v>
      </c>
      <c r="M508" s="714" t="b">
        <f ca="1">IF(AND('Start here'!$C$26=RefData!$B$10,'Covenant summary information'!$C$10=RefData!$B$119,'Employer CF and liquid assets'!$D$7&lt;2,'Reconciliation report'!$E508&lt;&gt;""),ErrorMsgs!$E508)</f>
        <v>0</v>
      </c>
      <c r="N508" s="714" t="b">
        <f ca="1">IF(AND('Start here'!$C$26=RefData!$B$10,'Covenant summary information'!$C$10=RefData!$B$119,'Employer CF and liquid assets'!$D$7&gt;=2,TRIM('Employer CF and liquid assets'!$D25)&lt;&gt;"",'Reconciliation report'!$E508&lt;&gt;""),ErrorMsgs!$F508)</f>
        <v>0</v>
      </c>
      <c r="O508" s="712" t="b">
        <f ca="1">IF(AND('Start here'!$C$26=RefData!$B$10,'Covenant summary information'!$C$10=RefData!$B$119,'Employer CF and liquid assets'!$D$7&gt;=2,'Employer CF and liquid assets'!$D26&lt;&gt;"",'Reconciliation report'!$E508&lt;&gt;""),ErrorMsgs!$G508)</f>
        <v>0</v>
      </c>
      <c r="P508" s="712" t="b">
        <f ca="1">IF(AND('Start here'!$C$26=RefData!$B$10,'Covenant summary information'!$C$10=RefData!$B$119,'Employer CF and liquid assets'!$D$7&gt;=2,AND(TRIM('Employer CF and liquid assets'!$D25)="",'Employer CF and liquid assets'!$D26=""),$E507=RefData!$B$206,'Reconciliation report'!$E508=""),ErrorMsgs!$H508)</f>
        <v>0</v>
      </c>
      <c r="Q508" s="712" t="b">
        <f ca="1">IF(AND($E507=RefData!$B$206,
 OR(LEN($E508)&lt;5,
LEN($E508)&gt;8,
(ISNUMBER(VALUE(LEFT($E508,1)))),
(NOT(ISNUMBER(VALUE(MID($E508,LEN($E508)-2,1))))),
(ISNUMBER(VALUE(MID($E508,LEN($E508)-1,1)))),
ISNUMBER(VALUE(RIGHT($E508,1))))),
ErrorMsgs!$I508, FALSE)</f>
        <v>0</v>
      </c>
      <c r="R508" s="712"/>
      <c r="S508" s="712"/>
      <c r="T508" s="712"/>
      <c r="U508" s="526" t="str">
        <f t="shared" ca="1" si="62"/>
        <v/>
      </c>
      <c r="V508" s="93" t="str" cm="1">
        <f t="array" aca="1" ref="V508" ca="1">CELL("format",INDIRECT(I508))</f>
        <v>G</v>
      </c>
      <c r="W508" s="93" t="b">
        <f t="shared" ca="1" si="63"/>
        <v>0</v>
      </c>
      <c r="X508" s="715" t="str">
        <f t="shared" ca="1" si="61"/>
        <v/>
      </c>
      <c r="Y508" t="b">
        <f t="shared" ca="1" si="64"/>
        <v>1</v>
      </c>
    </row>
    <row r="509" spans="1:25" ht="77.5">
      <c r="A509" s="705" t="s">
        <v>657</v>
      </c>
      <c r="B509" s="716" t="str">
        <f t="shared" ca="1" si="69"/>
        <v>Employer CF and liquid assets - D37</v>
      </c>
      <c r="C509" s="707" t="str" cm="1">
        <f t="array" aca="1" ref="C509" ca="1">INDIRECT(LEFT(I509, FIND("!", I509)) &amp; RefData!$C$426 &amp; RIGHT(I509, LEN(I509) - FIND("!", I509) - 1))</f>
        <v xml:space="preserve">
No answer required
Legal name
</v>
      </c>
      <c r="D509" s="92" t="str">
        <f t="shared" ca="1" si="72"/>
        <v/>
      </c>
      <c r="E509" s="708" t="str" cm="1">
        <f t="array" aca="1" ref="E509" ca="1">IF(INDIRECT($I509)= "", "", INDIRECT($I509))</f>
        <v/>
      </c>
      <c r="F509" s="709" t="str" cm="1">
        <f t="array" aca="1" ref="F509" ca="1">INDIRECT(LEFT(I509, FIND("!", I509)) &amp; RefData!$C$427 &amp; RIGHT(I509, LEN(I509) - FIND("!", I509) - 1))</f>
        <v>ECI 1.0/3</v>
      </c>
      <c r="G509" s="710" t="b">
        <f ca="1">IF(ISNUMBER(SEARCH(RefData!$B$2, $C509)), FALSE, TRUE)</f>
        <v>0</v>
      </c>
      <c r="H509" s="113">
        <f>'Employer CF and liquid assets'!D37</f>
        <v>0</v>
      </c>
      <c r="I509" s="712" t="str">
        <f t="shared" ca="1" si="71"/>
        <v>'Employer CF and liquid assets'!D37</v>
      </c>
      <c r="J509" s="92" t="b" cm="1">
        <f t="array" aca="1" ref="J509" ca="1">IF(
    ISNUMBER(SEARCH(RefData!$B$2, $C$488)),
    IF(
        $E509 &lt;&gt; "",
        $J$488,
        IF(
            $E509 = "",
            FALSE
        )
    ),
    IF(
        COUNTIF($K509:$T509, "&lt;&gt;FALSE") - COUNTBLANK($K509:$T509) &gt; 0,
        INDEX($K509:$T509, MATCH(TRUE, $K509:$T509 &lt;&gt; FALSE, 0))
    )
)</f>
        <v>0</v>
      </c>
      <c r="K509" s="712" t="b">
        <f ca="1">IF(AND('Start here'!$C$26=RefData!$B$9,'Reconciliation report'!$E509&lt;&gt;""),ErrorMsgs!$B509)</f>
        <v>0</v>
      </c>
      <c r="L509" s="712" t="b">
        <f ca="1">IF(AND('Start here'!$C$26=RefData!$B$10,'Covenant summary information'!$C$10=RefData!$B$118,'Reconciliation report'!$E509&lt;&gt;""),ErrorMsgs!$C509)</f>
        <v>0</v>
      </c>
      <c r="M509" s="714" t="b">
        <f ca="1">IF(AND('Start here'!$C$26=RefData!$B$10,'Covenant summary information'!$C$10=RefData!$B$119,'Employer CF and liquid assets'!$D$7=0,'Reconciliation report'!$E509&lt;&gt;""),ErrorMsgs!$D509)</f>
        <v>0</v>
      </c>
      <c r="N509" s="714" t="b">
        <f ca="1">IF(AND('Start here'!$C$26=RefData!$B$10,'Covenant summary information'!$C$10=RefData!$B$119,'Employer CF and liquid assets'!$D$7&lt;3,'Reconciliation report'!$E509&lt;&gt;""),ErrorMsgs!$E509)</f>
        <v>0</v>
      </c>
      <c r="O509" s="712" t="b">
        <f ca="1">IF(AND('Start here'!$C$26=RefData!$B$10,'Covenant summary information'!$C$10=RefData!$B$119,'Employer CF and liquid assets'!$D$7&gt;=3,'Reconciliation report'!$E509=""),ErrorMsgs!$F509)</f>
        <v>0</v>
      </c>
      <c r="P509" s="712" t="b">
        <f ca="1">IF(LEN($E509)&gt;510,ErrorMsgs!$G509)</f>
        <v>0</v>
      </c>
      <c r="Q509" s="712"/>
      <c r="R509" s="712"/>
      <c r="S509" s="712"/>
      <c r="T509" s="712"/>
      <c r="U509" s="526" t="str">
        <f t="shared" ca="1" si="62"/>
        <v/>
      </c>
      <c r="V509" s="93" t="str" cm="1">
        <f t="array" aca="1" ref="V509" ca="1">CELL("format",INDIRECT(I509))</f>
        <v>G</v>
      </c>
      <c r="W509" s="93" t="b">
        <f t="shared" ca="1" si="63"/>
        <v>0</v>
      </c>
      <c r="X509" s="715" t="str">
        <f t="shared" ca="1" si="61"/>
        <v/>
      </c>
      <c r="Y509" t="b">
        <f t="shared" ca="1" si="64"/>
        <v>1</v>
      </c>
    </row>
    <row r="510" spans="1:25" ht="42.65" customHeight="1">
      <c r="A510" s="705" t="s">
        <v>659</v>
      </c>
      <c r="B510" s="716" t="str">
        <f t="shared" ca="1" si="69"/>
        <v>Employer CF and liquid assets - D38</v>
      </c>
      <c r="C510" s="707" t="str" cm="1">
        <f t="array" aca="1" ref="C510" ca="1">INDIRECT(LEFT(I510, FIND("!", I510)) &amp; RefData!$C$426 &amp; RIGHT(I510, LEN(I510) - FIND("!", I510) - 1))</f>
        <v xml:space="preserve">
No answer required
Companies House number (if applicable)
</v>
      </c>
      <c r="D510" s="92" t="str">
        <f t="shared" ca="1" si="72"/>
        <v/>
      </c>
      <c r="E510" s="708" t="str" cm="1">
        <f t="array" aca="1" ref="E510" ca="1">IF(INDIRECT($I510)= "", "", INDIRECT($I510))</f>
        <v/>
      </c>
      <c r="F510" s="709" t="str" cm="1">
        <f t="array" aca="1" ref="F510" ca="1">INDIRECT(LEFT(I510, FIND("!", I510)) &amp; RefData!$C$427 &amp; RIGHT(I510, LEN(I510) - FIND("!", I510) - 1))</f>
        <v>ECI 2.0/3</v>
      </c>
      <c r="G510" s="710" t="b">
        <f ca="1">IF(ISNUMBER(SEARCH(RefData!$B$2, $C510)), FALSE, TRUE)</f>
        <v>0</v>
      </c>
      <c r="H510" s="113">
        <f>'Employer CF and liquid assets'!D38</f>
        <v>0</v>
      </c>
      <c r="I510" s="712" t="str">
        <f t="shared" ca="1" si="71"/>
        <v>'Employer CF and liquid assets'!D38</v>
      </c>
      <c r="J510" s="92" t="b" cm="1">
        <f t="array" aca="1" ref="J510" ca="1">IF(
    ISNUMBER(SEARCH(RefData!$B$2, $C$488)),
    IF(
        $E510 &lt;&gt; "",
        $J$488,
        IF(
            $E510 = "",
            FALSE
        )
    ),
    IF(
        COUNTIF($K510:$T510, "&lt;&gt;FALSE") - COUNTBLANK($K510:$T510) &gt; 0,
        INDEX($K510:$T510, MATCH(TRUE, $K510:$T510 &lt;&gt; FALSE, 0))
    )
)</f>
        <v>0</v>
      </c>
      <c r="K510" s="712" t="b">
        <f ca="1">IF(AND('Start here'!$C$26=RefData!$B$10,'Covenant summary information'!$C$10=RefData!$B$118,'Reconciliation report'!$E510&lt;&gt;""),ErrorMsgs!$C510)</f>
        <v>0</v>
      </c>
      <c r="L510" s="712" t="b">
        <f ca="1">IF(AND('Start here'!$C$26=RefData!$B$10,'Covenant summary information'!$C$10=RefData!$B$119,'Employer CF and liquid assets'!$D$7=0,'Reconciliation report'!$E510&lt;&gt;""),ErrorMsgs!$D510)</f>
        <v>0</v>
      </c>
      <c r="M510" s="714" t="b">
        <f ca="1">IF(AND('Start here'!$C$26=RefData!$B$10,'Covenant summary information'!$C$10=RefData!$B$119,'Employer CF and liquid assets'!$D$7&lt;3,'Reconciliation report'!$E510&lt;&gt;""),ErrorMsgs!$E510)</f>
        <v>0</v>
      </c>
      <c r="N510" s="712" t="b">
        <f ca="1">IF(
  AND(
    'Employer CF and liquid assets'!$D$7 &gt;= 3,
    OR(
      AND(TRIM($E510) &lt;&gt; "", TRIM($D511) &lt;&gt; ""),
      AND(TRIM($E510) &lt;&gt; "", TRIM($D511) = "", TRIM($E511) = "")
    ),
    OR(
      ISNUMBER(FIND(" ", $E510)),
      NOT(
        OR(
          AND(LEN($E510)=8, ISNUMBER(VALUE($E510))),
          AND(LEN($E510)=8, ISNUMBER(VALUE(RIGHT($E510,6))), ISNUMBER(FIND(LEFT(UPPER($E510),1),"ABCDEFGHIJKLMNOPQRSTUVWXYZ")), ISNUMBER(FIND(MID(UPPER($E510),2,1),"ABCDEFGHIJKLMNOPQRSTUVWXYZ"))),
          AND(LEN($E510)=8, ISNUMBER(VALUE(RIGHT($E510,7))), ISNUMBER(FIND(LEFT(UPPER($E510),1),"ABCDEFGHIJKLMNOPQRSTUVWXYZ"))),
          AND(LEN($E510)=8, ISNUMBER(VALUE(MID($E510,3,5))), ISNUMBER(FIND(LEFT(UPPER($E510),1),"ABCDEFGHIJKLMNOPQRSTUVWXYZ")), ISNUMBER(FIND(MID(UPPER($E510),2,1),"ABCDEFGHIJKLMNOPQRSTUVWXYZ")), ISNUMBER(FIND(RIGHT(UPPER($E510),1),"ABCDEFGHIJKLMNOPQRSTUVWXYZ"))),
          AND(LEN($E510)=8, ISNUMBER(VALUE(MID($E510,3,4))), ISNUMBER(FIND(LEFT(UPPER($E510),1),"ABCDEFGHIJKLMNOPQRSTUVWXYZ")), ISNUMBER(FIND(MID(UPPER($E510),2,1),"ABCDEFGHIJKLMNOPQRSTUVWXYZ")), ISNUMBER(FIND(MID(UPPER($E510),7,1),"ABCDEFGHIJKLMNOPQRSTUVWXYZ")), ISNUMBER(FIND(RIGHT(UPPER($E510),1),"ABCDEFGHIJKLMNOPQRSTUVWXYZ")))
        )
      )
    )
  ),
  ErrorMsgs!F510
)</f>
        <v>0</v>
      </c>
      <c r="O510" s="712"/>
      <c r="P510" s="712"/>
      <c r="Q510" s="712"/>
      <c r="R510" s="712"/>
      <c r="S510" s="712"/>
      <c r="T510" s="712"/>
      <c r="U510" s="526" t="str">
        <f t="shared" ca="1" si="62"/>
        <v/>
      </c>
      <c r="V510" s="93" t="str" cm="1">
        <f t="array" aca="1" ref="V510" ca="1">CELL("format",INDIRECT(I510))</f>
        <v>G</v>
      </c>
      <c r="W510" s="93" t="b">
        <f t="shared" ca="1" si="63"/>
        <v>0</v>
      </c>
      <c r="X510" s="715" t="str">
        <f t="shared" ca="1" si="61"/>
        <v/>
      </c>
      <c r="Y510" t="b">
        <f t="shared" ca="1" si="64"/>
        <v>1</v>
      </c>
    </row>
    <row r="511" spans="1:25" ht="77.5">
      <c r="A511" s="705" t="s">
        <v>661</v>
      </c>
      <c r="B511" s="716" t="str">
        <f t="shared" ca="1" si="69"/>
        <v>Employer CF and liquid assets - D39</v>
      </c>
      <c r="C511" s="707" t="str" cm="1">
        <f t="array" aca="1" ref="C511" ca="1">INDIRECT(LEFT(I511, FIND("!", I511)) &amp; RefData!$C$426 &amp; RIGHT(I511, LEN(I511) - FIND("!", I511) - 1))</f>
        <v xml:space="preserve">
No answer required
Charity number (if applicable)
</v>
      </c>
      <c r="D511" s="92" t="str">
        <f t="shared" ca="1" si="72"/>
        <v/>
      </c>
      <c r="E511" s="708" t="str" cm="1">
        <f t="array" aca="1" ref="E511" ca="1">IF(INDIRECT($I511)= "", "", INDIRECT($I511))</f>
        <v/>
      </c>
      <c r="F511" s="709" t="str" cm="1">
        <f t="array" aca="1" ref="F511" ca="1">INDIRECT(LEFT(I511, FIND("!", I511)) &amp; RefData!$C$427 &amp; RIGHT(I511, LEN(I511) - FIND("!", I511) - 1))</f>
        <v>ECI 3.0/3</v>
      </c>
      <c r="G511" s="710" t="b">
        <f ca="1">IF(ISNUMBER(SEARCH(RefData!$B$2, $C511)), FALSE, TRUE)</f>
        <v>0</v>
      </c>
      <c r="H511" s="113">
        <f>'Employer CF and liquid assets'!D39</f>
        <v>0</v>
      </c>
      <c r="I511" s="712" t="str">
        <f t="shared" ca="1" si="71"/>
        <v>'Employer CF and liquid assets'!D39</v>
      </c>
      <c r="J511" s="92" t="b" cm="1">
        <f t="array" aca="1" ref="J511" ca="1">IF(
    ISNUMBER(SEARCH(RefData!$B$2, $C$488)),
    IF(
        $E511 &lt;&gt; "",
        $J$488,
        IF(
            $E511 = "",
            FALSE
        )
    ),
    IF(
        COUNTIF($K511:$T511, "&lt;&gt;FALSE") - COUNTBLANK($K511:$T511) &gt; 0,
        INDEX($K511:$T511, MATCH(TRUE, $K511:$T511 &lt;&gt; FALSE, 0))
    )
)</f>
        <v>0</v>
      </c>
      <c r="K511" s="712" t="b">
        <f ca="1">IF(AND('Start here'!$C$26=RefData!$B$10,'Covenant summary information'!$C$10=RefData!$B$118,'Reconciliation report'!$E511&lt;&gt;""),ErrorMsgs!$C511)</f>
        <v>0</v>
      </c>
      <c r="L511" s="712" t="b">
        <f ca="1">IF(AND('Start here'!$C$26=RefData!$B$10,'Covenant summary information'!$C$10=RefData!$B$119,'Employer CF and liquid assets'!$D$7=0,'Reconciliation report'!$E511&lt;&gt;""),ErrorMsgs!$D511)</f>
        <v>0</v>
      </c>
      <c r="M511" s="714" t="b">
        <f ca="1">IF(AND('Start here'!$C$26=RefData!$B$10,'Covenant summary information'!$C$10=RefData!$B$119,'Employer CF and liquid assets'!$D$7&lt;3,'Reconciliation report'!$E511&lt;&gt;""),ErrorMsgs!$E511)</f>
        <v>0</v>
      </c>
      <c r="N511" s="714" t="b">
        <f ca="1">IF(AND('Start here'!$C$26=RefData!$B$10,'Covenant summary information'!$C$10=RefData!$B$119,'Employer CF and liquid assets'!$D$7&gt;=3,TRIM('Employer CF and liquid assets'!$D38)&lt;&gt;"",'Reconciliation report'!$E511&lt;&gt;""),ErrorMsgs!$F511)</f>
        <v>0</v>
      </c>
      <c r="O511" s="712" t="b">
        <f ca="1">IF($E511="",FALSE,IF(OR(LEN($E511)&lt;6,LEN($E511)&gt;8),ErrorMsgs!$G511))</f>
        <v>0</v>
      </c>
      <c r="P511" s="712"/>
      <c r="Q511" s="712"/>
      <c r="R511" s="712"/>
      <c r="S511" s="712"/>
      <c r="T511" s="712"/>
      <c r="U511" s="526" t="str">
        <f t="shared" ca="1" si="62"/>
        <v/>
      </c>
      <c r="V511" s="93" t="str" cm="1">
        <f t="array" aca="1" ref="V511" ca="1">CELL("format",INDIRECT(I511))</f>
        <v>G</v>
      </c>
      <c r="W511" s="93" t="b">
        <f t="shared" ca="1" si="63"/>
        <v>0</v>
      </c>
      <c r="X511" s="715" t="str">
        <f t="shared" ca="1" si="61"/>
        <v/>
      </c>
      <c r="Y511" t="b">
        <f t="shared" ca="1" si="64"/>
        <v>1</v>
      </c>
    </row>
    <row r="512" spans="1:25" ht="77.5">
      <c r="A512" s="705" t="s">
        <v>663</v>
      </c>
      <c r="B512" s="716" t="str">
        <f t="shared" ca="1" si="69"/>
        <v>Employer CF and liquid assets - D40</v>
      </c>
      <c r="C512" s="707" t="str" cm="1">
        <f t="array" aca="1" ref="C512" ca="1">INDIRECT(LEFT(I512, FIND("!", I512)) &amp; RefData!$C$426 &amp; RIGHT(I512, LEN(I512) - FIND("!", I512) - 1))</f>
        <v xml:space="preserve">
No answer required
Trading name
</v>
      </c>
      <c r="D512" s="92" t="str">
        <f t="shared" ca="1" si="72"/>
        <v/>
      </c>
      <c r="E512" s="708" t="str" cm="1">
        <f t="array" aca="1" ref="E512" ca="1">IF(INDIRECT($I512)= "", "", INDIRECT($I512))</f>
        <v/>
      </c>
      <c r="F512" s="709" t="str" cm="1">
        <f t="array" aca="1" ref="F512" ca="1">INDIRECT(LEFT(I512, FIND("!", I512)) &amp; RefData!$C$427 &amp; RIGHT(I512, LEN(I512) - FIND("!", I512) - 1))</f>
        <v>ECI 4.0/3</v>
      </c>
      <c r="G512" s="710" t="b">
        <f ca="1">IF(ISNUMBER(SEARCH(RefData!$B$2, $C512)), FALSE, TRUE)</f>
        <v>0</v>
      </c>
      <c r="H512" s="113">
        <f>'Employer CF and liquid assets'!D40</f>
        <v>0</v>
      </c>
      <c r="I512" s="712" t="str">
        <f t="shared" ca="1" si="71"/>
        <v>'Employer CF and liquid assets'!D40</v>
      </c>
      <c r="J512" s="92" t="b" cm="1">
        <f t="array" aca="1" ref="J512" ca="1">IF(
    ISNUMBER(SEARCH(RefData!$B$2, $C$488)),
    IF(
        $E512 &lt;&gt; "",
        $J$488,
        IF(
            $E512 = "",
            FALSE
        )
    ),
    IF(
        COUNTIF($K512:$T512, "&lt;&gt;FALSE") - COUNTBLANK($K512:$T512) &gt; 0,
        INDEX($K512:$T512, MATCH(TRUE, $K512:$T512 &lt;&gt; FALSE, 0))
    )
)</f>
        <v>0</v>
      </c>
      <c r="K512" s="712" t="b">
        <f ca="1">IF(AND('Start here'!$C$26=RefData!$B$10,'Covenant summary information'!$C$10=RefData!$B$118,'Reconciliation report'!$E512&lt;&gt;""),ErrorMsgs!$C512)</f>
        <v>0</v>
      </c>
      <c r="L512" s="712" t="b">
        <f ca="1">IF(AND('Start here'!$C$26=RefData!$B$10,'Covenant summary information'!$C$10=RefData!$B$119,'Employer CF and liquid assets'!$D$7=0,'Reconciliation report'!$E512&lt;&gt;""),ErrorMsgs!$D512)</f>
        <v>0</v>
      </c>
      <c r="M512" s="714" t="b">
        <f ca="1">IF(AND('Start here'!$C$26=RefData!$B$10,'Covenant summary information'!$C$10=RefData!$B$119,'Employer CF and liquid assets'!$D$7&lt;3,'Reconciliation report'!$E512&lt;&gt;""),ErrorMsgs!$E512)</f>
        <v>0</v>
      </c>
      <c r="N512" s="714" t="b">
        <f ca="1">IF(AND('Start here'!$C$26=RefData!$B$10,'Covenant summary information'!$C$10=RefData!$B$119,'Employer CF and liquid assets'!$D$7&gt;=3,TRIM('Employer CF and liquid assets'!$D38)&lt;&gt;"",'Reconciliation report'!$E512&lt;&gt;""),ErrorMsgs!$F512)</f>
        <v>0</v>
      </c>
      <c r="O512" s="712" t="b">
        <f ca="1">IF(AND('Start here'!$C$26=RefData!$B$10,'Covenant summary information'!$C$10=RefData!$B$119,'Employer CF and liquid assets'!$D$7&gt;=3,'Employer CF and liquid assets'!$D39&lt;&gt;"",'Reconciliation report'!$E512&lt;&gt;""),ErrorMsgs!$G512)</f>
        <v>0</v>
      </c>
      <c r="P512" s="712" t="b">
        <f ca="1">IF(AND('Start here'!$C$26=RefData!$B$10,'Covenant summary information'!$C$10=RefData!$B$119,'Employer CF and liquid assets'!$D$7&gt;=3,AND(TRIM('Employer CF and liquid assets'!$D38)="",'Employer CF and liquid assets'!$D39=""),'Reconciliation report'!$E512=""),ErrorMsgs!$H512)</f>
        <v>0</v>
      </c>
      <c r="Q512" s="712" t="b">
        <f ca="1">IF(LEN($E512)&gt;510,ErrorMsgs!$I512)</f>
        <v>0</v>
      </c>
      <c r="R512" s="712"/>
      <c r="S512" s="712"/>
      <c r="T512" s="712"/>
      <c r="U512" s="526" t="str">
        <f t="shared" ca="1" si="62"/>
        <v/>
      </c>
      <c r="V512" s="93" t="str" cm="1">
        <f t="array" aca="1" ref="V512" ca="1">CELL("format",INDIRECT(I512))</f>
        <v>G</v>
      </c>
      <c r="W512" s="93" t="b">
        <f t="shared" ca="1" si="63"/>
        <v>0</v>
      </c>
      <c r="X512" s="715" t="str">
        <f t="shared" ca="1" si="61"/>
        <v/>
      </c>
      <c r="Y512" t="b">
        <f t="shared" ca="1" si="64"/>
        <v>1</v>
      </c>
    </row>
    <row r="513" spans="1:25" ht="77.5">
      <c r="A513" s="705" t="s">
        <v>665</v>
      </c>
      <c r="B513" s="716" t="str">
        <f t="shared" ca="1" si="69"/>
        <v>Employer CF and liquid assets - D41</v>
      </c>
      <c r="C513" s="707" t="str" cm="1">
        <f t="array" aca="1" ref="C513" ca="1">INDIRECT(LEFT(I513, FIND("!", I513)) &amp; RefData!$C$426 &amp; RIGHT(I513, LEN(I513) - FIND("!", I513) - 1))</f>
        <v xml:space="preserve">
No answer required
Address line 1
</v>
      </c>
      <c r="D513" s="92" t="str">
        <f t="shared" ca="1" si="72"/>
        <v/>
      </c>
      <c r="E513" s="708" t="str" cm="1">
        <f t="array" aca="1" ref="E513" ca="1">IF(INDIRECT($I513)= "", "", INDIRECT($I513))</f>
        <v/>
      </c>
      <c r="F513" s="709" t="str" cm="1">
        <f t="array" aca="1" ref="F513" ca="1">INDIRECT(LEFT(I513, FIND("!", I513)) &amp; RefData!$C$427 &amp; RIGHT(I513, LEN(I513) - FIND("!", I513) - 1))</f>
        <v>ECI 5.0/3</v>
      </c>
      <c r="G513" s="710" t="b">
        <f ca="1">IF(ISNUMBER(SEARCH(RefData!$B$2, $C513)), FALSE, TRUE)</f>
        <v>0</v>
      </c>
      <c r="H513" s="113">
        <f>'Employer CF and liquid assets'!D41</f>
        <v>0</v>
      </c>
      <c r="I513" s="712" t="str">
        <f t="shared" ca="1" si="71"/>
        <v>'Employer CF and liquid assets'!D41</v>
      </c>
      <c r="J513" s="92" t="b" cm="1">
        <f t="array" aca="1" ref="J513" ca="1">IF(
    ISNUMBER(SEARCH(RefData!$B$2, $C$488)),
    IF(
        $E513 &lt;&gt; "",
        $J$488,
        IF(
            $E513 = "",
            FALSE
        )
    ),
    IF(
        COUNTIF($K513:$T513, "&lt;&gt;FALSE") - COUNTBLANK($K513:$T513) &gt; 0,
        INDEX($K513:$T513, MATCH(TRUE, $K513:$T513 &lt;&gt; FALSE, 0))
    )
)</f>
        <v>0</v>
      </c>
      <c r="K513" s="712" t="b">
        <f ca="1">IF(AND('Start here'!$C$26=RefData!$B$10,'Covenant summary information'!$C$10=RefData!$B$118,'Reconciliation report'!$E513&lt;&gt;""),ErrorMsgs!$C513)</f>
        <v>0</v>
      </c>
      <c r="L513" s="712" t="b">
        <f ca="1">IF(AND('Start here'!$C$26=RefData!$B$10,'Covenant summary information'!$C$10=RefData!$B$119,'Employer CF and liquid assets'!$D$7=0,'Reconciliation report'!$E513&lt;&gt;""),ErrorMsgs!$D513)</f>
        <v>0</v>
      </c>
      <c r="M513" s="714" t="b">
        <f ca="1">IF(AND('Start here'!$C$26=RefData!$B$10,'Covenant summary information'!$C$10=RefData!$B$119,'Employer CF and liquid assets'!$D$7&lt;3,'Reconciliation report'!$E513&lt;&gt;""),ErrorMsgs!$E513)</f>
        <v>0</v>
      </c>
      <c r="N513" s="714" t="b">
        <f ca="1">IF(AND('Start here'!$C$26=RefData!$B$10,'Covenant summary information'!$C$10=RefData!$B$119,'Employer CF and liquid assets'!$D$7&gt;=3,TRIM('Employer CF and liquid assets'!$D38)&lt;&gt;"",'Reconciliation report'!$E513&lt;&gt;""),ErrorMsgs!$F513)</f>
        <v>0</v>
      </c>
      <c r="O513" s="712" t="b">
        <f ca="1">IF(AND('Start here'!$C$26=RefData!$B$10,'Covenant summary information'!$C$10=RefData!$B$119,'Employer CF and liquid assets'!$D$7&gt;=3,'Employer CF and liquid assets'!$D39&lt;&gt;"",'Reconciliation report'!$E513&lt;&gt;""),ErrorMsgs!$G513)</f>
        <v>0</v>
      </c>
      <c r="P513" s="712" t="b">
        <f ca="1">IF(AND('Start here'!$C$26=RefData!$B$10,'Covenant summary information'!$C$10=RefData!$B$119,'Employer CF and liquid assets'!$D$7&gt;=3,AND(TRIM('Employer CF and liquid assets'!$D38)="",'Employer CF and liquid assets'!$D39=""),'Reconciliation report'!$E513=""),ErrorMsgs!$H513)</f>
        <v>0</v>
      </c>
      <c r="Q513" s="712" t="b">
        <f ca="1">IF(LEN($E513)&gt;510,ErrorMsgs!$I513)</f>
        <v>0</v>
      </c>
      <c r="R513" s="712"/>
      <c r="S513" s="712"/>
      <c r="T513" s="712"/>
      <c r="U513" s="526" t="str">
        <f t="shared" ca="1" si="62"/>
        <v/>
      </c>
      <c r="V513" s="93" t="str" cm="1">
        <f t="array" aca="1" ref="V513" ca="1">CELL("format",INDIRECT(I513))</f>
        <v>G</v>
      </c>
      <c r="W513" s="93" t="b">
        <f t="shared" ca="1" si="63"/>
        <v>0</v>
      </c>
      <c r="X513" s="715" t="str">
        <f t="shared" ca="1" si="61"/>
        <v/>
      </c>
      <c r="Y513" t="b">
        <f t="shared" ca="1" si="64"/>
        <v>1</v>
      </c>
    </row>
    <row r="514" spans="1:25" ht="77.5">
      <c r="A514" s="705" t="s">
        <v>667</v>
      </c>
      <c r="B514" s="716" t="str">
        <f t="shared" ca="1" si="69"/>
        <v>Employer CF and liquid assets - D42</v>
      </c>
      <c r="C514" s="707" t="str" cm="1">
        <f t="array" aca="1" ref="C514" ca="1">INDIRECT(LEFT(I514, FIND("!", I514)) &amp; RefData!$C$426 &amp; RIGHT(I514, LEN(I514) - FIND("!", I514) - 1))</f>
        <v xml:space="preserve">
No answer required
Address line 2 (optional)
</v>
      </c>
      <c r="D514" s="92" t="str">
        <f t="shared" ca="1" si="72"/>
        <v/>
      </c>
      <c r="E514" s="708" t="str" cm="1">
        <f t="array" aca="1" ref="E514" ca="1">IF(INDIRECT($I514)= "", "", INDIRECT($I514))</f>
        <v/>
      </c>
      <c r="F514" s="709" t="str" cm="1">
        <f t="array" aca="1" ref="F514" ca="1">INDIRECT(LEFT(I514, FIND("!", I514)) &amp; RefData!$C$427 &amp; RIGHT(I514, LEN(I514) - FIND("!", I514) - 1))</f>
        <v>ECI 6.0/3</v>
      </c>
      <c r="G514" s="710" t="b">
        <f ca="1">IF(ISNUMBER(SEARCH(RefData!$B$2, $C514)), FALSE, TRUE)</f>
        <v>0</v>
      </c>
      <c r="H514" s="113">
        <f>'Employer CF and liquid assets'!D42</f>
        <v>0</v>
      </c>
      <c r="I514" s="712" t="str">
        <f t="shared" ca="1" si="71"/>
        <v>'Employer CF and liquid assets'!D42</v>
      </c>
      <c r="J514" s="92" t="b" cm="1">
        <f t="array" aca="1" ref="J514" ca="1">IF(
    ISNUMBER(SEARCH(RefData!$B$2, $C$488)),
    IF(
        $E514 &lt;&gt; "",
        $J$488,
        IF(
            $E514 = "",
            FALSE
        )
    ),
    IF(
        COUNTIF($K514:$T514, "&lt;&gt;FALSE") - COUNTBLANK($K514:$T514) &gt; 0,
        INDEX($K514:$T514, MATCH(TRUE, $K514:$T514 &lt;&gt; FALSE, 0))
    )
)</f>
        <v>0</v>
      </c>
      <c r="K514" s="712" t="b">
        <f ca="1">IF(AND('Start here'!$C$26=RefData!$B$10,'Covenant summary information'!$C$10=RefData!$B$118,'Reconciliation report'!$E514&lt;&gt;""),ErrorMsgs!$C514)</f>
        <v>0</v>
      </c>
      <c r="L514" s="712" t="b">
        <f ca="1">IF(AND('Start here'!$C$26=RefData!$B$10,'Covenant summary information'!$C$10=RefData!$B$119,'Employer CF and liquid assets'!$D$7=0,'Reconciliation report'!$E514&lt;&gt;""),ErrorMsgs!$D514)</f>
        <v>0</v>
      </c>
      <c r="M514" s="714" t="b">
        <f ca="1">IF(AND('Start here'!$C$26=RefData!$B$10,'Covenant summary information'!$C$10=RefData!$B$119,'Employer CF and liquid assets'!$D$7&lt;3,'Reconciliation report'!$E514&lt;&gt;""),ErrorMsgs!$E514)</f>
        <v>0</v>
      </c>
      <c r="N514" s="714" t="b">
        <f ca="1">IF(AND('Start here'!$C$26=RefData!$B$10,'Covenant summary information'!$C$10=RefData!$B$119,'Employer CF and liquid assets'!$D$7&gt;=3,TRIM('Employer CF and liquid assets'!$D38)&lt;&gt;"",'Reconciliation report'!$E514&lt;&gt;""),ErrorMsgs!$F514)</f>
        <v>0</v>
      </c>
      <c r="O514" s="712" t="b">
        <f ca="1">IF(AND('Start here'!$C$26=RefData!$B$10,'Covenant summary information'!$C$10=RefData!$B$119,'Employer CF and liquid assets'!$D$7&gt;=3,'Employer CF and liquid assets'!$D39&lt;&gt;"",'Reconciliation report'!$E514&lt;&gt;""),ErrorMsgs!$G514)</f>
        <v>0</v>
      </c>
      <c r="P514" s="712" t="b">
        <f ca="1">IF(LEN($E514)&gt;510,ErrorMsgs!$H514)</f>
        <v>0</v>
      </c>
      <c r="Q514" s="737"/>
      <c r="R514" s="737"/>
      <c r="S514" s="737"/>
      <c r="T514" s="737"/>
      <c r="U514" s="526" t="str">
        <f t="shared" ca="1" si="62"/>
        <v/>
      </c>
      <c r="V514" s="93" t="str" cm="1">
        <f t="array" aca="1" ref="V514" ca="1">CELL("format",INDIRECT(I514))</f>
        <v>G</v>
      </c>
      <c r="W514" s="93" t="b">
        <f t="shared" ca="1" si="63"/>
        <v>0</v>
      </c>
      <c r="X514" s="715" t="str">
        <f t="shared" ref="X514:X577" ca="1" si="73">IF(W514, "0." &amp; IF(V514="P2",REPT("0", MIN(4, LEN(E514) - FIND(".", E514))),REPT("0", MIN(6, LEN(E514) - FIND(".", E514)))), "")</f>
        <v/>
      </c>
      <c r="Y514" t="b">
        <f t="shared" ca="1" si="64"/>
        <v>1</v>
      </c>
    </row>
    <row r="515" spans="1:25" ht="77.5">
      <c r="A515" s="705" t="s">
        <v>669</v>
      </c>
      <c r="B515" s="716" t="str">
        <f t="shared" ca="1" si="69"/>
        <v>Employer CF and liquid assets - D43</v>
      </c>
      <c r="C515" s="707" t="str" cm="1">
        <f t="array" aca="1" ref="C515" ca="1">INDIRECT(LEFT(I515, FIND("!", I515)) &amp; RefData!$C$426 &amp; RIGHT(I515, LEN(I515) - FIND("!", I515) - 1))</f>
        <v xml:space="preserve">
No answer required
Address line 3 (optional)
</v>
      </c>
      <c r="D515" s="92" t="str">
        <f t="shared" ca="1" si="72"/>
        <v/>
      </c>
      <c r="E515" s="708" t="str" cm="1">
        <f t="array" aca="1" ref="E515" ca="1">IF(INDIRECT($I515)= "", "", INDIRECT($I515))</f>
        <v/>
      </c>
      <c r="F515" s="709" t="str" cm="1">
        <f t="array" aca="1" ref="F515" ca="1">INDIRECT(LEFT(I515, FIND("!", I515)) &amp; RefData!$C$427 &amp; RIGHT(I515, LEN(I515) - FIND("!", I515) - 1))</f>
        <v>ECI 7.0/3</v>
      </c>
      <c r="G515" s="710" t="b">
        <f ca="1">IF(ISNUMBER(SEARCH(RefData!$B$2, $C515)), FALSE, TRUE)</f>
        <v>0</v>
      </c>
      <c r="H515" s="113">
        <f>'Employer CF and liquid assets'!D43</f>
        <v>0</v>
      </c>
      <c r="I515" s="712" t="str">
        <f t="shared" ca="1" si="71"/>
        <v>'Employer CF and liquid assets'!D43</v>
      </c>
      <c r="J515" s="92" t="b" cm="1">
        <f t="array" aca="1" ref="J515" ca="1">IF(
    ISNUMBER(SEARCH(RefData!$B$2, $C$488)),
    IF(
        $E515 &lt;&gt; "",
        $J$488,
        IF(
            $E515 = "",
            FALSE
        )
    ),
    IF(
        COUNTIF($K515:$T515, "&lt;&gt;FALSE") - COUNTBLANK($K515:$T515) &gt; 0,
        INDEX($K515:$T515, MATCH(TRUE, $K515:$T515 &lt;&gt; FALSE, 0))
    )
)</f>
        <v>0</v>
      </c>
      <c r="K515" s="712" t="b">
        <f ca="1">IF(AND('Start here'!$C$26=RefData!$B$10,'Covenant summary information'!$C$10=RefData!$B$118,'Reconciliation report'!$E515&lt;&gt;""),ErrorMsgs!$C515)</f>
        <v>0</v>
      </c>
      <c r="L515" s="712" t="b">
        <f ca="1">IF(AND('Start here'!$C$26=RefData!$B$10,'Covenant summary information'!$C$10=RefData!$B$119,'Employer CF and liquid assets'!$D$7=0,'Reconciliation report'!$E515&lt;&gt;""),ErrorMsgs!$D515)</f>
        <v>0</v>
      </c>
      <c r="M515" s="714" t="b">
        <f ca="1">IF(AND('Start here'!$C$26=RefData!$B$10,'Covenant summary information'!$C$10=RefData!$B$119,'Employer CF and liquid assets'!$D$7&lt;3,'Reconciliation report'!$E515&lt;&gt;""),ErrorMsgs!$E515)</f>
        <v>0</v>
      </c>
      <c r="N515" s="714" t="b">
        <f ca="1">IF(AND('Start here'!$C$26=RefData!$B$10,'Covenant summary information'!$C$10=RefData!$B$119,'Employer CF and liquid assets'!$D$7&gt;=3,TRIM('Employer CF and liquid assets'!$D38)&lt;&gt;"",'Reconciliation report'!$E515&lt;&gt;""),ErrorMsgs!$F515)</f>
        <v>0</v>
      </c>
      <c r="O515" s="712" t="b">
        <f ca="1">IF(AND('Start here'!$C$26=RefData!$B$10,'Covenant summary information'!$C$10=RefData!$B$119,'Employer CF and liquid assets'!$D$7&gt;=3,'Employer CF and liquid assets'!$D39&lt;&gt;"",'Reconciliation report'!$E515&lt;&gt;""),ErrorMsgs!$G515)</f>
        <v>0</v>
      </c>
      <c r="P515" s="712" t="b">
        <f ca="1">IF(LEN($E515)&gt;510,ErrorMsgs!$H515)</f>
        <v>0</v>
      </c>
      <c r="Q515" s="737"/>
      <c r="R515" s="737"/>
      <c r="S515" s="737"/>
      <c r="T515" s="737"/>
      <c r="U515" s="526" t="str">
        <f t="shared" ref="U515:U578" ca="1" si="74">IF(AND($W515=TRUE,$Y515=FALSE),TEXT($E515,$X515),$E515)</f>
        <v/>
      </c>
      <c r="V515" s="93" t="str" cm="1">
        <f t="array" aca="1" ref="V515" ca="1">CELL("format",INDIRECT(I515))</f>
        <v>G</v>
      </c>
      <c r="W515" s="93" t="b">
        <f t="shared" ref="W515:W578" ca="1" si="75">IF(ISNUMBER(E515), IF(INT(E515)&lt;&gt;E515,TRUE,FALSE),FALSE)</f>
        <v>0</v>
      </c>
      <c r="X515" s="715" t="str">
        <f t="shared" ca="1" si="73"/>
        <v/>
      </c>
      <c r="Y515" t="b">
        <f t="shared" ref="Y515:Y578" ca="1" si="76">ISTEXT(E515)</f>
        <v>1</v>
      </c>
    </row>
    <row r="516" spans="1:25" ht="77.5">
      <c r="A516" s="705" t="s">
        <v>671</v>
      </c>
      <c r="B516" s="716" t="str">
        <f t="shared" ca="1" si="69"/>
        <v>Employer CF and liquid assets - D44</v>
      </c>
      <c r="C516" s="707" t="str" cm="1">
        <f t="array" aca="1" ref="C516" ca="1">INDIRECT(LEFT(I516, FIND("!", I516)) &amp; RefData!$C$426 &amp; RIGHT(I516, LEN(I516) - FIND("!", I516) - 1))</f>
        <v xml:space="preserve">
No answer required
Post town or city
</v>
      </c>
      <c r="D516" s="92" t="str">
        <f t="shared" ca="1" si="72"/>
        <v/>
      </c>
      <c r="E516" s="708" t="str" cm="1">
        <f t="array" aca="1" ref="E516" ca="1">IF(INDIRECT($I516)= "", "", INDIRECT($I516))</f>
        <v/>
      </c>
      <c r="F516" s="709" t="str" cm="1">
        <f t="array" aca="1" ref="F516" ca="1">INDIRECT(LEFT(I516, FIND("!", I516)) &amp; RefData!$C$427 &amp; RIGHT(I516, LEN(I516) - FIND("!", I516) - 1))</f>
        <v>ECI 8.0/3</v>
      </c>
      <c r="G516" s="710" t="b">
        <f ca="1">IF(ISNUMBER(SEARCH(RefData!$B$2, $C516)), FALSE, TRUE)</f>
        <v>0</v>
      </c>
      <c r="H516" s="113">
        <f>'Employer CF and liquid assets'!D44</f>
        <v>0</v>
      </c>
      <c r="I516" s="712" t="str">
        <f t="shared" ca="1" si="71"/>
        <v>'Employer CF and liquid assets'!D44</v>
      </c>
      <c r="J516" s="92" t="b" cm="1">
        <f t="array" aca="1" ref="J516" ca="1">IF(
    ISNUMBER(SEARCH(RefData!$B$2, $C$488)),
    IF(
        $E516 &lt;&gt; "",
        $J$488,
        IF(
            $E516 = "",
            FALSE
        )
    ),
    IF(
        COUNTIF($K516:$T516, "&lt;&gt;FALSE") - COUNTBLANK($K516:$T516) &gt; 0,
        INDEX($K516:$T516, MATCH(TRUE, $K516:$T516 &lt;&gt; FALSE, 0))
    )
)</f>
        <v>0</v>
      </c>
      <c r="K516" s="712" t="b">
        <f ca="1">IF(AND('Start here'!$C$26=RefData!$B$10,'Covenant summary information'!$C$10=RefData!$B$118,'Reconciliation report'!$E516&lt;&gt;""),ErrorMsgs!$C516)</f>
        <v>0</v>
      </c>
      <c r="L516" s="712" t="b">
        <f ca="1">IF(AND('Start here'!$C$26=RefData!$B$10,'Covenant summary information'!$C$10=RefData!$B$119,'Employer CF and liquid assets'!$D$7=0,'Reconciliation report'!$E516&lt;&gt;""),ErrorMsgs!$D516)</f>
        <v>0</v>
      </c>
      <c r="M516" s="714" t="b">
        <f ca="1">IF(AND('Start here'!$C$26=RefData!$B$10,'Covenant summary information'!$C$10=RefData!$B$119,'Employer CF and liquid assets'!$D$7&lt;3,'Reconciliation report'!$E516&lt;&gt;""),ErrorMsgs!$E516)</f>
        <v>0</v>
      </c>
      <c r="N516" s="714" t="b">
        <f ca="1">IF(AND('Start here'!$C$26=RefData!$B$10,'Covenant summary information'!$C$10=RefData!$B$119,'Employer CF and liquid assets'!$D$7&gt;=3,TRIM('Employer CF and liquid assets'!$D38)&lt;&gt;"",'Reconciliation report'!$E516&lt;&gt;""),ErrorMsgs!$F516)</f>
        <v>0</v>
      </c>
      <c r="O516" s="712" t="b">
        <f ca="1">IF(AND('Start here'!$C$26=RefData!$B$10,'Covenant summary information'!$C$10=RefData!$B$119,'Employer CF and liquid assets'!$D$7&gt;=3,'Employer CF and liquid assets'!$D39&lt;&gt;"",'Reconciliation report'!$E516&lt;&gt;""),ErrorMsgs!$G516)</f>
        <v>0</v>
      </c>
      <c r="P516" s="712" t="b">
        <f ca="1">IF(AND('Start here'!$C$26=RefData!$B$10,'Covenant summary information'!$C$10=RefData!$B$119,'Employer CF and liquid assets'!$D$7&gt;=3,AND(TRIM('Employer CF and liquid assets'!$D38)="",'Employer CF and liquid assets'!$D39=""),'Reconciliation report'!$E516=""),ErrorMsgs!$H516)</f>
        <v>0</v>
      </c>
      <c r="Q516" s="712" t="b">
        <f ca="1">IF(LEN($E516)&gt;510,ErrorMsgs!$I516)</f>
        <v>0</v>
      </c>
      <c r="R516" s="712"/>
      <c r="S516" s="712"/>
      <c r="T516" s="712"/>
      <c r="U516" s="526" t="str">
        <f t="shared" ca="1" si="74"/>
        <v/>
      </c>
      <c r="V516" s="93" t="str" cm="1">
        <f t="array" aca="1" ref="V516" ca="1">CELL("format",INDIRECT(I516))</f>
        <v>G</v>
      </c>
      <c r="W516" s="93" t="b">
        <f t="shared" ca="1" si="75"/>
        <v>0</v>
      </c>
      <c r="X516" s="715" t="str">
        <f t="shared" ca="1" si="73"/>
        <v/>
      </c>
      <c r="Y516" t="b">
        <f t="shared" ca="1" si="76"/>
        <v>1</v>
      </c>
    </row>
    <row r="517" spans="1:25" ht="77.5">
      <c r="A517" s="705" t="s">
        <v>673</v>
      </c>
      <c r="B517" s="716" t="str">
        <f t="shared" ca="1" si="69"/>
        <v>Employer CF and liquid assets - D45</v>
      </c>
      <c r="C517" s="707" t="str" cm="1">
        <f t="array" aca="1" ref="C517" ca="1">INDIRECT(LEFT(I517, FIND("!", I517)) &amp; RefData!$C$426 &amp; RIGHT(I517, LEN(I517) - FIND("!", I517) - 1))</f>
        <v xml:space="preserve">
No answer required
Country
</v>
      </c>
      <c r="D517" s="92" t="str">
        <f t="shared" ca="1" si="72"/>
        <v/>
      </c>
      <c r="E517" s="708" t="str" cm="1">
        <f t="array" aca="1" ref="E517" ca="1">IF(INDIRECT($I517)= "", "", INDIRECT($I517))</f>
        <v/>
      </c>
      <c r="F517" s="709" t="str" cm="1">
        <f t="array" aca="1" ref="F517" ca="1">INDIRECT(LEFT(I517, FIND("!", I517)) &amp; RefData!$C$427 &amp; RIGHT(I517, LEN(I517) - FIND("!", I517) - 1))</f>
        <v>ECI 9.0/3</v>
      </c>
      <c r="G517" s="710" t="b">
        <f ca="1">IF(ISNUMBER(SEARCH(RefData!$B$2, $C517)), FALSE, TRUE)</f>
        <v>0</v>
      </c>
      <c r="H517" s="113">
        <f>'Employer CF and liquid assets'!D45</f>
        <v>0</v>
      </c>
      <c r="I517" s="712" t="str">
        <f t="shared" ca="1" si="71"/>
        <v>'Employer CF and liquid assets'!D45</v>
      </c>
      <c r="J517" s="92" t="b" cm="1">
        <f t="array" aca="1" ref="J517" ca="1">IF(
    ISNUMBER(SEARCH(RefData!$B$2, $C$488)),
    IF(
        $E517 &lt;&gt; "",
        $J$488,
        IF(
            $E517 = "",
            FALSE
        )
    ),
    IF(
        COUNTIF($K517:$T517, "&lt;&gt;FALSE") - COUNTBLANK($K517:$T517) &gt; 0,
        INDEX($K517:$T517, MATCH(TRUE, $K517:$T517 &lt;&gt; FALSE, 0))
    )
)</f>
        <v>0</v>
      </c>
      <c r="K517" s="712" t="b">
        <f ca="1">IF(AND('Start here'!$C$26=RefData!$B$10,'Covenant summary information'!$C$10=RefData!$B$118,'Reconciliation report'!$E517&lt;&gt;""),ErrorMsgs!$C517)</f>
        <v>0</v>
      </c>
      <c r="L517" s="712" t="b">
        <f ca="1">IF(AND('Start here'!$C$26=RefData!$B$10,'Covenant summary information'!$C$10=RefData!$B$119,'Employer CF and liquid assets'!$D$7=0,'Reconciliation report'!$E517&lt;&gt;""),ErrorMsgs!$D517)</f>
        <v>0</v>
      </c>
      <c r="M517" s="714" t="b">
        <f ca="1">IF(AND('Start here'!$C$26=RefData!$B$10,'Covenant summary information'!$C$10=RefData!$B$119,'Employer CF and liquid assets'!$D$7&lt;3,'Reconciliation report'!$E517&lt;&gt;""),ErrorMsgs!$E517)</f>
        <v>0</v>
      </c>
      <c r="N517" s="714" t="b">
        <f ca="1">IF(AND('Start here'!$C$26=RefData!$B$10,'Covenant summary information'!$C$10=RefData!$B$119,'Employer CF and liquid assets'!$D$7&gt;=3,TRIM('Employer CF and liquid assets'!$D38)&lt;&gt;"",'Reconciliation report'!$E517&lt;&gt;""),ErrorMsgs!$F517)</f>
        <v>0</v>
      </c>
      <c r="O517" s="712" t="b">
        <f ca="1">IF(AND('Start here'!$C$26=RefData!$B$10,'Covenant summary information'!$C$10=RefData!$B$119,'Employer CF and liquid assets'!$D$7&gt;=3,'Employer CF and liquid assets'!$D39&lt;&gt;"",'Reconciliation report'!$E517&lt;&gt;""),ErrorMsgs!$G517)</f>
        <v>0</v>
      </c>
      <c r="P517" s="712" t="b">
        <f ca="1">IF(AND('Start here'!$C$26=RefData!$B$10,'Covenant summary information'!$C$10=RefData!$B$119,'Employer CF and liquid assets'!$D$7&gt;=3,AND(TRIM('Employer CF and liquid assets'!$D38)="",'Employer CF and liquid assets'!$D39=""),'Reconciliation report'!$E517=""),ErrorMsgs!$H517)</f>
        <v>0</v>
      </c>
      <c r="Q517" s="712" t="b">
        <f ca="1">IF($E517="",FALSE,IF(ISNA(MATCH($E517,RefData!$B$206:$B$400,0)),ErrorMsgs!$I517))</f>
        <v>0</v>
      </c>
      <c r="R517" s="712"/>
      <c r="S517" s="712"/>
      <c r="T517" s="712"/>
      <c r="U517" s="526" t="str">
        <f t="shared" ca="1" si="74"/>
        <v/>
      </c>
      <c r="V517" s="93" t="str" cm="1">
        <f t="array" aca="1" ref="V517" ca="1">CELL("format",INDIRECT(I517))</f>
        <v>G</v>
      </c>
      <c r="W517" s="93" t="b">
        <f t="shared" ca="1" si="75"/>
        <v>0</v>
      </c>
      <c r="X517" s="715" t="str">
        <f t="shared" ca="1" si="73"/>
        <v/>
      </c>
      <c r="Y517" t="b">
        <f t="shared" ca="1" si="76"/>
        <v>1</v>
      </c>
    </row>
    <row r="518" spans="1:25" ht="77.5">
      <c r="A518" s="705" t="s">
        <v>675</v>
      </c>
      <c r="B518" s="716" t="str">
        <f t="shared" ca="1" si="69"/>
        <v>Employer CF and liquid assets - D46</v>
      </c>
      <c r="C518" s="707" t="str" cm="1">
        <f t="array" aca="1" ref="C518" ca="1">INDIRECT(LEFT(I518, FIND("!", I518)) &amp; RefData!$C$426 &amp; RIGHT(I518, LEN(I518) - FIND("!", I518) - 1))</f>
        <v xml:space="preserve">
No answer required
Postcode
</v>
      </c>
      <c r="D518" s="92" t="str">
        <f t="shared" ca="1" si="72"/>
        <v/>
      </c>
      <c r="E518" s="708" t="str" cm="1">
        <f t="array" aca="1" ref="E518" ca="1">IF(INDIRECT($I518)= "", "", INDIRECT($I518))</f>
        <v/>
      </c>
      <c r="F518" s="709" t="str" cm="1">
        <f t="array" aca="1" ref="F518" ca="1">INDIRECT(LEFT(I518, FIND("!", I518)) &amp; RefData!$C$427 &amp; RIGHT(I518, LEN(I518) - FIND("!", I518) - 1))</f>
        <v>ECI 10.0/3</v>
      </c>
      <c r="G518" s="710" t="b">
        <f ca="1">IF(ISNUMBER(SEARCH(RefData!$B$2, $C518)), FALSE, TRUE)</f>
        <v>0</v>
      </c>
      <c r="H518" s="113">
        <f>'Employer CF and liquid assets'!D46</f>
        <v>0</v>
      </c>
      <c r="I518" s="712" t="str">
        <f t="shared" ca="1" si="71"/>
        <v>'Employer CF and liquid assets'!D46</v>
      </c>
      <c r="J518" s="92" t="b" cm="1">
        <f t="array" aca="1" ref="J518" ca="1">IF(
    ISNUMBER(SEARCH(RefData!$B$2, $C$488)),
    IF(
        $E518 &lt;&gt; "",
        $J$488,
        IF(
            $E518 = "",
            FALSE
        )
    ),
    IF(
        COUNTIF($K518:$T518, "&lt;&gt;FALSE") - COUNTBLANK($K518:$T518) &gt; 0,
        INDEX($K518:$T518, MATCH(TRUE, $K518:$T518 &lt;&gt; FALSE, 0))
    )
)</f>
        <v>0</v>
      </c>
      <c r="K518" s="712" t="b">
        <f ca="1">IF(AND('Start here'!$C$26=RefData!$B$10,'Covenant summary information'!$C$10=RefData!$B$118,'Reconciliation report'!$E518&lt;&gt;""),ErrorMsgs!$C518)</f>
        <v>0</v>
      </c>
      <c r="L518" s="712" t="b">
        <f ca="1">IF(AND('Start here'!$C$26=RefData!$B$10,'Covenant summary information'!$C$10=RefData!$B$119,'Employer CF and liquid assets'!$D$7=0,'Reconciliation report'!$E518&lt;&gt;""),ErrorMsgs!$D518)</f>
        <v>0</v>
      </c>
      <c r="M518" s="714" t="b">
        <f ca="1">IF(AND('Start here'!$C$26=RefData!$B$10,'Covenant summary information'!$C$10=RefData!$B$119,'Employer CF and liquid assets'!$D$7&lt;3,'Reconciliation report'!$E518&lt;&gt;""),ErrorMsgs!$E518)</f>
        <v>0</v>
      </c>
      <c r="N518" s="714" t="b">
        <f ca="1">IF(AND('Start here'!$C$26=RefData!$B$10,'Covenant summary information'!$C$10=RefData!$B$119,'Employer CF and liquid assets'!$D$7&gt;=3,TRIM('Employer CF and liquid assets'!$D38)&lt;&gt;"",'Reconciliation report'!$E518&lt;&gt;""),ErrorMsgs!$F518)</f>
        <v>0</v>
      </c>
      <c r="O518" s="712" t="b">
        <f ca="1">IF(AND('Start here'!$C$26=RefData!$B$10,'Covenant summary information'!$C$10=RefData!$B$119,'Employer CF and liquid assets'!$D$7&gt;=3,'Employer CF and liquid assets'!$D39&lt;&gt;"",'Reconciliation report'!$E518&lt;&gt;""),ErrorMsgs!$G518)</f>
        <v>0</v>
      </c>
      <c r="P518" s="712" t="b">
        <f ca="1">IF(AND('Start here'!$C$26=RefData!$B$10,'Covenant summary information'!$C$10=RefData!$B$119,'Employer CF and liquid assets'!$D$7&gt;=3,AND(TRIM('Employer CF and liquid assets'!$D38)="",'Employer CF and liquid assets'!$D39=""),$E517=RefData!$B$206,'Reconciliation report'!$E518=""),ErrorMsgs!$H518)</f>
        <v>0</v>
      </c>
      <c r="Q518" s="712" t="b">
        <f ca="1">IF(AND($E517=RefData!$B$206,
 OR(LEN($E518)&lt;5,
LEN($E518)&gt;8,
(ISNUMBER(VALUE(LEFT($E518,1)))),
(NOT(ISNUMBER(VALUE(MID($E518,LEN($E518)-2,1))))),
(ISNUMBER(VALUE(MID($E518,LEN($E518)-1,1)))),
ISNUMBER(VALUE(RIGHT($E518,1))))),
ErrorMsgs!$I518, FALSE)</f>
        <v>0</v>
      </c>
      <c r="R518" s="712"/>
      <c r="S518" s="712"/>
      <c r="T518" s="712"/>
      <c r="U518" s="526" t="str">
        <f t="shared" ca="1" si="74"/>
        <v/>
      </c>
      <c r="V518" s="93" t="str" cm="1">
        <f t="array" aca="1" ref="V518" ca="1">CELL("format",INDIRECT(I518))</f>
        <v>G</v>
      </c>
      <c r="W518" s="93" t="b">
        <f t="shared" ca="1" si="75"/>
        <v>0</v>
      </c>
      <c r="X518" s="715" t="str">
        <f t="shared" ca="1" si="73"/>
        <v/>
      </c>
      <c r="Y518" t="b">
        <f t="shared" ca="1" si="76"/>
        <v>1</v>
      </c>
    </row>
    <row r="519" spans="1:25" ht="77.5">
      <c r="A519" s="705" t="s">
        <v>678</v>
      </c>
      <c r="B519" s="716" t="str">
        <f t="shared" ca="1" si="69"/>
        <v>Employer CF and liquid assets - D50</v>
      </c>
      <c r="C519" s="707" t="str" cm="1">
        <f t="array" aca="1" ref="C519" ca="1">INDIRECT(LEFT(I519, FIND("!", I519)) &amp; RefData!$C$426 &amp; RIGHT(I519, LEN(I519) - FIND("!", I519) - 1))</f>
        <v xml:space="preserve">
No answer required
Legal name
</v>
      </c>
      <c r="D519" s="92" t="str">
        <f t="shared" ca="1" si="72"/>
        <v/>
      </c>
      <c r="E519" s="708" t="str" cm="1">
        <f t="array" aca="1" ref="E519" ca="1">IF(INDIRECT($I519)= "", "", INDIRECT($I519))</f>
        <v/>
      </c>
      <c r="F519" s="709" t="str" cm="1">
        <f t="array" aca="1" ref="F519" ca="1">INDIRECT(LEFT(I519, FIND("!", I519)) &amp; RefData!$C$427 &amp; RIGHT(I519, LEN(I519) - FIND("!", I519) - 1))</f>
        <v>ECI 1.0/4</v>
      </c>
      <c r="G519" s="710" t="b">
        <f ca="1">IF(ISNUMBER(SEARCH(RefData!$B$2, $C519)), FALSE, TRUE)</f>
        <v>0</v>
      </c>
      <c r="H519" s="113">
        <f>'Employer CF and liquid assets'!D50</f>
        <v>0</v>
      </c>
      <c r="I519" s="712" t="str">
        <f t="shared" ca="1" si="71"/>
        <v>'Employer CF and liquid assets'!D50</v>
      </c>
      <c r="J519" s="92" t="b" cm="1">
        <f t="array" aca="1" ref="J519" ca="1">IF(
    ISNUMBER(SEARCH(RefData!$B$2, $C$488)),
    IF(
        $E519 &lt;&gt; "",
        $J$488,
        IF(
            $E519 = "",
            FALSE
        )
    ),
    IF(
        COUNTIF($K519:$T519, "&lt;&gt;FALSE") - COUNTBLANK($K519:$T519) &gt; 0,
        INDEX($K519:$T519, MATCH(TRUE, $K519:$T519 &lt;&gt; FALSE, 0))
    )
)</f>
        <v>0</v>
      </c>
      <c r="K519" s="712" t="b">
        <f ca="1">IF(AND('Start here'!$C$26=RefData!$B$9,'Reconciliation report'!$E519&lt;&gt;""),ErrorMsgs!$B519)</f>
        <v>0</v>
      </c>
      <c r="L519" s="712" t="b">
        <f ca="1">IF(AND('Start here'!$C$26=RefData!$B$10,'Covenant summary information'!$C$10=RefData!$B$118,'Reconciliation report'!$E519&lt;&gt;""),ErrorMsgs!$C519)</f>
        <v>0</v>
      </c>
      <c r="M519" s="712" t="b">
        <f ca="1">IF(AND('Start here'!$C$26=RefData!$B$10,'Covenant summary information'!$C$10=RefData!$B$119,'Employer CF and liquid assets'!$D$7=0,'Reconciliation report'!$E519&lt;&gt;""),ErrorMsgs!$D519)</f>
        <v>0</v>
      </c>
      <c r="N519" s="712" t="b">
        <f ca="1">IF(AND('Start here'!$C$26=RefData!$B$10,'Covenant summary information'!$C$10=RefData!$B$119,'Employer CF and liquid assets'!$D$7&lt;4,'Reconciliation report'!$E519&lt;&gt;""),ErrorMsgs!$E519)</f>
        <v>0</v>
      </c>
      <c r="O519" s="712" t="b">
        <f ca="1">IF(AND('Start here'!$C$26=RefData!$B$10,'Covenant summary information'!$C$10=RefData!$B$119,'Employer CF and liquid assets'!$D$7&gt;=4,'Reconciliation report'!$E519=""),ErrorMsgs!$F519)</f>
        <v>0</v>
      </c>
      <c r="P519" s="712" t="b">
        <f ca="1">IF(LEN($E519)&gt;510,ErrorMsgs!$G519)</f>
        <v>0</v>
      </c>
      <c r="Q519" s="712"/>
      <c r="R519" s="712"/>
      <c r="S519" s="712"/>
      <c r="T519" s="712"/>
      <c r="U519" s="526" t="str">
        <f t="shared" ca="1" si="74"/>
        <v/>
      </c>
      <c r="V519" s="93" t="str" cm="1">
        <f t="array" aca="1" ref="V519" ca="1">CELL("format",INDIRECT(I519))</f>
        <v>G</v>
      </c>
      <c r="W519" s="93" t="b">
        <f t="shared" ca="1" si="75"/>
        <v>0</v>
      </c>
      <c r="X519" s="715" t="str">
        <f t="shared" ca="1" si="73"/>
        <v/>
      </c>
      <c r="Y519" t="b">
        <f t="shared" ca="1" si="76"/>
        <v>1</v>
      </c>
    </row>
    <row r="520" spans="1:25" ht="38.75" customHeight="1">
      <c r="A520" s="705" t="s">
        <v>680</v>
      </c>
      <c r="B520" s="716" t="str">
        <f t="shared" ca="1" si="69"/>
        <v>Employer CF and liquid assets - D51</v>
      </c>
      <c r="C520" s="707" t="str" cm="1">
        <f t="array" aca="1" ref="C520" ca="1">INDIRECT(LEFT(I520, FIND("!", I520)) &amp; RefData!$C$426 &amp; RIGHT(I520, LEN(I520) - FIND("!", I520) - 1))</f>
        <v xml:space="preserve">
No answer required
Companies House number (if applicable)
</v>
      </c>
      <c r="D520" s="92" t="str">
        <f t="shared" ca="1" si="72"/>
        <v/>
      </c>
      <c r="E520" s="708" t="str" cm="1">
        <f t="array" aca="1" ref="E520" ca="1">IF(INDIRECT($I520)= "", "", INDIRECT($I520))</f>
        <v/>
      </c>
      <c r="F520" s="709" t="str" cm="1">
        <f t="array" aca="1" ref="F520" ca="1">INDIRECT(LEFT(I520, FIND("!", I520)) &amp; RefData!$C$427 &amp; RIGHT(I520, LEN(I520) - FIND("!", I520) - 1))</f>
        <v>ECI 2.0/4</v>
      </c>
      <c r="G520" s="710" t="b">
        <f ca="1">IF(ISNUMBER(SEARCH(RefData!$B$2, $C520)), FALSE, TRUE)</f>
        <v>0</v>
      </c>
      <c r="H520" s="113">
        <f>'Employer CF and liquid assets'!D51</f>
        <v>0</v>
      </c>
      <c r="I520" s="712" t="str">
        <f t="shared" ca="1" si="71"/>
        <v>'Employer CF and liquid assets'!D51</v>
      </c>
      <c r="J520" s="92" t="b" cm="1">
        <f t="array" aca="1" ref="J520" ca="1">IF(
    ISNUMBER(SEARCH(RefData!$B$2, $C$488)),
    IF(
        $E520 &lt;&gt; "",
        $J$488,
        IF(
            $E520 = "",
            FALSE
        )
    ),
    IF(
        COUNTIF($K520:$T520, "&lt;&gt;FALSE") - COUNTBLANK($K520:$T520) &gt; 0,
        INDEX($K520:$T520, MATCH(TRUE, $K520:$T520 &lt;&gt; FALSE, 0))
    )
)</f>
        <v>0</v>
      </c>
      <c r="K520" s="712" t="b">
        <f ca="1">IF(AND('Start here'!$C$26=RefData!$B$10,'Covenant summary information'!$C$10=RefData!$B$118,'Reconciliation report'!$E520&lt;&gt;""),ErrorMsgs!$C520)</f>
        <v>0</v>
      </c>
      <c r="L520" s="712" t="b">
        <f ca="1">IF(AND('Start here'!$C$26=RefData!$B$10,'Covenant summary information'!$C$10=RefData!$B$119,'Employer CF and liquid assets'!$D$7=0,'Reconciliation report'!$E520&lt;&gt;""),ErrorMsgs!$D520)</f>
        <v>0</v>
      </c>
      <c r="M520" s="714" t="b">
        <f ca="1">IF(AND('Start here'!$C$26=RefData!$B$10,'Covenant summary information'!$C$10=RefData!$B$119,'Employer CF and liquid assets'!$D$7&lt;4,'Reconciliation report'!$E520&lt;&gt;""),ErrorMsgs!$E520)</f>
        <v>0</v>
      </c>
      <c r="N520" s="712" t="b">
        <f ca="1">IF(
  AND(
    'Employer CF and liquid assets'!$D$7 &gt;= 4,
    OR(
      AND(TRIM($E520) &lt;&gt; "", TRIM($D521) &lt;&gt; ""),
      AND(TRIM($E520) &lt;&gt; "", TRIM($D521) = "", TRIM($E521) = "")
    ),
    OR(
      ISNUMBER(FIND(" ", $E520)),
      NOT(
        OR(
          AND(LEN($E520)=8, ISNUMBER(VALUE($E520))),
          AND(LEN($E520)=8, ISNUMBER(VALUE(RIGHT($E520,6))), ISNUMBER(FIND(LEFT(UPPER($E520),1),"ABCDEFGHIJKLMNOPQRSTUVWXYZ")), ISNUMBER(FIND(MID(UPPER($E520),2,1),"ABCDEFGHIJKLMNOPQRSTUVWXYZ"))),
          AND(LEN($E520)=8, ISNUMBER(VALUE(RIGHT($E520,7))), ISNUMBER(FIND(LEFT(UPPER($E520),1),"ABCDEFGHIJKLMNOPQRSTUVWXYZ"))),
          AND(LEN($E520)=8, ISNUMBER(VALUE(MID($E520,3,5))), ISNUMBER(FIND(LEFT(UPPER($E520),1),"ABCDEFGHIJKLMNOPQRSTUVWXYZ")), ISNUMBER(FIND(MID(UPPER($E520),2,1),"ABCDEFGHIJKLMNOPQRSTUVWXYZ")), ISNUMBER(FIND(RIGHT(UPPER($E520),1),"ABCDEFGHIJKLMNOPQRSTUVWXYZ"))),
          AND(LEN($E520)=8, ISNUMBER(VALUE(MID($E520,3,4))), ISNUMBER(FIND(LEFT(UPPER($E520),1),"ABCDEFGHIJKLMNOPQRSTUVWXYZ")), ISNUMBER(FIND(MID(UPPER($E520),2,1),"ABCDEFGHIJKLMNOPQRSTUVWXYZ")), ISNUMBER(FIND(MID(UPPER($E520),7,1),"ABCDEFGHIJKLMNOPQRSTUVWXYZ")), ISNUMBER(FIND(RIGHT(UPPER($E520),1),"ABCDEFGHIJKLMNOPQRSTUVWXYZ")))
        )
      )
    )
  ),
  ErrorMsgs!F520
)</f>
        <v>0</v>
      </c>
      <c r="O520" s="712"/>
      <c r="P520" s="712"/>
      <c r="Q520" s="712"/>
      <c r="R520" s="712"/>
      <c r="S520" s="712"/>
      <c r="T520" s="712"/>
      <c r="U520" s="526" t="str">
        <f t="shared" ca="1" si="74"/>
        <v/>
      </c>
      <c r="V520" s="93" t="str" cm="1">
        <f t="array" aca="1" ref="V520" ca="1">CELL("format",INDIRECT(I520))</f>
        <v>G</v>
      </c>
      <c r="W520" s="93" t="b">
        <f t="shared" ca="1" si="75"/>
        <v>0</v>
      </c>
      <c r="X520" s="715" t="str">
        <f t="shared" ca="1" si="73"/>
        <v/>
      </c>
      <c r="Y520" t="b">
        <f t="shared" ca="1" si="76"/>
        <v>1</v>
      </c>
    </row>
    <row r="521" spans="1:25" ht="77.5">
      <c r="A521" s="705" t="s">
        <v>682</v>
      </c>
      <c r="B521" s="716" t="str">
        <f t="shared" ca="1" si="69"/>
        <v>Employer CF and liquid assets - D52</v>
      </c>
      <c r="C521" s="707" t="str" cm="1">
        <f t="array" aca="1" ref="C521" ca="1">INDIRECT(LEFT(I521, FIND("!", I521)) &amp; RefData!$C$426 &amp; RIGHT(I521, LEN(I521) - FIND("!", I521) - 1))</f>
        <v xml:space="preserve">
No answer required
Charity number (if applicable)
</v>
      </c>
      <c r="D521" s="92" t="str">
        <f t="shared" ca="1" si="72"/>
        <v/>
      </c>
      <c r="E521" s="708" t="str" cm="1">
        <f t="array" aca="1" ref="E521" ca="1">IF(INDIRECT($I521)= "", "", INDIRECT($I521))</f>
        <v/>
      </c>
      <c r="F521" s="709" t="str" cm="1">
        <f t="array" aca="1" ref="F521" ca="1">INDIRECT(LEFT(I521, FIND("!", I521)) &amp; RefData!$C$427 &amp; RIGHT(I521, LEN(I521) - FIND("!", I521) - 1))</f>
        <v>ECI 3.0/4</v>
      </c>
      <c r="G521" s="710" t="b">
        <f ca="1">IF(ISNUMBER(SEARCH(RefData!$B$2, $C521)), FALSE, TRUE)</f>
        <v>0</v>
      </c>
      <c r="H521" s="113">
        <f>'Employer CF and liquid assets'!D52</f>
        <v>0</v>
      </c>
      <c r="I521" s="712" t="str">
        <f t="shared" ca="1" si="71"/>
        <v>'Employer CF and liquid assets'!D52</v>
      </c>
      <c r="J521" s="92" t="b" cm="1">
        <f t="array" aca="1" ref="J521" ca="1">IF(
    ISNUMBER(SEARCH(RefData!$B$2, $C$488)),
    IF(
        $E521 &lt;&gt; "",
        $J$488,
        IF(
            $E521 = "",
            FALSE
        )
    ),
    IF(
        COUNTIF($K521:$T521, "&lt;&gt;FALSE") - COUNTBLANK($K521:$T521) &gt; 0,
        INDEX($K521:$T521, MATCH(TRUE, $K521:$T521 &lt;&gt; FALSE, 0))
    )
)</f>
        <v>0</v>
      </c>
      <c r="K521" s="712" t="b">
        <f ca="1">IF(AND('Start here'!$C$26=RefData!$B$10,'Covenant summary information'!$C$10=RefData!$B$118,'Reconciliation report'!$E521&lt;&gt;""),ErrorMsgs!$C521)</f>
        <v>0</v>
      </c>
      <c r="L521" s="712" t="b">
        <f ca="1">IF(AND('Start here'!$C$26=RefData!$B$10,'Covenant summary information'!$C$10=RefData!$B$119,'Employer CF and liquid assets'!$D$7=0,'Reconciliation report'!$E521&lt;&gt;""),ErrorMsgs!$D521)</f>
        <v>0</v>
      </c>
      <c r="M521" s="714" t="b">
        <f ca="1">IF(AND('Start here'!$C$26=RefData!$B$10,'Covenant summary information'!$C$10=RefData!$B$119,'Employer CF and liquid assets'!$D$7&lt;4,'Reconciliation report'!$E521&lt;&gt;""),ErrorMsgs!$E521)</f>
        <v>0</v>
      </c>
      <c r="N521" s="714" t="b">
        <f ca="1">IF(AND('Start here'!$C$26=RefData!$B$10,'Covenant summary information'!$C$10=RefData!$B$119,'Employer CF and liquid assets'!$D$7&gt;=4,TRIM('Employer CF and liquid assets'!$D51)&lt;&gt;"",'Reconciliation report'!$E521&lt;&gt;""),ErrorMsgs!$F521)</f>
        <v>0</v>
      </c>
      <c r="O521" s="712" t="b">
        <f ca="1">IF($E521="",FALSE,IF(OR(LEN($E521)&lt;6,LEN($E521)&gt;8),ErrorMsgs!$G521))</f>
        <v>0</v>
      </c>
      <c r="P521" s="712"/>
      <c r="Q521" s="712"/>
      <c r="R521" s="712"/>
      <c r="S521" s="712"/>
      <c r="T521" s="712"/>
      <c r="U521" s="526" t="str">
        <f t="shared" ca="1" si="74"/>
        <v/>
      </c>
      <c r="V521" s="93" t="str" cm="1">
        <f t="array" aca="1" ref="V521" ca="1">CELL("format",INDIRECT(I521))</f>
        <v>G</v>
      </c>
      <c r="W521" s="93" t="b">
        <f t="shared" ca="1" si="75"/>
        <v>0</v>
      </c>
      <c r="X521" s="715" t="str">
        <f t="shared" ca="1" si="73"/>
        <v/>
      </c>
      <c r="Y521" t="b">
        <f t="shared" ca="1" si="76"/>
        <v>1</v>
      </c>
    </row>
    <row r="522" spans="1:25" ht="77.5">
      <c r="A522" s="705" t="s">
        <v>684</v>
      </c>
      <c r="B522" s="716" t="str">
        <f t="shared" ca="1" si="69"/>
        <v>Employer CF and liquid assets - D53</v>
      </c>
      <c r="C522" s="707" t="str" cm="1">
        <f t="array" aca="1" ref="C522" ca="1">INDIRECT(LEFT(I522, FIND("!", I522)) &amp; RefData!$C$426 &amp; RIGHT(I522, LEN(I522) - FIND("!", I522) - 1))</f>
        <v xml:space="preserve">
No answer required
Trading name
</v>
      </c>
      <c r="D522" s="92" t="str">
        <f t="shared" ca="1" si="72"/>
        <v/>
      </c>
      <c r="E522" s="708" t="str" cm="1">
        <f t="array" aca="1" ref="E522" ca="1">IF(INDIRECT($I522)= "", "", INDIRECT($I522))</f>
        <v/>
      </c>
      <c r="F522" s="709" t="str" cm="1">
        <f t="array" aca="1" ref="F522" ca="1">INDIRECT(LEFT(I522, FIND("!", I522)) &amp; RefData!$C$427 &amp; RIGHT(I522, LEN(I522) - FIND("!", I522) - 1))</f>
        <v>ECI 4.0/4</v>
      </c>
      <c r="G522" s="710" t="b">
        <f ca="1">IF(ISNUMBER(SEARCH(RefData!$B$2, $C522)), FALSE, TRUE)</f>
        <v>0</v>
      </c>
      <c r="H522" s="113">
        <f>'Employer CF and liquid assets'!D53</f>
        <v>0</v>
      </c>
      <c r="I522" s="712" t="str">
        <f t="shared" ca="1" si="71"/>
        <v>'Employer CF and liquid assets'!D53</v>
      </c>
      <c r="J522" s="92" t="b" cm="1">
        <f t="array" aca="1" ref="J522" ca="1">IF(
    ISNUMBER(SEARCH(RefData!$B$2, $C$488)),
    IF(
        $E522 &lt;&gt; "",
        $J$488,
        IF(
            $E522 = "",
            FALSE
        )
    ),
    IF(
        COUNTIF($K522:$T522, "&lt;&gt;FALSE") - COUNTBLANK($K522:$T522) &gt; 0,
        INDEX($K522:$T522, MATCH(TRUE, $K522:$T522 &lt;&gt; FALSE, 0))
    )
)</f>
        <v>0</v>
      </c>
      <c r="K522" s="712" t="b">
        <f ca="1">IF(AND('Start here'!$C$26=RefData!$B$10,'Covenant summary information'!$C$10=RefData!$B$118,'Reconciliation report'!$E522&lt;&gt;""),ErrorMsgs!$C522)</f>
        <v>0</v>
      </c>
      <c r="L522" s="712" t="b">
        <f ca="1">IF(AND('Start here'!$C$26=RefData!$B$10,'Covenant summary information'!$C$10=RefData!$B$119,'Employer CF and liquid assets'!$D$7=0,'Reconciliation report'!$E522&lt;&gt;""),ErrorMsgs!$D522)</f>
        <v>0</v>
      </c>
      <c r="M522" s="714" t="b">
        <f ca="1">IF(AND('Start here'!$C$26=RefData!$B$10,'Covenant summary information'!$C$10=RefData!$B$119,'Employer CF and liquid assets'!$D$7&lt;4,'Reconciliation report'!$E522&lt;&gt;""),ErrorMsgs!$E522)</f>
        <v>0</v>
      </c>
      <c r="N522" s="714" t="b">
        <f ca="1">IF(AND('Start here'!$C$26=RefData!$B$10,'Covenant summary information'!$C$10=RefData!$B$119,'Employer CF and liquid assets'!$D$7&gt;=4,TRIM('Employer CF and liquid assets'!$D51)&lt;&gt;"",'Reconciliation report'!$E522&lt;&gt;""),ErrorMsgs!$F522)</f>
        <v>0</v>
      </c>
      <c r="O522" s="712" t="b">
        <f ca="1">IF(AND('Start here'!$C$26=RefData!$B$10,'Covenant summary information'!$C$10=RefData!$B$119,'Employer CF and liquid assets'!$D$7&gt;=4,'Employer CF and liquid assets'!$D52&lt;&gt;"",'Reconciliation report'!$E522&lt;&gt;""),ErrorMsgs!$G522)</f>
        <v>0</v>
      </c>
      <c r="P522" s="712" t="b">
        <f ca="1">IF(AND('Start here'!$C$26=RefData!$B$10,'Covenant summary information'!$C$10=RefData!$B$119,'Employer CF and liquid assets'!$D$7&gt;=4,AND(TRIM('Employer CF and liquid assets'!$D51)="",'Employer CF and liquid assets'!$D52=""),'Reconciliation report'!$E522=""),ErrorMsgs!$H522)</f>
        <v>0</v>
      </c>
      <c r="Q522" s="712" t="b">
        <f ca="1">IF(LEN($E522)&gt;510,ErrorMsgs!$I522)</f>
        <v>0</v>
      </c>
      <c r="R522" s="712"/>
      <c r="S522" s="712"/>
      <c r="T522" s="712"/>
      <c r="U522" s="526" t="str">
        <f t="shared" ca="1" si="74"/>
        <v/>
      </c>
      <c r="V522" s="93" t="str" cm="1">
        <f t="array" aca="1" ref="V522" ca="1">CELL("format",INDIRECT(I522))</f>
        <v>G</v>
      </c>
      <c r="W522" s="93" t="b">
        <f t="shared" ca="1" si="75"/>
        <v>0</v>
      </c>
      <c r="X522" s="715" t="str">
        <f t="shared" ca="1" si="73"/>
        <v/>
      </c>
      <c r="Y522" t="b">
        <f t="shared" ca="1" si="76"/>
        <v>1</v>
      </c>
    </row>
    <row r="523" spans="1:25" ht="77.5">
      <c r="A523" s="705" t="s">
        <v>686</v>
      </c>
      <c r="B523" s="716" t="str">
        <f t="shared" ca="1" si="69"/>
        <v>Employer CF and liquid assets - D54</v>
      </c>
      <c r="C523" s="707" t="str" cm="1">
        <f t="array" aca="1" ref="C523" ca="1">INDIRECT(LEFT(I523, FIND("!", I523)) &amp; RefData!$C$426 &amp; RIGHT(I523, LEN(I523) - FIND("!", I523) - 1))</f>
        <v xml:space="preserve">
No answer required
Address line 1
</v>
      </c>
      <c r="D523" s="92" t="str">
        <f t="shared" ca="1" si="72"/>
        <v/>
      </c>
      <c r="E523" s="708" t="str" cm="1">
        <f t="array" aca="1" ref="E523" ca="1">IF(INDIRECT($I523)= "", "", INDIRECT($I523))</f>
        <v/>
      </c>
      <c r="F523" s="709" t="str" cm="1">
        <f t="array" aca="1" ref="F523" ca="1">INDIRECT(LEFT(I523, FIND("!", I523)) &amp; RefData!$C$427 &amp; RIGHT(I523, LEN(I523) - FIND("!", I523) - 1))</f>
        <v>ECI 5.0/4</v>
      </c>
      <c r="G523" s="710" t="b">
        <f ca="1">IF(ISNUMBER(SEARCH(RefData!$B$2, $C523)), FALSE, TRUE)</f>
        <v>0</v>
      </c>
      <c r="H523" s="113">
        <f>'Employer CF and liquid assets'!D54</f>
        <v>0</v>
      </c>
      <c r="I523" s="712" t="str">
        <f t="shared" ca="1" si="71"/>
        <v>'Employer CF and liquid assets'!D54</v>
      </c>
      <c r="J523" s="92" t="b" cm="1">
        <f t="array" aca="1" ref="J523" ca="1">IF(
    ISNUMBER(SEARCH(RefData!$B$2, $C$488)),
    IF(
        $E523 &lt;&gt; "",
        $J$488,
        IF(
            $E523 = "",
            FALSE
        )
    ),
    IF(
        COUNTIF($K523:$T523, "&lt;&gt;FALSE") - COUNTBLANK($K523:$T523) &gt; 0,
        INDEX($K523:$T523, MATCH(TRUE, $K523:$T523 &lt;&gt; FALSE, 0))
    )
)</f>
        <v>0</v>
      </c>
      <c r="K523" s="712" t="b">
        <f ca="1">IF(AND('Start here'!$C$26=RefData!$B$10,'Covenant summary information'!$C$10=RefData!$B$118,'Reconciliation report'!$E523&lt;&gt;""),ErrorMsgs!$C523)</f>
        <v>0</v>
      </c>
      <c r="L523" s="712" t="b">
        <f ca="1">IF(AND('Start here'!$C$26=RefData!$B$10,'Covenant summary information'!$C$10=RefData!$B$119,'Employer CF and liquid assets'!$D$7=0,'Reconciliation report'!$E523&lt;&gt;""),ErrorMsgs!$D523)</f>
        <v>0</v>
      </c>
      <c r="M523" s="714" t="b">
        <f ca="1">IF(AND('Start here'!$C$26=RefData!$B$10,'Covenant summary information'!$C$10=RefData!$B$119,'Employer CF and liquid assets'!$D$7&lt;4,'Reconciliation report'!$E523&lt;&gt;""),ErrorMsgs!$E523)</f>
        <v>0</v>
      </c>
      <c r="N523" s="714" t="b">
        <f ca="1">IF(AND('Start here'!$C$26=RefData!$B$10,'Covenant summary information'!$C$10=RefData!$B$119,'Employer CF and liquid assets'!$D$7&gt;=4,TRIM('Employer CF and liquid assets'!$D51)&lt;&gt;"",'Reconciliation report'!$E523&lt;&gt;""),ErrorMsgs!$F523)</f>
        <v>0</v>
      </c>
      <c r="O523" s="712" t="b">
        <f ca="1">IF(AND('Start here'!$C$26=RefData!$B$10,'Covenant summary information'!$C$10=RefData!$B$119,'Employer CF and liquid assets'!$D$7&gt;=4,'Employer CF and liquid assets'!$D52&lt;&gt;"",'Reconciliation report'!$E523&lt;&gt;""),ErrorMsgs!$G523)</f>
        <v>0</v>
      </c>
      <c r="P523" s="712" t="b">
        <f ca="1">IF(AND('Start here'!$C$26=RefData!$B$10,'Covenant summary information'!$C$10=RefData!$B$119,'Employer CF and liquid assets'!$D$7&gt;=4,AND(TRIM('Employer CF and liquid assets'!$D51)="",'Employer CF and liquid assets'!$D52=""),'Reconciliation report'!$E523=""),ErrorMsgs!$H523)</f>
        <v>0</v>
      </c>
      <c r="Q523" s="712" t="b">
        <f ca="1">IF(LEN($E523)&gt;510,ErrorMsgs!$I523)</f>
        <v>0</v>
      </c>
      <c r="R523" s="712"/>
      <c r="S523" s="712"/>
      <c r="T523" s="712"/>
      <c r="U523" s="526" t="str">
        <f t="shared" ca="1" si="74"/>
        <v/>
      </c>
      <c r="V523" s="93" t="str" cm="1">
        <f t="array" aca="1" ref="V523" ca="1">CELL("format",INDIRECT(I523))</f>
        <v>G</v>
      </c>
      <c r="W523" s="93" t="b">
        <f t="shared" ca="1" si="75"/>
        <v>0</v>
      </c>
      <c r="X523" s="715" t="str">
        <f t="shared" ca="1" si="73"/>
        <v/>
      </c>
      <c r="Y523" t="b">
        <f t="shared" ca="1" si="76"/>
        <v>1</v>
      </c>
    </row>
    <row r="524" spans="1:25" ht="77.5">
      <c r="A524" s="705" t="s">
        <v>688</v>
      </c>
      <c r="B524" s="716" t="str">
        <f t="shared" ca="1" si="69"/>
        <v>Employer CF and liquid assets - D55</v>
      </c>
      <c r="C524" s="707" t="str" cm="1">
        <f t="array" aca="1" ref="C524" ca="1">INDIRECT(LEFT(I524, FIND("!", I524)) &amp; RefData!$C$426 &amp; RIGHT(I524, LEN(I524) - FIND("!", I524) - 1))</f>
        <v xml:space="preserve">
No answer required
Address line 2 (optional)
</v>
      </c>
      <c r="D524" s="92" t="str">
        <f t="shared" ca="1" si="72"/>
        <v/>
      </c>
      <c r="E524" s="708" t="str" cm="1">
        <f t="array" aca="1" ref="E524" ca="1">IF(INDIRECT($I524)= "", "", INDIRECT($I524))</f>
        <v/>
      </c>
      <c r="F524" s="709" t="str" cm="1">
        <f t="array" aca="1" ref="F524" ca="1">INDIRECT(LEFT(I524, FIND("!", I524)) &amp; RefData!$C$427 &amp; RIGHT(I524, LEN(I524) - FIND("!", I524) - 1))</f>
        <v>ECI 6.0/4</v>
      </c>
      <c r="G524" s="710" t="b">
        <f ca="1">IF(ISNUMBER(SEARCH(RefData!$B$2, $C524)), FALSE, TRUE)</f>
        <v>0</v>
      </c>
      <c r="H524" s="113">
        <f>'Employer CF and liquid assets'!D55</f>
        <v>0</v>
      </c>
      <c r="I524" s="712" t="str">
        <f t="shared" ca="1" si="71"/>
        <v>'Employer CF and liquid assets'!D55</v>
      </c>
      <c r="J524" s="92" t="b" cm="1">
        <f t="array" aca="1" ref="J524" ca="1">IF(
    ISNUMBER(SEARCH(RefData!$B$2, $C$488)),
    IF(
        $E524 &lt;&gt; "",
        $J$488,
        IF(
            $E524 = "",
            FALSE
        )
    ),
    IF(
        COUNTIF($K524:$T524, "&lt;&gt;FALSE") - COUNTBLANK($K524:$T524) &gt; 0,
        INDEX($K524:$T524, MATCH(TRUE, $K524:$T524 &lt;&gt; FALSE, 0))
    )
)</f>
        <v>0</v>
      </c>
      <c r="K524" s="712" t="b">
        <f ca="1">IF(AND('Start here'!$C$26=RefData!$B$10,'Covenant summary information'!$C$10=RefData!$B$118,'Reconciliation report'!$E524&lt;&gt;""),ErrorMsgs!$C524)</f>
        <v>0</v>
      </c>
      <c r="L524" s="712" t="b">
        <f ca="1">IF(AND('Start here'!$C$26=RefData!$B$10,'Covenant summary information'!$C$10=RefData!$B$119,'Employer CF and liquid assets'!$D$7=0,'Reconciliation report'!$E524&lt;&gt;""),ErrorMsgs!$D524)</f>
        <v>0</v>
      </c>
      <c r="M524" s="714" t="b">
        <f ca="1">IF(AND('Start here'!$C$26=RefData!$B$10,'Covenant summary information'!$C$10=RefData!$B$119,'Employer CF and liquid assets'!$D$7&lt;4,'Reconciliation report'!$E524&lt;&gt;""),ErrorMsgs!$E524)</f>
        <v>0</v>
      </c>
      <c r="N524" s="714" t="b">
        <f ca="1">IF(AND('Start here'!$C$26=RefData!$B$10,'Covenant summary information'!$C$10=RefData!$B$119,'Employer CF and liquid assets'!$D$7&gt;=4,TRIM('Employer CF and liquid assets'!$D51)&lt;&gt;"",'Reconciliation report'!$E524&lt;&gt;""),ErrorMsgs!$F524)</f>
        <v>0</v>
      </c>
      <c r="O524" s="712" t="b">
        <f ca="1">IF(AND('Start here'!$C$26=RefData!$B$10,'Covenant summary information'!$C$10=RefData!$B$119,'Employer CF and liquid assets'!$D$7&gt;=4,'Employer CF and liquid assets'!$D52&lt;&gt;"",'Reconciliation report'!$E524&lt;&gt;""),ErrorMsgs!$G524)</f>
        <v>0</v>
      </c>
      <c r="P524" s="712" t="b">
        <f ca="1">IF(LEN($E524)&gt;510,ErrorMsgs!$H524)</f>
        <v>0</v>
      </c>
      <c r="Q524" s="737"/>
      <c r="R524" s="737"/>
      <c r="S524" s="737"/>
      <c r="T524" s="737"/>
      <c r="U524" s="526" t="str">
        <f t="shared" ca="1" si="74"/>
        <v/>
      </c>
      <c r="V524" s="93" t="str" cm="1">
        <f t="array" aca="1" ref="V524" ca="1">CELL("format",INDIRECT(I524))</f>
        <v>G</v>
      </c>
      <c r="W524" s="93" t="b">
        <f t="shared" ca="1" si="75"/>
        <v>0</v>
      </c>
      <c r="X524" s="715" t="str">
        <f t="shared" ca="1" si="73"/>
        <v/>
      </c>
      <c r="Y524" t="b">
        <f t="shared" ca="1" si="76"/>
        <v>1</v>
      </c>
    </row>
    <row r="525" spans="1:25" ht="77.5">
      <c r="A525" s="705" t="s">
        <v>690</v>
      </c>
      <c r="B525" s="716" t="str">
        <f t="shared" ca="1" si="69"/>
        <v>Employer CF and liquid assets - D56</v>
      </c>
      <c r="C525" s="707" t="str" cm="1">
        <f t="array" aca="1" ref="C525" ca="1">INDIRECT(LEFT(I525, FIND("!", I525)) &amp; RefData!$C$426 &amp; RIGHT(I525, LEN(I525) - FIND("!", I525) - 1))</f>
        <v xml:space="preserve">
No answer required
Address line 3 (optional)
</v>
      </c>
      <c r="D525" s="92" t="str">
        <f t="shared" ca="1" si="72"/>
        <v/>
      </c>
      <c r="E525" s="708" t="str" cm="1">
        <f t="array" aca="1" ref="E525" ca="1">IF(INDIRECT($I525)= "", "", INDIRECT($I525))</f>
        <v/>
      </c>
      <c r="F525" s="709" t="str" cm="1">
        <f t="array" aca="1" ref="F525" ca="1">INDIRECT(LEFT(I525, FIND("!", I525)) &amp; RefData!$C$427 &amp; RIGHT(I525, LEN(I525) - FIND("!", I525) - 1))</f>
        <v>ECI 7.0/4</v>
      </c>
      <c r="G525" s="710" t="b">
        <f ca="1">IF(ISNUMBER(SEARCH(RefData!$B$2, $C525)), FALSE, TRUE)</f>
        <v>0</v>
      </c>
      <c r="H525" s="113">
        <f>'Employer CF and liquid assets'!D56</f>
        <v>0</v>
      </c>
      <c r="I525" s="712" t="str">
        <f t="shared" ca="1" si="71"/>
        <v>'Employer CF and liquid assets'!D56</v>
      </c>
      <c r="J525" s="92" t="b" cm="1">
        <f t="array" aca="1" ref="J525" ca="1">IF(
    ISNUMBER(SEARCH(RefData!$B$2, $C$488)),
    IF(
        $E525 &lt;&gt; "",
        $J$488,
        IF(
            $E525 = "",
            FALSE
        )
    ),
    IF(
        COUNTIF($K525:$T525, "&lt;&gt;FALSE") - COUNTBLANK($K525:$T525) &gt; 0,
        INDEX($K525:$T525, MATCH(TRUE, $K525:$T525 &lt;&gt; FALSE, 0))
    )
)</f>
        <v>0</v>
      </c>
      <c r="K525" s="712" t="b">
        <f ca="1">IF(AND('Start here'!$C$26=RefData!$B$10,'Covenant summary information'!$C$10=RefData!$B$118,'Reconciliation report'!$E525&lt;&gt;""),ErrorMsgs!$C525)</f>
        <v>0</v>
      </c>
      <c r="L525" s="712" t="b">
        <f ca="1">IF(AND('Start here'!$C$26=RefData!$B$10,'Covenant summary information'!$C$10=RefData!$B$119,'Employer CF and liquid assets'!$D$7=0,'Reconciliation report'!$E525&lt;&gt;""),ErrorMsgs!$D525)</f>
        <v>0</v>
      </c>
      <c r="M525" s="714" t="b">
        <f ca="1">IF(AND('Start here'!$C$26=RefData!$B$10,'Covenant summary information'!$C$10=RefData!$B$119,'Employer CF and liquid assets'!$D$7&lt;4,'Reconciliation report'!$E525&lt;&gt;""),ErrorMsgs!$E525)</f>
        <v>0</v>
      </c>
      <c r="N525" s="714" t="b">
        <f ca="1">IF(AND('Start here'!$C$26=RefData!$B$10,'Covenant summary information'!$C$10=RefData!$B$119,'Employer CF and liquid assets'!$D$7&gt;=4,TRIM('Employer CF and liquid assets'!$D51)&lt;&gt;"",'Reconciliation report'!$E525&lt;&gt;""),ErrorMsgs!$F525)</f>
        <v>0</v>
      </c>
      <c r="O525" s="712" t="b">
        <f ca="1">IF(AND('Start here'!$C$26=RefData!$B$10,'Covenant summary information'!$C$10=RefData!$B$119,'Employer CF and liquid assets'!$D$7&gt;=4,'Employer CF and liquid assets'!$D52&lt;&gt;"",'Reconciliation report'!$E525&lt;&gt;""),ErrorMsgs!$G525)</f>
        <v>0</v>
      </c>
      <c r="P525" s="712" t="b">
        <f ca="1">IF(LEN($E525)&gt;510,ErrorMsgs!$H525)</f>
        <v>0</v>
      </c>
      <c r="Q525" s="737"/>
      <c r="R525" s="737"/>
      <c r="S525" s="737"/>
      <c r="T525" s="737"/>
      <c r="U525" s="526" t="str">
        <f t="shared" ca="1" si="74"/>
        <v/>
      </c>
      <c r="V525" s="93" t="str" cm="1">
        <f t="array" aca="1" ref="V525" ca="1">CELL("format",INDIRECT(I525))</f>
        <v>G</v>
      </c>
      <c r="W525" s="93" t="b">
        <f t="shared" ca="1" si="75"/>
        <v>0</v>
      </c>
      <c r="X525" s="715" t="str">
        <f t="shared" ca="1" si="73"/>
        <v/>
      </c>
      <c r="Y525" t="b">
        <f t="shared" ca="1" si="76"/>
        <v>1</v>
      </c>
    </row>
    <row r="526" spans="1:25" ht="77.5">
      <c r="A526" s="705" t="s">
        <v>692</v>
      </c>
      <c r="B526" s="716" t="str">
        <f t="shared" ca="1" si="69"/>
        <v>Employer CF and liquid assets - D57</v>
      </c>
      <c r="C526" s="707" t="str" cm="1">
        <f t="array" aca="1" ref="C526" ca="1">INDIRECT(LEFT(I526, FIND("!", I526)) &amp; RefData!$C$426 &amp; RIGHT(I526, LEN(I526) - FIND("!", I526) - 1))</f>
        <v xml:space="preserve">
No answer required
Post town or city
</v>
      </c>
      <c r="D526" s="92" t="str">
        <f t="shared" ca="1" si="72"/>
        <v/>
      </c>
      <c r="E526" s="708" t="str" cm="1">
        <f t="array" aca="1" ref="E526" ca="1">IF(INDIRECT($I526)= "", "", INDIRECT($I526))</f>
        <v/>
      </c>
      <c r="F526" s="709" t="str" cm="1">
        <f t="array" aca="1" ref="F526" ca="1">INDIRECT(LEFT(I526, FIND("!", I526)) &amp; RefData!$C$427 &amp; RIGHT(I526, LEN(I526) - FIND("!", I526) - 1))</f>
        <v>ECI 8.0/4</v>
      </c>
      <c r="G526" s="710" t="b">
        <f ca="1">IF(ISNUMBER(SEARCH(RefData!$B$2, $C526)), FALSE, TRUE)</f>
        <v>0</v>
      </c>
      <c r="H526" s="113">
        <f>'Employer CF and liquid assets'!D57</f>
        <v>0</v>
      </c>
      <c r="I526" s="712" t="str">
        <f t="shared" ca="1" si="71"/>
        <v>'Employer CF and liquid assets'!D57</v>
      </c>
      <c r="J526" s="92" t="b" cm="1">
        <f t="array" aca="1" ref="J526" ca="1">IF(
    ISNUMBER(SEARCH(RefData!$B$2, $C$488)),
    IF(
        $E526 &lt;&gt; "",
        $J$488,
        IF(
            $E526 = "",
            FALSE
        )
    ),
    IF(
        COUNTIF($K526:$T526, "&lt;&gt;FALSE") - COUNTBLANK($K526:$T526) &gt; 0,
        INDEX($K526:$T526, MATCH(TRUE, $K526:$T526 &lt;&gt; FALSE, 0))
    )
)</f>
        <v>0</v>
      </c>
      <c r="K526" s="712" t="b">
        <f ca="1">IF(AND('Start here'!$C$26=RefData!$B$10,'Covenant summary information'!$C$10=RefData!$B$118,'Reconciliation report'!$E526&lt;&gt;""),ErrorMsgs!$C526)</f>
        <v>0</v>
      </c>
      <c r="L526" s="712" t="b">
        <f ca="1">IF(AND('Start here'!$C$26=RefData!$B$10,'Covenant summary information'!$C$10=RefData!$B$119,'Employer CF and liquid assets'!$D$7=0,'Reconciliation report'!$E526&lt;&gt;""),ErrorMsgs!$D526)</f>
        <v>0</v>
      </c>
      <c r="M526" s="714" t="b">
        <f ca="1">IF(AND('Start here'!$C$26=RefData!$B$10,'Covenant summary information'!$C$10=RefData!$B$119,'Employer CF and liquid assets'!$D$7&lt;4,'Reconciliation report'!$E526&lt;&gt;""),ErrorMsgs!$E526)</f>
        <v>0</v>
      </c>
      <c r="N526" s="714" t="b">
        <f ca="1">IF(AND('Start here'!$C$26=RefData!$B$10,'Covenant summary information'!$C$10=RefData!$B$119,'Employer CF and liquid assets'!$D$7&gt;=4,TRIM('Employer CF and liquid assets'!$D51)&lt;&gt;"",'Reconciliation report'!$E526&lt;&gt;""),ErrorMsgs!$F526)</f>
        <v>0</v>
      </c>
      <c r="O526" s="712" t="b">
        <f ca="1">IF(AND('Start here'!$C$26=RefData!$B$10,'Covenant summary information'!$C$10=RefData!$B$119,'Employer CF and liquid assets'!$D$7&gt;=4,'Employer CF and liquid assets'!$D52&lt;&gt;"",'Reconciliation report'!$E526&lt;&gt;""),ErrorMsgs!$G526)</f>
        <v>0</v>
      </c>
      <c r="P526" s="712" t="b">
        <f ca="1">IF(AND('Start here'!$C$26=RefData!$B$10,'Covenant summary information'!$C$10=RefData!$B$119,'Employer CF and liquid assets'!$D$7&gt;=4,AND(TRIM('Employer CF and liquid assets'!$D51)="",'Employer CF and liquid assets'!$D52=""),'Reconciliation report'!$E526=""),ErrorMsgs!$H526)</f>
        <v>0</v>
      </c>
      <c r="Q526" s="712" t="b">
        <f ca="1">IF(LEN($E526)&gt;510,ErrorMsgs!$I526)</f>
        <v>0</v>
      </c>
      <c r="R526" s="712"/>
      <c r="S526" s="712"/>
      <c r="T526" s="712"/>
      <c r="U526" s="526" t="str">
        <f t="shared" ca="1" si="74"/>
        <v/>
      </c>
      <c r="V526" s="93" t="str" cm="1">
        <f t="array" aca="1" ref="V526" ca="1">CELL("format",INDIRECT(I526))</f>
        <v>G</v>
      </c>
      <c r="W526" s="93" t="b">
        <f t="shared" ca="1" si="75"/>
        <v>0</v>
      </c>
      <c r="X526" s="715" t="str">
        <f t="shared" ca="1" si="73"/>
        <v/>
      </c>
      <c r="Y526" t="b">
        <f t="shared" ca="1" si="76"/>
        <v>1</v>
      </c>
    </row>
    <row r="527" spans="1:25" ht="77.5">
      <c r="A527" s="705" t="s">
        <v>694</v>
      </c>
      <c r="B527" s="716" t="str">
        <f t="shared" ca="1" si="69"/>
        <v>Employer CF and liquid assets - D58</v>
      </c>
      <c r="C527" s="707" t="str" cm="1">
        <f t="array" aca="1" ref="C527" ca="1">INDIRECT(LEFT(I527, FIND("!", I527)) &amp; RefData!$C$426 &amp; RIGHT(I527, LEN(I527) - FIND("!", I527) - 1))</f>
        <v xml:space="preserve">
No answer required
Country
</v>
      </c>
      <c r="D527" s="92" t="str">
        <f t="shared" ca="1" si="72"/>
        <v/>
      </c>
      <c r="E527" s="708" t="str" cm="1">
        <f t="array" aca="1" ref="E527" ca="1">IF(INDIRECT($I527)= "", "", INDIRECT($I527))</f>
        <v/>
      </c>
      <c r="F527" s="709" t="str" cm="1">
        <f t="array" aca="1" ref="F527" ca="1">INDIRECT(LEFT(I527, FIND("!", I527)) &amp; RefData!$C$427 &amp; RIGHT(I527, LEN(I527) - FIND("!", I527) - 1))</f>
        <v>ECI 9.0/4</v>
      </c>
      <c r="G527" s="710" t="b">
        <f ca="1">IF(ISNUMBER(SEARCH(RefData!$B$2, $C527)), FALSE, TRUE)</f>
        <v>0</v>
      </c>
      <c r="H527" s="113">
        <f>'Employer CF and liquid assets'!D58</f>
        <v>0</v>
      </c>
      <c r="I527" s="712" t="str">
        <f t="shared" ca="1" si="71"/>
        <v>'Employer CF and liquid assets'!D58</v>
      </c>
      <c r="J527" s="92" t="b" cm="1">
        <f t="array" aca="1" ref="J527" ca="1">IF(
    ISNUMBER(SEARCH(RefData!$B$2, $C$488)),
    IF(
        $E527 &lt;&gt; "",
        $J$488,
        IF(
            $E527 = "",
            FALSE
        )
    ),
    IF(
        COUNTIF($K527:$T527, "&lt;&gt;FALSE") - COUNTBLANK($K527:$T527) &gt; 0,
        INDEX($K527:$T527, MATCH(TRUE, $K527:$T527 &lt;&gt; FALSE, 0))
    )
)</f>
        <v>0</v>
      </c>
      <c r="K527" s="712" t="b">
        <f ca="1">IF(AND('Start here'!$C$26=RefData!$B$10,'Covenant summary information'!$C$10=RefData!$B$118,'Reconciliation report'!$E527&lt;&gt;""),ErrorMsgs!$C527)</f>
        <v>0</v>
      </c>
      <c r="L527" s="712" t="b">
        <f ca="1">IF(AND('Start here'!$C$26=RefData!$B$10,'Covenant summary information'!$C$10=RefData!$B$119,'Employer CF and liquid assets'!$D$7=0,'Reconciliation report'!$E527&lt;&gt;""),ErrorMsgs!$D527)</f>
        <v>0</v>
      </c>
      <c r="M527" s="714" t="b">
        <f ca="1">IF(AND('Start here'!$C$26=RefData!$B$10,'Covenant summary information'!$C$10=RefData!$B$119,'Employer CF and liquid assets'!$D$7&lt;4,'Reconciliation report'!$E527&lt;&gt;""),ErrorMsgs!$E527)</f>
        <v>0</v>
      </c>
      <c r="N527" s="714" t="b">
        <f ca="1">IF(AND('Start here'!$C$26=RefData!$B$10,'Covenant summary information'!$C$10=RefData!$B$119,'Employer CF and liquid assets'!$D$7&gt;=4,TRIM('Employer CF and liquid assets'!$D51)&lt;&gt;"",'Reconciliation report'!$E527&lt;&gt;""),ErrorMsgs!$F527)</f>
        <v>0</v>
      </c>
      <c r="O527" s="712" t="b">
        <f ca="1">IF(AND('Start here'!$C$26=RefData!$B$10,'Covenant summary information'!$C$10=RefData!$B$119,'Employer CF and liquid assets'!$D$7&gt;=4,'Employer CF and liquid assets'!$D52&lt;&gt;"",'Reconciliation report'!$E527&lt;&gt;""),ErrorMsgs!$G527)</f>
        <v>0</v>
      </c>
      <c r="P527" s="712" t="b">
        <f ca="1">IF(AND('Start here'!$C$26=RefData!$B$10,'Covenant summary information'!$C$10=RefData!$B$119,'Employer CF and liquid assets'!$D$7&gt;=4,AND(TRIM('Employer CF and liquid assets'!$D51)="",'Employer CF and liquid assets'!$D52=""),'Reconciliation report'!$E527=""),ErrorMsgs!$H527)</f>
        <v>0</v>
      </c>
      <c r="Q527" s="712" t="b">
        <f ca="1">IF($E527="",FALSE,IF(ISNA(MATCH($E527,RefData!$B$206:$B$400,0)),ErrorMsgs!$I527))</f>
        <v>0</v>
      </c>
      <c r="R527" s="712"/>
      <c r="S527" s="712"/>
      <c r="T527" s="712"/>
      <c r="U527" s="526" t="str">
        <f t="shared" ca="1" si="74"/>
        <v/>
      </c>
      <c r="V527" s="93" t="str" cm="1">
        <f t="array" aca="1" ref="V527" ca="1">CELL("format",INDIRECT(I527))</f>
        <v>G</v>
      </c>
      <c r="W527" s="93" t="b">
        <f t="shared" ca="1" si="75"/>
        <v>0</v>
      </c>
      <c r="X527" s="715" t="str">
        <f t="shared" ca="1" si="73"/>
        <v/>
      </c>
      <c r="Y527" t="b">
        <f t="shared" ca="1" si="76"/>
        <v>1</v>
      </c>
    </row>
    <row r="528" spans="1:25" ht="77.5">
      <c r="A528" s="705" t="s">
        <v>696</v>
      </c>
      <c r="B528" s="716" t="str">
        <f t="shared" ca="1" si="69"/>
        <v>Employer CF and liquid assets - D59</v>
      </c>
      <c r="C528" s="707" t="str" cm="1">
        <f t="array" aca="1" ref="C528" ca="1">INDIRECT(LEFT(I528, FIND("!", I528)) &amp; RefData!$C$426 &amp; RIGHT(I528, LEN(I528) - FIND("!", I528) - 1))</f>
        <v xml:space="preserve">
No answer required
Postcode
</v>
      </c>
      <c r="D528" s="92" t="str">
        <f t="shared" ca="1" si="72"/>
        <v/>
      </c>
      <c r="E528" s="708" t="str" cm="1">
        <f t="array" aca="1" ref="E528" ca="1">IF(INDIRECT($I528)= "", "", INDIRECT($I528))</f>
        <v/>
      </c>
      <c r="F528" s="709" t="str" cm="1">
        <f t="array" aca="1" ref="F528" ca="1">INDIRECT(LEFT(I528, FIND("!", I528)) &amp; RefData!$C$427 &amp; RIGHT(I528, LEN(I528) - FIND("!", I528) - 1))</f>
        <v>ECI 10.0/4</v>
      </c>
      <c r="G528" s="710" t="b">
        <f ca="1">IF(ISNUMBER(SEARCH(RefData!$B$2, $C528)), FALSE, TRUE)</f>
        <v>0</v>
      </c>
      <c r="H528" s="113">
        <f>'Employer CF and liquid assets'!D59</f>
        <v>0</v>
      </c>
      <c r="I528" s="712" t="str">
        <f t="shared" ca="1" si="71"/>
        <v>'Employer CF and liquid assets'!D59</v>
      </c>
      <c r="J528" s="92" t="b" cm="1">
        <f t="array" aca="1" ref="J528" ca="1">IF(
    ISNUMBER(SEARCH(RefData!$B$2, $C$488)),
    IF(
        $E528 &lt;&gt; "",
        $J$488,
        IF(
            $E528 = "",
            FALSE
        )
    ),
    IF(
        COUNTIF($K528:$T528, "&lt;&gt;FALSE") - COUNTBLANK($K528:$T528) &gt; 0,
        INDEX($K528:$T528, MATCH(TRUE, $K528:$T528 &lt;&gt; FALSE, 0))
    )
)</f>
        <v>0</v>
      </c>
      <c r="K528" s="712" t="b">
        <f ca="1">IF(AND('Start here'!$C$26=RefData!$B$10,'Covenant summary information'!$C$10=RefData!$B$118,'Reconciliation report'!$E528&lt;&gt;""),ErrorMsgs!$C528)</f>
        <v>0</v>
      </c>
      <c r="L528" s="712" t="b">
        <f ca="1">IF(AND('Start here'!$C$26=RefData!$B$10,'Covenant summary information'!$C$10=RefData!$B$119,'Employer CF and liquid assets'!$D$7=0,'Reconciliation report'!$E528&lt;&gt;""),ErrorMsgs!$D528)</f>
        <v>0</v>
      </c>
      <c r="M528" s="714" t="b">
        <f ca="1">IF(AND('Start here'!$C$26=RefData!$B$10,'Covenant summary information'!$C$10=RefData!$B$119,'Employer CF and liquid assets'!$D$7&lt;4,'Reconciliation report'!$E528&lt;&gt;""),ErrorMsgs!$E528)</f>
        <v>0</v>
      </c>
      <c r="N528" s="714" t="b">
        <f ca="1">IF(AND('Start here'!$C$26=RefData!$B$10,'Covenant summary information'!$C$10=RefData!$B$119,'Employer CF and liquid assets'!$D$7&gt;=4,TRIM('Employer CF and liquid assets'!$D51)&lt;&gt;"",'Reconciliation report'!$E528&lt;&gt;""),ErrorMsgs!$F528)</f>
        <v>0</v>
      </c>
      <c r="O528" s="712" t="b">
        <f ca="1">IF(AND('Start here'!$C$26=RefData!$B$10,'Covenant summary information'!$C$10=RefData!$B$119,'Employer CF and liquid assets'!$D$7&gt;=4,'Employer CF and liquid assets'!$D52&lt;&gt;"",'Reconciliation report'!$E528&lt;&gt;""),ErrorMsgs!$G528)</f>
        <v>0</v>
      </c>
      <c r="P528" s="712" t="b">
        <f ca="1">IF(AND('Start here'!$C$26=RefData!$B$10,'Covenant summary information'!$C$10=RefData!$B$119,'Employer CF and liquid assets'!$D$7&gt;=4,AND(TRIM('Employer CF and liquid assets'!$D51)="",'Employer CF and liquid assets'!$D52=""),$E527=RefData!$B$206,'Reconciliation report'!$E528=""),ErrorMsgs!$H528)</f>
        <v>0</v>
      </c>
      <c r="Q528" s="712" t="b">
        <f ca="1">IF(AND($E527=RefData!$B$206,
 OR(LEN($E528)&lt;5,
LEN($E528)&gt;8,
(ISNUMBER(VALUE(LEFT($E528,1)))),
(NOT(ISNUMBER(VALUE(MID($E528,LEN($E528)-2,1))))),
(ISNUMBER(VALUE(MID($E528,LEN($E528)-1,1)))),
ISNUMBER(VALUE(RIGHT($E528,1))))),
ErrorMsgs!$I528, FALSE)</f>
        <v>0</v>
      </c>
      <c r="R528" s="712"/>
      <c r="S528" s="712"/>
      <c r="T528" s="712"/>
      <c r="U528" s="526" t="str">
        <f t="shared" ca="1" si="74"/>
        <v/>
      </c>
      <c r="V528" s="93" t="str" cm="1">
        <f t="array" aca="1" ref="V528" ca="1">CELL("format",INDIRECT(I528))</f>
        <v>G</v>
      </c>
      <c r="W528" s="93" t="b">
        <f t="shared" ca="1" si="75"/>
        <v>0</v>
      </c>
      <c r="X528" s="715" t="str">
        <f t="shared" ca="1" si="73"/>
        <v/>
      </c>
      <c r="Y528" t="b">
        <f t="shared" ca="1" si="76"/>
        <v>1</v>
      </c>
    </row>
    <row r="529" spans="1:25" ht="77.5">
      <c r="A529" s="705" t="s">
        <v>699</v>
      </c>
      <c r="B529" s="716" t="str">
        <f t="shared" ca="1" si="69"/>
        <v>Employer CF and liquid assets - D63</v>
      </c>
      <c r="C529" s="707" t="str" cm="1">
        <f t="array" aca="1" ref="C529" ca="1">INDIRECT(LEFT(I529, FIND("!", I529)) &amp; RefData!$C$426 &amp; RIGHT(I529, LEN(I529) - FIND("!", I529) - 1))</f>
        <v xml:space="preserve">
No answer required
Legal name
</v>
      </c>
      <c r="D529" s="92" t="str">
        <f t="shared" ca="1" si="72"/>
        <v/>
      </c>
      <c r="E529" s="708" t="str" cm="1">
        <f t="array" aca="1" ref="E529" ca="1">IF(INDIRECT($I529)= "", "", INDIRECT($I529))</f>
        <v/>
      </c>
      <c r="F529" s="709" t="str" cm="1">
        <f t="array" aca="1" ref="F529" ca="1">INDIRECT(LEFT(I529, FIND("!", I529)) &amp; RefData!$C$427 &amp; RIGHT(I529, LEN(I529) - FIND("!", I529) - 1))</f>
        <v>ECI 1.0/5</v>
      </c>
      <c r="G529" s="710" t="b">
        <f ca="1">IF(ISNUMBER(SEARCH(RefData!$B$2, $C529)), FALSE, TRUE)</f>
        <v>0</v>
      </c>
      <c r="H529" s="113">
        <f>'Employer CF and liquid assets'!D63</f>
        <v>0</v>
      </c>
      <c r="I529" s="712" t="str">
        <f t="shared" ca="1" si="71"/>
        <v>'Employer CF and liquid assets'!D63</v>
      </c>
      <c r="J529" s="92" t="b" cm="1">
        <f t="array" aca="1" ref="J529" ca="1">IF(
    ISNUMBER(SEARCH(RefData!$B$2, $C$488)),
    IF(
        $E529 &lt;&gt; "",
        $J$488,
        IF(
            $E529 = "",
            FALSE
        )
    ),
    IF(
        COUNTIF($K529:$T529, "&lt;&gt;FALSE") - COUNTBLANK($K529:$T529) &gt; 0,
        INDEX($K529:$T529, MATCH(TRUE, $K529:$T529 &lt;&gt; FALSE, 0))
    )
)</f>
        <v>0</v>
      </c>
      <c r="K529" s="712" t="b">
        <f ca="1">IF(AND('Start here'!$C$26=RefData!$B$9,'Reconciliation report'!$E529&lt;&gt;""),ErrorMsgs!$B529)</f>
        <v>0</v>
      </c>
      <c r="L529" s="712" t="b">
        <f ca="1">IF(AND('Start here'!$C$26=RefData!$B$10,'Covenant summary information'!$C$10=RefData!$B$118,'Reconciliation report'!$E529&lt;&gt;""),ErrorMsgs!$C529)</f>
        <v>0</v>
      </c>
      <c r="M529" s="714" t="b">
        <f ca="1">IF(AND('Start here'!$C$26=RefData!$B$10,'Covenant summary information'!$C$10=RefData!$B$119,'Employer CF and liquid assets'!$D$7=0,'Reconciliation report'!$E529&lt;&gt;""),ErrorMsgs!$D529)</f>
        <v>0</v>
      </c>
      <c r="N529" s="714" t="b">
        <f ca="1">IF(AND('Start here'!$C$26=RefData!$B$10,'Covenant summary information'!$C$10=RefData!$B$119,'Employer CF and liquid assets'!$D$7&lt;5,'Reconciliation report'!$E529&lt;&gt;""),ErrorMsgs!$E529)</f>
        <v>0</v>
      </c>
      <c r="O529" s="712" t="b">
        <f ca="1">IF(AND('Start here'!$C$26=RefData!$B$10,'Covenant summary information'!$C$10=RefData!$B$119,'Employer CF and liquid assets'!$D$7&gt;=5,'Reconciliation report'!$E529=""),ErrorMsgs!$F529)</f>
        <v>0</v>
      </c>
      <c r="P529" s="712" t="b">
        <f ca="1">IF(LEN($E529)&gt;510,ErrorMsgs!$G529)</f>
        <v>0</v>
      </c>
      <c r="Q529" s="712"/>
      <c r="R529" s="712"/>
      <c r="S529" s="712"/>
      <c r="T529" s="712"/>
      <c r="U529" s="526" t="str">
        <f t="shared" ca="1" si="74"/>
        <v/>
      </c>
      <c r="V529" s="93" t="str" cm="1">
        <f t="array" aca="1" ref="V529" ca="1">CELL("format",INDIRECT(I529))</f>
        <v>G</v>
      </c>
      <c r="W529" s="93" t="b">
        <f t="shared" ca="1" si="75"/>
        <v>0</v>
      </c>
      <c r="X529" s="715" t="str">
        <f t="shared" ca="1" si="73"/>
        <v/>
      </c>
      <c r="Y529" t="b">
        <f t="shared" ca="1" si="76"/>
        <v>1</v>
      </c>
    </row>
    <row r="530" spans="1:25" ht="46.25" customHeight="1">
      <c r="A530" s="705" t="s">
        <v>701</v>
      </c>
      <c r="B530" s="716" t="str">
        <f t="shared" ca="1" si="69"/>
        <v>Employer CF and liquid assets - D64</v>
      </c>
      <c r="C530" s="707" t="str" cm="1">
        <f t="array" aca="1" ref="C530" ca="1">INDIRECT(LEFT(I530, FIND("!", I530)) &amp; RefData!$C$426 &amp; RIGHT(I530, LEN(I530) - FIND("!", I530) - 1))</f>
        <v xml:space="preserve">
No answer required
Companies House number (if applicable)
</v>
      </c>
      <c r="D530" s="92" t="str">
        <f t="shared" ca="1" si="72"/>
        <v/>
      </c>
      <c r="E530" s="708" t="str" cm="1">
        <f t="array" aca="1" ref="E530" ca="1">IF(INDIRECT($I530)= "", "", INDIRECT($I530))</f>
        <v/>
      </c>
      <c r="F530" s="709" t="str" cm="1">
        <f t="array" aca="1" ref="F530" ca="1">INDIRECT(LEFT(I530, FIND("!", I530)) &amp; RefData!$C$427 &amp; RIGHT(I530, LEN(I530) - FIND("!", I530) - 1))</f>
        <v>ECI 2.0/5</v>
      </c>
      <c r="G530" s="710" t="b">
        <f ca="1">IF(ISNUMBER(SEARCH(RefData!$B$2, $C530)), FALSE, TRUE)</f>
        <v>0</v>
      </c>
      <c r="H530" s="113">
        <f>'Employer CF and liquid assets'!D64</f>
        <v>0</v>
      </c>
      <c r="I530" s="712" t="str">
        <f t="shared" ca="1" si="71"/>
        <v>'Employer CF and liquid assets'!D64</v>
      </c>
      <c r="J530" s="92" t="b" cm="1">
        <f t="array" aca="1" ref="J530" ca="1">IF(
    ISNUMBER(SEARCH(RefData!$B$2, $C$488)),
    IF(
        $E530 &lt;&gt; "",
        $J$488,
        IF(
            $E530 = "",
            FALSE
        )
    ),
    IF(
        COUNTIF($K530:$T530, "&lt;&gt;FALSE") - COUNTBLANK($K530:$T530) &gt; 0,
        INDEX($K530:$T530, MATCH(TRUE, $K530:$T530 &lt;&gt; FALSE, 0))
    )
)</f>
        <v>0</v>
      </c>
      <c r="K530" s="712" t="b">
        <f ca="1">IF(AND('Start here'!$C$26=RefData!$B$10,'Covenant summary information'!$C$10=RefData!$B$118,'Reconciliation report'!$E530&lt;&gt;""),ErrorMsgs!$C530)</f>
        <v>0</v>
      </c>
      <c r="L530" s="712" t="b">
        <f ca="1">IF(AND('Start here'!$C$26=RefData!$B$10,'Covenant summary information'!$C$10=RefData!$B$119,'Employer CF and liquid assets'!$D$7=0,'Reconciliation report'!$E530&lt;&gt;""),ErrorMsgs!$D530)</f>
        <v>0</v>
      </c>
      <c r="M530" s="714" t="b">
        <f ca="1">IF(AND('Start here'!$C$26=RefData!$B$10,'Covenant summary information'!$C$10=RefData!$B$119,'Employer CF and liquid assets'!$D$7&lt;5,'Reconciliation report'!$E530&lt;&gt;""),ErrorMsgs!$E530)</f>
        <v>0</v>
      </c>
      <c r="N530" s="712" t="b">
        <f ca="1">IF(
  AND(
    'Employer CF and liquid assets'!$D$7 &gt;= 5,
    OR(
      AND(TRIM($E530) &lt;&gt; "", TRIM($D531) &lt;&gt; ""),
      AND(TRIM($E530) &lt;&gt; "", TRIM($D531) = "", TRIM($E531) = "")
    ),
    OR(
      ISNUMBER(FIND(" ", $E530)),
      NOT(
        OR(
          AND(LEN($E530)=8, ISNUMBER(VALUE($E530))),
          AND(LEN($E530)=8, ISNUMBER(VALUE(RIGHT($E530,6))), ISNUMBER(FIND(LEFT(UPPER($E530),1),"ABCDEFGHIJKLMNOPQRSTUVWXYZ")), ISNUMBER(FIND(MID(UPPER($E530),2,1),"ABCDEFGHIJKLMNOPQRSTUVWXYZ"))),
          AND(LEN($E530)=8, ISNUMBER(VALUE(RIGHT($E530,7))), ISNUMBER(FIND(LEFT(UPPER($E530),1),"ABCDEFGHIJKLMNOPQRSTUVWXYZ"))),
          AND(LEN($E530)=8, ISNUMBER(VALUE(MID($E530,3,5))), ISNUMBER(FIND(LEFT(UPPER($E530),1),"ABCDEFGHIJKLMNOPQRSTUVWXYZ")), ISNUMBER(FIND(MID(UPPER($E530),2,1),"ABCDEFGHIJKLMNOPQRSTUVWXYZ")), ISNUMBER(FIND(RIGHT(UPPER($E530),1),"ABCDEFGHIJKLMNOPQRSTUVWXYZ"))),
          AND(LEN($E530)=8, ISNUMBER(VALUE(MID($E530,3,4))), ISNUMBER(FIND(LEFT(UPPER($E530),1),"ABCDEFGHIJKLMNOPQRSTUVWXYZ")), ISNUMBER(FIND(MID(UPPER($E530),2,1),"ABCDEFGHIJKLMNOPQRSTUVWXYZ")), ISNUMBER(FIND(MID(UPPER($E530),7,1),"ABCDEFGHIJKLMNOPQRSTUVWXYZ")), ISNUMBER(FIND(RIGHT(UPPER($E530),1),"ABCDEFGHIJKLMNOPQRSTUVWXYZ")))
        )
      )
    )
  ),
  ErrorMsgs!F530
)</f>
        <v>0</v>
      </c>
      <c r="O530" s="712"/>
      <c r="P530" s="712"/>
      <c r="Q530" s="712"/>
      <c r="R530" s="712"/>
      <c r="S530" s="712"/>
      <c r="T530" s="712"/>
      <c r="U530" s="526" t="str">
        <f t="shared" ca="1" si="74"/>
        <v/>
      </c>
      <c r="V530" s="93" t="str" cm="1">
        <f t="array" aca="1" ref="V530" ca="1">CELL("format",INDIRECT(I530))</f>
        <v>G</v>
      </c>
      <c r="W530" s="93" t="b">
        <f t="shared" ca="1" si="75"/>
        <v>0</v>
      </c>
      <c r="X530" s="715" t="str">
        <f t="shared" ca="1" si="73"/>
        <v/>
      </c>
      <c r="Y530" t="b">
        <f t="shared" ca="1" si="76"/>
        <v>1</v>
      </c>
    </row>
    <row r="531" spans="1:25" ht="77.5">
      <c r="A531" s="705" t="s">
        <v>703</v>
      </c>
      <c r="B531" s="716" t="str">
        <f t="shared" ca="1" si="69"/>
        <v>Employer CF and liquid assets - D65</v>
      </c>
      <c r="C531" s="707" t="str" cm="1">
        <f t="array" aca="1" ref="C531" ca="1">INDIRECT(LEFT(I531, FIND("!", I531)) &amp; RefData!$C$426 &amp; RIGHT(I531, LEN(I531) - FIND("!", I531) - 1))</f>
        <v xml:space="preserve">
No answer required
Charity number (if applicable)
</v>
      </c>
      <c r="D531" s="92" t="str">
        <f t="shared" ca="1" si="72"/>
        <v/>
      </c>
      <c r="E531" s="708" t="str" cm="1">
        <f t="array" aca="1" ref="E531" ca="1">IF(INDIRECT($I531)= "", "", INDIRECT($I531))</f>
        <v/>
      </c>
      <c r="F531" s="709" t="str" cm="1">
        <f t="array" aca="1" ref="F531" ca="1">INDIRECT(LEFT(I531, FIND("!", I531)) &amp; RefData!$C$427 &amp; RIGHT(I531, LEN(I531) - FIND("!", I531) - 1))</f>
        <v>ECI 3.0/5</v>
      </c>
      <c r="G531" s="710" t="b">
        <f ca="1">IF(ISNUMBER(SEARCH(RefData!$B$2, $C531)), FALSE, TRUE)</f>
        <v>0</v>
      </c>
      <c r="H531" s="113">
        <f>'Employer CF and liquid assets'!D65</f>
        <v>0</v>
      </c>
      <c r="I531" s="712" t="str">
        <f t="shared" ca="1" si="71"/>
        <v>'Employer CF and liquid assets'!D65</v>
      </c>
      <c r="J531" s="92" t="b" cm="1">
        <f t="array" aca="1" ref="J531" ca="1">IF(
    ISNUMBER(SEARCH(RefData!$B$2, $C$488)),
    IF(
        $E531 &lt;&gt; "",
        $J$488,
        IF(
            $E531 = "",
            FALSE
        )
    ),
    IF(
        COUNTIF($K531:$T531, "&lt;&gt;FALSE") - COUNTBLANK($K531:$T531) &gt; 0,
        INDEX($K531:$T531, MATCH(TRUE, $K531:$T531 &lt;&gt; FALSE, 0))
    )
)</f>
        <v>0</v>
      </c>
      <c r="K531" s="712" t="b">
        <f ca="1">IF(AND('Start here'!$C$26=RefData!$B$10,'Covenant summary information'!$C$10=RefData!$B$118,'Reconciliation report'!$E531&lt;&gt;""),ErrorMsgs!$C531)</f>
        <v>0</v>
      </c>
      <c r="L531" s="712" t="b">
        <f ca="1">IF(AND('Start here'!$C$26=RefData!$B$10,'Covenant summary information'!$C$10=RefData!$B$119,'Employer CF and liquid assets'!$D$7=0,'Reconciliation report'!$E531&lt;&gt;""),ErrorMsgs!$D531)</f>
        <v>0</v>
      </c>
      <c r="M531" s="714" t="b">
        <f ca="1">IF(AND('Start here'!$C$26=RefData!$B$10,'Covenant summary information'!$C$10=RefData!$B$119,'Employer CF and liquid assets'!$D$7&lt;5,'Reconciliation report'!$E531&lt;&gt;""),ErrorMsgs!$E531)</f>
        <v>0</v>
      </c>
      <c r="N531" s="714" t="b">
        <f ca="1">IF(AND('Start here'!$C$26=RefData!$B$10,'Covenant summary information'!$C$10=RefData!$B$119,'Employer CF and liquid assets'!$D$7&gt;=5,TRIM('Employer CF and liquid assets'!$D64)&lt;&gt;"",'Reconciliation report'!$E531&lt;&gt;""),ErrorMsgs!$F531)</f>
        <v>0</v>
      </c>
      <c r="O531" s="712" t="b">
        <f ca="1">IF($E531="",FALSE,IF(OR(LEN($E531)&lt;6,LEN($E531)&gt;8),ErrorMsgs!$G531))</f>
        <v>0</v>
      </c>
      <c r="P531" s="712"/>
      <c r="Q531" s="712"/>
      <c r="R531" s="712"/>
      <c r="S531" s="712"/>
      <c r="T531" s="712"/>
      <c r="U531" s="526" t="str">
        <f t="shared" ca="1" si="74"/>
        <v/>
      </c>
      <c r="V531" s="93" t="str" cm="1">
        <f t="array" aca="1" ref="V531" ca="1">CELL("format",INDIRECT(I531))</f>
        <v>G</v>
      </c>
      <c r="W531" s="93" t="b">
        <f t="shared" ca="1" si="75"/>
        <v>0</v>
      </c>
      <c r="X531" s="715" t="str">
        <f t="shared" ca="1" si="73"/>
        <v/>
      </c>
      <c r="Y531" t="b">
        <f t="shared" ca="1" si="76"/>
        <v>1</v>
      </c>
    </row>
    <row r="532" spans="1:25" ht="77.5">
      <c r="A532" s="705" t="s">
        <v>705</v>
      </c>
      <c r="B532" s="716" t="str">
        <f t="shared" ca="1" si="69"/>
        <v>Employer CF and liquid assets - D66</v>
      </c>
      <c r="C532" s="707" t="str" cm="1">
        <f t="array" aca="1" ref="C532" ca="1">INDIRECT(LEFT(I532, FIND("!", I532)) &amp; RefData!$C$426 &amp; RIGHT(I532, LEN(I532) - FIND("!", I532) - 1))</f>
        <v xml:space="preserve">
No answer required
Trading name
</v>
      </c>
      <c r="D532" s="92" t="str">
        <f t="shared" ca="1" si="72"/>
        <v/>
      </c>
      <c r="E532" s="708" t="str" cm="1">
        <f t="array" aca="1" ref="E532" ca="1">IF(INDIRECT($I532)= "", "", INDIRECT($I532))</f>
        <v/>
      </c>
      <c r="F532" s="709" t="str" cm="1">
        <f t="array" aca="1" ref="F532" ca="1">INDIRECT(LEFT(I532, FIND("!", I532)) &amp; RefData!$C$427 &amp; RIGHT(I532, LEN(I532) - FIND("!", I532) - 1))</f>
        <v>ECI 4.0/5</v>
      </c>
      <c r="G532" s="710" t="b">
        <f ca="1">IF(ISNUMBER(SEARCH(RefData!$B$2, $C532)), FALSE, TRUE)</f>
        <v>0</v>
      </c>
      <c r="H532" s="113">
        <f>'Employer CF and liquid assets'!D66</f>
        <v>0</v>
      </c>
      <c r="I532" s="712" t="str">
        <f t="shared" ca="1" si="71"/>
        <v>'Employer CF and liquid assets'!D66</v>
      </c>
      <c r="J532" s="92" t="b" cm="1">
        <f t="array" aca="1" ref="J532" ca="1">IF(
    ISNUMBER(SEARCH(RefData!$B$2, $C$488)),
    IF(
        $E532 &lt;&gt; "",
        $J$488,
        IF(
            $E532 = "",
            FALSE
        )
    ),
    IF(
        COUNTIF($K532:$T532, "&lt;&gt;FALSE") - COUNTBLANK($K532:$T532) &gt; 0,
        INDEX($K532:$T532, MATCH(TRUE, $K532:$T532 &lt;&gt; FALSE, 0))
    )
)</f>
        <v>0</v>
      </c>
      <c r="K532" s="712" t="b">
        <f ca="1">IF(AND('Start here'!$C$26=RefData!$B$10,'Covenant summary information'!$C$10=RefData!$B$118,'Reconciliation report'!$E532&lt;&gt;""),ErrorMsgs!$C532)</f>
        <v>0</v>
      </c>
      <c r="L532" s="712" t="b">
        <f ca="1">IF(AND('Start here'!$C$26=RefData!$B$10,'Covenant summary information'!$C$10=RefData!$B$119,'Employer CF and liquid assets'!$D$7=0,'Reconciliation report'!$E532&lt;&gt;""),ErrorMsgs!$D532)</f>
        <v>0</v>
      </c>
      <c r="M532" s="714" t="b">
        <f ca="1">IF(AND('Start here'!$C$26=RefData!$B$10,'Covenant summary information'!$C$10=RefData!$B$119,'Employer CF and liquid assets'!$D$7&lt;5,'Reconciliation report'!$E532&lt;&gt;""),ErrorMsgs!$E532)</f>
        <v>0</v>
      </c>
      <c r="N532" s="714" t="b">
        <f ca="1">IF(AND('Start here'!$C$26=RefData!$B$10,'Covenant summary information'!$C$10=RefData!$B$119,'Employer CF and liquid assets'!$D$7&gt;=5,TRIM('Employer CF and liquid assets'!$D64)&lt;&gt;"",'Reconciliation report'!$E532&lt;&gt;""),ErrorMsgs!$F532)</f>
        <v>0</v>
      </c>
      <c r="O532" s="712" t="b">
        <f ca="1">IF(AND('Start here'!$C$26=RefData!$B$10,'Covenant summary information'!$C$10=RefData!$B$119,'Employer CF and liquid assets'!$D$7&gt;=5,'Employer CF and liquid assets'!$D65&lt;&gt;"",'Reconciliation report'!$E532&lt;&gt;""),ErrorMsgs!$G532)</f>
        <v>0</v>
      </c>
      <c r="P532" s="712" t="b">
        <f ca="1">IF(AND('Start here'!$C$26=RefData!$B$10,'Covenant summary information'!$C$10=RefData!$B$119,'Employer CF and liquid assets'!$D$7&gt;=5,AND(TRIM('Employer CF and liquid assets'!$D64)="",'Employer CF and liquid assets'!$D65=""),'Reconciliation report'!$E532=""),ErrorMsgs!$H532)</f>
        <v>0</v>
      </c>
      <c r="Q532" s="712" t="b">
        <f ca="1">IF(LEN($E532)&gt;510,ErrorMsgs!$I532)</f>
        <v>0</v>
      </c>
      <c r="R532" s="712"/>
      <c r="S532" s="712"/>
      <c r="T532" s="712"/>
      <c r="U532" s="526" t="str">
        <f t="shared" ca="1" si="74"/>
        <v/>
      </c>
      <c r="V532" s="93" t="str" cm="1">
        <f t="array" aca="1" ref="V532" ca="1">CELL("format",INDIRECT(I532))</f>
        <v>G</v>
      </c>
      <c r="W532" s="93" t="b">
        <f t="shared" ca="1" si="75"/>
        <v>0</v>
      </c>
      <c r="X532" s="715" t="str">
        <f t="shared" ca="1" si="73"/>
        <v/>
      </c>
      <c r="Y532" t="b">
        <f t="shared" ca="1" si="76"/>
        <v>1</v>
      </c>
    </row>
    <row r="533" spans="1:25" ht="77.5">
      <c r="A533" s="705" t="s">
        <v>707</v>
      </c>
      <c r="B533" s="716" t="str">
        <f t="shared" ca="1" si="69"/>
        <v>Employer CF and liquid assets - D67</v>
      </c>
      <c r="C533" s="707" t="str" cm="1">
        <f t="array" aca="1" ref="C533" ca="1">INDIRECT(LEFT(I533, FIND("!", I533)) &amp; RefData!$C$426 &amp; RIGHT(I533, LEN(I533) - FIND("!", I533) - 1))</f>
        <v xml:space="preserve">
No answer required
Address line 1
</v>
      </c>
      <c r="D533" s="92" t="str">
        <f t="shared" ca="1" si="72"/>
        <v/>
      </c>
      <c r="E533" s="708" t="str" cm="1">
        <f t="array" aca="1" ref="E533" ca="1">IF(INDIRECT($I533)= "", "", INDIRECT($I533))</f>
        <v/>
      </c>
      <c r="F533" s="709" t="str" cm="1">
        <f t="array" aca="1" ref="F533" ca="1">INDIRECT(LEFT(I533, FIND("!", I533)) &amp; RefData!$C$427 &amp; RIGHT(I533, LEN(I533) - FIND("!", I533) - 1))</f>
        <v>ECI 5.0/5</v>
      </c>
      <c r="G533" s="710" t="b">
        <f ca="1">IF(ISNUMBER(SEARCH(RefData!$B$2, $C533)), FALSE, TRUE)</f>
        <v>0</v>
      </c>
      <c r="H533" s="113">
        <f>'Employer CF and liquid assets'!D67</f>
        <v>0</v>
      </c>
      <c r="I533" s="712" t="str">
        <f t="shared" ca="1" si="71"/>
        <v>'Employer CF and liquid assets'!D67</v>
      </c>
      <c r="J533" s="92" t="b" cm="1">
        <f t="array" aca="1" ref="J533" ca="1">IF(
    ISNUMBER(SEARCH(RefData!$B$2, $C$488)),
    IF(
        $E533 &lt;&gt; "",
        $J$488,
        IF(
            $E533 = "",
            FALSE
        )
    ),
    IF(
        COUNTIF($K533:$T533, "&lt;&gt;FALSE") - COUNTBLANK($K533:$T533) &gt; 0,
        INDEX($K533:$T533, MATCH(TRUE, $K533:$T533 &lt;&gt; FALSE, 0))
    )
)</f>
        <v>0</v>
      </c>
      <c r="K533" s="712" t="b">
        <f ca="1">IF(AND('Start here'!$C$26=RefData!$B$10,'Covenant summary information'!$C$10=RefData!$B$118,'Reconciliation report'!$E533&lt;&gt;""),ErrorMsgs!$C533)</f>
        <v>0</v>
      </c>
      <c r="L533" s="712" t="b">
        <f ca="1">IF(AND('Start here'!$C$26=RefData!$B$10,'Covenant summary information'!$C$10=RefData!$B$119,'Employer CF and liquid assets'!$D$7=0,'Reconciliation report'!$E533&lt;&gt;""),ErrorMsgs!$D533)</f>
        <v>0</v>
      </c>
      <c r="M533" s="714" t="b">
        <f ca="1">IF(AND('Start here'!$C$26=RefData!$B$10,'Covenant summary information'!$C$10=RefData!$B$119,'Employer CF and liquid assets'!$D$7&lt;5,'Reconciliation report'!$E533&lt;&gt;""),ErrorMsgs!$E533)</f>
        <v>0</v>
      </c>
      <c r="N533" s="714" t="b">
        <f ca="1">IF(AND('Start here'!$C$26=RefData!$B$10,'Covenant summary information'!$C$10=RefData!$B$119,'Employer CF and liquid assets'!$D$7&gt;=5,TRIM('Employer CF and liquid assets'!$D64)&lt;&gt;"",'Reconciliation report'!$E533&lt;&gt;""),ErrorMsgs!$F533)</f>
        <v>0</v>
      </c>
      <c r="O533" s="712" t="b">
        <f ca="1">IF(AND('Start here'!$C$26=RefData!$B$10,'Covenant summary information'!$C$10=RefData!$B$119,'Employer CF and liquid assets'!$D$7&gt;=5,'Employer CF and liquid assets'!$D65&lt;&gt;"",'Reconciliation report'!$E533&lt;&gt;""),ErrorMsgs!$G533)</f>
        <v>0</v>
      </c>
      <c r="P533" s="712" t="b">
        <f ca="1">IF(AND('Start here'!$C$26=RefData!$B$10,'Covenant summary information'!$C$10=RefData!$B$119,'Employer CF and liquid assets'!$D$7&gt;=5,AND(TRIM('Employer CF and liquid assets'!$D64)="",'Employer CF and liquid assets'!$D65=""),'Reconciliation report'!$E533=""),ErrorMsgs!$H533)</f>
        <v>0</v>
      </c>
      <c r="Q533" s="712" t="b">
        <f ca="1">IF(LEN($E533)&gt;510,ErrorMsgs!$I533)</f>
        <v>0</v>
      </c>
      <c r="R533" s="712"/>
      <c r="S533" s="712"/>
      <c r="T533" s="712"/>
      <c r="U533" s="526" t="str">
        <f t="shared" ca="1" si="74"/>
        <v/>
      </c>
      <c r="V533" s="93" t="str" cm="1">
        <f t="array" aca="1" ref="V533" ca="1">CELL("format",INDIRECT(I533))</f>
        <v>G</v>
      </c>
      <c r="W533" s="93" t="b">
        <f t="shared" ca="1" si="75"/>
        <v>0</v>
      </c>
      <c r="X533" s="715" t="str">
        <f t="shared" ca="1" si="73"/>
        <v/>
      </c>
      <c r="Y533" t="b">
        <f t="shared" ca="1" si="76"/>
        <v>1</v>
      </c>
    </row>
    <row r="534" spans="1:25" ht="77.5">
      <c r="A534" s="705" t="s">
        <v>709</v>
      </c>
      <c r="B534" s="716" t="str">
        <f t="shared" ca="1" si="69"/>
        <v>Employer CF and liquid assets - D68</v>
      </c>
      <c r="C534" s="707" t="str" cm="1">
        <f t="array" aca="1" ref="C534" ca="1">INDIRECT(LEFT(I534, FIND("!", I534)) &amp; RefData!$C$426 &amp; RIGHT(I534, LEN(I534) - FIND("!", I534) - 1))</f>
        <v xml:space="preserve">
No answer required
Address line 2 (optional)
</v>
      </c>
      <c r="D534" s="92" t="str">
        <f t="shared" ca="1" si="72"/>
        <v/>
      </c>
      <c r="E534" s="708" t="str" cm="1">
        <f t="array" aca="1" ref="E534" ca="1">IF(INDIRECT($I534)= "", "", INDIRECT($I534))</f>
        <v/>
      </c>
      <c r="F534" s="709" t="str" cm="1">
        <f t="array" aca="1" ref="F534" ca="1">INDIRECT(LEFT(I534, FIND("!", I534)) &amp; RefData!$C$427 &amp; RIGHT(I534, LEN(I534) - FIND("!", I534) - 1))</f>
        <v>ECI 6.0/5</v>
      </c>
      <c r="G534" s="710" t="b">
        <f ca="1">IF(ISNUMBER(SEARCH(RefData!$B$2, $C534)), FALSE, TRUE)</f>
        <v>0</v>
      </c>
      <c r="H534" s="113">
        <f>'Employer CF and liquid assets'!D68</f>
        <v>0</v>
      </c>
      <c r="I534" s="712" t="str">
        <f t="shared" ca="1" si="71"/>
        <v>'Employer CF and liquid assets'!D68</v>
      </c>
      <c r="J534" s="92" t="b" cm="1">
        <f t="array" aca="1" ref="J534" ca="1">IF(
    ISNUMBER(SEARCH(RefData!$B$2, $C$488)),
    IF(
        $E534 &lt;&gt; "",
        $J$488,
        IF(
            $E534 = "",
            FALSE
        )
    ),
    IF(
        COUNTIF($K534:$T534, "&lt;&gt;FALSE") - COUNTBLANK($K534:$T534) &gt; 0,
        INDEX($K534:$T534, MATCH(TRUE, $K534:$T534 &lt;&gt; FALSE, 0))
    )
)</f>
        <v>0</v>
      </c>
      <c r="K534" s="712" t="b">
        <f ca="1">IF(AND('Start here'!$C$26=RefData!$B$10,'Covenant summary information'!$C$10=RefData!$B$118,'Reconciliation report'!$E534&lt;&gt;""),ErrorMsgs!$C534)</f>
        <v>0</v>
      </c>
      <c r="L534" s="712" t="b">
        <f ca="1">IF(AND('Start here'!$C$26=RefData!$B$10,'Covenant summary information'!$C$10=RefData!$B$119,'Employer CF and liquid assets'!$D$7=0,'Reconciliation report'!$E534&lt;&gt;""),ErrorMsgs!$D534)</f>
        <v>0</v>
      </c>
      <c r="M534" s="714" t="b">
        <f ca="1">IF(AND('Start here'!$C$26=RefData!$B$10,'Covenant summary information'!$C$10=RefData!$B$119,'Employer CF and liquid assets'!$D$7&lt;5,'Reconciliation report'!$E534&lt;&gt;""),ErrorMsgs!$E534)</f>
        <v>0</v>
      </c>
      <c r="N534" s="714" t="b">
        <f ca="1">IF(AND('Start here'!$C$26=RefData!$B$10,'Covenant summary information'!$C$10=RefData!$B$119,'Employer CF and liquid assets'!$D$7&gt;=5,TRIM('Employer CF and liquid assets'!$D64)&lt;&gt;"",'Reconciliation report'!$E534&lt;&gt;""),ErrorMsgs!$F534)</f>
        <v>0</v>
      </c>
      <c r="O534" s="712" t="b">
        <f ca="1">IF(AND('Start here'!$C$26=RefData!$B$10,'Covenant summary information'!$C$10=RefData!$B$119,'Employer CF and liquid assets'!$D$7&gt;=5,'Employer CF and liquid assets'!$D65&lt;&gt;"",'Reconciliation report'!$E534&lt;&gt;""),ErrorMsgs!$G534)</f>
        <v>0</v>
      </c>
      <c r="P534" s="712" t="b">
        <f ca="1">IF(LEN($E534)&gt;510,ErrorMsgs!$H534)</f>
        <v>0</v>
      </c>
      <c r="Q534" s="737"/>
      <c r="R534" s="737"/>
      <c r="S534" s="737"/>
      <c r="T534" s="737"/>
      <c r="U534" s="526" t="str">
        <f t="shared" ca="1" si="74"/>
        <v/>
      </c>
      <c r="V534" s="93" t="str" cm="1">
        <f t="array" aca="1" ref="V534" ca="1">CELL("format",INDIRECT(I534))</f>
        <v>G</v>
      </c>
      <c r="W534" s="93" t="b">
        <f t="shared" ca="1" si="75"/>
        <v>0</v>
      </c>
      <c r="X534" s="715" t="str">
        <f t="shared" ca="1" si="73"/>
        <v/>
      </c>
      <c r="Y534" t="b">
        <f t="shared" ca="1" si="76"/>
        <v>1</v>
      </c>
    </row>
    <row r="535" spans="1:25" ht="77.5">
      <c r="A535" s="705" t="s">
        <v>711</v>
      </c>
      <c r="B535" s="716" t="str">
        <f t="shared" ca="1" si="69"/>
        <v>Employer CF and liquid assets - D69</v>
      </c>
      <c r="C535" s="707" t="str" cm="1">
        <f t="array" aca="1" ref="C535" ca="1">INDIRECT(LEFT(I535, FIND("!", I535)) &amp; RefData!$C$426 &amp; RIGHT(I535, LEN(I535) - FIND("!", I535) - 1))</f>
        <v xml:space="preserve">
No answer required
Address line 3 (optional)
</v>
      </c>
      <c r="D535" s="92" t="str">
        <f t="shared" ca="1" si="72"/>
        <v/>
      </c>
      <c r="E535" s="708" t="str" cm="1">
        <f t="array" aca="1" ref="E535" ca="1">IF(INDIRECT($I535)= "", "", INDIRECT($I535))</f>
        <v/>
      </c>
      <c r="F535" s="709" t="str" cm="1">
        <f t="array" aca="1" ref="F535" ca="1">INDIRECT(LEFT(I535, FIND("!", I535)) &amp; RefData!$C$427 &amp; RIGHT(I535, LEN(I535) - FIND("!", I535) - 1))</f>
        <v>ECI 7.0/5</v>
      </c>
      <c r="G535" s="710" t="b">
        <f ca="1">IF(ISNUMBER(SEARCH(RefData!$B$2, $C535)), FALSE, TRUE)</f>
        <v>0</v>
      </c>
      <c r="H535" s="113">
        <f>'Employer CF and liquid assets'!D69</f>
        <v>0</v>
      </c>
      <c r="I535" s="712" t="str">
        <f t="shared" ca="1" si="71"/>
        <v>'Employer CF and liquid assets'!D69</v>
      </c>
      <c r="J535" s="92" t="b" cm="1">
        <f t="array" aca="1" ref="J535" ca="1">IF(
    ISNUMBER(SEARCH(RefData!$B$2, $C$488)),
    IF(
        $E535 &lt;&gt; "",
        $J$488,
        IF(
            $E535 = "",
            FALSE
        )
    ),
    IF(
        COUNTIF($K535:$T535, "&lt;&gt;FALSE") - COUNTBLANK($K535:$T535) &gt; 0,
        INDEX($K535:$T535, MATCH(TRUE, $K535:$T535 &lt;&gt; FALSE, 0))
    )
)</f>
        <v>0</v>
      </c>
      <c r="K535" s="712" t="b">
        <f ca="1">IF(AND('Start here'!$C$26=RefData!$B$10,'Covenant summary information'!$C$10=RefData!$B$118,'Reconciliation report'!$E535&lt;&gt;""),ErrorMsgs!$C535)</f>
        <v>0</v>
      </c>
      <c r="L535" s="712" t="b">
        <f ca="1">IF(AND('Start here'!$C$26=RefData!$B$10,'Covenant summary information'!$C$10=RefData!$B$119,'Employer CF and liquid assets'!$D$7=0,'Reconciliation report'!$E535&lt;&gt;""),ErrorMsgs!$D535)</f>
        <v>0</v>
      </c>
      <c r="M535" s="714" t="b">
        <f ca="1">IF(AND('Start here'!$C$26=RefData!$B$10,'Covenant summary information'!$C$10=RefData!$B$119,'Employer CF and liquid assets'!$D$7&lt;5,'Reconciliation report'!$E535&lt;&gt;""),ErrorMsgs!$E535)</f>
        <v>0</v>
      </c>
      <c r="N535" s="714" t="b">
        <f ca="1">IF(AND('Start here'!$C$26=RefData!$B$10,'Covenant summary information'!$C$10=RefData!$B$119,'Employer CF and liquid assets'!$D$7&gt;=5,TRIM('Employer CF and liquid assets'!$D64)&lt;&gt;"",'Reconciliation report'!$E535&lt;&gt;""),ErrorMsgs!$F535)</f>
        <v>0</v>
      </c>
      <c r="O535" s="712" t="b">
        <f ca="1">IF(AND('Start here'!$C$26=RefData!$B$10,'Covenant summary information'!$C$10=RefData!$B$119,'Employer CF and liquid assets'!$D$7&gt;=5,'Employer CF and liquid assets'!$D65&lt;&gt;"",'Reconciliation report'!$E535&lt;&gt;""),ErrorMsgs!$G535)</f>
        <v>0</v>
      </c>
      <c r="P535" s="712" t="b">
        <f ca="1">IF(LEN($E535)&gt;510,ErrorMsgs!$H535)</f>
        <v>0</v>
      </c>
      <c r="Q535" s="737"/>
      <c r="R535" s="737"/>
      <c r="S535" s="737"/>
      <c r="T535" s="737"/>
      <c r="U535" s="526" t="str">
        <f t="shared" ca="1" si="74"/>
        <v/>
      </c>
      <c r="V535" s="93" t="str" cm="1">
        <f t="array" aca="1" ref="V535" ca="1">CELL("format",INDIRECT(I535))</f>
        <v>G</v>
      </c>
      <c r="W535" s="93" t="b">
        <f t="shared" ca="1" si="75"/>
        <v>0</v>
      </c>
      <c r="X535" s="715" t="str">
        <f t="shared" ca="1" si="73"/>
        <v/>
      </c>
      <c r="Y535" t="b">
        <f t="shared" ca="1" si="76"/>
        <v>1</v>
      </c>
    </row>
    <row r="536" spans="1:25" ht="77.5">
      <c r="A536" s="705" t="s">
        <v>713</v>
      </c>
      <c r="B536" s="716" t="str">
        <f t="shared" ca="1" si="69"/>
        <v>Employer CF and liquid assets - D70</v>
      </c>
      <c r="C536" s="707" t="str" cm="1">
        <f t="array" aca="1" ref="C536" ca="1">INDIRECT(LEFT(I536, FIND("!", I536)) &amp; RefData!$C$426 &amp; RIGHT(I536, LEN(I536) - FIND("!", I536) - 1))</f>
        <v xml:space="preserve">
No answer required
Post town or city
</v>
      </c>
      <c r="D536" s="92" t="str">
        <f t="shared" ca="1" si="72"/>
        <v/>
      </c>
      <c r="E536" s="708" t="str" cm="1">
        <f t="array" aca="1" ref="E536" ca="1">IF(INDIRECT($I536)= "", "", INDIRECT($I536))</f>
        <v/>
      </c>
      <c r="F536" s="709" t="str" cm="1">
        <f t="array" aca="1" ref="F536" ca="1">INDIRECT(LEFT(I536, FIND("!", I536)) &amp; RefData!$C$427 &amp; RIGHT(I536, LEN(I536) - FIND("!", I536) - 1))</f>
        <v>ECI 8.0/5</v>
      </c>
      <c r="G536" s="710" t="b">
        <f ca="1">IF(ISNUMBER(SEARCH(RefData!$B$2, $C536)), FALSE, TRUE)</f>
        <v>0</v>
      </c>
      <c r="H536" s="113">
        <f>'Employer CF and liquid assets'!D70</f>
        <v>0</v>
      </c>
      <c r="I536" s="712" t="str">
        <f t="shared" ca="1" si="71"/>
        <v>'Employer CF and liquid assets'!D70</v>
      </c>
      <c r="J536" s="92" t="b" cm="1">
        <f t="array" aca="1" ref="J536" ca="1">IF(
    ISNUMBER(SEARCH(RefData!$B$2, $C$488)),
    IF(
        $E536 &lt;&gt; "",
        $J$488,
        IF(
            $E536 = "",
            FALSE
        )
    ),
    IF(
        COUNTIF($K536:$T536, "&lt;&gt;FALSE") - COUNTBLANK($K536:$T536) &gt; 0,
        INDEX($K536:$T536, MATCH(TRUE, $K536:$T536 &lt;&gt; FALSE, 0))
    )
)</f>
        <v>0</v>
      </c>
      <c r="K536" s="712" t="b">
        <f ca="1">IF(AND('Start here'!$C$26=RefData!$B$10,'Covenant summary information'!$C$10=RefData!$B$118,'Reconciliation report'!$E536&lt;&gt;""),ErrorMsgs!$C536)</f>
        <v>0</v>
      </c>
      <c r="L536" s="712" t="b">
        <f ca="1">IF(AND('Start here'!$C$26=RefData!$B$10,'Covenant summary information'!$C$10=RefData!$B$119,'Employer CF and liquid assets'!$D$7=0,'Reconciliation report'!$E536&lt;&gt;""),ErrorMsgs!$D536)</f>
        <v>0</v>
      </c>
      <c r="M536" s="714" t="b">
        <f ca="1">IF(AND('Start here'!$C$26=RefData!$B$10,'Covenant summary information'!$C$10=RefData!$B$119,'Employer CF and liquid assets'!$D$7&lt;5,'Reconciliation report'!$E536&lt;&gt;""),ErrorMsgs!$E536)</f>
        <v>0</v>
      </c>
      <c r="N536" s="714" t="b">
        <f ca="1">IF(AND('Start here'!$C$26=RefData!$B$10,'Covenant summary information'!$C$10=RefData!$B$119,'Employer CF and liquid assets'!$D$7&gt;=5,TRIM('Employer CF and liquid assets'!$D64)&lt;&gt;"",'Reconciliation report'!$E536&lt;&gt;""),ErrorMsgs!$F536)</f>
        <v>0</v>
      </c>
      <c r="O536" s="712" t="b">
        <f ca="1">IF(AND('Start here'!$C$26=RefData!$B$10,'Covenant summary information'!$C$10=RefData!$B$119,'Employer CF and liquid assets'!$D$7&gt;=5,'Employer CF and liquid assets'!$D65&lt;&gt;"",'Reconciliation report'!$E536&lt;&gt;""),ErrorMsgs!$G536)</f>
        <v>0</v>
      </c>
      <c r="P536" s="712" t="b">
        <f ca="1">IF(AND('Start here'!$C$26=RefData!$B$10,'Covenant summary information'!$C$10=RefData!$B$119,'Employer CF and liquid assets'!$D$7&gt;=5,AND(TRIM('Employer CF and liquid assets'!$D64)="",'Employer CF and liquid assets'!$D65=""),'Reconciliation report'!$E536=""),ErrorMsgs!$H536)</f>
        <v>0</v>
      </c>
      <c r="Q536" s="712" t="b">
        <f ca="1">IF(LEN($E536)&gt;510,ErrorMsgs!$I536)</f>
        <v>0</v>
      </c>
      <c r="R536" s="712"/>
      <c r="S536" s="712"/>
      <c r="T536" s="712"/>
      <c r="U536" s="526" t="str">
        <f t="shared" ca="1" si="74"/>
        <v/>
      </c>
      <c r="V536" s="93" t="str" cm="1">
        <f t="array" aca="1" ref="V536" ca="1">CELL("format",INDIRECT(I536))</f>
        <v>G</v>
      </c>
      <c r="W536" s="93" t="b">
        <f t="shared" ca="1" si="75"/>
        <v>0</v>
      </c>
      <c r="X536" s="715" t="str">
        <f t="shared" ca="1" si="73"/>
        <v/>
      </c>
      <c r="Y536" t="b">
        <f t="shared" ca="1" si="76"/>
        <v>1</v>
      </c>
    </row>
    <row r="537" spans="1:25" ht="77.5">
      <c r="A537" s="705" t="s">
        <v>715</v>
      </c>
      <c r="B537" s="716" t="str">
        <f t="shared" ca="1" si="69"/>
        <v>Employer CF and liquid assets - D71</v>
      </c>
      <c r="C537" s="707" t="str" cm="1">
        <f t="array" aca="1" ref="C537" ca="1">INDIRECT(LEFT(I537, FIND("!", I537)) &amp; RefData!$C$426 &amp; RIGHT(I537, LEN(I537) - FIND("!", I537) - 1))</f>
        <v xml:space="preserve">
No answer required
Country
</v>
      </c>
      <c r="D537" s="92" t="str">
        <f t="shared" ca="1" si="72"/>
        <v/>
      </c>
      <c r="E537" s="708" t="str" cm="1">
        <f t="array" aca="1" ref="E537" ca="1">IF(INDIRECT($I537)= "", "", INDIRECT($I537))</f>
        <v/>
      </c>
      <c r="F537" s="709" t="str" cm="1">
        <f t="array" aca="1" ref="F537" ca="1">INDIRECT(LEFT(I537, FIND("!", I537)) &amp; RefData!$C$427 &amp; RIGHT(I537, LEN(I537) - FIND("!", I537) - 1))</f>
        <v>ECI 9.0/5</v>
      </c>
      <c r="G537" s="710" t="b">
        <f ca="1">IF(ISNUMBER(SEARCH(RefData!$B$2, $C537)), FALSE, TRUE)</f>
        <v>0</v>
      </c>
      <c r="H537" s="113">
        <f>'Employer CF and liquid assets'!D71</f>
        <v>0</v>
      </c>
      <c r="I537" s="712" t="str">
        <f t="shared" ca="1" si="71"/>
        <v>'Employer CF and liquid assets'!D71</v>
      </c>
      <c r="J537" s="92" t="b" cm="1">
        <f t="array" aca="1" ref="J537" ca="1">IF(
    ISNUMBER(SEARCH(RefData!$B$2, $C$488)),
    IF(
        $E537 &lt;&gt; "",
        $J$488,
        IF(
            $E537 = "",
            FALSE
        )
    ),
    IF(
        COUNTIF($K537:$T537, "&lt;&gt;FALSE") - COUNTBLANK($K537:$T537) &gt; 0,
        INDEX($K537:$T537, MATCH(TRUE, $K537:$T537 &lt;&gt; FALSE, 0))
    )
)</f>
        <v>0</v>
      </c>
      <c r="K537" s="712" t="b">
        <f ca="1">IF(AND('Start here'!$C$26=RefData!$B$10,'Covenant summary information'!$C$10=RefData!$B$118,'Reconciliation report'!$E537&lt;&gt;""),ErrorMsgs!$C537)</f>
        <v>0</v>
      </c>
      <c r="L537" s="712" t="b">
        <f ca="1">IF(AND('Start here'!$C$26=RefData!$B$10,'Covenant summary information'!$C$10=RefData!$B$119,'Employer CF and liquid assets'!$D$7=0,'Reconciliation report'!$E537&lt;&gt;""),ErrorMsgs!$D537)</f>
        <v>0</v>
      </c>
      <c r="M537" s="714" t="b">
        <f ca="1">IF(AND('Start here'!$C$26=RefData!$B$10,'Covenant summary information'!$C$10=RefData!$B$119,'Employer CF and liquid assets'!$D$7&lt;5,'Reconciliation report'!$E537&lt;&gt;""),ErrorMsgs!$E537)</f>
        <v>0</v>
      </c>
      <c r="N537" s="714" t="b">
        <f ca="1">IF(AND('Start here'!$C$26=RefData!$B$10,'Covenant summary information'!$C$10=RefData!$B$119,'Employer CF and liquid assets'!$D$7&gt;=5,TRIM('Employer CF and liquid assets'!$D64)&lt;&gt;"",'Reconciliation report'!$E537&lt;&gt;""),ErrorMsgs!$F537)</f>
        <v>0</v>
      </c>
      <c r="O537" s="712" t="b">
        <f ca="1">IF(AND('Start here'!$C$26=RefData!$B$10,'Covenant summary information'!$C$10=RefData!$B$119,'Employer CF and liquid assets'!$D$7&gt;=5,'Employer CF and liquid assets'!$D65&lt;&gt;"",'Reconciliation report'!$E537&lt;&gt;""),ErrorMsgs!$G537)</f>
        <v>0</v>
      </c>
      <c r="P537" s="712" t="b">
        <f ca="1">IF(AND('Start here'!$C$26=RefData!$B$10,'Covenant summary information'!$C$10=RefData!$B$119,'Employer CF and liquid assets'!$D$7&gt;=5,AND(TRIM('Employer CF and liquid assets'!$D64)="",'Employer CF and liquid assets'!$D65=""),'Reconciliation report'!$E537=""),ErrorMsgs!$H537)</f>
        <v>0</v>
      </c>
      <c r="Q537" s="712" t="b">
        <f ca="1">IF($E537="",FALSE,IF(ISNA(MATCH($E537,RefData!$B$206:$B$400,0)),ErrorMsgs!$I537))</f>
        <v>0</v>
      </c>
      <c r="R537" s="712"/>
      <c r="S537" s="712"/>
      <c r="T537" s="712"/>
      <c r="U537" s="526" t="str">
        <f t="shared" ca="1" si="74"/>
        <v/>
      </c>
      <c r="V537" s="93" t="str" cm="1">
        <f t="array" aca="1" ref="V537" ca="1">CELL("format",INDIRECT(I537))</f>
        <v>G</v>
      </c>
      <c r="W537" s="93" t="b">
        <f t="shared" ca="1" si="75"/>
        <v>0</v>
      </c>
      <c r="X537" s="715" t="str">
        <f t="shared" ca="1" si="73"/>
        <v/>
      </c>
      <c r="Y537" t="b">
        <f t="shared" ca="1" si="76"/>
        <v>1</v>
      </c>
    </row>
    <row r="538" spans="1:25" ht="77.5">
      <c r="A538" s="705" t="s">
        <v>717</v>
      </c>
      <c r="B538" s="716" t="str">
        <f t="shared" ca="1" si="69"/>
        <v>Employer CF and liquid assets - D72</v>
      </c>
      <c r="C538" s="707" t="str" cm="1">
        <f t="array" aca="1" ref="C538" ca="1">INDIRECT(LEFT(I538, FIND("!", I538)) &amp; RefData!$C$426 &amp; RIGHT(I538, LEN(I538) - FIND("!", I538) - 1))</f>
        <v xml:space="preserve">
No answer required
Postcode
</v>
      </c>
      <c r="D538" s="92" t="str">
        <f t="shared" ca="1" si="72"/>
        <v/>
      </c>
      <c r="E538" s="708" t="str" cm="1">
        <f t="array" aca="1" ref="E538" ca="1">IF(INDIRECT($I538)= "", "", INDIRECT($I538))</f>
        <v/>
      </c>
      <c r="F538" s="709" t="str" cm="1">
        <f t="array" aca="1" ref="F538" ca="1">INDIRECT(LEFT(I538, FIND("!", I538)) &amp; RefData!$C$427 &amp; RIGHT(I538, LEN(I538) - FIND("!", I538) - 1))</f>
        <v>ECI 10.0/5</v>
      </c>
      <c r="G538" s="710" t="b">
        <f ca="1">IF(ISNUMBER(SEARCH(RefData!$B$2, $C538)), FALSE, TRUE)</f>
        <v>0</v>
      </c>
      <c r="H538" s="113">
        <f>'Employer CF and liquid assets'!D72</f>
        <v>0</v>
      </c>
      <c r="I538" s="712" t="str">
        <f t="shared" ca="1" si="71"/>
        <v>'Employer CF and liquid assets'!D72</v>
      </c>
      <c r="J538" s="92" t="b" cm="1">
        <f t="array" aca="1" ref="J538" ca="1">IF(
    ISNUMBER(SEARCH(RefData!$B$2, $C$488)),
    IF(
        $E538 &lt;&gt; "",
        $J$488,
        IF(
            $E538 = "",
            FALSE
        )
    ),
    IF(
        COUNTIF($K538:$T538, "&lt;&gt;FALSE") - COUNTBLANK($K538:$T538) &gt; 0,
        INDEX($K538:$T538, MATCH(TRUE, $K538:$T538 &lt;&gt; FALSE, 0))
    )
)</f>
        <v>0</v>
      </c>
      <c r="K538" s="712" t="b">
        <f ca="1">IF(AND('Start here'!$C$26=RefData!$B$10,'Covenant summary information'!$C$10=RefData!$B$118,'Reconciliation report'!$E538&lt;&gt;""),ErrorMsgs!$C538)</f>
        <v>0</v>
      </c>
      <c r="L538" s="712" t="b">
        <f ca="1">IF(AND('Start here'!$C$26=RefData!$B$10,'Covenant summary information'!$C$10=RefData!$B$119,'Employer CF and liquid assets'!$D$7=0,'Reconciliation report'!$E538&lt;&gt;""),ErrorMsgs!$D538)</f>
        <v>0</v>
      </c>
      <c r="M538" s="714" t="b">
        <f ca="1">IF(AND('Start here'!$C$26=RefData!$B$10,'Covenant summary information'!$C$10=RefData!$B$119,'Employer CF and liquid assets'!$D$7&lt;5,'Reconciliation report'!$E538&lt;&gt;""),ErrorMsgs!$E538)</f>
        <v>0</v>
      </c>
      <c r="N538" s="714" t="b">
        <f ca="1">IF(AND('Start here'!$C$26=RefData!$B$10,'Covenant summary information'!$C$10=RefData!$B$119,'Employer CF and liquid assets'!$D$7&gt;=5,TRIM('Employer CF and liquid assets'!$D64)&lt;&gt;"",'Reconciliation report'!$E538&lt;&gt;""),ErrorMsgs!$F538)</f>
        <v>0</v>
      </c>
      <c r="O538" s="712" t="b">
        <f ca="1">IF(AND('Start here'!$C$26=RefData!$B$10,'Covenant summary information'!$C$10=RefData!$B$119,'Employer CF and liquid assets'!$D$7&gt;=5,'Employer CF and liquid assets'!$D65&lt;&gt;"",'Reconciliation report'!$E538&lt;&gt;""),ErrorMsgs!$G538)</f>
        <v>0</v>
      </c>
      <c r="P538" s="712" t="b">
        <f ca="1">IF(AND('Start here'!$C$26=RefData!$B$10,'Covenant summary information'!$C$10=RefData!$B$119,'Employer CF and liquid assets'!$D$7&gt;=5,AND(TRIM('Employer CF and liquid assets'!$D64)="",'Employer CF and liquid assets'!$D65=""),$E537=RefData!$B$206,'Reconciliation report'!$E538=""),ErrorMsgs!$H538)</f>
        <v>0</v>
      </c>
      <c r="Q538" s="712" t="b">
        <f ca="1">IF(AND($E537=RefData!$B$206,
 OR(LEN($E538)&lt;5,
LEN($E538)&gt;8,
(ISNUMBER(VALUE(LEFT($E538,1)))),
(NOT(ISNUMBER(VALUE(MID($E538,LEN($E538)-2,1))))),
(ISNUMBER(VALUE(MID($E538,LEN($E538)-1,1)))),
ISNUMBER(VALUE(RIGHT($E538,1))))),
ErrorMsgs!$I538, FALSE)</f>
        <v>0</v>
      </c>
      <c r="R538" s="712"/>
      <c r="S538" s="712"/>
      <c r="T538" s="712"/>
      <c r="U538" s="526" t="str">
        <f t="shared" ca="1" si="74"/>
        <v/>
      </c>
      <c r="V538" s="93" t="str" cm="1">
        <f t="array" aca="1" ref="V538" ca="1">CELL("format",INDIRECT(I538))</f>
        <v>G</v>
      </c>
      <c r="W538" s="93" t="b">
        <f t="shared" ca="1" si="75"/>
        <v>0</v>
      </c>
      <c r="X538" s="715" t="str">
        <f t="shared" ca="1" si="73"/>
        <v/>
      </c>
      <c r="Y538" t="b">
        <f t="shared" ca="1" si="76"/>
        <v>1</v>
      </c>
    </row>
    <row r="539" spans="1:25" ht="62">
      <c r="A539" s="705" t="s">
        <v>3494</v>
      </c>
      <c r="B539" s="706" t="str">
        <f t="shared" ca="1" si="69"/>
        <v>Employer CF and liquid assets - D76</v>
      </c>
      <c r="C539" s="707" t="str" cm="1">
        <f t="array" aca="1" ref="C539" ca="1">INDIRECT(LEFT(I539, FIND("!", I539)) &amp; RefData!$C$426 &amp; RIGHT(I539, LEN(I539) - FIND("!", I539) - 1))</f>
        <v xml:space="preserve">No answer required
Employer cash flow: basis of assessment
</v>
      </c>
      <c r="D539" s="92" t="str">
        <f t="shared" ca="1" si="50"/>
        <v/>
      </c>
      <c r="E539" s="708" t="str" cm="1">
        <f t="array" aca="1" ref="E539" ca="1">IF(INDIRECT($I539)= "", "", INDIRECT($I539))</f>
        <v/>
      </c>
      <c r="F539" s="709" t="str" cm="1">
        <f t="array" aca="1" ref="F539" ca="1">INDIRECT(LEFT(I539, FIND("!", I539)) &amp; RefData!$C$427 &amp; RIGHT(I539, LEN(I539) - FIND("!", I539) - 1))</f>
        <v>ECI 11.0</v>
      </c>
      <c r="G539" s="710" t="b">
        <f ca="1">IF(ISNUMBER(SEARCH(RefData!$B$2, $C539)), FALSE, TRUE)</f>
        <v>0</v>
      </c>
      <c r="H539" s="113">
        <f>'Employer CF and liquid assets'!D76</f>
        <v>0</v>
      </c>
      <c r="I539" s="712" t="str">
        <f t="shared" ca="1" si="71"/>
        <v>'Employer CF and liquid assets'!D76</v>
      </c>
      <c r="J539" s="713" t="b" cm="1">
        <f t="array" aca="1" ref="J539" ca="1">IF(COUNTIF($K539:$T539, "&lt;&gt;FALSE") - COUNTBLANK($K539:$T539) &gt; 0, INDEX($K539:$T539, MATCH(TRUE, $K539:$T539 &lt;&gt; FALSE, 0)))</f>
        <v>0</v>
      </c>
      <c r="K539" s="712" t="b">
        <f ca="1">IF(AND('Start here'!$C$26=RefData!$B$9,'Reconciliation report'!$E539&lt;&gt;""),ErrorMsgs!$B539)</f>
        <v>0</v>
      </c>
      <c r="L539" s="712" t="b">
        <f ca="1">IF(AND('Start here'!$C$26=RefData!$B$10,'Start here'!$C$23=RefData!$B$18,'Covenant summary information'!$C$10=RefData!$B$118,'Reconciliation report'!$E539&lt;&gt;""),ErrorMsgs!$C539)</f>
        <v>0</v>
      </c>
      <c r="M539" s="712" t="b">
        <f ca="1">IF(AND('Start here'!$C$26=RefData!$B$10,'Start here'!$C$23=RefData!$B$18,'Covenant summary information'!$C$10=RefData!$B$119,'Reconciliation report'!$E539=""),ErrorMsgs!$D539)</f>
        <v>0</v>
      </c>
      <c r="N539" s="712" t="b">
        <f ca="1">IF(AND('Start here'!$C$26=RefData!$B$10,'Start here'!$C$23=RefData!$B$17,'Covenant summary information'!$C$10=RefData!$B$118,'Reconciliation report'!$E539&lt;&gt;""),ErrorMsgs!$E539)</f>
        <v>0</v>
      </c>
      <c r="O539" s="712" t="b">
        <f ca="1">IF(AND('Start here'!$C$26=RefData!$B$10,'Start here'!$C$23=RefData!$B$17,'Covenant summary information'!$C$10=RefData!$B$119,'Start here'!$C$27=RefData!$B$11,'Reconciliation report'!$E539&lt;&gt;""),ErrorMsgs!$F539)</f>
        <v>0</v>
      </c>
      <c r="P539" s="712" t="b">
        <f ca="1">IF(AND('Start here'!$C$26=RefData!$B$10,'Start here'!$C$23=RefData!$B$17,'Covenant summary information'!$C$10=RefData!$B$119,'Start here'!$C$27=RefData!$B$12,'Reconciliation report'!$E539=""),ErrorMsgs!$G539)</f>
        <v>0</v>
      </c>
      <c r="Q539" s="712" t="b">
        <f ca="1">IF($E539="",FALSE,IF(ISNA(MATCH($E539,RefData!$B$104:$B$107,0)),ErrorMsgs!$H539))</f>
        <v>0</v>
      </c>
      <c r="R539" s="712"/>
      <c r="S539" s="712"/>
      <c r="T539" s="712"/>
      <c r="U539" s="526" t="str">
        <f t="shared" ca="1" si="74"/>
        <v/>
      </c>
      <c r="V539" s="93" t="str" cm="1">
        <f t="array" aca="1" ref="V539" ca="1">CELL("format",INDIRECT(I539))</f>
        <v>G</v>
      </c>
      <c r="W539" s="93" t="b">
        <f t="shared" ca="1" si="75"/>
        <v>0</v>
      </c>
      <c r="X539" s="715" t="str">
        <f t="shared" ca="1" si="73"/>
        <v/>
      </c>
      <c r="Y539" t="b">
        <f t="shared" ca="1" si="76"/>
        <v>1</v>
      </c>
    </row>
    <row r="540" spans="1:25" ht="62">
      <c r="A540" s="705" t="s">
        <v>3495</v>
      </c>
      <c r="B540" s="706" t="str">
        <f t="shared" ca="1" si="69"/>
        <v>Employer CF and liquid assets - D77</v>
      </c>
      <c r="C540" s="707" t="str" cm="1">
        <f t="array" aca="1" ref="C540" ca="1">INDIRECT(LEFT(I540, FIND("!", I540)) &amp; RefData!$C$426 &amp; RIGHT(I540, LEN(I540) - FIND("!", I540) - 1))</f>
        <v xml:space="preserve">No answer required
Describe the basis of assessment of employer cash flow.
</v>
      </c>
      <c r="D540" s="92" t="str">
        <f t="shared" ca="1" si="50"/>
        <v/>
      </c>
      <c r="E540" s="708" t="str" cm="1">
        <f t="array" aca="1" ref="E540" ca="1">IF(INDIRECT($I540)= "", "", INDIRECT($I540))</f>
        <v/>
      </c>
      <c r="F540" s="709" t="str" cm="1">
        <f t="array" aca="1" ref="F540" ca="1">INDIRECT(LEFT(I540, FIND("!", I540)) &amp; RefData!$C$427 &amp; RIGHT(I540, LEN(I540) - FIND("!", I540) - 1))</f>
        <v>ECI 12.0</v>
      </c>
      <c r="G540" s="710" t="b">
        <f ca="1">IF(ISNUMBER(SEARCH(RefData!$B$2, $C540)), FALSE, TRUE)</f>
        <v>0</v>
      </c>
      <c r="H540" s="113">
        <f>'Employer CF and liquid assets'!D77</f>
        <v>0</v>
      </c>
      <c r="I540" s="712" t="str">
        <f t="shared" ca="1" si="71"/>
        <v>'Employer CF and liquid assets'!D77</v>
      </c>
      <c r="J540" s="713" t="b" cm="1">
        <f t="array" aca="1" ref="J540" ca="1">IF(COUNTIF($K540:$T540, "&lt;&gt;FALSE") - COUNTBLANK($K540:$T540) &gt; 0, INDEX($K540:$T540, MATCH(TRUE, $K540:$T540 &lt;&gt; FALSE, 0)))</f>
        <v>0</v>
      </c>
      <c r="K540" s="712" t="b">
        <f ca="1">IF(ISNUMBER(SEARCH(RefData!$B$2,$C$539)), $J539, FALSE)</f>
        <v>0</v>
      </c>
      <c r="L540" s="712" t="b">
        <f ca="1">IF(AND('Employer CF and liquid assets'!$D$76&lt;&gt;RefData!$B$107,'Reconciliation report'!$E540&lt;&gt;""),ErrorMsgs!$B540)</f>
        <v>0</v>
      </c>
      <c r="M540" s="714" t="b">
        <f ca="1">IF(AND(OR(AND('Start here'!$C$26=RefData!$B$10,'Start here'!$C$23=RefData!$B$18,'Covenant summary information'!$C$10=RefData!$B$119),AND('Start here'!$C$26=RefData!$B$10,'Start here'!$C$23=RefData!$B$17,'Covenant summary information'!$C$10=RefData!$B$119,'Start here'!$C$27=RefData!$B$12)),'Employer CF and liquid assets'!$D$76=RefData!$B$107,'Reconciliation report'!$E540=""),ErrorMsgs!$C540)</f>
        <v>0</v>
      </c>
      <c r="N540" s="714" t="b">
        <f ca="1">IF(LEN($E540)&gt;4000,ErrorMsgs!$D540)</f>
        <v>0</v>
      </c>
      <c r="O540" s="712"/>
      <c r="P540" s="712"/>
      <c r="Q540" s="712"/>
      <c r="R540" s="712"/>
      <c r="S540" s="712"/>
      <c r="T540" s="712"/>
      <c r="U540" s="526" t="str">
        <f t="shared" ca="1" si="74"/>
        <v/>
      </c>
      <c r="V540" s="93" t="str" cm="1">
        <f t="array" aca="1" ref="V540" ca="1">CELL("format",INDIRECT(I540))</f>
        <v>G</v>
      </c>
      <c r="W540" s="93" t="b">
        <f t="shared" ca="1" si="75"/>
        <v>0</v>
      </c>
      <c r="X540" s="715" t="str">
        <f t="shared" ca="1" si="73"/>
        <v/>
      </c>
      <c r="Y540" t="b">
        <f t="shared" ca="1" si="76"/>
        <v>1</v>
      </c>
    </row>
    <row r="541" spans="1:25" ht="62">
      <c r="A541" s="705" t="s">
        <v>3496</v>
      </c>
      <c r="B541" s="706" t="str">
        <f t="shared" ca="1" si="69"/>
        <v>Employer CF and liquid assets - C81</v>
      </c>
      <c r="C541" s="707" t="str" cm="1">
        <f t="array" aca="1" ref="C541" ca="1">INDIRECT(LEFT(I541, FIND("!", I541)) &amp; RefData!$C$426 &amp; RIGHT(I541, LEN(I541) - FIND("!", I541) - 1))</f>
        <v xml:space="preserve">No answer required
Employer free cash flows (FCF)
</v>
      </c>
      <c r="D541" s="92" t="str">
        <f t="shared" ref="D541:D718" ca="1" si="77">""&amp;IF(J541=FALSE, "", J541)
&amp;""</f>
        <v/>
      </c>
      <c r="E541" s="708" t="str" cm="1">
        <f t="array" aca="1" ref="E541" ca="1">IF(INDIRECT($I541)= "", "", INDIRECT($I541))</f>
        <v/>
      </c>
      <c r="F541" s="709" t="str" cm="1">
        <f t="array" aca="1" ref="F541" ca="1">INDIRECT(LEFT(I541, FIND("!", I541)) &amp; RefData!$C$427 &amp; RIGHT(I541, LEN(I541) - FIND("!", I541) - 1))</f>
        <v>ECI 13.0</v>
      </c>
      <c r="G541" s="710" t="b">
        <f ca="1">IF(ISNUMBER(SEARCH(RefData!$B$2, $C541)), FALSE, TRUE)</f>
        <v>0</v>
      </c>
      <c r="H541" s="96">
        <f>'Employer CF and liquid assets'!C81</f>
        <v>0</v>
      </c>
      <c r="I541" s="712" t="str">
        <f t="shared" ca="1" si="71"/>
        <v>'Employer CF and liquid assets'!C81</v>
      </c>
      <c r="J541" s="713" t="b" cm="1">
        <f t="array" aca="1" ref="J541" ca="1">IF(COUNTIF($K541:$T541, "&lt;&gt;FALSE") - COUNTBLANK($K541:$T541) &gt; 0, INDEX($K541:$T541, MATCH(TRUE, $K541:$T541 &lt;&gt; FALSE, 0)))</f>
        <v>0</v>
      </c>
      <c r="K541" s="712" t="b">
        <f ca="1">IF(AND('Start here'!$C$26=RefData!$B$9,'Reconciliation report'!$E541&lt;&gt;""),ErrorMsgs!$B541)</f>
        <v>0</v>
      </c>
      <c r="L541" s="712" t="b">
        <f ca="1">IF(AND('Start here'!$C$26=RefData!$B$10,'Start here'!$C$23=RefData!$B$18,'Covenant summary information'!$C$10=RefData!$B$118,'Reconciliation report'!$E541&lt;&gt;""),ErrorMsgs!$C541)</f>
        <v>0</v>
      </c>
      <c r="M541" s="712" t="b">
        <f ca="1">IF(AND('Start here'!$C$26=RefData!$B$10,'Start here'!$C$23=RefData!$B$18,'Covenant summary information'!$C$10=RefData!$B$119,'Reconciliation report'!$E541=""),ErrorMsgs!$D541)</f>
        <v>0</v>
      </c>
      <c r="N541" s="712" t="b">
        <f ca="1">IF(AND('Start here'!$C$26=RefData!$B$10,'Start here'!$C$23=RefData!$B$17,'Covenant summary information'!$C$10=RefData!$B$118,'Reconciliation report'!$E541&lt;&gt;""),ErrorMsgs!$E541)</f>
        <v>0</v>
      </c>
      <c r="O541" s="712" t="b">
        <f ca="1">IF(AND('Start here'!$C$26=RefData!$B$10,'Start here'!$C$27=RefData!$B$11,'Reconciliation report'!$E541&lt;&gt;""),ErrorMsgs!$F541)</f>
        <v>0</v>
      </c>
      <c r="P541" s="712" t="b">
        <f ca="1">IF(AND('Start here'!$C$26=RefData!$B$10,'Start here'!$C$23=RefData!$B$17,'Covenant summary information'!$C$10=RefData!$B$119,'Start here'!$C$27=RefData!$B$12,'Reconciliation report'!$E541=""),ErrorMsgs!$G541)</f>
        <v>0</v>
      </c>
      <c r="Q541" s="712" t="b">
        <f ca="1">IF($E541="",FALSE,IF(NOT(ISNUMBER($E541)),ErrorMsgs!$H541,IF(OR(VALUE($E541)-ROUND(VALUE($E541),2)&lt;&gt;0,VALUE($E541)&lt;=-1000000000000,VALUE($E541)&gt;=1000000000000),ErrorMsgs!$H541)))</f>
        <v>0</v>
      </c>
      <c r="R541" s="712"/>
      <c r="S541" s="712"/>
      <c r="T541" s="712"/>
      <c r="U541" s="526" t="str">
        <f t="shared" ca="1" si="74"/>
        <v/>
      </c>
      <c r="V541" s="93" t="str" cm="1">
        <f t="array" aca="1" ref="V541" ca="1">CELL("format",INDIRECT(I541))</f>
        <v>C2</v>
      </c>
      <c r="W541" s="93" t="b">
        <f t="shared" ca="1" si="75"/>
        <v>0</v>
      </c>
      <c r="X541" s="715" t="str">
        <f t="shared" ca="1" si="73"/>
        <v/>
      </c>
      <c r="Y541" t="b">
        <f t="shared" ca="1" si="76"/>
        <v>1</v>
      </c>
    </row>
    <row r="542" spans="1:25" ht="62">
      <c r="A542" s="705" t="s">
        <v>3497</v>
      </c>
      <c r="B542" s="706" t="str">
        <f t="shared" ca="1" si="69"/>
        <v>Employer CF and liquid assets - D81</v>
      </c>
      <c r="C542" s="707" t="str" cm="1">
        <f t="array" aca="1" ref="C542" ca="1">INDIRECT(LEFT(I542, FIND("!", I542)) &amp; RefData!$C$426 &amp; RIGHT(I542, LEN(I542) - FIND("!", I542) - 1))</f>
        <v xml:space="preserve">No answer required
Employer free cash flows (FCF)
</v>
      </c>
      <c r="D542" s="92" t="str">
        <f t="shared" ca="1" si="77"/>
        <v/>
      </c>
      <c r="E542" s="708" t="str" cm="1">
        <f t="array" aca="1" ref="E542" ca="1">IF(INDIRECT($I542)= "", "", INDIRECT($I542))</f>
        <v/>
      </c>
      <c r="F542" s="709" t="str" cm="1">
        <f t="array" aca="1" ref="F542" ca="1">INDIRECT(LEFT(I542, FIND("!", I542)) &amp; RefData!$C$427 &amp; RIGHT(I542, LEN(I542) - FIND("!", I542) - 1))</f>
        <v>ECI 13.0</v>
      </c>
      <c r="G542" s="710" t="b">
        <f ca="1">IF(ISNUMBER(SEARCH(RefData!$B$2, $C542)), FALSE, TRUE)</f>
        <v>0</v>
      </c>
      <c r="H542" s="96">
        <f>'Employer CF and liquid assets'!D81</f>
        <v>0</v>
      </c>
      <c r="I542" s="712" t="str">
        <f t="shared" ca="1" si="71"/>
        <v>'Employer CF and liquid assets'!D81</v>
      </c>
      <c r="J542" s="713" t="b" cm="1">
        <f t="array" aca="1" ref="J542" ca="1">IF(COUNTIF($K542:$T542, "&lt;&gt;FALSE") - COUNTBLANK($K542:$T542) &gt; 0, INDEX($K542:$T542, MATCH(TRUE, $K542:$T542 &lt;&gt; FALSE, 0)))</f>
        <v>0</v>
      </c>
      <c r="K542" s="712" t="b">
        <f ca="1">IF(AND('Start here'!$C$26=RefData!$B$9,'Reconciliation report'!$E542&lt;&gt;""),ErrorMsgs!$B542)</f>
        <v>0</v>
      </c>
      <c r="L542" s="712" t="b">
        <f ca="1">IF(AND('Start here'!$C$26=RefData!$B$10,'Start here'!$C$23=RefData!$B$18,'Covenant summary information'!$C$10=RefData!$B$118,'Reconciliation report'!$E542&lt;&gt;""),ErrorMsgs!$C542)</f>
        <v>0</v>
      </c>
      <c r="M542" s="712" t="b">
        <f ca="1">IF(AND('Start here'!$C$26=RefData!$B$10,'Start here'!$C$23=RefData!$B$18,'Covenant summary information'!$C$10=RefData!$B$119,'Reconciliation report'!$E542=""),ErrorMsgs!$D542)</f>
        <v>0</v>
      </c>
      <c r="N542" s="712" t="b">
        <f ca="1">IF(AND('Start here'!$C$26=RefData!$B$10,'Start here'!$C$23=RefData!$B$17,'Covenant summary information'!$C$10=RefData!$B$118,'Reconciliation report'!$E542&lt;&gt;""),ErrorMsgs!$E542)</f>
        <v>0</v>
      </c>
      <c r="O542" s="712" t="b">
        <f ca="1">IF(AND('Start here'!$C$26=RefData!$B$10,'Start here'!$C$23=RefData!$B$17,'Covenant summary information'!$C$10=RefData!$B$119,'Start here'!$C$27=RefData!$B$11,'Reconciliation report'!$E542&lt;&gt;""),ErrorMsgs!$F542)</f>
        <v>0</v>
      </c>
      <c r="P542" s="712" t="b">
        <f ca="1">IF(AND('Start here'!$C$26=RefData!$B$10,'Start here'!$C$23=RefData!$B$17,'Covenant summary information'!$C$10=RefData!$B$119,'Start here'!$C$27=RefData!$B$12,'Reconciliation report'!$E542=""),ErrorMsgs!$G542)</f>
        <v>0</v>
      </c>
      <c r="Q542" s="712" t="b">
        <f ca="1">IF($E542="",FALSE,IF(NOT(ISNUMBER($E542)),ErrorMsgs!$H542,IF(OR(VALUE($E542)-ROUND(VALUE($E542),2)&lt;&gt;0,VALUE($E542)&lt;=-1000000000000,VALUE($E542)&gt;=1000000000000),ErrorMsgs!$H542)))</f>
        <v>0</v>
      </c>
      <c r="R542" s="712"/>
      <c r="S542" s="712"/>
      <c r="T542" s="712"/>
      <c r="U542" s="526" t="str">
        <f t="shared" ca="1" si="74"/>
        <v/>
      </c>
      <c r="V542" s="93" t="str" cm="1">
        <f t="array" aca="1" ref="V542" ca="1">CELL("format",INDIRECT(I542))</f>
        <v>C2</v>
      </c>
      <c r="W542" s="93" t="b">
        <f t="shared" ca="1" si="75"/>
        <v>0</v>
      </c>
      <c r="X542" s="715" t="str">
        <f t="shared" ca="1" si="73"/>
        <v/>
      </c>
      <c r="Y542" t="b">
        <f t="shared" ca="1" si="76"/>
        <v>1</v>
      </c>
    </row>
    <row r="543" spans="1:25" ht="62">
      <c r="A543" s="705" t="s">
        <v>3498</v>
      </c>
      <c r="B543" s="706" t="str">
        <f t="shared" ca="1" si="69"/>
        <v>Employer CF and liquid assets - E81</v>
      </c>
      <c r="C543" s="707" t="str" cm="1">
        <f t="array" aca="1" ref="C543" ca="1">INDIRECT(LEFT(I543, FIND("!", I543)) &amp; RefData!$C$426 &amp; RIGHT(I543, LEN(I543) - FIND("!", I543) - 1))</f>
        <v xml:space="preserve">No answer required
Employer free cash flows (FCF)
</v>
      </c>
      <c r="D543" s="92" t="str">
        <f t="shared" ca="1" si="77"/>
        <v/>
      </c>
      <c r="E543" s="708" t="str" cm="1">
        <f t="array" aca="1" ref="E543" ca="1">IF(INDIRECT($I543)= "", "", INDIRECT($I543))</f>
        <v/>
      </c>
      <c r="F543" s="709" t="str" cm="1">
        <f t="array" aca="1" ref="F543" ca="1">INDIRECT(LEFT(I543, FIND("!", I543)) &amp; RefData!$C$427 &amp; RIGHT(I543, LEN(I543) - FIND("!", I543) - 1))</f>
        <v>ECI 13.0</v>
      </c>
      <c r="G543" s="710" t="b">
        <f ca="1">IF(ISNUMBER(SEARCH(RefData!$B$2, $C543)), FALSE, TRUE)</f>
        <v>0</v>
      </c>
      <c r="H543" s="96">
        <f>'Employer CF and liquid assets'!E81</f>
        <v>0</v>
      </c>
      <c r="I543" s="712" t="str">
        <f t="shared" ca="1" si="71"/>
        <v>'Employer CF and liquid assets'!E81</v>
      </c>
      <c r="J543" s="713" t="b" cm="1">
        <f t="array" aca="1" ref="J543" ca="1">IF(COUNTIF($K543:$T543, "&lt;&gt;FALSE") - COUNTBLANK($K543:$T543) &gt; 0, INDEX($K543:$T543, MATCH(TRUE, $K543:$T543 &lt;&gt; FALSE, 0)))</f>
        <v>0</v>
      </c>
      <c r="K543" s="712" t="b">
        <f ca="1">IF(AND('Start here'!$C$26=RefData!$B$9,'Reconciliation report'!$E543&lt;&gt;""),ErrorMsgs!$B543)</f>
        <v>0</v>
      </c>
      <c r="L543" s="712" t="b">
        <f ca="1">IF(AND('Start here'!$C$26=RefData!$B$10,'Start here'!$C$23=RefData!$B$18,'Covenant summary information'!$C$10=RefData!$B$118,'Reconciliation report'!$E543&lt;&gt;""),ErrorMsgs!$C543)</f>
        <v>0</v>
      </c>
      <c r="M543" s="712" t="b">
        <f ca="1">IF(AND('Start here'!$C$26=RefData!$B$10,'Start here'!$C$23=RefData!$B$18,'Covenant summary information'!$C$10=RefData!$B$119,'Reconciliation report'!$E543=""),ErrorMsgs!$D543)</f>
        <v>0</v>
      </c>
      <c r="N543" s="712" t="b">
        <f ca="1">IF(AND('Start here'!$C$26=RefData!$B$10,'Start here'!$C$23=RefData!$B$17,'Covenant summary information'!$C$10=RefData!$B$118,'Reconciliation report'!$E543&lt;&gt;""),ErrorMsgs!$E543)</f>
        <v>0</v>
      </c>
      <c r="O543" s="712" t="b">
        <f ca="1">IF(AND('Start here'!$C$26=RefData!$B$10,'Start here'!$C$23=RefData!$B$17,'Covenant summary information'!$C$10=RefData!$B$119,'Start here'!$C$27=RefData!$B$11,'Reconciliation report'!$E543&lt;&gt;""),ErrorMsgs!$F543)</f>
        <v>0</v>
      </c>
      <c r="P543" s="712" t="b">
        <f ca="1">IF(AND('Start here'!$C$26=RefData!$B$10,'Start here'!$C$23=RefData!$B$17,'Covenant summary information'!$C$10=RefData!$B$119,'Start here'!$C$27=RefData!$B$12,'Reconciliation report'!$E543=""),ErrorMsgs!$G543)</f>
        <v>0</v>
      </c>
      <c r="Q543" s="712" t="b">
        <f ca="1">IF($E543="",FALSE,IF(NOT(ISNUMBER($E543)),ErrorMsgs!$H543,IF(OR(VALUE($E543)-ROUND(VALUE($E543),2)&lt;&gt;0,VALUE($E543)&lt;=-1000000000000,VALUE($E543)&gt;=1000000000000),ErrorMsgs!$H543)))</f>
        <v>0</v>
      </c>
      <c r="R543" s="712"/>
      <c r="S543" s="712"/>
      <c r="T543" s="712"/>
      <c r="U543" s="526" t="str">
        <f t="shared" ca="1" si="74"/>
        <v/>
      </c>
      <c r="V543" s="93" t="str" cm="1">
        <f t="array" aca="1" ref="V543" ca="1">CELL("format",INDIRECT(I543))</f>
        <v>C2</v>
      </c>
      <c r="W543" s="93" t="b">
        <f t="shared" ca="1" si="75"/>
        <v>0</v>
      </c>
      <c r="X543" s="715" t="str">
        <f t="shared" ca="1" si="73"/>
        <v/>
      </c>
      <c r="Y543" t="b">
        <f t="shared" ca="1" si="76"/>
        <v>1</v>
      </c>
    </row>
    <row r="544" spans="1:25" ht="69" customHeight="1">
      <c r="A544" s="705" t="s">
        <v>3499</v>
      </c>
      <c r="B544" s="716" t="str">
        <f t="shared" ca="1" si="69"/>
        <v>Employer CF and liquid assets - C82</v>
      </c>
      <c r="C544" s="707" t="str" cm="1">
        <f t="array" aca="1" ref="C544" ca="1">INDIRECT(LEFT(I544, FIND("!", I544)) &amp; RefData!$C$426 &amp; RIGHT(I544, LEN(I544) - FIND("!", I544) - 1))</f>
        <v xml:space="preserve">No answer required
Employer Investment in sustainable growth
</v>
      </c>
      <c r="D544" s="92" t="str">
        <f t="shared" ca="1" si="77"/>
        <v/>
      </c>
      <c r="E544" s="708" t="str" cm="1">
        <f t="array" aca="1" ref="E544" ca="1">IF(INDIRECT($I544)= "", "", INDIRECT($I544))</f>
        <v/>
      </c>
      <c r="F544" s="709" t="str" cm="1">
        <f t="array" aca="1" ref="F544" ca="1">INDIRECT(LEFT(I544, FIND("!", I544)) &amp; RefData!$C$427 &amp; RIGHT(I544, LEN(I544) - FIND("!", I544) - 1))</f>
        <v>ECI 14.0</v>
      </c>
      <c r="G544" s="710" t="b">
        <f ca="1">IF(ISNUMBER(SEARCH(RefData!$B$2, $C544)), FALSE, TRUE)</f>
        <v>0</v>
      </c>
      <c r="H544" s="96">
        <f>'Employer CF and liquid assets'!C82</f>
        <v>0</v>
      </c>
      <c r="I544" s="712" t="str">
        <f t="shared" ca="1" si="71"/>
        <v>'Employer CF and liquid assets'!C82</v>
      </c>
      <c r="J544" s="713" t="b" cm="1">
        <f t="array" aca="1" ref="J544" ca="1">IF(COUNTIF($K544:$T544, "&lt;&gt;FALSE") - COUNTBLANK($K544:$T544) &gt; 0, INDEX($K544:$T544, MATCH(TRUE, $K544:$T544 &lt;&gt; FALSE, 0)))</f>
        <v>0</v>
      </c>
      <c r="K544" s="712" t="b">
        <f ca="1">IF(AND('Start here'!$C$26&lt;&gt;RefData!$B$10,'Reconciliation report'!$E544&lt;&gt;""),ErrorMsgs!$B544)</f>
        <v>0</v>
      </c>
      <c r="L544" s="712" t="b">
        <f ca="1">IF(AND('Start here'!$C$26=RefData!$B$10,'Start here'!$C$23=RefData!$B$18,'Covenant summary information'!$C$96&lt;&gt;RefData!$B$108,'Reconciliation report'!$E544&lt;&gt;""),ErrorMsgs!$C544)</f>
        <v>0</v>
      </c>
      <c r="M544" s="714" t="b">
        <f ca="1">IF(AND('Start here'!$C$26=RefData!$B$10,'Start here'!$C$23=RefData!$B$18,'Covenant summary information'!$C$96=RefData!$B$108,'Reconciliation report'!$E544=""),ErrorMsgs!$D544)</f>
        <v>0</v>
      </c>
      <c r="N544" s="714" t="b">
        <f ca="1">IF(AND('Start here'!$C$26=RefData!$B$10,'Start here'!$C$23=RefData!$B$17,OR('Covenant summary information'!$C$97&lt;&gt;RefData!$B$110,'Covenant summary information'!$C$97=""),'Reconciliation report'!$E544&lt;&gt;""),ErrorMsgs!$E544)</f>
        <v>0</v>
      </c>
      <c r="O544" s="712" t="b">
        <f ca="1">IF(AND('Start here'!$C$26=RefData!$B$10,'Start here'!$C$23=RefData!$B$17,'Covenant summary information'!$C$97=RefData!$B$110,'Reconciliation report'!$E544=""),ErrorMsgs!$F544)</f>
        <v>0</v>
      </c>
      <c r="P544" s="712" t="b">
        <f ca="1">IF($E544="",FALSE,IF(ISERROR(VALUE($E544)),ErrorMsgs!$G544,IF(OR(VALUE($E544)-ROUND(VALUE($E544),2)&lt;&gt;0,VALUE($E544)&lt;=-1000000000000,VALUE($E544)&gt;0),ErrorMsgs!$G544)))</f>
        <v>0</v>
      </c>
      <c r="Q544" s="712"/>
      <c r="R544" s="712"/>
      <c r="S544" s="712"/>
      <c r="T544" s="712"/>
      <c r="U544" s="526" t="str">
        <f t="shared" ca="1" si="74"/>
        <v/>
      </c>
      <c r="V544" s="93" t="str" cm="1">
        <f t="array" aca="1" ref="V544" ca="1">CELL("format",INDIRECT(I544))</f>
        <v>C2</v>
      </c>
      <c r="W544" s="93" t="b">
        <f t="shared" ca="1" si="75"/>
        <v>0</v>
      </c>
      <c r="X544" s="715" t="str">
        <f t="shared" ca="1" si="73"/>
        <v/>
      </c>
      <c r="Y544" t="b">
        <f t="shared" ca="1" si="76"/>
        <v>1</v>
      </c>
    </row>
    <row r="545" spans="1:25" ht="62">
      <c r="A545" s="705" t="s">
        <v>3500</v>
      </c>
      <c r="B545" s="716" t="str">
        <f t="shared" ca="1" si="69"/>
        <v>Employer CF and liquid assets - D82</v>
      </c>
      <c r="C545" s="707" t="str" cm="1">
        <f t="array" aca="1" ref="C545" ca="1">INDIRECT(LEFT(I545, FIND("!", I545)) &amp; RefData!$C$426 &amp; RIGHT(I545, LEN(I545) - FIND("!", I545) - 1))</f>
        <v xml:space="preserve">No answer required
Employer Investment in sustainable growth
</v>
      </c>
      <c r="D545" s="92" t="str">
        <f t="shared" ca="1" si="77"/>
        <v/>
      </c>
      <c r="E545" s="708" t="str" cm="1">
        <f t="array" aca="1" ref="E545" ca="1">IF(INDIRECT($I545)= "", "", INDIRECT($I545))</f>
        <v/>
      </c>
      <c r="F545" s="709" t="str" cm="1">
        <f t="array" aca="1" ref="F545" ca="1">INDIRECT(LEFT(I545, FIND("!", I545)) &amp; RefData!$C$427 &amp; RIGHT(I545, LEN(I545) - FIND("!", I545) - 1))</f>
        <v>ECI 14.0</v>
      </c>
      <c r="G545" s="710" t="b">
        <f ca="1">IF(ISNUMBER(SEARCH(RefData!$B$2, $C545)), FALSE, TRUE)</f>
        <v>0</v>
      </c>
      <c r="H545" s="96">
        <f>'Employer CF and liquid assets'!D82</f>
        <v>0</v>
      </c>
      <c r="I545" s="712" t="str">
        <f t="shared" ca="1" si="71"/>
        <v>'Employer CF and liquid assets'!D82</v>
      </c>
      <c r="J545" s="713" t="b" cm="1">
        <f t="array" aca="1" ref="J545" ca="1">IF(COUNTIF($K545:$T545, "&lt;&gt;FALSE") - COUNTBLANK($K545:$T545) &gt; 0, INDEX($K545:$T545, MATCH(TRUE, $K545:$T545 &lt;&gt; FALSE, 0)))</f>
        <v>0</v>
      </c>
      <c r="K545" s="712" t="b">
        <f ca="1">IF(AND('Start here'!$C$26&lt;&gt;RefData!$B$10,'Reconciliation report'!$E545&lt;&gt;""),ErrorMsgs!$B545)</f>
        <v>0</v>
      </c>
      <c r="L545" s="712" t="b">
        <f ca="1">IF(AND('Start here'!$C$26=RefData!$B$10,'Start here'!$C$23=RefData!$B$18,'Covenant summary information'!$C$96&lt;&gt;RefData!$B$108,'Reconciliation report'!$E545&lt;&gt;""),ErrorMsgs!$C545)</f>
        <v>0</v>
      </c>
      <c r="M545" s="714" t="b">
        <f ca="1">IF(AND('Start here'!$C$26=RefData!$B$10,'Start here'!$C$23=RefData!$B$18,'Covenant summary information'!$C$96=RefData!$B$108,'Reconciliation report'!$E545=""),ErrorMsgs!$D545)</f>
        <v>0</v>
      </c>
      <c r="N545" s="714" t="b">
        <f ca="1">IF(AND('Start here'!$C$26=RefData!$B$10,'Start here'!$C$23=RefData!$B$17,OR('Covenant summary information'!$C$97&lt;&gt;RefData!$B$110,'Covenant summary information'!$C$97=""),'Reconciliation report'!$E545&lt;&gt;""),ErrorMsgs!$E545)</f>
        <v>0</v>
      </c>
      <c r="O545" s="712" t="b">
        <f ca="1">IF(AND('Start here'!$C$26=RefData!$B$10,'Start here'!$C$23=RefData!$B$17,'Covenant summary information'!$C$97=RefData!$B$110,'Reconciliation report'!$E545=""),ErrorMsgs!$F545)</f>
        <v>0</v>
      </c>
      <c r="P545" s="712" t="b">
        <f ca="1">IF($E545="",FALSE,IF(ISERROR(VALUE($E545)),ErrorMsgs!$G545,IF(OR(VALUE($E545)-ROUND(VALUE($E545),2)&lt;&gt;0,VALUE($E545)&lt;=-1000000000000,VALUE($E545)&gt;0),ErrorMsgs!$G545)))</f>
        <v>0</v>
      </c>
      <c r="Q545" s="712"/>
      <c r="R545" s="712"/>
      <c r="S545" s="712"/>
      <c r="T545" s="712"/>
      <c r="U545" s="526" t="str">
        <f t="shared" ca="1" si="74"/>
        <v/>
      </c>
      <c r="V545" s="93" t="str" cm="1">
        <f t="array" aca="1" ref="V545" ca="1">CELL("format",INDIRECT(I545))</f>
        <v>C2</v>
      </c>
      <c r="W545" s="93" t="b">
        <f t="shared" ca="1" si="75"/>
        <v>0</v>
      </c>
      <c r="X545" s="715" t="str">
        <f t="shared" ca="1" si="73"/>
        <v/>
      </c>
      <c r="Y545" t="b">
        <f t="shared" ca="1" si="76"/>
        <v>1</v>
      </c>
    </row>
    <row r="546" spans="1:25" ht="62">
      <c r="A546" s="705" t="s">
        <v>3501</v>
      </c>
      <c r="B546" s="716" t="str">
        <f t="shared" ca="1" si="69"/>
        <v>Employer CF and liquid assets - E82</v>
      </c>
      <c r="C546" s="707" t="str" cm="1">
        <f t="array" aca="1" ref="C546" ca="1">INDIRECT(LEFT(I546, FIND("!", I546)) &amp; RefData!$C$426 &amp; RIGHT(I546, LEN(I546) - FIND("!", I546) - 1))</f>
        <v xml:space="preserve">No answer required
Employer Investment in sustainable growth
</v>
      </c>
      <c r="D546" s="92" t="str">
        <f t="shared" ca="1" si="77"/>
        <v/>
      </c>
      <c r="E546" s="708" t="str" cm="1">
        <f t="array" aca="1" ref="E546" ca="1">IF(INDIRECT($I546)= "", "", INDIRECT($I546))</f>
        <v/>
      </c>
      <c r="F546" s="709" t="str" cm="1">
        <f t="array" aca="1" ref="F546" ca="1">INDIRECT(LEFT(I546, FIND("!", I546)) &amp; RefData!$C$427 &amp; RIGHT(I546, LEN(I546) - FIND("!", I546) - 1))</f>
        <v>ECI 14.0</v>
      </c>
      <c r="G546" s="710" t="b">
        <f ca="1">IF(ISNUMBER(SEARCH(RefData!$B$2, $C546)), FALSE, TRUE)</f>
        <v>0</v>
      </c>
      <c r="H546" s="96">
        <f>'Employer CF and liquid assets'!E82</f>
        <v>0</v>
      </c>
      <c r="I546" s="712" t="str">
        <f ca="1">SUBSTITUTE(_xlfn.FORMULATEXT($H546), "=", "")</f>
        <v>'Employer CF and liquid assets'!E82</v>
      </c>
      <c r="J546" s="713" t="b" cm="1">
        <f t="array" aca="1" ref="J546" ca="1">IF(COUNTIF($K546:$T546, "&lt;&gt;FALSE") - COUNTBLANK($K546:$T546) &gt; 0, INDEX($K546:$T546, MATCH(TRUE, $K546:$T546 &lt;&gt; FALSE, 0)))</f>
        <v>0</v>
      </c>
      <c r="K546" s="712" t="b">
        <f ca="1">IF(AND('Start here'!$C$26&lt;&gt;RefData!$B$10,'Reconciliation report'!$E546&lt;&gt;""),ErrorMsgs!$B546)</f>
        <v>0</v>
      </c>
      <c r="L546" s="712" t="b">
        <f ca="1">IF(AND('Start here'!$C$26=RefData!$B$10,'Start here'!$C$23=RefData!$B$18,'Covenant summary information'!$C$96&lt;&gt;RefData!$B$108,'Reconciliation report'!$E546&lt;&gt;""),ErrorMsgs!$C546)</f>
        <v>0</v>
      </c>
      <c r="M546" s="714" t="b">
        <f ca="1">IF(AND('Start here'!$C$26=RefData!$B$10,'Start here'!$C$23=RefData!$B$18,'Covenant summary information'!$C$96=RefData!$B$108,'Reconciliation report'!$E546=""),ErrorMsgs!$D546)</f>
        <v>0</v>
      </c>
      <c r="N546" s="714" t="b">
        <f ca="1">IF(AND('Start here'!$C$26=RefData!$B$10,'Start here'!$C$23=RefData!$B$17,OR('Covenant summary information'!$C$97&lt;&gt;RefData!$B$110,'Covenant summary information'!$C$97=""),'Reconciliation report'!$E546&lt;&gt;""),ErrorMsgs!$E546)</f>
        <v>0</v>
      </c>
      <c r="O546" s="712" t="b">
        <f ca="1">IF(AND('Start here'!$C$26=RefData!$B$10,'Start here'!$C$23=RefData!$B$17,'Covenant summary information'!$C$97=RefData!$B$110,'Reconciliation report'!$E546=""),ErrorMsgs!$F546)</f>
        <v>0</v>
      </c>
      <c r="P546" s="712" t="b">
        <f ca="1">IF($E546="",FALSE,IF(ISERROR(VALUE($E546)),ErrorMsgs!$G546,IF(OR(VALUE($E546)-ROUND(VALUE($E546),2)&lt;&gt;0,VALUE($E546)&lt;=-1000000000000,VALUE($E546)&gt;0),ErrorMsgs!$G546)))</f>
        <v>0</v>
      </c>
      <c r="Q546" s="712"/>
      <c r="R546" s="712"/>
      <c r="S546" s="712"/>
      <c r="T546" s="712"/>
      <c r="U546" s="526" t="str">
        <f t="shared" ca="1" si="74"/>
        <v/>
      </c>
      <c r="V546" s="93" t="str" cm="1">
        <f t="array" aca="1" ref="V546" ca="1">CELL("format",INDIRECT(I546))</f>
        <v>C2</v>
      </c>
      <c r="W546" s="93" t="b">
        <f t="shared" ca="1" si="75"/>
        <v>0</v>
      </c>
      <c r="X546" s="715" t="str">
        <f t="shared" ca="1" si="73"/>
        <v/>
      </c>
      <c r="Y546" t="b">
        <f t="shared" ca="1" si="76"/>
        <v>1</v>
      </c>
    </row>
    <row r="547" spans="1:25" ht="62">
      <c r="A547" s="705" t="s">
        <v>3502</v>
      </c>
      <c r="B547" s="716" t="str">
        <f t="shared" ref="B547:B701" ca="1" si="78">HYPERLINK("#" &amp; $I547, SUBSTITUTE(SUBSTITUTE($I547, "!", " - "), "'",""))</f>
        <v>Employer CF and liquid assets - C83</v>
      </c>
      <c r="C547" s="707" t="str" cm="1">
        <f t="array" aca="1" ref="C547" ca="1">INDIRECT(LEFT(I547, FIND("!", I547)) &amp; RefData!$C$426 &amp; RIGHT(I547, LEN(I547) - FIND("!", I547) - 1))</f>
        <v xml:space="preserve">No answer required
Shareholder returns
</v>
      </c>
      <c r="D547" s="92" t="str">
        <f t="shared" ca="1" si="77"/>
        <v/>
      </c>
      <c r="E547" s="708" t="str" cm="1">
        <f t="array" aca="1" ref="E547" ca="1">IF(INDIRECT($I547)= "", "", INDIRECT($I547))</f>
        <v/>
      </c>
      <c r="F547" s="709" t="str" cm="1">
        <f t="array" aca="1" ref="F547" ca="1">INDIRECT(LEFT(I547, FIND("!", I547)) &amp; RefData!$C$427 &amp; RIGHT(I547, LEN(I547) - FIND("!", I547) - 1))</f>
        <v>ECI 15.0</v>
      </c>
      <c r="G547" s="710" t="b">
        <f ca="1">IF(ISNUMBER(SEARCH(RefData!$B$2, $C547)), FALSE, TRUE)</f>
        <v>0</v>
      </c>
      <c r="H547" s="344">
        <f>'Employer CF and liquid assets'!C83</f>
        <v>0</v>
      </c>
      <c r="I547" s="712" t="str">
        <f t="shared" ref="I547:I701" ca="1" si="79">SUBSTITUTE(_xlfn.FORMULATEXT($H547), "=", "")</f>
        <v>'Employer CF and liquid assets'!C83</v>
      </c>
      <c r="J547" s="713" t="b" cm="1">
        <f t="array" aca="1" ref="J547" ca="1">IF(COUNTIF($K547:$T547, "&lt;&gt;FALSE") - COUNTBLANK($K547:$T547) &gt; 0, INDEX($K547:$T547, MATCH(TRUE, $K547:$T547 &lt;&gt; FALSE, 0)))</f>
        <v>0</v>
      </c>
      <c r="K547" s="712" t="b">
        <f ca="1">IF(AND('Start here'!$C$26&lt;&gt;RefData!$B$10,'Reconciliation report'!$E547&lt;&gt;""),ErrorMsgs!$B547)</f>
        <v>0</v>
      </c>
      <c r="L547" s="712" t="b">
        <f ca="1">IF(AND('Start here'!$C$26=RefData!$B$10,'Start here'!$C$23=RefData!$B$18,'Covenant summary information'!$C$96&lt;&gt;RefData!$B$108,'Reconciliation report'!$E547&lt;&gt;""),ErrorMsgs!$C547)</f>
        <v>0</v>
      </c>
      <c r="M547" s="714" t="b">
        <f ca="1">IF(AND('Start here'!$C$26=RefData!$B$10,'Start here'!$C$23=RefData!$B$18,'Covenant summary information'!$C$96=RefData!$B$108,'Reconciliation report'!$E547=""),ErrorMsgs!$D547)</f>
        <v>0</v>
      </c>
      <c r="N547" s="714" t="b">
        <f ca="1">IF(AND('Start here'!$C$26=RefData!$B$10,'Start here'!$C$23=RefData!$B$17,OR('Covenant summary information'!$C$97&lt;&gt;RefData!$B$110,'Covenant summary information'!$C$97=""),'Reconciliation report'!$E547&lt;&gt;""),ErrorMsgs!$E547)</f>
        <v>0</v>
      </c>
      <c r="O547" s="712" t="b">
        <f ca="1">IF(AND('Start here'!$C$26=RefData!$B$10,'Start here'!$C$23=RefData!$B$17,'Covenant summary information'!$C$97=RefData!$B$110,'Reconciliation report'!$E547=""),ErrorMsgs!$F547)</f>
        <v>0</v>
      </c>
      <c r="P547" s="712" t="b">
        <f ca="1">IF($E547="",FALSE,IF(ISERROR(VALUE($E547)),ErrorMsgs!$G547,IF(OR(VALUE($E547)-ROUND(VALUE($E547),2)&lt;&gt;0,VALUE($E547)&lt;=-1000000000000,VALUE($E547)&gt;0),ErrorMsgs!$G547)))</f>
        <v>0</v>
      </c>
      <c r="Q547" s="712"/>
      <c r="R547" s="712"/>
      <c r="S547" s="712"/>
      <c r="T547" s="712"/>
      <c r="U547" s="526" t="str">
        <f t="shared" ca="1" si="74"/>
        <v/>
      </c>
      <c r="V547" s="93" t="str" cm="1">
        <f t="array" aca="1" ref="V547" ca="1">CELL("format",INDIRECT(I547))</f>
        <v>C2</v>
      </c>
      <c r="W547" s="93" t="b">
        <f t="shared" ca="1" si="75"/>
        <v>0</v>
      </c>
      <c r="X547" s="715" t="str">
        <f t="shared" ca="1" si="73"/>
        <v/>
      </c>
      <c r="Y547" t="b">
        <f t="shared" ca="1" si="76"/>
        <v>1</v>
      </c>
    </row>
    <row r="548" spans="1:25" ht="62">
      <c r="A548" s="705" t="s">
        <v>3503</v>
      </c>
      <c r="B548" s="716" t="str">
        <f t="shared" ca="1" si="78"/>
        <v>Employer CF and liquid assets - D83</v>
      </c>
      <c r="C548" s="707" t="str" cm="1">
        <f t="array" aca="1" ref="C548" ca="1">INDIRECT(LEFT(I548, FIND("!", I548)) &amp; RefData!$C$426 &amp; RIGHT(I548, LEN(I548) - FIND("!", I548) - 1))</f>
        <v xml:space="preserve">No answer required
Shareholder returns
</v>
      </c>
      <c r="D548" s="92" t="str">
        <f t="shared" ca="1" si="77"/>
        <v/>
      </c>
      <c r="E548" s="708" t="str" cm="1">
        <f t="array" aca="1" ref="E548" ca="1">IF(INDIRECT($I548)= "", "", INDIRECT($I548))</f>
        <v/>
      </c>
      <c r="F548" s="709" t="str" cm="1">
        <f t="array" aca="1" ref="F548" ca="1">INDIRECT(LEFT(I548, FIND("!", I548)) &amp; RefData!$C$427 &amp; RIGHT(I548, LEN(I548) - FIND("!", I548) - 1))</f>
        <v>ECI 15.0</v>
      </c>
      <c r="G548" s="710" t="b">
        <f ca="1">IF(ISNUMBER(SEARCH(RefData!$B$2, $C548)), FALSE, TRUE)</f>
        <v>0</v>
      </c>
      <c r="H548" s="344">
        <f>'Employer CF and liquid assets'!D83</f>
        <v>0</v>
      </c>
      <c r="I548" s="712" t="str">
        <f t="shared" ca="1" si="79"/>
        <v>'Employer CF and liquid assets'!D83</v>
      </c>
      <c r="J548" s="713" t="b" cm="1">
        <f t="array" aca="1" ref="J548" ca="1">IF(COUNTIF($K548:$T548, "&lt;&gt;FALSE") - COUNTBLANK($K548:$T548) &gt; 0, INDEX($K548:$T548, MATCH(TRUE, $K548:$T548 &lt;&gt; FALSE, 0)))</f>
        <v>0</v>
      </c>
      <c r="K548" s="712" t="b">
        <f ca="1">IF(AND('Start here'!$C$26&lt;&gt;RefData!$B$10,'Reconciliation report'!$E548&lt;&gt;""),ErrorMsgs!$B548)</f>
        <v>0</v>
      </c>
      <c r="L548" s="712" t="b">
        <f ca="1">IF(AND('Start here'!$C$26=RefData!$B$10,'Start here'!$C$23=RefData!$B$18,'Covenant summary information'!$C$96&lt;&gt;RefData!$B$108,'Reconciliation report'!$E548&lt;&gt;""),ErrorMsgs!$C548)</f>
        <v>0</v>
      </c>
      <c r="M548" s="714" t="b">
        <f ca="1">IF(AND('Start here'!$C$26=RefData!$B$10,'Start here'!$C$23=RefData!$B$18,'Covenant summary information'!$C$96=RefData!$B$108,'Reconciliation report'!$E548=""),ErrorMsgs!$D548)</f>
        <v>0</v>
      </c>
      <c r="N548" s="714" t="b">
        <f ca="1">IF(AND('Start here'!$C$26=RefData!$B$10,'Start here'!$C$23=RefData!$B$17,OR('Covenant summary information'!$C$97&lt;&gt;RefData!$B$110,'Covenant summary information'!$C$97=""),'Reconciliation report'!$E548&lt;&gt;""),ErrorMsgs!$E548)</f>
        <v>0</v>
      </c>
      <c r="O548" s="712" t="b">
        <f ca="1">IF(AND('Start here'!$C$26=RefData!$B$10,'Start here'!$C$23=RefData!$B$17,'Covenant summary information'!$C$97=RefData!$B$110,'Reconciliation report'!$E548=""),ErrorMsgs!$F548)</f>
        <v>0</v>
      </c>
      <c r="P548" s="712" t="b">
        <f ca="1">IF($E548="",FALSE,IF(ISERROR(VALUE($E548)),ErrorMsgs!$G548,IF(OR(VALUE($E548)-ROUND(VALUE($E548),2)&lt;&gt;0,VALUE($E548)&lt;=-1000000000000,VALUE($E548)&gt;0),ErrorMsgs!$G548)))</f>
        <v>0</v>
      </c>
      <c r="Q548" s="712"/>
      <c r="R548" s="712"/>
      <c r="S548" s="712"/>
      <c r="T548" s="712"/>
      <c r="U548" s="526" t="str">
        <f t="shared" ca="1" si="74"/>
        <v/>
      </c>
      <c r="V548" s="93" t="str" cm="1">
        <f t="array" aca="1" ref="V548" ca="1">CELL("format",INDIRECT(I548))</f>
        <v>C2</v>
      </c>
      <c r="W548" s="93" t="b">
        <f t="shared" ca="1" si="75"/>
        <v>0</v>
      </c>
      <c r="X548" s="715" t="str">
        <f t="shared" ca="1" si="73"/>
        <v/>
      </c>
      <c r="Y548" t="b">
        <f t="shared" ca="1" si="76"/>
        <v>1</v>
      </c>
    </row>
    <row r="549" spans="1:25" ht="62">
      <c r="A549" s="705" t="s">
        <v>3504</v>
      </c>
      <c r="B549" s="716" t="str">
        <f t="shared" ca="1" si="78"/>
        <v>Employer CF and liquid assets - E83</v>
      </c>
      <c r="C549" s="707" t="str" cm="1">
        <f t="array" aca="1" ref="C549" ca="1">INDIRECT(LEFT(I549, FIND("!", I549)) &amp; RefData!$C$426 &amp; RIGHT(I549, LEN(I549) - FIND("!", I549) - 1))</f>
        <v xml:space="preserve">No answer required
Shareholder returns
</v>
      </c>
      <c r="D549" s="92" t="str">
        <f t="shared" ca="1" si="77"/>
        <v/>
      </c>
      <c r="E549" s="708" t="str" cm="1">
        <f t="array" aca="1" ref="E549" ca="1">IF(INDIRECT($I549)= "", "", INDIRECT($I549))</f>
        <v/>
      </c>
      <c r="F549" s="709" t="str" cm="1">
        <f t="array" aca="1" ref="F549" ca="1">INDIRECT(LEFT(I549, FIND("!", I549)) &amp; RefData!$C$427 &amp; RIGHT(I549, LEN(I549) - FIND("!", I549) - 1))</f>
        <v>ECI 15.0</v>
      </c>
      <c r="G549" s="710" t="b">
        <f ca="1">IF(ISNUMBER(SEARCH(RefData!$B$2, $C549)), FALSE, TRUE)</f>
        <v>0</v>
      </c>
      <c r="H549" s="344">
        <f>'Employer CF and liquid assets'!E83</f>
        <v>0</v>
      </c>
      <c r="I549" s="712" t="str">
        <f t="shared" ca="1" si="79"/>
        <v>'Employer CF and liquid assets'!E83</v>
      </c>
      <c r="J549" s="713" t="b" cm="1">
        <f t="array" aca="1" ref="J549" ca="1">IF(COUNTIF($K549:$T549, "&lt;&gt;FALSE") - COUNTBLANK($K549:$T549) &gt; 0, INDEX($K549:$T549, MATCH(TRUE, $K549:$T549 &lt;&gt; FALSE, 0)))</f>
        <v>0</v>
      </c>
      <c r="K549" s="712" t="b">
        <f ca="1">IF(AND('Start here'!$C$26&lt;&gt;RefData!$B$10,'Reconciliation report'!$E549&lt;&gt;""),ErrorMsgs!$B549)</f>
        <v>0</v>
      </c>
      <c r="L549" s="712" t="b">
        <f ca="1">IF(AND('Start here'!$C$26=RefData!$B$10,'Start here'!$C$23=RefData!$B$18,'Covenant summary information'!$C$96&lt;&gt;RefData!$B$108,'Reconciliation report'!$E549&lt;&gt;""),ErrorMsgs!$C549)</f>
        <v>0</v>
      </c>
      <c r="M549" s="714" t="b">
        <f ca="1">IF(AND('Start here'!$C$26=RefData!$B$10,'Start here'!$C$23=RefData!$B$18,'Covenant summary information'!$C$96=RefData!$B$108,'Reconciliation report'!$E549=""),ErrorMsgs!$D549)</f>
        <v>0</v>
      </c>
      <c r="N549" s="714" t="b">
        <f ca="1">IF(AND('Start here'!$C$26=RefData!$B$10,'Start here'!$C$23=RefData!$B$17,OR('Covenant summary information'!$C$97&lt;&gt;RefData!$B$110,'Covenant summary information'!$C$97=""),'Reconciliation report'!$E549&lt;&gt;""),ErrorMsgs!$E549)</f>
        <v>0</v>
      </c>
      <c r="O549" s="712" t="b">
        <f ca="1">IF(AND('Start here'!$C$26=RefData!$B$10,'Start here'!$C$23=RefData!$B$17,'Covenant summary information'!$C$97=RefData!$B$110,'Reconciliation report'!$E549=""),ErrorMsgs!$F549)</f>
        <v>0</v>
      </c>
      <c r="P549" s="712" t="b">
        <f ca="1">IF($E549="",FALSE,IF(ISERROR(VALUE($E549)),ErrorMsgs!$G549,IF(OR(VALUE($E549)-ROUND(VALUE($E549),2)&lt;&gt;0,VALUE($E549)&lt;=-1000000000000,VALUE($E549)&gt;0),ErrorMsgs!$G549)))</f>
        <v>0</v>
      </c>
      <c r="Q549" s="712"/>
      <c r="R549" s="712"/>
      <c r="S549" s="712"/>
      <c r="T549" s="712"/>
      <c r="U549" s="526" t="str">
        <f t="shared" ca="1" si="74"/>
        <v/>
      </c>
      <c r="V549" s="93" t="str" cm="1">
        <f t="array" aca="1" ref="V549" ca="1">CELL("format",INDIRECT(I549))</f>
        <v>C2</v>
      </c>
      <c r="W549" s="93" t="b">
        <f t="shared" ca="1" si="75"/>
        <v>0</v>
      </c>
      <c r="X549" s="715" t="str">
        <f t="shared" ca="1" si="73"/>
        <v/>
      </c>
      <c r="Y549" t="b">
        <f t="shared" ca="1" si="76"/>
        <v>1</v>
      </c>
    </row>
    <row r="550" spans="1:25" ht="62">
      <c r="A550" s="705" t="s">
        <v>3505</v>
      </c>
      <c r="B550" s="716" t="str">
        <f t="shared" ca="1" si="78"/>
        <v>Employer CF and liquid assets - C84</v>
      </c>
      <c r="C550" s="707" t="str" cm="1">
        <f t="array" aca="1" ref="C550" ca="1">INDIRECT(LEFT(I550, FIND("!", I550)) &amp; RefData!$C$426 &amp; RIGHT(I550, LEN(I550) - FIND("!", I550) - 1))</f>
        <v xml:space="preserve">No answer required
Employer payments to other DB schemes
</v>
      </c>
      <c r="D550" s="92" t="str">
        <f t="shared" ca="1" si="77"/>
        <v/>
      </c>
      <c r="E550" s="708" t="str" cm="1">
        <f t="array" aca="1" ref="E550" ca="1">IF(INDIRECT($I550)= "", "", INDIRECT($I550))</f>
        <v/>
      </c>
      <c r="F550" s="709" t="str" cm="1">
        <f t="array" aca="1" ref="F550" ca="1">INDIRECT(LEFT(I550, FIND("!", I550)) &amp; RefData!$C$427 &amp; RIGHT(I550, LEN(I550) - FIND("!", I550) - 1))</f>
        <v>ECI 16.0</v>
      </c>
      <c r="G550" s="710" t="b">
        <f ca="1">IF(ISNUMBER(SEARCH(RefData!$B$2, $C550)), FALSE, TRUE)</f>
        <v>0</v>
      </c>
      <c r="H550" s="344">
        <f>'Employer CF and liquid assets'!C84</f>
        <v>0</v>
      </c>
      <c r="I550" s="712" t="str">
        <f t="shared" ca="1" si="79"/>
        <v>'Employer CF and liquid assets'!C84</v>
      </c>
      <c r="J550" s="713" t="b" cm="1">
        <f t="array" aca="1" ref="J550" ca="1">IF(COUNTIF($K550:$T550, "&lt;&gt;FALSE") - COUNTBLANK($K550:$T550) &gt; 0, INDEX($K550:$T550, MATCH(TRUE, $K550:$T550 &lt;&gt; FALSE, 0)))</f>
        <v>0</v>
      </c>
      <c r="K550" s="712" t="b">
        <f ca="1">IF(AND('Start here'!$C$26&lt;&gt;RefData!$B$10,'Reconciliation report'!$E550&lt;&gt;""),ErrorMsgs!$B550)</f>
        <v>0</v>
      </c>
      <c r="L550" s="712" t="b">
        <f ca="1">IF(AND('Start here'!$C$26=RefData!$B$10,'Start here'!$C$23=RefData!$B$18,'Covenant summary information'!$C$96&lt;&gt;RefData!$B$108,'Reconciliation report'!$E550&lt;&gt;""),ErrorMsgs!$C550)</f>
        <v>0</v>
      </c>
      <c r="M550" s="714" t="b">
        <f ca="1">IF(AND('Start here'!$C$26=RefData!$B$10,'Start here'!$C$23=RefData!$B$18,'Covenant summary information'!$C$96=RefData!$B$108,'Reconciliation report'!$E550=""),ErrorMsgs!$D550)</f>
        <v>0</v>
      </c>
      <c r="N550" s="714" t="b">
        <f ca="1">IF(AND('Start here'!$C$26=RefData!$B$10,'Start here'!$C$23=RefData!$B$17,OR('Covenant summary information'!$C$97&lt;&gt;RefData!$B$110,'Covenant summary information'!$C$97=""),'Reconciliation report'!$E550&lt;&gt;""),ErrorMsgs!$E550)</f>
        <v>0</v>
      </c>
      <c r="O550" s="712" t="b">
        <f ca="1">IF(AND('Start here'!$C$26=RefData!$B$10,'Start here'!$C$23=RefData!$B$17,'Covenant summary information'!$C$97=RefData!$B$110,'Reconciliation report'!$E550=""),ErrorMsgs!$F550)</f>
        <v>0</v>
      </c>
      <c r="P550" s="712" t="b">
        <f ca="1">IF($E550="",FALSE,IF(ISERROR(VALUE($E550)),ErrorMsgs!$G550,IF(OR(VALUE($E550)-ROUND(VALUE($E550),2)&lt;&gt;0,VALUE($E550)&lt;=-1000000000000,VALUE($E550)&gt;0),ErrorMsgs!$G550)))</f>
        <v>0</v>
      </c>
      <c r="Q550" s="712"/>
      <c r="R550" s="712"/>
      <c r="S550" s="712"/>
      <c r="T550" s="712"/>
      <c r="U550" s="526" t="str">
        <f t="shared" ca="1" si="74"/>
        <v/>
      </c>
      <c r="V550" s="93" t="str" cm="1">
        <f t="array" aca="1" ref="V550" ca="1">CELL("format",INDIRECT(I550))</f>
        <v>C2</v>
      </c>
      <c r="W550" s="93" t="b">
        <f t="shared" ca="1" si="75"/>
        <v>0</v>
      </c>
      <c r="X550" s="715" t="str">
        <f t="shared" ca="1" si="73"/>
        <v/>
      </c>
      <c r="Y550" t="b">
        <f t="shared" ca="1" si="76"/>
        <v>1</v>
      </c>
    </row>
    <row r="551" spans="1:25" ht="62">
      <c r="A551" s="705" t="s">
        <v>3506</v>
      </c>
      <c r="B551" s="716" t="str">
        <f t="shared" ca="1" si="78"/>
        <v>Employer CF and liquid assets - D84</v>
      </c>
      <c r="C551" s="707" t="str" cm="1">
        <f t="array" aca="1" ref="C551" ca="1">INDIRECT(LEFT(I551, FIND("!", I551)) &amp; RefData!$C$426 &amp; RIGHT(I551, LEN(I551) - FIND("!", I551) - 1))</f>
        <v xml:space="preserve">No answer required
Employer payments to other DB schemes
</v>
      </c>
      <c r="D551" s="92" t="str">
        <f t="shared" ca="1" si="77"/>
        <v/>
      </c>
      <c r="E551" s="708" t="str" cm="1">
        <f t="array" aca="1" ref="E551" ca="1">IF(INDIRECT($I551)= "", "", INDIRECT($I551))</f>
        <v/>
      </c>
      <c r="F551" s="709" t="str" cm="1">
        <f t="array" aca="1" ref="F551" ca="1">INDIRECT(LEFT(I551, FIND("!", I551)) &amp; RefData!$C$427 &amp; RIGHT(I551, LEN(I551) - FIND("!", I551) - 1))</f>
        <v>ECI 16.0</v>
      </c>
      <c r="G551" s="710" t="b">
        <f ca="1">IF(ISNUMBER(SEARCH(RefData!$B$2, $C551)), FALSE, TRUE)</f>
        <v>0</v>
      </c>
      <c r="H551" s="344">
        <f>'Employer CF and liquid assets'!D84</f>
        <v>0</v>
      </c>
      <c r="I551" s="712" t="str">
        <f t="shared" ca="1" si="79"/>
        <v>'Employer CF and liquid assets'!D84</v>
      </c>
      <c r="J551" s="713" t="b" cm="1">
        <f t="array" aca="1" ref="J551" ca="1">IF(COUNTIF($K551:$T551, "&lt;&gt;FALSE") - COUNTBLANK($K551:$T551) &gt; 0, INDEX($K551:$T551, MATCH(TRUE, $K551:$T551 &lt;&gt; FALSE, 0)))</f>
        <v>0</v>
      </c>
      <c r="K551" s="712" t="b">
        <f ca="1">IF(AND('Start here'!$C$26&lt;&gt;RefData!$B$10,'Reconciliation report'!$E551&lt;&gt;""),ErrorMsgs!$B551)</f>
        <v>0</v>
      </c>
      <c r="L551" s="712" t="b">
        <f ca="1">IF(AND('Start here'!$C$26=RefData!$B$10,'Start here'!$C$23=RefData!$B$18,'Covenant summary information'!$C$96&lt;&gt;RefData!$B$108,'Reconciliation report'!$E551&lt;&gt;""),ErrorMsgs!$C551)</f>
        <v>0</v>
      </c>
      <c r="M551" s="714" t="b">
        <f ca="1">IF(AND('Start here'!$C$26=RefData!$B$10,'Start here'!$C$23=RefData!$B$18,'Covenant summary information'!$C$96=RefData!$B$108,'Reconciliation report'!$E551=""),ErrorMsgs!$D551)</f>
        <v>0</v>
      </c>
      <c r="N551" s="714" t="b">
        <f ca="1">IF(AND('Start here'!$C$26=RefData!$B$10,'Start here'!$C$23=RefData!$B$17,OR('Covenant summary information'!$C$97&lt;&gt;RefData!$B$110,'Covenant summary information'!$C$97=""),'Reconciliation report'!$E551&lt;&gt;""),ErrorMsgs!$E551)</f>
        <v>0</v>
      </c>
      <c r="O551" s="712" t="b">
        <f ca="1">IF(AND('Start here'!$C$26=RefData!$B$10,'Start here'!$C$23=RefData!$B$17,'Covenant summary information'!$C$97=RefData!$B$110,'Reconciliation report'!$E551=""),ErrorMsgs!$F551)</f>
        <v>0</v>
      </c>
      <c r="P551" s="712" t="b">
        <f ca="1">IF($E551="",FALSE,IF(ISERROR(VALUE($E551)),ErrorMsgs!$G551,IF(OR(VALUE($E551)-ROUND(VALUE($E551),2)&lt;&gt;0,VALUE($E551)&lt;=-1000000000000,VALUE($E551)&gt;0),ErrorMsgs!$G551)))</f>
        <v>0</v>
      </c>
      <c r="Q551" s="712"/>
      <c r="R551" s="712"/>
      <c r="S551" s="712"/>
      <c r="T551" s="712"/>
      <c r="U551" s="526" t="str">
        <f t="shared" ca="1" si="74"/>
        <v/>
      </c>
      <c r="V551" s="93" t="str" cm="1">
        <f t="array" aca="1" ref="V551" ca="1">CELL("format",INDIRECT(I551))</f>
        <v>C2</v>
      </c>
      <c r="W551" s="93" t="b">
        <f t="shared" ca="1" si="75"/>
        <v>0</v>
      </c>
      <c r="X551" s="715" t="str">
        <f t="shared" ca="1" si="73"/>
        <v/>
      </c>
      <c r="Y551" t="b">
        <f t="shared" ca="1" si="76"/>
        <v>1</v>
      </c>
    </row>
    <row r="552" spans="1:25" ht="62">
      <c r="A552" s="705" t="s">
        <v>3507</v>
      </c>
      <c r="B552" s="716" t="str">
        <f t="shared" ca="1" si="78"/>
        <v>Employer CF and liquid assets - E84</v>
      </c>
      <c r="C552" s="707" t="str" cm="1">
        <f t="array" aca="1" ref="C552" ca="1">INDIRECT(LEFT(I552, FIND("!", I552)) &amp; RefData!$C$426 &amp; RIGHT(I552, LEN(I552) - FIND("!", I552) - 1))</f>
        <v xml:space="preserve">No answer required
Employer payments to other DB schemes
</v>
      </c>
      <c r="D552" s="92" t="str">
        <f t="shared" ca="1" si="77"/>
        <v/>
      </c>
      <c r="E552" s="708" t="str" cm="1">
        <f t="array" aca="1" ref="E552" ca="1">IF(INDIRECT($I552)= "", "", INDIRECT($I552))</f>
        <v/>
      </c>
      <c r="F552" s="709" t="str" cm="1">
        <f t="array" aca="1" ref="F552" ca="1">INDIRECT(LEFT(I552, FIND("!", I552)) &amp; RefData!$C$427 &amp; RIGHT(I552, LEN(I552) - FIND("!", I552) - 1))</f>
        <v>ECI 16.0</v>
      </c>
      <c r="G552" s="710" t="b">
        <f ca="1">IF(ISNUMBER(SEARCH(RefData!$B$2, $C552)), FALSE, TRUE)</f>
        <v>0</v>
      </c>
      <c r="H552" s="344">
        <f>'Employer CF and liquid assets'!E84</f>
        <v>0</v>
      </c>
      <c r="I552" s="712" t="str">
        <f t="shared" ca="1" si="79"/>
        <v>'Employer CF and liquid assets'!E84</v>
      </c>
      <c r="J552" s="713" t="b" cm="1">
        <f t="array" aca="1" ref="J552" ca="1">IF(COUNTIF($K552:$T552, "&lt;&gt;FALSE") - COUNTBLANK($K552:$T552) &gt; 0, INDEX($K552:$T552, MATCH(TRUE, $K552:$T552 &lt;&gt; FALSE, 0)))</f>
        <v>0</v>
      </c>
      <c r="K552" s="712" t="b">
        <f ca="1">IF(AND('Start here'!$C$26&lt;&gt;RefData!$B$10,'Reconciliation report'!$E552&lt;&gt;""),ErrorMsgs!$B552)</f>
        <v>0</v>
      </c>
      <c r="L552" s="712" t="b">
        <f ca="1">IF(AND('Start here'!$C$26=RefData!$B$10,'Start here'!$C$23=RefData!$B$18,'Covenant summary information'!$C$96&lt;&gt;RefData!$B$108,'Reconciliation report'!$E552&lt;&gt;""),ErrorMsgs!$C552)</f>
        <v>0</v>
      </c>
      <c r="M552" s="714" t="b">
        <f ca="1">IF(AND('Start here'!$C$26=RefData!$B$10,'Start here'!$C$23=RefData!$B$18,'Covenant summary information'!$C$96=RefData!$B$108,'Reconciliation report'!$E552=""),ErrorMsgs!$D552)</f>
        <v>0</v>
      </c>
      <c r="N552" s="714" t="b">
        <f ca="1">IF(AND('Start here'!$C$26=RefData!$B$10,'Start here'!$C$23=RefData!$B$17,OR('Covenant summary information'!$C$97&lt;&gt;RefData!$B$110,'Covenant summary information'!$C$97=""),'Reconciliation report'!$E552&lt;&gt;""),ErrorMsgs!$E552)</f>
        <v>0</v>
      </c>
      <c r="O552" s="712" t="b">
        <f ca="1">IF(AND('Start here'!$C$26=RefData!$B$10,'Start here'!$C$23=RefData!$B$17,'Covenant summary information'!$C$97=RefData!$B$110,'Reconciliation report'!$E552=""),ErrorMsgs!$F552)</f>
        <v>0</v>
      </c>
      <c r="P552" s="712" t="b">
        <f ca="1">IF($E552="",FALSE,IF(ISERROR(VALUE($E552)),ErrorMsgs!$G552,IF(OR(VALUE($E552)-ROUND(VALUE($E552),2)&lt;&gt;0,VALUE($E552)&lt;=-1000000000000,VALUE($E552)&gt;0),ErrorMsgs!$G552)))</f>
        <v>0</v>
      </c>
      <c r="Q552" s="712"/>
      <c r="R552" s="712"/>
      <c r="S552" s="712"/>
      <c r="T552" s="712"/>
      <c r="U552" s="526" t="str">
        <f t="shared" ca="1" si="74"/>
        <v/>
      </c>
      <c r="V552" s="93" t="str" cm="1">
        <f t="array" aca="1" ref="V552" ca="1">CELL("format",INDIRECT(I552))</f>
        <v>C2</v>
      </c>
      <c r="W552" s="93" t="b">
        <f t="shared" ca="1" si="75"/>
        <v>0</v>
      </c>
      <c r="X552" s="715" t="str">
        <f t="shared" ca="1" si="73"/>
        <v/>
      </c>
      <c r="Y552" t="b">
        <f t="shared" ca="1" si="76"/>
        <v>1</v>
      </c>
    </row>
    <row r="553" spans="1:25" ht="62">
      <c r="A553" s="705" t="s">
        <v>3508</v>
      </c>
      <c r="B553" s="716" t="str">
        <f t="shared" ca="1" si="78"/>
        <v>Employer CF and liquid assets - C85</v>
      </c>
      <c r="C553" s="707" t="str" cm="1">
        <f t="array" aca="1" ref="C553" ca="1">INDIRECT(LEFT(I553, FIND("!", I553)) &amp; RefData!$C$426 &amp; RIGHT(I553, LEN(I553) - FIND("!", I553) - 1))</f>
        <v xml:space="preserve">No answer required
Other alternative uses of cash by employer
</v>
      </c>
      <c r="D553" s="92" t="str">
        <f t="shared" ca="1" si="77"/>
        <v/>
      </c>
      <c r="E553" s="708" t="str" cm="1">
        <f t="array" aca="1" ref="E553" ca="1">IF(INDIRECT($I553)= "", "", INDIRECT($I553))</f>
        <v/>
      </c>
      <c r="F553" s="709" t="str" cm="1">
        <f t="array" aca="1" ref="F553" ca="1">INDIRECT(LEFT(I553, FIND("!", I553)) &amp; RefData!$C$427 &amp; RIGHT(I553, LEN(I553) - FIND("!", I553) - 1))</f>
        <v>ECI 17.0</v>
      </c>
      <c r="G553" s="710" t="b">
        <f ca="1">IF(ISNUMBER(SEARCH(RefData!$B$2, $C553)), FALSE, TRUE)</f>
        <v>0</v>
      </c>
      <c r="H553" s="344">
        <f>'Employer CF and liquid assets'!C85</f>
        <v>0</v>
      </c>
      <c r="I553" s="712" t="str">
        <f t="shared" ca="1" si="79"/>
        <v>'Employer CF and liquid assets'!C85</v>
      </c>
      <c r="J553" s="713" t="b" cm="1">
        <f t="array" aca="1" ref="J553" ca="1">IF(COUNTIF($K553:$T553, "&lt;&gt;FALSE") - COUNTBLANK($K553:$T553) &gt; 0, INDEX($K553:$T553, MATCH(TRUE, $K553:$T553 &lt;&gt; FALSE, 0)))</f>
        <v>0</v>
      </c>
      <c r="K553" s="712" t="b">
        <f ca="1">IF(AND('Start here'!$C$26&lt;&gt;RefData!$B$10,'Reconciliation report'!$E553&lt;&gt;""),ErrorMsgs!$B553)</f>
        <v>0</v>
      </c>
      <c r="L553" s="712" t="b">
        <f ca="1">IF(AND('Start here'!$C$26=RefData!$B$10,'Start here'!$C$23=RefData!$B$18,'Covenant summary information'!$C$96&lt;&gt;RefData!$B$108,'Reconciliation report'!$E553&lt;&gt;""),ErrorMsgs!$C553)</f>
        <v>0</v>
      </c>
      <c r="M553" s="714" t="b">
        <f ca="1">IF(AND('Start here'!$C$26=RefData!$B$10,'Start here'!$C$23=RefData!$B$18,'Covenant summary information'!$C$96=RefData!$B$108,'Reconciliation report'!$E553=""),ErrorMsgs!$D553)</f>
        <v>0</v>
      </c>
      <c r="N553" s="714" t="b">
        <f ca="1">IF(AND('Start here'!$C$26=RefData!$B$10,'Start here'!$C$23=RefData!$B$17,OR('Covenant summary information'!$C$97&lt;&gt;RefData!$B$110,'Covenant summary information'!$C$97=""),'Reconciliation report'!$E553&lt;&gt;""),ErrorMsgs!$E553)</f>
        <v>0</v>
      </c>
      <c r="O553" s="712" t="b">
        <f ca="1">IF(AND('Start here'!$C$26=RefData!$B$10,'Start here'!$C$23=RefData!$B$17,'Covenant summary information'!$C$97=RefData!$B$110,'Reconciliation report'!$E553=""),ErrorMsgs!$F553)</f>
        <v>0</v>
      </c>
      <c r="P553" s="712" t="b">
        <f ca="1">IF($E553="",FALSE,IF(ISERROR(VALUE($E553)),ErrorMsgs!$G553,IF(OR(VALUE($E553)-ROUND(VALUE($E553),2)&lt;&gt;0,VALUE($E553)&lt;=-1000000000000,VALUE($E553)&gt;0),ErrorMsgs!$G553)))</f>
        <v>0</v>
      </c>
      <c r="Q553" s="712"/>
      <c r="R553" s="712"/>
      <c r="S553" s="712"/>
      <c r="T553" s="712"/>
      <c r="U553" s="526" t="str">
        <f t="shared" ca="1" si="74"/>
        <v/>
      </c>
      <c r="V553" s="93" t="str" cm="1">
        <f t="array" aca="1" ref="V553" ca="1">CELL("format",INDIRECT(I553))</f>
        <v>C2</v>
      </c>
      <c r="W553" s="93" t="b">
        <f t="shared" ca="1" si="75"/>
        <v>0</v>
      </c>
      <c r="X553" s="715" t="str">
        <f t="shared" ca="1" si="73"/>
        <v/>
      </c>
      <c r="Y553" t="b">
        <f t="shared" ca="1" si="76"/>
        <v>1</v>
      </c>
    </row>
    <row r="554" spans="1:25" ht="62">
      <c r="A554" s="705" t="s">
        <v>3509</v>
      </c>
      <c r="B554" s="716" t="str">
        <f t="shared" ca="1" si="78"/>
        <v>Employer CF and liquid assets - D85</v>
      </c>
      <c r="C554" s="707" t="str" cm="1">
        <f t="array" aca="1" ref="C554" ca="1">INDIRECT(LEFT(I554, FIND("!", I554)) &amp; RefData!$C$426 &amp; RIGHT(I554, LEN(I554) - FIND("!", I554) - 1))</f>
        <v xml:space="preserve">No answer required
Other alternative uses of cash by employer
</v>
      </c>
      <c r="D554" s="92" t="str">
        <f t="shared" ca="1" si="77"/>
        <v/>
      </c>
      <c r="E554" s="708" t="str" cm="1">
        <f t="array" aca="1" ref="E554" ca="1">IF(INDIRECT($I554)= "", "", INDIRECT($I554))</f>
        <v/>
      </c>
      <c r="F554" s="709" t="str" cm="1">
        <f t="array" aca="1" ref="F554" ca="1">INDIRECT(LEFT(I554, FIND("!", I554)) &amp; RefData!$C$427 &amp; RIGHT(I554, LEN(I554) - FIND("!", I554) - 1))</f>
        <v>ECI 17.0</v>
      </c>
      <c r="G554" s="710" t="b">
        <f ca="1">IF(ISNUMBER(SEARCH(RefData!$B$2, $C554)), FALSE, TRUE)</f>
        <v>0</v>
      </c>
      <c r="H554" s="344">
        <f>'Employer CF and liquid assets'!D85</f>
        <v>0</v>
      </c>
      <c r="I554" s="712" t="str">
        <f t="shared" ca="1" si="79"/>
        <v>'Employer CF and liquid assets'!D85</v>
      </c>
      <c r="J554" s="713" t="b" cm="1">
        <f t="array" aca="1" ref="J554" ca="1">IF(COUNTIF($K554:$T554, "&lt;&gt;FALSE") - COUNTBLANK($K554:$T554) &gt; 0, INDEX($K554:$T554, MATCH(TRUE, $K554:$T554 &lt;&gt; FALSE, 0)))</f>
        <v>0</v>
      </c>
      <c r="K554" s="712" t="b">
        <f ca="1">IF(AND('Start here'!$C$26&lt;&gt;RefData!$B$10,'Reconciliation report'!$E554&lt;&gt;""),ErrorMsgs!$B554)</f>
        <v>0</v>
      </c>
      <c r="L554" s="712" t="b">
        <f ca="1">IF(AND('Start here'!$C$26=RefData!$B$10,'Start here'!$C$23=RefData!$B$18,'Covenant summary information'!$C$96&lt;&gt;RefData!$B$108,'Reconciliation report'!$E554&lt;&gt;""),ErrorMsgs!$C554)</f>
        <v>0</v>
      </c>
      <c r="M554" s="714" t="b">
        <f ca="1">IF(AND('Start here'!$C$26=RefData!$B$10,'Start here'!$C$23=RefData!$B$18,'Covenant summary information'!$C$96=RefData!$B$108,'Reconciliation report'!$E554=""),ErrorMsgs!$D554)</f>
        <v>0</v>
      </c>
      <c r="N554" s="714" t="b">
        <f ca="1">IF(AND('Start here'!$C$26=RefData!$B$10,'Start here'!$C$23=RefData!$B$17,OR('Covenant summary information'!$C$97&lt;&gt;RefData!$B$110,'Covenant summary information'!$C$97=""),'Reconciliation report'!$E554&lt;&gt;""),ErrorMsgs!$E554)</f>
        <v>0</v>
      </c>
      <c r="O554" s="712" t="b">
        <f ca="1">IF(AND('Start here'!$C$26=RefData!$B$10,'Start here'!$C$23=RefData!$B$17,'Covenant summary information'!$C$97=RefData!$B$110,'Reconciliation report'!$E554=""),ErrorMsgs!$F554)</f>
        <v>0</v>
      </c>
      <c r="P554" s="712" t="b">
        <f ca="1">IF($E554="",FALSE,IF(ISERROR(VALUE($E554)),ErrorMsgs!$G554,IF(OR(VALUE($E554)-ROUND(VALUE($E554),2)&lt;&gt;0,VALUE($E554)&lt;=-1000000000000,VALUE($E554)&gt;0),ErrorMsgs!$G554)))</f>
        <v>0</v>
      </c>
      <c r="Q554" s="712"/>
      <c r="R554" s="712"/>
      <c r="S554" s="712"/>
      <c r="T554" s="712"/>
      <c r="U554" s="526" t="str">
        <f t="shared" ca="1" si="74"/>
        <v/>
      </c>
      <c r="V554" s="93" t="str" cm="1">
        <f t="array" aca="1" ref="V554" ca="1">CELL("format",INDIRECT(I554))</f>
        <v>C2</v>
      </c>
      <c r="W554" s="93" t="b">
        <f t="shared" ca="1" si="75"/>
        <v>0</v>
      </c>
      <c r="X554" s="715" t="str">
        <f t="shared" ca="1" si="73"/>
        <v/>
      </c>
      <c r="Y554" t="b">
        <f t="shared" ca="1" si="76"/>
        <v>1</v>
      </c>
    </row>
    <row r="555" spans="1:25" ht="62">
      <c r="A555" s="705" t="s">
        <v>3510</v>
      </c>
      <c r="B555" s="716" t="str">
        <f t="shared" ca="1" si="78"/>
        <v>Employer CF and liquid assets - E85</v>
      </c>
      <c r="C555" s="707" t="str" cm="1">
        <f t="array" aca="1" ref="C555" ca="1">INDIRECT(LEFT(I555, FIND("!", I555)) &amp; RefData!$C$426 &amp; RIGHT(I555, LEN(I555) - FIND("!", I555) - 1))</f>
        <v xml:space="preserve">No answer required
Other alternative uses of cash by employer
</v>
      </c>
      <c r="D555" s="92" t="str">
        <f t="shared" ca="1" si="77"/>
        <v/>
      </c>
      <c r="E555" s="708" t="str" cm="1">
        <f t="array" aca="1" ref="E555" ca="1">IF(INDIRECT($I555)= "", "", INDIRECT($I555))</f>
        <v/>
      </c>
      <c r="F555" s="709" t="str" cm="1">
        <f t="array" aca="1" ref="F555" ca="1">INDIRECT(LEFT(I555, FIND("!", I555)) &amp; RefData!$C$427 &amp; RIGHT(I555, LEN(I555) - FIND("!", I555) - 1))</f>
        <v>ECI 17.0</v>
      </c>
      <c r="G555" s="710" t="b">
        <f ca="1">IF(ISNUMBER(SEARCH(RefData!$B$2, $C555)), FALSE, TRUE)</f>
        <v>0</v>
      </c>
      <c r="H555" s="344">
        <f>'Employer CF and liquid assets'!E85</f>
        <v>0</v>
      </c>
      <c r="I555" s="712" t="str">
        <f t="shared" ca="1" si="79"/>
        <v>'Employer CF and liquid assets'!E85</v>
      </c>
      <c r="J555" s="713" t="b" cm="1">
        <f t="array" aca="1" ref="J555" ca="1">IF(COUNTIF($K555:$T555, "&lt;&gt;FALSE") - COUNTBLANK($K555:$T555) &gt; 0, INDEX($K555:$T555, MATCH(TRUE, $K555:$T555 &lt;&gt; FALSE, 0)))</f>
        <v>0</v>
      </c>
      <c r="K555" s="712" t="b">
        <f ca="1">IF(AND('Start here'!$C$26&lt;&gt;RefData!$B$10,'Reconciliation report'!$E555&lt;&gt;""),ErrorMsgs!$B555)</f>
        <v>0</v>
      </c>
      <c r="L555" s="712" t="b">
        <f ca="1">IF(AND('Start here'!$C$26=RefData!$B$10,'Start here'!$C$23=RefData!$B$18,'Covenant summary information'!$C$96&lt;&gt;RefData!$B$108,'Reconciliation report'!$E555&lt;&gt;""),ErrorMsgs!$C555)</f>
        <v>0</v>
      </c>
      <c r="M555" s="714" t="b">
        <f ca="1">IF(AND('Start here'!$C$26=RefData!$B$10,'Start here'!$C$23=RefData!$B$18,'Covenant summary information'!$C$96=RefData!$B$108,'Reconciliation report'!$E555=""),ErrorMsgs!$D555)</f>
        <v>0</v>
      </c>
      <c r="N555" s="714" t="b">
        <f ca="1">IF(AND('Start here'!$C$26=RefData!$B$10,'Start here'!$C$23=RefData!$B$17,OR('Covenant summary information'!$C$97&lt;&gt;RefData!$B$110,'Covenant summary information'!$C$97=""),'Reconciliation report'!$E555&lt;&gt;""),ErrorMsgs!$E555)</f>
        <v>0</v>
      </c>
      <c r="O555" s="712" t="b">
        <f ca="1">IF(AND('Start here'!$C$26=RefData!$B$10,'Start here'!$C$23=RefData!$B$17,'Covenant summary information'!$C$97=RefData!$B$110,'Reconciliation report'!$E555=""),ErrorMsgs!$F555)</f>
        <v>0</v>
      </c>
      <c r="P555" s="712" t="b">
        <f ca="1">IF($E555="",FALSE,IF(ISERROR(VALUE($E555)),ErrorMsgs!$G555,IF(OR(VALUE($E555)-ROUND(VALUE($E555),2)&lt;&gt;0,VALUE($E555)&lt;=-1000000000000,VALUE($E555)&gt;0),ErrorMsgs!$G555)))</f>
        <v>0</v>
      </c>
      <c r="Q555" s="712"/>
      <c r="R555" s="712"/>
      <c r="S555" s="712"/>
      <c r="T555" s="712"/>
      <c r="U555" s="526" t="str">
        <f t="shared" ca="1" si="74"/>
        <v/>
      </c>
      <c r="V555" s="93" t="str" cm="1">
        <f t="array" aca="1" ref="V555" ca="1">CELL("format",INDIRECT(I555))</f>
        <v>C2</v>
      </c>
      <c r="W555" s="93" t="b">
        <f t="shared" ca="1" si="75"/>
        <v>0</v>
      </c>
      <c r="X555" s="715" t="str">
        <f t="shared" ca="1" si="73"/>
        <v/>
      </c>
      <c r="Y555" t="b">
        <f t="shared" ca="1" si="76"/>
        <v>1</v>
      </c>
    </row>
    <row r="556" spans="1:25" ht="77.5">
      <c r="A556" s="705" t="s">
        <v>3511</v>
      </c>
      <c r="B556" s="716" t="str">
        <f t="shared" ca="1" si="78"/>
        <v>Employer CF and liquid assets - D89</v>
      </c>
      <c r="C556" s="707" t="str" cm="1">
        <f t="array" aca="1" ref="C556" ca="1">INDIRECT(LEFT(I556, FIND("!", I556)) &amp; RefData!$C$426 &amp; RIGHT(I556, LEN(I556) - FIND("!", I556) - 1))</f>
        <v xml:space="preserve">No answer required
What is the value of the employer(s) liquid assets at the time of agreeing the recovery plan? (£)
</v>
      </c>
      <c r="D556" s="92" t="str">
        <f t="shared" ca="1" si="77"/>
        <v/>
      </c>
      <c r="E556" s="708" t="str" cm="1">
        <f t="array" aca="1" ref="E556" ca="1">IF(INDIRECT($I556)= "", "", INDIRECT($I556))</f>
        <v/>
      </c>
      <c r="F556" s="709" t="str" cm="1">
        <f t="array" aca="1" ref="F556" ca="1">INDIRECT(LEFT(I556, FIND("!", I556)) &amp; RefData!$C$427 &amp; RIGHT(I556, LEN(I556) - FIND("!", I556) - 1))</f>
        <v>ECI 18.0</v>
      </c>
      <c r="G556" s="710" t="b">
        <f ca="1">IF(ISNUMBER(SEARCH(RefData!$B$2, $C556)), FALSE, TRUE)</f>
        <v>0</v>
      </c>
      <c r="H556" s="344">
        <f>'Employer CF and liquid assets'!D89</f>
        <v>0</v>
      </c>
      <c r="I556" s="712" t="str">
        <f t="shared" ca="1" si="79"/>
        <v>'Employer CF and liquid assets'!D89</v>
      </c>
      <c r="J556" s="713" t="b" cm="1">
        <f t="array" aca="1" ref="J556" ca="1">IF(COUNTIF($K556:$T556, "&lt;&gt;FALSE") - COUNTBLANK($K556:$T556) &gt; 0, INDEX($K556:$T556, MATCH(TRUE, $K556:$T556 &lt;&gt; FALSE, 0)))</f>
        <v>0</v>
      </c>
      <c r="K556" s="712" t="b">
        <f ca="1">IF(AND('Start here'!$C$26&lt;&gt;RefData!$B$10,'Reconciliation report'!$E556&lt;&gt;""),ErrorMsgs!$B556)</f>
        <v>0</v>
      </c>
      <c r="L556" s="712" t="b">
        <f ca="1">IF(AND('Start here'!$C$26=RefData!$B$10,'Start here'!$C$23=RefData!$B$18,'Covenant summary information'!$C$96&lt;&gt;RefData!$B$108,'Reconciliation report'!$E556&lt;&gt;""),ErrorMsgs!$C556)</f>
        <v>0</v>
      </c>
      <c r="M556" s="714" t="b">
        <f ca="1">IF(AND('Start here'!$C$26=RefData!$B$10,'Start here'!$C$23=RefData!$B$18,'Covenant summary information'!$C$96=RefData!$B$108,'Reconciliation report'!$E556=""),ErrorMsgs!$D556)</f>
        <v>0</v>
      </c>
      <c r="N556" s="714" t="b">
        <f ca="1">IF(AND('Start here'!$C$26=RefData!$B$10,'Start here'!$C$23=RefData!$B$17,OR('Covenant summary information'!$C$97&lt;&gt;RefData!$B$110,'Covenant summary information'!$C$97=""),'Reconciliation report'!$E556&lt;&gt;""),ErrorMsgs!$E556)</f>
        <v>0</v>
      </c>
      <c r="O556" s="712" t="b">
        <f ca="1">IF(AND('Start here'!$C$26=RefData!$B$10,'Start here'!$C$23=RefData!$B$17,'Covenant summary information'!$C$97=RefData!$B$110,'Reconciliation report'!$E556=""),ErrorMsgs!$F556)</f>
        <v>0</v>
      </c>
      <c r="P556" s="712" t="b">
        <f ca="1">IF(E556="",FALSE,IF(NOT(ISNUMBER(VALUE($E556))),ErrorMsgs!$G556,IF($E556="",FALSE,IF(OR(VALUE($E556)-ROUND(VALUE($E556),2)&lt;&gt;0,VALUE($E556)&lt;=-1000000000000,VALUE($E556)&gt;=1000000000000),ErrorMsgs!$G556))))</f>
        <v>0</v>
      </c>
      <c r="Q556" s="712"/>
      <c r="R556" s="712"/>
      <c r="S556" s="712"/>
      <c r="T556" s="712"/>
      <c r="U556" s="526" t="str">
        <f t="shared" ca="1" si="74"/>
        <v/>
      </c>
      <c r="V556" s="93" t="str" cm="1">
        <f t="array" aca="1" ref="V556" ca="1">CELL("format",INDIRECT(I556))</f>
        <v>C2</v>
      </c>
      <c r="W556" s="93" t="b">
        <f t="shared" ca="1" si="75"/>
        <v>0</v>
      </c>
      <c r="X556" s="715" t="str">
        <f t="shared" ca="1" si="73"/>
        <v/>
      </c>
      <c r="Y556" t="b">
        <f t="shared" ca="1" si="76"/>
        <v>1</v>
      </c>
    </row>
    <row r="557" spans="1:25" ht="77.5">
      <c r="A557" s="705" t="s">
        <v>3512</v>
      </c>
      <c r="B557" s="716" t="str">
        <f t="shared" ca="1" si="78"/>
        <v>Employer CF and liquid assets - D93</v>
      </c>
      <c r="C557" s="707" t="str" cm="1">
        <f t="array" aca="1" ref="C557" ca="1">INDIRECT(LEFT(I557, FIND("!", I557)) &amp; RefData!$C$426 &amp; RIGHT(I557, LEN(I557) - FIND("!", I557) - 1))</f>
        <v xml:space="preserve">No answer required
Provide any further information on the alternative uses of cash and liquid assets. (Optional)
</v>
      </c>
      <c r="D557" s="92" t="str">
        <f t="shared" ca="1" si="77"/>
        <v/>
      </c>
      <c r="E557" s="708" t="str" cm="1">
        <f t="array" aca="1" ref="E557" ca="1">IF(INDIRECT($I557)= "", "", INDIRECT($I557))</f>
        <v/>
      </c>
      <c r="F557" s="709" t="str" cm="1">
        <f t="array" aca="1" ref="F557" ca="1">INDIRECT(LEFT(I557, FIND("!", I557)) &amp; RefData!$C$427 &amp; RIGHT(I557, LEN(I557) - FIND("!", I557) - 1))</f>
        <v>ECI 19.0</v>
      </c>
      <c r="G557" s="710" t="b">
        <f ca="1">IF(ISNUMBER(SEARCH(RefData!$B$2, $C557)), FALSE, TRUE)</f>
        <v>0</v>
      </c>
      <c r="H557" s="344">
        <f>'Employer CF and liquid assets'!D93</f>
        <v>0</v>
      </c>
      <c r="I557" s="712" t="str">
        <f t="shared" ca="1" si="79"/>
        <v>'Employer CF and liquid assets'!D93</v>
      </c>
      <c r="J557" s="713" t="b" cm="1">
        <f t="array" aca="1" ref="J557" ca="1">IF(COUNTIF($K557:$T557, "&lt;&gt;FALSE") - COUNTBLANK($K557:$T557) &gt; 0, INDEX($K557:$T557, MATCH(TRUE, $K557:$T557 &lt;&gt; FALSE, 0)))</f>
        <v>0</v>
      </c>
      <c r="K557" s="712" t="b">
        <f ca="1">IF(AND('Start here'!$C$26&lt;&gt;RefData!$B$10,'Reconciliation report'!$E557&lt;&gt;""),ErrorMsgs!$B557)</f>
        <v>0</v>
      </c>
      <c r="L557" s="712" t="b">
        <f ca="1">IF(AND('Start here'!$C$26=RefData!$B$10,'Start here'!$C$23=RefData!$B$18,'Covenant summary information'!$C$96&lt;&gt;RefData!$B$108,'Reconciliation report'!$E557&lt;&gt;""),ErrorMsgs!$C557)</f>
        <v>0</v>
      </c>
      <c r="M557" s="712" t="b">
        <f ca="1">IF(AND('Start here'!$C$26=RefData!$B$10,'Start here'!$C$23=RefData!$B$17,'Covenant summary information'!$C$97=RefData!$B$111,'Reconciliation report'!$E557&lt;&gt;""),ErrorMsgs!$D557)</f>
        <v>0</v>
      </c>
      <c r="N557" s="712" t="b">
        <f ca="1">IF(LEN($E557)&gt;4000,ErrorMsgs!$E557)</f>
        <v>0</v>
      </c>
      <c r="O557" s="712"/>
      <c r="P557" s="712"/>
      <c r="Q557" s="712"/>
      <c r="R557" s="712"/>
      <c r="S557" s="712"/>
      <c r="T557" s="712"/>
      <c r="U557" s="526" t="str">
        <f t="shared" ca="1" si="74"/>
        <v/>
      </c>
      <c r="V557" s="93" t="str" cm="1">
        <f t="array" aca="1" ref="V557" ca="1">CELL("format",INDIRECT(I557))</f>
        <v>G</v>
      </c>
      <c r="W557" s="93" t="b">
        <f t="shared" ca="1" si="75"/>
        <v>0</v>
      </c>
      <c r="X557" s="715" t="str">
        <f t="shared" ca="1" si="73"/>
        <v/>
      </c>
      <c r="Y557" t="b">
        <f t="shared" ca="1" si="76"/>
        <v>1</v>
      </c>
    </row>
    <row r="558" spans="1:25" ht="62">
      <c r="A558" s="705" t="s">
        <v>3513</v>
      </c>
      <c r="B558" s="1" t="str">
        <f ca="1">HYPERLINK("#" &amp; $I558, SUBSTITUTE(SUBSTITUTE($I558, "!", " - "), "'",""))</f>
        <v>Employer CF and liquid assets - D94</v>
      </c>
      <c r="C558" s="707" t="str" cm="1">
        <f t="array" aca="1" ref="C558" ca="1">INDIRECT(LEFT(I558, FIND("!", I558)) &amp; RefData!$C$426 &amp; RIGHT(I558, LEN(I558) - FIND("!", I558) - 1))</f>
        <v xml:space="preserve">
Provide any further information relevant to covenant not covered elsewhere. (Optional)
</v>
      </c>
      <c r="D558" s="92" t="str">
        <f t="shared" ca="1" si="77"/>
        <v/>
      </c>
      <c r="E558" s="708" t="str" cm="1">
        <f t="array" aca="1" ref="E558" ca="1">IF(INDIRECT($I558)= "", "", INDIRECT($I558))</f>
        <v/>
      </c>
      <c r="F558" s="709" t="str" cm="1">
        <f t="array" aca="1" ref="F558" ca="1">INDIRECT(LEFT(I558, FIND("!", I558)) &amp; RefData!$C$427 &amp; RIGHT(I558, LEN(I558) - FIND("!", I558) - 1))</f>
        <v>ECI 20.0</v>
      </c>
      <c r="G558" s="710" t="b">
        <f ca="1">IF(ISNUMBER(SEARCH(RefData!$B$2, $C558)), FALSE, TRUE)</f>
        <v>1</v>
      </c>
      <c r="H558" s="113">
        <f>'Employer CF and liquid assets'!D94</f>
        <v>0</v>
      </c>
      <c r="I558" s="712" t="str">
        <f t="shared" ca="1" si="79"/>
        <v>'Employer CF and liquid assets'!D94</v>
      </c>
      <c r="J558" s="713" t="b" cm="1">
        <f t="array" aca="1" ref="J558" ca="1">IF(COUNTIF($K558:$T558, "&lt;&gt;FALSE") - COUNTBLANK($K558:$T558) &gt; 0, INDEX($K558:$T558, MATCH(TRUE, $K558:$T558 &lt;&gt; FALSE, 0)))</f>
        <v>0</v>
      </c>
      <c r="K558" s="712" t="b">
        <f ca="1">IF(LEN($E558)&gt;4000,ErrorMsgs!$B558)</f>
        <v>0</v>
      </c>
      <c r="L558" s="712"/>
      <c r="M558" s="714"/>
      <c r="N558" s="714"/>
      <c r="O558" s="712"/>
      <c r="P558" s="712"/>
      <c r="Q558" s="712"/>
      <c r="R558" s="712"/>
      <c r="S558" s="712"/>
      <c r="T558" s="712"/>
      <c r="U558" s="526" t="str">
        <f t="shared" ca="1" si="74"/>
        <v/>
      </c>
      <c r="V558" s="93" t="str" cm="1">
        <f t="array" aca="1" ref="V558" ca="1">CELL("format",INDIRECT(I558))</f>
        <v>G</v>
      </c>
      <c r="W558" s="93" t="b">
        <f t="shared" ca="1" si="75"/>
        <v>0</v>
      </c>
      <c r="X558" s="715" t="str">
        <f t="shared" ca="1" si="73"/>
        <v/>
      </c>
      <c r="Y558" t="b">
        <f t="shared" ca="1" si="76"/>
        <v>1</v>
      </c>
    </row>
    <row r="559" spans="1:25" ht="77.5">
      <c r="A559" s="705" t="s">
        <v>3514</v>
      </c>
      <c r="B559" s="716" t="str">
        <f t="shared" ca="1" si="78"/>
        <v>Employer CF and liquid assets - D98</v>
      </c>
      <c r="C559" s="707" t="str" cm="1">
        <f t="array" aca="1" ref="C559" ca="1">INDIRECT(LEFT(I559, FIND("!", I559)) &amp; RefData!$C$426 &amp; RIGHT(I559, LEN(I559) - FIND("!", I559) - 1))</f>
        <v xml:space="preserve">
Have the trustees consulted the employer in the preparation or revision of 'Part 2: supplementary matters' of the statement of strategy?
</v>
      </c>
      <c r="D559" s="92" t="str">
        <f t="shared" ca="1" si="77"/>
        <v xml:space="preserve">
Select 'Yes’ if the trustees have consulted the employer in the preparation or revision of part 2 of the statement of strategy, or ‘No’ if they have not.
</v>
      </c>
      <c r="E559" s="708" t="str" cm="1">
        <f t="array" aca="1" ref="E559" ca="1">IF(INDIRECT($I559)= "", "", INDIRECT($I559))</f>
        <v/>
      </c>
      <c r="F559" s="709" t="str" cm="1">
        <f t="array" aca="1" ref="F559" ca="1">INDIRECT(LEFT(I559, FIND("!", I559)) &amp; RefData!$C$427 &amp; RIGHT(I559, LEN(I559) - FIND("!", I559) - 1))</f>
        <v>ECI 21.0</v>
      </c>
      <c r="G559" s="710" t="b">
        <f ca="1">IF(ISNUMBER(SEARCH(RefData!$B$2, $C559)), FALSE, TRUE)</f>
        <v>1</v>
      </c>
      <c r="H559" s="344">
        <f>'Employer CF and liquid assets'!D98</f>
        <v>0</v>
      </c>
      <c r="I559" s="712" t="str">
        <f t="shared" ca="1" si="79"/>
        <v>'Employer CF and liquid assets'!D98</v>
      </c>
      <c r="J559" s="713" t="str" cm="1">
        <f t="array" aca="1" ref="J559" ca="1">IF(COUNTIF($K559:$T559, "&lt;&gt;FALSE") - COUNTBLANK($K559:$T559) &gt; 0, INDEX($K559:$T559, MATCH(TRUE, $K559:$T559 &lt;&gt; FALSE, 0)))</f>
        <v xml:space="preserve">
Select 'Yes’ if the trustees have consulted the employer in the preparation or revision of part 2 of the statement of strategy, or ‘No’ if they have not.
</v>
      </c>
      <c r="K559" s="712" t="str">
        <f ca="1">IF(E559="",ErrorMsgs!$B559)</f>
        <v xml:space="preserve">
Select 'Yes’ if the trustees have consulted the employer in the preparation or revision of part 2 of the statement of strategy, or ‘No’ if they have not.
</v>
      </c>
      <c r="L559" s="712" t="str">
        <f ca="1">IF(ISNA(MATCH($E559,RefData!$B$401:$B$402,0)),ErrorMsgs!$B$559)</f>
        <v xml:space="preserve">
Select 'Yes’ if the trustees have consulted the employer in the preparation or revision of part 2 of the statement of strategy, or ‘No’ if they have not.
</v>
      </c>
      <c r="M559" s="738"/>
      <c r="N559" s="738"/>
      <c r="O559" s="712"/>
      <c r="P559" s="712"/>
      <c r="Q559" s="712"/>
      <c r="R559" s="712"/>
      <c r="S559" s="712"/>
      <c r="T559" s="712"/>
      <c r="U559" s="526" t="str">
        <f t="shared" ca="1" si="74"/>
        <v/>
      </c>
      <c r="V559" s="93" t="str" cm="1">
        <f t="array" aca="1" ref="V559" ca="1">CELL("format",INDIRECT(I559))</f>
        <v>G</v>
      </c>
      <c r="W559" s="93" t="b">
        <f t="shared" ca="1" si="75"/>
        <v>0</v>
      </c>
      <c r="X559" s="715" t="str">
        <f t="shared" ca="1" si="73"/>
        <v/>
      </c>
      <c r="Y559" t="b">
        <f t="shared" ca="1" si="76"/>
        <v>1</v>
      </c>
    </row>
    <row r="560" spans="1:25" ht="62">
      <c r="A560" s="705" t="s">
        <v>3515</v>
      </c>
      <c r="B560" s="716" t="str">
        <f t="shared" ca="1" si="78"/>
        <v>Employer CF and liquid assets - D99</v>
      </c>
      <c r="C560" s="707" t="str" cm="1">
        <f t="array" aca="1" ref="C560" ca="1">INDIRECT(LEFT(I560, FIND("!", I560)) &amp; RefData!$C$426 &amp; RIGHT(I560, LEN(I560) - FIND("!", I560) - 1))</f>
        <v xml:space="preserve">
Has the employer asked for any comments to be included in the document?
</v>
      </c>
      <c r="D560" s="92" t="str">
        <f t="shared" ca="1" si="77"/>
        <v xml:space="preserve">
Select ‘Yes’ if the employer has asked for comments to be included in the document, or ‘No’ if they have not.
</v>
      </c>
      <c r="E560" s="708" t="str" cm="1">
        <f t="array" aca="1" ref="E560" ca="1">IF(INDIRECT($I560)= "", "", INDIRECT($I560))</f>
        <v/>
      </c>
      <c r="F560" s="709" t="str" cm="1">
        <f t="array" aca="1" ref="F560" ca="1">INDIRECT(LEFT(I560, FIND("!", I560)) &amp; RefData!$C$427 &amp; RIGHT(I560, LEN(I560) - FIND("!", I560) - 1))</f>
        <v>ECI 22.0</v>
      </c>
      <c r="G560" s="710" t="b">
        <f ca="1">IF(ISNUMBER(SEARCH(RefData!$B$2, $C560)), FALSE, TRUE)</f>
        <v>1</v>
      </c>
      <c r="H560" s="344">
        <f>'Employer CF and liquid assets'!D99</f>
        <v>0</v>
      </c>
      <c r="I560" s="712" t="str">
        <f t="shared" ca="1" si="79"/>
        <v>'Employer CF and liquid assets'!D99</v>
      </c>
      <c r="J560" s="713" t="str" cm="1">
        <f t="array" aca="1" ref="J560" ca="1">IF(COUNTIF($K560:$T560, "&lt;&gt;FALSE") - COUNTBLANK($K560:$T560) &gt; 0, INDEX($K560:$T560, MATCH(TRUE, $K560:$T560 &lt;&gt; FALSE, 0)))</f>
        <v xml:space="preserve">
Select ‘Yes’ if the employer has asked for comments to be included in the document, or ‘No’ if they have not.
</v>
      </c>
      <c r="K560" s="712" t="str">
        <f ca="1">IF(E560="",ErrorMsgs!$B560)</f>
        <v xml:space="preserve">
Select ‘Yes’ if the employer has asked for comments to be included in the document, or ‘No’ if they have not.
</v>
      </c>
      <c r="L560" s="712" t="str">
        <f ca="1">IF(ISNA(MATCH($E560,RefData!$B$403:$B$404,0)),ErrorMsgs!$B$559)</f>
        <v xml:space="preserve">
Select 'Yes’ if the trustees have consulted the employer in the preparation or revision of part 2 of the statement of strategy, or ‘No’ if they have not.
</v>
      </c>
      <c r="M560" s="738"/>
      <c r="N560" s="738"/>
      <c r="O560" s="712"/>
      <c r="P560" s="712"/>
      <c r="Q560" s="712"/>
      <c r="R560" s="712"/>
      <c r="S560" s="712"/>
      <c r="T560" s="712"/>
      <c r="U560" s="526" t="str">
        <f t="shared" ca="1" si="74"/>
        <v/>
      </c>
      <c r="V560" s="93" t="str" cm="1">
        <f t="array" aca="1" ref="V560" ca="1">CELL("format",INDIRECT(I560))</f>
        <v>G</v>
      </c>
      <c r="W560" s="93" t="b">
        <f t="shared" ca="1" si="75"/>
        <v>0</v>
      </c>
      <c r="X560" s="715" t="str">
        <f t="shared" ca="1" si="73"/>
        <v/>
      </c>
      <c r="Y560" t="b">
        <f t="shared" ca="1" si="76"/>
        <v>1</v>
      </c>
    </row>
    <row r="561" spans="1:25" ht="46.5">
      <c r="A561" s="705" t="s">
        <v>3516</v>
      </c>
      <c r="B561" s="716" t="str">
        <f t="shared" ca="1" si="78"/>
        <v>Employer CF and liquid assets - D100</v>
      </c>
      <c r="C561" s="707" t="str" cm="1">
        <f t="array" aca="1" ref="C561" ca="1">INDIRECT(LEFT(I561, FIND("!", I561)) &amp; RefData!$C$426 &amp; RIGHT(I561, LEN(I561) - FIND("!", I561) - 1))</f>
        <v xml:space="preserve">
Add the comments the employer has asked to be included.
</v>
      </c>
      <c r="D561" s="92" t="str">
        <f t="shared" ca="1" si="77"/>
        <v/>
      </c>
      <c r="E561" s="708" t="str" cm="1">
        <f t="array" aca="1" ref="E561" ca="1">IF(INDIRECT($I561)= "", "", INDIRECT($I561))</f>
        <v/>
      </c>
      <c r="F561" s="709" t="str" cm="1">
        <f t="array" aca="1" ref="F561" ca="1">INDIRECT(LEFT(I561, FIND("!", I561)) &amp; RefData!$C$427 &amp; RIGHT(I561, LEN(I561) - FIND("!", I561) - 1))</f>
        <v>ECI 23.0</v>
      </c>
      <c r="G561" s="710" t="b">
        <f ca="1">IF(ISNUMBER(SEARCH(RefData!$B$2, $C561)), FALSE, TRUE)</f>
        <v>1</v>
      </c>
      <c r="H561" s="344">
        <f>'Employer CF and liquid assets'!D100</f>
        <v>0</v>
      </c>
      <c r="I561" s="712" t="str">
        <f t="shared" ca="1" si="79"/>
        <v>'Employer CF and liquid assets'!D100</v>
      </c>
      <c r="J561" s="713" t="b" cm="1">
        <f t="array" aca="1" ref="J561" ca="1">IF(COUNTIF($K561:$T561, "&lt;&gt;FALSE") - COUNTBLANK($K561:$T561) &gt; 0, INDEX($K561:$T561, MATCH(TRUE, $K561:$T561 &lt;&gt; FALSE, 0)))</f>
        <v>0</v>
      </c>
      <c r="K561" s="712" t="b">
        <f ca="1">IF(AND('Employer CF and liquid assets'!$D$99=RefData!$B$404,'Reconciliation report'!$E$561&lt;&gt;""),ErrorMsgs!$B561)</f>
        <v>0</v>
      </c>
      <c r="L561" s="712" t="b">
        <f ca="1">IF(AND('Employer CF and liquid assets'!$D$99=RefData!$B$403,'Reconciliation report'!$E$561=""),ErrorMsgs!$C561)</f>
        <v>0</v>
      </c>
      <c r="M561" s="738" t="b">
        <f ca="1">IF(LEN(E561)&gt;4000,ErrorMsgs!D$561)</f>
        <v>0</v>
      </c>
      <c r="N561" s="738"/>
      <c r="O561" s="712"/>
      <c r="P561" s="712"/>
      <c r="Q561" s="712"/>
      <c r="R561" s="712"/>
      <c r="S561" s="712"/>
      <c r="T561" s="712"/>
      <c r="U561" s="526" t="str">
        <f t="shared" ca="1" si="74"/>
        <v/>
      </c>
      <c r="V561" s="93" t="str" cm="1">
        <f t="array" aca="1" ref="V561" ca="1">CELL("format",INDIRECT(I561))</f>
        <v>G</v>
      </c>
      <c r="W561" s="93" t="b">
        <f t="shared" ca="1" si="75"/>
        <v>0</v>
      </c>
      <c r="X561" s="715" t="str">
        <f t="shared" ca="1" si="73"/>
        <v/>
      </c>
      <c r="Y561" t="b">
        <f t="shared" ca="1" si="76"/>
        <v>1</v>
      </c>
    </row>
    <row r="562" spans="1:25" ht="77.5">
      <c r="A562" s="705" t="s">
        <v>741</v>
      </c>
      <c r="B562" s="716" t="str">
        <f t="shared" ref="B562:B571" ca="1" si="80">HYPERLINK("#" &amp; $I562, SUBSTITUTE(SUBSTITUTE($I562, "!", " - "), "'",""))</f>
        <v>Guarantees - C7</v>
      </c>
      <c r="C562" s="707" t="str" cm="1">
        <f t="array" aca="1" ref="C562" ca="1">INDIRECT(LEFT(I562, FIND("!", I562)) &amp; RefData!$C$426 &amp; RIGHT(I562, LEN(I562) - FIND("!", I562) - 1))</f>
        <v xml:space="preserve">
No answer required
Legal name
</v>
      </c>
      <c r="D562" s="92" t="str">
        <f t="shared" ref="D562:D571" ca="1" si="81">""&amp;IF(J562=FALSE, "", J562)
&amp;""</f>
        <v/>
      </c>
      <c r="E562" s="708" t="str" cm="1">
        <f t="array" aca="1" ref="E562" ca="1">IF(INDIRECT($I562)= "", "", INDIRECT($I562))</f>
        <v/>
      </c>
      <c r="F562" s="709" t="str" cm="1">
        <f t="array" aca="1" ref="F562" ca="1">INDIRECT(LEFT(I562, FIND("!", I562)) &amp; RefData!$C$427 &amp; RIGHT(I562, LEN(I562) - FIND("!", I562) - 1))</f>
        <v>GTE 1.0/1</v>
      </c>
      <c r="G562" s="710" t="b">
        <f ca="1">IF(ISNUMBER(SEARCH(RefData!$B$2, $C562)), FALSE, TRUE)</f>
        <v>0</v>
      </c>
      <c r="H562" s="344">
        <f>Guarantees!C7</f>
        <v>0</v>
      </c>
      <c r="I562" s="712" t="str">
        <f t="shared" ref="I562:I571" ca="1" si="82">SUBSTITUTE(_xlfn.FORMULATEXT($H562), "=", "")</f>
        <v>Guarantees!C7</v>
      </c>
      <c r="J562" s="713" t="b" cm="1">
        <f t="array" aca="1" ref="J562" ca="1">IF(
    ISNUMBER(SEARCH(RefData!$B$2, $C$474)),
    IF(
        $E562 &lt;&gt; "",
        $J$474,
        IF(
            $E562 = "",
            FALSE
        )
    ),
    IF(
        COUNTIF($K562:$T562, "&lt;&gt;FALSE") - COUNTBLANK($K562:$T562) &gt; 0,
        INDEX($K562:$T562, MATCH(TRUE, $K562:$T562 &lt;&gt; FALSE, 0))
    )
)</f>
        <v>0</v>
      </c>
      <c r="K562" s="712" t="b">
        <f ca="1">IF(AND('Covenant summary information'!$C$83=0,'Reconciliation report'!$E562&lt;&gt;""),ErrorMsgs!$B562)</f>
        <v>0</v>
      </c>
      <c r="L562" s="712" t="b">
        <f ca="1">IF(AND('Covenant summary information'!$C$83&lt;1,'Reconciliation report'!$E562&lt;&gt;""),ErrorMsgs!$C562)</f>
        <v>0</v>
      </c>
      <c r="M562" s="712" t="b">
        <f ca="1">IF(AND('Covenant summary information'!$C$83&gt;=1,'Reconciliation report'!$E562=""),ErrorMsgs!$D562)</f>
        <v>0</v>
      </c>
      <c r="N562" s="712" t="b">
        <f ca="1">IF(LEN($E$562)&gt;510,ErrorMsgs!$E562)</f>
        <v>0</v>
      </c>
      <c r="O562" s="712"/>
      <c r="P562" s="712"/>
      <c r="Q562" s="712"/>
      <c r="R562" s="712"/>
      <c r="S562" s="712"/>
      <c r="T562" s="712"/>
      <c r="U562" s="526" t="str">
        <f t="shared" ca="1" si="74"/>
        <v/>
      </c>
      <c r="V562" s="93" t="str" cm="1">
        <f t="array" aca="1" ref="V562" ca="1">CELL("format",INDIRECT(I562))</f>
        <v>G</v>
      </c>
      <c r="W562" s="93" t="b">
        <f t="shared" ca="1" si="75"/>
        <v>0</v>
      </c>
      <c r="X562" s="715" t="str">
        <f t="shared" ca="1" si="73"/>
        <v/>
      </c>
      <c r="Y562" t="b">
        <f t="shared" ca="1" si="76"/>
        <v>1</v>
      </c>
    </row>
    <row r="563" spans="1:25" ht="31.5" customHeight="1">
      <c r="A563" s="705" t="s">
        <v>743</v>
      </c>
      <c r="B563" s="716" t="str">
        <f t="shared" ca="1" si="80"/>
        <v>Guarantees - C8</v>
      </c>
      <c r="C563" s="707" t="str" cm="1">
        <f t="array" aca="1" ref="C563" ca="1">INDIRECT(LEFT(I563, FIND("!", I563)) &amp; RefData!$C$426 &amp; RIGHT(I563, LEN(I563) - FIND("!", I563) - 1))</f>
        <v xml:space="preserve">
No answer required
Companies House number (if applicable)
</v>
      </c>
      <c r="D563" s="92" t="str">
        <f t="shared" ca="1" si="81"/>
        <v/>
      </c>
      <c r="E563" s="708" t="str" cm="1">
        <f t="array" aca="1" ref="E563" ca="1">IF(INDIRECT($I563)= "", "", INDIRECT($I563))</f>
        <v/>
      </c>
      <c r="F563" s="709" t="str" cm="1">
        <f t="array" aca="1" ref="F563" ca="1">INDIRECT(LEFT(I563, FIND("!", I563)) &amp; RefData!$C$427 &amp; RIGHT(I563, LEN(I563) - FIND("!", I563) - 1))</f>
        <v>GTE 2.0/1</v>
      </c>
      <c r="G563" s="710" t="b">
        <f ca="1">IF(ISNUMBER(SEARCH(RefData!$B$2, $C563)), FALSE, TRUE)</f>
        <v>0</v>
      </c>
      <c r="H563" s="344">
        <f>Guarantees!C8</f>
        <v>0</v>
      </c>
      <c r="I563" s="712" t="str">
        <f t="shared" ca="1" si="82"/>
        <v>Guarantees!C8</v>
      </c>
      <c r="J563" s="713" t="b" cm="1">
        <f t="array" aca="1" ref="J563" ca="1">IF(
    ISNUMBER(SEARCH(RefData!$B$2, $C$474)),
    IF(
        $E563 &lt;&gt; "",
        $J$474,
        IF(
            $E563 = "",
            FALSE
        )
    ),
    IF(
        COUNTIF($K563:$T563, "&lt;&gt;FALSE") - COUNTBLANK($K563:$T563) &gt; 0,
        INDEX($K563:$T563, MATCH(TRUE, $K563:$T563 &lt;&gt; FALSE, 0))
    )
)</f>
        <v>0</v>
      </c>
      <c r="K563" s="712" t="b">
        <f ca="1">IF(AND('Covenant summary information'!$C$83=0,'Reconciliation report'!$E563&lt;&gt;""),ErrorMsgs!$B563)</f>
        <v>0</v>
      </c>
      <c r="L563" s="712" t="b">
        <f ca="1">IF(AND('Covenant summary information'!$C$83&lt;1,'Reconciliation report'!$E563&lt;&gt;""),ErrorMsgs!$C563)</f>
        <v>0</v>
      </c>
      <c r="M563" s="712" t="b">
        <f ca="1">IF(
  AND(
   'Covenant summary information'!$C$83&gt;= 1,
    OR(
      AND(TRIM($E563) &lt;&gt; "", TRIM($D564) &lt;&gt; ""),
      AND(TRIM($E563) &lt;&gt; "", TRIM($D564) = "", TRIM($E564) = "")
    ),
    OR(
      ISNUMBER(FIND(" ", $E563)),
      NOT(
        OR(
          AND(LEN($E563)=8, ISNUMBER(VALUE($E563))),
          AND(LEN($E563)=8, ISNUMBER(VALUE(RIGHT($E563,6))), ISNUMBER(FIND(LEFT(UPPER($E563),1),"ABCDEFGHIJKLMNOPQRSTUVWXYZ")), ISNUMBER(FIND(MID(UPPER($E563),2,1),"ABCDEFGHIJKLMNOPQRSTUVWXYZ"))),
          AND(LEN($E563)=8, ISNUMBER(VALUE(RIGHT($E563,7))), ISNUMBER(FIND(LEFT(UPPER($E563),1),"ABCDEFGHIJKLMNOPQRSTUVWXYZ"))),
          AND(LEN($E563)=8, ISNUMBER(VALUE(MID($E563,3,5))), ISNUMBER(FIND(LEFT(UPPER($E563),1),"ABCDEFGHIJKLMNOPQRSTUVWXYZ")), ISNUMBER(FIND(MID(UPPER($E563),2,1),"ABCDEFGHIJKLMNOPQRSTUVWXYZ")), ISNUMBER(FIND(RIGHT(UPPER($E563),1),"ABCDEFGHIJKLMNOPQRSTUVWXYZ"))),
          AND(LEN($E563)=8, ISNUMBER(VALUE(MID($E563,3,4))), ISNUMBER(FIND(LEFT(UPPER($E563),1),"ABCDEFGHIJKLMNOPQRSTUVWXYZ")), ISNUMBER(FIND(MID(UPPER($E563),2,1),"ABCDEFGHIJKLMNOPQRSTUVWXYZ")), ISNUMBER(FIND(MID(UPPER($E563),7,1),"ABCDEFGHIJKLMNOPQRSTUVWXYZ")), ISNUMBER(FIND(RIGHT(UPPER($E563),1),"ABCDEFGHIJKLMNOPQRSTUVWXYZ")))
        )
      )
    )
  ),
  ErrorMsgs!D563
)</f>
        <v>0</v>
      </c>
      <c r="N563" s="712"/>
      <c r="O563" s="712"/>
      <c r="P563" s="712"/>
      <c r="Q563" s="712"/>
      <c r="R563" s="712"/>
      <c r="S563" s="712"/>
      <c r="T563" s="712"/>
      <c r="U563" s="526" t="str">
        <f t="shared" ca="1" si="74"/>
        <v/>
      </c>
      <c r="V563" s="93" t="str" cm="1">
        <f t="array" aca="1" ref="V563" ca="1">CELL("format",INDIRECT(I563))</f>
        <v>G</v>
      </c>
      <c r="W563" s="93" t="b">
        <f t="shared" ca="1" si="75"/>
        <v>0</v>
      </c>
      <c r="X563" s="715" t="str">
        <f t="shared" ca="1" si="73"/>
        <v/>
      </c>
      <c r="Y563" t="b">
        <f t="shared" ca="1" si="76"/>
        <v>1</v>
      </c>
    </row>
    <row r="564" spans="1:25" ht="77.5">
      <c r="A564" s="705" t="s">
        <v>745</v>
      </c>
      <c r="B564" s="716" t="str">
        <f t="shared" ca="1" si="80"/>
        <v>Guarantees - C9</v>
      </c>
      <c r="C564" s="707" t="str" cm="1">
        <f t="array" aca="1" ref="C564" ca="1">INDIRECT(LEFT(I564, FIND("!", I564)) &amp; RefData!$C$426 &amp; RIGHT(I564, LEN(I564) - FIND("!", I564) - 1))</f>
        <v xml:space="preserve">
No answer required
Charity number (if applicable)
</v>
      </c>
      <c r="D564" s="92" t="str">
        <f t="shared" ca="1" si="81"/>
        <v/>
      </c>
      <c r="E564" s="708" t="str" cm="1">
        <f t="array" aca="1" ref="E564" ca="1">IF(INDIRECT($I564)= "", "", INDIRECT($I564))</f>
        <v/>
      </c>
      <c r="F564" s="709" t="str" cm="1">
        <f t="array" aca="1" ref="F564" ca="1">INDIRECT(LEFT(I564, FIND("!", I564)) &amp; RefData!$C$427 &amp; RIGHT(I564, LEN(I564) - FIND("!", I564) - 1))</f>
        <v>GTE 3.0/1</v>
      </c>
      <c r="G564" s="710" t="b">
        <f ca="1">IF(ISNUMBER(SEARCH(RefData!$B$2, $C564)), FALSE, TRUE)</f>
        <v>0</v>
      </c>
      <c r="H564" s="344">
        <f>Guarantees!C9</f>
        <v>0</v>
      </c>
      <c r="I564" s="712" t="str">
        <f t="shared" ca="1" si="82"/>
        <v>Guarantees!C9</v>
      </c>
      <c r="J564" s="713" t="b" cm="1">
        <f t="array" aca="1" ref="J564" ca="1">IF(
    ISNUMBER(SEARCH(RefData!$B$2, $C$474)),
    IF(
        $E564 &lt;&gt; "",
        $J$474,
        IF(
            $E564 = "",
            FALSE
        )
    ),
    IF(
        COUNTIF($K564:$T564, "&lt;&gt;FALSE") - COUNTBLANK($K564:$T564) &gt; 0,
        INDEX($K564:$T564, MATCH(TRUE, $K564:$T564 &lt;&gt; FALSE, 0))
    )
)</f>
        <v>0</v>
      </c>
      <c r="K564" s="712" t="b">
        <f ca="1">IF(AND('Covenant summary information'!$C$83=0,'Reconciliation report'!$E564&lt;&gt;""),ErrorMsgs!$B564)</f>
        <v>0</v>
      </c>
      <c r="L564" s="712" t="b">
        <f ca="1">IF(AND('Covenant summary information'!$C$83&lt;1,'Reconciliation report'!$E564&lt;&gt;""),ErrorMsgs!$C564)</f>
        <v>0</v>
      </c>
      <c r="M564" s="712" t="b">
        <f ca="1">IF(AND(TRIM(Guarantees!$C$8)&lt;&gt;"",$E564&lt;&gt;""),ErrorMsgs!$D564)</f>
        <v>0</v>
      </c>
      <c r="N564" s="712" t="b">
        <f ca="1">IF(AND($E$564&lt;&gt;"",OR(LEN($E$564)&lt;6,LEN($E$564)&gt;8)),ErrorMsgs!$E564)</f>
        <v>0</v>
      </c>
      <c r="O564" s="712"/>
      <c r="P564" s="712"/>
      <c r="Q564" s="712"/>
      <c r="R564" s="712"/>
      <c r="S564" s="712"/>
      <c r="T564" s="712"/>
      <c r="U564" s="526" t="str">
        <f t="shared" ca="1" si="74"/>
        <v/>
      </c>
      <c r="V564" s="93" t="str" cm="1">
        <f t="array" aca="1" ref="V564" ca="1">CELL("format",INDIRECT(I564))</f>
        <v>G</v>
      </c>
      <c r="W564" s="93" t="b">
        <f t="shared" ca="1" si="75"/>
        <v>0</v>
      </c>
      <c r="X564" s="715" t="str">
        <f t="shared" ca="1" si="73"/>
        <v/>
      </c>
      <c r="Y564" t="b">
        <f t="shared" ca="1" si="76"/>
        <v>1</v>
      </c>
    </row>
    <row r="565" spans="1:25" ht="77.5">
      <c r="A565" s="705" t="s">
        <v>747</v>
      </c>
      <c r="B565" s="716" t="str">
        <f t="shared" ca="1" si="80"/>
        <v>Guarantees - C10</v>
      </c>
      <c r="C565" s="707" t="str" cm="1">
        <f t="array" aca="1" ref="C565" ca="1">INDIRECT(LEFT(I565, FIND("!", I565)) &amp; RefData!$C$426 &amp; RIGHT(I565, LEN(I565) - FIND("!", I565) - 1))</f>
        <v xml:space="preserve">
No answer required
Trading name
</v>
      </c>
      <c r="D565" s="92" t="str">
        <f t="shared" ca="1" si="81"/>
        <v/>
      </c>
      <c r="E565" s="708" t="str" cm="1">
        <f t="array" aca="1" ref="E565" ca="1">IF(INDIRECT($I565)= "", "", INDIRECT($I565))</f>
        <v/>
      </c>
      <c r="F565" s="709" t="str" cm="1">
        <f t="array" aca="1" ref="F565" ca="1">INDIRECT(LEFT(I565, FIND("!", I565)) &amp; RefData!$C$427 &amp; RIGHT(I565, LEN(I565) - FIND("!", I565) - 1))</f>
        <v>GTE 4.0/1</v>
      </c>
      <c r="G565" s="710" t="b">
        <f ca="1">IF(ISNUMBER(SEARCH(RefData!$B$2, $C565)), FALSE, TRUE)</f>
        <v>0</v>
      </c>
      <c r="H565" s="344">
        <f>Guarantees!C10</f>
        <v>0</v>
      </c>
      <c r="I565" s="712" t="str">
        <f t="shared" ca="1" si="82"/>
        <v>Guarantees!C10</v>
      </c>
      <c r="J565" s="713" t="b" cm="1">
        <f t="array" aca="1" ref="J565" ca="1">IF(
    ISNUMBER(SEARCH(RefData!$B$2, $C$474)),
    IF(
        $E565 &lt;&gt; "",
        $J$474,
        IF(
            $E565 = "",
            FALSE
        )
    ),
    IF(
        COUNTIF($K565:$T565, "&lt;&gt;FALSE") - COUNTBLANK($K565:$T565) &gt; 0,
        INDEX($K565:$T565, MATCH(TRUE, $K565:$T565 &lt;&gt; FALSE, 0))
    )
)</f>
        <v>0</v>
      </c>
      <c r="K565" s="712" t="b">
        <f ca="1">IF(AND('Covenant summary information'!$C$83=0,'Reconciliation report'!$E565&lt;&gt;""),ErrorMsgs!$B565)</f>
        <v>0</v>
      </c>
      <c r="L565" s="712" t="b">
        <f ca="1">IF(AND('Covenant summary information'!$C$83&lt;1,'Reconciliation report'!$E565&lt;&gt;""),ErrorMsgs!$C565)</f>
        <v>0</v>
      </c>
      <c r="M565" s="712" t="b">
        <f ca="1">IF(AND(TRIM(Guarantees!$C$8)&lt;&gt;"",$E565&lt;&gt;""),ErrorMsgs!$D565)</f>
        <v>0</v>
      </c>
      <c r="N565" s="712" t="b">
        <f ca="1">IF(AND(Guarantees!$C$9&lt;&gt;"",$E565&lt;&gt;""),ErrorMsgs!$E565)</f>
        <v>0</v>
      </c>
      <c r="O565" s="712" t="b">
        <f ca="1">IF(AND('Covenant summary information'!$C$83&gt;=1,TRIM(Guarantees!$C$8)="",Guarantees!$C$9="",'Reconciliation report'!$E565=""),ErrorMsgs!$F565)</f>
        <v>0</v>
      </c>
      <c r="P565" s="712" t="b">
        <f ca="1">IF(LEN($E565)&gt;510,ErrorMsgs!$G565)</f>
        <v>0</v>
      </c>
      <c r="Q565" s="712"/>
      <c r="R565" s="712"/>
      <c r="S565" s="712"/>
      <c r="T565" s="712"/>
      <c r="U565" s="526" t="str">
        <f t="shared" ca="1" si="74"/>
        <v/>
      </c>
      <c r="V565" s="93" t="str" cm="1">
        <f t="array" aca="1" ref="V565" ca="1">CELL("format",INDIRECT(I565))</f>
        <v>G</v>
      </c>
      <c r="W565" s="93" t="b">
        <f t="shared" ca="1" si="75"/>
        <v>0</v>
      </c>
      <c r="X565" s="715" t="str">
        <f t="shared" ca="1" si="73"/>
        <v/>
      </c>
      <c r="Y565" t="b">
        <f t="shared" ca="1" si="76"/>
        <v>1</v>
      </c>
    </row>
    <row r="566" spans="1:25" ht="77.5">
      <c r="A566" s="705" t="s">
        <v>749</v>
      </c>
      <c r="B566" s="716" t="str">
        <f t="shared" ca="1" si="80"/>
        <v>Guarantees - C11</v>
      </c>
      <c r="C566" s="707" t="str" cm="1">
        <f t="array" aca="1" ref="C566" ca="1">INDIRECT(LEFT(I566, FIND("!", I566)) &amp; RefData!$C$426 &amp; RIGHT(I566, LEN(I566) - FIND("!", I566) - 1))</f>
        <v xml:space="preserve">
No answer required
Address line 1
</v>
      </c>
      <c r="D566" s="92" t="str">
        <f t="shared" ca="1" si="81"/>
        <v/>
      </c>
      <c r="E566" s="708" t="str" cm="1">
        <f t="array" aca="1" ref="E566" ca="1">IF(INDIRECT($I566)= "", "", INDIRECT($I566))</f>
        <v/>
      </c>
      <c r="F566" s="709" t="str" cm="1">
        <f t="array" aca="1" ref="F566" ca="1">INDIRECT(LEFT(I566, FIND("!", I566)) &amp; RefData!$C$427 &amp; RIGHT(I566, LEN(I566) - FIND("!", I566) - 1))</f>
        <v>GTE 5.0/1</v>
      </c>
      <c r="G566" s="710" t="b">
        <f ca="1">IF(ISNUMBER(SEARCH(RefData!$B$2, $C566)), FALSE, TRUE)</f>
        <v>0</v>
      </c>
      <c r="H566" s="344">
        <f>Guarantees!C11</f>
        <v>0</v>
      </c>
      <c r="I566" s="712" t="str">
        <f t="shared" ca="1" si="82"/>
        <v>Guarantees!C11</v>
      </c>
      <c r="J566" s="713" t="b" cm="1">
        <f t="array" aca="1" ref="J566" ca="1">IF(
    ISNUMBER(SEARCH(RefData!$B$2, $C$474)),
    IF(
        $E566 &lt;&gt; "",
        $J$474,
        IF(
            $E566 = "",
            FALSE
        )
    ),
    IF(
        COUNTIF($K566:$T566, "&lt;&gt;FALSE") - COUNTBLANK($K566:$T566) &gt; 0,
        INDEX($K566:$T566, MATCH(TRUE, $K566:$T566 &lt;&gt; FALSE, 0))
    )
)</f>
        <v>0</v>
      </c>
      <c r="K566" s="712" t="b">
        <f ca="1">IF(AND('Covenant summary information'!$C$83=0,'Reconciliation report'!$E566&lt;&gt;""),ErrorMsgs!$B566)</f>
        <v>0</v>
      </c>
      <c r="L566" s="712" t="b">
        <f ca="1">IF(AND('Covenant summary information'!$C$83&lt;1,'Reconciliation report'!$E566&lt;&gt;""),ErrorMsgs!$C566)</f>
        <v>0</v>
      </c>
      <c r="M566" s="712" t="b">
        <f ca="1">IF(AND(TRIM(Guarantees!$C$8)&lt;&gt;"",$E566&lt;&gt;""),ErrorMsgs!$D566)</f>
        <v>0</v>
      </c>
      <c r="N566" s="712" t="b">
        <f ca="1">IF(AND(Guarantees!$C$9&lt;&gt;"",$E566&lt;&gt;""),ErrorMsgs!$E566)</f>
        <v>0</v>
      </c>
      <c r="O566" s="712" t="b">
        <f ca="1">IF(AND('Covenant summary information'!$C$83&gt;=1,TRIM(Guarantees!$C$8)="",Guarantees!$C$9="",'Reconciliation report'!$E566=""),ErrorMsgs!$F566)</f>
        <v>0</v>
      </c>
      <c r="P566" s="712" t="b">
        <f ca="1">IF(LEN($E566)&gt;510,ErrorMsgs!$G566)</f>
        <v>0</v>
      </c>
      <c r="Q566" s="712"/>
      <c r="R566" s="712"/>
      <c r="S566" s="712"/>
      <c r="T566" s="712"/>
      <c r="U566" s="526" t="str">
        <f t="shared" ca="1" si="74"/>
        <v/>
      </c>
      <c r="V566" s="93" t="str" cm="1">
        <f t="array" aca="1" ref="V566" ca="1">CELL("format",INDIRECT(I566))</f>
        <v>G</v>
      </c>
      <c r="W566" s="93" t="b">
        <f t="shared" ca="1" si="75"/>
        <v>0</v>
      </c>
      <c r="X566" s="715" t="str">
        <f t="shared" ca="1" si="73"/>
        <v/>
      </c>
      <c r="Y566" t="b">
        <f t="shared" ca="1" si="76"/>
        <v>1</v>
      </c>
    </row>
    <row r="567" spans="1:25" ht="77.5">
      <c r="A567" s="705" t="s">
        <v>751</v>
      </c>
      <c r="B567" s="716" t="str">
        <f t="shared" ca="1" si="80"/>
        <v>Guarantees - C12</v>
      </c>
      <c r="C567" s="707" t="str" cm="1">
        <f t="array" aca="1" ref="C567" ca="1">INDIRECT(LEFT(I567, FIND("!", I567)) &amp; RefData!$C$426 &amp; RIGHT(I567, LEN(I567) - FIND("!", I567) - 1))</f>
        <v xml:space="preserve">
No answer required
Address line 2 (optional)
</v>
      </c>
      <c r="D567" s="92" t="str">
        <f t="shared" ca="1" si="81"/>
        <v/>
      </c>
      <c r="E567" s="708" t="str" cm="1">
        <f t="array" aca="1" ref="E567" ca="1">IF(INDIRECT($I567)= "", "", INDIRECT($I567))</f>
        <v/>
      </c>
      <c r="F567" s="709" t="str" cm="1">
        <f t="array" aca="1" ref="F567" ca="1">INDIRECT(LEFT(I567, FIND("!", I567)) &amp; RefData!$C$427 &amp; RIGHT(I567, LEN(I567) - FIND("!", I567) - 1))</f>
        <v>GTE 6.0/1</v>
      </c>
      <c r="G567" s="710" t="b">
        <f ca="1">IF(ISNUMBER(SEARCH(RefData!$B$2, $C567)), FALSE, TRUE)</f>
        <v>0</v>
      </c>
      <c r="H567" s="344">
        <f>Guarantees!C12</f>
        <v>0</v>
      </c>
      <c r="I567" s="712" t="str">
        <f t="shared" ca="1" si="82"/>
        <v>Guarantees!C12</v>
      </c>
      <c r="J567" s="713" t="b" cm="1">
        <f t="array" aca="1" ref="J567" ca="1">IF(
    ISNUMBER(SEARCH(RefData!$B$2, $C$474)),
    IF(
        $E567 &lt;&gt; "",
        $J$474,
        IF(
            $E567 = "",
            FALSE
        )
    ),
    IF(
        COUNTIF($K567:$T567, "&lt;&gt;FALSE") - COUNTBLANK($K567:$T567) &gt; 0,
        INDEX($K567:$T567, MATCH(TRUE, $K567:$T567 &lt;&gt; FALSE, 0))
    )
)</f>
        <v>0</v>
      </c>
      <c r="K567" s="712" t="b">
        <f ca="1">IF(AND('Covenant summary information'!$C$83=0,'Reconciliation report'!$E567&lt;&gt;""),ErrorMsgs!$B567)</f>
        <v>0</v>
      </c>
      <c r="L567" s="712" t="b">
        <f ca="1">IF(AND('Covenant summary information'!$C$83&lt;1,'Reconciliation report'!$E567&lt;&gt;""),ErrorMsgs!$C567)</f>
        <v>0</v>
      </c>
      <c r="M567" s="712" t="b">
        <f ca="1">IF(AND(TRIM(Guarantees!$C$8)&lt;&gt;"",$E567&lt;&gt;""),ErrorMsgs!$D567)</f>
        <v>0</v>
      </c>
      <c r="N567" s="712" t="b">
        <f ca="1">IF(AND(Guarantees!$C$9&lt;&gt;"",$E567&lt;&gt;""),ErrorMsgs!$E567)</f>
        <v>0</v>
      </c>
      <c r="O567" s="712" t="b">
        <f ca="1">IF(LEN($E567)&gt;510,ErrorMsgs!$F567)</f>
        <v>0</v>
      </c>
      <c r="P567" s="712"/>
      <c r="Q567" s="712"/>
      <c r="R567" s="712"/>
      <c r="S567" s="712"/>
      <c r="T567" s="712"/>
      <c r="U567" s="526" t="str">
        <f t="shared" ca="1" si="74"/>
        <v/>
      </c>
      <c r="V567" s="93" t="str" cm="1">
        <f t="array" aca="1" ref="V567" ca="1">CELL("format",INDIRECT(I567))</f>
        <v>G</v>
      </c>
      <c r="W567" s="93" t="b">
        <f t="shared" ca="1" si="75"/>
        <v>0</v>
      </c>
      <c r="X567" s="715" t="str">
        <f t="shared" ca="1" si="73"/>
        <v/>
      </c>
      <c r="Y567" t="b">
        <f t="shared" ca="1" si="76"/>
        <v>1</v>
      </c>
    </row>
    <row r="568" spans="1:25" ht="77.5">
      <c r="A568" s="705" t="s">
        <v>753</v>
      </c>
      <c r="B568" s="716" t="str">
        <f t="shared" ca="1" si="80"/>
        <v>Guarantees - C13</v>
      </c>
      <c r="C568" s="707" t="str" cm="1">
        <f t="array" aca="1" ref="C568" ca="1">INDIRECT(LEFT(I568, FIND("!", I568)) &amp; RefData!$C$426 &amp; RIGHT(I568, LEN(I568) - FIND("!", I568) - 1))</f>
        <v xml:space="preserve">
No answer required
Address line 3 (optional)
</v>
      </c>
      <c r="D568" s="92" t="str">
        <f t="shared" ca="1" si="81"/>
        <v/>
      </c>
      <c r="E568" s="708" t="str" cm="1">
        <f t="array" aca="1" ref="E568" ca="1">IF(INDIRECT($I568)= "", "", INDIRECT($I568))</f>
        <v/>
      </c>
      <c r="F568" s="709" t="str" cm="1">
        <f t="array" aca="1" ref="F568" ca="1">INDIRECT(LEFT(I568, FIND("!", I568)) &amp; RefData!$C$427 &amp; RIGHT(I568, LEN(I568) - FIND("!", I568) - 1))</f>
        <v>GTE 7.0/1</v>
      </c>
      <c r="G568" s="710" t="b">
        <f ca="1">IF(ISNUMBER(SEARCH(RefData!$B$2, $C568)), FALSE, TRUE)</f>
        <v>0</v>
      </c>
      <c r="H568" s="344">
        <f>Guarantees!C13</f>
        <v>0</v>
      </c>
      <c r="I568" s="712" t="str">
        <f t="shared" ca="1" si="82"/>
        <v>Guarantees!C13</v>
      </c>
      <c r="J568" s="713" t="b" cm="1">
        <f t="array" aca="1" ref="J568" ca="1">IF(
    ISNUMBER(SEARCH(RefData!$B$2, $C$474)),
    IF(
        $E568 &lt;&gt; "",
        $J$474,
        IF(
            $E568 = "",
            FALSE
        )
    ),
    IF(
        COUNTIF($K568:$T568, "&lt;&gt;FALSE") - COUNTBLANK($K568:$T568) &gt; 0,
        INDEX($K568:$T568, MATCH(TRUE, $K568:$T568 &lt;&gt; FALSE, 0))
    )
)</f>
        <v>0</v>
      </c>
      <c r="K568" s="712" t="b">
        <f ca="1">IF(AND('Covenant summary information'!$C$83=0,'Reconciliation report'!$E568&lt;&gt;""),ErrorMsgs!$B568)</f>
        <v>0</v>
      </c>
      <c r="L568" s="712" t="b">
        <f ca="1">IF(AND('Covenant summary information'!$C$83&lt;1,'Reconciliation report'!$E568&lt;&gt;""),ErrorMsgs!$C568)</f>
        <v>0</v>
      </c>
      <c r="M568" s="712" t="b">
        <f ca="1">IF(AND(TRIM(Guarantees!$C$8)&lt;&gt;"",$E568&lt;&gt;""),ErrorMsgs!$D568)</f>
        <v>0</v>
      </c>
      <c r="N568" s="712" t="b">
        <f ca="1">IF(AND(Guarantees!$C$9&lt;&gt;"",$E568&lt;&gt;""),ErrorMsgs!$E568)</f>
        <v>0</v>
      </c>
      <c r="O568" s="712" t="b">
        <f ca="1">IF(LEN($E568)&gt;510,ErrorMsgs!$F568)</f>
        <v>0</v>
      </c>
      <c r="P568" s="712"/>
      <c r="Q568" s="712"/>
      <c r="R568" s="712"/>
      <c r="S568" s="712"/>
      <c r="T568" s="712"/>
      <c r="U568" s="526" t="str">
        <f t="shared" ca="1" si="74"/>
        <v/>
      </c>
      <c r="V568" s="93" t="str" cm="1">
        <f t="array" aca="1" ref="V568" ca="1">CELL("format",INDIRECT(I568))</f>
        <v>G</v>
      </c>
      <c r="W568" s="93" t="b">
        <f t="shared" ca="1" si="75"/>
        <v>0</v>
      </c>
      <c r="X568" s="715" t="str">
        <f t="shared" ca="1" si="73"/>
        <v/>
      </c>
      <c r="Y568" t="b">
        <f t="shared" ca="1" si="76"/>
        <v>1</v>
      </c>
    </row>
    <row r="569" spans="1:25" ht="77.5">
      <c r="A569" s="705" t="s">
        <v>755</v>
      </c>
      <c r="B569" s="716" t="str">
        <f t="shared" ca="1" si="80"/>
        <v>Guarantees - C14</v>
      </c>
      <c r="C569" s="707" t="str" cm="1">
        <f t="array" aca="1" ref="C569" ca="1">INDIRECT(LEFT(I569, FIND("!", I569)) &amp; RefData!$C$426 &amp; RIGHT(I569, LEN(I569) - FIND("!", I569) - 1))</f>
        <v xml:space="preserve">
No answer required
Post town or city
</v>
      </c>
      <c r="D569" s="92" t="str">
        <f t="shared" ca="1" si="81"/>
        <v/>
      </c>
      <c r="E569" s="708" t="str" cm="1">
        <f t="array" aca="1" ref="E569" ca="1">IF(INDIRECT($I569)= "", "", INDIRECT($I569))</f>
        <v/>
      </c>
      <c r="F569" s="709" t="str" cm="1">
        <f t="array" aca="1" ref="F569" ca="1">INDIRECT(LEFT(I569, FIND("!", I569)) &amp; RefData!$C$427 &amp; RIGHT(I569, LEN(I569) - FIND("!", I569) - 1))</f>
        <v>GTE 8.0/1</v>
      </c>
      <c r="G569" s="710" t="b">
        <f ca="1">IF(ISNUMBER(SEARCH(RefData!$B$2, $C569)), FALSE, TRUE)</f>
        <v>0</v>
      </c>
      <c r="H569" s="344">
        <f>Guarantees!C14</f>
        <v>0</v>
      </c>
      <c r="I569" s="712" t="str">
        <f t="shared" ca="1" si="82"/>
        <v>Guarantees!C14</v>
      </c>
      <c r="J569" s="713" t="b" cm="1">
        <f t="array" aca="1" ref="J569" ca="1">IF(
    ISNUMBER(SEARCH(RefData!$B$2, $C$474)),
    IF(
        $E569 &lt;&gt; "",
        $J$474,
        IF(
            $E569 = "",
            FALSE
        )
    ),
    IF(
        COUNTIF($K569:$T569, "&lt;&gt;FALSE") - COUNTBLANK($K569:$T569) &gt; 0,
        INDEX($K569:$T569, MATCH(TRUE, $K569:$T569 &lt;&gt; FALSE, 0))
    )
)</f>
        <v>0</v>
      </c>
      <c r="K569" s="712" t="b">
        <f ca="1">IF(AND('Covenant summary information'!$C$83=0,'Reconciliation report'!$E569&lt;&gt;""),ErrorMsgs!$B569)</f>
        <v>0</v>
      </c>
      <c r="L569" s="712" t="b">
        <f ca="1">IF(AND('Covenant summary information'!$C$83&lt;1,'Reconciliation report'!$E569&lt;&gt;""),ErrorMsgs!$C569)</f>
        <v>0</v>
      </c>
      <c r="M569" s="712" t="b">
        <f ca="1">IF(AND(TRIM(Guarantees!$C$8)&lt;&gt;"",$E569&lt;&gt;""),ErrorMsgs!$D569)</f>
        <v>0</v>
      </c>
      <c r="N569" s="712" t="b">
        <f ca="1">IF(AND(Guarantees!$C$9&lt;&gt;"",$E569&lt;&gt;""),ErrorMsgs!$E569)</f>
        <v>0</v>
      </c>
      <c r="O569" s="712" t="b">
        <f ca="1">IF(AND('Covenant summary information'!$C$83&gt;=1,TRIM(Guarantees!$C$8)="",Guarantees!$C$9="",'Reconciliation report'!$E569=""),ErrorMsgs!$F569)</f>
        <v>0</v>
      </c>
      <c r="P569" s="712" t="b">
        <f ca="1">IF(LEN($E569)&gt;510,ErrorMsgs!$G569)</f>
        <v>0</v>
      </c>
      <c r="Q569" s="712"/>
      <c r="R569" s="712"/>
      <c r="S569" s="712"/>
      <c r="T569" s="712"/>
      <c r="U569" s="526" t="str">
        <f t="shared" ca="1" si="74"/>
        <v/>
      </c>
      <c r="V569" s="93" t="str" cm="1">
        <f t="array" aca="1" ref="V569" ca="1">CELL("format",INDIRECT(I569))</f>
        <v>G</v>
      </c>
      <c r="W569" s="93" t="b">
        <f t="shared" ca="1" si="75"/>
        <v>0</v>
      </c>
      <c r="X569" s="715" t="str">
        <f t="shared" ca="1" si="73"/>
        <v/>
      </c>
      <c r="Y569" t="b">
        <f t="shared" ca="1" si="76"/>
        <v>1</v>
      </c>
    </row>
    <row r="570" spans="1:25" ht="77.5">
      <c r="A570" s="705" t="s">
        <v>757</v>
      </c>
      <c r="B570" s="716" t="str">
        <f t="shared" ca="1" si="80"/>
        <v>Guarantees - C15</v>
      </c>
      <c r="C570" s="707" t="str" cm="1">
        <f t="array" aca="1" ref="C570" ca="1">INDIRECT(LEFT(I570, FIND("!", I570)) &amp; RefData!$C$426 &amp; RIGHT(I570, LEN(I570) - FIND("!", I570) - 1))</f>
        <v xml:space="preserve">
No answer required
Country
</v>
      </c>
      <c r="D570" s="92" t="str">
        <f t="shared" ca="1" si="81"/>
        <v/>
      </c>
      <c r="E570" s="708" t="str" cm="1">
        <f t="array" aca="1" ref="E570" ca="1">IF(INDIRECT($I570)= "", "", INDIRECT($I570))</f>
        <v/>
      </c>
      <c r="F570" s="709" t="str" cm="1">
        <f t="array" aca="1" ref="F570" ca="1">INDIRECT(LEFT(I570, FIND("!", I570)) &amp; RefData!$C$427 &amp; RIGHT(I570, LEN(I570) - FIND("!", I570) - 1))</f>
        <v>GTE 9.0/1</v>
      </c>
      <c r="G570" s="710" t="b">
        <f ca="1">IF(ISNUMBER(SEARCH(RefData!$B$2, $C570)), FALSE, TRUE)</f>
        <v>0</v>
      </c>
      <c r="H570" s="344">
        <f>Guarantees!C15</f>
        <v>0</v>
      </c>
      <c r="I570" s="712" t="str">
        <f t="shared" ca="1" si="82"/>
        <v>Guarantees!C15</v>
      </c>
      <c r="J570" s="713" t="b" cm="1">
        <f t="array" aca="1" ref="J570" ca="1">IF(
    ISNUMBER(SEARCH(RefData!$B$2, $C$474)),
    IF(
        $E570 &lt;&gt; "",
        $J$474,
        IF(
            $E570 = "",
            FALSE
        )
    ),
    IF(
        COUNTIF($K570:$T570, "&lt;&gt;FALSE") - COUNTBLANK($K570:$T570) &gt; 0,
        INDEX($K570:$T570, MATCH(TRUE, $K570:$T570 &lt;&gt; FALSE, 0))
    )
)</f>
        <v>0</v>
      </c>
      <c r="K570" s="712" t="b">
        <f ca="1">IF(AND('Covenant summary information'!$C$83=0,'Reconciliation report'!$E570&lt;&gt;""),ErrorMsgs!$B570)</f>
        <v>0</v>
      </c>
      <c r="L570" s="712" t="b">
        <f ca="1">IF(AND('Covenant summary information'!$C$83&lt;1,'Reconciliation report'!$E570&lt;&gt;""),ErrorMsgs!$C570)</f>
        <v>0</v>
      </c>
      <c r="M570" s="712" t="b">
        <f ca="1">IF(AND(TRIM(Guarantees!$C$8)&lt;&gt;"",$E570&lt;&gt;""),ErrorMsgs!$D570)</f>
        <v>0</v>
      </c>
      <c r="N570" s="712" t="b">
        <f ca="1">IF(AND(Guarantees!$C$9&lt;&gt;"",$E570&lt;&gt;""),ErrorMsgs!$E570)</f>
        <v>0</v>
      </c>
      <c r="O570" s="712" t="b">
        <f ca="1">IF(AND('Covenant summary information'!$C$83&gt;=1,TRIM(Guarantees!$C$8)="",Guarantees!$C$9="",'Reconciliation report'!$E570=""),ErrorMsgs!$F570)</f>
        <v>0</v>
      </c>
      <c r="P570" s="712" t="b">
        <f ca="1">IF(AND($E570&lt;&gt;"",ISNA(MATCH($E570,RefData!$B$206:$B$400,0))),ErrorMsgs!$G570)</f>
        <v>0</v>
      </c>
      <c r="Q570" s="712"/>
      <c r="R570" s="712"/>
      <c r="S570" s="712"/>
      <c r="T570" s="712"/>
      <c r="U570" s="526" t="str">
        <f t="shared" ca="1" si="74"/>
        <v/>
      </c>
      <c r="V570" s="93" t="str" cm="1">
        <f t="array" aca="1" ref="V570" ca="1">CELL("format",INDIRECT(I570))</f>
        <v>G</v>
      </c>
      <c r="W570" s="93" t="b">
        <f t="shared" ca="1" si="75"/>
        <v>0</v>
      </c>
      <c r="X570" s="715" t="str">
        <f t="shared" ca="1" si="73"/>
        <v/>
      </c>
      <c r="Y570" t="b">
        <f t="shared" ca="1" si="76"/>
        <v>1</v>
      </c>
    </row>
    <row r="571" spans="1:25" ht="77.5">
      <c r="A571" s="705" t="s">
        <v>759</v>
      </c>
      <c r="B571" s="716" t="str">
        <f t="shared" ca="1" si="80"/>
        <v>Guarantees - C16</v>
      </c>
      <c r="C571" s="707" t="str" cm="1">
        <f t="array" aca="1" ref="C571" ca="1">INDIRECT(LEFT(I571, FIND("!", I571)) &amp; RefData!$C$426 &amp; RIGHT(I571, LEN(I571) - FIND("!", I571) - 1))</f>
        <v xml:space="preserve">
No answer required
Postcode
</v>
      </c>
      <c r="D571" s="92" t="str">
        <f t="shared" ca="1" si="81"/>
        <v/>
      </c>
      <c r="E571" s="708" t="str" cm="1">
        <f t="array" aca="1" ref="E571" ca="1">IF(INDIRECT($I571)= "", "", INDIRECT($I571))</f>
        <v/>
      </c>
      <c r="F571" s="709" t="str" cm="1">
        <f t="array" aca="1" ref="F571" ca="1">INDIRECT(LEFT(I571, FIND("!", I571)) &amp; RefData!$C$427 &amp; RIGHT(I571, LEN(I571) - FIND("!", I571) - 1))</f>
        <v>GTE 10.0/1</v>
      </c>
      <c r="G571" s="710" t="b">
        <f ca="1">IF(ISNUMBER(SEARCH(RefData!$B$2, $C571)), FALSE, TRUE)</f>
        <v>0</v>
      </c>
      <c r="H571" s="344">
        <f>Guarantees!C16</f>
        <v>0</v>
      </c>
      <c r="I571" s="712" t="str">
        <f t="shared" ca="1" si="82"/>
        <v>Guarantees!C16</v>
      </c>
      <c r="J571" s="713" t="b" cm="1">
        <f t="array" aca="1" ref="J571" ca="1">IF(
    ISNUMBER(SEARCH(RefData!$B$2, $C$474)),
    IF(
        $E571 &lt;&gt; "",
        $J$474,
        IF(
            $E571 = "",
            FALSE
        )
    ),
    IF(
        COUNTIF($K571:$T571, "&lt;&gt;FALSE") - COUNTBLANK($K571:$T571) &gt; 0,
        INDEX($K571:$T571, MATCH(TRUE, $K571:$T571 &lt;&gt; FALSE, 0))
    )
)</f>
        <v>0</v>
      </c>
      <c r="K571" s="712" t="b">
        <f ca="1">IF(AND('Covenant summary information'!$C$83=0,'Reconciliation report'!$E571&lt;&gt;""),ErrorMsgs!$B571)</f>
        <v>0</v>
      </c>
      <c r="L571" s="712" t="b">
        <f ca="1">IF(AND('Covenant summary information'!$C$83&lt;1,'Reconciliation report'!$E571&lt;&gt;""),ErrorMsgs!$C571)</f>
        <v>0</v>
      </c>
      <c r="M571" s="712" t="b">
        <f ca="1">IF(AND(TRIM($E$563)&lt;&gt;"",$E571&lt;&gt;""),ErrorMsgs!$D571)</f>
        <v>0</v>
      </c>
      <c r="N571" s="712" t="b">
        <f ca="1">IF(AND($E564&lt;&gt;"",$E571&lt;&gt;""),ErrorMsgs!$E571)</f>
        <v>0</v>
      </c>
      <c r="O571" s="712" t="b">
        <f ca="1">IF(AND('Covenant summary information'!$C$83&gt;=1,TRIM(Guarantees!$C$8)="",Guarantees!$C$9="",'Reconciliation report'!$E571="",$E570=RefData!$B$206),ErrorMsgs!$F571)</f>
        <v>0</v>
      </c>
      <c r="P571" s="712" t="b">
        <f ca="1">IF(AND($E570=RefData!$B$206,
 OR(LEN($E571)&lt;5,
LEN($E571)&gt;8,
(ISNUMBER(VALUE(LEFT($E571,1)))),
(NOT(ISNUMBER(VALUE(MID($E571,LEN($E571)-2,1))))),
(ISNUMBER(VALUE(MID($E571,LEN($E571)-1,1)))),
ISNUMBER(VALUE(RIGHT($E571,1))))),
ErrorMsgs!$G571, FALSE)</f>
        <v>0</v>
      </c>
      <c r="Q571" s="712"/>
      <c r="R571" s="712"/>
      <c r="S571" s="712"/>
      <c r="T571" s="712"/>
      <c r="U571" s="526" t="str">
        <f t="shared" ca="1" si="74"/>
        <v/>
      </c>
      <c r="V571" s="93" t="str" cm="1">
        <f t="array" aca="1" ref="V571" ca="1">CELL("format",INDIRECT(I571))</f>
        <v>G</v>
      </c>
      <c r="W571" s="93" t="b">
        <f t="shared" ca="1" si="75"/>
        <v>0</v>
      </c>
      <c r="X571" s="715" t="str">
        <f t="shared" ca="1" si="73"/>
        <v/>
      </c>
      <c r="Y571" t="b">
        <f t="shared" ca="1" si="76"/>
        <v>1</v>
      </c>
    </row>
    <row r="572" spans="1:25" ht="77.5">
      <c r="A572" s="705" t="s">
        <v>761</v>
      </c>
      <c r="B572" s="716" t="str">
        <f t="shared" ca="1" si="78"/>
        <v>Guarantees - C17</v>
      </c>
      <c r="C572" s="707" t="str" cm="1">
        <f t="array" aca="1" ref="C572" ca="1">INDIRECT(LEFT(I572, FIND("!", I572)) &amp; RefData!$C$426 &amp; RIGHT(I572, LEN(I572) - FIND("!", I572) - 1))</f>
        <v xml:space="preserve">
No answer required
Is the guarantor an associated company?
</v>
      </c>
      <c r="D572" s="92" t="str">
        <f t="shared" ca="1" si="77"/>
        <v/>
      </c>
      <c r="E572" s="708" t="str" cm="1">
        <f t="array" aca="1" ref="E572" ca="1">IF(INDIRECT($I572)= "", "", INDIRECT($I572))</f>
        <v/>
      </c>
      <c r="F572" s="709" t="str" cm="1">
        <f t="array" aca="1" ref="F572" ca="1">INDIRECT(LEFT(I572, FIND("!", I572)) &amp; RefData!$C$427 &amp; RIGHT(I572, LEN(I572) - FIND("!", I572) - 1))</f>
        <v>GTE 11.0/1</v>
      </c>
      <c r="G572" s="710" t="b">
        <f ca="1">IF(ISNUMBER(SEARCH(RefData!$B$2, $C572)), FALSE, TRUE)</f>
        <v>0</v>
      </c>
      <c r="H572" s="113">
        <f>Guarantees!C17</f>
        <v>0</v>
      </c>
      <c r="I572" s="712" t="str">
        <f t="shared" ca="1" si="79"/>
        <v>Guarantees!C17</v>
      </c>
      <c r="J572" s="713" t="b" cm="1">
        <f t="array" aca="1" ref="J572" ca="1">IF(
    ISNUMBER(SEARCH(RefData!$B$2, $C$474)),
    IF(
        $E572 &lt;&gt; "",
        $J$474,
        IF(
            $E572 = "",
            FALSE
        )
    ),
    IF(
        COUNTIF($K572:$T572, "&lt;&gt;FALSE") - COUNTBLANK($K572:$T572) &gt; 0,
        INDEX($K572:$T572, MATCH(TRUE, $K572:$T572 &lt;&gt; FALSE, 0))
    )
)</f>
        <v>0</v>
      </c>
      <c r="K572" s="712" t="b">
        <f ca="1">IF(AND('Start here'!$C$26=RefData!$B$9,'Reconciliation report'!$E572&lt;&gt;""),ErrorMsgs!$B572)</f>
        <v>0</v>
      </c>
      <c r="L572" s="712" t="b">
        <f ca="1">IF(AND('Start here'!$C$26=RefData!$B$10,'Covenant summary information'!$C$83=0,'Reconciliation report'!$E572&lt;&gt;""),ErrorMsgs!$C572)</f>
        <v>0</v>
      </c>
      <c r="M572" s="714" t="b">
        <f ca="1">IF(AND('Start here'!$C$26=RefData!$B$10,'Covenant summary information'!$C$83&lt;1,'Reconciliation report'!$E572&lt;&gt;""),ErrorMsgs!$D572)</f>
        <v>0</v>
      </c>
      <c r="N572" s="714" t="b">
        <f ca="1">IF(AND('Start here'!$C$26=RefData!$B$10,'Start here'!$C$23=RefData!$B$17,'Start here'!$C$27=RefData!$B$12,'Covenant summary information'!$C$83&gt;=1,'Reconciliation report'!$E572=""),ErrorMsgs!$E572)</f>
        <v>0</v>
      </c>
      <c r="O572" s="712" t="b">
        <f ca="1">IF(AND($E572&lt;&gt;"",ISNA(MATCH($E572,RefData!$B$124:$B$125,0))),ErrorMsgs!$F572)</f>
        <v>0</v>
      </c>
      <c r="P572" s="712" t="b">
        <f ca="1">IF(AND('Start here'!$C$26=RefData!$B$10,'Start here'!$C$23=RefData!$B$17,'Start here'!$C$27=RefData!$B$11,'Covenant summary information'!$C$83&gt;=1,'Reconciliation report'!$E572&lt;&gt;""),ErrorMsgs!$G572)</f>
        <v>0</v>
      </c>
      <c r="Q572" s="712" t="b">
        <f ca="1">IF(AND('Start here'!$C$26=RefData!$B$10,'Start here'!$C$23=RefData!$B$18,'Covenant summary information'!$C$83&gt;=1,'Reconciliation report'!E572=""),ErrorMsgs!$H572)</f>
        <v>0</v>
      </c>
      <c r="R572" s="712"/>
      <c r="S572" s="712"/>
      <c r="T572" s="712"/>
      <c r="U572" s="526" t="str">
        <f t="shared" ca="1" si="74"/>
        <v/>
      </c>
      <c r="V572" s="93" t="str" cm="1">
        <f t="array" aca="1" ref="V572" ca="1">CELL("format",INDIRECT(I572))</f>
        <v>G</v>
      </c>
      <c r="W572" s="93" t="b">
        <f t="shared" ca="1" si="75"/>
        <v>0</v>
      </c>
      <c r="X572" s="715" t="str">
        <f t="shared" ca="1" si="73"/>
        <v/>
      </c>
      <c r="Y572" t="b">
        <f t="shared" ca="1" si="76"/>
        <v>1</v>
      </c>
    </row>
    <row r="573" spans="1:25" ht="77.5">
      <c r="A573" s="705" t="s">
        <v>764</v>
      </c>
      <c r="B573" s="716" t="str">
        <f t="shared" ca="1" si="78"/>
        <v>Guarantees - C18</v>
      </c>
      <c r="C573" s="707" t="str" cm="1">
        <f t="array" aca="1" ref="C573" ca="1">INDIRECT(LEFT(I573, FIND("!", I573)) &amp; RefData!$C$426 &amp; RIGHT(I573, LEN(I573) - FIND("!", I573) - 1))</f>
        <v xml:space="preserve">
No answer required
What is type of guarantee?
</v>
      </c>
      <c r="D573" s="92" t="str">
        <f t="shared" ca="1" si="77"/>
        <v/>
      </c>
      <c r="E573" s="708" t="str" cm="1">
        <f t="array" aca="1" ref="E573" ca="1">IF(INDIRECT($I573)= "", "", INDIRECT($I573))</f>
        <v/>
      </c>
      <c r="F573" s="709" t="str" cm="1">
        <f t="array" aca="1" ref="F573" ca="1">INDIRECT(LEFT(I573, FIND("!", I573)) &amp; RefData!$C$427 &amp; RIGHT(I573, LEN(I573) - FIND("!", I573) - 1))</f>
        <v>GTE 12.0/1</v>
      </c>
      <c r="G573" s="710" t="b">
        <f ca="1">IF(ISNUMBER(SEARCH(RefData!$B$2, $C573)), FALSE, TRUE)</f>
        <v>0</v>
      </c>
      <c r="H573" s="113">
        <f>Guarantees!C18</f>
        <v>0</v>
      </c>
      <c r="I573" s="712" t="str">
        <f t="shared" ca="1" si="79"/>
        <v>Guarantees!C18</v>
      </c>
      <c r="J573" s="713" t="b" cm="1">
        <f t="array" aca="1" ref="J573" ca="1">IF(
    ISNUMBER(SEARCH(RefData!$B$2, $C$474)),
    IF(
        $E573 &lt;&gt; "",
        $J$474,
        IF(
            $E573 = "",
            FALSE
        )
    ),
    IF(
        COUNTIF($K573:$T573, "&lt;&gt;FALSE") - COUNTBLANK($K573:$T573) &gt; 0,
        INDEX($K573:$T573, MATCH(TRUE, $K573:$T573 &lt;&gt; FALSE, 0))
    )
)</f>
        <v>0</v>
      </c>
      <c r="K573" s="712" t="b">
        <f ca="1">IF(AND('Covenant summary information'!$C$83=0,'Reconciliation report'!$E573&lt;&gt;""),ErrorMsgs!$B573)</f>
        <v>0</v>
      </c>
      <c r="L573" s="712" t="b">
        <f ca="1">IF(AND('Covenant summary information'!$C$83&lt;1,'Reconciliation report'!$E573&lt;&gt;""),ErrorMsgs!$C573)</f>
        <v>0</v>
      </c>
      <c r="M573" s="712" t="b">
        <f ca="1">IF(AND('Covenant summary information'!$C$83&gt;=1,'Reconciliation report'!$E573=""),ErrorMsgs!$D573)</f>
        <v>0</v>
      </c>
      <c r="N573" s="712" t="b">
        <f ca="1">IF(AND($E573&lt;&gt;"",ISNA(MATCH($E573,RefData!$B$126:$B$129,0))),ErrorMsgs!$E573)</f>
        <v>0</v>
      </c>
      <c r="O573" s="712"/>
      <c r="P573" s="712"/>
      <c r="Q573" s="712"/>
      <c r="R573" s="712"/>
      <c r="S573" s="712"/>
      <c r="T573" s="712"/>
      <c r="U573" s="526" t="str">
        <f t="shared" ca="1" si="74"/>
        <v/>
      </c>
      <c r="V573" s="93" t="str" cm="1">
        <f t="array" aca="1" ref="V573" ca="1">CELL("format",INDIRECT(I573))</f>
        <v>G</v>
      </c>
      <c r="W573" s="93" t="b">
        <f t="shared" ca="1" si="75"/>
        <v>0</v>
      </c>
      <c r="X573" s="715" t="str">
        <f t="shared" ca="1" si="73"/>
        <v/>
      </c>
      <c r="Y573" t="b">
        <f t="shared" ca="1" si="76"/>
        <v>1</v>
      </c>
    </row>
    <row r="574" spans="1:25" ht="77.5">
      <c r="A574" s="705" t="s">
        <v>766</v>
      </c>
      <c r="B574" s="716" t="str">
        <f t="shared" ca="1" si="78"/>
        <v>Guarantees - C19</v>
      </c>
      <c r="C574" s="707" t="str" cm="1">
        <f t="array" aca="1" ref="C574" ca="1">INDIRECT(LEFT(I574, FIND("!", I574)) &amp; RefData!$C$426 &amp; RIGHT(I574, LEN(I574) - FIND("!", I574) - 1))</f>
        <v xml:space="preserve">
No answer required
Describe the other type of guarantee.
</v>
      </c>
      <c r="D574" s="92" t="str">
        <f t="shared" ca="1" si="77"/>
        <v/>
      </c>
      <c r="E574" s="708" t="str" cm="1">
        <f t="array" aca="1" ref="E574" ca="1">IF(INDIRECT($I574)= "", "", INDIRECT($I574))</f>
        <v/>
      </c>
      <c r="F574" s="709" t="str" cm="1">
        <f t="array" aca="1" ref="F574" ca="1">INDIRECT(LEFT(I574, FIND("!", I574)) &amp; RefData!$C$427 &amp; RIGHT(I574, LEN(I574) - FIND("!", I574) - 1))</f>
        <v>GTE 13.0/1</v>
      </c>
      <c r="G574" s="710" t="b">
        <f ca="1">IF(ISNUMBER(SEARCH(RefData!$B$2, $C574)), FALSE, TRUE)</f>
        <v>0</v>
      </c>
      <c r="H574" s="113">
        <f>Guarantees!C19</f>
        <v>0</v>
      </c>
      <c r="I574" s="712" t="str">
        <f t="shared" ca="1" si="79"/>
        <v>Guarantees!C19</v>
      </c>
      <c r="J574" s="713" t="b" cm="1">
        <f t="array" aca="1" ref="J574" ca="1">IF(
    ISNUMBER(SEARCH(RefData!$B$2, $C$474)),
    IF(
        $E574 &lt;&gt; "",
        $J$474,
        IF(
            $E574 = "",
            FALSE
        )
    ),
    IF(
        COUNTIF($K574:$T574, "&lt;&gt;FALSE") - COUNTBLANK($K574:$T574) &gt; 0,
        INDEX($K574:$T574, MATCH(TRUE, $K574:$T574 &lt;&gt; FALSE, 0))
    )
)</f>
        <v>0</v>
      </c>
      <c r="K574" s="712" t="b">
        <f ca="1">IF(AND('Covenant summary information'!$C$83=0,'Reconciliation report'!$E574&lt;&gt;""),ErrorMsgs!$B574)</f>
        <v>0</v>
      </c>
      <c r="L574" s="712" t="b">
        <f ca="1">IF(AND('Covenant summary information'!$C$83&lt;1,'Reconciliation report'!$E574&lt;&gt;""),ErrorMsgs!$C574)</f>
        <v>0</v>
      </c>
      <c r="M574" s="712" t="b">
        <f ca="1">IF(AND('Covenant summary information'!$C$83&lt;1,$E573&lt;&gt;RefData!$B$129,'Reconciliation report'!$E574&lt;&gt;""),ErrorMsgs!$D574)</f>
        <v>0</v>
      </c>
      <c r="N574" s="712" t="b">
        <f ca="1">IF(AND('Covenant summary information'!$C$83&gt;=1,$E$573=RefData!$B$129,'Reconciliation report'!$E574=""),ErrorMsgs!$E574)</f>
        <v>0</v>
      </c>
      <c r="O574" s="712" t="b">
        <f ca="1">IF(LEN($E574)&gt;4000,ErrorMsgs!$F574)</f>
        <v>0</v>
      </c>
      <c r="P574" s="712"/>
      <c r="Q574" s="712"/>
      <c r="R574" s="712"/>
      <c r="S574" s="712"/>
      <c r="T574" s="712"/>
      <c r="U574" s="526" t="str">
        <f t="shared" ca="1" si="74"/>
        <v/>
      </c>
      <c r="V574" s="93" t="str" cm="1">
        <f t="array" aca="1" ref="V574" ca="1">CELL("format",INDIRECT(I574))</f>
        <v>G</v>
      </c>
      <c r="W574" s="93" t="b">
        <f t="shared" ca="1" si="75"/>
        <v>0</v>
      </c>
      <c r="X574" s="715" t="str">
        <f t="shared" ca="1" si="73"/>
        <v/>
      </c>
      <c r="Y574" t="b">
        <f t="shared" ca="1" si="76"/>
        <v>1</v>
      </c>
    </row>
    <row r="575" spans="1:25" ht="77.5">
      <c r="A575" s="705" t="s">
        <v>768</v>
      </c>
      <c r="B575" s="716" t="str">
        <f t="shared" ca="1" si="78"/>
        <v>Guarantees - C20</v>
      </c>
      <c r="C575" s="707" t="str" cm="1">
        <f t="array" aca="1" ref="C575" ca="1">INDIRECT(LEFT(I575, FIND("!", I575)) &amp; RefData!$C$426 &amp; RIGHT(I575, LEN(I575) - FIND("!", I575) - 1))</f>
        <v xml:space="preserve">
No answer required
Type of maturity
</v>
      </c>
      <c r="D575" s="92" t="str">
        <f t="shared" ca="1" si="77"/>
        <v/>
      </c>
      <c r="E575" s="708" t="str" cm="1">
        <f t="array" aca="1" ref="E575" ca="1">IF(INDIRECT($I575)= "", "", INDIRECT($I575))</f>
        <v/>
      </c>
      <c r="F575" s="709" t="str" cm="1">
        <f t="array" aca="1" ref="F575" ca="1">INDIRECT(LEFT(I575, FIND("!", I575)) &amp; RefData!$C$427 &amp; RIGHT(I575, LEN(I575) - FIND("!", I575) - 1))</f>
        <v>GTE 14.0/1</v>
      </c>
      <c r="G575" s="710" t="b">
        <f ca="1">IF(ISNUMBER(SEARCH(RefData!$B$2, $C575)), FALSE, TRUE)</f>
        <v>0</v>
      </c>
      <c r="H575" s="113">
        <f>Guarantees!C20</f>
        <v>0</v>
      </c>
      <c r="I575" s="712" t="str">
        <f t="shared" ca="1" si="79"/>
        <v>Guarantees!C20</v>
      </c>
      <c r="J575" s="713" t="b" cm="1">
        <f t="array" aca="1" ref="J575" ca="1">IF(
    ISNUMBER(SEARCH(RefData!$B$2, $C$474)),
    IF(
        $E575 &lt;&gt; "",
        $J$474,
        IF(
            $E575 = "",
            FALSE
        )
    ),
    IF(
        COUNTIF($K575:$T575, "&lt;&gt;FALSE") - COUNTBLANK($K575:$T575) &gt; 0,
        INDEX($K575:$T575, MATCH(TRUE, $K575:$T575 &lt;&gt; FALSE, 0))
    )
)</f>
        <v>0</v>
      </c>
      <c r="K575" s="712" t="b">
        <f ca="1">IF(AND('Start here'!$C$26=RefData!$B$9,'Reconciliation report'!$E575&lt;&gt;""),ErrorMsgs!$B575)</f>
        <v>0</v>
      </c>
      <c r="L575" s="712" t="b">
        <f ca="1">IF(AND('Start here'!$C$26=RefData!$B$10,'Covenant summary information'!$C$83=0,'Reconciliation report'!$E575&lt;&gt;""),ErrorMsgs!$C575)</f>
        <v>0</v>
      </c>
      <c r="M575" s="712" t="b">
        <f ca="1">IF(AND('Start here'!$C$26=RefData!$B$10,'Covenant summary information'!$C$83&lt;1,'Reconciliation report'!$E575&lt;&gt;""),ErrorMsgs!$D575)</f>
        <v>0</v>
      </c>
      <c r="N575" s="712" t="b">
        <f ca="1">IF(AND('Start here'!$C$26=RefData!$B$10,'Covenant summary information'!$C$83&gt;=1,'Reconciliation report'!$E575=""),ErrorMsgs!$E575)</f>
        <v>0</v>
      </c>
      <c r="O575" s="712" t="b">
        <f ca="1">IF(AND($E575&lt;&gt;"",ISNA(MATCH($E575,RefData!$B$130:$B$132,0))),ErrorMsgs!$F575)</f>
        <v>0</v>
      </c>
      <c r="P575" s="712"/>
      <c r="Q575" s="712"/>
      <c r="R575" s="712"/>
      <c r="S575" s="712"/>
      <c r="T575" s="712"/>
      <c r="U575" s="526" t="str">
        <f t="shared" ca="1" si="74"/>
        <v/>
      </c>
      <c r="V575" s="93" t="str" cm="1">
        <f t="array" aca="1" ref="V575" ca="1">CELL("format",INDIRECT(I575))</f>
        <v>G</v>
      </c>
      <c r="W575" s="93" t="b">
        <f t="shared" ca="1" si="75"/>
        <v>0</v>
      </c>
      <c r="X575" s="715" t="str">
        <f t="shared" ca="1" si="73"/>
        <v/>
      </c>
      <c r="Y575" t="b">
        <f t="shared" ca="1" si="76"/>
        <v>1</v>
      </c>
    </row>
    <row r="576" spans="1:25" ht="77.5">
      <c r="A576" s="705" t="s">
        <v>771</v>
      </c>
      <c r="B576" s="716" t="str">
        <f t="shared" ca="1" si="78"/>
        <v>Guarantees - C21</v>
      </c>
      <c r="C576" s="707" t="str" cm="1">
        <f t="array" aca="1" ref="C576" ca="1">INDIRECT(LEFT(I576, FIND("!", I576)) &amp; RefData!$C$426 &amp; RIGHT(I576, LEN(I576) - FIND("!", I576) - 1))</f>
        <v xml:space="preserve">
No answer required
Date of maturity
</v>
      </c>
      <c r="D576" s="92" t="str">
        <f t="shared" ca="1" si="77"/>
        <v/>
      </c>
      <c r="E576" s="708" t="str" cm="1">
        <f t="array" aca="1" ref="E576" ca="1">IF(INDIRECT($I576)= "", "", INDIRECT($I576))</f>
        <v/>
      </c>
      <c r="F576" s="709" t="str" cm="1">
        <f t="array" aca="1" ref="F576" ca="1">INDIRECT(LEFT(I576, FIND("!", I576)) &amp; RefData!$C$427 &amp; RIGHT(I576, LEN(I576) - FIND("!", I576) - 1))</f>
        <v>GTE 15.0/1</v>
      </c>
      <c r="G576" s="710" t="b">
        <f ca="1">IF(ISNUMBER(SEARCH(RefData!$B$2, $C576)), FALSE, TRUE)</f>
        <v>0</v>
      </c>
      <c r="H576" s="391">
        <f>Guarantees!C21</f>
        <v>0</v>
      </c>
      <c r="I576" s="712" t="str">
        <f t="shared" ca="1" si="79"/>
        <v>Guarantees!C21</v>
      </c>
      <c r="J576" s="713" t="b" cm="1">
        <f t="array" aca="1" ref="J576" ca="1">IF(
    ISNUMBER(SEARCH(RefData!$B$2, $C$474)),
    IF(
        $E576 &lt;&gt; "",
        $J$474,
        IF(
            $E576 = "",
            FALSE
        )
    ),
    IF(
        COUNTIF($K576:$T576, "&lt;&gt;FALSE") - COUNTBLANK($K576:$T576) &gt; 0,
        INDEX($K576:$T576, MATCH(TRUE, $K576:$T576 &lt;&gt; FALSE, 0))
    )
)</f>
        <v>0</v>
      </c>
      <c r="K576" s="712" t="b">
        <f ca="1">IF(AND('Start here'!$C$26=RefData!$B$9,'Reconciliation report'!$E576&lt;&gt;""),ErrorMsgs!$B576)</f>
        <v>0</v>
      </c>
      <c r="L576" s="712" t="b">
        <f ca="1">IF(AND('Start here'!$C$26=RefData!$B$10,'Covenant summary information'!$C$83=0,'Reconciliation report'!$E576&lt;&gt;""),ErrorMsgs!$C576)</f>
        <v>0</v>
      </c>
      <c r="M576" s="712" t="b">
        <f ca="1">IF(AND('Start here'!$C$26=RefData!$B$10,'Covenant summary information'!$C$83&lt;1,'Reconciliation report'!$E576&lt;&gt;""),ErrorMsgs!$D576)</f>
        <v>0</v>
      </c>
      <c r="N576" s="712" t="b">
        <f ca="1">IF(AND('Start here'!$C$26=RefData!$B$10,'Covenant summary information'!$C$83&gt;=1,OR(Guarantees!$C$20=RefData!$B$130,Guarantees!$C$20=RefData!$B$129),'Reconciliation report'!$E576&lt;&gt;""),ErrorMsgs!$E576)</f>
        <v>0</v>
      </c>
      <c r="O576" s="712" t="b">
        <f ca="1">IF(AND('Start here'!$C$26=RefData!$B$10,'Covenant summary information'!$C$83&gt;=1,Guarantees!$C$20=RefData!$B$131,'Reconciliation report'!$E576=""),ErrorMsgs!$F576)</f>
        <v>0</v>
      </c>
      <c r="P576" s="712" t="b">
        <f ca="1">IF(AND($E576&lt;&gt;"",NOT(ISNUMBER(VALUE($E576)))),ErrorMsgs!$G576)</f>
        <v>0</v>
      </c>
      <c r="Q576" s="712" t="b">
        <f ca="1">IF($E576&lt;'Start here'!$C$21,ErrorMsgs!$H576)</f>
        <v>0</v>
      </c>
      <c r="R576" s="712"/>
      <c r="S576" s="712"/>
      <c r="T576" s="712"/>
      <c r="U576" s="526" t="str">
        <f t="shared" ca="1" si="74"/>
        <v/>
      </c>
      <c r="V576" s="93" t="str" cm="1">
        <f t="array" aca="1" ref="V576" ca="1">CELL("format",INDIRECT(I576))</f>
        <v>D1</v>
      </c>
      <c r="W576" s="93" t="b">
        <f t="shared" ca="1" si="75"/>
        <v>0</v>
      </c>
      <c r="X576" s="715" t="str">
        <f t="shared" ca="1" si="73"/>
        <v/>
      </c>
      <c r="Y576" t="b">
        <f t="shared" ca="1" si="76"/>
        <v>1</v>
      </c>
    </row>
    <row r="577" spans="1:25" ht="70.25" customHeight="1">
      <c r="A577" s="705" t="s">
        <v>773</v>
      </c>
      <c r="B577" s="716" t="str">
        <f t="shared" ca="1" si="78"/>
        <v>Guarantees - C22</v>
      </c>
      <c r="C577" s="707" t="str" cm="1">
        <f t="array" aca="1" ref="C577" ca="1">INDIRECT(LEFT(I577, FIND("!", I577)) &amp; RefData!$C$426 &amp; RIGHT(I577, LEN(I577) - FIND("!", I577) - 1))</f>
        <v xml:space="preserve">
No answer required
Maturity date narrative
</v>
      </c>
      <c r="D577" s="92" t="str">
        <f t="shared" ca="1" si="77"/>
        <v/>
      </c>
      <c r="E577" s="708" t="str" cm="1">
        <f t="array" aca="1" ref="E577" ca="1">IF(INDIRECT($I577)= "", "", INDIRECT($I577))</f>
        <v/>
      </c>
      <c r="F577" s="709" t="str" cm="1">
        <f t="array" aca="1" ref="F577" ca="1">INDIRECT(LEFT(I577, FIND("!", I577)) &amp; RefData!$C$427 &amp; RIGHT(I577, LEN(I577) - FIND("!", I577) - 1))</f>
        <v>GTE 16.0/1</v>
      </c>
      <c r="G577" s="710" t="b">
        <f ca="1">IF(ISNUMBER(SEARCH(RefData!$B$2, $C577)), FALSE, TRUE)</f>
        <v>0</v>
      </c>
      <c r="H577" s="113">
        <f>Guarantees!C22</f>
        <v>0</v>
      </c>
      <c r="I577" s="712" t="str">
        <f t="shared" ca="1" si="79"/>
        <v>Guarantees!C22</v>
      </c>
      <c r="J577" s="713" t="b" cm="1">
        <f t="array" aca="1" ref="J577" ca="1">IF(
    ISNUMBER(SEARCH(RefData!$B$2, $C$474)),
    IF(
        $E577 &lt;&gt; "",
        $J$474,
        IF(
            $E577 = "",
            FALSE
        )
    ),
    IF(
        COUNTIF($K577:$T577, "&lt;&gt;FALSE") - COUNTBLANK($K577:$T577) &gt; 0,
        INDEX($K577:$T577, MATCH(TRUE, $K577:$T577 &lt;&gt; FALSE, 0))
    )
)</f>
        <v>0</v>
      </c>
      <c r="K577" s="712" t="b">
        <f ca="1">IF(AND('Start here'!$C$26=RefData!$B$9,'Reconciliation report'!$E577&lt;&gt;""),ErrorMsgs!$B577)</f>
        <v>0</v>
      </c>
      <c r="L577" s="712" t="b">
        <f ca="1">IF(AND('Start here'!$C$26=RefData!$B$10,'Covenant summary information'!$C$83=0,'Reconciliation report'!$E577&lt;&gt;""),ErrorMsgs!$C577)</f>
        <v>0</v>
      </c>
      <c r="M577" s="712" t="b">
        <f ca="1">IF(AND('Start here'!$C$26=RefData!$B$10,'Covenant summary information'!$C$83&lt;1,'Reconciliation report'!$E577&lt;&gt;""),ErrorMsgs!$D577)</f>
        <v>0</v>
      </c>
      <c r="N577" s="712" t="b">
        <f ca="1">IF(AND('Start here'!$C$26=RefData!$B$10,'Covenant summary information'!$C$83&gt;=1,Guarantees!$C$20&lt;&gt;RefData!$B$129,'Reconciliation report'!$E577&lt;&gt;""),ErrorMsgs!$E577)</f>
        <v>0</v>
      </c>
      <c r="O577" s="712" t="b">
        <f ca="1">IF(AND('Start here'!$C$26=RefData!$B$10,'Covenant summary information'!$C$83&gt;=1,Guarantees!$C$20=RefData!$B$129,'Reconciliation report'!$E577=""),ErrorMsgs!$F577)</f>
        <v>0</v>
      </c>
      <c r="P577" s="712" t="b">
        <f ca="1">IF(LEN($E577)&gt;4000,ErrorMsgs!$G577)</f>
        <v>0</v>
      </c>
      <c r="Q577" s="712"/>
      <c r="R577" s="712"/>
      <c r="S577" s="712"/>
      <c r="T577" s="712"/>
      <c r="U577" s="526" t="str">
        <f t="shared" ca="1" si="74"/>
        <v/>
      </c>
      <c r="V577" s="93" t="str" cm="1">
        <f t="array" aca="1" ref="V577" ca="1">CELL("format",INDIRECT(I577))</f>
        <v>G</v>
      </c>
      <c r="W577" s="93" t="b">
        <f t="shared" ca="1" si="75"/>
        <v>0</v>
      </c>
      <c r="X577" s="715" t="str">
        <f t="shared" ca="1" si="73"/>
        <v/>
      </c>
      <c r="Y577" t="b">
        <f t="shared" ca="1" si="76"/>
        <v>1</v>
      </c>
    </row>
    <row r="578" spans="1:25" ht="77.5">
      <c r="A578" s="705" t="s">
        <v>775</v>
      </c>
      <c r="B578" s="716" t="str">
        <f t="shared" ca="1" si="78"/>
        <v>Guarantees - C23</v>
      </c>
      <c r="C578" s="707" t="str" cm="1">
        <f t="array" aca="1" ref="C578" ca="1">INDIRECT(LEFT(I578, FIND("!", I578)) &amp; RefData!$C$426 &amp; RIGHT(I578, LEN(I578) - FIND("!", I578) - 1))</f>
        <v xml:space="preserve">
No answer required
Value ascribed (£)
</v>
      </c>
      <c r="D578" s="92" t="str">
        <f t="shared" ca="1" si="77"/>
        <v/>
      </c>
      <c r="E578" s="708" t="str" cm="1">
        <f t="array" aca="1" ref="E578" ca="1">IF(INDIRECT($I578)= "", "", INDIRECT($I578))</f>
        <v/>
      </c>
      <c r="F578" s="709" t="str" cm="1">
        <f t="array" aca="1" ref="F578" ca="1">INDIRECT(LEFT(I578, FIND("!", I578)) &amp; RefData!$C$427 &amp; RIGHT(I578, LEN(I578) - FIND("!", I578) - 1))</f>
        <v>GTE 17.0/1</v>
      </c>
      <c r="G578" s="710" t="b">
        <f ca="1">IF(ISNUMBER(SEARCH(RefData!$B$2, $C578)), FALSE, TRUE)</f>
        <v>0</v>
      </c>
      <c r="H578" s="113">
        <f>Guarantees!C23</f>
        <v>0</v>
      </c>
      <c r="I578" s="712" t="str">
        <f t="shared" ca="1" si="79"/>
        <v>Guarantees!C23</v>
      </c>
      <c r="J578" s="713" t="b" cm="1">
        <f t="array" aca="1" ref="J578" ca="1">IF(
    ISNUMBER(SEARCH(RefData!$B$2, $C$474)),
    IF(
        $E578 &lt;&gt; "",
        $J$474,
        IF(
            $E578 = "",
            FALSE
        )
    ),
    IF(
        COUNTIF($K578:$T578, "&lt;&gt;FALSE") - COUNTBLANK($K578:$T578) &gt; 0,
        INDEX($K578:$T578, MATCH(TRUE, $K578:$T578 &lt;&gt; FALSE, 0))
    )
)</f>
        <v>0</v>
      </c>
      <c r="K578" s="712" t="b">
        <f ca="1">IF(AND('Covenant summary information'!$C$83=0,'Reconciliation report'!$E578&lt;&gt;""),ErrorMsgs!$B578)</f>
        <v>0</v>
      </c>
      <c r="L578" s="712" t="b">
        <f ca="1">IF(AND('Covenant summary information'!$C$83&lt;1,'Reconciliation report'!$E578&lt;&gt;""),ErrorMsgs!$C578)</f>
        <v>0</v>
      </c>
      <c r="M578" s="712" t="b">
        <f ca="1">IF(AND('Covenant summary information'!$C$83&gt;=1,'Reconciliation report'!$E578=""),ErrorMsgs!$D578)</f>
        <v>0</v>
      </c>
      <c r="N578" s="712" t="b">
        <f ca="1">IF($E578="",FALSE,IF(ISERROR(VALUE($E578)),ErrorMsgs!$D578,IF(OR(VALUE($E578)-ROUND(VALUE($E578),2)&lt;&gt;0,VALUE($E578)&lt;0,VALUE($E578)&gt;=1000000000000),ErrorMsgs!$E578)))</f>
        <v>0</v>
      </c>
      <c r="O578" s="712"/>
      <c r="P578" s="712"/>
      <c r="Q578" s="712"/>
      <c r="R578" s="712"/>
      <c r="S578" s="712"/>
      <c r="T578" s="712"/>
      <c r="U578" s="526" t="str">
        <f t="shared" ca="1" si="74"/>
        <v/>
      </c>
      <c r="V578" s="93" t="str" cm="1">
        <f t="array" aca="1" ref="V578" ca="1">CELL("format",INDIRECT(I578))</f>
        <v>C2</v>
      </c>
      <c r="W578" s="93" t="b">
        <f t="shared" ca="1" si="75"/>
        <v>0</v>
      </c>
      <c r="X578" s="715" t="str">
        <f t="shared" ref="X578:X641" ca="1" si="83">IF(W578, "0." &amp; IF(V578="P2",REPT("0", MIN(4, LEN(E578) - FIND(".", E578))),REPT("0", MIN(6, LEN(E578) - FIND(".", E578)))), "")</f>
        <v/>
      </c>
      <c r="Y578" t="b">
        <f t="shared" ca="1" si="76"/>
        <v>1</v>
      </c>
    </row>
    <row r="579" spans="1:25" ht="77.5">
      <c r="A579" s="705" t="s">
        <v>777</v>
      </c>
      <c r="B579" s="716" t="str">
        <f t="shared" ca="1" si="78"/>
        <v>Guarantees - C24</v>
      </c>
      <c r="C579" s="707" t="str" cm="1">
        <f t="array" aca="1" ref="C579" ca="1">INDIRECT(LEFT(I579, FIND("!", I579)) &amp; RefData!$C$426 &amp; RIGHT(I579, LEN(I579) - FIND("!", I579) - 1))</f>
        <v xml:space="preserve">
No answer required
Date of valuation
</v>
      </c>
      <c r="D579" s="92" t="str">
        <f t="shared" ca="1" si="77"/>
        <v/>
      </c>
      <c r="E579" s="708" t="str" cm="1">
        <f t="array" aca="1" ref="E579" ca="1">IF(INDIRECT($I579)= "", "", INDIRECT($I579))</f>
        <v/>
      </c>
      <c r="F579" s="709" t="str" cm="1">
        <f t="array" aca="1" ref="F579" ca="1">INDIRECT(LEFT(I579, FIND("!", I579)) &amp; RefData!$C$427 &amp; RIGHT(I579, LEN(I579) - FIND("!", I579) - 1))</f>
        <v>GTE 18.0/1</v>
      </c>
      <c r="G579" s="710" t="b">
        <f ca="1">IF(ISNUMBER(SEARCH(RefData!$B$2, $C579)), FALSE, TRUE)</f>
        <v>0</v>
      </c>
      <c r="H579" s="391">
        <f>Guarantees!C24</f>
        <v>0</v>
      </c>
      <c r="I579" s="712" t="str">
        <f t="shared" ca="1" si="79"/>
        <v>Guarantees!C24</v>
      </c>
      <c r="J579" s="713" t="b" cm="1">
        <f t="array" aca="1" ref="J579" ca="1">IF(
    ISNUMBER(SEARCH(RefData!$B$2, $C$474)),
    IF(
        $E579 &lt;&gt; "",
        $J$474,
        IF(
            $E579 = "",
            FALSE
        )
    ),
    IF(
        COUNTIF($K579:$T579, "&lt;&gt;FALSE") - COUNTBLANK($K579:$T579) &gt; 0,
        INDEX($K579:$T579, MATCH(TRUE, $K579:$T579 &lt;&gt; FALSE, 0))
    )
)</f>
        <v>0</v>
      </c>
      <c r="K579" s="712" t="b">
        <f ca="1">IF(AND('Covenant summary information'!$C$83=0,'Reconciliation report'!$E579&lt;&gt;""),ErrorMsgs!$B579)</f>
        <v>0</v>
      </c>
      <c r="L579" s="712" t="b">
        <f ca="1">IF(AND('Covenant summary information'!$C$83&lt;1,'Reconciliation report'!$E579&lt;&gt;""),ErrorMsgs!$C579)</f>
        <v>0</v>
      </c>
      <c r="M579" s="712" t="b">
        <f ca="1">IF(AND('Covenant summary information'!$C$83&gt;=1,'Reconciliation report'!$E579=""),ErrorMsgs!$D579)</f>
        <v>0</v>
      </c>
      <c r="N579" s="712" t="b">
        <f ca="1">IF(AND($E579&lt;&gt;"",NOT(ISNUMBER($E579))),ErrorMsgs!$E579)</f>
        <v>0</v>
      </c>
      <c r="O579" s="712" t="b">
        <f ca="1">IF($E579="",FALSE,IF(ISERROR(VALUE($E579)),ErrorMsgs!$F579,IF(VALUE($E579)&gt;TODAY(),ErrorMsgs!$F579)))</f>
        <v>0</v>
      </c>
      <c r="P579" s="712"/>
      <c r="Q579" s="712"/>
      <c r="R579" s="712"/>
      <c r="S579" s="712"/>
      <c r="T579" s="712"/>
      <c r="U579" s="526" t="str">
        <f t="shared" ref="U579:U642" ca="1" si="84">IF(AND($W579=TRUE,$Y579=FALSE),TEXT($E579,$X579),$E579)</f>
        <v/>
      </c>
      <c r="V579" s="93" t="str" cm="1">
        <f t="array" aca="1" ref="V579" ca="1">CELL("format",INDIRECT(I579))</f>
        <v>D1</v>
      </c>
      <c r="W579" s="93" t="b">
        <f t="shared" ref="W579:W642" ca="1" si="85">IF(ISNUMBER(E579), IF(INT(E579)&lt;&gt;E579,TRUE,FALSE),FALSE)</f>
        <v>0</v>
      </c>
      <c r="X579" s="715" t="str">
        <f t="shared" ca="1" si="83"/>
        <v/>
      </c>
      <c r="Y579" t="b">
        <f t="shared" ref="Y579:Y642" ca="1" si="86">ISTEXT(E579)</f>
        <v>1</v>
      </c>
    </row>
    <row r="580" spans="1:25" ht="77.5">
      <c r="A580" s="705" t="s">
        <v>779</v>
      </c>
      <c r="B580" s="716" t="str">
        <f t="shared" ca="1" si="78"/>
        <v>Guarantees - C25</v>
      </c>
      <c r="C580" s="707" t="str" cm="1">
        <f t="array" aca="1" ref="C580" ca="1">INDIRECT(LEFT(I580, FIND("!", I580)) &amp; RefData!$C$426 &amp; RIGHT(I580, LEN(I580) - FIND("!", I580) - 1))</f>
        <v xml:space="preserve">
No answer required
Value cap
</v>
      </c>
      <c r="D580" s="92" t="str">
        <f t="shared" ca="1" si="77"/>
        <v/>
      </c>
      <c r="E580" s="708" t="str" cm="1">
        <f t="array" aca="1" ref="E580" ca="1">IF(INDIRECT($I580)= "", "", INDIRECT($I580))</f>
        <v/>
      </c>
      <c r="F580" s="709" t="str" cm="1">
        <f t="array" aca="1" ref="F580" ca="1">INDIRECT(LEFT(I580, FIND("!", I580)) &amp; RefData!$C$427 &amp; RIGHT(I580, LEN(I580) - FIND("!", I580) - 1))</f>
        <v>GTE 19.0/1</v>
      </c>
      <c r="G580" s="710" t="b">
        <f ca="1">IF(ISNUMBER(SEARCH(RefData!$B$2, $C580)), FALSE, TRUE)</f>
        <v>0</v>
      </c>
      <c r="H580" s="113">
        <f>Guarantees!C25</f>
        <v>0</v>
      </c>
      <c r="I580" s="712" t="str">
        <f t="shared" ca="1" si="79"/>
        <v>Guarantees!C25</v>
      </c>
      <c r="J580" s="713" t="b" cm="1">
        <f t="array" aca="1" ref="J580" ca="1">IF(
    ISNUMBER(SEARCH(RefData!$B$2, $C$474)),
    IF(
        $E580 &lt;&gt; "",
        $J$474,
        IF(
            $E580 = "",
            FALSE
        )
    ),
    IF(
        COUNTIF($K580:$T580, "&lt;&gt;FALSE") - COUNTBLANK($K580:$T580) &gt; 0,
        INDEX($K580:$T580, MATCH(TRUE, $K580:$T580 &lt;&gt; FALSE, 0))
    )
)</f>
        <v>0</v>
      </c>
      <c r="K580" s="712" t="b">
        <f ca="1">IF(AND('Start here'!$C$26=RefData!$B$9,'Reconciliation report'!$E580&lt;&gt;""),ErrorMsgs!$B580)</f>
        <v>0</v>
      </c>
      <c r="L580" s="712" t="b">
        <f ca="1">IF(AND('Start here'!$C$26=RefData!$B$10,'Covenant summary information'!$C$83=0,'Reconciliation report'!$E580&lt;&gt;""),ErrorMsgs!$C580)</f>
        <v>0</v>
      </c>
      <c r="M580" s="712" t="b">
        <f ca="1">IF(AND('Start here'!$C$26=RefData!$B$10,'Covenant summary information'!$C$83&lt;1,'Reconciliation report'!$E580&lt;&gt;""),ErrorMsgs!$D580)</f>
        <v>0</v>
      </c>
      <c r="N580" s="712" t="b">
        <f ca="1">IF(AND('Start here'!$C$26=RefData!$B$10,'Covenant summary information'!$C$83&gt;=1,'Reconciliation report'!$E580=""),ErrorMsgs!$E580)</f>
        <v>0</v>
      </c>
      <c r="O580" s="712" t="b">
        <f ca="1">IF(AND($E580&lt;&gt;"",ISNA(MATCH($E580,RefData!$B$133:$B$139,0))),ErrorMsgs!$F580)</f>
        <v>0</v>
      </c>
      <c r="P580" s="712"/>
      <c r="Q580" s="712"/>
      <c r="R580" s="712"/>
      <c r="S580" s="712"/>
      <c r="T580" s="712"/>
      <c r="U580" s="526" t="str">
        <f t="shared" ca="1" si="84"/>
        <v/>
      </c>
      <c r="V580" s="93" t="str" cm="1">
        <f t="array" aca="1" ref="V580" ca="1">CELL("format",INDIRECT(I580))</f>
        <v>G</v>
      </c>
      <c r="W580" s="93" t="b">
        <f t="shared" ca="1" si="85"/>
        <v>0</v>
      </c>
      <c r="X580" s="715" t="str">
        <f t="shared" ca="1" si="83"/>
        <v/>
      </c>
      <c r="Y580" t="b">
        <f t="shared" ca="1" si="86"/>
        <v>1</v>
      </c>
    </row>
    <row r="581" spans="1:25" ht="77.5">
      <c r="A581" s="705" t="s">
        <v>781</v>
      </c>
      <c r="B581" s="716" t="str">
        <f t="shared" ca="1" si="78"/>
        <v>Guarantees - C26</v>
      </c>
      <c r="C581" s="707" t="str" cm="1">
        <f t="array" aca="1" ref="C581" ca="1">INDIRECT(LEFT(I581, FIND("!", I581)) &amp; RefData!$C$426 &amp; RIGHT(I581, LEN(I581) - FIND("!", I581) - 1))</f>
        <v xml:space="preserve">
No answer required
Narrative regarding value cap
</v>
      </c>
      <c r="D581" s="92" t="str">
        <f t="shared" ca="1" si="77"/>
        <v/>
      </c>
      <c r="E581" s="708" t="str" cm="1">
        <f t="array" aca="1" ref="E581" ca="1">IF(INDIRECT($I581)= "", "", INDIRECT($I581))</f>
        <v/>
      </c>
      <c r="F581" s="709" t="str" cm="1">
        <f t="array" aca="1" ref="F581" ca="1">INDIRECT(LEFT(I581, FIND("!", I581)) &amp; RefData!$C$427 &amp; RIGHT(I581, LEN(I581) - FIND("!", I581) - 1))</f>
        <v>GTE 20.0/1</v>
      </c>
      <c r="G581" s="710" t="b">
        <f ca="1">IF(ISNUMBER(SEARCH(RefData!$B$2, $C581)), FALSE, TRUE)</f>
        <v>0</v>
      </c>
      <c r="H581" s="113">
        <f>Guarantees!C26</f>
        <v>0</v>
      </c>
      <c r="I581" s="712" t="str">
        <f t="shared" ca="1" si="79"/>
        <v>Guarantees!C26</v>
      </c>
      <c r="J581" s="713" t="b" cm="1">
        <f t="array" aca="1" ref="J581" ca="1">IF(
    ISNUMBER(SEARCH(RefData!$B$2, $C$474)),
    IF(
        $E581 &lt;&gt; "",
        $J$474,
        IF(
            $E581 = "",
            FALSE
        )
    ),
    IF(
        COUNTIF($K581:$T581, "&lt;&gt;FALSE") - COUNTBLANK($K581:$T581) &gt; 0,
        INDEX($K581:$T581, MATCH(TRUE, $K581:$T581 &lt;&gt; FALSE, 0))
    )
)</f>
        <v>0</v>
      </c>
      <c r="K581" s="712" t="b">
        <f ca="1">IF(AND('Start here'!$C$26=RefData!$B$9,'Reconciliation report'!$E581&lt;&gt;""),ErrorMsgs!$B581)</f>
        <v>0</v>
      </c>
      <c r="L581" s="712" t="b">
        <f ca="1">IF(AND('Start here'!$C$26=RefData!$B$10,'Covenant summary information'!$C$83=0,'Reconciliation report'!$E581&lt;&gt;""),ErrorMsgs!$C581)</f>
        <v>0</v>
      </c>
      <c r="M581" s="712" t="b">
        <f ca="1">IF(AND('Start here'!$C$26=RefData!$B$10,'Covenant summary information'!$C$83&lt;1,'Reconciliation report'!$E581&lt;&gt;""),ErrorMsgs!$D581)</f>
        <v>0</v>
      </c>
      <c r="N581" s="712" t="b">
        <f ca="1">IF(AND('Start here'!$C$26=RefData!$B$10,'Covenant summary information'!$C$83&gt;=1,NOT(Guarantees!$C$25=RefData!$B$139),'Reconciliation report'!$E581&lt;&gt;""),ErrorMsgs!$E581)</f>
        <v>0</v>
      </c>
      <c r="O581" s="712" t="b">
        <f ca="1">IF(AND('Start here'!$C$26=RefData!$B$10,'Covenant summary information'!$C$83&gt;=1,Guarantees!$C$25=RefData!$B$139,'Reconciliation report'!$E581=""),ErrorMsgs!$F581)</f>
        <v>0</v>
      </c>
      <c r="P581" s="712" t="b">
        <f ca="1">IF(LEN($E581)&gt;4000,ErrorMsgs!$G581)</f>
        <v>0</v>
      </c>
      <c r="Q581" s="712"/>
      <c r="R581" s="712"/>
      <c r="S581" s="712"/>
      <c r="T581" s="712"/>
      <c r="U581" s="526" t="str">
        <f t="shared" ca="1" si="84"/>
        <v/>
      </c>
      <c r="V581" s="93" t="str" cm="1">
        <f t="array" aca="1" ref="V581" ca="1">CELL("format",INDIRECT(I581))</f>
        <v>G</v>
      </c>
      <c r="W581" s="93" t="b">
        <f t="shared" ca="1" si="85"/>
        <v>0</v>
      </c>
      <c r="X581" s="715" t="str">
        <f t="shared" ca="1" si="83"/>
        <v/>
      </c>
      <c r="Y581" t="b">
        <f t="shared" ca="1" si="86"/>
        <v>1</v>
      </c>
    </row>
    <row r="582" spans="1:25" ht="77.5">
      <c r="A582" s="705" t="s">
        <v>783</v>
      </c>
      <c r="B582" s="716" t="str">
        <f ca="1">HYPERLINK("#" &amp; $I582, SUBSTITUTE(SUBSTITUTE($I582, "!", " - "), "'",""))</f>
        <v>Guarantees - C27</v>
      </c>
      <c r="C582" s="707" t="str" cm="1">
        <f t="array" aca="1" ref="C582" ca="1">INDIRECT(LEFT(I582, FIND("!", I582)) &amp; RefData!$C$426 &amp; RIGHT(I582, LEN(I582) - FIND("!", I582) - 1))</f>
        <v xml:space="preserve">
No answer required
Fixed cap amount (£)
</v>
      </c>
      <c r="D582" s="92" t="str">
        <f ca="1">""&amp;IF(J582=FALSE, "", J582)
&amp;""</f>
        <v/>
      </c>
      <c r="E582" s="708" t="str" cm="1">
        <f t="array" aca="1" ref="E582" ca="1">IF(INDIRECT($I582)= "", "", INDIRECT($I582))</f>
        <v/>
      </c>
      <c r="F582" s="709" t="str" cm="1">
        <f t="array" aca="1" ref="F582" ca="1">INDIRECT(LEFT(I582, FIND("!", I582)) &amp; RefData!$C$427 &amp; RIGHT(I582, LEN(I582) - FIND("!", I582) - 1))</f>
        <v>GTE 21.0/1</v>
      </c>
      <c r="G582" s="710" t="b">
        <f ca="1">IF(ISNUMBER(SEARCH(RefData!$B$2, $C582)), FALSE, TRUE)</f>
        <v>0</v>
      </c>
      <c r="H582" s="113">
        <f>Guarantees!C27</f>
        <v>0</v>
      </c>
      <c r="I582" s="712" t="str">
        <f ca="1">SUBSTITUTE(_xlfn.FORMULATEXT($H582), "=", "")</f>
        <v>Guarantees!C27</v>
      </c>
      <c r="J582" s="713" t="b" cm="1">
        <f t="array" aca="1" ref="J582" ca="1">IF(
    ISNUMBER(SEARCH(RefData!$B$2, $C$474)),
    IF(
        $E582 &lt;&gt; "",
        $J$474,
        IF(
            $E582 = "",
            FALSE
        )
    ),
    IF(
        COUNTIF($K582:$T582, "&lt;&gt;FALSE") - COUNTBLANK($K582:$T582) &gt; 0,
        INDEX($K582:$T582, MATCH(TRUE, $K582:$T582 &lt;&gt; FALSE, 0))
    )
)</f>
        <v>0</v>
      </c>
      <c r="K582" s="712" t="b">
        <f ca="1">IF(AND('Start here'!$C$26=RefData!$B$9,'Reconciliation report'!$E582&lt;&gt;""),ErrorMsgs!$B582)</f>
        <v>0</v>
      </c>
      <c r="L582" s="712" t="b">
        <f ca="1">IF(AND('Start here'!$C$26=RefData!$B$10,'Covenant summary information'!$C$83=0,'Reconciliation report'!$E582&lt;&gt;""),ErrorMsgs!$C582)</f>
        <v>0</v>
      </c>
      <c r="M582" s="712" t="b">
        <f ca="1">IF(AND('Start here'!$C$26=RefData!$B$10,'Covenant summary information'!$C$83&lt;1,'Reconciliation report'!$E582&lt;&gt;""),ErrorMsgs!$D582)</f>
        <v>0</v>
      </c>
      <c r="N582" s="712" t="b">
        <f ca="1">IF(AND('Start here'!$C$26=RefData!$B$10,'Covenant summary information'!$C$83&gt;=1,NOT(Guarantees!$C$25=RefData!$B$138),'Reconciliation report'!$E582&lt;&gt;""),ErrorMsgs!$E582)</f>
        <v>0</v>
      </c>
      <c r="O582" s="712" t="b">
        <f ca="1">IF(AND('Start here'!$C$26=RefData!$B$10,'Covenant summary information'!$C$83&gt;0,Guarantees!$C$25=RefData!$B$138,'Reconciliation report'!$E582=""),ErrorMsgs!$F582)</f>
        <v>0</v>
      </c>
      <c r="P582" s="712" t="b">
        <f ca="1">IF($E582="",FALSE,IF(ISERROR(VALUE($E582)),ErrorMsgs!G582,IF(OR(VALUE($E582)&lt;0,VALUE($E582)&gt;=1000000000000,VALUE($E582)-ROUND(VALUE($E582),2)&lt;&gt;0),ErrorMsgs!G582)))</f>
        <v>0</v>
      </c>
      <c r="Q582" s="712"/>
      <c r="R582" s="712"/>
      <c r="S582" s="712"/>
      <c r="T582" s="712"/>
      <c r="U582" s="526" t="str">
        <f t="shared" ca="1" si="84"/>
        <v/>
      </c>
      <c r="V582" s="93" t="str" cm="1">
        <f t="array" aca="1" ref="V582" ca="1">CELL("format",INDIRECT(I582))</f>
        <v>C2</v>
      </c>
      <c r="W582" s="93" t="b">
        <f t="shared" ca="1" si="85"/>
        <v>0</v>
      </c>
      <c r="X582" s="715" t="str">
        <f t="shared" ca="1" si="83"/>
        <v/>
      </c>
      <c r="Y582" t="b">
        <f t="shared" ca="1" si="86"/>
        <v>1</v>
      </c>
    </row>
    <row r="583" spans="1:25" ht="46.5">
      <c r="A583" s="705" t="s">
        <v>786</v>
      </c>
      <c r="B583" s="716" t="str">
        <f t="shared" ca="1" si="78"/>
        <v>Guarantees - C31</v>
      </c>
      <c r="C583" s="707" t="str" cm="1">
        <f t="array" aca="1" ref="C583" ca="1">INDIRECT(LEFT(I583, FIND("!", I583)) &amp; RefData!$C$426 &amp; RIGHT(I583, LEN(I583) - FIND("!", I583) - 1))</f>
        <v xml:space="preserve">
Participating employer insolvency
</v>
      </c>
      <c r="D583" s="92" t="str">
        <f t="shared" ca="1" si="77"/>
        <v/>
      </c>
      <c r="E583" s="708" t="str" cm="1">
        <f t="array" aca="1" ref="E583" ca="1">IF(INDIRECT($I583)= "", "", INDIRECT($I583))</f>
        <v/>
      </c>
      <c r="F583" s="709" t="str" cm="1">
        <f t="array" aca="1" ref="F583" ca="1">INDIRECT(LEFT(I583, FIND("!", I583)) &amp; RefData!$C$427 &amp; RIGHT(I583, LEN(I583) - FIND("!", I583) - 1))</f>
        <v>GTE 22.0/1</v>
      </c>
      <c r="G583" s="710" t="b">
        <f ca="1">IF(ISNUMBER(SEARCH(RefData!$B$2, $C583)), FALSE, TRUE)</f>
        <v>1</v>
      </c>
      <c r="H583" s="113">
        <f>Guarantees!C31</f>
        <v>0</v>
      </c>
      <c r="I583" s="712" t="str">
        <f t="shared" ca="1" si="79"/>
        <v>Guarantees!C31</v>
      </c>
      <c r="J583" s="713" t="b" cm="1">
        <f t="array" aca="1" ref="J583" ca="1">IF(
    ISNUMBER(SEARCH(RefData!$B$2, $C$474)),
    IF(
        $E583 &lt;&gt; "",
        $J$474,
        IF(
            $E583 = "",
            FALSE
        )
    ),
    IF(
        COUNTIF($K583:$T583, "&lt;&gt;FALSE") - COUNTBLANK($K583:$T583) &gt; 0,
        INDEX($K583:$T583, MATCH(TRUE, $K583:$T583 &lt;&gt; FALSE, 0))
    )
)</f>
        <v>0</v>
      </c>
      <c r="K583" s="712" t="b">
        <f ca="1">IF(AND('Start here'!$C$26=RefData!$B$9,'Reconciliation report'!$E583&lt;&gt;""),ErrorMsgs!$B583)</f>
        <v>0</v>
      </c>
      <c r="L583" s="712" t="b">
        <f ca="1">IF(AND('Start here'!$C$26=RefData!$B$10,'Covenant summary information'!$C$83=0,'Reconciliation report'!$E583&lt;&gt;""),ErrorMsgs!$C583)</f>
        <v>0</v>
      </c>
      <c r="M583" s="712" t="b">
        <f ca="1">IF(AND('Start here'!$C$26=RefData!$B$10,'Covenant summary information'!$C$83&lt;1,'Reconciliation report'!$E583&lt;&gt;""),ErrorMsgs!$D583)</f>
        <v>0</v>
      </c>
      <c r="N583" s="712" t="b">
        <f ca="1">IF(AND('Start here'!$C$26=RefData!$B$10,'Covenant summary information'!$C$83&gt;=1,'Reconciliation report'!$E583=""),ErrorMsgs!$E583)</f>
        <v>0</v>
      </c>
      <c r="O583" s="712" t="b">
        <f ca="1">IF(AND($E583&lt;&gt;"",ISNA(MATCH($E583,RefData!$B$140:$B$141,0))),ErrorMsgs!$F583)</f>
        <v>0</v>
      </c>
      <c r="P583" s="712"/>
      <c r="Q583" s="712"/>
      <c r="R583" s="712"/>
      <c r="S583" s="712"/>
      <c r="T583" s="712"/>
      <c r="U583" s="526" t="str">
        <f t="shared" ca="1" si="84"/>
        <v/>
      </c>
      <c r="V583" s="93" t="str" cm="1">
        <f t="array" aca="1" ref="V583" ca="1">CELL("format",INDIRECT(I583))</f>
        <v>G</v>
      </c>
      <c r="W583" s="93" t="b">
        <f t="shared" ca="1" si="85"/>
        <v>0</v>
      </c>
      <c r="X583" s="715" t="str">
        <f t="shared" ca="1" si="83"/>
        <v/>
      </c>
      <c r="Y583" t="b">
        <f t="shared" ca="1" si="86"/>
        <v>1</v>
      </c>
    </row>
    <row r="584" spans="1:25" ht="46.5">
      <c r="A584" s="705" t="s">
        <v>789</v>
      </c>
      <c r="B584" s="716" t="str">
        <f t="shared" ca="1" si="78"/>
        <v>Guarantees - C32</v>
      </c>
      <c r="C584" s="707" t="str" cm="1">
        <f t="array" aca="1" ref="C584" ca="1">INDIRECT(LEFT(I584, FIND("!", I584)) &amp; RefData!$C$426 &amp; RIGHT(I584, LEN(I584) - FIND("!", I584) - 1))</f>
        <v xml:space="preserve">
Insolvency of associated company
</v>
      </c>
      <c r="D584" s="92" t="str">
        <f t="shared" ca="1" si="77"/>
        <v/>
      </c>
      <c r="E584" s="708" t="str" cm="1">
        <f t="array" aca="1" ref="E584" ca="1">IF(INDIRECT($I584)= "", "", INDIRECT($I584))</f>
        <v/>
      </c>
      <c r="F584" s="709" t="str" cm="1">
        <f t="array" aca="1" ref="F584" ca="1">INDIRECT(LEFT(I584, FIND("!", I584)) &amp; RefData!$C$427 &amp; RIGHT(I584, LEN(I584) - FIND("!", I584) - 1))</f>
        <v>GTE 23.0/1</v>
      </c>
      <c r="G584" s="710" t="b">
        <f ca="1">IF(ISNUMBER(SEARCH(RefData!$B$2, $C584)), FALSE, TRUE)</f>
        <v>1</v>
      </c>
      <c r="H584" s="113">
        <f>Guarantees!C32</f>
        <v>0</v>
      </c>
      <c r="I584" s="712" t="str">
        <f t="shared" ca="1" si="79"/>
        <v>Guarantees!C32</v>
      </c>
      <c r="J584" s="713" t="b" cm="1">
        <f t="array" aca="1" ref="J584" ca="1">IF(
    ISNUMBER(SEARCH(RefData!$B$2, $C$474)),
    IF(
        $E584 &lt;&gt; "",
        $J$474,
        IF(
            $E584 = "",
            FALSE
        )
    ),
    IF(
        COUNTIF($K584:$T584, "&lt;&gt;FALSE") - COUNTBLANK($K584:$T584) &gt; 0,
        INDEX($K584:$T584, MATCH(TRUE, $K584:$T584 &lt;&gt; FALSE, 0))
    )
)</f>
        <v>0</v>
      </c>
      <c r="K584" s="712" t="b">
        <f ca="1">IF(AND('Start here'!$C$26=RefData!$B$9,'Reconciliation report'!$E584&lt;&gt;""),ErrorMsgs!$B584)</f>
        <v>0</v>
      </c>
      <c r="L584" s="712" t="b">
        <f ca="1">IF(AND('Start here'!$C$26=RefData!$B$10,'Covenant summary information'!$C$83=0,'Reconciliation report'!$E584&lt;&gt;""),ErrorMsgs!$C584)</f>
        <v>0</v>
      </c>
      <c r="M584" s="712" t="b">
        <f ca="1">IF(AND('Start here'!$C$26=RefData!$B$10,'Covenant summary information'!$C$83&lt;1,'Reconciliation report'!$E584&lt;&gt;""),ErrorMsgs!$D584)</f>
        <v>0</v>
      </c>
      <c r="N584" s="712" t="b">
        <f ca="1">IF(AND('Start here'!$C$26=RefData!$B$10,'Covenant summary information'!$C$83&gt;=1,'Reconciliation report'!$E584=""),ErrorMsgs!$E584)</f>
        <v>0</v>
      </c>
      <c r="O584" s="712" t="b">
        <f ca="1">IF(AND($E584&lt;&gt;"",ISNA(MATCH($E584,RefData!$B$140:$B$141,0))),ErrorMsgs!$F584)</f>
        <v>0</v>
      </c>
      <c r="P584" s="712"/>
      <c r="Q584" s="712"/>
      <c r="R584" s="712"/>
      <c r="S584" s="712"/>
      <c r="T584" s="712"/>
      <c r="U584" s="526" t="str">
        <f t="shared" ca="1" si="84"/>
        <v/>
      </c>
      <c r="V584" s="93" t="str" cm="1">
        <f t="array" aca="1" ref="V584" ca="1">CELL("format",INDIRECT(I584))</f>
        <v>G</v>
      </c>
      <c r="W584" s="93" t="b">
        <f t="shared" ca="1" si="85"/>
        <v>0</v>
      </c>
      <c r="X584" s="715" t="str">
        <f t="shared" ca="1" si="83"/>
        <v/>
      </c>
      <c r="Y584" t="b">
        <f t="shared" ca="1" si="86"/>
        <v>1</v>
      </c>
    </row>
    <row r="585" spans="1:25" ht="46.5">
      <c r="A585" s="705" t="s">
        <v>791</v>
      </c>
      <c r="B585" s="716" t="str">
        <f t="shared" ca="1" si="78"/>
        <v>Guarantees - C33</v>
      </c>
      <c r="C585" s="707" t="str" cm="1">
        <f t="array" aca="1" ref="C585" ca="1">INDIRECT(LEFT(I585, FIND("!", I585)) &amp; RefData!$C$426 &amp; RIGHT(I585, LEN(I585) - FIND("!", I585) - 1))</f>
        <v xml:space="preserve">
Non payment of contributions
</v>
      </c>
      <c r="D585" s="92" t="str">
        <f t="shared" ca="1" si="77"/>
        <v/>
      </c>
      <c r="E585" s="708" t="str" cm="1">
        <f t="array" aca="1" ref="E585" ca="1">IF(INDIRECT($I585)= "", "", INDIRECT($I585))</f>
        <v/>
      </c>
      <c r="F585" s="709" t="str" cm="1">
        <f t="array" aca="1" ref="F585" ca="1">INDIRECT(LEFT(I585, FIND("!", I585)) &amp; RefData!$C$427 &amp; RIGHT(I585, LEN(I585) - FIND("!", I585) - 1))</f>
        <v>GTE 24.0/1</v>
      </c>
      <c r="G585" s="710" t="b">
        <f ca="1">IF(ISNUMBER(SEARCH(RefData!$B$2, $C585)), FALSE, TRUE)</f>
        <v>1</v>
      </c>
      <c r="H585" s="113">
        <f>Guarantees!C33</f>
        <v>0</v>
      </c>
      <c r="I585" s="712" t="str">
        <f t="shared" ca="1" si="79"/>
        <v>Guarantees!C33</v>
      </c>
      <c r="J585" s="713" t="b" cm="1">
        <f t="array" aca="1" ref="J585" ca="1">IF(
    ISNUMBER(SEARCH(RefData!$B$2, $C$474)),
    IF(
        $E585 &lt;&gt; "",
        $J$474,
        IF(
            $E585 = "",
            FALSE
        )
    ),
    IF(
        COUNTIF($K585:$T585, "&lt;&gt;FALSE") - COUNTBLANK($K585:$T585) &gt; 0,
        INDEX($K585:$T585, MATCH(TRUE, $K585:$T585 &lt;&gt; FALSE, 0))
    )
)</f>
        <v>0</v>
      </c>
      <c r="K585" s="712" t="b">
        <f ca="1">IF(AND('Start here'!$C$26=RefData!$B$9,'Reconciliation report'!$E585&lt;&gt;""),ErrorMsgs!$B585)</f>
        <v>0</v>
      </c>
      <c r="L585" s="712" t="b">
        <f ca="1">IF(AND('Start here'!$C$26=RefData!$B$10,'Covenant summary information'!$C$83=0,'Reconciliation report'!$E585&lt;&gt;""),ErrorMsgs!$C585)</f>
        <v>0</v>
      </c>
      <c r="M585" s="712" t="b">
        <f ca="1">IF(AND('Start here'!$C$26=RefData!$B$10,'Covenant summary information'!$C$83&lt;1,'Reconciliation report'!$E585&lt;&gt;""),ErrorMsgs!$D585)</f>
        <v>0</v>
      </c>
      <c r="N585" s="712" t="b">
        <f ca="1">IF(AND('Start here'!$C$26=RefData!$B$10,'Covenant summary information'!$C$83&gt;=1,'Reconciliation report'!$E585=""),ErrorMsgs!$E585)</f>
        <v>0</v>
      </c>
      <c r="O585" s="712" t="b">
        <f ca="1">IF(AND($E585&lt;&gt;"",ISNA(MATCH($E585,RefData!$B$140:$B$141,0))),ErrorMsgs!$F585)</f>
        <v>0</v>
      </c>
      <c r="P585" s="712"/>
      <c r="Q585" s="712"/>
      <c r="R585" s="712"/>
      <c r="S585" s="712"/>
      <c r="T585" s="712"/>
      <c r="U585" s="526" t="str">
        <f t="shared" ca="1" si="84"/>
        <v/>
      </c>
      <c r="V585" s="93" t="str" cm="1">
        <f t="array" aca="1" ref="V585" ca="1">CELL("format",INDIRECT(I585))</f>
        <v>G</v>
      </c>
      <c r="W585" s="93" t="b">
        <f t="shared" ca="1" si="85"/>
        <v>0</v>
      </c>
      <c r="X585" s="715" t="str">
        <f t="shared" ca="1" si="83"/>
        <v/>
      </c>
      <c r="Y585" t="b">
        <f t="shared" ca="1" si="86"/>
        <v>1</v>
      </c>
    </row>
    <row r="586" spans="1:25" ht="46.5">
      <c r="A586" s="705" t="s">
        <v>793</v>
      </c>
      <c r="B586" s="716" t="str">
        <f t="shared" ca="1" si="78"/>
        <v>Guarantees - C34</v>
      </c>
      <c r="C586" s="707" t="str" cm="1">
        <f t="array" aca="1" ref="C586" ca="1">INDIRECT(LEFT(I586, FIND("!", I586)) &amp; RefData!$C$426 &amp; RIGHT(I586, LEN(I586) - FIND("!", I586) - 1))</f>
        <v xml:space="preserve">
Crystallisation of investment risk
</v>
      </c>
      <c r="D586" s="92" t="str">
        <f t="shared" ca="1" si="77"/>
        <v/>
      </c>
      <c r="E586" s="708" t="str" cm="1">
        <f t="array" aca="1" ref="E586" ca="1">IF(INDIRECT($I586)= "", "", INDIRECT($I586))</f>
        <v/>
      </c>
      <c r="F586" s="709" t="str" cm="1">
        <f t="array" aca="1" ref="F586" ca="1">INDIRECT(LEFT(I586, FIND("!", I586)) &amp; RefData!$C$427 &amp; RIGHT(I586, LEN(I586) - FIND("!", I586) - 1))</f>
        <v>GTE 25.0/1</v>
      </c>
      <c r="G586" s="710" t="b">
        <f ca="1">IF(ISNUMBER(SEARCH(RefData!$B$2, $C586)), FALSE, TRUE)</f>
        <v>1</v>
      </c>
      <c r="H586" s="113">
        <f>Guarantees!C34</f>
        <v>0</v>
      </c>
      <c r="I586" s="712" t="str">
        <f t="shared" ca="1" si="79"/>
        <v>Guarantees!C34</v>
      </c>
      <c r="J586" s="713" t="b" cm="1">
        <f t="array" aca="1" ref="J586" ca="1">IF(
    ISNUMBER(SEARCH(RefData!$B$2, $C$474)),
    IF(
        $E586 &lt;&gt; "",
        $J$474,
        IF(
            $E586 = "",
            FALSE
        )
    ),
    IF(
        COUNTIF($K586:$T586, "&lt;&gt;FALSE") - COUNTBLANK($K586:$T586) &gt; 0,
        INDEX($K586:$T586, MATCH(TRUE, $K586:$T586 &lt;&gt; FALSE, 0))
    )
)</f>
        <v>0</v>
      </c>
      <c r="K586" s="712" t="b">
        <f ca="1">IF(AND('Start here'!$C$26=RefData!$B$9,'Reconciliation report'!$E586&lt;&gt;""),ErrorMsgs!$B586)</f>
        <v>0</v>
      </c>
      <c r="L586" s="712" t="b">
        <f ca="1">IF(AND('Start here'!$C$26=RefData!$B$10,'Covenant summary information'!$C$83=0,'Reconciliation report'!$E586&lt;&gt;""),ErrorMsgs!$C586)</f>
        <v>0</v>
      </c>
      <c r="M586" s="712" t="b">
        <f ca="1">IF(AND('Start here'!$C$26=RefData!$B$10,'Covenant summary information'!$C$83&lt;1,'Reconciliation report'!$E586&lt;&gt;""),ErrorMsgs!$D586)</f>
        <v>0</v>
      </c>
      <c r="N586" s="712" t="b">
        <f ca="1">IF(AND('Start here'!$C$26=RefData!$B$10,'Covenant summary information'!$C$83&gt;=1,'Reconciliation report'!$E586=""),ErrorMsgs!$E586)</f>
        <v>0</v>
      </c>
      <c r="O586" s="712" t="b">
        <f ca="1">IF(AND($E586&lt;&gt;"",ISNA(MATCH($E586,RefData!$B$140:$B$141,0))),ErrorMsgs!$F586)</f>
        <v>0</v>
      </c>
      <c r="P586" s="712"/>
      <c r="Q586" s="712"/>
      <c r="R586" s="712"/>
      <c r="S586" s="712"/>
      <c r="T586" s="712"/>
      <c r="U586" s="526" t="str">
        <f t="shared" ca="1" si="84"/>
        <v/>
      </c>
      <c r="V586" s="93" t="str" cm="1">
        <f t="array" aca="1" ref="V586" ca="1">CELL("format",INDIRECT(I586))</f>
        <v>G</v>
      </c>
      <c r="W586" s="93" t="b">
        <f t="shared" ca="1" si="85"/>
        <v>0</v>
      </c>
      <c r="X586" s="715" t="str">
        <f t="shared" ca="1" si="83"/>
        <v/>
      </c>
      <c r="Y586" t="b">
        <f t="shared" ca="1" si="86"/>
        <v>1</v>
      </c>
    </row>
    <row r="587" spans="1:25" ht="46.5">
      <c r="A587" s="705" t="s">
        <v>795</v>
      </c>
      <c r="B587" s="716" t="str">
        <f t="shared" ca="1" si="78"/>
        <v>Guarantees - C35</v>
      </c>
      <c r="C587" s="707" t="str" cm="1">
        <f t="array" aca="1" ref="C587" ca="1">INDIRECT(LEFT(I587, FIND("!", I587)) &amp; RefData!$C$426 &amp; RIGHT(I587, LEN(I587) - FIND("!", I587) - 1))</f>
        <v xml:space="preserve">
Other
</v>
      </c>
      <c r="D587" s="92" t="str">
        <f t="shared" ca="1" si="77"/>
        <v/>
      </c>
      <c r="E587" s="708" t="str" cm="1">
        <f t="array" aca="1" ref="E587" ca="1">IF(INDIRECT($I587)= "", "", INDIRECT($I587))</f>
        <v/>
      </c>
      <c r="F587" s="709" t="str" cm="1">
        <f t="array" aca="1" ref="F587" ca="1">INDIRECT(LEFT(I587, FIND("!", I587)) &amp; RefData!$C$427 &amp; RIGHT(I587, LEN(I587) - FIND("!", I587) - 1))</f>
        <v>GTE 26.0/1</v>
      </c>
      <c r="G587" s="710" t="b">
        <f ca="1">IF(ISNUMBER(SEARCH(RefData!$B$2, $C587)), FALSE, TRUE)</f>
        <v>1</v>
      </c>
      <c r="H587" s="113">
        <f>Guarantees!C35</f>
        <v>0</v>
      </c>
      <c r="I587" s="712" t="str">
        <f t="shared" ca="1" si="79"/>
        <v>Guarantees!C35</v>
      </c>
      <c r="J587" s="713" t="b" cm="1">
        <f t="array" aca="1" ref="J587" ca="1">IF(
    ISNUMBER(SEARCH(RefData!$B$2, $C$474)),
    IF(
        $E587 &lt;&gt; "",
        $J$474,
        IF(
            $E587 = "",
            FALSE
        )
    ),
    IF(
        COUNTIF($K587:$T587, "&lt;&gt;FALSE") - COUNTBLANK($K587:$T587) &gt; 0,
        INDEX($K587:$T587, MATCH(TRUE, $K587:$T587 &lt;&gt; FALSE, 0))
    )
)</f>
        <v>0</v>
      </c>
      <c r="K587" s="712" t="b">
        <f ca="1">IF(AND('Start here'!$C$26=RefData!$B$9,'Reconciliation report'!$E587&lt;&gt;""),ErrorMsgs!$B587)</f>
        <v>0</v>
      </c>
      <c r="L587" s="712" t="b">
        <f ca="1">IF(AND('Start here'!$C$26=RefData!$B$10,'Covenant summary information'!$C$83=0,'Reconciliation report'!$E587&lt;&gt;""),ErrorMsgs!$C587)</f>
        <v>0</v>
      </c>
      <c r="M587" s="712" t="b">
        <f ca="1">IF(AND('Start here'!$C$26=RefData!$B$10,'Covenant summary information'!$C$83&lt;1,'Reconciliation report'!$E587&lt;&gt;""),ErrorMsgs!$D587)</f>
        <v>0</v>
      </c>
      <c r="N587" s="712" t="b">
        <f ca="1">IF(AND('Start here'!$C$26=RefData!$B$10,'Covenant summary information'!$C$83&gt;=1,'Reconciliation report'!$E587=""),ErrorMsgs!$E587)</f>
        <v>0</v>
      </c>
      <c r="O587" s="712" t="b">
        <f ca="1">IF(AND($E587&lt;&gt;"",ISNA(MATCH($E587,RefData!$B$140:$B$141,0))),ErrorMsgs!$F587)</f>
        <v>0</v>
      </c>
      <c r="P587" s="712"/>
      <c r="Q587" s="712"/>
      <c r="R587" s="712"/>
      <c r="S587" s="712"/>
      <c r="T587" s="712"/>
      <c r="U587" s="526" t="str">
        <f t="shared" ca="1" si="84"/>
        <v/>
      </c>
      <c r="V587" s="93" t="str" cm="1">
        <f t="array" aca="1" ref="V587" ca="1">CELL("format",INDIRECT(I587))</f>
        <v>G</v>
      </c>
      <c r="W587" s="93" t="b">
        <f t="shared" ca="1" si="85"/>
        <v>0</v>
      </c>
      <c r="X587" s="715" t="str">
        <f t="shared" ca="1" si="83"/>
        <v/>
      </c>
      <c r="Y587" t="b">
        <f t="shared" ca="1" si="86"/>
        <v>1</v>
      </c>
    </row>
    <row r="588" spans="1:25" ht="46.5">
      <c r="A588" s="705" t="s">
        <v>797</v>
      </c>
      <c r="B588" s="716" t="str">
        <f t="shared" ca="1" si="78"/>
        <v>Guarantees - C36</v>
      </c>
      <c r="C588" s="707" t="str" cm="1">
        <f t="array" aca="1" ref="C588" ca="1">INDIRECT(LEFT(I588, FIND("!", I588)) &amp; RefData!$C$426 &amp; RIGHT(I588, LEN(I588) - FIND("!", I588) - 1))</f>
        <v xml:space="preserve">
Describe the other triggers for access to value
</v>
      </c>
      <c r="D588" s="92" t="str">
        <f t="shared" ca="1" si="77"/>
        <v/>
      </c>
      <c r="E588" s="708" t="str" cm="1">
        <f t="array" aca="1" ref="E588" ca="1">IF(INDIRECT($I588)= "", "", INDIRECT($I588))</f>
        <v/>
      </c>
      <c r="F588" s="709" t="str" cm="1">
        <f t="array" aca="1" ref="F588" ca="1">INDIRECT(LEFT(I588, FIND("!", I588)) &amp; RefData!$C$427 &amp; RIGHT(I588, LEN(I588) - FIND("!", I588) - 1))</f>
        <v>GTE 27.0/1</v>
      </c>
      <c r="G588" s="710" t="b">
        <f ca="1">IF(ISNUMBER(SEARCH(RefData!$B$2, $C588)), FALSE, TRUE)</f>
        <v>1</v>
      </c>
      <c r="H588" s="113">
        <f>Guarantees!C36</f>
        <v>0</v>
      </c>
      <c r="I588" s="712" t="str">
        <f t="shared" ca="1" si="79"/>
        <v>Guarantees!C36</v>
      </c>
      <c r="J588" s="713" t="b" cm="1">
        <f t="array" aca="1" ref="J588" ca="1">IF(
    ISNUMBER(SEARCH(RefData!$B$2, $C$474)),
    IF(
        $E588 &lt;&gt; "",
        $J$474,
        IF(
            $E588 = "",
            FALSE
        )
    ),
    IF(
        COUNTIF($K588:$T588, "&lt;&gt;FALSE") - COUNTBLANK($K588:$T588) &gt; 0,
        INDEX($K588:$T588, MATCH(TRUE, $K588:$T588 &lt;&gt; FALSE, 0))
    )
)</f>
        <v>0</v>
      </c>
      <c r="K588" s="712" t="b">
        <f ca="1">IF(AND('Start here'!$C$26=RefData!$B$9,'Reconciliation report'!$E588&lt;&gt;""),ErrorMsgs!$B588)</f>
        <v>0</v>
      </c>
      <c r="L588" s="712" t="b">
        <f ca="1">IF(AND('Start here'!$C$26=RefData!$B$10,'Covenant summary information'!$C$83=0,'Reconciliation report'!$E588&lt;&gt;""),ErrorMsgs!$C588)</f>
        <v>0</v>
      </c>
      <c r="M588" s="712" t="b">
        <f ca="1">IF(AND('Start here'!$C$26=RefData!$B$10,'Covenant summary information'!$C$83&lt;1,'Reconciliation report'!$E588&lt;&gt;""),ErrorMsgs!$D588)</f>
        <v>0</v>
      </c>
      <c r="N588" s="712" t="b">
        <f ca="1">IF(AND('Start here'!$C$26=RefData!$B$10,'Covenant summary information'!$C$83&gt;=1,Guarantees!$C$35&lt;&gt;RefData!$B$140,'Reconciliation report'!$E588&lt;&gt;""),ErrorMsgs!$E588)</f>
        <v>0</v>
      </c>
      <c r="O588" s="712" t="b">
        <f ca="1">IF(AND('Start here'!$C$26=RefData!$B$10,'Covenant summary information'!$C$83&gt;=1,Guarantees!$C$35=RefData!$B$140,'Reconciliation report'!$E588=""),ErrorMsgs!$F588)</f>
        <v>0</v>
      </c>
      <c r="P588" s="712" t="b">
        <f ca="1">IF(LEN($E588)&gt;4000,ErrorMsgs!$G588)</f>
        <v>0</v>
      </c>
      <c r="Q588" s="712"/>
      <c r="R588" s="712"/>
      <c r="S588" s="712"/>
      <c r="T588" s="712"/>
      <c r="U588" s="526" t="str">
        <f t="shared" ca="1" si="84"/>
        <v/>
      </c>
      <c r="V588" s="93" t="str" cm="1">
        <f t="array" aca="1" ref="V588" ca="1">CELL("format",INDIRECT(I588))</f>
        <v>G</v>
      </c>
      <c r="W588" s="93" t="b">
        <f t="shared" ca="1" si="85"/>
        <v>0</v>
      </c>
      <c r="X588" s="715" t="str">
        <f t="shared" ca="1" si="83"/>
        <v/>
      </c>
      <c r="Y588" t="b">
        <f t="shared" ca="1" si="86"/>
        <v>1</v>
      </c>
    </row>
    <row r="589" spans="1:25" ht="46.5">
      <c r="A589" s="705" t="s">
        <v>799</v>
      </c>
      <c r="B589" s="716" t="str">
        <f t="shared" ca="1" si="78"/>
        <v>Guarantees - C37</v>
      </c>
      <c r="C589" s="707" t="str" cm="1">
        <f t="array" aca="1" ref="C589" ca="1">INDIRECT(LEFT(I589, FIND("!", I589)) &amp; RefData!$C$426 &amp; RIGHT(I589, LEN(I589) - FIND("!", I589) - 1))</f>
        <v xml:space="preserve">
Triggers for termination
</v>
      </c>
      <c r="D589" s="92" t="str">
        <f t="shared" ca="1" si="77"/>
        <v/>
      </c>
      <c r="E589" s="708" t="str" cm="1">
        <f t="array" aca="1" ref="E589" ca="1">IF(INDIRECT($I589)= "", "", INDIRECT($I589))</f>
        <v/>
      </c>
      <c r="F589" s="709" t="str" cm="1">
        <f t="array" aca="1" ref="F589" ca="1">INDIRECT(LEFT(I589, FIND("!", I589)) &amp; RefData!$C$427 &amp; RIGHT(I589, LEN(I589) - FIND("!", I589) - 1))</f>
        <v>GTE 28.0/1</v>
      </c>
      <c r="G589" s="710" t="b">
        <f ca="1">IF(ISNUMBER(SEARCH(RefData!$B$2, $C589)), FALSE, TRUE)</f>
        <v>1</v>
      </c>
      <c r="H589" s="113">
        <f>Guarantees!C37</f>
        <v>0</v>
      </c>
      <c r="I589" s="712" t="str">
        <f t="shared" ca="1" si="79"/>
        <v>Guarantees!C37</v>
      </c>
      <c r="J589" s="713" t="b" cm="1">
        <f t="array" aca="1" ref="J589" ca="1">IF(
    ISNUMBER(SEARCH(RefData!$B$2, $C$474)),
    IF(
        $E589 &lt;&gt; "",
        $J$474,
        IF(
            $E589 = "",
            FALSE
        )
    ),
    IF(
        COUNTIF($K589:$T589, "&lt;&gt;FALSE") - COUNTBLANK($K589:$T589) &gt; 0,
        INDEX($K589:$T589, MATCH(TRUE, $K589:$T589 &lt;&gt; FALSE, 0))
    )
)</f>
        <v>0</v>
      </c>
      <c r="K589" s="712" t="b">
        <f ca="1">IF(AND('Start here'!$C$26=RefData!$B$9,'Reconciliation report'!$E589&lt;&gt;""),ErrorMsgs!$B589)</f>
        <v>0</v>
      </c>
      <c r="L589" s="712" t="b">
        <f ca="1">IF(AND('Start here'!$C$26=RefData!$B$10,'Covenant summary information'!$C$83=0,'Reconciliation report'!$E589&lt;&gt;""),ErrorMsgs!$C589)</f>
        <v>0</v>
      </c>
      <c r="M589" s="712" t="b">
        <f ca="1">IF(AND('Start here'!$C$26=RefData!$B$10,'Covenant summary information'!$C$83&lt;1,'Reconciliation report'!$E589&lt;&gt;""),ErrorMsgs!$D589)</f>
        <v>0</v>
      </c>
      <c r="N589" s="712" t="b">
        <f ca="1">IF(AND('Start here'!$C$26=RefData!$B$10,'Covenant summary information'!$C$83&gt;=1,'Reconciliation report'!$E589=""),ErrorMsgs!$E589)</f>
        <v>0</v>
      </c>
      <c r="O589" s="712" t="b">
        <f ca="1">IF(LEN($E589)&gt;4000,ErrorMsgs!$F589)</f>
        <v>0</v>
      </c>
      <c r="P589" s="712"/>
      <c r="Q589" s="712"/>
      <c r="R589" s="712"/>
      <c r="S589" s="712"/>
      <c r="T589" s="712"/>
      <c r="U589" s="526" t="str">
        <f t="shared" ca="1" si="84"/>
        <v/>
      </c>
      <c r="V589" s="93" t="str" cm="1">
        <f t="array" aca="1" ref="V589" ca="1">CELL("format",INDIRECT(I589))</f>
        <v>G</v>
      </c>
      <c r="W589" s="93" t="b">
        <f t="shared" ca="1" si="85"/>
        <v>0</v>
      </c>
      <c r="X589" s="715" t="str">
        <f t="shared" ca="1" si="83"/>
        <v/>
      </c>
      <c r="Y589" t="b">
        <f t="shared" ca="1" si="86"/>
        <v>1</v>
      </c>
    </row>
    <row r="590" spans="1:25" ht="77.5">
      <c r="A590" s="705" t="s">
        <v>802</v>
      </c>
      <c r="B590" s="716" t="str">
        <f t="shared" ca="1" si="78"/>
        <v>Guarantees - C41</v>
      </c>
      <c r="C590" s="707" t="str" cm="1">
        <f t="array" aca="1" ref="C590" ca="1">INDIRECT(LEFT(I590, FIND("!", I590)) &amp; RefData!$C$426 &amp; RIGHT(I590, LEN(I590) - FIND("!", I590) - 1))</f>
        <v xml:space="preserve">
No answer required
Legal name
</v>
      </c>
      <c r="D590" s="92" t="str">
        <f t="shared" ca="1" si="77"/>
        <v/>
      </c>
      <c r="E590" s="708" t="str" cm="1">
        <f t="array" aca="1" ref="E590" ca="1">IF(INDIRECT($I590)= "", "", INDIRECT($I590))</f>
        <v/>
      </c>
      <c r="F590" s="709" t="str" cm="1">
        <f t="array" aca="1" ref="F590" ca="1">INDIRECT(LEFT(I590, FIND("!", I590)) &amp; RefData!$C$427 &amp; RIGHT(I590, LEN(I590) - FIND("!", I590) - 1))</f>
        <v>GTE 1.0/2</v>
      </c>
      <c r="G590" s="710" t="b">
        <f ca="1">IF(ISNUMBER(SEARCH(RefData!$B$2, $C590)), FALSE, TRUE)</f>
        <v>0</v>
      </c>
      <c r="H590" s="344">
        <f>Guarantees!C41</f>
        <v>0</v>
      </c>
      <c r="I590" s="712" t="str">
        <f t="shared" ca="1" si="79"/>
        <v>Guarantees!C41</v>
      </c>
      <c r="J590" s="713" t="b" cm="1">
        <f t="array" aca="1" ref="J590" ca="1">IF(
    ISNUMBER(SEARCH(RefData!$B$2, $C$474)),
    IF(
        $E590 &lt;&gt; "",
        $J$474,
        IF(
            $E590 = "",
            FALSE
        )
    ),
    IF(
        COUNTIF($K590:$T590, "&lt;&gt;FALSE") - COUNTBLANK($K590:$T590) &gt; 0,
        INDEX($K590:$T590, MATCH(TRUE, $K590:$T590 &lt;&gt; FALSE, 0))
    )
)</f>
        <v>0</v>
      </c>
      <c r="K590" s="712" t="b">
        <f ca="1">IF(AND('Covenant summary information'!$C$83=0,'Reconciliation report'!$E590&lt;&gt;""),ErrorMsgs!$B590)</f>
        <v>0</v>
      </c>
      <c r="L590" s="712" t="b">
        <f ca="1">IF(AND('Covenant summary information'!$C$83&lt;2,'Reconciliation report'!$E590&lt;&gt;""),ErrorMsgs!$C590)</f>
        <v>0</v>
      </c>
      <c r="M590" s="712" t="b">
        <f ca="1">IF(AND('Covenant summary information'!$C$83&gt;=2,'Reconciliation report'!$E590=""),ErrorMsgs!$D590)</f>
        <v>0</v>
      </c>
      <c r="N590" s="712" t="b">
        <f ca="1">IF(LEN($E590)&gt;510,ErrorMsgs!$E590)</f>
        <v>0</v>
      </c>
      <c r="O590" s="712"/>
      <c r="P590" s="712"/>
      <c r="Q590" s="712"/>
      <c r="R590" s="712"/>
      <c r="S590" s="712"/>
      <c r="T590" s="712"/>
      <c r="U590" s="526" t="str">
        <f t="shared" ca="1" si="84"/>
        <v/>
      </c>
      <c r="V590" s="93" t="str" cm="1">
        <f t="array" aca="1" ref="V590" ca="1">CELL("format",INDIRECT(I590))</f>
        <v>G</v>
      </c>
      <c r="W590" s="93" t="b">
        <f t="shared" ca="1" si="85"/>
        <v>0</v>
      </c>
      <c r="X590" s="715" t="str">
        <f t="shared" ca="1" si="83"/>
        <v/>
      </c>
      <c r="Y590" t="b">
        <f t="shared" ca="1" si="86"/>
        <v>1</v>
      </c>
    </row>
    <row r="591" spans="1:25" ht="34.25" customHeight="1">
      <c r="A591" s="705" t="s">
        <v>804</v>
      </c>
      <c r="B591" s="716" t="str">
        <f t="shared" ca="1" si="78"/>
        <v>Guarantees - C42</v>
      </c>
      <c r="C591" s="707" t="str" cm="1">
        <f t="array" aca="1" ref="C591" ca="1">INDIRECT(LEFT(I591, FIND("!", I591)) &amp; RefData!$C$426 &amp; RIGHT(I591, LEN(I591) - FIND("!", I591) - 1))</f>
        <v xml:space="preserve">
No answer required
Companies House number (if applicable)
</v>
      </c>
      <c r="D591" s="92" t="str">
        <f t="shared" ca="1" si="77"/>
        <v/>
      </c>
      <c r="E591" s="708" t="str" cm="1">
        <f t="array" aca="1" ref="E591" ca="1">IF(INDIRECT($I591)= "", "", INDIRECT($I591))</f>
        <v/>
      </c>
      <c r="F591" s="709" t="str" cm="1">
        <f t="array" aca="1" ref="F591" ca="1">INDIRECT(LEFT(I591, FIND("!", I591)) &amp; RefData!$C$427 &amp; RIGHT(I591, LEN(I591) - FIND("!", I591) - 1))</f>
        <v>GTE 2.0/2</v>
      </c>
      <c r="G591" s="710" t="b">
        <f ca="1">IF(ISNUMBER(SEARCH(RefData!$B$2, $C591)), FALSE, TRUE)</f>
        <v>0</v>
      </c>
      <c r="H591" s="344">
        <f>Guarantees!C42</f>
        <v>0</v>
      </c>
      <c r="I591" s="712" t="str">
        <f t="shared" ca="1" si="79"/>
        <v>Guarantees!C42</v>
      </c>
      <c r="J591" s="713" t="b" cm="1">
        <f t="array" aca="1" ref="J591" ca="1">IF(
    ISNUMBER(SEARCH(RefData!$B$2, $C$474)),
    IF(
        $E591 &lt;&gt; "",
        $J$474,
        IF(
            $E591 = "",
            FALSE
        )
    ),
    IF(
        COUNTIF($K591:$T591, "&lt;&gt;FALSE") - COUNTBLANK($K591:$T591) &gt; 0,
        INDEX($K591:$T591, MATCH(TRUE, $K591:$T591 &lt;&gt; FALSE, 0))
    )
)</f>
        <v>0</v>
      </c>
      <c r="K591" s="712" t="b">
        <f ca="1">IF(AND('Covenant summary information'!$C$83=0,'Reconciliation report'!$E591&lt;&gt;""),ErrorMsgs!$B591)</f>
        <v>0</v>
      </c>
      <c r="L591" s="712" t="b">
        <f ca="1">IF(AND('Covenant summary information'!$C$83&lt;2,'Reconciliation report'!$E591&lt;&gt;""),ErrorMsgs!$C591)</f>
        <v>0</v>
      </c>
      <c r="M591" s="712" t="b">
        <f ca="1">IF(
  AND(
   'Covenant summary information'!$C$83&gt;= 2,
    OR(
      AND(TRIM($E591) &lt;&gt; "", TRIM($D592) &lt;&gt; ""),
      AND(TRIM($E591) &lt;&gt; "", TRIM($D592) = "", TRIM($E592) = "")
    ),
    OR(
      ISNUMBER(FIND(" ", $E591)),
      NOT(
        OR(
          AND(LEN($E591)=8, ISNUMBER(VALUE($E591))),
          AND(LEN($E591)=8, ISNUMBER(VALUE(RIGHT($E591,6))), ISNUMBER(FIND(LEFT(UPPER($E591),1),"ABCDEFGHIJKLMNOPQRSTUVWXYZ")), ISNUMBER(FIND(MID(UPPER($E591),2,1),"ABCDEFGHIJKLMNOPQRSTUVWXYZ"))),
          AND(LEN($E591)=8, ISNUMBER(VALUE(RIGHT($E591,7))), ISNUMBER(FIND(LEFT(UPPER($E591),1),"ABCDEFGHIJKLMNOPQRSTUVWXYZ"))),
          AND(LEN($E591)=8, ISNUMBER(VALUE(MID($E591,3,5))), ISNUMBER(FIND(LEFT(UPPER($E591),1),"ABCDEFGHIJKLMNOPQRSTUVWXYZ")), ISNUMBER(FIND(MID(UPPER($E591),2,1),"ABCDEFGHIJKLMNOPQRSTUVWXYZ")), ISNUMBER(FIND(RIGHT(UPPER($E591),1),"ABCDEFGHIJKLMNOPQRSTUVWXYZ"))),
          AND(LEN($E591)=8, ISNUMBER(VALUE(MID($E591,3,4))), ISNUMBER(FIND(LEFT(UPPER($E591),1),"ABCDEFGHIJKLMNOPQRSTUVWXYZ")), ISNUMBER(FIND(MID(UPPER($E591),2,1),"ABCDEFGHIJKLMNOPQRSTUVWXYZ")), ISNUMBER(FIND(MID(UPPER($E591),7,1),"ABCDEFGHIJKLMNOPQRSTUVWXYZ")), ISNUMBER(FIND(RIGHT(UPPER($E591),1),"ABCDEFGHIJKLMNOPQRSTUVWXYZ")))
        )
      )
    )
  ),
  ErrorMsgs!D591
)</f>
        <v>0</v>
      </c>
      <c r="N591" s="712"/>
      <c r="O591" s="712"/>
      <c r="P591" s="712"/>
      <c r="Q591" s="712"/>
      <c r="R591" s="712"/>
      <c r="S591" s="712"/>
      <c r="T591" s="712"/>
      <c r="U591" s="526" t="str">
        <f t="shared" ca="1" si="84"/>
        <v/>
      </c>
      <c r="V591" s="93" t="str" cm="1">
        <f t="array" aca="1" ref="V591" ca="1">CELL("format",INDIRECT(I591))</f>
        <v>G</v>
      </c>
      <c r="W591" s="93" t="b">
        <f t="shared" ca="1" si="85"/>
        <v>0</v>
      </c>
      <c r="X591" s="715" t="str">
        <f t="shared" ca="1" si="83"/>
        <v/>
      </c>
      <c r="Y591" t="b">
        <f t="shared" ca="1" si="86"/>
        <v>1</v>
      </c>
    </row>
    <row r="592" spans="1:25" ht="77.5">
      <c r="A592" s="705" t="s">
        <v>806</v>
      </c>
      <c r="B592" s="716" t="str">
        <f t="shared" ca="1" si="78"/>
        <v>Guarantees - C43</v>
      </c>
      <c r="C592" s="707" t="str" cm="1">
        <f t="array" aca="1" ref="C592" ca="1">INDIRECT(LEFT(I592, FIND("!", I592)) &amp; RefData!$C$426 &amp; RIGHT(I592, LEN(I592) - FIND("!", I592) - 1))</f>
        <v xml:space="preserve">
No answer required
Charity number (if applicable)
</v>
      </c>
      <c r="D592" s="92" t="str">
        <f t="shared" ca="1" si="77"/>
        <v/>
      </c>
      <c r="E592" s="708" t="str" cm="1">
        <f t="array" aca="1" ref="E592" ca="1">IF(INDIRECT($I592)= "", "", INDIRECT($I592))</f>
        <v/>
      </c>
      <c r="F592" s="709" t="str" cm="1">
        <f t="array" aca="1" ref="F592" ca="1">INDIRECT(LEFT(I592, FIND("!", I592)) &amp; RefData!$C$427 &amp; RIGHT(I592, LEN(I592) - FIND("!", I592) - 1))</f>
        <v>GTE 3.0/2</v>
      </c>
      <c r="G592" s="710" t="b">
        <f ca="1">IF(ISNUMBER(SEARCH(RefData!$B$2, $C592)), FALSE, TRUE)</f>
        <v>0</v>
      </c>
      <c r="H592" s="344">
        <f>Guarantees!C43</f>
        <v>0</v>
      </c>
      <c r="I592" s="712" t="str">
        <f t="shared" ca="1" si="79"/>
        <v>Guarantees!C43</v>
      </c>
      <c r="J592" s="713" t="b" cm="1">
        <f t="array" aca="1" ref="J592" ca="1">IF(
    ISNUMBER(SEARCH(RefData!$B$2, $C$474)),
    IF(
        $E592 &lt;&gt; "",
        $J$474,
        IF(
            $E592 = "",
            FALSE
        )
    ),
    IF(
        COUNTIF($K592:$T592, "&lt;&gt;FALSE") - COUNTBLANK($K592:$T592) &gt; 0,
        INDEX($K592:$T592, MATCH(TRUE, $K592:$T592 &lt;&gt; FALSE, 0))
    )
)</f>
        <v>0</v>
      </c>
      <c r="K592" s="712" t="b">
        <f ca="1">IF(AND('Covenant summary information'!$C$83=0,'Reconciliation report'!$E592&lt;&gt;""),ErrorMsgs!$B592)</f>
        <v>0</v>
      </c>
      <c r="L592" s="712" t="b">
        <f ca="1">IF(AND('Covenant summary information'!$C$83&lt;2,'Reconciliation report'!$E592&lt;&gt;""),ErrorMsgs!$C592)</f>
        <v>0</v>
      </c>
      <c r="M592" s="712" t="b">
        <f ca="1">IF(AND(TRIM(Guarantees!$C42)&lt;&gt;"",$E592&lt;&gt;""),ErrorMsgs!$D592)</f>
        <v>0</v>
      </c>
      <c r="N592" s="712" t="b">
        <f ca="1">IF(AND($E592&lt;&gt;"",OR(LEN($E592)&lt;6,LEN($E592)&gt;8)),ErrorMsgs!$E592)</f>
        <v>0</v>
      </c>
      <c r="O592" s="712"/>
      <c r="P592" s="712"/>
      <c r="Q592" s="712"/>
      <c r="R592" s="712"/>
      <c r="S592" s="712"/>
      <c r="T592" s="712"/>
      <c r="U592" s="526" t="str">
        <f t="shared" ca="1" si="84"/>
        <v/>
      </c>
      <c r="V592" s="93" t="str" cm="1">
        <f t="array" aca="1" ref="V592" ca="1">CELL("format",INDIRECT(I592))</f>
        <v>G</v>
      </c>
      <c r="W592" s="93" t="b">
        <f t="shared" ca="1" si="85"/>
        <v>0</v>
      </c>
      <c r="X592" s="715" t="str">
        <f t="shared" ca="1" si="83"/>
        <v/>
      </c>
      <c r="Y592" t="b">
        <f t="shared" ca="1" si="86"/>
        <v>1</v>
      </c>
    </row>
    <row r="593" spans="1:25" ht="77.5">
      <c r="A593" s="705" t="s">
        <v>808</v>
      </c>
      <c r="B593" s="716" t="str">
        <f t="shared" ca="1" si="78"/>
        <v>Guarantees - C44</v>
      </c>
      <c r="C593" s="707" t="str" cm="1">
        <f t="array" aca="1" ref="C593" ca="1">INDIRECT(LEFT(I593, FIND("!", I593)) &amp; RefData!$C$426 &amp; RIGHT(I593, LEN(I593) - FIND("!", I593) - 1))</f>
        <v xml:space="preserve">
No answer required
Trading name
</v>
      </c>
      <c r="D593" s="92" t="str">
        <f t="shared" ca="1" si="77"/>
        <v/>
      </c>
      <c r="E593" s="708" t="str" cm="1">
        <f t="array" aca="1" ref="E593" ca="1">IF(INDIRECT($I593)= "", "", INDIRECT($I593))</f>
        <v/>
      </c>
      <c r="F593" s="709" t="str" cm="1">
        <f t="array" aca="1" ref="F593" ca="1">INDIRECT(LEFT(I593, FIND("!", I593)) &amp; RefData!$C$427 &amp; RIGHT(I593, LEN(I593) - FIND("!", I593) - 1))</f>
        <v>GTE 4.0/2</v>
      </c>
      <c r="G593" s="710" t="b">
        <f ca="1">IF(ISNUMBER(SEARCH(RefData!$B$2, $C593)), FALSE, TRUE)</f>
        <v>0</v>
      </c>
      <c r="H593" s="344">
        <f>Guarantees!C44</f>
        <v>0</v>
      </c>
      <c r="I593" s="712" t="str">
        <f t="shared" ca="1" si="79"/>
        <v>Guarantees!C44</v>
      </c>
      <c r="J593" s="713" t="b" cm="1">
        <f t="array" aca="1" ref="J593" ca="1">IF(
    ISNUMBER(SEARCH(RefData!$B$2, $C$474)),
    IF(
        $E593 &lt;&gt; "",
        $J$474,
        IF(
            $E593 = "",
            FALSE
        )
    ),
    IF(
        COUNTIF($K593:$T593, "&lt;&gt;FALSE") - COUNTBLANK($K593:$T593) &gt; 0,
        INDEX($K593:$T593, MATCH(TRUE, $K593:$T593 &lt;&gt; FALSE, 0))
    )
)</f>
        <v>0</v>
      </c>
      <c r="K593" s="712" t="b">
        <f ca="1">IF(AND('Covenant summary information'!$C$83=0,'Reconciliation report'!$E593&lt;&gt;""),ErrorMsgs!$B593)</f>
        <v>0</v>
      </c>
      <c r="L593" s="712" t="b">
        <f ca="1">IF(AND('Covenant summary information'!$C$83&lt;2,'Reconciliation report'!$E593&lt;&gt;""),ErrorMsgs!$C593)</f>
        <v>0</v>
      </c>
      <c r="M593" s="712" t="b">
        <f ca="1">IF(AND(TRIM(Guarantees!$C42)&lt;&gt;"",$E593&lt;&gt;""),ErrorMsgs!$D593)</f>
        <v>0</v>
      </c>
      <c r="N593" s="712" t="b">
        <f ca="1">IF(AND(Guarantees!$C43&lt;&gt;"",$E593&lt;&gt;""),ErrorMsgs!$E593)</f>
        <v>0</v>
      </c>
      <c r="O593" s="712" t="b">
        <f ca="1">IF(AND('Covenant summary information'!$C$83&gt;=2,TRIM(Guarantees!$C42)="",Guarantees!$C43="",'Reconciliation report'!$E593=""),ErrorMsgs!$F593)</f>
        <v>0</v>
      </c>
      <c r="P593" s="712" t="b">
        <f ca="1">IF(LEN($E593)&gt;510,ErrorMsgs!$G593)</f>
        <v>0</v>
      </c>
      <c r="Q593" s="712"/>
      <c r="R593" s="712"/>
      <c r="S593" s="712"/>
      <c r="T593" s="712"/>
      <c r="U593" s="526" t="str">
        <f t="shared" ca="1" si="84"/>
        <v/>
      </c>
      <c r="V593" s="93" t="str" cm="1">
        <f t="array" aca="1" ref="V593" ca="1">CELL("format",INDIRECT(I593))</f>
        <v>G</v>
      </c>
      <c r="W593" s="93" t="b">
        <f t="shared" ca="1" si="85"/>
        <v>0</v>
      </c>
      <c r="X593" s="715" t="str">
        <f t="shared" ca="1" si="83"/>
        <v/>
      </c>
      <c r="Y593" t="b">
        <f t="shared" ca="1" si="86"/>
        <v>1</v>
      </c>
    </row>
    <row r="594" spans="1:25" ht="77.5">
      <c r="A594" s="705" t="s">
        <v>810</v>
      </c>
      <c r="B594" s="716" t="str">
        <f t="shared" ca="1" si="78"/>
        <v>Guarantees - C45</v>
      </c>
      <c r="C594" s="707" t="str" cm="1">
        <f t="array" aca="1" ref="C594" ca="1">INDIRECT(LEFT(I594, FIND("!", I594)) &amp; RefData!$C$426 &amp; RIGHT(I594, LEN(I594) - FIND("!", I594) - 1))</f>
        <v xml:space="preserve">
No answer required
Address line 1
</v>
      </c>
      <c r="D594" s="92" t="str">
        <f t="shared" ca="1" si="77"/>
        <v/>
      </c>
      <c r="E594" s="708" t="str" cm="1">
        <f t="array" aca="1" ref="E594" ca="1">IF(INDIRECT($I594)= "", "", INDIRECT($I594))</f>
        <v/>
      </c>
      <c r="F594" s="709" t="str" cm="1">
        <f t="array" aca="1" ref="F594" ca="1">INDIRECT(LEFT(I594, FIND("!", I594)) &amp; RefData!$C$427 &amp; RIGHT(I594, LEN(I594) - FIND("!", I594) - 1))</f>
        <v>GTE 5.0/2</v>
      </c>
      <c r="G594" s="710" t="b">
        <f ca="1">IF(ISNUMBER(SEARCH(RefData!$B$2, $C594)), FALSE, TRUE)</f>
        <v>0</v>
      </c>
      <c r="H594" s="344">
        <f>Guarantees!C45</f>
        <v>0</v>
      </c>
      <c r="I594" s="712" t="str">
        <f t="shared" ca="1" si="79"/>
        <v>Guarantees!C45</v>
      </c>
      <c r="J594" s="713" t="b" cm="1">
        <f t="array" aca="1" ref="J594" ca="1">IF(
    ISNUMBER(SEARCH(RefData!$B$2, $C$474)),
    IF(
        $E594 &lt;&gt; "",
        $J$474,
        IF(
            $E594 = "",
            FALSE
        )
    ),
    IF(
        COUNTIF($K594:$T594, "&lt;&gt;FALSE") - COUNTBLANK($K594:$T594) &gt; 0,
        INDEX($K594:$T594, MATCH(TRUE, $K594:$T594 &lt;&gt; FALSE, 0))
    )
)</f>
        <v>0</v>
      </c>
      <c r="K594" s="712" t="b">
        <f ca="1">IF(AND('Covenant summary information'!$C$83=0,'Reconciliation report'!$E594&lt;&gt;""),ErrorMsgs!$B594)</f>
        <v>0</v>
      </c>
      <c r="L594" s="712" t="b">
        <f ca="1">IF(AND('Covenant summary information'!$C$83&lt;2,'Reconciliation report'!$E594&lt;&gt;""),ErrorMsgs!$C594)</f>
        <v>0</v>
      </c>
      <c r="M594" s="712" t="b">
        <f ca="1">IF(AND(TRIM(Guarantees!$C42)&lt;&gt;"",$E594&lt;&gt;""),ErrorMsgs!$D594)</f>
        <v>0</v>
      </c>
      <c r="N594" s="712" t="b">
        <f ca="1">IF(AND(Guarantees!$C43&lt;&gt;"",$E594&lt;&gt;""),ErrorMsgs!$E594)</f>
        <v>0</v>
      </c>
      <c r="O594" s="712" t="b">
        <f ca="1">IF(AND('Covenant summary information'!$C$83&gt;=2,TRIM(Guarantees!$C42)="",Guarantees!$C43="",'Reconciliation report'!$E594=""),ErrorMsgs!$F594)</f>
        <v>0</v>
      </c>
      <c r="P594" s="712" t="b">
        <f ca="1">IF(LEN($E594)&gt;510,ErrorMsgs!$G594)</f>
        <v>0</v>
      </c>
      <c r="Q594" s="712"/>
      <c r="R594" s="712"/>
      <c r="S594" s="712"/>
      <c r="T594" s="712"/>
      <c r="U594" s="526" t="str">
        <f t="shared" ca="1" si="84"/>
        <v/>
      </c>
      <c r="V594" s="93" t="str" cm="1">
        <f t="array" aca="1" ref="V594" ca="1">CELL("format",INDIRECT(I594))</f>
        <v>G</v>
      </c>
      <c r="W594" s="93" t="b">
        <f t="shared" ca="1" si="85"/>
        <v>0</v>
      </c>
      <c r="X594" s="715" t="str">
        <f t="shared" ca="1" si="83"/>
        <v/>
      </c>
      <c r="Y594" t="b">
        <f t="shared" ca="1" si="86"/>
        <v>1</v>
      </c>
    </row>
    <row r="595" spans="1:25" ht="77.5">
      <c r="A595" s="705" t="s">
        <v>812</v>
      </c>
      <c r="B595" s="716" t="str">
        <f t="shared" ca="1" si="78"/>
        <v>Guarantees - C46</v>
      </c>
      <c r="C595" s="707" t="str" cm="1">
        <f t="array" aca="1" ref="C595" ca="1">INDIRECT(LEFT(I595, FIND("!", I595)) &amp; RefData!$C$426 &amp; RIGHT(I595, LEN(I595) - FIND("!", I595) - 1))</f>
        <v xml:space="preserve">
No answer required
Address line 2 (optional)
</v>
      </c>
      <c r="D595" s="92" t="str">
        <f t="shared" ca="1" si="77"/>
        <v/>
      </c>
      <c r="E595" s="708" t="str" cm="1">
        <f t="array" aca="1" ref="E595" ca="1">IF(INDIRECT($I595)= "", "", INDIRECT($I595))</f>
        <v/>
      </c>
      <c r="F595" s="709" t="str" cm="1">
        <f t="array" aca="1" ref="F595" ca="1">INDIRECT(LEFT(I595, FIND("!", I595)) &amp; RefData!$C$427 &amp; RIGHT(I595, LEN(I595) - FIND("!", I595) - 1))</f>
        <v>GTE 6.0/2</v>
      </c>
      <c r="G595" s="710" t="b">
        <f ca="1">IF(ISNUMBER(SEARCH(RefData!$B$2, $C595)), FALSE, TRUE)</f>
        <v>0</v>
      </c>
      <c r="H595" s="344">
        <f>Guarantees!C46</f>
        <v>0</v>
      </c>
      <c r="I595" s="712" t="str">
        <f t="shared" ca="1" si="79"/>
        <v>Guarantees!C46</v>
      </c>
      <c r="J595" s="713" t="b" cm="1">
        <f t="array" aca="1" ref="J595" ca="1">IF(
    ISNUMBER(SEARCH(RefData!$B$2, $C$474)),
    IF(
        $E595 &lt;&gt; "",
        $J$474,
        IF(
            $E595 = "",
            FALSE
        )
    ),
    IF(
        COUNTIF($K595:$T595, "&lt;&gt;FALSE") - COUNTBLANK($K595:$T595) &gt; 0,
        INDEX($K595:$T595, MATCH(TRUE, $K595:$T595 &lt;&gt; FALSE, 0))
    )
)</f>
        <v>0</v>
      </c>
      <c r="K595" s="712" t="b">
        <f ca="1">IF(AND('Covenant summary information'!$C$83=0,'Reconciliation report'!$E595&lt;&gt;""),ErrorMsgs!$B595)</f>
        <v>0</v>
      </c>
      <c r="L595" s="712" t="b">
        <f ca="1">IF(AND('Covenant summary information'!$C$83&lt;2,'Reconciliation report'!$E595&lt;&gt;""),ErrorMsgs!$C595)</f>
        <v>0</v>
      </c>
      <c r="M595" s="712" t="b">
        <f ca="1">IF(AND(TRIM(Guarantees!$C42)&lt;&gt;"",$E595&lt;&gt;""),ErrorMsgs!$D595)</f>
        <v>0</v>
      </c>
      <c r="N595" s="712" t="b">
        <f ca="1">IF(AND(Guarantees!$C43&lt;&gt;"",$E595&lt;&gt;""),ErrorMsgs!$E595)</f>
        <v>0</v>
      </c>
      <c r="O595" s="712" t="b">
        <f ca="1">IF(LEN($E595)&gt;510,ErrorMsgs!$F595)</f>
        <v>0</v>
      </c>
      <c r="P595" s="712"/>
      <c r="Q595" s="712"/>
      <c r="R595" s="712"/>
      <c r="S595" s="712"/>
      <c r="T595" s="712"/>
      <c r="U595" s="526" t="str">
        <f t="shared" ca="1" si="84"/>
        <v/>
      </c>
      <c r="V595" s="93" t="str" cm="1">
        <f t="array" aca="1" ref="V595" ca="1">CELL("format",INDIRECT(I595))</f>
        <v>G</v>
      </c>
      <c r="W595" s="93" t="b">
        <f t="shared" ca="1" si="85"/>
        <v>0</v>
      </c>
      <c r="X595" s="715" t="str">
        <f t="shared" ca="1" si="83"/>
        <v/>
      </c>
      <c r="Y595" t="b">
        <f t="shared" ca="1" si="86"/>
        <v>1</v>
      </c>
    </row>
    <row r="596" spans="1:25" ht="77.5">
      <c r="A596" s="705" t="s">
        <v>814</v>
      </c>
      <c r="B596" s="716" t="str">
        <f t="shared" ca="1" si="78"/>
        <v>Guarantees - C47</v>
      </c>
      <c r="C596" s="707" t="str" cm="1">
        <f t="array" aca="1" ref="C596" ca="1">INDIRECT(LEFT(I596, FIND("!", I596)) &amp; RefData!$C$426 &amp; RIGHT(I596, LEN(I596) - FIND("!", I596) - 1))</f>
        <v xml:space="preserve">
No answer required
Address line 3 (optional)
</v>
      </c>
      <c r="D596" s="92" t="str">
        <f t="shared" ca="1" si="77"/>
        <v/>
      </c>
      <c r="E596" s="708" t="str" cm="1">
        <f t="array" aca="1" ref="E596" ca="1">IF(INDIRECT($I596)= "", "", INDIRECT($I596))</f>
        <v/>
      </c>
      <c r="F596" s="709" t="str" cm="1">
        <f t="array" aca="1" ref="F596" ca="1">INDIRECT(LEFT(I596, FIND("!", I596)) &amp; RefData!$C$427 &amp; RIGHT(I596, LEN(I596) - FIND("!", I596) - 1))</f>
        <v>GTE 7.0/2</v>
      </c>
      <c r="G596" s="710" t="b">
        <f ca="1">IF(ISNUMBER(SEARCH(RefData!$B$2, $C596)), FALSE, TRUE)</f>
        <v>0</v>
      </c>
      <c r="H596" s="344">
        <f>Guarantees!C47</f>
        <v>0</v>
      </c>
      <c r="I596" s="712" t="str">
        <f t="shared" ca="1" si="79"/>
        <v>Guarantees!C47</v>
      </c>
      <c r="J596" s="713" t="b" cm="1">
        <f t="array" aca="1" ref="J596" ca="1">IF(
    ISNUMBER(SEARCH(RefData!$B$2, $C$474)),
    IF(
        $E596 &lt;&gt; "",
        $J$474,
        IF(
            $E596 = "",
            FALSE
        )
    ),
    IF(
        COUNTIF($K596:$T596, "&lt;&gt;FALSE") - COUNTBLANK($K596:$T596) &gt; 0,
        INDEX($K596:$T596, MATCH(TRUE, $K596:$T596 &lt;&gt; FALSE, 0))
    )
)</f>
        <v>0</v>
      </c>
      <c r="K596" s="712" t="b">
        <f ca="1">IF(AND('Covenant summary information'!$C$83=0,'Reconciliation report'!$E596&lt;&gt;""),ErrorMsgs!$B596)</f>
        <v>0</v>
      </c>
      <c r="L596" s="712" t="b">
        <f ca="1">IF(AND('Covenant summary information'!$C$83&lt;2,'Reconciliation report'!$E596&lt;&gt;""),ErrorMsgs!$C596)</f>
        <v>0</v>
      </c>
      <c r="M596" s="712" t="b">
        <f ca="1">IF(AND(TRIM(Guarantees!$C42)&lt;&gt;"",$E596&lt;&gt;""),ErrorMsgs!$D596)</f>
        <v>0</v>
      </c>
      <c r="N596" s="712" t="b">
        <f ca="1">IF(AND(Guarantees!$C43&lt;&gt;"",$E596&lt;&gt;""),ErrorMsgs!$E596)</f>
        <v>0</v>
      </c>
      <c r="O596" s="712" t="b">
        <f ca="1">IF(LEN($E596)&gt;510,ErrorMsgs!$F596)</f>
        <v>0</v>
      </c>
      <c r="P596" s="712"/>
      <c r="Q596" s="712"/>
      <c r="R596" s="712"/>
      <c r="S596" s="712"/>
      <c r="T596" s="712"/>
      <c r="U596" s="526" t="str">
        <f t="shared" ca="1" si="84"/>
        <v/>
      </c>
      <c r="V596" s="93" t="str" cm="1">
        <f t="array" aca="1" ref="V596" ca="1">CELL("format",INDIRECT(I596))</f>
        <v>G</v>
      </c>
      <c r="W596" s="93" t="b">
        <f t="shared" ca="1" si="85"/>
        <v>0</v>
      </c>
      <c r="X596" s="715" t="str">
        <f t="shared" ca="1" si="83"/>
        <v/>
      </c>
      <c r="Y596" t="b">
        <f t="shared" ca="1" si="86"/>
        <v>1</v>
      </c>
    </row>
    <row r="597" spans="1:25" ht="77.5">
      <c r="A597" s="705" t="s">
        <v>816</v>
      </c>
      <c r="B597" s="716" t="str">
        <f t="shared" ca="1" si="78"/>
        <v>Guarantees - C48</v>
      </c>
      <c r="C597" s="707" t="str" cm="1">
        <f t="array" aca="1" ref="C597" ca="1">INDIRECT(LEFT(I597, FIND("!", I597)) &amp; RefData!$C$426 &amp; RIGHT(I597, LEN(I597) - FIND("!", I597) - 1))</f>
        <v xml:space="preserve">
No answer required
Post town or city
</v>
      </c>
      <c r="D597" s="92" t="str">
        <f t="shared" ca="1" si="77"/>
        <v/>
      </c>
      <c r="E597" s="708" t="str" cm="1">
        <f t="array" aca="1" ref="E597" ca="1">IF(INDIRECT($I597)= "", "", INDIRECT($I597))</f>
        <v/>
      </c>
      <c r="F597" s="709" t="str" cm="1">
        <f t="array" aca="1" ref="F597" ca="1">INDIRECT(LEFT(I597, FIND("!", I597)) &amp; RefData!$C$427 &amp; RIGHT(I597, LEN(I597) - FIND("!", I597) - 1))</f>
        <v>GTE 8.0/2</v>
      </c>
      <c r="G597" s="710" t="b">
        <f ca="1">IF(ISNUMBER(SEARCH(RefData!$B$2, $C597)), FALSE, TRUE)</f>
        <v>0</v>
      </c>
      <c r="H597" s="344">
        <f>Guarantees!C48</f>
        <v>0</v>
      </c>
      <c r="I597" s="712" t="str">
        <f t="shared" ca="1" si="79"/>
        <v>Guarantees!C48</v>
      </c>
      <c r="J597" s="713" t="b" cm="1">
        <f t="array" aca="1" ref="J597" ca="1">IF(
    ISNUMBER(SEARCH(RefData!$B$2, $C$474)),
    IF(
        $E597 &lt;&gt; "",
        $J$474,
        IF(
            $E597 = "",
            FALSE
        )
    ),
    IF(
        COUNTIF($K597:$T597, "&lt;&gt;FALSE") - COUNTBLANK($K597:$T597) &gt; 0,
        INDEX($K597:$T597, MATCH(TRUE, $K597:$T597 &lt;&gt; FALSE, 0))
    )
)</f>
        <v>0</v>
      </c>
      <c r="K597" s="712" t="b">
        <f ca="1">IF(AND('Covenant summary information'!$C$83=0,'Reconciliation report'!$E597&lt;&gt;""),ErrorMsgs!$B597)</f>
        <v>0</v>
      </c>
      <c r="L597" s="712" t="b">
        <f ca="1">IF(AND('Covenant summary information'!$C$83&lt;2,'Reconciliation report'!$E597&lt;&gt;""),ErrorMsgs!$C597)</f>
        <v>0</v>
      </c>
      <c r="M597" s="712" t="b">
        <f ca="1">IF(AND(TRIM(Guarantees!$C42)&lt;&gt;"",$E597&lt;&gt;""),ErrorMsgs!$D597)</f>
        <v>0</v>
      </c>
      <c r="N597" s="712" t="b">
        <f ca="1">IF(AND(Guarantees!$C43&lt;&gt;"",$E597&lt;&gt;""),ErrorMsgs!$E597)</f>
        <v>0</v>
      </c>
      <c r="O597" s="712" t="b">
        <f ca="1">IF(AND('Covenant summary information'!$C$83&gt;=2,TRIM(Guarantees!$C42)="",Guarantees!$C43="",'Reconciliation report'!$E597=""),ErrorMsgs!$F597)</f>
        <v>0</v>
      </c>
      <c r="P597" s="712" t="b">
        <f ca="1">IF(LEN($E597)&gt;510,ErrorMsgs!$G597)</f>
        <v>0</v>
      </c>
      <c r="Q597" s="712"/>
      <c r="R597" s="712"/>
      <c r="S597" s="712"/>
      <c r="T597" s="712"/>
      <c r="U597" s="526" t="str">
        <f t="shared" ca="1" si="84"/>
        <v/>
      </c>
      <c r="V597" s="93" t="str" cm="1">
        <f t="array" aca="1" ref="V597" ca="1">CELL("format",INDIRECT(I597))</f>
        <v>G</v>
      </c>
      <c r="W597" s="93" t="b">
        <f t="shared" ca="1" si="85"/>
        <v>0</v>
      </c>
      <c r="X597" s="715" t="str">
        <f t="shared" ca="1" si="83"/>
        <v/>
      </c>
      <c r="Y597" t="b">
        <f t="shared" ca="1" si="86"/>
        <v>1</v>
      </c>
    </row>
    <row r="598" spans="1:25" ht="77.5">
      <c r="A598" s="705" t="s">
        <v>818</v>
      </c>
      <c r="B598" s="716" t="str">
        <f t="shared" ca="1" si="78"/>
        <v>Guarantees - C49</v>
      </c>
      <c r="C598" s="707" t="str" cm="1">
        <f t="array" aca="1" ref="C598" ca="1">INDIRECT(LEFT(I598, FIND("!", I598)) &amp; RefData!$C$426 &amp; RIGHT(I598, LEN(I598) - FIND("!", I598) - 1))</f>
        <v xml:space="preserve">
No answer required
Country
</v>
      </c>
      <c r="D598" s="92" t="str">
        <f t="shared" ca="1" si="77"/>
        <v/>
      </c>
      <c r="E598" s="708" t="str" cm="1">
        <f t="array" aca="1" ref="E598" ca="1">IF(INDIRECT($I598)= "", "", INDIRECT($I598))</f>
        <v/>
      </c>
      <c r="F598" s="709" t="str" cm="1">
        <f t="array" aca="1" ref="F598" ca="1">INDIRECT(LEFT(I598, FIND("!", I598)) &amp; RefData!$C$427 &amp; RIGHT(I598, LEN(I598) - FIND("!", I598) - 1))</f>
        <v>GTE 9.0/2</v>
      </c>
      <c r="G598" s="710" t="b">
        <f ca="1">IF(ISNUMBER(SEARCH(RefData!$B$2, $C598)), FALSE, TRUE)</f>
        <v>0</v>
      </c>
      <c r="H598" s="344">
        <f>Guarantees!C49</f>
        <v>0</v>
      </c>
      <c r="I598" s="712" t="str">
        <f t="shared" ca="1" si="79"/>
        <v>Guarantees!C49</v>
      </c>
      <c r="J598" s="713" t="b" cm="1">
        <f t="array" aca="1" ref="J598" ca="1">IF(
    ISNUMBER(SEARCH(RefData!$B$2, $C$474)),
    IF(
        $E598 &lt;&gt; "",
        $J$474,
        IF(
            $E598 = "",
            FALSE
        )
    ),
    IF(
        COUNTIF($K598:$T598, "&lt;&gt;FALSE") - COUNTBLANK($K598:$T598) &gt; 0,
        INDEX($K598:$T598, MATCH(TRUE, $K598:$T598 &lt;&gt; FALSE, 0))
    )
)</f>
        <v>0</v>
      </c>
      <c r="K598" s="712" t="b">
        <f ca="1">IF(AND('Covenant summary information'!$C$83=0,'Reconciliation report'!$E598&lt;&gt;""),ErrorMsgs!$B598)</f>
        <v>0</v>
      </c>
      <c r="L598" s="712" t="b">
        <f ca="1">IF(AND('Covenant summary information'!$C$83&lt;2,'Reconciliation report'!$E598&lt;&gt;""),ErrorMsgs!$C598)</f>
        <v>0</v>
      </c>
      <c r="M598" s="712" t="b">
        <f ca="1">IF(AND(TRIM(Guarantees!$C42)&lt;&gt;"",$E598&lt;&gt;""),ErrorMsgs!$D598)</f>
        <v>0</v>
      </c>
      <c r="N598" s="712" t="b">
        <f ca="1">IF(AND(Guarantees!$C43&lt;&gt;"",$E598&lt;&gt;""),ErrorMsgs!$E598)</f>
        <v>0</v>
      </c>
      <c r="O598" s="712" t="b">
        <f ca="1">IF(AND('Covenant summary information'!$C$83&gt;=2,TRIM(Guarantees!$C42)="",Guarantees!$C43="",'Reconciliation report'!$E598=""),ErrorMsgs!$F598)</f>
        <v>0</v>
      </c>
      <c r="P598" s="712" t="b">
        <f ca="1">IF(AND($E598&lt;&gt;"",ISNA(MATCH($E598,RefData!$B$206:$B$400,0))),ErrorMsgs!$G598)</f>
        <v>0</v>
      </c>
      <c r="Q598" s="712"/>
      <c r="R598" s="712"/>
      <c r="S598" s="712"/>
      <c r="T598" s="712"/>
      <c r="U598" s="526" t="str">
        <f t="shared" ca="1" si="84"/>
        <v/>
      </c>
      <c r="V598" s="93" t="str" cm="1">
        <f t="array" aca="1" ref="V598" ca="1">CELL("format",INDIRECT(I598))</f>
        <v>G</v>
      </c>
      <c r="W598" s="93" t="b">
        <f t="shared" ca="1" si="85"/>
        <v>0</v>
      </c>
      <c r="X598" s="715" t="str">
        <f t="shared" ca="1" si="83"/>
        <v/>
      </c>
      <c r="Y598" t="b">
        <f t="shared" ca="1" si="86"/>
        <v>1</v>
      </c>
    </row>
    <row r="599" spans="1:25" ht="77.5">
      <c r="A599" s="705" t="s">
        <v>821</v>
      </c>
      <c r="B599" s="716" t="str">
        <f t="shared" ca="1" si="78"/>
        <v>Guarantees - C50</v>
      </c>
      <c r="C599" s="707" t="str" cm="1">
        <f t="array" aca="1" ref="C599" ca="1">INDIRECT(LEFT(I599, FIND("!", I599)) &amp; RefData!$C$426 &amp; RIGHT(I599, LEN(I599) - FIND("!", I599) - 1))</f>
        <v xml:space="preserve">
No answer required
Postcode
</v>
      </c>
      <c r="D599" s="92" t="str">
        <f t="shared" ca="1" si="77"/>
        <v/>
      </c>
      <c r="E599" s="708" t="str" cm="1">
        <f t="array" aca="1" ref="E599" ca="1">IF(INDIRECT($I599)= "", "", INDIRECT($I599))</f>
        <v/>
      </c>
      <c r="F599" s="709" t="str" cm="1">
        <f t="array" aca="1" ref="F599" ca="1">INDIRECT(LEFT(I599, FIND("!", I599)) &amp; RefData!$C$427 &amp; RIGHT(I599, LEN(I599) - FIND("!", I599) - 1))</f>
        <v>GTE 10.0/2</v>
      </c>
      <c r="G599" s="710" t="b">
        <f ca="1">IF(ISNUMBER(SEARCH(RefData!$B$2, $C599)), FALSE, TRUE)</f>
        <v>0</v>
      </c>
      <c r="H599" s="344">
        <f>Guarantees!C50</f>
        <v>0</v>
      </c>
      <c r="I599" s="712" t="str">
        <f t="shared" ca="1" si="79"/>
        <v>Guarantees!C50</v>
      </c>
      <c r="J599" s="713" t="b" cm="1">
        <f t="array" aca="1" ref="J599" ca="1">IF(
    ISNUMBER(SEARCH(RefData!$B$2, $C$474)),
    IF(
        $E599 &lt;&gt; "",
        $J$474,
        IF(
            $E599 = "",
            FALSE
        )
    ),
    IF(
        COUNTIF($K599:$T599, "&lt;&gt;FALSE") - COUNTBLANK($K599:$T599) &gt; 0,
        INDEX($K599:$T599, MATCH(TRUE, $K599:$T599 &lt;&gt; FALSE, 0))
    )
)</f>
        <v>0</v>
      </c>
      <c r="K599" s="712" t="b">
        <f ca="1">IF(AND('Covenant summary information'!$C$83=0,'Reconciliation report'!$E599&lt;&gt;""),ErrorMsgs!$B599)</f>
        <v>0</v>
      </c>
      <c r="L599" s="712" t="b">
        <f ca="1">IF(AND('Covenant summary information'!$C$83&lt;2,'Reconciliation report'!$E599&lt;&gt;""),ErrorMsgs!$C599)</f>
        <v>0</v>
      </c>
      <c r="M599" s="712" t="b">
        <f ca="1">IF(AND(TRIM($E591)&lt;&gt;"",$E599&lt;&gt;""),ErrorMsgs!$D599)</f>
        <v>0</v>
      </c>
      <c r="N599" s="712" t="b">
        <f ca="1">IF(AND($E592&lt;&gt;"",$E599&lt;&gt;""),ErrorMsgs!$E599)</f>
        <v>0</v>
      </c>
      <c r="O599" s="712" t="b">
        <f ca="1">IF(AND('Covenant summary information'!$C$83&gt;=2,TRIM(Guarantees!$C42)="",Guarantees!$C43="",'Reconciliation report'!$E599="",$E598=RefData!$B$206),ErrorMsgs!$F599)</f>
        <v>0</v>
      </c>
      <c r="P599" s="712" t="b">
        <f ca="1">IF(AND($E598=RefData!$B$206,
 OR(LEN($E599)&lt;5,
LEN($E599)&gt;8,
(ISNUMBER(VALUE(LEFT($E599,1)))),
(NOT(ISNUMBER(VALUE(MID($E599,LEN($E599)-2,1))))),
(ISNUMBER(VALUE(MID($E599,LEN($E599)-1,1)))),
ISNUMBER(VALUE(RIGHT($E599,1))))),
ErrorMsgs!$G599, FALSE)</f>
        <v>0</v>
      </c>
      <c r="Q599" s="712"/>
      <c r="R599" s="712"/>
      <c r="S599" s="712"/>
      <c r="T599" s="712"/>
      <c r="U599" s="526" t="str">
        <f t="shared" ca="1" si="84"/>
        <v/>
      </c>
      <c r="V599" s="93" t="str" cm="1">
        <f t="array" aca="1" ref="V599" ca="1">CELL("format",INDIRECT(I599))</f>
        <v>G</v>
      </c>
      <c r="W599" s="93" t="b">
        <f t="shared" ca="1" si="85"/>
        <v>0</v>
      </c>
      <c r="X599" s="715" t="str">
        <f t="shared" ca="1" si="83"/>
        <v/>
      </c>
      <c r="Y599" t="b">
        <f t="shared" ca="1" si="86"/>
        <v>1</v>
      </c>
    </row>
    <row r="600" spans="1:25" ht="77.5">
      <c r="A600" s="705" t="s">
        <v>823</v>
      </c>
      <c r="B600" s="716" t="str">
        <f t="shared" ca="1" si="78"/>
        <v>Guarantees - C51</v>
      </c>
      <c r="C600" s="707" t="str" cm="1">
        <f t="array" aca="1" ref="C600" ca="1">INDIRECT(LEFT(I600, FIND("!", I600)) &amp; RefData!$C$426 &amp; RIGHT(I600, LEN(I600) - FIND("!", I600) - 1))</f>
        <v xml:space="preserve">
No answer required
Is the guarantor an associated company?
</v>
      </c>
      <c r="D600" s="92" t="str">
        <f t="shared" ref="D600:D609" ca="1" si="87">""&amp;IF(J600=FALSE, "", J600)
&amp;""</f>
        <v/>
      </c>
      <c r="E600" s="708" t="str" cm="1">
        <f t="array" aca="1" ref="E600" ca="1">IF(INDIRECT($I600)= "", "", INDIRECT($I600))</f>
        <v/>
      </c>
      <c r="F600" s="709" t="str" cm="1">
        <f t="array" aca="1" ref="F600" ca="1">INDIRECT(LEFT(I600, FIND("!", I600)) &amp; RefData!$C$427 &amp; RIGHT(I600, LEN(I600) - FIND("!", I600) - 1))</f>
        <v>GTE 11.0/2</v>
      </c>
      <c r="G600" s="710" t="b">
        <f ca="1">IF(ISNUMBER(SEARCH(RefData!$B$2, $C600)), FALSE, TRUE)</f>
        <v>0</v>
      </c>
      <c r="H600" s="344">
        <f>Guarantees!C51</f>
        <v>0</v>
      </c>
      <c r="I600" s="712" t="str">
        <f t="shared" ca="1" si="79"/>
        <v>Guarantees!C51</v>
      </c>
      <c r="J600" s="713" t="b" cm="1">
        <f t="array" aca="1" ref="J600" ca="1">IF(
    ISNUMBER(SEARCH(RefData!$B$2, $C$474)),
    IF(
        $E600 &lt;&gt; "",
        $J$474,
        IF(
            $E600 = "",
            FALSE
        )
    ),
    IF(
        COUNTIF($K600:$T600, "&lt;&gt;FALSE") - COUNTBLANK($K600:$T600) &gt; 0,
        INDEX($K600:$T600, MATCH(TRUE, $K600:$T600 &lt;&gt; FALSE, 0))
    )
)</f>
        <v>0</v>
      </c>
      <c r="K600" s="712" t="b">
        <f ca="1">IF(AND('Start here'!$C$26=RefData!$B$9,'Reconciliation report'!$E600&lt;&gt;""),ErrorMsgs!$B600)</f>
        <v>0</v>
      </c>
      <c r="L600" s="712" t="b">
        <f ca="1">IF(AND('Start here'!$C$26=RefData!$B$10,'Covenant summary information'!$C$83=0,'Reconciliation report'!$E600&lt;&gt;""),ErrorMsgs!$C600)</f>
        <v>0</v>
      </c>
      <c r="M600" s="714" t="b">
        <f ca="1">IF(AND('Start here'!$C$26=RefData!$B$10,'Covenant summary information'!$C$83&lt;2,'Reconciliation report'!$E600&lt;&gt;""),ErrorMsgs!$D600)</f>
        <v>0</v>
      </c>
      <c r="N600" s="714" t="b">
        <f ca="1">IF(AND('Start here'!$C$26=RefData!$B$10,'Start here'!$C$23=RefData!$B$17,'Start here'!$C$27=RefData!$B$12,'Covenant summary information'!$C$83&gt;=2,'Reconciliation report'!$E600=""),ErrorMsgs!$E600)</f>
        <v>0</v>
      </c>
      <c r="O600" s="712" t="b">
        <f ca="1">IF(AND($E600&lt;&gt;"",ISNA(MATCH($E600,RefData!$B$124:$B$125,0))),ErrorMsgs!$E600)</f>
        <v>0</v>
      </c>
      <c r="P600" s="712" t="b">
        <f ca="1">IF(AND('Start here'!$C$26=RefData!$B$10,'Start here'!$C$23=RefData!$B$17,'Start here'!$C$27=RefData!$B$11,'Covenant summary information'!$C$83&gt;=2,'Reconciliation report'!$E600&lt;&gt;""),ErrorMsgs!$G600)</f>
        <v>0</v>
      </c>
      <c r="Q600" s="712" t="b">
        <f ca="1">IF(AND('Start here'!$C$26=RefData!$B$10,'Start here'!$C$23=RefData!$B$18,'Covenant summary information'!$C$83&gt;=2,'Reconciliation report'!E600=""),ErrorMsgs!$H600)</f>
        <v>0</v>
      </c>
      <c r="R600" s="712"/>
      <c r="S600" s="712"/>
      <c r="T600" s="712"/>
      <c r="U600" s="526" t="str">
        <f t="shared" ca="1" si="84"/>
        <v/>
      </c>
      <c r="V600" s="93" t="str" cm="1">
        <f t="array" aca="1" ref="V600" ca="1">CELL("format",INDIRECT(I600))</f>
        <v>G</v>
      </c>
      <c r="W600" s="93" t="b">
        <f t="shared" ca="1" si="85"/>
        <v>0</v>
      </c>
      <c r="X600" s="715" t="str">
        <f t="shared" ca="1" si="83"/>
        <v/>
      </c>
      <c r="Y600" t="b">
        <f t="shared" ca="1" si="86"/>
        <v>1</v>
      </c>
    </row>
    <row r="601" spans="1:25" ht="77.5">
      <c r="A601" s="705" t="s">
        <v>826</v>
      </c>
      <c r="B601" s="716" t="str">
        <f t="shared" ca="1" si="78"/>
        <v>Guarantees - C52</v>
      </c>
      <c r="C601" s="707" t="str" cm="1">
        <f t="array" aca="1" ref="C601" ca="1">INDIRECT(LEFT(I601, FIND("!", I601)) &amp; RefData!$C$426 &amp; RIGHT(I601, LEN(I601) - FIND("!", I601) - 1))</f>
        <v xml:space="preserve">
No answer required
What is type of guarantee?
</v>
      </c>
      <c r="D601" s="92" t="str">
        <f t="shared" ca="1" si="87"/>
        <v/>
      </c>
      <c r="E601" s="708" t="str" cm="1">
        <f t="array" aca="1" ref="E601" ca="1">IF(INDIRECT($I601)= "", "", INDIRECT($I601))</f>
        <v/>
      </c>
      <c r="F601" s="709" t="str" cm="1">
        <f t="array" aca="1" ref="F601" ca="1">INDIRECT(LEFT(I601, FIND("!", I601)) &amp; RefData!$C$427 &amp; RIGHT(I601, LEN(I601) - FIND("!", I601) - 1))</f>
        <v>GTE 12.0/2</v>
      </c>
      <c r="G601" s="710" t="b">
        <f ca="1">IF(ISNUMBER(SEARCH(RefData!$B$2, $C601)), FALSE, TRUE)</f>
        <v>0</v>
      </c>
      <c r="H601" s="344">
        <f>Guarantees!C52</f>
        <v>0</v>
      </c>
      <c r="I601" s="712" t="str">
        <f t="shared" ca="1" si="79"/>
        <v>Guarantees!C52</v>
      </c>
      <c r="J601" s="713" t="b" cm="1">
        <f t="array" aca="1" ref="J601" ca="1">IF(
    ISNUMBER(SEARCH(RefData!$B$2, $C$474)),
    IF(
        $E601 &lt;&gt; "",
        $J$474,
        IF(
            $E601 = "",
            FALSE
        )
    ),
    IF(
        COUNTIF($K601:$T601, "&lt;&gt;FALSE") - COUNTBLANK($K601:$T601) &gt; 0,
        INDEX($K601:$T601, MATCH(TRUE, $K601:$T601 &lt;&gt; FALSE, 0))
    )
)</f>
        <v>0</v>
      </c>
      <c r="K601" s="712" t="b">
        <f ca="1">IF(AND('Covenant summary information'!$C$83=0,'Reconciliation report'!$E601&lt;&gt;""),ErrorMsgs!$B601)</f>
        <v>0</v>
      </c>
      <c r="L601" s="712" t="b">
        <f ca="1">IF(AND('Covenant summary information'!$C$83&lt;2,'Reconciliation report'!$E601&lt;&gt;""),ErrorMsgs!$C601)</f>
        <v>0</v>
      </c>
      <c r="M601" s="712" t="b">
        <f ca="1">IF(AND('Covenant summary information'!$C$83&gt;=2,'Reconciliation report'!$E601=""),ErrorMsgs!$D601)</f>
        <v>0</v>
      </c>
      <c r="N601" s="712" t="b">
        <f ca="1">IF(AND($E601&lt;&gt;"",ISNA(MATCH($E601,RefData!$B$126:$B$129,0))),ErrorMsgs!$E601)</f>
        <v>0</v>
      </c>
      <c r="O601" s="712"/>
      <c r="P601" s="712"/>
      <c r="Q601" s="712"/>
      <c r="R601" s="712"/>
      <c r="S601" s="712"/>
      <c r="T601" s="712"/>
      <c r="U601" s="526" t="str">
        <f t="shared" ca="1" si="84"/>
        <v/>
      </c>
      <c r="V601" s="93" t="str" cm="1">
        <f t="array" aca="1" ref="V601" ca="1">CELL("format",INDIRECT(I601))</f>
        <v>G</v>
      </c>
      <c r="W601" s="93" t="b">
        <f t="shared" ca="1" si="85"/>
        <v>0</v>
      </c>
      <c r="X601" s="715" t="str">
        <f t="shared" ca="1" si="83"/>
        <v/>
      </c>
      <c r="Y601" t="b">
        <f t="shared" ca="1" si="86"/>
        <v>1</v>
      </c>
    </row>
    <row r="602" spans="1:25" ht="77.5">
      <c r="A602" s="705" t="s">
        <v>828</v>
      </c>
      <c r="B602" s="716" t="str">
        <f t="shared" ca="1" si="78"/>
        <v>Guarantees - C53</v>
      </c>
      <c r="C602" s="707" t="str" cm="1">
        <f t="array" aca="1" ref="C602" ca="1">INDIRECT(LEFT(I602, FIND("!", I602)) &amp; RefData!$C$426 &amp; RIGHT(I602, LEN(I602) - FIND("!", I602) - 1))</f>
        <v xml:space="preserve">
No answer required
Describe the other type of guarantee.
</v>
      </c>
      <c r="D602" s="92" t="str">
        <f t="shared" ca="1" si="87"/>
        <v/>
      </c>
      <c r="E602" s="708" t="str" cm="1">
        <f t="array" aca="1" ref="E602" ca="1">IF(INDIRECT($I602)= "", "", INDIRECT($I602))</f>
        <v/>
      </c>
      <c r="F602" s="709" t="str" cm="1">
        <f t="array" aca="1" ref="F602" ca="1">INDIRECT(LEFT(I602, FIND("!", I602)) &amp; RefData!$C$427 &amp; RIGHT(I602, LEN(I602) - FIND("!", I602) - 1))</f>
        <v>GTE 13.0/2</v>
      </c>
      <c r="G602" s="710" t="b">
        <f ca="1">IF(ISNUMBER(SEARCH(RefData!$B$2, $C602)), FALSE, TRUE)</f>
        <v>0</v>
      </c>
      <c r="H602" s="344">
        <f>Guarantees!C53</f>
        <v>0</v>
      </c>
      <c r="I602" s="712" t="str">
        <f t="shared" ca="1" si="79"/>
        <v>Guarantees!C53</v>
      </c>
      <c r="J602" s="713" t="b" cm="1">
        <f t="array" aca="1" ref="J602" ca="1">IF(
    ISNUMBER(SEARCH(RefData!$B$2, $C$474)),
    IF(
        $E602 &lt;&gt; "",
        $J$474,
        IF(
            $E602 = "",
            FALSE
        )
    ),
    IF(
        COUNTIF($K602:$T602, "&lt;&gt;FALSE") - COUNTBLANK($K602:$T602) &gt; 0,
        INDEX($K602:$T602, MATCH(TRUE, $K602:$T602 &lt;&gt; FALSE, 0))
    )
)</f>
        <v>0</v>
      </c>
      <c r="K602" s="712" t="b">
        <f ca="1">IF(AND('Covenant summary information'!$C$83=0,'Reconciliation report'!$E602&lt;&gt;""),ErrorMsgs!$B602)</f>
        <v>0</v>
      </c>
      <c r="L602" s="712" t="b">
        <f ca="1">IF(AND('Covenant summary information'!$C$83&lt;2,'Reconciliation report'!$E602&lt;&gt;""),ErrorMsgs!$C602)</f>
        <v>0</v>
      </c>
      <c r="M602" s="712" t="b">
        <f ca="1">IF(AND('Covenant summary information'!$C$83&lt;2,$E601&lt;&gt;RefData!$B$129,'Reconciliation report'!$E602&lt;&gt;""),ErrorMsgs!$D602)</f>
        <v>0</v>
      </c>
      <c r="N602" s="712" t="b">
        <f ca="1">IF(AND('Covenant summary information'!$C$83&gt;=2,$E601=RefData!$B$129,'Reconciliation report'!$E602=""),ErrorMsgs!$E602)</f>
        <v>0</v>
      </c>
      <c r="O602" s="712" t="b">
        <f ca="1">IF(LEN($E602)&gt;4000,ErrorMsgs!$F602)</f>
        <v>0</v>
      </c>
      <c r="P602" s="712"/>
      <c r="Q602" s="712"/>
      <c r="R602" s="712"/>
      <c r="S602" s="712"/>
      <c r="T602" s="712"/>
      <c r="U602" s="526" t="str">
        <f t="shared" ca="1" si="84"/>
        <v/>
      </c>
      <c r="V602" s="93" t="str" cm="1">
        <f t="array" aca="1" ref="V602" ca="1">CELL("format",INDIRECT(I602))</f>
        <v>G</v>
      </c>
      <c r="W602" s="93" t="b">
        <f t="shared" ca="1" si="85"/>
        <v>0</v>
      </c>
      <c r="X602" s="715" t="str">
        <f t="shared" ca="1" si="83"/>
        <v/>
      </c>
      <c r="Y602" t="b">
        <f t="shared" ca="1" si="86"/>
        <v>1</v>
      </c>
    </row>
    <row r="603" spans="1:25" ht="77.5">
      <c r="A603" s="705" t="s">
        <v>830</v>
      </c>
      <c r="B603" s="716" t="str">
        <f t="shared" ca="1" si="78"/>
        <v>Guarantees - C54</v>
      </c>
      <c r="C603" s="707" t="str" cm="1">
        <f t="array" aca="1" ref="C603" ca="1">INDIRECT(LEFT(I603, FIND("!", I603)) &amp; RefData!$C$426 &amp; RIGHT(I603, LEN(I603) - FIND("!", I603) - 1))</f>
        <v xml:space="preserve">
No answer required
Type of maturity
</v>
      </c>
      <c r="D603" s="92" t="str">
        <f t="shared" ca="1" si="87"/>
        <v/>
      </c>
      <c r="E603" s="708" t="str" cm="1">
        <f t="array" aca="1" ref="E603" ca="1">IF(INDIRECT($I603)= "", "", INDIRECT($I603))</f>
        <v/>
      </c>
      <c r="F603" s="709" t="str" cm="1">
        <f t="array" aca="1" ref="F603" ca="1">INDIRECT(LEFT(I603, FIND("!", I603)) &amp; RefData!$C$427 &amp; RIGHT(I603, LEN(I603) - FIND("!", I603) - 1))</f>
        <v>GTE 14.0/2</v>
      </c>
      <c r="G603" s="710" t="b">
        <f ca="1">IF(ISNUMBER(SEARCH(RefData!$B$2, $C603)), FALSE, TRUE)</f>
        <v>0</v>
      </c>
      <c r="H603" s="344">
        <f>Guarantees!C54</f>
        <v>0</v>
      </c>
      <c r="I603" s="712" t="str">
        <f t="shared" ca="1" si="79"/>
        <v>Guarantees!C54</v>
      </c>
      <c r="J603" s="713" t="b" cm="1">
        <f t="array" aca="1" ref="J603" ca="1">IF(
    ISNUMBER(SEARCH(RefData!$B$2, $C$474)),
    IF(
        $E603 &lt;&gt; "",
        $J$474,
        IF(
            $E603 = "",
            FALSE
        )
    ),
    IF(
        COUNTIF($K603:$T603, "&lt;&gt;FALSE") - COUNTBLANK($K603:$T603) &gt; 0,
        INDEX($K603:$T603, MATCH(TRUE, $K603:$T603 &lt;&gt; FALSE, 0))
    )
)</f>
        <v>0</v>
      </c>
      <c r="K603" s="712" t="b">
        <f ca="1">IF(AND('Start here'!$C$26=RefData!$B$9,'Reconciliation report'!$E603&lt;&gt;""),ErrorMsgs!$B603)</f>
        <v>0</v>
      </c>
      <c r="L603" s="712" t="b">
        <f ca="1">IF(AND('Start here'!$C$26=RefData!$B$10,'Covenant summary information'!$C$83=0,'Reconciliation report'!$E603&lt;&gt;""),ErrorMsgs!$C603)</f>
        <v>0</v>
      </c>
      <c r="M603" s="712" t="b">
        <f ca="1">IF(AND('Start here'!$C$26=RefData!$B$10,'Covenant summary information'!$C$83&lt;2,'Reconciliation report'!$E603&lt;&gt;""),ErrorMsgs!$D603)</f>
        <v>0</v>
      </c>
      <c r="N603" s="712" t="b">
        <f ca="1">IF(AND('Start here'!$C$26=RefData!$B$10,'Covenant summary information'!$C$83&gt;=2,'Reconciliation report'!$E603=""),ErrorMsgs!$E603)</f>
        <v>0</v>
      </c>
      <c r="O603" s="712" t="b">
        <f ca="1">IF(AND($E603&lt;&gt;"",ISNA(MATCH($E603,RefData!$B$130:$B$132,0))),ErrorMsgs!$F603)</f>
        <v>0</v>
      </c>
      <c r="P603" s="712"/>
      <c r="Q603" s="712"/>
      <c r="R603" s="712"/>
      <c r="S603" s="712"/>
      <c r="T603" s="712"/>
      <c r="U603" s="526" t="str">
        <f t="shared" ca="1" si="84"/>
        <v/>
      </c>
      <c r="V603" s="93" t="str" cm="1">
        <f t="array" aca="1" ref="V603" ca="1">CELL("format",INDIRECT(I603))</f>
        <v>G</v>
      </c>
      <c r="W603" s="93" t="b">
        <f t="shared" ca="1" si="85"/>
        <v>0</v>
      </c>
      <c r="X603" s="715" t="str">
        <f t="shared" ca="1" si="83"/>
        <v/>
      </c>
      <c r="Y603" t="b">
        <f t="shared" ca="1" si="86"/>
        <v>1</v>
      </c>
    </row>
    <row r="604" spans="1:25" ht="77.5">
      <c r="A604" s="705" t="s">
        <v>832</v>
      </c>
      <c r="B604" s="716" t="str">
        <f t="shared" ca="1" si="78"/>
        <v>Guarantees - C55</v>
      </c>
      <c r="C604" s="707" t="str" cm="1">
        <f t="array" aca="1" ref="C604" ca="1">INDIRECT(LEFT(I604, FIND("!", I604)) &amp; RefData!$C$426 &amp; RIGHT(I604, LEN(I604) - FIND("!", I604) - 1))</f>
        <v xml:space="preserve">
No answer required
Date of maturity
</v>
      </c>
      <c r="D604" s="92" t="str">
        <f t="shared" ca="1" si="87"/>
        <v/>
      </c>
      <c r="E604" s="708" t="str" cm="1">
        <f t="array" aca="1" ref="E604" ca="1">IF(INDIRECT($I604)= "", "", INDIRECT($I604))</f>
        <v/>
      </c>
      <c r="F604" s="709" t="str" cm="1">
        <f t="array" aca="1" ref="F604" ca="1">INDIRECT(LEFT(I604, FIND("!", I604)) &amp; RefData!$C$427 &amp; RIGHT(I604, LEN(I604) - FIND("!", I604) - 1))</f>
        <v>GTE 15.0/2</v>
      </c>
      <c r="G604" s="710" t="b">
        <f ca="1">IF(ISNUMBER(SEARCH(RefData!$B$2, $C604)), FALSE, TRUE)</f>
        <v>0</v>
      </c>
      <c r="H604" s="391">
        <f>Guarantees!C55</f>
        <v>0</v>
      </c>
      <c r="I604" s="712" t="str">
        <f t="shared" ca="1" si="79"/>
        <v>Guarantees!C55</v>
      </c>
      <c r="J604" s="713" t="b" cm="1">
        <f t="array" aca="1" ref="J604" ca="1">IF(
    ISNUMBER(SEARCH(RefData!$B$2, $C$474)),
    IF(
        $E604 &lt;&gt; "",
        $J$474,
        IF(
            $E604 = "",
            FALSE
        )
    ),
    IF(
        COUNTIF($K604:$T604, "&lt;&gt;FALSE") - COUNTBLANK($K604:$T604) &gt; 0,
        INDEX($K604:$T604, MATCH(TRUE, $K604:$T604 &lt;&gt; FALSE, 0))
    )
)</f>
        <v>0</v>
      </c>
      <c r="K604" s="712" t="b">
        <f ca="1">IF(AND('Start here'!$C$26=RefData!$B$9,'Reconciliation report'!$E604&lt;&gt;""),ErrorMsgs!$B604)</f>
        <v>0</v>
      </c>
      <c r="L604" s="712" t="b">
        <f ca="1">IF(AND('Start here'!$C$26=RefData!$B$10,'Covenant summary information'!$C$83=0,'Reconciliation report'!$E604&lt;&gt;""),ErrorMsgs!$C604)</f>
        <v>0</v>
      </c>
      <c r="M604" s="712" t="b">
        <f ca="1">IF(AND('Start here'!$C$26=RefData!$B$10,'Covenant summary information'!$C$83&lt;2,'Reconciliation report'!$E604&lt;&gt;""),ErrorMsgs!$D604)</f>
        <v>0</v>
      </c>
      <c r="N604" s="712" t="b">
        <f ca="1">IF(AND('Start here'!$C$26=RefData!$B$10,'Covenant summary information'!$C$83&gt;=2,OR(Guarantees!$C54=RefData!$B$130,Guarantees!$C54=RefData!$B$129),'Reconciliation report'!$E604&lt;&gt;""),ErrorMsgs!$E604)</f>
        <v>0</v>
      </c>
      <c r="O604" s="712" t="b">
        <f ca="1">IF(AND('Start here'!$C$26=RefData!$B$10,'Covenant summary information'!$C$83&gt;=2,Guarantees!$C54=RefData!$B$131,'Reconciliation report'!$E604=""),ErrorMsgs!$F604)</f>
        <v>0</v>
      </c>
      <c r="P604" s="712" t="b">
        <f ca="1">IF(AND($E604&lt;&gt;"",NOT(ISNUMBER(VALUE($E604)))),ErrorMsgs!$G604)</f>
        <v>0</v>
      </c>
      <c r="Q604" s="712" t="b">
        <f ca="1">IF($E604&lt;'Start here'!$C$21,ErrorMsgs!$H604)</f>
        <v>0</v>
      </c>
      <c r="R604" s="712"/>
      <c r="S604" s="712"/>
      <c r="T604" s="712"/>
      <c r="U604" s="526" t="str">
        <f t="shared" ca="1" si="84"/>
        <v/>
      </c>
      <c r="V604" s="93" t="str" cm="1">
        <f t="array" aca="1" ref="V604" ca="1">CELL("format",INDIRECT(I604))</f>
        <v>D1</v>
      </c>
      <c r="W604" s="93" t="b">
        <f t="shared" ca="1" si="85"/>
        <v>0</v>
      </c>
      <c r="X604" s="715" t="str">
        <f t="shared" ca="1" si="83"/>
        <v/>
      </c>
      <c r="Y604" t="b">
        <f t="shared" ca="1" si="86"/>
        <v>1</v>
      </c>
    </row>
    <row r="605" spans="1:25" ht="77.5">
      <c r="A605" s="705" t="s">
        <v>834</v>
      </c>
      <c r="B605" s="716" t="str">
        <f t="shared" ca="1" si="78"/>
        <v>Guarantees - C56</v>
      </c>
      <c r="C605" s="707" t="str" cm="1">
        <f t="array" aca="1" ref="C605" ca="1">INDIRECT(LEFT(I605, FIND("!", I605)) &amp; RefData!$C$426 &amp; RIGHT(I605, LEN(I605) - FIND("!", I605) - 1))</f>
        <v xml:space="preserve">
No answer required
Maturity date narrative
</v>
      </c>
      <c r="D605" s="92" t="str">
        <f t="shared" ca="1" si="87"/>
        <v/>
      </c>
      <c r="E605" s="708" t="str" cm="1">
        <f t="array" aca="1" ref="E605" ca="1">IF(INDIRECT($I605)= "", "", INDIRECT($I605))</f>
        <v/>
      </c>
      <c r="F605" s="709" t="str" cm="1">
        <f t="array" aca="1" ref="F605" ca="1">INDIRECT(LEFT(I605, FIND("!", I605)) &amp; RefData!$C$427 &amp; RIGHT(I605, LEN(I605) - FIND("!", I605) - 1))</f>
        <v>GTE 16.0/2</v>
      </c>
      <c r="G605" s="710" t="b">
        <f ca="1">IF(ISNUMBER(SEARCH(RefData!$B$2, $C605)), FALSE, TRUE)</f>
        <v>0</v>
      </c>
      <c r="H605" s="344">
        <f>Guarantees!C56</f>
        <v>0</v>
      </c>
      <c r="I605" s="712" t="str">
        <f t="shared" ca="1" si="79"/>
        <v>Guarantees!C56</v>
      </c>
      <c r="J605" s="713" t="b" cm="1">
        <f t="array" aca="1" ref="J605" ca="1">IF(
    ISNUMBER(SEARCH(RefData!$B$2, $C$474)),
    IF(
        $E605 &lt;&gt; "",
        $J$474,
        IF(
            $E605 = "",
            FALSE
        )
    ),
    IF(
        COUNTIF($K605:$T605, "&lt;&gt;FALSE") - COUNTBLANK($K605:$T605) &gt; 0,
        INDEX($K605:$T605, MATCH(TRUE, $K605:$T605 &lt;&gt; FALSE, 0))
    )
)</f>
        <v>0</v>
      </c>
      <c r="K605" s="712" t="b">
        <f ca="1">IF(AND('Start here'!$C$26=RefData!$B$9,'Reconciliation report'!$E605&lt;&gt;""),ErrorMsgs!$B605)</f>
        <v>0</v>
      </c>
      <c r="L605" s="712" t="b">
        <f ca="1">IF(AND('Start here'!$C$26=RefData!$B$10,'Covenant summary information'!$C$83=0,'Reconciliation report'!$E605&lt;&gt;""),ErrorMsgs!$C605)</f>
        <v>0</v>
      </c>
      <c r="M605" s="712" t="b">
        <f ca="1">IF(AND('Start here'!$C$26=RefData!$B$10,'Covenant summary information'!$C$83&lt;2,'Reconciliation report'!$E605&lt;&gt;""),ErrorMsgs!$D605)</f>
        <v>0</v>
      </c>
      <c r="N605" s="712" t="b">
        <f ca="1">IF(AND('Start here'!$C$26=RefData!$B$10,'Covenant summary information'!$C$83&gt;=2,Guarantees!$C54&lt;&gt;RefData!$B$129,'Reconciliation report'!$E605&lt;&gt;""),ErrorMsgs!$E605)</f>
        <v>0</v>
      </c>
      <c r="O605" s="712" t="b">
        <f ca="1">IF(AND('Start here'!$C$26=RefData!$B$10,'Covenant summary information'!$C$83&gt;=2,Guarantees!$C54=RefData!$B$129,'Reconciliation report'!$E605=""),ErrorMsgs!$F605)</f>
        <v>0</v>
      </c>
      <c r="P605" s="712" t="b">
        <f ca="1">IF(LEN($E605)&gt;4000,ErrorMsgs!$G605)</f>
        <v>0</v>
      </c>
      <c r="Q605" s="712"/>
      <c r="R605" s="712"/>
      <c r="S605" s="712"/>
      <c r="T605" s="712"/>
      <c r="U605" s="526" t="str">
        <f t="shared" ca="1" si="84"/>
        <v/>
      </c>
      <c r="V605" s="93" t="str" cm="1">
        <f t="array" aca="1" ref="V605" ca="1">CELL("format",INDIRECT(I605))</f>
        <v>G</v>
      </c>
      <c r="W605" s="93" t="b">
        <f t="shared" ca="1" si="85"/>
        <v>0</v>
      </c>
      <c r="X605" s="715" t="str">
        <f t="shared" ca="1" si="83"/>
        <v/>
      </c>
      <c r="Y605" t="b">
        <f t="shared" ca="1" si="86"/>
        <v>1</v>
      </c>
    </row>
    <row r="606" spans="1:25" ht="77.5">
      <c r="A606" s="705" t="s">
        <v>836</v>
      </c>
      <c r="B606" s="716" t="str">
        <f t="shared" ca="1" si="78"/>
        <v>Guarantees - C57</v>
      </c>
      <c r="C606" s="707" t="str" cm="1">
        <f t="array" aca="1" ref="C606" ca="1">INDIRECT(LEFT(I606, FIND("!", I606)) &amp; RefData!$C$426 &amp; RIGHT(I606, LEN(I606) - FIND("!", I606) - 1))</f>
        <v xml:space="preserve">
No answer required
Value ascribed (£)
</v>
      </c>
      <c r="D606" s="92" t="str">
        <f t="shared" ca="1" si="87"/>
        <v/>
      </c>
      <c r="E606" s="708" t="str" cm="1">
        <f t="array" aca="1" ref="E606" ca="1">IF(INDIRECT($I606)= "", "", INDIRECT($I606))</f>
        <v/>
      </c>
      <c r="F606" s="709" t="str" cm="1">
        <f t="array" aca="1" ref="F606" ca="1">INDIRECT(LEFT(I606, FIND("!", I606)) &amp; RefData!$C$427 &amp; RIGHT(I606, LEN(I606) - FIND("!", I606) - 1))</f>
        <v>GTE 17.0/2</v>
      </c>
      <c r="G606" s="710" t="b">
        <f ca="1">IF(ISNUMBER(SEARCH(RefData!$B$2, $C606)), FALSE, TRUE)</f>
        <v>0</v>
      </c>
      <c r="H606" s="344">
        <f>Guarantees!C57</f>
        <v>0</v>
      </c>
      <c r="I606" s="712" t="str">
        <f t="shared" ca="1" si="79"/>
        <v>Guarantees!C57</v>
      </c>
      <c r="J606" s="713" t="b" cm="1">
        <f t="array" aca="1" ref="J606" ca="1">IF(
    ISNUMBER(SEARCH(RefData!$B$2, $C$474)),
    IF(
        $E606 &lt;&gt; "",
        $J$474,
        IF(
            $E606 = "",
            FALSE
        )
    ),
    IF(
        COUNTIF($K606:$T606, "&lt;&gt;FALSE") - COUNTBLANK($K606:$T606) &gt; 0,
        INDEX($K606:$T606, MATCH(TRUE, $K606:$T606 &lt;&gt; FALSE, 0))
    )
)</f>
        <v>0</v>
      </c>
      <c r="K606" s="712" t="b">
        <f ca="1">IF(AND('Covenant summary information'!$C$83=0,'Reconciliation report'!$E606&lt;&gt;""),ErrorMsgs!$B606)</f>
        <v>0</v>
      </c>
      <c r="L606" s="712" t="b">
        <f ca="1">IF(AND('Covenant summary information'!$C$83&lt;2,'Reconciliation report'!$E606&lt;&gt;""),ErrorMsgs!$C606)</f>
        <v>0</v>
      </c>
      <c r="M606" s="712" t="b">
        <f ca="1">IF(AND('Covenant summary information'!$C$83&gt;=2,'Reconciliation report'!$E606=""),ErrorMsgs!$D606)</f>
        <v>0</v>
      </c>
      <c r="N606" s="712" t="b">
        <f ca="1">IF($E606="",FALSE,IF(ISERROR(VALUE($E606)),ErrorMsgs!$D606,IF(OR(VALUE($E606)-ROUND(VALUE($E606),2)&lt;&gt;0,VALUE($E606)&lt;0,VALUE($E606)&gt;=1000000000000),ErrorMsgs!$E606)))</f>
        <v>0</v>
      </c>
      <c r="O606" s="712"/>
      <c r="P606" s="712"/>
      <c r="Q606" s="712"/>
      <c r="R606" s="712"/>
      <c r="S606" s="712"/>
      <c r="T606" s="712"/>
      <c r="U606" s="526" t="str">
        <f t="shared" ca="1" si="84"/>
        <v/>
      </c>
      <c r="V606" s="93" t="str" cm="1">
        <f t="array" aca="1" ref="V606" ca="1">CELL("format",INDIRECT(I606))</f>
        <v>C2</v>
      </c>
      <c r="W606" s="93" t="b">
        <f t="shared" ca="1" si="85"/>
        <v>0</v>
      </c>
      <c r="X606" s="715" t="str">
        <f t="shared" ca="1" si="83"/>
        <v/>
      </c>
      <c r="Y606" t="b">
        <f t="shared" ca="1" si="86"/>
        <v>1</v>
      </c>
    </row>
    <row r="607" spans="1:25" ht="77.5">
      <c r="A607" s="705" t="s">
        <v>838</v>
      </c>
      <c r="B607" s="716" t="str">
        <f t="shared" ca="1" si="78"/>
        <v>Guarantees - C58</v>
      </c>
      <c r="C607" s="707" t="str" cm="1">
        <f t="array" aca="1" ref="C607" ca="1">INDIRECT(LEFT(I607, FIND("!", I607)) &amp; RefData!$C$426 &amp; RIGHT(I607, LEN(I607) - FIND("!", I607) - 1))</f>
        <v xml:space="preserve">
No answer required
Date of valuation
</v>
      </c>
      <c r="D607" s="92" t="str">
        <f t="shared" ca="1" si="87"/>
        <v/>
      </c>
      <c r="E607" s="708" t="str" cm="1">
        <f t="array" aca="1" ref="E607" ca="1">IF(INDIRECT($I607)= "", "", INDIRECT($I607))</f>
        <v/>
      </c>
      <c r="F607" s="709" t="str" cm="1">
        <f t="array" aca="1" ref="F607" ca="1">INDIRECT(LEFT(I607, FIND("!", I607)) &amp; RefData!$C$427 &amp; RIGHT(I607, LEN(I607) - FIND("!", I607) - 1))</f>
        <v>GTE 18.0/2</v>
      </c>
      <c r="G607" s="710" t="b">
        <f ca="1">IF(ISNUMBER(SEARCH(RefData!$B$2, $C607)), FALSE, TRUE)</f>
        <v>0</v>
      </c>
      <c r="H607" s="344">
        <f>Guarantees!C58</f>
        <v>0</v>
      </c>
      <c r="I607" s="712" t="str">
        <f t="shared" ca="1" si="79"/>
        <v>Guarantees!C58</v>
      </c>
      <c r="J607" s="713" t="b" cm="1">
        <f t="array" aca="1" ref="J607" ca="1">IF(
    ISNUMBER(SEARCH(RefData!$B$2, $C$474)),
    IF(
        $E607 &lt;&gt; "",
        $J$474,
        IF(
            $E607 = "",
            FALSE
        )
    ),
    IF(
        COUNTIF($K607:$T607, "&lt;&gt;FALSE") - COUNTBLANK($K607:$T607) &gt; 0,
        INDEX($K607:$T607, MATCH(TRUE, $K607:$T607 &lt;&gt; FALSE, 0))
    )
)</f>
        <v>0</v>
      </c>
      <c r="K607" s="712" t="b">
        <f ca="1">IF(AND('Covenant summary information'!$C$83=0,'Reconciliation report'!$E607&lt;&gt;""),ErrorMsgs!$B607)</f>
        <v>0</v>
      </c>
      <c r="L607" s="712" t="b">
        <f ca="1">IF(AND('Covenant summary information'!$C$83&lt;2,'Reconciliation report'!$E607&lt;&gt;""),ErrorMsgs!$C607)</f>
        <v>0</v>
      </c>
      <c r="M607" s="712" t="b">
        <f ca="1">IF(AND('Covenant summary information'!$C$83&gt;=2,'Reconciliation report'!$E607=""),ErrorMsgs!$D607)</f>
        <v>0</v>
      </c>
      <c r="N607" s="712" t="b">
        <f ca="1">IF(AND($E607&lt;&gt;"",NOT(ISNUMBER($E607))),ErrorMsgs!$E607)</f>
        <v>0</v>
      </c>
      <c r="O607" s="712" t="b">
        <f ca="1">IF($E607="",FALSE,IF(ISERROR(VALUE($E607)),ErrorMsgs!$F607,IF(VALUE($E607)&gt;TODAY(),ErrorMsgs!$F607)))</f>
        <v>0</v>
      </c>
      <c r="P607" s="712"/>
      <c r="Q607" s="712"/>
      <c r="R607" s="712"/>
      <c r="S607" s="712"/>
      <c r="T607" s="712"/>
      <c r="U607" s="526" t="str">
        <f t="shared" ca="1" si="84"/>
        <v/>
      </c>
      <c r="V607" s="93" t="str" cm="1">
        <f t="array" aca="1" ref="V607" ca="1">CELL("format",INDIRECT(I607))</f>
        <v>D1</v>
      </c>
      <c r="W607" s="93" t="b">
        <f t="shared" ca="1" si="85"/>
        <v>0</v>
      </c>
      <c r="X607" s="715" t="str">
        <f t="shared" ca="1" si="83"/>
        <v/>
      </c>
      <c r="Y607" t="b">
        <f t="shared" ca="1" si="86"/>
        <v>1</v>
      </c>
    </row>
    <row r="608" spans="1:25" ht="77.5">
      <c r="A608" s="705" t="s">
        <v>840</v>
      </c>
      <c r="B608" s="716" t="str">
        <f t="shared" ca="1" si="78"/>
        <v>Guarantees - C59</v>
      </c>
      <c r="C608" s="707" t="str" cm="1">
        <f t="array" aca="1" ref="C608" ca="1">INDIRECT(LEFT(I608, FIND("!", I608)) &amp; RefData!$C$426 &amp; RIGHT(I608, LEN(I608) - FIND("!", I608) - 1))</f>
        <v xml:space="preserve">
No answer required
Value cap
</v>
      </c>
      <c r="D608" s="92" t="str">
        <f t="shared" ca="1" si="87"/>
        <v/>
      </c>
      <c r="E608" s="708" t="str" cm="1">
        <f t="array" aca="1" ref="E608" ca="1">IF(INDIRECT($I608)= "", "", INDIRECT($I608))</f>
        <v/>
      </c>
      <c r="F608" s="709" t="str" cm="1">
        <f t="array" aca="1" ref="F608" ca="1">INDIRECT(LEFT(I608, FIND("!", I608)) &amp; RefData!$C$427 &amp; RIGHT(I608, LEN(I608) - FIND("!", I608) - 1))</f>
        <v>GTE 19.0/2</v>
      </c>
      <c r="G608" s="710" t="b">
        <f ca="1">IF(ISNUMBER(SEARCH(RefData!$B$2, $C608)), FALSE, TRUE)</f>
        <v>0</v>
      </c>
      <c r="H608" s="344">
        <f>Guarantees!C59</f>
        <v>0</v>
      </c>
      <c r="I608" s="712" t="str">
        <f t="shared" ca="1" si="79"/>
        <v>Guarantees!C59</v>
      </c>
      <c r="J608" s="713" t="b" cm="1">
        <f t="array" aca="1" ref="J608" ca="1">IF(
    ISNUMBER(SEARCH(RefData!$B$2, $C$474)),
    IF(
        $E608 &lt;&gt; "",
        $J$474,
        IF(
            $E608 = "",
            FALSE
        )
    ),
    IF(
        COUNTIF($K608:$T608, "&lt;&gt;FALSE") - COUNTBLANK($K608:$T608) &gt; 0,
        INDEX($K608:$T608, MATCH(TRUE, $K608:$T608 &lt;&gt; FALSE, 0))
    )
)</f>
        <v>0</v>
      </c>
      <c r="K608" s="712" t="b">
        <f ca="1">IF(AND('Start here'!$C$26=RefData!$B$9,'Reconciliation report'!$E608&lt;&gt;""),ErrorMsgs!$B608)</f>
        <v>0</v>
      </c>
      <c r="L608" s="712" t="b">
        <f ca="1">IF(AND('Start here'!$C$26=RefData!$B$10,'Covenant summary information'!$C$83=0,'Reconciliation report'!$E608&lt;&gt;""),ErrorMsgs!$C608)</f>
        <v>0</v>
      </c>
      <c r="M608" s="712" t="b">
        <f ca="1">IF(AND('Start here'!$C$26=RefData!$B$10,'Covenant summary information'!$C$83&lt;2,'Reconciliation report'!$E608&lt;&gt;""),ErrorMsgs!$D608)</f>
        <v>0</v>
      </c>
      <c r="N608" s="712" t="b">
        <f ca="1">IF(AND('Start here'!$C$26=RefData!$B$10,'Covenant summary information'!$C$83&gt;=2,'Reconciliation report'!$E608=""),ErrorMsgs!$E608)</f>
        <v>0</v>
      </c>
      <c r="O608" s="712" t="b">
        <f ca="1">IF(AND($E608&lt;&gt;"",ISNA(MATCH($E608,RefData!$B$133:$B$139,0))),ErrorMsgs!$F608)</f>
        <v>0</v>
      </c>
      <c r="P608" s="712"/>
      <c r="Q608" s="712"/>
      <c r="R608" s="712"/>
      <c r="S608" s="712"/>
      <c r="T608" s="712"/>
      <c r="U608" s="526" t="str">
        <f t="shared" ca="1" si="84"/>
        <v/>
      </c>
      <c r="V608" s="93" t="str" cm="1">
        <f t="array" aca="1" ref="V608" ca="1">CELL("format",INDIRECT(I608))</f>
        <v>G</v>
      </c>
      <c r="W608" s="93" t="b">
        <f t="shared" ca="1" si="85"/>
        <v>0</v>
      </c>
      <c r="X608" s="715" t="str">
        <f t="shared" ca="1" si="83"/>
        <v/>
      </c>
      <c r="Y608" t="b">
        <f t="shared" ca="1" si="86"/>
        <v>1</v>
      </c>
    </row>
    <row r="609" spans="1:25" ht="77.5">
      <c r="A609" s="705" t="s">
        <v>843</v>
      </c>
      <c r="B609" s="716" t="str">
        <f t="shared" ca="1" si="78"/>
        <v>Guarantees - C60</v>
      </c>
      <c r="C609" s="707" t="str" cm="1">
        <f t="array" aca="1" ref="C609" ca="1">INDIRECT(LEFT(I609, FIND("!", I609)) &amp; RefData!$C$426 &amp; RIGHT(I609, LEN(I609) - FIND("!", I609) - 1))</f>
        <v xml:space="preserve">
No answer required
Narrative regarding value cap
</v>
      </c>
      <c r="D609" s="92" t="str">
        <f t="shared" ca="1" si="87"/>
        <v/>
      </c>
      <c r="E609" s="708" t="str" cm="1">
        <f t="array" aca="1" ref="E609" ca="1">IF(INDIRECT($I609)= "", "", INDIRECT($I609))</f>
        <v/>
      </c>
      <c r="F609" s="709" t="str" cm="1">
        <f t="array" aca="1" ref="F609" ca="1">INDIRECT(LEFT(I609, FIND("!", I609)) &amp; RefData!$C$427 &amp; RIGHT(I609, LEN(I609) - FIND("!", I609) - 1))</f>
        <v>GTE 20.0/2</v>
      </c>
      <c r="G609" s="710" t="b">
        <f ca="1">IF(ISNUMBER(SEARCH(RefData!$B$2, $C609)), FALSE, TRUE)</f>
        <v>0</v>
      </c>
      <c r="H609" s="344">
        <f>Guarantees!C60</f>
        <v>0</v>
      </c>
      <c r="I609" s="712" t="str">
        <f t="shared" ca="1" si="79"/>
        <v>Guarantees!C60</v>
      </c>
      <c r="J609" s="713" t="b" cm="1">
        <f t="array" aca="1" ref="J609" ca="1">IF(
    ISNUMBER(SEARCH(RefData!$B$2, $C$474)),
    IF(
        $E609 &lt;&gt; "",
        $J$474,
        IF(
            $E609 = "",
            FALSE
        )
    ),
    IF(
        COUNTIF($K609:$T609, "&lt;&gt;FALSE") - COUNTBLANK($K609:$T609) &gt; 0,
        INDEX($K609:$T609, MATCH(TRUE, $K609:$T609 &lt;&gt; FALSE, 0))
    )
)</f>
        <v>0</v>
      </c>
      <c r="K609" s="712" t="b">
        <f ca="1">IF(AND('Start here'!$C$26=RefData!$B$9,'Reconciliation report'!$E609&lt;&gt;""),ErrorMsgs!$B609)</f>
        <v>0</v>
      </c>
      <c r="L609" s="712" t="b">
        <f ca="1">IF(AND('Start here'!$C$26=RefData!$B$10,'Covenant summary information'!$C$83=0,'Reconciliation report'!$E609&lt;&gt;""),ErrorMsgs!$C609)</f>
        <v>0</v>
      </c>
      <c r="M609" s="712" t="b">
        <f ca="1">IF(AND('Start here'!$C$26=RefData!$B$10,'Covenant summary information'!$C$83&lt;2,'Reconciliation report'!$E609&lt;&gt;""),ErrorMsgs!$D609)</f>
        <v>0</v>
      </c>
      <c r="N609" s="712" t="b">
        <f ca="1">IF(AND('Start here'!$C$26=RefData!$B$10,'Covenant summary information'!$C$83&gt;=2,NOT(Guarantees!$C$59=RefData!$B$139),'Reconciliation report'!$E609&lt;&gt;""),ErrorMsgs!$E609)</f>
        <v>0</v>
      </c>
      <c r="O609" s="712" t="b">
        <f ca="1">IF(AND('Start here'!$C$26=RefData!$B$10,'Covenant summary information'!$C$83&gt;=2,Guarantees!$C$59=RefData!$B$139,'Reconciliation report'!$E609=""),ErrorMsgs!$F609)</f>
        <v>0</v>
      </c>
      <c r="P609" s="712" t="b">
        <f ca="1">IF(LEN($E609)&gt;4000,ErrorMsgs!$G609)</f>
        <v>0</v>
      </c>
      <c r="Q609" s="712"/>
      <c r="R609" s="712"/>
      <c r="S609" s="712"/>
      <c r="T609" s="712"/>
      <c r="U609" s="526" t="str">
        <f t="shared" ca="1" si="84"/>
        <v/>
      </c>
      <c r="V609" s="93" t="str" cm="1">
        <f t="array" aca="1" ref="V609" ca="1">CELL("format",INDIRECT(I609))</f>
        <v>G</v>
      </c>
      <c r="W609" s="93" t="b">
        <f t="shared" ca="1" si="85"/>
        <v>0</v>
      </c>
      <c r="X609" s="715" t="str">
        <f t="shared" ca="1" si="83"/>
        <v/>
      </c>
      <c r="Y609" t="b">
        <f t="shared" ca="1" si="86"/>
        <v>1</v>
      </c>
    </row>
    <row r="610" spans="1:25" ht="77.5">
      <c r="A610" s="705" t="s">
        <v>845</v>
      </c>
      <c r="B610" s="716" t="str">
        <f ca="1">HYPERLINK("#" &amp; $I610, SUBSTITUTE(SUBSTITUTE($I610, "!", " - "), "'",""))</f>
        <v>Guarantees - C61</v>
      </c>
      <c r="C610" s="707" t="str" cm="1">
        <f t="array" aca="1" ref="C610" ca="1">INDIRECT(LEFT(I610, FIND("!", I610)) &amp; RefData!$C$426 &amp; RIGHT(I610, LEN(I610) - FIND("!", I610) - 1))</f>
        <v xml:space="preserve">
No answer required
Fixed cap amount (£)
</v>
      </c>
      <c r="D610" s="92" t="str">
        <f ca="1">""&amp;IF(J610=FALSE, "", J610)
&amp;""</f>
        <v/>
      </c>
      <c r="E610" s="708" t="str" cm="1">
        <f t="array" aca="1" ref="E610" ca="1">IF(INDIRECT($I610)= "", "", INDIRECT($I610))</f>
        <v/>
      </c>
      <c r="F610" s="709" t="str" cm="1">
        <f t="array" aca="1" ref="F610" ca="1">INDIRECT(LEFT(I610, FIND("!", I610)) &amp; RefData!$C$427 &amp; RIGHT(I610, LEN(I610) - FIND("!", I610) - 1))</f>
        <v>GTE 21.0/2</v>
      </c>
      <c r="G610" s="710" t="b">
        <f ca="1">IF(ISNUMBER(SEARCH(RefData!$B$2, $C610)), FALSE, TRUE)</f>
        <v>0</v>
      </c>
      <c r="H610" s="344">
        <f>Guarantees!C61</f>
        <v>0</v>
      </c>
      <c r="I610" s="712" t="str">
        <f ca="1">SUBSTITUTE(_xlfn.FORMULATEXT($H610), "=", "")</f>
        <v>Guarantees!C61</v>
      </c>
      <c r="J610" s="713" t="b" cm="1">
        <f t="array" aca="1" ref="J610" ca="1">IF(
    ISNUMBER(SEARCH(RefData!$B$2, $C$474)),
    IF(
        $E610 &lt;&gt; "",
        $J$474,
        IF(
            $E610 = "",
            FALSE
        )
    ),
    IF(
        COUNTIF($K610:$T610, "&lt;&gt;FALSE") - COUNTBLANK($K610:$T610) &gt; 0,
        INDEX($K610:$T610, MATCH(TRUE, $K610:$T610 &lt;&gt; FALSE, 0))
    )
)</f>
        <v>0</v>
      </c>
      <c r="K610" s="712" t="b">
        <f ca="1">IF(AND('Start here'!$C$26=RefData!$B$9,'Reconciliation report'!$E610&lt;&gt;""),ErrorMsgs!$B610)</f>
        <v>0</v>
      </c>
      <c r="L610" s="712" t="b">
        <f ca="1">IF(AND('Start here'!$C$26=RefData!$B$10,'Covenant summary information'!$C$83=0,'Reconciliation report'!$E610&lt;&gt;""),ErrorMsgs!$C610)</f>
        <v>0</v>
      </c>
      <c r="M610" s="712" t="b">
        <f ca="1">IF(AND('Start here'!$C$26=RefData!$B$10,'Covenant summary information'!$C$83&lt;2,'Reconciliation report'!$E610&lt;&gt;""),ErrorMsgs!$D610)</f>
        <v>0</v>
      </c>
      <c r="N610" s="712" t="b">
        <f ca="1">IF(AND('Start here'!$C$26=RefData!$B$10,'Covenant summary information'!$C$83&gt;=2,NOT(Guarantees!$C$59=RefData!$B$138),'Reconciliation report'!$E610&lt;&gt;""),ErrorMsgs!$E610)</f>
        <v>0</v>
      </c>
      <c r="O610" s="712" t="b">
        <f ca="1">IF(AND('Start here'!$C$26=RefData!$B$10,'Covenant summary information'!$C$83&gt;1,Guarantees!$C$59=RefData!$B$138,'Reconciliation report'!$E610=""),ErrorMsgs!$F610)</f>
        <v>0</v>
      </c>
      <c r="P610" s="712" t="b">
        <f ca="1">IF($E610="",FALSE,IF(ISERROR(VALUE($E610)),ErrorMsgs!G610,IF(OR(VALUE($E610)&lt;0,VALUE($E610)&gt;=1000000000000,VALUE($E610)-ROUND(VALUE($E610),2)&lt;&gt;0),ErrorMsgs!G610)))</f>
        <v>0</v>
      </c>
      <c r="Q610" s="712"/>
      <c r="R610" s="712"/>
      <c r="S610" s="712"/>
      <c r="T610" s="712"/>
      <c r="U610" s="526" t="str">
        <f t="shared" ca="1" si="84"/>
        <v/>
      </c>
      <c r="V610" s="93" t="str" cm="1">
        <f t="array" aca="1" ref="V610" ca="1">CELL("format",INDIRECT(I610))</f>
        <v>C2</v>
      </c>
      <c r="W610" s="93" t="b">
        <f t="shared" ca="1" si="85"/>
        <v>0</v>
      </c>
      <c r="X610" s="715" t="str">
        <f t="shared" ca="1" si="83"/>
        <v/>
      </c>
      <c r="Y610" t="b">
        <f t="shared" ca="1" si="86"/>
        <v>1</v>
      </c>
    </row>
    <row r="611" spans="1:25" ht="46.5">
      <c r="A611" s="705" t="s">
        <v>848</v>
      </c>
      <c r="B611" s="716" t="str">
        <f t="shared" ca="1" si="78"/>
        <v>Guarantees - C65</v>
      </c>
      <c r="C611" s="707" t="str" cm="1">
        <f t="array" aca="1" ref="C611" ca="1">INDIRECT(LEFT(I611, FIND("!", I611)) &amp; RefData!$C$426 &amp; RIGHT(I611, LEN(I611) - FIND("!", I611) - 1))</f>
        <v xml:space="preserve">
Participating employer insolvency
</v>
      </c>
      <c r="D611" s="92" t="str">
        <f t="shared" ref="D611:D637" ca="1" si="88">""&amp;IF(J611=FALSE, "", J611)
&amp;""</f>
        <v/>
      </c>
      <c r="E611" s="708" t="str" cm="1">
        <f t="array" aca="1" ref="E611" ca="1">IF(INDIRECT($I611)= "", "", INDIRECT($I611))</f>
        <v/>
      </c>
      <c r="F611" s="709" t="str" cm="1">
        <f t="array" aca="1" ref="F611" ca="1">INDIRECT(LEFT(I611, FIND("!", I611)) &amp; RefData!$C$427 &amp; RIGHT(I611, LEN(I611) - FIND("!", I611) - 1))</f>
        <v>GTE 22.0/2</v>
      </c>
      <c r="G611" s="710" t="b">
        <f ca="1">IF(ISNUMBER(SEARCH(RefData!$B$2, $C611)), FALSE, TRUE)</f>
        <v>1</v>
      </c>
      <c r="H611" s="344">
        <f>Guarantees!C65</f>
        <v>0</v>
      </c>
      <c r="I611" s="712" t="str">
        <f t="shared" ca="1" si="79"/>
        <v>Guarantees!C65</v>
      </c>
      <c r="J611" s="713" t="b" cm="1">
        <f t="array" aca="1" ref="J611" ca="1">IF(
    ISNUMBER(SEARCH(RefData!$B$2, $C$474)),
    IF(
        $E611 &lt;&gt; "",
        $J$474,
        IF(
            $E611 = "",
            FALSE
        )
    ),
    IF(
        COUNTIF($K611:$T611, "&lt;&gt;FALSE") - COUNTBLANK($K611:$T611) &gt; 0,
        INDEX($K611:$T611, MATCH(TRUE, $K611:$T611 &lt;&gt; FALSE, 0))
    )
)</f>
        <v>0</v>
      </c>
      <c r="K611" s="712" t="b">
        <f ca="1">IF(AND('Start here'!$C$26=RefData!$B$9,'Reconciliation report'!$E611&lt;&gt;""),ErrorMsgs!$B611)</f>
        <v>0</v>
      </c>
      <c r="L611" s="712" t="b">
        <f ca="1">IF(AND('Start here'!$C$26=RefData!$B$10,'Covenant summary information'!$C$83=0,'Reconciliation report'!$E611&lt;&gt;""),ErrorMsgs!$C611)</f>
        <v>0</v>
      </c>
      <c r="M611" s="712" t="b">
        <f ca="1">IF(AND('Start here'!$C$26=RefData!$B$10,'Covenant summary information'!$C$83&lt;2,'Reconciliation report'!$E611&lt;&gt;""),ErrorMsgs!$D611)</f>
        <v>0</v>
      </c>
      <c r="N611" s="712" t="b">
        <f ca="1">IF(AND('Start here'!$C$26=RefData!$B$10,'Covenant summary information'!$C$83&gt;=2,'Reconciliation report'!$E611=""),ErrorMsgs!$E611)</f>
        <v>0</v>
      </c>
      <c r="O611" s="712" t="b">
        <f ca="1">IF(AND($E611&lt;&gt;"",ISNA(MATCH($E611,RefData!$B$140:$B$141,0))),ErrorMsgs!$F611)</f>
        <v>0</v>
      </c>
      <c r="P611" s="712"/>
      <c r="Q611" s="712"/>
      <c r="R611" s="712"/>
      <c r="S611" s="712"/>
      <c r="T611" s="712"/>
      <c r="U611" s="526" t="str">
        <f t="shared" ca="1" si="84"/>
        <v/>
      </c>
      <c r="V611" s="93" t="str" cm="1">
        <f t="array" aca="1" ref="V611" ca="1">CELL("format",INDIRECT(I611))</f>
        <v>G</v>
      </c>
      <c r="W611" s="93" t="b">
        <f t="shared" ca="1" si="85"/>
        <v>0</v>
      </c>
      <c r="X611" s="715" t="str">
        <f t="shared" ca="1" si="83"/>
        <v/>
      </c>
      <c r="Y611" t="b">
        <f t="shared" ca="1" si="86"/>
        <v>1</v>
      </c>
    </row>
    <row r="612" spans="1:25" ht="46.5">
      <c r="A612" s="705" t="s">
        <v>851</v>
      </c>
      <c r="B612" s="716" t="str">
        <f t="shared" ca="1" si="78"/>
        <v>Guarantees - C66</v>
      </c>
      <c r="C612" s="707" t="str" cm="1">
        <f t="array" aca="1" ref="C612" ca="1">INDIRECT(LEFT(I612, FIND("!", I612)) &amp; RefData!$C$426 &amp; RIGHT(I612, LEN(I612) - FIND("!", I612) - 1))</f>
        <v xml:space="preserve">
Insolvency of associated company
</v>
      </c>
      <c r="D612" s="92" t="str">
        <f t="shared" ca="1" si="88"/>
        <v/>
      </c>
      <c r="E612" s="708" t="str" cm="1">
        <f t="array" aca="1" ref="E612" ca="1">IF(INDIRECT($I612)= "", "", INDIRECT($I612))</f>
        <v/>
      </c>
      <c r="F612" s="709" t="str" cm="1">
        <f t="array" aca="1" ref="F612" ca="1">INDIRECT(LEFT(I612, FIND("!", I612)) &amp; RefData!$C$427 &amp; RIGHT(I612, LEN(I612) - FIND("!", I612) - 1))</f>
        <v>GTE 23.0/2</v>
      </c>
      <c r="G612" s="710" t="b">
        <f ca="1">IF(ISNUMBER(SEARCH(RefData!$B$2, $C612)), FALSE, TRUE)</f>
        <v>1</v>
      </c>
      <c r="H612" s="344">
        <f>Guarantees!C66</f>
        <v>0</v>
      </c>
      <c r="I612" s="712" t="str">
        <f t="shared" ca="1" si="79"/>
        <v>Guarantees!C66</v>
      </c>
      <c r="J612" s="713" t="b" cm="1">
        <f t="array" aca="1" ref="J612" ca="1">IF(
    ISNUMBER(SEARCH(RefData!$B$2, $C$474)),
    IF(
        $E612 &lt;&gt; "",
        $J$474,
        IF(
            $E612 = "",
            FALSE
        )
    ),
    IF(
        COUNTIF($K612:$T612, "&lt;&gt;FALSE") - COUNTBLANK($K612:$T612) &gt; 0,
        INDEX($K612:$T612, MATCH(TRUE, $K612:$T612 &lt;&gt; FALSE, 0))
    )
)</f>
        <v>0</v>
      </c>
      <c r="K612" s="712" t="b">
        <f ca="1">IF(AND('Start here'!$C$26=RefData!$B$9,'Reconciliation report'!$E612&lt;&gt;""),ErrorMsgs!$B612)</f>
        <v>0</v>
      </c>
      <c r="L612" s="712" t="b">
        <f ca="1">IF(AND('Start here'!$C$26=RefData!$B$10,'Covenant summary information'!$C$83=0,'Reconciliation report'!$E612&lt;&gt;""),ErrorMsgs!$C612)</f>
        <v>0</v>
      </c>
      <c r="M612" s="712" t="b">
        <f ca="1">IF(AND('Start here'!$C$26=RefData!$B$10,'Covenant summary information'!$C$83&lt;2,'Reconciliation report'!$E612&lt;&gt;""),ErrorMsgs!$D612)</f>
        <v>0</v>
      </c>
      <c r="N612" s="712" t="b">
        <f ca="1">IF(AND('Start here'!$C$26=RefData!$B$10,'Covenant summary information'!$C$83&gt;=2,'Reconciliation report'!$E612=""),ErrorMsgs!$E612)</f>
        <v>0</v>
      </c>
      <c r="O612" s="712" t="b">
        <f ca="1">IF(AND($E612&lt;&gt;"",ISNA(MATCH($E612,RefData!$B$140:$B$141,0))),ErrorMsgs!$F612)</f>
        <v>0</v>
      </c>
      <c r="P612" s="712"/>
      <c r="Q612" s="712"/>
      <c r="R612" s="712"/>
      <c r="S612" s="712"/>
      <c r="T612" s="712"/>
      <c r="U612" s="526" t="str">
        <f t="shared" ca="1" si="84"/>
        <v/>
      </c>
      <c r="V612" s="93" t="str" cm="1">
        <f t="array" aca="1" ref="V612" ca="1">CELL("format",INDIRECT(I612))</f>
        <v>G</v>
      </c>
      <c r="W612" s="93" t="b">
        <f t="shared" ca="1" si="85"/>
        <v>0</v>
      </c>
      <c r="X612" s="715" t="str">
        <f t="shared" ca="1" si="83"/>
        <v/>
      </c>
      <c r="Y612" t="b">
        <f t="shared" ca="1" si="86"/>
        <v>1</v>
      </c>
    </row>
    <row r="613" spans="1:25" ht="46.5">
      <c r="A613" s="705" t="s">
        <v>853</v>
      </c>
      <c r="B613" s="716" t="str">
        <f t="shared" ca="1" si="78"/>
        <v>Guarantees - C67</v>
      </c>
      <c r="C613" s="707" t="str" cm="1">
        <f t="array" aca="1" ref="C613" ca="1">INDIRECT(LEFT(I613, FIND("!", I613)) &amp; RefData!$C$426 &amp; RIGHT(I613, LEN(I613) - FIND("!", I613) - 1))</f>
        <v xml:space="preserve">
Non payment of contributions
</v>
      </c>
      <c r="D613" s="92" t="str">
        <f t="shared" ca="1" si="88"/>
        <v/>
      </c>
      <c r="E613" s="708" t="str" cm="1">
        <f t="array" aca="1" ref="E613" ca="1">IF(INDIRECT($I613)= "", "", INDIRECT($I613))</f>
        <v/>
      </c>
      <c r="F613" s="709" t="str" cm="1">
        <f t="array" aca="1" ref="F613" ca="1">INDIRECT(LEFT(I613, FIND("!", I613)) &amp; RefData!$C$427 &amp; RIGHT(I613, LEN(I613) - FIND("!", I613) - 1))</f>
        <v>GTE 24.0/2</v>
      </c>
      <c r="G613" s="710" t="b">
        <f ca="1">IF(ISNUMBER(SEARCH(RefData!$B$2, $C613)), FALSE, TRUE)</f>
        <v>1</v>
      </c>
      <c r="H613" s="344">
        <f>Guarantees!C67</f>
        <v>0</v>
      </c>
      <c r="I613" s="712" t="str">
        <f t="shared" ca="1" si="79"/>
        <v>Guarantees!C67</v>
      </c>
      <c r="J613" s="713" t="b" cm="1">
        <f t="array" aca="1" ref="J613" ca="1">IF(
    ISNUMBER(SEARCH(RefData!$B$2, $C$474)),
    IF(
        $E613 &lt;&gt; "",
        $J$474,
        IF(
            $E613 = "",
            FALSE
        )
    ),
    IF(
        COUNTIF($K613:$T613, "&lt;&gt;FALSE") - COUNTBLANK($K613:$T613) &gt; 0,
        INDEX($K613:$T613, MATCH(TRUE, $K613:$T613 &lt;&gt; FALSE, 0))
    )
)</f>
        <v>0</v>
      </c>
      <c r="K613" s="712" t="b">
        <f ca="1">IF(AND('Start here'!$C$26=RefData!$B$9,'Reconciliation report'!$E613&lt;&gt;""),ErrorMsgs!$B613)</f>
        <v>0</v>
      </c>
      <c r="L613" s="712" t="b">
        <f ca="1">IF(AND('Start here'!$C$26=RefData!$B$10,'Covenant summary information'!$C$83=0,'Reconciliation report'!$E613&lt;&gt;""),ErrorMsgs!$C613)</f>
        <v>0</v>
      </c>
      <c r="M613" s="712" t="b">
        <f ca="1">IF(AND('Start here'!$C$26=RefData!$B$10,'Covenant summary information'!$C$83&lt;2,'Reconciliation report'!$E613&lt;&gt;""),ErrorMsgs!$D613)</f>
        <v>0</v>
      </c>
      <c r="N613" s="712" t="b">
        <f ca="1">IF(AND('Start here'!$C$26=RefData!$B$10,'Covenant summary information'!$C$83&gt;=2,'Reconciliation report'!$E613=""),ErrorMsgs!$E613)</f>
        <v>0</v>
      </c>
      <c r="O613" s="712" t="b">
        <f ca="1">IF(AND($E613&lt;&gt;"",ISNA(MATCH($E613,RefData!$B$140:$B$141,0))),ErrorMsgs!$F613)</f>
        <v>0</v>
      </c>
      <c r="P613" s="712"/>
      <c r="Q613" s="712"/>
      <c r="R613" s="712"/>
      <c r="S613" s="712"/>
      <c r="T613" s="712"/>
      <c r="U613" s="526" t="str">
        <f t="shared" ca="1" si="84"/>
        <v/>
      </c>
      <c r="V613" s="93" t="str" cm="1">
        <f t="array" aca="1" ref="V613" ca="1">CELL("format",INDIRECT(I613))</f>
        <v>G</v>
      </c>
      <c r="W613" s="93" t="b">
        <f t="shared" ca="1" si="85"/>
        <v>0</v>
      </c>
      <c r="X613" s="715" t="str">
        <f t="shared" ca="1" si="83"/>
        <v/>
      </c>
      <c r="Y613" t="b">
        <f t="shared" ca="1" si="86"/>
        <v>1</v>
      </c>
    </row>
    <row r="614" spans="1:25" ht="46.5">
      <c r="A614" s="705" t="s">
        <v>855</v>
      </c>
      <c r="B614" s="716" t="str">
        <f t="shared" ca="1" si="78"/>
        <v>Guarantees - C68</v>
      </c>
      <c r="C614" s="707" t="str" cm="1">
        <f t="array" aca="1" ref="C614" ca="1">INDIRECT(LEFT(I614, FIND("!", I614)) &amp; RefData!$C$426 &amp; RIGHT(I614, LEN(I614) - FIND("!", I614) - 1))</f>
        <v xml:space="preserve">
Crystallisation of investment risk
</v>
      </c>
      <c r="D614" s="92" t="str">
        <f t="shared" ca="1" si="88"/>
        <v/>
      </c>
      <c r="E614" s="708" t="str" cm="1">
        <f t="array" aca="1" ref="E614" ca="1">IF(INDIRECT($I614)= "", "", INDIRECT($I614))</f>
        <v/>
      </c>
      <c r="F614" s="709" t="str" cm="1">
        <f t="array" aca="1" ref="F614" ca="1">INDIRECT(LEFT(I614, FIND("!", I614)) &amp; RefData!$C$427 &amp; RIGHT(I614, LEN(I614) - FIND("!", I614) - 1))</f>
        <v>GTE 25.0/2</v>
      </c>
      <c r="G614" s="710" t="b">
        <f ca="1">IF(ISNUMBER(SEARCH(RefData!$B$2, $C614)), FALSE, TRUE)</f>
        <v>1</v>
      </c>
      <c r="H614" s="344">
        <f>Guarantees!C68</f>
        <v>0</v>
      </c>
      <c r="I614" s="712" t="str">
        <f t="shared" ca="1" si="79"/>
        <v>Guarantees!C68</v>
      </c>
      <c r="J614" s="713" t="b" cm="1">
        <f t="array" aca="1" ref="J614" ca="1">IF(
    ISNUMBER(SEARCH(RefData!$B$2, $C$474)),
    IF(
        $E614 &lt;&gt; "",
        $J$474,
        IF(
            $E614 = "",
            FALSE
        )
    ),
    IF(
        COUNTIF($K614:$T614, "&lt;&gt;FALSE") - COUNTBLANK($K614:$T614) &gt; 0,
        INDEX($K614:$T614, MATCH(TRUE, $K614:$T614 &lt;&gt; FALSE, 0))
    )
)</f>
        <v>0</v>
      </c>
      <c r="K614" s="712" t="b">
        <f ca="1">IF(AND('Start here'!$C$26=RefData!$B$9,'Reconciliation report'!$E614&lt;&gt;""),ErrorMsgs!$B614)</f>
        <v>0</v>
      </c>
      <c r="L614" s="712" t="b">
        <f ca="1">IF(AND('Start here'!$C$26=RefData!$B$10,'Covenant summary information'!$C$83=0,'Reconciliation report'!$E614&lt;&gt;""),ErrorMsgs!$C614)</f>
        <v>0</v>
      </c>
      <c r="M614" s="712" t="b">
        <f ca="1">IF(AND('Start here'!$C$26=RefData!$B$10,'Covenant summary information'!$C$83&lt;2,'Reconciliation report'!$E614&lt;&gt;""),ErrorMsgs!$D614)</f>
        <v>0</v>
      </c>
      <c r="N614" s="712" t="b">
        <f ca="1">IF(AND('Start here'!$C$26=RefData!$B$10,'Covenant summary information'!$C$83&gt;=2,'Reconciliation report'!$E614=""),ErrorMsgs!$E614)</f>
        <v>0</v>
      </c>
      <c r="O614" s="712" t="b">
        <f ca="1">IF(AND($E614&lt;&gt;"",ISNA(MATCH($E614,RefData!$B$140:$B$141,0))),ErrorMsgs!$F614)</f>
        <v>0</v>
      </c>
      <c r="P614" s="712"/>
      <c r="Q614" s="712"/>
      <c r="R614" s="712"/>
      <c r="S614" s="712"/>
      <c r="T614" s="712"/>
      <c r="U614" s="526" t="str">
        <f t="shared" ca="1" si="84"/>
        <v/>
      </c>
      <c r="V614" s="93" t="str" cm="1">
        <f t="array" aca="1" ref="V614" ca="1">CELL("format",INDIRECT(I614))</f>
        <v>G</v>
      </c>
      <c r="W614" s="93" t="b">
        <f t="shared" ca="1" si="85"/>
        <v>0</v>
      </c>
      <c r="X614" s="715" t="str">
        <f t="shared" ca="1" si="83"/>
        <v/>
      </c>
      <c r="Y614" t="b">
        <f t="shared" ca="1" si="86"/>
        <v>1</v>
      </c>
    </row>
    <row r="615" spans="1:25" ht="46.5">
      <c r="A615" s="705" t="s">
        <v>857</v>
      </c>
      <c r="B615" s="716" t="str">
        <f t="shared" ca="1" si="78"/>
        <v>Guarantees - C69</v>
      </c>
      <c r="C615" s="707" t="str" cm="1">
        <f t="array" aca="1" ref="C615" ca="1">INDIRECT(LEFT(I615, FIND("!", I615)) &amp; RefData!$C$426 &amp; RIGHT(I615, LEN(I615) - FIND("!", I615) - 1))</f>
        <v xml:space="preserve">
Other
</v>
      </c>
      <c r="D615" s="92" t="str">
        <f t="shared" ca="1" si="88"/>
        <v/>
      </c>
      <c r="E615" s="708" t="str" cm="1">
        <f t="array" aca="1" ref="E615" ca="1">IF(INDIRECT($I615)= "", "", INDIRECT($I615))</f>
        <v/>
      </c>
      <c r="F615" s="709" t="str" cm="1">
        <f t="array" aca="1" ref="F615" ca="1">INDIRECT(LEFT(I615, FIND("!", I615)) &amp; RefData!$C$427 &amp; RIGHT(I615, LEN(I615) - FIND("!", I615) - 1))</f>
        <v>GTE 26.0/2</v>
      </c>
      <c r="G615" s="710" t="b">
        <f ca="1">IF(ISNUMBER(SEARCH(RefData!$B$2, $C615)), FALSE, TRUE)</f>
        <v>1</v>
      </c>
      <c r="H615" s="344">
        <f>Guarantees!C69</f>
        <v>0</v>
      </c>
      <c r="I615" s="712" t="str">
        <f t="shared" ca="1" si="79"/>
        <v>Guarantees!C69</v>
      </c>
      <c r="J615" s="713" t="b" cm="1">
        <f t="array" aca="1" ref="J615" ca="1">IF(
    ISNUMBER(SEARCH(RefData!$B$2, $C$474)),
    IF(
        $E615 &lt;&gt; "",
        $J$474,
        IF(
            $E615 = "",
            FALSE
        )
    ),
    IF(
        COUNTIF($K615:$T615, "&lt;&gt;FALSE") - COUNTBLANK($K615:$T615) &gt; 0,
        INDEX($K615:$T615, MATCH(TRUE, $K615:$T615 &lt;&gt; FALSE, 0))
    )
)</f>
        <v>0</v>
      </c>
      <c r="K615" s="712" t="b">
        <f ca="1">IF(AND('Start here'!$C$26=RefData!$B$9,'Reconciliation report'!$E615&lt;&gt;""),ErrorMsgs!$B615)</f>
        <v>0</v>
      </c>
      <c r="L615" s="712" t="b">
        <f ca="1">IF(AND('Start here'!$C$26=RefData!$B$10,'Covenant summary information'!$C$83=0,'Reconciliation report'!$E615&lt;&gt;""),ErrorMsgs!$C615)</f>
        <v>0</v>
      </c>
      <c r="M615" s="712" t="b">
        <f ca="1">IF(AND('Start here'!$C$26=RefData!$B$10,'Covenant summary information'!$C$83&lt;2,'Reconciliation report'!$E615&lt;&gt;""),ErrorMsgs!$D615)</f>
        <v>0</v>
      </c>
      <c r="N615" s="712" t="b">
        <f ca="1">IF(AND('Start here'!$C$26=RefData!$B$10,'Covenant summary information'!$C$83&gt;=2,'Reconciliation report'!$E615=""),ErrorMsgs!$E615)</f>
        <v>0</v>
      </c>
      <c r="O615" s="712" t="b">
        <f ca="1">IF(AND($E615&lt;&gt;"",ISNA(MATCH($E615,RefData!$B$140:$B$141,0))),ErrorMsgs!$F615)</f>
        <v>0</v>
      </c>
      <c r="P615" s="712"/>
      <c r="Q615" s="712"/>
      <c r="R615" s="712"/>
      <c r="S615" s="712"/>
      <c r="T615" s="712"/>
      <c r="U615" s="526" t="str">
        <f t="shared" ca="1" si="84"/>
        <v/>
      </c>
      <c r="V615" s="93" t="str" cm="1">
        <f t="array" aca="1" ref="V615" ca="1">CELL("format",INDIRECT(I615))</f>
        <v>G</v>
      </c>
      <c r="W615" s="93" t="b">
        <f t="shared" ca="1" si="85"/>
        <v>0</v>
      </c>
      <c r="X615" s="715" t="str">
        <f t="shared" ca="1" si="83"/>
        <v/>
      </c>
      <c r="Y615" t="b">
        <f t="shared" ca="1" si="86"/>
        <v>1</v>
      </c>
    </row>
    <row r="616" spans="1:25" ht="46.5">
      <c r="A616" s="705" t="s">
        <v>859</v>
      </c>
      <c r="B616" s="716" t="str">
        <f t="shared" ca="1" si="78"/>
        <v>Guarantees - C70</v>
      </c>
      <c r="C616" s="707" t="str" cm="1">
        <f t="array" aca="1" ref="C616" ca="1">INDIRECT(LEFT(I616, FIND("!", I616)) &amp; RefData!$C$426 &amp; RIGHT(I616, LEN(I616) - FIND("!", I616) - 1))</f>
        <v xml:space="preserve">
Describe the other triggers for access to value
</v>
      </c>
      <c r="D616" s="92" t="str">
        <f t="shared" ca="1" si="88"/>
        <v/>
      </c>
      <c r="E616" s="708" t="str" cm="1">
        <f t="array" aca="1" ref="E616" ca="1">IF(INDIRECT($I616)= "", "", INDIRECT($I616))</f>
        <v/>
      </c>
      <c r="F616" s="709" t="str" cm="1">
        <f t="array" aca="1" ref="F616" ca="1">INDIRECT(LEFT(I616, FIND("!", I616)) &amp; RefData!$C$427 &amp; RIGHT(I616, LEN(I616) - FIND("!", I616) - 1))</f>
        <v>GTE 27.0/2</v>
      </c>
      <c r="G616" s="710" t="b">
        <f ca="1">IF(ISNUMBER(SEARCH(RefData!$B$2, $C616)), FALSE, TRUE)</f>
        <v>1</v>
      </c>
      <c r="H616" s="344">
        <f>Guarantees!C70</f>
        <v>0</v>
      </c>
      <c r="I616" s="712" t="str">
        <f t="shared" ca="1" si="79"/>
        <v>Guarantees!C70</v>
      </c>
      <c r="J616" s="713" t="b" cm="1">
        <f t="array" aca="1" ref="J616" ca="1">IF(
    ISNUMBER(SEARCH(RefData!$B$2, $C$474)),
    IF(
        $E616 &lt;&gt; "",
        $J$474,
        IF(
            $E616 = "",
            FALSE
        )
    ),
    IF(
        COUNTIF($K616:$T616, "&lt;&gt;FALSE") - COUNTBLANK($K616:$T616) &gt; 0,
        INDEX($K616:$T616, MATCH(TRUE, $K616:$T616 &lt;&gt; FALSE, 0))
    )
)</f>
        <v>0</v>
      </c>
      <c r="K616" s="712" t="b">
        <f ca="1">IF(AND('Start here'!$C$26=RefData!$B$9,'Reconciliation report'!$E616&lt;&gt;""),ErrorMsgs!$B616)</f>
        <v>0</v>
      </c>
      <c r="L616" s="712" t="b">
        <f ca="1">IF(AND('Start here'!$C$26=RefData!$B$10,'Covenant summary information'!$C$83=0,'Reconciliation report'!$E616&lt;&gt;""),ErrorMsgs!$C616)</f>
        <v>0</v>
      </c>
      <c r="M616" s="712" t="b">
        <f ca="1">IF(AND('Start here'!$C$26=RefData!$B$10,'Covenant summary information'!$C$83&lt;2,'Reconciliation report'!$E616&lt;&gt;""),ErrorMsgs!$D616)</f>
        <v>0</v>
      </c>
      <c r="N616" s="712" t="b">
        <f ca="1">IF(AND('Start here'!$C$26=RefData!$B$10,'Covenant summary information'!$C$83&gt;=2,Guarantees!$C69&lt;&gt;RefData!$B$140,'Reconciliation report'!$E616&lt;&gt;""),ErrorMsgs!$E616)</f>
        <v>0</v>
      </c>
      <c r="O616" s="712" t="b">
        <f ca="1">IF(AND('Start here'!$C$26=RefData!$B$10,'Covenant summary information'!$C$83&gt;=2,Guarantees!$C69=RefData!$B$140,'Reconciliation report'!$E616=""),ErrorMsgs!$F616)</f>
        <v>0</v>
      </c>
      <c r="P616" s="712" t="b">
        <f ca="1">IF(LEN($E616)&gt;4000,ErrorMsgs!$G616)</f>
        <v>0</v>
      </c>
      <c r="Q616" s="712"/>
      <c r="R616" s="712"/>
      <c r="S616" s="712"/>
      <c r="T616" s="712"/>
      <c r="U616" s="526" t="str">
        <f t="shared" ca="1" si="84"/>
        <v/>
      </c>
      <c r="V616" s="93" t="str" cm="1">
        <f t="array" aca="1" ref="V616" ca="1">CELL("format",INDIRECT(I616))</f>
        <v>G</v>
      </c>
      <c r="W616" s="93" t="b">
        <f t="shared" ca="1" si="85"/>
        <v>0</v>
      </c>
      <c r="X616" s="715" t="str">
        <f t="shared" ca="1" si="83"/>
        <v/>
      </c>
      <c r="Y616" t="b">
        <f t="shared" ca="1" si="86"/>
        <v>1</v>
      </c>
    </row>
    <row r="617" spans="1:25" ht="46.5">
      <c r="A617" s="705" t="s">
        <v>861</v>
      </c>
      <c r="B617" s="716" t="str">
        <f t="shared" ca="1" si="78"/>
        <v>Guarantees - C71</v>
      </c>
      <c r="C617" s="707" t="str" cm="1">
        <f t="array" aca="1" ref="C617" ca="1">INDIRECT(LEFT(I617, FIND("!", I617)) &amp; RefData!$C$426 &amp; RIGHT(I617, LEN(I617) - FIND("!", I617) - 1))</f>
        <v xml:space="preserve">
Triggers for termination
</v>
      </c>
      <c r="D617" s="92" t="str">
        <f t="shared" ca="1" si="88"/>
        <v/>
      </c>
      <c r="E617" s="708" t="str" cm="1">
        <f t="array" aca="1" ref="E617" ca="1">IF(INDIRECT($I617)= "", "", INDIRECT($I617))</f>
        <v/>
      </c>
      <c r="F617" s="709" t="str" cm="1">
        <f t="array" aca="1" ref="F617" ca="1">INDIRECT(LEFT(I617, FIND("!", I617)) &amp; RefData!$C$427 &amp; RIGHT(I617, LEN(I617) - FIND("!", I617) - 1))</f>
        <v>GTE 28.0/2</v>
      </c>
      <c r="G617" s="710" t="b">
        <f ca="1">IF(ISNUMBER(SEARCH(RefData!$B$2, $C617)), FALSE, TRUE)</f>
        <v>1</v>
      </c>
      <c r="H617" s="344">
        <f>Guarantees!C71</f>
        <v>0</v>
      </c>
      <c r="I617" s="712" t="str">
        <f t="shared" ca="1" si="79"/>
        <v>Guarantees!C71</v>
      </c>
      <c r="J617" s="713" t="b" cm="1">
        <f t="array" aca="1" ref="J617" ca="1">IF(
    ISNUMBER(SEARCH(RefData!$B$2, $C$474)),
    IF(
        $E617 &lt;&gt; "",
        $J$474,
        IF(
            $E617 = "",
            FALSE
        )
    ),
    IF(
        COUNTIF($K617:$T617, "&lt;&gt;FALSE") - COUNTBLANK($K617:$T617) &gt; 0,
        INDEX($K617:$T617, MATCH(TRUE, $K617:$T617 &lt;&gt; FALSE, 0))
    )
)</f>
        <v>0</v>
      </c>
      <c r="K617" s="712" t="b">
        <f ca="1">IF(AND('Start here'!$C$26=RefData!$B$9,'Reconciliation report'!$E617&lt;&gt;""),ErrorMsgs!$B617)</f>
        <v>0</v>
      </c>
      <c r="L617" s="712" t="b">
        <f ca="1">IF(AND('Start here'!$C$26=RefData!$B$10,'Covenant summary information'!$C$83=0,'Reconciliation report'!$E617&lt;&gt;""),ErrorMsgs!$C617)</f>
        <v>0</v>
      </c>
      <c r="M617" s="712" t="b">
        <f ca="1">IF(AND('Start here'!$C$26=RefData!$B$10,'Covenant summary information'!$C$83&lt;2,'Reconciliation report'!$E617&lt;&gt;""),ErrorMsgs!$D617)</f>
        <v>0</v>
      </c>
      <c r="N617" s="712" t="b">
        <f ca="1">IF(AND('Start here'!$C$26=RefData!$B$10,'Covenant summary information'!$C$83&gt;=2,'Reconciliation report'!$E617=""),ErrorMsgs!$E617)</f>
        <v>0</v>
      </c>
      <c r="O617" s="712" t="b">
        <f ca="1">IF(LEN($E617)&gt;4000,ErrorMsgs!$F617)</f>
        <v>0</v>
      </c>
      <c r="P617" s="712"/>
      <c r="Q617" s="712"/>
      <c r="R617" s="712"/>
      <c r="S617" s="712"/>
      <c r="T617" s="712"/>
      <c r="U617" s="526" t="str">
        <f t="shared" ca="1" si="84"/>
        <v/>
      </c>
      <c r="V617" s="93" t="str" cm="1">
        <f t="array" aca="1" ref="V617" ca="1">CELL("format",INDIRECT(I617))</f>
        <v>G</v>
      </c>
      <c r="W617" s="93" t="b">
        <f t="shared" ca="1" si="85"/>
        <v>0</v>
      </c>
      <c r="X617" s="715" t="str">
        <f t="shared" ca="1" si="83"/>
        <v/>
      </c>
      <c r="Y617" t="b">
        <f t="shared" ca="1" si="86"/>
        <v>1</v>
      </c>
    </row>
    <row r="618" spans="1:25" ht="77.5">
      <c r="A618" s="705" t="s">
        <v>864</v>
      </c>
      <c r="B618" s="716" t="str">
        <f t="shared" ca="1" si="78"/>
        <v>Guarantees - C75</v>
      </c>
      <c r="C618" s="707" t="str" cm="1">
        <f t="array" aca="1" ref="C618" ca="1">INDIRECT(LEFT(I618, FIND("!", I618)) &amp; RefData!$C$426 &amp; RIGHT(I618, LEN(I618) - FIND("!", I618) - 1))</f>
        <v xml:space="preserve">
No answer required
Legal name
</v>
      </c>
      <c r="D618" s="92" t="str">
        <f t="shared" ca="1" si="88"/>
        <v/>
      </c>
      <c r="E618" s="708" t="str" cm="1">
        <f t="array" aca="1" ref="E618" ca="1">IF(INDIRECT($I618)= "", "", INDIRECT($I618))</f>
        <v/>
      </c>
      <c r="F618" s="709" t="str" cm="1">
        <f t="array" aca="1" ref="F618" ca="1">INDIRECT(LEFT(I618, FIND("!", I618)) &amp; RefData!$C$427 &amp; RIGHT(I618, LEN(I618) - FIND("!", I618) - 1))</f>
        <v>GTE 1.0/3</v>
      </c>
      <c r="G618" s="710" t="b">
        <f ca="1">IF(ISNUMBER(SEARCH(RefData!$B$2, $C618)), FALSE, TRUE)</f>
        <v>0</v>
      </c>
      <c r="H618" s="344">
        <f>Guarantees!C75</f>
        <v>0</v>
      </c>
      <c r="I618" s="712" t="str">
        <f t="shared" ca="1" si="79"/>
        <v>Guarantees!C75</v>
      </c>
      <c r="J618" s="713" t="b" cm="1">
        <f t="array" aca="1" ref="J618" ca="1">IF(
    ISNUMBER(SEARCH(RefData!$B$2, $C$474)),
    IF(
        $E618 &lt;&gt; "",
        $J$474,
        IF(
            $E618 = "",
            FALSE
        )
    ),
    IF(
        COUNTIF($K618:$T618, "&lt;&gt;FALSE") - COUNTBLANK($K618:$T618) &gt; 0,
        INDEX($K618:$T618, MATCH(TRUE, $K618:$T618 &lt;&gt; FALSE, 0))
    )
)</f>
        <v>0</v>
      </c>
      <c r="K618" s="712" t="b">
        <f ca="1">IF(AND('Covenant summary information'!$C$83=0,'Reconciliation report'!$E618&lt;&gt;""),ErrorMsgs!$B618)</f>
        <v>0</v>
      </c>
      <c r="L618" s="712" t="b">
        <f ca="1">IF(AND('Covenant summary information'!$C$83&lt;3,'Reconciliation report'!$E618&lt;&gt;""),ErrorMsgs!$C618)</f>
        <v>0</v>
      </c>
      <c r="M618" s="712" t="b">
        <f ca="1">IF(AND('Covenant summary information'!$C$83&gt;=3,'Reconciliation report'!$E618=""),ErrorMsgs!$D618)</f>
        <v>0</v>
      </c>
      <c r="N618" s="712" t="b">
        <f ca="1">IF(LEN($E618)&gt;510,ErrorMsgs!$E618)</f>
        <v>0</v>
      </c>
      <c r="O618" s="712"/>
      <c r="P618" s="712"/>
      <c r="Q618" s="712"/>
      <c r="R618" s="712"/>
      <c r="S618" s="712"/>
      <c r="T618" s="712"/>
      <c r="U618" s="526" t="str">
        <f t="shared" ca="1" si="84"/>
        <v/>
      </c>
      <c r="V618" s="93" t="str" cm="1">
        <f t="array" aca="1" ref="V618" ca="1">CELL("format",INDIRECT(I618))</f>
        <v>G</v>
      </c>
      <c r="W618" s="93" t="b">
        <f t="shared" ca="1" si="85"/>
        <v>0</v>
      </c>
      <c r="X618" s="715" t="str">
        <f t="shared" ca="1" si="83"/>
        <v/>
      </c>
      <c r="Y618" t="b">
        <f t="shared" ca="1" si="86"/>
        <v>1</v>
      </c>
    </row>
    <row r="619" spans="1:25" ht="41.75" customHeight="1">
      <c r="A619" s="705" t="s">
        <v>866</v>
      </c>
      <c r="B619" s="716" t="str">
        <f t="shared" ca="1" si="78"/>
        <v>Guarantees - C76</v>
      </c>
      <c r="C619" s="707" t="str" cm="1">
        <f t="array" aca="1" ref="C619" ca="1">INDIRECT(LEFT(I619, FIND("!", I619)) &amp; RefData!$C$426 &amp; RIGHT(I619, LEN(I619) - FIND("!", I619) - 1))</f>
        <v xml:space="preserve">
No answer required
Companies House number (if applicable)
</v>
      </c>
      <c r="D619" s="92" t="str">
        <f t="shared" ca="1" si="88"/>
        <v/>
      </c>
      <c r="E619" s="708" t="str" cm="1">
        <f t="array" aca="1" ref="E619" ca="1">IF(INDIRECT($I619)= "", "", INDIRECT($I619))</f>
        <v/>
      </c>
      <c r="F619" s="709" t="str" cm="1">
        <f t="array" aca="1" ref="F619" ca="1">INDIRECT(LEFT(I619, FIND("!", I619)) &amp; RefData!$C$427 &amp; RIGHT(I619, LEN(I619) - FIND("!", I619) - 1))</f>
        <v>GTE 2.0/3</v>
      </c>
      <c r="G619" s="710" t="b">
        <f ca="1">IF(ISNUMBER(SEARCH(RefData!$B$2, $C619)), FALSE, TRUE)</f>
        <v>0</v>
      </c>
      <c r="H619" s="344">
        <f>Guarantees!C76</f>
        <v>0</v>
      </c>
      <c r="I619" s="712" t="str">
        <f t="shared" ca="1" si="79"/>
        <v>Guarantees!C76</v>
      </c>
      <c r="J619" s="713" t="b" cm="1">
        <f t="array" aca="1" ref="J619" ca="1">IF(
    ISNUMBER(SEARCH(RefData!$B$2, $C$474)),
    IF(
        $E619 &lt;&gt; "",
        $J$474,
        IF(
            $E619 = "",
            FALSE
        )
    ),
    IF(
        COUNTIF($K619:$T619, "&lt;&gt;FALSE") - COUNTBLANK($K619:$T619) &gt; 0,
        INDEX($K619:$T619, MATCH(TRUE, $K619:$T619 &lt;&gt; FALSE, 0))
    )
)</f>
        <v>0</v>
      </c>
      <c r="K619" s="712" t="b">
        <f ca="1">IF(AND('Covenant summary information'!$C$83=0,'Reconciliation report'!$E619&lt;&gt;""),ErrorMsgs!$B619)</f>
        <v>0</v>
      </c>
      <c r="L619" s="712" t="b">
        <f ca="1">IF(AND('Covenant summary information'!$C$83&lt;3,'Reconciliation report'!$E619&lt;&gt;""),ErrorMsgs!$C619)</f>
        <v>0</v>
      </c>
      <c r="M619" s="712" t="b">
        <f ca="1">IF(
  AND(
   'Covenant summary information'!$C$83&gt;= 3,
    OR(
      AND(TRIM($E619) &lt;&gt; "", TRIM($D620) &lt;&gt; ""),
      AND(TRIM($E619) &lt;&gt; "", TRIM($D620) = "", TRIM($E620) = "")
    ),
    OR(
      ISNUMBER(FIND(" ", $E619)),
      NOT(
        OR(
          AND(LEN($E619)=8, ISNUMBER(VALUE($E619))),
          AND(LEN($E619)=8, ISNUMBER(VALUE(RIGHT($E619,6))), ISNUMBER(FIND(LEFT(UPPER($E619),1),"ABCDEFGHIJKLMNOPQRSTUVWXYZ")), ISNUMBER(FIND(MID(UPPER($E619),2,1),"ABCDEFGHIJKLMNOPQRSTUVWXYZ"))),
          AND(LEN($E619)=8, ISNUMBER(VALUE(RIGHT($E619,7))), ISNUMBER(FIND(LEFT(UPPER($E619),1),"ABCDEFGHIJKLMNOPQRSTUVWXYZ"))),
          AND(LEN($E619)=8, ISNUMBER(VALUE(MID($E619,3,5))), ISNUMBER(FIND(LEFT(UPPER($E619),1),"ABCDEFGHIJKLMNOPQRSTUVWXYZ")), ISNUMBER(FIND(MID(UPPER($E619),2,1),"ABCDEFGHIJKLMNOPQRSTUVWXYZ")), ISNUMBER(FIND(RIGHT(UPPER($E619),1),"ABCDEFGHIJKLMNOPQRSTUVWXYZ"))),
          AND(LEN($E619)=8, ISNUMBER(VALUE(MID($E619,3,4))), ISNUMBER(FIND(LEFT(UPPER($E619),1),"ABCDEFGHIJKLMNOPQRSTUVWXYZ")), ISNUMBER(FIND(MID(UPPER($E619),2,1),"ABCDEFGHIJKLMNOPQRSTUVWXYZ")), ISNUMBER(FIND(MID(UPPER($E619),7,1),"ABCDEFGHIJKLMNOPQRSTUVWXYZ")), ISNUMBER(FIND(RIGHT(UPPER($E619),1),"ABCDEFGHIJKLMNOPQRSTUVWXYZ")))
        )
      )
    )
  ),
  ErrorMsgs!D619
)</f>
        <v>0</v>
      </c>
      <c r="N619" s="712"/>
      <c r="O619" s="712"/>
      <c r="P619" s="712"/>
      <c r="Q619" s="712"/>
      <c r="R619" s="712"/>
      <c r="S619" s="712"/>
      <c r="T619" s="712"/>
      <c r="U619" s="526" t="str">
        <f t="shared" ca="1" si="84"/>
        <v/>
      </c>
      <c r="V619" s="93" t="str" cm="1">
        <f t="array" aca="1" ref="V619" ca="1">CELL("format",INDIRECT(I619))</f>
        <v>G</v>
      </c>
      <c r="W619" s="93" t="b">
        <f t="shared" ca="1" si="85"/>
        <v>0</v>
      </c>
      <c r="X619" s="715" t="str">
        <f t="shared" ca="1" si="83"/>
        <v/>
      </c>
      <c r="Y619" t="b">
        <f t="shared" ca="1" si="86"/>
        <v>1</v>
      </c>
    </row>
    <row r="620" spans="1:25" ht="77.5">
      <c r="A620" s="705" t="s">
        <v>868</v>
      </c>
      <c r="B620" s="716" t="str">
        <f t="shared" ca="1" si="78"/>
        <v>Guarantees - C77</v>
      </c>
      <c r="C620" s="707" t="str" cm="1">
        <f t="array" aca="1" ref="C620" ca="1">INDIRECT(LEFT(I620, FIND("!", I620)) &amp; RefData!$C$426 &amp; RIGHT(I620, LEN(I620) - FIND("!", I620) - 1))</f>
        <v xml:space="preserve">
No answer required
Charity number (if applicable)
</v>
      </c>
      <c r="D620" s="92" t="str">
        <f t="shared" ca="1" si="88"/>
        <v/>
      </c>
      <c r="E620" s="708" t="str" cm="1">
        <f t="array" aca="1" ref="E620" ca="1">IF(INDIRECT($I620)= "", "", INDIRECT($I620))</f>
        <v/>
      </c>
      <c r="F620" s="709" t="str" cm="1">
        <f t="array" aca="1" ref="F620" ca="1">INDIRECT(LEFT(I620, FIND("!", I620)) &amp; RefData!$C$427 &amp; RIGHT(I620, LEN(I620) - FIND("!", I620) - 1))</f>
        <v>GTE 3.0/3</v>
      </c>
      <c r="G620" s="710" t="b">
        <f ca="1">IF(ISNUMBER(SEARCH(RefData!$B$2, $C620)), FALSE, TRUE)</f>
        <v>0</v>
      </c>
      <c r="H620" s="344">
        <f>Guarantees!C77</f>
        <v>0</v>
      </c>
      <c r="I620" s="712" t="str">
        <f t="shared" ca="1" si="79"/>
        <v>Guarantees!C77</v>
      </c>
      <c r="J620" s="713" t="b" cm="1">
        <f t="array" aca="1" ref="J620" ca="1">IF(
    ISNUMBER(SEARCH(RefData!$B$2, $C$474)),
    IF(
        $E620 &lt;&gt; "",
        $J$474,
        IF(
            $E620 = "",
            FALSE
        )
    ),
    IF(
        COUNTIF($K620:$T620, "&lt;&gt;FALSE") - COUNTBLANK($K620:$T620) &gt; 0,
        INDEX($K620:$T620, MATCH(TRUE, $K620:$T620 &lt;&gt; FALSE, 0))
    )
)</f>
        <v>0</v>
      </c>
      <c r="K620" s="712" t="b">
        <f ca="1">IF(AND('Covenant summary information'!$C$83=0,'Reconciliation report'!$E620&lt;&gt;""),ErrorMsgs!$B620)</f>
        <v>0</v>
      </c>
      <c r="L620" s="712" t="b">
        <f ca="1">IF(AND('Covenant summary information'!$C$83&lt;3,'Reconciliation report'!$E620&lt;&gt;""),ErrorMsgs!$C620)</f>
        <v>0</v>
      </c>
      <c r="M620" s="712" t="b">
        <f ca="1">IF(AND(TRIM(Guarantees!$C76)&lt;&gt;"",$E620&lt;&gt;""),ErrorMsgs!$D620)</f>
        <v>0</v>
      </c>
      <c r="N620" s="712" t="b">
        <f ca="1">IF(AND($E620&lt;&gt;"",OR(LEN($E620)&lt;6,LEN($E620)&gt;8)),ErrorMsgs!$E620)</f>
        <v>0</v>
      </c>
      <c r="O620" s="712"/>
      <c r="P620" s="712"/>
      <c r="Q620" s="712"/>
      <c r="R620" s="712"/>
      <c r="S620" s="712"/>
      <c r="T620" s="712"/>
      <c r="U620" s="526" t="str">
        <f t="shared" ca="1" si="84"/>
        <v/>
      </c>
      <c r="V620" s="93" t="str" cm="1">
        <f t="array" aca="1" ref="V620" ca="1">CELL("format",INDIRECT(I620))</f>
        <v>G</v>
      </c>
      <c r="W620" s="93" t="b">
        <f t="shared" ca="1" si="85"/>
        <v>0</v>
      </c>
      <c r="X620" s="715" t="str">
        <f t="shared" ca="1" si="83"/>
        <v/>
      </c>
      <c r="Y620" t="b">
        <f t="shared" ca="1" si="86"/>
        <v>1</v>
      </c>
    </row>
    <row r="621" spans="1:25" ht="77.5">
      <c r="A621" s="705" t="s">
        <v>870</v>
      </c>
      <c r="B621" s="716" t="str">
        <f t="shared" ca="1" si="78"/>
        <v>Guarantees - C78</v>
      </c>
      <c r="C621" s="707" t="str" cm="1">
        <f t="array" aca="1" ref="C621" ca="1">INDIRECT(LEFT(I621, FIND("!", I621)) &amp; RefData!$C$426 &amp; RIGHT(I621, LEN(I621) - FIND("!", I621) - 1))</f>
        <v xml:space="preserve">
No answer required
Trading name
</v>
      </c>
      <c r="D621" s="92" t="str">
        <f t="shared" ca="1" si="88"/>
        <v/>
      </c>
      <c r="E621" s="708" t="str" cm="1">
        <f t="array" aca="1" ref="E621" ca="1">IF(INDIRECT($I621)= "", "", INDIRECT($I621))</f>
        <v/>
      </c>
      <c r="F621" s="709" t="str" cm="1">
        <f t="array" aca="1" ref="F621" ca="1">INDIRECT(LEFT(I621, FIND("!", I621)) &amp; RefData!$C$427 &amp; RIGHT(I621, LEN(I621) - FIND("!", I621) - 1))</f>
        <v>GTE 4.0/3</v>
      </c>
      <c r="G621" s="710" t="b">
        <f ca="1">IF(ISNUMBER(SEARCH(RefData!$B$2, $C621)), FALSE, TRUE)</f>
        <v>0</v>
      </c>
      <c r="H621" s="344">
        <f>Guarantees!C78</f>
        <v>0</v>
      </c>
      <c r="I621" s="712" t="str">
        <f t="shared" ca="1" si="79"/>
        <v>Guarantees!C78</v>
      </c>
      <c r="J621" s="713" t="b" cm="1">
        <f t="array" aca="1" ref="J621" ca="1">IF(
    ISNUMBER(SEARCH(RefData!$B$2, $C$474)),
    IF(
        $E621 &lt;&gt; "",
        $J$474,
        IF(
            $E621 = "",
            FALSE
        )
    ),
    IF(
        COUNTIF($K621:$T621, "&lt;&gt;FALSE") - COUNTBLANK($K621:$T621) &gt; 0,
        INDEX($K621:$T621, MATCH(TRUE, $K621:$T621 &lt;&gt; FALSE, 0))
    )
)</f>
        <v>0</v>
      </c>
      <c r="K621" s="712" t="b">
        <f ca="1">IF(AND('Covenant summary information'!$C$83=0,'Reconciliation report'!$E621&lt;&gt;""),ErrorMsgs!$B621)</f>
        <v>0</v>
      </c>
      <c r="L621" s="712" t="b">
        <f ca="1">IF(AND('Covenant summary information'!$C$83&lt;3,'Reconciliation report'!$E621&lt;&gt;""),ErrorMsgs!$C621)</f>
        <v>0</v>
      </c>
      <c r="M621" s="712" t="b">
        <f ca="1">IF(AND(TRIM(Guarantees!$C76)&lt;&gt;"",$E621&lt;&gt;""),ErrorMsgs!$D621)</f>
        <v>0</v>
      </c>
      <c r="N621" s="712" t="b">
        <f ca="1">IF(AND(Guarantees!$C77&lt;&gt;"",$E621&lt;&gt;""),ErrorMsgs!$E621)</f>
        <v>0</v>
      </c>
      <c r="O621" s="712" t="b">
        <f ca="1">IF(AND('Covenant summary information'!$C$83&gt;=3,TRIM(Guarantees!$C76)="",Guarantees!$C77="",'Reconciliation report'!$E621=""),ErrorMsgs!$F621)</f>
        <v>0</v>
      </c>
      <c r="P621" s="712" t="b">
        <f ca="1">IF(LEN($E621)&gt;510,ErrorMsgs!$G621)</f>
        <v>0</v>
      </c>
      <c r="Q621" s="712"/>
      <c r="R621" s="712"/>
      <c r="S621" s="712"/>
      <c r="T621" s="712"/>
      <c r="U621" s="526" t="str">
        <f t="shared" ca="1" si="84"/>
        <v/>
      </c>
      <c r="V621" s="93" t="str" cm="1">
        <f t="array" aca="1" ref="V621" ca="1">CELL("format",INDIRECT(I621))</f>
        <v>G</v>
      </c>
      <c r="W621" s="93" t="b">
        <f t="shared" ca="1" si="85"/>
        <v>0</v>
      </c>
      <c r="X621" s="715" t="str">
        <f t="shared" ca="1" si="83"/>
        <v/>
      </c>
      <c r="Y621" t="b">
        <f t="shared" ca="1" si="86"/>
        <v>1</v>
      </c>
    </row>
    <row r="622" spans="1:25" ht="77.5">
      <c r="A622" s="705" t="s">
        <v>872</v>
      </c>
      <c r="B622" s="716" t="str">
        <f t="shared" ca="1" si="78"/>
        <v>Guarantees - C79</v>
      </c>
      <c r="C622" s="707" t="str" cm="1">
        <f t="array" aca="1" ref="C622" ca="1">INDIRECT(LEFT(I622, FIND("!", I622)) &amp; RefData!$C$426 &amp; RIGHT(I622, LEN(I622) - FIND("!", I622) - 1))</f>
        <v xml:space="preserve">
No answer required
Address line 1
</v>
      </c>
      <c r="D622" s="92" t="str">
        <f t="shared" ca="1" si="88"/>
        <v/>
      </c>
      <c r="E622" s="708" t="str" cm="1">
        <f t="array" aca="1" ref="E622" ca="1">IF(INDIRECT($I622)= "", "", INDIRECT($I622))</f>
        <v/>
      </c>
      <c r="F622" s="709" t="str" cm="1">
        <f t="array" aca="1" ref="F622" ca="1">INDIRECT(LEFT(I622, FIND("!", I622)) &amp; RefData!$C$427 &amp; RIGHT(I622, LEN(I622) - FIND("!", I622) - 1))</f>
        <v>GTE 5.0/3</v>
      </c>
      <c r="G622" s="710" t="b">
        <f ca="1">IF(ISNUMBER(SEARCH(RefData!$B$2, $C622)), FALSE, TRUE)</f>
        <v>0</v>
      </c>
      <c r="H622" s="344">
        <f>Guarantees!C79</f>
        <v>0</v>
      </c>
      <c r="I622" s="712" t="str">
        <f t="shared" ca="1" si="79"/>
        <v>Guarantees!C79</v>
      </c>
      <c r="J622" s="713" t="b" cm="1">
        <f t="array" aca="1" ref="J622" ca="1">IF(
    ISNUMBER(SEARCH(RefData!$B$2, $C$474)),
    IF(
        $E622 &lt;&gt; "",
        $J$474,
        IF(
            $E622 = "",
            FALSE
        )
    ),
    IF(
        COUNTIF($K622:$T622, "&lt;&gt;FALSE") - COUNTBLANK($K622:$T622) &gt; 0,
        INDEX($K622:$T622, MATCH(TRUE, $K622:$T622 &lt;&gt; FALSE, 0))
    )
)</f>
        <v>0</v>
      </c>
      <c r="K622" s="712" t="b">
        <f ca="1">IF(AND('Covenant summary information'!$C$83=0,'Reconciliation report'!$E622&lt;&gt;""),ErrorMsgs!$B622)</f>
        <v>0</v>
      </c>
      <c r="L622" s="712" t="b">
        <f ca="1">IF(AND('Covenant summary information'!$C$83&lt;3,'Reconciliation report'!$E622&lt;&gt;""),ErrorMsgs!$C622)</f>
        <v>0</v>
      </c>
      <c r="M622" s="712" t="b">
        <f ca="1">IF(AND(TRIM(Guarantees!$C76)&lt;&gt;"",$E622&lt;&gt;""),ErrorMsgs!$D622)</f>
        <v>0</v>
      </c>
      <c r="N622" s="712" t="b">
        <f ca="1">IF(AND(Guarantees!$C77&lt;&gt;"",$E622&lt;&gt;""),ErrorMsgs!$E622)</f>
        <v>0</v>
      </c>
      <c r="O622" s="712" t="b">
        <f ca="1">IF(AND('Covenant summary information'!$C$83&gt;=3,TRIM(Guarantees!$C76)="",Guarantees!$C77="",'Reconciliation report'!$E622=""),ErrorMsgs!$F622)</f>
        <v>0</v>
      </c>
      <c r="P622" s="712" t="b">
        <f ca="1">IF(LEN($E622)&gt;510,ErrorMsgs!$G622)</f>
        <v>0</v>
      </c>
      <c r="Q622" s="712"/>
      <c r="R622" s="712"/>
      <c r="S622" s="712"/>
      <c r="T622" s="712"/>
      <c r="U622" s="526" t="str">
        <f t="shared" ca="1" si="84"/>
        <v/>
      </c>
      <c r="V622" s="93" t="str" cm="1">
        <f t="array" aca="1" ref="V622" ca="1">CELL("format",INDIRECT(I622))</f>
        <v>G</v>
      </c>
      <c r="W622" s="93" t="b">
        <f t="shared" ca="1" si="85"/>
        <v>0</v>
      </c>
      <c r="X622" s="715" t="str">
        <f t="shared" ca="1" si="83"/>
        <v/>
      </c>
      <c r="Y622" t="b">
        <f t="shared" ca="1" si="86"/>
        <v>1</v>
      </c>
    </row>
    <row r="623" spans="1:25" ht="77.5">
      <c r="A623" s="705" t="s">
        <v>874</v>
      </c>
      <c r="B623" s="716" t="str">
        <f t="shared" ca="1" si="78"/>
        <v>Guarantees - C80</v>
      </c>
      <c r="C623" s="707" t="str" cm="1">
        <f t="array" aca="1" ref="C623" ca="1">INDIRECT(LEFT(I623, FIND("!", I623)) &amp; RefData!$C$426 &amp; RIGHT(I623, LEN(I623) - FIND("!", I623) - 1))</f>
        <v xml:space="preserve">
No answer required
Address line 2 (optional)
</v>
      </c>
      <c r="D623" s="92" t="str">
        <f t="shared" ca="1" si="88"/>
        <v/>
      </c>
      <c r="E623" s="708" t="str" cm="1">
        <f t="array" aca="1" ref="E623" ca="1">IF(INDIRECT($I623)= "", "", INDIRECT($I623))</f>
        <v/>
      </c>
      <c r="F623" s="709" t="str" cm="1">
        <f t="array" aca="1" ref="F623" ca="1">INDIRECT(LEFT(I623, FIND("!", I623)) &amp; RefData!$C$427 &amp; RIGHT(I623, LEN(I623) - FIND("!", I623) - 1))</f>
        <v>GTE 6.0/3</v>
      </c>
      <c r="G623" s="710" t="b">
        <f ca="1">IF(ISNUMBER(SEARCH(RefData!$B$2, $C623)), FALSE, TRUE)</f>
        <v>0</v>
      </c>
      <c r="H623" s="344">
        <f>Guarantees!C80</f>
        <v>0</v>
      </c>
      <c r="I623" s="712" t="str">
        <f t="shared" ca="1" si="79"/>
        <v>Guarantees!C80</v>
      </c>
      <c r="J623" s="713" t="b" cm="1">
        <f t="array" aca="1" ref="J623" ca="1">IF(
    ISNUMBER(SEARCH(RefData!$B$2, $C$474)),
    IF(
        $E623 &lt;&gt; "",
        $J$474,
        IF(
            $E623 = "",
            FALSE
        )
    ),
    IF(
        COUNTIF($K623:$T623, "&lt;&gt;FALSE") - COUNTBLANK($K623:$T623) &gt; 0,
        INDEX($K623:$T623, MATCH(TRUE, $K623:$T623 &lt;&gt; FALSE, 0))
    )
)</f>
        <v>0</v>
      </c>
      <c r="K623" s="712" t="b">
        <f ca="1">IF(AND('Covenant summary information'!$C$83=0,'Reconciliation report'!$E623&lt;&gt;""),ErrorMsgs!$B623)</f>
        <v>0</v>
      </c>
      <c r="L623" s="712" t="b">
        <f ca="1">IF(AND('Covenant summary information'!$C$83&lt;3,'Reconciliation report'!$E623&lt;&gt;""),ErrorMsgs!$C623)</f>
        <v>0</v>
      </c>
      <c r="M623" s="712" t="b">
        <f ca="1">IF(AND(TRIM(Guarantees!$C76)&lt;&gt;"",$E623&lt;&gt;""),ErrorMsgs!$D623)</f>
        <v>0</v>
      </c>
      <c r="N623" s="712" t="b">
        <f ca="1">IF(AND(Guarantees!$C77&lt;&gt;"",$E623&lt;&gt;""),ErrorMsgs!$E623)</f>
        <v>0</v>
      </c>
      <c r="O623" s="712" t="b">
        <f ca="1">IF(LEN($E623)&gt;510,ErrorMsgs!$F623)</f>
        <v>0</v>
      </c>
      <c r="P623" s="712"/>
      <c r="Q623" s="712"/>
      <c r="R623" s="712"/>
      <c r="S623" s="712"/>
      <c r="T623" s="712"/>
      <c r="U623" s="526" t="str">
        <f t="shared" ca="1" si="84"/>
        <v/>
      </c>
      <c r="V623" s="93" t="str" cm="1">
        <f t="array" aca="1" ref="V623" ca="1">CELL("format",INDIRECT(I623))</f>
        <v>G</v>
      </c>
      <c r="W623" s="93" t="b">
        <f t="shared" ca="1" si="85"/>
        <v>0</v>
      </c>
      <c r="X623" s="715" t="str">
        <f t="shared" ca="1" si="83"/>
        <v/>
      </c>
      <c r="Y623" t="b">
        <f t="shared" ca="1" si="86"/>
        <v>1</v>
      </c>
    </row>
    <row r="624" spans="1:25" ht="77.5">
      <c r="A624" s="705" t="s">
        <v>876</v>
      </c>
      <c r="B624" s="716" t="str">
        <f t="shared" ca="1" si="78"/>
        <v>Guarantees - C81</v>
      </c>
      <c r="C624" s="707" t="str" cm="1">
        <f t="array" aca="1" ref="C624" ca="1">INDIRECT(LEFT(I624, FIND("!", I624)) &amp; RefData!$C$426 &amp; RIGHT(I624, LEN(I624) - FIND("!", I624) - 1))</f>
        <v xml:space="preserve">
No answer required
Address line 3 (optional)
</v>
      </c>
      <c r="D624" s="92" t="str">
        <f t="shared" ca="1" si="88"/>
        <v/>
      </c>
      <c r="E624" s="708" t="str" cm="1">
        <f t="array" aca="1" ref="E624" ca="1">IF(INDIRECT($I624)= "", "", INDIRECT($I624))</f>
        <v/>
      </c>
      <c r="F624" s="709" t="str" cm="1">
        <f t="array" aca="1" ref="F624" ca="1">INDIRECT(LEFT(I624, FIND("!", I624)) &amp; RefData!$C$427 &amp; RIGHT(I624, LEN(I624) - FIND("!", I624) - 1))</f>
        <v>GTE 7.0/3</v>
      </c>
      <c r="G624" s="710" t="b">
        <f ca="1">IF(ISNUMBER(SEARCH(RefData!$B$2, $C624)), FALSE, TRUE)</f>
        <v>0</v>
      </c>
      <c r="H624" s="344">
        <f>Guarantees!C81</f>
        <v>0</v>
      </c>
      <c r="I624" s="712" t="str">
        <f t="shared" ca="1" si="79"/>
        <v>Guarantees!C81</v>
      </c>
      <c r="J624" s="713" t="b" cm="1">
        <f t="array" aca="1" ref="J624" ca="1">IF(
    ISNUMBER(SEARCH(RefData!$B$2, $C$474)),
    IF(
        $E624 &lt;&gt; "",
        $J$474,
        IF(
            $E624 = "",
            FALSE
        )
    ),
    IF(
        COUNTIF($K624:$T624, "&lt;&gt;FALSE") - COUNTBLANK($K624:$T624) &gt; 0,
        INDEX($K624:$T624, MATCH(TRUE, $K624:$T624 &lt;&gt; FALSE, 0))
    )
)</f>
        <v>0</v>
      </c>
      <c r="K624" s="712" t="b">
        <f ca="1">IF(AND('Covenant summary information'!$C$83=0,'Reconciliation report'!$E624&lt;&gt;""),ErrorMsgs!$B624)</f>
        <v>0</v>
      </c>
      <c r="L624" s="712" t="b">
        <f ca="1">IF(AND('Covenant summary information'!$C$83&lt;3,'Reconciliation report'!$E624&lt;&gt;""),ErrorMsgs!$C624)</f>
        <v>0</v>
      </c>
      <c r="M624" s="712" t="b">
        <f ca="1">IF(AND(TRIM(Guarantees!$C76)&lt;&gt;"",$E624&lt;&gt;""),ErrorMsgs!$D624)</f>
        <v>0</v>
      </c>
      <c r="N624" s="712" t="b">
        <f ca="1">IF(AND(Guarantees!$C77&lt;&gt;"",$E624&lt;&gt;""),ErrorMsgs!$E624)</f>
        <v>0</v>
      </c>
      <c r="O624" s="712" t="b">
        <f ca="1">IF(LEN($E624)&gt;510,ErrorMsgs!$F624)</f>
        <v>0</v>
      </c>
      <c r="P624" s="712"/>
      <c r="Q624" s="712"/>
      <c r="R624" s="712"/>
      <c r="S624" s="712"/>
      <c r="T624" s="712"/>
      <c r="U624" s="526" t="str">
        <f t="shared" ca="1" si="84"/>
        <v/>
      </c>
      <c r="V624" s="93" t="str" cm="1">
        <f t="array" aca="1" ref="V624" ca="1">CELL("format",INDIRECT(I624))</f>
        <v>G</v>
      </c>
      <c r="W624" s="93" t="b">
        <f t="shared" ca="1" si="85"/>
        <v>0</v>
      </c>
      <c r="X624" s="715" t="str">
        <f t="shared" ca="1" si="83"/>
        <v/>
      </c>
      <c r="Y624" t="b">
        <f t="shared" ca="1" si="86"/>
        <v>1</v>
      </c>
    </row>
    <row r="625" spans="1:25" ht="77.5">
      <c r="A625" s="705" t="s">
        <v>878</v>
      </c>
      <c r="B625" s="716" t="str">
        <f t="shared" ca="1" si="78"/>
        <v>Guarantees - C82</v>
      </c>
      <c r="C625" s="707" t="str" cm="1">
        <f t="array" aca="1" ref="C625" ca="1">INDIRECT(LEFT(I625, FIND("!", I625)) &amp; RefData!$C$426 &amp; RIGHT(I625, LEN(I625) - FIND("!", I625) - 1))</f>
        <v xml:space="preserve">
No answer required
Post town or city
</v>
      </c>
      <c r="D625" s="92" t="str">
        <f t="shared" ca="1" si="88"/>
        <v/>
      </c>
      <c r="E625" s="708" t="str" cm="1">
        <f t="array" aca="1" ref="E625" ca="1">IF(INDIRECT($I625)= "", "", INDIRECT($I625))</f>
        <v/>
      </c>
      <c r="F625" s="709" t="str" cm="1">
        <f t="array" aca="1" ref="F625" ca="1">INDIRECT(LEFT(I625, FIND("!", I625)) &amp; RefData!$C$427 &amp; RIGHT(I625, LEN(I625) - FIND("!", I625) - 1))</f>
        <v>GTE 8.0/3</v>
      </c>
      <c r="G625" s="710" t="b">
        <f ca="1">IF(ISNUMBER(SEARCH(RefData!$B$2, $C625)), FALSE, TRUE)</f>
        <v>0</v>
      </c>
      <c r="H625" s="344">
        <f>Guarantees!C82</f>
        <v>0</v>
      </c>
      <c r="I625" s="712" t="str">
        <f t="shared" ca="1" si="79"/>
        <v>Guarantees!C82</v>
      </c>
      <c r="J625" s="713" t="b" cm="1">
        <f t="array" aca="1" ref="J625" ca="1">IF(
    ISNUMBER(SEARCH(RefData!$B$2, $C$474)),
    IF(
        $E625 &lt;&gt; "",
        $J$474,
        IF(
            $E625 = "",
            FALSE
        )
    ),
    IF(
        COUNTIF($K625:$T625, "&lt;&gt;FALSE") - COUNTBLANK($K625:$T625) &gt; 0,
        INDEX($K625:$T625, MATCH(TRUE, $K625:$T625 &lt;&gt; FALSE, 0))
    )
)</f>
        <v>0</v>
      </c>
      <c r="K625" s="712" t="b">
        <f ca="1">IF(AND('Covenant summary information'!$C$83=0,'Reconciliation report'!$E625&lt;&gt;""),ErrorMsgs!$B625)</f>
        <v>0</v>
      </c>
      <c r="L625" s="712" t="b">
        <f ca="1">IF(AND('Covenant summary information'!$C$83&lt;3,'Reconciliation report'!$E625&lt;&gt;""),ErrorMsgs!$C625)</f>
        <v>0</v>
      </c>
      <c r="M625" s="712" t="b">
        <f ca="1">IF(AND(TRIM(Guarantees!$C76)&lt;&gt;"",$E625&lt;&gt;""),ErrorMsgs!$D625)</f>
        <v>0</v>
      </c>
      <c r="N625" s="712" t="b">
        <f ca="1">IF(AND(Guarantees!$C77&lt;&gt;"",$E625&lt;&gt;""),ErrorMsgs!$E625)</f>
        <v>0</v>
      </c>
      <c r="O625" s="712" t="b">
        <f ca="1">IF(AND('Covenant summary information'!$C$83&gt;=3,TRIM(Guarantees!$C76)="",Guarantees!$C77="",'Reconciliation report'!$E625=""),ErrorMsgs!$F625)</f>
        <v>0</v>
      </c>
      <c r="P625" s="712" t="b">
        <f ca="1">IF(LEN($E625)&gt;510,ErrorMsgs!$G625)</f>
        <v>0</v>
      </c>
      <c r="Q625" s="712"/>
      <c r="R625" s="712"/>
      <c r="S625" s="712"/>
      <c r="T625" s="712"/>
      <c r="U625" s="526" t="str">
        <f t="shared" ca="1" si="84"/>
        <v/>
      </c>
      <c r="V625" s="93" t="str" cm="1">
        <f t="array" aca="1" ref="V625" ca="1">CELL("format",INDIRECT(I625))</f>
        <v>G</v>
      </c>
      <c r="W625" s="93" t="b">
        <f t="shared" ca="1" si="85"/>
        <v>0</v>
      </c>
      <c r="X625" s="715" t="str">
        <f t="shared" ca="1" si="83"/>
        <v/>
      </c>
      <c r="Y625" t="b">
        <f t="shared" ca="1" si="86"/>
        <v>1</v>
      </c>
    </row>
    <row r="626" spans="1:25" ht="77.5">
      <c r="A626" s="705" t="s">
        <v>880</v>
      </c>
      <c r="B626" s="716" t="str">
        <f t="shared" ca="1" si="78"/>
        <v>Guarantees - C83</v>
      </c>
      <c r="C626" s="707" t="str" cm="1">
        <f t="array" aca="1" ref="C626" ca="1">INDIRECT(LEFT(I626, FIND("!", I626)) &amp; RefData!$C$426 &amp; RIGHT(I626, LEN(I626) - FIND("!", I626) - 1))</f>
        <v xml:space="preserve">
No answer required
Country
</v>
      </c>
      <c r="D626" s="92" t="str">
        <f t="shared" ca="1" si="88"/>
        <v/>
      </c>
      <c r="E626" s="708" t="str" cm="1">
        <f t="array" aca="1" ref="E626" ca="1">IF(INDIRECT($I626)= "", "", INDIRECT($I626))</f>
        <v/>
      </c>
      <c r="F626" s="709" t="str" cm="1">
        <f t="array" aca="1" ref="F626" ca="1">INDIRECT(LEFT(I626, FIND("!", I626)) &amp; RefData!$C$427 &amp; RIGHT(I626, LEN(I626) - FIND("!", I626) - 1))</f>
        <v>GTE 9.0/3</v>
      </c>
      <c r="G626" s="710" t="b">
        <f ca="1">IF(ISNUMBER(SEARCH(RefData!$B$2, $C626)), FALSE, TRUE)</f>
        <v>0</v>
      </c>
      <c r="H626" s="344">
        <f>Guarantees!C83</f>
        <v>0</v>
      </c>
      <c r="I626" s="712" t="str">
        <f t="shared" ca="1" si="79"/>
        <v>Guarantees!C83</v>
      </c>
      <c r="J626" s="713" t="b" cm="1">
        <f t="array" aca="1" ref="J626" ca="1">IF(
    ISNUMBER(SEARCH(RefData!$B$2, $C$474)),
    IF(
        $E626 &lt;&gt; "",
        $J$474,
        IF(
            $E626 = "",
            FALSE
        )
    ),
    IF(
        COUNTIF($K626:$T626, "&lt;&gt;FALSE") - COUNTBLANK($K626:$T626) &gt; 0,
        INDEX($K626:$T626, MATCH(TRUE, $K626:$T626 &lt;&gt; FALSE, 0))
    )
)</f>
        <v>0</v>
      </c>
      <c r="K626" s="712" t="b">
        <f ca="1">IF(AND('Covenant summary information'!$C$83=0,'Reconciliation report'!$E626&lt;&gt;""),ErrorMsgs!$B626)</f>
        <v>0</v>
      </c>
      <c r="L626" s="712" t="b">
        <f ca="1">IF(AND('Covenant summary information'!$C$83&lt;3,'Reconciliation report'!$E626&lt;&gt;""),ErrorMsgs!$C626)</f>
        <v>0</v>
      </c>
      <c r="M626" s="712" t="b">
        <f ca="1">IF(AND(TRIM(Guarantees!$C76)&lt;&gt;"",$E626&lt;&gt;""),ErrorMsgs!$D626)</f>
        <v>0</v>
      </c>
      <c r="N626" s="712" t="b">
        <f ca="1">IF(AND(Guarantees!$C77&lt;&gt;"",$E626&lt;&gt;""),ErrorMsgs!$E626)</f>
        <v>0</v>
      </c>
      <c r="O626" s="712" t="b">
        <f ca="1">IF(AND('Covenant summary information'!$C$83&gt;=3,TRIM(Guarantees!$C76)="",Guarantees!$C77="",'Reconciliation report'!$E626=""),ErrorMsgs!$F626)</f>
        <v>0</v>
      </c>
      <c r="P626" s="712" t="b">
        <f ca="1">IF(AND($E626&lt;&gt;"",ISNA(MATCH($E626,RefData!$B$206:$B$400,0))),ErrorMsgs!$G626)</f>
        <v>0</v>
      </c>
      <c r="Q626" s="712"/>
      <c r="R626" s="712"/>
      <c r="S626" s="712"/>
      <c r="T626" s="712"/>
      <c r="U626" s="526" t="str">
        <f t="shared" ca="1" si="84"/>
        <v/>
      </c>
      <c r="V626" s="93" t="str" cm="1">
        <f t="array" aca="1" ref="V626" ca="1">CELL("format",INDIRECT(I626))</f>
        <v>G</v>
      </c>
      <c r="W626" s="93" t="b">
        <f t="shared" ca="1" si="85"/>
        <v>0</v>
      </c>
      <c r="X626" s="715" t="str">
        <f t="shared" ca="1" si="83"/>
        <v/>
      </c>
      <c r="Y626" t="b">
        <f t="shared" ca="1" si="86"/>
        <v>1</v>
      </c>
    </row>
    <row r="627" spans="1:25" ht="77.5">
      <c r="A627" s="705" t="s">
        <v>882</v>
      </c>
      <c r="B627" s="716" t="str">
        <f t="shared" ca="1" si="78"/>
        <v>Guarantees - C84</v>
      </c>
      <c r="C627" s="707" t="str" cm="1">
        <f t="array" aca="1" ref="C627" ca="1">INDIRECT(LEFT(I627, FIND("!", I627)) &amp; RefData!$C$426 &amp; RIGHT(I627, LEN(I627) - FIND("!", I627) - 1))</f>
        <v xml:space="preserve">
No answer required
Postcode
</v>
      </c>
      <c r="D627" s="92" t="str">
        <f t="shared" ca="1" si="88"/>
        <v/>
      </c>
      <c r="E627" s="708" t="str" cm="1">
        <f t="array" aca="1" ref="E627" ca="1">IF(INDIRECT($I627)= "", "", INDIRECT($I627))</f>
        <v/>
      </c>
      <c r="F627" s="709" t="str" cm="1">
        <f t="array" aca="1" ref="F627" ca="1">INDIRECT(LEFT(I627, FIND("!", I627)) &amp; RefData!$C$427 &amp; RIGHT(I627, LEN(I627) - FIND("!", I627) - 1))</f>
        <v>GTE 10.0/3</v>
      </c>
      <c r="G627" s="710" t="b">
        <f ca="1">IF(ISNUMBER(SEARCH(RefData!$B$2, $C627)), FALSE, TRUE)</f>
        <v>0</v>
      </c>
      <c r="H627" s="344">
        <f>Guarantees!C84</f>
        <v>0</v>
      </c>
      <c r="I627" s="712" t="str">
        <f t="shared" ca="1" si="79"/>
        <v>Guarantees!C84</v>
      </c>
      <c r="J627" s="713" t="b" cm="1">
        <f t="array" aca="1" ref="J627" ca="1">IF(
    ISNUMBER(SEARCH(RefData!$B$2, $C$474)),
    IF(
        $E627 &lt;&gt; "",
        $J$474,
        IF(
            $E627 = "",
            FALSE
        )
    ),
    IF(
        COUNTIF($K627:$T627, "&lt;&gt;FALSE") - COUNTBLANK($K627:$T627) &gt; 0,
        INDEX($K627:$T627, MATCH(TRUE, $K627:$T627 &lt;&gt; FALSE, 0))
    )
)</f>
        <v>0</v>
      </c>
      <c r="K627" s="712" t="b">
        <f ca="1">IF(AND('Covenant summary information'!$C$83=0,'Reconciliation report'!$E627&lt;&gt;""),ErrorMsgs!$B627)</f>
        <v>0</v>
      </c>
      <c r="L627" s="712" t="b">
        <f ca="1">IF(AND('Covenant summary information'!$C$83&lt;3,'Reconciliation report'!$E627&lt;&gt;""),ErrorMsgs!$C627)</f>
        <v>0</v>
      </c>
      <c r="M627" s="712" t="b">
        <f ca="1">IF(AND(TRIM($E619)&lt;&gt;"",$E627&lt;&gt;""),ErrorMsgs!$D627)</f>
        <v>0</v>
      </c>
      <c r="N627" s="712" t="b">
        <f ca="1">IF(AND($E620&lt;&gt;"",$E627&lt;&gt;""),ErrorMsgs!$E627)</f>
        <v>0</v>
      </c>
      <c r="O627" s="712" t="b">
        <f ca="1">IF(AND('Covenant summary information'!$C$83&gt;=3,TRIM(Guarantees!$C76)="",Guarantees!$C77="",'Reconciliation report'!$E627="",$E626=RefData!$B$206),ErrorMsgs!$F627)</f>
        <v>0</v>
      </c>
      <c r="P627" s="712" t="b">
        <f ca="1">IF(AND($E626=RefData!$B$206,
 OR(LEN($E627)&lt;5,
LEN($E627)&gt;8,
(ISNUMBER(VALUE(LEFT($E627,1)))),
(NOT(ISNUMBER(VALUE(MID($E627,LEN($E627)-2,1))))),
(ISNUMBER(VALUE(MID($E627,LEN($E627)-1,1)))),
ISNUMBER(VALUE(RIGHT($E627,1))))),
ErrorMsgs!$G627, FALSE)</f>
        <v>0</v>
      </c>
      <c r="Q627" s="712"/>
      <c r="R627" s="712"/>
      <c r="S627" s="712"/>
      <c r="T627" s="712"/>
      <c r="U627" s="526" t="str">
        <f t="shared" ca="1" si="84"/>
        <v/>
      </c>
      <c r="V627" s="93" t="str" cm="1">
        <f t="array" aca="1" ref="V627" ca="1">CELL("format",INDIRECT(I627))</f>
        <v>G</v>
      </c>
      <c r="W627" s="93" t="b">
        <f t="shared" ca="1" si="85"/>
        <v>0</v>
      </c>
      <c r="X627" s="715" t="str">
        <f t="shared" ca="1" si="83"/>
        <v/>
      </c>
      <c r="Y627" t="b">
        <f t="shared" ca="1" si="86"/>
        <v>1</v>
      </c>
    </row>
    <row r="628" spans="1:25" ht="77.5">
      <c r="A628" s="705" t="s">
        <v>884</v>
      </c>
      <c r="B628" s="716" t="str">
        <f t="shared" ca="1" si="78"/>
        <v>Guarantees - C85</v>
      </c>
      <c r="C628" s="707" t="str" cm="1">
        <f t="array" aca="1" ref="C628" ca="1">INDIRECT(LEFT(I628, FIND("!", I628)) &amp; RefData!$C$426 &amp; RIGHT(I628, LEN(I628) - FIND("!", I628) - 1))</f>
        <v xml:space="preserve">
No answer required
Is the guarantor an associated company?
</v>
      </c>
      <c r="D628" s="92" t="str">
        <f t="shared" ca="1" si="88"/>
        <v/>
      </c>
      <c r="E628" s="708" t="str" cm="1">
        <f t="array" aca="1" ref="E628" ca="1">IF(INDIRECT($I628)= "", "", INDIRECT($I628))</f>
        <v/>
      </c>
      <c r="F628" s="709" t="str" cm="1">
        <f t="array" aca="1" ref="F628" ca="1">INDIRECT(LEFT(I628, FIND("!", I628)) &amp; RefData!$C$427 &amp; RIGHT(I628, LEN(I628) - FIND("!", I628) - 1))</f>
        <v>GTE 11.0/3</v>
      </c>
      <c r="G628" s="710" t="b">
        <f ca="1">IF(ISNUMBER(SEARCH(RefData!$B$2, $C628)), FALSE, TRUE)</f>
        <v>0</v>
      </c>
      <c r="H628" s="344">
        <f>Guarantees!C85</f>
        <v>0</v>
      </c>
      <c r="I628" s="712" t="str">
        <f t="shared" ca="1" si="79"/>
        <v>Guarantees!C85</v>
      </c>
      <c r="J628" s="713" t="b" cm="1">
        <f t="array" aca="1" ref="J628" ca="1">IF(
    ISNUMBER(SEARCH(RefData!$B$2, $C$474)),
    IF(
        $E628 &lt;&gt; "",
        $J$474,
        IF(
            $E628 = "",
            FALSE
        )
    ),
    IF(
        COUNTIF($K628:$T628, "&lt;&gt;FALSE") - COUNTBLANK($K628:$T628) &gt; 0,
        INDEX($K628:$T628, MATCH(TRUE, $K628:$T628 &lt;&gt; FALSE, 0))
    )
)</f>
        <v>0</v>
      </c>
      <c r="K628" s="712" t="b">
        <f ca="1">IF(AND('Start here'!$C$26=RefData!$B$9,'Reconciliation report'!$E628&lt;&gt;""),ErrorMsgs!$B628)</f>
        <v>0</v>
      </c>
      <c r="L628" s="712" t="b">
        <f ca="1">IF(AND('Start here'!$C$26=RefData!$B$10,'Covenant summary information'!$C$83=0,'Reconciliation report'!$E628&lt;&gt;""),ErrorMsgs!$C628)</f>
        <v>0</v>
      </c>
      <c r="M628" s="714" t="b">
        <f ca="1">IF(AND('Start here'!$C$26=RefData!$B$10,'Covenant summary information'!$C$83&lt;3,'Reconciliation report'!$E628&lt;&gt;""),ErrorMsgs!$D628)</f>
        <v>0</v>
      </c>
      <c r="N628" s="714" t="b">
        <f ca="1">IF(AND('Start here'!$C$26=RefData!$B$10,'Start here'!$C$23=RefData!$B$17,'Start here'!$C$27=RefData!$B$12,'Covenant summary information'!$C$83&gt;=3,'Reconciliation report'!$E628=""),ErrorMsgs!$E628)</f>
        <v>0</v>
      </c>
      <c r="O628" s="712" t="b">
        <f ca="1">IF(AND($E628&lt;&gt;"",ISNA(MATCH($E628,RefData!$B$124:$B$125,0))),ErrorMsgs!$E628)</f>
        <v>0</v>
      </c>
      <c r="P628" s="712" t="b">
        <f ca="1">IF(AND('Start here'!$C$26=RefData!$B$10,'Start here'!$C$23=RefData!$B$17,'Start here'!$C$27=RefData!$B$11,'Covenant summary information'!$C$83&gt;=3,'Reconciliation report'!$E628&lt;&gt;""),ErrorMsgs!$G628)</f>
        <v>0</v>
      </c>
      <c r="Q628" s="712" t="b">
        <f ca="1">IF(AND('Start here'!$C$26=RefData!$B$10,'Start here'!$C$23=RefData!$B$18,'Covenant summary information'!$C$83&gt;=3,'Reconciliation report'!E628=""),ErrorMsgs!$H628)</f>
        <v>0</v>
      </c>
      <c r="R628" s="712"/>
      <c r="S628" s="712"/>
      <c r="T628" s="712"/>
      <c r="U628" s="526" t="str">
        <f t="shared" ca="1" si="84"/>
        <v/>
      </c>
      <c r="V628" s="93" t="str" cm="1">
        <f t="array" aca="1" ref="V628" ca="1">CELL("format",INDIRECT(I628))</f>
        <v>G</v>
      </c>
      <c r="W628" s="93" t="b">
        <f t="shared" ca="1" si="85"/>
        <v>0</v>
      </c>
      <c r="X628" s="715" t="str">
        <f t="shared" ca="1" si="83"/>
        <v/>
      </c>
      <c r="Y628" t="b">
        <f t="shared" ca="1" si="86"/>
        <v>1</v>
      </c>
    </row>
    <row r="629" spans="1:25" ht="77.5">
      <c r="A629" s="705" t="s">
        <v>886</v>
      </c>
      <c r="B629" s="716" t="str">
        <f t="shared" ca="1" si="78"/>
        <v>Guarantees - C86</v>
      </c>
      <c r="C629" s="707" t="str" cm="1">
        <f t="array" aca="1" ref="C629" ca="1">INDIRECT(LEFT(I629, FIND("!", I629)) &amp; RefData!$C$426 &amp; RIGHT(I629, LEN(I629) - FIND("!", I629) - 1))</f>
        <v xml:space="preserve">
No answer required
What is type of guarantee?
</v>
      </c>
      <c r="D629" s="92" t="str">
        <f t="shared" ca="1" si="88"/>
        <v/>
      </c>
      <c r="E629" s="708" t="str" cm="1">
        <f t="array" aca="1" ref="E629" ca="1">IF(INDIRECT($I629)= "", "", INDIRECT($I629))</f>
        <v/>
      </c>
      <c r="F629" s="709" t="str" cm="1">
        <f t="array" aca="1" ref="F629" ca="1">INDIRECT(LEFT(I629, FIND("!", I629)) &amp; RefData!$C$427 &amp; RIGHT(I629, LEN(I629) - FIND("!", I629) - 1))</f>
        <v>GTE 12.0/3</v>
      </c>
      <c r="G629" s="710" t="b">
        <f ca="1">IF(ISNUMBER(SEARCH(RefData!$B$2, $C629)), FALSE, TRUE)</f>
        <v>0</v>
      </c>
      <c r="H629" s="344">
        <f>Guarantees!C86</f>
        <v>0</v>
      </c>
      <c r="I629" s="712" t="str">
        <f t="shared" ca="1" si="79"/>
        <v>Guarantees!C86</v>
      </c>
      <c r="J629" s="713" t="b" cm="1">
        <f t="array" aca="1" ref="J629" ca="1">IF(
    ISNUMBER(SEARCH(RefData!$B$2, $C$474)),
    IF(
        $E629 &lt;&gt; "",
        $J$474,
        IF(
            $E629 = "",
            FALSE
        )
    ),
    IF(
        COUNTIF($K629:$T629, "&lt;&gt;FALSE") - COUNTBLANK($K629:$T629) &gt; 0,
        INDEX($K629:$T629, MATCH(TRUE, $K629:$T629 &lt;&gt; FALSE, 0))
    )
)</f>
        <v>0</v>
      </c>
      <c r="K629" s="712" t="b">
        <f ca="1">IF(AND('Covenant summary information'!$C$83=0,'Reconciliation report'!$E629&lt;&gt;""),ErrorMsgs!$B629)</f>
        <v>0</v>
      </c>
      <c r="L629" s="712" t="b">
        <f ca="1">IF(AND('Covenant summary information'!$C$83&lt;3,'Reconciliation report'!$E629&lt;&gt;""),ErrorMsgs!$C629)</f>
        <v>0</v>
      </c>
      <c r="M629" s="712" t="b">
        <f ca="1">IF(AND('Covenant summary information'!$C$83&gt;=3,'Reconciliation report'!$E629=""),ErrorMsgs!$D629)</f>
        <v>0</v>
      </c>
      <c r="N629" s="712" t="b">
        <f ca="1">IF(AND($E629&lt;&gt;"",ISNA(MATCH($E629,RefData!$B$126:$B$129,0))),ErrorMsgs!$E629)</f>
        <v>0</v>
      </c>
      <c r="O629" s="712"/>
      <c r="P629" s="712"/>
      <c r="Q629" s="712"/>
      <c r="R629" s="712"/>
      <c r="S629" s="712"/>
      <c r="T629" s="712"/>
      <c r="U629" s="526" t="str">
        <f t="shared" ca="1" si="84"/>
        <v/>
      </c>
      <c r="V629" s="93" t="str" cm="1">
        <f t="array" aca="1" ref="V629" ca="1">CELL("format",INDIRECT(I629))</f>
        <v>G</v>
      </c>
      <c r="W629" s="93" t="b">
        <f t="shared" ca="1" si="85"/>
        <v>0</v>
      </c>
      <c r="X629" s="715" t="str">
        <f t="shared" ca="1" si="83"/>
        <v/>
      </c>
      <c r="Y629" t="b">
        <f t="shared" ca="1" si="86"/>
        <v>1</v>
      </c>
    </row>
    <row r="630" spans="1:25" ht="77.5">
      <c r="A630" s="705" t="s">
        <v>888</v>
      </c>
      <c r="B630" s="716" t="str">
        <f t="shared" ca="1" si="78"/>
        <v>Guarantees - C87</v>
      </c>
      <c r="C630" s="707" t="str" cm="1">
        <f t="array" aca="1" ref="C630" ca="1">INDIRECT(LEFT(I630, FIND("!", I630)) &amp; RefData!$C$426 &amp; RIGHT(I630, LEN(I630) - FIND("!", I630) - 1))</f>
        <v xml:space="preserve">
No answer required
Describe the other type of guarantee.
</v>
      </c>
      <c r="D630" s="92" t="str">
        <f t="shared" ca="1" si="88"/>
        <v/>
      </c>
      <c r="E630" s="708" t="str" cm="1">
        <f t="array" aca="1" ref="E630" ca="1">IF(INDIRECT($I630)= "", "", INDIRECT($I630))</f>
        <v/>
      </c>
      <c r="F630" s="709" t="str" cm="1">
        <f t="array" aca="1" ref="F630" ca="1">INDIRECT(LEFT(I630, FIND("!", I630)) &amp; RefData!$C$427 &amp; RIGHT(I630, LEN(I630) - FIND("!", I630) - 1))</f>
        <v>GTE 13.0/3</v>
      </c>
      <c r="G630" s="710" t="b">
        <f ca="1">IF(ISNUMBER(SEARCH(RefData!$B$2, $C630)), FALSE, TRUE)</f>
        <v>0</v>
      </c>
      <c r="H630" s="344">
        <f>Guarantees!C87</f>
        <v>0</v>
      </c>
      <c r="I630" s="712" t="str">
        <f t="shared" ca="1" si="79"/>
        <v>Guarantees!C87</v>
      </c>
      <c r="J630" s="713" t="b" cm="1">
        <f t="array" aca="1" ref="J630" ca="1">IF(
    ISNUMBER(SEARCH(RefData!$B$2, $C$474)),
    IF(
        $E630 &lt;&gt; "",
        $J$474,
        IF(
            $E630 = "",
            FALSE
        )
    ),
    IF(
        COUNTIF($K630:$T630, "&lt;&gt;FALSE") - COUNTBLANK($K630:$T630) &gt; 0,
        INDEX($K630:$T630, MATCH(TRUE, $K630:$T630 &lt;&gt; FALSE, 0))
    )
)</f>
        <v>0</v>
      </c>
      <c r="K630" s="712" t="b">
        <f ca="1">IF(AND('Covenant summary information'!$C$83=0,'Reconciliation report'!$E630&lt;&gt;""),ErrorMsgs!$B630)</f>
        <v>0</v>
      </c>
      <c r="L630" s="712" t="b">
        <f ca="1">IF(AND('Covenant summary information'!$C$83&lt;3,'Reconciliation report'!$E630&lt;&gt;""),ErrorMsgs!$C630)</f>
        <v>0</v>
      </c>
      <c r="M630" s="712" t="b">
        <f ca="1">IF(AND('Covenant summary information'!$C$83&lt;3,$E629&lt;&gt;RefData!$B$129,'Reconciliation report'!$E630&lt;&gt;""),ErrorMsgs!$D630)</f>
        <v>0</v>
      </c>
      <c r="N630" s="712" t="b">
        <f ca="1">IF(AND('Covenant summary information'!$C$83&gt;=3,$E629=RefData!$B$129,'Reconciliation report'!$E630=""),ErrorMsgs!$E630)</f>
        <v>0</v>
      </c>
      <c r="O630" s="712" t="b">
        <f ca="1">IF(LEN($E630)&gt;4000,ErrorMsgs!$F630)</f>
        <v>0</v>
      </c>
      <c r="P630" s="712"/>
      <c r="Q630" s="712"/>
      <c r="R630" s="712"/>
      <c r="S630" s="712"/>
      <c r="T630" s="712"/>
      <c r="U630" s="526" t="str">
        <f t="shared" ca="1" si="84"/>
        <v/>
      </c>
      <c r="V630" s="93" t="str" cm="1">
        <f t="array" aca="1" ref="V630" ca="1">CELL("format",INDIRECT(I630))</f>
        <v>G</v>
      </c>
      <c r="W630" s="93" t="b">
        <f t="shared" ca="1" si="85"/>
        <v>0</v>
      </c>
      <c r="X630" s="715" t="str">
        <f t="shared" ca="1" si="83"/>
        <v/>
      </c>
      <c r="Y630" t="b">
        <f t="shared" ca="1" si="86"/>
        <v>1</v>
      </c>
    </row>
    <row r="631" spans="1:25" ht="77.5">
      <c r="A631" s="705" t="s">
        <v>890</v>
      </c>
      <c r="B631" s="716" t="str">
        <f t="shared" ca="1" si="78"/>
        <v>Guarantees - C88</v>
      </c>
      <c r="C631" s="707" t="str" cm="1">
        <f t="array" aca="1" ref="C631" ca="1">INDIRECT(LEFT(I631, FIND("!", I631)) &amp; RefData!$C$426 &amp; RIGHT(I631, LEN(I631) - FIND("!", I631) - 1))</f>
        <v xml:space="preserve">
No answer required
Type of maturity
</v>
      </c>
      <c r="D631" s="92" t="str">
        <f t="shared" ca="1" si="88"/>
        <v/>
      </c>
      <c r="E631" s="708" t="str" cm="1">
        <f t="array" aca="1" ref="E631" ca="1">IF(INDIRECT($I631)= "", "", INDIRECT($I631))</f>
        <v/>
      </c>
      <c r="F631" s="709" t="str" cm="1">
        <f t="array" aca="1" ref="F631" ca="1">INDIRECT(LEFT(I631, FIND("!", I631)) &amp; RefData!$C$427 &amp; RIGHT(I631, LEN(I631) - FIND("!", I631) - 1))</f>
        <v>GTE 14.0/3</v>
      </c>
      <c r="G631" s="710" t="b">
        <f ca="1">IF(ISNUMBER(SEARCH(RefData!$B$2, $C631)), FALSE, TRUE)</f>
        <v>0</v>
      </c>
      <c r="H631" s="344">
        <f>Guarantees!C88</f>
        <v>0</v>
      </c>
      <c r="I631" s="712" t="str">
        <f t="shared" ca="1" si="79"/>
        <v>Guarantees!C88</v>
      </c>
      <c r="J631" s="713" t="b" cm="1">
        <f t="array" aca="1" ref="J631" ca="1">IF(
    ISNUMBER(SEARCH(RefData!$B$2, $C$474)),
    IF(
        $E631 &lt;&gt; "",
        $J$474,
        IF(
            $E631 = "",
            FALSE
        )
    ),
    IF(
        COUNTIF($K631:$T631, "&lt;&gt;FALSE") - COUNTBLANK($K631:$T631) &gt; 0,
        INDEX($K631:$T631, MATCH(TRUE, $K631:$T631 &lt;&gt; FALSE, 0))
    )
)</f>
        <v>0</v>
      </c>
      <c r="K631" s="712" t="b">
        <f ca="1">IF(AND('Start here'!$C$26=RefData!$B$9,'Reconciliation report'!$E631&lt;&gt;""),ErrorMsgs!$B631)</f>
        <v>0</v>
      </c>
      <c r="L631" s="712" t="b">
        <f ca="1">IF(AND('Start here'!$C$26=RefData!$B$10,'Covenant summary information'!$C$83=0,'Reconciliation report'!$E631&lt;&gt;""),ErrorMsgs!$C631)</f>
        <v>0</v>
      </c>
      <c r="M631" s="712" t="b">
        <f ca="1">IF(AND('Start here'!$C$26=RefData!$B$10,'Covenant summary information'!$C$83&lt;3,'Reconciliation report'!$E631&lt;&gt;""),ErrorMsgs!$D631)</f>
        <v>0</v>
      </c>
      <c r="N631" s="712" t="b">
        <f ca="1">IF(AND('Start here'!$C$26=RefData!$B$10,'Covenant summary information'!$C$83&gt;=3,'Reconciliation report'!$E631=""),ErrorMsgs!$E631)</f>
        <v>0</v>
      </c>
      <c r="O631" s="712" t="b">
        <f ca="1">IF(AND($E631&lt;&gt;"",ISNA(MATCH($E631,RefData!$B$130:$B$132,0))),ErrorMsgs!$F631)</f>
        <v>0</v>
      </c>
      <c r="P631" s="712"/>
      <c r="Q631" s="712"/>
      <c r="R631" s="712"/>
      <c r="S631" s="712"/>
      <c r="T631" s="712"/>
      <c r="U631" s="526" t="str">
        <f t="shared" ca="1" si="84"/>
        <v/>
      </c>
      <c r="V631" s="93" t="str" cm="1">
        <f t="array" aca="1" ref="V631" ca="1">CELL("format",INDIRECT(I631))</f>
        <v>G</v>
      </c>
      <c r="W631" s="93" t="b">
        <f t="shared" ca="1" si="85"/>
        <v>0</v>
      </c>
      <c r="X631" s="715" t="str">
        <f t="shared" ca="1" si="83"/>
        <v/>
      </c>
      <c r="Y631" t="b">
        <f t="shared" ca="1" si="86"/>
        <v>1</v>
      </c>
    </row>
    <row r="632" spans="1:25" ht="77.5">
      <c r="A632" s="705" t="s">
        <v>892</v>
      </c>
      <c r="B632" s="716" t="str">
        <f t="shared" ca="1" si="78"/>
        <v>Guarantees - C89</v>
      </c>
      <c r="C632" s="707" t="str" cm="1">
        <f t="array" aca="1" ref="C632" ca="1">INDIRECT(LEFT(I632, FIND("!", I632)) &amp; RefData!$C$426 &amp; RIGHT(I632, LEN(I632) - FIND("!", I632) - 1))</f>
        <v xml:space="preserve">
No answer required
Date of maturity
</v>
      </c>
      <c r="D632" s="92" t="str">
        <f t="shared" ca="1" si="88"/>
        <v/>
      </c>
      <c r="E632" s="708" t="str" cm="1">
        <f t="array" aca="1" ref="E632" ca="1">IF(INDIRECT($I632)= "", "", INDIRECT($I632))</f>
        <v/>
      </c>
      <c r="F632" s="709" t="str" cm="1">
        <f t="array" aca="1" ref="F632" ca="1">INDIRECT(LEFT(I632, FIND("!", I632)) &amp; RefData!$C$427 &amp; RIGHT(I632, LEN(I632) - FIND("!", I632) - 1))</f>
        <v>GTE 15.0/3</v>
      </c>
      <c r="G632" s="710" t="b">
        <f ca="1">IF(ISNUMBER(SEARCH(RefData!$B$2, $C632)), FALSE, TRUE)</f>
        <v>0</v>
      </c>
      <c r="H632" s="391">
        <f>Guarantees!C89</f>
        <v>0</v>
      </c>
      <c r="I632" s="712" t="str">
        <f t="shared" ca="1" si="79"/>
        <v>Guarantees!C89</v>
      </c>
      <c r="J632" s="713" t="b" cm="1">
        <f t="array" aca="1" ref="J632" ca="1">IF(
    ISNUMBER(SEARCH(RefData!$B$2, $C$474)),
    IF(
        $E632 &lt;&gt; "",
        $J$474,
        IF(
            $E632 = "",
            FALSE
        )
    ),
    IF(
        COUNTIF($K632:$T632, "&lt;&gt;FALSE") - COUNTBLANK($K632:$T632) &gt; 0,
        INDEX($K632:$T632, MATCH(TRUE, $K632:$T632 &lt;&gt; FALSE, 0))
    )
)</f>
        <v>0</v>
      </c>
      <c r="K632" s="712" t="b">
        <f ca="1">IF(AND('Start here'!$C$26=RefData!$B$9,'Reconciliation report'!$E632&lt;&gt;""),ErrorMsgs!$B632)</f>
        <v>0</v>
      </c>
      <c r="L632" s="712" t="b">
        <f ca="1">IF(AND('Start here'!$C$26=RefData!$B$10,'Covenant summary information'!$C$83=0,'Reconciliation report'!$E632&lt;&gt;""),ErrorMsgs!$C632)</f>
        <v>0</v>
      </c>
      <c r="M632" s="712" t="b">
        <f ca="1">IF(AND('Start here'!$C$26=RefData!$B$10,'Covenant summary information'!$C$83&lt;3,'Reconciliation report'!$E632&lt;&gt;""),ErrorMsgs!$D632)</f>
        <v>0</v>
      </c>
      <c r="N632" s="712" t="b">
        <f ca="1">IF(AND('Start here'!$C$26=RefData!$B$10,'Covenant summary information'!$C$83&gt;=3,OR(Guarantees!$C88=RefData!$B$130,Guarantees!$C88=RefData!$B$129),'Reconciliation report'!$E632&lt;&gt;""),ErrorMsgs!$E632)</f>
        <v>0</v>
      </c>
      <c r="O632" s="712" t="b">
        <f ca="1">IF(AND('Start here'!$C$26=RefData!$B$10,'Covenant summary information'!$C$83&gt;=3,Guarantees!$C88=RefData!$B$131,'Reconciliation report'!$E632=""),ErrorMsgs!$F632)</f>
        <v>0</v>
      </c>
      <c r="P632" s="712" t="b">
        <f ca="1">IF(AND($E632&lt;&gt;"",NOT(ISNUMBER(VALUE($E632)))),ErrorMsgs!$G632)</f>
        <v>0</v>
      </c>
      <c r="Q632" s="712" t="b">
        <f ca="1">IF($E632&lt;'Start here'!$C$21,ErrorMsgs!$H632)</f>
        <v>0</v>
      </c>
      <c r="R632" s="712"/>
      <c r="S632" s="712"/>
      <c r="T632" s="712"/>
      <c r="U632" s="526" t="str">
        <f t="shared" ca="1" si="84"/>
        <v/>
      </c>
      <c r="V632" s="93" t="str" cm="1">
        <f t="array" aca="1" ref="V632" ca="1">CELL("format",INDIRECT(I632))</f>
        <v>D1</v>
      </c>
      <c r="W632" s="93" t="b">
        <f t="shared" ca="1" si="85"/>
        <v>0</v>
      </c>
      <c r="X632" s="715" t="str">
        <f t="shared" ca="1" si="83"/>
        <v/>
      </c>
      <c r="Y632" t="b">
        <f t="shared" ca="1" si="86"/>
        <v>1</v>
      </c>
    </row>
    <row r="633" spans="1:25" ht="77.5">
      <c r="A633" s="705" t="s">
        <v>894</v>
      </c>
      <c r="B633" s="716" t="str">
        <f t="shared" ca="1" si="78"/>
        <v>Guarantees - C90</v>
      </c>
      <c r="C633" s="707" t="str" cm="1">
        <f t="array" aca="1" ref="C633" ca="1">INDIRECT(LEFT(I633, FIND("!", I633)) &amp; RefData!$C$426 &amp; RIGHT(I633, LEN(I633) - FIND("!", I633) - 1))</f>
        <v xml:space="preserve">
No answer required
Maturity date narrative
</v>
      </c>
      <c r="D633" s="92" t="str">
        <f t="shared" ca="1" si="88"/>
        <v/>
      </c>
      <c r="E633" s="708" t="str" cm="1">
        <f t="array" aca="1" ref="E633" ca="1">IF(INDIRECT($I633)= "", "", INDIRECT($I633))</f>
        <v/>
      </c>
      <c r="F633" s="709" t="str" cm="1">
        <f t="array" aca="1" ref="F633" ca="1">INDIRECT(LEFT(I633, FIND("!", I633)) &amp; RefData!$C$427 &amp; RIGHT(I633, LEN(I633) - FIND("!", I633) - 1))</f>
        <v>GTE 16.0/3</v>
      </c>
      <c r="G633" s="710" t="b">
        <f ca="1">IF(ISNUMBER(SEARCH(RefData!$B$2, $C633)), FALSE, TRUE)</f>
        <v>0</v>
      </c>
      <c r="H633" s="344">
        <f>Guarantees!C90</f>
        <v>0</v>
      </c>
      <c r="I633" s="712" t="str">
        <f t="shared" ca="1" si="79"/>
        <v>Guarantees!C90</v>
      </c>
      <c r="J633" s="713" t="b" cm="1">
        <f t="array" aca="1" ref="J633" ca="1">IF(
    ISNUMBER(SEARCH(RefData!$B$2, $C$474)),
    IF(
        $E633 &lt;&gt; "",
        $J$474,
        IF(
            $E633 = "",
            FALSE
        )
    ),
    IF(
        COUNTIF($K633:$T633, "&lt;&gt;FALSE") - COUNTBLANK($K633:$T633) &gt; 0,
        INDEX($K633:$T633, MATCH(TRUE, $K633:$T633 &lt;&gt; FALSE, 0))
    )
)</f>
        <v>0</v>
      </c>
      <c r="K633" s="712" t="b">
        <f ca="1">IF(AND('Start here'!$C$26=RefData!$B$9,'Reconciliation report'!$E633&lt;&gt;""),ErrorMsgs!$B633)</f>
        <v>0</v>
      </c>
      <c r="L633" s="712" t="b">
        <f ca="1">IF(AND('Start here'!$C$26=RefData!$B$10,'Covenant summary information'!$C$83=0,'Reconciliation report'!$E633&lt;&gt;""),ErrorMsgs!$C633)</f>
        <v>0</v>
      </c>
      <c r="M633" s="712" t="b">
        <f ca="1">IF(AND('Start here'!$C$26=RefData!$B$10,'Covenant summary information'!$C$83&lt;3,'Reconciliation report'!$E633&lt;&gt;""),ErrorMsgs!$D633)</f>
        <v>0</v>
      </c>
      <c r="N633" s="712" t="b">
        <f ca="1">IF(AND('Start here'!$C$26=RefData!$B$10,'Covenant summary information'!$C$83&gt;=3,Guarantees!$C88&lt;&gt;RefData!$B$129,'Reconciliation report'!$E633&lt;&gt;""),ErrorMsgs!$E633)</f>
        <v>0</v>
      </c>
      <c r="O633" s="712" t="b">
        <f ca="1">IF(AND('Start here'!$C$26=RefData!$B$10,'Covenant summary information'!$C$83&gt;=3,Guarantees!$C88=RefData!$B$129,'Reconciliation report'!$E633=""),ErrorMsgs!$F633)</f>
        <v>0</v>
      </c>
      <c r="P633" s="712" t="b">
        <f ca="1">IF(LEN($E633)&gt;4000,ErrorMsgs!$G633)</f>
        <v>0</v>
      </c>
      <c r="Q633" s="712"/>
      <c r="R633" s="712"/>
      <c r="S633" s="712"/>
      <c r="T633" s="712"/>
      <c r="U633" s="526" t="str">
        <f t="shared" ca="1" si="84"/>
        <v/>
      </c>
      <c r="V633" s="93" t="str" cm="1">
        <f t="array" aca="1" ref="V633" ca="1">CELL("format",INDIRECT(I633))</f>
        <v>G</v>
      </c>
      <c r="W633" s="93" t="b">
        <f t="shared" ca="1" si="85"/>
        <v>0</v>
      </c>
      <c r="X633" s="715" t="str">
        <f t="shared" ca="1" si="83"/>
        <v/>
      </c>
      <c r="Y633" t="b">
        <f t="shared" ca="1" si="86"/>
        <v>1</v>
      </c>
    </row>
    <row r="634" spans="1:25" ht="77.5">
      <c r="A634" s="705" t="s">
        <v>896</v>
      </c>
      <c r="B634" s="716" t="str">
        <f t="shared" ca="1" si="78"/>
        <v>Guarantees - C91</v>
      </c>
      <c r="C634" s="707" t="str" cm="1">
        <f t="array" aca="1" ref="C634" ca="1">INDIRECT(LEFT(I634, FIND("!", I634)) &amp; RefData!$C$426 &amp; RIGHT(I634, LEN(I634) - FIND("!", I634) - 1))</f>
        <v xml:space="preserve">
No answer required
Value ascribed (£)
</v>
      </c>
      <c r="D634" s="92" t="str">
        <f t="shared" ca="1" si="88"/>
        <v/>
      </c>
      <c r="E634" s="708" t="str" cm="1">
        <f t="array" aca="1" ref="E634" ca="1">IF(INDIRECT($I634)= "", "", INDIRECT($I634))</f>
        <v/>
      </c>
      <c r="F634" s="709" t="str" cm="1">
        <f t="array" aca="1" ref="F634" ca="1">INDIRECT(LEFT(I634, FIND("!", I634)) &amp; RefData!$C$427 &amp; RIGHT(I634, LEN(I634) - FIND("!", I634) - 1))</f>
        <v>GTE 17.0/3</v>
      </c>
      <c r="G634" s="710" t="b">
        <f ca="1">IF(ISNUMBER(SEARCH(RefData!$B$2, $C634)), FALSE, TRUE)</f>
        <v>0</v>
      </c>
      <c r="H634" s="344">
        <f>Guarantees!C91</f>
        <v>0</v>
      </c>
      <c r="I634" s="712" t="str">
        <f t="shared" ca="1" si="79"/>
        <v>Guarantees!C91</v>
      </c>
      <c r="J634" s="713" t="b" cm="1">
        <f t="array" aca="1" ref="J634" ca="1">IF(
    ISNUMBER(SEARCH(RefData!$B$2, $C$474)),
    IF(
        $E634 &lt;&gt; "",
        $J$474,
        IF(
            $E634 = "",
            FALSE
        )
    ),
    IF(
        COUNTIF($K634:$T634, "&lt;&gt;FALSE") - COUNTBLANK($K634:$T634) &gt; 0,
        INDEX($K634:$T634, MATCH(TRUE, $K634:$T634 &lt;&gt; FALSE, 0))
    )
)</f>
        <v>0</v>
      </c>
      <c r="K634" s="712" t="b">
        <f ca="1">IF(AND('Covenant summary information'!$C$83=0,'Reconciliation report'!$E634&lt;&gt;""),ErrorMsgs!$B634)</f>
        <v>0</v>
      </c>
      <c r="L634" s="712" t="b">
        <f ca="1">IF(AND('Covenant summary information'!$C$83&lt;3,'Reconciliation report'!$E634&lt;&gt;""),ErrorMsgs!$C634)</f>
        <v>0</v>
      </c>
      <c r="M634" s="712" t="b">
        <f ca="1">IF(AND('Covenant summary information'!$C$83&gt;=3,'Reconciliation report'!$E634=""),ErrorMsgs!$D634)</f>
        <v>0</v>
      </c>
      <c r="N634" s="712" t="b">
        <f ca="1">IF($E634="",FALSE,IF(ISERROR(VALUE($E634)),ErrorMsgs!$D634,IF(OR(VALUE($E634)-ROUND(VALUE($E634),2)&lt;&gt;0,VALUE($E634)&lt;0,VALUE($E634)&gt;=1000000000000),ErrorMsgs!$E634)))</f>
        <v>0</v>
      </c>
      <c r="O634" s="712"/>
      <c r="P634" s="712"/>
      <c r="Q634" s="712"/>
      <c r="R634" s="712"/>
      <c r="S634" s="712"/>
      <c r="T634" s="712"/>
      <c r="U634" s="526" t="str">
        <f t="shared" ca="1" si="84"/>
        <v/>
      </c>
      <c r="V634" s="93" t="str" cm="1">
        <f t="array" aca="1" ref="V634" ca="1">CELL("format",INDIRECT(I634))</f>
        <v>C2</v>
      </c>
      <c r="W634" s="93" t="b">
        <f t="shared" ca="1" si="85"/>
        <v>0</v>
      </c>
      <c r="X634" s="715" t="str">
        <f t="shared" ca="1" si="83"/>
        <v/>
      </c>
      <c r="Y634" t="b">
        <f t="shared" ca="1" si="86"/>
        <v>1</v>
      </c>
    </row>
    <row r="635" spans="1:25" ht="77.5">
      <c r="A635" s="705" t="s">
        <v>898</v>
      </c>
      <c r="B635" s="716" t="str">
        <f t="shared" ca="1" si="78"/>
        <v>Guarantees - C92</v>
      </c>
      <c r="C635" s="707" t="str" cm="1">
        <f t="array" aca="1" ref="C635" ca="1">INDIRECT(LEFT(I635, FIND("!", I635)) &amp; RefData!$C$426 &amp; RIGHT(I635, LEN(I635) - FIND("!", I635) - 1))</f>
        <v xml:space="preserve">
No answer required
Date of valuation
</v>
      </c>
      <c r="D635" s="92" t="str">
        <f t="shared" ca="1" si="88"/>
        <v/>
      </c>
      <c r="E635" s="708" t="str" cm="1">
        <f t="array" aca="1" ref="E635" ca="1">IF(INDIRECT($I635)= "", "", INDIRECT($I635))</f>
        <v/>
      </c>
      <c r="F635" s="709" t="str" cm="1">
        <f t="array" aca="1" ref="F635" ca="1">INDIRECT(LEFT(I635, FIND("!", I635)) &amp; RefData!$C$427 &amp; RIGHT(I635, LEN(I635) - FIND("!", I635) - 1))</f>
        <v>GTE 18.0/3</v>
      </c>
      <c r="G635" s="710" t="b">
        <f ca="1">IF(ISNUMBER(SEARCH(RefData!$B$2, $C635)), FALSE, TRUE)</f>
        <v>0</v>
      </c>
      <c r="H635" s="344">
        <f>Guarantees!C92</f>
        <v>0</v>
      </c>
      <c r="I635" s="712" t="str">
        <f t="shared" ca="1" si="79"/>
        <v>Guarantees!C92</v>
      </c>
      <c r="J635" s="713" t="b" cm="1">
        <f t="array" aca="1" ref="J635" ca="1">IF(
    ISNUMBER(SEARCH(RefData!$B$2, $C$474)),
    IF(
        $E635 &lt;&gt; "",
        $J$474,
        IF(
            $E635 = "",
            FALSE
        )
    ),
    IF(
        COUNTIF($K635:$T635, "&lt;&gt;FALSE") - COUNTBLANK($K635:$T635) &gt; 0,
        INDEX($K635:$T635, MATCH(TRUE, $K635:$T635 &lt;&gt; FALSE, 0))
    )
)</f>
        <v>0</v>
      </c>
      <c r="K635" s="712" t="b">
        <f ca="1">IF(AND('Covenant summary information'!$C$83=0,'Reconciliation report'!$E635&lt;&gt;""),ErrorMsgs!$B635)</f>
        <v>0</v>
      </c>
      <c r="L635" s="712" t="b">
        <f ca="1">IF(AND('Covenant summary information'!$C$83&lt;3,'Reconciliation report'!$E635&lt;&gt;""),ErrorMsgs!$C635)</f>
        <v>0</v>
      </c>
      <c r="M635" s="712" t="b">
        <f ca="1">IF(AND('Covenant summary information'!$C$83&gt;=3,'Reconciliation report'!$E635=""),ErrorMsgs!$D635)</f>
        <v>0</v>
      </c>
      <c r="N635" s="712" t="b">
        <f ca="1">IF(AND($E635&lt;&gt;"",NOT(ISNUMBER($E635))),ErrorMsgs!$E635)</f>
        <v>0</v>
      </c>
      <c r="O635" s="712" t="b">
        <f ca="1">IF($E635="",FALSE,IF(ISERROR(VALUE($E635)),ErrorMsgs!$F635,IF(VALUE($E635)&gt;TODAY(),ErrorMsgs!$F635)))</f>
        <v>0</v>
      </c>
      <c r="P635" s="712"/>
      <c r="Q635" s="712"/>
      <c r="R635" s="712"/>
      <c r="S635" s="712"/>
      <c r="T635" s="712"/>
      <c r="U635" s="526" t="str">
        <f t="shared" ca="1" si="84"/>
        <v/>
      </c>
      <c r="V635" s="93" t="str" cm="1">
        <f t="array" aca="1" ref="V635" ca="1">CELL("format",INDIRECT(I635))</f>
        <v>D1</v>
      </c>
      <c r="W635" s="93" t="b">
        <f t="shared" ca="1" si="85"/>
        <v>0</v>
      </c>
      <c r="X635" s="715" t="str">
        <f t="shared" ca="1" si="83"/>
        <v/>
      </c>
      <c r="Y635" t="b">
        <f t="shared" ca="1" si="86"/>
        <v>1</v>
      </c>
    </row>
    <row r="636" spans="1:25" ht="77.5">
      <c r="A636" s="705" t="s">
        <v>900</v>
      </c>
      <c r="B636" s="716" t="str">
        <f t="shared" ca="1" si="78"/>
        <v>Guarantees - C93</v>
      </c>
      <c r="C636" s="707" t="str" cm="1">
        <f t="array" aca="1" ref="C636" ca="1">INDIRECT(LEFT(I636, FIND("!", I636)) &amp; RefData!$C$426 &amp; RIGHT(I636, LEN(I636) - FIND("!", I636) - 1))</f>
        <v xml:space="preserve">
No answer required
Value cap
</v>
      </c>
      <c r="D636" s="92" t="str">
        <f t="shared" ca="1" si="88"/>
        <v/>
      </c>
      <c r="E636" s="708" t="str" cm="1">
        <f t="array" aca="1" ref="E636" ca="1">IF(INDIRECT($I636)= "", "", INDIRECT($I636))</f>
        <v/>
      </c>
      <c r="F636" s="709" t="str" cm="1">
        <f t="array" aca="1" ref="F636" ca="1">INDIRECT(LEFT(I636, FIND("!", I636)) &amp; RefData!$C$427 &amp; RIGHT(I636, LEN(I636) - FIND("!", I636) - 1))</f>
        <v>GTE 19.0/3</v>
      </c>
      <c r="G636" s="710" t="b">
        <f ca="1">IF(ISNUMBER(SEARCH(RefData!$B$2, $C636)), FALSE, TRUE)</f>
        <v>0</v>
      </c>
      <c r="H636" s="344">
        <f>Guarantees!C93</f>
        <v>0</v>
      </c>
      <c r="I636" s="712" t="str">
        <f t="shared" ca="1" si="79"/>
        <v>Guarantees!C93</v>
      </c>
      <c r="J636" s="713" t="b" cm="1">
        <f t="array" aca="1" ref="J636" ca="1">IF(
    ISNUMBER(SEARCH(RefData!$B$2, $C$474)),
    IF(
        $E636 &lt;&gt; "",
        $J$474,
        IF(
            $E636 = "",
            FALSE
        )
    ),
    IF(
        COUNTIF($K636:$T636, "&lt;&gt;FALSE") - COUNTBLANK($K636:$T636) &gt; 0,
        INDEX($K636:$T636, MATCH(TRUE, $K636:$T636 &lt;&gt; FALSE, 0))
    )
)</f>
        <v>0</v>
      </c>
      <c r="K636" s="712" t="b">
        <f ca="1">IF(AND('Start here'!$C$26=RefData!$B$9,'Reconciliation report'!$E636&lt;&gt;""),ErrorMsgs!$B636)</f>
        <v>0</v>
      </c>
      <c r="L636" s="712" t="b">
        <f ca="1">IF(AND('Start here'!$C$26=RefData!$B$10,'Covenant summary information'!$C$83=0,'Reconciliation report'!$E636&lt;&gt;""),ErrorMsgs!$C636)</f>
        <v>0</v>
      </c>
      <c r="M636" s="712" t="b">
        <f ca="1">IF(AND('Start here'!$C$26=RefData!$B$10,'Covenant summary information'!$C$83&lt;3,'Reconciliation report'!$E636&lt;&gt;""),ErrorMsgs!$D636)</f>
        <v>0</v>
      </c>
      <c r="N636" s="712" t="b">
        <f ca="1">IF(AND('Start here'!$C$26=RefData!$B$10,'Covenant summary information'!$C$83&gt;=3,'Reconciliation report'!$E636=""),ErrorMsgs!$E636)</f>
        <v>0</v>
      </c>
      <c r="O636" s="712" t="b">
        <f ca="1">IF(AND($E636&lt;&gt;"",ISNA(MATCH($E636,RefData!$B$133:$B$139,0))),ErrorMsgs!$F636)</f>
        <v>0</v>
      </c>
      <c r="P636" s="712"/>
      <c r="Q636" s="712"/>
      <c r="R636" s="712"/>
      <c r="S636" s="712"/>
      <c r="T636" s="712"/>
      <c r="U636" s="526" t="str">
        <f t="shared" ca="1" si="84"/>
        <v/>
      </c>
      <c r="V636" s="93" t="str" cm="1">
        <f t="array" aca="1" ref="V636" ca="1">CELL("format",INDIRECT(I636))</f>
        <v>G</v>
      </c>
      <c r="W636" s="93" t="b">
        <f t="shared" ca="1" si="85"/>
        <v>0</v>
      </c>
      <c r="X636" s="715" t="str">
        <f t="shared" ca="1" si="83"/>
        <v/>
      </c>
      <c r="Y636" t="b">
        <f t="shared" ca="1" si="86"/>
        <v>1</v>
      </c>
    </row>
    <row r="637" spans="1:25" ht="77.5">
      <c r="A637" s="705" t="s">
        <v>902</v>
      </c>
      <c r="B637" s="716" t="str">
        <f t="shared" ca="1" si="78"/>
        <v>Guarantees - C94</v>
      </c>
      <c r="C637" s="707" t="str" cm="1">
        <f t="array" aca="1" ref="C637" ca="1">INDIRECT(LEFT(I637, FIND("!", I637)) &amp; RefData!$C$426 &amp; RIGHT(I637, LEN(I637) - FIND("!", I637) - 1))</f>
        <v xml:space="preserve">
No answer required
Narrative regarding value cap
</v>
      </c>
      <c r="D637" s="92" t="str">
        <f t="shared" ca="1" si="88"/>
        <v/>
      </c>
      <c r="E637" s="708" t="str" cm="1">
        <f t="array" aca="1" ref="E637" ca="1">IF(INDIRECT($I637)= "", "", INDIRECT($I637))</f>
        <v/>
      </c>
      <c r="F637" s="709" t="str" cm="1">
        <f t="array" aca="1" ref="F637" ca="1">INDIRECT(LEFT(I637, FIND("!", I637)) &amp; RefData!$C$427 &amp; RIGHT(I637, LEN(I637) - FIND("!", I637) - 1))</f>
        <v>GTE 20.0/3</v>
      </c>
      <c r="G637" s="710" t="b">
        <f ca="1">IF(ISNUMBER(SEARCH(RefData!$B$2, $C637)), FALSE, TRUE)</f>
        <v>0</v>
      </c>
      <c r="H637" s="344">
        <f>Guarantees!C94</f>
        <v>0</v>
      </c>
      <c r="I637" s="712" t="str">
        <f t="shared" ca="1" si="79"/>
        <v>Guarantees!C94</v>
      </c>
      <c r="J637" s="713" t="b" cm="1">
        <f t="array" aca="1" ref="J637" ca="1">IF(
    ISNUMBER(SEARCH(RefData!$B$2, $C$474)),
    IF(
        $E637 &lt;&gt; "",
        $J$474,
        IF(
            $E637 = "",
            FALSE
        )
    ),
    IF(
        COUNTIF($K637:$T637, "&lt;&gt;FALSE") - COUNTBLANK($K637:$T637) &gt; 0,
        INDEX($K637:$T637, MATCH(TRUE, $K637:$T637 &lt;&gt; FALSE, 0))
    )
)</f>
        <v>0</v>
      </c>
      <c r="K637" s="712" t="b">
        <f ca="1">IF(AND('Start here'!$C$26=RefData!$B$9,'Reconciliation report'!$E637&lt;&gt;""),ErrorMsgs!$B637)</f>
        <v>0</v>
      </c>
      <c r="L637" s="712" t="b">
        <f ca="1">IF(AND('Start here'!$C$26=RefData!$B$10,'Covenant summary information'!$C$83=0,'Reconciliation report'!$E637&lt;&gt;""),ErrorMsgs!$C637)</f>
        <v>0</v>
      </c>
      <c r="M637" s="712" t="b">
        <f ca="1">IF(AND('Start here'!$C$26=RefData!$B$10,'Covenant summary information'!$C$83&lt;3,'Reconciliation report'!$E637&lt;&gt;""),ErrorMsgs!$D637)</f>
        <v>0</v>
      </c>
      <c r="N637" s="712" t="b">
        <f ca="1">IF(AND('Start here'!$C$26=RefData!$B$10,'Covenant summary information'!$C$83&gt;=3,NOT(Guarantees!$C$93=RefData!$B$139),'Reconciliation report'!$E637&lt;&gt;""),ErrorMsgs!$E637)</f>
        <v>0</v>
      </c>
      <c r="O637" s="712" t="b">
        <f ca="1">IF(AND('Start here'!$C$26=RefData!$B$10,'Covenant summary information'!$C$83&gt;=3,Guarantees!$C$93=RefData!$B$139,'Reconciliation report'!$E637=""),ErrorMsgs!$F637)</f>
        <v>0</v>
      </c>
      <c r="P637" s="712" t="b">
        <f ca="1">IF(LEN($E637)&gt;4000,ErrorMsgs!$G637)</f>
        <v>0</v>
      </c>
      <c r="Q637" s="712"/>
      <c r="R637" s="712"/>
      <c r="S637" s="712"/>
      <c r="T637" s="712"/>
      <c r="U637" s="526" t="str">
        <f t="shared" ca="1" si="84"/>
        <v/>
      </c>
      <c r="V637" s="93" t="str" cm="1">
        <f t="array" aca="1" ref="V637" ca="1">CELL("format",INDIRECT(I637))</f>
        <v>G</v>
      </c>
      <c r="W637" s="93" t="b">
        <f t="shared" ca="1" si="85"/>
        <v>0</v>
      </c>
      <c r="X637" s="715" t="str">
        <f t="shared" ca="1" si="83"/>
        <v/>
      </c>
      <c r="Y637" t="b">
        <f t="shared" ca="1" si="86"/>
        <v>1</v>
      </c>
    </row>
    <row r="638" spans="1:25" ht="77.5">
      <c r="A638" s="705" t="s">
        <v>904</v>
      </c>
      <c r="B638" s="716" t="str">
        <f ca="1">HYPERLINK("#" &amp; $I638, SUBSTITUTE(SUBSTITUTE($I638, "!", " - "), "'",""))</f>
        <v>Guarantees - C95</v>
      </c>
      <c r="C638" s="707" t="str" cm="1">
        <f t="array" aca="1" ref="C638" ca="1">INDIRECT(LEFT(I638, FIND("!", I638)) &amp; RefData!$C$426 &amp; RIGHT(I638, LEN(I638) - FIND("!", I638) - 1))</f>
        <v xml:space="preserve">
No answer required
Fixed cap amount (£)
</v>
      </c>
      <c r="D638" s="92" t="str">
        <f ca="1">""&amp;IF(J638=FALSE, "", J638)
&amp;""</f>
        <v/>
      </c>
      <c r="E638" s="708" t="str" cm="1">
        <f t="array" aca="1" ref="E638" ca="1">IF(INDIRECT($I638)= "", "", INDIRECT($I638))</f>
        <v/>
      </c>
      <c r="F638" s="709" t="str" cm="1">
        <f t="array" aca="1" ref="F638" ca="1">INDIRECT(LEFT(I638, FIND("!", I638)) &amp; RefData!$C$427 &amp; RIGHT(I638, LEN(I638) - FIND("!", I638) - 1))</f>
        <v>GTE 21.0/3</v>
      </c>
      <c r="G638" s="710" t="b">
        <f ca="1">IF(ISNUMBER(SEARCH(RefData!$B$2, $C638)), FALSE, TRUE)</f>
        <v>0</v>
      </c>
      <c r="H638" s="344">
        <f>Guarantees!C95</f>
        <v>0</v>
      </c>
      <c r="I638" s="712" t="str">
        <f ca="1">SUBSTITUTE(_xlfn.FORMULATEXT($H638), "=", "")</f>
        <v>Guarantees!C95</v>
      </c>
      <c r="J638" s="713" t="b" cm="1">
        <f t="array" aca="1" ref="J638" ca="1">IF(
    ISNUMBER(SEARCH(RefData!$B$2, $C$474)),
    IF(
        $E638 &lt;&gt; "",
        $J$474,
        IF(
            $E638 = "",
            FALSE
        )
    ),
    IF(
        COUNTIF($K638:$T638, "&lt;&gt;FALSE") - COUNTBLANK($K638:$T638) &gt; 0,
        INDEX($K638:$T638, MATCH(TRUE, $K638:$T638 &lt;&gt; FALSE, 0))
    )
)</f>
        <v>0</v>
      </c>
      <c r="K638" s="712" t="b">
        <f ca="1">IF(AND('Start here'!$C$26=RefData!$B$9,'Reconciliation report'!$E638&lt;&gt;""),ErrorMsgs!$B638)</f>
        <v>0</v>
      </c>
      <c r="L638" s="712" t="b">
        <f ca="1">IF(AND('Start here'!$C$26=RefData!$B$10,'Covenant summary information'!$C$83=0,'Reconciliation report'!$E638&lt;&gt;""),ErrorMsgs!$C638)</f>
        <v>0</v>
      </c>
      <c r="M638" s="712" t="b">
        <f ca="1">IF(AND('Start here'!$C$26=RefData!$B$10,'Covenant summary information'!$C$83&lt;3,'Reconciliation report'!$E638&lt;&gt;""),ErrorMsgs!$D638)</f>
        <v>0</v>
      </c>
      <c r="N638" s="712" t="b">
        <f ca="1">IF(AND('Start here'!$C$26=RefData!$B$10,'Covenant summary information'!$C$83&gt;=3,NOT(Guarantees!$C$93=RefData!$B$138),'Reconciliation report'!$E638&lt;&gt;""),ErrorMsgs!$E638)</f>
        <v>0</v>
      </c>
      <c r="O638" s="712" t="b">
        <f ca="1">IF(AND('Start here'!$C$26=RefData!$B$10,'Covenant summary information'!$C$83&gt;2,Guarantees!$C$93=RefData!$B$138,'Reconciliation report'!$E638=""),ErrorMsgs!$F638)</f>
        <v>0</v>
      </c>
      <c r="P638" s="712" t="b">
        <f ca="1">IF($E638="",FALSE,IF(ISERROR(VALUE($E638)),ErrorMsgs!G638,IF(OR(VALUE($E638)&lt;0,VALUE($E638)&gt;=1000000000000,VALUE($E638)-ROUND(VALUE($E638),2)&lt;&gt;0),ErrorMsgs!G638)))</f>
        <v>0</v>
      </c>
      <c r="Q638" s="712"/>
      <c r="R638" s="712"/>
      <c r="S638" s="712"/>
      <c r="T638" s="712"/>
      <c r="U638" s="526" t="str">
        <f t="shared" ca="1" si="84"/>
        <v/>
      </c>
      <c r="V638" s="93" t="str" cm="1">
        <f t="array" aca="1" ref="V638" ca="1">CELL("format",INDIRECT(I638))</f>
        <v>C2</v>
      </c>
      <c r="W638" s="93" t="b">
        <f t="shared" ca="1" si="85"/>
        <v>0</v>
      </c>
      <c r="X638" s="715" t="str">
        <f t="shared" ca="1" si="83"/>
        <v/>
      </c>
      <c r="Y638" t="b">
        <f t="shared" ca="1" si="86"/>
        <v>1</v>
      </c>
    </row>
    <row r="639" spans="1:25" ht="46.5">
      <c r="A639" s="705" t="s">
        <v>907</v>
      </c>
      <c r="B639" s="716" t="str">
        <f t="shared" ca="1" si="78"/>
        <v>Guarantees - C99</v>
      </c>
      <c r="C639" s="707" t="str" cm="1">
        <f t="array" aca="1" ref="C639" ca="1">INDIRECT(LEFT(I639, FIND("!", I639)) &amp; RefData!$C$426 &amp; RIGHT(I639, LEN(I639) - FIND("!", I639) - 1))</f>
        <v xml:space="preserve">
Participating employer insolvency
</v>
      </c>
      <c r="D639" s="92" t="str">
        <f t="shared" ref="D639:D665" ca="1" si="89">""&amp;IF(J639=FALSE, "", J639)
&amp;""</f>
        <v/>
      </c>
      <c r="E639" s="708" t="str" cm="1">
        <f t="array" aca="1" ref="E639" ca="1">IF(INDIRECT($I639)= "", "", INDIRECT($I639))</f>
        <v/>
      </c>
      <c r="F639" s="709" t="str" cm="1">
        <f t="array" aca="1" ref="F639" ca="1">INDIRECT(LEFT(I639, FIND("!", I639)) &amp; RefData!$C$427 &amp; RIGHT(I639, LEN(I639) - FIND("!", I639) - 1))</f>
        <v>GTE 22.0/3</v>
      </c>
      <c r="G639" s="710" t="b">
        <f ca="1">IF(ISNUMBER(SEARCH(RefData!$B$2, $C639)), FALSE, TRUE)</f>
        <v>1</v>
      </c>
      <c r="H639" s="344">
        <f>Guarantees!C99</f>
        <v>0</v>
      </c>
      <c r="I639" s="712" t="str">
        <f t="shared" ca="1" si="79"/>
        <v>Guarantees!C99</v>
      </c>
      <c r="J639" s="713" t="b" cm="1">
        <f t="array" aca="1" ref="J639" ca="1">IF(
    ISNUMBER(SEARCH(RefData!$B$2, $C$474)),
    IF(
        $E639 &lt;&gt; "",
        $J$474,
        IF(
            $E639 = "",
            FALSE
        )
    ),
    IF(
        COUNTIF($K639:$T639, "&lt;&gt;FALSE") - COUNTBLANK($K639:$T639) &gt; 0,
        INDEX($K639:$T639, MATCH(TRUE, $K639:$T639 &lt;&gt; FALSE, 0))
    )
)</f>
        <v>0</v>
      </c>
      <c r="K639" s="712" t="b">
        <f ca="1">IF(AND('Start here'!$C$26=RefData!$B$9,'Reconciliation report'!$E639&lt;&gt;""),ErrorMsgs!$B639)</f>
        <v>0</v>
      </c>
      <c r="L639" s="712" t="b">
        <f ca="1">IF(AND('Start here'!$C$26=RefData!$B$10,'Covenant summary information'!$C$83=0,'Reconciliation report'!$E639&lt;&gt;""),ErrorMsgs!$C639)</f>
        <v>0</v>
      </c>
      <c r="M639" s="712" t="b">
        <f ca="1">IF(AND('Start here'!$C$26=RefData!$B$10,'Covenant summary information'!$C$83&lt;3,'Reconciliation report'!$E639&lt;&gt;""),ErrorMsgs!$D639)</f>
        <v>0</v>
      </c>
      <c r="N639" s="712" t="b">
        <f ca="1">IF(AND('Start here'!$C$26=RefData!$B$10,'Covenant summary information'!$C$83&gt;=3,'Reconciliation report'!$E639=""),ErrorMsgs!$E639)</f>
        <v>0</v>
      </c>
      <c r="O639" s="712" t="b">
        <f ca="1">IF(AND($E639&lt;&gt;"",ISNA(MATCH($E639,RefData!$B$140:$B$141,0))),ErrorMsgs!$E639)</f>
        <v>0</v>
      </c>
      <c r="P639" s="712"/>
      <c r="Q639" s="712"/>
      <c r="R639" s="712"/>
      <c r="S639" s="712"/>
      <c r="T639" s="712"/>
      <c r="U639" s="526" t="str">
        <f t="shared" ca="1" si="84"/>
        <v/>
      </c>
      <c r="V639" s="93" t="str" cm="1">
        <f t="array" aca="1" ref="V639" ca="1">CELL("format",INDIRECT(I639))</f>
        <v>G</v>
      </c>
      <c r="W639" s="93" t="b">
        <f t="shared" ca="1" si="85"/>
        <v>0</v>
      </c>
      <c r="X639" s="715" t="str">
        <f t="shared" ca="1" si="83"/>
        <v/>
      </c>
      <c r="Y639" t="b">
        <f t="shared" ca="1" si="86"/>
        <v>1</v>
      </c>
    </row>
    <row r="640" spans="1:25" ht="46.5">
      <c r="A640" s="705" t="s">
        <v>909</v>
      </c>
      <c r="B640" s="716" t="str">
        <f t="shared" ca="1" si="78"/>
        <v>Guarantees - C100</v>
      </c>
      <c r="C640" s="707" t="str" cm="1">
        <f t="array" aca="1" ref="C640" ca="1">INDIRECT(LEFT(I640, FIND("!", I640)) &amp; RefData!$C$426 &amp; RIGHT(I640, LEN(I640) - FIND("!", I640) - 1))</f>
        <v xml:space="preserve">
Insolvency of associated company
</v>
      </c>
      <c r="D640" s="92" t="str">
        <f t="shared" ca="1" si="89"/>
        <v/>
      </c>
      <c r="E640" s="708" t="str" cm="1">
        <f t="array" aca="1" ref="E640" ca="1">IF(INDIRECT($I640)= "", "", INDIRECT($I640))</f>
        <v/>
      </c>
      <c r="F640" s="709" t="str" cm="1">
        <f t="array" aca="1" ref="F640" ca="1">INDIRECT(LEFT(I640, FIND("!", I640)) &amp; RefData!$C$427 &amp; RIGHT(I640, LEN(I640) - FIND("!", I640) - 1))</f>
        <v>GTE 23.0/3</v>
      </c>
      <c r="G640" s="710" t="b">
        <f ca="1">IF(ISNUMBER(SEARCH(RefData!$B$2, $C640)), FALSE, TRUE)</f>
        <v>1</v>
      </c>
      <c r="H640" s="344">
        <f>Guarantees!C100</f>
        <v>0</v>
      </c>
      <c r="I640" s="712" t="str">
        <f t="shared" ca="1" si="79"/>
        <v>Guarantees!C100</v>
      </c>
      <c r="J640" s="713" t="b" cm="1">
        <f t="array" aca="1" ref="J640" ca="1">IF(
    ISNUMBER(SEARCH(RefData!$B$2, $C$474)),
    IF(
        $E640 &lt;&gt; "",
        $J$474,
        IF(
            $E640 = "",
            FALSE
        )
    ),
    IF(
        COUNTIF($K640:$T640, "&lt;&gt;FALSE") - COUNTBLANK($K640:$T640) &gt; 0,
        INDEX($K640:$T640, MATCH(TRUE, $K640:$T640 &lt;&gt; FALSE, 0))
    )
)</f>
        <v>0</v>
      </c>
      <c r="K640" s="712" t="b">
        <f ca="1">IF(AND('Start here'!$C$26=RefData!$B$9,'Reconciliation report'!$E640&lt;&gt;""),ErrorMsgs!$B640)</f>
        <v>0</v>
      </c>
      <c r="L640" s="712" t="b">
        <f ca="1">IF(AND('Start here'!$C$26=RefData!$B$10,'Covenant summary information'!$C$83=0,'Reconciliation report'!$E640&lt;&gt;""),ErrorMsgs!$C640)</f>
        <v>0</v>
      </c>
      <c r="M640" s="712" t="b">
        <f ca="1">IF(AND('Start here'!$C$26=RefData!$B$10,'Covenant summary information'!$C$83&lt;3,'Reconciliation report'!$E640&lt;&gt;""),ErrorMsgs!$D640)</f>
        <v>0</v>
      </c>
      <c r="N640" s="712" t="b">
        <f ca="1">IF(AND('Start here'!$C$26=RefData!$B$10,'Covenant summary information'!$C$83&gt;=3,'Reconciliation report'!$E640=""),ErrorMsgs!$E640)</f>
        <v>0</v>
      </c>
      <c r="O640" s="712" t="b">
        <f ca="1">IF(AND($E640&lt;&gt;"",ISNA(MATCH($E640,RefData!$B$140:$B$141,0))),ErrorMsgs!$F640)</f>
        <v>0</v>
      </c>
      <c r="P640" s="712"/>
      <c r="Q640" s="712"/>
      <c r="R640" s="712"/>
      <c r="S640" s="712"/>
      <c r="T640" s="712"/>
      <c r="U640" s="526" t="str">
        <f t="shared" ca="1" si="84"/>
        <v/>
      </c>
      <c r="V640" s="93" t="str" cm="1">
        <f t="array" aca="1" ref="V640" ca="1">CELL("format",INDIRECT(I640))</f>
        <v>G</v>
      </c>
      <c r="W640" s="93" t="b">
        <f t="shared" ca="1" si="85"/>
        <v>0</v>
      </c>
      <c r="X640" s="715" t="str">
        <f t="shared" ca="1" si="83"/>
        <v/>
      </c>
      <c r="Y640" t="b">
        <f t="shared" ca="1" si="86"/>
        <v>1</v>
      </c>
    </row>
    <row r="641" spans="1:25" ht="46.5">
      <c r="A641" s="705" t="s">
        <v>911</v>
      </c>
      <c r="B641" s="716" t="str">
        <f t="shared" ca="1" si="78"/>
        <v>Guarantees - C101</v>
      </c>
      <c r="C641" s="707" t="str" cm="1">
        <f t="array" aca="1" ref="C641" ca="1">INDIRECT(LEFT(I641, FIND("!", I641)) &amp; RefData!$C$426 &amp; RIGHT(I641, LEN(I641) - FIND("!", I641) - 1))</f>
        <v xml:space="preserve">
Non payment of contributions
</v>
      </c>
      <c r="D641" s="92" t="str">
        <f t="shared" ca="1" si="89"/>
        <v/>
      </c>
      <c r="E641" s="708" t="str" cm="1">
        <f t="array" aca="1" ref="E641" ca="1">IF(INDIRECT($I641)= "", "", INDIRECT($I641))</f>
        <v/>
      </c>
      <c r="F641" s="709" t="str" cm="1">
        <f t="array" aca="1" ref="F641" ca="1">INDIRECT(LEFT(I641, FIND("!", I641)) &amp; RefData!$C$427 &amp; RIGHT(I641, LEN(I641) - FIND("!", I641) - 1))</f>
        <v>GTE 24.0/3</v>
      </c>
      <c r="G641" s="710" t="b">
        <f ca="1">IF(ISNUMBER(SEARCH(RefData!$B$2, $C641)), FALSE, TRUE)</f>
        <v>1</v>
      </c>
      <c r="H641" s="344">
        <f>Guarantees!C101</f>
        <v>0</v>
      </c>
      <c r="I641" s="712" t="str">
        <f t="shared" ca="1" si="79"/>
        <v>Guarantees!C101</v>
      </c>
      <c r="J641" s="713" t="b" cm="1">
        <f t="array" aca="1" ref="J641" ca="1">IF(
    ISNUMBER(SEARCH(RefData!$B$2, $C$474)),
    IF(
        $E641 &lt;&gt; "",
        $J$474,
        IF(
            $E641 = "",
            FALSE
        )
    ),
    IF(
        COUNTIF($K641:$T641, "&lt;&gt;FALSE") - COUNTBLANK($K641:$T641) &gt; 0,
        INDEX($K641:$T641, MATCH(TRUE, $K641:$T641 &lt;&gt; FALSE, 0))
    )
)</f>
        <v>0</v>
      </c>
      <c r="K641" s="712" t="b">
        <f ca="1">IF(AND('Start here'!$C$26=RefData!$B$9,'Reconciliation report'!$E641&lt;&gt;""),ErrorMsgs!$B641)</f>
        <v>0</v>
      </c>
      <c r="L641" s="712" t="b">
        <f ca="1">IF(AND('Start here'!$C$26=RefData!$B$10,'Covenant summary information'!$C$83=0,'Reconciliation report'!$E641&lt;&gt;""),ErrorMsgs!$C641)</f>
        <v>0</v>
      </c>
      <c r="M641" s="712" t="b">
        <f ca="1">IF(AND('Start here'!$C$26=RefData!$B$10,'Covenant summary information'!$C$83&lt;3,'Reconciliation report'!$E641&lt;&gt;""),ErrorMsgs!$D641)</f>
        <v>0</v>
      </c>
      <c r="N641" s="712" t="b">
        <f ca="1">IF(AND('Start here'!$C$26=RefData!$B$10,'Covenant summary information'!$C$83&gt;=3,'Reconciliation report'!$E641=""),ErrorMsgs!$E641)</f>
        <v>0</v>
      </c>
      <c r="O641" s="712" t="b">
        <f ca="1">IF(AND($E641&lt;&gt;"",ISNA(MATCH($E641,RefData!$B$140:$B$141,0))),ErrorMsgs!$F641)</f>
        <v>0</v>
      </c>
      <c r="P641" s="712"/>
      <c r="Q641" s="712"/>
      <c r="R641" s="712"/>
      <c r="S641" s="712"/>
      <c r="T641" s="712"/>
      <c r="U641" s="526" t="str">
        <f t="shared" ca="1" si="84"/>
        <v/>
      </c>
      <c r="V641" s="93" t="str" cm="1">
        <f t="array" aca="1" ref="V641" ca="1">CELL("format",INDIRECT(I641))</f>
        <v>G</v>
      </c>
      <c r="W641" s="93" t="b">
        <f t="shared" ca="1" si="85"/>
        <v>0</v>
      </c>
      <c r="X641" s="715" t="str">
        <f t="shared" ca="1" si="83"/>
        <v/>
      </c>
      <c r="Y641" t="b">
        <f t="shared" ca="1" si="86"/>
        <v>1</v>
      </c>
    </row>
    <row r="642" spans="1:25" ht="46.5">
      <c r="A642" s="705" t="s">
        <v>913</v>
      </c>
      <c r="B642" s="716" t="str">
        <f t="shared" ca="1" si="78"/>
        <v>Guarantees - C102</v>
      </c>
      <c r="C642" s="707" t="str" cm="1">
        <f t="array" aca="1" ref="C642" ca="1">INDIRECT(LEFT(I642, FIND("!", I642)) &amp; RefData!$C$426 &amp; RIGHT(I642, LEN(I642) - FIND("!", I642) - 1))</f>
        <v xml:space="preserve">
Crystallisation of investment risk
</v>
      </c>
      <c r="D642" s="92" t="str">
        <f t="shared" ca="1" si="89"/>
        <v/>
      </c>
      <c r="E642" s="708" t="str" cm="1">
        <f t="array" aca="1" ref="E642" ca="1">IF(INDIRECT($I642)= "", "", INDIRECT($I642))</f>
        <v/>
      </c>
      <c r="F642" s="709" t="str" cm="1">
        <f t="array" aca="1" ref="F642" ca="1">INDIRECT(LEFT(I642, FIND("!", I642)) &amp; RefData!$C$427 &amp; RIGHT(I642, LEN(I642) - FIND("!", I642) - 1))</f>
        <v>GTE 25.0/3</v>
      </c>
      <c r="G642" s="710" t="b">
        <f ca="1">IF(ISNUMBER(SEARCH(RefData!$B$2, $C642)), FALSE, TRUE)</f>
        <v>1</v>
      </c>
      <c r="H642" s="344">
        <f>Guarantees!C102</f>
        <v>0</v>
      </c>
      <c r="I642" s="712" t="str">
        <f t="shared" ca="1" si="79"/>
        <v>Guarantees!C102</v>
      </c>
      <c r="J642" s="713" t="b" cm="1">
        <f t="array" aca="1" ref="J642" ca="1">IF(
    ISNUMBER(SEARCH(RefData!$B$2, $C$474)),
    IF(
        $E642 &lt;&gt; "",
        $J$474,
        IF(
            $E642 = "",
            FALSE
        )
    ),
    IF(
        COUNTIF($K642:$T642, "&lt;&gt;FALSE") - COUNTBLANK($K642:$T642) &gt; 0,
        INDEX($K642:$T642, MATCH(TRUE, $K642:$T642 &lt;&gt; FALSE, 0))
    )
)</f>
        <v>0</v>
      </c>
      <c r="K642" s="712" t="b">
        <f ca="1">IF(AND('Start here'!$C$26=RefData!$B$9,'Reconciliation report'!$E642&lt;&gt;""),ErrorMsgs!$B642)</f>
        <v>0</v>
      </c>
      <c r="L642" s="712" t="b">
        <f ca="1">IF(AND('Start here'!$C$26=RefData!$B$10,'Covenant summary information'!$C$83=0,'Reconciliation report'!$E642&lt;&gt;""),ErrorMsgs!$C642)</f>
        <v>0</v>
      </c>
      <c r="M642" s="712" t="b">
        <f ca="1">IF(AND('Start here'!$C$26=RefData!$B$10,'Covenant summary information'!$C$83&lt;3,'Reconciliation report'!$E642&lt;&gt;""),ErrorMsgs!$D642)</f>
        <v>0</v>
      </c>
      <c r="N642" s="712" t="b">
        <f ca="1">IF(AND('Start here'!$C$26=RefData!$B$10,'Covenant summary information'!$C$83&gt;=3,'Reconciliation report'!$E642=""),ErrorMsgs!$E642)</f>
        <v>0</v>
      </c>
      <c r="O642" s="712" t="b">
        <f ca="1">IF(AND($E642&lt;&gt;"",ISNA(MATCH($E642,RefData!$B$140:$B$141,0))),ErrorMsgs!$F642)</f>
        <v>0</v>
      </c>
      <c r="P642" s="712"/>
      <c r="Q642" s="712"/>
      <c r="R642" s="712"/>
      <c r="S642" s="712"/>
      <c r="T642" s="712"/>
      <c r="U642" s="526" t="str">
        <f t="shared" ca="1" si="84"/>
        <v/>
      </c>
      <c r="V642" s="93" t="str" cm="1">
        <f t="array" aca="1" ref="V642" ca="1">CELL("format",INDIRECT(I642))</f>
        <v>G</v>
      </c>
      <c r="W642" s="93" t="b">
        <f t="shared" ca="1" si="85"/>
        <v>0</v>
      </c>
      <c r="X642" s="715" t="str">
        <f t="shared" ref="X642:X705" ca="1" si="90">IF(W642, "0." &amp; IF(V642="P2",REPT("0", MIN(4, LEN(E642) - FIND(".", E642))),REPT("0", MIN(6, LEN(E642) - FIND(".", E642)))), "")</f>
        <v/>
      </c>
      <c r="Y642" t="b">
        <f t="shared" ca="1" si="86"/>
        <v>1</v>
      </c>
    </row>
    <row r="643" spans="1:25" ht="46.5">
      <c r="A643" s="705" t="s">
        <v>915</v>
      </c>
      <c r="B643" s="716" t="str">
        <f t="shared" ca="1" si="78"/>
        <v>Guarantees - C103</v>
      </c>
      <c r="C643" s="707" t="str" cm="1">
        <f t="array" aca="1" ref="C643" ca="1">INDIRECT(LEFT(I643, FIND("!", I643)) &amp; RefData!$C$426 &amp; RIGHT(I643, LEN(I643) - FIND("!", I643) - 1))</f>
        <v xml:space="preserve">
Other
</v>
      </c>
      <c r="D643" s="92" t="str">
        <f t="shared" ca="1" si="89"/>
        <v/>
      </c>
      <c r="E643" s="708" t="str" cm="1">
        <f t="array" aca="1" ref="E643" ca="1">IF(INDIRECT($I643)= "", "", INDIRECT($I643))</f>
        <v/>
      </c>
      <c r="F643" s="709" t="str" cm="1">
        <f t="array" aca="1" ref="F643" ca="1">INDIRECT(LEFT(I643, FIND("!", I643)) &amp; RefData!$C$427 &amp; RIGHT(I643, LEN(I643) - FIND("!", I643) - 1))</f>
        <v>GTE 26.0/3</v>
      </c>
      <c r="G643" s="710" t="b">
        <f ca="1">IF(ISNUMBER(SEARCH(RefData!$B$2, $C643)), FALSE, TRUE)</f>
        <v>1</v>
      </c>
      <c r="H643" s="344">
        <f>Guarantees!C103</f>
        <v>0</v>
      </c>
      <c r="I643" s="712" t="str">
        <f t="shared" ca="1" si="79"/>
        <v>Guarantees!C103</v>
      </c>
      <c r="J643" s="713" t="b" cm="1">
        <f t="array" aca="1" ref="J643" ca="1">IF(
    ISNUMBER(SEARCH(RefData!$B$2, $C$474)),
    IF(
        $E643 &lt;&gt; "",
        $J$474,
        IF(
            $E643 = "",
            FALSE
        )
    ),
    IF(
        COUNTIF($K643:$T643, "&lt;&gt;FALSE") - COUNTBLANK($K643:$T643) &gt; 0,
        INDEX($K643:$T643, MATCH(TRUE, $K643:$T643 &lt;&gt; FALSE, 0))
    )
)</f>
        <v>0</v>
      </c>
      <c r="K643" s="712" t="b">
        <f ca="1">IF(AND('Start here'!$C$26=RefData!$B$9,'Reconciliation report'!$E643&lt;&gt;""),ErrorMsgs!$B643)</f>
        <v>0</v>
      </c>
      <c r="L643" s="712" t="b">
        <f ca="1">IF(AND('Start here'!$C$26=RefData!$B$10,'Covenant summary information'!$C$83=0,'Reconciliation report'!$E643&lt;&gt;""),ErrorMsgs!$C643)</f>
        <v>0</v>
      </c>
      <c r="M643" s="712" t="b">
        <f ca="1">IF(AND('Start here'!$C$26=RefData!$B$10,'Covenant summary information'!$C$83&lt;3,'Reconciliation report'!$E643&lt;&gt;""),ErrorMsgs!$D643)</f>
        <v>0</v>
      </c>
      <c r="N643" s="712" t="b">
        <f ca="1">IF(AND('Start here'!$C$26=RefData!$B$10,'Covenant summary information'!$C$83&gt;=3,'Reconciliation report'!$E643=""),ErrorMsgs!$E643)</f>
        <v>0</v>
      </c>
      <c r="O643" s="712" t="b">
        <f ca="1">IF(AND($E643&lt;&gt;"",ISNA(MATCH($E643,RefData!$B$140:$B$141,0))),ErrorMsgs!$F643)</f>
        <v>0</v>
      </c>
      <c r="P643" s="712"/>
      <c r="Q643" s="712"/>
      <c r="R643" s="712"/>
      <c r="S643" s="712"/>
      <c r="T643" s="712"/>
      <c r="U643" s="526" t="str">
        <f t="shared" ref="U643:U706" ca="1" si="91">IF(AND($W643=TRUE,$Y643=FALSE),TEXT($E643,$X643),$E643)</f>
        <v/>
      </c>
      <c r="V643" s="93" t="str" cm="1">
        <f t="array" aca="1" ref="V643" ca="1">CELL("format",INDIRECT(I643))</f>
        <v>G</v>
      </c>
      <c r="W643" s="93" t="b">
        <f t="shared" ref="W643:W706" ca="1" si="92">IF(ISNUMBER(E643), IF(INT(E643)&lt;&gt;E643,TRUE,FALSE),FALSE)</f>
        <v>0</v>
      </c>
      <c r="X643" s="715" t="str">
        <f t="shared" ca="1" si="90"/>
        <v/>
      </c>
      <c r="Y643" t="b">
        <f t="shared" ref="Y643:Y706" ca="1" si="93">ISTEXT(E643)</f>
        <v>1</v>
      </c>
    </row>
    <row r="644" spans="1:25" ht="46.5">
      <c r="A644" s="705" t="s">
        <v>917</v>
      </c>
      <c r="B644" s="716" t="str">
        <f t="shared" ca="1" si="78"/>
        <v>Guarantees - C104</v>
      </c>
      <c r="C644" s="707" t="str" cm="1">
        <f t="array" aca="1" ref="C644" ca="1">INDIRECT(LEFT(I644, FIND("!", I644)) &amp; RefData!$C$426 &amp; RIGHT(I644, LEN(I644) - FIND("!", I644) - 1))</f>
        <v xml:space="preserve">
Describe the other triggers for access to value
</v>
      </c>
      <c r="D644" s="92" t="str">
        <f t="shared" ca="1" si="89"/>
        <v/>
      </c>
      <c r="E644" s="708" t="str" cm="1">
        <f t="array" aca="1" ref="E644" ca="1">IF(INDIRECT($I644)= "", "", INDIRECT($I644))</f>
        <v/>
      </c>
      <c r="F644" s="709" t="str" cm="1">
        <f t="array" aca="1" ref="F644" ca="1">INDIRECT(LEFT(I644, FIND("!", I644)) &amp; RefData!$C$427 &amp; RIGHT(I644, LEN(I644) - FIND("!", I644) - 1))</f>
        <v>GTE 27.0/3</v>
      </c>
      <c r="G644" s="710" t="b">
        <f ca="1">IF(ISNUMBER(SEARCH(RefData!$B$2, $C644)), FALSE, TRUE)</f>
        <v>1</v>
      </c>
      <c r="H644" s="344">
        <f>Guarantees!C104</f>
        <v>0</v>
      </c>
      <c r="I644" s="712" t="str">
        <f t="shared" ca="1" si="79"/>
        <v>Guarantees!C104</v>
      </c>
      <c r="J644" s="713" t="b" cm="1">
        <f t="array" aca="1" ref="J644" ca="1">IF(
    ISNUMBER(SEARCH(RefData!$B$2, $C$474)),
    IF(
        $E644 &lt;&gt; "",
        $J$474,
        IF(
            $E644 = "",
            FALSE
        )
    ),
    IF(
        COUNTIF($K644:$T644, "&lt;&gt;FALSE") - COUNTBLANK($K644:$T644) &gt; 0,
        INDEX($K644:$T644, MATCH(TRUE, $K644:$T644 &lt;&gt; FALSE, 0))
    )
)</f>
        <v>0</v>
      </c>
      <c r="K644" s="712" t="b">
        <f ca="1">IF(AND('Start here'!$C$26=RefData!$B$9,'Reconciliation report'!$E644&lt;&gt;""),ErrorMsgs!$B644)</f>
        <v>0</v>
      </c>
      <c r="L644" s="712" t="b">
        <f ca="1">IF(AND('Start here'!$C$26=RefData!$B$10,'Covenant summary information'!$C$83=0,'Reconciliation report'!$E644&lt;&gt;""),ErrorMsgs!$C644)</f>
        <v>0</v>
      </c>
      <c r="M644" s="712" t="b">
        <f ca="1">IF(AND('Start here'!$C$26=RefData!$B$10,'Covenant summary information'!$C$83&lt;3,'Reconciliation report'!$E644&lt;&gt;""),ErrorMsgs!$D644)</f>
        <v>0</v>
      </c>
      <c r="N644" s="712" t="b">
        <f ca="1">IF(AND('Start here'!$C$26=RefData!$B$10,'Covenant summary information'!$C$83&gt;=3,Guarantees!$C103&lt;&gt;RefData!$B$140,'Reconciliation report'!$E644&lt;&gt;""),ErrorMsgs!$E644)</f>
        <v>0</v>
      </c>
      <c r="O644" s="712" t="b">
        <f ca="1">IF(AND('Start here'!$C$26=RefData!$B$10,'Covenant summary information'!$C$83&gt;=3,Guarantees!$C103=RefData!$B$140,'Reconciliation report'!$E644=""),ErrorMsgs!$F644)</f>
        <v>0</v>
      </c>
      <c r="P644" s="712" t="b">
        <f ca="1">IF(LEN($E644)&gt;4000,ErrorMsgs!$G644)</f>
        <v>0</v>
      </c>
      <c r="Q644" s="712"/>
      <c r="R644" s="712"/>
      <c r="S644" s="712"/>
      <c r="T644" s="712"/>
      <c r="U644" s="526" t="str">
        <f t="shared" ca="1" si="91"/>
        <v/>
      </c>
      <c r="V644" s="93" t="str" cm="1">
        <f t="array" aca="1" ref="V644" ca="1">CELL("format",INDIRECT(I644))</f>
        <v>G</v>
      </c>
      <c r="W644" s="93" t="b">
        <f t="shared" ca="1" si="92"/>
        <v>0</v>
      </c>
      <c r="X644" s="715" t="str">
        <f t="shared" ca="1" si="90"/>
        <v/>
      </c>
      <c r="Y644" t="b">
        <f t="shared" ca="1" si="93"/>
        <v>1</v>
      </c>
    </row>
    <row r="645" spans="1:25" ht="46.5">
      <c r="A645" s="705" t="s">
        <v>919</v>
      </c>
      <c r="B645" s="716" t="str">
        <f t="shared" ca="1" si="78"/>
        <v>Guarantees - C105</v>
      </c>
      <c r="C645" s="707" t="str" cm="1">
        <f t="array" aca="1" ref="C645" ca="1">INDIRECT(LEFT(I645, FIND("!", I645)) &amp; RefData!$C$426 &amp; RIGHT(I645, LEN(I645) - FIND("!", I645) - 1))</f>
        <v xml:space="preserve">
Triggers for termination
</v>
      </c>
      <c r="D645" s="92" t="str">
        <f t="shared" ca="1" si="89"/>
        <v/>
      </c>
      <c r="E645" s="708" t="str" cm="1">
        <f t="array" aca="1" ref="E645" ca="1">IF(INDIRECT($I645)= "", "", INDIRECT($I645))</f>
        <v/>
      </c>
      <c r="F645" s="709" t="str" cm="1">
        <f t="array" aca="1" ref="F645" ca="1">INDIRECT(LEFT(I645, FIND("!", I645)) &amp; RefData!$C$427 &amp; RIGHT(I645, LEN(I645) - FIND("!", I645) - 1))</f>
        <v>GTE 28.0/3</v>
      </c>
      <c r="G645" s="710" t="b">
        <f ca="1">IF(ISNUMBER(SEARCH(RefData!$B$2, $C645)), FALSE, TRUE)</f>
        <v>1</v>
      </c>
      <c r="H645" s="344">
        <f>Guarantees!C105</f>
        <v>0</v>
      </c>
      <c r="I645" s="712" t="str">
        <f t="shared" ca="1" si="79"/>
        <v>Guarantees!C105</v>
      </c>
      <c r="J645" s="713" t="b" cm="1">
        <f t="array" aca="1" ref="J645" ca="1">IF(
    ISNUMBER(SEARCH(RefData!$B$2, $C$474)),
    IF(
        $E645 &lt;&gt; "",
        $J$474,
        IF(
            $E645 = "",
            FALSE
        )
    ),
    IF(
        COUNTIF($K645:$T645, "&lt;&gt;FALSE") - COUNTBLANK($K645:$T645) &gt; 0,
        INDEX($K645:$T645, MATCH(TRUE, $K645:$T645 &lt;&gt; FALSE, 0))
    )
)</f>
        <v>0</v>
      </c>
      <c r="K645" s="712" t="b">
        <f ca="1">IF(AND('Start here'!$C$26=RefData!$B$9,'Reconciliation report'!$E645&lt;&gt;""),ErrorMsgs!$B645)</f>
        <v>0</v>
      </c>
      <c r="L645" s="712" t="b">
        <f ca="1">IF(AND('Start here'!$C$26=RefData!$B$10,'Covenant summary information'!$C$83=0,'Reconciliation report'!$E645&lt;&gt;""),ErrorMsgs!$C645)</f>
        <v>0</v>
      </c>
      <c r="M645" s="712" t="b">
        <f ca="1">IF(AND('Start here'!$C$26=RefData!$B$10,'Covenant summary information'!$C$83&lt;3,'Reconciliation report'!$E645&lt;&gt;""),ErrorMsgs!$D645)</f>
        <v>0</v>
      </c>
      <c r="N645" s="712" t="b">
        <f ca="1">IF(AND('Start here'!$C$26=RefData!$B$10,'Covenant summary information'!$C$83&gt;=3,'Reconciliation report'!$E645=""),ErrorMsgs!$E645)</f>
        <v>0</v>
      </c>
      <c r="O645" s="712" t="b">
        <f ca="1">IF(LEN($E645)&gt;4000,ErrorMsgs!$F645)</f>
        <v>0</v>
      </c>
      <c r="P645" s="712"/>
      <c r="Q645" s="712"/>
      <c r="R645" s="712"/>
      <c r="S645" s="712"/>
      <c r="T645" s="712"/>
      <c r="U645" s="526" t="str">
        <f t="shared" ca="1" si="91"/>
        <v/>
      </c>
      <c r="V645" s="93" t="str" cm="1">
        <f t="array" aca="1" ref="V645" ca="1">CELL("format",INDIRECT(I645))</f>
        <v>G</v>
      </c>
      <c r="W645" s="93" t="b">
        <f t="shared" ca="1" si="92"/>
        <v>0</v>
      </c>
      <c r="X645" s="715" t="str">
        <f t="shared" ca="1" si="90"/>
        <v/>
      </c>
      <c r="Y645" t="b">
        <f t="shared" ca="1" si="93"/>
        <v>1</v>
      </c>
    </row>
    <row r="646" spans="1:25" ht="77.5">
      <c r="A646" s="705" t="s">
        <v>922</v>
      </c>
      <c r="B646" s="716" t="str">
        <f t="shared" ca="1" si="78"/>
        <v>Guarantees - C109</v>
      </c>
      <c r="C646" s="707" t="str" cm="1">
        <f t="array" aca="1" ref="C646" ca="1">INDIRECT(LEFT(I646, FIND("!", I646)) &amp; RefData!$C$426 &amp; RIGHT(I646, LEN(I646) - FIND("!", I646) - 1))</f>
        <v xml:space="preserve">
No answer required
Legal name
</v>
      </c>
      <c r="D646" s="92" t="str">
        <f t="shared" ca="1" si="89"/>
        <v/>
      </c>
      <c r="E646" s="708" t="str" cm="1">
        <f t="array" aca="1" ref="E646" ca="1">IF(INDIRECT($I646)= "", "", INDIRECT($I646))</f>
        <v/>
      </c>
      <c r="F646" s="709" t="str" cm="1">
        <f t="array" aca="1" ref="F646" ca="1">INDIRECT(LEFT(I646, FIND("!", I646)) &amp; RefData!$C$427 &amp; RIGHT(I646, LEN(I646) - FIND("!", I646) - 1))</f>
        <v>GTE 1.0/4</v>
      </c>
      <c r="G646" s="710" t="b">
        <f ca="1">IF(ISNUMBER(SEARCH(RefData!$B$2, $C646)), FALSE, TRUE)</f>
        <v>0</v>
      </c>
      <c r="H646" s="344">
        <f>Guarantees!C109</f>
        <v>0</v>
      </c>
      <c r="I646" s="712" t="str">
        <f t="shared" ca="1" si="79"/>
        <v>Guarantees!C109</v>
      </c>
      <c r="J646" s="713" t="b" cm="1">
        <f t="array" aca="1" ref="J646" ca="1">IF(
    ISNUMBER(SEARCH(RefData!$B$2, $C$474)),
    IF(
        $E646 &lt;&gt; "",
        $J$474,
        IF(
            $E646 = "",
            FALSE
        )
    ),
    IF(
        COUNTIF($K646:$T646, "&lt;&gt;FALSE") - COUNTBLANK($K646:$T646) &gt; 0,
        INDEX($K646:$T646, MATCH(TRUE, $K646:$T646 &lt;&gt; FALSE, 0))
    )
)</f>
        <v>0</v>
      </c>
      <c r="K646" s="712" t="b">
        <f ca="1">IF(AND('Covenant summary information'!$C$83=0,'Reconciliation report'!$E646&lt;&gt;""),ErrorMsgs!$B646)</f>
        <v>0</v>
      </c>
      <c r="L646" s="712" t="b">
        <f ca="1">IF(AND('Covenant summary information'!$C$83&lt;4,'Reconciliation report'!$E646&lt;&gt;""),ErrorMsgs!$C646)</f>
        <v>0</v>
      </c>
      <c r="M646" s="712" t="b">
        <f ca="1">IF(AND('Covenant summary information'!$C$83&gt;=4,'Reconciliation report'!$E646=""),ErrorMsgs!$D646)</f>
        <v>0</v>
      </c>
      <c r="N646" s="712" t="b">
        <f ca="1">IF(LEN($E646)&gt;510,ErrorMsgs!$E646)</f>
        <v>0</v>
      </c>
      <c r="O646" s="712"/>
      <c r="P646" s="712"/>
      <c r="Q646" s="712"/>
      <c r="R646" s="712"/>
      <c r="S646" s="712"/>
      <c r="T646" s="712"/>
      <c r="U646" s="526" t="str">
        <f t="shared" ca="1" si="91"/>
        <v/>
      </c>
      <c r="V646" s="93" t="str" cm="1">
        <f t="array" aca="1" ref="V646" ca="1">CELL("format",INDIRECT(I646))</f>
        <v>G</v>
      </c>
      <c r="W646" s="93" t="b">
        <f t="shared" ca="1" si="92"/>
        <v>0</v>
      </c>
      <c r="X646" s="715" t="str">
        <f t="shared" ca="1" si="90"/>
        <v/>
      </c>
      <c r="Y646" t="b">
        <f t="shared" ca="1" si="93"/>
        <v>1</v>
      </c>
    </row>
    <row r="647" spans="1:25" ht="38.75" customHeight="1">
      <c r="A647" s="705" t="s">
        <v>924</v>
      </c>
      <c r="B647" s="716" t="str">
        <f t="shared" ca="1" si="78"/>
        <v>Guarantees - C110</v>
      </c>
      <c r="C647" s="707" t="str" cm="1">
        <f t="array" aca="1" ref="C647" ca="1">INDIRECT(LEFT(I647, FIND("!", I647)) &amp; RefData!$C$426 &amp; RIGHT(I647, LEN(I647) - FIND("!", I647) - 1))</f>
        <v xml:space="preserve">
No answer required
Companies House number (if applicable)
</v>
      </c>
      <c r="D647" s="92" t="str">
        <f t="shared" ca="1" si="89"/>
        <v/>
      </c>
      <c r="E647" s="708" t="str" cm="1">
        <f t="array" aca="1" ref="E647" ca="1">IF(INDIRECT($I647)= "", "", INDIRECT($I647))</f>
        <v/>
      </c>
      <c r="F647" s="709" t="str" cm="1">
        <f t="array" aca="1" ref="F647" ca="1">INDIRECT(LEFT(I647, FIND("!", I647)) &amp; RefData!$C$427 &amp; RIGHT(I647, LEN(I647) - FIND("!", I647) - 1))</f>
        <v>GTE 2.0/4</v>
      </c>
      <c r="G647" s="710" t="b">
        <f ca="1">IF(ISNUMBER(SEARCH(RefData!$B$2, $C647)), FALSE, TRUE)</f>
        <v>0</v>
      </c>
      <c r="H647" s="344">
        <f>Guarantees!C110</f>
        <v>0</v>
      </c>
      <c r="I647" s="712" t="str">
        <f t="shared" ca="1" si="79"/>
        <v>Guarantees!C110</v>
      </c>
      <c r="J647" s="713" t="b" cm="1">
        <f t="array" aca="1" ref="J647" ca="1">IF(
    ISNUMBER(SEARCH(RefData!$B$2, $C$474)),
    IF(
        $E647 &lt;&gt; "",
        $J$474,
        IF(
            $E647 = "",
            FALSE
        )
    ),
    IF(
        COUNTIF($K647:$T647, "&lt;&gt;FALSE") - COUNTBLANK($K647:$T647) &gt; 0,
        INDEX($K647:$T647, MATCH(TRUE, $K647:$T647 &lt;&gt; FALSE, 0))
    )
)</f>
        <v>0</v>
      </c>
      <c r="K647" s="712" t="b">
        <f ca="1">IF(AND('Covenant summary information'!$C$83=0,'Reconciliation report'!$E647&lt;&gt;""),ErrorMsgs!$B647)</f>
        <v>0</v>
      </c>
      <c r="L647" s="712" t="b">
        <f ca="1">IF(AND('Covenant summary information'!$C$83&lt;4,'Reconciliation report'!$E647&lt;&gt;""),ErrorMsgs!$C647)</f>
        <v>0</v>
      </c>
      <c r="M647" s="712" t="b">
        <f ca="1">IF(
  AND(
   'Covenant summary information'!$C$83&gt;= 4,
    OR(
      AND(TRIM($E647) &lt;&gt; "", TRIM($D648) &lt;&gt; ""),
      AND(TRIM($E647) &lt;&gt; "", TRIM($D648) = "", TRIM($E648) = "")
    ),
    OR(
      ISNUMBER(FIND(" ", $E647)),
      NOT(
        OR(
          AND(LEN($E647)=8, ISNUMBER(VALUE($E647))),
          AND(LEN($E647)=8, ISNUMBER(VALUE(RIGHT($E647,6))), ISNUMBER(FIND(LEFT(UPPER($E647),1),"ABCDEFGHIJKLMNOPQRSTUVWXYZ")), ISNUMBER(FIND(MID(UPPER($E647),2,1),"ABCDEFGHIJKLMNOPQRSTUVWXYZ"))),
          AND(LEN($E647)=8, ISNUMBER(VALUE(RIGHT($E647,7))), ISNUMBER(FIND(LEFT(UPPER($E647),1),"ABCDEFGHIJKLMNOPQRSTUVWXYZ"))),
          AND(LEN($E647)=8, ISNUMBER(VALUE(MID($E647,3,5))), ISNUMBER(FIND(LEFT(UPPER($E647),1),"ABCDEFGHIJKLMNOPQRSTUVWXYZ")), ISNUMBER(FIND(MID(UPPER($E647),2,1),"ABCDEFGHIJKLMNOPQRSTUVWXYZ")), ISNUMBER(FIND(RIGHT(UPPER($E647),1),"ABCDEFGHIJKLMNOPQRSTUVWXYZ"))),
          AND(LEN($E647)=8, ISNUMBER(VALUE(MID($E647,3,4))), ISNUMBER(FIND(LEFT(UPPER($E647),1),"ABCDEFGHIJKLMNOPQRSTUVWXYZ")), ISNUMBER(FIND(MID(UPPER($E647),2,1),"ABCDEFGHIJKLMNOPQRSTUVWXYZ")), ISNUMBER(FIND(MID(UPPER($E647),7,1),"ABCDEFGHIJKLMNOPQRSTUVWXYZ")), ISNUMBER(FIND(RIGHT(UPPER($E647),1),"ABCDEFGHIJKLMNOPQRSTUVWXYZ")))
        )
      )
    )
  ),
  ErrorMsgs!D647
)</f>
        <v>0</v>
      </c>
      <c r="N647" s="712"/>
      <c r="O647" s="712"/>
      <c r="P647" s="712"/>
      <c r="Q647" s="712"/>
      <c r="R647" s="712"/>
      <c r="S647" s="712"/>
      <c r="T647" s="712"/>
      <c r="U647" s="526" t="str">
        <f t="shared" ca="1" si="91"/>
        <v/>
      </c>
      <c r="V647" s="93" t="str" cm="1">
        <f t="array" aca="1" ref="V647" ca="1">CELL("format",INDIRECT(I647))</f>
        <v>G</v>
      </c>
      <c r="W647" s="93" t="b">
        <f t="shared" ca="1" si="92"/>
        <v>0</v>
      </c>
      <c r="X647" s="715" t="str">
        <f t="shared" ca="1" si="90"/>
        <v/>
      </c>
      <c r="Y647" t="b">
        <f t="shared" ca="1" si="93"/>
        <v>1</v>
      </c>
    </row>
    <row r="648" spans="1:25" ht="77.5">
      <c r="A648" s="705" t="s">
        <v>926</v>
      </c>
      <c r="B648" s="716" t="str">
        <f t="shared" ca="1" si="78"/>
        <v>Guarantees - C111</v>
      </c>
      <c r="C648" s="707" t="str" cm="1">
        <f t="array" aca="1" ref="C648" ca="1">INDIRECT(LEFT(I648, FIND("!", I648)) &amp; RefData!$C$426 &amp; RIGHT(I648, LEN(I648) - FIND("!", I648) - 1))</f>
        <v xml:space="preserve">
No answer required
Charity number (if applicable)
</v>
      </c>
      <c r="D648" s="92" t="str">
        <f t="shared" ca="1" si="89"/>
        <v/>
      </c>
      <c r="E648" s="708" t="str" cm="1">
        <f t="array" aca="1" ref="E648" ca="1">IF(INDIRECT($I648)= "", "", INDIRECT($I648))</f>
        <v/>
      </c>
      <c r="F648" s="709" t="str" cm="1">
        <f t="array" aca="1" ref="F648" ca="1">INDIRECT(LEFT(I648, FIND("!", I648)) &amp; RefData!$C$427 &amp; RIGHT(I648, LEN(I648) - FIND("!", I648) - 1))</f>
        <v>GTE 3.0/4</v>
      </c>
      <c r="G648" s="710" t="b">
        <f ca="1">IF(ISNUMBER(SEARCH(RefData!$B$2, $C648)), FALSE, TRUE)</f>
        <v>0</v>
      </c>
      <c r="H648" s="344">
        <f>Guarantees!C111</f>
        <v>0</v>
      </c>
      <c r="I648" s="712" t="str">
        <f t="shared" ca="1" si="79"/>
        <v>Guarantees!C111</v>
      </c>
      <c r="J648" s="713" t="b" cm="1">
        <f t="array" aca="1" ref="J648" ca="1">IF(
    ISNUMBER(SEARCH(RefData!$B$2, $C$474)),
    IF(
        $E648 &lt;&gt; "",
        $J$474,
        IF(
            $E648 = "",
            FALSE
        )
    ),
    IF(
        COUNTIF($K648:$T648, "&lt;&gt;FALSE") - COUNTBLANK($K648:$T648) &gt; 0,
        INDEX($K648:$T648, MATCH(TRUE, $K648:$T648 &lt;&gt; FALSE, 0))
    )
)</f>
        <v>0</v>
      </c>
      <c r="K648" s="712" t="b">
        <f ca="1">IF(AND('Covenant summary information'!$C$83=0,'Reconciliation report'!$E648&lt;&gt;""),ErrorMsgs!$B648)</f>
        <v>0</v>
      </c>
      <c r="L648" s="712" t="b">
        <f ca="1">IF(AND('Covenant summary information'!$C$83&lt;4,'Reconciliation report'!$E648&lt;&gt;""),ErrorMsgs!$C648)</f>
        <v>0</v>
      </c>
      <c r="M648" s="712" t="b">
        <f ca="1">IF(AND(TRIM(Guarantees!$C110)&lt;&gt;"",$E648&lt;&gt;""),ErrorMsgs!$D648)</f>
        <v>0</v>
      </c>
      <c r="N648" s="712" t="b">
        <f ca="1">IF(AND($E648&lt;&gt;"",OR(LEN($E648)&lt;6,LEN($E648)&gt;8)),ErrorMsgs!$E648)</f>
        <v>0</v>
      </c>
      <c r="O648" s="712"/>
      <c r="P648" s="712"/>
      <c r="Q648" s="712"/>
      <c r="R648" s="712"/>
      <c r="S648" s="712"/>
      <c r="T648" s="712"/>
      <c r="U648" s="526" t="str">
        <f t="shared" ca="1" si="91"/>
        <v/>
      </c>
      <c r="V648" s="93" t="str" cm="1">
        <f t="array" aca="1" ref="V648" ca="1">CELL("format",INDIRECT(I648))</f>
        <v>G</v>
      </c>
      <c r="W648" s="93" t="b">
        <f t="shared" ca="1" si="92"/>
        <v>0</v>
      </c>
      <c r="X648" s="715" t="str">
        <f t="shared" ca="1" si="90"/>
        <v/>
      </c>
      <c r="Y648" t="b">
        <f t="shared" ca="1" si="93"/>
        <v>1</v>
      </c>
    </row>
    <row r="649" spans="1:25" ht="77.5">
      <c r="A649" s="705" t="s">
        <v>928</v>
      </c>
      <c r="B649" s="716" t="str">
        <f t="shared" ca="1" si="78"/>
        <v>Guarantees - C112</v>
      </c>
      <c r="C649" s="707" t="str" cm="1">
        <f t="array" aca="1" ref="C649" ca="1">INDIRECT(LEFT(I649, FIND("!", I649)) &amp; RefData!$C$426 &amp; RIGHT(I649, LEN(I649) - FIND("!", I649) - 1))</f>
        <v xml:space="preserve">
No answer required
Trading name
</v>
      </c>
      <c r="D649" s="92" t="str">
        <f t="shared" ca="1" si="89"/>
        <v/>
      </c>
      <c r="E649" s="708" t="str" cm="1">
        <f t="array" aca="1" ref="E649" ca="1">IF(INDIRECT($I649)= "", "", INDIRECT($I649))</f>
        <v/>
      </c>
      <c r="F649" s="709" t="str" cm="1">
        <f t="array" aca="1" ref="F649" ca="1">INDIRECT(LEFT(I649, FIND("!", I649)) &amp; RefData!$C$427 &amp; RIGHT(I649, LEN(I649) - FIND("!", I649) - 1))</f>
        <v>GTE 4.0/4</v>
      </c>
      <c r="G649" s="710" t="b">
        <f ca="1">IF(ISNUMBER(SEARCH(RefData!$B$2, $C649)), FALSE, TRUE)</f>
        <v>0</v>
      </c>
      <c r="H649" s="344">
        <f>Guarantees!C112</f>
        <v>0</v>
      </c>
      <c r="I649" s="712" t="str">
        <f t="shared" ca="1" si="79"/>
        <v>Guarantees!C112</v>
      </c>
      <c r="J649" s="713" t="b" cm="1">
        <f t="array" aca="1" ref="J649" ca="1">IF(
    ISNUMBER(SEARCH(RefData!$B$2, $C$474)),
    IF(
        $E649 &lt;&gt; "",
        $J$474,
        IF(
            $E649 = "",
            FALSE
        )
    ),
    IF(
        COUNTIF($K649:$T649, "&lt;&gt;FALSE") - COUNTBLANK($K649:$T649) &gt; 0,
        INDEX($K649:$T649, MATCH(TRUE, $K649:$T649 &lt;&gt; FALSE, 0))
    )
)</f>
        <v>0</v>
      </c>
      <c r="K649" s="712" t="b">
        <f ca="1">IF(AND('Covenant summary information'!$C$83=0,'Reconciliation report'!$E649&lt;&gt;""),ErrorMsgs!$B649)</f>
        <v>0</v>
      </c>
      <c r="L649" s="712" t="b">
        <f ca="1">IF(AND('Covenant summary information'!$C$83&lt;4,'Reconciliation report'!$E649&lt;&gt;""),ErrorMsgs!$C649)</f>
        <v>0</v>
      </c>
      <c r="M649" s="712" t="b">
        <f ca="1">IF(AND(TRIM(Guarantees!$C110)&lt;&gt;"",$E649&lt;&gt;""),ErrorMsgs!$D649)</f>
        <v>0</v>
      </c>
      <c r="N649" s="712" t="b">
        <f ca="1">IF(AND(Guarantees!$C111&lt;&gt;"",$E649&lt;&gt;""),ErrorMsgs!$E649)</f>
        <v>0</v>
      </c>
      <c r="O649" s="712" t="b">
        <f ca="1">IF(AND('Covenant summary information'!$C$83&gt;=4,TRIM(Guarantees!$C110)="",Guarantees!$C111="",'Reconciliation report'!$E649=""),ErrorMsgs!$F649)</f>
        <v>0</v>
      </c>
      <c r="P649" s="712" t="b">
        <f ca="1">IF(LEN($E649)&gt;510,ErrorMsgs!$G649)</f>
        <v>0</v>
      </c>
      <c r="Q649" s="712"/>
      <c r="R649" s="712"/>
      <c r="S649" s="712"/>
      <c r="T649" s="712"/>
      <c r="U649" s="526" t="str">
        <f t="shared" ca="1" si="91"/>
        <v/>
      </c>
      <c r="V649" s="93" t="str" cm="1">
        <f t="array" aca="1" ref="V649" ca="1">CELL("format",INDIRECT(I649))</f>
        <v>G</v>
      </c>
      <c r="W649" s="93" t="b">
        <f t="shared" ca="1" si="92"/>
        <v>0</v>
      </c>
      <c r="X649" s="715" t="str">
        <f t="shared" ca="1" si="90"/>
        <v/>
      </c>
      <c r="Y649" t="b">
        <f t="shared" ca="1" si="93"/>
        <v>1</v>
      </c>
    </row>
    <row r="650" spans="1:25" ht="77.5">
      <c r="A650" s="705" t="s">
        <v>930</v>
      </c>
      <c r="B650" s="716" t="str">
        <f t="shared" ca="1" si="78"/>
        <v>Guarantees - C113</v>
      </c>
      <c r="C650" s="707" t="str" cm="1">
        <f t="array" aca="1" ref="C650" ca="1">INDIRECT(LEFT(I650, FIND("!", I650)) &amp; RefData!$C$426 &amp; RIGHT(I650, LEN(I650) - FIND("!", I650) - 1))</f>
        <v xml:space="preserve">
No answer required
Address line 1
</v>
      </c>
      <c r="D650" s="92" t="str">
        <f t="shared" ca="1" si="89"/>
        <v/>
      </c>
      <c r="E650" s="708" t="str" cm="1">
        <f t="array" aca="1" ref="E650" ca="1">IF(INDIRECT($I650)= "", "", INDIRECT($I650))</f>
        <v/>
      </c>
      <c r="F650" s="709" t="str" cm="1">
        <f t="array" aca="1" ref="F650" ca="1">INDIRECT(LEFT(I650, FIND("!", I650)) &amp; RefData!$C$427 &amp; RIGHT(I650, LEN(I650) - FIND("!", I650) - 1))</f>
        <v>GTE 5.0/4</v>
      </c>
      <c r="G650" s="710" t="b">
        <f ca="1">IF(ISNUMBER(SEARCH(RefData!$B$2, $C650)), FALSE, TRUE)</f>
        <v>0</v>
      </c>
      <c r="H650" s="344">
        <f>Guarantees!C113</f>
        <v>0</v>
      </c>
      <c r="I650" s="712" t="str">
        <f t="shared" ca="1" si="79"/>
        <v>Guarantees!C113</v>
      </c>
      <c r="J650" s="713" t="b" cm="1">
        <f t="array" aca="1" ref="J650" ca="1">IF(
    ISNUMBER(SEARCH(RefData!$B$2, $C$474)),
    IF(
        $E650 &lt;&gt; "",
        $J$474,
        IF(
            $E650 = "",
            FALSE
        )
    ),
    IF(
        COUNTIF($K650:$T650, "&lt;&gt;FALSE") - COUNTBLANK($K650:$T650) &gt; 0,
        INDEX($K650:$T650, MATCH(TRUE, $K650:$T650 &lt;&gt; FALSE, 0))
    )
)</f>
        <v>0</v>
      </c>
      <c r="K650" s="712" t="b">
        <f ca="1">IF(AND('Covenant summary information'!$C$83=0,'Reconciliation report'!$E650&lt;&gt;""),ErrorMsgs!$B650)</f>
        <v>0</v>
      </c>
      <c r="L650" s="712" t="b">
        <f ca="1">IF(AND('Covenant summary information'!$C$83&lt;4,'Reconciliation report'!$E650&lt;&gt;""),ErrorMsgs!$C650)</f>
        <v>0</v>
      </c>
      <c r="M650" s="712" t="b">
        <f ca="1">IF(AND(TRIM(Guarantees!$C110)&lt;&gt;"",$E650&lt;&gt;""),ErrorMsgs!$D650)</f>
        <v>0</v>
      </c>
      <c r="N650" s="712" t="b">
        <f ca="1">IF(AND(Guarantees!$C111&lt;&gt;"",$E650&lt;&gt;""),ErrorMsgs!$E650)</f>
        <v>0</v>
      </c>
      <c r="O650" s="712" t="b">
        <f ca="1">IF(AND('Covenant summary information'!$C$83&gt;=4,TRIM(Guarantees!$C110)="",Guarantees!$C111="",'Reconciliation report'!$E650=""),ErrorMsgs!$F650)</f>
        <v>0</v>
      </c>
      <c r="P650" s="712" t="b">
        <f ca="1">IF(LEN($E650)&gt;510,ErrorMsgs!$G650)</f>
        <v>0</v>
      </c>
      <c r="Q650" s="712"/>
      <c r="R650" s="712"/>
      <c r="S650" s="712"/>
      <c r="T650" s="712"/>
      <c r="U650" s="526" t="str">
        <f t="shared" ca="1" si="91"/>
        <v/>
      </c>
      <c r="V650" s="93" t="str" cm="1">
        <f t="array" aca="1" ref="V650" ca="1">CELL("format",INDIRECT(I650))</f>
        <v>G</v>
      </c>
      <c r="W650" s="93" t="b">
        <f t="shared" ca="1" si="92"/>
        <v>0</v>
      </c>
      <c r="X650" s="715" t="str">
        <f t="shared" ca="1" si="90"/>
        <v/>
      </c>
      <c r="Y650" t="b">
        <f t="shared" ca="1" si="93"/>
        <v>1</v>
      </c>
    </row>
    <row r="651" spans="1:25" ht="77.5">
      <c r="A651" s="705" t="s">
        <v>932</v>
      </c>
      <c r="B651" s="716" t="str">
        <f t="shared" ca="1" si="78"/>
        <v>Guarantees - C114</v>
      </c>
      <c r="C651" s="707" t="str" cm="1">
        <f t="array" aca="1" ref="C651" ca="1">INDIRECT(LEFT(I651, FIND("!", I651)) &amp; RefData!$C$426 &amp; RIGHT(I651, LEN(I651) - FIND("!", I651) - 1))</f>
        <v xml:space="preserve">
No answer required
Address line 2 (optional)
</v>
      </c>
      <c r="D651" s="92" t="str">
        <f t="shared" ca="1" si="89"/>
        <v/>
      </c>
      <c r="E651" s="708" t="str" cm="1">
        <f t="array" aca="1" ref="E651" ca="1">IF(INDIRECT($I651)= "", "", INDIRECT($I651))</f>
        <v/>
      </c>
      <c r="F651" s="709" t="str" cm="1">
        <f t="array" aca="1" ref="F651" ca="1">INDIRECT(LEFT(I651, FIND("!", I651)) &amp; RefData!$C$427 &amp; RIGHT(I651, LEN(I651) - FIND("!", I651) - 1))</f>
        <v>GTE 6.0/4</v>
      </c>
      <c r="G651" s="710" t="b">
        <f ca="1">IF(ISNUMBER(SEARCH(RefData!$B$2, $C651)), FALSE, TRUE)</f>
        <v>0</v>
      </c>
      <c r="H651" s="344">
        <f>Guarantees!C114</f>
        <v>0</v>
      </c>
      <c r="I651" s="712" t="str">
        <f t="shared" ca="1" si="79"/>
        <v>Guarantees!C114</v>
      </c>
      <c r="J651" s="713" t="b" cm="1">
        <f t="array" aca="1" ref="J651" ca="1">IF(
    ISNUMBER(SEARCH(RefData!$B$2, $C$474)),
    IF(
        $E651 &lt;&gt; "",
        $J$474,
        IF(
            $E651 = "",
            FALSE
        )
    ),
    IF(
        COUNTIF($K651:$T651, "&lt;&gt;FALSE") - COUNTBLANK($K651:$T651) &gt; 0,
        INDEX($K651:$T651, MATCH(TRUE, $K651:$T651 &lt;&gt; FALSE, 0))
    )
)</f>
        <v>0</v>
      </c>
      <c r="K651" s="712" t="b">
        <f ca="1">IF(AND('Covenant summary information'!$C$83=0,'Reconciliation report'!$E651&lt;&gt;""),ErrorMsgs!$B651)</f>
        <v>0</v>
      </c>
      <c r="L651" s="712" t="b">
        <f ca="1">IF(AND('Covenant summary information'!$C$83&lt;4,'Reconciliation report'!$E651&lt;&gt;""),ErrorMsgs!$C651)</f>
        <v>0</v>
      </c>
      <c r="M651" s="712" t="b">
        <f ca="1">IF(AND(TRIM(Guarantees!$C110)&lt;&gt;"",$E651&lt;&gt;""),ErrorMsgs!$D651)</f>
        <v>0</v>
      </c>
      <c r="N651" s="712" t="b">
        <f ca="1">IF(AND(Guarantees!$C111&lt;&gt;"",$E651&lt;&gt;""),ErrorMsgs!$E651)</f>
        <v>0</v>
      </c>
      <c r="O651" s="712" t="b">
        <f ca="1">IF(LEN($E651)&gt;510,ErrorMsgs!$F651)</f>
        <v>0</v>
      </c>
      <c r="P651" s="712"/>
      <c r="Q651" s="712"/>
      <c r="R651" s="712"/>
      <c r="S651" s="712"/>
      <c r="T651" s="712"/>
      <c r="U651" s="526" t="str">
        <f t="shared" ca="1" si="91"/>
        <v/>
      </c>
      <c r="V651" s="93" t="str" cm="1">
        <f t="array" aca="1" ref="V651" ca="1">CELL("format",INDIRECT(I651))</f>
        <v>G</v>
      </c>
      <c r="W651" s="93" t="b">
        <f t="shared" ca="1" si="92"/>
        <v>0</v>
      </c>
      <c r="X651" s="715" t="str">
        <f t="shared" ca="1" si="90"/>
        <v/>
      </c>
      <c r="Y651" t="b">
        <f t="shared" ca="1" si="93"/>
        <v>1</v>
      </c>
    </row>
    <row r="652" spans="1:25" ht="77.5">
      <c r="A652" s="705" t="s">
        <v>934</v>
      </c>
      <c r="B652" s="716" t="str">
        <f t="shared" ca="1" si="78"/>
        <v>Guarantees - C115</v>
      </c>
      <c r="C652" s="707" t="str" cm="1">
        <f t="array" aca="1" ref="C652" ca="1">INDIRECT(LEFT(I652, FIND("!", I652)) &amp; RefData!$C$426 &amp; RIGHT(I652, LEN(I652) - FIND("!", I652) - 1))</f>
        <v xml:space="preserve">
No answer required
Address line 3 (optional)
</v>
      </c>
      <c r="D652" s="92" t="str">
        <f t="shared" ca="1" si="89"/>
        <v/>
      </c>
      <c r="E652" s="708" t="str" cm="1">
        <f t="array" aca="1" ref="E652" ca="1">IF(INDIRECT($I652)= "", "", INDIRECT($I652))</f>
        <v/>
      </c>
      <c r="F652" s="709" t="str" cm="1">
        <f t="array" aca="1" ref="F652" ca="1">INDIRECT(LEFT(I652, FIND("!", I652)) &amp; RefData!$C$427 &amp; RIGHT(I652, LEN(I652) - FIND("!", I652) - 1))</f>
        <v>GTE 7.0/4</v>
      </c>
      <c r="G652" s="710" t="b">
        <f ca="1">IF(ISNUMBER(SEARCH(RefData!$B$2, $C652)), FALSE, TRUE)</f>
        <v>0</v>
      </c>
      <c r="H652" s="344">
        <f>Guarantees!C115</f>
        <v>0</v>
      </c>
      <c r="I652" s="712" t="str">
        <f t="shared" ca="1" si="79"/>
        <v>Guarantees!C115</v>
      </c>
      <c r="J652" s="713" t="b" cm="1">
        <f t="array" aca="1" ref="J652" ca="1">IF(
    ISNUMBER(SEARCH(RefData!$B$2, $C$474)),
    IF(
        $E652 &lt;&gt; "",
        $J$474,
        IF(
            $E652 = "",
            FALSE
        )
    ),
    IF(
        COUNTIF($K652:$T652, "&lt;&gt;FALSE") - COUNTBLANK($K652:$T652) &gt; 0,
        INDEX($K652:$T652, MATCH(TRUE, $K652:$T652 &lt;&gt; FALSE, 0))
    )
)</f>
        <v>0</v>
      </c>
      <c r="K652" s="712" t="b">
        <f ca="1">IF(AND('Covenant summary information'!$C$83=0,'Reconciliation report'!$E652&lt;&gt;""),ErrorMsgs!$B652)</f>
        <v>0</v>
      </c>
      <c r="L652" s="712" t="b">
        <f ca="1">IF(AND('Covenant summary information'!$C$83&lt;4,'Reconciliation report'!$E652&lt;&gt;""),ErrorMsgs!$C652)</f>
        <v>0</v>
      </c>
      <c r="M652" s="712" t="b">
        <f ca="1">IF(AND(TRIM(Guarantees!$C110)&lt;&gt;"",$E652&lt;&gt;""),ErrorMsgs!$D652)</f>
        <v>0</v>
      </c>
      <c r="N652" s="712" t="b">
        <f ca="1">IF(AND(Guarantees!$C111&lt;&gt;"",$E652&lt;&gt;""),ErrorMsgs!$E652)</f>
        <v>0</v>
      </c>
      <c r="O652" s="712" t="b">
        <f ca="1">IF(LEN($E652)&gt;510,ErrorMsgs!$F652)</f>
        <v>0</v>
      </c>
      <c r="P652" s="712"/>
      <c r="Q652" s="712"/>
      <c r="R652" s="712"/>
      <c r="S652" s="712"/>
      <c r="T652" s="712"/>
      <c r="U652" s="526" t="str">
        <f t="shared" ca="1" si="91"/>
        <v/>
      </c>
      <c r="V652" s="93" t="str" cm="1">
        <f t="array" aca="1" ref="V652" ca="1">CELL("format",INDIRECT(I652))</f>
        <v>G</v>
      </c>
      <c r="W652" s="93" t="b">
        <f t="shared" ca="1" si="92"/>
        <v>0</v>
      </c>
      <c r="X652" s="715" t="str">
        <f t="shared" ca="1" si="90"/>
        <v/>
      </c>
      <c r="Y652" t="b">
        <f t="shared" ca="1" si="93"/>
        <v>1</v>
      </c>
    </row>
    <row r="653" spans="1:25" ht="77.5">
      <c r="A653" s="705" t="s">
        <v>936</v>
      </c>
      <c r="B653" s="716" t="str">
        <f t="shared" ca="1" si="78"/>
        <v>Guarantees - C116</v>
      </c>
      <c r="C653" s="707" t="str" cm="1">
        <f t="array" aca="1" ref="C653" ca="1">INDIRECT(LEFT(I653, FIND("!", I653)) &amp; RefData!$C$426 &amp; RIGHT(I653, LEN(I653) - FIND("!", I653) - 1))</f>
        <v xml:space="preserve">
No answer required
Post town or city
</v>
      </c>
      <c r="D653" s="92" t="str">
        <f t="shared" ca="1" si="89"/>
        <v/>
      </c>
      <c r="E653" s="708" t="str" cm="1">
        <f t="array" aca="1" ref="E653" ca="1">IF(INDIRECT($I653)= "", "", INDIRECT($I653))</f>
        <v/>
      </c>
      <c r="F653" s="709" t="str" cm="1">
        <f t="array" aca="1" ref="F653" ca="1">INDIRECT(LEFT(I653, FIND("!", I653)) &amp; RefData!$C$427 &amp; RIGHT(I653, LEN(I653) - FIND("!", I653) - 1))</f>
        <v>GTE 8.0/4</v>
      </c>
      <c r="G653" s="710" t="b">
        <f ca="1">IF(ISNUMBER(SEARCH(RefData!$B$2, $C653)), FALSE, TRUE)</f>
        <v>0</v>
      </c>
      <c r="H653" s="344">
        <f>Guarantees!C116</f>
        <v>0</v>
      </c>
      <c r="I653" s="712" t="str">
        <f t="shared" ca="1" si="79"/>
        <v>Guarantees!C116</v>
      </c>
      <c r="J653" s="713" t="b" cm="1">
        <f t="array" aca="1" ref="J653" ca="1">IF(
    ISNUMBER(SEARCH(RefData!$B$2, $C$474)),
    IF(
        $E653 &lt;&gt; "",
        $J$474,
        IF(
            $E653 = "",
            FALSE
        )
    ),
    IF(
        COUNTIF($K653:$T653, "&lt;&gt;FALSE") - COUNTBLANK($K653:$T653) &gt; 0,
        INDEX($K653:$T653, MATCH(TRUE, $K653:$T653 &lt;&gt; FALSE, 0))
    )
)</f>
        <v>0</v>
      </c>
      <c r="K653" s="712" t="b">
        <f ca="1">IF(AND('Covenant summary information'!$C$83=0,'Reconciliation report'!$E653&lt;&gt;""),ErrorMsgs!$B653)</f>
        <v>0</v>
      </c>
      <c r="L653" s="712" t="b">
        <f ca="1">IF(AND('Covenant summary information'!$C$83&lt;4,'Reconciliation report'!$E653&lt;&gt;""),ErrorMsgs!$C653)</f>
        <v>0</v>
      </c>
      <c r="M653" s="712" t="b">
        <f ca="1">IF(AND(TRIM(Guarantees!$C110)&lt;&gt;"",$E653&lt;&gt;""),ErrorMsgs!$D653)</f>
        <v>0</v>
      </c>
      <c r="N653" s="712" t="b">
        <f ca="1">IF(AND(Guarantees!$C111&lt;&gt;"",$E653&lt;&gt;""),ErrorMsgs!$E653)</f>
        <v>0</v>
      </c>
      <c r="O653" s="712" t="b">
        <f ca="1">IF(AND('Covenant summary information'!$C$83&gt;=4,TRIM(Guarantees!$C110)="",Guarantees!$C111="",'Reconciliation report'!$E653=""),ErrorMsgs!$F653)</f>
        <v>0</v>
      </c>
      <c r="P653" s="712" t="b">
        <f ca="1">IF(LEN($E653)&gt;510,ErrorMsgs!$G653)</f>
        <v>0</v>
      </c>
      <c r="Q653" s="712"/>
      <c r="R653" s="712"/>
      <c r="S653" s="712"/>
      <c r="T653" s="712"/>
      <c r="U653" s="526" t="str">
        <f t="shared" ca="1" si="91"/>
        <v/>
      </c>
      <c r="V653" s="93" t="str" cm="1">
        <f t="array" aca="1" ref="V653" ca="1">CELL("format",INDIRECT(I653))</f>
        <v>G</v>
      </c>
      <c r="W653" s="93" t="b">
        <f t="shared" ca="1" si="92"/>
        <v>0</v>
      </c>
      <c r="X653" s="715" t="str">
        <f t="shared" ca="1" si="90"/>
        <v/>
      </c>
      <c r="Y653" t="b">
        <f t="shared" ca="1" si="93"/>
        <v>1</v>
      </c>
    </row>
    <row r="654" spans="1:25" ht="77.5">
      <c r="A654" s="705" t="s">
        <v>938</v>
      </c>
      <c r="B654" s="716" t="str">
        <f t="shared" ca="1" si="78"/>
        <v>Guarantees - C117</v>
      </c>
      <c r="C654" s="707" t="str" cm="1">
        <f t="array" aca="1" ref="C654" ca="1">INDIRECT(LEFT(I654, FIND("!", I654)) &amp; RefData!$C$426 &amp; RIGHT(I654, LEN(I654) - FIND("!", I654) - 1))</f>
        <v xml:space="preserve">
No answer required
Country
</v>
      </c>
      <c r="D654" s="92" t="str">
        <f t="shared" ca="1" si="89"/>
        <v/>
      </c>
      <c r="E654" s="708" t="str" cm="1">
        <f t="array" aca="1" ref="E654" ca="1">IF(INDIRECT($I654)= "", "", INDIRECT($I654))</f>
        <v/>
      </c>
      <c r="F654" s="709" t="str" cm="1">
        <f t="array" aca="1" ref="F654" ca="1">INDIRECT(LEFT(I654, FIND("!", I654)) &amp; RefData!$C$427 &amp; RIGHT(I654, LEN(I654) - FIND("!", I654) - 1))</f>
        <v>GTE 9.0/4</v>
      </c>
      <c r="G654" s="710" t="b">
        <f ca="1">IF(ISNUMBER(SEARCH(RefData!$B$2, $C654)), FALSE, TRUE)</f>
        <v>0</v>
      </c>
      <c r="H654" s="344">
        <f>Guarantees!C117</f>
        <v>0</v>
      </c>
      <c r="I654" s="712" t="str">
        <f t="shared" ca="1" si="79"/>
        <v>Guarantees!C117</v>
      </c>
      <c r="J654" s="713" t="b" cm="1">
        <f t="array" aca="1" ref="J654" ca="1">IF(
    ISNUMBER(SEARCH(RefData!$B$2, $C$474)),
    IF(
        $E654 &lt;&gt; "",
        $J$474,
        IF(
            $E654 = "",
            FALSE
        )
    ),
    IF(
        COUNTIF($K654:$T654, "&lt;&gt;FALSE") - COUNTBLANK($K654:$T654) &gt; 0,
        INDEX($K654:$T654, MATCH(TRUE, $K654:$T654 &lt;&gt; FALSE, 0))
    )
)</f>
        <v>0</v>
      </c>
      <c r="K654" s="712" t="b">
        <f ca="1">IF(AND('Covenant summary information'!$C$83=0,'Reconciliation report'!$E654&lt;&gt;""),ErrorMsgs!$B654)</f>
        <v>0</v>
      </c>
      <c r="L654" s="712" t="b">
        <f ca="1">IF(AND('Covenant summary information'!$C$83&lt;4,'Reconciliation report'!$E654&lt;&gt;""),ErrorMsgs!$C654)</f>
        <v>0</v>
      </c>
      <c r="M654" s="712" t="b">
        <f ca="1">IF(AND(TRIM(Guarantees!$C110)&lt;&gt;"",$E654&lt;&gt;""),ErrorMsgs!$D654)</f>
        <v>0</v>
      </c>
      <c r="N654" s="712" t="b">
        <f ca="1">IF(AND(Guarantees!$C111&lt;&gt;"",$E654&lt;&gt;""),ErrorMsgs!$E654)</f>
        <v>0</v>
      </c>
      <c r="O654" s="712" t="b">
        <f ca="1">IF(AND('Covenant summary information'!$C$83&gt;=4,TRIM(Guarantees!$C110)="",Guarantees!$C111="",'Reconciliation report'!$E654=""),ErrorMsgs!$F654)</f>
        <v>0</v>
      </c>
      <c r="P654" s="712" t="b">
        <f ca="1">IF(AND($E654&lt;&gt;"",ISNA(MATCH($E654,RefData!$B$206:$B$400,0))),ErrorMsgs!$G654)</f>
        <v>0</v>
      </c>
      <c r="Q654" s="712"/>
      <c r="R654" s="712"/>
      <c r="S654" s="712"/>
      <c r="T654" s="712"/>
      <c r="U654" s="526" t="str">
        <f t="shared" ca="1" si="91"/>
        <v/>
      </c>
      <c r="V654" s="93" t="str" cm="1">
        <f t="array" aca="1" ref="V654" ca="1">CELL("format",INDIRECT(I654))</f>
        <v>G</v>
      </c>
      <c r="W654" s="93" t="b">
        <f t="shared" ca="1" si="92"/>
        <v>0</v>
      </c>
      <c r="X654" s="715" t="str">
        <f t="shared" ca="1" si="90"/>
        <v/>
      </c>
      <c r="Y654" t="b">
        <f t="shared" ca="1" si="93"/>
        <v>1</v>
      </c>
    </row>
    <row r="655" spans="1:25" ht="77.5">
      <c r="A655" s="705" t="s">
        <v>940</v>
      </c>
      <c r="B655" s="716" t="str">
        <f t="shared" ca="1" si="78"/>
        <v>Guarantees - C118</v>
      </c>
      <c r="C655" s="707" t="str" cm="1">
        <f t="array" aca="1" ref="C655" ca="1">INDIRECT(LEFT(I655, FIND("!", I655)) &amp; RefData!$C$426 &amp; RIGHT(I655, LEN(I655) - FIND("!", I655) - 1))</f>
        <v xml:space="preserve">
No answer required
Postcode
</v>
      </c>
      <c r="D655" s="92" t="str">
        <f t="shared" ca="1" si="89"/>
        <v/>
      </c>
      <c r="E655" s="708" t="str" cm="1">
        <f t="array" aca="1" ref="E655" ca="1">IF(INDIRECT($I655)= "", "", INDIRECT($I655))</f>
        <v/>
      </c>
      <c r="F655" s="709" t="str" cm="1">
        <f t="array" aca="1" ref="F655" ca="1">INDIRECT(LEFT(I655, FIND("!", I655)) &amp; RefData!$C$427 &amp; RIGHT(I655, LEN(I655) - FIND("!", I655) - 1))</f>
        <v>GTE 10.0/4</v>
      </c>
      <c r="G655" s="710" t="b">
        <f ca="1">IF(ISNUMBER(SEARCH(RefData!$B$2, $C655)), FALSE, TRUE)</f>
        <v>0</v>
      </c>
      <c r="H655" s="344">
        <f>Guarantees!C118</f>
        <v>0</v>
      </c>
      <c r="I655" s="712" t="str">
        <f t="shared" ca="1" si="79"/>
        <v>Guarantees!C118</v>
      </c>
      <c r="J655" s="713" t="b" cm="1">
        <f t="array" aca="1" ref="J655" ca="1">IF(
    ISNUMBER(SEARCH(RefData!$B$2, $C$474)),
    IF(
        $E655 &lt;&gt; "",
        $J$474,
        IF(
            $E655 = "",
            FALSE
        )
    ),
    IF(
        COUNTIF($K655:$T655, "&lt;&gt;FALSE") - COUNTBLANK($K655:$T655) &gt; 0,
        INDEX($K655:$T655, MATCH(TRUE, $K655:$T655 &lt;&gt; FALSE, 0))
    )
)</f>
        <v>0</v>
      </c>
      <c r="K655" s="712" t="b">
        <f ca="1">IF(AND('Covenant summary information'!$C$83=0,'Reconciliation report'!$E655&lt;&gt;""),ErrorMsgs!$B655)</f>
        <v>0</v>
      </c>
      <c r="L655" s="712" t="b">
        <f ca="1">IF(AND('Covenant summary information'!$C$83&lt;4,'Reconciliation report'!$E655&lt;&gt;""),ErrorMsgs!$C655)</f>
        <v>0</v>
      </c>
      <c r="M655" s="712" t="b">
        <f ca="1">IF(AND(TRIM($E647)&lt;&gt;"",$E655&lt;&gt;""),ErrorMsgs!$D655)</f>
        <v>0</v>
      </c>
      <c r="N655" s="712" t="b">
        <f ca="1">IF(AND($E648&lt;&gt;"",$E655&lt;&gt;""),ErrorMsgs!$E655)</f>
        <v>0</v>
      </c>
      <c r="O655" s="712" t="b">
        <f ca="1">IF(AND('Covenant summary information'!$C$83&gt;=4,TRIM(Guarantees!$C110)="",Guarantees!$C111="",'Reconciliation report'!$E655="",$E654=RefData!$B$206),ErrorMsgs!$F655)</f>
        <v>0</v>
      </c>
      <c r="P655" s="712" t="b">
        <f ca="1">IF(AND($E654=RefData!$B$206,
 OR(LEN($E655)&lt;5,
LEN($E655)&gt;8,
(ISNUMBER(VALUE(LEFT($E655,1)))),
(NOT(ISNUMBER(VALUE(MID($E655,LEN($E655)-2,1))))),
(ISNUMBER(VALUE(MID($E655,LEN($E655)-1,1)))),
ISNUMBER(VALUE(RIGHT($E655,1))))),
ErrorMsgs!$G655, FALSE)</f>
        <v>0</v>
      </c>
      <c r="Q655" s="712"/>
      <c r="R655" s="712"/>
      <c r="S655" s="712"/>
      <c r="T655" s="712"/>
      <c r="U655" s="526" t="str">
        <f t="shared" ca="1" si="91"/>
        <v/>
      </c>
      <c r="V655" s="93" t="str" cm="1">
        <f t="array" aca="1" ref="V655" ca="1">CELL("format",INDIRECT(I655))</f>
        <v>G</v>
      </c>
      <c r="W655" s="93" t="b">
        <f t="shared" ca="1" si="92"/>
        <v>0</v>
      </c>
      <c r="X655" s="715" t="str">
        <f t="shared" ca="1" si="90"/>
        <v/>
      </c>
      <c r="Y655" t="b">
        <f t="shared" ca="1" si="93"/>
        <v>1</v>
      </c>
    </row>
    <row r="656" spans="1:25" ht="77.5">
      <c r="A656" s="705" t="s">
        <v>942</v>
      </c>
      <c r="B656" s="716" t="str">
        <f t="shared" ca="1" si="78"/>
        <v>Guarantees - C119</v>
      </c>
      <c r="C656" s="707" t="str" cm="1">
        <f t="array" aca="1" ref="C656" ca="1">INDIRECT(LEFT(I656, FIND("!", I656)) &amp; RefData!$C$426 &amp; RIGHT(I656, LEN(I656) - FIND("!", I656) - 1))</f>
        <v xml:space="preserve">
No answer required
Is the guarantor an associated company?
</v>
      </c>
      <c r="D656" s="92" t="str">
        <f t="shared" ca="1" si="89"/>
        <v/>
      </c>
      <c r="E656" s="708" t="str" cm="1">
        <f t="array" aca="1" ref="E656" ca="1">IF(INDIRECT($I656)= "", "", INDIRECT($I656))</f>
        <v/>
      </c>
      <c r="F656" s="709" t="str" cm="1">
        <f t="array" aca="1" ref="F656" ca="1">INDIRECT(LEFT(I656, FIND("!", I656)) &amp; RefData!$C$427 &amp; RIGHT(I656, LEN(I656) - FIND("!", I656) - 1))</f>
        <v>GTE 11.0/4</v>
      </c>
      <c r="G656" s="710" t="b">
        <f ca="1">IF(ISNUMBER(SEARCH(RefData!$B$2, $C656)), FALSE, TRUE)</f>
        <v>0</v>
      </c>
      <c r="H656" s="344">
        <f>Guarantees!C119</f>
        <v>0</v>
      </c>
      <c r="I656" s="712" t="str">
        <f t="shared" ca="1" si="79"/>
        <v>Guarantees!C119</v>
      </c>
      <c r="J656" s="713" t="b" cm="1">
        <f t="array" aca="1" ref="J656" ca="1">IF(
    ISNUMBER(SEARCH(RefData!$B$2, $C$474)),
    IF(
        $E656 &lt;&gt; "",
        $J$474,
        IF(
            $E656 = "",
            FALSE
        )
    ),
    IF(
        COUNTIF($K656:$T656, "&lt;&gt;FALSE") - COUNTBLANK($K656:$T656) &gt; 0,
        INDEX($K656:$T656, MATCH(TRUE, $K656:$T656 &lt;&gt; FALSE, 0))
    )
)</f>
        <v>0</v>
      </c>
      <c r="K656" s="712" t="b">
        <f ca="1">IF(AND('Start here'!$C$26=RefData!$B$9,'Reconciliation report'!$E656&lt;&gt;""),ErrorMsgs!$B656)</f>
        <v>0</v>
      </c>
      <c r="L656" s="712" t="b">
        <f ca="1">IF(AND('Start here'!$C$26=RefData!$B$10,'Covenant summary information'!$C$83=0,'Reconciliation report'!$E656&lt;&gt;""),ErrorMsgs!$C656)</f>
        <v>0</v>
      </c>
      <c r="M656" s="714" t="b">
        <f ca="1">IF(AND('Start here'!$C$26=RefData!$B$10,'Covenant summary information'!$C$83&lt;4,'Reconciliation report'!$E656&lt;&gt;""),ErrorMsgs!$D656)</f>
        <v>0</v>
      </c>
      <c r="N656" s="714" t="b">
        <f ca="1">IF(AND('Start here'!$C$26=RefData!$B$10,'Start here'!$C$23=RefData!$B$17,'Start here'!$C$27=RefData!$B$12,'Covenant summary information'!$C$83&gt;=4,'Reconciliation report'!$E656=""),ErrorMsgs!$E656)</f>
        <v>0</v>
      </c>
      <c r="O656" s="712" t="b">
        <f ca="1">IF(AND($E656&lt;&gt;"",ISNA(MATCH($E656,RefData!$B$124:$B$125,0))),ErrorMsgs!$E656)</f>
        <v>0</v>
      </c>
      <c r="P656" s="712" t="b">
        <f ca="1">IF(AND('Start here'!$C$26=RefData!$B$10,'Start here'!$C$23=RefData!$B$17,'Start here'!$C$27=RefData!$B$11,'Covenant summary information'!$C$83&gt;=4,'Reconciliation report'!$E656&lt;&gt;""),ErrorMsgs!$G656)</f>
        <v>0</v>
      </c>
      <c r="Q656" s="712" t="b">
        <f ca="1">IF(AND('Start here'!$C$26=RefData!$B$10,'Start here'!$C$23=RefData!$B$18,'Covenant summary information'!$C$83&gt;=4,'Reconciliation report'!E656=""),ErrorMsgs!$H656)</f>
        <v>0</v>
      </c>
      <c r="R656" s="712"/>
      <c r="S656" s="712"/>
      <c r="T656" s="712"/>
      <c r="U656" s="526" t="str">
        <f t="shared" ca="1" si="91"/>
        <v/>
      </c>
      <c r="V656" s="93" t="str" cm="1">
        <f t="array" aca="1" ref="V656" ca="1">CELL("format",INDIRECT(I656))</f>
        <v>G</v>
      </c>
      <c r="W656" s="93" t="b">
        <f t="shared" ca="1" si="92"/>
        <v>0</v>
      </c>
      <c r="X656" s="715" t="str">
        <f t="shared" ca="1" si="90"/>
        <v/>
      </c>
      <c r="Y656" t="b">
        <f t="shared" ca="1" si="93"/>
        <v>1</v>
      </c>
    </row>
    <row r="657" spans="1:25" ht="77.5">
      <c r="A657" s="705" t="s">
        <v>944</v>
      </c>
      <c r="B657" s="716" t="str">
        <f t="shared" ca="1" si="78"/>
        <v>Guarantees - C120</v>
      </c>
      <c r="C657" s="707" t="str" cm="1">
        <f t="array" aca="1" ref="C657" ca="1">INDIRECT(LEFT(I657, FIND("!", I657)) &amp; RefData!$C$426 &amp; RIGHT(I657, LEN(I657) - FIND("!", I657) - 1))</f>
        <v xml:space="preserve">
No answer required
What is type of guarantee?
</v>
      </c>
      <c r="D657" s="92" t="str">
        <f t="shared" ca="1" si="89"/>
        <v/>
      </c>
      <c r="E657" s="708" t="str" cm="1">
        <f t="array" aca="1" ref="E657" ca="1">IF(INDIRECT($I657)= "", "", INDIRECT($I657))</f>
        <v/>
      </c>
      <c r="F657" s="709" t="str" cm="1">
        <f t="array" aca="1" ref="F657" ca="1">INDIRECT(LEFT(I657, FIND("!", I657)) &amp; RefData!$C$427 &amp; RIGHT(I657, LEN(I657) - FIND("!", I657) - 1))</f>
        <v>GTE 12.0/4</v>
      </c>
      <c r="G657" s="710" t="b">
        <f ca="1">IF(ISNUMBER(SEARCH(RefData!$B$2, $C657)), FALSE, TRUE)</f>
        <v>0</v>
      </c>
      <c r="H657" s="344">
        <f>Guarantees!C120</f>
        <v>0</v>
      </c>
      <c r="I657" s="712" t="str">
        <f t="shared" ca="1" si="79"/>
        <v>Guarantees!C120</v>
      </c>
      <c r="J657" s="713" t="b" cm="1">
        <f t="array" aca="1" ref="J657" ca="1">IF(
    ISNUMBER(SEARCH(RefData!$B$2, $C$474)),
    IF(
        $E657 &lt;&gt; "",
        $J$474,
        IF(
            $E657 = "",
            FALSE
        )
    ),
    IF(
        COUNTIF($K657:$T657, "&lt;&gt;FALSE") - COUNTBLANK($K657:$T657) &gt; 0,
        INDEX($K657:$T657, MATCH(TRUE, $K657:$T657 &lt;&gt; FALSE, 0))
    )
)</f>
        <v>0</v>
      </c>
      <c r="K657" s="712" t="b">
        <f ca="1">IF(AND('Covenant summary information'!$C$83=0,'Reconciliation report'!$E657&lt;&gt;""),ErrorMsgs!$B657)</f>
        <v>0</v>
      </c>
      <c r="L657" s="712" t="b">
        <f ca="1">IF(AND('Covenant summary information'!$C$83&lt;4,'Reconciliation report'!$E657&lt;&gt;""),ErrorMsgs!$C657)</f>
        <v>0</v>
      </c>
      <c r="M657" s="712" t="b">
        <f ca="1">IF(AND('Covenant summary information'!$C$83&gt;=4,'Reconciliation report'!$E657=""),ErrorMsgs!$D657)</f>
        <v>0</v>
      </c>
      <c r="N657" s="712" t="b">
        <f ca="1">IF(AND($E657&lt;&gt;"",ISNA(MATCH($E657,RefData!$B$126:$B$129,0))),ErrorMsgs!$E657)</f>
        <v>0</v>
      </c>
      <c r="O657" s="712"/>
      <c r="P657" s="712"/>
      <c r="Q657" s="712"/>
      <c r="R657" s="712"/>
      <c r="S657" s="712"/>
      <c r="T657" s="712"/>
      <c r="U657" s="526" t="str">
        <f t="shared" ca="1" si="91"/>
        <v/>
      </c>
      <c r="V657" s="93" t="str" cm="1">
        <f t="array" aca="1" ref="V657" ca="1">CELL("format",INDIRECT(I657))</f>
        <v>G</v>
      </c>
      <c r="W657" s="93" t="b">
        <f t="shared" ca="1" si="92"/>
        <v>0</v>
      </c>
      <c r="X657" s="715" t="str">
        <f t="shared" ca="1" si="90"/>
        <v/>
      </c>
      <c r="Y657" t="b">
        <f t="shared" ca="1" si="93"/>
        <v>1</v>
      </c>
    </row>
    <row r="658" spans="1:25" ht="77.5">
      <c r="A658" s="705" t="s">
        <v>947</v>
      </c>
      <c r="B658" s="716" t="str">
        <f t="shared" ca="1" si="78"/>
        <v>Guarantees - C121</v>
      </c>
      <c r="C658" s="707" t="str" cm="1">
        <f t="array" aca="1" ref="C658" ca="1">INDIRECT(LEFT(I658, FIND("!", I658)) &amp; RefData!$C$426 &amp; RIGHT(I658, LEN(I658) - FIND("!", I658) - 1))</f>
        <v xml:space="preserve">
No answer required
Describe the other type of guarantee.
</v>
      </c>
      <c r="D658" s="92" t="str">
        <f t="shared" ca="1" si="89"/>
        <v/>
      </c>
      <c r="E658" s="708" t="str" cm="1">
        <f t="array" aca="1" ref="E658" ca="1">IF(INDIRECT($I658)= "", "", INDIRECT($I658))</f>
        <v/>
      </c>
      <c r="F658" s="709" t="str" cm="1">
        <f t="array" aca="1" ref="F658" ca="1">INDIRECT(LEFT(I658, FIND("!", I658)) &amp; RefData!$C$427 &amp; RIGHT(I658, LEN(I658) - FIND("!", I658) - 1))</f>
        <v>GTE 13.0/4</v>
      </c>
      <c r="G658" s="710" t="b">
        <f ca="1">IF(ISNUMBER(SEARCH(RefData!$B$2, $C658)), FALSE, TRUE)</f>
        <v>0</v>
      </c>
      <c r="H658" s="344">
        <f>Guarantees!C121</f>
        <v>0</v>
      </c>
      <c r="I658" s="712" t="str">
        <f t="shared" ca="1" si="79"/>
        <v>Guarantees!C121</v>
      </c>
      <c r="J658" s="713" t="b" cm="1">
        <f t="array" aca="1" ref="J658" ca="1">IF(
    ISNUMBER(SEARCH(RefData!$B$2, $C$474)),
    IF(
        $E658 &lt;&gt; "",
        $J$474,
        IF(
            $E658 = "",
            FALSE
        )
    ),
    IF(
        COUNTIF($K658:$T658, "&lt;&gt;FALSE") - COUNTBLANK($K658:$T658) &gt; 0,
        INDEX($K658:$T658, MATCH(TRUE, $K658:$T658 &lt;&gt; FALSE, 0))
    )
)</f>
        <v>0</v>
      </c>
      <c r="K658" s="712" t="b">
        <f ca="1">IF(AND('Covenant summary information'!$C$83=0,'Reconciliation report'!$E658&lt;&gt;""),ErrorMsgs!$B658)</f>
        <v>0</v>
      </c>
      <c r="L658" s="712" t="b">
        <f ca="1">IF(AND('Covenant summary information'!$C$83&lt;4,'Reconciliation report'!$E658&lt;&gt;""),ErrorMsgs!$C658)</f>
        <v>0</v>
      </c>
      <c r="M658" s="712" t="b">
        <f ca="1">IF(AND('Covenant summary information'!$C$83&lt;4,$E657&lt;&gt;RefData!$B$129,'Reconciliation report'!$E658&lt;&gt;""),ErrorMsgs!$D658)</f>
        <v>0</v>
      </c>
      <c r="N658" s="712" t="b">
        <f ca="1">IF(AND('Covenant summary information'!$C$83&gt;=4,$E657=RefData!$B$129,'Reconciliation report'!$E658=""),ErrorMsgs!$E658)</f>
        <v>0</v>
      </c>
      <c r="O658" s="712" t="b">
        <f ca="1">IF(LEN($E658)&gt;4000,ErrorMsgs!$F658)</f>
        <v>0</v>
      </c>
      <c r="P658" s="712"/>
      <c r="Q658" s="712"/>
      <c r="R658" s="712"/>
      <c r="S658" s="712"/>
      <c r="T658" s="712"/>
      <c r="U658" s="526" t="str">
        <f t="shared" ca="1" si="91"/>
        <v/>
      </c>
      <c r="V658" s="93" t="str" cm="1">
        <f t="array" aca="1" ref="V658" ca="1">CELL("format",INDIRECT(I658))</f>
        <v>G</v>
      </c>
      <c r="W658" s="93" t="b">
        <f t="shared" ca="1" si="92"/>
        <v>0</v>
      </c>
      <c r="X658" s="715" t="str">
        <f t="shared" ca="1" si="90"/>
        <v/>
      </c>
      <c r="Y658" t="b">
        <f t="shared" ca="1" si="93"/>
        <v>1</v>
      </c>
    </row>
    <row r="659" spans="1:25" ht="77.5">
      <c r="A659" s="705" t="s">
        <v>949</v>
      </c>
      <c r="B659" s="716" t="str">
        <f t="shared" ca="1" si="78"/>
        <v>Guarantees - C122</v>
      </c>
      <c r="C659" s="707" t="str" cm="1">
        <f t="array" aca="1" ref="C659" ca="1">INDIRECT(LEFT(I659, FIND("!", I659)) &amp; RefData!$C$426 &amp; RIGHT(I659, LEN(I659) - FIND("!", I659) - 1))</f>
        <v xml:space="preserve">
No answer required
Type of maturity
</v>
      </c>
      <c r="D659" s="92" t="str">
        <f t="shared" ca="1" si="89"/>
        <v/>
      </c>
      <c r="E659" s="708" t="str" cm="1">
        <f t="array" aca="1" ref="E659" ca="1">IF(INDIRECT($I659)= "", "", INDIRECT($I659))</f>
        <v/>
      </c>
      <c r="F659" s="709" t="str" cm="1">
        <f t="array" aca="1" ref="F659" ca="1">INDIRECT(LEFT(I659, FIND("!", I659)) &amp; RefData!$C$427 &amp; RIGHT(I659, LEN(I659) - FIND("!", I659) - 1))</f>
        <v>GTE 14.0/4</v>
      </c>
      <c r="G659" s="710" t="b">
        <f ca="1">IF(ISNUMBER(SEARCH(RefData!$B$2, $C659)), FALSE, TRUE)</f>
        <v>0</v>
      </c>
      <c r="H659" s="344">
        <f>Guarantees!C122</f>
        <v>0</v>
      </c>
      <c r="I659" s="712" t="str">
        <f t="shared" ca="1" si="79"/>
        <v>Guarantees!C122</v>
      </c>
      <c r="J659" s="713" t="b" cm="1">
        <f t="array" aca="1" ref="J659" ca="1">IF(
    ISNUMBER(SEARCH(RefData!$B$2, $C$474)),
    IF(
        $E659 &lt;&gt; "",
        $J$474,
        IF(
            $E659 = "",
            FALSE
        )
    ),
    IF(
        COUNTIF($K659:$T659, "&lt;&gt;FALSE") - COUNTBLANK($K659:$T659) &gt; 0,
        INDEX($K659:$T659, MATCH(TRUE, $K659:$T659 &lt;&gt; FALSE, 0))
    )
)</f>
        <v>0</v>
      </c>
      <c r="K659" s="712" t="b">
        <f ca="1">IF(AND('Start here'!$C$26=RefData!$B$9,'Reconciliation report'!$E659&lt;&gt;""),ErrorMsgs!$B659)</f>
        <v>0</v>
      </c>
      <c r="L659" s="712" t="b">
        <f ca="1">IF(AND('Start here'!$C$26=RefData!$B$10,'Covenant summary information'!$C$83=0,'Reconciliation report'!$E659&lt;&gt;""),ErrorMsgs!$C659)</f>
        <v>0</v>
      </c>
      <c r="M659" s="712" t="b">
        <f ca="1">IF(AND('Start here'!$C$26=RefData!$B$10,'Covenant summary information'!$C$83&lt;4,'Reconciliation report'!$E659&lt;&gt;""),ErrorMsgs!$D659)</f>
        <v>0</v>
      </c>
      <c r="N659" s="712" t="b">
        <f ca="1">IF(AND('Start here'!$C$26=RefData!$B$10,'Covenant summary information'!$C$83&gt;=4,'Reconciliation report'!$E659=""),ErrorMsgs!$E659)</f>
        <v>0</v>
      </c>
      <c r="O659" s="712" t="b">
        <f ca="1">IF(AND($E659&lt;&gt;"",ISNA(MATCH($E659,RefData!$B$130:$B$132,0))),ErrorMsgs!$F659)</f>
        <v>0</v>
      </c>
      <c r="P659" s="712"/>
      <c r="Q659" s="712"/>
      <c r="R659" s="712"/>
      <c r="S659" s="712"/>
      <c r="T659" s="712"/>
      <c r="U659" s="526" t="str">
        <f t="shared" ca="1" si="91"/>
        <v/>
      </c>
      <c r="V659" s="93" t="str" cm="1">
        <f t="array" aca="1" ref="V659" ca="1">CELL("format",INDIRECT(I659))</f>
        <v>G</v>
      </c>
      <c r="W659" s="93" t="b">
        <f t="shared" ca="1" si="92"/>
        <v>0</v>
      </c>
      <c r="X659" s="715" t="str">
        <f t="shared" ca="1" si="90"/>
        <v/>
      </c>
      <c r="Y659" t="b">
        <f t="shared" ca="1" si="93"/>
        <v>1</v>
      </c>
    </row>
    <row r="660" spans="1:25" ht="77.5">
      <c r="A660" s="705" t="s">
        <v>951</v>
      </c>
      <c r="B660" s="716" t="str">
        <f t="shared" ca="1" si="78"/>
        <v>Guarantees - C123</v>
      </c>
      <c r="C660" s="707" t="str" cm="1">
        <f t="array" aca="1" ref="C660" ca="1">INDIRECT(LEFT(I660, FIND("!", I660)) &amp; RefData!$C$426 &amp; RIGHT(I660, LEN(I660) - FIND("!", I660) - 1))</f>
        <v xml:space="preserve">
No answer required
Date of maturity
</v>
      </c>
      <c r="D660" s="92" t="str">
        <f t="shared" ca="1" si="89"/>
        <v/>
      </c>
      <c r="E660" s="708" t="str" cm="1">
        <f t="array" aca="1" ref="E660" ca="1">IF(INDIRECT($I660)= "", "", INDIRECT($I660))</f>
        <v/>
      </c>
      <c r="F660" s="709" t="str" cm="1">
        <f t="array" aca="1" ref="F660" ca="1">INDIRECT(LEFT(I660, FIND("!", I660)) &amp; RefData!$C$427 &amp; RIGHT(I660, LEN(I660) - FIND("!", I660) - 1))</f>
        <v>GTE 15.0/4</v>
      </c>
      <c r="G660" s="710" t="b">
        <f ca="1">IF(ISNUMBER(SEARCH(RefData!$B$2, $C660)), FALSE, TRUE)</f>
        <v>0</v>
      </c>
      <c r="H660" s="391">
        <f>Guarantees!C123</f>
        <v>0</v>
      </c>
      <c r="I660" s="712" t="str">
        <f t="shared" ca="1" si="79"/>
        <v>Guarantees!C123</v>
      </c>
      <c r="J660" s="713" t="b" cm="1">
        <f t="array" aca="1" ref="J660" ca="1">IF(
    ISNUMBER(SEARCH(RefData!$B$2, $C$474)),
    IF(
        $E660 &lt;&gt; "",
        $J$474,
        IF(
            $E660 = "",
            FALSE
        )
    ),
    IF(
        COUNTIF($K660:$T660, "&lt;&gt;FALSE") - COUNTBLANK($K660:$T660) &gt; 0,
        INDEX($K660:$T660, MATCH(TRUE, $K660:$T660 &lt;&gt; FALSE, 0))
    )
)</f>
        <v>0</v>
      </c>
      <c r="K660" s="712" t="b">
        <f ca="1">IF(AND('Start here'!$C$26=RefData!$B$9,'Reconciliation report'!$E660&lt;&gt;""),ErrorMsgs!$B660)</f>
        <v>0</v>
      </c>
      <c r="L660" s="712" t="b">
        <f ca="1">IF(AND('Start here'!$C$26=RefData!$B$10,'Covenant summary information'!$C$83=0,'Reconciliation report'!$E660&lt;&gt;""),ErrorMsgs!$C660)</f>
        <v>0</v>
      </c>
      <c r="M660" s="712" t="b">
        <f ca="1">IF(AND('Start here'!$C$26=RefData!$B$10,'Covenant summary information'!$C$83&lt;4,'Reconciliation report'!$E660&lt;&gt;""),ErrorMsgs!$D660)</f>
        <v>0</v>
      </c>
      <c r="N660" s="712" t="b">
        <f ca="1">IF(AND('Start here'!$C$26=RefData!$B$10,'Covenant summary information'!$C$83&gt;=4,OR(Guarantees!$C122=RefData!$B$130,Guarantees!$C122=RefData!$B$129),'Reconciliation report'!$E660&lt;&gt;""),ErrorMsgs!$E660)</f>
        <v>0</v>
      </c>
      <c r="O660" s="712" t="b">
        <f ca="1">IF(AND('Start here'!$C$26=RefData!$B$10,'Covenant summary information'!$C$83&gt;=4,Guarantees!$C122=RefData!$B$131,'Reconciliation report'!$E660=""),ErrorMsgs!$F660)</f>
        <v>0</v>
      </c>
      <c r="P660" s="712" t="b">
        <f ca="1">IF(AND($E660&lt;&gt;"",NOT(ISNUMBER(VALUE($E660)))),ErrorMsgs!$G660)</f>
        <v>0</v>
      </c>
      <c r="Q660" s="712" t="b">
        <f ca="1">IF($E660&lt;'Start here'!$C$21,ErrorMsgs!$H660)</f>
        <v>0</v>
      </c>
      <c r="R660" s="712"/>
      <c r="S660" s="712"/>
      <c r="T660" s="712"/>
      <c r="U660" s="526" t="str">
        <f t="shared" ca="1" si="91"/>
        <v/>
      </c>
      <c r="V660" s="93" t="str" cm="1">
        <f t="array" aca="1" ref="V660" ca="1">CELL("format",INDIRECT(I660))</f>
        <v>D1</v>
      </c>
      <c r="W660" s="93" t="b">
        <f t="shared" ca="1" si="92"/>
        <v>0</v>
      </c>
      <c r="X660" s="715" t="str">
        <f t="shared" ca="1" si="90"/>
        <v/>
      </c>
      <c r="Y660" t="b">
        <f t="shared" ca="1" si="93"/>
        <v>1</v>
      </c>
    </row>
    <row r="661" spans="1:25" ht="77.5">
      <c r="A661" s="705" t="s">
        <v>953</v>
      </c>
      <c r="B661" s="716" t="str">
        <f t="shared" ca="1" si="78"/>
        <v>Guarantees - C124</v>
      </c>
      <c r="C661" s="707" t="str" cm="1">
        <f t="array" aca="1" ref="C661" ca="1">INDIRECT(LEFT(I661, FIND("!", I661)) &amp; RefData!$C$426 &amp; RIGHT(I661, LEN(I661) - FIND("!", I661) - 1))</f>
        <v xml:space="preserve">
No answer required
Maturity date narrative
</v>
      </c>
      <c r="D661" s="92" t="str">
        <f t="shared" ca="1" si="89"/>
        <v/>
      </c>
      <c r="E661" s="708" t="str" cm="1">
        <f t="array" aca="1" ref="E661" ca="1">IF(INDIRECT($I661)= "", "", INDIRECT($I661))</f>
        <v/>
      </c>
      <c r="F661" s="709" t="str" cm="1">
        <f t="array" aca="1" ref="F661" ca="1">INDIRECT(LEFT(I661, FIND("!", I661)) &amp; RefData!$C$427 &amp; RIGHT(I661, LEN(I661) - FIND("!", I661) - 1))</f>
        <v>GTE 16.0/4</v>
      </c>
      <c r="G661" s="710" t="b">
        <f ca="1">IF(ISNUMBER(SEARCH(RefData!$B$2, $C661)), FALSE, TRUE)</f>
        <v>0</v>
      </c>
      <c r="H661" s="344">
        <f>Guarantees!C124</f>
        <v>0</v>
      </c>
      <c r="I661" s="712" t="str">
        <f t="shared" ca="1" si="79"/>
        <v>Guarantees!C124</v>
      </c>
      <c r="J661" s="713" t="b" cm="1">
        <f t="array" aca="1" ref="J661" ca="1">IF(
    ISNUMBER(SEARCH(RefData!$B$2, $C$474)),
    IF(
        $E661 &lt;&gt; "",
        $J$474,
        IF(
            $E661 = "",
            FALSE
        )
    ),
    IF(
        COUNTIF($K661:$T661, "&lt;&gt;FALSE") - COUNTBLANK($K661:$T661) &gt; 0,
        INDEX($K661:$T661, MATCH(TRUE, $K661:$T661 &lt;&gt; FALSE, 0))
    )
)</f>
        <v>0</v>
      </c>
      <c r="K661" s="712" t="b">
        <f ca="1">IF(AND('Start here'!$C$26=RefData!$B$9,'Reconciliation report'!$E661&lt;&gt;""),ErrorMsgs!$B661)</f>
        <v>0</v>
      </c>
      <c r="L661" s="712" t="b">
        <f ca="1">IF(AND('Start here'!$C$26=RefData!$B$10,'Covenant summary information'!$C$83=0,'Reconciliation report'!$E661&lt;&gt;""),ErrorMsgs!$C661)</f>
        <v>0</v>
      </c>
      <c r="M661" s="712" t="b">
        <f ca="1">IF(AND('Start here'!$C$26=RefData!$B$10,'Covenant summary information'!$C$83&lt;4,'Reconciliation report'!$E661&lt;&gt;""),ErrorMsgs!$D661)</f>
        <v>0</v>
      </c>
      <c r="N661" s="712" t="b">
        <f ca="1">IF(AND('Start here'!$C$26=RefData!$B$10,'Covenant summary information'!$C$83&gt;=4,Guarantees!$C122&lt;&gt;RefData!$B$129,'Reconciliation report'!$E661&lt;&gt;""),ErrorMsgs!$E661)</f>
        <v>0</v>
      </c>
      <c r="O661" s="712" t="b">
        <f ca="1">IF(AND('Start here'!$C$26=RefData!$B$10,'Covenant summary information'!$C$83&gt;=4,Guarantees!$C122=RefData!$B$129,'Reconciliation report'!$E661=""),ErrorMsgs!$F661)</f>
        <v>0</v>
      </c>
      <c r="P661" s="712" t="b">
        <f ca="1">IF(LEN($E661)&gt;4000,ErrorMsgs!$G661)</f>
        <v>0</v>
      </c>
      <c r="Q661" s="712"/>
      <c r="R661" s="712"/>
      <c r="S661" s="712"/>
      <c r="T661" s="712"/>
      <c r="U661" s="526" t="str">
        <f t="shared" ca="1" si="91"/>
        <v/>
      </c>
      <c r="V661" s="93" t="str" cm="1">
        <f t="array" aca="1" ref="V661" ca="1">CELL("format",INDIRECT(I661))</f>
        <v>G</v>
      </c>
      <c r="W661" s="93" t="b">
        <f t="shared" ca="1" si="92"/>
        <v>0</v>
      </c>
      <c r="X661" s="715" t="str">
        <f t="shared" ca="1" si="90"/>
        <v/>
      </c>
      <c r="Y661" t="b">
        <f t="shared" ca="1" si="93"/>
        <v>1</v>
      </c>
    </row>
    <row r="662" spans="1:25" ht="77.5">
      <c r="A662" s="705" t="s">
        <v>955</v>
      </c>
      <c r="B662" s="716" t="str">
        <f t="shared" ca="1" si="78"/>
        <v>Guarantees - C125</v>
      </c>
      <c r="C662" s="707" t="str" cm="1">
        <f t="array" aca="1" ref="C662" ca="1">INDIRECT(LEFT(I662, FIND("!", I662)) &amp; RefData!$C$426 &amp; RIGHT(I662, LEN(I662) - FIND("!", I662) - 1))</f>
        <v xml:space="preserve">
No answer required
Value ascribed (£)
</v>
      </c>
      <c r="D662" s="92" t="str">
        <f t="shared" ca="1" si="89"/>
        <v/>
      </c>
      <c r="E662" s="708" t="str" cm="1">
        <f t="array" aca="1" ref="E662" ca="1">IF(INDIRECT($I662)= "", "", INDIRECT($I662))</f>
        <v/>
      </c>
      <c r="F662" s="709" t="str" cm="1">
        <f t="array" aca="1" ref="F662" ca="1">INDIRECT(LEFT(I662, FIND("!", I662)) &amp; RefData!$C$427 &amp; RIGHT(I662, LEN(I662) - FIND("!", I662) - 1))</f>
        <v>GTE 17.0/4</v>
      </c>
      <c r="G662" s="710" t="b">
        <f ca="1">IF(ISNUMBER(SEARCH(RefData!$B$2, $C662)), FALSE, TRUE)</f>
        <v>0</v>
      </c>
      <c r="H662" s="344">
        <f>Guarantees!C125</f>
        <v>0</v>
      </c>
      <c r="I662" s="712" t="str">
        <f t="shared" ca="1" si="79"/>
        <v>Guarantees!C125</v>
      </c>
      <c r="J662" s="713" t="b" cm="1">
        <f t="array" aca="1" ref="J662" ca="1">IF(
    ISNUMBER(SEARCH(RefData!$B$2, $C$474)),
    IF(
        $E662 &lt;&gt; "",
        $J$474,
        IF(
            $E662 = "",
            FALSE
        )
    ),
    IF(
        COUNTIF($K662:$T662, "&lt;&gt;FALSE") - COUNTBLANK($K662:$T662) &gt; 0,
        INDEX($K662:$T662, MATCH(TRUE, $K662:$T662 &lt;&gt; FALSE, 0))
    )
)</f>
        <v>0</v>
      </c>
      <c r="K662" s="712" t="b">
        <f ca="1">IF(AND('Covenant summary information'!$C$83=0,'Reconciliation report'!$E662&lt;&gt;""),ErrorMsgs!$B662)</f>
        <v>0</v>
      </c>
      <c r="L662" s="712" t="b">
        <f ca="1">IF(AND('Covenant summary information'!$C$83&lt;4,'Reconciliation report'!$E662&lt;&gt;""),ErrorMsgs!$C662)</f>
        <v>0</v>
      </c>
      <c r="M662" s="712" t="b">
        <f ca="1">IF(AND('Covenant summary information'!$C$83&gt;=4,'Reconciliation report'!$E662=""),ErrorMsgs!$D662)</f>
        <v>0</v>
      </c>
      <c r="N662" s="712" t="b">
        <f ca="1">IF($E662="",FALSE,IF(ISERROR(VALUE($E662)),ErrorMsgs!$D662,IF(OR(VALUE($E662)-ROUND(VALUE($E662),2)&lt;&gt;0,VALUE($E662)&lt;0,VALUE($E662)&gt;=1000000000000),ErrorMsgs!$E662)))</f>
        <v>0</v>
      </c>
      <c r="O662" s="712"/>
      <c r="P662" s="712"/>
      <c r="Q662" s="712"/>
      <c r="R662" s="712"/>
      <c r="S662" s="712"/>
      <c r="T662" s="712"/>
      <c r="U662" s="526" t="str">
        <f t="shared" ca="1" si="91"/>
        <v/>
      </c>
      <c r="V662" s="93" t="str" cm="1">
        <f t="array" aca="1" ref="V662" ca="1">CELL("format",INDIRECT(I662))</f>
        <v>C2</v>
      </c>
      <c r="W662" s="93" t="b">
        <f t="shared" ca="1" si="92"/>
        <v>0</v>
      </c>
      <c r="X662" s="715" t="str">
        <f t="shared" ca="1" si="90"/>
        <v/>
      </c>
      <c r="Y662" t="b">
        <f t="shared" ca="1" si="93"/>
        <v>1</v>
      </c>
    </row>
    <row r="663" spans="1:25" ht="77.5">
      <c r="A663" s="705" t="s">
        <v>957</v>
      </c>
      <c r="B663" s="716" t="str">
        <f t="shared" ca="1" si="78"/>
        <v>Guarantees - C126</v>
      </c>
      <c r="C663" s="707" t="str" cm="1">
        <f t="array" aca="1" ref="C663" ca="1">INDIRECT(LEFT(I663, FIND("!", I663)) &amp; RefData!$C$426 &amp; RIGHT(I663, LEN(I663) - FIND("!", I663) - 1))</f>
        <v xml:space="preserve">
No answer required
Date of valuation
</v>
      </c>
      <c r="D663" s="92" t="str">
        <f t="shared" ca="1" si="89"/>
        <v/>
      </c>
      <c r="E663" s="708" t="str" cm="1">
        <f t="array" aca="1" ref="E663" ca="1">IF(INDIRECT($I663)= "", "", INDIRECT($I663))</f>
        <v/>
      </c>
      <c r="F663" s="709" t="str" cm="1">
        <f t="array" aca="1" ref="F663" ca="1">INDIRECT(LEFT(I663, FIND("!", I663)) &amp; RefData!$C$427 &amp; RIGHT(I663, LEN(I663) - FIND("!", I663) - 1))</f>
        <v>GTE 18.0/4</v>
      </c>
      <c r="G663" s="710" t="b">
        <f ca="1">IF(ISNUMBER(SEARCH(RefData!$B$2, $C663)), FALSE, TRUE)</f>
        <v>0</v>
      </c>
      <c r="H663" s="344">
        <f>Guarantees!C126</f>
        <v>0</v>
      </c>
      <c r="I663" s="712" t="str">
        <f t="shared" ca="1" si="79"/>
        <v>Guarantees!C126</v>
      </c>
      <c r="J663" s="713" t="b" cm="1">
        <f t="array" aca="1" ref="J663" ca="1">IF(
    ISNUMBER(SEARCH(RefData!$B$2, $C$474)),
    IF(
        $E663 &lt;&gt; "",
        $J$474,
        IF(
            $E663 = "",
            FALSE
        )
    ),
    IF(
        COUNTIF($K663:$T663, "&lt;&gt;FALSE") - COUNTBLANK($K663:$T663) &gt; 0,
        INDEX($K663:$T663, MATCH(TRUE, $K663:$T663 &lt;&gt; FALSE, 0))
    )
)</f>
        <v>0</v>
      </c>
      <c r="K663" s="712" t="b">
        <f ca="1">IF(AND('Covenant summary information'!$C$83=0,'Reconciliation report'!$E663&lt;&gt;""),ErrorMsgs!$B663)</f>
        <v>0</v>
      </c>
      <c r="L663" s="712" t="b">
        <f ca="1">IF(AND('Covenant summary information'!$C$83&lt;4,'Reconciliation report'!$E663&lt;&gt;""),ErrorMsgs!$C663)</f>
        <v>0</v>
      </c>
      <c r="M663" s="712" t="b">
        <f ca="1">IF(AND('Covenant summary information'!$C$83&gt;=4,'Reconciliation report'!$E663=""),ErrorMsgs!$D663)</f>
        <v>0</v>
      </c>
      <c r="N663" s="712" t="b">
        <f ca="1">IF(AND($E663&lt;&gt;"",NOT(ISNUMBER($E663))),ErrorMsgs!$E663)</f>
        <v>0</v>
      </c>
      <c r="O663" s="712" t="b">
        <f ca="1">IF($E663="",FALSE,IF(ISERROR(VALUE($E663)),ErrorMsgs!$F663,IF(VALUE($E663)&gt;TODAY(),ErrorMsgs!$F663)))</f>
        <v>0</v>
      </c>
      <c r="P663" s="712"/>
      <c r="Q663" s="712"/>
      <c r="R663" s="712"/>
      <c r="S663" s="712"/>
      <c r="T663" s="712"/>
      <c r="U663" s="526" t="str">
        <f t="shared" ca="1" si="91"/>
        <v/>
      </c>
      <c r="V663" s="93" t="str" cm="1">
        <f t="array" aca="1" ref="V663" ca="1">CELL("format",INDIRECT(I663))</f>
        <v>D1</v>
      </c>
      <c r="W663" s="93" t="b">
        <f t="shared" ca="1" si="92"/>
        <v>0</v>
      </c>
      <c r="X663" s="715" t="str">
        <f t="shared" ca="1" si="90"/>
        <v/>
      </c>
      <c r="Y663" t="b">
        <f t="shared" ca="1" si="93"/>
        <v>1</v>
      </c>
    </row>
    <row r="664" spans="1:25" ht="77.5">
      <c r="A664" s="705" t="s">
        <v>959</v>
      </c>
      <c r="B664" s="716" t="str">
        <f t="shared" ca="1" si="78"/>
        <v>Guarantees - C127</v>
      </c>
      <c r="C664" s="707" t="str" cm="1">
        <f t="array" aca="1" ref="C664" ca="1">INDIRECT(LEFT(I664, FIND("!", I664)) &amp; RefData!$C$426 &amp; RIGHT(I664, LEN(I664) - FIND("!", I664) - 1))</f>
        <v xml:space="preserve">
No answer required
Value cap
</v>
      </c>
      <c r="D664" s="92" t="str">
        <f t="shared" ca="1" si="89"/>
        <v/>
      </c>
      <c r="E664" s="708" t="str" cm="1">
        <f t="array" aca="1" ref="E664" ca="1">IF(INDIRECT($I664)= "", "", INDIRECT($I664))</f>
        <v/>
      </c>
      <c r="F664" s="709" t="str" cm="1">
        <f t="array" aca="1" ref="F664" ca="1">INDIRECT(LEFT(I664, FIND("!", I664)) &amp; RefData!$C$427 &amp; RIGHT(I664, LEN(I664) - FIND("!", I664) - 1))</f>
        <v>GTE 19.0/4</v>
      </c>
      <c r="G664" s="710" t="b">
        <f ca="1">IF(ISNUMBER(SEARCH(RefData!$B$2, $C664)), FALSE, TRUE)</f>
        <v>0</v>
      </c>
      <c r="H664" s="344">
        <f>Guarantees!C127</f>
        <v>0</v>
      </c>
      <c r="I664" s="712" t="str">
        <f t="shared" ca="1" si="79"/>
        <v>Guarantees!C127</v>
      </c>
      <c r="J664" s="713" t="b" cm="1">
        <f t="array" aca="1" ref="J664" ca="1">IF(
    ISNUMBER(SEARCH(RefData!$B$2, $C$474)),
    IF(
        $E664 &lt;&gt; "",
        $J$474,
        IF(
            $E664 = "",
            FALSE
        )
    ),
    IF(
        COUNTIF($K664:$T664, "&lt;&gt;FALSE") - COUNTBLANK($K664:$T664) &gt; 0,
        INDEX($K664:$T664, MATCH(TRUE, $K664:$T664 &lt;&gt; FALSE, 0))
    )
)</f>
        <v>0</v>
      </c>
      <c r="K664" s="712" t="b">
        <f ca="1">IF(AND('Start here'!$C$26=RefData!$B$9,'Reconciliation report'!$E664&lt;&gt;""),ErrorMsgs!$B664)</f>
        <v>0</v>
      </c>
      <c r="L664" s="712" t="b">
        <f ca="1">IF(AND('Start here'!$C$26=RefData!$B$10,'Covenant summary information'!$C$83=0,'Reconciliation report'!$E664&lt;&gt;""),ErrorMsgs!$C664)</f>
        <v>0</v>
      </c>
      <c r="M664" s="712" t="b">
        <f ca="1">IF(AND('Start here'!$C$26=RefData!$B$10,'Covenant summary information'!$C$83&lt;4,'Reconciliation report'!$E664&lt;&gt;""),ErrorMsgs!$D664)</f>
        <v>0</v>
      </c>
      <c r="N664" s="712" t="b">
        <f ca="1">IF(AND('Start here'!$C$26=RefData!$B$10,'Covenant summary information'!$C$83&gt;=4,'Reconciliation report'!$E664=""),ErrorMsgs!$E664)</f>
        <v>0</v>
      </c>
      <c r="O664" s="712" t="b">
        <f ca="1">IF(AND($E664&lt;&gt;"",ISNA(MATCH($E664,RefData!$B$133:$B$139,0))),ErrorMsgs!$F664)</f>
        <v>0</v>
      </c>
      <c r="P664" s="712"/>
      <c r="Q664" s="712"/>
      <c r="R664" s="712"/>
      <c r="S664" s="712"/>
      <c r="T664" s="712"/>
      <c r="U664" s="526" t="str">
        <f t="shared" ca="1" si="91"/>
        <v/>
      </c>
      <c r="V664" s="93" t="str" cm="1">
        <f t="array" aca="1" ref="V664" ca="1">CELL("format",INDIRECT(I664))</f>
        <v>G</v>
      </c>
      <c r="W664" s="93" t="b">
        <f t="shared" ca="1" si="92"/>
        <v>0</v>
      </c>
      <c r="X664" s="715" t="str">
        <f t="shared" ca="1" si="90"/>
        <v/>
      </c>
      <c r="Y664" t="b">
        <f t="shared" ca="1" si="93"/>
        <v>1</v>
      </c>
    </row>
    <row r="665" spans="1:25" ht="77.5">
      <c r="A665" s="705" t="s">
        <v>961</v>
      </c>
      <c r="B665" s="716" t="str">
        <f t="shared" ca="1" si="78"/>
        <v>Guarantees - C128</v>
      </c>
      <c r="C665" s="707" t="str" cm="1">
        <f t="array" aca="1" ref="C665" ca="1">INDIRECT(LEFT(I665, FIND("!", I665)) &amp; RefData!$C$426 &amp; RIGHT(I665, LEN(I665) - FIND("!", I665) - 1))</f>
        <v xml:space="preserve">
No answer required
Narrative regarding value cap
</v>
      </c>
      <c r="D665" s="92" t="str">
        <f t="shared" ca="1" si="89"/>
        <v/>
      </c>
      <c r="E665" s="708" t="str" cm="1">
        <f t="array" aca="1" ref="E665" ca="1">IF(INDIRECT($I665)= "", "", INDIRECT($I665))</f>
        <v/>
      </c>
      <c r="F665" s="709" t="str" cm="1">
        <f t="array" aca="1" ref="F665" ca="1">INDIRECT(LEFT(I665, FIND("!", I665)) &amp; RefData!$C$427 &amp; RIGHT(I665, LEN(I665) - FIND("!", I665) - 1))</f>
        <v>GTE 20.0/4</v>
      </c>
      <c r="G665" s="710" t="b">
        <f ca="1">IF(ISNUMBER(SEARCH(RefData!$B$2, $C665)), FALSE, TRUE)</f>
        <v>0</v>
      </c>
      <c r="H665" s="344">
        <f>Guarantees!C128</f>
        <v>0</v>
      </c>
      <c r="I665" s="712" t="str">
        <f t="shared" ca="1" si="79"/>
        <v>Guarantees!C128</v>
      </c>
      <c r="J665" s="713" t="b" cm="1">
        <f t="array" aca="1" ref="J665" ca="1">IF(
    ISNUMBER(SEARCH(RefData!$B$2, $C$474)),
    IF(
        $E665 &lt;&gt; "",
        $J$474,
        IF(
            $E665 = "",
            FALSE
        )
    ),
    IF(
        COUNTIF($K665:$T665, "&lt;&gt;FALSE") - COUNTBLANK($K665:$T665) &gt; 0,
        INDEX($K665:$T665, MATCH(TRUE, $K665:$T665 &lt;&gt; FALSE, 0))
    )
)</f>
        <v>0</v>
      </c>
      <c r="K665" s="712" t="b">
        <f ca="1">IF(AND('Start here'!$C$26=RefData!$B$9,'Reconciliation report'!$E665&lt;&gt;""),ErrorMsgs!$B665)</f>
        <v>0</v>
      </c>
      <c r="L665" s="712" t="b">
        <f ca="1">IF(AND('Start here'!$C$26=RefData!$B$10,'Covenant summary information'!$C$83=0,'Reconciliation report'!$E665&lt;&gt;""),ErrorMsgs!$C665)</f>
        <v>0</v>
      </c>
      <c r="M665" s="712" t="b">
        <f ca="1">IF(AND('Start here'!$C$26=RefData!$B$10,'Covenant summary information'!$C$83&lt;4,'Reconciliation report'!$E665&lt;&gt;""),ErrorMsgs!$D665)</f>
        <v>0</v>
      </c>
      <c r="N665" s="712" t="b">
        <f ca="1">IF(AND('Start here'!$C$26=RefData!$B$10,'Covenant summary information'!$C$83&gt;=4,NOT(Guarantees!$C$127=RefData!$B$139),'Reconciliation report'!$E665&lt;&gt;""),ErrorMsgs!$E665)</f>
        <v>0</v>
      </c>
      <c r="O665" s="712" t="b">
        <f ca="1">IF(AND('Start here'!$C$26=RefData!$B$10,'Covenant summary information'!$C$83&gt;=4,Guarantees!$C$127=RefData!$B$139,'Reconciliation report'!$E665=""),ErrorMsgs!$F665)</f>
        <v>0</v>
      </c>
      <c r="P665" s="712" t="b">
        <f ca="1">IF(LEN($E665)&gt;4000,ErrorMsgs!$G665)</f>
        <v>0</v>
      </c>
      <c r="Q665" s="712"/>
      <c r="R665" s="712"/>
      <c r="S665" s="712"/>
      <c r="T665" s="712"/>
      <c r="U665" s="526" t="str">
        <f t="shared" ca="1" si="91"/>
        <v/>
      </c>
      <c r="V665" s="93" t="str" cm="1">
        <f t="array" aca="1" ref="V665" ca="1">CELL("format",INDIRECT(I665))</f>
        <v>G</v>
      </c>
      <c r="W665" s="93" t="b">
        <f t="shared" ca="1" si="92"/>
        <v>0</v>
      </c>
      <c r="X665" s="715" t="str">
        <f t="shared" ca="1" si="90"/>
        <v/>
      </c>
      <c r="Y665" t="b">
        <f t="shared" ca="1" si="93"/>
        <v>1</v>
      </c>
    </row>
    <row r="666" spans="1:25" ht="77.5">
      <c r="A666" s="705" t="s">
        <v>963</v>
      </c>
      <c r="B666" s="716" t="str">
        <f ca="1">HYPERLINK("#" &amp; $I666, SUBSTITUTE(SUBSTITUTE($I666, "!", " - "), "'",""))</f>
        <v>Guarantees - C129</v>
      </c>
      <c r="C666" s="707" t="str" cm="1">
        <f t="array" aca="1" ref="C666" ca="1">INDIRECT(LEFT(I666, FIND("!", I666)) &amp; RefData!$C$426 &amp; RIGHT(I666, LEN(I666) - FIND("!", I666) - 1))</f>
        <v xml:space="preserve">
No answer required
Fixed cap amount (£)
</v>
      </c>
      <c r="D666" s="92" t="str">
        <f ca="1">""&amp;IF(J666=FALSE, "", J666)
&amp;""</f>
        <v/>
      </c>
      <c r="E666" s="708" t="str" cm="1">
        <f t="array" aca="1" ref="E666" ca="1">IF(INDIRECT($I666)= "", "", INDIRECT($I666))</f>
        <v/>
      </c>
      <c r="F666" s="709" t="str" cm="1">
        <f t="array" aca="1" ref="F666" ca="1">INDIRECT(LEFT(I666, FIND("!", I666)) &amp; RefData!$C$427 &amp; RIGHT(I666, LEN(I666) - FIND("!", I666) - 1))</f>
        <v>GTE 21.0/4</v>
      </c>
      <c r="G666" s="710" t="b">
        <f ca="1">IF(ISNUMBER(SEARCH(RefData!$B$2, $C666)), FALSE, TRUE)</f>
        <v>0</v>
      </c>
      <c r="H666" s="344">
        <f>Guarantees!C129</f>
        <v>0</v>
      </c>
      <c r="I666" s="712" t="str">
        <f ca="1">SUBSTITUTE(_xlfn.FORMULATEXT($H666), "=", "")</f>
        <v>Guarantees!C129</v>
      </c>
      <c r="J666" s="713" t="b" cm="1">
        <f t="array" aca="1" ref="J666" ca="1">IF(
    ISNUMBER(SEARCH(RefData!$B$2, $C$474)),
    IF(
        $E666 &lt;&gt; "",
        $J$474,
        IF(
            $E666 = "",
            FALSE
        )
    ),
    IF(
        COUNTIF($K666:$T666, "&lt;&gt;FALSE") - COUNTBLANK($K666:$T666) &gt; 0,
        INDEX($K666:$T666, MATCH(TRUE, $K666:$T666 &lt;&gt; FALSE, 0))
    )
)</f>
        <v>0</v>
      </c>
      <c r="K666" s="712" t="b">
        <f ca="1">IF(AND('Start here'!$C$26=RefData!$B$9,'Reconciliation report'!$E666&lt;&gt;""),ErrorMsgs!$B666)</f>
        <v>0</v>
      </c>
      <c r="L666" s="712" t="b">
        <f ca="1">IF(AND('Start here'!$C$26=RefData!$B$10,'Covenant summary information'!$C$83=0,'Reconciliation report'!$E666&lt;&gt;""),ErrorMsgs!$C666)</f>
        <v>0</v>
      </c>
      <c r="M666" s="712" t="b">
        <f ca="1">IF(AND('Start here'!$C$26=RefData!$B$10,'Covenant summary information'!$C$83&lt;4,'Reconciliation report'!$E666&lt;&gt;""),ErrorMsgs!$D666)</f>
        <v>0</v>
      </c>
      <c r="N666" s="712" t="b">
        <f ca="1">IF(AND('Start here'!$C$26=RefData!$B$10,'Covenant summary information'!$C$83&gt;=4,NOT(Guarantees!$C$127=RefData!$B$138),'Reconciliation report'!$E666&lt;&gt;""),ErrorMsgs!$E666)</f>
        <v>0</v>
      </c>
      <c r="O666" s="712" t="b">
        <f ca="1">IF(AND('Start here'!$C$26=RefData!$B$10,'Covenant summary information'!$C$83&gt;3,Guarantees!$C$127=RefData!$B$138,'Reconciliation report'!$E666=""),ErrorMsgs!$F666)</f>
        <v>0</v>
      </c>
      <c r="P666" s="712" t="b">
        <f ca="1">IF($E666="",FALSE,IF(ISERROR(VALUE($E666)),ErrorMsgs!G666,IF(OR(VALUE($E666)&lt;0,VALUE($E666)&gt;=1000000000000,VALUE($E666)-ROUND(VALUE($E666),2)&lt;&gt;0),ErrorMsgs!G666)))</f>
        <v>0</v>
      </c>
      <c r="Q666" s="712"/>
      <c r="R666" s="712"/>
      <c r="S666" s="712"/>
      <c r="T666" s="712"/>
      <c r="U666" s="526" t="str">
        <f t="shared" ca="1" si="91"/>
        <v/>
      </c>
      <c r="V666" s="93" t="str" cm="1">
        <f t="array" aca="1" ref="V666" ca="1">CELL("format",INDIRECT(I666))</f>
        <v>C2</v>
      </c>
      <c r="W666" s="93" t="b">
        <f t="shared" ca="1" si="92"/>
        <v>0</v>
      </c>
      <c r="X666" s="715" t="str">
        <f t="shared" ca="1" si="90"/>
        <v/>
      </c>
      <c r="Y666" t="b">
        <f t="shared" ca="1" si="93"/>
        <v>1</v>
      </c>
    </row>
    <row r="667" spans="1:25" ht="46.5">
      <c r="A667" s="705" t="s">
        <v>966</v>
      </c>
      <c r="B667" s="716" t="str">
        <f t="shared" ca="1" si="78"/>
        <v>Guarantees - C133</v>
      </c>
      <c r="C667" s="707" t="str" cm="1">
        <f t="array" aca="1" ref="C667" ca="1">INDIRECT(LEFT(I667, FIND("!", I667)) &amp; RefData!$C$426 &amp; RIGHT(I667, LEN(I667) - FIND("!", I667) - 1))</f>
        <v xml:space="preserve">
Participating employer insolvency
</v>
      </c>
      <c r="D667" s="92" t="str">
        <f t="shared" ref="D667:D693" ca="1" si="94">""&amp;IF(J667=FALSE, "", J667)
&amp;""</f>
        <v/>
      </c>
      <c r="E667" s="708" t="str" cm="1">
        <f t="array" aca="1" ref="E667" ca="1">IF(INDIRECT($I667)= "", "", INDIRECT($I667))</f>
        <v/>
      </c>
      <c r="F667" s="709" t="str" cm="1">
        <f t="array" aca="1" ref="F667" ca="1">INDIRECT(LEFT(I667, FIND("!", I667)) &amp; RefData!$C$427 &amp; RIGHT(I667, LEN(I667) - FIND("!", I667) - 1))</f>
        <v>GTE 22.0/4</v>
      </c>
      <c r="G667" s="710" t="b">
        <f ca="1">IF(ISNUMBER(SEARCH(RefData!$B$2, $C667)), FALSE, TRUE)</f>
        <v>1</v>
      </c>
      <c r="H667" s="344">
        <f>Guarantees!C133</f>
        <v>0</v>
      </c>
      <c r="I667" s="712" t="str">
        <f t="shared" ca="1" si="79"/>
        <v>Guarantees!C133</v>
      </c>
      <c r="J667" s="713" t="b" cm="1">
        <f t="array" aca="1" ref="J667" ca="1">IF(
    ISNUMBER(SEARCH(RefData!$B$2, $C$474)),
    IF(
        $E667 &lt;&gt; "",
        $J$474,
        IF(
            $E667 = "",
            FALSE
        )
    ),
    IF(
        COUNTIF($K667:$T667, "&lt;&gt;FALSE") - COUNTBLANK($K667:$T667) &gt; 0,
        INDEX($K667:$T667, MATCH(TRUE, $K667:$T667 &lt;&gt; FALSE, 0))
    )
)</f>
        <v>0</v>
      </c>
      <c r="K667" s="712" t="b">
        <f ca="1">IF(AND('Start here'!$C$26=RefData!$B$9,'Reconciliation report'!$E667&lt;&gt;""),ErrorMsgs!$B667)</f>
        <v>0</v>
      </c>
      <c r="L667" s="712" t="b">
        <f ca="1">IF(AND('Start here'!$C$26=RefData!$B$10,'Covenant summary information'!$C$83=0,'Reconciliation report'!$E667&lt;&gt;""),ErrorMsgs!$C667)</f>
        <v>0</v>
      </c>
      <c r="M667" s="712" t="b">
        <f ca="1">IF(AND('Start here'!$C$26=RefData!$B$10,'Covenant summary information'!$C$83&lt;4,'Reconciliation report'!$E667&lt;&gt;""),ErrorMsgs!$D667)</f>
        <v>0</v>
      </c>
      <c r="N667" s="712" t="b">
        <f ca="1">IF(AND('Start here'!$C$26=RefData!$B$10,'Covenant summary information'!$C$83&gt;=4,'Reconciliation report'!$E667=""),ErrorMsgs!$E667)</f>
        <v>0</v>
      </c>
      <c r="O667" s="712" t="b">
        <f ca="1">IF(AND($E667&lt;&gt;"",ISNA(MATCH($E667,RefData!$B$140:$B$141,0))),ErrorMsgs!$E667)</f>
        <v>0</v>
      </c>
      <c r="P667" s="712"/>
      <c r="Q667" s="712"/>
      <c r="R667" s="712"/>
      <c r="S667" s="712"/>
      <c r="T667" s="712"/>
      <c r="U667" s="526" t="str">
        <f t="shared" ca="1" si="91"/>
        <v/>
      </c>
      <c r="V667" s="93" t="str" cm="1">
        <f t="array" aca="1" ref="V667" ca="1">CELL("format",INDIRECT(I667))</f>
        <v>G</v>
      </c>
      <c r="W667" s="93" t="b">
        <f t="shared" ca="1" si="92"/>
        <v>0</v>
      </c>
      <c r="X667" s="715" t="str">
        <f t="shared" ca="1" si="90"/>
        <v/>
      </c>
      <c r="Y667" t="b">
        <f t="shared" ca="1" si="93"/>
        <v>1</v>
      </c>
    </row>
    <row r="668" spans="1:25" ht="46.5">
      <c r="A668" s="705" t="s">
        <v>968</v>
      </c>
      <c r="B668" s="716" t="str">
        <f t="shared" ca="1" si="78"/>
        <v>Guarantees - C134</v>
      </c>
      <c r="C668" s="707" t="str" cm="1">
        <f t="array" aca="1" ref="C668" ca="1">INDIRECT(LEFT(I668, FIND("!", I668)) &amp; RefData!$C$426 &amp; RIGHT(I668, LEN(I668) - FIND("!", I668) - 1))</f>
        <v xml:space="preserve">
Insolvency of associated company
</v>
      </c>
      <c r="D668" s="92" t="str">
        <f t="shared" ca="1" si="94"/>
        <v/>
      </c>
      <c r="E668" s="708" t="str" cm="1">
        <f t="array" aca="1" ref="E668" ca="1">IF(INDIRECT($I668)= "", "", INDIRECT($I668))</f>
        <v/>
      </c>
      <c r="F668" s="709" t="str" cm="1">
        <f t="array" aca="1" ref="F668" ca="1">INDIRECT(LEFT(I668, FIND("!", I668)) &amp; RefData!$C$427 &amp; RIGHT(I668, LEN(I668) - FIND("!", I668) - 1))</f>
        <v>GTE 23.0/4</v>
      </c>
      <c r="G668" s="710" t="b">
        <f ca="1">IF(ISNUMBER(SEARCH(RefData!$B$2, $C668)), FALSE, TRUE)</f>
        <v>1</v>
      </c>
      <c r="H668" s="344">
        <f>Guarantees!C134</f>
        <v>0</v>
      </c>
      <c r="I668" s="712" t="str">
        <f t="shared" ca="1" si="79"/>
        <v>Guarantees!C134</v>
      </c>
      <c r="J668" s="713" t="b" cm="1">
        <f t="array" aca="1" ref="J668" ca="1">IF(
    ISNUMBER(SEARCH(RefData!$B$2, $C$474)),
    IF(
        $E668 &lt;&gt; "",
        $J$474,
        IF(
            $E668 = "",
            FALSE
        )
    ),
    IF(
        COUNTIF($K668:$T668, "&lt;&gt;FALSE") - COUNTBLANK($K668:$T668) &gt; 0,
        INDEX($K668:$T668, MATCH(TRUE, $K668:$T668 &lt;&gt; FALSE, 0))
    )
)</f>
        <v>0</v>
      </c>
      <c r="K668" s="712" t="b">
        <f ca="1">IF(AND('Start here'!$C$26=RefData!$B$9,'Reconciliation report'!$E668&lt;&gt;""),ErrorMsgs!$B668)</f>
        <v>0</v>
      </c>
      <c r="L668" s="712" t="b">
        <f ca="1">IF(AND('Start here'!$C$26=RefData!$B$10,'Covenant summary information'!$C$83=0,'Reconciliation report'!$E668&lt;&gt;""),ErrorMsgs!$C668)</f>
        <v>0</v>
      </c>
      <c r="M668" s="712" t="b">
        <f ca="1">IF(AND('Start here'!$C$26=RefData!$B$10,'Covenant summary information'!$C$83&lt;4,'Reconciliation report'!$E668&lt;&gt;""),ErrorMsgs!$D668)</f>
        <v>0</v>
      </c>
      <c r="N668" s="712" t="b">
        <f ca="1">IF(AND('Start here'!$C$26=RefData!$B$10,'Covenant summary information'!$C$83&gt;=4,'Reconciliation report'!$E668=""),ErrorMsgs!$E668)</f>
        <v>0</v>
      </c>
      <c r="O668" s="712" t="b">
        <f ca="1">IF(AND($E668&lt;&gt;"",ISNA(MATCH($E668,RefData!$B$140:$B$141,0))),ErrorMsgs!$F668)</f>
        <v>0</v>
      </c>
      <c r="P668" s="712"/>
      <c r="Q668" s="712"/>
      <c r="R668" s="712"/>
      <c r="S668" s="712"/>
      <c r="T668" s="712"/>
      <c r="U668" s="526" t="str">
        <f t="shared" ca="1" si="91"/>
        <v/>
      </c>
      <c r="V668" s="93" t="str" cm="1">
        <f t="array" aca="1" ref="V668" ca="1">CELL("format",INDIRECT(I668))</f>
        <v>G</v>
      </c>
      <c r="W668" s="93" t="b">
        <f t="shared" ca="1" si="92"/>
        <v>0</v>
      </c>
      <c r="X668" s="715" t="str">
        <f t="shared" ca="1" si="90"/>
        <v/>
      </c>
      <c r="Y668" t="b">
        <f t="shared" ca="1" si="93"/>
        <v>1</v>
      </c>
    </row>
    <row r="669" spans="1:25" ht="46.5">
      <c r="A669" s="705" t="s">
        <v>970</v>
      </c>
      <c r="B669" s="716" t="str">
        <f t="shared" ca="1" si="78"/>
        <v>Guarantees - C135</v>
      </c>
      <c r="C669" s="707" t="str" cm="1">
        <f t="array" aca="1" ref="C669" ca="1">INDIRECT(LEFT(I669, FIND("!", I669)) &amp; RefData!$C$426 &amp; RIGHT(I669, LEN(I669) - FIND("!", I669) - 1))</f>
        <v xml:space="preserve">
Non payment of contributions
</v>
      </c>
      <c r="D669" s="92" t="str">
        <f t="shared" ca="1" si="94"/>
        <v/>
      </c>
      <c r="E669" s="708" t="str" cm="1">
        <f t="array" aca="1" ref="E669" ca="1">IF(INDIRECT($I669)= "", "", INDIRECT($I669))</f>
        <v/>
      </c>
      <c r="F669" s="709" t="str" cm="1">
        <f t="array" aca="1" ref="F669" ca="1">INDIRECT(LEFT(I669, FIND("!", I669)) &amp; RefData!$C$427 &amp; RIGHT(I669, LEN(I669) - FIND("!", I669) - 1))</f>
        <v>GTE 24.0/4</v>
      </c>
      <c r="G669" s="710" t="b">
        <f ca="1">IF(ISNUMBER(SEARCH(RefData!$B$2, $C669)), FALSE, TRUE)</f>
        <v>1</v>
      </c>
      <c r="H669" s="344">
        <f>Guarantees!C135</f>
        <v>0</v>
      </c>
      <c r="I669" s="712" t="str">
        <f t="shared" ca="1" si="79"/>
        <v>Guarantees!C135</v>
      </c>
      <c r="J669" s="713" t="b" cm="1">
        <f t="array" aca="1" ref="J669" ca="1">IF(
    ISNUMBER(SEARCH(RefData!$B$2, $C$474)),
    IF(
        $E669 &lt;&gt; "",
        $J$474,
        IF(
            $E669 = "",
            FALSE
        )
    ),
    IF(
        COUNTIF($K669:$T669, "&lt;&gt;FALSE") - COUNTBLANK($K669:$T669) &gt; 0,
        INDEX($K669:$T669, MATCH(TRUE, $K669:$T669 &lt;&gt; FALSE, 0))
    )
)</f>
        <v>0</v>
      </c>
      <c r="K669" s="712" t="b">
        <f ca="1">IF(AND('Start here'!$C$26=RefData!$B$9,'Reconciliation report'!$E669&lt;&gt;""),ErrorMsgs!$B669)</f>
        <v>0</v>
      </c>
      <c r="L669" s="712" t="b">
        <f ca="1">IF(AND('Start here'!$C$26=RefData!$B$10,'Covenant summary information'!$C$83=0,'Reconciliation report'!$E669&lt;&gt;""),ErrorMsgs!$C669)</f>
        <v>0</v>
      </c>
      <c r="M669" s="712" t="b">
        <f ca="1">IF(AND('Start here'!$C$26=RefData!$B$10,'Covenant summary information'!$C$83&lt;4,'Reconciliation report'!$E669&lt;&gt;""),ErrorMsgs!$D669)</f>
        <v>0</v>
      </c>
      <c r="N669" s="712" t="b">
        <f ca="1">IF(AND('Start here'!$C$26=RefData!$B$10,'Covenant summary information'!$C$83&gt;=4,'Reconciliation report'!$E669=""),ErrorMsgs!$E669)</f>
        <v>0</v>
      </c>
      <c r="O669" s="712" t="b">
        <f ca="1">IF(AND($E669&lt;&gt;"",ISNA(MATCH($E669,RefData!$B$140:$B$141,0))),ErrorMsgs!$F669)</f>
        <v>0</v>
      </c>
      <c r="P669" s="712"/>
      <c r="Q669" s="712"/>
      <c r="R669" s="712"/>
      <c r="S669" s="712"/>
      <c r="T669" s="712"/>
      <c r="U669" s="526" t="str">
        <f t="shared" ca="1" si="91"/>
        <v/>
      </c>
      <c r="V669" s="93" t="str" cm="1">
        <f t="array" aca="1" ref="V669" ca="1">CELL("format",INDIRECT(I669))</f>
        <v>G</v>
      </c>
      <c r="W669" s="93" t="b">
        <f t="shared" ca="1" si="92"/>
        <v>0</v>
      </c>
      <c r="X669" s="715" t="str">
        <f t="shared" ca="1" si="90"/>
        <v/>
      </c>
      <c r="Y669" t="b">
        <f t="shared" ca="1" si="93"/>
        <v>1</v>
      </c>
    </row>
    <row r="670" spans="1:25" ht="46.5">
      <c r="A670" s="705" t="s">
        <v>972</v>
      </c>
      <c r="B670" s="716" t="str">
        <f t="shared" ca="1" si="78"/>
        <v>Guarantees - C136</v>
      </c>
      <c r="C670" s="707" t="str" cm="1">
        <f t="array" aca="1" ref="C670" ca="1">INDIRECT(LEFT(I670, FIND("!", I670)) &amp; RefData!$C$426 &amp; RIGHT(I670, LEN(I670) - FIND("!", I670) - 1))</f>
        <v xml:space="preserve">
Crystallisation of investment risk
</v>
      </c>
      <c r="D670" s="92" t="str">
        <f t="shared" ca="1" si="94"/>
        <v/>
      </c>
      <c r="E670" s="708" t="str" cm="1">
        <f t="array" aca="1" ref="E670" ca="1">IF(INDIRECT($I670)= "", "", INDIRECT($I670))</f>
        <v/>
      </c>
      <c r="F670" s="709" t="str" cm="1">
        <f t="array" aca="1" ref="F670" ca="1">INDIRECT(LEFT(I670, FIND("!", I670)) &amp; RefData!$C$427 &amp; RIGHT(I670, LEN(I670) - FIND("!", I670) - 1))</f>
        <v>GTE 25.0/4</v>
      </c>
      <c r="G670" s="710" t="b">
        <f ca="1">IF(ISNUMBER(SEARCH(RefData!$B$2, $C670)), FALSE, TRUE)</f>
        <v>1</v>
      </c>
      <c r="H670" s="344">
        <f>Guarantees!C136</f>
        <v>0</v>
      </c>
      <c r="I670" s="712" t="str">
        <f t="shared" ca="1" si="79"/>
        <v>Guarantees!C136</v>
      </c>
      <c r="J670" s="713" t="b" cm="1">
        <f t="array" aca="1" ref="J670" ca="1">IF(
    ISNUMBER(SEARCH(RefData!$B$2, $C$474)),
    IF(
        $E670 &lt;&gt; "",
        $J$474,
        IF(
            $E670 = "",
            FALSE
        )
    ),
    IF(
        COUNTIF($K670:$T670, "&lt;&gt;FALSE") - COUNTBLANK($K670:$T670) &gt; 0,
        INDEX($K670:$T670, MATCH(TRUE, $K670:$T670 &lt;&gt; FALSE, 0))
    )
)</f>
        <v>0</v>
      </c>
      <c r="K670" s="712" t="b">
        <f ca="1">IF(AND('Start here'!$C$26=RefData!$B$9,'Reconciliation report'!$E670&lt;&gt;""),ErrorMsgs!$B670)</f>
        <v>0</v>
      </c>
      <c r="L670" s="712" t="b">
        <f ca="1">IF(AND('Start here'!$C$26=RefData!$B$10,'Covenant summary information'!$C$83=0,'Reconciliation report'!$E670&lt;&gt;""),ErrorMsgs!$C670)</f>
        <v>0</v>
      </c>
      <c r="M670" s="712" t="b">
        <f ca="1">IF(AND('Start here'!$C$26=RefData!$B$10,'Covenant summary information'!$C$83&lt;4,'Reconciliation report'!$E670&lt;&gt;""),ErrorMsgs!$D670)</f>
        <v>0</v>
      </c>
      <c r="N670" s="712" t="b">
        <f ca="1">IF(AND('Start here'!$C$26=RefData!$B$10,'Covenant summary information'!$C$83&gt;=4,'Reconciliation report'!$E670=""),ErrorMsgs!$E670)</f>
        <v>0</v>
      </c>
      <c r="O670" s="712" t="b">
        <f ca="1">IF(AND($E670&lt;&gt;"",ISNA(MATCH($E670,RefData!$B$140:$B$141,0))),ErrorMsgs!$F670)</f>
        <v>0</v>
      </c>
      <c r="P670" s="712"/>
      <c r="Q670" s="712"/>
      <c r="R670" s="712"/>
      <c r="S670" s="712"/>
      <c r="T670" s="712"/>
      <c r="U670" s="526" t="str">
        <f t="shared" ca="1" si="91"/>
        <v/>
      </c>
      <c r="V670" s="93" t="str" cm="1">
        <f t="array" aca="1" ref="V670" ca="1">CELL("format",INDIRECT(I670))</f>
        <v>G</v>
      </c>
      <c r="W670" s="93" t="b">
        <f t="shared" ca="1" si="92"/>
        <v>0</v>
      </c>
      <c r="X670" s="715" t="str">
        <f t="shared" ca="1" si="90"/>
        <v/>
      </c>
      <c r="Y670" t="b">
        <f t="shared" ca="1" si="93"/>
        <v>1</v>
      </c>
    </row>
    <row r="671" spans="1:25" ht="46.5">
      <c r="A671" s="705" t="s">
        <v>974</v>
      </c>
      <c r="B671" s="716" t="str">
        <f t="shared" ca="1" si="78"/>
        <v>Guarantees - C137</v>
      </c>
      <c r="C671" s="707" t="str" cm="1">
        <f t="array" aca="1" ref="C671" ca="1">INDIRECT(LEFT(I671, FIND("!", I671)) &amp; RefData!$C$426 &amp; RIGHT(I671, LEN(I671) - FIND("!", I671) - 1))</f>
        <v xml:space="preserve">
Other
</v>
      </c>
      <c r="D671" s="92" t="str">
        <f t="shared" ca="1" si="94"/>
        <v/>
      </c>
      <c r="E671" s="708" t="str" cm="1">
        <f t="array" aca="1" ref="E671" ca="1">IF(INDIRECT($I671)= "", "", INDIRECT($I671))</f>
        <v/>
      </c>
      <c r="F671" s="709" t="str" cm="1">
        <f t="array" aca="1" ref="F671" ca="1">INDIRECT(LEFT(I671, FIND("!", I671)) &amp; RefData!$C$427 &amp; RIGHT(I671, LEN(I671) - FIND("!", I671) - 1))</f>
        <v>GTE 26.0/4</v>
      </c>
      <c r="G671" s="710" t="b">
        <f ca="1">IF(ISNUMBER(SEARCH(RefData!$B$2, $C671)), FALSE, TRUE)</f>
        <v>1</v>
      </c>
      <c r="H671" s="344">
        <f>Guarantees!C137</f>
        <v>0</v>
      </c>
      <c r="I671" s="712" t="str">
        <f t="shared" ca="1" si="79"/>
        <v>Guarantees!C137</v>
      </c>
      <c r="J671" s="713" t="b" cm="1">
        <f t="array" aca="1" ref="J671" ca="1">IF(
    ISNUMBER(SEARCH(RefData!$B$2, $C$474)),
    IF(
        $E671 &lt;&gt; "",
        $J$474,
        IF(
            $E671 = "",
            FALSE
        )
    ),
    IF(
        COUNTIF($K671:$T671, "&lt;&gt;FALSE") - COUNTBLANK($K671:$T671) &gt; 0,
        INDEX($K671:$T671, MATCH(TRUE, $K671:$T671 &lt;&gt; FALSE, 0))
    )
)</f>
        <v>0</v>
      </c>
      <c r="K671" s="712" t="b">
        <f ca="1">IF(AND('Start here'!$C$26=RefData!$B$9,'Reconciliation report'!$E671&lt;&gt;""),ErrorMsgs!$B671)</f>
        <v>0</v>
      </c>
      <c r="L671" s="712" t="b">
        <f ca="1">IF(AND('Start here'!$C$26=RefData!$B$10,'Covenant summary information'!$C$83=0,'Reconciliation report'!$E671&lt;&gt;""),ErrorMsgs!$C671)</f>
        <v>0</v>
      </c>
      <c r="M671" s="712" t="b">
        <f ca="1">IF(AND('Start here'!$C$26=RefData!$B$10,'Covenant summary information'!$C$83&lt;4,'Reconciliation report'!$E671&lt;&gt;""),ErrorMsgs!$D671)</f>
        <v>0</v>
      </c>
      <c r="N671" s="712" t="b">
        <f ca="1">IF(AND('Start here'!$C$26=RefData!$B$10,'Covenant summary information'!$C$83&gt;=4,'Reconciliation report'!$E671=""),ErrorMsgs!$E671)</f>
        <v>0</v>
      </c>
      <c r="O671" s="712" t="b">
        <f ca="1">IF(AND($E671&lt;&gt;"",ISNA(MATCH($E671,RefData!$B$140:$B$141,0))),ErrorMsgs!$F671)</f>
        <v>0</v>
      </c>
      <c r="P671" s="712"/>
      <c r="Q671" s="712"/>
      <c r="R671" s="712"/>
      <c r="S671" s="712"/>
      <c r="T671" s="712"/>
      <c r="U671" s="526" t="str">
        <f t="shared" ca="1" si="91"/>
        <v/>
      </c>
      <c r="V671" s="93" t="str" cm="1">
        <f t="array" aca="1" ref="V671" ca="1">CELL("format",INDIRECT(I671))</f>
        <v>G</v>
      </c>
      <c r="W671" s="93" t="b">
        <f t="shared" ca="1" si="92"/>
        <v>0</v>
      </c>
      <c r="X671" s="715" t="str">
        <f t="shared" ca="1" si="90"/>
        <v/>
      </c>
      <c r="Y671" t="b">
        <f t="shared" ca="1" si="93"/>
        <v>1</v>
      </c>
    </row>
    <row r="672" spans="1:25" ht="46.5">
      <c r="A672" s="705" t="s">
        <v>976</v>
      </c>
      <c r="B672" s="716" t="str">
        <f t="shared" ca="1" si="78"/>
        <v>Guarantees - C138</v>
      </c>
      <c r="C672" s="707" t="str" cm="1">
        <f t="array" aca="1" ref="C672" ca="1">INDIRECT(LEFT(I672, FIND("!", I672)) &amp; RefData!$C$426 &amp; RIGHT(I672, LEN(I672) - FIND("!", I672) - 1))</f>
        <v xml:space="preserve">
Describe the other triggers for access to value
</v>
      </c>
      <c r="D672" s="92" t="str">
        <f t="shared" ca="1" si="94"/>
        <v/>
      </c>
      <c r="E672" s="708" t="str" cm="1">
        <f t="array" aca="1" ref="E672" ca="1">IF(INDIRECT($I672)= "", "", INDIRECT($I672))</f>
        <v/>
      </c>
      <c r="F672" s="709" t="str" cm="1">
        <f t="array" aca="1" ref="F672" ca="1">INDIRECT(LEFT(I672, FIND("!", I672)) &amp; RefData!$C$427 &amp; RIGHT(I672, LEN(I672) - FIND("!", I672) - 1))</f>
        <v>GTE 27.0/4</v>
      </c>
      <c r="G672" s="710" t="b">
        <f ca="1">IF(ISNUMBER(SEARCH(RefData!$B$2, $C672)), FALSE, TRUE)</f>
        <v>1</v>
      </c>
      <c r="H672" s="344">
        <f>Guarantees!C138</f>
        <v>0</v>
      </c>
      <c r="I672" s="712" t="str">
        <f t="shared" ca="1" si="79"/>
        <v>Guarantees!C138</v>
      </c>
      <c r="J672" s="713" t="b" cm="1">
        <f t="array" aca="1" ref="J672" ca="1">IF(
    ISNUMBER(SEARCH(RefData!$B$2, $C$474)),
    IF(
        $E672 &lt;&gt; "",
        $J$474,
        IF(
            $E672 = "",
            FALSE
        )
    ),
    IF(
        COUNTIF($K672:$T672, "&lt;&gt;FALSE") - COUNTBLANK($K672:$T672) &gt; 0,
        INDEX($K672:$T672, MATCH(TRUE, $K672:$T672 &lt;&gt; FALSE, 0))
    )
)</f>
        <v>0</v>
      </c>
      <c r="K672" s="712" t="b">
        <f ca="1">IF(AND('Start here'!$C$26=RefData!$B$9,'Reconciliation report'!$E672&lt;&gt;""),ErrorMsgs!$B672)</f>
        <v>0</v>
      </c>
      <c r="L672" s="712" t="b">
        <f ca="1">IF(AND('Start here'!$C$26=RefData!$B$10,'Covenant summary information'!$C$83=0,'Reconciliation report'!$E672&lt;&gt;""),ErrorMsgs!$C672)</f>
        <v>0</v>
      </c>
      <c r="M672" s="712" t="b">
        <f ca="1">IF(AND('Start here'!$C$26=RefData!$B$10,'Covenant summary information'!$C$83&lt;4,'Reconciliation report'!$E672&lt;&gt;""),ErrorMsgs!$D672)</f>
        <v>0</v>
      </c>
      <c r="N672" s="712" t="b">
        <f ca="1">IF(AND('Start here'!$C$26=RefData!$B$10,'Covenant summary information'!$C$83&gt;=4,Guarantees!$C137&lt;&gt;RefData!$B$140,'Reconciliation report'!$E672&lt;&gt;""),ErrorMsgs!$E672)</f>
        <v>0</v>
      </c>
      <c r="O672" s="712" t="b">
        <f ca="1">IF(AND('Start here'!$C$26=RefData!$B$10,'Covenant summary information'!$C$83&gt;=4,Guarantees!$C137=RefData!$B$140,'Reconciliation report'!$E672=""),ErrorMsgs!$F672)</f>
        <v>0</v>
      </c>
      <c r="P672" s="712" t="b">
        <f ca="1">IF(LEN($E672)&gt;4000,ErrorMsgs!$G672)</f>
        <v>0</v>
      </c>
      <c r="Q672" s="712"/>
      <c r="R672" s="712"/>
      <c r="S672" s="712"/>
      <c r="T672" s="712"/>
      <c r="U672" s="526" t="str">
        <f t="shared" ca="1" si="91"/>
        <v/>
      </c>
      <c r="V672" s="93" t="str" cm="1">
        <f t="array" aca="1" ref="V672" ca="1">CELL("format",INDIRECT(I672))</f>
        <v>G</v>
      </c>
      <c r="W672" s="93" t="b">
        <f t="shared" ca="1" si="92"/>
        <v>0</v>
      </c>
      <c r="X672" s="715" t="str">
        <f t="shared" ca="1" si="90"/>
        <v/>
      </c>
      <c r="Y672" t="b">
        <f t="shared" ca="1" si="93"/>
        <v>1</v>
      </c>
    </row>
    <row r="673" spans="1:25" ht="46.5">
      <c r="A673" s="705" t="s">
        <v>978</v>
      </c>
      <c r="B673" s="716" t="str">
        <f t="shared" ca="1" si="78"/>
        <v>Guarantees - C139</v>
      </c>
      <c r="C673" s="707" t="str" cm="1">
        <f t="array" aca="1" ref="C673" ca="1">INDIRECT(LEFT(I673, FIND("!", I673)) &amp; RefData!$C$426 &amp; RIGHT(I673, LEN(I673) - FIND("!", I673) - 1))</f>
        <v xml:space="preserve">
Triggers for termination
</v>
      </c>
      <c r="D673" s="92" t="str">
        <f t="shared" ca="1" si="94"/>
        <v/>
      </c>
      <c r="E673" s="708" t="str" cm="1">
        <f t="array" aca="1" ref="E673" ca="1">IF(INDIRECT($I673)= "", "", INDIRECT($I673))</f>
        <v/>
      </c>
      <c r="F673" s="709" t="str" cm="1">
        <f t="array" aca="1" ref="F673" ca="1">INDIRECT(LEFT(I673, FIND("!", I673)) &amp; RefData!$C$427 &amp; RIGHT(I673, LEN(I673) - FIND("!", I673) - 1))</f>
        <v>GTE 28.0/4</v>
      </c>
      <c r="G673" s="710" t="b">
        <f ca="1">IF(ISNUMBER(SEARCH(RefData!$B$2, $C673)), FALSE, TRUE)</f>
        <v>1</v>
      </c>
      <c r="H673" s="344">
        <f>Guarantees!C139</f>
        <v>0</v>
      </c>
      <c r="I673" s="712" t="str">
        <f t="shared" ca="1" si="79"/>
        <v>Guarantees!C139</v>
      </c>
      <c r="J673" s="713" t="b" cm="1">
        <f t="array" aca="1" ref="J673" ca="1">IF(
    ISNUMBER(SEARCH(RefData!$B$2, $C$474)),
    IF(
        $E673 &lt;&gt; "",
        $J$474,
        IF(
            $E673 = "",
            FALSE
        )
    ),
    IF(
        COUNTIF($K673:$T673, "&lt;&gt;FALSE") - COUNTBLANK($K673:$T673) &gt; 0,
        INDEX($K673:$T673, MATCH(TRUE, $K673:$T673 &lt;&gt; FALSE, 0))
    )
)</f>
        <v>0</v>
      </c>
      <c r="K673" s="712" t="b">
        <f ca="1">IF(AND('Start here'!$C$26=RefData!$B$9,'Reconciliation report'!$E673&lt;&gt;""),ErrorMsgs!$B673)</f>
        <v>0</v>
      </c>
      <c r="L673" s="712" t="b">
        <f ca="1">IF(AND('Start here'!$C$26=RefData!$B$10,'Covenant summary information'!$C$83=0,'Reconciliation report'!$E673&lt;&gt;""),ErrorMsgs!$C673)</f>
        <v>0</v>
      </c>
      <c r="M673" s="712" t="b">
        <f ca="1">IF(AND('Start here'!$C$26=RefData!$B$10,'Covenant summary information'!$C$83&lt;4,'Reconciliation report'!$E673&lt;&gt;""),ErrorMsgs!$D673)</f>
        <v>0</v>
      </c>
      <c r="N673" s="712" t="b">
        <f ca="1">IF(AND('Start here'!$C$26=RefData!$B$10,'Covenant summary information'!$C$83&gt;=4,'Reconciliation report'!$E673=""),ErrorMsgs!$E673)</f>
        <v>0</v>
      </c>
      <c r="O673" s="712" t="b">
        <f ca="1">IF(LEN($E673)&gt;4000,ErrorMsgs!$F673)</f>
        <v>0</v>
      </c>
      <c r="P673" s="712"/>
      <c r="Q673" s="712"/>
      <c r="R673" s="712"/>
      <c r="S673" s="712"/>
      <c r="T673" s="712"/>
      <c r="U673" s="526" t="str">
        <f t="shared" ca="1" si="91"/>
        <v/>
      </c>
      <c r="V673" s="93" t="str" cm="1">
        <f t="array" aca="1" ref="V673" ca="1">CELL("format",INDIRECT(I673))</f>
        <v>G</v>
      </c>
      <c r="W673" s="93" t="b">
        <f t="shared" ca="1" si="92"/>
        <v>0</v>
      </c>
      <c r="X673" s="715" t="str">
        <f t="shared" ca="1" si="90"/>
        <v/>
      </c>
      <c r="Y673" t="b">
        <f t="shared" ca="1" si="93"/>
        <v>1</v>
      </c>
    </row>
    <row r="674" spans="1:25" ht="77.5">
      <c r="A674" s="705" t="s">
        <v>981</v>
      </c>
      <c r="B674" s="716" t="str">
        <f t="shared" ca="1" si="78"/>
        <v>Guarantees - C143</v>
      </c>
      <c r="C674" s="707" t="str" cm="1">
        <f t="array" aca="1" ref="C674" ca="1">INDIRECT(LEFT(I674, FIND("!", I674)) &amp; RefData!$C$426 &amp; RIGHT(I674, LEN(I674) - FIND("!", I674) - 1))</f>
        <v xml:space="preserve">
No answer required
Legal name
</v>
      </c>
      <c r="D674" s="92" t="str">
        <f t="shared" ca="1" si="94"/>
        <v/>
      </c>
      <c r="E674" s="708" t="str" cm="1">
        <f t="array" aca="1" ref="E674" ca="1">IF(INDIRECT($I674)= "", "", INDIRECT($I674))</f>
        <v/>
      </c>
      <c r="F674" s="709" t="str" cm="1">
        <f t="array" aca="1" ref="F674" ca="1">INDIRECT(LEFT(I674, FIND("!", I674)) &amp; RefData!$C$427 &amp; RIGHT(I674, LEN(I674) - FIND("!", I674) - 1))</f>
        <v>GTE 1.0/5</v>
      </c>
      <c r="G674" s="710" t="b">
        <f ca="1">IF(ISNUMBER(SEARCH(RefData!$B$2, $C674)), FALSE, TRUE)</f>
        <v>0</v>
      </c>
      <c r="H674" s="344">
        <f>Guarantees!C143</f>
        <v>0</v>
      </c>
      <c r="I674" s="712" t="str">
        <f t="shared" ca="1" si="79"/>
        <v>Guarantees!C143</v>
      </c>
      <c r="J674" s="713" t="b" cm="1">
        <f t="array" aca="1" ref="J674" ca="1">IF(
    ISNUMBER(SEARCH(RefData!$B$2, $C$474)),
    IF(
        $E674 &lt;&gt; "",
        $J$474,
        IF(
            $E674 = "",
            FALSE
        )
    ),
    IF(
        COUNTIF($K674:$T674, "&lt;&gt;FALSE") - COUNTBLANK($K674:$T674) &gt; 0,
        INDEX($K674:$T674, MATCH(TRUE, $K674:$T674 &lt;&gt; FALSE, 0))
    )
)</f>
        <v>0</v>
      </c>
      <c r="K674" s="712" t="b">
        <f ca="1">IF(AND('Covenant summary information'!$C$83=0,'Reconciliation report'!$E674&lt;&gt;""),ErrorMsgs!$B674)</f>
        <v>0</v>
      </c>
      <c r="L674" s="712" t="b">
        <f ca="1">IF(AND('Covenant summary information'!$C$83&lt;5,'Reconciliation report'!$E674&lt;&gt;""),ErrorMsgs!$C674)</f>
        <v>0</v>
      </c>
      <c r="M674" s="712" t="b">
        <f ca="1">IF(AND('Covenant summary information'!$C$83&gt;=5,'Reconciliation report'!$E674=""),ErrorMsgs!$D674)</f>
        <v>0</v>
      </c>
      <c r="N674" s="712" t="b">
        <f ca="1">IF(LEN($E674)&gt;510,ErrorMsgs!$E674)</f>
        <v>0</v>
      </c>
      <c r="O674" s="712"/>
      <c r="P674" s="712"/>
      <c r="Q674" s="712"/>
      <c r="R674" s="712"/>
      <c r="S674" s="712"/>
      <c r="T674" s="712"/>
      <c r="U674" s="526" t="str">
        <f t="shared" ca="1" si="91"/>
        <v/>
      </c>
      <c r="V674" s="93" t="str" cm="1">
        <f t="array" aca="1" ref="V674" ca="1">CELL("format",INDIRECT(I674))</f>
        <v>G</v>
      </c>
      <c r="W674" s="93" t="b">
        <f t="shared" ca="1" si="92"/>
        <v>0</v>
      </c>
      <c r="X674" s="715" t="str">
        <f t="shared" ca="1" si="90"/>
        <v/>
      </c>
      <c r="Y674" t="b">
        <f t="shared" ca="1" si="93"/>
        <v>1</v>
      </c>
    </row>
    <row r="675" spans="1:25" ht="41.75" customHeight="1">
      <c r="A675" s="705" t="s">
        <v>983</v>
      </c>
      <c r="B675" s="716" t="str">
        <f t="shared" ca="1" si="78"/>
        <v>Guarantees - C144</v>
      </c>
      <c r="C675" s="707" t="str" cm="1">
        <f t="array" aca="1" ref="C675" ca="1">INDIRECT(LEFT(I675, FIND("!", I675)) &amp; RefData!$C$426 &amp; RIGHT(I675, LEN(I675) - FIND("!", I675) - 1))</f>
        <v xml:space="preserve">
No answer required
Companies House number (if applicable)
</v>
      </c>
      <c r="D675" s="92" t="str">
        <f t="shared" ca="1" si="94"/>
        <v/>
      </c>
      <c r="E675" s="708" t="str" cm="1">
        <f t="array" aca="1" ref="E675" ca="1">IF(INDIRECT($I675)= "", "", INDIRECT($I675))</f>
        <v/>
      </c>
      <c r="F675" s="709" t="str" cm="1">
        <f t="array" aca="1" ref="F675" ca="1">INDIRECT(LEFT(I675, FIND("!", I675)) &amp; RefData!$C$427 &amp; RIGHT(I675, LEN(I675) - FIND("!", I675) - 1))</f>
        <v>GTE 2.0/5</v>
      </c>
      <c r="G675" s="710" t="b">
        <f ca="1">IF(ISNUMBER(SEARCH(RefData!$B$2, $C675)), FALSE, TRUE)</f>
        <v>0</v>
      </c>
      <c r="H675" s="344">
        <f>Guarantees!C144</f>
        <v>0</v>
      </c>
      <c r="I675" s="712" t="str">
        <f t="shared" ca="1" si="79"/>
        <v>Guarantees!C144</v>
      </c>
      <c r="J675" s="713" t="b" cm="1">
        <f t="array" aca="1" ref="J675" ca="1">IF(
    ISNUMBER(SEARCH(RefData!$B$2, $C$474)),
    IF(
        $E675 &lt;&gt; "",
        $J$474,
        IF(
            $E675 = "",
            FALSE
        )
    ),
    IF(
        COUNTIF($K675:$T675, "&lt;&gt;FALSE") - COUNTBLANK($K675:$T675) &gt; 0,
        INDEX($K675:$T675, MATCH(TRUE, $K675:$T675 &lt;&gt; FALSE, 0))
    )
)</f>
        <v>0</v>
      </c>
      <c r="K675" s="712" t="b">
        <f ca="1">IF(AND('Covenant summary information'!$C$83=0,'Reconciliation report'!$E675&lt;&gt;""),ErrorMsgs!$B675)</f>
        <v>0</v>
      </c>
      <c r="L675" s="712" t="b">
        <f ca="1">IF(AND('Covenant summary information'!$C$83&lt;5,'Reconciliation report'!$E675&lt;&gt;""),ErrorMsgs!$C675)</f>
        <v>0</v>
      </c>
      <c r="M675" s="712" t="b">
        <f ca="1">IF(
  AND(
   'Covenant summary information'!$C$83&gt;= 5,
    OR(
      AND(TRIM($E675) &lt;&gt; "", TRIM($D676) &lt;&gt; ""),
      AND(TRIM($E675) &lt;&gt; "", TRIM($D676) = "", TRIM($E676) = "")
    ),
    OR(
      ISNUMBER(FIND(" ", $E675)),
      NOT(
        OR(
          AND(LEN($E675)=8, ISNUMBER(VALUE($E675))),
          AND(LEN($E675)=8, ISNUMBER(VALUE(RIGHT($E675,6))), ISNUMBER(FIND(LEFT(UPPER($E675),1),"ABCDEFGHIJKLMNOPQRSTUVWXYZ")), ISNUMBER(FIND(MID(UPPER($E675),2,1),"ABCDEFGHIJKLMNOPQRSTUVWXYZ"))),
          AND(LEN($E675)=8, ISNUMBER(VALUE(RIGHT($E675,7))), ISNUMBER(FIND(LEFT(UPPER($E675),1),"ABCDEFGHIJKLMNOPQRSTUVWXYZ"))),
          AND(LEN($E675)=8, ISNUMBER(VALUE(MID($E675,3,5))), ISNUMBER(FIND(LEFT(UPPER($E675),1),"ABCDEFGHIJKLMNOPQRSTUVWXYZ")), ISNUMBER(FIND(MID(UPPER($E675),2,1),"ABCDEFGHIJKLMNOPQRSTUVWXYZ")), ISNUMBER(FIND(RIGHT(UPPER($E675),1),"ABCDEFGHIJKLMNOPQRSTUVWXYZ"))),
          AND(LEN($E675)=8, ISNUMBER(VALUE(MID($E675,3,4))), ISNUMBER(FIND(LEFT(UPPER($E675),1),"ABCDEFGHIJKLMNOPQRSTUVWXYZ")), ISNUMBER(FIND(MID(UPPER($E675),2,1),"ABCDEFGHIJKLMNOPQRSTUVWXYZ")), ISNUMBER(FIND(MID(UPPER($E675),7,1),"ABCDEFGHIJKLMNOPQRSTUVWXYZ")), ISNUMBER(FIND(RIGHT(UPPER($E675),1),"ABCDEFGHIJKLMNOPQRSTUVWXYZ")))
        )
      )
    )
  ),
  ErrorMsgs!D675
)</f>
        <v>0</v>
      </c>
      <c r="N675" s="712"/>
      <c r="O675" s="712"/>
      <c r="P675" s="712"/>
      <c r="Q675" s="712"/>
      <c r="R675" s="712"/>
      <c r="S675" s="712"/>
      <c r="T675" s="712"/>
      <c r="U675" s="526" t="str">
        <f t="shared" ca="1" si="91"/>
        <v/>
      </c>
      <c r="V675" s="93" t="str" cm="1">
        <f t="array" aca="1" ref="V675" ca="1">CELL("format",INDIRECT(I675))</f>
        <v>G</v>
      </c>
      <c r="W675" s="93" t="b">
        <f t="shared" ca="1" si="92"/>
        <v>0</v>
      </c>
      <c r="X675" s="715" t="str">
        <f t="shared" ca="1" si="90"/>
        <v/>
      </c>
      <c r="Y675" t="b">
        <f t="shared" ca="1" si="93"/>
        <v>1</v>
      </c>
    </row>
    <row r="676" spans="1:25" ht="77.5">
      <c r="A676" s="705" t="s">
        <v>985</v>
      </c>
      <c r="B676" s="716" t="str">
        <f t="shared" ca="1" si="78"/>
        <v>Guarantees - C145</v>
      </c>
      <c r="C676" s="707" t="str" cm="1">
        <f t="array" aca="1" ref="C676" ca="1">INDIRECT(LEFT(I676, FIND("!", I676)) &amp; RefData!$C$426 &amp; RIGHT(I676, LEN(I676) - FIND("!", I676) - 1))</f>
        <v xml:space="preserve">
No answer required
Charity number (if applicable)
</v>
      </c>
      <c r="D676" s="92" t="str">
        <f t="shared" ca="1" si="94"/>
        <v/>
      </c>
      <c r="E676" s="708" t="str" cm="1">
        <f t="array" aca="1" ref="E676" ca="1">IF(INDIRECT($I676)= "", "", INDIRECT($I676))</f>
        <v/>
      </c>
      <c r="F676" s="709" t="str" cm="1">
        <f t="array" aca="1" ref="F676" ca="1">INDIRECT(LEFT(I676, FIND("!", I676)) &amp; RefData!$C$427 &amp; RIGHT(I676, LEN(I676) - FIND("!", I676) - 1))</f>
        <v>GTE 3.0/5</v>
      </c>
      <c r="G676" s="710" t="b">
        <f ca="1">IF(ISNUMBER(SEARCH(RefData!$B$2, $C676)), FALSE, TRUE)</f>
        <v>0</v>
      </c>
      <c r="H676" s="344">
        <f>Guarantees!C145</f>
        <v>0</v>
      </c>
      <c r="I676" s="712" t="str">
        <f t="shared" ca="1" si="79"/>
        <v>Guarantees!C145</v>
      </c>
      <c r="J676" s="713" t="b" cm="1">
        <f t="array" aca="1" ref="J676" ca="1">IF(
    ISNUMBER(SEARCH(RefData!$B$2, $C$474)),
    IF(
        $E676 &lt;&gt; "",
        $J$474,
        IF(
            $E676 = "",
            FALSE
        )
    ),
    IF(
        COUNTIF($K676:$T676, "&lt;&gt;FALSE") - COUNTBLANK($K676:$T676) &gt; 0,
        INDEX($K676:$T676, MATCH(TRUE, $K676:$T676 &lt;&gt; FALSE, 0))
    )
)</f>
        <v>0</v>
      </c>
      <c r="K676" s="712" t="b">
        <f ca="1">IF(AND('Covenant summary information'!$C$83=0,'Reconciliation report'!$E676&lt;&gt;""),ErrorMsgs!$B676)</f>
        <v>0</v>
      </c>
      <c r="L676" s="712" t="b">
        <f ca="1">IF(AND('Covenant summary information'!$C$83&lt;5,'Reconciliation report'!$E676&lt;&gt;""),ErrorMsgs!$C676)</f>
        <v>0</v>
      </c>
      <c r="M676" s="712" t="b">
        <f ca="1">IF(AND(TRIM(Guarantees!$C144)&lt;&gt;"",$E676&lt;&gt;""),ErrorMsgs!$D676)</f>
        <v>0</v>
      </c>
      <c r="N676" s="712" t="b">
        <f ca="1">IF(AND($E676&lt;&gt;"",OR(LEN($E676)&lt;6,LEN($E676)&gt;8)),ErrorMsgs!$E676)</f>
        <v>0</v>
      </c>
      <c r="O676" s="712"/>
      <c r="P676" s="712"/>
      <c r="Q676" s="712"/>
      <c r="R676" s="712"/>
      <c r="S676" s="712"/>
      <c r="T676" s="712"/>
      <c r="U676" s="526" t="str">
        <f t="shared" ca="1" si="91"/>
        <v/>
      </c>
      <c r="V676" s="93" t="str" cm="1">
        <f t="array" aca="1" ref="V676" ca="1">CELL("format",INDIRECT(I676))</f>
        <v>G</v>
      </c>
      <c r="W676" s="93" t="b">
        <f t="shared" ca="1" si="92"/>
        <v>0</v>
      </c>
      <c r="X676" s="715" t="str">
        <f t="shared" ca="1" si="90"/>
        <v/>
      </c>
      <c r="Y676" t="b">
        <f t="shared" ca="1" si="93"/>
        <v>1</v>
      </c>
    </row>
    <row r="677" spans="1:25" ht="77.5">
      <c r="A677" s="705" t="s">
        <v>987</v>
      </c>
      <c r="B677" s="716" t="str">
        <f t="shared" ca="1" si="78"/>
        <v>Guarantees - C146</v>
      </c>
      <c r="C677" s="707" t="str" cm="1">
        <f t="array" aca="1" ref="C677" ca="1">INDIRECT(LEFT(I677, FIND("!", I677)) &amp; RefData!$C$426 &amp; RIGHT(I677, LEN(I677) - FIND("!", I677) - 1))</f>
        <v xml:space="preserve">
No answer required
Trading name
</v>
      </c>
      <c r="D677" s="92" t="str">
        <f t="shared" ca="1" si="94"/>
        <v/>
      </c>
      <c r="E677" s="708" t="str" cm="1">
        <f t="array" aca="1" ref="E677" ca="1">IF(INDIRECT($I677)= "", "", INDIRECT($I677))</f>
        <v/>
      </c>
      <c r="F677" s="709" t="str" cm="1">
        <f t="array" aca="1" ref="F677" ca="1">INDIRECT(LEFT(I677, FIND("!", I677)) &amp; RefData!$C$427 &amp; RIGHT(I677, LEN(I677) - FIND("!", I677) - 1))</f>
        <v>GTE 4.0/5</v>
      </c>
      <c r="G677" s="710" t="b">
        <f ca="1">IF(ISNUMBER(SEARCH(RefData!$B$2, $C677)), FALSE, TRUE)</f>
        <v>0</v>
      </c>
      <c r="H677" s="344">
        <f>Guarantees!C146</f>
        <v>0</v>
      </c>
      <c r="I677" s="712" t="str">
        <f t="shared" ca="1" si="79"/>
        <v>Guarantees!C146</v>
      </c>
      <c r="J677" s="713" t="b" cm="1">
        <f t="array" aca="1" ref="J677" ca="1">IF(
    ISNUMBER(SEARCH(RefData!$B$2, $C$474)),
    IF(
        $E677 &lt;&gt; "",
        $J$474,
        IF(
            $E677 = "",
            FALSE
        )
    ),
    IF(
        COUNTIF($K677:$T677, "&lt;&gt;FALSE") - COUNTBLANK($K677:$T677) &gt; 0,
        INDEX($K677:$T677, MATCH(TRUE, $K677:$T677 &lt;&gt; FALSE, 0))
    )
)</f>
        <v>0</v>
      </c>
      <c r="K677" s="712" t="b">
        <f ca="1">IF(AND('Covenant summary information'!$C$83=0,'Reconciliation report'!$E677&lt;&gt;""),ErrorMsgs!$B677)</f>
        <v>0</v>
      </c>
      <c r="L677" s="712" t="b">
        <f ca="1">IF(AND('Covenant summary information'!$C$83&lt;5,'Reconciliation report'!$E677&lt;&gt;""),ErrorMsgs!$C677)</f>
        <v>0</v>
      </c>
      <c r="M677" s="712" t="b">
        <f ca="1">IF(AND(TRIM(Guarantees!$C144)&lt;&gt;"",$E677&lt;&gt;""),ErrorMsgs!$D677)</f>
        <v>0</v>
      </c>
      <c r="N677" s="712" t="b">
        <f ca="1">IF(AND(Guarantees!$C145&lt;&gt;"",$E677&lt;&gt;""),ErrorMsgs!$E677)</f>
        <v>0</v>
      </c>
      <c r="O677" s="712" t="b">
        <f ca="1">IF(AND('Covenant summary information'!$C$83&gt;=5,TRIM(Guarantees!$C144)="",Guarantees!$C145="",'Reconciliation report'!$E677=""),ErrorMsgs!$F677)</f>
        <v>0</v>
      </c>
      <c r="P677" s="712" t="b">
        <f ca="1">IF(LEN($E677)&gt;510,ErrorMsgs!$G677)</f>
        <v>0</v>
      </c>
      <c r="Q677" s="712"/>
      <c r="R677" s="712"/>
      <c r="S677" s="712"/>
      <c r="T677" s="712"/>
      <c r="U677" s="526" t="str">
        <f t="shared" ca="1" si="91"/>
        <v/>
      </c>
      <c r="V677" s="93" t="str" cm="1">
        <f t="array" aca="1" ref="V677" ca="1">CELL("format",INDIRECT(I677))</f>
        <v>G</v>
      </c>
      <c r="W677" s="93" t="b">
        <f t="shared" ca="1" si="92"/>
        <v>0</v>
      </c>
      <c r="X677" s="715" t="str">
        <f t="shared" ca="1" si="90"/>
        <v/>
      </c>
      <c r="Y677" t="b">
        <f t="shared" ca="1" si="93"/>
        <v>1</v>
      </c>
    </row>
    <row r="678" spans="1:25" ht="77.5">
      <c r="A678" s="705" t="s">
        <v>989</v>
      </c>
      <c r="B678" s="716" t="str">
        <f t="shared" ca="1" si="78"/>
        <v>Guarantees - C147</v>
      </c>
      <c r="C678" s="707" t="str" cm="1">
        <f t="array" aca="1" ref="C678" ca="1">INDIRECT(LEFT(I678, FIND("!", I678)) &amp; RefData!$C$426 &amp; RIGHT(I678, LEN(I678) - FIND("!", I678) - 1))</f>
        <v xml:space="preserve">
No answer required
Address line 1
</v>
      </c>
      <c r="D678" s="92" t="str">
        <f t="shared" ca="1" si="94"/>
        <v/>
      </c>
      <c r="E678" s="708" t="str" cm="1">
        <f t="array" aca="1" ref="E678" ca="1">IF(INDIRECT($I678)= "", "", INDIRECT($I678))</f>
        <v/>
      </c>
      <c r="F678" s="709" t="str" cm="1">
        <f t="array" aca="1" ref="F678" ca="1">INDIRECT(LEFT(I678, FIND("!", I678)) &amp; RefData!$C$427 &amp; RIGHT(I678, LEN(I678) - FIND("!", I678) - 1))</f>
        <v>GTE 5.0/5</v>
      </c>
      <c r="G678" s="710" t="b">
        <f ca="1">IF(ISNUMBER(SEARCH(RefData!$B$2, $C678)), FALSE, TRUE)</f>
        <v>0</v>
      </c>
      <c r="H678" s="344">
        <f>Guarantees!C147</f>
        <v>0</v>
      </c>
      <c r="I678" s="712" t="str">
        <f t="shared" ca="1" si="79"/>
        <v>Guarantees!C147</v>
      </c>
      <c r="J678" s="713" t="b" cm="1">
        <f t="array" aca="1" ref="J678" ca="1">IF(
    ISNUMBER(SEARCH(RefData!$B$2, $C$474)),
    IF(
        $E678 &lt;&gt; "",
        $J$474,
        IF(
            $E678 = "",
            FALSE
        )
    ),
    IF(
        COUNTIF($K678:$T678, "&lt;&gt;FALSE") - COUNTBLANK($K678:$T678) &gt; 0,
        INDEX($K678:$T678, MATCH(TRUE, $K678:$T678 &lt;&gt; FALSE, 0))
    )
)</f>
        <v>0</v>
      </c>
      <c r="K678" s="712" t="b">
        <f ca="1">IF(AND('Covenant summary information'!$C$83=0,'Reconciliation report'!$E678&lt;&gt;""),ErrorMsgs!$B678)</f>
        <v>0</v>
      </c>
      <c r="L678" s="712" t="b">
        <f ca="1">IF(AND('Covenant summary information'!$C$83&lt;5,'Reconciliation report'!$E678&lt;&gt;""),ErrorMsgs!$C678)</f>
        <v>0</v>
      </c>
      <c r="M678" s="712" t="b">
        <f ca="1">IF(AND(TRIM(Guarantees!$C144)&lt;&gt;"",$E678&lt;&gt;""),ErrorMsgs!$D678)</f>
        <v>0</v>
      </c>
      <c r="N678" s="712" t="b">
        <f ca="1">IF(AND(Guarantees!$C145&lt;&gt;"",$E678&lt;&gt;""),ErrorMsgs!$E678)</f>
        <v>0</v>
      </c>
      <c r="O678" s="712" t="b">
        <f ca="1">IF(AND('Covenant summary information'!$C$83&gt;=5,TRIM(Guarantees!$C144)="",Guarantees!$C145="",'Reconciliation report'!$E678=""),ErrorMsgs!$F678)</f>
        <v>0</v>
      </c>
      <c r="P678" s="712" t="b">
        <f ca="1">IF(LEN($E678)&gt;510,ErrorMsgs!$G678)</f>
        <v>0</v>
      </c>
      <c r="Q678" s="712"/>
      <c r="R678" s="712"/>
      <c r="S678" s="712"/>
      <c r="T678" s="712"/>
      <c r="U678" s="526" t="str">
        <f t="shared" ca="1" si="91"/>
        <v/>
      </c>
      <c r="V678" s="93" t="str" cm="1">
        <f t="array" aca="1" ref="V678" ca="1">CELL("format",INDIRECT(I678))</f>
        <v>G</v>
      </c>
      <c r="W678" s="93" t="b">
        <f t="shared" ca="1" si="92"/>
        <v>0</v>
      </c>
      <c r="X678" s="715" t="str">
        <f t="shared" ca="1" si="90"/>
        <v/>
      </c>
      <c r="Y678" t="b">
        <f t="shared" ca="1" si="93"/>
        <v>1</v>
      </c>
    </row>
    <row r="679" spans="1:25" ht="77.5">
      <c r="A679" s="705" t="s">
        <v>991</v>
      </c>
      <c r="B679" s="716" t="str">
        <f t="shared" ca="1" si="78"/>
        <v>Guarantees - C148</v>
      </c>
      <c r="C679" s="707" t="str" cm="1">
        <f t="array" aca="1" ref="C679" ca="1">INDIRECT(LEFT(I679, FIND("!", I679)) &amp; RefData!$C$426 &amp; RIGHT(I679, LEN(I679) - FIND("!", I679) - 1))</f>
        <v xml:space="preserve">
No answer required
Address line 2 (optional)
</v>
      </c>
      <c r="D679" s="92" t="str">
        <f t="shared" ca="1" si="94"/>
        <v/>
      </c>
      <c r="E679" s="708" t="str" cm="1">
        <f t="array" aca="1" ref="E679" ca="1">IF(INDIRECT($I679)= "", "", INDIRECT($I679))</f>
        <v/>
      </c>
      <c r="F679" s="709" t="str" cm="1">
        <f t="array" aca="1" ref="F679" ca="1">INDIRECT(LEFT(I679, FIND("!", I679)) &amp; RefData!$C$427 &amp; RIGHT(I679, LEN(I679) - FIND("!", I679) - 1))</f>
        <v>GTE 6.0/5</v>
      </c>
      <c r="G679" s="710" t="b">
        <f ca="1">IF(ISNUMBER(SEARCH(RefData!$B$2, $C679)), FALSE, TRUE)</f>
        <v>0</v>
      </c>
      <c r="H679" s="344">
        <f>Guarantees!C148</f>
        <v>0</v>
      </c>
      <c r="I679" s="712" t="str">
        <f t="shared" ca="1" si="79"/>
        <v>Guarantees!C148</v>
      </c>
      <c r="J679" s="713" t="b" cm="1">
        <f t="array" aca="1" ref="J679" ca="1">IF(
    ISNUMBER(SEARCH(RefData!$B$2, $C$474)),
    IF(
        $E679 &lt;&gt; "",
        $J$474,
        IF(
            $E679 = "",
            FALSE
        )
    ),
    IF(
        COUNTIF($K679:$T679, "&lt;&gt;FALSE") - COUNTBLANK($K679:$T679) &gt; 0,
        INDEX($K679:$T679, MATCH(TRUE, $K679:$T679 &lt;&gt; FALSE, 0))
    )
)</f>
        <v>0</v>
      </c>
      <c r="K679" s="712" t="b">
        <f ca="1">IF(AND('Covenant summary information'!$C$83=0,'Reconciliation report'!$E679&lt;&gt;""),ErrorMsgs!$B679)</f>
        <v>0</v>
      </c>
      <c r="L679" s="712" t="b">
        <f ca="1">IF(AND('Covenant summary information'!$C$83&lt;5,'Reconciliation report'!$E679&lt;&gt;""),ErrorMsgs!$C679)</f>
        <v>0</v>
      </c>
      <c r="M679" s="712" t="b">
        <f ca="1">IF(AND(TRIM(Guarantees!$C144)&lt;&gt;"",$E679&lt;&gt;""),ErrorMsgs!$D679)</f>
        <v>0</v>
      </c>
      <c r="N679" s="712" t="b">
        <f ca="1">IF(AND(Guarantees!$C145&lt;&gt;"",$E679&lt;&gt;""),ErrorMsgs!$E679)</f>
        <v>0</v>
      </c>
      <c r="O679" s="712" t="b">
        <f ca="1">IF(LEN($E679)&gt;510,ErrorMsgs!$F679)</f>
        <v>0</v>
      </c>
      <c r="P679" s="712"/>
      <c r="Q679" s="712"/>
      <c r="R679" s="712"/>
      <c r="S679" s="712"/>
      <c r="T679" s="712"/>
      <c r="U679" s="526" t="str">
        <f t="shared" ca="1" si="91"/>
        <v/>
      </c>
      <c r="V679" s="93" t="str" cm="1">
        <f t="array" aca="1" ref="V679" ca="1">CELL("format",INDIRECT(I679))</f>
        <v>G</v>
      </c>
      <c r="W679" s="93" t="b">
        <f t="shared" ca="1" si="92"/>
        <v>0</v>
      </c>
      <c r="X679" s="715" t="str">
        <f t="shared" ca="1" si="90"/>
        <v/>
      </c>
      <c r="Y679" t="b">
        <f t="shared" ca="1" si="93"/>
        <v>1</v>
      </c>
    </row>
    <row r="680" spans="1:25" ht="77.5">
      <c r="A680" s="705" t="s">
        <v>993</v>
      </c>
      <c r="B680" s="716" t="str">
        <f t="shared" ca="1" si="78"/>
        <v>Guarantees - C149</v>
      </c>
      <c r="C680" s="707" t="str" cm="1">
        <f t="array" aca="1" ref="C680" ca="1">INDIRECT(LEFT(I680, FIND("!", I680)) &amp; RefData!$C$426 &amp; RIGHT(I680, LEN(I680) - FIND("!", I680) - 1))</f>
        <v xml:space="preserve">
No answer required
Address line 3 (optional)
</v>
      </c>
      <c r="D680" s="92" t="str">
        <f t="shared" ca="1" si="94"/>
        <v/>
      </c>
      <c r="E680" s="708" t="str" cm="1">
        <f t="array" aca="1" ref="E680" ca="1">IF(INDIRECT($I680)= "", "", INDIRECT($I680))</f>
        <v/>
      </c>
      <c r="F680" s="709" t="str" cm="1">
        <f t="array" aca="1" ref="F680" ca="1">INDIRECT(LEFT(I680, FIND("!", I680)) &amp; RefData!$C$427 &amp; RIGHT(I680, LEN(I680) - FIND("!", I680) - 1))</f>
        <v>GTE 7.0/5</v>
      </c>
      <c r="G680" s="710" t="b">
        <f ca="1">IF(ISNUMBER(SEARCH(RefData!$B$2, $C680)), FALSE, TRUE)</f>
        <v>0</v>
      </c>
      <c r="H680" s="344">
        <f>Guarantees!C149</f>
        <v>0</v>
      </c>
      <c r="I680" s="712" t="str">
        <f t="shared" ca="1" si="79"/>
        <v>Guarantees!C149</v>
      </c>
      <c r="J680" s="713" t="b" cm="1">
        <f t="array" aca="1" ref="J680" ca="1">IF(
    ISNUMBER(SEARCH(RefData!$B$2, $C$474)),
    IF(
        $E680 &lt;&gt; "",
        $J$474,
        IF(
            $E680 = "",
            FALSE
        )
    ),
    IF(
        COUNTIF($K680:$T680, "&lt;&gt;FALSE") - COUNTBLANK($K680:$T680) &gt; 0,
        INDEX($K680:$T680, MATCH(TRUE, $K680:$T680 &lt;&gt; FALSE, 0))
    )
)</f>
        <v>0</v>
      </c>
      <c r="K680" s="712" t="b">
        <f ca="1">IF(AND('Covenant summary information'!$C$83=0,'Reconciliation report'!$E680&lt;&gt;""),ErrorMsgs!$B680)</f>
        <v>0</v>
      </c>
      <c r="L680" s="712" t="b">
        <f ca="1">IF(AND('Covenant summary information'!$C$83&lt;5,'Reconciliation report'!$E680&lt;&gt;""),ErrorMsgs!$C680)</f>
        <v>0</v>
      </c>
      <c r="M680" s="712" t="b">
        <f ca="1">IF(AND(TRIM(Guarantees!$C144)&lt;&gt;"",$E680&lt;&gt;""),ErrorMsgs!$D680)</f>
        <v>0</v>
      </c>
      <c r="N680" s="712" t="b">
        <f ca="1">IF(AND(Guarantees!$C145&lt;&gt;"",$E680&lt;&gt;""),ErrorMsgs!$E680)</f>
        <v>0</v>
      </c>
      <c r="O680" s="712" t="b">
        <f ca="1">IF(LEN($E680)&gt;510,ErrorMsgs!$F680)</f>
        <v>0</v>
      </c>
      <c r="P680" s="712"/>
      <c r="Q680" s="712"/>
      <c r="R680" s="712"/>
      <c r="S680" s="712"/>
      <c r="T680" s="712"/>
      <c r="U680" s="526" t="str">
        <f t="shared" ca="1" si="91"/>
        <v/>
      </c>
      <c r="V680" s="93" t="str" cm="1">
        <f t="array" aca="1" ref="V680" ca="1">CELL("format",INDIRECT(I680))</f>
        <v>G</v>
      </c>
      <c r="W680" s="93" t="b">
        <f t="shared" ca="1" si="92"/>
        <v>0</v>
      </c>
      <c r="X680" s="715" t="str">
        <f t="shared" ca="1" si="90"/>
        <v/>
      </c>
      <c r="Y680" t="b">
        <f t="shared" ca="1" si="93"/>
        <v>1</v>
      </c>
    </row>
    <row r="681" spans="1:25" ht="77.5">
      <c r="A681" s="705" t="s">
        <v>995</v>
      </c>
      <c r="B681" s="716" t="str">
        <f t="shared" ca="1" si="78"/>
        <v>Guarantees - C150</v>
      </c>
      <c r="C681" s="707" t="str" cm="1">
        <f t="array" aca="1" ref="C681" ca="1">INDIRECT(LEFT(I681, FIND("!", I681)) &amp; RefData!$C$426 &amp; RIGHT(I681, LEN(I681) - FIND("!", I681) - 1))</f>
        <v xml:space="preserve">
No answer required
Post town or city
</v>
      </c>
      <c r="D681" s="92" t="str">
        <f t="shared" ca="1" si="94"/>
        <v/>
      </c>
      <c r="E681" s="708" t="str" cm="1">
        <f t="array" aca="1" ref="E681" ca="1">IF(INDIRECT($I681)= "", "", INDIRECT($I681))</f>
        <v/>
      </c>
      <c r="F681" s="709" t="str" cm="1">
        <f t="array" aca="1" ref="F681" ca="1">INDIRECT(LEFT(I681, FIND("!", I681)) &amp; RefData!$C$427 &amp; RIGHT(I681, LEN(I681) - FIND("!", I681) - 1))</f>
        <v>GTE 8.0/5</v>
      </c>
      <c r="G681" s="710" t="b">
        <f ca="1">IF(ISNUMBER(SEARCH(RefData!$B$2, $C681)), FALSE, TRUE)</f>
        <v>0</v>
      </c>
      <c r="H681" s="344">
        <f>Guarantees!C150</f>
        <v>0</v>
      </c>
      <c r="I681" s="712" t="str">
        <f t="shared" ca="1" si="79"/>
        <v>Guarantees!C150</v>
      </c>
      <c r="J681" s="713" t="b" cm="1">
        <f t="array" aca="1" ref="J681" ca="1">IF(
    ISNUMBER(SEARCH(RefData!$B$2, $C$474)),
    IF(
        $E681 &lt;&gt; "",
        $J$474,
        IF(
            $E681 = "",
            FALSE
        )
    ),
    IF(
        COUNTIF($K681:$T681, "&lt;&gt;FALSE") - COUNTBLANK($K681:$T681) &gt; 0,
        INDEX($K681:$T681, MATCH(TRUE, $K681:$T681 &lt;&gt; FALSE, 0))
    )
)</f>
        <v>0</v>
      </c>
      <c r="K681" s="712" t="b">
        <f ca="1">IF(AND('Covenant summary information'!$C$83=0,'Reconciliation report'!$E681&lt;&gt;""),ErrorMsgs!$B681)</f>
        <v>0</v>
      </c>
      <c r="L681" s="712" t="b">
        <f ca="1">IF(AND('Covenant summary information'!$C$83&lt;5,'Reconciliation report'!$E681&lt;&gt;""),ErrorMsgs!$C681)</f>
        <v>0</v>
      </c>
      <c r="M681" s="712" t="b">
        <f ca="1">IF(AND(TRIM(Guarantees!$C144)&lt;&gt;"",$E681&lt;&gt;""),ErrorMsgs!$D681)</f>
        <v>0</v>
      </c>
      <c r="N681" s="712" t="b">
        <f ca="1">IF(AND(Guarantees!$C145&lt;&gt;"",$E681&lt;&gt;""),ErrorMsgs!$E681)</f>
        <v>0</v>
      </c>
      <c r="O681" s="712" t="b">
        <f ca="1">IF(AND('Covenant summary information'!$C$83&gt;=5,TRIM(Guarantees!$C144)="",Guarantees!$C145="",'Reconciliation report'!$E681=""),ErrorMsgs!$F681)</f>
        <v>0</v>
      </c>
      <c r="P681" s="712" t="b">
        <f ca="1">IF(LEN($E681)&gt;510,ErrorMsgs!$G681)</f>
        <v>0</v>
      </c>
      <c r="Q681" s="712"/>
      <c r="R681" s="712"/>
      <c r="S681" s="712"/>
      <c r="T681" s="712"/>
      <c r="U681" s="526" t="str">
        <f t="shared" ca="1" si="91"/>
        <v/>
      </c>
      <c r="V681" s="93" t="str" cm="1">
        <f t="array" aca="1" ref="V681" ca="1">CELL("format",INDIRECT(I681))</f>
        <v>G</v>
      </c>
      <c r="W681" s="93" t="b">
        <f t="shared" ca="1" si="92"/>
        <v>0</v>
      </c>
      <c r="X681" s="715" t="str">
        <f t="shared" ca="1" si="90"/>
        <v/>
      </c>
      <c r="Y681" t="b">
        <f t="shared" ca="1" si="93"/>
        <v>1</v>
      </c>
    </row>
    <row r="682" spans="1:25" ht="77.5">
      <c r="A682" s="705" t="s">
        <v>997</v>
      </c>
      <c r="B682" s="716" t="str">
        <f t="shared" ca="1" si="78"/>
        <v>Guarantees - C151</v>
      </c>
      <c r="C682" s="707" t="str" cm="1">
        <f t="array" aca="1" ref="C682" ca="1">INDIRECT(LEFT(I682, FIND("!", I682)) &amp; RefData!$C$426 &amp; RIGHT(I682, LEN(I682) - FIND("!", I682) - 1))</f>
        <v xml:space="preserve">
No answer required
Country
</v>
      </c>
      <c r="D682" s="92" t="str">
        <f t="shared" ca="1" si="94"/>
        <v/>
      </c>
      <c r="E682" s="708" t="str" cm="1">
        <f t="array" aca="1" ref="E682" ca="1">IF(INDIRECT($I682)= "", "", INDIRECT($I682))</f>
        <v/>
      </c>
      <c r="F682" s="709" t="str" cm="1">
        <f t="array" aca="1" ref="F682" ca="1">INDIRECT(LEFT(I682, FIND("!", I682)) &amp; RefData!$C$427 &amp; RIGHT(I682, LEN(I682) - FIND("!", I682) - 1))</f>
        <v>GTE 9.0/5</v>
      </c>
      <c r="G682" s="710" t="b">
        <f ca="1">IF(ISNUMBER(SEARCH(RefData!$B$2, $C682)), FALSE, TRUE)</f>
        <v>0</v>
      </c>
      <c r="H682" s="344">
        <f>Guarantees!C151</f>
        <v>0</v>
      </c>
      <c r="I682" s="712" t="str">
        <f t="shared" ca="1" si="79"/>
        <v>Guarantees!C151</v>
      </c>
      <c r="J682" s="713" t="b" cm="1">
        <f t="array" aca="1" ref="J682" ca="1">IF(
    ISNUMBER(SEARCH(RefData!$B$2, $C$474)),
    IF(
        $E682 &lt;&gt; "",
        $J$474,
        IF(
            $E682 = "",
            FALSE
        )
    ),
    IF(
        COUNTIF($K682:$T682, "&lt;&gt;FALSE") - COUNTBLANK($K682:$T682) &gt; 0,
        INDEX($K682:$T682, MATCH(TRUE, $K682:$T682 &lt;&gt; FALSE, 0))
    )
)</f>
        <v>0</v>
      </c>
      <c r="K682" s="712" t="b">
        <f ca="1">IF(AND('Covenant summary information'!$C$83=0,'Reconciliation report'!$E682&lt;&gt;""),ErrorMsgs!$B682)</f>
        <v>0</v>
      </c>
      <c r="L682" s="712" t="b">
        <f ca="1">IF(AND('Covenant summary information'!$C$83&lt;5,'Reconciliation report'!$E682&lt;&gt;""),ErrorMsgs!$C682)</f>
        <v>0</v>
      </c>
      <c r="M682" s="712" t="b">
        <f ca="1">IF(AND(TRIM(Guarantees!$C144)&lt;&gt;"",$E682&lt;&gt;""),ErrorMsgs!$D682)</f>
        <v>0</v>
      </c>
      <c r="N682" s="712" t="b">
        <f ca="1">IF(AND(Guarantees!$C145&lt;&gt;"",$E682&lt;&gt;""),ErrorMsgs!$E682)</f>
        <v>0</v>
      </c>
      <c r="O682" s="712" t="b">
        <f ca="1">IF(AND('Covenant summary information'!$C$83&gt;=5,TRIM(Guarantees!$C144)="",Guarantees!$C145="",'Reconciliation report'!$E682=""),ErrorMsgs!$F682)</f>
        <v>0</v>
      </c>
      <c r="P682" s="712" t="b">
        <f ca="1">IF(AND($E682&lt;&gt;"",ISNA(MATCH($E682,RefData!$B$206:$B$400,0))),ErrorMsgs!$G682)</f>
        <v>0</v>
      </c>
      <c r="Q682" s="712"/>
      <c r="R682" s="712"/>
      <c r="S682" s="712"/>
      <c r="T682" s="712"/>
      <c r="U682" s="526" t="str">
        <f t="shared" ca="1" si="91"/>
        <v/>
      </c>
      <c r="V682" s="93" t="str" cm="1">
        <f t="array" aca="1" ref="V682" ca="1">CELL("format",INDIRECT(I682))</f>
        <v>G</v>
      </c>
      <c r="W682" s="93" t="b">
        <f t="shared" ca="1" si="92"/>
        <v>0</v>
      </c>
      <c r="X682" s="715" t="str">
        <f t="shared" ca="1" si="90"/>
        <v/>
      </c>
      <c r="Y682" t="b">
        <f t="shared" ca="1" si="93"/>
        <v>1</v>
      </c>
    </row>
    <row r="683" spans="1:25" ht="77.5">
      <c r="A683" s="705" t="s">
        <v>999</v>
      </c>
      <c r="B683" s="716" t="str">
        <f t="shared" ca="1" si="78"/>
        <v>Guarantees - C152</v>
      </c>
      <c r="C683" s="707" t="str" cm="1">
        <f t="array" aca="1" ref="C683" ca="1">INDIRECT(LEFT(I683, FIND("!", I683)) &amp; RefData!$C$426 &amp; RIGHT(I683, LEN(I683) - FIND("!", I683) - 1))</f>
        <v xml:space="preserve">
No answer required
Postcode
</v>
      </c>
      <c r="D683" s="92" t="str">
        <f t="shared" ca="1" si="94"/>
        <v/>
      </c>
      <c r="E683" s="708" t="str" cm="1">
        <f t="array" aca="1" ref="E683" ca="1">IF(INDIRECT($I683)= "", "", INDIRECT($I683))</f>
        <v/>
      </c>
      <c r="F683" s="709" t="str" cm="1">
        <f t="array" aca="1" ref="F683" ca="1">INDIRECT(LEFT(I683, FIND("!", I683)) &amp; RefData!$C$427 &amp; RIGHT(I683, LEN(I683) - FIND("!", I683) - 1))</f>
        <v>GTE 10.0/5</v>
      </c>
      <c r="G683" s="710" t="b">
        <f ca="1">IF(ISNUMBER(SEARCH(RefData!$B$2, $C683)), FALSE, TRUE)</f>
        <v>0</v>
      </c>
      <c r="H683" s="344">
        <f>Guarantees!C152</f>
        <v>0</v>
      </c>
      <c r="I683" s="712" t="str">
        <f t="shared" ca="1" si="79"/>
        <v>Guarantees!C152</v>
      </c>
      <c r="J683" s="713" t="b" cm="1">
        <f t="array" aca="1" ref="J683" ca="1">IF(
    ISNUMBER(SEARCH(RefData!$B$2, $C$474)),
    IF(
        $E683 &lt;&gt; "",
        $J$474,
        IF(
            $E683 = "",
            FALSE
        )
    ),
    IF(
        COUNTIF($K683:$T683, "&lt;&gt;FALSE") - COUNTBLANK($K683:$T683) &gt; 0,
        INDEX($K683:$T683, MATCH(TRUE, $K683:$T683 &lt;&gt; FALSE, 0))
    )
)</f>
        <v>0</v>
      </c>
      <c r="K683" s="712" t="b">
        <f ca="1">IF(AND('Covenant summary information'!$C$83=0,'Reconciliation report'!$E683&lt;&gt;""),ErrorMsgs!$B683)</f>
        <v>0</v>
      </c>
      <c r="L683" s="712" t="b">
        <f ca="1">IF(AND('Covenant summary information'!$C$83&lt;5,'Reconciliation report'!$E683&lt;&gt;""),ErrorMsgs!$C683)</f>
        <v>0</v>
      </c>
      <c r="M683" s="712" t="b">
        <f ca="1">IF(AND(TRIM($E675)&lt;&gt;"",$E683&lt;&gt;""),ErrorMsgs!$D683)</f>
        <v>0</v>
      </c>
      <c r="N683" s="712" t="b">
        <f ca="1">IF(AND($E676&lt;&gt;"",$E683&lt;&gt;""),ErrorMsgs!$E683)</f>
        <v>0</v>
      </c>
      <c r="O683" s="712" t="b">
        <f ca="1">IF(AND('Covenant summary information'!$C$83&gt;=5,TRIM(Guarantees!$C144)="",Guarantees!$C145="",'Reconciliation report'!$E683="",$E682=RefData!$B$206),ErrorMsgs!$F683)</f>
        <v>0</v>
      </c>
      <c r="P683" s="712" t="b">
        <f ca="1">IF(AND($E682=RefData!$B$206,
 OR(LEN($E683)&lt;5,
LEN($E683)&gt;8,
(ISNUMBER(VALUE(LEFT($E683,1)))),
(NOT(ISNUMBER(VALUE(MID($E683,LEN($E683)-2,1))))),
(ISNUMBER(VALUE(MID($E683,LEN($E683)-1,1)))),
ISNUMBER(VALUE(RIGHT($E683,1))))),
ErrorMsgs!$G683, FALSE)</f>
        <v>0</v>
      </c>
      <c r="Q683" s="712"/>
      <c r="R683" s="712"/>
      <c r="S683" s="712"/>
      <c r="T683" s="712"/>
      <c r="U683" s="526" t="str">
        <f t="shared" ca="1" si="91"/>
        <v/>
      </c>
      <c r="V683" s="93" t="str" cm="1">
        <f t="array" aca="1" ref="V683" ca="1">CELL("format",INDIRECT(I683))</f>
        <v>G</v>
      </c>
      <c r="W683" s="93" t="b">
        <f t="shared" ca="1" si="92"/>
        <v>0</v>
      </c>
      <c r="X683" s="715" t="str">
        <f t="shared" ca="1" si="90"/>
        <v/>
      </c>
      <c r="Y683" t="b">
        <f t="shared" ca="1" si="93"/>
        <v>1</v>
      </c>
    </row>
    <row r="684" spans="1:25" ht="77.5">
      <c r="A684" s="705" t="s">
        <v>1001</v>
      </c>
      <c r="B684" s="716" t="str">
        <f t="shared" ca="1" si="78"/>
        <v>Guarantees - C153</v>
      </c>
      <c r="C684" s="707" t="str" cm="1">
        <f t="array" aca="1" ref="C684" ca="1">INDIRECT(LEFT(I684, FIND("!", I684)) &amp; RefData!$C$426 &amp; RIGHT(I684, LEN(I684) - FIND("!", I684) - 1))</f>
        <v xml:space="preserve">
No answer required
Is the guarantor an associated company?
</v>
      </c>
      <c r="D684" s="92" t="str">
        <f t="shared" ca="1" si="94"/>
        <v/>
      </c>
      <c r="E684" s="708" t="str" cm="1">
        <f t="array" aca="1" ref="E684" ca="1">IF(INDIRECT($I684)= "", "", INDIRECT($I684))</f>
        <v/>
      </c>
      <c r="F684" s="709" t="str" cm="1">
        <f t="array" aca="1" ref="F684" ca="1">INDIRECT(LEFT(I684, FIND("!", I684)) &amp; RefData!$C$427 &amp; RIGHT(I684, LEN(I684) - FIND("!", I684) - 1))</f>
        <v>GTE 11.0/5</v>
      </c>
      <c r="G684" s="710" t="b">
        <f ca="1">IF(ISNUMBER(SEARCH(RefData!$B$2, $C684)), FALSE, TRUE)</f>
        <v>0</v>
      </c>
      <c r="H684" s="344">
        <f>Guarantees!C153</f>
        <v>0</v>
      </c>
      <c r="I684" s="712" t="str">
        <f t="shared" ca="1" si="79"/>
        <v>Guarantees!C153</v>
      </c>
      <c r="J684" s="713" t="b" cm="1">
        <f t="array" aca="1" ref="J684" ca="1">IF(
    ISNUMBER(SEARCH(RefData!$B$2, $C$474)),
    IF(
        $E684 &lt;&gt; "",
        $J$474,
        IF(
            $E684 = "",
            FALSE
        )
    ),
    IF(
        COUNTIF($K684:$T684, "&lt;&gt;FALSE") - COUNTBLANK($K684:$T684) &gt; 0,
        INDEX($K684:$T684, MATCH(TRUE, $K684:$T684 &lt;&gt; FALSE, 0))
    )
)</f>
        <v>0</v>
      </c>
      <c r="K684" s="712" t="b">
        <f ca="1">IF(AND('Start here'!$C$26=RefData!$B$9,'Reconciliation report'!$E684&lt;&gt;""),ErrorMsgs!$B684)</f>
        <v>0</v>
      </c>
      <c r="L684" s="712" t="b">
        <f ca="1">IF(AND('Start here'!$C$26=RefData!$B$10,'Covenant summary information'!$C$83=0,'Reconciliation report'!$E684&lt;&gt;""),ErrorMsgs!$C684)</f>
        <v>0</v>
      </c>
      <c r="M684" s="714" t="b">
        <f ca="1">IF(AND('Start here'!$C$26=RefData!$B$10,'Covenant summary information'!$C$83&lt;5,'Reconciliation report'!$E684&lt;&gt;""),ErrorMsgs!$D684)</f>
        <v>0</v>
      </c>
      <c r="N684" s="714" t="b">
        <f ca="1">IF(AND('Start here'!$C$26=RefData!$B$10,'Start here'!$C$23=RefData!$B$17,'Start here'!$C$27=RefData!$B$12,'Covenant summary information'!$C$83&gt;=5,'Reconciliation report'!$E684=""),ErrorMsgs!$E684)</f>
        <v>0</v>
      </c>
      <c r="O684" s="712" t="b">
        <f ca="1">IF(AND($E684&lt;&gt;"",ISNA(MATCH($E684,RefData!$B$124:$B$125,0))),ErrorMsgs!$E684)</f>
        <v>0</v>
      </c>
      <c r="P684" s="712" t="b">
        <f ca="1">IF(AND('Start here'!$C$26=RefData!$B$10,'Start here'!$C$23=RefData!$B$17,'Start here'!$C$27=RefData!$B$11,'Covenant summary information'!$C$83&gt;=5,'Reconciliation report'!$E684&lt;&gt;""),ErrorMsgs!$G684)</f>
        <v>0</v>
      </c>
      <c r="Q684" s="712" t="b">
        <f ca="1">IF(AND('Start here'!$C$26=RefData!$B$10,'Start here'!$C$23=RefData!$B$18,'Covenant summary information'!$C$83&gt;=5,'Reconciliation report'!E684=""),ErrorMsgs!$H684)</f>
        <v>0</v>
      </c>
      <c r="R684" s="712"/>
      <c r="S684" s="712"/>
      <c r="T684" s="712"/>
      <c r="U684" s="526" t="str">
        <f t="shared" ca="1" si="91"/>
        <v/>
      </c>
      <c r="V684" s="93" t="str" cm="1">
        <f t="array" aca="1" ref="V684" ca="1">CELL("format",INDIRECT(I684))</f>
        <v>G</v>
      </c>
      <c r="W684" s="93" t="b">
        <f t="shared" ca="1" si="92"/>
        <v>0</v>
      </c>
      <c r="X684" s="715" t="str">
        <f t="shared" ca="1" si="90"/>
        <v/>
      </c>
      <c r="Y684" t="b">
        <f t="shared" ca="1" si="93"/>
        <v>1</v>
      </c>
    </row>
    <row r="685" spans="1:25" ht="77.5">
      <c r="A685" s="705" t="s">
        <v>1003</v>
      </c>
      <c r="B685" s="716" t="str">
        <f t="shared" ca="1" si="78"/>
        <v>Guarantees - C154</v>
      </c>
      <c r="C685" s="707" t="str" cm="1">
        <f t="array" aca="1" ref="C685" ca="1">INDIRECT(LEFT(I685, FIND("!", I685)) &amp; RefData!$C$426 &amp; RIGHT(I685, LEN(I685) - FIND("!", I685) - 1))</f>
        <v xml:space="preserve">
No answer required
What is type of guarantee?
</v>
      </c>
      <c r="D685" s="92" t="str">
        <f t="shared" ca="1" si="94"/>
        <v/>
      </c>
      <c r="E685" s="708" t="str" cm="1">
        <f t="array" aca="1" ref="E685" ca="1">IF(INDIRECT($I685)= "", "", INDIRECT($I685))</f>
        <v/>
      </c>
      <c r="F685" s="709" t="str" cm="1">
        <f t="array" aca="1" ref="F685" ca="1">INDIRECT(LEFT(I685, FIND("!", I685)) &amp; RefData!$C$427 &amp; RIGHT(I685, LEN(I685) - FIND("!", I685) - 1))</f>
        <v>GTE 12.0/5</v>
      </c>
      <c r="G685" s="710" t="b">
        <f ca="1">IF(ISNUMBER(SEARCH(RefData!$B$2, $C685)), FALSE, TRUE)</f>
        <v>0</v>
      </c>
      <c r="H685" s="344">
        <f>Guarantees!C154</f>
        <v>0</v>
      </c>
      <c r="I685" s="712" t="str">
        <f t="shared" ca="1" si="79"/>
        <v>Guarantees!C154</v>
      </c>
      <c r="J685" s="713" t="b" cm="1">
        <f t="array" aca="1" ref="J685" ca="1">IF(
    ISNUMBER(SEARCH(RefData!$B$2, $C$474)),
    IF(
        $E685 &lt;&gt; "",
        $J$474,
        IF(
            $E685 = "",
            FALSE
        )
    ),
    IF(
        COUNTIF($K685:$T685, "&lt;&gt;FALSE") - COUNTBLANK($K685:$T685) &gt; 0,
        INDEX($K685:$T685, MATCH(TRUE, $K685:$T685 &lt;&gt; FALSE, 0))
    )
)</f>
        <v>0</v>
      </c>
      <c r="K685" s="712" t="b">
        <f ca="1">IF(AND('Covenant summary information'!$C$83=0,'Reconciliation report'!$E685&lt;&gt;""),ErrorMsgs!$B685)</f>
        <v>0</v>
      </c>
      <c r="L685" s="712" t="b">
        <f ca="1">IF(AND('Covenant summary information'!$C$83&lt;5,'Reconciliation report'!$E685&lt;&gt;""),ErrorMsgs!$C685)</f>
        <v>0</v>
      </c>
      <c r="M685" s="712" t="b">
        <f ca="1">IF(AND('Covenant summary information'!$C$83&gt;=5,'Reconciliation report'!$E685=""),ErrorMsgs!$D685)</f>
        <v>0</v>
      </c>
      <c r="N685" s="712" t="b">
        <f ca="1">IF(AND($E685&lt;&gt;"",ISNA(MATCH($E685,RefData!$B$126:$B$129,0))),ErrorMsgs!$E685)</f>
        <v>0</v>
      </c>
      <c r="O685" s="712"/>
      <c r="P685" s="712"/>
      <c r="Q685" s="712"/>
      <c r="R685" s="712"/>
      <c r="S685" s="712"/>
      <c r="T685" s="712"/>
      <c r="U685" s="526" t="str">
        <f t="shared" ca="1" si="91"/>
        <v/>
      </c>
      <c r="V685" s="93" t="str" cm="1">
        <f t="array" aca="1" ref="V685" ca="1">CELL("format",INDIRECT(I685))</f>
        <v>G</v>
      </c>
      <c r="W685" s="93" t="b">
        <f t="shared" ca="1" si="92"/>
        <v>0</v>
      </c>
      <c r="X685" s="715" t="str">
        <f t="shared" ca="1" si="90"/>
        <v/>
      </c>
      <c r="Y685" t="b">
        <f t="shared" ca="1" si="93"/>
        <v>1</v>
      </c>
    </row>
    <row r="686" spans="1:25" ht="77.5">
      <c r="A686" s="705" t="s">
        <v>1005</v>
      </c>
      <c r="B686" s="716" t="str">
        <f t="shared" ca="1" si="78"/>
        <v>Guarantees - C155</v>
      </c>
      <c r="C686" s="707" t="str" cm="1">
        <f t="array" aca="1" ref="C686" ca="1">INDIRECT(LEFT(I686, FIND("!", I686)) &amp; RefData!$C$426 &amp; RIGHT(I686, LEN(I686) - FIND("!", I686) - 1))</f>
        <v xml:space="preserve">
No answer required
Describe the other type of guarantee.
</v>
      </c>
      <c r="D686" s="92" t="str">
        <f t="shared" ca="1" si="94"/>
        <v/>
      </c>
      <c r="E686" s="708" t="str" cm="1">
        <f t="array" aca="1" ref="E686" ca="1">IF(INDIRECT($I686)= "", "", INDIRECT($I686))</f>
        <v/>
      </c>
      <c r="F686" s="709" t="str" cm="1">
        <f t="array" aca="1" ref="F686" ca="1">INDIRECT(LEFT(I686, FIND("!", I686)) &amp; RefData!$C$427 &amp; RIGHT(I686, LEN(I686) - FIND("!", I686) - 1))</f>
        <v>GTE 13.0/5</v>
      </c>
      <c r="G686" s="710" t="b">
        <f ca="1">IF(ISNUMBER(SEARCH(RefData!$B$2, $C686)), FALSE, TRUE)</f>
        <v>0</v>
      </c>
      <c r="H686" s="344">
        <f>Guarantees!C155</f>
        <v>0</v>
      </c>
      <c r="I686" s="712" t="str">
        <f t="shared" ca="1" si="79"/>
        <v>Guarantees!C155</v>
      </c>
      <c r="J686" s="713" t="b" cm="1">
        <f t="array" aca="1" ref="J686" ca="1">IF(
    ISNUMBER(SEARCH(RefData!$B$2, $C$474)),
    IF(
        $E686 &lt;&gt; "",
        $J$474,
        IF(
            $E686 = "",
            FALSE
        )
    ),
    IF(
        COUNTIF($K686:$T686, "&lt;&gt;FALSE") - COUNTBLANK($K686:$T686) &gt; 0,
        INDEX($K686:$T686, MATCH(TRUE, $K686:$T686 &lt;&gt; FALSE, 0))
    )
)</f>
        <v>0</v>
      </c>
      <c r="K686" s="712" t="b">
        <f ca="1">IF(AND('Covenant summary information'!$C$83=0,'Reconciliation report'!$E686&lt;&gt;""),ErrorMsgs!$B686)</f>
        <v>0</v>
      </c>
      <c r="L686" s="712" t="b">
        <f ca="1">IF(AND('Covenant summary information'!$C$83&lt;5,'Reconciliation report'!$E686&lt;&gt;""),ErrorMsgs!$C686)</f>
        <v>0</v>
      </c>
      <c r="M686" s="712" t="b">
        <f ca="1">IF(AND('Covenant summary information'!$C$83&lt;5,$E685&lt;&gt;RefData!$B$129,'Reconciliation report'!$E686&lt;&gt;""),ErrorMsgs!$D686)</f>
        <v>0</v>
      </c>
      <c r="N686" s="712" t="b">
        <f ca="1">IF(AND('Covenant summary information'!$C$83&gt;=5,$E685=RefData!$B$129,'Reconciliation report'!$E686=""),ErrorMsgs!$E686)</f>
        <v>0</v>
      </c>
      <c r="O686" s="712" t="b">
        <f ca="1">IF(LEN($E686)&gt;4000,ErrorMsgs!$F686)</f>
        <v>0</v>
      </c>
      <c r="P686" s="712"/>
      <c r="Q686" s="712"/>
      <c r="R686" s="712"/>
      <c r="S686" s="712"/>
      <c r="T686" s="712"/>
      <c r="U686" s="526" t="str">
        <f t="shared" ca="1" si="91"/>
        <v/>
      </c>
      <c r="V686" s="93" t="str" cm="1">
        <f t="array" aca="1" ref="V686" ca="1">CELL("format",INDIRECT(I686))</f>
        <v>G</v>
      </c>
      <c r="W686" s="93" t="b">
        <f t="shared" ca="1" si="92"/>
        <v>0</v>
      </c>
      <c r="X686" s="715" t="str">
        <f t="shared" ca="1" si="90"/>
        <v/>
      </c>
      <c r="Y686" t="b">
        <f t="shared" ca="1" si="93"/>
        <v>1</v>
      </c>
    </row>
    <row r="687" spans="1:25" ht="77.5">
      <c r="A687" s="705" t="s">
        <v>1007</v>
      </c>
      <c r="B687" s="716" t="str">
        <f t="shared" ca="1" si="78"/>
        <v>Guarantees - C156</v>
      </c>
      <c r="C687" s="707" t="str" cm="1">
        <f t="array" aca="1" ref="C687" ca="1">INDIRECT(LEFT(I687, FIND("!", I687)) &amp; RefData!$C$426 &amp; RIGHT(I687, LEN(I687) - FIND("!", I687) - 1))</f>
        <v xml:space="preserve">
No answer required
Type of maturity
</v>
      </c>
      <c r="D687" s="92" t="str">
        <f t="shared" ca="1" si="94"/>
        <v/>
      </c>
      <c r="E687" s="708" t="str" cm="1">
        <f t="array" aca="1" ref="E687" ca="1">IF(INDIRECT($I687)= "", "", INDIRECT($I687))</f>
        <v/>
      </c>
      <c r="F687" s="709" t="str" cm="1">
        <f t="array" aca="1" ref="F687" ca="1">INDIRECT(LEFT(I687, FIND("!", I687)) &amp; RefData!$C$427 &amp; RIGHT(I687, LEN(I687) - FIND("!", I687) - 1))</f>
        <v>GTE 14.0/5</v>
      </c>
      <c r="G687" s="710" t="b">
        <f ca="1">IF(ISNUMBER(SEARCH(RefData!$B$2, $C687)), FALSE, TRUE)</f>
        <v>0</v>
      </c>
      <c r="H687" s="344">
        <f>Guarantees!C156</f>
        <v>0</v>
      </c>
      <c r="I687" s="712" t="str">
        <f t="shared" ca="1" si="79"/>
        <v>Guarantees!C156</v>
      </c>
      <c r="J687" s="713" t="b" cm="1">
        <f t="array" aca="1" ref="J687" ca="1">IF(
    ISNUMBER(SEARCH(RefData!$B$2, $C$474)),
    IF(
        $E687 &lt;&gt; "",
        $J$474,
        IF(
            $E687 = "",
            FALSE
        )
    ),
    IF(
        COUNTIF($K687:$T687, "&lt;&gt;FALSE") - COUNTBLANK($K687:$T687) &gt; 0,
        INDEX($K687:$T687, MATCH(TRUE, $K687:$T687 &lt;&gt; FALSE, 0))
    )
)</f>
        <v>0</v>
      </c>
      <c r="K687" s="712" t="b">
        <f ca="1">IF(AND('Start here'!$C$26=RefData!$B$9,'Reconciliation report'!$E687&lt;&gt;""),ErrorMsgs!$B687)</f>
        <v>0</v>
      </c>
      <c r="L687" s="712" t="b">
        <f ca="1">IF(AND('Start here'!$C$26=RefData!$B$10,'Covenant summary information'!$C$83=0,'Reconciliation report'!$E687&lt;&gt;""),ErrorMsgs!$C687)</f>
        <v>0</v>
      </c>
      <c r="M687" s="712" t="b">
        <f ca="1">IF(AND('Start here'!$C$26=RefData!$B$10,'Covenant summary information'!$C$83&lt;5,'Reconciliation report'!$E687&lt;&gt;""),ErrorMsgs!$D687)</f>
        <v>0</v>
      </c>
      <c r="N687" s="712" t="b">
        <f ca="1">IF(AND('Start here'!$C$26=RefData!$B$10,'Covenant summary information'!$C$83&gt;=5,'Reconciliation report'!$E687=""),ErrorMsgs!$E687)</f>
        <v>0</v>
      </c>
      <c r="O687" s="712" t="b">
        <f ca="1">IF(AND($E687&lt;&gt;"",ISNA(MATCH($E687,RefData!$B$130:$B$132,0))),ErrorMsgs!$F687)</f>
        <v>0</v>
      </c>
      <c r="P687" s="712"/>
      <c r="Q687" s="712"/>
      <c r="R687" s="712"/>
      <c r="S687" s="712"/>
      <c r="T687" s="712"/>
      <c r="U687" s="526" t="str">
        <f t="shared" ca="1" si="91"/>
        <v/>
      </c>
      <c r="V687" s="93" t="str" cm="1">
        <f t="array" aca="1" ref="V687" ca="1">CELL("format",INDIRECT(I687))</f>
        <v>G</v>
      </c>
      <c r="W687" s="93" t="b">
        <f t="shared" ca="1" si="92"/>
        <v>0</v>
      </c>
      <c r="X687" s="715" t="str">
        <f t="shared" ca="1" si="90"/>
        <v/>
      </c>
      <c r="Y687" t="b">
        <f t="shared" ca="1" si="93"/>
        <v>1</v>
      </c>
    </row>
    <row r="688" spans="1:25" ht="77.5">
      <c r="A688" s="705" t="s">
        <v>1009</v>
      </c>
      <c r="B688" s="716" t="str">
        <f t="shared" ca="1" si="78"/>
        <v>Guarantees - C157</v>
      </c>
      <c r="C688" s="707" t="str" cm="1">
        <f t="array" aca="1" ref="C688" ca="1">INDIRECT(LEFT(I688, FIND("!", I688)) &amp; RefData!$C$426 &amp; RIGHT(I688, LEN(I688) - FIND("!", I688) - 1))</f>
        <v xml:space="preserve">
No answer required
Date of maturity
</v>
      </c>
      <c r="D688" s="92" t="str">
        <f t="shared" ca="1" si="94"/>
        <v/>
      </c>
      <c r="E688" s="708" t="str" cm="1">
        <f t="array" aca="1" ref="E688" ca="1">IF(INDIRECT($I688)= "", "", INDIRECT($I688))</f>
        <v/>
      </c>
      <c r="F688" s="709" t="str" cm="1">
        <f t="array" aca="1" ref="F688" ca="1">INDIRECT(LEFT(I688, FIND("!", I688)) &amp; RefData!$C$427 &amp; RIGHT(I688, LEN(I688) - FIND("!", I688) - 1))</f>
        <v>GTE 15.0/5</v>
      </c>
      <c r="G688" s="710" t="b">
        <f ca="1">IF(ISNUMBER(SEARCH(RefData!$B$2, $C688)), FALSE, TRUE)</f>
        <v>0</v>
      </c>
      <c r="H688" s="391">
        <f>Guarantees!C157</f>
        <v>0</v>
      </c>
      <c r="I688" s="712" t="str">
        <f t="shared" ca="1" si="79"/>
        <v>Guarantees!C157</v>
      </c>
      <c r="J688" s="713" t="b" cm="1">
        <f t="array" aca="1" ref="J688" ca="1">IF(
    ISNUMBER(SEARCH(RefData!$B$2, $C$474)),
    IF(
        $E688 &lt;&gt; "",
        $J$474,
        IF(
            $E688 = "",
            FALSE
        )
    ),
    IF(
        COUNTIF($K688:$T688, "&lt;&gt;FALSE") - COUNTBLANK($K688:$T688) &gt; 0,
        INDEX($K688:$T688, MATCH(TRUE, $K688:$T688 &lt;&gt; FALSE, 0))
    )
)</f>
        <v>0</v>
      </c>
      <c r="K688" s="712" t="b">
        <f ca="1">IF(AND('Start here'!$C$26=RefData!$B$9,'Reconciliation report'!$E688&lt;&gt;""),ErrorMsgs!$B688)</f>
        <v>0</v>
      </c>
      <c r="L688" s="712" t="b">
        <f ca="1">IF(AND('Start here'!$C$26=RefData!$B$10,'Covenant summary information'!$C$83=0,'Reconciliation report'!$E688&lt;&gt;""),ErrorMsgs!$C688)</f>
        <v>0</v>
      </c>
      <c r="M688" s="712" t="b">
        <f ca="1">IF(AND('Start here'!$C$26=RefData!$B$10,'Covenant summary information'!$C$83&lt;5,'Reconciliation report'!$E688&lt;&gt;""),ErrorMsgs!$D688)</f>
        <v>0</v>
      </c>
      <c r="N688" s="712" t="b">
        <f ca="1">IF(AND('Start here'!$C$26=RefData!$B$10,'Covenant summary information'!$C$83&gt;=5,OR(Guarantees!$C156=RefData!$B$130,Guarantees!$C156=RefData!$B$129),'Reconciliation report'!$E688&lt;&gt;""),ErrorMsgs!$E688)</f>
        <v>0</v>
      </c>
      <c r="O688" s="712" t="b">
        <f ca="1">IF(AND('Start here'!$C$26=RefData!$B$10,'Covenant summary information'!$C$83&gt;=5,Guarantees!$C156=RefData!$B$131,'Reconciliation report'!$E688=""),ErrorMsgs!$F688)</f>
        <v>0</v>
      </c>
      <c r="P688" s="712" t="b">
        <f ca="1">IF(AND($E688&lt;&gt;"",NOT(ISNUMBER(VALUE($E688)))),ErrorMsgs!$G688)</f>
        <v>0</v>
      </c>
      <c r="Q688" s="712" t="b">
        <f ca="1">IF($E688&lt;'Start here'!$C$21,ErrorMsgs!$H688)</f>
        <v>0</v>
      </c>
      <c r="R688" s="712"/>
      <c r="S688" s="712"/>
      <c r="T688" s="712"/>
      <c r="U688" s="526" t="str">
        <f t="shared" ca="1" si="91"/>
        <v/>
      </c>
      <c r="V688" s="93" t="str" cm="1">
        <f t="array" aca="1" ref="V688" ca="1">CELL("format",INDIRECT(I688))</f>
        <v>D1</v>
      </c>
      <c r="W688" s="93" t="b">
        <f t="shared" ca="1" si="92"/>
        <v>0</v>
      </c>
      <c r="X688" s="715" t="str">
        <f t="shared" ca="1" si="90"/>
        <v/>
      </c>
      <c r="Y688" t="b">
        <f t="shared" ca="1" si="93"/>
        <v>1</v>
      </c>
    </row>
    <row r="689" spans="1:25" ht="77.5">
      <c r="A689" s="705" t="s">
        <v>1011</v>
      </c>
      <c r="B689" s="716" t="str">
        <f t="shared" ca="1" si="78"/>
        <v>Guarantees - C158</v>
      </c>
      <c r="C689" s="707" t="str" cm="1">
        <f t="array" aca="1" ref="C689" ca="1">INDIRECT(LEFT(I689, FIND("!", I689)) &amp; RefData!$C$426 &amp; RIGHT(I689, LEN(I689) - FIND("!", I689) - 1))</f>
        <v xml:space="preserve">
No answer required
Maturity date narrative
</v>
      </c>
      <c r="D689" s="92" t="str">
        <f t="shared" ca="1" si="94"/>
        <v/>
      </c>
      <c r="E689" s="708" t="str" cm="1">
        <f t="array" aca="1" ref="E689" ca="1">IF(INDIRECT($I689)= "", "", INDIRECT($I689))</f>
        <v/>
      </c>
      <c r="F689" s="709" t="str" cm="1">
        <f t="array" aca="1" ref="F689" ca="1">INDIRECT(LEFT(I689, FIND("!", I689)) &amp; RefData!$C$427 &amp; RIGHT(I689, LEN(I689) - FIND("!", I689) - 1))</f>
        <v>GTE 16.0/5</v>
      </c>
      <c r="G689" s="710" t="b">
        <f ca="1">IF(ISNUMBER(SEARCH(RefData!$B$2, $C689)), FALSE, TRUE)</f>
        <v>0</v>
      </c>
      <c r="H689" s="344">
        <f>Guarantees!C158</f>
        <v>0</v>
      </c>
      <c r="I689" s="712" t="str">
        <f t="shared" ca="1" si="79"/>
        <v>Guarantees!C158</v>
      </c>
      <c r="J689" s="713" t="b" cm="1">
        <f t="array" aca="1" ref="J689" ca="1">IF(
    ISNUMBER(SEARCH(RefData!$B$2, $C$474)),
    IF(
        $E689 &lt;&gt; "",
        $J$474,
        IF(
            $E689 = "",
            FALSE
        )
    ),
    IF(
        COUNTIF($K689:$T689, "&lt;&gt;FALSE") - COUNTBLANK($K689:$T689) &gt; 0,
        INDEX($K689:$T689, MATCH(TRUE, $K689:$T689 &lt;&gt; FALSE, 0))
    )
)</f>
        <v>0</v>
      </c>
      <c r="K689" s="712" t="b">
        <f ca="1">IF(AND('Start here'!$C$26=RefData!$B$9,'Reconciliation report'!$E689&lt;&gt;""),ErrorMsgs!$B689)</f>
        <v>0</v>
      </c>
      <c r="L689" s="712" t="b">
        <f ca="1">IF(AND('Start here'!$C$26=RefData!$B$10,'Covenant summary information'!$C$83=0,'Reconciliation report'!$E689&lt;&gt;""),ErrorMsgs!$C689)</f>
        <v>0</v>
      </c>
      <c r="M689" s="712" t="b">
        <f ca="1">IF(AND('Start here'!$C$26=RefData!$B$10,'Covenant summary information'!$C$83&lt;5,'Reconciliation report'!$E689&lt;&gt;""),ErrorMsgs!$D689)</f>
        <v>0</v>
      </c>
      <c r="N689" s="712" t="b">
        <f ca="1">IF(AND('Start here'!$C$26=RefData!$B$10,'Covenant summary information'!$C$83&gt;=5,Guarantees!$C156&lt;&gt;RefData!$B$129,'Reconciliation report'!$E689&lt;&gt;""),ErrorMsgs!$E689)</f>
        <v>0</v>
      </c>
      <c r="O689" s="712" t="b">
        <f ca="1">IF(AND('Start here'!$C$26=RefData!$B$10,'Covenant summary information'!$C$83&gt;=5,Guarantees!$C156=RefData!$B$129,'Reconciliation report'!$E689=""),ErrorMsgs!$F689)</f>
        <v>0</v>
      </c>
      <c r="P689" s="712" t="b">
        <f ca="1">IF(LEN($E689)&gt;4000,ErrorMsgs!$G689)</f>
        <v>0</v>
      </c>
      <c r="Q689" s="712"/>
      <c r="R689" s="712"/>
      <c r="S689" s="712"/>
      <c r="T689" s="712"/>
      <c r="U689" s="526" t="str">
        <f t="shared" ca="1" si="91"/>
        <v/>
      </c>
      <c r="V689" s="93" t="str" cm="1">
        <f t="array" aca="1" ref="V689" ca="1">CELL("format",INDIRECT(I689))</f>
        <v>G</v>
      </c>
      <c r="W689" s="93" t="b">
        <f t="shared" ca="1" si="92"/>
        <v>0</v>
      </c>
      <c r="X689" s="715" t="str">
        <f t="shared" ca="1" si="90"/>
        <v/>
      </c>
      <c r="Y689" t="b">
        <f t="shared" ca="1" si="93"/>
        <v>1</v>
      </c>
    </row>
    <row r="690" spans="1:25" ht="77.5">
      <c r="A690" s="705" t="s">
        <v>1013</v>
      </c>
      <c r="B690" s="716" t="str">
        <f t="shared" ca="1" si="78"/>
        <v>Guarantees - C159</v>
      </c>
      <c r="C690" s="707" t="str" cm="1">
        <f t="array" aca="1" ref="C690" ca="1">INDIRECT(LEFT(I690, FIND("!", I690)) &amp; RefData!$C$426 &amp; RIGHT(I690, LEN(I690) - FIND("!", I690) - 1))</f>
        <v xml:space="preserve">
No answer required
Value ascribed (£)
</v>
      </c>
      <c r="D690" s="92" t="str">
        <f t="shared" ca="1" si="94"/>
        <v/>
      </c>
      <c r="E690" s="708" t="str" cm="1">
        <f t="array" aca="1" ref="E690" ca="1">IF(INDIRECT($I690)= "", "", INDIRECT($I690))</f>
        <v/>
      </c>
      <c r="F690" s="709" t="str" cm="1">
        <f t="array" aca="1" ref="F690" ca="1">INDIRECT(LEFT(I690, FIND("!", I690)) &amp; RefData!$C$427 &amp; RIGHT(I690, LEN(I690) - FIND("!", I690) - 1))</f>
        <v>GTE 17.0/5</v>
      </c>
      <c r="G690" s="710" t="b">
        <f ca="1">IF(ISNUMBER(SEARCH(RefData!$B$2, $C690)), FALSE, TRUE)</f>
        <v>0</v>
      </c>
      <c r="H690" s="344">
        <f>Guarantees!C159</f>
        <v>0</v>
      </c>
      <c r="I690" s="712" t="str">
        <f t="shared" ca="1" si="79"/>
        <v>Guarantees!C159</v>
      </c>
      <c r="J690" s="713" t="b" cm="1">
        <f t="array" aca="1" ref="J690" ca="1">IF(
    ISNUMBER(SEARCH(RefData!$B$2, $C$474)),
    IF(
        $E690 &lt;&gt; "",
        $J$474,
        IF(
            $E690 = "",
            FALSE
        )
    ),
    IF(
        COUNTIF($K690:$T690, "&lt;&gt;FALSE") - COUNTBLANK($K690:$T690) &gt; 0,
        INDEX($K690:$T690, MATCH(TRUE, $K690:$T690 &lt;&gt; FALSE, 0))
    )
)</f>
        <v>0</v>
      </c>
      <c r="K690" s="712" t="b">
        <f ca="1">IF(AND('Covenant summary information'!$C$83=0,'Reconciliation report'!$E690&lt;&gt;""),ErrorMsgs!$B690)</f>
        <v>0</v>
      </c>
      <c r="L690" s="712" t="b">
        <f ca="1">IF(AND('Covenant summary information'!$C$83&lt;5,'Reconciliation report'!$E690&lt;&gt;""),ErrorMsgs!$C690)</f>
        <v>0</v>
      </c>
      <c r="M690" s="712" t="b">
        <f ca="1">IF(AND('Covenant summary information'!$C$83&gt;=5,'Reconciliation report'!$E690=""),ErrorMsgs!$D690)</f>
        <v>0</v>
      </c>
      <c r="N690" s="712" t="b">
        <f ca="1">IF($E690="",FALSE,IF(ISERROR(VALUE($E690)),ErrorMsgs!$D690,IF(OR(VALUE($E690)-ROUND(VALUE($E690),2)&lt;&gt;0,VALUE($E690)&lt;0,VALUE($E690)&gt;=1000000000000),ErrorMsgs!$E690)))</f>
        <v>0</v>
      </c>
      <c r="O690" s="712"/>
      <c r="P690" s="712"/>
      <c r="Q690" s="712"/>
      <c r="R690" s="712"/>
      <c r="S690" s="712"/>
      <c r="T690" s="712"/>
      <c r="U690" s="526" t="str">
        <f t="shared" ca="1" si="91"/>
        <v/>
      </c>
      <c r="V690" s="93" t="str" cm="1">
        <f t="array" aca="1" ref="V690" ca="1">CELL("format",INDIRECT(I690))</f>
        <v>C2</v>
      </c>
      <c r="W690" s="93" t="b">
        <f t="shared" ca="1" si="92"/>
        <v>0</v>
      </c>
      <c r="X690" s="715" t="str">
        <f t="shared" ca="1" si="90"/>
        <v/>
      </c>
      <c r="Y690" t="b">
        <f t="shared" ca="1" si="93"/>
        <v>1</v>
      </c>
    </row>
    <row r="691" spans="1:25" ht="77.5">
      <c r="A691" s="705" t="s">
        <v>1015</v>
      </c>
      <c r="B691" s="716" t="str">
        <f t="shared" ca="1" si="78"/>
        <v>Guarantees - C160</v>
      </c>
      <c r="C691" s="707" t="str" cm="1">
        <f t="array" aca="1" ref="C691" ca="1">INDIRECT(LEFT(I691, FIND("!", I691)) &amp; RefData!$C$426 &amp; RIGHT(I691, LEN(I691) - FIND("!", I691) - 1))</f>
        <v xml:space="preserve">
No answer required
Date of valuation
</v>
      </c>
      <c r="D691" s="92" t="str">
        <f t="shared" ca="1" si="94"/>
        <v/>
      </c>
      <c r="E691" s="708" t="str" cm="1">
        <f t="array" aca="1" ref="E691" ca="1">IF(INDIRECT($I691)= "", "", INDIRECT($I691))</f>
        <v/>
      </c>
      <c r="F691" s="709" t="str" cm="1">
        <f t="array" aca="1" ref="F691" ca="1">INDIRECT(LEFT(I691, FIND("!", I691)) &amp; RefData!$C$427 &amp; RIGHT(I691, LEN(I691) - FIND("!", I691) - 1))</f>
        <v>GTE 18.0/5</v>
      </c>
      <c r="G691" s="710" t="b">
        <f ca="1">IF(ISNUMBER(SEARCH(RefData!$B$2, $C691)), FALSE, TRUE)</f>
        <v>0</v>
      </c>
      <c r="H691" s="344">
        <f>Guarantees!C160</f>
        <v>0</v>
      </c>
      <c r="I691" s="712" t="str">
        <f t="shared" ca="1" si="79"/>
        <v>Guarantees!C160</v>
      </c>
      <c r="J691" s="713" t="b" cm="1">
        <f t="array" aca="1" ref="J691" ca="1">IF(
    ISNUMBER(SEARCH(RefData!$B$2, $C$474)),
    IF(
        $E691 &lt;&gt; "",
        $J$474,
        IF(
            $E691 = "",
            FALSE
        )
    ),
    IF(
        COUNTIF($K691:$T691, "&lt;&gt;FALSE") - COUNTBLANK($K691:$T691) &gt; 0,
        INDEX($K691:$T691, MATCH(TRUE, $K691:$T691 &lt;&gt; FALSE, 0))
    )
)</f>
        <v>0</v>
      </c>
      <c r="K691" s="712" t="b">
        <f ca="1">IF(AND('Covenant summary information'!$C$83=0,'Reconciliation report'!$E691&lt;&gt;""),ErrorMsgs!$B691)</f>
        <v>0</v>
      </c>
      <c r="L691" s="712" t="b">
        <f ca="1">IF(AND('Covenant summary information'!$C$83&lt;5,'Reconciliation report'!$E691&lt;&gt;""),ErrorMsgs!$C691)</f>
        <v>0</v>
      </c>
      <c r="M691" s="712" t="b">
        <f ca="1">IF(AND('Covenant summary information'!$C$83&gt;=5,'Reconciliation report'!$E691=""),ErrorMsgs!$D691)</f>
        <v>0</v>
      </c>
      <c r="N691" s="712" t="b">
        <f ca="1">IF(AND($E691&lt;&gt;"",NOT(ISNUMBER($E691))),ErrorMsgs!$E691)</f>
        <v>0</v>
      </c>
      <c r="O691" s="712" t="b">
        <f ca="1">IF($E691="",FALSE,IF(ISERROR(VALUE($E691)),ErrorMsgs!$F691,IF(VALUE($E691)&gt;TODAY(),ErrorMsgs!$F691)))</f>
        <v>0</v>
      </c>
      <c r="P691" s="712"/>
      <c r="Q691" s="712"/>
      <c r="R691" s="712"/>
      <c r="S691" s="712"/>
      <c r="T691" s="712"/>
      <c r="U691" s="526" t="str">
        <f t="shared" ca="1" si="91"/>
        <v/>
      </c>
      <c r="V691" s="93" t="str" cm="1">
        <f t="array" aca="1" ref="V691" ca="1">CELL("format",INDIRECT(I691))</f>
        <v>D1</v>
      </c>
      <c r="W691" s="93" t="b">
        <f t="shared" ca="1" si="92"/>
        <v>0</v>
      </c>
      <c r="X691" s="715" t="str">
        <f t="shared" ca="1" si="90"/>
        <v/>
      </c>
      <c r="Y691" t="b">
        <f t="shared" ca="1" si="93"/>
        <v>1</v>
      </c>
    </row>
    <row r="692" spans="1:25" ht="77.5">
      <c r="A692" s="705" t="s">
        <v>1017</v>
      </c>
      <c r="B692" s="716" t="str">
        <f t="shared" ca="1" si="78"/>
        <v>Guarantees - C161</v>
      </c>
      <c r="C692" s="707" t="str" cm="1">
        <f t="array" aca="1" ref="C692" ca="1">INDIRECT(LEFT(I692, FIND("!", I692)) &amp; RefData!$C$426 &amp; RIGHT(I692, LEN(I692) - FIND("!", I692) - 1))</f>
        <v xml:space="preserve">
No answer required
Value cap
</v>
      </c>
      <c r="D692" s="92" t="str">
        <f t="shared" ca="1" si="94"/>
        <v/>
      </c>
      <c r="E692" s="708" t="str" cm="1">
        <f t="array" aca="1" ref="E692" ca="1">IF(INDIRECT($I692)= "", "", INDIRECT($I692))</f>
        <v/>
      </c>
      <c r="F692" s="709" t="str" cm="1">
        <f t="array" aca="1" ref="F692" ca="1">INDIRECT(LEFT(I692, FIND("!", I692)) &amp; RefData!$C$427 &amp; RIGHT(I692, LEN(I692) - FIND("!", I692) - 1))</f>
        <v>GTE 19.0/5</v>
      </c>
      <c r="G692" s="710" t="b">
        <f ca="1">IF(ISNUMBER(SEARCH(RefData!$B$2, $C692)), FALSE, TRUE)</f>
        <v>0</v>
      </c>
      <c r="H692" s="344">
        <f>Guarantees!C161</f>
        <v>0</v>
      </c>
      <c r="I692" s="712" t="str">
        <f t="shared" ca="1" si="79"/>
        <v>Guarantees!C161</v>
      </c>
      <c r="J692" s="713" t="b" cm="1">
        <f t="array" aca="1" ref="J692" ca="1">IF(
    ISNUMBER(SEARCH(RefData!$B$2, $C$474)),
    IF(
        $E692 &lt;&gt; "",
        $J$474,
        IF(
            $E692 = "",
            FALSE
        )
    ),
    IF(
        COUNTIF($K692:$T692, "&lt;&gt;FALSE") - COUNTBLANK($K692:$T692) &gt; 0,
        INDEX($K692:$T692, MATCH(TRUE, $K692:$T692 &lt;&gt; FALSE, 0))
    )
)</f>
        <v>0</v>
      </c>
      <c r="K692" s="712" t="b">
        <f ca="1">IF(AND('Start here'!$C$26=RefData!$B$9,'Reconciliation report'!$E692&lt;&gt;""),ErrorMsgs!$B692)</f>
        <v>0</v>
      </c>
      <c r="L692" s="712" t="b">
        <f ca="1">IF(AND('Start here'!$C$26=RefData!$B$10,'Covenant summary information'!$C$83=0,'Reconciliation report'!$E692&lt;&gt;""),ErrorMsgs!$C692)</f>
        <v>0</v>
      </c>
      <c r="M692" s="712" t="b">
        <f ca="1">IF(AND('Start here'!$C$26=RefData!$B$10,'Covenant summary information'!$C$83&lt;5,'Reconciliation report'!$E692&lt;&gt;""),ErrorMsgs!$D692)</f>
        <v>0</v>
      </c>
      <c r="N692" s="712" t="b">
        <f ca="1">IF(AND('Start here'!$C$26=RefData!$B$10,'Covenant summary information'!$C$83&gt;=5,'Reconciliation report'!$E692=""),ErrorMsgs!$E692)</f>
        <v>0</v>
      </c>
      <c r="O692" s="712" t="b">
        <f ca="1">IF(AND($E692&lt;&gt;"",ISNA(MATCH($E692,RefData!$B$133:$B$139,0))),ErrorMsgs!$F692)</f>
        <v>0</v>
      </c>
      <c r="P692" s="712"/>
      <c r="Q692" s="712"/>
      <c r="R692" s="712"/>
      <c r="S692" s="712"/>
      <c r="T692" s="712"/>
      <c r="U692" s="526" t="str">
        <f t="shared" ca="1" si="91"/>
        <v/>
      </c>
      <c r="V692" s="93" t="str" cm="1">
        <f t="array" aca="1" ref="V692" ca="1">CELL("format",INDIRECT(I692))</f>
        <v>G</v>
      </c>
      <c r="W692" s="93" t="b">
        <f t="shared" ca="1" si="92"/>
        <v>0</v>
      </c>
      <c r="X692" s="715" t="str">
        <f t="shared" ca="1" si="90"/>
        <v/>
      </c>
      <c r="Y692" t="b">
        <f t="shared" ca="1" si="93"/>
        <v>1</v>
      </c>
    </row>
    <row r="693" spans="1:25" ht="77.5">
      <c r="A693" s="705" t="s">
        <v>1019</v>
      </c>
      <c r="B693" s="716" t="str">
        <f t="shared" ca="1" si="78"/>
        <v>Guarantees - C162</v>
      </c>
      <c r="C693" s="707" t="str" cm="1">
        <f t="array" aca="1" ref="C693" ca="1">INDIRECT(LEFT(I693, FIND("!", I693)) &amp; RefData!$C$426 &amp; RIGHT(I693, LEN(I693) - FIND("!", I693) - 1))</f>
        <v xml:space="preserve">
No answer required
Narrative regarding value cap
</v>
      </c>
      <c r="D693" s="92" t="str">
        <f t="shared" ca="1" si="94"/>
        <v/>
      </c>
      <c r="E693" s="708" t="str" cm="1">
        <f t="array" aca="1" ref="E693" ca="1">IF(INDIRECT($I693)= "", "", INDIRECT($I693))</f>
        <v/>
      </c>
      <c r="F693" s="709" t="str" cm="1">
        <f t="array" aca="1" ref="F693" ca="1">INDIRECT(LEFT(I693, FIND("!", I693)) &amp; RefData!$C$427 &amp; RIGHT(I693, LEN(I693) - FIND("!", I693) - 1))</f>
        <v>GTE 20.0/5</v>
      </c>
      <c r="G693" s="710" t="b">
        <f ca="1">IF(ISNUMBER(SEARCH(RefData!$B$2, $C693)), FALSE, TRUE)</f>
        <v>0</v>
      </c>
      <c r="H693" s="344">
        <f>Guarantees!C162</f>
        <v>0</v>
      </c>
      <c r="I693" s="712" t="str">
        <f t="shared" ca="1" si="79"/>
        <v>Guarantees!C162</v>
      </c>
      <c r="J693" s="713" t="b" cm="1">
        <f t="array" aca="1" ref="J693" ca="1">IF(
    ISNUMBER(SEARCH(RefData!$B$2, $C$474)),
    IF(
        $E693 &lt;&gt; "",
        $J$474,
        IF(
            $E693 = "",
            FALSE
        )
    ),
    IF(
        COUNTIF($K693:$T693, "&lt;&gt;FALSE") - COUNTBLANK($K693:$T693) &gt; 0,
        INDEX($K693:$T693, MATCH(TRUE, $K693:$T693 &lt;&gt; FALSE, 0))
    )
)</f>
        <v>0</v>
      </c>
      <c r="K693" s="712" t="b">
        <f ca="1">IF(AND('Start here'!$C$26=RefData!$B$9,'Reconciliation report'!$E693&lt;&gt;""),ErrorMsgs!$B693)</f>
        <v>0</v>
      </c>
      <c r="L693" s="712" t="b">
        <f ca="1">IF(AND('Start here'!$C$26=RefData!$B$10,'Covenant summary information'!$C$83=0,'Reconciliation report'!$E693&lt;&gt;""),ErrorMsgs!$C693)</f>
        <v>0</v>
      </c>
      <c r="M693" s="712" t="b">
        <f ca="1">IF(AND('Start here'!$C$26=RefData!$B$10,'Covenant summary information'!$C$83&lt;5,'Reconciliation report'!$E693&lt;&gt;""),ErrorMsgs!$D693)</f>
        <v>0</v>
      </c>
      <c r="N693" s="712" t="b">
        <f ca="1">IF(AND('Start here'!$C$26=RefData!$B$10,'Covenant summary information'!$C$83&gt;=5,NOT(Guarantees!$C$161=RefData!$B$139),'Reconciliation report'!$E693&lt;&gt;""),ErrorMsgs!$E693)</f>
        <v>0</v>
      </c>
      <c r="O693" s="712" t="b">
        <f ca="1">IF(AND('Start here'!$C$26=RefData!$B$10,'Covenant summary information'!$C$83&gt;=5,Guarantees!$C$161=RefData!$B$139,'Reconciliation report'!$E693=""),ErrorMsgs!$F693)</f>
        <v>0</v>
      </c>
      <c r="P693" s="712" t="b">
        <f ca="1">IF(LEN($E693)&gt;4000,ErrorMsgs!$G693)</f>
        <v>0</v>
      </c>
      <c r="Q693" s="712"/>
      <c r="R693" s="712"/>
      <c r="S693" s="712"/>
      <c r="T693" s="712"/>
      <c r="U693" s="526" t="str">
        <f t="shared" ca="1" si="91"/>
        <v/>
      </c>
      <c r="V693" s="93" t="str" cm="1">
        <f t="array" aca="1" ref="V693" ca="1">CELL("format",INDIRECT(I693))</f>
        <v>G</v>
      </c>
      <c r="W693" s="93" t="b">
        <f t="shared" ca="1" si="92"/>
        <v>0</v>
      </c>
      <c r="X693" s="715" t="str">
        <f t="shared" ca="1" si="90"/>
        <v/>
      </c>
      <c r="Y693" t="b">
        <f t="shared" ca="1" si="93"/>
        <v>1</v>
      </c>
    </row>
    <row r="694" spans="1:25" ht="77.5">
      <c r="A694" s="705" t="s">
        <v>1021</v>
      </c>
      <c r="B694" s="716" t="str">
        <f ca="1">HYPERLINK("#" &amp; $I694, SUBSTITUTE(SUBSTITUTE($I694, "!", " - "), "'",""))</f>
        <v>Guarantees - C163</v>
      </c>
      <c r="C694" s="707" t="str" cm="1">
        <f t="array" aca="1" ref="C694" ca="1">INDIRECT(LEFT(I694, FIND("!", I694)) &amp; RefData!$C$426 &amp; RIGHT(I694, LEN(I694) - FIND("!", I694) - 1))</f>
        <v xml:space="preserve">
No answer required
Fixed cap amount (£)
</v>
      </c>
      <c r="D694" s="92" t="str">
        <f ca="1">""&amp;IF(J694=FALSE, "", J694)
&amp;""</f>
        <v/>
      </c>
      <c r="E694" s="708" t="str" cm="1">
        <f t="array" aca="1" ref="E694" ca="1">IF(INDIRECT($I694)= "", "", INDIRECT($I694))</f>
        <v/>
      </c>
      <c r="F694" s="709" t="str" cm="1">
        <f t="array" aca="1" ref="F694" ca="1">INDIRECT(LEFT(I694, FIND("!", I694)) &amp; RefData!$C$427 &amp; RIGHT(I694, LEN(I694) - FIND("!", I694) - 1))</f>
        <v>GTE 21.0/5</v>
      </c>
      <c r="G694" s="710" t="b">
        <f ca="1">IF(ISNUMBER(SEARCH(RefData!$B$2, $C694)), FALSE, TRUE)</f>
        <v>0</v>
      </c>
      <c r="H694" s="344">
        <f>Guarantees!C163</f>
        <v>0</v>
      </c>
      <c r="I694" s="712" t="str">
        <f ca="1">SUBSTITUTE(_xlfn.FORMULATEXT($H694), "=", "")</f>
        <v>Guarantees!C163</v>
      </c>
      <c r="J694" s="713" t="b" cm="1">
        <f t="array" aca="1" ref="J694" ca="1">IF(
    ISNUMBER(SEARCH(RefData!$B$2, $C$474)),
    IF(
        $E694 &lt;&gt; "",
        $J$474,
        IF(
            $E694 = "",
            FALSE
        )
    ),
    IF(
        COUNTIF($K694:$T694, "&lt;&gt;FALSE") - COUNTBLANK($K694:$T694) &gt; 0,
        INDEX($K694:$T694, MATCH(TRUE, $K694:$T694 &lt;&gt; FALSE, 0))
    )
)</f>
        <v>0</v>
      </c>
      <c r="K694" s="712" t="b">
        <f ca="1">IF(AND('Start here'!$C$26=RefData!$B$9,'Reconciliation report'!$E694&lt;&gt;""),ErrorMsgs!$B694)</f>
        <v>0</v>
      </c>
      <c r="L694" s="712" t="b">
        <f ca="1">IF(AND('Start here'!$C$26=RefData!$B$10,'Covenant summary information'!$C$83=0,'Reconciliation report'!$E694&lt;&gt;""),ErrorMsgs!$C694)</f>
        <v>0</v>
      </c>
      <c r="M694" s="712" t="b">
        <f ca="1">IF(AND('Start here'!$C$26=RefData!$B$10,'Covenant summary information'!$C$83&lt;5,'Reconciliation report'!$E694&lt;&gt;""),ErrorMsgs!$D694)</f>
        <v>0</v>
      </c>
      <c r="N694" s="712" t="b">
        <f ca="1">IF(AND('Start here'!$C$26=RefData!$B$10,'Covenant summary information'!$C$83&gt;=5,NOT(Guarantees!$C$161=RefData!$B$138),'Reconciliation report'!$E694&lt;&gt;""),ErrorMsgs!$E694)</f>
        <v>0</v>
      </c>
      <c r="O694" s="712" t="b">
        <f ca="1">IF(AND('Start here'!$C$26=RefData!$B$10,'Covenant summary information'!$C$83&gt;4,Guarantees!$C$161=RefData!$B$138,'Reconciliation report'!$E694=""),ErrorMsgs!$F694)</f>
        <v>0</v>
      </c>
      <c r="P694" s="712" t="b">
        <f ca="1">IF($E694="",FALSE,IF(ISERROR(VALUE($E694)),ErrorMsgs!G694,IF(OR(VALUE($E694)&lt;0,VALUE($E694)&gt;=1000000000000,VALUE($E694)-ROUND(VALUE($E694),2)&lt;&gt;0),ErrorMsgs!G694)))</f>
        <v>0</v>
      </c>
      <c r="Q694" s="712"/>
      <c r="R694" s="712"/>
      <c r="S694" s="712"/>
      <c r="T694" s="712"/>
      <c r="U694" s="526" t="str">
        <f t="shared" ca="1" si="91"/>
        <v/>
      </c>
      <c r="V694" s="93" t="str" cm="1">
        <f t="array" aca="1" ref="V694" ca="1">CELL("format",INDIRECT(I694))</f>
        <v>C2</v>
      </c>
      <c r="W694" s="93" t="b">
        <f t="shared" ca="1" si="92"/>
        <v>0</v>
      </c>
      <c r="X694" s="715" t="str">
        <f t="shared" ca="1" si="90"/>
        <v/>
      </c>
      <c r="Y694" t="b">
        <f t="shared" ca="1" si="93"/>
        <v>1</v>
      </c>
    </row>
    <row r="695" spans="1:25" ht="46.5">
      <c r="A695" s="705" t="s">
        <v>1024</v>
      </c>
      <c r="B695" s="716" t="str">
        <f t="shared" ca="1" si="78"/>
        <v>Guarantees - C167</v>
      </c>
      <c r="C695" s="707" t="str" cm="1">
        <f t="array" aca="1" ref="C695" ca="1">INDIRECT(LEFT(I695, FIND("!", I695)) &amp; RefData!$C$426 &amp; RIGHT(I695, LEN(I695) - FIND("!", I695) - 1))</f>
        <v xml:space="preserve">
Participating employer insolvency
</v>
      </c>
      <c r="D695" s="92" t="str">
        <f t="shared" ref="D695:D701" ca="1" si="95">""&amp;IF(J695=FALSE, "", J695)
&amp;""</f>
        <v/>
      </c>
      <c r="E695" s="708" t="str" cm="1">
        <f t="array" aca="1" ref="E695" ca="1">IF(INDIRECT($I695)= "", "", INDIRECT($I695))</f>
        <v/>
      </c>
      <c r="F695" s="709" t="str" cm="1">
        <f t="array" aca="1" ref="F695" ca="1">INDIRECT(LEFT(I695, FIND("!", I695)) &amp; RefData!$C$427 &amp; RIGHT(I695, LEN(I695) - FIND("!", I695) - 1))</f>
        <v>GTE 22.0/5</v>
      </c>
      <c r="G695" s="710" t="b">
        <f ca="1">IF(ISNUMBER(SEARCH(RefData!$B$2, $C695)), FALSE, TRUE)</f>
        <v>1</v>
      </c>
      <c r="H695" s="344">
        <f>Guarantees!C167</f>
        <v>0</v>
      </c>
      <c r="I695" s="712" t="str">
        <f t="shared" ca="1" si="79"/>
        <v>Guarantees!C167</v>
      </c>
      <c r="J695" s="713" t="b" cm="1">
        <f t="array" aca="1" ref="J695" ca="1">IF(
    ISNUMBER(SEARCH(RefData!$B$2, $C$474)),
    IF(
        $E695 &lt;&gt; "",
        $J$474,
        IF(
            $E695 = "",
            FALSE
        )
    ),
    IF(
        COUNTIF($K695:$T695, "&lt;&gt;FALSE") - COUNTBLANK($K695:$T695) &gt; 0,
        INDEX($K695:$T695, MATCH(TRUE, $K695:$T695 &lt;&gt; FALSE, 0))
    )
)</f>
        <v>0</v>
      </c>
      <c r="K695" s="712" t="b">
        <f ca="1">IF(AND('Start here'!$C$26=RefData!$B$9,'Reconciliation report'!$E695&lt;&gt;""),ErrorMsgs!$B695)</f>
        <v>0</v>
      </c>
      <c r="L695" s="712" t="b">
        <f ca="1">IF(AND('Start here'!$C$26=RefData!$B$10,'Covenant summary information'!$C$83=0,'Reconciliation report'!$E695&lt;&gt;""),ErrorMsgs!$C695)</f>
        <v>0</v>
      </c>
      <c r="M695" s="712" t="b">
        <f ca="1">IF(AND('Start here'!$C$26=RefData!$B$10,'Covenant summary information'!$C$83&lt;5,'Reconciliation report'!$E695&lt;&gt;""),ErrorMsgs!$D695)</f>
        <v>0</v>
      </c>
      <c r="N695" s="712" t="b">
        <f ca="1">IF(AND('Start here'!$C$26=RefData!$B$10,'Covenant summary information'!$C$83&gt;=5,'Reconciliation report'!$E695=""),ErrorMsgs!$E695)</f>
        <v>0</v>
      </c>
      <c r="O695" s="712" t="b">
        <f ca="1">IF(AND($E695&lt;&gt;"",ISNA(MATCH($E695,RefData!$B$140:$B$141,0))),ErrorMsgs!$E695)</f>
        <v>0</v>
      </c>
      <c r="P695" s="712"/>
      <c r="Q695" s="712"/>
      <c r="R695" s="712"/>
      <c r="S695" s="712"/>
      <c r="T695" s="712"/>
      <c r="U695" s="526" t="str">
        <f t="shared" ca="1" si="91"/>
        <v/>
      </c>
      <c r="V695" s="93" t="str" cm="1">
        <f t="array" aca="1" ref="V695" ca="1">CELL("format",INDIRECT(I695))</f>
        <v>G</v>
      </c>
      <c r="W695" s="93" t="b">
        <f t="shared" ca="1" si="92"/>
        <v>0</v>
      </c>
      <c r="X695" s="715" t="str">
        <f t="shared" ca="1" si="90"/>
        <v/>
      </c>
      <c r="Y695" t="b">
        <f t="shared" ca="1" si="93"/>
        <v>1</v>
      </c>
    </row>
    <row r="696" spans="1:25" ht="46.5">
      <c r="A696" s="705" t="s">
        <v>1026</v>
      </c>
      <c r="B696" s="716" t="str">
        <f t="shared" ca="1" si="78"/>
        <v>Guarantees - C168</v>
      </c>
      <c r="C696" s="707" t="str" cm="1">
        <f t="array" aca="1" ref="C696" ca="1">INDIRECT(LEFT(I696, FIND("!", I696)) &amp; RefData!$C$426 &amp; RIGHT(I696, LEN(I696) - FIND("!", I696) - 1))</f>
        <v xml:space="preserve">
Insolvency of associated company
</v>
      </c>
      <c r="D696" s="92" t="str">
        <f t="shared" ca="1" si="95"/>
        <v/>
      </c>
      <c r="E696" s="708" t="str" cm="1">
        <f t="array" aca="1" ref="E696" ca="1">IF(INDIRECT($I696)= "", "", INDIRECT($I696))</f>
        <v/>
      </c>
      <c r="F696" s="709" t="str" cm="1">
        <f t="array" aca="1" ref="F696" ca="1">INDIRECT(LEFT(I696, FIND("!", I696)) &amp; RefData!$C$427 &amp; RIGHT(I696, LEN(I696) - FIND("!", I696) - 1))</f>
        <v>GTE 23.0/5</v>
      </c>
      <c r="G696" s="710" t="b">
        <f ca="1">IF(ISNUMBER(SEARCH(RefData!$B$2, $C696)), FALSE, TRUE)</f>
        <v>1</v>
      </c>
      <c r="H696" s="344">
        <f>Guarantees!C168</f>
        <v>0</v>
      </c>
      <c r="I696" s="712" t="str">
        <f t="shared" ca="1" si="79"/>
        <v>Guarantees!C168</v>
      </c>
      <c r="J696" s="713" t="b" cm="1">
        <f t="array" aca="1" ref="J696" ca="1">IF(
    ISNUMBER(SEARCH(RefData!$B$2, $C$474)),
    IF(
        $E696 &lt;&gt; "",
        $J$474,
        IF(
            $E696 = "",
            FALSE
        )
    ),
    IF(
        COUNTIF($K696:$T696, "&lt;&gt;FALSE") - COUNTBLANK($K696:$T696) &gt; 0,
        INDEX($K696:$T696, MATCH(TRUE, $K696:$T696 &lt;&gt; FALSE, 0))
    )
)</f>
        <v>0</v>
      </c>
      <c r="K696" s="712" t="b">
        <f ca="1">IF(AND('Start here'!$C$26=RefData!$B$9,'Reconciliation report'!$E696&lt;&gt;""),ErrorMsgs!$B696)</f>
        <v>0</v>
      </c>
      <c r="L696" s="712" t="b">
        <f ca="1">IF(AND('Start here'!$C$26=RefData!$B$10,'Covenant summary information'!$C$83=0,'Reconciliation report'!$E696&lt;&gt;""),ErrorMsgs!$C696)</f>
        <v>0</v>
      </c>
      <c r="M696" s="712" t="b">
        <f ca="1">IF(AND('Start here'!$C$26=RefData!$B$10,'Covenant summary information'!$C$83&lt;5,'Reconciliation report'!$E696&lt;&gt;""),ErrorMsgs!$D696)</f>
        <v>0</v>
      </c>
      <c r="N696" s="712" t="b">
        <f ca="1">IF(AND('Start here'!$C$26=RefData!$B$10,'Covenant summary information'!$C$83&gt;=5,'Reconciliation report'!$E696=""),ErrorMsgs!$E696)</f>
        <v>0</v>
      </c>
      <c r="O696" s="712" t="b">
        <f ca="1">IF(AND($E696&lt;&gt;"",ISNA(MATCH($E696,RefData!$B$140:$B$141,0))),ErrorMsgs!$F696)</f>
        <v>0</v>
      </c>
      <c r="P696" s="712"/>
      <c r="Q696" s="712"/>
      <c r="R696" s="712"/>
      <c r="S696" s="712"/>
      <c r="T696" s="712"/>
      <c r="U696" s="526" t="str">
        <f t="shared" ca="1" si="91"/>
        <v/>
      </c>
      <c r="V696" s="93" t="str" cm="1">
        <f t="array" aca="1" ref="V696" ca="1">CELL("format",INDIRECT(I696))</f>
        <v>G</v>
      </c>
      <c r="W696" s="93" t="b">
        <f t="shared" ca="1" si="92"/>
        <v>0</v>
      </c>
      <c r="X696" s="715" t="str">
        <f t="shared" ca="1" si="90"/>
        <v/>
      </c>
      <c r="Y696" t="b">
        <f t="shared" ca="1" si="93"/>
        <v>1</v>
      </c>
    </row>
    <row r="697" spans="1:25" ht="46.5">
      <c r="A697" s="705" t="s">
        <v>1028</v>
      </c>
      <c r="B697" s="716" t="str">
        <f t="shared" ca="1" si="78"/>
        <v>Guarantees - C169</v>
      </c>
      <c r="C697" s="707" t="str" cm="1">
        <f t="array" aca="1" ref="C697" ca="1">INDIRECT(LEFT(I697, FIND("!", I697)) &amp; RefData!$C$426 &amp; RIGHT(I697, LEN(I697) - FIND("!", I697) - 1))</f>
        <v xml:space="preserve">
Non payment of contributions
</v>
      </c>
      <c r="D697" s="92" t="str">
        <f t="shared" ca="1" si="95"/>
        <v/>
      </c>
      <c r="E697" s="708" t="str" cm="1">
        <f t="array" aca="1" ref="E697" ca="1">IF(INDIRECT($I697)= "", "", INDIRECT($I697))</f>
        <v/>
      </c>
      <c r="F697" s="709" t="str" cm="1">
        <f t="array" aca="1" ref="F697" ca="1">INDIRECT(LEFT(I697, FIND("!", I697)) &amp; RefData!$C$427 &amp; RIGHT(I697, LEN(I697) - FIND("!", I697) - 1))</f>
        <v>GTE 24.0/5</v>
      </c>
      <c r="G697" s="710" t="b">
        <f ca="1">IF(ISNUMBER(SEARCH(RefData!$B$2, $C697)), FALSE, TRUE)</f>
        <v>1</v>
      </c>
      <c r="H697" s="344">
        <f>Guarantees!C169</f>
        <v>0</v>
      </c>
      <c r="I697" s="712" t="str">
        <f t="shared" ca="1" si="79"/>
        <v>Guarantees!C169</v>
      </c>
      <c r="J697" s="713" t="b" cm="1">
        <f t="array" aca="1" ref="J697" ca="1">IF(
    ISNUMBER(SEARCH(RefData!$B$2, $C$474)),
    IF(
        $E697 &lt;&gt; "",
        $J$474,
        IF(
            $E697 = "",
            FALSE
        )
    ),
    IF(
        COUNTIF($K697:$T697, "&lt;&gt;FALSE") - COUNTBLANK($K697:$T697) &gt; 0,
        INDEX($K697:$T697, MATCH(TRUE, $K697:$T697 &lt;&gt; FALSE, 0))
    )
)</f>
        <v>0</v>
      </c>
      <c r="K697" s="712" t="b">
        <f ca="1">IF(AND('Start here'!$C$26=RefData!$B$9,'Reconciliation report'!$E697&lt;&gt;""),ErrorMsgs!$B697)</f>
        <v>0</v>
      </c>
      <c r="L697" s="712" t="b">
        <f ca="1">IF(AND('Start here'!$C$26=RefData!$B$10,'Covenant summary information'!$C$83=0,'Reconciliation report'!$E697&lt;&gt;""),ErrorMsgs!$C697)</f>
        <v>0</v>
      </c>
      <c r="M697" s="712" t="b">
        <f ca="1">IF(AND('Start here'!$C$26=RefData!$B$10,'Covenant summary information'!$C$83&lt;5,'Reconciliation report'!$E697&lt;&gt;""),ErrorMsgs!$D697)</f>
        <v>0</v>
      </c>
      <c r="N697" s="712" t="b">
        <f ca="1">IF(AND('Start here'!$C$26=RefData!$B$10,'Covenant summary information'!$C$83&gt;=5,'Reconciliation report'!$E697=""),ErrorMsgs!$E697)</f>
        <v>0</v>
      </c>
      <c r="O697" s="712" t="b">
        <f ca="1">IF(AND($E697&lt;&gt;"",ISNA(MATCH($E697,RefData!$B$140:$B$141,0))),ErrorMsgs!$F697)</f>
        <v>0</v>
      </c>
      <c r="P697" s="712"/>
      <c r="Q697" s="712"/>
      <c r="R697" s="712"/>
      <c r="S697" s="712"/>
      <c r="T697" s="712"/>
      <c r="U697" s="526" t="str">
        <f t="shared" ca="1" si="91"/>
        <v/>
      </c>
      <c r="V697" s="93" t="str" cm="1">
        <f t="array" aca="1" ref="V697" ca="1">CELL("format",INDIRECT(I697))</f>
        <v>G</v>
      </c>
      <c r="W697" s="93" t="b">
        <f t="shared" ca="1" si="92"/>
        <v>0</v>
      </c>
      <c r="X697" s="715" t="str">
        <f t="shared" ca="1" si="90"/>
        <v/>
      </c>
      <c r="Y697" t="b">
        <f t="shared" ca="1" si="93"/>
        <v>1</v>
      </c>
    </row>
    <row r="698" spans="1:25" ht="46.5">
      <c r="A698" s="705" t="s">
        <v>1030</v>
      </c>
      <c r="B698" s="716" t="str">
        <f t="shared" ca="1" si="78"/>
        <v>Guarantees - C170</v>
      </c>
      <c r="C698" s="707" t="str" cm="1">
        <f t="array" aca="1" ref="C698" ca="1">INDIRECT(LEFT(I698, FIND("!", I698)) &amp; RefData!$C$426 &amp; RIGHT(I698, LEN(I698) - FIND("!", I698) - 1))</f>
        <v xml:space="preserve">
Crystallisation of investment risk
</v>
      </c>
      <c r="D698" s="92" t="str">
        <f t="shared" ca="1" si="95"/>
        <v/>
      </c>
      <c r="E698" s="708" t="str" cm="1">
        <f t="array" aca="1" ref="E698" ca="1">IF(INDIRECT($I698)= "", "", INDIRECT($I698))</f>
        <v/>
      </c>
      <c r="F698" s="709" t="str" cm="1">
        <f t="array" aca="1" ref="F698" ca="1">INDIRECT(LEFT(I698, FIND("!", I698)) &amp; RefData!$C$427 &amp; RIGHT(I698, LEN(I698) - FIND("!", I698) - 1))</f>
        <v>GTE 25.0/5</v>
      </c>
      <c r="G698" s="710" t="b">
        <f ca="1">IF(ISNUMBER(SEARCH(RefData!$B$2, $C698)), FALSE, TRUE)</f>
        <v>1</v>
      </c>
      <c r="H698" s="344">
        <f>Guarantees!C170</f>
        <v>0</v>
      </c>
      <c r="I698" s="712" t="str">
        <f t="shared" ca="1" si="79"/>
        <v>Guarantees!C170</v>
      </c>
      <c r="J698" s="713" t="b" cm="1">
        <f t="array" aca="1" ref="J698" ca="1">IF(
    ISNUMBER(SEARCH(RefData!$B$2, $C$474)),
    IF(
        $E698 &lt;&gt; "",
        $J$474,
        IF(
            $E698 = "",
            FALSE
        )
    ),
    IF(
        COUNTIF($K698:$T698, "&lt;&gt;FALSE") - COUNTBLANK($K698:$T698) &gt; 0,
        INDEX($K698:$T698, MATCH(TRUE, $K698:$T698 &lt;&gt; FALSE, 0))
    )
)</f>
        <v>0</v>
      </c>
      <c r="K698" s="712" t="b">
        <f ca="1">IF(AND('Start here'!$C$26=RefData!$B$9,'Reconciliation report'!$E698&lt;&gt;""),ErrorMsgs!$B698)</f>
        <v>0</v>
      </c>
      <c r="L698" s="712" t="b">
        <f ca="1">IF(AND('Start here'!$C$26=RefData!$B$10,'Covenant summary information'!$C$83=0,'Reconciliation report'!$E698&lt;&gt;""),ErrorMsgs!$C698)</f>
        <v>0</v>
      </c>
      <c r="M698" s="712" t="b">
        <f ca="1">IF(AND('Start here'!$C$26=RefData!$B$10,'Covenant summary information'!$C$83&lt;5,'Reconciliation report'!$E698&lt;&gt;""),ErrorMsgs!$D698)</f>
        <v>0</v>
      </c>
      <c r="N698" s="712" t="b">
        <f ca="1">IF(AND('Start here'!$C$26=RefData!$B$10,'Covenant summary information'!$C$83&gt;=5,'Reconciliation report'!$E698=""),ErrorMsgs!$E698)</f>
        <v>0</v>
      </c>
      <c r="O698" s="712" t="b">
        <f ca="1">IF(AND($E698&lt;&gt;"",ISNA(MATCH($E698,RefData!$B$140:$B$141,0))),ErrorMsgs!$F698)</f>
        <v>0</v>
      </c>
      <c r="P698" s="712"/>
      <c r="Q698" s="712"/>
      <c r="R698" s="712"/>
      <c r="S698" s="712"/>
      <c r="T698" s="712"/>
      <c r="U698" s="526" t="str">
        <f t="shared" ca="1" si="91"/>
        <v/>
      </c>
      <c r="V698" s="93" t="str" cm="1">
        <f t="array" aca="1" ref="V698" ca="1">CELL("format",INDIRECT(I698))</f>
        <v>G</v>
      </c>
      <c r="W698" s="93" t="b">
        <f t="shared" ca="1" si="92"/>
        <v>0</v>
      </c>
      <c r="X698" s="715" t="str">
        <f t="shared" ca="1" si="90"/>
        <v/>
      </c>
      <c r="Y698" t="b">
        <f t="shared" ca="1" si="93"/>
        <v>1</v>
      </c>
    </row>
    <row r="699" spans="1:25" ht="46.5">
      <c r="A699" s="705" t="s">
        <v>1032</v>
      </c>
      <c r="B699" s="716" t="str">
        <f t="shared" ca="1" si="78"/>
        <v>Guarantees - C171</v>
      </c>
      <c r="C699" s="707" t="str" cm="1">
        <f t="array" aca="1" ref="C699" ca="1">INDIRECT(LEFT(I699, FIND("!", I699)) &amp; RefData!$C$426 &amp; RIGHT(I699, LEN(I699) - FIND("!", I699) - 1))</f>
        <v xml:space="preserve">
Other
</v>
      </c>
      <c r="D699" s="92" t="str">
        <f t="shared" ca="1" si="95"/>
        <v/>
      </c>
      <c r="E699" s="708" t="str" cm="1">
        <f t="array" aca="1" ref="E699" ca="1">IF(INDIRECT($I699)= "", "", INDIRECT($I699))</f>
        <v/>
      </c>
      <c r="F699" s="709" t="str" cm="1">
        <f t="array" aca="1" ref="F699" ca="1">INDIRECT(LEFT(I699, FIND("!", I699)) &amp; RefData!$C$427 &amp; RIGHT(I699, LEN(I699) - FIND("!", I699) - 1))</f>
        <v>GTE 26.0/5</v>
      </c>
      <c r="G699" s="710" t="b">
        <f ca="1">IF(ISNUMBER(SEARCH(RefData!$B$2, $C699)), FALSE, TRUE)</f>
        <v>1</v>
      </c>
      <c r="H699" s="344">
        <f>Guarantees!C171</f>
        <v>0</v>
      </c>
      <c r="I699" s="712" t="str">
        <f t="shared" ca="1" si="79"/>
        <v>Guarantees!C171</v>
      </c>
      <c r="J699" s="713" t="b" cm="1">
        <f t="array" aca="1" ref="J699" ca="1">IF(
    ISNUMBER(SEARCH(RefData!$B$2, $C$474)),
    IF(
        $E699 &lt;&gt; "",
        $J$474,
        IF(
            $E699 = "",
            FALSE
        )
    ),
    IF(
        COUNTIF($K699:$T699, "&lt;&gt;FALSE") - COUNTBLANK($K699:$T699) &gt; 0,
        INDEX($K699:$T699, MATCH(TRUE, $K699:$T699 &lt;&gt; FALSE, 0))
    )
)</f>
        <v>0</v>
      </c>
      <c r="K699" s="712" t="b">
        <f ca="1">IF(AND('Start here'!$C$26=RefData!$B$9,'Reconciliation report'!$E699&lt;&gt;""),ErrorMsgs!$B699)</f>
        <v>0</v>
      </c>
      <c r="L699" s="712" t="b">
        <f ca="1">IF(AND('Start here'!$C$26=RefData!$B$10,'Covenant summary information'!$C$83=0,'Reconciliation report'!$E699&lt;&gt;""),ErrorMsgs!$C699)</f>
        <v>0</v>
      </c>
      <c r="M699" s="712" t="b">
        <f ca="1">IF(AND('Start here'!$C$26=RefData!$B$10,'Covenant summary information'!$C$83&lt;5,'Reconciliation report'!$E699&lt;&gt;""),ErrorMsgs!$D699)</f>
        <v>0</v>
      </c>
      <c r="N699" s="712" t="b">
        <f ca="1">IF(AND('Start here'!$C$26=RefData!$B$10,'Covenant summary information'!$C$83&gt;=5,'Reconciliation report'!$E699=""),ErrorMsgs!$E699)</f>
        <v>0</v>
      </c>
      <c r="O699" s="712" t="b">
        <f ca="1">IF(AND($E699&lt;&gt;"",ISNA(MATCH($E699,RefData!$B$140:$B$141,0))),ErrorMsgs!$F699)</f>
        <v>0</v>
      </c>
      <c r="P699" s="712"/>
      <c r="Q699" s="712"/>
      <c r="R699" s="712"/>
      <c r="S699" s="712"/>
      <c r="T699" s="712"/>
      <c r="U699" s="526" t="str">
        <f t="shared" ca="1" si="91"/>
        <v/>
      </c>
      <c r="V699" s="93" t="str" cm="1">
        <f t="array" aca="1" ref="V699" ca="1">CELL("format",INDIRECT(I699))</f>
        <v>G</v>
      </c>
      <c r="W699" s="93" t="b">
        <f t="shared" ca="1" si="92"/>
        <v>0</v>
      </c>
      <c r="X699" s="715" t="str">
        <f t="shared" ca="1" si="90"/>
        <v/>
      </c>
      <c r="Y699" t="b">
        <f t="shared" ca="1" si="93"/>
        <v>1</v>
      </c>
    </row>
    <row r="700" spans="1:25" ht="46.5">
      <c r="A700" s="705" t="s">
        <v>1034</v>
      </c>
      <c r="B700" s="716" t="str">
        <f t="shared" ca="1" si="78"/>
        <v>Guarantees - C172</v>
      </c>
      <c r="C700" s="707" t="str" cm="1">
        <f t="array" aca="1" ref="C700" ca="1">INDIRECT(LEFT(I700, FIND("!", I700)) &amp; RefData!$C$426 &amp; RIGHT(I700, LEN(I700) - FIND("!", I700) - 1))</f>
        <v xml:space="preserve">
Describe the other triggers for access to value
</v>
      </c>
      <c r="D700" s="92" t="str">
        <f t="shared" ca="1" si="95"/>
        <v/>
      </c>
      <c r="E700" s="708" t="str" cm="1">
        <f t="array" aca="1" ref="E700" ca="1">IF(INDIRECT($I700)= "", "", INDIRECT($I700))</f>
        <v/>
      </c>
      <c r="F700" s="709" t="str" cm="1">
        <f t="array" aca="1" ref="F700" ca="1">INDIRECT(LEFT(I700, FIND("!", I700)) &amp; RefData!$C$427 &amp; RIGHT(I700, LEN(I700) - FIND("!", I700) - 1))</f>
        <v>GTE 27.0/5</v>
      </c>
      <c r="G700" s="710" t="b">
        <f ca="1">IF(ISNUMBER(SEARCH(RefData!$B$2, $C700)), FALSE, TRUE)</f>
        <v>1</v>
      </c>
      <c r="H700" s="344">
        <f>Guarantees!C172</f>
        <v>0</v>
      </c>
      <c r="I700" s="712" t="str">
        <f t="shared" ca="1" si="79"/>
        <v>Guarantees!C172</v>
      </c>
      <c r="J700" s="713" t="b" cm="1">
        <f t="array" aca="1" ref="J700" ca="1">IF(
    ISNUMBER(SEARCH(RefData!$B$2, $C$474)),
    IF(
        $E700 &lt;&gt; "",
        $J$474,
        IF(
            $E700 = "",
            FALSE
        )
    ),
    IF(
        COUNTIF($K700:$T700, "&lt;&gt;FALSE") - COUNTBLANK($K700:$T700) &gt; 0,
        INDEX($K700:$T700, MATCH(TRUE, $K700:$T700 &lt;&gt; FALSE, 0))
    )
)</f>
        <v>0</v>
      </c>
      <c r="K700" s="712" t="b">
        <f ca="1">IF(AND('Start here'!$C$26=RefData!$B$9,'Reconciliation report'!$E700&lt;&gt;""),ErrorMsgs!$B700)</f>
        <v>0</v>
      </c>
      <c r="L700" s="712" t="b">
        <f ca="1">IF(AND('Start here'!$C$26=RefData!$B$10,'Covenant summary information'!$C$83=0,'Reconciliation report'!$E700&lt;&gt;""),ErrorMsgs!$C700)</f>
        <v>0</v>
      </c>
      <c r="M700" s="712" t="b">
        <f ca="1">IF(AND('Start here'!$C$26=RefData!$B$10,'Covenant summary information'!$C$83&lt;5,'Reconciliation report'!$E700&lt;&gt;""),ErrorMsgs!$D700)</f>
        <v>0</v>
      </c>
      <c r="N700" s="712" t="b">
        <f ca="1">IF(AND('Start here'!$C$26=RefData!$B$10,'Covenant summary information'!$C$83&gt;=5,Guarantees!$C171&lt;&gt;RefData!$B$140,'Reconciliation report'!$E700&lt;&gt;""),ErrorMsgs!$E700)</f>
        <v>0</v>
      </c>
      <c r="O700" s="712" t="b">
        <f ca="1">IF(AND('Start here'!$C$26=RefData!$B$10,'Covenant summary information'!$C$83&gt;=5,Guarantees!$C171=RefData!$B$140,'Reconciliation report'!$E700=""),ErrorMsgs!$F700)</f>
        <v>0</v>
      </c>
      <c r="P700" s="712" t="b">
        <f ca="1">IF(LEN($E700)&gt;4000,ErrorMsgs!$G700)</f>
        <v>0</v>
      </c>
      <c r="Q700" s="712"/>
      <c r="R700" s="712"/>
      <c r="S700" s="712"/>
      <c r="T700" s="712"/>
      <c r="U700" s="526" t="str">
        <f t="shared" ca="1" si="91"/>
        <v/>
      </c>
      <c r="V700" s="93" t="str" cm="1">
        <f t="array" aca="1" ref="V700" ca="1">CELL("format",INDIRECT(I700))</f>
        <v>G</v>
      </c>
      <c r="W700" s="93" t="b">
        <f t="shared" ca="1" si="92"/>
        <v>0</v>
      </c>
      <c r="X700" s="715" t="str">
        <f t="shared" ca="1" si="90"/>
        <v/>
      </c>
      <c r="Y700" t="b">
        <f t="shared" ca="1" si="93"/>
        <v>1</v>
      </c>
    </row>
    <row r="701" spans="1:25" ht="46.5">
      <c r="A701" s="705" t="s">
        <v>1036</v>
      </c>
      <c r="B701" s="716" t="str">
        <f t="shared" ca="1" si="78"/>
        <v>Guarantees - C173</v>
      </c>
      <c r="C701" s="707" t="str" cm="1">
        <f t="array" aca="1" ref="C701" ca="1">INDIRECT(LEFT(I701, FIND("!", I701)) &amp; RefData!$C$426 &amp; RIGHT(I701, LEN(I701) - FIND("!", I701) - 1))</f>
        <v xml:space="preserve">
Triggers for termination
</v>
      </c>
      <c r="D701" s="92" t="str">
        <f t="shared" ca="1" si="95"/>
        <v/>
      </c>
      <c r="E701" s="708" t="str" cm="1">
        <f t="array" aca="1" ref="E701" ca="1">IF(INDIRECT($I701)= "", "", INDIRECT($I701))</f>
        <v/>
      </c>
      <c r="F701" s="709" t="str" cm="1">
        <f t="array" aca="1" ref="F701" ca="1">INDIRECT(LEFT(I701, FIND("!", I701)) &amp; RefData!$C$427 &amp; RIGHT(I701, LEN(I701) - FIND("!", I701) - 1))</f>
        <v>GTE 28.0/5</v>
      </c>
      <c r="G701" s="710" t="b">
        <f ca="1">IF(ISNUMBER(SEARCH(RefData!$B$2, $C701)), FALSE, TRUE)</f>
        <v>1</v>
      </c>
      <c r="H701" s="344">
        <f>Guarantees!C173</f>
        <v>0</v>
      </c>
      <c r="I701" s="712" t="str">
        <f t="shared" ca="1" si="79"/>
        <v>Guarantees!C173</v>
      </c>
      <c r="J701" s="713" t="b" cm="1">
        <f t="array" aca="1" ref="J701" ca="1">IF(
    ISNUMBER(SEARCH(RefData!$B$2, $C$474)),
    IF(
        $E701 &lt;&gt; "",
        $J$474,
        IF(
            $E701 = "",
            FALSE
        )
    ),
    IF(
        COUNTIF($K701:$T701, "&lt;&gt;FALSE") - COUNTBLANK($K701:$T701) &gt; 0,
        INDEX($K701:$T701, MATCH(TRUE, $K701:$T701 &lt;&gt; FALSE, 0))
    )
)</f>
        <v>0</v>
      </c>
      <c r="K701" s="712" t="b">
        <f ca="1">IF(AND('Start here'!$C$26=RefData!$B$9,'Reconciliation report'!$E701&lt;&gt;""),ErrorMsgs!$B701)</f>
        <v>0</v>
      </c>
      <c r="L701" s="712" t="b">
        <f ca="1">IF(AND('Start here'!$C$26=RefData!$B$10,'Covenant summary information'!$C$83=0,'Reconciliation report'!$E701&lt;&gt;""),ErrorMsgs!$C701)</f>
        <v>0</v>
      </c>
      <c r="M701" s="712" t="b">
        <f ca="1">IF(AND('Start here'!$C$26=RefData!$B$10,'Covenant summary information'!$C$83&lt;5,'Reconciliation report'!$E701&lt;&gt;""),ErrorMsgs!$D701)</f>
        <v>0</v>
      </c>
      <c r="N701" s="712" t="b">
        <f ca="1">IF(AND('Start here'!$C$26=RefData!$B$10,'Covenant summary information'!$C$83&gt;=5,'Reconciliation report'!$E701=""),ErrorMsgs!$E701)</f>
        <v>0</v>
      </c>
      <c r="O701" s="712" t="b">
        <f ca="1">IF(LEN($E701)&gt;4000,ErrorMsgs!$F701)</f>
        <v>0</v>
      </c>
      <c r="P701" s="712"/>
      <c r="Q701" s="712"/>
      <c r="R701" s="712"/>
      <c r="S701" s="712"/>
      <c r="T701" s="712"/>
      <c r="U701" s="526" t="str">
        <f t="shared" ca="1" si="91"/>
        <v/>
      </c>
      <c r="V701" s="93" t="str" cm="1">
        <f t="array" aca="1" ref="V701" ca="1">CELL("format",INDIRECT(I701))</f>
        <v>G</v>
      </c>
      <c r="W701" s="93" t="b">
        <f t="shared" ca="1" si="92"/>
        <v>0</v>
      </c>
      <c r="X701" s="715" t="str">
        <f t="shared" ca="1" si="90"/>
        <v/>
      </c>
      <c r="Y701" t="b">
        <f t="shared" ca="1" si="93"/>
        <v>1</v>
      </c>
    </row>
    <row r="702" spans="1:25" ht="93">
      <c r="A702" s="705" t="s">
        <v>1041</v>
      </c>
      <c r="B702" s="716" t="str">
        <f t="shared" ref="B702:B792" ca="1" si="96">HYPERLINK("#" &amp; $I702, SUBSTITUTE(SUBSTITUTE($I702, "!", " - "), "'",""))</f>
        <v>Securities - C7</v>
      </c>
      <c r="C702" s="707" t="str" cm="1">
        <f t="array" aca="1" ref="C702" ca="1">INDIRECT(LEFT(I702, FIND("!", I702)) &amp; RefData!$C$426 &amp; RIGHT(I702, LEN(I702) - FIND("!", I702) - 1))</f>
        <v xml:space="preserve">
No answer required
What is the type of underlying asset that the scheme has security over?
</v>
      </c>
      <c r="D702" s="92" t="str">
        <f t="shared" ca="1" si="77"/>
        <v/>
      </c>
      <c r="E702" s="708" t="str" cm="1">
        <f t="array" aca="1" ref="E702" ca="1">IF(INDIRECT($I702)= "", "", INDIRECT($I702))</f>
        <v/>
      </c>
      <c r="F702" s="709" t="str" cm="1">
        <f t="array" aca="1" ref="F702" ca="1">INDIRECT(LEFT(I702, FIND("!", I702)) &amp; RefData!$C$427 &amp; RIGHT(I702, LEN(I702) - FIND("!", I702) - 1))</f>
        <v>SEC 1.0/1</v>
      </c>
      <c r="G702" s="710" t="b">
        <f ca="1">IF(ISNUMBER(SEARCH(RefData!$B$2, $C702)), FALSE, TRUE)</f>
        <v>0</v>
      </c>
      <c r="H702" s="344">
        <f>Securities!C7</f>
        <v>0</v>
      </c>
      <c r="I702" s="712" t="str">
        <f t="shared" ref="I702:I792" ca="1" si="97">SUBSTITUTE(_xlfn.FORMULATEXT($H702), "=", "")</f>
        <v>Securities!C7</v>
      </c>
      <c r="J702" s="713" t="b" cm="1">
        <f t="array" aca="1" ref="J702" ca="1">IF(
    ISNUMBER(SEARCH(RefData!$B$2, $C$475)),
    IF(
        $E702 &lt;&gt; "",
        $J$475,
        IF(
            $E702 = "",
            FALSE
        )
    ),
    IF(
        COUNTIF($K702:$T702, "&lt;&gt;FALSE") - COUNTBLANK($K702:$T702) &gt; 0,
        INDEX($K702:$T702, MATCH(TRUE, $K702:$T702 &lt;&gt; FALSE, 0))
    )
)</f>
        <v>0</v>
      </c>
      <c r="K702" s="712" t="b">
        <f ca="1">IF(AND('Covenant summary information'!$C$84=0,'Reconciliation report'!$E702&lt;&gt;""),ErrorMsgs!$B702)</f>
        <v>0</v>
      </c>
      <c r="L702" s="712" t="b">
        <f ca="1">IF(AND('Covenant summary information'!$C$84&lt;1,'Reconciliation report'!$E702&lt;&gt;""),ErrorMsgs!$C702)</f>
        <v>0</v>
      </c>
      <c r="M702" s="712" t="b">
        <f ca="1">IF(AND('Covenant summary information'!$C$84&gt;=1,'Reconciliation report'!$E702=""),ErrorMsgs!$D702)</f>
        <v>0</v>
      </c>
      <c r="N702" s="712" t="b">
        <f ca="1">IF(E702="",FALSE,IF(ISNA(MATCH($E702,RefData!$B$141:$B$148,0)),ErrorMsgs!$E702))</f>
        <v>0</v>
      </c>
      <c r="O702" s="712"/>
      <c r="P702" s="712"/>
      <c r="Q702" s="712"/>
      <c r="R702" s="712"/>
      <c r="S702" s="712"/>
      <c r="T702" s="712"/>
      <c r="U702" s="526" t="str">
        <f t="shared" ca="1" si="91"/>
        <v/>
      </c>
      <c r="V702" s="93" t="str" cm="1">
        <f t="array" aca="1" ref="V702" ca="1">CELL("format",INDIRECT(I702))</f>
        <v>G</v>
      </c>
      <c r="W702" s="93" t="b">
        <f t="shared" ca="1" si="92"/>
        <v>0</v>
      </c>
      <c r="X702" s="715" t="str">
        <f t="shared" ca="1" si="90"/>
        <v/>
      </c>
      <c r="Y702" t="b">
        <f t="shared" ca="1" si="93"/>
        <v>1</v>
      </c>
    </row>
    <row r="703" spans="1:25" ht="77.5">
      <c r="A703" s="705" t="s">
        <v>1044</v>
      </c>
      <c r="B703" s="716" t="str">
        <f t="shared" ca="1" si="96"/>
        <v>Securities - C8</v>
      </c>
      <c r="C703" s="707" t="str" cm="1">
        <f t="array" aca="1" ref="C703" ca="1">INDIRECT(LEFT(I703, FIND("!", I703)) &amp; RefData!$C$426 &amp; RIGHT(I703, LEN(I703) - FIND("!", I703) - 1))</f>
        <v xml:space="preserve">
No answer required
Provide specific details of the underlying asset
</v>
      </c>
      <c r="D703" s="92" t="str">
        <f t="shared" ca="1" si="77"/>
        <v/>
      </c>
      <c r="E703" s="708" t="str" cm="1">
        <f t="array" aca="1" ref="E703" ca="1">IF(INDIRECT($I703)= "", "", INDIRECT($I703))</f>
        <v/>
      </c>
      <c r="F703" s="709" t="str" cm="1">
        <f t="array" aca="1" ref="F703" ca="1">INDIRECT(LEFT(I703, FIND("!", I703)) &amp; RefData!$C$427 &amp; RIGHT(I703, LEN(I703) - FIND("!", I703) - 1))</f>
        <v>SEC 2.0/1</v>
      </c>
      <c r="G703" s="710" t="b">
        <f ca="1">IF(ISNUMBER(SEARCH(RefData!$B$2, $C703)), FALSE, TRUE)</f>
        <v>0</v>
      </c>
      <c r="H703" s="344">
        <f>Securities!C8</f>
        <v>0</v>
      </c>
      <c r="I703" s="712" t="str">
        <f t="shared" ca="1" si="97"/>
        <v>Securities!C8</v>
      </c>
      <c r="J703" s="713" t="b" cm="1">
        <f t="array" aca="1" ref="J703" ca="1">IF(
    ISNUMBER(SEARCH(RefData!$B$2, $C$475)),
    IF(
        $E703 &lt;&gt; "",
        $J$475,
        IF(
            $E703 = "",
            FALSE
        )
    ),
    IF(
        COUNTIF($K703:$T703, "&lt;&gt;FALSE") - COUNTBLANK($K703:$T703) &gt; 0,
        INDEX($K703:$T703, MATCH(TRUE, $K703:$T703 &lt;&gt; FALSE, 0))
    )
)</f>
        <v>0</v>
      </c>
      <c r="K703" s="712" t="b">
        <f ca="1">IF(AND('Covenant summary information'!$C$84=0,'Reconciliation report'!$E703&lt;&gt;""),ErrorMsgs!$B703)</f>
        <v>0</v>
      </c>
      <c r="L703" s="712" t="b">
        <f ca="1">IF(AND('Covenant summary information'!$C$84&lt;1,'Reconciliation report'!$E703&lt;&gt;""),ErrorMsgs!$C703)</f>
        <v>0</v>
      </c>
      <c r="M703" s="712" t="b">
        <f ca="1">IF(AND('Covenant summary information'!$C$84&gt;=1,'Reconciliation report'!$E703=""),ErrorMsgs!$D703)</f>
        <v>0</v>
      </c>
      <c r="N703" s="712" t="b">
        <f ca="1">IF(LEN($E703)&gt;4000,ErrorMsgs!$E703)</f>
        <v>0</v>
      </c>
      <c r="O703" s="712"/>
      <c r="P703" s="712"/>
      <c r="Q703" s="712"/>
      <c r="R703" s="712"/>
      <c r="S703" s="712"/>
      <c r="T703" s="712"/>
      <c r="U703" s="526" t="str">
        <f t="shared" ca="1" si="91"/>
        <v/>
      </c>
      <c r="V703" s="93" t="str" cm="1">
        <f t="array" aca="1" ref="V703" ca="1">CELL("format",INDIRECT(I703))</f>
        <v>G</v>
      </c>
      <c r="W703" s="93" t="b">
        <f t="shared" ca="1" si="92"/>
        <v>0</v>
      </c>
      <c r="X703" s="715" t="str">
        <f t="shared" ca="1" si="90"/>
        <v/>
      </c>
      <c r="Y703" t="b">
        <f t="shared" ca="1" si="93"/>
        <v>1</v>
      </c>
    </row>
    <row r="704" spans="1:25" ht="77.5">
      <c r="A704" s="705" t="s">
        <v>1046</v>
      </c>
      <c r="B704" s="716" t="str">
        <f t="shared" ca="1" si="96"/>
        <v>Securities - C9</v>
      </c>
      <c r="C704" s="707" t="str" cm="1">
        <f t="array" aca="1" ref="C704" ca="1">INDIRECT(LEFT(I704, FIND("!", I704)) &amp; RefData!$C$426 &amp; RIGHT(I704, LEN(I704) - FIND("!", I704) - 1))</f>
        <v xml:space="preserve">
No answer required
Type of maturity
</v>
      </c>
      <c r="D704" s="92" t="str">
        <f t="shared" ca="1" si="77"/>
        <v/>
      </c>
      <c r="E704" s="708" t="str" cm="1">
        <f t="array" aca="1" ref="E704" ca="1">IF(INDIRECT($I704)= "", "", INDIRECT($I704))</f>
        <v/>
      </c>
      <c r="F704" s="709" t="str" cm="1">
        <f t="array" aca="1" ref="F704" ca="1">INDIRECT(LEFT(I704, FIND("!", I704)) &amp; RefData!$C$427 &amp; RIGHT(I704, LEN(I704) - FIND("!", I704) - 1))</f>
        <v>SEC 3.0/1</v>
      </c>
      <c r="G704" s="710" t="b">
        <f ca="1">IF(ISNUMBER(SEARCH(RefData!$B$2, $C704)), FALSE, TRUE)</f>
        <v>0</v>
      </c>
      <c r="H704" s="344">
        <f>Securities!C9</f>
        <v>0</v>
      </c>
      <c r="I704" s="712" t="str">
        <f t="shared" ca="1" si="97"/>
        <v>Securities!C9</v>
      </c>
      <c r="J704" s="713" t="b" cm="1">
        <f t="array" aca="1" ref="J704" ca="1">IF(
    ISNUMBER(SEARCH(RefData!$B$2, $C$475)),
    IF(
        $E704 &lt;&gt; "",
        $J$475,
        IF(
            $E704 = "",
            FALSE
        )
    ),
    IF(
        COUNTIF($K704:$T704, "&lt;&gt;FALSE") - COUNTBLANK($K704:$T704) &gt; 0,
        INDEX($K704:$T704, MATCH(TRUE, $K704:$T704 &lt;&gt; FALSE, 0))
    )
)</f>
        <v>0</v>
      </c>
      <c r="K704" s="712" t="b">
        <f ca="1">IF(AND('Start here'!$C$26=RefData!$B$9,'Reconciliation report'!E704&lt;&gt;""),ErrorMsgs!$B704)</f>
        <v>0</v>
      </c>
      <c r="L704" s="712" t="b">
        <f ca="1">IF(AND('Start here'!$C$26=RefData!$B$10,'Covenant summary information'!$C$84=0,'Reconciliation report'!$E704&lt;&gt;""),ErrorMsgs!$C704)</f>
        <v>0</v>
      </c>
      <c r="M704" s="712" t="b">
        <f ca="1">IF(AND('Start here'!$C$26=RefData!$B$10,'Covenant summary information'!$C$84&lt;1,'Reconciliation report'!$E704&lt;&gt;""),ErrorMsgs!$D704)</f>
        <v>0</v>
      </c>
      <c r="N704" s="712" t="b">
        <f ca="1">IF(AND('Start here'!$C$26=RefData!$B$10,'Covenant summary information'!$C$84&gt;=1,'Reconciliation report'!$E704=""),ErrorMsgs!$E704)</f>
        <v>0</v>
      </c>
      <c r="O704" s="712" t="b">
        <f ca="1">IF(E704="",FALSE,IF(ISNA(MATCH($E704,RefData!$B$149:$B$151,0)),ErrorMsgs!$F704))</f>
        <v>0</v>
      </c>
      <c r="P704" s="712"/>
      <c r="Q704" s="712"/>
      <c r="R704" s="712"/>
      <c r="S704" s="712"/>
      <c r="T704" s="712"/>
      <c r="U704" s="526" t="str">
        <f t="shared" ca="1" si="91"/>
        <v/>
      </c>
      <c r="V704" s="93" t="str" cm="1">
        <f t="array" aca="1" ref="V704" ca="1">CELL("format",INDIRECT(I704))</f>
        <v>G</v>
      </c>
      <c r="W704" s="93" t="b">
        <f t="shared" ca="1" si="92"/>
        <v>0</v>
      </c>
      <c r="X704" s="715" t="str">
        <f t="shared" ca="1" si="90"/>
        <v/>
      </c>
      <c r="Y704" t="b">
        <f t="shared" ca="1" si="93"/>
        <v>1</v>
      </c>
    </row>
    <row r="705" spans="1:25" ht="77.5">
      <c r="A705" s="705" t="s">
        <v>1048</v>
      </c>
      <c r="B705" s="716" t="str">
        <f t="shared" ca="1" si="96"/>
        <v>Securities - C10</v>
      </c>
      <c r="C705" s="707" t="str" cm="1">
        <f t="array" aca="1" ref="C705" ca="1">INDIRECT(LEFT(I705, FIND("!", I705)) &amp; RefData!$C$426 &amp; RIGHT(I705, LEN(I705) - FIND("!", I705) - 1))</f>
        <v xml:space="preserve">
No answer required
Date of maturity
</v>
      </c>
      <c r="D705" s="92" t="str">
        <f t="shared" ca="1" si="77"/>
        <v/>
      </c>
      <c r="E705" s="708" t="str" cm="1">
        <f t="array" aca="1" ref="E705" ca="1">IF(INDIRECT($I705)= "", "", INDIRECT($I705))</f>
        <v/>
      </c>
      <c r="F705" s="709" t="str" cm="1">
        <f t="array" aca="1" ref="F705" ca="1">INDIRECT(LEFT(I705, FIND("!", I705)) &amp; RefData!$C$427 &amp; RIGHT(I705, LEN(I705) - FIND("!", I705) - 1))</f>
        <v>SEC 4.0/1</v>
      </c>
      <c r="G705" s="710" t="b">
        <f ca="1">IF(ISNUMBER(SEARCH(RefData!$B$2, $C705)), FALSE, TRUE)</f>
        <v>0</v>
      </c>
      <c r="H705" s="391">
        <f>Securities!C10</f>
        <v>0</v>
      </c>
      <c r="I705" s="712" t="str">
        <f t="shared" ca="1" si="97"/>
        <v>Securities!C10</v>
      </c>
      <c r="J705" s="713" t="b" cm="1">
        <f t="array" aca="1" ref="J705" ca="1">IF(
    ISNUMBER(SEARCH(RefData!$B$2, $C$475)),
    IF(
        $E705 &lt;&gt; "",
        $J$475,
        IF(
            $E705 = "",
            FALSE
        )
    ),
    IF(
        COUNTIF($K705:$T705, "&lt;&gt;FALSE") - COUNTBLANK($K705:$T705) &gt; 0,
        INDEX($K705:$T705, MATCH(TRUE, $K705:$T705 &lt;&gt; FALSE, 0))
    )
)</f>
        <v>0</v>
      </c>
      <c r="K705" s="712" t="b">
        <f ca="1">IF(AND('Start here'!$C$26=RefData!$B$9,'Reconciliation report'!$E705&lt;&gt;""),ErrorMsgs!$B705)</f>
        <v>0</v>
      </c>
      <c r="L705" s="712" t="b">
        <f ca="1">IF(AND('Start here'!$C$26=RefData!$B$10,'Covenant summary information'!$C$84=0,'Reconciliation report'!$E705&lt;&gt;""),ErrorMsgs!$C705)</f>
        <v>0</v>
      </c>
      <c r="M705" s="712" t="b">
        <f ca="1">IF(AND('Start here'!$C$26=RefData!$B$10,'Covenant summary information'!$C$84&lt;1,'Reconciliation report'!$E705&lt;&gt;""),ErrorMsgs!$D705)</f>
        <v>0</v>
      </c>
      <c r="N705" s="712" t="b">
        <f ca="1">IF(AND('Start here'!$C$26=RefData!$B$10,'Covenant summary information'!$C$84&gt;=1,NOT(ISNA(MATCH($E$704,RefData!$B$148:$B$149,0))),'Reconciliation report'!$E705&lt;&gt;""),ErrorMsgs!$E705)</f>
        <v>0</v>
      </c>
      <c r="O705" s="712" t="b">
        <f ca="1">IF(AND('Start here'!$C$26=RefData!$B$10,'Covenant summary information'!$C$84&gt;=1,$E$704=RefData!$B$150,'Reconciliation report'!$E705=""),ErrorMsgs!$F705)</f>
        <v>0</v>
      </c>
      <c r="P705" s="712" t="b">
        <f ca="1">IF($E705="",FALSE,IF(NOT(ISNUMBER(VALUE($E705))),ErrorMsgs!$G705))</f>
        <v>0</v>
      </c>
      <c r="Q705" s="712" t="b">
        <f ca="1">IF($E705&lt;'Start here'!$C$21,ErrorMsgs!$H705)</f>
        <v>0</v>
      </c>
      <c r="R705" s="712"/>
      <c r="S705" s="712"/>
      <c r="T705" s="712"/>
      <c r="U705" s="526" t="str">
        <f t="shared" ca="1" si="91"/>
        <v/>
      </c>
      <c r="V705" s="93" t="str" cm="1">
        <f t="array" aca="1" ref="V705" ca="1">CELL("format",INDIRECT(I705))</f>
        <v>D1</v>
      </c>
      <c r="W705" s="93" t="b">
        <f t="shared" ca="1" si="92"/>
        <v>0</v>
      </c>
      <c r="X705" s="715" t="str">
        <f t="shared" ca="1" si="90"/>
        <v/>
      </c>
      <c r="Y705" t="b">
        <f t="shared" ca="1" si="93"/>
        <v>1</v>
      </c>
    </row>
    <row r="706" spans="1:25" ht="77.5">
      <c r="A706" s="705" t="s">
        <v>1050</v>
      </c>
      <c r="B706" s="716" t="str">
        <f t="shared" ca="1" si="96"/>
        <v>Securities - C11</v>
      </c>
      <c r="C706" s="707" t="str" cm="1">
        <f t="array" aca="1" ref="C706" ca="1">INDIRECT(LEFT(I706, FIND("!", I706)) &amp; RefData!$C$426 &amp; RIGHT(I706, LEN(I706) - FIND("!", I706) - 1))</f>
        <v xml:space="preserve">
No answer required
Maturity date narrative
</v>
      </c>
      <c r="D706" s="92" t="str">
        <f t="shared" ca="1" si="77"/>
        <v/>
      </c>
      <c r="E706" s="708" t="str" cm="1">
        <f t="array" aca="1" ref="E706" ca="1">IF(INDIRECT($I706)= "", "", INDIRECT($I706))</f>
        <v/>
      </c>
      <c r="F706" s="709" t="str" cm="1">
        <f t="array" aca="1" ref="F706" ca="1">INDIRECT(LEFT(I706, FIND("!", I706)) &amp; RefData!$C$427 &amp; RIGHT(I706, LEN(I706) - FIND("!", I706) - 1))</f>
        <v>SEC 5.0/1</v>
      </c>
      <c r="G706" s="710" t="b">
        <f ca="1">IF(ISNUMBER(SEARCH(RefData!$B$2, $C706)), FALSE, TRUE)</f>
        <v>0</v>
      </c>
      <c r="H706" s="344">
        <f>Securities!C11</f>
        <v>0</v>
      </c>
      <c r="I706" s="712" t="str">
        <f t="shared" ca="1" si="97"/>
        <v>Securities!C11</v>
      </c>
      <c r="J706" s="713" t="b" cm="1">
        <f t="array" aca="1" ref="J706" ca="1">IF(
    ISNUMBER(SEARCH(RefData!$B$2, $C$475)),
    IF(
        $E706 &lt;&gt; "",
        $J$475,
        IF(
            $E706 = "",
            FALSE
        )
    ),
    IF(
        COUNTIF($K706:$T706, "&lt;&gt;FALSE") - COUNTBLANK($K706:$T706) &gt; 0,
        INDEX($K706:$T706, MATCH(TRUE, $K706:$T706 &lt;&gt; FALSE, 0))
    )
)</f>
        <v>0</v>
      </c>
      <c r="K706" s="712" t="b">
        <f ca="1">IF(AND('Start here'!$C$26=RefData!$B$9,'Reconciliation report'!$E706&lt;&gt;""),ErrorMsgs!$B706)</f>
        <v>0</v>
      </c>
      <c r="L706" s="712" t="b">
        <f ca="1">IF(AND('Start here'!$C$26=RefData!$B$10,'Covenant summary information'!$C$84=0,'Reconciliation report'!$E706&lt;&gt;""),ErrorMsgs!$C706)</f>
        <v>0</v>
      </c>
      <c r="M706" s="712" t="b">
        <f ca="1">IF(AND('Start here'!$C$26=RefData!$B$10,'Covenant summary information'!$C$84&lt;1,'Reconciliation report'!$E706&lt;&gt;""),ErrorMsgs!$D706)</f>
        <v>0</v>
      </c>
      <c r="N706" s="712" t="b">
        <f ca="1">IF(AND('Start here'!$C$26=RefData!$B$10,'Covenant summary information'!$C$84&gt;=1,NOT(ISNA(MATCH($E$704,RefData!$B$149:$B$150,0))),'Reconciliation report'!$E706&lt;&gt;""),ErrorMsgs!$E706)</f>
        <v>0</v>
      </c>
      <c r="O706" s="712" t="b">
        <f ca="1">IF(AND('Start here'!$C$26=RefData!$B$10,'Covenant summary information'!$C$84&gt;=1,$E$704=RefData!$B$151,'Reconciliation report'!$E706=""),ErrorMsgs!$F706)</f>
        <v>0</v>
      </c>
      <c r="P706" s="726" t="b">
        <f ca="1">IF(LEN($E706)&gt;4000,ErrorMsgs!$G706)</f>
        <v>0</v>
      </c>
      <c r="Q706" s="712"/>
      <c r="R706" s="712"/>
      <c r="S706" s="712"/>
      <c r="T706" s="712"/>
      <c r="U706" s="526" t="str">
        <f t="shared" ca="1" si="91"/>
        <v/>
      </c>
      <c r="V706" s="93" t="str" cm="1">
        <f t="array" aca="1" ref="V706" ca="1">CELL("format",INDIRECT(I706))</f>
        <v>G</v>
      </c>
      <c r="W706" s="93" t="b">
        <f t="shared" ca="1" si="92"/>
        <v>0</v>
      </c>
      <c r="X706" s="715" t="str">
        <f t="shared" ref="X706:X769" ca="1" si="98">IF(W706, "0." &amp; IF(V706="P2",REPT("0", MIN(4, LEN(E706) - FIND(".", E706))),REPT("0", MIN(6, LEN(E706) - FIND(".", E706)))), "")</f>
        <v/>
      </c>
      <c r="Y706" t="b">
        <f t="shared" ca="1" si="93"/>
        <v>1</v>
      </c>
    </row>
    <row r="707" spans="1:25" ht="77.5">
      <c r="A707" s="705" t="s">
        <v>1052</v>
      </c>
      <c r="B707" s="716" t="str">
        <f t="shared" ca="1" si="96"/>
        <v>Securities - C12</v>
      </c>
      <c r="C707" s="707" t="str" cm="1">
        <f t="array" aca="1" ref="C707" ca="1">INDIRECT(LEFT(I707, FIND("!", I707)) &amp; RefData!$C$426 &amp; RIGHT(I707, LEN(I707) - FIND("!", I707) - 1))</f>
        <v xml:space="preserve">
No answer required
Value ascribed (£)
</v>
      </c>
      <c r="D707" s="92" t="str">
        <f t="shared" ca="1" si="77"/>
        <v/>
      </c>
      <c r="E707" s="708" t="str" cm="1">
        <f t="array" aca="1" ref="E707" ca="1">IF(INDIRECT($I707)= "", "", INDIRECT($I707))</f>
        <v/>
      </c>
      <c r="F707" s="709" t="str" cm="1">
        <f t="array" aca="1" ref="F707" ca="1">INDIRECT(LEFT(I707, FIND("!", I707)) &amp; RefData!$C$427 &amp; RIGHT(I707, LEN(I707) - FIND("!", I707) - 1))</f>
        <v>SEC 6.0/1</v>
      </c>
      <c r="G707" s="710" t="b">
        <f ca="1">IF(ISNUMBER(SEARCH(RefData!$B$2, $C707)), FALSE, TRUE)</f>
        <v>0</v>
      </c>
      <c r="H707" s="344">
        <f>Securities!C12</f>
        <v>0</v>
      </c>
      <c r="I707" s="712" t="str">
        <f t="shared" ca="1" si="97"/>
        <v>Securities!C12</v>
      </c>
      <c r="J707" s="713" t="b" cm="1">
        <f t="array" aca="1" ref="J707" ca="1">IF(
    ISNUMBER(SEARCH(RefData!$B$2, $C$475)),
    IF(
        $E707 &lt;&gt; "",
        $J$475,
        IF(
            $E707 = "",
            FALSE
        )
    ),
    IF(
        COUNTIF($K707:$T707, "&lt;&gt;FALSE") - COUNTBLANK($K707:$T707) &gt; 0,
        INDEX($K707:$T707, MATCH(TRUE, $K707:$T707 &lt;&gt; FALSE, 0))
    )
)</f>
        <v>0</v>
      </c>
      <c r="K707" s="712" t="b">
        <f ca="1">IF(AND('Covenant summary information'!$C$84=0,'Reconciliation report'!$E707&lt;&gt;""),ErrorMsgs!$B707)</f>
        <v>0</v>
      </c>
      <c r="L707" s="712" t="b">
        <f ca="1">IF(AND('Covenant summary information'!$C$84&lt;1,'Reconciliation report'!$E707&lt;&gt;""),ErrorMsgs!$C707)</f>
        <v>0</v>
      </c>
      <c r="M707" s="712" t="b">
        <f ca="1">IF(AND('Covenant summary information'!$C$84&gt;=1,'Reconciliation report'!$E707=""),ErrorMsgs!$D707)</f>
        <v>0</v>
      </c>
      <c r="N707" s="712" t="b">
        <f ca="1">IF($E707="",FALSE,IF(ISERROR(VALUE($E707)),ErrorMsgs!$D$707,IF(OR(VALUE($E$707)-ROUND(VALUE($E$707),2)&lt;&gt;0,OR(VALUE($E$707)&lt;0,VALUE($E$707)&gt;=1000000000000)),ErrorMsgs!$E707)))</f>
        <v>0</v>
      </c>
      <c r="O707" s="712"/>
      <c r="P707" s="712"/>
      <c r="Q707" s="712"/>
      <c r="R707" s="712"/>
      <c r="S707" s="712"/>
      <c r="T707" s="712"/>
      <c r="U707" s="526" t="str">
        <f t="shared" ref="U707:U770" ca="1" si="99">IF(AND($W707=TRUE,$Y707=FALSE),TEXT($E707,$X707),$E707)</f>
        <v/>
      </c>
      <c r="V707" s="93" t="str" cm="1">
        <f t="array" aca="1" ref="V707" ca="1">CELL("format",INDIRECT(I707))</f>
        <v>C2</v>
      </c>
      <c r="W707" s="93" t="b">
        <f t="shared" ref="W707:W770" ca="1" si="100">IF(ISNUMBER(E707), IF(INT(E707)&lt;&gt;E707,TRUE,FALSE),FALSE)</f>
        <v>0</v>
      </c>
      <c r="X707" s="715" t="str">
        <f t="shared" ca="1" si="98"/>
        <v/>
      </c>
      <c r="Y707" t="b">
        <f t="shared" ref="Y707:Y770" ca="1" si="101">ISTEXT(E707)</f>
        <v>1</v>
      </c>
    </row>
    <row r="708" spans="1:25" ht="77.5">
      <c r="A708" s="705" t="s">
        <v>1054</v>
      </c>
      <c r="B708" s="716" t="str">
        <f t="shared" ca="1" si="96"/>
        <v>Securities - C13</v>
      </c>
      <c r="C708" s="707" t="str" cm="1">
        <f t="array" aca="1" ref="C708" ca="1">INDIRECT(LEFT(I708, FIND("!", I708)) &amp; RefData!$C$426 &amp; RIGHT(I708, LEN(I708) - FIND("!", I708) - 1))</f>
        <v xml:space="preserve">
No answer required
Date of valuation
</v>
      </c>
      <c r="D708" s="92" t="str">
        <f t="shared" ca="1" si="77"/>
        <v/>
      </c>
      <c r="E708" s="708" t="str" cm="1">
        <f t="array" aca="1" ref="E708" ca="1">IF(INDIRECT($I708)= "", "", INDIRECT($I708))</f>
        <v/>
      </c>
      <c r="F708" s="709" t="str" cm="1">
        <f t="array" aca="1" ref="F708" ca="1">INDIRECT(LEFT(I708, FIND("!", I708)) &amp; RefData!$C$427 &amp; RIGHT(I708, LEN(I708) - FIND("!", I708) - 1))</f>
        <v>SEC 7.0/1</v>
      </c>
      <c r="G708" s="710" t="b">
        <f ca="1">IF(ISNUMBER(SEARCH(RefData!$B$2, $C708)), FALSE, TRUE)</f>
        <v>0</v>
      </c>
      <c r="H708" s="391">
        <f>Securities!C13</f>
        <v>0</v>
      </c>
      <c r="I708" s="712" t="str">
        <f t="shared" ca="1" si="97"/>
        <v>Securities!C13</v>
      </c>
      <c r="J708" s="713" t="b" cm="1">
        <f t="array" aca="1" ref="J708" ca="1">IF(
    ISNUMBER(SEARCH(RefData!$B$2, $C$475)),
    IF(
        $E708 &lt;&gt; "",
        $J$475,
        IF(
            $E708 = "",
            FALSE
        )
    ),
    IF(
        COUNTIF($K708:$T708, "&lt;&gt;FALSE") - COUNTBLANK($K708:$T708) &gt; 0,
        INDEX($K708:$T708, MATCH(TRUE, $K708:$T708 &lt;&gt; FALSE, 0))
    )
)</f>
        <v>0</v>
      </c>
      <c r="K708" s="712" t="b">
        <f ca="1">IF(AND('Covenant summary information'!$C$84=0,'Reconciliation report'!$E708&lt;&gt;""),ErrorMsgs!$B708)</f>
        <v>0</v>
      </c>
      <c r="L708" s="712" t="b">
        <f ca="1">IF(AND('Covenant summary information'!$C$84&lt;1,'Reconciliation report'!$E708&lt;&gt;""),ErrorMsgs!$C708)</f>
        <v>0</v>
      </c>
      <c r="M708" s="712" t="b">
        <f ca="1">IF(AND('Covenant summary information'!$C$84&gt;=1,'Reconciliation report'!$E708=""),ErrorMsgs!$D708)</f>
        <v>0</v>
      </c>
      <c r="N708" s="712" t="b">
        <f ca="1">IF($E708="",FALSE,IF(OR(NOT(ISNUMBER(VALUE($E708))), $E708&lt;&gt;INT($E708)),ErrorMsgs!$E708))</f>
        <v>0</v>
      </c>
      <c r="O708" s="712" t="b">
        <f ca="1">IF($E708="",FALSE,IF(ISERROR(VALUE($E708)),ErrorMsgs!$F708,IF(VALUE($E708)&gt;TODAY(),ErrorMsgs!$F708)))</f>
        <v>0</v>
      </c>
      <c r="P708" s="712"/>
      <c r="Q708" s="712"/>
      <c r="R708" s="712"/>
      <c r="S708" s="712"/>
      <c r="T708" s="712"/>
      <c r="U708" s="526" t="str">
        <f t="shared" ca="1" si="99"/>
        <v/>
      </c>
      <c r="V708" s="93" t="str" cm="1">
        <f t="array" aca="1" ref="V708" ca="1">CELL("format",INDIRECT(I708))</f>
        <v>D1</v>
      </c>
      <c r="W708" s="93" t="b">
        <f t="shared" ca="1" si="100"/>
        <v>0</v>
      </c>
      <c r="X708" s="715" t="str">
        <f t="shared" ca="1" si="98"/>
        <v/>
      </c>
      <c r="Y708" t="b">
        <f t="shared" ca="1" si="101"/>
        <v>1</v>
      </c>
    </row>
    <row r="709" spans="1:25" ht="77.5">
      <c r="A709" s="705" t="s">
        <v>1056</v>
      </c>
      <c r="B709" s="716" t="str">
        <f t="shared" ca="1" si="96"/>
        <v>Securities - C14</v>
      </c>
      <c r="C709" s="707" t="str" cm="1">
        <f t="array" aca="1" ref="C709" ca="1">INDIRECT(LEFT(I709, FIND("!", I709)) &amp; RefData!$C$426 &amp; RIGHT(I709, LEN(I709) - FIND("!", I709) - 1))</f>
        <v xml:space="preserve">
No answer required
Value cap
</v>
      </c>
      <c r="D709" s="92" t="str">
        <f t="shared" ca="1" si="77"/>
        <v/>
      </c>
      <c r="E709" s="708" t="str" cm="1">
        <f t="array" aca="1" ref="E709" ca="1">IF(INDIRECT($I709)= "", "", INDIRECT($I709))</f>
        <v/>
      </c>
      <c r="F709" s="709" t="str" cm="1">
        <f t="array" aca="1" ref="F709" ca="1">INDIRECT(LEFT(I709, FIND("!", I709)) &amp; RefData!$C$427 &amp; RIGHT(I709, LEN(I709) - FIND("!", I709) - 1))</f>
        <v>SEC 8.0/1</v>
      </c>
      <c r="G709" s="710" t="b">
        <f ca="1">IF(ISNUMBER(SEARCH(RefData!$B$2, $C709)), FALSE, TRUE)</f>
        <v>0</v>
      </c>
      <c r="H709" s="344">
        <f>Securities!C14</f>
        <v>0</v>
      </c>
      <c r="I709" s="712" t="str">
        <f t="shared" ca="1" si="97"/>
        <v>Securities!C14</v>
      </c>
      <c r="J709" s="713" t="b" cm="1">
        <f t="array" aca="1" ref="J709" ca="1">IF(
    ISNUMBER(SEARCH(RefData!$B$2, $C$475)),
    IF(
        $E709 &lt;&gt; "",
        $J$475,
        IF(
            $E709 = "",
            FALSE
        )
    ),
    IF(
        COUNTIF($K709:$T709, "&lt;&gt;FALSE") - COUNTBLANK($K709:$T709) &gt; 0,
        INDEX($K709:$T709, MATCH(TRUE, $K709:$T709 &lt;&gt; FALSE, 0))
    )
)</f>
        <v>0</v>
      </c>
      <c r="K709" s="712" t="b">
        <f ca="1">IF(AND('Start here'!$C$26=RefData!$B$9,'Reconciliation report'!$E709&lt;&gt;""),ErrorMsgs!$B709)</f>
        <v>0</v>
      </c>
      <c r="L709" s="712" t="b">
        <f ca="1">IF(AND('Start here'!$C$26=RefData!$B$10,'Covenant summary information'!$C$84=0,'Reconciliation report'!$E709&lt;&gt;""),ErrorMsgs!$C709)</f>
        <v>0</v>
      </c>
      <c r="M709" s="712" t="b">
        <f ca="1">IF(AND('Start here'!$C$26=RefData!$B$10,'Covenant summary information'!$C$84&lt;1,'Reconciliation report'!$E709&lt;&gt;""),ErrorMsgs!$D709)</f>
        <v>0</v>
      </c>
      <c r="N709" s="712" t="b">
        <f ca="1">IF(AND('Start here'!$C$26=RefData!$B$10,'Covenant summary information'!$C$84&gt;=1,'Reconciliation report'!$E709=""),ErrorMsgs!$E709)</f>
        <v>0</v>
      </c>
      <c r="O709" s="712" t="b">
        <f ca="1">IF(E709="",FALSE,IF(ISNA(MATCH($E$709,RefData!$B$152:$B$158,0)),ErrorMsgs!$F709))</f>
        <v>0</v>
      </c>
      <c r="P709" s="712"/>
      <c r="Q709" s="712"/>
      <c r="R709" s="712"/>
      <c r="S709" s="712"/>
      <c r="T709" s="712"/>
      <c r="U709" s="526" t="str">
        <f t="shared" ca="1" si="99"/>
        <v/>
      </c>
      <c r="V709" s="93" t="str" cm="1">
        <f t="array" aca="1" ref="V709" ca="1">CELL("format",INDIRECT(I709))</f>
        <v>G</v>
      </c>
      <c r="W709" s="93" t="b">
        <f t="shared" ca="1" si="100"/>
        <v>0</v>
      </c>
      <c r="X709" s="715" t="str">
        <f t="shared" ca="1" si="98"/>
        <v/>
      </c>
      <c r="Y709" t="b">
        <f t="shared" ca="1" si="101"/>
        <v>1</v>
      </c>
    </row>
    <row r="710" spans="1:25" ht="77.5">
      <c r="A710" s="705" t="s">
        <v>1058</v>
      </c>
      <c r="B710" s="716" t="str">
        <f t="shared" ca="1" si="96"/>
        <v>Securities - C15</v>
      </c>
      <c r="C710" s="707" t="str" cm="1">
        <f t="array" aca="1" ref="C710" ca="1">INDIRECT(LEFT(I710, FIND("!", I710)) &amp; RefData!$C$426 &amp; RIGHT(I710, LEN(I710) - FIND("!", I710) - 1))</f>
        <v xml:space="preserve">
No answer required
Narrative regarding value cap
</v>
      </c>
      <c r="D710" s="92" t="str">
        <f t="shared" ca="1" si="77"/>
        <v/>
      </c>
      <c r="E710" s="708" t="str" cm="1">
        <f t="array" aca="1" ref="E710" ca="1">IF(INDIRECT($I710)= "", "", INDIRECT($I710))</f>
        <v/>
      </c>
      <c r="F710" s="709" t="str" cm="1">
        <f t="array" aca="1" ref="F710" ca="1">INDIRECT(LEFT(I710, FIND("!", I710)) &amp; RefData!$C$427 &amp; RIGHT(I710, LEN(I710) - FIND("!", I710) - 1))</f>
        <v>SEC 9.0/1</v>
      </c>
      <c r="G710" s="710" t="b">
        <f ca="1">IF(ISNUMBER(SEARCH(RefData!$B$2, $C710)), FALSE, TRUE)</f>
        <v>0</v>
      </c>
      <c r="H710" s="344">
        <f>Securities!C15</f>
        <v>0</v>
      </c>
      <c r="I710" s="712" t="str">
        <f t="shared" ca="1" si="97"/>
        <v>Securities!C15</v>
      </c>
      <c r="J710" s="713" t="b" cm="1">
        <f t="array" aca="1" ref="J710" ca="1">IF(
    ISNUMBER(SEARCH(RefData!$B$2, $C$475)),
    IF(
        $E710 &lt;&gt; "",
        $J$475,
        IF(
            $E710 = "",
            FALSE
        )
    ),
    IF(
        COUNTIF($K710:$T710, "&lt;&gt;FALSE") - COUNTBLANK($K710:$T710) &gt; 0,
        INDEX($K710:$T710, MATCH(TRUE, $K710:$T710 &lt;&gt; FALSE, 0))
    )
)</f>
        <v>0</v>
      </c>
      <c r="K710" s="712" t="b">
        <f ca="1">IF(AND('Start here'!$C$26=RefData!$B$9,'Reconciliation report'!$E710&lt;&gt;""),ErrorMsgs!$B710)</f>
        <v>0</v>
      </c>
      <c r="L710" s="712" t="b">
        <f ca="1">IF(AND('Start here'!$C$26=RefData!$B$10,'Covenant summary information'!$C$84=0,'Reconciliation report'!$E710&lt;&gt;""),ErrorMsgs!$C710)</f>
        <v>0</v>
      </c>
      <c r="M710" s="714" t="b">
        <f ca="1">IF(AND('Start here'!$C$26=RefData!$B$10,'Covenant summary information'!$C$84&lt;1,'Reconciliation report'!$E710&lt;&gt;""),ErrorMsgs!$D710)</f>
        <v>0</v>
      </c>
      <c r="N710" s="714" t="b">
        <f ca="1">IF(AND('Start here'!$C$26=RefData!$B$10,'Covenant summary information'!$C$84&gt;=1,NOT(Securities!$C$14=RefData!$B$158),'Reconciliation report'!$E710&lt;&gt;""),ErrorMsgs!$E710)</f>
        <v>0</v>
      </c>
      <c r="O710" s="712" t="b">
        <f ca="1">IF(AND('Start here'!$C$26=RefData!$B$10,'Covenant summary information'!$C$84&gt;=1,Securities!$C$14=RefData!$B$158,'Reconciliation report'!$E710=""),ErrorMsgs!$F710)</f>
        <v>0</v>
      </c>
      <c r="P710" s="712" t="b">
        <f ca="1">IF(LEN($E710)&gt;4000,ErrorMsgs!$G710)</f>
        <v>0</v>
      </c>
      <c r="Q710" s="712"/>
      <c r="R710" s="712"/>
      <c r="S710" s="712"/>
      <c r="T710" s="712"/>
      <c r="U710" s="526" t="str">
        <f t="shared" ca="1" si="99"/>
        <v/>
      </c>
      <c r="V710" s="93" t="str" cm="1">
        <f t="array" aca="1" ref="V710" ca="1">CELL("format",INDIRECT(I710))</f>
        <v>G</v>
      </c>
      <c r="W710" s="93" t="b">
        <f t="shared" ca="1" si="100"/>
        <v>0</v>
      </c>
      <c r="X710" s="715" t="str">
        <f t="shared" ca="1" si="98"/>
        <v/>
      </c>
      <c r="Y710" t="b">
        <f t="shared" ca="1" si="101"/>
        <v>1</v>
      </c>
    </row>
    <row r="711" spans="1:25" ht="77.5">
      <c r="A711" s="705" t="s">
        <v>1060</v>
      </c>
      <c r="B711" s="716" t="str">
        <f t="shared" ca="1" si="96"/>
        <v>Securities - C16</v>
      </c>
      <c r="C711" s="707" t="str" cm="1">
        <f t="array" aca="1" ref="C711" ca="1">INDIRECT(LEFT(I711, FIND("!", I711)) &amp; RefData!$C$426 &amp; RIGHT(I711, LEN(I711) - FIND("!", I711) - 1))</f>
        <v xml:space="preserve">
No answer required
Fixed cap amount (£)
</v>
      </c>
      <c r="D711" s="92" t="str">
        <f t="shared" ref="D711" ca="1" si="102">""&amp;IF(J711=FALSE, "", J711)
&amp;""</f>
        <v/>
      </c>
      <c r="E711" s="708" t="str" cm="1">
        <f t="array" aca="1" ref="E711" ca="1">IF(INDIRECT($I711)= "", "", INDIRECT($I711))</f>
        <v/>
      </c>
      <c r="F711" s="709" t="str" cm="1">
        <f t="array" aca="1" ref="F711" ca="1">INDIRECT(LEFT(I711, FIND("!", I711)) &amp; RefData!$C$427 &amp; RIGHT(I711, LEN(I711) - FIND("!", I711) - 1))</f>
        <v>SEC 10.0/1</v>
      </c>
      <c r="G711" s="710" t="b">
        <f ca="1">IF(ISNUMBER(SEARCH(RefData!$B$2, $C711)), FALSE, TRUE)</f>
        <v>0</v>
      </c>
      <c r="H711" s="344">
        <f>Securities!C16</f>
        <v>0</v>
      </c>
      <c r="I711" s="712" t="str">
        <f t="shared" ca="1" si="97"/>
        <v>Securities!C16</v>
      </c>
      <c r="J711" s="713" t="b" cm="1">
        <f t="array" aca="1" ref="J711" ca="1">IF(
    ISNUMBER(SEARCH(RefData!$B$2, $C$475)),
    IF(
        $E711 &lt;&gt; "",
        $J$475,
        IF(
            $E711 = "",
            FALSE
        )
    ),
    IF(
        COUNTIF($K711:$T711, "&lt;&gt;FALSE") - COUNTBLANK($K711:$T711) &gt; 0,
        INDEX($K711:$T711, MATCH(TRUE, $K711:$T711 &lt;&gt; FALSE, 0))
    )
)</f>
        <v>0</v>
      </c>
      <c r="K711" s="712" t="b">
        <f ca="1">IF(AND('Start here'!$C$26=RefData!$B$9,'Reconciliation report'!$E711&lt;&gt;""),ErrorMsgs!$B711)</f>
        <v>0</v>
      </c>
      <c r="L711" s="712" t="b">
        <f ca="1">IF(AND('Start here'!$C$26=RefData!$B$10,'Covenant summary information'!$C$84=0,'Reconciliation report'!$E711&lt;&gt;""),ErrorMsgs!$C711)</f>
        <v>0</v>
      </c>
      <c r="M711" s="712" t="b">
        <f ca="1">IF(AND('Start here'!$C$26=RefData!$B$10,'Covenant summary information'!$C$84&lt;1,'Reconciliation report'!$E711&lt;&gt;""),ErrorMsgs!$D711)</f>
        <v>0</v>
      </c>
      <c r="N711" s="712" t="b">
        <f ca="1">IF(AND('Start here'!$C$26=RefData!$B$10,'Covenant summary information'!$C$84&gt;=1,NOT(Securities!$C$14=RefData!$B$157),'Reconciliation report'!$E711&lt;&gt;""),ErrorMsgs!$E711)</f>
        <v>0</v>
      </c>
      <c r="O711" s="712" t="b">
        <f ca="1">IF(AND('Start here'!$C$26=RefData!$B$10,'Covenant summary information'!$C$84&gt;=1,Securities!$C$14=RefData!$B$157,'Reconciliation report'!$E711=""),ErrorMsgs!$F711)</f>
        <v>0</v>
      </c>
      <c r="P711" s="712" t="b">
        <f ca="1">IF($E711="",FALSE,IF(ISERROR(VALUE($E711)),ErrorMsgs!G711,IF(OR(VALUE($E711)&lt;0,VALUE($E711)&gt;=1000000000000,VALUE($E711)-ROUND(VALUE($E711),2)&lt;&gt;0),ErrorMsgs!G711)))</f>
        <v>0</v>
      </c>
      <c r="Q711" s="712"/>
      <c r="R711" s="712"/>
      <c r="S711" s="712"/>
      <c r="T711" s="712"/>
      <c r="U711" s="526" t="str">
        <f t="shared" ca="1" si="99"/>
        <v/>
      </c>
      <c r="V711" s="93" t="str" cm="1">
        <f t="array" aca="1" ref="V711" ca="1">CELL("format",INDIRECT(I711))</f>
        <v>C2</v>
      </c>
      <c r="W711" s="93" t="b">
        <f t="shared" ca="1" si="100"/>
        <v>0</v>
      </c>
      <c r="X711" s="715" t="str">
        <f t="shared" ca="1" si="98"/>
        <v/>
      </c>
      <c r="Y711" t="b">
        <f t="shared" ca="1" si="101"/>
        <v>1</v>
      </c>
    </row>
    <row r="712" spans="1:25" ht="77.5">
      <c r="A712" s="705" t="s">
        <v>1062</v>
      </c>
      <c r="B712" s="716" t="str">
        <f t="shared" ca="1" si="96"/>
        <v>Securities - C20</v>
      </c>
      <c r="C712" s="707" t="str" cm="1">
        <f t="array" aca="1" ref="C712" ca="1">INDIRECT(LEFT(I712, FIND("!", I712)) &amp; RefData!$C$426 &amp; RIGHT(I712, LEN(I712) - FIND("!", I712) - 1))</f>
        <v xml:space="preserve">
No answer required
Participating employer insolvency
</v>
      </c>
      <c r="D712" s="92" t="str">
        <f t="shared" ca="1" si="77"/>
        <v/>
      </c>
      <c r="E712" s="708" t="str" cm="1">
        <f t="array" aca="1" ref="E712" ca="1">IF(INDIRECT($I712)= "", "", INDIRECT($I712))</f>
        <v/>
      </c>
      <c r="F712" s="709" t="str" cm="1">
        <f t="array" aca="1" ref="F712" ca="1">INDIRECT(LEFT(I712, FIND("!", I712)) &amp; RefData!$C$427 &amp; RIGHT(I712, LEN(I712) - FIND("!", I712) - 1))</f>
        <v>SEC 11.0/1</v>
      </c>
      <c r="G712" s="710" t="b">
        <f ca="1">IF(ISNUMBER(SEARCH(RefData!$B$2, $C712)), FALSE, TRUE)</f>
        <v>0</v>
      </c>
      <c r="H712" s="344">
        <f>Securities!C20</f>
        <v>0</v>
      </c>
      <c r="I712" s="712" t="str">
        <f t="shared" ca="1" si="97"/>
        <v>Securities!C20</v>
      </c>
      <c r="J712" s="713" t="b" cm="1">
        <f t="array" aca="1" ref="J712" ca="1">IF(
    ISNUMBER(SEARCH(RefData!$B$2, $C$475)),
    IF(
        $E712 &lt;&gt; "",
        $J$475,
        IF(
            $E712 = "",
            FALSE
        )
    ),
    IF(
        COUNTIF($K712:$T712, "&lt;&gt;FALSE") - COUNTBLANK($K712:$T712) &gt; 0,
        INDEX($K712:$T712, MATCH(TRUE, $K712:$T712 &lt;&gt; FALSE, 0))
    )
)</f>
        <v>0</v>
      </c>
      <c r="K712" s="712" t="b">
        <f ca="1">IF(AND('Start here'!$C$26=RefData!$B$9,'Reconciliation report'!$E712&lt;&gt;""),ErrorMsgs!$B712)</f>
        <v>0</v>
      </c>
      <c r="L712" s="712" t="b">
        <f ca="1">IF(AND('Start here'!$C$26=RefData!$B$10,'Covenant summary information'!$C$84=0,'Reconciliation report'!$E712&lt;&gt;""),ErrorMsgs!$C712)</f>
        <v>0</v>
      </c>
      <c r="M712" s="712" t="b">
        <f ca="1">IF(AND('Start here'!$C$26=RefData!$B$10,'Covenant summary information'!$C$84&lt;1,'Reconciliation report'!$E712&lt;&gt;""),ErrorMsgs!$D712)</f>
        <v>0</v>
      </c>
      <c r="N712" s="712" t="b">
        <f ca="1">IF(AND('Start here'!$C$26=RefData!$B$10,'Covenant summary information'!$C$84&gt;=1,'Reconciliation report'!$E712=""),ErrorMsgs!$E712)</f>
        <v>0</v>
      </c>
      <c r="O712" s="712" t="b">
        <f ca="1">IF($E712="",FALSE,IF(ISNA(MATCH($E712,RefData!$B$159:$B$160,0)),ErrorMsgs!$F712))</f>
        <v>0</v>
      </c>
      <c r="P712" s="712"/>
      <c r="Q712" s="712"/>
      <c r="R712" s="712"/>
      <c r="S712" s="712"/>
      <c r="T712" s="712"/>
      <c r="U712" s="526" t="str">
        <f t="shared" ca="1" si="99"/>
        <v/>
      </c>
      <c r="V712" s="93" t="str" cm="1">
        <f t="array" aca="1" ref="V712" ca="1">CELL("format",INDIRECT(I712))</f>
        <v>G</v>
      </c>
      <c r="W712" s="93" t="b">
        <f t="shared" ca="1" si="100"/>
        <v>0</v>
      </c>
      <c r="X712" s="715" t="str">
        <f t="shared" ca="1" si="98"/>
        <v/>
      </c>
      <c r="Y712" t="b">
        <f t="shared" ca="1" si="101"/>
        <v>1</v>
      </c>
    </row>
    <row r="713" spans="1:25" ht="77.5">
      <c r="A713" s="705" t="s">
        <v>1064</v>
      </c>
      <c r="B713" s="716" t="str">
        <f t="shared" ca="1" si="96"/>
        <v>Securities - C21</v>
      </c>
      <c r="C713" s="707" t="str" cm="1">
        <f t="array" aca="1" ref="C713" ca="1">INDIRECT(LEFT(I713, FIND("!", I713)) &amp; RefData!$C$426 &amp; RIGHT(I713, LEN(I713) - FIND("!", I713) - 1))</f>
        <v xml:space="preserve">
No answer required
Insolvency of associated company
</v>
      </c>
      <c r="D713" s="92" t="str">
        <f t="shared" ca="1" si="77"/>
        <v/>
      </c>
      <c r="E713" s="708" t="str" cm="1">
        <f t="array" aca="1" ref="E713" ca="1">IF(INDIRECT($I713)= "", "", INDIRECT($I713))</f>
        <v/>
      </c>
      <c r="F713" s="709" t="str" cm="1">
        <f t="array" aca="1" ref="F713" ca="1">INDIRECT(LEFT(I713, FIND("!", I713)) &amp; RefData!$C$427 &amp; RIGHT(I713, LEN(I713) - FIND("!", I713) - 1))</f>
        <v>SEC 12.0/1</v>
      </c>
      <c r="G713" s="710" t="b">
        <f ca="1">IF(ISNUMBER(SEARCH(RefData!$B$2, $C713)), FALSE, TRUE)</f>
        <v>0</v>
      </c>
      <c r="H713" s="344">
        <f>Securities!C21</f>
        <v>0</v>
      </c>
      <c r="I713" s="712" t="str">
        <f t="shared" ca="1" si="97"/>
        <v>Securities!C21</v>
      </c>
      <c r="J713" s="713" t="b" cm="1">
        <f t="array" aca="1" ref="J713" ca="1">IF(
    ISNUMBER(SEARCH(RefData!$B$2, $C$475)),
    IF(
        $E713 &lt;&gt; "",
        $J$475,
        IF(
            $E713 = "",
            FALSE
        )
    ),
    IF(
        COUNTIF($K713:$T713, "&lt;&gt;FALSE") - COUNTBLANK($K713:$T713) &gt; 0,
        INDEX($K713:$T713, MATCH(TRUE, $K713:$T713 &lt;&gt; FALSE, 0))
    )
)</f>
        <v>0</v>
      </c>
      <c r="K713" s="712" t="b">
        <f ca="1">IF(AND('Start here'!$C$26=RefData!$B$9,'Reconciliation report'!$E713&lt;&gt;""),ErrorMsgs!$B713)</f>
        <v>0</v>
      </c>
      <c r="L713" s="712" t="b">
        <f ca="1">IF(AND('Start here'!$C$26=RefData!$B$10,'Covenant summary information'!$C$84=0,'Reconciliation report'!$E713&lt;&gt;""),ErrorMsgs!$C713)</f>
        <v>0</v>
      </c>
      <c r="M713" s="712" t="b">
        <f ca="1">IF(AND('Start here'!$C$26=RefData!$B$10,'Covenant summary information'!$C$84&lt;1,'Reconciliation report'!$E713&lt;&gt;""),ErrorMsgs!$D713)</f>
        <v>0</v>
      </c>
      <c r="N713" s="712" t="b">
        <f ca="1">IF(AND('Start here'!$C$26=RefData!$B$10,'Covenant summary information'!$C$84&gt;=1,'Reconciliation report'!$E713=""),ErrorMsgs!$E713)</f>
        <v>0</v>
      </c>
      <c r="O713" s="712" t="b">
        <f ca="1">IF($E713="",FALSE,IF(ISNA(MATCH($E713,RefData!$B$159:$B$160,0)),ErrorMsgs!$F713))</f>
        <v>0</v>
      </c>
      <c r="P713" s="712"/>
      <c r="Q713" s="712"/>
      <c r="R713" s="712"/>
      <c r="S713" s="712"/>
      <c r="T713" s="712"/>
      <c r="U713" s="526" t="str">
        <f t="shared" ca="1" si="99"/>
        <v/>
      </c>
      <c r="V713" s="93" t="str" cm="1">
        <f t="array" aca="1" ref="V713" ca="1">CELL("format",INDIRECT(I713))</f>
        <v>G</v>
      </c>
      <c r="W713" s="93" t="b">
        <f t="shared" ca="1" si="100"/>
        <v>0</v>
      </c>
      <c r="X713" s="715" t="str">
        <f t="shared" ca="1" si="98"/>
        <v/>
      </c>
      <c r="Y713" t="b">
        <f t="shared" ca="1" si="101"/>
        <v>1</v>
      </c>
    </row>
    <row r="714" spans="1:25" ht="77.5">
      <c r="A714" s="705" t="s">
        <v>1066</v>
      </c>
      <c r="B714" s="716" t="str">
        <f t="shared" ca="1" si="96"/>
        <v>Securities - C22</v>
      </c>
      <c r="C714" s="707" t="str" cm="1">
        <f t="array" aca="1" ref="C714" ca="1">INDIRECT(LEFT(I714, FIND("!", I714)) &amp; RefData!$C$426 &amp; RIGHT(I714, LEN(I714) - FIND("!", I714) - 1))</f>
        <v xml:space="preserve">
No answer required
Non payment of contributions
</v>
      </c>
      <c r="D714" s="92" t="str">
        <f t="shared" ca="1" si="77"/>
        <v/>
      </c>
      <c r="E714" s="708" t="str" cm="1">
        <f t="array" aca="1" ref="E714" ca="1">IF(INDIRECT($I714)= "", "", INDIRECT($I714))</f>
        <v/>
      </c>
      <c r="F714" s="709" t="str" cm="1">
        <f t="array" aca="1" ref="F714" ca="1">INDIRECT(LEFT(I714, FIND("!", I714)) &amp; RefData!$C$427 &amp; RIGHT(I714, LEN(I714) - FIND("!", I714) - 1))</f>
        <v>SEC 13.0/1</v>
      </c>
      <c r="G714" s="710" t="b">
        <f ca="1">IF(ISNUMBER(SEARCH(RefData!$B$2, $C714)), FALSE, TRUE)</f>
        <v>0</v>
      </c>
      <c r="H714" s="344">
        <f>Securities!C22</f>
        <v>0</v>
      </c>
      <c r="I714" s="712" t="str">
        <f t="shared" ca="1" si="97"/>
        <v>Securities!C22</v>
      </c>
      <c r="J714" s="713" t="b" cm="1">
        <f t="array" aca="1" ref="J714" ca="1">IF(
    ISNUMBER(SEARCH(RefData!$B$2, $C$475)),
    IF(
        $E714 &lt;&gt; "",
        $J$475,
        IF(
            $E714 = "",
            FALSE
        )
    ),
    IF(
        COUNTIF($K714:$T714, "&lt;&gt;FALSE") - COUNTBLANK($K714:$T714) &gt; 0,
        INDEX($K714:$T714, MATCH(TRUE, $K714:$T714 &lt;&gt; FALSE, 0))
    )
)</f>
        <v>0</v>
      </c>
      <c r="K714" s="712" t="b">
        <f ca="1">IF(AND('Start here'!$C$26=RefData!$B$9,'Reconciliation report'!$E714&lt;&gt;""),ErrorMsgs!$B714)</f>
        <v>0</v>
      </c>
      <c r="L714" s="712" t="b">
        <f ca="1">IF(AND('Start here'!$C$26=RefData!$B$10,'Covenant summary information'!$C$84=0,'Reconciliation report'!$E714&lt;&gt;""),ErrorMsgs!$C714)</f>
        <v>0</v>
      </c>
      <c r="M714" s="712" t="b">
        <f ca="1">IF(AND('Start here'!$C$26=RefData!$B$10,'Covenant summary information'!$C$84&lt;1,'Reconciliation report'!$E714&lt;&gt;""),ErrorMsgs!$D714)</f>
        <v>0</v>
      </c>
      <c r="N714" s="712" t="b">
        <f ca="1">IF(AND('Start here'!$C$26=RefData!$B$10,'Covenant summary information'!$C$84&gt;=1,'Reconciliation report'!$E714=""),ErrorMsgs!$E714)</f>
        <v>0</v>
      </c>
      <c r="O714" s="712" t="b">
        <f ca="1">IF($E714="",FALSE,IF(ISNA(MATCH($E714,RefData!$B$159:$B$160,0)),ErrorMsgs!$F714))</f>
        <v>0</v>
      </c>
      <c r="P714" s="712"/>
      <c r="Q714" s="712"/>
      <c r="R714" s="712"/>
      <c r="S714" s="712"/>
      <c r="T714" s="712"/>
      <c r="U714" s="526" t="str">
        <f t="shared" ca="1" si="99"/>
        <v/>
      </c>
      <c r="V714" s="93" t="str" cm="1">
        <f t="array" aca="1" ref="V714" ca="1">CELL("format",INDIRECT(I714))</f>
        <v>G</v>
      </c>
      <c r="W714" s="93" t="b">
        <f t="shared" ca="1" si="100"/>
        <v>0</v>
      </c>
      <c r="X714" s="715" t="str">
        <f t="shared" ca="1" si="98"/>
        <v/>
      </c>
      <c r="Y714" t="b">
        <f t="shared" ca="1" si="101"/>
        <v>1</v>
      </c>
    </row>
    <row r="715" spans="1:25" ht="77.5">
      <c r="A715" s="705" t="s">
        <v>1068</v>
      </c>
      <c r="B715" s="716" t="str">
        <f t="shared" ca="1" si="96"/>
        <v>Securities - C23</v>
      </c>
      <c r="C715" s="707" t="str" cm="1">
        <f t="array" aca="1" ref="C715" ca="1">INDIRECT(LEFT(I715, FIND("!", I715)) &amp; RefData!$C$426 &amp; RIGHT(I715, LEN(I715) - FIND("!", I715) - 1))</f>
        <v xml:space="preserve">
No answer required
Crystallisation of investment risk
</v>
      </c>
      <c r="D715" s="92" t="str">
        <f t="shared" ca="1" si="77"/>
        <v/>
      </c>
      <c r="E715" s="708" t="str" cm="1">
        <f t="array" aca="1" ref="E715" ca="1">IF(INDIRECT($I715)= "", "", INDIRECT($I715))</f>
        <v/>
      </c>
      <c r="F715" s="709" t="str" cm="1">
        <f t="array" aca="1" ref="F715" ca="1">INDIRECT(LEFT(I715, FIND("!", I715)) &amp; RefData!$C$427 &amp; RIGHT(I715, LEN(I715) - FIND("!", I715) - 1))</f>
        <v>SEC 14.0/1</v>
      </c>
      <c r="G715" s="710" t="b">
        <f ca="1">IF(ISNUMBER(SEARCH(RefData!$B$2, $C715)), FALSE, TRUE)</f>
        <v>0</v>
      </c>
      <c r="H715" s="344">
        <f>Securities!C23</f>
        <v>0</v>
      </c>
      <c r="I715" s="712" t="str">
        <f t="shared" ca="1" si="97"/>
        <v>Securities!C23</v>
      </c>
      <c r="J715" s="713" t="b" cm="1">
        <f t="array" aca="1" ref="J715" ca="1">IF(
    ISNUMBER(SEARCH(RefData!$B$2, $C$475)),
    IF(
        $E715 &lt;&gt; "",
        $J$475,
        IF(
            $E715 = "",
            FALSE
        )
    ),
    IF(
        COUNTIF($K715:$T715, "&lt;&gt;FALSE") - COUNTBLANK($K715:$T715) &gt; 0,
        INDEX($K715:$T715, MATCH(TRUE, $K715:$T715 &lt;&gt; FALSE, 0))
    )
)</f>
        <v>0</v>
      </c>
      <c r="K715" s="712" t="b">
        <f ca="1">IF(AND('Start here'!$C$26=RefData!$B$9,'Reconciliation report'!$E715&lt;&gt;""),ErrorMsgs!$B715)</f>
        <v>0</v>
      </c>
      <c r="L715" s="712" t="b">
        <f ca="1">IF(AND('Start here'!$C$26=RefData!$B$10,'Covenant summary information'!$C$84=0,'Reconciliation report'!$E715&lt;&gt;""),ErrorMsgs!$C715)</f>
        <v>0</v>
      </c>
      <c r="M715" s="712" t="b">
        <f ca="1">IF(AND('Start here'!$C$26=RefData!$B$10,'Covenant summary information'!$C$84&lt;1,'Reconciliation report'!$E715&lt;&gt;""),ErrorMsgs!$D715)</f>
        <v>0</v>
      </c>
      <c r="N715" s="712" t="b">
        <f ca="1">IF(AND('Start here'!$C$26=RefData!$B$10,'Covenant summary information'!$C$84&gt;=1,'Reconciliation report'!$E715=""),ErrorMsgs!$E715)</f>
        <v>0</v>
      </c>
      <c r="O715" s="712" t="b">
        <f ca="1">IF($E715="",FALSE,IF(ISNA(MATCH($E715,RefData!$B$159:$B$160,0)),ErrorMsgs!$F715))</f>
        <v>0</v>
      </c>
      <c r="P715" s="712"/>
      <c r="Q715" s="712"/>
      <c r="R715" s="712"/>
      <c r="S715" s="712"/>
      <c r="T715" s="712"/>
      <c r="U715" s="526" t="str">
        <f t="shared" ca="1" si="99"/>
        <v/>
      </c>
      <c r="V715" s="93" t="str" cm="1">
        <f t="array" aca="1" ref="V715" ca="1">CELL("format",INDIRECT(I715))</f>
        <v>G</v>
      </c>
      <c r="W715" s="93" t="b">
        <f t="shared" ca="1" si="100"/>
        <v>0</v>
      </c>
      <c r="X715" s="715" t="str">
        <f t="shared" ca="1" si="98"/>
        <v/>
      </c>
      <c r="Y715" t="b">
        <f t="shared" ca="1" si="101"/>
        <v>1</v>
      </c>
    </row>
    <row r="716" spans="1:25" ht="77.5">
      <c r="A716" s="705" t="s">
        <v>1070</v>
      </c>
      <c r="B716" s="716" t="str">
        <f t="shared" ca="1" si="96"/>
        <v>Securities - C24</v>
      </c>
      <c r="C716" s="707" t="str" cm="1">
        <f t="array" aca="1" ref="C716" ca="1">INDIRECT(LEFT(I716, FIND("!", I716)) &amp; RefData!$C$426 &amp; RIGHT(I716, LEN(I716) - FIND("!", I716) - 1))</f>
        <v xml:space="preserve">
No answer required
Other
</v>
      </c>
      <c r="D716" s="92" t="str">
        <f t="shared" ca="1" si="77"/>
        <v/>
      </c>
      <c r="E716" s="708" t="str" cm="1">
        <f t="array" aca="1" ref="E716" ca="1">IF(INDIRECT($I716)= "", "", INDIRECT($I716))</f>
        <v/>
      </c>
      <c r="F716" s="709" t="str" cm="1">
        <f t="array" aca="1" ref="F716" ca="1">INDIRECT(LEFT(I716, FIND("!", I716)) &amp; RefData!$C$427 &amp; RIGHT(I716, LEN(I716) - FIND("!", I716) - 1))</f>
        <v>SEC 15.0/1</v>
      </c>
      <c r="G716" s="710" t="b">
        <f ca="1">IF(ISNUMBER(SEARCH(RefData!$B$2, $C716)), FALSE, TRUE)</f>
        <v>0</v>
      </c>
      <c r="H716" s="344">
        <f>Securities!C24</f>
        <v>0</v>
      </c>
      <c r="I716" s="712" t="str">
        <f t="shared" ca="1" si="97"/>
        <v>Securities!C24</v>
      </c>
      <c r="J716" s="713" t="b" cm="1">
        <f t="array" aca="1" ref="J716" ca="1">IF(
    ISNUMBER(SEARCH(RefData!$B$2, $C$475)),
    IF(
        $E716 &lt;&gt; "",
        $J$475,
        IF(
            $E716 = "",
            FALSE
        )
    ),
    IF(
        COUNTIF($K716:$T716, "&lt;&gt;FALSE") - COUNTBLANK($K716:$T716) &gt; 0,
        INDEX($K716:$T716, MATCH(TRUE, $K716:$T716 &lt;&gt; FALSE, 0))
    )
)</f>
        <v>0</v>
      </c>
      <c r="K716" s="712" t="b">
        <f ca="1">IF(AND('Start here'!$C$26=RefData!$B$9,'Reconciliation report'!$E716&lt;&gt;""),ErrorMsgs!$B716)</f>
        <v>0</v>
      </c>
      <c r="L716" s="712" t="b">
        <f ca="1">IF(AND('Start here'!$C$26=RefData!$B$10,'Covenant summary information'!$C$84=0,'Reconciliation report'!$E716&lt;&gt;""),ErrorMsgs!$C716)</f>
        <v>0</v>
      </c>
      <c r="M716" s="712" t="b">
        <f ca="1">IF(AND('Start here'!$C$26=RefData!$B$10,'Covenant summary information'!$C$84&lt;1,'Reconciliation report'!$E716&lt;&gt;""),ErrorMsgs!$D716)</f>
        <v>0</v>
      </c>
      <c r="N716" s="712" t="b">
        <f ca="1">IF(AND('Start here'!$C$26=RefData!$B$10,'Covenant summary information'!$C$84&gt;=1,'Reconciliation report'!$E716=""),ErrorMsgs!$E716)</f>
        <v>0</v>
      </c>
      <c r="O716" s="712" t="b">
        <f ca="1">IF($E716="",FALSE,IF(ISNA(MATCH($E716,RefData!$B$159:$B$160,0)),ErrorMsgs!$F716))</f>
        <v>0</v>
      </c>
      <c r="P716" s="712"/>
      <c r="Q716" s="712"/>
      <c r="R716" s="712"/>
      <c r="S716" s="712"/>
      <c r="T716" s="712"/>
      <c r="U716" s="526" t="str">
        <f t="shared" ca="1" si="99"/>
        <v/>
      </c>
      <c r="V716" s="93" t="str" cm="1">
        <f t="array" aca="1" ref="V716" ca="1">CELL("format",INDIRECT(I716))</f>
        <v>G</v>
      </c>
      <c r="W716" s="93" t="b">
        <f t="shared" ca="1" si="100"/>
        <v>0</v>
      </c>
      <c r="X716" s="715" t="str">
        <f t="shared" ca="1" si="98"/>
        <v/>
      </c>
      <c r="Y716" t="b">
        <f t="shared" ca="1" si="101"/>
        <v>1</v>
      </c>
    </row>
    <row r="717" spans="1:25" ht="77.5">
      <c r="A717" s="705" t="s">
        <v>1072</v>
      </c>
      <c r="B717" s="716" t="str">
        <f t="shared" ca="1" si="96"/>
        <v>Securities - C25</v>
      </c>
      <c r="C717" s="707" t="str" cm="1">
        <f t="array" aca="1" ref="C717" ca="1">INDIRECT(LEFT(I717, FIND("!", I717)) &amp; RefData!$C$426 &amp; RIGHT(I717, LEN(I717) - FIND("!", I717) - 1))</f>
        <v xml:space="preserve">
No answer required
Describe the other triggers for access to value
</v>
      </c>
      <c r="D717" s="92" t="str">
        <f t="shared" ca="1" si="77"/>
        <v/>
      </c>
      <c r="E717" s="708" t="str" cm="1">
        <f t="array" aca="1" ref="E717" ca="1">IF(INDIRECT($I717)= "", "", INDIRECT($I717))</f>
        <v/>
      </c>
      <c r="F717" s="709" t="str" cm="1">
        <f t="array" aca="1" ref="F717" ca="1">INDIRECT(LEFT(I717, FIND("!", I717)) &amp; RefData!$C$427 &amp; RIGHT(I717, LEN(I717) - FIND("!", I717) - 1))</f>
        <v>SEC 16.0/1</v>
      </c>
      <c r="G717" s="710" t="b">
        <f ca="1">IF(ISNUMBER(SEARCH(RefData!$B$2, $C717)), FALSE, TRUE)</f>
        <v>0</v>
      </c>
      <c r="H717" s="344">
        <f>Securities!C25</f>
        <v>0</v>
      </c>
      <c r="I717" s="712" t="str">
        <f t="shared" ca="1" si="97"/>
        <v>Securities!C25</v>
      </c>
      <c r="J717" s="713" t="b" cm="1">
        <f t="array" aca="1" ref="J717" ca="1">IF(
    ISNUMBER(SEARCH(RefData!$B$2, $C$475)),
    IF(
        $E717 &lt;&gt; "",
        $J$475,
        IF(
            $E717 = "",
            FALSE
        )
    ),
    IF(
        COUNTIF($K717:$T717, "&lt;&gt;FALSE") - COUNTBLANK($K717:$T717) &gt; 0,
        INDEX($K717:$T717, MATCH(TRUE, $K717:$T717 &lt;&gt; FALSE, 0))
    )
)</f>
        <v>0</v>
      </c>
      <c r="K717" s="712" t="b">
        <f ca="1">IF(AND('Start here'!$C$26=RefData!$B$9,'Reconciliation report'!$E717&lt;&gt;""),ErrorMsgs!$B717)</f>
        <v>0</v>
      </c>
      <c r="L717" s="712" t="b">
        <f ca="1">IF(AND('Start here'!$C$26=RefData!$B$10,'Covenant summary information'!$C$84=0,'Reconciliation report'!$E717&lt;&gt;""),ErrorMsgs!$C717)</f>
        <v>0</v>
      </c>
      <c r="M717" s="712" t="b">
        <f ca="1">IF(AND('Start here'!$C$26=RefData!$B$10,'Covenant summary information'!$C$84&lt;1,'Reconciliation report'!$E717&lt;&gt;""),ErrorMsgs!$D717)</f>
        <v>0</v>
      </c>
      <c r="N717" s="712" t="b">
        <f ca="1">IF(AND('Start here'!$C$26=RefData!$B$10,'Covenant summary information'!$C$84&gt;=1,Securities!$C$24=RefData!$B$160,'Reconciliation report'!$E717&lt;&gt;""),ErrorMsgs!$E717)</f>
        <v>0</v>
      </c>
      <c r="O717" s="712" t="b">
        <f ca="1">IF(AND('Start here'!$C$26=RefData!$B$10,'Covenant summary information'!$C$84&gt;=1,Securities!$C$24=RefData!$B$159,'Reconciliation report'!$E717=""),ErrorMsgs!$F717)</f>
        <v>0</v>
      </c>
      <c r="P717" s="712" t="b">
        <f ca="1">IF(LEN($E717)&gt;4000,ErrorMsgs!$G717)</f>
        <v>0</v>
      </c>
      <c r="Q717" s="712"/>
      <c r="R717" s="712"/>
      <c r="S717" s="712"/>
      <c r="T717" s="712"/>
      <c r="U717" s="526" t="str">
        <f t="shared" ca="1" si="99"/>
        <v/>
      </c>
      <c r="V717" s="93" t="str" cm="1">
        <f t="array" aca="1" ref="V717" ca="1">CELL("format",INDIRECT(I717))</f>
        <v>G</v>
      </c>
      <c r="W717" s="93" t="b">
        <f t="shared" ca="1" si="100"/>
        <v>0</v>
      </c>
      <c r="X717" s="715" t="str">
        <f t="shared" ca="1" si="98"/>
        <v/>
      </c>
      <c r="Y717" t="b">
        <f t="shared" ca="1" si="101"/>
        <v>1</v>
      </c>
    </row>
    <row r="718" spans="1:25" ht="77.5">
      <c r="A718" s="705" t="s">
        <v>1074</v>
      </c>
      <c r="B718" s="716" t="str">
        <f t="shared" ca="1" si="96"/>
        <v>Securities - C26</v>
      </c>
      <c r="C718" s="707" t="str" cm="1">
        <f t="array" aca="1" ref="C718" ca="1">INDIRECT(LEFT(I718, FIND("!", I718)) &amp; RefData!$C$426 &amp; RIGHT(I718, LEN(I718) - FIND("!", I718) - 1))</f>
        <v xml:space="preserve">
No answer required
Triggers for termination
</v>
      </c>
      <c r="D718" s="92" t="str">
        <f t="shared" ca="1" si="77"/>
        <v/>
      </c>
      <c r="E718" s="708" t="str" cm="1">
        <f t="array" aca="1" ref="E718" ca="1">IF(INDIRECT($I718)= "", "", INDIRECT($I718))</f>
        <v/>
      </c>
      <c r="F718" s="709" t="str" cm="1">
        <f t="array" aca="1" ref="F718" ca="1">INDIRECT(LEFT(I718, FIND("!", I718)) &amp; RefData!$C$427 &amp; RIGHT(I718, LEN(I718) - FIND("!", I718) - 1))</f>
        <v>SEC 17.0/1</v>
      </c>
      <c r="G718" s="710" t="b">
        <f ca="1">IF(ISNUMBER(SEARCH(RefData!$B$2, $C718)), FALSE, TRUE)</f>
        <v>0</v>
      </c>
      <c r="H718" s="344">
        <f>Securities!C26</f>
        <v>0</v>
      </c>
      <c r="I718" s="712" t="str">
        <f t="shared" ca="1" si="97"/>
        <v>Securities!C26</v>
      </c>
      <c r="J718" s="713" t="b" cm="1">
        <f t="array" aca="1" ref="J718" ca="1">IF(
    ISNUMBER(SEARCH(RefData!$B$2, $C$475)),
    IF(
        $E718 &lt;&gt; "",
        $J$475,
        IF(
            $E718 = "",
            FALSE
        )
    ),
    IF(
        COUNTIF($K718:$T718, "&lt;&gt;FALSE") - COUNTBLANK($K718:$T718) &gt; 0,
        INDEX($K718:$T718, MATCH(TRUE, $K718:$T718 &lt;&gt; FALSE, 0))
    )
)</f>
        <v>0</v>
      </c>
      <c r="K718" s="712" t="b">
        <f ca="1">IF(AND('Start here'!$C$26=RefData!$B$9,'Reconciliation report'!$E718&lt;&gt;""),ErrorMsgs!$B718)</f>
        <v>0</v>
      </c>
      <c r="L718" s="712" t="b">
        <f ca="1">IF(AND('Start here'!$C$26=RefData!$B$10,'Covenant summary information'!$C$84=0,'Reconciliation report'!$E718&lt;&gt;""),ErrorMsgs!$C718)</f>
        <v>0</v>
      </c>
      <c r="M718" s="712" t="b">
        <f ca="1">IF(AND('Start here'!$C$26=RefData!$B$10,'Covenant summary information'!$C$84&lt;1,'Reconciliation report'!$E718&lt;&gt;""),ErrorMsgs!$D718)</f>
        <v>0</v>
      </c>
      <c r="N718" s="712" t="b">
        <f ca="1">IF(AND('Start here'!$C$26=RefData!$B$10,'Covenant summary information'!$C$84&gt;=1,'Reconciliation report'!$E718=""),ErrorMsgs!$E718)</f>
        <v>0</v>
      </c>
      <c r="O718" s="712" t="b">
        <f ca="1">IF(LEN($E718)&gt;4000,ErrorMsgs!$F718)</f>
        <v>0</v>
      </c>
      <c r="P718" s="712"/>
      <c r="Q718" s="712"/>
      <c r="R718" s="712"/>
      <c r="S718" s="712"/>
      <c r="T718" s="712"/>
      <c r="U718" s="526" t="str">
        <f t="shared" ca="1" si="99"/>
        <v/>
      </c>
      <c r="V718" s="93" t="str" cm="1">
        <f t="array" aca="1" ref="V718" ca="1">CELL("format",INDIRECT(I718))</f>
        <v>G</v>
      </c>
      <c r="W718" s="93" t="b">
        <f t="shared" ca="1" si="100"/>
        <v>0</v>
      </c>
      <c r="X718" s="715" t="str">
        <f t="shared" ca="1" si="98"/>
        <v/>
      </c>
      <c r="Y718" t="b">
        <f t="shared" ca="1" si="101"/>
        <v>1</v>
      </c>
    </row>
    <row r="719" spans="1:25" ht="93">
      <c r="A719" s="705" t="s">
        <v>1077</v>
      </c>
      <c r="B719" s="716" t="str">
        <f t="shared" ca="1" si="96"/>
        <v>Securities - C30</v>
      </c>
      <c r="C719" s="707" t="str" cm="1">
        <f t="array" aca="1" ref="C719" ca="1">INDIRECT(LEFT(I719, FIND("!", I719)) &amp; RefData!$C$426 &amp; RIGHT(I719, LEN(I719) - FIND("!", I719) - 1))</f>
        <v xml:space="preserve">
No answer required
What is the type of underlying asset that the scheme has security over?
</v>
      </c>
      <c r="D719" s="92" t="str">
        <f t="shared" ref="D719:D735" ca="1" si="103">""&amp;IF(J719=FALSE, "", J719)
&amp;""</f>
        <v/>
      </c>
      <c r="E719" s="708" t="str" cm="1">
        <f t="array" aca="1" ref="E719" ca="1">IF(INDIRECT($I719)= "", "", INDIRECT($I719))</f>
        <v/>
      </c>
      <c r="F719" s="709" t="str" cm="1">
        <f t="array" aca="1" ref="F719" ca="1">INDIRECT(LEFT(I719, FIND("!", I719)) &amp; RefData!$C$427 &amp; RIGHT(I719, LEN(I719) - FIND("!", I719) - 1))</f>
        <v>SEC 1.0/2</v>
      </c>
      <c r="G719" s="710" t="b">
        <f ca="1">IF(ISNUMBER(SEARCH(RefData!$B$2, $C719)), FALSE, TRUE)</f>
        <v>0</v>
      </c>
      <c r="H719" s="344">
        <f>Securities!C30</f>
        <v>0</v>
      </c>
      <c r="I719" s="712" t="str">
        <f t="shared" ca="1" si="97"/>
        <v>Securities!C30</v>
      </c>
      <c r="J719" s="713" t="b" cm="1">
        <f t="array" aca="1" ref="J719" ca="1">IF(
    ISNUMBER(SEARCH(RefData!$B$2, $C$475)),
    IF(
        $E719 &lt;&gt; "",
        $J$475,
        IF(
            $E719 = "",
            FALSE
        )
    ),
    IF(
        COUNTIF($K719:$T719, "&lt;&gt;FALSE") - COUNTBLANK($K719:$T719) &gt; 0,
        INDEX($K719:$T719, MATCH(TRUE, $K719:$T719 &lt;&gt; FALSE, 0))
    )
)</f>
        <v>0</v>
      </c>
      <c r="K719" s="712" t="b">
        <f ca="1">IF(AND('Covenant summary information'!$C$84=0,'Reconciliation report'!$E719&lt;&gt;""),ErrorMsgs!$B719)</f>
        <v>0</v>
      </c>
      <c r="L719" s="712" t="b">
        <f ca="1">IF(AND('Covenant summary information'!$C$84&lt;2,'Reconciliation report'!$E719&lt;&gt;""),ErrorMsgs!$C719)</f>
        <v>0</v>
      </c>
      <c r="M719" s="712" t="b">
        <f ca="1">IF(AND('Covenant summary information'!$C$84&gt;=2,'Reconciliation report'!$E719=""),ErrorMsgs!$D719)</f>
        <v>0</v>
      </c>
      <c r="N719" s="712" t="b">
        <f ca="1">IF(E719="",FALSE,IF(ISNA(MATCH($E719,RefData!$B$141:$B$148,0)),ErrorMsgs!$E719))</f>
        <v>0</v>
      </c>
      <c r="O719" s="712"/>
      <c r="P719" s="712"/>
      <c r="Q719" s="712"/>
      <c r="R719" s="712"/>
      <c r="S719" s="712"/>
      <c r="T719" s="712"/>
      <c r="U719" s="526" t="str">
        <f t="shared" ca="1" si="99"/>
        <v/>
      </c>
      <c r="V719" s="93" t="str" cm="1">
        <f t="array" aca="1" ref="V719" ca="1">CELL("format",INDIRECT(I719))</f>
        <v>G</v>
      </c>
      <c r="W719" s="93" t="b">
        <f t="shared" ca="1" si="100"/>
        <v>0</v>
      </c>
      <c r="X719" s="715" t="str">
        <f t="shared" ca="1" si="98"/>
        <v/>
      </c>
      <c r="Y719" t="b">
        <f t="shared" ca="1" si="101"/>
        <v>1</v>
      </c>
    </row>
    <row r="720" spans="1:25" ht="77.5">
      <c r="A720" s="705" t="s">
        <v>1079</v>
      </c>
      <c r="B720" s="716" t="str">
        <f t="shared" ca="1" si="96"/>
        <v>Securities - C31</v>
      </c>
      <c r="C720" s="707" t="str" cm="1">
        <f t="array" aca="1" ref="C720" ca="1">INDIRECT(LEFT(I720, FIND("!", I720)) &amp; RefData!$C$426 &amp; RIGHT(I720, LEN(I720) - FIND("!", I720) - 1))</f>
        <v xml:space="preserve">
No answer required
Provide specific details of the underlying asset
</v>
      </c>
      <c r="D720" s="92" t="str">
        <f t="shared" ca="1" si="103"/>
        <v/>
      </c>
      <c r="E720" s="708" t="str" cm="1">
        <f t="array" aca="1" ref="E720" ca="1">IF(INDIRECT($I720)= "", "", INDIRECT($I720))</f>
        <v/>
      </c>
      <c r="F720" s="709" t="str" cm="1">
        <f t="array" aca="1" ref="F720" ca="1">INDIRECT(LEFT(I720, FIND("!", I720)) &amp; RefData!$C$427 &amp; RIGHT(I720, LEN(I720) - FIND("!", I720) - 1))</f>
        <v>SEC 2.0/2</v>
      </c>
      <c r="G720" s="710" t="b">
        <f ca="1">IF(ISNUMBER(SEARCH(RefData!$B$2, $C720)), FALSE, TRUE)</f>
        <v>0</v>
      </c>
      <c r="H720" s="344">
        <f>Securities!C31</f>
        <v>0</v>
      </c>
      <c r="I720" s="712" t="str">
        <f t="shared" ca="1" si="97"/>
        <v>Securities!C31</v>
      </c>
      <c r="J720" s="713" t="b" cm="1">
        <f t="array" aca="1" ref="J720" ca="1">IF(
    ISNUMBER(SEARCH(RefData!$B$2, $C$475)),
    IF(
        $E720 &lt;&gt; "",
        $J$475,
        IF(
            $E720 = "",
            FALSE
        )
    ),
    IF(
        COUNTIF($K720:$T720, "&lt;&gt;FALSE") - COUNTBLANK($K720:$T720) &gt; 0,
        INDEX($K720:$T720, MATCH(TRUE, $K720:$T720 &lt;&gt; FALSE, 0))
    )
)</f>
        <v>0</v>
      </c>
      <c r="K720" s="712" t="b">
        <f ca="1">IF(AND('Covenant summary information'!$C$84=0,'Reconciliation report'!$E720&lt;&gt;""),ErrorMsgs!$B720)</f>
        <v>0</v>
      </c>
      <c r="L720" s="712" t="b">
        <f ca="1">IF(AND('Covenant summary information'!$C$84&lt;2,'Reconciliation report'!$E720&lt;&gt;""),ErrorMsgs!$C720)</f>
        <v>0</v>
      </c>
      <c r="M720" s="712" t="b">
        <f ca="1">IF(AND('Covenant summary information'!$C$84&gt;=2,'Reconciliation report'!$E720=""),ErrorMsgs!$D720)</f>
        <v>0</v>
      </c>
      <c r="N720" s="712" t="b">
        <f ca="1">IF(LEN($E720)&gt;4000,ErrorMsgs!$E720)</f>
        <v>0</v>
      </c>
      <c r="O720" s="712"/>
      <c r="P720" s="712"/>
      <c r="Q720" s="712"/>
      <c r="R720" s="712"/>
      <c r="S720" s="712"/>
      <c r="T720" s="712"/>
      <c r="U720" s="526" t="str">
        <f t="shared" ca="1" si="99"/>
        <v/>
      </c>
      <c r="V720" s="93" t="str" cm="1">
        <f t="array" aca="1" ref="V720" ca="1">CELL("format",INDIRECT(I720))</f>
        <v>G</v>
      </c>
      <c r="W720" s="93" t="b">
        <f t="shared" ca="1" si="100"/>
        <v>0</v>
      </c>
      <c r="X720" s="715" t="str">
        <f t="shared" ca="1" si="98"/>
        <v/>
      </c>
      <c r="Y720" t="b">
        <f t="shared" ca="1" si="101"/>
        <v>1</v>
      </c>
    </row>
    <row r="721" spans="1:25" ht="77.5">
      <c r="A721" s="705" t="s">
        <v>1081</v>
      </c>
      <c r="B721" s="716" t="str">
        <f t="shared" ca="1" si="96"/>
        <v>Securities - C32</v>
      </c>
      <c r="C721" s="707" t="str" cm="1">
        <f t="array" aca="1" ref="C721" ca="1">INDIRECT(LEFT(I721, FIND("!", I721)) &amp; RefData!$C$426 &amp; RIGHT(I721, LEN(I721) - FIND("!", I721) - 1))</f>
        <v xml:space="preserve">
No answer required
Type of maturity
</v>
      </c>
      <c r="D721" s="92" t="str">
        <f t="shared" ca="1" si="103"/>
        <v/>
      </c>
      <c r="E721" s="708" t="str" cm="1">
        <f t="array" aca="1" ref="E721" ca="1">IF(INDIRECT($I721)= "", "", INDIRECT($I721))</f>
        <v/>
      </c>
      <c r="F721" s="709" t="str" cm="1">
        <f t="array" aca="1" ref="F721" ca="1">INDIRECT(LEFT(I721, FIND("!", I721)) &amp; RefData!$C$427 &amp; RIGHT(I721, LEN(I721) - FIND("!", I721) - 1))</f>
        <v>SEC 3.0/2</v>
      </c>
      <c r="G721" s="710" t="b">
        <f ca="1">IF(ISNUMBER(SEARCH(RefData!$B$2, $C721)), FALSE, TRUE)</f>
        <v>0</v>
      </c>
      <c r="H721" s="344">
        <f>Securities!C32</f>
        <v>0</v>
      </c>
      <c r="I721" s="712" t="str">
        <f t="shared" ca="1" si="97"/>
        <v>Securities!C32</v>
      </c>
      <c r="J721" s="713" t="b" cm="1">
        <f t="array" aca="1" ref="J721" ca="1">IF(
    ISNUMBER(SEARCH(RefData!$B$2, $C$475)),
    IF(
        $E721 &lt;&gt; "",
        $J$475,
        IF(
            $E721 = "",
            FALSE
        )
    ),
    IF(
        COUNTIF($K721:$T721, "&lt;&gt;FALSE") - COUNTBLANK($K721:$T721) &gt; 0,
        INDEX($K721:$T721, MATCH(TRUE, $K721:$T721 &lt;&gt; FALSE, 0))
    )
)</f>
        <v>0</v>
      </c>
      <c r="K721" s="712" t="b">
        <f ca="1">IF(AND('Start here'!$C$26=RefData!$B$9,'Reconciliation report'!E721&lt;&gt;""),ErrorMsgs!$B721)</f>
        <v>0</v>
      </c>
      <c r="L721" s="712" t="b">
        <f ca="1">IF(AND('Start here'!$C$26=RefData!$B$10,'Covenant summary information'!$C$84=0,'Reconciliation report'!$E721&lt;&gt;""),ErrorMsgs!$C721)</f>
        <v>0</v>
      </c>
      <c r="M721" s="712" t="b">
        <f ca="1">IF(AND('Start here'!$C$26=RefData!$B$10,'Covenant summary information'!$C$84&lt;2,'Reconciliation report'!$E721&lt;&gt;""),ErrorMsgs!$D721)</f>
        <v>0</v>
      </c>
      <c r="N721" s="712" t="b">
        <f ca="1">IF(AND('Start here'!$C$26=RefData!$B$10,'Covenant summary information'!$C$84&gt;=2,'Reconciliation report'!$E721=""),ErrorMsgs!$E721)</f>
        <v>0</v>
      </c>
      <c r="O721" s="712" t="b">
        <f ca="1">IF(E721="",FALSE,IF(ISNA(MATCH($E721,RefData!$B$149:$B$151,0)),ErrorMsgs!$F721))</f>
        <v>0</v>
      </c>
      <c r="P721" s="712"/>
      <c r="Q721" s="712"/>
      <c r="R721" s="712"/>
      <c r="S721" s="712"/>
      <c r="T721" s="712"/>
      <c r="U721" s="526" t="str">
        <f t="shared" ca="1" si="99"/>
        <v/>
      </c>
      <c r="V721" s="93" t="str" cm="1">
        <f t="array" aca="1" ref="V721" ca="1">CELL("format",INDIRECT(I721))</f>
        <v>G</v>
      </c>
      <c r="W721" s="93" t="b">
        <f t="shared" ca="1" si="100"/>
        <v>0</v>
      </c>
      <c r="X721" s="715" t="str">
        <f t="shared" ca="1" si="98"/>
        <v/>
      </c>
      <c r="Y721" t="b">
        <f t="shared" ca="1" si="101"/>
        <v>1</v>
      </c>
    </row>
    <row r="722" spans="1:25" ht="77.5">
      <c r="A722" s="705" t="s">
        <v>1083</v>
      </c>
      <c r="B722" s="716" t="str">
        <f t="shared" ca="1" si="96"/>
        <v>Securities - C33</v>
      </c>
      <c r="C722" s="707" t="str" cm="1">
        <f t="array" aca="1" ref="C722" ca="1">INDIRECT(LEFT(I722, FIND("!", I722)) &amp; RefData!$C$426 &amp; RIGHT(I722, LEN(I722) - FIND("!", I722) - 1))</f>
        <v xml:space="preserve">
No answer required
Date of maturity
</v>
      </c>
      <c r="D722" s="92" t="str">
        <f t="shared" ca="1" si="103"/>
        <v/>
      </c>
      <c r="E722" s="708" t="str" cm="1">
        <f t="array" aca="1" ref="E722" ca="1">IF(INDIRECT($I722)= "", "", INDIRECT($I722))</f>
        <v/>
      </c>
      <c r="F722" s="709" t="str" cm="1">
        <f t="array" aca="1" ref="F722" ca="1">INDIRECT(LEFT(I722, FIND("!", I722)) &amp; RefData!$C$427 &amp; RIGHT(I722, LEN(I722) - FIND("!", I722) - 1))</f>
        <v>SEC 4.0/2</v>
      </c>
      <c r="G722" s="710" t="b">
        <f ca="1">IF(ISNUMBER(SEARCH(RefData!$B$2, $C722)), FALSE, TRUE)</f>
        <v>0</v>
      </c>
      <c r="H722" s="344">
        <f>Securities!C33</f>
        <v>0</v>
      </c>
      <c r="I722" s="712" t="str">
        <f t="shared" ca="1" si="97"/>
        <v>Securities!C33</v>
      </c>
      <c r="J722" s="713" t="b" cm="1">
        <f t="array" aca="1" ref="J722" ca="1">IF(
    ISNUMBER(SEARCH(RefData!$B$2, $C$475)),
    IF(
        $E722 &lt;&gt; "",
        $J$475,
        IF(
            $E722 = "",
            FALSE
        )
    ),
    IF(
        COUNTIF($K722:$T722, "&lt;&gt;FALSE") - COUNTBLANK($K722:$T722) &gt; 0,
        INDEX($K722:$T722, MATCH(TRUE, $K722:$T722 &lt;&gt; FALSE, 0))
    )
)</f>
        <v>0</v>
      </c>
      <c r="K722" s="712" t="b">
        <f ca="1">IF(AND('Start here'!$C$26=RefData!$B$9,'Reconciliation report'!$E722&lt;&gt;""),ErrorMsgs!$B722)</f>
        <v>0</v>
      </c>
      <c r="L722" s="712" t="b">
        <f ca="1">IF(AND('Start here'!$C$26=RefData!$B$10,'Covenant summary information'!$C$84=0,'Reconciliation report'!$E722&lt;&gt;""),ErrorMsgs!$C722)</f>
        <v>0</v>
      </c>
      <c r="M722" s="712" t="b">
        <f ca="1">IF(AND('Start here'!$C$26=RefData!$B$10,'Covenant summary information'!$C$84&lt;2,'Reconciliation report'!$E722&lt;&gt;""),ErrorMsgs!$D722)</f>
        <v>0</v>
      </c>
      <c r="N722" s="712" t="b">
        <f ca="1">IF(AND('Start here'!$C$26=RefData!$B$10,'Covenant summary information'!$C$84&gt;=2,NOT(ISNA(MATCH($E$721,RefData!$B$148:$B$149,0))),'Reconciliation report'!$E722&lt;&gt;""),ErrorMsgs!$E722)</f>
        <v>0</v>
      </c>
      <c r="O722" s="712" t="b">
        <f ca="1">IF(AND('Start here'!$C$26=RefData!$B$10,'Covenant summary information'!$C$84&gt;=2,$E$721=RefData!$B$150,'Reconciliation report'!$E722=""),ErrorMsgs!$F722)</f>
        <v>0</v>
      </c>
      <c r="P722" s="712" t="b">
        <f ca="1">IF($E722="",FALSE,IF(NOT(ISNUMBER(VALUE($E722))),ErrorMsgs!$G722))</f>
        <v>0</v>
      </c>
      <c r="Q722" s="712" t="b">
        <f ca="1">IF($E722&lt;'Start here'!$C$21,ErrorMsgs!$H722)</f>
        <v>0</v>
      </c>
      <c r="R722" s="712"/>
      <c r="S722" s="712"/>
      <c r="T722" s="712"/>
      <c r="U722" s="526" t="str">
        <f t="shared" ca="1" si="99"/>
        <v/>
      </c>
      <c r="V722" s="93" t="str" cm="1">
        <f t="array" aca="1" ref="V722" ca="1">CELL("format",INDIRECT(I722))</f>
        <v>D1</v>
      </c>
      <c r="W722" s="93" t="b">
        <f t="shared" ca="1" si="100"/>
        <v>0</v>
      </c>
      <c r="X722" s="715" t="str">
        <f t="shared" ca="1" si="98"/>
        <v/>
      </c>
      <c r="Y722" t="b">
        <f t="shared" ca="1" si="101"/>
        <v>1</v>
      </c>
    </row>
    <row r="723" spans="1:25" ht="77.5">
      <c r="A723" s="705" t="s">
        <v>1085</v>
      </c>
      <c r="B723" s="716" t="str">
        <f t="shared" ca="1" si="96"/>
        <v>Securities - C34</v>
      </c>
      <c r="C723" s="707" t="str" cm="1">
        <f t="array" aca="1" ref="C723" ca="1">INDIRECT(LEFT(I723, FIND("!", I723)) &amp; RefData!$C$426 &amp; RIGHT(I723, LEN(I723) - FIND("!", I723) - 1))</f>
        <v xml:space="preserve">
No answer required
Maturity date narrative
</v>
      </c>
      <c r="D723" s="92" t="str">
        <f t="shared" ca="1" si="103"/>
        <v/>
      </c>
      <c r="E723" s="708" t="str" cm="1">
        <f t="array" aca="1" ref="E723" ca="1">IF(INDIRECT($I723)= "", "", INDIRECT($I723))</f>
        <v/>
      </c>
      <c r="F723" s="709" t="str" cm="1">
        <f t="array" aca="1" ref="F723" ca="1">INDIRECT(LEFT(I723, FIND("!", I723)) &amp; RefData!$C$427 &amp; RIGHT(I723, LEN(I723) - FIND("!", I723) - 1))</f>
        <v>SEC 5.0/2</v>
      </c>
      <c r="G723" s="710" t="b">
        <f ca="1">IF(ISNUMBER(SEARCH(RefData!$B$2, $C723)), FALSE, TRUE)</f>
        <v>0</v>
      </c>
      <c r="H723" s="344">
        <f>Securities!C34</f>
        <v>0</v>
      </c>
      <c r="I723" s="712" t="str">
        <f t="shared" ca="1" si="97"/>
        <v>Securities!C34</v>
      </c>
      <c r="J723" s="713" t="b" cm="1">
        <f t="array" aca="1" ref="J723" ca="1">IF(
    ISNUMBER(SEARCH(RefData!$B$2, $C$475)),
    IF(
        $E723 &lt;&gt; "",
        $J$475,
        IF(
            $E723 = "",
            FALSE
        )
    ),
    IF(
        COUNTIF($K723:$T723, "&lt;&gt;FALSE") - COUNTBLANK($K723:$T723) &gt; 0,
        INDEX($K723:$T723, MATCH(TRUE, $K723:$T723 &lt;&gt; FALSE, 0))
    )
)</f>
        <v>0</v>
      </c>
      <c r="K723" s="712" t="b">
        <f ca="1">IF(AND('Start here'!$C$26=RefData!$B$9,'Reconciliation report'!$E723&lt;&gt;""),ErrorMsgs!$B723)</f>
        <v>0</v>
      </c>
      <c r="L723" s="712" t="b">
        <f ca="1">IF(AND('Start here'!$C$26=RefData!$B$10,'Covenant summary information'!$C$84=0,'Reconciliation report'!$E723&lt;&gt;""),ErrorMsgs!$C723)</f>
        <v>0</v>
      </c>
      <c r="M723" s="712" t="b">
        <f ca="1">IF(AND('Start here'!$C$26=RefData!$B$10,'Covenant summary information'!$C$84&lt;2,'Reconciliation report'!$E723&lt;&gt;""),ErrorMsgs!$D723)</f>
        <v>0</v>
      </c>
      <c r="N723" s="712" t="b">
        <f ca="1">IF(AND('Start here'!$C$26=RefData!$B$10,'Covenant summary information'!$C$84&gt;=2,NOT(ISNA(MATCH($E$721,RefData!$B$149:$B$150,0))),'Reconciliation report'!$E723&lt;&gt;""),ErrorMsgs!$E723)</f>
        <v>0</v>
      </c>
      <c r="O723" s="712" t="b">
        <f ca="1">IF(AND('Start here'!$C$26=RefData!$B$10,'Covenant summary information'!$C$84&gt;=2,$E$721=RefData!$B$151,'Reconciliation report'!$E723=""),ErrorMsgs!$F723)</f>
        <v>0</v>
      </c>
      <c r="P723" s="726" t="b">
        <f ca="1">IF(LEN($E723)&gt;4000,ErrorMsgs!$G723)</f>
        <v>0</v>
      </c>
      <c r="Q723" s="712"/>
      <c r="R723" s="712"/>
      <c r="S723" s="712"/>
      <c r="T723" s="712"/>
      <c r="U723" s="526" t="str">
        <f t="shared" ca="1" si="99"/>
        <v/>
      </c>
      <c r="V723" s="93" t="str" cm="1">
        <f t="array" aca="1" ref="V723" ca="1">CELL("format",INDIRECT(I723))</f>
        <v>G</v>
      </c>
      <c r="W723" s="93" t="b">
        <f t="shared" ca="1" si="100"/>
        <v>0</v>
      </c>
      <c r="X723" s="715" t="str">
        <f t="shared" ca="1" si="98"/>
        <v/>
      </c>
      <c r="Y723" t="b">
        <f t="shared" ca="1" si="101"/>
        <v>1</v>
      </c>
    </row>
    <row r="724" spans="1:25" ht="77.5">
      <c r="A724" s="705" t="s">
        <v>1087</v>
      </c>
      <c r="B724" s="716" t="str">
        <f t="shared" ca="1" si="96"/>
        <v>Securities - C35</v>
      </c>
      <c r="C724" s="707" t="str" cm="1">
        <f t="array" aca="1" ref="C724" ca="1">INDIRECT(LEFT(I724, FIND("!", I724)) &amp; RefData!$C$426 &amp; RIGHT(I724, LEN(I724) - FIND("!", I724) - 1))</f>
        <v xml:space="preserve">
No answer required
Value ascribed (£)
</v>
      </c>
      <c r="D724" s="92" t="str">
        <f t="shared" ca="1" si="103"/>
        <v/>
      </c>
      <c r="E724" s="708" t="str" cm="1">
        <f t="array" aca="1" ref="E724" ca="1">IF(INDIRECT($I724)= "", "", INDIRECT($I724))</f>
        <v/>
      </c>
      <c r="F724" s="709" t="str" cm="1">
        <f t="array" aca="1" ref="F724" ca="1">INDIRECT(LEFT(I724, FIND("!", I724)) &amp; RefData!$C$427 &amp; RIGHT(I724, LEN(I724) - FIND("!", I724) - 1))</f>
        <v>SEC 6.0/2</v>
      </c>
      <c r="G724" s="710" t="b">
        <f ca="1">IF(ISNUMBER(SEARCH(RefData!$B$2, $C724)), FALSE, TRUE)</f>
        <v>0</v>
      </c>
      <c r="H724" s="344">
        <f>Securities!C35</f>
        <v>0</v>
      </c>
      <c r="I724" s="712" t="str">
        <f t="shared" ca="1" si="97"/>
        <v>Securities!C35</v>
      </c>
      <c r="J724" s="713" t="b" cm="1">
        <f t="array" aca="1" ref="J724" ca="1">IF(
    ISNUMBER(SEARCH(RefData!$B$2, $C$475)),
    IF(
        $E724 &lt;&gt; "",
        $J$475,
        IF(
            $E724 = "",
            FALSE
        )
    ),
    IF(
        COUNTIF($K724:$T724, "&lt;&gt;FALSE") - COUNTBLANK($K724:$T724) &gt; 0,
        INDEX($K724:$T724, MATCH(TRUE, $K724:$T724 &lt;&gt; FALSE, 0))
    )
)</f>
        <v>0</v>
      </c>
      <c r="K724" s="712" t="b">
        <f ca="1">IF(AND('Covenant summary information'!$C$84=0,'Reconciliation report'!$E724&lt;&gt;""),ErrorMsgs!$B724)</f>
        <v>0</v>
      </c>
      <c r="L724" s="712" t="b">
        <f ca="1">IF(AND('Covenant summary information'!$C$84&lt;2,'Reconciliation report'!$E724&lt;&gt;""),ErrorMsgs!$C724)</f>
        <v>0</v>
      </c>
      <c r="M724" s="712" t="b">
        <f ca="1">IF(AND('Covenant summary information'!$C$84&gt;=2,'Reconciliation report'!$E724=""),ErrorMsgs!$D724)</f>
        <v>0</v>
      </c>
      <c r="N724" s="712" t="b">
        <f ca="1">IF($E724="",FALSE,IF(ISERROR(VALUE($E724)),ErrorMsgs!$D$707,IF(OR(VALUE($E$724)-ROUND(VALUE($E$724),2)&lt;&gt;0,OR(VALUE($E$724)&lt;0,VALUE($E$724)&gt;=1000000000000)),ErrorMsgs!$E724)))</f>
        <v>0</v>
      </c>
      <c r="O724" s="712"/>
      <c r="P724" s="712"/>
      <c r="Q724" s="712"/>
      <c r="R724" s="712"/>
      <c r="S724" s="712"/>
      <c r="T724" s="712"/>
      <c r="U724" s="526" t="str">
        <f t="shared" ca="1" si="99"/>
        <v/>
      </c>
      <c r="V724" s="93" t="str" cm="1">
        <f t="array" aca="1" ref="V724" ca="1">CELL("format",INDIRECT(I724))</f>
        <v>C2</v>
      </c>
      <c r="W724" s="93" t="b">
        <f t="shared" ca="1" si="100"/>
        <v>0</v>
      </c>
      <c r="X724" s="715" t="str">
        <f t="shared" ca="1" si="98"/>
        <v/>
      </c>
      <c r="Y724" t="b">
        <f t="shared" ca="1" si="101"/>
        <v>1</v>
      </c>
    </row>
    <row r="725" spans="1:25" ht="77.5">
      <c r="A725" s="705" t="s">
        <v>1089</v>
      </c>
      <c r="B725" s="716" t="str">
        <f t="shared" ca="1" si="96"/>
        <v>Securities - C36</v>
      </c>
      <c r="C725" s="707" t="str" cm="1">
        <f t="array" aca="1" ref="C725" ca="1">INDIRECT(LEFT(I725, FIND("!", I725)) &amp; RefData!$C$426 &amp; RIGHT(I725, LEN(I725) - FIND("!", I725) - 1))</f>
        <v xml:space="preserve">
No answer required
Date of valuation
</v>
      </c>
      <c r="D725" s="92" t="str">
        <f t="shared" ca="1" si="103"/>
        <v/>
      </c>
      <c r="E725" s="708" t="str" cm="1">
        <f t="array" aca="1" ref="E725" ca="1">IF(INDIRECT($I725)= "", "", INDIRECT($I725))</f>
        <v/>
      </c>
      <c r="F725" s="709" t="str" cm="1">
        <f t="array" aca="1" ref="F725" ca="1">INDIRECT(LEFT(I725, FIND("!", I725)) &amp; RefData!$C$427 &amp; RIGHT(I725, LEN(I725) - FIND("!", I725) - 1))</f>
        <v>SEC 7.0/2</v>
      </c>
      <c r="G725" s="710" t="b">
        <f ca="1">IF(ISNUMBER(SEARCH(RefData!$B$2, $C725)), FALSE, TRUE)</f>
        <v>0</v>
      </c>
      <c r="H725" s="344">
        <f>Securities!C36</f>
        <v>0</v>
      </c>
      <c r="I725" s="712" t="str">
        <f t="shared" ca="1" si="97"/>
        <v>Securities!C36</v>
      </c>
      <c r="J725" s="713" t="b" cm="1">
        <f t="array" aca="1" ref="J725" ca="1">IF(
    ISNUMBER(SEARCH(RefData!$B$2, $C$475)),
    IF(
        $E725 &lt;&gt; "",
        $J$475,
        IF(
            $E725 = "",
            FALSE
        )
    ),
    IF(
        COUNTIF($K725:$T725, "&lt;&gt;FALSE") - COUNTBLANK($K725:$T725) &gt; 0,
        INDEX($K725:$T725, MATCH(TRUE, $K725:$T725 &lt;&gt; FALSE, 0))
    )
)</f>
        <v>0</v>
      </c>
      <c r="K725" s="712" t="b">
        <f ca="1">IF(AND('Covenant summary information'!$C$84=0,'Reconciliation report'!$E725&lt;&gt;""),ErrorMsgs!$B725)</f>
        <v>0</v>
      </c>
      <c r="L725" s="712" t="b">
        <f ca="1">IF(AND('Covenant summary information'!$C$84&lt;2,'Reconciliation report'!$E725&lt;&gt;""),ErrorMsgs!$C725)</f>
        <v>0</v>
      </c>
      <c r="M725" s="712" t="b">
        <f ca="1">IF(AND('Covenant summary information'!$C$84&gt;=2,'Reconciliation report'!$E725=""),ErrorMsgs!$D725)</f>
        <v>0</v>
      </c>
      <c r="N725" s="712" t="b">
        <f ca="1">IF($E725="",FALSE,IF(OR(NOT(ISNUMBER(VALUE($E725))), $E725&lt;&gt;INT($E725)),ErrorMsgs!$E725))</f>
        <v>0</v>
      </c>
      <c r="O725" s="712" t="b">
        <f ca="1">IF($E725="",FALSE,IF(ISERROR(VALUE($E725)),ErrorMsgs!$F725,IF(VALUE($E725)&gt;TODAY(),ErrorMsgs!$F725)))</f>
        <v>0</v>
      </c>
      <c r="P725" s="712"/>
      <c r="Q725" s="712"/>
      <c r="R725" s="712"/>
      <c r="S725" s="712"/>
      <c r="T725" s="712"/>
      <c r="U725" s="526" t="str">
        <f t="shared" ca="1" si="99"/>
        <v/>
      </c>
      <c r="V725" s="93" t="str" cm="1">
        <f t="array" aca="1" ref="V725" ca="1">CELL("format",INDIRECT(I725))</f>
        <v>D1</v>
      </c>
      <c r="W725" s="93" t="b">
        <f t="shared" ca="1" si="100"/>
        <v>0</v>
      </c>
      <c r="X725" s="715" t="str">
        <f t="shared" ca="1" si="98"/>
        <v/>
      </c>
      <c r="Y725" t="b">
        <f t="shared" ca="1" si="101"/>
        <v>1</v>
      </c>
    </row>
    <row r="726" spans="1:25" ht="77.5">
      <c r="A726" s="705" t="s">
        <v>1091</v>
      </c>
      <c r="B726" s="716" t="str">
        <f t="shared" ca="1" si="96"/>
        <v>Securities - C37</v>
      </c>
      <c r="C726" s="707" t="str" cm="1">
        <f t="array" aca="1" ref="C726" ca="1">INDIRECT(LEFT(I726, FIND("!", I726)) &amp; RefData!$C$426 &amp; RIGHT(I726, LEN(I726) - FIND("!", I726) - 1))</f>
        <v xml:space="preserve">
No answer required
Value cap
</v>
      </c>
      <c r="D726" s="92" t="str">
        <f t="shared" ca="1" si="103"/>
        <v/>
      </c>
      <c r="E726" s="708" t="str" cm="1">
        <f t="array" aca="1" ref="E726" ca="1">IF(INDIRECT($I726)= "", "", INDIRECT($I726))</f>
        <v/>
      </c>
      <c r="F726" s="709" t="str" cm="1">
        <f t="array" aca="1" ref="F726" ca="1">INDIRECT(LEFT(I726, FIND("!", I726)) &amp; RefData!$C$427 &amp; RIGHT(I726, LEN(I726) - FIND("!", I726) - 1))</f>
        <v>SEC 8.0/2</v>
      </c>
      <c r="G726" s="710" t="b">
        <f ca="1">IF(ISNUMBER(SEARCH(RefData!$B$2, $C726)), FALSE, TRUE)</f>
        <v>0</v>
      </c>
      <c r="H726" s="344">
        <f>Securities!C37</f>
        <v>0</v>
      </c>
      <c r="I726" s="712" t="str">
        <f t="shared" ca="1" si="97"/>
        <v>Securities!C37</v>
      </c>
      <c r="J726" s="713" t="b" cm="1">
        <f t="array" aca="1" ref="J726" ca="1">IF(
    ISNUMBER(SEARCH(RefData!$B$2, $C$475)),
    IF(
        $E726 &lt;&gt; "",
        $J$475,
        IF(
            $E726 = "",
            FALSE
        )
    ),
    IF(
        COUNTIF($K726:$T726, "&lt;&gt;FALSE") - COUNTBLANK($K726:$T726) &gt; 0,
        INDEX($K726:$T726, MATCH(TRUE, $K726:$T726 &lt;&gt; FALSE, 0))
    )
)</f>
        <v>0</v>
      </c>
      <c r="K726" s="712" t="b">
        <f ca="1">IF(AND('Start here'!$C$26=RefData!$B$9,'Reconciliation report'!$E726&lt;&gt;""),ErrorMsgs!$B726)</f>
        <v>0</v>
      </c>
      <c r="L726" s="712" t="b">
        <f ca="1">IF(AND('Start here'!$C$26=RefData!$B$10,'Covenant summary information'!$C$84=0,'Reconciliation report'!$E726&lt;&gt;""),ErrorMsgs!$C726)</f>
        <v>0</v>
      </c>
      <c r="M726" s="712" t="b">
        <f ca="1">IF(AND('Start here'!$C$26=RefData!$B$10,'Covenant summary information'!$C$84&lt;2,'Reconciliation report'!$E726&lt;&gt;""),ErrorMsgs!$D726)</f>
        <v>0</v>
      </c>
      <c r="N726" s="712" t="b">
        <f ca="1">IF(AND('Start here'!$C$26=RefData!$B$10,'Covenant summary information'!$C$84&gt;=2,'Reconciliation report'!$E726=""),ErrorMsgs!$E726)</f>
        <v>0</v>
      </c>
      <c r="O726" s="712" t="b">
        <f ca="1">IF(E726="",FALSE,IF(ISNA(MATCH($E$726,RefData!$B$152:$B$158,0)),ErrorMsgs!$F726))</f>
        <v>0</v>
      </c>
      <c r="P726" s="712"/>
      <c r="Q726" s="712"/>
      <c r="R726" s="712"/>
      <c r="S726" s="712"/>
      <c r="T726" s="712"/>
      <c r="U726" s="526" t="str">
        <f t="shared" ca="1" si="99"/>
        <v/>
      </c>
      <c r="V726" s="93" t="str" cm="1">
        <f t="array" aca="1" ref="V726" ca="1">CELL("format",INDIRECT(I726))</f>
        <v>G</v>
      </c>
      <c r="W726" s="93" t="b">
        <f t="shared" ca="1" si="100"/>
        <v>0</v>
      </c>
      <c r="X726" s="715" t="str">
        <f t="shared" ca="1" si="98"/>
        <v/>
      </c>
      <c r="Y726" t="b">
        <f t="shared" ca="1" si="101"/>
        <v>1</v>
      </c>
    </row>
    <row r="727" spans="1:25" ht="77.5">
      <c r="A727" s="705" t="s">
        <v>1093</v>
      </c>
      <c r="B727" s="716" t="str">
        <f t="shared" ca="1" si="96"/>
        <v>Securities - C38</v>
      </c>
      <c r="C727" s="707" t="str" cm="1">
        <f t="array" aca="1" ref="C727" ca="1">INDIRECT(LEFT(I727, FIND("!", I727)) &amp; RefData!$C$426 &amp; RIGHT(I727, LEN(I727) - FIND("!", I727) - 1))</f>
        <v xml:space="preserve">
No answer required
Narrative regarding value cap
</v>
      </c>
      <c r="D727" s="92" t="str">
        <f t="shared" ca="1" si="103"/>
        <v/>
      </c>
      <c r="E727" s="708" t="str" cm="1">
        <f t="array" aca="1" ref="E727" ca="1">IF(INDIRECT($I727)= "", "", INDIRECT($I727))</f>
        <v/>
      </c>
      <c r="F727" s="709" t="str" cm="1">
        <f t="array" aca="1" ref="F727" ca="1">INDIRECT(LEFT(I727, FIND("!", I727)) &amp; RefData!$C$427 &amp; RIGHT(I727, LEN(I727) - FIND("!", I727) - 1))</f>
        <v>SEC 9.0/2</v>
      </c>
      <c r="G727" s="710" t="b">
        <f ca="1">IF(ISNUMBER(SEARCH(RefData!$B$2, $C727)), FALSE, TRUE)</f>
        <v>0</v>
      </c>
      <c r="H727" s="344">
        <f>Securities!C38</f>
        <v>0</v>
      </c>
      <c r="I727" s="712" t="str">
        <f t="shared" ca="1" si="97"/>
        <v>Securities!C38</v>
      </c>
      <c r="J727" s="713" t="b" cm="1">
        <f t="array" aca="1" ref="J727" ca="1">IF(
    ISNUMBER(SEARCH(RefData!$B$2, $C$475)),
    IF(
        $E727 &lt;&gt; "",
        $J$475,
        IF(
            $E727 = "",
            FALSE
        )
    ),
    IF(
        COUNTIF($K727:$T727, "&lt;&gt;FALSE") - COUNTBLANK($K727:$T727) &gt; 0,
        INDEX($K727:$T727, MATCH(TRUE, $K727:$T727 &lt;&gt; FALSE, 0))
    )
)</f>
        <v>0</v>
      </c>
      <c r="K727" s="712" t="b">
        <f ca="1">IF(AND('Start here'!$C$26=RefData!$B$9,'Reconciliation report'!$E727&lt;&gt;""),ErrorMsgs!$B727)</f>
        <v>0</v>
      </c>
      <c r="L727" s="712" t="b">
        <f ca="1">IF(AND('Start here'!$C$26=RefData!$B$10,'Covenant summary information'!$C$84=0,'Reconciliation report'!$E727&lt;&gt;""),ErrorMsgs!$C727)</f>
        <v>0</v>
      </c>
      <c r="M727" s="714" t="b">
        <f ca="1">IF(AND('Start here'!$C$26=RefData!$B$10,'Covenant summary information'!$C$84&lt;2,'Reconciliation report'!$E727&lt;&gt;""),ErrorMsgs!$D727)</f>
        <v>0</v>
      </c>
      <c r="N727" s="714" t="b">
        <f ca="1">IF(AND('Start here'!$C$26=RefData!$B$10,'Covenant summary information'!$C$84&gt;=2,NOT(Securities!$C$37=RefData!$B$158),'Reconciliation report'!$E727&lt;&gt;""),ErrorMsgs!$E727)</f>
        <v>0</v>
      </c>
      <c r="O727" s="712" t="b">
        <f ca="1">IF(AND('Start here'!$C$26=RefData!$B$10,'Covenant summary information'!$C$84&gt;=2,Securities!$C$37=RefData!$B$158,'Reconciliation report'!$E727=""),ErrorMsgs!$F727)</f>
        <v>0</v>
      </c>
      <c r="P727" s="712" t="b">
        <f ca="1">IF(LEN($E727)&gt;4000,ErrorMsgs!$G727)</f>
        <v>0</v>
      </c>
      <c r="Q727" s="712"/>
      <c r="R727" s="712"/>
      <c r="S727" s="712"/>
      <c r="T727" s="712"/>
      <c r="U727" s="526" t="str">
        <f t="shared" ca="1" si="99"/>
        <v/>
      </c>
      <c r="V727" s="93" t="str" cm="1">
        <f t="array" aca="1" ref="V727" ca="1">CELL("format",INDIRECT(I727))</f>
        <v>G</v>
      </c>
      <c r="W727" s="93" t="b">
        <f t="shared" ca="1" si="100"/>
        <v>0</v>
      </c>
      <c r="X727" s="715" t="str">
        <f t="shared" ca="1" si="98"/>
        <v/>
      </c>
      <c r="Y727" t="b">
        <f t="shared" ca="1" si="101"/>
        <v>1</v>
      </c>
    </row>
    <row r="728" spans="1:25" ht="77.5">
      <c r="A728" s="705" t="s">
        <v>1095</v>
      </c>
      <c r="B728" s="716" t="str">
        <f t="shared" ca="1" si="96"/>
        <v>Securities - C39</v>
      </c>
      <c r="C728" s="707" t="str" cm="1">
        <f t="array" aca="1" ref="C728" ca="1">INDIRECT(LEFT(I728, FIND("!", I728)) &amp; RefData!$C$426 &amp; RIGHT(I728, LEN(I728) - FIND("!", I728) - 1))</f>
        <v xml:space="preserve">
No answer required
Fixed cap amount (£)
</v>
      </c>
      <c r="D728" s="92" t="str">
        <f t="shared" ref="D728" ca="1" si="104">""&amp;IF(J728=FALSE, "", J728)
&amp;""</f>
        <v/>
      </c>
      <c r="E728" s="708" t="str" cm="1">
        <f t="array" aca="1" ref="E728" ca="1">IF(INDIRECT($I728)= "", "", INDIRECT($I728))</f>
        <v/>
      </c>
      <c r="F728" s="709" t="str" cm="1">
        <f t="array" aca="1" ref="F728" ca="1">INDIRECT(LEFT(I728, FIND("!", I728)) &amp; RefData!$C$427 &amp; RIGHT(I728, LEN(I728) - FIND("!", I728) - 1))</f>
        <v>SEC 10.0/2</v>
      </c>
      <c r="G728" s="710" t="b">
        <f ca="1">IF(ISNUMBER(SEARCH(RefData!$B$2, $C728)), FALSE, TRUE)</f>
        <v>0</v>
      </c>
      <c r="H728" s="344">
        <f>Securities!C39</f>
        <v>0</v>
      </c>
      <c r="I728" s="712" t="str">
        <f t="shared" ca="1" si="97"/>
        <v>Securities!C39</v>
      </c>
      <c r="J728" s="713" t="b" cm="1">
        <f t="array" aca="1" ref="J728" ca="1">IF(
    ISNUMBER(SEARCH(RefData!$B$2, $C$475)),
    IF(
        $E728 &lt;&gt; "",
        $J$475,
        IF(
            $E728 = "",
            FALSE
        )
    ),
    IF(
        COUNTIF($K728:$T728, "&lt;&gt;FALSE") - COUNTBLANK($K728:$T728) &gt; 0,
        INDEX($K728:$T728, MATCH(TRUE, $K728:$T728 &lt;&gt; FALSE, 0))
    )
)</f>
        <v>0</v>
      </c>
      <c r="K728" s="712" t="b">
        <f ca="1">IF(AND('Start here'!$C$26=RefData!$B$9,'Reconciliation report'!$E728&lt;&gt;""),ErrorMsgs!$B728)</f>
        <v>0</v>
      </c>
      <c r="L728" s="712" t="b">
        <f ca="1">IF(AND('Start here'!$C$26=RefData!$B$10,'Covenant summary information'!$C$84=0,'Reconciliation report'!$E728&lt;&gt;""),ErrorMsgs!$C728)</f>
        <v>0</v>
      </c>
      <c r="M728" s="712" t="b">
        <f ca="1">IF(AND('Start here'!$C$26=RefData!$B$10,'Covenant summary information'!$C$84&lt;2,'Reconciliation report'!$E728&lt;&gt;""),ErrorMsgs!$D728)</f>
        <v>0</v>
      </c>
      <c r="N728" s="712" t="b">
        <f ca="1">IF(AND('Start here'!$C$26=RefData!$B$10,'Covenant summary information'!$C$84&gt;=2,NOT(Securities!$C$37=RefData!$B$157),'Reconciliation report'!$E728&lt;&gt;""),ErrorMsgs!$E728)</f>
        <v>0</v>
      </c>
      <c r="O728" s="712" t="b">
        <f ca="1">IF(AND('Start here'!$C$26=RefData!$B$10,'Covenant summary information'!$C$84&gt;=2,Securities!$C$37=RefData!$B$157,'Reconciliation report'!$E728=""),ErrorMsgs!$F728)</f>
        <v>0</v>
      </c>
      <c r="P728" s="712" t="b">
        <f ca="1">IF($E728="",FALSE,IF(ISERROR(VALUE($E728)),ErrorMsgs!G728,IF(OR(VALUE($E728)&lt;0,VALUE($E728)&gt;=1000000000000,VALUE($E728)-ROUND(VALUE($E728),2)&lt;&gt;0),ErrorMsgs!G728)))</f>
        <v>0</v>
      </c>
      <c r="Q728" s="712"/>
      <c r="R728" s="712"/>
      <c r="S728" s="712"/>
      <c r="T728" s="712"/>
      <c r="U728" s="526" t="str">
        <f t="shared" ca="1" si="99"/>
        <v/>
      </c>
      <c r="V728" s="93" t="str" cm="1">
        <f t="array" aca="1" ref="V728" ca="1">CELL("format",INDIRECT(I728))</f>
        <v>C2</v>
      </c>
      <c r="W728" s="93" t="b">
        <f t="shared" ca="1" si="100"/>
        <v>0</v>
      </c>
      <c r="X728" s="715" t="str">
        <f t="shared" ca="1" si="98"/>
        <v/>
      </c>
      <c r="Y728" t="b">
        <f t="shared" ca="1" si="101"/>
        <v>1</v>
      </c>
    </row>
    <row r="729" spans="1:25" ht="77.5">
      <c r="A729" s="705" t="s">
        <v>1097</v>
      </c>
      <c r="B729" s="716" t="str">
        <f t="shared" ca="1" si="96"/>
        <v>Securities - C43</v>
      </c>
      <c r="C729" s="707" t="str" cm="1">
        <f t="array" aca="1" ref="C729" ca="1">INDIRECT(LEFT(I729, FIND("!", I729)) &amp; RefData!$C$426 &amp; RIGHT(I729, LEN(I729) - FIND("!", I729) - 1))</f>
        <v xml:space="preserve">
No answer required
Participating employer insolvency
</v>
      </c>
      <c r="D729" s="92" t="str">
        <f t="shared" ca="1" si="103"/>
        <v/>
      </c>
      <c r="E729" s="708" t="str" cm="1">
        <f t="array" aca="1" ref="E729" ca="1">IF(INDIRECT($I729)= "", "", INDIRECT($I729))</f>
        <v/>
      </c>
      <c r="F729" s="709" t="str" cm="1">
        <f t="array" aca="1" ref="F729" ca="1">INDIRECT(LEFT(I729, FIND("!", I729)) &amp; RefData!$C$427 &amp; RIGHT(I729, LEN(I729) - FIND("!", I729) - 1))</f>
        <v>SEC 11.0/2</v>
      </c>
      <c r="G729" s="710" t="b">
        <f ca="1">IF(ISNUMBER(SEARCH(RefData!$B$2, $C729)), FALSE, TRUE)</f>
        <v>0</v>
      </c>
      <c r="H729" s="344">
        <f>Securities!C43</f>
        <v>0</v>
      </c>
      <c r="I729" s="712" t="str">
        <f t="shared" ca="1" si="97"/>
        <v>Securities!C43</v>
      </c>
      <c r="J729" s="713" t="b" cm="1">
        <f t="array" aca="1" ref="J729" ca="1">IF(
    ISNUMBER(SEARCH(RefData!$B$2, $C$475)),
    IF(
        $E729 &lt;&gt; "",
        $J$475,
        IF(
            $E729 = "",
            FALSE
        )
    ),
    IF(
        COUNTIF($K729:$T729, "&lt;&gt;FALSE") - COUNTBLANK($K729:$T729) &gt; 0,
        INDEX($K729:$T729, MATCH(TRUE, $K729:$T729 &lt;&gt; FALSE, 0))
    )
)</f>
        <v>0</v>
      </c>
      <c r="K729" s="712" t="b">
        <f ca="1">IF(AND('Start here'!$C$26=RefData!$B$9,'Reconciliation report'!$E729&lt;&gt;""),ErrorMsgs!$B729)</f>
        <v>0</v>
      </c>
      <c r="L729" s="712" t="b">
        <f ca="1">IF(AND('Start here'!$C$26=RefData!$B$10,'Covenant summary information'!$C$84=0,'Reconciliation report'!$E729&lt;&gt;""),ErrorMsgs!$C729)</f>
        <v>0</v>
      </c>
      <c r="M729" s="712" t="b">
        <f ca="1">IF(AND('Start here'!$C$26=RefData!$B$10,'Covenant summary information'!$C$84&lt;2,'Reconciliation report'!$E729&lt;&gt;""),ErrorMsgs!$D729)</f>
        <v>0</v>
      </c>
      <c r="N729" s="712" t="b">
        <f ca="1">IF(AND('Start here'!$C$26=RefData!$B$10,'Covenant summary information'!$C$84&gt;=2,'Reconciliation report'!$E729=""),ErrorMsgs!$E729)</f>
        <v>0</v>
      </c>
      <c r="O729" s="712" t="b">
        <f ca="1">IF($E729="",FALSE,IF(ISNA(MATCH($E729,RefData!$B$159:$B$160,0)),ErrorMsgs!$F729))</f>
        <v>0</v>
      </c>
      <c r="P729" s="712"/>
      <c r="Q729" s="712"/>
      <c r="R729" s="712"/>
      <c r="S729" s="712"/>
      <c r="T729" s="712"/>
      <c r="U729" s="526" t="str">
        <f t="shared" ca="1" si="99"/>
        <v/>
      </c>
      <c r="V729" s="93" t="str" cm="1">
        <f t="array" aca="1" ref="V729" ca="1">CELL("format",INDIRECT(I729))</f>
        <v>G</v>
      </c>
      <c r="W729" s="93" t="b">
        <f t="shared" ca="1" si="100"/>
        <v>0</v>
      </c>
      <c r="X729" s="715" t="str">
        <f t="shared" ca="1" si="98"/>
        <v/>
      </c>
      <c r="Y729" t="b">
        <f t="shared" ca="1" si="101"/>
        <v>1</v>
      </c>
    </row>
    <row r="730" spans="1:25" ht="77.5">
      <c r="A730" s="705" t="s">
        <v>1099</v>
      </c>
      <c r="B730" s="716" t="str">
        <f t="shared" ca="1" si="96"/>
        <v>Securities - C44</v>
      </c>
      <c r="C730" s="707" t="str" cm="1">
        <f t="array" aca="1" ref="C730" ca="1">INDIRECT(LEFT(I730, FIND("!", I730)) &amp; RefData!$C$426 &amp; RIGHT(I730, LEN(I730) - FIND("!", I730) - 1))</f>
        <v xml:space="preserve">
No answer required
Insolvency of associated company
</v>
      </c>
      <c r="D730" s="92" t="str">
        <f t="shared" ca="1" si="103"/>
        <v/>
      </c>
      <c r="E730" s="708" t="str" cm="1">
        <f t="array" aca="1" ref="E730" ca="1">IF(INDIRECT($I730)= "", "", INDIRECT($I730))</f>
        <v/>
      </c>
      <c r="F730" s="709" t="str" cm="1">
        <f t="array" aca="1" ref="F730" ca="1">INDIRECT(LEFT(I730, FIND("!", I730)) &amp; RefData!$C$427 &amp; RIGHT(I730, LEN(I730) - FIND("!", I730) - 1))</f>
        <v>SEC 12.0/2</v>
      </c>
      <c r="G730" s="710" t="b">
        <f ca="1">IF(ISNUMBER(SEARCH(RefData!$B$2, $C730)), FALSE, TRUE)</f>
        <v>0</v>
      </c>
      <c r="H730" s="344">
        <f>Securities!C44</f>
        <v>0</v>
      </c>
      <c r="I730" s="712" t="str">
        <f t="shared" ca="1" si="97"/>
        <v>Securities!C44</v>
      </c>
      <c r="J730" s="713" t="b" cm="1">
        <f t="array" aca="1" ref="J730" ca="1">IF(
    ISNUMBER(SEARCH(RefData!$B$2, $C$475)),
    IF(
        $E730 &lt;&gt; "",
        $J$475,
        IF(
            $E730 = "",
            FALSE
        )
    ),
    IF(
        COUNTIF($K730:$T730, "&lt;&gt;FALSE") - COUNTBLANK($K730:$T730) &gt; 0,
        INDEX($K730:$T730, MATCH(TRUE, $K730:$T730 &lt;&gt; FALSE, 0))
    )
)</f>
        <v>0</v>
      </c>
      <c r="K730" s="712" t="b">
        <f ca="1">IF(AND('Start here'!$C$26=RefData!$B$9,'Reconciliation report'!$E730&lt;&gt;""),ErrorMsgs!$B730)</f>
        <v>0</v>
      </c>
      <c r="L730" s="712" t="b">
        <f ca="1">IF(AND('Start here'!$C$26=RefData!$B$10,'Covenant summary information'!$C$84=0,'Reconciliation report'!$E730&lt;&gt;""),ErrorMsgs!$C730)</f>
        <v>0</v>
      </c>
      <c r="M730" s="712" t="b">
        <f ca="1">IF(AND('Start here'!$C$26=RefData!$B$10,'Covenant summary information'!$C$84&lt;2,'Reconciliation report'!$E730&lt;&gt;""),ErrorMsgs!$D730)</f>
        <v>0</v>
      </c>
      <c r="N730" s="712" t="b">
        <f ca="1">IF(AND('Start here'!$C$26=RefData!$B$10,'Covenant summary information'!$C$84&gt;=2,'Reconciliation report'!$E730=""),ErrorMsgs!$E730)</f>
        <v>0</v>
      </c>
      <c r="O730" s="712" t="b">
        <f ca="1">IF($E730="",FALSE,IF(ISNA(MATCH($E730,RefData!$B$159:$B$160,0)),ErrorMsgs!$F730))</f>
        <v>0</v>
      </c>
      <c r="P730" s="712"/>
      <c r="Q730" s="712"/>
      <c r="R730" s="712"/>
      <c r="S730" s="712"/>
      <c r="T730" s="712"/>
      <c r="U730" s="526" t="str">
        <f t="shared" ca="1" si="99"/>
        <v/>
      </c>
      <c r="V730" s="93" t="str" cm="1">
        <f t="array" aca="1" ref="V730" ca="1">CELL("format",INDIRECT(I730))</f>
        <v>G</v>
      </c>
      <c r="W730" s="93" t="b">
        <f t="shared" ca="1" si="100"/>
        <v>0</v>
      </c>
      <c r="X730" s="715" t="str">
        <f t="shared" ca="1" si="98"/>
        <v/>
      </c>
      <c r="Y730" t="b">
        <f t="shared" ca="1" si="101"/>
        <v>1</v>
      </c>
    </row>
    <row r="731" spans="1:25" ht="77.5">
      <c r="A731" s="705" t="s">
        <v>1101</v>
      </c>
      <c r="B731" s="716" t="str">
        <f t="shared" ca="1" si="96"/>
        <v>Securities - C45</v>
      </c>
      <c r="C731" s="707" t="str" cm="1">
        <f t="array" aca="1" ref="C731" ca="1">INDIRECT(LEFT(I731, FIND("!", I731)) &amp; RefData!$C$426 &amp; RIGHT(I731, LEN(I731) - FIND("!", I731) - 1))</f>
        <v xml:space="preserve">
No answer required
Non payment of contributions
</v>
      </c>
      <c r="D731" s="92" t="str">
        <f t="shared" ca="1" si="103"/>
        <v/>
      </c>
      <c r="E731" s="708" t="str" cm="1">
        <f t="array" aca="1" ref="E731" ca="1">IF(INDIRECT($I731)= "", "", INDIRECT($I731))</f>
        <v/>
      </c>
      <c r="F731" s="709" t="str" cm="1">
        <f t="array" aca="1" ref="F731" ca="1">INDIRECT(LEFT(I731, FIND("!", I731)) &amp; RefData!$C$427 &amp; RIGHT(I731, LEN(I731) - FIND("!", I731) - 1))</f>
        <v>SEC 13.0/2</v>
      </c>
      <c r="G731" s="710" t="b">
        <f ca="1">IF(ISNUMBER(SEARCH(RefData!$B$2, $C731)), FALSE, TRUE)</f>
        <v>0</v>
      </c>
      <c r="H731" s="344">
        <f>Securities!C45</f>
        <v>0</v>
      </c>
      <c r="I731" s="712" t="str">
        <f t="shared" ca="1" si="97"/>
        <v>Securities!C45</v>
      </c>
      <c r="J731" s="713" t="b" cm="1">
        <f t="array" aca="1" ref="J731" ca="1">IF(
    ISNUMBER(SEARCH(RefData!$B$2, $C$475)),
    IF(
        $E731 &lt;&gt; "",
        $J$475,
        IF(
            $E731 = "",
            FALSE
        )
    ),
    IF(
        COUNTIF($K731:$T731, "&lt;&gt;FALSE") - COUNTBLANK($K731:$T731) &gt; 0,
        INDEX($K731:$T731, MATCH(TRUE, $K731:$T731 &lt;&gt; FALSE, 0))
    )
)</f>
        <v>0</v>
      </c>
      <c r="K731" s="712" t="b">
        <f ca="1">IF(AND('Start here'!$C$26=RefData!$B$9,'Reconciliation report'!$E731&lt;&gt;""),ErrorMsgs!$B731)</f>
        <v>0</v>
      </c>
      <c r="L731" s="712" t="b">
        <f ca="1">IF(AND('Start here'!$C$26=RefData!$B$10,'Covenant summary information'!$C$84=0,'Reconciliation report'!$E731&lt;&gt;""),ErrorMsgs!$C731)</f>
        <v>0</v>
      </c>
      <c r="M731" s="712" t="b">
        <f ca="1">IF(AND('Start here'!$C$26=RefData!$B$10,'Covenant summary information'!$C$84&lt;2,'Reconciliation report'!$E731&lt;&gt;""),ErrorMsgs!$D731)</f>
        <v>0</v>
      </c>
      <c r="N731" s="712" t="b">
        <f ca="1">IF(AND('Start here'!$C$26=RefData!$B$10,'Covenant summary information'!$C$84&gt;=2,'Reconciliation report'!$E731=""),ErrorMsgs!$E731)</f>
        <v>0</v>
      </c>
      <c r="O731" s="712" t="b">
        <f ca="1">IF($E731="",FALSE,IF(ISNA(MATCH($E731,RefData!$B$159:$B$160,0)),ErrorMsgs!$F731))</f>
        <v>0</v>
      </c>
      <c r="P731" s="712"/>
      <c r="Q731" s="712"/>
      <c r="R731" s="712"/>
      <c r="S731" s="712"/>
      <c r="T731" s="712"/>
      <c r="U731" s="526" t="str">
        <f t="shared" ca="1" si="99"/>
        <v/>
      </c>
      <c r="V731" s="93" t="str" cm="1">
        <f t="array" aca="1" ref="V731" ca="1">CELL("format",INDIRECT(I731))</f>
        <v>G</v>
      </c>
      <c r="W731" s="93" t="b">
        <f t="shared" ca="1" si="100"/>
        <v>0</v>
      </c>
      <c r="X731" s="715" t="str">
        <f t="shared" ca="1" si="98"/>
        <v/>
      </c>
      <c r="Y731" t="b">
        <f t="shared" ca="1" si="101"/>
        <v>1</v>
      </c>
    </row>
    <row r="732" spans="1:25" ht="77.5">
      <c r="A732" s="705" t="s">
        <v>1103</v>
      </c>
      <c r="B732" s="716" t="str">
        <f t="shared" ca="1" si="96"/>
        <v>Securities - C46</v>
      </c>
      <c r="C732" s="707" t="str" cm="1">
        <f t="array" aca="1" ref="C732" ca="1">INDIRECT(LEFT(I732, FIND("!", I732)) &amp; RefData!$C$426 &amp; RIGHT(I732, LEN(I732) - FIND("!", I732) - 1))</f>
        <v xml:space="preserve">
No answer required
Crystallisation of investment risk
</v>
      </c>
      <c r="D732" s="92" t="str">
        <f t="shared" ca="1" si="103"/>
        <v/>
      </c>
      <c r="E732" s="708" t="str" cm="1">
        <f t="array" aca="1" ref="E732" ca="1">IF(INDIRECT($I732)= "", "", INDIRECT($I732))</f>
        <v/>
      </c>
      <c r="F732" s="709" t="str" cm="1">
        <f t="array" aca="1" ref="F732" ca="1">INDIRECT(LEFT(I732, FIND("!", I732)) &amp; RefData!$C$427 &amp; RIGHT(I732, LEN(I732) - FIND("!", I732) - 1))</f>
        <v>SEC 14.0/2</v>
      </c>
      <c r="G732" s="710" t="b">
        <f ca="1">IF(ISNUMBER(SEARCH(RefData!$B$2, $C732)), FALSE, TRUE)</f>
        <v>0</v>
      </c>
      <c r="H732" s="344">
        <f>Securities!C46</f>
        <v>0</v>
      </c>
      <c r="I732" s="712" t="str">
        <f t="shared" ca="1" si="97"/>
        <v>Securities!C46</v>
      </c>
      <c r="J732" s="713" t="b" cm="1">
        <f t="array" aca="1" ref="J732" ca="1">IF(
    ISNUMBER(SEARCH(RefData!$B$2, $C$475)),
    IF(
        $E732 &lt;&gt; "",
        $J$475,
        IF(
            $E732 = "",
            FALSE
        )
    ),
    IF(
        COUNTIF($K732:$T732, "&lt;&gt;FALSE") - COUNTBLANK($K732:$T732) &gt; 0,
        INDEX($K732:$T732, MATCH(TRUE, $K732:$T732 &lt;&gt; FALSE, 0))
    )
)</f>
        <v>0</v>
      </c>
      <c r="K732" s="712" t="b">
        <f ca="1">IF(AND('Start here'!$C$26=RefData!$B$9,'Reconciliation report'!$E732&lt;&gt;""),ErrorMsgs!$B732)</f>
        <v>0</v>
      </c>
      <c r="L732" s="712" t="b">
        <f ca="1">IF(AND('Start here'!$C$26=RefData!$B$10,'Covenant summary information'!$C$84=0,'Reconciliation report'!$E732&lt;&gt;""),ErrorMsgs!$C732)</f>
        <v>0</v>
      </c>
      <c r="M732" s="712" t="b">
        <f ca="1">IF(AND('Start here'!$C$26=RefData!$B$10,'Covenant summary information'!$C$84&lt;2,'Reconciliation report'!$E732&lt;&gt;""),ErrorMsgs!$D732)</f>
        <v>0</v>
      </c>
      <c r="N732" s="712" t="b">
        <f ca="1">IF(AND('Start here'!$C$26=RefData!$B$10,'Covenant summary information'!$C$84&gt;=2,'Reconciliation report'!$E732=""),ErrorMsgs!$E732)</f>
        <v>0</v>
      </c>
      <c r="O732" s="712" t="b">
        <f ca="1">IF($E732="",FALSE,IF(ISNA(MATCH($E732,RefData!$B$159:$B$160,0)),ErrorMsgs!$F732))</f>
        <v>0</v>
      </c>
      <c r="P732" s="712"/>
      <c r="Q732" s="712"/>
      <c r="R732" s="712"/>
      <c r="S732" s="712"/>
      <c r="T732" s="712"/>
      <c r="U732" s="526" t="str">
        <f t="shared" ca="1" si="99"/>
        <v/>
      </c>
      <c r="V732" s="93" t="str" cm="1">
        <f t="array" aca="1" ref="V732" ca="1">CELL("format",INDIRECT(I732))</f>
        <v>G</v>
      </c>
      <c r="W732" s="93" t="b">
        <f t="shared" ca="1" si="100"/>
        <v>0</v>
      </c>
      <c r="X732" s="715" t="str">
        <f t="shared" ca="1" si="98"/>
        <v/>
      </c>
      <c r="Y732" t="b">
        <f t="shared" ca="1" si="101"/>
        <v>1</v>
      </c>
    </row>
    <row r="733" spans="1:25" ht="77.5">
      <c r="A733" s="705" t="s">
        <v>1105</v>
      </c>
      <c r="B733" s="716" t="str">
        <f t="shared" ca="1" si="96"/>
        <v>Securities - C47</v>
      </c>
      <c r="C733" s="707" t="str" cm="1">
        <f t="array" aca="1" ref="C733" ca="1">INDIRECT(LEFT(I733, FIND("!", I733)) &amp; RefData!$C$426 &amp; RIGHT(I733, LEN(I733) - FIND("!", I733) - 1))</f>
        <v xml:space="preserve">
No answer required
Other
</v>
      </c>
      <c r="D733" s="92" t="str">
        <f t="shared" ca="1" si="103"/>
        <v/>
      </c>
      <c r="E733" s="708" t="str" cm="1">
        <f t="array" aca="1" ref="E733" ca="1">IF(INDIRECT($I733)= "", "", INDIRECT($I733))</f>
        <v/>
      </c>
      <c r="F733" s="709" t="str" cm="1">
        <f t="array" aca="1" ref="F733" ca="1">INDIRECT(LEFT(I733, FIND("!", I733)) &amp; RefData!$C$427 &amp; RIGHT(I733, LEN(I733) - FIND("!", I733) - 1))</f>
        <v>SEC 15.0/2</v>
      </c>
      <c r="G733" s="710" t="b">
        <f ca="1">IF(ISNUMBER(SEARCH(RefData!$B$2, $C733)), FALSE, TRUE)</f>
        <v>0</v>
      </c>
      <c r="H733" s="344">
        <f>Securities!C47</f>
        <v>0</v>
      </c>
      <c r="I733" s="712" t="str">
        <f t="shared" ca="1" si="97"/>
        <v>Securities!C47</v>
      </c>
      <c r="J733" s="713" t="b" cm="1">
        <f t="array" aca="1" ref="J733" ca="1">IF(
    ISNUMBER(SEARCH(RefData!$B$2, $C$475)),
    IF(
        $E733 &lt;&gt; "",
        $J$475,
        IF(
            $E733 = "",
            FALSE
        )
    ),
    IF(
        COUNTIF($K733:$T733, "&lt;&gt;FALSE") - COUNTBLANK($K733:$T733) &gt; 0,
        INDEX($K733:$T733, MATCH(TRUE, $K733:$T733 &lt;&gt; FALSE, 0))
    )
)</f>
        <v>0</v>
      </c>
      <c r="K733" s="712" t="b">
        <f ca="1">IF(AND('Start here'!$C$26=RefData!$B$9,'Reconciliation report'!$E733&lt;&gt;""),ErrorMsgs!$B733)</f>
        <v>0</v>
      </c>
      <c r="L733" s="712" t="b">
        <f ca="1">IF(AND('Start here'!$C$26=RefData!$B$10,'Covenant summary information'!$C$84=0,'Reconciliation report'!$E733&lt;&gt;""),ErrorMsgs!$C733)</f>
        <v>0</v>
      </c>
      <c r="M733" s="712" t="b">
        <f ca="1">IF(AND('Start here'!$C$26=RefData!$B$10,'Covenant summary information'!$C$84&lt;2,'Reconciliation report'!$E733&lt;&gt;""),ErrorMsgs!$D733)</f>
        <v>0</v>
      </c>
      <c r="N733" s="712" t="b">
        <f ca="1">IF(AND('Start here'!$C$26=RefData!$B$10,'Covenant summary information'!$C$84&gt;=2,'Reconciliation report'!$E733=""),ErrorMsgs!$E733)</f>
        <v>0</v>
      </c>
      <c r="O733" s="712" t="b">
        <f ca="1">IF($E733="",FALSE,IF(ISNA(MATCH($E733,RefData!$B$159:$B$160,0)),ErrorMsgs!$F733))</f>
        <v>0</v>
      </c>
      <c r="P733" s="712"/>
      <c r="Q733" s="712"/>
      <c r="R733" s="712"/>
      <c r="S733" s="712"/>
      <c r="T733" s="712"/>
      <c r="U733" s="526" t="str">
        <f t="shared" ca="1" si="99"/>
        <v/>
      </c>
      <c r="V733" s="93" t="str" cm="1">
        <f t="array" aca="1" ref="V733" ca="1">CELL("format",INDIRECT(I733))</f>
        <v>G</v>
      </c>
      <c r="W733" s="93" t="b">
        <f t="shared" ca="1" si="100"/>
        <v>0</v>
      </c>
      <c r="X733" s="715" t="str">
        <f t="shared" ca="1" si="98"/>
        <v/>
      </c>
      <c r="Y733" t="b">
        <f t="shared" ca="1" si="101"/>
        <v>1</v>
      </c>
    </row>
    <row r="734" spans="1:25" ht="77.5">
      <c r="A734" s="705" t="s">
        <v>1107</v>
      </c>
      <c r="B734" s="716" t="str">
        <f t="shared" ca="1" si="96"/>
        <v>Securities - C48</v>
      </c>
      <c r="C734" s="707" t="str" cm="1">
        <f t="array" aca="1" ref="C734" ca="1">INDIRECT(LEFT(I734, FIND("!", I734)) &amp; RefData!$C$426 &amp; RIGHT(I734, LEN(I734) - FIND("!", I734) - 1))</f>
        <v xml:space="preserve">
No answer required
Describe the other triggers for access to value
</v>
      </c>
      <c r="D734" s="92" t="str">
        <f t="shared" ca="1" si="103"/>
        <v/>
      </c>
      <c r="E734" s="708" t="str" cm="1">
        <f t="array" aca="1" ref="E734" ca="1">IF(INDIRECT($I734)= "", "", INDIRECT($I734))</f>
        <v/>
      </c>
      <c r="F734" s="709" t="str" cm="1">
        <f t="array" aca="1" ref="F734" ca="1">INDIRECT(LEFT(I734, FIND("!", I734)) &amp; RefData!$C$427 &amp; RIGHT(I734, LEN(I734) - FIND("!", I734) - 1))</f>
        <v>SEC 16.0/2</v>
      </c>
      <c r="G734" s="710" t="b">
        <f ca="1">IF(ISNUMBER(SEARCH(RefData!$B$2, $C734)), FALSE, TRUE)</f>
        <v>0</v>
      </c>
      <c r="H734" s="344">
        <f>Securities!C48</f>
        <v>0</v>
      </c>
      <c r="I734" s="712" t="str">
        <f t="shared" ca="1" si="97"/>
        <v>Securities!C48</v>
      </c>
      <c r="J734" s="713" t="b" cm="1">
        <f t="array" aca="1" ref="J734" ca="1">IF(
    ISNUMBER(SEARCH(RefData!$B$2, $C$475)),
    IF(
        $E734 &lt;&gt; "",
        $J$475,
        IF(
            $E734 = "",
            FALSE
        )
    ),
    IF(
        COUNTIF($K734:$T734, "&lt;&gt;FALSE") - COUNTBLANK($K734:$T734) &gt; 0,
        INDEX($K734:$T734, MATCH(TRUE, $K734:$T734 &lt;&gt; FALSE, 0))
    )
)</f>
        <v>0</v>
      </c>
      <c r="K734" s="712" t="b">
        <f ca="1">IF(AND('Start here'!$C$26=RefData!$B$9,'Reconciliation report'!$E734&lt;&gt;""),ErrorMsgs!$B734)</f>
        <v>0</v>
      </c>
      <c r="L734" s="712" t="b">
        <f ca="1">IF(AND('Start here'!$C$26=RefData!$B$10,'Covenant summary information'!$C$84=0,'Reconciliation report'!$E734&lt;&gt;""),ErrorMsgs!$C734)</f>
        <v>0</v>
      </c>
      <c r="M734" s="712" t="b">
        <f ca="1">IF(AND('Start here'!$C$26=RefData!$B$10,'Covenant summary information'!$C$84&lt;2,'Reconciliation report'!$E734&lt;&gt;""),ErrorMsgs!$D734)</f>
        <v>0</v>
      </c>
      <c r="N734" s="712" t="b">
        <f ca="1">IF(AND('Start here'!$C$26=RefData!$B$10,'Covenant summary information'!$C$84&gt;=2,Securities!$C$47=RefData!$B$160,'Reconciliation report'!$E734&lt;&gt;""),ErrorMsgs!$E734)</f>
        <v>0</v>
      </c>
      <c r="O734" s="712" t="b">
        <f ca="1">IF(AND('Start here'!$C$26=RefData!$B$10,'Covenant summary information'!$C$84&gt;=2,Securities!$C$47=RefData!$B$159,'Reconciliation report'!$E734=""),ErrorMsgs!$F734)</f>
        <v>0</v>
      </c>
      <c r="P734" s="712" t="b">
        <f ca="1">IF(LEN($E734)&gt;4000,ErrorMsgs!$G734)</f>
        <v>0</v>
      </c>
      <c r="Q734" s="712"/>
      <c r="R734" s="712"/>
      <c r="S734" s="712"/>
      <c r="T734" s="712"/>
      <c r="U734" s="526" t="str">
        <f t="shared" ca="1" si="99"/>
        <v/>
      </c>
      <c r="V734" s="93" t="str" cm="1">
        <f t="array" aca="1" ref="V734" ca="1">CELL("format",INDIRECT(I734))</f>
        <v>G</v>
      </c>
      <c r="W734" s="93" t="b">
        <f t="shared" ca="1" si="100"/>
        <v>0</v>
      </c>
      <c r="X734" s="715" t="str">
        <f t="shared" ca="1" si="98"/>
        <v/>
      </c>
      <c r="Y734" t="b">
        <f t="shared" ca="1" si="101"/>
        <v>1</v>
      </c>
    </row>
    <row r="735" spans="1:25" ht="77.5">
      <c r="A735" s="705" t="s">
        <v>1109</v>
      </c>
      <c r="B735" s="716" t="str">
        <f t="shared" ca="1" si="96"/>
        <v>Securities - C49</v>
      </c>
      <c r="C735" s="707" t="str" cm="1">
        <f t="array" aca="1" ref="C735" ca="1">INDIRECT(LEFT(I735, FIND("!", I735)) &amp; RefData!$C$426 &amp; RIGHT(I735, LEN(I735) - FIND("!", I735) - 1))</f>
        <v xml:space="preserve">
No answer required
Triggers for termination
</v>
      </c>
      <c r="D735" s="92" t="str">
        <f t="shared" ca="1" si="103"/>
        <v/>
      </c>
      <c r="E735" s="708" t="str" cm="1">
        <f t="array" aca="1" ref="E735" ca="1">IF(INDIRECT($I735)= "", "", INDIRECT($I735))</f>
        <v/>
      </c>
      <c r="F735" s="709" t="str" cm="1">
        <f t="array" aca="1" ref="F735" ca="1">INDIRECT(LEFT(I735, FIND("!", I735)) &amp; RefData!$C$427 &amp; RIGHT(I735, LEN(I735) - FIND("!", I735) - 1))</f>
        <v>SEC 17.0/2</v>
      </c>
      <c r="G735" s="710" t="b">
        <f ca="1">IF(ISNUMBER(SEARCH(RefData!$B$2, $C735)), FALSE, TRUE)</f>
        <v>0</v>
      </c>
      <c r="H735" s="344">
        <f>Securities!C49</f>
        <v>0</v>
      </c>
      <c r="I735" s="712" t="str">
        <f t="shared" ca="1" si="97"/>
        <v>Securities!C49</v>
      </c>
      <c r="J735" s="713" t="b" cm="1">
        <f t="array" aca="1" ref="J735" ca="1">IF(
    ISNUMBER(SEARCH(RefData!$B$2, $C$475)),
    IF(
        $E735 &lt;&gt; "",
        $J$475,
        IF(
            $E735 = "",
            FALSE
        )
    ),
    IF(
        COUNTIF($K735:$T735, "&lt;&gt;FALSE") - COUNTBLANK($K735:$T735) &gt; 0,
        INDEX($K735:$T735, MATCH(TRUE, $K735:$T735 &lt;&gt; FALSE, 0))
    )
)</f>
        <v>0</v>
      </c>
      <c r="K735" s="712" t="b">
        <f ca="1">IF(AND('Start here'!$C$26=RefData!$B$9,'Reconciliation report'!$E735&lt;&gt;""),ErrorMsgs!$B735)</f>
        <v>0</v>
      </c>
      <c r="L735" s="712" t="b">
        <f ca="1">IF(AND('Start here'!$C$26=RefData!$B$10,'Covenant summary information'!$C$84=0,'Reconciliation report'!$E735&lt;&gt;""),ErrorMsgs!$C735)</f>
        <v>0</v>
      </c>
      <c r="M735" s="712" t="b">
        <f ca="1">IF(AND('Start here'!$C$26=RefData!$B$10,'Covenant summary information'!$C$84&lt;2,'Reconciliation report'!$E735&lt;&gt;""),ErrorMsgs!$D735)</f>
        <v>0</v>
      </c>
      <c r="N735" s="712" t="b">
        <f ca="1">IF(AND('Start here'!$C$26=RefData!$B$10,'Covenant summary information'!$C$84&gt;=2,'Reconciliation report'!$E735=""),ErrorMsgs!$E735)</f>
        <v>0</v>
      </c>
      <c r="O735" s="712" t="b">
        <f ca="1">IF(LEN($E735)&gt;4000,ErrorMsgs!$F735)</f>
        <v>0</v>
      </c>
      <c r="P735" s="712"/>
      <c r="Q735" s="712"/>
      <c r="R735" s="712"/>
      <c r="S735" s="712"/>
      <c r="T735" s="712"/>
      <c r="U735" s="526" t="str">
        <f t="shared" ca="1" si="99"/>
        <v/>
      </c>
      <c r="V735" s="93" t="str" cm="1">
        <f t="array" aca="1" ref="V735" ca="1">CELL("format",INDIRECT(I735))</f>
        <v>G</v>
      </c>
      <c r="W735" s="93" t="b">
        <f t="shared" ca="1" si="100"/>
        <v>0</v>
      </c>
      <c r="X735" s="715" t="str">
        <f t="shared" ca="1" si="98"/>
        <v/>
      </c>
      <c r="Y735" t="b">
        <f t="shared" ca="1" si="101"/>
        <v>1</v>
      </c>
    </row>
    <row r="736" spans="1:25" ht="93">
      <c r="A736" s="705" t="s">
        <v>1112</v>
      </c>
      <c r="B736" s="716" t="str">
        <f t="shared" ca="1" si="96"/>
        <v>Securities - C53</v>
      </c>
      <c r="C736" s="707" t="str" cm="1">
        <f t="array" aca="1" ref="C736" ca="1">INDIRECT(LEFT(I736, FIND("!", I736)) &amp; RefData!$C$426 &amp; RIGHT(I736, LEN(I736) - FIND("!", I736) - 1))</f>
        <v xml:space="preserve">
No answer required
What is the type of underlying asset that the scheme has security over?
</v>
      </c>
      <c r="D736" s="92" t="str">
        <f t="shared" ref="D736:D752" ca="1" si="105">""&amp;IF(J736=FALSE, "", J736)
&amp;""</f>
        <v/>
      </c>
      <c r="E736" s="708" t="str" cm="1">
        <f t="array" aca="1" ref="E736" ca="1">IF(INDIRECT($I736)= "", "", INDIRECT($I736))</f>
        <v/>
      </c>
      <c r="F736" s="709" t="str" cm="1">
        <f t="array" aca="1" ref="F736" ca="1">INDIRECT(LEFT(I736, FIND("!", I736)) &amp; RefData!$C$427 &amp; RIGHT(I736, LEN(I736) - FIND("!", I736) - 1))</f>
        <v>SEC 1.0/3</v>
      </c>
      <c r="G736" s="710" t="b">
        <f ca="1">IF(ISNUMBER(SEARCH(RefData!$B$2, $C736)), FALSE, TRUE)</f>
        <v>0</v>
      </c>
      <c r="H736" s="344">
        <f>Securities!C53</f>
        <v>0</v>
      </c>
      <c r="I736" s="712" t="str">
        <f t="shared" ca="1" si="97"/>
        <v>Securities!C53</v>
      </c>
      <c r="J736" s="713" t="b" cm="1">
        <f t="array" aca="1" ref="J736" ca="1">IF(
    ISNUMBER(SEARCH(RefData!$B$2, $C$475)),
    IF(
        $E736 &lt;&gt; "",
        $J$475,
        IF(
            $E736 = "",
            FALSE
        )
    ),
    IF(
        COUNTIF($K736:$T736, "&lt;&gt;FALSE") - COUNTBLANK($K736:$T736) &gt; 0,
        INDEX($K736:$T736, MATCH(TRUE, $K736:$T736 &lt;&gt; FALSE, 0))
    )
)</f>
        <v>0</v>
      </c>
      <c r="K736" s="712" t="b">
        <f ca="1">IF(AND('Covenant summary information'!$C$84=0,'Reconciliation report'!$E736&lt;&gt;""),ErrorMsgs!$B736)</f>
        <v>0</v>
      </c>
      <c r="L736" s="712" t="b">
        <f ca="1">IF(AND('Covenant summary information'!$C$84&lt;3,'Reconciliation report'!$E736&lt;&gt;""),ErrorMsgs!$C736)</f>
        <v>0</v>
      </c>
      <c r="M736" s="712" t="b">
        <f ca="1">IF(AND('Covenant summary information'!$C$84&gt;=3,'Reconciliation report'!$E736=""),ErrorMsgs!$D736)</f>
        <v>0</v>
      </c>
      <c r="N736" s="712" t="b">
        <f ca="1">IF(E736="",FALSE,IF(ISNA(MATCH($E736,RefData!$B$141:$B$148,0)),ErrorMsgs!$E736))</f>
        <v>0</v>
      </c>
      <c r="O736" s="712"/>
      <c r="P736" s="712"/>
      <c r="Q736" s="712"/>
      <c r="R736" s="712"/>
      <c r="S736" s="712"/>
      <c r="T736" s="712"/>
      <c r="U736" s="526" t="str">
        <f t="shared" ca="1" si="99"/>
        <v/>
      </c>
      <c r="V736" s="93" t="str" cm="1">
        <f t="array" aca="1" ref="V736" ca="1">CELL("format",INDIRECT(I736))</f>
        <v>G</v>
      </c>
      <c r="W736" s="93" t="b">
        <f t="shared" ca="1" si="100"/>
        <v>0</v>
      </c>
      <c r="X736" s="715" t="str">
        <f t="shared" ca="1" si="98"/>
        <v/>
      </c>
      <c r="Y736" t="b">
        <f t="shared" ca="1" si="101"/>
        <v>1</v>
      </c>
    </row>
    <row r="737" spans="1:25" ht="77.5">
      <c r="A737" s="705" t="s">
        <v>1115</v>
      </c>
      <c r="B737" s="716" t="str">
        <f t="shared" ca="1" si="96"/>
        <v>Securities - C54</v>
      </c>
      <c r="C737" s="707" t="str" cm="1">
        <f t="array" aca="1" ref="C737" ca="1">INDIRECT(LEFT(I737, FIND("!", I737)) &amp; RefData!$C$426 &amp; RIGHT(I737, LEN(I737) - FIND("!", I737) - 1))</f>
        <v xml:space="preserve">
No answer required
Provide specific details of the underlying asset
</v>
      </c>
      <c r="D737" s="92" t="str">
        <f t="shared" ca="1" si="105"/>
        <v/>
      </c>
      <c r="E737" s="708" t="str" cm="1">
        <f t="array" aca="1" ref="E737" ca="1">IF(INDIRECT($I737)= "", "", INDIRECT($I737))</f>
        <v/>
      </c>
      <c r="F737" s="709" t="str" cm="1">
        <f t="array" aca="1" ref="F737" ca="1">INDIRECT(LEFT(I737, FIND("!", I737)) &amp; RefData!$C$427 &amp; RIGHT(I737, LEN(I737) - FIND("!", I737) - 1))</f>
        <v>SEC 2.0/3</v>
      </c>
      <c r="G737" s="710" t="b">
        <f ca="1">IF(ISNUMBER(SEARCH(RefData!$B$2, $C737)), FALSE, TRUE)</f>
        <v>0</v>
      </c>
      <c r="H737" s="344">
        <f>Securities!C54</f>
        <v>0</v>
      </c>
      <c r="I737" s="712" t="str">
        <f t="shared" ca="1" si="97"/>
        <v>Securities!C54</v>
      </c>
      <c r="J737" s="713" t="b" cm="1">
        <f t="array" aca="1" ref="J737" ca="1">IF(
    ISNUMBER(SEARCH(RefData!$B$2, $C$475)),
    IF(
        $E737 &lt;&gt; "",
        $J$475,
        IF(
            $E737 = "",
            FALSE
        )
    ),
    IF(
        COUNTIF($K737:$T737, "&lt;&gt;FALSE") - COUNTBLANK($K737:$T737) &gt; 0,
        INDEX($K737:$T737, MATCH(TRUE, $K737:$T737 &lt;&gt; FALSE, 0))
    )
)</f>
        <v>0</v>
      </c>
      <c r="K737" s="712" t="b">
        <f ca="1">IF(AND('Covenant summary information'!$C$84=0,'Reconciliation report'!$E737&lt;&gt;""),ErrorMsgs!$B737)</f>
        <v>0</v>
      </c>
      <c r="L737" s="712" t="b">
        <f ca="1">IF(AND('Covenant summary information'!$C$84&lt;3,'Reconciliation report'!$E737&lt;&gt;""),ErrorMsgs!$C737)</f>
        <v>0</v>
      </c>
      <c r="M737" s="712" t="b">
        <f ca="1">IF(AND('Covenant summary information'!$C$84&gt;=3,'Reconciliation report'!$E737=""),ErrorMsgs!$D737)</f>
        <v>0</v>
      </c>
      <c r="N737" s="712" t="b">
        <f ca="1">IF(LEN($E737)&gt;4000,ErrorMsgs!$E737)</f>
        <v>0</v>
      </c>
      <c r="O737" s="712"/>
      <c r="P737" s="712"/>
      <c r="Q737" s="712"/>
      <c r="R737" s="712"/>
      <c r="S737" s="712"/>
      <c r="T737" s="712"/>
      <c r="U737" s="526" t="str">
        <f t="shared" ca="1" si="99"/>
        <v/>
      </c>
      <c r="V737" s="93" t="str" cm="1">
        <f t="array" aca="1" ref="V737" ca="1">CELL("format",INDIRECT(I737))</f>
        <v>G</v>
      </c>
      <c r="W737" s="93" t="b">
        <f t="shared" ca="1" si="100"/>
        <v>0</v>
      </c>
      <c r="X737" s="715" t="str">
        <f t="shared" ca="1" si="98"/>
        <v/>
      </c>
      <c r="Y737" t="b">
        <f t="shared" ca="1" si="101"/>
        <v>1</v>
      </c>
    </row>
    <row r="738" spans="1:25" ht="77.5">
      <c r="A738" s="705" t="s">
        <v>1117</v>
      </c>
      <c r="B738" s="716" t="str">
        <f t="shared" ca="1" si="96"/>
        <v>Securities - C55</v>
      </c>
      <c r="C738" s="707" t="str" cm="1">
        <f t="array" aca="1" ref="C738" ca="1">INDIRECT(LEFT(I738, FIND("!", I738)) &amp; RefData!$C$426 &amp; RIGHT(I738, LEN(I738) - FIND("!", I738) - 1))</f>
        <v xml:space="preserve">
No answer required
Type of maturity
</v>
      </c>
      <c r="D738" s="92" t="str">
        <f t="shared" ca="1" si="105"/>
        <v/>
      </c>
      <c r="E738" s="708" t="str" cm="1">
        <f t="array" aca="1" ref="E738" ca="1">IF(INDIRECT($I738)= "", "", INDIRECT($I738))</f>
        <v/>
      </c>
      <c r="F738" s="709" t="str" cm="1">
        <f t="array" aca="1" ref="F738" ca="1">INDIRECT(LEFT(I738, FIND("!", I738)) &amp; RefData!$C$427 &amp; RIGHT(I738, LEN(I738) - FIND("!", I738) - 1))</f>
        <v>SEC 3.0/3</v>
      </c>
      <c r="G738" s="710" t="b">
        <f ca="1">IF(ISNUMBER(SEARCH(RefData!$B$2, $C738)), FALSE, TRUE)</f>
        <v>0</v>
      </c>
      <c r="H738" s="344">
        <f>Securities!C55</f>
        <v>0</v>
      </c>
      <c r="I738" s="712" t="str">
        <f t="shared" ca="1" si="97"/>
        <v>Securities!C55</v>
      </c>
      <c r="J738" s="713" t="b" cm="1">
        <f t="array" aca="1" ref="J738" ca="1">IF(
    ISNUMBER(SEARCH(RefData!$B$2, $C$475)),
    IF(
        $E738 &lt;&gt; "",
        $J$475,
        IF(
            $E738 = "",
            FALSE
        )
    ),
    IF(
        COUNTIF($K738:$T738, "&lt;&gt;FALSE") - COUNTBLANK($K738:$T738) &gt; 0,
        INDEX($K738:$T738, MATCH(TRUE, $K738:$T738 &lt;&gt; FALSE, 0))
    )
)</f>
        <v>0</v>
      </c>
      <c r="K738" s="712" t="b">
        <f ca="1">IF(AND('Start here'!$C$26=RefData!$B$9,'Reconciliation report'!E738&lt;&gt;""),ErrorMsgs!$B738)</f>
        <v>0</v>
      </c>
      <c r="L738" s="712" t="b">
        <f ca="1">IF(AND('Start here'!$C$26=RefData!$B$10,'Covenant summary information'!$C$84=0,'Reconciliation report'!$E738&lt;&gt;""),ErrorMsgs!$C738)</f>
        <v>0</v>
      </c>
      <c r="M738" s="712" t="b">
        <f ca="1">IF(AND('Start here'!$C$26=RefData!$B$10,'Covenant summary information'!$C$84&lt;3,'Reconciliation report'!$E738&lt;&gt;""),ErrorMsgs!$D738)</f>
        <v>0</v>
      </c>
      <c r="N738" s="712" t="b">
        <f ca="1">IF(AND('Start here'!$C$26=RefData!$B$10,'Covenant summary information'!$C$84&gt;=3,'Reconciliation report'!$E738=""),ErrorMsgs!$E738)</f>
        <v>0</v>
      </c>
      <c r="O738" s="712" t="b">
        <f ca="1">IF(E738="",FALSE,IF(ISNA(MATCH($E738,RefData!$B$149:$B$151,0)),ErrorMsgs!$F738))</f>
        <v>0</v>
      </c>
      <c r="P738" s="712"/>
      <c r="Q738" s="712"/>
      <c r="R738" s="712"/>
      <c r="S738" s="712"/>
      <c r="T738" s="712"/>
      <c r="U738" s="526" t="str">
        <f t="shared" ca="1" si="99"/>
        <v/>
      </c>
      <c r="V738" s="93" t="str" cm="1">
        <f t="array" aca="1" ref="V738" ca="1">CELL("format",INDIRECT(I738))</f>
        <v>G</v>
      </c>
      <c r="W738" s="93" t="b">
        <f t="shared" ca="1" si="100"/>
        <v>0</v>
      </c>
      <c r="X738" s="715" t="str">
        <f t="shared" ca="1" si="98"/>
        <v/>
      </c>
      <c r="Y738" t="b">
        <f t="shared" ca="1" si="101"/>
        <v>1</v>
      </c>
    </row>
    <row r="739" spans="1:25" ht="77.5">
      <c r="A739" s="705" t="s">
        <v>1119</v>
      </c>
      <c r="B739" s="716" t="str">
        <f t="shared" ca="1" si="96"/>
        <v>Securities - C56</v>
      </c>
      <c r="C739" s="707" t="str" cm="1">
        <f t="array" aca="1" ref="C739" ca="1">INDIRECT(LEFT(I739, FIND("!", I739)) &amp; RefData!$C$426 &amp; RIGHT(I739, LEN(I739) - FIND("!", I739) - 1))</f>
        <v xml:space="preserve">
No answer required
Date of maturity
</v>
      </c>
      <c r="D739" s="92" t="str">
        <f t="shared" ca="1" si="105"/>
        <v/>
      </c>
      <c r="E739" s="708" t="str" cm="1">
        <f t="array" aca="1" ref="E739" ca="1">IF(INDIRECT($I739)= "", "", INDIRECT($I739))</f>
        <v/>
      </c>
      <c r="F739" s="709" t="str" cm="1">
        <f t="array" aca="1" ref="F739" ca="1">INDIRECT(LEFT(I739, FIND("!", I739)) &amp; RefData!$C$427 &amp; RIGHT(I739, LEN(I739) - FIND("!", I739) - 1))</f>
        <v>SEC 4.0/3</v>
      </c>
      <c r="G739" s="710" t="b">
        <f ca="1">IF(ISNUMBER(SEARCH(RefData!$B$2, $C739)), FALSE, TRUE)</f>
        <v>0</v>
      </c>
      <c r="H739" s="344">
        <f>Securities!C56</f>
        <v>0</v>
      </c>
      <c r="I739" s="712" t="str">
        <f t="shared" ca="1" si="97"/>
        <v>Securities!C56</v>
      </c>
      <c r="J739" s="713" t="b" cm="1">
        <f t="array" aca="1" ref="J739" ca="1">IF(
    ISNUMBER(SEARCH(RefData!$B$2, $C$475)),
    IF(
        $E739 &lt;&gt; "",
        $J$475,
        IF(
            $E739 = "",
            FALSE
        )
    ),
    IF(
        COUNTIF($K739:$T739, "&lt;&gt;FALSE") - COUNTBLANK($K739:$T739) &gt; 0,
        INDEX($K739:$T739, MATCH(TRUE, $K739:$T739 &lt;&gt; FALSE, 0))
    )
)</f>
        <v>0</v>
      </c>
      <c r="K739" s="712" t="b">
        <f ca="1">IF(AND('Start here'!$C$26=RefData!$B$9,'Reconciliation report'!$E739&lt;&gt;""),ErrorMsgs!$B739)</f>
        <v>0</v>
      </c>
      <c r="L739" s="712" t="b">
        <f ca="1">IF(AND('Start here'!$C$26=RefData!$B$10,'Covenant summary information'!$C$84=0,'Reconciliation report'!$E739&lt;&gt;""),ErrorMsgs!$C739)</f>
        <v>0</v>
      </c>
      <c r="M739" s="712" t="b">
        <f ca="1">IF(AND('Start here'!$C$26=RefData!$B$10,'Covenant summary information'!$C$84&lt;3,'Reconciliation report'!$E739&lt;&gt;""),ErrorMsgs!$D739)</f>
        <v>0</v>
      </c>
      <c r="N739" s="712" t="b">
        <f ca="1">IF(AND('Start here'!$C$26=RefData!$B$10,'Covenant summary information'!$C$84&gt;=3,NOT(ISNA(MATCH($E$738,RefData!$B$148:$B$149,0))),'Reconciliation report'!$E739&lt;&gt;""),ErrorMsgs!$E739)</f>
        <v>0</v>
      </c>
      <c r="O739" s="712" t="b">
        <f ca="1">IF(AND('Start here'!$C$26=RefData!$B$10,'Covenant summary information'!$C$84&gt;=3,$E$738=RefData!$B$150,'Reconciliation report'!$E739=""),ErrorMsgs!$F739)</f>
        <v>0</v>
      </c>
      <c r="P739" s="712" t="b">
        <f ca="1">IF($E739="",FALSE,IF(NOT(ISNUMBER(VALUE($E739))),ErrorMsgs!$G739))</f>
        <v>0</v>
      </c>
      <c r="Q739" s="712" t="b">
        <f ca="1">IF($E739&lt;'Start here'!$C$21,ErrorMsgs!$H739)</f>
        <v>0</v>
      </c>
      <c r="R739" s="712"/>
      <c r="S739" s="712"/>
      <c r="T739" s="712"/>
      <c r="U739" s="526" t="str">
        <f t="shared" ca="1" si="99"/>
        <v/>
      </c>
      <c r="V739" s="93" t="str" cm="1">
        <f t="array" aca="1" ref="V739" ca="1">CELL("format",INDIRECT(I739))</f>
        <v>D1</v>
      </c>
      <c r="W739" s="93" t="b">
        <f t="shared" ca="1" si="100"/>
        <v>0</v>
      </c>
      <c r="X739" s="715" t="str">
        <f t="shared" ca="1" si="98"/>
        <v/>
      </c>
      <c r="Y739" t="b">
        <f t="shared" ca="1" si="101"/>
        <v>1</v>
      </c>
    </row>
    <row r="740" spans="1:25" ht="77.5">
      <c r="A740" s="705" t="s">
        <v>1121</v>
      </c>
      <c r="B740" s="716" t="str">
        <f t="shared" ca="1" si="96"/>
        <v>Securities - C57</v>
      </c>
      <c r="C740" s="707" t="str" cm="1">
        <f t="array" aca="1" ref="C740" ca="1">INDIRECT(LEFT(I740, FIND("!", I740)) &amp; RefData!$C$426 &amp; RIGHT(I740, LEN(I740) - FIND("!", I740) - 1))</f>
        <v xml:space="preserve">
No answer required
Maturity date narrative
</v>
      </c>
      <c r="D740" s="92" t="str">
        <f t="shared" ca="1" si="105"/>
        <v/>
      </c>
      <c r="E740" s="708" t="str" cm="1">
        <f t="array" aca="1" ref="E740" ca="1">IF(INDIRECT($I740)= "", "", INDIRECT($I740))</f>
        <v/>
      </c>
      <c r="F740" s="709" t="str" cm="1">
        <f t="array" aca="1" ref="F740" ca="1">INDIRECT(LEFT(I740, FIND("!", I740)) &amp; RefData!$C$427 &amp; RIGHT(I740, LEN(I740) - FIND("!", I740) - 1))</f>
        <v>SEC 5.0/3</v>
      </c>
      <c r="G740" s="710" t="b">
        <f ca="1">IF(ISNUMBER(SEARCH(RefData!$B$2, $C740)), FALSE, TRUE)</f>
        <v>0</v>
      </c>
      <c r="H740" s="344">
        <f>Securities!C57</f>
        <v>0</v>
      </c>
      <c r="I740" s="712" t="str">
        <f t="shared" ca="1" si="97"/>
        <v>Securities!C57</v>
      </c>
      <c r="J740" s="713" t="b" cm="1">
        <f t="array" aca="1" ref="J740" ca="1">IF(
    ISNUMBER(SEARCH(RefData!$B$2, $C$475)),
    IF(
        $E740 &lt;&gt; "",
        $J$475,
        IF(
            $E740 = "",
            FALSE
        )
    ),
    IF(
        COUNTIF($K740:$T740, "&lt;&gt;FALSE") - COUNTBLANK($K740:$T740) &gt; 0,
        INDEX($K740:$T740, MATCH(TRUE, $K740:$T740 &lt;&gt; FALSE, 0))
    )
)</f>
        <v>0</v>
      </c>
      <c r="K740" s="712" t="b">
        <f ca="1">IF(AND('Start here'!$C$26=RefData!$B$9,'Reconciliation report'!$E740&lt;&gt;""),ErrorMsgs!$B740)</f>
        <v>0</v>
      </c>
      <c r="L740" s="712" t="b">
        <f ca="1">IF(AND('Start here'!$C$26=RefData!$B$10,'Covenant summary information'!$C$84=0,'Reconciliation report'!$E740&lt;&gt;""),ErrorMsgs!$C740)</f>
        <v>0</v>
      </c>
      <c r="M740" s="712" t="b">
        <f ca="1">IF(AND('Start here'!$C$26=RefData!$B$10,'Covenant summary information'!$C$84&lt;3,'Reconciliation report'!$E740&lt;&gt;""),ErrorMsgs!$D740)</f>
        <v>0</v>
      </c>
      <c r="N740" s="712" t="b">
        <f ca="1">IF(AND('Start here'!$C$26=RefData!$B$10,'Covenant summary information'!$C$84&gt;=3,NOT(ISNA(MATCH($E$704,RefData!$B$149:$B$150,0))),'Reconciliation report'!$E740&lt;&gt;""),ErrorMsgs!$E740)</f>
        <v>0</v>
      </c>
      <c r="O740" s="712" t="b">
        <f ca="1">IF(AND('Start here'!$C$26=RefData!$B$10,'Covenant summary information'!$C$84&gt;=3,$E$704=RefData!$B$151,'Reconciliation report'!$E740=""),ErrorMsgs!$F740)</f>
        <v>0</v>
      </c>
      <c r="P740" s="726" t="b">
        <f ca="1">IF(LEN($E740)&gt;4000,ErrorMsgs!$G740)</f>
        <v>0</v>
      </c>
      <c r="Q740" s="712"/>
      <c r="R740" s="712"/>
      <c r="S740" s="712"/>
      <c r="T740" s="712"/>
      <c r="U740" s="526" t="str">
        <f t="shared" ca="1" si="99"/>
        <v/>
      </c>
      <c r="V740" s="93" t="str" cm="1">
        <f t="array" aca="1" ref="V740" ca="1">CELL("format",INDIRECT(I740))</f>
        <v>G</v>
      </c>
      <c r="W740" s="93" t="b">
        <f t="shared" ca="1" si="100"/>
        <v>0</v>
      </c>
      <c r="X740" s="715" t="str">
        <f t="shared" ca="1" si="98"/>
        <v/>
      </c>
      <c r="Y740" t="b">
        <f t="shared" ca="1" si="101"/>
        <v>1</v>
      </c>
    </row>
    <row r="741" spans="1:25" ht="77.5">
      <c r="A741" s="705" t="s">
        <v>1123</v>
      </c>
      <c r="B741" s="716" t="str">
        <f t="shared" ca="1" si="96"/>
        <v>Securities - C58</v>
      </c>
      <c r="C741" s="707" t="str" cm="1">
        <f t="array" aca="1" ref="C741" ca="1">INDIRECT(LEFT(I741, FIND("!", I741)) &amp; RefData!$C$426 &amp; RIGHT(I741, LEN(I741) - FIND("!", I741) - 1))</f>
        <v xml:space="preserve">
No answer required
Value ascribed (£)
</v>
      </c>
      <c r="D741" s="92" t="str">
        <f t="shared" ca="1" si="105"/>
        <v/>
      </c>
      <c r="E741" s="708" t="str" cm="1">
        <f t="array" aca="1" ref="E741" ca="1">IF(INDIRECT($I741)= "", "", INDIRECT($I741))</f>
        <v/>
      </c>
      <c r="F741" s="709" t="str" cm="1">
        <f t="array" aca="1" ref="F741" ca="1">INDIRECT(LEFT(I741, FIND("!", I741)) &amp; RefData!$C$427 &amp; RIGHT(I741, LEN(I741) - FIND("!", I741) - 1))</f>
        <v>SEC 6.0/3</v>
      </c>
      <c r="G741" s="710" t="b">
        <f ca="1">IF(ISNUMBER(SEARCH(RefData!$B$2, $C741)), FALSE, TRUE)</f>
        <v>0</v>
      </c>
      <c r="H741" s="344">
        <f>Securities!C58</f>
        <v>0</v>
      </c>
      <c r="I741" s="712" t="str">
        <f t="shared" ca="1" si="97"/>
        <v>Securities!C58</v>
      </c>
      <c r="J741" s="713" t="b" cm="1">
        <f t="array" aca="1" ref="J741" ca="1">IF(
    ISNUMBER(SEARCH(RefData!$B$2, $C$475)),
    IF(
        $E741 &lt;&gt; "",
        $J$475,
        IF(
            $E741 = "",
            FALSE
        )
    ),
    IF(
        COUNTIF($K741:$T741, "&lt;&gt;FALSE") - COUNTBLANK($K741:$T741) &gt; 0,
        INDEX($K741:$T741, MATCH(TRUE, $K741:$T741 &lt;&gt; FALSE, 0))
    )
)</f>
        <v>0</v>
      </c>
      <c r="K741" s="712" t="b">
        <f ca="1">IF(AND('Covenant summary information'!$C$84=0,'Reconciliation report'!$E741&lt;&gt;""),ErrorMsgs!$B741)</f>
        <v>0</v>
      </c>
      <c r="L741" s="712" t="b">
        <f ca="1">IF(AND('Covenant summary information'!$C$84&lt;3,'Reconciliation report'!$E741&lt;&gt;""),ErrorMsgs!$C741)</f>
        <v>0</v>
      </c>
      <c r="M741" s="712" t="b">
        <f ca="1">IF(AND('Covenant summary information'!$C$84&gt;=3,'Reconciliation report'!$E741=""),ErrorMsgs!$D741)</f>
        <v>0</v>
      </c>
      <c r="N741" s="712" t="b">
        <f ca="1">IF($E741="",FALSE,IF(ISERROR(VALUE($E741)),ErrorMsgs!$D$707,IF(OR(VALUE($E$741)-ROUND(VALUE($E$741),2)&lt;&gt;0,OR(VALUE($E$741)&lt;0,VALUE($E$741)&gt;=1000000000000)),ErrorMsgs!$E741)))</f>
        <v>0</v>
      </c>
      <c r="O741" s="712"/>
      <c r="P741" s="712"/>
      <c r="Q741" s="712"/>
      <c r="R741" s="712"/>
      <c r="S741" s="712"/>
      <c r="T741" s="712"/>
      <c r="U741" s="526" t="str">
        <f t="shared" ca="1" si="99"/>
        <v/>
      </c>
      <c r="V741" s="93" t="str" cm="1">
        <f t="array" aca="1" ref="V741" ca="1">CELL("format",INDIRECT(I741))</f>
        <v>C2</v>
      </c>
      <c r="W741" s="93" t="b">
        <f t="shared" ca="1" si="100"/>
        <v>0</v>
      </c>
      <c r="X741" s="715" t="str">
        <f t="shared" ca="1" si="98"/>
        <v/>
      </c>
      <c r="Y741" t="b">
        <f t="shared" ca="1" si="101"/>
        <v>1</v>
      </c>
    </row>
    <row r="742" spans="1:25" ht="77.5">
      <c r="A742" s="705" t="s">
        <v>1125</v>
      </c>
      <c r="B742" s="716" t="str">
        <f t="shared" ca="1" si="96"/>
        <v>Securities - C59</v>
      </c>
      <c r="C742" s="707" t="str" cm="1">
        <f t="array" aca="1" ref="C742" ca="1">INDIRECT(LEFT(I742, FIND("!", I742)) &amp; RefData!$C$426 &amp; RIGHT(I742, LEN(I742) - FIND("!", I742) - 1))</f>
        <v xml:space="preserve">
No answer required
Date of valuation
</v>
      </c>
      <c r="D742" s="92" t="str">
        <f t="shared" ca="1" si="105"/>
        <v/>
      </c>
      <c r="E742" s="708" t="str" cm="1">
        <f t="array" aca="1" ref="E742" ca="1">IF(INDIRECT($I742)= "", "", INDIRECT($I742))</f>
        <v/>
      </c>
      <c r="F742" s="709" t="str" cm="1">
        <f t="array" aca="1" ref="F742" ca="1">INDIRECT(LEFT(I742, FIND("!", I742)) &amp; RefData!$C$427 &amp; RIGHT(I742, LEN(I742) - FIND("!", I742) - 1))</f>
        <v>SEC 7.0/3</v>
      </c>
      <c r="G742" s="710" t="b">
        <f ca="1">IF(ISNUMBER(SEARCH(RefData!$B$2, $C742)), FALSE, TRUE)</f>
        <v>0</v>
      </c>
      <c r="H742" s="344">
        <f>Securities!C59</f>
        <v>0</v>
      </c>
      <c r="I742" s="712" t="str">
        <f t="shared" ca="1" si="97"/>
        <v>Securities!C59</v>
      </c>
      <c r="J742" s="713" t="b" cm="1">
        <f t="array" aca="1" ref="J742" ca="1">IF(
    ISNUMBER(SEARCH(RefData!$B$2, $C$475)),
    IF(
        $E742 &lt;&gt; "",
        $J$475,
        IF(
            $E742 = "",
            FALSE
        )
    ),
    IF(
        COUNTIF($K742:$T742, "&lt;&gt;FALSE") - COUNTBLANK($K742:$T742) &gt; 0,
        INDEX($K742:$T742, MATCH(TRUE, $K742:$T742 &lt;&gt; FALSE, 0))
    )
)</f>
        <v>0</v>
      </c>
      <c r="K742" s="712" t="b">
        <f ca="1">IF(AND('Covenant summary information'!$C$84=0,'Reconciliation report'!$E742&lt;&gt;""),ErrorMsgs!$B742)</f>
        <v>0</v>
      </c>
      <c r="L742" s="712" t="b">
        <f ca="1">IF(AND('Covenant summary information'!$C$84&lt;3,'Reconciliation report'!$E742&lt;&gt;""),ErrorMsgs!$C742)</f>
        <v>0</v>
      </c>
      <c r="M742" s="712" t="b">
        <f ca="1">IF(AND('Covenant summary information'!$C$84&gt;=3,'Reconciliation report'!$E742=""),ErrorMsgs!$D742)</f>
        <v>0</v>
      </c>
      <c r="N742" s="712" t="b">
        <f ca="1">IF($E742="",FALSE,IF(OR(NOT(ISNUMBER(VALUE($E742))), $E742&lt;&gt;INT($E742)),ErrorMsgs!$E742))</f>
        <v>0</v>
      </c>
      <c r="O742" s="712" t="b">
        <f ca="1">IF($E742="",FALSE,IF(ISERROR(VALUE($E742)),ErrorMsgs!$F742,IF(VALUE($E742)&gt;TODAY(),ErrorMsgs!$F742)))</f>
        <v>0</v>
      </c>
      <c r="P742" s="712"/>
      <c r="Q742" s="712"/>
      <c r="R742" s="712"/>
      <c r="S742" s="712"/>
      <c r="T742" s="712"/>
      <c r="U742" s="526" t="str">
        <f t="shared" ca="1" si="99"/>
        <v/>
      </c>
      <c r="V742" s="93" t="str" cm="1">
        <f t="array" aca="1" ref="V742" ca="1">CELL("format",INDIRECT(I742))</f>
        <v>D1</v>
      </c>
      <c r="W742" s="93" t="b">
        <f t="shared" ca="1" si="100"/>
        <v>0</v>
      </c>
      <c r="X742" s="715" t="str">
        <f t="shared" ca="1" si="98"/>
        <v/>
      </c>
      <c r="Y742" t="b">
        <f t="shared" ca="1" si="101"/>
        <v>1</v>
      </c>
    </row>
    <row r="743" spans="1:25" ht="77.5">
      <c r="A743" s="705" t="s">
        <v>1127</v>
      </c>
      <c r="B743" s="716" t="str">
        <f t="shared" ca="1" si="96"/>
        <v>Securities - C60</v>
      </c>
      <c r="C743" s="707" t="str" cm="1">
        <f t="array" aca="1" ref="C743" ca="1">INDIRECT(LEFT(I743, FIND("!", I743)) &amp; RefData!$C$426 &amp; RIGHT(I743, LEN(I743) - FIND("!", I743) - 1))</f>
        <v xml:space="preserve">
No answer required
Value cap
</v>
      </c>
      <c r="D743" s="92" t="str">
        <f t="shared" ca="1" si="105"/>
        <v/>
      </c>
      <c r="E743" s="708" t="str" cm="1">
        <f t="array" aca="1" ref="E743" ca="1">IF(INDIRECT($I743)= "", "", INDIRECT($I743))</f>
        <v/>
      </c>
      <c r="F743" s="709" t="str" cm="1">
        <f t="array" aca="1" ref="F743" ca="1">INDIRECT(LEFT(I743, FIND("!", I743)) &amp; RefData!$C$427 &amp; RIGHT(I743, LEN(I743) - FIND("!", I743) - 1))</f>
        <v>SEC 8.0/3</v>
      </c>
      <c r="G743" s="710" t="b">
        <f ca="1">IF(ISNUMBER(SEARCH(RefData!$B$2, $C743)), FALSE, TRUE)</f>
        <v>0</v>
      </c>
      <c r="H743" s="344">
        <f>Securities!C60</f>
        <v>0</v>
      </c>
      <c r="I743" s="712" t="str">
        <f t="shared" ca="1" si="97"/>
        <v>Securities!C60</v>
      </c>
      <c r="J743" s="713" t="b" cm="1">
        <f t="array" aca="1" ref="J743" ca="1">IF(
    ISNUMBER(SEARCH(RefData!$B$2, $C$475)),
    IF(
        $E743 &lt;&gt; "",
        $J$475,
        IF(
            $E743 = "",
            FALSE
        )
    ),
    IF(
        COUNTIF($K743:$T743, "&lt;&gt;FALSE") - COUNTBLANK($K743:$T743) &gt; 0,
        INDEX($K743:$T743, MATCH(TRUE, $K743:$T743 &lt;&gt; FALSE, 0))
    )
)</f>
        <v>0</v>
      </c>
      <c r="K743" s="712" t="b">
        <f ca="1">IF(AND('Start here'!$C$26=RefData!$B$9,'Reconciliation report'!$E743&lt;&gt;""),ErrorMsgs!$B743)</f>
        <v>0</v>
      </c>
      <c r="L743" s="712" t="b">
        <f ca="1">IF(AND('Start here'!$C$26=RefData!$B$10,'Covenant summary information'!$C$84=0,'Reconciliation report'!$E743&lt;&gt;""),ErrorMsgs!$C743)</f>
        <v>0</v>
      </c>
      <c r="M743" s="712" t="b">
        <f ca="1">IF(AND('Start here'!$C$26=RefData!$B$10,'Covenant summary information'!$C$84&lt;3,'Reconciliation report'!$E743&lt;&gt;""),ErrorMsgs!$D743)</f>
        <v>0</v>
      </c>
      <c r="N743" s="712" t="b">
        <f ca="1">IF(AND('Start here'!$C$26=RefData!$B$10,'Covenant summary information'!$C$84&gt;=3,'Reconciliation report'!$E743=""),ErrorMsgs!$E743)</f>
        <v>0</v>
      </c>
      <c r="O743" s="712" t="b">
        <f ca="1">IF(E743="",FALSE,IF(ISNA(MATCH($E$743,RefData!$B$152:$B$158,0)),ErrorMsgs!$F743))</f>
        <v>0</v>
      </c>
      <c r="P743" s="712"/>
      <c r="Q743" s="712"/>
      <c r="R743" s="712"/>
      <c r="S743" s="712"/>
      <c r="T743" s="712"/>
      <c r="U743" s="526" t="str">
        <f t="shared" ca="1" si="99"/>
        <v/>
      </c>
      <c r="V743" s="93" t="str" cm="1">
        <f t="array" aca="1" ref="V743" ca="1">CELL("format",INDIRECT(I743))</f>
        <v>G</v>
      </c>
      <c r="W743" s="93" t="b">
        <f t="shared" ca="1" si="100"/>
        <v>0</v>
      </c>
      <c r="X743" s="715" t="str">
        <f t="shared" ca="1" si="98"/>
        <v/>
      </c>
      <c r="Y743" t="b">
        <f t="shared" ca="1" si="101"/>
        <v>1</v>
      </c>
    </row>
    <row r="744" spans="1:25" ht="77.5">
      <c r="A744" s="705" t="s">
        <v>1129</v>
      </c>
      <c r="B744" s="716" t="str">
        <f t="shared" ca="1" si="96"/>
        <v>Securities - C61</v>
      </c>
      <c r="C744" s="707" t="str" cm="1">
        <f t="array" aca="1" ref="C744" ca="1">INDIRECT(LEFT(I744, FIND("!", I744)) &amp; RefData!$C$426 &amp; RIGHT(I744, LEN(I744) - FIND("!", I744) - 1))</f>
        <v xml:space="preserve">
No answer required
Narrative regarding value cap
</v>
      </c>
      <c r="D744" s="92" t="str">
        <f t="shared" ca="1" si="105"/>
        <v/>
      </c>
      <c r="E744" s="708" t="str" cm="1">
        <f t="array" aca="1" ref="E744" ca="1">IF(INDIRECT($I744)= "", "", INDIRECT($I744))</f>
        <v/>
      </c>
      <c r="F744" s="709" t="str" cm="1">
        <f t="array" aca="1" ref="F744" ca="1">INDIRECT(LEFT(I744, FIND("!", I744)) &amp; RefData!$C$427 &amp; RIGHT(I744, LEN(I744) - FIND("!", I744) - 1))</f>
        <v>SEC 9.0/3</v>
      </c>
      <c r="G744" s="710" t="b">
        <f ca="1">IF(ISNUMBER(SEARCH(RefData!$B$2, $C744)), FALSE, TRUE)</f>
        <v>0</v>
      </c>
      <c r="H744" s="344">
        <f>Securities!C61</f>
        <v>0</v>
      </c>
      <c r="I744" s="712" t="str">
        <f t="shared" ca="1" si="97"/>
        <v>Securities!C61</v>
      </c>
      <c r="J744" s="713" t="b" cm="1">
        <f t="array" aca="1" ref="J744" ca="1">IF(
    ISNUMBER(SEARCH(RefData!$B$2, $C$475)),
    IF(
        $E744 &lt;&gt; "",
        $J$475,
        IF(
            $E744 = "",
            FALSE
        )
    ),
    IF(
        COUNTIF($K744:$T744, "&lt;&gt;FALSE") - COUNTBLANK($K744:$T744) &gt; 0,
        INDEX($K744:$T744, MATCH(TRUE, $K744:$T744 &lt;&gt; FALSE, 0))
    )
)</f>
        <v>0</v>
      </c>
      <c r="K744" s="712" t="b">
        <f ca="1">IF(AND('Start here'!$C$26=RefData!$B$9,'Reconciliation report'!$E744&lt;&gt;""),ErrorMsgs!$B744)</f>
        <v>0</v>
      </c>
      <c r="L744" s="712" t="b">
        <f ca="1">IF(AND('Start here'!$C$26=RefData!$B$10,'Covenant summary information'!$C$84=0,'Reconciliation report'!$E744&lt;&gt;""),ErrorMsgs!$C744)</f>
        <v>0</v>
      </c>
      <c r="M744" s="714" t="b">
        <f ca="1">IF(AND('Start here'!$C$26=RefData!$B$10,'Covenant summary information'!$C$84&lt;3,'Reconciliation report'!$E744&lt;&gt;""),ErrorMsgs!$D744)</f>
        <v>0</v>
      </c>
      <c r="N744" s="714" t="b">
        <f ca="1">IF(AND('Start here'!$C$26=RefData!$B$10,'Covenant summary information'!$C$84&gt;=3,NOT(Securities!$C$60=RefData!$B$158),'Reconciliation report'!$E744&lt;&gt;""),ErrorMsgs!$E744)</f>
        <v>0</v>
      </c>
      <c r="O744" s="712" t="b">
        <f ca="1">IF(AND('Start here'!$C$26=RefData!$B$10,'Covenant summary information'!$C$84&gt;=3,Securities!$C$60=RefData!$B$158,'Reconciliation report'!$E744=""),ErrorMsgs!$F744)</f>
        <v>0</v>
      </c>
      <c r="P744" s="712" t="b">
        <f ca="1">IF(LEN($E744)&gt;4000,ErrorMsgs!$G744)</f>
        <v>0</v>
      </c>
      <c r="Q744" s="712"/>
      <c r="R744" s="712"/>
      <c r="S744" s="712"/>
      <c r="T744" s="712"/>
      <c r="U744" s="526" t="str">
        <f t="shared" ca="1" si="99"/>
        <v/>
      </c>
      <c r="V744" s="93" t="str" cm="1">
        <f t="array" aca="1" ref="V744" ca="1">CELL("format",INDIRECT(I744))</f>
        <v>G</v>
      </c>
      <c r="W744" s="93" t="b">
        <f t="shared" ca="1" si="100"/>
        <v>0</v>
      </c>
      <c r="X744" s="715" t="str">
        <f t="shared" ca="1" si="98"/>
        <v/>
      </c>
      <c r="Y744" t="b">
        <f t="shared" ca="1" si="101"/>
        <v>1</v>
      </c>
    </row>
    <row r="745" spans="1:25" ht="77.5">
      <c r="A745" s="705" t="s">
        <v>1131</v>
      </c>
      <c r="B745" s="716" t="str">
        <f t="shared" ca="1" si="96"/>
        <v>Securities - C62</v>
      </c>
      <c r="C745" s="707" t="str" cm="1">
        <f t="array" aca="1" ref="C745" ca="1">INDIRECT(LEFT(I745, FIND("!", I745)) &amp; RefData!$C$426 &amp; RIGHT(I745, LEN(I745) - FIND("!", I745) - 1))</f>
        <v xml:space="preserve">
No answer required
Fixed cap amount (£)
</v>
      </c>
      <c r="D745" s="92" t="str">
        <f t="shared" ca="1" si="105"/>
        <v/>
      </c>
      <c r="E745" s="708" t="str" cm="1">
        <f t="array" aca="1" ref="E745" ca="1">IF(INDIRECT($I745)= "", "", INDIRECT($I745))</f>
        <v/>
      </c>
      <c r="F745" s="709" t="str" cm="1">
        <f t="array" aca="1" ref="F745" ca="1">INDIRECT(LEFT(I745, FIND("!", I745)) &amp; RefData!$C$427 &amp; RIGHT(I745, LEN(I745) - FIND("!", I745) - 1))</f>
        <v>SEC 10.0/3</v>
      </c>
      <c r="G745" s="710" t="b">
        <f ca="1">IF(ISNUMBER(SEARCH(RefData!$B$2, $C745)), FALSE, TRUE)</f>
        <v>0</v>
      </c>
      <c r="H745" s="344">
        <f>Securities!C62</f>
        <v>0</v>
      </c>
      <c r="I745" s="712" t="str">
        <f t="shared" ca="1" si="97"/>
        <v>Securities!C62</v>
      </c>
      <c r="J745" s="713" t="b" cm="1">
        <f t="array" aca="1" ref="J745" ca="1">IF(
    ISNUMBER(SEARCH(RefData!$B$2, $C$475)),
    IF(
        $E745 &lt;&gt; "",
        $J$475,
        IF(
            $E745 = "",
            FALSE
        )
    ),
    IF(
        COUNTIF($K745:$T745, "&lt;&gt;FALSE") - COUNTBLANK($K745:$T745) &gt; 0,
        INDEX($K745:$T745, MATCH(TRUE, $K745:$T745 &lt;&gt; FALSE, 0))
    )
)</f>
        <v>0</v>
      </c>
      <c r="K745" s="712" t="b">
        <f ca="1">IF(AND('Start here'!$C$26=RefData!$B$9,'Reconciliation report'!$E745&lt;&gt;""),ErrorMsgs!$B745)</f>
        <v>0</v>
      </c>
      <c r="L745" s="712" t="b">
        <f ca="1">IF(AND('Start here'!$C$26=RefData!$B$10,'Covenant summary information'!$C$84=0,'Reconciliation report'!$E745&lt;&gt;""),ErrorMsgs!$C745)</f>
        <v>0</v>
      </c>
      <c r="M745" s="712" t="b">
        <f ca="1">IF(AND('Start here'!$C$26=RefData!$B$10,'Covenant summary information'!$C$84&lt;3,'Reconciliation report'!$E745&lt;&gt;""),ErrorMsgs!$D745)</f>
        <v>0</v>
      </c>
      <c r="N745" s="712" t="b">
        <f ca="1">IF(AND('Start here'!$C$26=RefData!$B$10,'Covenant summary information'!$C$84&gt;=3,NOT(Securities!$C$60=RefData!$B$157),'Reconciliation report'!$E745&lt;&gt;""),ErrorMsgs!$E745)</f>
        <v>0</v>
      </c>
      <c r="O745" s="712" t="b">
        <f ca="1">IF(AND('Start here'!$C$26=RefData!$B$10,'Covenant summary information'!$C$84&gt;=3,Securities!$C$60=RefData!$B$157,'Reconciliation report'!$E745=""),ErrorMsgs!$F745)</f>
        <v>0</v>
      </c>
      <c r="P745" s="712" t="b">
        <f ca="1">IF($E745="",FALSE,IF(ISERROR(VALUE($E745)),ErrorMsgs!G745,IF(OR(VALUE($E745)&lt;0,VALUE($E745)&gt;=1000000000000,VALUE($E745)-ROUND(VALUE($E745),2)&lt;&gt;0),ErrorMsgs!G745)))</f>
        <v>0</v>
      </c>
      <c r="Q745" s="712"/>
      <c r="R745" s="712"/>
      <c r="S745" s="712"/>
      <c r="T745" s="712"/>
      <c r="U745" s="526" t="str">
        <f t="shared" ca="1" si="99"/>
        <v/>
      </c>
      <c r="V745" s="93" t="str" cm="1">
        <f t="array" aca="1" ref="V745" ca="1">CELL("format",INDIRECT(I745))</f>
        <v>C2</v>
      </c>
      <c r="W745" s="93" t="b">
        <f t="shared" ca="1" si="100"/>
        <v>0</v>
      </c>
      <c r="X745" s="715" t="str">
        <f t="shared" ca="1" si="98"/>
        <v/>
      </c>
      <c r="Y745" t="b">
        <f t="shared" ca="1" si="101"/>
        <v>1</v>
      </c>
    </row>
    <row r="746" spans="1:25" ht="77.5">
      <c r="A746" s="705" t="s">
        <v>1133</v>
      </c>
      <c r="B746" s="716" t="str">
        <f t="shared" ca="1" si="96"/>
        <v>Securities - C66</v>
      </c>
      <c r="C746" s="707" t="str" cm="1">
        <f t="array" aca="1" ref="C746" ca="1">INDIRECT(LEFT(I746, FIND("!", I746)) &amp; RefData!$C$426 &amp; RIGHT(I746, LEN(I746) - FIND("!", I746) - 1))</f>
        <v xml:space="preserve">
No answer required
Participating employer insolvency
</v>
      </c>
      <c r="D746" s="92" t="str">
        <f t="shared" ca="1" si="105"/>
        <v/>
      </c>
      <c r="E746" s="708" t="str" cm="1">
        <f t="array" aca="1" ref="E746" ca="1">IF(INDIRECT($I746)= "", "", INDIRECT($I746))</f>
        <v/>
      </c>
      <c r="F746" s="709" t="str" cm="1">
        <f t="array" aca="1" ref="F746" ca="1">INDIRECT(LEFT(I746, FIND("!", I746)) &amp; RefData!$C$427 &amp; RIGHT(I746, LEN(I746) - FIND("!", I746) - 1))</f>
        <v>SEC 11.0/3</v>
      </c>
      <c r="G746" s="710" t="b">
        <f ca="1">IF(ISNUMBER(SEARCH(RefData!$B$2, $C746)), FALSE, TRUE)</f>
        <v>0</v>
      </c>
      <c r="H746" s="344">
        <f>Securities!C66</f>
        <v>0</v>
      </c>
      <c r="I746" s="712" t="str">
        <f t="shared" ca="1" si="97"/>
        <v>Securities!C66</v>
      </c>
      <c r="J746" s="713" t="b" cm="1">
        <f t="array" aca="1" ref="J746" ca="1">IF(
    ISNUMBER(SEARCH(RefData!$B$2, $C$475)),
    IF(
        $E746 &lt;&gt; "",
        $J$475,
        IF(
            $E746 = "",
            FALSE
        )
    ),
    IF(
        COUNTIF($K746:$T746, "&lt;&gt;FALSE") - COUNTBLANK($K746:$T746) &gt; 0,
        INDEX($K746:$T746, MATCH(TRUE, $K746:$T746 &lt;&gt; FALSE, 0))
    )
)</f>
        <v>0</v>
      </c>
      <c r="K746" s="712" t="b">
        <f ca="1">IF(AND('Start here'!$C$26=RefData!$B$9,'Reconciliation report'!$E746&lt;&gt;""),ErrorMsgs!$B746)</f>
        <v>0</v>
      </c>
      <c r="L746" s="712" t="b">
        <f ca="1">IF(AND('Start here'!$C$26=RefData!$B$10,'Covenant summary information'!$C$84=0,'Reconciliation report'!$E746&lt;&gt;""),ErrorMsgs!$C746)</f>
        <v>0</v>
      </c>
      <c r="M746" s="712" t="b">
        <f ca="1">IF(AND('Start here'!$C$26=RefData!$B$10,'Covenant summary information'!$C$84&lt;3,'Reconciliation report'!$E746&lt;&gt;""),ErrorMsgs!$D746)</f>
        <v>0</v>
      </c>
      <c r="N746" s="712" t="b">
        <f ca="1">IF(AND('Start here'!$C$26=RefData!$B$10,'Covenant summary information'!$C$84&gt;=3,'Reconciliation report'!$E746=""),ErrorMsgs!$E746)</f>
        <v>0</v>
      </c>
      <c r="O746" s="712" t="b">
        <f ca="1">IF($E746="",FALSE,IF(ISNA(MATCH($E746,RefData!$B$159:$B$160,0)),ErrorMsgs!$F746))</f>
        <v>0</v>
      </c>
      <c r="P746" s="712"/>
      <c r="Q746" s="712"/>
      <c r="R746" s="712"/>
      <c r="S746" s="712"/>
      <c r="T746" s="712"/>
      <c r="U746" s="526" t="str">
        <f t="shared" ca="1" si="99"/>
        <v/>
      </c>
      <c r="V746" s="93" t="str" cm="1">
        <f t="array" aca="1" ref="V746" ca="1">CELL("format",INDIRECT(I746))</f>
        <v>G</v>
      </c>
      <c r="W746" s="93" t="b">
        <f t="shared" ca="1" si="100"/>
        <v>0</v>
      </c>
      <c r="X746" s="715" t="str">
        <f t="shared" ca="1" si="98"/>
        <v/>
      </c>
      <c r="Y746" t="b">
        <f t="shared" ca="1" si="101"/>
        <v>1</v>
      </c>
    </row>
    <row r="747" spans="1:25" ht="77.5">
      <c r="A747" s="705" t="s">
        <v>1135</v>
      </c>
      <c r="B747" s="716" t="str">
        <f t="shared" ca="1" si="96"/>
        <v>Securities - C67</v>
      </c>
      <c r="C747" s="707" t="str" cm="1">
        <f t="array" aca="1" ref="C747" ca="1">INDIRECT(LEFT(I747, FIND("!", I747)) &amp; RefData!$C$426 &amp; RIGHT(I747, LEN(I747) - FIND("!", I747) - 1))</f>
        <v xml:space="preserve">
No answer required
Insolvency of associated company
</v>
      </c>
      <c r="D747" s="92" t="str">
        <f t="shared" ca="1" si="105"/>
        <v/>
      </c>
      <c r="E747" s="708" t="str" cm="1">
        <f t="array" aca="1" ref="E747" ca="1">IF(INDIRECT($I747)= "", "", INDIRECT($I747))</f>
        <v/>
      </c>
      <c r="F747" s="709" t="str" cm="1">
        <f t="array" aca="1" ref="F747" ca="1">INDIRECT(LEFT(I747, FIND("!", I747)) &amp; RefData!$C$427 &amp; RIGHT(I747, LEN(I747) - FIND("!", I747) - 1))</f>
        <v>SEC 12.0/3</v>
      </c>
      <c r="G747" s="710" t="b">
        <f ca="1">IF(ISNUMBER(SEARCH(RefData!$B$2, $C747)), FALSE, TRUE)</f>
        <v>0</v>
      </c>
      <c r="H747" s="344">
        <f>Securities!C67</f>
        <v>0</v>
      </c>
      <c r="I747" s="712" t="str">
        <f t="shared" ca="1" si="97"/>
        <v>Securities!C67</v>
      </c>
      <c r="J747" s="713" t="b" cm="1">
        <f t="array" aca="1" ref="J747" ca="1">IF(
    ISNUMBER(SEARCH(RefData!$B$2, $C$475)),
    IF(
        $E747 &lt;&gt; "",
        $J$475,
        IF(
            $E747 = "",
            FALSE
        )
    ),
    IF(
        COUNTIF($K747:$T747, "&lt;&gt;FALSE") - COUNTBLANK($K747:$T747) &gt; 0,
        INDEX($K747:$T747, MATCH(TRUE, $K747:$T747 &lt;&gt; FALSE, 0))
    )
)</f>
        <v>0</v>
      </c>
      <c r="K747" s="712" t="b">
        <f ca="1">IF(AND('Start here'!$C$26=RefData!$B$9,'Reconciliation report'!$E747&lt;&gt;""),ErrorMsgs!$B747)</f>
        <v>0</v>
      </c>
      <c r="L747" s="712" t="b">
        <f ca="1">IF(AND('Start here'!$C$26=RefData!$B$10,'Covenant summary information'!$C$84=0,'Reconciliation report'!$E747&lt;&gt;""),ErrorMsgs!$C747)</f>
        <v>0</v>
      </c>
      <c r="M747" s="712" t="b">
        <f ca="1">IF(AND('Start here'!$C$26=RefData!$B$10,'Covenant summary information'!$C$84&lt;3,'Reconciliation report'!$E747&lt;&gt;""),ErrorMsgs!$D747)</f>
        <v>0</v>
      </c>
      <c r="N747" s="712" t="b">
        <f ca="1">IF(AND('Start here'!$C$26=RefData!$B$10,'Covenant summary information'!$C$84&gt;=3,'Reconciliation report'!$E747=""),ErrorMsgs!$E747)</f>
        <v>0</v>
      </c>
      <c r="O747" s="712" t="b">
        <f ca="1">IF($E747="",FALSE,IF(ISNA(MATCH($E747,RefData!$B$159:$B$160,0)),ErrorMsgs!$F747))</f>
        <v>0</v>
      </c>
      <c r="P747" s="712"/>
      <c r="Q747" s="712"/>
      <c r="R747" s="712"/>
      <c r="S747" s="712"/>
      <c r="T747" s="712"/>
      <c r="U747" s="526" t="str">
        <f t="shared" ca="1" si="99"/>
        <v/>
      </c>
      <c r="V747" s="93" t="str" cm="1">
        <f t="array" aca="1" ref="V747" ca="1">CELL("format",INDIRECT(I747))</f>
        <v>G</v>
      </c>
      <c r="W747" s="93" t="b">
        <f t="shared" ca="1" si="100"/>
        <v>0</v>
      </c>
      <c r="X747" s="715" t="str">
        <f t="shared" ca="1" si="98"/>
        <v/>
      </c>
      <c r="Y747" t="b">
        <f t="shared" ca="1" si="101"/>
        <v>1</v>
      </c>
    </row>
    <row r="748" spans="1:25" ht="77.5">
      <c r="A748" s="705" t="s">
        <v>1137</v>
      </c>
      <c r="B748" s="716" t="str">
        <f t="shared" ca="1" si="96"/>
        <v>Securities - C68</v>
      </c>
      <c r="C748" s="707" t="str" cm="1">
        <f t="array" aca="1" ref="C748" ca="1">INDIRECT(LEFT(I748, FIND("!", I748)) &amp; RefData!$C$426 &amp; RIGHT(I748, LEN(I748) - FIND("!", I748) - 1))</f>
        <v xml:space="preserve">
No answer required
Non payment of contributions
</v>
      </c>
      <c r="D748" s="92" t="str">
        <f t="shared" ca="1" si="105"/>
        <v/>
      </c>
      <c r="E748" s="708" t="str" cm="1">
        <f t="array" aca="1" ref="E748" ca="1">IF(INDIRECT($I748)= "", "", INDIRECT($I748))</f>
        <v/>
      </c>
      <c r="F748" s="709" t="str" cm="1">
        <f t="array" aca="1" ref="F748" ca="1">INDIRECT(LEFT(I748, FIND("!", I748)) &amp; RefData!$C$427 &amp; RIGHT(I748, LEN(I748) - FIND("!", I748) - 1))</f>
        <v>SEC 13.0/3</v>
      </c>
      <c r="G748" s="710" t="b">
        <f ca="1">IF(ISNUMBER(SEARCH(RefData!$B$2, $C748)), FALSE, TRUE)</f>
        <v>0</v>
      </c>
      <c r="H748" s="344">
        <f>Securities!C68</f>
        <v>0</v>
      </c>
      <c r="I748" s="712" t="str">
        <f t="shared" ca="1" si="97"/>
        <v>Securities!C68</v>
      </c>
      <c r="J748" s="713" t="b" cm="1">
        <f t="array" aca="1" ref="J748" ca="1">IF(
    ISNUMBER(SEARCH(RefData!$B$2, $C$475)),
    IF(
        $E748 &lt;&gt; "",
        $J$475,
        IF(
            $E748 = "",
            FALSE
        )
    ),
    IF(
        COUNTIF($K748:$T748, "&lt;&gt;FALSE") - COUNTBLANK($K748:$T748) &gt; 0,
        INDEX($K748:$T748, MATCH(TRUE, $K748:$T748 &lt;&gt; FALSE, 0))
    )
)</f>
        <v>0</v>
      </c>
      <c r="K748" s="712" t="b">
        <f ca="1">IF(AND('Start here'!$C$26=RefData!$B$9,'Reconciliation report'!$E748&lt;&gt;""),ErrorMsgs!$B748)</f>
        <v>0</v>
      </c>
      <c r="L748" s="712" t="b">
        <f ca="1">IF(AND('Start here'!$C$26=RefData!$B$10,'Covenant summary information'!$C$84=0,'Reconciliation report'!$E748&lt;&gt;""),ErrorMsgs!$C748)</f>
        <v>0</v>
      </c>
      <c r="M748" s="712" t="b">
        <f ca="1">IF(AND('Start here'!$C$26=RefData!$B$10,'Covenant summary information'!$C$84&lt;3,'Reconciliation report'!$E748&lt;&gt;""),ErrorMsgs!$D748)</f>
        <v>0</v>
      </c>
      <c r="N748" s="712" t="b">
        <f ca="1">IF(AND('Start here'!$C$26=RefData!$B$10,'Covenant summary information'!$C$84&gt;=3,'Reconciliation report'!$E748=""),ErrorMsgs!$E748)</f>
        <v>0</v>
      </c>
      <c r="O748" s="712" t="b">
        <f ca="1">IF($E748="",FALSE,IF(ISNA(MATCH($E748,RefData!$B$159:$B$160,0)),ErrorMsgs!$F748))</f>
        <v>0</v>
      </c>
      <c r="P748" s="712"/>
      <c r="Q748" s="712"/>
      <c r="R748" s="712"/>
      <c r="S748" s="712"/>
      <c r="T748" s="712"/>
      <c r="U748" s="526" t="str">
        <f t="shared" ca="1" si="99"/>
        <v/>
      </c>
      <c r="V748" s="93" t="str" cm="1">
        <f t="array" aca="1" ref="V748" ca="1">CELL("format",INDIRECT(I748))</f>
        <v>G</v>
      </c>
      <c r="W748" s="93" t="b">
        <f t="shared" ca="1" si="100"/>
        <v>0</v>
      </c>
      <c r="X748" s="715" t="str">
        <f t="shared" ca="1" si="98"/>
        <v/>
      </c>
      <c r="Y748" t="b">
        <f t="shared" ca="1" si="101"/>
        <v>1</v>
      </c>
    </row>
    <row r="749" spans="1:25" ht="77.5">
      <c r="A749" s="705" t="s">
        <v>1139</v>
      </c>
      <c r="B749" s="716" t="str">
        <f t="shared" ca="1" si="96"/>
        <v>Securities - C69</v>
      </c>
      <c r="C749" s="707" t="str" cm="1">
        <f t="array" aca="1" ref="C749" ca="1">INDIRECT(LEFT(I749, FIND("!", I749)) &amp; RefData!$C$426 &amp; RIGHT(I749, LEN(I749) - FIND("!", I749) - 1))</f>
        <v xml:space="preserve">
No answer required
Crystallisation of investment risk
</v>
      </c>
      <c r="D749" s="92" t="str">
        <f t="shared" ca="1" si="105"/>
        <v/>
      </c>
      <c r="E749" s="708" t="str" cm="1">
        <f t="array" aca="1" ref="E749" ca="1">IF(INDIRECT($I749)= "", "", INDIRECT($I749))</f>
        <v/>
      </c>
      <c r="F749" s="709" t="str" cm="1">
        <f t="array" aca="1" ref="F749" ca="1">INDIRECT(LEFT(I749, FIND("!", I749)) &amp; RefData!$C$427 &amp; RIGHT(I749, LEN(I749) - FIND("!", I749) - 1))</f>
        <v>SEC 14.0/3</v>
      </c>
      <c r="G749" s="710" t="b">
        <f ca="1">IF(ISNUMBER(SEARCH(RefData!$B$2, $C749)), FALSE, TRUE)</f>
        <v>0</v>
      </c>
      <c r="H749" s="344">
        <f>Securities!C69</f>
        <v>0</v>
      </c>
      <c r="I749" s="712" t="str">
        <f t="shared" ca="1" si="97"/>
        <v>Securities!C69</v>
      </c>
      <c r="J749" s="713" t="b" cm="1">
        <f t="array" aca="1" ref="J749" ca="1">IF(
    ISNUMBER(SEARCH(RefData!$B$2, $C$475)),
    IF(
        $E749 &lt;&gt; "",
        $J$475,
        IF(
            $E749 = "",
            FALSE
        )
    ),
    IF(
        COUNTIF($K749:$T749, "&lt;&gt;FALSE") - COUNTBLANK($K749:$T749) &gt; 0,
        INDEX($K749:$T749, MATCH(TRUE, $K749:$T749 &lt;&gt; FALSE, 0))
    )
)</f>
        <v>0</v>
      </c>
      <c r="K749" s="712" t="b">
        <f ca="1">IF(AND('Start here'!$C$26=RefData!$B$9,'Reconciliation report'!$E749&lt;&gt;""),ErrorMsgs!$B749)</f>
        <v>0</v>
      </c>
      <c r="L749" s="712" t="b">
        <f ca="1">IF(AND('Start here'!$C$26=RefData!$B$10,'Covenant summary information'!$C$84=0,'Reconciliation report'!$E749&lt;&gt;""),ErrorMsgs!$C749)</f>
        <v>0</v>
      </c>
      <c r="M749" s="712" t="b">
        <f ca="1">IF(AND('Start here'!$C$26=RefData!$B$10,'Covenant summary information'!$C$84&lt;3,'Reconciliation report'!$E749&lt;&gt;""),ErrorMsgs!$D749)</f>
        <v>0</v>
      </c>
      <c r="N749" s="712" t="b">
        <f ca="1">IF(AND('Start here'!$C$26=RefData!$B$10,'Covenant summary information'!$C$84&gt;=3,'Reconciliation report'!$E749=""),ErrorMsgs!$E749)</f>
        <v>0</v>
      </c>
      <c r="O749" s="712" t="b">
        <f ca="1">IF($E749="",FALSE,IF(ISNA(MATCH($E749,RefData!$B$159:$B$160,0)),ErrorMsgs!$F749))</f>
        <v>0</v>
      </c>
      <c r="P749" s="712"/>
      <c r="Q749" s="712"/>
      <c r="R749" s="712"/>
      <c r="S749" s="712"/>
      <c r="T749" s="712"/>
      <c r="U749" s="526" t="str">
        <f t="shared" ca="1" si="99"/>
        <v/>
      </c>
      <c r="V749" s="93" t="str" cm="1">
        <f t="array" aca="1" ref="V749" ca="1">CELL("format",INDIRECT(I749))</f>
        <v>G</v>
      </c>
      <c r="W749" s="93" t="b">
        <f t="shared" ca="1" si="100"/>
        <v>0</v>
      </c>
      <c r="X749" s="715" t="str">
        <f t="shared" ca="1" si="98"/>
        <v/>
      </c>
      <c r="Y749" t="b">
        <f t="shared" ca="1" si="101"/>
        <v>1</v>
      </c>
    </row>
    <row r="750" spans="1:25" ht="77.5">
      <c r="A750" s="705" t="s">
        <v>1141</v>
      </c>
      <c r="B750" s="716" t="str">
        <f t="shared" ca="1" si="96"/>
        <v>Securities - C70</v>
      </c>
      <c r="C750" s="707" t="str" cm="1">
        <f t="array" aca="1" ref="C750" ca="1">INDIRECT(LEFT(I750, FIND("!", I750)) &amp; RefData!$C$426 &amp; RIGHT(I750, LEN(I750) - FIND("!", I750) - 1))</f>
        <v xml:space="preserve">
No answer required
Other
</v>
      </c>
      <c r="D750" s="92" t="str">
        <f t="shared" ca="1" si="105"/>
        <v/>
      </c>
      <c r="E750" s="708" t="str" cm="1">
        <f t="array" aca="1" ref="E750" ca="1">IF(INDIRECT($I750)= "", "", INDIRECT($I750))</f>
        <v/>
      </c>
      <c r="F750" s="709" t="str" cm="1">
        <f t="array" aca="1" ref="F750" ca="1">INDIRECT(LEFT(I750, FIND("!", I750)) &amp; RefData!$C$427 &amp; RIGHT(I750, LEN(I750) - FIND("!", I750) - 1))</f>
        <v>SEC 15.0/3</v>
      </c>
      <c r="G750" s="710" t="b">
        <f ca="1">IF(ISNUMBER(SEARCH(RefData!$B$2, $C750)), FALSE, TRUE)</f>
        <v>0</v>
      </c>
      <c r="H750" s="344">
        <f>Securities!C70</f>
        <v>0</v>
      </c>
      <c r="I750" s="712" t="str">
        <f t="shared" ca="1" si="97"/>
        <v>Securities!C70</v>
      </c>
      <c r="J750" s="713" t="b" cm="1">
        <f t="array" aca="1" ref="J750" ca="1">IF(
    ISNUMBER(SEARCH(RefData!$B$2, $C$475)),
    IF(
        $E750 &lt;&gt; "",
        $J$475,
        IF(
            $E750 = "",
            FALSE
        )
    ),
    IF(
        COUNTIF($K750:$T750, "&lt;&gt;FALSE") - COUNTBLANK($K750:$T750) &gt; 0,
        INDEX($K750:$T750, MATCH(TRUE, $K750:$T750 &lt;&gt; FALSE, 0))
    )
)</f>
        <v>0</v>
      </c>
      <c r="K750" s="712" t="b">
        <f ca="1">IF(AND('Start here'!$C$26=RefData!$B$9,'Reconciliation report'!$E750&lt;&gt;""),ErrorMsgs!$B750)</f>
        <v>0</v>
      </c>
      <c r="L750" s="712" t="b">
        <f ca="1">IF(AND('Start here'!$C$26=RefData!$B$10,'Covenant summary information'!$C$84=0,'Reconciliation report'!$E750&lt;&gt;""),ErrorMsgs!$C750)</f>
        <v>0</v>
      </c>
      <c r="M750" s="712" t="b">
        <f ca="1">IF(AND('Start here'!$C$26=RefData!$B$10,'Covenant summary information'!$C$84&lt;3,'Reconciliation report'!$E750&lt;&gt;""),ErrorMsgs!$D750)</f>
        <v>0</v>
      </c>
      <c r="N750" s="712" t="b">
        <f ca="1">IF(AND('Start here'!$C$26=RefData!$B$10,'Covenant summary information'!$C$84&gt;=3,'Reconciliation report'!$E750=""),ErrorMsgs!$E750)</f>
        <v>0</v>
      </c>
      <c r="O750" s="712" t="b">
        <f ca="1">IF($E750="",FALSE,IF(ISNA(MATCH($E750,RefData!$B$159:$B$160,0)),ErrorMsgs!$F750))</f>
        <v>0</v>
      </c>
      <c r="P750" s="712"/>
      <c r="Q750" s="712"/>
      <c r="R750" s="712"/>
      <c r="S750" s="712"/>
      <c r="T750" s="712"/>
      <c r="U750" s="526" t="str">
        <f t="shared" ca="1" si="99"/>
        <v/>
      </c>
      <c r="V750" s="93" t="str" cm="1">
        <f t="array" aca="1" ref="V750" ca="1">CELL("format",INDIRECT(I750))</f>
        <v>G</v>
      </c>
      <c r="W750" s="93" t="b">
        <f t="shared" ca="1" si="100"/>
        <v>0</v>
      </c>
      <c r="X750" s="715" t="str">
        <f t="shared" ca="1" si="98"/>
        <v/>
      </c>
      <c r="Y750" t="b">
        <f t="shared" ca="1" si="101"/>
        <v>1</v>
      </c>
    </row>
    <row r="751" spans="1:25" ht="77.5">
      <c r="A751" s="705" t="s">
        <v>1143</v>
      </c>
      <c r="B751" s="716" t="str">
        <f t="shared" ca="1" si="96"/>
        <v>Securities - C71</v>
      </c>
      <c r="C751" s="707" t="str" cm="1">
        <f t="array" aca="1" ref="C751" ca="1">INDIRECT(LEFT(I751, FIND("!", I751)) &amp; RefData!$C$426 &amp; RIGHT(I751, LEN(I751) - FIND("!", I751) - 1))</f>
        <v xml:space="preserve">
No answer required
Describe the other triggers for access to value
</v>
      </c>
      <c r="D751" s="92" t="str">
        <f t="shared" ca="1" si="105"/>
        <v/>
      </c>
      <c r="E751" s="708" t="str" cm="1">
        <f t="array" aca="1" ref="E751" ca="1">IF(INDIRECT($I751)= "", "", INDIRECT($I751))</f>
        <v/>
      </c>
      <c r="F751" s="709" t="str" cm="1">
        <f t="array" aca="1" ref="F751" ca="1">INDIRECT(LEFT(I751, FIND("!", I751)) &amp; RefData!$C$427 &amp; RIGHT(I751, LEN(I751) - FIND("!", I751) - 1))</f>
        <v>SEC 16.0/3</v>
      </c>
      <c r="G751" s="710" t="b">
        <f ca="1">IF(ISNUMBER(SEARCH(RefData!$B$2, $C751)), FALSE, TRUE)</f>
        <v>0</v>
      </c>
      <c r="H751" s="344">
        <f>Securities!C71</f>
        <v>0</v>
      </c>
      <c r="I751" s="712" t="str">
        <f t="shared" ca="1" si="97"/>
        <v>Securities!C71</v>
      </c>
      <c r="J751" s="713" t="b" cm="1">
        <f t="array" aca="1" ref="J751" ca="1">IF(
    ISNUMBER(SEARCH(RefData!$B$2, $C$475)),
    IF(
        $E751 &lt;&gt; "",
        $J$475,
        IF(
            $E751 = "",
            FALSE
        )
    ),
    IF(
        COUNTIF($K751:$T751, "&lt;&gt;FALSE") - COUNTBLANK($K751:$T751) &gt; 0,
        INDEX($K751:$T751, MATCH(TRUE, $K751:$T751 &lt;&gt; FALSE, 0))
    )
)</f>
        <v>0</v>
      </c>
      <c r="K751" s="712" t="b">
        <f ca="1">IF(AND('Start here'!$C$26=RefData!$B$9,'Reconciliation report'!$E751&lt;&gt;""),ErrorMsgs!$B751)</f>
        <v>0</v>
      </c>
      <c r="L751" s="712" t="b">
        <f ca="1">IF(AND('Start here'!$C$26=RefData!$B$10,'Covenant summary information'!$C$84=0,'Reconciliation report'!$E751&lt;&gt;""),ErrorMsgs!$C751)</f>
        <v>0</v>
      </c>
      <c r="M751" s="712" t="b">
        <f ca="1">IF(AND('Start here'!$C$26=RefData!$B$10,'Covenant summary information'!$C$84&lt;3,'Reconciliation report'!$E751&lt;&gt;""),ErrorMsgs!$D751)</f>
        <v>0</v>
      </c>
      <c r="N751" s="712" t="b">
        <f ca="1">IF(AND('Start here'!$C$26=RefData!$B$10,'Covenant summary information'!$C$84&gt;=3,Securities!$C$70=RefData!$B$160,'Reconciliation report'!$E751&lt;&gt;""),ErrorMsgs!$E751)</f>
        <v>0</v>
      </c>
      <c r="O751" s="712" t="b">
        <f ca="1">IF(AND('Start here'!$C$26=RefData!$B$10,'Covenant summary information'!$C$84&gt;=3,Securities!$C$70=RefData!$B$159,'Reconciliation report'!$E751=""),ErrorMsgs!$F751)</f>
        <v>0</v>
      </c>
      <c r="P751" s="712" t="b">
        <f ca="1">IF(LEN($E751)&gt;4000,ErrorMsgs!$G751)</f>
        <v>0</v>
      </c>
      <c r="Q751" s="712"/>
      <c r="R751" s="712"/>
      <c r="S751" s="712"/>
      <c r="T751" s="712"/>
      <c r="U751" s="526" t="str">
        <f t="shared" ca="1" si="99"/>
        <v/>
      </c>
      <c r="V751" s="93" t="str" cm="1">
        <f t="array" aca="1" ref="V751" ca="1">CELL("format",INDIRECT(I751))</f>
        <v>G</v>
      </c>
      <c r="W751" s="93" t="b">
        <f t="shared" ca="1" si="100"/>
        <v>0</v>
      </c>
      <c r="X751" s="715" t="str">
        <f t="shared" ca="1" si="98"/>
        <v/>
      </c>
      <c r="Y751" t="b">
        <f t="shared" ca="1" si="101"/>
        <v>1</v>
      </c>
    </row>
    <row r="752" spans="1:25" ht="77.5">
      <c r="A752" s="705" t="s">
        <v>1145</v>
      </c>
      <c r="B752" s="716" t="str">
        <f t="shared" ca="1" si="96"/>
        <v>Securities - C72</v>
      </c>
      <c r="C752" s="707" t="str" cm="1">
        <f t="array" aca="1" ref="C752" ca="1">INDIRECT(LEFT(I752, FIND("!", I752)) &amp; RefData!$C$426 &amp; RIGHT(I752, LEN(I752) - FIND("!", I752) - 1))</f>
        <v xml:space="preserve">
No answer required
Triggers for termination
</v>
      </c>
      <c r="D752" s="92" t="str">
        <f t="shared" ca="1" si="105"/>
        <v/>
      </c>
      <c r="E752" s="708" t="str" cm="1">
        <f t="array" aca="1" ref="E752" ca="1">IF(INDIRECT($I752)= "", "", INDIRECT($I752))</f>
        <v/>
      </c>
      <c r="F752" s="709" t="str" cm="1">
        <f t="array" aca="1" ref="F752" ca="1">INDIRECT(LEFT(I752, FIND("!", I752)) &amp; RefData!$C$427 &amp; RIGHT(I752, LEN(I752) - FIND("!", I752) - 1))</f>
        <v>SEC 17.0/3</v>
      </c>
      <c r="G752" s="710" t="b">
        <f ca="1">IF(ISNUMBER(SEARCH(RefData!$B$2, $C752)), FALSE, TRUE)</f>
        <v>0</v>
      </c>
      <c r="H752" s="344">
        <f>Securities!C72</f>
        <v>0</v>
      </c>
      <c r="I752" s="712" t="str">
        <f t="shared" ca="1" si="97"/>
        <v>Securities!C72</v>
      </c>
      <c r="J752" s="713" t="b" cm="1">
        <f t="array" aca="1" ref="J752" ca="1">IF(
    ISNUMBER(SEARCH(RefData!$B$2, $C$475)),
    IF(
        $E752 &lt;&gt; "",
        $J$475,
        IF(
            $E752 = "",
            FALSE
        )
    ),
    IF(
        COUNTIF($K752:$T752, "&lt;&gt;FALSE") - COUNTBLANK($K752:$T752) &gt; 0,
        INDEX($K752:$T752, MATCH(TRUE, $K752:$T752 &lt;&gt; FALSE, 0))
    )
)</f>
        <v>0</v>
      </c>
      <c r="K752" s="712" t="b">
        <f ca="1">IF(AND('Start here'!$C$26=RefData!$B$9,'Reconciliation report'!$E752&lt;&gt;""),ErrorMsgs!$B752)</f>
        <v>0</v>
      </c>
      <c r="L752" s="712" t="b">
        <f ca="1">IF(AND('Start here'!$C$26=RefData!$B$10,'Covenant summary information'!$C$84=0,'Reconciliation report'!$E752&lt;&gt;""),ErrorMsgs!$C752)</f>
        <v>0</v>
      </c>
      <c r="M752" s="712" t="b">
        <f ca="1">IF(AND('Start here'!$C$26=RefData!$B$10,'Covenant summary information'!$C$84&lt;3,'Reconciliation report'!$E752&lt;&gt;""),ErrorMsgs!$D752)</f>
        <v>0</v>
      </c>
      <c r="N752" s="712" t="b">
        <f ca="1">IF(AND('Start here'!$C$26=RefData!$B$10,'Covenant summary information'!$C$84&gt;=3,'Reconciliation report'!$E752=""),ErrorMsgs!$E752)</f>
        <v>0</v>
      </c>
      <c r="O752" s="712" t="b">
        <f ca="1">IF(LEN($E752)&gt;4000,ErrorMsgs!$F752)</f>
        <v>0</v>
      </c>
      <c r="P752" s="712"/>
      <c r="Q752" s="712"/>
      <c r="R752" s="712"/>
      <c r="S752" s="712"/>
      <c r="T752" s="712"/>
      <c r="U752" s="526" t="str">
        <f t="shared" ca="1" si="99"/>
        <v/>
      </c>
      <c r="V752" s="93" t="str" cm="1">
        <f t="array" aca="1" ref="V752" ca="1">CELL("format",INDIRECT(I752))</f>
        <v>G</v>
      </c>
      <c r="W752" s="93" t="b">
        <f t="shared" ca="1" si="100"/>
        <v>0</v>
      </c>
      <c r="X752" s="715" t="str">
        <f t="shared" ca="1" si="98"/>
        <v/>
      </c>
      <c r="Y752" t="b">
        <f t="shared" ca="1" si="101"/>
        <v>1</v>
      </c>
    </row>
    <row r="753" spans="1:25" ht="93">
      <c r="A753" s="705" t="s">
        <v>1148</v>
      </c>
      <c r="B753" s="716" t="str">
        <f t="shared" ca="1" si="96"/>
        <v>Securities - C76</v>
      </c>
      <c r="C753" s="707" t="str" cm="1">
        <f t="array" aca="1" ref="C753" ca="1">INDIRECT(LEFT(I753, FIND("!", I753)) &amp; RefData!$C$426 &amp; RIGHT(I753, LEN(I753) - FIND("!", I753) - 1))</f>
        <v xml:space="preserve">
No answer required
What is the type of underlying asset that the scheme has security over?
</v>
      </c>
      <c r="D753" s="92" t="str">
        <f t="shared" ref="D753:D769" ca="1" si="106">""&amp;IF(J753=FALSE, "", J753)
&amp;""</f>
        <v/>
      </c>
      <c r="E753" s="708" t="str" cm="1">
        <f t="array" aca="1" ref="E753" ca="1">IF(INDIRECT($I753)= "", "", INDIRECT($I753))</f>
        <v/>
      </c>
      <c r="F753" s="709" t="str" cm="1">
        <f t="array" aca="1" ref="F753" ca="1">INDIRECT(LEFT(I753, FIND("!", I753)) &amp; RefData!$C$427 &amp; RIGHT(I753, LEN(I753) - FIND("!", I753) - 1))</f>
        <v>SEC 1.0/4</v>
      </c>
      <c r="G753" s="710" t="b">
        <f ca="1">IF(ISNUMBER(SEARCH(RefData!$B$2, $C753)), FALSE, TRUE)</f>
        <v>0</v>
      </c>
      <c r="H753" s="344">
        <f>Securities!C76</f>
        <v>0</v>
      </c>
      <c r="I753" s="712" t="str">
        <f t="shared" ca="1" si="97"/>
        <v>Securities!C76</v>
      </c>
      <c r="J753" s="713" t="b" cm="1">
        <f t="array" aca="1" ref="J753" ca="1">IF(
    ISNUMBER(SEARCH(RefData!$B$2, $C$475)),
    IF(
        $E753 &lt;&gt; "",
        $J$475,
        IF(
            $E753 = "",
            FALSE
        )
    ),
    IF(
        COUNTIF($K753:$T753, "&lt;&gt;FALSE") - COUNTBLANK($K753:$T753) &gt; 0,
        INDEX($K753:$T753, MATCH(TRUE, $K753:$T753 &lt;&gt; FALSE, 0))
    )
)</f>
        <v>0</v>
      </c>
      <c r="K753" s="712" t="b">
        <f ca="1">IF(AND('Covenant summary information'!$C$84=0,'Reconciliation report'!$E753&lt;&gt;""),ErrorMsgs!$B753)</f>
        <v>0</v>
      </c>
      <c r="L753" s="712" t="b">
        <f ca="1">IF(AND('Covenant summary information'!$C$84&lt;4,'Reconciliation report'!$E753&lt;&gt;""),ErrorMsgs!$C753)</f>
        <v>0</v>
      </c>
      <c r="M753" s="712" t="b">
        <f ca="1">IF(AND('Covenant summary information'!$C$84&gt;=4,'Reconciliation report'!$E753=""),ErrorMsgs!$D753)</f>
        <v>0</v>
      </c>
      <c r="N753" s="712" t="b">
        <f ca="1">IF(E753="",FALSE,IF(ISNA(MATCH($E753,RefData!$B$141:$B$148,0)),ErrorMsgs!$E753))</f>
        <v>0</v>
      </c>
      <c r="O753" s="712"/>
      <c r="P753" s="712"/>
      <c r="Q753" s="712"/>
      <c r="R753" s="712"/>
      <c r="S753" s="712"/>
      <c r="T753" s="712"/>
      <c r="U753" s="526" t="str">
        <f t="shared" ca="1" si="99"/>
        <v/>
      </c>
      <c r="V753" s="93" t="str" cm="1">
        <f t="array" aca="1" ref="V753" ca="1">CELL("format",INDIRECT(I753))</f>
        <v>G</v>
      </c>
      <c r="W753" s="93" t="b">
        <f t="shared" ca="1" si="100"/>
        <v>0</v>
      </c>
      <c r="X753" s="715" t="str">
        <f t="shared" ca="1" si="98"/>
        <v/>
      </c>
      <c r="Y753" t="b">
        <f t="shared" ca="1" si="101"/>
        <v>1</v>
      </c>
    </row>
    <row r="754" spans="1:25" ht="77.5">
      <c r="A754" s="705" t="s">
        <v>1150</v>
      </c>
      <c r="B754" s="716" t="str">
        <f t="shared" ca="1" si="96"/>
        <v>Securities - C77</v>
      </c>
      <c r="C754" s="707" t="str" cm="1">
        <f t="array" aca="1" ref="C754" ca="1">INDIRECT(LEFT(I754, FIND("!", I754)) &amp; RefData!$C$426 &amp; RIGHT(I754, LEN(I754) - FIND("!", I754) - 1))</f>
        <v xml:space="preserve">
No answer required
Provide specific details of the underlying asset
</v>
      </c>
      <c r="D754" s="92" t="str">
        <f t="shared" ca="1" si="106"/>
        <v/>
      </c>
      <c r="E754" s="708" t="str" cm="1">
        <f t="array" aca="1" ref="E754" ca="1">IF(INDIRECT($I754)= "", "", INDIRECT($I754))</f>
        <v/>
      </c>
      <c r="F754" s="709" t="str" cm="1">
        <f t="array" aca="1" ref="F754" ca="1">INDIRECT(LEFT(I754, FIND("!", I754)) &amp; RefData!$C$427 &amp; RIGHT(I754, LEN(I754) - FIND("!", I754) - 1))</f>
        <v>SEC 2.0/4</v>
      </c>
      <c r="G754" s="710" t="b">
        <f ca="1">IF(ISNUMBER(SEARCH(RefData!$B$2, $C754)), FALSE, TRUE)</f>
        <v>0</v>
      </c>
      <c r="H754" s="344">
        <f>Securities!C77</f>
        <v>0</v>
      </c>
      <c r="I754" s="712" t="str">
        <f t="shared" ca="1" si="97"/>
        <v>Securities!C77</v>
      </c>
      <c r="J754" s="713" t="b" cm="1">
        <f t="array" aca="1" ref="J754" ca="1">IF(
    ISNUMBER(SEARCH(RefData!$B$2, $C$475)),
    IF(
        $E754 &lt;&gt; "",
        $J$475,
        IF(
            $E754 = "",
            FALSE
        )
    ),
    IF(
        COUNTIF($K754:$T754, "&lt;&gt;FALSE") - COUNTBLANK($K754:$T754) &gt; 0,
        INDEX($K754:$T754, MATCH(TRUE, $K754:$T754 &lt;&gt; FALSE, 0))
    )
)</f>
        <v>0</v>
      </c>
      <c r="K754" s="712" t="b">
        <f ca="1">IF(AND('Covenant summary information'!$C$84=0,'Reconciliation report'!$E754&lt;&gt;""),ErrorMsgs!$B754)</f>
        <v>0</v>
      </c>
      <c r="L754" s="712" t="b">
        <f ca="1">IF(AND('Covenant summary information'!$C$84&lt;4,'Reconciliation report'!$E754&lt;&gt;""),ErrorMsgs!$C754)</f>
        <v>0</v>
      </c>
      <c r="M754" s="712" t="b">
        <f ca="1">IF(AND('Covenant summary information'!$C$84&gt;=4,'Reconciliation report'!$E754=""),ErrorMsgs!$D754)</f>
        <v>0</v>
      </c>
      <c r="N754" s="712" t="b">
        <f ca="1">IF(LEN($E754)&gt;4000,ErrorMsgs!$E754)</f>
        <v>0</v>
      </c>
      <c r="O754" s="712"/>
      <c r="P754" s="712"/>
      <c r="Q754" s="712"/>
      <c r="R754" s="712"/>
      <c r="S754" s="712"/>
      <c r="T754" s="712"/>
      <c r="U754" s="526" t="str">
        <f t="shared" ca="1" si="99"/>
        <v/>
      </c>
      <c r="V754" s="93" t="str" cm="1">
        <f t="array" aca="1" ref="V754" ca="1">CELL("format",INDIRECT(I754))</f>
        <v>G</v>
      </c>
      <c r="W754" s="93" t="b">
        <f t="shared" ca="1" si="100"/>
        <v>0</v>
      </c>
      <c r="X754" s="715" t="str">
        <f t="shared" ca="1" si="98"/>
        <v/>
      </c>
      <c r="Y754" t="b">
        <f t="shared" ca="1" si="101"/>
        <v>1</v>
      </c>
    </row>
    <row r="755" spans="1:25" ht="77.5">
      <c r="A755" s="705" t="s">
        <v>1152</v>
      </c>
      <c r="B755" s="716" t="str">
        <f t="shared" ca="1" si="96"/>
        <v>Securities - C78</v>
      </c>
      <c r="C755" s="707" t="str" cm="1">
        <f t="array" aca="1" ref="C755" ca="1">INDIRECT(LEFT(I755, FIND("!", I755)) &amp; RefData!$C$426 &amp; RIGHT(I755, LEN(I755) - FIND("!", I755) - 1))</f>
        <v xml:space="preserve">
No answer required
Type of maturity
</v>
      </c>
      <c r="D755" s="92" t="str">
        <f t="shared" ca="1" si="106"/>
        <v/>
      </c>
      <c r="E755" s="708" t="str" cm="1">
        <f t="array" aca="1" ref="E755" ca="1">IF(INDIRECT($I755)= "", "", INDIRECT($I755))</f>
        <v/>
      </c>
      <c r="F755" s="709" t="str" cm="1">
        <f t="array" aca="1" ref="F755" ca="1">INDIRECT(LEFT(I755, FIND("!", I755)) &amp; RefData!$C$427 &amp; RIGHT(I755, LEN(I755) - FIND("!", I755) - 1))</f>
        <v>SEC 3.0/4</v>
      </c>
      <c r="G755" s="710" t="b">
        <f ca="1">IF(ISNUMBER(SEARCH(RefData!$B$2, $C755)), FALSE, TRUE)</f>
        <v>0</v>
      </c>
      <c r="H755" s="344">
        <f>Securities!C78</f>
        <v>0</v>
      </c>
      <c r="I755" s="712" t="str">
        <f t="shared" ca="1" si="97"/>
        <v>Securities!C78</v>
      </c>
      <c r="J755" s="713" t="b" cm="1">
        <f t="array" aca="1" ref="J755" ca="1">IF(
    ISNUMBER(SEARCH(RefData!$B$2, $C$475)),
    IF(
        $E755 &lt;&gt; "",
        $J$475,
        IF(
            $E755 = "",
            FALSE
        )
    ),
    IF(
        COUNTIF($K755:$T755, "&lt;&gt;FALSE") - COUNTBLANK($K755:$T755) &gt; 0,
        INDEX($K755:$T755, MATCH(TRUE, $K755:$T755 &lt;&gt; FALSE, 0))
    )
)</f>
        <v>0</v>
      </c>
      <c r="K755" s="712" t="b">
        <f ca="1">IF(AND('Start here'!$C$26=RefData!$B$9,'Reconciliation report'!E755&lt;&gt;""),ErrorMsgs!$B755)</f>
        <v>0</v>
      </c>
      <c r="L755" s="712" t="b">
        <f ca="1">IF(AND('Start here'!$C$26=RefData!$B$10,'Covenant summary information'!$C$84=0,'Reconciliation report'!$E755&lt;&gt;""),ErrorMsgs!$C755)</f>
        <v>0</v>
      </c>
      <c r="M755" s="712" t="b">
        <f ca="1">IF(AND('Start here'!$C$26=RefData!$B$10,'Covenant summary information'!$C$84&lt;4,'Reconciliation report'!$E755&lt;&gt;""),ErrorMsgs!$D755)</f>
        <v>0</v>
      </c>
      <c r="N755" s="712" t="b">
        <f ca="1">IF(AND('Start here'!$C$26=RefData!$B$10,'Covenant summary information'!$C$84&gt;=4,'Reconciliation report'!$E755=""),ErrorMsgs!$E755)</f>
        <v>0</v>
      </c>
      <c r="O755" s="712" t="b">
        <f ca="1">IF(E755="",FALSE,IF(ISNA(MATCH($E755,RefData!$B$149:$B$151,0)),ErrorMsgs!$F755))</f>
        <v>0</v>
      </c>
      <c r="P755" s="712"/>
      <c r="Q755" s="712"/>
      <c r="R755" s="712"/>
      <c r="S755" s="712"/>
      <c r="T755" s="712"/>
      <c r="U755" s="526" t="str">
        <f t="shared" ca="1" si="99"/>
        <v/>
      </c>
      <c r="V755" s="93" t="str" cm="1">
        <f t="array" aca="1" ref="V755" ca="1">CELL("format",INDIRECT(I755))</f>
        <v>G</v>
      </c>
      <c r="W755" s="93" t="b">
        <f t="shared" ca="1" si="100"/>
        <v>0</v>
      </c>
      <c r="X755" s="715" t="str">
        <f t="shared" ca="1" si="98"/>
        <v/>
      </c>
      <c r="Y755" t="b">
        <f t="shared" ca="1" si="101"/>
        <v>1</v>
      </c>
    </row>
    <row r="756" spans="1:25" ht="77.5">
      <c r="A756" s="705" t="s">
        <v>1154</v>
      </c>
      <c r="B756" s="716" t="str">
        <f t="shared" ca="1" si="96"/>
        <v>Securities - C79</v>
      </c>
      <c r="C756" s="707" t="str" cm="1">
        <f t="array" aca="1" ref="C756" ca="1">INDIRECT(LEFT(I756, FIND("!", I756)) &amp; RefData!$C$426 &amp; RIGHT(I756, LEN(I756) - FIND("!", I756) - 1))</f>
        <v xml:space="preserve">
No answer required
Date of maturity
</v>
      </c>
      <c r="D756" s="92" t="str">
        <f t="shared" ca="1" si="106"/>
        <v/>
      </c>
      <c r="E756" s="708" t="str" cm="1">
        <f t="array" aca="1" ref="E756" ca="1">IF(INDIRECT($I756)= "", "", INDIRECT($I756))</f>
        <v/>
      </c>
      <c r="F756" s="709" t="str" cm="1">
        <f t="array" aca="1" ref="F756" ca="1">INDIRECT(LEFT(I756, FIND("!", I756)) &amp; RefData!$C$427 &amp; RIGHT(I756, LEN(I756) - FIND("!", I756) - 1))</f>
        <v>SEC 4.0/4</v>
      </c>
      <c r="G756" s="710" t="b">
        <f ca="1">IF(ISNUMBER(SEARCH(RefData!$B$2, $C756)), FALSE, TRUE)</f>
        <v>0</v>
      </c>
      <c r="H756" s="344">
        <f>Securities!C79</f>
        <v>0</v>
      </c>
      <c r="I756" s="712" t="str">
        <f t="shared" ca="1" si="97"/>
        <v>Securities!C79</v>
      </c>
      <c r="J756" s="713" t="b" cm="1">
        <f t="array" aca="1" ref="J756" ca="1">IF(
    ISNUMBER(SEARCH(RefData!$B$2, $C$475)),
    IF(
        $E756 &lt;&gt; "",
        $J$475,
        IF(
            $E756 = "",
            FALSE
        )
    ),
    IF(
        COUNTIF($K756:$T756, "&lt;&gt;FALSE") - COUNTBLANK($K756:$T756) &gt; 0,
        INDEX($K756:$T756, MATCH(TRUE, $K756:$T756 &lt;&gt; FALSE, 0))
    )
)</f>
        <v>0</v>
      </c>
      <c r="K756" s="712" t="b">
        <f ca="1">IF(AND('Start here'!$C$26=RefData!$B$9,'Reconciliation report'!$E756&lt;&gt;""),ErrorMsgs!$B756)</f>
        <v>0</v>
      </c>
      <c r="L756" s="712" t="b">
        <f ca="1">IF(AND('Start here'!$C$26=RefData!$B$10,'Covenant summary information'!$C$84=0,'Reconciliation report'!$E756&lt;&gt;""),ErrorMsgs!$C756)</f>
        <v>0</v>
      </c>
      <c r="M756" s="712" t="b">
        <f ca="1">IF(AND('Start here'!$C$26=RefData!$B$10,'Covenant summary information'!$C$84&lt;4,'Reconciliation report'!$E756&lt;&gt;""),ErrorMsgs!$D756)</f>
        <v>0</v>
      </c>
      <c r="N756" s="712" t="b">
        <f ca="1">IF(AND('Start here'!$C$26=RefData!$B$10,'Covenant summary information'!$C$84&gt;=4,NOT(ISNA(MATCH($E$755,RefData!$B$148:$B$149,0))),'Reconciliation report'!$E756&lt;&gt;""),ErrorMsgs!$E756)</f>
        <v>0</v>
      </c>
      <c r="O756" s="712" t="b">
        <f ca="1">IF(AND('Start here'!$C$26=RefData!$B$10,'Covenant summary information'!$C$84&gt;=4,$E$755=RefData!$B$150,'Reconciliation report'!$E756=""),ErrorMsgs!$F756)</f>
        <v>0</v>
      </c>
      <c r="P756" s="712" t="b">
        <f ca="1">IF($E756="",FALSE,IF(NOT(ISNUMBER(VALUE($E756))),ErrorMsgs!$G756))</f>
        <v>0</v>
      </c>
      <c r="Q756" s="712" t="b">
        <f ca="1">IF($E756&lt;'Start here'!$C$21,ErrorMsgs!$H756)</f>
        <v>0</v>
      </c>
      <c r="R756" s="712"/>
      <c r="S756" s="712"/>
      <c r="T756" s="712"/>
      <c r="U756" s="526" t="str">
        <f t="shared" ca="1" si="99"/>
        <v/>
      </c>
      <c r="V756" s="93" t="str" cm="1">
        <f t="array" aca="1" ref="V756" ca="1">CELL("format",INDIRECT(I756))</f>
        <v>D1</v>
      </c>
      <c r="W756" s="93" t="b">
        <f t="shared" ca="1" si="100"/>
        <v>0</v>
      </c>
      <c r="X756" s="715" t="str">
        <f t="shared" ca="1" si="98"/>
        <v/>
      </c>
      <c r="Y756" t="b">
        <f t="shared" ca="1" si="101"/>
        <v>1</v>
      </c>
    </row>
    <row r="757" spans="1:25" ht="77.5">
      <c r="A757" s="705" t="s">
        <v>1156</v>
      </c>
      <c r="B757" s="716" t="str">
        <f t="shared" ca="1" si="96"/>
        <v>Securities - C80</v>
      </c>
      <c r="C757" s="707" t="str" cm="1">
        <f t="array" aca="1" ref="C757" ca="1">INDIRECT(LEFT(I757, FIND("!", I757)) &amp; RefData!$C$426 &amp; RIGHT(I757, LEN(I757) - FIND("!", I757) - 1))</f>
        <v xml:space="preserve">
No answer required
Maturity date narrative
</v>
      </c>
      <c r="D757" s="92" t="str">
        <f t="shared" ca="1" si="106"/>
        <v/>
      </c>
      <c r="E757" s="708" t="str" cm="1">
        <f t="array" aca="1" ref="E757" ca="1">IF(INDIRECT($I757)= "", "", INDIRECT($I757))</f>
        <v/>
      </c>
      <c r="F757" s="709" t="str" cm="1">
        <f t="array" aca="1" ref="F757" ca="1">INDIRECT(LEFT(I757, FIND("!", I757)) &amp; RefData!$C$427 &amp; RIGHT(I757, LEN(I757) - FIND("!", I757) - 1))</f>
        <v>SEC 5.0/4</v>
      </c>
      <c r="G757" s="710" t="b">
        <f ca="1">IF(ISNUMBER(SEARCH(RefData!$B$2, $C757)), FALSE, TRUE)</f>
        <v>0</v>
      </c>
      <c r="H757" s="344">
        <f>Securities!C80</f>
        <v>0</v>
      </c>
      <c r="I757" s="712" t="str">
        <f t="shared" ca="1" si="97"/>
        <v>Securities!C80</v>
      </c>
      <c r="J757" s="713" t="b" cm="1">
        <f t="array" aca="1" ref="J757" ca="1">IF(
    ISNUMBER(SEARCH(RefData!$B$2, $C$475)),
    IF(
        $E757 &lt;&gt; "",
        $J$475,
        IF(
            $E757 = "",
            FALSE
        )
    ),
    IF(
        COUNTIF($K757:$T757, "&lt;&gt;FALSE") - COUNTBLANK($K757:$T757) &gt; 0,
        INDEX($K757:$T757, MATCH(TRUE, $K757:$T757 &lt;&gt; FALSE, 0))
    )
)</f>
        <v>0</v>
      </c>
      <c r="K757" s="712" t="b">
        <f ca="1">IF(AND('Start here'!$C$26=RefData!$B$9,'Reconciliation report'!$E757&lt;&gt;""),ErrorMsgs!$B757)</f>
        <v>0</v>
      </c>
      <c r="L757" s="712" t="b">
        <f ca="1">IF(AND('Start here'!$C$26=RefData!$B$10,'Covenant summary information'!$C$84=0,'Reconciliation report'!$E757&lt;&gt;""),ErrorMsgs!$C757)</f>
        <v>0</v>
      </c>
      <c r="M757" s="712" t="b">
        <f ca="1">IF(AND('Start here'!$C$26=RefData!$B$10,'Covenant summary information'!$C$84&lt;4,'Reconciliation report'!$E757&lt;&gt;""),ErrorMsgs!$D757)</f>
        <v>0</v>
      </c>
      <c r="N757" s="712" t="b">
        <f ca="1">IF(AND('Start here'!$C$26=RefData!$B$10,'Covenant summary information'!$C$84&gt;=4,NOT(ISNA(MATCH($E$755,RefData!$B$149:$B$150,0))),'Reconciliation report'!$E757&lt;&gt;""),ErrorMsgs!$E757)</f>
        <v>0</v>
      </c>
      <c r="O757" s="712" t="b">
        <f ca="1">IF(AND('Start here'!$C$26=RefData!$B$10,'Covenant summary information'!$C$84&gt;=4,$E$755=RefData!$B$151,'Reconciliation report'!$E757=""),ErrorMsgs!$F757)</f>
        <v>0</v>
      </c>
      <c r="P757" s="726" t="b">
        <f ca="1">IF(LEN($E757)&gt;4000,ErrorMsgs!$G757)</f>
        <v>0</v>
      </c>
      <c r="Q757" s="712"/>
      <c r="R757" s="712"/>
      <c r="S757" s="712"/>
      <c r="T757" s="712"/>
      <c r="U757" s="526" t="str">
        <f t="shared" ca="1" si="99"/>
        <v/>
      </c>
      <c r="V757" s="93" t="str" cm="1">
        <f t="array" aca="1" ref="V757" ca="1">CELL("format",INDIRECT(I757))</f>
        <v>G</v>
      </c>
      <c r="W757" s="93" t="b">
        <f t="shared" ca="1" si="100"/>
        <v>0</v>
      </c>
      <c r="X757" s="715" t="str">
        <f t="shared" ca="1" si="98"/>
        <v/>
      </c>
      <c r="Y757" t="b">
        <f t="shared" ca="1" si="101"/>
        <v>1</v>
      </c>
    </row>
    <row r="758" spans="1:25" ht="77.5">
      <c r="A758" s="705" t="s">
        <v>1158</v>
      </c>
      <c r="B758" s="716" t="str">
        <f t="shared" ca="1" si="96"/>
        <v>Securities - C81</v>
      </c>
      <c r="C758" s="707" t="str" cm="1">
        <f t="array" aca="1" ref="C758" ca="1">INDIRECT(LEFT(I758, FIND("!", I758)) &amp; RefData!$C$426 &amp; RIGHT(I758, LEN(I758) - FIND("!", I758) - 1))</f>
        <v xml:space="preserve">
No answer required
Value ascribed (£)
</v>
      </c>
      <c r="D758" s="92" t="str">
        <f t="shared" ca="1" si="106"/>
        <v/>
      </c>
      <c r="E758" s="708" t="str" cm="1">
        <f t="array" aca="1" ref="E758" ca="1">IF(INDIRECT($I758)= "", "", INDIRECT($I758))</f>
        <v/>
      </c>
      <c r="F758" s="709" t="str" cm="1">
        <f t="array" aca="1" ref="F758" ca="1">INDIRECT(LEFT(I758, FIND("!", I758)) &amp; RefData!$C$427 &amp; RIGHT(I758, LEN(I758) - FIND("!", I758) - 1))</f>
        <v>SEC 6.0/4</v>
      </c>
      <c r="G758" s="710" t="b">
        <f ca="1">IF(ISNUMBER(SEARCH(RefData!$B$2, $C758)), FALSE, TRUE)</f>
        <v>0</v>
      </c>
      <c r="H758" s="344">
        <f>Securities!C81</f>
        <v>0</v>
      </c>
      <c r="I758" s="712" t="str">
        <f t="shared" ca="1" si="97"/>
        <v>Securities!C81</v>
      </c>
      <c r="J758" s="713" t="b" cm="1">
        <f t="array" aca="1" ref="J758" ca="1">IF(
    ISNUMBER(SEARCH(RefData!$B$2, $C$475)),
    IF(
        $E758 &lt;&gt; "",
        $J$475,
        IF(
            $E758 = "",
            FALSE
        )
    ),
    IF(
        COUNTIF($K758:$T758, "&lt;&gt;FALSE") - COUNTBLANK($K758:$T758) &gt; 0,
        INDEX($K758:$T758, MATCH(TRUE, $K758:$T758 &lt;&gt; FALSE, 0))
    )
)</f>
        <v>0</v>
      </c>
      <c r="K758" s="712" t="b">
        <f ca="1">IF(AND('Covenant summary information'!$C$84=0,'Reconciliation report'!$E758&lt;&gt;""),ErrorMsgs!$B758)</f>
        <v>0</v>
      </c>
      <c r="L758" s="712" t="b">
        <f ca="1">IF(AND('Covenant summary information'!$C$84&lt;4,'Reconciliation report'!$E758&lt;&gt;""),ErrorMsgs!$C758)</f>
        <v>0</v>
      </c>
      <c r="M758" s="712" t="b">
        <f ca="1">IF(AND('Covenant summary information'!$C$84&gt;=4,'Reconciliation report'!$E758=""),ErrorMsgs!$D758)</f>
        <v>0</v>
      </c>
      <c r="N758" s="712" t="b">
        <f ca="1">IF($E758="",FALSE,IF(ISERROR(VALUE($E758)),ErrorMsgs!$D$707,IF(OR(VALUE($E$758)-ROUND(VALUE($E$758),2)&lt;&gt;0,OR(VALUE($E$758)&lt;0,VALUE($E$758)&gt;=1000000000000)),ErrorMsgs!$E758)))</f>
        <v>0</v>
      </c>
      <c r="O758" s="712"/>
      <c r="P758" s="712"/>
      <c r="Q758" s="712"/>
      <c r="R758" s="712"/>
      <c r="S758" s="712"/>
      <c r="T758" s="712"/>
      <c r="U758" s="526" t="str">
        <f t="shared" ca="1" si="99"/>
        <v/>
      </c>
      <c r="V758" s="93" t="str" cm="1">
        <f t="array" aca="1" ref="V758" ca="1">CELL("format",INDIRECT(I758))</f>
        <v>C2</v>
      </c>
      <c r="W758" s="93" t="b">
        <f t="shared" ca="1" si="100"/>
        <v>0</v>
      </c>
      <c r="X758" s="715" t="str">
        <f t="shared" ca="1" si="98"/>
        <v/>
      </c>
      <c r="Y758" t="b">
        <f t="shared" ca="1" si="101"/>
        <v>1</v>
      </c>
    </row>
    <row r="759" spans="1:25" ht="77.5">
      <c r="A759" s="705" t="s">
        <v>1160</v>
      </c>
      <c r="B759" s="716" t="str">
        <f t="shared" ca="1" si="96"/>
        <v>Securities - C82</v>
      </c>
      <c r="C759" s="707" t="str" cm="1">
        <f t="array" aca="1" ref="C759" ca="1">INDIRECT(LEFT(I759, FIND("!", I759)) &amp; RefData!$C$426 &amp; RIGHT(I759, LEN(I759) - FIND("!", I759) - 1))</f>
        <v xml:space="preserve">
No answer required
Date of valuation
</v>
      </c>
      <c r="D759" s="92" t="str">
        <f t="shared" ca="1" si="106"/>
        <v/>
      </c>
      <c r="E759" s="708" t="str" cm="1">
        <f t="array" aca="1" ref="E759" ca="1">IF(INDIRECT($I759)= "", "", INDIRECT($I759))</f>
        <v/>
      </c>
      <c r="F759" s="709" t="str" cm="1">
        <f t="array" aca="1" ref="F759" ca="1">INDIRECT(LEFT(I759, FIND("!", I759)) &amp; RefData!$C$427 &amp; RIGHT(I759, LEN(I759) - FIND("!", I759) - 1))</f>
        <v>SEC 7.0/4</v>
      </c>
      <c r="G759" s="710" t="b">
        <f ca="1">IF(ISNUMBER(SEARCH(RefData!$B$2, $C759)), FALSE, TRUE)</f>
        <v>0</v>
      </c>
      <c r="H759" s="344">
        <f>Securities!C82</f>
        <v>0</v>
      </c>
      <c r="I759" s="712" t="str">
        <f t="shared" ca="1" si="97"/>
        <v>Securities!C82</v>
      </c>
      <c r="J759" s="713" t="b" cm="1">
        <f t="array" aca="1" ref="J759" ca="1">IF(
    ISNUMBER(SEARCH(RefData!$B$2, $C$475)),
    IF(
        $E759 &lt;&gt; "",
        $J$475,
        IF(
            $E759 = "",
            FALSE
        )
    ),
    IF(
        COUNTIF($K759:$T759, "&lt;&gt;FALSE") - COUNTBLANK($K759:$T759) &gt; 0,
        INDEX($K759:$T759, MATCH(TRUE, $K759:$T759 &lt;&gt; FALSE, 0))
    )
)</f>
        <v>0</v>
      </c>
      <c r="K759" s="712" t="b">
        <f ca="1">IF(AND('Covenant summary information'!$C$84=0,'Reconciliation report'!$E759&lt;&gt;""),ErrorMsgs!$B759)</f>
        <v>0</v>
      </c>
      <c r="L759" s="712" t="b">
        <f ca="1">IF(AND('Covenant summary information'!$C$84&lt;4,'Reconciliation report'!$E759&lt;&gt;""),ErrorMsgs!$C759)</f>
        <v>0</v>
      </c>
      <c r="M759" s="712" t="b">
        <f ca="1">IF(AND('Covenant summary information'!$C$84&gt;=4,'Reconciliation report'!$E759=""),ErrorMsgs!$D759)</f>
        <v>0</v>
      </c>
      <c r="N759" s="712" t="b">
        <f ca="1">IF($E759="",FALSE,IF(OR(NOT(ISNUMBER(VALUE($E759))), $E759&lt;&gt;INT($E759)),ErrorMsgs!$E759))</f>
        <v>0</v>
      </c>
      <c r="O759" s="712" t="b">
        <f ca="1">IF($E759="",FALSE,IF(ISERROR(VALUE($E759)),ErrorMsgs!$F759,IF(VALUE($E759)&gt;TODAY(),ErrorMsgs!$F759)))</f>
        <v>0</v>
      </c>
      <c r="P759" s="712"/>
      <c r="Q759" s="712"/>
      <c r="R759" s="712"/>
      <c r="S759" s="712"/>
      <c r="T759" s="712"/>
      <c r="U759" s="526" t="str">
        <f t="shared" ca="1" si="99"/>
        <v/>
      </c>
      <c r="V759" s="93" t="str" cm="1">
        <f t="array" aca="1" ref="V759" ca="1">CELL("format",INDIRECT(I759))</f>
        <v>D1</v>
      </c>
      <c r="W759" s="93" t="b">
        <f t="shared" ca="1" si="100"/>
        <v>0</v>
      </c>
      <c r="X759" s="715" t="str">
        <f t="shared" ca="1" si="98"/>
        <v/>
      </c>
      <c r="Y759" t="b">
        <f t="shared" ca="1" si="101"/>
        <v>1</v>
      </c>
    </row>
    <row r="760" spans="1:25" ht="77.5">
      <c r="A760" s="705" t="s">
        <v>1162</v>
      </c>
      <c r="B760" s="716" t="str">
        <f t="shared" ca="1" si="96"/>
        <v>Securities - C83</v>
      </c>
      <c r="C760" s="707" t="str" cm="1">
        <f t="array" aca="1" ref="C760" ca="1">INDIRECT(LEFT(I760, FIND("!", I760)) &amp; RefData!$C$426 &amp; RIGHT(I760, LEN(I760) - FIND("!", I760) - 1))</f>
        <v xml:space="preserve">
No answer required
Value cap
</v>
      </c>
      <c r="D760" s="92" t="str">
        <f t="shared" ca="1" si="106"/>
        <v/>
      </c>
      <c r="E760" s="708" t="str" cm="1">
        <f t="array" aca="1" ref="E760" ca="1">IF(INDIRECT($I760)= "", "", INDIRECT($I760))</f>
        <v/>
      </c>
      <c r="F760" s="709" t="str" cm="1">
        <f t="array" aca="1" ref="F760" ca="1">INDIRECT(LEFT(I760, FIND("!", I760)) &amp; RefData!$C$427 &amp; RIGHT(I760, LEN(I760) - FIND("!", I760) - 1))</f>
        <v>SEC 8.0/4</v>
      </c>
      <c r="G760" s="710" t="b">
        <f ca="1">IF(ISNUMBER(SEARCH(RefData!$B$2, $C760)), FALSE, TRUE)</f>
        <v>0</v>
      </c>
      <c r="H760" s="344">
        <f>Securities!C83</f>
        <v>0</v>
      </c>
      <c r="I760" s="712" t="str">
        <f t="shared" ca="1" si="97"/>
        <v>Securities!C83</v>
      </c>
      <c r="J760" s="713" t="b" cm="1">
        <f t="array" aca="1" ref="J760" ca="1">IF(
    ISNUMBER(SEARCH(RefData!$B$2, $C$475)),
    IF(
        $E760 &lt;&gt; "",
        $J$475,
        IF(
            $E760 = "",
            FALSE
        )
    ),
    IF(
        COUNTIF($K760:$T760, "&lt;&gt;FALSE") - COUNTBLANK($K760:$T760) &gt; 0,
        INDEX($K760:$T760, MATCH(TRUE, $K760:$T760 &lt;&gt; FALSE, 0))
    )
)</f>
        <v>0</v>
      </c>
      <c r="K760" s="712" t="b">
        <f ca="1">IF(AND('Start here'!$C$26=RefData!$B$9,'Reconciliation report'!$E760&lt;&gt;""),ErrorMsgs!$B760)</f>
        <v>0</v>
      </c>
      <c r="L760" s="712" t="b">
        <f ca="1">IF(AND('Start here'!$C$26=RefData!$B$10,'Covenant summary information'!$C$84=0,'Reconciliation report'!$E760&lt;&gt;""),ErrorMsgs!$C760)</f>
        <v>0</v>
      </c>
      <c r="M760" s="712" t="b">
        <f ca="1">IF(AND('Start here'!$C$26=RefData!$B$10,'Covenant summary information'!$C$84&lt;4,'Reconciliation report'!$E760&lt;&gt;""),ErrorMsgs!$D760)</f>
        <v>0</v>
      </c>
      <c r="N760" s="712" t="b">
        <f ca="1">IF(AND('Start here'!$C$26=RefData!$B$10,'Covenant summary information'!$C$84&gt;=4,'Reconciliation report'!$E760=""),ErrorMsgs!$E760)</f>
        <v>0</v>
      </c>
      <c r="O760" s="712" t="b">
        <f ca="1">IF(E760="",FALSE,IF(ISNA(MATCH($E$760,RefData!$B$152:$B$158,0)),ErrorMsgs!$F760))</f>
        <v>0</v>
      </c>
      <c r="P760" s="712"/>
      <c r="Q760" s="712"/>
      <c r="R760" s="712"/>
      <c r="S760" s="712"/>
      <c r="T760" s="712"/>
      <c r="U760" s="526" t="str">
        <f t="shared" ca="1" si="99"/>
        <v/>
      </c>
      <c r="V760" s="93" t="str" cm="1">
        <f t="array" aca="1" ref="V760" ca="1">CELL("format",INDIRECT(I760))</f>
        <v>G</v>
      </c>
      <c r="W760" s="93" t="b">
        <f t="shared" ca="1" si="100"/>
        <v>0</v>
      </c>
      <c r="X760" s="715" t="str">
        <f t="shared" ca="1" si="98"/>
        <v/>
      </c>
      <c r="Y760" t="b">
        <f t="shared" ca="1" si="101"/>
        <v>1</v>
      </c>
    </row>
    <row r="761" spans="1:25" ht="77.5">
      <c r="A761" s="705" t="s">
        <v>1164</v>
      </c>
      <c r="B761" s="716" t="str">
        <f t="shared" ca="1" si="96"/>
        <v>Securities - C84</v>
      </c>
      <c r="C761" s="707" t="str" cm="1">
        <f t="array" aca="1" ref="C761" ca="1">INDIRECT(LEFT(I761, FIND("!", I761)) &amp; RefData!$C$426 &amp; RIGHT(I761, LEN(I761) - FIND("!", I761) - 1))</f>
        <v xml:space="preserve">
No answer required
Narrative regarding value cap
</v>
      </c>
      <c r="D761" s="92" t="str">
        <f t="shared" ca="1" si="106"/>
        <v/>
      </c>
      <c r="E761" s="708" t="str" cm="1">
        <f t="array" aca="1" ref="E761" ca="1">IF(INDIRECT($I761)= "", "", INDIRECT($I761))</f>
        <v/>
      </c>
      <c r="F761" s="709" t="str" cm="1">
        <f t="array" aca="1" ref="F761" ca="1">INDIRECT(LEFT(I761, FIND("!", I761)) &amp; RefData!$C$427 &amp; RIGHT(I761, LEN(I761) - FIND("!", I761) - 1))</f>
        <v>SEC 9.0/4</v>
      </c>
      <c r="G761" s="710" t="b">
        <f ca="1">IF(ISNUMBER(SEARCH(RefData!$B$2, $C761)), FALSE, TRUE)</f>
        <v>0</v>
      </c>
      <c r="H761" s="344">
        <f>Securities!C84</f>
        <v>0</v>
      </c>
      <c r="I761" s="712" t="str">
        <f t="shared" ca="1" si="97"/>
        <v>Securities!C84</v>
      </c>
      <c r="J761" s="713" t="b" cm="1">
        <f t="array" aca="1" ref="J761" ca="1">IF(
    ISNUMBER(SEARCH(RefData!$B$2, $C$475)),
    IF(
        $E761 &lt;&gt; "",
        $J$475,
        IF(
            $E761 = "",
            FALSE
        )
    ),
    IF(
        COUNTIF($K761:$T761, "&lt;&gt;FALSE") - COUNTBLANK($K761:$T761) &gt; 0,
        INDEX($K761:$T761, MATCH(TRUE, $K761:$T761 &lt;&gt; FALSE, 0))
    )
)</f>
        <v>0</v>
      </c>
      <c r="K761" s="712" t="b">
        <f ca="1">IF(AND('Start here'!$C$26=RefData!$B$9,'Reconciliation report'!$E761&lt;&gt;""),ErrorMsgs!$B761)</f>
        <v>0</v>
      </c>
      <c r="L761" s="712" t="b">
        <f ca="1">IF(AND('Start here'!$C$26=RefData!$B$10,'Covenant summary information'!$C$84=0,'Reconciliation report'!$E761&lt;&gt;""),ErrorMsgs!$C761)</f>
        <v>0</v>
      </c>
      <c r="M761" s="714" t="b">
        <f ca="1">IF(AND('Start here'!$C$26=RefData!$B$10,'Covenant summary information'!$C$84&lt;4,'Reconciliation report'!$E761&lt;&gt;""),ErrorMsgs!$D761)</f>
        <v>0</v>
      </c>
      <c r="N761" s="714" t="b">
        <f ca="1">IF(AND('Start here'!$C$26=RefData!$B$10,'Covenant summary information'!$C$84&gt;=4,NOT(Securities!$C$83=RefData!$B$158),'Reconciliation report'!$E761&lt;&gt;""),ErrorMsgs!$E761)</f>
        <v>0</v>
      </c>
      <c r="O761" s="712" t="b">
        <f ca="1">IF(AND('Start here'!$C$26=RefData!$B$10,'Covenant summary information'!$C$84&gt;=4,Securities!$C$83=RefData!$B$158,'Reconciliation report'!$E761=""),ErrorMsgs!$F761)</f>
        <v>0</v>
      </c>
      <c r="P761" s="712" t="b">
        <f ca="1">IF(LEN($E761)&gt;4000,ErrorMsgs!$G761)</f>
        <v>0</v>
      </c>
      <c r="Q761" s="712"/>
      <c r="R761" s="712"/>
      <c r="S761" s="712"/>
      <c r="T761" s="712"/>
      <c r="U761" s="526" t="str">
        <f t="shared" ca="1" si="99"/>
        <v/>
      </c>
      <c r="V761" s="93" t="str" cm="1">
        <f t="array" aca="1" ref="V761" ca="1">CELL("format",INDIRECT(I761))</f>
        <v>G</v>
      </c>
      <c r="W761" s="93" t="b">
        <f t="shared" ca="1" si="100"/>
        <v>0</v>
      </c>
      <c r="X761" s="715" t="str">
        <f t="shared" ca="1" si="98"/>
        <v/>
      </c>
      <c r="Y761" t="b">
        <f t="shared" ca="1" si="101"/>
        <v>1</v>
      </c>
    </row>
    <row r="762" spans="1:25" ht="77.5">
      <c r="A762" s="705" t="s">
        <v>1166</v>
      </c>
      <c r="B762" s="716" t="str">
        <f t="shared" ca="1" si="96"/>
        <v>Securities - C85</v>
      </c>
      <c r="C762" s="707" t="str" cm="1">
        <f t="array" aca="1" ref="C762" ca="1">INDIRECT(LEFT(I762, FIND("!", I762)) &amp; RefData!$C$426 &amp; RIGHT(I762, LEN(I762) - FIND("!", I762) - 1))</f>
        <v xml:space="preserve">
No answer required
Fixed cap amount (£)
</v>
      </c>
      <c r="D762" s="92" t="str">
        <f t="shared" ca="1" si="106"/>
        <v/>
      </c>
      <c r="E762" s="708" t="str" cm="1">
        <f t="array" aca="1" ref="E762" ca="1">IF(INDIRECT($I762)= "", "", INDIRECT($I762))</f>
        <v/>
      </c>
      <c r="F762" s="709" t="str" cm="1">
        <f t="array" aca="1" ref="F762" ca="1">INDIRECT(LEFT(I762, FIND("!", I762)) &amp; RefData!$C$427 &amp; RIGHT(I762, LEN(I762) - FIND("!", I762) - 1))</f>
        <v>SEC 10.0/4</v>
      </c>
      <c r="G762" s="710" t="b">
        <f ca="1">IF(ISNUMBER(SEARCH(RefData!$B$2, $C762)), FALSE, TRUE)</f>
        <v>0</v>
      </c>
      <c r="H762" s="344">
        <f>Securities!C85</f>
        <v>0</v>
      </c>
      <c r="I762" s="712" t="str">
        <f t="shared" ca="1" si="97"/>
        <v>Securities!C85</v>
      </c>
      <c r="J762" s="713" t="b" cm="1">
        <f t="array" aca="1" ref="J762" ca="1">IF(
    ISNUMBER(SEARCH(RefData!$B$2, $C$475)),
    IF(
        $E762 &lt;&gt; "",
        $J$475,
        IF(
            $E762 = "",
            FALSE
        )
    ),
    IF(
        COUNTIF($K762:$T762, "&lt;&gt;FALSE") - COUNTBLANK($K762:$T762) &gt; 0,
        INDEX($K762:$T762, MATCH(TRUE, $K762:$T762 &lt;&gt; FALSE, 0))
    )
)</f>
        <v>0</v>
      </c>
      <c r="K762" s="712" t="b">
        <f ca="1">IF(AND('Start here'!$C$26=RefData!$B$9,'Reconciliation report'!$E762&lt;&gt;""),ErrorMsgs!$B762)</f>
        <v>0</v>
      </c>
      <c r="L762" s="712" t="b">
        <f ca="1">IF(AND('Start here'!$C$26=RefData!$B$10,'Covenant summary information'!$C$84=0,'Reconciliation report'!$E762&lt;&gt;""),ErrorMsgs!$C762)</f>
        <v>0</v>
      </c>
      <c r="M762" s="712" t="b">
        <f ca="1">IF(AND('Start here'!$C$26=RefData!$B$10,'Covenant summary information'!$C$84&lt;4,'Reconciliation report'!$E762&lt;&gt;""),ErrorMsgs!$D762)</f>
        <v>0</v>
      </c>
      <c r="N762" s="712" t="b">
        <f ca="1">IF(AND('Start here'!$C$26=RefData!$B$10,'Covenant summary information'!$C$84&gt;=4,NOT(Securities!$C$83=RefData!$B$157),'Reconciliation report'!$E762&lt;&gt;""),ErrorMsgs!$E762)</f>
        <v>0</v>
      </c>
      <c r="O762" s="712" t="b">
        <f ca="1">IF(AND('Start here'!$C$26=RefData!$B$10,'Covenant summary information'!$C$84&gt;=4,Securities!$C$83=RefData!$B$157,'Reconciliation report'!$E762=""),ErrorMsgs!$F762)</f>
        <v>0</v>
      </c>
      <c r="P762" s="712" t="b">
        <f ca="1">IF($E762="",FALSE,IF(ISERROR(VALUE($E762)),ErrorMsgs!G762,IF(OR(VALUE($E762)&lt;0,VALUE($E762)&gt;=1000000000000,VALUE($E762)-ROUND(VALUE($E762),2)&lt;&gt;0),ErrorMsgs!G762)))</f>
        <v>0</v>
      </c>
      <c r="Q762" s="712"/>
      <c r="R762" s="712"/>
      <c r="S762" s="712"/>
      <c r="T762" s="712"/>
      <c r="U762" s="526" t="str">
        <f t="shared" ca="1" si="99"/>
        <v/>
      </c>
      <c r="V762" s="93" t="str" cm="1">
        <f t="array" aca="1" ref="V762" ca="1">CELL("format",INDIRECT(I762))</f>
        <v>C2</v>
      </c>
      <c r="W762" s="93" t="b">
        <f t="shared" ca="1" si="100"/>
        <v>0</v>
      </c>
      <c r="X762" s="715" t="str">
        <f t="shared" ca="1" si="98"/>
        <v/>
      </c>
      <c r="Y762" t="b">
        <f t="shared" ca="1" si="101"/>
        <v>1</v>
      </c>
    </row>
    <row r="763" spans="1:25" ht="77.5">
      <c r="A763" s="705" t="s">
        <v>1168</v>
      </c>
      <c r="B763" s="716" t="str">
        <f t="shared" ca="1" si="96"/>
        <v>Securities - C89</v>
      </c>
      <c r="C763" s="707" t="str" cm="1">
        <f t="array" aca="1" ref="C763" ca="1">INDIRECT(LEFT(I763, FIND("!", I763)) &amp; RefData!$C$426 &amp; RIGHT(I763, LEN(I763) - FIND("!", I763) - 1))</f>
        <v xml:space="preserve">
No answer required
Participating employer insolvency
</v>
      </c>
      <c r="D763" s="92" t="str">
        <f t="shared" ca="1" si="106"/>
        <v/>
      </c>
      <c r="E763" s="708" t="str" cm="1">
        <f t="array" aca="1" ref="E763" ca="1">IF(INDIRECT($I763)= "", "", INDIRECT($I763))</f>
        <v/>
      </c>
      <c r="F763" s="709" t="str" cm="1">
        <f t="array" aca="1" ref="F763" ca="1">INDIRECT(LEFT(I763, FIND("!", I763)) &amp; RefData!$C$427 &amp; RIGHT(I763, LEN(I763) - FIND("!", I763) - 1))</f>
        <v>SEC 11.0/4</v>
      </c>
      <c r="G763" s="710" t="b">
        <f ca="1">IF(ISNUMBER(SEARCH(RefData!$B$2, $C763)), FALSE, TRUE)</f>
        <v>0</v>
      </c>
      <c r="H763" s="344">
        <f>Securities!C89</f>
        <v>0</v>
      </c>
      <c r="I763" s="712" t="str">
        <f t="shared" ca="1" si="97"/>
        <v>Securities!C89</v>
      </c>
      <c r="J763" s="713" t="b" cm="1">
        <f t="array" aca="1" ref="J763" ca="1">IF(
    ISNUMBER(SEARCH(RefData!$B$2, $C$475)),
    IF(
        $E763 &lt;&gt; "",
        $J$475,
        IF(
            $E763 = "",
            FALSE
        )
    ),
    IF(
        COUNTIF($K763:$T763, "&lt;&gt;FALSE") - COUNTBLANK($K763:$T763) &gt; 0,
        INDEX($K763:$T763, MATCH(TRUE, $K763:$T763 &lt;&gt; FALSE, 0))
    )
)</f>
        <v>0</v>
      </c>
      <c r="K763" s="712" t="b">
        <f ca="1">IF(AND('Start here'!$C$26=RefData!$B$9,'Reconciliation report'!$E763&lt;&gt;""),ErrorMsgs!$B763)</f>
        <v>0</v>
      </c>
      <c r="L763" s="712" t="b">
        <f ca="1">IF(AND('Start here'!$C$26=RefData!$B$10,'Covenant summary information'!$C$84=0,'Reconciliation report'!$E763&lt;&gt;""),ErrorMsgs!$C763)</f>
        <v>0</v>
      </c>
      <c r="M763" s="712" t="b">
        <f ca="1">IF(AND('Start here'!$C$26=RefData!$B$10,'Covenant summary information'!$C$84&lt;4,'Reconciliation report'!$E763&lt;&gt;""),ErrorMsgs!$D763)</f>
        <v>0</v>
      </c>
      <c r="N763" s="712" t="b">
        <f ca="1">IF(AND('Start here'!$C$26=RefData!$B$10,'Covenant summary information'!$C$84&gt;=4,'Reconciliation report'!$E763=""),ErrorMsgs!$E763)</f>
        <v>0</v>
      </c>
      <c r="O763" s="712" t="b">
        <f ca="1">IF($E763="",FALSE,IF(ISNA(MATCH($E763,RefData!$B$159:$B$160,0)),ErrorMsgs!$F763))</f>
        <v>0</v>
      </c>
      <c r="P763" s="712"/>
      <c r="Q763" s="712"/>
      <c r="R763" s="712"/>
      <c r="S763" s="712"/>
      <c r="T763" s="712"/>
      <c r="U763" s="526" t="str">
        <f t="shared" ca="1" si="99"/>
        <v/>
      </c>
      <c r="V763" s="93" t="str" cm="1">
        <f t="array" aca="1" ref="V763" ca="1">CELL("format",INDIRECT(I763))</f>
        <v>G</v>
      </c>
      <c r="W763" s="93" t="b">
        <f t="shared" ca="1" si="100"/>
        <v>0</v>
      </c>
      <c r="X763" s="715" t="str">
        <f t="shared" ca="1" si="98"/>
        <v/>
      </c>
      <c r="Y763" t="b">
        <f t="shared" ca="1" si="101"/>
        <v>1</v>
      </c>
    </row>
    <row r="764" spans="1:25" ht="77.5">
      <c r="A764" s="705" t="s">
        <v>1170</v>
      </c>
      <c r="B764" s="716" t="str">
        <f t="shared" ca="1" si="96"/>
        <v>Securities - C90</v>
      </c>
      <c r="C764" s="707" t="str" cm="1">
        <f t="array" aca="1" ref="C764" ca="1">INDIRECT(LEFT(I764, FIND("!", I764)) &amp; RefData!$C$426 &amp; RIGHT(I764, LEN(I764) - FIND("!", I764) - 1))</f>
        <v xml:space="preserve">
No answer required
Insolvency of associated company
</v>
      </c>
      <c r="D764" s="92" t="str">
        <f t="shared" ca="1" si="106"/>
        <v/>
      </c>
      <c r="E764" s="708" t="str" cm="1">
        <f t="array" aca="1" ref="E764" ca="1">IF(INDIRECT($I764)= "", "", INDIRECT($I764))</f>
        <v/>
      </c>
      <c r="F764" s="709" t="str" cm="1">
        <f t="array" aca="1" ref="F764" ca="1">INDIRECT(LEFT(I764, FIND("!", I764)) &amp; RefData!$C$427 &amp; RIGHT(I764, LEN(I764) - FIND("!", I764) - 1))</f>
        <v>SEC 12.0/4</v>
      </c>
      <c r="G764" s="710" t="b">
        <f ca="1">IF(ISNUMBER(SEARCH(RefData!$B$2, $C764)), FALSE, TRUE)</f>
        <v>0</v>
      </c>
      <c r="H764" s="344">
        <f>Securities!C90</f>
        <v>0</v>
      </c>
      <c r="I764" s="712" t="str">
        <f t="shared" ca="1" si="97"/>
        <v>Securities!C90</v>
      </c>
      <c r="J764" s="713" t="b" cm="1">
        <f t="array" aca="1" ref="J764" ca="1">IF(
    ISNUMBER(SEARCH(RefData!$B$2, $C$475)),
    IF(
        $E764 &lt;&gt; "",
        $J$475,
        IF(
            $E764 = "",
            FALSE
        )
    ),
    IF(
        COUNTIF($K764:$T764, "&lt;&gt;FALSE") - COUNTBLANK($K764:$T764) &gt; 0,
        INDEX($K764:$T764, MATCH(TRUE, $K764:$T764 &lt;&gt; FALSE, 0))
    )
)</f>
        <v>0</v>
      </c>
      <c r="K764" s="712" t="b">
        <f ca="1">IF(AND('Start here'!$C$26=RefData!$B$9,'Reconciliation report'!$E764&lt;&gt;""),ErrorMsgs!$B764)</f>
        <v>0</v>
      </c>
      <c r="L764" s="712" t="b">
        <f ca="1">IF(AND('Start here'!$C$26=RefData!$B$10,'Covenant summary information'!$C$84=0,'Reconciliation report'!$E764&lt;&gt;""),ErrorMsgs!$C764)</f>
        <v>0</v>
      </c>
      <c r="M764" s="712" t="b">
        <f ca="1">IF(AND('Start here'!$C$26=RefData!$B$10,'Covenant summary information'!$C$84&lt;4,'Reconciliation report'!$E764&lt;&gt;""),ErrorMsgs!$D764)</f>
        <v>0</v>
      </c>
      <c r="N764" s="712" t="b">
        <f ca="1">IF(AND('Start here'!$C$26=RefData!$B$10,'Covenant summary information'!$C$84&gt;=4,'Reconciliation report'!$E764=""),ErrorMsgs!$E764)</f>
        <v>0</v>
      </c>
      <c r="O764" s="712" t="b">
        <f ca="1">IF($E764="",FALSE,IF(ISNA(MATCH($E764,RefData!$B$159:$B$160,0)),ErrorMsgs!$F764))</f>
        <v>0</v>
      </c>
      <c r="P764" s="712"/>
      <c r="Q764" s="712"/>
      <c r="R764" s="712"/>
      <c r="S764" s="712"/>
      <c r="T764" s="712"/>
      <c r="U764" s="526" t="str">
        <f t="shared" ca="1" si="99"/>
        <v/>
      </c>
      <c r="V764" s="93" t="str" cm="1">
        <f t="array" aca="1" ref="V764" ca="1">CELL("format",INDIRECT(I764))</f>
        <v>G</v>
      </c>
      <c r="W764" s="93" t="b">
        <f t="shared" ca="1" si="100"/>
        <v>0</v>
      </c>
      <c r="X764" s="715" t="str">
        <f t="shared" ca="1" si="98"/>
        <v/>
      </c>
      <c r="Y764" t="b">
        <f t="shared" ca="1" si="101"/>
        <v>1</v>
      </c>
    </row>
    <row r="765" spans="1:25" ht="77.5">
      <c r="A765" s="705" t="s">
        <v>1172</v>
      </c>
      <c r="B765" s="716" t="str">
        <f t="shared" ca="1" si="96"/>
        <v>Securities - C91</v>
      </c>
      <c r="C765" s="707" t="str" cm="1">
        <f t="array" aca="1" ref="C765" ca="1">INDIRECT(LEFT(I765, FIND("!", I765)) &amp; RefData!$C$426 &amp; RIGHT(I765, LEN(I765) - FIND("!", I765) - 1))</f>
        <v xml:space="preserve">
No answer required
Non payment of contributions
</v>
      </c>
      <c r="D765" s="92" t="str">
        <f t="shared" ca="1" si="106"/>
        <v/>
      </c>
      <c r="E765" s="708" t="str" cm="1">
        <f t="array" aca="1" ref="E765" ca="1">IF(INDIRECT($I765)= "", "", INDIRECT($I765))</f>
        <v/>
      </c>
      <c r="F765" s="709" t="str" cm="1">
        <f t="array" aca="1" ref="F765" ca="1">INDIRECT(LEFT(I765, FIND("!", I765)) &amp; RefData!$C$427 &amp; RIGHT(I765, LEN(I765) - FIND("!", I765) - 1))</f>
        <v>SEC 13.0/4</v>
      </c>
      <c r="G765" s="710" t="b">
        <f ca="1">IF(ISNUMBER(SEARCH(RefData!$B$2, $C765)), FALSE, TRUE)</f>
        <v>0</v>
      </c>
      <c r="H765" s="344">
        <f>Securities!C91</f>
        <v>0</v>
      </c>
      <c r="I765" s="712" t="str">
        <f t="shared" ca="1" si="97"/>
        <v>Securities!C91</v>
      </c>
      <c r="J765" s="713" t="b" cm="1">
        <f t="array" aca="1" ref="J765" ca="1">IF(
    ISNUMBER(SEARCH(RefData!$B$2, $C$475)),
    IF(
        $E765 &lt;&gt; "",
        $J$475,
        IF(
            $E765 = "",
            FALSE
        )
    ),
    IF(
        COUNTIF($K765:$T765, "&lt;&gt;FALSE") - COUNTBLANK($K765:$T765) &gt; 0,
        INDEX($K765:$T765, MATCH(TRUE, $K765:$T765 &lt;&gt; FALSE, 0))
    )
)</f>
        <v>0</v>
      </c>
      <c r="K765" s="712" t="b">
        <f ca="1">IF(AND('Start here'!$C$26=RefData!$B$9,'Reconciliation report'!$E765&lt;&gt;""),ErrorMsgs!$B765)</f>
        <v>0</v>
      </c>
      <c r="L765" s="712" t="b">
        <f ca="1">IF(AND('Start here'!$C$26=RefData!$B$10,'Covenant summary information'!$C$84=0,'Reconciliation report'!$E765&lt;&gt;""),ErrorMsgs!$C765)</f>
        <v>0</v>
      </c>
      <c r="M765" s="712" t="b">
        <f ca="1">IF(AND('Start here'!$C$26=RefData!$B$10,'Covenant summary information'!$C$84&lt;4,'Reconciliation report'!$E765&lt;&gt;""),ErrorMsgs!$D765)</f>
        <v>0</v>
      </c>
      <c r="N765" s="712" t="b">
        <f ca="1">IF(AND('Start here'!$C$26=RefData!$B$10,'Covenant summary information'!$C$84&gt;=4,'Reconciliation report'!$E765=""),ErrorMsgs!$E765)</f>
        <v>0</v>
      </c>
      <c r="O765" s="712" t="b">
        <f ca="1">IF($E765="",FALSE,IF(ISNA(MATCH($E765,RefData!$B$159:$B$160,0)),ErrorMsgs!$F765))</f>
        <v>0</v>
      </c>
      <c r="P765" s="712"/>
      <c r="Q765" s="712"/>
      <c r="R765" s="712"/>
      <c r="S765" s="712"/>
      <c r="T765" s="712"/>
      <c r="U765" s="526" t="str">
        <f t="shared" ca="1" si="99"/>
        <v/>
      </c>
      <c r="V765" s="93" t="str" cm="1">
        <f t="array" aca="1" ref="V765" ca="1">CELL("format",INDIRECT(I765))</f>
        <v>G</v>
      </c>
      <c r="W765" s="93" t="b">
        <f t="shared" ca="1" si="100"/>
        <v>0</v>
      </c>
      <c r="X765" s="715" t="str">
        <f t="shared" ca="1" si="98"/>
        <v/>
      </c>
      <c r="Y765" t="b">
        <f t="shared" ca="1" si="101"/>
        <v>1</v>
      </c>
    </row>
    <row r="766" spans="1:25" ht="77.5">
      <c r="A766" s="705" t="s">
        <v>1174</v>
      </c>
      <c r="B766" s="716" t="str">
        <f t="shared" ca="1" si="96"/>
        <v>Securities - C92</v>
      </c>
      <c r="C766" s="707" t="str" cm="1">
        <f t="array" aca="1" ref="C766" ca="1">INDIRECT(LEFT(I766, FIND("!", I766)) &amp; RefData!$C$426 &amp; RIGHT(I766, LEN(I766) - FIND("!", I766) - 1))</f>
        <v xml:space="preserve">
No answer required
Crystallisation of investment risk
</v>
      </c>
      <c r="D766" s="92" t="str">
        <f t="shared" ca="1" si="106"/>
        <v/>
      </c>
      <c r="E766" s="708" t="str" cm="1">
        <f t="array" aca="1" ref="E766" ca="1">IF(INDIRECT($I766)= "", "", INDIRECT($I766))</f>
        <v/>
      </c>
      <c r="F766" s="709" t="str" cm="1">
        <f t="array" aca="1" ref="F766" ca="1">INDIRECT(LEFT(I766, FIND("!", I766)) &amp; RefData!$C$427 &amp; RIGHT(I766, LEN(I766) - FIND("!", I766) - 1))</f>
        <v>SEC 14.0/4</v>
      </c>
      <c r="G766" s="710" t="b">
        <f ca="1">IF(ISNUMBER(SEARCH(RefData!$B$2, $C766)), FALSE, TRUE)</f>
        <v>0</v>
      </c>
      <c r="H766" s="344">
        <f>Securities!C92</f>
        <v>0</v>
      </c>
      <c r="I766" s="712" t="str">
        <f t="shared" ca="1" si="97"/>
        <v>Securities!C92</v>
      </c>
      <c r="J766" s="713" t="b" cm="1">
        <f t="array" aca="1" ref="J766" ca="1">IF(
    ISNUMBER(SEARCH(RefData!$B$2, $C$475)),
    IF(
        $E766 &lt;&gt; "",
        $J$475,
        IF(
            $E766 = "",
            FALSE
        )
    ),
    IF(
        COUNTIF($K766:$T766, "&lt;&gt;FALSE") - COUNTBLANK($K766:$T766) &gt; 0,
        INDEX($K766:$T766, MATCH(TRUE, $K766:$T766 &lt;&gt; FALSE, 0))
    )
)</f>
        <v>0</v>
      </c>
      <c r="K766" s="712" t="b">
        <f ca="1">IF(AND('Start here'!$C$26=RefData!$B$9,'Reconciliation report'!$E766&lt;&gt;""),ErrorMsgs!$B766)</f>
        <v>0</v>
      </c>
      <c r="L766" s="712" t="b">
        <f ca="1">IF(AND('Start here'!$C$26=RefData!$B$10,'Covenant summary information'!$C$84=0,'Reconciliation report'!$E766&lt;&gt;""),ErrorMsgs!$C766)</f>
        <v>0</v>
      </c>
      <c r="M766" s="712" t="b">
        <f ca="1">IF(AND('Start here'!$C$26=RefData!$B$10,'Covenant summary information'!$C$84&lt;4,'Reconciliation report'!$E766&lt;&gt;""),ErrorMsgs!$D766)</f>
        <v>0</v>
      </c>
      <c r="N766" s="712" t="b">
        <f ca="1">IF(AND('Start here'!$C$26=RefData!$B$10,'Covenant summary information'!$C$84&gt;=4,'Reconciliation report'!$E766=""),ErrorMsgs!$E766)</f>
        <v>0</v>
      </c>
      <c r="O766" s="712" t="b">
        <f ca="1">IF($E766="",FALSE,IF(ISNA(MATCH($E766,RefData!$B$159:$B$160,0)),ErrorMsgs!$F766))</f>
        <v>0</v>
      </c>
      <c r="P766" s="712"/>
      <c r="Q766" s="712"/>
      <c r="R766" s="712"/>
      <c r="S766" s="712"/>
      <c r="T766" s="712"/>
      <c r="U766" s="526" t="str">
        <f t="shared" ca="1" si="99"/>
        <v/>
      </c>
      <c r="V766" s="93" t="str" cm="1">
        <f t="array" aca="1" ref="V766" ca="1">CELL("format",INDIRECT(I766))</f>
        <v>G</v>
      </c>
      <c r="W766" s="93" t="b">
        <f t="shared" ca="1" si="100"/>
        <v>0</v>
      </c>
      <c r="X766" s="715" t="str">
        <f t="shared" ca="1" si="98"/>
        <v/>
      </c>
      <c r="Y766" t="b">
        <f t="shared" ca="1" si="101"/>
        <v>1</v>
      </c>
    </row>
    <row r="767" spans="1:25" ht="77.5">
      <c r="A767" s="705" t="s">
        <v>1176</v>
      </c>
      <c r="B767" s="716" t="str">
        <f t="shared" ca="1" si="96"/>
        <v>Securities - C93</v>
      </c>
      <c r="C767" s="707" t="str" cm="1">
        <f t="array" aca="1" ref="C767" ca="1">INDIRECT(LEFT(I767, FIND("!", I767)) &amp; RefData!$C$426 &amp; RIGHT(I767, LEN(I767) - FIND("!", I767) - 1))</f>
        <v xml:space="preserve">
No answer required
Other
</v>
      </c>
      <c r="D767" s="92" t="str">
        <f t="shared" ca="1" si="106"/>
        <v/>
      </c>
      <c r="E767" s="708" t="str" cm="1">
        <f t="array" aca="1" ref="E767" ca="1">IF(INDIRECT($I767)= "", "", INDIRECT($I767))</f>
        <v/>
      </c>
      <c r="F767" s="709" t="str" cm="1">
        <f t="array" aca="1" ref="F767" ca="1">INDIRECT(LEFT(I767, FIND("!", I767)) &amp; RefData!$C$427 &amp; RIGHT(I767, LEN(I767) - FIND("!", I767) - 1))</f>
        <v>SEC 15.0/4</v>
      </c>
      <c r="G767" s="710" t="b">
        <f ca="1">IF(ISNUMBER(SEARCH(RefData!$B$2, $C767)), FALSE, TRUE)</f>
        <v>0</v>
      </c>
      <c r="H767" s="344">
        <f>Securities!C93</f>
        <v>0</v>
      </c>
      <c r="I767" s="712" t="str">
        <f t="shared" ca="1" si="97"/>
        <v>Securities!C93</v>
      </c>
      <c r="J767" s="713" t="b" cm="1">
        <f t="array" aca="1" ref="J767" ca="1">IF(
    ISNUMBER(SEARCH(RefData!$B$2, $C$475)),
    IF(
        $E767 &lt;&gt; "",
        $J$475,
        IF(
            $E767 = "",
            FALSE
        )
    ),
    IF(
        COUNTIF($K767:$T767, "&lt;&gt;FALSE") - COUNTBLANK($K767:$T767) &gt; 0,
        INDEX($K767:$T767, MATCH(TRUE, $K767:$T767 &lt;&gt; FALSE, 0))
    )
)</f>
        <v>0</v>
      </c>
      <c r="K767" s="712" t="b">
        <f ca="1">IF(AND('Start here'!$C$26=RefData!$B$9,'Reconciliation report'!$E767&lt;&gt;""),ErrorMsgs!$B767)</f>
        <v>0</v>
      </c>
      <c r="L767" s="712" t="b">
        <f ca="1">IF(AND('Start here'!$C$26=RefData!$B$10,'Covenant summary information'!$C$84=0,'Reconciliation report'!$E767&lt;&gt;""),ErrorMsgs!$C767)</f>
        <v>0</v>
      </c>
      <c r="M767" s="712" t="b">
        <f ca="1">IF(AND('Start here'!$C$26=RefData!$B$10,'Covenant summary information'!$C$84&lt;4,'Reconciliation report'!$E767&lt;&gt;""),ErrorMsgs!$D767)</f>
        <v>0</v>
      </c>
      <c r="N767" s="712" t="b">
        <f ca="1">IF(AND('Start here'!$C$26=RefData!$B$10,'Covenant summary information'!$C$84&gt;=4,'Reconciliation report'!$E767=""),ErrorMsgs!$E767)</f>
        <v>0</v>
      </c>
      <c r="O767" s="712" t="b">
        <f ca="1">IF($E767="",FALSE,IF(ISNA(MATCH($E767,RefData!$B$159:$B$160,0)),ErrorMsgs!$F767))</f>
        <v>0</v>
      </c>
      <c r="P767" s="712"/>
      <c r="Q767" s="712"/>
      <c r="R767" s="712"/>
      <c r="S767" s="712"/>
      <c r="T767" s="712"/>
      <c r="U767" s="526" t="str">
        <f t="shared" ca="1" si="99"/>
        <v/>
      </c>
      <c r="V767" s="93" t="str" cm="1">
        <f t="array" aca="1" ref="V767" ca="1">CELL("format",INDIRECT(I767))</f>
        <v>G</v>
      </c>
      <c r="W767" s="93" t="b">
        <f t="shared" ca="1" si="100"/>
        <v>0</v>
      </c>
      <c r="X767" s="715" t="str">
        <f t="shared" ca="1" si="98"/>
        <v/>
      </c>
      <c r="Y767" t="b">
        <f t="shared" ca="1" si="101"/>
        <v>1</v>
      </c>
    </row>
    <row r="768" spans="1:25" ht="77.5">
      <c r="A768" s="705" t="s">
        <v>1178</v>
      </c>
      <c r="B768" s="716" t="str">
        <f t="shared" ca="1" si="96"/>
        <v>Securities - C94</v>
      </c>
      <c r="C768" s="707" t="str" cm="1">
        <f t="array" aca="1" ref="C768" ca="1">INDIRECT(LEFT(I768, FIND("!", I768)) &amp; RefData!$C$426 &amp; RIGHT(I768, LEN(I768) - FIND("!", I768) - 1))</f>
        <v xml:space="preserve">
No answer required
Describe the other triggers for access to value
</v>
      </c>
      <c r="D768" s="92" t="str">
        <f t="shared" ca="1" si="106"/>
        <v/>
      </c>
      <c r="E768" s="708" t="str" cm="1">
        <f t="array" aca="1" ref="E768" ca="1">IF(INDIRECT($I768)= "", "", INDIRECT($I768))</f>
        <v/>
      </c>
      <c r="F768" s="709" t="str" cm="1">
        <f t="array" aca="1" ref="F768" ca="1">INDIRECT(LEFT(I768, FIND("!", I768)) &amp; RefData!$C$427 &amp; RIGHT(I768, LEN(I768) - FIND("!", I768) - 1))</f>
        <v>SEC 16.0/4</v>
      </c>
      <c r="G768" s="710" t="b">
        <f ca="1">IF(ISNUMBER(SEARCH(RefData!$B$2, $C768)), FALSE, TRUE)</f>
        <v>0</v>
      </c>
      <c r="H768" s="344">
        <f>Securities!C94</f>
        <v>0</v>
      </c>
      <c r="I768" s="712" t="str">
        <f t="shared" ca="1" si="97"/>
        <v>Securities!C94</v>
      </c>
      <c r="J768" s="713" t="b" cm="1">
        <f t="array" aca="1" ref="J768" ca="1">IF(
    ISNUMBER(SEARCH(RefData!$B$2, $C$475)),
    IF(
        $E768 &lt;&gt; "",
        $J$475,
        IF(
            $E768 = "",
            FALSE
        )
    ),
    IF(
        COUNTIF($K768:$T768, "&lt;&gt;FALSE") - COUNTBLANK($K768:$T768) &gt; 0,
        INDEX($K768:$T768, MATCH(TRUE, $K768:$T768 &lt;&gt; FALSE, 0))
    )
)</f>
        <v>0</v>
      </c>
      <c r="K768" s="712" t="b">
        <f ca="1">IF(AND('Start here'!$C$26=RefData!$B$9,'Reconciliation report'!$E768&lt;&gt;""),ErrorMsgs!$B768)</f>
        <v>0</v>
      </c>
      <c r="L768" s="712" t="b">
        <f ca="1">IF(AND('Start here'!$C$26=RefData!$B$10,'Covenant summary information'!$C$84=0,'Reconciliation report'!$E768&lt;&gt;""),ErrorMsgs!$C768)</f>
        <v>0</v>
      </c>
      <c r="M768" s="712" t="b">
        <f ca="1">IF(AND('Start here'!$C$26=RefData!$B$10,'Covenant summary information'!$C$84&lt;4,'Reconciliation report'!$E768&lt;&gt;""),ErrorMsgs!$D768)</f>
        <v>0</v>
      </c>
      <c r="N768" s="712" t="b">
        <f ca="1">IF(AND('Start here'!$C$26=RefData!$B$10,'Covenant summary information'!$C$84&gt;=4,Securities!$C$93=RefData!$B$160,'Reconciliation report'!$E768&lt;&gt;""),ErrorMsgs!$E768)</f>
        <v>0</v>
      </c>
      <c r="O768" s="712" t="b">
        <f ca="1">IF(AND('Start here'!$C$26=RefData!$B$10,'Covenant summary information'!$C$84&gt;=4,Securities!$C$93=RefData!$B$159,'Reconciliation report'!$E768=""),ErrorMsgs!$F768)</f>
        <v>0</v>
      </c>
      <c r="P768" s="712" t="b">
        <f ca="1">IF(LEN($E768)&gt;4000,ErrorMsgs!$G768)</f>
        <v>0</v>
      </c>
      <c r="Q768" s="712"/>
      <c r="R768" s="712"/>
      <c r="S768" s="712"/>
      <c r="T768" s="712"/>
      <c r="U768" s="526" t="str">
        <f t="shared" ca="1" si="99"/>
        <v/>
      </c>
      <c r="V768" s="93" t="str" cm="1">
        <f t="array" aca="1" ref="V768" ca="1">CELL("format",INDIRECT(I768))</f>
        <v>G</v>
      </c>
      <c r="W768" s="93" t="b">
        <f t="shared" ca="1" si="100"/>
        <v>0</v>
      </c>
      <c r="X768" s="715" t="str">
        <f t="shared" ca="1" si="98"/>
        <v/>
      </c>
      <c r="Y768" t="b">
        <f t="shared" ca="1" si="101"/>
        <v>1</v>
      </c>
    </row>
    <row r="769" spans="1:25" ht="77.5">
      <c r="A769" s="705" t="s">
        <v>1180</v>
      </c>
      <c r="B769" s="716" t="str">
        <f t="shared" ca="1" si="96"/>
        <v>Securities - C95</v>
      </c>
      <c r="C769" s="707" t="str" cm="1">
        <f t="array" aca="1" ref="C769" ca="1">INDIRECT(LEFT(I769, FIND("!", I769)) &amp; RefData!$C$426 &amp; RIGHT(I769, LEN(I769) - FIND("!", I769) - 1))</f>
        <v xml:space="preserve">
No answer required
Triggers for termination
</v>
      </c>
      <c r="D769" s="92" t="str">
        <f t="shared" ca="1" si="106"/>
        <v/>
      </c>
      <c r="E769" s="708" t="str" cm="1">
        <f t="array" aca="1" ref="E769" ca="1">IF(INDIRECT($I769)= "", "", INDIRECT($I769))</f>
        <v/>
      </c>
      <c r="F769" s="709" t="str" cm="1">
        <f t="array" aca="1" ref="F769" ca="1">INDIRECT(LEFT(I769, FIND("!", I769)) &amp; RefData!$C$427 &amp; RIGHT(I769, LEN(I769) - FIND("!", I769) - 1))</f>
        <v>SEC 17.0/4</v>
      </c>
      <c r="G769" s="710" t="b">
        <f ca="1">IF(ISNUMBER(SEARCH(RefData!$B$2, $C769)), FALSE, TRUE)</f>
        <v>0</v>
      </c>
      <c r="H769" s="344">
        <f>Securities!C95</f>
        <v>0</v>
      </c>
      <c r="I769" s="712" t="str">
        <f t="shared" ca="1" si="97"/>
        <v>Securities!C95</v>
      </c>
      <c r="J769" s="713" t="b" cm="1">
        <f t="array" aca="1" ref="J769" ca="1">IF(
    ISNUMBER(SEARCH(RefData!$B$2, $C$475)),
    IF(
        $E769 &lt;&gt; "",
        $J$475,
        IF(
            $E769 = "",
            FALSE
        )
    ),
    IF(
        COUNTIF($K769:$T769, "&lt;&gt;FALSE") - COUNTBLANK($K769:$T769) &gt; 0,
        INDEX($K769:$T769, MATCH(TRUE, $K769:$T769 &lt;&gt; FALSE, 0))
    )
)</f>
        <v>0</v>
      </c>
      <c r="K769" s="712" t="b">
        <f ca="1">IF(AND('Start here'!$C$26=RefData!$B$9,'Reconciliation report'!$E769&lt;&gt;""),ErrorMsgs!$B769)</f>
        <v>0</v>
      </c>
      <c r="L769" s="712" t="b">
        <f ca="1">IF(AND('Start here'!$C$26=RefData!$B$10,'Covenant summary information'!$C$84=0,'Reconciliation report'!$E769&lt;&gt;""),ErrorMsgs!$C769)</f>
        <v>0</v>
      </c>
      <c r="M769" s="712" t="b">
        <f ca="1">IF(AND('Start here'!$C$26=RefData!$B$10,'Covenant summary information'!$C$84&lt;4,'Reconciliation report'!$E769&lt;&gt;""),ErrorMsgs!$D769)</f>
        <v>0</v>
      </c>
      <c r="N769" s="712" t="b">
        <f ca="1">IF(AND('Start here'!$C$26=RefData!$B$10,'Covenant summary information'!$C$84&gt;=4,'Reconciliation report'!$E769=""),ErrorMsgs!$E769)</f>
        <v>0</v>
      </c>
      <c r="O769" s="712" t="b">
        <f ca="1">IF(LEN($E769)&gt;4000,ErrorMsgs!$F769)</f>
        <v>0</v>
      </c>
      <c r="P769" s="712"/>
      <c r="Q769" s="712"/>
      <c r="R769" s="712"/>
      <c r="S769" s="712"/>
      <c r="T769" s="712"/>
      <c r="U769" s="526" t="str">
        <f t="shared" ca="1" si="99"/>
        <v/>
      </c>
      <c r="V769" s="93" t="str" cm="1">
        <f t="array" aca="1" ref="V769" ca="1">CELL("format",INDIRECT(I769))</f>
        <v>G</v>
      </c>
      <c r="W769" s="93" t="b">
        <f t="shared" ca="1" si="100"/>
        <v>0</v>
      </c>
      <c r="X769" s="715" t="str">
        <f t="shared" ca="1" si="98"/>
        <v/>
      </c>
      <c r="Y769" t="b">
        <f t="shared" ca="1" si="101"/>
        <v>1</v>
      </c>
    </row>
    <row r="770" spans="1:25" ht="93">
      <c r="A770" s="705" t="s">
        <v>3517</v>
      </c>
      <c r="B770" s="716" t="str">
        <f t="shared" ca="1" si="96"/>
        <v>Securities - C99</v>
      </c>
      <c r="C770" s="707" t="str" cm="1">
        <f t="array" aca="1" ref="C770" ca="1">INDIRECT(LEFT(I770, FIND("!", I770)) &amp; RefData!$C$426 &amp; RIGHT(I770, LEN(I770) - FIND("!", I770) - 1))</f>
        <v xml:space="preserve">
No answer required
What is the type of underlying asset that the scheme has security over?
</v>
      </c>
      <c r="D770" s="92" t="str">
        <f t="shared" ref="D770:D786" ca="1" si="107">""&amp;IF(J770=FALSE, "", J770)
&amp;""</f>
        <v/>
      </c>
      <c r="E770" s="708" t="str" cm="1">
        <f t="array" aca="1" ref="E770" ca="1">IF(INDIRECT($I770)= "", "", INDIRECT($I770))</f>
        <v/>
      </c>
      <c r="F770" s="709" t="str" cm="1">
        <f t="array" aca="1" ref="F770" ca="1">INDIRECT(LEFT(I770, FIND("!", I770)) &amp; RefData!$C$427 &amp; RIGHT(I770, LEN(I770) - FIND("!", I770) - 1))</f>
        <v>SEC 1.0/5</v>
      </c>
      <c r="G770" s="710" t="b">
        <f ca="1">IF(ISNUMBER(SEARCH(RefData!$B$2, $C770)), FALSE, TRUE)</f>
        <v>0</v>
      </c>
      <c r="H770" s="344">
        <f>Securities!C99</f>
        <v>0</v>
      </c>
      <c r="I770" s="712" t="str">
        <f t="shared" ca="1" si="97"/>
        <v>Securities!C99</v>
      </c>
      <c r="J770" s="713" t="b" cm="1">
        <f t="array" aca="1" ref="J770" ca="1">IF(
    ISNUMBER(SEARCH(RefData!$B$2, $C$475)),
    IF(
        $E770 &lt;&gt; "",
        $J$475,
        IF(
            $E770 = "",
            FALSE
        )
    ),
    IF(
        COUNTIF($K770:$T770, "&lt;&gt;FALSE") - COUNTBLANK($K770:$T770) &gt; 0,
        INDEX($K770:$T770, MATCH(TRUE, $K770:$T770 &lt;&gt; FALSE, 0))
    )
)</f>
        <v>0</v>
      </c>
      <c r="K770" s="712" t="b">
        <f ca="1">IF(AND('Covenant summary information'!$C$84=0,'Reconciliation report'!$E770&lt;&gt;""),ErrorMsgs!$B770)</f>
        <v>0</v>
      </c>
      <c r="L770" s="712" t="b">
        <f ca="1">IF(AND('Covenant summary information'!$C$84&lt;5,'Reconciliation report'!$E770&lt;&gt;""),ErrorMsgs!$C770)</f>
        <v>0</v>
      </c>
      <c r="M770" s="712" t="b">
        <f ca="1">IF(AND('Covenant summary information'!$C$84&gt;=5,'Reconciliation report'!$E770=""),ErrorMsgs!$D770)</f>
        <v>0</v>
      </c>
      <c r="N770" s="712" t="b">
        <f ca="1">IF(E770="",FALSE,IF(ISNA(MATCH($E770,RefData!$B$141:$B$148,0)),ErrorMsgs!$E770))</f>
        <v>0</v>
      </c>
      <c r="O770" s="712"/>
      <c r="P770" s="712"/>
      <c r="Q770" s="712"/>
      <c r="R770" s="712"/>
      <c r="S770" s="712"/>
      <c r="T770" s="712"/>
      <c r="U770" s="526" t="str">
        <f t="shared" ca="1" si="99"/>
        <v/>
      </c>
      <c r="V770" s="93" t="str" cm="1">
        <f t="array" aca="1" ref="V770" ca="1">CELL("format",INDIRECT(I770))</f>
        <v>G</v>
      </c>
      <c r="W770" s="93" t="b">
        <f t="shared" ca="1" si="100"/>
        <v>0</v>
      </c>
      <c r="X770" s="715" t="str">
        <f t="shared" ref="X770:X833" ca="1" si="108">IF(W770, "0." &amp; IF(V770="P2",REPT("0", MIN(4, LEN(E770) - FIND(".", E770))),REPT("0", MIN(6, LEN(E770) - FIND(".", E770)))), "")</f>
        <v/>
      </c>
      <c r="Y770" t="b">
        <f t="shared" ca="1" si="101"/>
        <v>1</v>
      </c>
    </row>
    <row r="771" spans="1:25" ht="77.5">
      <c r="A771" s="705" t="s">
        <v>1184</v>
      </c>
      <c r="B771" s="716" t="str">
        <f t="shared" ca="1" si="96"/>
        <v>Securities - C100</v>
      </c>
      <c r="C771" s="707" t="str" cm="1">
        <f t="array" aca="1" ref="C771" ca="1">INDIRECT(LEFT(I771, FIND("!", I771)) &amp; RefData!$C$426 &amp; RIGHT(I771, LEN(I771) - FIND("!", I771) - 1))</f>
        <v xml:space="preserve">
No answer required
Provide specific details of the underlying asset
</v>
      </c>
      <c r="D771" s="92" t="str">
        <f t="shared" ca="1" si="107"/>
        <v/>
      </c>
      <c r="E771" s="708" t="str" cm="1">
        <f t="array" aca="1" ref="E771" ca="1">IF(INDIRECT($I771)= "", "", INDIRECT($I771))</f>
        <v/>
      </c>
      <c r="F771" s="709" t="str" cm="1">
        <f t="array" aca="1" ref="F771" ca="1">INDIRECT(LEFT(I771, FIND("!", I771)) &amp; RefData!$C$427 &amp; RIGHT(I771, LEN(I771) - FIND("!", I771) - 1))</f>
        <v>SEC 2.0/5</v>
      </c>
      <c r="G771" s="710" t="b">
        <f ca="1">IF(ISNUMBER(SEARCH(RefData!$B$2, $C771)), FALSE, TRUE)</f>
        <v>0</v>
      </c>
      <c r="H771" s="344">
        <f>Securities!C100</f>
        <v>0</v>
      </c>
      <c r="I771" s="712" t="str">
        <f t="shared" ca="1" si="97"/>
        <v>Securities!C100</v>
      </c>
      <c r="J771" s="713" t="b" cm="1">
        <f t="array" aca="1" ref="J771" ca="1">IF(
    ISNUMBER(SEARCH(RefData!$B$2, $C$475)),
    IF(
        $E771 &lt;&gt; "",
        $J$475,
        IF(
            $E771 = "",
            FALSE
        )
    ),
    IF(
        COUNTIF($K771:$T771, "&lt;&gt;FALSE") - COUNTBLANK($K771:$T771) &gt; 0,
        INDEX($K771:$T771, MATCH(TRUE, $K771:$T771 &lt;&gt; FALSE, 0))
    )
)</f>
        <v>0</v>
      </c>
      <c r="K771" s="712" t="b">
        <f ca="1">IF(AND('Covenant summary information'!$C$84=0,'Reconciliation report'!$E771&lt;&gt;""),ErrorMsgs!$B771)</f>
        <v>0</v>
      </c>
      <c r="L771" s="712" t="b">
        <f ca="1">IF(AND('Covenant summary information'!$C$84&lt;5,'Reconciliation report'!$E771&lt;&gt;""),ErrorMsgs!$C771)</f>
        <v>0</v>
      </c>
      <c r="M771" s="712" t="b">
        <f ca="1">IF(AND('Covenant summary information'!$C$84&gt;=5,'Reconciliation report'!$E771=""),ErrorMsgs!$D771)</f>
        <v>0</v>
      </c>
      <c r="N771" s="712" t="b">
        <f ca="1">IF(LEN($E771)&gt;4000,ErrorMsgs!$E771)</f>
        <v>0</v>
      </c>
      <c r="O771" s="712"/>
      <c r="P771" s="712"/>
      <c r="Q771" s="712"/>
      <c r="R771" s="712"/>
      <c r="S771" s="712"/>
      <c r="T771" s="712"/>
      <c r="U771" s="526" t="str">
        <f t="shared" ref="U771:U834" ca="1" si="109">IF(AND($W771=TRUE,$Y771=FALSE),TEXT($E771,$X771),$E771)</f>
        <v/>
      </c>
      <c r="V771" s="93" t="str" cm="1">
        <f t="array" aca="1" ref="V771" ca="1">CELL("format",INDIRECT(I771))</f>
        <v>G</v>
      </c>
      <c r="W771" s="93" t="b">
        <f t="shared" ref="W771:W834" ca="1" si="110">IF(ISNUMBER(E771), IF(INT(E771)&lt;&gt;E771,TRUE,FALSE),FALSE)</f>
        <v>0</v>
      </c>
      <c r="X771" s="715" t="str">
        <f t="shared" ca="1" si="108"/>
        <v/>
      </c>
      <c r="Y771" t="b">
        <f t="shared" ref="Y771:Y834" ca="1" si="111">ISTEXT(E771)</f>
        <v>1</v>
      </c>
    </row>
    <row r="772" spans="1:25" ht="77.5">
      <c r="A772" s="705" t="s">
        <v>1186</v>
      </c>
      <c r="B772" s="716" t="str">
        <f t="shared" ca="1" si="96"/>
        <v>Securities - C101</v>
      </c>
      <c r="C772" s="707" t="str" cm="1">
        <f t="array" aca="1" ref="C772" ca="1">INDIRECT(LEFT(I772, FIND("!", I772)) &amp; RefData!$C$426 &amp; RIGHT(I772, LEN(I772) - FIND("!", I772) - 1))</f>
        <v xml:space="preserve">
No answer required
Type of maturity
</v>
      </c>
      <c r="D772" s="92" t="str">
        <f t="shared" ca="1" si="107"/>
        <v/>
      </c>
      <c r="E772" s="708" t="str" cm="1">
        <f t="array" aca="1" ref="E772" ca="1">IF(INDIRECT($I772)= "", "", INDIRECT($I772))</f>
        <v/>
      </c>
      <c r="F772" s="709" t="str" cm="1">
        <f t="array" aca="1" ref="F772" ca="1">INDIRECT(LEFT(I772, FIND("!", I772)) &amp; RefData!$C$427 &amp; RIGHT(I772, LEN(I772) - FIND("!", I772) - 1))</f>
        <v>SEC 3.0/5</v>
      </c>
      <c r="G772" s="710" t="b">
        <f ca="1">IF(ISNUMBER(SEARCH(RefData!$B$2, $C772)), FALSE, TRUE)</f>
        <v>0</v>
      </c>
      <c r="H772" s="344">
        <f>Securities!C101</f>
        <v>0</v>
      </c>
      <c r="I772" s="712" t="str">
        <f t="shared" ca="1" si="97"/>
        <v>Securities!C101</v>
      </c>
      <c r="J772" s="713" t="b" cm="1">
        <f t="array" aca="1" ref="J772" ca="1">IF(
    ISNUMBER(SEARCH(RefData!$B$2, $C$475)),
    IF(
        $E772 &lt;&gt; "",
        $J$475,
        IF(
            $E772 = "",
            FALSE
        )
    ),
    IF(
        COUNTIF($K772:$T772, "&lt;&gt;FALSE") - COUNTBLANK($K772:$T772) &gt; 0,
        INDEX($K772:$T772, MATCH(TRUE, $K772:$T772 &lt;&gt; FALSE, 0))
    )
)</f>
        <v>0</v>
      </c>
      <c r="K772" s="712" t="b">
        <f ca="1">IF(AND('Start here'!$C$26=RefData!$B$9,'Reconciliation report'!E772&lt;&gt;""),ErrorMsgs!$B772)</f>
        <v>0</v>
      </c>
      <c r="L772" s="712" t="b">
        <f ca="1">IF(AND('Start here'!$C$26=RefData!$B$10,'Covenant summary information'!$C$84=0,'Reconciliation report'!$E772&lt;&gt;""),ErrorMsgs!$C772)</f>
        <v>0</v>
      </c>
      <c r="M772" s="712" t="b">
        <f ca="1">IF(AND('Start here'!$C$26=RefData!$B$10,'Covenant summary information'!$C$84&lt;5,'Reconciliation report'!$E772&lt;&gt;""),ErrorMsgs!$D772)</f>
        <v>0</v>
      </c>
      <c r="N772" s="712" t="b">
        <f ca="1">IF(AND('Start here'!$C$26=RefData!$B$10,'Covenant summary information'!$C$84&gt;=5,'Reconciliation report'!$E772=""),ErrorMsgs!$E772)</f>
        <v>0</v>
      </c>
      <c r="O772" s="712" t="b">
        <f ca="1">IF(E772="",FALSE,IF(ISNA(MATCH($E772,RefData!$B$149:$B$151,0)),ErrorMsgs!$F772))</f>
        <v>0</v>
      </c>
      <c r="P772" s="712"/>
      <c r="Q772" s="712"/>
      <c r="R772" s="712"/>
      <c r="S772" s="712"/>
      <c r="T772" s="712"/>
      <c r="U772" s="526" t="str">
        <f t="shared" ca="1" si="109"/>
        <v/>
      </c>
      <c r="V772" s="93" t="str" cm="1">
        <f t="array" aca="1" ref="V772" ca="1">CELL("format",INDIRECT(I772))</f>
        <v>G</v>
      </c>
      <c r="W772" s="93" t="b">
        <f t="shared" ca="1" si="110"/>
        <v>0</v>
      </c>
      <c r="X772" s="715" t="str">
        <f t="shared" ca="1" si="108"/>
        <v/>
      </c>
      <c r="Y772" t="b">
        <f t="shared" ca="1" si="111"/>
        <v>1</v>
      </c>
    </row>
    <row r="773" spans="1:25" ht="77.5">
      <c r="A773" s="705" t="s">
        <v>1188</v>
      </c>
      <c r="B773" s="716" t="str">
        <f t="shared" ca="1" si="96"/>
        <v>Securities - C102</v>
      </c>
      <c r="C773" s="707" t="str" cm="1">
        <f t="array" aca="1" ref="C773" ca="1">INDIRECT(LEFT(I773, FIND("!", I773)) &amp; RefData!$C$426 &amp; RIGHT(I773, LEN(I773) - FIND("!", I773) - 1))</f>
        <v xml:space="preserve">
No answer required
Date of maturity
</v>
      </c>
      <c r="D773" s="92" t="str">
        <f t="shared" ca="1" si="107"/>
        <v/>
      </c>
      <c r="E773" s="708" t="str" cm="1">
        <f t="array" aca="1" ref="E773" ca="1">IF(INDIRECT($I773)= "", "", INDIRECT($I773))</f>
        <v/>
      </c>
      <c r="F773" s="709" t="str" cm="1">
        <f t="array" aca="1" ref="F773" ca="1">INDIRECT(LEFT(I773, FIND("!", I773)) &amp; RefData!$C$427 &amp; RIGHT(I773, LEN(I773) - FIND("!", I773) - 1))</f>
        <v>SEC 4.0/5</v>
      </c>
      <c r="G773" s="710" t="b">
        <f ca="1">IF(ISNUMBER(SEARCH(RefData!$B$2, $C773)), FALSE, TRUE)</f>
        <v>0</v>
      </c>
      <c r="H773" s="344">
        <f>Securities!C102</f>
        <v>0</v>
      </c>
      <c r="I773" s="712" t="str">
        <f t="shared" ca="1" si="97"/>
        <v>Securities!C102</v>
      </c>
      <c r="J773" s="713" t="b" cm="1">
        <f t="array" aca="1" ref="J773" ca="1">IF(
    ISNUMBER(SEARCH(RefData!$B$2, $C$475)),
    IF(
        $E773 &lt;&gt; "",
        $J$475,
        IF(
            $E773 = "",
            FALSE
        )
    ),
    IF(
        COUNTIF($K773:$T773, "&lt;&gt;FALSE") - COUNTBLANK($K773:$T773) &gt; 0,
        INDEX($K773:$T773, MATCH(TRUE, $K773:$T773 &lt;&gt; FALSE, 0))
    )
)</f>
        <v>0</v>
      </c>
      <c r="K773" s="712" t="b">
        <f ca="1">IF(AND('Start here'!$C$26=RefData!$B$9,'Reconciliation report'!$E773&lt;&gt;""),ErrorMsgs!$B773)</f>
        <v>0</v>
      </c>
      <c r="L773" s="712" t="b">
        <f ca="1">IF(AND('Start here'!$C$26=RefData!$B$10,'Covenant summary information'!$C$84=0,'Reconciliation report'!$E773&lt;&gt;""),ErrorMsgs!$C773)</f>
        <v>0</v>
      </c>
      <c r="M773" s="712" t="b">
        <f ca="1">IF(AND('Start here'!$C$26=RefData!$B$10,'Covenant summary information'!$C$84&lt;5,'Reconciliation report'!$E773&lt;&gt;""),ErrorMsgs!$D773)</f>
        <v>0</v>
      </c>
      <c r="N773" s="712" t="b">
        <f ca="1">IF(AND('Start here'!$C$26=RefData!$B$10,'Covenant summary information'!$C$84&gt;=5,NOT(ISNA(MATCH($E$772,RefData!$B$148:$B$149,0))),'Reconciliation report'!$E773&lt;&gt;""),ErrorMsgs!$E773)</f>
        <v>0</v>
      </c>
      <c r="O773" s="712" t="b">
        <f ca="1">IF(AND('Start here'!$C$26=RefData!$B$10,'Covenant summary information'!$C$84&gt;=5,$E$772=RefData!$B$150,'Reconciliation report'!$E773=""),ErrorMsgs!$F773)</f>
        <v>0</v>
      </c>
      <c r="P773" s="712" t="b">
        <f ca="1">IF($E773="",FALSE,IF(NOT(ISNUMBER(VALUE($E773))),ErrorMsgs!$G773))</f>
        <v>0</v>
      </c>
      <c r="Q773" s="712" t="b">
        <f ca="1">IF($E773&lt;'Start here'!$C$21,ErrorMsgs!$H773)</f>
        <v>0</v>
      </c>
      <c r="R773" s="712"/>
      <c r="S773" s="712"/>
      <c r="T773" s="712"/>
      <c r="U773" s="526" t="str">
        <f t="shared" ca="1" si="109"/>
        <v/>
      </c>
      <c r="V773" s="93" t="str" cm="1">
        <f t="array" aca="1" ref="V773" ca="1">CELL("format",INDIRECT(I773))</f>
        <v>D1</v>
      </c>
      <c r="W773" s="93" t="b">
        <f t="shared" ca="1" si="110"/>
        <v>0</v>
      </c>
      <c r="X773" s="715" t="str">
        <f t="shared" ca="1" si="108"/>
        <v/>
      </c>
      <c r="Y773" t="b">
        <f t="shared" ca="1" si="111"/>
        <v>1</v>
      </c>
    </row>
    <row r="774" spans="1:25" ht="77.5">
      <c r="A774" s="705" t="s">
        <v>1190</v>
      </c>
      <c r="B774" s="716" t="str">
        <f t="shared" ca="1" si="96"/>
        <v>Securities - C103</v>
      </c>
      <c r="C774" s="707" t="str" cm="1">
        <f t="array" aca="1" ref="C774" ca="1">INDIRECT(LEFT(I774, FIND("!", I774)) &amp; RefData!$C$426 &amp; RIGHT(I774, LEN(I774) - FIND("!", I774) - 1))</f>
        <v xml:space="preserve">
No answer required
Maturity date narrative
</v>
      </c>
      <c r="D774" s="92" t="str">
        <f t="shared" ca="1" si="107"/>
        <v/>
      </c>
      <c r="E774" s="708" t="str" cm="1">
        <f t="array" aca="1" ref="E774" ca="1">IF(INDIRECT($I774)= "", "", INDIRECT($I774))</f>
        <v/>
      </c>
      <c r="F774" s="709" t="str" cm="1">
        <f t="array" aca="1" ref="F774" ca="1">INDIRECT(LEFT(I774, FIND("!", I774)) &amp; RefData!$C$427 &amp; RIGHT(I774, LEN(I774) - FIND("!", I774) - 1))</f>
        <v>SEC 5.0/5</v>
      </c>
      <c r="G774" s="710" t="b">
        <f ca="1">IF(ISNUMBER(SEARCH(RefData!$B$2, $C774)), FALSE, TRUE)</f>
        <v>0</v>
      </c>
      <c r="H774" s="344">
        <f>Securities!C103</f>
        <v>0</v>
      </c>
      <c r="I774" s="712" t="str">
        <f t="shared" ca="1" si="97"/>
        <v>Securities!C103</v>
      </c>
      <c r="J774" s="713" t="b" cm="1">
        <f t="array" aca="1" ref="J774" ca="1">IF(
    ISNUMBER(SEARCH(RefData!$B$2, $C$475)),
    IF(
        $E774 &lt;&gt; "",
        $J$475,
        IF(
            $E774 = "",
            FALSE
        )
    ),
    IF(
        COUNTIF($K774:$T774, "&lt;&gt;FALSE") - COUNTBLANK($K774:$T774) &gt; 0,
        INDEX($K774:$T774, MATCH(TRUE, $K774:$T774 &lt;&gt; FALSE, 0))
    )
)</f>
        <v>0</v>
      </c>
      <c r="K774" s="712" t="b">
        <f ca="1">IF(AND('Start here'!$C$26=RefData!$B$9,'Reconciliation report'!$E774&lt;&gt;""),ErrorMsgs!$B774)</f>
        <v>0</v>
      </c>
      <c r="L774" s="712" t="b">
        <f ca="1">IF(AND('Start here'!$C$26=RefData!$B$10,'Covenant summary information'!$C$84=0,'Reconciliation report'!$E774&lt;&gt;""),ErrorMsgs!$C774)</f>
        <v>0</v>
      </c>
      <c r="M774" s="712" t="b">
        <f ca="1">IF(AND('Start here'!$C$26=RefData!$B$10,'Covenant summary information'!$C$84&lt;5,'Reconciliation report'!$E774&lt;&gt;""),ErrorMsgs!$D774)</f>
        <v>0</v>
      </c>
      <c r="N774" s="712" t="b">
        <f ca="1">IF(AND('Start here'!$C$26=RefData!$B$10,'Covenant summary information'!$C$84&gt;=5,NOT(ISNA(MATCH($E$772,RefData!$B$149:$B$150,0))),'Reconciliation report'!$E774&lt;&gt;""),ErrorMsgs!$E774)</f>
        <v>0</v>
      </c>
      <c r="O774" s="712" t="b">
        <f ca="1">IF(AND('Start here'!$C$26=RefData!$B$10,'Covenant summary information'!$C$84&gt;=5,$E$772=RefData!$B$151,'Reconciliation report'!$E774=""),ErrorMsgs!$F774)</f>
        <v>0</v>
      </c>
      <c r="P774" s="726" t="b">
        <f ca="1">IF(LEN($E774)&gt;4000,ErrorMsgs!$G774)</f>
        <v>0</v>
      </c>
      <c r="Q774" s="712"/>
      <c r="R774" s="712"/>
      <c r="S774" s="712"/>
      <c r="T774" s="712"/>
      <c r="U774" s="526" t="str">
        <f t="shared" ca="1" si="109"/>
        <v/>
      </c>
      <c r="V774" s="93" t="str" cm="1">
        <f t="array" aca="1" ref="V774" ca="1">CELL("format",INDIRECT(I774))</f>
        <v>G</v>
      </c>
      <c r="W774" s="93" t="b">
        <f t="shared" ca="1" si="110"/>
        <v>0</v>
      </c>
      <c r="X774" s="715" t="str">
        <f t="shared" ca="1" si="108"/>
        <v/>
      </c>
      <c r="Y774" t="b">
        <f t="shared" ca="1" si="111"/>
        <v>1</v>
      </c>
    </row>
    <row r="775" spans="1:25" ht="77.5">
      <c r="A775" s="705" t="s">
        <v>1192</v>
      </c>
      <c r="B775" s="716" t="str">
        <f t="shared" ca="1" si="96"/>
        <v>Securities - C104</v>
      </c>
      <c r="C775" s="707" t="str" cm="1">
        <f t="array" aca="1" ref="C775" ca="1">INDIRECT(LEFT(I775, FIND("!", I775)) &amp; RefData!$C$426 &amp; RIGHT(I775, LEN(I775) - FIND("!", I775) - 1))</f>
        <v xml:space="preserve">
No answer required
Value ascribed (£)
</v>
      </c>
      <c r="D775" s="92" t="str">
        <f t="shared" ca="1" si="107"/>
        <v/>
      </c>
      <c r="E775" s="708" t="str" cm="1">
        <f t="array" aca="1" ref="E775" ca="1">IF(INDIRECT($I775)= "", "", INDIRECT($I775))</f>
        <v/>
      </c>
      <c r="F775" s="709" t="str" cm="1">
        <f t="array" aca="1" ref="F775" ca="1">INDIRECT(LEFT(I775, FIND("!", I775)) &amp; RefData!$C$427 &amp; RIGHT(I775, LEN(I775) - FIND("!", I775) - 1))</f>
        <v>SEC 6.0/5</v>
      </c>
      <c r="G775" s="710" t="b">
        <f ca="1">IF(ISNUMBER(SEARCH(RefData!$B$2, $C775)), FALSE, TRUE)</f>
        <v>0</v>
      </c>
      <c r="H775" s="344">
        <f>Securities!C104</f>
        <v>0</v>
      </c>
      <c r="I775" s="712" t="str">
        <f t="shared" ca="1" si="97"/>
        <v>Securities!C104</v>
      </c>
      <c r="J775" s="713" t="b" cm="1">
        <f t="array" aca="1" ref="J775" ca="1">IF(
    ISNUMBER(SEARCH(RefData!$B$2, $C$475)),
    IF(
        $E775 &lt;&gt; "",
        $J$475,
        IF(
            $E775 = "",
            FALSE
        )
    ),
    IF(
        COUNTIF($K775:$T775, "&lt;&gt;FALSE") - COUNTBLANK($K775:$T775) &gt; 0,
        INDEX($K775:$T775, MATCH(TRUE, $K775:$T775 &lt;&gt; FALSE, 0))
    )
)</f>
        <v>0</v>
      </c>
      <c r="K775" s="712" t="b">
        <f ca="1">IF(AND('Covenant summary information'!$C$84=0,'Reconciliation report'!$E775&lt;&gt;""),ErrorMsgs!$B775)</f>
        <v>0</v>
      </c>
      <c r="L775" s="712" t="b">
        <f ca="1">IF(AND('Covenant summary information'!$C$84&lt;5,'Reconciliation report'!$E775&lt;&gt;""),ErrorMsgs!$C775)</f>
        <v>0</v>
      </c>
      <c r="M775" s="712" t="b">
        <f ca="1">IF(AND('Covenant summary information'!$C$84&gt;=5,'Reconciliation report'!$E775=""),ErrorMsgs!$D775)</f>
        <v>0</v>
      </c>
      <c r="N775" s="712" t="b">
        <f ca="1">IF($E775="",FALSE,IF(ISERROR(VALUE($E775)),ErrorMsgs!$D$707,IF(OR(VALUE($E$775)-ROUND(VALUE($E$775),2)&lt;&gt;0,OR(VALUE($E$775)&lt;0,VALUE($E$775)&gt;=1000000000000)),ErrorMsgs!$E775)))</f>
        <v>0</v>
      </c>
      <c r="O775" s="712"/>
      <c r="P775" s="712"/>
      <c r="Q775" s="712"/>
      <c r="R775" s="712"/>
      <c r="S775" s="712"/>
      <c r="T775" s="712"/>
      <c r="U775" s="526" t="str">
        <f t="shared" ca="1" si="109"/>
        <v/>
      </c>
      <c r="V775" s="93" t="str" cm="1">
        <f t="array" aca="1" ref="V775" ca="1">CELL("format",INDIRECT(I775))</f>
        <v>C2</v>
      </c>
      <c r="W775" s="93" t="b">
        <f t="shared" ca="1" si="110"/>
        <v>0</v>
      </c>
      <c r="X775" s="715" t="str">
        <f t="shared" ca="1" si="108"/>
        <v/>
      </c>
      <c r="Y775" t="b">
        <f t="shared" ca="1" si="111"/>
        <v>1</v>
      </c>
    </row>
    <row r="776" spans="1:25" ht="77.5">
      <c r="A776" s="705" t="s">
        <v>1194</v>
      </c>
      <c r="B776" s="716" t="str">
        <f t="shared" ca="1" si="96"/>
        <v>Securities - C105</v>
      </c>
      <c r="C776" s="707" t="str" cm="1">
        <f t="array" aca="1" ref="C776" ca="1">INDIRECT(LEFT(I776, FIND("!", I776)) &amp; RefData!$C$426 &amp; RIGHT(I776, LEN(I776) - FIND("!", I776) - 1))</f>
        <v xml:space="preserve">
No answer required
Date of valuation
</v>
      </c>
      <c r="D776" s="92" t="str">
        <f t="shared" ca="1" si="107"/>
        <v/>
      </c>
      <c r="E776" s="708" t="str" cm="1">
        <f t="array" aca="1" ref="E776" ca="1">IF(INDIRECT($I776)= "", "", INDIRECT($I776))</f>
        <v/>
      </c>
      <c r="F776" s="709" t="str" cm="1">
        <f t="array" aca="1" ref="F776" ca="1">INDIRECT(LEFT(I776, FIND("!", I776)) &amp; RefData!$C$427 &amp; RIGHT(I776, LEN(I776) - FIND("!", I776) - 1))</f>
        <v>SEC 7.0/5</v>
      </c>
      <c r="G776" s="710" t="b">
        <f ca="1">IF(ISNUMBER(SEARCH(RefData!$B$2, $C776)), FALSE, TRUE)</f>
        <v>0</v>
      </c>
      <c r="H776" s="344">
        <f>Securities!C105</f>
        <v>0</v>
      </c>
      <c r="I776" s="712" t="str">
        <f t="shared" ca="1" si="97"/>
        <v>Securities!C105</v>
      </c>
      <c r="J776" s="713" t="b" cm="1">
        <f t="array" aca="1" ref="J776" ca="1">IF(
    ISNUMBER(SEARCH(RefData!$B$2, $C$475)),
    IF(
        $E776 &lt;&gt; "",
        $J$475,
        IF(
            $E776 = "",
            FALSE
        )
    ),
    IF(
        COUNTIF($K776:$T776, "&lt;&gt;FALSE") - COUNTBLANK($K776:$T776) &gt; 0,
        INDEX($K776:$T776, MATCH(TRUE, $K776:$T776 &lt;&gt; FALSE, 0))
    )
)</f>
        <v>0</v>
      </c>
      <c r="K776" s="712" t="b">
        <f ca="1">IF(AND('Covenant summary information'!$C$84=0,'Reconciliation report'!$E776&lt;&gt;""),ErrorMsgs!$B776)</f>
        <v>0</v>
      </c>
      <c r="L776" s="712" t="b">
        <f ca="1">IF(AND('Covenant summary information'!$C$84&lt;5,'Reconciliation report'!$E776&lt;&gt;""),ErrorMsgs!$C776)</f>
        <v>0</v>
      </c>
      <c r="M776" s="712" t="b">
        <f ca="1">IF(AND('Covenant summary information'!$C$84&gt;=5,'Reconciliation report'!$E776=""),ErrorMsgs!$D776)</f>
        <v>0</v>
      </c>
      <c r="N776" s="712" t="b">
        <f ca="1">IF($E776="",FALSE,IF(OR(NOT(ISNUMBER(VALUE($E776))), $E776&lt;&gt;INT($E776)),ErrorMsgs!$E776))</f>
        <v>0</v>
      </c>
      <c r="O776" s="712" t="b">
        <f ca="1">IF($E776="",FALSE,IF(ISERROR(VALUE($E776)),ErrorMsgs!$F776,IF(VALUE($E776)&gt;TODAY(),ErrorMsgs!$F776)))</f>
        <v>0</v>
      </c>
      <c r="P776" s="712"/>
      <c r="Q776" s="712"/>
      <c r="R776" s="712"/>
      <c r="S776" s="712"/>
      <c r="T776" s="712"/>
      <c r="U776" s="526" t="str">
        <f t="shared" ca="1" si="109"/>
        <v/>
      </c>
      <c r="V776" s="93" t="str" cm="1">
        <f t="array" aca="1" ref="V776" ca="1">CELL("format",INDIRECT(I776))</f>
        <v>D1</v>
      </c>
      <c r="W776" s="93" t="b">
        <f t="shared" ca="1" si="110"/>
        <v>0</v>
      </c>
      <c r="X776" s="715" t="str">
        <f t="shared" ca="1" si="108"/>
        <v/>
      </c>
      <c r="Y776" t="b">
        <f t="shared" ca="1" si="111"/>
        <v>1</v>
      </c>
    </row>
    <row r="777" spans="1:25" ht="77.5">
      <c r="A777" s="705" t="s">
        <v>1196</v>
      </c>
      <c r="B777" s="716" t="str">
        <f t="shared" ca="1" si="96"/>
        <v>Securities - C106</v>
      </c>
      <c r="C777" s="707" t="str" cm="1">
        <f t="array" aca="1" ref="C777" ca="1">INDIRECT(LEFT(I777, FIND("!", I777)) &amp; RefData!$C$426 &amp; RIGHT(I777, LEN(I777) - FIND("!", I777) - 1))</f>
        <v xml:space="preserve">
No answer required
Value cap
</v>
      </c>
      <c r="D777" s="92" t="str">
        <f t="shared" ca="1" si="107"/>
        <v/>
      </c>
      <c r="E777" s="708" t="str" cm="1">
        <f t="array" aca="1" ref="E777" ca="1">IF(INDIRECT($I777)= "", "", INDIRECT($I777))</f>
        <v/>
      </c>
      <c r="F777" s="709" t="str" cm="1">
        <f t="array" aca="1" ref="F777" ca="1">INDIRECT(LEFT(I777, FIND("!", I777)) &amp; RefData!$C$427 &amp; RIGHT(I777, LEN(I777) - FIND("!", I777) - 1))</f>
        <v>SEC 8.0/5</v>
      </c>
      <c r="G777" s="710" t="b">
        <f ca="1">IF(ISNUMBER(SEARCH(RefData!$B$2, $C777)), FALSE, TRUE)</f>
        <v>0</v>
      </c>
      <c r="H777" s="344">
        <f>Securities!C106</f>
        <v>0</v>
      </c>
      <c r="I777" s="712" t="str">
        <f t="shared" ca="1" si="97"/>
        <v>Securities!C106</v>
      </c>
      <c r="J777" s="713" t="b" cm="1">
        <f t="array" aca="1" ref="J777" ca="1">IF(
    ISNUMBER(SEARCH(RefData!$B$2, $C$475)),
    IF(
        $E777 &lt;&gt; "",
        $J$475,
        IF(
            $E777 = "",
            FALSE
        )
    ),
    IF(
        COUNTIF($K777:$T777, "&lt;&gt;FALSE") - COUNTBLANK($K777:$T777) &gt; 0,
        INDEX($K777:$T777, MATCH(TRUE, $K777:$T777 &lt;&gt; FALSE, 0))
    )
)</f>
        <v>0</v>
      </c>
      <c r="K777" s="712" t="b">
        <f ca="1">IF(AND('Start here'!$C$26=RefData!$B$9,'Reconciliation report'!$E777&lt;&gt;""),ErrorMsgs!$B777)</f>
        <v>0</v>
      </c>
      <c r="L777" s="712" t="b">
        <f ca="1">IF(AND('Start here'!$C$26=RefData!$B$10,'Covenant summary information'!$C$84=0,'Reconciliation report'!$E777&lt;&gt;""),ErrorMsgs!$C777)</f>
        <v>0</v>
      </c>
      <c r="M777" s="712" t="b">
        <f ca="1">IF(AND('Start here'!$C$26=RefData!$B$10,'Covenant summary information'!$C$84&lt;5,'Reconciliation report'!$E777&lt;&gt;""),ErrorMsgs!$D777)</f>
        <v>0</v>
      </c>
      <c r="N777" s="712" t="b">
        <f ca="1">IF(AND('Start here'!$C$26=RefData!$B$10,'Covenant summary information'!$C$84&gt;=5,'Reconciliation report'!$E777=""),ErrorMsgs!$E777)</f>
        <v>0</v>
      </c>
      <c r="O777" s="712" t="b">
        <f ca="1">IF(E777="",FALSE,IF(ISNA(MATCH($E$777,RefData!$B$152:$B$158,0)),ErrorMsgs!$F777))</f>
        <v>0</v>
      </c>
      <c r="P777" s="712"/>
      <c r="Q777" s="712"/>
      <c r="R777" s="712"/>
      <c r="S777" s="712"/>
      <c r="T777" s="712"/>
      <c r="U777" s="526" t="str">
        <f t="shared" ca="1" si="109"/>
        <v/>
      </c>
      <c r="V777" s="93" t="str" cm="1">
        <f t="array" aca="1" ref="V777" ca="1">CELL("format",INDIRECT(I777))</f>
        <v>G</v>
      </c>
      <c r="W777" s="93" t="b">
        <f t="shared" ca="1" si="110"/>
        <v>0</v>
      </c>
      <c r="X777" s="715" t="str">
        <f t="shared" ca="1" si="108"/>
        <v/>
      </c>
      <c r="Y777" t="b">
        <f t="shared" ca="1" si="111"/>
        <v>1</v>
      </c>
    </row>
    <row r="778" spans="1:25" ht="77.5">
      <c r="A778" s="705" t="s">
        <v>1198</v>
      </c>
      <c r="B778" s="716" t="str">
        <f t="shared" ca="1" si="96"/>
        <v>Securities - C107</v>
      </c>
      <c r="C778" s="707" t="str" cm="1">
        <f t="array" aca="1" ref="C778" ca="1">INDIRECT(LEFT(I778, FIND("!", I778)) &amp; RefData!$C$426 &amp; RIGHT(I778, LEN(I778) - FIND("!", I778) - 1))</f>
        <v xml:space="preserve">
No answer required
Narrative regarding value cap
</v>
      </c>
      <c r="D778" s="92" t="str">
        <f t="shared" ca="1" si="107"/>
        <v/>
      </c>
      <c r="E778" s="708" t="str" cm="1">
        <f t="array" aca="1" ref="E778" ca="1">IF(INDIRECT($I778)= "", "", INDIRECT($I778))</f>
        <v/>
      </c>
      <c r="F778" s="709" t="str" cm="1">
        <f t="array" aca="1" ref="F778" ca="1">INDIRECT(LEFT(I778, FIND("!", I778)) &amp; RefData!$C$427 &amp; RIGHT(I778, LEN(I778) - FIND("!", I778) - 1))</f>
        <v>SEC 9.0/5</v>
      </c>
      <c r="G778" s="710" t="b">
        <f ca="1">IF(ISNUMBER(SEARCH(RefData!$B$2, $C778)), FALSE, TRUE)</f>
        <v>0</v>
      </c>
      <c r="H778" s="344">
        <f>Securities!C107</f>
        <v>0</v>
      </c>
      <c r="I778" s="712" t="str">
        <f t="shared" ca="1" si="97"/>
        <v>Securities!C107</v>
      </c>
      <c r="J778" s="713" t="b" cm="1">
        <f t="array" aca="1" ref="J778" ca="1">IF(
    ISNUMBER(SEARCH(RefData!$B$2, $C$475)),
    IF(
        $E778 &lt;&gt; "",
        $J$475,
        IF(
            $E778 = "",
            FALSE
        )
    ),
    IF(
        COUNTIF($K778:$T778, "&lt;&gt;FALSE") - COUNTBLANK($K778:$T778) &gt; 0,
        INDEX($K778:$T778, MATCH(TRUE, $K778:$T778 &lt;&gt; FALSE, 0))
    )
)</f>
        <v>0</v>
      </c>
      <c r="K778" s="712" t="b">
        <f ca="1">IF(AND('Start here'!$C$26=RefData!$B$9,'Reconciliation report'!$E778&lt;&gt;""),ErrorMsgs!$B778)</f>
        <v>0</v>
      </c>
      <c r="L778" s="712" t="b">
        <f ca="1">IF(AND('Start here'!$C$26=RefData!$B$10,'Covenant summary information'!$C$84=0,'Reconciliation report'!$E778&lt;&gt;""),ErrorMsgs!$C778)</f>
        <v>0</v>
      </c>
      <c r="M778" s="714" t="b">
        <f ca="1">IF(AND('Start here'!$C$26=RefData!$B$10,'Covenant summary information'!$C$84&lt;5,'Reconciliation report'!$E778&lt;&gt;""),ErrorMsgs!$D778)</f>
        <v>0</v>
      </c>
      <c r="N778" s="714" t="b">
        <f ca="1">IF(AND('Start here'!$C$26=RefData!$B$10,'Covenant summary information'!$C$84&gt;=5,NOT(Securities!$C$106=RefData!$B$158),'Reconciliation report'!$E778&lt;&gt;""),ErrorMsgs!$E778)</f>
        <v>0</v>
      </c>
      <c r="O778" s="712" t="b">
        <f ca="1">IF(AND('Start here'!$C$26=RefData!$B$10,'Covenant summary information'!$C$84&gt;=5,Securities!$C$106=RefData!$B$158,'Reconciliation report'!$E778=""),ErrorMsgs!$F778)</f>
        <v>0</v>
      </c>
      <c r="P778" s="712" t="b">
        <f ca="1">IF(LEN($E778)&gt;4000,ErrorMsgs!$G778)</f>
        <v>0</v>
      </c>
      <c r="Q778" s="712"/>
      <c r="R778" s="712"/>
      <c r="S778" s="712"/>
      <c r="T778" s="712"/>
      <c r="U778" s="526" t="str">
        <f t="shared" ca="1" si="109"/>
        <v/>
      </c>
      <c r="V778" s="93" t="str" cm="1">
        <f t="array" aca="1" ref="V778" ca="1">CELL("format",INDIRECT(I778))</f>
        <v>G</v>
      </c>
      <c r="W778" s="93" t="b">
        <f t="shared" ca="1" si="110"/>
        <v>0</v>
      </c>
      <c r="X778" s="715" t="str">
        <f t="shared" ca="1" si="108"/>
        <v/>
      </c>
      <c r="Y778" t="b">
        <f t="shared" ca="1" si="111"/>
        <v>1</v>
      </c>
    </row>
    <row r="779" spans="1:25" ht="77.5">
      <c r="A779" s="705" t="s">
        <v>1200</v>
      </c>
      <c r="B779" s="716" t="str">
        <f t="shared" ca="1" si="96"/>
        <v>Securities - C108</v>
      </c>
      <c r="C779" s="707" t="str" cm="1">
        <f t="array" aca="1" ref="C779" ca="1">INDIRECT(LEFT(I779, FIND("!", I779)) &amp; RefData!$C$426 &amp; RIGHT(I779, LEN(I779) - FIND("!", I779) - 1))</f>
        <v xml:space="preserve">
No answer required
Fixed cap amount (£)
</v>
      </c>
      <c r="D779" s="92" t="str">
        <f t="shared" ca="1" si="107"/>
        <v/>
      </c>
      <c r="E779" s="708" t="str" cm="1">
        <f t="array" aca="1" ref="E779" ca="1">IF(INDIRECT($I779)= "", "", INDIRECT($I779))</f>
        <v/>
      </c>
      <c r="F779" s="709" t="str" cm="1">
        <f t="array" aca="1" ref="F779" ca="1">INDIRECT(LEFT(I779, FIND("!", I779)) &amp; RefData!$C$427 &amp; RIGHT(I779, LEN(I779) - FIND("!", I779) - 1))</f>
        <v>SEC 10.0/5</v>
      </c>
      <c r="G779" s="710" t="b">
        <f ca="1">IF(ISNUMBER(SEARCH(RefData!$B$2, $C779)), FALSE, TRUE)</f>
        <v>0</v>
      </c>
      <c r="H779" s="344">
        <f>Securities!C108</f>
        <v>0</v>
      </c>
      <c r="I779" s="712" t="str">
        <f t="shared" ca="1" si="97"/>
        <v>Securities!C108</v>
      </c>
      <c r="J779" s="713" t="b" cm="1">
        <f t="array" aca="1" ref="J779" ca="1">IF(
    ISNUMBER(SEARCH(RefData!$B$2, $C$475)),
    IF(
        $E779 &lt;&gt; "",
        $J$475,
        IF(
            $E779 = "",
            FALSE
        )
    ),
    IF(
        COUNTIF($K779:$T779, "&lt;&gt;FALSE") - COUNTBLANK($K779:$T779) &gt; 0,
        INDEX($K779:$T779, MATCH(TRUE, $K779:$T779 &lt;&gt; FALSE, 0))
    )
)</f>
        <v>0</v>
      </c>
      <c r="K779" s="712" t="b">
        <f ca="1">IF(AND('Start here'!$C$26=RefData!$B$9,'Reconciliation report'!$E779&lt;&gt;""),ErrorMsgs!$B779)</f>
        <v>0</v>
      </c>
      <c r="L779" s="712" t="b">
        <f ca="1">IF(AND('Start here'!$C$26=RefData!$B$10,'Covenant summary information'!$C$84=0,'Reconciliation report'!$E779&lt;&gt;""),ErrorMsgs!$C779)</f>
        <v>0</v>
      </c>
      <c r="M779" s="712" t="b">
        <f ca="1">IF(AND('Start here'!$C$26=RefData!$B$10,'Covenant summary information'!$C$84&lt;5,'Reconciliation report'!$E779&lt;&gt;""),ErrorMsgs!$D779)</f>
        <v>0</v>
      </c>
      <c r="N779" s="712" t="b">
        <f ca="1">IF(AND('Start here'!$C$26=RefData!$B$10,'Covenant summary information'!$C$84&gt;=5,NOT(Securities!$C$106=RefData!$B$157),'Reconciliation report'!$E779&lt;&gt;""),ErrorMsgs!$E779)</f>
        <v>0</v>
      </c>
      <c r="O779" s="712" t="b">
        <f ca="1">IF(AND('Start here'!$C$26=RefData!$B$10,'Covenant summary information'!$C$84&gt;=5,Securities!$C$106=RefData!$B$157,'Reconciliation report'!$E779=""),ErrorMsgs!$F779)</f>
        <v>0</v>
      </c>
      <c r="P779" s="712" t="b">
        <f ca="1">IF($E779="",FALSE,IF(ISERROR(VALUE($E779)),ErrorMsgs!G779,IF(OR(VALUE($E779)&lt;0,VALUE($E779)&gt;=1000000000000,VALUE($E779)-ROUND(VALUE($E779),2)&lt;&gt;0),ErrorMsgs!G779)))</f>
        <v>0</v>
      </c>
      <c r="Q779" s="712"/>
      <c r="R779" s="712"/>
      <c r="S779" s="712"/>
      <c r="T779" s="712"/>
      <c r="U779" s="526" t="str">
        <f t="shared" ca="1" si="109"/>
        <v/>
      </c>
      <c r="V779" s="93" t="str" cm="1">
        <f t="array" aca="1" ref="V779" ca="1">CELL("format",INDIRECT(I779))</f>
        <v>C2</v>
      </c>
      <c r="W779" s="93" t="b">
        <f t="shared" ca="1" si="110"/>
        <v>0</v>
      </c>
      <c r="X779" s="715" t="str">
        <f t="shared" ca="1" si="108"/>
        <v/>
      </c>
      <c r="Y779" t="b">
        <f t="shared" ca="1" si="111"/>
        <v>1</v>
      </c>
    </row>
    <row r="780" spans="1:25" ht="77.5">
      <c r="A780" s="705" t="s">
        <v>1202</v>
      </c>
      <c r="B780" s="716" t="str">
        <f t="shared" ca="1" si="96"/>
        <v>Securities - C112</v>
      </c>
      <c r="C780" s="707" t="str" cm="1">
        <f t="array" aca="1" ref="C780" ca="1">INDIRECT(LEFT(I780, FIND("!", I780)) &amp; RefData!$C$426 &amp; RIGHT(I780, LEN(I780) - FIND("!", I780) - 1))</f>
        <v xml:space="preserve">
No answer required
Participating employer insolvency
</v>
      </c>
      <c r="D780" s="92" t="str">
        <f t="shared" ca="1" si="107"/>
        <v/>
      </c>
      <c r="E780" s="708" t="str" cm="1">
        <f t="array" aca="1" ref="E780" ca="1">IF(INDIRECT($I780)= "", "", INDIRECT($I780))</f>
        <v/>
      </c>
      <c r="F780" s="709" t="str" cm="1">
        <f t="array" aca="1" ref="F780" ca="1">INDIRECT(LEFT(I780, FIND("!", I780)) &amp; RefData!$C$427 &amp; RIGHT(I780, LEN(I780) - FIND("!", I780) - 1))</f>
        <v>SEC 11.0/5</v>
      </c>
      <c r="G780" s="710" t="b">
        <f ca="1">IF(ISNUMBER(SEARCH(RefData!$B$2, $C780)), FALSE, TRUE)</f>
        <v>0</v>
      </c>
      <c r="H780" s="344">
        <f>Securities!C112</f>
        <v>0</v>
      </c>
      <c r="I780" s="712" t="str">
        <f t="shared" ca="1" si="97"/>
        <v>Securities!C112</v>
      </c>
      <c r="J780" s="713" t="b" cm="1">
        <f t="array" aca="1" ref="J780" ca="1">IF(
    ISNUMBER(SEARCH(RefData!$B$2, $C$475)),
    IF(
        $E780 &lt;&gt; "",
        $J$475,
        IF(
            $E780 = "",
            FALSE
        )
    ),
    IF(
        COUNTIF($K780:$T780, "&lt;&gt;FALSE") - COUNTBLANK($K780:$T780) &gt; 0,
        INDEX($K780:$T780, MATCH(TRUE, $K780:$T780 &lt;&gt; FALSE, 0))
    )
)</f>
        <v>0</v>
      </c>
      <c r="K780" s="712" t="b">
        <f ca="1">IF(AND('Start here'!$C$26=RefData!$B$9,'Reconciliation report'!$E780&lt;&gt;""),ErrorMsgs!$B780)</f>
        <v>0</v>
      </c>
      <c r="L780" s="712" t="b">
        <f ca="1">IF(AND('Start here'!$C$26=RefData!$B$10,'Covenant summary information'!$C$84=0,'Reconciliation report'!$E780&lt;&gt;""),ErrorMsgs!$C780)</f>
        <v>0</v>
      </c>
      <c r="M780" s="712" t="b">
        <f ca="1">IF(AND('Start here'!$C$26=RefData!$B$10,'Covenant summary information'!$C$84&lt;5,'Reconciliation report'!$E780&lt;&gt;""),ErrorMsgs!$D780)</f>
        <v>0</v>
      </c>
      <c r="N780" s="712" t="b">
        <f ca="1">IF(AND('Start here'!$C$26=RefData!$B$10,'Covenant summary information'!$C$84&gt;=5,'Reconciliation report'!$E780=""),ErrorMsgs!$E780)</f>
        <v>0</v>
      </c>
      <c r="O780" s="712" t="b">
        <f ca="1">IF($E780="",FALSE,IF(ISNA(MATCH($E780,RefData!$B$159:$B$160,0)),ErrorMsgs!$F780))</f>
        <v>0</v>
      </c>
      <c r="P780" s="712"/>
      <c r="Q780" s="712"/>
      <c r="R780" s="712"/>
      <c r="S780" s="712"/>
      <c r="T780" s="712"/>
      <c r="U780" s="526" t="str">
        <f t="shared" ca="1" si="109"/>
        <v/>
      </c>
      <c r="V780" s="93" t="str" cm="1">
        <f t="array" aca="1" ref="V780" ca="1">CELL("format",INDIRECT(I780))</f>
        <v>G</v>
      </c>
      <c r="W780" s="93" t="b">
        <f t="shared" ca="1" si="110"/>
        <v>0</v>
      </c>
      <c r="X780" s="715" t="str">
        <f t="shared" ca="1" si="108"/>
        <v/>
      </c>
      <c r="Y780" t="b">
        <f t="shared" ca="1" si="111"/>
        <v>1</v>
      </c>
    </row>
    <row r="781" spans="1:25" ht="77.5">
      <c r="A781" s="705" t="s">
        <v>1204</v>
      </c>
      <c r="B781" s="716" t="str">
        <f t="shared" ca="1" si="96"/>
        <v>Securities - C113</v>
      </c>
      <c r="C781" s="707" t="str" cm="1">
        <f t="array" aca="1" ref="C781" ca="1">INDIRECT(LEFT(I781, FIND("!", I781)) &amp; RefData!$C$426 &amp; RIGHT(I781, LEN(I781) - FIND("!", I781) - 1))</f>
        <v xml:space="preserve">
No answer required
Insolvency of associated company
</v>
      </c>
      <c r="D781" s="92" t="str">
        <f t="shared" ca="1" si="107"/>
        <v/>
      </c>
      <c r="E781" s="708" t="str" cm="1">
        <f t="array" aca="1" ref="E781" ca="1">IF(INDIRECT($I781)= "", "", INDIRECT($I781))</f>
        <v/>
      </c>
      <c r="F781" s="709" t="str" cm="1">
        <f t="array" aca="1" ref="F781" ca="1">INDIRECT(LEFT(I781, FIND("!", I781)) &amp; RefData!$C$427 &amp; RIGHT(I781, LEN(I781) - FIND("!", I781) - 1))</f>
        <v>SEC 12.0/5</v>
      </c>
      <c r="G781" s="710" t="b">
        <f ca="1">IF(ISNUMBER(SEARCH(RefData!$B$2, $C781)), FALSE, TRUE)</f>
        <v>0</v>
      </c>
      <c r="H781" s="344">
        <f>Securities!C113</f>
        <v>0</v>
      </c>
      <c r="I781" s="712" t="str">
        <f t="shared" ca="1" si="97"/>
        <v>Securities!C113</v>
      </c>
      <c r="J781" s="713" t="b" cm="1">
        <f t="array" aca="1" ref="J781" ca="1">IF(
    ISNUMBER(SEARCH(RefData!$B$2, $C$475)),
    IF(
        $E781 &lt;&gt; "",
        $J$475,
        IF(
            $E781 = "",
            FALSE
        )
    ),
    IF(
        COUNTIF($K781:$T781, "&lt;&gt;FALSE") - COUNTBLANK($K781:$T781) &gt; 0,
        INDEX($K781:$T781, MATCH(TRUE, $K781:$T781 &lt;&gt; FALSE, 0))
    )
)</f>
        <v>0</v>
      </c>
      <c r="K781" s="712" t="b">
        <f ca="1">IF(AND('Start here'!$C$26=RefData!$B$9,'Reconciliation report'!$E781&lt;&gt;""),ErrorMsgs!$B781)</f>
        <v>0</v>
      </c>
      <c r="L781" s="712" t="b">
        <f ca="1">IF(AND('Start here'!$C$26=RefData!$B$10,'Covenant summary information'!$C$84=0,'Reconciliation report'!$E781&lt;&gt;""),ErrorMsgs!$C781)</f>
        <v>0</v>
      </c>
      <c r="M781" s="712" t="b">
        <f ca="1">IF(AND('Start here'!$C$26=RefData!$B$10,'Covenant summary information'!$C$84&lt;5,'Reconciliation report'!$E781&lt;&gt;""),ErrorMsgs!$D781)</f>
        <v>0</v>
      </c>
      <c r="N781" s="712" t="b">
        <f ca="1">IF(AND('Start here'!$C$26=RefData!$B$10,'Covenant summary information'!$C$84&gt;=5,'Reconciliation report'!$E781=""),ErrorMsgs!$E781)</f>
        <v>0</v>
      </c>
      <c r="O781" s="712" t="b">
        <f ca="1">IF($E781="",FALSE,IF(ISNA(MATCH($E781,RefData!$B$159:$B$160,0)),ErrorMsgs!$F781))</f>
        <v>0</v>
      </c>
      <c r="P781" s="712"/>
      <c r="Q781" s="712"/>
      <c r="R781" s="712"/>
      <c r="S781" s="712"/>
      <c r="T781" s="712"/>
      <c r="U781" s="526" t="str">
        <f t="shared" ca="1" si="109"/>
        <v/>
      </c>
      <c r="V781" s="93" t="str" cm="1">
        <f t="array" aca="1" ref="V781" ca="1">CELL("format",INDIRECT(I781))</f>
        <v>G</v>
      </c>
      <c r="W781" s="93" t="b">
        <f t="shared" ca="1" si="110"/>
        <v>0</v>
      </c>
      <c r="X781" s="715" t="str">
        <f t="shared" ca="1" si="108"/>
        <v/>
      </c>
      <c r="Y781" t="b">
        <f t="shared" ca="1" si="111"/>
        <v>1</v>
      </c>
    </row>
    <row r="782" spans="1:25" ht="77.5">
      <c r="A782" s="705" t="s">
        <v>1206</v>
      </c>
      <c r="B782" s="716" t="str">
        <f t="shared" ca="1" si="96"/>
        <v>Securities - C114</v>
      </c>
      <c r="C782" s="707" t="str" cm="1">
        <f t="array" aca="1" ref="C782" ca="1">INDIRECT(LEFT(I782, FIND("!", I782)) &amp; RefData!$C$426 &amp; RIGHT(I782, LEN(I782) - FIND("!", I782) - 1))</f>
        <v xml:space="preserve">
No answer required
Non payment of contributions
</v>
      </c>
      <c r="D782" s="92" t="str">
        <f t="shared" ca="1" si="107"/>
        <v/>
      </c>
      <c r="E782" s="708" t="str" cm="1">
        <f t="array" aca="1" ref="E782" ca="1">IF(INDIRECT($I782)= "", "", INDIRECT($I782))</f>
        <v/>
      </c>
      <c r="F782" s="709" t="str" cm="1">
        <f t="array" aca="1" ref="F782" ca="1">INDIRECT(LEFT(I782, FIND("!", I782)) &amp; RefData!$C$427 &amp; RIGHT(I782, LEN(I782) - FIND("!", I782) - 1))</f>
        <v>SEC 13.0/5</v>
      </c>
      <c r="G782" s="710" t="b">
        <f ca="1">IF(ISNUMBER(SEARCH(RefData!$B$2, $C782)), FALSE, TRUE)</f>
        <v>0</v>
      </c>
      <c r="H782" s="344">
        <f>Securities!C114</f>
        <v>0</v>
      </c>
      <c r="I782" s="712" t="str">
        <f t="shared" ca="1" si="97"/>
        <v>Securities!C114</v>
      </c>
      <c r="J782" s="713" t="b" cm="1">
        <f t="array" aca="1" ref="J782" ca="1">IF(
    ISNUMBER(SEARCH(RefData!$B$2, $C$475)),
    IF(
        $E782 &lt;&gt; "",
        $J$475,
        IF(
            $E782 = "",
            FALSE
        )
    ),
    IF(
        COUNTIF($K782:$T782, "&lt;&gt;FALSE") - COUNTBLANK($K782:$T782) &gt; 0,
        INDEX($K782:$T782, MATCH(TRUE, $K782:$T782 &lt;&gt; FALSE, 0))
    )
)</f>
        <v>0</v>
      </c>
      <c r="K782" s="712" t="b">
        <f ca="1">IF(AND('Start here'!$C$26=RefData!$B$9,'Reconciliation report'!$E782&lt;&gt;""),ErrorMsgs!$B782)</f>
        <v>0</v>
      </c>
      <c r="L782" s="712" t="b">
        <f ca="1">IF(AND('Start here'!$C$26=RefData!$B$10,'Covenant summary information'!$C$84=0,'Reconciliation report'!$E782&lt;&gt;""),ErrorMsgs!$C782)</f>
        <v>0</v>
      </c>
      <c r="M782" s="712" t="b">
        <f ca="1">IF(AND('Start here'!$C$26=RefData!$B$10,'Covenant summary information'!$C$84&lt;5,'Reconciliation report'!$E782&lt;&gt;""),ErrorMsgs!$D782)</f>
        <v>0</v>
      </c>
      <c r="N782" s="712" t="b">
        <f ca="1">IF(AND('Start here'!$C$26=RefData!$B$10,'Covenant summary information'!$C$84&gt;=5,'Reconciliation report'!$E782=""),ErrorMsgs!$E782)</f>
        <v>0</v>
      </c>
      <c r="O782" s="712" t="b">
        <f ca="1">IF($E782="",FALSE,IF(ISNA(MATCH($E782,RefData!$B$159:$B$160,0)),ErrorMsgs!$F782))</f>
        <v>0</v>
      </c>
      <c r="P782" s="712"/>
      <c r="Q782" s="712"/>
      <c r="R782" s="712"/>
      <c r="S782" s="712"/>
      <c r="T782" s="712"/>
      <c r="U782" s="526" t="str">
        <f t="shared" ca="1" si="109"/>
        <v/>
      </c>
      <c r="V782" s="93" t="str" cm="1">
        <f t="array" aca="1" ref="V782" ca="1">CELL("format",INDIRECT(I782))</f>
        <v>G</v>
      </c>
      <c r="W782" s="93" t="b">
        <f t="shared" ca="1" si="110"/>
        <v>0</v>
      </c>
      <c r="X782" s="715" t="str">
        <f t="shared" ca="1" si="108"/>
        <v/>
      </c>
      <c r="Y782" t="b">
        <f t="shared" ca="1" si="111"/>
        <v>1</v>
      </c>
    </row>
    <row r="783" spans="1:25" ht="77.5">
      <c r="A783" s="705" t="s">
        <v>1208</v>
      </c>
      <c r="B783" s="716" t="str">
        <f t="shared" ca="1" si="96"/>
        <v>Securities - C115</v>
      </c>
      <c r="C783" s="707" t="str" cm="1">
        <f t="array" aca="1" ref="C783" ca="1">INDIRECT(LEFT(I783, FIND("!", I783)) &amp; RefData!$C$426 &amp; RIGHT(I783, LEN(I783) - FIND("!", I783) - 1))</f>
        <v xml:space="preserve">
No answer required
Crystallisation of investment risk
</v>
      </c>
      <c r="D783" s="92" t="str">
        <f t="shared" ca="1" si="107"/>
        <v/>
      </c>
      <c r="E783" s="708" t="str" cm="1">
        <f t="array" aca="1" ref="E783" ca="1">IF(INDIRECT($I783)= "", "", INDIRECT($I783))</f>
        <v/>
      </c>
      <c r="F783" s="709" t="str" cm="1">
        <f t="array" aca="1" ref="F783" ca="1">INDIRECT(LEFT(I783, FIND("!", I783)) &amp; RefData!$C$427 &amp; RIGHT(I783, LEN(I783) - FIND("!", I783) - 1))</f>
        <v>SEC 14.0/5</v>
      </c>
      <c r="G783" s="710" t="b">
        <f ca="1">IF(ISNUMBER(SEARCH(RefData!$B$2, $C783)), FALSE, TRUE)</f>
        <v>0</v>
      </c>
      <c r="H783" s="344">
        <f>Securities!C115</f>
        <v>0</v>
      </c>
      <c r="I783" s="712" t="str">
        <f t="shared" ca="1" si="97"/>
        <v>Securities!C115</v>
      </c>
      <c r="J783" s="713" t="b" cm="1">
        <f t="array" aca="1" ref="J783" ca="1">IF(
    ISNUMBER(SEARCH(RefData!$B$2, $C$475)),
    IF(
        $E783 &lt;&gt; "",
        $J$475,
        IF(
            $E783 = "",
            FALSE
        )
    ),
    IF(
        COUNTIF($K783:$T783, "&lt;&gt;FALSE") - COUNTBLANK($K783:$T783) &gt; 0,
        INDEX($K783:$T783, MATCH(TRUE, $K783:$T783 &lt;&gt; FALSE, 0))
    )
)</f>
        <v>0</v>
      </c>
      <c r="K783" s="712" t="b">
        <f ca="1">IF(AND('Start here'!$C$26=RefData!$B$9,'Reconciliation report'!$E783&lt;&gt;""),ErrorMsgs!$B783)</f>
        <v>0</v>
      </c>
      <c r="L783" s="712" t="b">
        <f ca="1">IF(AND('Start here'!$C$26=RefData!$B$10,'Covenant summary information'!$C$84=0,'Reconciliation report'!$E783&lt;&gt;""),ErrorMsgs!$C783)</f>
        <v>0</v>
      </c>
      <c r="M783" s="712" t="b">
        <f ca="1">IF(AND('Start here'!$C$26=RefData!$B$10,'Covenant summary information'!$C$84&lt;5,'Reconciliation report'!$E783&lt;&gt;""),ErrorMsgs!$D783)</f>
        <v>0</v>
      </c>
      <c r="N783" s="712" t="b">
        <f ca="1">IF(AND('Start here'!$C$26=RefData!$B$10,'Covenant summary information'!$C$84&gt;=5,'Reconciliation report'!$E783=""),ErrorMsgs!$E783)</f>
        <v>0</v>
      </c>
      <c r="O783" s="712" t="b">
        <f ca="1">IF($E783="",FALSE,IF(ISNA(MATCH($E783,RefData!$B$159:$B$160,0)),ErrorMsgs!$F783))</f>
        <v>0</v>
      </c>
      <c r="P783" s="712"/>
      <c r="Q783" s="712"/>
      <c r="R783" s="712"/>
      <c r="S783" s="712"/>
      <c r="T783" s="712"/>
      <c r="U783" s="526" t="str">
        <f t="shared" ca="1" si="109"/>
        <v/>
      </c>
      <c r="V783" s="93" t="str" cm="1">
        <f t="array" aca="1" ref="V783" ca="1">CELL("format",INDIRECT(I783))</f>
        <v>G</v>
      </c>
      <c r="W783" s="93" t="b">
        <f t="shared" ca="1" si="110"/>
        <v>0</v>
      </c>
      <c r="X783" s="715" t="str">
        <f t="shared" ca="1" si="108"/>
        <v/>
      </c>
      <c r="Y783" t="b">
        <f t="shared" ca="1" si="111"/>
        <v>1</v>
      </c>
    </row>
    <row r="784" spans="1:25" ht="77.5">
      <c r="A784" s="705" t="s">
        <v>1210</v>
      </c>
      <c r="B784" s="716" t="str">
        <f t="shared" ca="1" si="96"/>
        <v>Securities - C116</v>
      </c>
      <c r="C784" s="707" t="str" cm="1">
        <f t="array" aca="1" ref="C784" ca="1">INDIRECT(LEFT(I784, FIND("!", I784)) &amp; RefData!$C$426 &amp; RIGHT(I784, LEN(I784) - FIND("!", I784) - 1))</f>
        <v xml:space="preserve">
No answer required
Other
</v>
      </c>
      <c r="D784" s="92" t="str">
        <f t="shared" ca="1" si="107"/>
        <v/>
      </c>
      <c r="E784" s="708" t="str" cm="1">
        <f t="array" aca="1" ref="E784" ca="1">IF(INDIRECT($I784)= "", "", INDIRECT($I784))</f>
        <v/>
      </c>
      <c r="F784" s="709" t="str" cm="1">
        <f t="array" aca="1" ref="F784" ca="1">INDIRECT(LEFT(I784, FIND("!", I784)) &amp; RefData!$C$427 &amp; RIGHT(I784, LEN(I784) - FIND("!", I784) - 1))</f>
        <v>SEC 15.0/5</v>
      </c>
      <c r="G784" s="710" t="b">
        <f ca="1">IF(ISNUMBER(SEARCH(RefData!$B$2, $C784)), FALSE, TRUE)</f>
        <v>0</v>
      </c>
      <c r="H784" s="344">
        <f>Securities!C116</f>
        <v>0</v>
      </c>
      <c r="I784" s="712" t="str">
        <f t="shared" ca="1" si="97"/>
        <v>Securities!C116</v>
      </c>
      <c r="J784" s="713" t="b" cm="1">
        <f t="array" aca="1" ref="J784" ca="1">IF(
    ISNUMBER(SEARCH(RefData!$B$2, $C$475)),
    IF(
        $E784 &lt;&gt; "",
        $J$475,
        IF(
            $E784 = "",
            FALSE
        )
    ),
    IF(
        COUNTIF($K784:$T784, "&lt;&gt;FALSE") - COUNTBLANK($K784:$T784) &gt; 0,
        INDEX($K784:$T784, MATCH(TRUE, $K784:$T784 &lt;&gt; FALSE, 0))
    )
)</f>
        <v>0</v>
      </c>
      <c r="K784" s="712" t="b">
        <f ca="1">IF(AND('Start here'!$C$26=RefData!$B$9,'Reconciliation report'!$E784&lt;&gt;""),ErrorMsgs!$B784)</f>
        <v>0</v>
      </c>
      <c r="L784" s="712" t="b">
        <f ca="1">IF(AND('Start here'!$C$26=RefData!$B$10,'Covenant summary information'!$C$84=0,'Reconciliation report'!$E784&lt;&gt;""),ErrorMsgs!$C784)</f>
        <v>0</v>
      </c>
      <c r="M784" s="712" t="b">
        <f ca="1">IF(AND('Start here'!$C$26=RefData!$B$10,'Covenant summary information'!$C$84&lt;5,'Reconciliation report'!$E784&lt;&gt;""),ErrorMsgs!$D784)</f>
        <v>0</v>
      </c>
      <c r="N784" s="712" t="b">
        <f ca="1">IF(AND('Start here'!$C$26=RefData!$B$10,'Covenant summary information'!$C$84&gt;=5,'Reconciliation report'!$E784=""),ErrorMsgs!$E784)</f>
        <v>0</v>
      </c>
      <c r="O784" s="712" t="b">
        <f ca="1">IF($E784="",FALSE,IF(ISNA(MATCH($E784,RefData!$B$159:$B$160,0)),ErrorMsgs!$F784))</f>
        <v>0</v>
      </c>
      <c r="P784" s="712"/>
      <c r="Q784" s="712"/>
      <c r="R784" s="712"/>
      <c r="S784" s="712"/>
      <c r="T784" s="712"/>
      <c r="U784" s="526" t="str">
        <f t="shared" ca="1" si="109"/>
        <v/>
      </c>
      <c r="V784" s="93" t="str" cm="1">
        <f t="array" aca="1" ref="V784" ca="1">CELL("format",INDIRECT(I784))</f>
        <v>G</v>
      </c>
      <c r="W784" s="93" t="b">
        <f t="shared" ca="1" si="110"/>
        <v>0</v>
      </c>
      <c r="X784" s="715" t="str">
        <f t="shared" ca="1" si="108"/>
        <v/>
      </c>
      <c r="Y784" t="b">
        <f t="shared" ca="1" si="111"/>
        <v>1</v>
      </c>
    </row>
    <row r="785" spans="1:25" ht="77.5">
      <c r="A785" s="705" t="s">
        <v>1212</v>
      </c>
      <c r="B785" s="716" t="str">
        <f t="shared" ca="1" si="96"/>
        <v>Securities - C117</v>
      </c>
      <c r="C785" s="707" t="str" cm="1">
        <f t="array" aca="1" ref="C785" ca="1">INDIRECT(LEFT(I785, FIND("!", I785)) &amp; RefData!$C$426 &amp; RIGHT(I785, LEN(I785) - FIND("!", I785) - 1))</f>
        <v xml:space="preserve">
No answer required
Describe the other triggers for access to value
</v>
      </c>
      <c r="D785" s="92" t="str">
        <f t="shared" ca="1" si="107"/>
        <v/>
      </c>
      <c r="E785" s="708" t="str" cm="1">
        <f t="array" aca="1" ref="E785" ca="1">IF(INDIRECT($I785)= "", "", INDIRECT($I785))</f>
        <v/>
      </c>
      <c r="F785" s="709" t="str" cm="1">
        <f t="array" aca="1" ref="F785" ca="1">INDIRECT(LEFT(I785, FIND("!", I785)) &amp; RefData!$C$427 &amp; RIGHT(I785, LEN(I785) - FIND("!", I785) - 1))</f>
        <v>SEC 16.0/5</v>
      </c>
      <c r="G785" s="710" t="b">
        <f ca="1">IF(ISNUMBER(SEARCH(RefData!$B$2, $C785)), FALSE, TRUE)</f>
        <v>0</v>
      </c>
      <c r="H785" s="344">
        <f>Securities!C117</f>
        <v>0</v>
      </c>
      <c r="I785" s="712" t="str">
        <f t="shared" ca="1" si="97"/>
        <v>Securities!C117</v>
      </c>
      <c r="J785" s="713" t="b" cm="1">
        <f t="array" aca="1" ref="J785" ca="1">IF(
    ISNUMBER(SEARCH(RefData!$B$2, $C$475)),
    IF(
        $E785 &lt;&gt; "",
        $J$475,
        IF(
            $E785 = "",
            FALSE
        )
    ),
    IF(
        COUNTIF($K785:$T785, "&lt;&gt;FALSE") - COUNTBLANK($K785:$T785) &gt; 0,
        INDEX($K785:$T785, MATCH(TRUE, $K785:$T785 &lt;&gt; FALSE, 0))
    )
)</f>
        <v>0</v>
      </c>
      <c r="K785" s="712" t="b">
        <f ca="1">IF(AND('Start here'!$C$26=RefData!$B$9,'Reconciliation report'!$E785&lt;&gt;""),ErrorMsgs!$B785)</f>
        <v>0</v>
      </c>
      <c r="L785" s="712" t="b">
        <f ca="1">IF(AND('Start here'!$C$26=RefData!$B$10,'Covenant summary information'!$C$84=0,'Reconciliation report'!$E785&lt;&gt;""),ErrorMsgs!$C785)</f>
        <v>0</v>
      </c>
      <c r="M785" s="712" t="b">
        <f ca="1">IF(AND('Start here'!$C$26=RefData!$B$10,'Covenant summary information'!$C$84&lt;5,'Reconciliation report'!$E785&lt;&gt;""),ErrorMsgs!$D785)</f>
        <v>0</v>
      </c>
      <c r="N785" s="712" t="b">
        <f ca="1">IF(AND('Start here'!$C$26=RefData!$B$10,'Covenant summary information'!$C$84&gt;=5,Securities!$C$116=RefData!$B$160,'Reconciliation report'!$E785&lt;&gt;""),ErrorMsgs!$E785)</f>
        <v>0</v>
      </c>
      <c r="O785" s="712" t="b">
        <f ca="1">IF(AND('Start here'!$C$26=RefData!$B$10,'Covenant summary information'!$C$84&gt;=5,Securities!$C$116=RefData!$B$159,'Reconciliation report'!$E785=""),ErrorMsgs!$F785)</f>
        <v>0</v>
      </c>
      <c r="P785" s="712" t="b">
        <f ca="1">IF(LEN($E785)&gt;4000,ErrorMsgs!$G785)</f>
        <v>0</v>
      </c>
      <c r="Q785" s="712"/>
      <c r="R785" s="712"/>
      <c r="S785" s="712"/>
      <c r="T785" s="712"/>
      <c r="U785" s="526" t="str">
        <f t="shared" ca="1" si="109"/>
        <v/>
      </c>
      <c r="V785" s="93" t="str" cm="1">
        <f t="array" aca="1" ref="V785" ca="1">CELL("format",INDIRECT(I785))</f>
        <v>G</v>
      </c>
      <c r="W785" s="93" t="b">
        <f t="shared" ca="1" si="110"/>
        <v>0</v>
      </c>
      <c r="X785" s="715" t="str">
        <f t="shared" ca="1" si="108"/>
        <v/>
      </c>
      <c r="Y785" t="b">
        <f t="shared" ca="1" si="111"/>
        <v>1</v>
      </c>
    </row>
    <row r="786" spans="1:25" ht="77.5">
      <c r="A786" s="705" t="s">
        <v>1214</v>
      </c>
      <c r="B786" s="716" t="str">
        <f t="shared" ca="1" si="96"/>
        <v>Securities - C118</v>
      </c>
      <c r="C786" s="707" t="str" cm="1">
        <f t="array" aca="1" ref="C786" ca="1">INDIRECT(LEFT(I786, FIND("!", I786)) &amp; RefData!$C$426 &amp; RIGHT(I786, LEN(I786) - FIND("!", I786) - 1))</f>
        <v xml:space="preserve">
No answer required
Triggers for termination
</v>
      </c>
      <c r="D786" s="92" t="str">
        <f t="shared" ca="1" si="107"/>
        <v/>
      </c>
      <c r="E786" s="708" t="str" cm="1">
        <f t="array" aca="1" ref="E786" ca="1">IF(INDIRECT($I786)= "", "", INDIRECT($I786))</f>
        <v/>
      </c>
      <c r="F786" s="709" t="str" cm="1">
        <f t="array" aca="1" ref="F786" ca="1">INDIRECT(LEFT(I786, FIND("!", I786)) &amp; RefData!$C$427 &amp; RIGHT(I786, LEN(I786) - FIND("!", I786) - 1))</f>
        <v>SEC 17.0/5</v>
      </c>
      <c r="G786" s="710" t="b">
        <f ca="1">IF(ISNUMBER(SEARCH(RefData!$B$2, $C786)), FALSE, TRUE)</f>
        <v>0</v>
      </c>
      <c r="H786" s="344">
        <f>Securities!C118</f>
        <v>0</v>
      </c>
      <c r="I786" s="712" t="str">
        <f t="shared" ca="1" si="97"/>
        <v>Securities!C118</v>
      </c>
      <c r="J786" s="713" t="b" cm="1">
        <f t="array" aca="1" ref="J786" ca="1">IF(
    ISNUMBER(SEARCH(RefData!$B$2, $C$475)),
    IF(
        $E786 &lt;&gt; "",
        $J$475,
        IF(
            $E786 = "",
            FALSE
        )
    ),
    IF(
        COUNTIF($K786:$T786, "&lt;&gt;FALSE") - COUNTBLANK($K786:$T786) &gt; 0,
        INDEX($K786:$T786, MATCH(TRUE, $K786:$T786 &lt;&gt; FALSE, 0))
    )
)</f>
        <v>0</v>
      </c>
      <c r="K786" s="712" t="b">
        <f ca="1">IF(AND('Start here'!$C$26=RefData!$B$9,'Reconciliation report'!$E786&lt;&gt;""),ErrorMsgs!$B786)</f>
        <v>0</v>
      </c>
      <c r="L786" s="712" t="b">
        <f ca="1">IF(AND('Start here'!$C$26=RefData!$B$10,'Covenant summary information'!$C$84=0,'Reconciliation report'!$E786&lt;&gt;""),ErrorMsgs!$C786)</f>
        <v>0</v>
      </c>
      <c r="M786" s="712" t="b">
        <f ca="1">IF(AND('Start here'!$C$26=RefData!$B$10,'Covenant summary information'!$C$84&lt;5,'Reconciliation report'!$E786&lt;&gt;""),ErrorMsgs!$D786)</f>
        <v>0</v>
      </c>
      <c r="N786" s="712" t="b">
        <f ca="1">IF(AND('Start here'!$C$26=RefData!$B$10,'Covenant summary information'!$C$84&gt;=5,'Reconciliation report'!$E786=""),ErrorMsgs!$E786)</f>
        <v>0</v>
      </c>
      <c r="O786" s="712" t="b">
        <f ca="1">IF(LEN($E786)&gt;4000,ErrorMsgs!$F786)</f>
        <v>0</v>
      </c>
      <c r="P786" s="712"/>
      <c r="Q786" s="712"/>
      <c r="R786" s="712"/>
      <c r="S786" s="712"/>
      <c r="T786" s="712"/>
      <c r="U786" s="526" t="str">
        <f t="shared" ca="1" si="109"/>
        <v/>
      </c>
      <c r="V786" s="93" t="str" cm="1">
        <f t="array" aca="1" ref="V786" ca="1">CELL("format",INDIRECT(I786))</f>
        <v>G</v>
      </c>
      <c r="W786" s="93" t="b">
        <f t="shared" ca="1" si="110"/>
        <v>0</v>
      </c>
      <c r="X786" s="715" t="str">
        <f t="shared" ca="1" si="108"/>
        <v/>
      </c>
      <c r="Y786" t="b">
        <f t="shared" ca="1" si="111"/>
        <v>1</v>
      </c>
    </row>
    <row r="787" spans="1:25" ht="77.5">
      <c r="A787" s="705" t="s">
        <v>1219</v>
      </c>
      <c r="B787" s="716" t="str">
        <f t="shared" ca="1" si="96"/>
        <v>Other contingent assets - C7</v>
      </c>
      <c r="C787" s="707" t="str" cm="1">
        <f t="array" aca="1" ref="C787" ca="1">INDIRECT(LEFT(I787, FIND("!", I787)) &amp; RefData!$C$426 &amp; RIGHT(I787, LEN(I787) - FIND("!", I787) - 1))</f>
        <v xml:space="preserve">
No answer required
What is the type of contingent asset?
</v>
      </c>
      <c r="D787" s="92" t="str">
        <f t="shared" ref="D787:D1043" ca="1" si="112">""&amp;IF(J787=FALSE, "", J787)
&amp;""</f>
        <v/>
      </c>
      <c r="E787" s="708" t="str" cm="1">
        <f t="array" aca="1" ref="E787" ca="1">IF(INDIRECT($I787)= "", "", INDIRECT($I787))</f>
        <v/>
      </c>
      <c r="F787" s="709" t="str" cm="1">
        <f t="array" aca="1" ref="F787" ca="1">INDIRECT(LEFT(I787, FIND("!", I787)) &amp; RefData!$C$427 &amp; RIGHT(I787, LEN(I787) - FIND("!", I787) - 1))</f>
        <v>OA 1.0/1</v>
      </c>
      <c r="G787" s="710" t="b">
        <f ca="1">IF(ISNUMBER(SEARCH(RefData!$B$2, $C787)), FALSE, TRUE)</f>
        <v>0</v>
      </c>
      <c r="H787" s="113">
        <f>'Other contingent assets'!C7</f>
        <v>0</v>
      </c>
      <c r="I787" s="712" t="str">
        <f t="shared" ca="1" si="97"/>
        <v>'Other contingent assets'!C7</v>
      </c>
      <c r="J787" s="713" t="b" cm="1">
        <f t="array" aca="1" ref="J787" ca="1">IF(
    ISNUMBER(SEARCH(RefData!$B$2, $C$476)),
    IF(
        $E787 &lt;&gt; "",
        $J$476,
        IF(
            $E787 = "",
            FALSE
        )
    ),
    IF(
        COUNTIF($K787:$T787, "&lt;&gt;FALSE") - COUNTBLANK($K787:$T787) &gt; 0,
        INDEX($K787:$T787, MATCH(TRUE, $K787:$T787 &lt;&gt; FALSE, 0))
    )
)</f>
        <v>0</v>
      </c>
      <c r="K787" s="712" t="b">
        <f ca="1">IF(AND('Covenant summary information'!$C$85=0,$E787&lt;&gt;""),ErrorMsgs!$B787)</f>
        <v>0</v>
      </c>
      <c r="L787" s="712" t="b">
        <f ca="1">IF(AND('Covenant summary information'!$C$85&lt;1,$E787&lt;&gt;""),ErrorMsgs!$C787)</f>
        <v>0</v>
      </c>
      <c r="M787" s="712" t="b">
        <f ca="1">IF(AND($E787="",'Covenant summary information'!$C$85&gt;=1),ErrorMsgs!$D787)</f>
        <v>0</v>
      </c>
      <c r="N787" s="712" t="b">
        <f ca="1">IF(AND('Covenant summary information'!$C$85&gt;=1,ISNA(MATCH($E787,RefData!$B$161:$B$165, 0))),ErrorMsgs!$E787)</f>
        <v>0</v>
      </c>
      <c r="O787" s="712"/>
      <c r="P787" s="712"/>
      <c r="Q787" s="712"/>
      <c r="R787" s="712"/>
      <c r="S787" s="712"/>
      <c r="T787" s="712"/>
      <c r="U787" s="526" t="str">
        <f t="shared" ca="1" si="109"/>
        <v/>
      </c>
      <c r="V787" s="93" t="str" cm="1">
        <f t="array" aca="1" ref="V787" ca="1">CELL("format",INDIRECT(I787))</f>
        <v>G</v>
      </c>
      <c r="W787" s="93" t="b">
        <f t="shared" ca="1" si="110"/>
        <v>0</v>
      </c>
      <c r="X787" s="715" t="str">
        <f t="shared" ca="1" si="108"/>
        <v/>
      </c>
      <c r="Y787" t="b">
        <f t="shared" ca="1" si="111"/>
        <v>1</v>
      </c>
    </row>
    <row r="788" spans="1:25" ht="77.5">
      <c r="A788" s="705" t="s">
        <v>1221</v>
      </c>
      <c r="B788" s="716" t="str">
        <f t="shared" ca="1" si="96"/>
        <v>Other contingent assets - C8</v>
      </c>
      <c r="C788" s="707" t="str" cm="1">
        <f t="array" aca="1" ref="C788" ca="1">INDIRECT(LEFT(I788, FIND("!", I788)) &amp; RefData!$C$426 &amp; RIGHT(I788, LEN(I788) - FIND("!", I788) - 1))</f>
        <v xml:space="preserve">
No answer required
Provide specific details of the contingent asset
</v>
      </c>
      <c r="D788" s="92" t="str">
        <f t="shared" ca="1" si="112"/>
        <v/>
      </c>
      <c r="E788" s="708" t="str" cm="1">
        <f t="array" aca="1" ref="E788" ca="1">IF(INDIRECT($I788)= "", "", INDIRECT($I788))</f>
        <v/>
      </c>
      <c r="F788" s="709" t="str" cm="1">
        <f t="array" aca="1" ref="F788" ca="1">INDIRECT(LEFT(I788, FIND("!", I788)) &amp; RefData!$C$427 &amp; RIGHT(I788, LEN(I788) - FIND("!", I788) - 1))</f>
        <v>OA 2.0/1</v>
      </c>
      <c r="G788" s="710" t="b">
        <f ca="1">IF(ISNUMBER(SEARCH(RefData!$B$2, $C788)), FALSE, TRUE)</f>
        <v>0</v>
      </c>
      <c r="H788" s="113">
        <f>'Other contingent assets'!C8</f>
        <v>0</v>
      </c>
      <c r="I788" s="712" t="str">
        <f t="shared" ca="1" si="97"/>
        <v>'Other contingent assets'!C8</v>
      </c>
      <c r="J788" s="713" t="b" cm="1">
        <f t="array" aca="1" ref="J788" ca="1">IF(
    ISNUMBER(SEARCH(RefData!$B$2, $C$476)),
    IF(
        $E788 &lt;&gt; "",
        $J$476,
        IF(
            $E788 = "",
            FALSE
        )
    ),
    IF(
        COUNTIF($K788:$T788, "&lt;&gt;FALSE") - COUNTBLANK($K788:$T788) &gt; 0,
        INDEX($K788:$T788, MATCH(TRUE, $K788:$T788 &lt;&gt; FALSE, 0))
    )
)</f>
        <v>0</v>
      </c>
      <c r="K788" s="712" t="b">
        <f ca="1">IF(AND('Covenant summary information'!$C$85=0,$E788&lt;&gt;""),ErrorMsgs!$B788)</f>
        <v>0</v>
      </c>
      <c r="L788" s="712" t="b">
        <f ca="1">IF(AND('Covenant summary information'!$C$85&lt;1,'Reconciliation report'!$E788&lt;&gt;""),ErrorMsgs!$C788)</f>
        <v>0</v>
      </c>
      <c r="M788" s="712" t="b">
        <f ca="1">IF(AND('Covenant summary information'!$C$85&gt;=1,'Reconciliation report'!$E788&lt;&gt;"",NOT(OR($E787=RefData!$B$165,$E787=RefData!$B$164))),ErrorMsgs!$D788)</f>
        <v>0</v>
      </c>
      <c r="N788" s="712" t="b">
        <f ca="1">IF(AND('Covenant summary information'!$C$85&gt;=1,'Reconciliation report'!$E788="",OR($E787=RefData!$B$165,$E787=RefData!$B$164)),ErrorMsgs!$E788)</f>
        <v>0</v>
      </c>
      <c r="O788" s="712" t="b">
        <f ca="1">IF(LEN($E788)&gt;4000,ErrorMsgs!$F788)</f>
        <v>0</v>
      </c>
      <c r="P788" s="712"/>
      <c r="Q788" s="712"/>
      <c r="R788" s="712"/>
      <c r="S788" s="712"/>
      <c r="T788" s="712"/>
      <c r="U788" s="526" t="str">
        <f t="shared" ca="1" si="109"/>
        <v/>
      </c>
      <c r="V788" s="93" t="str" cm="1">
        <f t="array" aca="1" ref="V788" ca="1">CELL("format",INDIRECT(I788))</f>
        <v>G</v>
      </c>
      <c r="W788" s="93" t="b">
        <f t="shared" ca="1" si="110"/>
        <v>0</v>
      </c>
      <c r="X788" s="715" t="str">
        <f t="shared" ca="1" si="108"/>
        <v/>
      </c>
      <c r="Y788" t="b">
        <f t="shared" ca="1" si="111"/>
        <v>1</v>
      </c>
    </row>
    <row r="789" spans="1:25" ht="77.5">
      <c r="A789" s="705" t="s">
        <v>1223</v>
      </c>
      <c r="B789" s="716" t="str">
        <f t="shared" ca="1" si="96"/>
        <v>Other contingent assets - C9</v>
      </c>
      <c r="C789" s="707" t="str" cm="1">
        <f t="array" aca="1" ref="C789" ca="1">INDIRECT(LEFT(I789, FIND("!", I789)) &amp; RefData!$C$426 &amp; RIGHT(I789, LEN(I789) - FIND("!", I789) - 1))</f>
        <v xml:space="preserve">
No answer required
Maturity type
</v>
      </c>
      <c r="D789" s="92" t="str">
        <f t="shared" ca="1" si="112"/>
        <v/>
      </c>
      <c r="E789" s="708" t="str" cm="1">
        <f t="array" aca="1" ref="E789" ca="1">IF(INDIRECT($I789)= "", "", INDIRECT($I789))</f>
        <v/>
      </c>
      <c r="F789" s="709" t="str" cm="1">
        <f t="array" aca="1" ref="F789" ca="1">INDIRECT(LEFT(I789, FIND("!", I789)) &amp; RefData!$C$427 &amp; RIGHT(I789, LEN(I789) - FIND("!", I789) - 1))</f>
        <v>OA 3.0/1</v>
      </c>
      <c r="G789" s="710" t="b">
        <f ca="1">IF(ISNUMBER(SEARCH(RefData!$B$2, $C789)), FALSE, TRUE)</f>
        <v>0</v>
      </c>
      <c r="H789" s="113">
        <f>'Other contingent assets'!C9</f>
        <v>0</v>
      </c>
      <c r="I789" s="712" t="str">
        <f t="shared" ca="1" si="97"/>
        <v>'Other contingent assets'!C9</v>
      </c>
      <c r="J789" s="713" t="b" cm="1">
        <f t="array" aca="1" ref="J789" ca="1">IF(
    ISNUMBER(SEARCH(RefData!$B$2, $C$476)),
    IF(
        $E789 &lt;&gt; "",
        $J$476,
        IF(
            $E789 = "",
            FALSE
        )
    ),
    IF(
        COUNTIF($K789:$T789, "&lt;&gt;FALSE") - COUNTBLANK($K789:$T789) &gt; 0,
        INDEX($K789:$T789, MATCH(TRUE, $K789:$T789 &lt;&gt; FALSE, 0))
    )
)</f>
        <v>0</v>
      </c>
      <c r="K789" s="712" t="b">
        <f ca="1">IF(AND('Start here'!$C$26=RefData!$B$9,$E789&lt;&gt;""),ErrorMsgs!$B789)</f>
        <v>0</v>
      </c>
      <c r="L789" s="712" t="b">
        <f ca="1">IF(AND('Start here'!$C$26=RefData!$B$10,'Covenant summary information'!$C$85=0,'Reconciliation report'!$E789&lt;&gt;""),ErrorMsgs!$C789)</f>
        <v>0</v>
      </c>
      <c r="M789" s="712" t="b">
        <f ca="1">IF(AND('Start here'!$C$26=RefData!$B$10,'Covenant summary information'!$C$85&lt;1,'Reconciliation report'!$E789&lt;&gt;""),ErrorMsgs!$D789)</f>
        <v>0</v>
      </c>
      <c r="N789" s="712" t="b">
        <f ca="1">IF(AND('Start here'!$C$26=RefData!$B$10,'Covenant summary information'!$C$85&gt;=1,'Reconciliation report'!$E789=""),ErrorMsgs!$E789)</f>
        <v>0</v>
      </c>
      <c r="O789" s="712" t="b">
        <f ca="1">IF($E789="",FALSE,IF(ISNA(MATCH($E789,RefData!$B$166:$B$168,0)),ErrorMsgs!$F789))</f>
        <v>0</v>
      </c>
      <c r="P789" s="712"/>
      <c r="Q789" s="712"/>
      <c r="R789" s="712"/>
      <c r="S789" s="712"/>
      <c r="T789" s="712"/>
      <c r="U789" s="526" t="str">
        <f t="shared" ca="1" si="109"/>
        <v/>
      </c>
      <c r="V789" s="93" t="str" cm="1">
        <f t="array" aca="1" ref="V789" ca="1">CELL("format",INDIRECT(I789))</f>
        <v>G</v>
      </c>
      <c r="W789" s="93" t="b">
        <f t="shared" ca="1" si="110"/>
        <v>0</v>
      </c>
      <c r="X789" s="715" t="str">
        <f t="shared" ca="1" si="108"/>
        <v/>
      </c>
      <c r="Y789" t="b">
        <f t="shared" ca="1" si="111"/>
        <v>1</v>
      </c>
    </row>
    <row r="790" spans="1:25" ht="77.5">
      <c r="A790" s="705" t="s">
        <v>1226</v>
      </c>
      <c r="B790" s="716" t="str">
        <f t="shared" ca="1" si="96"/>
        <v>Other contingent assets - C10</v>
      </c>
      <c r="C790" s="707" t="str" cm="1">
        <f t="array" aca="1" ref="C790" ca="1">INDIRECT(LEFT(I790, FIND("!", I790)) &amp; RefData!$C$426 &amp; RIGHT(I790, LEN(I790) - FIND("!", I790) - 1))</f>
        <v xml:space="preserve">
No answer required
Date of Maturity
</v>
      </c>
      <c r="D790" s="92" t="str">
        <f t="shared" ca="1" si="112"/>
        <v/>
      </c>
      <c r="E790" s="708" t="str" cm="1">
        <f t="array" aca="1" ref="E790" ca="1">IF(INDIRECT($I790)= "", "", INDIRECT($I790))</f>
        <v/>
      </c>
      <c r="F790" s="709" t="str" cm="1">
        <f t="array" aca="1" ref="F790" ca="1">INDIRECT(LEFT(I790, FIND("!", I790)) &amp; RefData!$C$427 &amp; RIGHT(I790, LEN(I790) - FIND("!", I790) - 1))</f>
        <v>OA 4.0/1</v>
      </c>
      <c r="G790" s="710" t="b">
        <f ca="1">IF(ISNUMBER(SEARCH(RefData!$B$2, $C790)), FALSE, TRUE)</f>
        <v>0</v>
      </c>
      <c r="H790" s="391">
        <f>'Other contingent assets'!C10</f>
        <v>0</v>
      </c>
      <c r="I790" s="712" t="str">
        <f t="shared" ca="1" si="97"/>
        <v>'Other contingent assets'!C10</v>
      </c>
      <c r="J790" s="713" t="b" cm="1">
        <f t="array" aca="1" ref="J790" ca="1">IF(
    ISNUMBER(SEARCH(RefData!$B$2, $C$476)),
    IF(
        $E790 &lt;&gt; "",
        $J$476,
        IF(
            $E790 = "",
            FALSE
        )
    ),
    IF(
        COUNTIF($K790:$T790, "&lt;&gt;FALSE") - COUNTBLANK($K790:$T790) &gt; 0,
        INDEX($K790:$T790, MATCH(TRUE, $K790:$T790 &lt;&gt; FALSE, 0))
    )
)</f>
        <v>0</v>
      </c>
      <c r="K790" s="712" t="b">
        <f ca="1">IF(AND($E790&lt;&gt;"",'Start here'!$C$26=RefData!$B$9),ErrorMsgs!$B790)</f>
        <v>0</v>
      </c>
      <c r="L790" s="712" t="b">
        <f ca="1">IF(AND('Start here'!$C$26=RefData!$B$10,'Covenant summary information'!$C$85=0,'Reconciliation report'!$E790&lt;&gt;""),ErrorMsgs!$C790)</f>
        <v>0</v>
      </c>
      <c r="M790" s="712" t="b">
        <f ca="1">IF(AND('Start here'!$C$26=RefData!$B$10,'Covenant summary information'!$C$85&lt;1,'Reconciliation report'!$E790&lt;&gt;""),ErrorMsgs!$D790)</f>
        <v>0</v>
      </c>
      <c r="N790" s="712" t="b">
        <f ca="1">IF(AND('Start here'!$C$26=RefData!$B$10,'Covenant summary information'!$C$85&gt;=1,'Reconciliation report'!$E790&lt;&gt;"",OR($E789=RefData!$B$166,$E789=RefData!$B$168)),ErrorMsgs!$E790)</f>
        <v>0</v>
      </c>
      <c r="O790" s="712" t="b">
        <f ca="1">IF(AND('Start here'!$C$26=RefData!$B$10,'Covenant summary information'!$C$85&gt;=1,'Reconciliation report'!$E790="",$E789=RefData!$B$167),ErrorMsgs!$F790)</f>
        <v>0</v>
      </c>
      <c r="P790" s="712" t="b">
        <f ca="1">IF($E790="",FALSE,IF(NOT(ISNUMBER($E790)),ErrorMsgs!$G790))</f>
        <v>0</v>
      </c>
      <c r="Q790" s="712" t="b">
        <f ca="1">IF($E790&lt;'Start here'!$C$21,ErrorMsgs!$H790)</f>
        <v>0</v>
      </c>
      <c r="R790" s="712"/>
      <c r="S790" s="712"/>
      <c r="T790" s="712"/>
      <c r="U790" s="526" t="str">
        <f t="shared" ca="1" si="109"/>
        <v/>
      </c>
      <c r="V790" s="93" t="str" cm="1">
        <f t="array" aca="1" ref="V790" ca="1">CELL("format",INDIRECT(I790))</f>
        <v>D1</v>
      </c>
      <c r="W790" s="93" t="b">
        <f t="shared" ca="1" si="110"/>
        <v>0</v>
      </c>
      <c r="X790" s="715" t="str">
        <f t="shared" ca="1" si="108"/>
        <v/>
      </c>
      <c r="Y790" t="b">
        <f t="shared" ca="1" si="111"/>
        <v>1</v>
      </c>
    </row>
    <row r="791" spans="1:25" ht="77.5">
      <c r="A791" s="705" t="s">
        <v>1228</v>
      </c>
      <c r="B791" s="716" t="str">
        <f t="shared" ca="1" si="96"/>
        <v>Other contingent assets - C11</v>
      </c>
      <c r="C791" s="707" t="str" cm="1">
        <f t="array" aca="1" ref="C791" ca="1">INDIRECT(LEFT(I791, FIND("!", I791)) &amp; RefData!$C$426 &amp; RIGHT(I791, LEN(I791) - FIND("!", I791) - 1))</f>
        <v xml:space="preserve">
No answer required
Maturity date narrative
</v>
      </c>
      <c r="D791" s="92" t="str">
        <f t="shared" ca="1" si="112"/>
        <v/>
      </c>
      <c r="E791" s="708" t="str" cm="1">
        <f t="array" aca="1" ref="E791" ca="1">IF(INDIRECT($I791)= "", "", INDIRECT($I791))</f>
        <v/>
      </c>
      <c r="F791" s="709" t="str" cm="1">
        <f t="array" aca="1" ref="F791" ca="1">INDIRECT(LEFT(I791, FIND("!", I791)) &amp; RefData!$C$427 &amp; RIGHT(I791, LEN(I791) - FIND("!", I791) - 1))</f>
        <v>OA 5.0/1</v>
      </c>
      <c r="G791" s="710" t="b">
        <f ca="1">IF(ISNUMBER(SEARCH(RefData!$B$2, $C791)), FALSE, TRUE)</f>
        <v>0</v>
      </c>
      <c r="H791" s="113">
        <f>'Other contingent assets'!C11</f>
        <v>0</v>
      </c>
      <c r="I791" s="712" t="str">
        <f t="shared" ca="1" si="97"/>
        <v>'Other contingent assets'!C11</v>
      </c>
      <c r="J791" s="713" t="b" cm="1">
        <f t="array" aca="1" ref="J791" ca="1">IF(
    ISNUMBER(SEARCH(RefData!$B$2, $C$476)),
    IF(
        $E791 &lt;&gt; "",
        $J$476,
        IF(
            $E791 = "",
            FALSE
        )
    ),
    IF(
        COUNTIF($K791:$T791, "&lt;&gt;FALSE") - COUNTBLANK($K791:$T791) &gt; 0,
        INDEX($K791:$T791, MATCH(TRUE, $K791:$T791 &lt;&gt; FALSE, 0))
    )
)</f>
        <v>0</v>
      </c>
      <c r="K791" s="712" t="b">
        <f ca="1">IF(AND($E791&lt;&gt;"",'Start here'!$C$26=RefData!$B$9),ErrorMsgs!$B791)</f>
        <v>0</v>
      </c>
      <c r="L791" s="712" t="b">
        <f ca="1">IF(AND('Start here'!$C$26=RefData!$B$10,'Covenant summary information'!$C$85=0,'Reconciliation report'!$E791&lt;&gt;""),ErrorMsgs!$C791)</f>
        <v>0</v>
      </c>
      <c r="M791" s="712" t="b">
        <f ca="1">IF(AND('Start here'!$C$26=RefData!$B$10,'Covenant summary information'!$C$85&lt;1,'Reconciliation report'!$E791&lt;&gt;""),ErrorMsgs!$D791)</f>
        <v>0</v>
      </c>
      <c r="N791" s="712" t="b">
        <f ca="1">IF(AND('Start here'!$C$26=RefData!$B$10,'Covenant summary information'!$C$85&gt;=1,'Reconciliation report'!$E791&lt;&gt;"",$E789&lt;&gt;RefData!$B$168),ErrorMsgs!$E791)</f>
        <v>0</v>
      </c>
      <c r="O791" s="712" t="b">
        <f ca="1">IF(AND('Start here'!$C$26=RefData!$B$10,'Covenant summary information'!$C$85&gt;=1,'Reconciliation report'!$E791="",$E789=RefData!$B$168),ErrorMsgs!$F791)</f>
        <v>0</v>
      </c>
      <c r="P791" s="712" t="b">
        <f ca="1">IF(LEN($E791)&gt;4000,ErrorMsgs!$G791)</f>
        <v>0</v>
      </c>
      <c r="Q791" s="712"/>
      <c r="R791" s="712"/>
      <c r="S791" s="712"/>
      <c r="T791" s="712"/>
      <c r="U791" s="526" t="str">
        <f t="shared" ca="1" si="109"/>
        <v/>
      </c>
      <c r="V791" s="93" t="str" cm="1">
        <f t="array" aca="1" ref="V791" ca="1">CELL("format",INDIRECT(I791))</f>
        <v>G</v>
      </c>
      <c r="W791" s="93" t="b">
        <f t="shared" ca="1" si="110"/>
        <v>0</v>
      </c>
      <c r="X791" s="715" t="str">
        <f t="shared" ca="1" si="108"/>
        <v/>
      </c>
      <c r="Y791" t="b">
        <f t="shared" ca="1" si="111"/>
        <v>1</v>
      </c>
    </row>
    <row r="792" spans="1:25" ht="77.5">
      <c r="A792" s="705" t="s">
        <v>1230</v>
      </c>
      <c r="B792" s="716" t="str">
        <f t="shared" ca="1" si="96"/>
        <v>Other contingent assets - C12</v>
      </c>
      <c r="C792" s="707" t="str" cm="1">
        <f t="array" aca="1" ref="C792" ca="1">INDIRECT(LEFT(I792, FIND("!", I792)) &amp; RefData!$C$426 &amp; RIGHT(I792, LEN(I792) - FIND("!", I792) - 1))</f>
        <v xml:space="preserve">
No answer required
Value ascribed (£)
</v>
      </c>
      <c r="D792" s="92" t="str">
        <f t="shared" ca="1" si="112"/>
        <v/>
      </c>
      <c r="E792" s="708" t="str" cm="1">
        <f t="array" aca="1" ref="E792" ca="1">IF(INDIRECT($I792)= "", "", INDIRECT($I792))</f>
        <v/>
      </c>
      <c r="F792" s="709" t="str" cm="1">
        <f t="array" aca="1" ref="F792" ca="1">INDIRECT(LEFT(I792, FIND("!", I792)) &amp; RefData!$C$427 &amp; RIGHT(I792, LEN(I792) - FIND("!", I792) - 1))</f>
        <v>OA 6.0/1</v>
      </c>
      <c r="G792" s="710" t="b">
        <f ca="1">IF(ISNUMBER(SEARCH(RefData!$B$2, $C792)), FALSE, TRUE)</f>
        <v>0</v>
      </c>
      <c r="H792" s="96">
        <f>'Other contingent assets'!C12</f>
        <v>0</v>
      </c>
      <c r="I792" s="712" t="str">
        <f t="shared" ca="1" si="97"/>
        <v>'Other contingent assets'!C12</v>
      </c>
      <c r="J792" s="713" t="b" cm="1">
        <f t="array" aca="1" ref="J792" ca="1">IF(
    ISNUMBER(SEARCH(RefData!$B$2, $C$476)),
    IF(
        $E792 &lt;&gt; "",
        $J$476,
        IF(
            $E792 = "",
            FALSE
        )
    ),
    IF(
        COUNTIF($K792:$T792, "&lt;&gt;FALSE") - COUNTBLANK($K792:$T792) &gt; 0,
        INDEX($K792:$T792, MATCH(TRUE, $K792:$T792 &lt;&gt; FALSE, 0))
    )
)</f>
        <v>0</v>
      </c>
      <c r="K792" s="712" t="b">
        <f ca="1">IF(AND($E792&lt;&gt;"",'Covenant summary information'!$C$85=0),ErrorMsgs!$B792)</f>
        <v>0</v>
      </c>
      <c r="L792" s="712" t="b">
        <f ca="1">IF(AND($E792&lt;&gt;"",'Covenant summary information'!$C$85&lt;1),ErrorMsgs!$C792)</f>
        <v>0</v>
      </c>
      <c r="M792" s="712" t="b">
        <f ca="1">IF(AND($E792="",'Covenant summary information'!$C$85&gt;=1),ErrorMsgs!$D792)</f>
        <v>0</v>
      </c>
      <c r="N792" s="712" t="b">
        <f ca="1">IF($E$792="",FALSE,IF(NOT(ISNUMBER($E792)),ErrorMsgs!$E792,IF(OR($E792-ROUND($E792,2)&lt;&gt;0,$E792&lt;0,$E792&gt;1000000000000),ErrorMsgs!$E792)))</f>
        <v>0</v>
      </c>
      <c r="O792" s="712"/>
      <c r="P792" s="712"/>
      <c r="Q792" s="712"/>
      <c r="R792" s="712"/>
      <c r="S792" s="712"/>
      <c r="T792" s="712"/>
      <c r="U792" s="526" t="str">
        <f t="shared" ca="1" si="109"/>
        <v/>
      </c>
      <c r="V792" s="93" t="str" cm="1">
        <f t="array" aca="1" ref="V792" ca="1">CELL("format",INDIRECT(I792))</f>
        <v>C2</v>
      </c>
      <c r="W792" s="93" t="b">
        <f t="shared" ca="1" si="110"/>
        <v>0</v>
      </c>
      <c r="X792" s="715" t="str">
        <f t="shared" ca="1" si="108"/>
        <v/>
      </c>
      <c r="Y792" t="b">
        <f t="shared" ca="1" si="111"/>
        <v>1</v>
      </c>
    </row>
    <row r="793" spans="1:25" ht="77.5">
      <c r="A793" s="705" t="s">
        <v>1232</v>
      </c>
      <c r="B793" s="716" t="str">
        <f t="shared" ref="B793:B933" ca="1" si="113">HYPERLINK("#" &amp; $I793, SUBSTITUTE(SUBSTITUTE($I793, "!", " - "), "'",""))</f>
        <v>Other contingent assets - C13</v>
      </c>
      <c r="C793" s="707" t="str" cm="1">
        <f t="array" aca="1" ref="C793" ca="1">INDIRECT(LEFT(I793, FIND("!", I793)) &amp; RefData!$C$426 &amp; RIGHT(I793, LEN(I793) - FIND("!", I793) - 1))</f>
        <v xml:space="preserve">
No answer required
Date of valuation
</v>
      </c>
      <c r="D793" s="92" t="str">
        <f t="shared" ca="1" si="112"/>
        <v/>
      </c>
      <c r="E793" s="708" t="str" cm="1">
        <f t="array" aca="1" ref="E793" ca="1">IF(INDIRECT($I793)= "", "", INDIRECT($I793))</f>
        <v/>
      </c>
      <c r="F793" s="709" t="str" cm="1">
        <f t="array" aca="1" ref="F793" ca="1">INDIRECT(LEFT(I793, FIND("!", I793)) &amp; RefData!$C$427 &amp; RIGHT(I793, LEN(I793) - FIND("!", I793) - 1))</f>
        <v>OA 7.0/1</v>
      </c>
      <c r="G793" s="710" t="b">
        <f ca="1">IF(ISNUMBER(SEARCH(RefData!$B$2, $C793)), FALSE, TRUE)</f>
        <v>0</v>
      </c>
      <c r="H793" s="391">
        <f>'Other contingent assets'!C13</f>
        <v>0</v>
      </c>
      <c r="I793" s="712" t="str">
        <f t="shared" ref="I793:I933" ca="1" si="114">SUBSTITUTE(_xlfn.FORMULATEXT($H793), "=", "")</f>
        <v>'Other contingent assets'!C13</v>
      </c>
      <c r="J793" s="713" t="b" cm="1">
        <f t="array" aca="1" ref="J793" ca="1">IF(
    ISNUMBER(SEARCH(RefData!$B$2, $C$476)),
    IF(
        $E793 &lt;&gt; "",
        $J$476,
        IF(
            $E793 = "",
            FALSE
        )
    ),
    IF(
        COUNTIF($K793:$T793, "&lt;&gt;FALSE") - COUNTBLANK($K793:$T793) &gt; 0,
        INDEX($K793:$T793, MATCH(TRUE, $K793:$T793 &lt;&gt; FALSE, 0))
    )
)</f>
        <v>0</v>
      </c>
      <c r="K793" s="712" t="b">
        <f ca="1">IF(AND($E793&lt;&gt;"",'Covenant summary information'!$C$85=0),ErrorMsgs!$B793)</f>
        <v>0</v>
      </c>
      <c r="L793" s="712" t="b">
        <f ca="1">IF(AND($E793&lt;&gt;"",'Covenant summary information'!$C$85&lt;1),ErrorMsgs!$C793)</f>
        <v>0</v>
      </c>
      <c r="M793" s="712" t="b">
        <f ca="1">IF(AND($E793="",'Covenant summary information'!$C$85&gt;=1),ErrorMsgs!$D793)</f>
        <v>0</v>
      </c>
      <c r="N793" s="712" t="b">
        <f ca="1">IF(AND('Covenant summary information'!$C$85&gt;=1,NOT(ISNUMBER($E793))),ErrorMsgs!$E793)</f>
        <v>0</v>
      </c>
      <c r="O793" s="712" t="b">
        <f ca="1">IF($E793="",FALSE,IF($E793&gt;TODAY(),ErrorMsgs!$F793))</f>
        <v>0</v>
      </c>
      <c r="P793" s="712"/>
      <c r="Q793" s="712"/>
      <c r="R793" s="712"/>
      <c r="S793" s="712"/>
      <c r="T793" s="712"/>
      <c r="U793" s="526" t="str">
        <f t="shared" ca="1" si="109"/>
        <v/>
      </c>
      <c r="V793" s="93" t="str" cm="1">
        <f t="array" aca="1" ref="V793" ca="1">CELL("format",INDIRECT(I793))</f>
        <v>D1</v>
      </c>
      <c r="W793" s="93" t="b">
        <f t="shared" ca="1" si="110"/>
        <v>0</v>
      </c>
      <c r="X793" s="715" t="str">
        <f t="shared" ca="1" si="108"/>
        <v/>
      </c>
      <c r="Y793" t="b">
        <f t="shared" ca="1" si="111"/>
        <v>1</v>
      </c>
    </row>
    <row r="794" spans="1:25" ht="61.25" customHeight="1">
      <c r="A794" s="705" t="s">
        <v>1234</v>
      </c>
      <c r="B794" s="716" t="str">
        <f t="shared" ca="1" si="113"/>
        <v>Other contingent assets - C14</v>
      </c>
      <c r="C794" s="707" t="str" cm="1">
        <f t="array" aca="1" ref="C794" ca="1">INDIRECT(LEFT(I794, FIND("!", I794)) &amp; RefData!$C$426 &amp; RIGHT(I794, LEN(I794) - FIND("!", I794) - 1))</f>
        <v xml:space="preserve">
No answer required
Value cap
</v>
      </c>
      <c r="D794" s="92" t="str">
        <f t="shared" ca="1" si="112"/>
        <v/>
      </c>
      <c r="E794" s="708" t="str" cm="1">
        <f t="array" aca="1" ref="E794" ca="1">IF(INDIRECT($I794)= "", "", INDIRECT($I794))</f>
        <v/>
      </c>
      <c r="F794" s="709" t="str" cm="1">
        <f t="array" aca="1" ref="F794" ca="1">INDIRECT(LEFT(I794, FIND("!", I794)) &amp; RefData!$C$427 &amp; RIGHT(I794, LEN(I794) - FIND("!", I794) - 1))</f>
        <v>OA 8.0/1</v>
      </c>
      <c r="G794" s="710" t="b">
        <f ca="1">IF(ISNUMBER(SEARCH(RefData!$B$2, $C794)), FALSE, TRUE)</f>
        <v>0</v>
      </c>
      <c r="H794" s="113">
        <f>'Other contingent assets'!C14</f>
        <v>0</v>
      </c>
      <c r="I794" s="712" t="str">
        <f t="shared" ca="1" si="114"/>
        <v>'Other contingent assets'!C14</v>
      </c>
      <c r="J794" s="713" t="b" cm="1">
        <f t="array" aca="1" ref="J794" ca="1">IF(
    ISNUMBER(SEARCH(RefData!$B$2, $C$476)),
    IF(
        $E794 &lt;&gt; "",
        $J$476,
        IF(
            $E794 = "",
            FALSE
        )
    ),
    IF(
        COUNTIF($K794:$T794, "&lt;&gt;FALSE") - COUNTBLANK($K794:$T794) &gt; 0,
        INDEX($K794:$T794, MATCH(TRUE, $K794:$T794 &lt;&gt; FALSE, 0))
    )
)</f>
        <v>0</v>
      </c>
      <c r="K794" s="712" t="b">
        <f ca="1">IF(AND($E794&lt;&gt;"",'Start here'!$C$26=RefData!$B$9),ErrorMsgs!$B794)</f>
        <v>0</v>
      </c>
      <c r="L794" s="712" t="b">
        <f ca="1">IF(AND($E794&lt;&gt;"",'Start here'!$C$26=RefData!$B$10, 'Covenant summary information'!$C$85=0),ErrorMsgs!$C794)</f>
        <v>0</v>
      </c>
      <c r="M794" s="712" t="b">
        <f ca="1">IF(AND($E794&lt;&gt;"",'Start here'!$C$26=RefData!$B$10, 'Covenant summary information'!$C$85&lt;1),ErrorMsgs!$D794)</f>
        <v>0</v>
      </c>
      <c r="N794" s="712" t="b">
        <f ca="1">IF(AND($E794="",'Start here'!$C$26=RefData!$B$10, 'Covenant summary information'!$C$85&gt;=1),ErrorMsgs!$E794)</f>
        <v>0</v>
      </c>
      <c r="O794" s="712" t="b">
        <f ca="1">IF($E794="",FALSE,IF(ISNA(MATCH($E794,RefData!$B$169:$B$175,0)),ErrorMsgs!$F794))</f>
        <v>0</v>
      </c>
      <c r="P794" s="712"/>
      <c r="Q794" s="712"/>
      <c r="R794" s="712"/>
      <c r="S794" s="712"/>
      <c r="T794" s="712"/>
      <c r="U794" s="526" t="str">
        <f t="shared" ca="1" si="109"/>
        <v/>
      </c>
      <c r="V794" s="93" t="str" cm="1">
        <f t="array" aca="1" ref="V794" ca="1">CELL("format",INDIRECT(I794))</f>
        <v>G</v>
      </c>
      <c r="W794" s="93" t="b">
        <f t="shared" ca="1" si="110"/>
        <v>0</v>
      </c>
      <c r="X794" s="715" t="str">
        <f t="shared" ca="1" si="108"/>
        <v/>
      </c>
      <c r="Y794" t="b">
        <f t="shared" ca="1" si="111"/>
        <v>1</v>
      </c>
    </row>
    <row r="795" spans="1:25" ht="77.5">
      <c r="A795" s="705" t="s">
        <v>1236</v>
      </c>
      <c r="B795" s="716" t="str">
        <f t="shared" ca="1" si="113"/>
        <v>Other contingent assets - C15</v>
      </c>
      <c r="C795" s="707" t="str" cm="1">
        <f t="array" aca="1" ref="C795" ca="1">INDIRECT(LEFT(I795, FIND("!", I795)) &amp; RefData!$C$426 &amp; RIGHT(I795, LEN(I795) - FIND("!", I795) - 1))</f>
        <v xml:space="preserve">
No answer required
Narrative regarding value cap
</v>
      </c>
      <c r="D795" s="92" t="str">
        <f t="shared" ca="1" si="112"/>
        <v/>
      </c>
      <c r="E795" s="708" t="str" cm="1">
        <f t="array" aca="1" ref="E795" ca="1">IF(INDIRECT($I795)= "", "", INDIRECT($I795))</f>
        <v/>
      </c>
      <c r="F795" s="709" t="str" cm="1">
        <f t="array" aca="1" ref="F795" ca="1">INDIRECT(LEFT(I795, FIND("!", I795)) &amp; RefData!$C$427 &amp; RIGHT(I795, LEN(I795) - FIND("!", I795) - 1))</f>
        <v>OA 9.0/1</v>
      </c>
      <c r="G795" s="710" t="b">
        <f ca="1">IF(ISNUMBER(SEARCH(RefData!$B$2, $C795)), FALSE, TRUE)</f>
        <v>0</v>
      </c>
      <c r="H795" s="113">
        <f>'Other contingent assets'!C15</f>
        <v>0</v>
      </c>
      <c r="I795" s="712" t="str">
        <f t="shared" ca="1" si="114"/>
        <v>'Other contingent assets'!C15</v>
      </c>
      <c r="J795" s="713" t="b" cm="1">
        <f t="array" aca="1" ref="J795" ca="1">IF(
    ISNUMBER(SEARCH(RefData!$B$2, $C$476)),
    IF(
        $E795 &lt;&gt; "",
        $J$476,
        IF(
            $E795 = "",
            FALSE
        )
    ),
    IF(
        COUNTIF($K795:$T795, "&lt;&gt;FALSE") - COUNTBLANK($K795:$T795) &gt; 0,
        INDEX($K795:$T795, MATCH(TRUE, $K795:$T795 &lt;&gt; FALSE, 0))
    )
)</f>
        <v>0</v>
      </c>
      <c r="K795" s="712" t="b">
        <f ca="1">IF(AND(E795&lt;&gt;"",'Start here'!$C$26=RefData!$B$9),ErrorMsgs!$B795)</f>
        <v>0</v>
      </c>
      <c r="L795" s="712" t="b">
        <f ca="1">IF(AND('Start here'!$C$26=RefData!$B$10,'Covenant summary information'!$C$85=0,'Reconciliation report'!$E795&lt;&gt;""),ErrorMsgs!$C795)</f>
        <v>0</v>
      </c>
      <c r="M795" s="712" t="b">
        <f ca="1">IF(AND('Start here'!$C$26=RefData!$B$10,'Covenant summary information'!$C$85&lt;1,'Reconciliation report'!$E795&lt;&gt;""),ErrorMsgs!$D795)</f>
        <v>0</v>
      </c>
      <c r="N795" s="712" t="b">
        <f ca="1">IF(AND('Start here'!$C$26=RefData!$B$10,'Covenant summary information'!$C$85&gt;=1,'Reconciliation report'!$E795&lt;&gt;"",NOT('Other contingent assets'!$C$14=RefData!$B$175)),ErrorMsgs!$E795)</f>
        <v>0</v>
      </c>
      <c r="O795" s="712" t="b">
        <f ca="1">IF(AND('Start here'!$C$26=RefData!$B$10,'Covenant summary information'!$C$85&gt;=1,'Reconciliation report'!$E795="",'Other contingent assets'!$C$14=RefData!$B$175),ErrorMsgs!$F795)</f>
        <v>0</v>
      </c>
      <c r="P795" s="712" t="b">
        <f ca="1">IF(LEN($E795)&gt;4000,ErrorMsgs!$G795)</f>
        <v>0</v>
      </c>
      <c r="Q795" s="712"/>
      <c r="R795" s="712"/>
      <c r="S795" s="712"/>
      <c r="T795" s="712"/>
      <c r="U795" s="526" t="str">
        <f t="shared" ca="1" si="109"/>
        <v/>
      </c>
      <c r="V795" s="93" t="str" cm="1">
        <f t="array" aca="1" ref="V795" ca="1">CELL("format",INDIRECT(I795))</f>
        <v>G</v>
      </c>
      <c r="W795" s="93" t="b">
        <f t="shared" ca="1" si="110"/>
        <v>0</v>
      </c>
      <c r="X795" s="715" t="str">
        <f t="shared" ca="1" si="108"/>
        <v/>
      </c>
      <c r="Y795" t="b">
        <f t="shared" ca="1" si="111"/>
        <v>1</v>
      </c>
    </row>
    <row r="796" spans="1:25" ht="77.5">
      <c r="A796" s="705" t="s">
        <v>1238</v>
      </c>
      <c r="B796" s="716" t="str">
        <f t="shared" ca="1" si="113"/>
        <v>Other contingent assets - C16</v>
      </c>
      <c r="C796" s="707" t="str" cm="1">
        <f t="array" aca="1" ref="C796" ca="1">INDIRECT(LEFT(I796, FIND("!", I796)) &amp; RefData!$C$426 &amp; RIGHT(I796, LEN(I796) - FIND("!", I796) - 1))</f>
        <v xml:space="preserve">
No answer required
Fixed cap amount (£)
</v>
      </c>
      <c r="D796" s="92" t="str">
        <f t="shared" ca="1" si="112"/>
        <v/>
      </c>
      <c r="E796" s="708" t="str" cm="1">
        <f t="array" aca="1" ref="E796" ca="1">IF(INDIRECT($I796)= "", "", INDIRECT($I796))</f>
        <v/>
      </c>
      <c r="F796" s="709" t="str" cm="1">
        <f t="array" aca="1" ref="F796" ca="1">INDIRECT(LEFT(I796, FIND("!", I796)) &amp; RefData!$C$427 &amp; RIGHT(I796, LEN(I796) - FIND("!", I796) - 1))</f>
        <v>OA 10.0/1</v>
      </c>
      <c r="G796" s="710" t="b">
        <f ca="1">IF(ISNUMBER(SEARCH(RefData!$B$2, $C796)), FALSE, TRUE)</f>
        <v>0</v>
      </c>
      <c r="H796" s="113">
        <f>'Other contingent assets'!C16</f>
        <v>0</v>
      </c>
      <c r="I796" s="712" t="str">
        <f t="shared" ca="1" si="114"/>
        <v>'Other contingent assets'!C16</v>
      </c>
      <c r="J796" s="713" t="b" cm="1">
        <f t="array" aca="1" ref="J796" ca="1">IF(
    ISNUMBER(SEARCH(RefData!$B$2, $C$476)),
    IF(
        $E796 &lt;&gt; "",
        $J$476,
        IF(
            $E796 = "",
            FALSE
        )
    ),
    IF(
        COUNTIF($K796:$T796, "&lt;&gt;FALSE") - COUNTBLANK($K796:$T796) &gt; 0,
        INDEX($K796:$T796, MATCH(TRUE, $K796:$T796 &lt;&gt; FALSE, 0))
    )
)</f>
        <v>0</v>
      </c>
      <c r="K796" s="712" t="b">
        <f ca="1">IF(AND(E796&lt;&gt;"",'Start here'!$C$26=RefData!$B$9),ErrorMsgs!$B796)</f>
        <v>0</v>
      </c>
      <c r="L796" s="712" t="b">
        <f ca="1">IF(AND('Start here'!$C$26=RefData!$B$10,'Covenant summary information'!$C$85=0,'Reconciliation report'!$E796&lt;&gt;""),ErrorMsgs!$C796)</f>
        <v>0</v>
      </c>
      <c r="M796" s="712" t="b">
        <f ca="1">IF(AND('Start here'!$C$26=RefData!$B$10,'Covenant summary information'!$C$85&lt;1,'Reconciliation report'!$E796&lt;&gt;""),ErrorMsgs!$D796)</f>
        <v>0</v>
      </c>
      <c r="N796" s="712" t="b">
        <f ca="1">IF(AND('Start here'!$C$26=RefData!$B$10,'Covenant summary information'!$C$85&gt;=1,'Reconciliation report'!$E796&lt;&gt;"",NOT('Other contingent assets'!$C$14=RefData!$B$174)),ErrorMsgs!$E796)</f>
        <v>0</v>
      </c>
      <c r="O796" s="712" t="b">
        <f ca="1">IF(AND('Start here'!$C$26=RefData!$B$10,'Covenant summary information'!$C$85&gt;=1,'Reconciliation report'!$E796="",'Other contingent assets'!$C$14=RefData!$B$174),ErrorMsgs!$F796)</f>
        <v>0</v>
      </c>
      <c r="P796" s="712" t="b">
        <f ca="1">IF($E796="",FALSE,IF(ISERROR(VALUE($E796)),ErrorMsgs!G796,IF(OR(VALUE($E796)&lt;0,VALUE($E796)&gt;1000000000000,VALUE($E796)-ROUND(VALUE($E796),2)&lt;&gt;0),ErrorMsgs!G796)))</f>
        <v>0</v>
      </c>
      <c r="Q796" s="712"/>
      <c r="R796" s="712"/>
      <c r="S796" s="712"/>
      <c r="T796" s="712"/>
      <c r="U796" s="526" t="str">
        <f t="shared" ca="1" si="109"/>
        <v/>
      </c>
      <c r="V796" s="93" t="str" cm="1">
        <f t="array" aca="1" ref="V796" ca="1">CELL("format",INDIRECT(I796))</f>
        <v>C2</v>
      </c>
      <c r="W796" s="93" t="b">
        <f t="shared" ca="1" si="110"/>
        <v>0</v>
      </c>
      <c r="X796" s="715" t="str">
        <f t="shared" ca="1" si="108"/>
        <v/>
      </c>
      <c r="Y796" t="b">
        <f t="shared" ca="1" si="111"/>
        <v>1</v>
      </c>
    </row>
    <row r="797" spans="1:25" ht="77.5">
      <c r="A797" s="705" t="s">
        <v>1240</v>
      </c>
      <c r="B797" s="716" t="str">
        <f t="shared" ca="1" si="113"/>
        <v>Other contingent assets - C20</v>
      </c>
      <c r="C797" s="707" t="str" cm="1">
        <f t="array" aca="1" ref="C797" ca="1">INDIRECT(LEFT(I797, FIND("!", I797)) &amp; RefData!$C$426 &amp; RIGHT(I797, LEN(I797) - FIND("!", I797) - 1))</f>
        <v xml:space="preserve">
No answer required
Participating employer insolvency
</v>
      </c>
      <c r="D797" s="92" t="str">
        <f t="shared" ca="1" si="112"/>
        <v/>
      </c>
      <c r="E797" s="708" t="str" cm="1">
        <f t="array" aca="1" ref="E797" ca="1">IF(INDIRECT($I797)= "", "", INDIRECT($I797))</f>
        <v/>
      </c>
      <c r="F797" s="709" t="str" cm="1">
        <f t="array" aca="1" ref="F797" ca="1">INDIRECT(LEFT(I797, FIND("!", I797)) &amp; RefData!$C$427 &amp; RIGHT(I797, LEN(I797) - FIND("!", I797) - 1))</f>
        <v>OA 11.0/1</v>
      </c>
      <c r="G797" s="710" t="b">
        <f ca="1">IF(ISNUMBER(SEARCH(RefData!$B$2, $C797)), FALSE, TRUE)</f>
        <v>0</v>
      </c>
      <c r="H797" s="113">
        <f>'Other contingent assets'!C20</f>
        <v>0</v>
      </c>
      <c r="I797" s="712" t="str">
        <f t="shared" ca="1" si="114"/>
        <v>'Other contingent assets'!C20</v>
      </c>
      <c r="J797" s="713" t="b" cm="1">
        <f t="array" aca="1" ref="J797" ca="1">IF(
    ISNUMBER(SEARCH(RefData!$B$2, $C$476)),
    IF(
        $E797 &lt;&gt; "",
        $J$476,
        IF(
            $E797 = "",
            FALSE
        )
    ),
    IF(
        COUNTIF($K797:$T797, "&lt;&gt;FALSE") - COUNTBLANK($K797:$T797) &gt; 0,
        INDEX($K797:$T797, MATCH(TRUE, $K797:$T797 &lt;&gt; FALSE, 0))
    )
)</f>
        <v>0</v>
      </c>
      <c r="K797" s="712" t="b">
        <f ca="1">IF(AND(E797&lt;&gt;"",'Start here'!$C$26=RefData!$B$9),ErrorMsgs!$B797)</f>
        <v>0</v>
      </c>
      <c r="L797" s="712" t="b">
        <f ca="1">IF(AND('Start here'!$C$26=RefData!$B$10,'Covenant summary information'!$C$85=0,'Reconciliation report'!$E797&lt;&gt;""),ErrorMsgs!$C797)</f>
        <v>0</v>
      </c>
      <c r="M797" s="712" t="b">
        <f ca="1">IF(AND('Start here'!$C$26=RefData!$B$10,'Covenant summary information'!$C$85&lt;1,'Reconciliation report'!$E797&lt;&gt;""),ErrorMsgs!$D797)</f>
        <v>0</v>
      </c>
      <c r="N797" s="712" t="b">
        <f ca="1">IF(AND('Start here'!$C$26=RefData!$B$10,'Covenant summary information'!$C$85&gt;=1,'Reconciliation report'!$E797=""),ErrorMsgs!$E797)</f>
        <v>0</v>
      </c>
      <c r="O797" s="712" t="b">
        <f ca="1">IF($E797="",FALSE,IF(ISNA(MATCH($E797,RefData!$B$204:$B$205,0)),ErrorMsgs!$F797))</f>
        <v>0</v>
      </c>
      <c r="P797" s="712"/>
      <c r="Q797" s="712"/>
      <c r="R797" s="712"/>
      <c r="S797" s="712"/>
      <c r="T797" s="712"/>
      <c r="U797" s="526" t="str">
        <f t="shared" ca="1" si="109"/>
        <v/>
      </c>
      <c r="V797" s="93" t="str" cm="1">
        <f t="array" aca="1" ref="V797" ca="1">CELL("format",INDIRECT(I797))</f>
        <v>G</v>
      </c>
      <c r="W797" s="93" t="b">
        <f t="shared" ca="1" si="110"/>
        <v>0</v>
      </c>
      <c r="X797" s="715" t="str">
        <f t="shared" ca="1" si="108"/>
        <v/>
      </c>
      <c r="Y797" t="b">
        <f t="shared" ca="1" si="111"/>
        <v>1</v>
      </c>
    </row>
    <row r="798" spans="1:25" ht="77.5">
      <c r="A798" s="705" t="s">
        <v>1242</v>
      </c>
      <c r="B798" s="716" t="str">
        <f t="shared" ca="1" si="113"/>
        <v>Other contingent assets - C21</v>
      </c>
      <c r="C798" s="707" t="str" cm="1">
        <f t="array" aca="1" ref="C798" ca="1">INDIRECT(LEFT(I798, FIND("!", I798)) &amp; RefData!$C$426 &amp; RIGHT(I798, LEN(I798) - FIND("!", I798) - 1))</f>
        <v xml:space="preserve">
No answer required
Insolvency of associated company
</v>
      </c>
      <c r="D798" s="92" t="str">
        <f t="shared" ca="1" si="112"/>
        <v/>
      </c>
      <c r="E798" s="708" t="str" cm="1">
        <f t="array" aca="1" ref="E798" ca="1">IF(INDIRECT($I798)= "", "", INDIRECT($I798))</f>
        <v/>
      </c>
      <c r="F798" s="709" t="str" cm="1">
        <f t="array" aca="1" ref="F798" ca="1">INDIRECT(LEFT(I798, FIND("!", I798)) &amp; RefData!$C$427 &amp; RIGHT(I798, LEN(I798) - FIND("!", I798) - 1))</f>
        <v>OA 12.0/1</v>
      </c>
      <c r="G798" s="710" t="b">
        <f ca="1">IF(ISNUMBER(SEARCH(RefData!$B$2, $C798)), FALSE, TRUE)</f>
        <v>0</v>
      </c>
      <c r="H798" s="113">
        <f>'Other contingent assets'!C21</f>
        <v>0</v>
      </c>
      <c r="I798" s="712" t="str">
        <f t="shared" ca="1" si="114"/>
        <v>'Other contingent assets'!C21</v>
      </c>
      <c r="J798" s="713" t="b" cm="1">
        <f t="array" aca="1" ref="J798" ca="1">IF(
    ISNUMBER(SEARCH(RefData!$B$2, $C$476)),
    IF(
        $E798 &lt;&gt; "",
        $J$476,
        IF(
            $E798 = "",
            FALSE
        )
    ),
    IF(
        COUNTIF($K798:$T798, "&lt;&gt;FALSE") - COUNTBLANK($K798:$T798) &gt; 0,
        INDEX($K798:$T798, MATCH(TRUE, $K798:$T798 &lt;&gt; FALSE, 0))
    )
)</f>
        <v>0</v>
      </c>
      <c r="K798" s="712" t="b">
        <f ca="1">IF(AND(E798&lt;&gt;"",'Start here'!$C$26=RefData!$B$9),ErrorMsgs!$B798)</f>
        <v>0</v>
      </c>
      <c r="L798" s="712" t="b">
        <f ca="1">IF(AND('Start here'!$C$26=RefData!$B$10,'Covenant summary information'!$C$85=0,'Reconciliation report'!$E798&lt;&gt;""),ErrorMsgs!$C798)</f>
        <v>0</v>
      </c>
      <c r="M798" s="712" t="b">
        <f ca="1">IF(AND('Start here'!$C$26=RefData!$B$10,'Covenant summary information'!$C$85&lt;1,'Reconciliation report'!$E798&lt;&gt;""),ErrorMsgs!$D798)</f>
        <v>0</v>
      </c>
      <c r="N798" s="712" t="b">
        <f ca="1">IF(AND('Start here'!$C$26=RefData!$B$10,'Covenant summary information'!$C$85&gt;=1,'Reconciliation report'!$E798=""),ErrorMsgs!$E798)</f>
        <v>0</v>
      </c>
      <c r="O798" s="712" t="b">
        <f ca="1">IF($E798="",FALSE,IF(ISNA(MATCH($E798,RefData!$B$204:$B$205,0)),ErrorMsgs!$F798))</f>
        <v>0</v>
      </c>
      <c r="P798" s="712"/>
      <c r="Q798" s="712"/>
      <c r="R798" s="712"/>
      <c r="S798" s="712"/>
      <c r="T798" s="712"/>
      <c r="U798" s="526" t="str">
        <f t="shared" ca="1" si="109"/>
        <v/>
      </c>
      <c r="V798" s="93" t="str" cm="1">
        <f t="array" aca="1" ref="V798" ca="1">CELL("format",INDIRECT(I798))</f>
        <v>G</v>
      </c>
      <c r="W798" s="93" t="b">
        <f t="shared" ca="1" si="110"/>
        <v>0</v>
      </c>
      <c r="X798" s="715" t="str">
        <f t="shared" ca="1" si="108"/>
        <v/>
      </c>
      <c r="Y798" t="b">
        <f t="shared" ca="1" si="111"/>
        <v>1</v>
      </c>
    </row>
    <row r="799" spans="1:25" ht="77.5">
      <c r="A799" s="705" t="s">
        <v>1244</v>
      </c>
      <c r="B799" s="716" t="str">
        <f t="shared" ca="1" si="113"/>
        <v>Other contingent assets - C22</v>
      </c>
      <c r="C799" s="707" t="str" cm="1">
        <f t="array" aca="1" ref="C799" ca="1">INDIRECT(LEFT(I799, FIND("!", I799)) &amp; RefData!$C$426 &amp; RIGHT(I799, LEN(I799) - FIND("!", I799) - 1))</f>
        <v xml:space="preserve">
No answer required
Non payment of contributions
</v>
      </c>
      <c r="D799" s="92" t="str">
        <f t="shared" ca="1" si="112"/>
        <v/>
      </c>
      <c r="E799" s="708" t="str" cm="1">
        <f t="array" aca="1" ref="E799" ca="1">IF(INDIRECT($I799)= "", "", INDIRECT($I799))</f>
        <v/>
      </c>
      <c r="F799" s="709" t="str" cm="1">
        <f t="array" aca="1" ref="F799" ca="1">INDIRECT(LEFT(I799, FIND("!", I799)) &amp; RefData!$C$427 &amp; RIGHT(I799, LEN(I799) - FIND("!", I799) - 1))</f>
        <v>OA 13.0/1</v>
      </c>
      <c r="G799" s="710" t="b">
        <f ca="1">IF(ISNUMBER(SEARCH(RefData!$B$2, $C799)), FALSE, TRUE)</f>
        <v>0</v>
      </c>
      <c r="H799" s="113">
        <f>'Other contingent assets'!C22</f>
        <v>0</v>
      </c>
      <c r="I799" s="712" t="str">
        <f t="shared" ca="1" si="114"/>
        <v>'Other contingent assets'!C22</v>
      </c>
      <c r="J799" s="713" t="b" cm="1">
        <f t="array" aca="1" ref="J799" ca="1">IF(
    ISNUMBER(SEARCH(RefData!$B$2, $C$476)),
    IF(
        $E799 &lt;&gt; "",
        $J$476,
        IF(
            $E799 = "",
            FALSE
        )
    ),
    IF(
        COUNTIF($K799:$T799, "&lt;&gt;FALSE") - COUNTBLANK($K799:$T799) &gt; 0,
        INDEX($K799:$T799, MATCH(TRUE, $K799:$T799 &lt;&gt; FALSE, 0))
    )
)</f>
        <v>0</v>
      </c>
      <c r="K799" s="712" t="b">
        <f ca="1">IF(AND(E799&lt;&gt;"",'Start here'!$C$26=RefData!$B$9),ErrorMsgs!$B799)</f>
        <v>0</v>
      </c>
      <c r="L799" s="712" t="b">
        <f ca="1">IF(AND('Start here'!$C$26=RefData!$B$10,'Covenant summary information'!$C$85=0,'Reconciliation report'!$E799&lt;&gt;""),ErrorMsgs!$C799)</f>
        <v>0</v>
      </c>
      <c r="M799" s="712" t="b">
        <f ca="1">IF(AND('Start here'!$C$26=RefData!$B$10,'Covenant summary information'!$C$85&lt;1,'Reconciliation report'!$E799&lt;&gt;""),ErrorMsgs!$D799)</f>
        <v>0</v>
      </c>
      <c r="N799" s="712" t="b">
        <f ca="1">IF(AND('Start here'!$C$26=RefData!$B$10,'Covenant summary information'!$C$85&gt;=1,'Reconciliation report'!$E799=""),ErrorMsgs!$E799)</f>
        <v>0</v>
      </c>
      <c r="O799" s="712" t="b">
        <f ca="1">IF($E799="",FALSE,IF(ISNA(MATCH($E799,RefData!$B$204:$B$205,0)),ErrorMsgs!$F799))</f>
        <v>0</v>
      </c>
      <c r="P799" s="712"/>
      <c r="Q799" s="712"/>
      <c r="R799" s="712"/>
      <c r="S799" s="712"/>
      <c r="T799" s="712"/>
      <c r="U799" s="526" t="str">
        <f t="shared" ca="1" si="109"/>
        <v/>
      </c>
      <c r="V799" s="93" t="str" cm="1">
        <f t="array" aca="1" ref="V799" ca="1">CELL("format",INDIRECT(I799))</f>
        <v>G</v>
      </c>
      <c r="W799" s="93" t="b">
        <f t="shared" ca="1" si="110"/>
        <v>0</v>
      </c>
      <c r="X799" s="715" t="str">
        <f t="shared" ca="1" si="108"/>
        <v/>
      </c>
      <c r="Y799" t="b">
        <f t="shared" ca="1" si="111"/>
        <v>1</v>
      </c>
    </row>
    <row r="800" spans="1:25" ht="77.5">
      <c r="A800" s="705" t="s">
        <v>1246</v>
      </c>
      <c r="B800" s="716" t="str">
        <f t="shared" ca="1" si="113"/>
        <v>Other contingent assets - C23</v>
      </c>
      <c r="C800" s="707" t="str" cm="1">
        <f t="array" aca="1" ref="C800" ca="1">INDIRECT(LEFT(I800, FIND("!", I800)) &amp; RefData!$C$426 &amp; RIGHT(I800, LEN(I800) - FIND("!", I800) - 1))</f>
        <v xml:space="preserve">
No answer required
Crystallisation of investment risk
</v>
      </c>
      <c r="D800" s="92" t="str">
        <f t="shared" ca="1" si="112"/>
        <v/>
      </c>
      <c r="E800" s="708" t="str" cm="1">
        <f t="array" aca="1" ref="E800" ca="1">IF(INDIRECT($I800)= "", "", INDIRECT($I800))</f>
        <v/>
      </c>
      <c r="F800" s="709" t="str" cm="1">
        <f t="array" aca="1" ref="F800" ca="1">INDIRECT(LEFT(I800, FIND("!", I800)) &amp; RefData!$C$427 &amp; RIGHT(I800, LEN(I800) - FIND("!", I800) - 1))</f>
        <v>OA 14.0/1</v>
      </c>
      <c r="G800" s="710" t="b">
        <f ca="1">IF(ISNUMBER(SEARCH(RefData!$B$2, $C800)), FALSE, TRUE)</f>
        <v>0</v>
      </c>
      <c r="H800" s="113">
        <f>'Other contingent assets'!C23</f>
        <v>0</v>
      </c>
      <c r="I800" s="712" t="str">
        <f t="shared" ca="1" si="114"/>
        <v>'Other contingent assets'!C23</v>
      </c>
      <c r="J800" s="713" t="b" cm="1">
        <f t="array" aca="1" ref="J800" ca="1">IF(
    ISNUMBER(SEARCH(RefData!$B$2, $C$476)),
    IF(
        $E800 &lt;&gt; "",
        $J$476,
        IF(
            $E800 = "",
            FALSE
        )
    ),
    IF(
        COUNTIF($K800:$T800, "&lt;&gt;FALSE") - COUNTBLANK($K800:$T800) &gt; 0,
        INDEX($K800:$T800, MATCH(TRUE, $K800:$T800 &lt;&gt; FALSE, 0))
    )
)</f>
        <v>0</v>
      </c>
      <c r="K800" s="712" t="b">
        <f ca="1">IF(AND(E800&lt;&gt;"",'Start here'!$C$26=RefData!$B$9),ErrorMsgs!$B800)</f>
        <v>0</v>
      </c>
      <c r="L800" s="712" t="b">
        <f ca="1">IF(AND('Start here'!$C$26=RefData!$B$10,'Covenant summary information'!$C$85=0,'Reconciliation report'!$E800&lt;&gt;""),ErrorMsgs!$C800)</f>
        <v>0</v>
      </c>
      <c r="M800" s="712" t="b">
        <f ca="1">IF(AND('Start here'!$C$26=RefData!$B$10,'Covenant summary information'!$C$85&lt;1,'Reconciliation report'!$E800&lt;&gt;""),ErrorMsgs!$D800)</f>
        <v>0</v>
      </c>
      <c r="N800" s="712" t="b">
        <f ca="1">IF(AND('Start here'!$C$26=RefData!$B$10,'Covenant summary information'!$C$85&gt;=1,'Reconciliation report'!$E800=""),ErrorMsgs!$E800)</f>
        <v>0</v>
      </c>
      <c r="O800" s="712" t="b">
        <f ca="1">IF($E800="",FALSE,IF(ISNA(MATCH($E800,RefData!$B$204:$B$205,0)),ErrorMsgs!$F800))</f>
        <v>0</v>
      </c>
      <c r="P800" s="712"/>
      <c r="Q800" s="712"/>
      <c r="R800" s="712"/>
      <c r="S800" s="712"/>
      <c r="T800" s="712"/>
      <c r="U800" s="526" t="str">
        <f t="shared" ca="1" si="109"/>
        <v/>
      </c>
      <c r="V800" s="93" t="str" cm="1">
        <f t="array" aca="1" ref="V800" ca="1">CELL("format",INDIRECT(I800))</f>
        <v>G</v>
      </c>
      <c r="W800" s="93" t="b">
        <f t="shared" ca="1" si="110"/>
        <v>0</v>
      </c>
      <c r="X800" s="715" t="str">
        <f t="shared" ca="1" si="108"/>
        <v/>
      </c>
      <c r="Y800" t="b">
        <f t="shared" ca="1" si="111"/>
        <v>1</v>
      </c>
    </row>
    <row r="801" spans="1:25" ht="77.5">
      <c r="A801" s="705" t="s">
        <v>1248</v>
      </c>
      <c r="B801" s="716" t="str">
        <f t="shared" ca="1" si="113"/>
        <v>Other contingent assets - C24</v>
      </c>
      <c r="C801" s="707" t="str" cm="1">
        <f t="array" aca="1" ref="C801" ca="1">INDIRECT(LEFT(I801, FIND("!", I801)) &amp; RefData!$C$426 &amp; RIGHT(I801, LEN(I801) - FIND("!", I801) - 1))</f>
        <v xml:space="preserve">
No answer required
Other
</v>
      </c>
      <c r="D801" s="92" t="str">
        <f t="shared" ca="1" si="112"/>
        <v/>
      </c>
      <c r="E801" s="708" t="str" cm="1">
        <f t="array" aca="1" ref="E801" ca="1">IF(INDIRECT($I801)= "", "", INDIRECT($I801))</f>
        <v/>
      </c>
      <c r="F801" s="709" t="str" cm="1">
        <f t="array" aca="1" ref="F801" ca="1">INDIRECT(LEFT(I801, FIND("!", I801)) &amp; RefData!$C$427 &amp; RIGHT(I801, LEN(I801) - FIND("!", I801) - 1))</f>
        <v>OA 15.0/1</v>
      </c>
      <c r="G801" s="710" t="b">
        <f ca="1">IF(ISNUMBER(SEARCH(RefData!$B$2, $C801)), FALSE, TRUE)</f>
        <v>0</v>
      </c>
      <c r="H801" s="113">
        <f>'Other contingent assets'!C24</f>
        <v>0</v>
      </c>
      <c r="I801" s="712" t="str">
        <f t="shared" ca="1" si="114"/>
        <v>'Other contingent assets'!C24</v>
      </c>
      <c r="J801" s="713" t="b" cm="1">
        <f t="array" aca="1" ref="J801" ca="1">IF(
    ISNUMBER(SEARCH(RefData!$B$2, $C$476)),
    IF(
        $E801 &lt;&gt; "",
        $J$476,
        IF(
            $E801 = "",
            FALSE
        )
    ),
    IF(
        COUNTIF($K801:$T801, "&lt;&gt;FALSE") - COUNTBLANK($K801:$T801) &gt; 0,
        INDEX($K801:$T801, MATCH(TRUE, $K801:$T801 &lt;&gt; FALSE, 0))
    )
)</f>
        <v>0</v>
      </c>
      <c r="K801" s="712" t="b">
        <f ca="1">IF(AND(E801&lt;&gt;"",'Start here'!$C$26=RefData!$B$9),ErrorMsgs!$B801)</f>
        <v>0</v>
      </c>
      <c r="L801" s="712" t="b">
        <f ca="1">IF(AND('Start here'!$C$26=RefData!$B$10,'Covenant summary information'!$C$85=0,'Reconciliation report'!$E801&lt;&gt;""),ErrorMsgs!$C801)</f>
        <v>0</v>
      </c>
      <c r="M801" s="712" t="b">
        <f ca="1">IF(AND('Start here'!$C$26=RefData!$B$10,'Covenant summary information'!$C$85&lt;1,'Reconciliation report'!$E801&lt;&gt;""),ErrorMsgs!$D801)</f>
        <v>0</v>
      </c>
      <c r="N801" s="712" t="b">
        <f ca="1">IF(AND('Start here'!$C$26=RefData!$B$10,'Covenant summary information'!$C$85&gt;=1,'Reconciliation report'!$E801=""),ErrorMsgs!$E801)</f>
        <v>0</v>
      </c>
      <c r="O801" s="712" t="b">
        <f ca="1">IF($E801="",FALSE,IF(ISNA(MATCH($E801,RefData!$B$204:$B$205,0)),ErrorMsgs!$F801))</f>
        <v>0</v>
      </c>
      <c r="P801" s="712"/>
      <c r="Q801" s="712"/>
      <c r="R801" s="712"/>
      <c r="S801" s="712"/>
      <c r="T801" s="712"/>
      <c r="U801" s="526" t="str">
        <f t="shared" ca="1" si="109"/>
        <v/>
      </c>
      <c r="V801" s="93" t="str" cm="1">
        <f t="array" aca="1" ref="V801" ca="1">CELL("format",INDIRECT(I801))</f>
        <v>G</v>
      </c>
      <c r="W801" s="93" t="b">
        <f t="shared" ca="1" si="110"/>
        <v>0</v>
      </c>
      <c r="X801" s="715" t="str">
        <f t="shared" ca="1" si="108"/>
        <v/>
      </c>
      <c r="Y801" t="b">
        <f t="shared" ca="1" si="111"/>
        <v>1</v>
      </c>
    </row>
    <row r="802" spans="1:25" ht="77.5">
      <c r="A802" s="705" t="s">
        <v>1250</v>
      </c>
      <c r="B802" s="716" t="str">
        <f t="shared" ca="1" si="113"/>
        <v>Other contingent assets - C25</v>
      </c>
      <c r="C802" s="707" t="str" cm="1">
        <f t="array" aca="1" ref="C802" ca="1">INDIRECT(LEFT(I802, FIND("!", I802)) &amp; RefData!$C$426 &amp; RIGHT(I802, LEN(I802) - FIND("!", I802) - 1))</f>
        <v xml:space="preserve">
No answer required
Narrative regarding triggers for access to value
</v>
      </c>
      <c r="D802" s="92" t="str">
        <f t="shared" ca="1" si="112"/>
        <v/>
      </c>
      <c r="E802" s="708" t="str" cm="1">
        <f t="array" aca="1" ref="E802" ca="1">IF(INDIRECT($I802)= "", "", INDIRECT($I802))</f>
        <v/>
      </c>
      <c r="F802" s="709" t="str" cm="1">
        <f t="array" aca="1" ref="F802" ca="1">INDIRECT(LEFT(I802, FIND("!", I802)) &amp; RefData!$C$427 &amp; RIGHT(I802, LEN(I802) - FIND("!", I802) - 1))</f>
        <v>OA 16.0/1</v>
      </c>
      <c r="G802" s="710" t="b">
        <f ca="1">IF(ISNUMBER(SEARCH(RefData!$B$2, $C802)), FALSE, TRUE)</f>
        <v>0</v>
      </c>
      <c r="H802" s="113">
        <f>'Other contingent assets'!C25</f>
        <v>0</v>
      </c>
      <c r="I802" s="712" t="str">
        <f t="shared" ca="1" si="114"/>
        <v>'Other contingent assets'!C25</v>
      </c>
      <c r="J802" s="713" t="b" cm="1">
        <f t="array" aca="1" ref="J802" ca="1">IF(
    ISNUMBER(SEARCH(RefData!$B$2, $C$476)),
    IF(
        $E802 &lt;&gt; "",
        $J$476,
        IF(
            $E802 = "",
            FALSE
        )
    ),
    IF(
        COUNTIF($K802:$T802, "&lt;&gt;FALSE") - COUNTBLANK($K802:$T802) &gt; 0,
        INDEX($K802:$T802, MATCH(TRUE, $K802:$T802 &lt;&gt; FALSE, 0))
    )
)</f>
        <v>0</v>
      </c>
      <c r="K802" s="712" t="b">
        <f ca="1">IF(AND($E802&lt;&gt;"",'Start here'!$C$26=RefData!$B$9),ErrorMsgs!$B802)</f>
        <v>0</v>
      </c>
      <c r="L802" s="712" t="b">
        <f ca="1">IF(AND('Start here'!$C$26=RefData!$B$10,'Covenant summary information'!$C$85=0,'Reconciliation report'!$E802&lt;&gt;""),ErrorMsgs!$C802)</f>
        <v>0</v>
      </c>
      <c r="M802" s="712" t="b">
        <f ca="1">IF(AND('Start here'!$C$26=RefData!$B$10,'Covenant summary information'!$C$85&lt;1,'Reconciliation report'!$E802&lt;&gt;""),ErrorMsgs!$D802)</f>
        <v>0</v>
      </c>
      <c r="N802" s="712" t="b">
        <f ca="1">IF(AND('Start here'!$C$26=RefData!$B$10,'Covenant summary information'!$C$85&gt;=1,'Reconciliation report'!$E802&lt;&gt;"",'Other contingent assets'!$C$24&lt;&gt;RefData!$B$204),ErrorMsgs!$E802)</f>
        <v>0</v>
      </c>
      <c r="O802" s="712" t="b">
        <f ca="1">IF(AND('Start here'!$C$26=RefData!$B$10,'Covenant summary information'!$C$85&gt;=1,'Reconciliation report'!$E802="",'Other contingent assets'!$C$24=RefData!$B$204),ErrorMsgs!$F802)</f>
        <v>0</v>
      </c>
      <c r="P802" s="712" t="b">
        <f ca="1">IF(LEN($E802)&gt;4000,ErrorMsgs!$G802)</f>
        <v>0</v>
      </c>
      <c r="Q802" s="712"/>
      <c r="R802" s="712"/>
      <c r="S802" s="712"/>
      <c r="T802" s="712"/>
      <c r="U802" s="526" t="str">
        <f t="shared" ca="1" si="109"/>
        <v/>
      </c>
      <c r="V802" s="93" t="str" cm="1">
        <f t="array" aca="1" ref="V802" ca="1">CELL("format",INDIRECT(I802))</f>
        <v>G</v>
      </c>
      <c r="W802" s="93" t="b">
        <f t="shared" ca="1" si="110"/>
        <v>0</v>
      </c>
      <c r="X802" s="715" t="str">
        <f t="shared" ca="1" si="108"/>
        <v/>
      </c>
      <c r="Y802" t="b">
        <f t="shared" ca="1" si="111"/>
        <v>1</v>
      </c>
    </row>
    <row r="803" spans="1:25" ht="77.5">
      <c r="A803" s="705" t="s">
        <v>1252</v>
      </c>
      <c r="B803" s="716" t="str">
        <f t="shared" ca="1" si="113"/>
        <v>Other contingent assets - C26</v>
      </c>
      <c r="C803" s="707" t="str" cm="1">
        <f t="array" aca="1" ref="C803" ca="1">INDIRECT(LEFT(I803, FIND("!", I803)) &amp; RefData!$C$426 &amp; RIGHT(I803, LEN(I803) - FIND("!", I803) - 1))</f>
        <v xml:space="preserve">
No answer required
Triggers for termination
</v>
      </c>
      <c r="D803" s="92" t="str">
        <f t="shared" ca="1" si="112"/>
        <v/>
      </c>
      <c r="E803" s="708" t="str" cm="1">
        <f t="array" aca="1" ref="E803" ca="1">IF(INDIRECT($I803)= "", "", INDIRECT($I803))</f>
        <v/>
      </c>
      <c r="F803" s="709" t="str" cm="1">
        <f t="array" aca="1" ref="F803" ca="1">INDIRECT(LEFT(I803, FIND("!", I803)) &amp; RefData!$C$427 &amp; RIGHT(I803, LEN(I803) - FIND("!", I803) - 1))</f>
        <v>OA 17.0/1</v>
      </c>
      <c r="G803" s="710" t="b">
        <f ca="1">IF(ISNUMBER(SEARCH(RefData!$B$2, $C803)), FALSE, TRUE)</f>
        <v>0</v>
      </c>
      <c r="H803" s="113">
        <f>'Other contingent assets'!C26</f>
        <v>0</v>
      </c>
      <c r="I803" s="712" t="str">
        <f t="shared" ca="1" si="114"/>
        <v>'Other contingent assets'!C26</v>
      </c>
      <c r="J803" s="713" t="b" cm="1">
        <f t="array" aca="1" ref="J803" ca="1">IF(
    ISNUMBER(SEARCH(RefData!$B$2, $C$476)),
    IF(
        $E803 &lt;&gt; "",
        $J$476,
        IF(
            $E803 = "",
            FALSE
        )
    ),
    IF(
        COUNTIF($K803:$T803, "&lt;&gt;FALSE") - COUNTBLANK($K803:$T803) &gt; 0,
        INDEX($K803:$T803, MATCH(TRUE, $K803:$T803 &lt;&gt; FALSE, 0))
    )
)</f>
        <v>0</v>
      </c>
      <c r="K803" s="712" t="b">
        <f ca="1">IF(AND($E803&lt;&gt;"",'Start here'!$C$26=RefData!$B$9),ErrorMsgs!$B803)</f>
        <v>0</v>
      </c>
      <c r="L803" s="712" t="b">
        <f ca="1">IF(AND('Start here'!$C$26=RefData!$B$10,'Covenant summary information'!$C$85=0,'Reconciliation report'!$E803&lt;&gt;""),ErrorMsgs!$C803)</f>
        <v>0</v>
      </c>
      <c r="M803" s="712" t="b">
        <f ca="1">IF(AND('Start here'!$C$26=RefData!$B$10,'Covenant summary information'!$C$85&lt;1,'Reconciliation report'!$E803&lt;&gt;""),ErrorMsgs!$D803)</f>
        <v>0</v>
      </c>
      <c r="N803" s="712" t="b">
        <f ca="1">IF(AND('Start here'!$C$26=RefData!$B$10,'Covenant summary information'!$C$85&gt;=1,'Reconciliation report'!$E803=""),ErrorMsgs!$E803)</f>
        <v>0</v>
      </c>
      <c r="O803" s="712" t="b">
        <f ca="1">IF(LEN($E803)&gt;4000,ErrorMsgs!$F803)</f>
        <v>0</v>
      </c>
      <c r="P803" s="712"/>
      <c r="Q803" s="712"/>
      <c r="R803" s="712"/>
      <c r="S803" s="712"/>
      <c r="T803" s="712"/>
      <c r="U803" s="526" t="str">
        <f t="shared" ca="1" si="109"/>
        <v/>
      </c>
      <c r="V803" s="93" t="str" cm="1">
        <f t="array" aca="1" ref="V803" ca="1">CELL("format",INDIRECT(I803))</f>
        <v>G</v>
      </c>
      <c r="W803" s="93" t="b">
        <f t="shared" ca="1" si="110"/>
        <v>0</v>
      </c>
      <c r="X803" s="715" t="str">
        <f t="shared" ca="1" si="108"/>
        <v/>
      </c>
      <c r="Y803" t="b">
        <f t="shared" ca="1" si="111"/>
        <v>1</v>
      </c>
    </row>
    <row r="804" spans="1:25" ht="77.5">
      <c r="A804" s="705" t="s">
        <v>1255</v>
      </c>
      <c r="B804" s="716" t="str">
        <f t="shared" ca="1" si="113"/>
        <v>Other contingent assets - C30</v>
      </c>
      <c r="C804" s="707" t="str" cm="1">
        <f t="array" aca="1" ref="C804" ca="1">INDIRECT(LEFT(I804, FIND("!", I804)) &amp; RefData!$C$426 &amp; RIGHT(I804, LEN(I804) - FIND("!", I804) - 1))</f>
        <v xml:space="preserve">
No answer required
What is the type of contingent asset?
</v>
      </c>
      <c r="D804" s="92" t="str">
        <f t="shared" ref="D804:D820" ca="1" si="115">""&amp;IF(J804=FALSE, "", J804)
&amp;""</f>
        <v/>
      </c>
      <c r="E804" s="708" t="str" cm="1">
        <f t="array" aca="1" ref="E804" ca="1">IF(INDIRECT($I804)= "", "", INDIRECT($I804))</f>
        <v/>
      </c>
      <c r="F804" s="709" t="str" cm="1">
        <f t="array" aca="1" ref="F804" ca="1">INDIRECT(LEFT(I804, FIND("!", I804)) &amp; RefData!$C$427 &amp; RIGHT(I804, LEN(I804) - FIND("!", I804) - 1))</f>
        <v>OA 1.0/2</v>
      </c>
      <c r="G804" s="710" t="b">
        <f ca="1">IF(ISNUMBER(SEARCH(RefData!$B$2, $C804)), FALSE, TRUE)</f>
        <v>0</v>
      </c>
      <c r="H804" s="113">
        <f>'Other contingent assets'!C30</f>
        <v>0</v>
      </c>
      <c r="I804" s="712" t="str">
        <f t="shared" ca="1" si="114"/>
        <v>'Other contingent assets'!C30</v>
      </c>
      <c r="J804" s="713" t="b" cm="1">
        <f t="array" aca="1" ref="J804" ca="1">IF(
    ISNUMBER(SEARCH(RefData!$B$2, $C$476)),
    IF(
        $E804 &lt;&gt; "",
        $J$476,
        IF(
            $E804 = "",
            FALSE
        )
    ),
    IF(
        COUNTIF($K804:$T804, "&lt;&gt;FALSE") - COUNTBLANK($K804:$T804) &gt; 0,
        INDEX($K804:$T804, MATCH(TRUE, $K804:$T804 &lt;&gt; FALSE, 0))
    )
)</f>
        <v>0</v>
      </c>
      <c r="K804" s="712" t="b">
        <f ca="1">IF(AND('Covenant summary information'!$C$85=0,$E804&lt;&gt;""),ErrorMsgs!$B804)</f>
        <v>0</v>
      </c>
      <c r="L804" s="712" t="b">
        <f ca="1">IF(AND('Covenant summary information'!$C$85&lt;2,$E804&lt;&gt;""),ErrorMsgs!$C804)</f>
        <v>0</v>
      </c>
      <c r="M804" s="712" t="b">
        <f ca="1">IF(AND($E804="",'Covenant summary information'!$C$85&gt;=2),ErrorMsgs!$D804)</f>
        <v>0</v>
      </c>
      <c r="N804" s="712" t="b">
        <f ca="1">IF(AND('Covenant summary information'!$C$85&gt;=2,ISNA(MATCH($E804,RefData!$B$161:$B$165, 0))),ErrorMsgs!$E804)</f>
        <v>0</v>
      </c>
      <c r="O804" s="712"/>
      <c r="P804" s="712"/>
      <c r="Q804" s="712"/>
      <c r="R804" s="712"/>
      <c r="S804" s="712"/>
      <c r="T804" s="712"/>
      <c r="U804" s="526" t="str">
        <f t="shared" ca="1" si="109"/>
        <v/>
      </c>
      <c r="V804" s="93" t="str" cm="1">
        <f t="array" aca="1" ref="V804" ca="1">CELL("format",INDIRECT(I804))</f>
        <v>G</v>
      </c>
      <c r="W804" s="93" t="b">
        <f t="shared" ca="1" si="110"/>
        <v>0</v>
      </c>
      <c r="X804" s="715" t="str">
        <f t="shared" ca="1" si="108"/>
        <v/>
      </c>
      <c r="Y804" t="b">
        <f t="shared" ca="1" si="111"/>
        <v>1</v>
      </c>
    </row>
    <row r="805" spans="1:25" ht="77.5">
      <c r="A805" s="705" t="s">
        <v>1258</v>
      </c>
      <c r="B805" s="716" t="str">
        <f t="shared" ca="1" si="113"/>
        <v>Other contingent assets - C31</v>
      </c>
      <c r="C805" s="707" t="str" cm="1">
        <f t="array" aca="1" ref="C805" ca="1">INDIRECT(LEFT(I805, FIND("!", I805)) &amp; RefData!$C$426 &amp; RIGHT(I805, LEN(I805) - FIND("!", I805) - 1))</f>
        <v xml:space="preserve">
No answer required
Provide specific details of the contingent asset
</v>
      </c>
      <c r="D805" s="92" t="str">
        <f t="shared" ca="1" si="115"/>
        <v/>
      </c>
      <c r="E805" s="708" t="str" cm="1">
        <f t="array" aca="1" ref="E805" ca="1">IF(INDIRECT($I805)= "", "", INDIRECT($I805))</f>
        <v/>
      </c>
      <c r="F805" s="709" t="str" cm="1">
        <f t="array" aca="1" ref="F805" ca="1">INDIRECT(LEFT(I805, FIND("!", I805)) &amp; RefData!$C$427 &amp; RIGHT(I805, LEN(I805) - FIND("!", I805) - 1))</f>
        <v>OA 2.0/2</v>
      </c>
      <c r="G805" s="710" t="b">
        <f ca="1">IF(ISNUMBER(SEARCH(RefData!$B$2, $C805)), FALSE, TRUE)</f>
        <v>0</v>
      </c>
      <c r="H805" s="113">
        <f>'Other contingent assets'!C31</f>
        <v>0</v>
      </c>
      <c r="I805" s="712" t="str">
        <f t="shared" ca="1" si="114"/>
        <v>'Other contingent assets'!C31</v>
      </c>
      <c r="J805" s="713" t="b" cm="1">
        <f t="array" aca="1" ref="J805" ca="1">IF(
    ISNUMBER(SEARCH(RefData!$B$2, $C$476)),
    IF(
        $E805 &lt;&gt; "",
        $J$476,
        IF(
            $E805 = "",
            FALSE
        )
    ),
    IF(
        COUNTIF($K805:$T805, "&lt;&gt;FALSE") - COUNTBLANK($K805:$T805) &gt; 0,
        INDEX($K805:$T805, MATCH(TRUE, $K805:$T805 &lt;&gt; FALSE, 0))
    )
)</f>
        <v>0</v>
      </c>
      <c r="K805" s="712" t="b">
        <f ca="1">IF(AND('Covenant summary information'!$C$85=0,$E805&lt;&gt;""),ErrorMsgs!$B805)</f>
        <v>0</v>
      </c>
      <c r="L805" s="712" t="b">
        <f ca="1">IF(AND('Covenant summary information'!$C$85&lt;2,'Reconciliation report'!$E805&lt;&gt;""),ErrorMsgs!$C805)</f>
        <v>0</v>
      </c>
      <c r="M805" s="712" t="b">
        <f ca="1">IF(AND('Covenant summary information'!$C$85&gt;=2,'Reconciliation report'!$E805&lt;&gt;"",NOT(OR($E804=RefData!$B$165,$E804=RefData!$B$164))),ErrorMsgs!$D805)</f>
        <v>0</v>
      </c>
      <c r="N805" s="712" t="b">
        <f ca="1">IF(AND('Covenant summary information'!$C$85&gt;=2,'Reconciliation report'!$E805="",OR($E804=RefData!$B$165,$E804=RefData!$B$164)),ErrorMsgs!$E805)</f>
        <v>0</v>
      </c>
      <c r="O805" s="712" t="b">
        <f ca="1">IF(LEN($E805)&gt;4000,ErrorMsgs!$F805)</f>
        <v>0</v>
      </c>
      <c r="P805" s="712"/>
      <c r="Q805" s="712"/>
      <c r="R805" s="712"/>
      <c r="S805" s="712"/>
      <c r="T805" s="712"/>
      <c r="U805" s="526" t="str">
        <f t="shared" ca="1" si="109"/>
        <v/>
      </c>
      <c r="V805" s="93" t="str" cm="1">
        <f t="array" aca="1" ref="V805" ca="1">CELL("format",INDIRECT(I805))</f>
        <v>G</v>
      </c>
      <c r="W805" s="93" t="b">
        <f t="shared" ca="1" si="110"/>
        <v>0</v>
      </c>
      <c r="X805" s="715" t="str">
        <f t="shared" ca="1" si="108"/>
        <v/>
      </c>
      <c r="Y805" t="b">
        <f t="shared" ca="1" si="111"/>
        <v>1</v>
      </c>
    </row>
    <row r="806" spans="1:25" ht="77.5">
      <c r="A806" s="705" t="s">
        <v>1260</v>
      </c>
      <c r="B806" s="716" t="str">
        <f t="shared" ca="1" si="113"/>
        <v>Other contingent assets - C32</v>
      </c>
      <c r="C806" s="707" t="str" cm="1">
        <f t="array" aca="1" ref="C806" ca="1">INDIRECT(LEFT(I806, FIND("!", I806)) &amp; RefData!$C$426 &amp; RIGHT(I806, LEN(I806) - FIND("!", I806) - 1))</f>
        <v xml:space="preserve">
No answer required
Maturity type
</v>
      </c>
      <c r="D806" s="92" t="str">
        <f t="shared" ca="1" si="115"/>
        <v/>
      </c>
      <c r="E806" s="708" t="str" cm="1">
        <f t="array" aca="1" ref="E806" ca="1">IF(INDIRECT($I806)= "", "", INDIRECT($I806))</f>
        <v/>
      </c>
      <c r="F806" s="709" t="str" cm="1">
        <f t="array" aca="1" ref="F806" ca="1">INDIRECT(LEFT(I806, FIND("!", I806)) &amp; RefData!$C$427 &amp; RIGHT(I806, LEN(I806) - FIND("!", I806) - 1))</f>
        <v>OA 3.0/2</v>
      </c>
      <c r="G806" s="710" t="b">
        <f ca="1">IF(ISNUMBER(SEARCH(RefData!$B$2, $C806)), FALSE, TRUE)</f>
        <v>0</v>
      </c>
      <c r="H806" s="113">
        <f>'Other contingent assets'!C32</f>
        <v>0</v>
      </c>
      <c r="I806" s="712" t="str">
        <f t="shared" ca="1" si="114"/>
        <v>'Other contingent assets'!C32</v>
      </c>
      <c r="J806" s="713" t="b" cm="1">
        <f t="array" aca="1" ref="J806" ca="1">IF(
    ISNUMBER(SEARCH(RefData!$B$2, $C$476)),
    IF(
        $E806 &lt;&gt; "",
        $J$476,
        IF(
            $E806 = "",
            FALSE
        )
    ),
    IF(
        COUNTIF($K806:$T806, "&lt;&gt;FALSE") - COUNTBLANK($K806:$T806) &gt; 0,
        INDEX($K806:$T806, MATCH(TRUE, $K806:$T806 &lt;&gt; FALSE, 0))
    )
)</f>
        <v>0</v>
      </c>
      <c r="K806" s="712" t="b">
        <f ca="1">IF(AND('Start here'!$C$26=RefData!$B$9,$E806&lt;&gt;""),ErrorMsgs!$B806)</f>
        <v>0</v>
      </c>
      <c r="L806" s="712" t="b">
        <f ca="1">IF(AND('Start here'!$C$26=RefData!$B$10,'Covenant summary information'!$C$85=0,'Reconciliation report'!$E806&lt;&gt;""),ErrorMsgs!$C806)</f>
        <v>0</v>
      </c>
      <c r="M806" s="712" t="b">
        <f ca="1">IF(AND('Start here'!$C$26=RefData!$B$10,'Covenant summary information'!$C$85&lt;2,'Reconciliation report'!$E806&lt;&gt;""),ErrorMsgs!$D806)</f>
        <v>0</v>
      </c>
      <c r="N806" s="712" t="b">
        <f ca="1">IF(AND('Start here'!$C$26=RefData!$B$10,'Covenant summary information'!$C$85&gt;=2,'Reconciliation report'!$E806=""),ErrorMsgs!$E806)</f>
        <v>0</v>
      </c>
      <c r="O806" s="712" t="b">
        <f ca="1">IF($E806="",FALSE,IF(ISNA(MATCH($E806,RefData!$B$166:$B$168,0)),ErrorMsgs!$F806))</f>
        <v>0</v>
      </c>
      <c r="P806" s="712"/>
      <c r="Q806" s="712"/>
      <c r="R806" s="712"/>
      <c r="S806" s="712"/>
      <c r="T806" s="712"/>
      <c r="U806" s="526" t="str">
        <f t="shared" ca="1" si="109"/>
        <v/>
      </c>
      <c r="V806" s="93" t="str" cm="1">
        <f t="array" aca="1" ref="V806" ca="1">CELL("format",INDIRECT(I806))</f>
        <v>G</v>
      </c>
      <c r="W806" s="93" t="b">
        <f t="shared" ca="1" si="110"/>
        <v>0</v>
      </c>
      <c r="X806" s="715" t="str">
        <f t="shared" ca="1" si="108"/>
        <v/>
      </c>
      <c r="Y806" t="b">
        <f t="shared" ca="1" si="111"/>
        <v>1</v>
      </c>
    </row>
    <row r="807" spans="1:25" ht="77.5">
      <c r="A807" s="705" t="s">
        <v>1262</v>
      </c>
      <c r="B807" s="716" t="str">
        <f t="shared" ca="1" si="113"/>
        <v>Other contingent assets - C33</v>
      </c>
      <c r="C807" s="707" t="str" cm="1">
        <f t="array" aca="1" ref="C807" ca="1">INDIRECT(LEFT(I807, FIND("!", I807)) &amp; RefData!$C$426 &amp; RIGHT(I807, LEN(I807) - FIND("!", I807) - 1))</f>
        <v xml:space="preserve">
No answer required
Date of Maturity
</v>
      </c>
      <c r="D807" s="92" t="str">
        <f t="shared" ca="1" si="115"/>
        <v/>
      </c>
      <c r="E807" s="708" t="str" cm="1">
        <f t="array" aca="1" ref="E807" ca="1">IF(INDIRECT($I807)= "", "", INDIRECT($I807))</f>
        <v/>
      </c>
      <c r="F807" s="709" t="str" cm="1">
        <f t="array" aca="1" ref="F807" ca="1">INDIRECT(LEFT(I807, FIND("!", I807)) &amp; RefData!$C$427 &amp; RIGHT(I807, LEN(I807) - FIND("!", I807) - 1))</f>
        <v>OA 4.0/2</v>
      </c>
      <c r="G807" s="710" t="b">
        <f ca="1">IF(ISNUMBER(SEARCH(RefData!$B$2, $C807)), FALSE, TRUE)</f>
        <v>0</v>
      </c>
      <c r="H807" s="391">
        <f>'Other contingent assets'!C33</f>
        <v>0</v>
      </c>
      <c r="I807" s="712" t="str">
        <f t="shared" ca="1" si="114"/>
        <v>'Other contingent assets'!C33</v>
      </c>
      <c r="J807" s="713" t="b" cm="1">
        <f t="array" aca="1" ref="J807" ca="1">IF(
    ISNUMBER(SEARCH(RefData!$B$2, $C$476)),
    IF(
        $E807 &lt;&gt; "",
        $J$476,
        IF(
            $E807 = "",
            FALSE
        )
    ),
    IF(
        COUNTIF($K807:$T807, "&lt;&gt;FALSE") - COUNTBLANK($K807:$T807) &gt; 0,
        INDEX($K807:$T807, MATCH(TRUE, $K807:$T807 &lt;&gt; FALSE, 0))
    )
)</f>
        <v>0</v>
      </c>
      <c r="K807" s="712" t="b">
        <f ca="1">IF(AND($E807&lt;&gt;"",'Start here'!$C$26=RefData!$B$9),ErrorMsgs!$B807)</f>
        <v>0</v>
      </c>
      <c r="L807" s="712" t="b">
        <f ca="1">IF(AND('Start here'!$C$26=RefData!$B$10,'Covenant summary information'!$C$85=0,'Reconciliation report'!$E807&lt;&gt;""),ErrorMsgs!$C807)</f>
        <v>0</v>
      </c>
      <c r="M807" s="712" t="b">
        <f ca="1">IF(AND('Start here'!$C$26=RefData!$B$10,'Covenant summary information'!$C$85&lt;2,'Reconciliation report'!$E807&lt;&gt;""),ErrorMsgs!$D807)</f>
        <v>0</v>
      </c>
      <c r="N807" s="712" t="b">
        <f ca="1">IF(AND('Start here'!$C$26=RefData!$B$10,'Covenant summary information'!$C$85&gt;=2,'Reconciliation report'!$E807&lt;&gt;"",OR($E806=RefData!$B$166,$E806=RefData!$B$168)),ErrorMsgs!$E807)</f>
        <v>0</v>
      </c>
      <c r="O807" s="712" t="b">
        <f ca="1">IF(AND('Start here'!$C$26=RefData!$B$10,'Covenant summary information'!$C$85&gt;=2,'Reconciliation report'!$E807="",$E806=RefData!$B$167),ErrorMsgs!$F807)</f>
        <v>0</v>
      </c>
      <c r="P807" s="712" t="b">
        <f ca="1">IF($E807="",FALSE,IF(NOT(ISNUMBER($E807)),ErrorMsgs!$G807))</f>
        <v>0</v>
      </c>
      <c r="Q807" s="712" t="b">
        <f ca="1">IF($E807&lt;'Start here'!$C$21,ErrorMsgs!$H807)</f>
        <v>0</v>
      </c>
      <c r="R807" s="712"/>
      <c r="S807" s="712"/>
      <c r="T807" s="712"/>
      <c r="U807" s="526" t="str">
        <f t="shared" ca="1" si="109"/>
        <v/>
      </c>
      <c r="V807" s="93" t="str" cm="1">
        <f t="array" aca="1" ref="V807" ca="1">CELL("format",INDIRECT(I807))</f>
        <v>D1</v>
      </c>
      <c r="W807" s="93" t="b">
        <f t="shared" ca="1" si="110"/>
        <v>0</v>
      </c>
      <c r="X807" s="715" t="str">
        <f t="shared" ca="1" si="108"/>
        <v/>
      </c>
      <c r="Y807" t="b">
        <f t="shared" ca="1" si="111"/>
        <v>1</v>
      </c>
    </row>
    <row r="808" spans="1:25" ht="77.5">
      <c r="A808" s="705" t="s">
        <v>1264</v>
      </c>
      <c r="B808" s="716" t="str">
        <f t="shared" ca="1" si="113"/>
        <v>Other contingent assets - C34</v>
      </c>
      <c r="C808" s="707" t="str" cm="1">
        <f t="array" aca="1" ref="C808" ca="1">INDIRECT(LEFT(I808, FIND("!", I808)) &amp; RefData!$C$426 &amp; RIGHT(I808, LEN(I808) - FIND("!", I808) - 1))</f>
        <v xml:space="preserve">
No answer required
Maturity date narrative
</v>
      </c>
      <c r="D808" s="92" t="str">
        <f t="shared" ca="1" si="115"/>
        <v/>
      </c>
      <c r="E808" s="708" t="str" cm="1">
        <f t="array" aca="1" ref="E808" ca="1">IF(INDIRECT($I808)= "", "", INDIRECT($I808))</f>
        <v/>
      </c>
      <c r="F808" s="709" t="str" cm="1">
        <f t="array" aca="1" ref="F808" ca="1">INDIRECT(LEFT(I808, FIND("!", I808)) &amp; RefData!$C$427 &amp; RIGHT(I808, LEN(I808) - FIND("!", I808) - 1))</f>
        <v>OA 5.0/2</v>
      </c>
      <c r="G808" s="710" t="b">
        <f ca="1">IF(ISNUMBER(SEARCH(RefData!$B$2, $C808)), FALSE, TRUE)</f>
        <v>0</v>
      </c>
      <c r="H808" s="113">
        <f>'Other contingent assets'!C34</f>
        <v>0</v>
      </c>
      <c r="I808" s="712" t="str">
        <f t="shared" ca="1" si="114"/>
        <v>'Other contingent assets'!C34</v>
      </c>
      <c r="J808" s="713" t="b" cm="1">
        <f t="array" aca="1" ref="J808" ca="1">IF(
    ISNUMBER(SEARCH(RefData!$B$2, $C$476)),
    IF(
        $E808 &lt;&gt; "",
        $J$476,
        IF(
            $E808 = "",
            FALSE
        )
    ),
    IF(
        COUNTIF($K808:$T808, "&lt;&gt;FALSE") - COUNTBLANK($K808:$T808) &gt; 0,
        INDEX($K808:$T808, MATCH(TRUE, $K808:$T808 &lt;&gt; FALSE, 0))
    )
)</f>
        <v>0</v>
      </c>
      <c r="K808" s="712" t="b">
        <f ca="1">IF(AND($E808&lt;&gt;"",'Start here'!$C$26=RefData!$B$9),ErrorMsgs!$B808)</f>
        <v>0</v>
      </c>
      <c r="L808" s="712" t="b">
        <f ca="1">IF(AND('Start here'!$C$26=RefData!$B$10,'Covenant summary information'!$C$85=0,'Reconciliation report'!$E808&lt;&gt;""),ErrorMsgs!$C808)</f>
        <v>0</v>
      </c>
      <c r="M808" s="712" t="b">
        <f ca="1">IF(AND('Start here'!$C$26=RefData!$B$10,'Covenant summary information'!$C$85&lt;2,'Reconciliation report'!$E808&lt;&gt;""),ErrorMsgs!$D808)</f>
        <v>0</v>
      </c>
      <c r="N808" s="712" t="b">
        <f ca="1">IF(AND('Start here'!$C$26=RefData!$B$10,'Covenant summary information'!$C$85&gt;=2,'Reconciliation report'!$E808&lt;&gt;"",$E806&lt;&gt;RefData!$B$168),ErrorMsgs!$E808)</f>
        <v>0</v>
      </c>
      <c r="O808" s="712" t="b">
        <f ca="1">IF(AND('Start here'!$C$26=RefData!$B$10,'Covenant summary information'!$C$85&gt;=2,'Reconciliation report'!$E808="",$E806=RefData!$B$168),ErrorMsgs!$F808)</f>
        <v>0</v>
      </c>
      <c r="P808" s="712" t="b">
        <f ca="1">IF(LEN($E808)&gt;4000,ErrorMsgs!$G808)</f>
        <v>0</v>
      </c>
      <c r="Q808" s="712"/>
      <c r="R808" s="712"/>
      <c r="S808" s="712"/>
      <c r="T808" s="712"/>
      <c r="U808" s="526" t="str">
        <f t="shared" ca="1" si="109"/>
        <v/>
      </c>
      <c r="V808" s="93" t="str" cm="1">
        <f t="array" aca="1" ref="V808" ca="1">CELL("format",INDIRECT(I808))</f>
        <v>G</v>
      </c>
      <c r="W808" s="93" t="b">
        <f t="shared" ca="1" si="110"/>
        <v>0</v>
      </c>
      <c r="X808" s="715" t="str">
        <f t="shared" ca="1" si="108"/>
        <v/>
      </c>
      <c r="Y808" t="b">
        <f t="shared" ca="1" si="111"/>
        <v>1</v>
      </c>
    </row>
    <row r="809" spans="1:25" ht="77.5">
      <c r="A809" s="705" t="s">
        <v>1266</v>
      </c>
      <c r="B809" s="716" t="str">
        <f t="shared" ca="1" si="113"/>
        <v>Other contingent assets - C35</v>
      </c>
      <c r="C809" s="707" t="str" cm="1">
        <f t="array" aca="1" ref="C809" ca="1">INDIRECT(LEFT(I809, FIND("!", I809)) &amp; RefData!$C$426 &amp; RIGHT(I809, LEN(I809) - FIND("!", I809) - 1))</f>
        <v xml:space="preserve">
No answer required
Value ascribed (£)
</v>
      </c>
      <c r="D809" s="92" t="str">
        <f t="shared" ca="1" si="115"/>
        <v/>
      </c>
      <c r="E809" s="708" t="str" cm="1">
        <f t="array" aca="1" ref="E809" ca="1">IF(INDIRECT($I809)= "", "", INDIRECT($I809))</f>
        <v/>
      </c>
      <c r="F809" s="709" t="str" cm="1">
        <f t="array" aca="1" ref="F809" ca="1">INDIRECT(LEFT(I809, FIND("!", I809)) &amp; RefData!$C$427 &amp; RIGHT(I809, LEN(I809) - FIND("!", I809) - 1))</f>
        <v>OA 6.0/2</v>
      </c>
      <c r="G809" s="710" t="b">
        <f ca="1">IF(ISNUMBER(SEARCH(RefData!$B$2, $C809)), FALSE, TRUE)</f>
        <v>0</v>
      </c>
      <c r="H809" s="96">
        <f>'Other contingent assets'!C35</f>
        <v>0</v>
      </c>
      <c r="I809" s="712" t="str">
        <f t="shared" ca="1" si="114"/>
        <v>'Other contingent assets'!C35</v>
      </c>
      <c r="J809" s="713" t="b" cm="1">
        <f t="array" aca="1" ref="J809" ca="1">IF(
    ISNUMBER(SEARCH(RefData!$B$2, $C$476)),
    IF(
        $E809 &lt;&gt; "",
        $J$476,
        IF(
            $E809 = "",
            FALSE
        )
    ),
    IF(
        COUNTIF($K809:$T809, "&lt;&gt;FALSE") - COUNTBLANK($K809:$T809) &gt; 0,
        INDEX($K809:$T809, MATCH(TRUE, $K809:$T809 &lt;&gt; FALSE, 0))
    )
)</f>
        <v>0</v>
      </c>
      <c r="K809" s="712" t="b">
        <f ca="1">IF(AND($E809&lt;&gt;"",'Covenant summary information'!$C$85=0),ErrorMsgs!$B809)</f>
        <v>0</v>
      </c>
      <c r="L809" s="712" t="b">
        <f ca="1">IF(AND($E809&lt;&gt;"",'Covenant summary information'!$C$85&lt;2),ErrorMsgs!$C809)</f>
        <v>0</v>
      </c>
      <c r="M809" s="712" t="b">
        <f ca="1">IF(AND($E809="",'Covenant summary information'!$C$85&gt;=2),ErrorMsgs!$D809)</f>
        <v>0</v>
      </c>
      <c r="N809" s="712" t="b">
        <f ca="1">IF($E$809="",FALSE,IF(NOT(ISNUMBER($E809)),ErrorMsgs!$E809,IF(OR($E809-ROUND($E809,2)&lt;&gt;0,$E809&lt;0,$E809&gt;1000000000000),ErrorMsgs!$E809)))</f>
        <v>0</v>
      </c>
      <c r="O809" s="712"/>
      <c r="P809" s="712"/>
      <c r="Q809" s="712"/>
      <c r="R809" s="712"/>
      <c r="S809" s="712"/>
      <c r="T809" s="712"/>
      <c r="U809" s="526" t="str">
        <f t="shared" ca="1" si="109"/>
        <v/>
      </c>
      <c r="V809" s="93" t="str" cm="1">
        <f t="array" aca="1" ref="V809" ca="1">CELL("format",INDIRECT(I809))</f>
        <v>C2</v>
      </c>
      <c r="W809" s="93" t="b">
        <f t="shared" ca="1" si="110"/>
        <v>0</v>
      </c>
      <c r="X809" s="715" t="str">
        <f t="shared" ca="1" si="108"/>
        <v/>
      </c>
      <c r="Y809" t="b">
        <f t="shared" ca="1" si="111"/>
        <v>1</v>
      </c>
    </row>
    <row r="810" spans="1:25" ht="77.5">
      <c r="A810" s="705" t="s">
        <v>1268</v>
      </c>
      <c r="B810" s="716" t="str">
        <f t="shared" ca="1" si="113"/>
        <v>Other contingent assets - C36</v>
      </c>
      <c r="C810" s="707" t="str" cm="1">
        <f t="array" aca="1" ref="C810" ca="1">INDIRECT(LEFT(I810, FIND("!", I810)) &amp; RefData!$C$426 &amp; RIGHT(I810, LEN(I810) - FIND("!", I810) - 1))</f>
        <v xml:space="preserve">
No answer required
Date of valuation
</v>
      </c>
      <c r="D810" s="92" t="str">
        <f t="shared" ca="1" si="115"/>
        <v/>
      </c>
      <c r="E810" s="708" t="str" cm="1">
        <f t="array" aca="1" ref="E810" ca="1">IF(INDIRECT($I810)= "", "", INDIRECT($I810))</f>
        <v/>
      </c>
      <c r="F810" s="709" t="str" cm="1">
        <f t="array" aca="1" ref="F810" ca="1">INDIRECT(LEFT(I810, FIND("!", I810)) &amp; RefData!$C$427 &amp; RIGHT(I810, LEN(I810) - FIND("!", I810) - 1))</f>
        <v>OA 7.0/2</v>
      </c>
      <c r="G810" s="710" t="b">
        <f ca="1">IF(ISNUMBER(SEARCH(RefData!$B$2, $C810)), FALSE, TRUE)</f>
        <v>0</v>
      </c>
      <c r="H810" s="113">
        <f>'Other contingent assets'!C36</f>
        <v>0</v>
      </c>
      <c r="I810" s="712" t="str">
        <f t="shared" ca="1" si="114"/>
        <v>'Other contingent assets'!C36</v>
      </c>
      <c r="J810" s="713" t="b" cm="1">
        <f t="array" aca="1" ref="J810" ca="1">IF(
    ISNUMBER(SEARCH(RefData!$B$2, $C$476)),
    IF(
        $E810 &lt;&gt; "",
        $J$476,
        IF(
            $E810 = "",
            FALSE
        )
    ),
    IF(
        COUNTIF($K810:$T810, "&lt;&gt;FALSE") - COUNTBLANK($K810:$T810) &gt; 0,
        INDEX($K810:$T810, MATCH(TRUE, $K810:$T810 &lt;&gt; FALSE, 0))
    )
)</f>
        <v>0</v>
      </c>
      <c r="K810" s="712" t="b">
        <f ca="1">IF(AND($E810&lt;&gt;"",'Covenant summary information'!$C$85=0),ErrorMsgs!$B810)</f>
        <v>0</v>
      </c>
      <c r="L810" s="712" t="b">
        <f ca="1">IF(AND($E810&lt;&gt;"",'Covenant summary information'!$C$85&lt;2),ErrorMsgs!$C810)</f>
        <v>0</v>
      </c>
      <c r="M810" s="712" t="b">
        <f ca="1">IF(AND($E810="",'Covenant summary information'!$C$85&gt;=2),ErrorMsgs!$D810)</f>
        <v>0</v>
      </c>
      <c r="N810" s="712" t="b">
        <f ca="1">IF(AND('Covenant summary information'!$C$85&gt;=2,NOT(ISNUMBER($E810))),ErrorMsgs!$E810)</f>
        <v>0</v>
      </c>
      <c r="O810" s="712" t="b">
        <f ca="1">IF($E810="",FALSE,IF($E810&gt;TODAY(),ErrorMsgs!$F810))</f>
        <v>0</v>
      </c>
      <c r="P810" s="712"/>
      <c r="Q810" s="712"/>
      <c r="R810" s="712"/>
      <c r="S810" s="712"/>
      <c r="T810" s="712"/>
      <c r="U810" s="526" t="str">
        <f t="shared" ca="1" si="109"/>
        <v/>
      </c>
      <c r="V810" s="93" t="str" cm="1">
        <f t="array" aca="1" ref="V810" ca="1">CELL("format",INDIRECT(I810))</f>
        <v>D1</v>
      </c>
      <c r="W810" s="93" t="b">
        <f t="shared" ca="1" si="110"/>
        <v>0</v>
      </c>
      <c r="X810" s="715" t="str">
        <f t="shared" ca="1" si="108"/>
        <v/>
      </c>
      <c r="Y810" t="b">
        <f t="shared" ca="1" si="111"/>
        <v>1</v>
      </c>
    </row>
    <row r="811" spans="1:25" ht="61.25" customHeight="1">
      <c r="A811" s="705" t="s">
        <v>1270</v>
      </c>
      <c r="B811" s="716" t="str">
        <f t="shared" ca="1" si="113"/>
        <v>Other contingent assets - C37</v>
      </c>
      <c r="C811" s="707" t="str" cm="1">
        <f t="array" aca="1" ref="C811" ca="1">INDIRECT(LEFT(I811, FIND("!", I811)) &amp; RefData!$C$426 &amp; RIGHT(I811, LEN(I811) - FIND("!", I811) - 1))</f>
        <v xml:space="preserve">
No answer required
Value cap
</v>
      </c>
      <c r="D811" s="92" t="str">
        <f t="shared" ca="1" si="115"/>
        <v/>
      </c>
      <c r="E811" s="708" t="str" cm="1">
        <f t="array" aca="1" ref="E811" ca="1">IF(INDIRECT($I811)= "", "", INDIRECT($I811))</f>
        <v/>
      </c>
      <c r="F811" s="709" t="str" cm="1">
        <f t="array" aca="1" ref="F811" ca="1">INDIRECT(LEFT(I811, FIND("!", I811)) &amp; RefData!$C$427 &amp; RIGHT(I811, LEN(I811) - FIND("!", I811) - 1))</f>
        <v>OA 8.0/2</v>
      </c>
      <c r="G811" s="710" t="b">
        <f ca="1">IF(ISNUMBER(SEARCH(RefData!$B$2, $C811)), FALSE, TRUE)</f>
        <v>0</v>
      </c>
      <c r="H811" s="113">
        <f>'Other contingent assets'!C37</f>
        <v>0</v>
      </c>
      <c r="I811" s="712" t="str">
        <f t="shared" ca="1" si="114"/>
        <v>'Other contingent assets'!C37</v>
      </c>
      <c r="J811" s="713" t="b" cm="1">
        <f t="array" aca="1" ref="J811" ca="1">IF(
    ISNUMBER(SEARCH(RefData!$B$2, $C$476)),
    IF(
        $E811 &lt;&gt; "",
        $J$476,
        IF(
            $E811 = "",
            FALSE
        )
    ),
    IF(
        COUNTIF($K811:$T811, "&lt;&gt;FALSE") - COUNTBLANK($K811:$T811) &gt; 0,
        INDEX($K811:$T811, MATCH(TRUE, $K811:$T811 &lt;&gt; FALSE, 0))
    )
)</f>
        <v>0</v>
      </c>
      <c r="K811" s="712" t="b">
        <f ca="1">IF(AND($E811&lt;&gt;"",'Start here'!$C$26=RefData!$B$9),ErrorMsgs!$B811)</f>
        <v>0</v>
      </c>
      <c r="L811" s="712" t="b">
        <f ca="1">IF(AND($E811&lt;&gt;"",'Start here'!$C$26=RefData!$B$10, 'Covenant summary information'!$C$85=0),ErrorMsgs!$C811)</f>
        <v>0</v>
      </c>
      <c r="M811" s="712" t="b">
        <f ca="1">IF(AND($E811&lt;&gt;"",'Start here'!$C$26=RefData!$B$10, 'Covenant summary information'!$C$85&lt;2),ErrorMsgs!$D811)</f>
        <v>0</v>
      </c>
      <c r="N811" s="712" t="b">
        <f ca="1">IF(AND($E811="",'Start here'!$C$26=RefData!$B$10, 'Covenant summary information'!$C$85&gt;=2),ErrorMsgs!$E811)</f>
        <v>0</v>
      </c>
      <c r="O811" s="712" t="b">
        <f ca="1">IF($E811="",FALSE,IF(ISNA(MATCH($E811,RefData!$B$169:$B$175,0)),ErrorMsgs!$F811))</f>
        <v>0</v>
      </c>
      <c r="P811" s="712"/>
      <c r="Q811" s="712"/>
      <c r="R811" s="712"/>
      <c r="S811" s="712"/>
      <c r="T811" s="712"/>
      <c r="U811" s="526" t="str">
        <f t="shared" ca="1" si="109"/>
        <v/>
      </c>
      <c r="V811" s="93" t="str" cm="1">
        <f t="array" aca="1" ref="V811" ca="1">CELL("format",INDIRECT(I811))</f>
        <v>G</v>
      </c>
      <c r="W811" s="93" t="b">
        <f t="shared" ca="1" si="110"/>
        <v>0</v>
      </c>
      <c r="X811" s="715" t="str">
        <f t="shared" ca="1" si="108"/>
        <v/>
      </c>
      <c r="Y811" t="b">
        <f t="shared" ca="1" si="111"/>
        <v>1</v>
      </c>
    </row>
    <row r="812" spans="1:25" ht="77.5">
      <c r="A812" s="705" t="s">
        <v>1272</v>
      </c>
      <c r="B812" s="716" t="str">
        <f t="shared" ca="1" si="113"/>
        <v>Other contingent assets - C38</v>
      </c>
      <c r="C812" s="707" t="str" cm="1">
        <f t="array" aca="1" ref="C812" ca="1">INDIRECT(LEFT(I812, FIND("!", I812)) &amp; RefData!$C$426 &amp; RIGHT(I812, LEN(I812) - FIND("!", I812) - 1))</f>
        <v xml:space="preserve">
No answer required
Narrative regarding value cap
</v>
      </c>
      <c r="D812" s="92" t="str">
        <f t="shared" ca="1" si="115"/>
        <v/>
      </c>
      <c r="E812" s="708" t="str" cm="1">
        <f t="array" aca="1" ref="E812" ca="1">IF(INDIRECT($I812)= "", "", INDIRECT($I812))</f>
        <v/>
      </c>
      <c r="F812" s="709" t="str" cm="1">
        <f t="array" aca="1" ref="F812" ca="1">INDIRECT(LEFT(I812, FIND("!", I812)) &amp; RefData!$C$427 &amp; RIGHT(I812, LEN(I812) - FIND("!", I812) - 1))</f>
        <v>OA 9.0/2</v>
      </c>
      <c r="G812" s="710" t="b">
        <f ca="1">IF(ISNUMBER(SEARCH(RefData!$B$2, $C812)), FALSE, TRUE)</f>
        <v>0</v>
      </c>
      <c r="H812" s="113">
        <f>'Other contingent assets'!C38</f>
        <v>0</v>
      </c>
      <c r="I812" s="712" t="str">
        <f t="shared" ca="1" si="114"/>
        <v>'Other contingent assets'!C38</v>
      </c>
      <c r="J812" s="713" t="b" cm="1">
        <f t="array" aca="1" ref="J812" ca="1">IF(
    ISNUMBER(SEARCH(RefData!$B$2, $C$476)),
    IF(
        $E812 &lt;&gt; "",
        $J$476,
        IF(
            $E812 = "",
            FALSE
        )
    ),
    IF(
        COUNTIF($K812:$T812, "&lt;&gt;FALSE") - COUNTBLANK($K812:$T812) &gt; 0,
        INDEX($K812:$T812, MATCH(TRUE, $K812:$T812 &lt;&gt; FALSE, 0))
    )
)</f>
        <v>0</v>
      </c>
      <c r="K812" s="712" t="b">
        <f ca="1">IF(AND(E812&lt;&gt;"",'Start here'!$C$26=RefData!$B$9),ErrorMsgs!$B812)</f>
        <v>0</v>
      </c>
      <c r="L812" s="712" t="b">
        <f ca="1">IF(AND('Start here'!$C$26=RefData!$B$10,'Covenant summary information'!$C$85=0,'Reconciliation report'!$E812&lt;&gt;""),ErrorMsgs!$C812)</f>
        <v>0</v>
      </c>
      <c r="M812" s="712" t="b">
        <f ca="1">IF(AND('Start here'!$C$26=RefData!$B$10,'Covenant summary information'!$C$85&lt;2,'Reconciliation report'!$E812&lt;&gt;""),ErrorMsgs!$D812)</f>
        <v>0</v>
      </c>
      <c r="N812" s="712" t="b">
        <f ca="1">IF(AND('Start here'!$C$26=RefData!$B$10,'Covenant summary information'!$C$85&gt;=2,'Reconciliation report'!$E812&lt;&gt;"",NOT('Other contingent assets'!$C$37=RefData!$B$175)),ErrorMsgs!$E812)</f>
        <v>0</v>
      </c>
      <c r="O812" s="712" t="b">
        <f ca="1">IF(AND('Start here'!$C$26=RefData!$B$10,'Covenant summary information'!$C$85&gt;=2,'Reconciliation report'!$E812="",'Other contingent assets'!$C$37=RefData!$B$175),ErrorMsgs!$F812)</f>
        <v>0</v>
      </c>
      <c r="P812" s="712" t="b">
        <f ca="1">IF(LEN($E812)&gt;4000,ErrorMsgs!$G812)</f>
        <v>0</v>
      </c>
      <c r="Q812" s="712"/>
      <c r="R812" s="712"/>
      <c r="S812" s="712"/>
      <c r="T812" s="712"/>
      <c r="U812" s="526" t="str">
        <f t="shared" ca="1" si="109"/>
        <v/>
      </c>
      <c r="V812" s="93" t="str" cm="1">
        <f t="array" aca="1" ref="V812" ca="1">CELL("format",INDIRECT(I812))</f>
        <v>G</v>
      </c>
      <c r="W812" s="93" t="b">
        <f t="shared" ca="1" si="110"/>
        <v>0</v>
      </c>
      <c r="X812" s="715" t="str">
        <f t="shared" ca="1" si="108"/>
        <v/>
      </c>
      <c r="Y812" t="b">
        <f t="shared" ca="1" si="111"/>
        <v>1</v>
      </c>
    </row>
    <row r="813" spans="1:25" ht="77.5">
      <c r="A813" s="705" t="s">
        <v>1274</v>
      </c>
      <c r="B813" s="716" t="str">
        <f t="shared" ca="1" si="113"/>
        <v>Other contingent assets - C39</v>
      </c>
      <c r="C813" s="707" t="str" cm="1">
        <f t="array" aca="1" ref="C813" ca="1">INDIRECT(LEFT(I813, FIND("!", I813)) &amp; RefData!$C$426 &amp; RIGHT(I813, LEN(I813) - FIND("!", I813) - 1))</f>
        <v xml:space="preserve">
No answer required
Fixed cap amount (£)
</v>
      </c>
      <c r="D813" s="92" t="str">
        <f t="shared" ca="1" si="115"/>
        <v/>
      </c>
      <c r="E813" s="708" t="str" cm="1">
        <f t="array" aca="1" ref="E813" ca="1">IF(INDIRECT($I813)= "", "", INDIRECT($I813))</f>
        <v/>
      </c>
      <c r="F813" s="709" t="str" cm="1">
        <f t="array" aca="1" ref="F813" ca="1">INDIRECT(LEFT(I813, FIND("!", I813)) &amp; RefData!$C$427 &amp; RIGHT(I813, LEN(I813) - FIND("!", I813) - 1))</f>
        <v>OA 10.0/2</v>
      </c>
      <c r="G813" s="710" t="b">
        <f ca="1">IF(ISNUMBER(SEARCH(RefData!$B$2, $C813)), FALSE, TRUE)</f>
        <v>0</v>
      </c>
      <c r="H813" s="113">
        <f>'Other contingent assets'!C39</f>
        <v>0</v>
      </c>
      <c r="I813" s="712" t="str">
        <f t="shared" ca="1" si="114"/>
        <v>'Other contingent assets'!C39</v>
      </c>
      <c r="J813" s="713" t="b" cm="1">
        <f t="array" aca="1" ref="J813" ca="1">IF(
    ISNUMBER(SEARCH(RefData!$B$2, $C$476)),
    IF(
        $E813 &lt;&gt; "",
        $J$476,
        IF(
            $E813 = "",
            FALSE
        )
    ),
    IF(
        COUNTIF($K813:$T813, "&lt;&gt;FALSE") - COUNTBLANK($K813:$T813) &gt; 0,
        INDEX($K813:$T813, MATCH(TRUE, $K813:$T813 &lt;&gt; FALSE, 0))
    )
)</f>
        <v>0</v>
      </c>
      <c r="K813" s="712" t="b">
        <f ca="1">IF(AND(E813&lt;&gt;"",'Start here'!$C$26=RefData!$B$9),ErrorMsgs!$B813)</f>
        <v>0</v>
      </c>
      <c r="L813" s="712" t="b">
        <f ca="1">IF(AND('Start here'!$C$26=RefData!$B$10,'Covenant summary information'!$C$85=0,'Reconciliation report'!$E813&lt;&gt;""),ErrorMsgs!$C813)</f>
        <v>0</v>
      </c>
      <c r="M813" s="712" t="b">
        <f ca="1">IF(AND('Start here'!$C$26=RefData!$B$10,'Covenant summary information'!$C$85&lt;2,'Reconciliation report'!$E813&lt;&gt;""),ErrorMsgs!$D813)</f>
        <v>0</v>
      </c>
      <c r="N813" s="712" t="b">
        <f ca="1">IF(AND('Start here'!$C$26=RefData!$B$10,'Covenant summary information'!$C$85&gt;=2,'Reconciliation report'!$E813&lt;&gt;"",NOT('Other contingent assets'!$C$37=RefData!$B$174)),ErrorMsgs!$E813)</f>
        <v>0</v>
      </c>
      <c r="O813" s="712" t="b">
        <f ca="1">IF(AND('Start here'!$C$26=RefData!$B$10,'Covenant summary information'!$C$85&gt;=2,'Reconciliation report'!$E813="",'Other contingent assets'!$C$37=RefData!$B$174),ErrorMsgs!$F813)</f>
        <v>0</v>
      </c>
      <c r="P813" s="712" t="b">
        <f ca="1">IF($E813="",FALSE,IF(ISERROR(VALUE($E813)),ErrorMsgs!G813,IF(OR(VALUE($E813)&lt;0,VALUE($E813)&gt;1000000000000,VALUE($E813)-ROUND(VALUE($E813),2)&lt;&gt;0),ErrorMsgs!G813)))</f>
        <v>0</v>
      </c>
      <c r="Q813" s="712"/>
      <c r="R813" s="712"/>
      <c r="S813" s="712"/>
      <c r="T813" s="712"/>
      <c r="U813" s="526" t="str">
        <f t="shared" ca="1" si="109"/>
        <v/>
      </c>
      <c r="V813" s="93" t="str" cm="1">
        <f t="array" aca="1" ref="V813" ca="1">CELL("format",INDIRECT(I813))</f>
        <v>C2</v>
      </c>
      <c r="W813" s="93" t="b">
        <f t="shared" ca="1" si="110"/>
        <v>0</v>
      </c>
      <c r="X813" s="715" t="str">
        <f t="shared" ca="1" si="108"/>
        <v/>
      </c>
      <c r="Y813" t="b">
        <f t="shared" ca="1" si="111"/>
        <v>1</v>
      </c>
    </row>
    <row r="814" spans="1:25" ht="77.5">
      <c r="A814" s="705" t="s">
        <v>1276</v>
      </c>
      <c r="B814" s="716" t="str">
        <f t="shared" ca="1" si="113"/>
        <v>Other contingent assets - C43</v>
      </c>
      <c r="C814" s="707" t="str" cm="1">
        <f t="array" aca="1" ref="C814" ca="1">INDIRECT(LEFT(I814, FIND("!", I814)) &amp; RefData!$C$426 &amp; RIGHT(I814, LEN(I814) - FIND("!", I814) - 1))</f>
        <v xml:space="preserve">
No answer required
Participating employer insolvency
</v>
      </c>
      <c r="D814" s="92" t="str">
        <f t="shared" ca="1" si="115"/>
        <v/>
      </c>
      <c r="E814" s="708" t="str" cm="1">
        <f t="array" aca="1" ref="E814" ca="1">IF(INDIRECT($I814)= "", "", INDIRECT($I814))</f>
        <v/>
      </c>
      <c r="F814" s="709" t="str" cm="1">
        <f t="array" aca="1" ref="F814" ca="1">INDIRECT(LEFT(I814, FIND("!", I814)) &amp; RefData!$C$427 &amp; RIGHT(I814, LEN(I814) - FIND("!", I814) - 1))</f>
        <v>OA 11.0/2</v>
      </c>
      <c r="G814" s="710" t="b">
        <f ca="1">IF(ISNUMBER(SEARCH(RefData!$B$2, $C814)), FALSE, TRUE)</f>
        <v>0</v>
      </c>
      <c r="H814" s="113">
        <f>'Other contingent assets'!C43</f>
        <v>0</v>
      </c>
      <c r="I814" s="712" t="str">
        <f t="shared" ca="1" si="114"/>
        <v>'Other contingent assets'!C43</v>
      </c>
      <c r="J814" s="713" t="b" cm="1">
        <f t="array" aca="1" ref="J814" ca="1">IF(
    ISNUMBER(SEARCH(RefData!$B$2, $C$476)),
    IF(
        $E814 &lt;&gt; "",
        $J$476,
        IF(
            $E814 = "",
            FALSE
        )
    ),
    IF(
        COUNTIF($K814:$T814, "&lt;&gt;FALSE") - COUNTBLANK($K814:$T814) &gt; 0,
        INDEX($K814:$T814, MATCH(TRUE, $K814:$T814 &lt;&gt; FALSE, 0))
    )
)</f>
        <v>0</v>
      </c>
      <c r="K814" s="712" t="b">
        <f ca="1">IF(AND(E814&lt;&gt;"",'Start here'!$C$26=RefData!$B$9),ErrorMsgs!$B814)</f>
        <v>0</v>
      </c>
      <c r="L814" s="712" t="b">
        <f ca="1">IF(AND('Start here'!$C$26=RefData!$B$10,'Covenant summary information'!$C$85=0,'Reconciliation report'!$E814&lt;&gt;""),ErrorMsgs!$C814)</f>
        <v>0</v>
      </c>
      <c r="M814" s="712" t="b">
        <f ca="1">IF(AND('Start here'!$C$26=RefData!$B$10,'Covenant summary information'!$C$85&lt;2,'Reconciliation report'!$E814&lt;&gt;""),ErrorMsgs!$D814)</f>
        <v>0</v>
      </c>
      <c r="N814" s="712" t="b">
        <f ca="1">IF(AND('Start here'!$C$26=RefData!$B$10,'Covenant summary information'!$C$85&gt;=2,'Reconciliation report'!$E814=""),ErrorMsgs!$E814)</f>
        <v>0</v>
      </c>
      <c r="O814" s="712" t="b">
        <f ca="1">IF($E814="",FALSE,IF(ISNA(MATCH($E814,RefData!$B$204:$B$205,0)),ErrorMsgs!$F814))</f>
        <v>0</v>
      </c>
      <c r="P814" s="712"/>
      <c r="Q814" s="712"/>
      <c r="R814" s="712"/>
      <c r="S814" s="712"/>
      <c r="T814" s="712"/>
      <c r="U814" s="526" t="str">
        <f t="shared" ca="1" si="109"/>
        <v/>
      </c>
      <c r="V814" s="93" t="str" cm="1">
        <f t="array" aca="1" ref="V814" ca="1">CELL("format",INDIRECT(I814))</f>
        <v>G</v>
      </c>
      <c r="W814" s="93" t="b">
        <f t="shared" ca="1" si="110"/>
        <v>0</v>
      </c>
      <c r="X814" s="715" t="str">
        <f t="shared" ca="1" si="108"/>
        <v/>
      </c>
      <c r="Y814" t="b">
        <f t="shared" ca="1" si="111"/>
        <v>1</v>
      </c>
    </row>
    <row r="815" spans="1:25" ht="77.5">
      <c r="A815" s="705" t="s">
        <v>1278</v>
      </c>
      <c r="B815" s="716" t="str">
        <f t="shared" ca="1" si="113"/>
        <v>Other contingent assets - C44</v>
      </c>
      <c r="C815" s="707" t="str" cm="1">
        <f t="array" aca="1" ref="C815" ca="1">INDIRECT(LEFT(I815, FIND("!", I815)) &amp; RefData!$C$426 &amp; RIGHT(I815, LEN(I815) - FIND("!", I815) - 1))</f>
        <v xml:space="preserve">
No answer required
Insolvency of associated company
</v>
      </c>
      <c r="D815" s="92" t="str">
        <f t="shared" ca="1" si="115"/>
        <v/>
      </c>
      <c r="E815" s="708" t="str" cm="1">
        <f t="array" aca="1" ref="E815" ca="1">IF(INDIRECT($I815)= "", "", INDIRECT($I815))</f>
        <v/>
      </c>
      <c r="F815" s="709" t="str" cm="1">
        <f t="array" aca="1" ref="F815" ca="1">INDIRECT(LEFT(I815, FIND("!", I815)) &amp; RefData!$C$427 &amp; RIGHT(I815, LEN(I815) - FIND("!", I815) - 1))</f>
        <v>OA 12.0/2</v>
      </c>
      <c r="G815" s="710" t="b">
        <f ca="1">IF(ISNUMBER(SEARCH(RefData!$B$2, $C815)), FALSE, TRUE)</f>
        <v>0</v>
      </c>
      <c r="H815" s="113">
        <f>'Other contingent assets'!C44</f>
        <v>0</v>
      </c>
      <c r="I815" s="712" t="str">
        <f t="shared" ca="1" si="114"/>
        <v>'Other contingent assets'!C44</v>
      </c>
      <c r="J815" s="713" t="b" cm="1">
        <f t="array" aca="1" ref="J815" ca="1">IF(
    ISNUMBER(SEARCH(RefData!$B$2, $C$476)),
    IF(
        $E815 &lt;&gt; "",
        $J$476,
        IF(
            $E815 = "",
            FALSE
        )
    ),
    IF(
        COUNTIF($K815:$T815, "&lt;&gt;FALSE") - COUNTBLANK($K815:$T815) &gt; 0,
        INDEX($K815:$T815, MATCH(TRUE, $K815:$T815 &lt;&gt; FALSE, 0))
    )
)</f>
        <v>0</v>
      </c>
      <c r="K815" s="712" t="b">
        <f ca="1">IF(AND(E815&lt;&gt;"",'Start here'!$C$26=RefData!$B$9),ErrorMsgs!$B815)</f>
        <v>0</v>
      </c>
      <c r="L815" s="712" t="b">
        <f ca="1">IF(AND('Start here'!$C$26=RefData!$B$10,'Covenant summary information'!$C$85=0,'Reconciliation report'!$E815&lt;&gt;""),ErrorMsgs!$C815)</f>
        <v>0</v>
      </c>
      <c r="M815" s="712" t="b">
        <f ca="1">IF(AND('Start here'!$C$26=RefData!$B$10,'Covenant summary information'!$C$85&lt;2,'Reconciliation report'!$E815&lt;&gt;""),ErrorMsgs!$D815)</f>
        <v>0</v>
      </c>
      <c r="N815" s="712" t="b">
        <f ca="1">IF(AND('Start here'!$C$26=RefData!$B$10,'Covenant summary information'!$C$85&gt;=2,'Reconciliation report'!$E815=""),ErrorMsgs!$E815)</f>
        <v>0</v>
      </c>
      <c r="O815" s="712" t="b">
        <f ca="1">IF($E815="",FALSE,IF(ISNA(MATCH($E815,RefData!$B$204:$B$205,0)),ErrorMsgs!$F815))</f>
        <v>0</v>
      </c>
      <c r="P815" s="712"/>
      <c r="Q815" s="712"/>
      <c r="R815" s="712"/>
      <c r="S815" s="712"/>
      <c r="T815" s="712"/>
      <c r="U815" s="526" t="str">
        <f t="shared" ca="1" si="109"/>
        <v/>
      </c>
      <c r="V815" s="93" t="str" cm="1">
        <f t="array" aca="1" ref="V815" ca="1">CELL("format",INDIRECT(I815))</f>
        <v>G</v>
      </c>
      <c r="W815" s="93" t="b">
        <f t="shared" ca="1" si="110"/>
        <v>0</v>
      </c>
      <c r="X815" s="715" t="str">
        <f t="shared" ca="1" si="108"/>
        <v/>
      </c>
      <c r="Y815" t="b">
        <f t="shared" ca="1" si="111"/>
        <v>1</v>
      </c>
    </row>
    <row r="816" spans="1:25" ht="77.5">
      <c r="A816" s="705" t="s">
        <v>1280</v>
      </c>
      <c r="B816" s="716" t="str">
        <f t="shared" ca="1" si="113"/>
        <v>Other contingent assets - C45</v>
      </c>
      <c r="C816" s="707" t="str" cm="1">
        <f t="array" aca="1" ref="C816" ca="1">INDIRECT(LEFT(I816, FIND("!", I816)) &amp; RefData!$C$426 &amp; RIGHT(I816, LEN(I816) - FIND("!", I816) - 1))</f>
        <v xml:space="preserve">
No answer required
Non payment of contributions
</v>
      </c>
      <c r="D816" s="92" t="str">
        <f t="shared" ca="1" si="115"/>
        <v/>
      </c>
      <c r="E816" s="708" t="str" cm="1">
        <f t="array" aca="1" ref="E816" ca="1">IF(INDIRECT($I816)= "", "", INDIRECT($I816))</f>
        <v/>
      </c>
      <c r="F816" s="709" t="str" cm="1">
        <f t="array" aca="1" ref="F816" ca="1">INDIRECT(LEFT(I816, FIND("!", I816)) &amp; RefData!$C$427 &amp; RIGHT(I816, LEN(I816) - FIND("!", I816) - 1))</f>
        <v>OA 13.0/2</v>
      </c>
      <c r="G816" s="710" t="b">
        <f ca="1">IF(ISNUMBER(SEARCH(RefData!$B$2, $C816)), FALSE, TRUE)</f>
        <v>0</v>
      </c>
      <c r="H816" s="113">
        <f>'Other contingent assets'!C45</f>
        <v>0</v>
      </c>
      <c r="I816" s="712" t="str">
        <f t="shared" ca="1" si="114"/>
        <v>'Other contingent assets'!C45</v>
      </c>
      <c r="J816" s="713" t="b" cm="1">
        <f t="array" aca="1" ref="J816" ca="1">IF(
    ISNUMBER(SEARCH(RefData!$B$2, $C$476)),
    IF(
        $E816 &lt;&gt; "",
        $J$476,
        IF(
            $E816 = "",
            FALSE
        )
    ),
    IF(
        COUNTIF($K816:$T816, "&lt;&gt;FALSE") - COUNTBLANK($K816:$T816) &gt; 0,
        INDEX($K816:$T816, MATCH(TRUE, $K816:$T816 &lt;&gt; FALSE, 0))
    )
)</f>
        <v>0</v>
      </c>
      <c r="K816" s="712" t="b">
        <f ca="1">IF(AND(E816&lt;&gt;"",'Start here'!$C$26=RefData!$B$9),ErrorMsgs!$B816)</f>
        <v>0</v>
      </c>
      <c r="L816" s="712" t="b">
        <f ca="1">IF(AND('Start here'!$C$26=RefData!$B$10,'Covenant summary information'!$C$85=0,'Reconciliation report'!$E816&lt;&gt;""),ErrorMsgs!$C816)</f>
        <v>0</v>
      </c>
      <c r="M816" s="712" t="b">
        <f ca="1">IF(AND('Start here'!$C$26=RefData!$B$10,'Covenant summary information'!$C$85&lt;2,'Reconciliation report'!$E816&lt;&gt;""),ErrorMsgs!$D816)</f>
        <v>0</v>
      </c>
      <c r="N816" s="712" t="b">
        <f ca="1">IF(AND('Start here'!$C$26=RefData!$B$10,'Covenant summary information'!$C$85&gt;=2,'Reconciliation report'!$E816=""),ErrorMsgs!$E816)</f>
        <v>0</v>
      </c>
      <c r="O816" s="712" t="b">
        <f ca="1">IF($E816="",FALSE,IF(ISNA(MATCH($E816,RefData!$B$204:$B$205,0)),ErrorMsgs!$F816))</f>
        <v>0</v>
      </c>
      <c r="P816" s="712"/>
      <c r="Q816" s="712"/>
      <c r="R816" s="712"/>
      <c r="S816" s="712"/>
      <c r="T816" s="712"/>
      <c r="U816" s="526" t="str">
        <f t="shared" ca="1" si="109"/>
        <v/>
      </c>
      <c r="V816" s="93" t="str" cm="1">
        <f t="array" aca="1" ref="V816" ca="1">CELL("format",INDIRECT(I816))</f>
        <v>G</v>
      </c>
      <c r="W816" s="93" t="b">
        <f t="shared" ca="1" si="110"/>
        <v>0</v>
      </c>
      <c r="X816" s="715" t="str">
        <f t="shared" ca="1" si="108"/>
        <v/>
      </c>
      <c r="Y816" t="b">
        <f t="shared" ca="1" si="111"/>
        <v>1</v>
      </c>
    </row>
    <row r="817" spans="1:25" ht="77.5">
      <c r="A817" s="705" t="s">
        <v>1282</v>
      </c>
      <c r="B817" s="716" t="str">
        <f t="shared" ca="1" si="113"/>
        <v>Other contingent assets - C46</v>
      </c>
      <c r="C817" s="707" t="str" cm="1">
        <f t="array" aca="1" ref="C817" ca="1">INDIRECT(LEFT(I817, FIND("!", I817)) &amp; RefData!$C$426 &amp; RIGHT(I817, LEN(I817) - FIND("!", I817) - 1))</f>
        <v xml:space="preserve">
No answer required
Crystallisation of investment risk
</v>
      </c>
      <c r="D817" s="92" t="str">
        <f t="shared" ca="1" si="115"/>
        <v/>
      </c>
      <c r="E817" s="708" t="str" cm="1">
        <f t="array" aca="1" ref="E817" ca="1">IF(INDIRECT($I817)= "", "", INDIRECT($I817))</f>
        <v/>
      </c>
      <c r="F817" s="709" t="str" cm="1">
        <f t="array" aca="1" ref="F817" ca="1">INDIRECT(LEFT(I817, FIND("!", I817)) &amp; RefData!$C$427 &amp; RIGHT(I817, LEN(I817) - FIND("!", I817) - 1))</f>
        <v>OA 14.0/2</v>
      </c>
      <c r="G817" s="710" t="b">
        <f ca="1">IF(ISNUMBER(SEARCH(RefData!$B$2, $C817)), FALSE, TRUE)</f>
        <v>0</v>
      </c>
      <c r="H817" s="113">
        <f>'Other contingent assets'!C46</f>
        <v>0</v>
      </c>
      <c r="I817" s="712" t="str">
        <f t="shared" ca="1" si="114"/>
        <v>'Other contingent assets'!C46</v>
      </c>
      <c r="J817" s="713" t="b" cm="1">
        <f t="array" aca="1" ref="J817" ca="1">IF(
    ISNUMBER(SEARCH(RefData!$B$2, $C$476)),
    IF(
        $E817 &lt;&gt; "",
        $J$476,
        IF(
            $E817 = "",
            FALSE
        )
    ),
    IF(
        COUNTIF($K817:$T817, "&lt;&gt;FALSE") - COUNTBLANK($K817:$T817) &gt; 0,
        INDEX($K817:$T817, MATCH(TRUE, $K817:$T817 &lt;&gt; FALSE, 0))
    )
)</f>
        <v>0</v>
      </c>
      <c r="K817" s="712" t="b">
        <f ca="1">IF(AND(E817&lt;&gt;"",'Start here'!$C$26=RefData!$B$9),ErrorMsgs!$B817)</f>
        <v>0</v>
      </c>
      <c r="L817" s="712" t="b">
        <f ca="1">IF(AND('Start here'!$C$26=RefData!$B$10,'Covenant summary information'!$C$85=0,'Reconciliation report'!$E817&lt;&gt;""),ErrorMsgs!$C817)</f>
        <v>0</v>
      </c>
      <c r="M817" s="712" t="b">
        <f ca="1">IF(AND('Start here'!$C$26=RefData!$B$10,'Covenant summary information'!$C$85&lt;2,'Reconciliation report'!$E817&lt;&gt;""),ErrorMsgs!$D817)</f>
        <v>0</v>
      </c>
      <c r="N817" s="712" t="b">
        <f ca="1">IF(AND('Start here'!$C$26=RefData!$B$10,'Covenant summary information'!$C$85&gt;=2,'Reconciliation report'!$E817=""),ErrorMsgs!$E817)</f>
        <v>0</v>
      </c>
      <c r="O817" s="712" t="b">
        <f ca="1">IF($E817="",FALSE,IF(ISNA(MATCH($E817,RefData!$B$204:$B$205,0)),ErrorMsgs!$F817))</f>
        <v>0</v>
      </c>
      <c r="P817" s="712"/>
      <c r="Q817" s="712"/>
      <c r="R817" s="712"/>
      <c r="S817" s="712"/>
      <c r="T817" s="712"/>
      <c r="U817" s="526" t="str">
        <f t="shared" ca="1" si="109"/>
        <v/>
      </c>
      <c r="V817" s="93" t="str" cm="1">
        <f t="array" aca="1" ref="V817" ca="1">CELL("format",INDIRECT(I817))</f>
        <v>G</v>
      </c>
      <c r="W817" s="93" t="b">
        <f t="shared" ca="1" si="110"/>
        <v>0</v>
      </c>
      <c r="X817" s="715" t="str">
        <f t="shared" ca="1" si="108"/>
        <v/>
      </c>
      <c r="Y817" t="b">
        <f t="shared" ca="1" si="111"/>
        <v>1</v>
      </c>
    </row>
    <row r="818" spans="1:25" ht="77.5">
      <c r="A818" s="705" t="s">
        <v>1284</v>
      </c>
      <c r="B818" s="716" t="str">
        <f t="shared" ca="1" si="113"/>
        <v>Other contingent assets - C47</v>
      </c>
      <c r="C818" s="707" t="str" cm="1">
        <f t="array" aca="1" ref="C818" ca="1">INDIRECT(LEFT(I818, FIND("!", I818)) &amp; RefData!$C$426 &amp; RIGHT(I818, LEN(I818) - FIND("!", I818) - 1))</f>
        <v xml:space="preserve">
No answer required
Other
</v>
      </c>
      <c r="D818" s="92" t="str">
        <f t="shared" ca="1" si="115"/>
        <v/>
      </c>
      <c r="E818" s="708" t="str" cm="1">
        <f t="array" aca="1" ref="E818" ca="1">IF(INDIRECT($I818)= "", "", INDIRECT($I818))</f>
        <v/>
      </c>
      <c r="F818" s="709" t="str" cm="1">
        <f t="array" aca="1" ref="F818" ca="1">INDIRECT(LEFT(I818, FIND("!", I818)) &amp; RefData!$C$427 &amp; RIGHT(I818, LEN(I818) - FIND("!", I818) - 1))</f>
        <v>OA 15.0/2</v>
      </c>
      <c r="G818" s="710" t="b">
        <f ca="1">IF(ISNUMBER(SEARCH(RefData!$B$2, $C818)), FALSE, TRUE)</f>
        <v>0</v>
      </c>
      <c r="H818" s="113">
        <f>'Other contingent assets'!C47</f>
        <v>0</v>
      </c>
      <c r="I818" s="712" t="str">
        <f t="shared" ca="1" si="114"/>
        <v>'Other contingent assets'!C47</v>
      </c>
      <c r="J818" s="713" t="b" cm="1">
        <f t="array" aca="1" ref="J818" ca="1">IF(
    ISNUMBER(SEARCH(RefData!$B$2, $C$476)),
    IF(
        $E818 &lt;&gt; "",
        $J$476,
        IF(
            $E818 = "",
            FALSE
        )
    ),
    IF(
        COUNTIF($K818:$T818, "&lt;&gt;FALSE") - COUNTBLANK($K818:$T818) &gt; 0,
        INDEX($K818:$T818, MATCH(TRUE, $K818:$T818 &lt;&gt; FALSE, 0))
    )
)</f>
        <v>0</v>
      </c>
      <c r="K818" s="712" t="b">
        <f ca="1">IF(AND(E818&lt;&gt;"",'Start here'!$C$26=RefData!$B$9),ErrorMsgs!$B818)</f>
        <v>0</v>
      </c>
      <c r="L818" s="712" t="b">
        <f ca="1">IF(AND('Start here'!$C$26=RefData!$B$10,'Covenant summary information'!$C$85=0,'Reconciliation report'!$E818&lt;&gt;""),ErrorMsgs!$C818)</f>
        <v>0</v>
      </c>
      <c r="M818" s="712" t="b">
        <f ca="1">IF(AND('Start here'!$C$26=RefData!$B$10,'Covenant summary information'!$C$85&lt;2,'Reconciliation report'!$E818&lt;&gt;""),ErrorMsgs!$D818)</f>
        <v>0</v>
      </c>
      <c r="N818" s="712" t="b">
        <f ca="1">IF(AND('Start here'!$C$26=RefData!$B$10,'Covenant summary information'!$C$85&gt;=2,'Reconciliation report'!$E818=""),ErrorMsgs!$E818)</f>
        <v>0</v>
      </c>
      <c r="O818" s="712" t="b">
        <f ca="1">IF($E818="",FALSE,IF(ISNA(MATCH($E818,RefData!$B$204:$B$205,0)),ErrorMsgs!$F818))</f>
        <v>0</v>
      </c>
      <c r="P818" s="712"/>
      <c r="Q818" s="712"/>
      <c r="R818" s="712"/>
      <c r="S818" s="712"/>
      <c r="T818" s="712"/>
      <c r="U818" s="526" t="str">
        <f t="shared" ca="1" si="109"/>
        <v/>
      </c>
      <c r="V818" s="93" t="str" cm="1">
        <f t="array" aca="1" ref="V818" ca="1">CELL("format",INDIRECT(I818))</f>
        <v>G</v>
      </c>
      <c r="W818" s="93" t="b">
        <f t="shared" ca="1" si="110"/>
        <v>0</v>
      </c>
      <c r="X818" s="715" t="str">
        <f t="shared" ca="1" si="108"/>
        <v/>
      </c>
      <c r="Y818" t="b">
        <f t="shared" ca="1" si="111"/>
        <v>1</v>
      </c>
    </row>
    <row r="819" spans="1:25" ht="77.5">
      <c r="A819" s="705" t="s">
        <v>1286</v>
      </c>
      <c r="B819" s="716" t="str">
        <f t="shared" ca="1" si="113"/>
        <v>Other contingent assets - C48</v>
      </c>
      <c r="C819" s="707" t="str" cm="1">
        <f t="array" aca="1" ref="C819" ca="1">INDIRECT(LEFT(I819, FIND("!", I819)) &amp; RefData!$C$426 &amp; RIGHT(I819, LEN(I819) - FIND("!", I819) - 1))</f>
        <v xml:space="preserve">
No answer required
Narrative regarding triggers for access to value
</v>
      </c>
      <c r="D819" s="92" t="str">
        <f t="shared" ca="1" si="115"/>
        <v/>
      </c>
      <c r="E819" s="708" t="str" cm="1">
        <f t="array" aca="1" ref="E819" ca="1">IF(INDIRECT($I819)= "", "", INDIRECT($I819))</f>
        <v/>
      </c>
      <c r="F819" s="709" t="str" cm="1">
        <f t="array" aca="1" ref="F819" ca="1">INDIRECT(LEFT(I819, FIND("!", I819)) &amp; RefData!$C$427 &amp; RIGHT(I819, LEN(I819) - FIND("!", I819) - 1))</f>
        <v>OA 16.0/2</v>
      </c>
      <c r="G819" s="710" t="b">
        <f ca="1">IF(ISNUMBER(SEARCH(RefData!$B$2, $C819)), FALSE, TRUE)</f>
        <v>0</v>
      </c>
      <c r="H819" s="113">
        <f>'Other contingent assets'!C48</f>
        <v>0</v>
      </c>
      <c r="I819" s="712" t="str">
        <f t="shared" ca="1" si="114"/>
        <v>'Other contingent assets'!C48</v>
      </c>
      <c r="J819" s="713" t="b" cm="1">
        <f t="array" aca="1" ref="J819" ca="1">IF(
    ISNUMBER(SEARCH(RefData!$B$2, $C$476)),
    IF(
        $E819 &lt;&gt; "",
        $J$476,
        IF(
            $E819 = "",
            FALSE
        )
    ),
    IF(
        COUNTIF($K819:$T819, "&lt;&gt;FALSE") - COUNTBLANK($K819:$T819) &gt; 0,
        INDEX($K819:$T819, MATCH(TRUE, $K819:$T819 &lt;&gt; FALSE, 0))
    )
)</f>
        <v>0</v>
      </c>
      <c r="K819" s="712" t="b">
        <f ca="1">IF(AND($E819&lt;&gt;"",'Start here'!$C$26=RefData!$B$9),ErrorMsgs!$B819)</f>
        <v>0</v>
      </c>
      <c r="L819" s="712" t="b">
        <f ca="1">IF(AND('Start here'!$C$26=RefData!$B$10,'Covenant summary information'!$C$85=0,'Reconciliation report'!$E819&lt;&gt;""),ErrorMsgs!$C819)</f>
        <v>0</v>
      </c>
      <c r="M819" s="712" t="b">
        <f ca="1">IF(AND('Start here'!$C$26=RefData!$B$10,'Covenant summary information'!$C$85&lt;2,'Reconciliation report'!$E819&lt;&gt;""),ErrorMsgs!$D819)</f>
        <v>0</v>
      </c>
      <c r="N819" s="712" t="b">
        <f ca="1">IF(AND('Start here'!$C$26=RefData!$B$10,'Covenant summary information'!$C$85&gt;=2,'Reconciliation report'!$E819&lt;&gt;"",'Other contingent assets'!$C$47&lt;&gt;RefData!$B$204),ErrorMsgs!$E819)</f>
        <v>0</v>
      </c>
      <c r="O819" s="712" t="b">
        <f ca="1">IF(AND('Start here'!$C$26=RefData!$B$10,'Covenant summary information'!$C$85&gt;=2,'Reconciliation report'!$E819="",'Other contingent assets'!$C$47=RefData!$B$204),ErrorMsgs!$F819)</f>
        <v>0</v>
      </c>
      <c r="P819" s="712" t="b">
        <f ca="1">IF(LEN($E819)&gt;4000,ErrorMsgs!$G819)</f>
        <v>0</v>
      </c>
      <c r="Q819" s="712"/>
      <c r="R819" s="712"/>
      <c r="S819" s="712"/>
      <c r="T819" s="712"/>
      <c r="U819" s="526" t="str">
        <f t="shared" ca="1" si="109"/>
        <v/>
      </c>
      <c r="V819" s="93" t="str" cm="1">
        <f t="array" aca="1" ref="V819" ca="1">CELL("format",INDIRECT(I819))</f>
        <v>G</v>
      </c>
      <c r="W819" s="93" t="b">
        <f t="shared" ca="1" si="110"/>
        <v>0</v>
      </c>
      <c r="X819" s="715" t="str">
        <f t="shared" ca="1" si="108"/>
        <v/>
      </c>
      <c r="Y819" t="b">
        <f t="shared" ca="1" si="111"/>
        <v>1</v>
      </c>
    </row>
    <row r="820" spans="1:25" ht="77.5">
      <c r="A820" s="705" t="s">
        <v>1288</v>
      </c>
      <c r="B820" s="716" t="str">
        <f t="shared" ca="1" si="113"/>
        <v>Other contingent assets - C49</v>
      </c>
      <c r="C820" s="707" t="str" cm="1">
        <f t="array" aca="1" ref="C820" ca="1">INDIRECT(LEFT(I820, FIND("!", I820)) &amp; RefData!$C$426 &amp; RIGHT(I820, LEN(I820) - FIND("!", I820) - 1))</f>
        <v xml:space="preserve">
No answer required
Triggers for termination
</v>
      </c>
      <c r="D820" s="92" t="str">
        <f t="shared" ca="1" si="115"/>
        <v/>
      </c>
      <c r="E820" s="708" t="str" cm="1">
        <f t="array" aca="1" ref="E820" ca="1">IF(INDIRECT($I820)= "", "", INDIRECT($I820))</f>
        <v/>
      </c>
      <c r="F820" s="709" t="str" cm="1">
        <f t="array" aca="1" ref="F820" ca="1">INDIRECT(LEFT(I820, FIND("!", I820)) &amp; RefData!$C$427 &amp; RIGHT(I820, LEN(I820) - FIND("!", I820) - 1))</f>
        <v>OA 17.0/2</v>
      </c>
      <c r="G820" s="710" t="b">
        <f ca="1">IF(ISNUMBER(SEARCH(RefData!$B$2, $C820)), FALSE, TRUE)</f>
        <v>0</v>
      </c>
      <c r="H820" s="113">
        <f>'Other contingent assets'!C49</f>
        <v>0</v>
      </c>
      <c r="I820" s="712" t="str">
        <f t="shared" ca="1" si="114"/>
        <v>'Other contingent assets'!C49</v>
      </c>
      <c r="J820" s="713" t="b" cm="1">
        <f t="array" aca="1" ref="J820" ca="1">IF(
    ISNUMBER(SEARCH(RefData!$B$2, $C$476)),
    IF(
        $E820 &lt;&gt; "",
        $J$476,
        IF(
            $E820 = "",
            FALSE
        )
    ),
    IF(
        COUNTIF($K820:$T820, "&lt;&gt;FALSE") - COUNTBLANK($K820:$T820) &gt; 0,
        INDEX($K820:$T820, MATCH(TRUE, $K820:$T820 &lt;&gt; FALSE, 0))
    )
)</f>
        <v>0</v>
      </c>
      <c r="K820" s="712" t="b">
        <f ca="1">IF(AND($E820&lt;&gt;"",'Start here'!$C$26=RefData!$B$9),ErrorMsgs!$B820)</f>
        <v>0</v>
      </c>
      <c r="L820" s="712" t="b">
        <f ca="1">IF(AND('Start here'!$C$26=RefData!$B$10,'Covenant summary information'!$C$85=0,'Reconciliation report'!$E820&lt;&gt;""),ErrorMsgs!$C820)</f>
        <v>0</v>
      </c>
      <c r="M820" s="712" t="b">
        <f ca="1">IF(AND('Start here'!$C$26=RefData!$B$10,'Covenant summary information'!$C$85&lt;2,'Reconciliation report'!$E820&lt;&gt;""),ErrorMsgs!$D820)</f>
        <v>0</v>
      </c>
      <c r="N820" s="712" t="b">
        <f ca="1">IF(AND('Start here'!$C$26=RefData!$B$10,'Covenant summary information'!$C$85&gt;=2,'Reconciliation report'!$E820=""),ErrorMsgs!$E820)</f>
        <v>0</v>
      </c>
      <c r="O820" s="712" t="b">
        <f ca="1">IF(LEN($E820)&gt;4000,ErrorMsgs!$F820)</f>
        <v>0</v>
      </c>
      <c r="P820" s="712"/>
      <c r="Q820" s="712"/>
      <c r="R820" s="712"/>
      <c r="S820" s="712"/>
      <c r="T820" s="712"/>
      <c r="U820" s="526" t="str">
        <f t="shared" ca="1" si="109"/>
        <v/>
      </c>
      <c r="V820" s="93" t="str" cm="1">
        <f t="array" aca="1" ref="V820" ca="1">CELL("format",INDIRECT(I820))</f>
        <v>G</v>
      </c>
      <c r="W820" s="93" t="b">
        <f t="shared" ca="1" si="110"/>
        <v>0</v>
      </c>
      <c r="X820" s="715" t="str">
        <f t="shared" ca="1" si="108"/>
        <v/>
      </c>
      <c r="Y820" t="b">
        <f t="shared" ca="1" si="111"/>
        <v>1</v>
      </c>
    </row>
    <row r="821" spans="1:25" ht="77.5">
      <c r="A821" s="705" t="s">
        <v>1291</v>
      </c>
      <c r="B821" s="716" t="str">
        <f t="shared" ca="1" si="113"/>
        <v>Other contingent assets - C53</v>
      </c>
      <c r="C821" s="707" t="str" cm="1">
        <f t="array" aca="1" ref="C821" ca="1">INDIRECT(LEFT(I821, FIND("!", I821)) &amp; RefData!$C$426 &amp; RIGHT(I821, LEN(I821) - FIND("!", I821) - 1))</f>
        <v xml:space="preserve">
No answer required
What is the type of contingent asset?
</v>
      </c>
      <c r="D821" s="92" t="str">
        <f t="shared" ref="D821:D837" ca="1" si="116">""&amp;IF(J821=FALSE, "", J821)
&amp;""</f>
        <v/>
      </c>
      <c r="E821" s="708" t="str" cm="1">
        <f t="array" aca="1" ref="E821" ca="1">IF(INDIRECT($I821)= "", "", INDIRECT($I821))</f>
        <v/>
      </c>
      <c r="F821" s="709" t="str" cm="1">
        <f t="array" aca="1" ref="F821" ca="1">INDIRECT(LEFT(I821, FIND("!", I821)) &amp; RefData!$C$427 &amp; RIGHT(I821, LEN(I821) - FIND("!", I821) - 1))</f>
        <v>OA 1.0/3</v>
      </c>
      <c r="G821" s="710" t="b">
        <f ca="1">IF(ISNUMBER(SEARCH(RefData!$B$2, $C821)), FALSE, TRUE)</f>
        <v>0</v>
      </c>
      <c r="H821" s="113">
        <f>'Other contingent assets'!C53</f>
        <v>0</v>
      </c>
      <c r="I821" s="712" t="str">
        <f t="shared" ca="1" si="114"/>
        <v>'Other contingent assets'!C53</v>
      </c>
      <c r="J821" s="713" t="b" cm="1">
        <f t="array" aca="1" ref="J821" ca="1">IF(
    ISNUMBER(SEARCH(RefData!$B$2, $C$476)),
    IF(
        $E821 &lt;&gt; "",
        $J$476,
        IF(
            $E821 = "",
            FALSE
        )
    ),
    IF(
        COUNTIF($K821:$T821, "&lt;&gt;FALSE") - COUNTBLANK($K821:$T821) &gt; 0,
        INDEX($K821:$T821, MATCH(TRUE, $K821:$T821 &lt;&gt; FALSE, 0))
    )
)</f>
        <v>0</v>
      </c>
      <c r="K821" s="712" t="b">
        <f ca="1">IF(AND('Covenant summary information'!$C$85=0,$E821&lt;&gt;""),ErrorMsgs!$B821)</f>
        <v>0</v>
      </c>
      <c r="L821" s="712" t="b">
        <f ca="1">IF(AND('Covenant summary information'!$C$85&lt;3,$E821&lt;&gt;""),ErrorMsgs!$C821)</f>
        <v>0</v>
      </c>
      <c r="M821" s="712" t="b">
        <f ca="1">IF(AND($E821="",'Covenant summary information'!$C$85&gt;=3),ErrorMsgs!$D821)</f>
        <v>0</v>
      </c>
      <c r="N821" s="712" t="b">
        <f ca="1">IF(AND('Covenant summary information'!$C$85&gt;=3,ISNA(MATCH($E821,RefData!$B$161:$B$165, 0))),ErrorMsgs!$E821)</f>
        <v>0</v>
      </c>
      <c r="O821" s="712"/>
      <c r="P821" s="712"/>
      <c r="Q821" s="712"/>
      <c r="R821" s="712"/>
      <c r="S821" s="712"/>
      <c r="T821" s="712"/>
      <c r="U821" s="526" t="str">
        <f t="shared" ca="1" si="109"/>
        <v/>
      </c>
      <c r="V821" s="93" t="str" cm="1">
        <f t="array" aca="1" ref="V821" ca="1">CELL("format",INDIRECT(I821))</f>
        <v>G</v>
      </c>
      <c r="W821" s="93" t="b">
        <f t="shared" ca="1" si="110"/>
        <v>0</v>
      </c>
      <c r="X821" s="715" t="str">
        <f t="shared" ca="1" si="108"/>
        <v/>
      </c>
      <c r="Y821" t="b">
        <f t="shared" ca="1" si="111"/>
        <v>1</v>
      </c>
    </row>
    <row r="822" spans="1:25" ht="77.5">
      <c r="A822" s="705" t="s">
        <v>1294</v>
      </c>
      <c r="B822" s="716" t="str">
        <f t="shared" ca="1" si="113"/>
        <v>Other contingent assets - C54</v>
      </c>
      <c r="C822" s="707" t="str" cm="1">
        <f t="array" aca="1" ref="C822" ca="1">INDIRECT(LEFT(I822, FIND("!", I822)) &amp; RefData!$C$426 &amp; RIGHT(I822, LEN(I822) - FIND("!", I822) - 1))</f>
        <v xml:space="preserve">
No answer required
Provide specific details of the contingent asset
</v>
      </c>
      <c r="D822" s="92" t="str">
        <f t="shared" ca="1" si="116"/>
        <v/>
      </c>
      <c r="E822" s="708" t="str" cm="1">
        <f t="array" aca="1" ref="E822" ca="1">IF(INDIRECT($I822)= "", "", INDIRECT($I822))</f>
        <v/>
      </c>
      <c r="F822" s="709" t="str" cm="1">
        <f t="array" aca="1" ref="F822" ca="1">INDIRECT(LEFT(I822, FIND("!", I822)) &amp; RefData!$C$427 &amp; RIGHT(I822, LEN(I822) - FIND("!", I822) - 1))</f>
        <v>OA 2.0/3</v>
      </c>
      <c r="G822" s="710" t="b">
        <f ca="1">IF(ISNUMBER(SEARCH(RefData!$B$2, $C822)), FALSE, TRUE)</f>
        <v>0</v>
      </c>
      <c r="H822" s="113">
        <f>'Other contingent assets'!C54</f>
        <v>0</v>
      </c>
      <c r="I822" s="712" t="str">
        <f t="shared" ca="1" si="114"/>
        <v>'Other contingent assets'!C54</v>
      </c>
      <c r="J822" s="713" t="b" cm="1">
        <f t="array" aca="1" ref="J822" ca="1">IF(
    ISNUMBER(SEARCH(RefData!$B$2, $C$476)),
    IF(
        $E822 &lt;&gt; "",
        $J$476,
        IF(
            $E822 = "",
            FALSE
        )
    ),
    IF(
        COUNTIF($K822:$T822, "&lt;&gt;FALSE") - COUNTBLANK($K822:$T822) &gt; 0,
        INDEX($K822:$T822, MATCH(TRUE, $K822:$T822 &lt;&gt; FALSE, 0))
    )
)</f>
        <v>0</v>
      </c>
      <c r="K822" s="712" t="b">
        <f ca="1">IF(AND('Covenant summary information'!$C$85=0,$E822&lt;&gt;""),ErrorMsgs!$B822)</f>
        <v>0</v>
      </c>
      <c r="L822" s="712" t="b">
        <f ca="1">IF(AND('Covenant summary information'!$C$85&lt;3,'Reconciliation report'!$E822&lt;&gt;""),ErrorMsgs!$C822)</f>
        <v>0</v>
      </c>
      <c r="M822" s="712" t="b">
        <f ca="1">IF(AND('Covenant summary information'!$C$85&gt;=3,'Reconciliation report'!$E822&lt;&gt;"",NOT(OR($E821=RefData!$B$165,$E821=RefData!$B$164))),ErrorMsgs!$D822)</f>
        <v>0</v>
      </c>
      <c r="N822" s="712" t="b">
        <f ca="1">IF(AND('Covenant summary information'!$C$85&gt;=3,'Reconciliation report'!$E822="",OR($E821=RefData!$B$165,$E821=RefData!$B$164)),ErrorMsgs!$E822)</f>
        <v>0</v>
      </c>
      <c r="O822" s="712" t="b">
        <f ca="1">IF(LEN($E822)&gt;4000,ErrorMsgs!$F822)</f>
        <v>0</v>
      </c>
      <c r="P822" s="712"/>
      <c r="Q822" s="712"/>
      <c r="R822" s="712"/>
      <c r="S822" s="712"/>
      <c r="T822" s="712"/>
      <c r="U822" s="526" t="str">
        <f t="shared" ca="1" si="109"/>
        <v/>
      </c>
      <c r="V822" s="93" t="str" cm="1">
        <f t="array" aca="1" ref="V822" ca="1">CELL("format",INDIRECT(I822))</f>
        <v>G</v>
      </c>
      <c r="W822" s="93" t="b">
        <f t="shared" ca="1" si="110"/>
        <v>0</v>
      </c>
      <c r="X822" s="715" t="str">
        <f t="shared" ca="1" si="108"/>
        <v/>
      </c>
      <c r="Y822" t="b">
        <f t="shared" ca="1" si="111"/>
        <v>1</v>
      </c>
    </row>
    <row r="823" spans="1:25" ht="77.5">
      <c r="A823" s="705" t="s">
        <v>1296</v>
      </c>
      <c r="B823" s="716" t="str">
        <f t="shared" ca="1" si="113"/>
        <v>Other contingent assets - C55</v>
      </c>
      <c r="C823" s="707" t="str" cm="1">
        <f t="array" aca="1" ref="C823" ca="1">INDIRECT(LEFT(I823, FIND("!", I823)) &amp; RefData!$C$426 &amp; RIGHT(I823, LEN(I823) - FIND("!", I823) - 1))</f>
        <v xml:space="preserve">
No answer required
Maturity type
</v>
      </c>
      <c r="D823" s="92" t="str">
        <f t="shared" ca="1" si="116"/>
        <v/>
      </c>
      <c r="E823" s="708" t="str" cm="1">
        <f t="array" aca="1" ref="E823" ca="1">IF(INDIRECT($I823)= "", "", INDIRECT($I823))</f>
        <v/>
      </c>
      <c r="F823" s="709" t="str" cm="1">
        <f t="array" aca="1" ref="F823" ca="1">INDIRECT(LEFT(I823, FIND("!", I823)) &amp; RefData!$C$427 &amp; RIGHT(I823, LEN(I823) - FIND("!", I823) - 1))</f>
        <v>OA 3.0/3</v>
      </c>
      <c r="G823" s="710" t="b">
        <f ca="1">IF(ISNUMBER(SEARCH(RefData!$B$2, $C823)), FALSE, TRUE)</f>
        <v>0</v>
      </c>
      <c r="H823" s="113">
        <f>'Other contingent assets'!C55</f>
        <v>0</v>
      </c>
      <c r="I823" s="712" t="str">
        <f t="shared" ca="1" si="114"/>
        <v>'Other contingent assets'!C55</v>
      </c>
      <c r="J823" s="713" t="b" cm="1">
        <f t="array" aca="1" ref="J823" ca="1">IF(
    ISNUMBER(SEARCH(RefData!$B$2, $C$476)),
    IF(
        $E823 &lt;&gt; "",
        $J$476,
        IF(
            $E823 = "",
            FALSE
        )
    ),
    IF(
        COUNTIF($K823:$T823, "&lt;&gt;FALSE") - COUNTBLANK($K823:$T823) &gt; 0,
        INDEX($K823:$T823, MATCH(TRUE, $K823:$T823 &lt;&gt; FALSE, 0))
    )
)</f>
        <v>0</v>
      </c>
      <c r="K823" s="712" t="b">
        <f ca="1">IF(AND('Start here'!$C$26=RefData!$B$9,$E823&lt;&gt;""),ErrorMsgs!$B823)</f>
        <v>0</v>
      </c>
      <c r="L823" s="712" t="b">
        <f ca="1">IF(AND('Start here'!$C$26=RefData!$B$10,'Covenant summary information'!$C$85=0,'Reconciliation report'!$E823&lt;&gt;""),ErrorMsgs!$C823)</f>
        <v>0</v>
      </c>
      <c r="M823" s="712" t="b">
        <f ca="1">IF(AND('Start here'!$C$26=RefData!$B$10,'Covenant summary information'!$C$85&lt;3,'Reconciliation report'!$E823&lt;&gt;""),ErrorMsgs!$D823)</f>
        <v>0</v>
      </c>
      <c r="N823" s="712" t="b">
        <f ca="1">IF(AND('Start here'!$C$26=RefData!$B$10,'Covenant summary information'!$C$85&gt;=3,'Reconciliation report'!$E823=""),ErrorMsgs!$E823)</f>
        <v>0</v>
      </c>
      <c r="O823" s="712" t="b">
        <f ca="1">IF($E823="",FALSE,IF(ISNA(MATCH($E823,RefData!$B$166:$B$168,0)),ErrorMsgs!$F823))</f>
        <v>0</v>
      </c>
      <c r="P823" s="712"/>
      <c r="Q823" s="712"/>
      <c r="R823" s="712"/>
      <c r="S823" s="712"/>
      <c r="T823" s="712"/>
      <c r="U823" s="526" t="str">
        <f t="shared" ca="1" si="109"/>
        <v/>
      </c>
      <c r="V823" s="93" t="str" cm="1">
        <f t="array" aca="1" ref="V823" ca="1">CELL("format",INDIRECT(I823))</f>
        <v>G</v>
      </c>
      <c r="W823" s="93" t="b">
        <f t="shared" ca="1" si="110"/>
        <v>0</v>
      </c>
      <c r="X823" s="715" t="str">
        <f t="shared" ca="1" si="108"/>
        <v/>
      </c>
      <c r="Y823" t="b">
        <f t="shared" ca="1" si="111"/>
        <v>1</v>
      </c>
    </row>
    <row r="824" spans="1:25" ht="77.5">
      <c r="A824" s="705" t="s">
        <v>1298</v>
      </c>
      <c r="B824" s="716" t="str">
        <f t="shared" ca="1" si="113"/>
        <v>Other contingent assets - C56</v>
      </c>
      <c r="C824" s="707" t="str" cm="1">
        <f t="array" aca="1" ref="C824" ca="1">INDIRECT(LEFT(I824, FIND("!", I824)) &amp; RefData!$C$426 &amp; RIGHT(I824, LEN(I824) - FIND("!", I824) - 1))</f>
        <v xml:space="preserve">
No answer required
Date of Maturity
</v>
      </c>
      <c r="D824" s="92" t="str">
        <f t="shared" ca="1" si="116"/>
        <v/>
      </c>
      <c r="E824" s="708" t="str" cm="1">
        <f t="array" aca="1" ref="E824" ca="1">IF(INDIRECT($I824)= "", "", INDIRECT($I824))</f>
        <v/>
      </c>
      <c r="F824" s="709" t="str" cm="1">
        <f t="array" aca="1" ref="F824" ca="1">INDIRECT(LEFT(I824, FIND("!", I824)) &amp; RefData!$C$427 &amp; RIGHT(I824, LEN(I824) - FIND("!", I824) - 1))</f>
        <v>OA 4.0/3</v>
      </c>
      <c r="G824" s="710" t="b">
        <f ca="1">IF(ISNUMBER(SEARCH(RefData!$B$2, $C824)), FALSE, TRUE)</f>
        <v>0</v>
      </c>
      <c r="H824" s="391">
        <f>'Other contingent assets'!C56</f>
        <v>0</v>
      </c>
      <c r="I824" s="712" t="str">
        <f t="shared" ca="1" si="114"/>
        <v>'Other contingent assets'!C56</v>
      </c>
      <c r="J824" s="713" t="b" cm="1">
        <f t="array" aca="1" ref="J824" ca="1">IF(
    ISNUMBER(SEARCH(RefData!$B$2, $C$476)),
    IF(
        $E824 &lt;&gt; "",
        $J$476,
        IF(
            $E824 = "",
            FALSE
        )
    ),
    IF(
        COUNTIF($K824:$T824, "&lt;&gt;FALSE") - COUNTBLANK($K824:$T824) &gt; 0,
        INDEX($K824:$T824, MATCH(TRUE, $K824:$T824 &lt;&gt; FALSE, 0))
    )
)</f>
        <v>0</v>
      </c>
      <c r="K824" s="712" t="b">
        <f ca="1">IF(AND($E824&lt;&gt;"",'Start here'!$C$26=RefData!$B$9),ErrorMsgs!$B824)</f>
        <v>0</v>
      </c>
      <c r="L824" s="712" t="b">
        <f ca="1">IF(AND('Start here'!$C$26=RefData!$B$10,'Covenant summary information'!$C$85=0,'Reconciliation report'!$E824&lt;&gt;""),ErrorMsgs!$C824)</f>
        <v>0</v>
      </c>
      <c r="M824" s="712" t="b">
        <f ca="1">IF(AND('Start here'!$C$26=RefData!$B$10,'Covenant summary information'!$C$85&lt;3,'Reconciliation report'!$E824&lt;&gt;""),ErrorMsgs!$D824)</f>
        <v>0</v>
      </c>
      <c r="N824" s="712" t="b">
        <f ca="1">IF(AND('Start here'!$C$26=RefData!$B$10,'Covenant summary information'!$C$85&gt;=3,'Reconciliation report'!$E824&lt;&gt;"",OR($E823=RefData!$B$166,$E823=RefData!$B$168)),ErrorMsgs!$E824)</f>
        <v>0</v>
      </c>
      <c r="O824" s="712" t="b">
        <f ca="1">IF(AND('Start here'!$C$26=RefData!$B$10,'Covenant summary information'!$C$85&gt;=3,'Reconciliation report'!$E824="",$E823=RefData!$B$167),ErrorMsgs!$F824)</f>
        <v>0</v>
      </c>
      <c r="P824" s="712" t="b">
        <f ca="1">IF($E824="",FALSE,IF(NOT(ISNUMBER($E824)),ErrorMsgs!$G824))</f>
        <v>0</v>
      </c>
      <c r="Q824" s="712" t="b">
        <f ca="1">IF($E824&lt;'Start here'!$C$21,ErrorMsgs!$H824)</f>
        <v>0</v>
      </c>
      <c r="R824" s="712"/>
      <c r="S824" s="712"/>
      <c r="T824" s="712"/>
      <c r="U824" s="526" t="str">
        <f t="shared" ca="1" si="109"/>
        <v/>
      </c>
      <c r="V824" s="93" t="str" cm="1">
        <f t="array" aca="1" ref="V824" ca="1">CELL("format",INDIRECT(I824))</f>
        <v>D1</v>
      </c>
      <c r="W824" s="93" t="b">
        <f t="shared" ca="1" si="110"/>
        <v>0</v>
      </c>
      <c r="X824" s="715" t="str">
        <f t="shared" ca="1" si="108"/>
        <v/>
      </c>
      <c r="Y824" t="b">
        <f t="shared" ca="1" si="111"/>
        <v>1</v>
      </c>
    </row>
    <row r="825" spans="1:25" ht="77.5">
      <c r="A825" s="705" t="s">
        <v>1300</v>
      </c>
      <c r="B825" s="716" t="str">
        <f t="shared" ca="1" si="113"/>
        <v>Other contingent assets - C57</v>
      </c>
      <c r="C825" s="707" t="str" cm="1">
        <f t="array" aca="1" ref="C825" ca="1">INDIRECT(LEFT(I825, FIND("!", I825)) &amp; RefData!$C$426 &amp; RIGHT(I825, LEN(I825) - FIND("!", I825) - 1))</f>
        <v xml:space="preserve">
No answer required
Maturity date narrative
</v>
      </c>
      <c r="D825" s="92" t="str">
        <f t="shared" ca="1" si="116"/>
        <v/>
      </c>
      <c r="E825" s="708" t="str" cm="1">
        <f t="array" aca="1" ref="E825" ca="1">IF(INDIRECT($I825)= "", "", INDIRECT($I825))</f>
        <v/>
      </c>
      <c r="F825" s="709" t="str" cm="1">
        <f t="array" aca="1" ref="F825" ca="1">INDIRECT(LEFT(I825, FIND("!", I825)) &amp; RefData!$C$427 &amp; RIGHT(I825, LEN(I825) - FIND("!", I825) - 1))</f>
        <v>OA 5.0/3</v>
      </c>
      <c r="G825" s="710" t="b">
        <f ca="1">IF(ISNUMBER(SEARCH(RefData!$B$2, $C825)), FALSE, TRUE)</f>
        <v>0</v>
      </c>
      <c r="H825" s="113">
        <f>'Other contingent assets'!C57</f>
        <v>0</v>
      </c>
      <c r="I825" s="712" t="str">
        <f t="shared" ca="1" si="114"/>
        <v>'Other contingent assets'!C57</v>
      </c>
      <c r="J825" s="713" t="b" cm="1">
        <f t="array" aca="1" ref="J825" ca="1">IF(
    ISNUMBER(SEARCH(RefData!$B$2, $C$476)),
    IF(
        $E825 &lt;&gt; "",
        $J$476,
        IF(
            $E825 = "",
            FALSE
        )
    ),
    IF(
        COUNTIF($K825:$T825, "&lt;&gt;FALSE") - COUNTBLANK($K825:$T825) &gt; 0,
        INDEX($K825:$T825, MATCH(TRUE, $K825:$T825 &lt;&gt; FALSE, 0))
    )
)</f>
        <v>0</v>
      </c>
      <c r="K825" s="712" t="b">
        <f ca="1">IF(AND($E825&lt;&gt;"",'Start here'!$C$26=RefData!$B$9),ErrorMsgs!$B825)</f>
        <v>0</v>
      </c>
      <c r="L825" s="712" t="b">
        <f ca="1">IF(AND('Start here'!$C$26=RefData!$B$10,'Covenant summary information'!$C$85=0,'Reconciliation report'!$E825&lt;&gt;""),ErrorMsgs!$C825)</f>
        <v>0</v>
      </c>
      <c r="M825" s="712" t="b">
        <f ca="1">IF(AND('Start here'!$C$26=RefData!$B$10,'Covenant summary information'!$C$85&lt;3,'Reconciliation report'!$E825&lt;&gt;""),ErrorMsgs!$D825)</f>
        <v>0</v>
      </c>
      <c r="N825" s="712" t="b">
        <f ca="1">IF(AND('Start here'!$C$26=RefData!$B$10,'Covenant summary information'!$C$85&gt;=3,'Reconciliation report'!$E825&lt;&gt;"",$E823&lt;&gt;RefData!$B$168),ErrorMsgs!$E825)</f>
        <v>0</v>
      </c>
      <c r="O825" s="712" t="b">
        <f ca="1">IF(AND('Start here'!$C$26=RefData!$B$10,'Covenant summary information'!$C$85&gt;=3,'Reconciliation report'!$E825="",$E823=RefData!$B$168),ErrorMsgs!$F825)</f>
        <v>0</v>
      </c>
      <c r="P825" s="712" t="b">
        <f ca="1">IF(LEN($E825)&gt;4000,ErrorMsgs!$G825)</f>
        <v>0</v>
      </c>
      <c r="Q825" s="712"/>
      <c r="R825" s="712"/>
      <c r="S825" s="712"/>
      <c r="T825" s="712"/>
      <c r="U825" s="526" t="str">
        <f t="shared" ca="1" si="109"/>
        <v/>
      </c>
      <c r="V825" s="93" t="str" cm="1">
        <f t="array" aca="1" ref="V825" ca="1">CELL("format",INDIRECT(I825))</f>
        <v>G</v>
      </c>
      <c r="W825" s="93" t="b">
        <f t="shared" ca="1" si="110"/>
        <v>0</v>
      </c>
      <c r="X825" s="715" t="str">
        <f t="shared" ca="1" si="108"/>
        <v/>
      </c>
      <c r="Y825" t="b">
        <f t="shared" ca="1" si="111"/>
        <v>1</v>
      </c>
    </row>
    <row r="826" spans="1:25" ht="77.5">
      <c r="A826" s="705" t="s">
        <v>1302</v>
      </c>
      <c r="B826" s="716" t="str">
        <f t="shared" ca="1" si="113"/>
        <v>Other contingent assets - C58</v>
      </c>
      <c r="C826" s="707" t="str" cm="1">
        <f t="array" aca="1" ref="C826" ca="1">INDIRECT(LEFT(I826, FIND("!", I826)) &amp; RefData!$C$426 &amp; RIGHT(I826, LEN(I826) - FIND("!", I826) - 1))</f>
        <v xml:space="preserve">
No answer required
Value ascribed (£)
</v>
      </c>
      <c r="D826" s="92" t="str">
        <f t="shared" ca="1" si="116"/>
        <v/>
      </c>
      <c r="E826" s="708" t="str" cm="1">
        <f t="array" aca="1" ref="E826" ca="1">IF(INDIRECT($I826)= "", "", INDIRECT($I826))</f>
        <v/>
      </c>
      <c r="F826" s="709" t="str" cm="1">
        <f t="array" aca="1" ref="F826" ca="1">INDIRECT(LEFT(I826, FIND("!", I826)) &amp; RefData!$C$427 &amp; RIGHT(I826, LEN(I826) - FIND("!", I826) - 1))</f>
        <v>OA 6.0/3</v>
      </c>
      <c r="G826" s="710" t="b">
        <f ca="1">IF(ISNUMBER(SEARCH(RefData!$B$2, $C826)), FALSE, TRUE)</f>
        <v>0</v>
      </c>
      <c r="H826" s="96">
        <f>'Other contingent assets'!C58</f>
        <v>0</v>
      </c>
      <c r="I826" s="712" t="str">
        <f t="shared" ca="1" si="114"/>
        <v>'Other contingent assets'!C58</v>
      </c>
      <c r="J826" s="713" t="b" cm="1">
        <f t="array" aca="1" ref="J826" ca="1">IF(
    ISNUMBER(SEARCH(RefData!$B$2, $C$476)),
    IF(
        $E826 &lt;&gt; "",
        $J$476,
        IF(
            $E826 = "",
            FALSE
        )
    ),
    IF(
        COUNTIF($K826:$T826, "&lt;&gt;FALSE") - COUNTBLANK($K826:$T826) &gt; 0,
        INDEX($K826:$T826, MATCH(TRUE, $K826:$T826 &lt;&gt; FALSE, 0))
    )
)</f>
        <v>0</v>
      </c>
      <c r="K826" s="712" t="b">
        <f ca="1">IF(AND($E826&lt;&gt;"",'Covenant summary information'!$C$85=0),ErrorMsgs!$B826)</f>
        <v>0</v>
      </c>
      <c r="L826" s="712" t="b">
        <f ca="1">IF(AND($E826&lt;&gt;"",'Covenant summary information'!$C$85&lt;3),ErrorMsgs!$C826)</f>
        <v>0</v>
      </c>
      <c r="M826" s="712" t="b">
        <f ca="1">IF(AND($E826="",'Covenant summary information'!$C$85&gt;=3),ErrorMsgs!$D826)</f>
        <v>0</v>
      </c>
      <c r="N826" s="712" t="b">
        <f ca="1">IF($E$826="",FALSE,IF(NOT(ISNUMBER($E826)),ErrorMsgs!$E826,IF(OR($E826-ROUND($E826,2)&lt;&gt;0,$E826&lt;0,$E826&gt;1000000000000),ErrorMsgs!$E826)))</f>
        <v>0</v>
      </c>
      <c r="O826" s="712"/>
      <c r="P826" s="712"/>
      <c r="Q826" s="712"/>
      <c r="R826" s="712"/>
      <c r="S826" s="712"/>
      <c r="T826" s="712"/>
      <c r="U826" s="526" t="str">
        <f t="shared" ca="1" si="109"/>
        <v/>
      </c>
      <c r="V826" s="93" t="str" cm="1">
        <f t="array" aca="1" ref="V826" ca="1">CELL("format",INDIRECT(I826))</f>
        <v>C2</v>
      </c>
      <c r="W826" s="93" t="b">
        <f t="shared" ca="1" si="110"/>
        <v>0</v>
      </c>
      <c r="X826" s="715" t="str">
        <f t="shared" ca="1" si="108"/>
        <v/>
      </c>
      <c r="Y826" t="b">
        <f t="shared" ca="1" si="111"/>
        <v>1</v>
      </c>
    </row>
    <row r="827" spans="1:25" ht="77.5">
      <c r="A827" s="705" t="s">
        <v>1304</v>
      </c>
      <c r="B827" s="716" t="str">
        <f t="shared" ca="1" si="113"/>
        <v>Other contingent assets - C59</v>
      </c>
      <c r="C827" s="707" t="str" cm="1">
        <f t="array" aca="1" ref="C827" ca="1">INDIRECT(LEFT(I827, FIND("!", I827)) &amp; RefData!$C$426 &amp; RIGHT(I827, LEN(I827) - FIND("!", I827) - 1))</f>
        <v xml:space="preserve">
No answer required
Date of valuation
</v>
      </c>
      <c r="D827" s="92" t="str">
        <f t="shared" ca="1" si="116"/>
        <v/>
      </c>
      <c r="E827" s="708" t="str" cm="1">
        <f t="array" aca="1" ref="E827" ca="1">IF(INDIRECT($I827)= "", "", INDIRECT($I827))</f>
        <v/>
      </c>
      <c r="F827" s="709" t="str" cm="1">
        <f t="array" aca="1" ref="F827" ca="1">INDIRECT(LEFT(I827, FIND("!", I827)) &amp; RefData!$C$427 &amp; RIGHT(I827, LEN(I827) - FIND("!", I827) - 1))</f>
        <v>OA 7.0/3</v>
      </c>
      <c r="G827" s="710" t="b">
        <f ca="1">IF(ISNUMBER(SEARCH(RefData!$B$2, $C827)), FALSE, TRUE)</f>
        <v>0</v>
      </c>
      <c r="H827" s="113">
        <f>'Other contingent assets'!C59</f>
        <v>0</v>
      </c>
      <c r="I827" s="712" t="str">
        <f t="shared" ca="1" si="114"/>
        <v>'Other contingent assets'!C59</v>
      </c>
      <c r="J827" s="713" t="b" cm="1">
        <f t="array" aca="1" ref="J827" ca="1">IF(
    ISNUMBER(SEARCH(RefData!$B$2, $C$476)),
    IF(
        $E827 &lt;&gt; "",
        $J$476,
        IF(
            $E827 = "",
            FALSE
        )
    ),
    IF(
        COUNTIF($K827:$T827, "&lt;&gt;FALSE") - COUNTBLANK($K827:$T827) &gt; 0,
        INDEX($K827:$T827, MATCH(TRUE, $K827:$T827 &lt;&gt; FALSE, 0))
    )
)</f>
        <v>0</v>
      </c>
      <c r="K827" s="712" t="b">
        <f ca="1">IF(AND($E827&lt;&gt;"",'Covenant summary information'!$C$85=0),ErrorMsgs!$B827)</f>
        <v>0</v>
      </c>
      <c r="L827" s="712" t="b">
        <f ca="1">IF(AND($E827&lt;&gt;"",'Covenant summary information'!$C$85&lt;3),ErrorMsgs!$C827)</f>
        <v>0</v>
      </c>
      <c r="M827" s="712" t="b">
        <f ca="1">IF(AND($E827="",'Covenant summary information'!$C$85&gt;=3),ErrorMsgs!$D827)</f>
        <v>0</v>
      </c>
      <c r="N827" s="712" t="b">
        <f ca="1">IF(AND('Covenant summary information'!$C$85&gt;=3,NOT(ISNUMBER($E827))),ErrorMsgs!$E827)</f>
        <v>0</v>
      </c>
      <c r="O827" s="712" t="b">
        <f ca="1">IF($E827="",FALSE,IF($E827&gt;TODAY(),ErrorMsgs!$F827))</f>
        <v>0</v>
      </c>
      <c r="P827" s="712"/>
      <c r="Q827" s="712"/>
      <c r="R827" s="712"/>
      <c r="S827" s="712"/>
      <c r="T827" s="712"/>
      <c r="U827" s="526" t="str">
        <f t="shared" ca="1" si="109"/>
        <v/>
      </c>
      <c r="V827" s="93" t="str" cm="1">
        <f t="array" aca="1" ref="V827" ca="1">CELL("format",INDIRECT(I827))</f>
        <v>D1</v>
      </c>
      <c r="W827" s="93" t="b">
        <f t="shared" ca="1" si="110"/>
        <v>0</v>
      </c>
      <c r="X827" s="715" t="str">
        <f t="shared" ca="1" si="108"/>
        <v/>
      </c>
      <c r="Y827" t="b">
        <f t="shared" ca="1" si="111"/>
        <v>1</v>
      </c>
    </row>
    <row r="828" spans="1:25" ht="61.25" customHeight="1">
      <c r="A828" s="705" t="s">
        <v>1306</v>
      </c>
      <c r="B828" s="716" t="str">
        <f t="shared" ca="1" si="113"/>
        <v>Other contingent assets - C60</v>
      </c>
      <c r="C828" s="707" t="str" cm="1">
        <f t="array" aca="1" ref="C828" ca="1">INDIRECT(LEFT(I828, FIND("!", I828)) &amp; RefData!$C$426 &amp; RIGHT(I828, LEN(I828) - FIND("!", I828) - 1))</f>
        <v xml:space="preserve">
No answer required
Value cap
</v>
      </c>
      <c r="D828" s="92" t="str">
        <f t="shared" ca="1" si="116"/>
        <v/>
      </c>
      <c r="E828" s="708" t="str" cm="1">
        <f t="array" aca="1" ref="E828" ca="1">IF(INDIRECT($I828)= "", "", INDIRECT($I828))</f>
        <v/>
      </c>
      <c r="F828" s="709" t="str" cm="1">
        <f t="array" aca="1" ref="F828" ca="1">INDIRECT(LEFT(I828, FIND("!", I828)) &amp; RefData!$C$427 &amp; RIGHT(I828, LEN(I828) - FIND("!", I828) - 1))</f>
        <v>OA 8.0/3</v>
      </c>
      <c r="G828" s="710" t="b">
        <f ca="1">IF(ISNUMBER(SEARCH(RefData!$B$2, $C828)), FALSE, TRUE)</f>
        <v>0</v>
      </c>
      <c r="H828" s="113">
        <f>'Other contingent assets'!C60</f>
        <v>0</v>
      </c>
      <c r="I828" s="712" t="str">
        <f t="shared" ca="1" si="114"/>
        <v>'Other contingent assets'!C60</v>
      </c>
      <c r="J828" s="713" t="b" cm="1">
        <f t="array" aca="1" ref="J828" ca="1">IF(
    ISNUMBER(SEARCH(RefData!$B$2, $C$476)),
    IF(
        $E828 &lt;&gt; "",
        $J$476,
        IF(
            $E828 = "",
            FALSE
        )
    ),
    IF(
        COUNTIF($K828:$T828, "&lt;&gt;FALSE") - COUNTBLANK($K828:$T828) &gt; 0,
        INDEX($K828:$T828, MATCH(TRUE, $K828:$T828 &lt;&gt; FALSE, 0))
    )
)</f>
        <v>0</v>
      </c>
      <c r="K828" s="712" t="b">
        <f ca="1">IF(AND($E828&lt;&gt;"",'Start here'!$C$26=RefData!$B$9),ErrorMsgs!$B828)</f>
        <v>0</v>
      </c>
      <c r="L828" s="712" t="b">
        <f ca="1">IF(AND($E828&lt;&gt;"",'Start here'!$C$26=RefData!$B$10, 'Covenant summary information'!$C$85=0),ErrorMsgs!$C828)</f>
        <v>0</v>
      </c>
      <c r="M828" s="712" t="b">
        <f ca="1">IF(AND($E828&lt;&gt;"",'Start here'!$C$26=RefData!$B$10, 'Covenant summary information'!$C$85&lt;3),ErrorMsgs!$D828)</f>
        <v>0</v>
      </c>
      <c r="N828" s="712" t="b">
        <f ca="1">IF(AND($E828="",'Start here'!$C$26=RefData!$B$10, 'Covenant summary information'!$C$85&gt;=3),ErrorMsgs!$E828)</f>
        <v>0</v>
      </c>
      <c r="O828" s="712" t="b">
        <f ca="1">IF($E828="",FALSE,IF(ISNA(MATCH($E828,RefData!$B$169:$B$175,0)),ErrorMsgs!$F828))</f>
        <v>0</v>
      </c>
      <c r="P828" s="712"/>
      <c r="Q828" s="712"/>
      <c r="R828" s="712"/>
      <c r="S828" s="712"/>
      <c r="T828" s="712"/>
      <c r="U828" s="526" t="str">
        <f t="shared" ca="1" si="109"/>
        <v/>
      </c>
      <c r="V828" s="93" t="str" cm="1">
        <f t="array" aca="1" ref="V828" ca="1">CELL("format",INDIRECT(I828))</f>
        <v>G</v>
      </c>
      <c r="W828" s="93" t="b">
        <f t="shared" ca="1" si="110"/>
        <v>0</v>
      </c>
      <c r="X828" s="715" t="str">
        <f t="shared" ca="1" si="108"/>
        <v/>
      </c>
      <c r="Y828" t="b">
        <f t="shared" ca="1" si="111"/>
        <v>1</v>
      </c>
    </row>
    <row r="829" spans="1:25" ht="77.5">
      <c r="A829" s="705" t="s">
        <v>1308</v>
      </c>
      <c r="B829" s="716" t="str">
        <f t="shared" ca="1" si="113"/>
        <v>Other contingent assets - C61</v>
      </c>
      <c r="C829" s="707" t="str" cm="1">
        <f t="array" aca="1" ref="C829" ca="1">INDIRECT(LEFT(I829, FIND("!", I829)) &amp; RefData!$C$426 &amp; RIGHT(I829, LEN(I829) - FIND("!", I829) - 1))</f>
        <v xml:space="preserve">
No answer required
Narrative regarding value cap
</v>
      </c>
      <c r="D829" s="92" t="str">
        <f t="shared" ca="1" si="116"/>
        <v/>
      </c>
      <c r="E829" s="708" t="str" cm="1">
        <f t="array" aca="1" ref="E829" ca="1">IF(INDIRECT($I829)= "", "", INDIRECT($I829))</f>
        <v/>
      </c>
      <c r="F829" s="709" t="str" cm="1">
        <f t="array" aca="1" ref="F829" ca="1">INDIRECT(LEFT(I829, FIND("!", I829)) &amp; RefData!$C$427 &amp; RIGHT(I829, LEN(I829) - FIND("!", I829) - 1))</f>
        <v>OA 9.0/3</v>
      </c>
      <c r="G829" s="710" t="b">
        <f ca="1">IF(ISNUMBER(SEARCH(RefData!$B$2, $C829)), FALSE, TRUE)</f>
        <v>0</v>
      </c>
      <c r="H829" s="113">
        <f>'Other contingent assets'!C61</f>
        <v>0</v>
      </c>
      <c r="I829" s="712" t="str">
        <f t="shared" ca="1" si="114"/>
        <v>'Other contingent assets'!C61</v>
      </c>
      <c r="J829" s="713" t="b" cm="1">
        <f t="array" aca="1" ref="J829" ca="1">IF(
    ISNUMBER(SEARCH(RefData!$B$2, $C$476)),
    IF(
        $E829 &lt;&gt; "",
        $J$476,
        IF(
            $E829 = "",
            FALSE
        )
    ),
    IF(
        COUNTIF($K829:$T829, "&lt;&gt;FALSE") - COUNTBLANK($K829:$T829) &gt; 0,
        INDEX($K829:$T829, MATCH(TRUE, $K829:$T829 &lt;&gt; FALSE, 0))
    )
)</f>
        <v>0</v>
      </c>
      <c r="K829" s="712" t="b">
        <f ca="1">IF(AND(E829&lt;&gt;"",'Start here'!$C$26=RefData!$B$9),ErrorMsgs!$B829)</f>
        <v>0</v>
      </c>
      <c r="L829" s="712" t="b">
        <f ca="1">IF(AND('Start here'!$C$26=RefData!$B$10,'Covenant summary information'!$C$85=0,'Reconciliation report'!$E829&lt;&gt;""),ErrorMsgs!$C829)</f>
        <v>0</v>
      </c>
      <c r="M829" s="712" t="b">
        <f ca="1">IF(AND('Start here'!$C$26=RefData!$B$10,'Covenant summary information'!$C$85&lt;3,'Reconciliation report'!$E829&lt;&gt;""),ErrorMsgs!$D829)</f>
        <v>0</v>
      </c>
      <c r="N829" s="712" t="b">
        <f ca="1">IF(AND('Start here'!$C$26=RefData!$B$10,'Covenant summary information'!$C$85&gt;=3,'Reconciliation report'!$E829&lt;&gt;"",NOT('Other contingent assets'!$C$60=RefData!$B$175)),ErrorMsgs!$E829)</f>
        <v>0</v>
      </c>
      <c r="O829" s="712" t="b">
        <f ca="1">IF(AND('Start here'!$C$26=RefData!$B$10,'Covenant summary information'!$C$85&gt;=3,'Reconciliation report'!$E829="",'Other contingent assets'!$C$60=RefData!$B$175),ErrorMsgs!$F829)</f>
        <v>0</v>
      </c>
      <c r="P829" s="712" t="b">
        <f ca="1">IF(LEN($E829)&gt;4000,ErrorMsgs!$G829)</f>
        <v>0</v>
      </c>
      <c r="Q829" s="712"/>
      <c r="R829" s="712"/>
      <c r="S829" s="712"/>
      <c r="T829" s="712"/>
      <c r="U829" s="526" t="str">
        <f t="shared" ca="1" si="109"/>
        <v/>
      </c>
      <c r="V829" s="93" t="str" cm="1">
        <f t="array" aca="1" ref="V829" ca="1">CELL("format",INDIRECT(I829))</f>
        <v>G</v>
      </c>
      <c r="W829" s="93" t="b">
        <f t="shared" ca="1" si="110"/>
        <v>0</v>
      </c>
      <c r="X829" s="715" t="str">
        <f t="shared" ca="1" si="108"/>
        <v/>
      </c>
      <c r="Y829" t="b">
        <f t="shared" ca="1" si="111"/>
        <v>1</v>
      </c>
    </row>
    <row r="830" spans="1:25" ht="77.5">
      <c r="A830" s="705" t="s">
        <v>1310</v>
      </c>
      <c r="B830" s="716" t="str">
        <f t="shared" ca="1" si="113"/>
        <v>Other contingent assets - C62</v>
      </c>
      <c r="C830" s="707" t="str" cm="1">
        <f t="array" aca="1" ref="C830" ca="1">INDIRECT(LEFT(I830, FIND("!", I830)) &amp; RefData!$C$426 &amp; RIGHT(I830, LEN(I830) - FIND("!", I830) - 1))</f>
        <v xml:space="preserve">
No answer required
Fixed cap amount (£)
</v>
      </c>
      <c r="D830" s="92" t="str">
        <f t="shared" ca="1" si="116"/>
        <v/>
      </c>
      <c r="E830" s="708" t="str" cm="1">
        <f t="array" aca="1" ref="E830" ca="1">IF(INDIRECT($I830)= "", "", INDIRECT($I830))</f>
        <v/>
      </c>
      <c r="F830" s="709" t="str" cm="1">
        <f t="array" aca="1" ref="F830" ca="1">INDIRECT(LEFT(I830, FIND("!", I830)) &amp; RefData!$C$427 &amp; RIGHT(I830, LEN(I830) - FIND("!", I830) - 1))</f>
        <v>OA 10.0/3</v>
      </c>
      <c r="G830" s="710" t="b">
        <f ca="1">IF(ISNUMBER(SEARCH(RefData!$B$2, $C830)), FALSE, TRUE)</f>
        <v>0</v>
      </c>
      <c r="H830" s="113">
        <f>'Other contingent assets'!C62</f>
        <v>0</v>
      </c>
      <c r="I830" s="712" t="str">
        <f t="shared" ca="1" si="114"/>
        <v>'Other contingent assets'!C62</v>
      </c>
      <c r="J830" s="713" t="b" cm="1">
        <f t="array" aca="1" ref="J830" ca="1">IF(
    ISNUMBER(SEARCH(RefData!$B$2, $C$476)),
    IF(
        $E830 &lt;&gt; "",
        $J$476,
        IF(
            $E830 = "",
            FALSE
        )
    ),
    IF(
        COUNTIF($K830:$T830, "&lt;&gt;FALSE") - COUNTBLANK($K830:$T830) &gt; 0,
        INDEX($K830:$T830, MATCH(TRUE, $K830:$T830 &lt;&gt; FALSE, 0))
    )
)</f>
        <v>0</v>
      </c>
      <c r="K830" s="712" t="b">
        <f ca="1">IF(AND(E830&lt;&gt;"",'Start here'!$C$26=RefData!$B$9),ErrorMsgs!$B830)</f>
        <v>0</v>
      </c>
      <c r="L830" s="712" t="b">
        <f ca="1">IF(AND('Start here'!$C$26=RefData!$B$10,'Covenant summary information'!$C$85=0,'Reconciliation report'!$E830&lt;&gt;""),ErrorMsgs!$C830)</f>
        <v>0</v>
      </c>
      <c r="M830" s="712" t="b">
        <f ca="1">IF(AND('Start here'!$C$26=RefData!$B$10,'Covenant summary information'!$C$85&lt;3,'Reconciliation report'!$E830&lt;&gt;""),ErrorMsgs!$D830)</f>
        <v>0</v>
      </c>
      <c r="N830" s="712" t="b">
        <f ca="1">IF(AND('Start here'!$C$26=RefData!$B$10,'Covenant summary information'!$C$85&gt;=3,'Reconciliation report'!$E830&lt;&gt;"",NOT('Other contingent assets'!$C$60=RefData!$B$174)),ErrorMsgs!$E830)</f>
        <v>0</v>
      </c>
      <c r="O830" s="712" t="b">
        <f ca="1">IF(AND('Start here'!$C$26=RefData!$B$10,'Covenant summary information'!$C$85&gt;=3,'Reconciliation report'!$E830="",'Other contingent assets'!$C$60=RefData!$B$174),ErrorMsgs!$F830)</f>
        <v>0</v>
      </c>
      <c r="P830" s="712" t="b">
        <f ca="1">IF($E830="",FALSE,IF(ISERROR(VALUE($E830)),ErrorMsgs!G830,IF(OR(VALUE($E830)&lt;0,VALUE($E830)&gt;1000000000000,VALUE($E830)-ROUND(VALUE($E830),2)&lt;&gt;0),ErrorMsgs!G830)))</f>
        <v>0</v>
      </c>
      <c r="Q830" s="712"/>
      <c r="R830" s="712"/>
      <c r="S830" s="712"/>
      <c r="T830" s="712"/>
      <c r="U830" s="526" t="str">
        <f t="shared" ca="1" si="109"/>
        <v/>
      </c>
      <c r="V830" s="93" t="str" cm="1">
        <f t="array" aca="1" ref="V830" ca="1">CELL("format",INDIRECT(I830))</f>
        <v>C2</v>
      </c>
      <c r="W830" s="93" t="b">
        <f t="shared" ca="1" si="110"/>
        <v>0</v>
      </c>
      <c r="X830" s="715" t="str">
        <f t="shared" ca="1" si="108"/>
        <v/>
      </c>
      <c r="Y830" t="b">
        <f t="shared" ca="1" si="111"/>
        <v>1</v>
      </c>
    </row>
    <row r="831" spans="1:25" ht="77.5">
      <c r="A831" s="705" t="s">
        <v>1312</v>
      </c>
      <c r="B831" s="716" t="str">
        <f t="shared" ca="1" si="113"/>
        <v>Other contingent assets - C66</v>
      </c>
      <c r="C831" s="707" t="str" cm="1">
        <f t="array" aca="1" ref="C831" ca="1">INDIRECT(LEFT(I831, FIND("!", I831)) &amp; RefData!$C$426 &amp; RIGHT(I831, LEN(I831) - FIND("!", I831) - 1))</f>
        <v xml:space="preserve">
No answer required
Participating employer insolvency
</v>
      </c>
      <c r="D831" s="92" t="str">
        <f t="shared" ca="1" si="116"/>
        <v/>
      </c>
      <c r="E831" s="708" t="str" cm="1">
        <f t="array" aca="1" ref="E831" ca="1">IF(INDIRECT($I831)= "", "", INDIRECT($I831))</f>
        <v/>
      </c>
      <c r="F831" s="709" t="str" cm="1">
        <f t="array" aca="1" ref="F831" ca="1">INDIRECT(LEFT(I831, FIND("!", I831)) &amp; RefData!$C$427 &amp; RIGHT(I831, LEN(I831) - FIND("!", I831) - 1))</f>
        <v>OA 11.0/3</v>
      </c>
      <c r="G831" s="710" t="b">
        <f ca="1">IF(ISNUMBER(SEARCH(RefData!$B$2, $C831)), FALSE, TRUE)</f>
        <v>0</v>
      </c>
      <c r="H831" s="113">
        <f>'Other contingent assets'!C66</f>
        <v>0</v>
      </c>
      <c r="I831" s="712" t="str">
        <f t="shared" ca="1" si="114"/>
        <v>'Other contingent assets'!C66</v>
      </c>
      <c r="J831" s="713" t="b" cm="1">
        <f t="array" aca="1" ref="J831" ca="1">IF(
    ISNUMBER(SEARCH(RefData!$B$2, $C$476)),
    IF(
        $E831 &lt;&gt; "",
        $J$476,
        IF(
            $E831 = "",
            FALSE
        )
    ),
    IF(
        COUNTIF($K831:$T831, "&lt;&gt;FALSE") - COUNTBLANK($K831:$T831) &gt; 0,
        INDEX($K831:$T831, MATCH(TRUE, $K831:$T831 &lt;&gt; FALSE, 0))
    )
)</f>
        <v>0</v>
      </c>
      <c r="K831" s="712" t="b">
        <f ca="1">IF(AND(E831&lt;&gt;"",'Start here'!$C$26=RefData!$B$9),ErrorMsgs!$B831)</f>
        <v>0</v>
      </c>
      <c r="L831" s="712" t="b">
        <f ca="1">IF(AND('Start here'!$C$26=RefData!$B$10,'Covenant summary information'!$C$85=0,'Reconciliation report'!$E831&lt;&gt;""),ErrorMsgs!$C831)</f>
        <v>0</v>
      </c>
      <c r="M831" s="712" t="b">
        <f ca="1">IF(AND('Start here'!$C$26=RefData!$B$10,'Covenant summary information'!$C$85&lt;3,'Reconciliation report'!$E831&lt;&gt;""),ErrorMsgs!$D831)</f>
        <v>0</v>
      </c>
      <c r="N831" s="712" t="b">
        <f ca="1">IF(AND('Start here'!$C$26=RefData!$B$10,'Covenant summary information'!$C$85&gt;=3,'Reconciliation report'!$E831=""),ErrorMsgs!$E831)</f>
        <v>0</v>
      </c>
      <c r="O831" s="712" t="b">
        <f ca="1">IF($E831="",FALSE,IF(ISNA(MATCH($E831,RefData!$B$204:$B$205,0)),ErrorMsgs!$F831))</f>
        <v>0</v>
      </c>
      <c r="P831" s="712"/>
      <c r="Q831" s="712"/>
      <c r="R831" s="712"/>
      <c r="S831" s="712"/>
      <c r="T831" s="712"/>
      <c r="U831" s="526" t="str">
        <f t="shared" ca="1" si="109"/>
        <v/>
      </c>
      <c r="V831" s="93" t="str" cm="1">
        <f t="array" aca="1" ref="V831" ca="1">CELL("format",INDIRECT(I831))</f>
        <v>G</v>
      </c>
      <c r="W831" s="93" t="b">
        <f t="shared" ca="1" si="110"/>
        <v>0</v>
      </c>
      <c r="X831" s="715" t="str">
        <f t="shared" ca="1" si="108"/>
        <v/>
      </c>
      <c r="Y831" t="b">
        <f t="shared" ca="1" si="111"/>
        <v>1</v>
      </c>
    </row>
    <row r="832" spans="1:25" ht="77.5">
      <c r="A832" s="705" t="s">
        <v>1314</v>
      </c>
      <c r="B832" s="716" t="str">
        <f t="shared" ca="1" si="113"/>
        <v>Other contingent assets - C67</v>
      </c>
      <c r="C832" s="707" t="str" cm="1">
        <f t="array" aca="1" ref="C832" ca="1">INDIRECT(LEFT(I832, FIND("!", I832)) &amp; RefData!$C$426 &amp; RIGHT(I832, LEN(I832) - FIND("!", I832) - 1))</f>
        <v xml:space="preserve">
No answer required
Insolvency of associated company
</v>
      </c>
      <c r="D832" s="92" t="str">
        <f t="shared" ca="1" si="116"/>
        <v/>
      </c>
      <c r="E832" s="708" t="str" cm="1">
        <f t="array" aca="1" ref="E832" ca="1">IF(INDIRECT($I832)= "", "", INDIRECT($I832))</f>
        <v/>
      </c>
      <c r="F832" s="709" t="str" cm="1">
        <f t="array" aca="1" ref="F832" ca="1">INDIRECT(LEFT(I832, FIND("!", I832)) &amp; RefData!$C$427 &amp; RIGHT(I832, LEN(I832) - FIND("!", I832) - 1))</f>
        <v>OA 12.0/3</v>
      </c>
      <c r="G832" s="710" t="b">
        <f ca="1">IF(ISNUMBER(SEARCH(RefData!$B$2, $C832)), FALSE, TRUE)</f>
        <v>0</v>
      </c>
      <c r="H832" s="113">
        <f>'Other contingent assets'!C67</f>
        <v>0</v>
      </c>
      <c r="I832" s="712" t="str">
        <f t="shared" ca="1" si="114"/>
        <v>'Other contingent assets'!C67</v>
      </c>
      <c r="J832" s="713" t="b" cm="1">
        <f t="array" aca="1" ref="J832" ca="1">IF(
    ISNUMBER(SEARCH(RefData!$B$2, $C$476)),
    IF(
        $E832 &lt;&gt; "",
        $J$476,
        IF(
            $E832 = "",
            FALSE
        )
    ),
    IF(
        COUNTIF($K832:$T832, "&lt;&gt;FALSE") - COUNTBLANK($K832:$T832) &gt; 0,
        INDEX($K832:$T832, MATCH(TRUE, $K832:$T832 &lt;&gt; FALSE, 0))
    )
)</f>
        <v>0</v>
      </c>
      <c r="K832" s="712" t="b">
        <f ca="1">IF(AND(E832&lt;&gt;"",'Start here'!$C$26=RefData!$B$9),ErrorMsgs!$B832)</f>
        <v>0</v>
      </c>
      <c r="L832" s="712" t="b">
        <f ca="1">IF(AND('Start here'!$C$26=RefData!$B$10,'Covenant summary information'!$C$85=0,'Reconciliation report'!$E832&lt;&gt;""),ErrorMsgs!$C832)</f>
        <v>0</v>
      </c>
      <c r="M832" s="712" t="b">
        <f ca="1">IF(AND('Start here'!$C$26=RefData!$B$10,'Covenant summary information'!$C$85&lt;3,'Reconciliation report'!$E832&lt;&gt;""),ErrorMsgs!$D832)</f>
        <v>0</v>
      </c>
      <c r="N832" s="712" t="b">
        <f ca="1">IF(AND('Start here'!$C$26=RefData!$B$10,'Covenant summary information'!$C$85&gt;=3,'Reconciliation report'!$E832=""),ErrorMsgs!$E832)</f>
        <v>0</v>
      </c>
      <c r="O832" s="712" t="b">
        <f ca="1">IF($E832="",FALSE,IF(ISNA(MATCH($E832,RefData!$B$204:$B$205,0)),ErrorMsgs!$F832))</f>
        <v>0</v>
      </c>
      <c r="P832" s="712"/>
      <c r="Q832" s="712"/>
      <c r="R832" s="712"/>
      <c r="S832" s="712"/>
      <c r="T832" s="712"/>
      <c r="U832" s="526" t="str">
        <f t="shared" ca="1" si="109"/>
        <v/>
      </c>
      <c r="V832" s="93" t="str" cm="1">
        <f t="array" aca="1" ref="V832" ca="1">CELL("format",INDIRECT(I832))</f>
        <v>G</v>
      </c>
      <c r="W832" s="93" t="b">
        <f t="shared" ca="1" si="110"/>
        <v>0</v>
      </c>
      <c r="X832" s="715" t="str">
        <f t="shared" ca="1" si="108"/>
        <v/>
      </c>
      <c r="Y832" t="b">
        <f t="shared" ca="1" si="111"/>
        <v>1</v>
      </c>
    </row>
    <row r="833" spans="1:25" ht="77.5">
      <c r="A833" s="705" t="s">
        <v>1316</v>
      </c>
      <c r="B833" s="716" t="str">
        <f t="shared" ca="1" si="113"/>
        <v>Other contingent assets - C68</v>
      </c>
      <c r="C833" s="707" t="str" cm="1">
        <f t="array" aca="1" ref="C833" ca="1">INDIRECT(LEFT(I833, FIND("!", I833)) &amp; RefData!$C$426 &amp; RIGHT(I833, LEN(I833) - FIND("!", I833) - 1))</f>
        <v xml:space="preserve">
No answer required
Non payment of contributions
</v>
      </c>
      <c r="D833" s="92" t="str">
        <f t="shared" ca="1" si="116"/>
        <v/>
      </c>
      <c r="E833" s="708" t="str" cm="1">
        <f t="array" aca="1" ref="E833" ca="1">IF(INDIRECT($I833)= "", "", INDIRECT($I833))</f>
        <v/>
      </c>
      <c r="F833" s="709" t="str" cm="1">
        <f t="array" aca="1" ref="F833" ca="1">INDIRECT(LEFT(I833, FIND("!", I833)) &amp; RefData!$C$427 &amp; RIGHT(I833, LEN(I833) - FIND("!", I833) - 1))</f>
        <v>OA 13.0/3</v>
      </c>
      <c r="G833" s="710" t="b">
        <f ca="1">IF(ISNUMBER(SEARCH(RefData!$B$2, $C833)), FALSE, TRUE)</f>
        <v>0</v>
      </c>
      <c r="H833" s="113">
        <f>'Other contingent assets'!C68</f>
        <v>0</v>
      </c>
      <c r="I833" s="712" t="str">
        <f t="shared" ca="1" si="114"/>
        <v>'Other contingent assets'!C68</v>
      </c>
      <c r="J833" s="713" t="b" cm="1">
        <f t="array" aca="1" ref="J833" ca="1">IF(
    ISNUMBER(SEARCH(RefData!$B$2, $C$476)),
    IF(
        $E833 &lt;&gt; "",
        $J$476,
        IF(
            $E833 = "",
            FALSE
        )
    ),
    IF(
        COUNTIF($K833:$T833, "&lt;&gt;FALSE") - COUNTBLANK($K833:$T833) &gt; 0,
        INDEX($K833:$T833, MATCH(TRUE, $K833:$T833 &lt;&gt; FALSE, 0))
    )
)</f>
        <v>0</v>
      </c>
      <c r="K833" s="712" t="b">
        <f ca="1">IF(AND(E833&lt;&gt;"",'Start here'!$C$26=RefData!$B$9),ErrorMsgs!$B833)</f>
        <v>0</v>
      </c>
      <c r="L833" s="712" t="b">
        <f ca="1">IF(AND('Start here'!$C$26=RefData!$B$10,'Covenant summary information'!$C$85&lt;3,'Reconciliation report'!$E833&lt;&gt;""),ErrorMsgs!$C833)</f>
        <v>0</v>
      </c>
      <c r="M833" s="712" t="b">
        <f ca="1">IF(AND('Start here'!$C$26=RefData!$B$10,'Covenant summary information'!$C$85&lt;3,'Reconciliation report'!$E833&lt;&gt;""),ErrorMsgs!$D833)</f>
        <v>0</v>
      </c>
      <c r="N833" s="712" t="b">
        <f ca="1">IF(AND('Start here'!$C$26=RefData!$B$10,'Covenant summary information'!$C$85&gt;=3,'Reconciliation report'!$E833=""),ErrorMsgs!$E833)</f>
        <v>0</v>
      </c>
      <c r="O833" s="712" t="b">
        <f ca="1">IF($E833="",FALSE,IF(ISNA(MATCH($E833,RefData!$B$204:$B$205,0)),ErrorMsgs!$F833))</f>
        <v>0</v>
      </c>
      <c r="P833" s="712"/>
      <c r="Q833" s="712"/>
      <c r="R833" s="712"/>
      <c r="S833" s="712"/>
      <c r="T833" s="712"/>
      <c r="U833" s="526" t="str">
        <f t="shared" ca="1" si="109"/>
        <v/>
      </c>
      <c r="V833" s="93" t="str" cm="1">
        <f t="array" aca="1" ref="V833" ca="1">CELL("format",INDIRECT(I833))</f>
        <v>G</v>
      </c>
      <c r="W833" s="93" t="b">
        <f t="shared" ca="1" si="110"/>
        <v>0</v>
      </c>
      <c r="X833" s="715" t="str">
        <f t="shared" ca="1" si="108"/>
        <v/>
      </c>
      <c r="Y833" t="b">
        <f t="shared" ca="1" si="111"/>
        <v>1</v>
      </c>
    </row>
    <row r="834" spans="1:25" ht="77.5">
      <c r="A834" s="705" t="s">
        <v>1318</v>
      </c>
      <c r="B834" s="716" t="str">
        <f t="shared" ca="1" si="113"/>
        <v>Other contingent assets - C69</v>
      </c>
      <c r="C834" s="707" t="str" cm="1">
        <f t="array" aca="1" ref="C834" ca="1">INDIRECT(LEFT(I834, FIND("!", I834)) &amp; RefData!$C$426 &amp; RIGHT(I834, LEN(I834) - FIND("!", I834) - 1))</f>
        <v xml:space="preserve">
No answer required
Crystallisation of investment risk
</v>
      </c>
      <c r="D834" s="92" t="str">
        <f t="shared" ca="1" si="116"/>
        <v/>
      </c>
      <c r="E834" s="708" t="str" cm="1">
        <f t="array" aca="1" ref="E834" ca="1">IF(INDIRECT($I834)= "", "", INDIRECT($I834))</f>
        <v/>
      </c>
      <c r="F834" s="709" t="str" cm="1">
        <f t="array" aca="1" ref="F834" ca="1">INDIRECT(LEFT(I834, FIND("!", I834)) &amp; RefData!$C$427 &amp; RIGHT(I834, LEN(I834) - FIND("!", I834) - 1))</f>
        <v>OA 14.0/3</v>
      </c>
      <c r="G834" s="710" t="b">
        <f ca="1">IF(ISNUMBER(SEARCH(RefData!$B$2, $C834)), FALSE, TRUE)</f>
        <v>0</v>
      </c>
      <c r="H834" s="113">
        <f>'Other contingent assets'!C69</f>
        <v>0</v>
      </c>
      <c r="I834" s="712" t="str">
        <f t="shared" ca="1" si="114"/>
        <v>'Other contingent assets'!C69</v>
      </c>
      <c r="J834" s="713" t="b" cm="1">
        <f t="array" aca="1" ref="J834" ca="1">IF(
    ISNUMBER(SEARCH(RefData!$B$2, $C$476)),
    IF(
        $E834 &lt;&gt; "",
        $J$476,
        IF(
            $E834 = "",
            FALSE
        )
    ),
    IF(
        COUNTIF($K834:$T834, "&lt;&gt;FALSE") - COUNTBLANK($K834:$T834) &gt; 0,
        INDEX($K834:$T834, MATCH(TRUE, $K834:$T834 &lt;&gt; FALSE, 0))
    )
)</f>
        <v>0</v>
      </c>
      <c r="K834" s="712" t="b">
        <f ca="1">IF(AND(E834&lt;&gt;"",'Start here'!$C$26=RefData!$B$9),ErrorMsgs!$B834)</f>
        <v>0</v>
      </c>
      <c r="L834" s="712" t="b">
        <f ca="1">IF(AND('Start here'!$C$26=RefData!$B$10,'Covenant summary information'!$C$85=0,'Reconciliation report'!$E834&lt;&gt;""),ErrorMsgs!$C834)</f>
        <v>0</v>
      </c>
      <c r="M834" s="712" t="b">
        <f ca="1">IF(AND('Start here'!$C$26=RefData!$B$10,'Covenant summary information'!$C$85&lt;3,'Reconciliation report'!$E834&lt;&gt;""),ErrorMsgs!$D834)</f>
        <v>0</v>
      </c>
      <c r="N834" s="712" t="b">
        <f ca="1">IF(AND('Start here'!$C$26=RefData!$B$10,'Covenant summary information'!$C$85&gt;=3,'Reconciliation report'!$E834=""),ErrorMsgs!$E834)</f>
        <v>0</v>
      </c>
      <c r="O834" s="712" t="b">
        <f ca="1">IF($E834="",FALSE,IF(ISNA(MATCH($E834,RefData!$B$204:$B$205,0)),ErrorMsgs!$F834))</f>
        <v>0</v>
      </c>
      <c r="P834" s="712"/>
      <c r="Q834" s="712"/>
      <c r="R834" s="712"/>
      <c r="S834" s="712"/>
      <c r="T834" s="712"/>
      <c r="U834" s="526" t="str">
        <f t="shared" ca="1" si="109"/>
        <v/>
      </c>
      <c r="V834" s="93" t="str" cm="1">
        <f t="array" aca="1" ref="V834" ca="1">CELL("format",INDIRECT(I834))</f>
        <v>G</v>
      </c>
      <c r="W834" s="93" t="b">
        <f t="shared" ca="1" si="110"/>
        <v>0</v>
      </c>
      <c r="X834" s="715" t="str">
        <f t="shared" ref="X834:X897" ca="1" si="117">IF(W834, "0." &amp; IF(V834="P2",REPT("0", MIN(4, LEN(E834) - FIND(".", E834))),REPT("0", MIN(6, LEN(E834) - FIND(".", E834)))), "")</f>
        <v/>
      </c>
      <c r="Y834" t="b">
        <f t="shared" ca="1" si="111"/>
        <v>1</v>
      </c>
    </row>
    <row r="835" spans="1:25" ht="77.5">
      <c r="A835" s="705" t="s">
        <v>1320</v>
      </c>
      <c r="B835" s="716" t="str">
        <f t="shared" ca="1" si="113"/>
        <v>Other contingent assets - C70</v>
      </c>
      <c r="C835" s="707" t="str" cm="1">
        <f t="array" aca="1" ref="C835" ca="1">INDIRECT(LEFT(I835, FIND("!", I835)) &amp; RefData!$C$426 &amp; RIGHT(I835, LEN(I835) - FIND("!", I835) - 1))</f>
        <v xml:space="preserve">
No answer required
Other
</v>
      </c>
      <c r="D835" s="92" t="str">
        <f t="shared" ca="1" si="116"/>
        <v/>
      </c>
      <c r="E835" s="708" t="str" cm="1">
        <f t="array" aca="1" ref="E835" ca="1">IF(INDIRECT($I835)= "", "", INDIRECT($I835))</f>
        <v/>
      </c>
      <c r="F835" s="709" t="str" cm="1">
        <f t="array" aca="1" ref="F835" ca="1">INDIRECT(LEFT(I835, FIND("!", I835)) &amp; RefData!$C$427 &amp; RIGHT(I835, LEN(I835) - FIND("!", I835) - 1))</f>
        <v>OA 15.0/3</v>
      </c>
      <c r="G835" s="710" t="b">
        <f ca="1">IF(ISNUMBER(SEARCH(RefData!$B$2, $C835)), FALSE, TRUE)</f>
        <v>0</v>
      </c>
      <c r="H835" s="113">
        <f>'Other contingent assets'!C70</f>
        <v>0</v>
      </c>
      <c r="I835" s="712" t="str">
        <f t="shared" ca="1" si="114"/>
        <v>'Other contingent assets'!C70</v>
      </c>
      <c r="J835" s="713" t="b" cm="1">
        <f t="array" aca="1" ref="J835" ca="1">IF(
    ISNUMBER(SEARCH(RefData!$B$2, $C$476)),
    IF(
        $E835 &lt;&gt; "",
        $J$476,
        IF(
            $E835 = "",
            FALSE
        )
    ),
    IF(
        COUNTIF($K835:$T835, "&lt;&gt;FALSE") - COUNTBLANK($K835:$T835) &gt; 0,
        INDEX($K835:$T835, MATCH(TRUE, $K835:$T835 &lt;&gt; FALSE, 0))
    )
)</f>
        <v>0</v>
      </c>
      <c r="K835" s="712" t="b">
        <f ca="1">IF(AND(E835&lt;&gt;"",'Start here'!$C$26=RefData!$B$9),ErrorMsgs!$B835)</f>
        <v>0</v>
      </c>
      <c r="L835" s="712" t="b">
        <f ca="1">IF(AND('Start here'!$C$26=RefData!$B$10,'Covenant summary information'!$C$85=0,'Reconciliation report'!$E835&lt;&gt;""),ErrorMsgs!$C835)</f>
        <v>0</v>
      </c>
      <c r="M835" s="712" t="b">
        <f ca="1">IF(AND('Start here'!$C$26=RefData!$B$10,'Covenant summary information'!$C$85&lt;3,'Reconciliation report'!$E835&lt;&gt;""),ErrorMsgs!$D835)</f>
        <v>0</v>
      </c>
      <c r="N835" s="712" t="b">
        <f ca="1">IF(AND('Start here'!$C$26=RefData!$B$10,'Covenant summary information'!$C$85&gt;=3,'Reconciliation report'!$E835=""),ErrorMsgs!$E835)</f>
        <v>0</v>
      </c>
      <c r="O835" s="712" t="b">
        <f ca="1">IF($E835="",FALSE,IF(ISNA(MATCH($E835,RefData!$B$204:$B$205,0)),ErrorMsgs!$F835))</f>
        <v>0</v>
      </c>
      <c r="P835" s="712"/>
      <c r="Q835" s="712"/>
      <c r="R835" s="712"/>
      <c r="S835" s="712"/>
      <c r="T835" s="712"/>
      <c r="U835" s="526" t="str">
        <f t="shared" ref="U835:U898" ca="1" si="118">IF(AND($W835=TRUE,$Y835=FALSE),TEXT($E835,$X835),$E835)</f>
        <v/>
      </c>
      <c r="V835" s="93" t="str" cm="1">
        <f t="array" aca="1" ref="V835" ca="1">CELL("format",INDIRECT(I835))</f>
        <v>G</v>
      </c>
      <c r="W835" s="93" t="b">
        <f t="shared" ref="W835:W898" ca="1" si="119">IF(ISNUMBER(E835), IF(INT(E835)&lt;&gt;E835,TRUE,FALSE),FALSE)</f>
        <v>0</v>
      </c>
      <c r="X835" s="715" t="str">
        <f t="shared" ca="1" si="117"/>
        <v/>
      </c>
      <c r="Y835" t="b">
        <f t="shared" ref="Y835:Y898" ca="1" si="120">ISTEXT(E835)</f>
        <v>1</v>
      </c>
    </row>
    <row r="836" spans="1:25" ht="77.5">
      <c r="A836" s="705" t="s">
        <v>1322</v>
      </c>
      <c r="B836" s="716" t="str">
        <f t="shared" ca="1" si="113"/>
        <v>Other contingent assets - C71</v>
      </c>
      <c r="C836" s="707" t="str" cm="1">
        <f t="array" aca="1" ref="C836" ca="1">INDIRECT(LEFT(I836, FIND("!", I836)) &amp; RefData!$C$426 &amp; RIGHT(I836, LEN(I836) - FIND("!", I836) - 1))</f>
        <v xml:space="preserve">
No answer required
Narrative regarding triggers for access to value
</v>
      </c>
      <c r="D836" s="92" t="str">
        <f t="shared" ca="1" si="116"/>
        <v/>
      </c>
      <c r="E836" s="708" t="str" cm="1">
        <f t="array" aca="1" ref="E836" ca="1">IF(INDIRECT($I836)= "", "", INDIRECT($I836))</f>
        <v/>
      </c>
      <c r="F836" s="709" t="str" cm="1">
        <f t="array" aca="1" ref="F836" ca="1">INDIRECT(LEFT(I836, FIND("!", I836)) &amp; RefData!$C$427 &amp; RIGHT(I836, LEN(I836) - FIND("!", I836) - 1))</f>
        <v>OA 16.0/3</v>
      </c>
      <c r="G836" s="710" t="b">
        <f ca="1">IF(ISNUMBER(SEARCH(RefData!$B$2, $C836)), FALSE, TRUE)</f>
        <v>0</v>
      </c>
      <c r="H836" s="113">
        <f>'Other contingent assets'!C71</f>
        <v>0</v>
      </c>
      <c r="I836" s="712" t="str">
        <f t="shared" ca="1" si="114"/>
        <v>'Other contingent assets'!C71</v>
      </c>
      <c r="J836" s="713" t="b" cm="1">
        <f t="array" aca="1" ref="J836" ca="1">IF(
    ISNUMBER(SEARCH(RefData!$B$2, $C$476)),
    IF(
        $E836 &lt;&gt; "",
        $J$476,
        IF(
            $E836 = "",
            FALSE
        )
    ),
    IF(
        COUNTIF($K836:$T836, "&lt;&gt;FALSE") - COUNTBLANK($K836:$T836) &gt; 0,
        INDEX($K836:$T836, MATCH(TRUE, $K836:$T836 &lt;&gt; FALSE, 0))
    )
)</f>
        <v>0</v>
      </c>
      <c r="K836" s="712" t="b">
        <f ca="1">IF(AND($E836&lt;&gt;"",'Start here'!$C$26=RefData!$B$9),ErrorMsgs!$B836)</f>
        <v>0</v>
      </c>
      <c r="L836" s="712" t="b">
        <f ca="1">IF(AND('Start here'!$C$26=RefData!$B$10,'Covenant summary information'!$C$85=0,'Reconciliation report'!$E836&lt;&gt;""),ErrorMsgs!$C836)</f>
        <v>0</v>
      </c>
      <c r="M836" s="712" t="b">
        <f ca="1">IF(AND('Start here'!$C$26=RefData!$B$10,'Covenant summary information'!$C$85&lt;3,'Reconciliation report'!$E836&lt;&gt;""),ErrorMsgs!$D836)</f>
        <v>0</v>
      </c>
      <c r="N836" s="712" t="b">
        <f ca="1">IF(AND('Start here'!$C$26=RefData!$B$10,'Covenant summary information'!$C$85&gt;=3,'Reconciliation report'!$E836&lt;&gt;"",'Other contingent assets'!$C$70&lt;&gt;RefData!$B$204),ErrorMsgs!$E836)</f>
        <v>0</v>
      </c>
      <c r="O836" s="712" t="b">
        <f ca="1">IF(AND('Start here'!$C$26=RefData!$B$10,'Covenant summary information'!$C$85&gt;=3,'Reconciliation report'!$E836="",'Other contingent assets'!$C$70=RefData!$B$204),ErrorMsgs!$F836)</f>
        <v>0</v>
      </c>
      <c r="P836" s="712" t="b">
        <f ca="1">IF(LEN($E836)&gt;4000,ErrorMsgs!$G836)</f>
        <v>0</v>
      </c>
      <c r="Q836" s="712"/>
      <c r="R836" s="712"/>
      <c r="S836" s="712"/>
      <c r="T836" s="712"/>
      <c r="U836" s="526" t="str">
        <f t="shared" ca="1" si="118"/>
        <v/>
      </c>
      <c r="V836" s="93" t="str" cm="1">
        <f t="array" aca="1" ref="V836" ca="1">CELL("format",INDIRECT(I836))</f>
        <v>G</v>
      </c>
      <c r="W836" s="93" t="b">
        <f t="shared" ca="1" si="119"/>
        <v>0</v>
      </c>
      <c r="X836" s="715" t="str">
        <f t="shared" ca="1" si="117"/>
        <v/>
      </c>
      <c r="Y836" t="b">
        <f t="shared" ca="1" si="120"/>
        <v>1</v>
      </c>
    </row>
    <row r="837" spans="1:25" ht="77.5">
      <c r="A837" s="705" t="s">
        <v>1324</v>
      </c>
      <c r="B837" s="716" t="str">
        <f t="shared" ca="1" si="113"/>
        <v>Other contingent assets - C72</v>
      </c>
      <c r="C837" s="707" t="str" cm="1">
        <f t="array" aca="1" ref="C837" ca="1">INDIRECT(LEFT(I837, FIND("!", I837)) &amp; RefData!$C$426 &amp; RIGHT(I837, LEN(I837) - FIND("!", I837) - 1))</f>
        <v xml:space="preserve">
No answer required
Triggers for termination
</v>
      </c>
      <c r="D837" s="92" t="str">
        <f t="shared" ca="1" si="116"/>
        <v/>
      </c>
      <c r="E837" s="708" t="str" cm="1">
        <f t="array" aca="1" ref="E837" ca="1">IF(INDIRECT($I837)= "", "", INDIRECT($I837))</f>
        <v/>
      </c>
      <c r="F837" s="709" t="str" cm="1">
        <f t="array" aca="1" ref="F837" ca="1">INDIRECT(LEFT(I837, FIND("!", I837)) &amp; RefData!$C$427 &amp; RIGHT(I837, LEN(I837) - FIND("!", I837) - 1))</f>
        <v>OA 17.0/3</v>
      </c>
      <c r="G837" s="710" t="b">
        <f ca="1">IF(ISNUMBER(SEARCH(RefData!$B$2, $C837)), FALSE, TRUE)</f>
        <v>0</v>
      </c>
      <c r="H837" s="113">
        <f>'Other contingent assets'!C72</f>
        <v>0</v>
      </c>
      <c r="I837" s="712" t="str">
        <f t="shared" ca="1" si="114"/>
        <v>'Other contingent assets'!C72</v>
      </c>
      <c r="J837" s="713" t="b" cm="1">
        <f t="array" aca="1" ref="J837" ca="1">IF(
    ISNUMBER(SEARCH(RefData!$B$2, $C$476)),
    IF(
        $E837 &lt;&gt; "",
        $J$476,
        IF(
            $E837 = "",
            FALSE
        )
    ),
    IF(
        COUNTIF($K837:$T837, "&lt;&gt;FALSE") - COUNTBLANK($K837:$T837) &gt; 0,
        INDEX($K837:$T837, MATCH(TRUE, $K837:$T837 &lt;&gt; FALSE, 0))
    )
)</f>
        <v>0</v>
      </c>
      <c r="K837" s="712" t="b">
        <f ca="1">IF(AND($E837&lt;&gt;"",'Start here'!$C$26=RefData!$B$9),ErrorMsgs!$B837)</f>
        <v>0</v>
      </c>
      <c r="L837" s="712" t="b">
        <f ca="1">IF(AND('Start here'!$C$26=RefData!$B$10,'Covenant summary information'!$C$85=0,'Reconciliation report'!$E837&lt;&gt;""),ErrorMsgs!$C837)</f>
        <v>0</v>
      </c>
      <c r="M837" s="712" t="b">
        <f ca="1">IF(AND('Start here'!$C$26=RefData!$B$10,'Covenant summary information'!$C$85&lt;3,'Reconciliation report'!$E837&lt;&gt;""),ErrorMsgs!$D837)</f>
        <v>0</v>
      </c>
      <c r="N837" s="712" t="b">
        <f ca="1">IF(AND('Start here'!$C$26=RefData!$B$10,'Covenant summary information'!$C$85&gt;=3,'Reconciliation report'!$E837=""),ErrorMsgs!$E837)</f>
        <v>0</v>
      </c>
      <c r="O837" s="712" t="b">
        <f ca="1">IF(LEN($E837)&gt;4000,ErrorMsgs!$F837)</f>
        <v>0</v>
      </c>
      <c r="P837" s="712"/>
      <c r="Q837" s="712"/>
      <c r="R837" s="712"/>
      <c r="S837" s="712"/>
      <c r="T837" s="712"/>
      <c r="U837" s="526" t="str">
        <f t="shared" ca="1" si="118"/>
        <v/>
      </c>
      <c r="V837" s="93" t="str" cm="1">
        <f t="array" aca="1" ref="V837" ca="1">CELL("format",INDIRECT(I837))</f>
        <v>G</v>
      </c>
      <c r="W837" s="93" t="b">
        <f t="shared" ca="1" si="119"/>
        <v>0</v>
      </c>
      <c r="X837" s="715" t="str">
        <f t="shared" ca="1" si="117"/>
        <v/>
      </c>
      <c r="Y837" t="b">
        <f t="shared" ca="1" si="120"/>
        <v>1</v>
      </c>
    </row>
    <row r="838" spans="1:25" ht="77.5">
      <c r="A838" s="705" t="s">
        <v>1327</v>
      </c>
      <c r="B838" s="716" t="str">
        <f t="shared" ca="1" si="113"/>
        <v>Other contingent assets - C76</v>
      </c>
      <c r="C838" s="707" t="str" cm="1">
        <f t="array" aca="1" ref="C838" ca="1">INDIRECT(LEFT(I838, FIND("!", I838)) &amp; RefData!$C$426 &amp; RIGHT(I838, LEN(I838) - FIND("!", I838) - 1))</f>
        <v xml:space="preserve">
No answer required
What is the type of contingent asset?
</v>
      </c>
      <c r="D838" s="92" t="str">
        <f t="shared" ref="D838:D854" ca="1" si="121">""&amp;IF(J838=FALSE, "", J838)
&amp;""</f>
        <v/>
      </c>
      <c r="E838" s="708" t="str" cm="1">
        <f t="array" aca="1" ref="E838" ca="1">IF(INDIRECT($I838)= "", "", INDIRECT($I838))</f>
        <v/>
      </c>
      <c r="F838" s="709" t="str" cm="1">
        <f t="array" aca="1" ref="F838" ca="1">INDIRECT(LEFT(I838, FIND("!", I838)) &amp; RefData!$C$427 &amp; RIGHT(I838, LEN(I838) - FIND("!", I838) - 1))</f>
        <v>OA 1.0/4</v>
      </c>
      <c r="G838" s="710" t="b">
        <f ca="1">IF(ISNUMBER(SEARCH(RefData!$B$2, $C838)), FALSE, TRUE)</f>
        <v>0</v>
      </c>
      <c r="H838" s="113">
        <f>'Other contingent assets'!C76</f>
        <v>0</v>
      </c>
      <c r="I838" s="712" t="str">
        <f t="shared" ca="1" si="114"/>
        <v>'Other contingent assets'!C76</v>
      </c>
      <c r="J838" s="713" t="b" cm="1">
        <f t="array" aca="1" ref="J838" ca="1">IF(
    ISNUMBER(SEARCH(RefData!$B$2, $C$476)),
    IF(
        $E838 &lt;&gt; "",
        $J$476,
        IF(
            $E838 = "",
            FALSE
        )
    ),
    IF(
        COUNTIF($K838:$T838, "&lt;&gt;FALSE") - COUNTBLANK($K838:$T838) &gt; 0,
        INDEX($K838:$T838, MATCH(TRUE, $K838:$T838 &lt;&gt; FALSE, 0))
    )
)</f>
        <v>0</v>
      </c>
      <c r="K838" s="712" t="b">
        <f ca="1">IF(AND('Covenant summary information'!$C$85=0,$E838&lt;&gt;""),ErrorMsgs!$B838)</f>
        <v>0</v>
      </c>
      <c r="L838" s="712" t="b">
        <f ca="1">IF(AND('Covenant summary information'!$C$85&lt;4,$E838&lt;&gt;""),ErrorMsgs!$C838)</f>
        <v>0</v>
      </c>
      <c r="M838" s="712" t="b">
        <f ca="1">IF(AND($E838="",'Covenant summary information'!$C$85&gt;=4),ErrorMsgs!$D838)</f>
        <v>0</v>
      </c>
      <c r="N838" s="712" t="b">
        <f ca="1">IF(AND('Covenant summary information'!$C$85&gt;=4,ISNA(MATCH($E838,RefData!$B$161:$B$165, 0))),ErrorMsgs!$E838)</f>
        <v>0</v>
      </c>
      <c r="O838" s="712"/>
      <c r="P838" s="712"/>
      <c r="Q838" s="712"/>
      <c r="R838" s="712"/>
      <c r="S838" s="712"/>
      <c r="T838" s="712"/>
      <c r="U838" s="526" t="str">
        <f t="shared" ca="1" si="118"/>
        <v/>
      </c>
      <c r="V838" s="93" t="str" cm="1">
        <f t="array" aca="1" ref="V838" ca="1">CELL("format",INDIRECT(I838))</f>
        <v>G</v>
      </c>
      <c r="W838" s="93" t="b">
        <f t="shared" ca="1" si="119"/>
        <v>0</v>
      </c>
      <c r="X838" s="715" t="str">
        <f t="shared" ca="1" si="117"/>
        <v/>
      </c>
      <c r="Y838" t="b">
        <f t="shared" ca="1" si="120"/>
        <v>1</v>
      </c>
    </row>
    <row r="839" spans="1:25" ht="77.5">
      <c r="A839" s="705" t="s">
        <v>1330</v>
      </c>
      <c r="B839" s="716" t="str">
        <f t="shared" ca="1" si="113"/>
        <v>Other contingent assets - C77</v>
      </c>
      <c r="C839" s="707" t="str" cm="1">
        <f t="array" aca="1" ref="C839" ca="1">INDIRECT(LEFT(I839, FIND("!", I839)) &amp; RefData!$C$426 &amp; RIGHT(I839, LEN(I839) - FIND("!", I839) - 1))</f>
        <v xml:space="preserve">
No answer required
Provide specific details of the contingent asset
</v>
      </c>
      <c r="D839" s="92" t="str">
        <f t="shared" ca="1" si="121"/>
        <v/>
      </c>
      <c r="E839" s="708" t="str" cm="1">
        <f t="array" aca="1" ref="E839" ca="1">IF(INDIRECT($I839)= "", "", INDIRECT($I839))</f>
        <v/>
      </c>
      <c r="F839" s="709" t="str" cm="1">
        <f t="array" aca="1" ref="F839" ca="1">INDIRECT(LEFT(I839, FIND("!", I839)) &amp; RefData!$C$427 &amp; RIGHT(I839, LEN(I839) - FIND("!", I839) - 1))</f>
        <v>OA 2.0/4</v>
      </c>
      <c r="G839" s="710" t="b">
        <f ca="1">IF(ISNUMBER(SEARCH(RefData!$B$2, $C839)), FALSE, TRUE)</f>
        <v>0</v>
      </c>
      <c r="H839" s="113">
        <f>'Other contingent assets'!C77</f>
        <v>0</v>
      </c>
      <c r="I839" s="712" t="str">
        <f t="shared" ca="1" si="114"/>
        <v>'Other contingent assets'!C77</v>
      </c>
      <c r="J839" s="713" t="b" cm="1">
        <f t="array" aca="1" ref="J839" ca="1">IF(
    ISNUMBER(SEARCH(RefData!$B$2, $C$476)),
    IF(
        $E839 &lt;&gt; "",
        $J$476,
        IF(
            $E839 = "",
            FALSE
        )
    ),
    IF(
        COUNTIF($K839:$T839, "&lt;&gt;FALSE") - COUNTBLANK($K839:$T839) &gt; 0,
        INDEX($K839:$T839, MATCH(TRUE, $K839:$T839 &lt;&gt; FALSE, 0))
    )
)</f>
        <v>0</v>
      </c>
      <c r="K839" s="712" t="b">
        <f ca="1">IF(AND('Covenant summary information'!$C$85=0,$E839&lt;&gt;""),ErrorMsgs!$B839)</f>
        <v>0</v>
      </c>
      <c r="L839" s="712" t="b">
        <f ca="1">IF(AND('Covenant summary information'!$C$85&lt;4,'Reconciliation report'!$E839&lt;&gt;""),ErrorMsgs!$C839)</f>
        <v>0</v>
      </c>
      <c r="M839" s="712" t="b">
        <f ca="1">IF(AND('Covenant summary information'!$C$85&gt;=4,'Reconciliation report'!$E839&lt;&gt;"",NOT(OR($E838=RefData!$B$165,$E838=RefData!$B$164))),ErrorMsgs!$D839)</f>
        <v>0</v>
      </c>
      <c r="N839" s="712" t="b">
        <f ca="1">IF(AND('Covenant summary information'!$C$85&gt;=4,'Reconciliation report'!$E839="",OR($E838=RefData!$B$165,$E838=RefData!$B$164)),ErrorMsgs!$E839)</f>
        <v>0</v>
      </c>
      <c r="O839" s="712" t="b">
        <f ca="1">IF(LEN($E839)&gt;4000,ErrorMsgs!$F839)</f>
        <v>0</v>
      </c>
      <c r="P839" s="712"/>
      <c r="Q839" s="712"/>
      <c r="R839" s="712"/>
      <c r="S839" s="712"/>
      <c r="T839" s="712"/>
      <c r="U839" s="526" t="str">
        <f t="shared" ca="1" si="118"/>
        <v/>
      </c>
      <c r="V839" s="93" t="str" cm="1">
        <f t="array" aca="1" ref="V839" ca="1">CELL("format",INDIRECT(I839))</f>
        <v>G</v>
      </c>
      <c r="W839" s="93" t="b">
        <f t="shared" ca="1" si="119"/>
        <v>0</v>
      </c>
      <c r="X839" s="715" t="str">
        <f t="shared" ca="1" si="117"/>
        <v/>
      </c>
      <c r="Y839" t="b">
        <f t="shared" ca="1" si="120"/>
        <v>1</v>
      </c>
    </row>
    <row r="840" spans="1:25" ht="77.5">
      <c r="A840" s="705" t="s">
        <v>1332</v>
      </c>
      <c r="B840" s="716" t="str">
        <f t="shared" ca="1" si="113"/>
        <v>Other contingent assets - C78</v>
      </c>
      <c r="C840" s="707" t="str" cm="1">
        <f t="array" aca="1" ref="C840" ca="1">INDIRECT(LEFT(I840, FIND("!", I840)) &amp; RefData!$C$426 &amp; RIGHT(I840, LEN(I840) - FIND("!", I840) - 1))</f>
        <v xml:space="preserve">
No answer required
Maturity type
</v>
      </c>
      <c r="D840" s="92" t="str">
        <f t="shared" ca="1" si="121"/>
        <v/>
      </c>
      <c r="E840" s="708" t="str" cm="1">
        <f t="array" aca="1" ref="E840" ca="1">IF(INDIRECT($I840)= "", "", INDIRECT($I840))</f>
        <v/>
      </c>
      <c r="F840" s="709" t="str" cm="1">
        <f t="array" aca="1" ref="F840" ca="1">INDIRECT(LEFT(I840, FIND("!", I840)) &amp; RefData!$C$427 &amp; RIGHT(I840, LEN(I840) - FIND("!", I840) - 1))</f>
        <v>OA 3.0/4</v>
      </c>
      <c r="G840" s="710" t="b">
        <f ca="1">IF(ISNUMBER(SEARCH(RefData!$B$2, $C840)), FALSE, TRUE)</f>
        <v>0</v>
      </c>
      <c r="H840" s="113">
        <f>'Other contingent assets'!C78</f>
        <v>0</v>
      </c>
      <c r="I840" s="712" t="str">
        <f t="shared" ca="1" si="114"/>
        <v>'Other contingent assets'!C78</v>
      </c>
      <c r="J840" s="713" t="b" cm="1">
        <f t="array" aca="1" ref="J840" ca="1">IF(
    ISNUMBER(SEARCH(RefData!$B$2, $C$476)),
    IF(
        $E840 &lt;&gt; "",
        $J$476,
        IF(
            $E840 = "",
            FALSE
        )
    ),
    IF(
        COUNTIF($K840:$T840, "&lt;&gt;FALSE") - COUNTBLANK($K840:$T840) &gt; 0,
        INDEX($K840:$T840, MATCH(TRUE, $K840:$T840 &lt;&gt; FALSE, 0))
    )
)</f>
        <v>0</v>
      </c>
      <c r="K840" s="712" t="b">
        <f ca="1">IF(AND('Start here'!$C$26=RefData!$B$9,$E840&lt;&gt;""),ErrorMsgs!$B840)</f>
        <v>0</v>
      </c>
      <c r="L840" s="712" t="b">
        <f ca="1">IF(AND('Start here'!$C$26=RefData!$B$10,'Covenant summary information'!$C$85=0,'Reconciliation report'!$E840&lt;&gt;""),ErrorMsgs!$C840)</f>
        <v>0</v>
      </c>
      <c r="M840" s="712" t="b">
        <f ca="1">IF(AND('Start here'!$C$26=RefData!$B$10,'Covenant summary information'!$C$85&lt;4,'Reconciliation report'!$E840&lt;&gt;""),ErrorMsgs!$D840)</f>
        <v>0</v>
      </c>
      <c r="N840" s="712" t="b">
        <f ca="1">IF(AND('Start here'!$C$26=RefData!$B$10,'Covenant summary information'!$C$85&gt;=4,'Reconciliation report'!$E840=""),ErrorMsgs!$E840)</f>
        <v>0</v>
      </c>
      <c r="O840" s="712" t="b">
        <f ca="1">IF($E840="",FALSE,IF(ISNA(MATCH($E840,RefData!$B$166:$B$168,0)),ErrorMsgs!$F840))</f>
        <v>0</v>
      </c>
      <c r="P840" s="712"/>
      <c r="Q840" s="712"/>
      <c r="R840" s="712"/>
      <c r="S840" s="712"/>
      <c r="T840" s="712"/>
      <c r="U840" s="526" t="str">
        <f t="shared" ca="1" si="118"/>
        <v/>
      </c>
      <c r="V840" s="93" t="str" cm="1">
        <f t="array" aca="1" ref="V840" ca="1">CELL("format",INDIRECT(I840))</f>
        <v>G</v>
      </c>
      <c r="W840" s="93" t="b">
        <f t="shared" ca="1" si="119"/>
        <v>0</v>
      </c>
      <c r="X840" s="715" t="str">
        <f t="shared" ca="1" si="117"/>
        <v/>
      </c>
      <c r="Y840" t="b">
        <f t="shared" ca="1" si="120"/>
        <v>1</v>
      </c>
    </row>
    <row r="841" spans="1:25" ht="77.5">
      <c r="A841" s="705" t="s">
        <v>1334</v>
      </c>
      <c r="B841" s="716" t="str">
        <f t="shared" ca="1" si="113"/>
        <v>Other contingent assets - C79</v>
      </c>
      <c r="C841" s="707" t="str" cm="1">
        <f t="array" aca="1" ref="C841" ca="1">INDIRECT(LEFT(I841, FIND("!", I841)) &amp; RefData!$C$426 &amp; RIGHT(I841, LEN(I841) - FIND("!", I841) - 1))</f>
        <v xml:space="preserve">
No answer required
Date of Maturity
</v>
      </c>
      <c r="D841" s="92" t="str">
        <f t="shared" ca="1" si="121"/>
        <v/>
      </c>
      <c r="E841" s="708" t="str" cm="1">
        <f t="array" aca="1" ref="E841" ca="1">IF(INDIRECT($I841)= "", "", INDIRECT($I841))</f>
        <v/>
      </c>
      <c r="F841" s="709" t="str" cm="1">
        <f t="array" aca="1" ref="F841" ca="1">INDIRECT(LEFT(I841, FIND("!", I841)) &amp; RefData!$C$427 &amp; RIGHT(I841, LEN(I841) - FIND("!", I841) - 1))</f>
        <v>OA 4.0/4</v>
      </c>
      <c r="G841" s="710" t="b">
        <f ca="1">IF(ISNUMBER(SEARCH(RefData!$B$2, $C841)), FALSE, TRUE)</f>
        <v>0</v>
      </c>
      <c r="H841" s="391">
        <f>'Other contingent assets'!C79</f>
        <v>0</v>
      </c>
      <c r="I841" s="712" t="str">
        <f t="shared" ca="1" si="114"/>
        <v>'Other contingent assets'!C79</v>
      </c>
      <c r="J841" s="713" t="b" cm="1">
        <f t="array" aca="1" ref="J841" ca="1">IF(
    ISNUMBER(SEARCH(RefData!$B$2, $C$476)),
    IF(
        $E841 &lt;&gt; "",
        $J$476,
        IF(
            $E841 = "",
            FALSE
        )
    ),
    IF(
        COUNTIF($K841:$T841, "&lt;&gt;FALSE") - COUNTBLANK($K841:$T841) &gt; 0,
        INDEX($K841:$T841, MATCH(TRUE, $K841:$T841 &lt;&gt; FALSE, 0))
    )
)</f>
        <v>0</v>
      </c>
      <c r="K841" s="712" t="b">
        <f ca="1">IF(AND($E841&lt;&gt;"",'Start here'!$C$26=RefData!$B$9),ErrorMsgs!$B841)</f>
        <v>0</v>
      </c>
      <c r="L841" s="712" t="b">
        <f ca="1">IF(AND('Start here'!$C$26=RefData!$B$10,'Covenant summary information'!$C$85=0,'Reconciliation report'!$E841&lt;&gt;""),ErrorMsgs!$C841)</f>
        <v>0</v>
      </c>
      <c r="M841" s="712" t="b">
        <f ca="1">IF(AND('Start here'!$C$26=RefData!$B$10,'Covenant summary information'!$C$85&lt;4,'Reconciliation report'!$E841&lt;&gt;""),ErrorMsgs!$D841)</f>
        <v>0</v>
      </c>
      <c r="N841" s="712" t="b">
        <f ca="1">IF(AND('Start here'!$C$26=RefData!$B$10,'Covenant summary information'!$C$85&gt;=4,'Reconciliation report'!$E841&lt;&gt;"",OR($E840=RefData!$B$166,$E840=RefData!$B$168)),ErrorMsgs!$E841)</f>
        <v>0</v>
      </c>
      <c r="O841" s="712" t="b">
        <f ca="1">IF(AND('Start here'!$C$26=RefData!$B$10,'Covenant summary information'!$C$85&gt;=4,'Reconciliation report'!$E841="",$E840=RefData!$B$167),ErrorMsgs!$F841)</f>
        <v>0</v>
      </c>
      <c r="P841" s="712" t="b">
        <f ca="1">IF($E841="",FALSE,IF(NOT(ISNUMBER($E841)),ErrorMsgs!$G841))</f>
        <v>0</v>
      </c>
      <c r="Q841" s="712" t="b">
        <f ca="1">IF($E841&lt;'Start here'!$C$21,ErrorMsgs!$H841)</f>
        <v>0</v>
      </c>
      <c r="R841" s="712"/>
      <c r="S841" s="712"/>
      <c r="T841" s="712"/>
      <c r="U841" s="526" t="str">
        <f t="shared" ca="1" si="118"/>
        <v/>
      </c>
      <c r="V841" s="93" t="str" cm="1">
        <f t="array" aca="1" ref="V841" ca="1">CELL("format",INDIRECT(I841))</f>
        <v>D1</v>
      </c>
      <c r="W841" s="93" t="b">
        <f t="shared" ca="1" si="119"/>
        <v>0</v>
      </c>
      <c r="X841" s="715" t="str">
        <f t="shared" ca="1" si="117"/>
        <v/>
      </c>
      <c r="Y841" t="b">
        <f t="shared" ca="1" si="120"/>
        <v>1</v>
      </c>
    </row>
    <row r="842" spans="1:25" ht="77.5">
      <c r="A842" s="705" t="s">
        <v>1336</v>
      </c>
      <c r="B842" s="716" t="str">
        <f t="shared" ca="1" si="113"/>
        <v>Other contingent assets - C80</v>
      </c>
      <c r="C842" s="707" t="str" cm="1">
        <f t="array" aca="1" ref="C842" ca="1">INDIRECT(LEFT(I842, FIND("!", I842)) &amp; RefData!$C$426 &amp; RIGHT(I842, LEN(I842) - FIND("!", I842) - 1))</f>
        <v xml:space="preserve">
No answer required
Maturity date narrative
</v>
      </c>
      <c r="D842" s="92" t="str">
        <f t="shared" ca="1" si="121"/>
        <v/>
      </c>
      <c r="E842" s="708" t="str" cm="1">
        <f t="array" aca="1" ref="E842" ca="1">IF(INDIRECT($I842)= "", "", INDIRECT($I842))</f>
        <v/>
      </c>
      <c r="F842" s="709" t="str" cm="1">
        <f t="array" aca="1" ref="F842" ca="1">INDIRECT(LEFT(I842, FIND("!", I842)) &amp; RefData!$C$427 &amp; RIGHT(I842, LEN(I842) - FIND("!", I842) - 1))</f>
        <v>OA 5.0/4</v>
      </c>
      <c r="G842" s="710" t="b">
        <f ca="1">IF(ISNUMBER(SEARCH(RefData!$B$2, $C842)), FALSE, TRUE)</f>
        <v>0</v>
      </c>
      <c r="H842" s="113">
        <f>'Other contingent assets'!C80</f>
        <v>0</v>
      </c>
      <c r="I842" s="712" t="str">
        <f t="shared" ca="1" si="114"/>
        <v>'Other contingent assets'!C80</v>
      </c>
      <c r="J842" s="713" t="b" cm="1">
        <f t="array" aca="1" ref="J842" ca="1">IF(
    ISNUMBER(SEARCH(RefData!$B$2, $C$476)),
    IF(
        $E842 &lt;&gt; "",
        $J$476,
        IF(
            $E842 = "",
            FALSE
        )
    ),
    IF(
        COUNTIF($K842:$T842, "&lt;&gt;FALSE") - COUNTBLANK($K842:$T842) &gt; 0,
        INDEX($K842:$T842, MATCH(TRUE, $K842:$T842 &lt;&gt; FALSE, 0))
    )
)</f>
        <v>0</v>
      </c>
      <c r="K842" s="712" t="b">
        <f ca="1">IF(AND($E842&lt;&gt;"",'Start here'!$C$26=RefData!$B$9),ErrorMsgs!$B842)</f>
        <v>0</v>
      </c>
      <c r="L842" s="712" t="b">
        <f ca="1">IF(AND('Start here'!$C$26=RefData!$B$10,'Covenant summary information'!$C$85=0,'Reconciliation report'!$E842&lt;&gt;""),ErrorMsgs!$C842)</f>
        <v>0</v>
      </c>
      <c r="M842" s="712" t="b">
        <f ca="1">IF(AND('Start here'!$C$26=RefData!$B$10,'Covenant summary information'!$C$85&lt;4,'Reconciliation report'!$E842&lt;&gt;""),ErrorMsgs!$D842)</f>
        <v>0</v>
      </c>
      <c r="N842" s="712" t="b">
        <f ca="1">IF(AND('Start here'!$C$26=RefData!$B$10,'Covenant summary information'!$C$85&gt;=4,'Reconciliation report'!$E842&lt;&gt;"",$E840&lt;&gt;RefData!$B$168),ErrorMsgs!$E842)</f>
        <v>0</v>
      </c>
      <c r="O842" s="712" t="b">
        <f ca="1">IF(AND('Start here'!$C$26=RefData!$B$10,'Covenant summary information'!$C$85&gt;=4,'Reconciliation report'!$E842="",$E840=RefData!$B$168),ErrorMsgs!$F842)</f>
        <v>0</v>
      </c>
      <c r="P842" s="712" t="b">
        <f ca="1">IF(LEN($E842)&gt;4000,ErrorMsgs!$G842)</f>
        <v>0</v>
      </c>
      <c r="Q842" s="712"/>
      <c r="R842" s="712"/>
      <c r="S842" s="712"/>
      <c r="T842" s="712"/>
      <c r="U842" s="526" t="str">
        <f t="shared" ca="1" si="118"/>
        <v/>
      </c>
      <c r="V842" s="93" t="str" cm="1">
        <f t="array" aca="1" ref="V842" ca="1">CELL("format",INDIRECT(I842))</f>
        <v>G</v>
      </c>
      <c r="W842" s="93" t="b">
        <f t="shared" ca="1" si="119"/>
        <v>0</v>
      </c>
      <c r="X842" s="715" t="str">
        <f t="shared" ca="1" si="117"/>
        <v/>
      </c>
      <c r="Y842" t="b">
        <f t="shared" ca="1" si="120"/>
        <v>1</v>
      </c>
    </row>
    <row r="843" spans="1:25" ht="77.5">
      <c r="A843" s="705" t="s">
        <v>1338</v>
      </c>
      <c r="B843" s="716" t="str">
        <f t="shared" ca="1" si="113"/>
        <v>Other contingent assets - C81</v>
      </c>
      <c r="C843" s="707" t="str" cm="1">
        <f t="array" aca="1" ref="C843" ca="1">INDIRECT(LEFT(I843, FIND("!", I843)) &amp; RefData!$C$426 &amp; RIGHT(I843, LEN(I843) - FIND("!", I843) - 1))</f>
        <v xml:space="preserve">
No answer required
Value ascribed (£)
</v>
      </c>
      <c r="D843" s="92" t="str">
        <f t="shared" ca="1" si="121"/>
        <v/>
      </c>
      <c r="E843" s="708" t="str" cm="1">
        <f t="array" aca="1" ref="E843" ca="1">IF(INDIRECT($I843)= "", "", INDIRECT($I843))</f>
        <v/>
      </c>
      <c r="F843" s="709" t="str" cm="1">
        <f t="array" aca="1" ref="F843" ca="1">INDIRECT(LEFT(I843, FIND("!", I843)) &amp; RefData!$C$427 &amp; RIGHT(I843, LEN(I843) - FIND("!", I843) - 1))</f>
        <v>OA 6.0/4</v>
      </c>
      <c r="G843" s="710" t="b">
        <f ca="1">IF(ISNUMBER(SEARCH(RefData!$B$2, $C843)), FALSE, TRUE)</f>
        <v>0</v>
      </c>
      <c r="H843" s="96">
        <f>'Other contingent assets'!C81</f>
        <v>0</v>
      </c>
      <c r="I843" s="712" t="str">
        <f t="shared" ca="1" si="114"/>
        <v>'Other contingent assets'!C81</v>
      </c>
      <c r="J843" s="713" t="b" cm="1">
        <f t="array" aca="1" ref="J843" ca="1">IF(
    ISNUMBER(SEARCH(RefData!$B$2, $C$476)),
    IF(
        $E843 &lt;&gt; "",
        $J$476,
        IF(
            $E843 = "",
            FALSE
        )
    ),
    IF(
        COUNTIF($K843:$T843, "&lt;&gt;FALSE") - COUNTBLANK($K843:$T843) &gt; 0,
        INDEX($K843:$T843, MATCH(TRUE, $K843:$T843 &lt;&gt; FALSE, 0))
    )
)</f>
        <v>0</v>
      </c>
      <c r="K843" s="712" t="b">
        <f ca="1">IF(AND($E843&lt;&gt;"",'Covenant summary information'!$C$85=0),ErrorMsgs!$B843)</f>
        <v>0</v>
      </c>
      <c r="L843" s="712" t="b">
        <f ca="1">IF(AND($E843&lt;&gt;"",'Covenant summary information'!$C$85&lt;4),ErrorMsgs!$C843)</f>
        <v>0</v>
      </c>
      <c r="M843" s="712" t="b">
        <f ca="1">IF(AND($E843="",'Covenant summary information'!$C$85&gt;=4),ErrorMsgs!$D843)</f>
        <v>0</v>
      </c>
      <c r="N843" s="712" t="b">
        <f ca="1">IF($E$843="",FALSE,IF(NOT(ISNUMBER($E843)),ErrorMsgs!$E843,IF(OR($E843-ROUND($E843,2)&lt;&gt;0,$E843&lt;0,$E843&gt;1000000000000),ErrorMsgs!$E843)))</f>
        <v>0</v>
      </c>
      <c r="O843" s="712"/>
      <c r="P843" s="712"/>
      <c r="Q843" s="712"/>
      <c r="R843" s="712"/>
      <c r="S843" s="712"/>
      <c r="T843" s="712"/>
      <c r="U843" s="526" t="str">
        <f t="shared" ca="1" si="118"/>
        <v/>
      </c>
      <c r="V843" s="93" t="str" cm="1">
        <f t="array" aca="1" ref="V843" ca="1">CELL("format",INDIRECT(I843))</f>
        <v>C2</v>
      </c>
      <c r="W843" s="93" t="b">
        <f t="shared" ca="1" si="119"/>
        <v>0</v>
      </c>
      <c r="X843" s="715" t="str">
        <f t="shared" ca="1" si="117"/>
        <v/>
      </c>
      <c r="Y843" t="b">
        <f t="shared" ca="1" si="120"/>
        <v>1</v>
      </c>
    </row>
    <row r="844" spans="1:25" ht="77.5">
      <c r="A844" s="705" t="s">
        <v>1340</v>
      </c>
      <c r="B844" s="716" t="str">
        <f t="shared" ca="1" si="113"/>
        <v>Other contingent assets - C82</v>
      </c>
      <c r="C844" s="707" t="str" cm="1">
        <f t="array" aca="1" ref="C844" ca="1">INDIRECT(LEFT(I844, FIND("!", I844)) &amp; RefData!$C$426 &amp; RIGHT(I844, LEN(I844) - FIND("!", I844) - 1))</f>
        <v xml:space="preserve">
No answer required
Date of valuation
</v>
      </c>
      <c r="D844" s="92" t="str">
        <f t="shared" ca="1" si="121"/>
        <v/>
      </c>
      <c r="E844" s="708" t="str" cm="1">
        <f t="array" aca="1" ref="E844" ca="1">IF(INDIRECT($I844)= "", "", INDIRECT($I844))</f>
        <v/>
      </c>
      <c r="F844" s="709" t="str" cm="1">
        <f t="array" aca="1" ref="F844" ca="1">INDIRECT(LEFT(I844, FIND("!", I844)) &amp; RefData!$C$427 &amp; RIGHT(I844, LEN(I844) - FIND("!", I844) - 1))</f>
        <v>OA 7.0/4</v>
      </c>
      <c r="G844" s="710" t="b">
        <f ca="1">IF(ISNUMBER(SEARCH(RefData!$B$2, $C844)), FALSE, TRUE)</f>
        <v>0</v>
      </c>
      <c r="H844" s="113">
        <f>'Other contingent assets'!C82</f>
        <v>0</v>
      </c>
      <c r="I844" s="712" t="str">
        <f t="shared" ca="1" si="114"/>
        <v>'Other contingent assets'!C82</v>
      </c>
      <c r="J844" s="713" t="b" cm="1">
        <f t="array" aca="1" ref="J844" ca="1">IF(
    ISNUMBER(SEARCH(RefData!$B$2, $C$476)),
    IF(
        $E844 &lt;&gt; "",
        $J$476,
        IF(
            $E844 = "",
            FALSE
        )
    ),
    IF(
        COUNTIF($K844:$T844, "&lt;&gt;FALSE") - COUNTBLANK($K844:$T844) &gt; 0,
        INDEX($K844:$T844, MATCH(TRUE, $K844:$T844 &lt;&gt; FALSE, 0))
    )
)</f>
        <v>0</v>
      </c>
      <c r="K844" s="712" t="b">
        <f ca="1">IF(AND($E844&lt;&gt;"",'Covenant summary information'!$C$85=0),ErrorMsgs!$B844)</f>
        <v>0</v>
      </c>
      <c r="L844" s="712" t="b">
        <f ca="1">IF(AND($E844&lt;&gt;"",'Covenant summary information'!$C$85&lt;4),ErrorMsgs!$C844)</f>
        <v>0</v>
      </c>
      <c r="M844" s="712" t="b">
        <f ca="1">IF(AND($E844="",'Covenant summary information'!$C$85&gt;=4),ErrorMsgs!$D844)</f>
        <v>0</v>
      </c>
      <c r="N844" s="712" t="b">
        <f ca="1">IF(AND('Covenant summary information'!$C$85&gt;=4,NOT(ISNUMBER($E844))),ErrorMsgs!$E844)</f>
        <v>0</v>
      </c>
      <c r="O844" s="712" t="b">
        <f ca="1">IF($E844="",FALSE,IF($E844&gt;TODAY(),ErrorMsgs!$F844))</f>
        <v>0</v>
      </c>
      <c r="P844" s="712"/>
      <c r="Q844" s="712"/>
      <c r="R844" s="712"/>
      <c r="S844" s="712"/>
      <c r="T844" s="712"/>
      <c r="U844" s="526" t="str">
        <f t="shared" ca="1" si="118"/>
        <v/>
      </c>
      <c r="V844" s="93" t="str" cm="1">
        <f t="array" aca="1" ref="V844" ca="1">CELL("format",INDIRECT(I844))</f>
        <v>D1</v>
      </c>
      <c r="W844" s="93" t="b">
        <f t="shared" ca="1" si="119"/>
        <v>0</v>
      </c>
      <c r="X844" s="715" t="str">
        <f t="shared" ca="1" si="117"/>
        <v/>
      </c>
      <c r="Y844" t="b">
        <f t="shared" ca="1" si="120"/>
        <v>1</v>
      </c>
    </row>
    <row r="845" spans="1:25" ht="61.25" customHeight="1">
      <c r="A845" s="705" t="s">
        <v>1342</v>
      </c>
      <c r="B845" s="716" t="str">
        <f t="shared" ca="1" si="113"/>
        <v>Other contingent assets - C83</v>
      </c>
      <c r="C845" s="707" t="str" cm="1">
        <f t="array" aca="1" ref="C845" ca="1">INDIRECT(LEFT(I845, FIND("!", I845)) &amp; RefData!$C$426 &amp; RIGHT(I845, LEN(I845) - FIND("!", I845) - 1))</f>
        <v xml:space="preserve">
No answer required
Value cap
</v>
      </c>
      <c r="D845" s="92" t="str">
        <f t="shared" ca="1" si="121"/>
        <v/>
      </c>
      <c r="E845" s="708" t="str" cm="1">
        <f t="array" aca="1" ref="E845" ca="1">IF(INDIRECT($I845)= "", "", INDIRECT($I845))</f>
        <v/>
      </c>
      <c r="F845" s="709" t="str" cm="1">
        <f t="array" aca="1" ref="F845" ca="1">INDIRECT(LEFT(I845, FIND("!", I845)) &amp; RefData!$C$427 &amp; RIGHT(I845, LEN(I845) - FIND("!", I845) - 1))</f>
        <v>OA 8.0/4</v>
      </c>
      <c r="G845" s="710" t="b">
        <f ca="1">IF(ISNUMBER(SEARCH(RefData!$B$2, $C845)), FALSE, TRUE)</f>
        <v>0</v>
      </c>
      <c r="H845" s="113">
        <f>'Other contingent assets'!C83</f>
        <v>0</v>
      </c>
      <c r="I845" s="712" t="str">
        <f t="shared" ca="1" si="114"/>
        <v>'Other contingent assets'!C83</v>
      </c>
      <c r="J845" s="713" t="b" cm="1">
        <f t="array" aca="1" ref="J845" ca="1">IF(
    ISNUMBER(SEARCH(RefData!$B$2, $C$476)),
    IF(
        $E845 &lt;&gt; "",
        $J$476,
        IF(
            $E845 = "",
            FALSE
        )
    ),
    IF(
        COUNTIF($K845:$T845, "&lt;&gt;FALSE") - COUNTBLANK($K845:$T845) &gt; 0,
        INDEX($K845:$T845, MATCH(TRUE, $K845:$T845 &lt;&gt; FALSE, 0))
    )
)</f>
        <v>0</v>
      </c>
      <c r="K845" s="712" t="b">
        <f ca="1">IF(AND($E845&lt;&gt;"",'Start here'!$C$26=RefData!$B$9),ErrorMsgs!$B845)</f>
        <v>0</v>
      </c>
      <c r="L845" s="712" t="b">
        <f ca="1">IF(AND($E845&lt;&gt;"",'Start here'!$C$26=RefData!$B$10, 'Covenant summary information'!$C$85=0),ErrorMsgs!$C845)</f>
        <v>0</v>
      </c>
      <c r="M845" s="712" t="b">
        <f ca="1">IF(AND($E845&lt;&gt;"",'Start here'!$C$26=RefData!$B$10, 'Covenant summary information'!$C$85&lt;4),ErrorMsgs!$D845)</f>
        <v>0</v>
      </c>
      <c r="N845" s="712" t="b">
        <f ca="1">IF(AND($E845="",'Start here'!$C$26=RefData!$B$10, 'Covenant summary information'!$C$85&gt;=4),ErrorMsgs!$E845)</f>
        <v>0</v>
      </c>
      <c r="O845" s="712" t="b">
        <f ca="1">IF($E845="",FALSE,IF(ISNA(MATCH($E845,RefData!$B$169:$B$175,0)),ErrorMsgs!$F845))</f>
        <v>0</v>
      </c>
      <c r="P845" s="712"/>
      <c r="Q845" s="712"/>
      <c r="R845" s="712"/>
      <c r="S845" s="712"/>
      <c r="T845" s="712"/>
      <c r="U845" s="526" t="str">
        <f t="shared" ca="1" si="118"/>
        <v/>
      </c>
      <c r="V845" s="93" t="str" cm="1">
        <f t="array" aca="1" ref="V845" ca="1">CELL("format",INDIRECT(I845))</f>
        <v>G</v>
      </c>
      <c r="W845" s="93" t="b">
        <f t="shared" ca="1" si="119"/>
        <v>0</v>
      </c>
      <c r="X845" s="715" t="str">
        <f t="shared" ca="1" si="117"/>
        <v/>
      </c>
      <c r="Y845" t="b">
        <f t="shared" ca="1" si="120"/>
        <v>1</v>
      </c>
    </row>
    <row r="846" spans="1:25" ht="77.5">
      <c r="A846" s="705" t="s">
        <v>1344</v>
      </c>
      <c r="B846" s="716" t="str">
        <f t="shared" ca="1" si="113"/>
        <v>Other contingent assets - C84</v>
      </c>
      <c r="C846" s="707" t="str" cm="1">
        <f t="array" aca="1" ref="C846" ca="1">INDIRECT(LEFT(I846, FIND("!", I846)) &amp; RefData!$C$426 &amp; RIGHT(I846, LEN(I846) - FIND("!", I846) - 1))</f>
        <v xml:space="preserve">
No answer required
Narrative regarding value cap
</v>
      </c>
      <c r="D846" s="92" t="str">
        <f t="shared" ca="1" si="121"/>
        <v/>
      </c>
      <c r="E846" s="708" t="str" cm="1">
        <f t="array" aca="1" ref="E846" ca="1">IF(INDIRECT($I846)= "", "", INDIRECT($I846))</f>
        <v/>
      </c>
      <c r="F846" s="709" t="str" cm="1">
        <f t="array" aca="1" ref="F846" ca="1">INDIRECT(LEFT(I846, FIND("!", I846)) &amp; RefData!$C$427 &amp; RIGHT(I846, LEN(I846) - FIND("!", I846) - 1))</f>
        <v>OA 9.0/4</v>
      </c>
      <c r="G846" s="710" t="b">
        <f ca="1">IF(ISNUMBER(SEARCH(RefData!$B$2, $C846)), FALSE, TRUE)</f>
        <v>0</v>
      </c>
      <c r="H846" s="113">
        <f>'Other contingent assets'!C84</f>
        <v>0</v>
      </c>
      <c r="I846" s="712" t="str">
        <f t="shared" ca="1" si="114"/>
        <v>'Other contingent assets'!C84</v>
      </c>
      <c r="J846" s="713" t="b" cm="1">
        <f t="array" aca="1" ref="J846" ca="1">IF(
    ISNUMBER(SEARCH(RefData!$B$2, $C$476)),
    IF(
        $E846 &lt;&gt; "",
        $J$476,
        IF(
            $E846 = "",
            FALSE
        )
    ),
    IF(
        COUNTIF($K846:$T846, "&lt;&gt;FALSE") - COUNTBLANK($K846:$T846) &gt; 0,
        INDEX($K846:$T846, MATCH(TRUE, $K846:$T846 &lt;&gt; FALSE, 0))
    )
)</f>
        <v>0</v>
      </c>
      <c r="K846" s="712" t="b">
        <f ca="1">IF(AND(E846&lt;&gt;"",'Start here'!$C$26=RefData!$B$9),ErrorMsgs!$B846)</f>
        <v>0</v>
      </c>
      <c r="L846" s="712" t="b">
        <f ca="1">IF(AND('Start here'!$C$26=RefData!$B$10,'Covenant summary information'!$C$85=0,'Reconciliation report'!$E846&lt;&gt;""),ErrorMsgs!$C846)</f>
        <v>0</v>
      </c>
      <c r="M846" s="712" t="b">
        <f ca="1">IF(AND('Start here'!$C$26=RefData!$B$10,'Covenant summary information'!$C$85&lt;4,'Reconciliation report'!$E846&lt;&gt;""),ErrorMsgs!$D846)</f>
        <v>0</v>
      </c>
      <c r="N846" s="712" t="b">
        <f ca="1">IF(AND('Start here'!$C$26=RefData!$B$10,'Covenant summary information'!$C$85&gt;=4,'Reconciliation report'!$E846&lt;&gt;"",NOT('Other contingent assets'!$C$83=RefData!$B$175)),ErrorMsgs!$E846)</f>
        <v>0</v>
      </c>
      <c r="O846" s="712" t="b">
        <f ca="1">IF(AND('Start here'!$C$26=RefData!$B$10,'Covenant summary information'!$C$85&gt;=4,'Reconciliation report'!$E846="",'Other contingent assets'!$C$83=RefData!$B$175),ErrorMsgs!$F846)</f>
        <v>0</v>
      </c>
      <c r="P846" s="712" t="b">
        <f ca="1">IF(LEN($E846)&gt;4000,ErrorMsgs!$G846)</f>
        <v>0</v>
      </c>
      <c r="Q846" s="712"/>
      <c r="R846" s="712"/>
      <c r="S846" s="712"/>
      <c r="T846" s="712"/>
      <c r="U846" s="526" t="str">
        <f t="shared" ca="1" si="118"/>
        <v/>
      </c>
      <c r="V846" s="93" t="str" cm="1">
        <f t="array" aca="1" ref="V846" ca="1">CELL("format",INDIRECT(I846))</f>
        <v>G</v>
      </c>
      <c r="W846" s="93" t="b">
        <f t="shared" ca="1" si="119"/>
        <v>0</v>
      </c>
      <c r="X846" s="715" t="str">
        <f t="shared" ca="1" si="117"/>
        <v/>
      </c>
      <c r="Y846" t="b">
        <f t="shared" ca="1" si="120"/>
        <v>1</v>
      </c>
    </row>
    <row r="847" spans="1:25" ht="77.5">
      <c r="A847" s="705" t="s">
        <v>1346</v>
      </c>
      <c r="B847" s="716" t="str">
        <f t="shared" ca="1" si="113"/>
        <v>Other contingent assets - C85</v>
      </c>
      <c r="C847" s="707" t="str" cm="1">
        <f t="array" aca="1" ref="C847" ca="1">INDIRECT(LEFT(I847, FIND("!", I847)) &amp; RefData!$C$426 &amp; RIGHT(I847, LEN(I847) - FIND("!", I847) - 1))</f>
        <v xml:space="preserve">
No answer required
Fixed cap amount (£)
</v>
      </c>
      <c r="D847" s="92" t="str">
        <f t="shared" ca="1" si="121"/>
        <v/>
      </c>
      <c r="E847" s="708" t="str" cm="1">
        <f t="array" aca="1" ref="E847" ca="1">IF(INDIRECT($I847)= "", "", INDIRECT($I847))</f>
        <v/>
      </c>
      <c r="F847" s="709" t="str" cm="1">
        <f t="array" aca="1" ref="F847" ca="1">INDIRECT(LEFT(I847, FIND("!", I847)) &amp; RefData!$C$427 &amp; RIGHT(I847, LEN(I847) - FIND("!", I847) - 1))</f>
        <v>OA 10.0/4</v>
      </c>
      <c r="G847" s="710" t="b">
        <f ca="1">IF(ISNUMBER(SEARCH(RefData!$B$2, $C847)), FALSE, TRUE)</f>
        <v>0</v>
      </c>
      <c r="H847" s="113">
        <f>'Other contingent assets'!C85</f>
        <v>0</v>
      </c>
      <c r="I847" s="712" t="str">
        <f t="shared" ca="1" si="114"/>
        <v>'Other contingent assets'!C85</v>
      </c>
      <c r="J847" s="713" t="b" cm="1">
        <f t="array" aca="1" ref="J847" ca="1">IF(
    ISNUMBER(SEARCH(RefData!$B$2, $C$476)),
    IF(
        $E847 &lt;&gt; "",
        $J$476,
        IF(
            $E847 = "",
            FALSE
        )
    ),
    IF(
        COUNTIF($K847:$T847, "&lt;&gt;FALSE") - COUNTBLANK($K847:$T847) &gt; 0,
        INDEX($K847:$T847, MATCH(TRUE, $K847:$T847 &lt;&gt; FALSE, 0))
    )
)</f>
        <v>0</v>
      </c>
      <c r="K847" s="712" t="b">
        <f ca="1">IF(AND(E847&lt;&gt;"",'Start here'!$C$26=RefData!$B$9),ErrorMsgs!$B847)</f>
        <v>0</v>
      </c>
      <c r="L847" s="712" t="b">
        <f ca="1">IF(AND('Start here'!$C$26=RefData!$B$10,'Covenant summary information'!$C$85=0,'Reconciliation report'!$E847&lt;&gt;""),ErrorMsgs!$C847)</f>
        <v>0</v>
      </c>
      <c r="M847" s="712" t="b">
        <f ca="1">IF(AND('Start here'!$C$26=RefData!$B$10,'Covenant summary information'!$C$85&lt;4,'Reconciliation report'!$E847&lt;&gt;""),ErrorMsgs!$D847)</f>
        <v>0</v>
      </c>
      <c r="N847" s="712" t="b">
        <f ca="1">IF(AND('Start here'!$C$26=RefData!$B$10,'Covenant summary information'!$C$85&gt;=4,'Reconciliation report'!$E847&lt;&gt;"",NOT('Other contingent assets'!$C$83=RefData!$B$174)),ErrorMsgs!$E847)</f>
        <v>0</v>
      </c>
      <c r="O847" s="712" t="b">
        <f ca="1">IF(AND('Start here'!$C$26=RefData!$B$10,'Covenant summary information'!$C$85&gt;=4,'Reconciliation report'!$E847="",'Other contingent assets'!$C$83=RefData!$B$174),ErrorMsgs!$F847)</f>
        <v>0</v>
      </c>
      <c r="P847" s="712" t="b">
        <f ca="1">IF($E847="",FALSE,IF(ISERROR(VALUE($E847)),ErrorMsgs!G847,IF(OR(VALUE($E847)&lt;0,VALUE($E847)&gt;1000000000000,VALUE($E847)-ROUND(VALUE($E847),2)&lt;&gt;0),ErrorMsgs!G847)))</f>
        <v>0</v>
      </c>
      <c r="Q847" s="712"/>
      <c r="R847" s="712"/>
      <c r="S847" s="712"/>
      <c r="T847" s="712"/>
      <c r="U847" s="526" t="str">
        <f t="shared" ca="1" si="118"/>
        <v/>
      </c>
      <c r="V847" s="93" t="str" cm="1">
        <f t="array" aca="1" ref="V847" ca="1">CELL("format",INDIRECT(I847))</f>
        <v>C2</v>
      </c>
      <c r="W847" s="93" t="b">
        <f t="shared" ca="1" si="119"/>
        <v>0</v>
      </c>
      <c r="X847" s="715" t="str">
        <f t="shared" ca="1" si="117"/>
        <v/>
      </c>
      <c r="Y847" t="b">
        <f t="shared" ca="1" si="120"/>
        <v>1</v>
      </c>
    </row>
    <row r="848" spans="1:25" ht="77.5">
      <c r="A848" s="705" t="s">
        <v>1348</v>
      </c>
      <c r="B848" s="716" t="str">
        <f t="shared" ca="1" si="113"/>
        <v>Other contingent assets - C89</v>
      </c>
      <c r="C848" s="707" t="str" cm="1">
        <f t="array" aca="1" ref="C848" ca="1">INDIRECT(LEFT(I848, FIND("!", I848)) &amp; RefData!$C$426 &amp; RIGHT(I848, LEN(I848) - FIND("!", I848) - 1))</f>
        <v xml:space="preserve">
No answer required
Participating employer insolvency
</v>
      </c>
      <c r="D848" s="92" t="str">
        <f t="shared" ca="1" si="121"/>
        <v/>
      </c>
      <c r="E848" s="708" t="str" cm="1">
        <f t="array" aca="1" ref="E848" ca="1">IF(INDIRECT($I848)= "", "", INDIRECT($I848))</f>
        <v/>
      </c>
      <c r="F848" s="709" t="str" cm="1">
        <f t="array" aca="1" ref="F848" ca="1">INDIRECT(LEFT(I848, FIND("!", I848)) &amp; RefData!$C$427 &amp; RIGHT(I848, LEN(I848) - FIND("!", I848) - 1))</f>
        <v>OA 11.0/4</v>
      </c>
      <c r="G848" s="710" t="b">
        <f ca="1">IF(ISNUMBER(SEARCH(RefData!$B$2, $C848)), FALSE, TRUE)</f>
        <v>0</v>
      </c>
      <c r="H848" s="113">
        <f>'Other contingent assets'!C89</f>
        <v>0</v>
      </c>
      <c r="I848" s="712" t="str">
        <f t="shared" ca="1" si="114"/>
        <v>'Other contingent assets'!C89</v>
      </c>
      <c r="J848" s="713" t="b" cm="1">
        <f t="array" aca="1" ref="J848" ca="1">IF(
    ISNUMBER(SEARCH(RefData!$B$2, $C$476)),
    IF(
        $E848 &lt;&gt; "",
        $J$476,
        IF(
            $E848 = "",
            FALSE
        )
    ),
    IF(
        COUNTIF($K848:$T848, "&lt;&gt;FALSE") - COUNTBLANK($K848:$T848) &gt; 0,
        INDEX($K848:$T848, MATCH(TRUE, $K848:$T848 &lt;&gt; FALSE, 0))
    )
)</f>
        <v>0</v>
      </c>
      <c r="K848" s="712" t="b">
        <f ca="1">IF(AND(E848&lt;&gt;"",'Start here'!$C$26=RefData!$B$9),ErrorMsgs!$B848)</f>
        <v>0</v>
      </c>
      <c r="L848" s="712" t="b">
        <f ca="1">IF(AND('Start here'!$C$26=RefData!$B$10,'Covenant summary information'!$C$85=0,'Reconciliation report'!$E848&lt;&gt;""),ErrorMsgs!$C848)</f>
        <v>0</v>
      </c>
      <c r="M848" s="712" t="b">
        <f ca="1">IF(AND('Start here'!$C$26=RefData!$B$10,'Covenant summary information'!$C$85&lt;4,'Reconciliation report'!$E848&lt;&gt;""),ErrorMsgs!$D848)</f>
        <v>0</v>
      </c>
      <c r="N848" s="712" t="b">
        <f ca="1">IF(AND('Start here'!$C$26=RefData!$B$10,'Covenant summary information'!$C$85&gt;=4,'Reconciliation report'!$E848=""),ErrorMsgs!$E848)</f>
        <v>0</v>
      </c>
      <c r="O848" s="712" t="b">
        <f ca="1">IF($E848="",FALSE,IF(ISNA(MATCH($E848,RefData!$B$204:$B$205,0)),ErrorMsgs!$F848))</f>
        <v>0</v>
      </c>
      <c r="P848" s="712"/>
      <c r="Q848" s="712"/>
      <c r="R848" s="712"/>
      <c r="S848" s="712"/>
      <c r="T848" s="712"/>
      <c r="U848" s="526" t="str">
        <f t="shared" ca="1" si="118"/>
        <v/>
      </c>
      <c r="V848" s="93" t="str" cm="1">
        <f t="array" aca="1" ref="V848" ca="1">CELL("format",INDIRECT(I848))</f>
        <v>G</v>
      </c>
      <c r="W848" s="93" t="b">
        <f t="shared" ca="1" si="119"/>
        <v>0</v>
      </c>
      <c r="X848" s="715" t="str">
        <f t="shared" ca="1" si="117"/>
        <v/>
      </c>
      <c r="Y848" t="b">
        <f t="shared" ca="1" si="120"/>
        <v>1</v>
      </c>
    </row>
    <row r="849" spans="1:25" ht="77.5">
      <c r="A849" s="705" t="s">
        <v>1350</v>
      </c>
      <c r="B849" s="716" t="str">
        <f t="shared" ca="1" si="113"/>
        <v>Other contingent assets - C90</v>
      </c>
      <c r="C849" s="707" t="str" cm="1">
        <f t="array" aca="1" ref="C849" ca="1">INDIRECT(LEFT(I849, FIND("!", I849)) &amp; RefData!$C$426 &amp; RIGHT(I849, LEN(I849) - FIND("!", I849) - 1))</f>
        <v xml:space="preserve">
No answer required
Insolvency of associated company
</v>
      </c>
      <c r="D849" s="92" t="str">
        <f t="shared" ca="1" si="121"/>
        <v/>
      </c>
      <c r="E849" s="708" t="str" cm="1">
        <f t="array" aca="1" ref="E849" ca="1">IF(INDIRECT($I849)= "", "", INDIRECT($I849))</f>
        <v/>
      </c>
      <c r="F849" s="709" t="str" cm="1">
        <f t="array" aca="1" ref="F849" ca="1">INDIRECT(LEFT(I849, FIND("!", I849)) &amp; RefData!$C$427 &amp; RIGHT(I849, LEN(I849) - FIND("!", I849) - 1))</f>
        <v>OA 12.0/4</v>
      </c>
      <c r="G849" s="710" t="b">
        <f ca="1">IF(ISNUMBER(SEARCH(RefData!$B$2, $C849)), FALSE, TRUE)</f>
        <v>0</v>
      </c>
      <c r="H849" s="113">
        <f>'Other contingent assets'!C90</f>
        <v>0</v>
      </c>
      <c r="I849" s="712" t="str">
        <f t="shared" ca="1" si="114"/>
        <v>'Other contingent assets'!C90</v>
      </c>
      <c r="J849" s="713" t="b" cm="1">
        <f t="array" aca="1" ref="J849" ca="1">IF(
    ISNUMBER(SEARCH(RefData!$B$2, $C$476)),
    IF(
        $E849 &lt;&gt; "",
        $J$476,
        IF(
            $E849 = "",
            FALSE
        )
    ),
    IF(
        COUNTIF($K849:$T849, "&lt;&gt;FALSE") - COUNTBLANK($K849:$T849) &gt; 0,
        INDEX($K849:$T849, MATCH(TRUE, $K849:$T849 &lt;&gt; FALSE, 0))
    )
)</f>
        <v>0</v>
      </c>
      <c r="K849" s="712" t="b">
        <f ca="1">IF(AND(E849&lt;&gt;"",'Start here'!$C$26=RefData!$B$9),ErrorMsgs!$B849)</f>
        <v>0</v>
      </c>
      <c r="L849" s="712" t="b">
        <f ca="1">IF(AND('Start here'!$C$26=RefData!$B$10,'Covenant summary information'!$C$85=0,'Reconciliation report'!$E849&lt;&gt;""),ErrorMsgs!$C849)</f>
        <v>0</v>
      </c>
      <c r="M849" s="712" t="b">
        <f ca="1">IF(AND('Start here'!$C$26=RefData!$B$10,'Covenant summary information'!$C$85&lt;4,'Reconciliation report'!$E849&lt;&gt;""),ErrorMsgs!$D849)</f>
        <v>0</v>
      </c>
      <c r="N849" s="712" t="b">
        <f ca="1">IF(AND('Start here'!$C$26=RefData!$B$10,'Covenant summary information'!$C$85&gt;=4,'Reconciliation report'!$E849=""),ErrorMsgs!$E849)</f>
        <v>0</v>
      </c>
      <c r="O849" s="712" t="b">
        <f ca="1">IF($E849="",FALSE,IF(ISNA(MATCH($E849,RefData!$B$204:$B$205,0)),ErrorMsgs!$F849))</f>
        <v>0</v>
      </c>
      <c r="P849" s="712"/>
      <c r="Q849" s="712"/>
      <c r="R849" s="712"/>
      <c r="S849" s="712"/>
      <c r="T849" s="712"/>
      <c r="U849" s="526" t="str">
        <f t="shared" ca="1" si="118"/>
        <v/>
      </c>
      <c r="V849" s="93" t="str" cm="1">
        <f t="array" aca="1" ref="V849" ca="1">CELL("format",INDIRECT(I849))</f>
        <v>G</v>
      </c>
      <c r="W849" s="93" t="b">
        <f t="shared" ca="1" si="119"/>
        <v>0</v>
      </c>
      <c r="X849" s="715" t="str">
        <f t="shared" ca="1" si="117"/>
        <v/>
      </c>
      <c r="Y849" t="b">
        <f t="shared" ca="1" si="120"/>
        <v>1</v>
      </c>
    </row>
    <row r="850" spans="1:25" ht="77.5">
      <c r="A850" s="705" t="s">
        <v>1352</v>
      </c>
      <c r="B850" s="716" t="str">
        <f t="shared" ca="1" si="113"/>
        <v>Other contingent assets - C91</v>
      </c>
      <c r="C850" s="707" t="str" cm="1">
        <f t="array" aca="1" ref="C850" ca="1">INDIRECT(LEFT(I850, FIND("!", I850)) &amp; RefData!$C$426 &amp; RIGHT(I850, LEN(I850) - FIND("!", I850) - 1))</f>
        <v xml:space="preserve">
No answer required
Non payment of contributions
</v>
      </c>
      <c r="D850" s="92" t="str">
        <f t="shared" ca="1" si="121"/>
        <v/>
      </c>
      <c r="E850" s="708" t="str" cm="1">
        <f t="array" aca="1" ref="E850" ca="1">IF(INDIRECT($I850)= "", "", INDIRECT($I850))</f>
        <v/>
      </c>
      <c r="F850" s="709" t="str" cm="1">
        <f t="array" aca="1" ref="F850" ca="1">INDIRECT(LEFT(I850, FIND("!", I850)) &amp; RefData!$C$427 &amp; RIGHT(I850, LEN(I850) - FIND("!", I850) - 1))</f>
        <v>OA 13.0/4</v>
      </c>
      <c r="G850" s="710" t="b">
        <f ca="1">IF(ISNUMBER(SEARCH(RefData!$B$2, $C850)), FALSE, TRUE)</f>
        <v>0</v>
      </c>
      <c r="H850" s="113">
        <f>'Other contingent assets'!C91</f>
        <v>0</v>
      </c>
      <c r="I850" s="712" t="str">
        <f t="shared" ca="1" si="114"/>
        <v>'Other contingent assets'!C91</v>
      </c>
      <c r="J850" s="713" t="b" cm="1">
        <f t="array" aca="1" ref="J850" ca="1">IF(
    ISNUMBER(SEARCH(RefData!$B$2, $C$476)),
    IF(
        $E850 &lt;&gt; "",
        $J$476,
        IF(
            $E850 = "",
            FALSE
        )
    ),
    IF(
        COUNTIF($K850:$T850, "&lt;&gt;FALSE") - COUNTBLANK($K850:$T850) &gt; 0,
        INDEX($K850:$T850, MATCH(TRUE, $K850:$T850 &lt;&gt; FALSE, 0))
    )
)</f>
        <v>0</v>
      </c>
      <c r="K850" s="712" t="b">
        <f ca="1">IF(AND(E850&lt;&gt;"",'Start here'!$C$26=RefData!$B$9),ErrorMsgs!$B850)</f>
        <v>0</v>
      </c>
      <c r="L850" s="712" t="b">
        <f ca="1">IF(AND('Start here'!$C$26=RefData!$B$10,'Covenant summary information'!$C$85=0,'Reconciliation report'!$E850&lt;&gt;""),ErrorMsgs!$C850)</f>
        <v>0</v>
      </c>
      <c r="M850" s="712" t="b">
        <f ca="1">IF(AND('Start here'!$C$26=RefData!$B$10,'Covenant summary information'!$C$85&lt;4,'Reconciliation report'!$E850&lt;&gt;""),ErrorMsgs!$D850)</f>
        <v>0</v>
      </c>
      <c r="N850" s="712" t="b">
        <f ca="1">IF(AND('Start here'!$C$26=RefData!$B$10,'Covenant summary information'!$C$85&gt;=4,'Reconciliation report'!$E850=""),ErrorMsgs!$E850)</f>
        <v>0</v>
      </c>
      <c r="O850" s="712" t="b">
        <f ca="1">IF($E850="",FALSE,IF(ISNA(MATCH($E850,RefData!$B$204:$B$205,0)),ErrorMsgs!$F850))</f>
        <v>0</v>
      </c>
      <c r="P850" s="712"/>
      <c r="Q850" s="712"/>
      <c r="R850" s="712"/>
      <c r="S850" s="712"/>
      <c r="T850" s="712"/>
      <c r="U850" s="526" t="str">
        <f t="shared" ca="1" si="118"/>
        <v/>
      </c>
      <c r="V850" s="93" t="str" cm="1">
        <f t="array" aca="1" ref="V850" ca="1">CELL("format",INDIRECT(I850))</f>
        <v>G</v>
      </c>
      <c r="W850" s="93" t="b">
        <f t="shared" ca="1" si="119"/>
        <v>0</v>
      </c>
      <c r="X850" s="715" t="str">
        <f t="shared" ca="1" si="117"/>
        <v/>
      </c>
      <c r="Y850" t="b">
        <f t="shared" ca="1" si="120"/>
        <v>1</v>
      </c>
    </row>
    <row r="851" spans="1:25" ht="77.5">
      <c r="A851" s="705" t="s">
        <v>1354</v>
      </c>
      <c r="B851" s="716" t="str">
        <f t="shared" ca="1" si="113"/>
        <v>Other contingent assets - C92</v>
      </c>
      <c r="C851" s="707" t="str" cm="1">
        <f t="array" aca="1" ref="C851" ca="1">INDIRECT(LEFT(I851, FIND("!", I851)) &amp; RefData!$C$426 &amp; RIGHT(I851, LEN(I851) - FIND("!", I851) - 1))</f>
        <v xml:space="preserve">
No answer required
Crystallisation of investment risk
</v>
      </c>
      <c r="D851" s="92" t="str">
        <f t="shared" ca="1" si="121"/>
        <v/>
      </c>
      <c r="E851" s="708" t="str" cm="1">
        <f t="array" aca="1" ref="E851" ca="1">IF(INDIRECT($I851)= "", "", INDIRECT($I851))</f>
        <v/>
      </c>
      <c r="F851" s="709" t="str" cm="1">
        <f t="array" aca="1" ref="F851" ca="1">INDIRECT(LEFT(I851, FIND("!", I851)) &amp; RefData!$C$427 &amp; RIGHT(I851, LEN(I851) - FIND("!", I851) - 1))</f>
        <v>OA 14.0/4</v>
      </c>
      <c r="G851" s="710" t="b">
        <f ca="1">IF(ISNUMBER(SEARCH(RefData!$B$2, $C851)), FALSE, TRUE)</f>
        <v>0</v>
      </c>
      <c r="H851" s="113">
        <f>'Other contingent assets'!C92</f>
        <v>0</v>
      </c>
      <c r="I851" s="712" t="str">
        <f t="shared" ca="1" si="114"/>
        <v>'Other contingent assets'!C92</v>
      </c>
      <c r="J851" s="713" t="b" cm="1">
        <f t="array" aca="1" ref="J851" ca="1">IF(
    ISNUMBER(SEARCH(RefData!$B$2, $C$476)),
    IF(
        $E851 &lt;&gt; "",
        $J$476,
        IF(
            $E851 = "",
            FALSE
        )
    ),
    IF(
        COUNTIF($K851:$T851, "&lt;&gt;FALSE") - COUNTBLANK($K851:$T851) &gt; 0,
        INDEX($K851:$T851, MATCH(TRUE, $K851:$T851 &lt;&gt; FALSE, 0))
    )
)</f>
        <v>0</v>
      </c>
      <c r="K851" s="712" t="b">
        <f ca="1">IF(AND(E851&lt;&gt;"",'Start here'!$C$26=RefData!$B$9),ErrorMsgs!$B851)</f>
        <v>0</v>
      </c>
      <c r="L851" s="712" t="b">
        <f ca="1">IF(AND('Start here'!$C$26=RefData!$B$10,'Covenant summary information'!$C$85=0,'Reconciliation report'!$E851&lt;&gt;""),ErrorMsgs!$C851)</f>
        <v>0</v>
      </c>
      <c r="M851" s="712" t="b">
        <f ca="1">IF(AND('Start here'!$C$26=RefData!$B$10,'Covenant summary information'!$C$85&lt;4,'Reconciliation report'!$E851&lt;&gt;""),ErrorMsgs!$D851)</f>
        <v>0</v>
      </c>
      <c r="N851" s="712" t="b">
        <f ca="1">IF(AND('Start here'!$C$26=RefData!$B$10,'Covenant summary information'!$C$85&gt;=4,'Reconciliation report'!$E851=""),ErrorMsgs!$E851)</f>
        <v>0</v>
      </c>
      <c r="O851" s="712" t="b">
        <f ca="1">IF($E851="",FALSE,IF(ISNA(MATCH($E851,RefData!$B$204:$B$205,0)),ErrorMsgs!$F851))</f>
        <v>0</v>
      </c>
      <c r="P851" s="712"/>
      <c r="Q851" s="712"/>
      <c r="R851" s="712"/>
      <c r="S851" s="712"/>
      <c r="T851" s="712"/>
      <c r="U851" s="526" t="str">
        <f t="shared" ca="1" si="118"/>
        <v/>
      </c>
      <c r="V851" s="93" t="str" cm="1">
        <f t="array" aca="1" ref="V851" ca="1">CELL("format",INDIRECT(I851))</f>
        <v>G</v>
      </c>
      <c r="W851" s="93" t="b">
        <f t="shared" ca="1" si="119"/>
        <v>0</v>
      </c>
      <c r="X851" s="715" t="str">
        <f t="shared" ca="1" si="117"/>
        <v/>
      </c>
      <c r="Y851" t="b">
        <f t="shared" ca="1" si="120"/>
        <v>1</v>
      </c>
    </row>
    <row r="852" spans="1:25" ht="77.5">
      <c r="A852" s="705" t="s">
        <v>1356</v>
      </c>
      <c r="B852" s="716" t="str">
        <f t="shared" ca="1" si="113"/>
        <v>Other contingent assets - C93</v>
      </c>
      <c r="C852" s="707" t="str" cm="1">
        <f t="array" aca="1" ref="C852" ca="1">INDIRECT(LEFT(I852, FIND("!", I852)) &amp; RefData!$C$426 &amp; RIGHT(I852, LEN(I852) - FIND("!", I852) - 1))</f>
        <v xml:space="preserve">
No answer required
Other
</v>
      </c>
      <c r="D852" s="92" t="str">
        <f t="shared" ca="1" si="121"/>
        <v/>
      </c>
      <c r="E852" s="708" t="str" cm="1">
        <f t="array" aca="1" ref="E852" ca="1">IF(INDIRECT($I852)= "", "", INDIRECT($I852))</f>
        <v/>
      </c>
      <c r="F852" s="709" t="str" cm="1">
        <f t="array" aca="1" ref="F852" ca="1">INDIRECT(LEFT(I852, FIND("!", I852)) &amp; RefData!$C$427 &amp; RIGHT(I852, LEN(I852) - FIND("!", I852) - 1))</f>
        <v>OA 15.0/4</v>
      </c>
      <c r="G852" s="710" t="b">
        <f ca="1">IF(ISNUMBER(SEARCH(RefData!$B$2, $C852)), FALSE, TRUE)</f>
        <v>0</v>
      </c>
      <c r="H852" s="113">
        <f>'Other contingent assets'!C93</f>
        <v>0</v>
      </c>
      <c r="I852" s="712" t="str">
        <f t="shared" ca="1" si="114"/>
        <v>'Other contingent assets'!C93</v>
      </c>
      <c r="J852" s="713" t="b" cm="1">
        <f t="array" aca="1" ref="J852" ca="1">IF(
    ISNUMBER(SEARCH(RefData!$B$2, $C$476)),
    IF(
        $E852 &lt;&gt; "",
        $J$476,
        IF(
            $E852 = "",
            FALSE
        )
    ),
    IF(
        COUNTIF($K852:$T852, "&lt;&gt;FALSE") - COUNTBLANK($K852:$T852) &gt; 0,
        INDEX($K852:$T852, MATCH(TRUE, $K852:$T852 &lt;&gt; FALSE, 0))
    )
)</f>
        <v>0</v>
      </c>
      <c r="K852" s="712" t="b">
        <f ca="1">IF(AND(E852&lt;&gt;"",'Start here'!$C$26=RefData!$B$9),ErrorMsgs!$B852)</f>
        <v>0</v>
      </c>
      <c r="L852" s="712" t="b">
        <f ca="1">IF(AND('Start here'!$C$26=RefData!$B$10,'Covenant summary information'!$C$85=0,'Reconciliation report'!$E852&lt;&gt;""),ErrorMsgs!$C852)</f>
        <v>0</v>
      </c>
      <c r="M852" s="712" t="b">
        <f ca="1">IF(AND('Start here'!$C$26=RefData!$B$10,'Covenant summary information'!$C$85&lt;4,'Reconciliation report'!$E852&lt;&gt;""),ErrorMsgs!$D852)</f>
        <v>0</v>
      </c>
      <c r="N852" s="712" t="b">
        <f ca="1">IF(AND('Start here'!$C$26=RefData!$B$10,'Covenant summary information'!$C$85&gt;=4,'Reconciliation report'!$E852=""),ErrorMsgs!$E852)</f>
        <v>0</v>
      </c>
      <c r="O852" s="712" t="b">
        <f ca="1">IF($E852="",FALSE,IF(ISNA(MATCH($E852,RefData!$B$204:$B$205,0)),ErrorMsgs!$F852))</f>
        <v>0</v>
      </c>
      <c r="P852" s="712"/>
      <c r="Q852" s="712"/>
      <c r="R852" s="712"/>
      <c r="S852" s="712"/>
      <c r="T852" s="712"/>
      <c r="U852" s="526" t="str">
        <f t="shared" ca="1" si="118"/>
        <v/>
      </c>
      <c r="V852" s="93" t="str" cm="1">
        <f t="array" aca="1" ref="V852" ca="1">CELL("format",INDIRECT(I852))</f>
        <v>G</v>
      </c>
      <c r="W852" s="93" t="b">
        <f t="shared" ca="1" si="119"/>
        <v>0</v>
      </c>
      <c r="X852" s="715" t="str">
        <f t="shared" ca="1" si="117"/>
        <v/>
      </c>
      <c r="Y852" t="b">
        <f t="shared" ca="1" si="120"/>
        <v>1</v>
      </c>
    </row>
    <row r="853" spans="1:25" ht="77.5">
      <c r="A853" s="705" t="s">
        <v>1358</v>
      </c>
      <c r="B853" s="716" t="str">
        <f t="shared" ca="1" si="113"/>
        <v>Other contingent assets - C94</v>
      </c>
      <c r="C853" s="707" t="str" cm="1">
        <f t="array" aca="1" ref="C853" ca="1">INDIRECT(LEFT(I853, FIND("!", I853)) &amp; RefData!$C$426 &amp; RIGHT(I853, LEN(I853) - FIND("!", I853) - 1))</f>
        <v xml:space="preserve">
No answer required
Narrative regarding triggers for access to value
</v>
      </c>
      <c r="D853" s="92" t="str">
        <f t="shared" ca="1" si="121"/>
        <v/>
      </c>
      <c r="E853" s="708" t="str" cm="1">
        <f t="array" aca="1" ref="E853" ca="1">IF(INDIRECT($I853)= "", "", INDIRECT($I853))</f>
        <v/>
      </c>
      <c r="F853" s="709" t="str" cm="1">
        <f t="array" aca="1" ref="F853" ca="1">INDIRECT(LEFT(I853, FIND("!", I853)) &amp; RefData!$C$427 &amp; RIGHT(I853, LEN(I853) - FIND("!", I853) - 1))</f>
        <v>OA 16.0/4</v>
      </c>
      <c r="G853" s="710" t="b">
        <f ca="1">IF(ISNUMBER(SEARCH(RefData!$B$2, $C853)), FALSE, TRUE)</f>
        <v>0</v>
      </c>
      <c r="H853" s="113">
        <f>'Other contingent assets'!C94</f>
        <v>0</v>
      </c>
      <c r="I853" s="712" t="str">
        <f t="shared" ca="1" si="114"/>
        <v>'Other contingent assets'!C94</v>
      </c>
      <c r="J853" s="713" t="b" cm="1">
        <f t="array" aca="1" ref="J853" ca="1">IF(
    ISNUMBER(SEARCH(RefData!$B$2, $C$476)),
    IF(
        $E853 &lt;&gt; "",
        $J$476,
        IF(
            $E853 = "",
            FALSE
        )
    ),
    IF(
        COUNTIF($K853:$T853, "&lt;&gt;FALSE") - COUNTBLANK($K853:$T853) &gt; 0,
        INDEX($K853:$T853, MATCH(TRUE, $K853:$T853 &lt;&gt; FALSE, 0))
    )
)</f>
        <v>0</v>
      </c>
      <c r="K853" s="712" t="b">
        <f ca="1">IF(AND($E853&lt;&gt;"",'Start here'!$C$26=RefData!$B$9),ErrorMsgs!$B853)</f>
        <v>0</v>
      </c>
      <c r="L853" s="712" t="b">
        <f ca="1">IF(AND('Start here'!$C$26=RefData!$B$10,'Covenant summary information'!$C$85=0,'Reconciliation report'!$E853&lt;&gt;""),ErrorMsgs!$C853)</f>
        <v>0</v>
      </c>
      <c r="M853" s="712" t="b">
        <f ca="1">IF(AND('Start here'!$C$26=RefData!$B$10,'Covenant summary information'!$C$85&lt;4,'Reconciliation report'!$E853&lt;&gt;""),ErrorMsgs!$D853)</f>
        <v>0</v>
      </c>
      <c r="N853" s="712" t="b">
        <f ca="1">IF(AND('Start here'!$C$26=RefData!$B$10,'Covenant summary information'!$C$85&gt;=4,'Reconciliation report'!$E853&lt;&gt;"",'Other contingent assets'!$C$93&lt;&gt;RefData!$B$204),ErrorMsgs!$E853)</f>
        <v>0</v>
      </c>
      <c r="O853" s="712" t="b">
        <f ca="1">IF(AND('Start here'!$C$26=RefData!$B$10,'Covenant summary information'!$C$85&gt;=4,'Reconciliation report'!$E853="",'Other contingent assets'!$C$93=RefData!$B$204),ErrorMsgs!$F853)</f>
        <v>0</v>
      </c>
      <c r="P853" s="712" t="b">
        <f ca="1">IF(LEN($E853)&gt;4000,ErrorMsgs!$G853)</f>
        <v>0</v>
      </c>
      <c r="Q853" s="712"/>
      <c r="R853" s="712"/>
      <c r="S853" s="712"/>
      <c r="T853" s="712"/>
      <c r="U853" s="526" t="str">
        <f t="shared" ca="1" si="118"/>
        <v/>
      </c>
      <c r="V853" s="93" t="str" cm="1">
        <f t="array" aca="1" ref="V853" ca="1">CELL("format",INDIRECT(I853))</f>
        <v>G</v>
      </c>
      <c r="W853" s="93" t="b">
        <f t="shared" ca="1" si="119"/>
        <v>0</v>
      </c>
      <c r="X853" s="715" t="str">
        <f t="shared" ca="1" si="117"/>
        <v/>
      </c>
      <c r="Y853" t="b">
        <f t="shared" ca="1" si="120"/>
        <v>1</v>
      </c>
    </row>
    <row r="854" spans="1:25" ht="77.5">
      <c r="A854" s="705" t="s">
        <v>1360</v>
      </c>
      <c r="B854" s="716" t="str">
        <f t="shared" ca="1" si="113"/>
        <v>Other contingent assets - C95</v>
      </c>
      <c r="C854" s="707" t="str" cm="1">
        <f t="array" aca="1" ref="C854" ca="1">INDIRECT(LEFT(I854, FIND("!", I854)) &amp; RefData!$C$426 &amp; RIGHT(I854, LEN(I854) - FIND("!", I854) - 1))</f>
        <v xml:space="preserve">
No answer required
Triggers for termination
</v>
      </c>
      <c r="D854" s="92" t="str">
        <f t="shared" ca="1" si="121"/>
        <v/>
      </c>
      <c r="E854" s="708" t="str" cm="1">
        <f t="array" aca="1" ref="E854" ca="1">IF(INDIRECT($I854)= "", "", INDIRECT($I854))</f>
        <v/>
      </c>
      <c r="F854" s="709" t="str" cm="1">
        <f t="array" aca="1" ref="F854" ca="1">INDIRECT(LEFT(I854, FIND("!", I854)) &amp; RefData!$C$427 &amp; RIGHT(I854, LEN(I854) - FIND("!", I854) - 1))</f>
        <v>OA 17.0/4</v>
      </c>
      <c r="G854" s="710" t="b">
        <f ca="1">IF(ISNUMBER(SEARCH(RefData!$B$2, $C854)), FALSE, TRUE)</f>
        <v>0</v>
      </c>
      <c r="H854" s="113">
        <f>'Other contingent assets'!C95</f>
        <v>0</v>
      </c>
      <c r="I854" s="712" t="str">
        <f t="shared" ca="1" si="114"/>
        <v>'Other contingent assets'!C95</v>
      </c>
      <c r="J854" s="713" t="b" cm="1">
        <f t="array" aca="1" ref="J854" ca="1">IF(
    ISNUMBER(SEARCH(RefData!$B$2, $C$476)),
    IF(
        $E854 &lt;&gt; "",
        $J$476,
        IF(
            $E854 = "",
            FALSE
        )
    ),
    IF(
        COUNTIF($K854:$T854, "&lt;&gt;FALSE") - COUNTBLANK($K854:$T854) &gt; 0,
        INDEX($K854:$T854, MATCH(TRUE, $K854:$T854 &lt;&gt; FALSE, 0))
    )
)</f>
        <v>0</v>
      </c>
      <c r="K854" s="712" t="b">
        <f ca="1">IF(AND($E854&lt;&gt;"",'Start here'!$C$26=RefData!$B$9),ErrorMsgs!$B854)</f>
        <v>0</v>
      </c>
      <c r="L854" s="712" t="b">
        <f ca="1">IF(AND('Start here'!$C$26=RefData!$B$10,'Covenant summary information'!$C$85=0,'Reconciliation report'!$E854&lt;&gt;""),ErrorMsgs!$C854)</f>
        <v>0</v>
      </c>
      <c r="M854" s="712" t="b">
        <f ca="1">IF(AND('Start here'!$C$26=RefData!$B$10,'Covenant summary information'!$C$85&lt;4,'Reconciliation report'!$E854&lt;&gt;""),ErrorMsgs!$D854)</f>
        <v>0</v>
      </c>
      <c r="N854" s="712" t="b">
        <f ca="1">IF(AND('Start here'!$C$26=RefData!$B$10,'Covenant summary information'!$C$85&gt;=4,'Reconciliation report'!$E854=""),ErrorMsgs!$E854)</f>
        <v>0</v>
      </c>
      <c r="O854" s="712" t="b">
        <f ca="1">IF(LEN($E854)&gt;4000,ErrorMsgs!$F854)</f>
        <v>0</v>
      </c>
      <c r="P854" s="712"/>
      <c r="Q854" s="712"/>
      <c r="R854" s="712"/>
      <c r="S854" s="712"/>
      <c r="T854" s="712"/>
      <c r="U854" s="526" t="str">
        <f t="shared" ca="1" si="118"/>
        <v/>
      </c>
      <c r="V854" s="93" t="str" cm="1">
        <f t="array" aca="1" ref="V854" ca="1">CELL("format",INDIRECT(I854))</f>
        <v>G</v>
      </c>
      <c r="W854" s="93" t="b">
        <f t="shared" ca="1" si="119"/>
        <v>0</v>
      </c>
      <c r="X854" s="715" t="str">
        <f t="shared" ca="1" si="117"/>
        <v/>
      </c>
      <c r="Y854" t="b">
        <f t="shared" ca="1" si="120"/>
        <v>1</v>
      </c>
    </row>
    <row r="855" spans="1:25" ht="77.5">
      <c r="A855" s="705" t="s">
        <v>1363</v>
      </c>
      <c r="B855" s="716" t="str">
        <f t="shared" ca="1" si="113"/>
        <v>Other contingent assets - C99</v>
      </c>
      <c r="C855" s="707" t="str" cm="1">
        <f t="array" aca="1" ref="C855" ca="1">INDIRECT(LEFT(I855, FIND("!", I855)) &amp; RefData!$C$426 &amp; RIGHT(I855, LEN(I855) - FIND("!", I855) - 1))</f>
        <v xml:space="preserve">
No answer required
What is the type of contingent asset?
</v>
      </c>
      <c r="D855" s="92" t="str">
        <f t="shared" ref="D855:D871" ca="1" si="122">""&amp;IF(J855=FALSE, "", J855)
&amp;""</f>
        <v/>
      </c>
      <c r="E855" s="708" t="str" cm="1">
        <f t="array" aca="1" ref="E855" ca="1">IF(INDIRECT($I855)= "", "", INDIRECT($I855))</f>
        <v/>
      </c>
      <c r="F855" s="709" t="str" cm="1">
        <f t="array" aca="1" ref="F855" ca="1">INDIRECT(LEFT(I855, FIND("!", I855)) &amp; RefData!$C$427 &amp; RIGHT(I855, LEN(I855) - FIND("!", I855) - 1))</f>
        <v>OA 1.0/5</v>
      </c>
      <c r="G855" s="710" t="b">
        <f ca="1">IF(ISNUMBER(SEARCH(RefData!$B$2, $C855)), FALSE, TRUE)</f>
        <v>0</v>
      </c>
      <c r="H855" s="113">
        <f>'Other contingent assets'!C99</f>
        <v>0</v>
      </c>
      <c r="I855" s="712" t="str">
        <f t="shared" ca="1" si="114"/>
        <v>'Other contingent assets'!C99</v>
      </c>
      <c r="J855" s="713" t="b" cm="1">
        <f t="array" aca="1" ref="J855" ca="1">IF(
    ISNUMBER(SEARCH(RefData!$B$2, $C$476)),
    IF(
        $E855 &lt;&gt; "",
        $J$476,
        IF(
            $E855 = "",
            FALSE
        )
    ),
    IF(
        COUNTIF($K855:$T855, "&lt;&gt;FALSE") - COUNTBLANK($K855:$T855) &gt; 0,
        INDEX($K855:$T855, MATCH(TRUE, $K855:$T855 &lt;&gt; FALSE, 0))
    )
)</f>
        <v>0</v>
      </c>
      <c r="K855" s="712" t="b">
        <f ca="1">IF(AND('Covenant summary information'!$C$85=0,$E855&lt;&gt;""),ErrorMsgs!$B855)</f>
        <v>0</v>
      </c>
      <c r="L855" s="712" t="b">
        <f ca="1">IF(AND('Covenant summary information'!$C$85&lt;5,$E855&lt;&gt;""),ErrorMsgs!$C855)</f>
        <v>0</v>
      </c>
      <c r="M855" s="712" t="b">
        <f ca="1">IF(AND($E855="",'Covenant summary information'!$C$85&gt;=5),ErrorMsgs!$D855)</f>
        <v>0</v>
      </c>
      <c r="N855" s="712" t="b">
        <f ca="1">IF(AND('Covenant summary information'!$C$85&gt;=5,ISNA(MATCH($E855,RefData!$B$161:$B$165, 0))),ErrorMsgs!$E855)</f>
        <v>0</v>
      </c>
      <c r="O855" s="712"/>
      <c r="P855" s="712"/>
      <c r="Q855" s="712"/>
      <c r="R855" s="712"/>
      <c r="S855" s="712"/>
      <c r="T855" s="712"/>
      <c r="U855" s="526" t="str">
        <f t="shared" ca="1" si="118"/>
        <v/>
      </c>
      <c r="V855" s="93" t="str" cm="1">
        <f t="array" aca="1" ref="V855" ca="1">CELL("format",INDIRECT(I855))</f>
        <v>G</v>
      </c>
      <c r="W855" s="93" t="b">
        <f t="shared" ca="1" si="119"/>
        <v>0</v>
      </c>
      <c r="X855" s="715" t="str">
        <f t="shared" ca="1" si="117"/>
        <v/>
      </c>
      <c r="Y855" t="b">
        <f t="shared" ca="1" si="120"/>
        <v>1</v>
      </c>
    </row>
    <row r="856" spans="1:25" ht="77.5">
      <c r="A856" s="705" t="s">
        <v>1365</v>
      </c>
      <c r="B856" s="716" t="str">
        <f t="shared" ca="1" si="113"/>
        <v>Other contingent assets - C100</v>
      </c>
      <c r="C856" s="707" t="str" cm="1">
        <f t="array" aca="1" ref="C856" ca="1">INDIRECT(LEFT(I856, FIND("!", I856)) &amp; RefData!$C$426 &amp; RIGHT(I856, LEN(I856) - FIND("!", I856) - 1))</f>
        <v xml:space="preserve">
No answer required
Provide specific details of the contingent asset
</v>
      </c>
      <c r="D856" s="92" t="str">
        <f t="shared" ca="1" si="122"/>
        <v/>
      </c>
      <c r="E856" s="708" t="str" cm="1">
        <f t="array" aca="1" ref="E856" ca="1">IF(INDIRECT($I856)= "", "", INDIRECT($I856))</f>
        <v/>
      </c>
      <c r="F856" s="709" t="str" cm="1">
        <f t="array" aca="1" ref="F856" ca="1">INDIRECT(LEFT(I856, FIND("!", I856)) &amp; RefData!$C$427 &amp; RIGHT(I856, LEN(I856) - FIND("!", I856) - 1))</f>
        <v>OA 2.0/5</v>
      </c>
      <c r="G856" s="710" t="b">
        <f ca="1">IF(ISNUMBER(SEARCH(RefData!$B$2, $C856)), FALSE, TRUE)</f>
        <v>0</v>
      </c>
      <c r="H856" s="113">
        <f>'Other contingent assets'!C100</f>
        <v>0</v>
      </c>
      <c r="I856" s="712" t="str">
        <f t="shared" ca="1" si="114"/>
        <v>'Other contingent assets'!C100</v>
      </c>
      <c r="J856" s="713" t="b" cm="1">
        <f t="array" aca="1" ref="J856" ca="1">IF(
    ISNUMBER(SEARCH(RefData!$B$2, $C$476)),
    IF(
        $E856 &lt;&gt; "",
        $J$476,
        IF(
            $E856 = "",
            FALSE
        )
    ),
    IF(
        COUNTIF($K856:$T856, "&lt;&gt;FALSE") - COUNTBLANK($K856:$T856) &gt; 0,
        INDEX($K856:$T856, MATCH(TRUE, $K856:$T856 &lt;&gt; FALSE, 0))
    )
)</f>
        <v>0</v>
      </c>
      <c r="K856" s="712" t="b">
        <f ca="1">IF(AND('Covenant summary information'!$C$85=0,$E856&lt;&gt;""),ErrorMsgs!$B856)</f>
        <v>0</v>
      </c>
      <c r="L856" s="712" t="b">
        <f ca="1">IF(AND('Covenant summary information'!$C$85&lt;5,'Reconciliation report'!$E856&lt;&gt;""),ErrorMsgs!$C856)</f>
        <v>0</v>
      </c>
      <c r="M856" s="712" t="b">
        <f ca="1">IF(AND('Covenant summary information'!$C$85&gt;=5,'Reconciliation report'!$E856&lt;&gt;"",NOT(OR($E855=RefData!$B$165,$E855=RefData!$B$164))),ErrorMsgs!$D856)</f>
        <v>0</v>
      </c>
      <c r="N856" s="712" t="b">
        <f ca="1">IF(AND('Covenant summary information'!$C$85&gt;=5,'Reconciliation report'!$E856="",OR($E855=RefData!$B$165,$E855=RefData!$B$164)),ErrorMsgs!$E856)</f>
        <v>0</v>
      </c>
      <c r="O856" s="712" t="b">
        <f ca="1">IF(LEN($E856)&gt;4000,ErrorMsgs!$F856)</f>
        <v>0</v>
      </c>
      <c r="P856" s="712"/>
      <c r="Q856" s="712"/>
      <c r="R856" s="712"/>
      <c r="S856" s="712"/>
      <c r="T856" s="712"/>
      <c r="U856" s="526" t="str">
        <f t="shared" ca="1" si="118"/>
        <v/>
      </c>
      <c r="V856" s="93" t="str" cm="1">
        <f t="array" aca="1" ref="V856" ca="1">CELL("format",INDIRECT(I856))</f>
        <v>G</v>
      </c>
      <c r="W856" s="93" t="b">
        <f t="shared" ca="1" si="119"/>
        <v>0</v>
      </c>
      <c r="X856" s="715" t="str">
        <f t="shared" ca="1" si="117"/>
        <v/>
      </c>
      <c r="Y856" t="b">
        <f t="shared" ca="1" si="120"/>
        <v>1</v>
      </c>
    </row>
    <row r="857" spans="1:25" ht="77.5">
      <c r="A857" s="705" t="s">
        <v>1367</v>
      </c>
      <c r="B857" s="716" t="str">
        <f t="shared" ca="1" si="113"/>
        <v>Other contingent assets - C101</v>
      </c>
      <c r="C857" s="707" t="str" cm="1">
        <f t="array" aca="1" ref="C857" ca="1">INDIRECT(LEFT(I857, FIND("!", I857)) &amp; RefData!$C$426 &amp; RIGHT(I857, LEN(I857) - FIND("!", I857) - 1))</f>
        <v xml:space="preserve">
No answer required
Maturity type
</v>
      </c>
      <c r="D857" s="92" t="str">
        <f t="shared" ca="1" si="122"/>
        <v/>
      </c>
      <c r="E857" s="708" t="str" cm="1">
        <f t="array" aca="1" ref="E857" ca="1">IF(INDIRECT($I857)= "", "", INDIRECT($I857))</f>
        <v/>
      </c>
      <c r="F857" s="709" t="str" cm="1">
        <f t="array" aca="1" ref="F857" ca="1">INDIRECT(LEFT(I857, FIND("!", I857)) &amp; RefData!$C$427 &amp; RIGHT(I857, LEN(I857) - FIND("!", I857) - 1))</f>
        <v>OA 3.0/5</v>
      </c>
      <c r="G857" s="710" t="b">
        <f ca="1">IF(ISNUMBER(SEARCH(RefData!$B$2, $C857)), FALSE, TRUE)</f>
        <v>0</v>
      </c>
      <c r="H857" s="113">
        <f>'Other contingent assets'!C101</f>
        <v>0</v>
      </c>
      <c r="I857" s="712" t="str">
        <f t="shared" ca="1" si="114"/>
        <v>'Other contingent assets'!C101</v>
      </c>
      <c r="J857" s="713" t="b" cm="1">
        <f t="array" aca="1" ref="J857" ca="1">IF(
    ISNUMBER(SEARCH(RefData!$B$2, $C$476)),
    IF(
        $E857 &lt;&gt; "",
        $J$476,
        IF(
            $E857 = "",
            FALSE
        )
    ),
    IF(
        COUNTIF($K857:$T857, "&lt;&gt;FALSE") - COUNTBLANK($K857:$T857) &gt; 0,
        INDEX($K857:$T857, MATCH(TRUE, $K857:$T857 &lt;&gt; FALSE, 0))
    )
)</f>
        <v>0</v>
      </c>
      <c r="K857" s="712" t="b">
        <f ca="1">IF(AND('Start here'!$C$26=RefData!$B$9,$E857&lt;&gt;""),ErrorMsgs!$B857)</f>
        <v>0</v>
      </c>
      <c r="L857" s="712" t="b">
        <f ca="1">IF(AND('Start here'!$C$26=RefData!$B$10,'Covenant summary information'!$C$85=0,'Reconciliation report'!$E857&lt;&gt;""),ErrorMsgs!$C857)</f>
        <v>0</v>
      </c>
      <c r="M857" s="712" t="b">
        <f ca="1">IF(AND('Start here'!$C$26=RefData!$B$10,'Covenant summary information'!$C$85&lt;5,'Reconciliation report'!$E857&lt;&gt;""),ErrorMsgs!$D857)</f>
        <v>0</v>
      </c>
      <c r="N857" s="712" t="b">
        <f ca="1">IF(AND('Start here'!$C$26=RefData!$B$10,'Covenant summary information'!$C$85&gt;=5,'Reconciliation report'!$E857=""),ErrorMsgs!$E857)</f>
        <v>0</v>
      </c>
      <c r="O857" s="712" t="b">
        <f ca="1">IF($E857="",FALSE,IF(ISNA(MATCH($E857,RefData!$B$166:$B$168,0)),ErrorMsgs!$F857))</f>
        <v>0</v>
      </c>
      <c r="P857" s="712"/>
      <c r="Q857" s="712"/>
      <c r="R857" s="712"/>
      <c r="S857" s="712"/>
      <c r="T857" s="712"/>
      <c r="U857" s="526" t="str">
        <f t="shared" ca="1" si="118"/>
        <v/>
      </c>
      <c r="V857" s="93" t="str" cm="1">
        <f t="array" aca="1" ref="V857" ca="1">CELL("format",INDIRECT(I857))</f>
        <v>G</v>
      </c>
      <c r="W857" s="93" t="b">
        <f t="shared" ca="1" si="119"/>
        <v>0</v>
      </c>
      <c r="X857" s="715" t="str">
        <f t="shared" ca="1" si="117"/>
        <v/>
      </c>
      <c r="Y857" t="b">
        <f t="shared" ca="1" si="120"/>
        <v>1</v>
      </c>
    </row>
    <row r="858" spans="1:25" ht="77.5">
      <c r="A858" s="705" t="s">
        <v>1369</v>
      </c>
      <c r="B858" s="716" t="str">
        <f t="shared" ca="1" si="113"/>
        <v>Other contingent assets - C102</v>
      </c>
      <c r="C858" s="707" t="str" cm="1">
        <f t="array" aca="1" ref="C858" ca="1">INDIRECT(LEFT(I858, FIND("!", I858)) &amp; RefData!$C$426 &amp; RIGHT(I858, LEN(I858) - FIND("!", I858) - 1))</f>
        <v xml:space="preserve">
No answer required
Date of Maturity
</v>
      </c>
      <c r="D858" s="92" t="str">
        <f t="shared" ca="1" si="122"/>
        <v/>
      </c>
      <c r="E858" s="708" t="str" cm="1">
        <f t="array" aca="1" ref="E858" ca="1">IF(INDIRECT($I858)= "", "", INDIRECT($I858))</f>
        <v/>
      </c>
      <c r="F858" s="709" t="str" cm="1">
        <f t="array" aca="1" ref="F858" ca="1">INDIRECT(LEFT(I858, FIND("!", I858)) &amp; RefData!$C$427 &amp; RIGHT(I858, LEN(I858) - FIND("!", I858) - 1))</f>
        <v>OA 4.0/5</v>
      </c>
      <c r="G858" s="710" t="b">
        <f ca="1">IF(ISNUMBER(SEARCH(RefData!$B$2, $C858)), FALSE, TRUE)</f>
        <v>0</v>
      </c>
      <c r="H858" s="391">
        <f>'Other contingent assets'!C102</f>
        <v>0</v>
      </c>
      <c r="I858" s="712" t="str">
        <f t="shared" ca="1" si="114"/>
        <v>'Other contingent assets'!C102</v>
      </c>
      <c r="J858" s="713" t="b" cm="1">
        <f t="array" aca="1" ref="J858" ca="1">IF(
    ISNUMBER(SEARCH(RefData!$B$2, $C$476)),
    IF(
        $E858 &lt;&gt; "",
        $J$476,
        IF(
            $E858 = "",
            FALSE
        )
    ),
    IF(
        COUNTIF($K858:$T858, "&lt;&gt;FALSE") - COUNTBLANK($K858:$T858) &gt; 0,
        INDEX($K858:$T858, MATCH(TRUE, $K858:$T858 &lt;&gt; FALSE, 0))
    )
)</f>
        <v>0</v>
      </c>
      <c r="K858" s="712" t="b">
        <f ca="1">IF(AND($E858&lt;&gt;"",'Start here'!$C$26=RefData!$B$9),ErrorMsgs!$B858)</f>
        <v>0</v>
      </c>
      <c r="L858" s="712" t="b">
        <f ca="1">IF(AND('Start here'!$C$26=RefData!$B$10,'Covenant summary information'!$C$85=0,'Reconciliation report'!$E858&lt;&gt;""),ErrorMsgs!$C858)</f>
        <v>0</v>
      </c>
      <c r="M858" s="712" t="b">
        <f ca="1">IF(AND('Start here'!$C$26=RefData!$B$10,'Covenant summary information'!$C$85&lt;5,'Reconciliation report'!$E858&lt;&gt;""),ErrorMsgs!$D858)</f>
        <v>0</v>
      </c>
      <c r="N858" s="712" t="b">
        <f ca="1">IF(AND('Start here'!$C$26=RefData!$B$10,'Covenant summary information'!$C$85&gt;=5,'Reconciliation report'!$E858&lt;&gt;"",OR($E857=RefData!$B$166,$E857=RefData!$B$168)),ErrorMsgs!$E858)</f>
        <v>0</v>
      </c>
      <c r="O858" s="712" t="b">
        <f ca="1">IF(AND('Start here'!$C$26=RefData!$B$10,'Covenant summary information'!$C$85&gt;=5,'Reconciliation report'!$E858="",$E857=RefData!$B$167),ErrorMsgs!$F858)</f>
        <v>0</v>
      </c>
      <c r="P858" s="712" t="b">
        <f ca="1">IF($E858="",FALSE,IF(NOT(ISNUMBER($E858)),ErrorMsgs!$G858))</f>
        <v>0</v>
      </c>
      <c r="Q858" s="712" t="b">
        <f ca="1">IF($E858&lt;'Start here'!$C$21,ErrorMsgs!$H858)</f>
        <v>0</v>
      </c>
      <c r="R858" s="712"/>
      <c r="S858" s="712"/>
      <c r="T858" s="712"/>
      <c r="U858" s="526" t="str">
        <f t="shared" ca="1" si="118"/>
        <v/>
      </c>
      <c r="V858" s="93" t="str" cm="1">
        <f t="array" aca="1" ref="V858" ca="1">CELL("format",INDIRECT(I858))</f>
        <v>D1</v>
      </c>
      <c r="W858" s="93" t="b">
        <f t="shared" ca="1" si="119"/>
        <v>0</v>
      </c>
      <c r="X858" s="715" t="str">
        <f t="shared" ca="1" si="117"/>
        <v/>
      </c>
      <c r="Y858" t="b">
        <f t="shared" ca="1" si="120"/>
        <v>1</v>
      </c>
    </row>
    <row r="859" spans="1:25" ht="77.5">
      <c r="A859" s="705" t="s">
        <v>1371</v>
      </c>
      <c r="B859" s="716" t="str">
        <f t="shared" ca="1" si="113"/>
        <v>Other contingent assets - C103</v>
      </c>
      <c r="C859" s="707" t="str" cm="1">
        <f t="array" aca="1" ref="C859" ca="1">INDIRECT(LEFT(I859, FIND("!", I859)) &amp; RefData!$C$426 &amp; RIGHT(I859, LEN(I859) - FIND("!", I859) - 1))</f>
        <v xml:space="preserve">
No answer required
Maturity date narrative
</v>
      </c>
      <c r="D859" s="92" t="str">
        <f t="shared" ca="1" si="122"/>
        <v/>
      </c>
      <c r="E859" s="708" t="str" cm="1">
        <f t="array" aca="1" ref="E859" ca="1">IF(INDIRECT($I859)= "", "", INDIRECT($I859))</f>
        <v/>
      </c>
      <c r="F859" s="709" t="str" cm="1">
        <f t="array" aca="1" ref="F859" ca="1">INDIRECT(LEFT(I859, FIND("!", I859)) &amp; RefData!$C$427 &amp; RIGHT(I859, LEN(I859) - FIND("!", I859) - 1))</f>
        <v>OA 5.0/5</v>
      </c>
      <c r="G859" s="710" t="b">
        <f ca="1">IF(ISNUMBER(SEARCH(RefData!$B$2, $C859)), FALSE, TRUE)</f>
        <v>0</v>
      </c>
      <c r="H859" s="113">
        <f>'Other contingent assets'!C103</f>
        <v>0</v>
      </c>
      <c r="I859" s="712" t="str">
        <f t="shared" ca="1" si="114"/>
        <v>'Other contingent assets'!C103</v>
      </c>
      <c r="J859" s="713" t="b" cm="1">
        <f t="array" aca="1" ref="J859" ca="1">IF(
    ISNUMBER(SEARCH(RefData!$B$2, $C$476)),
    IF(
        $E859 &lt;&gt; "",
        $J$476,
        IF(
            $E859 = "",
            FALSE
        )
    ),
    IF(
        COUNTIF($K859:$T859, "&lt;&gt;FALSE") - COUNTBLANK($K859:$T859) &gt; 0,
        INDEX($K859:$T859, MATCH(TRUE, $K859:$T859 &lt;&gt; FALSE, 0))
    )
)</f>
        <v>0</v>
      </c>
      <c r="K859" s="712" t="b">
        <f ca="1">IF(AND($E859&lt;&gt;"",'Start here'!$C$26=RefData!$B$9),ErrorMsgs!$B859)</f>
        <v>0</v>
      </c>
      <c r="L859" s="712" t="b">
        <f ca="1">IF(AND('Start here'!$C$26=RefData!$B$10,'Covenant summary information'!$C$85=0,'Reconciliation report'!$E859&lt;&gt;""),ErrorMsgs!$C859)</f>
        <v>0</v>
      </c>
      <c r="M859" s="712" t="b">
        <f ca="1">IF(AND('Start here'!$C$26=RefData!$B$10,'Covenant summary information'!$C$85&lt;5,'Reconciliation report'!$E859&lt;&gt;""),ErrorMsgs!$D859)</f>
        <v>0</v>
      </c>
      <c r="N859" s="712" t="b">
        <f ca="1">IF(AND('Start here'!$C$26=RefData!$B$10,'Covenant summary information'!$C$85&gt;=5,'Reconciliation report'!$E859&lt;&gt;"",$E857&lt;&gt;RefData!$B$168),ErrorMsgs!$E859)</f>
        <v>0</v>
      </c>
      <c r="O859" s="712" t="b">
        <f ca="1">IF(AND('Start here'!$C$26=RefData!$B$10,'Covenant summary information'!$C$85&gt;=5,'Reconciliation report'!$E859="",$E857=RefData!$B$168),ErrorMsgs!$F859)</f>
        <v>0</v>
      </c>
      <c r="P859" s="712" t="b">
        <f ca="1">IF(LEN($E859)&gt;4000,ErrorMsgs!$G859)</f>
        <v>0</v>
      </c>
      <c r="Q859" s="712"/>
      <c r="R859" s="712"/>
      <c r="S859" s="712"/>
      <c r="T859" s="712"/>
      <c r="U859" s="526" t="str">
        <f t="shared" ca="1" si="118"/>
        <v/>
      </c>
      <c r="V859" s="93" t="str" cm="1">
        <f t="array" aca="1" ref="V859" ca="1">CELL("format",INDIRECT(I859))</f>
        <v>G</v>
      </c>
      <c r="W859" s="93" t="b">
        <f t="shared" ca="1" si="119"/>
        <v>0</v>
      </c>
      <c r="X859" s="715" t="str">
        <f t="shared" ca="1" si="117"/>
        <v/>
      </c>
      <c r="Y859" t="b">
        <f t="shared" ca="1" si="120"/>
        <v>1</v>
      </c>
    </row>
    <row r="860" spans="1:25" ht="77.5">
      <c r="A860" s="705" t="s">
        <v>1373</v>
      </c>
      <c r="B860" s="716" t="str">
        <f t="shared" ca="1" si="113"/>
        <v>Other contingent assets - C104</v>
      </c>
      <c r="C860" s="707" t="str" cm="1">
        <f t="array" aca="1" ref="C860" ca="1">INDIRECT(LEFT(I860, FIND("!", I860)) &amp; RefData!$C$426 &amp; RIGHT(I860, LEN(I860) - FIND("!", I860) - 1))</f>
        <v xml:space="preserve">
No answer required
Value ascribed (£)
</v>
      </c>
      <c r="D860" s="92" t="str">
        <f t="shared" ca="1" si="122"/>
        <v/>
      </c>
      <c r="E860" s="708" t="str" cm="1">
        <f t="array" aca="1" ref="E860" ca="1">IF(INDIRECT($I860)= "", "", INDIRECT($I860))</f>
        <v/>
      </c>
      <c r="F860" s="709" t="str" cm="1">
        <f t="array" aca="1" ref="F860" ca="1">INDIRECT(LEFT(I860, FIND("!", I860)) &amp; RefData!$C$427 &amp; RIGHT(I860, LEN(I860) - FIND("!", I860) - 1))</f>
        <v>OA 6.0/5</v>
      </c>
      <c r="G860" s="710" t="b">
        <f ca="1">IF(ISNUMBER(SEARCH(RefData!$B$2, $C860)), FALSE, TRUE)</f>
        <v>0</v>
      </c>
      <c r="H860" s="96">
        <f>'Other contingent assets'!C104</f>
        <v>0</v>
      </c>
      <c r="I860" s="712" t="str">
        <f t="shared" ca="1" si="114"/>
        <v>'Other contingent assets'!C104</v>
      </c>
      <c r="J860" s="713" t="b" cm="1">
        <f t="array" aca="1" ref="J860" ca="1">IF(
    ISNUMBER(SEARCH(RefData!$B$2, $C$476)),
    IF(
        $E860 &lt;&gt; "",
        $J$476,
        IF(
            $E860 = "",
            FALSE
        )
    ),
    IF(
        COUNTIF($K860:$T860, "&lt;&gt;FALSE") - COUNTBLANK($K860:$T860) &gt; 0,
        INDEX($K860:$T860, MATCH(TRUE, $K860:$T860 &lt;&gt; FALSE, 0))
    )
)</f>
        <v>0</v>
      </c>
      <c r="K860" s="712" t="b">
        <f ca="1">IF(AND($E860&lt;&gt;"",'Covenant summary information'!$C$85=0),ErrorMsgs!$B860)</f>
        <v>0</v>
      </c>
      <c r="L860" s="712" t="b">
        <f ca="1">IF(AND($E860&lt;&gt;"",'Covenant summary information'!$C$85&lt;5),ErrorMsgs!$C860)</f>
        <v>0</v>
      </c>
      <c r="M860" s="712" t="b">
        <f ca="1">IF(AND($E860="",'Covenant summary information'!$C$85&gt;=5),ErrorMsgs!$D860)</f>
        <v>0</v>
      </c>
      <c r="N860" s="712" t="b">
        <f ca="1">IF($E$860="",FALSE,IF(NOT(ISNUMBER($E860)),ErrorMsgs!$E860,IF(OR($E860-ROUND($E860,2)&lt;&gt;0,$E860&lt;0,$E860&gt;1000000000000),ErrorMsgs!$E860)))</f>
        <v>0</v>
      </c>
      <c r="O860" s="712"/>
      <c r="P860" s="712"/>
      <c r="Q860" s="712"/>
      <c r="R860" s="712"/>
      <c r="S860" s="712"/>
      <c r="T860" s="712"/>
      <c r="U860" s="526" t="str">
        <f t="shared" ca="1" si="118"/>
        <v/>
      </c>
      <c r="V860" s="93" t="str" cm="1">
        <f t="array" aca="1" ref="V860" ca="1">CELL("format",INDIRECT(I860))</f>
        <v>C2</v>
      </c>
      <c r="W860" s="93" t="b">
        <f t="shared" ca="1" si="119"/>
        <v>0</v>
      </c>
      <c r="X860" s="715" t="str">
        <f t="shared" ca="1" si="117"/>
        <v/>
      </c>
      <c r="Y860" t="b">
        <f t="shared" ca="1" si="120"/>
        <v>1</v>
      </c>
    </row>
    <row r="861" spans="1:25" ht="77.5">
      <c r="A861" s="705" t="s">
        <v>1375</v>
      </c>
      <c r="B861" s="716" t="str">
        <f t="shared" ca="1" si="113"/>
        <v>Other contingent assets - C105</v>
      </c>
      <c r="C861" s="707" t="str" cm="1">
        <f t="array" aca="1" ref="C861" ca="1">INDIRECT(LEFT(I861, FIND("!", I861)) &amp; RefData!$C$426 &amp; RIGHT(I861, LEN(I861) - FIND("!", I861) - 1))</f>
        <v xml:space="preserve">
No answer required
Date of valuation
</v>
      </c>
      <c r="D861" s="92" t="str">
        <f t="shared" ca="1" si="122"/>
        <v/>
      </c>
      <c r="E861" s="708" t="str" cm="1">
        <f t="array" aca="1" ref="E861" ca="1">IF(INDIRECT($I861)= "", "", INDIRECT($I861))</f>
        <v/>
      </c>
      <c r="F861" s="709" t="str" cm="1">
        <f t="array" aca="1" ref="F861" ca="1">INDIRECT(LEFT(I861, FIND("!", I861)) &amp; RefData!$C$427 &amp; RIGHT(I861, LEN(I861) - FIND("!", I861) - 1))</f>
        <v>OA 7.0/5</v>
      </c>
      <c r="G861" s="710" t="b">
        <f ca="1">IF(ISNUMBER(SEARCH(RefData!$B$2, $C861)), FALSE, TRUE)</f>
        <v>0</v>
      </c>
      <c r="H861" s="113">
        <f>'Other contingent assets'!C105</f>
        <v>0</v>
      </c>
      <c r="I861" s="712" t="str">
        <f t="shared" ca="1" si="114"/>
        <v>'Other contingent assets'!C105</v>
      </c>
      <c r="J861" s="713" t="b" cm="1">
        <f t="array" aca="1" ref="J861" ca="1">IF(
    ISNUMBER(SEARCH(RefData!$B$2, $C$476)),
    IF(
        $E861 &lt;&gt; "",
        $J$476,
        IF(
            $E861 = "",
            FALSE
        )
    ),
    IF(
        COUNTIF($K861:$T861, "&lt;&gt;FALSE") - COUNTBLANK($K861:$T861) &gt; 0,
        INDEX($K861:$T861, MATCH(TRUE, $K861:$T861 &lt;&gt; FALSE, 0))
    )
)</f>
        <v>0</v>
      </c>
      <c r="K861" s="712" t="b">
        <f ca="1">IF(AND($E861&lt;&gt;"",'Covenant summary information'!$C$85=0),ErrorMsgs!$B861)</f>
        <v>0</v>
      </c>
      <c r="L861" s="712" t="b">
        <f ca="1">IF(AND($E861&lt;&gt;"",'Covenant summary information'!$C$85&lt;5),ErrorMsgs!$C861)</f>
        <v>0</v>
      </c>
      <c r="M861" s="712" t="b">
        <f ca="1">IF(AND($E861="",'Covenant summary information'!$C$85&gt;=5),ErrorMsgs!$D861)</f>
        <v>0</v>
      </c>
      <c r="N861" s="712" t="b">
        <f ca="1">IF(AND('Covenant summary information'!$C$85&gt;=5,NOT(ISNUMBER($E861))),ErrorMsgs!$E861)</f>
        <v>0</v>
      </c>
      <c r="O861" s="712" t="b">
        <f ca="1">IF($E861="",FALSE,IF($E861&gt;TODAY(),ErrorMsgs!$F861))</f>
        <v>0</v>
      </c>
      <c r="P861" s="712"/>
      <c r="Q861" s="712"/>
      <c r="R861" s="712"/>
      <c r="S861" s="712"/>
      <c r="T861" s="712"/>
      <c r="U861" s="526" t="str">
        <f t="shared" ca="1" si="118"/>
        <v/>
      </c>
      <c r="V861" s="93" t="str" cm="1">
        <f t="array" aca="1" ref="V861" ca="1">CELL("format",INDIRECT(I861))</f>
        <v>D1</v>
      </c>
      <c r="W861" s="93" t="b">
        <f t="shared" ca="1" si="119"/>
        <v>0</v>
      </c>
      <c r="X861" s="715" t="str">
        <f t="shared" ca="1" si="117"/>
        <v/>
      </c>
      <c r="Y861" t="b">
        <f t="shared" ca="1" si="120"/>
        <v>1</v>
      </c>
    </row>
    <row r="862" spans="1:25" ht="61.25" customHeight="1">
      <c r="A862" s="705" t="s">
        <v>1377</v>
      </c>
      <c r="B862" s="716" t="str">
        <f t="shared" ca="1" si="113"/>
        <v>Other contingent assets - C106</v>
      </c>
      <c r="C862" s="707" t="str" cm="1">
        <f t="array" aca="1" ref="C862" ca="1">INDIRECT(LEFT(I862, FIND("!", I862)) &amp; RefData!$C$426 &amp; RIGHT(I862, LEN(I862) - FIND("!", I862) - 1))</f>
        <v xml:space="preserve">
No answer required
Value cap
</v>
      </c>
      <c r="D862" s="92" t="str">
        <f t="shared" ca="1" si="122"/>
        <v/>
      </c>
      <c r="E862" s="708" t="str" cm="1">
        <f t="array" aca="1" ref="E862" ca="1">IF(INDIRECT($I862)= "", "", INDIRECT($I862))</f>
        <v/>
      </c>
      <c r="F862" s="709" t="str" cm="1">
        <f t="array" aca="1" ref="F862" ca="1">INDIRECT(LEFT(I862, FIND("!", I862)) &amp; RefData!$C$427 &amp; RIGHT(I862, LEN(I862) - FIND("!", I862) - 1))</f>
        <v>OA 8.0/5</v>
      </c>
      <c r="G862" s="710" t="b">
        <f ca="1">IF(ISNUMBER(SEARCH(RefData!$B$2, $C862)), FALSE, TRUE)</f>
        <v>0</v>
      </c>
      <c r="H862" s="113">
        <f>'Other contingent assets'!C106</f>
        <v>0</v>
      </c>
      <c r="I862" s="712" t="str">
        <f t="shared" ca="1" si="114"/>
        <v>'Other contingent assets'!C106</v>
      </c>
      <c r="J862" s="713" t="b" cm="1">
        <f t="array" aca="1" ref="J862" ca="1">IF(
    ISNUMBER(SEARCH(RefData!$B$2, $C$476)),
    IF(
        $E862 &lt;&gt; "",
        $J$476,
        IF(
            $E862 = "",
            FALSE
        )
    ),
    IF(
        COUNTIF($K862:$T862, "&lt;&gt;FALSE") - COUNTBLANK($K862:$T862) &gt; 0,
        INDEX($K862:$T862, MATCH(TRUE, $K862:$T862 &lt;&gt; FALSE, 0))
    )
)</f>
        <v>0</v>
      </c>
      <c r="K862" s="712" t="b">
        <f ca="1">IF(AND($E862&lt;&gt;"",'Start here'!$C$26=RefData!$B$9),ErrorMsgs!$B862)</f>
        <v>0</v>
      </c>
      <c r="L862" s="712" t="b">
        <f ca="1">IF(AND($E862&lt;&gt;"",'Start here'!$C$26=RefData!$B$10, 'Covenant summary information'!$C$85=0),ErrorMsgs!$C862)</f>
        <v>0</v>
      </c>
      <c r="M862" s="712" t="b">
        <f ca="1">IF(AND($E862&lt;&gt;"",'Start here'!$C$26=RefData!$B$10, 'Covenant summary information'!$C$85&lt;5),ErrorMsgs!$D862)</f>
        <v>0</v>
      </c>
      <c r="N862" s="712" t="b">
        <f ca="1">IF(AND($E862="",'Start here'!$C$26=RefData!$B$10, 'Covenant summary information'!$C$85&gt;=5),ErrorMsgs!$E862)</f>
        <v>0</v>
      </c>
      <c r="O862" s="712" t="b">
        <f ca="1">IF($E862="",FALSE,IF(ISNA(MATCH($E862,RefData!$B$169:$B$175,0)),ErrorMsgs!$F862))</f>
        <v>0</v>
      </c>
      <c r="P862" s="712"/>
      <c r="Q862" s="712"/>
      <c r="R862" s="712"/>
      <c r="S862" s="712"/>
      <c r="T862" s="712"/>
      <c r="U862" s="526" t="str">
        <f t="shared" ca="1" si="118"/>
        <v/>
      </c>
      <c r="V862" s="93" t="str" cm="1">
        <f t="array" aca="1" ref="V862" ca="1">CELL("format",INDIRECT(I862))</f>
        <v>G</v>
      </c>
      <c r="W862" s="93" t="b">
        <f t="shared" ca="1" si="119"/>
        <v>0</v>
      </c>
      <c r="X862" s="715" t="str">
        <f t="shared" ca="1" si="117"/>
        <v/>
      </c>
      <c r="Y862" t="b">
        <f t="shared" ca="1" si="120"/>
        <v>1</v>
      </c>
    </row>
    <row r="863" spans="1:25" ht="77.5">
      <c r="A863" s="705" t="s">
        <v>1379</v>
      </c>
      <c r="B863" s="716" t="str">
        <f t="shared" ca="1" si="113"/>
        <v>Other contingent assets - C107</v>
      </c>
      <c r="C863" s="707" t="str" cm="1">
        <f t="array" aca="1" ref="C863" ca="1">INDIRECT(LEFT(I863, FIND("!", I863)) &amp; RefData!$C$426 &amp; RIGHT(I863, LEN(I863) - FIND("!", I863) - 1))</f>
        <v xml:space="preserve">
No answer required
Narrative regarding value cap
</v>
      </c>
      <c r="D863" s="92" t="str">
        <f t="shared" ca="1" si="122"/>
        <v/>
      </c>
      <c r="E863" s="708" t="str" cm="1">
        <f t="array" aca="1" ref="E863" ca="1">IF(INDIRECT($I863)= "", "", INDIRECT($I863))</f>
        <v/>
      </c>
      <c r="F863" s="709" t="str" cm="1">
        <f t="array" aca="1" ref="F863" ca="1">INDIRECT(LEFT(I863, FIND("!", I863)) &amp; RefData!$C$427 &amp; RIGHT(I863, LEN(I863) - FIND("!", I863) - 1))</f>
        <v>OA 9.0/5</v>
      </c>
      <c r="G863" s="710" t="b">
        <f ca="1">IF(ISNUMBER(SEARCH(RefData!$B$2, $C863)), FALSE, TRUE)</f>
        <v>0</v>
      </c>
      <c r="H863" s="113">
        <f>'Other contingent assets'!C107</f>
        <v>0</v>
      </c>
      <c r="I863" s="712" t="str">
        <f t="shared" ca="1" si="114"/>
        <v>'Other contingent assets'!C107</v>
      </c>
      <c r="J863" s="713" t="b" cm="1">
        <f t="array" aca="1" ref="J863" ca="1">IF(
    ISNUMBER(SEARCH(RefData!$B$2, $C$476)),
    IF(
        $E863 &lt;&gt; "",
        $J$476,
        IF(
            $E863 = "",
            FALSE
        )
    ),
    IF(
        COUNTIF($K863:$T863, "&lt;&gt;FALSE") - COUNTBLANK($K863:$T863) &gt; 0,
        INDEX($K863:$T863, MATCH(TRUE, $K863:$T863 &lt;&gt; FALSE, 0))
    )
)</f>
        <v>0</v>
      </c>
      <c r="K863" s="712" t="b">
        <f ca="1">IF(AND(E863&lt;&gt;"",'Start here'!$C$26=RefData!$B$9),ErrorMsgs!$B863)</f>
        <v>0</v>
      </c>
      <c r="L863" s="712" t="b">
        <f ca="1">IF(AND('Start here'!$C$26=RefData!$B$10,'Covenant summary information'!$C$85=0,'Reconciliation report'!$E863&lt;&gt;""),ErrorMsgs!$C863)</f>
        <v>0</v>
      </c>
      <c r="M863" s="712" t="b">
        <f ca="1">IF(AND('Start here'!$C$26=RefData!$B$10,'Covenant summary information'!$C$85&lt;5,'Reconciliation report'!$E863&lt;&gt;""),ErrorMsgs!$D863)</f>
        <v>0</v>
      </c>
      <c r="N863" s="712" t="b">
        <f ca="1">IF(AND('Start here'!$C$26=RefData!$B$10,'Covenant summary information'!$C$85&gt;=5,'Reconciliation report'!$E863&lt;&gt;"",NOT('Other contingent assets'!$C$106=RefData!$B$175)),ErrorMsgs!$E863)</f>
        <v>0</v>
      </c>
      <c r="O863" s="712" t="b">
        <f ca="1">IF(AND('Start here'!$C$26=RefData!$B$10,'Covenant summary information'!$C$85&gt;=5,'Reconciliation report'!$E863="",'Other contingent assets'!$C$106=RefData!$B$175),ErrorMsgs!$F863)</f>
        <v>0</v>
      </c>
      <c r="P863" s="712" t="b">
        <f ca="1">IF(LEN($E863)&gt;4000,ErrorMsgs!$G863)</f>
        <v>0</v>
      </c>
      <c r="Q863" s="712"/>
      <c r="R863" s="712"/>
      <c r="S863" s="712"/>
      <c r="T863" s="712"/>
      <c r="U863" s="526" t="str">
        <f t="shared" ca="1" si="118"/>
        <v/>
      </c>
      <c r="V863" s="93" t="str" cm="1">
        <f t="array" aca="1" ref="V863" ca="1">CELL("format",INDIRECT(I863))</f>
        <v>G</v>
      </c>
      <c r="W863" s="93" t="b">
        <f t="shared" ca="1" si="119"/>
        <v>0</v>
      </c>
      <c r="X863" s="715" t="str">
        <f t="shared" ca="1" si="117"/>
        <v/>
      </c>
      <c r="Y863" t="b">
        <f t="shared" ca="1" si="120"/>
        <v>1</v>
      </c>
    </row>
    <row r="864" spans="1:25" ht="77.5">
      <c r="A864" s="705" t="s">
        <v>1381</v>
      </c>
      <c r="B864" s="716" t="str">
        <f t="shared" ca="1" si="113"/>
        <v>Other contingent assets - C108</v>
      </c>
      <c r="C864" s="707" t="str" cm="1">
        <f t="array" aca="1" ref="C864" ca="1">INDIRECT(LEFT(I864, FIND("!", I864)) &amp; RefData!$C$426 &amp; RIGHT(I864, LEN(I864) - FIND("!", I864) - 1))</f>
        <v xml:space="preserve">
No answer required
Fixed cap amount (£)
</v>
      </c>
      <c r="D864" s="92" t="str">
        <f t="shared" ca="1" si="122"/>
        <v/>
      </c>
      <c r="E864" s="708" t="str" cm="1">
        <f t="array" aca="1" ref="E864" ca="1">IF(INDIRECT($I864)= "", "", INDIRECT($I864))</f>
        <v/>
      </c>
      <c r="F864" s="709" t="str" cm="1">
        <f t="array" aca="1" ref="F864" ca="1">INDIRECT(LEFT(I864, FIND("!", I864)) &amp; RefData!$C$427 &amp; RIGHT(I864, LEN(I864) - FIND("!", I864) - 1))</f>
        <v>OA 10.0/5</v>
      </c>
      <c r="G864" s="710" t="b">
        <f ca="1">IF(ISNUMBER(SEARCH(RefData!$B$2, $C864)), FALSE, TRUE)</f>
        <v>0</v>
      </c>
      <c r="H864" s="113">
        <f>'Other contingent assets'!C108</f>
        <v>0</v>
      </c>
      <c r="I864" s="712" t="str">
        <f t="shared" ca="1" si="114"/>
        <v>'Other contingent assets'!C108</v>
      </c>
      <c r="J864" s="713" t="b" cm="1">
        <f t="array" aca="1" ref="J864" ca="1">IF(
    ISNUMBER(SEARCH(RefData!$B$2, $C$476)),
    IF(
        $E864 &lt;&gt; "",
        $J$476,
        IF(
            $E864 = "",
            FALSE
        )
    ),
    IF(
        COUNTIF($K864:$T864, "&lt;&gt;FALSE") - COUNTBLANK($K864:$T864) &gt; 0,
        INDEX($K864:$T864, MATCH(TRUE, $K864:$T864 &lt;&gt; FALSE, 0))
    )
)</f>
        <v>0</v>
      </c>
      <c r="K864" s="712" t="b">
        <f ca="1">IF(AND(E864&lt;&gt;"",'Start here'!$C$26=RefData!$B$9),ErrorMsgs!$B864)</f>
        <v>0</v>
      </c>
      <c r="L864" s="712" t="b">
        <f ca="1">IF(AND('Start here'!$C$26=RefData!$B$10,'Covenant summary information'!$C$85=0,'Reconciliation report'!$E864&lt;&gt;""),ErrorMsgs!$C864)</f>
        <v>0</v>
      </c>
      <c r="M864" s="712" t="b">
        <f ca="1">IF(AND('Start here'!$C$26=RefData!$B$10,'Covenant summary information'!$C$85&lt;5,'Reconciliation report'!$E864&lt;&gt;""),ErrorMsgs!$D864)</f>
        <v>0</v>
      </c>
      <c r="N864" s="712" t="b">
        <f ca="1">IF(AND('Start here'!$C$26=RefData!$B$10,'Covenant summary information'!$C$85&gt;=5,'Reconciliation report'!$E864&lt;&gt;"",NOT('Other contingent assets'!$C$106=RefData!$B$174)),ErrorMsgs!$E864)</f>
        <v>0</v>
      </c>
      <c r="O864" s="712" t="b">
        <f ca="1">IF(AND('Start here'!$C$26=RefData!$B$10,'Covenant summary information'!$C$85&gt;=5,'Reconciliation report'!$E864="",'Other contingent assets'!$C$106=RefData!$B$174),ErrorMsgs!$F864)</f>
        <v>0</v>
      </c>
      <c r="P864" s="712" t="b">
        <f ca="1">IF($E864="",FALSE,IF(ISERROR(VALUE($E864)),ErrorMsgs!G864,IF(OR(VALUE($E864)&lt;0,VALUE($E864)&gt;1000000000000,VALUE($E864)-ROUND(VALUE($E864),2)&lt;&gt;0),ErrorMsgs!G864)))</f>
        <v>0</v>
      </c>
      <c r="Q864" s="712"/>
      <c r="R864" s="712"/>
      <c r="S864" s="712"/>
      <c r="T864" s="712"/>
      <c r="U864" s="526" t="str">
        <f t="shared" ca="1" si="118"/>
        <v/>
      </c>
      <c r="V864" s="93" t="str" cm="1">
        <f t="array" aca="1" ref="V864" ca="1">CELL("format",INDIRECT(I864))</f>
        <v>C2</v>
      </c>
      <c r="W864" s="93" t="b">
        <f t="shared" ca="1" si="119"/>
        <v>0</v>
      </c>
      <c r="X864" s="715" t="str">
        <f t="shared" ca="1" si="117"/>
        <v/>
      </c>
      <c r="Y864" t="b">
        <f t="shared" ca="1" si="120"/>
        <v>1</v>
      </c>
    </row>
    <row r="865" spans="1:25" ht="77.5">
      <c r="A865" s="705" t="s">
        <v>1383</v>
      </c>
      <c r="B865" s="716" t="str">
        <f t="shared" ca="1" si="113"/>
        <v>Other contingent assets - C112</v>
      </c>
      <c r="C865" s="707" t="str" cm="1">
        <f t="array" aca="1" ref="C865" ca="1">INDIRECT(LEFT(I865, FIND("!", I865)) &amp; RefData!$C$426 &amp; RIGHT(I865, LEN(I865) - FIND("!", I865) - 1))</f>
        <v xml:space="preserve">
No answer required
Participating employer insolvency
</v>
      </c>
      <c r="D865" s="92" t="str">
        <f t="shared" ca="1" si="122"/>
        <v/>
      </c>
      <c r="E865" s="708" t="str" cm="1">
        <f t="array" aca="1" ref="E865" ca="1">IF(INDIRECT($I865)= "", "", INDIRECT($I865))</f>
        <v/>
      </c>
      <c r="F865" s="709" t="str" cm="1">
        <f t="array" aca="1" ref="F865" ca="1">INDIRECT(LEFT(I865, FIND("!", I865)) &amp; RefData!$C$427 &amp; RIGHT(I865, LEN(I865) - FIND("!", I865) - 1))</f>
        <v>OA 11.0/5</v>
      </c>
      <c r="G865" s="710" t="b">
        <f ca="1">IF(ISNUMBER(SEARCH(RefData!$B$2, $C865)), FALSE, TRUE)</f>
        <v>0</v>
      </c>
      <c r="H865" s="113">
        <f>'Other contingent assets'!C112</f>
        <v>0</v>
      </c>
      <c r="I865" s="712" t="str">
        <f t="shared" ca="1" si="114"/>
        <v>'Other contingent assets'!C112</v>
      </c>
      <c r="J865" s="713" t="b" cm="1">
        <f t="array" aca="1" ref="J865" ca="1">IF(
    ISNUMBER(SEARCH(RefData!$B$2, $C$476)),
    IF(
        $E865 &lt;&gt; "",
        $J$476,
        IF(
            $E865 = "",
            FALSE
        )
    ),
    IF(
        COUNTIF($K865:$T865, "&lt;&gt;FALSE") - COUNTBLANK($K865:$T865) &gt; 0,
        INDEX($K865:$T865, MATCH(TRUE, $K865:$T865 &lt;&gt; FALSE, 0))
    )
)</f>
        <v>0</v>
      </c>
      <c r="K865" s="712" t="b">
        <f ca="1">IF(AND(E865&lt;&gt;"",'Start here'!$C$26=RefData!$B$9),ErrorMsgs!$B865)</f>
        <v>0</v>
      </c>
      <c r="L865" s="712" t="b">
        <f ca="1">IF(AND('Start here'!$C$26=RefData!$B$10,'Covenant summary information'!$C$85=0,'Reconciliation report'!$E865&lt;&gt;""),ErrorMsgs!$C865)</f>
        <v>0</v>
      </c>
      <c r="M865" s="712" t="b">
        <f ca="1">IF(AND('Start here'!$C$26=RefData!$B$10,'Covenant summary information'!$C$85&lt;5,'Reconciliation report'!$E865&lt;&gt;""),ErrorMsgs!$D865)</f>
        <v>0</v>
      </c>
      <c r="N865" s="712" t="b">
        <f ca="1">IF(AND('Start here'!$C$26=RefData!$B$10,'Covenant summary information'!$C$85&gt;=5,'Reconciliation report'!$E865=""),ErrorMsgs!$E865)</f>
        <v>0</v>
      </c>
      <c r="O865" s="712" t="b">
        <f ca="1">IF($E865="",FALSE,IF(ISNA(MATCH($E865,RefData!$B$204:$B$205,0)),ErrorMsgs!$F865))</f>
        <v>0</v>
      </c>
      <c r="P865" s="712"/>
      <c r="Q865" s="712"/>
      <c r="R865" s="712"/>
      <c r="S865" s="712"/>
      <c r="T865" s="712"/>
      <c r="U865" s="526" t="str">
        <f t="shared" ca="1" si="118"/>
        <v/>
      </c>
      <c r="V865" s="93" t="str" cm="1">
        <f t="array" aca="1" ref="V865" ca="1">CELL("format",INDIRECT(I865))</f>
        <v>G</v>
      </c>
      <c r="W865" s="93" t="b">
        <f t="shared" ca="1" si="119"/>
        <v>0</v>
      </c>
      <c r="X865" s="715" t="str">
        <f t="shared" ca="1" si="117"/>
        <v/>
      </c>
      <c r="Y865" t="b">
        <f t="shared" ca="1" si="120"/>
        <v>1</v>
      </c>
    </row>
    <row r="866" spans="1:25" ht="77.5">
      <c r="A866" s="705" t="s">
        <v>1385</v>
      </c>
      <c r="B866" s="716" t="str">
        <f t="shared" ca="1" si="113"/>
        <v>Other contingent assets - C113</v>
      </c>
      <c r="C866" s="707" t="str" cm="1">
        <f t="array" aca="1" ref="C866" ca="1">INDIRECT(LEFT(I866, FIND("!", I866)) &amp; RefData!$C$426 &amp; RIGHT(I866, LEN(I866) - FIND("!", I866) - 1))</f>
        <v xml:space="preserve">
No answer required
Insolvency of associated company
</v>
      </c>
      <c r="D866" s="92" t="str">
        <f t="shared" ca="1" si="122"/>
        <v/>
      </c>
      <c r="E866" s="708" t="str" cm="1">
        <f t="array" aca="1" ref="E866" ca="1">IF(INDIRECT($I866)= "", "", INDIRECT($I866))</f>
        <v/>
      </c>
      <c r="F866" s="709" t="str" cm="1">
        <f t="array" aca="1" ref="F866" ca="1">INDIRECT(LEFT(I866, FIND("!", I866)) &amp; RefData!$C$427 &amp; RIGHT(I866, LEN(I866) - FIND("!", I866) - 1))</f>
        <v>OA 12.0/5</v>
      </c>
      <c r="G866" s="710" t="b">
        <f ca="1">IF(ISNUMBER(SEARCH(RefData!$B$2, $C866)), FALSE, TRUE)</f>
        <v>0</v>
      </c>
      <c r="H866" s="113">
        <f>'Other contingent assets'!C113</f>
        <v>0</v>
      </c>
      <c r="I866" s="712" t="str">
        <f t="shared" ca="1" si="114"/>
        <v>'Other contingent assets'!C113</v>
      </c>
      <c r="J866" s="713" t="b" cm="1">
        <f t="array" aca="1" ref="J866" ca="1">IF(
    ISNUMBER(SEARCH(RefData!$B$2, $C$476)),
    IF(
        $E866 &lt;&gt; "",
        $J$476,
        IF(
            $E866 = "",
            FALSE
        )
    ),
    IF(
        COUNTIF($K866:$T866, "&lt;&gt;FALSE") - COUNTBLANK($K866:$T866) &gt; 0,
        INDEX($K866:$T866, MATCH(TRUE, $K866:$T866 &lt;&gt; FALSE, 0))
    )
)</f>
        <v>0</v>
      </c>
      <c r="K866" s="712" t="b">
        <f ca="1">IF(AND(E866&lt;&gt;"",'Start here'!$C$26=RefData!$B$9),ErrorMsgs!$B866)</f>
        <v>0</v>
      </c>
      <c r="L866" s="712" t="b">
        <f ca="1">IF(AND('Start here'!$C$26=RefData!$B$10,'Covenant summary information'!$C$85=0,'Reconciliation report'!$E866&lt;&gt;""),ErrorMsgs!$C866)</f>
        <v>0</v>
      </c>
      <c r="M866" s="712" t="b">
        <f ca="1">IF(AND('Start here'!$C$26=RefData!$B$10,'Covenant summary information'!$C$85&lt;5,'Reconciliation report'!$E866&lt;&gt;""),ErrorMsgs!$D866)</f>
        <v>0</v>
      </c>
      <c r="N866" s="712" t="b">
        <f ca="1">IF(AND('Start here'!$C$26=RefData!$B$10,'Covenant summary information'!$C$85&gt;=5,'Reconciliation report'!$E866=""),ErrorMsgs!$E866)</f>
        <v>0</v>
      </c>
      <c r="O866" s="712" t="b">
        <f ca="1">IF($E866="",FALSE,IF(ISNA(MATCH($E866,RefData!$B$204:$B$205,0)),ErrorMsgs!$F866))</f>
        <v>0</v>
      </c>
      <c r="P866" s="712"/>
      <c r="Q866" s="712"/>
      <c r="R866" s="712"/>
      <c r="S866" s="712"/>
      <c r="T866" s="712"/>
      <c r="U866" s="526" t="str">
        <f t="shared" ca="1" si="118"/>
        <v/>
      </c>
      <c r="V866" s="93" t="str" cm="1">
        <f t="array" aca="1" ref="V866" ca="1">CELL("format",INDIRECT(I866))</f>
        <v>G</v>
      </c>
      <c r="W866" s="93" t="b">
        <f t="shared" ca="1" si="119"/>
        <v>0</v>
      </c>
      <c r="X866" s="715" t="str">
        <f t="shared" ca="1" si="117"/>
        <v/>
      </c>
      <c r="Y866" t="b">
        <f t="shared" ca="1" si="120"/>
        <v>1</v>
      </c>
    </row>
    <row r="867" spans="1:25" ht="77.5">
      <c r="A867" s="705" t="s">
        <v>1387</v>
      </c>
      <c r="B867" s="716" t="str">
        <f t="shared" ca="1" si="113"/>
        <v>Other contingent assets - C114</v>
      </c>
      <c r="C867" s="707" t="str" cm="1">
        <f t="array" aca="1" ref="C867" ca="1">INDIRECT(LEFT(I867, FIND("!", I867)) &amp; RefData!$C$426 &amp; RIGHT(I867, LEN(I867) - FIND("!", I867) - 1))</f>
        <v xml:space="preserve">
No answer required
Non payment of contributions
</v>
      </c>
      <c r="D867" s="92" t="str">
        <f t="shared" ca="1" si="122"/>
        <v/>
      </c>
      <c r="E867" s="708" t="str" cm="1">
        <f t="array" aca="1" ref="E867" ca="1">IF(INDIRECT($I867)= "", "", INDIRECT($I867))</f>
        <v/>
      </c>
      <c r="F867" s="709" t="str" cm="1">
        <f t="array" aca="1" ref="F867" ca="1">INDIRECT(LEFT(I867, FIND("!", I867)) &amp; RefData!$C$427 &amp; RIGHT(I867, LEN(I867) - FIND("!", I867) - 1))</f>
        <v>OA 13.0/5</v>
      </c>
      <c r="G867" s="710" t="b">
        <f ca="1">IF(ISNUMBER(SEARCH(RefData!$B$2, $C867)), FALSE, TRUE)</f>
        <v>0</v>
      </c>
      <c r="H867" s="113">
        <f>'Other contingent assets'!C114</f>
        <v>0</v>
      </c>
      <c r="I867" s="712" t="str">
        <f t="shared" ca="1" si="114"/>
        <v>'Other contingent assets'!C114</v>
      </c>
      <c r="J867" s="713" t="b" cm="1">
        <f t="array" aca="1" ref="J867" ca="1">IF(
    ISNUMBER(SEARCH(RefData!$B$2, $C$476)),
    IF(
        $E867 &lt;&gt; "",
        $J$476,
        IF(
            $E867 = "",
            FALSE
        )
    ),
    IF(
        COUNTIF($K867:$T867, "&lt;&gt;FALSE") - COUNTBLANK($K867:$T867) &gt; 0,
        INDEX($K867:$T867, MATCH(TRUE, $K867:$T867 &lt;&gt; FALSE, 0))
    )
)</f>
        <v>0</v>
      </c>
      <c r="K867" s="712" t="b">
        <f ca="1">IF(AND(E867&lt;&gt;"",'Start here'!$C$26=RefData!$B$9),ErrorMsgs!$B867)</f>
        <v>0</v>
      </c>
      <c r="L867" s="712" t="b">
        <f ca="1">IF(AND('Start here'!$C$26=RefData!$B$10,'Covenant summary information'!$C$85=0,'Reconciliation report'!$E867&lt;&gt;""),ErrorMsgs!$C867)</f>
        <v>0</v>
      </c>
      <c r="M867" s="712" t="b">
        <f ca="1">IF(AND('Start here'!$C$26=RefData!$B$10,'Covenant summary information'!$C$85&lt;5,'Reconciliation report'!$E867&lt;&gt;""),ErrorMsgs!$D867)</f>
        <v>0</v>
      </c>
      <c r="N867" s="712" t="b">
        <f ca="1">IF(AND('Start here'!$C$26=RefData!$B$10,'Covenant summary information'!$C$85&gt;=5,'Reconciliation report'!$E867=""),ErrorMsgs!$E867)</f>
        <v>0</v>
      </c>
      <c r="O867" s="712" t="b">
        <f ca="1">IF($E867="",FALSE,IF(ISNA(MATCH($E867,RefData!$B$204:$B$205,0)),ErrorMsgs!$F867))</f>
        <v>0</v>
      </c>
      <c r="P867" s="712"/>
      <c r="Q867" s="712"/>
      <c r="R867" s="712"/>
      <c r="S867" s="712"/>
      <c r="T867" s="712"/>
      <c r="U867" s="526" t="str">
        <f t="shared" ca="1" si="118"/>
        <v/>
      </c>
      <c r="V867" s="93" t="str" cm="1">
        <f t="array" aca="1" ref="V867" ca="1">CELL("format",INDIRECT(I867))</f>
        <v>G</v>
      </c>
      <c r="W867" s="93" t="b">
        <f t="shared" ca="1" si="119"/>
        <v>0</v>
      </c>
      <c r="X867" s="715" t="str">
        <f t="shared" ca="1" si="117"/>
        <v/>
      </c>
      <c r="Y867" t="b">
        <f t="shared" ca="1" si="120"/>
        <v>1</v>
      </c>
    </row>
    <row r="868" spans="1:25" ht="77.5">
      <c r="A868" s="705" t="s">
        <v>1389</v>
      </c>
      <c r="B868" s="716" t="str">
        <f t="shared" ca="1" si="113"/>
        <v>Other contingent assets - C115</v>
      </c>
      <c r="C868" s="707" t="str" cm="1">
        <f t="array" aca="1" ref="C868" ca="1">INDIRECT(LEFT(I868, FIND("!", I868)) &amp; RefData!$C$426 &amp; RIGHT(I868, LEN(I868) - FIND("!", I868) - 1))</f>
        <v xml:space="preserve">
No answer required
Crystallisation of investment risk
</v>
      </c>
      <c r="D868" s="92" t="str">
        <f t="shared" ca="1" si="122"/>
        <v/>
      </c>
      <c r="E868" s="708" t="str" cm="1">
        <f t="array" aca="1" ref="E868" ca="1">IF(INDIRECT($I868)= "", "", INDIRECT($I868))</f>
        <v/>
      </c>
      <c r="F868" s="709" t="str" cm="1">
        <f t="array" aca="1" ref="F868" ca="1">INDIRECT(LEFT(I868, FIND("!", I868)) &amp; RefData!$C$427 &amp; RIGHT(I868, LEN(I868) - FIND("!", I868) - 1))</f>
        <v>OA 14.0/5</v>
      </c>
      <c r="G868" s="710" t="b">
        <f ca="1">IF(ISNUMBER(SEARCH(RefData!$B$2, $C868)), FALSE, TRUE)</f>
        <v>0</v>
      </c>
      <c r="H868" s="113">
        <f>'Other contingent assets'!C115</f>
        <v>0</v>
      </c>
      <c r="I868" s="712" t="str">
        <f t="shared" ca="1" si="114"/>
        <v>'Other contingent assets'!C115</v>
      </c>
      <c r="J868" s="713" t="b" cm="1">
        <f t="array" aca="1" ref="J868" ca="1">IF(
    ISNUMBER(SEARCH(RefData!$B$2, $C$476)),
    IF(
        $E868 &lt;&gt; "",
        $J$476,
        IF(
            $E868 = "",
            FALSE
        )
    ),
    IF(
        COUNTIF($K868:$T868, "&lt;&gt;FALSE") - COUNTBLANK($K868:$T868) &gt; 0,
        INDEX($K868:$T868, MATCH(TRUE, $K868:$T868 &lt;&gt; FALSE, 0))
    )
)</f>
        <v>0</v>
      </c>
      <c r="K868" s="712" t="b">
        <f ca="1">IF(AND(E868&lt;&gt;"",'Start here'!$C$26=RefData!$B$9),ErrorMsgs!$B868)</f>
        <v>0</v>
      </c>
      <c r="L868" s="712" t="b">
        <f ca="1">IF(AND('Start here'!$C$26=RefData!$B$10,'Covenant summary information'!$C$85=0,'Reconciliation report'!$E868&lt;&gt;""),ErrorMsgs!$C868)</f>
        <v>0</v>
      </c>
      <c r="M868" s="712" t="b">
        <f ca="1">IF(AND('Start here'!$C$26=RefData!$B$10,'Covenant summary information'!$C$85&lt;5,'Reconciliation report'!$E868&lt;&gt;""),ErrorMsgs!$D868)</f>
        <v>0</v>
      </c>
      <c r="N868" s="712" t="b">
        <f ca="1">IF(AND('Start here'!$C$26=RefData!$B$10,'Covenant summary information'!$C$85&gt;=5,'Reconciliation report'!$E868=""),ErrorMsgs!$E868)</f>
        <v>0</v>
      </c>
      <c r="O868" s="712" t="b">
        <f ca="1">IF($E868="",FALSE,IF(ISNA(MATCH($E868,RefData!$B$204:$B$205,0)),ErrorMsgs!$F868))</f>
        <v>0</v>
      </c>
      <c r="P868" s="712"/>
      <c r="Q868" s="712"/>
      <c r="R868" s="712"/>
      <c r="S868" s="712"/>
      <c r="T868" s="712"/>
      <c r="U868" s="526" t="str">
        <f t="shared" ca="1" si="118"/>
        <v/>
      </c>
      <c r="V868" s="93" t="str" cm="1">
        <f t="array" aca="1" ref="V868" ca="1">CELL("format",INDIRECT(I868))</f>
        <v>G</v>
      </c>
      <c r="W868" s="93" t="b">
        <f t="shared" ca="1" si="119"/>
        <v>0</v>
      </c>
      <c r="X868" s="715" t="str">
        <f t="shared" ca="1" si="117"/>
        <v/>
      </c>
      <c r="Y868" t="b">
        <f t="shared" ca="1" si="120"/>
        <v>1</v>
      </c>
    </row>
    <row r="869" spans="1:25" ht="77.5">
      <c r="A869" s="705" t="s">
        <v>1391</v>
      </c>
      <c r="B869" s="716" t="str">
        <f t="shared" ca="1" si="113"/>
        <v>Other contingent assets - C116</v>
      </c>
      <c r="C869" s="707" t="str" cm="1">
        <f t="array" aca="1" ref="C869" ca="1">INDIRECT(LEFT(I869, FIND("!", I869)) &amp; RefData!$C$426 &amp; RIGHT(I869, LEN(I869) - FIND("!", I869) - 1))</f>
        <v xml:space="preserve">
No answer required
Other
</v>
      </c>
      <c r="D869" s="92" t="str">
        <f t="shared" ca="1" si="122"/>
        <v/>
      </c>
      <c r="E869" s="708" t="str" cm="1">
        <f t="array" aca="1" ref="E869" ca="1">IF(INDIRECT($I869)= "", "", INDIRECT($I869))</f>
        <v/>
      </c>
      <c r="F869" s="709" t="str" cm="1">
        <f t="array" aca="1" ref="F869" ca="1">INDIRECT(LEFT(I869, FIND("!", I869)) &amp; RefData!$C$427 &amp; RIGHT(I869, LEN(I869) - FIND("!", I869) - 1))</f>
        <v>OA 15.0/5</v>
      </c>
      <c r="G869" s="710" t="b">
        <f ca="1">IF(ISNUMBER(SEARCH(RefData!$B$2, $C869)), FALSE, TRUE)</f>
        <v>0</v>
      </c>
      <c r="H869" s="113">
        <f>'Other contingent assets'!C116</f>
        <v>0</v>
      </c>
      <c r="I869" s="712" t="str">
        <f t="shared" ca="1" si="114"/>
        <v>'Other contingent assets'!C116</v>
      </c>
      <c r="J869" s="713" t="b" cm="1">
        <f t="array" aca="1" ref="J869" ca="1">IF(
    ISNUMBER(SEARCH(RefData!$B$2, $C$476)),
    IF(
        $E869 &lt;&gt; "",
        $J$476,
        IF(
            $E869 = "",
            FALSE
        )
    ),
    IF(
        COUNTIF($K869:$T869, "&lt;&gt;FALSE") - COUNTBLANK($K869:$T869) &gt; 0,
        INDEX($K869:$T869, MATCH(TRUE, $K869:$T869 &lt;&gt; FALSE, 0))
    )
)</f>
        <v>0</v>
      </c>
      <c r="K869" s="712" t="b">
        <f ca="1">IF(AND(E869&lt;&gt;"",'Start here'!$C$26=RefData!$B$9),ErrorMsgs!$B869)</f>
        <v>0</v>
      </c>
      <c r="L869" s="712" t="b">
        <f ca="1">IF(AND('Start here'!$C$26=RefData!$B$10,'Covenant summary information'!$C$85=0,'Reconciliation report'!$E869&lt;&gt;""),ErrorMsgs!$C869)</f>
        <v>0</v>
      </c>
      <c r="M869" s="712" t="b">
        <f ca="1">IF(AND('Start here'!$C$26=RefData!$B$10,'Covenant summary information'!$C$85&lt;5,'Reconciliation report'!$E869&lt;&gt;""),ErrorMsgs!$D869)</f>
        <v>0</v>
      </c>
      <c r="N869" s="712" t="b">
        <f ca="1">IF(AND('Start here'!$C$26=RefData!$B$10,'Covenant summary information'!$C$85&gt;=5,'Reconciliation report'!$E869=""),ErrorMsgs!$E869)</f>
        <v>0</v>
      </c>
      <c r="O869" s="712" t="b">
        <f ca="1">IF($E869="",FALSE,IF(ISNA(MATCH($E869,RefData!$B$204:$B$205,0)),ErrorMsgs!$F869))</f>
        <v>0</v>
      </c>
      <c r="P869" s="712"/>
      <c r="Q869" s="712"/>
      <c r="R869" s="712"/>
      <c r="S869" s="712"/>
      <c r="T869" s="712"/>
      <c r="U869" s="526" t="str">
        <f t="shared" ca="1" si="118"/>
        <v/>
      </c>
      <c r="V869" s="93" t="str" cm="1">
        <f t="array" aca="1" ref="V869" ca="1">CELL("format",INDIRECT(I869))</f>
        <v>G</v>
      </c>
      <c r="W869" s="93" t="b">
        <f t="shared" ca="1" si="119"/>
        <v>0</v>
      </c>
      <c r="X869" s="715" t="str">
        <f t="shared" ca="1" si="117"/>
        <v/>
      </c>
      <c r="Y869" t="b">
        <f t="shared" ca="1" si="120"/>
        <v>1</v>
      </c>
    </row>
    <row r="870" spans="1:25" ht="77.5">
      <c r="A870" s="705" t="s">
        <v>1393</v>
      </c>
      <c r="B870" s="716" t="str">
        <f t="shared" ca="1" si="113"/>
        <v>Other contingent assets - C117</v>
      </c>
      <c r="C870" s="707" t="str" cm="1">
        <f t="array" aca="1" ref="C870" ca="1">INDIRECT(LEFT(I870, FIND("!", I870)) &amp; RefData!$C$426 &amp; RIGHT(I870, LEN(I870) - FIND("!", I870) - 1))</f>
        <v xml:space="preserve">
No answer required
Narrative regarding triggers for access to value
</v>
      </c>
      <c r="D870" s="92" t="str">
        <f t="shared" ca="1" si="122"/>
        <v/>
      </c>
      <c r="E870" s="708" t="str" cm="1">
        <f t="array" aca="1" ref="E870" ca="1">IF(INDIRECT($I870)= "", "", INDIRECT($I870))</f>
        <v/>
      </c>
      <c r="F870" s="709" t="str" cm="1">
        <f t="array" aca="1" ref="F870" ca="1">INDIRECT(LEFT(I870, FIND("!", I870)) &amp; RefData!$C$427 &amp; RIGHT(I870, LEN(I870) - FIND("!", I870) - 1))</f>
        <v>OA 16.0/5</v>
      </c>
      <c r="G870" s="710" t="b">
        <f ca="1">IF(ISNUMBER(SEARCH(RefData!$B$2, $C870)), FALSE, TRUE)</f>
        <v>0</v>
      </c>
      <c r="H870" s="113">
        <f>'Other contingent assets'!C117</f>
        <v>0</v>
      </c>
      <c r="I870" s="712" t="str">
        <f t="shared" ca="1" si="114"/>
        <v>'Other contingent assets'!C117</v>
      </c>
      <c r="J870" s="713" t="b" cm="1">
        <f t="array" aca="1" ref="J870" ca="1">IF(
    ISNUMBER(SEARCH(RefData!$B$2, $C$476)),
    IF(
        $E870 &lt;&gt; "",
        $J$476,
        IF(
            $E870 = "",
            FALSE
        )
    ),
    IF(
        COUNTIF($K870:$T870, "&lt;&gt;FALSE") - COUNTBLANK($K870:$T870) &gt; 0,
        INDEX($K870:$T870, MATCH(TRUE, $K870:$T870 &lt;&gt; FALSE, 0))
    )
)</f>
        <v>0</v>
      </c>
      <c r="K870" s="712" t="b">
        <f ca="1">IF(AND($E870&lt;&gt;"",'Start here'!$C$26=RefData!$B$9),ErrorMsgs!$B870)</f>
        <v>0</v>
      </c>
      <c r="L870" s="712" t="b">
        <f ca="1">IF(AND('Start here'!$C$26=RefData!$B$10,'Covenant summary information'!$C$85=0,'Reconciliation report'!$E870&lt;&gt;""),ErrorMsgs!$C870)</f>
        <v>0</v>
      </c>
      <c r="M870" s="712" t="b">
        <f ca="1">IF(AND('Start here'!$C$26=RefData!$B$10,'Covenant summary information'!$C$85&lt;5,'Reconciliation report'!$E870&lt;&gt;""),ErrorMsgs!$D870)</f>
        <v>0</v>
      </c>
      <c r="N870" s="712" t="b">
        <f ca="1">IF(AND('Start here'!$C$26=RefData!$B$10,'Covenant summary information'!$C$85&gt;=5,'Reconciliation report'!$E870&lt;&gt;"",'Other contingent assets'!$C$116&lt;&gt;RefData!$B$204),ErrorMsgs!$E870)</f>
        <v>0</v>
      </c>
      <c r="O870" s="712" t="b">
        <f ca="1">IF(AND('Start here'!$C$26=RefData!$B$10,'Covenant summary information'!$C$85&gt;=5,'Reconciliation report'!$E870="",'Other contingent assets'!$C$116=RefData!$B$204),ErrorMsgs!$F870)</f>
        <v>0</v>
      </c>
      <c r="P870" s="712" t="b">
        <f ca="1">IF(LEN($E870)&gt;4000,ErrorMsgs!$G870)</f>
        <v>0</v>
      </c>
      <c r="Q870" s="712"/>
      <c r="R870" s="712"/>
      <c r="S870" s="712"/>
      <c r="T870" s="712"/>
      <c r="U870" s="526" t="str">
        <f t="shared" ca="1" si="118"/>
        <v/>
      </c>
      <c r="V870" s="93" t="str" cm="1">
        <f t="array" aca="1" ref="V870" ca="1">CELL("format",INDIRECT(I870))</f>
        <v>G</v>
      </c>
      <c r="W870" s="93" t="b">
        <f t="shared" ca="1" si="119"/>
        <v>0</v>
      </c>
      <c r="X870" s="715" t="str">
        <f t="shared" ca="1" si="117"/>
        <v/>
      </c>
      <c r="Y870" t="b">
        <f t="shared" ca="1" si="120"/>
        <v>1</v>
      </c>
    </row>
    <row r="871" spans="1:25" ht="77.5">
      <c r="A871" s="705" t="s">
        <v>1395</v>
      </c>
      <c r="B871" s="716" t="str">
        <f t="shared" ca="1" si="113"/>
        <v>Other contingent assets - C118</v>
      </c>
      <c r="C871" s="707" t="str" cm="1">
        <f t="array" aca="1" ref="C871" ca="1">INDIRECT(LEFT(I871, FIND("!", I871)) &amp; RefData!$C$426 &amp; RIGHT(I871, LEN(I871) - FIND("!", I871) - 1))</f>
        <v xml:space="preserve">
No answer required
Triggers for termination
</v>
      </c>
      <c r="D871" s="92" t="str">
        <f t="shared" ca="1" si="122"/>
        <v/>
      </c>
      <c r="E871" s="708" t="str" cm="1">
        <f t="array" aca="1" ref="E871" ca="1">IF(INDIRECT($I871)= "", "", INDIRECT($I871))</f>
        <v/>
      </c>
      <c r="F871" s="709" t="str" cm="1">
        <f t="array" aca="1" ref="F871" ca="1">INDIRECT(LEFT(I871, FIND("!", I871)) &amp; RefData!$C$427 &amp; RIGHT(I871, LEN(I871) - FIND("!", I871) - 1))</f>
        <v>OA 17.0/5</v>
      </c>
      <c r="G871" s="710" t="b">
        <f ca="1">IF(ISNUMBER(SEARCH(RefData!$B$2, $C871)), FALSE, TRUE)</f>
        <v>0</v>
      </c>
      <c r="H871" s="113">
        <f>'Other contingent assets'!C118</f>
        <v>0</v>
      </c>
      <c r="I871" s="712" t="str">
        <f t="shared" ca="1" si="114"/>
        <v>'Other contingent assets'!C118</v>
      </c>
      <c r="J871" s="713" t="b" cm="1">
        <f t="array" aca="1" ref="J871" ca="1">IF(
    ISNUMBER(SEARCH(RefData!$B$2, $C$476)),
    IF(
        $E871 &lt;&gt; "",
        $J$476,
        IF(
            $E871 = "",
            FALSE
        )
    ),
    IF(
        COUNTIF($K871:$T871, "&lt;&gt;FALSE") - COUNTBLANK($K871:$T871) &gt; 0,
        INDEX($K871:$T871, MATCH(TRUE, $K871:$T871 &lt;&gt; FALSE, 0))
    )
)</f>
        <v>0</v>
      </c>
      <c r="K871" s="712" t="b">
        <f ca="1">IF(AND($E871&lt;&gt;"",'Start here'!$C$26=RefData!$B$9),ErrorMsgs!$B871)</f>
        <v>0</v>
      </c>
      <c r="L871" s="712" t="b">
        <f ca="1">IF(AND('Start here'!$C$26=RefData!$B$10,'Covenant summary information'!$C$85=0,'Reconciliation report'!$E871&lt;&gt;""),ErrorMsgs!$C871)</f>
        <v>0</v>
      </c>
      <c r="M871" s="712" t="b">
        <f ca="1">IF(AND('Start here'!$C$26=RefData!$B$10,'Covenant summary information'!$C$85&lt;5,'Reconciliation report'!$E871&lt;&gt;""),ErrorMsgs!$D871)</f>
        <v>0</v>
      </c>
      <c r="N871" s="712" t="b">
        <f ca="1">IF(AND('Start here'!$C$26=RefData!$B$10,'Covenant summary information'!$C$85&gt;=5,'Reconciliation report'!$E871=""),ErrorMsgs!$E871)</f>
        <v>0</v>
      </c>
      <c r="O871" s="712" t="b">
        <f ca="1">IF(LEN($E871)&gt;4000,ErrorMsgs!$F871)</f>
        <v>0</v>
      </c>
      <c r="P871" s="712"/>
      <c r="Q871" s="712"/>
      <c r="R871" s="712"/>
      <c r="S871" s="712"/>
      <c r="T871" s="712"/>
      <c r="U871" s="526" t="str">
        <f t="shared" ca="1" si="118"/>
        <v/>
      </c>
      <c r="V871" s="93" t="str" cm="1">
        <f t="array" aca="1" ref="V871" ca="1">CELL("format",INDIRECT(I871))</f>
        <v>G</v>
      </c>
      <c r="W871" s="93" t="b">
        <f t="shared" ca="1" si="119"/>
        <v>0</v>
      </c>
      <c r="X871" s="715" t="str">
        <f t="shared" ca="1" si="117"/>
        <v/>
      </c>
      <c r="Y871" t="b">
        <f t="shared" ca="1" si="120"/>
        <v>1</v>
      </c>
    </row>
    <row r="872" spans="1:25" ht="62">
      <c r="A872" s="705" t="s">
        <v>3518</v>
      </c>
      <c r="B872" s="716" t="str">
        <f t="shared" ca="1" si="113"/>
        <v>Asset-backed contributions - C7</v>
      </c>
      <c r="C872" s="707" t="str" cm="1">
        <f t="array" aca="1" ref="C872" ca="1">INDIRECT(LEFT(I872, FIND("!", I872)) &amp; RefData!$C$426 &amp; RIGHT(I872, LEN(I872) - FIND("!", I872) - 1))</f>
        <v xml:space="preserve">
How many asset-backed contribution (ABC) arrangements do the trustees wish to include details about?
</v>
      </c>
      <c r="D872" s="92" t="str">
        <f t="shared" ca="1" si="112"/>
        <v xml:space="preserve">
Enter a whole number greater than or equal to 0.
</v>
      </c>
      <c r="E872" s="708" t="str" cm="1">
        <f t="array" aca="1" ref="E872" ca="1">IF(INDIRECT($I872)= "", "", INDIRECT($I872))</f>
        <v/>
      </c>
      <c r="F872" s="709" t="str" cm="1">
        <f t="array" aca="1" ref="F872" ca="1">INDIRECT(LEFT(I872, FIND("!", I872)) &amp; RefData!$C$427 &amp; RIGHT(I872, LEN(I872) - FIND("!", I872) - 1))</f>
        <v>ABC 1.0</v>
      </c>
      <c r="G872" s="710" t="b">
        <f ca="1">IF(ISNUMBER(SEARCH(RefData!$B$2, $C872)), FALSE, TRUE)</f>
        <v>1</v>
      </c>
      <c r="H872" s="344">
        <f>'Asset-backed contributions'!C7</f>
        <v>0</v>
      </c>
      <c r="I872" s="712" t="str">
        <f t="shared" ca="1" si="114"/>
        <v>'Asset-backed contributions'!C7</v>
      </c>
      <c r="J872" s="713" t="str" cm="1">
        <f t="array" aca="1" ref="J872" ca="1">IF(COUNTIF($K872:$T872, "&lt;&gt;FALSE") - COUNTBLANK($K872:$T872) &gt; 0, INDEX($K872:$T872, MATCH(TRUE, $K872:$T872 &lt;&gt; FALSE, 0)))</f>
        <v xml:space="preserve">
Enter a whole number greater than or equal to 0.
</v>
      </c>
      <c r="K872" s="712" t="str">
        <f ca="1">IF($E$872="",ErrorMsgs!$B872)</f>
        <v xml:space="preserve">
Enter a whole number greater than or equal to 0.
</v>
      </c>
      <c r="L872" s="712" t="e">
        <f ca="1">IF(OR(INT($E872)&lt;&gt;$E872,$E872&lt;0),ErrorMsgs!$B872)</f>
        <v>#VALUE!</v>
      </c>
      <c r="M872" s="714"/>
      <c r="N872" s="714"/>
      <c r="O872" s="712"/>
      <c r="P872" s="712"/>
      <c r="Q872" s="712"/>
      <c r="R872" s="712"/>
      <c r="S872" s="712"/>
      <c r="T872" s="712"/>
      <c r="U872" s="526" t="str">
        <f t="shared" ca="1" si="118"/>
        <v/>
      </c>
      <c r="V872" s="93" t="str" cm="1">
        <f t="array" aca="1" ref="V872" ca="1">CELL("format",INDIRECT(I872))</f>
        <v>F0</v>
      </c>
      <c r="W872" s="93" t="b">
        <f t="shared" ca="1" si="119"/>
        <v>0</v>
      </c>
      <c r="X872" s="715" t="str">
        <f t="shared" ca="1" si="117"/>
        <v/>
      </c>
      <c r="Y872" t="b">
        <f t="shared" ca="1" si="120"/>
        <v>1</v>
      </c>
    </row>
    <row r="873" spans="1:25" ht="77.5">
      <c r="A873" s="705" t="s">
        <v>3519</v>
      </c>
      <c r="B873" s="739" t="str">
        <f ca="1">HYPERLINK("#" &amp; $I873, SUBSTITUTE(SUBSTITUTE($I873, "!", " - "), "'",""))</f>
        <v>Asset-backed contributions - C8</v>
      </c>
      <c r="C873" s="707" t="str" cm="1">
        <f t="array" aca="1" ref="C873" ca="1">INDIRECT(LEFT(I873, FIND("!", I873)) &amp; RefData!$C$426 &amp; RIGHT(I873, LEN(I873) - FIND("!", I873) - 1))</f>
        <v xml:space="preserve">No answer required
What is the total value of scheme's interest in any ABC (also known as net present value)? (£)
</v>
      </c>
      <c r="D873" s="92" t="str">
        <f t="shared" ca="1" si="112"/>
        <v/>
      </c>
      <c r="E873" s="708" t="str" cm="1">
        <f t="array" aca="1" ref="E873" ca="1">IF(INDIRECT($I873)= "", "", INDIRECT($I873))</f>
        <v/>
      </c>
      <c r="F873" s="709" t="str" cm="1">
        <f t="array" aca="1" ref="F873" ca="1">INDIRECT(LEFT(I873, FIND("!", I873)) &amp; RefData!$C$427 &amp; RIGHT(I873, LEN(I873) - FIND("!", I873) - 1))</f>
        <v>ABC 2.0</v>
      </c>
      <c r="G873" s="710" t="b">
        <f ca="1">IF(ISNUMBER(SEARCH(RefData!$B$2, $C873)), FALSE, TRUE)</f>
        <v>0</v>
      </c>
      <c r="H873" s="344">
        <f>'Asset-backed contributions'!C8</f>
        <v>0</v>
      </c>
      <c r="I873" s="712" t="str">
        <f t="shared" ca="1" si="114"/>
        <v>'Asset-backed contributions'!C8</v>
      </c>
      <c r="J873" s="713" t="b" cm="1">
        <f t="array" aca="1" ref="J873" ca="1">IF(COUNTIF($K873:$T873, "&lt;&gt;FALSE") - COUNTBLANK($K873:$T873) &gt; 0, INDEX($K873:$T873, MATCH(TRUE, $K873:$T873 &lt;&gt; FALSE, 0)))</f>
        <v>0</v>
      </c>
      <c r="K873" s="712" t="b">
        <f ca="1">IF(AND('Asset-backed contributions'!$C$7=0,'Reconciliation report'!$E$873&lt;&gt;""),ErrorMsgs!$B873)</f>
        <v>0</v>
      </c>
      <c r="L873" s="712" t="b">
        <f ca="1">IF(AND('Start here'!$C$26=RefData!$B$9,'Start here'!$C$24=RefData!$B$4,'Reconciliation report'!$E873&lt;&gt;""),ErrorMsgs!$C873)</f>
        <v>0</v>
      </c>
      <c r="M873" s="714" t="b">
        <f ca="1">IF(AND('Start here'!$C$26=RefData!$B$9,'Start here'!$C$24=RefData!$B$5,'Start here'!$C$28=RefData!$B$13,'Reconciliation report'!$E873&lt;&gt;""),ErrorMsgs!$D873)</f>
        <v>0</v>
      </c>
      <c r="N873" s="714" t="b">
        <f ca="1">IF(AND('Start here'!$C$26=RefData!$B$9,'Start here'!$C$24=RefData!$B$5,'Start here'!$C$28=RefData!$B$14,'Asset-backed contributions'!$C$7&gt;0,'Reconciliation report'!$E873=""),ErrorMsgs!$E873)</f>
        <v>0</v>
      </c>
      <c r="O873" s="712" t="b">
        <f ca="1">IF(AND('Start here'!$C$26=RefData!$B$10,'Start here'!$C$23=RefData!$B$18,'Asset-backed contributions'!$C$7&gt;0,'Reconciliation report'!$E873=""),ErrorMsgs!$F873)</f>
        <v>0</v>
      </c>
      <c r="P873" s="712" t="b">
        <f ca="1">IF(AND('Start here'!$C$26=RefData!$B$10,'Start here'!$C$23=RefData!$B$17,'Start here'!$C$27=RefData!$B$11,'Reconciliation report'!E873&lt;&gt;""),ErrorMsgs!$G873)</f>
        <v>0</v>
      </c>
      <c r="Q873" s="712" t="b">
        <f ca="1">IF(
  AND(
    'Start here'!$C$26=RefData!$B$10,
    'Start here'!$C$23=RefData!$B$17,
    'Start here'!$C$27=RefData!$B$12,
    'Asset-backed contributions'!$C$7&gt;0,
    'Reconciliation report'!$E$873=""
  ),
  ErrorMsgs!$H873
)</f>
        <v>0</v>
      </c>
      <c r="R873" s="712" t="b">
        <f ca="1">IF($E873="",FALSE,IF(NOT(ISNUMBER(VALUE($E873))),ErrorMsgs!$I$873,IF(VALUE($E873)-ROUND(VALUE($E873),2)&lt;&gt;0,ErrorMsgs!$I$873)))</f>
        <v>0</v>
      </c>
      <c r="S873" s="712" t="b">
        <f ca="1">IF($E873="",FALSE,IF(NOT(ISNUMBER(VALUE($E873))),ErrorMsgs!$I$873,IF(OR(VALUE($E873)&lt;0,VALUE($E873)&gt;=1000000000000),ErrorMsgs!$I$873)))</f>
        <v>0</v>
      </c>
      <c r="T873"/>
      <c r="U873" s="526" t="str">
        <f t="shared" ca="1" si="118"/>
        <v/>
      </c>
      <c r="V873" s="93" t="str" cm="1">
        <f t="array" aca="1" ref="V873" ca="1">CELL("format",INDIRECT(I873))</f>
        <v>C2</v>
      </c>
      <c r="W873" s="93" t="b">
        <f t="shared" ca="1" si="119"/>
        <v>0</v>
      </c>
      <c r="X873" s="715" t="str">
        <f t="shared" ca="1" si="117"/>
        <v/>
      </c>
      <c r="Y873" t="b">
        <f t="shared" ca="1" si="120"/>
        <v>1</v>
      </c>
    </row>
    <row r="874" spans="1:25" ht="93">
      <c r="A874" s="705" t="s">
        <v>3520</v>
      </c>
      <c r="B874" s="716" t="str">
        <f t="shared" ca="1" si="113"/>
        <v>Asset-backed contributions - C12</v>
      </c>
      <c r="C874" s="707" t="str" cm="1">
        <f t="array" aca="1" ref="C874" ca="1">INDIRECT(LEFT(I874, FIND("!", I874)) &amp; RefData!$C$426 &amp; RIGHT(I874, LEN(I874) - FIND("!", I874) - 1))</f>
        <v xml:space="preserve">
No answer required
What is the type of security underlying the asset backed contribution arrangement?
</v>
      </c>
      <c r="D874" s="92" t="str">
        <f t="shared" ca="1" si="112"/>
        <v/>
      </c>
      <c r="E874" s="708" t="str" cm="1">
        <f t="array" aca="1" ref="E874" ca="1">IF(INDIRECT($I874)= "", "", INDIRECT($I874))</f>
        <v/>
      </c>
      <c r="F874" s="709" t="str" cm="1">
        <f t="array" aca="1" ref="F874" ca="1">INDIRECT(LEFT(I874, FIND("!", I874)) &amp; RefData!$C$427 &amp; RIGHT(I874, LEN(I874) - FIND("!", I874) - 1))</f>
        <v>ABC 3.0/1</v>
      </c>
      <c r="G874" s="710" t="b">
        <f ca="1">IF(ISNUMBER(SEARCH(RefData!$B$2, $C874)), FALSE, TRUE)</f>
        <v>0</v>
      </c>
      <c r="H874" s="344">
        <f>'Asset-backed contributions'!C12</f>
        <v>0</v>
      </c>
      <c r="I874" s="712" t="str">
        <f t="shared" ca="1" si="114"/>
        <v>'Asset-backed contributions'!C12</v>
      </c>
      <c r="J874" s="713" t="b" cm="1">
        <f t="array" aca="1" ref="J874" ca="1">IF(COUNTIF($K874:$T874, "&lt;&gt;FALSE") - COUNTBLANK($K874:$T874) &gt; 0, INDEX($K874:$T874, MATCH(TRUE, $K874:$T874 &lt;&gt; FALSE, 0)))</f>
        <v>0</v>
      </c>
      <c r="K874" s="712" t="b">
        <f ca="1">IF(AND('Asset-backed contributions'!$C$7=0,'Reconciliation report'!$E874&lt;&gt;""),ErrorMsgs!$B874)</f>
        <v>0</v>
      </c>
      <c r="L874" s="712" t="b">
        <f ca="1">IF(AND('Asset-backed contributions'!$C$7&lt;1,'Reconciliation report'!$E874&lt;&gt;""),ErrorMsgs!$C874)</f>
        <v>0</v>
      </c>
      <c r="M874" s="712" t="b">
        <f ca="1">IF(AND('Asset-backed contributions'!$C$7&gt;=1,'Reconciliation report'!$E874=""),ErrorMsgs!$D874)</f>
        <v>0</v>
      </c>
      <c r="N874" s="712" t="b">
        <f ca="1">IF(AND(ISNA(MATCH($E874,RefData!$B$181:$B$186, 0)), $E874&lt;&gt;""),ErrorMsgs!$E874)</f>
        <v>0</v>
      </c>
      <c r="O874" s="712"/>
      <c r="P874" s="712"/>
      <c r="Q874" s="712"/>
      <c r="R874" s="712"/>
      <c r="S874" s="712"/>
      <c r="T874" s="712"/>
      <c r="U874" s="526" t="str">
        <f t="shared" ca="1" si="118"/>
        <v/>
      </c>
      <c r="V874" s="93" t="str" cm="1">
        <f t="array" aca="1" ref="V874" ca="1">CELL("format",INDIRECT(I874))</f>
        <v>G</v>
      </c>
      <c r="W874" s="93" t="b">
        <f t="shared" ca="1" si="119"/>
        <v>0</v>
      </c>
      <c r="X874" s="715" t="str">
        <f t="shared" ca="1" si="117"/>
        <v/>
      </c>
      <c r="Y874" t="b">
        <f t="shared" ca="1" si="120"/>
        <v>1</v>
      </c>
    </row>
    <row r="875" spans="1:25" ht="77.5">
      <c r="A875" s="705" t="s">
        <v>3521</v>
      </c>
      <c r="B875" s="716" t="str">
        <f t="shared" ca="1" si="113"/>
        <v>Asset-backed contributions - C13</v>
      </c>
      <c r="C875" s="707" t="str" cm="1">
        <f t="array" aca="1" ref="C875" ca="1">INDIRECT(LEFT(I875, FIND("!", I875)) &amp; RefData!$C$426 &amp; RIGHT(I875, LEN(I875) - FIND("!", I875) - 1))</f>
        <v xml:space="preserve">
No answer required
A summary of the underlying asset
</v>
      </c>
      <c r="D875" s="92" t="str">
        <f t="shared" ca="1" si="112"/>
        <v/>
      </c>
      <c r="E875" s="708" t="str" cm="1">
        <f t="array" aca="1" ref="E875" ca="1">IF(INDIRECT($I875)= "", "", INDIRECT($I875))</f>
        <v/>
      </c>
      <c r="F875" s="709" t="str" cm="1">
        <f t="array" aca="1" ref="F875" ca="1">INDIRECT(LEFT(I875, FIND("!", I875)) &amp; RefData!$C$427 &amp; RIGHT(I875, LEN(I875) - FIND("!", I875) - 1))</f>
        <v>ABC 4.0/1</v>
      </c>
      <c r="G875" s="710" t="b">
        <f ca="1">IF(ISNUMBER(SEARCH(RefData!$B$2, $C875)), FALSE, TRUE)</f>
        <v>0</v>
      </c>
      <c r="H875" s="344">
        <f>'Asset-backed contributions'!C13</f>
        <v>0</v>
      </c>
      <c r="I875" s="712" t="str">
        <f t="shared" ca="1" si="114"/>
        <v>'Asset-backed contributions'!C13</v>
      </c>
      <c r="J875" s="713" t="b" cm="1">
        <f t="array" aca="1" ref="J875" ca="1">IF(COUNTIF($K875:$T875, "&lt;&gt;FALSE") - COUNTBLANK($K875:$T875) &gt; 0, INDEX($K875:$T875, MATCH(TRUE, $K875:$T875 &lt;&gt; FALSE, 0)))</f>
        <v>0</v>
      </c>
      <c r="K875" s="712" t="b">
        <f ca="1">IF(AND('Asset-backed contributions'!$C$7=0,'Reconciliation report'!$E875&lt;&gt;""),ErrorMsgs!$B875)</f>
        <v>0</v>
      </c>
      <c r="L875" s="712" t="b">
        <f ca="1">IF(AND('Asset-backed contributions'!$C$7&lt;1,'Reconciliation report'!$E875&lt;&gt;""),ErrorMsgs!$C875)</f>
        <v>0</v>
      </c>
      <c r="M875" s="712" t="b">
        <f ca="1">IF(AND('Asset-backed contributions'!$C$7&gt;=1,'Reconciliation report'!$E875=""),ErrorMsgs!$D875)</f>
        <v>0</v>
      </c>
      <c r="N875" s="712" t="b">
        <f ca="1">IF(LEN($E875)&gt;4000,ErrorMsgs!$E875)</f>
        <v>0</v>
      </c>
      <c r="O875" s="712"/>
      <c r="P875" s="712"/>
      <c r="Q875" s="712"/>
      <c r="R875" s="712"/>
      <c r="S875" s="712"/>
      <c r="T875" s="712"/>
      <c r="U875" s="526" t="str">
        <f t="shared" ca="1" si="118"/>
        <v/>
      </c>
      <c r="V875" s="93" t="str" cm="1">
        <f t="array" aca="1" ref="V875" ca="1">CELL("format",INDIRECT(I875))</f>
        <v>G</v>
      </c>
      <c r="W875" s="93" t="b">
        <f t="shared" ca="1" si="119"/>
        <v>0</v>
      </c>
      <c r="X875" s="715" t="str">
        <f t="shared" ca="1" si="117"/>
        <v/>
      </c>
      <c r="Y875" t="b">
        <f t="shared" ca="1" si="120"/>
        <v>1</v>
      </c>
    </row>
    <row r="876" spans="1:25" ht="77.5">
      <c r="A876" s="705" t="s">
        <v>3522</v>
      </c>
      <c r="B876" s="716" t="str">
        <f t="shared" ca="1" si="113"/>
        <v>Asset-backed contributions - C14</v>
      </c>
      <c r="C876" s="707" t="str" cm="1">
        <f t="array" aca="1" ref="C876" ca="1">INDIRECT(LEFT(I876, FIND("!", I876)) &amp; RefData!$C$426 &amp; RIGHT(I876, LEN(I876) - FIND("!", I876) - 1))</f>
        <v xml:space="preserve">
No answer required
Maturity type
</v>
      </c>
      <c r="D876" s="92" t="str">
        <f t="shared" ca="1" si="112"/>
        <v/>
      </c>
      <c r="E876" s="708" t="str" cm="1">
        <f t="array" aca="1" ref="E876" ca="1">IF(INDIRECT($I876)= "", "", INDIRECT($I876))</f>
        <v/>
      </c>
      <c r="F876" s="709" t="str" cm="1">
        <f t="array" aca="1" ref="F876" ca="1">INDIRECT(LEFT(I876, FIND("!", I876)) &amp; RefData!$C$427 &amp; RIGHT(I876, LEN(I876) - FIND("!", I876) - 1))</f>
        <v>ABC 5.0/1</v>
      </c>
      <c r="G876" s="710" t="b">
        <f ca="1">IF(ISNUMBER(SEARCH(RefData!$B$2, $C876)), FALSE, TRUE)</f>
        <v>0</v>
      </c>
      <c r="H876" s="344">
        <f>'Asset-backed contributions'!C14</f>
        <v>0</v>
      </c>
      <c r="I876" s="712" t="str">
        <f t="shared" ca="1" si="114"/>
        <v>'Asset-backed contributions'!C14</v>
      </c>
      <c r="J876" s="713" t="b" cm="1">
        <f t="array" aca="1" ref="J876" ca="1">IF(COUNTIF($K876:$T876, "&lt;&gt;FALSE") - COUNTBLANK($K876:$T876) &gt; 0, INDEX($K876:$T876, MATCH(TRUE, $K876:$T876 &lt;&gt; FALSE, 0)))</f>
        <v>0</v>
      </c>
      <c r="K876" s="712" t="b">
        <f ca="1">IF(AND('Asset-backed contributions'!$C$7=0,'Reconciliation report'!$E876&lt;&gt;""),ErrorMsgs!$B876)</f>
        <v>0</v>
      </c>
      <c r="L876" s="712" t="b">
        <f ca="1">IF(AND('Asset-backed contributions'!$C$7&lt;1,'Reconciliation report'!$E876&lt;&gt;""),ErrorMsgs!$C876)</f>
        <v>0</v>
      </c>
      <c r="M876" s="712" t="b">
        <f ca="1">IF(AND('Asset-backed contributions'!$C$7&gt;=1,'Reconciliation report'!$E876=""),ErrorMsgs!$D876)</f>
        <v>0</v>
      </c>
      <c r="N876" s="712" t="b">
        <f ca="1">IF(AND(ISNA(MATCH($E876,RefData!$B$187:$B$189, 0)), $E876&lt;&gt;""),ErrorMsgs!$E876)</f>
        <v>0</v>
      </c>
      <c r="O876" s="712"/>
      <c r="P876" s="712"/>
      <c r="Q876" s="712"/>
      <c r="R876" s="712"/>
      <c r="S876" s="712"/>
      <c r="T876" s="712"/>
      <c r="U876" s="526" t="str">
        <f t="shared" ca="1" si="118"/>
        <v/>
      </c>
      <c r="V876" s="93" t="str" cm="1">
        <f t="array" aca="1" ref="V876" ca="1">CELL("format",INDIRECT(I876))</f>
        <v>G</v>
      </c>
      <c r="W876" s="93" t="b">
        <f t="shared" ca="1" si="119"/>
        <v>0</v>
      </c>
      <c r="X876" s="715" t="str">
        <f t="shared" ca="1" si="117"/>
        <v/>
      </c>
      <c r="Y876" t="b">
        <f t="shared" ca="1" si="120"/>
        <v>1</v>
      </c>
    </row>
    <row r="877" spans="1:25" ht="77.5">
      <c r="A877" s="705" t="s">
        <v>3523</v>
      </c>
      <c r="B877" s="716" t="str">
        <f t="shared" ca="1" si="113"/>
        <v>Asset-backed contributions - C15</v>
      </c>
      <c r="C877" s="707" t="str" cm="1">
        <f t="array" aca="1" ref="C877" ca="1">INDIRECT(LEFT(I877, FIND("!", I877)) &amp; RefData!$C$426 &amp; RIGHT(I877, LEN(I877) - FIND("!", I877) - 1))</f>
        <v xml:space="preserve">
No answer required
Date of maturity
</v>
      </c>
      <c r="D877" s="92" t="str">
        <f t="shared" ca="1" si="112"/>
        <v/>
      </c>
      <c r="E877" s="708" t="str" cm="1">
        <f t="array" aca="1" ref="E877" ca="1">IF(INDIRECT($I877)= "", "", INDIRECT($I877))</f>
        <v/>
      </c>
      <c r="F877" s="709" t="str" cm="1">
        <f t="array" aca="1" ref="F877" ca="1">INDIRECT(LEFT(I877, FIND("!", I877)) &amp; RefData!$C$427 &amp; RIGHT(I877, LEN(I877) - FIND("!", I877) - 1))</f>
        <v>ABC 6.0/1</v>
      </c>
      <c r="G877" s="710" t="b">
        <f ca="1">IF(ISNUMBER(SEARCH(RefData!$B$2, $C877)), FALSE, TRUE)</f>
        <v>0</v>
      </c>
      <c r="H877" s="391">
        <f>'Asset-backed contributions'!C15</f>
        <v>0</v>
      </c>
      <c r="I877" s="712" t="str">
        <f t="shared" ca="1" si="114"/>
        <v>'Asset-backed contributions'!C15</v>
      </c>
      <c r="J877" s="713" t="b" cm="1">
        <f t="array" aca="1" ref="J877" ca="1">IF(COUNTIF($K877:$T877, "&lt;&gt;FALSE") - COUNTBLANK($K877:$T877) &gt; 0, INDEX($K877:$T877, MATCH(TRUE, $K877:$T877 &lt;&gt; FALSE, 0)))</f>
        <v>0</v>
      </c>
      <c r="K877" s="712" t="b">
        <f ca="1">IF(AND('Asset-backed contributions'!$C$7=0,'Reconciliation report'!$E877&lt;&gt;""),ErrorMsgs!$B877)</f>
        <v>0</v>
      </c>
      <c r="L877" s="712" t="b">
        <f ca="1">IF(AND('Asset-backed contributions'!$C$7&lt;1,'Reconciliation report'!$E877&lt;&gt;""),ErrorMsgs!$C877)</f>
        <v>0</v>
      </c>
      <c r="M877" s="712" t="b">
        <f ca="1">IF(AND('Asset-backed contributions'!$C$7&gt;=1,OR('Asset-backed contributions'!$C$14=RefData!$B$187,'Asset-backed contributions'!$C$14=RefData!$B$189),'Reconciliation report'!$E877&lt;&gt;""),ErrorMsgs!$D877)</f>
        <v>0</v>
      </c>
      <c r="N877" s="712" t="b">
        <f ca="1">IF(AND('Asset-backed contributions'!$C$7&gt;=1,'Asset-backed contributions'!$C$14=RefData!$B$188,'Reconciliation report'!$E877=""),ErrorMsgs!$E877)</f>
        <v>0</v>
      </c>
      <c r="O877" s="712" t="b">
        <f ca="1">IF(E877="",FALSE,IF(NOT(ISNUMBER($E877)),ErrorMsgs!$F877))</f>
        <v>0</v>
      </c>
      <c r="P877" s="712" t="b">
        <f ca="1">IF($E877&lt;'Start here'!$C$21,ErrorMsgs!$G877)</f>
        <v>0</v>
      </c>
      <c r="Q877" s="712"/>
      <c r="R877" s="712"/>
      <c r="S877" s="712"/>
      <c r="T877" s="712"/>
      <c r="U877" s="526" t="str">
        <f t="shared" ca="1" si="118"/>
        <v/>
      </c>
      <c r="V877" s="93" t="str" cm="1">
        <f t="array" aca="1" ref="V877" ca="1">CELL("format",INDIRECT(I877))</f>
        <v>D1</v>
      </c>
      <c r="W877" s="93" t="b">
        <f t="shared" ca="1" si="119"/>
        <v>0</v>
      </c>
      <c r="X877" s="715" t="str">
        <f t="shared" ca="1" si="117"/>
        <v/>
      </c>
      <c r="Y877" t="b">
        <f t="shared" ca="1" si="120"/>
        <v>1</v>
      </c>
    </row>
    <row r="878" spans="1:25" ht="77.5">
      <c r="A878" s="705" t="s">
        <v>3524</v>
      </c>
      <c r="B878" s="716" t="str">
        <f t="shared" ca="1" si="113"/>
        <v>Asset-backed contributions - C16</v>
      </c>
      <c r="C878" s="707" t="str" cm="1">
        <f t="array" aca="1" ref="C878" ca="1">INDIRECT(LEFT(I878, FIND("!", I878)) &amp; RefData!$C$426 &amp; RIGHT(I878, LEN(I878) - FIND("!", I878) - 1))</f>
        <v xml:space="preserve">
No answer required
Maturity date narrative
</v>
      </c>
      <c r="D878" s="92" t="str">
        <f t="shared" ca="1" si="112"/>
        <v/>
      </c>
      <c r="E878" s="708" t="str" cm="1">
        <f t="array" aca="1" ref="E878" ca="1">IF(INDIRECT($I878)= "", "", INDIRECT($I878))</f>
        <v/>
      </c>
      <c r="F878" s="709" t="str" cm="1">
        <f t="array" aca="1" ref="F878" ca="1">INDIRECT(LEFT(I878, FIND("!", I878)) &amp; RefData!$C$427 &amp; RIGHT(I878, LEN(I878) - FIND("!", I878) - 1))</f>
        <v>ABC 7.0/1</v>
      </c>
      <c r="G878" s="710" t="b">
        <f ca="1">IF(ISNUMBER(SEARCH(RefData!$B$2, $C878)), FALSE, TRUE)</f>
        <v>0</v>
      </c>
      <c r="H878" s="344">
        <f>'Asset-backed contributions'!C16</f>
        <v>0</v>
      </c>
      <c r="I878" s="712" t="str">
        <f t="shared" ca="1" si="114"/>
        <v>'Asset-backed contributions'!C16</v>
      </c>
      <c r="J878" s="713" t="b" cm="1">
        <f t="array" aca="1" ref="J878" ca="1">IF(COUNTIF($K878:$T878, "&lt;&gt;FALSE") - COUNTBLANK($K878:$T878) &gt; 0, INDEX($K878:$T878, MATCH(TRUE, $K878:$T878 &lt;&gt; FALSE, 0)))</f>
        <v>0</v>
      </c>
      <c r="K878" s="712" t="b">
        <f ca="1">IF(AND('Asset-backed contributions'!$C$7=0,'Reconciliation report'!$E878&lt;&gt;""),ErrorMsgs!$B878)</f>
        <v>0</v>
      </c>
      <c r="L878" s="712" t="b">
        <f ca="1">IF(AND('Asset-backed contributions'!$C$7&lt;1,'Reconciliation report'!$E878&lt;&gt;""),ErrorMsgs!$C878)</f>
        <v>0</v>
      </c>
      <c r="M878" s="712" t="b">
        <f ca="1">IF(AND('Asset-backed contributions'!$C$7&gt;=1,'Asset-backed contributions'!$C$14&lt;&gt;RefData!$B$189,'Reconciliation report'!$E878&lt;&gt;""),ErrorMsgs!$D878)</f>
        <v>0</v>
      </c>
      <c r="N878" s="712" t="b">
        <f ca="1">IF(AND('Asset-backed contributions'!$C$7&gt;=1,'Asset-backed contributions'!$C$14=RefData!$B$189,'Reconciliation report'!$E878=""),ErrorMsgs!$E878)</f>
        <v>0</v>
      </c>
      <c r="O878" s="712" t="b">
        <f ca="1">IF(LEN($E878)&gt;4000,ErrorMsgs!$F878)</f>
        <v>0</v>
      </c>
      <c r="P878" s="712"/>
      <c r="Q878" s="712"/>
      <c r="R878" s="712"/>
      <c r="S878" s="712"/>
      <c r="T878" s="712"/>
      <c r="U878" s="526" t="str">
        <f t="shared" ca="1" si="118"/>
        <v/>
      </c>
      <c r="V878" s="93" t="str" cm="1">
        <f t="array" aca="1" ref="V878" ca="1">CELL("format",INDIRECT(I878))</f>
        <v>G</v>
      </c>
      <c r="W878" s="93" t="b">
        <f t="shared" ca="1" si="119"/>
        <v>0</v>
      </c>
      <c r="X878" s="715" t="str">
        <f t="shared" ca="1" si="117"/>
        <v/>
      </c>
      <c r="Y878" t="b">
        <f t="shared" ca="1" si="120"/>
        <v>1</v>
      </c>
    </row>
    <row r="879" spans="1:25" ht="77.5">
      <c r="A879" s="705" t="s">
        <v>3525</v>
      </c>
      <c r="B879" s="716" t="str">
        <f t="shared" ca="1" si="113"/>
        <v>Asset-backed contributions - C17</v>
      </c>
      <c r="C879" s="707" t="str" cm="1">
        <f t="array" aca="1" ref="C879" ca="1">INDIRECT(LEFT(I879, FIND("!", I879)) &amp; RefData!$C$426 &amp; RIGHT(I879, LEN(I879) - FIND("!", I879) - 1))</f>
        <v xml:space="preserve">
No answer required
Net present value (NPV) (£)
</v>
      </c>
      <c r="D879" s="92" t="str">
        <f t="shared" ca="1" si="112"/>
        <v/>
      </c>
      <c r="E879" s="708" t="str" cm="1">
        <f t="array" aca="1" ref="E879" ca="1">IF(INDIRECT($I879)= "", "", INDIRECT($I879))</f>
        <v/>
      </c>
      <c r="F879" s="709" t="str" cm="1">
        <f t="array" aca="1" ref="F879" ca="1">INDIRECT(LEFT(I879, FIND("!", I879)) &amp; RefData!$C$427 &amp; RIGHT(I879, LEN(I879) - FIND("!", I879) - 1))</f>
        <v>ABC 8.0/1</v>
      </c>
      <c r="G879" s="710" t="b">
        <f ca="1">IF(ISNUMBER(SEARCH(RefData!$B$2, $C879)), FALSE, TRUE)</f>
        <v>0</v>
      </c>
      <c r="H879" s="344">
        <f>'Asset-backed contributions'!C17</f>
        <v>0</v>
      </c>
      <c r="I879" s="712" t="str">
        <f t="shared" ca="1" si="114"/>
        <v>'Asset-backed contributions'!C17</v>
      </c>
      <c r="J879" s="713" t="b" cm="1">
        <f t="array" aca="1" ref="J879" ca="1">IF(COUNTIF($K879:$T879, "&lt;&gt;FALSE") - COUNTBLANK($K879:$T879) &gt; 0, INDEX($K879:$T879, MATCH(TRUE, $K879:$T879 &lt;&gt; FALSE, 0)))</f>
        <v>0</v>
      </c>
      <c r="K879" s="712" t="b">
        <f ca="1">IF(AND('Asset-backed contributions'!$C$7=0,'Reconciliation report'!$E879&lt;&gt;""),ErrorMsgs!$B879)</f>
        <v>0</v>
      </c>
      <c r="L879" s="712" t="b">
        <f ca="1">IF(AND('Asset-backed contributions'!$C$7&lt;1,'Reconciliation report'!$E879&lt;&gt;""),ErrorMsgs!$C879)</f>
        <v>0</v>
      </c>
      <c r="M879" s="712" t="b">
        <f ca="1">IF(AND('Asset-backed contributions'!$C$7&gt;=1,'Reconciliation report'!$E879=""),ErrorMsgs!$D879)</f>
        <v>0</v>
      </c>
      <c r="N879" s="712" t="b">
        <f ca="1">IF($E879="",FALSE,IF(NOT(ISNUMBER($E879)),ErrorMsgs!$E879,IF(OR(VALUE($E879)-ROUND(VALUE($E879),2),VALUE($E879)&lt;0,VALUE($E879)&gt;=1000000000000),ErrorMsgs!$E879)))</f>
        <v>0</v>
      </c>
      <c r="O879" s="714"/>
      <c r="P879" s="712"/>
      <c r="Q879" s="712"/>
      <c r="R879" s="712"/>
      <c r="S879" s="712"/>
      <c r="T879" s="712"/>
      <c r="U879" s="526" t="str">
        <f t="shared" ca="1" si="118"/>
        <v/>
      </c>
      <c r="V879" s="93" t="str" cm="1">
        <f t="array" aca="1" ref="V879" ca="1">CELL("format",INDIRECT(I879))</f>
        <v>C2</v>
      </c>
      <c r="W879" s="93" t="b">
        <f t="shared" ca="1" si="119"/>
        <v>0</v>
      </c>
      <c r="X879" s="715" t="str">
        <f t="shared" ca="1" si="117"/>
        <v/>
      </c>
      <c r="Y879" t="b">
        <f t="shared" ca="1" si="120"/>
        <v>1</v>
      </c>
    </row>
    <row r="880" spans="1:25" ht="77.5">
      <c r="A880" s="705" t="s">
        <v>3526</v>
      </c>
      <c r="B880" s="716" t="str">
        <f t="shared" ca="1" si="113"/>
        <v>Asset-backed contributions - C18</v>
      </c>
      <c r="C880" s="707" t="str" cm="1">
        <f t="array" aca="1" ref="C880" ca="1">INDIRECT(LEFT(I880, FIND("!", I880)) &amp; RefData!$C$426 &amp; RIGHT(I880, LEN(I880) - FIND("!", I880) - 1))</f>
        <v xml:space="preserve">
No answer required
Date NPV calculated
</v>
      </c>
      <c r="D880" s="92" t="str">
        <f t="shared" ca="1" si="112"/>
        <v/>
      </c>
      <c r="E880" s="708" t="str" cm="1">
        <f t="array" aca="1" ref="E880" ca="1">IF(INDIRECT($I880)= "", "", INDIRECT($I880))</f>
        <v/>
      </c>
      <c r="F880" s="709" t="str" cm="1">
        <f t="array" aca="1" ref="F880" ca="1">INDIRECT(LEFT(I880, FIND("!", I880)) &amp; RefData!$C$427 &amp; RIGHT(I880, LEN(I880) - FIND("!", I880) - 1))</f>
        <v>ABC 9.0/1</v>
      </c>
      <c r="G880" s="710" t="b">
        <f ca="1">IF(ISNUMBER(SEARCH(RefData!$B$2, $C880)), FALSE, TRUE)</f>
        <v>0</v>
      </c>
      <c r="H880" s="391">
        <f>'Asset-backed contributions'!C18</f>
        <v>0</v>
      </c>
      <c r="I880" s="712" t="str">
        <f t="shared" ca="1" si="114"/>
        <v>'Asset-backed contributions'!C18</v>
      </c>
      <c r="J880" s="713" t="b" cm="1">
        <f t="array" aca="1" ref="J880" ca="1">IF(COUNTIF($K880:$T880, "&lt;&gt;FALSE") - COUNTBLANK($K880:$T880) &gt; 0, INDEX($K880:$T880, MATCH(TRUE, $K880:$T880 &lt;&gt; FALSE, 0)))</f>
        <v>0</v>
      </c>
      <c r="K880" s="712" t="b">
        <f ca="1">IF(AND('Asset-backed contributions'!$C$7=0,'Reconciliation report'!$E880&lt;&gt;""),ErrorMsgs!$B880)</f>
        <v>0</v>
      </c>
      <c r="L880" s="712" t="b">
        <f ca="1">IF(AND('Asset-backed contributions'!$C$7&lt;1,'Reconciliation report'!$E880&lt;&gt;""),ErrorMsgs!$C880)</f>
        <v>0</v>
      </c>
      <c r="M880" s="712" t="b">
        <f ca="1">IF(AND('Asset-backed contributions'!$C$7&gt;=1,'Reconciliation report'!$E880=""),ErrorMsgs!$D880)</f>
        <v>0</v>
      </c>
      <c r="N880" s="712" t="b">
        <f ca="1">IF($E880="",FALSE,IF(NOT(ISNUMBER($E880)),ErrorMsgs!$E880))</f>
        <v>0</v>
      </c>
      <c r="O880" s="712" t="b">
        <f ca="1">IF($E880="",FALSE,IF(VALUE($E880)&gt;TODAY(),ErrorMsgs!$F880))</f>
        <v>0</v>
      </c>
      <c r="P880" s="712"/>
      <c r="Q880" s="712"/>
      <c r="R880" s="712"/>
      <c r="S880" s="712"/>
      <c r="T880" s="712"/>
      <c r="U880" s="526" t="str">
        <f t="shared" ca="1" si="118"/>
        <v/>
      </c>
      <c r="V880" s="93" t="str" cm="1">
        <f t="array" aca="1" ref="V880" ca="1">CELL("format",INDIRECT(I880))</f>
        <v>D1</v>
      </c>
      <c r="W880" s="93" t="b">
        <f t="shared" ca="1" si="119"/>
        <v>0</v>
      </c>
      <c r="X880" s="715" t="str">
        <f t="shared" ca="1" si="117"/>
        <v/>
      </c>
      <c r="Y880" t="b">
        <f t="shared" ca="1" si="120"/>
        <v>1</v>
      </c>
    </row>
    <row r="881" spans="1:25" ht="77.5">
      <c r="A881" s="705" t="s">
        <v>3527</v>
      </c>
      <c r="B881" s="716" t="str">
        <f t="shared" ca="1" si="113"/>
        <v>Asset-backed contributions - C19</v>
      </c>
      <c r="C881" s="707" t="str" cm="1">
        <f t="array" aca="1" ref="C881" ca="1">INDIRECT(LEFT(I881, FIND("!", I881)) &amp; RefData!$C$426 &amp; RIGHT(I881, LEN(I881) - FIND("!", I881) - 1))</f>
        <v xml:space="preserve">
No answer required
Value of underlying asset (£) (optional)
</v>
      </c>
      <c r="D881" s="92" t="str">
        <f t="shared" ca="1" si="112"/>
        <v/>
      </c>
      <c r="E881" s="708" t="str" cm="1">
        <f t="array" aca="1" ref="E881" ca="1">IF(INDIRECT($I881)= "", "", INDIRECT($I881))</f>
        <v/>
      </c>
      <c r="F881" s="709" t="str" cm="1">
        <f t="array" aca="1" ref="F881" ca="1">INDIRECT(LEFT(I881, FIND("!", I881)) &amp; RefData!$C$427 &amp; RIGHT(I881, LEN(I881) - FIND("!", I881) - 1))</f>
        <v>ABC 10.0/1</v>
      </c>
      <c r="G881" s="710" t="b">
        <f ca="1">IF(ISNUMBER(SEARCH(RefData!$B$2, $C881)), FALSE, TRUE)</f>
        <v>0</v>
      </c>
      <c r="H881" s="344">
        <f>'Asset-backed contributions'!C19</f>
        <v>0</v>
      </c>
      <c r="I881" s="712" t="str">
        <f t="shared" ca="1" si="114"/>
        <v>'Asset-backed contributions'!C19</v>
      </c>
      <c r="J881" s="713" t="b" cm="1">
        <f t="array" aca="1" ref="J881" ca="1">IF(COUNTIF($K881:$T881, "&lt;&gt;FALSE") - COUNTBLANK($K881:$T881) &gt; 0, INDEX($K881:$T881, MATCH(TRUE, $K881:$T881 &lt;&gt; FALSE, 0)))</f>
        <v>0</v>
      </c>
      <c r="K881" s="712" t="b">
        <f ca="1">IF(AND('Asset-backed contributions'!$C$7=0,'Reconciliation report'!$E881&lt;&gt;""),ErrorMsgs!$B881)</f>
        <v>0</v>
      </c>
      <c r="L881" s="712" t="b">
        <f ca="1">IF(AND('Asset-backed contributions'!$C$7&lt;1,'Reconciliation report'!$E881&lt;&gt;""),ErrorMsgs!$C881)</f>
        <v>0</v>
      </c>
      <c r="M881" s="712" t="b">
        <f ca="1">IF($E881="",FALSE,IF(ISERROR(VALUE($E881)),ErrorMsgs!$D881,IF(OR(VALUE($E881)-ROUND(VALUE($E881),2),VALUE($E881)&lt;0,VALUE($E881)&gt;=1000000000000),ErrorMsgs!$D881)))</f>
        <v>0</v>
      </c>
      <c r="N881" s="712"/>
      <c r="O881" s="712"/>
      <c r="P881" s="712"/>
      <c r="Q881" s="712"/>
      <c r="R881" s="712"/>
      <c r="S881" s="712"/>
      <c r="T881" s="712"/>
      <c r="U881" s="526" t="str">
        <f t="shared" ca="1" si="118"/>
        <v/>
      </c>
      <c r="V881" s="93" t="str" cm="1">
        <f t="array" aca="1" ref="V881" ca="1">CELL("format",INDIRECT(I881))</f>
        <v>C2</v>
      </c>
      <c r="W881" s="93" t="b">
        <f t="shared" ca="1" si="119"/>
        <v>0</v>
      </c>
      <c r="X881" s="715" t="str">
        <f t="shared" ca="1" si="117"/>
        <v/>
      </c>
      <c r="Y881" t="b">
        <f t="shared" ca="1" si="120"/>
        <v>1</v>
      </c>
    </row>
    <row r="882" spans="1:25" ht="77.5">
      <c r="A882" s="705" t="s">
        <v>3528</v>
      </c>
      <c r="B882" s="716" t="str">
        <f t="shared" ca="1" si="113"/>
        <v>Asset-backed contributions - C20</v>
      </c>
      <c r="C882" s="707" t="str" cm="1">
        <f t="array" aca="1" ref="C882" ca="1">INDIRECT(LEFT(I882, FIND("!", I882)) &amp; RefData!$C$426 &amp; RIGHT(I882, LEN(I882) - FIND("!", I882) - 1))</f>
        <v xml:space="preserve">
No answer required
Date of valuation of underlying asset (optional)
</v>
      </c>
      <c r="D882" s="92" t="str">
        <f t="shared" ca="1" si="112"/>
        <v/>
      </c>
      <c r="E882" s="708" t="str" cm="1">
        <f t="array" aca="1" ref="E882" ca="1">IF(INDIRECT($I882)= "", "", INDIRECT($I882))</f>
        <v/>
      </c>
      <c r="F882" s="709" t="str" cm="1">
        <f t="array" aca="1" ref="F882" ca="1">INDIRECT(LEFT(I882, FIND("!", I882)) &amp; RefData!$C$427 &amp; RIGHT(I882, LEN(I882) - FIND("!", I882) - 1))</f>
        <v>ABC 11.0/1</v>
      </c>
      <c r="G882" s="710" t="b">
        <f ca="1">IF(ISNUMBER(SEARCH(RefData!$B$2, $C882)), FALSE, TRUE)</f>
        <v>0</v>
      </c>
      <c r="H882" s="391">
        <f>'Asset-backed contributions'!C20</f>
        <v>0</v>
      </c>
      <c r="I882" s="712" t="str">
        <f t="shared" ca="1" si="114"/>
        <v>'Asset-backed contributions'!C20</v>
      </c>
      <c r="J882" s="713" t="b" cm="1">
        <f t="array" aca="1" ref="J882" ca="1">IF(COUNTIF($K882:$T882, "&lt;&gt;FALSE") - COUNTBLANK($K882:$T882) &gt; 0, INDEX($K882:$T882, MATCH(TRUE, $K882:$T882 &lt;&gt; FALSE, 0)))</f>
        <v>0</v>
      </c>
      <c r="K882" s="712" t="b">
        <f ca="1">IF(AND('Asset-backed contributions'!$C$7=0,'Reconciliation report'!$E882&lt;&gt;""),ErrorMsgs!$B882)</f>
        <v>0</v>
      </c>
      <c r="L882" s="712" t="b">
        <f ca="1">IF(AND('Asset-backed contributions'!$C$7&lt;1,'Reconciliation report'!$E882&lt;&gt;""),ErrorMsgs!$C882)</f>
        <v>0</v>
      </c>
      <c r="M882" s="712" t="b">
        <f ca="1">IF($E882="",FALSE,IF(AND('Asset-backed contributions'!$C$7&gt;=1,NOT(ISNUMBER($E882))),ErrorMsgs!$D882))</f>
        <v>0</v>
      </c>
      <c r="N882" s="712" t="b">
        <f ca="1">IF(E882="",FALSE,IF(VALUE($E882)&gt;TODAY(),ErrorMsgs!$E882))</f>
        <v>0</v>
      </c>
      <c r="O882" s="712"/>
      <c r="P882" s="712"/>
      <c r="Q882" s="712"/>
      <c r="R882" s="712"/>
      <c r="S882" s="712"/>
      <c r="T882" s="712"/>
      <c r="U882" s="526" t="str">
        <f t="shared" ca="1" si="118"/>
        <v/>
      </c>
      <c r="V882" s="93" t="str" cm="1">
        <f t="array" aca="1" ref="V882" ca="1">CELL("format",INDIRECT(I882))</f>
        <v>D1</v>
      </c>
      <c r="W882" s="93" t="b">
        <f t="shared" ca="1" si="119"/>
        <v>0</v>
      </c>
      <c r="X882" s="715" t="str">
        <f t="shared" ca="1" si="117"/>
        <v/>
      </c>
      <c r="Y882" t="b">
        <f t="shared" ca="1" si="120"/>
        <v>1</v>
      </c>
    </row>
    <row r="883" spans="1:25" ht="62">
      <c r="A883" s="705" t="s">
        <v>3529</v>
      </c>
      <c r="B883" s="716" t="str">
        <f t="shared" ca="1" si="113"/>
        <v>Asset-backed contributions - C21</v>
      </c>
      <c r="C883" s="707" t="str" cm="1">
        <f t="array" aca="1" ref="C883" ca="1">INDIRECT(LEFT(I883, FIND("!", I883)) &amp; RefData!$C$426 &amp; RIGHT(I883, LEN(I883) - FIND("!", I883) - 1))</f>
        <v xml:space="preserve">
Triggers for any cessation of payment schedule, or for termination of ABC
</v>
      </c>
      <c r="D883" s="92" t="str">
        <f t="shared" ca="1" si="112"/>
        <v/>
      </c>
      <c r="E883" s="708" t="str" cm="1">
        <f t="array" aca="1" ref="E883" ca="1">IF(INDIRECT($I883)= "", "", INDIRECT($I883))</f>
        <v/>
      </c>
      <c r="F883" s="709" t="str" cm="1">
        <f t="array" aca="1" ref="F883" ca="1">INDIRECT(LEFT(I883, FIND("!", I883)) &amp; RefData!$C$427 &amp; RIGHT(I883, LEN(I883) - FIND("!", I883) - 1))</f>
        <v>ABC 12.0/1</v>
      </c>
      <c r="G883" s="710" t="b">
        <f ca="1">IF(ISNUMBER(SEARCH(RefData!$B$2, $C883)), FALSE, TRUE)</f>
        <v>1</v>
      </c>
      <c r="H883" s="344">
        <f>'Asset-backed contributions'!C21</f>
        <v>0</v>
      </c>
      <c r="I883" s="712" t="str">
        <f t="shared" ca="1" si="114"/>
        <v>'Asset-backed contributions'!C21</v>
      </c>
      <c r="J883" s="713" t="b" cm="1">
        <f t="array" aca="1" ref="J883" ca="1">IF(COUNTIF($K883:$T883, "&lt;&gt;FALSE") - COUNTBLANK($K883:$T883) &gt; 0, INDEX($K883:$T883, MATCH(TRUE, $K883:$T883 &lt;&gt; FALSE, 0)))</f>
        <v>0</v>
      </c>
      <c r="K883" s="712" t="b">
        <f ca="1">IF(AND('Start here'!$C$26=RefData!$B$9,'Reconciliation report'!$E883&lt;&gt;""),ErrorMsgs!$B883)</f>
        <v>0</v>
      </c>
      <c r="L883" s="712" t="b">
        <f ca="1">IF(AND('Start here'!$C$26=RefData!$B$10,'Asset-backed contributions'!$C$7=0,'Reconciliation report'!$E883&lt;&gt;""),ErrorMsgs!$C883)</f>
        <v>0</v>
      </c>
      <c r="M883" s="712" t="b">
        <f ca="1">IF(AND('Start here'!$C$26=RefData!$B$10,'Asset-backed contributions'!$C$7&lt;1,'Reconciliation report'!$E883&lt;&gt;""),ErrorMsgs!$D883)</f>
        <v>0</v>
      </c>
      <c r="N883" s="712" t="b">
        <f ca="1">IF(AND('Start here'!$C$26=RefData!$B$10,'Asset-backed contributions'!$C$7&gt;=1,'Reconciliation report'!$E883=""),ErrorMsgs!$E883)</f>
        <v>0</v>
      </c>
      <c r="O883" s="712" t="b">
        <f ca="1">IF(LEN($E883)&gt;4000,ErrorMsgs!$F883)</f>
        <v>0</v>
      </c>
      <c r="P883" s="712"/>
      <c r="Q883" s="712"/>
      <c r="R883" s="712"/>
      <c r="S883" s="712"/>
      <c r="T883" s="712"/>
      <c r="U883" s="526" t="str">
        <f t="shared" ca="1" si="118"/>
        <v/>
      </c>
      <c r="V883" s="93" t="str" cm="1">
        <f t="array" aca="1" ref="V883" ca="1">CELL("format",INDIRECT(I883))</f>
        <v>G</v>
      </c>
      <c r="W883" s="93" t="b">
        <f t="shared" ca="1" si="119"/>
        <v>0</v>
      </c>
      <c r="X883" s="715" t="str">
        <f t="shared" ca="1" si="117"/>
        <v/>
      </c>
      <c r="Y883" t="b">
        <f t="shared" ca="1" si="120"/>
        <v>1</v>
      </c>
    </row>
    <row r="884" spans="1:25" ht="93">
      <c r="A884" s="705" t="s">
        <v>3530</v>
      </c>
      <c r="B884" s="716" t="str">
        <f t="shared" ca="1" si="113"/>
        <v>Asset-backed contributions - C25</v>
      </c>
      <c r="C884" s="707" t="str" cm="1">
        <f t="array" aca="1" ref="C884" ca="1">INDIRECT(LEFT(I884, FIND("!", I884)) &amp; RefData!$C$426 &amp; RIGHT(I884, LEN(I884) - FIND("!", I884) - 1))</f>
        <v xml:space="preserve">
No answer required
What is the type of security underlying the asset backed contribution arrangement?
</v>
      </c>
      <c r="D884" s="92" t="str">
        <f t="shared" ref="D884:D893" ca="1" si="123">""&amp;IF(J884=FALSE, "", J884)
&amp;""</f>
        <v/>
      </c>
      <c r="E884" s="708" t="str" cm="1">
        <f t="array" aca="1" ref="E884" ca="1">IF(INDIRECT($I884)= "", "", INDIRECT($I884))</f>
        <v/>
      </c>
      <c r="F884" s="709" t="str" cm="1">
        <f t="array" aca="1" ref="F884" ca="1">INDIRECT(LEFT(I884, FIND("!", I884)) &amp; RefData!$C$427 &amp; RIGHT(I884, LEN(I884) - FIND("!", I884) - 1))</f>
        <v>ABC 3.0/2</v>
      </c>
      <c r="G884" s="710" t="b">
        <f ca="1">IF(ISNUMBER(SEARCH(RefData!$B$2, $C884)), FALSE, TRUE)</f>
        <v>0</v>
      </c>
      <c r="H884" s="344">
        <f>'Asset-backed contributions'!C25</f>
        <v>0</v>
      </c>
      <c r="I884" s="712" t="str">
        <f t="shared" ca="1" si="114"/>
        <v>'Asset-backed contributions'!C25</v>
      </c>
      <c r="J884" s="713" t="b" cm="1">
        <f t="array" aca="1" ref="J884" ca="1">IF(COUNTIF($K884:$T884, "&lt;&gt;FALSE") - COUNTBLANK($K884:$T884) &gt; 0, INDEX($K884:$T884, MATCH(TRUE, $K884:$T884 &lt;&gt; FALSE, 0)))</f>
        <v>0</v>
      </c>
      <c r="K884" s="712" t="b">
        <f ca="1">IF(AND('Asset-backed contributions'!$C$7=0,'Reconciliation report'!$E884&lt;&gt;""),ErrorMsgs!$B884)</f>
        <v>0</v>
      </c>
      <c r="L884" s="712" t="b">
        <f ca="1">IF(AND('Asset-backed contributions'!$C$7&lt;2,'Reconciliation report'!$E884&lt;&gt;""),ErrorMsgs!$C884)</f>
        <v>0</v>
      </c>
      <c r="M884" s="712" t="b">
        <f ca="1">IF(AND('Asset-backed contributions'!$C$7&gt;=2,'Reconciliation report'!$E884=""),ErrorMsgs!$D884)</f>
        <v>0</v>
      </c>
      <c r="N884" s="712" t="b">
        <f ca="1">IF(AND(ISNA(MATCH($E884,RefData!$B$181:$B$186, 0)), $E884&lt;&gt;""),ErrorMsgs!$E884)</f>
        <v>0</v>
      </c>
      <c r="O884" s="712"/>
      <c r="P884" s="712"/>
      <c r="Q884" s="712"/>
      <c r="R884" s="712"/>
      <c r="S884" s="712"/>
      <c r="T884" s="712"/>
      <c r="U884" s="526" t="str">
        <f t="shared" ca="1" si="118"/>
        <v/>
      </c>
      <c r="V884" s="93" t="str" cm="1">
        <f t="array" aca="1" ref="V884" ca="1">CELL("format",INDIRECT(I884))</f>
        <v>G</v>
      </c>
      <c r="W884" s="93" t="b">
        <f t="shared" ca="1" si="119"/>
        <v>0</v>
      </c>
      <c r="X884" s="715" t="str">
        <f t="shared" ca="1" si="117"/>
        <v/>
      </c>
      <c r="Y884" t="b">
        <f t="shared" ca="1" si="120"/>
        <v>1</v>
      </c>
    </row>
    <row r="885" spans="1:25" ht="77.5">
      <c r="A885" s="705" t="s">
        <v>3531</v>
      </c>
      <c r="B885" s="716" t="str">
        <f t="shared" ca="1" si="113"/>
        <v>Asset-backed contributions - C26</v>
      </c>
      <c r="C885" s="707" t="str" cm="1">
        <f t="array" aca="1" ref="C885" ca="1">INDIRECT(LEFT(I885, FIND("!", I885)) &amp; RefData!$C$426 &amp; RIGHT(I885, LEN(I885) - FIND("!", I885) - 1))</f>
        <v xml:space="preserve">
No answer required
A summary of the underlying asset
</v>
      </c>
      <c r="D885" s="92" t="str">
        <f t="shared" ca="1" si="123"/>
        <v/>
      </c>
      <c r="E885" s="708" t="str" cm="1">
        <f t="array" aca="1" ref="E885" ca="1">IF(INDIRECT($I885)= "", "", INDIRECT($I885))</f>
        <v/>
      </c>
      <c r="F885" s="709" t="str" cm="1">
        <f t="array" aca="1" ref="F885" ca="1">INDIRECT(LEFT(I885, FIND("!", I885)) &amp; RefData!$C$427 &amp; RIGHT(I885, LEN(I885) - FIND("!", I885) - 1))</f>
        <v>ABC 4.0/2</v>
      </c>
      <c r="G885" s="710" t="b">
        <f ca="1">IF(ISNUMBER(SEARCH(RefData!$B$2, $C885)), FALSE, TRUE)</f>
        <v>0</v>
      </c>
      <c r="H885" s="344">
        <f>'Asset-backed contributions'!C26</f>
        <v>0</v>
      </c>
      <c r="I885" s="712" t="str">
        <f t="shared" ca="1" si="114"/>
        <v>'Asset-backed contributions'!C26</v>
      </c>
      <c r="J885" s="713" t="b" cm="1">
        <f t="array" aca="1" ref="J885" ca="1">IF(COUNTIF($K885:$T885, "&lt;&gt;FALSE") - COUNTBLANK($K885:$T885) &gt; 0, INDEX($K885:$T885, MATCH(TRUE, $K885:$T885 &lt;&gt; FALSE, 0)))</f>
        <v>0</v>
      </c>
      <c r="K885" s="712" t="b">
        <f ca="1">IF(AND('Asset-backed contributions'!$C$7=0,'Reconciliation report'!$E885&lt;&gt;""),ErrorMsgs!$B885)</f>
        <v>0</v>
      </c>
      <c r="L885" s="712" t="b">
        <f ca="1">IF(AND('Asset-backed contributions'!$C$7&lt;2,'Reconciliation report'!$E885&lt;&gt;""),ErrorMsgs!$C885)</f>
        <v>0</v>
      </c>
      <c r="M885" s="712" t="b">
        <f ca="1">IF(AND('Asset-backed contributions'!$C$7&gt;=2,'Reconciliation report'!$E885=""),ErrorMsgs!$D885)</f>
        <v>0</v>
      </c>
      <c r="N885" s="712" t="b">
        <f ca="1">IF(LEN($E885)&gt;4000,ErrorMsgs!$E885)</f>
        <v>0</v>
      </c>
      <c r="O885" s="712"/>
      <c r="P885" s="712"/>
      <c r="Q885" s="712"/>
      <c r="R885" s="712"/>
      <c r="S885" s="712"/>
      <c r="T885" s="712"/>
      <c r="U885" s="526" t="str">
        <f t="shared" ca="1" si="118"/>
        <v/>
      </c>
      <c r="V885" s="93" t="str" cm="1">
        <f t="array" aca="1" ref="V885" ca="1">CELL("format",INDIRECT(I885))</f>
        <v>G</v>
      </c>
      <c r="W885" s="93" t="b">
        <f t="shared" ca="1" si="119"/>
        <v>0</v>
      </c>
      <c r="X885" s="715" t="str">
        <f t="shared" ca="1" si="117"/>
        <v/>
      </c>
      <c r="Y885" t="b">
        <f t="shared" ca="1" si="120"/>
        <v>1</v>
      </c>
    </row>
    <row r="886" spans="1:25" ht="77.5">
      <c r="A886" s="705" t="s">
        <v>3532</v>
      </c>
      <c r="B886" s="716" t="str">
        <f t="shared" ca="1" si="113"/>
        <v>Asset-backed contributions - C27</v>
      </c>
      <c r="C886" s="707" t="str" cm="1">
        <f t="array" aca="1" ref="C886" ca="1">INDIRECT(LEFT(I886, FIND("!", I886)) &amp; RefData!$C$426 &amp; RIGHT(I886, LEN(I886) - FIND("!", I886) - 1))</f>
        <v xml:space="preserve">
No answer required
Maturity type
</v>
      </c>
      <c r="D886" s="92" t="str">
        <f t="shared" ca="1" si="123"/>
        <v/>
      </c>
      <c r="E886" s="708" t="str" cm="1">
        <f t="array" aca="1" ref="E886" ca="1">IF(INDIRECT($I886)= "", "", INDIRECT($I886))</f>
        <v/>
      </c>
      <c r="F886" s="709" t="str" cm="1">
        <f t="array" aca="1" ref="F886" ca="1">INDIRECT(LEFT(I886, FIND("!", I886)) &amp; RefData!$C$427 &amp; RIGHT(I886, LEN(I886) - FIND("!", I886) - 1))</f>
        <v>ABC 5.0/2</v>
      </c>
      <c r="G886" s="710" t="b">
        <f ca="1">IF(ISNUMBER(SEARCH(RefData!$B$2, $C886)), FALSE, TRUE)</f>
        <v>0</v>
      </c>
      <c r="H886" s="344">
        <f>'Asset-backed contributions'!C27</f>
        <v>0</v>
      </c>
      <c r="I886" s="712" t="str">
        <f t="shared" ca="1" si="114"/>
        <v>'Asset-backed contributions'!C27</v>
      </c>
      <c r="J886" s="713" t="b" cm="1">
        <f t="array" aca="1" ref="J886" ca="1">IF(COUNTIF($K886:$T886, "&lt;&gt;FALSE") - COUNTBLANK($K886:$T886) &gt; 0, INDEX($K886:$T886, MATCH(TRUE, $K886:$T886 &lt;&gt; FALSE, 0)))</f>
        <v>0</v>
      </c>
      <c r="K886" s="712" t="b">
        <f ca="1">IF(AND('Asset-backed contributions'!$C$7=0,'Reconciliation report'!$E886&lt;&gt;""),ErrorMsgs!$B886)</f>
        <v>0</v>
      </c>
      <c r="L886" s="712" t="b">
        <f ca="1">IF(AND('Asset-backed contributions'!$C$7&lt;2,'Reconciliation report'!$E886&lt;&gt;""),ErrorMsgs!$C886)</f>
        <v>0</v>
      </c>
      <c r="M886" s="712" t="b">
        <f ca="1">IF(AND('Asset-backed contributions'!$C$7&gt;=2,'Reconciliation report'!$E886=""),ErrorMsgs!$D886)</f>
        <v>0</v>
      </c>
      <c r="N886" s="712" t="b">
        <f ca="1">IF(AND(ISNA(MATCH($E886,RefData!$B$187:$B$189, 0)), $E886&lt;&gt;""),ErrorMsgs!$E886)</f>
        <v>0</v>
      </c>
      <c r="O886" s="712"/>
      <c r="P886" s="712"/>
      <c r="Q886" s="712"/>
      <c r="R886" s="712"/>
      <c r="S886" s="712"/>
      <c r="T886" s="712"/>
      <c r="U886" s="526" t="str">
        <f t="shared" ca="1" si="118"/>
        <v/>
      </c>
      <c r="V886" s="93" t="str" cm="1">
        <f t="array" aca="1" ref="V886" ca="1">CELL("format",INDIRECT(I886))</f>
        <v>G</v>
      </c>
      <c r="W886" s="93" t="b">
        <f t="shared" ca="1" si="119"/>
        <v>0</v>
      </c>
      <c r="X886" s="715" t="str">
        <f t="shared" ca="1" si="117"/>
        <v/>
      </c>
      <c r="Y886" t="b">
        <f t="shared" ca="1" si="120"/>
        <v>1</v>
      </c>
    </row>
    <row r="887" spans="1:25" ht="77.5">
      <c r="A887" s="705" t="s">
        <v>3533</v>
      </c>
      <c r="B887" s="716" t="str">
        <f t="shared" ca="1" si="113"/>
        <v>Asset-backed contributions - C28</v>
      </c>
      <c r="C887" s="707" t="str" cm="1">
        <f t="array" aca="1" ref="C887" ca="1">INDIRECT(LEFT(I887, FIND("!", I887)) &amp; RefData!$C$426 &amp; RIGHT(I887, LEN(I887) - FIND("!", I887) - 1))</f>
        <v xml:space="preserve">
No answer required
Date of maturity
</v>
      </c>
      <c r="D887" s="92" t="str">
        <f t="shared" ca="1" si="123"/>
        <v/>
      </c>
      <c r="E887" s="708" t="str" cm="1">
        <f t="array" aca="1" ref="E887" ca="1">IF(INDIRECT($I887)= "", "", INDIRECT($I887))</f>
        <v/>
      </c>
      <c r="F887" s="709" t="str" cm="1">
        <f t="array" aca="1" ref="F887" ca="1">INDIRECT(LEFT(I887, FIND("!", I887)) &amp; RefData!$C$427 &amp; RIGHT(I887, LEN(I887) - FIND("!", I887) - 1))</f>
        <v>ABC 6.0/2</v>
      </c>
      <c r="G887" s="710" t="b">
        <f ca="1">IF(ISNUMBER(SEARCH(RefData!$B$2, $C887)), FALSE, TRUE)</f>
        <v>0</v>
      </c>
      <c r="H887" s="391">
        <f>'Asset-backed contributions'!C28</f>
        <v>0</v>
      </c>
      <c r="I887" s="712" t="str">
        <f t="shared" ca="1" si="114"/>
        <v>'Asset-backed contributions'!C28</v>
      </c>
      <c r="J887" s="713" t="b" cm="1">
        <f t="array" aca="1" ref="J887" ca="1">IF(COUNTIF($K887:$T887, "&lt;&gt;FALSE") - COUNTBLANK($K887:$T887) &gt; 0, INDEX($K887:$T887, MATCH(TRUE, $K887:$T887 &lt;&gt; FALSE, 0)))</f>
        <v>0</v>
      </c>
      <c r="K887" s="712" t="b">
        <f ca="1">IF(AND('Asset-backed contributions'!$C$7=0,'Reconciliation report'!$E887&lt;&gt;""),ErrorMsgs!$B887)</f>
        <v>0</v>
      </c>
      <c r="L887" s="712" t="b">
        <f ca="1">IF(AND('Asset-backed contributions'!$C$7&lt;2,'Reconciliation report'!$E887&lt;&gt;""),ErrorMsgs!$C887)</f>
        <v>0</v>
      </c>
      <c r="M887" s="712" t="b">
        <f ca="1">IF(AND('Asset-backed contributions'!$C$7&gt;=2,OR('Asset-backed contributions'!$C$27=RefData!$B$187,'Asset-backed contributions'!$C$27=RefData!$B$189),'Reconciliation report'!$E887&lt;&gt;""),ErrorMsgs!$D887)</f>
        <v>0</v>
      </c>
      <c r="N887" s="712" t="b">
        <f ca="1">IF(AND('Asset-backed contributions'!$C$7&gt;=2,'Asset-backed contributions'!$C$27=RefData!$B$188,'Reconciliation report'!$E887=""),ErrorMsgs!$E887)</f>
        <v>0</v>
      </c>
      <c r="O887" s="712" t="b">
        <f ca="1">IF(E887="",FALSE,IF(NOT(ISNUMBER($E887)),ErrorMsgs!$F887))</f>
        <v>0</v>
      </c>
      <c r="P887" s="712" t="b">
        <f ca="1">IF($E887&lt;'Start here'!$C$21,ErrorMsgs!$G887)</f>
        <v>0</v>
      </c>
      <c r="Q887" s="712"/>
      <c r="R887" s="712"/>
      <c r="S887" s="712"/>
      <c r="T887" s="712"/>
      <c r="U887" s="526" t="str">
        <f t="shared" ca="1" si="118"/>
        <v/>
      </c>
      <c r="V887" s="93" t="str" cm="1">
        <f t="array" aca="1" ref="V887" ca="1">CELL("format",INDIRECT(I887))</f>
        <v>D1</v>
      </c>
      <c r="W887" s="93" t="b">
        <f t="shared" ca="1" si="119"/>
        <v>0</v>
      </c>
      <c r="X887" s="715" t="str">
        <f t="shared" ca="1" si="117"/>
        <v/>
      </c>
      <c r="Y887" t="b">
        <f t="shared" ca="1" si="120"/>
        <v>1</v>
      </c>
    </row>
    <row r="888" spans="1:25" ht="77.5">
      <c r="A888" s="705" t="s">
        <v>3534</v>
      </c>
      <c r="B888" s="716" t="str">
        <f t="shared" ca="1" si="113"/>
        <v>Asset-backed contributions - C29</v>
      </c>
      <c r="C888" s="707" t="str" cm="1">
        <f t="array" aca="1" ref="C888" ca="1">INDIRECT(LEFT(I888, FIND("!", I888)) &amp; RefData!$C$426 &amp; RIGHT(I888, LEN(I888) - FIND("!", I888) - 1))</f>
        <v xml:space="preserve">
No answer required
Maturity date narrative
</v>
      </c>
      <c r="D888" s="92" t="str">
        <f t="shared" ca="1" si="123"/>
        <v/>
      </c>
      <c r="E888" s="708" t="str" cm="1">
        <f t="array" aca="1" ref="E888" ca="1">IF(INDIRECT($I888)= "", "", INDIRECT($I888))</f>
        <v/>
      </c>
      <c r="F888" s="709" t="str" cm="1">
        <f t="array" aca="1" ref="F888" ca="1">INDIRECT(LEFT(I888, FIND("!", I888)) &amp; RefData!$C$427 &amp; RIGHT(I888, LEN(I888) - FIND("!", I888) - 1))</f>
        <v>ABC 7.0/2</v>
      </c>
      <c r="G888" s="710" t="b">
        <f ca="1">IF(ISNUMBER(SEARCH(RefData!$B$2, $C888)), FALSE, TRUE)</f>
        <v>0</v>
      </c>
      <c r="H888" s="344">
        <f>'Asset-backed contributions'!C29</f>
        <v>0</v>
      </c>
      <c r="I888" s="712" t="str">
        <f t="shared" ca="1" si="114"/>
        <v>'Asset-backed contributions'!C29</v>
      </c>
      <c r="J888" s="713" t="b" cm="1">
        <f t="array" aca="1" ref="J888" ca="1">IF(COUNTIF($K888:$T888, "&lt;&gt;FALSE") - COUNTBLANK($K888:$T888) &gt; 0, INDEX($K888:$T888, MATCH(TRUE, $K888:$T888 &lt;&gt; FALSE, 0)))</f>
        <v>0</v>
      </c>
      <c r="K888" s="712" t="b">
        <f ca="1">IF(AND('Asset-backed contributions'!$C$7=0,'Reconciliation report'!$E888&lt;&gt;""),ErrorMsgs!$B888)</f>
        <v>0</v>
      </c>
      <c r="L888" s="712" t="b">
        <f ca="1">IF(AND('Asset-backed contributions'!$C$7&lt;2,'Reconciliation report'!$E888&lt;&gt;""),ErrorMsgs!$C888)</f>
        <v>0</v>
      </c>
      <c r="M888" s="712" t="b">
        <f ca="1">IF(AND('Asset-backed contributions'!$C$7&gt;=2,'Asset-backed contributions'!$C$27&lt;&gt;RefData!$B$189,'Reconciliation report'!$E888&lt;&gt;""),ErrorMsgs!$D888)</f>
        <v>0</v>
      </c>
      <c r="N888" s="712" t="b">
        <f ca="1">IF(AND('Asset-backed contributions'!$C$7&gt;=2,'Asset-backed contributions'!$C$27=RefData!$B$189,'Reconciliation report'!$E888=""),ErrorMsgs!$E888)</f>
        <v>0</v>
      </c>
      <c r="O888" s="712" t="b">
        <f ca="1">IF(LEN($E888)&gt;4000,ErrorMsgs!$F888)</f>
        <v>0</v>
      </c>
      <c r="P888" s="712"/>
      <c r="Q888" s="712"/>
      <c r="R888" s="712"/>
      <c r="S888" s="712"/>
      <c r="T888" s="712"/>
      <c r="U888" s="526" t="str">
        <f t="shared" ca="1" si="118"/>
        <v/>
      </c>
      <c r="V888" s="93" t="str" cm="1">
        <f t="array" aca="1" ref="V888" ca="1">CELL("format",INDIRECT(I888))</f>
        <v>G</v>
      </c>
      <c r="W888" s="93" t="b">
        <f t="shared" ca="1" si="119"/>
        <v>0</v>
      </c>
      <c r="X888" s="715" t="str">
        <f t="shared" ca="1" si="117"/>
        <v/>
      </c>
      <c r="Y888" t="b">
        <f t="shared" ca="1" si="120"/>
        <v>1</v>
      </c>
    </row>
    <row r="889" spans="1:25" ht="77.5">
      <c r="A889" s="705" t="s">
        <v>3535</v>
      </c>
      <c r="B889" s="716" t="str">
        <f t="shared" ca="1" si="113"/>
        <v>Asset-backed contributions - C30</v>
      </c>
      <c r="C889" s="707" t="str" cm="1">
        <f t="array" aca="1" ref="C889" ca="1">INDIRECT(LEFT(I889, FIND("!", I889)) &amp; RefData!$C$426 &amp; RIGHT(I889, LEN(I889) - FIND("!", I889) - 1))</f>
        <v xml:space="preserve">
No answer required
Net present value (NPV) (£)
</v>
      </c>
      <c r="D889" s="92" t="str">
        <f t="shared" ca="1" si="123"/>
        <v/>
      </c>
      <c r="E889" s="708" t="str" cm="1">
        <f t="array" aca="1" ref="E889" ca="1">IF(INDIRECT($I889)= "", "", INDIRECT($I889))</f>
        <v/>
      </c>
      <c r="F889" s="709" t="str" cm="1">
        <f t="array" aca="1" ref="F889" ca="1">INDIRECT(LEFT(I889, FIND("!", I889)) &amp; RefData!$C$427 &amp; RIGHT(I889, LEN(I889) - FIND("!", I889) - 1))</f>
        <v>ABC 8.0/2</v>
      </c>
      <c r="G889" s="710" t="b">
        <f ca="1">IF(ISNUMBER(SEARCH(RefData!$B$2, $C889)), FALSE, TRUE)</f>
        <v>0</v>
      </c>
      <c r="H889" s="344">
        <f>'Asset-backed contributions'!C30</f>
        <v>0</v>
      </c>
      <c r="I889" s="712" t="str">
        <f t="shared" ca="1" si="114"/>
        <v>'Asset-backed contributions'!C30</v>
      </c>
      <c r="J889" s="713" t="b" cm="1">
        <f t="array" aca="1" ref="J889" ca="1">IF(COUNTIF($K889:$T889, "&lt;&gt;FALSE") - COUNTBLANK($K889:$T889) &gt; 0, INDEX($K889:$T889, MATCH(TRUE, $K889:$T889 &lt;&gt; FALSE, 0)))</f>
        <v>0</v>
      </c>
      <c r="K889" s="712" t="b">
        <f ca="1">IF(AND('Asset-backed contributions'!$C$7=0,'Reconciliation report'!$E889&lt;&gt;""),ErrorMsgs!$B889)</f>
        <v>0</v>
      </c>
      <c r="L889" s="712" t="b">
        <f ca="1">IF(AND('Asset-backed contributions'!$C$7&lt;2,'Reconciliation report'!$E889&lt;&gt;""),ErrorMsgs!$C889)</f>
        <v>0</v>
      </c>
      <c r="M889" s="712" t="b">
        <f ca="1">IF(AND('Asset-backed contributions'!$C$7&gt;=2,'Reconciliation report'!$E889=""),ErrorMsgs!$D889)</f>
        <v>0</v>
      </c>
      <c r="N889" s="712" t="b">
        <f ca="1">IF($E889="",FALSE,IF(NOT(ISNUMBER($E889)),ErrorMsgs!$E889,IF(OR(VALUE($E889)-ROUND(VALUE($E889),2),VALUE($E889)&lt;0,VALUE($E889)&gt;=1000000000000),ErrorMsgs!$E889)))</f>
        <v>0</v>
      </c>
      <c r="O889" s="714"/>
      <c r="P889" s="712"/>
      <c r="Q889" s="712"/>
      <c r="R889" s="712"/>
      <c r="S889" s="712"/>
      <c r="T889" s="712"/>
      <c r="U889" s="526" t="str">
        <f t="shared" ca="1" si="118"/>
        <v/>
      </c>
      <c r="V889" s="93" t="str" cm="1">
        <f t="array" aca="1" ref="V889" ca="1">CELL("format",INDIRECT(I889))</f>
        <v>C2</v>
      </c>
      <c r="W889" s="93" t="b">
        <f t="shared" ca="1" si="119"/>
        <v>0</v>
      </c>
      <c r="X889" s="715" t="str">
        <f t="shared" ca="1" si="117"/>
        <v/>
      </c>
      <c r="Y889" t="b">
        <f t="shared" ca="1" si="120"/>
        <v>1</v>
      </c>
    </row>
    <row r="890" spans="1:25" ht="77.5">
      <c r="A890" s="705" t="s">
        <v>3536</v>
      </c>
      <c r="B890" s="716" t="str">
        <f t="shared" ca="1" si="113"/>
        <v>Asset-backed contributions - C31</v>
      </c>
      <c r="C890" s="707" t="str" cm="1">
        <f t="array" aca="1" ref="C890" ca="1">INDIRECT(LEFT(I890, FIND("!", I890)) &amp; RefData!$C$426 &amp; RIGHT(I890, LEN(I890) - FIND("!", I890) - 1))</f>
        <v xml:space="preserve">
No answer required
Date NPV calculated
</v>
      </c>
      <c r="D890" s="92" t="str">
        <f t="shared" ca="1" si="123"/>
        <v/>
      </c>
      <c r="E890" s="708" t="str" cm="1">
        <f t="array" aca="1" ref="E890" ca="1">IF(INDIRECT($I890)= "", "", INDIRECT($I890))</f>
        <v/>
      </c>
      <c r="F890" s="709" t="str" cm="1">
        <f t="array" aca="1" ref="F890" ca="1">INDIRECT(LEFT(I890, FIND("!", I890)) &amp; RefData!$C$427 &amp; RIGHT(I890, LEN(I890) - FIND("!", I890) - 1))</f>
        <v>ABC 9.0/2</v>
      </c>
      <c r="G890" s="710" t="b">
        <f ca="1">IF(ISNUMBER(SEARCH(RefData!$B$2, $C890)), FALSE, TRUE)</f>
        <v>0</v>
      </c>
      <c r="H890" s="344">
        <f>'Asset-backed contributions'!C31</f>
        <v>0</v>
      </c>
      <c r="I890" s="712" t="str">
        <f t="shared" ca="1" si="114"/>
        <v>'Asset-backed contributions'!C31</v>
      </c>
      <c r="J890" s="713" t="b" cm="1">
        <f t="array" aca="1" ref="J890" ca="1">IF(COUNTIF($K890:$T890, "&lt;&gt;FALSE") - COUNTBLANK($K890:$T890) &gt; 0, INDEX($K890:$T890, MATCH(TRUE, $K890:$T890 &lt;&gt; FALSE, 0)))</f>
        <v>0</v>
      </c>
      <c r="K890" s="712" t="b">
        <f ca="1">IF(AND('Asset-backed contributions'!$C$7=0,'Reconciliation report'!$E890&lt;&gt;""),ErrorMsgs!$B890)</f>
        <v>0</v>
      </c>
      <c r="L890" s="712" t="b">
        <f ca="1">IF(AND('Asset-backed contributions'!$C$7&lt;2,'Reconciliation report'!$E890&lt;&gt;""),ErrorMsgs!$C890)</f>
        <v>0</v>
      </c>
      <c r="M890" s="712" t="b">
        <f ca="1">IF(AND('Asset-backed contributions'!$C$7&gt;=2,'Reconciliation report'!$E890=""),ErrorMsgs!$D890)</f>
        <v>0</v>
      </c>
      <c r="N890" s="712" t="b">
        <f ca="1">IF($E890="",FALSE,IF(NOT(ISNUMBER($E890)),ErrorMsgs!$E890))</f>
        <v>0</v>
      </c>
      <c r="O890" s="712" t="b">
        <f ca="1">IF($E890="",FALSE,IF(VALUE($E890)&gt;TODAY(),ErrorMsgs!$F890))</f>
        <v>0</v>
      </c>
      <c r="P890" s="712"/>
      <c r="Q890" s="712"/>
      <c r="R890" s="712"/>
      <c r="S890" s="712"/>
      <c r="T890" s="712"/>
      <c r="U890" s="526" t="str">
        <f t="shared" ca="1" si="118"/>
        <v/>
      </c>
      <c r="V890" s="93" t="str" cm="1">
        <f t="array" aca="1" ref="V890" ca="1">CELL("format",INDIRECT(I890))</f>
        <v>D1</v>
      </c>
      <c r="W890" s="93" t="b">
        <f t="shared" ca="1" si="119"/>
        <v>0</v>
      </c>
      <c r="X890" s="715" t="str">
        <f t="shared" ca="1" si="117"/>
        <v/>
      </c>
      <c r="Y890" t="b">
        <f t="shared" ca="1" si="120"/>
        <v>1</v>
      </c>
    </row>
    <row r="891" spans="1:25" ht="77.5">
      <c r="A891" s="705" t="s">
        <v>3537</v>
      </c>
      <c r="B891" s="716" t="str">
        <f t="shared" ca="1" si="113"/>
        <v>Asset-backed contributions - C32</v>
      </c>
      <c r="C891" s="707" t="str" cm="1">
        <f t="array" aca="1" ref="C891" ca="1">INDIRECT(LEFT(I891, FIND("!", I891)) &amp; RefData!$C$426 &amp; RIGHT(I891, LEN(I891) - FIND("!", I891) - 1))</f>
        <v xml:space="preserve">
No answer required
Value of underlying asset (£) (optional)
</v>
      </c>
      <c r="D891" s="92" t="str">
        <f t="shared" ca="1" si="123"/>
        <v/>
      </c>
      <c r="E891" s="708" t="str" cm="1">
        <f t="array" aca="1" ref="E891" ca="1">IF(INDIRECT($I891)= "", "", INDIRECT($I891))</f>
        <v/>
      </c>
      <c r="F891" s="709" t="str" cm="1">
        <f t="array" aca="1" ref="F891" ca="1">INDIRECT(LEFT(I891, FIND("!", I891)) &amp; RefData!$C$427 &amp; RIGHT(I891, LEN(I891) - FIND("!", I891) - 1))</f>
        <v>ABC 10.0/2</v>
      </c>
      <c r="G891" s="710" t="b">
        <f ca="1">IF(ISNUMBER(SEARCH(RefData!$B$2, $C891)), FALSE, TRUE)</f>
        <v>0</v>
      </c>
      <c r="H891" s="344">
        <f>'Asset-backed contributions'!C32</f>
        <v>0</v>
      </c>
      <c r="I891" s="712" t="str">
        <f t="shared" ca="1" si="114"/>
        <v>'Asset-backed contributions'!C32</v>
      </c>
      <c r="J891" s="713" t="b" cm="1">
        <f t="array" aca="1" ref="J891" ca="1">IF(COUNTIF($K891:$T891, "&lt;&gt;FALSE") - COUNTBLANK($K891:$T891) &gt; 0, INDEX($K891:$T891, MATCH(TRUE, $K891:$T891 &lt;&gt; FALSE, 0)))</f>
        <v>0</v>
      </c>
      <c r="K891" s="712" t="b">
        <f ca="1">IF(AND('Asset-backed contributions'!$C$7=0,'Reconciliation report'!$E891&lt;&gt;""),ErrorMsgs!$B891)</f>
        <v>0</v>
      </c>
      <c r="L891" s="712" t="b">
        <f ca="1">IF(AND('Asset-backed contributions'!$C$7&lt;2,'Reconciliation report'!$E891&lt;&gt;""),ErrorMsgs!$C891)</f>
        <v>0</v>
      </c>
      <c r="M891" s="712" t="b">
        <f ca="1">IF($E891="",FALSE,IF(ISERROR(VALUE($E891)),ErrorMsgs!$D891,IF(OR(VALUE($E891)-ROUND(VALUE($E891),2),VALUE($E891)&lt;0,VALUE($E891)&gt;=1000000000000),ErrorMsgs!$D891)))</f>
        <v>0</v>
      </c>
      <c r="N891" s="712"/>
      <c r="O891" s="712"/>
      <c r="P891" s="712"/>
      <c r="Q891" s="712"/>
      <c r="R891" s="712"/>
      <c r="S891" s="712"/>
      <c r="T891" s="712"/>
      <c r="U891" s="526" t="str">
        <f t="shared" ca="1" si="118"/>
        <v/>
      </c>
      <c r="V891" s="93" t="str" cm="1">
        <f t="array" aca="1" ref="V891" ca="1">CELL("format",INDIRECT(I891))</f>
        <v>C2</v>
      </c>
      <c r="W891" s="93" t="b">
        <f t="shared" ca="1" si="119"/>
        <v>0</v>
      </c>
      <c r="X891" s="715" t="str">
        <f t="shared" ca="1" si="117"/>
        <v/>
      </c>
      <c r="Y891" t="b">
        <f t="shared" ca="1" si="120"/>
        <v>1</v>
      </c>
    </row>
    <row r="892" spans="1:25" ht="77.5">
      <c r="A892" s="705" t="s">
        <v>3538</v>
      </c>
      <c r="B892" s="716" t="str">
        <f t="shared" ca="1" si="113"/>
        <v>Asset-backed contributions - C33</v>
      </c>
      <c r="C892" s="707" t="str" cm="1">
        <f t="array" aca="1" ref="C892" ca="1">INDIRECT(LEFT(I892, FIND("!", I892)) &amp; RefData!$C$426 &amp; RIGHT(I892, LEN(I892) - FIND("!", I892) - 1))</f>
        <v xml:space="preserve">
No answer required
Date of valuation of underlying asset (optional)
</v>
      </c>
      <c r="D892" s="92" t="str">
        <f t="shared" ca="1" si="123"/>
        <v/>
      </c>
      <c r="E892" s="708" t="str" cm="1">
        <f t="array" aca="1" ref="E892" ca="1">IF(INDIRECT($I892)= "", "", INDIRECT($I892))</f>
        <v/>
      </c>
      <c r="F892" s="709" t="str" cm="1">
        <f t="array" aca="1" ref="F892" ca="1">INDIRECT(LEFT(I892, FIND("!", I892)) &amp; RefData!$C$427 &amp; RIGHT(I892, LEN(I892) - FIND("!", I892) - 1))</f>
        <v>ABC 11.0/2</v>
      </c>
      <c r="G892" s="710" t="b">
        <f ca="1">IF(ISNUMBER(SEARCH(RefData!$B$2, $C892)), FALSE, TRUE)</f>
        <v>0</v>
      </c>
      <c r="H892" s="344">
        <f>'Asset-backed contributions'!C33</f>
        <v>0</v>
      </c>
      <c r="I892" s="712" t="str">
        <f t="shared" ca="1" si="114"/>
        <v>'Asset-backed contributions'!C33</v>
      </c>
      <c r="J892" s="713" t="b" cm="1">
        <f t="array" aca="1" ref="J892" ca="1">IF(COUNTIF($K892:$T892, "&lt;&gt;FALSE") - COUNTBLANK($K892:$T892) &gt; 0, INDEX($K892:$T892, MATCH(TRUE, $K892:$T892 &lt;&gt; FALSE, 0)))</f>
        <v>0</v>
      </c>
      <c r="K892" s="712" t="b">
        <f ca="1">IF(AND('Asset-backed contributions'!$C$7=0,'Reconciliation report'!$E892&lt;&gt;""),ErrorMsgs!$B892)</f>
        <v>0</v>
      </c>
      <c r="L892" s="712" t="b">
        <f ca="1">IF(AND('Asset-backed contributions'!$C$7&lt;2,'Reconciliation report'!$E892&lt;&gt;""),ErrorMsgs!$C892)</f>
        <v>0</v>
      </c>
      <c r="M892" s="712" t="b">
        <f ca="1">IF($E892="",FALSE,IF(AND('Asset-backed contributions'!$C$7&gt;=2,NOT(ISNUMBER($E892))),ErrorMsgs!$D892))</f>
        <v>0</v>
      </c>
      <c r="N892" s="712" t="b">
        <f ca="1">IF(E892="",FALSE,IF(VALUE($E892)&gt;TODAY(),ErrorMsgs!$E892))</f>
        <v>0</v>
      </c>
      <c r="O892" s="712"/>
      <c r="P892" s="712"/>
      <c r="Q892" s="712"/>
      <c r="R892" s="712"/>
      <c r="S892" s="712"/>
      <c r="T892" s="712"/>
      <c r="U892" s="526" t="str">
        <f t="shared" ca="1" si="118"/>
        <v/>
      </c>
      <c r="V892" s="93" t="str" cm="1">
        <f t="array" aca="1" ref="V892" ca="1">CELL("format",INDIRECT(I892))</f>
        <v>D1</v>
      </c>
      <c r="W892" s="93" t="b">
        <f t="shared" ca="1" si="119"/>
        <v>0</v>
      </c>
      <c r="X892" s="715" t="str">
        <f t="shared" ca="1" si="117"/>
        <v/>
      </c>
      <c r="Y892" t="b">
        <f t="shared" ca="1" si="120"/>
        <v>1</v>
      </c>
    </row>
    <row r="893" spans="1:25" ht="62">
      <c r="A893" s="705" t="s">
        <v>3539</v>
      </c>
      <c r="B893" s="716" t="str">
        <f t="shared" ca="1" si="113"/>
        <v>Asset-backed contributions - C34</v>
      </c>
      <c r="C893" s="707" t="str" cm="1">
        <f t="array" aca="1" ref="C893" ca="1">INDIRECT(LEFT(I893, FIND("!", I893)) &amp; RefData!$C$426 &amp; RIGHT(I893, LEN(I893) - FIND("!", I893) - 1))</f>
        <v xml:space="preserve">
Triggers for any cessation of payment schedule, or for termination of ABC
</v>
      </c>
      <c r="D893" s="92" t="str">
        <f t="shared" ca="1" si="123"/>
        <v/>
      </c>
      <c r="E893" s="708" t="str" cm="1">
        <f t="array" aca="1" ref="E893" ca="1">IF(INDIRECT($I893)= "", "", INDIRECT($I893))</f>
        <v/>
      </c>
      <c r="F893" s="709" t="str" cm="1">
        <f t="array" aca="1" ref="F893" ca="1">INDIRECT(LEFT(I893, FIND("!", I893)) &amp; RefData!$C$427 &amp; RIGHT(I893, LEN(I893) - FIND("!", I893) - 1))</f>
        <v>ABC 12.0/2</v>
      </c>
      <c r="G893" s="710" t="b">
        <f ca="1">IF(ISNUMBER(SEARCH(RefData!$B$2, $C893)), FALSE, TRUE)</f>
        <v>1</v>
      </c>
      <c r="H893" s="344">
        <f>'Asset-backed contributions'!C34</f>
        <v>0</v>
      </c>
      <c r="I893" s="712" t="str">
        <f t="shared" ca="1" si="114"/>
        <v>'Asset-backed contributions'!C34</v>
      </c>
      <c r="J893" s="713" t="b" cm="1">
        <f t="array" aca="1" ref="J893" ca="1">IF(COUNTIF($K893:$T893, "&lt;&gt;FALSE") - COUNTBLANK($K893:$T893) &gt; 0, INDEX($K893:$T893, MATCH(TRUE, $K893:$T893 &lt;&gt; FALSE, 0)))</f>
        <v>0</v>
      </c>
      <c r="K893" s="712" t="b">
        <f ca="1">IF(AND('Start here'!$C$26=RefData!$B$9,'Reconciliation report'!$E893&lt;&gt;""),ErrorMsgs!$B893)</f>
        <v>0</v>
      </c>
      <c r="L893" s="712" t="b">
        <f ca="1">IF(AND('Start here'!$C$26=RefData!$B$10,'Asset-backed contributions'!$C$7=0,'Reconciliation report'!$E893&lt;&gt;""),ErrorMsgs!$C893)</f>
        <v>0</v>
      </c>
      <c r="M893" s="712" t="b">
        <f ca="1">IF(AND('Start here'!$C$26=RefData!$B$10,'Asset-backed contributions'!$C$7&lt;2,'Reconciliation report'!$E893&lt;&gt;""),ErrorMsgs!$D893)</f>
        <v>0</v>
      </c>
      <c r="N893" s="712" t="b">
        <f ca="1">IF(AND('Start here'!$C$26=RefData!$B$10,'Asset-backed contributions'!$C$7&gt;=2,'Reconciliation report'!$E893=""),ErrorMsgs!$E893)</f>
        <v>0</v>
      </c>
      <c r="O893" s="712" t="b">
        <f ca="1">IF(LEN($E893)&gt;4000,ErrorMsgs!$F893)</f>
        <v>0</v>
      </c>
      <c r="P893" s="712"/>
      <c r="Q893" s="712"/>
      <c r="R893" s="712"/>
      <c r="S893" s="712"/>
      <c r="T893" s="712"/>
      <c r="U893" s="526" t="str">
        <f t="shared" ca="1" si="118"/>
        <v/>
      </c>
      <c r="V893" s="93" t="str" cm="1">
        <f t="array" aca="1" ref="V893" ca="1">CELL("format",INDIRECT(I893))</f>
        <v>G</v>
      </c>
      <c r="W893" s="93" t="b">
        <f t="shared" ca="1" si="119"/>
        <v>0</v>
      </c>
      <c r="X893" s="715" t="str">
        <f t="shared" ca="1" si="117"/>
        <v/>
      </c>
      <c r="Y893" t="b">
        <f t="shared" ca="1" si="120"/>
        <v>1</v>
      </c>
    </row>
    <row r="894" spans="1:25" ht="93">
      <c r="A894" s="705" t="s">
        <v>3540</v>
      </c>
      <c r="B894" s="716" t="str">
        <f t="shared" ca="1" si="113"/>
        <v>Asset-backed contributions - C38</v>
      </c>
      <c r="C894" s="707" t="str" cm="1">
        <f t="array" aca="1" ref="C894" ca="1">INDIRECT(LEFT(I894, FIND("!", I894)) &amp; RefData!$C$426 &amp; RIGHT(I894, LEN(I894) - FIND("!", I894) - 1))</f>
        <v xml:space="preserve">
No answer required
What is the type of security underlying the asset backed contribution arrangement?
</v>
      </c>
      <c r="D894" s="92" t="str">
        <f t="shared" ref="D894:D903" ca="1" si="124">""&amp;IF(J894=FALSE, "", J894)
&amp;""</f>
        <v/>
      </c>
      <c r="E894" s="708" t="str" cm="1">
        <f t="array" aca="1" ref="E894" ca="1">IF(INDIRECT($I894)= "", "", INDIRECT($I894))</f>
        <v/>
      </c>
      <c r="F894" s="709" t="str" cm="1">
        <f t="array" aca="1" ref="F894" ca="1">INDIRECT(LEFT(I894, FIND("!", I894)) &amp; RefData!$C$427 &amp; RIGHT(I894, LEN(I894) - FIND("!", I894) - 1))</f>
        <v>ABC 3.0/3</v>
      </c>
      <c r="G894" s="710" t="b">
        <f ca="1">IF(ISNUMBER(SEARCH(RefData!$B$2, $C894)), FALSE, TRUE)</f>
        <v>0</v>
      </c>
      <c r="H894" s="344">
        <f>'Asset-backed contributions'!C38</f>
        <v>0</v>
      </c>
      <c r="I894" s="712" t="str">
        <f t="shared" ca="1" si="114"/>
        <v>'Asset-backed contributions'!C38</v>
      </c>
      <c r="J894" s="713" t="b" cm="1">
        <f t="array" aca="1" ref="J894" ca="1">IF(COUNTIF($K894:$T894, "&lt;&gt;FALSE") - COUNTBLANK($K894:$T894) &gt; 0, INDEX($K894:$T894, MATCH(TRUE, $K894:$T894 &lt;&gt; FALSE, 0)))</f>
        <v>0</v>
      </c>
      <c r="K894" s="712" t="b">
        <f ca="1">IF(AND('Asset-backed contributions'!$C$7=0,'Reconciliation report'!$E894&lt;&gt;""),ErrorMsgs!$B894)</f>
        <v>0</v>
      </c>
      <c r="L894" s="712" t="b">
        <f ca="1">IF(AND('Asset-backed contributions'!$C$7&lt;3,'Reconciliation report'!$E894&lt;&gt;""),ErrorMsgs!$C894)</f>
        <v>0</v>
      </c>
      <c r="M894" s="712" t="b">
        <f ca="1">IF(AND('Asset-backed contributions'!$C$7&gt;=3,'Reconciliation report'!$E894=""),ErrorMsgs!$D894)</f>
        <v>0</v>
      </c>
      <c r="N894" s="712" t="b">
        <f ca="1">IF(AND(ISNA(MATCH($E894,RefData!$B$181:$B$186, 0)), $E894&lt;&gt;""),ErrorMsgs!$E894)</f>
        <v>0</v>
      </c>
      <c r="O894" s="712"/>
      <c r="P894" s="712"/>
      <c r="Q894" s="712"/>
      <c r="R894" s="712"/>
      <c r="S894" s="712"/>
      <c r="T894" s="712"/>
      <c r="U894" s="526" t="str">
        <f t="shared" ca="1" si="118"/>
        <v/>
      </c>
      <c r="V894" s="93" t="str" cm="1">
        <f t="array" aca="1" ref="V894" ca="1">CELL("format",INDIRECT(I894))</f>
        <v>G</v>
      </c>
      <c r="W894" s="93" t="b">
        <f t="shared" ca="1" si="119"/>
        <v>0</v>
      </c>
      <c r="X894" s="715" t="str">
        <f t="shared" ca="1" si="117"/>
        <v/>
      </c>
      <c r="Y894" t="b">
        <f t="shared" ca="1" si="120"/>
        <v>1</v>
      </c>
    </row>
    <row r="895" spans="1:25" ht="77.5">
      <c r="A895" s="705" t="s">
        <v>3541</v>
      </c>
      <c r="B895" s="716" t="str">
        <f t="shared" ca="1" si="113"/>
        <v>Asset-backed contributions - C39</v>
      </c>
      <c r="C895" s="707" t="str" cm="1">
        <f t="array" aca="1" ref="C895" ca="1">INDIRECT(LEFT(I895, FIND("!", I895)) &amp; RefData!$C$426 &amp; RIGHT(I895, LEN(I895) - FIND("!", I895) - 1))</f>
        <v xml:space="preserve">
No answer required
A summary of the underlying asset
</v>
      </c>
      <c r="D895" s="92" t="str">
        <f t="shared" ca="1" si="124"/>
        <v/>
      </c>
      <c r="E895" s="708" t="str" cm="1">
        <f t="array" aca="1" ref="E895" ca="1">IF(INDIRECT($I895)= "", "", INDIRECT($I895))</f>
        <v/>
      </c>
      <c r="F895" s="709" t="str" cm="1">
        <f t="array" aca="1" ref="F895" ca="1">INDIRECT(LEFT(I895, FIND("!", I895)) &amp; RefData!$C$427 &amp; RIGHT(I895, LEN(I895) - FIND("!", I895) - 1))</f>
        <v>ABC 4.0/3</v>
      </c>
      <c r="G895" s="710" t="b">
        <f ca="1">IF(ISNUMBER(SEARCH(RefData!$B$2, $C895)), FALSE, TRUE)</f>
        <v>0</v>
      </c>
      <c r="H895" s="344">
        <f>'Asset-backed contributions'!C39</f>
        <v>0</v>
      </c>
      <c r="I895" s="712" t="str">
        <f t="shared" ca="1" si="114"/>
        <v>'Asset-backed contributions'!C39</v>
      </c>
      <c r="J895" s="713" t="b" cm="1">
        <f t="array" aca="1" ref="J895" ca="1">IF(COUNTIF($K895:$T895, "&lt;&gt;FALSE") - COUNTBLANK($K895:$T895) &gt; 0, INDEX($K895:$T895, MATCH(TRUE, $K895:$T895 &lt;&gt; FALSE, 0)))</f>
        <v>0</v>
      </c>
      <c r="K895" s="712" t="b">
        <f ca="1">IF(AND('Asset-backed contributions'!$C$7=0,'Reconciliation report'!$E895&lt;&gt;""),ErrorMsgs!$B895)</f>
        <v>0</v>
      </c>
      <c r="L895" s="712" t="b">
        <f ca="1">IF(AND('Asset-backed contributions'!$C$7&lt;3,'Reconciliation report'!$E895&lt;&gt;""),ErrorMsgs!$C895)</f>
        <v>0</v>
      </c>
      <c r="M895" s="712" t="b">
        <f ca="1">IF(AND('Asset-backed contributions'!$C$7&gt;=3,'Reconciliation report'!$E895=""),ErrorMsgs!$D895)</f>
        <v>0</v>
      </c>
      <c r="N895" s="712" t="b">
        <f ca="1">IF(LEN($E895)&gt;4000,ErrorMsgs!$E895)</f>
        <v>0</v>
      </c>
      <c r="O895" s="712"/>
      <c r="P895" s="712"/>
      <c r="Q895" s="712"/>
      <c r="R895" s="712"/>
      <c r="S895" s="712"/>
      <c r="T895" s="712"/>
      <c r="U895" s="526" t="str">
        <f t="shared" ca="1" si="118"/>
        <v/>
      </c>
      <c r="V895" s="93" t="str" cm="1">
        <f t="array" aca="1" ref="V895" ca="1">CELL("format",INDIRECT(I895))</f>
        <v>G</v>
      </c>
      <c r="W895" s="93" t="b">
        <f t="shared" ca="1" si="119"/>
        <v>0</v>
      </c>
      <c r="X895" s="715" t="str">
        <f t="shared" ca="1" si="117"/>
        <v/>
      </c>
      <c r="Y895" t="b">
        <f t="shared" ca="1" si="120"/>
        <v>1</v>
      </c>
    </row>
    <row r="896" spans="1:25" ht="77.5">
      <c r="A896" s="705" t="s">
        <v>3542</v>
      </c>
      <c r="B896" s="716" t="str">
        <f t="shared" ca="1" si="113"/>
        <v>Asset-backed contributions - C40</v>
      </c>
      <c r="C896" s="707" t="str" cm="1">
        <f t="array" aca="1" ref="C896" ca="1">INDIRECT(LEFT(I896, FIND("!", I896)) &amp; RefData!$C$426 &amp; RIGHT(I896, LEN(I896) - FIND("!", I896) - 1))</f>
        <v xml:space="preserve">
No answer required
Maturity type
</v>
      </c>
      <c r="D896" s="92" t="str">
        <f t="shared" ca="1" si="124"/>
        <v/>
      </c>
      <c r="E896" s="708" t="str" cm="1">
        <f t="array" aca="1" ref="E896" ca="1">IF(INDIRECT($I896)= "", "", INDIRECT($I896))</f>
        <v/>
      </c>
      <c r="F896" s="709" t="str" cm="1">
        <f t="array" aca="1" ref="F896" ca="1">INDIRECT(LEFT(I896, FIND("!", I896)) &amp; RefData!$C$427 &amp; RIGHT(I896, LEN(I896) - FIND("!", I896) - 1))</f>
        <v>ABC 5.0/3</v>
      </c>
      <c r="G896" s="710" t="b">
        <f ca="1">IF(ISNUMBER(SEARCH(RefData!$B$2, $C896)), FALSE, TRUE)</f>
        <v>0</v>
      </c>
      <c r="H896" s="344">
        <f>'Asset-backed contributions'!C40</f>
        <v>0</v>
      </c>
      <c r="I896" s="712" t="str">
        <f t="shared" ca="1" si="114"/>
        <v>'Asset-backed contributions'!C40</v>
      </c>
      <c r="J896" s="713" t="b" cm="1">
        <f t="array" aca="1" ref="J896" ca="1">IF(COUNTIF($K896:$T896, "&lt;&gt;FALSE") - COUNTBLANK($K896:$T896) &gt; 0, INDEX($K896:$T896, MATCH(TRUE, $K896:$T896 &lt;&gt; FALSE, 0)))</f>
        <v>0</v>
      </c>
      <c r="K896" s="712" t="b">
        <f ca="1">IF(AND('Asset-backed contributions'!$C$7=0,'Reconciliation report'!$E896&lt;&gt;""),ErrorMsgs!$B896)</f>
        <v>0</v>
      </c>
      <c r="L896" s="712" t="b">
        <f ca="1">IF(AND('Asset-backed contributions'!$C$7&lt;3,'Reconciliation report'!$E896&lt;&gt;""),ErrorMsgs!$C896)</f>
        <v>0</v>
      </c>
      <c r="M896" s="712" t="b">
        <f ca="1">IF(AND('Asset-backed contributions'!$C$7&gt;=3,'Reconciliation report'!$E896=""),ErrorMsgs!$D896)</f>
        <v>0</v>
      </c>
      <c r="N896" s="712" t="b">
        <f ca="1">IF(AND(ISNA(MATCH($E896,RefData!$B$187:$B$189, 0)), $E896&lt;&gt;""),ErrorMsgs!$E896)</f>
        <v>0</v>
      </c>
      <c r="O896" s="712"/>
      <c r="P896" s="712"/>
      <c r="Q896" s="712"/>
      <c r="R896" s="712"/>
      <c r="S896" s="712"/>
      <c r="T896" s="712"/>
      <c r="U896" s="526" t="str">
        <f t="shared" ca="1" si="118"/>
        <v/>
      </c>
      <c r="V896" s="93" t="str" cm="1">
        <f t="array" aca="1" ref="V896" ca="1">CELL("format",INDIRECT(I896))</f>
        <v>G</v>
      </c>
      <c r="W896" s="93" t="b">
        <f t="shared" ca="1" si="119"/>
        <v>0</v>
      </c>
      <c r="X896" s="715" t="str">
        <f t="shared" ca="1" si="117"/>
        <v/>
      </c>
      <c r="Y896" t="b">
        <f t="shared" ca="1" si="120"/>
        <v>1</v>
      </c>
    </row>
    <row r="897" spans="1:25" ht="77.5">
      <c r="A897" s="705" t="s">
        <v>3543</v>
      </c>
      <c r="B897" s="716" t="str">
        <f t="shared" ca="1" si="113"/>
        <v>Asset-backed contributions - C41</v>
      </c>
      <c r="C897" s="707" t="str" cm="1">
        <f t="array" aca="1" ref="C897" ca="1">INDIRECT(LEFT(I897, FIND("!", I897)) &amp; RefData!$C$426 &amp; RIGHT(I897, LEN(I897) - FIND("!", I897) - 1))</f>
        <v xml:space="preserve">
No answer required
Date of maturity
</v>
      </c>
      <c r="D897" s="92" t="str">
        <f t="shared" ca="1" si="124"/>
        <v/>
      </c>
      <c r="E897" s="708" t="str" cm="1">
        <f t="array" aca="1" ref="E897" ca="1">IF(INDIRECT($I897)= "", "", INDIRECT($I897))</f>
        <v/>
      </c>
      <c r="F897" s="709" t="str" cm="1">
        <f t="array" aca="1" ref="F897" ca="1">INDIRECT(LEFT(I897, FIND("!", I897)) &amp; RefData!$C$427 &amp; RIGHT(I897, LEN(I897) - FIND("!", I897) - 1))</f>
        <v>ABC 6.0/3</v>
      </c>
      <c r="G897" s="710" t="b">
        <f ca="1">IF(ISNUMBER(SEARCH(RefData!$B$2, $C897)), FALSE, TRUE)</f>
        <v>0</v>
      </c>
      <c r="H897" s="391">
        <f>'Asset-backed contributions'!C41</f>
        <v>0</v>
      </c>
      <c r="I897" s="712" t="str">
        <f t="shared" ca="1" si="114"/>
        <v>'Asset-backed contributions'!C41</v>
      </c>
      <c r="J897" s="713" t="b" cm="1">
        <f t="array" aca="1" ref="J897" ca="1">IF(COUNTIF($K897:$T897, "&lt;&gt;FALSE") - COUNTBLANK($K897:$T897) &gt; 0, INDEX($K897:$T897, MATCH(TRUE, $K897:$T897 &lt;&gt; FALSE, 0)))</f>
        <v>0</v>
      </c>
      <c r="K897" s="712" t="b">
        <f ca="1">IF(AND('Asset-backed contributions'!$C$7=0,'Reconciliation report'!$E897&lt;&gt;""),ErrorMsgs!$B897)</f>
        <v>0</v>
      </c>
      <c r="L897" s="712" t="b">
        <f ca="1">IF(AND('Asset-backed contributions'!$C$7&lt;3,'Reconciliation report'!$E897&lt;&gt;""),ErrorMsgs!$C897)</f>
        <v>0</v>
      </c>
      <c r="M897" s="712" t="b">
        <f ca="1">IF(AND('Asset-backed contributions'!$C$7&gt;=3,OR('Asset-backed contributions'!$C$40=RefData!$B$187,'Asset-backed contributions'!$C$40=RefData!$B$189),'Reconciliation report'!$E897&lt;&gt;""),ErrorMsgs!$D897)</f>
        <v>0</v>
      </c>
      <c r="N897" s="712" t="b">
        <f ca="1">IF(AND('Asset-backed contributions'!$C$7&gt;=3,'Asset-backed contributions'!$C$40=RefData!$B$188,'Reconciliation report'!$E897=""),ErrorMsgs!$E897)</f>
        <v>0</v>
      </c>
      <c r="O897" s="712" t="b">
        <f ca="1">IF(E897="",FALSE,IF(NOT(ISNUMBER($E897)),ErrorMsgs!$F897))</f>
        <v>0</v>
      </c>
      <c r="P897" s="712" t="b">
        <f ca="1">IF($E897&lt;'Start here'!$C$21,ErrorMsgs!$G897)</f>
        <v>0</v>
      </c>
      <c r="Q897" s="712"/>
      <c r="R897" s="712"/>
      <c r="S897" s="712"/>
      <c r="T897" s="712"/>
      <c r="U897" s="526" t="str">
        <f t="shared" ca="1" si="118"/>
        <v/>
      </c>
      <c r="V897" s="93" t="str" cm="1">
        <f t="array" aca="1" ref="V897" ca="1">CELL("format",INDIRECT(I897))</f>
        <v>D1</v>
      </c>
      <c r="W897" s="93" t="b">
        <f t="shared" ca="1" si="119"/>
        <v>0</v>
      </c>
      <c r="X897" s="715" t="str">
        <f t="shared" ca="1" si="117"/>
        <v/>
      </c>
      <c r="Y897" t="b">
        <f t="shared" ca="1" si="120"/>
        <v>1</v>
      </c>
    </row>
    <row r="898" spans="1:25" ht="77.5">
      <c r="A898" s="705" t="s">
        <v>3544</v>
      </c>
      <c r="B898" s="716" t="str">
        <f t="shared" ca="1" si="113"/>
        <v>Asset-backed contributions - C42</v>
      </c>
      <c r="C898" s="707" t="str" cm="1">
        <f t="array" aca="1" ref="C898" ca="1">INDIRECT(LEFT(I898, FIND("!", I898)) &amp; RefData!$C$426 &amp; RIGHT(I898, LEN(I898) - FIND("!", I898) - 1))</f>
        <v xml:space="preserve">
No answer required
Maturity date narrative
</v>
      </c>
      <c r="D898" s="92" t="str">
        <f t="shared" ca="1" si="124"/>
        <v/>
      </c>
      <c r="E898" s="708" t="str" cm="1">
        <f t="array" aca="1" ref="E898" ca="1">IF(INDIRECT($I898)= "", "", INDIRECT($I898))</f>
        <v/>
      </c>
      <c r="F898" s="709" t="str" cm="1">
        <f t="array" aca="1" ref="F898" ca="1">INDIRECT(LEFT(I898, FIND("!", I898)) &amp; RefData!$C$427 &amp; RIGHT(I898, LEN(I898) - FIND("!", I898) - 1))</f>
        <v>ABC 7.0/3</v>
      </c>
      <c r="G898" s="710" t="b">
        <f ca="1">IF(ISNUMBER(SEARCH(RefData!$B$2, $C898)), FALSE, TRUE)</f>
        <v>0</v>
      </c>
      <c r="H898" s="344">
        <f>'Asset-backed contributions'!C42</f>
        <v>0</v>
      </c>
      <c r="I898" s="712" t="str">
        <f t="shared" ca="1" si="114"/>
        <v>'Asset-backed contributions'!C42</v>
      </c>
      <c r="J898" s="713" t="b" cm="1">
        <f t="array" aca="1" ref="J898" ca="1">IF(COUNTIF($K898:$T898, "&lt;&gt;FALSE") - COUNTBLANK($K898:$T898) &gt; 0, INDEX($K898:$T898, MATCH(TRUE, $K898:$T898 &lt;&gt; FALSE, 0)))</f>
        <v>0</v>
      </c>
      <c r="K898" s="712" t="b">
        <f ca="1">IF(AND('Asset-backed contributions'!$C$7=0,'Reconciliation report'!$E898&lt;&gt;""),ErrorMsgs!$B898)</f>
        <v>0</v>
      </c>
      <c r="L898" s="712" t="b">
        <f ca="1">IF(AND('Asset-backed contributions'!$C$7&lt;3,'Reconciliation report'!$E898&lt;&gt;""),ErrorMsgs!$C898)</f>
        <v>0</v>
      </c>
      <c r="M898" s="712" t="b">
        <f ca="1">IF(AND('Asset-backed contributions'!$C$7&gt;=3,'Asset-backed contributions'!$C$40&lt;&gt;RefData!$B$189,'Reconciliation report'!$E898&lt;&gt;""),ErrorMsgs!$D898)</f>
        <v>0</v>
      </c>
      <c r="N898" s="712" t="b">
        <f ca="1">IF(AND('Asset-backed contributions'!$C$7&gt;=3,'Asset-backed contributions'!$C$40=RefData!$B$189,'Reconciliation report'!$E898=""),ErrorMsgs!$E898)</f>
        <v>0</v>
      </c>
      <c r="O898" s="712" t="b">
        <f ca="1">IF(LEN($E898)&gt;4000,ErrorMsgs!$F898)</f>
        <v>0</v>
      </c>
      <c r="P898" s="712"/>
      <c r="Q898" s="712"/>
      <c r="R898" s="712"/>
      <c r="S898" s="712"/>
      <c r="T898" s="712"/>
      <c r="U898" s="526" t="str">
        <f t="shared" ca="1" si="118"/>
        <v/>
      </c>
      <c r="V898" s="93" t="str" cm="1">
        <f t="array" aca="1" ref="V898" ca="1">CELL("format",INDIRECT(I898))</f>
        <v>G</v>
      </c>
      <c r="W898" s="93" t="b">
        <f t="shared" ca="1" si="119"/>
        <v>0</v>
      </c>
      <c r="X898" s="715" t="str">
        <f t="shared" ref="X898:X961" ca="1" si="125">IF(W898, "0." &amp; IF(V898="P2",REPT("0", MIN(4, LEN(E898) - FIND(".", E898))),REPT("0", MIN(6, LEN(E898) - FIND(".", E898)))), "")</f>
        <v/>
      </c>
      <c r="Y898" t="b">
        <f t="shared" ca="1" si="120"/>
        <v>1</v>
      </c>
    </row>
    <row r="899" spans="1:25" ht="77.5">
      <c r="A899" s="705" t="s">
        <v>3545</v>
      </c>
      <c r="B899" s="716" t="str">
        <f t="shared" ca="1" si="113"/>
        <v>Asset-backed contributions - C43</v>
      </c>
      <c r="C899" s="707" t="str" cm="1">
        <f t="array" aca="1" ref="C899" ca="1">INDIRECT(LEFT(I899, FIND("!", I899)) &amp; RefData!$C$426 &amp; RIGHT(I899, LEN(I899) - FIND("!", I899) - 1))</f>
        <v xml:space="preserve">
No answer required
Net present value (NPV) (£)
</v>
      </c>
      <c r="D899" s="92" t="str">
        <f t="shared" ca="1" si="124"/>
        <v/>
      </c>
      <c r="E899" s="708" t="str" cm="1">
        <f t="array" aca="1" ref="E899" ca="1">IF(INDIRECT($I899)= "", "", INDIRECT($I899))</f>
        <v/>
      </c>
      <c r="F899" s="709" t="str" cm="1">
        <f t="array" aca="1" ref="F899" ca="1">INDIRECT(LEFT(I899, FIND("!", I899)) &amp; RefData!$C$427 &amp; RIGHT(I899, LEN(I899) - FIND("!", I899) - 1))</f>
        <v>ABC 8.0/3</v>
      </c>
      <c r="G899" s="710" t="b">
        <f ca="1">IF(ISNUMBER(SEARCH(RefData!$B$2, $C899)), FALSE, TRUE)</f>
        <v>0</v>
      </c>
      <c r="H899" s="344">
        <f>'Asset-backed contributions'!C43</f>
        <v>0</v>
      </c>
      <c r="I899" s="712" t="str">
        <f t="shared" ca="1" si="114"/>
        <v>'Asset-backed contributions'!C43</v>
      </c>
      <c r="J899" s="713" t="b" cm="1">
        <f t="array" aca="1" ref="J899" ca="1">IF(COUNTIF($K899:$T899, "&lt;&gt;FALSE") - COUNTBLANK($K899:$T899) &gt; 0, INDEX($K899:$T899, MATCH(TRUE, $K899:$T899 &lt;&gt; FALSE, 0)))</f>
        <v>0</v>
      </c>
      <c r="K899" s="712" t="b">
        <f ca="1">IF(AND('Asset-backed contributions'!$C$7=0,'Reconciliation report'!$E899&lt;&gt;""),ErrorMsgs!$B899)</f>
        <v>0</v>
      </c>
      <c r="L899" s="712" t="b">
        <f ca="1">IF(AND('Asset-backed contributions'!$C$7&lt;3,'Reconciliation report'!$E899&lt;&gt;""),ErrorMsgs!$C899)</f>
        <v>0</v>
      </c>
      <c r="M899" s="712" t="b">
        <f ca="1">IF(AND('Asset-backed contributions'!$C$7&gt;=3,'Reconciliation report'!$E899=""),ErrorMsgs!$D899)</f>
        <v>0</v>
      </c>
      <c r="N899" s="712" t="b">
        <f ca="1">IF($E899="",FALSE,IF(NOT(ISNUMBER($E899)),ErrorMsgs!$E899,IF(OR(VALUE($E899)-ROUND(VALUE($E899),2),VALUE($E899)&lt;0,VALUE($E899)&gt;=1000000000000),ErrorMsgs!$E899)))</f>
        <v>0</v>
      </c>
      <c r="O899" s="712"/>
      <c r="P899" s="712"/>
      <c r="Q899" s="712"/>
      <c r="R899" s="712"/>
      <c r="S899" s="712"/>
      <c r="T899" s="712"/>
      <c r="U899" s="526" t="str">
        <f t="shared" ref="U899:U962" ca="1" si="126">IF(AND($W899=TRUE,$Y899=FALSE),TEXT($E899,$X899),$E899)</f>
        <v/>
      </c>
      <c r="V899" s="93" t="str" cm="1">
        <f t="array" aca="1" ref="V899" ca="1">CELL("format",INDIRECT(I899))</f>
        <v>C2</v>
      </c>
      <c r="W899" s="93" t="b">
        <f t="shared" ref="W899:W962" ca="1" si="127">IF(ISNUMBER(E899), IF(INT(E899)&lt;&gt;E899,TRUE,FALSE),FALSE)</f>
        <v>0</v>
      </c>
      <c r="X899" s="715" t="str">
        <f t="shared" ca="1" si="125"/>
        <v/>
      </c>
      <c r="Y899" t="b">
        <f t="shared" ref="Y899:Y962" ca="1" si="128">ISTEXT(E899)</f>
        <v>1</v>
      </c>
    </row>
    <row r="900" spans="1:25" ht="77.5">
      <c r="A900" s="705" t="s">
        <v>3546</v>
      </c>
      <c r="B900" s="716" t="str">
        <f t="shared" ca="1" si="113"/>
        <v>Asset-backed contributions - C44</v>
      </c>
      <c r="C900" s="707" t="str" cm="1">
        <f t="array" aca="1" ref="C900" ca="1">INDIRECT(LEFT(I900, FIND("!", I900)) &amp; RefData!$C$426 &amp; RIGHT(I900, LEN(I900) - FIND("!", I900) - 1))</f>
        <v xml:space="preserve">
No answer required
Date NPV calculated
</v>
      </c>
      <c r="D900" s="92" t="str">
        <f t="shared" ca="1" si="124"/>
        <v/>
      </c>
      <c r="E900" s="708" t="str" cm="1">
        <f t="array" aca="1" ref="E900" ca="1">IF(INDIRECT($I900)= "", "", INDIRECT($I900))</f>
        <v/>
      </c>
      <c r="F900" s="709" t="str" cm="1">
        <f t="array" aca="1" ref="F900" ca="1">INDIRECT(LEFT(I900, FIND("!", I900)) &amp; RefData!$C$427 &amp; RIGHT(I900, LEN(I900) - FIND("!", I900) - 1))</f>
        <v>ABC 9.0/3</v>
      </c>
      <c r="G900" s="710" t="b">
        <f ca="1">IF(ISNUMBER(SEARCH(RefData!$B$2, $C900)), FALSE, TRUE)</f>
        <v>0</v>
      </c>
      <c r="H900" s="344">
        <f>'Asset-backed contributions'!C44</f>
        <v>0</v>
      </c>
      <c r="I900" s="712" t="str">
        <f t="shared" ca="1" si="114"/>
        <v>'Asset-backed contributions'!C44</v>
      </c>
      <c r="J900" s="713" t="b" cm="1">
        <f t="array" aca="1" ref="J900" ca="1">IF(COUNTIF($K900:$T900, "&lt;&gt;FALSE") - COUNTBLANK($K900:$T900) &gt; 0, INDEX($K900:$T900, MATCH(TRUE, $K900:$T900 &lt;&gt; FALSE, 0)))</f>
        <v>0</v>
      </c>
      <c r="K900" s="712" t="b">
        <f ca="1">IF(AND('Asset-backed contributions'!$C$7=0,'Reconciliation report'!$E900&lt;&gt;""),ErrorMsgs!$B900)</f>
        <v>0</v>
      </c>
      <c r="L900" s="712" t="b">
        <f ca="1">IF(AND('Asset-backed contributions'!$C$7&lt;3,'Reconciliation report'!$E900&lt;&gt;""),ErrorMsgs!$C900)</f>
        <v>0</v>
      </c>
      <c r="M900" s="712" t="b">
        <f ca="1">IF(AND('Asset-backed contributions'!$C$7&gt;=3,'Reconciliation report'!$E900=""),ErrorMsgs!$D900)</f>
        <v>0</v>
      </c>
      <c r="N900" s="712" t="b">
        <f ca="1">IF($E900="",FALSE,IF(NOT(ISNUMBER($E900)),ErrorMsgs!$E900))</f>
        <v>0</v>
      </c>
      <c r="O900" s="712" t="b">
        <f ca="1">IF($E900="",FALSE,IF(VALUE($E900)&gt;TODAY(),ErrorMsgs!$F900))</f>
        <v>0</v>
      </c>
      <c r="P900" s="712"/>
      <c r="Q900" s="712"/>
      <c r="R900" s="712"/>
      <c r="S900" s="712"/>
      <c r="T900" s="712"/>
      <c r="U900" s="526" t="str">
        <f t="shared" ca="1" si="126"/>
        <v/>
      </c>
      <c r="V900" s="93" t="str" cm="1">
        <f t="array" aca="1" ref="V900" ca="1">CELL("format",INDIRECT(I900))</f>
        <v>D1</v>
      </c>
      <c r="W900" s="93" t="b">
        <f t="shared" ca="1" si="127"/>
        <v>0</v>
      </c>
      <c r="X900" s="715" t="str">
        <f t="shared" ca="1" si="125"/>
        <v/>
      </c>
      <c r="Y900" t="b">
        <f t="shared" ca="1" si="128"/>
        <v>1</v>
      </c>
    </row>
    <row r="901" spans="1:25" ht="77.5">
      <c r="A901" s="705" t="s">
        <v>3547</v>
      </c>
      <c r="B901" s="716" t="str">
        <f t="shared" ca="1" si="113"/>
        <v>Asset-backed contributions - C45</v>
      </c>
      <c r="C901" s="707" t="str" cm="1">
        <f t="array" aca="1" ref="C901" ca="1">INDIRECT(LEFT(I901, FIND("!", I901)) &amp; RefData!$C$426 &amp; RIGHT(I901, LEN(I901) - FIND("!", I901) - 1))</f>
        <v xml:space="preserve">
No answer required
Value of underlying asset (£) (optional)
</v>
      </c>
      <c r="D901" s="92" t="str">
        <f t="shared" ca="1" si="124"/>
        <v/>
      </c>
      <c r="E901" s="708" t="str" cm="1">
        <f t="array" aca="1" ref="E901" ca="1">IF(INDIRECT($I901)= "", "", INDIRECT($I901))</f>
        <v/>
      </c>
      <c r="F901" s="709" t="str" cm="1">
        <f t="array" aca="1" ref="F901" ca="1">INDIRECT(LEFT(I901, FIND("!", I901)) &amp; RefData!$C$427 &amp; RIGHT(I901, LEN(I901) - FIND("!", I901) - 1))</f>
        <v>ABC 10.0/3</v>
      </c>
      <c r="G901" s="710" t="b">
        <f ca="1">IF(ISNUMBER(SEARCH(RefData!$B$2, $C901)), FALSE, TRUE)</f>
        <v>0</v>
      </c>
      <c r="H901" s="344">
        <f>'Asset-backed contributions'!C45</f>
        <v>0</v>
      </c>
      <c r="I901" s="712" t="str">
        <f t="shared" ca="1" si="114"/>
        <v>'Asset-backed contributions'!C45</v>
      </c>
      <c r="J901" s="713" t="b" cm="1">
        <f t="array" aca="1" ref="J901" ca="1">IF(COUNTIF($K901:$T901, "&lt;&gt;FALSE") - COUNTBLANK($K901:$T901) &gt; 0, INDEX($K901:$T901, MATCH(TRUE, $K901:$T901 &lt;&gt; FALSE, 0)))</f>
        <v>0</v>
      </c>
      <c r="K901" s="712" t="b">
        <f ca="1">IF(AND('Asset-backed contributions'!$C$7=0,'Reconciliation report'!$E901&lt;&gt;""),ErrorMsgs!$B901)</f>
        <v>0</v>
      </c>
      <c r="L901" s="712" t="b">
        <f ca="1">IF(AND('Asset-backed contributions'!$C$7&lt;3,'Reconciliation report'!$E901&lt;&gt;""),ErrorMsgs!$C901)</f>
        <v>0</v>
      </c>
      <c r="M901" s="712" t="b">
        <f ca="1">IF($E901="",FALSE,IF(ISERROR(VALUE($E901)),ErrorMsgs!$D901,IF(OR(VALUE($E901)-ROUND(VALUE($E901),2),VALUE($E901)&lt;0,VALUE($E901)&gt;=1000000000000),ErrorMsgs!$D901)))</f>
        <v>0</v>
      </c>
      <c r="N901" s="712"/>
      <c r="O901" s="712"/>
      <c r="P901" s="712"/>
      <c r="Q901" s="712"/>
      <c r="R901" s="712"/>
      <c r="S901" s="712"/>
      <c r="T901" s="712"/>
      <c r="U901" s="526" t="str">
        <f t="shared" ca="1" si="126"/>
        <v/>
      </c>
      <c r="V901" s="93" t="str" cm="1">
        <f t="array" aca="1" ref="V901" ca="1">CELL("format",INDIRECT(I901))</f>
        <v>C2</v>
      </c>
      <c r="W901" s="93" t="b">
        <f t="shared" ca="1" si="127"/>
        <v>0</v>
      </c>
      <c r="X901" s="715" t="str">
        <f t="shared" ca="1" si="125"/>
        <v/>
      </c>
      <c r="Y901" t="b">
        <f t="shared" ca="1" si="128"/>
        <v>1</v>
      </c>
    </row>
    <row r="902" spans="1:25" ht="77.5">
      <c r="A902" s="705" t="s">
        <v>3548</v>
      </c>
      <c r="B902" s="716" t="str">
        <f t="shared" ca="1" si="113"/>
        <v>Asset-backed contributions - C46</v>
      </c>
      <c r="C902" s="707" t="str" cm="1">
        <f t="array" aca="1" ref="C902" ca="1">INDIRECT(LEFT(I902, FIND("!", I902)) &amp; RefData!$C$426 &amp; RIGHT(I902, LEN(I902) - FIND("!", I902) - 1))</f>
        <v xml:space="preserve">
No answer required
Date of valuation of underlying asset (optional)
</v>
      </c>
      <c r="D902" s="92" t="str">
        <f t="shared" ca="1" si="124"/>
        <v/>
      </c>
      <c r="E902" s="708" t="str" cm="1">
        <f t="array" aca="1" ref="E902" ca="1">IF(INDIRECT($I902)= "", "", INDIRECT($I902))</f>
        <v/>
      </c>
      <c r="F902" s="709" t="str" cm="1">
        <f t="array" aca="1" ref="F902" ca="1">INDIRECT(LEFT(I902, FIND("!", I902)) &amp; RefData!$C$427 &amp; RIGHT(I902, LEN(I902) - FIND("!", I902) - 1))</f>
        <v>ABC 11.0/3</v>
      </c>
      <c r="G902" s="710" t="b">
        <f ca="1">IF(ISNUMBER(SEARCH(RefData!$B$2, $C902)), FALSE, TRUE)</f>
        <v>0</v>
      </c>
      <c r="H902" s="344">
        <f>'Asset-backed contributions'!C46</f>
        <v>0</v>
      </c>
      <c r="I902" s="712" t="str">
        <f t="shared" ca="1" si="114"/>
        <v>'Asset-backed contributions'!C46</v>
      </c>
      <c r="J902" s="713" t="b" cm="1">
        <f t="array" aca="1" ref="J902" ca="1">IF(COUNTIF($K902:$T902, "&lt;&gt;FALSE") - COUNTBLANK($K902:$T902) &gt; 0, INDEX($K902:$T902, MATCH(TRUE, $K902:$T902 &lt;&gt; FALSE, 0)))</f>
        <v>0</v>
      </c>
      <c r="K902" s="712" t="b">
        <f ca="1">IF(AND('Asset-backed contributions'!$C$7=0,'Reconciliation report'!$E902&lt;&gt;""),ErrorMsgs!$B902)</f>
        <v>0</v>
      </c>
      <c r="L902" s="712" t="b">
        <f ca="1">IF(AND('Asset-backed contributions'!$C$7&lt;3,'Reconciliation report'!$E902&lt;&gt;""),ErrorMsgs!$C902)</f>
        <v>0</v>
      </c>
      <c r="M902" s="712" t="b">
        <f ca="1">IF($E902="",FALSE,IF(AND('Asset-backed contributions'!$C$7&gt;=3,NOT(ISNUMBER($E902))),ErrorMsgs!$D902))</f>
        <v>0</v>
      </c>
      <c r="N902" s="712" t="b">
        <f ca="1">IF(E902="",FALSE,IF(VALUE($E902)&gt;TODAY(),ErrorMsgs!$E902))</f>
        <v>0</v>
      </c>
      <c r="O902" s="712"/>
      <c r="P902" s="712"/>
      <c r="Q902" s="712"/>
      <c r="R902" s="712"/>
      <c r="S902" s="712"/>
      <c r="T902" s="712"/>
      <c r="U902" s="526" t="str">
        <f t="shared" ca="1" si="126"/>
        <v/>
      </c>
      <c r="V902" s="93" t="str" cm="1">
        <f t="array" aca="1" ref="V902" ca="1">CELL("format",INDIRECT(I902))</f>
        <v>D1</v>
      </c>
      <c r="W902" s="93" t="b">
        <f t="shared" ca="1" si="127"/>
        <v>0</v>
      </c>
      <c r="X902" s="715" t="str">
        <f t="shared" ca="1" si="125"/>
        <v/>
      </c>
      <c r="Y902" t="b">
        <f t="shared" ca="1" si="128"/>
        <v>1</v>
      </c>
    </row>
    <row r="903" spans="1:25" ht="62">
      <c r="A903" s="705" t="s">
        <v>3549</v>
      </c>
      <c r="B903" s="716" t="str">
        <f t="shared" ca="1" si="113"/>
        <v>Asset-backed contributions - C47</v>
      </c>
      <c r="C903" s="707" t="str" cm="1">
        <f t="array" aca="1" ref="C903" ca="1">INDIRECT(LEFT(I903, FIND("!", I903)) &amp; RefData!$C$426 &amp; RIGHT(I903, LEN(I903) - FIND("!", I903) - 1))</f>
        <v xml:space="preserve">
Triggers for any cessation of payment schedule, or for termination of ABC
</v>
      </c>
      <c r="D903" s="92" t="str">
        <f t="shared" ca="1" si="124"/>
        <v/>
      </c>
      <c r="E903" s="708" t="str" cm="1">
        <f t="array" aca="1" ref="E903" ca="1">IF(INDIRECT($I903)= "", "", INDIRECT($I903))</f>
        <v/>
      </c>
      <c r="F903" s="709" t="str" cm="1">
        <f t="array" aca="1" ref="F903" ca="1">INDIRECT(LEFT(I903, FIND("!", I903)) &amp; RefData!$C$427 &amp; RIGHT(I903, LEN(I903) - FIND("!", I903) - 1))</f>
        <v>ABC 12.0/3</v>
      </c>
      <c r="G903" s="710" t="b">
        <f ca="1">IF(ISNUMBER(SEARCH(RefData!$B$2, $C903)), FALSE, TRUE)</f>
        <v>1</v>
      </c>
      <c r="H903" s="344">
        <f>'Asset-backed contributions'!C47</f>
        <v>0</v>
      </c>
      <c r="I903" s="712" t="str">
        <f t="shared" ca="1" si="114"/>
        <v>'Asset-backed contributions'!C47</v>
      </c>
      <c r="J903" s="713" t="b" cm="1">
        <f t="array" aca="1" ref="J903" ca="1">IF(COUNTIF($K903:$T903, "&lt;&gt;FALSE") - COUNTBLANK($K903:$T903) &gt; 0, INDEX($K903:$T903, MATCH(TRUE, $K903:$T903 &lt;&gt; FALSE, 0)))</f>
        <v>0</v>
      </c>
      <c r="K903" s="712" t="b">
        <f ca="1">IF(AND('Start here'!$C$26=RefData!$B$9,'Reconciliation report'!$E903&lt;&gt;""),ErrorMsgs!$B903)</f>
        <v>0</v>
      </c>
      <c r="L903" s="712" t="b">
        <f ca="1">IF(AND('Start here'!$C$26=RefData!$B$10,'Asset-backed contributions'!$C$7=0,'Reconciliation report'!$E903&lt;&gt;""),ErrorMsgs!$C903)</f>
        <v>0</v>
      </c>
      <c r="M903" s="712" t="b">
        <f ca="1">IF(AND('Start here'!$C$26=RefData!$B$10,'Asset-backed contributions'!$C$7&lt;3,'Reconciliation report'!$E903&lt;&gt;""),ErrorMsgs!$D903)</f>
        <v>0</v>
      </c>
      <c r="N903" s="712" t="b">
        <f ca="1">IF(AND('Start here'!$C$26=RefData!$B$10,'Asset-backed contributions'!$C$7&gt;=3,'Reconciliation report'!$E903=""),ErrorMsgs!$E903)</f>
        <v>0</v>
      </c>
      <c r="O903" s="712" t="b">
        <f ca="1">IF(LEN($E903)&gt;4000,ErrorMsgs!$F903)</f>
        <v>0</v>
      </c>
      <c r="P903" s="712"/>
      <c r="Q903" s="712"/>
      <c r="R903" s="712"/>
      <c r="S903" s="712"/>
      <c r="T903" s="712"/>
      <c r="U903" s="526" t="str">
        <f t="shared" ca="1" si="126"/>
        <v/>
      </c>
      <c r="V903" s="93" t="str" cm="1">
        <f t="array" aca="1" ref="V903" ca="1">CELL("format",INDIRECT(I903))</f>
        <v>G</v>
      </c>
      <c r="W903" s="93" t="b">
        <f t="shared" ca="1" si="127"/>
        <v>0</v>
      </c>
      <c r="X903" s="715" t="str">
        <f t="shared" ca="1" si="125"/>
        <v/>
      </c>
      <c r="Y903" t="b">
        <f t="shared" ca="1" si="128"/>
        <v>1</v>
      </c>
    </row>
    <row r="904" spans="1:25" ht="93">
      <c r="A904" s="705" t="s">
        <v>3550</v>
      </c>
      <c r="B904" s="716" t="str">
        <f t="shared" ca="1" si="113"/>
        <v>Asset-backed contributions - C51</v>
      </c>
      <c r="C904" s="707" t="str" cm="1">
        <f t="array" aca="1" ref="C904" ca="1">INDIRECT(LEFT(I904, FIND("!", I904)) &amp; RefData!$C$426 &amp; RIGHT(I904, LEN(I904) - FIND("!", I904) - 1))</f>
        <v xml:space="preserve">
No answer required
What is the type of security underlying the asset backed contribution arrangement?
</v>
      </c>
      <c r="D904" s="92" t="str">
        <f t="shared" ref="D904:D913" ca="1" si="129">""&amp;IF(J904=FALSE, "", J904)
&amp;""</f>
        <v/>
      </c>
      <c r="E904" s="708" t="str" cm="1">
        <f t="array" aca="1" ref="E904" ca="1">IF(INDIRECT($I904)= "", "", INDIRECT($I904))</f>
        <v/>
      </c>
      <c r="F904" s="709" t="str" cm="1">
        <f t="array" aca="1" ref="F904" ca="1">INDIRECT(LEFT(I904, FIND("!", I904)) &amp; RefData!$C$427 &amp; RIGHT(I904, LEN(I904) - FIND("!", I904) - 1))</f>
        <v>ABC 3.0/4</v>
      </c>
      <c r="G904" s="710" t="b">
        <f ca="1">IF(ISNUMBER(SEARCH(RefData!$B$2, $C904)), FALSE, TRUE)</f>
        <v>0</v>
      </c>
      <c r="H904" s="344">
        <f>'Asset-backed contributions'!C51</f>
        <v>0</v>
      </c>
      <c r="I904" s="712" t="str">
        <f t="shared" ca="1" si="114"/>
        <v>'Asset-backed contributions'!C51</v>
      </c>
      <c r="J904" s="713" t="b" cm="1">
        <f t="array" aca="1" ref="J904" ca="1">IF(COUNTIF($K904:$T904, "&lt;&gt;FALSE") - COUNTBLANK($K904:$T904) &gt; 0, INDEX($K904:$T904, MATCH(TRUE, $K904:$T904 &lt;&gt; FALSE, 0)))</f>
        <v>0</v>
      </c>
      <c r="K904" s="712" t="b">
        <f ca="1">IF(AND('Asset-backed contributions'!$C$7=0,'Reconciliation report'!$E904&lt;&gt;""),ErrorMsgs!$B904)</f>
        <v>0</v>
      </c>
      <c r="L904" s="712" t="b">
        <f ca="1">IF(AND('Asset-backed contributions'!$C$7&lt;4,'Reconciliation report'!$E904&lt;&gt;""),ErrorMsgs!$C904)</f>
        <v>0</v>
      </c>
      <c r="M904" s="712" t="b">
        <f ca="1">IF(AND('Asset-backed contributions'!$C$7&gt;=4,'Reconciliation report'!$E904=""),ErrorMsgs!$D904)</f>
        <v>0</v>
      </c>
      <c r="N904" s="712" t="b">
        <f ca="1">IF(AND(ISNA(MATCH($E904,RefData!$B$181:$B$186, 0)), $E904&lt;&gt;""),ErrorMsgs!$E904)</f>
        <v>0</v>
      </c>
      <c r="O904" s="712"/>
      <c r="P904" s="712"/>
      <c r="Q904" s="712"/>
      <c r="R904" s="712"/>
      <c r="S904" s="712"/>
      <c r="T904" s="712"/>
      <c r="U904" s="526" t="str">
        <f t="shared" ca="1" si="126"/>
        <v/>
      </c>
      <c r="V904" s="93" t="str" cm="1">
        <f t="array" aca="1" ref="V904" ca="1">CELL("format",INDIRECT(I904))</f>
        <v>G</v>
      </c>
      <c r="W904" s="93" t="b">
        <f t="shared" ca="1" si="127"/>
        <v>0</v>
      </c>
      <c r="X904" s="715" t="str">
        <f t="shared" ca="1" si="125"/>
        <v/>
      </c>
      <c r="Y904" t="b">
        <f t="shared" ca="1" si="128"/>
        <v>1</v>
      </c>
    </row>
    <row r="905" spans="1:25" ht="77.5">
      <c r="A905" s="705" t="s">
        <v>3551</v>
      </c>
      <c r="B905" s="716" t="str">
        <f t="shared" ca="1" si="113"/>
        <v>Asset-backed contributions - C52</v>
      </c>
      <c r="C905" s="707" t="str" cm="1">
        <f t="array" aca="1" ref="C905" ca="1">INDIRECT(LEFT(I905, FIND("!", I905)) &amp; RefData!$C$426 &amp; RIGHT(I905, LEN(I905) - FIND("!", I905) - 1))</f>
        <v xml:space="preserve">
No answer required
A summary of the underlying asset
</v>
      </c>
      <c r="D905" s="92" t="str">
        <f t="shared" ca="1" si="129"/>
        <v/>
      </c>
      <c r="E905" s="708" t="str" cm="1">
        <f t="array" aca="1" ref="E905" ca="1">IF(INDIRECT($I905)= "", "", INDIRECT($I905))</f>
        <v/>
      </c>
      <c r="F905" s="709" t="str" cm="1">
        <f t="array" aca="1" ref="F905" ca="1">INDIRECT(LEFT(I905, FIND("!", I905)) &amp; RefData!$C$427 &amp; RIGHT(I905, LEN(I905) - FIND("!", I905) - 1))</f>
        <v>ABC 4.0/4</v>
      </c>
      <c r="G905" s="710" t="b">
        <f ca="1">IF(ISNUMBER(SEARCH(RefData!$B$2, $C905)), FALSE, TRUE)</f>
        <v>0</v>
      </c>
      <c r="H905" s="344">
        <f>'Asset-backed contributions'!C52</f>
        <v>0</v>
      </c>
      <c r="I905" s="712" t="str">
        <f t="shared" ca="1" si="114"/>
        <v>'Asset-backed contributions'!C52</v>
      </c>
      <c r="J905" s="713" t="b" cm="1">
        <f t="array" aca="1" ref="J905" ca="1">IF(COUNTIF($K905:$T905, "&lt;&gt;FALSE") - COUNTBLANK($K905:$T905) &gt; 0, INDEX($K905:$T905, MATCH(TRUE, $K905:$T905 &lt;&gt; FALSE, 0)))</f>
        <v>0</v>
      </c>
      <c r="K905" s="712" t="b">
        <f ca="1">IF(AND('Asset-backed contributions'!$C$7=0,'Reconciliation report'!$E905&lt;&gt;""),ErrorMsgs!$B905)</f>
        <v>0</v>
      </c>
      <c r="L905" s="712" t="b">
        <f ca="1">IF(AND('Asset-backed contributions'!$C$7&lt;4,'Reconciliation report'!$E905&lt;&gt;""),ErrorMsgs!$C905)</f>
        <v>0</v>
      </c>
      <c r="M905" s="712" t="b">
        <f ca="1">IF(AND('Asset-backed contributions'!$C$7&gt;=4,'Reconciliation report'!$E905=""),ErrorMsgs!$D905)</f>
        <v>0</v>
      </c>
      <c r="N905" s="712" t="b">
        <f ca="1">IF(LEN($E905)&gt;4000,ErrorMsgs!$E905)</f>
        <v>0</v>
      </c>
      <c r="O905" s="712"/>
      <c r="P905" s="712"/>
      <c r="Q905" s="712"/>
      <c r="R905" s="712"/>
      <c r="S905" s="712"/>
      <c r="T905" s="712"/>
      <c r="U905" s="526" t="str">
        <f t="shared" ca="1" si="126"/>
        <v/>
      </c>
      <c r="V905" s="93" t="str" cm="1">
        <f t="array" aca="1" ref="V905" ca="1">CELL("format",INDIRECT(I905))</f>
        <v>G</v>
      </c>
      <c r="W905" s="93" t="b">
        <f t="shared" ca="1" si="127"/>
        <v>0</v>
      </c>
      <c r="X905" s="715" t="str">
        <f t="shared" ca="1" si="125"/>
        <v/>
      </c>
      <c r="Y905" t="b">
        <f t="shared" ca="1" si="128"/>
        <v>1</v>
      </c>
    </row>
    <row r="906" spans="1:25" ht="77.5">
      <c r="A906" s="705" t="s">
        <v>3552</v>
      </c>
      <c r="B906" s="716" t="str">
        <f t="shared" ca="1" si="113"/>
        <v>Asset-backed contributions - C53</v>
      </c>
      <c r="C906" s="707" t="str" cm="1">
        <f t="array" aca="1" ref="C906" ca="1">INDIRECT(LEFT(I906, FIND("!", I906)) &amp; RefData!$C$426 &amp; RIGHT(I906, LEN(I906) - FIND("!", I906) - 1))</f>
        <v xml:space="preserve">
No answer required
Maturity type
</v>
      </c>
      <c r="D906" s="92" t="str">
        <f t="shared" ca="1" si="129"/>
        <v/>
      </c>
      <c r="E906" s="708" t="str" cm="1">
        <f t="array" aca="1" ref="E906" ca="1">IF(INDIRECT($I906)= "", "", INDIRECT($I906))</f>
        <v/>
      </c>
      <c r="F906" s="709" t="str" cm="1">
        <f t="array" aca="1" ref="F906" ca="1">INDIRECT(LEFT(I906, FIND("!", I906)) &amp; RefData!$C$427 &amp; RIGHT(I906, LEN(I906) - FIND("!", I906) - 1))</f>
        <v>ABC 5.0/4</v>
      </c>
      <c r="G906" s="710" t="b">
        <f ca="1">IF(ISNUMBER(SEARCH(RefData!$B$2, $C906)), FALSE, TRUE)</f>
        <v>0</v>
      </c>
      <c r="H906" s="344">
        <f>'Asset-backed contributions'!C53</f>
        <v>0</v>
      </c>
      <c r="I906" s="712" t="str">
        <f t="shared" ca="1" si="114"/>
        <v>'Asset-backed contributions'!C53</v>
      </c>
      <c r="J906" s="713" t="b" cm="1">
        <f t="array" aca="1" ref="J906" ca="1">IF(COUNTIF($K906:$T906, "&lt;&gt;FALSE") - COUNTBLANK($K906:$T906) &gt; 0, INDEX($K906:$T906, MATCH(TRUE, $K906:$T906 &lt;&gt; FALSE, 0)))</f>
        <v>0</v>
      </c>
      <c r="K906" s="712" t="b">
        <f ca="1">IF(AND('Asset-backed contributions'!$C$7=0,'Reconciliation report'!$E906&lt;&gt;""),ErrorMsgs!$B906)</f>
        <v>0</v>
      </c>
      <c r="L906" s="712" t="b">
        <f ca="1">IF(AND('Asset-backed contributions'!$C$7&lt;4,'Reconciliation report'!$E906&lt;&gt;""),ErrorMsgs!$C906)</f>
        <v>0</v>
      </c>
      <c r="M906" s="712" t="b">
        <f ca="1">IF(AND('Asset-backed contributions'!$C$7&gt;=4,'Reconciliation report'!$E906=""),ErrorMsgs!$D906)</f>
        <v>0</v>
      </c>
      <c r="N906" s="712" t="b">
        <f ca="1">IF(AND(ISNA(MATCH($E906,RefData!$B$187:$B$189, 0)), $E906&lt;&gt;""),ErrorMsgs!$E906)</f>
        <v>0</v>
      </c>
      <c r="O906" s="712"/>
      <c r="P906" s="712"/>
      <c r="Q906" s="712"/>
      <c r="R906" s="712"/>
      <c r="S906" s="712"/>
      <c r="T906" s="712"/>
      <c r="U906" s="526" t="str">
        <f t="shared" ca="1" si="126"/>
        <v/>
      </c>
      <c r="V906" s="93" t="str" cm="1">
        <f t="array" aca="1" ref="V906" ca="1">CELL("format",INDIRECT(I906))</f>
        <v>G</v>
      </c>
      <c r="W906" s="93" t="b">
        <f t="shared" ca="1" si="127"/>
        <v>0</v>
      </c>
      <c r="X906" s="715" t="str">
        <f t="shared" ca="1" si="125"/>
        <v/>
      </c>
      <c r="Y906" t="b">
        <f t="shared" ca="1" si="128"/>
        <v>1</v>
      </c>
    </row>
    <row r="907" spans="1:25" ht="77.5">
      <c r="A907" s="705" t="s">
        <v>3553</v>
      </c>
      <c r="B907" s="716" t="str">
        <f t="shared" ca="1" si="113"/>
        <v>Asset-backed contributions - C54</v>
      </c>
      <c r="C907" s="707" t="str" cm="1">
        <f t="array" aca="1" ref="C907" ca="1">INDIRECT(LEFT(I907, FIND("!", I907)) &amp; RefData!$C$426 &amp; RIGHT(I907, LEN(I907) - FIND("!", I907) - 1))</f>
        <v xml:space="preserve">
No answer required
Date of maturity
</v>
      </c>
      <c r="D907" s="92" t="str">
        <f t="shared" ca="1" si="129"/>
        <v/>
      </c>
      <c r="E907" s="708" t="str" cm="1">
        <f t="array" aca="1" ref="E907" ca="1">IF(INDIRECT($I907)= "", "", INDIRECT($I907))</f>
        <v/>
      </c>
      <c r="F907" s="709" t="str" cm="1">
        <f t="array" aca="1" ref="F907" ca="1">INDIRECT(LEFT(I907, FIND("!", I907)) &amp; RefData!$C$427 &amp; RIGHT(I907, LEN(I907) - FIND("!", I907) - 1))</f>
        <v>ABC 6.0/4</v>
      </c>
      <c r="G907" s="710" t="b">
        <f ca="1">IF(ISNUMBER(SEARCH(RefData!$B$2, $C907)), FALSE, TRUE)</f>
        <v>0</v>
      </c>
      <c r="H907" s="391">
        <f>'Asset-backed contributions'!C54</f>
        <v>0</v>
      </c>
      <c r="I907" s="712" t="str">
        <f t="shared" ca="1" si="114"/>
        <v>'Asset-backed contributions'!C54</v>
      </c>
      <c r="J907" s="713" t="b" cm="1">
        <f t="array" aca="1" ref="J907" ca="1">IF(COUNTIF($K907:$T907, "&lt;&gt;FALSE") - COUNTBLANK($K907:$T907) &gt; 0, INDEX($K907:$T907, MATCH(TRUE, $K907:$T907 &lt;&gt; FALSE, 0)))</f>
        <v>0</v>
      </c>
      <c r="K907" s="712" t="b">
        <f ca="1">IF(AND('Asset-backed contributions'!$C$7=0,'Reconciliation report'!$E907&lt;&gt;""),ErrorMsgs!$B907)</f>
        <v>0</v>
      </c>
      <c r="L907" s="712" t="b">
        <f ca="1">IF(AND('Asset-backed contributions'!$C$7&lt;4,'Reconciliation report'!$E907&lt;&gt;""),ErrorMsgs!$C907)</f>
        <v>0</v>
      </c>
      <c r="M907" s="712" t="b">
        <f ca="1">IF(AND('Asset-backed contributions'!$C$7&gt;=4,OR('Asset-backed contributions'!$C$53=RefData!$B$187,'Asset-backed contributions'!$C$53=RefData!$B$189),'Reconciliation report'!$E907&lt;&gt;""),ErrorMsgs!$D907)</f>
        <v>0</v>
      </c>
      <c r="N907" s="712" t="b">
        <f ca="1">IF(AND('Asset-backed contributions'!$C$7&gt;=4,'Asset-backed contributions'!$C$53=RefData!$B$188,'Reconciliation report'!$E907=""),ErrorMsgs!$E907)</f>
        <v>0</v>
      </c>
      <c r="O907" s="712" t="b">
        <f ca="1">IF(E907="",FALSE,IF(NOT(ISNUMBER($E907)),ErrorMsgs!$F907))</f>
        <v>0</v>
      </c>
      <c r="P907" s="712" t="b">
        <f ca="1">IF($E907&lt;'Start here'!$C$21,ErrorMsgs!$G907)</f>
        <v>0</v>
      </c>
      <c r="Q907" s="712"/>
      <c r="R907" s="712"/>
      <c r="S907" s="712"/>
      <c r="T907" s="712"/>
      <c r="U907" s="526" t="str">
        <f t="shared" ca="1" si="126"/>
        <v/>
      </c>
      <c r="V907" s="93" t="str" cm="1">
        <f t="array" aca="1" ref="V907" ca="1">CELL("format",INDIRECT(I907))</f>
        <v>D1</v>
      </c>
      <c r="W907" s="93" t="b">
        <f t="shared" ca="1" si="127"/>
        <v>0</v>
      </c>
      <c r="X907" s="715" t="str">
        <f t="shared" ca="1" si="125"/>
        <v/>
      </c>
      <c r="Y907" t="b">
        <f t="shared" ca="1" si="128"/>
        <v>1</v>
      </c>
    </row>
    <row r="908" spans="1:25" ht="77.5">
      <c r="A908" s="705" t="s">
        <v>3554</v>
      </c>
      <c r="B908" s="716" t="str">
        <f t="shared" ca="1" si="113"/>
        <v>Asset-backed contributions - C55</v>
      </c>
      <c r="C908" s="707" t="str" cm="1">
        <f t="array" aca="1" ref="C908" ca="1">INDIRECT(LEFT(I908, FIND("!", I908)) &amp; RefData!$C$426 &amp; RIGHT(I908, LEN(I908) - FIND("!", I908) - 1))</f>
        <v xml:space="preserve">
No answer required
Maturity date narrative
</v>
      </c>
      <c r="D908" s="92" t="str">
        <f t="shared" ca="1" si="129"/>
        <v/>
      </c>
      <c r="E908" s="708" t="str" cm="1">
        <f t="array" aca="1" ref="E908" ca="1">IF(INDIRECT($I908)= "", "", INDIRECT($I908))</f>
        <v/>
      </c>
      <c r="F908" s="709" t="str" cm="1">
        <f t="array" aca="1" ref="F908" ca="1">INDIRECT(LEFT(I908, FIND("!", I908)) &amp; RefData!$C$427 &amp; RIGHT(I908, LEN(I908) - FIND("!", I908) - 1))</f>
        <v>ABC 7.0/4</v>
      </c>
      <c r="G908" s="710" t="b">
        <f ca="1">IF(ISNUMBER(SEARCH(RefData!$B$2, $C908)), FALSE, TRUE)</f>
        <v>0</v>
      </c>
      <c r="H908" s="344">
        <f>'Asset-backed contributions'!C55</f>
        <v>0</v>
      </c>
      <c r="I908" s="712" t="str">
        <f t="shared" ca="1" si="114"/>
        <v>'Asset-backed contributions'!C55</v>
      </c>
      <c r="J908" s="713" t="b" cm="1">
        <f t="array" aca="1" ref="J908" ca="1">IF(COUNTIF($K908:$T908, "&lt;&gt;FALSE") - COUNTBLANK($K908:$T908) &gt; 0, INDEX($K908:$T908, MATCH(TRUE, $K908:$T908 &lt;&gt; FALSE, 0)))</f>
        <v>0</v>
      </c>
      <c r="K908" s="712" t="b">
        <f ca="1">IF(AND('Asset-backed contributions'!$C$7=0,'Reconciliation report'!$E908&lt;&gt;""),ErrorMsgs!$B908)</f>
        <v>0</v>
      </c>
      <c r="L908" s="712" t="b">
        <f ca="1">IF(AND('Asset-backed contributions'!$C$7&lt;4,'Reconciliation report'!$E908&lt;&gt;""),ErrorMsgs!$C908)</f>
        <v>0</v>
      </c>
      <c r="M908" s="712" t="b">
        <f ca="1">IF(AND('Asset-backed contributions'!$C$7&gt;=4,'Asset-backed contributions'!$C$53&lt;&gt;RefData!$B$189,'Reconciliation report'!$E908&lt;&gt;""),ErrorMsgs!$D908)</f>
        <v>0</v>
      </c>
      <c r="N908" s="712" t="b">
        <f ca="1">IF(AND('Asset-backed contributions'!$C$7&gt;=4,'Asset-backed contributions'!$C$53=RefData!$B$189,'Reconciliation report'!$E908=""),ErrorMsgs!$E908)</f>
        <v>0</v>
      </c>
      <c r="O908" s="712" t="b">
        <f ca="1">IF(LEN($E908)&gt;4000,ErrorMsgs!$F908)</f>
        <v>0</v>
      </c>
      <c r="P908" s="712"/>
      <c r="Q908" s="712"/>
      <c r="R908" s="712"/>
      <c r="S908" s="712"/>
      <c r="T908" s="712"/>
      <c r="U908" s="526" t="str">
        <f t="shared" ca="1" si="126"/>
        <v/>
      </c>
      <c r="V908" s="93" t="str" cm="1">
        <f t="array" aca="1" ref="V908" ca="1">CELL("format",INDIRECT(I908))</f>
        <v>G</v>
      </c>
      <c r="W908" s="93" t="b">
        <f t="shared" ca="1" si="127"/>
        <v>0</v>
      </c>
      <c r="X908" s="715" t="str">
        <f t="shared" ca="1" si="125"/>
        <v/>
      </c>
      <c r="Y908" t="b">
        <f t="shared" ca="1" si="128"/>
        <v>1</v>
      </c>
    </row>
    <row r="909" spans="1:25" ht="77.5">
      <c r="A909" s="705" t="s">
        <v>3555</v>
      </c>
      <c r="B909" s="716" t="str">
        <f t="shared" ca="1" si="113"/>
        <v>Asset-backed contributions - C56</v>
      </c>
      <c r="C909" s="707" t="str" cm="1">
        <f t="array" aca="1" ref="C909" ca="1">INDIRECT(LEFT(I909, FIND("!", I909)) &amp; RefData!$C$426 &amp; RIGHT(I909, LEN(I909) - FIND("!", I909) - 1))</f>
        <v xml:space="preserve">
No answer required
Net present value (NPV) (£)
</v>
      </c>
      <c r="D909" s="92" t="str">
        <f t="shared" ca="1" si="129"/>
        <v/>
      </c>
      <c r="E909" s="708" t="str" cm="1">
        <f t="array" aca="1" ref="E909" ca="1">IF(INDIRECT($I909)= "", "", INDIRECT($I909))</f>
        <v/>
      </c>
      <c r="F909" s="709" t="str" cm="1">
        <f t="array" aca="1" ref="F909" ca="1">INDIRECT(LEFT(I909, FIND("!", I909)) &amp; RefData!$C$427 &amp; RIGHT(I909, LEN(I909) - FIND("!", I909) - 1))</f>
        <v>ABC 8.0/4</v>
      </c>
      <c r="G909" s="710" t="b">
        <f ca="1">IF(ISNUMBER(SEARCH(RefData!$B$2, $C909)), FALSE, TRUE)</f>
        <v>0</v>
      </c>
      <c r="H909" s="344">
        <f>'Asset-backed contributions'!C56</f>
        <v>0</v>
      </c>
      <c r="I909" s="712" t="str">
        <f t="shared" ca="1" si="114"/>
        <v>'Asset-backed contributions'!C56</v>
      </c>
      <c r="J909" s="713" t="b" cm="1">
        <f t="array" aca="1" ref="J909" ca="1">IF(COUNTIF($K909:$T909, "&lt;&gt;FALSE") - COUNTBLANK($K909:$T909) &gt; 0, INDEX($K909:$T909, MATCH(TRUE, $K909:$T909 &lt;&gt; FALSE, 0)))</f>
        <v>0</v>
      </c>
      <c r="K909" s="712" t="b">
        <f ca="1">IF(AND('Asset-backed contributions'!$C$7=0,'Reconciliation report'!$E909&lt;&gt;""),ErrorMsgs!$B909)</f>
        <v>0</v>
      </c>
      <c r="L909" s="712" t="b">
        <f ca="1">IF(AND('Asset-backed contributions'!$C$7&lt;4,'Reconciliation report'!$E909&lt;&gt;""),ErrorMsgs!$C909)</f>
        <v>0</v>
      </c>
      <c r="M909" s="712" t="b">
        <f ca="1">IF(AND('Asset-backed contributions'!$C$7&gt;=4,'Reconciliation report'!$E909=""),ErrorMsgs!$D909)</f>
        <v>0</v>
      </c>
      <c r="N909" s="712" t="b">
        <f ca="1">IF($E909="",FALSE,IF(NOT(ISNUMBER($E909)),ErrorMsgs!$E909,IF(OR(VALUE($E909)-ROUND(VALUE($E909),2),VALUE($E909)&lt;0,VALUE($E909)&gt;=1000000000000),ErrorMsgs!$E909)))</f>
        <v>0</v>
      </c>
      <c r="O909" s="714"/>
      <c r="P909" s="712"/>
      <c r="Q909" s="712"/>
      <c r="R909" s="712"/>
      <c r="S909" s="712"/>
      <c r="T909" s="712"/>
      <c r="U909" s="526" t="str">
        <f t="shared" ca="1" si="126"/>
        <v/>
      </c>
      <c r="V909" s="93" t="str" cm="1">
        <f t="array" aca="1" ref="V909" ca="1">CELL("format",INDIRECT(I909))</f>
        <v>C2</v>
      </c>
      <c r="W909" s="93" t="b">
        <f t="shared" ca="1" si="127"/>
        <v>0</v>
      </c>
      <c r="X909" s="715" t="str">
        <f t="shared" ca="1" si="125"/>
        <v/>
      </c>
      <c r="Y909" t="b">
        <f t="shared" ca="1" si="128"/>
        <v>1</v>
      </c>
    </row>
    <row r="910" spans="1:25" ht="77.5">
      <c r="A910" s="705" t="s">
        <v>3556</v>
      </c>
      <c r="B910" s="716" t="str">
        <f t="shared" ca="1" si="113"/>
        <v>Asset-backed contributions - C57</v>
      </c>
      <c r="C910" s="707" t="str" cm="1">
        <f t="array" aca="1" ref="C910" ca="1">INDIRECT(LEFT(I910, FIND("!", I910)) &amp; RefData!$C$426 &amp; RIGHT(I910, LEN(I910) - FIND("!", I910) - 1))</f>
        <v xml:space="preserve">
No answer required
Date NPV calculated
</v>
      </c>
      <c r="D910" s="92" t="str">
        <f t="shared" ca="1" si="129"/>
        <v/>
      </c>
      <c r="E910" s="708" t="str" cm="1">
        <f t="array" aca="1" ref="E910" ca="1">IF(INDIRECT($I910)= "", "", INDIRECT($I910))</f>
        <v/>
      </c>
      <c r="F910" s="709" t="str" cm="1">
        <f t="array" aca="1" ref="F910" ca="1">INDIRECT(LEFT(I910, FIND("!", I910)) &amp; RefData!$C$427 &amp; RIGHT(I910, LEN(I910) - FIND("!", I910) - 1))</f>
        <v>ABC 9.0/4</v>
      </c>
      <c r="G910" s="710" t="b">
        <f ca="1">IF(ISNUMBER(SEARCH(RefData!$B$2, $C910)), FALSE, TRUE)</f>
        <v>0</v>
      </c>
      <c r="H910" s="344">
        <f>'Asset-backed contributions'!C57</f>
        <v>0</v>
      </c>
      <c r="I910" s="712" t="str">
        <f t="shared" ca="1" si="114"/>
        <v>'Asset-backed contributions'!C57</v>
      </c>
      <c r="J910" s="713" t="b" cm="1">
        <f t="array" aca="1" ref="J910" ca="1">IF(COUNTIF($K910:$T910, "&lt;&gt;FALSE") - COUNTBLANK($K910:$T910) &gt; 0, INDEX($K910:$T910, MATCH(TRUE, $K910:$T910 &lt;&gt; FALSE, 0)))</f>
        <v>0</v>
      </c>
      <c r="K910" s="712" t="b">
        <f ca="1">IF(AND('Asset-backed contributions'!$C$7=0,'Reconciliation report'!$E910&lt;&gt;""),ErrorMsgs!$B910)</f>
        <v>0</v>
      </c>
      <c r="L910" s="712" t="b">
        <f ca="1">IF(AND('Asset-backed contributions'!$C$7&lt;4,'Reconciliation report'!$E910&lt;&gt;""),ErrorMsgs!$C910)</f>
        <v>0</v>
      </c>
      <c r="M910" s="712" t="b">
        <f ca="1">IF(AND('Asset-backed contributions'!$C$7&gt;=4,'Reconciliation report'!$E910=""),ErrorMsgs!$D910)</f>
        <v>0</v>
      </c>
      <c r="N910" s="712" t="b">
        <f ca="1">IF($E910="",FALSE,IF(NOT(ISNUMBER($E910)),ErrorMsgs!$E910))</f>
        <v>0</v>
      </c>
      <c r="O910" s="712" t="b">
        <f ca="1">IF($E910="",FALSE,IF(VALUE($E910)&gt;TODAY(),ErrorMsgs!$F910))</f>
        <v>0</v>
      </c>
      <c r="P910" s="712"/>
      <c r="Q910" s="712"/>
      <c r="R910" s="712"/>
      <c r="S910" s="712"/>
      <c r="T910" s="712"/>
      <c r="U910" s="526" t="str">
        <f t="shared" ca="1" si="126"/>
        <v/>
      </c>
      <c r="V910" s="93" t="str" cm="1">
        <f t="array" aca="1" ref="V910" ca="1">CELL("format",INDIRECT(I910))</f>
        <v>D1</v>
      </c>
      <c r="W910" s="93" t="b">
        <f t="shared" ca="1" si="127"/>
        <v>0</v>
      </c>
      <c r="X910" s="715" t="str">
        <f t="shared" ca="1" si="125"/>
        <v/>
      </c>
      <c r="Y910" t="b">
        <f t="shared" ca="1" si="128"/>
        <v>1</v>
      </c>
    </row>
    <row r="911" spans="1:25" ht="77.5">
      <c r="A911" s="705" t="s">
        <v>3557</v>
      </c>
      <c r="B911" s="716" t="str">
        <f t="shared" ca="1" si="113"/>
        <v>Asset-backed contributions - C58</v>
      </c>
      <c r="C911" s="707" t="str" cm="1">
        <f t="array" aca="1" ref="C911" ca="1">INDIRECT(LEFT(I911, FIND("!", I911)) &amp; RefData!$C$426 &amp; RIGHT(I911, LEN(I911) - FIND("!", I911) - 1))</f>
        <v xml:space="preserve">
No answer required
Value of underlying asset (£) (optional)
</v>
      </c>
      <c r="D911" s="92" t="str">
        <f t="shared" ca="1" si="129"/>
        <v/>
      </c>
      <c r="E911" s="708" t="str" cm="1">
        <f t="array" aca="1" ref="E911" ca="1">IF(INDIRECT($I911)= "", "", INDIRECT($I911))</f>
        <v/>
      </c>
      <c r="F911" s="709" t="str" cm="1">
        <f t="array" aca="1" ref="F911" ca="1">INDIRECT(LEFT(I911, FIND("!", I911)) &amp; RefData!$C$427 &amp; RIGHT(I911, LEN(I911) - FIND("!", I911) - 1))</f>
        <v>ABC 10.0/4</v>
      </c>
      <c r="G911" s="710" t="b">
        <f ca="1">IF(ISNUMBER(SEARCH(RefData!$B$2, $C911)), FALSE, TRUE)</f>
        <v>0</v>
      </c>
      <c r="H911" s="344">
        <f>'Asset-backed contributions'!C58</f>
        <v>0</v>
      </c>
      <c r="I911" s="712" t="str">
        <f t="shared" ca="1" si="114"/>
        <v>'Asset-backed contributions'!C58</v>
      </c>
      <c r="J911" s="713" t="b" cm="1">
        <f t="array" aca="1" ref="J911" ca="1">IF(COUNTIF($K911:$T911, "&lt;&gt;FALSE") - COUNTBLANK($K911:$T911) &gt; 0, INDEX($K911:$T911, MATCH(TRUE, $K911:$T911 &lt;&gt; FALSE, 0)))</f>
        <v>0</v>
      </c>
      <c r="K911" s="712" t="b">
        <f ca="1">IF(AND('Asset-backed contributions'!$C$7=0,'Reconciliation report'!$E911&lt;&gt;""),ErrorMsgs!$B911)</f>
        <v>0</v>
      </c>
      <c r="L911" s="712" t="b">
        <f ca="1">IF(AND('Asset-backed contributions'!$C$7&lt;4,'Reconciliation report'!$E911&lt;&gt;""),ErrorMsgs!$C911)</f>
        <v>0</v>
      </c>
      <c r="M911" s="712" t="b">
        <f ca="1">IF($E911="",FALSE,IF(ISERROR(VALUE($E911)),ErrorMsgs!$D911,IF(OR(VALUE($E911)-ROUND(VALUE($E911),2),VALUE($E911)&lt;0,VALUE($E911)&gt;=1000000000000),ErrorMsgs!$D911)))</f>
        <v>0</v>
      </c>
      <c r="N911" s="712"/>
      <c r="O911" s="712"/>
      <c r="P911" s="712"/>
      <c r="Q911" s="712"/>
      <c r="R911" s="712"/>
      <c r="S911" s="712"/>
      <c r="T911" s="712"/>
      <c r="U911" s="526" t="str">
        <f t="shared" ca="1" si="126"/>
        <v/>
      </c>
      <c r="V911" s="93" t="str" cm="1">
        <f t="array" aca="1" ref="V911" ca="1">CELL("format",INDIRECT(I911))</f>
        <v>C2</v>
      </c>
      <c r="W911" s="93" t="b">
        <f t="shared" ca="1" si="127"/>
        <v>0</v>
      </c>
      <c r="X911" s="715" t="str">
        <f t="shared" ca="1" si="125"/>
        <v/>
      </c>
      <c r="Y911" t="b">
        <f t="shared" ca="1" si="128"/>
        <v>1</v>
      </c>
    </row>
    <row r="912" spans="1:25" ht="77.5">
      <c r="A912" s="705" t="s">
        <v>3558</v>
      </c>
      <c r="B912" s="716" t="str">
        <f t="shared" ca="1" si="113"/>
        <v>Asset-backed contributions - C59</v>
      </c>
      <c r="C912" s="707" t="str" cm="1">
        <f t="array" aca="1" ref="C912" ca="1">INDIRECT(LEFT(I912, FIND("!", I912)) &amp; RefData!$C$426 &amp; RIGHT(I912, LEN(I912) - FIND("!", I912) - 1))</f>
        <v xml:space="preserve">
No answer required
Date of valuation of underlying asset (optional)
</v>
      </c>
      <c r="D912" s="92" t="str">
        <f t="shared" ca="1" si="129"/>
        <v/>
      </c>
      <c r="E912" s="708" t="str" cm="1">
        <f t="array" aca="1" ref="E912" ca="1">IF(INDIRECT($I912)= "", "", INDIRECT($I912))</f>
        <v/>
      </c>
      <c r="F912" s="709" t="str" cm="1">
        <f t="array" aca="1" ref="F912" ca="1">INDIRECT(LEFT(I912, FIND("!", I912)) &amp; RefData!$C$427 &amp; RIGHT(I912, LEN(I912) - FIND("!", I912) - 1))</f>
        <v>ABC 11.0/4</v>
      </c>
      <c r="G912" s="710" t="b">
        <f ca="1">IF(ISNUMBER(SEARCH(RefData!$B$2, $C912)), FALSE, TRUE)</f>
        <v>0</v>
      </c>
      <c r="H912" s="344">
        <f>'Asset-backed contributions'!C59</f>
        <v>0</v>
      </c>
      <c r="I912" s="712" t="str">
        <f t="shared" ca="1" si="114"/>
        <v>'Asset-backed contributions'!C59</v>
      </c>
      <c r="J912" s="713" t="b" cm="1">
        <f t="array" aca="1" ref="J912" ca="1">IF(COUNTIF($K912:$T912, "&lt;&gt;FALSE") - COUNTBLANK($K912:$T912) &gt; 0, INDEX($K912:$T912, MATCH(TRUE, $K912:$T912 &lt;&gt; FALSE, 0)))</f>
        <v>0</v>
      </c>
      <c r="K912" s="712" t="b">
        <f ca="1">IF(AND('Asset-backed contributions'!$C$7=0,'Reconciliation report'!$E912&lt;&gt;""),ErrorMsgs!$B912)</f>
        <v>0</v>
      </c>
      <c r="L912" s="712" t="b">
        <f ca="1">IF(AND('Asset-backed contributions'!$C$7&lt;4,'Reconciliation report'!$E912&lt;&gt;""),ErrorMsgs!$C912)</f>
        <v>0</v>
      </c>
      <c r="M912" s="712" t="b">
        <f ca="1">IF($E912="",FALSE,IF(AND('Asset-backed contributions'!$C$7&gt;=4,NOT(ISNUMBER($E912))),ErrorMsgs!$D912))</f>
        <v>0</v>
      </c>
      <c r="N912" s="712" t="b">
        <f ca="1">IF(E912="",FALSE,IF(VALUE($E912)&gt;TODAY(),ErrorMsgs!$E912))</f>
        <v>0</v>
      </c>
      <c r="O912" s="712"/>
      <c r="P912" s="712"/>
      <c r="Q912" s="712"/>
      <c r="R912" s="712"/>
      <c r="S912" s="712"/>
      <c r="T912" s="712"/>
      <c r="U912" s="526" t="str">
        <f t="shared" ca="1" si="126"/>
        <v/>
      </c>
      <c r="V912" s="93" t="str" cm="1">
        <f t="array" aca="1" ref="V912" ca="1">CELL("format",INDIRECT(I912))</f>
        <v>D1</v>
      </c>
      <c r="W912" s="93" t="b">
        <f t="shared" ca="1" si="127"/>
        <v>0</v>
      </c>
      <c r="X912" s="715" t="str">
        <f t="shared" ca="1" si="125"/>
        <v/>
      </c>
      <c r="Y912" t="b">
        <f t="shared" ca="1" si="128"/>
        <v>1</v>
      </c>
    </row>
    <row r="913" spans="1:25" ht="62">
      <c r="A913" s="705" t="s">
        <v>3559</v>
      </c>
      <c r="B913" s="716" t="str">
        <f t="shared" ca="1" si="113"/>
        <v>Asset-backed contributions - C60</v>
      </c>
      <c r="C913" s="707" t="str" cm="1">
        <f t="array" aca="1" ref="C913" ca="1">INDIRECT(LEFT(I913, FIND("!", I913)) &amp; RefData!$C$426 &amp; RIGHT(I913, LEN(I913) - FIND("!", I913) - 1))</f>
        <v xml:space="preserve">
Triggers for any cessation of payment schedule, or for termination of ABC
</v>
      </c>
      <c r="D913" s="92" t="str">
        <f t="shared" ca="1" si="129"/>
        <v/>
      </c>
      <c r="E913" s="708" t="str" cm="1">
        <f t="array" aca="1" ref="E913" ca="1">IF(INDIRECT($I913)= "", "", INDIRECT($I913))</f>
        <v/>
      </c>
      <c r="F913" s="709" t="str" cm="1">
        <f t="array" aca="1" ref="F913" ca="1">INDIRECT(LEFT(I913, FIND("!", I913)) &amp; RefData!$C$427 &amp; RIGHT(I913, LEN(I913) - FIND("!", I913) - 1))</f>
        <v>ABC 12.0/4</v>
      </c>
      <c r="G913" s="710" t="b">
        <f ca="1">IF(ISNUMBER(SEARCH(RefData!$B$2, $C913)), FALSE, TRUE)</f>
        <v>1</v>
      </c>
      <c r="H913" s="344">
        <f>'Asset-backed contributions'!C60</f>
        <v>0</v>
      </c>
      <c r="I913" s="712" t="str">
        <f t="shared" ca="1" si="114"/>
        <v>'Asset-backed contributions'!C60</v>
      </c>
      <c r="J913" s="713" t="b" cm="1">
        <f t="array" aca="1" ref="J913" ca="1">IF(COUNTIF($K913:$T913, "&lt;&gt;FALSE") - COUNTBLANK($K913:$T913) &gt; 0, INDEX($K913:$T913, MATCH(TRUE, $K913:$T913 &lt;&gt; FALSE, 0)))</f>
        <v>0</v>
      </c>
      <c r="K913" s="712" t="b">
        <f ca="1">IF(AND('Start here'!$C$26=RefData!$B$9,'Reconciliation report'!$E913&lt;&gt;""),ErrorMsgs!$B913)</f>
        <v>0</v>
      </c>
      <c r="L913" s="712" t="b">
        <f ca="1">IF(AND('Start here'!$C$26=RefData!$B$10,'Asset-backed contributions'!$C$7=0,'Reconciliation report'!$E913&lt;&gt;""),ErrorMsgs!$C913)</f>
        <v>0</v>
      </c>
      <c r="M913" s="712" t="b">
        <f ca="1">IF(AND('Start here'!$C$26=RefData!$B$10,'Asset-backed contributions'!$C$7&lt;4,'Reconciliation report'!$E913&lt;&gt;""),ErrorMsgs!$D913)</f>
        <v>0</v>
      </c>
      <c r="N913" s="712" t="b">
        <f ca="1">IF(AND('Start here'!$C$26=RefData!$B$10,'Asset-backed contributions'!$C$7&gt;=4,'Reconciliation report'!$E913=""),ErrorMsgs!$E913)</f>
        <v>0</v>
      </c>
      <c r="O913" s="712" t="b">
        <f ca="1">IF(LEN($E913)&gt;4000,ErrorMsgs!$F913)</f>
        <v>0</v>
      </c>
      <c r="P913" s="712"/>
      <c r="Q913" s="712"/>
      <c r="R913" s="712"/>
      <c r="S913" s="712"/>
      <c r="T913" s="712"/>
      <c r="U913" s="526" t="str">
        <f t="shared" ca="1" si="126"/>
        <v/>
      </c>
      <c r="V913" s="93" t="str" cm="1">
        <f t="array" aca="1" ref="V913" ca="1">CELL("format",INDIRECT(I913))</f>
        <v>G</v>
      </c>
      <c r="W913" s="93" t="b">
        <f t="shared" ca="1" si="127"/>
        <v>0</v>
      </c>
      <c r="X913" s="715" t="str">
        <f t="shared" ca="1" si="125"/>
        <v/>
      </c>
      <c r="Y913" t="b">
        <f t="shared" ca="1" si="128"/>
        <v>1</v>
      </c>
    </row>
    <row r="914" spans="1:25" ht="93">
      <c r="A914" s="705" t="s">
        <v>3560</v>
      </c>
      <c r="B914" s="716" t="str">
        <f t="shared" ca="1" si="113"/>
        <v>Asset-backed contributions - C64</v>
      </c>
      <c r="C914" s="707" t="str" cm="1">
        <f t="array" aca="1" ref="C914" ca="1">INDIRECT(LEFT(I914, FIND("!", I914)) &amp; RefData!$C$426 &amp; RIGHT(I914, LEN(I914) - FIND("!", I914) - 1))</f>
        <v xml:space="preserve">
No answer required
What is the type of security underlying the asset backed contribution arrangement?
</v>
      </c>
      <c r="D914" s="92" t="str">
        <f t="shared" ref="D914:D923" ca="1" si="130">""&amp;IF(J914=FALSE, "", J914)
&amp;""</f>
        <v/>
      </c>
      <c r="E914" s="708" t="str" cm="1">
        <f t="array" aca="1" ref="E914" ca="1">IF(INDIRECT($I914)= "", "", INDIRECT($I914))</f>
        <v/>
      </c>
      <c r="F914" s="709" t="str" cm="1">
        <f t="array" aca="1" ref="F914" ca="1">INDIRECT(LEFT(I914, FIND("!", I914)) &amp; RefData!$C$427 &amp; RIGHT(I914, LEN(I914) - FIND("!", I914) - 1))</f>
        <v>ABC 3.0/5</v>
      </c>
      <c r="G914" s="710" t="b">
        <f ca="1">IF(ISNUMBER(SEARCH(RefData!$B$2, $C914)), FALSE, TRUE)</f>
        <v>0</v>
      </c>
      <c r="H914" s="344">
        <f>'Asset-backed contributions'!C64</f>
        <v>0</v>
      </c>
      <c r="I914" s="712" t="str">
        <f t="shared" ca="1" si="114"/>
        <v>'Asset-backed contributions'!C64</v>
      </c>
      <c r="J914" s="713" t="b" cm="1">
        <f t="array" aca="1" ref="J914" ca="1">IF(COUNTIF($K914:$T914, "&lt;&gt;FALSE") - COUNTBLANK($K914:$T914) &gt; 0, INDEX($K914:$T914, MATCH(TRUE, $K914:$T914 &lt;&gt; FALSE, 0)))</f>
        <v>0</v>
      </c>
      <c r="K914" s="712" t="b">
        <f ca="1">IF(AND('Asset-backed contributions'!$C$7=0,'Reconciliation report'!$E914&lt;&gt;""),ErrorMsgs!$B914)</f>
        <v>0</v>
      </c>
      <c r="L914" s="712" t="b">
        <f ca="1">IF(AND('Asset-backed contributions'!$C$7&lt;5,'Reconciliation report'!$E914&lt;&gt;""),ErrorMsgs!$C914)</f>
        <v>0</v>
      </c>
      <c r="M914" s="712" t="b">
        <f ca="1">IF(AND('Asset-backed contributions'!$C$7&gt;=5,'Reconciliation report'!$E914=""),ErrorMsgs!$D914)</f>
        <v>0</v>
      </c>
      <c r="N914" s="712" t="b">
        <f ca="1">IF(AND(ISNA(MATCH($E914,RefData!$B$181:$B$186, 0)), $E914&lt;&gt;""),ErrorMsgs!$E914)</f>
        <v>0</v>
      </c>
      <c r="O914" s="712"/>
      <c r="P914" s="712"/>
      <c r="Q914" s="712"/>
      <c r="R914" s="712"/>
      <c r="S914" s="712"/>
      <c r="T914" s="712"/>
      <c r="U914" s="526" t="str">
        <f t="shared" ca="1" si="126"/>
        <v/>
      </c>
      <c r="V914" s="93" t="str" cm="1">
        <f t="array" aca="1" ref="V914" ca="1">CELL("format",INDIRECT(I914))</f>
        <v>G</v>
      </c>
      <c r="W914" s="93" t="b">
        <f t="shared" ca="1" si="127"/>
        <v>0</v>
      </c>
      <c r="X914" s="715" t="str">
        <f t="shared" ca="1" si="125"/>
        <v/>
      </c>
      <c r="Y914" t="b">
        <f t="shared" ca="1" si="128"/>
        <v>1</v>
      </c>
    </row>
    <row r="915" spans="1:25" ht="77.5">
      <c r="A915" s="705" t="s">
        <v>3561</v>
      </c>
      <c r="B915" s="716" t="str">
        <f t="shared" ca="1" si="113"/>
        <v>Asset-backed contributions - C65</v>
      </c>
      <c r="C915" s="707" t="str" cm="1">
        <f t="array" aca="1" ref="C915" ca="1">INDIRECT(LEFT(I915, FIND("!", I915)) &amp; RefData!$C$426 &amp; RIGHT(I915, LEN(I915) - FIND("!", I915) - 1))</f>
        <v xml:space="preserve">
No answer required
A summary of the underlying asset
</v>
      </c>
      <c r="D915" s="92" t="str">
        <f t="shared" ca="1" si="130"/>
        <v/>
      </c>
      <c r="E915" s="708" t="str" cm="1">
        <f t="array" aca="1" ref="E915" ca="1">IF(INDIRECT($I915)= "", "", INDIRECT($I915))</f>
        <v/>
      </c>
      <c r="F915" s="709" t="str" cm="1">
        <f t="array" aca="1" ref="F915" ca="1">INDIRECT(LEFT(I915, FIND("!", I915)) &amp; RefData!$C$427 &amp; RIGHT(I915, LEN(I915) - FIND("!", I915) - 1))</f>
        <v>ABC 4.0/5</v>
      </c>
      <c r="G915" s="710" t="b">
        <f ca="1">IF(ISNUMBER(SEARCH(RefData!$B$2, $C915)), FALSE, TRUE)</f>
        <v>0</v>
      </c>
      <c r="H915" s="344">
        <f>'Asset-backed contributions'!C65</f>
        <v>0</v>
      </c>
      <c r="I915" s="712" t="str">
        <f t="shared" ca="1" si="114"/>
        <v>'Asset-backed contributions'!C65</v>
      </c>
      <c r="J915" s="713" t="b" cm="1">
        <f t="array" aca="1" ref="J915" ca="1">IF(COUNTIF($K915:$T915, "&lt;&gt;FALSE") - COUNTBLANK($K915:$T915) &gt; 0, INDEX($K915:$T915, MATCH(TRUE, $K915:$T915 &lt;&gt; FALSE, 0)))</f>
        <v>0</v>
      </c>
      <c r="K915" s="712" t="b">
        <f ca="1">IF(AND('Asset-backed contributions'!$C$7=0,'Reconciliation report'!$E915&lt;&gt;""),ErrorMsgs!$B915)</f>
        <v>0</v>
      </c>
      <c r="L915" s="712" t="b">
        <f ca="1">IF(AND('Asset-backed contributions'!$C$7&lt;5,'Reconciliation report'!$E915&lt;&gt;""),ErrorMsgs!$C915)</f>
        <v>0</v>
      </c>
      <c r="M915" s="712" t="b">
        <f ca="1">IF(AND('Asset-backed contributions'!$C$7&gt;=5,'Reconciliation report'!$E915=""),ErrorMsgs!$D915)</f>
        <v>0</v>
      </c>
      <c r="N915" s="712" t="b">
        <f ca="1">IF(LEN($E915)&gt;4000,ErrorMsgs!$E915)</f>
        <v>0</v>
      </c>
      <c r="O915" s="712"/>
      <c r="P915" s="712"/>
      <c r="Q915" s="712"/>
      <c r="R915" s="712"/>
      <c r="S915" s="712"/>
      <c r="T915" s="712"/>
      <c r="U915" s="526" t="str">
        <f t="shared" ca="1" si="126"/>
        <v/>
      </c>
      <c r="V915" s="93" t="str" cm="1">
        <f t="array" aca="1" ref="V915" ca="1">CELL("format",INDIRECT(I915))</f>
        <v>G</v>
      </c>
      <c r="W915" s="93" t="b">
        <f t="shared" ca="1" si="127"/>
        <v>0</v>
      </c>
      <c r="X915" s="715" t="str">
        <f t="shared" ca="1" si="125"/>
        <v/>
      </c>
      <c r="Y915" t="b">
        <f t="shared" ca="1" si="128"/>
        <v>1</v>
      </c>
    </row>
    <row r="916" spans="1:25" ht="77.5">
      <c r="A916" s="705" t="s">
        <v>3562</v>
      </c>
      <c r="B916" s="716" t="str">
        <f t="shared" ca="1" si="113"/>
        <v>Asset-backed contributions - C66</v>
      </c>
      <c r="C916" s="707" t="str" cm="1">
        <f t="array" aca="1" ref="C916" ca="1">INDIRECT(LEFT(I916, FIND("!", I916)) &amp; RefData!$C$426 &amp; RIGHT(I916, LEN(I916) - FIND("!", I916) - 1))</f>
        <v xml:space="preserve">
No answer required
Maturity type
</v>
      </c>
      <c r="D916" s="92" t="str">
        <f t="shared" ca="1" si="130"/>
        <v/>
      </c>
      <c r="E916" s="708" t="str" cm="1">
        <f t="array" aca="1" ref="E916" ca="1">IF(INDIRECT($I916)= "", "", INDIRECT($I916))</f>
        <v/>
      </c>
      <c r="F916" s="709" t="str" cm="1">
        <f t="array" aca="1" ref="F916" ca="1">INDIRECT(LEFT(I916, FIND("!", I916)) &amp; RefData!$C$427 &amp; RIGHT(I916, LEN(I916) - FIND("!", I916) - 1))</f>
        <v>ABC 5.0/5</v>
      </c>
      <c r="G916" s="710" t="b">
        <f ca="1">IF(ISNUMBER(SEARCH(RefData!$B$2, $C916)), FALSE, TRUE)</f>
        <v>0</v>
      </c>
      <c r="H916" s="344">
        <f>'Asset-backed contributions'!C66</f>
        <v>0</v>
      </c>
      <c r="I916" s="712" t="str">
        <f t="shared" ca="1" si="114"/>
        <v>'Asset-backed contributions'!C66</v>
      </c>
      <c r="J916" s="713" t="b" cm="1">
        <f t="array" aca="1" ref="J916" ca="1">IF(COUNTIF($K916:$T916, "&lt;&gt;FALSE") - COUNTBLANK($K916:$T916) &gt; 0, INDEX($K916:$T916, MATCH(TRUE, $K916:$T916 &lt;&gt; FALSE, 0)))</f>
        <v>0</v>
      </c>
      <c r="K916" s="712" t="b">
        <f ca="1">IF(AND('Asset-backed contributions'!$C$7=0,'Reconciliation report'!$E916&lt;&gt;""),ErrorMsgs!$B916)</f>
        <v>0</v>
      </c>
      <c r="L916" s="712" t="b">
        <f ca="1">IF(AND('Asset-backed contributions'!$C$7&lt;5,'Reconciliation report'!$E916&lt;&gt;""),ErrorMsgs!$C916)</f>
        <v>0</v>
      </c>
      <c r="M916" s="712" t="b">
        <f ca="1">IF(AND('Asset-backed contributions'!$C$7&gt;=5,'Reconciliation report'!$E916=""),ErrorMsgs!$D916)</f>
        <v>0</v>
      </c>
      <c r="N916" s="712" t="b">
        <f ca="1">IF(AND(ISNA(MATCH($E916,RefData!$B$187:$B$189, 0)), $E916&lt;&gt;""),ErrorMsgs!$E916)</f>
        <v>0</v>
      </c>
      <c r="O916" s="712"/>
      <c r="P916" s="712"/>
      <c r="Q916" s="712"/>
      <c r="R916" s="712"/>
      <c r="S916" s="712"/>
      <c r="T916" s="712"/>
      <c r="U916" s="526" t="str">
        <f t="shared" ca="1" si="126"/>
        <v/>
      </c>
      <c r="V916" s="93" t="str" cm="1">
        <f t="array" aca="1" ref="V916" ca="1">CELL("format",INDIRECT(I916))</f>
        <v>G</v>
      </c>
      <c r="W916" s="93" t="b">
        <f t="shared" ca="1" si="127"/>
        <v>0</v>
      </c>
      <c r="X916" s="715" t="str">
        <f t="shared" ca="1" si="125"/>
        <v/>
      </c>
      <c r="Y916" t="b">
        <f t="shared" ca="1" si="128"/>
        <v>1</v>
      </c>
    </row>
    <row r="917" spans="1:25" ht="77.5">
      <c r="A917" s="705" t="s">
        <v>3563</v>
      </c>
      <c r="B917" s="716" t="str">
        <f t="shared" ca="1" si="113"/>
        <v>Asset-backed contributions - C67</v>
      </c>
      <c r="C917" s="707" t="str" cm="1">
        <f t="array" aca="1" ref="C917" ca="1">INDIRECT(LEFT(I917, FIND("!", I917)) &amp; RefData!$C$426 &amp; RIGHT(I917, LEN(I917) - FIND("!", I917) - 1))</f>
        <v xml:space="preserve">
No answer required
Date of maturity
</v>
      </c>
      <c r="D917" s="92" t="str">
        <f t="shared" ca="1" si="130"/>
        <v/>
      </c>
      <c r="E917" s="708" t="str" cm="1">
        <f t="array" aca="1" ref="E917" ca="1">IF(INDIRECT($I917)= "", "", INDIRECT($I917))</f>
        <v/>
      </c>
      <c r="F917" s="709" t="str" cm="1">
        <f t="array" aca="1" ref="F917" ca="1">INDIRECT(LEFT(I917, FIND("!", I917)) &amp; RefData!$C$427 &amp; RIGHT(I917, LEN(I917) - FIND("!", I917) - 1))</f>
        <v>ABC 6.0/5</v>
      </c>
      <c r="G917" s="710" t="b">
        <f ca="1">IF(ISNUMBER(SEARCH(RefData!$B$2, $C917)), FALSE, TRUE)</f>
        <v>0</v>
      </c>
      <c r="H917" s="391">
        <f>'Asset-backed contributions'!C67</f>
        <v>0</v>
      </c>
      <c r="I917" s="712" t="str">
        <f t="shared" ca="1" si="114"/>
        <v>'Asset-backed contributions'!C67</v>
      </c>
      <c r="J917" s="713" t="b" cm="1">
        <f t="array" aca="1" ref="J917" ca="1">IF(COUNTIF($K917:$T917, "&lt;&gt;FALSE") - COUNTBLANK($K917:$T917) &gt; 0, INDEX($K917:$T917, MATCH(TRUE, $K917:$T917 &lt;&gt; FALSE, 0)))</f>
        <v>0</v>
      </c>
      <c r="K917" s="712" t="b">
        <f ca="1">IF(AND('Asset-backed contributions'!$C$7=0,'Reconciliation report'!$E917&lt;&gt;""),ErrorMsgs!$B917)</f>
        <v>0</v>
      </c>
      <c r="L917" s="712" t="b">
        <f ca="1">IF(AND('Asset-backed contributions'!$C$7&lt;5,'Reconciliation report'!$E917&lt;&gt;""),ErrorMsgs!$C917)</f>
        <v>0</v>
      </c>
      <c r="M917" s="712" t="b">
        <f ca="1">IF(AND('Asset-backed contributions'!$C$7&gt;=5,OR('Asset-backed contributions'!$C$66=RefData!$B$187,'Asset-backed contributions'!$C$66=RefData!$B$189),'Reconciliation report'!$E917&lt;&gt;""),ErrorMsgs!$D917)</f>
        <v>0</v>
      </c>
      <c r="N917" s="712" t="b">
        <f ca="1">IF(AND('Asset-backed contributions'!$C$7&gt;=5,'Asset-backed contributions'!$C$66=RefData!$B$188,'Reconciliation report'!$E917=""),ErrorMsgs!$E917)</f>
        <v>0</v>
      </c>
      <c r="O917" s="712" t="b">
        <f ca="1">IF(E917="",FALSE,IF(NOT(ISNUMBER($E917)),ErrorMsgs!$F917))</f>
        <v>0</v>
      </c>
      <c r="P917" s="712" t="b">
        <f ca="1">IF($E917&lt;'Start here'!$C$21,ErrorMsgs!$G917)</f>
        <v>0</v>
      </c>
      <c r="Q917" s="712"/>
      <c r="R917" s="712"/>
      <c r="S917" s="712"/>
      <c r="T917" s="712"/>
      <c r="U917" s="526" t="str">
        <f t="shared" ca="1" si="126"/>
        <v/>
      </c>
      <c r="V917" s="93" t="str" cm="1">
        <f t="array" aca="1" ref="V917" ca="1">CELL("format",INDIRECT(I917))</f>
        <v>D1</v>
      </c>
      <c r="W917" s="93" t="b">
        <f t="shared" ca="1" si="127"/>
        <v>0</v>
      </c>
      <c r="X917" s="715" t="str">
        <f t="shared" ca="1" si="125"/>
        <v/>
      </c>
      <c r="Y917" t="b">
        <f t="shared" ca="1" si="128"/>
        <v>1</v>
      </c>
    </row>
    <row r="918" spans="1:25" ht="77.5">
      <c r="A918" s="705" t="s">
        <v>3564</v>
      </c>
      <c r="B918" s="716" t="str">
        <f t="shared" ca="1" si="113"/>
        <v>Asset-backed contributions - C68</v>
      </c>
      <c r="C918" s="707" t="str" cm="1">
        <f t="array" aca="1" ref="C918" ca="1">INDIRECT(LEFT(I918, FIND("!", I918)) &amp; RefData!$C$426 &amp; RIGHT(I918, LEN(I918) - FIND("!", I918) - 1))</f>
        <v xml:space="preserve">
No answer required
Maturity date narrative
</v>
      </c>
      <c r="D918" s="92" t="str">
        <f t="shared" ca="1" si="130"/>
        <v/>
      </c>
      <c r="E918" s="708" t="str" cm="1">
        <f t="array" aca="1" ref="E918" ca="1">IF(INDIRECT($I918)= "", "", INDIRECT($I918))</f>
        <v/>
      </c>
      <c r="F918" s="709" t="str" cm="1">
        <f t="array" aca="1" ref="F918" ca="1">INDIRECT(LEFT(I918, FIND("!", I918)) &amp; RefData!$C$427 &amp; RIGHT(I918, LEN(I918) - FIND("!", I918) - 1))</f>
        <v>ABC 7.0/5</v>
      </c>
      <c r="G918" s="710" t="b">
        <f ca="1">IF(ISNUMBER(SEARCH(RefData!$B$2, $C918)), FALSE, TRUE)</f>
        <v>0</v>
      </c>
      <c r="H918" s="344">
        <f>'Asset-backed contributions'!C68</f>
        <v>0</v>
      </c>
      <c r="I918" s="712" t="str">
        <f t="shared" ca="1" si="114"/>
        <v>'Asset-backed contributions'!C68</v>
      </c>
      <c r="J918" s="713" t="b" cm="1">
        <f t="array" aca="1" ref="J918" ca="1">IF(COUNTIF($K918:$T918, "&lt;&gt;FALSE") - COUNTBLANK($K918:$T918) &gt; 0, INDEX($K918:$T918, MATCH(TRUE, $K918:$T918 &lt;&gt; FALSE, 0)))</f>
        <v>0</v>
      </c>
      <c r="K918" s="712" t="b">
        <f ca="1">IF(AND('Asset-backed contributions'!$C$7=0,'Reconciliation report'!$E918&lt;&gt;""),ErrorMsgs!$B918)</f>
        <v>0</v>
      </c>
      <c r="L918" s="712" t="b">
        <f ca="1">IF(AND('Asset-backed contributions'!$C$7&lt;5,'Reconciliation report'!$E918&lt;&gt;""),ErrorMsgs!$C918)</f>
        <v>0</v>
      </c>
      <c r="M918" s="712" t="b">
        <f ca="1">IF(AND('Asset-backed contributions'!$C$7&gt;=5,'Asset-backed contributions'!$C$66&lt;&gt;RefData!$B$189,'Reconciliation report'!$E918&lt;&gt;""),ErrorMsgs!$D918)</f>
        <v>0</v>
      </c>
      <c r="N918" s="712" t="b">
        <f ca="1">IF(AND('Asset-backed contributions'!$C$7&gt;=5,'Asset-backed contributions'!$C$66=RefData!$B$189,'Reconciliation report'!$E918=""),ErrorMsgs!$E918)</f>
        <v>0</v>
      </c>
      <c r="O918" s="712" t="b">
        <f ca="1">IF(LEN($E918)&gt;4000,ErrorMsgs!$F918)</f>
        <v>0</v>
      </c>
      <c r="P918" s="712"/>
      <c r="Q918" s="712"/>
      <c r="R918" s="712"/>
      <c r="S918" s="712"/>
      <c r="T918" s="712"/>
      <c r="U918" s="526" t="str">
        <f t="shared" ca="1" si="126"/>
        <v/>
      </c>
      <c r="V918" s="93" t="str" cm="1">
        <f t="array" aca="1" ref="V918" ca="1">CELL("format",INDIRECT(I918))</f>
        <v>G</v>
      </c>
      <c r="W918" s="93" t="b">
        <f t="shared" ca="1" si="127"/>
        <v>0</v>
      </c>
      <c r="X918" s="715" t="str">
        <f t="shared" ca="1" si="125"/>
        <v/>
      </c>
      <c r="Y918" t="b">
        <f t="shared" ca="1" si="128"/>
        <v>1</v>
      </c>
    </row>
    <row r="919" spans="1:25" ht="77.5">
      <c r="A919" s="705" t="s">
        <v>3565</v>
      </c>
      <c r="B919" s="716" t="str">
        <f t="shared" ca="1" si="113"/>
        <v>Asset-backed contributions - C69</v>
      </c>
      <c r="C919" s="707" t="str" cm="1">
        <f t="array" aca="1" ref="C919" ca="1">INDIRECT(LEFT(I919, FIND("!", I919)) &amp; RefData!$C$426 &amp; RIGHT(I919, LEN(I919) - FIND("!", I919) - 1))</f>
        <v xml:space="preserve">
No answer required
Net present value (NPV) (£)
</v>
      </c>
      <c r="D919" s="92" t="str">
        <f t="shared" ca="1" si="130"/>
        <v/>
      </c>
      <c r="E919" s="708" t="str" cm="1">
        <f t="array" aca="1" ref="E919" ca="1">IF(INDIRECT($I919)= "", "", INDIRECT($I919))</f>
        <v/>
      </c>
      <c r="F919" s="709" t="str" cm="1">
        <f t="array" aca="1" ref="F919" ca="1">INDIRECT(LEFT(I919, FIND("!", I919)) &amp; RefData!$C$427 &amp; RIGHT(I919, LEN(I919) - FIND("!", I919) - 1))</f>
        <v>ABC 8.0/5</v>
      </c>
      <c r="G919" s="710" t="b">
        <f ca="1">IF(ISNUMBER(SEARCH(RefData!$B$2, $C919)), FALSE, TRUE)</f>
        <v>0</v>
      </c>
      <c r="H919" s="344">
        <f>'Asset-backed contributions'!C69</f>
        <v>0</v>
      </c>
      <c r="I919" s="712" t="str">
        <f t="shared" ca="1" si="114"/>
        <v>'Asset-backed contributions'!C69</v>
      </c>
      <c r="J919" s="713" t="b" cm="1">
        <f t="array" aca="1" ref="J919" ca="1">IF(COUNTIF($K919:$T919, "&lt;&gt;FALSE") - COUNTBLANK($K919:$T919) &gt; 0, INDEX($K919:$T919, MATCH(TRUE, $K919:$T919 &lt;&gt; FALSE, 0)))</f>
        <v>0</v>
      </c>
      <c r="K919" s="712" t="b">
        <f ca="1">IF(AND('Asset-backed contributions'!$C$7=0,'Reconciliation report'!$E919&lt;&gt;""),ErrorMsgs!$B919)</f>
        <v>0</v>
      </c>
      <c r="L919" s="712" t="b">
        <f ca="1">IF(AND('Asset-backed contributions'!$C$7&lt;5,'Reconciliation report'!$E919&lt;&gt;""),ErrorMsgs!$C919)</f>
        <v>0</v>
      </c>
      <c r="M919" s="712" t="b">
        <f ca="1">IF(AND('Asset-backed contributions'!$C$7&gt;=5,'Reconciliation report'!$E919=""),ErrorMsgs!$D919)</f>
        <v>0</v>
      </c>
      <c r="N919" s="712" t="b">
        <f ca="1">IF($E919="",FALSE,IF(NOT(ISNUMBER($E919)),ErrorMsgs!$E919,IF(OR(VALUE($E919)-ROUND(VALUE($E919),2),VALUE($E919)&lt;0,VALUE($E919)&gt;=1000000000000),ErrorMsgs!$E919)))</f>
        <v>0</v>
      </c>
      <c r="O919" s="714"/>
      <c r="P919" s="712"/>
      <c r="Q919" s="712"/>
      <c r="R919" s="712"/>
      <c r="S919" s="712"/>
      <c r="T919" s="712"/>
      <c r="U919" s="526" t="str">
        <f t="shared" ca="1" si="126"/>
        <v/>
      </c>
      <c r="V919" s="93" t="str" cm="1">
        <f t="array" aca="1" ref="V919" ca="1">CELL("format",INDIRECT(I919))</f>
        <v>C2</v>
      </c>
      <c r="W919" s="93" t="b">
        <f t="shared" ca="1" si="127"/>
        <v>0</v>
      </c>
      <c r="X919" s="715" t="str">
        <f t="shared" ca="1" si="125"/>
        <v/>
      </c>
      <c r="Y919" t="b">
        <f t="shared" ca="1" si="128"/>
        <v>1</v>
      </c>
    </row>
    <row r="920" spans="1:25" ht="77.5">
      <c r="A920" s="705" t="s">
        <v>3566</v>
      </c>
      <c r="B920" s="716" t="str">
        <f t="shared" ca="1" si="113"/>
        <v>Asset-backed contributions - C70</v>
      </c>
      <c r="C920" s="707" t="str" cm="1">
        <f t="array" aca="1" ref="C920" ca="1">INDIRECT(LEFT(I920, FIND("!", I920)) &amp; RefData!$C$426 &amp; RIGHT(I920, LEN(I920) - FIND("!", I920) - 1))</f>
        <v xml:space="preserve">
No answer required
Date NPV calculated
</v>
      </c>
      <c r="D920" s="92" t="str">
        <f t="shared" ca="1" si="130"/>
        <v/>
      </c>
      <c r="E920" s="708" t="str" cm="1">
        <f t="array" aca="1" ref="E920" ca="1">IF(INDIRECT($I920)= "", "", INDIRECT($I920))</f>
        <v/>
      </c>
      <c r="F920" s="709" t="str" cm="1">
        <f t="array" aca="1" ref="F920" ca="1">INDIRECT(LEFT(I920, FIND("!", I920)) &amp; RefData!$C$427 &amp; RIGHT(I920, LEN(I920) - FIND("!", I920) - 1))</f>
        <v>ABC 9.0/5</v>
      </c>
      <c r="G920" s="710" t="b">
        <f ca="1">IF(ISNUMBER(SEARCH(RefData!$B$2, $C920)), FALSE, TRUE)</f>
        <v>0</v>
      </c>
      <c r="H920" s="344">
        <f>'Asset-backed contributions'!C70</f>
        <v>0</v>
      </c>
      <c r="I920" s="712" t="str">
        <f t="shared" ca="1" si="114"/>
        <v>'Asset-backed contributions'!C70</v>
      </c>
      <c r="J920" s="713" t="b" cm="1">
        <f t="array" aca="1" ref="J920" ca="1">IF(COUNTIF($K920:$T920, "&lt;&gt;FALSE") - COUNTBLANK($K920:$T920) &gt; 0, INDEX($K920:$T920, MATCH(TRUE, $K920:$T920 &lt;&gt; FALSE, 0)))</f>
        <v>0</v>
      </c>
      <c r="K920" s="712" t="b">
        <f ca="1">IF(AND('Asset-backed contributions'!$C$7=0,'Reconciliation report'!$E920&lt;&gt;""),ErrorMsgs!$B920)</f>
        <v>0</v>
      </c>
      <c r="L920" s="712" t="b">
        <f ca="1">IF(AND('Asset-backed contributions'!$C$7&lt;5,'Reconciliation report'!$E920&lt;&gt;""),ErrorMsgs!$C920)</f>
        <v>0</v>
      </c>
      <c r="M920" s="712" t="b">
        <f ca="1">IF(AND('Asset-backed contributions'!$C$7&gt;=5,'Reconciliation report'!$E920=""),ErrorMsgs!$D920)</f>
        <v>0</v>
      </c>
      <c r="N920" s="712" t="b">
        <f ca="1">IF($E920="",FALSE,IF(NOT(ISNUMBER($E920)),ErrorMsgs!$E920))</f>
        <v>0</v>
      </c>
      <c r="O920" s="712" t="b">
        <f ca="1">IF($E920="",FALSE,IF(VALUE($E920)&gt;TODAY(),ErrorMsgs!$F920))</f>
        <v>0</v>
      </c>
      <c r="P920" s="712"/>
      <c r="Q920" s="712"/>
      <c r="R920" s="712"/>
      <c r="S920" s="712"/>
      <c r="T920" s="712"/>
      <c r="U920" s="526" t="str">
        <f t="shared" ca="1" si="126"/>
        <v/>
      </c>
      <c r="V920" s="93" t="str" cm="1">
        <f t="array" aca="1" ref="V920" ca="1">CELL("format",INDIRECT(I920))</f>
        <v>D1</v>
      </c>
      <c r="W920" s="93" t="b">
        <f t="shared" ca="1" si="127"/>
        <v>0</v>
      </c>
      <c r="X920" s="715" t="str">
        <f t="shared" ca="1" si="125"/>
        <v/>
      </c>
      <c r="Y920" t="b">
        <f t="shared" ca="1" si="128"/>
        <v>1</v>
      </c>
    </row>
    <row r="921" spans="1:25" ht="77.5">
      <c r="A921" s="705" t="s">
        <v>3567</v>
      </c>
      <c r="B921" s="716" t="str">
        <f t="shared" ca="1" si="113"/>
        <v>Asset-backed contributions - C71</v>
      </c>
      <c r="C921" s="707" t="str" cm="1">
        <f t="array" aca="1" ref="C921" ca="1">INDIRECT(LEFT(I921, FIND("!", I921)) &amp; RefData!$C$426 &amp; RIGHT(I921, LEN(I921) - FIND("!", I921) - 1))</f>
        <v xml:space="preserve">
No answer required
Value of underlying asset (£) (optional)
</v>
      </c>
      <c r="D921" s="92" t="str">
        <f t="shared" ca="1" si="130"/>
        <v/>
      </c>
      <c r="E921" s="708" t="str" cm="1">
        <f t="array" aca="1" ref="E921" ca="1">IF(INDIRECT($I921)= "", "", INDIRECT($I921))</f>
        <v/>
      </c>
      <c r="F921" s="709" t="str" cm="1">
        <f t="array" aca="1" ref="F921" ca="1">INDIRECT(LEFT(I921, FIND("!", I921)) &amp; RefData!$C$427 &amp; RIGHT(I921, LEN(I921) - FIND("!", I921) - 1))</f>
        <v>ABC 10.0/5</v>
      </c>
      <c r="G921" s="710" t="b">
        <f ca="1">IF(ISNUMBER(SEARCH(RefData!$B$2, $C921)), FALSE, TRUE)</f>
        <v>0</v>
      </c>
      <c r="H921" s="344">
        <f>'Asset-backed contributions'!C71</f>
        <v>0</v>
      </c>
      <c r="I921" s="712" t="str">
        <f t="shared" ca="1" si="114"/>
        <v>'Asset-backed contributions'!C71</v>
      </c>
      <c r="J921" s="713" t="b" cm="1">
        <f t="array" aca="1" ref="J921" ca="1">IF(COUNTIF($K921:$T921, "&lt;&gt;FALSE") - COUNTBLANK($K921:$T921) &gt; 0, INDEX($K921:$T921, MATCH(TRUE, $K921:$T921 &lt;&gt; FALSE, 0)))</f>
        <v>0</v>
      </c>
      <c r="K921" s="712" t="b">
        <f ca="1">IF(AND('Asset-backed contributions'!$C$7=0,'Reconciliation report'!$E921&lt;&gt;""),ErrorMsgs!$B921)</f>
        <v>0</v>
      </c>
      <c r="L921" s="712" t="b">
        <f ca="1">IF(AND('Asset-backed contributions'!$C$7&lt;5,'Reconciliation report'!$E921&lt;&gt;""),ErrorMsgs!$C921)</f>
        <v>0</v>
      </c>
      <c r="M921" s="712" t="b">
        <f ca="1">IF($E921="",FALSE,IF(ISERROR(VALUE($E921)),ErrorMsgs!$D921,IF(OR(VALUE($E921)-ROUND(VALUE($E921),2),VALUE($E921)&lt;0,VALUE($E921)&gt;=1000000000000),ErrorMsgs!$D921)))</f>
        <v>0</v>
      </c>
      <c r="N921" s="712"/>
      <c r="O921" s="712"/>
      <c r="P921" s="712"/>
      <c r="Q921" s="712"/>
      <c r="R921" s="712"/>
      <c r="S921" s="712"/>
      <c r="T921" s="712"/>
      <c r="U921" s="526" t="str">
        <f t="shared" ca="1" si="126"/>
        <v/>
      </c>
      <c r="V921" s="93" t="str" cm="1">
        <f t="array" aca="1" ref="V921" ca="1">CELL("format",INDIRECT(I921))</f>
        <v>C2</v>
      </c>
      <c r="W921" s="93" t="b">
        <f t="shared" ca="1" si="127"/>
        <v>0</v>
      </c>
      <c r="X921" s="715" t="str">
        <f t="shared" ca="1" si="125"/>
        <v/>
      </c>
      <c r="Y921" t="b">
        <f t="shared" ca="1" si="128"/>
        <v>1</v>
      </c>
    </row>
    <row r="922" spans="1:25" ht="77.5">
      <c r="A922" s="705" t="s">
        <v>3568</v>
      </c>
      <c r="B922" s="716" t="str">
        <f t="shared" ca="1" si="113"/>
        <v>Asset-backed contributions - C72</v>
      </c>
      <c r="C922" s="707" t="str" cm="1">
        <f t="array" aca="1" ref="C922" ca="1">INDIRECT(LEFT(I922, FIND("!", I922)) &amp; RefData!$C$426 &amp; RIGHT(I922, LEN(I922) - FIND("!", I922) - 1))</f>
        <v xml:space="preserve">
No answer required
Date of valuation of underlying asset (optional)
</v>
      </c>
      <c r="D922" s="92" t="str">
        <f t="shared" ca="1" si="130"/>
        <v/>
      </c>
      <c r="E922" s="708" t="str" cm="1">
        <f t="array" aca="1" ref="E922" ca="1">IF(INDIRECT($I922)= "", "", INDIRECT($I922))</f>
        <v/>
      </c>
      <c r="F922" s="709" t="str" cm="1">
        <f t="array" aca="1" ref="F922" ca="1">INDIRECT(LEFT(I922, FIND("!", I922)) &amp; RefData!$C$427 &amp; RIGHT(I922, LEN(I922) - FIND("!", I922) - 1))</f>
        <v>ABC 11.0/5</v>
      </c>
      <c r="G922" s="710" t="b">
        <f ca="1">IF(ISNUMBER(SEARCH(RefData!$B$2, $C922)), FALSE, TRUE)</f>
        <v>0</v>
      </c>
      <c r="H922" s="344">
        <f>'Asset-backed contributions'!C72</f>
        <v>0</v>
      </c>
      <c r="I922" s="712" t="str">
        <f t="shared" ca="1" si="114"/>
        <v>'Asset-backed contributions'!C72</v>
      </c>
      <c r="J922" s="713" t="b" cm="1">
        <f t="array" aca="1" ref="J922" ca="1">IF(COUNTIF($K922:$T922, "&lt;&gt;FALSE") - COUNTBLANK($K922:$T922) &gt; 0, INDEX($K922:$T922, MATCH(TRUE, $K922:$T922 &lt;&gt; FALSE, 0)))</f>
        <v>0</v>
      </c>
      <c r="K922" s="712" t="b">
        <f ca="1">IF(AND('Asset-backed contributions'!$C$7=0,'Reconciliation report'!$E922&lt;&gt;""),ErrorMsgs!$B922)</f>
        <v>0</v>
      </c>
      <c r="L922" s="712" t="b">
        <f ca="1">IF(AND('Asset-backed contributions'!$C$7&lt;5,'Reconciliation report'!$E922&lt;&gt;""),ErrorMsgs!$C922)</f>
        <v>0</v>
      </c>
      <c r="M922" s="712" t="b">
        <f ca="1">IF($E922="",FALSE,IF(AND('Asset-backed contributions'!$C$7&gt;=5,NOT(ISNUMBER($E922))),ErrorMsgs!$D922))</f>
        <v>0</v>
      </c>
      <c r="N922" s="712" t="b">
        <f ca="1">IF(E922="",FALSE,IF(VALUE($E922)&gt;TODAY(),ErrorMsgs!$E922))</f>
        <v>0</v>
      </c>
      <c r="O922" s="712"/>
      <c r="P922" s="712"/>
      <c r="Q922" s="712"/>
      <c r="R922" s="712"/>
      <c r="S922" s="712"/>
      <c r="T922" s="712"/>
      <c r="U922" s="526" t="str">
        <f t="shared" ca="1" si="126"/>
        <v/>
      </c>
      <c r="V922" s="93" t="str" cm="1">
        <f t="array" aca="1" ref="V922" ca="1">CELL("format",INDIRECT(I922))</f>
        <v>D1</v>
      </c>
      <c r="W922" s="93" t="b">
        <f t="shared" ca="1" si="127"/>
        <v>0</v>
      </c>
      <c r="X922" s="715" t="str">
        <f t="shared" ca="1" si="125"/>
        <v/>
      </c>
      <c r="Y922" t="b">
        <f t="shared" ca="1" si="128"/>
        <v>1</v>
      </c>
    </row>
    <row r="923" spans="1:25" ht="62">
      <c r="A923" s="705" t="s">
        <v>3569</v>
      </c>
      <c r="B923" s="716" t="str">
        <f t="shared" ca="1" si="113"/>
        <v>Asset-backed contributions - C73</v>
      </c>
      <c r="C923" s="707" t="str" cm="1">
        <f t="array" aca="1" ref="C923" ca="1">INDIRECT(LEFT(I923, FIND("!", I923)) &amp; RefData!$C$426 &amp; RIGHT(I923, LEN(I923) - FIND("!", I923) - 1))</f>
        <v xml:space="preserve">
Triggers for any cessation of payment schedule, or for termination of ABC
</v>
      </c>
      <c r="D923" s="92" t="str">
        <f t="shared" ca="1" si="130"/>
        <v/>
      </c>
      <c r="E923" s="708" t="str" cm="1">
        <f t="array" aca="1" ref="E923" ca="1">IF(INDIRECT($I923)= "", "", INDIRECT($I923))</f>
        <v/>
      </c>
      <c r="F923" s="709" t="str" cm="1">
        <f t="array" aca="1" ref="F923" ca="1">INDIRECT(LEFT(I923, FIND("!", I923)) &amp; RefData!$C$427 &amp; RIGHT(I923, LEN(I923) - FIND("!", I923) - 1))</f>
        <v>ABC 12.0/5</v>
      </c>
      <c r="G923" s="710" t="b">
        <f ca="1">IF(ISNUMBER(SEARCH(RefData!$B$2, $C923)), FALSE, TRUE)</f>
        <v>1</v>
      </c>
      <c r="H923" s="344">
        <f>'Asset-backed contributions'!C73</f>
        <v>0</v>
      </c>
      <c r="I923" s="712" t="str">
        <f t="shared" ca="1" si="114"/>
        <v>'Asset-backed contributions'!C73</v>
      </c>
      <c r="J923" s="713" t="b" cm="1">
        <f t="array" aca="1" ref="J923" ca="1">IF(COUNTIF($K923:$T923, "&lt;&gt;FALSE") - COUNTBLANK($K923:$T923) &gt; 0, INDEX($K923:$T923, MATCH(TRUE, $K923:$T923 &lt;&gt; FALSE, 0)))</f>
        <v>0</v>
      </c>
      <c r="K923" s="712" t="b">
        <f ca="1">IF(AND('Start here'!$C$26=RefData!$B$9,'Reconciliation report'!$E923&lt;&gt;""),ErrorMsgs!$B923)</f>
        <v>0</v>
      </c>
      <c r="L923" s="712" t="b">
        <f ca="1">IF(AND('Start here'!$C$26=RefData!$B$10,'Asset-backed contributions'!$C$7=0,'Reconciliation report'!$E923&lt;&gt;""),ErrorMsgs!$C923)</f>
        <v>0</v>
      </c>
      <c r="M923" s="712" t="b">
        <f ca="1">IF(AND('Start here'!$C$26=RefData!$B$10,'Asset-backed contributions'!$C$7&lt;5,'Reconciliation report'!$E923&lt;&gt;""),ErrorMsgs!$D923)</f>
        <v>0</v>
      </c>
      <c r="N923" s="712" t="b">
        <f ca="1">IF(AND('Start here'!$C$26=RefData!$B$10,'Asset-backed contributions'!$C$7&gt;=5,'Reconciliation report'!$E923=""),ErrorMsgs!$E923)</f>
        <v>0</v>
      </c>
      <c r="O923" s="712" t="b">
        <f ca="1">IF(LEN($E923)&gt;4000,ErrorMsgs!$F923)</f>
        <v>0</v>
      </c>
      <c r="P923" s="712"/>
      <c r="Q923" s="712"/>
      <c r="R923" s="712"/>
      <c r="S923" s="712"/>
      <c r="T923" s="712"/>
      <c r="U923" s="526" t="str">
        <f t="shared" ca="1" si="126"/>
        <v/>
      </c>
      <c r="V923" s="93" t="str" cm="1">
        <f t="array" aca="1" ref="V923" ca="1">CELL("format",INDIRECT(I923))</f>
        <v>G</v>
      </c>
      <c r="W923" s="93" t="b">
        <f t="shared" ca="1" si="127"/>
        <v>0</v>
      </c>
      <c r="X923" s="715" t="str">
        <f t="shared" ca="1" si="125"/>
        <v/>
      </c>
      <c r="Y923" t="b">
        <f t="shared" ca="1" si="128"/>
        <v>1</v>
      </c>
    </row>
    <row r="924" spans="1:25" ht="77.5">
      <c r="A924" s="705" t="s">
        <v>3570</v>
      </c>
      <c r="B924" s="716" t="str">
        <f t="shared" ca="1" si="113"/>
        <v>ABC income stream - C8</v>
      </c>
      <c r="C924" s="707" t="str" cm="1">
        <f t="array" aca="1" ref="C924" ca="1">INDIRECT(LEFT(I924, FIND("!", I924)) &amp; RefData!$C$426 &amp; RIGHT(I924, LEN(I924) - FIND("!", I924) - 1))</f>
        <v xml:space="preserve">
No answer required
Year 1
</v>
      </c>
      <c r="D924" s="92" t="str">
        <f t="shared" ca="1" si="112"/>
        <v/>
      </c>
      <c r="E924" s="708" t="str" cm="1">
        <f t="array" aca="1" ref="E924" ca="1">IF(INDIRECT($I924)= "", "", INDIRECT($I924))</f>
        <v/>
      </c>
      <c r="F924" s="709" t="str" cm="1">
        <f t="array" aca="1" ref="F924" ca="1">SUBSTITUTE(INDIRECT(LEFT(I924, FIND("!", I924)) &amp; RefData!$C$427 &amp; RIGHT(I924, LEN(I924) - FIND("!", I924) - 1)), "/1-5", "/1")</f>
        <v>AIS 1.0/1</v>
      </c>
      <c r="G924" s="710" t="b">
        <f ca="1">IF(ISNUMBER(SEARCH(RefData!$B$2, $C924)), FALSE, TRUE)</f>
        <v>0</v>
      </c>
      <c r="H924" s="344">
        <f>'ABC income stream'!C8</f>
        <v>0</v>
      </c>
      <c r="I924" s="712" t="str">
        <f t="shared" ca="1" si="114"/>
        <v>'ABC income stream'!C8</v>
      </c>
      <c r="J924" s="713" t="b" cm="1">
        <f t="array" aca="1" ref="J924" ca="1">IF(COUNTIF($K924:$T924, "&lt;&gt;FALSE") - COUNTBLANK($K924:$T924) &gt; 0, INDEX($K924:$T924, MATCH(TRUE, $K924:$T924 &lt;&gt; FALSE, 0)))</f>
        <v>0</v>
      </c>
      <c r="K924" s="712" t="b">
        <f ca="1">IF(AND('Asset-backed contributions'!$C$7=0,'Reconciliation report'!$E924&lt;&gt;""),ErrorMsgs!$B924)</f>
        <v>0</v>
      </c>
      <c r="L924" s="712" t="b">
        <f ca="1">IF(AND('Asset-backed contributions'!$C$7&lt;1,'Reconciliation report'!$E924&lt;&gt;""),ErrorMsgs!$C924)</f>
        <v>0</v>
      </c>
      <c r="M924" s="712" t="b">
        <f ca="1">IF(AND('Asset-backed contributions'!$C$7&gt;=1,'Reconciliation report'!$E924=""),ErrorMsgs!$D924)</f>
        <v>0</v>
      </c>
      <c r="N924" s="712" t="b">
        <f ca="1">IF($E924="",FALSE,IF(ISERROR(VALUE($E924)),ErrorMsgs!$E924,IF(OR(VALUE($E924)-ROUND(VALUE($E924),2)&lt;&gt;0,VALUE($E924)&lt;0,VALUE($E924)&gt;=1000000000000),ErrorMsgs!$E924)))</f>
        <v>0</v>
      </c>
      <c r="O924" s="712"/>
      <c r="P924" s="712"/>
      <c r="Q924" s="712"/>
      <c r="R924" s="712"/>
      <c r="S924" s="712"/>
      <c r="T924" s="712"/>
      <c r="U924" s="526" t="str">
        <f t="shared" ca="1" si="126"/>
        <v/>
      </c>
      <c r="V924" s="93" t="str" cm="1">
        <f t="array" aca="1" ref="V924" ca="1">CELL("format",INDIRECT(I924))</f>
        <v>C2</v>
      </c>
      <c r="W924" s="93" t="b">
        <f t="shared" ca="1" si="127"/>
        <v>0</v>
      </c>
      <c r="X924" s="715" t="str">
        <f t="shared" ca="1" si="125"/>
        <v/>
      </c>
      <c r="Y924" t="b">
        <f t="shared" ca="1" si="128"/>
        <v>1</v>
      </c>
    </row>
    <row r="925" spans="1:25" ht="77.5">
      <c r="A925" s="705" t="s">
        <v>3571</v>
      </c>
      <c r="B925" s="716" t="str">
        <f t="shared" ca="1" si="113"/>
        <v>ABC income stream - C9</v>
      </c>
      <c r="C925" s="707" t="str" cm="1">
        <f t="array" aca="1" ref="C925" ca="1">INDIRECT(LEFT(I925, FIND("!", I925)) &amp; RefData!$C$426 &amp; RIGHT(I925, LEN(I925) - FIND("!", I925) - 1))</f>
        <v xml:space="preserve">
No answer required
Year 2
</v>
      </c>
      <c r="D925" s="92" t="str">
        <f t="shared" ca="1" si="112"/>
        <v/>
      </c>
      <c r="E925" s="708" t="str" cm="1">
        <f t="array" aca="1" ref="E925" ca="1">IF(INDIRECT($I925)= "", "", INDIRECT($I925))</f>
        <v/>
      </c>
      <c r="F925" s="709" t="str" cm="1">
        <f t="array" aca="1" ref="F925" ca="1">SUBSTITUTE(INDIRECT(LEFT(I925, FIND("!", I925)) &amp; RefData!$C$427 &amp; RIGHT(I925, LEN(I925) - FIND("!", I925) - 1)), "/1-5", "/1")</f>
        <v>AIS 2.0/1</v>
      </c>
      <c r="G925" s="710" t="b">
        <f ca="1">IF(ISNUMBER(SEARCH(RefData!$B$2, $C925)), FALSE, TRUE)</f>
        <v>0</v>
      </c>
      <c r="H925" s="344">
        <f>'ABC income stream'!C9</f>
        <v>0</v>
      </c>
      <c r="I925" s="712" t="str">
        <f t="shared" ca="1" si="114"/>
        <v>'ABC income stream'!C9</v>
      </c>
      <c r="J925" s="713" t="b" cm="1">
        <f t="array" aca="1" ref="J925" ca="1">IF(COUNTIF($K925:$T925, "&lt;&gt;FALSE") - COUNTBLANK($K925:$T925) &gt; 0, INDEX($K925:$T925, MATCH(TRUE, $K925:$T925 &lt;&gt; FALSE, 0)))</f>
        <v>0</v>
      </c>
      <c r="K925" s="712" t="b">
        <f ca="1">IF(AND('Asset-backed contributions'!$C$7=0,'Reconciliation report'!$E925&lt;&gt;""),ErrorMsgs!$B925)</f>
        <v>0</v>
      </c>
      <c r="L925" s="712" t="b">
        <f ca="1">IF(AND('Asset-backed contributions'!$C$7&lt;1,'Reconciliation report'!$E925&lt;&gt;""),ErrorMsgs!$C925)</f>
        <v>0</v>
      </c>
      <c r="M925" s="712" t="b">
        <f ca="1">IF(AND('Asset-backed contributions'!$C$7&gt;=1,'Reconciliation report'!$E925=""),ErrorMsgs!$D925)</f>
        <v>0</v>
      </c>
      <c r="N925" s="712" t="b">
        <f ca="1">IF($E925="",FALSE,IF(ISERROR(VALUE($E925)),ErrorMsgs!$E925,IF(OR(VALUE($E925)-ROUND(VALUE($E925),2)&lt;&gt;0,VALUE($E925)&lt;0,VALUE($E925)&gt;=1000000000000),ErrorMsgs!$E925)))</f>
        <v>0</v>
      </c>
      <c r="O925" s="712"/>
      <c r="P925" s="712"/>
      <c r="Q925" s="712"/>
      <c r="R925" s="712"/>
      <c r="S925" s="712"/>
      <c r="T925" s="712"/>
      <c r="U925" s="526" t="str">
        <f t="shared" ca="1" si="126"/>
        <v/>
      </c>
      <c r="V925" s="93" t="str" cm="1">
        <f t="array" aca="1" ref="V925" ca="1">CELL("format",INDIRECT(I925))</f>
        <v>C2</v>
      </c>
      <c r="W925" s="93" t="b">
        <f t="shared" ca="1" si="127"/>
        <v>0</v>
      </c>
      <c r="X925" s="715" t="str">
        <f t="shared" ca="1" si="125"/>
        <v/>
      </c>
      <c r="Y925" t="b">
        <f t="shared" ca="1" si="128"/>
        <v>1</v>
      </c>
    </row>
    <row r="926" spans="1:25" ht="77.5">
      <c r="A926" s="705" t="s">
        <v>3572</v>
      </c>
      <c r="B926" s="716" t="str">
        <f t="shared" ca="1" si="113"/>
        <v>ABC income stream - C10</v>
      </c>
      <c r="C926" s="707" t="str" cm="1">
        <f t="array" aca="1" ref="C926" ca="1">INDIRECT(LEFT(I926, FIND("!", I926)) &amp; RefData!$C$426 &amp; RIGHT(I926, LEN(I926) - FIND("!", I926) - 1))</f>
        <v xml:space="preserve">
No answer required
Year 3
</v>
      </c>
      <c r="D926" s="92" t="str">
        <f t="shared" ca="1" si="112"/>
        <v/>
      </c>
      <c r="E926" s="708" t="str" cm="1">
        <f t="array" aca="1" ref="E926" ca="1">IF(INDIRECT($I926)= "", "", INDIRECT($I926))</f>
        <v/>
      </c>
      <c r="F926" s="709" t="str" cm="1">
        <f t="array" aca="1" ref="F926" ca="1">SUBSTITUTE(INDIRECT(LEFT(I926, FIND("!", I926)) &amp; RefData!$C$427 &amp; RIGHT(I926, LEN(I926) - FIND("!", I926) - 1)), "/1-5", "/1")</f>
        <v>AIS 3.0/1</v>
      </c>
      <c r="G926" s="710" t="b">
        <f ca="1">IF(ISNUMBER(SEARCH(RefData!$B$2, $C926)), FALSE, TRUE)</f>
        <v>0</v>
      </c>
      <c r="H926" s="344">
        <f>'ABC income stream'!C10</f>
        <v>0</v>
      </c>
      <c r="I926" s="712" t="str">
        <f t="shared" ca="1" si="114"/>
        <v>'ABC income stream'!C10</v>
      </c>
      <c r="J926" s="713" t="b" cm="1">
        <f t="array" aca="1" ref="J926" ca="1">IF(COUNTIF($K926:$T926, "&lt;&gt;FALSE") - COUNTBLANK($K926:$T926) &gt; 0, INDEX($K926:$T926, MATCH(TRUE, $K926:$T926 &lt;&gt; FALSE, 0)))</f>
        <v>0</v>
      </c>
      <c r="K926" s="712" t="b">
        <f ca="1">IF(AND('Asset-backed contributions'!$C$7=0,'Reconciliation report'!$E926&lt;&gt;""),ErrorMsgs!$B926)</f>
        <v>0</v>
      </c>
      <c r="L926" s="712" t="b">
        <f ca="1">IF(AND('Asset-backed contributions'!$C$7&lt;1,'Reconciliation report'!$E926&lt;&gt;""),ErrorMsgs!$C926)</f>
        <v>0</v>
      </c>
      <c r="M926" s="712" t="b">
        <f ca="1">IF(AND('Asset-backed contributions'!$C$7&gt;=1,'Reconciliation report'!$E926=""),ErrorMsgs!$D926)</f>
        <v>0</v>
      </c>
      <c r="N926" s="712" t="b">
        <f ca="1">IF($E926="",FALSE,IF(ISERROR(VALUE($E926)),ErrorMsgs!$E926,IF(OR(VALUE($E926)-ROUND(VALUE($E926),2)&lt;&gt;0,VALUE($E926)&lt;0,VALUE($E926)&gt;=1000000000000),ErrorMsgs!$E926)))</f>
        <v>0</v>
      </c>
      <c r="O926" s="712"/>
      <c r="P926" s="712"/>
      <c r="Q926" s="712"/>
      <c r="R926" s="712"/>
      <c r="S926" s="712"/>
      <c r="T926" s="712"/>
      <c r="U926" s="526" t="str">
        <f t="shared" ca="1" si="126"/>
        <v/>
      </c>
      <c r="V926" s="93" t="str" cm="1">
        <f t="array" aca="1" ref="V926" ca="1">CELL("format",INDIRECT(I926))</f>
        <v>C2</v>
      </c>
      <c r="W926" s="93" t="b">
        <f t="shared" ca="1" si="127"/>
        <v>0</v>
      </c>
      <c r="X926" s="715" t="str">
        <f t="shared" ca="1" si="125"/>
        <v/>
      </c>
      <c r="Y926" t="b">
        <f t="shared" ca="1" si="128"/>
        <v>1</v>
      </c>
    </row>
    <row r="927" spans="1:25" ht="77.5">
      <c r="A927" s="705" t="s">
        <v>3573</v>
      </c>
      <c r="B927" s="716" t="str">
        <f t="shared" ca="1" si="113"/>
        <v>ABC income stream - C11</v>
      </c>
      <c r="C927" s="707" t="str" cm="1">
        <f t="array" aca="1" ref="C927" ca="1">INDIRECT(LEFT(I927, FIND("!", I927)) &amp; RefData!$C$426 &amp; RIGHT(I927, LEN(I927) - FIND("!", I927) - 1))</f>
        <v xml:space="preserve">
No answer required
Year 4
</v>
      </c>
      <c r="D927" s="92" t="str">
        <f t="shared" ca="1" si="112"/>
        <v/>
      </c>
      <c r="E927" s="708" t="str" cm="1">
        <f t="array" aca="1" ref="E927" ca="1">IF(INDIRECT($I927)= "", "", INDIRECT($I927))</f>
        <v/>
      </c>
      <c r="F927" s="709" t="str" cm="1">
        <f t="array" aca="1" ref="F927" ca="1">SUBSTITUTE(INDIRECT(LEFT(I927, FIND("!", I927)) &amp; RefData!$C$427 &amp; RIGHT(I927, LEN(I927) - FIND("!", I927) - 1)), "/1-5", "/1")</f>
        <v>AIS 4.0/1</v>
      </c>
      <c r="G927" s="710" t="b">
        <f ca="1">IF(ISNUMBER(SEARCH(RefData!$B$2, $C927)), FALSE, TRUE)</f>
        <v>0</v>
      </c>
      <c r="H927" s="344">
        <f>'ABC income stream'!C11</f>
        <v>0</v>
      </c>
      <c r="I927" s="712" t="str">
        <f t="shared" ca="1" si="114"/>
        <v>'ABC income stream'!C11</v>
      </c>
      <c r="J927" s="713" t="b" cm="1">
        <f t="array" aca="1" ref="J927" ca="1">IF(COUNTIF($K927:$T927, "&lt;&gt;FALSE") - COUNTBLANK($K927:$T927) &gt; 0, INDEX($K927:$T927, MATCH(TRUE, $K927:$T927 &lt;&gt; FALSE, 0)))</f>
        <v>0</v>
      </c>
      <c r="K927" s="712" t="b">
        <f ca="1">IF(AND('Asset-backed contributions'!$C$7=0,'Reconciliation report'!$E927&lt;&gt;""),ErrorMsgs!$B927)</f>
        <v>0</v>
      </c>
      <c r="L927" s="712" t="b">
        <f ca="1">IF(AND('Asset-backed contributions'!$C$7&lt;1,'Reconciliation report'!$E927&lt;&gt;""),ErrorMsgs!$C927)</f>
        <v>0</v>
      </c>
      <c r="M927" s="712" t="b">
        <f ca="1">IF(AND('Asset-backed contributions'!$C$7&gt;=1,'Reconciliation report'!$E927=""),ErrorMsgs!$D927)</f>
        <v>0</v>
      </c>
      <c r="N927" s="712" t="b">
        <f ca="1">IF($E927="",FALSE,IF(ISERROR(VALUE($E927)),ErrorMsgs!$E927,IF(OR(VALUE($E927)-ROUND(VALUE($E927),2)&lt;&gt;0,VALUE($E927)&lt;0,VALUE($E927)&gt;=1000000000000),ErrorMsgs!$E927)))</f>
        <v>0</v>
      </c>
      <c r="O927" s="712"/>
      <c r="P927" s="712"/>
      <c r="Q927" s="712"/>
      <c r="R927" s="712"/>
      <c r="S927" s="712"/>
      <c r="T927" s="712"/>
      <c r="U927" s="526" t="str">
        <f t="shared" ca="1" si="126"/>
        <v/>
      </c>
      <c r="V927" s="93" t="str" cm="1">
        <f t="array" aca="1" ref="V927" ca="1">CELL("format",INDIRECT(I927))</f>
        <v>C2</v>
      </c>
      <c r="W927" s="93" t="b">
        <f t="shared" ca="1" si="127"/>
        <v>0</v>
      </c>
      <c r="X927" s="715" t="str">
        <f t="shared" ca="1" si="125"/>
        <v/>
      </c>
      <c r="Y927" t="b">
        <f t="shared" ca="1" si="128"/>
        <v>1</v>
      </c>
    </row>
    <row r="928" spans="1:25" ht="77.5">
      <c r="A928" s="705" t="s">
        <v>3574</v>
      </c>
      <c r="B928" s="716" t="str">
        <f t="shared" ca="1" si="113"/>
        <v>ABC income stream - C12</v>
      </c>
      <c r="C928" s="707" t="str" cm="1">
        <f t="array" aca="1" ref="C928" ca="1">INDIRECT(LEFT(I928, FIND("!", I928)) &amp; RefData!$C$426 &amp; RIGHT(I928, LEN(I928) - FIND("!", I928) - 1))</f>
        <v xml:space="preserve">
No answer required
Year 5
</v>
      </c>
      <c r="D928" s="92" t="str">
        <f t="shared" ca="1" si="112"/>
        <v/>
      </c>
      <c r="E928" s="708" t="str" cm="1">
        <f t="array" aca="1" ref="E928" ca="1">IF(INDIRECT($I928)= "", "", INDIRECT($I928))</f>
        <v/>
      </c>
      <c r="F928" s="709" t="str" cm="1">
        <f t="array" aca="1" ref="F928" ca="1">SUBSTITUTE(INDIRECT(LEFT(I928, FIND("!", I928)) &amp; RefData!$C$427 &amp; RIGHT(I928, LEN(I928) - FIND("!", I928) - 1)), "/1-5", "/1")</f>
        <v>AIS 5.0/1</v>
      </c>
      <c r="G928" s="710" t="b">
        <f ca="1">IF(ISNUMBER(SEARCH(RefData!$B$2, $C928)), FALSE, TRUE)</f>
        <v>0</v>
      </c>
      <c r="H928" s="344">
        <f>'ABC income stream'!C12</f>
        <v>0</v>
      </c>
      <c r="I928" s="712" t="str">
        <f t="shared" ca="1" si="114"/>
        <v>'ABC income stream'!C12</v>
      </c>
      <c r="J928" s="713" t="b" cm="1">
        <f t="array" aca="1" ref="J928" ca="1">IF(COUNTIF($K928:$T928, "&lt;&gt;FALSE") - COUNTBLANK($K928:$T928) &gt; 0, INDEX($K928:$T928, MATCH(TRUE, $K928:$T928 &lt;&gt; FALSE, 0)))</f>
        <v>0</v>
      </c>
      <c r="K928" s="712" t="b">
        <f ca="1">IF(AND('Asset-backed contributions'!$C$7=0,'Reconciliation report'!$E928&lt;&gt;""),ErrorMsgs!$B928)</f>
        <v>0</v>
      </c>
      <c r="L928" s="712" t="b">
        <f ca="1">IF(AND('Asset-backed contributions'!$C$7&lt;1,'Reconciliation report'!$E928&lt;&gt;""),ErrorMsgs!$C928)</f>
        <v>0</v>
      </c>
      <c r="M928" s="712" t="b">
        <f ca="1">IF(AND('Asset-backed contributions'!$C$7&gt;=1,'Reconciliation report'!$E928=""),ErrorMsgs!$D928)</f>
        <v>0</v>
      </c>
      <c r="N928" s="712" t="b">
        <f ca="1">IF($E928="",FALSE,IF(ISERROR(VALUE($E928)),ErrorMsgs!$E928,IF(OR(VALUE($E928)-ROUND(VALUE($E928),2)&lt;&gt;0,VALUE($E928)&lt;0,VALUE($E928)&gt;=1000000000000),ErrorMsgs!$E928)))</f>
        <v>0</v>
      </c>
      <c r="O928" s="712"/>
      <c r="P928" s="712"/>
      <c r="Q928" s="712"/>
      <c r="R928" s="712"/>
      <c r="S928" s="712"/>
      <c r="T928" s="712"/>
      <c r="U928" s="526" t="str">
        <f t="shared" ca="1" si="126"/>
        <v/>
      </c>
      <c r="V928" s="93" t="str" cm="1">
        <f t="array" aca="1" ref="V928" ca="1">CELL("format",INDIRECT(I928))</f>
        <v>C2</v>
      </c>
      <c r="W928" s="93" t="b">
        <f t="shared" ca="1" si="127"/>
        <v>0</v>
      </c>
      <c r="X928" s="715" t="str">
        <f t="shared" ca="1" si="125"/>
        <v/>
      </c>
      <c r="Y928" t="b">
        <f t="shared" ca="1" si="128"/>
        <v>1</v>
      </c>
    </row>
    <row r="929" spans="1:25" ht="77.5">
      <c r="A929" s="705" t="s">
        <v>3575</v>
      </c>
      <c r="B929" s="716" t="str">
        <f t="shared" ca="1" si="113"/>
        <v>ABC income stream - C13</v>
      </c>
      <c r="C929" s="707" t="str" cm="1">
        <f t="array" aca="1" ref="C929" ca="1">INDIRECT(LEFT(I929, FIND("!", I929)) &amp; RefData!$C$426 &amp; RIGHT(I929, LEN(I929) - FIND("!", I929) - 1))</f>
        <v xml:space="preserve">
No answer required
Year 6
</v>
      </c>
      <c r="D929" s="92" t="str">
        <f t="shared" ca="1" si="112"/>
        <v/>
      </c>
      <c r="E929" s="708" t="str" cm="1">
        <f t="array" aca="1" ref="E929" ca="1">IF(INDIRECT($I929)= "", "", INDIRECT($I929))</f>
        <v/>
      </c>
      <c r="F929" s="709" t="str" cm="1">
        <f t="array" aca="1" ref="F929" ca="1">SUBSTITUTE(INDIRECT(LEFT(I929, FIND("!", I929)) &amp; RefData!$C$427 &amp; RIGHT(I929, LEN(I929) - FIND("!", I929) - 1)), "/1-5", "/1")</f>
        <v>AIS 6.0/1</v>
      </c>
      <c r="G929" s="710" t="b">
        <f ca="1">IF(ISNUMBER(SEARCH(RefData!$B$2, $C929)), FALSE, TRUE)</f>
        <v>0</v>
      </c>
      <c r="H929" s="344">
        <f>'ABC income stream'!C13</f>
        <v>0</v>
      </c>
      <c r="I929" s="712" t="str">
        <f t="shared" ca="1" si="114"/>
        <v>'ABC income stream'!C13</v>
      </c>
      <c r="J929" s="713" t="b" cm="1">
        <f t="array" aca="1" ref="J929" ca="1">IF(COUNTIF($K929:$T929, "&lt;&gt;FALSE") - COUNTBLANK($K929:$T929) &gt; 0, INDEX($K929:$T929, MATCH(TRUE, $K929:$T929 &lt;&gt; FALSE, 0)))</f>
        <v>0</v>
      </c>
      <c r="K929" s="712" t="b">
        <f ca="1">IF(AND('Asset-backed contributions'!$C$7=0,'Reconciliation report'!$E929&lt;&gt;""),ErrorMsgs!$B929)</f>
        <v>0</v>
      </c>
      <c r="L929" s="712" t="b">
        <f ca="1">IF(AND('Asset-backed contributions'!$C$7&lt;1,'Reconciliation report'!$E929&lt;&gt;""),ErrorMsgs!$C929)</f>
        <v>0</v>
      </c>
      <c r="M929" s="712" t="b">
        <f ca="1">IF(AND('Asset-backed contributions'!$C$7&gt;=1,'Reconciliation report'!$E929=""),ErrorMsgs!$D929)</f>
        <v>0</v>
      </c>
      <c r="N929" s="712" t="b">
        <f ca="1">IF($E929="",FALSE,IF(ISERROR(VALUE($E929)),ErrorMsgs!$E929,IF(OR(VALUE($E929)-ROUND(VALUE($E929),2)&lt;&gt;0,VALUE($E929)&lt;0,VALUE($E929)&gt;=1000000000000),ErrorMsgs!$E929)))</f>
        <v>0</v>
      </c>
      <c r="O929" s="712"/>
      <c r="P929" s="712"/>
      <c r="Q929" s="712"/>
      <c r="R929" s="712"/>
      <c r="S929" s="712"/>
      <c r="T929" s="712"/>
      <c r="U929" s="526" t="str">
        <f t="shared" ca="1" si="126"/>
        <v/>
      </c>
      <c r="V929" s="93" t="str" cm="1">
        <f t="array" aca="1" ref="V929" ca="1">CELL("format",INDIRECT(I929))</f>
        <v>C2</v>
      </c>
      <c r="W929" s="93" t="b">
        <f t="shared" ca="1" si="127"/>
        <v>0</v>
      </c>
      <c r="X929" s="715" t="str">
        <f t="shared" ca="1" si="125"/>
        <v/>
      </c>
      <c r="Y929" t="b">
        <f t="shared" ca="1" si="128"/>
        <v>1</v>
      </c>
    </row>
    <row r="930" spans="1:25" ht="77.5">
      <c r="A930" s="705" t="s">
        <v>3576</v>
      </c>
      <c r="B930" s="716" t="str">
        <f t="shared" ca="1" si="113"/>
        <v>ABC income stream - C14</v>
      </c>
      <c r="C930" s="707" t="str" cm="1">
        <f t="array" aca="1" ref="C930" ca="1">INDIRECT(LEFT(I930, FIND("!", I930)) &amp; RefData!$C$426 &amp; RIGHT(I930, LEN(I930) - FIND("!", I930) - 1))</f>
        <v xml:space="preserve">
No answer required
Year 7
</v>
      </c>
      <c r="D930" s="92" t="str">
        <f t="shared" ca="1" si="112"/>
        <v/>
      </c>
      <c r="E930" s="708" t="str" cm="1">
        <f t="array" aca="1" ref="E930" ca="1">IF(INDIRECT($I930)= "", "", INDIRECT($I930))</f>
        <v/>
      </c>
      <c r="F930" s="709" t="str" cm="1">
        <f t="array" aca="1" ref="F930" ca="1">SUBSTITUTE(INDIRECT(LEFT(I930, FIND("!", I930)) &amp; RefData!$C$427 &amp; RIGHT(I930, LEN(I930) - FIND("!", I930) - 1)), "/1-5", "/1")</f>
        <v>AIS 7.0/1</v>
      </c>
      <c r="G930" s="710" t="b">
        <f ca="1">IF(ISNUMBER(SEARCH(RefData!$B$2, $C930)), FALSE, TRUE)</f>
        <v>0</v>
      </c>
      <c r="H930" s="344">
        <f>'ABC income stream'!C14</f>
        <v>0</v>
      </c>
      <c r="I930" s="712" t="str">
        <f t="shared" ca="1" si="114"/>
        <v>'ABC income stream'!C14</v>
      </c>
      <c r="J930" s="713" t="b" cm="1">
        <f t="array" aca="1" ref="J930" ca="1">IF(COUNTIF($K930:$T930, "&lt;&gt;FALSE") - COUNTBLANK($K930:$T930) &gt; 0, INDEX($K930:$T930, MATCH(TRUE, $K930:$T930 &lt;&gt; FALSE, 0)))</f>
        <v>0</v>
      </c>
      <c r="K930" s="712" t="b">
        <f ca="1">IF(AND('Asset-backed contributions'!$C$7=0,'Reconciliation report'!$E930&lt;&gt;""),ErrorMsgs!$B930)</f>
        <v>0</v>
      </c>
      <c r="L930" s="712" t="b">
        <f ca="1">IF(AND('Asset-backed contributions'!$C$7&lt;1,'Reconciliation report'!$E930&lt;&gt;""),ErrorMsgs!$C930)</f>
        <v>0</v>
      </c>
      <c r="M930" s="712" t="b">
        <f ca="1">IF(AND('Asset-backed contributions'!$C$7&gt;=1,'Reconciliation report'!$E930=""),ErrorMsgs!$D930)</f>
        <v>0</v>
      </c>
      <c r="N930" s="712" t="b">
        <f ca="1">IF($E930="",FALSE,IF(ISERROR(VALUE($E930)),ErrorMsgs!$E930,IF(OR(VALUE($E930)-ROUND(VALUE($E930),2)&lt;&gt;0,VALUE($E930)&lt;0,VALUE($E930)&gt;=1000000000000),ErrorMsgs!$E930)))</f>
        <v>0</v>
      </c>
      <c r="O930" s="712"/>
      <c r="P930" s="712"/>
      <c r="Q930" s="712"/>
      <c r="R930" s="712"/>
      <c r="S930" s="712"/>
      <c r="T930" s="712"/>
      <c r="U930" s="526" t="str">
        <f t="shared" ca="1" si="126"/>
        <v/>
      </c>
      <c r="V930" s="93" t="str" cm="1">
        <f t="array" aca="1" ref="V930" ca="1">CELL("format",INDIRECT(I930))</f>
        <v>C2</v>
      </c>
      <c r="W930" s="93" t="b">
        <f t="shared" ca="1" si="127"/>
        <v>0</v>
      </c>
      <c r="X930" s="715" t="str">
        <f t="shared" ca="1" si="125"/>
        <v/>
      </c>
      <c r="Y930" t="b">
        <f t="shared" ca="1" si="128"/>
        <v>1</v>
      </c>
    </row>
    <row r="931" spans="1:25" ht="77.5">
      <c r="A931" s="705" t="s">
        <v>3577</v>
      </c>
      <c r="B931" s="716" t="str">
        <f t="shared" ca="1" si="113"/>
        <v>ABC income stream - C15</v>
      </c>
      <c r="C931" s="707" t="str" cm="1">
        <f t="array" aca="1" ref="C931" ca="1">INDIRECT(LEFT(I931, FIND("!", I931)) &amp; RefData!$C$426 &amp; RIGHT(I931, LEN(I931) - FIND("!", I931) - 1))</f>
        <v xml:space="preserve">
No answer required
Year 8
</v>
      </c>
      <c r="D931" s="92" t="str">
        <f t="shared" ca="1" si="112"/>
        <v/>
      </c>
      <c r="E931" s="708" t="str" cm="1">
        <f t="array" aca="1" ref="E931" ca="1">IF(INDIRECT($I931)= "", "", INDIRECT($I931))</f>
        <v/>
      </c>
      <c r="F931" s="709" t="str" cm="1">
        <f t="array" aca="1" ref="F931" ca="1">SUBSTITUTE(INDIRECT(LEFT(I931, FIND("!", I931)) &amp; RefData!$C$427 &amp; RIGHT(I931, LEN(I931) - FIND("!", I931) - 1)), "/1-5", "/1")</f>
        <v>AIS 8.0/1</v>
      </c>
      <c r="G931" s="710" t="b">
        <f ca="1">IF(ISNUMBER(SEARCH(RefData!$B$2, $C931)), FALSE, TRUE)</f>
        <v>0</v>
      </c>
      <c r="H931" s="344">
        <f>'ABC income stream'!C15</f>
        <v>0</v>
      </c>
      <c r="I931" s="712" t="str">
        <f t="shared" ca="1" si="114"/>
        <v>'ABC income stream'!C15</v>
      </c>
      <c r="J931" s="713" t="b" cm="1">
        <f t="array" aca="1" ref="J931" ca="1">IF(COUNTIF($K931:$T931, "&lt;&gt;FALSE") - COUNTBLANK($K931:$T931) &gt; 0, INDEX($K931:$T931, MATCH(TRUE, $K931:$T931 &lt;&gt; FALSE, 0)))</f>
        <v>0</v>
      </c>
      <c r="K931" s="712" t="b">
        <f ca="1">IF(AND('Asset-backed contributions'!$C$7=0,'Reconciliation report'!$E931&lt;&gt;""),ErrorMsgs!$B931)</f>
        <v>0</v>
      </c>
      <c r="L931" s="712" t="b">
        <f ca="1">IF(AND('Asset-backed contributions'!$C$7&lt;1,'Reconciliation report'!$E931&lt;&gt;""),ErrorMsgs!$C931)</f>
        <v>0</v>
      </c>
      <c r="M931" s="712" t="b">
        <f ca="1">IF(AND('Asset-backed contributions'!$C$7&gt;=1,'Reconciliation report'!$E931=""),ErrorMsgs!$D931)</f>
        <v>0</v>
      </c>
      <c r="N931" s="712" t="b">
        <f ca="1">IF($E931="",FALSE,IF(ISERROR(VALUE($E931)),ErrorMsgs!$E931,IF(OR(VALUE($E931)-ROUND(VALUE($E931),2)&lt;&gt;0,VALUE($E931)&lt;0,VALUE($E931)&gt;=1000000000000),ErrorMsgs!$E931)))</f>
        <v>0</v>
      </c>
      <c r="O931" s="712"/>
      <c r="P931" s="712"/>
      <c r="Q931" s="712"/>
      <c r="R931" s="712"/>
      <c r="S931" s="712"/>
      <c r="T931" s="712"/>
      <c r="U931" s="526" t="str">
        <f t="shared" ca="1" si="126"/>
        <v/>
      </c>
      <c r="V931" s="93" t="str" cm="1">
        <f t="array" aca="1" ref="V931" ca="1">CELL("format",INDIRECT(I931))</f>
        <v>C2</v>
      </c>
      <c r="W931" s="93" t="b">
        <f t="shared" ca="1" si="127"/>
        <v>0</v>
      </c>
      <c r="X931" s="715" t="str">
        <f t="shared" ca="1" si="125"/>
        <v/>
      </c>
      <c r="Y931" t="b">
        <f t="shared" ca="1" si="128"/>
        <v>1</v>
      </c>
    </row>
    <row r="932" spans="1:25" ht="77.5">
      <c r="A932" s="705" t="s">
        <v>3578</v>
      </c>
      <c r="B932" s="716" t="str">
        <f t="shared" ca="1" si="113"/>
        <v>ABC income stream - C16</v>
      </c>
      <c r="C932" s="707" t="str" cm="1">
        <f t="array" aca="1" ref="C932" ca="1">INDIRECT(LEFT(I932, FIND("!", I932)) &amp; RefData!$C$426 &amp; RIGHT(I932, LEN(I932) - FIND("!", I932) - 1))</f>
        <v xml:space="preserve">
No answer required
Year 9
</v>
      </c>
      <c r="D932" s="92" t="str">
        <f t="shared" ca="1" si="112"/>
        <v/>
      </c>
      <c r="E932" s="708" t="str" cm="1">
        <f t="array" aca="1" ref="E932" ca="1">IF(INDIRECT($I932)= "", "", INDIRECT($I932))</f>
        <v/>
      </c>
      <c r="F932" s="709" t="str" cm="1">
        <f t="array" aca="1" ref="F932" ca="1">SUBSTITUTE(INDIRECT(LEFT(I932, FIND("!", I932)) &amp; RefData!$C$427 &amp; RIGHT(I932, LEN(I932) - FIND("!", I932) - 1)), "/1-5", "/1")</f>
        <v>AIS 9.0/1</v>
      </c>
      <c r="G932" s="710" t="b">
        <f ca="1">IF(ISNUMBER(SEARCH(RefData!$B$2, $C932)), FALSE, TRUE)</f>
        <v>0</v>
      </c>
      <c r="H932" s="344">
        <f>'ABC income stream'!C16</f>
        <v>0</v>
      </c>
      <c r="I932" s="712" t="str">
        <f t="shared" ca="1" si="114"/>
        <v>'ABC income stream'!C16</v>
      </c>
      <c r="J932" s="713" t="b" cm="1">
        <f t="array" aca="1" ref="J932" ca="1">IF(COUNTIF($K932:$T932, "&lt;&gt;FALSE") - COUNTBLANK($K932:$T932) &gt; 0, INDEX($K932:$T932, MATCH(TRUE, $K932:$T932 &lt;&gt; FALSE, 0)))</f>
        <v>0</v>
      </c>
      <c r="K932" s="712" t="b">
        <f ca="1">IF(AND('Asset-backed contributions'!$C$7=0,'Reconciliation report'!$E932&lt;&gt;""),ErrorMsgs!$B932)</f>
        <v>0</v>
      </c>
      <c r="L932" s="712" t="b">
        <f ca="1">IF(AND('Asset-backed contributions'!$C$7&lt;1,'Reconciliation report'!$E932&lt;&gt;""),ErrorMsgs!$C932)</f>
        <v>0</v>
      </c>
      <c r="M932" s="712" t="b">
        <f ca="1">IF(AND('Asset-backed contributions'!$C$7&gt;=1,'Reconciliation report'!$E932=""),ErrorMsgs!$D932)</f>
        <v>0</v>
      </c>
      <c r="N932" s="712" t="b">
        <f ca="1">IF($E932="",FALSE,IF(ISERROR(VALUE($E932)),ErrorMsgs!$E932,IF(OR(VALUE($E932)-ROUND(VALUE($E932),2)&lt;&gt;0,VALUE($E932)&lt;0,VALUE($E932)&gt;=1000000000000),ErrorMsgs!$E932)))</f>
        <v>0</v>
      </c>
      <c r="O932" s="712"/>
      <c r="P932" s="712"/>
      <c r="Q932" s="712"/>
      <c r="R932" s="712"/>
      <c r="S932" s="712"/>
      <c r="T932" s="712"/>
      <c r="U932" s="526" t="str">
        <f t="shared" ca="1" si="126"/>
        <v/>
      </c>
      <c r="V932" s="93" t="str" cm="1">
        <f t="array" aca="1" ref="V932" ca="1">CELL("format",INDIRECT(I932))</f>
        <v>C2</v>
      </c>
      <c r="W932" s="93" t="b">
        <f t="shared" ca="1" si="127"/>
        <v>0</v>
      </c>
      <c r="X932" s="715" t="str">
        <f t="shared" ca="1" si="125"/>
        <v/>
      </c>
      <c r="Y932" t="b">
        <f t="shared" ca="1" si="128"/>
        <v>1</v>
      </c>
    </row>
    <row r="933" spans="1:25" ht="77.5">
      <c r="A933" s="705" t="s">
        <v>3579</v>
      </c>
      <c r="B933" s="716" t="str">
        <f t="shared" ca="1" si="113"/>
        <v>ABC income stream - C17</v>
      </c>
      <c r="C933" s="707" t="str" cm="1">
        <f t="array" aca="1" ref="C933" ca="1">INDIRECT(LEFT(I933, FIND("!", I933)) &amp; RefData!$C$426 &amp; RIGHT(I933, LEN(I933) - FIND("!", I933) - 1))</f>
        <v xml:space="preserve">
No answer required
Year 10
</v>
      </c>
      <c r="D933" s="92" t="str">
        <f t="shared" ca="1" si="112"/>
        <v/>
      </c>
      <c r="E933" s="708" t="str" cm="1">
        <f t="array" aca="1" ref="E933" ca="1">IF(INDIRECT($I933)= "", "", INDIRECT($I933))</f>
        <v/>
      </c>
      <c r="F933" s="709" t="str" cm="1">
        <f t="array" aca="1" ref="F933" ca="1">SUBSTITUTE(INDIRECT(LEFT(I933, FIND("!", I933)) &amp; RefData!$C$427 &amp; RIGHT(I933, LEN(I933) - FIND("!", I933) - 1)), "/1-5", "/1")</f>
        <v>AIS 10.0/1</v>
      </c>
      <c r="G933" s="710" t="b">
        <f ca="1">IF(ISNUMBER(SEARCH(RefData!$B$2, $C933)), FALSE, TRUE)</f>
        <v>0</v>
      </c>
      <c r="H933" s="344">
        <f>'ABC income stream'!C17</f>
        <v>0</v>
      </c>
      <c r="I933" s="712" t="str">
        <f t="shared" ca="1" si="114"/>
        <v>'ABC income stream'!C17</v>
      </c>
      <c r="J933" s="713" t="b" cm="1">
        <f t="array" aca="1" ref="J933" ca="1">IF(COUNTIF($K933:$T933, "&lt;&gt;FALSE") - COUNTBLANK($K933:$T933) &gt; 0, INDEX($K933:$T933, MATCH(TRUE, $K933:$T933 &lt;&gt; FALSE, 0)))</f>
        <v>0</v>
      </c>
      <c r="K933" s="712" t="b">
        <f ca="1">IF(AND('Asset-backed contributions'!$C$7=0,'Reconciliation report'!$E933&lt;&gt;""),ErrorMsgs!$B933)</f>
        <v>0</v>
      </c>
      <c r="L933" s="712" t="b">
        <f ca="1">IF(AND('Asset-backed contributions'!$C$7&lt;1,'Reconciliation report'!$E933&lt;&gt;""),ErrorMsgs!$C933)</f>
        <v>0</v>
      </c>
      <c r="M933" s="712" t="b">
        <f ca="1">IF(AND('Asset-backed contributions'!$C$7&gt;=1,'Reconciliation report'!$E933=""),ErrorMsgs!$D933)</f>
        <v>0</v>
      </c>
      <c r="N933" s="712" t="b">
        <f ca="1">IF($E933="",FALSE,IF(ISERROR(VALUE($E933)),ErrorMsgs!$E933,IF(OR(VALUE($E933)-ROUND(VALUE($E933),2)&lt;&gt;0,VALUE($E933)&lt;0,VALUE($E933)&gt;=1000000000000),ErrorMsgs!$E933)))</f>
        <v>0</v>
      </c>
      <c r="O933" s="712"/>
      <c r="P933" s="712"/>
      <c r="Q933" s="712"/>
      <c r="R933" s="712"/>
      <c r="S933" s="712"/>
      <c r="T933" s="712"/>
      <c r="U933" s="526" t="str">
        <f t="shared" ca="1" si="126"/>
        <v/>
      </c>
      <c r="V933" s="93" t="str" cm="1">
        <f t="array" aca="1" ref="V933" ca="1">CELL("format",INDIRECT(I933))</f>
        <v>C2</v>
      </c>
      <c r="W933" s="93" t="b">
        <f t="shared" ca="1" si="127"/>
        <v>0</v>
      </c>
      <c r="X933" s="715" t="str">
        <f t="shared" ca="1" si="125"/>
        <v/>
      </c>
      <c r="Y933" t="b">
        <f t="shared" ca="1" si="128"/>
        <v>1</v>
      </c>
    </row>
    <row r="934" spans="1:25" ht="77.5">
      <c r="A934" s="705" t="s">
        <v>3580</v>
      </c>
      <c r="B934" s="716" t="str">
        <f t="shared" ref="B934:B1028" ca="1" si="131">HYPERLINK("#" &amp; $I934, SUBSTITUTE(SUBSTITUTE($I934, "!", " - "), "'",""))</f>
        <v>ABC income stream - C18</v>
      </c>
      <c r="C934" s="707" t="str" cm="1">
        <f t="array" aca="1" ref="C934" ca="1">INDIRECT(LEFT(I934, FIND("!", I934)) &amp; RefData!$C$426 &amp; RIGHT(I934, LEN(I934) - FIND("!", I934) - 1))</f>
        <v xml:space="preserve">
No answer required
Year 11
</v>
      </c>
      <c r="D934" s="92" t="str">
        <f t="shared" ca="1" si="112"/>
        <v/>
      </c>
      <c r="E934" s="708" t="str" cm="1">
        <f t="array" aca="1" ref="E934" ca="1">IF(INDIRECT($I934)= "", "", INDIRECT($I934))</f>
        <v/>
      </c>
      <c r="F934" s="709" t="str" cm="1">
        <f t="array" aca="1" ref="F934" ca="1">SUBSTITUTE(INDIRECT(LEFT(I934, FIND("!", I934)) &amp; RefData!$C$427 &amp; RIGHT(I934, LEN(I934) - FIND("!", I934) - 1)), "/1-5", "/1")</f>
        <v>AIS 11.0/1</v>
      </c>
      <c r="G934" s="710" t="b">
        <f ca="1">IF(ISNUMBER(SEARCH(RefData!$B$2, $C934)), FALSE, TRUE)</f>
        <v>0</v>
      </c>
      <c r="H934" s="344">
        <f>'ABC income stream'!C18</f>
        <v>0</v>
      </c>
      <c r="I934" s="712" t="str">
        <f t="shared" ref="I934:I1028" ca="1" si="132">SUBSTITUTE(_xlfn.FORMULATEXT($H934), "=", "")</f>
        <v>'ABC income stream'!C18</v>
      </c>
      <c r="J934" s="713" t="b" cm="1">
        <f t="array" aca="1" ref="J934" ca="1">IF(COUNTIF($K934:$T934, "&lt;&gt;FALSE") - COUNTBLANK($K934:$T934) &gt; 0, INDEX($K934:$T934, MATCH(TRUE, $K934:$T934 &lt;&gt; FALSE, 0)))</f>
        <v>0</v>
      </c>
      <c r="K934" s="712" t="b">
        <f ca="1">IF(AND('Asset-backed contributions'!$C$7=0,'Reconciliation report'!$E934&lt;&gt;""),ErrorMsgs!$B934)</f>
        <v>0</v>
      </c>
      <c r="L934" s="712" t="b">
        <f ca="1">IF(AND('Asset-backed contributions'!$C$7&lt;1,'Reconciliation report'!$E934&lt;&gt;""),ErrorMsgs!$C934)</f>
        <v>0</v>
      </c>
      <c r="M934" s="712" t="b">
        <f ca="1">IF(AND('Asset-backed contributions'!$C$7&gt;=1,'Reconciliation report'!$E934=""),ErrorMsgs!$D934)</f>
        <v>0</v>
      </c>
      <c r="N934" s="712" t="b">
        <f ca="1">IF($E934="",FALSE,IF(ISERROR(VALUE($E934)),ErrorMsgs!$E934,IF(OR(VALUE($E934)-ROUND(VALUE($E934),2)&lt;&gt;0,VALUE($E934)&lt;0,VALUE($E934)&gt;=1000000000000),ErrorMsgs!$E934)))</f>
        <v>0</v>
      </c>
      <c r="O934" s="712"/>
      <c r="P934" s="712"/>
      <c r="Q934" s="712"/>
      <c r="R934" s="712"/>
      <c r="S934" s="712"/>
      <c r="T934" s="712"/>
      <c r="U934" s="526" t="str">
        <f t="shared" ca="1" si="126"/>
        <v/>
      </c>
      <c r="V934" s="93" t="str" cm="1">
        <f t="array" aca="1" ref="V934" ca="1">CELL("format",INDIRECT(I934))</f>
        <v>C2</v>
      </c>
      <c r="W934" s="93" t="b">
        <f t="shared" ca="1" si="127"/>
        <v>0</v>
      </c>
      <c r="X934" s="715" t="str">
        <f t="shared" ca="1" si="125"/>
        <v/>
      </c>
      <c r="Y934" t="b">
        <f t="shared" ca="1" si="128"/>
        <v>1</v>
      </c>
    </row>
    <row r="935" spans="1:25" ht="77.5">
      <c r="A935" s="705" t="s">
        <v>3581</v>
      </c>
      <c r="B935" s="716" t="str">
        <f t="shared" ca="1" si="131"/>
        <v>ABC income stream - C19</v>
      </c>
      <c r="C935" s="707" t="str" cm="1">
        <f t="array" aca="1" ref="C935" ca="1">INDIRECT(LEFT(I935, FIND("!", I935)) &amp; RefData!$C$426 &amp; RIGHT(I935, LEN(I935) - FIND("!", I935) - 1))</f>
        <v xml:space="preserve">
No answer required
Year 12
</v>
      </c>
      <c r="D935" s="92" t="str">
        <f t="shared" ca="1" si="112"/>
        <v/>
      </c>
      <c r="E935" s="708" t="str" cm="1">
        <f t="array" aca="1" ref="E935" ca="1">IF(INDIRECT($I935)= "", "", INDIRECT($I935))</f>
        <v/>
      </c>
      <c r="F935" s="709" t="str" cm="1">
        <f t="array" aca="1" ref="F935" ca="1">SUBSTITUTE(INDIRECT(LEFT(I935, FIND("!", I935)) &amp; RefData!$C$427 &amp; RIGHT(I935, LEN(I935) - FIND("!", I935) - 1)), "/1-5", "/1")</f>
        <v>AIS 12.0/1</v>
      </c>
      <c r="G935" s="710" t="b">
        <f ca="1">IF(ISNUMBER(SEARCH(RefData!$B$2, $C935)), FALSE, TRUE)</f>
        <v>0</v>
      </c>
      <c r="H935" s="344">
        <f>'ABC income stream'!C19</f>
        <v>0</v>
      </c>
      <c r="I935" s="712" t="str">
        <f t="shared" ca="1" si="132"/>
        <v>'ABC income stream'!C19</v>
      </c>
      <c r="J935" s="713" t="b" cm="1">
        <f t="array" aca="1" ref="J935" ca="1">IF(COUNTIF($K935:$T935, "&lt;&gt;FALSE") - COUNTBLANK($K935:$T935) &gt; 0, INDEX($K935:$T935, MATCH(TRUE, $K935:$T935 &lt;&gt; FALSE, 0)))</f>
        <v>0</v>
      </c>
      <c r="K935" s="712" t="b">
        <f ca="1">IF(AND('Asset-backed contributions'!$C$7=0,'Reconciliation report'!$E935&lt;&gt;""),ErrorMsgs!$B935)</f>
        <v>0</v>
      </c>
      <c r="L935" s="712" t="b">
        <f ca="1">IF(AND('Asset-backed contributions'!$C$7&lt;1,'Reconciliation report'!$E935&lt;&gt;""),ErrorMsgs!$C935)</f>
        <v>0</v>
      </c>
      <c r="M935" s="712" t="b">
        <f ca="1">IF(AND('Asset-backed contributions'!$C$7&gt;=1,'Reconciliation report'!$E935=""),ErrorMsgs!$D935)</f>
        <v>0</v>
      </c>
      <c r="N935" s="712" t="b">
        <f ca="1">IF($E935="",FALSE,IF(ISERROR(VALUE($E935)),ErrorMsgs!$E935,IF(OR(VALUE($E935)-ROUND(VALUE($E935),2)&lt;&gt;0,VALUE($E935)&lt;0,VALUE($E935)&gt;=1000000000000),ErrorMsgs!$E935)))</f>
        <v>0</v>
      </c>
      <c r="O935" s="712"/>
      <c r="P935" s="712"/>
      <c r="Q935" s="712"/>
      <c r="R935" s="712"/>
      <c r="S935" s="712"/>
      <c r="T935" s="712"/>
      <c r="U935" s="526" t="str">
        <f t="shared" ca="1" si="126"/>
        <v/>
      </c>
      <c r="V935" s="93" t="str" cm="1">
        <f t="array" aca="1" ref="V935" ca="1">CELL("format",INDIRECT(I935))</f>
        <v>C2</v>
      </c>
      <c r="W935" s="93" t="b">
        <f t="shared" ca="1" si="127"/>
        <v>0</v>
      </c>
      <c r="X935" s="715" t="str">
        <f t="shared" ca="1" si="125"/>
        <v/>
      </c>
      <c r="Y935" t="b">
        <f t="shared" ca="1" si="128"/>
        <v>1</v>
      </c>
    </row>
    <row r="936" spans="1:25" ht="77.5">
      <c r="A936" s="705" t="s">
        <v>3582</v>
      </c>
      <c r="B936" s="716" t="str">
        <f t="shared" ca="1" si="131"/>
        <v>ABC income stream - C20</v>
      </c>
      <c r="C936" s="707" t="str" cm="1">
        <f t="array" aca="1" ref="C936" ca="1">INDIRECT(LEFT(I936, FIND("!", I936)) &amp; RefData!$C$426 &amp; RIGHT(I936, LEN(I936) - FIND("!", I936) - 1))</f>
        <v xml:space="preserve">
No answer required
Year 13
</v>
      </c>
      <c r="D936" s="92" t="str">
        <f t="shared" ca="1" si="112"/>
        <v/>
      </c>
      <c r="E936" s="708" t="str" cm="1">
        <f t="array" aca="1" ref="E936" ca="1">IF(INDIRECT($I936)= "", "", INDIRECT($I936))</f>
        <v/>
      </c>
      <c r="F936" s="709" t="str" cm="1">
        <f t="array" aca="1" ref="F936" ca="1">SUBSTITUTE(INDIRECT(LEFT(I936, FIND("!", I936)) &amp; RefData!$C$427 &amp; RIGHT(I936, LEN(I936) - FIND("!", I936) - 1)), "/1-5", "/1")</f>
        <v>AIS 13.0/1</v>
      </c>
      <c r="G936" s="710" t="b">
        <f ca="1">IF(ISNUMBER(SEARCH(RefData!$B$2, $C936)), FALSE, TRUE)</f>
        <v>0</v>
      </c>
      <c r="H936" s="344">
        <f>'ABC income stream'!C20</f>
        <v>0</v>
      </c>
      <c r="I936" s="712" t="str">
        <f t="shared" ca="1" si="132"/>
        <v>'ABC income stream'!C20</v>
      </c>
      <c r="J936" s="713" t="b" cm="1">
        <f t="array" aca="1" ref="J936" ca="1">IF(COUNTIF($K936:$T936, "&lt;&gt;FALSE") - COUNTBLANK($K936:$T936) &gt; 0, INDEX($K936:$T936, MATCH(TRUE, $K936:$T936 &lt;&gt; FALSE, 0)))</f>
        <v>0</v>
      </c>
      <c r="K936" s="712" t="b">
        <f ca="1">IF(AND('Asset-backed contributions'!$C$7=0,'Reconciliation report'!$E936&lt;&gt;""),ErrorMsgs!$B936)</f>
        <v>0</v>
      </c>
      <c r="L936" s="712" t="b">
        <f ca="1">IF(AND('Asset-backed contributions'!$C$7&lt;1,'Reconciliation report'!$E936&lt;&gt;""),ErrorMsgs!$C936)</f>
        <v>0</v>
      </c>
      <c r="M936" s="712" t="b">
        <f ca="1">IF(AND('Asset-backed contributions'!$C$7&gt;=1,'Reconciliation report'!$E936=""),ErrorMsgs!$D936)</f>
        <v>0</v>
      </c>
      <c r="N936" s="712" t="b">
        <f ca="1">IF($E936="",FALSE,IF(ISERROR(VALUE($E936)),ErrorMsgs!$E936,IF(OR(VALUE($E936)-ROUND(VALUE($E936),2)&lt;&gt;0,VALUE($E936)&lt;0,VALUE($E936)&gt;=1000000000000),ErrorMsgs!$E936)))</f>
        <v>0</v>
      </c>
      <c r="O936" s="712"/>
      <c r="P936" s="712"/>
      <c r="Q936" s="712"/>
      <c r="R936" s="712"/>
      <c r="S936" s="712"/>
      <c r="T936" s="712"/>
      <c r="U936" s="526" t="str">
        <f t="shared" ca="1" si="126"/>
        <v/>
      </c>
      <c r="V936" s="93" t="str" cm="1">
        <f t="array" aca="1" ref="V936" ca="1">CELL("format",INDIRECT(I936))</f>
        <v>C2</v>
      </c>
      <c r="W936" s="93" t="b">
        <f t="shared" ca="1" si="127"/>
        <v>0</v>
      </c>
      <c r="X936" s="715" t="str">
        <f t="shared" ca="1" si="125"/>
        <v/>
      </c>
      <c r="Y936" t="b">
        <f t="shared" ca="1" si="128"/>
        <v>1</v>
      </c>
    </row>
    <row r="937" spans="1:25" ht="77.5">
      <c r="A937" s="705" t="s">
        <v>3583</v>
      </c>
      <c r="B937" s="716" t="str">
        <f t="shared" ca="1" si="131"/>
        <v>ABC income stream - C21</v>
      </c>
      <c r="C937" s="707" t="str" cm="1">
        <f t="array" aca="1" ref="C937" ca="1">INDIRECT(LEFT(I937, FIND("!", I937)) &amp; RefData!$C$426 &amp; RIGHT(I937, LEN(I937) - FIND("!", I937) - 1))</f>
        <v xml:space="preserve">
No answer required
Year 14
</v>
      </c>
      <c r="D937" s="92" t="str">
        <f t="shared" ca="1" si="112"/>
        <v/>
      </c>
      <c r="E937" s="708" t="str" cm="1">
        <f t="array" aca="1" ref="E937" ca="1">IF(INDIRECT($I937)= "", "", INDIRECT($I937))</f>
        <v/>
      </c>
      <c r="F937" s="709" t="str" cm="1">
        <f t="array" aca="1" ref="F937" ca="1">SUBSTITUTE(INDIRECT(LEFT(I937, FIND("!", I937)) &amp; RefData!$C$427 &amp; RIGHT(I937, LEN(I937) - FIND("!", I937) - 1)), "/1-5", "/1")</f>
        <v>AIS 14.0/1</v>
      </c>
      <c r="G937" s="710" t="b">
        <f ca="1">IF(ISNUMBER(SEARCH(RefData!$B$2, $C937)), FALSE, TRUE)</f>
        <v>0</v>
      </c>
      <c r="H937" s="344">
        <f>'ABC income stream'!C21</f>
        <v>0</v>
      </c>
      <c r="I937" s="712" t="str">
        <f t="shared" ca="1" si="132"/>
        <v>'ABC income stream'!C21</v>
      </c>
      <c r="J937" s="713" t="b" cm="1">
        <f t="array" aca="1" ref="J937" ca="1">IF(COUNTIF($K937:$T937, "&lt;&gt;FALSE") - COUNTBLANK($K937:$T937) &gt; 0, INDEX($K937:$T937, MATCH(TRUE, $K937:$T937 &lt;&gt; FALSE, 0)))</f>
        <v>0</v>
      </c>
      <c r="K937" s="712" t="b">
        <f ca="1">IF(AND('Asset-backed contributions'!$C$7=0,'Reconciliation report'!$E937&lt;&gt;""),ErrorMsgs!$B937)</f>
        <v>0</v>
      </c>
      <c r="L937" s="712" t="b">
        <f ca="1">IF(AND('Asset-backed contributions'!$C$7&lt;1,'Reconciliation report'!$E937&lt;&gt;""),ErrorMsgs!$C937)</f>
        <v>0</v>
      </c>
      <c r="M937" s="712" t="b">
        <f ca="1">IF(AND('Asset-backed contributions'!$C$7&gt;=1,'Reconciliation report'!$E937=""),ErrorMsgs!$D937)</f>
        <v>0</v>
      </c>
      <c r="N937" s="712" t="b">
        <f ca="1">IF($E937="",FALSE,IF(ISERROR(VALUE($E937)),ErrorMsgs!$E937,IF(OR(VALUE($E937)-ROUND(VALUE($E937),2)&lt;&gt;0,VALUE($E937)&lt;0,VALUE($E937)&gt;=1000000000000),ErrorMsgs!$E937)))</f>
        <v>0</v>
      </c>
      <c r="O937" s="712"/>
      <c r="P937" s="712"/>
      <c r="Q937" s="712"/>
      <c r="R937" s="712"/>
      <c r="S937" s="712"/>
      <c r="T937" s="712"/>
      <c r="U937" s="526" t="str">
        <f t="shared" ca="1" si="126"/>
        <v/>
      </c>
      <c r="V937" s="93" t="str" cm="1">
        <f t="array" aca="1" ref="V937" ca="1">CELL("format",INDIRECT(I937))</f>
        <v>C2</v>
      </c>
      <c r="W937" s="93" t="b">
        <f t="shared" ca="1" si="127"/>
        <v>0</v>
      </c>
      <c r="X937" s="715" t="str">
        <f t="shared" ca="1" si="125"/>
        <v/>
      </c>
      <c r="Y937" t="b">
        <f t="shared" ca="1" si="128"/>
        <v>1</v>
      </c>
    </row>
    <row r="938" spans="1:25" ht="77.5">
      <c r="A938" s="705" t="s">
        <v>3584</v>
      </c>
      <c r="B938" s="716" t="str">
        <f t="shared" ca="1" si="131"/>
        <v>ABC income stream - C22</v>
      </c>
      <c r="C938" s="707" t="str" cm="1">
        <f t="array" aca="1" ref="C938" ca="1">INDIRECT(LEFT(I938, FIND("!", I938)) &amp; RefData!$C$426 &amp; RIGHT(I938, LEN(I938) - FIND("!", I938) - 1))</f>
        <v xml:space="preserve">
No answer required
Year 15
</v>
      </c>
      <c r="D938" s="92" t="str">
        <f t="shared" ca="1" si="112"/>
        <v/>
      </c>
      <c r="E938" s="708" t="str" cm="1">
        <f t="array" aca="1" ref="E938" ca="1">IF(INDIRECT($I938)= "", "", INDIRECT($I938))</f>
        <v/>
      </c>
      <c r="F938" s="709" t="str" cm="1">
        <f t="array" aca="1" ref="F938" ca="1">SUBSTITUTE(INDIRECT(LEFT(I938, FIND("!", I938)) &amp; RefData!$C$427 &amp; RIGHT(I938, LEN(I938) - FIND("!", I938) - 1)), "/1-5", "/1")</f>
        <v>AIS 15.0/1</v>
      </c>
      <c r="G938" s="710" t="b">
        <f ca="1">IF(ISNUMBER(SEARCH(RefData!$B$2, $C938)), FALSE, TRUE)</f>
        <v>0</v>
      </c>
      <c r="H938" s="344">
        <f>'ABC income stream'!C22</f>
        <v>0</v>
      </c>
      <c r="I938" s="712" t="str">
        <f t="shared" ca="1" si="132"/>
        <v>'ABC income stream'!C22</v>
      </c>
      <c r="J938" s="713" t="b" cm="1">
        <f t="array" aca="1" ref="J938" ca="1">IF(COUNTIF($K938:$T938, "&lt;&gt;FALSE") - COUNTBLANK($K938:$T938) &gt; 0, INDEX($K938:$T938, MATCH(TRUE, $K938:$T938 &lt;&gt; FALSE, 0)))</f>
        <v>0</v>
      </c>
      <c r="K938" s="712" t="b">
        <f ca="1">IF(AND('Asset-backed contributions'!$C$7=0,'Reconciliation report'!$E938&lt;&gt;""),ErrorMsgs!$B938)</f>
        <v>0</v>
      </c>
      <c r="L938" s="712" t="b">
        <f ca="1">IF(AND('Asset-backed contributions'!$C$7&lt;1,'Reconciliation report'!$E938&lt;&gt;""),ErrorMsgs!$C938)</f>
        <v>0</v>
      </c>
      <c r="M938" s="712" t="b">
        <f ca="1">IF(AND('Asset-backed contributions'!$C$7&gt;=1,'Reconciliation report'!$E938=""),ErrorMsgs!$D938)</f>
        <v>0</v>
      </c>
      <c r="N938" s="712" t="b">
        <f ca="1">IF($E938="",FALSE,IF(ISERROR(VALUE($E938)),ErrorMsgs!$E938,IF(OR(VALUE($E938)-ROUND(VALUE($E938),2)&lt;&gt;0,VALUE($E938)&lt;0,VALUE($E938)&gt;=1000000000000),ErrorMsgs!$E938)))</f>
        <v>0</v>
      </c>
      <c r="O938" s="712"/>
      <c r="P938" s="712"/>
      <c r="Q938" s="712"/>
      <c r="R938" s="712"/>
      <c r="S938" s="712"/>
      <c r="T938" s="712"/>
      <c r="U938" s="526" t="str">
        <f t="shared" ca="1" si="126"/>
        <v/>
      </c>
      <c r="V938" s="93" t="str" cm="1">
        <f t="array" aca="1" ref="V938" ca="1">CELL("format",INDIRECT(I938))</f>
        <v>C2</v>
      </c>
      <c r="W938" s="93" t="b">
        <f t="shared" ca="1" si="127"/>
        <v>0</v>
      </c>
      <c r="X938" s="715" t="str">
        <f t="shared" ca="1" si="125"/>
        <v/>
      </c>
      <c r="Y938" t="b">
        <f t="shared" ca="1" si="128"/>
        <v>1</v>
      </c>
    </row>
    <row r="939" spans="1:25" ht="77.5">
      <c r="A939" s="705" t="s">
        <v>3585</v>
      </c>
      <c r="B939" s="716" t="str">
        <f t="shared" ca="1" si="131"/>
        <v>ABC income stream - C23</v>
      </c>
      <c r="C939" s="707" t="str" cm="1">
        <f t="array" aca="1" ref="C939" ca="1">INDIRECT(LEFT(I939, FIND("!", I939)) &amp; RefData!$C$426 &amp; RIGHT(I939, LEN(I939) - FIND("!", I939) - 1))</f>
        <v xml:space="preserve">
No answer required
Year 16
</v>
      </c>
      <c r="D939" s="92" t="str">
        <f t="shared" ca="1" si="112"/>
        <v/>
      </c>
      <c r="E939" s="708" t="str" cm="1">
        <f t="array" aca="1" ref="E939" ca="1">IF(INDIRECT($I939)= "", "", INDIRECT($I939))</f>
        <v/>
      </c>
      <c r="F939" s="709" t="str" cm="1">
        <f t="array" aca="1" ref="F939" ca="1">SUBSTITUTE(INDIRECT(LEFT(I939, FIND("!", I939)) &amp; RefData!$C$427 &amp; RIGHT(I939, LEN(I939) - FIND("!", I939) - 1)), "/1-5", "/1")</f>
        <v>AIS 16.0/1</v>
      </c>
      <c r="G939" s="710" t="b">
        <f ca="1">IF(ISNUMBER(SEARCH(RefData!$B$2, $C939)), FALSE, TRUE)</f>
        <v>0</v>
      </c>
      <c r="H939" s="344">
        <f>'ABC income stream'!C23</f>
        <v>0</v>
      </c>
      <c r="I939" s="712" t="str">
        <f t="shared" ca="1" si="132"/>
        <v>'ABC income stream'!C23</v>
      </c>
      <c r="J939" s="713" t="b" cm="1">
        <f t="array" aca="1" ref="J939" ca="1">IF(COUNTIF($K939:$T939, "&lt;&gt;FALSE") - COUNTBLANK($K939:$T939) &gt; 0, INDEX($K939:$T939, MATCH(TRUE, $K939:$T939 &lt;&gt; FALSE, 0)))</f>
        <v>0</v>
      </c>
      <c r="K939" s="712" t="b">
        <f ca="1">IF(AND('Asset-backed contributions'!$C$7=0,'Reconciliation report'!$E939&lt;&gt;""),ErrorMsgs!$B939)</f>
        <v>0</v>
      </c>
      <c r="L939" s="712" t="b">
        <f ca="1">IF(AND('Asset-backed contributions'!$C$7&lt;1,'Reconciliation report'!$E939&lt;&gt;""),ErrorMsgs!$C939)</f>
        <v>0</v>
      </c>
      <c r="M939" s="712" t="b">
        <f ca="1">IF(AND('Asset-backed contributions'!$C$7&gt;=1,'Reconciliation report'!$E939=""),ErrorMsgs!$D939)</f>
        <v>0</v>
      </c>
      <c r="N939" s="712" t="b">
        <f ca="1">IF($E939="",FALSE,IF(ISERROR(VALUE($E939)),ErrorMsgs!$E939,IF(OR(VALUE($E939)-ROUND(VALUE($E939),2)&lt;&gt;0,VALUE($E939)&lt;0,VALUE($E939)&gt;=1000000000000),ErrorMsgs!$E939)))</f>
        <v>0</v>
      </c>
      <c r="O939" s="712"/>
      <c r="P939" s="712"/>
      <c r="Q939" s="712"/>
      <c r="R939" s="712"/>
      <c r="S939" s="712"/>
      <c r="T939" s="712"/>
      <c r="U939" s="526" t="str">
        <f t="shared" ca="1" si="126"/>
        <v/>
      </c>
      <c r="V939" s="93" t="str" cm="1">
        <f t="array" aca="1" ref="V939" ca="1">CELL("format",INDIRECT(I939))</f>
        <v>C2</v>
      </c>
      <c r="W939" s="93" t="b">
        <f t="shared" ca="1" si="127"/>
        <v>0</v>
      </c>
      <c r="X939" s="715" t="str">
        <f t="shared" ca="1" si="125"/>
        <v/>
      </c>
      <c r="Y939" t="b">
        <f t="shared" ca="1" si="128"/>
        <v>1</v>
      </c>
    </row>
    <row r="940" spans="1:25" ht="77.5">
      <c r="A940" s="705" t="s">
        <v>3586</v>
      </c>
      <c r="B940" s="716" t="str">
        <f t="shared" ca="1" si="131"/>
        <v>ABC income stream - C24</v>
      </c>
      <c r="C940" s="707" t="str" cm="1">
        <f t="array" aca="1" ref="C940" ca="1">INDIRECT(LEFT(I940, FIND("!", I940)) &amp; RefData!$C$426 &amp; RIGHT(I940, LEN(I940) - FIND("!", I940) - 1))</f>
        <v xml:space="preserve">
No answer required
Year 17
</v>
      </c>
      <c r="D940" s="92" t="str">
        <f t="shared" ca="1" si="112"/>
        <v/>
      </c>
      <c r="E940" s="708" t="str" cm="1">
        <f t="array" aca="1" ref="E940" ca="1">IF(INDIRECT($I940)= "", "", INDIRECT($I940))</f>
        <v/>
      </c>
      <c r="F940" s="709" t="str" cm="1">
        <f t="array" aca="1" ref="F940" ca="1">SUBSTITUTE(INDIRECT(LEFT(I940, FIND("!", I940)) &amp; RefData!$C$427 &amp; RIGHT(I940, LEN(I940) - FIND("!", I940) - 1)), "/1-5", "/1")</f>
        <v>AIS 17.0/1</v>
      </c>
      <c r="G940" s="710" t="b">
        <f ca="1">IF(ISNUMBER(SEARCH(RefData!$B$2, $C940)), FALSE, TRUE)</f>
        <v>0</v>
      </c>
      <c r="H940" s="344">
        <f>'ABC income stream'!C24</f>
        <v>0</v>
      </c>
      <c r="I940" s="712" t="str">
        <f t="shared" ca="1" si="132"/>
        <v>'ABC income stream'!C24</v>
      </c>
      <c r="J940" s="713" t="b" cm="1">
        <f t="array" aca="1" ref="J940" ca="1">IF(COUNTIF($K940:$T940, "&lt;&gt;FALSE") - COUNTBLANK($K940:$T940) &gt; 0, INDEX($K940:$T940, MATCH(TRUE, $K940:$T940 &lt;&gt; FALSE, 0)))</f>
        <v>0</v>
      </c>
      <c r="K940" s="712" t="b">
        <f ca="1">IF(AND('Asset-backed contributions'!$C$7=0,'Reconciliation report'!$E940&lt;&gt;""),ErrorMsgs!$B940)</f>
        <v>0</v>
      </c>
      <c r="L940" s="712" t="b">
        <f ca="1">IF(AND('Asset-backed contributions'!$C$7&lt;1,'Reconciliation report'!$E940&lt;&gt;""),ErrorMsgs!$C940)</f>
        <v>0</v>
      </c>
      <c r="M940" s="712" t="b">
        <f ca="1">IF(AND('Asset-backed contributions'!$C$7&gt;=1,'Reconciliation report'!$E940=""),ErrorMsgs!$D940)</f>
        <v>0</v>
      </c>
      <c r="N940" s="712" t="b">
        <f ca="1">IF($E940="",FALSE,IF(ISERROR(VALUE($E940)),ErrorMsgs!$E940,IF(OR(VALUE($E940)-ROUND(VALUE($E940),2)&lt;&gt;0,VALUE($E940)&lt;0,VALUE($E940)&gt;=1000000000000),ErrorMsgs!$E940)))</f>
        <v>0</v>
      </c>
      <c r="O940" s="712"/>
      <c r="P940" s="712"/>
      <c r="Q940" s="712"/>
      <c r="R940" s="712"/>
      <c r="S940" s="712"/>
      <c r="T940" s="712"/>
      <c r="U940" s="526" t="str">
        <f t="shared" ca="1" si="126"/>
        <v/>
      </c>
      <c r="V940" s="93" t="str" cm="1">
        <f t="array" aca="1" ref="V940" ca="1">CELL("format",INDIRECT(I940))</f>
        <v>C2</v>
      </c>
      <c r="W940" s="93" t="b">
        <f t="shared" ca="1" si="127"/>
        <v>0</v>
      </c>
      <c r="X940" s="715" t="str">
        <f t="shared" ca="1" si="125"/>
        <v/>
      </c>
      <c r="Y940" t="b">
        <f t="shared" ca="1" si="128"/>
        <v>1</v>
      </c>
    </row>
    <row r="941" spans="1:25" ht="77.5">
      <c r="A941" s="705" t="s">
        <v>3587</v>
      </c>
      <c r="B941" s="716" t="str">
        <f t="shared" ca="1" si="131"/>
        <v>ABC income stream - C25</v>
      </c>
      <c r="C941" s="707" t="str" cm="1">
        <f t="array" aca="1" ref="C941" ca="1">INDIRECT(LEFT(I941, FIND("!", I941)) &amp; RefData!$C$426 &amp; RIGHT(I941, LEN(I941) - FIND("!", I941) - 1))</f>
        <v xml:space="preserve">
No answer required
Year 18
</v>
      </c>
      <c r="D941" s="92" t="str">
        <f t="shared" ca="1" si="112"/>
        <v/>
      </c>
      <c r="E941" s="708" t="str" cm="1">
        <f t="array" aca="1" ref="E941" ca="1">IF(INDIRECT($I941)= "", "", INDIRECT($I941))</f>
        <v/>
      </c>
      <c r="F941" s="709" t="str" cm="1">
        <f t="array" aca="1" ref="F941" ca="1">SUBSTITUTE(INDIRECT(LEFT(I941, FIND("!", I941)) &amp; RefData!$C$427 &amp; RIGHT(I941, LEN(I941) - FIND("!", I941) - 1)), "/1-5", "/1")</f>
        <v>AIS 18.0/1</v>
      </c>
      <c r="G941" s="710" t="b">
        <f ca="1">IF(ISNUMBER(SEARCH(RefData!$B$2, $C941)), FALSE, TRUE)</f>
        <v>0</v>
      </c>
      <c r="H941" s="344">
        <f>'ABC income stream'!C25</f>
        <v>0</v>
      </c>
      <c r="I941" s="712" t="str">
        <f t="shared" ca="1" si="132"/>
        <v>'ABC income stream'!C25</v>
      </c>
      <c r="J941" s="713" t="b" cm="1">
        <f t="array" aca="1" ref="J941" ca="1">IF(COUNTIF($K941:$T941, "&lt;&gt;FALSE") - COUNTBLANK($K941:$T941) &gt; 0, INDEX($K941:$T941, MATCH(TRUE, $K941:$T941 &lt;&gt; FALSE, 0)))</f>
        <v>0</v>
      </c>
      <c r="K941" s="712" t="b">
        <f ca="1">IF(AND('Asset-backed contributions'!$C$7=0,'Reconciliation report'!$E941&lt;&gt;""),ErrorMsgs!$B941)</f>
        <v>0</v>
      </c>
      <c r="L941" s="712" t="b">
        <f ca="1">IF(AND('Asset-backed contributions'!$C$7&lt;1,'Reconciliation report'!$E941&lt;&gt;""),ErrorMsgs!$C941)</f>
        <v>0</v>
      </c>
      <c r="M941" s="712" t="b">
        <f ca="1">IF(AND('Asset-backed contributions'!$C$7&gt;=1,'Reconciliation report'!$E941=""),ErrorMsgs!$D941)</f>
        <v>0</v>
      </c>
      <c r="N941" s="712" t="b">
        <f ca="1">IF($E941="",FALSE,IF(ISERROR(VALUE($E941)),ErrorMsgs!$E941,IF(OR(VALUE($E941)-ROUND(VALUE($E941),2)&lt;&gt;0,VALUE($E941)&lt;0,VALUE($E941)&gt;=1000000000000),ErrorMsgs!$E941)))</f>
        <v>0</v>
      </c>
      <c r="O941" s="712"/>
      <c r="P941" s="712"/>
      <c r="Q941" s="712"/>
      <c r="R941" s="712"/>
      <c r="S941" s="712"/>
      <c r="T941" s="712"/>
      <c r="U941" s="526" t="str">
        <f t="shared" ca="1" si="126"/>
        <v/>
      </c>
      <c r="V941" s="93" t="str" cm="1">
        <f t="array" aca="1" ref="V941" ca="1">CELL("format",INDIRECT(I941))</f>
        <v>C2</v>
      </c>
      <c r="W941" s="93" t="b">
        <f t="shared" ca="1" si="127"/>
        <v>0</v>
      </c>
      <c r="X941" s="715" t="str">
        <f t="shared" ca="1" si="125"/>
        <v/>
      </c>
      <c r="Y941" t="b">
        <f t="shared" ca="1" si="128"/>
        <v>1</v>
      </c>
    </row>
    <row r="942" spans="1:25" ht="77.5">
      <c r="A942" s="705" t="s">
        <v>3588</v>
      </c>
      <c r="B942" s="716" t="str">
        <f t="shared" ca="1" si="131"/>
        <v>ABC income stream - C26</v>
      </c>
      <c r="C942" s="707" t="str" cm="1">
        <f t="array" aca="1" ref="C942" ca="1">INDIRECT(LEFT(I942, FIND("!", I942)) &amp; RefData!$C$426 &amp; RIGHT(I942, LEN(I942) - FIND("!", I942) - 1))</f>
        <v xml:space="preserve">
No answer required
Year 19
</v>
      </c>
      <c r="D942" s="92" t="str">
        <f t="shared" ca="1" si="112"/>
        <v/>
      </c>
      <c r="E942" s="708" t="str" cm="1">
        <f t="array" aca="1" ref="E942" ca="1">IF(INDIRECT($I942)= "", "", INDIRECT($I942))</f>
        <v/>
      </c>
      <c r="F942" s="709" t="str" cm="1">
        <f t="array" aca="1" ref="F942" ca="1">SUBSTITUTE(INDIRECT(LEFT(I942, FIND("!", I942)) &amp; RefData!$C$427 &amp; RIGHT(I942, LEN(I942) - FIND("!", I942) - 1)), "/1-5", "/1")</f>
        <v>AIS 19.0/1</v>
      </c>
      <c r="G942" s="710" t="b">
        <f ca="1">IF(ISNUMBER(SEARCH(RefData!$B$2, $C942)), FALSE, TRUE)</f>
        <v>0</v>
      </c>
      <c r="H942" s="344">
        <f>'ABC income stream'!C26</f>
        <v>0</v>
      </c>
      <c r="I942" s="712" t="str">
        <f t="shared" ca="1" si="132"/>
        <v>'ABC income stream'!C26</v>
      </c>
      <c r="J942" s="713" t="b" cm="1">
        <f t="array" aca="1" ref="J942" ca="1">IF(COUNTIF($K942:$T942, "&lt;&gt;FALSE") - COUNTBLANK($K942:$T942) &gt; 0, INDEX($K942:$T942, MATCH(TRUE, $K942:$T942 &lt;&gt; FALSE, 0)))</f>
        <v>0</v>
      </c>
      <c r="K942" s="712" t="b">
        <f ca="1">IF(AND('Asset-backed contributions'!$C$7=0,'Reconciliation report'!$E942&lt;&gt;""),ErrorMsgs!$B942)</f>
        <v>0</v>
      </c>
      <c r="L942" s="712" t="b">
        <f ca="1">IF(AND('Asset-backed contributions'!$C$7&lt;1,'Reconciliation report'!$E942&lt;&gt;""),ErrorMsgs!$C942)</f>
        <v>0</v>
      </c>
      <c r="M942" s="712" t="b">
        <f ca="1">IF(AND('Asset-backed contributions'!$C$7&gt;=1,'Reconciliation report'!$E942=""),ErrorMsgs!$D942)</f>
        <v>0</v>
      </c>
      <c r="N942" s="712" t="b">
        <f ca="1">IF($E942="",FALSE,IF(ISERROR(VALUE($E942)),ErrorMsgs!$E942,IF(OR(VALUE($E942)-ROUND(VALUE($E942),2)&lt;&gt;0,VALUE($E942)&lt;0,VALUE($E942)&gt;=1000000000000),ErrorMsgs!$E942)))</f>
        <v>0</v>
      </c>
      <c r="O942" s="712"/>
      <c r="P942" s="712"/>
      <c r="Q942" s="712"/>
      <c r="R942" s="712"/>
      <c r="S942" s="712"/>
      <c r="T942" s="712"/>
      <c r="U942" s="526" t="str">
        <f t="shared" ca="1" si="126"/>
        <v/>
      </c>
      <c r="V942" s="93" t="str" cm="1">
        <f t="array" aca="1" ref="V942" ca="1">CELL("format",INDIRECT(I942))</f>
        <v>C2</v>
      </c>
      <c r="W942" s="93" t="b">
        <f t="shared" ca="1" si="127"/>
        <v>0</v>
      </c>
      <c r="X942" s="715" t="str">
        <f t="shared" ca="1" si="125"/>
        <v/>
      </c>
      <c r="Y942" t="b">
        <f t="shared" ca="1" si="128"/>
        <v>1</v>
      </c>
    </row>
    <row r="943" spans="1:25" ht="77.5">
      <c r="A943" s="705" t="s">
        <v>3589</v>
      </c>
      <c r="B943" s="716" t="str">
        <f t="shared" ca="1" si="131"/>
        <v>ABC income stream - C27</v>
      </c>
      <c r="C943" s="707" t="str" cm="1">
        <f t="array" aca="1" ref="C943" ca="1">INDIRECT(LEFT(I943, FIND("!", I943)) &amp; RefData!$C$426 &amp; RIGHT(I943, LEN(I943) - FIND("!", I943) - 1))</f>
        <v xml:space="preserve">
No answer required
Year 20
</v>
      </c>
      <c r="D943" s="92" t="str">
        <f t="shared" ca="1" si="112"/>
        <v/>
      </c>
      <c r="E943" s="708" t="str" cm="1">
        <f t="array" aca="1" ref="E943" ca="1">IF(INDIRECT($I943)= "", "", INDIRECT($I943))</f>
        <v/>
      </c>
      <c r="F943" s="709" t="str" cm="1">
        <f t="array" aca="1" ref="F943" ca="1">SUBSTITUTE(INDIRECT(LEFT(I943, FIND("!", I943)) &amp; RefData!$C$427 &amp; RIGHT(I943, LEN(I943) - FIND("!", I943) - 1)), "/1-5", "/1")</f>
        <v>AIS 20.0/1</v>
      </c>
      <c r="G943" s="710" t="b">
        <f ca="1">IF(ISNUMBER(SEARCH(RefData!$B$2, $C943)), FALSE, TRUE)</f>
        <v>0</v>
      </c>
      <c r="H943" s="344">
        <f>'ABC income stream'!C27</f>
        <v>0</v>
      </c>
      <c r="I943" s="712" t="str">
        <f t="shared" ca="1" si="132"/>
        <v>'ABC income stream'!C27</v>
      </c>
      <c r="J943" s="713" t="b" cm="1">
        <f t="array" aca="1" ref="J943" ca="1">IF(COUNTIF($K943:$T943, "&lt;&gt;FALSE") - COUNTBLANK($K943:$T943) &gt; 0, INDEX($K943:$T943, MATCH(TRUE, $K943:$T943 &lt;&gt; FALSE, 0)))</f>
        <v>0</v>
      </c>
      <c r="K943" s="712" t="b">
        <f ca="1">IF(AND('Asset-backed contributions'!$C$7=0,'Reconciliation report'!$E943&lt;&gt;""),ErrorMsgs!$B943)</f>
        <v>0</v>
      </c>
      <c r="L943" s="712" t="b">
        <f ca="1">IF(AND('Asset-backed contributions'!$C$7&lt;1,'Reconciliation report'!$E943&lt;&gt;""),ErrorMsgs!$C943)</f>
        <v>0</v>
      </c>
      <c r="M943" s="712" t="b">
        <f ca="1">IF(AND('Asset-backed contributions'!$C$7&gt;=1,'Reconciliation report'!$E943=""),ErrorMsgs!$D943)</f>
        <v>0</v>
      </c>
      <c r="N943" s="712" t="b">
        <f ca="1">IF($E943="",FALSE,IF(ISERROR(VALUE($E943)),ErrorMsgs!$E943,IF(OR(VALUE($E943)-ROUND(VALUE($E943),2)&lt;&gt;0,VALUE($E943)&lt;0,VALUE($E943)&gt;=1000000000000),ErrorMsgs!$E943)))</f>
        <v>0</v>
      </c>
      <c r="O943" s="712"/>
      <c r="P943" s="712"/>
      <c r="Q943" s="712"/>
      <c r="R943" s="712"/>
      <c r="S943" s="712"/>
      <c r="T943" s="712"/>
      <c r="U943" s="526" t="str">
        <f t="shared" ca="1" si="126"/>
        <v/>
      </c>
      <c r="V943" s="93" t="str" cm="1">
        <f t="array" aca="1" ref="V943" ca="1">CELL("format",INDIRECT(I943))</f>
        <v>C2</v>
      </c>
      <c r="W943" s="93" t="b">
        <f t="shared" ca="1" si="127"/>
        <v>0</v>
      </c>
      <c r="X943" s="715" t="str">
        <f t="shared" ca="1" si="125"/>
        <v/>
      </c>
      <c r="Y943" t="b">
        <f t="shared" ca="1" si="128"/>
        <v>1</v>
      </c>
    </row>
    <row r="944" spans="1:25" ht="77.5">
      <c r="A944" s="705" t="s">
        <v>3590</v>
      </c>
      <c r="B944" s="716" t="str">
        <f t="shared" ca="1" si="131"/>
        <v>ABC income stream - C28</v>
      </c>
      <c r="C944" s="707" t="str" cm="1">
        <f t="array" aca="1" ref="C944" ca="1">INDIRECT(LEFT(I944, FIND("!", I944)) &amp; RefData!$C$426 &amp; RIGHT(I944, LEN(I944) - FIND("!", I944) - 1))</f>
        <v xml:space="preserve">
No answer required
Year 21+
</v>
      </c>
      <c r="D944" s="92" t="str">
        <f t="shared" ca="1" si="112"/>
        <v/>
      </c>
      <c r="E944" s="708" t="str" cm="1">
        <f t="array" aca="1" ref="E944" ca="1">IF(INDIRECT($I944)= "", "", INDIRECT($I944))</f>
        <v/>
      </c>
      <c r="F944" s="709" t="str" cm="1">
        <f t="array" aca="1" ref="F944" ca="1">SUBSTITUTE(INDIRECT(LEFT(I944, FIND("!", I944)) &amp; RefData!$C$427 &amp; RIGHT(I944, LEN(I944) - FIND("!", I944) - 1)), "/1-5", "/1")</f>
        <v>AIS 21.0/1</v>
      </c>
      <c r="G944" s="710" t="b">
        <f ca="1">IF(ISNUMBER(SEARCH(RefData!$B$2, $C944)), FALSE, TRUE)</f>
        <v>0</v>
      </c>
      <c r="H944" s="344">
        <f>'ABC income stream'!C28</f>
        <v>0</v>
      </c>
      <c r="I944" s="712" t="str">
        <f t="shared" ca="1" si="132"/>
        <v>'ABC income stream'!C28</v>
      </c>
      <c r="J944" s="713" t="b" cm="1">
        <f t="array" aca="1" ref="J944" ca="1">IF(COUNTIF($K944:$T944, "&lt;&gt;FALSE") - COUNTBLANK($K944:$T944) &gt; 0, INDEX($K944:$T944, MATCH(TRUE, $K944:$T944 &lt;&gt; FALSE, 0)))</f>
        <v>0</v>
      </c>
      <c r="K944" s="712" t="b">
        <f ca="1">IF(AND('Asset-backed contributions'!$C$7=0,'Reconciliation report'!$E944&lt;&gt;""),ErrorMsgs!$B944)</f>
        <v>0</v>
      </c>
      <c r="L944" s="712" t="b">
        <f ca="1">IF(AND('Asset-backed contributions'!$C$7&lt;1,'Reconciliation report'!$E944&lt;&gt;""),ErrorMsgs!$C944)</f>
        <v>0</v>
      </c>
      <c r="M944" s="712" t="b">
        <f ca="1">IF(AND('Asset-backed contributions'!$C$7&gt;=1,'Reconciliation report'!$E944=""),ErrorMsgs!$D944)</f>
        <v>0</v>
      </c>
      <c r="N944" s="712" t="b">
        <f ca="1">IF($E944="",FALSE,IF(ISERROR(VALUE($E944)),ErrorMsgs!$E944,IF(OR(VALUE($E944)-ROUND(VALUE($E944),2)&lt;&gt;0,VALUE($E944)&lt;0,VALUE($E944)&gt;=1000000000000),ErrorMsgs!$E944)))</f>
        <v>0</v>
      </c>
      <c r="O944" s="712"/>
      <c r="P944" s="712"/>
      <c r="Q944" s="712"/>
      <c r="R944" s="712"/>
      <c r="S944" s="712"/>
      <c r="T944" s="712"/>
      <c r="U944" s="526" t="str">
        <f t="shared" ca="1" si="126"/>
        <v/>
      </c>
      <c r="V944" s="93" t="str" cm="1">
        <f t="array" aca="1" ref="V944" ca="1">CELL("format",INDIRECT(I944))</f>
        <v>C2</v>
      </c>
      <c r="W944" s="93" t="b">
        <f t="shared" ca="1" si="127"/>
        <v>0</v>
      </c>
      <c r="X944" s="715" t="str">
        <f t="shared" ca="1" si="125"/>
        <v/>
      </c>
      <c r="Y944" t="b">
        <f t="shared" ca="1" si="128"/>
        <v>1</v>
      </c>
    </row>
    <row r="945" spans="1:25" ht="77.5">
      <c r="A945" s="705" t="s">
        <v>3591</v>
      </c>
      <c r="B945" s="716" t="str">
        <f t="shared" ca="1" si="131"/>
        <v>ABC income stream - D8</v>
      </c>
      <c r="C945" s="707" t="str" cm="1">
        <f t="array" aca="1" ref="C945" ca="1">INDIRECT(LEFT(I945, FIND("!", I945)) &amp; RefData!$C$426 &amp; RIGHT(I945, LEN(I945) - FIND("!", I945) - 1))</f>
        <v xml:space="preserve">
No answer required
Year 1
</v>
      </c>
      <c r="D945" s="92" t="str">
        <f t="shared" ref="D945:D965" ca="1" si="133">""&amp;IF(J945=FALSE, "", J945)
&amp;""</f>
        <v/>
      </c>
      <c r="E945" s="708" t="str" cm="1">
        <f t="array" aca="1" ref="E945" ca="1">IF(INDIRECT($I945)= "", "", INDIRECT($I945))</f>
        <v/>
      </c>
      <c r="F945" s="709" t="str" cm="1">
        <f t="array" aca="1" ref="F945" ca="1">SUBSTITUTE(INDIRECT(LEFT(I945, FIND("!", I945)) &amp; RefData!$C$427 &amp; RIGHT(I945, LEN(I945) - FIND("!", I945) - 1)), "/1-5", "/2")</f>
        <v>AIS 1.0/2</v>
      </c>
      <c r="G945" s="710" t="b">
        <f ca="1">IF(ISNUMBER(SEARCH(RefData!$B$2, $C945)), FALSE, TRUE)</f>
        <v>0</v>
      </c>
      <c r="H945" s="344">
        <f>'ABC income stream'!D8</f>
        <v>0</v>
      </c>
      <c r="I945" s="712" t="str">
        <f t="shared" ca="1" si="132"/>
        <v>'ABC income stream'!D8</v>
      </c>
      <c r="J945" s="713" t="b" cm="1">
        <f t="array" aca="1" ref="J945" ca="1">IF(COUNTIF($K945:$T945, "&lt;&gt;FALSE") - COUNTBLANK($K945:$T945) &gt; 0, INDEX($K945:$T945, MATCH(TRUE, $K945:$T945 &lt;&gt; FALSE, 0)))</f>
        <v>0</v>
      </c>
      <c r="K945" s="712" t="b">
        <f ca="1">IF(AND('Asset-backed contributions'!$C$7=0,'Reconciliation report'!$E945&lt;&gt;""),ErrorMsgs!$B945)</f>
        <v>0</v>
      </c>
      <c r="L945" s="712" t="b">
        <f ca="1">IF(AND('Asset-backed contributions'!$C$7&lt;2,'Reconciliation report'!$E945&lt;&gt;""),ErrorMsgs!$C945)</f>
        <v>0</v>
      </c>
      <c r="M945" s="712" t="b">
        <f ca="1">IF(AND('Asset-backed contributions'!$C$7&gt;=2,'Reconciliation report'!$E945=""),ErrorMsgs!$D945)</f>
        <v>0</v>
      </c>
      <c r="N945" s="712" t="b">
        <f ca="1">IF($E945="",FALSE,IF(ISERROR(VALUE($E945)),ErrorMsgs!$E945,IF(OR(VALUE($E945)-ROUND(VALUE($E945),2)&lt;&gt;0,VALUE($E945)&lt;0,VALUE($E945)&gt;=1000000000000),ErrorMsgs!$E945)))</f>
        <v>0</v>
      </c>
      <c r="O945" s="712"/>
      <c r="P945" s="712"/>
      <c r="Q945" s="712"/>
      <c r="R945" s="712"/>
      <c r="S945" s="712"/>
      <c r="T945" s="712"/>
      <c r="U945" s="526" t="str">
        <f t="shared" ca="1" si="126"/>
        <v/>
      </c>
      <c r="V945" s="93" t="str" cm="1">
        <f t="array" aca="1" ref="V945" ca="1">CELL("format",INDIRECT(I945))</f>
        <v>C2</v>
      </c>
      <c r="W945" s="93" t="b">
        <f t="shared" ca="1" si="127"/>
        <v>0</v>
      </c>
      <c r="X945" s="715" t="str">
        <f t="shared" ca="1" si="125"/>
        <v/>
      </c>
      <c r="Y945" t="b">
        <f t="shared" ca="1" si="128"/>
        <v>1</v>
      </c>
    </row>
    <row r="946" spans="1:25" ht="77.5">
      <c r="A946" s="705" t="s">
        <v>3592</v>
      </c>
      <c r="B946" s="716" t="str">
        <f t="shared" ca="1" si="131"/>
        <v>ABC income stream - D9</v>
      </c>
      <c r="C946" s="707" t="str" cm="1">
        <f t="array" aca="1" ref="C946" ca="1">INDIRECT(LEFT(I946, FIND("!", I946)) &amp; RefData!$C$426 &amp; RIGHT(I946, LEN(I946) - FIND("!", I946) - 1))</f>
        <v xml:space="preserve">
No answer required
Year 2
</v>
      </c>
      <c r="D946" s="92" t="str">
        <f t="shared" ca="1" si="133"/>
        <v/>
      </c>
      <c r="E946" s="708" t="str" cm="1">
        <f t="array" aca="1" ref="E946" ca="1">IF(INDIRECT($I946)= "", "", INDIRECT($I946))</f>
        <v/>
      </c>
      <c r="F946" s="709" t="str" cm="1">
        <f t="array" aca="1" ref="F946" ca="1">SUBSTITUTE(INDIRECT(LEFT(I946, FIND("!", I946)) &amp; RefData!$C$427 &amp; RIGHT(I946, LEN(I946) - FIND("!", I946) - 1)), "/1-5", "/2")</f>
        <v>AIS 2.0/2</v>
      </c>
      <c r="G946" s="710" t="b">
        <f ca="1">IF(ISNUMBER(SEARCH(RefData!$B$2, $C946)), FALSE, TRUE)</f>
        <v>0</v>
      </c>
      <c r="H946" s="344">
        <f>'ABC income stream'!D9</f>
        <v>0</v>
      </c>
      <c r="I946" s="712" t="str">
        <f t="shared" ca="1" si="132"/>
        <v>'ABC income stream'!D9</v>
      </c>
      <c r="J946" s="713" t="b" cm="1">
        <f t="array" aca="1" ref="J946" ca="1">IF(COUNTIF($K946:$T946, "&lt;&gt;FALSE") - COUNTBLANK($K946:$T946) &gt; 0, INDEX($K946:$T946, MATCH(TRUE, $K946:$T946 &lt;&gt; FALSE, 0)))</f>
        <v>0</v>
      </c>
      <c r="K946" s="712" t="b">
        <f ca="1">IF(AND('Asset-backed contributions'!$C$7=0,'Reconciliation report'!$E946&lt;&gt;""),ErrorMsgs!$B946)</f>
        <v>0</v>
      </c>
      <c r="L946" s="712" t="b">
        <f ca="1">IF(AND('Asset-backed contributions'!$C$7&lt;2,'Reconciliation report'!$E946&lt;&gt;""),ErrorMsgs!$C946)</f>
        <v>0</v>
      </c>
      <c r="M946" s="712" t="b">
        <f ca="1">IF(AND('Asset-backed contributions'!$C$7&gt;=2,'Reconciliation report'!$E946=""),ErrorMsgs!$D946)</f>
        <v>0</v>
      </c>
      <c r="N946" s="712" t="b">
        <f ca="1">IF($E946="",FALSE,IF(ISERROR(VALUE($E946)),ErrorMsgs!$E946,IF(OR(VALUE($E946)-ROUND(VALUE($E946),2)&lt;&gt;0,VALUE($E946)&lt;0,VALUE($E946)&gt;=1000000000000),ErrorMsgs!$E946)))</f>
        <v>0</v>
      </c>
      <c r="O946" s="712"/>
      <c r="P946" s="712"/>
      <c r="Q946" s="712"/>
      <c r="R946" s="712"/>
      <c r="S946" s="712"/>
      <c r="T946" s="712"/>
      <c r="U946" s="526" t="str">
        <f t="shared" ca="1" si="126"/>
        <v/>
      </c>
      <c r="V946" s="93" t="str" cm="1">
        <f t="array" aca="1" ref="V946" ca="1">CELL("format",INDIRECT(I946))</f>
        <v>C2</v>
      </c>
      <c r="W946" s="93" t="b">
        <f t="shared" ca="1" si="127"/>
        <v>0</v>
      </c>
      <c r="X946" s="715" t="str">
        <f t="shared" ca="1" si="125"/>
        <v/>
      </c>
      <c r="Y946" t="b">
        <f t="shared" ca="1" si="128"/>
        <v>1</v>
      </c>
    </row>
    <row r="947" spans="1:25" ht="77.5">
      <c r="A947" s="705" t="s">
        <v>3593</v>
      </c>
      <c r="B947" s="716" t="str">
        <f t="shared" ca="1" si="131"/>
        <v>ABC income stream - D10</v>
      </c>
      <c r="C947" s="707" t="str" cm="1">
        <f t="array" aca="1" ref="C947" ca="1">INDIRECT(LEFT(I947, FIND("!", I947)) &amp; RefData!$C$426 &amp; RIGHT(I947, LEN(I947) - FIND("!", I947) - 1))</f>
        <v xml:space="preserve">
No answer required
Year 3
</v>
      </c>
      <c r="D947" s="92" t="str">
        <f t="shared" ca="1" si="133"/>
        <v/>
      </c>
      <c r="E947" s="708" t="str" cm="1">
        <f t="array" aca="1" ref="E947" ca="1">IF(INDIRECT($I947)= "", "", INDIRECT($I947))</f>
        <v/>
      </c>
      <c r="F947" s="709" t="str" cm="1">
        <f t="array" aca="1" ref="F947" ca="1">SUBSTITUTE(INDIRECT(LEFT(I947, FIND("!", I947)) &amp; RefData!$C$427 &amp; RIGHT(I947, LEN(I947) - FIND("!", I947) - 1)), "/1-5", "/2")</f>
        <v>AIS 3.0/2</v>
      </c>
      <c r="G947" s="710" t="b">
        <f ca="1">IF(ISNUMBER(SEARCH(RefData!$B$2, $C947)), FALSE, TRUE)</f>
        <v>0</v>
      </c>
      <c r="H947" s="344">
        <f>'ABC income stream'!D10</f>
        <v>0</v>
      </c>
      <c r="I947" s="712" t="str">
        <f t="shared" ca="1" si="132"/>
        <v>'ABC income stream'!D10</v>
      </c>
      <c r="J947" s="713" t="b" cm="1">
        <f t="array" aca="1" ref="J947" ca="1">IF(COUNTIF($K947:$T947, "&lt;&gt;FALSE") - COUNTBLANK($K947:$T947) &gt; 0, INDEX($K947:$T947, MATCH(TRUE, $K947:$T947 &lt;&gt; FALSE, 0)))</f>
        <v>0</v>
      </c>
      <c r="K947" s="712" t="b">
        <f ca="1">IF(AND('Asset-backed contributions'!$C$7=0,'Reconciliation report'!$E947&lt;&gt;""),ErrorMsgs!$B947)</f>
        <v>0</v>
      </c>
      <c r="L947" s="712" t="b">
        <f ca="1">IF(AND('Asset-backed contributions'!$C$7&lt;2,'Reconciliation report'!$E947&lt;&gt;""),ErrorMsgs!$C947)</f>
        <v>0</v>
      </c>
      <c r="M947" s="712" t="b">
        <f ca="1">IF(AND('Asset-backed contributions'!$C$7&gt;=2,'Reconciliation report'!$E947=""),ErrorMsgs!$D947)</f>
        <v>0</v>
      </c>
      <c r="N947" s="712" t="b">
        <f ca="1">IF($E947="",FALSE,IF(ISERROR(VALUE($E947)),ErrorMsgs!$E947,IF(OR(VALUE($E947)-ROUND(VALUE($E947),2)&lt;&gt;0,VALUE($E947)&lt;0,VALUE($E947)&gt;=1000000000000),ErrorMsgs!$E947)))</f>
        <v>0</v>
      </c>
      <c r="O947" s="712"/>
      <c r="P947" s="712"/>
      <c r="Q947" s="712"/>
      <c r="R947" s="712"/>
      <c r="S947" s="712"/>
      <c r="T947" s="712"/>
      <c r="U947" s="526" t="str">
        <f t="shared" ca="1" si="126"/>
        <v/>
      </c>
      <c r="V947" s="93" t="str" cm="1">
        <f t="array" aca="1" ref="V947" ca="1">CELL("format",INDIRECT(I947))</f>
        <v>C2</v>
      </c>
      <c r="W947" s="93" t="b">
        <f t="shared" ca="1" si="127"/>
        <v>0</v>
      </c>
      <c r="X947" s="715" t="str">
        <f t="shared" ca="1" si="125"/>
        <v/>
      </c>
      <c r="Y947" t="b">
        <f t="shared" ca="1" si="128"/>
        <v>1</v>
      </c>
    </row>
    <row r="948" spans="1:25" ht="77.5">
      <c r="A948" s="705" t="s">
        <v>3594</v>
      </c>
      <c r="B948" s="716" t="str">
        <f t="shared" ca="1" si="131"/>
        <v>ABC income stream - D11</v>
      </c>
      <c r="C948" s="707" t="str" cm="1">
        <f t="array" aca="1" ref="C948" ca="1">INDIRECT(LEFT(I948, FIND("!", I948)) &amp; RefData!$C$426 &amp; RIGHT(I948, LEN(I948) - FIND("!", I948) - 1))</f>
        <v xml:space="preserve">
No answer required
Year 4
</v>
      </c>
      <c r="D948" s="92" t="str">
        <f t="shared" ca="1" si="133"/>
        <v/>
      </c>
      <c r="E948" s="708" t="str" cm="1">
        <f t="array" aca="1" ref="E948" ca="1">IF(INDIRECT($I948)= "", "", INDIRECT($I948))</f>
        <v/>
      </c>
      <c r="F948" s="709" t="str" cm="1">
        <f t="array" aca="1" ref="F948" ca="1">SUBSTITUTE(INDIRECT(LEFT(I948, FIND("!", I948)) &amp; RefData!$C$427 &amp; RIGHT(I948, LEN(I948) - FIND("!", I948) - 1)), "/1-5", "/2")</f>
        <v>AIS 4.0/2</v>
      </c>
      <c r="G948" s="710" t="b">
        <f ca="1">IF(ISNUMBER(SEARCH(RefData!$B$2, $C948)), FALSE, TRUE)</f>
        <v>0</v>
      </c>
      <c r="H948" s="344">
        <f>'ABC income stream'!D11</f>
        <v>0</v>
      </c>
      <c r="I948" s="712" t="str">
        <f t="shared" ca="1" si="132"/>
        <v>'ABC income stream'!D11</v>
      </c>
      <c r="J948" s="713" t="b" cm="1">
        <f t="array" aca="1" ref="J948" ca="1">IF(COUNTIF($K948:$T948, "&lt;&gt;FALSE") - COUNTBLANK($K948:$T948) &gt; 0, INDEX($K948:$T948, MATCH(TRUE, $K948:$T948 &lt;&gt; FALSE, 0)))</f>
        <v>0</v>
      </c>
      <c r="K948" s="712" t="b">
        <f ca="1">IF(AND('Asset-backed contributions'!$C$7=0,'Reconciliation report'!$E948&lt;&gt;""),ErrorMsgs!$B948)</f>
        <v>0</v>
      </c>
      <c r="L948" s="712" t="b">
        <f ca="1">IF(AND('Asset-backed contributions'!$C$7&lt;2,'Reconciliation report'!$E948&lt;&gt;""),ErrorMsgs!$C948)</f>
        <v>0</v>
      </c>
      <c r="M948" s="712" t="b">
        <f ca="1">IF(AND('Asset-backed contributions'!$C$7&gt;=2,'Reconciliation report'!$E948=""),ErrorMsgs!$D948)</f>
        <v>0</v>
      </c>
      <c r="N948" s="712" t="b">
        <f ca="1">IF($E948="",FALSE,IF(ISERROR(VALUE($E948)),ErrorMsgs!$E948,IF(OR(VALUE($E948)-ROUND(VALUE($E948),2)&lt;&gt;0,VALUE($E948)&lt;0,VALUE($E948)&gt;=1000000000000),ErrorMsgs!$E948)))</f>
        <v>0</v>
      </c>
      <c r="O948" s="712"/>
      <c r="P948" s="712"/>
      <c r="Q948" s="712"/>
      <c r="R948" s="712"/>
      <c r="S948" s="712"/>
      <c r="T948" s="712"/>
      <c r="U948" s="526" t="str">
        <f t="shared" ca="1" si="126"/>
        <v/>
      </c>
      <c r="V948" s="93" t="str" cm="1">
        <f t="array" aca="1" ref="V948" ca="1">CELL("format",INDIRECT(I948))</f>
        <v>C2</v>
      </c>
      <c r="W948" s="93" t="b">
        <f t="shared" ca="1" si="127"/>
        <v>0</v>
      </c>
      <c r="X948" s="715" t="str">
        <f t="shared" ca="1" si="125"/>
        <v/>
      </c>
      <c r="Y948" t="b">
        <f t="shared" ca="1" si="128"/>
        <v>1</v>
      </c>
    </row>
    <row r="949" spans="1:25" ht="77.5">
      <c r="A949" s="705" t="s">
        <v>3595</v>
      </c>
      <c r="B949" s="716" t="str">
        <f t="shared" ca="1" si="131"/>
        <v>ABC income stream - D12</v>
      </c>
      <c r="C949" s="707" t="str" cm="1">
        <f t="array" aca="1" ref="C949" ca="1">INDIRECT(LEFT(I949, FIND("!", I949)) &amp; RefData!$C$426 &amp; RIGHT(I949, LEN(I949) - FIND("!", I949) - 1))</f>
        <v xml:space="preserve">
No answer required
Year 5
</v>
      </c>
      <c r="D949" s="92" t="str">
        <f t="shared" ca="1" si="133"/>
        <v/>
      </c>
      <c r="E949" s="708" t="str" cm="1">
        <f t="array" aca="1" ref="E949" ca="1">IF(INDIRECT($I949)= "", "", INDIRECT($I949))</f>
        <v/>
      </c>
      <c r="F949" s="709" t="str" cm="1">
        <f t="array" aca="1" ref="F949" ca="1">SUBSTITUTE(INDIRECT(LEFT(I949, FIND("!", I949)) &amp; RefData!$C$427 &amp; RIGHT(I949, LEN(I949) - FIND("!", I949) - 1)), "/1-5", "/2")</f>
        <v>AIS 5.0/2</v>
      </c>
      <c r="G949" s="710" t="b">
        <f ca="1">IF(ISNUMBER(SEARCH(RefData!$B$2, $C949)), FALSE, TRUE)</f>
        <v>0</v>
      </c>
      <c r="H949" s="344">
        <f>'ABC income stream'!D12</f>
        <v>0</v>
      </c>
      <c r="I949" s="712" t="str">
        <f t="shared" ca="1" si="132"/>
        <v>'ABC income stream'!D12</v>
      </c>
      <c r="J949" s="713" t="b" cm="1">
        <f t="array" aca="1" ref="J949" ca="1">IF(COUNTIF($K949:$T949, "&lt;&gt;FALSE") - COUNTBLANK($K949:$T949) &gt; 0, INDEX($K949:$T949, MATCH(TRUE, $K949:$T949 &lt;&gt; FALSE, 0)))</f>
        <v>0</v>
      </c>
      <c r="K949" s="712" t="b">
        <f ca="1">IF(AND('Asset-backed contributions'!$C$7=0,'Reconciliation report'!$E949&lt;&gt;""),ErrorMsgs!$B949)</f>
        <v>0</v>
      </c>
      <c r="L949" s="712" t="b">
        <f ca="1">IF(AND('Asset-backed contributions'!$C$7&lt;2,'Reconciliation report'!$E949&lt;&gt;""),ErrorMsgs!$C949)</f>
        <v>0</v>
      </c>
      <c r="M949" s="712" t="b">
        <f ca="1">IF(AND('Asset-backed contributions'!$C$7&gt;=2,'Reconciliation report'!$E949=""),ErrorMsgs!$D949)</f>
        <v>0</v>
      </c>
      <c r="N949" s="712" t="b">
        <f ca="1">IF($E949="",FALSE,IF(ISERROR(VALUE($E949)),ErrorMsgs!$E949,IF(OR(VALUE($E949)-ROUND(VALUE($E949),2)&lt;&gt;0,VALUE($E949)&lt;0,VALUE($E949)&gt;=1000000000000),ErrorMsgs!$E949)))</f>
        <v>0</v>
      </c>
      <c r="O949" s="712"/>
      <c r="P949" s="712"/>
      <c r="Q949" s="712"/>
      <c r="R949" s="712"/>
      <c r="S949" s="712"/>
      <c r="T949" s="712"/>
      <c r="U949" s="526" t="str">
        <f t="shared" ca="1" si="126"/>
        <v/>
      </c>
      <c r="V949" s="93" t="str" cm="1">
        <f t="array" aca="1" ref="V949" ca="1">CELL("format",INDIRECT(I949))</f>
        <v>C2</v>
      </c>
      <c r="W949" s="93" t="b">
        <f t="shared" ca="1" si="127"/>
        <v>0</v>
      </c>
      <c r="X949" s="715" t="str">
        <f t="shared" ca="1" si="125"/>
        <v/>
      </c>
      <c r="Y949" t="b">
        <f t="shared" ca="1" si="128"/>
        <v>1</v>
      </c>
    </row>
    <row r="950" spans="1:25" ht="77.5">
      <c r="A950" s="705" t="s">
        <v>3596</v>
      </c>
      <c r="B950" s="716" t="str">
        <f t="shared" ca="1" si="131"/>
        <v>ABC income stream - D13</v>
      </c>
      <c r="C950" s="707" t="str" cm="1">
        <f t="array" aca="1" ref="C950" ca="1">INDIRECT(LEFT(I950, FIND("!", I950)) &amp; RefData!$C$426 &amp; RIGHT(I950, LEN(I950) - FIND("!", I950) - 1))</f>
        <v xml:space="preserve">
No answer required
Year 6
</v>
      </c>
      <c r="D950" s="92" t="str">
        <f t="shared" ca="1" si="133"/>
        <v/>
      </c>
      <c r="E950" s="708" t="str" cm="1">
        <f t="array" aca="1" ref="E950" ca="1">IF(INDIRECT($I950)= "", "", INDIRECT($I950))</f>
        <v/>
      </c>
      <c r="F950" s="709" t="str" cm="1">
        <f t="array" aca="1" ref="F950" ca="1">SUBSTITUTE(INDIRECT(LEFT(I950, FIND("!", I950)) &amp; RefData!$C$427 &amp; RIGHT(I950, LEN(I950) - FIND("!", I950) - 1)), "/1-5", "/2")</f>
        <v>AIS 6.0/2</v>
      </c>
      <c r="G950" s="710" t="b">
        <f ca="1">IF(ISNUMBER(SEARCH(RefData!$B$2, $C950)), FALSE, TRUE)</f>
        <v>0</v>
      </c>
      <c r="H950" s="344">
        <f>'ABC income stream'!D13</f>
        <v>0</v>
      </c>
      <c r="I950" s="712" t="str">
        <f t="shared" ca="1" si="132"/>
        <v>'ABC income stream'!D13</v>
      </c>
      <c r="J950" s="713" t="b" cm="1">
        <f t="array" aca="1" ref="J950" ca="1">IF(COUNTIF($K950:$T950, "&lt;&gt;FALSE") - COUNTBLANK($K950:$T950) &gt; 0, INDEX($K950:$T950, MATCH(TRUE, $K950:$T950 &lt;&gt; FALSE, 0)))</f>
        <v>0</v>
      </c>
      <c r="K950" s="712" t="b">
        <f ca="1">IF(AND('Asset-backed contributions'!$C$7=0,'Reconciliation report'!$E950&lt;&gt;""),ErrorMsgs!$B950)</f>
        <v>0</v>
      </c>
      <c r="L950" s="712" t="b">
        <f ca="1">IF(AND('Asset-backed contributions'!$C$7&lt;2,'Reconciliation report'!$E950&lt;&gt;""),ErrorMsgs!$C950)</f>
        <v>0</v>
      </c>
      <c r="M950" s="712" t="b">
        <f ca="1">IF(AND('Asset-backed contributions'!$C$7&gt;=2,'Reconciliation report'!$E950=""),ErrorMsgs!$D950)</f>
        <v>0</v>
      </c>
      <c r="N950" s="712" t="b">
        <f ca="1">IF($E950="",FALSE,IF(ISERROR(VALUE($E950)),ErrorMsgs!$E950,IF(OR(VALUE($E950)-ROUND(VALUE($E950),2)&lt;&gt;0,VALUE($E950)&lt;0,VALUE($E950)&gt;=1000000000000),ErrorMsgs!$E950)))</f>
        <v>0</v>
      </c>
      <c r="O950" s="712"/>
      <c r="P950" s="712"/>
      <c r="Q950" s="712"/>
      <c r="R950" s="712"/>
      <c r="S950" s="712"/>
      <c r="T950" s="712"/>
      <c r="U950" s="526" t="str">
        <f t="shared" ca="1" si="126"/>
        <v/>
      </c>
      <c r="V950" s="93" t="str" cm="1">
        <f t="array" aca="1" ref="V950" ca="1">CELL("format",INDIRECT(I950))</f>
        <v>C2</v>
      </c>
      <c r="W950" s="93" t="b">
        <f t="shared" ca="1" si="127"/>
        <v>0</v>
      </c>
      <c r="X950" s="715" t="str">
        <f t="shared" ca="1" si="125"/>
        <v/>
      </c>
      <c r="Y950" t="b">
        <f t="shared" ca="1" si="128"/>
        <v>1</v>
      </c>
    </row>
    <row r="951" spans="1:25" ht="77.5">
      <c r="A951" s="705" t="s">
        <v>3597</v>
      </c>
      <c r="B951" s="716" t="str">
        <f t="shared" ca="1" si="131"/>
        <v>ABC income stream - D14</v>
      </c>
      <c r="C951" s="707" t="str" cm="1">
        <f t="array" aca="1" ref="C951" ca="1">INDIRECT(LEFT(I951, FIND("!", I951)) &amp; RefData!$C$426 &amp; RIGHT(I951, LEN(I951) - FIND("!", I951) - 1))</f>
        <v xml:space="preserve">
No answer required
Year 7
</v>
      </c>
      <c r="D951" s="92" t="str">
        <f t="shared" ca="1" si="133"/>
        <v/>
      </c>
      <c r="E951" s="708" t="str" cm="1">
        <f t="array" aca="1" ref="E951" ca="1">IF(INDIRECT($I951)= "", "", INDIRECT($I951))</f>
        <v/>
      </c>
      <c r="F951" s="709" t="str" cm="1">
        <f t="array" aca="1" ref="F951" ca="1">SUBSTITUTE(INDIRECT(LEFT(I951, FIND("!", I951)) &amp; RefData!$C$427 &amp; RIGHT(I951, LEN(I951) - FIND("!", I951) - 1)), "/1-5", "/2")</f>
        <v>AIS 7.0/2</v>
      </c>
      <c r="G951" s="710" t="b">
        <f ca="1">IF(ISNUMBER(SEARCH(RefData!$B$2, $C951)), FALSE, TRUE)</f>
        <v>0</v>
      </c>
      <c r="H951" s="344">
        <f>'ABC income stream'!D14</f>
        <v>0</v>
      </c>
      <c r="I951" s="712" t="str">
        <f t="shared" ca="1" si="132"/>
        <v>'ABC income stream'!D14</v>
      </c>
      <c r="J951" s="713" t="b" cm="1">
        <f t="array" aca="1" ref="J951" ca="1">IF(COUNTIF($K951:$T951, "&lt;&gt;FALSE") - COUNTBLANK($K951:$T951) &gt; 0, INDEX($K951:$T951, MATCH(TRUE, $K951:$T951 &lt;&gt; FALSE, 0)))</f>
        <v>0</v>
      </c>
      <c r="K951" s="712" t="b">
        <f ca="1">IF(AND('Asset-backed contributions'!$C$7=0,'Reconciliation report'!$E951&lt;&gt;""),ErrorMsgs!$B951)</f>
        <v>0</v>
      </c>
      <c r="L951" s="712" t="b">
        <f ca="1">IF(AND('Asset-backed contributions'!$C$7&lt;2,'Reconciliation report'!$E951&lt;&gt;""),ErrorMsgs!$C951)</f>
        <v>0</v>
      </c>
      <c r="M951" s="712" t="b">
        <f ca="1">IF(AND('Asset-backed contributions'!$C$7&gt;=2,'Reconciliation report'!$E951=""),ErrorMsgs!$D951)</f>
        <v>0</v>
      </c>
      <c r="N951" s="712" t="b">
        <f ca="1">IF($E951="",FALSE,IF(ISERROR(VALUE($E951)),ErrorMsgs!$E951,IF(OR(VALUE($E951)-ROUND(VALUE($E951),2)&lt;&gt;0,VALUE($E951)&lt;0,VALUE($E951)&gt;=1000000000000),ErrorMsgs!$E951)))</f>
        <v>0</v>
      </c>
      <c r="O951" s="712"/>
      <c r="P951" s="712"/>
      <c r="Q951" s="712"/>
      <c r="R951" s="712"/>
      <c r="S951" s="712"/>
      <c r="T951" s="712"/>
      <c r="U951" s="526" t="str">
        <f t="shared" ca="1" si="126"/>
        <v/>
      </c>
      <c r="V951" s="93" t="str" cm="1">
        <f t="array" aca="1" ref="V951" ca="1">CELL("format",INDIRECT(I951))</f>
        <v>C2</v>
      </c>
      <c r="W951" s="93" t="b">
        <f t="shared" ca="1" si="127"/>
        <v>0</v>
      </c>
      <c r="X951" s="715" t="str">
        <f t="shared" ca="1" si="125"/>
        <v/>
      </c>
      <c r="Y951" t="b">
        <f t="shared" ca="1" si="128"/>
        <v>1</v>
      </c>
    </row>
    <row r="952" spans="1:25" ht="77.5">
      <c r="A952" s="705" t="s">
        <v>3598</v>
      </c>
      <c r="B952" s="716" t="str">
        <f t="shared" ca="1" si="131"/>
        <v>ABC income stream - D15</v>
      </c>
      <c r="C952" s="707" t="str" cm="1">
        <f t="array" aca="1" ref="C952" ca="1">INDIRECT(LEFT(I952, FIND("!", I952)) &amp; RefData!$C$426 &amp; RIGHT(I952, LEN(I952) - FIND("!", I952) - 1))</f>
        <v xml:space="preserve">
No answer required
Year 8
</v>
      </c>
      <c r="D952" s="92" t="str">
        <f t="shared" ca="1" si="133"/>
        <v/>
      </c>
      <c r="E952" s="708" t="str" cm="1">
        <f t="array" aca="1" ref="E952" ca="1">IF(INDIRECT($I952)= "", "", INDIRECT($I952))</f>
        <v/>
      </c>
      <c r="F952" s="709" t="str" cm="1">
        <f t="array" aca="1" ref="F952" ca="1">SUBSTITUTE(INDIRECT(LEFT(I952, FIND("!", I952)) &amp; RefData!$C$427 &amp; RIGHT(I952, LEN(I952) - FIND("!", I952) - 1)), "/1-5", "/2")</f>
        <v>AIS 8.0/2</v>
      </c>
      <c r="G952" s="710" t="b">
        <f ca="1">IF(ISNUMBER(SEARCH(RefData!$B$2, $C952)), FALSE, TRUE)</f>
        <v>0</v>
      </c>
      <c r="H952" s="344">
        <f>'ABC income stream'!D15</f>
        <v>0</v>
      </c>
      <c r="I952" s="712" t="str">
        <f t="shared" ca="1" si="132"/>
        <v>'ABC income stream'!D15</v>
      </c>
      <c r="J952" s="713" t="b" cm="1">
        <f t="array" aca="1" ref="J952" ca="1">IF(COUNTIF($K952:$T952, "&lt;&gt;FALSE") - COUNTBLANK($K952:$T952) &gt; 0, INDEX($K952:$T952, MATCH(TRUE, $K952:$T952 &lt;&gt; FALSE, 0)))</f>
        <v>0</v>
      </c>
      <c r="K952" s="712" t="b">
        <f ca="1">IF(AND('Asset-backed contributions'!$C$7=0,'Reconciliation report'!$E952&lt;&gt;""),ErrorMsgs!$B952)</f>
        <v>0</v>
      </c>
      <c r="L952" s="712" t="b">
        <f ca="1">IF(AND('Asset-backed contributions'!$C$7&lt;2,'Reconciliation report'!$E952&lt;&gt;""),ErrorMsgs!$C952)</f>
        <v>0</v>
      </c>
      <c r="M952" s="712" t="b">
        <f ca="1">IF(AND('Asset-backed contributions'!$C$7&gt;=2,'Reconciliation report'!$E952=""),ErrorMsgs!$D952)</f>
        <v>0</v>
      </c>
      <c r="N952" s="712" t="b">
        <f ca="1">IF($E952="",FALSE,IF(ISERROR(VALUE($E952)),ErrorMsgs!$E952,IF(OR(VALUE($E952)-ROUND(VALUE($E952),2)&lt;&gt;0,VALUE($E952)&lt;0,VALUE($E952)&gt;=1000000000000),ErrorMsgs!$E952)))</f>
        <v>0</v>
      </c>
      <c r="O952" s="712"/>
      <c r="P952" s="712"/>
      <c r="Q952" s="712"/>
      <c r="R952" s="712"/>
      <c r="S952" s="712"/>
      <c r="T952" s="712"/>
      <c r="U952" s="526" t="str">
        <f t="shared" ca="1" si="126"/>
        <v/>
      </c>
      <c r="V952" s="93" t="str" cm="1">
        <f t="array" aca="1" ref="V952" ca="1">CELL("format",INDIRECT(I952))</f>
        <v>C2</v>
      </c>
      <c r="W952" s="93" t="b">
        <f t="shared" ca="1" si="127"/>
        <v>0</v>
      </c>
      <c r="X952" s="715" t="str">
        <f t="shared" ca="1" si="125"/>
        <v/>
      </c>
      <c r="Y952" t="b">
        <f t="shared" ca="1" si="128"/>
        <v>1</v>
      </c>
    </row>
    <row r="953" spans="1:25" ht="77.5">
      <c r="A953" s="705" t="s">
        <v>3599</v>
      </c>
      <c r="B953" s="716" t="str">
        <f t="shared" ca="1" si="131"/>
        <v>ABC income stream - D16</v>
      </c>
      <c r="C953" s="707" t="str" cm="1">
        <f t="array" aca="1" ref="C953" ca="1">INDIRECT(LEFT(I953, FIND("!", I953)) &amp; RefData!$C$426 &amp; RIGHT(I953, LEN(I953) - FIND("!", I953) - 1))</f>
        <v xml:space="preserve">
No answer required
Year 9
</v>
      </c>
      <c r="D953" s="92" t="str">
        <f t="shared" ca="1" si="133"/>
        <v/>
      </c>
      <c r="E953" s="708" t="str" cm="1">
        <f t="array" aca="1" ref="E953" ca="1">IF(INDIRECT($I953)= "", "", INDIRECT($I953))</f>
        <v/>
      </c>
      <c r="F953" s="709" t="str" cm="1">
        <f t="array" aca="1" ref="F953" ca="1">SUBSTITUTE(INDIRECT(LEFT(I953, FIND("!", I953)) &amp; RefData!$C$427 &amp; RIGHT(I953, LEN(I953) - FIND("!", I953) - 1)), "/1-5", "/2")</f>
        <v>AIS 9.0/2</v>
      </c>
      <c r="G953" s="710" t="b">
        <f ca="1">IF(ISNUMBER(SEARCH(RefData!$B$2, $C953)), FALSE, TRUE)</f>
        <v>0</v>
      </c>
      <c r="H953" s="344">
        <f>'ABC income stream'!D16</f>
        <v>0</v>
      </c>
      <c r="I953" s="712" t="str">
        <f t="shared" ca="1" si="132"/>
        <v>'ABC income stream'!D16</v>
      </c>
      <c r="J953" s="713" t="b" cm="1">
        <f t="array" aca="1" ref="J953" ca="1">IF(COUNTIF($K953:$T953, "&lt;&gt;FALSE") - COUNTBLANK($K953:$T953) &gt; 0, INDEX($K953:$T953, MATCH(TRUE, $K953:$T953 &lt;&gt; FALSE, 0)))</f>
        <v>0</v>
      </c>
      <c r="K953" s="712" t="b">
        <f ca="1">IF(AND('Asset-backed contributions'!$C$7=0,'Reconciliation report'!$E953&lt;&gt;""),ErrorMsgs!$B953)</f>
        <v>0</v>
      </c>
      <c r="L953" s="712" t="b">
        <f ca="1">IF(AND('Asset-backed contributions'!$C$7&lt;2,'Reconciliation report'!$E953&lt;&gt;""),ErrorMsgs!$C953)</f>
        <v>0</v>
      </c>
      <c r="M953" s="712" t="b">
        <f ca="1">IF(AND('Asset-backed contributions'!$C$7&gt;=2,'Reconciliation report'!$E953=""),ErrorMsgs!$D953)</f>
        <v>0</v>
      </c>
      <c r="N953" s="712" t="b">
        <f ca="1">IF($E953="",FALSE,IF(ISERROR(VALUE($E953)),ErrorMsgs!$E953,IF(OR(VALUE($E953)-ROUND(VALUE($E953),2)&lt;&gt;0,VALUE($E953)&lt;0,VALUE($E953)&gt;=1000000000000),ErrorMsgs!$E953)))</f>
        <v>0</v>
      </c>
      <c r="O953" s="712"/>
      <c r="P953" s="712"/>
      <c r="Q953" s="712"/>
      <c r="R953" s="712"/>
      <c r="S953" s="712"/>
      <c r="T953" s="712"/>
      <c r="U953" s="526" t="str">
        <f t="shared" ca="1" si="126"/>
        <v/>
      </c>
      <c r="V953" s="93" t="str" cm="1">
        <f t="array" aca="1" ref="V953" ca="1">CELL("format",INDIRECT(I953))</f>
        <v>C2</v>
      </c>
      <c r="W953" s="93" t="b">
        <f t="shared" ca="1" si="127"/>
        <v>0</v>
      </c>
      <c r="X953" s="715" t="str">
        <f t="shared" ca="1" si="125"/>
        <v/>
      </c>
      <c r="Y953" t="b">
        <f t="shared" ca="1" si="128"/>
        <v>1</v>
      </c>
    </row>
    <row r="954" spans="1:25" ht="77.5">
      <c r="A954" s="705" t="s">
        <v>3600</v>
      </c>
      <c r="B954" s="716" t="str">
        <f t="shared" ca="1" si="131"/>
        <v>ABC income stream - D17</v>
      </c>
      <c r="C954" s="707" t="str" cm="1">
        <f t="array" aca="1" ref="C954" ca="1">INDIRECT(LEFT(I954, FIND("!", I954)) &amp; RefData!$C$426 &amp; RIGHT(I954, LEN(I954) - FIND("!", I954) - 1))</f>
        <v xml:space="preserve">
No answer required
Year 10
</v>
      </c>
      <c r="D954" s="92" t="str">
        <f t="shared" ca="1" si="133"/>
        <v/>
      </c>
      <c r="E954" s="708" t="str" cm="1">
        <f t="array" aca="1" ref="E954" ca="1">IF(INDIRECT($I954)= "", "", INDIRECT($I954))</f>
        <v/>
      </c>
      <c r="F954" s="709" t="str" cm="1">
        <f t="array" aca="1" ref="F954" ca="1">SUBSTITUTE(INDIRECT(LEFT(I954, FIND("!", I954)) &amp; RefData!$C$427 &amp; RIGHT(I954, LEN(I954) - FIND("!", I954) - 1)), "/1-5", "/2")</f>
        <v>AIS 10.0/2</v>
      </c>
      <c r="G954" s="710" t="b">
        <f ca="1">IF(ISNUMBER(SEARCH(RefData!$B$2, $C954)), FALSE, TRUE)</f>
        <v>0</v>
      </c>
      <c r="H954" s="344">
        <f>'ABC income stream'!D17</f>
        <v>0</v>
      </c>
      <c r="I954" s="712" t="str">
        <f t="shared" ca="1" si="132"/>
        <v>'ABC income stream'!D17</v>
      </c>
      <c r="J954" s="713" t="b" cm="1">
        <f t="array" aca="1" ref="J954" ca="1">IF(COUNTIF($K954:$T954, "&lt;&gt;FALSE") - COUNTBLANK($K954:$T954) &gt; 0, INDEX($K954:$T954, MATCH(TRUE, $K954:$T954 &lt;&gt; FALSE, 0)))</f>
        <v>0</v>
      </c>
      <c r="K954" s="712" t="b">
        <f ca="1">IF(AND('Asset-backed contributions'!$C$7=0,'Reconciliation report'!$E954&lt;&gt;""),ErrorMsgs!$B954)</f>
        <v>0</v>
      </c>
      <c r="L954" s="712" t="b">
        <f ca="1">IF(AND('Asset-backed contributions'!$C$7&lt;2,'Reconciliation report'!$E954&lt;&gt;""),ErrorMsgs!$C954)</f>
        <v>0</v>
      </c>
      <c r="M954" s="712" t="b">
        <f ca="1">IF(AND('Asset-backed contributions'!$C$7&gt;=2,'Reconciliation report'!$E954=""),ErrorMsgs!$D954)</f>
        <v>0</v>
      </c>
      <c r="N954" s="712" t="b">
        <f ca="1">IF($E954="",FALSE,IF(ISERROR(VALUE($E954)),ErrorMsgs!$E954,IF(OR(VALUE($E954)-ROUND(VALUE($E954),2)&lt;&gt;0,VALUE($E954)&lt;0,VALUE($E954)&gt;=1000000000000),ErrorMsgs!$E954)))</f>
        <v>0</v>
      </c>
      <c r="O954" s="712"/>
      <c r="P954" s="712"/>
      <c r="Q954" s="712"/>
      <c r="R954" s="712"/>
      <c r="S954" s="712"/>
      <c r="T954" s="712"/>
      <c r="U954" s="526" t="str">
        <f t="shared" ca="1" si="126"/>
        <v/>
      </c>
      <c r="V954" s="93" t="str" cm="1">
        <f t="array" aca="1" ref="V954" ca="1">CELL("format",INDIRECT(I954))</f>
        <v>C2</v>
      </c>
      <c r="W954" s="93" t="b">
        <f t="shared" ca="1" si="127"/>
        <v>0</v>
      </c>
      <c r="X954" s="715" t="str">
        <f t="shared" ca="1" si="125"/>
        <v/>
      </c>
      <c r="Y954" t="b">
        <f t="shared" ca="1" si="128"/>
        <v>1</v>
      </c>
    </row>
    <row r="955" spans="1:25" ht="77.5">
      <c r="A955" s="705" t="s">
        <v>3601</v>
      </c>
      <c r="B955" s="716" t="str">
        <f t="shared" ca="1" si="131"/>
        <v>ABC income stream - D18</v>
      </c>
      <c r="C955" s="707" t="str" cm="1">
        <f t="array" aca="1" ref="C955" ca="1">INDIRECT(LEFT(I955, FIND("!", I955)) &amp; RefData!$C$426 &amp; RIGHT(I955, LEN(I955) - FIND("!", I955) - 1))</f>
        <v xml:space="preserve">
No answer required
Year 11
</v>
      </c>
      <c r="D955" s="92" t="str">
        <f t="shared" ca="1" si="133"/>
        <v/>
      </c>
      <c r="E955" s="708" t="str" cm="1">
        <f t="array" aca="1" ref="E955" ca="1">IF(INDIRECT($I955)= "", "", INDIRECT($I955))</f>
        <v/>
      </c>
      <c r="F955" s="709" t="str" cm="1">
        <f t="array" aca="1" ref="F955" ca="1">SUBSTITUTE(INDIRECT(LEFT(I955, FIND("!", I955)) &amp; RefData!$C$427 &amp; RIGHT(I955, LEN(I955) - FIND("!", I955) - 1)), "/1-5", "/2")</f>
        <v>AIS 11.0/2</v>
      </c>
      <c r="G955" s="710" t="b">
        <f ca="1">IF(ISNUMBER(SEARCH(RefData!$B$2, $C955)), FALSE, TRUE)</f>
        <v>0</v>
      </c>
      <c r="H955" s="344">
        <f>'ABC income stream'!D18</f>
        <v>0</v>
      </c>
      <c r="I955" s="712" t="str">
        <f t="shared" ca="1" si="132"/>
        <v>'ABC income stream'!D18</v>
      </c>
      <c r="J955" s="713" t="b" cm="1">
        <f t="array" aca="1" ref="J955" ca="1">IF(COUNTIF($K955:$T955, "&lt;&gt;FALSE") - COUNTBLANK($K955:$T955) &gt; 0, INDEX($K955:$T955, MATCH(TRUE, $K955:$T955 &lt;&gt; FALSE, 0)))</f>
        <v>0</v>
      </c>
      <c r="K955" s="712" t="b">
        <f ca="1">IF(AND('Asset-backed contributions'!$C$7=0,'Reconciliation report'!$E955&lt;&gt;""),ErrorMsgs!$B955)</f>
        <v>0</v>
      </c>
      <c r="L955" s="712" t="b">
        <f ca="1">IF(AND('Asset-backed contributions'!$C$7&lt;2,'Reconciliation report'!$E955&lt;&gt;""),ErrorMsgs!$C955)</f>
        <v>0</v>
      </c>
      <c r="M955" s="712" t="b">
        <f ca="1">IF(AND('Asset-backed contributions'!$C$7&gt;=2,'Reconciliation report'!$E955=""),ErrorMsgs!$D955)</f>
        <v>0</v>
      </c>
      <c r="N955" s="712" t="b">
        <f ca="1">IF($E955="",FALSE,IF(ISERROR(VALUE($E955)),ErrorMsgs!$E955,IF(OR(VALUE($E955)-ROUND(VALUE($E955),2)&lt;&gt;0,VALUE($E955)&lt;0,VALUE($E955)&gt;=1000000000000),ErrorMsgs!$E955)))</f>
        <v>0</v>
      </c>
      <c r="O955" s="712"/>
      <c r="P955" s="712"/>
      <c r="Q955" s="712"/>
      <c r="R955" s="712"/>
      <c r="S955" s="712"/>
      <c r="T955" s="712"/>
      <c r="U955" s="526" t="str">
        <f t="shared" ca="1" si="126"/>
        <v/>
      </c>
      <c r="V955" s="93" t="str" cm="1">
        <f t="array" aca="1" ref="V955" ca="1">CELL("format",INDIRECT(I955))</f>
        <v>C2</v>
      </c>
      <c r="W955" s="93" t="b">
        <f t="shared" ca="1" si="127"/>
        <v>0</v>
      </c>
      <c r="X955" s="715" t="str">
        <f t="shared" ca="1" si="125"/>
        <v/>
      </c>
      <c r="Y955" t="b">
        <f t="shared" ca="1" si="128"/>
        <v>1</v>
      </c>
    </row>
    <row r="956" spans="1:25" ht="77.5">
      <c r="A956" s="705" t="s">
        <v>3602</v>
      </c>
      <c r="B956" s="716" t="str">
        <f t="shared" ca="1" si="131"/>
        <v>ABC income stream - D19</v>
      </c>
      <c r="C956" s="707" t="str" cm="1">
        <f t="array" aca="1" ref="C956" ca="1">INDIRECT(LEFT(I956, FIND("!", I956)) &amp; RefData!$C$426 &amp; RIGHT(I956, LEN(I956) - FIND("!", I956) - 1))</f>
        <v xml:space="preserve">
No answer required
Year 12
</v>
      </c>
      <c r="D956" s="92" t="str">
        <f t="shared" ca="1" si="133"/>
        <v/>
      </c>
      <c r="E956" s="708" t="str" cm="1">
        <f t="array" aca="1" ref="E956" ca="1">IF(INDIRECT($I956)= "", "", INDIRECT($I956))</f>
        <v/>
      </c>
      <c r="F956" s="709" t="str" cm="1">
        <f t="array" aca="1" ref="F956" ca="1">SUBSTITUTE(INDIRECT(LEFT(I956, FIND("!", I956)) &amp; RefData!$C$427 &amp; RIGHT(I956, LEN(I956) - FIND("!", I956) - 1)), "/1-5", "/2")</f>
        <v>AIS 12.0/2</v>
      </c>
      <c r="G956" s="710" t="b">
        <f ca="1">IF(ISNUMBER(SEARCH(RefData!$B$2, $C956)), FALSE, TRUE)</f>
        <v>0</v>
      </c>
      <c r="H956" s="344">
        <f>'ABC income stream'!D19</f>
        <v>0</v>
      </c>
      <c r="I956" s="712" t="str">
        <f t="shared" ca="1" si="132"/>
        <v>'ABC income stream'!D19</v>
      </c>
      <c r="J956" s="713" t="b" cm="1">
        <f t="array" aca="1" ref="J956" ca="1">IF(COUNTIF($K956:$T956, "&lt;&gt;FALSE") - COUNTBLANK($K956:$T956) &gt; 0, INDEX($K956:$T956, MATCH(TRUE, $K956:$T956 &lt;&gt; FALSE, 0)))</f>
        <v>0</v>
      </c>
      <c r="K956" s="712" t="b">
        <f ca="1">IF(AND('Asset-backed contributions'!$C$7=0,'Reconciliation report'!$E956&lt;&gt;""),ErrorMsgs!$B956)</f>
        <v>0</v>
      </c>
      <c r="L956" s="712" t="b">
        <f ca="1">IF(AND('Asset-backed contributions'!$C$7&lt;2,'Reconciliation report'!$E956&lt;&gt;""),ErrorMsgs!$C956)</f>
        <v>0</v>
      </c>
      <c r="M956" s="712" t="b">
        <f ca="1">IF(AND('Asset-backed contributions'!$C$7&gt;=2,'Reconciliation report'!$E956=""),ErrorMsgs!$D956)</f>
        <v>0</v>
      </c>
      <c r="N956" s="712" t="b">
        <f ca="1">IF($E956="",FALSE,IF(ISERROR(VALUE($E956)),ErrorMsgs!$E956,IF(OR(VALUE($E956)-ROUND(VALUE($E956),2)&lt;&gt;0,VALUE($E956)&lt;0,VALUE($E956)&gt;=1000000000000),ErrorMsgs!$E956)))</f>
        <v>0</v>
      </c>
      <c r="O956" s="712"/>
      <c r="P956" s="712"/>
      <c r="Q956" s="712"/>
      <c r="R956" s="712"/>
      <c r="S956" s="712"/>
      <c r="T956" s="712"/>
      <c r="U956" s="526" t="str">
        <f t="shared" ca="1" si="126"/>
        <v/>
      </c>
      <c r="V956" s="93" t="str" cm="1">
        <f t="array" aca="1" ref="V956" ca="1">CELL("format",INDIRECT(I956))</f>
        <v>C2</v>
      </c>
      <c r="W956" s="93" t="b">
        <f t="shared" ca="1" si="127"/>
        <v>0</v>
      </c>
      <c r="X956" s="715" t="str">
        <f t="shared" ca="1" si="125"/>
        <v/>
      </c>
      <c r="Y956" t="b">
        <f t="shared" ca="1" si="128"/>
        <v>1</v>
      </c>
    </row>
    <row r="957" spans="1:25" ht="77.5">
      <c r="A957" s="705" t="s">
        <v>3603</v>
      </c>
      <c r="B957" s="716" t="str">
        <f t="shared" ca="1" si="131"/>
        <v>ABC income stream - D20</v>
      </c>
      <c r="C957" s="707" t="str" cm="1">
        <f t="array" aca="1" ref="C957" ca="1">INDIRECT(LEFT(I957, FIND("!", I957)) &amp; RefData!$C$426 &amp; RIGHT(I957, LEN(I957) - FIND("!", I957) - 1))</f>
        <v xml:space="preserve">
No answer required
Year 13
</v>
      </c>
      <c r="D957" s="92" t="str">
        <f t="shared" ca="1" si="133"/>
        <v/>
      </c>
      <c r="E957" s="708" t="str" cm="1">
        <f t="array" aca="1" ref="E957" ca="1">IF(INDIRECT($I957)= "", "", INDIRECT($I957))</f>
        <v/>
      </c>
      <c r="F957" s="709" t="str" cm="1">
        <f t="array" aca="1" ref="F957" ca="1">SUBSTITUTE(INDIRECT(LEFT(I957, FIND("!", I957)) &amp; RefData!$C$427 &amp; RIGHT(I957, LEN(I957) - FIND("!", I957) - 1)), "/1-5", "/2")</f>
        <v>AIS 13.0/2</v>
      </c>
      <c r="G957" s="710" t="b">
        <f ca="1">IF(ISNUMBER(SEARCH(RefData!$B$2, $C957)), FALSE, TRUE)</f>
        <v>0</v>
      </c>
      <c r="H957" s="344">
        <f>'ABC income stream'!D20</f>
        <v>0</v>
      </c>
      <c r="I957" s="712" t="str">
        <f t="shared" ca="1" si="132"/>
        <v>'ABC income stream'!D20</v>
      </c>
      <c r="J957" s="713" t="b" cm="1">
        <f t="array" aca="1" ref="J957" ca="1">IF(COUNTIF($K957:$T957, "&lt;&gt;FALSE") - COUNTBLANK($K957:$T957) &gt; 0, INDEX($K957:$T957, MATCH(TRUE, $K957:$T957 &lt;&gt; FALSE, 0)))</f>
        <v>0</v>
      </c>
      <c r="K957" s="712" t="b">
        <f ca="1">IF(AND('Asset-backed contributions'!$C$7=0,'Reconciliation report'!$E957&lt;&gt;""),ErrorMsgs!$B957)</f>
        <v>0</v>
      </c>
      <c r="L957" s="712" t="b">
        <f ca="1">IF(AND('Asset-backed contributions'!$C$7&lt;2,'Reconciliation report'!$E957&lt;&gt;""),ErrorMsgs!$C957)</f>
        <v>0</v>
      </c>
      <c r="M957" s="712" t="b">
        <f ca="1">IF(AND('Asset-backed contributions'!$C$7&gt;=2,'Reconciliation report'!$E957=""),ErrorMsgs!$D957)</f>
        <v>0</v>
      </c>
      <c r="N957" s="712" t="b">
        <f ca="1">IF($E957="",FALSE,IF(ISERROR(VALUE($E957)),ErrorMsgs!$E957,IF(OR(VALUE($E957)-ROUND(VALUE($E957),2)&lt;&gt;0,VALUE($E957)&lt;0,VALUE($E957)&gt;=1000000000000),ErrorMsgs!$E957)))</f>
        <v>0</v>
      </c>
      <c r="O957" s="712"/>
      <c r="P957" s="712"/>
      <c r="Q957" s="712"/>
      <c r="R957" s="712"/>
      <c r="S957" s="712"/>
      <c r="T957" s="712"/>
      <c r="U957" s="526" t="str">
        <f t="shared" ca="1" si="126"/>
        <v/>
      </c>
      <c r="V957" s="93" t="str" cm="1">
        <f t="array" aca="1" ref="V957" ca="1">CELL("format",INDIRECT(I957))</f>
        <v>C2</v>
      </c>
      <c r="W957" s="93" t="b">
        <f t="shared" ca="1" si="127"/>
        <v>0</v>
      </c>
      <c r="X957" s="715" t="str">
        <f t="shared" ca="1" si="125"/>
        <v/>
      </c>
      <c r="Y957" t="b">
        <f t="shared" ca="1" si="128"/>
        <v>1</v>
      </c>
    </row>
    <row r="958" spans="1:25" ht="77.5">
      <c r="A958" s="705" t="s">
        <v>3604</v>
      </c>
      <c r="B958" s="716" t="str">
        <f t="shared" ca="1" si="131"/>
        <v>ABC income stream - D21</v>
      </c>
      <c r="C958" s="707" t="str" cm="1">
        <f t="array" aca="1" ref="C958" ca="1">INDIRECT(LEFT(I958, FIND("!", I958)) &amp; RefData!$C$426 &amp; RIGHT(I958, LEN(I958) - FIND("!", I958) - 1))</f>
        <v xml:space="preserve">
No answer required
Year 14
</v>
      </c>
      <c r="D958" s="92" t="str">
        <f t="shared" ca="1" si="133"/>
        <v/>
      </c>
      <c r="E958" s="708" t="str" cm="1">
        <f t="array" aca="1" ref="E958" ca="1">IF(INDIRECT($I958)= "", "", INDIRECT($I958))</f>
        <v/>
      </c>
      <c r="F958" s="709" t="str" cm="1">
        <f t="array" aca="1" ref="F958" ca="1">SUBSTITUTE(INDIRECT(LEFT(I958, FIND("!", I958)) &amp; RefData!$C$427 &amp; RIGHT(I958, LEN(I958) - FIND("!", I958) - 1)), "/1-5", "/2")</f>
        <v>AIS 14.0/2</v>
      </c>
      <c r="G958" s="710" t="b">
        <f ca="1">IF(ISNUMBER(SEARCH(RefData!$B$2, $C958)), FALSE, TRUE)</f>
        <v>0</v>
      </c>
      <c r="H958" s="344">
        <f>'ABC income stream'!D21</f>
        <v>0</v>
      </c>
      <c r="I958" s="712" t="str">
        <f t="shared" ca="1" si="132"/>
        <v>'ABC income stream'!D21</v>
      </c>
      <c r="J958" s="713" t="b" cm="1">
        <f t="array" aca="1" ref="J958" ca="1">IF(COUNTIF($K958:$T958, "&lt;&gt;FALSE") - COUNTBLANK($K958:$T958) &gt; 0, INDEX($K958:$T958, MATCH(TRUE, $K958:$T958 &lt;&gt; FALSE, 0)))</f>
        <v>0</v>
      </c>
      <c r="K958" s="712" t="b">
        <f ca="1">IF(AND('Asset-backed contributions'!$C$7=0,'Reconciliation report'!$E958&lt;&gt;""),ErrorMsgs!$B958)</f>
        <v>0</v>
      </c>
      <c r="L958" s="712" t="b">
        <f ca="1">IF(AND('Asset-backed contributions'!$C$7&lt;2,'Reconciliation report'!$E958&lt;&gt;""),ErrorMsgs!$C958)</f>
        <v>0</v>
      </c>
      <c r="M958" s="712" t="b">
        <f ca="1">IF(AND('Asset-backed contributions'!$C$7&gt;=2,'Reconciliation report'!$E958=""),ErrorMsgs!$D958)</f>
        <v>0</v>
      </c>
      <c r="N958" s="712" t="b">
        <f ca="1">IF($E958="",FALSE,IF(ISERROR(VALUE($E958)),ErrorMsgs!$E958,IF(OR(VALUE($E958)-ROUND(VALUE($E958),2)&lt;&gt;0,VALUE($E958)&lt;0,VALUE($E958)&gt;=1000000000000),ErrorMsgs!$E958)))</f>
        <v>0</v>
      </c>
      <c r="O958" s="712"/>
      <c r="P958" s="712"/>
      <c r="Q958" s="712"/>
      <c r="R958" s="712"/>
      <c r="S958" s="712"/>
      <c r="T958" s="712"/>
      <c r="U958" s="526" t="str">
        <f t="shared" ca="1" si="126"/>
        <v/>
      </c>
      <c r="V958" s="93" t="str" cm="1">
        <f t="array" aca="1" ref="V958" ca="1">CELL("format",INDIRECT(I958))</f>
        <v>C2</v>
      </c>
      <c r="W958" s="93" t="b">
        <f t="shared" ca="1" si="127"/>
        <v>0</v>
      </c>
      <c r="X958" s="715" t="str">
        <f t="shared" ca="1" si="125"/>
        <v/>
      </c>
      <c r="Y958" t="b">
        <f t="shared" ca="1" si="128"/>
        <v>1</v>
      </c>
    </row>
    <row r="959" spans="1:25" ht="77.5">
      <c r="A959" s="705" t="s">
        <v>3605</v>
      </c>
      <c r="B959" s="716" t="str">
        <f t="shared" ca="1" si="131"/>
        <v>ABC income stream - D22</v>
      </c>
      <c r="C959" s="707" t="str" cm="1">
        <f t="array" aca="1" ref="C959" ca="1">INDIRECT(LEFT(I959, FIND("!", I959)) &amp; RefData!$C$426 &amp; RIGHT(I959, LEN(I959) - FIND("!", I959) - 1))</f>
        <v xml:space="preserve">
No answer required
Year 15
</v>
      </c>
      <c r="D959" s="92" t="str">
        <f t="shared" ca="1" si="133"/>
        <v/>
      </c>
      <c r="E959" s="708" t="str" cm="1">
        <f t="array" aca="1" ref="E959" ca="1">IF(INDIRECT($I959)= "", "", INDIRECT($I959))</f>
        <v/>
      </c>
      <c r="F959" s="709" t="str" cm="1">
        <f t="array" aca="1" ref="F959" ca="1">SUBSTITUTE(INDIRECT(LEFT(I959, FIND("!", I959)) &amp; RefData!$C$427 &amp; RIGHT(I959, LEN(I959) - FIND("!", I959) - 1)), "/1-5", "/2")</f>
        <v>AIS 15.0/2</v>
      </c>
      <c r="G959" s="710" t="b">
        <f ca="1">IF(ISNUMBER(SEARCH(RefData!$B$2, $C959)), FALSE, TRUE)</f>
        <v>0</v>
      </c>
      <c r="H959" s="344">
        <f>'ABC income stream'!D22</f>
        <v>0</v>
      </c>
      <c r="I959" s="712" t="str">
        <f t="shared" ca="1" si="132"/>
        <v>'ABC income stream'!D22</v>
      </c>
      <c r="J959" s="713" t="b" cm="1">
        <f t="array" aca="1" ref="J959" ca="1">IF(COUNTIF($K959:$T959, "&lt;&gt;FALSE") - COUNTBLANK($K959:$T959) &gt; 0, INDEX($K959:$T959, MATCH(TRUE, $K959:$T959 &lt;&gt; FALSE, 0)))</f>
        <v>0</v>
      </c>
      <c r="K959" s="712" t="b">
        <f ca="1">IF(AND('Asset-backed contributions'!$C$7=0,'Reconciliation report'!$E959&lt;&gt;""),ErrorMsgs!$B959)</f>
        <v>0</v>
      </c>
      <c r="L959" s="712" t="b">
        <f ca="1">IF(AND('Asset-backed contributions'!$C$7&lt;2,'Reconciliation report'!$E959&lt;&gt;""),ErrorMsgs!$C959)</f>
        <v>0</v>
      </c>
      <c r="M959" s="712" t="b">
        <f ca="1">IF(AND('Asset-backed contributions'!$C$7&gt;=2,'Reconciliation report'!$E959=""),ErrorMsgs!$D959)</f>
        <v>0</v>
      </c>
      <c r="N959" s="712" t="b">
        <f ca="1">IF($E959="",FALSE,IF(ISERROR(VALUE($E959)),ErrorMsgs!$E959,IF(OR(VALUE($E959)-ROUND(VALUE($E959),2)&lt;&gt;0,VALUE($E959)&lt;0,VALUE($E959)&gt;=1000000000000),ErrorMsgs!$E959)))</f>
        <v>0</v>
      </c>
      <c r="O959" s="712"/>
      <c r="P959" s="712"/>
      <c r="Q959" s="712"/>
      <c r="R959" s="712"/>
      <c r="S959" s="712"/>
      <c r="T959" s="712"/>
      <c r="U959" s="526" t="str">
        <f t="shared" ca="1" si="126"/>
        <v/>
      </c>
      <c r="V959" s="93" t="str" cm="1">
        <f t="array" aca="1" ref="V959" ca="1">CELL("format",INDIRECT(I959))</f>
        <v>C2</v>
      </c>
      <c r="W959" s="93" t="b">
        <f t="shared" ca="1" si="127"/>
        <v>0</v>
      </c>
      <c r="X959" s="715" t="str">
        <f t="shared" ca="1" si="125"/>
        <v/>
      </c>
      <c r="Y959" t="b">
        <f t="shared" ca="1" si="128"/>
        <v>1</v>
      </c>
    </row>
    <row r="960" spans="1:25" ht="77.5">
      <c r="A960" s="705" t="s">
        <v>3606</v>
      </c>
      <c r="B960" s="716" t="str">
        <f t="shared" ca="1" si="131"/>
        <v>ABC income stream - D23</v>
      </c>
      <c r="C960" s="707" t="str" cm="1">
        <f t="array" aca="1" ref="C960" ca="1">INDIRECT(LEFT(I960, FIND("!", I960)) &amp; RefData!$C$426 &amp; RIGHT(I960, LEN(I960) - FIND("!", I960) - 1))</f>
        <v xml:space="preserve">
No answer required
Year 16
</v>
      </c>
      <c r="D960" s="92" t="str">
        <f t="shared" ca="1" si="133"/>
        <v/>
      </c>
      <c r="E960" s="708" t="str" cm="1">
        <f t="array" aca="1" ref="E960" ca="1">IF(INDIRECT($I960)= "", "", INDIRECT($I960))</f>
        <v/>
      </c>
      <c r="F960" s="709" t="str" cm="1">
        <f t="array" aca="1" ref="F960" ca="1">SUBSTITUTE(INDIRECT(LEFT(I960, FIND("!", I960)) &amp; RefData!$C$427 &amp; RIGHT(I960, LEN(I960) - FIND("!", I960) - 1)), "/1-5", "/2")</f>
        <v>AIS 16.0/2</v>
      </c>
      <c r="G960" s="710" t="b">
        <f ca="1">IF(ISNUMBER(SEARCH(RefData!$B$2, $C960)), FALSE, TRUE)</f>
        <v>0</v>
      </c>
      <c r="H960" s="344">
        <f>'ABC income stream'!D23</f>
        <v>0</v>
      </c>
      <c r="I960" s="712" t="str">
        <f t="shared" ca="1" si="132"/>
        <v>'ABC income stream'!D23</v>
      </c>
      <c r="J960" s="713" t="b" cm="1">
        <f t="array" aca="1" ref="J960" ca="1">IF(COUNTIF($K960:$T960, "&lt;&gt;FALSE") - COUNTBLANK($K960:$T960) &gt; 0, INDEX($K960:$T960, MATCH(TRUE, $K960:$T960 &lt;&gt; FALSE, 0)))</f>
        <v>0</v>
      </c>
      <c r="K960" s="712" t="b">
        <f ca="1">IF(AND('Asset-backed contributions'!$C$7=0,'Reconciliation report'!$E960&lt;&gt;""),ErrorMsgs!$B960)</f>
        <v>0</v>
      </c>
      <c r="L960" s="712" t="b">
        <f ca="1">IF(AND('Asset-backed contributions'!$C$7&lt;2,'Reconciliation report'!$E960&lt;&gt;""),ErrorMsgs!$C960)</f>
        <v>0</v>
      </c>
      <c r="M960" s="712" t="b">
        <f ca="1">IF(AND('Asset-backed contributions'!$C$7&gt;=2,'Reconciliation report'!$E960=""),ErrorMsgs!$D960)</f>
        <v>0</v>
      </c>
      <c r="N960" s="712" t="b">
        <f ca="1">IF($E960="",FALSE,IF(ISERROR(VALUE($E960)),ErrorMsgs!$E960,IF(OR(VALUE($E960)-ROUND(VALUE($E960),2)&lt;&gt;0,VALUE($E960)&lt;0,VALUE($E960)&gt;=1000000000000),ErrorMsgs!$E960)))</f>
        <v>0</v>
      </c>
      <c r="O960" s="712"/>
      <c r="P960" s="712"/>
      <c r="Q960" s="712"/>
      <c r="R960" s="712"/>
      <c r="S960" s="712"/>
      <c r="T960" s="712"/>
      <c r="U960" s="526" t="str">
        <f t="shared" ca="1" si="126"/>
        <v/>
      </c>
      <c r="V960" s="93" t="str" cm="1">
        <f t="array" aca="1" ref="V960" ca="1">CELL("format",INDIRECT(I960))</f>
        <v>C2</v>
      </c>
      <c r="W960" s="93" t="b">
        <f t="shared" ca="1" si="127"/>
        <v>0</v>
      </c>
      <c r="X960" s="715" t="str">
        <f t="shared" ca="1" si="125"/>
        <v/>
      </c>
      <c r="Y960" t="b">
        <f t="shared" ca="1" si="128"/>
        <v>1</v>
      </c>
    </row>
    <row r="961" spans="1:25" ht="77.5">
      <c r="A961" s="705" t="s">
        <v>3607</v>
      </c>
      <c r="B961" s="716" t="str">
        <f t="shared" ca="1" si="131"/>
        <v>ABC income stream - D24</v>
      </c>
      <c r="C961" s="707" t="str" cm="1">
        <f t="array" aca="1" ref="C961" ca="1">INDIRECT(LEFT(I961, FIND("!", I961)) &amp; RefData!$C$426 &amp; RIGHT(I961, LEN(I961) - FIND("!", I961) - 1))</f>
        <v xml:space="preserve">
No answer required
Year 17
</v>
      </c>
      <c r="D961" s="92" t="str">
        <f t="shared" ca="1" si="133"/>
        <v/>
      </c>
      <c r="E961" s="708" t="str" cm="1">
        <f t="array" aca="1" ref="E961" ca="1">IF(INDIRECT($I961)= "", "", INDIRECT($I961))</f>
        <v/>
      </c>
      <c r="F961" s="709" t="str" cm="1">
        <f t="array" aca="1" ref="F961" ca="1">SUBSTITUTE(INDIRECT(LEFT(I961, FIND("!", I961)) &amp; RefData!$C$427 &amp; RIGHT(I961, LEN(I961) - FIND("!", I961) - 1)), "/1-5", "/2")</f>
        <v>AIS 17.0/2</v>
      </c>
      <c r="G961" s="710" t="b">
        <f ca="1">IF(ISNUMBER(SEARCH(RefData!$B$2, $C961)), FALSE, TRUE)</f>
        <v>0</v>
      </c>
      <c r="H961" s="344">
        <f>'ABC income stream'!D24</f>
        <v>0</v>
      </c>
      <c r="I961" s="712" t="str">
        <f t="shared" ca="1" si="132"/>
        <v>'ABC income stream'!D24</v>
      </c>
      <c r="J961" s="713" t="b" cm="1">
        <f t="array" aca="1" ref="J961" ca="1">IF(COUNTIF($K961:$T961, "&lt;&gt;FALSE") - COUNTBLANK($K961:$T961) &gt; 0, INDEX($K961:$T961, MATCH(TRUE, $K961:$T961 &lt;&gt; FALSE, 0)))</f>
        <v>0</v>
      </c>
      <c r="K961" s="712" t="b">
        <f ca="1">IF(AND('Asset-backed contributions'!$C$7=0,'Reconciliation report'!$E961&lt;&gt;""),ErrorMsgs!$B961)</f>
        <v>0</v>
      </c>
      <c r="L961" s="712" t="b">
        <f ca="1">IF(AND('Asset-backed contributions'!$C$7&lt;2,'Reconciliation report'!$E961&lt;&gt;""),ErrorMsgs!$C961)</f>
        <v>0</v>
      </c>
      <c r="M961" s="712" t="b">
        <f ca="1">IF(AND('Asset-backed contributions'!$C$7&gt;=2,'Reconciliation report'!$E961=""),ErrorMsgs!$D961)</f>
        <v>0</v>
      </c>
      <c r="N961" s="712" t="b">
        <f ca="1">IF($E961="",FALSE,IF(ISERROR(VALUE($E961)),ErrorMsgs!$E961,IF(OR(VALUE($E961)-ROUND(VALUE($E961),2)&lt;&gt;0,VALUE($E961)&lt;0,VALUE($E961)&gt;=1000000000000),ErrorMsgs!$E961)))</f>
        <v>0</v>
      </c>
      <c r="O961" s="712"/>
      <c r="P961" s="712"/>
      <c r="Q961" s="712"/>
      <c r="R961" s="712"/>
      <c r="S961" s="712"/>
      <c r="T961" s="712"/>
      <c r="U961" s="526" t="str">
        <f t="shared" ca="1" si="126"/>
        <v/>
      </c>
      <c r="V961" s="93" t="str" cm="1">
        <f t="array" aca="1" ref="V961" ca="1">CELL("format",INDIRECT(I961))</f>
        <v>C2</v>
      </c>
      <c r="W961" s="93" t="b">
        <f t="shared" ca="1" si="127"/>
        <v>0</v>
      </c>
      <c r="X961" s="715" t="str">
        <f t="shared" ca="1" si="125"/>
        <v/>
      </c>
      <c r="Y961" t="b">
        <f t="shared" ca="1" si="128"/>
        <v>1</v>
      </c>
    </row>
    <row r="962" spans="1:25" ht="77.5">
      <c r="A962" s="705" t="s">
        <v>3608</v>
      </c>
      <c r="B962" s="716" t="str">
        <f t="shared" ca="1" si="131"/>
        <v>ABC income stream - D25</v>
      </c>
      <c r="C962" s="707" t="str" cm="1">
        <f t="array" aca="1" ref="C962" ca="1">INDIRECT(LEFT(I962, FIND("!", I962)) &amp; RefData!$C$426 &amp; RIGHT(I962, LEN(I962) - FIND("!", I962) - 1))</f>
        <v xml:space="preserve">
No answer required
Year 18
</v>
      </c>
      <c r="D962" s="92" t="str">
        <f t="shared" ca="1" si="133"/>
        <v/>
      </c>
      <c r="E962" s="708" t="str" cm="1">
        <f t="array" aca="1" ref="E962" ca="1">IF(INDIRECT($I962)= "", "", INDIRECT($I962))</f>
        <v/>
      </c>
      <c r="F962" s="709" t="str" cm="1">
        <f t="array" aca="1" ref="F962" ca="1">SUBSTITUTE(INDIRECT(LEFT(I962, FIND("!", I962)) &amp; RefData!$C$427 &amp; RIGHT(I962, LEN(I962) - FIND("!", I962) - 1)), "/1-5", "/2")</f>
        <v>AIS 18.0/2</v>
      </c>
      <c r="G962" s="710" t="b">
        <f ca="1">IF(ISNUMBER(SEARCH(RefData!$B$2, $C962)), FALSE, TRUE)</f>
        <v>0</v>
      </c>
      <c r="H962" s="344">
        <f>'ABC income stream'!D25</f>
        <v>0</v>
      </c>
      <c r="I962" s="712" t="str">
        <f t="shared" ca="1" si="132"/>
        <v>'ABC income stream'!D25</v>
      </c>
      <c r="J962" s="713" t="b" cm="1">
        <f t="array" aca="1" ref="J962" ca="1">IF(COUNTIF($K962:$T962, "&lt;&gt;FALSE") - COUNTBLANK($K962:$T962) &gt; 0, INDEX($K962:$T962, MATCH(TRUE, $K962:$T962 &lt;&gt; FALSE, 0)))</f>
        <v>0</v>
      </c>
      <c r="K962" s="712" t="b">
        <f ca="1">IF(AND('Asset-backed contributions'!$C$7=0,'Reconciliation report'!$E962&lt;&gt;""),ErrorMsgs!$B962)</f>
        <v>0</v>
      </c>
      <c r="L962" s="712" t="b">
        <f ca="1">IF(AND('Asset-backed contributions'!$C$7&lt;2,'Reconciliation report'!$E962&lt;&gt;""),ErrorMsgs!$C962)</f>
        <v>0</v>
      </c>
      <c r="M962" s="712" t="b">
        <f ca="1">IF(AND('Asset-backed contributions'!$C$7&gt;=2,'Reconciliation report'!$E962=""),ErrorMsgs!$D962)</f>
        <v>0</v>
      </c>
      <c r="N962" s="712" t="b">
        <f ca="1">IF($E962="",FALSE,IF(ISERROR(VALUE($E962)),ErrorMsgs!$E962,IF(OR(VALUE($E962)-ROUND(VALUE($E962),2)&lt;&gt;0,VALUE($E962)&lt;0,VALUE($E962)&gt;=1000000000000),ErrorMsgs!$E962)))</f>
        <v>0</v>
      </c>
      <c r="O962" s="712"/>
      <c r="P962" s="712"/>
      <c r="Q962" s="712"/>
      <c r="R962" s="712"/>
      <c r="S962" s="712"/>
      <c r="T962" s="712"/>
      <c r="U962" s="526" t="str">
        <f t="shared" ca="1" si="126"/>
        <v/>
      </c>
      <c r="V962" s="93" t="str" cm="1">
        <f t="array" aca="1" ref="V962" ca="1">CELL("format",INDIRECT(I962))</f>
        <v>C2</v>
      </c>
      <c r="W962" s="93" t="b">
        <f t="shared" ca="1" si="127"/>
        <v>0</v>
      </c>
      <c r="X962" s="715" t="str">
        <f t="shared" ref="X962:X1025" ca="1" si="134">IF(W962, "0." &amp; IF(V962="P2",REPT("0", MIN(4, LEN(E962) - FIND(".", E962))),REPT("0", MIN(6, LEN(E962) - FIND(".", E962)))), "")</f>
        <v/>
      </c>
      <c r="Y962" t="b">
        <f t="shared" ca="1" si="128"/>
        <v>1</v>
      </c>
    </row>
    <row r="963" spans="1:25" ht="77.5">
      <c r="A963" s="705" t="s">
        <v>3609</v>
      </c>
      <c r="B963" s="716" t="str">
        <f t="shared" ca="1" si="131"/>
        <v>ABC income stream - D26</v>
      </c>
      <c r="C963" s="707" t="str" cm="1">
        <f t="array" aca="1" ref="C963" ca="1">INDIRECT(LEFT(I963, FIND("!", I963)) &amp; RefData!$C$426 &amp; RIGHT(I963, LEN(I963) - FIND("!", I963) - 1))</f>
        <v xml:space="preserve">
No answer required
Year 19
</v>
      </c>
      <c r="D963" s="92" t="str">
        <f t="shared" ca="1" si="133"/>
        <v/>
      </c>
      <c r="E963" s="708" t="str" cm="1">
        <f t="array" aca="1" ref="E963" ca="1">IF(INDIRECT($I963)= "", "", INDIRECT($I963))</f>
        <v/>
      </c>
      <c r="F963" s="709" t="str" cm="1">
        <f t="array" aca="1" ref="F963" ca="1">SUBSTITUTE(INDIRECT(LEFT(I963, FIND("!", I963)) &amp; RefData!$C$427 &amp; RIGHT(I963, LEN(I963) - FIND("!", I963) - 1)), "/1-5", "/2")</f>
        <v>AIS 19.0/2</v>
      </c>
      <c r="G963" s="710" t="b">
        <f ca="1">IF(ISNUMBER(SEARCH(RefData!$B$2, $C963)), FALSE, TRUE)</f>
        <v>0</v>
      </c>
      <c r="H963" s="344">
        <f>'ABC income stream'!D26</f>
        <v>0</v>
      </c>
      <c r="I963" s="712" t="str">
        <f t="shared" ca="1" si="132"/>
        <v>'ABC income stream'!D26</v>
      </c>
      <c r="J963" s="713" t="b" cm="1">
        <f t="array" aca="1" ref="J963" ca="1">IF(COUNTIF($K963:$T963, "&lt;&gt;FALSE") - COUNTBLANK($K963:$T963) &gt; 0, INDEX($K963:$T963, MATCH(TRUE, $K963:$T963 &lt;&gt; FALSE, 0)))</f>
        <v>0</v>
      </c>
      <c r="K963" s="712" t="b">
        <f ca="1">IF(AND('Asset-backed contributions'!$C$7=0,'Reconciliation report'!$E963&lt;&gt;""),ErrorMsgs!$B963)</f>
        <v>0</v>
      </c>
      <c r="L963" s="712" t="b">
        <f ca="1">IF(AND('Asset-backed contributions'!$C$7&lt;2,'Reconciliation report'!$E963&lt;&gt;""),ErrorMsgs!$C963)</f>
        <v>0</v>
      </c>
      <c r="M963" s="712" t="b">
        <f ca="1">IF(AND('Asset-backed contributions'!$C$7&gt;=2,'Reconciliation report'!$E963=""),ErrorMsgs!$D963)</f>
        <v>0</v>
      </c>
      <c r="N963" s="712" t="b">
        <f ca="1">IF($E963="",FALSE,IF(ISERROR(VALUE($E963)),ErrorMsgs!$E963,IF(OR(VALUE($E963)-ROUND(VALUE($E963),2)&lt;&gt;0,VALUE($E963)&lt;0,VALUE($E963)&gt;=1000000000000),ErrorMsgs!$E963)))</f>
        <v>0</v>
      </c>
      <c r="O963" s="712"/>
      <c r="P963" s="712"/>
      <c r="Q963" s="712"/>
      <c r="R963" s="712"/>
      <c r="S963" s="712"/>
      <c r="T963" s="712"/>
      <c r="U963" s="526" t="str">
        <f t="shared" ref="U963:U1026" ca="1" si="135">IF(AND($W963=TRUE,$Y963=FALSE),TEXT($E963,$X963),$E963)</f>
        <v/>
      </c>
      <c r="V963" s="93" t="str" cm="1">
        <f t="array" aca="1" ref="V963" ca="1">CELL("format",INDIRECT(I963))</f>
        <v>C2</v>
      </c>
      <c r="W963" s="93" t="b">
        <f t="shared" ref="W963:W1026" ca="1" si="136">IF(ISNUMBER(E963), IF(INT(E963)&lt;&gt;E963,TRUE,FALSE),FALSE)</f>
        <v>0</v>
      </c>
      <c r="X963" s="715" t="str">
        <f t="shared" ca="1" si="134"/>
        <v/>
      </c>
      <c r="Y963" t="b">
        <f t="shared" ref="Y963:Y1026" ca="1" si="137">ISTEXT(E963)</f>
        <v>1</v>
      </c>
    </row>
    <row r="964" spans="1:25" ht="77.5">
      <c r="A964" s="705" t="s">
        <v>3610</v>
      </c>
      <c r="B964" s="716" t="str">
        <f t="shared" ca="1" si="131"/>
        <v>ABC income stream - D27</v>
      </c>
      <c r="C964" s="707" t="str" cm="1">
        <f t="array" aca="1" ref="C964" ca="1">INDIRECT(LEFT(I964, FIND("!", I964)) &amp; RefData!$C$426 &amp; RIGHT(I964, LEN(I964) - FIND("!", I964) - 1))</f>
        <v xml:space="preserve">
No answer required
Year 20
</v>
      </c>
      <c r="D964" s="92" t="str">
        <f t="shared" ca="1" si="133"/>
        <v/>
      </c>
      <c r="E964" s="708" t="str" cm="1">
        <f t="array" aca="1" ref="E964" ca="1">IF(INDIRECT($I964)= "", "", INDIRECT($I964))</f>
        <v/>
      </c>
      <c r="F964" s="709" t="str" cm="1">
        <f t="array" aca="1" ref="F964" ca="1">SUBSTITUTE(INDIRECT(LEFT(I964, FIND("!", I964)) &amp; RefData!$C$427 &amp; RIGHT(I964, LEN(I964) - FIND("!", I964) - 1)), "/1-5", "/2")</f>
        <v>AIS 20.0/2</v>
      </c>
      <c r="G964" s="710" t="b">
        <f ca="1">IF(ISNUMBER(SEARCH(RefData!$B$2, $C964)), FALSE, TRUE)</f>
        <v>0</v>
      </c>
      <c r="H964" s="344">
        <f>'ABC income stream'!D27</f>
        <v>0</v>
      </c>
      <c r="I964" s="712" t="str">
        <f t="shared" ca="1" si="132"/>
        <v>'ABC income stream'!D27</v>
      </c>
      <c r="J964" s="713" t="b" cm="1">
        <f t="array" aca="1" ref="J964" ca="1">IF(COUNTIF($K964:$T964, "&lt;&gt;FALSE") - COUNTBLANK($K964:$T964) &gt; 0, INDEX($K964:$T964, MATCH(TRUE, $K964:$T964 &lt;&gt; FALSE, 0)))</f>
        <v>0</v>
      </c>
      <c r="K964" s="712" t="b">
        <f ca="1">IF(AND('Asset-backed contributions'!$C$7=0,'Reconciliation report'!$E964&lt;&gt;""),ErrorMsgs!$B964)</f>
        <v>0</v>
      </c>
      <c r="L964" s="712" t="b">
        <f ca="1">IF(AND('Asset-backed contributions'!$C$7&lt;2,'Reconciliation report'!$E964&lt;&gt;""),ErrorMsgs!$C964)</f>
        <v>0</v>
      </c>
      <c r="M964" s="712" t="b">
        <f ca="1">IF(AND('Asset-backed contributions'!$C$7&gt;=2,'Reconciliation report'!$E964=""),ErrorMsgs!$D964)</f>
        <v>0</v>
      </c>
      <c r="N964" s="712" t="b">
        <f ca="1">IF($E964="",FALSE,IF(ISERROR(VALUE($E964)),ErrorMsgs!$E964,IF(OR(VALUE($E964)-ROUND(VALUE($E964),2)&lt;&gt;0,VALUE($E964)&lt;0,VALUE($E964)&gt;=1000000000000),ErrorMsgs!$E964)))</f>
        <v>0</v>
      </c>
      <c r="O964" s="712"/>
      <c r="P964" s="712"/>
      <c r="Q964" s="712"/>
      <c r="R964" s="712"/>
      <c r="S964" s="712"/>
      <c r="T964" s="712"/>
      <c r="U964" s="526" t="str">
        <f t="shared" ca="1" si="135"/>
        <v/>
      </c>
      <c r="V964" s="93" t="str" cm="1">
        <f t="array" aca="1" ref="V964" ca="1">CELL("format",INDIRECT(I964))</f>
        <v>C2</v>
      </c>
      <c r="W964" s="93" t="b">
        <f t="shared" ca="1" si="136"/>
        <v>0</v>
      </c>
      <c r="X964" s="715" t="str">
        <f t="shared" ca="1" si="134"/>
        <v/>
      </c>
      <c r="Y964" t="b">
        <f t="shared" ca="1" si="137"/>
        <v>1</v>
      </c>
    </row>
    <row r="965" spans="1:25" ht="77.5">
      <c r="A965" s="705" t="s">
        <v>3611</v>
      </c>
      <c r="B965" s="716" t="str">
        <f t="shared" ca="1" si="131"/>
        <v>ABC income stream - D28</v>
      </c>
      <c r="C965" s="707" t="str" cm="1">
        <f t="array" aca="1" ref="C965" ca="1">INDIRECT(LEFT(I965, FIND("!", I965)) &amp; RefData!$C$426 &amp; RIGHT(I965, LEN(I965) - FIND("!", I965) - 1))</f>
        <v xml:space="preserve">
No answer required
Year 21+
</v>
      </c>
      <c r="D965" s="92" t="str">
        <f t="shared" ca="1" si="133"/>
        <v/>
      </c>
      <c r="E965" s="708" t="str" cm="1">
        <f t="array" aca="1" ref="E965" ca="1">IF(INDIRECT($I965)= "", "", INDIRECT($I965))</f>
        <v/>
      </c>
      <c r="F965" s="709" t="str" cm="1">
        <f t="array" aca="1" ref="F965" ca="1">SUBSTITUTE(INDIRECT(LEFT(I965, FIND("!", I965)) &amp; RefData!$C$427 &amp; RIGHT(I965, LEN(I965) - FIND("!", I965) - 1)), "/1-5", "/2")</f>
        <v>AIS 21.0/2</v>
      </c>
      <c r="G965" s="710" t="b">
        <f ca="1">IF(ISNUMBER(SEARCH(RefData!$B$2, $C965)), FALSE, TRUE)</f>
        <v>0</v>
      </c>
      <c r="H965" s="344">
        <f>'ABC income stream'!D28</f>
        <v>0</v>
      </c>
      <c r="I965" s="712" t="str">
        <f t="shared" ca="1" si="132"/>
        <v>'ABC income stream'!D28</v>
      </c>
      <c r="J965" s="713" t="b" cm="1">
        <f t="array" aca="1" ref="J965" ca="1">IF(COUNTIF($K965:$T965, "&lt;&gt;FALSE") - COUNTBLANK($K965:$T965) &gt; 0, INDEX($K965:$T965, MATCH(TRUE, $K965:$T965 &lt;&gt; FALSE, 0)))</f>
        <v>0</v>
      </c>
      <c r="K965" s="712" t="b">
        <f ca="1">IF(AND('Asset-backed contributions'!$C$7=0,'Reconciliation report'!$E965&lt;&gt;""),ErrorMsgs!$B965)</f>
        <v>0</v>
      </c>
      <c r="L965" s="712" t="b">
        <f ca="1">IF(AND('Asset-backed contributions'!$C$7&lt;2,'Reconciliation report'!$E965&lt;&gt;""),ErrorMsgs!$C965)</f>
        <v>0</v>
      </c>
      <c r="M965" s="712" t="b">
        <f ca="1">IF(AND('Asset-backed contributions'!$C$7&gt;=2,'Reconciliation report'!$E965=""),ErrorMsgs!$D965)</f>
        <v>0</v>
      </c>
      <c r="N965" s="712" t="b">
        <f ca="1">IF($E965="",FALSE,IF(ISERROR(VALUE($E965)),ErrorMsgs!$E965,IF(OR(VALUE($E965)-ROUND(VALUE($E965),2)&lt;&gt;0,VALUE($E965)&lt;0,VALUE($E965)&gt;=1000000000000),ErrorMsgs!$E965)))</f>
        <v>0</v>
      </c>
      <c r="O965" s="712"/>
      <c r="P965" s="712"/>
      <c r="Q965" s="712"/>
      <c r="R965" s="712"/>
      <c r="S965" s="712"/>
      <c r="T965" s="712"/>
      <c r="U965" s="526" t="str">
        <f t="shared" ca="1" si="135"/>
        <v/>
      </c>
      <c r="V965" s="93" t="str" cm="1">
        <f t="array" aca="1" ref="V965" ca="1">CELL("format",INDIRECT(I965))</f>
        <v>C2</v>
      </c>
      <c r="W965" s="93" t="b">
        <f t="shared" ca="1" si="136"/>
        <v>0</v>
      </c>
      <c r="X965" s="715" t="str">
        <f t="shared" ca="1" si="134"/>
        <v/>
      </c>
      <c r="Y965" t="b">
        <f t="shared" ca="1" si="137"/>
        <v>1</v>
      </c>
    </row>
    <row r="966" spans="1:25" ht="77.5">
      <c r="A966" s="705" t="s">
        <v>3612</v>
      </c>
      <c r="B966" s="716" t="str">
        <f t="shared" ca="1" si="131"/>
        <v>ABC income stream - E8</v>
      </c>
      <c r="C966" s="707" t="str" cm="1">
        <f t="array" aca="1" ref="C966" ca="1">INDIRECT(LEFT(I966, FIND("!", I966)) &amp; RefData!$C$426 &amp; RIGHT(I966, LEN(I966) - FIND("!", I966) - 1))</f>
        <v xml:space="preserve">
No answer required
Year 1
</v>
      </c>
      <c r="D966" s="92" t="str">
        <f t="shared" ref="D966:D986" ca="1" si="138">""&amp;IF(J966=FALSE, "", J966)
&amp;""</f>
        <v/>
      </c>
      <c r="E966" s="708" t="str" cm="1">
        <f t="array" aca="1" ref="E966" ca="1">IF(INDIRECT($I966)= "", "", INDIRECT($I966))</f>
        <v/>
      </c>
      <c r="F966" s="709" t="str" cm="1">
        <f t="array" aca="1" ref="F966" ca="1">SUBSTITUTE(INDIRECT(LEFT(I966, FIND("!", I966)) &amp; RefData!$C$427 &amp; RIGHT(I966, LEN(I966) - FIND("!", I966) - 1)), "/1-5", "/3")</f>
        <v>AIS 1.0/3</v>
      </c>
      <c r="G966" s="710" t="b">
        <f ca="1">IF(ISNUMBER(SEARCH(RefData!$B$2, $C966)), FALSE, TRUE)</f>
        <v>0</v>
      </c>
      <c r="H966" s="344">
        <f>'ABC income stream'!E8</f>
        <v>0</v>
      </c>
      <c r="I966" s="712" t="str">
        <f t="shared" ca="1" si="132"/>
        <v>'ABC income stream'!E8</v>
      </c>
      <c r="J966" s="713" t="b" cm="1">
        <f t="array" aca="1" ref="J966" ca="1">IF(COUNTIF($K966:$T966, "&lt;&gt;FALSE") - COUNTBLANK($K966:$T966) &gt; 0, INDEX($K966:$T966, MATCH(TRUE, $K966:$T966 &lt;&gt; FALSE, 0)))</f>
        <v>0</v>
      </c>
      <c r="K966" s="712" t="b">
        <f ca="1">IF(AND('Asset-backed contributions'!$C$7=0,'Reconciliation report'!$E966&lt;&gt;""),ErrorMsgs!$B966)</f>
        <v>0</v>
      </c>
      <c r="L966" s="712" t="b">
        <f ca="1">IF(AND('Asset-backed contributions'!$C$7&lt;3,'Reconciliation report'!$E966&lt;&gt;""),ErrorMsgs!$C966)</f>
        <v>0</v>
      </c>
      <c r="M966" s="712" t="b">
        <f ca="1">IF(AND('Asset-backed contributions'!$C$7&gt;=3,'Reconciliation report'!$E966=""),ErrorMsgs!$D966)</f>
        <v>0</v>
      </c>
      <c r="N966" s="712" t="b">
        <f ca="1">IF($E966="",FALSE,IF(ISERROR(VALUE($E966)),ErrorMsgs!$E966,IF(OR(VALUE($E966)-ROUND(VALUE($E966),2)&lt;&gt;0,VALUE($E966)&lt;0,VALUE($E966)&gt;=1000000000000),ErrorMsgs!$E966)))</f>
        <v>0</v>
      </c>
      <c r="O966" s="712"/>
      <c r="P966" s="712"/>
      <c r="Q966" s="712"/>
      <c r="R966" s="712"/>
      <c r="S966" s="712"/>
      <c r="T966" s="712"/>
      <c r="U966" s="526" t="str">
        <f t="shared" ca="1" si="135"/>
        <v/>
      </c>
      <c r="V966" s="93" t="str" cm="1">
        <f t="array" aca="1" ref="V966" ca="1">CELL("format",INDIRECT(I966))</f>
        <v>C2</v>
      </c>
      <c r="W966" s="93" t="b">
        <f t="shared" ca="1" si="136"/>
        <v>0</v>
      </c>
      <c r="X966" s="715" t="str">
        <f t="shared" ca="1" si="134"/>
        <v/>
      </c>
      <c r="Y966" t="b">
        <f t="shared" ca="1" si="137"/>
        <v>1</v>
      </c>
    </row>
    <row r="967" spans="1:25" ht="77.5">
      <c r="A967" s="705" t="s">
        <v>3613</v>
      </c>
      <c r="B967" s="716" t="str">
        <f t="shared" ca="1" si="131"/>
        <v>ABC income stream - E9</v>
      </c>
      <c r="C967" s="707" t="str" cm="1">
        <f t="array" aca="1" ref="C967" ca="1">INDIRECT(LEFT(I967, FIND("!", I967)) &amp; RefData!$C$426 &amp; RIGHT(I967, LEN(I967) - FIND("!", I967) - 1))</f>
        <v xml:space="preserve">
No answer required
Year 2
</v>
      </c>
      <c r="D967" s="92" t="str">
        <f t="shared" ca="1" si="138"/>
        <v/>
      </c>
      <c r="E967" s="708" t="str" cm="1">
        <f t="array" aca="1" ref="E967" ca="1">IF(INDIRECT($I967)= "", "", INDIRECT($I967))</f>
        <v/>
      </c>
      <c r="F967" s="709" t="str" cm="1">
        <f t="array" aca="1" ref="F967" ca="1">SUBSTITUTE(INDIRECT(LEFT(I967, FIND("!", I967)) &amp; RefData!$C$427 &amp; RIGHT(I967, LEN(I967) - FIND("!", I967) - 1)), "/1-5", "/3")</f>
        <v>AIS 2.0/3</v>
      </c>
      <c r="G967" s="710" t="b">
        <f ca="1">IF(ISNUMBER(SEARCH(RefData!$B$2, $C967)), FALSE, TRUE)</f>
        <v>0</v>
      </c>
      <c r="H967" s="344">
        <f>'ABC income stream'!E9</f>
        <v>0</v>
      </c>
      <c r="I967" s="712" t="str">
        <f t="shared" ca="1" si="132"/>
        <v>'ABC income stream'!E9</v>
      </c>
      <c r="J967" s="713" t="b" cm="1">
        <f t="array" aca="1" ref="J967" ca="1">IF(COUNTIF($K967:$T967, "&lt;&gt;FALSE") - COUNTBLANK($K967:$T967) &gt; 0, INDEX($K967:$T967, MATCH(TRUE, $K967:$T967 &lt;&gt; FALSE, 0)))</f>
        <v>0</v>
      </c>
      <c r="K967" s="712" t="b">
        <f ca="1">IF(AND('Asset-backed contributions'!$C$7=0,'Reconciliation report'!$E967&lt;&gt;""),ErrorMsgs!$B967)</f>
        <v>0</v>
      </c>
      <c r="L967" s="712" t="b">
        <f ca="1">IF(AND('Asset-backed contributions'!$C$7&lt;3,'Reconciliation report'!$E967&lt;&gt;""),ErrorMsgs!$C967)</f>
        <v>0</v>
      </c>
      <c r="M967" s="712" t="b">
        <f ca="1">IF(AND('Asset-backed contributions'!$C$7&gt;=3,'Reconciliation report'!$E967=""),ErrorMsgs!$D967)</f>
        <v>0</v>
      </c>
      <c r="N967" s="712" t="b">
        <f ca="1">IF($E967="",FALSE,IF(ISERROR(VALUE($E967)),ErrorMsgs!$E967,IF(OR(VALUE($E967)-ROUND(VALUE($E967),2)&lt;&gt;0,VALUE($E967)&lt;0,VALUE($E967)&gt;=1000000000000),ErrorMsgs!$E967)))</f>
        <v>0</v>
      </c>
      <c r="O967" s="712"/>
      <c r="P967" s="712"/>
      <c r="Q967" s="712"/>
      <c r="R967" s="712"/>
      <c r="S967" s="712"/>
      <c r="T967" s="712"/>
      <c r="U967" s="526" t="str">
        <f t="shared" ca="1" si="135"/>
        <v/>
      </c>
      <c r="V967" s="93" t="str" cm="1">
        <f t="array" aca="1" ref="V967" ca="1">CELL("format",INDIRECT(I967))</f>
        <v>C2</v>
      </c>
      <c r="W967" s="93" t="b">
        <f t="shared" ca="1" si="136"/>
        <v>0</v>
      </c>
      <c r="X967" s="715" t="str">
        <f t="shared" ca="1" si="134"/>
        <v/>
      </c>
      <c r="Y967" t="b">
        <f t="shared" ca="1" si="137"/>
        <v>1</v>
      </c>
    </row>
    <row r="968" spans="1:25" ht="77.5">
      <c r="A968" s="705" t="s">
        <v>3614</v>
      </c>
      <c r="B968" s="716" t="str">
        <f t="shared" ca="1" si="131"/>
        <v>ABC income stream - E10</v>
      </c>
      <c r="C968" s="707" t="str" cm="1">
        <f t="array" aca="1" ref="C968" ca="1">INDIRECT(LEFT(I968, FIND("!", I968)) &amp; RefData!$C$426 &amp; RIGHT(I968, LEN(I968) - FIND("!", I968) - 1))</f>
        <v xml:space="preserve">
No answer required
Year 3
</v>
      </c>
      <c r="D968" s="92" t="str">
        <f t="shared" ca="1" si="138"/>
        <v/>
      </c>
      <c r="E968" s="708" t="str" cm="1">
        <f t="array" aca="1" ref="E968" ca="1">IF(INDIRECT($I968)= "", "", INDIRECT($I968))</f>
        <v/>
      </c>
      <c r="F968" s="709" t="str" cm="1">
        <f t="array" aca="1" ref="F968" ca="1">SUBSTITUTE(INDIRECT(LEFT(I968, FIND("!", I968)) &amp; RefData!$C$427 &amp; RIGHT(I968, LEN(I968) - FIND("!", I968) - 1)), "/1-5", "/3")</f>
        <v>AIS 3.0/3</v>
      </c>
      <c r="G968" s="710" t="b">
        <f ca="1">IF(ISNUMBER(SEARCH(RefData!$B$2, $C968)), FALSE, TRUE)</f>
        <v>0</v>
      </c>
      <c r="H968" s="344">
        <f>'ABC income stream'!E10</f>
        <v>0</v>
      </c>
      <c r="I968" s="712" t="str">
        <f t="shared" ca="1" si="132"/>
        <v>'ABC income stream'!E10</v>
      </c>
      <c r="J968" s="713" t="b" cm="1">
        <f t="array" aca="1" ref="J968" ca="1">IF(COUNTIF($K968:$T968, "&lt;&gt;FALSE") - COUNTBLANK($K968:$T968) &gt; 0, INDEX($K968:$T968, MATCH(TRUE, $K968:$T968 &lt;&gt; FALSE, 0)))</f>
        <v>0</v>
      </c>
      <c r="K968" s="712" t="b">
        <f ca="1">IF(AND('Asset-backed contributions'!$C$7=0,'Reconciliation report'!$E968&lt;&gt;""),ErrorMsgs!$B968)</f>
        <v>0</v>
      </c>
      <c r="L968" s="712" t="b">
        <f ca="1">IF(AND('Asset-backed contributions'!$C$7&lt;3,'Reconciliation report'!$E968&lt;&gt;""),ErrorMsgs!$C968)</f>
        <v>0</v>
      </c>
      <c r="M968" s="712" t="b">
        <f ca="1">IF(AND('Asset-backed contributions'!$C$7&gt;=3,'Reconciliation report'!$E968=""),ErrorMsgs!$D968)</f>
        <v>0</v>
      </c>
      <c r="N968" s="712" t="b">
        <f ca="1">IF($E968="",FALSE,IF(ISERROR(VALUE($E968)),ErrorMsgs!$E968,IF(OR(VALUE($E968)-ROUND(VALUE($E968),2)&lt;&gt;0,VALUE($E968)&lt;0,VALUE($E968)&gt;=1000000000000),ErrorMsgs!$E968)))</f>
        <v>0</v>
      </c>
      <c r="O968" s="712"/>
      <c r="P968" s="712"/>
      <c r="Q968" s="712"/>
      <c r="R968" s="712"/>
      <c r="S968" s="712"/>
      <c r="T968" s="712"/>
      <c r="U968" s="526" t="str">
        <f t="shared" ca="1" si="135"/>
        <v/>
      </c>
      <c r="V968" s="93" t="str" cm="1">
        <f t="array" aca="1" ref="V968" ca="1">CELL("format",INDIRECT(I968))</f>
        <v>C2</v>
      </c>
      <c r="W968" s="93" t="b">
        <f t="shared" ca="1" si="136"/>
        <v>0</v>
      </c>
      <c r="X968" s="715" t="str">
        <f t="shared" ca="1" si="134"/>
        <v/>
      </c>
      <c r="Y968" t="b">
        <f t="shared" ca="1" si="137"/>
        <v>1</v>
      </c>
    </row>
    <row r="969" spans="1:25" ht="77.5">
      <c r="A969" s="705" t="s">
        <v>3615</v>
      </c>
      <c r="B969" s="716" t="str">
        <f t="shared" ca="1" si="131"/>
        <v>ABC income stream - E11</v>
      </c>
      <c r="C969" s="707" t="str" cm="1">
        <f t="array" aca="1" ref="C969" ca="1">INDIRECT(LEFT(I969, FIND("!", I969)) &amp; RefData!$C$426 &amp; RIGHT(I969, LEN(I969) - FIND("!", I969) - 1))</f>
        <v xml:space="preserve">
No answer required
Year 4
</v>
      </c>
      <c r="D969" s="92" t="str">
        <f t="shared" ca="1" si="138"/>
        <v/>
      </c>
      <c r="E969" s="708" t="str" cm="1">
        <f t="array" aca="1" ref="E969" ca="1">IF(INDIRECT($I969)= "", "", INDIRECT($I969))</f>
        <v/>
      </c>
      <c r="F969" s="709" t="str" cm="1">
        <f t="array" aca="1" ref="F969" ca="1">SUBSTITUTE(INDIRECT(LEFT(I969, FIND("!", I969)) &amp; RefData!$C$427 &amp; RIGHT(I969, LEN(I969) - FIND("!", I969) - 1)), "/1-5", "/3")</f>
        <v>AIS 4.0/3</v>
      </c>
      <c r="G969" s="710" t="b">
        <f ca="1">IF(ISNUMBER(SEARCH(RefData!$B$2, $C969)), FALSE, TRUE)</f>
        <v>0</v>
      </c>
      <c r="H969" s="344">
        <f>'ABC income stream'!E11</f>
        <v>0</v>
      </c>
      <c r="I969" s="712" t="str">
        <f t="shared" ca="1" si="132"/>
        <v>'ABC income stream'!E11</v>
      </c>
      <c r="J969" s="713" t="b" cm="1">
        <f t="array" aca="1" ref="J969" ca="1">IF(COUNTIF($K969:$T969, "&lt;&gt;FALSE") - COUNTBLANK($K969:$T969) &gt; 0, INDEX($K969:$T969, MATCH(TRUE, $K969:$T969 &lt;&gt; FALSE, 0)))</f>
        <v>0</v>
      </c>
      <c r="K969" s="712" t="b">
        <f ca="1">IF(AND('Asset-backed contributions'!$C$7=0,'Reconciliation report'!$E969&lt;&gt;""),ErrorMsgs!$B969)</f>
        <v>0</v>
      </c>
      <c r="L969" s="712" t="b">
        <f ca="1">IF(AND('Asset-backed contributions'!$C$7&lt;3,'Reconciliation report'!$E969&lt;&gt;""),ErrorMsgs!$C969)</f>
        <v>0</v>
      </c>
      <c r="M969" s="712" t="b">
        <f ca="1">IF(AND('Asset-backed contributions'!$C$7&gt;=3,'Reconciliation report'!$E969=""),ErrorMsgs!$D969)</f>
        <v>0</v>
      </c>
      <c r="N969" s="712" t="b">
        <f ca="1">IF($E969="",FALSE,IF(ISERROR(VALUE($E969)),ErrorMsgs!$E969,IF(OR(VALUE($E969)-ROUND(VALUE($E969),2)&lt;&gt;0,VALUE($E969)&lt;0,VALUE($E969)&gt;=1000000000000),ErrorMsgs!$E969)))</f>
        <v>0</v>
      </c>
      <c r="O969" s="712"/>
      <c r="P969" s="712"/>
      <c r="Q969" s="712"/>
      <c r="R969" s="712"/>
      <c r="S969" s="712"/>
      <c r="T969" s="712"/>
      <c r="U969" s="526" t="str">
        <f t="shared" ca="1" si="135"/>
        <v/>
      </c>
      <c r="V969" s="93" t="str" cm="1">
        <f t="array" aca="1" ref="V969" ca="1">CELL("format",INDIRECT(I969))</f>
        <v>C2</v>
      </c>
      <c r="W969" s="93" t="b">
        <f t="shared" ca="1" si="136"/>
        <v>0</v>
      </c>
      <c r="X969" s="715" t="str">
        <f t="shared" ca="1" si="134"/>
        <v/>
      </c>
      <c r="Y969" t="b">
        <f t="shared" ca="1" si="137"/>
        <v>1</v>
      </c>
    </row>
    <row r="970" spans="1:25" ht="77.5">
      <c r="A970" s="705" t="s">
        <v>3616</v>
      </c>
      <c r="B970" s="716" t="str">
        <f t="shared" ca="1" si="131"/>
        <v>ABC income stream - E12</v>
      </c>
      <c r="C970" s="707" t="str" cm="1">
        <f t="array" aca="1" ref="C970" ca="1">INDIRECT(LEFT(I970, FIND("!", I970)) &amp; RefData!$C$426 &amp; RIGHT(I970, LEN(I970) - FIND("!", I970) - 1))</f>
        <v xml:space="preserve">
No answer required
Year 5
</v>
      </c>
      <c r="D970" s="92" t="str">
        <f t="shared" ca="1" si="138"/>
        <v/>
      </c>
      <c r="E970" s="708" t="str" cm="1">
        <f t="array" aca="1" ref="E970" ca="1">IF(INDIRECT($I970)= "", "", INDIRECT($I970))</f>
        <v/>
      </c>
      <c r="F970" s="709" t="str" cm="1">
        <f t="array" aca="1" ref="F970" ca="1">SUBSTITUTE(INDIRECT(LEFT(I970, FIND("!", I970)) &amp; RefData!$C$427 &amp; RIGHT(I970, LEN(I970) - FIND("!", I970) - 1)), "/1-5", "/3")</f>
        <v>AIS 5.0/3</v>
      </c>
      <c r="G970" s="710" t="b">
        <f ca="1">IF(ISNUMBER(SEARCH(RefData!$B$2, $C970)), FALSE, TRUE)</f>
        <v>0</v>
      </c>
      <c r="H970" s="344">
        <f>'ABC income stream'!E12</f>
        <v>0</v>
      </c>
      <c r="I970" s="712" t="str">
        <f t="shared" ca="1" si="132"/>
        <v>'ABC income stream'!E12</v>
      </c>
      <c r="J970" s="713" t="b" cm="1">
        <f t="array" aca="1" ref="J970" ca="1">IF(COUNTIF($K970:$T970, "&lt;&gt;FALSE") - COUNTBLANK($K970:$T970) &gt; 0, INDEX($K970:$T970, MATCH(TRUE, $K970:$T970 &lt;&gt; FALSE, 0)))</f>
        <v>0</v>
      </c>
      <c r="K970" s="712" t="b">
        <f ca="1">IF(AND('Asset-backed contributions'!$C$7=0,'Reconciliation report'!$E970&lt;&gt;""),ErrorMsgs!$B970)</f>
        <v>0</v>
      </c>
      <c r="L970" s="712" t="b">
        <f ca="1">IF(AND('Asset-backed contributions'!$C$7&lt;3,'Reconciliation report'!$E970&lt;&gt;""),ErrorMsgs!$C970)</f>
        <v>0</v>
      </c>
      <c r="M970" s="712" t="b">
        <f ca="1">IF(AND('Asset-backed contributions'!$C$7&gt;=3,'Reconciliation report'!$E970=""),ErrorMsgs!$D970)</f>
        <v>0</v>
      </c>
      <c r="N970" s="712" t="b">
        <f ca="1">IF($E970="",FALSE,IF(ISERROR(VALUE($E970)),ErrorMsgs!$E970,IF(OR(VALUE($E970)-ROUND(VALUE($E970),2)&lt;&gt;0,VALUE($E970)&lt;0,VALUE($E970)&gt;=1000000000000),ErrorMsgs!$E970)))</f>
        <v>0</v>
      </c>
      <c r="O970" s="712"/>
      <c r="P970" s="712"/>
      <c r="Q970" s="712"/>
      <c r="R970" s="712"/>
      <c r="S970" s="712"/>
      <c r="T970" s="712"/>
      <c r="U970" s="526" t="str">
        <f t="shared" ca="1" si="135"/>
        <v/>
      </c>
      <c r="V970" s="93" t="str" cm="1">
        <f t="array" aca="1" ref="V970" ca="1">CELL("format",INDIRECT(I970))</f>
        <v>C2</v>
      </c>
      <c r="W970" s="93" t="b">
        <f t="shared" ca="1" si="136"/>
        <v>0</v>
      </c>
      <c r="X970" s="715" t="str">
        <f t="shared" ca="1" si="134"/>
        <v/>
      </c>
      <c r="Y970" t="b">
        <f t="shared" ca="1" si="137"/>
        <v>1</v>
      </c>
    </row>
    <row r="971" spans="1:25" ht="77.5">
      <c r="A971" s="705" t="s">
        <v>3617</v>
      </c>
      <c r="B971" s="716" t="str">
        <f t="shared" ca="1" si="131"/>
        <v>ABC income stream - E13</v>
      </c>
      <c r="C971" s="707" t="str" cm="1">
        <f t="array" aca="1" ref="C971" ca="1">INDIRECT(LEFT(I971, FIND("!", I971)) &amp; RefData!$C$426 &amp; RIGHT(I971, LEN(I971) - FIND("!", I971) - 1))</f>
        <v xml:space="preserve">
No answer required
Year 6
</v>
      </c>
      <c r="D971" s="92" t="str">
        <f t="shared" ca="1" si="138"/>
        <v/>
      </c>
      <c r="E971" s="708" t="str" cm="1">
        <f t="array" aca="1" ref="E971" ca="1">IF(INDIRECT($I971)= "", "", INDIRECT($I971))</f>
        <v/>
      </c>
      <c r="F971" s="709" t="str" cm="1">
        <f t="array" aca="1" ref="F971" ca="1">SUBSTITUTE(INDIRECT(LEFT(I971, FIND("!", I971)) &amp; RefData!$C$427 &amp; RIGHT(I971, LEN(I971) - FIND("!", I971) - 1)), "/1-5", "/3")</f>
        <v>AIS 6.0/3</v>
      </c>
      <c r="G971" s="710" t="b">
        <f ca="1">IF(ISNUMBER(SEARCH(RefData!$B$2, $C971)), FALSE, TRUE)</f>
        <v>0</v>
      </c>
      <c r="H971" s="344">
        <f>'ABC income stream'!E13</f>
        <v>0</v>
      </c>
      <c r="I971" s="712" t="str">
        <f t="shared" ca="1" si="132"/>
        <v>'ABC income stream'!E13</v>
      </c>
      <c r="J971" s="713" t="b" cm="1">
        <f t="array" aca="1" ref="J971" ca="1">IF(COUNTIF($K971:$T971, "&lt;&gt;FALSE") - COUNTBLANK($K971:$T971) &gt; 0, INDEX($K971:$T971, MATCH(TRUE, $K971:$T971 &lt;&gt; FALSE, 0)))</f>
        <v>0</v>
      </c>
      <c r="K971" s="712" t="b">
        <f ca="1">IF(AND('Asset-backed contributions'!$C$7=0,'Reconciliation report'!$E971&lt;&gt;""),ErrorMsgs!$B971)</f>
        <v>0</v>
      </c>
      <c r="L971" s="712" t="b">
        <f ca="1">IF(AND('Asset-backed contributions'!$C$7&lt;3,'Reconciliation report'!$E971&lt;&gt;""),ErrorMsgs!$C971)</f>
        <v>0</v>
      </c>
      <c r="M971" s="712" t="b">
        <f ca="1">IF(AND('Asset-backed contributions'!$C$7&gt;=3,'Reconciliation report'!$E971=""),ErrorMsgs!$D971)</f>
        <v>0</v>
      </c>
      <c r="N971" s="712" t="b">
        <f ca="1">IF($E971="",FALSE,IF(ISERROR(VALUE($E971)),ErrorMsgs!$E971,IF(OR(VALUE($E971)-ROUND(VALUE($E971),2)&lt;&gt;0,VALUE($E971)&lt;0,VALUE($E971)&gt;=1000000000000),ErrorMsgs!$E971)))</f>
        <v>0</v>
      </c>
      <c r="O971" s="712"/>
      <c r="P971" s="712"/>
      <c r="Q971" s="712"/>
      <c r="R971" s="712"/>
      <c r="S971" s="712"/>
      <c r="T971" s="712"/>
      <c r="U971" s="526" t="str">
        <f t="shared" ca="1" si="135"/>
        <v/>
      </c>
      <c r="V971" s="93" t="str" cm="1">
        <f t="array" aca="1" ref="V971" ca="1">CELL("format",INDIRECT(I971))</f>
        <v>C2</v>
      </c>
      <c r="W971" s="93" t="b">
        <f t="shared" ca="1" si="136"/>
        <v>0</v>
      </c>
      <c r="X971" s="715" t="str">
        <f t="shared" ca="1" si="134"/>
        <v/>
      </c>
      <c r="Y971" t="b">
        <f t="shared" ca="1" si="137"/>
        <v>1</v>
      </c>
    </row>
    <row r="972" spans="1:25" ht="77.5">
      <c r="A972" s="705" t="s">
        <v>3618</v>
      </c>
      <c r="B972" s="716" t="str">
        <f t="shared" ca="1" si="131"/>
        <v>ABC income stream - E14</v>
      </c>
      <c r="C972" s="707" t="str" cm="1">
        <f t="array" aca="1" ref="C972" ca="1">INDIRECT(LEFT(I972, FIND("!", I972)) &amp; RefData!$C$426 &amp; RIGHT(I972, LEN(I972) - FIND("!", I972) - 1))</f>
        <v xml:space="preserve">
No answer required
Year 7
</v>
      </c>
      <c r="D972" s="92" t="str">
        <f t="shared" ca="1" si="138"/>
        <v/>
      </c>
      <c r="E972" s="708" t="str" cm="1">
        <f t="array" aca="1" ref="E972" ca="1">IF(INDIRECT($I972)= "", "", INDIRECT($I972))</f>
        <v/>
      </c>
      <c r="F972" s="709" t="str" cm="1">
        <f t="array" aca="1" ref="F972" ca="1">SUBSTITUTE(INDIRECT(LEFT(I972, FIND("!", I972)) &amp; RefData!$C$427 &amp; RIGHT(I972, LEN(I972) - FIND("!", I972) - 1)), "/1-5", "/3")</f>
        <v>AIS 7.0/3</v>
      </c>
      <c r="G972" s="710" t="b">
        <f ca="1">IF(ISNUMBER(SEARCH(RefData!$B$2, $C972)), FALSE, TRUE)</f>
        <v>0</v>
      </c>
      <c r="H972" s="344">
        <f>'ABC income stream'!E14</f>
        <v>0</v>
      </c>
      <c r="I972" s="712" t="str">
        <f t="shared" ca="1" si="132"/>
        <v>'ABC income stream'!E14</v>
      </c>
      <c r="J972" s="713" t="b" cm="1">
        <f t="array" aca="1" ref="J972" ca="1">IF(COUNTIF($K972:$T972, "&lt;&gt;FALSE") - COUNTBLANK($K972:$T972) &gt; 0, INDEX($K972:$T972, MATCH(TRUE, $K972:$T972 &lt;&gt; FALSE, 0)))</f>
        <v>0</v>
      </c>
      <c r="K972" s="712" t="b">
        <f ca="1">IF(AND('Asset-backed contributions'!$C$7=0,'Reconciliation report'!$E972&lt;&gt;""),ErrorMsgs!$B972)</f>
        <v>0</v>
      </c>
      <c r="L972" s="712" t="b">
        <f ca="1">IF(AND('Asset-backed contributions'!$C$7&lt;3,'Reconciliation report'!$E972&lt;&gt;""),ErrorMsgs!$C972)</f>
        <v>0</v>
      </c>
      <c r="M972" s="712" t="b">
        <f ca="1">IF(AND('Asset-backed contributions'!$C$7&gt;=3,'Reconciliation report'!$E972=""),ErrorMsgs!$D972)</f>
        <v>0</v>
      </c>
      <c r="N972" s="712" t="b">
        <f ca="1">IF($E972="",FALSE,IF(ISERROR(VALUE($E972)),ErrorMsgs!$E972,IF(OR(VALUE($E972)-ROUND(VALUE($E972),2)&lt;&gt;0,VALUE($E972)&lt;0,VALUE($E972)&gt;=1000000000000),ErrorMsgs!$E972)))</f>
        <v>0</v>
      </c>
      <c r="O972" s="712"/>
      <c r="P972" s="712"/>
      <c r="Q972" s="712"/>
      <c r="R972" s="712"/>
      <c r="S972" s="712"/>
      <c r="T972" s="712"/>
      <c r="U972" s="526" t="str">
        <f t="shared" ca="1" si="135"/>
        <v/>
      </c>
      <c r="V972" s="93" t="str" cm="1">
        <f t="array" aca="1" ref="V972" ca="1">CELL("format",INDIRECT(I972))</f>
        <v>C2</v>
      </c>
      <c r="W972" s="93" t="b">
        <f t="shared" ca="1" si="136"/>
        <v>0</v>
      </c>
      <c r="X972" s="715" t="str">
        <f t="shared" ca="1" si="134"/>
        <v/>
      </c>
      <c r="Y972" t="b">
        <f t="shared" ca="1" si="137"/>
        <v>1</v>
      </c>
    </row>
    <row r="973" spans="1:25" ht="77.5">
      <c r="A973" s="705" t="s">
        <v>3619</v>
      </c>
      <c r="B973" s="716" t="str">
        <f t="shared" ca="1" si="131"/>
        <v>ABC income stream - E15</v>
      </c>
      <c r="C973" s="707" t="str" cm="1">
        <f t="array" aca="1" ref="C973" ca="1">INDIRECT(LEFT(I973, FIND("!", I973)) &amp; RefData!$C$426 &amp; RIGHT(I973, LEN(I973) - FIND("!", I973) - 1))</f>
        <v xml:space="preserve">
No answer required
Year 8
</v>
      </c>
      <c r="D973" s="92" t="str">
        <f t="shared" ca="1" si="138"/>
        <v/>
      </c>
      <c r="E973" s="708" t="str" cm="1">
        <f t="array" aca="1" ref="E973" ca="1">IF(INDIRECT($I973)= "", "", INDIRECT($I973))</f>
        <v/>
      </c>
      <c r="F973" s="709" t="str" cm="1">
        <f t="array" aca="1" ref="F973" ca="1">SUBSTITUTE(INDIRECT(LEFT(I973, FIND("!", I973)) &amp; RefData!$C$427 &amp; RIGHT(I973, LEN(I973) - FIND("!", I973) - 1)), "/1-5", "/3")</f>
        <v>AIS 8.0/3</v>
      </c>
      <c r="G973" s="710" t="b">
        <f ca="1">IF(ISNUMBER(SEARCH(RefData!$B$2, $C973)), FALSE, TRUE)</f>
        <v>0</v>
      </c>
      <c r="H973" s="344">
        <f>'ABC income stream'!E15</f>
        <v>0</v>
      </c>
      <c r="I973" s="712" t="str">
        <f t="shared" ca="1" si="132"/>
        <v>'ABC income stream'!E15</v>
      </c>
      <c r="J973" s="713" t="b" cm="1">
        <f t="array" aca="1" ref="J973" ca="1">IF(COUNTIF($K973:$T973, "&lt;&gt;FALSE") - COUNTBLANK($K973:$T973) &gt; 0, INDEX($K973:$T973, MATCH(TRUE, $K973:$T973 &lt;&gt; FALSE, 0)))</f>
        <v>0</v>
      </c>
      <c r="K973" s="712" t="b">
        <f ca="1">IF(AND('Asset-backed contributions'!$C$7=0,'Reconciliation report'!$E973&lt;&gt;""),ErrorMsgs!$B973)</f>
        <v>0</v>
      </c>
      <c r="L973" s="712" t="b">
        <f ca="1">IF(AND('Asset-backed contributions'!$C$7&lt;3,'Reconciliation report'!$E973&lt;&gt;""),ErrorMsgs!$C973)</f>
        <v>0</v>
      </c>
      <c r="M973" s="712" t="b">
        <f ca="1">IF(AND('Asset-backed contributions'!$C$7&gt;=3,'Reconciliation report'!$E973=""),ErrorMsgs!$D973)</f>
        <v>0</v>
      </c>
      <c r="N973" s="712" t="b">
        <f ca="1">IF($E973="",FALSE,IF(ISERROR(VALUE($E973)),ErrorMsgs!$E973,IF(OR(VALUE($E973)-ROUND(VALUE($E973),2)&lt;&gt;0,VALUE($E973)&lt;0,VALUE($E973)&gt;=1000000000000),ErrorMsgs!$E973)))</f>
        <v>0</v>
      </c>
      <c r="O973" s="712"/>
      <c r="P973" s="712"/>
      <c r="Q973" s="712"/>
      <c r="R973" s="712"/>
      <c r="S973" s="712"/>
      <c r="T973" s="712"/>
      <c r="U973" s="526" t="str">
        <f t="shared" ca="1" si="135"/>
        <v/>
      </c>
      <c r="V973" s="93" t="str" cm="1">
        <f t="array" aca="1" ref="V973" ca="1">CELL("format",INDIRECT(I973))</f>
        <v>C2</v>
      </c>
      <c r="W973" s="93" t="b">
        <f t="shared" ca="1" si="136"/>
        <v>0</v>
      </c>
      <c r="X973" s="715" t="str">
        <f t="shared" ca="1" si="134"/>
        <v/>
      </c>
      <c r="Y973" t="b">
        <f t="shared" ca="1" si="137"/>
        <v>1</v>
      </c>
    </row>
    <row r="974" spans="1:25" ht="77.5">
      <c r="A974" s="705" t="s">
        <v>3620</v>
      </c>
      <c r="B974" s="716" t="str">
        <f t="shared" ca="1" si="131"/>
        <v>ABC income stream - E16</v>
      </c>
      <c r="C974" s="707" t="str" cm="1">
        <f t="array" aca="1" ref="C974" ca="1">INDIRECT(LEFT(I974, FIND("!", I974)) &amp; RefData!$C$426 &amp; RIGHT(I974, LEN(I974) - FIND("!", I974) - 1))</f>
        <v xml:space="preserve">
No answer required
Year 9
</v>
      </c>
      <c r="D974" s="92" t="str">
        <f t="shared" ca="1" si="138"/>
        <v/>
      </c>
      <c r="E974" s="708" t="str" cm="1">
        <f t="array" aca="1" ref="E974" ca="1">IF(INDIRECT($I974)= "", "", INDIRECT($I974))</f>
        <v/>
      </c>
      <c r="F974" s="709" t="str" cm="1">
        <f t="array" aca="1" ref="F974" ca="1">SUBSTITUTE(INDIRECT(LEFT(I974, FIND("!", I974)) &amp; RefData!$C$427 &amp; RIGHT(I974, LEN(I974) - FIND("!", I974) - 1)), "/1-5", "/3")</f>
        <v>AIS 9.0/3</v>
      </c>
      <c r="G974" s="710" t="b">
        <f ca="1">IF(ISNUMBER(SEARCH(RefData!$B$2, $C974)), FALSE, TRUE)</f>
        <v>0</v>
      </c>
      <c r="H974" s="344">
        <f>'ABC income stream'!E16</f>
        <v>0</v>
      </c>
      <c r="I974" s="712" t="str">
        <f t="shared" ca="1" si="132"/>
        <v>'ABC income stream'!E16</v>
      </c>
      <c r="J974" s="713" t="b" cm="1">
        <f t="array" aca="1" ref="J974" ca="1">IF(COUNTIF($K974:$T974, "&lt;&gt;FALSE") - COUNTBLANK($K974:$T974) &gt; 0, INDEX($K974:$T974, MATCH(TRUE, $K974:$T974 &lt;&gt; FALSE, 0)))</f>
        <v>0</v>
      </c>
      <c r="K974" s="712" t="b">
        <f ca="1">IF(AND('Asset-backed contributions'!$C$7=0,'Reconciliation report'!$E974&lt;&gt;""),ErrorMsgs!$B974)</f>
        <v>0</v>
      </c>
      <c r="L974" s="712" t="b">
        <f ca="1">IF(AND('Asset-backed contributions'!$C$7&lt;3,'Reconciliation report'!$E974&lt;&gt;""),ErrorMsgs!$C974)</f>
        <v>0</v>
      </c>
      <c r="M974" s="712" t="b">
        <f ca="1">IF(AND('Asset-backed contributions'!$C$7&gt;=3,'Reconciliation report'!$E974=""),ErrorMsgs!$D974)</f>
        <v>0</v>
      </c>
      <c r="N974" s="712" t="b">
        <f ca="1">IF($E974="",FALSE,IF(ISERROR(VALUE($E974)),ErrorMsgs!$E974,IF(OR(VALUE($E974)-ROUND(VALUE($E974),2)&lt;&gt;0,VALUE($E974)&lt;0,VALUE($E974)&gt;=1000000000000),ErrorMsgs!$E974)))</f>
        <v>0</v>
      </c>
      <c r="O974" s="712"/>
      <c r="P974" s="712"/>
      <c r="Q974" s="712"/>
      <c r="R974" s="712"/>
      <c r="S974" s="712"/>
      <c r="T974" s="712"/>
      <c r="U974" s="526" t="str">
        <f t="shared" ca="1" si="135"/>
        <v/>
      </c>
      <c r="V974" s="93" t="str" cm="1">
        <f t="array" aca="1" ref="V974" ca="1">CELL("format",INDIRECT(I974))</f>
        <v>C2</v>
      </c>
      <c r="W974" s="93" t="b">
        <f t="shared" ca="1" si="136"/>
        <v>0</v>
      </c>
      <c r="X974" s="715" t="str">
        <f t="shared" ca="1" si="134"/>
        <v/>
      </c>
      <c r="Y974" t="b">
        <f t="shared" ca="1" si="137"/>
        <v>1</v>
      </c>
    </row>
    <row r="975" spans="1:25" ht="77.5">
      <c r="A975" s="705" t="s">
        <v>3621</v>
      </c>
      <c r="B975" s="716" t="str">
        <f t="shared" ca="1" si="131"/>
        <v>ABC income stream - E17</v>
      </c>
      <c r="C975" s="707" t="str" cm="1">
        <f t="array" aca="1" ref="C975" ca="1">INDIRECT(LEFT(I975, FIND("!", I975)) &amp; RefData!$C$426 &amp; RIGHT(I975, LEN(I975) - FIND("!", I975) - 1))</f>
        <v xml:space="preserve">
No answer required
Year 10
</v>
      </c>
      <c r="D975" s="92" t="str">
        <f t="shared" ca="1" si="138"/>
        <v/>
      </c>
      <c r="E975" s="708" t="str" cm="1">
        <f t="array" aca="1" ref="E975" ca="1">IF(INDIRECT($I975)= "", "", INDIRECT($I975))</f>
        <v/>
      </c>
      <c r="F975" s="709" t="str" cm="1">
        <f t="array" aca="1" ref="F975" ca="1">SUBSTITUTE(INDIRECT(LEFT(I975, FIND("!", I975)) &amp; RefData!$C$427 &amp; RIGHT(I975, LEN(I975) - FIND("!", I975) - 1)), "/1-5", "/3")</f>
        <v>AIS 10.0/3</v>
      </c>
      <c r="G975" s="710" t="b">
        <f ca="1">IF(ISNUMBER(SEARCH(RefData!$B$2, $C975)), FALSE, TRUE)</f>
        <v>0</v>
      </c>
      <c r="H975" s="344">
        <f>'ABC income stream'!E17</f>
        <v>0</v>
      </c>
      <c r="I975" s="712" t="str">
        <f t="shared" ca="1" si="132"/>
        <v>'ABC income stream'!E17</v>
      </c>
      <c r="J975" s="713" t="b" cm="1">
        <f t="array" aca="1" ref="J975" ca="1">IF(COUNTIF($K975:$T975, "&lt;&gt;FALSE") - COUNTBLANK($K975:$T975) &gt; 0, INDEX($K975:$T975, MATCH(TRUE, $K975:$T975 &lt;&gt; FALSE, 0)))</f>
        <v>0</v>
      </c>
      <c r="K975" s="712" t="b">
        <f ca="1">IF(AND('Asset-backed contributions'!$C$7=0,'Reconciliation report'!$E975&lt;&gt;""),ErrorMsgs!$B975)</f>
        <v>0</v>
      </c>
      <c r="L975" s="712" t="b">
        <f ca="1">IF(AND('Asset-backed contributions'!$C$7&lt;3,'Reconciliation report'!$E975&lt;&gt;""),ErrorMsgs!$C975)</f>
        <v>0</v>
      </c>
      <c r="M975" s="712" t="b">
        <f ca="1">IF(AND('Asset-backed contributions'!$C$7&gt;=3,'Reconciliation report'!$E975=""),ErrorMsgs!$D975)</f>
        <v>0</v>
      </c>
      <c r="N975" s="712" t="b">
        <f ca="1">IF($E975="",FALSE,IF(ISERROR(VALUE($E975)),ErrorMsgs!$E975,IF(OR(VALUE($E975)-ROUND(VALUE($E975),2)&lt;&gt;0,VALUE($E975)&lt;0,VALUE($E975)&gt;=1000000000000),ErrorMsgs!$E975)))</f>
        <v>0</v>
      </c>
      <c r="O975" s="712"/>
      <c r="P975" s="712"/>
      <c r="Q975" s="712"/>
      <c r="R975" s="712"/>
      <c r="S975" s="712"/>
      <c r="T975" s="712"/>
      <c r="U975" s="526" t="str">
        <f t="shared" ca="1" si="135"/>
        <v/>
      </c>
      <c r="V975" s="93" t="str" cm="1">
        <f t="array" aca="1" ref="V975" ca="1">CELL("format",INDIRECT(I975))</f>
        <v>C2</v>
      </c>
      <c r="W975" s="93" t="b">
        <f t="shared" ca="1" si="136"/>
        <v>0</v>
      </c>
      <c r="X975" s="715" t="str">
        <f t="shared" ca="1" si="134"/>
        <v/>
      </c>
      <c r="Y975" t="b">
        <f t="shared" ca="1" si="137"/>
        <v>1</v>
      </c>
    </row>
    <row r="976" spans="1:25" ht="77.5">
      <c r="A976" s="705" t="s">
        <v>3622</v>
      </c>
      <c r="B976" s="716" t="str">
        <f t="shared" ca="1" si="131"/>
        <v>ABC income stream - E18</v>
      </c>
      <c r="C976" s="707" t="str" cm="1">
        <f t="array" aca="1" ref="C976" ca="1">INDIRECT(LEFT(I976, FIND("!", I976)) &amp; RefData!$C$426 &amp; RIGHT(I976, LEN(I976) - FIND("!", I976) - 1))</f>
        <v xml:space="preserve">
No answer required
Year 11
</v>
      </c>
      <c r="D976" s="92" t="str">
        <f t="shared" ca="1" si="138"/>
        <v/>
      </c>
      <c r="E976" s="708" t="str" cm="1">
        <f t="array" aca="1" ref="E976" ca="1">IF(INDIRECT($I976)= "", "", INDIRECT($I976))</f>
        <v/>
      </c>
      <c r="F976" s="709" t="str" cm="1">
        <f t="array" aca="1" ref="F976" ca="1">SUBSTITUTE(INDIRECT(LEFT(I976, FIND("!", I976)) &amp; RefData!$C$427 &amp; RIGHT(I976, LEN(I976) - FIND("!", I976) - 1)), "/1-5", "/3")</f>
        <v>AIS 11.0/3</v>
      </c>
      <c r="G976" s="710" t="b">
        <f ca="1">IF(ISNUMBER(SEARCH(RefData!$B$2, $C976)), FALSE, TRUE)</f>
        <v>0</v>
      </c>
      <c r="H976" s="344">
        <f>'ABC income stream'!E18</f>
        <v>0</v>
      </c>
      <c r="I976" s="712" t="str">
        <f t="shared" ca="1" si="132"/>
        <v>'ABC income stream'!E18</v>
      </c>
      <c r="J976" s="713" t="b" cm="1">
        <f t="array" aca="1" ref="J976" ca="1">IF(COUNTIF($K976:$T976, "&lt;&gt;FALSE") - COUNTBLANK($K976:$T976) &gt; 0, INDEX($K976:$T976, MATCH(TRUE, $K976:$T976 &lt;&gt; FALSE, 0)))</f>
        <v>0</v>
      </c>
      <c r="K976" s="712" t="b">
        <f ca="1">IF(AND('Asset-backed contributions'!$C$7=0,'Reconciliation report'!$E976&lt;&gt;""),ErrorMsgs!$B976)</f>
        <v>0</v>
      </c>
      <c r="L976" s="712" t="b">
        <f ca="1">IF(AND('Asset-backed contributions'!$C$7&lt;3,'Reconciliation report'!$E976&lt;&gt;""),ErrorMsgs!$C976)</f>
        <v>0</v>
      </c>
      <c r="M976" s="712" t="b">
        <f ca="1">IF(AND('Asset-backed contributions'!$C$7&gt;=3,'Reconciliation report'!$E976=""),ErrorMsgs!$D976)</f>
        <v>0</v>
      </c>
      <c r="N976" s="712" t="b">
        <f ca="1">IF($E976="",FALSE,IF(ISERROR(VALUE($E976)),ErrorMsgs!$E976,IF(OR(VALUE($E976)-ROUND(VALUE($E976),2)&lt;&gt;0,VALUE($E976)&lt;0,VALUE($E976)&gt;=1000000000000),ErrorMsgs!$E976)))</f>
        <v>0</v>
      </c>
      <c r="O976" s="712"/>
      <c r="P976" s="712"/>
      <c r="Q976" s="712"/>
      <c r="R976" s="712"/>
      <c r="S976" s="712"/>
      <c r="T976" s="712"/>
      <c r="U976" s="526" t="str">
        <f t="shared" ca="1" si="135"/>
        <v/>
      </c>
      <c r="V976" s="93" t="str" cm="1">
        <f t="array" aca="1" ref="V976" ca="1">CELL("format",INDIRECT(I976))</f>
        <v>C2</v>
      </c>
      <c r="W976" s="93" t="b">
        <f t="shared" ca="1" si="136"/>
        <v>0</v>
      </c>
      <c r="X976" s="715" t="str">
        <f t="shared" ca="1" si="134"/>
        <v/>
      </c>
      <c r="Y976" t="b">
        <f t="shared" ca="1" si="137"/>
        <v>1</v>
      </c>
    </row>
    <row r="977" spans="1:25" ht="77.5">
      <c r="A977" s="705" t="s">
        <v>3623</v>
      </c>
      <c r="B977" s="716" t="str">
        <f t="shared" ca="1" si="131"/>
        <v>ABC income stream - E19</v>
      </c>
      <c r="C977" s="707" t="str" cm="1">
        <f t="array" aca="1" ref="C977" ca="1">INDIRECT(LEFT(I977, FIND("!", I977)) &amp; RefData!$C$426 &amp; RIGHT(I977, LEN(I977) - FIND("!", I977) - 1))</f>
        <v xml:space="preserve">
No answer required
Year 12
</v>
      </c>
      <c r="D977" s="92" t="str">
        <f t="shared" ca="1" si="138"/>
        <v/>
      </c>
      <c r="E977" s="708" t="str" cm="1">
        <f t="array" aca="1" ref="E977" ca="1">IF(INDIRECT($I977)= "", "", INDIRECT($I977))</f>
        <v/>
      </c>
      <c r="F977" s="709" t="str" cm="1">
        <f t="array" aca="1" ref="F977" ca="1">SUBSTITUTE(INDIRECT(LEFT(I977, FIND("!", I977)) &amp; RefData!$C$427 &amp; RIGHT(I977, LEN(I977) - FIND("!", I977) - 1)), "/1-5", "/3")</f>
        <v>AIS 12.0/3</v>
      </c>
      <c r="G977" s="710" t="b">
        <f ca="1">IF(ISNUMBER(SEARCH(RefData!$B$2, $C977)), FALSE, TRUE)</f>
        <v>0</v>
      </c>
      <c r="H977" s="344">
        <f>'ABC income stream'!E19</f>
        <v>0</v>
      </c>
      <c r="I977" s="712" t="str">
        <f t="shared" ca="1" si="132"/>
        <v>'ABC income stream'!E19</v>
      </c>
      <c r="J977" s="713" t="b" cm="1">
        <f t="array" aca="1" ref="J977" ca="1">IF(COUNTIF($K977:$T977, "&lt;&gt;FALSE") - COUNTBLANK($K977:$T977) &gt; 0, INDEX($K977:$T977, MATCH(TRUE, $K977:$T977 &lt;&gt; FALSE, 0)))</f>
        <v>0</v>
      </c>
      <c r="K977" s="712" t="b">
        <f ca="1">IF(AND('Asset-backed contributions'!$C$7=0,'Reconciliation report'!$E977&lt;&gt;""),ErrorMsgs!$B977)</f>
        <v>0</v>
      </c>
      <c r="L977" s="712" t="b">
        <f ca="1">IF(AND('Asset-backed contributions'!$C$7&lt;3,'Reconciliation report'!$E977&lt;&gt;""),ErrorMsgs!$C977)</f>
        <v>0</v>
      </c>
      <c r="M977" s="712" t="b">
        <f ca="1">IF(AND('Asset-backed contributions'!$C$7&gt;=3,'Reconciliation report'!$E977=""),ErrorMsgs!$D977)</f>
        <v>0</v>
      </c>
      <c r="N977" s="712" t="b">
        <f ca="1">IF($E977="",FALSE,IF(ISERROR(VALUE($E977)),ErrorMsgs!$E977,IF(OR(VALUE($E977)-ROUND(VALUE($E977),2)&lt;&gt;0,VALUE($E977)&lt;0,VALUE($E977)&gt;=1000000000000),ErrorMsgs!$E977)))</f>
        <v>0</v>
      </c>
      <c r="O977" s="712"/>
      <c r="P977" s="712"/>
      <c r="Q977" s="712"/>
      <c r="R977" s="712"/>
      <c r="S977" s="712"/>
      <c r="T977" s="712"/>
      <c r="U977" s="526" t="str">
        <f t="shared" ca="1" si="135"/>
        <v/>
      </c>
      <c r="V977" s="93" t="str" cm="1">
        <f t="array" aca="1" ref="V977" ca="1">CELL("format",INDIRECT(I977))</f>
        <v>C2</v>
      </c>
      <c r="W977" s="93" t="b">
        <f t="shared" ca="1" si="136"/>
        <v>0</v>
      </c>
      <c r="X977" s="715" t="str">
        <f t="shared" ca="1" si="134"/>
        <v/>
      </c>
      <c r="Y977" t="b">
        <f t="shared" ca="1" si="137"/>
        <v>1</v>
      </c>
    </row>
    <row r="978" spans="1:25" ht="77.5">
      <c r="A978" s="705" t="s">
        <v>3624</v>
      </c>
      <c r="B978" s="716" t="str">
        <f t="shared" ca="1" si="131"/>
        <v>ABC income stream - E20</v>
      </c>
      <c r="C978" s="707" t="str" cm="1">
        <f t="array" aca="1" ref="C978" ca="1">INDIRECT(LEFT(I978, FIND("!", I978)) &amp; RefData!$C$426 &amp; RIGHT(I978, LEN(I978) - FIND("!", I978) - 1))</f>
        <v xml:space="preserve">
No answer required
Year 13
</v>
      </c>
      <c r="D978" s="92" t="str">
        <f t="shared" ca="1" si="138"/>
        <v/>
      </c>
      <c r="E978" s="708" t="str" cm="1">
        <f t="array" aca="1" ref="E978" ca="1">IF(INDIRECT($I978)= "", "", INDIRECT($I978))</f>
        <v/>
      </c>
      <c r="F978" s="709" t="str" cm="1">
        <f t="array" aca="1" ref="F978" ca="1">SUBSTITUTE(INDIRECT(LEFT(I978, FIND("!", I978)) &amp; RefData!$C$427 &amp; RIGHT(I978, LEN(I978) - FIND("!", I978) - 1)), "/1-5", "/3")</f>
        <v>AIS 13.0/3</v>
      </c>
      <c r="G978" s="710" t="b">
        <f ca="1">IF(ISNUMBER(SEARCH(RefData!$B$2, $C978)), FALSE, TRUE)</f>
        <v>0</v>
      </c>
      <c r="H978" s="344">
        <f>'ABC income stream'!E20</f>
        <v>0</v>
      </c>
      <c r="I978" s="712" t="str">
        <f t="shared" ca="1" si="132"/>
        <v>'ABC income stream'!E20</v>
      </c>
      <c r="J978" s="713" t="b" cm="1">
        <f t="array" aca="1" ref="J978" ca="1">IF(COUNTIF($K978:$T978, "&lt;&gt;FALSE") - COUNTBLANK($K978:$T978) &gt; 0, INDEX($K978:$T978, MATCH(TRUE, $K978:$T978 &lt;&gt; FALSE, 0)))</f>
        <v>0</v>
      </c>
      <c r="K978" s="712" t="b">
        <f ca="1">IF(AND('Asset-backed contributions'!$C$7=0,'Reconciliation report'!$E978&lt;&gt;""),ErrorMsgs!$B978)</f>
        <v>0</v>
      </c>
      <c r="L978" s="712" t="b">
        <f ca="1">IF(AND('Asset-backed contributions'!$C$7&lt;3,'Reconciliation report'!$E978&lt;&gt;""),ErrorMsgs!$C978)</f>
        <v>0</v>
      </c>
      <c r="M978" s="712" t="b">
        <f ca="1">IF(AND('Asset-backed contributions'!$C$7&gt;=3,'Reconciliation report'!$E978=""),ErrorMsgs!$D978)</f>
        <v>0</v>
      </c>
      <c r="N978" s="712" t="b">
        <f ca="1">IF($E978="",FALSE,IF(ISERROR(VALUE($E978)),ErrorMsgs!$E978,IF(OR(VALUE($E978)-ROUND(VALUE($E978),2)&lt;&gt;0,VALUE($E978)&lt;0,VALUE($E978)&gt;=1000000000000),ErrorMsgs!$E978)))</f>
        <v>0</v>
      </c>
      <c r="O978" s="712"/>
      <c r="P978" s="712"/>
      <c r="Q978" s="712"/>
      <c r="R978" s="712"/>
      <c r="S978" s="712"/>
      <c r="T978" s="712"/>
      <c r="U978" s="526" t="str">
        <f t="shared" ca="1" si="135"/>
        <v/>
      </c>
      <c r="V978" s="93" t="str" cm="1">
        <f t="array" aca="1" ref="V978" ca="1">CELL("format",INDIRECT(I978))</f>
        <v>C2</v>
      </c>
      <c r="W978" s="93" t="b">
        <f t="shared" ca="1" si="136"/>
        <v>0</v>
      </c>
      <c r="X978" s="715" t="str">
        <f t="shared" ca="1" si="134"/>
        <v/>
      </c>
      <c r="Y978" t="b">
        <f t="shared" ca="1" si="137"/>
        <v>1</v>
      </c>
    </row>
    <row r="979" spans="1:25" ht="77.5">
      <c r="A979" s="705" t="s">
        <v>3625</v>
      </c>
      <c r="B979" s="716" t="str">
        <f t="shared" ca="1" si="131"/>
        <v>ABC income stream - E21</v>
      </c>
      <c r="C979" s="707" t="str" cm="1">
        <f t="array" aca="1" ref="C979" ca="1">INDIRECT(LEFT(I979, FIND("!", I979)) &amp; RefData!$C$426 &amp; RIGHT(I979, LEN(I979) - FIND("!", I979) - 1))</f>
        <v xml:space="preserve">
No answer required
Year 14
</v>
      </c>
      <c r="D979" s="92" t="str">
        <f t="shared" ca="1" si="138"/>
        <v/>
      </c>
      <c r="E979" s="708" t="str" cm="1">
        <f t="array" aca="1" ref="E979" ca="1">IF(INDIRECT($I979)= "", "", INDIRECT($I979))</f>
        <v/>
      </c>
      <c r="F979" s="709" t="str" cm="1">
        <f t="array" aca="1" ref="F979" ca="1">SUBSTITUTE(INDIRECT(LEFT(I979, FIND("!", I979)) &amp; RefData!$C$427 &amp; RIGHT(I979, LEN(I979) - FIND("!", I979) - 1)), "/1-5", "/3")</f>
        <v>AIS 14.0/3</v>
      </c>
      <c r="G979" s="710" t="b">
        <f ca="1">IF(ISNUMBER(SEARCH(RefData!$B$2, $C979)), FALSE, TRUE)</f>
        <v>0</v>
      </c>
      <c r="H979" s="344">
        <f>'ABC income stream'!E21</f>
        <v>0</v>
      </c>
      <c r="I979" s="712" t="str">
        <f t="shared" ca="1" si="132"/>
        <v>'ABC income stream'!E21</v>
      </c>
      <c r="J979" s="713" t="b" cm="1">
        <f t="array" aca="1" ref="J979" ca="1">IF(COUNTIF($K979:$T979, "&lt;&gt;FALSE") - COUNTBLANK($K979:$T979) &gt; 0, INDEX($K979:$T979, MATCH(TRUE, $K979:$T979 &lt;&gt; FALSE, 0)))</f>
        <v>0</v>
      </c>
      <c r="K979" s="712" t="b">
        <f ca="1">IF(AND('Asset-backed contributions'!$C$7=0,'Reconciliation report'!$E979&lt;&gt;""),ErrorMsgs!$B979)</f>
        <v>0</v>
      </c>
      <c r="L979" s="712" t="b">
        <f ca="1">IF(AND('Asset-backed contributions'!$C$7&lt;3,'Reconciliation report'!$E979&lt;&gt;""),ErrorMsgs!$C979)</f>
        <v>0</v>
      </c>
      <c r="M979" s="712" t="b">
        <f ca="1">IF(AND('Asset-backed contributions'!$C$7&gt;=3,'Reconciliation report'!$E979=""),ErrorMsgs!$D979)</f>
        <v>0</v>
      </c>
      <c r="N979" s="712" t="b">
        <f ca="1">IF($E979="",FALSE,IF(ISERROR(VALUE($E979)),ErrorMsgs!$E979,IF(OR(VALUE($E979)-ROUND(VALUE($E979),2)&lt;&gt;0,VALUE($E979)&lt;0,VALUE($E979)&gt;=1000000000000),ErrorMsgs!$E979)))</f>
        <v>0</v>
      </c>
      <c r="O979" s="712"/>
      <c r="P979" s="712"/>
      <c r="Q979" s="712"/>
      <c r="R979" s="712"/>
      <c r="S979" s="712"/>
      <c r="T979" s="712"/>
      <c r="U979" s="526" t="str">
        <f t="shared" ca="1" si="135"/>
        <v/>
      </c>
      <c r="V979" s="93" t="str" cm="1">
        <f t="array" aca="1" ref="V979" ca="1">CELL("format",INDIRECT(I979))</f>
        <v>C2</v>
      </c>
      <c r="W979" s="93" t="b">
        <f t="shared" ca="1" si="136"/>
        <v>0</v>
      </c>
      <c r="X979" s="715" t="str">
        <f t="shared" ca="1" si="134"/>
        <v/>
      </c>
      <c r="Y979" t="b">
        <f t="shared" ca="1" si="137"/>
        <v>1</v>
      </c>
    </row>
    <row r="980" spans="1:25" ht="77.5">
      <c r="A980" s="705" t="s">
        <v>3626</v>
      </c>
      <c r="B980" s="716" t="str">
        <f t="shared" ca="1" si="131"/>
        <v>ABC income stream - E22</v>
      </c>
      <c r="C980" s="707" t="str" cm="1">
        <f t="array" aca="1" ref="C980" ca="1">INDIRECT(LEFT(I980, FIND("!", I980)) &amp; RefData!$C$426 &amp; RIGHT(I980, LEN(I980) - FIND("!", I980) - 1))</f>
        <v xml:space="preserve">
No answer required
Year 15
</v>
      </c>
      <c r="D980" s="92" t="str">
        <f t="shared" ca="1" si="138"/>
        <v/>
      </c>
      <c r="E980" s="708" t="str" cm="1">
        <f t="array" aca="1" ref="E980" ca="1">IF(INDIRECT($I980)= "", "", INDIRECT($I980))</f>
        <v/>
      </c>
      <c r="F980" s="709" t="str" cm="1">
        <f t="array" aca="1" ref="F980" ca="1">SUBSTITUTE(INDIRECT(LEFT(I980, FIND("!", I980)) &amp; RefData!$C$427 &amp; RIGHT(I980, LEN(I980) - FIND("!", I980) - 1)), "/1-5", "/3")</f>
        <v>AIS 15.0/3</v>
      </c>
      <c r="G980" s="710" t="b">
        <f ca="1">IF(ISNUMBER(SEARCH(RefData!$B$2, $C980)), FALSE, TRUE)</f>
        <v>0</v>
      </c>
      <c r="H980" s="344">
        <f>'ABC income stream'!E22</f>
        <v>0</v>
      </c>
      <c r="I980" s="712" t="str">
        <f t="shared" ca="1" si="132"/>
        <v>'ABC income stream'!E22</v>
      </c>
      <c r="J980" s="713" t="b" cm="1">
        <f t="array" aca="1" ref="J980" ca="1">IF(COUNTIF($K980:$T980, "&lt;&gt;FALSE") - COUNTBLANK($K980:$T980) &gt; 0, INDEX($K980:$T980, MATCH(TRUE, $K980:$T980 &lt;&gt; FALSE, 0)))</f>
        <v>0</v>
      </c>
      <c r="K980" s="712" t="b">
        <f ca="1">IF(AND('Asset-backed contributions'!$C$7=0,'Reconciliation report'!$E980&lt;&gt;""),ErrorMsgs!$B980)</f>
        <v>0</v>
      </c>
      <c r="L980" s="712" t="b">
        <f ca="1">IF(AND('Asset-backed contributions'!$C$7&lt;3,'Reconciliation report'!$E980&lt;&gt;""),ErrorMsgs!$C980)</f>
        <v>0</v>
      </c>
      <c r="M980" s="712" t="b">
        <f ca="1">IF(AND('Asset-backed contributions'!$C$7&gt;=3,'Reconciliation report'!$E980=""),ErrorMsgs!$D980)</f>
        <v>0</v>
      </c>
      <c r="N980" s="712" t="b">
        <f ca="1">IF($E980="",FALSE,IF(ISERROR(VALUE($E980)),ErrorMsgs!$E980,IF(OR(VALUE($E980)-ROUND(VALUE($E980),2)&lt;&gt;0,VALUE($E980)&lt;0,VALUE($E980)&gt;=1000000000000),ErrorMsgs!$E980)))</f>
        <v>0</v>
      </c>
      <c r="O980" s="712"/>
      <c r="P980" s="712"/>
      <c r="Q980" s="712"/>
      <c r="R980" s="712"/>
      <c r="S980" s="712"/>
      <c r="T980" s="712"/>
      <c r="U980" s="526" t="str">
        <f t="shared" ca="1" si="135"/>
        <v/>
      </c>
      <c r="V980" s="93" t="str" cm="1">
        <f t="array" aca="1" ref="V980" ca="1">CELL("format",INDIRECT(I980))</f>
        <v>C2</v>
      </c>
      <c r="W980" s="93" t="b">
        <f t="shared" ca="1" si="136"/>
        <v>0</v>
      </c>
      <c r="X980" s="715" t="str">
        <f t="shared" ca="1" si="134"/>
        <v/>
      </c>
      <c r="Y980" t="b">
        <f t="shared" ca="1" si="137"/>
        <v>1</v>
      </c>
    </row>
    <row r="981" spans="1:25" ht="77.5">
      <c r="A981" s="705" t="s">
        <v>3627</v>
      </c>
      <c r="B981" s="716" t="str">
        <f t="shared" ca="1" si="131"/>
        <v>ABC income stream - E23</v>
      </c>
      <c r="C981" s="707" t="str" cm="1">
        <f t="array" aca="1" ref="C981" ca="1">INDIRECT(LEFT(I981, FIND("!", I981)) &amp; RefData!$C$426 &amp; RIGHT(I981, LEN(I981) - FIND("!", I981) - 1))</f>
        <v xml:space="preserve">
No answer required
Year 16
</v>
      </c>
      <c r="D981" s="92" t="str">
        <f t="shared" ca="1" si="138"/>
        <v/>
      </c>
      <c r="E981" s="708" t="str" cm="1">
        <f t="array" aca="1" ref="E981" ca="1">IF(INDIRECT($I981)= "", "", INDIRECT($I981))</f>
        <v/>
      </c>
      <c r="F981" s="709" t="str" cm="1">
        <f t="array" aca="1" ref="F981" ca="1">SUBSTITUTE(INDIRECT(LEFT(I981, FIND("!", I981)) &amp; RefData!$C$427 &amp; RIGHT(I981, LEN(I981) - FIND("!", I981) - 1)), "/1-5", "/3")</f>
        <v>AIS 16.0/3</v>
      </c>
      <c r="G981" s="710" t="b">
        <f ca="1">IF(ISNUMBER(SEARCH(RefData!$B$2, $C981)), FALSE, TRUE)</f>
        <v>0</v>
      </c>
      <c r="H981" s="344">
        <f>'ABC income stream'!E23</f>
        <v>0</v>
      </c>
      <c r="I981" s="712" t="str">
        <f t="shared" ca="1" si="132"/>
        <v>'ABC income stream'!E23</v>
      </c>
      <c r="J981" s="713" t="b" cm="1">
        <f t="array" aca="1" ref="J981" ca="1">IF(COUNTIF($K981:$T981, "&lt;&gt;FALSE") - COUNTBLANK($K981:$T981) &gt; 0, INDEX($K981:$T981, MATCH(TRUE, $K981:$T981 &lt;&gt; FALSE, 0)))</f>
        <v>0</v>
      </c>
      <c r="K981" s="712" t="b">
        <f ca="1">IF(AND('Asset-backed contributions'!$C$7=0,'Reconciliation report'!$E981&lt;&gt;""),ErrorMsgs!$B981)</f>
        <v>0</v>
      </c>
      <c r="L981" s="712" t="b">
        <f ca="1">IF(AND('Asset-backed contributions'!$C$7&lt;3,'Reconciliation report'!$E981&lt;&gt;""),ErrorMsgs!$C981)</f>
        <v>0</v>
      </c>
      <c r="M981" s="712" t="b">
        <f ca="1">IF(AND('Asset-backed contributions'!$C$7&gt;=3,'Reconciliation report'!$E981=""),ErrorMsgs!$D981)</f>
        <v>0</v>
      </c>
      <c r="N981" s="712" t="b">
        <f ca="1">IF($E981="",FALSE,IF(ISERROR(VALUE($E981)),ErrorMsgs!$E981,IF(OR(VALUE($E981)-ROUND(VALUE($E981),2)&lt;&gt;0,VALUE($E981)&lt;0,VALUE($E981)&gt;=1000000000000),ErrorMsgs!$E981)))</f>
        <v>0</v>
      </c>
      <c r="O981" s="712"/>
      <c r="P981" s="712"/>
      <c r="Q981" s="712"/>
      <c r="R981" s="712"/>
      <c r="S981" s="712"/>
      <c r="T981" s="712"/>
      <c r="U981" s="526" t="str">
        <f t="shared" ca="1" si="135"/>
        <v/>
      </c>
      <c r="V981" s="93" t="str" cm="1">
        <f t="array" aca="1" ref="V981" ca="1">CELL("format",INDIRECT(I981))</f>
        <v>C2</v>
      </c>
      <c r="W981" s="93" t="b">
        <f t="shared" ca="1" si="136"/>
        <v>0</v>
      </c>
      <c r="X981" s="715" t="str">
        <f t="shared" ca="1" si="134"/>
        <v/>
      </c>
      <c r="Y981" t="b">
        <f t="shared" ca="1" si="137"/>
        <v>1</v>
      </c>
    </row>
    <row r="982" spans="1:25" ht="77.5">
      <c r="A982" s="705" t="s">
        <v>3628</v>
      </c>
      <c r="B982" s="716" t="str">
        <f t="shared" ca="1" si="131"/>
        <v>ABC income stream - E24</v>
      </c>
      <c r="C982" s="707" t="str" cm="1">
        <f t="array" aca="1" ref="C982" ca="1">INDIRECT(LEFT(I982, FIND("!", I982)) &amp; RefData!$C$426 &amp; RIGHT(I982, LEN(I982) - FIND("!", I982) - 1))</f>
        <v xml:space="preserve">
No answer required
Year 17
</v>
      </c>
      <c r="D982" s="92" t="str">
        <f t="shared" ca="1" si="138"/>
        <v/>
      </c>
      <c r="E982" s="708" t="str" cm="1">
        <f t="array" aca="1" ref="E982" ca="1">IF(INDIRECT($I982)= "", "", INDIRECT($I982))</f>
        <v/>
      </c>
      <c r="F982" s="709" t="str" cm="1">
        <f t="array" aca="1" ref="F982" ca="1">SUBSTITUTE(INDIRECT(LEFT(I982, FIND("!", I982)) &amp; RefData!$C$427 &amp; RIGHT(I982, LEN(I982) - FIND("!", I982) - 1)), "/1-5", "/3")</f>
        <v>AIS 17.0/3</v>
      </c>
      <c r="G982" s="710" t="b">
        <f ca="1">IF(ISNUMBER(SEARCH(RefData!$B$2, $C982)), FALSE, TRUE)</f>
        <v>0</v>
      </c>
      <c r="H982" s="344">
        <f>'ABC income stream'!E24</f>
        <v>0</v>
      </c>
      <c r="I982" s="712" t="str">
        <f t="shared" ca="1" si="132"/>
        <v>'ABC income stream'!E24</v>
      </c>
      <c r="J982" s="713" t="b" cm="1">
        <f t="array" aca="1" ref="J982" ca="1">IF(COUNTIF($K982:$T982, "&lt;&gt;FALSE") - COUNTBLANK($K982:$T982) &gt; 0, INDEX($K982:$T982, MATCH(TRUE, $K982:$T982 &lt;&gt; FALSE, 0)))</f>
        <v>0</v>
      </c>
      <c r="K982" s="712" t="b">
        <f ca="1">IF(AND('Asset-backed contributions'!$C$7=0,'Reconciliation report'!$E982&lt;&gt;""),ErrorMsgs!$B982)</f>
        <v>0</v>
      </c>
      <c r="L982" s="712" t="b">
        <f ca="1">IF(AND('Asset-backed contributions'!$C$7&lt;3,'Reconciliation report'!$E982&lt;&gt;""),ErrorMsgs!$C982)</f>
        <v>0</v>
      </c>
      <c r="M982" s="712" t="b">
        <f ca="1">IF(AND('Asset-backed contributions'!$C$7&gt;=3,'Reconciliation report'!$E982=""),ErrorMsgs!$D982)</f>
        <v>0</v>
      </c>
      <c r="N982" s="712" t="b">
        <f ca="1">IF($E982="",FALSE,IF(ISERROR(VALUE($E982)),ErrorMsgs!$E982,IF(OR(VALUE($E982)-ROUND(VALUE($E982),2)&lt;&gt;0,VALUE($E982)&lt;0,VALUE($E982)&gt;=1000000000000),ErrorMsgs!$E982)))</f>
        <v>0</v>
      </c>
      <c r="O982" s="712"/>
      <c r="P982" s="712"/>
      <c r="Q982" s="712"/>
      <c r="R982" s="712"/>
      <c r="S982" s="712"/>
      <c r="T982" s="712"/>
      <c r="U982" s="526" t="str">
        <f t="shared" ca="1" si="135"/>
        <v/>
      </c>
      <c r="V982" s="93" t="str" cm="1">
        <f t="array" aca="1" ref="V982" ca="1">CELL("format",INDIRECT(I982))</f>
        <v>C2</v>
      </c>
      <c r="W982" s="93" t="b">
        <f t="shared" ca="1" si="136"/>
        <v>0</v>
      </c>
      <c r="X982" s="715" t="str">
        <f t="shared" ca="1" si="134"/>
        <v/>
      </c>
      <c r="Y982" t="b">
        <f t="shared" ca="1" si="137"/>
        <v>1</v>
      </c>
    </row>
    <row r="983" spans="1:25" ht="77.5">
      <c r="A983" s="705" t="s">
        <v>3629</v>
      </c>
      <c r="B983" s="716" t="str">
        <f t="shared" ca="1" si="131"/>
        <v>ABC income stream - E25</v>
      </c>
      <c r="C983" s="707" t="str" cm="1">
        <f t="array" aca="1" ref="C983" ca="1">INDIRECT(LEFT(I983, FIND("!", I983)) &amp; RefData!$C$426 &amp; RIGHT(I983, LEN(I983) - FIND("!", I983) - 1))</f>
        <v xml:space="preserve">
No answer required
Year 18
</v>
      </c>
      <c r="D983" s="92" t="str">
        <f t="shared" ca="1" si="138"/>
        <v/>
      </c>
      <c r="E983" s="708" t="str" cm="1">
        <f t="array" aca="1" ref="E983" ca="1">IF(INDIRECT($I983)= "", "", INDIRECT($I983))</f>
        <v/>
      </c>
      <c r="F983" s="709" t="str" cm="1">
        <f t="array" aca="1" ref="F983" ca="1">SUBSTITUTE(INDIRECT(LEFT(I983, FIND("!", I983)) &amp; RefData!$C$427 &amp; RIGHT(I983, LEN(I983) - FIND("!", I983) - 1)), "/1-5", "/3")</f>
        <v>AIS 18.0/3</v>
      </c>
      <c r="G983" s="710" t="b">
        <f ca="1">IF(ISNUMBER(SEARCH(RefData!$B$2, $C983)), FALSE, TRUE)</f>
        <v>0</v>
      </c>
      <c r="H983" s="344">
        <f>'ABC income stream'!E25</f>
        <v>0</v>
      </c>
      <c r="I983" s="712" t="str">
        <f t="shared" ca="1" si="132"/>
        <v>'ABC income stream'!E25</v>
      </c>
      <c r="J983" s="713" t="b" cm="1">
        <f t="array" aca="1" ref="J983" ca="1">IF(COUNTIF($K983:$T983, "&lt;&gt;FALSE") - COUNTBLANK($K983:$T983) &gt; 0, INDEX($K983:$T983, MATCH(TRUE, $K983:$T983 &lt;&gt; FALSE, 0)))</f>
        <v>0</v>
      </c>
      <c r="K983" s="712" t="b">
        <f ca="1">IF(AND('Asset-backed contributions'!$C$7=0,'Reconciliation report'!$E983&lt;&gt;""),ErrorMsgs!$B983)</f>
        <v>0</v>
      </c>
      <c r="L983" s="712" t="b">
        <f ca="1">IF(AND('Asset-backed contributions'!$C$7&lt;3,'Reconciliation report'!$E983&lt;&gt;""),ErrorMsgs!$C983)</f>
        <v>0</v>
      </c>
      <c r="M983" s="712" t="b">
        <f ca="1">IF(AND('Asset-backed contributions'!$C$7&gt;=3,'Reconciliation report'!$E983=""),ErrorMsgs!$D983)</f>
        <v>0</v>
      </c>
      <c r="N983" s="712" t="b">
        <f ca="1">IF($E983="",FALSE,IF(ISERROR(VALUE($E983)),ErrorMsgs!$E983,IF(OR(VALUE($E983)-ROUND(VALUE($E983),2)&lt;&gt;0,VALUE($E983)&lt;0,VALUE($E983)&gt;=1000000000000),ErrorMsgs!$E983)))</f>
        <v>0</v>
      </c>
      <c r="O983" s="712"/>
      <c r="P983" s="712"/>
      <c r="Q983" s="712"/>
      <c r="R983" s="712"/>
      <c r="S983" s="712"/>
      <c r="T983" s="712"/>
      <c r="U983" s="526" t="str">
        <f t="shared" ca="1" si="135"/>
        <v/>
      </c>
      <c r="V983" s="93" t="str" cm="1">
        <f t="array" aca="1" ref="V983" ca="1">CELL("format",INDIRECT(I983))</f>
        <v>C2</v>
      </c>
      <c r="W983" s="93" t="b">
        <f t="shared" ca="1" si="136"/>
        <v>0</v>
      </c>
      <c r="X983" s="715" t="str">
        <f t="shared" ca="1" si="134"/>
        <v/>
      </c>
      <c r="Y983" t="b">
        <f t="shared" ca="1" si="137"/>
        <v>1</v>
      </c>
    </row>
    <row r="984" spans="1:25" ht="77.5">
      <c r="A984" s="705" t="s">
        <v>3630</v>
      </c>
      <c r="B984" s="716" t="str">
        <f t="shared" ca="1" si="131"/>
        <v>ABC income stream - E26</v>
      </c>
      <c r="C984" s="707" t="str" cm="1">
        <f t="array" aca="1" ref="C984" ca="1">INDIRECT(LEFT(I984, FIND("!", I984)) &amp; RefData!$C$426 &amp; RIGHT(I984, LEN(I984) - FIND("!", I984) - 1))</f>
        <v xml:space="preserve">
No answer required
Year 19
</v>
      </c>
      <c r="D984" s="92" t="str">
        <f t="shared" ca="1" si="138"/>
        <v/>
      </c>
      <c r="E984" s="708" t="str" cm="1">
        <f t="array" aca="1" ref="E984" ca="1">IF(INDIRECT($I984)= "", "", INDIRECT($I984))</f>
        <v/>
      </c>
      <c r="F984" s="709" t="str" cm="1">
        <f t="array" aca="1" ref="F984" ca="1">SUBSTITUTE(INDIRECT(LEFT(I984, FIND("!", I984)) &amp; RefData!$C$427 &amp; RIGHT(I984, LEN(I984) - FIND("!", I984) - 1)), "/1-5", "/3")</f>
        <v>AIS 19.0/3</v>
      </c>
      <c r="G984" s="710" t="b">
        <f ca="1">IF(ISNUMBER(SEARCH(RefData!$B$2, $C984)), FALSE, TRUE)</f>
        <v>0</v>
      </c>
      <c r="H984" s="344">
        <f>'ABC income stream'!E26</f>
        <v>0</v>
      </c>
      <c r="I984" s="712" t="str">
        <f t="shared" ca="1" si="132"/>
        <v>'ABC income stream'!E26</v>
      </c>
      <c r="J984" s="713" t="b" cm="1">
        <f t="array" aca="1" ref="J984" ca="1">IF(COUNTIF($K984:$T984, "&lt;&gt;FALSE") - COUNTBLANK($K984:$T984) &gt; 0, INDEX($K984:$T984, MATCH(TRUE, $K984:$T984 &lt;&gt; FALSE, 0)))</f>
        <v>0</v>
      </c>
      <c r="K984" s="712" t="b">
        <f ca="1">IF(AND('Asset-backed contributions'!$C$7=0,'Reconciliation report'!$E984&lt;&gt;""),ErrorMsgs!$B984)</f>
        <v>0</v>
      </c>
      <c r="L984" s="712" t="b">
        <f ca="1">IF(AND('Asset-backed contributions'!$C$7&lt;3,'Reconciliation report'!$E984&lt;&gt;""),ErrorMsgs!$C984)</f>
        <v>0</v>
      </c>
      <c r="M984" s="712" t="b">
        <f ca="1">IF(AND('Asset-backed contributions'!$C$7&gt;=3,'Reconciliation report'!$E984=""),ErrorMsgs!$D984)</f>
        <v>0</v>
      </c>
      <c r="N984" s="712" t="b">
        <f ca="1">IF($E984="",FALSE,IF(ISERROR(VALUE($E984)),ErrorMsgs!$E984,IF(OR(VALUE($E984)-ROUND(VALUE($E984),2)&lt;&gt;0,VALUE($E984)&lt;0,VALUE($E984)&gt;=1000000000000),ErrorMsgs!$E984)))</f>
        <v>0</v>
      </c>
      <c r="O984" s="712"/>
      <c r="P984" s="712"/>
      <c r="Q984" s="712"/>
      <c r="R984" s="712"/>
      <c r="S984" s="712"/>
      <c r="T984" s="712"/>
      <c r="U984" s="526" t="str">
        <f t="shared" ca="1" si="135"/>
        <v/>
      </c>
      <c r="V984" s="93" t="str" cm="1">
        <f t="array" aca="1" ref="V984" ca="1">CELL("format",INDIRECT(I984))</f>
        <v>C2</v>
      </c>
      <c r="W984" s="93" t="b">
        <f t="shared" ca="1" si="136"/>
        <v>0</v>
      </c>
      <c r="X984" s="715" t="str">
        <f t="shared" ca="1" si="134"/>
        <v/>
      </c>
      <c r="Y984" t="b">
        <f t="shared" ca="1" si="137"/>
        <v>1</v>
      </c>
    </row>
    <row r="985" spans="1:25" ht="77.5">
      <c r="A985" s="705" t="s">
        <v>3631</v>
      </c>
      <c r="B985" s="716" t="str">
        <f t="shared" ca="1" si="131"/>
        <v>ABC income stream - E27</v>
      </c>
      <c r="C985" s="707" t="str" cm="1">
        <f t="array" aca="1" ref="C985" ca="1">INDIRECT(LEFT(I985, FIND("!", I985)) &amp; RefData!$C$426 &amp; RIGHT(I985, LEN(I985) - FIND("!", I985) - 1))</f>
        <v xml:space="preserve">
No answer required
Year 20
</v>
      </c>
      <c r="D985" s="92" t="str">
        <f t="shared" ca="1" si="138"/>
        <v/>
      </c>
      <c r="E985" s="708" t="str" cm="1">
        <f t="array" aca="1" ref="E985" ca="1">IF(INDIRECT($I985)= "", "", INDIRECT($I985))</f>
        <v/>
      </c>
      <c r="F985" s="709" t="str" cm="1">
        <f t="array" aca="1" ref="F985" ca="1">SUBSTITUTE(INDIRECT(LEFT(I985, FIND("!", I985)) &amp; RefData!$C$427 &amp; RIGHT(I985, LEN(I985) - FIND("!", I985) - 1)), "/1-5", "/3")</f>
        <v>AIS 20.0/3</v>
      </c>
      <c r="G985" s="710" t="b">
        <f ca="1">IF(ISNUMBER(SEARCH(RefData!$B$2, $C985)), FALSE, TRUE)</f>
        <v>0</v>
      </c>
      <c r="H985" s="344">
        <f>'ABC income stream'!E27</f>
        <v>0</v>
      </c>
      <c r="I985" s="712" t="str">
        <f t="shared" ca="1" si="132"/>
        <v>'ABC income stream'!E27</v>
      </c>
      <c r="J985" s="713" t="b" cm="1">
        <f t="array" aca="1" ref="J985" ca="1">IF(COUNTIF($K985:$T985, "&lt;&gt;FALSE") - COUNTBLANK($K985:$T985) &gt; 0, INDEX($K985:$T985, MATCH(TRUE, $K985:$T985 &lt;&gt; FALSE, 0)))</f>
        <v>0</v>
      </c>
      <c r="K985" s="712" t="b">
        <f ca="1">IF(AND('Asset-backed contributions'!$C$7=0,'Reconciliation report'!$E985&lt;&gt;""),ErrorMsgs!$B985)</f>
        <v>0</v>
      </c>
      <c r="L985" s="712" t="b">
        <f ca="1">IF(AND('Asset-backed contributions'!$C$7&lt;3,'Reconciliation report'!$E985&lt;&gt;""),ErrorMsgs!$C985)</f>
        <v>0</v>
      </c>
      <c r="M985" s="712" t="b">
        <f ca="1">IF(AND('Asset-backed contributions'!$C$7&gt;=3,'Reconciliation report'!$E985=""),ErrorMsgs!$D985)</f>
        <v>0</v>
      </c>
      <c r="N985" s="712" t="b">
        <f ca="1">IF($E985="",FALSE,IF(ISERROR(VALUE($E985)),ErrorMsgs!$E985,IF(OR(VALUE($E985)-ROUND(VALUE($E985),2)&lt;&gt;0,VALUE($E985)&lt;0,VALUE($E985)&gt;=1000000000000),ErrorMsgs!$E985)))</f>
        <v>0</v>
      </c>
      <c r="O985" s="712"/>
      <c r="P985" s="712"/>
      <c r="Q985" s="712"/>
      <c r="R985" s="712"/>
      <c r="S985" s="712"/>
      <c r="T985" s="712"/>
      <c r="U985" s="526" t="str">
        <f t="shared" ca="1" si="135"/>
        <v/>
      </c>
      <c r="V985" s="93" t="str" cm="1">
        <f t="array" aca="1" ref="V985" ca="1">CELL("format",INDIRECT(I985))</f>
        <v>C2</v>
      </c>
      <c r="W985" s="93" t="b">
        <f t="shared" ca="1" si="136"/>
        <v>0</v>
      </c>
      <c r="X985" s="715" t="str">
        <f t="shared" ca="1" si="134"/>
        <v/>
      </c>
      <c r="Y985" t="b">
        <f t="shared" ca="1" si="137"/>
        <v>1</v>
      </c>
    </row>
    <row r="986" spans="1:25" ht="77.5">
      <c r="A986" s="705" t="s">
        <v>3632</v>
      </c>
      <c r="B986" s="716" t="str">
        <f t="shared" ca="1" si="131"/>
        <v>ABC income stream - E28</v>
      </c>
      <c r="C986" s="707" t="str" cm="1">
        <f t="array" aca="1" ref="C986" ca="1">INDIRECT(LEFT(I986, FIND("!", I986)) &amp; RefData!$C$426 &amp; RIGHT(I986, LEN(I986) - FIND("!", I986) - 1))</f>
        <v xml:space="preserve">
No answer required
Year 21+
</v>
      </c>
      <c r="D986" s="92" t="str">
        <f t="shared" ca="1" si="138"/>
        <v/>
      </c>
      <c r="E986" s="708" t="str" cm="1">
        <f t="array" aca="1" ref="E986" ca="1">IF(INDIRECT($I986)= "", "", INDIRECT($I986))</f>
        <v/>
      </c>
      <c r="F986" s="709" t="str" cm="1">
        <f t="array" aca="1" ref="F986" ca="1">SUBSTITUTE(INDIRECT(LEFT(I986, FIND("!", I986)) &amp; RefData!$C$427 &amp; RIGHT(I986, LEN(I986) - FIND("!", I986) - 1)), "/1-5", "/3")</f>
        <v>AIS 21.0/3</v>
      </c>
      <c r="G986" s="710" t="b">
        <f ca="1">IF(ISNUMBER(SEARCH(RefData!$B$2, $C986)), FALSE, TRUE)</f>
        <v>0</v>
      </c>
      <c r="H986" s="344">
        <f>'ABC income stream'!E28</f>
        <v>0</v>
      </c>
      <c r="I986" s="712" t="str">
        <f t="shared" ca="1" si="132"/>
        <v>'ABC income stream'!E28</v>
      </c>
      <c r="J986" s="713" t="b" cm="1">
        <f t="array" aca="1" ref="J986" ca="1">IF(COUNTIF($K986:$T986, "&lt;&gt;FALSE") - COUNTBLANK($K986:$T986) &gt; 0, INDEX($K986:$T986, MATCH(TRUE, $K986:$T986 &lt;&gt; FALSE, 0)))</f>
        <v>0</v>
      </c>
      <c r="K986" s="712" t="b">
        <f ca="1">IF(AND('Asset-backed contributions'!$C$7=0,'Reconciliation report'!$E986&lt;&gt;""),ErrorMsgs!$B986)</f>
        <v>0</v>
      </c>
      <c r="L986" s="712" t="b">
        <f ca="1">IF(AND('Asset-backed contributions'!$C$7&lt;3,'Reconciliation report'!$E986&lt;&gt;""),ErrorMsgs!$C986)</f>
        <v>0</v>
      </c>
      <c r="M986" s="712" t="b">
        <f ca="1">IF(AND('Asset-backed contributions'!$C$7&gt;=3,'Reconciliation report'!$E986=""),ErrorMsgs!$D986)</f>
        <v>0</v>
      </c>
      <c r="N986" s="712" t="b">
        <f ca="1">IF($E986="",FALSE,IF(ISERROR(VALUE($E986)),ErrorMsgs!$E986,IF(OR(VALUE($E986)-ROUND(VALUE($E986),2)&lt;&gt;0,VALUE($E986)&lt;0,VALUE($E986)&gt;=1000000000000),ErrorMsgs!$E986)))</f>
        <v>0</v>
      </c>
      <c r="O986" s="712"/>
      <c r="P986" s="712"/>
      <c r="Q986" s="712"/>
      <c r="R986" s="712"/>
      <c r="S986" s="712"/>
      <c r="T986" s="712"/>
      <c r="U986" s="526" t="str">
        <f t="shared" ca="1" si="135"/>
        <v/>
      </c>
      <c r="V986" s="93" t="str" cm="1">
        <f t="array" aca="1" ref="V986" ca="1">CELL("format",INDIRECT(I986))</f>
        <v>C2</v>
      </c>
      <c r="W986" s="93" t="b">
        <f t="shared" ca="1" si="136"/>
        <v>0</v>
      </c>
      <c r="X986" s="715" t="str">
        <f t="shared" ca="1" si="134"/>
        <v/>
      </c>
      <c r="Y986" t="b">
        <f t="shared" ca="1" si="137"/>
        <v>1</v>
      </c>
    </row>
    <row r="987" spans="1:25" ht="77.5">
      <c r="A987" s="705" t="s">
        <v>3633</v>
      </c>
      <c r="B987" s="716" t="str">
        <f t="shared" ca="1" si="131"/>
        <v>ABC income stream - F8</v>
      </c>
      <c r="C987" s="707" t="str" cm="1">
        <f t="array" aca="1" ref="C987" ca="1">INDIRECT(LEFT(I987, FIND("!", I987)) &amp; RefData!$C$426 &amp; RIGHT(I987, LEN(I987) - FIND("!", I987) - 1))</f>
        <v xml:space="preserve">
No answer required
Year 1
</v>
      </c>
      <c r="D987" s="92" t="str">
        <f t="shared" ref="D987:D1007" ca="1" si="139">""&amp;IF(J987=FALSE, "", J987)
&amp;""</f>
        <v/>
      </c>
      <c r="E987" s="708" t="str" cm="1">
        <f t="array" aca="1" ref="E987" ca="1">IF(INDIRECT($I987)= "", "", INDIRECT($I987))</f>
        <v/>
      </c>
      <c r="F987" s="709" t="str" cm="1">
        <f t="array" aca="1" ref="F987" ca="1">SUBSTITUTE(INDIRECT(LEFT(I987, FIND("!", I987)) &amp; RefData!$C$427 &amp; RIGHT(I987, LEN(I987) - FIND("!", I987) - 1)), "/1-5", "/4")</f>
        <v>AIS 1.0/4</v>
      </c>
      <c r="G987" s="710" t="b">
        <f ca="1">IF(ISNUMBER(SEARCH(RefData!$B$2, $C987)), FALSE, TRUE)</f>
        <v>0</v>
      </c>
      <c r="H987" s="344">
        <f>'ABC income stream'!F8</f>
        <v>0</v>
      </c>
      <c r="I987" s="712" t="str">
        <f t="shared" ca="1" si="132"/>
        <v>'ABC income stream'!F8</v>
      </c>
      <c r="J987" s="713" t="b" cm="1">
        <f t="array" aca="1" ref="J987" ca="1">IF(COUNTIF($K987:$T987, "&lt;&gt;FALSE") - COUNTBLANK($K987:$T987) &gt; 0, INDEX($K987:$T987, MATCH(TRUE, $K987:$T987 &lt;&gt; FALSE, 0)))</f>
        <v>0</v>
      </c>
      <c r="K987" s="712" t="b">
        <f ca="1">IF(AND('Asset-backed contributions'!$C$7=0,'Reconciliation report'!$E987&lt;&gt;""),ErrorMsgs!$B987)</f>
        <v>0</v>
      </c>
      <c r="L987" s="712" t="b">
        <f ca="1">IF(AND('Asset-backed contributions'!$C$7&lt;4,'Reconciliation report'!$E987&lt;&gt;""),ErrorMsgs!$C987)</f>
        <v>0</v>
      </c>
      <c r="M987" s="712" t="b">
        <f ca="1">IF(AND('Asset-backed contributions'!$C$7&gt;=4,'Reconciliation report'!$E987=""),ErrorMsgs!$D987)</f>
        <v>0</v>
      </c>
      <c r="N987" s="712" t="b">
        <f ca="1">IF($E987="",FALSE,IF(ISERROR(VALUE($E987)),ErrorMsgs!$E987,IF(OR(VALUE($E987)-ROUND(VALUE($E987),2)&lt;&gt;0,VALUE($E987)&lt;0,VALUE($E987)&gt;=1000000000000),ErrorMsgs!$E987)))</f>
        <v>0</v>
      </c>
      <c r="O987" s="712"/>
      <c r="P987" s="712"/>
      <c r="Q987" s="712"/>
      <c r="R987" s="712"/>
      <c r="S987" s="712"/>
      <c r="T987" s="712"/>
      <c r="U987" s="526" t="str">
        <f t="shared" ca="1" si="135"/>
        <v/>
      </c>
      <c r="V987" s="93" t="str" cm="1">
        <f t="array" aca="1" ref="V987" ca="1">CELL("format",INDIRECT(I987))</f>
        <v>C2</v>
      </c>
      <c r="W987" s="93" t="b">
        <f t="shared" ca="1" si="136"/>
        <v>0</v>
      </c>
      <c r="X987" s="715" t="str">
        <f t="shared" ca="1" si="134"/>
        <v/>
      </c>
      <c r="Y987" t="b">
        <f t="shared" ca="1" si="137"/>
        <v>1</v>
      </c>
    </row>
    <row r="988" spans="1:25" ht="77.5">
      <c r="A988" s="705" t="s">
        <v>3634</v>
      </c>
      <c r="B988" s="716" t="str">
        <f t="shared" ca="1" si="131"/>
        <v>ABC income stream - F9</v>
      </c>
      <c r="C988" s="707" t="str" cm="1">
        <f t="array" aca="1" ref="C988" ca="1">INDIRECT(LEFT(I988, FIND("!", I988)) &amp; RefData!$C$426 &amp; RIGHT(I988, LEN(I988) - FIND("!", I988) - 1))</f>
        <v xml:space="preserve">
No answer required
Year 2
</v>
      </c>
      <c r="D988" s="92" t="str">
        <f t="shared" ca="1" si="139"/>
        <v/>
      </c>
      <c r="E988" s="708" t="str" cm="1">
        <f t="array" aca="1" ref="E988" ca="1">IF(INDIRECT($I988)= "", "", INDIRECT($I988))</f>
        <v/>
      </c>
      <c r="F988" s="709" t="str" cm="1">
        <f t="array" aca="1" ref="F988" ca="1">SUBSTITUTE(INDIRECT(LEFT(I988, FIND("!", I988)) &amp; RefData!$C$427 &amp; RIGHT(I988, LEN(I988) - FIND("!", I988) - 1)), "/1-5", "/4")</f>
        <v>AIS 2.0/4</v>
      </c>
      <c r="G988" s="710" t="b">
        <f ca="1">IF(ISNUMBER(SEARCH(RefData!$B$2, $C988)), FALSE, TRUE)</f>
        <v>0</v>
      </c>
      <c r="H988" s="344">
        <f>'ABC income stream'!F9</f>
        <v>0</v>
      </c>
      <c r="I988" s="712" t="str">
        <f t="shared" ca="1" si="132"/>
        <v>'ABC income stream'!F9</v>
      </c>
      <c r="J988" s="713" t="b" cm="1">
        <f t="array" aca="1" ref="J988" ca="1">IF(COUNTIF($K988:$T988, "&lt;&gt;FALSE") - COUNTBLANK($K988:$T988) &gt; 0, INDEX($K988:$T988, MATCH(TRUE, $K988:$T988 &lt;&gt; FALSE, 0)))</f>
        <v>0</v>
      </c>
      <c r="K988" s="712" t="b">
        <f ca="1">IF(AND('Asset-backed contributions'!$C$7=0,'Reconciliation report'!$E988&lt;&gt;""),ErrorMsgs!$B988)</f>
        <v>0</v>
      </c>
      <c r="L988" s="712" t="b">
        <f ca="1">IF(AND('Asset-backed contributions'!$C$7&lt;4,'Reconciliation report'!$E988&lt;&gt;""),ErrorMsgs!$C988)</f>
        <v>0</v>
      </c>
      <c r="M988" s="712" t="b">
        <f ca="1">IF(AND('Asset-backed contributions'!$C$7&gt;=4,'Reconciliation report'!$E988=""),ErrorMsgs!$D988)</f>
        <v>0</v>
      </c>
      <c r="N988" s="712" t="b">
        <f ca="1">IF($E988="",FALSE,IF(ISERROR(VALUE($E988)),ErrorMsgs!$E988,IF(OR(VALUE($E988)-ROUND(VALUE($E988),2)&lt;&gt;0,VALUE($E988)&lt;0,VALUE($E988)&gt;=1000000000000),ErrorMsgs!$E988)))</f>
        <v>0</v>
      </c>
      <c r="O988" s="712"/>
      <c r="P988" s="712"/>
      <c r="Q988" s="712"/>
      <c r="R988" s="712"/>
      <c r="S988" s="712"/>
      <c r="T988" s="712"/>
      <c r="U988" s="526" t="str">
        <f t="shared" ca="1" si="135"/>
        <v/>
      </c>
      <c r="V988" s="93" t="str" cm="1">
        <f t="array" aca="1" ref="V988" ca="1">CELL("format",INDIRECT(I988))</f>
        <v>C2</v>
      </c>
      <c r="W988" s="93" t="b">
        <f t="shared" ca="1" si="136"/>
        <v>0</v>
      </c>
      <c r="X988" s="715" t="str">
        <f t="shared" ca="1" si="134"/>
        <v/>
      </c>
      <c r="Y988" t="b">
        <f t="shared" ca="1" si="137"/>
        <v>1</v>
      </c>
    </row>
    <row r="989" spans="1:25" ht="77.5">
      <c r="A989" s="705" t="s">
        <v>3635</v>
      </c>
      <c r="B989" s="716" t="str">
        <f t="shared" ca="1" si="131"/>
        <v>ABC income stream - F10</v>
      </c>
      <c r="C989" s="707" t="str" cm="1">
        <f t="array" aca="1" ref="C989" ca="1">INDIRECT(LEFT(I989, FIND("!", I989)) &amp; RefData!$C$426 &amp; RIGHT(I989, LEN(I989) - FIND("!", I989) - 1))</f>
        <v xml:space="preserve">
No answer required
Year 3
</v>
      </c>
      <c r="D989" s="92" t="str">
        <f t="shared" ca="1" si="139"/>
        <v/>
      </c>
      <c r="E989" s="708" t="str" cm="1">
        <f t="array" aca="1" ref="E989" ca="1">IF(INDIRECT($I989)= "", "", INDIRECT($I989))</f>
        <v/>
      </c>
      <c r="F989" s="709" t="str" cm="1">
        <f t="array" aca="1" ref="F989" ca="1">SUBSTITUTE(INDIRECT(LEFT(I989, FIND("!", I989)) &amp; RefData!$C$427 &amp; RIGHT(I989, LEN(I989) - FIND("!", I989) - 1)), "/1-5", "/4")</f>
        <v>AIS 3.0/4</v>
      </c>
      <c r="G989" s="710" t="b">
        <f ca="1">IF(ISNUMBER(SEARCH(RefData!$B$2, $C989)), FALSE, TRUE)</f>
        <v>0</v>
      </c>
      <c r="H989" s="344">
        <f>'ABC income stream'!F10</f>
        <v>0</v>
      </c>
      <c r="I989" s="712" t="str">
        <f t="shared" ca="1" si="132"/>
        <v>'ABC income stream'!F10</v>
      </c>
      <c r="J989" s="713" t="b" cm="1">
        <f t="array" aca="1" ref="J989" ca="1">IF(COUNTIF($K989:$T989, "&lt;&gt;FALSE") - COUNTBLANK($K989:$T989) &gt; 0, INDEX($K989:$T989, MATCH(TRUE, $K989:$T989 &lt;&gt; FALSE, 0)))</f>
        <v>0</v>
      </c>
      <c r="K989" s="712" t="b">
        <f ca="1">IF(AND('Asset-backed contributions'!$C$7=0,'Reconciliation report'!$E989&lt;&gt;""),ErrorMsgs!$B989)</f>
        <v>0</v>
      </c>
      <c r="L989" s="712" t="b">
        <f ca="1">IF(AND('Asset-backed contributions'!$C$7&lt;4,'Reconciliation report'!$E989&lt;&gt;""),ErrorMsgs!$C989)</f>
        <v>0</v>
      </c>
      <c r="M989" s="712" t="b">
        <f ca="1">IF(AND('Asset-backed contributions'!$C$7&gt;=4,'Reconciliation report'!$E989=""),ErrorMsgs!$D989)</f>
        <v>0</v>
      </c>
      <c r="N989" s="712" t="b">
        <f ca="1">IF($E989="",FALSE,IF(ISERROR(VALUE($E989)),ErrorMsgs!$E989,IF(OR(VALUE($E989)-ROUND(VALUE($E989),2)&lt;&gt;0,VALUE($E989)&lt;0,VALUE($E989)&gt;=1000000000000),ErrorMsgs!$E989)))</f>
        <v>0</v>
      </c>
      <c r="O989" s="712"/>
      <c r="P989" s="712"/>
      <c r="Q989" s="712"/>
      <c r="R989" s="712"/>
      <c r="S989" s="712"/>
      <c r="T989" s="712"/>
      <c r="U989" s="526" t="str">
        <f t="shared" ca="1" si="135"/>
        <v/>
      </c>
      <c r="V989" s="93" t="str" cm="1">
        <f t="array" aca="1" ref="V989" ca="1">CELL("format",INDIRECT(I989))</f>
        <v>C2</v>
      </c>
      <c r="W989" s="93" t="b">
        <f t="shared" ca="1" si="136"/>
        <v>0</v>
      </c>
      <c r="X989" s="715" t="str">
        <f t="shared" ca="1" si="134"/>
        <v/>
      </c>
      <c r="Y989" t="b">
        <f t="shared" ca="1" si="137"/>
        <v>1</v>
      </c>
    </row>
    <row r="990" spans="1:25" ht="77.5">
      <c r="A990" s="705" t="s">
        <v>3636</v>
      </c>
      <c r="B990" s="716" t="str">
        <f t="shared" ca="1" si="131"/>
        <v>ABC income stream - F11</v>
      </c>
      <c r="C990" s="707" t="str" cm="1">
        <f t="array" aca="1" ref="C990" ca="1">INDIRECT(LEFT(I990, FIND("!", I990)) &amp; RefData!$C$426 &amp; RIGHT(I990, LEN(I990) - FIND("!", I990) - 1))</f>
        <v xml:space="preserve">
No answer required
Year 4
</v>
      </c>
      <c r="D990" s="92" t="str">
        <f t="shared" ca="1" si="139"/>
        <v/>
      </c>
      <c r="E990" s="708" t="str" cm="1">
        <f t="array" aca="1" ref="E990" ca="1">IF(INDIRECT($I990)= "", "", INDIRECT($I990))</f>
        <v/>
      </c>
      <c r="F990" s="709" t="str" cm="1">
        <f t="array" aca="1" ref="F990" ca="1">SUBSTITUTE(INDIRECT(LEFT(I990, FIND("!", I990)) &amp; RefData!$C$427 &amp; RIGHT(I990, LEN(I990) - FIND("!", I990) - 1)), "/1-5", "/4")</f>
        <v>AIS 4.0/4</v>
      </c>
      <c r="G990" s="710" t="b">
        <f ca="1">IF(ISNUMBER(SEARCH(RefData!$B$2, $C990)), FALSE, TRUE)</f>
        <v>0</v>
      </c>
      <c r="H990" s="344">
        <f>'ABC income stream'!F11</f>
        <v>0</v>
      </c>
      <c r="I990" s="712" t="str">
        <f t="shared" ca="1" si="132"/>
        <v>'ABC income stream'!F11</v>
      </c>
      <c r="J990" s="713" t="b" cm="1">
        <f t="array" aca="1" ref="J990" ca="1">IF(COUNTIF($K990:$T990, "&lt;&gt;FALSE") - COUNTBLANK($K990:$T990) &gt; 0, INDEX($K990:$T990, MATCH(TRUE, $K990:$T990 &lt;&gt; FALSE, 0)))</f>
        <v>0</v>
      </c>
      <c r="K990" s="712" t="b">
        <f ca="1">IF(AND('Asset-backed contributions'!$C$7=0,'Reconciliation report'!$E990&lt;&gt;""),ErrorMsgs!$B990)</f>
        <v>0</v>
      </c>
      <c r="L990" s="712" t="b">
        <f ca="1">IF(AND('Asset-backed contributions'!$C$7&lt;4,'Reconciliation report'!$E990&lt;&gt;""),ErrorMsgs!$C990)</f>
        <v>0</v>
      </c>
      <c r="M990" s="712" t="b">
        <f ca="1">IF(AND('Asset-backed contributions'!$C$7&gt;=4,'Reconciliation report'!$E990=""),ErrorMsgs!$D990)</f>
        <v>0</v>
      </c>
      <c r="N990" s="712" t="b">
        <f ca="1">IF($E990="",FALSE,IF(ISERROR(VALUE($E990)),ErrorMsgs!$E990,IF(OR(VALUE($E990)-ROUND(VALUE($E990),2)&lt;&gt;0,VALUE($E990)&lt;0,VALUE($E990)&gt;=1000000000000),ErrorMsgs!$E990)))</f>
        <v>0</v>
      </c>
      <c r="O990" s="712"/>
      <c r="P990" s="712"/>
      <c r="Q990" s="712"/>
      <c r="R990" s="712"/>
      <c r="S990" s="712"/>
      <c r="T990" s="712"/>
      <c r="U990" s="526" t="str">
        <f t="shared" ca="1" si="135"/>
        <v/>
      </c>
      <c r="V990" s="93" t="str" cm="1">
        <f t="array" aca="1" ref="V990" ca="1">CELL("format",INDIRECT(I990))</f>
        <v>C2</v>
      </c>
      <c r="W990" s="93" t="b">
        <f t="shared" ca="1" si="136"/>
        <v>0</v>
      </c>
      <c r="X990" s="715" t="str">
        <f t="shared" ca="1" si="134"/>
        <v/>
      </c>
      <c r="Y990" t="b">
        <f t="shared" ca="1" si="137"/>
        <v>1</v>
      </c>
    </row>
    <row r="991" spans="1:25" ht="77.5">
      <c r="A991" s="705" t="s">
        <v>3637</v>
      </c>
      <c r="B991" s="716" t="str">
        <f t="shared" ca="1" si="131"/>
        <v>ABC income stream - F12</v>
      </c>
      <c r="C991" s="707" t="str" cm="1">
        <f t="array" aca="1" ref="C991" ca="1">INDIRECT(LEFT(I991, FIND("!", I991)) &amp; RefData!$C$426 &amp; RIGHT(I991, LEN(I991) - FIND("!", I991) - 1))</f>
        <v xml:space="preserve">
No answer required
Year 5
</v>
      </c>
      <c r="D991" s="92" t="str">
        <f t="shared" ca="1" si="139"/>
        <v/>
      </c>
      <c r="E991" s="708" t="str" cm="1">
        <f t="array" aca="1" ref="E991" ca="1">IF(INDIRECT($I991)= "", "", INDIRECT($I991))</f>
        <v/>
      </c>
      <c r="F991" s="709" t="str" cm="1">
        <f t="array" aca="1" ref="F991" ca="1">SUBSTITUTE(INDIRECT(LEFT(I991, FIND("!", I991)) &amp; RefData!$C$427 &amp; RIGHT(I991, LEN(I991) - FIND("!", I991) - 1)), "/1-5", "/4")</f>
        <v>AIS 5.0/4</v>
      </c>
      <c r="G991" s="710" t="b">
        <f ca="1">IF(ISNUMBER(SEARCH(RefData!$B$2, $C991)), FALSE, TRUE)</f>
        <v>0</v>
      </c>
      <c r="H991" s="344">
        <f>'ABC income stream'!F12</f>
        <v>0</v>
      </c>
      <c r="I991" s="712" t="str">
        <f t="shared" ca="1" si="132"/>
        <v>'ABC income stream'!F12</v>
      </c>
      <c r="J991" s="713" t="b" cm="1">
        <f t="array" aca="1" ref="J991" ca="1">IF(COUNTIF($K991:$T991, "&lt;&gt;FALSE") - COUNTBLANK($K991:$T991) &gt; 0, INDEX($K991:$T991, MATCH(TRUE, $K991:$T991 &lt;&gt; FALSE, 0)))</f>
        <v>0</v>
      </c>
      <c r="K991" s="712" t="b">
        <f ca="1">IF(AND('Asset-backed contributions'!$C$7=0,'Reconciliation report'!$E991&lt;&gt;""),ErrorMsgs!$B991)</f>
        <v>0</v>
      </c>
      <c r="L991" s="712" t="b">
        <f ca="1">IF(AND('Asset-backed contributions'!$C$7&lt;4,'Reconciliation report'!$E991&lt;&gt;""),ErrorMsgs!$C991)</f>
        <v>0</v>
      </c>
      <c r="M991" s="712" t="b">
        <f ca="1">IF(AND('Asset-backed contributions'!$C$7&gt;=4,'Reconciliation report'!$E991=""),ErrorMsgs!$D991)</f>
        <v>0</v>
      </c>
      <c r="N991" s="712" t="b">
        <f ca="1">IF($E991="",FALSE,IF(ISERROR(VALUE($E991)),ErrorMsgs!$E991,IF(OR(VALUE($E991)-ROUND(VALUE($E991),2)&lt;&gt;0,VALUE($E991)&lt;0,VALUE($E991)&gt;=1000000000000),ErrorMsgs!$E991)))</f>
        <v>0</v>
      </c>
      <c r="O991" s="712"/>
      <c r="P991" s="712"/>
      <c r="Q991" s="712"/>
      <c r="R991" s="712"/>
      <c r="S991" s="712"/>
      <c r="T991" s="712"/>
      <c r="U991" s="526" t="str">
        <f t="shared" ca="1" si="135"/>
        <v/>
      </c>
      <c r="V991" s="93" t="str" cm="1">
        <f t="array" aca="1" ref="V991" ca="1">CELL("format",INDIRECT(I991))</f>
        <v>C2</v>
      </c>
      <c r="W991" s="93" t="b">
        <f t="shared" ca="1" si="136"/>
        <v>0</v>
      </c>
      <c r="X991" s="715" t="str">
        <f t="shared" ca="1" si="134"/>
        <v/>
      </c>
      <c r="Y991" t="b">
        <f t="shared" ca="1" si="137"/>
        <v>1</v>
      </c>
    </row>
    <row r="992" spans="1:25" ht="77.5">
      <c r="A992" s="705" t="s">
        <v>3638</v>
      </c>
      <c r="B992" s="716" t="str">
        <f t="shared" ca="1" si="131"/>
        <v>ABC income stream - F13</v>
      </c>
      <c r="C992" s="707" t="str" cm="1">
        <f t="array" aca="1" ref="C992" ca="1">INDIRECT(LEFT(I992, FIND("!", I992)) &amp; RefData!$C$426 &amp; RIGHT(I992, LEN(I992) - FIND("!", I992) - 1))</f>
        <v xml:space="preserve">
No answer required
Year 6
</v>
      </c>
      <c r="D992" s="92" t="str">
        <f t="shared" ca="1" si="139"/>
        <v/>
      </c>
      <c r="E992" s="708" t="str" cm="1">
        <f t="array" aca="1" ref="E992" ca="1">IF(INDIRECT($I992)= "", "", INDIRECT($I992))</f>
        <v/>
      </c>
      <c r="F992" s="709" t="str" cm="1">
        <f t="array" aca="1" ref="F992" ca="1">SUBSTITUTE(INDIRECT(LEFT(I992, FIND("!", I992)) &amp; RefData!$C$427 &amp; RIGHT(I992, LEN(I992) - FIND("!", I992) - 1)), "/1-5", "/4")</f>
        <v>AIS 6.0/4</v>
      </c>
      <c r="G992" s="710" t="b">
        <f ca="1">IF(ISNUMBER(SEARCH(RefData!$B$2, $C992)), FALSE, TRUE)</f>
        <v>0</v>
      </c>
      <c r="H992" s="344">
        <f>'ABC income stream'!F13</f>
        <v>0</v>
      </c>
      <c r="I992" s="712" t="str">
        <f t="shared" ca="1" si="132"/>
        <v>'ABC income stream'!F13</v>
      </c>
      <c r="J992" s="713" t="b" cm="1">
        <f t="array" aca="1" ref="J992" ca="1">IF(COUNTIF($K992:$T992, "&lt;&gt;FALSE") - COUNTBLANK($K992:$T992) &gt; 0, INDEX($K992:$T992, MATCH(TRUE, $K992:$T992 &lt;&gt; FALSE, 0)))</f>
        <v>0</v>
      </c>
      <c r="K992" s="712" t="b">
        <f ca="1">IF(AND('Asset-backed contributions'!$C$7=0,'Reconciliation report'!$E992&lt;&gt;""),ErrorMsgs!$B992)</f>
        <v>0</v>
      </c>
      <c r="L992" s="712" t="b">
        <f ca="1">IF(AND('Asset-backed contributions'!$C$7&lt;4,'Reconciliation report'!$E992&lt;&gt;""),ErrorMsgs!$C992)</f>
        <v>0</v>
      </c>
      <c r="M992" s="712" t="b">
        <f ca="1">IF(AND('Asset-backed contributions'!$C$7&gt;=4,'Reconciliation report'!$E992=""),ErrorMsgs!$D992)</f>
        <v>0</v>
      </c>
      <c r="N992" s="712" t="b">
        <f ca="1">IF($E992="",FALSE,IF(ISERROR(VALUE($E992)),ErrorMsgs!$E992,IF(OR(VALUE($E992)-ROUND(VALUE($E992),2)&lt;&gt;0,VALUE($E992)&lt;0,VALUE($E992)&gt;=1000000000000),ErrorMsgs!$E992)))</f>
        <v>0</v>
      </c>
      <c r="O992" s="712"/>
      <c r="P992" s="712"/>
      <c r="Q992" s="712"/>
      <c r="R992" s="712"/>
      <c r="S992" s="712"/>
      <c r="T992" s="712"/>
      <c r="U992" s="526" t="str">
        <f t="shared" ca="1" si="135"/>
        <v/>
      </c>
      <c r="V992" s="93" t="str" cm="1">
        <f t="array" aca="1" ref="V992" ca="1">CELL("format",INDIRECT(I992))</f>
        <v>C2</v>
      </c>
      <c r="W992" s="93" t="b">
        <f t="shared" ca="1" si="136"/>
        <v>0</v>
      </c>
      <c r="X992" s="715" t="str">
        <f t="shared" ca="1" si="134"/>
        <v/>
      </c>
      <c r="Y992" t="b">
        <f t="shared" ca="1" si="137"/>
        <v>1</v>
      </c>
    </row>
    <row r="993" spans="1:25" ht="77.5">
      <c r="A993" s="705" t="s">
        <v>3639</v>
      </c>
      <c r="B993" s="716" t="str">
        <f t="shared" ca="1" si="131"/>
        <v>ABC income stream - F14</v>
      </c>
      <c r="C993" s="707" t="str" cm="1">
        <f t="array" aca="1" ref="C993" ca="1">INDIRECT(LEFT(I993, FIND("!", I993)) &amp; RefData!$C$426 &amp; RIGHT(I993, LEN(I993) - FIND("!", I993) - 1))</f>
        <v xml:space="preserve">
No answer required
Year 7
</v>
      </c>
      <c r="D993" s="92" t="str">
        <f t="shared" ca="1" si="139"/>
        <v/>
      </c>
      <c r="E993" s="708" t="str" cm="1">
        <f t="array" aca="1" ref="E993" ca="1">IF(INDIRECT($I993)= "", "", INDIRECT($I993))</f>
        <v/>
      </c>
      <c r="F993" s="709" t="str" cm="1">
        <f t="array" aca="1" ref="F993" ca="1">SUBSTITUTE(INDIRECT(LEFT(I993, FIND("!", I993)) &amp; RefData!$C$427 &amp; RIGHT(I993, LEN(I993) - FIND("!", I993) - 1)), "/1-5", "/4")</f>
        <v>AIS 7.0/4</v>
      </c>
      <c r="G993" s="710" t="b">
        <f ca="1">IF(ISNUMBER(SEARCH(RefData!$B$2, $C993)), FALSE, TRUE)</f>
        <v>0</v>
      </c>
      <c r="H993" s="344">
        <f>'ABC income stream'!F14</f>
        <v>0</v>
      </c>
      <c r="I993" s="712" t="str">
        <f t="shared" ca="1" si="132"/>
        <v>'ABC income stream'!F14</v>
      </c>
      <c r="J993" s="713" t="b" cm="1">
        <f t="array" aca="1" ref="J993" ca="1">IF(COUNTIF($K993:$T993, "&lt;&gt;FALSE") - COUNTBLANK($K993:$T993) &gt; 0, INDEX($K993:$T993, MATCH(TRUE, $K993:$T993 &lt;&gt; FALSE, 0)))</f>
        <v>0</v>
      </c>
      <c r="K993" s="712" t="b">
        <f ca="1">IF(AND('Asset-backed contributions'!$C$7=0,'Reconciliation report'!$E993&lt;&gt;""),ErrorMsgs!$B993)</f>
        <v>0</v>
      </c>
      <c r="L993" s="712" t="b">
        <f ca="1">IF(AND('Asset-backed contributions'!$C$7&lt;4,'Reconciliation report'!$E993&lt;&gt;""),ErrorMsgs!$C993)</f>
        <v>0</v>
      </c>
      <c r="M993" s="712" t="b">
        <f ca="1">IF(AND('Asset-backed contributions'!$C$7&gt;=4,'Reconciliation report'!$E993=""),ErrorMsgs!$D993)</f>
        <v>0</v>
      </c>
      <c r="N993" s="712" t="b">
        <f ca="1">IF($E993="",FALSE,IF(ISERROR(VALUE($E993)),ErrorMsgs!$E993,IF(OR(VALUE($E993)-ROUND(VALUE($E993),2)&lt;&gt;0,VALUE($E993)&lt;0,VALUE($E993)&gt;=1000000000000),ErrorMsgs!$E993)))</f>
        <v>0</v>
      </c>
      <c r="O993" s="712"/>
      <c r="P993" s="712"/>
      <c r="Q993" s="712"/>
      <c r="R993" s="712"/>
      <c r="S993" s="712"/>
      <c r="T993" s="712"/>
      <c r="U993" s="526" t="str">
        <f t="shared" ca="1" si="135"/>
        <v/>
      </c>
      <c r="V993" s="93" t="str" cm="1">
        <f t="array" aca="1" ref="V993" ca="1">CELL("format",INDIRECT(I993))</f>
        <v>C2</v>
      </c>
      <c r="W993" s="93" t="b">
        <f t="shared" ca="1" si="136"/>
        <v>0</v>
      </c>
      <c r="X993" s="715" t="str">
        <f t="shared" ca="1" si="134"/>
        <v/>
      </c>
      <c r="Y993" t="b">
        <f t="shared" ca="1" si="137"/>
        <v>1</v>
      </c>
    </row>
    <row r="994" spans="1:25" ht="77.5">
      <c r="A994" s="705" t="s">
        <v>3640</v>
      </c>
      <c r="B994" s="716" t="str">
        <f t="shared" ca="1" si="131"/>
        <v>ABC income stream - F15</v>
      </c>
      <c r="C994" s="707" t="str" cm="1">
        <f t="array" aca="1" ref="C994" ca="1">INDIRECT(LEFT(I994, FIND("!", I994)) &amp; RefData!$C$426 &amp; RIGHT(I994, LEN(I994) - FIND("!", I994) - 1))</f>
        <v xml:space="preserve">
No answer required
Year 8
</v>
      </c>
      <c r="D994" s="92" t="str">
        <f t="shared" ca="1" si="139"/>
        <v/>
      </c>
      <c r="E994" s="708" t="str" cm="1">
        <f t="array" aca="1" ref="E994" ca="1">IF(INDIRECT($I994)= "", "", INDIRECT($I994))</f>
        <v/>
      </c>
      <c r="F994" s="709" t="str" cm="1">
        <f t="array" aca="1" ref="F994" ca="1">SUBSTITUTE(INDIRECT(LEFT(I994, FIND("!", I994)) &amp; RefData!$C$427 &amp; RIGHT(I994, LEN(I994) - FIND("!", I994) - 1)), "/1-5", "/4")</f>
        <v>AIS 8.0/4</v>
      </c>
      <c r="G994" s="710" t="b">
        <f ca="1">IF(ISNUMBER(SEARCH(RefData!$B$2, $C994)), FALSE, TRUE)</f>
        <v>0</v>
      </c>
      <c r="H994" s="344">
        <f>'ABC income stream'!F15</f>
        <v>0</v>
      </c>
      <c r="I994" s="712" t="str">
        <f t="shared" ca="1" si="132"/>
        <v>'ABC income stream'!F15</v>
      </c>
      <c r="J994" s="713" t="b" cm="1">
        <f t="array" aca="1" ref="J994" ca="1">IF(COUNTIF($K994:$T994, "&lt;&gt;FALSE") - COUNTBLANK($K994:$T994) &gt; 0, INDEX($K994:$T994, MATCH(TRUE, $K994:$T994 &lt;&gt; FALSE, 0)))</f>
        <v>0</v>
      </c>
      <c r="K994" s="712" t="b">
        <f ca="1">IF(AND('Asset-backed contributions'!$C$7=0,'Reconciliation report'!$E994&lt;&gt;""),ErrorMsgs!$B994)</f>
        <v>0</v>
      </c>
      <c r="L994" s="712" t="b">
        <f ca="1">IF(AND('Asset-backed contributions'!$C$7&lt;4,'Reconciliation report'!$E994&lt;&gt;""),ErrorMsgs!$C994)</f>
        <v>0</v>
      </c>
      <c r="M994" s="712" t="b">
        <f ca="1">IF(AND('Asset-backed contributions'!$C$7&gt;=4,'Reconciliation report'!$E994=""),ErrorMsgs!$D994)</f>
        <v>0</v>
      </c>
      <c r="N994" s="712" t="b">
        <f ca="1">IF($E994="",FALSE,IF(ISERROR(VALUE($E994)),ErrorMsgs!$E994,IF(OR(VALUE($E994)-ROUND(VALUE($E994),2)&lt;&gt;0,VALUE($E994)&lt;0,VALUE($E994)&gt;=1000000000000),ErrorMsgs!$E994)))</f>
        <v>0</v>
      </c>
      <c r="O994" s="712"/>
      <c r="P994" s="712"/>
      <c r="Q994" s="712"/>
      <c r="R994" s="712"/>
      <c r="S994" s="712"/>
      <c r="T994" s="712"/>
      <c r="U994" s="526" t="str">
        <f t="shared" ca="1" si="135"/>
        <v/>
      </c>
      <c r="V994" s="93" t="str" cm="1">
        <f t="array" aca="1" ref="V994" ca="1">CELL("format",INDIRECT(I994))</f>
        <v>C2</v>
      </c>
      <c r="W994" s="93" t="b">
        <f t="shared" ca="1" si="136"/>
        <v>0</v>
      </c>
      <c r="X994" s="715" t="str">
        <f t="shared" ca="1" si="134"/>
        <v/>
      </c>
      <c r="Y994" t="b">
        <f t="shared" ca="1" si="137"/>
        <v>1</v>
      </c>
    </row>
    <row r="995" spans="1:25" ht="77.5">
      <c r="A995" s="705" t="s">
        <v>3641</v>
      </c>
      <c r="B995" s="716" t="str">
        <f t="shared" ca="1" si="131"/>
        <v>ABC income stream - F16</v>
      </c>
      <c r="C995" s="707" t="str" cm="1">
        <f t="array" aca="1" ref="C995" ca="1">INDIRECT(LEFT(I995, FIND("!", I995)) &amp; RefData!$C$426 &amp; RIGHT(I995, LEN(I995) - FIND("!", I995) - 1))</f>
        <v xml:space="preserve">
No answer required
Year 9
</v>
      </c>
      <c r="D995" s="92" t="str">
        <f t="shared" ca="1" si="139"/>
        <v/>
      </c>
      <c r="E995" s="708" t="str" cm="1">
        <f t="array" aca="1" ref="E995" ca="1">IF(INDIRECT($I995)= "", "", INDIRECT($I995))</f>
        <v/>
      </c>
      <c r="F995" s="709" t="str" cm="1">
        <f t="array" aca="1" ref="F995" ca="1">SUBSTITUTE(INDIRECT(LEFT(I995, FIND("!", I995)) &amp; RefData!$C$427 &amp; RIGHT(I995, LEN(I995) - FIND("!", I995) - 1)), "/1-5", "/4")</f>
        <v>AIS 9.0/4</v>
      </c>
      <c r="G995" s="710" t="b">
        <f ca="1">IF(ISNUMBER(SEARCH(RefData!$B$2, $C995)), FALSE, TRUE)</f>
        <v>0</v>
      </c>
      <c r="H995" s="344">
        <f>'ABC income stream'!F16</f>
        <v>0</v>
      </c>
      <c r="I995" s="712" t="str">
        <f t="shared" ca="1" si="132"/>
        <v>'ABC income stream'!F16</v>
      </c>
      <c r="J995" s="713" t="b" cm="1">
        <f t="array" aca="1" ref="J995" ca="1">IF(COUNTIF($K995:$T995, "&lt;&gt;FALSE") - COUNTBLANK($K995:$T995) &gt; 0, INDEX($K995:$T995, MATCH(TRUE, $K995:$T995 &lt;&gt; FALSE, 0)))</f>
        <v>0</v>
      </c>
      <c r="K995" s="712" t="b">
        <f ca="1">IF(AND('Asset-backed contributions'!$C$7=0,'Reconciliation report'!$E995&lt;&gt;""),ErrorMsgs!$B995)</f>
        <v>0</v>
      </c>
      <c r="L995" s="712" t="b">
        <f ca="1">IF(AND('Asset-backed contributions'!$C$7&lt;4,'Reconciliation report'!$E995&lt;&gt;""),ErrorMsgs!$C995)</f>
        <v>0</v>
      </c>
      <c r="M995" s="712" t="b">
        <f ca="1">IF(AND('Asset-backed contributions'!$C$7&gt;=4,'Reconciliation report'!$E995=""),ErrorMsgs!$D995)</f>
        <v>0</v>
      </c>
      <c r="N995" s="712" t="b">
        <f ca="1">IF($E995="",FALSE,IF(ISERROR(VALUE($E995)),ErrorMsgs!$E995,IF(OR(VALUE($E995)-ROUND(VALUE($E995),2)&lt;&gt;0,VALUE($E995)&lt;0,VALUE($E995)&gt;=1000000000000),ErrorMsgs!$E995)))</f>
        <v>0</v>
      </c>
      <c r="O995" s="712"/>
      <c r="P995" s="712"/>
      <c r="Q995" s="712"/>
      <c r="R995" s="712"/>
      <c r="S995" s="712"/>
      <c r="T995" s="712"/>
      <c r="U995" s="526" t="str">
        <f t="shared" ca="1" si="135"/>
        <v/>
      </c>
      <c r="V995" s="93" t="str" cm="1">
        <f t="array" aca="1" ref="V995" ca="1">CELL("format",INDIRECT(I995))</f>
        <v>C2</v>
      </c>
      <c r="W995" s="93" t="b">
        <f t="shared" ca="1" si="136"/>
        <v>0</v>
      </c>
      <c r="X995" s="715" t="str">
        <f t="shared" ca="1" si="134"/>
        <v/>
      </c>
      <c r="Y995" t="b">
        <f t="shared" ca="1" si="137"/>
        <v>1</v>
      </c>
    </row>
    <row r="996" spans="1:25" ht="77.5">
      <c r="A996" s="705" t="s">
        <v>3642</v>
      </c>
      <c r="B996" s="716" t="str">
        <f t="shared" ca="1" si="131"/>
        <v>ABC income stream - F17</v>
      </c>
      <c r="C996" s="707" t="str" cm="1">
        <f t="array" aca="1" ref="C996" ca="1">INDIRECT(LEFT(I996, FIND("!", I996)) &amp; RefData!$C$426 &amp; RIGHT(I996, LEN(I996) - FIND("!", I996) - 1))</f>
        <v xml:space="preserve">
No answer required
Year 10
</v>
      </c>
      <c r="D996" s="92" t="str">
        <f t="shared" ca="1" si="139"/>
        <v/>
      </c>
      <c r="E996" s="708" t="str" cm="1">
        <f t="array" aca="1" ref="E996" ca="1">IF(INDIRECT($I996)= "", "", INDIRECT($I996))</f>
        <v/>
      </c>
      <c r="F996" s="709" t="str" cm="1">
        <f t="array" aca="1" ref="F996" ca="1">SUBSTITUTE(INDIRECT(LEFT(I996, FIND("!", I996)) &amp; RefData!$C$427 &amp; RIGHT(I996, LEN(I996) - FIND("!", I996) - 1)), "/1-5", "/4")</f>
        <v>AIS 10.0/4</v>
      </c>
      <c r="G996" s="710" t="b">
        <f ca="1">IF(ISNUMBER(SEARCH(RefData!$B$2, $C996)), FALSE, TRUE)</f>
        <v>0</v>
      </c>
      <c r="H996" s="344">
        <f>'ABC income stream'!F17</f>
        <v>0</v>
      </c>
      <c r="I996" s="712" t="str">
        <f t="shared" ca="1" si="132"/>
        <v>'ABC income stream'!F17</v>
      </c>
      <c r="J996" s="713" t="b" cm="1">
        <f t="array" aca="1" ref="J996" ca="1">IF(COUNTIF($K996:$T996, "&lt;&gt;FALSE") - COUNTBLANK($K996:$T996) &gt; 0, INDEX($K996:$T996, MATCH(TRUE, $K996:$T996 &lt;&gt; FALSE, 0)))</f>
        <v>0</v>
      </c>
      <c r="K996" s="712" t="b">
        <f ca="1">IF(AND('Asset-backed contributions'!$C$7=0,'Reconciliation report'!$E996&lt;&gt;""),ErrorMsgs!$B996)</f>
        <v>0</v>
      </c>
      <c r="L996" s="712" t="b">
        <f ca="1">IF(AND('Asset-backed contributions'!$C$7&lt;4,'Reconciliation report'!$E996&lt;&gt;""),ErrorMsgs!$C996)</f>
        <v>0</v>
      </c>
      <c r="M996" s="712" t="b">
        <f ca="1">IF(AND('Asset-backed contributions'!$C$7&gt;=4,'Reconciliation report'!$E996=""),ErrorMsgs!$D996)</f>
        <v>0</v>
      </c>
      <c r="N996" s="712" t="b">
        <f ca="1">IF($E996="",FALSE,IF(ISERROR(VALUE($E996)),ErrorMsgs!$E996,IF(OR(VALUE($E996)-ROUND(VALUE($E996),2)&lt;&gt;0,VALUE($E996)&lt;0,VALUE($E996)&gt;=1000000000000),ErrorMsgs!$E996)))</f>
        <v>0</v>
      </c>
      <c r="O996" s="712"/>
      <c r="P996" s="712"/>
      <c r="Q996" s="712"/>
      <c r="R996" s="712"/>
      <c r="S996" s="712"/>
      <c r="T996" s="712"/>
      <c r="U996" s="526" t="str">
        <f t="shared" ca="1" si="135"/>
        <v/>
      </c>
      <c r="V996" s="93" t="str" cm="1">
        <f t="array" aca="1" ref="V996" ca="1">CELL("format",INDIRECT(I996))</f>
        <v>C2</v>
      </c>
      <c r="W996" s="93" t="b">
        <f t="shared" ca="1" si="136"/>
        <v>0</v>
      </c>
      <c r="X996" s="715" t="str">
        <f t="shared" ca="1" si="134"/>
        <v/>
      </c>
      <c r="Y996" t="b">
        <f t="shared" ca="1" si="137"/>
        <v>1</v>
      </c>
    </row>
    <row r="997" spans="1:25" ht="77.5">
      <c r="A997" s="705" t="s">
        <v>3643</v>
      </c>
      <c r="B997" s="716" t="str">
        <f t="shared" ca="1" si="131"/>
        <v>ABC income stream - F18</v>
      </c>
      <c r="C997" s="707" t="str" cm="1">
        <f t="array" aca="1" ref="C997" ca="1">INDIRECT(LEFT(I997, FIND("!", I997)) &amp; RefData!$C$426 &amp; RIGHT(I997, LEN(I997) - FIND("!", I997) - 1))</f>
        <v xml:space="preserve">
No answer required
Year 11
</v>
      </c>
      <c r="D997" s="92" t="str">
        <f t="shared" ca="1" si="139"/>
        <v/>
      </c>
      <c r="E997" s="708" t="str" cm="1">
        <f t="array" aca="1" ref="E997" ca="1">IF(INDIRECT($I997)= "", "", INDIRECT($I997))</f>
        <v/>
      </c>
      <c r="F997" s="709" t="str" cm="1">
        <f t="array" aca="1" ref="F997" ca="1">SUBSTITUTE(INDIRECT(LEFT(I997, FIND("!", I997)) &amp; RefData!$C$427 &amp; RIGHT(I997, LEN(I997) - FIND("!", I997) - 1)), "/1-5", "/4")</f>
        <v>AIS 11.0/4</v>
      </c>
      <c r="G997" s="710" t="b">
        <f ca="1">IF(ISNUMBER(SEARCH(RefData!$B$2, $C997)), FALSE, TRUE)</f>
        <v>0</v>
      </c>
      <c r="H997" s="344">
        <f>'ABC income stream'!F18</f>
        <v>0</v>
      </c>
      <c r="I997" s="712" t="str">
        <f t="shared" ca="1" si="132"/>
        <v>'ABC income stream'!F18</v>
      </c>
      <c r="J997" s="713" t="b" cm="1">
        <f t="array" aca="1" ref="J997" ca="1">IF(COUNTIF($K997:$T997, "&lt;&gt;FALSE") - COUNTBLANK($K997:$T997) &gt; 0, INDEX($K997:$T997, MATCH(TRUE, $K997:$T997 &lt;&gt; FALSE, 0)))</f>
        <v>0</v>
      </c>
      <c r="K997" s="712" t="b">
        <f ca="1">IF(AND('Asset-backed contributions'!$C$7=0,'Reconciliation report'!$E997&lt;&gt;""),ErrorMsgs!$B997)</f>
        <v>0</v>
      </c>
      <c r="L997" s="712" t="b">
        <f ca="1">IF(AND('Asset-backed contributions'!$C$7&lt;4,'Reconciliation report'!$E997&lt;&gt;""),ErrorMsgs!$C997)</f>
        <v>0</v>
      </c>
      <c r="M997" s="712" t="b">
        <f ca="1">IF(AND('Asset-backed contributions'!$C$7&gt;=4,'Reconciliation report'!$E997=""),ErrorMsgs!$D997)</f>
        <v>0</v>
      </c>
      <c r="N997" s="712" t="b">
        <f ca="1">IF($E997="",FALSE,IF(ISERROR(VALUE($E997)),ErrorMsgs!$E997,IF(OR(VALUE($E997)-ROUND(VALUE($E997),2)&lt;&gt;0,VALUE($E997)&lt;0,VALUE($E997)&gt;=1000000000000),ErrorMsgs!$E997)))</f>
        <v>0</v>
      </c>
      <c r="O997" s="712"/>
      <c r="P997" s="712"/>
      <c r="Q997" s="712"/>
      <c r="R997" s="712"/>
      <c r="S997" s="712"/>
      <c r="T997" s="712"/>
      <c r="U997" s="526" t="str">
        <f t="shared" ca="1" si="135"/>
        <v/>
      </c>
      <c r="V997" s="93" t="str" cm="1">
        <f t="array" aca="1" ref="V997" ca="1">CELL("format",INDIRECT(I997))</f>
        <v>C2</v>
      </c>
      <c r="W997" s="93" t="b">
        <f t="shared" ca="1" si="136"/>
        <v>0</v>
      </c>
      <c r="X997" s="715" t="str">
        <f t="shared" ca="1" si="134"/>
        <v/>
      </c>
      <c r="Y997" t="b">
        <f t="shared" ca="1" si="137"/>
        <v>1</v>
      </c>
    </row>
    <row r="998" spans="1:25" ht="77.5">
      <c r="A998" s="705" t="s">
        <v>3644</v>
      </c>
      <c r="B998" s="716" t="str">
        <f t="shared" ca="1" si="131"/>
        <v>ABC income stream - F19</v>
      </c>
      <c r="C998" s="707" t="str" cm="1">
        <f t="array" aca="1" ref="C998" ca="1">INDIRECT(LEFT(I998, FIND("!", I998)) &amp; RefData!$C$426 &amp; RIGHT(I998, LEN(I998) - FIND("!", I998) - 1))</f>
        <v xml:space="preserve">
No answer required
Year 12
</v>
      </c>
      <c r="D998" s="92" t="str">
        <f t="shared" ca="1" si="139"/>
        <v/>
      </c>
      <c r="E998" s="708" t="str" cm="1">
        <f t="array" aca="1" ref="E998" ca="1">IF(INDIRECT($I998)= "", "", INDIRECT($I998))</f>
        <v/>
      </c>
      <c r="F998" s="709" t="str" cm="1">
        <f t="array" aca="1" ref="F998" ca="1">SUBSTITUTE(INDIRECT(LEFT(I998, FIND("!", I998)) &amp; RefData!$C$427 &amp; RIGHT(I998, LEN(I998) - FIND("!", I998) - 1)), "/1-5", "/4")</f>
        <v>AIS 12.0/4</v>
      </c>
      <c r="G998" s="710" t="b">
        <f ca="1">IF(ISNUMBER(SEARCH(RefData!$B$2, $C998)), FALSE, TRUE)</f>
        <v>0</v>
      </c>
      <c r="H998" s="344">
        <f>'ABC income stream'!F19</f>
        <v>0</v>
      </c>
      <c r="I998" s="712" t="str">
        <f t="shared" ca="1" si="132"/>
        <v>'ABC income stream'!F19</v>
      </c>
      <c r="J998" s="713" t="b" cm="1">
        <f t="array" aca="1" ref="J998" ca="1">IF(COUNTIF($K998:$T998, "&lt;&gt;FALSE") - COUNTBLANK($K998:$T998) &gt; 0, INDEX($K998:$T998, MATCH(TRUE, $K998:$T998 &lt;&gt; FALSE, 0)))</f>
        <v>0</v>
      </c>
      <c r="K998" s="712" t="b">
        <f ca="1">IF(AND('Asset-backed contributions'!$C$7=0,'Reconciliation report'!$E998&lt;&gt;""),ErrorMsgs!$B998)</f>
        <v>0</v>
      </c>
      <c r="L998" s="712" t="b">
        <f ca="1">IF(AND('Asset-backed contributions'!$C$7&lt;4,'Reconciliation report'!$E998&lt;&gt;""),ErrorMsgs!$C998)</f>
        <v>0</v>
      </c>
      <c r="M998" s="712" t="b">
        <f ca="1">IF(AND('Asset-backed contributions'!$C$7&gt;=4,'Reconciliation report'!$E998=""),ErrorMsgs!$D998)</f>
        <v>0</v>
      </c>
      <c r="N998" s="712" t="b">
        <f ca="1">IF($E998="",FALSE,IF(ISERROR(VALUE($E998)),ErrorMsgs!$E998,IF(OR(VALUE($E998)-ROUND(VALUE($E998),2)&lt;&gt;0,VALUE($E998)&lt;0,VALUE($E998)&gt;=1000000000000),ErrorMsgs!$E998)))</f>
        <v>0</v>
      </c>
      <c r="O998" s="712"/>
      <c r="P998" s="712"/>
      <c r="Q998" s="712"/>
      <c r="R998" s="712"/>
      <c r="S998" s="712"/>
      <c r="T998" s="712"/>
      <c r="U998" s="526" t="str">
        <f t="shared" ca="1" si="135"/>
        <v/>
      </c>
      <c r="V998" s="93" t="str" cm="1">
        <f t="array" aca="1" ref="V998" ca="1">CELL("format",INDIRECT(I998))</f>
        <v>C2</v>
      </c>
      <c r="W998" s="93" t="b">
        <f t="shared" ca="1" si="136"/>
        <v>0</v>
      </c>
      <c r="X998" s="715" t="str">
        <f t="shared" ca="1" si="134"/>
        <v/>
      </c>
      <c r="Y998" t="b">
        <f t="shared" ca="1" si="137"/>
        <v>1</v>
      </c>
    </row>
    <row r="999" spans="1:25" ht="77.5">
      <c r="A999" s="705" t="s">
        <v>3645</v>
      </c>
      <c r="B999" s="716" t="str">
        <f t="shared" ca="1" si="131"/>
        <v>ABC income stream - F20</v>
      </c>
      <c r="C999" s="707" t="str" cm="1">
        <f t="array" aca="1" ref="C999" ca="1">INDIRECT(LEFT(I999, FIND("!", I999)) &amp; RefData!$C$426 &amp; RIGHT(I999, LEN(I999) - FIND("!", I999) - 1))</f>
        <v xml:space="preserve">
No answer required
Year 13
</v>
      </c>
      <c r="D999" s="92" t="str">
        <f t="shared" ca="1" si="139"/>
        <v/>
      </c>
      <c r="E999" s="708" t="str" cm="1">
        <f t="array" aca="1" ref="E999" ca="1">IF(INDIRECT($I999)= "", "", INDIRECT($I999))</f>
        <v/>
      </c>
      <c r="F999" s="709" t="str" cm="1">
        <f t="array" aca="1" ref="F999" ca="1">SUBSTITUTE(INDIRECT(LEFT(I999, FIND("!", I999)) &amp; RefData!$C$427 &amp; RIGHT(I999, LEN(I999) - FIND("!", I999) - 1)), "/1-5", "/4")</f>
        <v>AIS 13.0/4</v>
      </c>
      <c r="G999" s="710" t="b">
        <f ca="1">IF(ISNUMBER(SEARCH(RefData!$B$2, $C999)), FALSE, TRUE)</f>
        <v>0</v>
      </c>
      <c r="H999" s="344">
        <f>'ABC income stream'!F20</f>
        <v>0</v>
      </c>
      <c r="I999" s="712" t="str">
        <f t="shared" ca="1" si="132"/>
        <v>'ABC income stream'!F20</v>
      </c>
      <c r="J999" s="713" t="b" cm="1">
        <f t="array" aca="1" ref="J999" ca="1">IF(COUNTIF($K999:$T999, "&lt;&gt;FALSE") - COUNTBLANK($K999:$T999) &gt; 0, INDEX($K999:$T999, MATCH(TRUE, $K999:$T999 &lt;&gt; FALSE, 0)))</f>
        <v>0</v>
      </c>
      <c r="K999" s="712" t="b">
        <f ca="1">IF(AND('Asset-backed contributions'!$C$7=0,'Reconciliation report'!$E999&lt;&gt;""),ErrorMsgs!$B999)</f>
        <v>0</v>
      </c>
      <c r="L999" s="712" t="b">
        <f ca="1">IF(AND('Asset-backed contributions'!$C$7&lt;4,'Reconciliation report'!$E999&lt;&gt;""),ErrorMsgs!$C999)</f>
        <v>0</v>
      </c>
      <c r="M999" s="712" t="b">
        <f ca="1">IF(AND('Asset-backed contributions'!$C$7&gt;=4,'Reconciliation report'!$E999=""),ErrorMsgs!$D999)</f>
        <v>0</v>
      </c>
      <c r="N999" s="712" t="b">
        <f ca="1">IF($E999="",FALSE,IF(ISERROR(VALUE($E999)),ErrorMsgs!$E999,IF(OR(VALUE($E999)-ROUND(VALUE($E999),2)&lt;&gt;0,VALUE($E999)&lt;0,VALUE($E999)&gt;=1000000000000),ErrorMsgs!$E999)))</f>
        <v>0</v>
      </c>
      <c r="O999" s="712"/>
      <c r="P999" s="712"/>
      <c r="Q999" s="712"/>
      <c r="R999" s="712"/>
      <c r="S999" s="712"/>
      <c r="T999" s="712"/>
      <c r="U999" s="526" t="str">
        <f t="shared" ca="1" si="135"/>
        <v/>
      </c>
      <c r="V999" s="93" t="str" cm="1">
        <f t="array" aca="1" ref="V999" ca="1">CELL("format",INDIRECT(I999))</f>
        <v>C2</v>
      </c>
      <c r="W999" s="93" t="b">
        <f t="shared" ca="1" si="136"/>
        <v>0</v>
      </c>
      <c r="X999" s="715" t="str">
        <f t="shared" ca="1" si="134"/>
        <v/>
      </c>
      <c r="Y999" t="b">
        <f t="shared" ca="1" si="137"/>
        <v>1</v>
      </c>
    </row>
    <row r="1000" spans="1:25" ht="77.5">
      <c r="A1000" s="705" t="s">
        <v>3646</v>
      </c>
      <c r="B1000" s="716" t="str">
        <f t="shared" ca="1" si="131"/>
        <v>ABC income stream - F21</v>
      </c>
      <c r="C1000" s="707" t="str" cm="1">
        <f t="array" aca="1" ref="C1000" ca="1">INDIRECT(LEFT(I1000, FIND("!", I1000)) &amp; RefData!$C$426 &amp; RIGHT(I1000, LEN(I1000) - FIND("!", I1000) - 1))</f>
        <v xml:space="preserve">
No answer required
Year 14
</v>
      </c>
      <c r="D1000" s="92" t="str">
        <f t="shared" ca="1" si="139"/>
        <v/>
      </c>
      <c r="E1000" s="708" t="str" cm="1">
        <f t="array" aca="1" ref="E1000" ca="1">IF(INDIRECT($I1000)= "", "", INDIRECT($I1000))</f>
        <v/>
      </c>
      <c r="F1000" s="709" t="str" cm="1">
        <f t="array" aca="1" ref="F1000" ca="1">SUBSTITUTE(INDIRECT(LEFT(I1000, FIND("!", I1000)) &amp; RefData!$C$427 &amp; RIGHT(I1000, LEN(I1000) - FIND("!", I1000) - 1)), "/1-5", "/4")</f>
        <v>AIS 14.0/4</v>
      </c>
      <c r="G1000" s="710" t="b">
        <f ca="1">IF(ISNUMBER(SEARCH(RefData!$B$2, $C1000)), FALSE, TRUE)</f>
        <v>0</v>
      </c>
      <c r="H1000" s="344">
        <f>'ABC income stream'!F21</f>
        <v>0</v>
      </c>
      <c r="I1000" s="712" t="str">
        <f t="shared" ca="1" si="132"/>
        <v>'ABC income stream'!F21</v>
      </c>
      <c r="J1000" s="713" t="b" cm="1">
        <f t="array" aca="1" ref="J1000" ca="1">IF(COUNTIF($K1000:$T1000, "&lt;&gt;FALSE") - COUNTBLANK($K1000:$T1000) &gt; 0, INDEX($K1000:$T1000, MATCH(TRUE, $K1000:$T1000 &lt;&gt; FALSE, 0)))</f>
        <v>0</v>
      </c>
      <c r="K1000" s="712" t="b">
        <f ca="1">IF(AND('Asset-backed contributions'!$C$7=0,'Reconciliation report'!$E1000&lt;&gt;""),ErrorMsgs!$B1000)</f>
        <v>0</v>
      </c>
      <c r="L1000" s="712" t="b">
        <f ca="1">IF(AND('Asset-backed contributions'!$C$7&lt;4,'Reconciliation report'!$E1000&lt;&gt;""),ErrorMsgs!$C1000)</f>
        <v>0</v>
      </c>
      <c r="M1000" s="712" t="b">
        <f ca="1">IF(AND('Asset-backed contributions'!$C$7&gt;=4,'Reconciliation report'!$E1000=""),ErrorMsgs!$D1000)</f>
        <v>0</v>
      </c>
      <c r="N1000" s="712" t="b">
        <f ca="1">IF($E1000="",FALSE,IF(ISERROR(VALUE($E1000)),ErrorMsgs!$E1000,IF(OR(VALUE($E1000)-ROUND(VALUE($E1000),2)&lt;&gt;0,VALUE($E1000)&lt;0,VALUE($E1000)&gt;=1000000000000),ErrorMsgs!$E1000)))</f>
        <v>0</v>
      </c>
      <c r="O1000" s="712"/>
      <c r="P1000" s="712"/>
      <c r="Q1000" s="712"/>
      <c r="R1000" s="712"/>
      <c r="S1000" s="712"/>
      <c r="T1000" s="712"/>
      <c r="U1000" s="526" t="str">
        <f t="shared" ca="1" si="135"/>
        <v/>
      </c>
      <c r="V1000" s="93" t="str" cm="1">
        <f t="array" aca="1" ref="V1000" ca="1">CELL("format",INDIRECT(I1000))</f>
        <v>C2</v>
      </c>
      <c r="W1000" s="93" t="b">
        <f t="shared" ca="1" si="136"/>
        <v>0</v>
      </c>
      <c r="X1000" s="715" t="str">
        <f t="shared" ca="1" si="134"/>
        <v/>
      </c>
      <c r="Y1000" t="b">
        <f t="shared" ca="1" si="137"/>
        <v>1</v>
      </c>
    </row>
    <row r="1001" spans="1:25" ht="77.5">
      <c r="A1001" s="705" t="s">
        <v>3647</v>
      </c>
      <c r="B1001" s="716" t="str">
        <f t="shared" ca="1" si="131"/>
        <v>ABC income stream - F22</v>
      </c>
      <c r="C1001" s="707" t="str" cm="1">
        <f t="array" aca="1" ref="C1001" ca="1">INDIRECT(LEFT(I1001, FIND("!", I1001)) &amp; RefData!$C$426 &amp; RIGHT(I1001, LEN(I1001) - FIND("!", I1001) - 1))</f>
        <v xml:space="preserve">
No answer required
Year 15
</v>
      </c>
      <c r="D1001" s="92" t="str">
        <f t="shared" ca="1" si="139"/>
        <v/>
      </c>
      <c r="E1001" s="708" t="str" cm="1">
        <f t="array" aca="1" ref="E1001" ca="1">IF(INDIRECT($I1001)= "", "", INDIRECT($I1001))</f>
        <v/>
      </c>
      <c r="F1001" s="709" t="str" cm="1">
        <f t="array" aca="1" ref="F1001" ca="1">SUBSTITUTE(INDIRECT(LEFT(I1001, FIND("!", I1001)) &amp; RefData!$C$427 &amp; RIGHT(I1001, LEN(I1001) - FIND("!", I1001) - 1)), "/1-5", "/4")</f>
        <v>AIS 15.0/4</v>
      </c>
      <c r="G1001" s="710" t="b">
        <f ca="1">IF(ISNUMBER(SEARCH(RefData!$B$2, $C1001)), FALSE, TRUE)</f>
        <v>0</v>
      </c>
      <c r="H1001" s="344">
        <f>'ABC income stream'!F22</f>
        <v>0</v>
      </c>
      <c r="I1001" s="712" t="str">
        <f t="shared" ca="1" si="132"/>
        <v>'ABC income stream'!F22</v>
      </c>
      <c r="J1001" s="713" t="b" cm="1">
        <f t="array" aca="1" ref="J1001" ca="1">IF(COUNTIF($K1001:$T1001, "&lt;&gt;FALSE") - COUNTBLANK($K1001:$T1001) &gt; 0, INDEX($K1001:$T1001, MATCH(TRUE, $K1001:$T1001 &lt;&gt; FALSE, 0)))</f>
        <v>0</v>
      </c>
      <c r="K1001" s="712" t="b">
        <f ca="1">IF(AND('Asset-backed contributions'!$C$7=0,'Reconciliation report'!$E1001&lt;&gt;""),ErrorMsgs!$B1001)</f>
        <v>0</v>
      </c>
      <c r="L1001" s="712" t="b">
        <f ca="1">IF(AND('Asset-backed contributions'!$C$7&lt;4,'Reconciliation report'!$E1001&lt;&gt;""),ErrorMsgs!$C1001)</f>
        <v>0</v>
      </c>
      <c r="M1001" s="712" t="b">
        <f ca="1">IF(AND('Asset-backed contributions'!$C$7&gt;=4,'Reconciliation report'!$E1001=""),ErrorMsgs!$D1001)</f>
        <v>0</v>
      </c>
      <c r="N1001" s="712" t="b">
        <f ca="1">IF($E1001="",FALSE,IF(ISERROR(VALUE($E1001)),ErrorMsgs!$E1001,IF(OR(VALUE($E1001)-ROUND(VALUE($E1001),2)&lt;&gt;0,VALUE($E1001)&lt;0,VALUE($E1001)&gt;=1000000000000),ErrorMsgs!$E1001)))</f>
        <v>0</v>
      </c>
      <c r="O1001" s="712"/>
      <c r="P1001" s="712"/>
      <c r="Q1001" s="712"/>
      <c r="R1001" s="712"/>
      <c r="S1001" s="712"/>
      <c r="T1001" s="712"/>
      <c r="U1001" s="526" t="str">
        <f t="shared" ca="1" si="135"/>
        <v/>
      </c>
      <c r="V1001" s="93" t="str" cm="1">
        <f t="array" aca="1" ref="V1001" ca="1">CELL("format",INDIRECT(I1001))</f>
        <v>C2</v>
      </c>
      <c r="W1001" s="93" t="b">
        <f t="shared" ca="1" si="136"/>
        <v>0</v>
      </c>
      <c r="X1001" s="715" t="str">
        <f t="shared" ca="1" si="134"/>
        <v/>
      </c>
      <c r="Y1001" t="b">
        <f t="shared" ca="1" si="137"/>
        <v>1</v>
      </c>
    </row>
    <row r="1002" spans="1:25" ht="77.5">
      <c r="A1002" s="705" t="s">
        <v>3648</v>
      </c>
      <c r="B1002" s="716" t="str">
        <f t="shared" ca="1" si="131"/>
        <v>ABC income stream - F23</v>
      </c>
      <c r="C1002" s="707" t="str" cm="1">
        <f t="array" aca="1" ref="C1002" ca="1">INDIRECT(LEFT(I1002, FIND("!", I1002)) &amp; RefData!$C$426 &amp; RIGHT(I1002, LEN(I1002) - FIND("!", I1002) - 1))</f>
        <v xml:space="preserve">
No answer required
Year 16
</v>
      </c>
      <c r="D1002" s="92" t="str">
        <f t="shared" ca="1" si="139"/>
        <v/>
      </c>
      <c r="E1002" s="708" t="str" cm="1">
        <f t="array" aca="1" ref="E1002" ca="1">IF(INDIRECT($I1002)= "", "", INDIRECT($I1002))</f>
        <v/>
      </c>
      <c r="F1002" s="709" t="str" cm="1">
        <f t="array" aca="1" ref="F1002" ca="1">SUBSTITUTE(INDIRECT(LEFT(I1002, FIND("!", I1002)) &amp; RefData!$C$427 &amp; RIGHT(I1002, LEN(I1002) - FIND("!", I1002) - 1)), "/1-5", "/4")</f>
        <v>AIS 16.0/4</v>
      </c>
      <c r="G1002" s="710" t="b">
        <f ca="1">IF(ISNUMBER(SEARCH(RefData!$B$2, $C1002)), FALSE, TRUE)</f>
        <v>0</v>
      </c>
      <c r="H1002" s="344">
        <f>'ABC income stream'!F23</f>
        <v>0</v>
      </c>
      <c r="I1002" s="712" t="str">
        <f t="shared" ca="1" si="132"/>
        <v>'ABC income stream'!F23</v>
      </c>
      <c r="J1002" s="713" t="b" cm="1">
        <f t="array" aca="1" ref="J1002" ca="1">IF(COUNTIF($K1002:$T1002, "&lt;&gt;FALSE") - COUNTBLANK($K1002:$T1002) &gt; 0, INDEX($K1002:$T1002, MATCH(TRUE, $K1002:$T1002 &lt;&gt; FALSE, 0)))</f>
        <v>0</v>
      </c>
      <c r="K1002" s="712" t="b">
        <f ca="1">IF(AND('Asset-backed contributions'!$C$7=0,'Reconciliation report'!$E1002&lt;&gt;""),ErrorMsgs!$B1002)</f>
        <v>0</v>
      </c>
      <c r="L1002" s="712" t="b">
        <f ca="1">IF(AND('Asset-backed contributions'!$C$7&lt;4,'Reconciliation report'!$E1002&lt;&gt;""),ErrorMsgs!$C1002)</f>
        <v>0</v>
      </c>
      <c r="M1002" s="712" t="b">
        <f ca="1">IF(AND('Asset-backed contributions'!$C$7&gt;=4,'Reconciliation report'!$E1002=""),ErrorMsgs!$D1002)</f>
        <v>0</v>
      </c>
      <c r="N1002" s="712" t="b">
        <f ca="1">IF($E1002="",FALSE,IF(ISERROR(VALUE($E1002)),ErrorMsgs!$E1002,IF(OR(VALUE($E1002)-ROUND(VALUE($E1002),2)&lt;&gt;0,VALUE($E1002)&lt;0,VALUE($E1002)&gt;=1000000000000),ErrorMsgs!$E1002)))</f>
        <v>0</v>
      </c>
      <c r="O1002" s="712"/>
      <c r="P1002" s="712"/>
      <c r="Q1002" s="712"/>
      <c r="R1002" s="712"/>
      <c r="S1002" s="712"/>
      <c r="T1002" s="712"/>
      <c r="U1002" s="526" t="str">
        <f t="shared" ca="1" si="135"/>
        <v/>
      </c>
      <c r="V1002" s="93" t="str" cm="1">
        <f t="array" aca="1" ref="V1002" ca="1">CELL("format",INDIRECT(I1002))</f>
        <v>C2</v>
      </c>
      <c r="W1002" s="93" t="b">
        <f t="shared" ca="1" si="136"/>
        <v>0</v>
      </c>
      <c r="X1002" s="715" t="str">
        <f t="shared" ca="1" si="134"/>
        <v/>
      </c>
      <c r="Y1002" t="b">
        <f t="shared" ca="1" si="137"/>
        <v>1</v>
      </c>
    </row>
    <row r="1003" spans="1:25" ht="77.5">
      <c r="A1003" s="705" t="s">
        <v>3649</v>
      </c>
      <c r="B1003" s="716" t="str">
        <f t="shared" ca="1" si="131"/>
        <v>ABC income stream - F24</v>
      </c>
      <c r="C1003" s="707" t="str" cm="1">
        <f t="array" aca="1" ref="C1003" ca="1">INDIRECT(LEFT(I1003, FIND("!", I1003)) &amp; RefData!$C$426 &amp; RIGHT(I1003, LEN(I1003) - FIND("!", I1003) - 1))</f>
        <v xml:space="preserve">
No answer required
Year 17
</v>
      </c>
      <c r="D1003" s="92" t="str">
        <f t="shared" ca="1" si="139"/>
        <v/>
      </c>
      <c r="E1003" s="708" t="str" cm="1">
        <f t="array" aca="1" ref="E1003" ca="1">IF(INDIRECT($I1003)= "", "", INDIRECT($I1003))</f>
        <v/>
      </c>
      <c r="F1003" s="709" t="str" cm="1">
        <f t="array" aca="1" ref="F1003" ca="1">SUBSTITUTE(INDIRECT(LEFT(I1003, FIND("!", I1003)) &amp; RefData!$C$427 &amp; RIGHT(I1003, LEN(I1003) - FIND("!", I1003) - 1)), "/1-5", "/4")</f>
        <v>AIS 17.0/4</v>
      </c>
      <c r="G1003" s="710" t="b">
        <f ca="1">IF(ISNUMBER(SEARCH(RefData!$B$2, $C1003)), FALSE, TRUE)</f>
        <v>0</v>
      </c>
      <c r="H1003" s="344">
        <f>'ABC income stream'!F24</f>
        <v>0</v>
      </c>
      <c r="I1003" s="712" t="str">
        <f t="shared" ca="1" si="132"/>
        <v>'ABC income stream'!F24</v>
      </c>
      <c r="J1003" s="713" t="b" cm="1">
        <f t="array" aca="1" ref="J1003" ca="1">IF(COUNTIF($K1003:$T1003, "&lt;&gt;FALSE") - COUNTBLANK($K1003:$T1003) &gt; 0, INDEX($K1003:$T1003, MATCH(TRUE, $K1003:$T1003 &lt;&gt; FALSE, 0)))</f>
        <v>0</v>
      </c>
      <c r="K1003" s="712" t="b">
        <f ca="1">IF(AND('Asset-backed contributions'!$C$7=0,'Reconciliation report'!$E1003&lt;&gt;""),ErrorMsgs!$B1003)</f>
        <v>0</v>
      </c>
      <c r="L1003" s="712" t="b">
        <f ca="1">IF(AND('Asset-backed contributions'!$C$7&lt;4,'Reconciliation report'!$E1003&lt;&gt;""),ErrorMsgs!$C1003)</f>
        <v>0</v>
      </c>
      <c r="M1003" s="712" t="b">
        <f ca="1">IF(AND('Asset-backed contributions'!$C$7&gt;=4,'Reconciliation report'!$E1003=""),ErrorMsgs!$D1003)</f>
        <v>0</v>
      </c>
      <c r="N1003" s="712" t="b">
        <f ca="1">IF($E1003="",FALSE,IF(ISERROR(VALUE($E1003)),ErrorMsgs!$E1003,IF(OR(VALUE($E1003)-ROUND(VALUE($E1003),2)&lt;&gt;0,VALUE($E1003)&lt;0,VALUE($E1003)&gt;=1000000000000),ErrorMsgs!$E1003)))</f>
        <v>0</v>
      </c>
      <c r="O1003" s="712"/>
      <c r="P1003" s="712"/>
      <c r="Q1003" s="712"/>
      <c r="R1003" s="712"/>
      <c r="S1003" s="712"/>
      <c r="T1003" s="712"/>
      <c r="U1003" s="526" t="str">
        <f t="shared" ca="1" si="135"/>
        <v/>
      </c>
      <c r="V1003" s="93" t="str" cm="1">
        <f t="array" aca="1" ref="V1003" ca="1">CELL("format",INDIRECT(I1003))</f>
        <v>C2</v>
      </c>
      <c r="W1003" s="93" t="b">
        <f t="shared" ca="1" si="136"/>
        <v>0</v>
      </c>
      <c r="X1003" s="715" t="str">
        <f t="shared" ca="1" si="134"/>
        <v/>
      </c>
      <c r="Y1003" t="b">
        <f t="shared" ca="1" si="137"/>
        <v>1</v>
      </c>
    </row>
    <row r="1004" spans="1:25" ht="77.5">
      <c r="A1004" s="705" t="s">
        <v>3650</v>
      </c>
      <c r="B1004" s="716" t="str">
        <f t="shared" ca="1" si="131"/>
        <v>ABC income stream - F25</v>
      </c>
      <c r="C1004" s="707" t="str" cm="1">
        <f t="array" aca="1" ref="C1004" ca="1">INDIRECT(LEFT(I1004, FIND("!", I1004)) &amp; RefData!$C$426 &amp; RIGHT(I1004, LEN(I1004) - FIND("!", I1004) - 1))</f>
        <v xml:space="preserve">
No answer required
Year 18
</v>
      </c>
      <c r="D1004" s="92" t="str">
        <f t="shared" ca="1" si="139"/>
        <v/>
      </c>
      <c r="E1004" s="708" t="str" cm="1">
        <f t="array" aca="1" ref="E1004" ca="1">IF(INDIRECT($I1004)= "", "", INDIRECT($I1004))</f>
        <v/>
      </c>
      <c r="F1004" s="709" t="str" cm="1">
        <f t="array" aca="1" ref="F1004" ca="1">SUBSTITUTE(INDIRECT(LEFT(I1004, FIND("!", I1004)) &amp; RefData!$C$427 &amp; RIGHT(I1004, LEN(I1004) - FIND("!", I1004) - 1)), "/1-5", "/4")</f>
        <v>AIS 18.0/4</v>
      </c>
      <c r="G1004" s="710" t="b">
        <f ca="1">IF(ISNUMBER(SEARCH(RefData!$B$2, $C1004)), FALSE, TRUE)</f>
        <v>0</v>
      </c>
      <c r="H1004" s="344">
        <f>'ABC income stream'!F25</f>
        <v>0</v>
      </c>
      <c r="I1004" s="712" t="str">
        <f t="shared" ca="1" si="132"/>
        <v>'ABC income stream'!F25</v>
      </c>
      <c r="J1004" s="713" t="b" cm="1">
        <f t="array" aca="1" ref="J1004" ca="1">IF(COUNTIF($K1004:$T1004, "&lt;&gt;FALSE") - COUNTBLANK($K1004:$T1004) &gt; 0, INDEX($K1004:$T1004, MATCH(TRUE, $K1004:$T1004 &lt;&gt; FALSE, 0)))</f>
        <v>0</v>
      </c>
      <c r="K1004" s="712" t="b">
        <f ca="1">IF(AND('Asset-backed contributions'!$C$7=0,'Reconciliation report'!$E1004&lt;&gt;""),ErrorMsgs!$B1004)</f>
        <v>0</v>
      </c>
      <c r="L1004" s="712" t="b">
        <f ca="1">IF(AND('Asset-backed contributions'!$C$7&lt;4,'Reconciliation report'!$E1004&lt;&gt;""),ErrorMsgs!$C1004)</f>
        <v>0</v>
      </c>
      <c r="M1004" s="712" t="b">
        <f ca="1">IF(AND('Asset-backed contributions'!$C$7&gt;=4,'Reconciliation report'!$E1004=""),ErrorMsgs!$D1004)</f>
        <v>0</v>
      </c>
      <c r="N1004" s="712" t="b">
        <f ca="1">IF($E1004="",FALSE,IF(ISERROR(VALUE($E1004)),ErrorMsgs!$E1004,IF(OR(VALUE($E1004)-ROUND(VALUE($E1004),2)&lt;&gt;0,VALUE($E1004)&lt;0,VALUE($E1004)&gt;=1000000000000),ErrorMsgs!$E1004)))</f>
        <v>0</v>
      </c>
      <c r="O1004" s="712"/>
      <c r="P1004" s="712"/>
      <c r="Q1004" s="712"/>
      <c r="R1004" s="712"/>
      <c r="S1004" s="712"/>
      <c r="T1004" s="712"/>
      <c r="U1004" s="526" t="str">
        <f t="shared" ca="1" si="135"/>
        <v/>
      </c>
      <c r="V1004" s="93" t="str" cm="1">
        <f t="array" aca="1" ref="V1004" ca="1">CELL("format",INDIRECT(I1004))</f>
        <v>C2</v>
      </c>
      <c r="W1004" s="93" t="b">
        <f t="shared" ca="1" si="136"/>
        <v>0</v>
      </c>
      <c r="X1004" s="715" t="str">
        <f t="shared" ca="1" si="134"/>
        <v/>
      </c>
      <c r="Y1004" t="b">
        <f t="shared" ca="1" si="137"/>
        <v>1</v>
      </c>
    </row>
    <row r="1005" spans="1:25" ht="77.5">
      <c r="A1005" s="705" t="s">
        <v>3651</v>
      </c>
      <c r="B1005" s="716" t="str">
        <f t="shared" ca="1" si="131"/>
        <v>ABC income stream - F26</v>
      </c>
      <c r="C1005" s="707" t="str" cm="1">
        <f t="array" aca="1" ref="C1005" ca="1">INDIRECT(LEFT(I1005, FIND("!", I1005)) &amp; RefData!$C$426 &amp; RIGHT(I1005, LEN(I1005) - FIND("!", I1005) - 1))</f>
        <v xml:space="preserve">
No answer required
Year 19
</v>
      </c>
      <c r="D1005" s="92" t="str">
        <f t="shared" ca="1" si="139"/>
        <v/>
      </c>
      <c r="E1005" s="708" t="str" cm="1">
        <f t="array" aca="1" ref="E1005" ca="1">IF(INDIRECT($I1005)= "", "", INDIRECT($I1005))</f>
        <v/>
      </c>
      <c r="F1005" s="709" t="str" cm="1">
        <f t="array" aca="1" ref="F1005" ca="1">SUBSTITUTE(INDIRECT(LEFT(I1005, FIND("!", I1005)) &amp; RefData!$C$427 &amp; RIGHT(I1005, LEN(I1005) - FIND("!", I1005) - 1)), "/1-5", "/4")</f>
        <v>AIS 19.0/4</v>
      </c>
      <c r="G1005" s="710" t="b">
        <f ca="1">IF(ISNUMBER(SEARCH(RefData!$B$2, $C1005)), FALSE, TRUE)</f>
        <v>0</v>
      </c>
      <c r="H1005" s="344">
        <f>'ABC income stream'!F26</f>
        <v>0</v>
      </c>
      <c r="I1005" s="712" t="str">
        <f t="shared" ca="1" si="132"/>
        <v>'ABC income stream'!F26</v>
      </c>
      <c r="J1005" s="713" t="b" cm="1">
        <f t="array" aca="1" ref="J1005" ca="1">IF(COUNTIF($K1005:$T1005, "&lt;&gt;FALSE") - COUNTBLANK($K1005:$T1005) &gt; 0, INDEX($K1005:$T1005, MATCH(TRUE, $K1005:$T1005 &lt;&gt; FALSE, 0)))</f>
        <v>0</v>
      </c>
      <c r="K1005" s="712" t="b">
        <f ca="1">IF(AND('Asset-backed contributions'!$C$7=0,'Reconciliation report'!$E1005&lt;&gt;""),ErrorMsgs!$B1005)</f>
        <v>0</v>
      </c>
      <c r="L1005" s="712" t="b">
        <f ca="1">IF(AND('Asset-backed contributions'!$C$7&lt;4,'Reconciliation report'!$E1005&lt;&gt;""),ErrorMsgs!$C1005)</f>
        <v>0</v>
      </c>
      <c r="M1005" s="712" t="b">
        <f ca="1">IF(AND('Asset-backed contributions'!$C$7&gt;=4,'Reconciliation report'!$E1005=""),ErrorMsgs!$D1005)</f>
        <v>0</v>
      </c>
      <c r="N1005" s="712" t="b">
        <f ca="1">IF($E1005="",FALSE,IF(ISERROR(VALUE($E1005)),ErrorMsgs!$E1005,IF(OR(VALUE($E1005)-ROUND(VALUE($E1005),2)&lt;&gt;0,VALUE($E1005)&lt;0,VALUE($E1005)&gt;=1000000000000),ErrorMsgs!$E1005)))</f>
        <v>0</v>
      </c>
      <c r="O1005" s="712"/>
      <c r="P1005" s="712"/>
      <c r="Q1005" s="712"/>
      <c r="R1005" s="712"/>
      <c r="S1005" s="712"/>
      <c r="T1005" s="712"/>
      <c r="U1005" s="526" t="str">
        <f t="shared" ca="1" si="135"/>
        <v/>
      </c>
      <c r="V1005" s="93" t="str" cm="1">
        <f t="array" aca="1" ref="V1005" ca="1">CELL("format",INDIRECT(I1005))</f>
        <v>C2</v>
      </c>
      <c r="W1005" s="93" t="b">
        <f t="shared" ca="1" si="136"/>
        <v>0</v>
      </c>
      <c r="X1005" s="715" t="str">
        <f t="shared" ca="1" si="134"/>
        <v/>
      </c>
      <c r="Y1005" t="b">
        <f t="shared" ca="1" si="137"/>
        <v>1</v>
      </c>
    </row>
    <row r="1006" spans="1:25" ht="77.5">
      <c r="A1006" s="705" t="s">
        <v>3652</v>
      </c>
      <c r="B1006" s="716" t="str">
        <f t="shared" ca="1" si="131"/>
        <v>ABC income stream - F27</v>
      </c>
      <c r="C1006" s="707" t="str" cm="1">
        <f t="array" aca="1" ref="C1006" ca="1">INDIRECT(LEFT(I1006, FIND("!", I1006)) &amp; RefData!$C$426 &amp; RIGHT(I1006, LEN(I1006) - FIND("!", I1006) - 1))</f>
        <v xml:space="preserve">
No answer required
Year 20
</v>
      </c>
      <c r="D1006" s="92" t="str">
        <f t="shared" ca="1" si="139"/>
        <v/>
      </c>
      <c r="E1006" s="708" t="str" cm="1">
        <f t="array" aca="1" ref="E1006" ca="1">IF(INDIRECT($I1006)= "", "", INDIRECT($I1006))</f>
        <v/>
      </c>
      <c r="F1006" s="709" t="str" cm="1">
        <f t="array" aca="1" ref="F1006" ca="1">SUBSTITUTE(INDIRECT(LEFT(I1006, FIND("!", I1006)) &amp; RefData!$C$427 &amp; RIGHT(I1006, LEN(I1006) - FIND("!", I1006) - 1)), "/1-5", "/4")</f>
        <v>AIS 20.0/4</v>
      </c>
      <c r="G1006" s="710" t="b">
        <f ca="1">IF(ISNUMBER(SEARCH(RefData!$B$2, $C1006)), FALSE, TRUE)</f>
        <v>0</v>
      </c>
      <c r="H1006" s="344">
        <f>'ABC income stream'!F27</f>
        <v>0</v>
      </c>
      <c r="I1006" s="712" t="str">
        <f t="shared" ca="1" si="132"/>
        <v>'ABC income stream'!F27</v>
      </c>
      <c r="J1006" s="713" t="b" cm="1">
        <f t="array" aca="1" ref="J1006" ca="1">IF(COUNTIF($K1006:$T1006, "&lt;&gt;FALSE") - COUNTBLANK($K1006:$T1006) &gt; 0, INDEX($K1006:$T1006, MATCH(TRUE, $K1006:$T1006 &lt;&gt; FALSE, 0)))</f>
        <v>0</v>
      </c>
      <c r="K1006" s="712" t="b">
        <f ca="1">IF(AND('Asset-backed contributions'!$C$7=0,'Reconciliation report'!$E1006&lt;&gt;""),ErrorMsgs!$B1006)</f>
        <v>0</v>
      </c>
      <c r="L1006" s="712" t="b">
        <f ca="1">IF(AND('Asset-backed contributions'!$C$7&lt;4,'Reconciliation report'!$E1006&lt;&gt;""),ErrorMsgs!$C1006)</f>
        <v>0</v>
      </c>
      <c r="M1006" s="712" t="b">
        <f ca="1">IF(AND('Asset-backed contributions'!$C$7&gt;=4,'Reconciliation report'!$E1006=""),ErrorMsgs!$D1006)</f>
        <v>0</v>
      </c>
      <c r="N1006" s="712" t="b">
        <f ca="1">IF($E1006="",FALSE,IF(ISERROR(VALUE($E1006)),ErrorMsgs!$E1006,IF(OR(VALUE($E1006)-ROUND(VALUE($E1006),2)&lt;&gt;0,VALUE($E1006)&lt;0,VALUE($E1006)&gt;=1000000000000),ErrorMsgs!$E1006)))</f>
        <v>0</v>
      </c>
      <c r="O1006" s="712"/>
      <c r="P1006" s="712"/>
      <c r="Q1006" s="712"/>
      <c r="R1006" s="712"/>
      <c r="S1006" s="712"/>
      <c r="T1006" s="712"/>
      <c r="U1006" s="526" t="str">
        <f t="shared" ca="1" si="135"/>
        <v/>
      </c>
      <c r="V1006" s="93" t="str" cm="1">
        <f t="array" aca="1" ref="V1006" ca="1">CELL("format",INDIRECT(I1006))</f>
        <v>C2</v>
      </c>
      <c r="W1006" s="93" t="b">
        <f t="shared" ca="1" si="136"/>
        <v>0</v>
      </c>
      <c r="X1006" s="715" t="str">
        <f t="shared" ca="1" si="134"/>
        <v/>
      </c>
      <c r="Y1006" t="b">
        <f t="shared" ca="1" si="137"/>
        <v>1</v>
      </c>
    </row>
    <row r="1007" spans="1:25" ht="77.5">
      <c r="A1007" s="705" t="s">
        <v>3653</v>
      </c>
      <c r="B1007" s="716" t="str">
        <f t="shared" ca="1" si="131"/>
        <v>ABC income stream - F28</v>
      </c>
      <c r="C1007" s="707" t="str" cm="1">
        <f t="array" aca="1" ref="C1007" ca="1">INDIRECT(LEFT(I1007, FIND("!", I1007)) &amp; RefData!$C$426 &amp; RIGHT(I1007, LEN(I1007) - FIND("!", I1007) - 1))</f>
        <v xml:space="preserve">
No answer required
Year 21+
</v>
      </c>
      <c r="D1007" s="92" t="str">
        <f t="shared" ca="1" si="139"/>
        <v/>
      </c>
      <c r="E1007" s="708" t="str" cm="1">
        <f t="array" aca="1" ref="E1007" ca="1">IF(INDIRECT($I1007)= "", "", INDIRECT($I1007))</f>
        <v/>
      </c>
      <c r="F1007" s="709" t="str" cm="1">
        <f t="array" aca="1" ref="F1007" ca="1">SUBSTITUTE(INDIRECT(LEFT(I1007, FIND("!", I1007)) &amp; RefData!$C$427 &amp; RIGHT(I1007, LEN(I1007) - FIND("!", I1007) - 1)), "/1-5", "/4")</f>
        <v>AIS 21.0/4</v>
      </c>
      <c r="G1007" s="710" t="b">
        <f ca="1">IF(ISNUMBER(SEARCH(RefData!$B$2, $C1007)), FALSE, TRUE)</f>
        <v>0</v>
      </c>
      <c r="H1007" s="344">
        <f>'ABC income stream'!F28</f>
        <v>0</v>
      </c>
      <c r="I1007" s="712" t="str">
        <f t="shared" ca="1" si="132"/>
        <v>'ABC income stream'!F28</v>
      </c>
      <c r="J1007" s="713" t="b" cm="1">
        <f t="array" aca="1" ref="J1007" ca="1">IF(COUNTIF($K1007:$T1007, "&lt;&gt;FALSE") - COUNTBLANK($K1007:$T1007) &gt; 0, INDEX($K1007:$T1007, MATCH(TRUE, $K1007:$T1007 &lt;&gt; FALSE, 0)))</f>
        <v>0</v>
      </c>
      <c r="K1007" s="712" t="b">
        <f ca="1">IF(AND('Asset-backed contributions'!$C$7=0,'Reconciliation report'!$E1007&lt;&gt;""),ErrorMsgs!$B1007)</f>
        <v>0</v>
      </c>
      <c r="L1007" s="712" t="b">
        <f ca="1">IF(AND('Asset-backed contributions'!$C$7&lt;4,'Reconciliation report'!$E1007&lt;&gt;""),ErrorMsgs!$C1007)</f>
        <v>0</v>
      </c>
      <c r="M1007" s="712" t="b">
        <f ca="1">IF(AND('Asset-backed contributions'!$C$7&gt;=4,'Reconciliation report'!$E1007=""),ErrorMsgs!$D1007)</f>
        <v>0</v>
      </c>
      <c r="N1007" s="712" t="b">
        <f ca="1">IF($E1007="",FALSE,IF(ISERROR(VALUE($E1007)),ErrorMsgs!$E1007,IF(OR(VALUE($E1007)-ROUND(VALUE($E1007),2)&lt;&gt;0,VALUE($E1007)&lt;0,VALUE($E1007)&gt;=1000000000000),ErrorMsgs!$E1007)))</f>
        <v>0</v>
      </c>
      <c r="O1007" s="712"/>
      <c r="P1007" s="712"/>
      <c r="Q1007" s="712"/>
      <c r="R1007" s="712"/>
      <c r="S1007" s="712"/>
      <c r="T1007" s="712"/>
      <c r="U1007" s="526" t="str">
        <f t="shared" ca="1" si="135"/>
        <v/>
      </c>
      <c r="V1007" s="93" t="str" cm="1">
        <f t="array" aca="1" ref="V1007" ca="1">CELL("format",INDIRECT(I1007))</f>
        <v>C2</v>
      </c>
      <c r="W1007" s="93" t="b">
        <f t="shared" ca="1" si="136"/>
        <v>0</v>
      </c>
      <c r="X1007" s="715" t="str">
        <f t="shared" ca="1" si="134"/>
        <v/>
      </c>
      <c r="Y1007" t="b">
        <f t="shared" ca="1" si="137"/>
        <v>1</v>
      </c>
    </row>
    <row r="1008" spans="1:25" ht="77.5">
      <c r="A1008" s="705" t="s">
        <v>3654</v>
      </c>
      <c r="B1008" s="716" t="str">
        <f t="shared" ca="1" si="131"/>
        <v>ABC income stream - G8</v>
      </c>
      <c r="C1008" s="707" t="str" cm="1">
        <f t="array" aca="1" ref="C1008" ca="1">INDIRECT(LEFT(I1008, FIND("!", I1008)) &amp; RefData!$C$426 &amp; RIGHT(I1008, LEN(I1008) - FIND("!", I1008) - 1))</f>
        <v xml:space="preserve">
No answer required
Year 1
</v>
      </c>
      <c r="D1008" s="92" t="str">
        <f t="shared" ref="D1008:D1028" ca="1" si="140">""&amp;IF(J1008=FALSE, "", J1008)
&amp;""</f>
        <v/>
      </c>
      <c r="E1008" s="708" t="str" cm="1">
        <f t="array" aca="1" ref="E1008" ca="1">IF(INDIRECT($I1008)= "", "", INDIRECT($I1008))</f>
        <v/>
      </c>
      <c r="F1008" s="709" t="str" cm="1">
        <f t="array" aca="1" ref="F1008" ca="1">SUBSTITUTE(INDIRECT(LEFT(I1008, FIND("!", I1008)) &amp; RefData!$C$427 &amp; RIGHT(I1008, LEN(I1008) - FIND("!", I1008) - 1)), "/1-5", "/5")</f>
        <v>AIS 1.0/5</v>
      </c>
      <c r="G1008" s="710" t="b">
        <f ca="1">IF(ISNUMBER(SEARCH(RefData!$B$2, $C1008)), FALSE, TRUE)</f>
        <v>0</v>
      </c>
      <c r="H1008" s="344">
        <f>'ABC income stream'!G8</f>
        <v>0</v>
      </c>
      <c r="I1008" s="712" t="str">
        <f t="shared" ca="1" si="132"/>
        <v>'ABC income stream'!G8</v>
      </c>
      <c r="J1008" s="713" t="b" cm="1">
        <f t="array" aca="1" ref="J1008" ca="1">IF(COUNTIF($K1008:$T1008, "&lt;&gt;FALSE") - COUNTBLANK($K1008:$T1008) &gt; 0, INDEX($K1008:$T1008, MATCH(TRUE, $K1008:$T1008 &lt;&gt; FALSE, 0)))</f>
        <v>0</v>
      </c>
      <c r="K1008" s="712" t="b">
        <f ca="1">IF(AND('Asset-backed contributions'!$C$7=0,'Reconciliation report'!$E1008&lt;&gt;""),ErrorMsgs!$B1008)</f>
        <v>0</v>
      </c>
      <c r="L1008" s="712" t="b">
        <f ca="1">IF(AND('Asset-backed contributions'!$C$7&lt;5,'Reconciliation report'!$E1008&lt;&gt;""),ErrorMsgs!$C1008)</f>
        <v>0</v>
      </c>
      <c r="M1008" s="712" t="b">
        <f ca="1">IF(AND('Asset-backed contributions'!$C$7&gt;=5,'Reconciliation report'!$E1008=""),ErrorMsgs!$D1008)</f>
        <v>0</v>
      </c>
      <c r="N1008" s="712" t="b">
        <f ca="1">IF($E1008="",FALSE,IF(ISERROR(VALUE($E1008)),ErrorMsgs!$E1008,IF(OR(VALUE($E1008)-ROUND(VALUE($E1008),2)&lt;&gt;0,VALUE($E1008)&lt;0,VALUE($E1008)&gt;=1000000000000),ErrorMsgs!$E1008)))</f>
        <v>0</v>
      </c>
      <c r="O1008" s="712"/>
      <c r="P1008" s="712"/>
      <c r="Q1008" s="712"/>
      <c r="R1008" s="712"/>
      <c r="S1008" s="712"/>
      <c r="T1008" s="712"/>
      <c r="U1008" s="526" t="str">
        <f t="shared" ca="1" si="135"/>
        <v/>
      </c>
      <c r="V1008" s="93" t="str" cm="1">
        <f t="array" aca="1" ref="V1008" ca="1">CELL("format",INDIRECT(I1008))</f>
        <v>C2</v>
      </c>
      <c r="W1008" s="93" t="b">
        <f t="shared" ca="1" si="136"/>
        <v>0</v>
      </c>
      <c r="X1008" s="715" t="str">
        <f t="shared" ca="1" si="134"/>
        <v/>
      </c>
      <c r="Y1008" t="b">
        <f t="shared" ca="1" si="137"/>
        <v>1</v>
      </c>
    </row>
    <row r="1009" spans="1:25" ht="77.5">
      <c r="A1009" s="705" t="s">
        <v>3655</v>
      </c>
      <c r="B1009" s="716" t="str">
        <f t="shared" ca="1" si="131"/>
        <v>ABC income stream - G9</v>
      </c>
      <c r="C1009" s="707" t="str" cm="1">
        <f t="array" aca="1" ref="C1009" ca="1">INDIRECT(LEFT(I1009, FIND("!", I1009)) &amp; RefData!$C$426 &amp; RIGHT(I1009, LEN(I1009) - FIND("!", I1009) - 1))</f>
        <v xml:space="preserve">
No answer required
Year 2
</v>
      </c>
      <c r="D1009" s="92" t="str">
        <f t="shared" ca="1" si="140"/>
        <v/>
      </c>
      <c r="E1009" s="708" t="str" cm="1">
        <f t="array" aca="1" ref="E1009" ca="1">IF(INDIRECT($I1009)= "", "", INDIRECT($I1009))</f>
        <v/>
      </c>
      <c r="F1009" s="709" t="str" cm="1">
        <f t="array" aca="1" ref="F1009" ca="1">SUBSTITUTE(INDIRECT(LEFT(I1009, FIND("!", I1009)) &amp; RefData!$C$427 &amp; RIGHT(I1009, LEN(I1009) - FIND("!", I1009) - 1)), "/1-5", "/5")</f>
        <v>AIS 2.0/5</v>
      </c>
      <c r="G1009" s="710" t="b">
        <f ca="1">IF(ISNUMBER(SEARCH(RefData!$B$2, $C1009)), FALSE, TRUE)</f>
        <v>0</v>
      </c>
      <c r="H1009" s="344">
        <f>'ABC income stream'!G9</f>
        <v>0</v>
      </c>
      <c r="I1009" s="712" t="str">
        <f t="shared" ca="1" si="132"/>
        <v>'ABC income stream'!G9</v>
      </c>
      <c r="J1009" s="713" t="b" cm="1">
        <f t="array" aca="1" ref="J1009" ca="1">IF(COUNTIF($K1009:$T1009, "&lt;&gt;FALSE") - COUNTBLANK($K1009:$T1009) &gt; 0, INDEX($K1009:$T1009, MATCH(TRUE, $K1009:$T1009 &lt;&gt; FALSE, 0)))</f>
        <v>0</v>
      </c>
      <c r="K1009" s="712" t="b">
        <f ca="1">IF(AND('Asset-backed contributions'!$C$7=0,'Reconciliation report'!$E1009&lt;&gt;""),ErrorMsgs!$B1009)</f>
        <v>0</v>
      </c>
      <c r="L1009" s="712" t="b">
        <f ca="1">IF(AND('Asset-backed contributions'!$C$7&lt;5,'Reconciliation report'!$E1009&lt;&gt;""),ErrorMsgs!$C1009)</f>
        <v>0</v>
      </c>
      <c r="M1009" s="712" t="b">
        <f ca="1">IF(AND('Asset-backed contributions'!$C$7&gt;=5,'Reconciliation report'!$E1009=""),ErrorMsgs!$D1009)</f>
        <v>0</v>
      </c>
      <c r="N1009" s="712" t="b">
        <f ca="1">IF($E1009="",FALSE,IF(ISERROR(VALUE($E1009)),ErrorMsgs!$E1009,IF(OR(VALUE($E1009)-ROUND(VALUE($E1009),2)&lt;&gt;0,VALUE($E1009)&lt;0,VALUE($E1009)&gt;=1000000000000),ErrorMsgs!$E1009)))</f>
        <v>0</v>
      </c>
      <c r="O1009" s="712"/>
      <c r="P1009" s="712"/>
      <c r="Q1009" s="712"/>
      <c r="R1009" s="712"/>
      <c r="S1009" s="712"/>
      <c r="T1009" s="712"/>
      <c r="U1009" s="526" t="str">
        <f t="shared" ca="1" si="135"/>
        <v/>
      </c>
      <c r="V1009" s="93" t="str" cm="1">
        <f t="array" aca="1" ref="V1009" ca="1">CELL("format",INDIRECT(I1009))</f>
        <v>C2</v>
      </c>
      <c r="W1009" s="93" t="b">
        <f t="shared" ca="1" si="136"/>
        <v>0</v>
      </c>
      <c r="X1009" s="715" t="str">
        <f t="shared" ca="1" si="134"/>
        <v/>
      </c>
      <c r="Y1009" t="b">
        <f t="shared" ca="1" si="137"/>
        <v>1</v>
      </c>
    </row>
    <row r="1010" spans="1:25" ht="77.5">
      <c r="A1010" s="705" t="s">
        <v>3656</v>
      </c>
      <c r="B1010" s="716" t="str">
        <f t="shared" ca="1" si="131"/>
        <v>ABC income stream - G10</v>
      </c>
      <c r="C1010" s="707" t="str" cm="1">
        <f t="array" aca="1" ref="C1010" ca="1">INDIRECT(LEFT(I1010, FIND("!", I1010)) &amp; RefData!$C$426 &amp; RIGHT(I1010, LEN(I1010) - FIND("!", I1010) - 1))</f>
        <v xml:space="preserve">
No answer required
Year 3
</v>
      </c>
      <c r="D1010" s="92" t="str">
        <f t="shared" ca="1" si="140"/>
        <v/>
      </c>
      <c r="E1010" s="708" t="str" cm="1">
        <f t="array" aca="1" ref="E1010" ca="1">IF(INDIRECT($I1010)= "", "", INDIRECT($I1010))</f>
        <v/>
      </c>
      <c r="F1010" s="709" t="str" cm="1">
        <f t="array" aca="1" ref="F1010" ca="1">SUBSTITUTE(INDIRECT(LEFT(I1010, FIND("!", I1010)) &amp; RefData!$C$427 &amp; RIGHT(I1010, LEN(I1010) - FIND("!", I1010) - 1)), "/1-5", "/5")</f>
        <v>AIS 3.0/5</v>
      </c>
      <c r="G1010" s="710" t="b">
        <f ca="1">IF(ISNUMBER(SEARCH(RefData!$B$2, $C1010)), FALSE, TRUE)</f>
        <v>0</v>
      </c>
      <c r="H1010" s="344">
        <f>'ABC income stream'!G10</f>
        <v>0</v>
      </c>
      <c r="I1010" s="712" t="str">
        <f t="shared" ca="1" si="132"/>
        <v>'ABC income stream'!G10</v>
      </c>
      <c r="J1010" s="713" t="b" cm="1">
        <f t="array" aca="1" ref="J1010" ca="1">IF(COUNTIF($K1010:$T1010, "&lt;&gt;FALSE") - COUNTBLANK($K1010:$T1010) &gt; 0, INDEX($K1010:$T1010, MATCH(TRUE, $K1010:$T1010 &lt;&gt; FALSE, 0)))</f>
        <v>0</v>
      </c>
      <c r="K1010" s="712" t="b">
        <f ca="1">IF(AND('Asset-backed contributions'!$C$7=0,'Reconciliation report'!$E1010&lt;&gt;""),ErrorMsgs!$B1010)</f>
        <v>0</v>
      </c>
      <c r="L1010" s="712" t="b">
        <f ca="1">IF(AND('Asset-backed contributions'!$C$7&lt;5,'Reconciliation report'!$E1010&lt;&gt;""),ErrorMsgs!$C1010)</f>
        <v>0</v>
      </c>
      <c r="M1010" s="712" t="b">
        <f ca="1">IF(AND('Asset-backed contributions'!$C$7&gt;=5,'Reconciliation report'!$E1010=""),ErrorMsgs!$D1010)</f>
        <v>0</v>
      </c>
      <c r="N1010" s="712" t="b">
        <f ca="1">IF($E1010="",FALSE,IF(ISERROR(VALUE($E1010)),ErrorMsgs!$E1010,IF(OR(VALUE($E1010)-ROUND(VALUE($E1010),2)&lt;&gt;0,VALUE($E1010)&lt;0,VALUE($E1010)&gt;=1000000000000),ErrorMsgs!$E1010)))</f>
        <v>0</v>
      </c>
      <c r="O1010" s="712"/>
      <c r="P1010" s="712"/>
      <c r="Q1010" s="712"/>
      <c r="R1010" s="712"/>
      <c r="S1010" s="712"/>
      <c r="T1010" s="712"/>
      <c r="U1010" s="526" t="str">
        <f t="shared" ca="1" si="135"/>
        <v/>
      </c>
      <c r="V1010" s="93" t="str" cm="1">
        <f t="array" aca="1" ref="V1010" ca="1">CELL("format",INDIRECT(I1010))</f>
        <v>C2</v>
      </c>
      <c r="W1010" s="93" t="b">
        <f t="shared" ca="1" si="136"/>
        <v>0</v>
      </c>
      <c r="X1010" s="715" t="str">
        <f t="shared" ca="1" si="134"/>
        <v/>
      </c>
      <c r="Y1010" t="b">
        <f t="shared" ca="1" si="137"/>
        <v>1</v>
      </c>
    </row>
    <row r="1011" spans="1:25" ht="77.5">
      <c r="A1011" s="705" t="s">
        <v>3657</v>
      </c>
      <c r="B1011" s="716" t="str">
        <f t="shared" ca="1" si="131"/>
        <v>ABC income stream - G11</v>
      </c>
      <c r="C1011" s="707" t="str" cm="1">
        <f t="array" aca="1" ref="C1011" ca="1">INDIRECT(LEFT(I1011, FIND("!", I1011)) &amp; RefData!$C$426 &amp; RIGHT(I1011, LEN(I1011) - FIND("!", I1011) - 1))</f>
        <v xml:space="preserve">
No answer required
Year 4
</v>
      </c>
      <c r="D1011" s="92" t="str">
        <f t="shared" ca="1" si="140"/>
        <v/>
      </c>
      <c r="E1011" s="708" t="str" cm="1">
        <f t="array" aca="1" ref="E1011" ca="1">IF(INDIRECT($I1011)= "", "", INDIRECT($I1011))</f>
        <v/>
      </c>
      <c r="F1011" s="709" t="str" cm="1">
        <f t="array" aca="1" ref="F1011" ca="1">SUBSTITUTE(INDIRECT(LEFT(I1011, FIND("!", I1011)) &amp; RefData!$C$427 &amp; RIGHT(I1011, LEN(I1011) - FIND("!", I1011) - 1)), "/1-5", "/5")</f>
        <v>AIS 4.0/5</v>
      </c>
      <c r="G1011" s="710" t="b">
        <f ca="1">IF(ISNUMBER(SEARCH(RefData!$B$2, $C1011)), FALSE, TRUE)</f>
        <v>0</v>
      </c>
      <c r="H1011" s="344">
        <f>'ABC income stream'!G11</f>
        <v>0</v>
      </c>
      <c r="I1011" s="712" t="str">
        <f t="shared" ca="1" si="132"/>
        <v>'ABC income stream'!G11</v>
      </c>
      <c r="J1011" s="713" t="b" cm="1">
        <f t="array" aca="1" ref="J1011" ca="1">IF(COUNTIF($K1011:$T1011, "&lt;&gt;FALSE") - COUNTBLANK($K1011:$T1011) &gt; 0, INDEX($K1011:$T1011, MATCH(TRUE, $K1011:$T1011 &lt;&gt; FALSE, 0)))</f>
        <v>0</v>
      </c>
      <c r="K1011" s="712" t="b">
        <f ca="1">IF(AND('Asset-backed contributions'!$C$7=0,'Reconciliation report'!$E1011&lt;&gt;""),ErrorMsgs!$B1011)</f>
        <v>0</v>
      </c>
      <c r="L1011" s="712" t="b">
        <f ca="1">IF(AND('Asset-backed contributions'!$C$7&lt;5,'Reconciliation report'!$E1011&lt;&gt;""),ErrorMsgs!$C1011)</f>
        <v>0</v>
      </c>
      <c r="M1011" s="712" t="b">
        <f ca="1">IF(AND('Asset-backed contributions'!$C$7&gt;=5,'Reconciliation report'!$E1011=""),ErrorMsgs!$D1011)</f>
        <v>0</v>
      </c>
      <c r="N1011" s="712" t="b">
        <f ca="1">IF($E1011="",FALSE,IF(ISERROR(VALUE($E1011)),ErrorMsgs!$E1011,IF(OR(VALUE($E1011)-ROUND(VALUE($E1011),2)&lt;&gt;0,VALUE($E1011)&lt;0,VALUE($E1011)&gt;=1000000000000),ErrorMsgs!$E1011)))</f>
        <v>0</v>
      </c>
      <c r="O1011" s="712"/>
      <c r="P1011" s="712"/>
      <c r="Q1011" s="712"/>
      <c r="R1011" s="712"/>
      <c r="S1011" s="712"/>
      <c r="T1011" s="712"/>
      <c r="U1011" s="526" t="str">
        <f t="shared" ca="1" si="135"/>
        <v/>
      </c>
      <c r="V1011" s="93" t="str" cm="1">
        <f t="array" aca="1" ref="V1011" ca="1">CELL("format",INDIRECT(I1011))</f>
        <v>C2</v>
      </c>
      <c r="W1011" s="93" t="b">
        <f t="shared" ca="1" si="136"/>
        <v>0</v>
      </c>
      <c r="X1011" s="715" t="str">
        <f t="shared" ca="1" si="134"/>
        <v/>
      </c>
      <c r="Y1011" t="b">
        <f t="shared" ca="1" si="137"/>
        <v>1</v>
      </c>
    </row>
    <row r="1012" spans="1:25" ht="77.5">
      <c r="A1012" s="705" t="s">
        <v>3658</v>
      </c>
      <c r="B1012" s="716" t="str">
        <f t="shared" ca="1" si="131"/>
        <v>ABC income stream - G12</v>
      </c>
      <c r="C1012" s="707" t="str" cm="1">
        <f t="array" aca="1" ref="C1012" ca="1">INDIRECT(LEFT(I1012, FIND("!", I1012)) &amp; RefData!$C$426 &amp; RIGHT(I1012, LEN(I1012) - FIND("!", I1012) - 1))</f>
        <v xml:space="preserve">
No answer required
Year 5
</v>
      </c>
      <c r="D1012" s="92" t="str">
        <f t="shared" ca="1" si="140"/>
        <v/>
      </c>
      <c r="E1012" s="708" t="str" cm="1">
        <f t="array" aca="1" ref="E1012" ca="1">IF(INDIRECT($I1012)= "", "", INDIRECT($I1012))</f>
        <v/>
      </c>
      <c r="F1012" s="709" t="str" cm="1">
        <f t="array" aca="1" ref="F1012" ca="1">SUBSTITUTE(INDIRECT(LEFT(I1012, FIND("!", I1012)) &amp; RefData!$C$427 &amp; RIGHT(I1012, LEN(I1012) - FIND("!", I1012) - 1)), "/1-5", "/5")</f>
        <v>AIS 5.0/5</v>
      </c>
      <c r="G1012" s="710" t="b">
        <f ca="1">IF(ISNUMBER(SEARCH(RefData!$B$2, $C1012)), FALSE, TRUE)</f>
        <v>0</v>
      </c>
      <c r="H1012" s="344">
        <f>'ABC income stream'!G12</f>
        <v>0</v>
      </c>
      <c r="I1012" s="712" t="str">
        <f t="shared" ca="1" si="132"/>
        <v>'ABC income stream'!G12</v>
      </c>
      <c r="J1012" s="713" t="b" cm="1">
        <f t="array" aca="1" ref="J1012" ca="1">IF(COUNTIF($K1012:$T1012, "&lt;&gt;FALSE") - COUNTBLANK($K1012:$T1012) &gt; 0, INDEX($K1012:$T1012, MATCH(TRUE, $K1012:$T1012 &lt;&gt; FALSE, 0)))</f>
        <v>0</v>
      </c>
      <c r="K1012" s="712" t="b">
        <f ca="1">IF(AND('Asset-backed contributions'!$C$7=0,'Reconciliation report'!$E1012&lt;&gt;""),ErrorMsgs!$B1012)</f>
        <v>0</v>
      </c>
      <c r="L1012" s="712" t="b">
        <f ca="1">IF(AND('Asset-backed contributions'!$C$7&lt;5,'Reconciliation report'!$E1012&lt;&gt;""),ErrorMsgs!$C1012)</f>
        <v>0</v>
      </c>
      <c r="M1012" s="712" t="b">
        <f ca="1">IF(AND('Asset-backed contributions'!$C$7&gt;=5,'Reconciliation report'!$E1012=""),ErrorMsgs!$D1012)</f>
        <v>0</v>
      </c>
      <c r="N1012" s="712" t="b">
        <f ca="1">IF($E1012="",FALSE,IF(ISERROR(VALUE($E1012)),ErrorMsgs!$E1012,IF(OR(VALUE($E1012)-ROUND(VALUE($E1012),2)&lt;&gt;0,VALUE($E1012)&lt;0,VALUE($E1012)&gt;=1000000000000),ErrorMsgs!$E1012)))</f>
        <v>0</v>
      </c>
      <c r="O1012" s="712"/>
      <c r="P1012" s="712"/>
      <c r="Q1012" s="712"/>
      <c r="R1012" s="712"/>
      <c r="S1012" s="712"/>
      <c r="T1012" s="712"/>
      <c r="U1012" s="526" t="str">
        <f t="shared" ca="1" si="135"/>
        <v/>
      </c>
      <c r="V1012" s="93" t="str" cm="1">
        <f t="array" aca="1" ref="V1012" ca="1">CELL("format",INDIRECT(I1012))</f>
        <v>C2</v>
      </c>
      <c r="W1012" s="93" t="b">
        <f t="shared" ca="1" si="136"/>
        <v>0</v>
      </c>
      <c r="X1012" s="715" t="str">
        <f t="shared" ca="1" si="134"/>
        <v/>
      </c>
      <c r="Y1012" t="b">
        <f t="shared" ca="1" si="137"/>
        <v>1</v>
      </c>
    </row>
    <row r="1013" spans="1:25" ht="77.5">
      <c r="A1013" s="705" t="s">
        <v>3659</v>
      </c>
      <c r="B1013" s="716" t="str">
        <f t="shared" ca="1" si="131"/>
        <v>ABC income stream - G13</v>
      </c>
      <c r="C1013" s="707" t="str" cm="1">
        <f t="array" aca="1" ref="C1013" ca="1">INDIRECT(LEFT(I1013, FIND("!", I1013)) &amp; RefData!$C$426 &amp; RIGHT(I1013, LEN(I1013) - FIND("!", I1013) - 1))</f>
        <v xml:space="preserve">
No answer required
Year 6
</v>
      </c>
      <c r="D1013" s="92" t="str">
        <f t="shared" ca="1" si="140"/>
        <v/>
      </c>
      <c r="E1013" s="708" t="str" cm="1">
        <f t="array" aca="1" ref="E1013" ca="1">IF(INDIRECT($I1013)= "", "", INDIRECT($I1013))</f>
        <v/>
      </c>
      <c r="F1013" s="709" t="str" cm="1">
        <f t="array" aca="1" ref="F1013" ca="1">SUBSTITUTE(INDIRECT(LEFT(I1013, FIND("!", I1013)) &amp; RefData!$C$427 &amp; RIGHT(I1013, LEN(I1013) - FIND("!", I1013) - 1)), "/1-5", "/5")</f>
        <v>AIS 6.0/5</v>
      </c>
      <c r="G1013" s="710" t="b">
        <f ca="1">IF(ISNUMBER(SEARCH(RefData!$B$2, $C1013)), FALSE, TRUE)</f>
        <v>0</v>
      </c>
      <c r="H1013" s="344">
        <f>'ABC income stream'!G13</f>
        <v>0</v>
      </c>
      <c r="I1013" s="712" t="str">
        <f t="shared" ca="1" si="132"/>
        <v>'ABC income stream'!G13</v>
      </c>
      <c r="J1013" s="713" t="b" cm="1">
        <f t="array" aca="1" ref="J1013" ca="1">IF(COUNTIF($K1013:$T1013, "&lt;&gt;FALSE") - COUNTBLANK($K1013:$T1013) &gt; 0, INDEX($K1013:$T1013, MATCH(TRUE, $K1013:$T1013 &lt;&gt; FALSE, 0)))</f>
        <v>0</v>
      </c>
      <c r="K1013" s="712" t="b">
        <f ca="1">IF(AND('Asset-backed contributions'!$C$7=0,'Reconciliation report'!$E1013&lt;&gt;""),ErrorMsgs!$B1013)</f>
        <v>0</v>
      </c>
      <c r="L1013" s="712" t="b">
        <f ca="1">IF(AND('Asset-backed contributions'!$C$7&lt;5,'Reconciliation report'!$E1013&lt;&gt;""),ErrorMsgs!$C1013)</f>
        <v>0</v>
      </c>
      <c r="M1013" s="712" t="b">
        <f ca="1">IF(AND('Asset-backed contributions'!$C$7&gt;=5,'Reconciliation report'!$E1013=""),ErrorMsgs!$D1013)</f>
        <v>0</v>
      </c>
      <c r="N1013" s="712" t="b">
        <f ca="1">IF($E1013="",FALSE,IF(ISERROR(VALUE($E1013)),ErrorMsgs!$E1013,IF(OR(VALUE($E1013)-ROUND(VALUE($E1013),2)&lt;&gt;0,VALUE($E1013)&lt;0,VALUE($E1013)&gt;=1000000000000),ErrorMsgs!$E1013)))</f>
        <v>0</v>
      </c>
      <c r="O1013" s="712"/>
      <c r="P1013" s="712"/>
      <c r="Q1013" s="712"/>
      <c r="R1013" s="712"/>
      <c r="S1013" s="712"/>
      <c r="T1013" s="712"/>
      <c r="U1013" s="526" t="str">
        <f t="shared" ca="1" si="135"/>
        <v/>
      </c>
      <c r="V1013" s="93" t="str" cm="1">
        <f t="array" aca="1" ref="V1013" ca="1">CELL("format",INDIRECT(I1013))</f>
        <v>C2</v>
      </c>
      <c r="W1013" s="93" t="b">
        <f t="shared" ca="1" si="136"/>
        <v>0</v>
      </c>
      <c r="X1013" s="715" t="str">
        <f t="shared" ca="1" si="134"/>
        <v/>
      </c>
      <c r="Y1013" t="b">
        <f t="shared" ca="1" si="137"/>
        <v>1</v>
      </c>
    </row>
    <row r="1014" spans="1:25" ht="77.5">
      <c r="A1014" s="705" t="s">
        <v>3660</v>
      </c>
      <c r="B1014" s="716" t="str">
        <f t="shared" ca="1" si="131"/>
        <v>ABC income stream - G14</v>
      </c>
      <c r="C1014" s="707" t="str" cm="1">
        <f t="array" aca="1" ref="C1014" ca="1">INDIRECT(LEFT(I1014, FIND("!", I1014)) &amp; RefData!$C$426 &amp; RIGHT(I1014, LEN(I1014) - FIND("!", I1014) - 1))</f>
        <v xml:space="preserve">
No answer required
Year 7
</v>
      </c>
      <c r="D1014" s="92" t="str">
        <f t="shared" ca="1" si="140"/>
        <v/>
      </c>
      <c r="E1014" s="708" t="str" cm="1">
        <f t="array" aca="1" ref="E1014" ca="1">IF(INDIRECT($I1014)= "", "", INDIRECT($I1014))</f>
        <v/>
      </c>
      <c r="F1014" s="709" t="str" cm="1">
        <f t="array" aca="1" ref="F1014" ca="1">SUBSTITUTE(INDIRECT(LEFT(I1014, FIND("!", I1014)) &amp; RefData!$C$427 &amp; RIGHT(I1014, LEN(I1014) - FIND("!", I1014) - 1)), "/1-5", "/5")</f>
        <v>AIS 7.0/5</v>
      </c>
      <c r="G1014" s="710" t="b">
        <f ca="1">IF(ISNUMBER(SEARCH(RefData!$B$2, $C1014)), FALSE, TRUE)</f>
        <v>0</v>
      </c>
      <c r="H1014" s="344">
        <f>'ABC income stream'!G14</f>
        <v>0</v>
      </c>
      <c r="I1014" s="712" t="str">
        <f t="shared" ca="1" si="132"/>
        <v>'ABC income stream'!G14</v>
      </c>
      <c r="J1014" s="713" t="b" cm="1">
        <f t="array" aca="1" ref="J1014" ca="1">IF(COUNTIF($K1014:$T1014, "&lt;&gt;FALSE") - COUNTBLANK($K1014:$T1014) &gt; 0, INDEX($K1014:$T1014, MATCH(TRUE, $K1014:$T1014 &lt;&gt; FALSE, 0)))</f>
        <v>0</v>
      </c>
      <c r="K1014" s="712" t="b">
        <f ca="1">IF(AND('Asset-backed contributions'!$C$7=0,'Reconciliation report'!$E1014&lt;&gt;""),ErrorMsgs!$B1014)</f>
        <v>0</v>
      </c>
      <c r="L1014" s="712" t="b">
        <f ca="1">IF(AND('Asset-backed contributions'!$C$7&lt;5,'Reconciliation report'!$E1014&lt;&gt;""),ErrorMsgs!$C1014)</f>
        <v>0</v>
      </c>
      <c r="M1014" s="712" t="b">
        <f ca="1">IF(AND('Asset-backed contributions'!$C$7&gt;=5,'Reconciliation report'!$E1014=""),ErrorMsgs!$D1014)</f>
        <v>0</v>
      </c>
      <c r="N1014" s="712" t="b">
        <f ca="1">IF($E1014="",FALSE,IF(ISERROR(VALUE($E1014)),ErrorMsgs!$E1014,IF(OR(VALUE($E1014)-ROUND(VALUE($E1014),2)&lt;&gt;0,VALUE($E1014)&lt;0,VALUE($E1014)&gt;=1000000000000),ErrorMsgs!$E1014)))</f>
        <v>0</v>
      </c>
      <c r="O1014" s="712"/>
      <c r="P1014" s="712"/>
      <c r="Q1014" s="712"/>
      <c r="R1014" s="712"/>
      <c r="S1014" s="712"/>
      <c r="T1014" s="712"/>
      <c r="U1014" s="526" t="str">
        <f t="shared" ca="1" si="135"/>
        <v/>
      </c>
      <c r="V1014" s="93" t="str" cm="1">
        <f t="array" aca="1" ref="V1014" ca="1">CELL("format",INDIRECT(I1014))</f>
        <v>C2</v>
      </c>
      <c r="W1014" s="93" t="b">
        <f t="shared" ca="1" si="136"/>
        <v>0</v>
      </c>
      <c r="X1014" s="715" t="str">
        <f t="shared" ca="1" si="134"/>
        <v/>
      </c>
      <c r="Y1014" t="b">
        <f t="shared" ca="1" si="137"/>
        <v>1</v>
      </c>
    </row>
    <row r="1015" spans="1:25" ht="77.5">
      <c r="A1015" s="705" t="s">
        <v>3661</v>
      </c>
      <c r="B1015" s="716" t="str">
        <f t="shared" ca="1" si="131"/>
        <v>ABC income stream - G15</v>
      </c>
      <c r="C1015" s="707" t="str" cm="1">
        <f t="array" aca="1" ref="C1015" ca="1">INDIRECT(LEFT(I1015, FIND("!", I1015)) &amp; RefData!$C$426 &amp; RIGHT(I1015, LEN(I1015) - FIND("!", I1015) - 1))</f>
        <v xml:space="preserve">
No answer required
Year 8
</v>
      </c>
      <c r="D1015" s="92" t="str">
        <f t="shared" ca="1" si="140"/>
        <v/>
      </c>
      <c r="E1015" s="708" t="str" cm="1">
        <f t="array" aca="1" ref="E1015" ca="1">IF(INDIRECT($I1015)= "", "", INDIRECT($I1015))</f>
        <v/>
      </c>
      <c r="F1015" s="709" t="str" cm="1">
        <f t="array" aca="1" ref="F1015" ca="1">SUBSTITUTE(INDIRECT(LEFT(I1015, FIND("!", I1015)) &amp; RefData!$C$427 &amp; RIGHT(I1015, LEN(I1015) - FIND("!", I1015) - 1)), "/1-5", "/5")</f>
        <v>AIS 8.0/5</v>
      </c>
      <c r="G1015" s="710" t="b">
        <f ca="1">IF(ISNUMBER(SEARCH(RefData!$B$2, $C1015)), FALSE, TRUE)</f>
        <v>0</v>
      </c>
      <c r="H1015" s="344">
        <f>'ABC income stream'!G15</f>
        <v>0</v>
      </c>
      <c r="I1015" s="712" t="str">
        <f t="shared" ca="1" si="132"/>
        <v>'ABC income stream'!G15</v>
      </c>
      <c r="J1015" s="713" t="b" cm="1">
        <f t="array" aca="1" ref="J1015" ca="1">IF(COUNTIF($K1015:$T1015, "&lt;&gt;FALSE") - COUNTBLANK($K1015:$T1015) &gt; 0, INDEX($K1015:$T1015, MATCH(TRUE, $K1015:$T1015 &lt;&gt; FALSE, 0)))</f>
        <v>0</v>
      </c>
      <c r="K1015" s="712" t="b">
        <f ca="1">IF(AND('Asset-backed contributions'!$C$7=0,'Reconciliation report'!$E1015&lt;&gt;""),ErrorMsgs!$B1015)</f>
        <v>0</v>
      </c>
      <c r="L1015" s="712" t="b">
        <f ca="1">IF(AND('Asset-backed contributions'!$C$7&lt;5,'Reconciliation report'!$E1015&lt;&gt;""),ErrorMsgs!$C1015)</f>
        <v>0</v>
      </c>
      <c r="M1015" s="712" t="b">
        <f ca="1">IF(AND('Asset-backed contributions'!$C$7&gt;=5,'Reconciliation report'!$E1015=""),ErrorMsgs!$D1015)</f>
        <v>0</v>
      </c>
      <c r="N1015" s="712" t="b">
        <f ca="1">IF($E1015="",FALSE,IF(ISERROR(VALUE($E1015)),ErrorMsgs!$E1015,IF(OR(VALUE($E1015)-ROUND(VALUE($E1015),2)&lt;&gt;0,VALUE($E1015)&lt;0,VALUE($E1015)&gt;=1000000000000),ErrorMsgs!$E1015)))</f>
        <v>0</v>
      </c>
      <c r="O1015" s="712"/>
      <c r="P1015" s="712"/>
      <c r="Q1015" s="712"/>
      <c r="R1015" s="712"/>
      <c r="S1015" s="712"/>
      <c r="T1015" s="712"/>
      <c r="U1015" s="526" t="str">
        <f t="shared" ca="1" si="135"/>
        <v/>
      </c>
      <c r="V1015" s="93" t="str" cm="1">
        <f t="array" aca="1" ref="V1015" ca="1">CELL("format",INDIRECT(I1015))</f>
        <v>C2</v>
      </c>
      <c r="W1015" s="93" t="b">
        <f t="shared" ca="1" si="136"/>
        <v>0</v>
      </c>
      <c r="X1015" s="715" t="str">
        <f t="shared" ca="1" si="134"/>
        <v/>
      </c>
      <c r="Y1015" t="b">
        <f t="shared" ca="1" si="137"/>
        <v>1</v>
      </c>
    </row>
    <row r="1016" spans="1:25" ht="77.5">
      <c r="A1016" s="705" t="s">
        <v>3662</v>
      </c>
      <c r="B1016" s="716" t="str">
        <f t="shared" ca="1" si="131"/>
        <v>ABC income stream - G16</v>
      </c>
      <c r="C1016" s="707" t="str" cm="1">
        <f t="array" aca="1" ref="C1016" ca="1">INDIRECT(LEFT(I1016, FIND("!", I1016)) &amp; RefData!$C$426 &amp; RIGHT(I1016, LEN(I1016) - FIND("!", I1016) - 1))</f>
        <v xml:space="preserve">
No answer required
Year 9
</v>
      </c>
      <c r="D1016" s="92" t="str">
        <f t="shared" ca="1" si="140"/>
        <v/>
      </c>
      <c r="E1016" s="708" t="str" cm="1">
        <f t="array" aca="1" ref="E1016" ca="1">IF(INDIRECT($I1016)= "", "", INDIRECT($I1016))</f>
        <v/>
      </c>
      <c r="F1016" s="709" t="str" cm="1">
        <f t="array" aca="1" ref="F1016" ca="1">SUBSTITUTE(INDIRECT(LEFT(I1016, FIND("!", I1016)) &amp; RefData!$C$427 &amp; RIGHT(I1016, LEN(I1016) - FIND("!", I1016) - 1)), "/1-5", "/5")</f>
        <v>AIS 9.0/5</v>
      </c>
      <c r="G1016" s="710" t="b">
        <f ca="1">IF(ISNUMBER(SEARCH(RefData!$B$2, $C1016)), FALSE, TRUE)</f>
        <v>0</v>
      </c>
      <c r="H1016" s="344">
        <f>'ABC income stream'!G16</f>
        <v>0</v>
      </c>
      <c r="I1016" s="712" t="str">
        <f t="shared" ca="1" si="132"/>
        <v>'ABC income stream'!G16</v>
      </c>
      <c r="J1016" s="713" t="b" cm="1">
        <f t="array" aca="1" ref="J1016" ca="1">IF(COUNTIF($K1016:$T1016, "&lt;&gt;FALSE") - COUNTBLANK($K1016:$T1016) &gt; 0, INDEX($K1016:$T1016, MATCH(TRUE, $K1016:$T1016 &lt;&gt; FALSE, 0)))</f>
        <v>0</v>
      </c>
      <c r="K1016" s="712" t="b">
        <f ca="1">IF(AND('Asset-backed contributions'!$C$7=0,'Reconciliation report'!$E1016&lt;&gt;""),ErrorMsgs!$B1016)</f>
        <v>0</v>
      </c>
      <c r="L1016" s="712" t="b">
        <f ca="1">IF(AND('Asset-backed contributions'!$C$7&lt;5,'Reconciliation report'!$E1016&lt;&gt;""),ErrorMsgs!$C1016)</f>
        <v>0</v>
      </c>
      <c r="M1016" s="712" t="b">
        <f ca="1">IF(AND('Asset-backed contributions'!$C$7&gt;=5,'Reconciliation report'!$E1016=""),ErrorMsgs!$D1016)</f>
        <v>0</v>
      </c>
      <c r="N1016" s="712" t="b">
        <f ca="1">IF($E1016="",FALSE,IF(ISERROR(VALUE($E1016)),ErrorMsgs!$E1016,IF(OR(VALUE($E1016)-ROUND(VALUE($E1016),2)&lt;&gt;0,VALUE($E1016)&lt;0,VALUE($E1016)&gt;=1000000000000),ErrorMsgs!$E1016)))</f>
        <v>0</v>
      </c>
      <c r="O1016" s="712"/>
      <c r="P1016" s="712"/>
      <c r="Q1016" s="712"/>
      <c r="R1016" s="712"/>
      <c r="S1016" s="712"/>
      <c r="T1016" s="712"/>
      <c r="U1016" s="526" t="str">
        <f t="shared" ca="1" si="135"/>
        <v/>
      </c>
      <c r="V1016" s="93" t="str" cm="1">
        <f t="array" aca="1" ref="V1016" ca="1">CELL("format",INDIRECT(I1016))</f>
        <v>C2</v>
      </c>
      <c r="W1016" s="93" t="b">
        <f t="shared" ca="1" si="136"/>
        <v>0</v>
      </c>
      <c r="X1016" s="715" t="str">
        <f t="shared" ca="1" si="134"/>
        <v/>
      </c>
      <c r="Y1016" t="b">
        <f t="shared" ca="1" si="137"/>
        <v>1</v>
      </c>
    </row>
    <row r="1017" spans="1:25" ht="77.5">
      <c r="A1017" s="705" t="s">
        <v>3663</v>
      </c>
      <c r="B1017" s="716" t="str">
        <f t="shared" ca="1" si="131"/>
        <v>ABC income stream - G17</v>
      </c>
      <c r="C1017" s="707" t="str" cm="1">
        <f t="array" aca="1" ref="C1017" ca="1">INDIRECT(LEFT(I1017, FIND("!", I1017)) &amp; RefData!$C$426 &amp; RIGHT(I1017, LEN(I1017) - FIND("!", I1017) - 1))</f>
        <v xml:space="preserve">
No answer required
Year 10
</v>
      </c>
      <c r="D1017" s="92" t="str">
        <f t="shared" ca="1" si="140"/>
        <v/>
      </c>
      <c r="E1017" s="708" t="str" cm="1">
        <f t="array" aca="1" ref="E1017" ca="1">IF(INDIRECT($I1017)= "", "", INDIRECT($I1017))</f>
        <v/>
      </c>
      <c r="F1017" s="709" t="str" cm="1">
        <f t="array" aca="1" ref="F1017" ca="1">SUBSTITUTE(INDIRECT(LEFT(I1017, FIND("!", I1017)) &amp; RefData!$C$427 &amp; RIGHT(I1017, LEN(I1017) - FIND("!", I1017) - 1)), "/1-5", "/5")</f>
        <v>AIS 10.0/5</v>
      </c>
      <c r="G1017" s="710" t="b">
        <f ca="1">IF(ISNUMBER(SEARCH(RefData!$B$2, $C1017)), FALSE, TRUE)</f>
        <v>0</v>
      </c>
      <c r="H1017" s="344">
        <f>'ABC income stream'!G17</f>
        <v>0</v>
      </c>
      <c r="I1017" s="712" t="str">
        <f t="shared" ca="1" si="132"/>
        <v>'ABC income stream'!G17</v>
      </c>
      <c r="J1017" s="713" t="b" cm="1">
        <f t="array" aca="1" ref="J1017" ca="1">IF(COUNTIF($K1017:$T1017, "&lt;&gt;FALSE") - COUNTBLANK($K1017:$T1017) &gt; 0, INDEX($K1017:$T1017, MATCH(TRUE, $K1017:$T1017 &lt;&gt; FALSE, 0)))</f>
        <v>0</v>
      </c>
      <c r="K1017" s="712" t="b">
        <f ca="1">IF(AND('Asset-backed contributions'!$C$7=0,'Reconciliation report'!$E1017&lt;&gt;""),ErrorMsgs!$B1017)</f>
        <v>0</v>
      </c>
      <c r="L1017" s="712" t="b">
        <f ca="1">IF(AND('Asset-backed contributions'!$C$7&lt;5,'Reconciliation report'!$E1017&lt;&gt;""),ErrorMsgs!$C1017)</f>
        <v>0</v>
      </c>
      <c r="M1017" s="712" t="b">
        <f ca="1">IF(AND('Asset-backed contributions'!$C$7&gt;=5,'Reconciliation report'!$E1017=""),ErrorMsgs!$D1017)</f>
        <v>0</v>
      </c>
      <c r="N1017" s="712" t="b">
        <f ca="1">IF($E1017="",FALSE,IF(ISERROR(VALUE($E1017)),ErrorMsgs!$E1017,IF(OR(VALUE($E1017)-ROUND(VALUE($E1017),2)&lt;&gt;0,VALUE($E1017)&lt;0,VALUE($E1017)&gt;=1000000000000),ErrorMsgs!$E1017)))</f>
        <v>0</v>
      </c>
      <c r="O1017" s="712"/>
      <c r="P1017" s="712"/>
      <c r="Q1017" s="712"/>
      <c r="R1017" s="712"/>
      <c r="S1017" s="712"/>
      <c r="T1017" s="712"/>
      <c r="U1017" s="526" t="str">
        <f t="shared" ca="1" si="135"/>
        <v/>
      </c>
      <c r="V1017" s="93" t="str" cm="1">
        <f t="array" aca="1" ref="V1017" ca="1">CELL("format",INDIRECT(I1017))</f>
        <v>C2</v>
      </c>
      <c r="W1017" s="93" t="b">
        <f t="shared" ca="1" si="136"/>
        <v>0</v>
      </c>
      <c r="X1017" s="715" t="str">
        <f t="shared" ca="1" si="134"/>
        <v/>
      </c>
      <c r="Y1017" t="b">
        <f t="shared" ca="1" si="137"/>
        <v>1</v>
      </c>
    </row>
    <row r="1018" spans="1:25" ht="77.5">
      <c r="A1018" s="705" t="s">
        <v>3664</v>
      </c>
      <c r="B1018" s="716" t="str">
        <f t="shared" ca="1" si="131"/>
        <v>ABC income stream - G18</v>
      </c>
      <c r="C1018" s="707" t="str" cm="1">
        <f t="array" aca="1" ref="C1018" ca="1">INDIRECT(LEFT(I1018, FIND("!", I1018)) &amp; RefData!$C$426 &amp; RIGHT(I1018, LEN(I1018) - FIND("!", I1018) - 1))</f>
        <v xml:space="preserve">
No answer required
Year 11
</v>
      </c>
      <c r="D1018" s="92" t="str">
        <f t="shared" ca="1" si="140"/>
        <v/>
      </c>
      <c r="E1018" s="708" t="str" cm="1">
        <f t="array" aca="1" ref="E1018" ca="1">IF(INDIRECT($I1018)= "", "", INDIRECT($I1018))</f>
        <v/>
      </c>
      <c r="F1018" s="709" t="str" cm="1">
        <f t="array" aca="1" ref="F1018" ca="1">SUBSTITUTE(INDIRECT(LEFT(I1018, FIND("!", I1018)) &amp; RefData!$C$427 &amp; RIGHT(I1018, LEN(I1018) - FIND("!", I1018) - 1)), "/1-5", "/5")</f>
        <v>AIS 11.0/5</v>
      </c>
      <c r="G1018" s="710" t="b">
        <f ca="1">IF(ISNUMBER(SEARCH(RefData!$B$2, $C1018)), FALSE, TRUE)</f>
        <v>0</v>
      </c>
      <c r="H1018" s="344">
        <f>'ABC income stream'!G18</f>
        <v>0</v>
      </c>
      <c r="I1018" s="712" t="str">
        <f t="shared" ca="1" si="132"/>
        <v>'ABC income stream'!G18</v>
      </c>
      <c r="J1018" s="713" t="b" cm="1">
        <f t="array" aca="1" ref="J1018" ca="1">IF(COUNTIF($K1018:$T1018, "&lt;&gt;FALSE") - COUNTBLANK($K1018:$T1018) &gt; 0, INDEX($K1018:$T1018, MATCH(TRUE, $K1018:$T1018 &lt;&gt; FALSE, 0)))</f>
        <v>0</v>
      </c>
      <c r="K1018" s="712" t="b">
        <f ca="1">IF(AND('Asset-backed contributions'!$C$7=0,'Reconciliation report'!$E1018&lt;&gt;""),ErrorMsgs!$B1018)</f>
        <v>0</v>
      </c>
      <c r="L1018" s="712" t="b">
        <f ca="1">IF(AND('Asset-backed contributions'!$C$7&lt;5,'Reconciliation report'!$E1018&lt;&gt;""),ErrorMsgs!$C1018)</f>
        <v>0</v>
      </c>
      <c r="M1018" s="712" t="b">
        <f ca="1">IF(AND('Asset-backed contributions'!$C$7&gt;=5,'Reconciliation report'!$E1018=""),ErrorMsgs!$D1018)</f>
        <v>0</v>
      </c>
      <c r="N1018" s="712" t="b">
        <f ca="1">IF($E1018="",FALSE,IF(ISERROR(VALUE($E1018)),ErrorMsgs!$E1018,IF(OR(VALUE($E1018)-ROUND(VALUE($E1018),2)&lt;&gt;0,VALUE($E1018)&lt;0,VALUE($E1018)&gt;=1000000000000),ErrorMsgs!$E1018)))</f>
        <v>0</v>
      </c>
      <c r="O1018" s="712"/>
      <c r="P1018" s="712"/>
      <c r="Q1018" s="712"/>
      <c r="R1018" s="712"/>
      <c r="S1018" s="712"/>
      <c r="T1018" s="712"/>
      <c r="U1018" s="526" t="str">
        <f t="shared" ca="1" si="135"/>
        <v/>
      </c>
      <c r="V1018" s="93" t="str" cm="1">
        <f t="array" aca="1" ref="V1018" ca="1">CELL("format",INDIRECT(I1018))</f>
        <v>C2</v>
      </c>
      <c r="W1018" s="93" t="b">
        <f t="shared" ca="1" si="136"/>
        <v>0</v>
      </c>
      <c r="X1018" s="715" t="str">
        <f t="shared" ca="1" si="134"/>
        <v/>
      </c>
      <c r="Y1018" t="b">
        <f t="shared" ca="1" si="137"/>
        <v>1</v>
      </c>
    </row>
    <row r="1019" spans="1:25" ht="77.5">
      <c r="A1019" s="705" t="s">
        <v>3665</v>
      </c>
      <c r="B1019" s="716" t="str">
        <f t="shared" ca="1" si="131"/>
        <v>ABC income stream - G19</v>
      </c>
      <c r="C1019" s="707" t="str" cm="1">
        <f t="array" aca="1" ref="C1019" ca="1">INDIRECT(LEFT(I1019, FIND("!", I1019)) &amp; RefData!$C$426 &amp; RIGHT(I1019, LEN(I1019) - FIND("!", I1019) - 1))</f>
        <v xml:space="preserve">
No answer required
Year 12
</v>
      </c>
      <c r="D1019" s="92" t="str">
        <f t="shared" ca="1" si="140"/>
        <v/>
      </c>
      <c r="E1019" s="708" t="str" cm="1">
        <f t="array" aca="1" ref="E1019" ca="1">IF(INDIRECT($I1019)= "", "", INDIRECT($I1019))</f>
        <v/>
      </c>
      <c r="F1019" s="709" t="str" cm="1">
        <f t="array" aca="1" ref="F1019" ca="1">SUBSTITUTE(INDIRECT(LEFT(I1019, FIND("!", I1019)) &amp; RefData!$C$427 &amp; RIGHT(I1019, LEN(I1019) - FIND("!", I1019) - 1)), "/1-5", "/5")</f>
        <v>AIS 12.0/5</v>
      </c>
      <c r="G1019" s="710" t="b">
        <f ca="1">IF(ISNUMBER(SEARCH(RefData!$B$2, $C1019)), FALSE, TRUE)</f>
        <v>0</v>
      </c>
      <c r="H1019" s="344">
        <f>'ABC income stream'!G19</f>
        <v>0</v>
      </c>
      <c r="I1019" s="712" t="str">
        <f t="shared" ca="1" si="132"/>
        <v>'ABC income stream'!G19</v>
      </c>
      <c r="J1019" s="713" t="b" cm="1">
        <f t="array" aca="1" ref="J1019" ca="1">IF(COUNTIF($K1019:$T1019, "&lt;&gt;FALSE") - COUNTBLANK($K1019:$T1019) &gt; 0, INDEX($K1019:$T1019, MATCH(TRUE, $K1019:$T1019 &lt;&gt; FALSE, 0)))</f>
        <v>0</v>
      </c>
      <c r="K1019" s="712" t="b">
        <f ca="1">IF(AND('Asset-backed contributions'!$C$7=0,'Reconciliation report'!$E1019&lt;&gt;""),ErrorMsgs!$B1019)</f>
        <v>0</v>
      </c>
      <c r="L1019" s="712" t="b">
        <f ca="1">IF(AND('Asset-backed contributions'!$C$7&lt;5,'Reconciliation report'!$E1019&lt;&gt;""),ErrorMsgs!$C1019)</f>
        <v>0</v>
      </c>
      <c r="M1019" s="712" t="b">
        <f ca="1">IF(AND('Asset-backed contributions'!$C$7&gt;=5,'Reconciliation report'!$E1019=""),ErrorMsgs!$D1019)</f>
        <v>0</v>
      </c>
      <c r="N1019" s="712" t="b">
        <f ca="1">IF($E1019="",FALSE,IF(ISERROR(VALUE($E1019)),ErrorMsgs!$E1019,IF(OR(VALUE($E1019)-ROUND(VALUE($E1019),2)&lt;&gt;0,VALUE($E1019)&lt;0,VALUE($E1019)&gt;=1000000000000),ErrorMsgs!$E1019)))</f>
        <v>0</v>
      </c>
      <c r="O1019" s="712"/>
      <c r="P1019" s="712"/>
      <c r="Q1019" s="712"/>
      <c r="R1019" s="712"/>
      <c r="S1019" s="712"/>
      <c r="T1019" s="712"/>
      <c r="U1019" s="526" t="str">
        <f t="shared" ca="1" si="135"/>
        <v/>
      </c>
      <c r="V1019" s="93" t="str" cm="1">
        <f t="array" aca="1" ref="V1019" ca="1">CELL("format",INDIRECT(I1019))</f>
        <v>C2</v>
      </c>
      <c r="W1019" s="93" t="b">
        <f t="shared" ca="1" si="136"/>
        <v>0</v>
      </c>
      <c r="X1019" s="715" t="str">
        <f t="shared" ca="1" si="134"/>
        <v/>
      </c>
      <c r="Y1019" t="b">
        <f t="shared" ca="1" si="137"/>
        <v>1</v>
      </c>
    </row>
    <row r="1020" spans="1:25" ht="77.5">
      <c r="A1020" s="705" t="s">
        <v>3666</v>
      </c>
      <c r="B1020" s="716" t="str">
        <f t="shared" ca="1" si="131"/>
        <v>ABC income stream - G20</v>
      </c>
      <c r="C1020" s="707" t="str" cm="1">
        <f t="array" aca="1" ref="C1020" ca="1">INDIRECT(LEFT(I1020, FIND("!", I1020)) &amp; RefData!$C$426 &amp; RIGHT(I1020, LEN(I1020) - FIND("!", I1020) - 1))</f>
        <v xml:space="preserve">
No answer required
Year 13
</v>
      </c>
      <c r="D1020" s="92" t="str">
        <f t="shared" ca="1" si="140"/>
        <v/>
      </c>
      <c r="E1020" s="708" t="str" cm="1">
        <f t="array" aca="1" ref="E1020" ca="1">IF(INDIRECT($I1020)= "", "", INDIRECT($I1020))</f>
        <v/>
      </c>
      <c r="F1020" s="709" t="str" cm="1">
        <f t="array" aca="1" ref="F1020" ca="1">SUBSTITUTE(INDIRECT(LEFT(I1020, FIND("!", I1020)) &amp; RefData!$C$427 &amp; RIGHT(I1020, LEN(I1020) - FIND("!", I1020) - 1)), "/1-5", "/5")</f>
        <v>AIS 13.0/5</v>
      </c>
      <c r="G1020" s="710" t="b">
        <f ca="1">IF(ISNUMBER(SEARCH(RefData!$B$2, $C1020)), FALSE, TRUE)</f>
        <v>0</v>
      </c>
      <c r="H1020" s="344">
        <f>'ABC income stream'!G20</f>
        <v>0</v>
      </c>
      <c r="I1020" s="712" t="str">
        <f t="shared" ca="1" si="132"/>
        <v>'ABC income stream'!G20</v>
      </c>
      <c r="J1020" s="713" t="b" cm="1">
        <f t="array" aca="1" ref="J1020" ca="1">IF(COUNTIF($K1020:$T1020, "&lt;&gt;FALSE") - COUNTBLANK($K1020:$T1020) &gt; 0, INDEX($K1020:$T1020, MATCH(TRUE, $K1020:$T1020 &lt;&gt; FALSE, 0)))</f>
        <v>0</v>
      </c>
      <c r="K1020" s="712" t="b">
        <f ca="1">IF(AND('Asset-backed contributions'!$C$7=0,'Reconciliation report'!$E1020&lt;&gt;""),ErrorMsgs!$B1020)</f>
        <v>0</v>
      </c>
      <c r="L1020" s="712" t="b">
        <f ca="1">IF(AND('Asset-backed contributions'!$C$7&lt;5,'Reconciliation report'!$E1020&lt;&gt;""),ErrorMsgs!$C1020)</f>
        <v>0</v>
      </c>
      <c r="M1020" s="712" t="b">
        <f ca="1">IF(AND('Asset-backed contributions'!$C$7&gt;=5,'Reconciliation report'!$E1020=""),ErrorMsgs!$D1020)</f>
        <v>0</v>
      </c>
      <c r="N1020" s="712" t="b">
        <f ca="1">IF($E1020="",FALSE,IF(ISERROR(VALUE($E1020)),ErrorMsgs!$E1020,IF(OR(VALUE($E1020)-ROUND(VALUE($E1020),2)&lt;&gt;0,VALUE($E1020)&lt;0,VALUE($E1020)&gt;=1000000000000),ErrorMsgs!$E1020)))</f>
        <v>0</v>
      </c>
      <c r="O1020" s="712"/>
      <c r="P1020" s="712"/>
      <c r="Q1020" s="712"/>
      <c r="R1020" s="712"/>
      <c r="S1020" s="712"/>
      <c r="T1020" s="712"/>
      <c r="U1020" s="526" t="str">
        <f t="shared" ca="1" si="135"/>
        <v/>
      </c>
      <c r="V1020" s="93" t="str" cm="1">
        <f t="array" aca="1" ref="V1020" ca="1">CELL("format",INDIRECT(I1020))</f>
        <v>C2</v>
      </c>
      <c r="W1020" s="93" t="b">
        <f t="shared" ca="1" si="136"/>
        <v>0</v>
      </c>
      <c r="X1020" s="715" t="str">
        <f t="shared" ca="1" si="134"/>
        <v/>
      </c>
      <c r="Y1020" t="b">
        <f t="shared" ca="1" si="137"/>
        <v>1</v>
      </c>
    </row>
    <row r="1021" spans="1:25" ht="77.5">
      <c r="A1021" s="705" t="s">
        <v>3667</v>
      </c>
      <c r="B1021" s="716" t="str">
        <f t="shared" ca="1" si="131"/>
        <v>ABC income stream - G21</v>
      </c>
      <c r="C1021" s="707" t="str" cm="1">
        <f t="array" aca="1" ref="C1021" ca="1">INDIRECT(LEFT(I1021, FIND("!", I1021)) &amp; RefData!$C$426 &amp; RIGHT(I1021, LEN(I1021) - FIND("!", I1021) - 1))</f>
        <v xml:space="preserve">
No answer required
Year 14
</v>
      </c>
      <c r="D1021" s="92" t="str">
        <f t="shared" ca="1" si="140"/>
        <v/>
      </c>
      <c r="E1021" s="708" t="str" cm="1">
        <f t="array" aca="1" ref="E1021" ca="1">IF(INDIRECT($I1021)= "", "", INDIRECT($I1021))</f>
        <v/>
      </c>
      <c r="F1021" s="709" t="str" cm="1">
        <f t="array" aca="1" ref="F1021" ca="1">SUBSTITUTE(INDIRECT(LEFT(I1021, FIND("!", I1021)) &amp; RefData!$C$427 &amp; RIGHT(I1021, LEN(I1021) - FIND("!", I1021) - 1)), "/1-5", "/5")</f>
        <v>AIS 14.0/5</v>
      </c>
      <c r="G1021" s="710" t="b">
        <f ca="1">IF(ISNUMBER(SEARCH(RefData!$B$2, $C1021)), FALSE, TRUE)</f>
        <v>0</v>
      </c>
      <c r="H1021" s="344">
        <f>'ABC income stream'!G21</f>
        <v>0</v>
      </c>
      <c r="I1021" s="712" t="str">
        <f t="shared" ca="1" si="132"/>
        <v>'ABC income stream'!G21</v>
      </c>
      <c r="J1021" s="713" t="b" cm="1">
        <f t="array" aca="1" ref="J1021" ca="1">IF(COUNTIF($K1021:$T1021, "&lt;&gt;FALSE") - COUNTBLANK($K1021:$T1021) &gt; 0, INDEX($K1021:$T1021, MATCH(TRUE, $K1021:$T1021 &lt;&gt; FALSE, 0)))</f>
        <v>0</v>
      </c>
      <c r="K1021" s="712" t="b">
        <f ca="1">IF(AND('Asset-backed contributions'!$C$7=0,'Reconciliation report'!$E1021&lt;&gt;""),ErrorMsgs!$B1021)</f>
        <v>0</v>
      </c>
      <c r="L1021" s="712" t="b">
        <f ca="1">IF(AND('Asset-backed contributions'!$C$7&lt;5,'Reconciliation report'!$E1021&lt;&gt;""),ErrorMsgs!$C1021)</f>
        <v>0</v>
      </c>
      <c r="M1021" s="712" t="b">
        <f ca="1">IF(AND('Asset-backed contributions'!$C$7&gt;=5,'Reconciliation report'!$E1021=""),ErrorMsgs!$D1021)</f>
        <v>0</v>
      </c>
      <c r="N1021" s="712" t="b">
        <f ca="1">IF($E1021="",FALSE,IF(ISERROR(VALUE($E1021)),ErrorMsgs!$E1021,IF(OR(VALUE($E1021)-ROUND(VALUE($E1021),2)&lt;&gt;0,VALUE($E1021)&lt;0,VALUE($E1021)&gt;=1000000000000),ErrorMsgs!$E1021)))</f>
        <v>0</v>
      </c>
      <c r="O1021" s="712"/>
      <c r="P1021" s="712"/>
      <c r="Q1021" s="712"/>
      <c r="R1021" s="712"/>
      <c r="S1021" s="712"/>
      <c r="T1021" s="712"/>
      <c r="U1021" s="526" t="str">
        <f t="shared" ca="1" si="135"/>
        <v/>
      </c>
      <c r="V1021" s="93" t="str" cm="1">
        <f t="array" aca="1" ref="V1021" ca="1">CELL("format",INDIRECT(I1021))</f>
        <v>C2</v>
      </c>
      <c r="W1021" s="93" t="b">
        <f t="shared" ca="1" si="136"/>
        <v>0</v>
      </c>
      <c r="X1021" s="715" t="str">
        <f t="shared" ca="1" si="134"/>
        <v/>
      </c>
      <c r="Y1021" t="b">
        <f t="shared" ca="1" si="137"/>
        <v>1</v>
      </c>
    </row>
    <row r="1022" spans="1:25" ht="77.5">
      <c r="A1022" s="705" t="s">
        <v>3668</v>
      </c>
      <c r="B1022" s="716" t="str">
        <f t="shared" ca="1" si="131"/>
        <v>ABC income stream - G22</v>
      </c>
      <c r="C1022" s="707" t="str" cm="1">
        <f t="array" aca="1" ref="C1022" ca="1">INDIRECT(LEFT(I1022, FIND("!", I1022)) &amp; RefData!$C$426 &amp; RIGHT(I1022, LEN(I1022) - FIND("!", I1022) - 1))</f>
        <v xml:space="preserve">
No answer required
Year 15
</v>
      </c>
      <c r="D1022" s="92" t="str">
        <f t="shared" ca="1" si="140"/>
        <v/>
      </c>
      <c r="E1022" s="708" t="str" cm="1">
        <f t="array" aca="1" ref="E1022" ca="1">IF(INDIRECT($I1022)= "", "", INDIRECT($I1022))</f>
        <v/>
      </c>
      <c r="F1022" s="709" t="str" cm="1">
        <f t="array" aca="1" ref="F1022" ca="1">SUBSTITUTE(INDIRECT(LEFT(I1022, FIND("!", I1022)) &amp; RefData!$C$427 &amp; RIGHT(I1022, LEN(I1022) - FIND("!", I1022) - 1)), "/1-5", "/5")</f>
        <v>AIS 15.0/5</v>
      </c>
      <c r="G1022" s="710" t="b">
        <f ca="1">IF(ISNUMBER(SEARCH(RefData!$B$2, $C1022)), FALSE, TRUE)</f>
        <v>0</v>
      </c>
      <c r="H1022" s="344">
        <f>'ABC income stream'!G22</f>
        <v>0</v>
      </c>
      <c r="I1022" s="712" t="str">
        <f t="shared" ca="1" si="132"/>
        <v>'ABC income stream'!G22</v>
      </c>
      <c r="J1022" s="713" t="b" cm="1">
        <f t="array" aca="1" ref="J1022" ca="1">IF(COUNTIF($K1022:$T1022, "&lt;&gt;FALSE") - COUNTBLANK($K1022:$T1022) &gt; 0, INDEX($K1022:$T1022, MATCH(TRUE, $K1022:$T1022 &lt;&gt; FALSE, 0)))</f>
        <v>0</v>
      </c>
      <c r="K1022" s="712" t="b">
        <f ca="1">IF(AND('Asset-backed contributions'!$C$7=0,'Reconciliation report'!$E1022&lt;&gt;""),ErrorMsgs!$B1022)</f>
        <v>0</v>
      </c>
      <c r="L1022" s="712" t="b">
        <f ca="1">IF(AND('Asset-backed contributions'!$C$7&lt;5,'Reconciliation report'!$E1022&lt;&gt;""),ErrorMsgs!$C1022)</f>
        <v>0</v>
      </c>
      <c r="M1022" s="712" t="b">
        <f ca="1">IF(AND('Asset-backed contributions'!$C$7&gt;=5,'Reconciliation report'!$E1022=""),ErrorMsgs!$D1022)</f>
        <v>0</v>
      </c>
      <c r="N1022" s="712" t="b">
        <f ca="1">IF($E1022="",FALSE,IF(ISERROR(VALUE($E1022)),ErrorMsgs!$E1022,IF(OR(VALUE($E1022)-ROUND(VALUE($E1022),2)&lt;&gt;0,VALUE($E1022)&lt;0,VALUE($E1022)&gt;=1000000000000),ErrorMsgs!$E1022)))</f>
        <v>0</v>
      </c>
      <c r="O1022" s="712"/>
      <c r="P1022" s="712"/>
      <c r="Q1022" s="712"/>
      <c r="R1022" s="712"/>
      <c r="S1022" s="712"/>
      <c r="T1022" s="712"/>
      <c r="U1022" s="526" t="str">
        <f t="shared" ca="1" si="135"/>
        <v/>
      </c>
      <c r="V1022" s="93" t="str" cm="1">
        <f t="array" aca="1" ref="V1022" ca="1">CELL("format",INDIRECT(I1022))</f>
        <v>C2</v>
      </c>
      <c r="W1022" s="93" t="b">
        <f t="shared" ca="1" si="136"/>
        <v>0</v>
      </c>
      <c r="X1022" s="715" t="str">
        <f t="shared" ca="1" si="134"/>
        <v/>
      </c>
      <c r="Y1022" t="b">
        <f t="shared" ca="1" si="137"/>
        <v>1</v>
      </c>
    </row>
    <row r="1023" spans="1:25" ht="77.5">
      <c r="A1023" s="705" t="s">
        <v>3669</v>
      </c>
      <c r="B1023" s="716" t="str">
        <f t="shared" ca="1" si="131"/>
        <v>ABC income stream - G23</v>
      </c>
      <c r="C1023" s="707" t="str" cm="1">
        <f t="array" aca="1" ref="C1023" ca="1">INDIRECT(LEFT(I1023, FIND("!", I1023)) &amp; RefData!$C$426 &amp; RIGHT(I1023, LEN(I1023) - FIND("!", I1023) - 1))</f>
        <v xml:space="preserve">
No answer required
Year 16
</v>
      </c>
      <c r="D1023" s="92" t="str">
        <f t="shared" ca="1" si="140"/>
        <v/>
      </c>
      <c r="E1023" s="708" t="str" cm="1">
        <f t="array" aca="1" ref="E1023" ca="1">IF(INDIRECT($I1023)= "", "", INDIRECT($I1023))</f>
        <v/>
      </c>
      <c r="F1023" s="709" t="str" cm="1">
        <f t="array" aca="1" ref="F1023" ca="1">SUBSTITUTE(INDIRECT(LEFT(I1023, FIND("!", I1023)) &amp; RefData!$C$427 &amp; RIGHT(I1023, LEN(I1023) - FIND("!", I1023) - 1)), "/1-5", "/5")</f>
        <v>AIS 16.0/5</v>
      </c>
      <c r="G1023" s="710" t="b">
        <f ca="1">IF(ISNUMBER(SEARCH(RefData!$B$2, $C1023)), FALSE, TRUE)</f>
        <v>0</v>
      </c>
      <c r="H1023" s="344">
        <f>'ABC income stream'!G23</f>
        <v>0</v>
      </c>
      <c r="I1023" s="712" t="str">
        <f t="shared" ca="1" si="132"/>
        <v>'ABC income stream'!G23</v>
      </c>
      <c r="J1023" s="713" t="b" cm="1">
        <f t="array" aca="1" ref="J1023" ca="1">IF(COUNTIF($K1023:$T1023, "&lt;&gt;FALSE") - COUNTBLANK($K1023:$T1023) &gt; 0, INDEX($K1023:$T1023, MATCH(TRUE, $K1023:$T1023 &lt;&gt; FALSE, 0)))</f>
        <v>0</v>
      </c>
      <c r="K1023" s="712" t="b">
        <f ca="1">IF(AND('Asset-backed contributions'!$C$7=0,'Reconciliation report'!$E1023&lt;&gt;""),ErrorMsgs!$B1023)</f>
        <v>0</v>
      </c>
      <c r="L1023" s="712" t="b">
        <f ca="1">IF(AND('Asset-backed contributions'!$C$7&lt;5,'Reconciliation report'!$E1023&lt;&gt;""),ErrorMsgs!$C1023)</f>
        <v>0</v>
      </c>
      <c r="M1023" s="712" t="b">
        <f ca="1">IF(AND('Asset-backed contributions'!$C$7&gt;=5,'Reconciliation report'!$E1023=""),ErrorMsgs!$D1023)</f>
        <v>0</v>
      </c>
      <c r="N1023" s="712" t="b">
        <f ca="1">IF($E1023="",FALSE,IF(ISERROR(VALUE($E1023)),ErrorMsgs!$E1023,IF(OR(VALUE($E1023)-ROUND(VALUE($E1023),2)&lt;&gt;0,VALUE($E1023)&lt;0,VALUE($E1023)&gt;=1000000000000),ErrorMsgs!$E1023)))</f>
        <v>0</v>
      </c>
      <c r="O1023" s="712"/>
      <c r="P1023" s="712"/>
      <c r="Q1023" s="712"/>
      <c r="R1023" s="712"/>
      <c r="S1023" s="712"/>
      <c r="T1023" s="712"/>
      <c r="U1023" s="526" t="str">
        <f t="shared" ca="1" si="135"/>
        <v/>
      </c>
      <c r="V1023" s="93" t="str" cm="1">
        <f t="array" aca="1" ref="V1023" ca="1">CELL("format",INDIRECT(I1023))</f>
        <v>C2</v>
      </c>
      <c r="W1023" s="93" t="b">
        <f t="shared" ca="1" si="136"/>
        <v>0</v>
      </c>
      <c r="X1023" s="715" t="str">
        <f t="shared" ca="1" si="134"/>
        <v/>
      </c>
      <c r="Y1023" t="b">
        <f t="shared" ca="1" si="137"/>
        <v>1</v>
      </c>
    </row>
    <row r="1024" spans="1:25" ht="77.5">
      <c r="A1024" s="705" t="s">
        <v>3670</v>
      </c>
      <c r="B1024" s="716" t="str">
        <f t="shared" ca="1" si="131"/>
        <v>ABC income stream - G24</v>
      </c>
      <c r="C1024" s="707" t="str" cm="1">
        <f t="array" aca="1" ref="C1024" ca="1">INDIRECT(LEFT(I1024, FIND("!", I1024)) &amp; RefData!$C$426 &amp; RIGHT(I1024, LEN(I1024) - FIND("!", I1024) - 1))</f>
        <v xml:space="preserve">
No answer required
Year 17
</v>
      </c>
      <c r="D1024" s="92" t="str">
        <f t="shared" ca="1" si="140"/>
        <v/>
      </c>
      <c r="E1024" s="708" t="str" cm="1">
        <f t="array" aca="1" ref="E1024" ca="1">IF(INDIRECT($I1024)= "", "", INDIRECT($I1024))</f>
        <v/>
      </c>
      <c r="F1024" s="709" t="str" cm="1">
        <f t="array" aca="1" ref="F1024" ca="1">SUBSTITUTE(INDIRECT(LEFT(I1024, FIND("!", I1024)) &amp; RefData!$C$427 &amp; RIGHT(I1024, LEN(I1024) - FIND("!", I1024) - 1)), "/1-5", "/5")</f>
        <v>AIS 17.0/5</v>
      </c>
      <c r="G1024" s="710" t="b">
        <f ca="1">IF(ISNUMBER(SEARCH(RefData!$B$2, $C1024)), FALSE, TRUE)</f>
        <v>0</v>
      </c>
      <c r="H1024" s="344">
        <f>'ABC income stream'!G24</f>
        <v>0</v>
      </c>
      <c r="I1024" s="712" t="str">
        <f t="shared" ca="1" si="132"/>
        <v>'ABC income stream'!G24</v>
      </c>
      <c r="J1024" s="713" t="b" cm="1">
        <f t="array" aca="1" ref="J1024" ca="1">IF(COUNTIF($K1024:$T1024, "&lt;&gt;FALSE") - COUNTBLANK($K1024:$T1024) &gt; 0, INDEX($K1024:$T1024, MATCH(TRUE, $K1024:$T1024 &lt;&gt; FALSE, 0)))</f>
        <v>0</v>
      </c>
      <c r="K1024" s="712" t="b">
        <f ca="1">IF(AND('Asset-backed contributions'!$C$7=0,'Reconciliation report'!$E1024&lt;&gt;""),ErrorMsgs!$B1024)</f>
        <v>0</v>
      </c>
      <c r="L1024" s="712" t="b">
        <f ca="1">IF(AND('Asset-backed contributions'!$C$7&lt;5,'Reconciliation report'!$E1024&lt;&gt;""),ErrorMsgs!$C1024)</f>
        <v>0</v>
      </c>
      <c r="M1024" s="712" t="b">
        <f ca="1">IF(AND('Asset-backed contributions'!$C$7&gt;=5,'Reconciliation report'!$E1024=""),ErrorMsgs!$D1024)</f>
        <v>0</v>
      </c>
      <c r="N1024" s="712" t="b">
        <f ca="1">IF($E1024="",FALSE,IF(ISERROR(VALUE($E1024)),ErrorMsgs!$E1024,IF(OR(VALUE($E1024)-ROUND(VALUE($E1024),2)&lt;&gt;0,VALUE($E1024)&lt;0,VALUE($E1024)&gt;=1000000000000),ErrorMsgs!$E1024)))</f>
        <v>0</v>
      </c>
      <c r="O1024" s="712"/>
      <c r="P1024" s="712"/>
      <c r="Q1024" s="712"/>
      <c r="R1024" s="712"/>
      <c r="S1024" s="712"/>
      <c r="T1024" s="712"/>
      <c r="U1024" s="526" t="str">
        <f t="shared" ca="1" si="135"/>
        <v/>
      </c>
      <c r="V1024" s="93" t="str" cm="1">
        <f t="array" aca="1" ref="V1024" ca="1">CELL("format",INDIRECT(I1024))</f>
        <v>C2</v>
      </c>
      <c r="W1024" s="93" t="b">
        <f t="shared" ca="1" si="136"/>
        <v>0</v>
      </c>
      <c r="X1024" s="715" t="str">
        <f t="shared" ca="1" si="134"/>
        <v/>
      </c>
      <c r="Y1024" t="b">
        <f t="shared" ca="1" si="137"/>
        <v>1</v>
      </c>
    </row>
    <row r="1025" spans="1:25" ht="77.5">
      <c r="A1025" s="705" t="s">
        <v>3671</v>
      </c>
      <c r="B1025" s="716" t="str">
        <f t="shared" ca="1" si="131"/>
        <v>ABC income stream - G25</v>
      </c>
      <c r="C1025" s="707" t="str" cm="1">
        <f t="array" aca="1" ref="C1025" ca="1">INDIRECT(LEFT(I1025, FIND("!", I1025)) &amp; RefData!$C$426 &amp; RIGHT(I1025, LEN(I1025) - FIND("!", I1025) - 1))</f>
        <v xml:space="preserve">
No answer required
Year 18
</v>
      </c>
      <c r="D1025" s="92" t="str">
        <f t="shared" ca="1" si="140"/>
        <v/>
      </c>
      <c r="E1025" s="708" t="str" cm="1">
        <f t="array" aca="1" ref="E1025" ca="1">IF(INDIRECT($I1025)= "", "", INDIRECT($I1025))</f>
        <v/>
      </c>
      <c r="F1025" s="709" t="str" cm="1">
        <f t="array" aca="1" ref="F1025" ca="1">SUBSTITUTE(INDIRECT(LEFT(I1025, FIND("!", I1025)) &amp; RefData!$C$427 &amp; RIGHT(I1025, LEN(I1025) - FIND("!", I1025) - 1)), "/1-5", "/5")</f>
        <v>AIS 18.0/5</v>
      </c>
      <c r="G1025" s="710" t="b">
        <f ca="1">IF(ISNUMBER(SEARCH(RefData!$B$2, $C1025)), FALSE, TRUE)</f>
        <v>0</v>
      </c>
      <c r="H1025" s="344">
        <f>'ABC income stream'!G25</f>
        <v>0</v>
      </c>
      <c r="I1025" s="712" t="str">
        <f t="shared" ca="1" si="132"/>
        <v>'ABC income stream'!G25</v>
      </c>
      <c r="J1025" s="713" t="b" cm="1">
        <f t="array" aca="1" ref="J1025" ca="1">IF(COUNTIF($K1025:$T1025, "&lt;&gt;FALSE") - COUNTBLANK($K1025:$T1025) &gt; 0, INDEX($K1025:$T1025, MATCH(TRUE, $K1025:$T1025 &lt;&gt; FALSE, 0)))</f>
        <v>0</v>
      </c>
      <c r="K1025" s="712" t="b">
        <f ca="1">IF(AND('Asset-backed contributions'!$C$7=0,'Reconciliation report'!$E1025&lt;&gt;""),ErrorMsgs!$B1025)</f>
        <v>0</v>
      </c>
      <c r="L1025" s="712" t="b">
        <f ca="1">IF(AND('Asset-backed contributions'!$C$7&lt;5,'Reconciliation report'!$E1025&lt;&gt;""),ErrorMsgs!$C1025)</f>
        <v>0</v>
      </c>
      <c r="M1025" s="712" t="b">
        <f ca="1">IF(AND('Asset-backed contributions'!$C$7&gt;=5,'Reconciliation report'!$E1025=""),ErrorMsgs!$D1025)</f>
        <v>0</v>
      </c>
      <c r="N1025" s="712" t="b">
        <f ca="1">IF($E1025="",FALSE,IF(ISERROR(VALUE($E1025)),ErrorMsgs!$E1025,IF(OR(VALUE($E1025)-ROUND(VALUE($E1025),2)&lt;&gt;0,VALUE($E1025)&lt;0,VALUE($E1025)&gt;=1000000000000),ErrorMsgs!$E1025)))</f>
        <v>0</v>
      </c>
      <c r="O1025" s="712"/>
      <c r="P1025" s="712"/>
      <c r="Q1025" s="712"/>
      <c r="R1025" s="712"/>
      <c r="S1025" s="712"/>
      <c r="T1025" s="712"/>
      <c r="U1025" s="526" t="str">
        <f t="shared" ca="1" si="135"/>
        <v/>
      </c>
      <c r="V1025" s="93" t="str" cm="1">
        <f t="array" aca="1" ref="V1025" ca="1">CELL("format",INDIRECT(I1025))</f>
        <v>C2</v>
      </c>
      <c r="W1025" s="93" t="b">
        <f t="shared" ca="1" si="136"/>
        <v>0</v>
      </c>
      <c r="X1025" s="715" t="str">
        <f t="shared" ca="1" si="134"/>
        <v/>
      </c>
      <c r="Y1025" t="b">
        <f t="shared" ca="1" si="137"/>
        <v>1</v>
      </c>
    </row>
    <row r="1026" spans="1:25" ht="77.5">
      <c r="A1026" s="705" t="s">
        <v>3672</v>
      </c>
      <c r="B1026" s="716" t="str">
        <f t="shared" ca="1" si="131"/>
        <v>ABC income stream - G26</v>
      </c>
      <c r="C1026" s="707" t="str" cm="1">
        <f t="array" aca="1" ref="C1026" ca="1">INDIRECT(LEFT(I1026, FIND("!", I1026)) &amp; RefData!$C$426 &amp; RIGHT(I1026, LEN(I1026) - FIND("!", I1026) - 1))</f>
        <v xml:space="preserve">
No answer required
Year 19
</v>
      </c>
      <c r="D1026" s="92" t="str">
        <f t="shared" ca="1" si="140"/>
        <v/>
      </c>
      <c r="E1026" s="708" t="str" cm="1">
        <f t="array" aca="1" ref="E1026" ca="1">IF(INDIRECT($I1026)= "", "", INDIRECT($I1026))</f>
        <v/>
      </c>
      <c r="F1026" s="709" t="str" cm="1">
        <f t="array" aca="1" ref="F1026" ca="1">SUBSTITUTE(INDIRECT(LEFT(I1026, FIND("!", I1026)) &amp; RefData!$C$427 &amp; RIGHT(I1026, LEN(I1026) - FIND("!", I1026) - 1)), "/1-5", "/5")</f>
        <v>AIS 19.0/5</v>
      </c>
      <c r="G1026" s="710" t="b">
        <f ca="1">IF(ISNUMBER(SEARCH(RefData!$B$2, $C1026)), FALSE, TRUE)</f>
        <v>0</v>
      </c>
      <c r="H1026" s="344">
        <f>'ABC income stream'!G26</f>
        <v>0</v>
      </c>
      <c r="I1026" s="712" t="str">
        <f t="shared" ca="1" si="132"/>
        <v>'ABC income stream'!G26</v>
      </c>
      <c r="J1026" s="713" t="b" cm="1">
        <f t="array" aca="1" ref="J1026" ca="1">IF(COUNTIF($K1026:$T1026, "&lt;&gt;FALSE") - COUNTBLANK($K1026:$T1026) &gt; 0, INDEX($K1026:$T1026, MATCH(TRUE, $K1026:$T1026 &lt;&gt; FALSE, 0)))</f>
        <v>0</v>
      </c>
      <c r="K1026" s="712" t="b">
        <f ca="1">IF(AND('Asset-backed contributions'!$C$7=0,'Reconciliation report'!$E1026&lt;&gt;""),ErrorMsgs!$B1026)</f>
        <v>0</v>
      </c>
      <c r="L1026" s="712" t="b">
        <f ca="1">IF(AND('Asset-backed contributions'!$C$7&lt;5,'Reconciliation report'!$E1026&lt;&gt;""),ErrorMsgs!$C1026)</f>
        <v>0</v>
      </c>
      <c r="M1026" s="712" t="b">
        <f ca="1">IF(AND('Asset-backed contributions'!$C$7&gt;=5,'Reconciliation report'!$E1026=""),ErrorMsgs!$D1026)</f>
        <v>0</v>
      </c>
      <c r="N1026" s="712" t="b">
        <f ca="1">IF($E1026="",FALSE,IF(ISERROR(VALUE($E1026)),ErrorMsgs!$E1026,IF(OR(VALUE($E1026)-ROUND(VALUE($E1026),2)&lt;&gt;0,VALUE($E1026)&lt;0,VALUE($E1026)&gt;=1000000000000),ErrorMsgs!$E1026)))</f>
        <v>0</v>
      </c>
      <c r="O1026" s="712"/>
      <c r="P1026" s="712"/>
      <c r="Q1026" s="712"/>
      <c r="R1026" s="712"/>
      <c r="S1026" s="712"/>
      <c r="T1026" s="712"/>
      <c r="U1026" s="526" t="str">
        <f t="shared" ca="1" si="135"/>
        <v/>
      </c>
      <c r="V1026" s="93" t="str" cm="1">
        <f t="array" aca="1" ref="V1026" ca="1">CELL("format",INDIRECT(I1026))</f>
        <v>C2</v>
      </c>
      <c r="W1026" s="93" t="b">
        <f t="shared" ca="1" si="136"/>
        <v>0</v>
      </c>
      <c r="X1026" s="715" t="str">
        <f t="shared" ref="X1026:X1087" ca="1" si="141">IF(W1026, "0." &amp; IF(V1026="P2",REPT("0", MIN(4, LEN(E1026) - FIND(".", E1026))),REPT("0", MIN(6, LEN(E1026) - FIND(".", E1026)))), "")</f>
        <v/>
      </c>
      <c r="Y1026" t="b">
        <f t="shared" ca="1" si="137"/>
        <v>1</v>
      </c>
    </row>
    <row r="1027" spans="1:25" ht="77.5">
      <c r="A1027" s="705" t="s">
        <v>3673</v>
      </c>
      <c r="B1027" s="716" t="str">
        <f t="shared" ca="1" si="131"/>
        <v>ABC income stream - G27</v>
      </c>
      <c r="C1027" s="707" t="str" cm="1">
        <f t="array" aca="1" ref="C1027" ca="1">INDIRECT(LEFT(I1027, FIND("!", I1027)) &amp; RefData!$C$426 &amp; RIGHT(I1027, LEN(I1027) - FIND("!", I1027) - 1))</f>
        <v xml:space="preserve">
No answer required
Year 20
</v>
      </c>
      <c r="D1027" s="92" t="str">
        <f t="shared" ca="1" si="140"/>
        <v/>
      </c>
      <c r="E1027" s="708" t="str" cm="1">
        <f t="array" aca="1" ref="E1027" ca="1">IF(INDIRECT($I1027)= "", "", INDIRECT($I1027))</f>
        <v/>
      </c>
      <c r="F1027" s="709" t="str" cm="1">
        <f t="array" aca="1" ref="F1027" ca="1">SUBSTITUTE(INDIRECT(LEFT(I1027, FIND("!", I1027)) &amp; RefData!$C$427 &amp; RIGHT(I1027, LEN(I1027) - FIND("!", I1027) - 1)), "/1-5", "/5")</f>
        <v>AIS 20.0/5</v>
      </c>
      <c r="G1027" s="710" t="b">
        <f ca="1">IF(ISNUMBER(SEARCH(RefData!$B$2, $C1027)), FALSE, TRUE)</f>
        <v>0</v>
      </c>
      <c r="H1027" s="344">
        <f>'ABC income stream'!G27</f>
        <v>0</v>
      </c>
      <c r="I1027" s="712" t="str">
        <f t="shared" ca="1" si="132"/>
        <v>'ABC income stream'!G27</v>
      </c>
      <c r="J1027" s="713" t="b" cm="1">
        <f t="array" aca="1" ref="J1027" ca="1">IF(COUNTIF($K1027:$T1027, "&lt;&gt;FALSE") - COUNTBLANK($K1027:$T1027) &gt; 0, INDEX($K1027:$T1027, MATCH(TRUE, $K1027:$T1027 &lt;&gt; FALSE, 0)))</f>
        <v>0</v>
      </c>
      <c r="K1027" s="712" t="b">
        <f ca="1">IF(AND('Asset-backed contributions'!$C$7=0,'Reconciliation report'!$E1027&lt;&gt;""),ErrorMsgs!$B1027)</f>
        <v>0</v>
      </c>
      <c r="L1027" s="712" t="b">
        <f ca="1">IF(AND('Asset-backed contributions'!$C$7&lt;5,'Reconciliation report'!$E1027&lt;&gt;""),ErrorMsgs!$C1027)</f>
        <v>0</v>
      </c>
      <c r="M1027" s="712" t="b">
        <f ca="1">IF(AND('Asset-backed contributions'!$C$7&gt;=5,'Reconciliation report'!$E1027=""),ErrorMsgs!$D1027)</f>
        <v>0</v>
      </c>
      <c r="N1027" s="712" t="b">
        <f ca="1">IF($E1027="",FALSE,IF(ISERROR(VALUE($E1027)),ErrorMsgs!$E1027,IF(OR(VALUE($E1027)-ROUND(VALUE($E1027),2)&lt;&gt;0,VALUE($E1027)&lt;0,VALUE($E1027)&gt;=1000000000000),ErrorMsgs!$E1027)))</f>
        <v>0</v>
      </c>
      <c r="O1027" s="712"/>
      <c r="P1027" s="712"/>
      <c r="Q1027" s="712"/>
      <c r="R1027" s="712"/>
      <c r="S1027" s="712"/>
      <c r="T1027" s="712"/>
      <c r="U1027" s="526" t="str">
        <f t="shared" ref="U1027:U1087" ca="1" si="142">IF(AND($W1027=TRUE,$Y1027=FALSE),TEXT($E1027,$X1027),$E1027)</f>
        <v/>
      </c>
      <c r="V1027" s="93" t="str" cm="1">
        <f t="array" aca="1" ref="V1027" ca="1">CELL("format",INDIRECT(I1027))</f>
        <v>C2</v>
      </c>
      <c r="W1027" s="93" t="b">
        <f t="shared" ref="W1027:W1088" ca="1" si="143">IF(ISNUMBER(E1027), IF(INT(E1027)&lt;&gt;E1027,TRUE,FALSE),FALSE)</f>
        <v>0</v>
      </c>
      <c r="X1027" s="715" t="str">
        <f t="shared" ca="1" si="141"/>
        <v/>
      </c>
      <c r="Y1027" t="b">
        <f t="shared" ref="Y1027:Y1088" ca="1" si="144">ISTEXT(E1027)</f>
        <v>1</v>
      </c>
    </row>
    <row r="1028" spans="1:25" ht="77.5">
      <c r="A1028" s="705" t="s">
        <v>3674</v>
      </c>
      <c r="B1028" s="716" t="str">
        <f t="shared" ca="1" si="131"/>
        <v>ABC income stream - G28</v>
      </c>
      <c r="C1028" s="707" t="str" cm="1">
        <f t="array" aca="1" ref="C1028" ca="1">INDIRECT(LEFT(I1028, FIND("!", I1028)) &amp; RefData!$C$426 &amp; RIGHT(I1028, LEN(I1028) - FIND("!", I1028) - 1))</f>
        <v xml:space="preserve">
No answer required
Year 21+
</v>
      </c>
      <c r="D1028" s="92" t="str">
        <f t="shared" ca="1" si="140"/>
        <v/>
      </c>
      <c r="E1028" s="708" t="str" cm="1">
        <f t="array" aca="1" ref="E1028" ca="1">IF(INDIRECT($I1028)= "", "", INDIRECT($I1028))</f>
        <v/>
      </c>
      <c r="F1028" s="709" t="str" cm="1">
        <f t="array" aca="1" ref="F1028" ca="1">SUBSTITUTE(INDIRECT(LEFT(I1028, FIND("!", I1028)) &amp; RefData!$C$427 &amp; RIGHT(I1028, LEN(I1028) - FIND("!", I1028) - 1)), "/1-5", "/5")</f>
        <v>AIS 21.0/5</v>
      </c>
      <c r="G1028" s="710" t="b">
        <f ca="1">IF(ISNUMBER(SEARCH(RefData!$B$2, $C1028)), FALSE, TRUE)</f>
        <v>0</v>
      </c>
      <c r="H1028" s="344">
        <f>'ABC income stream'!G28</f>
        <v>0</v>
      </c>
      <c r="I1028" s="712" t="str">
        <f t="shared" ca="1" si="132"/>
        <v>'ABC income stream'!G28</v>
      </c>
      <c r="J1028" s="713" t="b" cm="1">
        <f t="array" aca="1" ref="J1028" ca="1">IF(COUNTIF($K1028:$T1028, "&lt;&gt;FALSE") - COUNTBLANK($K1028:$T1028) &gt; 0, INDEX($K1028:$T1028, MATCH(TRUE, $K1028:$T1028 &lt;&gt; FALSE, 0)))</f>
        <v>0</v>
      </c>
      <c r="K1028" s="712" t="b">
        <f ca="1">IF(AND('Asset-backed contributions'!$C$7=0,'Reconciliation report'!$E1028&lt;&gt;""),ErrorMsgs!$B1028)</f>
        <v>0</v>
      </c>
      <c r="L1028" s="712" t="b">
        <f ca="1">IF(AND('Asset-backed contributions'!$C$7&lt;5,'Reconciliation report'!$E1028&lt;&gt;""),ErrorMsgs!$C1028)</f>
        <v>0</v>
      </c>
      <c r="M1028" s="712" t="b">
        <f ca="1">IF(AND('Asset-backed contributions'!$C$7&gt;=5,'Reconciliation report'!$E1028=""),ErrorMsgs!$D1028)</f>
        <v>0</v>
      </c>
      <c r="N1028" s="712" t="b">
        <f ca="1">IF($E1028="",FALSE,IF(ISERROR(VALUE($E1028)),ErrorMsgs!$E1028,IF(OR(VALUE($E1028)-ROUND(VALUE($E1028),2)&lt;&gt;0,VALUE($E1028)&lt;0,VALUE($E1028)&gt;=1000000000000),ErrorMsgs!$E1028)))</f>
        <v>0</v>
      </c>
      <c r="O1028" s="712"/>
      <c r="P1028" s="712"/>
      <c r="Q1028" s="712"/>
      <c r="R1028" s="712"/>
      <c r="S1028" s="712"/>
      <c r="T1028" s="712"/>
      <c r="U1028" s="526" t="str">
        <f t="shared" ca="1" si="142"/>
        <v/>
      </c>
      <c r="V1028" s="93" t="str" cm="1">
        <f t="array" aca="1" ref="V1028" ca="1">CELL("format",INDIRECT(I1028))</f>
        <v>C2</v>
      </c>
      <c r="W1028" s="93" t="b">
        <f t="shared" ca="1" si="143"/>
        <v>0</v>
      </c>
      <c r="X1028" s="715" t="str">
        <f t="shared" ca="1" si="141"/>
        <v/>
      </c>
      <c r="Y1028" t="b">
        <f t="shared" ca="1" si="144"/>
        <v>1</v>
      </c>
    </row>
    <row r="1029" spans="1:25" ht="77.5">
      <c r="A1029" s="705" t="s">
        <v>3675</v>
      </c>
      <c r="B1029" s="706" t="str">
        <f t="shared" ca="1" si="52"/>
        <v>Investment risk - current level - C8</v>
      </c>
      <c r="C1029" s="707" t="str" cm="1">
        <f t="array" aca="1" ref="C1029" ca="1">INDIRECT(LEFT(I1029, FIND("!", I1029)) &amp; RefData!$C$426 &amp; RIGHT(I1029, LEN(I1029) - FIND("!", I1029) - 1))</f>
        <v xml:space="preserve">
What is the scheme's current level of investment risk calculated according to the Fast Track stress test expressed as a percentage? (%)
</v>
      </c>
      <c r="D1029" s="92" t="str">
        <f t="shared" ca="1" si="112"/>
        <v/>
      </c>
      <c r="E1029" s="708" t="str" cm="1">
        <f t="array" aca="1" ref="E1029" ca="1">IF(INDIRECT($I1029)= "", "", INDIRECT($I1029))</f>
        <v/>
      </c>
      <c r="F1029" s="709" t="str" cm="1">
        <f t="array" aca="1" ref="F1029" ca="1">INDIRECT(LEFT(I1029, FIND("!", I1029)) &amp; RefData!$C$427 &amp; RIGHT(I1029, LEN(I1029) - FIND("!", I1029) - 1))</f>
        <v>IRC 1.0</v>
      </c>
      <c r="G1029" s="710" t="b">
        <f ca="1">IF(ISNUMBER(SEARCH(RefData!$B$2, $C1029)), FALSE, TRUE)</f>
        <v>1</v>
      </c>
      <c r="H1029" s="107">
        <f>'Investment risk - current level'!C8</f>
        <v>0</v>
      </c>
      <c r="I1029" s="726" t="str">
        <f t="shared" ref="I1029:I1038" ca="1" si="145">SUBSTITUTE(_xlfn.FORMULATEXT($H1029), "=", "")</f>
        <v>'Investment risk - current level'!C8</v>
      </c>
      <c r="J1029" s="713" t="b" cm="1">
        <f t="array" aca="1" ref="J1029" ca="1">IF(COUNTIF($K1029:$T1029, "&lt;&gt;FALSE") - COUNTBLANK($K1029:$T1029) &gt; 0, INDEX($K1029:$T1029, MATCH(TRUE, $K1029:$T1029 &lt;&gt; FALSE, 0)))</f>
        <v>0</v>
      </c>
      <c r="K1029" s="712" t="b">
        <f ca="1">IF(AND('Start here'!$C$26=RefData!$B$10, $E1029&lt;&gt;""), ErrorMsgs!$B1029)</f>
        <v>0</v>
      </c>
      <c r="L1029" s="712" t="b">
        <f ca="1">IF(AND('Start here'!$C$26=RefData!$B$9, $E1029=""), ErrorMsgs!$C1029)</f>
        <v>0</v>
      </c>
      <c r="M1029" s="738" t="b">
        <f ca="1">IF($E1029="",FALSE,IF(ISERROR(VALUE($E1029)),ErrorMsgs!$D1029,IF(NOT(AND(VALUE($E1029)&gt;=0,VALUE($E1029)&lt;=1)),ErrorMsgs!$D1029)))</f>
        <v>0</v>
      </c>
      <c r="N1029" s="738"/>
      <c r="O1029" s="712"/>
      <c r="P1029" s="712"/>
      <c r="Q1029" s="712"/>
      <c r="R1029" s="712"/>
      <c r="S1029" s="712"/>
      <c r="T1029" s="712"/>
      <c r="U1029" s="526" t="str">
        <f t="shared" ca="1" si="142"/>
        <v/>
      </c>
      <c r="V1029" s="93" t="str" cm="1">
        <f t="array" aca="1" ref="V1029" ca="1">CELL("format",INDIRECT(I1029))</f>
        <v>P4</v>
      </c>
      <c r="W1029" s="93" t="b">
        <f t="shared" ca="1" si="143"/>
        <v>0</v>
      </c>
      <c r="X1029" s="715" t="str">
        <f t="shared" ca="1" si="141"/>
        <v/>
      </c>
      <c r="Y1029" t="b">
        <f t="shared" ca="1" si="144"/>
        <v>1</v>
      </c>
    </row>
    <row r="1030" spans="1:25" ht="62">
      <c r="A1030" s="705" t="s">
        <v>3676</v>
      </c>
      <c r="B1030" s="706" t="str">
        <f t="shared" ca="1" si="52"/>
        <v>Investment risk - current level - C9</v>
      </c>
      <c r="C1030" s="707" t="str" cm="1">
        <f t="array" aca="1" ref="C1030" ca="1">INDIRECT(LEFT(I1030, FIND("!", I1030)) &amp; RefData!$C$426 &amp; RIGHT(I1030, LEN(I1030) - FIND("!", I1030) - 1))</f>
        <v xml:space="preserve">
What is the scheme's current level of investment risk expressed as a pound value? (£)
</v>
      </c>
      <c r="D1030" s="92" t="str">
        <f t="shared" ca="1" si="112"/>
        <v/>
      </c>
      <c r="E1030" s="708" t="str" cm="1">
        <f t="array" aca="1" ref="E1030" ca="1">IF(INDIRECT($I1030)= "", "", INDIRECT($I1030))</f>
        <v/>
      </c>
      <c r="F1030" s="709" t="str" cm="1">
        <f t="array" aca="1" ref="F1030" ca="1">INDIRECT(LEFT(I1030, FIND("!", I1030)) &amp; RefData!$C$427 &amp; RIGHT(I1030, LEN(I1030) - FIND("!", I1030) - 1))</f>
        <v>IRC 2.0</v>
      </c>
      <c r="G1030" s="710" t="b">
        <f ca="1">IF(ISNUMBER(SEARCH(RefData!$B$2, $C1030)), FALSE, TRUE)</f>
        <v>1</v>
      </c>
      <c r="H1030" s="108">
        <f>'Investment risk - current level'!C9</f>
        <v>0</v>
      </c>
      <c r="I1030" s="726" t="str">
        <f t="shared" ca="1" si="145"/>
        <v>'Investment risk - current level'!C9</v>
      </c>
      <c r="J1030" s="713" t="b" cm="1">
        <f t="array" aca="1" ref="J1030" ca="1">IF(COUNTIF($K1030:$T1030, "&lt;&gt;FALSE") - COUNTBLANK($K1030:$T1030) &gt; 0, INDEX($K1030:$T1030, MATCH(TRUE, $K1030:$T1030 &lt;&gt; FALSE, 0)))</f>
        <v>0</v>
      </c>
      <c r="K1030" s="712" t="b">
        <f ca="1">IF(AND('Start here'!$C$26=RefData!$B$9, $E1030&lt;&gt;""), ErrorMsgs!$B1030)</f>
        <v>0</v>
      </c>
      <c r="L1030" s="712" t="b">
        <f ca="1">IF(AND('Start here'!$C$26=RefData!$B$10, $E1030=""), ErrorMsgs!$C1030)</f>
        <v>0</v>
      </c>
      <c r="M1030" s="714" t="b">
        <f ca="1">IF($E1030="",FALSE,IF(ISERROR(VALUE($E1030)),ErrorMsgs!$E1030,IF(OR(VALUE($E1030)-ROUND(VALUE($E1030),2)&lt;&gt;0,VALUE($E1030)&gt;0,VALUE($E1030)&lt;=-1000000000000),ErrorMsgs!$D1030)))</f>
        <v>0</v>
      </c>
      <c r="N1030" s="714" t="b">
        <f ca="1">IF($E1030&lt;&gt;"",IF(NOT(VALUE($E1030)=ROUND(VALUE($E1030), 2)), ErrorMsgs!$E1030))</f>
        <v>0</v>
      </c>
      <c r="O1030" s="712"/>
      <c r="P1030" s="712"/>
      <c r="Q1030" s="712"/>
      <c r="R1030" s="712"/>
      <c r="S1030" s="712"/>
      <c r="T1030" s="712"/>
      <c r="U1030" s="526" t="str">
        <f t="shared" ca="1" si="142"/>
        <v/>
      </c>
      <c r="V1030" s="93" t="str" cm="1">
        <f t="array" aca="1" ref="V1030" ca="1">CELL("format",INDIRECT(I1030))</f>
        <v>C2</v>
      </c>
      <c r="W1030" s="93" t="b">
        <f t="shared" ca="1" si="143"/>
        <v>0</v>
      </c>
      <c r="X1030" s="715" t="str">
        <f t="shared" ca="1" si="141"/>
        <v/>
      </c>
      <c r="Y1030" t="b">
        <f t="shared" ca="1" si="144"/>
        <v>1</v>
      </c>
    </row>
    <row r="1031" spans="1:25" ht="108.5">
      <c r="A1031" s="705" t="s">
        <v>3677</v>
      </c>
      <c r="B1031" s="706" t="str">
        <f t="shared" ca="1" si="52"/>
        <v>Investment risk - current level - C10</v>
      </c>
      <c r="C1031" s="707" t="str" cm="1">
        <f t="array" aca="1" ref="C1031" ca="1">INDIRECT(LEFT(I1031, FIND("!", I1031)) &amp; RefData!$C$426 &amp; RIGHT(I1031, LEN(I1031) - FIND("!", I1031) - 1))</f>
        <v xml:space="preserve">
How does the scheme's intended investment allocation at the relevant date comply with the objective that assets of at least the value of the scheme's liabilities (calculated on a low dependency funding basis) are invested in accordance with a low dependency investment allocation?
</v>
      </c>
      <c r="D1031" s="92" t="str">
        <f t="shared" ca="1" si="112"/>
        <v/>
      </c>
      <c r="E1031" s="708" t="str" cm="1">
        <f t="array" aca="1" ref="E1031" ca="1">IF(INDIRECT($I1031)= "", "", INDIRECT($I1031))</f>
        <v/>
      </c>
      <c r="F1031" s="709" t="str" cm="1">
        <f t="array" aca="1" ref="F1031" ca="1">INDIRECT(LEFT(I1031, FIND("!", I1031)) &amp; RefData!$C$427 &amp; RIGHT(I1031, LEN(I1031) - FIND("!", I1031) - 1))</f>
        <v>IRC 3.0</v>
      </c>
      <c r="G1031" s="710" t="b">
        <f ca="1">IF(ISNUMBER(SEARCH(RefData!$B$2, $C1031)), FALSE, TRUE)</f>
        <v>1</v>
      </c>
      <c r="H1031" s="108">
        <f>'Investment risk - current level'!C10</f>
        <v>0</v>
      </c>
      <c r="I1031" s="726" t="str">
        <f t="shared" ca="1" si="145"/>
        <v>'Investment risk - current level'!C10</v>
      </c>
      <c r="J1031" s="713" t="b" cm="1">
        <f t="array" aca="1" ref="J1031" ca="1">IF(COUNTIF($K1031:$T1031, "&lt;&gt;FALSE") - COUNTBLANK($K1031:$T1031) &gt; 0, INDEX($K1031:$T1031, MATCH(TRUE, $K1031:$T1031 &lt;&gt; FALSE, 0)))</f>
        <v>0</v>
      </c>
      <c r="K1031" s="712" t="b">
        <f ca="1">IF(AND('Start here'!$C$23=RefData!$B$18, $E1031&lt;&gt;""), ErrorMsgs!$B1031)</f>
        <v>0</v>
      </c>
      <c r="L1031" s="712" t="b">
        <f ca="1">IF(AND('Start here'!$C$23=RefData!$B$17, $E1031=""), ErrorMsgs!$C1031)</f>
        <v>0</v>
      </c>
      <c r="M1031" s="738" t="b">
        <f ca="1">IF(LEN($E1031)&gt;4000, ErrorMsgs!$D1031)</f>
        <v>0</v>
      </c>
      <c r="N1031" s="738"/>
      <c r="O1031" s="712"/>
      <c r="P1031" s="712"/>
      <c r="Q1031" s="712"/>
      <c r="R1031" s="712"/>
      <c r="S1031" s="712"/>
      <c r="T1031" s="712"/>
      <c r="U1031" s="526" t="str">
        <f t="shared" ca="1" si="142"/>
        <v/>
      </c>
      <c r="V1031" s="93" t="str" cm="1">
        <f t="array" aca="1" ref="V1031" ca="1">CELL("format",INDIRECT(I1031))</f>
        <v>G</v>
      </c>
      <c r="W1031" s="93" t="b">
        <f t="shared" ca="1" si="143"/>
        <v>0</v>
      </c>
      <c r="X1031" s="715" t="str">
        <f t="shared" ca="1" si="141"/>
        <v/>
      </c>
      <c r="Y1031" t="b">
        <f t="shared" ca="1" si="144"/>
        <v>1</v>
      </c>
    </row>
    <row r="1032" spans="1:25" ht="62">
      <c r="A1032" s="705" t="s">
        <v>3678</v>
      </c>
      <c r="B1032" s="706" t="str">
        <f t="shared" ca="1" si="52"/>
        <v>Investment risk - current level - C14</v>
      </c>
      <c r="C1032" s="707" t="str" cm="1">
        <f t="array" aca="1" ref="C1032" ca="1">INDIRECT(LEFT(I1032, FIND("!", I1032)) &amp; RefData!$C$426 &amp; RIGHT(I1032, LEN(I1032) - FIND("!", I1032) - 1))</f>
        <v xml:space="preserve">
How has the current level of risk in the scheme's notional investment strategy been determined?
</v>
      </c>
      <c r="D1032" s="92" t="str">
        <f t="shared" ca="1" si="112"/>
        <v/>
      </c>
      <c r="E1032" s="708" t="str" cm="1">
        <f t="array" aca="1" ref="E1032" ca="1">IF(INDIRECT($I1032)= "", "", INDIRECT($I1032))</f>
        <v/>
      </c>
      <c r="F1032" s="709" t="str" cm="1">
        <f t="array" aca="1" ref="F1032" ca="1">INDIRECT(LEFT(I1032, FIND("!", I1032)) &amp; RefData!$C$427 &amp; RIGHT(I1032, LEN(I1032) - FIND("!", I1032) - 1))</f>
        <v>IRC 4.0</v>
      </c>
      <c r="G1032" s="710" t="b">
        <f ca="1">IF(ISNUMBER(SEARCH(RefData!$B$2, $C1032)), FALSE, TRUE)</f>
        <v>1</v>
      </c>
      <c r="H1032" s="113">
        <f>'Investment risk - current level'!C14</f>
        <v>0</v>
      </c>
      <c r="I1032" s="712" t="str">
        <f t="shared" ca="1" si="145"/>
        <v>'Investment risk - current level'!C14</v>
      </c>
      <c r="J1032" s="713" t="b" cm="1">
        <f t="array" aca="1" ref="J1032" ca="1">IF(COUNTIF($K1032:$T1032, "&lt;&gt;FALSE") - COUNTBLANK($K1032:$T1032) &gt; 0, INDEX($K1032:$T1032, MATCH(TRUE, $K1032:$T1032 &lt;&gt; FALSE, 0)))</f>
        <v>0</v>
      </c>
      <c r="K1032" s="712" t="b">
        <f ca="1">IF(AND('Start here'!$C$26=RefData!$B$9, $E1032&lt;&gt;""), ErrorMsgs!$B1032)</f>
        <v>0</v>
      </c>
      <c r="L1032" s="712" t="b">
        <f ca="1">IF(AND('Start here'!$C$26=RefData!$B$10, $E1032=""), ErrorMsgs!$C1032)</f>
        <v>0</v>
      </c>
      <c r="M1032" s="714" t="b">
        <f ca="1">IF($E1032="",FALSE,IF(AND(ISNA(MATCH($E1032,RefData!$B$53:$B$56,0))),ErrorMsgs!$D1032))</f>
        <v>0</v>
      </c>
      <c r="N1032" s="714"/>
      <c r="O1032" s="712"/>
      <c r="P1032" s="712"/>
      <c r="Q1032" s="712"/>
      <c r="R1032" s="712"/>
      <c r="S1032" s="712"/>
      <c r="T1032" s="712"/>
      <c r="U1032" s="526" t="str">
        <f t="shared" ca="1" si="142"/>
        <v/>
      </c>
      <c r="V1032" s="93" t="str" cm="1">
        <f t="array" aca="1" ref="V1032" ca="1">CELL("format",INDIRECT(I1032))</f>
        <v>G</v>
      </c>
      <c r="W1032" s="93" t="b">
        <f t="shared" ca="1" si="143"/>
        <v>0</v>
      </c>
      <c r="X1032" s="715" t="str">
        <f t="shared" ca="1" si="141"/>
        <v/>
      </c>
      <c r="Y1032" t="b">
        <f t="shared" ca="1" si="144"/>
        <v>1</v>
      </c>
    </row>
    <row r="1033" spans="1:25" ht="62">
      <c r="A1033" s="705" t="s">
        <v>3679</v>
      </c>
      <c r="B1033" s="706" t="str">
        <f t="shared" ca="1" si="52"/>
        <v>Investment risk - current level - C15</v>
      </c>
      <c r="C1033" s="707" t="str" cm="1">
        <f t="array" aca="1" ref="C1033" ca="1">INDIRECT(LEFT(I1033, FIND("!", I1033)) &amp; RefData!$C$426 &amp; RIGHT(I1033, LEN(I1033) - FIND("!", I1033) - 1))</f>
        <v xml:space="preserve">No answer required
Explain how the level of risk has been determined.
</v>
      </c>
      <c r="D1033" s="92" t="str">
        <f t="shared" ca="1" si="112"/>
        <v/>
      </c>
      <c r="E1033" s="708" t="str" cm="1">
        <f t="array" aca="1" ref="E1033" ca="1">IF(INDIRECT($I1033)= "", "", INDIRECT($I1033))</f>
        <v/>
      </c>
      <c r="F1033" s="709" t="str" cm="1">
        <f t="array" aca="1" ref="F1033" ca="1">INDIRECT(LEFT(I1033, FIND("!", I1033)) &amp; RefData!$C$427 &amp; RIGHT(I1033, LEN(I1033) - FIND("!", I1033) - 1))</f>
        <v>IRC 5.0</v>
      </c>
      <c r="G1033" s="710" t="b">
        <f ca="1">IF(ISNUMBER(SEARCH(RefData!$B$2, $C1033)), FALSE, TRUE)</f>
        <v>0</v>
      </c>
      <c r="H1033" s="113">
        <f>'Investment risk - current level'!C15</f>
        <v>0</v>
      </c>
      <c r="I1033" s="712" t="str">
        <f t="shared" ca="1" si="145"/>
        <v>'Investment risk - current level'!C15</v>
      </c>
      <c r="J1033" s="713" t="b" cm="1">
        <f t="array" aca="1" ref="J1033" ca="1">IF(COUNTIF($K1033:$T1033, "&lt;&gt;FALSE") - COUNTBLANK($K1033:$T1033) &gt; 0, INDEX($K1033:$T1033, MATCH(TRUE, $K1033:$T1033 &lt;&gt; FALSE, 0)))</f>
        <v>0</v>
      </c>
      <c r="K1033" s="712" t="b">
        <f ca="1">IF(AND('Investment risk - current level'!$C$14&lt;&gt;RefData!$B$56, $E1033&lt;&gt;""), ErrorMsgs!$B1033)</f>
        <v>0</v>
      </c>
      <c r="L1033" s="712" t="b">
        <f ca="1">IF(AND('Investment risk - current level'!$C$14=RefData!$B$56, $E1033=""), ErrorMsgs!$C1033)</f>
        <v>0</v>
      </c>
      <c r="M1033" s="714" t="b">
        <f ca="1">IF(LEN($E1033)&gt;4000, ErrorMsgs!$D1033)</f>
        <v>0</v>
      </c>
      <c r="N1033" s="714"/>
      <c r="O1033" s="712"/>
      <c r="P1033" s="712"/>
      <c r="Q1033" s="712"/>
      <c r="R1033" s="712"/>
      <c r="S1033" s="712"/>
      <c r="T1033" s="712"/>
      <c r="U1033" s="526" t="str">
        <f t="shared" ca="1" si="142"/>
        <v/>
      </c>
      <c r="V1033" s="93" t="str" cm="1">
        <f t="array" aca="1" ref="V1033" ca="1">CELL("format",INDIRECT(I1033))</f>
        <v>G</v>
      </c>
      <c r="W1033" s="93" t="b">
        <f t="shared" ca="1" si="143"/>
        <v>0</v>
      </c>
      <c r="X1033" s="715" t="str">
        <f t="shared" ca="1" si="141"/>
        <v/>
      </c>
      <c r="Y1033" t="b">
        <f t="shared" ca="1" si="144"/>
        <v>1</v>
      </c>
    </row>
    <row r="1034" spans="1:25" ht="77.5">
      <c r="A1034" s="705" t="s">
        <v>3680</v>
      </c>
      <c r="B1034" s="706" t="str">
        <f t="shared" ca="1" si="52"/>
        <v>Investment risk - current level - C16</v>
      </c>
      <c r="C1034" s="707" t="str" cm="1">
        <f t="array" aca="1" ref="C1034" ca="1">INDIRECT(LEFT(I1034, FIND("!", I1034)) &amp; RefData!$C$426 &amp; RIGHT(I1034, LEN(I1034) - FIND("!", I1034) - 1))</f>
        <v xml:space="preserve">No answer required
Has the investment risk calculation been based on liabilities and assets or assets only?
</v>
      </c>
      <c r="D1034" s="92" t="str">
        <f t="shared" ca="1" si="112"/>
        <v/>
      </c>
      <c r="E1034" s="708" t="str" cm="1">
        <f t="array" aca="1" ref="E1034" ca="1">IF(INDIRECT($I1034)= "", "", INDIRECT($I1034))</f>
        <v/>
      </c>
      <c r="F1034" s="709" t="str" cm="1">
        <f t="array" aca="1" ref="F1034" ca="1">INDIRECT(LEFT(I1034, FIND("!", I1034)) &amp; RefData!$C$427 &amp; RIGHT(I1034, LEN(I1034) - FIND("!", I1034) - 1))</f>
        <v>IRC 6.0</v>
      </c>
      <c r="G1034" s="710" t="b">
        <f ca="1">IF(ISNUMBER(SEARCH(RefData!$B$2, $C1034)), FALSE, TRUE)</f>
        <v>0</v>
      </c>
      <c r="H1034" s="113">
        <f>'Investment risk - current level'!C16</f>
        <v>0</v>
      </c>
      <c r="I1034" s="712" t="str">
        <f t="shared" ca="1" si="145"/>
        <v>'Investment risk - current level'!C16</v>
      </c>
      <c r="J1034" s="713" t="b" cm="1">
        <f t="array" aca="1" ref="J1034" ca="1">IF(COUNTIF($K1034:$T1034, "&lt;&gt;FALSE") - COUNTBLANK($K1034:$T1034) &gt; 0, INDEX($K1034:$T1034, MATCH(TRUE, $K1034:$T1034 &lt;&gt; FALSE, 0)))</f>
        <v>0</v>
      </c>
      <c r="K1034" s="712" t="b">
        <f ca="1">IF(AND('Start here'!$C$26=RefData!$B$9, $E1034&lt;&gt;""), ErrorMsgs!$B1034)</f>
        <v>0</v>
      </c>
      <c r="L1034" s="712" t="b">
        <f ca="1">IF(AND('Start here'!$C$26=RefData!$B$10, OR('Investment risk - current level'!$C$14 = RefData!$B$53, 'Investment risk - current level'!$C$14 = RefData!$B$56),$E1034&lt;&gt;""), ErrorMsgs!$C1034)</f>
        <v>0</v>
      </c>
      <c r="M1034" s="714" t="b">
        <f ca="1">IF(AND('Start here'!$C$26=RefData!$B$10, OR('Investment risk - current level'!$C$14 = RefData!$B$54, 'Investment risk - current level'!$C$14 = RefData!$B$55),$E1034=""), ErrorMsgs!$D1034)</f>
        <v>0</v>
      </c>
      <c r="N1034" s="714" t="b">
        <f ca="1">IF(AND('Start here'!$C$26=RefData!$B$10, OR('Investment risk - current level'!$C$14 = RefData!$B$54, 'Investment risk - current level'!$C$14 = RefData!$B$55),ISNA(MATCH($E1034,RefData!$B$57:$B$58, 0))),ErrorMsgs!$E1034)</f>
        <v>0</v>
      </c>
      <c r="O1034" s="712"/>
      <c r="P1034" s="712"/>
      <c r="Q1034" s="712"/>
      <c r="R1034" s="712"/>
      <c r="S1034" s="712"/>
      <c r="T1034" s="712"/>
      <c r="U1034" s="526" t="str">
        <f t="shared" ca="1" si="142"/>
        <v/>
      </c>
      <c r="V1034" s="93" t="str" cm="1">
        <f t="array" aca="1" ref="V1034" ca="1">CELL("format",INDIRECT(I1034))</f>
        <v>G</v>
      </c>
      <c r="W1034" s="93" t="b">
        <f t="shared" ca="1" si="143"/>
        <v>0</v>
      </c>
      <c r="X1034" s="715" t="str">
        <f t="shared" ca="1" si="141"/>
        <v/>
      </c>
      <c r="Y1034" t="b">
        <f t="shared" ca="1" si="144"/>
        <v>1</v>
      </c>
    </row>
    <row r="1035" spans="1:25" ht="46.5">
      <c r="A1035" s="705" t="s">
        <v>3681</v>
      </c>
      <c r="B1035" s="706" t="str">
        <f t="shared" ca="1" si="52"/>
        <v>Investment risk - current level - C17</v>
      </c>
      <c r="C1035" s="707" t="str" cm="1">
        <f t="array" aca="1" ref="C1035" ca="1">INDIRECT(LEFT(I1035, FIND("!", I1035)) &amp; RefData!$C$426 &amp; RIGHT(I1035, LEN(I1035) - FIND("!", I1035) - 1))</f>
        <v xml:space="preserve">
What liability basis has been used?
</v>
      </c>
      <c r="D1035" s="92" t="str">
        <f t="shared" ca="1" si="112"/>
        <v/>
      </c>
      <c r="E1035" s="708" t="str" cm="1">
        <f t="array" aca="1" ref="E1035" ca="1">IF(INDIRECT($I1035)= "", "", INDIRECT($I1035))</f>
        <v/>
      </c>
      <c r="F1035" s="709" t="str" cm="1">
        <f t="array" aca="1" ref="F1035" ca="1">INDIRECT(LEFT(I1035, FIND("!", I1035)) &amp; RefData!$C$427 &amp; RIGHT(I1035, LEN(I1035) - FIND("!", I1035) - 1))</f>
        <v>IRC 7.0</v>
      </c>
      <c r="G1035" s="710" t="b">
        <f ca="1">IF(ISNUMBER(SEARCH(RefData!$B$2, $C1035)), FALSE, TRUE)</f>
        <v>1</v>
      </c>
      <c r="H1035" s="113">
        <f>'Investment risk - current level'!C17</f>
        <v>0</v>
      </c>
      <c r="I1035" s="712" t="str">
        <f t="shared" ca="1" si="145"/>
        <v>'Investment risk - current level'!C17</v>
      </c>
      <c r="J1035" s="713" t="b" cm="1">
        <f t="array" aca="1" ref="J1035" ca="1">IF(COUNTIF($K1035:$T1035, "&lt;&gt;FALSE") - COUNTBLANK($K1035:$T1035) &gt; 0, INDEX($K1035:$T1035, MATCH(TRUE, $K1035:$T1035 &lt;&gt; FALSE, 0)))</f>
        <v>0</v>
      </c>
      <c r="K1035" s="712" t="b">
        <f ca="1">IF(AND('Start here'!$C$26=RefData!$B$9, $E1035&lt;&gt;""), ErrorMsgs!$B1035)</f>
        <v>0</v>
      </c>
      <c r="L1035" s="712" t="b">
        <f ca="1">IF(AND('Start here'!$C$26=RefData!$B$10, OR('Investment risk - current level'!$C$14 = RefData!$B$53, 'Investment risk - current level'!$C$14 = RefData!$B$56),$E1035&lt;&gt;""), ErrorMsgs!$C1035)</f>
        <v>0</v>
      </c>
      <c r="M1035" s="714" t="b">
        <f ca="1">IF(AND('Investment risk - current level'!$C$16=RefData!$B$58, $E1035&lt;&gt;""), ErrorMsgs!$D1035)</f>
        <v>0</v>
      </c>
      <c r="N1035" s="714" t="b">
        <f ca="1">IF(AND('Investment risk - current level'!$C$16=RefData!$B$57, $E1035=""), ErrorMsgs!$E1035)</f>
        <v>0</v>
      </c>
      <c r="O1035" s="712" t="b">
        <f ca="1">IF(E1035="",FALSE,IF(OR(ISNA(MATCH($E1035,RefData!$B$59:$B$63,0)),$E1035=""),ErrorMsgs!$F1035))</f>
        <v>0</v>
      </c>
      <c r="P1035" s="712"/>
      <c r="Q1035" s="712"/>
      <c r="R1035" s="712"/>
      <c r="S1035" s="712"/>
      <c r="T1035" s="712"/>
      <c r="U1035" s="526" t="str">
        <f t="shared" ca="1" si="142"/>
        <v/>
      </c>
      <c r="V1035" s="93" t="str" cm="1">
        <f t="array" aca="1" ref="V1035" ca="1">CELL("format",INDIRECT(I1035))</f>
        <v>G</v>
      </c>
      <c r="W1035" s="93" t="b">
        <f t="shared" ca="1" si="143"/>
        <v>0</v>
      </c>
      <c r="X1035" s="715" t="str">
        <f t="shared" ca="1" si="141"/>
        <v/>
      </c>
      <c r="Y1035" t="b">
        <f t="shared" ca="1" si="144"/>
        <v>1</v>
      </c>
    </row>
    <row r="1036" spans="1:25" ht="62">
      <c r="A1036" s="705" t="s">
        <v>3682</v>
      </c>
      <c r="B1036" s="706" t="str">
        <f t="shared" ca="1" si="52"/>
        <v>Investment risk - current level - C18</v>
      </c>
      <c r="C1036" s="707" t="str" cm="1">
        <f t="array" aca="1" ref="C1036" ca="1">INDIRECT(LEFT(I1036, FIND("!", I1036)) &amp; RefData!$C$426 &amp; RIGHT(I1036, LEN(I1036) - FIND("!", I1036) - 1))</f>
        <v xml:space="preserve">No answer required
What margin over gilts has been used? (%)
</v>
      </c>
      <c r="D1036" s="92" t="str">
        <f t="shared" ca="1" si="112"/>
        <v/>
      </c>
      <c r="E1036" s="708" t="str" cm="1">
        <f t="array" aca="1" ref="E1036" ca="1">IF(INDIRECT($I1036)= "", "", INDIRECT($I1036))</f>
        <v/>
      </c>
      <c r="F1036" s="709" t="str" cm="1">
        <f t="array" aca="1" ref="F1036" ca="1">INDIRECT(LEFT(I1036, FIND("!", I1036)) &amp; RefData!$C$427 &amp; RIGHT(I1036, LEN(I1036) - FIND("!", I1036) - 1))</f>
        <v>IRC 8.0</v>
      </c>
      <c r="G1036" s="710" t="b">
        <f ca="1">IF(ISNUMBER(SEARCH(RefData!$B$2, $C1036)), FALSE, TRUE)</f>
        <v>0</v>
      </c>
      <c r="H1036" s="107">
        <f>'Investment risk - current level'!C18</f>
        <v>0</v>
      </c>
      <c r="I1036" s="712" t="str">
        <f t="shared" ca="1" si="145"/>
        <v>'Investment risk - current level'!C18</v>
      </c>
      <c r="J1036" s="713" t="b" cm="1">
        <f t="array" aca="1" ref="J1036" ca="1">IF(COUNTIF($K1036:$T1036, "&lt;&gt;FALSE") - COUNTBLANK($K1036:$T1036) &gt; 0, INDEX($K1036:$T1036, MATCH(TRUE, $K1036:$T1036 &lt;&gt; FALSE, 0)))</f>
        <v>0</v>
      </c>
      <c r="K1036" s="712" t="b">
        <f ca="1">IF(AND('Start here'!$C$26=RefData!$B$9, $E1036&lt;&gt;""), ErrorMsgs!$B1036)</f>
        <v>0</v>
      </c>
      <c r="L1036" s="712" t="b">
        <f ca="1">IF(AND('Start here'!$C$26=RefData!$B$10, OR('Investment risk - current level'!$C$14 = RefData!$B$53, 'Investment risk - current level'!$C$14 = RefData!$B$56),$E1036&lt;&gt;""), ErrorMsgs!$C1036)</f>
        <v>0</v>
      </c>
      <c r="M1036" s="714" t="b">
        <f ca="1">IF(AND('Investment risk - current level'!$C$16=RefData!$B$58, $E1036&lt;&gt;""), ErrorMsgs!$D1036)</f>
        <v>0</v>
      </c>
      <c r="N1036" s="714" t="b">
        <f ca="1">IF(AND('Investment risk - current level'!$C$16=RefData!$B$57, 'Investment risk - current level'!$C$17=RefData!$B$61, $E1036="", $P1036=FALSE), ErrorMsgs!$E1036)</f>
        <v>0</v>
      </c>
      <c r="O1036" s="712" t="b">
        <f ca="1">IF(AND('Investment risk - current level'!$C$17&lt;&gt;RefData!$B$61, $E1036&lt;&gt;""), ErrorMsgs!$F1036)</f>
        <v>0</v>
      </c>
      <c r="P1036" s="712" t="b">
        <f ca="1">IF(AND('Investment risk - current level'!$C$17=RefData!$B$61, $E1036=""), ErrorMsgs!$G1036)</f>
        <v>0</v>
      </c>
      <c r="Q1036" s="712" t="b">
        <f ca="1">IF(AND('Investment risk - current level'!$C$17=RefData!$B$61, $E$1036&lt;&gt;"",NOT(AND($E$1036&gt;=-0.1,$E$1036&lt;=0.1))),ErrorMsgs!$H1036)</f>
        <v>0</v>
      </c>
      <c r="R1036" s="712"/>
      <c r="S1036" s="712"/>
      <c r="T1036" s="712"/>
      <c r="U1036" s="526" t="str">
        <f t="shared" ca="1" si="142"/>
        <v/>
      </c>
      <c r="V1036" s="93" t="str" cm="1">
        <f t="array" aca="1" ref="V1036" ca="1">CELL("format",INDIRECT(I1036))</f>
        <v>P4</v>
      </c>
      <c r="W1036" s="93" t="b">
        <f t="shared" ca="1" si="143"/>
        <v>0</v>
      </c>
      <c r="X1036" s="715" t="str">
        <f t="shared" ca="1" si="141"/>
        <v/>
      </c>
      <c r="Y1036" t="b">
        <f t="shared" ca="1" si="144"/>
        <v>1</v>
      </c>
    </row>
    <row r="1037" spans="1:25" ht="62">
      <c r="A1037" s="705" t="s">
        <v>3683</v>
      </c>
      <c r="B1037" s="706" t="str">
        <f t="shared" ca="1" si="52"/>
        <v>Investment risk - current level - C19</v>
      </c>
      <c r="C1037" s="707" t="str" cm="1">
        <f t="array" aca="1" ref="C1037" ca="1">INDIRECT(LEFT(I1037, FIND("!", I1037)) &amp; RefData!$C$426 &amp; RIGHT(I1037, LEN(I1037) - FIND("!", I1037) - 1))</f>
        <v xml:space="preserve">No answer required
What margin over swaps has been used? (%)
</v>
      </c>
      <c r="D1037" s="92" t="str">
        <f t="shared" ca="1" si="112"/>
        <v/>
      </c>
      <c r="E1037" s="708" t="str" cm="1">
        <f t="array" aca="1" ref="E1037" ca="1">IF(INDIRECT($I1037)= "", "", INDIRECT($I1037))</f>
        <v/>
      </c>
      <c r="F1037" s="709" t="str" cm="1">
        <f t="array" aca="1" ref="F1037" ca="1">INDIRECT(LEFT(I1037, FIND("!", I1037)) &amp; RefData!$C$427 &amp; RIGHT(I1037, LEN(I1037) - FIND("!", I1037) - 1))</f>
        <v>IRC 9.0</v>
      </c>
      <c r="G1037" s="710" t="b">
        <f ca="1">IF(ISNUMBER(SEARCH(RefData!$B$2, $C1037)), FALSE, TRUE)</f>
        <v>0</v>
      </c>
      <c r="H1037" s="107">
        <f>'Investment risk - current level'!C19</f>
        <v>0</v>
      </c>
      <c r="I1037" s="712" t="str">
        <f t="shared" ca="1" si="145"/>
        <v>'Investment risk - current level'!C19</v>
      </c>
      <c r="J1037" s="713" t="b" cm="1">
        <f t="array" aca="1" ref="J1037" ca="1">IF(COUNTIF($K1037:$T1037, "&lt;&gt;FALSE") - COUNTBLANK($K1037:$T1037) &gt; 0, INDEX($K1037:$T1037, MATCH(TRUE, $K1037:$T1037 &lt;&gt; FALSE, 0)))</f>
        <v>0</v>
      </c>
      <c r="K1037" s="712" t="b">
        <f ca="1">IF(AND('Start here'!$C$26=RefData!$B$9, $E1037&lt;&gt;""), ErrorMsgs!$B1037)</f>
        <v>0</v>
      </c>
      <c r="L1037" s="712" t="b">
        <f ca="1">IF(AND('Start here'!$C$26=RefData!$B$10, OR('Investment risk - current level'!$C$14 = RefData!$B$53, 'Investment risk - current level'!$C$14 = RefData!$B$56),$E1037&lt;&gt;""), ErrorMsgs!$C1037)</f>
        <v>0</v>
      </c>
      <c r="M1037" s="714" t="b">
        <f ca="1">IF(AND('Investment risk - current level'!$C$16=RefData!$B$58, $E1037&lt;&gt;""), ErrorMsgs!$D1037)</f>
        <v>0</v>
      </c>
      <c r="N1037" s="714" t="b">
        <f ca="1">IF(AND('Investment risk - current level'!$C$16=RefData!$B$57, 'Investment risk - current level'!$C$17=RefData!$B$62, $E1037="", $P1037=FALSE), ErrorMsgs!$E1037)</f>
        <v>0</v>
      </c>
      <c r="O1037" s="712" t="b">
        <f ca="1">IF(AND('Investment risk - current level'!$C$17&lt;&gt;RefData!$B$62, $E1037&lt;&gt;""), ErrorMsgs!$F1037)</f>
        <v>0</v>
      </c>
      <c r="P1037" s="712" t="b">
        <f ca="1">IF(AND('Investment risk - current level'!$C$17=RefData!$B$62, $E1037=""), ErrorMsgs!$G1037)</f>
        <v>0</v>
      </c>
      <c r="Q1037" s="712" t="b">
        <f ca="1">IF(AND('Investment risk - current level'!$C$17=RefData!$B$62, $E1037&lt;&gt;"",NOT(AND(E1037&gt;=-0.1,E1037&lt;=0.1))),ErrorMsgs!$H1037)</f>
        <v>0</v>
      </c>
      <c r="R1037" s="712"/>
      <c r="S1037" s="712"/>
      <c r="T1037" s="712"/>
      <c r="U1037" s="526" t="str">
        <f t="shared" ca="1" si="142"/>
        <v/>
      </c>
      <c r="V1037" s="93" t="str" cm="1">
        <f t="array" aca="1" ref="V1037" ca="1">CELL("format",INDIRECT(I1037))</f>
        <v>P4</v>
      </c>
      <c r="W1037" s="93" t="b">
        <f t="shared" ca="1" si="143"/>
        <v>0</v>
      </c>
      <c r="X1037" s="715" t="str">
        <f t="shared" ca="1" si="141"/>
        <v/>
      </c>
      <c r="Y1037" t="b">
        <f t="shared" ca="1" si="144"/>
        <v>1</v>
      </c>
    </row>
    <row r="1038" spans="1:25" ht="62">
      <c r="A1038" s="705" t="s">
        <v>3684</v>
      </c>
      <c r="B1038" s="706" t="str">
        <f t="shared" ca="1" si="52"/>
        <v>Investment risk - current level - C20</v>
      </c>
      <c r="C1038" s="707" t="str" cm="1">
        <f t="array" aca="1" ref="C1038" ca="1">INDIRECT(LEFT(I1038, FIND("!", I1038)) &amp; RefData!$C$426 &amp; RIGHT(I1038, LEN(I1038) - FIND("!", I1038) - 1))</f>
        <v xml:space="preserve">No answer required
Describe the liability basis.
</v>
      </c>
      <c r="D1038" s="92" t="str">
        <f t="shared" ca="1" si="112"/>
        <v/>
      </c>
      <c r="E1038" s="708" t="str" cm="1">
        <f t="array" aca="1" ref="E1038" ca="1">IF(INDIRECT($I1038)= "", "", INDIRECT($I1038))</f>
        <v/>
      </c>
      <c r="F1038" s="709" t="str" cm="1">
        <f t="array" aca="1" ref="F1038" ca="1">INDIRECT(LEFT(I1038, FIND("!", I1038)) &amp; RefData!$C$427 &amp; RIGHT(I1038, LEN(I1038) - FIND("!", I1038) - 1))</f>
        <v>IRC 10.0</v>
      </c>
      <c r="G1038" s="710" t="b">
        <f ca="1">IF(ISNUMBER(SEARCH(RefData!$B$2, $C1038)), FALSE, TRUE)</f>
        <v>0</v>
      </c>
      <c r="H1038" s="113">
        <f>'Investment risk - current level'!C20</f>
        <v>0</v>
      </c>
      <c r="I1038" s="712" t="str">
        <f t="shared" ca="1" si="145"/>
        <v>'Investment risk - current level'!C20</v>
      </c>
      <c r="J1038" s="713" t="b" cm="1">
        <f t="array" aca="1" ref="J1038" ca="1">IF(COUNTIF($K1038:$T1038, "&lt;&gt;FALSE") - COUNTBLANK($K1038:$T1038) &gt; 0, INDEX($K1038:$T1038, MATCH(TRUE, $K1038:$T1038 &lt;&gt; FALSE, 0)))</f>
        <v>0</v>
      </c>
      <c r="K1038" s="712" t="b">
        <f ca="1">IF(AND('Start here'!$C$26=RefData!$B$9, $E1038&lt;&gt;""), ErrorMsgs!$B1038)</f>
        <v>0</v>
      </c>
      <c r="L1038" s="712" t="b">
        <f ca="1">IF(AND('Start here'!$C$26=RefData!$B$10, OR('Investment risk - current level'!$C$14 = RefData!$B$53, 'Investment risk - current level'!$C$14 = RefData!$B$56),$E1038&lt;&gt;""), ErrorMsgs!$C1038)</f>
        <v>0</v>
      </c>
      <c r="M1038" s="714" t="b">
        <f ca="1">IF(AND('Investment risk - current level'!$C$16=RefData!$B$58, $E1038&lt;&gt;""), ErrorMsgs!$D1038)</f>
        <v>0</v>
      </c>
      <c r="N1038" s="714" t="b">
        <f ca="1">IF(AND('Investment risk - current level'!$C$16=RefData!$B$57, 'Investment risk - current level'!$C$17=RefData!$B$63, $E1038="", $P1038=FALSE), ErrorMsgs!$E1038)</f>
        <v>0</v>
      </c>
      <c r="O1038" s="712" t="b">
        <f ca="1">IF(AND('Investment risk - current level'!$C$17&lt;&gt;RefData!$B$63, $E1038&lt;&gt;""), ErrorMsgs!$F1038)</f>
        <v>0</v>
      </c>
      <c r="P1038" s="712" t="b">
        <f ca="1">IF(AND('Investment risk - current level'!$C$17=RefData!$B$63, $E1038=""), ErrorMsgs!$G1038)</f>
        <v>0</v>
      </c>
      <c r="Q1038" s="712" t="b">
        <f>IF(LEN('Investment risk - current level'!$C$20)&gt;4000,ErrorMsgs!$H1038)</f>
        <v>0</v>
      </c>
      <c r="R1038" s="712"/>
      <c r="S1038" s="712"/>
      <c r="T1038" s="712"/>
      <c r="U1038" s="526" t="str">
        <f t="shared" ca="1" si="142"/>
        <v/>
      </c>
      <c r="V1038" s="93" t="str" cm="1">
        <f t="array" aca="1" ref="V1038" ca="1">CELL("format",INDIRECT(I1038))</f>
        <v>G</v>
      </c>
      <c r="W1038" s="93" t="b">
        <f t="shared" ca="1" si="143"/>
        <v>0</v>
      </c>
      <c r="X1038" s="715" t="str">
        <f t="shared" ca="1" si="141"/>
        <v/>
      </c>
      <c r="Y1038" t="b">
        <f t="shared" ca="1" si="144"/>
        <v>1</v>
      </c>
    </row>
    <row r="1039" spans="1:25" ht="62">
      <c r="A1039" s="705" t="s">
        <v>3685</v>
      </c>
      <c r="B1039" s="706" t="str">
        <f t="shared" ref="B1039:B1062" ca="1" si="146">HYPERLINK("#" &amp; $I1039, SUBSTITUTE(SUBSTITUTE($I1039, "!", " - "), "'",""))</f>
        <v>Investment risk - current level - C21</v>
      </c>
      <c r="C1039" s="707" t="str" cm="1">
        <f t="array" aca="1" ref="C1039" ca="1">INDIRECT(LEFT(I1039, FIND("!", I1039)) &amp; RefData!$C$426 &amp; RIGHT(I1039, LEN(I1039) - FIND("!", I1039) - 1))</f>
        <v xml:space="preserve">
At or to which percentile point has the investment risk been calculated? (%)
</v>
      </c>
      <c r="D1039" s="92" t="str">
        <f t="shared" ca="1" si="112"/>
        <v xml:space="preserve">
Enter a percentage value between 0 and 100.
</v>
      </c>
      <c r="E1039" s="708" t="str" cm="1">
        <f t="array" aca="1" ref="E1039" ca="1">IF(INDIRECT($I1039)= "", "", INDIRECT($I1039))</f>
        <v/>
      </c>
      <c r="F1039" s="709" t="str" cm="1">
        <f t="array" aca="1" ref="F1039" ca="1">INDIRECT(LEFT(I1039, FIND("!", I1039)) &amp; RefData!$C$427 &amp; RIGHT(I1039, LEN(I1039) - FIND("!", I1039) - 1))</f>
        <v>IRC 11.0</v>
      </c>
      <c r="G1039" s="710" t="b">
        <f ca="1">IF(ISNUMBER(SEARCH(RefData!$B$2, $C1039)), FALSE, TRUE)</f>
        <v>1</v>
      </c>
      <c r="H1039" s="107">
        <f>'Investment risk - current level'!C21</f>
        <v>0</v>
      </c>
      <c r="I1039" s="712" t="str">
        <f t="shared" ref="I1039:I1062" ca="1" si="147">SUBSTITUTE(_xlfn.FORMULATEXT($H1039), "=", "")</f>
        <v>'Investment risk - current level'!C21</v>
      </c>
      <c r="J1039" s="713" t="str" cm="1">
        <f t="array" aca="1" ref="J1039" ca="1">IF(COUNTIF($K1039:$T1039, "&lt;&gt;FALSE") - COUNTBLANK($K1039:$T1039) &gt; 0, INDEX($K1039:$T1039, MATCH(TRUE, $K1039:$T1039 &lt;&gt; FALSE, 0)))</f>
        <v xml:space="preserve">
Enter a percentage value between 0 and 100.
</v>
      </c>
      <c r="K1039" s="712" t="b">
        <f ca="1">IF(AND('Start here'!$C$26=RefData!$B$9, $E1039&lt;&gt;""), ErrorMsgs!$B1039)</f>
        <v>0</v>
      </c>
      <c r="L1039" s="712" t="b">
        <f ca="1">IF(AND('Start here'!$C$26=RefData!$B$10, OR('Investment risk - current level'!$C$14 = RefData!$B$53, 'Investment risk - current level'!$C$14 = RefData!$B$56),$E1039&lt;&gt;""), ErrorMsgs!$C1039)</f>
        <v>0</v>
      </c>
      <c r="M1039" s="714" t="b">
        <f ca="1">IF(AND('Start here'!$C$26=RefData!$B$10, OR('Investment risk - current level'!$C$14 = RefData!$B$54, 'Investment risk - current level'!$C$14 = RefData!$B$55),$E1039=""), ErrorMsgs!$D1039)</f>
        <v>0</v>
      </c>
      <c r="N1039" s="714" t="str">
        <f ca="1">IF(AND('Start here'!$C$26&lt;&gt;RefData!$B$9,NOT(OR('Investment risk - current level'!$C$14 = RefData!$B$53, 'Investment risk - current level'!$C$14 = RefData!$B$56)), OR(NOT($E1039&gt;=0),NOT($E1039&lt;=1),$E1039="")),ErrorMsgs!$E1039)</f>
        <v xml:space="preserve">
Enter a percentage value between 0 and 100.
</v>
      </c>
      <c r="O1039" s="712"/>
      <c r="P1039" s="712"/>
      <c r="Q1039" s="712"/>
      <c r="R1039" s="712"/>
      <c r="S1039" s="712"/>
      <c r="T1039" s="712"/>
      <c r="U1039" s="526" t="str">
        <f t="shared" ca="1" si="142"/>
        <v/>
      </c>
      <c r="V1039" s="93" t="str" cm="1">
        <f t="array" aca="1" ref="V1039" ca="1">CELL("format",INDIRECT(I1039))</f>
        <v>P4</v>
      </c>
      <c r="W1039" s="93" t="b">
        <f t="shared" ca="1" si="143"/>
        <v>0</v>
      </c>
      <c r="X1039" s="715" t="str">
        <f t="shared" ca="1" si="141"/>
        <v/>
      </c>
      <c r="Y1039" t="b">
        <f t="shared" ca="1" si="144"/>
        <v>1</v>
      </c>
    </row>
    <row r="1040" spans="1:25" ht="46.5">
      <c r="A1040" s="705" t="s">
        <v>3686</v>
      </c>
      <c r="B1040" s="706" t="str">
        <f t="shared" ca="1" si="146"/>
        <v>Investment risk - current level - C22</v>
      </c>
      <c r="C1040" s="707" t="str" cm="1">
        <f t="array" aca="1" ref="C1040" ca="1">INDIRECT(LEFT(I1040, FIND("!", I1040)) &amp; RefData!$C$426 &amp; RIGHT(I1040, LEN(I1040) - FIND("!", I1040) - 1))</f>
        <v xml:space="preserve">
Over what period has the investment risk been calculated?
</v>
      </c>
      <c r="D1040" s="92" t="str">
        <f t="shared" ca="1" si="112"/>
        <v xml:space="preserve">
Enter a number (in years) between 1 and 10.
</v>
      </c>
      <c r="E1040" s="708" t="str" cm="1">
        <f t="array" aca="1" ref="E1040" ca="1">IF(INDIRECT($I1040)= "", "", INDIRECT($I1040))</f>
        <v/>
      </c>
      <c r="F1040" s="709" t="str" cm="1">
        <f t="array" aca="1" ref="F1040" ca="1">INDIRECT(LEFT(I1040, FIND("!", I1040)) &amp; RefData!$C$427 &amp; RIGHT(I1040, LEN(I1040) - FIND("!", I1040) - 1))</f>
        <v>IRC 12.0</v>
      </c>
      <c r="G1040" s="710" t="b">
        <f ca="1">IF(ISNUMBER(SEARCH(RefData!$B$2, $C1040)), FALSE, TRUE)</f>
        <v>1</v>
      </c>
      <c r="H1040" s="113">
        <f>'Investment risk - current level'!C22</f>
        <v>0</v>
      </c>
      <c r="I1040" s="712" t="str">
        <f t="shared" ca="1" si="147"/>
        <v>'Investment risk - current level'!C22</v>
      </c>
      <c r="J1040" s="713" t="str" cm="1">
        <f t="array" aca="1" ref="J1040" ca="1">IF(COUNTIF($K1040:$T1040, "&lt;&gt;FALSE") - COUNTBLANK($K1040:$T1040) &gt; 0, INDEX($K1040:$T1040, MATCH(TRUE, $K1040:$T1040 &lt;&gt; FALSE, 0)))</f>
        <v xml:space="preserve">
Enter a number (in years) between 1 and 10.
</v>
      </c>
      <c r="K1040" s="712" t="b">
        <f ca="1">IF(AND('Start here'!$C$26=RefData!$B$9, $E1040&lt;&gt;""), ErrorMsgs!$B1040)</f>
        <v>0</v>
      </c>
      <c r="L1040" s="712" t="b">
        <f ca="1">IF(AND('Start here'!$C$26=RefData!$B$10, OR('Investment risk - current level'!$C$14 = RefData!$B$53, 'Investment risk - current level'!$C$14 = RefData!$B$56),$E1040&lt;&gt;""), ErrorMsgs!$C1040)</f>
        <v>0</v>
      </c>
      <c r="M1040" s="714" t="b">
        <f ca="1">IF(AND('Start here'!$C$26=RefData!$B$10, OR('Investment risk - current level'!$C$14 = RefData!$B$54, 'Investment risk - current level'!$C$14 = RefData!$B$55),$E1040=""), ErrorMsgs!$D1040)</f>
        <v>0</v>
      </c>
      <c r="N1040" s="714" t="str">
        <f ca="1">IF(AND('Start here'!$C$26&lt;&gt;RefData!$B$9,NOT(OR('Investment risk - current level'!$C$14 = RefData!$B$53, 'Investment risk - current level'!$C$14 = RefData!$B$56)), OR(NOT(ISNUMBER($E1040)),NOT($E1040&gt;=0),NOT($E1040&lt;=10),$E1040="")),ErrorMsgs!$E1040)</f>
        <v xml:space="preserve">
Enter a number (in years) between 1 and 10.
</v>
      </c>
      <c r="O1040" s="712" t="b">
        <f ca="1">IF(IF($E$1040="",0,$E$1040)-INT(IF($E$1040="",0,$E$1040))&lt;&gt;0,ErrorMsgs!$F1040)</f>
        <v>0</v>
      </c>
      <c r="P1040" s="712"/>
      <c r="Q1040" s="712"/>
      <c r="R1040" s="712"/>
      <c r="S1040" s="712"/>
      <c r="T1040" s="712"/>
      <c r="U1040" s="526" t="str">
        <f t="shared" ca="1" si="142"/>
        <v/>
      </c>
      <c r="V1040" s="93" t="str" cm="1">
        <f t="array" aca="1" ref="V1040" ca="1">CELL("format",INDIRECT(I1040))</f>
        <v>F0</v>
      </c>
      <c r="W1040" s="93" t="b">
        <f t="shared" ca="1" si="143"/>
        <v>0</v>
      </c>
      <c r="X1040" s="715" t="str">
        <f t="shared" ca="1" si="141"/>
        <v/>
      </c>
      <c r="Y1040" t="b">
        <f t="shared" ca="1" si="144"/>
        <v>1</v>
      </c>
    </row>
    <row r="1041" spans="1:25" ht="77.5">
      <c r="A1041" s="705" t="s">
        <v>3687</v>
      </c>
      <c r="B1041" s="706" t="str">
        <f t="shared" ca="1" si="146"/>
        <v>Investment risk - current level - C26</v>
      </c>
      <c r="C1041" s="707" t="str" cm="1">
        <f t="array" aca="1" ref="C1041" ca="1">INDIRECT(LEFT(I1041, FIND("!", I1041)) &amp; RefData!$C$426 &amp; RIGHT(I1041, LEN(I1041) - FIND("!", I1041) - 1))</f>
        <v xml:space="preserve">
Is the expected long-term return that the notional investment allocation is assumed to provide expressed as a nominal value or as a margin over gilts?
</v>
      </c>
      <c r="D1041" s="92" t="str">
        <f t="shared" ca="1" si="112"/>
        <v xml:space="preserve">
Select 'Nominal value' or 'Margin over gilts' from the drop-down menu.
</v>
      </c>
      <c r="E1041" s="708" t="str" cm="1">
        <f t="array" aca="1" ref="E1041" ca="1">IF(INDIRECT($I1041)= "", "", INDIRECT($I1041))</f>
        <v/>
      </c>
      <c r="F1041" s="709" t="str" cm="1">
        <f t="array" aca="1" ref="F1041" ca="1">INDIRECT(LEFT(I1041, FIND("!", I1041)) &amp; RefData!$C$427 &amp; RIGHT(I1041, LEN(I1041) - FIND("!", I1041) - 1))</f>
        <v>IRC 13.0</v>
      </c>
      <c r="G1041" s="710" t="b">
        <f ca="1">IF(ISNUMBER(SEARCH(RefData!$B$2, $C1041)), FALSE, TRUE)</f>
        <v>1</v>
      </c>
      <c r="H1041" s="113">
        <f>'Investment risk - current level'!C26</f>
        <v>0</v>
      </c>
      <c r="I1041" s="712" t="str">
        <f t="shared" ca="1" si="147"/>
        <v>'Investment risk - current level'!C26</v>
      </c>
      <c r="J1041" s="713" t="str" cm="1">
        <f t="array" aca="1" ref="J1041" ca="1">IF(COUNTIF($K1041:$T1041, "&lt;&gt;FALSE") - COUNTBLANK($K1041:$T1041) &gt; 0, INDEX($K1041:$T1041, MATCH(TRUE, $K1041:$T1041 &lt;&gt; FALSE, 0)))</f>
        <v xml:space="preserve">
Select 'Nominal value' or 'Margin over gilts' from the drop-down menu.
</v>
      </c>
      <c r="K1041" s="712" t="b">
        <f ca="1">IF(AND('Start here'!$C$26=RefData!$B$9, $E1041&lt;&gt;""), ErrorMsgs!$B1041)</f>
        <v>0</v>
      </c>
      <c r="L1041" s="712" t="b">
        <f ca="1">IF(AND('Start here'!$C$26=RefData!$B$10, $E1041=""), ErrorMsgs!$C1041)</f>
        <v>0</v>
      </c>
      <c r="M1041" s="714" t="str">
        <f ca="1">IF(AND('Start here'!$C$26&lt;&gt;RefData!$B$9,OR(ISNA(MATCH($E1041,RefData!$B$64:$B$65, 0)),  $E1041="")),ErrorMsgs!$D1041)</f>
        <v xml:space="preserve">
Select 'Nominal value' or 'Margin over gilts' from the drop-down menu.
</v>
      </c>
      <c r="N1041" s="714"/>
      <c r="O1041" s="712"/>
      <c r="P1041" s="712"/>
      <c r="Q1041" s="712"/>
      <c r="R1041" s="712"/>
      <c r="S1041" s="712"/>
      <c r="T1041" s="712"/>
      <c r="U1041" s="526" t="str">
        <f t="shared" ca="1" si="142"/>
        <v/>
      </c>
      <c r="V1041" s="93" t="str" cm="1">
        <f t="array" aca="1" ref="V1041" ca="1">CELL("format",INDIRECT(I1041))</f>
        <v>G</v>
      </c>
      <c r="W1041" s="93" t="b">
        <f t="shared" ca="1" si="143"/>
        <v>0</v>
      </c>
      <c r="X1041" s="715" t="str">
        <f t="shared" ca="1" si="141"/>
        <v/>
      </c>
      <c r="Y1041" t="b">
        <f t="shared" ca="1" si="144"/>
        <v>1</v>
      </c>
    </row>
    <row r="1042" spans="1:25" ht="93">
      <c r="A1042" s="705" t="s">
        <v>3688</v>
      </c>
      <c r="B1042" s="706" t="str">
        <f t="shared" ca="1" si="146"/>
        <v>Investment risk - current level - C27</v>
      </c>
      <c r="C1042" s="707" t="str" cm="1">
        <f t="array" aca="1" ref="C1042" ca="1">INDIRECT(LEFT(I1042, FIND("!", I1042)) &amp; RefData!$C$426 &amp; RIGHT(I1042, LEN(I1042) - FIND("!", I1042) - 1))</f>
        <v xml:space="preserve">No answer required
What is the expected long-term return that the notional investment allocation is assumed to provide, expressed as a margin over gilts? (%)
</v>
      </c>
      <c r="D1042" s="92" t="str">
        <f t="shared" ca="1" si="112"/>
        <v/>
      </c>
      <c r="E1042" s="708" t="str" cm="1">
        <f t="array" aca="1" ref="E1042" ca="1">IF(INDIRECT($I1042)= "", "", INDIRECT($I1042))</f>
        <v/>
      </c>
      <c r="F1042" s="709" t="str" cm="1">
        <f t="array" aca="1" ref="F1042" ca="1">INDIRECT(LEFT(I1042, FIND("!", I1042)) &amp; RefData!$C$427 &amp; RIGHT(I1042, LEN(I1042) - FIND("!", I1042) - 1))</f>
        <v>IRC 14.0</v>
      </c>
      <c r="G1042" s="710" t="b">
        <f ca="1">IF(ISNUMBER(SEARCH(RefData!$B$2, $C1042)), FALSE, TRUE)</f>
        <v>0</v>
      </c>
      <c r="H1042" s="107">
        <f>'Investment risk - current level'!C27</f>
        <v>0</v>
      </c>
      <c r="I1042" s="712" t="str">
        <f t="shared" ca="1" si="147"/>
        <v>'Investment risk - current level'!C27</v>
      </c>
      <c r="J1042" s="713" t="b" cm="1">
        <f t="array" aca="1" ref="J1042" ca="1">IF(COUNTIF($K1042:$T1042, "&lt;&gt;FALSE") - COUNTBLANK($K1042:$T1042) &gt; 0, INDEX($K1042:$T1042, MATCH(TRUE, $K1042:$T1042 &lt;&gt; FALSE, 0)))</f>
        <v>0</v>
      </c>
      <c r="K1042" s="712" t="b">
        <f ca="1">IF(AND('Start here'!$C$26=RefData!$B$9, $E1042&lt;&gt;""), ErrorMsgs!B$1042)</f>
        <v>0</v>
      </c>
      <c r="L1042" s="712" t="b">
        <f ca="1">IF(AND('Investment risk - current level'!$C$26&lt;&gt;RefData!$B$65,'Reconciliation report'!E1042&lt;&gt;""),ErrorMsgs!$C1042)</f>
        <v>0</v>
      </c>
      <c r="M1042" s="714" t="b">
        <f ca="1">IF(AND('Investment risk - current level'!$C$26=RefData!$B$65,'Reconciliation report'!E1042="", NOT(ISNUMBER(SEARCH(RefData!$B$2, $C$1041)))),ErrorMsgs!D$1042)</f>
        <v>0</v>
      </c>
      <c r="N1042" s="714" t="b">
        <f ca="1">IF(AND('Start here'!$C$26&lt;&gt;RefData!$B$9,'Investment risk - current level'!$C$26&lt;&gt;RefData!$B$64,OR(NOT($E1042&gt;=0),$E1042=""), E1041&lt;&gt;""),ErrorMsgs!$E1042)</f>
        <v>0</v>
      </c>
      <c r="O1042" s="712"/>
      <c r="P1042" s="712"/>
      <c r="Q1042" s="712"/>
      <c r="R1042" s="712"/>
      <c r="S1042" s="712"/>
      <c r="T1042" s="712"/>
      <c r="U1042" s="526" t="str">
        <f t="shared" ca="1" si="142"/>
        <v/>
      </c>
      <c r="V1042" s="93" t="str" cm="1">
        <f t="array" aca="1" ref="V1042" ca="1">CELL("format",INDIRECT(I1042))</f>
        <v>P4</v>
      </c>
      <c r="W1042" s="93" t="b">
        <f t="shared" ca="1" si="143"/>
        <v>0</v>
      </c>
      <c r="X1042" s="715" t="str">
        <f t="shared" ca="1" si="141"/>
        <v/>
      </c>
      <c r="Y1042" t="b">
        <f t="shared" ca="1" si="144"/>
        <v>1</v>
      </c>
    </row>
    <row r="1043" spans="1:25" ht="93">
      <c r="A1043" s="705" t="s">
        <v>3689</v>
      </c>
      <c r="B1043" s="706" t="str">
        <f t="shared" ca="1" si="146"/>
        <v>Investment risk - current level - C28</v>
      </c>
      <c r="C1043" s="707" t="str" cm="1">
        <f t="array" aca="1" ref="C1043" ca="1">INDIRECT(LEFT(I1043, FIND("!", I1043)) &amp; RefData!$C$426 &amp; RIGHT(I1043, LEN(I1043) - FIND("!", I1043) - 1))</f>
        <v xml:space="preserve">No answer required
What is the expected long-term return that the notional investment allocation is assumed to provide expressed as a nominal value?
</v>
      </c>
      <c r="D1043" s="92" t="str">
        <f t="shared" ca="1" si="112"/>
        <v/>
      </c>
      <c r="E1043" s="708" t="str" cm="1">
        <f t="array" aca="1" ref="E1043" ca="1">IF(INDIRECT($I1043)= "", "", INDIRECT($I1043))</f>
        <v/>
      </c>
      <c r="F1043" s="709" t="str" cm="1">
        <f t="array" aca="1" ref="F1043" ca="1">INDIRECT(LEFT(I1043, FIND("!", I1043)) &amp; RefData!$C$427 &amp; RIGHT(I1043, LEN(I1043) - FIND("!", I1043) - 1))</f>
        <v>IRC 15.0</v>
      </c>
      <c r="G1043" s="710" t="b">
        <f ca="1">IF(ISNUMBER(SEARCH(RefData!$B$2, $C1043)), FALSE, TRUE)</f>
        <v>0</v>
      </c>
      <c r="H1043" s="107">
        <f>'Investment risk - current level'!C28</f>
        <v>0</v>
      </c>
      <c r="I1043" s="712" t="str">
        <f t="shared" ca="1" si="147"/>
        <v>'Investment risk - current level'!C28</v>
      </c>
      <c r="J1043" s="713" t="b" cm="1">
        <f t="array" aca="1" ref="J1043" ca="1">IF(COUNTIF($K1043:$T1043, "&lt;&gt;FALSE") - COUNTBLANK($K1043:$T1043) &gt; 0, INDEX($K1043:$T1043, MATCH(TRUE, $K1043:$T1043 &lt;&gt; FALSE, 0)))</f>
        <v>0</v>
      </c>
      <c r="K1043" s="712" t="b">
        <f ca="1">IF(AND('Start here'!$C$26=RefData!$B$9, $E1043&lt;&gt;""), ErrorMsgs!B$1043)</f>
        <v>0</v>
      </c>
      <c r="L1043" s="712" t="b">
        <f ca="1">IF(AND('Investment risk - current level'!$C$26&lt;&gt;RefData!$B$64,'Reconciliation report'!E1043&lt;&gt;""),ErrorMsgs!$C1043)</f>
        <v>0</v>
      </c>
      <c r="M1043" s="714" t="b">
        <f ca="1">IF(AND('Investment risk - current level'!$C$26=RefData!$B$64,'Reconciliation report'!E1043="", NOT(ISNUMBER(SEARCH(RefData!$B$2, $C$1041)))),ErrorMsgs!D$1043)</f>
        <v>0</v>
      </c>
      <c r="N1043" s="714" t="b">
        <f ca="1">IF(AND('Start here'!$C$26&lt;&gt;RefData!$B$9,'Investment risk - current level'!$C$26&lt;&gt;RefData!$B$65,OR(NOT($E1043&gt;=0),$E1043=""), E1041&lt;&gt;""),ErrorMsgs!$E1043)</f>
        <v>0</v>
      </c>
      <c r="O1043" s="712"/>
      <c r="P1043" s="712"/>
      <c r="Q1043" s="712"/>
      <c r="R1043" s="712"/>
      <c r="S1043" s="712"/>
      <c r="T1043" s="712"/>
      <c r="U1043" s="526" t="str">
        <f t="shared" ca="1" si="142"/>
        <v/>
      </c>
      <c r="V1043" s="93" t="str" cm="1">
        <f t="array" aca="1" ref="V1043" ca="1">CELL("format",INDIRECT(I1043))</f>
        <v>P4</v>
      </c>
      <c r="W1043" s="93" t="b">
        <f t="shared" ca="1" si="143"/>
        <v>0</v>
      </c>
      <c r="X1043" s="715" t="str">
        <f t="shared" ca="1" si="141"/>
        <v/>
      </c>
      <c r="Y1043" t="b">
        <f t="shared" ca="1" si="144"/>
        <v>1</v>
      </c>
    </row>
    <row r="1044" spans="1:25" ht="62">
      <c r="A1044" s="705" t="s">
        <v>3690</v>
      </c>
      <c r="B1044" s="706" t="str">
        <f t="shared" ca="1" si="146"/>
        <v>Investment risk - current level - C29</v>
      </c>
      <c r="C1044" s="707" t="str" cm="1">
        <f t="array" aca="1" ref="C1044" ca="1">INDIRECT(LEFT(I1044, FIND("!", I1044)) &amp; RefData!$C$426 &amp; RIGHT(I1044, LEN(I1044) - FIND("!", I1044) - 1))</f>
        <v xml:space="preserve">
Notional asset investment allocation: fixed interest – UK Government bonds (%)
</v>
      </c>
      <c r="D1044" s="92" t="str">
        <f t="shared" ref="D1044:D1086" ca="1" si="148">""&amp;IF(J1044=FALSE, "", J1044)
&amp;""</f>
        <v xml:space="preserve">
Enter a percentage value between -200 and 300.</v>
      </c>
      <c r="E1044" s="708" t="str" cm="1">
        <f t="array" aca="1" ref="E1044" ca="1">IF(INDIRECT($I1044)= "", "", INDIRECT($I1044))</f>
        <v/>
      </c>
      <c r="F1044" s="709" t="str" cm="1">
        <f t="array" aca="1" ref="F1044" ca="1">INDIRECT(LEFT(I1044, FIND("!", I1044)) &amp; RefData!$C$427 &amp; RIGHT(I1044, LEN(I1044) - FIND("!", I1044) - 1))</f>
        <v>IRC 16.0</v>
      </c>
      <c r="G1044" s="710" t="b">
        <f ca="1">IF(ISNUMBER(SEARCH(RefData!$B$2, $C1044)), FALSE, TRUE)</f>
        <v>1</v>
      </c>
      <c r="H1044" s="107">
        <f>'Investment risk - current level'!C29</f>
        <v>0</v>
      </c>
      <c r="I1044" s="712" t="str">
        <f t="shared" ca="1" si="147"/>
        <v>'Investment risk - current level'!C29</v>
      </c>
      <c r="J1044" s="713" t="str" cm="1">
        <f t="array" aca="1" ref="J1044" ca="1">IF(COUNTIF($K1044:$T1044, "&lt;&gt;FALSE") - COUNTBLANK($K1044:$T1044) &gt; 0, INDEX($K1044:$T1044, MATCH(TRUE, $K1044:$T1044 &lt;&gt; FALSE, 0)))</f>
        <v xml:space="preserve">
Enter a percentage value between -200 and 300.</v>
      </c>
      <c r="K1044" s="712" t="str" cm="1">
        <f t="array" aca="1" ref="K1044" ca="1">IF(ISBLANK(INDIRECT('Reconciliation report'!I1044)),ErrorMsgs!$B1044)</f>
        <v xml:space="preserve">
Enter a percentage value between -200 and 300.</v>
      </c>
      <c r="L1044" s="712" t="b" cm="1">
        <f t="array" aca="1" ref="L1044" ca="1">IF(INDIRECT('Reconciliation report'!I1044)&lt;-2,ErrorMsgs!$C1044)</f>
        <v>0</v>
      </c>
      <c r="M1044" s="714" t="b" cm="1">
        <f t="array" aca="1" ref="M1044" ca="1">IF(INDIRECT('Reconciliation report'!I1044)&gt;3,ErrorMsgs!$D1044)</f>
        <v>0</v>
      </c>
      <c r="N1044" s="714"/>
      <c r="O1044" s="712"/>
      <c r="P1044" s="712"/>
      <c r="Q1044" s="712"/>
      <c r="R1044" s="712"/>
      <c r="S1044" s="712"/>
      <c r="T1044" s="712"/>
      <c r="U1044" s="526" t="str">
        <f t="shared" ca="1" si="142"/>
        <v/>
      </c>
      <c r="V1044" s="93" t="str" cm="1">
        <f t="array" aca="1" ref="V1044" ca="1">CELL("format",INDIRECT(I1044))</f>
        <v>P4</v>
      </c>
      <c r="W1044" s="93" t="b">
        <f t="shared" ca="1" si="143"/>
        <v>0</v>
      </c>
      <c r="X1044" s="715" t="str">
        <f t="shared" ca="1" si="141"/>
        <v/>
      </c>
      <c r="Y1044" t="b">
        <f t="shared" ca="1" si="144"/>
        <v>1</v>
      </c>
    </row>
    <row r="1045" spans="1:25" ht="62">
      <c r="A1045" s="705" t="s">
        <v>3691</v>
      </c>
      <c r="B1045" s="706" t="str">
        <f t="shared" ca="1" si="146"/>
        <v>Investment risk - current level - C30</v>
      </c>
      <c r="C1045" s="707" t="str" cm="1">
        <f t="array" aca="1" ref="C1045" ca="1">INDIRECT(LEFT(I1045, FIND("!", I1045)) &amp; RefData!$C$426 &amp; RIGHT(I1045, LEN(I1045) - FIND("!", I1045) - 1))</f>
        <v xml:space="preserve">
Notional asset investment allocation: fixed interest investment grade bonds (excluding UK Government) (%)
</v>
      </c>
      <c r="D1045" s="92" t="str">
        <f t="shared" ca="1" si="148"/>
        <v xml:space="preserve">
Enter a percentage value between -200 and 300.</v>
      </c>
      <c r="E1045" s="708" t="str" cm="1">
        <f t="array" aca="1" ref="E1045" ca="1">IF(INDIRECT($I1045)= "", "", INDIRECT($I1045))</f>
        <v/>
      </c>
      <c r="F1045" s="709" t="str" cm="1">
        <f t="array" aca="1" ref="F1045" ca="1">INDIRECT(LEFT(I1045, FIND("!", I1045)) &amp; RefData!$C$427 &amp; RIGHT(I1045, LEN(I1045) - FIND("!", I1045) - 1))</f>
        <v>IRC 17.0</v>
      </c>
      <c r="G1045" s="710" t="b">
        <f ca="1">IF(ISNUMBER(SEARCH(RefData!$B$2, $C1045)), FALSE, TRUE)</f>
        <v>1</v>
      </c>
      <c r="H1045" s="107">
        <f>'Investment risk - current level'!C30</f>
        <v>0</v>
      </c>
      <c r="I1045" s="712" t="str">
        <f t="shared" ca="1" si="147"/>
        <v>'Investment risk - current level'!C30</v>
      </c>
      <c r="J1045" s="713" t="str" cm="1">
        <f t="array" aca="1" ref="J1045" ca="1">IF(COUNTIF($K1045:$T1045, "&lt;&gt;FALSE") - COUNTBLANK($K1045:$T1045) &gt; 0, INDEX($K1045:$T1045, MATCH(TRUE, $K1045:$T1045 &lt;&gt; FALSE, 0)))</f>
        <v xml:space="preserve">
Enter a percentage value between -200 and 300.</v>
      </c>
      <c r="K1045" s="712" t="str" cm="1">
        <f t="array" aca="1" ref="K1045" ca="1">IF(ISBLANK(INDIRECT('Reconciliation report'!I1045)),ErrorMsgs!$B1045)</f>
        <v xml:space="preserve">
Enter a percentage value between -200 and 300.</v>
      </c>
      <c r="L1045" s="712" t="b" cm="1">
        <f t="array" aca="1" ref="L1045" ca="1">IF(INDIRECT('Reconciliation report'!I1045)&lt;-2,ErrorMsgs!$C1045)</f>
        <v>0</v>
      </c>
      <c r="M1045" s="714" t="b" cm="1">
        <f t="array" aca="1" ref="M1045" ca="1">IF(INDIRECT('Reconciliation report'!I1045)&gt;3,ErrorMsgs!$D1045)</f>
        <v>0</v>
      </c>
      <c r="N1045" s="714"/>
      <c r="O1045" s="712"/>
      <c r="P1045" s="712"/>
      <c r="Q1045" s="712"/>
      <c r="R1045" s="712"/>
      <c r="S1045" s="712"/>
      <c r="T1045" s="712"/>
      <c r="U1045" s="526" t="str">
        <f t="shared" ca="1" si="142"/>
        <v/>
      </c>
      <c r="V1045" s="93" t="str" cm="1">
        <f t="array" aca="1" ref="V1045" ca="1">CELL("format",INDIRECT(I1045))</f>
        <v>P4</v>
      </c>
      <c r="W1045" s="93" t="b">
        <f t="shared" ca="1" si="143"/>
        <v>0</v>
      </c>
      <c r="X1045" s="715" t="str">
        <f t="shared" ca="1" si="141"/>
        <v/>
      </c>
      <c r="Y1045" t="b">
        <f t="shared" ca="1" si="144"/>
        <v>1</v>
      </c>
    </row>
    <row r="1046" spans="1:25" ht="62">
      <c r="A1046" s="705" t="s">
        <v>3692</v>
      </c>
      <c r="B1046" s="706" t="str">
        <f t="shared" ca="1" si="146"/>
        <v>Investment risk - current level - C31</v>
      </c>
      <c r="C1046" s="707" t="str" cm="1">
        <f t="array" aca="1" ref="C1046" ca="1">INDIRECT(LEFT(I1046, FIND("!", I1046)) &amp; RefData!$C$426 &amp; RIGHT(I1046, LEN(I1046) - FIND("!", I1046) - 1))</f>
        <v xml:space="preserve">
Notional asset investment allocation: fixed interest – sub-investment grade bonds (%)
</v>
      </c>
      <c r="D1046" s="92" t="str">
        <f t="shared" ca="1" si="148"/>
        <v xml:space="preserve">
Enter a percentage value between -200 and 300.</v>
      </c>
      <c r="E1046" s="708" t="str" cm="1">
        <f t="array" aca="1" ref="E1046" ca="1">IF(INDIRECT($I1046)= "", "", INDIRECT($I1046))</f>
        <v/>
      </c>
      <c r="F1046" s="709" t="str" cm="1">
        <f t="array" aca="1" ref="F1046" ca="1">INDIRECT(LEFT(I1046, FIND("!", I1046)) &amp; RefData!$C$427 &amp; RIGHT(I1046, LEN(I1046) - FIND("!", I1046) - 1))</f>
        <v>IRC 18.0</v>
      </c>
      <c r="G1046" s="710" t="b">
        <f ca="1">IF(ISNUMBER(SEARCH(RefData!$B$2, $C1046)), FALSE, TRUE)</f>
        <v>1</v>
      </c>
      <c r="H1046" s="107">
        <f>'Investment risk - current level'!C31</f>
        <v>0</v>
      </c>
      <c r="I1046" s="712" t="str">
        <f t="shared" ca="1" si="147"/>
        <v>'Investment risk - current level'!C31</v>
      </c>
      <c r="J1046" s="713" t="str" cm="1">
        <f t="array" aca="1" ref="J1046" ca="1">IF(COUNTIF($K1046:$T1046, "&lt;&gt;FALSE") - COUNTBLANK($K1046:$T1046) &gt; 0, INDEX($K1046:$T1046, MATCH(TRUE, $K1046:$T1046 &lt;&gt; FALSE, 0)))</f>
        <v xml:space="preserve">
Enter a percentage value between -200 and 300.</v>
      </c>
      <c r="K1046" s="712" t="str" cm="1">
        <f t="array" aca="1" ref="K1046" ca="1">IF(ISBLANK(INDIRECT('Reconciliation report'!I1046)),ErrorMsgs!$B1046)</f>
        <v xml:space="preserve">
Enter a percentage value between -200 and 300.</v>
      </c>
      <c r="L1046" s="712" t="b" cm="1">
        <f t="array" aca="1" ref="L1046" ca="1">IF(INDIRECT('Reconciliation report'!I1046)&lt;-2,ErrorMsgs!$C1046)</f>
        <v>0</v>
      </c>
      <c r="M1046" s="714" t="b" cm="1">
        <f t="array" aca="1" ref="M1046" ca="1">IF(INDIRECT('Reconciliation report'!I1046)&gt;3,ErrorMsgs!$D1046)</f>
        <v>0</v>
      </c>
      <c r="N1046" s="714"/>
      <c r="O1046" s="712"/>
      <c r="P1046" s="712"/>
      <c r="Q1046" s="712"/>
      <c r="R1046" s="712"/>
      <c r="S1046" s="712"/>
      <c r="T1046" s="712"/>
      <c r="U1046" s="526" t="str">
        <f t="shared" ca="1" si="142"/>
        <v/>
      </c>
      <c r="V1046" s="93" t="str" cm="1">
        <f t="array" aca="1" ref="V1046" ca="1">CELL("format",INDIRECT(I1046))</f>
        <v>P4</v>
      </c>
      <c r="W1046" s="93" t="b">
        <f t="shared" ca="1" si="143"/>
        <v>0</v>
      </c>
      <c r="X1046" s="715" t="str">
        <f t="shared" ca="1" si="141"/>
        <v/>
      </c>
      <c r="Y1046" t="b">
        <f t="shared" ca="1" si="144"/>
        <v>1</v>
      </c>
    </row>
    <row r="1047" spans="1:25" ht="62">
      <c r="A1047" s="705" t="s">
        <v>3693</v>
      </c>
      <c r="B1047" s="706" t="str">
        <f t="shared" ca="1" si="146"/>
        <v>Investment risk - current level - C32</v>
      </c>
      <c r="C1047" s="707" t="str" cm="1">
        <f t="array" aca="1" ref="C1047" ca="1">INDIRECT(LEFT(I1047, FIND("!", I1047)) &amp; RefData!$C$426 &amp; RIGHT(I1047, LEN(I1047) - FIND("!", I1047) - 1))</f>
        <v xml:space="preserve">
Notional asset investment allocation: UK inflation-linked – government bonds (%)
</v>
      </c>
      <c r="D1047" s="92" t="str">
        <f t="shared" ca="1" si="148"/>
        <v xml:space="preserve">
Enter a percentage value between -200 and 300.</v>
      </c>
      <c r="E1047" s="708" t="str" cm="1">
        <f t="array" aca="1" ref="E1047" ca="1">IF(INDIRECT($I1047)= "", "", INDIRECT($I1047))</f>
        <v/>
      </c>
      <c r="F1047" s="709" t="str" cm="1">
        <f t="array" aca="1" ref="F1047" ca="1">INDIRECT(LEFT(I1047, FIND("!", I1047)) &amp; RefData!$C$427 &amp; RIGHT(I1047, LEN(I1047) - FIND("!", I1047) - 1))</f>
        <v>IRC 19.0</v>
      </c>
      <c r="G1047" s="710" t="b">
        <f ca="1">IF(ISNUMBER(SEARCH(RefData!$B$2, $C1047)), FALSE, TRUE)</f>
        <v>1</v>
      </c>
      <c r="H1047" s="107">
        <f>'Investment risk - current level'!C32</f>
        <v>0</v>
      </c>
      <c r="I1047" s="712" t="str">
        <f t="shared" ca="1" si="147"/>
        <v>'Investment risk - current level'!C32</v>
      </c>
      <c r="J1047" s="713" t="str" cm="1">
        <f t="array" aca="1" ref="J1047" ca="1">IF(COUNTIF($K1047:$T1047, "&lt;&gt;FALSE") - COUNTBLANK($K1047:$T1047) &gt; 0, INDEX($K1047:$T1047, MATCH(TRUE, $K1047:$T1047 &lt;&gt; FALSE, 0)))</f>
        <v xml:space="preserve">
Enter a percentage value between -200 and 300.</v>
      </c>
      <c r="K1047" s="712" t="str" cm="1">
        <f t="array" aca="1" ref="K1047" ca="1">IF(ISBLANK(INDIRECT('Reconciliation report'!I1047)),ErrorMsgs!$B1047)</f>
        <v xml:space="preserve">
Enter a percentage value between -200 and 300.</v>
      </c>
      <c r="L1047" s="712" t="b" cm="1">
        <f t="array" aca="1" ref="L1047" ca="1">IF(INDIRECT('Reconciliation report'!I1047)&lt;-2,ErrorMsgs!$C1047)</f>
        <v>0</v>
      </c>
      <c r="M1047" s="714" t="b" cm="1">
        <f t="array" aca="1" ref="M1047" ca="1">IF(INDIRECT('Reconciliation report'!I1047)&gt;3,ErrorMsgs!$D1047)</f>
        <v>0</v>
      </c>
      <c r="N1047" s="714"/>
      <c r="O1047" s="712"/>
      <c r="P1047" s="712"/>
      <c r="Q1047" s="712"/>
      <c r="R1047" s="712"/>
      <c r="S1047" s="712"/>
      <c r="T1047" s="712"/>
      <c r="U1047" s="526" t="str">
        <f t="shared" ca="1" si="142"/>
        <v/>
      </c>
      <c r="V1047" s="93" t="str" cm="1">
        <f t="array" aca="1" ref="V1047" ca="1">CELL("format",INDIRECT(I1047))</f>
        <v>P4</v>
      </c>
      <c r="W1047" s="93" t="b">
        <f t="shared" ca="1" si="143"/>
        <v>0</v>
      </c>
      <c r="X1047" s="715" t="str">
        <f t="shared" ca="1" si="141"/>
        <v/>
      </c>
      <c r="Y1047" t="b">
        <f t="shared" ca="1" si="144"/>
        <v>1</v>
      </c>
    </row>
    <row r="1048" spans="1:25" ht="46.5">
      <c r="A1048" s="705" t="s">
        <v>3694</v>
      </c>
      <c r="B1048" s="706" t="str">
        <f t="shared" ca="1" si="146"/>
        <v>Investment risk - current level - C33</v>
      </c>
      <c r="C1048" s="707" t="str" cm="1">
        <f t="array" aca="1" ref="C1048" ca="1">INDIRECT(LEFT(I1048, FIND("!", I1048)) &amp; RefData!$C$426 &amp; RIGHT(I1048, LEN(I1048) - FIND("!", I1048) - 1))</f>
        <v xml:space="preserve">
Notional asset investment allocation: UK quoted equities (%)
</v>
      </c>
      <c r="D1048" s="92" t="str">
        <f t="shared" ca="1" si="148"/>
        <v xml:space="preserve">
Enter a percentage value between -200 and 200.</v>
      </c>
      <c r="E1048" s="708" t="str" cm="1">
        <f t="array" aca="1" ref="E1048" ca="1">IF(INDIRECT($I1048)= "", "", INDIRECT($I1048))</f>
        <v/>
      </c>
      <c r="F1048" s="709" t="str" cm="1">
        <f t="array" aca="1" ref="F1048" ca="1">INDIRECT(LEFT(I1048, FIND("!", I1048)) &amp; RefData!$C$427 &amp; RIGHT(I1048, LEN(I1048) - FIND("!", I1048) - 1))</f>
        <v>IRC 20.0</v>
      </c>
      <c r="G1048" s="710" t="b">
        <f ca="1">IF(ISNUMBER(SEARCH(RefData!$B$2, $C1048)), FALSE, TRUE)</f>
        <v>1</v>
      </c>
      <c r="H1048" s="107">
        <f>'Investment risk - current level'!C33</f>
        <v>0</v>
      </c>
      <c r="I1048" s="712" t="str">
        <f t="shared" ca="1" si="147"/>
        <v>'Investment risk - current level'!C33</v>
      </c>
      <c r="J1048" s="713" t="str" cm="1">
        <f t="array" aca="1" ref="J1048" ca="1">IF(COUNTIF($K1048:$T1048, "&lt;&gt;FALSE") - COUNTBLANK($K1048:$T1048) &gt; 0, INDEX($K1048:$T1048, MATCH(TRUE, $K1048:$T1048 &lt;&gt; FALSE, 0)))</f>
        <v xml:space="preserve">
Enter a percentage value between -200 and 200.</v>
      </c>
      <c r="K1048" s="712" t="str" cm="1">
        <f t="array" aca="1" ref="K1048" ca="1">IF(ISBLANK(INDIRECT('Reconciliation report'!I1048)),ErrorMsgs!$B1048)</f>
        <v xml:space="preserve">
Enter a percentage value between -200 and 200.</v>
      </c>
      <c r="L1048" s="712" t="b" cm="1">
        <f t="array" aca="1" ref="L1048" ca="1">IF(INDIRECT('Reconciliation report'!I1048)&lt;-2,ErrorMsgs!$C1048)</f>
        <v>0</v>
      </c>
      <c r="M1048" s="714" t="b" cm="1">
        <f t="array" aca="1" ref="M1048" ca="1">IF(INDIRECT('Reconciliation report'!I1048)&gt;2,ErrorMsgs!$D1048)</f>
        <v>0</v>
      </c>
      <c r="N1048" s="714"/>
      <c r="O1048" s="712"/>
      <c r="P1048" s="712"/>
      <c r="Q1048" s="712"/>
      <c r="R1048" s="712"/>
      <c r="S1048" s="712"/>
      <c r="T1048" s="712"/>
      <c r="U1048" s="526" t="str">
        <f t="shared" ca="1" si="142"/>
        <v/>
      </c>
      <c r="V1048" s="93" t="str" cm="1">
        <f t="array" aca="1" ref="V1048" ca="1">CELL("format",INDIRECT(I1048))</f>
        <v>P4</v>
      </c>
      <c r="W1048" s="93" t="b">
        <f t="shared" ca="1" si="143"/>
        <v>0</v>
      </c>
      <c r="X1048" s="715" t="str">
        <f t="shared" ca="1" si="141"/>
        <v/>
      </c>
      <c r="Y1048" t="b">
        <f t="shared" ca="1" si="144"/>
        <v>1</v>
      </c>
    </row>
    <row r="1049" spans="1:25" ht="62">
      <c r="A1049" s="705" t="s">
        <v>3695</v>
      </c>
      <c r="B1049" s="706" t="str">
        <f t="shared" ca="1" si="146"/>
        <v>Investment risk - current level - C34</v>
      </c>
      <c r="C1049" s="707" t="str" cm="1">
        <f t="array" aca="1" ref="C1049" ca="1">INDIRECT(LEFT(I1049, FIND("!", I1049)) &amp; RefData!$C$426 &amp; RIGHT(I1049, LEN(I1049) - FIND("!", I1049) - 1))</f>
        <v xml:space="preserve">
Notional asset investment allocation: overseas quoted equities (%)
</v>
      </c>
      <c r="D1049" s="92" t="str">
        <f t="shared" ca="1" si="148"/>
        <v xml:space="preserve">
Enter a percentage value between -200 and 200.</v>
      </c>
      <c r="E1049" s="708" t="str" cm="1">
        <f t="array" aca="1" ref="E1049" ca="1">IF(INDIRECT($I1049)= "", "", INDIRECT($I1049))</f>
        <v/>
      </c>
      <c r="F1049" s="709" t="str" cm="1">
        <f t="array" aca="1" ref="F1049" ca="1">INDIRECT(LEFT(I1049, FIND("!", I1049)) &amp; RefData!$C$427 &amp; RIGHT(I1049, LEN(I1049) - FIND("!", I1049) - 1))</f>
        <v>IRC 21.0</v>
      </c>
      <c r="G1049" s="710" t="b">
        <f ca="1">IF(ISNUMBER(SEARCH(RefData!$B$2, $C1049)), FALSE, TRUE)</f>
        <v>1</v>
      </c>
      <c r="H1049" s="107">
        <f>'Investment risk - current level'!C34</f>
        <v>0</v>
      </c>
      <c r="I1049" s="712" t="str">
        <f t="shared" ca="1" si="147"/>
        <v>'Investment risk - current level'!C34</v>
      </c>
      <c r="J1049" s="713" t="str" cm="1">
        <f t="array" aca="1" ref="J1049" ca="1">IF(COUNTIF($K1049:$T1049, "&lt;&gt;FALSE") - COUNTBLANK($K1049:$T1049) &gt; 0, INDEX($K1049:$T1049, MATCH(TRUE, $K1049:$T1049 &lt;&gt; FALSE, 0)))</f>
        <v xml:space="preserve">
Enter a percentage value between -200 and 200.</v>
      </c>
      <c r="K1049" s="712" t="str" cm="1">
        <f t="array" aca="1" ref="K1049" ca="1">IF(ISBLANK(INDIRECT('Reconciliation report'!I1049)),ErrorMsgs!$B1049)</f>
        <v xml:space="preserve">
Enter a percentage value between -200 and 200.</v>
      </c>
      <c r="L1049" s="712" t="b" cm="1">
        <f t="array" aca="1" ref="L1049" ca="1">IF(INDIRECT('Reconciliation report'!I1049)&lt;-2,ErrorMsgs!$C1049)</f>
        <v>0</v>
      </c>
      <c r="M1049" s="714" t="b" cm="1">
        <f t="array" aca="1" ref="M1049" ca="1">IF(INDIRECT('Reconciliation report'!I1049)&gt;2,ErrorMsgs!$D1049)</f>
        <v>0</v>
      </c>
      <c r="N1049" s="714"/>
      <c r="O1049" s="712"/>
      <c r="P1049" s="712"/>
      <c r="Q1049" s="712"/>
      <c r="R1049" s="712"/>
      <c r="S1049" s="712"/>
      <c r="T1049" s="712"/>
      <c r="U1049" s="526" t="str">
        <f t="shared" ca="1" si="142"/>
        <v/>
      </c>
      <c r="V1049" s="93" t="str" cm="1">
        <f t="array" aca="1" ref="V1049" ca="1">CELL("format",INDIRECT(I1049))</f>
        <v>P4</v>
      </c>
      <c r="W1049" s="93" t="b">
        <f t="shared" ca="1" si="143"/>
        <v>0</v>
      </c>
      <c r="X1049" s="715" t="str">
        <f t="shared" ca="1" si="141"/>
        <v/>
      </c>
      <c r="Y1049" t="b">
        <f t="shared" ca="1" si="144"/>
        <v>1</v>
      </c>
    </row>
    <row r="1050" spans="1:25" ht="62">
      <c r="A1050" s="705" t="s">
        <v>3696</v>
      </c>
      <c r="B1050" s="706" t="str">
        <f t="shared" ca="1" si="146"/>
        <v>Investment risk - current level - C35</v>
      </c>
      <c r="C1050" s="707" t="str" cm="1">
        <f t="array" aca="1" ref="C1050" ca="1">INDIRECT(LEFT(I1050, FIND("!", I1050)) &amp; RefData!$C$426 &amp; RIGHT(I1050, LEN(I1050) - FIND("!", I1050) - 1))</f>
        <v xml:space="preserve">
Notional asset investment allocation: unquoted and private equity (%)
</v>
      </c>
      <c r="D1050" s="92" t="str">
        <f t="shared" ca="1" si="148"/>
        <v xml:space="preserve">
Enter a percentage value between -200 and 200.</v>
      </c>
      <c r="E1050" s="708" t="str" cm="1">
        <f t="array" aca="1" ref="E1050" ca="1">IF(INDIRECT($I1050)= "", "", INDIRECT($I1050))</f>
        <v/>
      </c>
      <c r="F1050" s="709" t="str" cm="1">
        <f t="array" aca="1" ref="F1050" ca="1">INDIRECT(LEFT(I1050, FIND("!", I1050)) &amp; RefData!$C$427 &amp; RIGHT(I1050, LEN(I1050) - FIND("!", I1050) - 1))</f>
        <v>IRC 22.0</v>
      </c>
      <c r="G1050" s="710" t="b">
        <f ca="1">IF(ISNUMBER(SEARCH(RefData!$B$2, $C1050)), FALSE, TRUE)</f>
        <v>1</v>
      </c>
      <c r="H1050" s="107">
        <f>'Investment risk - current level'!C35</f>
        <v>0</v>
      </c>
      <c r="I1050" s="712" t="str">
        <f t="shared" ca="1" si="147"/>
        <v>'Investment risk - current level'!C35</v>
      </c>
      <c r="J1050" s="713" t="str" cm="1">
        <f t="array" aca="1" ref="J1050" ca="1">IF(COUNTIF($K1050:$T1050, "&lt;&gt;FALSE") - COUNTBLANK($K1050:$T1050) &gt; 0, INDEX($K1050:$T1050, MATCH(TRUE, $K1050:$T1050 &lt;&gt; FALSE, 0)))</f>
        <v xml:space="preserve">
Enter a percentage value between -200 and 200.</v>
      </c>
      <c r="K1050" s="712" t="str" cm="1">
        <f t="array" aca="1" ref="K1050" ca="1">IF(ISBLANK(INDIRECT('Reconciliation report'!I1050)),ErrorMsgs!$B1050)</f>
        <v xml:space="preserve">
Enter a percentage value between -200 and 200.</v>
      </c>
      <c r="L1050" s="712" t="b" cm="1">
        <f t="array" aca="1" ref="L1050" ca="1">IF(INDIRECT('Reconciliation report'!I1050)&lt;-2,ErrorMsgs!$C1050)</f>
        <v>0</v>
      </c>
      <c r="M1050" s="714" t="b" cm="1">
        <f t="array" aca="1" ref="M1050" ca="1">IF(INDIRECT('Reconciliation report'!I1050)&gt;2,ErrorMsgs!$D1050)</f>
        <v>0</v>
      </c>
      <c r="N1050" s="714"/>
      <c r="O1050" s="712"/>
      <c r="P1050" s="712"/>
      <c r="Q1050" s="712"/>
      <c r="R1050" s="712"/>
      <c r="S1050" s="712"/>
      <c r="T1050" s="712"/>
      <c r="U1050" s="526" t="str">
        <f t="shared" ca="1" si="142"/>
        <v/>
      </c>
      <c r="V1050" s="93" t="str" cm="1">
        <f t="array" aca="1" ref="V1050" ca="1">CELL("format",INDIRECT(I1050))</f>
        <v>P4</v>
      </c>
      <c r="W1050" s="93" t="b">
        <f t="shared" ca="1" si="143"/>
        <v>0</v>
      </c>
      <c r="X1050" s="715" t="str">
        <f t="shared" ca="1" si="141"/>
        <v/>
      </c>
      <c r="Y1050" t="b">
        <f t="shared" ca="1" si="144"/>
        <v>1</v>
      </c>
    </row>
    <row r="1051" spans="1:25" ht="46.5">
      <c r="A1051" s="705" t="s">
        <v>3697</v>
      </c>
      <c r="B1051" s="706" t="str">
        <f t="shared" ca="1" si="146"/>
        <v>Investment risk - current level - C36</v>
      </c>
      <c r="C1051" s="707" t="str" cm="1">
        <f t="array" aca="1" ref="C1051" ca="1">INDIRECT(LEFT(I1051, FIND("!", I1051)) &amp; RefData!$C$426 &amp; RIGHT(I1051, LEN(I1051) - FIND("!", I1051) - 1))</f>
        <v xml:space="preserve">
Notional asset investment allocation: property (%)
</v>
      </c>
      <c r="D1051" s="92" t="str">
        <f t="shared" ca="1" si="148"/>
        <v xml:space="preserve">
Enter a percentage value between -200 and 200.</v>
      </c>
      <c r="E1051" s="708" t="str" cm="1">
        <f t="array" aca="1" ref="E1051" ca="1">IF(INDIRECT($I1051)= "", "", INDIRECT($I1051))</f>
        <v/>
      </c>
      <c r="F1051" s="709" t="str" cm="1">
        <f t="array" aca="1" ref="F1051" ca="1">INDIRECT(LEFT(I1051, FIND("!", I1051)) &amp; RefData!$C$427 &amp; RIGHT(I1051, LEN(I1051) - FIND("!", I1051) - 1))</f>
        <v>IRC 23.0</v>
      </c>
      <c r="G1051" s="710" t="b">
        <f ca="1">IF(ISNUMBER(SEARCH(RefData!$B$2, $C1051)), FALSE, TRUE)</f>
        <v>1</v>
      </c>
      <c r="H1051" s="107">
        <f>'Investment risk - current level'!C36</f>
        <v>0</v>
      </c>
      <c r="I1051" s="712" t="str">
        <f t="shared" ca="1" si="147"/>
        <v>'Investment risk - current level'!C36</v>
      </c>
      <c r="J1051" s="713" t="str" cm="1">
        <f t="array" aca="1" ref="J1051" ca="1">IF(COUNTIF($K1051:$T1051, "&lt;&gt;FALSE") - COUNTBLANK($K1051:$T1051) &gt; 0, INDEX($K1051:$T1051, MATCH(TRUE, $K1051:$T1051 &lt;&gt; FALSE, 0)))</f>
        <v xml:space="preserve">
Enter a percentage value between -200 and 200.</v>
      </c>
      <c r="K1051" s="712" t="str" cm="1">
        <f t="array" aca="1" ref="K1051" ca="1">IF(ISBLANK(INDIRECT('Reconciliation report'!I1051)),ErrorMsgs!$B1051)</f>
        <v xml:space="preserve">
Enter a percentage value between -200 and 200.</v>
      </c>
      <c r="L1051" s="712" t="b" cm="1">
        <f t="array" aca="1" ref="L1051" ca="1">IF(INDIRECT('Reconciliation report'!I1051)&lt;-2,ErrorMsgs!$C1051)</f>
        <v>0</v>
      </c>
      <c r="M1051" s="714" t="b" cm="1">
        <f t="array" aca="1" ref="M1051" ca="1">IF(INDIRECT('Reconciliation report'!I1051)&gt;2,ErrorMsgs!$D1051)</f>
        <v>0</v>
      </c>
      <c r="N1051" s="714"/>
      <c r="O1051" s="712"/>
      <c r="P1051" s="712"/>
      <c r="Q1051" s="712"/>
      <c r="R1051" s="712"/>
      <c r="S1051" s="712"/>
      <c r="T1051" s="712"/>
      <c r="U1051" s="526" t="str">
        <f t="shared" ca="1" si="142"/>
        <v/>
      </c>
      <c r="V1051" s="93" t="str" cm="1">
        <f t="array" aca="1" ref="V1051" ca="1">CELL("format",INDIRECT(I1051))</f>
        <v>P4</v>
      </c>
      <c r="W1051" s="93" t="b">
        <f t="shared" ca="1" si="143"/>
        <v>0</v>
      </c>
      <c r="X1051" s="715" t="str">
        <f t="shared" ca="1" si="141"/>
        <v/>
      </c>
      <c r="Y1051" t="b">
        <f t="shared" ca="1" si="144"/>
        <v>1</v>
      </c>
    </row>
    <row r="1052" spans="1:25" ht="62">
      <c r="A1052" s="705" t="s">
        <v>3698</v>
      </c>
      <c r="B1052" s="706" t="str">
        <f t="shared" ca="1" si="146"/>
        <v>Investment risk - current level - C37</v>
      </c>
      <c r="C1052" s="707" t="str" cm="1">
        <f t="array" aca="1" ref="C1052" ca="1">INDIRECT(LEFT(I1052, FIND("!", I1052)) &amp; RefData!$C$426 &amp; RIGHT(I1052, LEN(I1052) - FIND("!", I1052) - 1))</f>
        <v xml:space="preserve">
Notional asset investment allocation: deferred or immediate fully insured annuities (%)
</v>
      </c>
      <c r="D1052" s="92" t="str">
        <f t="shared" ca="1" si="148"/>
        <v xml:space="preserve">
Enter a percentage value between -200 and 200.</v>
      </c>
      <c r="E1052" s="708" t="str" cm="1">
        <f t="array" aca="1" ref="E1052" ca="1">IF(INDIRECT($I1052)= "", "", INDIRECT($I1052))</f>
        <v/>
      </c>
      <c r="F1052" s="709" t="str" cm="1">
        <f t="array" aca="1" ref="F1052" ca="1">INDIRECT(LEFT(I1052, FIND("!", I1052)) &amp; RefData!$C$427 &amp; RIGHT(I1052, LEN(I1052) - FIND("!", I1052) - 1))</f>
        <v>IRC 24.0</v>
      </c>
      <c r="G1052" s="710" t="b">
        <f ca="1">IF(ISNUMBER(SEARCH(RefData!$B$2, $C1052)), FALSE, TRUE)</f>
        <v>1</v>
      </c>
      <c r="H1052" s="107">
        <f>'Investment risk - current level'!C37</f>
        <v>0</v>
      </c>
      <c r="I1052" s="712" t="str">
        <f t="shared" ca="1" si="147"/>
        <v>'Investment risk - current level'!C37</v>
      </c>
      <c r="J1052" s="713" t="str" cm="1">
        <f t="array" aca="1" ref="J1052" ca="1">IF(COUNTIF($K1052:$T1052, "&lt;&gt;FALSE") - COUNTBLANK($K1052:$T1052) &gt; 0, INDEX($K1052:$T1052, MATCH(TRUE, $K1052:$T1052 &lt;&gt; FALSE, 0)))</f>
        <v xml:space="preserve">
Enter a percentage value between -200 and 200.</v>
      </c>
      <c r="K1052" s="712" t="str" cm="1">
        <f t="array" aca="1" ref="K1052" ca="1">IF(ISBLANK(INDIRECT('Reconciliation report'!I1052)),ErrorMsgs!$B1052)</f>
        <v xml:space="preserve">
Enter a percentage value between -200 and 200.</v>
      </c>
      <c r="L1052" s="712" t="b" cm="1">
        <f t="array" aca="1" ref="L1052" ca="1">IF(INDIRECT('Reconciliation report'!I1052)&lt;-2,ErrorMsgs!$C1052)</f>
        <v>0</v>
      </c>
      <c r="M1052" s="714" t="b" cm="1">
        <f t="array" aca="1" ref="M1052" ca="1">IF(INDIRECT('Reconciliation report'!I1052)&gt;2,ErrorMsgs!$D1052)</f>
        <v>0</v>
      </c>
      <c r="N1052" s="714"/>
      <c r="O1052" s="712"/>
      <c r="P1052" s="712"/>
      <c r="Q1052" s="712"/>
      <c r="R1052" s="712"/>
      <c r="S1052" s="712"/>
      <c r="T1052" s="712"/>
      <c r="U1052" s="526" t="str">
        <f t="shared" ca="1" si="142"/>
        <v/>
      </c>
      <c r="V1052" s="93" t="str" cm="1">
        <f t="array" aca="1" ref="V1052" ca="1">CELL("format",INDIRECT(I1052))</f>
        <v>P4</v>
      </c>
      <c r="W1052" s="93" t="b">
        <f t="shared" ca="1" si="143"/>
        <v>0</v>
      </c>
      <c r="X1052" s="715" t="str">
        <f t="shared" ca="1" si="141"/>
        <v/>
      </c>
      <c r="Y1052" t="b">
        <f t="shared" ca="1" si="144"/>
        <v>1</v>
      </c>
    </row>
    <row r="1053" spans="1:25" ht="62">
      <c r="A1053" s="705" t="s">
        <v>3699</v>
      </c>
      <c r="B1053" s="706" t="str">
        <f t="shared" ca="1" si="146"/>
        <v>Investment risk - current level - C38</v>
      </c>
      <c r="C1053" s="707" t="str" cm="1">
        <f t="array" aca="1" ref="C1053" ca="1">INDIRECT(LEFT(I1053, FIND("!", I1053)) &amp; RefData!$C$426 &amp; RIGHT(I1053, LEN(I1053) - FIND("!", I1053) - 1))</f>
        <v xml:space="preserve">
Notional asset investment allocation: diversified growth funds (%)
</v>
      </c>
      <c r="D1053" s="92" t="str">
        <f t="shared" ca="1" si="148"/>
        <v xml:space="preserve">
Enter a percentage value between -200 and 200.</v>
      </c>
      <c r="E1053" s="708" t="str" cm="1">
        <f t="array" aca="1" ref="E1053" ca="1">IF(INDIRECT($I1053)= "", "", INDIRECT($I1053))</f>
        <v/>
      </c>
      <c r="F1053" s="709" t="str" cm="1">
        <f t="array" aca="1" ref="F1053" ca="1">INDIRECT(LEFT(I1053, FIND("!", I1053)) &amp; RefData!$C$427 &amp; RIGHT(I1053, LEN(I1053) - FIND("!", I1053) - 1))</f>
        <v>IRC 25.0</v>
      </c>
      <c r="G1053" s="710" t="b">
        <f ca="1">IF(ISNUMBER(SEARCH(RefData!$B$2, $C1053)), FALSE, TRUE)</f>
        <v>1</v>
      </c>
      <c r="H1053" s="107">
        <f>'Investment risk - current level'!C38</f>
        <v>0</v>
      </c>
      <c r="I1053" s="712" t="str">
        <f t="shared" ca="1" si="147"/>
        <v>'Investment risk - current level'!C38</v>
      </c>
      <c r="J1053" s="713" t="str" cm="1">
        <f t="array" aca="1" ref="J1053" ca="1">IF(COUNTIF($K1053:$T1053, "&lt;&gt;FALSE") - COUNTBLANK($K1053:$T1053) &gt; 0, INDEX($K1053:$T1053, MATCH(TRUE, $K1053:$T1053 &lt;&gt; FALSE, 0)))</f>
        <v xml:space="preserve">
Enter a percentage value between -200 and 200.</v>
      </c>
      <c r="K1053" s="712" t="str" cm="1">
        <f t="array" aca="1" ref="K1053" ca="1">IF(ISBLANK(INDIRECT('Reconciliation report'!I1053)),ErrorMsgs!$B1053)</f>
        <v xml:space="preserve">
Enter a percentage value between -200 and 200.</v>
      </c>
      <c r="L1053" s="712" t="b" cm="1">
        <f t="array" aca="1" ref="L1053" ca="1">IF(INDIRECT('Reconciliation report'!I1053)&lt;-2,ErrorMsgs!$C1053)</f>
        <v>0</v>
      </c>
      <c r="M1053" s="714" t="b" cm="1">
        <f t="array" aca="1" ref="M1053" ca="1">IF(INDIRECT('Reconciliation report'!I1053)&gt;2,ErrorMsgs!$D1053)</f>
        <v>0</v>
      </c>
      <c r="N1053" s="714"/>
      <c r="O1053" s="712"/>
      <c r="P1053" s="712"/>
      <c r="Q1053" s="712"/>
      <c r="R1053" s="712"/>
      <c r="S1053" s="712"/>
      <c r="T1053" s="712"/>
      <c r="U1053" s="526" t="str">
        <f t="shared" ca="1" si="142"/>
        <v/>
      </c>
      <c r="V1053" s="93" t="str" cm="1">
        <f t="array" aca="1" ref="V1053" ca="1">CELL("format",INDIRECT(I1053))</f>
        <v>P4</v>
      </c>
      <c r="W1053" s="93" t="b">
        <f t="shared" ca="1" si="143"/>
        <v>0</v>
      </c>
      <c r="X1053" s="715" t="str">
        <f t="shared" ca="1" si="141"/>
        <v/>
      </c>
      <c r="Y1053" t="b">
        <f t="shared" ca="1" si="144"/>
        <v>1</v>
      </c>
    </row>
    <row r="1054" spans="1:25" ht="62">
      <c r="A1054" s="705" t="s">
        <v>3700</v>
      </c>
      <c r="B1054" s="706" t="str">
        <f t="shared" ca="1" si="146"/>
        <v>Investment risk - current level - C39</v>
      </c>
      <c r="C1054" s="707" t="str" cm="1">
        <f t="array" aca="1" ref="C1054" ca="1">INDIRECT(LEFT(I1054, FIND("!", I1054)) &amp; RefData!$C$426 &amp; RIGHT(I1054, LEN(I1054) - FIND("!", I1054) - 1))</f>
        <v xml:space="preserve">
Notional asset investment allocation: cash and net current assets (%)
</v>
      </c>
      <c r="D1054" s="92" t="str">
        <f t="shared" ca="1" si="148"/>
        <v xml:space="preserve">
Enter a percentage value between -200 and 200.</v>
      </c>
      <c r="E1054" s="708" t="str" cm="1">
        <f t="array" aca="1" ref="E1054" ca="1">IF(INDIRECT($I1054)= "", "", INDIRECT($I1054))</f>
        <v/>
      </c>
      <c r="F1054" s="709" t="str" cm="1">
        <f t="array" aca="1" ref="F1054" ca="1">INDIRECT(LEFT(I1054, FIND("!", I1054)) &amp; RefData!$C$427 &amp; RIGHT(I1054, LEN(I1054) - FIND("!", I1054) - 1))</f>
        <v>IRC 26.0</v>
      </c>
      <c r="G1054" s="710" t="b">
        <f ca="1">IF(ISNUMBER(SEARCH(RefData!$B$2, $C1054)), FALSE, TRUE)</f>
        <v>1</v>
      </c>
      <c r="H1054" s="107">
        <f>'Investment risk - current level'!C39</f>
        <v>0</v>
      </c>
      <c r="I1054" s="712" t="str">
        <f t="shared" ca="1" si="147"/>
        <v>'Investment risk - current level'!C39</v>
      </c>
      <c r="J1054" s="713" t="str" cm="1">
        <f t="array" aca="1" ref="J1054" ca="1">IF(COUNTIF($K1054:$T1054, "&lt;&gt;FALSE") - COUNTBLANK($K1054:$T1054) &gt; 0, INDEX($K1054:$T1054, MATCH(TRUE, $K1054:$T1054 &lt;&gt; FALSE, 0)))</f>
        <v xml:space="preserve">
Enter a percentage value between -200 and 200.</v>
      </c>
      <c r="K1054" s="712" t="str" cm="1">
        <f t="array" aca="1" ref="K1054" ca="1">IF(ISBLANK(INDIRECT('Reconciliation report'!I1054)),ErrorMsgs!$B1054)</f>
        <v xml:space="preserve">
Enter a percentage value between -200 and 200.</v>
      </c>
      <c r="L1054" s="712" t="b" cm="1">
        <f t="array" aca="1" ref="L1054" ca="1">IF(INDIRECT('Reconciliation report'!I1054)&lt;-2,ErrorMsgs!$C1054)</f>
        <v>0</v>
      </c>
      <c r="M1054" s="714" t="b" cm="1">
        <f t="array" aca="1" ref="M1054" ca="1">IF(INDIRECT('Reconciliation report'!I1054)&gt;2,ErrorMsgs!$D1054)</f>
        <v>0</v>
      </c>
      <c r="N1054" s="714"/>
      <c r="O1054" s="712"/>
      <c r="P1054" s="712"/>
      <c r="Q1054" s="712"/>
      <c r="R1054" s="712"/>
      <c r="S1054" s="712"/>
      <c r="T1054" s="712"/>
      <c r="U1054" s="526" t="str">
        <f t="shared" ca="1" si="142"/>
        <v/>
      </c>
      <c r="V1054" s="93" t="str" cm="1">
        <f t="array" aca="1" ref="V1054" ca="1">CELL("format",INDIRECT(I1054))</f>
        <v>P4</v>
      </c>
      <c r="W1054" s="93" t="b">
        <f t="shared" ca="1" si="143"/>
        <v>0</v>
      </c>
      <c r="X1054" s="715" t="str">
        <f t="shared" ca="1" si="141"/>
        <v/>
      </c>
      <c r="Y1054" t="b">
        <f t="shared" ca="1" si="144"/>
        <v>1</v>
      </c>
    </row>
    <row r="1055" spans="1:25" ht="62">
      <c r="A1055" s="705" t="s">
        <v>3701</v>
      </c>
      <c r="B1055" s="706" t="str">
        <f t="shared" ca="1" si="146"/>
        <v>Investment risk - current level - C40</v>
      </c>
      <c r="C1055" s="707" t="str" cm="1">
        <f t="array" aca="1" ref="C1055" ca="1">INDIRECT(LEFT(I1055, FIND("!", I1055)) &amp; RefData!$C$426 &amp; RIGHT(I1055, LEN(I1055) - FIND("!", I1055) - 1))</f>
        <v xml:space="preserve">
Notional asset investment allocation: asset-backed contributions (ABCs) (%)
</v>
      </c>
      <c r="D1055" s="92" t="str">
        <f t="shared" ca="1" si="148"/>
        <v xml:space="preserve">
Enter a percentage value between -200 and 200.</v>
      </c>
      <c r="E1055" s="708" t="str" cm="1">
        <f t="array" aca="1" ref="E1055" ca="1">IF(INDIRECT($I1055)= "", "", INDIRECT($I1055))</f>
        <v/>
      </c>
      <c r="F1055" s="709" t="str" cm="1">
        <f t="array" aca="1" ref="F1055" ca="1">INDIRECT(LEFT(I1055, FIND("!", I1055)) &amp; RefData!$C$427 &amp; RIGHT(I1055, LEN(I1055) - FIND("!", I1055) - 1))</f>
        <v>IRC 27.0</v>
      </c>
      <c r="G1055" s="710" t="b">
        <f ca="1">IF(ISNUMBER(SEARCH(RefData!$B$2, $C1055)), FALSE, TRUE)</f>
        <v>1</v>
      </c>
      <c r="H1055" s="107">
        <f>'Investment risk - current level'!C40</f>
        <v>0</v>
      </c>
      <c r="I1055" s="712" t="str">
        <f t="shared" ca="1" si="147"/>
        <v>'Investment risk - current level'!C40</v>
      </c>
      <c r="J1055" s="713" t="str" cm="1">
        <f t="array" aca="1" ref="J1055" ca="1">IF(COUNTIF($K1055:$T1055, "&lt;&gt;FALSE") - COUNTBLANK($K1055:$T1055) &gt; 0, INDEX($K1055:$T1055, MATCH(TRUE, $K1055:$T1055 &lt;&gt; FALSE, 0)))</f>
        <v xml:space="preserve">
Enter a percentage value between -200 and 200.</v>
      </c>
      <c r="K1055" s="712" t="str" cm="1">
        <f t="array" aca="1" ref="K1055" ca="1">IF(ISBLANK(INDIRECT('Reconciliation report'!I1055)),ErrorMsgs!$B1055)</f>
        <v xml:space="preserve">
Enter a percentage value between -200 and 200.</v>
      </c>
      <c r="L1055" s="712" t="b" cm="1">
        <f t="array" aca="1" ref="L1055" ca="1">IF(INDIRECT('Reconciliation report'!I1055)&lt;-2,ErrorMsgs!$C1055)</f>
        <v>0</v>
      </c>
      <c r="M1055" s="714" t="b" cm="1">
        <f t="array" aca="1" ref="M1055" ca="1">IF(INDIRECT('Reconciliation report'!I1055)&gt;2,ErrorMsgs!$D1055)</f>
        <v>0</v>
      </c>
      <c r="N1055" s="714"/>
      <c r="O1055" s="712"/>
      <c r="P1055" s="712"/>
      <c r="Q1055" s="712"/>
      <c r="R1055" s="712"/>
      <c r="S1055" s="712"/>
      <c r="T1055" s="712"/>
      <c r="U1055" s="526" t="str">
        <f t="shared" ca="1" si="142"/>
        <v/>
      </c>
      <c r="V1055" s="93" t="str" cm="1">
        <f t="array" aca="1" ref="V1055" ca="1">CELL("format",INDIRECT(I1055))</f>
        <v>P4</v>
      </c>
      <c r="W1055" s="93" t="b">
        <f t="shared" ca="1" si="143"/>
        <v>0</v>
      </c>
      <c r="X1055" s="715" t="str">
        <f t="shared" ca="1" si="141"/>
        <v/>
      </c>
      <c r="Y1055" t="b">
        <f t="shared" ca="1" si="144"/>
        <v>1</v>
      </c>
    </row>
    <row r="1056" spans="1:25" ht="46.5">
      <c r="A1056" s="705" t="s">
        <v>3702</v>
      </c>
      <c r="B1056" s="706" t="str">
        <f t="shared" ca="1" si="146"/>
        <v>Investment risk - current level - C41</v>
      </c>
      <c r="C1056" s="707" t="str" cm="1">
        <f t="array" aca="1" ref="C1056" ca="1">INDIRECT(LEFT(I1056, FIND("!", I1056)) &amp; RefData!$C$426 &amp; RIGHT(I1056, LEN(I1056) - FIND("!", I1056) - 1))</f>
        <v xml:space="preserve">
Notional asset investment allocation: other (%)
</v>
      </c>
      <c r="D1056" s="92" t="str">
        <f t="shared" ca="1" si="148"/>
        <v xml:space="preserve">
Enter a percentage value between -200 and 200.</v>
      </c>
      <c r="E1056" s="708" t="str" cm="1">
        <f t="array" aca="1" ref="E1056" ca="1">IF(INDIRECT($I1056)= "", "", INDIRECT($I1056))</f>
        <v/>
      </c>
      <c r="F1056" s="709" t="str" cm="1">
        <f t="array" aca="1" ref="F1056" ca="1">INDIRECT(LEFT(I1056, FIND("!", I1056)) &amp; RefData!$C$427 &amp; RIGHT(I1056, LEN(I1056) - FIND("!", I1056) - 1))</f>
        <v>IRC 28.0</v>
      </c>
      <c r="G1056" s="710" t="b">
        <f ca="1">IF(ISNUMBER(SEARCH(RefData!$B$2, $C1056)), FALSE, TRUE)</f>
        <v>1</v>
      </c>
      <c r="H1056" s="107">
        <f>'Investment risk - current level'!C41</f>
        <v>0</v>
      </c>
      <c r="I1056" s="712" t="str">
        <f t="shared" ca="1" si="147"/>
        <v>'Investment risk - current level'!C41</v>
      </c>
      <c r="J1056" s="713" t="str" cm="1">
        <f t="array" aca="1" ref="J1056" ca="1">IF(COUNTIF($K1056:$T1056, "&lt;&gt;FALSE") - COUNTBLANK($K1056:$T1056) &gt; 0, INDEX($K1056:$T1056, MATCH(TRUE, $K1056:$T1056 &lt;&gt; FALSE, 0)))</f>
        <v xml:space="preserve">
Enter a percentage value between -200 and 200.</v>
      </c>
      <c r="K1056" s="712" t="str" cm="1">
        <f t="array" aca="1" ref="K1056" ca="1">IF(ISBLANK(INDIRECT('Reconciliation report'!I1056)),ErrorMsgs!$B1056)</f>
        <v xml:space="preserve">
Enter a percentage value between -200 and 200.</v>
      </c>
      <c r="L1056" s="712" t="b" cm="1">
        <f t="array" aca="1" ref="L1056" ca="1">IF(INDIRECT('Reconciliation report'!I1056)&lt;-2,ErrorMsgs!$C1056)</f>
        <v>0</v>
      </c>
      <c r="M1056" s="714" t="b" cm="1">
        <f t="array" aca="1" ref="M1056" ca="1">IF(INDIRECT('Reconciliation report'!I1056)&gt;2,ErrorMsgs!$D1056)</f>
        <v>0</v>
      </c>
      <c r="N1056" s="714"/>
      <c r="O1056" s="712"/>
      <c r="P1056" s="712"/>
      <c r="Q1056" s="712"/>
      <c r="R1056" s="712"/>
      <c r="S1056" s="712"/>
      <c r="T1056" s="712"/>
      <c r="U1056" s="526" t="str">
        <f t="shared" ca="1" si="142"/>
        <v/>
      </c>
      <c r="V1056" s="93" t="str" cm="1">
        <f t="array" aca="1" ref="V1056" ca="1">CELL("format",INDIRECT(I1056))</f>
        <v>P4</v>
      </c>
      <c r="W1056" s="93" t="b">
        <f t="shared" ca="1" si="143"/>
        <v>0</v>
      </c>
      <c r="X1056" s="715" t="str">
        <f t="shared" ca="1" si="141"/>
        <v/>
      </c>
      <c r="Y1056" t="b">
        <f t="shared" ca="1" si="144"/>
        <v>1</v>
      </c>
    </row>
    <row r="1057" spans="1:25" ht="62">
      <c r="A1057" s="705" t="s">
        <v>3703</v>
      </c>
      <c r="B1057" s="706" t="str">
        <f t="shared" ca="1" si="146"/>
        <v>Investment risk - current level - C43</v>
      </c>
      <c r="C1057" s="707" t="str" cm="1">
        <f t="array" aca="1" ref="C1057" ca="1">INDIRECT(LEFT(I1057, FIND("!", I1057)) &amp; RefData!$C$426 &amp; RIGHT(I1057, LEN(I1057) - FIND("!", I1057) - 1))</f>
        <v xml:space="preserve">
Does the scheme currently have an explicit interest rate or inflation-hedging target?
</v>
      </c>
      <c r="D1057" s="92" t="str">
        <f t="shared" ca="1" si="148"/>
        <v xml:space="preserve">
Select 'Yes' if the scheme does currently have an explicit interest rate or inflation-hedging target and 'No' if it does not.
</v>
      </c>
      <c r="E1057" s="708" t="str" cm="1">
        <f t="array" aca="1" ref="E1057" ca="1">IF(INDIRECT($I1057)= "", "", INDIRECT($I1057))</f>
        <v/>
      </c>
      <c r="F1057" s="709" t="str" cm="1">
        <f t="array" aca="1" ref="F1057" ca="1">INDIRECT(LEFT(I1057, FIND("!", I1057)) &amp; RefData!$C$427 &amp; RIGHT(I1057, LEN(I1057) - FIND("!", I1057) - 1))</f>
        <v>IRC 29.0</v>
      </c>
      <c r="G1057" s="710" t="b">
        <f ca="1">IF(ISNUMBER(SEARCH(RefData!$B$2, $C1057)), FALSE, TRUE)</f>
        <v>1</v>
      </c>
      <c r="H1057" s="113">
        <f>'Investment risk - current level'!C43</f>
        <v>0</v>
      </c>
      <c r="I1057" s="712" t="str">
        <f t="shared" ca="1" si="147"/>
        <v>'Investment risk - current level'!C43</v>
      </c>
      <c r="J1057" s="713" t="str" cm="1">
        <f t="array" aca="1" ref="J1057" ca="1">IF(COUNTIF($K1057:$T1057, "&lt;&gt;FALSE") - COUNTBLANK($K1057:$T1057) &gt; 0, INDEX($K1057:$T1057, MATCH(TRUE, $K1057:$T1057 &lt;&gt; FALSE, 0)))</f>
        <v xml:space="preserve">
Select 'Yes' if the scheme does currently have an explicit interest rate or inflation-hedging target and 'No' if it does not.
</v>
      </c>
      <c r="K1057" s="712" t="b">
        <f ca="1">IF(AND('Start here'!$C$26=RefData!$B$9, $E1057&lt;&gt;""), ErrorMsgs!$B1057)</f>
        <v>0</v>
      </c>
      <c r="L1057" s="712" t="b">
        <f ca="1">IF(AND('Start here'!$C$26=RefData!$B$10,$E1057=""), ErrorMsgs!$C1057)</f>
        <v>0</v>
      </c>
      <c r="M1057" s="714" t="str">
        <f ca="1">IF(AND('Start here'!$C$26&lt;&gt;RefData!$B$9,OR(ISNA(MATCH($E1057,RefData!$B$81:$B$82, 0)),  $E1057="")),ErrorMsgs!$D1057)</f>
        <v xml:space="preserve">
Select 'Yes' if the scheme does currently have an explicit interest rate or inflation-hedging target and 'No' if it does not.
</v>
      </c>
      <c r="N1057" s="714"/>
      <c r="O1057" s="712"/>
      <c r="P1057" s="712"/>
      <c r="Q1057" s="712"/>
      <c r="R1057" s="712"/>
      <c r="S1057" s="712"/>
      <c r="T1057" s="712"/>
      <c r="U1057" s="526" t="str">
        <f t="shared" ca="1" si="142"/>
        <v/>
      </c>
      <c r="V1057" s="93" t="str" cm="1">
        <f t="array" aca="1" ref="V1057" ca="1">CELL("format",INDIRECT(I1057))</f>
        <v>G</v>
      </c>
      <c r="W1057" s="93" t="b">
        <f t="shared" ca="1" si="143"/>
        <v>0</v>
      </c>
      <c r="X1057" s="715" t="str">
        <f t="shared" ca="1" si="141"/>
        <v/>
      </c>
      <c r="Y1057" t="b">
        <f t="shared" ca="1" si="144"/>
        <v>1</v>
      </c>
    </row>
    <row r="1058" spans="1:25" ht="62">
      <c r="A1058" s="705" t="s">
        <v>3704</v>
      </c>
      <c r="B1058" s="706" t="str">
        <f t="shared" ca="1" si="146"/>
        <v>Investment risk - current level - C44</v>
      </c>
      <c r="C1058" s="707" t="str" cm="1">
        <f t="array" aca="1" ref="C1058" ca="1">INDIRECT(LEFT(I1058, FIND("!", I1058)) &amp; RefData!$C$426 &amp; RIGHT(I1058, LEN(I1058) - FIND("!", I1058) - 1))</f>
        <v xml:space="preserve">
What are the current hedging targets measured as a proportion of?
</v>
      </c>
      <c r="D1058" s="92" t="str">
        <f t="shared" ca="1" si="148"/>
        <v/>
      </c>
      <c r="E1058" s="708" t="str" cm="1">
        <f t="array" aca="1" ref="E1058" ca="1">IF(INDIRECT($I1058)= "", "", INDIRECT($I1058))</f>
        <v/>
      </c>
      <c r="F1058" s="709" t="str" cm="1">
        <f t="array" aca="1" ref="F1058" ca="1">INDIRECT(LEFT(I1058, FIND("!", I1058)) &amp; RefData!$C$427 &amp; RIGHT(I1058, LEN(I1058) - FIND("!", I1058) - 1))</f>
        <v>IRC 30.0</v>
      </c>
      <c r="G1058" s="710" t="b">
        <f ca="1">IF(ISNUMBER(SEARCH(RefData!$B$2, $C1058)), FALSE, TRUE)</f>
        <v>1</v>
      </c>
      <c r="H1058" s="113">
        <f>'Investment risk - current level'!C44</f>
        <v>0</v>
      </c>
      <c r="I1058" s="712" t="str">
        <f t="shared" ca="1" si="147"/>
        <v>'Investment risk - current level'!C44</v>
      </c>
      <c r="J1058" s="713" t="b" cm="1">
        <f t="array" aca="1" ref="J1058" ca="1">IF(COUNTIF($K1058:$T1058, "&lt;&gt;FALSE") - COUNTBLANK($K1058:$T1058) &gt; 0, INDEX($K1058:$T1058, MATCH(TRUE, $K1058:$T1058 &lt;&gt; FALSE, 0)))</f>
        <v>0</v>
      </c>
      <c r="K1058" s="712" t="b">
        <f ca="1">IF(AND('Start here'!$C$26=RefData!$B$9, $E1058&lt;&gt;""), ErrorMsgs!$B1058)</f>
        <v>0</v>
      </c>
      <c r="L1058" s="712" t="b">
        <f ca="1">IF(AND($E$1057=RefData!$B$82,'Reconciliation report'!$E$1058&lt;&gt;""),ErrorMsgs!$C1058)</f>
        <v>0</v>
      </c>
      <c r="M1058" s="714" t="b">
        <f ca="1">IF(AND($E$1057=RefData!$B$81,'Reconciliation report'!E1058=""),ErrorMsgs!$D1058)</f>
        <v>0</v>
      </c>
      <c r="N1058" s="714" t="b">
        <f ca="1">IF(AND($E$1057=RefData!$B$81,'Start here'!$C$26&lt;&gt;RefData!$B$9,OR(ISNA(MATCH($E1058,RefData!$B$83:$B$86, 0)),  $E1058="")),ErrorMsgs!$E1058)</f>
        <v>0</v>
      </c>
      <c r="O1058" s="712"/>
      <c r="P1058" s="712"/>
      <c r="Q1058" s="712"/>
      <c r="R1058" s="712"/>
      <c r="S1058" s="712"/>
      <c r="T1058" s="712"/>
      <c r="U1058" s="526" t="str">
        <f t="shared" ca="1" si="142"/>
        <v/>
      </c>
      <c r="V1058" s="93" t="str" cm="1">
        <f t="array" aca="1" ref="V1058" ca="1">CELL("format",INDIRECT(I1058))</f>
        <v>G</v>
      </c>
      <c r="W1058" s="93" t="b">
        <f t="shared" ca="1" si="143"/>
        <v>0</v>
      </c>
      <c r="X1058" s="715" t="str">
        <f t="shared" ca="1" si="141"/>
        <v/>
      </c>
      <c r="Y1058" t="b">
        <f t="shared" ca="1" si="144"/>
        <v>1</v>
      </c>
    </row>
    <row r="1059" spans="1:25" ht="77.5">
      <c r="A1059" s="705" t="s">
        <v>3705</v>
      </c>
      <c r="B1059" s="706" t="str">
        <f t="shared" ca="1" si="146"/>
        <v>Investment risk - current level - C45</v>
      </c>
      <c r="C1059" s="707" t="str" cm="1">
        <f t="array" aca="1" ref="C1059" ca="1">INDIRECT(LEFT(I1059, FIND("!", I1059)) &amp; RefData!$C$426 &amp; RIGHT(I1059, LEN(I1059) - FIND("!", I1059) - 1))</f>
        <v xml:space="preserve">No answer required
Explain what the scheme's interest and/or inflation hedging targets are measured against.
</v>
      </c>
      <c r="D1059" s="92" t="str">
        <f t="shared" ca="1" si="148"/>
        <v/>
      </c>
      <c r="E1059" s="708" t="str" cm="1">
        <f t="array" aca="1" ref="E1059" ca="1">IF(INDIRECT($I1059)= "", "", INDIRECT($I1059))</f>
        <v/>
      </c>
      <c r="F1059" s="709" t="str" cm="1">
        <f t="array" aca="1" ref="F1059" ca="1">INDIRECT(LEFT(I1059, FIND("!", I1059)) &amp; RefData!$C$427 &amp; RIGHT(I1059, LEN(I1059) - FIND("!", I1059) - 1))</f>
        <v>IRC 31.0</v>
      </c>
      <c r="G1059" s="710" t="b">
        <f ca="1">IF(ISNUMBER(SEARCH(RefData!$B$2, $C1059)), FALSE, TRUE)</f>
        <v>0</v>
      </c>
      <c r="H1059" s="113">
        <f>'Investment risk - current level'!C45</f>
        <v>0</v>
      </c>
      <c r="I1059" s="712" t="str">
        <f t="shared" ca="1" si="147"/>
        <v>'Investment risk - current level'!C45</v>
      </c>
      <c r="J1059" s="713" t="b" cm="1">
        <f t="array" aca="1" ref="J1059" ca="1">IF(COUNTIF($K1059:$T1059, "&lt;&gt;FALSE") - COUNTBLANK($K1059:$T1059) &gt; 0, INDEX($K1059:$T1059, MATCH(TRUE, $K1059:$T1059 &lt;&gt; FALSE, 0)))</f>
        <v>0</v>
      </c>
      <c r="K1059" s="712" t="b">
        <f ca="1">IF(AND('Start here'!$C$26=RefData!$B$9, $E1059&lt;&gt;""), ErrorMsgs!$B1059)</f>
        <v>0</v>
      </c>
      <c r="L1059" s="712" t="b">
        <f ca="1">IF(AND($E$1057=RefData!$B$82,'Reconciliation report'!$E$1059&lt;&gt;""),ErrorMsgs!$C1059)</f>
        <v>0</v>
      </c>
      <c r="M1059" s="714" t="b">
        <f ca="1">IF(AND($E$1058&lt;&gt;RefData!$B$86,'Reconciliation report'!E1059&lt;&gt;""),ErrorMsgs!$D1059)</f>
        <v>0</v>
      </c>
      <c r="N1059" s="714" t="b">
        <f ca="1">IF(AND($E$1058=RefData!$B$86,'Reconciliation report'!E1059=""),ErrorMsgs!$E1059)</f>
        <v>0</v>
      </c>
      <c r="O1059" s="712" t="b">
        <f ca="1">IF(LEN($E$1059)&gt;4000,ErrorMsgs!$F1059)</f>
        <v>0</v>
      </c>
      <c r="P1059" s="712"/>
      <c r="Q1059" s="712"/>
      <c r="R1059" s="712"/>
      <c r="S1059" s="712"/>
      <c r="T1059" s="712"/>
      <c r="U1059" s="526" t="str">
        <f t="shared" ca="1" si="142"/>
        <v/>
      </c>
      <c r="V1059" s="93" t="str" cm="1">
        <f t="array" aca="1" ref="V1059" ca="1">CELL("format",INDIRECT(I1059))</f>
        <v>G</v>
      </c>
      <c r="W1059" s="93" t="b">
        <f t="shared" ca="1" si="143"/>
        <v>0</v>
      </c>
      <c r="X1059" s="715" t="str">
        <f t="shared" ca="1" si="141"/>
        <v/>
      </c>
      <c r="Y1059" t="b">
        <f t="shared" ca="1" si="144"/>
        <v>1</v>
      </c>
    </row>
    <row r="1060" spans="1:25" ht="62">
      <c r="A1060" s="705" t="s">
        <v>3706</v>
      </c>
      <c r="B1060" s="706" t="str">
        <f t="shared" ca="1" si="146"/>
        <v>Investment risk - current level - C46</v>
      </c>
      <c r="C1060" s="707" t="str" cm="1">
        <f t="array" aca="1" ref="C1060" ca="1">INDIRECT(LEFT(I1060, FIND("!", I1060)) &amp; RefData!$C$426 &amp; RIGHT(I1060, LEN(I1060) - FIND("!", I1060) - 1))</f>
        <v xml:space="preserve">
Do the current target interest and inflation hedging ratios include insured annuities?
</v>
      </c>
      <c r="D1060" s="92" t="str">
        <f t="shared" ca="1" si="148"/>
        <v/>
      </c>
      <c r="E1060" s="708" t="str" cm="1">
        <f t="array" aca="1" ref="E1060" ca="1">IF(INDIRECT($I1060)= "", "", INDIRECT($I1060))</f>
        <v/>
      </c>
      <c r="F1060" s="709" t="str" cm="1">
        <f t="array" aca="1" ref="F1060" ca="1">INDIRECT(LEFT(I1060, FIND("!", I1060)) &amp; RefData!$C$427 &amp; RIGHT(I1060, LEN(I1060) - FIND("!", I1060) - 1))</f>
        <v>IRC 32.0</v>
      </c>
      <c r="G1060" s="710" t="b">
        <f ca="1">IF(ISNUMBER(SEARCH(RefData!$B$2, $C1060)), FALSE, TRUE)</f>
        <v>1</v>
      </c>
      <c r="H1060" s="113">
        <f>'Investment risk - current level'!C46</f>
        <v>0</v>
      </c>
      <c r="I1060" s="712" t="str">
        <f t="shared" ca="1" si="147"/>
        <v>'Investment risk - current level'!C46</v>
      </c>
      <c r="J1060" s="713" t="b" cm="1">
        <f t="array" aca="1" ref="J1060" ca="1">IF(COUNTIF($K1060:$T1060, "&lt;&gt;FALSE") - COUNTBLANK($K1060:$T1060) &gt; 0, INDEX($K1060:$T1060, MATCH(TRUE, $K1060:$T1060 &lt;&gt; FALSE, 0)))</f>
        <v>0</v>
      </c>
      <c r="K1060" s="712" t="b">
        <f ca="1">IF(AND('Start here'!$C$26=RefData!$B$9, $E1060&lt;&gt;""), ErrorMsgs!$B1060)</f>
        <v>0</v>
      </c>
      <c r="L1060" s="712" t="b">
        <f ca="1">IF(AND($E$1057=RefData!$B$82,'Reconciliation report'!$E$1060&lt;&gt;""),ErrorMsgs!$C1060)</f>
        <v>0</v>
      </c>
      <c r="M1060" s="714" t="b">
        <f ca="1">IF(AND($E$1057=RefData!$B$81,'Reconciliation report'!$E$1060=""),ErrorMsgs!$D1060)</f>
        <v>0</v>
      </c>
      <c r="N1060" s="714" t="b">
        <f ca="1">IF(AND($E$1057=RefData!$B$81,'Start here'!$C$26&lt;&gt;RefData!$B$9,OR(ISNA(MATCH($E1060,RefData!$B$87:$B$88, 0)),  $E1060="")),ErrorMsgs!$E1060)</f>
        <v>0</v>
      </c>
      <c r="O1060" s="712"/>
      <c r="P1060" s="712"/>
      <c r="Q1060" s="712"/>
      <c r="R1060" s="712"/>
      <c r="S1060" s="712"/>
      <c r="T1060" s="712"/>
      <c r="U1060" s="526" t="str">
        <f t="shared" ca="1" si="142"/>
        <v/>
      </c>
      <c r="V1060" s="93" t="str" cm="1">
        <f t="array" aca="1" ref="V1060" ca="1">CELL("format",INDIRECT(I1060))</f>
        <v>G</v>
      </c>
      <c r="W1060" s="93" t="b">
        <f t="shared" ca="1" si="143"/>
        <v>0</v>
      </c>
      <c r="X1060" s="715" t="str">
        <f t="shared" ca="1" si="141"/>
        <v/>
      </c>
      <c r="Y1060" t="b">
        <f t="shared" ca="1" si="144"/>
        <v>1</v>
      </c>
    </row>
    <row r="1061" spans="1:25" ht="46.5">
      <c r="A1061" s="705" t="s">
        <v>3707</v>
      </c>
      <c r="B1061" s="706" t="str">
        <f t="shared" ca="1" si="146"/>
        <v>Investment risk - current level - C47</v>
      </c>
      <c r="C1061" s="707" t="str" cm="1">
        <f t="array" aca="1" ref="C1061" ca="1">INDIRECT(LEFT(I1061, FIND("!", I1061)) &amp; RefData!$C$426 &amp; RIGHT(I1061, LEN(I1061) - FIND("!", I1061) - 1))</f>
        <v xml:space="preserve">
What is the target interest rate hedging ratio? (%)
</v>
      </c>
      <c r="D1061" s="92" t="str">
        <f t="shared" ca="1" si="148"/>
        <v/>
      </c>
      <c r="E1061" s="708" t="str" cm="1">
        <f t="array" aca="1" ref="E1061" ca="1">IF(INDIRECT($I1061)= "", "", INDIRECT($I1061))</f>
        <v/>
      </c>
      <c r="F1061" s="709" t="str" cm="1">
        <f t="array" aca="1" ref="F1061" ca="1">INDIRECT(LEFT(I1061, FIND("!", I1061)) &amp; RefData!$C$427 &amp; RIGHT(I1061, LEN(I1061) - FIND("!", I1061) - 1))</f>
        <v>IRC 33.0</v>
      </c>
      <c r="G1061" s="710" t="b">
        <f ca="1">IF(ISNUMBER(SEARCH(RefData!$B$2, $C1061)), FALSE, TRUE)</f>
        <v>1</v>
      </c>
      <c r="H1061" s="113">
        <f>'Investment risk - current level'!C47</f>
        <v>0</v>
      </c>
      <c r="I1061" s="712" t="str">
        <f t="shared" ca="1" si="147"/>
        <v>'Investment risk - current level'!C47</v>
      </c>
      <c r="J1061" s="713" t="b" cm="1">
        <f t="array" aca="1" ref="J1061" ca="1">IF(COUNTIF($K1061:$T1061, "&lt;&gt;FALSE") - COUNTBLANK($K1061:$T1061) &gt; 0, INDEX($K1061:$T1061, MATCH(TRUE, $K1061:$T1061 &lt;&gt; FALSE, 0)))</f>
        <v>0</v>
      </c>
      <c r="K1061" s="712" t="b">
        <f ca="1">IF(AND('Start here'!$C$26=RefData!$B$9, $E1061&lt;&gt;""), ErrorMsgs!$B1061)</f>
        <v>0</v>
      </c>
      <c r="L1061" s="712" t="b">
        <f>IF(1=0,IF(AND('Start here'!$C$23=RefData!$B$17),ErrorMsgs!C1061))</f>
        <v>0</v>
      </c>
      <c r="M1061" s="714" t="b">
        <f ca="1">IF(AND($E$1057=RefData!B$82,'Reconciliation report'!$E$1061&lt;&gt;""),ErrorMsgs!D1061)</f>
        <v>0</v>
      </c>
      <c r="N1061" s="714" t="b">
        <f ca="1">IF(AND($E$1057=RefData!$B$81,'Reconciliation report'!E1061=""),ErrorMsgs!$E1061)</f>
        <v>0</v>
      </c>
      <c r="O1061" s="712" t="b">
        <f ca="1">IF($E1061="",FALSE,IF($E1061&lt;0,ErrorMsgs!$F1061))</f>
        <v>0</v>
      </c>
      <c r="P1061" s="712"/>
      <c r="Q1061" s="712"/>
      <c r="R1061" s="712"/>
      <c r="S1061" s="712"/>
      <c r="T1061" s="712"/>
      <c r="U1061" s="526" t="str">
        <f t="shared" ca="1" si="142"/>
        <v/>
      </c>
      <c r="V1061" s="93" t="str" cm="1">
        <f t="array" aca="1" ref="V1061" ca="1">CELL("format",INDIRECT(I1061))</f>
        <v>P4</v>
      </c>
      <c r="W1061" s="93" t="b">
        <f t="shared" ca="1" si="143"/>
        <v>0</v>
      </c>
      <c r="X1061" s="715" t="str">
        <f t="shared" ca="1" si="141"/>
        <v/>
      </c>
      <c r="Y1061" t="b">
        <f t="shared" ca="1" si="144"/>
        <v>1</v>
      </c>
    </row>
    <row r="1062" spans="1:25" ht="46.5">
      <c r="A1062" s="705" t="s">
        <v>3708</v>
      </c>
      <c r="B1062" s="706" t="str">
        <f t="shared" ca="1" si="146"/>
        <v>Investment risk - current level - C48</v>
      </c>
      <c r="C1062" s="707" t="str" cm="1">
        <f t="array" aca="1" ref="C1062" ca="1">INDIRECT(LEFT(I1062, FIND("!", I1062)) &amp; RefData!$C$426 &amp; RIGHT(I1062, LEN(I1062) - FIND("!", I1062) - 1))</f>
        <v xml:space="preserve">
What is the target inflation rate hedging ratio? (%)
</v>
      </c>
      <c r="D1062" s="92" t="str">
        <f t="shared" ca="1" si="148"/>
        <v/>
      </c>
      <c r="E1062" s="708" t="str" cm="1">
        <f t="array" aca="1" ref="E1062" ca="1">IF(INDIRECT($I1062)= "", "", INDIRECT($I1062))</f>
        <v/>
      </c>
      <c r="F1062" s="709" t="str" cm="1">
        <f t="array" aca="1" ref="F1062" ca="1">INDIRECT(LEFT(I1062, FIND("!", I1062)) &amp; RefData!$C$427 &amp; RIGHT(I1062, LEN(I1062) - FIND("!", I1062) - 1))</f>
        <v>IRC 34.0</v>
      </c>
      <c r="G1062" s="710" t="b">
        <f ca="1">IF(ISNUMBER(SEARCH(RefData!$B$2, $C1062)), FALSE, TRUE)</f>
        <v>1</v>
      </c>
      <c r="H1062" s="113">
        <f>'Investment risk - current level'!C48</f>
        <v>0</v>
      </c>
      <c r="I1062" s="712" t="str">
        <f t="shared" ca="1" si="147"/>
        <v>'Investment risk - current level'!C48</v>
      </c>
      <c r="J1062" s="713" t="b" cm="1">
        <f t="array" aca="1" ref="J1062" ca="1">IF(COUNTIF($K1062:$T1062, "&lt;&gt;FALSE") - COUNTBLANK($K1062:$T1062) &gt; 0, INDEX($K1062:$T1062, MATCH(TRUE, $K1062:$T1062 &lt;&gt; FALSE, 0)))</f>
        <v>0</v>
      </c>
      <c r="K1062" s="712" t="b">
        <f ca="1">IF(AND('Start here'!$C$26=RefData!$B$9, $E1062&lt;&gt;""), ErrorMsgs!$B1062)</f>
        <v>0</v>
      </c>
      <c r="L1062" s="712" t="b">
        <f>IF(1=0,IF(AND('Start here'!$C$23=RefData!$B$17),ErrorMsgs!C1062))</f>
        <v>0</v>
      </c>
      <c r="M1062" s="714" t="b">
        <f ca="1">IF(AND($E$1057=RefData!B$82,'Reconciliation report'!$E$1062&lt;&gt;""),ErrorMsgs!D1062)</f>
        <v>0</v>
      </c>
      <c r="N1062" s="714" t="b">
        <f ca="1">IF(AND($E$1057=RefData!$B$81,'Reconciliation report'!E1062=""),ErrorMsgs!$E1062)</f>
        <v>0</v>
      </c>
      <c r="O1062" s="712" t="b">
        <f ca="1">IF($E1062="",FALSE,IF($E1062&lt;0,ErrorMsgs!$F1062))</f>
        <v>0</v>
      </c>
      <c r="P1062" s="712"/>
      <c r="Q1062" s="712"/>
      <c r="R1062" s="712"/>
      <c r="S1062" s="712"/>
      <c r="T1062" s="712"/>
      <c r="U1062" s="526" t="str">
        <f t="shared" ca="1" si="142"/>
        <v/>
      </c>
      <c r="V1062" s="93" t="str" cm="1">
        <f t="array" aca="1" ref="V1062" ca="1">CELL("format",INDIRECT(I1062))</f>
        <v>P4</v>
      </c>
      <c r="W1062" s="93" t="b">
        <f t="shared" ca="1" si="143"/>
        <v>0</v>
      </c>
      <c r="X1062" s="715" t="str">
        <f t="shared" ca="1" si="141"/>
        <v/>
      </c>
      <c r="Y1062" t="b">
        <f t="shared" ca="1" si="144"/>
        <v>1</v>
      </c>
    </row>
    <row r="1063" spans="1:25" ht="46.5">
      <c r="A1063" s="705" t="s">
        <v>3709</v>
      </c>
      <c r="B1063" s="716" t="str">
        <f ca="1">HYPERLINK("#" &amp; $I1063, SUBSTITUTE(SUBSTITUTE($I1063, "!", " - "), "'",""))</f>
        <v>Liquidity - C7</v>
      </c>
      <c r="C1063" s="707" t="str" cm="1">
        <f t="array" aca="1" ref="C1063" ca="1">INDIRECT(LEFT(I1063, FIND("!", I1063)) &amp; RefData!$C$426 &amp; RIGHT(I1063, LEN(I1063) - FIND("!", I1063) - 1))</f>
        <v xml:space="preserve">
What is the proportion of highly liquid investments? (%)
</v>
      </c>
      <c r="D1063" s="92" t="str">
        <f t="shared" ca="1" si="148"/>
        <v xml:space="preserve">
Enter a percentage value between 0 and 100.
</v>
      </c>
      <c r="E1063" s="708" t="str" cm="1">
        <f t="array" aca="1" ref="E1063" ca="1">IF(INDIRECT($I1063)= "", "", INDIRECT($I1063))</f>
        <v/>
      </c>
      <c r="F1063" s="709" t="str" cm="1">
        <f t="array" aca="1" ref="F1063" ca="1">INDIRECT(LEFT(I1063, FIND("!", I1063)) &amp; RefData!$C$427 &amp; RIGHT(I1063, LEN(I1063) - FIND("!", I1063) - 1))</f>
        <v>LIQ 1.0</v>
      </c>
      <c r="G1063" s="710" t="b">
        <f ca="1">IF(ISNUMBER(SEARCH(RefData!$B$2, $C1063)), FALSE, TRUE)</f>
        <v>1</v>
      </c>
      <c r="H1063" s="107">
        <f>Liquidity!C7</f>
        <v>0</v>
      </c>
      <c r="I1063" s="712" t="str">
        <f ca="1">SUBSTITUTE(_xlfn.FORMULATEXT($H1063), "=", "")</f>
        <v>Liquidity!C7</v>
      </c>
      <c r="J1063" s="713" t="str" cm="1">
        <f t="array" aca="1" ref="J1063" ca="1">IF(COUNTIF($K1063:$T1063, "&lt;&gt;FALSE") - COUNTBLANK($K1063:$T1063) &gt; 0, INDEX($K1063:$T1063, MATCH(TRUE, $K1063:$T1063 &lt;&gt; FALSE, 0)))</f>
        <v xml:space="preserve">
Enter a percentage value between 0 and 100.
</v>
      </c>
      <c r="K1063" s="712" t="str">
        <f ca="1">IF($E1063="",ErrorMsgs!$B1063)</f>
        <v xml:space="preserve">
Enter a percentage value between 0 and 100.
</v>
      </c>
      <c r="L1063" s="712" t="b">
        <f ca="1">IF($E1063&lt;-1,ErrorMsgs!$C1063)</f>
        <v>0</v>
      </c>
      <c r="M1063" s="714" t="str">
        <f ca="1">IF($E1063&gt;1,ErrorMsgs!$D1063)</f>
        <v xml:space="preserve">
Enter a percentage value between -100% and 100%. In addition, the total liquid and illiquid investments (LIQ 2.0) cannot be more than 100%.
</v>
      </c>
      <c r="N1063" s="714" t="b">
        <f>IF(SUM(Liquidity!$C$7:$C$8)&gt;1,ErrorMsgs!$E1063)</f>
        <v>0</v>
      </c>
      <c r="O1063" s="712"/>
      <c r="P1063" s="712"/>
      <c r="Q1063" s="712"/>
      <c r="R1063" s="712"/>
      <c r="S1063" s="712"/>
      <c r="T1063" s="712"/>
      <c r="U1063" s="526" t="str">
        <f t="shared" ca="1" si="142"/>
        <v/>
      </c>
      <c r="V1063" s="93" t="str" cm="1">
        <f t="array" aca="1" ref="V1063" ca="1">CELL("format",INDIRECT(I1063))</f>
        <v>P4</v>
      </c>
      <c r="W1063" s="93" t="b">
        <f t="shared" ca="1" si="143"/>
        <v>0</v>
      </c>
      <c r="X1063" s="715" t="str">
        <f t="shared" ca="1" si="141"/>
        <v/>
      </c>
      <c r="Y1063" t="b">
        <f t="shared" ca="1" si="144"/>
        <v>1</v>
      </c>
    </row>
    <row r="1064" spans="1:25" ht="46.5">
      <c r="A1064" s="705" t="s">
        <v>3710</v>
      </c>
      <c r="B1064" s="716" t="str">
        <f ca="1">HYPERLINK("#" &amp; $I1064, SUBSTITUTE(SUBSTITUTE($I1064, "!", " - "), "'",""))</f>
        <v>Liquidity - C8</v>
      </c>
      <c r="C1064" s="707" t="str" cm="1">
        <f t="array" aca="1" ref="C1064" ca="1">INDIRECT(LEFT(I1064, FIND("!", I1064)) &amp; RefData!$C$426 &amp; RIGHT(I1064, LEN(I1064) - FIND("!", I1064) - 1))</f>
        <v xml:space="preserve">
What is the proportion of illiquid investments? (%)
</v>
      </c>
      <c r="D1064" s="92" t="str">
        <f t="shared" ca="1" si="148"/>
        <v xml:space="preserve">
Enter a percentage value between 0 and 100.
</v>
      </c>
      <c r="E1064" s="708" t="str" cm="1">
        <f t="array" aca="1" ref="E1064" ca="1">IF(INDIRECT($I1064)= "", "", INDIRECT($I1064))</f>
        <v/>
      </c>
      <c r="F1064" s="709" t="str" cm="1">
        <f t="array" aca="1" ref="F1064" ca="1">INDIRECT(LEFT(I1064, FIND("!", I1064)) &amp; RefData!$C$427 &amp; RIGHT(I1064, LEN(I1064) - FIND("!", I1064) - 1))</f>
        <v>LIQ 2.0</v>
      </c>
      <c r="G1064" s="710" t="b">
        <f ca="1">IF(ISNUMBER(SEARCH(RefData!$B$2, $C1064)), FALSE, TRUE)</f>
        <v>1</v>
      </c>
      <c r="H1064" s="107">
        <f>Liquidity!C8</f>
        <v>0</v>
      </c>
      <c r="I1064" s="712" t="str">
        <f ca="1">SUBSTITUTE(_xlfn.FORMULATEXT($H1064), "=", "")</f>
        <v>Liquidity!C8</v>
      </c>
      <c r="J1064" s="713" t="str" cm="1">
        <f t="array" aca="1" ref="J1064" ca="1">IF(COUNTIF($K1064:$T1064, "&lt;&gt;FALSE") - COUNTBLANK($K1064:$T1064) &gt; 0, INDEX($K1064:$T1064, MATCH(TRUE, $K1064:$T1064 &lt;&gt; FALSE, 0)))</f>
        <v xml:space="preserve">
Enter a percentage value between 0 and 100.
</v>
      </c>
      <c r="K1064" s="712" t="str">
        <f ca="1">IF($E1064="",ErrorMsgs!$B1064)</f>
        <v xml:space="preserve">
Enter a percentage value between 0 and 100.
</v>
      </c>
      <c r="L1064" s="712" t="b">
        <f ca="1">IF($E1064&lt;0,ErrorMsgs!$C1064)</f>
        <v>0</v>
      </c>
      <c r="M1064" s="714" t="str">
        <f ca="1">IF($E1064&gt;1,ErrorMsgs!$D1064)</f>
        <v xml:space="preserve">
Enter a percentage value between 0% and 100%. In addition, the percentage of highly liquid investments (LIQ 1.0) and the percentage of illiquid investments cannot total more than 100%.
</v>
      </c>
      <c r="N1064" s="714" t="b">
        <f>IF(SUM(Liquidity!$C$7:$C$8)&gt;1,ErrorMsgs!$E1064)</f>
        <v>0</v>
      </c>
      <c r="O1064" s="712"/>
      <c r="P1064" s="712"/>
      <c r="Q1064" s="712"/>
      <c r="R1064" s="712"/>
      <c r="S1064" s="712"/>
      <c r="T1064" s="712"/>
      <c r="U1064" s="526" t="str">
        <f t="shared" ca="1" si="142"/>
        <v/>
      </c>
      <c r="V1064" s="93" t="str" cm="1">
        <f t="array" aca="1" ref="V1064" ca="1">CELL("format",INDIRECT(I1064))</f>
        <v>P4</v>
      </c>
      <c r="W1064" s="93" t="b">
        <f t="shared" ca="1" si="143"/>
        <v>0</v>
      </c>
      <c r="X1064" s="715" t="str">
        <f t="shared" ca="1" si="141"/>
        <v/>
      </c>
      <c r="Y1064" t="b">
        <f t="shared" ca="1" si="144"/>
        <v>1</v>
      </c>
    </row>
    <row r="1065" spans="1:25" ht="77.5">
      <c r="A1065" s="705" t="s">
        <v>3711</v>
      </c>
      <c r="B1065" s="716" t="str">
        <f ca="1">HYPERLINK("#" &amp; $I1065, SUBSTITUTE(SUBSTITUTE($I1065, "!", " - "), "'",""))</f>
        <v>Liquidity - C9</v>
      </c>
      <c r="C1065" s="707" t="str" cm="1">
        <f t="array" aca="1" ref="C1065" ca="1">INDIRECT(LEFT(I1065, FIND("!", I1065)) &amp; RefData!$C$426 &amp; RIGHT(I1065, LEN(I1065) - FIND("!", I1065) - 1))</f>
        <v xml:space="preserve">
Does the scheme’s notional investment allocation include leveraged investments that could result in unexpected demands on liquidity from the rest of the scheme’s assets?
</v>
      </c>
      <c r="D1065" s="92" t="str">
        <f t="shared" ca="1" si="148"/>
        <v xml:space="preserve">
Select 'Yes' if the scheme’s notional investment allocation includes leveraged investments that could result in unexpected demands on liquidity from the rest of the scheme’s assets and 'No' if it does not.
</v>
      </c>
      <c r="E1065" s="708" t="str" cm="1">
        <f t="array" aca="1" ref="E1065" ca="1">IF(INDIRECT($I1065)= "", "", INDIRECT($I1065))</f>
        <v/>
      </c>
      <c r="F1065" s="709" t="str" cm="1">
        <f t="array" aca="1" ref="F1065" ca="1">INDIRECT(LEFT(I1065, FIND("!", I1065)) &amp; RefData!$C$427 &amp; RIGHT(I1065, LEN(I1065) - FIND("!", I1065) - 1))</f>
        <v>LIQ 3.0</v>
      </c>
      <c r="G1065" s="710" t="b">
        <f ca="1">IF(ISNUMBER(SEARCH(RefData!$B$2, $C1065)), FALSE, TRUE)</f>
        <v>1</v>
      </c>
      <c r="H1065" s="107">
        <f>Liquidity!C9</f>
        <v>0</v>
      </c>
      <c r="I1065" s="712" t="str">
        <f ca="1">SUBSTITUTE(_xlfn.FORMULATEXT($H1065), "=", "")</f>
        <v>Liquidity!C9</v>
      </c>
      <c r="J1065" s="713" t="str" cm="1">
        <f t="array" aca="1" ref="J1065" ca="1">IF(COUNTIF($K1065:$T1065, "&lt;&gt;FALSE") - COUNTBLANK($K1065:$T1065) &gt; 0, INDEX($K1065:$T1065, MATCH(TRUE, $K1065:$T1065 &lt;&gt; FALSE, 0)))</f>
        <v xml:space="preserve">
Select 'Yes' if the scheme’s notional investment allocation includes leveraged investments that could result in unexpected demands on liquidity from the rest of the scheme’s assets and 'No' if it does not.
</v>
      </c>
      <c r="K1065" s="712" t="b">
        <f ca="1">IF(AND('Start here'!$C$26=RefData!$B$9, $E1065&lt;&gt;""), ErrorMsgs!$B1065)</f>
        <v>0</v>
      </c>
      <c r="L1065" s="712" t="b">
        <f ca="1">IF(AND('Start here'!$C$26=RefData!$B$10,E1065=""),ErrorMsgs!$C$1065)</f>
        <v>0</v>
      </c>
      <c r="M1065" s="714" t="str">
        <f ca="1">IF(AND('Start here'!$C$26&lt;&gt;RefData!$B$9,OR(ISNA(MATCH($E1065,RefData!$B$66:$B$67, 0)),  $E1065="")),ErrorMsgs!$D1065)</f>
        <v xml:space="preserve">
Select 'Yes' if the scheme’s notional investment allocation includes leveraged investments that could result in unexpected demands on liquidity from the rest of the scheme’s assets and 'No' if it does not.
</v>
      </c>
      <c r="N1065" s="714"/>
      <c r="O1065" s="712"/>
      <c r="P1065" s="712"/>
      <c r="Q1065" s="712"/>
      <c r="R1065" s="712"/>
      <c r="S1065" s="712"/>
      <c r="T1065" s="712"/>
      <c r="U1065" s="526" t="str">
        <f t="shared" ca="1" si="142"/>
        <v/>
      </c>
      <c r="V1065" s="93" t="str" cm="1">
        <f t="array" aca="1" ref="V1065" ca="1">CELL("format",INDIRECT(I1065))</f>
        <v>G</v>
      </c>
      <c r="W1065" s="93" t="b">
        <f t="shared" ca="1" si="143"/>
        <v>0</v>
      </c>
      <c r="X1065" s="715" t="str">
        <f t="shared" ca="1" si="141"/>
        <v/>
      </c>
      <c r="Y1065" t="b">
        <f t="shared" ca="1" si="144"/>
        <v>1</v>
      </c>
    </row>
    <row r="1066" spans="1:25" ht="62">
      <c r="A1066" s="705" t="s">
        <v>3712</v>
      </c>
      <c r="B1066" s="716" t="str">
        <f t="shared" ref="B1066:B1088" ca="1" si="149">HYPERLINK("#" &amp; $I1066, SUBSTITUTE(SUBSTITUTE($I1066, "!", " - "), "'",""))</f>
        <v>Invest journey plan-risk level - C7</v>
      </c>
      <c r="C1066" s="707" t="str" cm="1">
        <f t="array" aca="1" ref="C1066" ca="1">INDIRECT(LEFT(I1066, FIND("!", I1066)) &amp; RefData!$C$426 &amp; RIGHT(I1066, LEN(I1066) - FIND("!", I1066) - 1))</f>
        <v xml:space="preserve">
What will be the intended investment risk at the relevant date expressed as a percentage drop in funding level? (%)
</v>
      </c>
      <c r="D1066" s="92" t="str">
        <f t="shared" ca="1" si="148"/>
        <v/>
      </c>
      <c r="E1066" s="708" t="str" cm="1">
        <f t="array" aca="1" ref="E1066" ca="1">IF(INDIRECT($I1066)= "", "", INDIRECT($I1066))</f>
        <v/>
      </c>
      <c r="F1066" s="709" t="str" cm="1">
        <f t="array" aca="1" ref="F1066" ca="1">INDIRECT(LEFT(I1066, FIND("!", I1066)) &amp; RefData!$C$427 &amp; RIGHT(I1066, LEN(I1066) - FIND("!", I1066) - 1))</f>
        <v>IJP 1.0</v>
      </c>
      <c r="G1066" s="710" t="b">
        <f ca="1">IF(ISNUMBER(SEARCH(RefData!$B$2, $C1066)), FALSE, TRUE)</f>
        <v>1</v>
      </c>
      <c r="H1066" s="107">
        <f>'Invest journey plan-risk level'!C7</f>
        <v>0</v>
      </c>
      <c r="I1066" s="712" t="str">
        <f t="shared" ref="I1066:I1088" ca="1" si="150">SUBSTITUTE(_xlfn.FORMULATEXT($H1066), "=", "")</f>
        <v>'Invest journey plan-risk level'!C7</v>
      </c>
      <c r="J1066" s="713" t="b" cm="1">
        <f t="array" aca="1" ref="J1066" ca="1">IF(COUNTIF($K1066:$T1066, "&lt;&gt;FALSE") - COUNTBLANK($K1066:$T1066) &gt; 0, INDEX($K1066:$T1066, MATCH(TRUE, $K1066:$T1066 &lt;&gt; FALSE, 0)))</f>
        <v>0</v>
      </c>
      <c r="K1066" s="712" t="b">
        <f ca="1">IF(AND('Start here'!$C$26=RefData!$B$9, $E1066&lt;&gt;""), ErrorMsgs!$B1066)</f>
        <v>0</v>
      </c>
      <c r="L1066" s="712" t="b">
        <f ca="1">IF(AND('Start here'!$C$26=RefData!$B$10,'Start here'!$C$23=RefData!$B$17,'Reconciliation report'!E1066&lt;&gt;""),ErrorMsgs!$C1066)</f>
        <v>0</v>
      </c>
      <c r="M1066" s="714" t="b">
        <f ca="1">IF(AND('Start here'!$C$26=RefData!$B$10,'Start here'!$C$23=RefData!$B$18,'Reconciliation report'!E1066=""),ErrorMsgs!$D1066)</f>
        <v>0</v>
      </c>
      <c r="N1066" s="714" t="b">
        <f ca="1">IF(AND('Start here'!$C$26=RefData!$B$10,'Start here'!$C$23=RefData!$B$18,NOT($E1066&gt;=0)),ErrorMsgs!$E1066)</f>
        <v>0</v>
      </c>
      <c r="O1066" s="712" t="b">
        <f ca="1">IF(AND('Start here'!$C$26=RefData!$B$10,'Start here'!$C$23=RefData!$B$18,NOT($E1066&lt;=1)),ErrorMsgs!$E1066)</f>
        <v>0</v>
      </c>
      <c r="P1066" s="712"/>
      <c r="Q1066" s="712"/>
      <c r="R1066" s="712"/>
      <c r="S1066" s="712"/>
      <c r="T1066" s="712"/>
      <c r="U1066" s="526" t="str">
        <f t="shared" ca="1" si="142"/>
        <v/>
      </c>
      <c r="V1066" s="93" t="str" cm="1">
        <f t="array" aca="1" ref="V1066" ca="1">CELL("format",INDIRECT(I1066))</f>
        <v>P4</v>
      </c>
      <c r="W1066" s="93" t="b">
        <f t="shared" ca="1" si="143"/>
        <v>0</v>
      </c>
      <c r="X1066" s="715" t="str">
        <f t="shared" ca="1" si="141"/>
        <v/>
      </c>
      <c r="Y1066" t="b">
        <f t="shared" ca="1" si="144"/>
        <v>1</v>
      </c>
    </row>
    <row r="1067" spans="1:25" ht="46.5">
      <c r="A1067" s="705" t="s">
        <v>3713</v>
      </c>
      <c r="B1067" s="716" t="str">
        <f t="shared" ca="1" si="149"/>
        <v>Invest journey plan-risk level - C8</v>
      </c>
      <c r="C1067" s="707" t="str" cm="1">
        <f t="array" aca="1" ref="C1067" ca="1">INDIRECT(LEFT(I1067, FIND("!", I1067)) &amp; RefData!$C$426 &amp; RIGHT(I1067, LEN(I1067) - FIND("!", I1067) - 1))</f>
        <v xml:space="preserve">
What is the scheme's de-risking approach?
</v>
      </c>
      <c r="D1067" s="92" t="str">
        <f t="shared" ca="1" si="148"/>
        <v/>
      </c>
      <c r="E1067" s="708" t="str" cm="1">
        <f t="array" aca="1" ref="E1067" ca="1">IF(INDIRECT($I1067)= "", "", INDIRECT($I1067))</f>
        <v/>
      </c>
      <c r="F1067" s="709" t="str" cm="1">
        <f t="array" aca="1" ref="F1067" ca="1">INDIRECT(LEFT(I1067, FIND("!", I1067)) &amp; RefData!$C$427 &amp; RIGHT(I1067, LEN(I1067) - FIND("!", I1067) - 1))</f>
        <v>IJP 2.0</v>
      </c>
      <c r="G1067" s="710" t="b">
        <f ca="1">IF(ISNUMBER(SEARCH(RefData!$B$2, $C1067)), FALSE, TRUE)</f>
        <v>1</v>
      </c>
      <c r="H1067" s="107">
        <f>'Invest journey plan-risk level'!C8</f>
        <v>0</v>
      </c>
      <c r="I1067" s="712" t="str">
        <f t="shared" ca="1" si="150"/>
        <v>'Invest journey plan-risk level'!C8</v>
      </c>
      <c r="J1067" s="713" t="b" cm="1">
        <f t="array" aca="1" ref="J1067" ca="1">IF(COUNTIF($K1067:$T1067, "&lt;&gt;FALSE") - COUNTBLANK($K1067:$T1067) &gt; 0, INDEX($K1067:$T1067, MATCH(TRUE, $K1067:$T1067 &lt;&gt; FALSE, 0)))</f>
        <v>0</v>
      </c>
      <c r="K1067" s="712" t="b">
        <f ca="1">IF(AND('Start here'!$C$26=RefData!$B$9, $E1067&lt;&gt;""), ErrorMsgs!$B1067)</f>
        <v>0</v>
      </c>
      <c r="L1067" s="712" t="b">
        <f ca="1">IF(AND('Start here'!$C$26=RefData!$B$10,'Start here'!$C$23=RefData!$B$17,'Reconciliation report'!E1067&lt;&gt;""),ErrorMsgs!$C1067)</f>
        <v>0</v>
      </c>
      <c r="M1067" s="714" t="b">
        <f ca="1">IF(AND('Start here'!$C$26=RefData!$B$10,'Start here'!$C$23=RefData!$B$18,'Reconciliation report'!E1067=""),ErrorMsgs!$D1067)</f>
        <v>0</v>
      </c>
      <c r="N1067" s="714" t="b">
        <f ca="1">IF(E1067="",FALSE,IF(AND('Start here'!$C$26&lt;&gt;RefData!$B$9,OR(ISNA(MATCH($E1067,RefData!$B$68:$B$72,0)),$E1067="")),ErrorMsgs!$E1067))</f>
        <v>0</v>
      </c>
      <c r="O1067" s="712"/>
      <c r="P1067" s="712"/>
      <c r="Q1067" s="712"/>
      <c r="R1067" s="712"/>
      <c r="S1067" s="712"/>
      <c r="T1067" s="712"/>
      <c r="U1067" s="526" t="str">
        <f t="shared" ca="1" si="142"/>
        <v/>
      </c>
      <c r="V1067" s="93" t="str" cm="1">
        <f t="array" aca="1" ref="V1067" ca="1">CELL("format",INDIRECT(I1067))</f>
        <v>G</v>
      </c>
      <c r="W1067" s="93" t="b">
        <f t="shared" ca="1" si="143"/>
        <v>0</v>
      </c>
      <c r="X1067" s="715" t="str">
        <f t="shared" ca="1" si="141"/>
        <v/>
      </c>
      <c r="Y1067" t="b">
        <f t="shared" ca="1" si="144"/>
        <v>1</v>
      </c>
    </row>
    <row r="1068" spans="1:25" ht="62">
      <c r="A1068" s="705" t="s">
        <v>3714</v>
      </c>
      <c r="B1068" s="716" t="str">
        <f t="shared" ca="1" si="149"/>
        <v>Invest journey plan-risk level - C9</v>
      </c>
      <c r="C1068" s="707" t="str" cm="1">
        <f t="array" aca="1" ref="C1068" ca="1">INDIRECT(LEFT(I1068, FIND("!", I1068)) &amp; RefData!$C$426 &amp; RIGHT(I1068, LEN(I1068) - FIND("!", I1068) - 1))</f>
        <v xml:space="preserve">
Provide further information that may be helpful to understand the level of risk in the journey plan. (Optional)
</v>
      </c>
      <c r="D1068" s="92" t="str">
        <f t="shared" ca="1" si="148"/>
        <v/>
      </c>
      <c r="E1068" s="708" t="str" cm="1">
        <f t="array" aca="1" ref="E1068" ca="1">IF(INDIRECT($I1068)= "", "", INDIRECT($I1068))</f>
        <v/>
      </c>
      <c r="F1068" s="709" t="str" cm="1">
        <f t="array" aca="1" ref="F1068" ca="1">INDIRECT(LEFT(I1068, FIND("!", I1068)) &amp; RefData!$C$427 &amp; RIGHT(I1068, LEN(I1068) - FIND("!", I1068) - 1))</f>
        <v>IJP 3.0</v>
      </c>
      <c r="G1068" s="710" t="b">
        <f ca="1">IF(ISNUMBER(SEARCH(RefData!$B$2, $C1068)), FALSE, TRUE)</f>
        <v>1</v>
      </c>
      <c r="H1068" s="107">
        <f>'Invest journey plan-risk level'!C9</f>
        <v>0</v>
      </c>
      <c r="I1068" s="712" t="str">
        <f t="shared" ca="1" si="150"/>
        <v>'Invest journey plan-risk level'!C9</v>
      </c>
      <c r="J1068" s="713" t="b" cm="1">
        <f t="array" aca="1" ref="J1068" ca="1">IF(COUNTIF($K1068:$T1068, "&lt;&gt;FALSE") - COUNTBLANK($K1068:$T1068) &gt; 0, INDEX($K1068:$T1068, MATCH(TRUE, $K1068:$T1068 &lt;&gt; FALSE, 0)))</f>
        <v>0</v>
      </c>
      <c r="K1068" s="712" t="b">
        <f ca="1">IF(AND('Start here'!$C$26=RefData!$B$9, $E1068&lt;&gt;""), ErrorMsgs!$B1068)</f>
        <v>0</v>
      </c>
      <c r="L1068" s="712" t="b">
        <f ca="1">IF(AND('Start here'!$C$26=RefData!$B$10,'Start here'!$C$23=RefData!$B$17,'Reconciliation report'!E1068&lt;&gt;""),ErrorMsgs!$C1068)</f>
        <v>0</v>
      </c>
      <c r="M1068" s="712" t="b">
        <f ca="1">IF(LEN($E1068)&gt;4000,ErrorMsgs!$D1068)</f>
        <v>0</v>
      </c>
      <c r="N1068" s="712"/>
      <c r="O1068" s="712"/>
      <c r="P1068" s="712"/>
      <c r="Q1068" s="712"/>
      <c r="R1068" s="712"/>
      <c r="S1068" s="712"/>
      <c r="T1068" s="712"/>
      <c r="U1068" s="526" t="str">
        <f t="shared" ca="1" si="142"/>
        <v/>
      </c>
      <c r="V1068" s="93" t="str" cm="1">
        <f t="array" aca="1" ref="V1068" ca="1">CELL("format",INDIRECT(I1068))</f>
        <v>G</v>
      </c>
      <c r="W1068" s="93" t="b">
        <f t="shared" ca="1" si="143"/>
        <v>0</v>
      </c>
      <c r="X1068" s="715" t="str">
        <f t="shared" ca="1" si="141"/>
        <v/>
      </c>
      <c r="Y1068" t="b">
        <f t="shared" ca="1" si="144"/>
        <v>1</v>
      </c>
    </row>
    <row r="1069" spans="1:25" ht="62">
      <c r="A1069" s="705" t="s">
        <v>3715</v>
      </c>
      <c r="B1069" s="716" t="str">
        <f t="shared" ca="1" si="149"/>
        <v>Invest journey plan-risk level - C13</v>
      </c>
      <c r="C1069" s="707" t="str" cm="1">
        <f t="array" aca="1" ref="C1069" ca="1">INDIRECT(LEFT(I1069, FIND("!", I1069)) &amp; RefData!$C$426 &amp; RIGHT(I1069, LEN(I1069) - FIND("!", I1069) - 1))</f>
        <v xml:space="preserve">
Does the scheme have an explicit interest rate or inflation hedging target at the relevant date?
</v>
      </c>
      <c r="D1069" s="92" t="str">
        <f t="shared" ca="1" si="148"/>
        <v xml:space="preserve">
Select 'Yes' if the scheme has an explicit interest rate or inflation hedging target at the relevant date or 'No' if it does not.
</v>
      </c>
      <c r="E1069" s="708" t="str" cm="1">
        <f t="array" aca="1" ref="E1069" ca="1">IF(INDIRECT($I1069)= "", "", INDIRECT($I1069))</f>
        <v/>
      </c>
      <c r="F1069" s="709" t="str" cm="1">
        <f t="array" aca="1" ref="F1069" ca="1">INDIRECT(LEFT(I1069, FIND("!", I1069)) &amp; RefData!$C$427 &amp; RIGHT(I1069, LEN(I1069) - FIND("!", I1069) - 1))</f>
        <v>IJP 4.0</v>
      </c>
      <c r="G1069" s="710" t="b">
        <f ca="1">IF(ISNUMBER(SEARCH(RefData!$B$2, $C1069)), FALSE, TRUE)</f>
        <v>1</v>
      </c>
      <c r="H1069" s="107">
        <f>'Invest journey plan-risk level'!C13</f>
        <v>0</v>
      </c>
      <c r="I1069" s="712" t="str">
        <f t="shared" ca="1" si="150"/>
        <v>'Invest journey plan-risk level'!C13</v>
      </c>
      <c r="J1069" s="713" t="str" cm="1">
        <f t="array" aca="1" ref="J1069" ca="1">IF(COUNTIF($K1069:$T1069, "&lt;&gt;FALSE") - COUNTBLANK($K1069:$T1069) &gt; 0, INDEX($K1069:$T1069, MATCH(TRUE, $K1069:$T1069 &lt;&gt; FALSE, 0)))</f>
        <v xml:space="preserve">
Select 'Yes' if the scheme has an explicit interest rate or inflation hedging target at the relevant date or 'No' if it does not.
</v>
      </c>
      <c r="K1069" s="712" t="b">
        <f ca="1">IF(AND('Start here'!$C$26=RefData!$B$9, $E1069&lt;&gt;""), ErrorMsgs!$B1069)</f>
        <v>0</v>
      </c>
      <c r="L1069" s="712" t="b">
        <f ca="1">IF(AND('Start here'!$C$23=RefData!$B$17,'Reconciliation report'!$E1069&lt;&gt;""),ErrorMsgs!$C1069)</f>
        <v>0</v>
      </c>
      <c r="M1069" s="714" t="b">
        <f ca="1">IF(AND('Start here'!$C$26=RefData!$B$10,'Start here'!$C$23=RefData!$B$18,'Reconciliation report'!E1069=""),ErrorMsgs!$D1069)</f>
        <v>0</v>
      </c>
      <c r="N1069" s="714" t="str">
        <f ca="1">IF(AND('Start here'!$C$26&lt;&gt;RefData!$B$9,'Start here'!$C$23&lt;&gt;RefData!$B$17,OR(ISNA(MATCH($E1069,RefData!$B$73:$B$74, 0)),  $E1069="")),ErrorMsgs!$E1069)</f>
        <v xml:space="preserve">
Select 'Yes' if the scheme has an explicit interest rate or inflation hedging target at the relevant date or 'No' if it does not.
</v>
      </c>
      <c r="O1069" s="712"/>
      <c r="P1069" s="712"/>
      <c r="Q1069" s="712"/>
      <c r="R1069" s="712"/>
      <c r="S1069" s="712"/>
      <c r="T1069" s="712"/>
      <c r="U1069" s="526" t="str">
        <f t="shared" ca="1" si="142"/>
        <v/>
      </c>
      <c r="V1069" s="93" t="str" cm="1">
        <f t="array" aca="1" ref="V1069" ca="1">CELL("format",INDIRECT(I1069))</f>
        <v>G</v>
      </c>
      <c r="W1069" s="93" t="b">
        <f t="shared" ca="1" si="143"/>
        <v>0</v>
      </c>
      <c r="X1069" s="715" t="str">
        <f t="shared" ca="1" si="141"/>
        <v/>
      </c>
      <c r="Y1069" t="b">
        <f t="shared" ca="1" si="144"/>
        <v>1</v>
      </c>
    </row>
    <row r="1070" spans="1:25" ht="62">
      <c r="A1070" s="705" t="s">
        <v>3716</v>
      </c>
      <c r="B1070" s="716" t="str">
        <f t="shared" ca="1" si="149"/>
        <v>Invest journey plan-risk level - C14</v>
      </c>
      <c r="C1070" s="707" t="str" cm="1">
        <f t="array" aca="1" ref="C1070" ca="1">INDIRECT(LEFT(I1070, FIND("!", I1070)) &amp; RefData!$C$426 &amp; RIGHT(I1070, LEN(I1070) - FIND("!", I1070) - 1))</f>
        <v xml:space="preserve">
What are the relevant date hedging targets measured as a proportion of?
</v>
      </c>
      <c r="D1070" s="92" t="str">
        <f t="shared" ca="1" si="148"/>
        <v/>
      </c>
      <c r="E1070" s="708" t="str" cm="1">
        <f t="array" aca="1" ref="E1070" ca="1">IF(INDIRECT($I1070)= "", "", INDIRECT($I1070))</f>
        <v/>
      </c>
      <c r="F1070" s="709" t="str" cm="1">
        <f t="array" aca="1" ref="F1070" ca="1">INDIRECT(LEFT(I1070, FIND("!", I1070)) &amp; RefData!$C$427 &amp; RIGHT(I1070, LEN(I1070) - FIND("!", I1070) - 1))</f>
        <v>IJP 5.0</v>
      </c>
      <c r="G1070" s="710" t="b">
        <f ca="1">IF(ISNUMBER(SEARCH(RefData!$B$2, $C1070)), FALSE, TRUE)</f>
        <v>1</v>
      </c>
      <c r="H1070" s="113">
        <f>'Invest journey plan-risk level'!C14</f>
        <v>0</v>
      </c>
      <c r="I1070" s="712" t="str">
        <f t="shared" ca="1" si="150"/>
        <v>'Invest journey plan-risk level'!C14</v>
      </c>
      <c r="J1070" s="713" t="b" cm="1">
        <f t="array" aca="1" ref="J1070" ca="1">IF(COUNTIF($K1070:$T1070, "&lt;&gt;FALSE") - COUNTBLANK($K1070:$T1070) &gt; 0, INDEX($K1070:$T1070, MATCH(TRUE, $K1070:$T1070 &lt;&gt; FALSE, 0)))</f>
        <v>0</v>
      </c>
      <c r="K1070" s="712" t="b">
        <f ca="1">IF(AND('Start here'!$C$26=RefData!$B$9, $E1070&lt;&gt;""), ErrorMsgs!$B1070)</f>
        <v>0</v>
      </c>
      <c r="L1070" s="712" t="b">
        <f ca="1">IF(AND('Start here'!$C$23=RefData!$B$17,'Reconciliation report'!$E$1070&lt;&gt;""),ErrorMsgs!$C1070)</f>
        <v>0</v>
      </c>
      <c r="M1070" s="714" t="b">
        <f ca="1">IF(AND('Invest journey plan-risk level'!$C$13=RefData!$B$74,'Reconciliation report'!$E$1070&lt;&gt;""),ErrorMsgs!$D1070)</f>
        <v>0</v>
      </c>
      <c r="N1070" s="714" t="b">
        <f ca="1">IF(AND('Invest journey plan-risk level'!$C$13=RefData!$B$73,'Reconciliation report'!$E$1070=""),ErrorMsgs!$E1070)</f>
        <v>0</v>
      </c>
      <c r="O1070" s="712" t="b">
        <f ca="1">IF($E$1070="",FALSE,IF(AND('Start here'!$C$26&lt;&gt;RefData!$B$9,'Start here'!$C$23&lt;&gt;RefData!$B$17,OR(ISNA(MATCH($E1070,RefData!$B$75:$B$78,0)),$E1070="")),ErrorMsgs!$F1070))</f>
        <v>0</v>
      </c>
      <c r="P1070" s="712"/>
      <c r="Q1070" s="712"/>
      <c r="R1070" s="712"/>
      <c r="S1070" s="712"/>
      <c r="T1070" s="712"/>
      <c r="U1070" s="526" t="str">
        <f t="shared" ca="1" si="142"/>
        <v/>
      </c>
      <c r="V1070" s="93" t="str" cm="1">
        <f t="array" aca="1" ref="V1070" ca="1">CELL("format",INDIRECT(I1070))</f>
        <v>G</v>
      </c>
      <c r="W1070" s="93" t="b">
        <f t="shared" ca="1" si="143"/>
        <v>0</v>
      </c>
      <c r="X1070" s="715" t="str">
        <f t="shared" ca="1" si="141"/>
        <v/>
      </c>
      <c r="Y1070" t="b">
        <f t="shared" ca="1" si="144"/>
        <v>1</v>
      </c>
    </row>
    <row r="1071" spans="1:25" ht="77.5">
      <c r="A1071" s="705" t="s">
        <v>3717</v>
      </c>
      <c r="B1071" s="716" t="str">
        <f t="shared" ca="1" si="149"/>
        <v>Invest journey plan-risk level - C15</v>
      </c>
      <c r="C1071" s="707" t="str" cm="1">
        <f t="array" aca="1" ref="C1071" ca="1">INDIRECT(LEFT(I1071, FIND("!", I1071)) &amp; RefData!$C$426 &amp; RIGHT(I1071, LEN(I1071) - FIND("!", I1071) - 1))</f>
        <v xml:space="preserve">No answer required
Describe what the scheme's interest rate or inflation hedging targets at relevant date are measured against.
</v>
      </c>
      <c r="D1071" s="92" t="str">
        <f t="shared" ca="1" si="148"/>
        <v/>
      </c>
      <c r="E1071" s="708" t="str" cm="1">
        <f t="array" aca="1" ref="E1071" ca="1">IF(INDIRECT($I1071)= "", "", INDIRECT($I1071))</f>
        <v/>
      </c>
      <c r="F1071" s="709" t="str" cm="1">
        <f t="array" aca="1" ref="F1071" ca="1">INDIRECT(LEFT(I1071, FIND("!", I1071)) &amp; RefData!$C$427 &amp; RIGHT(I1071, LEN(I1071) - FIND("!", I1071) - 1))</f>
        <v>IJP 6.0</v>
      </c>
      <c r="G1071" s="710" t="b">
        <f ca="1">IF(ISNUMBER(SEARCH(RefData!$B$2, $C1071)), FALSE, TRUE)</f>
        <v>0</v>
      </c>
      <c r="H1071" s="113">
        <f>'Invest journey plan-risk level'!C15</f>
        <v>0</v>
      </c>
      <c r="I1071" s="712" t="str">
        <f t="shared" ca="1" si="150"/>
        <v>'Invest journey plan-risk level'!C15</v>
      </c>
      <c r="J1071" s="713" t="b" cm="1">
        <f t="array" aca="1" ref="J1071" ca="1">IF(COUNTIF($K1071:$T1071, "&lt;&gt;FALSE") - COUNTBLANK($K1071:$T1071) &gt; 0, INDEX($K1071:$T1071, MATCH(TRUE, $K1071:$T1071 &lt;&gt; FALSE, 0)))</f>
        <v>0</v>
      </c>
      <c r="K1071" s="712" t="b">
        <f ca="1">IF(AND('Start here'!$C$26=RefData!$B$9, $E1071&lt;&gt;""), ErrorMsgs!$B1071)</f>
        <v>0</v>
      </c>
      <c r="L1071" s="712" t="b">
        <f ca="1">IF(AND('Start here'!$C$23=RefData!$B$17,'Reconciliation report'!$E1071&lt;&gt;""),ErrorMsgs!$C1071)</f>
        <v>0</v>
      </c>
      <c r="M1071" s="714" t="b">
        <f ca="1">IF(AND('Invest journey plan-risk level'!$C$13=RefData!$B$74,'Reconciliation report'!E1071&lt;&gt;""),ErrorMsgs!$D1071)</f>
        <v>0</v>
      </c>
      <c r="N1071" s="714" t="b">
        <f ca="1">IF(AND(NOT('Invest journey plan-risk level'!$C$14=RefData!$B$78),'Reconciliation report'!E1071&lt;&gt;""),ErrorMsgs!$E1071)</f>
        <v>0</v>
      </c>
      <c r="O1071" s="712" t="b">
        <f ca="1">IF(AND('Invest journey plan-risk level'!$C$14=RefData!$B$92,'Reconciliation report'!E1071=""),ErrorMsgs!$F1071)</f>
        <v>0</v>
      </c>
      <c r="P1071" s="712" t="b">
        <f ca="1">IF(LEN($E1071)&gt;4000,ErrorMsgs!$G1071)</f>
        <v>0</v>
      </c>
      <c r="Q1071" s="712"/>
      <c r="R1071" s="712"/>
      <c r="S1071" s="712"/>
      <c r="T1071" s="712"/>
      <c r="U1071" s="526" t="str">
        <f t="shared" ca="1" si="142"/>
        <v/>
      </c>
      <c r="V1071" s="93" t="str" cm="1">
        <f t="array" aca="1" ref="V1071" ca="1">CELL("format",INDIRECT(I1071))</f>
        <v>G</v>
      </c>
      <c r="W1071" s="93" t="b">
        <f t="shared" ca="1" si="143"/>
        <v>0</v>
      </c>
      <c r="X1071" s="715" t="str">
        <f t="shared" ca="1" si="141"/>
        <v/>
      </c>
      <c r="Y1071" t="b">
        <f t="shared" ca="1" si="144"/>
        <v>1</v>
      </c>
    </row>
    <row r="1072" spans="1:25" ht="62">
      <c r="A1072" s="705" t="s">
        <v>3718</v>
      </c>
      <c r="B1072" s="716" t="str">
        <f t="shared" ca="1" si="149"/>
        <v>Invest journey plan-risk level - C16</v>
      </c>
      <c r="C1072" s="707" t="str" cm="1">
        <f t="array" aca="1" ref="C1072" ca="1">INDIRECT(LEFT(I1072, FIND("!", I1072)) &amp; RefData!$C$426 &amp; RIGHT(I1072, LEN(I1072) - FIND("!", I1072) - 1))</f>
        <v xml:space="preserve">
Do the target interest rate and inflation hedging ratios include insured annuities at the relevant date?
</v>
      </c>
      <c r="D1072" s="92" t="str">
        <f t="shared" ca="1" si="148"/>
        <v/>
      </c>
      <c r="E1072" s="708" t="str" cm="1">
        <f t="array" aca="1" ref="E1072" ca="1">IF(INDIRECT($I1072)= "", "", INDIRECT($I1072))</f>
        <v/>
      </c>
      <c r="F1072" s="709" t="str" cm="1">
        <f t="array" aca="1" ref="F1072" ca="1">INDIRECT(LEFT(I1072, FIND("!", I1072)) &amp; RefData!$C$427 &amp; RIGHT(I1072, LEN(I1072) - FIND("!", I1072) - 1))</f>
        <v>IJP 7.0</v>
      </c>
      <c r="G1072" s="710" t="b">
        <f ca="1">IF(ISNUMBER(SEARCH(RefData!$B$2, $C1072)), FALSE, TRUE)</f>
        <v>1</v>
      </c>
      <c r="H1072" s="113">
        <f>'Invest journey plan-risk level'!C16</f>
        <v>0</v>
      </c>
      <c r="I1072" s="712" t="str">
        <f t="shared" ca="1" si="150"/>
        <v>'Invest journey plan-risk level'!C16</v>
      </c>
      <c r="J1072" s="713" t="b" cm="1">
        <f t="array" aca="1" ref="J1072" ca="1">IF(COUNTIF($K1072:$T1072, "&lt;&gt;FALSE") - COUNTBLANK($K1072:$T1072) &gt; 0, INDEX($K1072:$T1072, MATCH(TRUE, $K1072:$T1072 &lt;&gt; FALSE, 0)))</f>
        <v>0</v>
      </c>
      <c r="K1072" s="712" t="b">
        <f ca="1">IF(AND('Start here'!$C$26=RefData!$B$9, $E1072&lt;&gt;""), ErrorMsgs!$B1072)</f>
        <v>0</v>
      </c>
      <c r="L1072" s="712" t="b">
        <f ca="1">IF(AND('Start here'!$C$23=RefData!$B$17,'Reconciliation report'!$E1072&lt;&gt;""),ErrorMsgs!$C1072)</f>
        <v>0</v>
      </c>
      <c r="M1072" s="714" t="b">
        <f ca="1">IF(AND('Invest journey plan-risk level'!$C$13=RefData!$B$74,'Reconciliation report'!E1072&lt;&gt;""),ErrorMsgs!$D1072)</f>
        <v>0</v>
      </c>
      <c r="N1072" s="714" t="b">
        <f ca="1">IF(AND(NOT('Invest journey plan-risk level'!$C$14=RefData!$B$78),'Invest journey plan-risk level'!$C$14&lt;&gt;"",'Reconciliation report'!E1072=""),ErrorMsgs!$E1072)</f>
        <v>0</v>
      </c>
      <c r="O1072" s="712" t="b">
        <f ca="1">IF($E1072="",FALSE,IF(AND('Start here'!$C$26&lt;&gt;RefData!$B$9,OR(ISNA(MATCH($E1072,RefData!$B$79:$B$80,0)),$E1072="")),ErrorMsgs!$F1072))</f>
        <v>0</v>
      </c>
      <c r="P1072" s="712"/>
      <c r="Q1072" s="712"/>
      <c r="R1072" s="712"/>
      <c r="S1072" s="712"/>
      <c r="T1072" s="712"/>
      <c r="U1072" s="526" t="str">
        <f t="shared" ca="1" si="142"/>
        <v/>
      </c>
      <c r="V1072" s="93" t="str" cm="1">
        <f t="array" aca="1" ref="V1072" ca="1">CELL("format",INDIRECT(I1072))</f>
        <v>G</v>
      </c>
      <c r="W1072" s="93" t="b">
        <f t="shared" ca="1" si="143"/>
        <v>0</v>
      </c>
      <c r="X1072" s="715" t="str">
        <f t="shared" ca="1" si="141"/>
        <v/>
      </c>
      <c r="Y1072" t="b">
        <f t="shared" ca="1" si="144"/>
        <v>1</v>
      </c>
    </row>
    <row r="1073" spans="1:25" ht="62">
      <c r="A1073" s="705" t="s">
        <v>3719</v>
      </c>
      <c r="B1073" s="716" t="str">
        <f t="shared" ca="1" si="149"/>
        <v>Invest journey plan-risk level - C17</v>
      </c>
      <c r="C1073" s="707" t="str" cm="1">
        <f t="array" aca="1" ref="C1073" ca="1">INDIRECT(LEFT(I1073, FIND("!", I1073)) &amp; RefData!$C$426 &amp; RIGHT(I1073, LEN(I1073) - FIND("!", I1073) - 1))</f>
        <v xml:space="preserve">
What is the scheme's intended interest rate hedging as a proportion of liabilities at the relevant date? (%)
</v>
      </c>
      <c r="D1073" s="92" t="str">
        <f t="shared" ca="1" si="148"/>
        <v/>
      </c>
      <c r="E1073" s="708" t="str" cm="1">
        <f t="array" aca="1" ref="E1073" ca="1">IF(INDIRECT($I1073)= "", "", INDIRECT($I1073))</f>
        <v/>
      </c>
      <c r="F1073" s="709" t="str" cm="1">
        <f t="array" aca="1" ref="F1073" ca="1">INDIRECT(LEFT(I1073, FIND("!", I1073)) &amp; RefData!$C$427 &amp; RIGHT(I1073, LEN(I1073) - FIND("!", I1073) - 1))</f>
        <v>IJP 8.0</v>
      </c>
      <c r="G1073" s="710" t="b">
        <f ca="1">IF(ISNUMBER(SEARCH(RefData!$B$2, $C1073)), FALSE, TRUE)</f>
        <v>1</v>
      </c>
      <c r="H1073" s="107">
        <f>'Invest journey plan-risk level'!C17</f>
        <v>0</v>
      </c>
      <c r="I1073" s="712" t="str">
        <f t="shared" ca="1" si="150"/>
        <v>'Invest journey plan-risk level'!C17</v>
      </c>
      <c r="J1073" s="713" t="b" cm="1">
        <f t="array" aca="1" ref="J1073" ca="1">IF(COUNTIF($K1073:$T1073, "&lt;&gt;FALSE") - COUNTBLANK($K1073:$T1073) &gt; 0, INDEX($K1073:$T1073, MATCH(TRUE, $K1073:$T1073 &lt;&gt; FALSE, 0)))</f>
        <v>0</v>
      </c>
      <c r="K1073" s="712" t="b">
        <f ca="1">IF(AND('Start here'!$C$26=RefData!$B$9, $E1073&lt;&gt;""), ErrorMsgs!$B1073)</f>
        <v>0</v>
      </c>
      <c r="L1073" s="712" t="b">
        <f ca="1">IF(AND('Start here'!$C$23=RefData!$B$17,'Reconciliation report'!$E1073&lt;&gt;""),ErrorMsgs!$C1073)</f>
        <v>0</v>
      </c>
      <c r="M1073" s="714" t="b">
        <f ca="1">IF(AND('Invest journey plan-risk level'!$C$13=RefData!$B$74,'Reconciliation report'!E1073&lt;&gt;""),ErrorMsgs!$D1073)</f>
        <v>0</v>
      </c>
      <c r="N1073" s="714" t="b">
        <f ca="1">IF(AND(('Invest journey plan-risk level'!$C$13=RefData!$B$73),'Reconciliation report'!E1073=""),ErrorMsgs!$E1073)</f>
        <v>0</v>
      </c>
      <c r="O1073" s="712" t="b">
        <f ca="1">IF($E1073="",FALSE,IF($E1073&lt;0,ErrorMsgs!F1073))</f>
        <v>0</v>
      </c>
      <c r="P1073" s="712"/>
      <c r="Q1073" s="712"/>
      <c r="R1073" s="712"/>
      <c r="S1073" s="712"/>
      <c r="T1073" s="712"/>
      <c r="U1073" s="526" t="str">
        <f t="shared" ca="1" si="142"/>
        <v/>
      </c>
      <c r="V1073" s="93" t="str" cm="1">
        <f t="array" aca="1" ref="V1073" ca="1">CELL("format",INDIRECT(I1073))</f>
        <v>P4</v>
      </c>
      <c r="W1073" s="93" t="b">
        <f t="shared" ca="1" si="143"/>
        <v>0</v>
      </c>
      <c r="X1073" s="715" t="str">
        <f t="shared" ca="1" si="141"/>
        <v/>
      </c>
      <c r="Y1073" t="b">
        <f t="shared" ca="1" si="144"/>
        <v>1</v>
      </c>
    </row>
    <row r="1074" spans="1:25" ht="62">
      <c r="A1074" s="705" t="s">
        <v>3720</v>
      </c>
      <c r="B1074" s="716" t="str">
        <f t="shared" ca="1" si="149"/>
        <v>Invest journey plan-risk level - C18</v>
      </c>
      <c r="C1074" s="707" t="str" cm="1">
        <f t="array" aca="1" ref="C1074" ca="1">INDIRECT(LEFT(I1074, FIND("!", I1074)) &amp; RefData!$C$426 &amp; RIGHT(I1074, LEN(I1074) - FIND("!", I1074) - 1))</f>
        <v xml:space="preserve">
What is the scheme's intended inflation hedging as a proportion of liabilities at the relevant date? (%)
</v>
      </c>
      <c r="D1074" s="92" t="str">
        <f t="shared" ca="1" si="148"/>
        <v/>
      </c>
      <c r="E1074" s="708" t="str" cm="1">
        <f t="array" aca="1" ref="E1074" ca="1">IF(INDIRECT($I1074)= "", "", INDIRECT($I1074))</f>
        <v/>
      </c>
      <c r="F1074" s="709" t="str" cm="1">
        <f t="array" aca="1" ref="F1074" ca="1">INDIRECT(LEFT(I1074, FIND("!", I1074)) &amp; RefData!$C$427 &amp; RIGHT(I1074, LEN(I1074) - FIND("!", I1074) - 1))</f>
        <v>IJP 9.0</v>
      </c>
      <c r="G1074" s="710" t="b">
        <f ca="1">IF(ISNUMBER(SEARCH(RefData!$B$2, $C1074)), FALSE, TRUE)</f>
        <v>1</v>
      </c>
      <c r="H1074" s="107">
        <f>'Invest journey plan-risk level'!C18</f>
        <v>0</v>
      </c>
      <c r="I1074" s="712" t="str">
        <f t="shared" ca="1" si="150"/>
        <v>'Invest journey plan-risk level'!C18</v>
      </c>
      <c r="J1074" s="713" t="b" cm="1">
        <f t="array" aca="1" ref="J1074" ca="1">IF(COUNTIF($K1074:$T1074, "&lt;&gt;FALSE") - COUNTBLANK($K1074:$T1074) &gt; 0, INDEX($K1074:$T1074, MATCH(TRUE, $K1074:$T1074 &lt;&gt; FALSE, 0)))</f>
        <v>0</v>
      </c>
      <c r="K1074" s="712" t="b">
        <f ca="1">IF(AND('Start here'!$C$26=RefData!$B$9, $E1074&lt;&gt;""), ErrorMsgs!$B1074)</f>
        <v>0</v>
      </c>
      <c r="L1074" s="712" t="b">
        <f ca="1">IF(AND('Start here'!$C$23=RefData!$B$17,'Reconciliation report'!$E1074&lt;&gt;""),ErrorMsgs!$C1074)</f>
        <v>0</v>
      </c>
      <c r="M1074" s="714" t="b">
        <f ca="1">IF(AND('Invest journey plan-risk level'!$C$13=RefData!$B$74,'Reconciliation report'!E1074&lt;&gt;""),ErrorMsgs!$D1074)</f>
        <v>0</v>
      </c>
      <c r="N1074" s="714" t="b">
        <f ca="1">IF(AND(('Invest journey plan-risk level'!$C$13=RefData!$B$73),'Reconciliation report'!E1074=""),ErrorMsgs!$E1074)</f>
        <v>0</v>
      </c>
      <c r="O1074" s="712" t="b">
        <f ca="1">IF($E1074="",FALSE,IF($E1074&lt;0,ErrorMsgs!$F1074))</f>
        <v>0</v>
      </c>
      <c r="P1074" s="712"/>
      <c r="Q1074" s="712"/>
      <c r="R1074" s="712"/>
      <c r="S1074" s="712"/>
      <c r="T1074" s="712"/>
      <c r="U1074" s="526" t="str">
        <f t="shared" ca="1" si="142"/>
        <v/>
      </c>
      <c r="V1074" s="93" t="str" cm="1">
        <f t="array" aca="1" ref="V1074" ca="1">CELL("format",INDIRECT(I1074))</f>
        <v>P4</v>
      </c>
      <c r="W1074" s="93" t="b">
        <f t="shared" ca="1" si="143"/>
        <v>0</v>
      </c>
      <c r="X1074" s="715" t="str">
        <f t="shared" ca="1" si="141"/>
        <v/>
      </c>
      <c r="Y1074" t="b">
        <f t="shared" ca="1" si="144"/>
        <v>1</v>
      </c>
    </row>
    <row r="1075" spans="1:25" ht="66" customHeight="1">
      <c r="A1075" s="705" t="s">
        <v>3721</v>
      </c>
      <c r="B1075" s="716" t="str">
        <f t="shared" ca="1" si="149"/>
        <v>Invest journey plan-risk level - C19</v>
      </c>
      <c r="C1075" s="707" t="str" cm="1">
        <f t="array" aca="1" ref="C1075" ca="1">INDIRECT(LEFT(I1075, FIND("!", I1075)) &amp; RefData!$C$426 &amp; RIGHT(I1075, LEN(I1075) - FIND("!", I1075) - 1))</f>
        <v xml:space="preserve">
How do the trustees intend to achieve the objective that the assets underpinning the minimum funding level are invested in accordance with a low dependency investment allocation on and after the relevant date?
</v>
      </c>
      <c r="D1075" s="92" t="str">
        <f t="shared" ca="1" si="148"/>
        <v/>
      </c>
      <c r="E1075" s="708" t="str" cm="1">
        <f t="array" aca="1" ref="E1075" ca="1">IF(INDIRECT($I1075)= "", "", INDIRECT($I1075))</f>
        <v/>
      </c>
      <c r="F1075" s="709" t="str" cm="1">
        <f t="array" aca="1" ref="F1075" ca="1">INDIRECT(LEFT(I1075, FIND("!", I1075)) &amp; RefData!$C$427 &amp; RIGHT(I1075, LEN(I1075) - FIND("!", I1075) - 1))</f>
        <v>IJP 10.0</v>
      </c>
      <c r="G1075" s="710" t="b">
        <f ca="1">IF(ISNUMBER(SEARCH(RefData!$B$2, $C1075)), FALSE, TRUE)</f>
        <v>1</v>
      </c>
      <c r="H1075" s="113">
        <f>'Invest journey plan-risk level'!C19</f>
        <v>0</v>
      </c>
      <c r="I1075" s="712" t="str">
        <f t="shared" ca="1" si="150"/>
        <v>'Invest journey plan-risk level'!C19</v>
      </c>
      <c r="J1075" s="713" t="b" cm="1">
        <f t="array" aca="1" ref="J1075" ca="1">IF(COUNTIF($K1075:$T1075, "&lt;&gt;FALSE") - COUNTBLANK($K1075:$T1075) &gt; 0, INDEX($K1075:$T1075, MATCH(TRUE, $K1075:$T1075 &lt;&gt; FALSE, 0)))</f>
        <v>0</v>
      </c>
      <c r="K1075" s="712" t="b">
        <f ca="1">IF(AND('Start here'!$C$26=RefData!$B$9, $E1075&lt;&gt;""), ErrorMsgs!$B1075)</f>
        <v>0</v>
      </c>
      <c r="L1075" s="712" t="b">
        <f ca="1">IF(AND('Start here'!$C$23=RefData!$B$17,'Reconciliation report'!$E1075&lt;&gt;""),ErrorMsgs!$C1075)</f>
        <v>0</v>
      </c>
      <c r="M1075" s="714" t="b">
        <f ca="1">IF(AND('Start here'!$C$26=RefData!$B$10,'Start here'!$C$23=RefData!$B$18,'Reconciliation report'!E1075=""),ErrorMsgs!$D1075)</f>
        <v>0</v>
      </c>
      <c r="N1075" s="714" t="b">
        <f ca="1">IF(LEN($E1075)&gt;4000,ErrorMsgs!$E1075)</f>
        <v>0</v>
      </c>
      <c r="O1075" s="712"/>
      <c r="P1075" s="712"/>
      <c r="Q1075" s="712"/>
      <c r="R1075" s="712"/>
      <c r="S1075" s="712"/>
      <c r="T1075" s="712"/>
      <c r="U1075" s="526" t="str">
        <f t="shared" ca="1" si="142"/>
        <v/>
      </c>
      <c r="V1075" s="93" t="str" cm="1">
        <f t="array" aca="1" ref="V1075" ca="1">CELL("format",INDIRECT(I1075))</f>
        <v>G</v>
      </c>
      <c r="W1075" s="93" t="b">
        <f t="shared" ca="1" si="143"/>
        <v>0</v>
      </c>
      <c r="X1075" s="715" t="str">
        <f t="shared" ca="1" si="141"/>
        <v/>
      </c>
      <c r="Y1075" t="b">
        <f t="shared" ca="1" si="144"/>
        <v>1</v>
      </c>
    </row>
    <row r="1076" spans="1:25" ht="108.5">
      <c r="A1076" s="705" t="s">
        <v>3722</v>
      </c>
      <c r="B1076" s="716" t="str">
        <f t="shared" ca="1" si="149"/>
        <v>Invest journey plan-risk level - C23</v>
      </c>
      <c r="C1076" s="707" t="str" cm="1">
        <f t="array" aca="1" ref="C1076" ca="1">INDIRECT(LEFT(I1076, FIND("!", I1076)) &amp; RefData!$C$426 &amp; RIGHT(I1076, LEN(I1076) - FIND("!", I1076) - 1))</f>
        <v xml:space="preserve">
How has the level of investment risk at the relevant date been determined?
</v>
      </c>
      <c r="D1076" s="92" t="str">
        <f t="shared" ca="1" si="148"/>
        <v xml:space="preserve">
You must select one of the following options from the drop down list:
• TPR Fast Track stress test
• Value at Risk (VAR)
• Conditional Value at Risk (CVAR)
• Other
</v>
      </c>
      <c r="E1076" s="708" t="str" cm="1">
        <f t="array" aca="1" ref="E1076" ca="1">IF(INDIRECT($I1076)= "", "", INDIRECT($I1076))</f>
        <v/>
      </c>
      <c r="F1076" s="709" t="str" cm="1">
        <f t="array" aca="1" ref="F1076" ca="1">INDIRECT(LEFT(I1076, FIND("!", I1076)) &amp; RefData!$C$427 &amp; RIGHT(I1076, LEN(I1076) - FIND("!", I1076) - 1))</f>
        <v>IJP 11.0</v>
      </c>
      <c r="G1076" s="710" t="b">
        <f ca="1">IF(ISNUMBER(SEARCH(RefData!$B$2, $C1076)), FALSE, TRUE)</f>
        <v>1</v>
      </c>
      <c r="H1076" s="740">
        <f>'Invest journey plan-risk level'!C23</f>
        <v>0</v>
      </c>
      <c r="I1076" s="712" t="str">
        <f t="shared" ca="1" si="150"/>
        <v>'Invest journey plan-risk level'!C23</v>
      </c>
      <c r="J1076" s="713" t="str" cm="1">
        <f t="array" aca="1" ref="J1076" ca="1">IF(COUNTIF($K1076:$T1076, "&lt;&gt;FALSE") - COUNTBLANK($K1076:$T1076) &gt; 0, INDEX($K1076:$T1076, MATCH(TRUE, $K1076:$T1076 &lt;&gt; FALSE, 0)))</f>
        <v xml:space="preserve">
You must select one of the following options from the drop down list:
• TPR Fast Track stress test
• Value at Risk (VAR)
• Conditional Value at Risk (CVAR)
• Other
</v>
      </c>
      <c r="K1076" s="712" t="b">
        <f ca="1">IF(AND('Start here'!$C$26=RefData!$B$9, $E1076&lt;&gt;""), ErrorMsgs!$B1076)</f>
        <v>0</v>
      </c>
      <c r="L1076" s="712" t="b">
        <f ca="1">IF(AND('Start here'!$C$23=RefData!$B$17,'Reconciliation report'!$E1076&lt;&gt;""),ErrorMsgs!$C1076)</f>
        <v>0</v>
      </c>
      <c r="M1076" s="714" t="b">
        <f ca="1">IF(AND('Start here'!$C$26=RefData!$B$10,'Start here'!$C$23=RefData!$B$18,'Reconciliation report'!E1076=""),ErrorMsgs!$D1076)</f>
        <v>0</v>
      </c>
      <c r="N1076" s="714" t="str">
        <f ca="1">IF(AND('Start here'!$C$26&lt;&gt;RefData!$B$9,'Start here'!$C$23&lt;&gt;RefData!$B$17,OR(ISNA(MATCH($E1076,RefData!$B$89:$B$92, 0)),  $E1076="")),ErrorMsgs!$E1076)</f>
        <v xml:space="preserve">
You must select one of the following options from the drop down list:
• TPR Fast Track stress test
• Value at Risk (VAR)
• Conditional Value at Risk (CVAR)
• Other
</v>
      </c>
      <c r="O1076" s="712"/>
      <c r="P1076" s="712"/>
      <c r="Q1076" s="712"/>
      <c r="R1076" s="712"/>
      <c r="S1076" s="712"/>
      <c r="T1076" s="712"/>
      <c r="U1076" s="526" t="str">
        <f t="shared" ca="1" si="142"/>
        <v/>
      </c>
      <c r="V1076" s="93" t="str" cm="1">
        <f t="array" aca="1" ref="V1076" ca="1">CELL("format",INDIRECT(I1076))</f>
        <v>G</v>
      </c>
      <c r="W1076" s="93" t="b">
        <f t="shared" ca="1" si="143"/>
        <v>0</v>
      </c>
      <c r="X1076" s="715" t="str">
        <f t="shared" ca="1" si="141"/>
        <v/>
      </c>
      <c r="Y1076" t="b">
        <f t="shared" ca="1" si="144"/>
        <v>1</v>
      </c>
    </row>
    <row r="1077" spans="1:25" ht="77.5">
      <c r="A1077" s="705" t="s">
        <v>3723</v>
      </c>
      <c r="B1077" s="716" t="str">
        <f t="shared" ca="1" si="149"/>
        <v>Invest journey plan-risk level - C24</v>
      </c>
      <c r="C1077" s="707" t="str" cm="1">
        <f t="array" aca="1" ref="C1077" ca="1">INDIRECT(LEFT(I1077, FIND("!", I1077)) &amp; RefData!$C$426 &amp; RIGHT(I1077, LEN(I1077) - FIND("!", I1077) - 1))</f>
        <v xml:space="preserve">No answer required
Explain how the level of risk at the relevant date has been determined.
</v>
      </c>
      <c r="D1077" s="92" t="str">
        <f t="shared" ca="1" si="148"/>
        <v/>
      </c>
      <c r="E1077" s="708" t="str" cm="1">
        <f t="array" aca="1" ref="E1077" ca="1">IF(INDIRECT($I1077)= "", "", INDIRECT($I1077))</f>
        <v/>
      </c>
      <c r="F1077" s="709" t="str" cm="1">
        <f t="array" aca="1" ref="F1077" ca="1">INDIRECT(LEFT(I1077, FIND("!", I1077)) &amp; RefData!$C$427 &amp; RIGHT(I1077, LEN(I1077) - FIND("!", I1077) - 1))</f>
        <v>IJP 12.0</v>
      </c>
      <c r="G1077" s="710" t="b">
        <f ca="1">IF(ISNUMBER(SEARCH(RefData!$B$2, $C1077)), FALSE, TRUE)</f>
        <v>0</v>
      </c>
      <c r="H1077" s="113">
        <f>'Invest journey plan-risk level'!C24</f>
        <v>0</v>
      </c>
      <c r="I1077" s="712" t="str">
        <f t="shared" ca="1" si="150"/>
        <v>'Invest journey plan-risk level'!C24</v>
      </c>
      <c r="J1077" s="713" t="b" cm="1">
        <f t="array" aca="1" ref="J1077" ca="1">IF(COUNTIF($K1077:$T1077, "&lt;&gt;FALSE") - COUNTBLANK($K1077:$T1077) &gt; 0, INDEX($K1077:$T1077, MATCH(TRUE, $K1077:$T1077 &lt;&gt; FALSE, 0)))</f>
        <v>0</v>
      </c>
      <c r="K1077" s="712" t="b">
        <f ca="1">IF(AND('Start here'!$C$26=RefData!$B$9, $E1077&lt;&gt;""), ErrorMsgs!$B1077)</f>
        <v>0</v>
      </c>
      <c r="L1077" s="712" t="b">
        <f ca="1">IF(AND('Start here'!$C$23=RefData!$B$17,'Reconciliation report'!$E1077&lt;&gt;""),ErrorMsgs!$C1077)</f>
        <v>0</v>
      </c>
      <c r="M1077" s="714" t="b">
        <f ca="1">IF(AND(NOT('Invest journey plan-risk level'!$C$23=RefData!$B$92),'Reconciliation report'!$E1077&lt;&gt;""),ErrorMsgs!$D1077)</f>
        <v>0</v>
      </c>
      <c r="N1077" s="714" t="b">
        <f ca="1">IF(AND('Invest journey plan-risk level'!$C$23=RefData!$B$92,'Reconciliation report'!$E1077=""),ErrorMsgs!$E1077)</f>
        <v>0</v>
      </c>
      <c r="O1077" s="712" t="b">
        <f ca="1">IF(LEN($E1077)&gt;4000,ErrorMsgs!$F1077)</f>
        <v>0</v>
      </c>
      <c r="P1077" s="712"/>
      <c r="Q1077" s="712"/>
      <c r="R1077" s="712"/>
      <c r="S1077" s="712"/>
      <c r="T1077" s="712"/>
      <c r="U1077" s="526" t="str">
        <f t="shared" ca="1" si="142"/>
        <v/>
      </c>
      <c r="V1077" s="93" t="str" cm="1">
        <f t="array" aca="1" ref="V1077" ca="1">CELL("format",INDIRECT(I1077))</f>
        <v>G</v>
      </c>
      <c r="W1077" s="93" t="b">
        <f t="shared" ca="1" si="143"/>
        <v>0</v>
      </c>
      <c r="X1077" s="715" t="str">
        <f t="shared" ca="1" si="141"/>
        <v/>
      </c>
      <c r="Y1077" t="b">
        <f t="shared" ca="1" si="144"/>
        <v>1</v>
      </c>
    </row>
    <row r="1078" spans="1:25" ht="77.5">
      <c r="A1078" s="705" t="s">
        <v>3724</v>
      </c>
      <c r="B1078" s="716" t="str">
        <f t="shared" ca="1" si="149"/>
        <v>Invest journey plan-risk level - C25</v>
      </c>
      <c r="C1078" s="707" t="str" cm="1">
        <f t="array" aca="1" ref="C1078" ca="1">INDIRECT(LEFT(I1078, FIND("!", I1078)) &amp; RefData!$C$426 &amp; RIGHT(I1078, LEN(I1078) - FIND("!", I1078) - 1))</f>
        <v xml:space="preserve">
Has the investment risk calculation at the relevant date been based on liabilities and assets or assets only?
</v>
      </c>
      <c r="D1078" s="92" t="str">
        <f t="shared" ca="1" si="148"/>
        <v xml:space="preserve">
You must select one of the following options from the drop down list:
• Liabilities and assets
• Assets only
</v>
      </c>
      <c r="E1078" s="708" t="str" cm="1">
        <f t="array" aca="1" ref="E1078" ca="1">IF(INDIRECT($I1078)= "", "", INDIRECT($I1078))</f>
        <v/>
      </c>
      <c r="F1078" s="709" t="str" cm="1">
        <f t="array" aca="1" ref="F1078" ca="1">INDIRECT(LEFT(I1078, FIND("!", I1078)) &amp; RefData!$C$427 &amp; RIGHT(I1078, LEN(I1078) - FIND("!", I1078) - 1))</f>
        <v>IJP 13.0</v>
      </c>
      <c r="G1078" s="710" t="b">
        <f ca="1">IF(ISNUMBER(SEARCH(RefData!$B$2, $C1078)), FALSE, TRUE)</f>
        <v>1</v>
      </c>
      <c r="H1078" s="113">
        <f>'Invest journey plan-risk level'!C25</f>
        <v>0</v>
      </c>
      <c r="I1078" s="712" t="str">
        <f t="shared" ca="1" si="150"/>
        <v>'Invest journey plan-risk level'!C25</v>
      </c>
      <c r="J1078" s="713" t="str" cm="1">
        <f t="array" aca="1" ref="J1078" ca="1">IF(COUNTIF($K1078:$T1078, "&lt;&gt;FALSE") - COUNTBLANK($K1078:$T1078) &gt; 0, INDEX($K1078:$T1078, MATCH(TRUE, $K1078:$T1078 &lt;&gt; FALSE, 0)))</f>
        <v xml:space="preserve">
You must select one of the following options from the drop down list:
• Liabilities and assets
• Assets only
</v>
      </c>
      <c r="K1078" s="712" t="b">
        <f ca="1">IF(AND('Start here'!$C$26=RefData!$B$9, $E1078&lt;&gt;""), ErrorMsgs!$B1078)</f>
        <v>0</v>
      </c>
      <c r="L1078" s="712" t="b">
        <f ca="1">IF(AND('Start here'!$C$23=RefData!$B$17,'Reconciliation report'!$E1078&lt;&gt;""),ErrorMsgs!$C1078)</f>
        <v>0</v>
      </c>
      <c r="M1078" s="714" t="b">
        <f ca="1">IF(AND(E1078&lt;&gt;"",OR($E$1076=RefData!$B$89,$E$1076=RefData!$B$92)),ErrorMsgs!$D1078)</f>
        <v>0</v>
      </c>
      <c r="N1078" s="714" t="b">
        <f ca="1">IF(AND(E1078="",OR($E$1076=RefData!$B$90,$E$1076=RefData!$B$91)),ErrorMsgs!$E1078)</f>
        <v>0</v>
      </c>
      <c r="O1078" s="712" t="str">
        <f ca="1">IF(
    AND(
        'Start here'!$C$26 &lt;&gt; RefData!$B$9,
        'Start here'!$C$23 &lt;&gt; RefData!$B$17,
        OR(
            ISNA(MATCH($E1078, RefData!$B$93:$B$94, 0)),
            $E1078 = ""
        ),
        $E$1076 &lt;&gt; RefData!$B$89,
        $E$1076 &lt;&gt; RefData!$B$92
    ),
    ErrorMsgs!$F1078
)</f>
        <v xml:space="preserve">
You must select one of the following options from the drop down list:
• Liabilities and assets
• Assets only
</v>
      </c>
      <c r="P1078" s="712"/>
      <c r="Q1078" s="712"/>
      <c r="R1078" s="712"/>
      <c r="S1078" s="712"/>
      <c r="T1078" s="712"/>
      <c r="U1078" s="526" t="str">
        <f t="shared" ca="1" si="142"/>
        <v/>
      </c>
      <c r="V1078" s="93" t="str" cm="1">
        <f t="array" aca="1" ref="V1078" ca="1">CELL("format",INDIRECT(I1078))</f>
        <v>G</v>
      </c>
      <c r="W1078" s="93" t="b">
        <f t="shared" ca="1" si="143"/>
        <v>0</v>
      </c>
      <c r="X1078" s="715" t="str">
        <f t="shared" ca="1" si="141"/>
        <v/>
      </c>
      <c r="Y1078" t="b">
        <f t="shared" ca="1" si="144"/>
        <v>1</v>
      </c>
    </row>
    <row r="1079" spans="1:25" ht="124">
      <c r="A1079" s="705" t="s">
        <v>3725</v>
      </c>
      <c r="B1079" s="716" t="str">
        <f t="shared" ca="1" si="149"/>
        <v>Invest journey plan-risk level - C26</v>
      </c>
      <c r="C1079" s="707" t="str" cm="1">
        <f t="array" aca="1" ref="C1079" ca="1">INDIRECT(LEFT(I1079, FIND("!", I1079)) &amp; RefData!$C$426 &amp; RIGHT(I1079, LEN(I1079) - FIND("!", I1079) - 1))</f>
        <v xml:space="preserve">
What liability basis has been used?
</v>
      </c>
      <c r="D1079" s="92" t="str">
        <f t="shared" ca="1" si="148"/>
        <v xml:space="preserve">
Select one of the following options from the drop down list:
• Technical provisions
• Low dependency funding
• Gilts/ Margin over gilts
• Swaps/ Margin over swaps
• Other
</v>
      </c>
      <c r="E1079" s="708" t="str" cm="1">
        <f t="array" aca="1" ref="E1079" ca="1">IF(INDIRECT($I1079)= "", "", INDIRECT($I1079))</f>
        <v/>
      </c>
      <c r="F1079" s="709" t="str" cm="1">
        <f t="array" aca="1" ref="F1079" ca="1">INDIRECT(LEFT(I1079, FIND("!", I1079)) &amp; RefData!$C$427 &amp; RIGHT(I1079, LEN(I1079) - FIND("!", I1079) - 1))</f>
        <v>IJP 14.0</v>
      </c>
      <c r="G1079" s="710" t="b">
        <f ca="1">IF(ISNUMBER(SEARCH(RefData!$B$2, $C1079)), FALSE, TRUE)</f>
        <v>1</v>
      </c>
      <c r="H1079" s="113">
        <f>'Invest journey plan-risk level'!C26</f>
        <v>0</v>
      </c>
      <c r="I1079" s="712" t="str">
        <f t="shared" ca="1" si="150"/>
        <v>'Invest journey plan-risk level'!C26</v>
      </c>
      <c r="J1079" s="713" t="str" cm="1">
        <f t="array" aca="1" ref="J1079" ca="1">IF(COUNTIF($K1079:$T1079, "&lt;&gt;FALSE") - COUNTBLANK($K1079:$T1079) &gt; 0, INDEX($K1079:$T1079, MATCH(TRUE, $K1079:$T1079 &lt;&gt; FALSE, 0)))</f>
        <v xml:space="preserve">
Select one of the following options from the drop down list:
• Technical provisions
• Low dependency funding
• Gilts/ Margin over gilts
• Swaps/ Margin over swaps
• Other
</v>
      </c>
      <c r="K1079" s="712" t="b">
        <f ca="1">IF(AND('Start here'!$C$26=RefData!$B$9, $E1079&lt;&gt;""), ErrorMsgs!$B1079)</f>
        <v>0</v>
      </c>
      <c r="L1079" s="712" t="b">
        <f ca="1">IF(AND('Start here'!$C$23=RefData!$B$17,'Reconciliation report'!$E1079&lt;&gt;""),ErrorMsgs!$C1079)</f>
        <v>0</v>
      </c>
      <c r="M1079" s="714" t="b">
        <f ca="1">IF(AND(E1079&lt;&gt;"",OR($E$1076=RefData!$B$89,$E$1076=RefData!$B$92)),ErrorMsgs!$D1079)</f>
        <v>0</v>
      </c>
      <c r="N1079" s="714" t="b">
        <f ca="1">IF(AND(E1079&lt;&gt;"",$E$1078=RefData!$B$94),ErrorMsgs!$E1079)</f>
        <v>0</v>
      </c>
      <c r="O1079" s="712" t="b">
        <f ca="1">IF(AND(E1079="",$E$1078=RefData!$B$93),ErrorMsgs!$F1079)</f>
        <v>0</v>
      </c>
      <c r="P1079" s="712" t="str">
        <f ca="1">IF(AND(NOT(ISNUMBER(SEARCH(RefData!$B$2, $C1079))),
    OR(
        ISNA(MATCH($E1079, RefData!$B$95:$B$99, 0)),
        $E1079 = ""
    )),
    ErrorMsgs!$G1079
)</f>
        <v xml:space="preserve">
Select one of the following options from the drop down list:
• Technical provisions
• Low dependency funding
• Gilts/ Margin over gilts
• Swaps/ Margin over swaps
• Other
</v>
      </c>
      <c r="Q1079" s="712"/>
      <c r="R1079" s="712"/>
      <c r="S1079" s="712"/>
      <c r="T1079" s="712"/>
      <c r="U1079" s="526" t="str">
        <f t="shared" ca="1" si="142"/>
        <v/>
      </c>
      <c r="V1079" s="93" t="str" cm="1">
        <f t="array" aca="1" ref="V1079" ca="1">CELL("format",INDIRECT(I1079))</f>
        <v>G</v>
      </c>
      <c r="W1079" s="93" t="b">
        <f t="shared" ca="1" si="143"/>
        <v>0</v>
      </c>
      <c r="X1079" s="715" t="str">
        <f t="shared" ca="1" si="141"/>
        <v/>
      </c>
      <c r="Y1079" t="b">
        <f t="shared" ca="1" si="144"/>
        <v>1</v>
      </c>
    </row>
    <row r="1080" spans="1:25" ht="62">
      <c r="A1080" s="705" t="s">
        <v>3726</v>
      </c>
      <c r="B1080" s="716" t="str">
        <f t="shared" ca="1" si="149"/>
        <v>Invest journey plan-risk level - C27</v>
      </c>
      <c r="C1080" s="707" t="str" cm="1">
        <f t="array" aca="1" ref="C1080" ca="1">INDIRECT(LEFT(I1080, FIND("!", I1080)) &amp; RefData!$C$426 &amp; RIGHT(I1080, LEN(I1080) - FIND("!", I1080) - 1))</f>
        <v xml:space="preserve">No answer required
What margin over gilts has been used? (%)
</v>
      </c>
      <c r="D1080" s="92" t="str">
        <f t="shared" ca="1" si="148"/>
        <v/>
      </c>
      <c r="E1080" s="708" t="str" cm="1">
        <f t="array" aca="1" ref="E1080" ca="1">IF(INDIRECT($I1080)= "", "", INDIRECT($I1080))</f>
        <v/>
      </c>
      <c r="F1080" s="709" t="str" cm="1">
        <f t="array" aca="1" ref="F1080" ca="1">INDIRECT(LEFT(I1080, FIND("!", I1080)) &amp; RefData!$C$427 &amp; RIGHT(I1080, LEN(I1080) - FIND("!", I1080) - 1))</f>
        <v>IJP 15.0</v>
      </c>
      <c r="G1080" s="710" t="b">
        <f ca="1">IF(ISNUMBER(SEARCH(RefData!$B$2, $C1080)), FALSE, TRUE)</f>
        <v>0</v>
      </c>
      <c r="H1080" s="107">
        <f>'Invest journey plan-risk level'!C27</f>
        <v>0</v>
      </c>
      <c r="I1080" s="712" t="str">
        <f t="shared" ca="1" si="150"/>
        <v>'Invest journey plan-risk level'!C27</v>
      </c>
      <c r="J1080" s="713" t="b" cm="1">
        <f t="array" aca="1" ref="J1080" ca="1">IF(COUNTIF($K1080:$T1080, "&lt;&gt;FALSE") - COUNTBLANK($K1080:$T1080) &gt; 0, INDEX($K1080:$T1080, MATCH(TRUE, $K1080:$T1080 &lt;&gt; FALSE, 0)))</f>
        <v>0</v>
      </c>
      <c r="K1080" s="712" t="b">
        <f ca="1">IF(AND('Start here'!$C$26=RefData!$B$9, $E1080&lt;&gt;""), ErrorMsgs!$B1080)</f>
        <v>0</v>
      </c>
      <c r="L1080" s="712" t="b">
        <f ca="1">IF(AND('Start here'!$C$23=RefData!$B$17,'Reconciliation report'!$E1080&lt;&gt;""),ErrorMsgs!$C1080)</f>
        <v>0</v>
      </c>
      <c r="M1080" s="714" t="b">
        <f ca="1">IF(AND(E1080&lt;&gt;"",OR($E$1076=RefData!$B$89,$E$1076=RefData!$B$92)),ErrorMsgs!$D1080)</f>
        <v>0</v>
      </c>
      <c r="N1080" s="714" t="b">
        <f ca="1">IF(AND(E1080&lt;&gt;"",$E$1078=RefData!$B$94),ErrorMsgs!$E1080)</f>
        <v>0</v>
      </c>
      <c r="O1080" s="712" t="b">
        <f ca="1">IF(AND(E1080&lt;&gt;"",NOT($E$1079=RefData!$B$97)),ErrorMsgs!$F1080)</f>
        <v>0</v>
      </c>
      <c r="P1080" s="712" t="b">
        <f ca="1">IF(AND(E1080="",$E$1079=RefData!$B$97),ErrorMsgs!$G1080)</f>
        <v>0</v>
      </c>
      <c r="Q1080" s="712" t="b">
        <f ca="1">IF(AND($E$1079=RefData!$B$97,OR($E1080&lt;-0.1,$E1080&gt;0.1)),ErrorMsgs!$H1080)</f>
        <v>0</v>
      </c>
      <c r="R1080" s="712"/>
      <c r="S1080" s="712"/>
      <c r="T1080" s="712"/>
      <c r="U1080" s="526" t="str">
        <f t="shared" ca="1" si="142"/>
        <v/>
      </c>
      <c r="V1080" s="93" t="str" cm="1">
        <f t="array" aca="1" ref="V1080" ca="1">CELL("format",INDIRECT(I1080))</f>
        <v>P4</v>
      </c>
      <c r="W1080" s="93" t="b">
        <f t="shared" ca="1" si="143"/>
        <v>0</v>
      </c>
      <c r="X1080" s="715" t="str">
        <f t="shared" ca="1" si="141"/>
        <v/>
      </c>
      <c r="Y1080" t="b">
        <f t="shared" ca="1" si="144"/>
        <v>1</v>
      </c>
    </row>
    <row r="1081" spans="1:25" ht="62">
      <c r="A1081" s="705" t="s">
        <v>3727</v>
      </c>
      <c r="B1081" s="716" t="str">
        <f t="shared" ca="1" si="149"/>
        <v>Invest journey plan-risk level - C28</v>
      </c>
      <c r="C1081" s="707" t="str" cm="1">
        <f t="array" aca="1" ref="C1081" ca="1">INDIRECT(LEFT(I1081, FIND("!", I1081)) &amp; RefData!$C$426 &amp; RIGHT(I1081, LEN(I1081) - FIND("!", I1081) - 1))</f>
        <v xml:space="preserve">No answer required
What margin over swaps has been used? (%)
</v>
      </c>
      <c r="D1081" s="92" t="str">
        <f t="shared" ca="1" si="148"/>
        <v/>
      </c>
      <c r="E1081" s="708" t="str" cm="1">
        <f t="array" aca="1" ref="E1081" ca="1">IF(INDIRECT($I1081)= "", "", INDIRECT($I1081))</f>
        <v/>
      </c>
      <c r="F1081" s="709" t="str" cm="1">
        <f t="array" aca="1" ref="F1081" ca="1">INDIRECT(LEFT(I1081, FIND("!", I1081)) &amp; RefData!$C$427 &amp; RIGHT(I1081, LEN(I1081) - FIND("!", I1081) - 1))</f>
        <v>IJP 16.0</v>
      </c>
      <c r="G1081" s="710" t="b">
        <f ca="1">IF(ISNUMBER(SEARCH(RefData!$B$2, $C1081)), FALSE, TRUE)</f>
        <v>0</v>
      </c>
      <c r="H1081" s="107">
        <f>'Invest journey plan-risk level'!C28</f>
        <v>0</v>
      </c>
      <c r="I1081" s="712" t="str">
        <f t="shared" ca="1" si="150"/>
        <v>'Invest journey plan-risk level'!C28</v>
      </c>
      <c r="J1081" s="713" t="b" cm="1">
        <f t="array" aca="1" ref="J1081" ca="1">IF(COUNTIF($K1081:$T1081, "&lt;&gt;FALSE") - COUNTBLANK($K1081:$T1081) &gt; 0, INDEX($K1081:$T1081, MATCH(TRUE, $K1081:$T1081 &lt;&gt; FALSE, 0)))</f>
        <v>0</v>
      </c>
      <c r="K1081" s="712" t="b">
        <f ca="1">IF(AND('Start here'!$C$26=RefData!$B$9, $E1081&lt;&gt;""), ErrorMsgs!$B1081)</f>
        <v>0</v>
      </c>
      <c r="L1081" s="712" t="b">
        <f ca="1">IF(AND('Start here'!$C$23=RefData!$B$17,'Reconciliation report'!$E1081&lt;&gt;""),ErrorMsgs!$C1081)</f>
        <v>0</v>
      </c>
      <c r="M1081" s="714" t="b">
        <f ca="1">IF(AND(E1081&lt;&gt;"",OR($E$1076=RefData!$B$89,$E$1076=RefData!$B$92)),ErrorMsgs!$D1081)</f>
        <v>0</v>
      </c>
      <c r="N1081" s="714" t="b">
        <f ca="1">IF(AND(E1081&lt;&gt;"",$E$1078=RefData!$B$94),ErrorMsgs!$E1081)</f>
        <v>0</v>
      </c>
      <c r="O1081" s="712" t="b">
        <f ca="1">IF(AND(E1081&lt;&gt;"",NOT($E$1079=RefData!$B$98)),ErrorMsgs!$F1081)</f>
        <v>0</v>
      </c>
      <c r="P1081" s="712" t="b">
        <f ca="1">IF(AND(E1081="",$E$1079=RefData!$B$98),ErrorMsgs!$G1081)</f>
        <v>0</v>
      </c>
      <c r="Q1081" s="712" t="b">
        <f ca="1">IF(AND($E$1079=RefData!$B$98,OR($E1081&lt;0,$E1081&gt;1)),ErrorMsgs!$H1081)</f>
        <v>0</v>
      </c>
      <c r="R1081" s="712"/>
      <c r="S1081" s="712"/>
      <c r="T1081" s="712"/>
      <c r="U1081" s="526" t="str">
        <f t="shared" ca="1" si="142"/>
        <v/>
      </c>
      <c r="V1081" s="93" t="str" cm="1">
        <f t="array" aca="1" ref="V1081" ca="1">CELL("format",INDIRECT(I1081))</f>
        <v>P4</v>
      </c>
      <c r="W1081" s="93" t="b">
        <f t="shared" ca="1" si="143"/>
        <v>0</v>
      </c>
      <c r="X1081" s="715" t="str">
        <f t="shared" ca="1" si="141"/>
        <v/>
      </c>
      <c r="Y1081" t="b">
        <f t="shared" ca="1" si="144"/>
        <v>1</v>
      </c>
    </row>
    <row r="1082" spans="1:25" ht="62">
      <c r="A1082" s="705" t="s">
        <v>3728</v>
      </c>
      <c r="B1082" s="716" t="str">
        <f t="shared" ca="1" si="149"/>
        <v>Invest journey plan-risk level - C29</v>
      </c>
      <c r="C1082" s="707" t="str" cm="1">
        <f t="array" aca="1" ref="C1082" ca="1">INDIRECT(LEFT(I1082, FIND("!", I1082)) &amp; RefData!$C$426 &amp; RIGHT(I1082, LEN(I1082) - FIND("!", I1082) - 1))</f>
        <v xml:space="preserve">No answer required
Describe the liability basis.
</v>
      </c>
      <c r="D1082" s="92" t="str">
        <f t="shared" ca="1" si="148"/>
        <v/>
      </c>
      <c r="E1082" s="708" t="str" cm="1">
        <f t="array" aca="1" ref="E1082" ca="1">IF(INDIRECT($I1082)= "", "", INDIRECT($I1082))</f>
        <v/>
      </c>
      <c r="F1082" s="709" t="str" cm="1">
        <f t="array" aca="1" ref="F1082" ca="1">INDIRECT(LEFT(I1082, FIND("!", I1082)) &amp; RefData!$C$427 &amp; RIGHT(I1082, LEN(I1082) - FIND("!", I1082) - 1))</f>
        <v>IJP 17.0</v>
      </c>
      <c r="G1082" s="710" t="b">
        <f ca="1">IF(ISNUMBER(SEARCH(RefData!$B$2, $C1082)), FALSE, TRUE)</f>
        <v>0</v>
      </c>
      <c r="H1082" s="113">
        <f>'Invest journey plan-risk level'!C29</f>
        <v>0</v>
      </c>
      <c r="I1082" s="712" t="str">
        <f t="shared" ca="1" si="150"/>
        <v>'Invest journey plan-risk level'!C29</v>
      </c>
      <c r="J1082" s="713" t="b" cm="1">
        <f t="array" aca="1" ref="J1082" ca="1">IF(COUNTIF($K1082:$T1082, "&lt;&gt;FALSE") - COUNTBLANK($K1082:$T1082) &gt; 0, INDEX($K1082:$T1082, MATCH(TRUE, $K1082:$T1082 &lt;&gt; FALSE, 0)))</f>
        <v>0</v>
      </c>
      <c r="K1082" s="712" t="b">
        <f ca="1">IF(AND('Start here'!$C$26=RefData!$B$9, $E1082&lt;&gt;""), ErrorMsgs!$B1082)</f>
        <v>0</v>
      </c>
      <c r="L1082" s="712" t="b">
        <f ca="1">IF(AND('Start here'!$C$23=RefData!$B$17,'Reconciliation report'!$E1082&lt;&gt;""),ErrorMsgs!$C1082)</f>
        <v>0</v>
      </c>
      <c r="M1082" s="714" t="b">
        <f ca="1">IF(AND(E1082&lt;&gt;"",OR($E$1076=RefData!$B$89,$E$1076=RefData!$B$92)),ErrorMsgs!$D1082)</f>
        <v>0</v>
      </c>
      <c r="N1082" s="714" t="b">
        <f ca="1">IF(AND(E1082&lt;&gt;"",$E$1078=RefData!$B$94),ErrorMsgs!$E1082)</f>
        <v>0</v>
      </c>
      <c r="O1082" s="712" t="b">
        <f ca="1">IF(AND(E1082&lt;&gt;"",NOT($E$1079=RefData!$B$99)),ErrorMsgs!$F1082)</f>
        <v>0</v>
      </c>
      <c r="P1082" s="712" t="b">
        <f ca="1">IF(AND(E1082="",$E$1079=RefData!$B$99),ErrorMsgs!$G1082)</f>
        <v>0</v>
      </c>
      <c r="Q1082" s="712" t="b">
        <f ca="1">IF(AND($E$1079=RefData!$B$99,OR(LEN($E1082)=0,LEN($E1082)&gt;4000)),ErrorMsgs!$G1082)</f>
        <v>0</v>
      </c>
      <c r="R1082" s="712"/>
      <c r="S1082" s="712"/>
      <c r="T1082" s="712"/>
      <c r="U1082" s="526" t="str">
        <f t="shared" ca="1" si="142"/>
        <v/>
      </c>
      <c r="V1082" s="93" t="str" cm="1">
        <f t="array" aca="1" ref="V1082" ca="1">CELL("format",INDIRECT(I1082))</f>
        <v>G</v>
      </c>
      <c r="W1082" s="93" t="b">
        <f t="shared" ca="1" si="143"/>
        <v>0</v>
      </c>
      <c r="X1082" s="715" t="str">
        <f t="shared" ca="1" si="141"/>
        <v/>
      </c>
      <c r="Y1082" t="b">
        <f t="shared" ca="1" si="144"/>
        <v>1</v>
      </c>
    </row>
    <row r="1083" spans="1:25" ht="62">
      <c r="A1083" s="705" t="s">
        <v>3729</v>
      </c>
      <c r="B1083" s="716" t="str">
        <f t="shared" ca="1" si="149"/>
        <v>Invest journey plan-risk level - C30</v>
      </c>
      <c r="C1083" s="707" t="str" cm="1">
        <f t="array" aca="1" ref="C1083" ca="1">INDIRECT(LEFT(I1083, FIND("!", I1083)) &amp; RefData!$C$426 &amp; RIGHT(I1083, LEN(I1083) - FIND("!", I1083) - 1))</f>
        <v xml:space="preserve">
At or to which percentile point has the investment risk been calculated? (%)
</v>
      </c>
      <c r="D1083" s="92" t="str">
        <f t="shared" ca="1" si="148"/>
        <v/>
      </c>
      <c r="E1083" s="708" t="str" cm="1">
        <f t="array" aca="1" ref="E1083" ca="1">IF(INDIRECT($I1083)= "", "", INDIRECT($I1083))</f>
        <v/>
      </c>
      <c r="F1083" s="709" t="str" cm="1">
        <f t="array" aca="1" ref="F1083" ca="1">INDIRECT(LEFT(I1083, FIND("!", I1083)) &amp; RefData!$C$427 &amp; RIGHT(I1083, LEN(I1083) - FIND("!", I1083) - 1))</f>
        <v>IJP 18.0</v>
      </c>
      <c r="G1083" s="710" t="b">
        <f ca="1">IF(ISNUMBER(SEARCH(RefData!$B$2, $C1083)), FALSE, TRUE)</f>
        <v>1</v>
      </c>
      <c r="H1083" s="107">
        <f>'Invest journey plan-risk level'!C30</f>
        <v>0</v>
      </c>
      <c r="I1083" s="712" t="str">
        <f t="shared" ca="1" si="150"/>
        <v>'Invest journey plan-risk level'!C30</v>
      </c>
      <c r="J1083" s="713" t="b" cm="1">
        <f t="array" aca="1" ref="J1083" ca="1">IF(COUNTIF($K1083:$T1083, "&lt;&gt;FALSE") - COUNTBLANK($K1083:$T1083) &gt; 0, INDEX($K1083:$T1083, MATCH(TRUE, $K1083:$T1083 &lt;&gt; FALSE, 0)))</f>
        <v>0</v>
      </c>
      <c r="K1083" s="712" t="b">
        <f ca="1">IF(AND('Start here'!$C$26=RefData!$B$9, $E1083&lt;&gt;""), ErrorMsgs!$B1083)</f>
        <v>0</v>
      </c>
      <c r="L1083" s="712" t="b">
        <f ca="1">IF(AND('Start here'!$C$23=RefData!$B$17,'Reconciliation report'!$E1083&lt;&gt;""),ErrorMsgs!$C1083)</f>
        <v>0</v>
      </c>
      <c r="M1083" s="714" t="b">
        <f ca="1">IF(AND(E1083&lt;&gt;"",OR($E$1076=RefData!$B$89,$E$1076=RefData!$B$92)),ErrorMsgs!$D1083)</f>
        <v>0</v>
      </c>
      <c r="N1083" s="714" t="b">
        <f ca="1">IF(AND(E1083="",OR($E$1076=RefData!$B$90,$E$1076=RefData!$B$91)),ErrorMsgs!$E1083)</f>
        <v>0</v>
      </c>
      <c r="O1083" s="712" t="b">
        <f ca="1">IF(
    AND(
        OR(
            $E$1076 = RefData!$B$90,
            $E$1076 = RefData!$B$91
        ),
        OR(
            $E1083 &lt; 0,
            $E1083 &gt; 1
        )
    ),
    ErrorMsgs!$F1083
)</f>
        <v>0</v>
      </c>
      <c r="P1083" s="712"/>
      <c r="Q1083" s="712"/>
      <c r="R1083" s="712"/>
      <c r="S1083" s="712"/>
      <c r="T1083" s="712"/>
      <c r="U1083" s="526" t="str">
        <f t="shared" ca="1" si="142"/>
        <v/>
      </c>
      <c r="V1083" s="93" t="str" cm="1">
        <f t="array" aca="1" ref="V1083" ca="1">CELL("format",INDIRECT(I1083))</f>
        <v>P4</v>
      </c>
      <c r="W1083" s="93" t="b">
        <f t="shared" ca="1" si="143"/>
        <v>0</v>
      </c>
      <c r="X1083" s="715" t="str">
        <f t="shared" ca="1" si="141"/>
        <v/>
      </c>
      <c r="Y1083" t="b">
        <f t="shared" ca="1" si="144"/>
        <v>1</v>
      </c>
    </row>
    <row r="1084" spans="1:25" ht="46.5">
      <c r="A1084" s="705" t="s">
        <v>3730</v>
      </c>
      <c r="B1084" s="716" t="str">
        <f t="shared" ca="1" si="149"/>
        <v>Invest journey plan-risk level - C31</v>
      </c>
      <c r="C1084" s="707" t="str" cm="1">
        <f t="array" aca="1" ref="C1084" ca="1">INDIRECT(LEFT(I1084, FIND("!", I1084)) &amp; RefData!$C$426 &amp; RIGHT(I1084, LEN(I1084) - FIND("!", I1084) - 1))</f>
        <v xml:space="preserve">
Over what period has the investment risk been calculated?
</v>
      </c>
      <c r="D1084" s="92" t="str">
        <f t="shared" ca="1" si="148"/>
        <v/>
      </c>
      <c r="E1084" s="708" t="str" cm="1">
        <f t="array" aca="1" ref="E1084" ca="1">IF(INDIRECT($I1084)= "", "", INDIRECT($I1084))</f>
        <v/>
      </c>
      <c r="F1084" s="709" t="str" cm="1">
        <f t="array" aca="1" ref="F1084" ca="1">INDIRECT(LEFT(I1084, FIND("!", I1084)) &amp; RefData!$C$427 &amp; RIGHT(I1084, LEN(I1084) - FIND("!", I1084) - 1))</f>
        <v>IJP 19.0</v>
      </c>
      <c r="G1084" s="710" t="b">
        <f ca="1">IF(ISNUMBER(SEARCH(RefData!$B$2, $C1084)), FALSE, TRUE)</f>
        <v>1</v>
      </c>
      <c r="H1084" s="344">
        <f>'Invest journey plan-risk level'!C31</f>
        <v>0</v>
      </c>
      <c r="I1084" s="712" t="str">
        <f t="shared" ca="1" si="150"/>
        <v>'Invest journey plan-risk level'!C31</v>
      </c>
      <c r="J1084" s="713" t="b" cm="1">
        <f t="array" aca="1" ref="J1084" ca="1">IF(COUNTIF($K1084:$T1084, "&lt;&gt;FALSE") - COUNTBLANK($K1084:$T1084) &gt; 0, INDEX($K1084:$T1084, MATCH(TRUE, $K1084:$T1084 &lt;&gt; FALSE, 0)))</f>
        <v>0</v>
      </c>
      <c r="K1084" s="712" t="b">
        <f ca="1">IF(AND('Start here'!$C$26=RefData!$B$9, $E1084&lt;&gt;""), ErrorMsgs!$B1084)</f>
        <v>0</v>
      </c>
      <c r="L1084" s="712" t="b">
        <f ca="1">IF(AND('Start here'!$C$23=RefData!$B$17,'Reconciliation report'!$E1084&lt;&gt;""),ErrorMsgs!$C1084)</f>
        <v>0</v>
      </c>
      <c r="M1084" s="714" t="b">
        <f ca="1">IF(AND(E1084&lt;&gt;"",OR($E$1076=RefData!$B$89,$E$1076=RefData!$B$92)),ErrorMsgs!$D1084)</f>
        <v>0</v>
      </c>
      <c r="N1084" s="714" t="b">
        <f ca="1">IF(AND($E1084="",OR($E$1076=RefData!$B$90,$E$1076=RefData!$B$91)),ErrorMsgs!$E1084)</f>
        <v>0</v>
      </c>
      <c r="O1084" s="712" t="b">
        <f ca="1">IF(IF($E$1084="",0,$E$1084)-INT(IF($E$1084="",0,$E$1084))&lt;&gt;0,ErrorMsgs!$F1084)</f>
        <v>0</v>
      </c>
      <c r="P1084" s="712" t="b">
        <f ca="1">IF(AND(OR($E1084&lt;0,$E1084&gt;10),OR($E$1076=RefData!$B$90,$E$1076=RefData!$B$91)),ErrorMsgs!$G1084)</f>
        <v>0</v>
      </c>
      <c r="Q1084" s="712"/>
      <c r="R1084" s="712"/>
      <c r="S1084" s="712"/>
      <c r="T1084" s="712"/>
      <c r="U1084" s="526" t="str">
        <f t="shared" ca="1" si="142"/>
        <v/>
      </c>
      <c r="V1084" s="93" t="str" cm="1">
        <f t="array" aca="1" ref="V1084" ca="1">CELL("format",INDIRECT(I1084))</f>
        <v>F0</v>
      </c>
      <c r="W1084" s="93" t="b">
        <f t="shared" ca="1" si="143"/>
        <v>0</v>
      </c>
      <c r="X1084" s="715" t="str">
        <f t="shared" ca="1" si="141"/>
        <v/>
      </c>
      <c r="Y1084" t="b">
        <f t="shared" ca="1" si="144"/>
        <v>1</v>
      </c>
    </row>
    <row r="1085" spans="1:25" ht="77.5">
      <c r="A1085" s="705" t="s">
        <v>3731</v>
      </c>
      <c r="B1085" s="716" t="str">
        <f t="shared" ca="1" si="149"/>
        <v>Invest journey plan-risk level - C32</v>
      </c>
      <c r="C1085" s="707" t="str" cm="1">
        <f t="array" aca="1" ref="C1085" ca="1">INDIRECT(LEFT(I1085, FIND("!", I1085)) &amp; RefData!$C$426 &amp; RIGHT(I1085, LEN(I1085) - FIND("!", I1085) - 1))</f>
        <v xml:space="preserve">
Is the expected long-term return that the intended investment allocation at the relevant date is assumed to provide expressed as a nominal value or as a margin over gilts?
</v>
      </c>
      <c r="D1085" s="92" t="str">
        <f t="shared" ca="1" si="148"/>
        <v xml:space="preserve">
You must answer this question if the scheme follows a Bespoke approach (SH 13.0) and the valuation is 'pre-relevant date' (SH 10.0).
</v>
      </c>
      <c r="E1085" s="708" t="str" cm="1">
        <f t="array" aca="1" ref="E1085" ca="1">IF(INDIRECT($I1085)= "", "", INDIRECT($I1085))</f>
        <v/>
      </c>
      <c r="F1085" s="709" t="str" cm="1">
        <f t="array" aca="1" ref="F1085" ca="1">INDIRECT(LEFT(I1085, FIND("!", I1085)) &amp; RefData!$C$427 &amp; RIGHT(I1085, LEN(I1085) - FIND("!", I1085) - 1))</f>
        <v>IJP 20.0</v>
      </c>
      <c r="G1085" s="710" t="b">
        <f ca="1">IF(ISNUMBER(SEARCH(RefData!$B$2, $C1085)), FALSE, TRUE)</f>
        <v>1</v>
      </c>
      <c r="H1085" s="344">
        <f>'Invest journey plan-risk level'!C32</f>
        <v>0</v>
      </c>
      <c r="I1085" s="712" t="str">
        <f t="shared" ca="1" si="150"/>
        <v>'Invest journey plan-risk level'!C32</v>
      </c>
      <c r="J1085" s="713" t="str" cm="1">
        <f t="array" aca="1" ref="J1085" ca="1">IF(COUNTIF($K1085:$T1085, "&lt;&gt;FALSE") - COUNTBLANK($K1085:$T1085) &gt; 0, INDEX($K1085:$T1085, MATCH(TRUE, $K1085:$T1085 &lt;&gt; FALSE, 0)))</f>
        <v xml:space="preserve">
You must answer this question if the scheme follows a Bespoke approach (SH 13.0) and the valuation is 'pre-relevant date' (SH 10.0).
</v>
      </c>
      <c r="K1085" s="712" t="b">
        <f ca="1">IF(AND('Start here'!$C$26=RefData!$B$9, $E1085&lt;&gt;""), ErrorMsgs!$B1085)</f>
        <v>0</v>
      </c>
      <c r="L1085" s="712" t="b">
        <f ca="1">IF(AND('Start here'!$C$23=RefData!$B$17,'Reconciliation report'!$E1085&lt;&gt;""),ErrorMsgs!$C1085)</f>
        <v>0</v>
      </c>
      <c r="M1085" s="714" t="str">
        <f ca="1">IF(AND('Start here'!$C$26&lt;&gt;RefData!$B$9,'Start here'!$C$23&lt;&gt;RefData!$B$17,  $E1085=""),ErrorMsgs!$D1085)</f>
        <v xml:space="preserve">
You must answer this question if the scheme follows a Bespoke approach (SH 13.0) and the valuation is 'pre-relevant date' (SH 10.0).
</v>
      </c>
      <c r="N1085" s="714" t="str">
        <f ca="1">IF(AND('Start here'!$C$26&lt;&gt;RefData!$B$9,'Start here'!$C$23&lt;&gt;RefData!$B$17,OR(ISNA(MATCH($E1085,RefData!$B$100:$B$101, 0)),  $E1085="")),ErrorMsgs!$E1085)</f>
        <v xml:space="preserve">
Select ‘Margin over gilts’ or ‘Nominal’ from the drop down list.
</v>
      </c>
      <c r="O1085" s="712"/>
      <c r="P1085" s="712"/>
      <c r="Q1085" s="712"/>
      <c r="R1085" s="712"/>
      <c r="S1085" s="712"/>
      <c r="T1085" s="712"/>
      <c r="U1085" s="526" t="str">
        <f t="shared" ca="1" si="142"/>
        <v/>
      </c>
      <c r="V1085" s="93" t="str" cm="1">
        <f t="array" aca="1" ref="V1085" ca="1">CELL("format",INDIRECT(I1085))</f>
        <v>G</v>
      </c>
      <c r="W1085" s="93" t="b">
        <f t="shared" ca="1" si="143"/>
        <v>0</v>
      </c>
      <c r="X1085" s="715" t="str">
        <f t="shared" ca="1" si="141"/>
        <v/>
      </c>
      <c r="Y1085" t="b">
        <f t="shared" ca="1" si="144"/>
        <v>1</v>
      </c>
    </row>
    <row r="1086" spans="1:25" ht="93">
      <c r="A1086" s="705" t="s">
        <v>3732</v>
      </c>
      <c r="B1086" s="716" t="str">
        <f t="shared" ca="1" si="149"/>
        <v>Invest journey plan-risk level - C33</v>
      </c>
      <c r="C1086" s="707" t="str" cm="1">
        <f t="array" aca="1" ref="C1086" ca="1">INDIRECT(LEFT(I1086, FIND("!", I1086)) &amp; RefData!$C$426 &amp; RIGHT(I1086, LEN(I1086) - FIND("!", I1086) - 1))</f>
        <v xml:space="preserve">No answer required
What is the expected long-term return that the intended investment allocation at the relevant date is assumed to provide expressed as a margin over gilts? (%)
</v>
      </c>
      <c r="D1086" s="92" t="str">
        <f t="shared" ca="1" si="148"/>
        <v/>
      </c>
      <c r="E1086" s="708" t="str" cm="1">
        <f t="array" aca="1" ref="E1086" ca="1">IF(INDIRECT($I1086)= "", "", INDIRECT($I1086))</f>
        <v/>
      </c>
      <c r="F1086" s="709" t="str" cm="1">
        <f t="array" aca="1" ref="F1086" ca="1">INDIRECT(LEFT(I1086, FIND("!", I1086)) &amp; RefData!$C$427 &amp; RIGHT(I1086, LEN(I1086) - FIND("!", I1086) - 1))</f>
        <v>IJP 21.0</v>
      </c>
      <c r="G1086" s="710" t="b">
        <f ca="1">IF(ISNUMBER(SEARCH(RefData!$B$2, $C1086)), FALSE, TRUE)</f>
        <v>0</v>
      </c>
      <c r="H1086" s="107">
        <f>'Invest journey plan-risk level'!C33</f>
        <v>0</v>
      </c>
      <c r="I1086" s="712" t="str">
        <f t="shared" ca="1" si="150"/>
        <v>'Invest journey plan-risk level'!C33</v>
      </c>
      <c r="J1086" s="713" t="b" cm="1">
        <f t="array" aca="1" ref="J1086" ca="1">IF(COUNTIF($K1086:$T1086, "&lt;&gt;FALSE") - COUNTBLANK($K1086:$T1086) &gt; 0, INDEX($K1086:$T1086, MATCH(TRUE, $K1086:$T1086 &lt;&gt; FALSE, 0)))</f>
        <v>0</v>
      </c>
      <c r="K1086" s="712" t="b">
        <f ca="1">IF(AND('Start here'!$C$26=RefData!$B$9, $E1086&lt;&gt;""), ErrorMsgs!$B1086)</f>
        <v>0</v>
      </c>
      <c r="L1086" s="712" t="b">
        <f ca="1">IF(AND('Start here'!$C$23=RefData!$B$17,'Reconciliation report'!$E1086&lt;&gt;""),ErrorMsgs!$C1086)</f>
        <v>0</v>
      </c>
      <c r="M1086" s="714" t="b">
        <f ca="1">IF(AND(NOT($E$1085=RefData!$B$100),'Reconciliation report'!E1086&lt;&gt;""),ErrorMsgs!$D1086)</f>
        <v>0</v>
      </c>
      <c r="N1086" s="714" t="b">
        <f ca="1">IF(AND($E$1085=RefData!$B$100,'Reconciliation report'!$E1086="", 'Start here'!$C$23&lt;&gt;RefData!$B$17),ErrorMsgs!$E1086)</f>
        <v>0</v>
      </c>
      <c r="O1086" s="712" t="b">
        <f ca="1">IF(AND($E$1085=RefData!$B$100,$E1086&lt;0),ErrorMsgs!$F1086)</f>
        <v>0</v>
      </c>
      <c r="P1086" s="712"/>
      <c r="Q1086" s="712"/>
      <c r="R1086" s="712"/>
      <c r="S1086" s="712"/>
      <c r="T1086" s="712"/>
      <c r="U1086" s="526" t="str">
        <f t="shared" ca="1" si="142"/>
        <v/>
      </c>
      <c r="V1086" s="93" t="str" cm="1">
        <f t="array" aca="1" ref="V1086" ca="1">CELL("format",INDIRECT(I1086))</f>
        <v>P4</v>
      </c>
      <c r="W1086" s="93" t="b">
        <f t="shared" ca="1" si="143"/>
        <v>0</v>
      </c>
      <c r="X1086" s="715" t="str">
        <f t="shared" ca="1" si="141"/>
        <v/>
      </c>
      <c r="Y1086" t="b">
        <f t="shared" ca="1" si="144"/>
        <v>1</v>
      </c>
    </row>
    <row r="1087" spans="1:25" ht="93">
      <c r="A1087" s="705" t="s">
        <v>3733</v>
      </c>
      <c r="B1087" s="716" t="str">
        <f t="shared" ca="1" si="149"/>
        <v>Invest journey plan-risk level - C34</v>
      </c>
      <c r="C1087" s="707" t="str" cm="1">
        <f t="array" aca="1" ref="C1087" ca="1">INDIRECT(LEFT(I1087, FIND("!", I1087)) &amp; RefData!$C$426 &amp; RIGHT(I1087, LEN(I1087) - FIND("!", I1087) - 1))</f>
        <v xml:space="preserve">No answer required
What is the expected long-term return that the intended investment allocation at the relevant date is assumed to provide expressed a nominal value? (%)
</v>
      </c>
      <c r="D1087" s="92" t="str">
        <f ca="1">""&amp;IF(J1087=FALSE, "", J1087)
&amp;""</f>
        <v/>
      </c>
      <c r="E1087" s="708" t="str" cm="1">
        <f t="array" aca="1" ref="E1087" ca="1">IF(INDIRECT($I1087)= "", "", INDIRECT($I1087))</f>
        <v/>
      </c>
      <c r="F1087" s="709" t="str" cm="1">
        <f t="array" aca="1" ref="F1087" ca="1">INDIRECT(LEFT(I1087, FIND("!", I1087)) &amp; RefData!$C$427 &amp; RIGHT(I1087, LEN(I1087) - FIND("!", I1087) - 1))</f>
        <v>IJP 22.0</v>
      </c>
      <c r="G1087" s="710" t="b">
        <f ca="1">IF(ISNUMBER(SEARCH(RefData!$B$2, $C1087)), FALSE, TRUE)</f>
        <v>0</v>
      </c>
      <c r="H1087" s="107">
        <f>'Invest journey plan-risk level'!C34</f>
        <v>0</v>
      </c>
      <c r="I1087" s="712" t="str">
        <f t="shared" ca="1" si="150"/>
        <v>'Invest journey plan-risk level'!C34</v>
      </c>
      <c r="J1087" s="713" t="b" cm="1">
        <f t="array" aca="1" ref="J1087" ca="1">IF(COUNTIF($K1087:$T1087, "&lt;&gt;FALSE") - COUNTBLANK($K1087:$T1087) &gt; 0, INDEX($K1087:$T1087, MATCH(TRUE, $K1087:$T1087 &lt;&gt; FALSE, 0)))</f>
        <v>0</v>
      </c>
      <c r="K1087" s="712" t="b">
        <f ca="1">IF(AND('Start here'!$C$26=RefData!$B$9, $E1087&lt;&gt;""), ErrorMsgs!$B1087)</f>
        <v>0</v>
      </c>
      <c r="L1087" s="712" t="b">
        <f ca="1">IF(AND('Start here'!$C$23=RefData!$B$17,'Reconciliation report'!$E1087&lt;&gt;""),ErrorMsgs!$C1087)</f>
        <v>0</v>
      </c>
      <c r="M1087" s="714" t="b">
        <f ca="1">IF(AND(NOT($E$1085=RefData!$B$101),'Reconciliation report'!E1087&lt;&gt;""),ErrorMsgs!$D1087)</f>
        <v>0</v>
      </c>
      <c r="N1087" s="714" t="b">
        <f ca="1">IF(AND($E$1085=RefData!$B$101,'Reconciliation report'!$E1087="", 'Start here'!$C$23&lt;&gt;RefData!$B$17),ErrorMsgs!$E1087)</f>
        <v>0</v>
      </c>
      <c r="O1087" s="712" t="b">
        <f ca="1">IF(AND($E$1085=RefData!$B$101,$E1087&lt;0),ErrorMsgs!$F1087)</f>
        <v>0</v>
      </c>
      <c r="P1087" s="712"/>
      <c r="Q1087" s="712"/>
      <c r="R1087" s="712"/>
      <c r="S1087" s="712"/>
      <c r="T1087" s="712"/>
      <c r="U1087" s="526" t="str">
        <f t="shared" ca="1" si="142"/>
        <v/>
      </c>
      <c r="V1087" s="93" t="str" cm="1">
        <f t="array" aca="1" ref="V1087" ca="1">CELL("format",INDIRECT(I1087))</f>
        <v>P4</v>
      </c>
      <c r="W1087" s="93" t="b">
        <f t="shared" ca="1" si="143"/>
        <v>0</v>
      </c>
      <c r="X1087" s="715" t="str">
        <f t="shared" ca="1" si="141"/>
        <v/>
      </c>
      <c r="Y1087" t="b">
        <f t="shared" ca="1" si="144"/>
        <v>1</v>
      </c>
    </row>
    <row r="1088" spans="1:25" ht="46.25" customHeight="1">
      <c r="A1088" s="705" t="s">
        <v>3734</v>
      </c>
      <c r="B1088" s="716" t="str">
        <f t="shared" ca="1" si="149"/>
        <v>Investment risk - current level - C42</v>
      </c>
      <c r="C1088" s="707" t="str" cm="1">
        <f t="array" aca="1" ref="C1088" ca="1">INDIRECT(LEFT(I1088, FIND("!", I1088)) &amp; RefData!$C$426 &amp; RIGHT(I1088, LEN(I1088) - FIND("!", I1088) - 1))</f>
        <v xml:space="preserve">
Total value of assets
</v>
      </c>
      <c r="D1088" s="92" t="str">
        <f ca="1">""&amp;IF(J1088=FALSE, "", J1088)
&amp;""</f>
        <v xml:space="preserve">
The total of the above percentages does not equal 100%.
</v>
      </c>
      <c r="E1088" s="708" cm="1">
        <f t="array" aca="1" ref="E1088" ca="1">IF(INDIRECT($I1088)= "", "", INDIRECT($I1088))</f>
        <v>0</v>
      </c>
      <c r="F1088" s="709" t="str" cm="1">
        <f t="array" aca="1" ref="F1088" ca="1">INDIRECT(LEFT(I1088, FIND("!", I1088)) &amp; RefData!$C$427 &amp; RIGHT(I1088, LEN(I1088) - FIND("!", I1088) - 1))</f>
        <v>IRC 28.1</v>
      </c>
      <c r="G1088" s="710" t="b">
        <f ca="1">IF(ISNUMBER(SEARCH(RefData!$B$2, $C1088)), FALSE, TRUE)</f>
        <v>1</v>
      </c>
      <c r="H1088" s="107">
        <f>'Investment risk - current level'!C42</f>
        <v>0</v>
      </c>
      <c r="I1088" s="712" t="str">
        <f t="shared" ca="1" si="150"/>
        <v>'Investment risk - current level'!C42</v>
      </c>
      <c r="J1088" s="713" t="str" cm="1">
        <f t="array" aca="1" ref="J1088" ca="1">IF(COUNTIF($K1088:$T1088, "&lt;&gt;FALSE") - COUNTBLANK($K1088:$T1088) &gt; 0, INDEX($K1088:$T1088, MATCH(TRUE, $K1088:$T1088 &lt;&gt; FALSE, 0)))</f>
        <v xml:space="preserve">
The total of the above percentages does not equal 100%.
</v>
      </c>
      <c r="K1088" s="712" t="str">
        <f ca="1">IF(E1088&lt;&gt;1,ErrorMsgs!B1088)</f>
        <v xml:space="preserve">
The total of the above percentages does not equal 100%.
</v>
      </c>
      <c r="L1088" s="712"/>
      <c r="M1088" s="714"/>
      <c r="N1088" s="714"/>
      <c r="O1088" s="712"/>
      <c r="P1088" s="712"/>
      <c r="Q1088" s="712"/>
      <c r="R1088" s="712"/>
      <c r="S1088" s="712"/>
      <c r="T1088" s="712"/>
      <c r="U1088" s="526" t="str">
        <f ca="1">TEXT($E1088,$X1088)</f>
        <v>0.00</v>
      </c>
      <c r="V1088" s="93" t="str" cm="1">
        <f t="array" aca="1" ref="V1088" ca="1">CELL("format",INDIRECT(I1088))</f>
        <v>P4</v>
      </c>
      <c r="W1088" s="93" t="b">
        <f t="shared" ca="1" si="143"/>
        <v>0</v>
      </c>
      <c r="X1088" s="741" t="s">
        <v>3735</v>
      </c>
      <c r="Y1088" t="b">
        <f t="shared" ca="1" si="144"/>
        <v>0</v>
      </c>
    </row>
  </sheetData>
  <sheetProtection algorithmName="SHA-512" hashValue="NY/U4sUFHQs5RpPXmQutJOVsFY1VGRCWryVA4c2Xfo2EX6yNIzSaM9gaQ/qR3NW4UYKKOPd1uozK+GdOZHhEqA==" saltValue="M4/E7rVO0MV84vYo6zdZVQ==" spinCount="100000" sheet="1" objects="1" scenarios="1"/>
  <phoneticPr fontId="11" type="noConversion"/>
  <conditionalFormatting sqref="M780:N782 M784:N784">
    <cfRule type="iconSet" priority="5">
      <iconSet iconSet="3Arrows">
        <cfvo type="percent" val="0"/>
        <cfvo type="percent" val="33"/>
        <cfvo type="percent" val="67"/>
      </iconSet>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BE56C-ED7A-482F-B603-064A6050AE1B}">
  <sheetPr codeName="Sheet41"/>
  <dimension ref="A1:J1088"/>
  <sheetViews>
    <sheetView zoomScaleNormal="100" workbookViewId="0">
      <selection activeCell="A2" sqref="A2"/>
    </sheetView>
  </sheetViews>
  <sheetFormatPr defaultColWidth="9.07421875" defaultRowHeight="15.5" zeroHeight="1"/>
  <cols>
    <col min="1" max="1" width="14.07421875" style="93" customWidth="1"/>
    <col min="2" max="10" width="62.69140625" style="98" customWidth="1"/>
  </cols>
  <sheetData>
    <row r="1" spans="1:10">
      <c r="A1" s="184" t="s">
        <v>3736</v>
      </c>
      <c r="B1" s="114" t="s">
        <v>2993</v>
      </c>
      <c r="C1" s="114" t="s">
        <v>2994</v>
      </c>
      <c r="D1" s="114" t="s">
        <v>2995</v>
      </c>
      <c r="E1" s="114" t="s">
        <v>2996</v>
      </c>
      <c r="F1" s="114" t="s">
        <v>2997</v>
      </c>
      <c r="G1" s="114" t="s">
        <v>2998</v>
      </c>
      <c r="H1" s="459" t="s">
        <v>2999</v>
      </c>
      <c r="I1" s="92" t="s">
        <v>3000</v>
      </c>
      <c r="J1" s="92" t="s">
        <v>3001</v>
      </c>
    </row>
    <row r="2" spans="1:10" ht="62">
      <c r="A2" s="185" t="s">
        <v>3008</v>
      </c>
      <c r="B2" s="454" t="str">
        <f>"
Enter the scheme’s name as recorded on the Pension Scheme Registry (PSR).
"</f>
        <v xml:space="preserve">
Enter the scheme’s name as recorded on the Pension Scheme Registry (PSR).
</v>
      </c>
      <c r="C2" s="454" t="str">
        <f>"
Enter the scheme’s name as recorded on the Pension Scheme Registry (PSR) with between 2 and 510 characters.  
"</f>
        <v xml:space="preserve">
Enter the scheme’s name as recorded on the Pension Scheme Registry (PSR) with between 2 and 510 characters.  
</v>
      </c>
      <c r="D2" s="454"/>
      <c r="E2" s="454"/>
      <c r="F2" s="454"/>
      <c r="G2" s="454"/>
      <c r="H2" s="455"/>
      <c r="I2" s="92"/>
      <c r="J2" s="92"/>
    </row>
    <row r="3" spans="1:10" ht="31">
      <c r="A3" s="185" t="s">
        <v>3009</v>
      </c>
      <c r="B3" s="454" t="s">
        <v>3737</v>
      </c>
      <c r="C3" s="454" t="s">
        <v>3737</v>
      </c>
      <c r="D3" s="454"/>
      <c r="E3" s="454"/>
      <c r="F3" s="454"/>
      <c r="G3" s="454"/>
      <c r="H3" s="455"/>
      <c r="I3" s="92"/>
      <c r="J3" s="92"/>
    </row>
    <row r="4" spans="1:10" ht="62">
      <c r="A4" s="185" t="s">
        <v>3010</v>
      </c>
      <c r="B4" s="454" t="str">
        <f>"
You must answer the question. The answer must be no more than 100 characters.
"</f>
        <v xml:space="preserve">
You must answer the question. The answer must be no more than 100 characters.
</v>
      </c>
      <c r="C4" s="454" t="str">
        <f>"
You must answer the question. The answer must be no more than 100 characters.
"</f>
        <v xml:space="preserve">
You must answer the question. The answer must be no more than 100 characters.
</v>
      </c>
      <c r="D4" s="454"/>
      <c r="E4" s="454"/>
      <c r="F4" s="454"/>
      <c r="G4" s="454"/>
      <c r="H4" s="455"/>
      <c r="I4" s="92"/>
      <c r="J4" s="92"/>
    </row>
    <row r="5" spans="1:10" ht="62">
      <c r="A5" s="185" t="s">
        <v>3011</v>
      </c>
      <c r="B5" s="454" t="str">
        <f>"
You must answer the question. The answer must be no more than 100 characters.
"</f>
        <v xml:space="preserve">
You must answer the question. The answer must be no more than 100 characters.
</v>
      </c>
      <c r="C5" s="454" t="str">
        <f>"
You must answer the question. The answer must be no more than 100 characters.
"</f>
        <v xml:space="preserve">
You must answer the question. The answer must be no more than 100 characters.
</v>
      </c>
      <c r="D5" s="454"/>
      <c r="E5" s="454"/>
      <c r="F5" s="454"/>
      <c r="G5" s="454"/>
      <c r="H5" s="455"/>
      <c r="I5" s="92"/>
      <c r="J5" s="92"/>
    </row>
    <row r="6" spans="1:10" ht="62">
      <c r="A6" s="185" t="s">
        <v>3012</v>
      </c>
      <c r="B6" s="454" t="str">
        <f>"
Enter a valid date in the format dd/mm/yyyy.
"</f>
        <v xml:space="preserve">
Enter a valid date in the format dd/mm/yyyy.
</v>
      </c>
      <c r="C6" s="454" t="str">
        <f>"
The date you entered must not be before 22nd September 2024 or after today's date
"</f>
        <v xml:space="preserve">
The date you entered must not be before 22nd September 2024 or after today's date
</v>
      </c>
      <c r="D6" s="454" t="str">
        <f>"
The date you entered must not be before 22nd September 2024 or after today's date
"</f>
        <v xml:space="preserve">
The date you entered must not be before 22nd September 2024 or after today's date
</v>
      </c>
      <c r="E6" s="454"/>
      <c r="F6" s="454"/>
      <c r="G6" s="454"/>
      <c r="H6" s="455"/>
      <c r="I6" s="92"/>
      <c r="J6" s="92"/>
    </row>
    <row r="7" spans="1:10" ht="46.5">
      <c r="A7" s="185" t="s">
        <v>3013</v>
      </c>
      <c r="B7" s="454" t="s">
        <v>3738</v>
      </c>
      <c r="C7" s="454" t="s">
        <v>3738</v>
      </c>
      <c r="D7" s="454"/>
      <c r="E7" s="454"/>
      <c r="F7" s="454"/>
      <c r="G7" s="454"/>
      <c r="H7" s="455"/>
      <c r="I7" s="92"/>
      <c r="J7" s="92"/>
    </row>
    <row r="8" spans="1:10" ht="31">
      <c r="A8" s="185" t="s">
        <v>3014</v>
      </c>
      <c r="B8" s="454" t="s">
        <v>3739</v>
      </c>
      <c r="C8" s="454" t="s">
        <v>3739</v>
      </c>
      <c r="D8" s="454"/>
      <c r="E8" s="454"/>
      <c r="F8" s="454"/>
      <c r="G8" s="454"/>
      <c r="H8" s="455"/>
      <c r="I8" s="92"/>
      <c r="J8" s="92"/>
    </row>
    <row r="9" spans="1:10" ht="31">
      <c r="A9" s="185" t="s">
        <v>3015</v>
      </c>
      <c r="B9" s="454" t="s">
        <v>3740</v>
      </c>
      <c r="C9" s="454" t="s">
        <v>3740</v>
      </c>
      <c r="D9" s="454"/>
      <c r="E9" s="454"/>
      <c r="F9" s="454"/>
      <c r="G9" s="454"/>
      <c r="H9" s="455"/>
      <c r="I9" s="92"/>
      <c r="J9" s="92"/>
    </row>
    <row r="10" spans="1:10" ht="31">
      <c r="A10" s="185" t="s">
        <v>3016</v>
      </c>
      <c r="B10" s="454" t="s">
        <v>3741</v>
      </c>
      <c r="C10" s="454" t="s">
        <v>3741</v>
      </c>
      <c r="D10" s="454"/>
      <c r="E10" s="454"/>
      <c r="F10" s="454"/>
      <c r="G10" s="454"/>
      <c r="H10" s="455"/>
      <c r="I10" s="92"/>
      <c r="J10" s="92"/>
    </row>
    <row r="11" spans="1:10" ht="31">
      <c r="A11" s="185" t="s">
        <v>3017</v>
      </c>
      <c r="B11" s="454" t="s">
        <v>3742</v>
      </c>
      <c r="C11" s="454" t="s">
        <v>3742</v>
      </c>
      <c r="D11" s="454"/>
      <c r="E11" s="454"/>
      <c r="F11" s="454"/>
      <c r="G11" s="454"/>
      <c r="H11" s="455"/>
      <c r="I11" s="92"/>
      <c r="J11" s="92"/>
    </row>
    <row r="12" spans="1:10" ht="31">
      <c r="A12" s="185" t="s">
        <v>3018</v>
      </c>
      <c r="B12" s="454" t="s">
        <v>3743</v>
      </c>
      <c r="C12" s="454" t="s">
        <v>3744</v>
      </c>
      <c r="D12" s="454" t="s">
        <v>3745</v>
      </c>
      <c r="E12" s="454"/>
      <c r="F12" s="454"/>
      <c r="G12" s="454"/>
      <c r="H12" s="455"/>
      <c r="I12" s="92"/>
      <c r="J12" s="92"/>
    </row>
    <row r="13" spans="1:10" ht="77.5">
      <c r="A13" s="185" t="s">
        <v>3019</v>
      </c>
      <c r="B13" s="454" t="s">
        <v>3746</v>
      </c>
      <c r="C13" s="454" t="s">
        <v>3746</v>
      </c>
      <c r="D13" s="454" t="s">
        <v>3747</v>
      </c>
      <c r="E13" s="454"/>
      <c r="F13" s="454"/>
      <c r="G13" s="454"/>
      <c r="H13" s="455"/>
      <c r="I13" s="92"/>
      <c r="J13" s="92"/>
    </row>
    <row r="14" spans="1:10" ht="62">
      <c r="A14" s="185" t="s">
        <v>3020</v>
      </c>
      <c r="B14" s="454" t="s">
        <v>3748</v>
      </c>
      <c r="C14" s="454"/>
      <c r="D14" s="454"/>
      <c r="E14" s="454"/>
      <c r="F14" s="454"/>
      <c r="G14" s="454"/>
      <c r="H14" s="455"/>
      <c r="I14" s="92"/>
      <c r="J14" s="92"/>
    </row>
    <row r="15" spans="1:10" ht="46.5">
      <c r="A15" s="185" t="s">
        <v>3021</v>
      </c>
      <c r="B15" s="454" t="str">
        <f>"
'Select ‘Yes’ if the scheme is open to accrual and 'No' if it is not.
"</f>
        <v xml:space="preserve">
'Select ‘Yes’ if the scheme is open to accrual and 'No' if it is not.
</v>
      </c>
      <c r="C15" s="454"/>
      <c r="D15" s="454"/>
      <c r="E15" s="454"/>
      <c r="F15" s="454"/>
      <c r="G15" s="454"/>
      <c r="H15" s="455"/>
      <c r="I15" s="92"/>
      <c r="J15" s="92"/>
    </row>
    <row r="16" spans="1:10" ht="62">
      <c r="A16" s="185" t="s">
        <v>3022</v>
      </c>
      <c r="B16" s="92" t="str">
        <f>"
You must answer this question if the scheme is open to accrual ("&amp;Questions!$D$10&amp;").
"</f>
        <v xml:space="preserve">
You must answer this question if the scheme is open to accrual (FIS 2.0).
</v>
      </c>
      <c r="C16" s="92" t="str">
        <f>"
Do not answer this question if the scheme is not open to accrual ("&amp;Questions!$D$10&amp;").
"</f>
        <v xml:space="preserve">
Do not answer this question if the scheme is not open to accrual (FIS 2.0).
</v>
      </c>
      <c r="D16" s="92" t="str">
        <f>"
Enter a whole number between 0 and 99.
"</f>
        <v xml:space="preserve">
Enter a whole number between 0 and 99.
</v>
      </c>
      <c r="E16" s="92" t="str">
        <f>"
Enter a whole number between 0 and 99.
"</f>
        <v xml:space="preserve">
Enter a whole number between 0 and 99.
</v>
      </c>
      <c r="F16" s="92"/>
      <c r="G16" s="454"/>
      <c r="H16" s="455"/>
      <c r="I16" s="92"/>
      <c r="J16" s="92"/>
    </row>
    <row r="17" spans="1:10" ht="62">
      <c r="A17" s="185" t="s">
        <v>3023</v>
      </c>
      <c r="B17" s="92" t="str">
        <f>"
You must answer this question if the scheme is open to accrual ("&amp;Questions!$D$10&amp;").
"</f>
        <v xml:space="preserve">
You must answer this question if the scheme is open to accrual (FIS 2.0).
</v>
      </c>
      <c r="C17" s="92" t="str">
        <f>"
Do not answer this question if the scheme is not open to accrual ("&amp;Questions!$D$10&amp;").
"</f>
        <v xml:space="preserve">
Do not answer this question if the scheme is not open to accrual (FIS 2.0).
</v>
      </c>
      <c r="D17" s="92" t="str">
        <f>"
Enter a whole number between 0 and 40.
"</f>
        <v xml:space="preserve">
Enter a whole number between 0 and 40.
</v>
      </c>
      <c r="E17" s="92" t="str">
        <f>"
Enter a whole number between 0 and 40.
"</f>
        <v xml:space="preserve">
Enter a whole number between 0 and 40.
</v>
      </c>
      <c r="F17" s="92"/>
      <c r="G17" s="454"/>
      <c r="H17" s="455"/>
      <c r="I17" s="92"/>
      <c r="J17" s="92"/>
    </row>
    <row r="18" spans="1:10" ht="62">
      <c r="A18" s="185" t="s">
        <v>3024</v>
      </c>
      <c r="B18" s="92" t="str">
        <f>"
You must answer this question if the scheme is pre-relevant date ("&amp;Questions!$D$14&amp;").
"</f>
        <v xml:space="preserve">
You must answer this question if the scheme is pre-relevant date (SH 10.0).
</v>
      </c>
      <c r="C18" s="92" t="str">
        <f>"
Do not answer this question if the scheme is post-relevant date ("&amp;Questions!$D$14&amp;").
"</f>
        <v xml:space="preserve">
Do not answer this question if the scheme is post-relevant date (SH 10.0).
</v>
      </c>
      <c r="D18" s="92" t="str">
        <f>"
Enter a value greater than 0. It can be accurate to one decimal place.
"</f>
        <v xml:space="preserve">
Enter a value greater than 0. It can be accurate to one decimal place.
</v>
      </c>
      <c r="E18" s="92" t="str">
        <f>"
Enter a value greater than 0. It can be accurate to one decimal place.
"</f>
        <v xml:space="preserve">
Enter a value greater than 0. It can be accurate to one decimal place.
</v>
      </c>
      <c r="F18" s="92"/>
      <c r="G18" s="454"/>
      <c r="H18" s="455"/>
      <c r="I18" s="92"/>
      <c r="J18" s="92"/>
    </row>
    <row r="19" spans="1:10" ht="77.5">
      <c r="A19" s="185" t="s">
        <v>3025</v>
      </c>
      <c r="B19" s="454" t="str">
        <f>"
Do not answer this question if the scheme is closed to accrual ("&amp;Questions!$D$10&amp;").
"</f>
        <v xml:space="preserve">
Do not answer this question if the scheme is closed to accrual (FIS 2.0).
</v>
      </c>
      <c r="C19" s="454" t="str">
        <f>"
Select ‘Yes’ if all active members belong to both a section that provides cash balance benefits and a section which is a collective money purchase scheme or ‘No’ if they do not. 
"</f>
        <v xml:space="preserve">
Select ‘Yes’ if all active members belong to both a section that provides cash balance benefits and a section which is a collective money purchase scheme or ‘No’ if they do not. 
</v>
      </c>
      <c r="D19" s="454"/>
      <c r="E19" s="454"/>
      <c r="F19" s="454"/>
      <c r="G19" s="454"/>
      <c r="H19" s="455"/>
      <c r="I19" s="92"/>
      <c r="J19" s="92"/>
    </row>
    <row r="20" spans="1:10" ht="62">
      <c r="A20" s="185" t="s">
        <v>3026</v>
      </c>
      <c r="B20" s="92" t="str">
        <f>"
Do not answer this question if the valuation is post-relevant date ("&amp;Questions!$D$14&amp;").
"</f>
        <v xml:space="preserve">
Do not answer this question if the valuation is post-relevant date (SH 10.0).
</v>
      </c>
      <c r="C20" s="92" t="str">
        <f>"
You must answer this question if the valuation is pre-relevant date ("&amp;Questions!$D$14&amp;").
"</f>
        <v xml:space="preserve">
You must answer this question if the valuation is pre-relevant date (SH 10.0).
</v>
      </c>
      <c r="D20" s="92" t="str">
        <f>"
Enter a valid date in the format dd/mm/yyyy.
"</f>
        <v xml:space="preserve">
Enter a valid date in the format dd/mm/yyyy.
</v>
      </c>
      <c r="E20" s="92"/>
      <c r="F20" s="92"/>
      <c r="G20" s="454"/>
      <c r="H20" s="455"/>
      <c r="I20" s="92"/>
      <c r="J20" s="92"/>
    </row>
    <row r="21" spans="1:10">
      <c r="A21" s="185" t="s">
        <v>3027</v>
      </c>
      <c r="B21" s="454" t="s">
        <v>3749</v>
      </c>
      <c r="C21" s="454"/>
      <c r="D21" s="454"/>
      <c r="E21" s="454"/>
      <c r="F21" s="454"/>
      <c r="G21" s="454"/>
      <c r="H21" s="455"/>
      <c r="I21" s="92"/>
      <c r="J21" s="92"/>
    </row>
    <row r="22" spans="1:10" ht="77.5">
      <c r="A22" s="185" t="s">
        <v>3028</v>
      </c>
      <c r="B22" s="454" t="str">
        <f>"
Enter a percentage value between 0 and 100.
"</f>
        <v xml:space="preserve">
Enter a percentage value between 0 and 100.
</v>
      </c>
      <c r="C22" s="454" t="str">
        <f>"
Enter a percentage value between 0 and 100.
"</f>
        <v xml:space="preserve">
Enter a percentage value between 0 and 100.
</v>
      </c>
      <c r="D22" s="454" t="str">
        <f>"
The sum of the intended investment allocation to matching assets (this question) and growth assets at the relevant date ("&amp;Questions!$D$395&amp;") must equal 100%.
"</f>
        <v xml:space="preserve">
The sum of the intended investment allocation to matching assets (this question) and growth assets at the relevant date (FIS 10.0) must equal 100%.
</v>
      </c>
      <c r="E22" s="454"/>
      <c r="F22" s="454"/>
      <c r="G22" s="454"/>
      <c r="H22" s="455"/>
      <c r="I22" s="92"/>
      <c r="J22" s="92"/>
    </row>
    <row r="23" spans="1:10" ht="77.5">
      <c r="A23" s="185" t="s">
        <v>3029</v>
      </c>
      <c r="B23" s="454" t="str">
        <f>"
Enter a percentage value between 0 and 100.
"</f>
        <v xml:space="preserve">
Enter a percentage value between 0 and 100.
</v>
      </c>
      <c r="C23" s="454" t="str">
        <f>"
Enter a percentage value between 0 and 100.
"</f>
        <v xml:space="preserve">
Enter a percentage value between 0 and 100.
</v>
      </c>
      <c r="D23" s="454" t="str">
        <f>"
The sum of the intended investment allocation to growth assets (this question) and matching assets at the relevant date ("&amp;Questions!$D$394&amp;") must equal 100%.
"</f>
        <v xml:space="preserve">
The sum of the intended investment allocation to growth assets (this question) and matching assets at the relevant date (FIS 9.0) must equal 100%.
</v>
      </c>
      <c r="E23" s="454"/>
      <c r="F23" s="454"/>
      <c r="G23" s="454"/>
      <c r="H23" s="455"/>
      <c r="I23" s="92"/>
      <c r="J23" s="92"/>
    </row>
    <row r="24" spans="1:10" ht="77.5">
      <c r="A24" s="185" t="s">
        <v>3030</v>
      </c>
      <c r="B24" s="454" t="str">
        <f>"
Select ‘Yes’ if there is a plan to allocate surplus investments at the relevant date in a different way to those that relate to the minimum funding level, or ‘No’ if there is not.
"</f>
        <v xml:space="preserve">
Select ‘Yes’ if there is a plan to allocate surplus investments at the relevant date in a different way to those that relate to the minimum funding level, or ‘No’ if there is not.
</v>
      </c>
      <c r="C24" s="454"/>
      <c r="D24" s="454"/>
      <c r="E24" s="454"/>
      <c r="F24" s="454"/>
      <c r="G24" s="454"/>
      <c r="H24" s="455"/>
      <c r="I24" s="92"/>
      <c r="J24" s="92"/>
    </row>
    <row r="25" spans="1:10" ht="77.5">
      <c r="A25" s="185" t="s">
        <v>3031</v>
      </c>
      <c r="B25" s="454" t="str">
        <f>"
Do not answer this question if there is not a plan to allocate surplus investments at the relevant date in a different way to those that relate to the minimum funding level ("&amp;Questions!$D$396&amp;").
"</f>
        <v xml:space="preserve">
Do not answer this question if there is not a plan to allocate surplus investments at the relevant date in a different way to those that relate to the minimum funding level (FIS 11.0).
</v>
      </c>
      <c r="C25" s="454" t="str">
        <f>"
Enter a percentage value between 0 and 100.
"</f>
        <v xml:space="preserve">
Enter a percentage value between 0 and 100.
</v>
      </c>
      <c r="D25" s="454" t="str">
        <f>"
The sum of intended investment allocation to growth assets (this question) and matching assets at the relevant date for the surplus allocation ("&amp;Questions!$D$398&amp;") must equal 100%.
"</f>
        <v xml:space="preserve">
The sum of intended investment allocation to growth assets (this question) and matching assets at the relevant date for the surplus allocation (FIS 13.0) must equal 100%.
</v>
      </c>
      <c r="E25" s="454"/>
      <c r="F25" s="454"/>
      <c r="G25" s="454"/>
      <c r="H25" s="455"/>
      <c r="I25" s="92"/>
      <c r="J25" s="92"/>
    </row>
    <row r="26" spans="1:10" ht="77.5">
      <c r="A26" s="185" t="s">
        <v>3032</v>
      </c>
      <c r="B26" s="454" t="str">
        <f>"
Do not answer this question if there is not a plan to allocate surplus investments at the relevant date in a different way to those that relate to the minimum funding level ("&amp;Questions!$D$396&amp;").
"</f>
        <v xml:space="preserve">
Do not answer this question if there is not a plan to allocate surplus investments at the relevant date in a different way to those that relate to the minimum funding level (FIS 11.0).
</v>
      </c>
      <c r="C26" s="454" t="str">
        <f>"
Enter a percentage value between 0 and 100.
"</f>
        <v xml:space="preserve">
Enter a percentage value between 0 and 100.
</v>
      </c>
      <c r="D26" s="454" t="str">
        <f>"
The sum of the intended investment allocation to matching assets and growth assets at the relevant date for the surplus allocation ("&amp;Questions!$D$397&amp;") must equal 100%.
"</f>
        <v xml:space="preserve">
The sum of the intended investment allocation to matching assets and growth assets at the relevant date for the surplus allocation (FIS 12.0) must equal 100%.
</v>
      </c>
      <c r="E26" s="454"/>
      <c r="F26" s="454"/>
      <c r="G26" s="454"/>
      <c r="H26" s="455"/>
      <c r="I26" s="92"/>
      <c r="J26" s="92"/>
    </row>
    <row r="27" spans="1:10" ht="46.5">
      <c r="A27" s="185" t="s">
        <v>3033</v>
      </c>
      <c r="B27" s="454" t="str">
        <f>"
The answer must be no more than 4000 characters.
"</f>
        <v xml:space="preserve">
The answer must be no more than 4000 characters.
</v>
      </c>
      <c r="C27" s="454"/>
      <c r="D27" s="454"/>
      <c r="E27" s="454"/>
      <c r="F27" s="454"/>
      <c r="G27" s="454"/>
      <c r="H27" s="455"/>
      <c r="I27" s="92"/>
      <c r="J27" s="92"/>
    </row>
    <row r="28" spans="1:10" ht="46.5">
      <c r="A28" s="185" t="s">
        <v>3034</v>
      </c>
      <c r="B28" s="454" t="str">
        <f>"
The answer must be no more than 4000 characters.
"</f>
        <v xml:space="preserve">
The answer must be no more than 4000 characters.
</v>
      </c>
      <c r="C28" s="454" t="str">
        <f>"
The answer must be no more than 4000 characters.
"</f>
        <v xml:space="preserve">
The answer must be no more than 4000 characters.
</v>
      </c>
      <c r="D28" s="454"/>
      <c r="E28" s="454"/>
      <c r="F28" s="454"/>
      <c r="G28" s="454"/>
      <c r="H28" s="455"/>
      <c r="I28" s="92"/>
      <c r="J28" s="92"/>
    </row>
    <row r="29" spans="1:10" ht="77.5">
      <c r="A29" s="185" t="s">
        <v>3035</v>
      </c>
      <c r="B29" s="454" t="str">
        <f>"
Select ‘Yes’ if the rates of contributions are determined unilaterally by the trustees and only the trustees can reduce those rates or suspend payment of contributions or ‘No’ if they are not.
"</f>
        <v xml:space="preserve">
Select ‘Yes’ if the rates of contributions are determined unilaterally by the trustees and only the trustees can reduce those rates or suspend payment of contributions or ‘No’ if they are not.
</v>
      </c>
      <c r="C29" s="454"/>
      <c r="D29" s="454"/>
      <c r="E29" s="454"/>
      <c r="F29" s="454"/>
      <c r="G29" s="454"/>
      <c r="H29" s="455"/>
      <c r="I29" s="92"/>
      <c r="J29" s="92"/>
    </row>
    <row r="30" spans="1:10" ht="62">
      <c r="A30" s="185" t="s">
        <v>3036</v>
      </c>
      <c r="B30" s="454" t="str">
        <f>"
Do not answer this question if the scheme follows a Fast Track approach ("&amp;Questions!$D$5&amp;").
"</f>
        <v xml:space="preserve">
Do not answer this question if the scheme follows a Fast Track approach (SH 13.0).
</v>
      </c>
      <c r="C30" s="454" t="str">
        <f>"
You must answer this question if the scheme follows a Bespoke approach ("&amp;Questions!$D$5&amp;").
"</f>
        <v xml:space="preserve">
You must answer this question if the scheme follows a Bespoke approach (SH 13.0).
</v>
      </c>
      <c r="D30" s="454" t="str">
        <f>"
The answer must be no more than 4000 characters.
"</f>
        <v xml:space="preserve">
The answer must be no more than 4000 characters.
</v>
      </c>
      <c r="E30" s="454"/>
      <c r="F30" s="454"/>
      <c r="G30" s="454"/>
      <c r="H30" s="455"/>
      <c r="I30" s="92"/>
      <c r="J30" s="92"/>
    </row>
    <row r="31" spans="1:10" ht="77.5">
      <c r="A31" s="185" t="s">
        <v>3037</v>
      </c>
      <c r="B31" s="92" t="str">
        <f>"
Do not answer this question if the valuation is post-relevant date ("&amp;Questions!$D$14&amp;") and the scheme is in deficit ("&amp;Questions!$D$13&amp;").
"</f>
        <v xml:space="preserve">
Do not answer this question if the valuation is post-relevant date (SH 10.0) and the scheme is in deficit (SH 12.0).
</v>
      </c>
      <c r="C31" s="92" t="str">
        <f>"
You must answer this question if the valuation is pre-relevant date ("&amp;Questions!$D$14&amp;").
"</f>
        <v xml:space="preserve">
You must answer this question if the valuation is pre-relevant date (SH 10.0).
</v>
      </c>
      <c r="D31" s="92" t="str">
        <f>"
You must answer this question if the valuation is post-relevant date ("&amp;Questions!$D$14&amp;") and the scheme is in surplus ("&amp;Questions!$D$13&amp;").
"</f>
        <v xml:space="preserve">
You must answer this question if the valuation is post-relevant date (SH 10.0) and the scheme is in surplus (SH 12.0).
</v>
      </c>
      <c r="E31" s="92" t="str">
        <f>"
Select ‘Yes’ if the trustees consider that the funding and investment strategy is being successfully implemented in all respects, or ‘No’ if they do not.
"</f>
        <v xml:space="preserve">
Select ‘Yes’ if the trustees consider that the funding and investment strategy is being successfully implemented in all respects, or ‘No’ if they do not.
</v>
      </c>
      <c r="F31" s="92"/>
      <c r="G31" s="454"/>
      <c r="H31" s="455"/>
      <c r="I31" s="92"/>
      <c r="J31" s="92"/>
    </row>
    <row r="32" spans="1:10" ht="77.5">
      <c r="A32" s="185" t="s">
        <v>3038</v>
      </c>
      <c r="B32" s="92" t="str">
        <f>"
Do not answer this question if the trustees consider the funding and investment strategy is being successfully implemented in all respects ("&amp;Questions!$D$110&amp;").
"</f>
        <v xml:space="preserve">
Do not answer this question if the trustees consider the funding and investment strategy is being successfully implemented in all respects (FIS 18.0).
</v>
      </c>
      <c r="C32" s="92" t="str">
        <f>"
You must answer this question if the trustees do not consider the funding and investment strategy is being successfully implemented in all respects ("&amp;Questions!$D$110&amp;").
"</f>
        <v xml:space="preserve">
You must answer this question if the trustees do not consider the funding and investment strategy is being successfully implemented in all respects (FIS 18.0).
</v>
      </c>
      <c r="D32" s="92" t="str">
        <f>"
You must answer this question if the valuation is post-relevant date ("&amp;Questions!$D$14&amp;") and the scheme is in deficit ("&amp;Questions!$D$13&amp;").
"</f>
        <v xml:space="preserve">
You must answer this question if the valuation is post-relevant date (SH 10.0) and the scheme is in deficit (SH 12.0).
</v>
      </c>
      <c r="E32" s="92" t="str">
        <f>"
The answer must be no more than 4000 characters.
"</f>
        <v xml:space="preserve">
The answer must be no more than 4000 characters.
</v>
      </c>
      <c r="F32" s="92"/>
      <c r="G32" s="454"/>
      <c r="H32" s="455"/>
      <c r="I32" s="92"/>
      <c r="J32" s="92"/>
    </row>
    <row r="33" spans="1:10" ht="77.5">
      <c r="A33" s="185" t="s">
        <v>3039</v>
      </c>
      <c r="B33" s="92" t="str">
        <f>"
Do not answer this question if the trustees consider the funding and investment strategy is being successfully implemented in all respects ("&amp;Questions!$D$110&amp;").
"</f>
        <v xml:space="preserve">
Do not answer this question if the trustees consider the funding and investment strategy is being successfully implemented in all respects (FIS 18.0).
</v>
      </c>
      <c r="C33" s="92" t="str">
        <f>"
You must answer this question if the trustees do not consider the funding and investment strategy is being successfully implemented in all respects ("&amp;Questions!$D$110&amp;").
"</f>
        <v xml:space="preserve">
You must answer this question if the trustees do not consider the funding and investment strategy is being successfully implemented in all respects (FIS 18.0).
</v>
      </c>
      <c r="D33" s="92" t="str">
        <f>"
You must answer this question if the valuation is post-relevant date ("&amp;Questions!$D$14&amp;") and the scheme is in deficit ("&amp;Questions!$D$13&amp;").
"</f>
        <v xml:space="preserve">
You must answer this question if the valuation is post-relevant date (SH 10.0) and the scheme is in deficit (SH 12.0).
</v>
      </c>
      <c r="E33" s="92" t="str">
        <f>"
The answer must be no more than 4000 characters.
"</f>
        <v xml:space="preserve">
The answer must be no more than 4000 characters.
</v>
      </c>
      <c r="F33" s="92"/>
      <c r="G33" s="454"/>
      <c r="H33" s="455"/>
      <c r="I33" s="92"/>
      <c r="J33" s="92"/>
    </row>
    <row r="34" spans="1:10" ht="62">
      <c r="A34" s="185" t="s">
        <v>3040</v>
      </c>
      <c r="B34" s="454" t="str">
        <f>"
You must answer this question. The answer must be no more than 4000 characters.
"</f>
        <v xml:space="preserve">
You must answer this question. The answer must be no more than 4000 characters.
</v>
      </c>
      <c r="C34" s="454" t="s">
        <v>3750</v>
      </c>
      <c r="D34" s="454"/>
      <c r="E34" s="454"/>
      <c r="F34" s="454"/>
      <c r="G34" s="454"/>
      <c r="H34" s="455"/>
      <c r="I34" s="92"/>
      <c r="J34" s="92"/>
    </row>
    <row r="35" spans="1:10" ht="62">
      <c r="A35" s="185" t="s">
        <v>3041</v>
      </c>
      <c r="B35" s="454" t="str">
        <f>"
Select ‘Yes’ if there are significant past decisions relevant to the funding and investment strategy, or ‘No’ if there are not.
"</f>
        <v xml:space="preserve">
Select ‘Yes’ if there are significant past decisions relevant to the funding and investment strategy, or ‘No’ if there are not.
</v>
      </c>
      <c r="C35" s="454" t="str">
        <f>"
Select ‘Yes’ if there are significant past decisions relevant to the funding and investment strategy, or ‘No’ if there are not.
"</f>
        <v xml:space="preserve">
Select ‘Yes’ if there are significant past decisions relevant to the funding and investment strategy, or ‘No’ if there are not.
</v>
      </c>
      <c r="D35" s="454"/>
      <c r="E35" s="454"/>
      <c r="F35" s="454"/>
      <c r="G35" s="454"/>
      <c r="H35" s="455"/>
      <c r="I35" s="92"/>
      <c r="J35" s="92"/>
    </row>
    <row r="36" spans="1:10" ht="62">
      <c r="A36" s="185" t="s">
        <v>3042</v>
      </c>
      <c r="B36" s="454" t="str">
        <f>"
Do not answer this question if there are not any significant past decisions relevant to the funding and investment strategy ("&amp;Questions!$D$391&amp;").
"</f>
        <v xml:space="preserve">
Do not answer this question if there are not any significant past decisions relevant to the funding and investment strategy (FIS 22.0).
</v>
      </c>
      <c r="C36" s="454" t="str">
        <f>"
You must answer this question if there are significant past decisions relevant to the funding and investment strategy ("&amp;Questions!$D$391&amp;").
"</f>
        <v xml:space="preserve">
You must answer this question if there are significant past decisions relevant to the funding and investment strategy (FIS 22.0).
</v>
      </c>
      <c r="D36" s="454" t="str">
        <f>"
The answer must be no more than 4000 characters.
"</f>
        <v xml:space="preserve">
The answer must be no more than 4000 characters.
</v>
      </c>
      <c r="E36" s="454"/>
      <c r="F36" s="454"/>
      <c r="G36" s="454"/>
      <c r="H36" s="455"/>
      <c r="I36" s="92"/>
      <c r="J36" s="92"/>
    </row>
    <row r="37" spans="1:10" ht="46.5">
      <c r="A37" s="185" t="s">
        <v>3043</v>
      </c>
      <c r="B37" s="454" t="s">
        <v>3751</v>
      </c>
      <c r="C37" s="454" t="s">
        <v>3752</v>
      </c>
      <c r="D37" s="454"/>
      <c r="E37" s="454"/>
      <c r="F37" s="454"/>
      <c r="G37" s="454"/>
      <c r="H37" s="455"/>
      <c r="I37" s="92"/>
      <c r="J37" s="92"/>
    </row>
    <row r="38" spans="1:10" ht="62">
      <c r="A38" s="185" t="s">
        <v>3044</v>
      </c>
      <c r="B38" s="454" t="str">
        <f>"
Select ‘Yes' if the valuation includes cash balance liabilities’ or ‘No' if it does not.
"</f>
        <v xml:space="preserve">
Select ‘Yes' if the valuation includes cash balance liabilities’ or ‘No' if it does not.
</v>
      </c>
      <c r="C38" s="454" t="str">
        <f>"
Select ‘Yes' if the valuation includes cash balance liabilities’ or ‘No' if it does not.
"</f>
        <v xml:space="preserve">
Select ‘Yes' if the valuation includes cash balance liabilities’ or ‘No' if it does not.
</v>
      </c>
      <c r="D38" s="454"/>
      <c r="E38" s="454"/>
      <c r="F38" s="454"/>
      <c r="G38" s="454"/>
      <c r="H38" s="455"/>
      <c r="I38" s="92"/>
      <c r="J38" s="92"/>
    </row>
    <row r="39" spans="1:10" ht="62">
      <c r="A39" s="185" t="s">
        <v>3045</v>
      </c>
      <c r="B39" s="92" t="str">
        <f>"
Enter a value equal to or greater than 0 and less than 1,000,000,000,000 (1 trillion). It can be accurate to two decimal places.
"</f>
        <v xml:space="preserve">
Enter a value equal to or greater than 0 and less than 1,000,000,000,000 (1 trillion). It can be accurate to two decimal places.
</v>
      </c>
      <c r="C39" s="92" t="str">
        <f t="shared" ref="C39:F46" si="0">"
Enter a value equal to or greater than 0 and less than 1,000,000,000,000 (1 trillion). It can be accurate to two decimal places.
"</f>
        <v xml:space="preserve">
Enter a value equal to or greater than 0 and less than 1,000,000,000,000 (1 trillion). It can be accurate to two decimal places.
</v>
      </c>
      <c r="D39" s="92" t="str">
        <f t="shared" si="0"/>
        <v xml:space="preserve">
Enter a value equal to or greater than 0 and less than 1,000,000,000,000 (1 trillion). It can be accurate to two decimal places.
</v>
      </c>
      <c r="E39" s="92" t="str">
        <f>"
Enter a value equal to or greater than 0 and less than 1,000,000,000,000 (1 trillion). It can be accurate to two decimal places.
"</f>
        <v xml:space="preserve">
Enter a value equal to or greater than 0 and less than 1,000,000,000,000 (1 trillion). It can be accurate to two decimal places.
</v>
      </c>
      <c r="F39" s="92"/>
      <c r="G39" s="454"/>
      <c r="H39" s="455"/>
      <c r="I39" s="92"/>
      <c r="J39" s="92"/>
    </row>
    <row r="40" spans="1:10" ht="62">
      <c r="A40" s="185" t="s">
        <v>3046</v>
      </c>
      <c r="B40" s="92" t="str">
        <f t="shared" ref="B40:E47" si="1">"
Enter a value equal to or greater than 0 and less than 1,000,000,000,000 (1 trillion). It can be accurate to two decimal places.
"</f>
        <v xml:space="preserve">
Enter a value equal to or greater than 0 and less than 1,000,000,000,000 (1 trillion). It can be accurate to two decimal places.
</v>
      </c>
      <c r="C40" s="92" t="str">
        <f t="shared" si="0"/>
        <v xml:space="preserve">
Enter a value equal to or greater than 0 and less than 1,000,000,000,000 (1 trillion). It can be accurate to two decimal places.
</v>
      </c>
      <c r="D40" s="92" t="str">
        <f t="shared" si="0"/>
        <v xml:space="preserve">
Enter a value equal to or greater than 0 and less than 1,000,000,000,000 (1 trillion). It can be accurate to two decimal places.
</v>
      </c>
      <c r="E40" s="92" t="str">
        <f t="shared" si="0"/>
        <v xml:space="preserve">
Enter a value equal to or greater than 0 and less than 1,000,000,000,000 (1 trillion). It can be accurate to two decimal places.
</v>
      </c>
      <c r="F40" s="92"/>
      <c r="G40" s="454"/>
      <c r="H40" s="455"/>
      <c r="I40" s="92"/>
      <c r="J40" s="92"/>
    </row>
    <row r="41" spans="1:10" ht="62">
      <c r="A41" s="185" t="s">
        <v>3047</v>
      </c>
      <c r="B41" s="92" t="str">
        <f t="shared" si="1"/>
        <v xml:space="preserve">
Enter a value equal to or greater than 0 and less than 1,000,000,000,000 (1 trillion). It can be accurate to two decimal places.
</v>
      </c>
      <c r="C41" s="92" t="str">
        <f t="shared" si="0"/>
        <v xml:space="preserve">
Enter a value equal to or greater than 0 and less than 1,000,000,000,000 (1 trillion). It can be accurate to two decimal places.
</v>
      </c>
      <c r="D41" s="92" t="str">
        <f t="shared" si="0"/>
        <v xml:space="preserve">
Enter a value equal to or greater than 0 and less than 1,000,000,000,000 (1 trillion). It can be accurate to two decimal places.
</v>
      </c>
      <c r="E41" s="92" t="str">
        <f t="shared" si="0"/>
        <v xml:space="preserve">
Enter a value equal to or greater than 0 and less than 1,000,000,000,000 (1 trillion). It can be accurate to two decimal places.
</v>
      </c>
      <c r="F41" s="92"/>
      <c r="G41" s="454"/>
      <c r="H41" s="455"/>
      <c r="I41" s="92"/>
      <c r="J41" s="92"/>
    </row>
    <row r="42" spans="1:10" ht="62">
      <c r="A42" s="185" t="s">
        <v>3048</v>
      </c>
      <c r="B42" s="92" t="str">
        <f t="shared" si="1"/>
        <v xml:space="preserve">
Enter a value equal to or greater than 0 and less than 1,000,000,000,000 (1 trillion). It can be accurate to two decimal places.
</v>
      </c>
      <c r="C42" s="92" t="str">
        <f t="shared" si="0"/>
        <v xml:space="preserve">
Enter a value equal to or greater than 0 and less than 1,000,000,000,000 (1 trillion). It can be accurate to two decimal places.
</v>
      </c>
      <c r="D42" s="92" t="str">
        <f t="shared" si="0"/>
        <v xml:space="preserve">
Enter a value equal to or greater than 0 and less than 1,000,000,000,000 (1 trillion). It can be accurate to two decimal places.
</v>
      </c>
      <c r="E42" s="92" t="str">
        <f t="shared" si="0"/>
        <v xml:space="preserve">
Enter a value equal to or greater than 0 and less than 1,000,000,000,000 (1 trillion). It can be accurate to two decimal places.
</v>
      </c>
      <c r="F42" s="92"/>
      <c r="G42" s="454"/>
      <c r="H42" s="455"/>
      <c r="I42" s="92"/>
      <c r="J42" s="92"/>
    </row>
    <row r="43" spans="1:10" ht="62">
      <c r="A43" s="185" t="s">
        <v>3049</v>
      </c>
      <c r="B43" s="92" t="str">
        <f t="shared" si="1"/>
        <v xml:space="preserve">
Enter a value equal to or greater than 0 and less than 1,000,000,000,000 (1 trillion). It can be accurate to two decimal places.
</v>
      </c>
      <c r="C43" s="92" t="str">
        <f t="shared" si="0"/>
        <v xml:space="preserve">
Enter a value equal to or greater than 0 and less than 1,000,000,000,000 (1 trillion). It can be accurate to two decimal places.
</v>
      </c>
      <c r="D43" s="92" t="str">
        <f t="shared" si="0"/>
        <v xml:space="preserve">
Enter a value equal to or greater than 0 and less than 1,000,000,000,000 (1 trillion). It can be accurate to two decimal places.
</v>
      </c>
      <c r="E43" s="92" t="str">
        <f t="shared" si="0"/>
        <v xml:space="preserve">
Enter a value equal to or greater than 0 and less than 1,000,000,000,000 (1 trillion). It can be accurate to two decimal places.
</v>
      </c>
      <c r="F43" s="92"/>
      <c r="G43" s="92"/>
      <c r="H43" s="455"/>
      <c r="I43" s="92"/>
      <c r="J43" s="92"/>
    </row>
    <row r="44" spans="1:10" ht="77.5">
      <c r="A44" s="185" t="s">
        <v>3050</v>
      </c>
      <c r="B44" s="92" t="str">
        <f t="shared" si="1"/>
        <v xml:space="preserve">
Enter a value equal to or greater than 0 and less than 1,000,000,000,000 (1 trillion). It can be accurate to two decimal places.
</v>
      </c>
      <c r="C44" s="92" t="str">
        <f>"
Do not answer this question if the scheme does not have any defined contributions (DC) liabilities or DC additional voluntary contributions (AVCs) that have been included in the actuarial valuation ("&amp;Questions!$D$28&amp;").
"</f>
        <v xml:space="preserve">
Do not answer this question if the scheme does not have any defined contributions (DC) liabilities or DC additional voluntary contributions (AVCs) that have been included in the actuarial valuation (SAV 1.0).
</v>
      </c>
      <c r="D44" s="92" t="str">
        <f t="shared" si="0"/>
        <v xml:space="preserve">
Enter a value equal to or greater than 0 and less than 1,000,000,000,000 (1 trillion). It can be accurate to two decimal places.
</v>
      </c>
      <c r="E44" s="92" t="str">
        <f t="shared" si="0"/>
        <v xml:space="preserve">
Enter a value equal to or greater than 0 and less than 1,000,000,000,000 (1 trillion). It can be accurate to two decimal places.
</v>
      </c>
      <c r="F44" s="92" t="str">
        <f t="shared" si="0"/>
        <v xml:space="preserve">
Enter a value equal to or greater than 0 and less than 1,000,000,000,000 (1 trillion). It can be accurate to two decimal places.
</v>
      </c>
      <c r="G44" s="92"/>
      <c r="H44" s="455"/>
      <c r="I44" s="92"/>
      <c r="J44" s="92"/>
    </row>
    <row r="45" spans="1:10" ht="62">
      <c r="A45" s="185" t="s">
        <v>3051</v>
      </c>
      <c r="B45" s="92" t="str">
        <f t="shared" si="1"/>
        <v xml:space="preserve">
Enter a value equal to or greater than 0 and less than 1,000,000,000,000 (1 trillion). It can be accurate to two decimal places.
</v>
      </c>
      <c r="C45" s="92" t="str">
        <f>"
Do not answer this question if the valuation does not include any cash liabilities ("&amp;Questions!$D$29&amp;").
"</f>
        <v xml:space="preserve">
Do not answer this question if the valuation does not include any cash liabilities (SAV 2.0).
</v>
      </c>
      <c r="D45" s="92" t="str">
        <f t="shared" si="0"/>
        <v xml:space="preserve">
Enter a value equal to or greater than 0 and less than 1,000,000,000,000 (1 trillion). It can be accurate to two decimal places.
</v>
      </c>
      <c r="E45" s="92" t="str">
        <f t="shared" si="0"/>
        <v xml:space="preserve">
Enter a value equal to or greater than 0 and less than 1,000,000,000,000 (1 trillion). It can be accurate to two decimal places.
</v>
      </c>
      <c r="F45" s="92" t="str">
        <f t="shared" si="0"/>
        <v xml:space="preserve">
Enter a value equal to or greater than 0 and less than 1,000,000,000,000 (1 trillion). It can be accurate to two decimal places.
</v>
      </c>
      <c r="G45" s="92"/>
      <c r="H45" s="455"/>
      <c r="I45" s="92"/>
      <c r="J45" s="92"/>
    </row>
    <row r="46" spans="1:10" ht="62">
      <c r="A46" s="185" t="s">
        <v>3052</v>
      </c>
      <c r="B46" s="92" t="str">
        <f t="shared" si="1"/>
        <v xml:space="preserve">
Enter a value equal to or greater than 0 and less than 1,000,000,000,000 (1 trillion). It can be accurate to two decimal places.
</v>
      </c>
      <c r="C46" s="92" t="str">
        <f t="shared" si="1"/>
        <v xml:space="preserve">
Enter a value equal to or greater than 0 and less than 1,000,000,000,000 (1 trillion). It can be accurate to two decimal places.
</v>
      </c>
      <c r="D46" s="92" t="str">
        <f t="shared" si="0"/>
        <v xml:space="preserve">
Enter a value equal to or greater than 0 and less than 1,000,000,000,000 (1 trillion). It can be accurate to two decimal places.
</v>
      </c>
      <c r="E46" s="92" t="str">
        <f t="shared" si="0"/>
        <v xml:space="preserve">
Enter a value equal to or greater than 0 and less than 1,000,000,000,000 (1 trillion). It can be accurate to two decimal places.
</v>
      </c>
      <c r="F46" s="92"/>
      <c r="G46" s="454"/>
      <c r="H46" s="455"/>
      <c r="I46" s="92"/>
      <c r="J46" s="92"/>
    </row>
    <row r="47" spans="1:10" ht="62">
      <c r="A47" s="185" t="s">
        <v>3053</v>
      </c>
      <c r="B47" s="92" t="str">
        <f t="shared" si="1"/>
        <v xml:space="preserve">
Enter a value equal to or greater than 0 and less than 1,000,000,000,000 (1 trillion). It can be accurate to two decimal places.
</v>
      </c>
      <c r="C47" s="92" t="str">
        <f t="shared" si="1"/>
        <v xml:space="preserve">
Enter a value equal to or greater than 0 and less than 1,000,000,000,000 (1 trillion). It can be accurate to two decimal places.
</v>
      </c>
      <c r="D47" s="92" t="str">
        <f t="shared" si="1"/>
        <v xml:space="preserve">
Enter a value equal to or greater than 0 and less than 1,000,000,000,000 (1 trillion). It can be accurate to two decimal places.
</v>
      </c>
      <c r="E47" s="92" t="str">
        <f t="shared" si="1"/>
        <v xml:space="preserve">
Enter a value equal to or greater than 0 and less than 1,000,000,000,000 (1 trillion). It can be accurate to two decimal places.
</v>
      </c>
      <c r="F47" s="92" t="s">
        <v>3753</v>
      </c>
      <c r="G47" s="454"/>
      <c r="H47" s="455"/>
      <c r="I47" s="92"/>
      <c r="J47" s="92"/>
    </row>
    <row r="48" spans="1:10" ht="46.5">
      <c r="A48" s="185" t="s">
        <v>3054</v>
      </c>
      <c r="B48" s="454" t="str">
        <f>"
You must answer this question if the scheme is open to accrual ("&amp;Questions!$D$10&amp;").
"</f>
        <v xml:space="preserve">
You must answer this question if the scheme is open to accrual (FIS 2.0).
</v>
      </c>
      <c r="C48" s="454" t="str">
        <f>"
Do not answer this question if the scheme is closed to accrual ("&amp;Questions!$D$10&amp;").
"</f>
        <v xml:space="preserve">
Do not answer this question if the scheme is closed to accrual (FIS 2.0).
</v>
      </c>
      <c r="D48" s="454" t="str">
        <f>"
Enter a percentage value that is equal to or greater than 0.
"</f>
        <v xml:space="preserve">
Enter a percentage value that is equal to or greater than 0.
</v>
      </c>
      <c r="E48" s="454"/>
      <c r="F48" s="454"/>
      <c r="G48" s="454"/>
      <c r="H48" s="455"/>
      <c r="I48" s="92"/>
      <c r="J48" s="92"/>
    </row>
    <row r="49" spans="1:10" ht="62">
      <c r="A49" s="185" t="s">
        <v>3055</v>
      </c>
      <c r="B49" s="92" t="str">
        <f>"
You must answer this question if the scheme is open to accrual ("&amp;Questions!$D$10&amp;").
"</f>
        <v xml:space="preserve">
You must answer this question if the scheme is open to accrual (FIS 2.0).
</v>
      </c>
      <c r="C49" s="92" t="str">
        <f>"
Do not answer this question if the scheme is closed to accrual ("&amp;Questions!$D$10&amp;").
"</f>
        <v xml:space="preserve">
Do not answer this question if the scheme is closed to accrual (FIS 2.0).
</v>
      </c>
      <c r="D49" s="92" t="s">
        <v>3754</v>
      </c>
      <c r="E49" s="92"/>
      <c r="F49" s="92"/>
      <c r="G49" s="454"/>
      <c r="H49" s="455"/>
      <c r="I49" s="92"/>
      <c r="J49" s="92"/>
    </row>
    <row r="50" spans="1:10" ht="62">
      <c r="A50" s="185" t="s">
        <v>3056</v>
      </c>
      <c r="B50" s="92" t="str">
        <f>"
Enter a value equal to or greater than 0 and less than 1,000,000,000,000 (1 trillion). It can be accurate to two decimal places.
"</f>
        <v xml:space="preserve">
Enter a value equal to or greater than 0 and less than 1,000,000,000,000 (1 trillion). It can be accurate to two decimal places.
</v>
      </c>
      <c r="C50" s="92" t="str">
        <f>"
Enter a value equal to or greater than 0 and less than 1,000,000,000,000 (1 trillion). It can be accurate to two decimal places 
"</f>
        <v xml:space="preserve">
Enter a value equal to or greater than 0 and less than 1,000,000,000,000 (1 trillion). It can be accurate to two decimal places 
</v>
      </c>
      <c r="D50" s="92" t="s">
        <v>3755</v>
      </c>
      <c r="E50" s="92" t="s">
        <v>3755</v>
      </c>
      <c r="F50" s="92"/>
      <c r="G50" s="454"/>
      <c r="H50" s="455"/>
      <c r="I50" s="92"/>
      <c r="J50" s="92"/>
    </row>
    <row r="51" spans="1:10" ht="62">
      <c r="A51" s="185" t="s">
        <v>3057</v>
      </c>
      <c r="B51" s="92" t="str">
        <f>"
Enter a value equal to or greater than 0 and less than 1,000,000,000,000 (1 trillion). It can be accurate to two decimal places.
"</f>
        <v xml:space="preserve">
Enter a value equal to or greater than 0 and less than 1,000,000,000,000 (1 trillion). It can be accurate to two decimal places.
</v>
      </c>
      <c r="C51" s="92" t="str">
        <f>"
Enter a value equal to or greater than 0 and less than 1,000,000,000,000 (1 trillion). It can be accurate to two decimal places 
"</f>
        <v xml:space="preserve">
Enter a value equal to or greater than 0 and less than 1,000,000,000,000 (1 trillion). It can be accurate to two decimal places 
</v>
      </c>
      <c r="D51" s="92" t="s">
        <v>3755</v>
      </c>
      <c r="E51" s="92" t="s">
        <v>3755</v>
      </c>
      <c r="F51" s="92"/>
      <c r="G51" s="454"/>
      <c r="H51" s="455"/>
      <c r="I51" s="92"/>
      <c r="J51" s="92"/>
    </row>
    <row r="52" spans="1:10" ht="62">
      <c r="A52" s="185" t="s">
        <v>3058</v>
      </c>
      <c r="B52" s="92" t="str">
        <f>"
Enter a value equal to or greater than 0 and less than 1,000,000,000,000 (1 trillion). It can be accurate to two decimal places.
"</f>
        <v xml:space="preserve">
Enter a value equal to or greater than 0 and less than 1,000,000,000,000 (1 trillion). It can be accurate to two decimal places.
</v>
      </c>
      <c r="C52" s="92" t="s">
        <v>3755</v>
      </c>
      <c r="D52" s="92" t="s">
        <v>3755</v>
      </c>
      <c r="E52" s="92" t="s">
        <v>3755</v>
      </c>
      <c r="F52" s="92"/>
      <c r="G52" s="454"/>
      <c r="H52" s="455"/>
      <c r="I52" s="92"/>
      <c r="J52" s="92"/>
    </row>
    <row r="53" spans="1:10" ht="62">
      <c r="A53" s="185" t="s">
        <v>3059</v>
      </c>
      <c r="B53" s="92" t="str">
        <f>"
Enter a value equal to or greater than 0 and less than 1,000,000,000,000 (1 trillion). It can be accurate to two decimal places.
"</f>
        <v xml:space="preserve">
Enter a value equal to or greater than 0 and less than 1,000,000,000,000 (1 trillion). It can be accurate to two decimal places.
</v>
      </c>
      <c r="C53" s="92" t="s">
        <v>3755</v>
      </c>
      <c r="D53" s="92" t="s">
        <v>3755</v>
      </c>
      <c r="E53" s="92" t="s">
        <v>3755</v>
      </c>
      <c r="F53" s="92"/>
      <c r="G53" s="454"/>
      <c r="H53" s="455"/>
      <c r="I53" s="92"/>
      <c r="J53" s="92"/>
    </row>
    <row r="54" spans="1:10" ht="62">
      <c r="A54" s="185" t="s">
        <v>3060</v>
      </c>
      <c r="B54" s="92" t="str">
        <f>"
Enter a value equal to or greater than 0 and less than 1,000,000,000,000 (1 trillion). It can be accurate to two decimal places.
"</f>
        <v xml:space="preserve">
Enter a value equal to or greater than 0 and less than 1,000,000,000,000 (1 trillion). It can be accurate to two decimal places.
</v>
      </c>
      <c r="C54" s="92" t="s">
        <v>3755</v>
      </c>
      <c r="D54" s="92" t="s">
        <v>3755</v>
      </c>
      <c r="E54" s="92" t="s">
        <v>3755</v>
      </c>
      <c r="F54" s="92"/>
      <c r="G54" s="454"/>
      <c r="H54" s="455"/>
      <c r="I54" s="92"/>
      <c r="J54" s="92"/>
    </row>
    <row r="55" spans="1:10" ht="93">
      <c r="A55" s="185" t="s">
        <v>3061</v>
      </c>
      <c r="B55" s="92" t="str">
        <f>"
You must answer this question if you indicated the scheme has defined contributions (DC) liabilities or DC additional voluntary contributions (AVCs) that have been included in the actuarial valuation ("&amp;Questions!$D$28&amp;").
"</f>
        <v xml:space="preserve">
You must answer this question if you indicated the scheme has defined contributions (DC) liabilities or DC additional voluntary contributions (AVCs) that have been included in the actuarial valuation (SAV 1.0).
</v>
      </c>
      <c r="C55" s="92" t="str">
        <f>"
Do not answer this question if you indicated the scheme does not have any defined contributions (DC) liabilities or DC additional voluntary contributions (AVC) that have been included in the actuarial valuation in question("&amp;Questions!$D$28&amp;")
"</f>
        <v xml:space="preserve">
Do not answer this question if you indicated the scheme does not have any defined contributions (DC) liabilities or DC additional voluntary contributions (AVC) that have been included in the actuarial valuation in question(SAV 1.0)
</v>
      </c>
      <c r="D55" s="92" t="s">
        <v>3755</v>
      </c>
      <c r="E55" s="92" t="s">
        <v>3755</v>
      </c>
      <c r="F55" s="92" t="s">
        <v>3755</v>
      </c>
      <c r="G55" s="454"/>
      <c r="H55" s="455"/>
      <c r="I55" s="92"/>
      <c r="J55" s="92"/>
    </row>
    <row r="56" spans="1:10" ht="62">
      <c r="A56" s="185" t="s">
        <v>3062</v>
      </c>
      <c r="B56" s="92" t="str">
        <f>"
You must answer this question if you indicated the valuation includes cash balance liabilities ("&amp;Questions!$D$29&amp;").
"</f>
        <v xml:space="preserve">
You must answer this question if you indicated the valuation includes cash balance liabilities (SAV 2.0).
</v>
      </c>
      <c r="C56" s="92" t="str">
        <f>"
Do not answer this question if you indicated the the valuation does not include any cash balance liabilities in question ("&amp;Questions!$D$29&amp;").
"</f>
        <v xml:space="preserve">
Do not answer this question if you indicated the the valuation does not include any cash balance liabilities in question (SAV 2.0).
</v>
      </c>
      <c r="D56" s="92" t="s">
        <v>3755</v>
      </c>
      <c r="E56" s="92" t="s">
        <v>3755</v>
      </c>
      <c r="F56" s="92" t="s">
        <v>3755</v>
      </c>
      <c r="G56" s="454"/>
      <c r="H56" s="455"/>
      <c r="I56" s="92"/>
      <c r="J56" s="92"/>
    </row>
    <row r="57" spans="1:10" ht="62">
      <c r="A57" s="185" t="s">
        <v>3063</v>
      </c>
      <c r="B57" s="92" t="s">
        <v>3755</v>
      </c>
      <c r="C57" s="92" t="s">
        <v>3755</v>
      </c>
      <c r="D57" s="92" t="s">
        <v>3755</v>
      </c>
      <c r="E57" s="92" t="s">
        <v>3755</v>
      </c>
      <c r="F57" s="92"/>
      <c r="G57" s="454"/>
      <c r="H57" s="455"/>
      <c r="I57" s="92"/>
      <c r="J57" s="92"/>
    </row>
    <row r="58" spans="1:10" ht="62">
      <c r="A58" s="185" t="s">
        <v>3064</v>
      </c>
      <c r="B58" s="92" t="s">
        <v>3755</v>
      </c>
      <c r="C58" s="92" t="s">
        <v>3755</v>
      </c>
      <c r="D58" s="92" t="s">
        <v>3755</v>
      </c>
      <c r="E58" s="92" t="s">
        <v>3755</v>
      </c>
      <c r="F58" s="92" t="str">
        <f>"
The amount entered must match the sum of the amounts entered for the low dependency liabilities and expenses categories.
"</f>
        <v xml:space="preserve">
The amount entered must match the sum of the amounts entered for the low dependency liabilities and expenses categories.
</v>
      </c>
      <c r="G58" s="454"/>
      <c r="H58" s="455"/>
      <c r="I58" s="92"/>
      <c r="J58" s="92"/>
    </row>
    <row r="59" spans="1:10" ht="77.5">
      <c r="A59" s="185" t="s">
        <v>3065</v>
      </c>
      <c r="B59" s="454" t="str">
        <f>"
Enter a percentage value that is equal to or greater than 0.
"</f>
        <v xml:space="preserve">
Enter a percentage value that is equal to or greater than 0.
</v>
      </c>
      <c r="C59" s="454" t="str">
        <f>"
Enter a percentage value that is equal to or greater than 0.
"</f>
        <v xml:space="preserve">
Enter a percentage value that is equal to or greater than 0.
</v>
      </c>
      <c r="D59" s="454" t="str">
        <f>"
The value entered must be the value of 'Low dependency basis: total scheme assets' divided by 'Low dependency basis: total liabilities' expressed as a percentage. It can be accurate to two decimal places. 
"</f>
        <v xml:space="preserve">
The value entered must be the value of 'Low dependency basis: total scheme assets' divided by 'Low dependency basis: total liabilities' expressed as a percentage. It can be accurate to two decimal places. 
</v>
      </c>
      <c r="E59" s="454"/>
      <c r="F59" s="454"/>
      <c r="G59" s="454"/>
      <c r="H59" s="455"/>
      <c r="I59" s="92"/>
      <c r="J59" s="92"/>
    </row>
    <row r="60" spans="1:10" ht="77.5">
      <c r="A60" s="185" t="s">
        <v>3066</v>
      </c>
      <c r="B60" s="454" t="s">
        <v>3756</v>
      </c>
      <c r="C60" s="454" t="s">
        <v>3756</v>
      </c>
      <c r="D60" s="454" t="str">
        <f>"
The value entered must be the value of 'Technical provisions basis: total scheme assets' divided by 'Technical provisions basis: total liabilities' expressed as a percentage. It can be accurate to two decimal places. 
"</f>
        <v xml:space="preserve">
The value entered must be the value of 'Technical provisions basis: total scheme assets' divided by 'Technical provisions basis: total liabilities' expressed as a percentage. It can be accurate to two decimal places. 
</v>
      </c>
      <c r="E60" s="454"/>
      <c r="F60" s="454"/>
      <c r="G60" s="454"/>
      <c r="H60" s="455"/>
      <c r="I60" s="92"/>
      <c r="J60" s="92"/>
    </row>
    <row r="61" spans="1:10" ht="62">
      <c r="A61" s="185" t="s">
        <v>3067</v>
      </c>
      <c r="B61" s="454" t="str">
        <f>"
Enter a value equal to or greater than 0 and less than 1,000,000,000,000 (1 trillion). It can be accurate to two decimal places.
"</f>
        <v xml:space="preserve">
Enter a value equal to or greater than 0 and less than 1,000,000,000,000 (1 trillion). It can be accurate to two decimal places.
</v>
      </c>
      <c r="C61" s="454"/>
      <c r="D61" s="454"/>
      <c r="E61" s="454"/>
      <c r="F61" s="454"/>
      <c r="G61" s="454"/>
      <c r="H61" s="455"/>
      <c r="I61" s="92"/>
      <c r="J61" s="92"/>
    </row>
    <row r="62" spans="1:10" ht="62">
      <c r="A62" s="185" t="s">
        <v>3068</v>
      </c>
      <c r="B62" s="454" t="str">
        <f>"
Enter a value equal to or greater than 0 and less than 1,000,000,000,000 (1 trillion). It can be accurate to two decimal places.
"</f>
        <v xml:space="preserve">
Enter a value equal to or greater than 0 and less than 1,000,000,000,000 (1 trillion). It can be accurate to two decimal places.
</v>
      </c>
      <c r="C62" s="454"/>
      <c r="D62" s="454"/>
      <c r="E62" s="454"/>
      <c r="F62" s="454"/>
      <c r="G62" s="454"/>
      <c r="H62" s="455"/>
      <c r="I62" s="92"/>
      <c r="J62" s="92"/>
    </row>
    <row r="63" spans="1:10" ht="62">
      <c r="A63" s="185" t="s">
        <v>3069</v>
      </c>
      <c r="B63" s="454" t="str">
        <f>"
Enter a value equal to or greater than 0 and less than 1,000,000,000,000 (1 trillion). It can be accurate to two decimal places.
"</f>
        <v xml:space="preserve">
Enter a value equal to or greater than 0 and less than 1,000,000,000,000 (1 trillion). It can be accurate to two decimal places.
</v>
      </c>
      <c r="C63" s="454"/>
      <c r="D63" s="454"/>
      <c r="E63" s="454"/>
      <c r="F63" s="454"/>
      <c r="G63" s="454"/>
      <c r="H63" s="455"/>
      <c r="I63" s="92"/>
      <c r="J63" s="92"/>
    </row>
    <row r="64" spans="1:10" ht="62">
      <c r="A64" s="185" t="s">
        <v>3070</v>
      </c>
      <c r="B64" s="454" t="str">
        <f>"
Enter a value equal to or greater than 0 and less than 1,000,000,000,000 (1 trillion). It can be accurate to two decimal places.
"</f>
        <v xml:space="preserve">
Enter a value equal to or greater than 0 and less than 1,000,000,000,000 (1 trillion). It can be accurate to two decimal places.
</v>
      </c>
      <c r="C64" s="454"/>
      <c r="D64" s="454"/>
      <c r="E64" s="454"/>
      <c r="F64" s="454"/>
      <c r="G64" s="454"/>
      <c r="H64" s="455"/>
      <c r="I64" s="92"/>
      <c r="J64" s="92"/>
    </row>
    <row r="65" spans="1:10" ht="62">
      <c r="A65" s="185" t="s">
        <v>3071</v>
      </c>
      <c r="B65" s="454" t="str">
        <f>"
Enter a value equal to or greater than 0 and less than 1,000,000,000,000 (1 trillion). It can be accurate to two decimal places.
"</f>
        <v xml:space="preserve">
Enter a value equal to or greater than 0 and less than 1,000,000,000,000 (1 trillion). It can be accurate to two decimal places.
</v>
      </c>
      <c r="C65" s="454"/>
      <c r="D65" s="454"/>
      <c r="E65" s="454"/>
      <c r="F65" s="454"/>
      <c r="G65" s="454"/>
      <c r="H65" s="455"/>
      <c r="I65" s="92"/>
      <c r="J65" s="92"/>
    </row>
    <row r="66" spans="1:10" ht="77.5">
      <c r="A66" s="185" t="s">
        <v>3072</v>
      </c>
      <c r="B66" s="454" t="str">
        <f>"
You must answer this question when the scheme has defined contributions (DC) liabilities or DC additional voluntary contributions (AVC) that have been included in the actuarial valuation ("&amp;Questions!$D$28&amp;").
"</f>
        <v xml:space="preserve">
You must answer this question when the scheme has defined contributions (DC) liabilities or DC additional voluntary contributions (AVC) that have been included in the actuarial valuation (SAV 1.0).
</v>
      </c>
      <c r="C66" s="454" t="str">
        <f>"
Do not answer this question when the scheme does not have any defined contributions (DC) liabilities or DC additional voluntary contributions (AVC) that have been included in the actuarial valuation ("&amp;Questions!$D$28&amp;").
"</f>
        <v xml:space="preserve">
Do not answer this question when the scheme does not have any defined contributions (DC) liabilities or DC additional voluntary contributions (AVC) that have been included in the actuarial valuation (SAV 1.0).
</v>
      </c>
      <c r="D66" s="454" t="str">
        <f>"
Enter a value equal to or greater than 0 and less than 1,000,000,000,000 (1 trillion). It can be accurate to two decimal places.
"</f>
        <v xml:space="preserve">
Enter a value equal to or greater than 0 and less than 1,000,000,000,000 (1 trillion). It can be accurate to two decimal places.
</v>
      </c>
      <c r="E66" s="454"/>
      <c r="F66" s="454"/>
      <c r="G66" s="454"/>
      <c r="H66" s="455"/>
      <c r="I66" s="92"/>
      <c r="J66" s="92"/>
    </row>
    <row r="67" spans="1:10" ht="62">
      <c r="A67" s="185" t="s">
        <v>3073</v>
      </c>
      <c r="B67" s="454" t="str">
        <f>"
You must answer this question when the valuation includes cash balance liabilities ("&amp;Questions!$D$29&amp;").
"</f>
        <v xml:space="preserve">
You must answer this question when the valuation includes cash balance liabilities (SAV 2.0).
</v>
      </c>
      <c r="C67" s="454" t="str">
        <f>"
Do not answer this question when the valuation does not include any cash balance liabilities ("&amp;Questions!$D$29&amp;").
"</f>
        <v xml:space="preserve">
Do not answer this question when the valuation does not include any cash balance liabilities (SAV 2.0).
</v>
      </c>
      <c r="D67" s="454" t="str">
        <f>"
Enter a value equal to or greater than 0 and less than 1,000,000,000,000 (1 trillion). It can be accurate to two decimal places.
"</f>
        <v xml:space="preserve">
Enter a value equal to or greater than 0 and less than 1,000,000,000,000 (1 trillion). It can be accurate to two decimal places.
</v>
      </c>
      <c r="E67" s="454"/>
      <c r="F67" s="454"/>
      <c r="G67" s="454"/>
      <c r="H67" s="455"/>
      <c r="I67" s="92"/>
      <c r="J67" s="92"/>
    </row>
    <row r="68" spans="1:10" ht="62">
      <c r="A68" s="185" t="s">
        <v>3074</v>
      </c>
      <c r="B68" s="454" t="str">
        <f>"
Enter a value equal to or greater than 0 and less than 1,000,000,000,000 (1 trillion). It can be accurate to two decimal places.
"</f>
        <v xml:space="preserve">
Enter a value equal to or greater than 0 and less than 1,000,000,000,000 (1 trillion). It can be accurate to two decimal places.
</v>
      </c>
      <c r="C68" s="454"/>
      <c r="D68" s="454"/>
      <c r="E68" s="454"/>
      <c r="F68" s="454"/>
      <c r="G68" s="454"/>
      <c r="H68" s="455"/>
      <c r="I68" s="92"/>
      <c r="J68" s="92"/>
    </row>
    <row r="69" spans="1:10" ht="62">
      <c r="A69" s="185" t="s">
        <v>3075</v>
      </c>
      <c r="B69" s="454" t="str">
        <f>"
Enter a value equal to or greater than 0 and less than 1,000,000,000,000 (1 trillion). It can be accurate to two decimal places.
"</f>
        <v xml:space="preserve">
Enter a value equal to or greater than 0 and less than 1,000,000,000,000 (1 trillion). It can be accurate to two decimal places.
</v>
      </c>
      <c r="C69" s="454" t="str">
        <f>"
The amount entered must match the sum of the amounts entered for the Solvency basis liabilities and expenses categories
"</f>
        <v xml:space="preserve">
The amount entered must match the sum of the amounts entered for the Solvency basis liabilities and expenses categories
</v>
      </c>
      <c r="D69" s="454"/>
      <c r="E69" s="454"/>
      <c r="F69" s="454" t="s">
        <v>3757</v>
      </c>
      <c r="G69" s="454"/>
      <c r="H69" s="455"/>
      <c r="I69" s="92"/>
      <c r="J69" s="92"/>
    </row>
    <row r="70" spans="1:10" ht="62">
      <c r="A70" s="185" t="s">
        <v>3076</v>
      </c>
      <c r="B70" s="454" t="str">
        <f>"
Enter a percentage value that is equal to or greater than 0. 
"</f>
        <v xml:space="preserve">
Enter a percentage value that is equal to or greater than 0. 
</v>
      </c>
      <c r="C70" s="454" t="str">
        <f>"
Enter a percentage value that is equal to or greater than 0. 
"</f>
        <v xml:space="preserve">
Enter a percentage value that is equal to or greater than 0. 
</v>
      </c>
      <c r="D70" s="454" t="str">
        <f>"
This value must equal the 'Solvency basis: total assets' divided by the 'Solvency basis: total liabilities' expressed as a percentage.
"</f>
        <v xml:space="preserve">
This value must equal the 'Solvency basis: total assets' divided by the 'Solvency basis: total liabilities' expressed as a percentage.
</v>
      </c>
      <c r="E70" s="454"/>
      <c r="F70" s="454"/>
      <c r="G70" s="454"/>
      <c r="H70" s="455"/>
      <c r="I70" s="92"/>
      <c r="J70" s="92"/>
    </row>
    <row r="71" spans="1:10">
      <c r="A71" s="185" t="s">
        <v>3077</v>
      </c>
      <c r="B71" s="454" t="s">
        <v>3758</v>
      </c>
      <c r="C71" s="454"/>
      <c r="D71" s="454"/>
      <c r="E71" s="454"/>
      <c r="F71" s="454"/>
      <c r="G71" s="454"/>
      <c r="H71" s="455"/>
      <c r="I71" s="92"/>
      <c r="J71" s="92"/>
    </row>
    <row r="72" spans="1:10" ht="46.5">
      <c r="A72" s="185" t="s">
        <v>3078</v>
      </c>
      <c r="B72" s="454" t="str">
        <f>"
Enter a percentage value between 0 and 100.
"</f>
        <v xml:space="preserve">
Enter a percentage value between 0 and 100.
</v>
      </c>
      <c r="C72" s="454" t="str">
        <f>"
Enter a percentage value between 0 and 100.
"</f>
        <v xml:space="preserve">
Enter a percentage value between 0 and 100.
</v>
      </c>
      <c r="D72" s="454"/>
      <c r="E72" s="454"/>
      <c r="F72" s="454"/>
      <c r="G72" s="454"/>
      <c r="H72" s="455"/>
      <c r="I72" s="92"/>
      <c r="J72" s="92"/>
    </row>
    <row r="73" spans="1:10" ht="46.5">
      <c r="A73" s="185" t="s">
        <v>3079</v>
      </c>
      <c r="B73" s="454" t="str">
        <f>"
Enter a basis point value between -25 and 25.
"</f>
        <v xml:space="preserve">
Enter a basis point value between -25 and 25.
</v>
      </c>
      <c r="C73" s="454" t="str">
        <f>"
Enter a basis point value between -25 and 25.
"</f>
        <v xml:space="preserve">
Enter a basis point value between -25 and 25.
</v>
      </c>
      <c r="D73" s="454"/>
      <c r="E73" s="454"/>
      <c r="F73" s="454"/>
      <c r="G73" s="454"/>
      <c r="H73" s="455"/>
      <c r="I73" s="92"/>
      <c r="J73" s="92"/>
    </row>
    <row r="74" spans="1:10" ht="77.5">
      <c r="A74" s="185" t="s">
        <v>3080</v>
      </c>
      <c r="B74" s="454" t="str">
        <f>"
You must enter a number greater than -1,000,000,000,000 (minus 1 trillion) and less than ​1,000,000,000,000 (1 trillion). It can be accurate to two decimal places. 
"</f>
        <v xml:space="preserve">
You must enter a number greater than -1,000,000,000,000 (minus 1 trillion) and less than ​1,000,000,000,000 (1 trillion). It can be accurate to two decimal places. 
</v>
      </c>
      <c r="C74" s="454"/>
      <c r="D74" s="454"/>
      <c r="E74" s="454"/>
      <c r="F74" s="454"/>
      <c r="G74" s="454"/>
      <c r="H74" s="455"/>
      <c r="I74" s="92"/>
      <c r="J74" s="92"/>
    </row>
    <row r="75" spans="1:10" ht="62">
      <c r="A75" s="185" t="s">
        <v>3081</v>
      </c>
      <c r="B75" s="92" t="str">
        <f>"
Do not answer this question if the scheme is in surplus ("&amp;Questions!$D$13&amp;").
"</f>
        <v xml:space="preserve">
Do not answer this question if the scheme is in surplus (SH 12.0).
</v>
      </c>
      <c r="C75" s="92" t="str">
        <f>"
You must answer this question if the scheme is in deficit ("&amp;Questions!$D$13&amp;").
"</f>
        <v xml:space="preserve">
You must answer this question if the scheme is in deficit (SH 12.0).
</v>
      </c>
      <c r="D75" s="92" t="str">
        <f>"
Enter a valid date in the format dd/mm/yyyy.
"</f>
        <v xml:space="preserve">
Enter a valid date in the format dd/mm/yyyy.
</v>
      </c>
      <c r="E75" s="92" t="str">
        <f>"
The recovery plan commencement date must be earlier than the recovery plan end date ("&amp;Questions!$D$98&amp;").
"</f>
        <v xml:space="preserve">
The recovery plan commencement date must be earlier than the recovery plan end date (SRP 2.0).
</v>
      </c>
      <c r="F75" s="92"/>
      <c r="G75" s="454"/>
      <c r="H75" s="455"/>
      <c r="I75" s="92"/>
      <c r="J75" s="92"/>
    </row>
    <row r="76" spans="1:10" ht="62">
      <c r="A76" s="185" t="s">
        <v>3082</v>
      </c>
      <c r="B76" s="92" t="str">
        <f>"
Do not answer this question if the scheme is in surplus ("&amp;Questions!$D$13&amp;").
"</f>
        <v xml:space="preserve">
Do not answer this question if the scheme is in surplus (SH 12.0).
</v>
      </c>
      <c r="C76" s="92" t="str">
        <f>"
You must answer this question if the scheme is in deficit ("&amp;Questions!$D$13&amp;").
"</f>
        <v xml:space="preserve">
You must answer this question if the scheme is in deficit (SH 12.0).
</v>
      </c>
      <c r="D76" s="92" t="str">
        <f>"
Enter a valid date in the format dd/mm/yyyy.
"</f>
        <v xml:space="preserve">
Enter a valid date in the format dd/mm/yyyy.
</v>
      </c>
      <c r="E76" s="92" t="str">
        <f>"
The recovery plan end date must not be earlier than the effective date of the actuarial valuation ("&amp;Questions!$D$2&amp;").
"</f>
        <v xml:space="preserve">
The recovery plan end date must not be earlier than the effective date of the actuarial valuation (SH 8.0).
</v>
      </c>
      <c r="F76" s="92" t="str">
        <f>"
The recovery plan end date must not be earlier than the recovery plan commencement date ("&amp;Questions!$D$97&amp;"). 
"</f>
        <v xml:space="preserve">
The recovery plan end date must not be earlier than the recovery plan commencement date (SRP 1.0). 
</v>
      </c>
      <c r="G76" s="92" t="str">
        <f>"
The recovery plan end date must not be more than 25 years after the recovery plan commencement date ("&amp;Questions!$D$97&amp;").
"</f>
        <v xml:space="preserve">
The recovery plan end date must not be more than 25 years after the recovery plan commencement date (SRP 1.0).
</v>
      </c>
      <c r="H76" s="455"/>
      <c r="I76" s="92"/>
      <c r="J76" s="92"/>
    </row>
    <row r="77" spans="1:10" ht="62">
      <c r="A77" s="185" t="s">
        <v>3083</v>
      </c>
      <c r="B77" s="92" t="str">
        <f>"
Do not answer this question if the scheme is in surplus ("&amp;Questions!$D$13&amp;").
"</f>
        <v xml:space="preserve">
Do not answer this question if the scheme is in surplus (SH 12.0).
</v>
      </c>
      <c r="C77" s="92" t="str">
        <f>"
You must answer this question if the scheme is in deficit ("&amp;Questions!$D$13&amp;").
"</f>
        <v xml:space="preserve">
You must answer this question if the scheme is in deficit (SH 12.0).
</v>
      </c>
      <c r="D77" s="92" t="str">
        <f>"
Enter a value equal to or greater than 0 and less than 1,000,000,000,000 (1 trillion). It can be accurate to two decimal places.
"</f>
        <v xml:space="preserve">
Enter a value equal to or greater than 0 and less than 1,000,000,000,000 (1 trillion). It can be accurate to two decimal places.
</v>
      </c>
      <c r="E77" s="92" t="str">
        <f>"
Enter a value equal to or greater than 0 and less than 1,000,000,000,000 (1 trillion). It can be accurate to two decimal places.
"</f>
        <v xml:space="preserve">
Enter a value equal to or greater than 0 and less than 1,000,000,000,000 (1 trillion). It can be accurate to two decimal places.
</v>
      </c>
      <c r="F77" s="92" t="str">
        <f>"
Enter a value equal to or greater than 0 and less than 1,000,000,000,000 (1 trillion). It can be accurate to two decimal places.
"</f>
        <v xml:space="preserve">
Enter a value equal to or greater than 0 and less than 1,000,000,000,000 (1 trillion). It can be accurate to two decimal places.
</v>
      </c>
      <c r="G77" s="454"/>
      <c r="H77" s="455"/>
      <c r="I77" s="92"/>
      <c r="J77" s="92"/>
    </row>
    <row r="78" spans="1:10" ht="62">
      <c r="A78" s="185" t="s">
        <v>3084</v>
      </c>
      <c r="B78" s="92" t="str">
        <f>"
Do not answer this question if the scheme is in surplus ("&amp;Questions!$D$13&amp;").
"</f>
        <v xml:space="preserve">
Do not answer this question if the scheme is in surplus (SH 12.0).
</v>
      </c>
      <c r="C78" s="92" t="str">
        <f>"
Do not answer this question if the scheme is in deficit ("&amp;Questions!$D$13&amp;") and follows a Fast Track valuation approach ("&amp;Questions!$D$5&amp;").
"</f>
        <v xml:space="preserve">
Do not answer this question if the scheme is in deficit (SH 12.0) and follows a Fast Track valuation approach (SH 13.0).
</v>
      </c>
      <c r="D78" s="92" t="str">
        <f>"
You must answer this question if the scheme is in deficit ("&amp;Questions!$D$13&amp;") and follows a Bespoke valuation approach ("&amp;Questions!$D$5&amp;").
"</f>
        <v xml:space="preserve">
You must answer this question if the scheme is in deficit (SH 12.0) and follows a Bespoke valuation approach (SH 13.0).
</v>
      </c>
      <c r="E78" s="92" t="str">
        <f>"
Select ‘Nominal value’ or ‘Margin over gilts’ from the drop-down list.
"</f>
        <v xml:space="preserve">
Select ‘Nominal value’ or ‘Margin over gilts’ from the drop-down list.
</v>
      </c>
      <c r="F78" s="92"/>
      <c r="G78" s="454"/>
      <c r="H78" s="455"/>
      <c r="I78" s="92"/>
      <c r="J78" s="92"/>
    </row>
    <row r="79" spans="1:10" ht="77.5">
      <c r="A79" s="185" t="s">
        <v>3085</v>
      </c>
      <c r="B79" s="92" t="str">
        <f>"
Do not answer this question if the scheme is in surplus ("&amp;Questions!$D$13&amp;").
"</f>
        <v xml:space="preserve">
Do not answer this question if the scheme is in surplus (SH 12.0).
</v>
      </c>
      <c r="C79" s="92" t="str">
        <f>"
Do not answer this question if the scheme is in deficit ("&amp;Questions!$D$13&amp;") and follows a Fast Track valuation approach ("&amp;Questions!$D$5&amp;").
"</f>
        <v xml:space="preserve">
Do not answer this question if the scheme is in deficit (SH 12.0) and follows a Fast Track valuation approach (SH 13.0).
</v>
      </c>
      <c r="D79" s="167" t="str">
        <f>"
Do not answer this question if the scheme is expressing the expected return on assets as a nominal value ("&amp;Questions!$D$100&amp;").
"</f>
        <v xml:space="preserve">
Do not answer this question if the scheme is expressing the expected return on assets as a nominal value (SRP 4.0).
</v>
      </c>
      <c r="E79" s="167" t="str">
        <f>"
You must answer this question if the scheme is in deficit ([question ref]), is following a Bespoke valuation approach ([question ref]) and is expressing the expected return on assets as margin over gilts ("&amp;Questions!$D$100&amp;").
"</f>
        <v xml:space="preserve">
You must answer this question if the scheme is in deficit ([question ref]), is following a Bespoke valuation approach ([question ref]) and is expressing the expected return on assets as margin over gilts (SRP 4.0).
</v>
      </c>
      <c r="F79" s="92" t="s">
        <v>3759</v>
      </c>
      <c r="G79" s="92" t="s">
        <v>3759</v>
      </c>
      <c r="H79" s="455"/>
      <c r="I79" s="92"/>
      <c r="J79" s="92"/>
    </row>
    <row r="80" spans="1:10" ht="77.5">
      <c r="A80" s="185" t="s">
        <v>3086</v>
      </c>
      <c r="B80" s="92" t="str">
        <f>"
Do not answer this question if the scheme is in surplus ("&amp;Questions!$D$13&amp;").
"</f>
        <v xml:space="preserve">
Do not answer this question if the scheme is in surplus (SH 12.0).
</v>
      </c>
      <c r="C80" s="92" t="str">
        <f>"
Do not answer this question if the scheme is in deficit ("&amp;Questions!$D$13&amp;") and follows a Fast Track valuation approach ("&amp;Questions!$D$5&amp;").
"</f>
        <v xml:space="preserve">
Do not answer this question if the scheme is in deficit (SH 12.0) and follows a Fast Track valuation approach (SH 13.0).
</v>
      </c>
      <c r="D80" s="167" t="str">
        <f>"
Do not answer this question if the scheme is expressing the expected return on assets as margin over gilts ("&amp;Questions!$D$100&amp;").
"</f>
        <v xml:space="preserve">
Do not answer this question if the scheme is expressing the expected return on assets as margin over gilts (SRP 4.0).
</v>
      </c>
      <c r="E80" s="167" t="str">
        <f>"
You must answer this question if the scheme is in deficit ([question ref]), is following a Bespoke valuation approach ([question ref]) and is expressing the expected return on assets a nominal value ("&amp;Questions!$D$100&amp;").
"</f>
        <v xml:space="preserve">
You must answer this question if the scheme is in deficit ([question ref]), is following a Bespoke valuation approach ([question ref]) and is expressing the expected return on assets a nominal value (SRP 4.0).
</v>
      </c>
      <c r="F80" s="92" t="s">
        <v>3759</v>
      </c>
      <c r="G80" s="92" t="s">
        <v>3759</v>
      </c>
      <c r="H80" s="455"/>
      <c r="I80" s="92"/>
      <c r="J80" s="92"/>
    </row>
    <row r="81" spans="1:10" ht="62">
      <c r="A81" s="185" t="s">
        <v>3087</v>
      </c>
      <c r="B81" s="454" t="str">
        <f>"
Do not answer this question if the scheme is in surplus ("&amp;Questions!$D$13&amp;").
"</f>
        <v xml:space="preserve">
Do not answer this question if the scheme is in surplus (SH 12.0).
</v>
      </c>
      <c r="C81" s="454" t="str">
        <f>"
You must answer this question if the scheme is in deficit ("&amp;Questions!$D$13&amp;").
"</f>
        <v xml:space="preserve">
You must answer this question if the scheme is in deficit (SH 12.0).
</v>
      </c>
      <c r="D81" s="454" t="str">
        <f>"
Select ‘Yes' if allowance has been made for post-valuation experience or ‘No' if it has not.
"</f>
        <v xml:space="preserve">
Select ‘Yes' if allowance has been made for post-valuation experience or ‘No' if it has not.
</v>
      </c>
      <c r="E81" s="454"/>
      <c r="F81" s="454"/>
      <c r="G81" s="454"/>
      <c r="H81" s="455"/>
      <c r="I81" s="92"/>
      <c r="J81" s="92"/>
    </row>
    <row r="82" spans="1:10" ht="77.5">
      <c r="A82" s="185" t="s">
        <v>3088</v>
      </c>
      <c r="B82" s="92" t="str">
        <f>"
Do not answer this question if the scheme is in surplus ("&amp;Questions!$D$13&amp;").
"</f>
        <v xml:space="preserve">
Do not answer this question if the scheme is in surplus (SH 12.0).
</v>
      </c>
      <c r="C82" s="92" t="str">
        <f>"
Do not answer this question if the scheme is in deficit ("&amp;Questions!$D$13&amp;") and allowance has not been made for post-valuation experience ("&amp;Questions!$D$103&amp;").
"</f>
        <v xml:space="preserve">
Do not answer this question if the scheme is in deficit (SH 12.0) and allowance has not been made for post-valuation experience (SRP 7.0).
</v>
      </c>
      <c r="D82" s="92" t="str">
        <f>"
You must answer this question if the scheme is in deficit ("&amp;Questions!$D$13&amp;") and allowance has been made for post-valuation experience ("&amp;Questions!$D$103&amp;").
"</f>
        <v xml:space="preserve">
You must answer this question if the scheme is in deficit (SH 12.0) and allowance has been made for post-valuation experience (SRP 7.0).
</v>
      </c>
      <c r="E82" s="92" t="str">
        <f>"
Enter a value greater than -1,000,000,000,000 (minus 1 trillion) and less than 1,000,000,000,000 (1 trillion). It can be accurate to two decimal places. 
"</f>
        <v xml:space="preserve">
Enter a value greater than -1,000,000,000,000 (minus 1 trillion) and less than 1,000,000,000,000 (1 trillion). It can be accurate to two decimal places. 
</v>
      </c>
      <c r="F82" s="92" t="str">
        <f>"
Enter a value greater than -1,000,000,000,000 (minus 1 trillion) and less than 1,000,000,000,000 (1 trillion). It can be accurate to two decimal places.
"</f>
        <v xml:space="preserve">
Enter a value greater than -1,000,000,000,000 (minus 1 trillion) and less than 1,000,000,000,000 (1 trillion). It can be accurate to two decimal places.
</v>
      </c>
      <c r="G82" s="92" t="str">
        <f>"
Enter a value greater than -1,000,000,000,000 (minus 1 trillion) and less than 1,000,000,000,000 (1 trillion). It can be accurate to two decimal places.
"</f>
        <v xml:space="preserve">
Enter a value greater than -1,000,000,000,000 (minus 1 trillion) and less than 1,000,000,000,000 (1 trillion). It can be accurate to two decimal places.
</v>
      </c>
      <c r="H82" s="455"/>
      <c r="I82" s="92"/>
      <c r="J82" s="92"/>
    </row>
    <row r="83" spans="1:10" ht="62">
      <c r="A83" s="185" t="s">
        <v>3089</v>
      </c>
      <c r="B83" s="454" t="str">
        <f>"
Do not enter these values if the scheme is in surplus ("&amp;Questions!$D$13&amp;").
"</f>
        <v xml:space="preserve">
Do not enter these values if the scheme is in surplus (SH 12.0).
</v>
      </c>
      <c r="C83" s="454" t="str">
        <f>"
You must enter these values if the scheme is in deficit ("&amp;Questions!$D$13&amp;").
"</f>
        <v xml:space="preserve">
You must enter these values if the scheme is in deficit (SH 12.0).
</v>
      </c>
      <c r="D83" s="454" t="str">
        <f>"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E83" s="454"/>
      <c r="F83" s="454"/>
      <c r="G83" s="454"/>
      <c r="H83" s="455"/>
      <c r="I83" s="92"/>
      <c r="J83" s="92"/>
    </row>
    <row r="84" spans="1:10" ht="62">
      <c r="A84" s="185" t="s">
        <v>3090</v>
      </c>
      <c r="B84" s="454" t="str">
        <f>"
Do not enter these values if the scheme is in surplus ("&amp;Questions!$D$13&amp;").
"</f>
        <v xml:space="preserve">
Do not enter these values if the scheme is in surplus (SH 12.0).
</v>
      </c>
      <c r="C84" s="454" t="str">
        <f>"
You must enter these values if the scheme is in deficit ("&amp;Questions!$D$13&amp;").
"</f>
        <v xml:space="preserve">
You must enter these values if the scheme is in deficit (SH 12.0).
</v>
      </c>
      <c r="D84" s="454" t="str">
        <f>"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E84" s="454"/>
      <c r="F84" s="454"/>
      <c r="G84" s="454"/>
      <c r="H84" s="455"/>
      <c r="I84" s="92"/>
      <c r="J84" s="92"/>
    </row>
    <row r="85" spans="1:10" ht="62">
      <c r="A85" s="185" t="s">
        <v>3091</v>
      </c>
      <c r="B85" s="454" t="str">
        <f>"
Do not enter these values if the scheme is in surplus ("&amp;Questions!$D$13&amp;").
"</f>
        <v xml:space="preserve">
Do not enter these values if the scheme is in surplus (SH 12.0).
</v>
      </c>
      <c r="C85" s="454" t="str">
        <f>"
You must enter these values if the scheme is in deficit ("&amp;Questions!$D$13&amp;").
"</f>
        <v xml:space="preserve">
You must enter these values if the scheme is in deficit (SH 12.0).
</v>
      </c>
      <c r="D85" s="454" t="str">
        <f>"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E85" s="454"/>
      <c r="F85" s="454"/>
      <c r="G85" s="454"/>
      <c r="H85" s="455"/>
      <c r="I85" s="92"/>
      <c r="J85" s="92"/>
    </row>
    <row r="86" spans="1:10" ht="62">
      <c r="A86" s="185" t="s">
        <v>3092</v>
      </c>
      <c r="B86" s="92" t="str">
        <f>"
Do not enter these values if the scheme is in surplus ("&amp;Questions!$D$13&amp;").
"</f>
        <v xml:space="preserve">
Do not enter these values if the scheme is in surplus (SH 12.0).
</v>
      </c>
      <c r="C86" s="92" t="str">
        <f>"
Do not enter these values if the scheme follows a Fast Track approach ("&amp;Questions!$D$5&amp;") and the valuation is post-relevant date ("&amp;Questions!$D$14&amp;").  
"</f>
        <v xml:space="preserve">
Do not enter these values if the scheme follows a Fast Track approach (SH 13.0) and the valuation is post-relevant date (SH 10.0).  
</v>
      </c>
      <c r="D86" s="92" t="str">
        <f>"
You must enter these values if the scheme follows a Fast Track approach ("&amp;Questions!$D$5&amp;") and the valuation is pre-relevant date ("&amp;Questions!$D$14&amp;").
"</f>
        <v xml:space="preserve">
You must enter these values if the scheme follows a Fast Track approach (SH 13.0) and the valuation is pre-relevant date (SH 10.0).
</v>
      </c>
      <c r="E86" s="92" t="str">
        <f>"
You must enter these values if the scheme follows a Bespoke approach ("&amp;Questions!$D$5&amp;") and the scheme is in deficit ("&amp;Questions!$D$13&amp;").
"</f>
        <v xml:space="preserve">
You must enter these values if the scheme follows a Bespoke approach (SH 13.0) and the scheme is in deficit (SH 12.0).
</v>
      </c>
      <c r="F86" s="92" t="str">
        <f>"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G86" s="454"/>
      <c r="H86" s="455"/>
      <c r="I86" s="92"/>
      <c r="J86" s="92"/>
    </row>
    <row r="87" spans="1:10" ht="62">
      <c r="A87" s="185" t="s">
        <v>3093</v>
      </c>
      <c r="B87" s="92" t="str">
        <f>"
Do not enter these values if the scheme is in surplus ("&amp;Questions!$D$13&amp;").
"</f>
        <v xml:space="preserve">
Do not enter these values if the scheme is in surplus (SH 12.0).
</v>
      </c>
      <c r="C87" s="92" t="str">
        <f>"
Do not enter these values if the scheme follows a Fast Track approach ("&amp;Questions!$D$5&amp;") and the valuation is post-relevant date ("&amp;Questions!$D$14&amp;").  
"</f>
        <v xml:space="preserve">
Do not enter these values if the scheme follows a Fast Track approach (SH 13.0) and the valuation is post-relevant date (SH 10.0).  
</v>
      </c>
      <c r="D87" s="92" t="str">
        <f>"
You must enter these values if the scheme follows a Fast Track approach ("&amp;Questions!$D$5&amp;") and the valuation is pre-relevant date ("&amp;Questions!$D$14&amp;").
"</f>
        <v xml:space="preserve">
You must enter these values if the scheme follows a Fast Track approach (SH 13.0) and the valuation is pre-relevant date (SH 10.0).
</v>
      </c>
      <c r="E87" s="92" t="str">
        <f>"
You must enter these values if the scheme follows a Bespoke approach ("&amp;Questions!$D$5&amp;") and the scheme is in deficit ("&amp;Questions!$D$13&amp;").
"</f>
        <v xml:space="preserve">
You must enter these values if the scheme follows a Bespoke approach (SH 13.0) and the scheme is in deficit (SH 12.0).
</v>
      </c>
      <c r="F87" s="92" t="str">
        <f>"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G87" s="454"/>
      <c r="H87" s="455"/>
      <c r="I87" s="92"/>
      <c r="J87" s="92"/>
    </row>
    <row r="88" spans="1:10" ht="62">
      <c r="A88" s="185" t="s">
        <v>3094</v>
      </c>
      <c r="B88" s="92" t="str">
        <f>"
Do not enter these values if the scheme is in surplus ("&amp;Questions!$D$13&amp;").
"</f>
        <v xml:space="preserve">
Do not enter these values if the scheme is in surplus (SH 12.0).
</v>
      </c>
      <c r="C88" s="92" t="str">
        <f>"
Do not enter these values if the scheme follows a Fast Track approach ("&amp;Questions!$D$5&amp;") and the valuation is post-relevant date ("&amp;Questions!$D$14&amp;").  
"</f>
        <v xml:space="preserve">
Do not enter these values if the scheme follows a Fast Track approach (SH 13.0) and the valuation is post-relevant date (SH 10.0).  
</v>
      </c>
      <c r="D88" s="92" t="str">
        <f>"
You must enter these values if the scheme follows a Fast Track approach ("&amp;Questions!$D$5&amp;") and the valuation is pre-relevant date ("&amp;Questions!$D$14&amp;").
"</f>
        <v xml:space="preserve">
You must enter these values if the scheme follows a Fast Track approach (SH 13.0) and the valuation is pre-relevant date (SH 10.0).
</v>
      </c>
      <c r="E88" s="92" t="str">
        <f>"
You must enter these values if the scheme follows a Bespoke approach ("&amp;Questions!$D$5&amp;") and the scheme is in deficit ("&amp;Questions!$D$13&amp;").
"</f>
        <v xml:space="preserve">
You must enter these values if the scheme follows a Bespoke approach (SH 13.0) and the scheme is in deficit (SH 12.0).
</v>
      </c>
      <c r="F88" s="92" t="str">
        <f>"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G88" s="454"/>
      <c r="H88" s="455"/>
      <c r="I88" s="92"/>
      <c r="J88" s="92"/>
    </row>
    <row r="89" spans="1:10" ht="62">
      <c r="A89" s="185" t="s">
        <v>3095</v>
      </c>
      <c r="B89" s="92" t="str">
        <f>"
Do not enter these values if the scheme is in surplus ("&amp;Questions!$D$13&amp;").
"</f>
        <v xml:space="preserve">
Do not enter these values if the scheme is in surplus (SH 12.0).
</v>
      </c>
      <c r="C89" s="92" t="str">
        <f>"
Do not enter these values if the scheme follows a Fast Track approach ("&amp;Questions!$D$5&amp;").
"</f>
        <v xml:space="preserve">
Do not enter these values if the scheme follows a Fast Track approach (SH 13.0).
</v>
      </c>
      <c r="D89" s="92" t="str">
        <f>"
You must enter these values if the scheme follows a Bespoke approach ("&amp;Questions!$D$5&amp;") and the scheme is in deficit ("&amp;Questions!$D$13&amp;").
"</f>
        <v xml:space="preserve">
You must enter these values if the scheme follows a Bespoke approach (SH 13.0) and the scheme is in deficit (SH 12.0).
</v>
      </c>
      <c r="E89" s="92" t="str">
        <f t="shared" ref="E89:E103" si="2">"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F89" s="92"/>
      <c r="G89" s="454"/>
      <c r="H89" s="455"/>
      <c r="I89" s="92"/>
      <c r="J89" s="92"/>
    </row>
    <row r="90" spans="1:10" ht="62">
      <c r="A90" s="185" t="s">
        <v>3096</v>
      </c>
      <c r="B90" s="92" t="str">
        <f>"
Do not enter these values if the scheme is in surplus ("&amp;Questions!$D$13&amp;").
"</f>
        <v xml:space="preserve">
Do not enter these values if the scheme is in surplus (SH 12.0).
</v>
      </c>
      <c r="C90" s="92" t="str">
        <f>"
Do not enter these values if the scheme follows a Fast Track approach ("&amp;Questions!$D$5&amp;").
"</f>
        <v xml:space="preserve">
Do not enter these values if the scheme follows a Fast Track approach (SH 13.0).
</v>
      </c>
      <c r="D90" s="92" t="str">
        <f>"
You must enter these values if the scheme follows a Bespoke approach ("&amp;Questions!$D$5&amp;") and the scheme is in deficit ("&amp;Questions!$D$13&amp;").
"</f>
        <v xml:space="preserve">
You must enter these values if the scheme follows a Bespoke approach (SH 13.0) and the scheme is in deficit (SH 12.0).
</v>
      </c>
      <c r="E90" s="92" t="str">
        <f t="shared" si="2"/>
        <v xml:space="preserve">
You must enter a number greater than or equal to 0 and less than 1,000,000,000,000.00 (1 trillion). It can be accurate to two decimal places.
</v>
      </c>
      <c r="F90" s="92"/>
      <c r="G90" s="454"/>
      <c r="H90" s="455"/>
      <c r="I90" s="92"/>
      <c r="J90" s="92"/>
    </row>
    <row r="91" spans="1:10" ht="62">
      <c r="A91" s="185" t="s">
        <v>3097</v>
      </c>
      <c r="B91" s="92" t="str">
        <f>"
Do not enter these values if the scheme is in surplus ("&amp;Questions!$D$13&amp;").
"</f>
        <v xml:space="preserve">
Do not enter these values if the scheme is in surplus (SH 12.0).
</v>
      </c>
      <c r="C91" s="92" t="str">
        <f>"
Do not enter these values if the scheme follows a Fast Track approach ("&amp;Questions!$D$5&amp;").
"</f>
        <v xml:space="preserve">
Do not enter these values if the scheme follows a Fast Track approach (SH 13.0).
</v>
      </c>
      <c r="D91" s="92" t="str">
        <f>"
You must enter these values if the scheme follows a Bespoke approach ("&amp;Questions!$D$5&amp;") and the scheme is in deficit ("&amp;Questions!$D$13&amp;").
"</f>
        <v xml:space="preserve">
You must enter these values if the scheme follows a Bespoke approach (SH 13.0) and the scheme is in deficit (SH 12.0).
</v>
      </c>
      <c r="E91" s="92" t="str">
        <f t="shared" si="2"/>
        <v xml:space="preserve">
You must enter a number greater than or equal to 0 and less than 1,000,000,000,000.00 (1 trillion). It can be accurate to two decimal places.
</v>
      </c>
      <c r="F91" s="92"/>
      <c r="G91" s="454"/>
      <c r="H91" s="455"/>
      <c r="I91" s="92"/>
      <c r="J91" s="92"/>
    </row>
    <row r="92" spans="1:10" ht="62">
      <c r="A92" s="185" t="s">
        <v>3098</v>
      </c>
      <c r="B92" s="92" t="str">
        <f>"
Do not enter these values if the scheme is in surplus ("&amp;Questions!$D$13&amp;").
"</f>
        <v xml:space="preserve">
Do not enter these values if the scheme is in surplus (SH 12.0).
</v>
      </c>
      <c r="C92" s="92" t="str">
        <f>"
Do not enter these values if the scheme follows a Fast Track approach ("&amp;Questions!$D$5&amp;").
"</f>
        <v xml:space="preserve">
Do not enter these values if the scheme follows a Fast Track approach (SH 13.0).
</v>
      </c>
      <c r="D92" s="92" t="str">
        <f>"
You must enter these values if the scheme follows a Bespoke approach ("&amp;Questions!$D$5&amp;") and the scheme is in deficit ("&amp;Questions!$D$13&amp;").
"</f>
        <v xml:space="preserve">
You must enter these values if the scheme follows a Bespoke approach (SH 13.0) and the scheme is in deficit (SH 12.0).
</v>
      </c>
      <c r="E92" s="92" t="str">
        <f t="shared" si="2"/>
        <v xml:space="preserve">
You must enter a number greater than or equal to 0 and less than 1,000,000,000,000.00 (1 trillion). It can be accurate to two decimal places.
</v>
      </c>
      <c r="F92" s="92"/>
      <c r="G92" s="454"/>
      <c r="H92" s="455"/>
      <c r="I92" s="92"/>
      <c r="J92" s="92"/>
    </row>
    <row r="93" spans="1:10" ht="62">
      <c r="A93" s="185" t="s">
        <v>3099</v>
      </c>
      <c r="B93" s="92" t="str">
        <f>"
Do not enter these values if the scheme is in surplus ("&amp;Questions!$D$13&amp;").
"</f>
        <v xml:space="preserve">
Do not enter these values if the scheme is in surplus (SH 12.0).
</v>
      </c>
      <c r="C93" s="92" t="str">
        <f>"
Do not enter these values if the scheme follows a Fast Track approach ("&amp;Questions!$D$5&amp;").
"</f>
        <v xml:space="preserve">
Do not enter these values if the scheme follows a Fast Track approach (SH 13.0).
</v>
      </c>
      <c r="D93" s="92" t="str">
        <f>"
You must enter these values if the scheme follows a Bespoke approach ("&amp;Questions!$D$5&amp;") and the scheme is in deficit ("&amp;Questions!$D$13&amp;").
"</f>
        <v xml:space="preserve">
You must enter these values if the scheme follows a Bespoke approach (SH 13.0) and the scheme is in deficit (SH 12.0).
</v>
      </c>
      <c r="E93" s="92" t="str">
        <f t="shared" si="2"/>
        <v xml:space="preserve">
You must enter a number greater than or equal to 0 and less than 1,000,000,000,000.00 (1 trillion). It can be accurate to two decimal places.
</v>
      </c>
      <c r="F93" s="92"/>
      <c r="G93" s="454"/>
      <c r="H93" s="455"/>
      <c r="I93" s="92"/>
      <c r="J93" s="92"/>
    </row>
    <row r="94" spans="1:10" ht="62">
      <c r="A94" s="185" t="s">
        <v>3100</v>
      </c>
      <c r="B94" s="92" t="str">
        <f>"
Do not enter these values if the scheme is in surplus ("&amp;Questions!$D$13&amp;").
"</f>
        <v xml:space="preserve">
Do not enter these values if the scheme is in surplus (SH 12.0).
</v>
      </c>
      <c r="C94" s="92" t="str">
        <f>"
Do not enter these values if the scheme follows a Fast Track approach ("&amp;Questions!$D$5&amp;").
"</f>
        <v xml:space="preserve">
Do not enter these values if the scheme follows a Fast Track approach (SH 13.0).
</v>
      </c>
      <c r="D94" s="92" t="str">
        <f>"
You must enter these values if the scheme follows a Bespoke approach ("&amp;Questions!$D$5&amp;") and the scheme is in deficit ("&amp;Questions!$D$13&amp;").
"</f>
        <v xml:space="preserve">
You must enter these values if the scheme follows a Bespoke approach (SH 13.0) and the scheme is in deficit (SH 12.0).
</v>
      </c>
      <c r="E94" s="92" t="str">
        <f t="shared" si="2"/>
        <v xml:space="preserve">
You must enter a number greater than or equal to 0 and less than 1,000,000,000,000.00 (1 trillion). It can be accurate to two decimal places.
</v>
      </c>
      <c r="F94" s="92"/>
      <c r="G94" s="454"/>
      <c r="H94" s="455"/>
      <c r="I94" s="92"/>
      <c r="J94" s="92"/>
    </row>
    <row r="95" spans="1:10" ht="62">
      <c r="A95" s="185" t="s">
        <v>3101</v>
      </c>
      <c r="B95" s="92" t="str">
        <f>"
Do not enter these values if the scheme is in surplus ("&amp;Questions!$D$13&amp;").
"</f>
        <v xml:space="preserve">
Do not enter these values if the scheme is in surplus (SH 12.0).
</v>
      </c>
      <c r="C95" s="92" t="str">
        <f>"
Do not enter these values if the scheme follows a Fast Track approach ("&amp;Questions!$D$5&amp;").
"</f>
        <v xml:space="preserve">
Do not enter these values if the scheme follows a Fast Track approach (SH 13.0).
</v>
      </c>
      <c r="D95" s="92" t="str">
        <f>"
You must enter these values if the scheme follows a Bespoke approach ("&amp;Questions!$D$5&amp;") and the scheme is in deficit ("&amp;Questions!$D$13&amp;").
"</f>
        <v xml:space="preserve">
You must enter these values if the scheme follows a Bespoke approach (SH 13.0) and the scheme is in deficit (SH 12.0).
</v>
      </c>
      <c r="E95" s="92" t="str">
        <f t="shared" si="2"/>
        <v xml:space="preserve">
You must enter a number greater than or equal to 0 and less than 1,000,000,000,000.00 (1 trillion). It can be accurate to two decimal places.
</v>
      </c>
      <c r="F95" s="92"/>
      <c r="G95" s="454"/>
      <c r="H95" s="455"/>
      <c r="I95" s="92"/>
      <c r="J95" s="92"/>
    </row>
    <row r="96" spans="1:10" ht="62">
      <c r="A96" s="185" t="s">
        <v>3102</v>
      </c>
      <c r="B96" s="92" t="str">
        <f>"
Do not enter these values if the scheme is in surplus ("&amp;Questions!$D$13&amp;").
"</f>
        <v xml:space="preserve">
Do not enter these values if the scheme is in surplus (SH 12.0).
</v>
      </c>
      <c r="C96" s="92" t="str">
        <f>"
Do not enter these values if the scheme follows a Fast Track approach ("&amp;Questions!$D$5&amp;").
"</f>
        <v xml:space="preserve">
Do not enter these values if the scheme follows a Fast Track approach (SH 13.0).
</v>
      </c>
      <c r="D96" s="92" t="str">
        <f>"
You must enter these values if the scheme follows a Bespoke approach ("&amp;Questions!$D$5&amp;") and the scheme is in deficit ("&amp;Questions!$D$13&amp;").
"</f>
        <v xml:space="preserve">
You must enter these values if the scheme follows a Bespoke approach (SH 13.0) and the scheme is in deficit (SH 12.0).
</v>
      </c>
      <c r="E96" s="92" t="str">
        <f t="shared" si="2"/>
        <v xml:space="preserve">
You must enter a number greater than or equal to 0 and less than 1,000,000,000,000.00 (1 trillion). It can be accurate to two decimal places.
</v>
      </c>
      <c r="F96" s="92"/>
      <c r="G96" s="454"/>
      <c r="H96" s="455"/>
      <c r="I96" s="92"/>
      <c r="J96" s="92"/>
    </row>
    <row r="97" spans="1:10" ht="62">
      <c r="A97" s="185" t="s">
        <v>3103</v>
      </c>
      <c r="B97" s="92" t="str">
        <f>"
Do not enter these values if the scheme is in surplus ("&amp;Questions!$D$13&amp;").
"</f>
        <v xml:space="preserve">
Do not enter these values if the scheme is in surplus (SH 12.0).
</v>
      </c>
      <c r="C97" s="92" t="str">
        <f>"
Do not enter these values if the scheme follows a Fast Track approach ("&amp;Questions!$D$5&amp;").
"</f>
        <v xml:space="preserve">
Do not enter these values if the scheme follows a Fast Track approach (SH 13.0).
</v>
      </c>
      <c r="D97" s="92" t="str">
        <f>"
You must enter these values if the scheme follows a Bespoke approach ("&amp;Questions!$D$5&amp;") and the scheme is in deficit ("&amp;Questions!$D$13&amp;").
"</f>
        <v xml:space="preserve">
You must enter these values if the scheme follows a Bespoke approach (SH 13.0) and the scheme is in deficit (SH 12.0).
</v>
      </c>
      <c r="E97" s="92" t="str">
        <f t="shared" si="2"/>
        <v xml:space="preserve">
You must enter a number greater than or equal to 0 and less than 1,000,000,000,000.00 (1 trillion). It can be accurate to two decimal places.
</v>
      </c>
      <c r="F97" s="92"/>
      <c r="G97" s="454"/>
      <c r="H97" s="455"/>
      <c r="I97" s="92"/>
      <c r="J97" s="92"/>
    </row>
    <row r="98" spans="1:10" ht="62">
      <c r="A98" s="185" t="s">
        <v>3104</v>
      </c>
      <c r="B98" s="92" t="str">
        <f>"
Do not enter these values if the scheme is in surplus ("&amp;Questions!$D$13&amp;").
"</f>
        <v xml:space="preserve">
Do not enter these values if the scheme is in surplus (SH 12.0).
</v>
      </c>
      <c r="C98" s="92" t="str">
        <f>"
Do not enter these values if the scheme follows a Fast Track approach ("&amp;Questions!$D$5&amp;").
"</f>
        <v xml:space="preserve">
Do not enter these values if the scheme follows a Fast Track approach (SH 13.0).
</v>
      </c>
      <c r="D98" s="92" t="str">
        <f>"
You must enter these values if the scheme follows a Bespoke approach ("&amp;Questions!$D$5&amp;") and the scheme is in deficit ("&amp;Questions!$D$13&amp;").
"</f>
        <v xml:space="preserve">
You must enter these values if the scheme follows a Bespoke approach (SH 13.0) and the scheme is in deficit (SH 12.0).
</v>
      </c>
      <c r="E98" s="92" t="str">
        <f t="shared" si="2"/>
        <v xml:space="preserve">
You must enter a number greater than or equal to 0 and less than 1,000,000,000,000.00 (1 trillion). It can be accurate to two decimal places.
</v>
      </c>
      <c r="F98" s="92"/>
      <c r="G98" s="454"/>
      <c r="H98" s="455"/>
      <c r="I98" s="92"/>
      <c r="J98" s="92"/>
    </row>
    <row r="99" spans="1:10" ht="62">
      <c r="A99" s="185" t="s">
        <v>3105</v>
      </c>
      <c r="B99" s="92" t="str">
        <f>"
Do not enter these values if the scheme is in surplus ("&amp;Questions!$D$13&amp;").
"</f>
        <v xml:space="preserve">
Do not enter these values if the scheme is in surplus (SH 12.0).
</v>
      </c>
      <c r="C99" s="92" t="str">
        <f>"
Do not enter these values if the scheme follows a Fast Track approach ("&amp;Questions!$D$5&amp;").
"</f>
        <v xml:space="preserve">
Do not enter these values if the scheme follows a Fast Track approach (SH 13.0).
</v>
      </c>
      <c r="D99" s="92" t="str">
        <f>"
You must enter these values if the scheme follows a Bespoke approach ("&amp;Questions!$D$5&amp;") and the scheme is in deficit ("&amp;Questions!$D$13&amp;").
"</f>
        <v xml:space="preserve">
You must enter these values if the scheme follows a Bespoke approach (SH 13.0) and the scheme is in deficit (SH 12.0).
</v>
      </c>
      <c r="E99" s="92" t="str">
        <f t="shared" si="2"/>
        <v xml:space="preserve">
You must enter a number greater than or equal to 0 and less than 1,000,000,000,000.00 (1 trillion). It can be accurate to two decimal places.
</v>
      </c>
      <c r="F99" s="92"/>
      <c r="G99" s="454"/>
      <c r="H99" s="455"/>
      <c r="I99" s="92"/>
      <c r="J99" s="92"/>
    </row>
    <row r="100" spans="1:10" ht="62">
      <c r="A100" s="185" t="s">
        <v>3106</v>
      </c>
      <c r="B100" s="92" t="str">
        <f>"
Do not enter these values if the scheme is in surplus ("&amp;Questions!$D$13&amp;").
"</f>
        <v xml:space="preserve">
Do not enter these values if the scheme is in surplus (SH 12.0).
</v>
      </c>
      <c r="C100" s="92" t="str">
        <f>"
Do not enter these values if the scheme follows a Fast Track approach ("&amp;Questions!$D$5&amp;").
"</f>
        <v xml:space="preserve">
Do not enter these values if the scheme follows a Fast Track approach (SH 13.0).
</v>
      </c>
      <c r="D100" s="92" t="str">
        <f>"
You must enter these values if the scheme follows a Bespoke approach ("&amp;Questions!$D$5&amp;") and the scheme is in deficit ("&amp;Questions!$D$13&amp;").
"</f>
        <v xml:space="preserve">
You must enter these values if the scheme follows a Bespoke approach (SH 13.0) and the scheme is in deficit (SH 12.0).
</v>
      </c>
      <c r="E100" s="92" t="str">
        <f t="shared" si="2"/>
        <v xml:space="preserve">
You must enter a number greater than or equal to 0 and less than 1,000,000,000,000.00 (1 trillion). It can be accurate to two decimal places.
</v>
      </c>
      <c r="F100" s="92"/>
      <c r="G100" s="454"/>
      <c r="H100" s="455"/>
      <c r="I100" s="92"/>
      <c r="J100" s="92"/>
    </row>
    <row r="101" spans="1:10" ht="62">
      <c r="A101" s="185" t="s">
        <v>3107</v>
      </c>
      <c r="B101" s="92" t="str">
        <f>"
Do not enter these values if the scheme is in surplus ("&amp;Questions!$D$13&amp;").
"</f>
        <v xml:space="preserve">
Do not enter these values if the scheme is in surplus (SH 12.0).
</v>
      </c>
      <c r="C101" s="92" t="str">
        <f>"
Do not enter these values if the scheme follows a Fast Track approach ("&amp;Questions!$D$5&amp;").
"</f>
        <v xml:space="preserve">
Do not enter these values if the scheme follows a Fast Track approach (SH 13.0).
</v>
      </c>
      <c r="D101" s="92" t="str">
        <f>"
You must enter these values if the scheme follows a Bespoke approach ("&amp;Questions!$D$5&amp;") and the scheme is in deficit ("&amp;Questions!$D$13&amp;").
"</f>
        <v xml:space="preserve">
You must enter these values if the scheme follows a Bespoke approach (SH 13.0) and the scheme is in deficit (SH 12.0).
</v>
      </c>
      <c r="E101" s="92" t="str">
        <f t="shared" si="2"/>
        <v xml:space="preserve">
You must enter a number greater than or equal to 0 and less than 1,000,000,000,000.00 (1 trillion). It can be accurate to two decimal places.
</v>
      </c>
      <c r="F101" s="92"/>
      <c r="G101" s="454"/>
      <c r="H101" s="455"/>
      <c r="I101" s="92"/>
      <c r="J101" s="92"/>
    </row>
    <row r="102" spans="1:10" ht="62">
      <c r="A102" s="185" t="s">
        <v>3108</v>
      </c>
      <c r="B102" s="92" t="str">
        <f>"
Do not enter these values if the scheme is in surplus ("&amp;Questions!$D$13&amp;").
"</f>
        <v xml:space="preserve">
Do not enter these values if the scheme is in surplus (SH 12.0).
</v>
      </c>
      <c r="C102" s="92" t="str">
        <f>"
Do not enter these values if the scheme follows a Fast Track approach ("&amp;Questions!$D$5&amp;").
"</f>
        <v xml:space="preserve">
Do not enter these values if the scheme follows a Fast Track approach (SH 13.0).
</v>
      </c>
      <c r="D102" s="92" t="str">
        <f>"
You must enter these values if the scheme follows a Bespoke approach ("&amp;Questions!$D$5&amp;") and the scheme is in deficit ("&amp;Questions!$D$13&amp;").
"</f>
        <v xml:space="preserve">
You must enter these values if the scheme follows a Bespoke approach (SH 13.0) and the scheme is in deficit (SH 12.0).
</v>
      </c>
      <c r="E102" s="92" t="str">
        <f t="shared" si="2"/>
        <v xml:space="preserve">
You must enter a number greater than or equal to 0 and less than 1,000,000,000,000.00 (1 trillion). It can be accurate to two decimal places.
</v>
      </c>
      <c r="F102" s="92"/>
      <c r="G102" s="454"/>
      <c r="H102" s="455"/>
      <c r="I102" s="92"/>
      <c r="J102" s="92"/>
    </row>
    <row r="103" spans="1:10" ht="62">
      <c r="A103" s="185" t="s">
        <v>3109</v>
      </c>
      <c r="B103" s="454" t="str">
        <f>"
Do not enter these values if the scheme is in surplus ("&amp;Questions!$D$13&amp;").
"</f>
        <v xml:space="preserve">
Do not enter these values if the scheme is in surplus (SH 12.0).
</v>
      </c>
      <c r="C103" s="454" t="str">
        <f>"
Do not enter these values if the scheme follows a Fast Track approach ("&amp;Questions!$D$5&amp;").
"</f>
        <v xml:space="preserve">
Do not enter these values if the scheme follows a Fast Track approach (SH 13.0).
</v>
      </c>
      <c r="D103" s="454" t="str">
        <f>"
You must enter these values if the scheme follows a Bespoke approach ("&amp;Questions!$D$5&amp;") and the scheme is in deficit ("&amp;Questions!$D$13&amp;").
"</f>
        <v xml:space="preserve">
You must enter these values if the scheme follows a Bespoke approach (SH 13.0) and the scheme is in deficit (SH 12.0).
</v>
      </c>
      <c r="E103" s="454" t="str">
        <f t="shared" si="2"/>
        <v xml:space="preserve">
You must enter a number greater than or equal to 0 and less than 1,000,000,000,000.00 (1 trillion). It can be accurate to two decimal places.
</v>
      </c>
      <c r="F103" s="454"/>
      <c r="G103" s="454"/>
      <c r="H103" s="455"/>
      <c r="I103" s="92"/>
      <c r="J103" s="92"/>
    </row>
    <row r="104" spans="1:10" ht="62">
      <c r="A104" s="185" t="s">
        <v>3110</v>
      </c>
      <c r="B104" s="454" t="str">
        <f>"
Do not answer this question if the scheme is not a small scheme ("&amp;Questions!$D$3&amp;").
"</f>
        <v xml:space="preserve">
Do not answer this question if the scheme is not a small scheme (SH 11.0).
</v>
      </c>
      <c r="C104" s="454" t="str">
        <f>"
You must answer this question if the scheme is a small scheme ("&amp;Questions!$D$3&amp;")..
"</f>
        <v xml:space="preserve">
You must answer this question if the scheme is a small scheme (SH 11.0)..
</v>
      </c>
      <c r="D104" s="454" t="s">
        <v>3760</v>
      </c>
      <c r="E104" s="454"/>
      <c r="F104" s="454"/>
      <c r="G104" s="454"/>
      <c r="H104" s="455"/>
      <c r="I104" s="92"/>
      <c r="J104" s="92"/>
    </row>
    <row r="105" spans="1:10" ht="139.5">
      <c r="A105" s="185" t="s">
        <v>3111</v>
      </c>
      <c r="B105" s="454" t="str">
        <f>"
Select one of the following options from the drop-down list.
- Pre and post retirement
- Horizon method
- Multiple horizon
- Dynamic
- Constant addition
- Other
"</f>
        <v xml:space="preserve">
Select one of the following options from the drop-down list.
- Pre and post retirement
- Horizon method
- Multiple horizon
- Dynamic
- Constant addition
- Other
</v>
      </c>
      <c r="C105" s="454" t="str">
        <f>"
You must select an option from the drop-down list.
"</f>
        <v xml:space="preserve">
You must select an option from the drop-down list.
</v>
      </c>
      <c r="D105" s="454"/>
      <c r="E105" s="454"/>
      <c r="F105" s="454"/>
      <c r="G105" s="454"/>
      <c r="H105" s="455"/>
      <c r="I105" s="92"/>
      <c r="J105" s="92"/>
    </row>
    <row r="106" spans="1:10" ht="62">
      <c r="A106" s="185" t="s">
        <v>3112</v>
      </c>
      <c r="B106" s="454" t="str">
        <f>"
Do not answer this question if you selected 'Other' as the discount rate methodology used to calculate the technical provisions ("&amp;Questions!$D$134&amp;")
"</f>
        <v xml:space="preserve">
Do not answer this question if you selected 'Other' as the discount rate methodology used to calculate the technical provisions (DR 2.0)
</v>
      </c>
      <c r="C106" s="454" t="str">
        <f>"
You must answer this question if you selected 'Other' as the discount rate methodology used to calculate the technical provisions ("&amp;Questions!$D$134&amp;").
"</f>
        <v xml:space="preserve">
You must answer this question if you selected 'Other' as the discount rate methodology used to calculate the technical provisions (DR 2.0).
</v>
      </c>
      <c r="D106" s="454" t="str">
        <f>"
The answer must be no more than 4000 characters.
"</f>
        <v xml:space="preserve">
The answer must be no more than 4000 characters.
</v>
      </c>
      <c r="E106" s="454"/>
      <c r="F106" s="454"/>
      <c r="G106" s="454"/>
      <c r="H106" s="455"/>
      <c r="I106" s="92"/>
      <c r="J106" s="92"/>
    </row>
    <row r="107" spans="1:10" ht="77.5">
      <c r="A107" s="185" t="s">
        <v>3113</v>
      </c>
      <c r="B107" s="98" t="str">
        <f>"
Do not answer this question if the scheme does not use a pre and post retirement discount rate methodology to calculate the technical provisions ("&amp;Questions!$D$134&amp;").
"</f>
        <v xml:space="preserve">
Do not answer this question if the scheme does not use a pre and post retirement discount rate methodology to calculate the technical provisions (DR 2.0).
</v>
      </c>
      <c r="C107" s="98" t="str">
        <f>"
You must answer this question if the scheme uses a pre and post retirement discount rate methodology to calculate the technical provisions ("&amp;Questions!$D$134&amp;").
"</f>
        <v xml:space="preserve">
You must answer this question if the scheme uses a pre and post retirement discount rate methodology to calculate the technical provisions (DR 2.0).
</v>
      </c>
      <c r="D107" s="98" t="str">
        <f>"
You must answer this question if the scheme meets the 'small scheme’ definition ("&amp;Questions!$D$3&amp;") and uses a spot rate ("&amp;Questions!$D$4&amp;").
"</f>
        <v xml:space="preserve">
You must answer this question if the scheme meets the 'small scheme’ definition (SH 11.0) and uses a spot rate (DR 1.0).
</v>
      </c>
      <c r="E107" s="98" t="str">
        <f>"
Do not answer this question if the scheme does not use a pre and post retirement discount rate methodology to calculate the technical provisions ("&amp;Questions!$D$134&amp;").
"</f>
        <v xml:space="preserve">
Do not answer this question if the scheme does not use a pre and post retirement discount rate methodology to calculate the technical provisions (DR 2.0).
</v>
      </c>
      <c r="F107" s="98" t="str">
        <f>"
You must answer this question when the scheme meets ‘small scheme’ definition ("&amp;Questions!$D$3&amp;"), provides a yield curve discount rate ("&amp;Questions!$D$4&amp;"), and uses a pre and post retirement discount rate methodology ("&amp;Questions!$D$134&amp;").
"</f>
        <v xml:space="preserve">
You must answer this question when the scheme meets ‘small scheme’ definition (SH 11.0), provides a yield curve discount rate (DR 1.0), and uses a pre and post retirement discount rate methodology (DR 2.0).
</v>
      </c>
      <c r="G107" s="92" t="str">
        <f>"
The answer must be no more than 4000 characters.
"</f>
        <v xml:space="preserve">
The answer must be no more than 4000 characters.
</v>
      </c>
      <c r="I107" s="92"/>
      <c r="J107" s="92"/>
    </row>
    <row r="108" spans="1:10" ht="139.5">
      <c r="A108" s="185" t="s">
        <v>3114</v>
      </c>
      <c r="B108" s="454" t="str">
        <f>"
Do not answer this question if the scheme follows a Fast Track approach ("&amp;Questions!$D$5&amp;").
"</f>
        <v xml:space="preserve">
Do not answer this question if the scheme follows a Fast Track approach (SH 13.0).
</v>
      </c>
      <c r="C108" s="454" t="str">
        <f>"
You must answer this question if the scheme follows a Bespoke approach ("&amp;Questions!$D$5&amp;").
"</f>
        <v xml:space="preserve">
You must answer this question if the scheme follows a Bespoke approach (SH 13.0).
</v>
      </c>
      <c r="D108" s="454" t="str">
        <f>"
Select one of the following options from the dropdown list.
• Applying a premium to gilt yields
• Applying a premium to swap yields
• Applying a premium to inflation yields
• Applying a premium to composite yields
• Other
"</f>
        <v xml:space="preserve">
Select one of the following options from the dropdown list.
• Applying a premium to gilt yields
• Applying a premium to swap yields
• Applying a premium to inflation yields
• Applying a premium to composite yields
• Other
</v>
      </c>
      <c r="E108" s="454"/>
      <c r="F108" s="454"/>
      <c r="G108" s="454"/>
      <c r="H108" s="455"/>
      <c r="I108" s="92"/>
      <c r="J108" s="92"/>
    </row>
    <row r="109" spans="1:10" ht="62">
      <c r="A109" s="185" t="s">
        <v>3115</v>
      </c>
      <c r="B109" s="98" t="str">
        <f>"
Do not answer this question if the scheme follows a Fast Track approach ("&amp;Questions!$D$5&amp;").
"</f>
        <v xml:space="preserve">
Do not answer this question if the scheme follows a Fast Track approach (SH 13.0).
</v>
      </c>
      <c r="C109" s="98" t="str">
        <f>"
Do not answer this question if the discount rate derivation is not ‘Other’ ("&amp;Questions!$D$136&amp;").
"</f>
        <v xml:space="preserve">
Do not answer this question if the discount rate derivation is not ‘Other’ (DR 5.0).
</v>
      </c>
      <c r="D109" s="98" t="str">
        <f>"
You must answer this question if the discount rate derivation is ‘Other’ ("&amp;Questions!$D$136&amp;").
"</f>
        <v xml:space="preserve">
You must answer this question if the discount rate derivation is ‘Other’ (DR 5.0).
</v>
      </c>
      <c r="E109" s="98" t="str">
        <f>"
The answer must be no more than 4000 characters.
"</f>
        <v xml:space="preserve">
The answer must be no more than 4000 characters.
</v>
      </c>
      <c r="I109" s="92"/>
      <c r="J109" s="92"/>
    </row>
    <row r="110" spans="1:10" ht="62">
      <c r="A110" s="185" t="s">
        <v>3116</v>
      </c>
      <c r="B110" s="98" t="str">
        <f>"
Do not answer this question if the scheme is not a small scheme ("&amp;Questions!$D$3&amp;").
"</f>
        <v xml:space="preserve">
Do not answer this question if the scheme is not a small scheme (SH 11.0).
</v>
      </c>
      <c r="C110" s="98" t="str">
        <f>"
Do not answer this question if the scheme uses a yield curve discount rate ("&amp;Questions!$D$4&amp;").
"</f>
        <v xml:space="preserve">
Do not answer this question if the scheme uses a yield curve discount rate (DR 1.0).
</v>
      </c>
      <c r="D110" s="98" t="str">
        <f>"
You must answer this question if the scheme is a small scheme ("&amp;Questions!$D$3&amp;") and uses a spot rate ("&amp;Questions!$D$4&amp;").
"</f>
        <v xml:space="preserve">
You must answer this question if the scheme is a small scheme (SH 11.0) and uses a spot rate (DR 1.0).
</v>
      </c>
      <c r="E110" s="98" t="str">
        <f>"
Enter a percentage value between -10 and 10.
"</f>
        <v xml:space="preserve">
Enter a percentage value between -10 and 10.
</v>
      </c>
      <c r="I110" s="92"/>
      <c r="J110" s="92"/>
    </row>
    <row r="111" spans="1:10" ht="77.5">
      <c r="A111" s="185" t="s">
        <v>3117</v>
      </c>
      <c r="B111" s="98" t="str">
        <f>"
Do not answer this question if the scheme is not a small scheme ("&amp;Questions!$D$3&amp;").
"</f>
        <v xml:space="preserve">
Do not answer this question if the scheme is not a small scheme (SH 11.0).
</v>
      </c>
      <c r="C111" s="98" t="str">
        <f>"
Do not answer this question if the scheme uses a yield curve discount rate ("&amp;Questions!$D$4&amp;").
"</f>
        <v xml:space="preserve">
Do not answer this question if the scheme uses a yield curve discount rate (DR 1.0).
</v>
      </c>
      <c r="D111" s="98" t="str">
        <f>"
Do not answer this question if the scheme does not use either a horizon or multiple horizon discount rate methodology ("&amp;Questions!$D$134&amp;").
"</f>
        <v xml:space="preserve">
Do not answer this question if the scheme does not use either a horizon or multiple horizon discount rate methodology (DR 2.0).
</v>
      </c>
      <c r="E111" s="98" t="str">
        <f>"
You must answer this question if the scheme is a small scheme ("&amp;Questions!$D$3&amp;"), uses a spot rate ("&amp;Questions!$D$4&amp;") and either a horizon or multiple horizon discount rate methodology ("&amp;Questions!$D$134&amp;").
"</f>
        <v xml:space="preserve">
You must answer this question if the scheme is a small scheme (SH 11.0), uses a spot rate (DR 1.0) and either a horizon or multiple horizon discount rate methodology (DR 2.0).
</v>
      </c>
      <c r="F111" s="98" t="s">
        <v>3761</v>
      </c>
      <c r="G111" s="98" t="str">
        <f>"
This date cannot be less than the effective date of the actuarial validation ("&amp;Questions!$D$2&amp;").
"</f>
        <v xml:space="preserve">
This date cannot be less than the effective date of the actuarial validation (SH 8.0).
</v>
      </c>
      <c r="I111" s="92"/>
      <c r="J111" s="92"/>
    </row>
    <row r="112" spans="1:10" ht="77.5">
      <c r="A112" s="185" t="s">
        <v>3118</v>
      </c>
      <c r="B112" s="98" t="str">
        <f>"
Do not answer this question if the scheme is not a small scheme ("&amp;Questions!$D$3&amp;").
"</f>
        <v xml:space="preserve">
Do not answer this question if the scheme is not a small scheme (SH 11.0).
</v>
      </c>
      <c r="C112" s="98" t="str">
        <f>"
Do not answer this question if the scheme uses a yield curve discount rate ("&amp;Questions!$D$4&amp;").
"</f>
        <v xml:space="preserve">
Do not answer this question if the scheme uses a yield curve discount rate (DR 1.0).
</v>
      </c>
      <c r="D112" s="98" t="str">
        <f>"
Do not answer this question if the scheme does not use either a horizon or multiple horizon discount rate methodology ("&amp;Questions!$D$134&amp;").
"</f>
        <v xml:space="preserve">
Do not answer this question if the scheme does not use either a horizon or multiple horizon discount rate methodology (DR 2.0).
</v>
      </c>
      <c r="E112" s="98" t="str">
        <f>"
You must answer this question if the scheme is a small scheme ("&amp;Questions!$D$3&amp;"), uses a spot rate ("&amp;Questions!$D$4&amp;") and either a horizon or multiple horizon discount rate methodology ("&amp;Questions!$D$134&amp;").
"</f>
        <v xml:space="preserve">
You must answer this question if the scheme is a small scheme (SH 11.0), uses a spot rate (DR 1.0) and either a horizon or multiple horizon discount rate methodology (DR 2.0).
</v>
      </c>
      <c r="F112" s="98" t="str">
        <f>"
Enter a percentage value between -10 and 10.
"</f>
        <v xml:space="preserve">
Enter a percentage value between -10 and 10.
</v>
      </c>
      <c r="I112" s="92"/>
      <c r="J112" s="92"/>
    </row>
    <row r="113" spans="1:10" ht="77.5">
      <c r="A113" s="185" t="s">
        <v>3119</v>
      </c>
      <c r="B113" s="98" t="str">
        <f>"
Do not answer this question if the scheme is not a small scheme ("&amp;Questions!$D$3&amp;").
"</f>
        <v xml:space="preserve">
Do not answer this question if the scheme is not a small scheme (SH 11.0).
</v>
      </c>
      <c r="C113" s="98" t="str">
        <f>"
Do not answer this question if the scheme uses a yield curve discount rate ("&amp;Questions!$D$4&amp;").
"</f>
        <v xml:space="preserve">
Do not answer this question if the scheme uses a yield curve discount rate (DR 1.0).
</v>
      </c>
      <c r="D113" s="98" t="str">
        <f>"
Do not answer this question if the scheme does not use either a horizon or multiple horizon discount rate methodology ("&amp;Questions!$D$134&amp;").
"</f>
        <v xml:space="preserve">
Do not answer this question if the scheme does not use either a horizon or multiple horizon discount rate methodology (DR 2.0).
</v>
      </c>
      <c r="E113" s="98" t="str">
        <f>"
You must answer this question if the scheme is a small scheme ("&amp;Questions!$D$3&amp;"), uses a spot rate ("&amp;Questions!$D$4&amp;") and either a horizon or multiple horizon discount rate methodology ("&amp;Questions!$D$134&amp;").
"</f>
        <v xml:space="preserve">
You must answer this question if the scheme is a small scheme (SH 11.0), uses a spot rate (DR 1.0) and either a horizon or multiple horizon discount rate methodology (DR 2.0).
</v>
      </c>
      <c r="F113" s="98" t="str">
        <f>"
Enter a percentage value between -10 and 10.
"</f>
        <v xml:space="preserve">
Enter a percentage value between -10 and 10.
</v>
      </c>
      <c r="I113" s="92"/>
      <c r="J113" s="92"/>
    </row>
    <row r="114" spans="1:10" ht="77.5">
      <c r="A114" s="185" t="s">
        <v>3120</v>
      </c>
      <c r="B114" s="98" t="str">
        <f>"
Do not answer this question if the scheme does not use a pre and post retirement discount rate methodology to calculate the technical provisions. ("&amp;Questions!$D$134&amp;").
"</f>
        <v xml:space="preserve">
Do not answer this question if the scheme does not use a pre and post retirement discount rate methodology to calculate the technical provisions. (DR 2.0).
</v>
      </c>
      <c r="C114" s="98" t="str">
        <f>"
You must answer this question if the scheme uses a pre and post retirement discount rate methodology to calculate the technical provisions ("&amp;Questions!$D$134&amp;").
"</f>
        <v xml:space="preserve">
You must answer this question if the scheme uses a pre and post retirement discount rate methodology to calculate the technical provisions (DR 2.0).
</v>
      </c>
      <c r="D114" s="98" t="str">
        <f>"
You must answer this question if the scheme meets the 'small scheme’ definition ("&amp;Questions!$D$3&amp;") and uses a spot rate ("&amp;Questions!$D$4&amp;").
"</f>
        <v xml:space="preserve">
You must answer this question if the scheme meets the 'small scheme’ definition (SH 11.0) and uses a spot rate (DR 1.0).
</v>
      </c>
      <c r="E114" s="98" t="str">
        <f>"
Do not answer this question if the scheme does not use a pre and post retirement discount rate methodology to calculate the technical provisions ("&amp;Questions!$D$134&amp;").
"</f>
        <v xml:space="preserve">
Do not answer this question if the scheme does not use a pre and post retirement discount rate methodology to calculate the technical provisions (DR 2.0).
</v>
      </c>
      <c r="F114" s="98" t="str">
        <f>"
You must answer this question when the scheme meets ‘small scheme’ definition, ("&amp;Questions!$D$3&amp;"), provides a yield curve discount rate ("&amp;Questions!$D$4&amp;"), and uses a pre and post retirement discount rate methodology ("&amp;Questions!$D$134&amp;").
"</f>
        <v xml:space="preserve">
You must answer this question when the scheme meets ‘small scheme’ definition, (SH 11.0), provides a yield curve discount rate (DR 1.0), and uses a pre and post retirement discount rate methodology (DR 2.0).
</v>
      </c>
      <c r="G114" s="98" t="str">
        <f>"
Enter a percentage value between -10 and 10.
"</f>
        <v xml:space="preserve">
Enter a percentage value between -10 and 10.
</v>
      </c>
      <c r="I114" s="92"/>
      <c r="J114" s="92"/>
    </row>
    <row r="115" spans="1:10" ht="77.5">
      <c r="A115" s="185" t="s">
        <v>3121</v>
      </c>
      <c r="B115" s="98" t="str">
        <f>"
Do not answer this question if the scheme is not a small scheme ("&amp;Questions!$D$3&amp;").
"</f>
        <v xml:space="preserve">
Do not answer this question if the scheme is not a small scheme (SH 11.0).
</v>
      </c>
      <c r="C115" s="98" t="str">
        <f>"
Do not answer this question if the scheme uses a yield curve discount rate ("&amp;Questions!$D$4&amp;").
"</f>
        <v xml:space="preserve">
Do not answer this question if the scheme uses a yield curve discount rate (DR 1.0).
</v>
      </c>
      <c r="D115" s="98" t="str">
        <f>"
Do not answer this question if the scheme does not use either a dynamic or constant addition discount rate methodology ("&amp;Questions!$D$134&amp;").
"</f>
        <v xml:space="preserve">
Do not answer this question if the scheme does not use either a dynamic or constant addition discount rate methodology (DR 2.0).
</v>
      </c>
      <c r="E115" s="98" t="str">
        <f>"
You must answer this question if the scheme is a small scheme ("&amp;Questions!$D$3&amp;"), uses a spot rate ("&amp;Questions!$D$4&amp;") and a dynamic or constant addition methodology ("&amp;Questions!$D$134&amp;").
"</f>
        <v xml:space="preserve">
You must answer this question if the scheme is a small scheme (SH 11.0), uses a spot rate (DR 1.0) and a dynamic or constant addition methodology (DR 2.0).
</v>
      </c>
      <c r="F115" s="98" t="str">
        <f>"
Enter a percentage value between -10 and 10.
"</f>
        <v xml:space="preserve">
Enter a percentage value between -10 and 10.
</v>
      </c>
      <c r="I115" s="92"/>
      <c r="J115" s="92"/>
    </row>
    <row r="116" spans="1:10" ht="62">
      <c r="A116" s="185" t="s">
        <v>3122</v>
      </c>
      <c r="B116" s="98" t="str">
        <f>"
Do not answer this question if the scheme does not use a pre and post retirement discount rate methodology.
"</f>
        <v xml:space="preserve">
Do not answer this question if the scheme does not use a pre and post retirement discount rate methodology.
</v>
      </c>
      <c r="C116" s="98" t="s">
        <v>3762</v>
      </c>
      <c r="D116" s="98" t="str">
        <f>"
Enter a percentage value between -10 and 10.
"</f>
        <v xml:space="preserve">
Enter a percentage value between -10 and 10.
</v>
      </c>
      <c r="I116" s="92"/>
      <c r="J116" s="92"/>
    </row>
    <row r="117" spans="1:10" ht="62">
      <c r="A117" s="185" t="s">
        <v>3123</v>
      </c>
      <c r="B117" s="98" t="str">
        <f>"
Do not answer this question if the scheme does not use a pre and post retirement discount rate methodology.
"</f>
        <v xml:space="preserve">
Do not answer this question if the scheme does not use a pre and post retirement discount rate methodology.
</v>
      </c>
      <c r="C117" s="98" t="s">
        <v>3762</v>
      </c>
      <c r="D117" s="98" t="str">
        <f>"
Enter a percentage value between -10 and 10.
"</f>
        <v xml:space="preserve">
Enter a percentage value between -10 and 10.
</v>
      </c>
      <c r="I117" s="92"/>
      <c r="J117" s="92"/>
    </row>
    <row r="118" spans="1:10" ht="62">
      <c r="A118" s="185" t="s">
        <v>3124</v>
      </c>
      <c r="B118" s="98" t="str">
        <f>"
Do not answer this question if the scheme does not use a pre and post retirement discount rate methodology.
"</f>
        <v xml:space="preserve">
Do not answer this question if the scheme does not use a pre and post retirement discount rate methodology.
</v>
      </c>
      <c r="C118" s="98" t="s">
        <v>3762</v>
      </c>
      <c r="D118" s="98" t="str">
        <f>"
Enter a percentage value between -10 and 10.
"</f>
        <v xml:space="preserve">
Enter a percentage value between -10 and 10.
</v>
      </c>
      <c r="I118" s="92"/>
      <c r="J118" s="92"/>
    </row>
    <row r="119" spans="1:10" ht="62">
      <c r="A119" s="185" t="s">
        <v>3125</v>
      </c>
      <c r="B119" s="98" t="str">
        <f>"
Select the option from the drop down list that describes whether any benefit revaluation or indexation is linked to inflation.
"</f>
        <v xml:space="preserve">
Select the option from the drop down list that describes whether any benefit revaluation or indexation is linked to inflation.
</v>
      </c>
      <c r="I119" s="92"/>
      <c r="J119" s="92"/>
    </row>
    <row r="120" spans="1:10" ht="77.5">
      <c r="A120" s="185" t="s">
        <v>3126</v>
      </c>
      <c r="B120" s="98" t="str">
        <f>"
Do not answer this question if the scheme does not meet the 'small scheme definition' ("&amp;Questions!$D$3&amp;").
"</f>
        <v xml:space="preserve">
Do not answer this question if the scheme does not meet the 'small scheme definition' (SH 11.0).
</v>
      </c>
      <c r="C120" s="98" t="str">
        <f>"
Do not answer this question if the scheme meets the ‘small scheme’ definition ("&amp;Questions!$D$3&amp;") and uses a yield curve discount rate ("&amp;Questions!$D$4&amp;").
"</f>
        <v xml:space="preserve">
Do not answer this question if the scheme meets the ‘small scheme’ definition (SH 11.0) and uses a yield curve discount rate (DR 1.0).
</v>
      </c>
      <c r="D120" s="98" t="str">
        <f>"
Do not answer this question if benefit revaluation is not linked to inflation ("&amp;Questions!$D138&amp;").
"</f>
        <v xml:space="preserve">
Do not answer this question if benefit revaluation is not linked to inflation (OAS 1.0).
</v>
      </c>
      <c r="E120" s="98" t="str">
        <f>"
You must answer this question if the scheme is a 'small scheme' ("&amp;Questions!$D$3&amp;") using a spot rate ("&amp;Questions!$D$4&amp;") with some benefit revaluation or indexation linked to RPI
"</f>
        <v xml:space="preserve">
You must answer this question if the scheme is a 'small scheme' (SH 11.0) using a spot rate (DR 1.0) with some benefit revaluation or indexation linked to RPI
</v>
      </c>
      <c r="F120" s="98" t="str">
        <f>"
Enter a percentage value between -25 and 25.
"</f>
        <v xml:space="preserve">
Enter a percentage value between -25 and 25.
</v>
      </c>
      <c r="I120" s="92"/>
      <c r="J120" s="92"/>
    </row>
    <row r="121" spans="1:10" ht="77.5">
      <c r="A121" s="185" t="s">
        <v>3127</v>
      </c>
      <c r="B121" s="98" t="str">
        <f>"
Do not answer this question if the scheme does not meet the 'small scheme definition' ("&amp;Questions!$D$3&amp;").
"</f>
        <v xml:space="preserve">
Do not answer this question if the scheme does not meet the 'small scheme definition' (SH 11.0).
</v>
      </c>
      <c r="C121" s="98" t="str">
        <f>"
Do not answer this question if the scheme meets the ‘small scheme’ definition ("&amp;Questions!$D$3&amp;") and uses a yield curve discount rate ("&amp;Questions!$D$4&amp;").
"</f>
        <v xml:space="preserve">
Do not answer this question if the scheme meets the ‘small scheme’ definition (SH 11.0) and uses a yield curve discount rate (DR 1.0).
</v>
      </c>
      <c r="D121" s="98" t="str">
        <f>"
Do not answer this question if benefit revaluation is not linked to inflation ("&amp;Questions!$D139&amp;").
"</f>
        <v xml:space="preserve">
Do not answer this question if benefit revaluation is not linked to inflation (OAS 2.0).
</v>
      </c>
      <c r="E121" s="98" t="str">
        <f>"
You must answer this question if the scheme is a 'small scheme' ("&amp;Questions!$D$3&amp;") using a spot rate ("&amp;Questions!$D$4&amp;") with some benefit revaluation or indexation linked to CPI ("&amp;Questions!$D$138&amp;").
"</f>
        <v xml:space="preserve">
You must answer this question if the scheme is a 'small scheme' (SH 11.0) using a spot rate (DR 1.0) with some benefit revaluation or indexation linked to CPI (OAS 1.0).
</v>
      </c>
      <c r="F121" s="98" t="str">
        <f>"
Enter a percentage value between -25 and 25.
"</f>
        <v xml:space="preserve">
Enter a percentage value between -25 and 25.
</v>
      </c>
      <c r="I121" s="92"/>
      <c r="J121" s="92"/>
    </row>
    <row r="122" spans="1:10" ht="46.5">
      <c r="A122" s="185" t="s">
        <v>3128</v>
      </c>
      <c r="B122" s="98" t="str">
        <f>"
Select ‘Yes' if some benefits have a salary link or ‘No' if they do not.
"</f>
        <v xml:space="preserve">
Select ‘Yes' if some benefits have a salary link or ‘No' if they do not.
</v>
      </c>
      <c r="I122" s="92"/>
      <c r="J122" s="92"/>
    </row>
    <row r="123" spans="1:10" ht="77.5">
      <c r="A123" s="185" t="s">
        <v>3129</v>
      </c>
      <c r="B123" s="98" t="str">
        <f>"
Do not answer this question if the scheme does not meet the 'small scheme definition' ("&amp;Questions!$D$3&amp;").
"</f>
        <v xml:space="preserve">
Do not answer this question if the scheme does not meet the 'small scheme definition' (SH 11.0).
</v>
      </c>
      <c r="C123" s="98" t="str">
        <f>"
Do not answer this question if the scheme meets the ‘small scheme’ definition ("&amp;Questions!$D$3&amp;") and uses a yield curve discount rate ("&amp;Questions!$D$4&amp;").
"</f>
        <v xml:space="preserve">
Do not answer this question if the scheme meets the ‘small scheme’ definition (SH 11.0) and uses a yield curve discount rate (DR 1.0).
</v>
      </c>
      <c r="D123" s="98" t="str">
        <f>"
Do not answer this question if the scheme is a small scheme ("&amp;Questions!$D$3&amp;") using spot rates ("&amp;Questions!$D$4&amp;") that does not have benefits with a salary link  ("&amp;Questions!$D141&amp;").
"</f>
        <v xml:space="preserve">
Do not answer this question if the scheme is a small scheme (SH 11.0) using spot rates (DR 1.0) that does not have benefits with a salary link  (OAS 4.0).
</v>
      </c>
      <c r="E123" s="98" t="str">
        <f>"
You must answer this question if the scheme is a small scheme ("&amp;Questions!$D$3&amp;") using spot rates ("&amp;Questions!$D$4&amp;") that has benefits with a salary link ("&amp;Questions!$D141&amp;").
"</f>
        <v xml:space="preserve">
You must answer this question if the scheme is a small scheme (SH 11.0) using spot rates (DR 1.0) that has benefits with a salary link (OAS 4.0).
</v>
      </c>
      <c r="F123" s="98" t="str">
        <f>"
Enter a percentage value between 0 and 25
"</f>
        <v xml:space="preserve">
Enter a percentage value between 0 and 25
</v>
      </c>
      <c r="I123" s="92"/>
      <c r="J123" s="92"/>
    </row>
    <row r="124" spans="1:10" ht="77.5">
      <c r="A124" s="185" t="s">
        <v>3130</v>
      </c>
      <c r="B124" s="98" t="str">
        <f>"
Select ‘Yes' if allowance has been made for pensions to be commuted for tax-free cash on retirement within the calculation of technical provisions’ or ‘No' if it has not.
"</f>
        <v xml:space="preserve">
Select ‘Yes' if allowance has been made for pensions to be commuted for tax-free cash on retirement within the calculation of technical provisions’ or ‘No' if it has not.
</v>
      </c>
      <c r="I124" s="92"/>
      <c r="J124" s="92"/>
    </row>
    <row r="125" spans="1:10" ht="77.5">
      <c r="A125" s="185" t="s">
        <v>3131</v>
      </c>
      <c r="B125" s="98" t="str">
        <f>"
Do not answer this question if allowance has not been made for pensions to be commuted for tax-free cash on retirement within the calculation of technical provisions ("&amp;Questions!$D$375&amp;").
"</f>
        <v xml:space="preserve">
Do not answer this question if allowance has not been made for pensions to be commuted for tax-free cash on retirement within the calculation of technical provisions (OAS 6.0).
</v>
      </c>
      <c r="C125" s="98" t="str">
        <f>"
You must answer this question if allowance has been made for pensions to be commuted for tax-free cash on retirement within the calculation of technical provisions ("&amp;Questions!$D$375&amp;").
"</f>
        <v xml:space="preserve">
You must answer this question if allowance has been made for pensions to be commuted for tax-free cash on retirement within the calculation of technical provisions (OAS 6.0).
</v>
      </c>
      <c r="D125" s="98" t="str">
        <f>"
Enter a value greater than -1,000,000,000,000 (minus 1 trillion) and less than 1,000,000,000,000 (1 trillion). It can be accurate to two decimal places.
"</f>
        <v xml:space="preserve">
Enter a value greater than -1,000,000,000,000 (minus 1 trillion) and less than 1,000,000,000,000 (1 trillion). It can be accurate to two decimal places.
</v>
      </c>
      <c r="I125" s="92"/>
      <c r="J125" s="92"/>
    </row>
    <row r="126" spans="1:10" ht="46.5">
      <c r="A126" s="185" t="s">
        <v>3132</v>
      </c>
      <c r="B126" s="98" t="s">
        <v>3763</v>
      </c>
      <c r="I126" s="92"/>
      <c r="J126" s="92"/>
    </row>
    <row r="127" spans="1:10" ht="46.5">
      <c r="A127" s="185" t="s">
        <v>3133</v>
      </c>
      <c r="B127" s="98" t="s">
        <v>3763</v>
      </c>
      <c r="I127" s="92"/>
      <c r="J127" s="92"/>
    </row>
    <row r="128" spans="1:10" ht="46.5">
      <c r="A128" s="185" t="s">
        <v>3134</v>
      </c>
      <c r="B128" s="98" t="s">
        <v>3763</v>
      </c>
      <c r="I128" s="92"/>
      <c r="J128" s="92"/>
    </row>
    <row r="129" spans="1:10" ht="46.5">
      <c r="A129" s="185" t="s">
        <v>3135</v>
      </c>
      <c r="B129" s="98" t="s">
        <v>3763</v>
      </c>
      <c r="I129" s="92"/>
      <c r="J129" s="92"/>
    </row>
    <row r="130" spans="1:10" ht="62">
      <c r="A130" s="185" t="s">
        <v>3136</v>
      </c>
      <c r="B130" s="98" t="str">
        <f>"
Select ‘Yes' if the technical provisions basis is the same as the low dependency basis in all respects and ‘No' if it is not.
"</f>
        <v xml:space="preserve">
Select ‘Yes' if the technical provisions basis is the same as the low dependency basis in all respects and ‘No' if it is not.
</v>
      </c>
      <c r="C130" s="98" t="str">
        <f>"
Select ‘Yes' if the technical provisions basis is the same as the low dependency basis in all respects and ‘No' if it is not.
"</f>
        <v xml:space="preserve">
Select ‘Yes' if the technical provisions basis is the same as the low dependency basis in all respects and ‘No' if it is not.
</v>
      </c>
      <c r="I130" s="92"/>
      <c r="J130" s="92"/>
    </row>
    <row r="131" spans="1:10" ht="77.5">
      <c r="A131" s="185" t="s">
        <v>3137</v>
      </c>
      <c r="B131" s="98" t="str">
        <f>"
Do not answer this question if the technical provision basis is the same as the low dependency basis in all respects ("&amp;Questions!$D$381&amp;").
"</f>
        <v xml:space="preserve">
Do not answer this question if the technical provision basis is the same as the low dependency basis in all respects (OAS 12.0).
</v>
      </c>
      <c r="C131" s="98" t="str">
        <f>"
You must answer this question if the technical provision basis is not the same as the low dependency basis in all respects ("&amp;Questions!$D$381&amp;").
"</f>
        <v xml:space="preserve">
You must answer this question if the technical provision basis is not the same as the low dependency basis in all respects (OAS 12.0).
</v>
      </c>
      <c r="D131" s="98" t="str">
        <f>"
Select ‘Yes' if the same underlying yield curve has been used for the low dependency basis and the technical provisions basis and ‘No' if it has not.
"</f>
        <v xml:space="preserve">
Select ‘Yes' if the same underlying yield curve has been used for the low dependency basis and the technical provisions basis and ‘No' if it has not.
</v>
      </c>
      <c r="I131" s="92"/>
      <c r="J131" s="92"/>
    </row>
    <row r="132" spans="1:10" ht="77.5">
      <c r="A132" s="185" t="s">
        <v>3138</v>
      </c>
      <c r="B132" s="98" t="str">
        <f>"
Do not answer this question if the technical provision basis is the same as the low dependency basis in all respects ("&amp;Questions!$D$381&amp;").
"</f>
        <v xml:space="preserve">
Do not answer this question if the technical provision basis is the same as the low dependency basis in all respects (OAS 12.0).
</v>
      </c>
      <c r="C132" s="98" t="str">
        <f>"
You must answer this question if the technical provision basis is not the same as the low dependency basis in all respects ("&amp;Questions!$D$381&amp;").
"</f>
        <v xml:space="preserve">
You must answer this question if the technical provision basis is not the same as the low dependency basis in all respects (OAS 12.0).
</v>
      </c>
      <c r="D132" s="98" t="str">
        <f>"
Select ‘Yes' if the same underlying yield curve has been used for the low dependency basis and the technical provisions basis’ and ‘No' if it does not ("&amp;Questions!$D$381&amp;").
"</f>
        <v xml:space="preserve">
Select ‘Yes' if the same underlying yield curve has been used for the low dependency basis and the technical provisions basis’ and ‘No' if it does not (OAS 12.0).
</v>
      </c>
      <c r="I132" s="92"/>
      <c r="J132" s="92"/>
    </row>
    <row r="133" spans="1:10" ht="93">
      <c r="A133" s="185" t="s">
        <v>3139</v>
      </c>
      <c r="B133" s="98" t="str">
        <f>"
Do not answer this question if the technical provision basis is the same as the low dependency basis in all respects ("&amp;Questions!$D$381&amp;").
"</f>
        <v xml:space="preserve">
Do not answer this question if the technical provision basis is the same as the low dependency basis in all respects (OAS 12.0).
</v>
      </c>
      <c r="C133" s="98" t="str">
        <f>"
Do not answer this question if the same underlying yield curve has been used for the low dependency basis and the technical provisions basis ("&amp;Questions!$D$382&amp;") and, excluding discount rates, the technical provisions basis is the same as the low dependency funding basis ("&amp;Questions!$D$383&amp;").
"</f>
        <v xml:space="preserve">
Do not answer this question if the same underlying yield curve has been used for the low dependency basis and the technical provisions basis (OAS 13.0) and, excluding discount rates, the technical provisions basis is the same as the low dependency funding basis (OAS 14.0).
</v>
      </c>
      <c r="D133" s="98" t="str">
        <f>"
You must answer this question if the same underlying yield curve has not been used for the low dependency basis and the technical provisions basis ("&amp;Questions!$D$382&amp;") and, excluding discount rates, the technical provisions basis is not the same as the low dependency funding basis ("&amp;Questions!$D$383&amp;").
"</f>
        <v xml:space="preserve">
You must answer this question if the same underlying yield curve has not been used for the low dependency basis and the technical provisions basis (OAS 13.0) and, excluding discount rates, the technical provisions basis is not the same as the low dependency funding basis (OAS 14.0).
</v>
      </c>
      <c r="E133" s="98" t="s">
        <v>3764</v>
      </c>
      <c r="F133" s="98" t="str">
        <f>"
You must answer this question if excluding discount rates, the technical provisions basis is not the same as the low dependency funding basis ("&amp;Questions!$D$383&amp;").
"</f>
        <v xml:space="preserve">
You must answer this question if excluding discount rates, the technical provisions basis is not the same as the low dependency funding basis (OAS 14.0).
</v>
      </c>
      <c r="G133" s="98" t="str">
        <f>"
The answer must be no more than 4000 characters.
"</f>
        <v xml:space="preserve">
The answer must be no more than 4000 characters.
</v>
      </c>
      <c r="I133" s="92"/>
      <c r="J133" s="92"/>
    </row>
    <row r="134" spans="1:10" ht="77.5">
      <c r="A134" s="185" t="s">
        <v>3140</v>
      </c>
      <c r="B134" s="9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34" s="9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34" s="9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34" s="98" t="str">
        <f>"
Enter a percentage value between -25 and 25.
"</f>
        <v xml:space="preserve">
Enter a percentage value between -25 and 25.
</v>
      </c>
      <c r="I134" s="92"/>
      <c r="J134" s="92"/>
    </row>
    <row r="135" spans="1:10" ht="77.5">
      <c r="A135" s="185" t="s">
        <v>3141</v>
      </c>
      <c r="B135" s="9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35" s="9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35" s="9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35" s="98" t="str">
        <f t="shared" ref="E135:E173" si="3">"
Enter a percentage value between -25 and 25.
"</f>
        <v xml:space="preserve">
Enter a percentage value between -25 and 25.
</v>
      </c>
      <c r="I135" s="92"/>
      <c r="J135" s="92"/>
    </row>
    <row r="136" spans="1:10" ht="77.5">
      <c r="A136" s="185" t="s">
        <v>3142</v>
      </c>
      <c r="B136" s="9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36" s="9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36" s="9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36" s="98" t="str">
        <f t="shared" si="3"/>
        <v xml:space="preserve">
Enter a percentage value between -25 and 25.
</v>
      </c>
      <c r="I136" s="92"/>
      <c r="J136" s="92"/>
    </row>
    <row r="137" spans="1:10" ht="77.5">
      <c r="A137" s="185" t="s">
        <v>3143</v>
      </c>
      <c r="B137" s="9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37" s="9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37" s="9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37" s="98" t="str">
        <f t="shared" si="3"/>
        <v xml:space="preserve">
Enter a percentage value between -25 and 25.
</v>
      </c>
      <c r="I137" s="92"/>
      <c r="J137" s="92"/>
    </row>
    <row r="138" spans="1:10" ht="77.5">
      <c r="A138" s="185" t="s">
        <v>3144</v>
      </c>
      <c r="B138" s="9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38" s="9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38" s="9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38" s="98" t="str">
        <f t="shared" si="3"/>
        <v xml:space="preserve">
Enter a percentage value between -25 and 25.
</v>
      </c>
      <c r="I138" s="92"/>
      <c r="J138" s="92"/>
    </row>
    <row r="139" spans="1:10" ht="77.5">
      <c r="A139" s="185" t="s">
        <v>3145</v>
      </c>
      <c r="B139" s="9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39" s="9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39" s="9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39" s="98" t="str">
        <f t="shared" si="3"/>
        <v xml:space="preserve">
Enter a percentage value between -25 and 25.
</v>
      </c>
      <c r="I139" s="92"/>
      <c r="J139" s="92"/>
    </row>
    <row r="140" spans="1:10" ht="77.5">
      <c r="A140" s="185" t="s">
        <v>3146</v>
      </c>
      <c r="B140" s="9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40" s="9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40" s="9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40" s="98" t="str">
        <f t="shared" si="3"/>
        <v xml:space="preserve">
Enter a percentage value between -25 and 25.
</v>
      </c>
      <c r="I140" s="92"/>
      <c r="J140" s="92"/>
    </row>
    <row r="141" spans="1:10" ht="77.5">
      <c r="A141" s="185" t="s">
        <v>3147</v>
      </c>
      <c r="B141" s="9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41" s="9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41" s="9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41" s="98" t="str">
        <f t="shared" si="3"/>
        <v xml:space="preserve">
Enter a percentage value between -25 and 25.
</v>
      </c>
      <c r="I141" s="92"/>
      <c r="J141" s="92"/>
    </row>
    <row r="142" spans="1:10" ht="77.5">
      <c r="A142" s="185" t="s">
        <v>3148</v>
      </c>
      <c r="B142" s="9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42" s="9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42" s="9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42" s="98" t="str">
        <f t="shared" si="3"/>
        <v xml:space="preserve">
Enter a percentage value between -25 and 25.
</v>
      </c>
      <c r="I142" s="92"/>
      <c r="J142" s="92"/>
    </row>
    <row r="143" spans="1:10" ht="77.5">
      <c r="A143" s="185" t="s">
        <v>3149</v>
      </c>
      <c r="B143" s="9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43" s="9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43" s="9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43" s="98" t="str">
        <f t="shared" si="3"/>
        <v xml:space="preserve">
Enter a percentage value between -25 and 25.
</v>
      </c>
      <c r="I143" s="92"/>
      <c r="J143" s="92"/>
    </row>
    <row r="144" spans="1:10" ht="77.5">
      <c r="A144" s="185" t="s">
        <v>3150</v>
      </c>
      <c r="B144" s="9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44" s="9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44" s="9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44" s="98" t="str">
        <f t="shared" si="3"/>
        <v xml:space="preserve">
Enter a percentage value between -25 and 25.
</v>
      </c>
      <c r="I144" s="92"/>
      <c r="J144" s="92"/>
    </row>
    <row r="145" spans="1:10" ht="77.5">
      <c r="A145" s="185" t="s">
        <v>3151</v>
      </c>
      <c r="B145" s="9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45" s="9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45" s="9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45" s="98" t="str">
        <f t="shared" si="3"/>
        <v xml:space="preserve">
Enter a percentage value between -25 and 25.
</v>
      </c>
      <c r="I145" s="92"/>
      <c r="J145" s="92"/>
    </row>
    <row r="146" spans="1:10" ht="77.5">
      <c r="A146" s="185" t="s">
        <v>3152</v>
      </c>
      <c r="B146" s="9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46" s="9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46" s="9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46" s="98" t="str">
        <f t="shared" si="3"/>
        <v xml:space="preserve">
Enter a percentage value between -25 and 25.
</v>
      </c>
      <c r="I146" s="92"/>
      <c r="J146" s="92"/>
    </row>
    <row r="147" spans="1:10" ht="77.5">
      <c r="A147" s="185" t="s">
        <v>3153</v>
      </c>
      <c r="B147" s="9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47" s="9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47" s="9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47" s="98" t="str">
        <f t="shared" si="3"/>
        <v xml:space="preserve">
Enter a percentage value between -25 and 25.
</v>
      </c>
      <c r="I147" s="92"/>
      <c r="J147" s="92"/>
    </row>
    <row r="148" spans="1:10" ht="77.5">
      <c r="A148" s="185" t="s">
        <v>3154</v>
      </c>
      <c r="B148" s="9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48" s="9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48" s="9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48" s="98" t="str">
        <f t="shared" si="3"/>
        <v xml:space="preserve">
Enter a percentage value between -25 and 25.
</v>
      </c>
      <c r="I148" s="92"/>
      <c r="J148" s="92"/>
    </row>
    <row r="149" spans="1:10" ht="77.5">
      <c r="A149" s="185" t="s">
        <v>3155</v>
      </c>
      <c r="B149" s="9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49" s="9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49" s="9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49" s="98" t="str">
        <f t="shared" si="3"/>
        <v xml:space="preserve">
Enter a percentage value between -25 and 25.
</v>
      </c>
      <c r="I149" s="92"/>
      <c r="J149" s="92"/>
    </row>
    <row r="150" spans="1:10" ht="77.5">
      <c r="A150" s="185" t="s">
        <v>3156</v>
      </c>
      <c r="B150" s="9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50" s="9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50" s="9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50" s="98" t="str">
        <f t="shared" si="3"/>
        <v xml:space="preserve">
Enter a percentage value between -25 and 25.
</v>
      </c>
      <c r="I150" s="92"/>
      <c r="J150" s="92"/>
    </row>
    <row r="151" spans="1:10" ht="77.5">
      <c r="A151" s="185" t="s">
        <v>3157</v>
      </c>
      <c r="B151" s="9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51" s="9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51" s="9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51" s="98" t="str">
        <f t="shared" si="3"/>
        <v xml:space="preserve">
Enter a percentage value between -25 and 25.
</v>
      </c>
      <c r="I151" s="92"/>
      <c r="J151" s="92"/>
    </row>
    <row r="152" spans="1:10" ht="77.5">
      <c r="A152" s="185" t="s">
        <v>3158</v>
      </c>
      <c r="B152" s="9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52" s="9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52" s="9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52" s="98" t="str">
        <f t="shared" si="3"/>
        <v xml:space="preserve">
Enter a percentage value between -25 and 25.
</v>
      </c>
      <c r="I152" s="92"/>
      <c r="J152" s="92"/>
    </row>
    <row r="153" spans="1:10" ht="77.5">
      <c r="A153" s="185" t="s">
        <v>3159</v>
      </c>
      <c r="B153" s="9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53" s="9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53" s="9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53" s="98" t="str">
        <f t="shared" si="3"/>
        <v xml:space="preserve">
Enter a percentage value between -25 and 25.
</v>
      </c>
      <c r="I153" s="92"/>
      <c r="J153" s="92"/>
    </row>
    <row r="154" spans="1:10" ht="77.5">
      <c r="A154" s="185" t="s">
        <v>3160</v>
      </c>
      <c r="B154" s="9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54" s="9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54" s="9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54" s="98" t="str">
        <f t="shared" si="3"/>
        <v xml:space="preserve">
Enter a percentage value between -25 and 25.
</v>
      </c>
      <c r="I154" s="92"/>
      <c r="J154" s="92"/>
    </row>
    <row r="155" spans="1:10" ht="77.5">
      <c r="A155" s="185" t="s">
        <v>3161</v>
      </c>
      <c r="B155" s="9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55" s="9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55" s="9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55" s="98" t="str">
        <f t="shared" si="3"/>
        <v xml:space="preserve">
Enter a percentage value between -25 and 25.
</v>
      </c>
      <c r="I155" s="92"/>
      <c r="J155" s="92"/>
    </row>
    <row r="156" spans="1:10" ht="77.5">
      <c r="A156" s="185" t="s">
        <v>3162</v>
      </c>
      <c r="B156" s="9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56" s="9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56" s="9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56" s="98" t="str">
        <f t="shared" si="3"/>
        <v xml:space="preserve">
Enter a percentage value between -25 and 25.
</v>
      </c>
      <c r="I156" s="92"/>
      <c r="J156" s="92"/>
    </row>
    <row r="157" spans="1:10" ht="77.5">
      <c r="A157" s="185" t="s">
        <v>3163</v>
      </c>
      <c r="B157" s="9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57" s="9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57" s="9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57" s="98" t="str">
        <f t="shared" si="3"/>
        <v xml:space="preserve">
Enter a percentage value between -25 and 25.
</v>
      </c>
      <c r="I157" s="92"/>
      <c r="J157" s="92"/>
    </row>
    <row r="158" spans="1:10" ht="77.5">
      <c r="A158" s="185" t="s">
        <v>3164</v>
      </c>
      <c r="B158" s="9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58" s="9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58" s="9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58" s="98" t="str">
        <f t="shared" si="3"/>
        <v xml:space="preserve">
Enter a percentage value between -25 and 25.
</v>
      </c>
      <c r="I158" s="92"/>
      <c r="J158" s="92"/>
    </row>
    <row r="159" spans="1:10" ht="77.5">
      <c r="A159" s="185" t="s">
        <v>3165</v>
      </c>
      <c r="B159" s="9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59" s="9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59" s="9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59" s="98" t="str">
        <f t="shared" si="3"/>
        <v xml:space="preserve">
Enter a percentage value between -25 and 25.
</v>
      </c>
      <c r="I159" s="92"/>
      <c r="J159" s="92"/>
    </row>
    <row r="160" spans="1:10" ht="77.5">
      <c r="A160" s="185" t="s">
        <v>3166</v>
      </c>
      <c r="B160" s="9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60" s="9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60" s="9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60" s="98" t="str">
        <f t="shared" si="3"/>
        <v xml:space="preserve">
Enter a percentage value between -25 and 25.
</v>
      </c>
      <c r="I160" s="92"/>
      <c r="J160" s="92"/>
    </row>
    <row r="161" spans="1:10" ht="77.5">
      <c r="A161" s="185" t="s">
        <v>3167</v>
      </c>
      <c r="B161" s="9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61" s="9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61" s="9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61" s="98" t="str">
        <f t="shared" si="3"/>
        <v xml:space="preserve">
Enter a percentage value between -25 and 25.
</v>
      </c>
      <c r="I161" s="92"/>
      <c r="J161" s="92"/>
    </row>
    <row r="162" spans="1:10" ht="77.5">
      <c r="A162" s="185" t="s">
        <v>3168</v>
      </c>
      <c r="B162" s="9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62" s="9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62" s="9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62" s="98" t="str">
        <f t="shared" si="3"/>
        <v xml:space="preserve">
Enter a percentage value between -25 and 25.
</v>
      </c>
      <c r="I162" s="92"/>
      <c r="J162" s="92"/>
    </row>
    <row r="163" spans="1:10" ht="77.5">
      <c r="A163" s="185" t="s">
        <v>3169</v>
      </c>
      <c r="B163" s="9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63" s="9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63" s="9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63" s="98" t="str">
        <f t="shared" si="3"/>
        <v xml:space="preserve">
Enter a percentage value between -25 and 25.
</v>
      </c>
      <c r="I163" s="92"/>
      <c r="J163" s="92"/>
    </row>
    <row r="164" spans="1:10" ht="77.5">
      <c r="A164" s="185" t="s">
        <v>3170</v>
      </c>
      <c r="B164" s="9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64" s="9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64" s="9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64" s="98" t="str">
        <f t="shared" si="3"/>
        <v xml:space="preserve">
Enter a percentage value between -25 and 25.
</v>
      </c>
      <c r="I164" s="92"/>
      <c r="J164" s="92"/>
    </row>
    <row r="165" spans="1:10" ht="77.5">
      <c r="A165" s="185" t="s">
        <v>3171</v>
      </c>
      <c r="B165" s="9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65" s="9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65" s="9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65" s="98" t="str">
        <f t="shared" si="3"/>
        <v xml:space="preserve">
Enter a percentage value between -25 and 25.
</v>
      </c>
      <c r="I165" s="92"/>
      <c r="J165" s="92"/>
    </row>
    <row r="166" spans="1:10" ht="77.5">
      <c r="A166" s="185" t="s">
        <v>3172</v>
      </c>
      <c r="B166" s="9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66" s="9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66" s="9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66" s="98" t="str">
        <f t="shared" si="3"/>
        <v xml:space="preserve">
Enter a percentage value between -25 and 25.
</v>
      </c>
      <c r="I166" s="92"/>
      <c r="J166" s="92"/>
    </row>
    <row r="167" spans="1:10" ht="77.5">
      <c r="A167" s="185" t="s">
        <v>3173</v>
      </c>
      <c r="B167" s="9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67" s="9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67" s="9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67" s="98" t="str">
        <f t="shared" si="3"/>
        <v xml:space="preserve">
Enter a percentage value between -25 and 25.
</v>
      </c>
      <c r="I167" s="92"/>
      <c r="J167" s="92"/>
    </row>
    <row r="168" spans="1:10" ht="77.5">
      <c r="A168" s="185" t="s">
        <v>3174</v>
      </c>
      <c r="B168" s="9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68" s="9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68" s="9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68" s="98" t="str">
        <f t="shared" si="3"/>
        <v xml:space="preserve">
Enter a percentage value between -25 and 25.
</v>
      </c>
      <c r="I168" s="92"/>
      <c r="J168" s="92"/>
    </row>
    <row r="169" spans="1:10" ht="77.5">
      <c r="A169" s="185" t="s">
        <v>3175</v>
      </c>
      <c r="B169" s="9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69" s="9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69" s="9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69" s="98" t="str">
        <f t="shared" si="3"/>
        <v xml:space="preserve">
Enter a percentage value between -25 and 25.
</v>
      </c>
      <c r="I169" s="92"/>
      <c r="J169" s="92"/>
    </row>
    <row r="170" spans="1:10" ht="77.5">
      <c r="A170" s="185" t="s">
        <v>3176</v>
      </c>
      <c r="B170" s="9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70" s="9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70" s="9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70" s="98" t="str">
        <f t="shared" si="3"/>
        <v xml:space="preserve">
Enter a percentage value between -25 and 25.
</v>
      </c>
      <c r="I170" s="92"/>
      <c r="J170" s="92"/>
    </row>
    <row r="171" spans="1:10" ht="77.5">
      <c r="A171" s="185" t="s">
        <v>3177</v>
      </c>
      <c r="B171" s="9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71" s="9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71" s="9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71" s="98" t="str">
        <f t="shared" si="3"/>
        <v xml:space="preserve">
Enter a percentage value between -25 and 25.
</v>
      </c>
      <c r="I171" s="92"/>
      <c r="J171" s="92"/>
    </row>
    <row r="172" spans="1:10" ht="77.5">
      <c r="A172" s="185" t="s">
        <v>3178</v>
      </c>
      <c r="B172" s="9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72" s="9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72" s="9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72" s="98" t="str">
        <f t="shared" si="3"/>
        <v xml:space="preserve">
Enter a percentage value between -25 and 25.
</v>
      </c>
      <c r="I172" s="92"/>
      <c r="J172" s="92"/>
    </row>
    <row r="173" spans="1:10" ht="77.5">
      <c r="A173" s="185" t="s">
        <v>3179</v>
      </c>
      <c r="B173" s="98" t="str">
        <f>"
You must answer this question if you indicated that the scheme does not meet the 'small scheme' definition in question ("&amp;Questions!$D$3&amp;").
"</f>
        <v xml:space="preserve">
You must answer this question if you indicated that the scheme does not meet the 'small scheme' definition in question (SH 11.0).
</v>
      </c>
      <c r="C173" s="98" t="str">
        <f>"
You must answer this question if you indicated that the scheme meets the 'small scheme' definition ("&amp;Questions!$D$3&amp;") and that you are providing yield curve information as a 'Yield curve discount rate' ("&amp;Questions!$D$4&amp;").
"</f>
        <v xml:space="preserve">
You must answer this question if you indicated that the scheme meets the 'small scheme' definition (SH 11.0) and that you are providing yield curve information as a 'Yield curve discount rate' (DR 1.0).
</v>
      </c>
      <c r="D173" s="98" t="str">
        <f>"
Do not answer this question if you indicated that the scheme does not meet the 'small scheme' definition ("&amp;Questions!$D$3&amp;") or that you are providing yield curve information as a 'Spot rate' ("&amp;Questions!$D$4&amp;").
"</f>
        <v xml:space="preserve">
Do not answer this question if you indicated that the scheme does not meet the 'small scheme' definition (SH 11.0) or that you are providing yield curve information as a 'Spot rate' (DR 1.0).
</v>
      </c>
      <c r="E173" s="98" t="str">
        <f t="shared" si="3"/>
        <v xml:space="preserve">
Enter a percentage value between -25 and 25.
</v>
      </c>
      <c r="I173" s="92"/>
      <c r="J173" s="92"/>
    </row>
    <row r="174" spans="1:10" ht="77.5">
      <c r="A174" s="185" t="s">
        <v>3180</v>
      </c>
      <c r="B174"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174"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174"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174"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174" s="98" t="str">
        <f>"
Do not answer this question if the scheme is a small scheme providing a spot rate  ("&amp;Questions!$D$3&amp;").
"</f>
        <v xml:space="preserve">
Do not answer this question if the scheme is a small scheme providing a spot rate  (SH 11.0).
</v>
      </c>
      <c r="G174" s="98" t="str">
        <f t="shared" ref="G174:G205" si="4">"
Please state a percentage that is greater than or equal to -10 followed by the % sign
"</f>
        <v xml:space="preserve">
Please state a percentage that is greater than or equal to -10 followed by the % sign
</v>
      </c>
      <c r="H174" s="98" t="str">
        <f t="shared" ref="H174:H205" si="5">"
Please state a percentage that is less than or equal to 10 followed by the % sign
"</f>
        <v xml:space="preserve">
Please state a percentage that is less than or equal to 10 followed by the % sign
</v>
      </c>
      <c r="I174" s="92"/>
      <c r="J174" s="92"/>
    </row>
    <row r="175" spans="1:10" ht="77.5">
      <c r="A175" s="185" t="s">
        <v>3181</v>
      </c>
      <c r="B175"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175"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175"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175"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175" s="98" t="str">
        <f>"
Do not answer this question if the scheme is a small scheme providing a spot rate  ("&amp;Questions!$D$3&amp;").
"</f>
        <v xml:space="preserve">
Do not answer this question if the scheme is a small scheme providing a spot rate  (SH 11.0).
</v>
      </c>
      <c r="G175" s="98" t="str">
        <f t="shared" si="4"/>
        <v xml:space="preserve">
Please state a percentage that is greater than or equal to -10 followed by the % sign
</v>
      </c>
      <c r="H175" s="98" t="str">
        <f t="shared" si="5"/>
        <v xml:space="preserve">
Please state a percentage that is less than or equal to 10 followed by the % sign
</v>
      </c>
      <c r="I175" s="92"/>
      <c r="J175" s="92"/>
    </row>
    <row r="176" spans="1:10" ht="77.5">
      <c r="A176" s="185" t="s">
        <v>3182</v>
      </c>
      <c r="B176"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176"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176"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176"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176" s="98" t="str">
        <f>"
Do not answer this question if the scheme is a small scheme providing a spot rate  ("&amp;Questions!$D$3&amp;").
"</f>
        <v xml:space="preserve">
Do not answer this question if the scheme is a small scheme providing a spot rate  (SH 11.0).
</v>
      </c>
      <c r="G176" s="98" t="str">
        <f t="shared" si="4"/>
        <v xml:space="preserve">
Please state a percentage that is greater than or equal to -10 followed by the % sign
</v>
      </c>
      <c r="H176" s="98" t="str">
        <f t="shared" si="5"/>
        <v xml:space="preserve">
Please state a percentage that is less than or equal to 10 followed by the % sign
</v>
      </c>
      <c r="I176" s="92"/>
      <c r="J176" s="92"/>
    </row>
    <row r="177" spans="1:10" ht="77.5">
      <c r="A177" s="185" t="s">
        <v>3183</v>
      </c>
      <c r="B177"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177"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177"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177"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177" s="98" t="str">
        <f>"
Do not answer this question if the scheme is a small scheme providing a spot rate  ("&amp;Questions!$D$3&amp;").
"</f>
        <v xml:space="preserve">
Do not answer this question if the scheme is a small scheme providing a spot rate  (SH 11.0).
</v>
      </c>
      <c r="G177" s="98" t="str">
        <f t="shared" si="4"/>
        <v xml:space="preserve">
Please state a percentage that is greater than or equal to -10 followed by the % sign
</v>
      </c>
      <c r="H177" s="98" t="str">
        <f t="shared" si="5"/>
        <v xml:space="preserve">
Please state a percentage that is less than or equal to 10 followed by the % sign
</v>
      </c>
      <c r="I177" s="92"/>
      <c r="J177" s="92"/>
    </row>
    <row r="178" spans="1:10" ht="77.5">
      <c r="A178" s="185" t="s">
        <v>3184</v>
      </c>
      <c r="B178"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178"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178"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178"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178" s="98" t="str">
        <f>"
Do not answer this question if the scheme is a small scheme providing a spot rate  ("&amp;Questions!$D$3&amp;").
"</f>
        <v xml:space="preserve">
Do not answer this question if the scheme is a small scheme providing a spot rate  (SH 11.0).
</v>
      </c>
      <c r="G178" s="98" t="str">
        <f t="shared" si="4"/>
        <v xml:space="preserve">
Please state a percentage that is greater than or equal to -10 followed by the % sign
</v>
      </c>
      <c r="H178" s="98" t="str">
        <f t="shared" si="5"/>
        <v xml:space="preserve">
Please state a percentage that is less than or equal to 10 followed by the % sign
</v>
      </c>
      <c r="I178" s="92"/>
      <c r="J178" s="92"/>
    </row>
    <row r="179" spans="1:10" ht="77.5">
      <c r="A179" s="185" t="s">
        <v>3185</v>
      </c>
      <c r="B179"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179"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179"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179"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179" s="98" t="str">
        <f>"
Do not answer this question if the scheme is a small scheme providing a spot rate  ("&amp;Questions!$D$3&amp;").
"</f>
        <v xml:space="preserve">
Do not answer this question if the scheme is a small scheme providing a spot rate  (SH 11.0).
</v>
      </c>
      <c r="G179" s="98" t="str">
        <f t="shared" si="4"/>
        <v xml:space="preserve">
Please state a percentage that is greater than or equal to -10 followed by the % sign
</v>
      </c>
      <c r="H179" s="98" t="str">
        <f t="shared" si="5"/>
        <v xml:space="preserve">
Please state a percentage that is less than or equal to 10 followed by the % sign
</v>
      </c>
      <c r="I179" s="92"/>
      <c r="J179" s="92"/>
    </row>
    <row r="180" spans="1:10" ht="77.5">
      <c r="A180" s="185" t="s">
        <v>3186</v>
      </c>
      <c r="B180"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180"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180"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180"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180" s="98" t="str">
        <f>"
Do not answer this question if the scheme is a small scheme providing a spot rate  ("&amp;Questions!$D$3&amp;").
"</f>
        <v xml:space="preserve">
Do not answer this question if the scheme is a small scheme providing a spot rate  (SH 11.0).
</v>
      </c>
      <c r="G180" s="98" t="str">
        <f t="shared" si="4"/>
        <v xml:space="preserve">
Please state a percentage that is greater than or equal to -10 followed by the % sign
</v>
      </c>
      <c r="H180" s="98" t="str">
        <f t="shared" si="5"/>
        <v xml:space="preserve">
Please state a percentage that is less than or equal to 10 followed by the % sign
</v>
      </c>
      <c r="I180" s="92"/>
      <c r="J180" s="92"/>
    </row>
    <row r="181" spans="1:10" ht="77.5">
      <c r="A181" s="185" t="s">
        <v>3187</v>
      </c>
      <c r="B181"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181"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181"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181"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181" s="98" t="str">
        <f>"
Do not answer this question if the scheme is a small scheme providing a spot rate  ("&amp;Questions!$D$3&amp;").
"</f>
        <v xml:space="preserve">
Do not answer this question if the scheme is a small scheme providing a spot rate  (SH 11.0).
</v>
      </c>
      <c r="G181" s="98" t="str">
        <f t="shared" si="4"/>
        <v xml:space="preserve">
Please state a percentage that is greater than or equal to -10 followed by the % sign
</v>
      </c>
      <c r="H181" s="98" t="str">
        <f t="shared" si="5"/>
        <v xml:space="preserve">
Please state a percentage that is less than or equal to 10 followed by the % sign
</v>
      </c>
      <c r="I181" s="92"/>
      <c r="J181" s="92"/>
    </row>
    <row r="182" spans="1:10" ht="77.5">
      <c r="A182" s="185" t="s">
        <v>3188</v>
      </c>
      <c r="B182"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182"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182"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182"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182" s="98" t="str">
        <f>"
Do not answer this question if the scheme is a small scheme providing a spot rate  ("&amp;Questions!$D$3&amp;").
"</f>
        <v xml:space="preserve">
Do not answer this question if the scheme is a small scheme providing a spot rate  (SH 11.0).
</v>
      </c>
      <c r="G182" s="98" t="str">
        <f t="shared" si="4"/>
        <v xml:space="preserve">
Please state a percentage that is greater than or equal to -10 followed by the % sign
</v>
      </c>
      <c r="H182" s="98" t="str">
        <f t="shared" si="5"/>
        <v xml:space="preserve">
Please state a percentage that is less than or equal to 10 followed by the % sign
</v>
      </c>
      <c r="I182" s="92"/>
      <c r="J182" s="92"/>
    </row>
    <row r="183" spans="1:10" ht="77.5">
      <c r="A183" s="185" t="s">
        <v>3189</v>
      </c>
      <c r="B183"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183"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183"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183"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183" s="98" t="str">
        <f>"
Do not answer this question if the scheme is a small scheme providing a spot rate  ("&amp;Questions!$D$3&amp;").
"</f>
        <v xml:space="preserve">
Do not answer this question if the scheme is a small scheme providing a spot rate  (SH 11.0).
</v>
      </c>
      <c r="G183" s="98" t="str">
        <f t="shared" si="4"/>
        <v xml:space="preserve">
Please state a percentage that is greater than or equal to -10 followed by the % sign
</v>
      </c>
      <c r="H183" s="98" t="str">
        <f t="shared" si="5"/>
        <v xml:space="preserve">
Please state a percentage that is less than or equal to 10 followed by the % sign
</v>
      </c>
      <c r="I183" s="92"/>
      <c r="J183" s="92"/>
    </row>
    <row r="184" spans="1:10" ht="77.5">
      <c r="A184" s="185" t="s">
        <v>3190</v>
      </c>
      <c r="B184"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184"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184"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184"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184" s="98" t="str">
        <f>"
Do not answer this question if the scheme is a small scheme providing a spot rate  ("&amp;Questions!$D$3&amp;").
"</f>
        <v xml:space="preserve">
Do not answer this question if the scheme is a small scheme providing a spot rate  (SH 11.0).
</v>
      </c>
      <c r="G184" s="98" t="str">
        <f t="shared" si="4"/>
        <v xml:space="preserve">
Please state a percentage that is greater than or equal to -10 followed by the % sign
</v>
      </c>
      <c r="H184" s="98" t="str">
        <f t="shared" si="5"/>
        <v xml:space="preserve">
Please state a percentage that is less than or equal to 10 followed by the % sign
</v>
      </c>
      <c r="I184" s="92"/>
      <c r="J184" s="92"/>
    </row>
    <row r="185" spans="1:10" ht="77.5">
      <c r="A185" s="185" t="s">
        <v>3191</v>
      </c>
      <c r="B185"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185"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185"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185"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185" s="98" t="str">
        <f>"
Do not answer this question if the scheme is a small scheme providing a spot rate  ("&amp;Questions!$D$3&amp;").
"</f>
        <v xml:space="preserve">
Do not answer this question if the scheme is a small scheme providing a spot rate  (SH 11.0).
</v>
      </c>
      <c r="G185" s="98" t="str">
        <f t="shared" si="4"/>
        <v xml:space="preserve">
Please state a percentage that is greater than or equal to -10 followed by the % sign
</v>
      </c>
      <c r="H185" s="98" t="str">
        <f t="shared" si="5"/>
        <v xml:space="preserve">
Please state a percentage that is less than or equal to 10 followed by the % sign
</v>
      </c>
      <c r="I185" s="92"/>
      <c r="J185" s="92"/>
    </row>
    <row r="186" spans="1:10" ht="77.5">
      <c r="A186" s="185" t="s">
        <v>3192</v>
      </c>
      <c r="B186"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186"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186"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186"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186" s="98" t="str">
        <f>"
Do not answer this question if the scheme is a small scheme providing a spot rate  ("&amp;Questions!$D$3&amp;").
"</f>
        <v xml:space="preserve">
Do not answer this question if the scheme is a small scheme providing a spot rate  (SH 11.0).
</v>
      </c>
      <c r="G186" s="98" t="str">
        <f t="shared" si="4"/>
        <v xml:space="preserve">
Please state a percentage that is greater than or equal to -10 followed by the % sign
</v>
      </c>
      <c r="H186" s="98" t="str">
        <f t="shared" si="5"/>
        <v xml:space="preserve">
Please state a percentage that is less than or equal to 10 followed by the % sign
</v>
      </c>
      <c r="I186" s="92"/>
      <c r="J186" s="92"/>
    </row>
    <row r="187" spans="1:10" ht="77.5">
      <c r="A187" s="185" t="s">
        <v>3193</v>
      </c>
      <c r="B187"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187"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187"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187"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187" s="98" t="str">
        <f>"
Do not answer this question if the scheme is a small scheme providing a spot rate  ("&amp;Questions!$D$3&amp;").
"</f>
        <v xml:space="preserve">
Do not answer this question if the scheme is a small scheme providing a spot rate  (SH 11.0).
</v>
      </c>
      <c r="G187" s="98" t="str">
        <f t="shared" si="4"/>
        <v xml:space="preserve">
Please state a percentage that is greater than or equal to -10 followed by the % sign
</v>
      </c>
      <c r="H187" s="98" t="str">
        <f t="shared" si="5"/>
        <v xml:space="preserve">
Please state a percentage that is less than or equal to 10 followed by the % sign
</v>
      </c>
      <c r="I187" s="92"/>
      <c r="J187" s="92"/>
    </row>
    <row r="188" spans="1:10" ht="77.5">
      <c r="A188" s="185" t="s">
        <v>3194</v>
      </c>
      <c r="B188"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188"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188"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188"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188" s="98" t="str">
        <f>"
Do not answer this question if the scheme is a small scheme providing a spot rate  ("&amp;Questions!$D$3&amp;").
"</f>
        <v xml:space="preserve">
Do not answer this question if the scheme is a small scheme providing a spot rate  (SH 11.0).
</v>
      </c>
      <c r="G188" s="98" t="str">
        <f t="shared" si="4"/>
        <v xml:space="preserve">
Please state a percentage that is greater than or equal to -10 followed by the % sign
</v>
      </c>
      <c r="H188" s="98" t="str">
        <f t="shared" si="5"/>
        <v xml:space="preserve">
Please state a percentage that is less than or equal to 10 followed by the % sign
</v>
      </c>
      <c r="I188" s="92"/>
      <c r="J188" s="92"/>
    </row>
    <row r="189" spans="1:10" ht="77.5">
      <c r="A189" s="185" t="s">
        <v>3195</v>
      </c>
      <c r="B189"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189"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189"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189"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189" s="98" t="str">
        <f>"
Do not answer this question if the scheme is a small scheme providing a spot rate  ("&amp;Questions!$D$3&amp;").
"</f>
        <v xml:space="preserve">
Do not answer this question if the scheme is a small scheme providing a spot rate  (SH 11.0).
</v>
      </c>
      <c r="G189" s="98" t="str">
        <f t="shared" si="4"/>
        <v xml:space="preserve">
Please state a percentage that is greater than or equal to -10 followed by the % sign
</v>
      </c>
      <c r="H189" s="98" t="str">
        <f t="shared" si="5"/>
        <v xml:space="preserve">
Please state a percentage that is less than or equal to 10 followed by the % sign
</v>
      </c>
      <c r="I189" s="92"/>
      <c r="J189" s="92"/>
    </row>
    <row r="190" spans="1:10" ht="77.5">
      <c r="A190" s="185" t="s">
        <v>3196</v>
      </c>
      <c r="B190"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190"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190"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190"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190" s="98" t="str">
        <f>"
Do not answer this question if the scheme is a small scheme providing a spot rate  ("&amp;Questions!$D$3&amp;").
"</f>
        <v xml:space="preserve">
Do not answer this question if the scheme is a small scheme providing a spot rate  (SH 11.0).
</v>
      </c>
      <c r="G190" s="98" t="str">
        <f t="shared" si="4"/>
        <v xml:space="preserve">
Please state a percentage that is greater than or equal to -10 followed by the % sign
</v>
      </c>
      <c r="H190" s="98" t="str">
        <f t="shared" si="5"/>
        <v xml:space="preserve">
Please state a percentage that is less than or equal to 10 followed by the % sign
</v>
      </c>
      <c r="I190" s="92"/>
      <c r="J190" s="92"/>
    </row>
    <row r="191" spans="1:10" ht="77.5">
      <c r="A191" s="185" t="s">
        <v>3197</v>
      </c>
      <c r="B191"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191"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191"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191"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191" s="98" t="str">
        <f>"
Do not answer this question if the scheme is a small scheme providing a spot rate  ("&amp;Questions!$D$3&amp;").
"</f>
        <v xml:space="preserve">
Do not answer this question if the scheme is a small scheme providing a spot rate  (SH 11.0).
</v>
      </c>
      <c r="G191" s="98" t="str">
        <f t="shared" si="4"/>
        <v xml:space="preserve">
Please state a percentage that is greater than or equal to -10 followed by the % sign
</v>
      </c>
      <c r="H191" s="98" t="str">
        <f t="shared" si="5"/>
        <v xml:space="preserve">
Please state a percentage that is less than or equal to 10 followed by the % sign
</v>
      </c>
      <c r="I191" s="92"/>
      <c r="J191" s="92"/>
    </row>
    <row r="192" spans="1:10" ht="77.5">
      <c r="A192" s="185" t="s">
        <v>3198</v>
      </c>
      <c r="B192"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192"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192"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192"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192" s="98" t="str">
        <f>"
Do not answer this question if the scheme is a small scheme providing a spot rate  ("&amp;Questions!$D$3&amp;").
"</f>
        <v xml:space="preserve">
Do not answer this question if the scheme is a small scheme providing a spot rate  (SH 11.0).
</v>
      </c>
      <c r="G192" s="98" t="str">
        <f t="shared" si="4"/>
        <v xml:space="preserve">
Please state a percentage that is greater than or equal to -10 followed by the % sign
</v>
      </c>
      <c r="H192" s="98" t="str">
        <f t="shared" si="5"/>
        <v xml:space="preserve">
Please state a percentage that is less than or equal to 10 followed by the % sign
</v>
      </c>
      <c r="I192" s="92"/>
      <c r="J192" s="92"/>
    </row>
    <row r="193" spans="1:10" ht="77.5">
      <c r="A193" s="185" t="s">
        <v>3199</v>
      </c>
      <c r="B193"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193"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193"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193"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193" s="98" t="str">
        <f>"
Do not answer this question if the scheme is a small scheme providing a spot rate  ("&amp;Questions!$D$3&amp;").
"</f>
        <v xml:space="preserve">
Do not answer this question if the scheme is a small scheme providing a spot rate  (SH 11.0).
</v>
      </c>
      <c r="G193" s="98" t="str">
        <f t="shared" si="4"/>
        <v xml:space="preserve">
Please state a percentage that is greater than or equal to -10 followed by the % sign
</v>
      </c>
      <c r="H193" s="98" t="str">
        <f t="shared" si="5"/>
        <v xml:space="preserve">
Please state a percentage that is less than or equal to 10 followed by the % sign
</v>
      </c>
      <c r="I193" s="92"/>
      <c r="J193" s="92"/>
    </row>
    <row r="194" spans="1:10" ht="77.5">
      <c r="A194" s="185" t="s">
        <v>3200</v>
      </c>
      <c r="B194"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194"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194"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194"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194" s="98" t="str">
        <f>"
Do not answer this question if the scheme is a small scheme providing a spot rate  ("&amp;Questions!$D$3&amp;").
"</f>
        <v xml:space="preserve">
Do not answer this question if the scheme is a small scheme providing a spot rate  (SH 11.0).
</v>
      </c>
      <c r="G194" s="98" t="str">
        <f t="shared" si="4"/>
        <v xml:space="preserve">
Please state a percentage that is greater than or equal to -10 followed by the % sign
</v>
      </c>
      <c r="H194" s="98" t="str">
        <f t="shared" si="5"/>
        <v xml:space="preserve">
Please state a percentage that is less than or equal to 10 followed by the % sign
</v>
      </c>
      <c r="I194" s="92"/>
      <c r="J194" s="92"/>
    </row>
    <row r="195" spans="1:10" ht="77.5">
      <c r="A195" s="185" t="s">
        <v>3201</v>
      </c>
      <c r="B195"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195"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195"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195"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195" s="98" t="str">
        <f>"
Do not answer this question if the scheme is a small scheme providing a spot rate  ("&amp;Questions!$D$3&amp;").
"</f>
        <v xml:space="preserve">
Do not answer this question if the scheme is a small scheme providing a spot rate  (SH 11.0).
</v>
      </c>
      <c r="G195" s="98" t="str">
        <f t="shared" si="4"/>
        <v xml:space="preserve">
Please state a percentage that is greater than or equal to -10 followed by the % sign
</v>
      </c>
      <c r="H195" s="98" t="str">
        <f t="shared" si="5"/>
        <v xml:space="preserve">
Please state a percentage that is less than or equal to 10 followed by the % sign
</v>
      </c>
      <c r="I195" s="92"/>
      <c r="J195" s="92"/>
    </row>
    <row r="196" spans="1:10" ht="77.5">
      <c r="A196" s="185" t="s">
        <v>3202</v>
      </c>
      <c r="B196"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196"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196"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196"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196" s="98" t="str">
        <f>"
Do not answer this question if the scheme is a small scheme providing a spot rate  ("&amp;Questions!$D$3&amp;").
"</f>
        <v xml:space="preserve">
Do not answer this question if the scheme is a small scheme providing a spot rate  (SH 11.0).
</v>
      </c>
      <c r="G196" s="98" t="str">
        <f t="shared" si="4"/>
        <v xml:space="preserve">
Please state a percentage that is greater than or equal to -10 followed by the % sign
</v>
      </c>
      <c r="H196" s="98" t="str">
        <f t="shared" si="5"/>
        <v xml:space="preserve">
Please state a percentage that is less than or equal to 10 followed by the % sign
</v>
      </c>
      <c r="I196" s="92"/>
      <c r="J196" s="92"/>
    </row>
    <row r="197" spans="1:10" ht="77.5">
      <c r="A197" s="185" t="s">
        <v>3203</v>
      </c>
      <c r="B197"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197"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197"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197"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197" s="98" t="str">
        <f>"
Do not answer this question if the scheme is a small scheme providing a spot rate  ("&amp;Questions!$D$3&amp;").
"</f>
        <v xml:space="preserve">
Do not answer this question if the scheme is a small scheme providing a spot rate  (SH 11.0).
</v>
      </c>
      <c r="G197" s="98" t="str">
        <f t="shared" si="4"/>
        <v xml:space="preserve">
Please state a percentage that is greater than or equal to -10 followed by the % sign
</v>
      </c>
      <c r="H197" s="98" t="str">
        <f t="shared" si="5"/>
        <v xml:space="preserve">
Please state a percentage that is less than or equal to 10 followed by the % sign
</v>
      </c>
      <c r="I197" s="92"/>
      <c r="J197" s="92"/>
    </row>
    <row r="198" spans="1:10" ht="77.5">
      <c r="A198" s="185" t="s">
        <v>3204</v>
      </c>
      <c r="B198"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198"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198"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198"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198" s="98" t="str">
        <f>"
Do not answer this question if the scheme is a small scheme providing a spot rate  ("&amp;Questions!$D$3&amp;").
"</f>
        <v xml:space="preserve">
Do not answer this question if the scheme is a small scheme providing a spot rate  (SH 11.0).
</v>
      </c>
      <c r="G198" s="98" t="str">
        <f t="shared" si="4"/>
        <v xml:space="preserve">
Please state a percentage that is greater than or equal to -10 followed by the % sign
</v>
      </c>
      <c r="H198" s="98" t="str">
        <f t="shared" si="5"/>
        <v xml:space="preserve">
Please state a percentage that is less than or equal to 10 followed by the % sign
</v>
      </c>
      <c r="I198" s="92"/>
      <c r="J198" s="92"/>
    </row>
    <row r="199" spans="1:10" ht="77.5">
      <c r="A199" s="185" t="s">
        <v>3205</v>
      </c>
      <c r="B199"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199"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199"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199"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199" s="98" t="str">
        <f>"
Do not answer this question if the scheme is a small scheme providing a spot rate  ("&amp;Questions!$D$3&amp;").
"</f>
        <v xml:space="preserve">
Do not answer this question if the scheme is a small scheme providing a spot rate  (SH 11.0).
</v>
      </c>
      <c r="G199" s="98" t="str">
        <f t="shared" si="4"/>
        <v xml:space="preserve">
Please state a percentage that is greater than or equal to -10 followed by the % sign
</v>
      </c>
      <c r="H199" s="98" t="str">
        <f t="shared" si="5"/>
        <v xml:space="preserve">
Please state a percentage that is less than or equal to 10 followed by the % sign
</v>
      </c>
      <c r="I199" s="92"/>
      <c r="J199" s="92"/>
    </row>
    <row r="200" spans="1:10" ht="77.5">
      <c r="A200" s="185" t="s">
        <v>3206</v>
      </c>
      <c r="B200"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00"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200"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00"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200" s="98" t="str">
        <f>"
Do not answer this question if the scheme is a small scheme providing a spot rate  ("&amp;Questions!$D$3&amp;").
"</f>
        <v xml:space="preserve">
Do not answer this question if the scheme is a small scheme providing a spot rate  (SH 11.0).
</v>
      </c>
      <c r="G200" s="98" t="str">
        <f t="shared" si="4"/>
        <v xml:space="preserve">
Please state a percentage that is greater than or equal to -10 followed by the % sign
</v>
      </c>
      <c r="H200" s="98" t="str">
        <f t="shared" si="5"/>
        <v xml:space="preserve">
Please state a percentage that is less than or equal to 10 followed by the % sign
</v>
      </c>
      <c r="I200" s="92"/>
      <c r="J200" s="92"/>
    </row>
    <row r="201" spans="1:10" ht="77.5">
      <c r="A201" s="185" t="s">
        <v>3207</v>
      </c>
      <c r="B201"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01"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201"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01"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201" s="98" t="str">
        <f>"
Do not answer this question if the scheme is a small scheme providing a spot rate  ("&amp;Questions!$D$3&amp;").
"</f>
        <v xml:space="preserve">
Do not answer this question if the scheme is a small scheme providing a spot rate  (SH 11.0).
</v>
      </c>
      <c r="G201" s="98" t="str">
        <f t="shared" si="4"/>
        <v xml:space="preserve">
Please state a percentage that is greater than or equal to -10 followed by the % sign
</v>
      </c>
      <c r="H201" s="98" t="str">
        <f t="shared" si="5"/>
        <v xml:space="preserve">
Please state a percentage that is less than or equal to 10 followed by the % sign
</v>
      </c>
      <c r="I201" s="92"/>
      <c r="J201" s="92"/>
    </row>
    <row r="202" spans="1:10" ht="77.5">
      <c r="A202" s="185" t="s">
        <v>3208</v>
      </c>
      <c r="B202"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02"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202"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02"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202" s="98" t="str">
        <f>"
Do not answer this question if the scheme is a small scheme providing a spot rate  ("&amp;Questions!$D$3&amp;").
"</f>
        <v xml:space="preserve">
Do not answer this question if the scheme is a small scheme providing a spot rate  (SH 11.0).
</v>
      </c>
      <c r="G202" s="98" t="str">
        <f t="shared" si="4"/>
        <v xml:space="preserve">
Please state a percentage that is greater than or equal to -10 followed by the % sign
</v>
      </c>
      <c r="H202" s="98" t="str">
        <f t="shared" si="5"/>
        <v xml:space="preserve">
Please state a percentage that is less than or equal to 10 followed by the % sign
</v>
      </c>
      <c r="I202" s="92"/>
      <c r="J202" s="92"/>
    </row>
    <row r="203" spans="1:10" ht="77.5">
      <c r="A203" s="185" t="s">
        <v>3209</v>
      </c>
      <c r="B203"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03"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203"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03"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203" s="98" t="str">
        <f>"
Do not answer this question if the scheme is a small scheme providing a spot rate  ("&amp;Questions!$D$3&amp;").
"</f>
        <v xml:space="preserve">
Do not answer this question if the scheme is a small scheme providing a spot rate  (SH 11.0).
</v>
      </c>
      <c r="G203" s="98" t="str">
        <f t="shared" si="4"/>
        <v xml:space="preserve">
Please state a percentage that is greater than or equal to -10 followed by the % sign
</v>
      </c>
      <c r="H203" s="98" t="str">
        <f t="shared" si="5"/>
        <v xml:space="preserve">
Please state a percentage that is less than or equal to 10 followed by the % sign
</v>
      </c>
      <c r="I203" s="92"/>
      <c r="J203" s="92"/>
    </row>
    <row r="204" spans="1:10" ht="77.5">
      <c r="A204" s="185" t="s">
        <v>3210</v>
      </c>
      <c r="B204"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04"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204"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04"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204" s="98" t="str">
        <f>"
Do not answer this question if the scheme is a small scheme providing a spot rate  ("&amp;Questions!$D$3&amp;").
"</f>
        <v xml:space="preserve">
Do not answer this question if the scheme is a small scheme providing a spot rate  (SH 11.0).
</v>
      </c>
      <c r="G204" s="98" t="str">
        <f t="shared" si="4"/>
        <v xml:space="preserve">
Please state a percentage that is greater than or equal to -10 followed by the % sign
</v>
      </c>
      <c r="H204" s="98" t="str">
        <f t="shared" si="5"/>
        <v xml:space="preserve">
Please state a percentage that is less than or equal to 10 followed by the % sign
</v>
      </c>
      <c r="I204" s="92"/>
      <c r="J204" s="92"/>
    </row>
    <row r="205" spans="1:10" ht="77.5">
      <c r="A205" s="185" t="s">
        <v>3211</v>
      </c>
      <c r="B205"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05"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205"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05"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205" s="98" t="str">
        <f>"
Do not answer this question if the scheme is a small scheme providing a spot rate  ("&amp;Questions!$D$3&amp;").
"</f>
        <v xml:space="preserve">
Do not answer this question if the scheme is a small scheme providing a spot rate  (SH 11.0).
</v>
      </c>
      <c r="G205" s="98" t="str">
        <f t="shared" si="4"/>
        <v xml:space="preserve">
Please state a percentage that is greater than or equal to -10 followed by the % sign
</v>
      </c>
      <c r="H205" s="98" t="str">
        <f t="shared" si="5"/>
        <v xml:space="preserve">
Please state a percentage that is less than or equal to 10 followed by the % sign
</v>
      </c>
      <c r="I205" s="92"/>
      <c r="J205" s="92"/>
    </row>
    <row r="206" spans="1:10" ht="77.5">
      <c r="A206" s="185" t="s">
        <v>3212</v>
      </c>
      <c r="B206"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06"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206"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06"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206" s="98" t="str">
        <f>"
Do not answer this question if the scheme is a small scheme providing a spot rate  ("&amp;Questions!$D$3&amp;").
"</f>
        <v xml:space="preserve">
Do not answer this question if the scheme is a small scheme providing a spot rate  (SH 11.0).
</v>
      </c>
      <c r="G206" s="98" t="str">
        <f t="shared" ref="G206:G237" si="6">"
Please state a percentage that is greater than or equal to -10 followed by the % sign
"</f>
        <v xml:space="preserve">
Please state a percentage that is greater than or equal to -10 followed by the % sign
</v>
      </c>
      <c r="H206" s="98" t="str">
        <f t="shared" ref="H206:H237" si="7">"
Please state a percentage that is less than or equal to 10 followed by the % sign
"</f>
        <v xml:space="preserve">
Please state a percentage that is less than or equal to 10 followed by the % sign
</v>
      </c>
      <c r="I206" s="92"/>
      <c r="J206" s="92"/>
    </row>
    <row r="207" spans="1:10" ht="77.5">
      <c r="A207" s="185" t="s">
        <v>3213</v>
      </c>
      <c r="B207"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07"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207"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07"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207" s="98" t="str">
        <f>"
Do not answer this question if the scheme is a small scheme providing a spot rate  ("&amp;Questions!$D$3&amp;").
"</f>
        <v xml:space="preserve">
Do not answer this question if the scheme is a small scheme providing a spot rate  (SH 11.0).
</v>
      </c>
      <c r="G207" s="98" t="str">
        <f t="shared" si="6"/>
        <v xml:space="preserve">
Please state a percentage that is greater than or equal to -10 followed by the % sign
</v>
      </c>
      <c r="H207" s="98" t="str">
        <f t="shared" si="7"/>
        <v xml:space="preserve">
Please state a percentage that is less than or equal to 10 followed by the % sign
</v>
      </c>
      <c r="I207" s="92"/>
      <c r="J207" s="92"/>
    </row>
    <row r="208" spans="1:10" ht="77.5">
      <c r="A208" s="185" t="s">
        <v>3214</v>
      </c>
      <c r="B208"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08"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208"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08"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208" s="98" t="str">
        <f>"
Do not answer this question if the scheme is a small scheme providing a spot rate  ("&amp;Questions!$D$3&amp;").
"</f>
        <v xml:space="preserve">
Do not answer this question if the scheme is a small scheme providing a spot rate  (SH 11.0).
</v>
      </c>
      <c r="G208" s="98" t="str">
        <f t="shared" si="6"/>
        <v xml:space="preserve">
Please state a percentage that is greater than or equal to -10 followed by the % sign
</v>
      </c>
      <c r="H208" s="98" t="str">
        <f t="shared" si="7"/>
        <v xml:space="preserve">
Please state a percentage that is less than or equal to 10 followed by the % sign
</v>
      </c>
      <c r="I208" s="92"/>
      <c r="J208" s="92"/>
    </row>
    <row r="209" spans="1:10" ht="77.5">
      <c r="A209" s="185" t="s">
        <v>3215</v>
      </c>
      <c r="B209"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09"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209"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09"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209" s="98" t="str">
        <f>"
Do not answer this question if the scheme is a small scheme providing a spot rate  ("&amp;Questions!$D$3&amp;").
"</f>
        <v xml:space="preserve">
Do not answer this question if the scheme is a small scheme providing a spot rate  (SH 11.0).
</v>
      </c>
      <c r="G209" s="98" t="str">
        <f t="shared" si="6"/>
        <v xml:space="preserve">
Please state a percentage that is greater than or equal to -10 followed by the % sign
</v>
      </c>
      <c r="H209" s="98" t="str">
        <f t="shared" si="7"/>
        <v xml:space="preserve">
Please state a percentage that is less than or equal to 10 followed by the % sign
</v>
      </c>
      <c r="I209" s="92"/>
      <c r="J209" s="92"/>
    </row>
    <row r="210" spans="1:10" ht="77.5">
      <c r="A210" s="185" t="s">
        <v>3216</v>
      </c>
      <c r="B210"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10"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210"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10"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210" s="98" t="str">
        <f>"
Do not answer this question if the scheme is a small scheme providing a spot rate  ("&amp;Questions!$D$3&amp;").
"</f>
        <v xml:space="preserve">
Do not answer this question if the scheme is a small scheme providing a spot rate  (SH 11.0).
</v>
      </c>
      <c r="G210" s="98" t="str">
        <f t="shared" si="6"/>
        <v xml:space="preserve">
Please state a percentage that is greater than or equal to -10 followed by the % sign
</v>
      </c>
      <c r="H210" s="98" t="str">
        <f t="shared" si="7"/>
        <v xml:space="preserve">
Please state a percentage that is less than or equal to 10 followed by the % sign
</v>
      </c>
      <c r="I210" s="92"/>
      <c r="J210" s="92"/>
    </row>
    <row r="211" spans="1:10" ht="77.5">
      <c r="A211" s="185" t="s">
        <v>3217</v>
      </c>
      <c r="B211"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11"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211"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11"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211" s="98" t="str">
        <f>"
Do not answer this question if the scheme is a small scheme providing a spot rate  ("&amp;Questions!$D$3&amp;").
"</f>
        <v xml:space="preserve">
Do not answer this question if the scheme is a small scheme providing a spot rate  (SH 11.0).
</v>
      </c>
      <c r="G211" s="98" t="str">
        <f t="shared" si="6"/>
        <v xml:space="preserve">
Please state a percentage that is greater than or equal to -10 followed by the % sign
</v>
      </c>
      <c r="H211" s="98" t="str">
        <f t="shared" si="7"/>
        <v xml:space="preserve">
Please state a percentage that is less than or equal to 10 followed by the % sign
</v>
      </c>
      <c r="I211" s="92"/>
      <c r="J211" s="92"/>
    </row>
    <row r="212" spans="1:10" ht="77.5">
      <c r="A212" s="185" t="s">
        <v>3218</v>
      </c>
      <c r="B212"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12"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212"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12"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212" s="98" t="str">
        <f>"
Do not answer this question if the scheme is a small scheme providing a spot rate  ("&amp;Questions!$D$3&amp;").
"</f>
        <v xml:space="preserve">
Do not answer this question if the scheme is a small scheme providing a spot rate  (SH 11.0).
</v>
      </c>
      <c r="G212" s="98" t="str">
        <f t="shared" si="6"/>
        <v xml:space="preserve">
Please state a percentage that is greater than or equal to -10 followed by the % sign
</v>
      </c>
      <c r="H212" s="98" t="str">
        <f t="shared" si="7"/>
        <v xml:space="preserve">
Please state a percentage that is less than or equal to 10 followed by the % sign
</v>
      </c>
      <c r="I212" s="92"/>
      <c r="J212" s="92"/>
    </row>
    <row r="213" spans="1:10" ht="77.5">
      <c r="A213" s="185" t="s">
        <v>3219</v>
      </c>
      <c r="B213"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13"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D213"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13" s="98" t="str">
        <f>"
Do not answer this question if the scheme is using a ‘Pre and post retirement’ discount methodology ("&amp;Questions!$D$134&amp;") (unless it is a small scheme providing a spot rate ("&amp;Questions!$D$3&amp;")).
"</f>
        <v xml:space="preserve">
Do not answer this question if the scheme is using a ‘Pre and post retirement’ discount methodology (DR 2.0) (unless it is a small scheme providing a spot rate (SH 11.0)).
</v>
      </c>
      <c r="F213" s="98" t="str">
        <f>"
Do not answer this question if the scheme is a small scheme providing a spot rate  ("&amp;Questions!$D$3&amp;").
"</f>
        <v xml:space="preserve">
Do not answer this question if the scheme is a small scheme providing a spot rate  (SH 11.0).
</v>
      </c>
      <c r="G213" s="98" t="str">
        <f t="shared" si="6"/>
        <v xml:space="preserve">
Please state a percentage that is greater than or equal to -10 followed by the % sign
</v>
      </c>
      <c r="H213" s="98" t="str">
        <f t="shared" si="7"/>
        <v xml:space="preserve">
Please state a percentage that is less than or equal to 10 followed by the % sign
</v>
      </c>
      <c r="I213" s="92"/>
      <c r="J213" s="92"/>
    </row>
    <row r="214" spans="1:10" ht="77.5">
      <c r="A214" s="185" t="s">
        <v>3220</v>
      </c>
      <c r="B214"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14" s="98" t="str">
        <f>"
Do not answer this question if the scheme is using a ‘Pre and post retirement’ discount methodology ("&amp;Questions!$D$134&amp;").
"</f>
        <v xml:space="preserve">
Do not answer this question if the scheme is using a ‘Pre and post retirement’ discount methodology (DR 2.0).
</v>
      </c>
      <c r="D214"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14" s="98" t="str">
        <f>"
Do not answer this question if the scheme is using a ‘Pre and post retirement’ discount methodology ("&amp;Questions!$D$134&amp;").
"</f>
        <v xml:space="preserve">
Do not answer this question if the scheme is using a ‘Pre and post retirement’ discount methodology (DR 2.0).
</v>
      </c>
      <c r="F214" s="98" t="str">
        <f>"
Do not answer this question if the scheme is a small scheme providing a spot rate  ("&amp;Questions!$D$3&amp;").
"</f>
        <v xml:space="preserve">
Do not answer this question if the scheme is a small scheme providing a spot rate  (SH 11.0).
</v>
      </c>
      <c r="G214" s="98" t="str">
        <f t="shared" si="6"/>
        <v xml:space="preserve">
Please state a percentage that is greater than or equal to -10 followed by the % sign
</v>
      </c>
      <c r="H214" s="98" t="str">
        <f t="shared" si="7"/>
        <v xml:space="preserve">
Please state a percentage that is less than or equal to 10 followed by the % sign
</v>
      </c>
      <c r="I214" s="92"/>
      <c r="J214" s="92"/>
    </row>
    <row r="215" spans="1:10" ht="77.5">
      <c r="A215" s="185" t="s">
        <v>3221</v>
      </c>
      <c r="B215"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15" s="98" t="str">
        <f>"
Do not answer this question if the scheme is using a ‘Pre and post retirement’ discount methodology ("&amp;Questions!$D$134&amp;").
"</f>
        <v xml:space="preserve">
Do not answer this question if the scheme is using a ‘Pre and post retirement’ discount methodology (DR 2.0).
</v>
      </c>
      <c r="D215"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15" s="98" t="str">
        <f>"
Do not answer this question if the scheme is using a ‘Pre and post retirement’ discount methodology ("&amp;Questions!$D$134&amp;").
"</f>
        <v xml:space="preserve">
Do not answer this question if the scheme is using a ‘Pre and post retirement’ discount methodology (DR 2.0).
</v>
      </c>
      <c r="F215" s="98" t="str">
        <f>"
Do not answer this question if the scheme is a small scheme providing a spot rate  ("&amp;Questions!$D$3&amp;").
"</f>
        <v xml:space="preserve">
Do not answer this question if the scheme is a small scheme providing a spot rate  (SH 11.0).
</v>
      </c>
      <c r="G215" s="98" t="str">
        <f t="shared" si="6"/>
        <v xml:space="preserve">
Please state a percentage that is greater than or equal to -10 followed by the % sign
</v>
      </c>
      <c r="H215" s="98" t="str">
        <f t="shared" si="7"/>
        <v xml:space="preserve">
Please state a percentage that is less than or equal to 10 followed by the % sign
</v>
      </c>
      <c r="I215" s="92"/>
      <c r="J215" s="92"/>
    </row>
    <row r="216" spans="1:10" ht="77.5">
      <c r="A216" s="185" t="s">
        <v>3222</v>
      </c>
      <c r="B216"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16" s="98" t="str">
        <f>"
Do not answer this question if the scheme is using a ‘Pre and post retirement’ discount methodology ("&amp;Questions!$D$134&amp;").
"</f>
        <v xml:space="preserve">
Do not answer this question if the scheme is using a ‘Pre and post retirement’ discount methodology (DR 2.0).
</v>
      </c>
      <c r="D216"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16" s="98" t="str">
        <f>"
Do not answer this question if the scheme is using a ‘Pre and post retirement’ discount methodology ("&amp;Questions!$D$134&amp;").
"</f>
        <v xml:space="preserve">
Do not answer this question if the scheme is using a ‘Pre and post retirement’ discount methodology (DR 2.0).
</v>
      </c>
      <c r="F216" s="98" t="str">
        <f>"
Do not answer this question if the scheme is a small scheme providing a spot rate  ("&amp;Questions!$D$3&amp;").
"</f>
        <v xml:space="preserve">
Do not answer this question if the scheme is a small scheme providing a spot rate  (SH 11.0).
</v>
      </c>
      <c r="G216" s="98" t="str">
        <f t="shared" si="6"/>
        <v xml:space="preserve">
Please state a percentage that is greater than or equal to -10 followed by the % sign
</v>
      </c>
      <c r="H216" s="98" t="str">
        <f t="shared" si="7"/>
        <v xml:space="preserve">
Please state a percentage that is less than or equal to 10 followed by the % sign
</v>
      </c>
      <c r="I216" s="92"/>
      <c r="J216" s="92"/>
    </row>
    <row r="217" spans="1:10" ht="77.5">
      <c r="A217" s="185" t="s">
        <v>3223</v>
      </c>
      <c r="B217"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17" s="98" t="str">
        <f>"
Do not answer this question if the scheme is using a ‘Pre and post retirement’ discount methodology ("&amp;Questions!$D$134&amp;").
"</f>
        <v xml:space="preserve">
Do not answer this question if the scheme is using a ‘Pre and post retirement’ discount methodology (DR 2.0).
</v>
      </c>
      <c r="D217"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17" s="98" t="str">
        <f>"
Do not answer this question if the scheme is using a ‘Pre and post retirement’ discount methodology ("&amp;Questions!$D$134&amp;").
"</f>
        <v xml:space="preserve">
Do not answer this question if the scheme is using a ‘Pre and post retirement’ discount methodology (DR 2.0).
</v>
      </c>
      <c r="F217" s="98" t="str">
        <f>"
Do not answer this question if the scheme is a small scheme providing a spot rate  ("&amp;Questions!$D$3&amp;").
"</f>
        <v xml:space="preserve">
Do not answer this question if the scheme is a small scheme providing a spot rate  (SH 11.0).
</v>
      </c>
      <c r="G217" s="98" t="str">
        <f t="shared" si="6"/>
        <v xml:space="preserve">
Please state a percentage that is greater than or equal to -10 followed by the % sign
</v>
      </c>
      <c r="H217" s="98" t="str">
        <f t="shared" si="7"/>
        <v xml:space="preserve">
Please state a percentage that is less than or equal to 10 followed by the % sign
</v>
      </c>
      <c r="I217" s="92"/>
      <c r="J217" s="92"/>
    </row>
    <row r="218" spans="1:10" ht="77.5">
      <c r="A218" s="185" t="s">
        <v>3224</v>
      </c>
      <c r="B218"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18" s="98" t="str">
        <f>"
Do not answer this question if the scheme is using a ‘Pre and post retirement’ discount methodology ("&amp;Questions!$D$134&amp;").
"</f>
        <v xml:space="preserve">
Do not answer this question if the scheme is using a ‘Pre and post retirement’ discount methodology (DR 2.0).
</v>
      </c>
      <c r="D218"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18" s="98" t="str">
        <f>"
Do not answer this question if the scheme is using a ‘Pre and post retirement’ discount methodology ("&amp;Questions!$D$134&amp;").
"</f>
        <v xml:space="preserve">
Do not answer this question if the scheme is using a ‘Pre and post retirement’ discount methodology (DR 2.0).
</v>
      </c>
      <c r="F218" s="98" t="str">
        <f>"
Do not answer this question if the scheme is a small scheme providing a spot rate  ("&amp;Questions!$D$3&amp;").
"</f>
        <v xml:space="preserve">
Do not answer this question if the scheme is a small scheme providing a spot rate  (SH 11.0).
</v>
      </c>
      <c r="G218" s="98" t="str">
        <f t="shared" si="6"/>
        <v xml:space="preserve">
Please state a percentage that is greater than or equal to -10 followed by the % sign
</v>
      </c>
      <c r="H218" s="98" t="str">
        <f t="shared" si="7"/>
        <v xml:space="preserve">
Please state a percentage that is less than or equal to 10 followed by the % sign
</v>
      </c>
      <c r="I218" s="92"/>
      <c r="J218" s="92"/>
    </row>
    <row r="219" spans="1:10" ht="77.5">
      <c r="A219" s="185" t="s">
        <v>3225</v>
      </c>
      <c r="B219"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19" s="98" t="str">
        <f>"
Do not answer this question if the scheme is using a ‘Pre and post retirement’ discount methodology ("&amp;Questions!$D$134&amp;").
"</f>
        <v xml:space="preserve">
Do not answer this question if the scheme is using a ‘Pre and post retirement’ discount methodology (DR 2.0).
</v>
      </c>
      <c r="D219"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19" s="98" t="str">
        <f>"
Do not answer this question if the scheme is using a ‘Pre and post retirement’ discount methodology ("&amp;Questions!$D$134&amp;").
"</f>
        <v xml:space="preserve">
Do not answer this question if the scheme is using a ‘Pre and post retirement’ discount methodology (DR 2.0).
</v>
      </c>
      <c r="F219" s="98" t="str">
        <f>"
Do not answer this question if the scheme is a small scheme providing a spot rate  ("&amp;Questions!$D$3&amp;").
"</f>
        <v xml:space="preserve">
Do not answer this question if the scheme is a small scheme providing a spot rate  (SH 11.0).
</v>
      </c>
      <c r="G219" s="98" t="str">
        <f t="shared" si="6"/>
        <v xml:space="preserve">
Please state a percentage that is greater than or equal to -10 followed by the % sign
</v>
      </c>
      <c r="H219" s="98" t="str">
        <f t="shared" si="7"/>
        <v xml:space="preserve">
Please state a percentage that is less than or equal to 10 followed by the % sign
</v>
      </c>
      <c r="I219" s="92"/>
      <c r="J219" s="92"/>
    </row>
    <row r="220" spans="1:10" ht="77.5">
      <c r="A220" s="185" t="s">
        <v>3226</v>
      </c>
      <c r="B220"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20" s="98" t="str">
        <f>"
Do not answer this question if the scheme is using a ‘Pre and post retirement’ discount methodology ("&amp;Questions!$D$134&amp;").
"</f>
        <v xml:space="preserve">
Do not answer this question if the scheme is using a ‘Pre and post retirement’ discount methodology (DR 2.0).
</v>
      </c>
      <c r="D220"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20" s="98" t="str">
        <f>"
Do not answer this question if the scheme is using a ‘Pre and post retirement’ discount methodology ("&amp;Questions!$D$134&amp;").
"</f>
        <v xml:space="preserve">
Do not answer this question if the scheme is using a ‘Pre and post retirement’ discount methodology (DR 2.0).
</v>
      </c>
      <c r="F220" s="98" t="str">
        <f>"
Do not answer this question if the scheme is a small scheme providing a spot rate  ("&amp;Questions!$D$3&amp;").
"</f>
        <v xml:space="preserve">
Do not answer this question if the scheme is a small scheme providing a spot rate  (SH 11.0).
</v>
      </c>
      <c r="G220" s="98" t="str">
        <f t="shared" si="6"/>
        <v xml:space="preserve">
Please state a percentage that is greater than or equal to -10 followed by the % sign
</v>
      </c>
      <c r="H220" s="98" t="str">
        <f t="shared" si="7"/>
        <v xml:space="preserve">
Please state a percentage that is less than or equal to 10 followed by the % sign
</v>
      </c>
      <c r="I220" s="92"/>
      <c r="J220" s="92"/>
    </row>
    <row r="221" spans="1:10" ht="77.5">
      <c r="A221" s="185" t="s">
        <v>3227</v>
      </c>
      <c r="B221"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21" s="98" t="str">
        <f>"
Do not answer this question if the scheme is using a ‘Pre and post retirement’ discount methodology ("&amp;Questions!$D$134&amp;").
"</f>
        <v xml:space="preserve">
Do not answer this question if the scheme is using a ‘Pre and post retirement’ discount methodology (DR 2.0).
</v>
      </c>
      <c r="D221"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21" s="98" t="str">
        <f>"
Do not answer this question if the scheme is using a ‘Pre and post retirement’ discount methodology ("&amp;Questions!$D$134&amp;").
"</f>
        <v xml:space="preserve">
Do not answer this question if the scheme is using a ‘Pre and post retirement’ discount methodology (DR 2.0).
</v>
      </c>
      <c r="F221" s="98" t="str">
        <f>"
Do not answer this question if the scheme is a small scheme providing a spot rate  ("&amp;Questions!$D$3&amp;").
"</f>
        <v xml:space="preserve">
Do not answer this question if the scheme is a small scheme providing a spot rate  (SH 11.0).
</v>
      </c>
      <c r="G221" s="98" t="str">
        <f t="shared" si="6"/>
        <v xml:space="preserve">
Please state a percentage that is greater than or equal to -10 followed by the % sign
</v>
      </c>
      <c r="H221" s="98" t="str">
        <f t="shared" si="7"/>
        <v xml:space="preserve">
Please state a percentage that is less than or equal to 10 followed by the % sign
</v>
      </c>
      <c r="I221" s="92"/>
      <c r="J221" s="92"/>
    </row>
    <row r="222" spans="1:10" ht="77.5">
      <c r="A222" s="185" t="s">
        <v>3228</v>
      </c>
      <c r="B222"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22" s="98" t="str">
        <f>"
Do not answer this question if the scheme is using a ‘Pre and post retirement’ discount methodology ("&amp;Questions!$D$134&amp;").
"</f>
        <v xml:space="preserve">
Do not answer this question if the scheme is using a ‘Pre and post retirement’ discount methodology (DR 2.0).
</v>
      </c>
      <c r="D222"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22" s="98" t="str">
        <f>"
Do not answer this question if the scheme is using a ‘Pre and post retirement’ discount methodology ("&amp;Questions!$D$134&amp;").
"</f>
        <v xml:space="preserve">
Do not answer this question if the scheme is using a ‘Pre and post retirement’ discount methodology (DR 2.0).
</v>
      </c>
      <c r="F222" s="98" t="str">
        <f>"
Do not answer this question if the scheme is a small scheme providing a spot rate  ("&amp;Questions!$D$3&amp;").
"</f>
        <v xml:space="preserve">
Do not answer this question if the scheme is a small scheme providing a spot rate  (SH 11.0).
</v>
      </c>
      <c r="G222" s="98" t="str">
        <f t="shared" si="6"/>
        <v xml:space="preserve">
Please state a percentage that is greater than or equal to -10 followed by the % sign
</v>
      </c>
      <c r="H222" s="98" t="str">
        <f t="shared" si="7"/>
        <v xml:space="preserve">
Please state a percentage that is less than or equal to 10 followed by the % sign
</v>
      </c>
      <c r="I222" s="92"/>
      <c r="J222" s="92"/>
    </row>
    <row r="223" spans="1:10" ht="77.5">
      <c r="A223" s="185" t="s">
        <v>3229</v>
      </c>
      <c r="B223"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23" s="98" t="str">
        <f>"
Do not answer this question if the scheme is using a ‘Pre and post retirement’ discount methodology ("&amp;Questions!$D$134&amp;").
"</f>
        <v xml:space="preserve">
Do not answer this question if the scheme is using a ‘Pre and post retirement’ discount methodology (DR 2.0).
</v>
      </c>
      <c r="D223"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23" s="98" t="str">
        <f>"
Do not answer this question if the scheme is using a ‘Pre and post retirement’ discount methodology ("&amp;Questions!$D$134&amp;").
"</f>
        <v xml:space="preserve">
Do not answer this question if the scheme is using a ‘Pre and post retirement’ discount methodology (DR 2.0).
</v>
      </c>
      <c r="F223" s="98" t="str">
        <f>"
Do not answer this question if the scheme is a small scheme providing a spot rate  ("&amp;Questions!$D$3&amp;").
"</f>
        <v xml:space="preserve">
Do not answer this question if the scheme is a small scheme providing a spot rate  (SH 11.0).
</v>
      </c>
      <c r="G223" s="98" t="str">
        <f t="shared" si="6"/>
        <v xml:space="preserve">
Please state a percentage that is greater than or equal to -10 followed by the % sign
</v>
      </c>
      <c r="H223" s="98" t="str">
        <f t="shared" si="7"/>
        <v xml:space="preserve">
Please state a percentage that is less than or equal to 10 followed by the % sign
</v>
      </c>
      <c r="I223" s="92"/>
      <c r="J223" s="92"/>
    </row>
    <row r="224" spans="1:10" ht="77.5">
      <c r="A224" s="185" t="s">
        <v>3230</v>
      </c>
      <c r="B224"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24" s="98" t="str">
        <f>"
Do not answer this question if the scheme is using a ‘Pre and post retirement’ discount methodology ("&amp;Questions!$D$134&amp;").
"</f>
        <v xml:space="preserve">
Do not answer this question if the scheme is using a ‘Pre and post retirement’ discount methodology (DR 2.0).
</v>
      </c>
      <c r="D224"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24" s="98" t="str">
        <f>"
Do not answer this question if the scheme is using a ‘Pre and post retirement’ discount methodology ("&amp;Questions!$D$134&amp;").
"</f>
        <v xml:space="preserve">
Do not answer this question if the scheme is using a ‘Pre and post retirement’ discount methodology (DR 2.0).
</v>
      </c>
      <c r="F224" s="98" t="str">
        <f>"
Do not answer this question if the scheme is a small scheme providing a spot rate  ("&amp;Questions!$D$3&amp;").
"</f>
        <v xml:space="preserve">
Do not answer this question if the scheme is a small scheme providing a spot rate  (SH 11.0).
</v>
      </c>
      <c r="G224" s="98" t="str">
        <f t="shared" si="6"/>
        <v xml:space="preserve">
Please state a percentage that is greater than or equal to -10 followed by the % sign
</v>
      </c>
      <c r="H224" s="98" t="str">
        <f t="shared" si="7"/>
        <v xml:space="preserve">
Please state a percentage that is less than or equal to 10 followed by the % sign
</v>
      </c>
      <c r="I224" s="92"/>
      <c r="J224" s="92"/>
    </row>
    <row r="225" spans="1:10" ht="77.5">
      <c r="A225" s="185" t="s">
        <v>3231</v>
      </c>
      <c r="B225"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25" s="98" t="str">
        <f>"
Do not answer this question if the scheme is using a ‘Pre and post retirement’ discount methodology ("&amp;Questions!$D$134&amp;").
"</f>
        <v xml:space="preserve">
Do not answer this question if the scheme is using a ‘Pre and post retirement’ discount methodology (DR 2.0).
</v>
      </c>
      <c r="D225"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25" s="98" t="str">
        <f>"
Do not answer this question if the scheme is using a ‘Pre and post retirement’ discount methodology ("&amp;Questions!$D$134&amp;").
"</f>
        <v xml:space="preserve">
Do not answer this question if the scheme is using a ‘Pre and post retirement’ discount methodology (DR 2.0).
</v>
      </c>
      <c r="F225" s="98" t="str">
        <f>"
Do not answer this question if the scheme is a small scheme providing a spot rate  ("&amp;Questions!$D$3&amp;").
"</f>
        <v xml:space="preserve">
Do not answer this question if the scheme is a small scheme providing a spot rate  (SH 11.0).
</v>
      </c>
      <c r="G225" s="98" t="str">
        <f t="shared" si="6"/>
        <v xml:space="preserve">
Please state a percentage that is greater than or equal to -10 followed by the % sign
</v>
      </c>
      <c r="H225" s="98" t="str">
        <f t="shared" si="7"/>
        <v xml:space="preserve">
Please state a percentage that is less than or equal to 10 followed by the % sign
</v>
      </c>
      <c r="I225" s="92"/>
      <c r="J225" s="92"/>
    </row>
    <row r="226" spans="1:10" ht="77.5">
      <c r="A226" s="185" t="s">
        <v>3232</v>
      </c>
      <c r="B226"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26" s="98" t="str">
        <f>"
Do not answer this question if the scheme is using a ‘Pre and post retirement’ discount methodology ("&amp;Questions!$D$134&amp;").
"</f>
        <v xml:space="preserve">
Do not answer this question if the scheme is using a ‘Pre and post retirement’ discount methodology (DR 2.0).
</v>
      </c>
      <c r="D226"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26" s="98" t="str">
        <f>"
Do not answer this question if the scheme is using a ‘Pre and post retirement’ discount methodology ("&amp;Questions!$D$134&amp;").
"</f>
        <v xml:space="preserve">
Do not answer this question if the scheme is using a ‘Pre and post retirement’ discount methodology (DR 2.0).
</v>
      </c>
      <c r="F226" s="98" t="str">
        <f>"
Do not answer this question if the scheme is a small scheme providing a spot rate  ("&amp;Questions!$D$3&amp;").
"</f>
        <v xml:space="preserve">
Do not answer this question if the scheme is a small scheme providing a spot rate  (SH 11.0).
</v>
      </c>
      <c r="G226" s="98" t="str">
        <f t="shared" si="6"/>
        <v xml:space="preserve">
Please state a percentage that is greater than or equal to -10 followed by the % sign
</v>
      </c>
      <c r="H226" s="98" t="str">
        <f t="shared" si="7"/>
        <v xml:space="preserve">
Please state a percentage that is less than or equal to 10 followed by the % sign
</v>
      </c>
      <c r="I226" s="92"/>
      <c r="J226" s="92"/>
    </row>
    <row r="227" spans="1:10" ht="77.5">
      <c r="A227" s="185" t="s">
        <v>3233</v>
      </c>
      <c r="B227"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27" s="98" t="str">
        <f>"
Do not answer this question if the scheme is using a ‘Pre and post retirement’ discount methodology ("&amp;Questions!$D$134&amp;").
"</f>
        <v xml:space="preserve">
Do not answer this question if the scheme is using a ‘Pre and post retirement’ discount methodology (DR 2.0).
</v>
      </c>
      <c r="D227"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27" s="98" t="str">
        <f>"
Do not answer this question if the scheme is using a ‘Pre and post retirement’ discount methodology ("&amp;Questions!$D$134&amp;").
"</f>
        <v xml:space="preserve">
Do not answer this question if the scheme is using a ‘Pre and post retirement’ discount methodology (DR 2.0).
</v>
      </c>
      <c r="F227" s="98" t="str">
        <f>"
Do not answer this question if the scheme is a small scheme providing a spot rate  ("&amp;Questions!$D$3&amp;").
"</f>
        <v xml:space="preserve">
Do not answer this question if the scheme is a small scheme providing a spot rate  (SH 11.0).
</v>
      </c>
      <c r="G227" s="98" t="str">
        <f t="shared" si="6"/>
        <v xml:space="preserve">
Please state a percentage that is greater than or equal to -10 followed by the % sign
</v>
      </c>
      <c r="H227" s="98" t="str">
        <f t="shared" si="7"/>
        <v xml:space="preserve">
Please state a percentage that is less than or equal to 10 followed by the % sign
</v>
      </c>
      <c r="I227" s="92"/>
      <c r="J227" s="92"/>
    </row>
    <row r="228" spans="1:10" ht="77.5">
      <c r="A228" s="185" t="s">
        <v>3234</v>
      </c>
      <c r="B228"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28" s="98" t="str">
        <f>"
Do not answer this question if the scheme is using a ‘Pre and post retirement’ discount methodology ("&amp;Questions!$D$134&amp;").
"</f>
        <v xml:space="preserve">
Do not answer this question if the scheme is using a ‘Pre and post retirement’ discount methodology (DR 2.0).
</v>
      </c>
      <c r="D228"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28" s="98" t="str">
        <f>"
Do not answer this question if the scheme is using a ‘Pre and post retirement’ discount methodology ("&amp;Questions!$D$134&amp;").
"</f>
        <v xml:space="preserve">
Do not answer this question if the scheme is using a ‘Pre and post retirement’ discount methodology (DR 2.0).
</v>
      </c>
      <c r="F228" s="98" t="str">
        <f>"
Do not answer this question if the scheme is a small scheme providing a spot rate  ("&amp;Questions!$D$3&amp;").
"</f>
        <v xml:space="preserve">
Do not answer this question if the scheme is a small scheme providing a spot rate  (SH 11.0).
</v>
      </c>
      <c r="G228" s="98" t="str">
        <f t="shared" si="6"/>
        <v xml:space="preserve">
Please state a percentage that is greater than or equal to -10 followed by the % sign
</v>
      </c>
      <c r="H228" s="98" t="str">
        <f t="shared" si="7"/>
        <v xml:space="preserve">
Please state a percentage that is less than or equal to 10 followed by the % sign
</v>
      </c>
      <c r="I228" s="92"/>
      <c r="J228" s="92"/>
    </row>
    <row r="229" spans="1:10" ht="77.5">
      <c r="A229" s="185" t="s">
        <v>3235</v>
      </c>
      <c r="B229"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29" s="98" t="str">
        <f>"
Do not answer this question if the scheme is using a ‘Pre and post retirement’ discount methodology ("&amp;Questions!$D$134&amp;").
"</f>
        <v xml:space="preserve">
Do not answer this question if the scheme is using a ‘Pre and post retirement’ discount methodology (DR 2.0).
</v>
      </c>
      <c r="D229"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29" s="98" t="str">
        <f>"
Do not answer this question if the scheme is using a ‘Pre and post retirement’ discount methodology ("&amp;Questions!$D$134&amp;").
"</f>
        <v xml:space="preserve">
Do not answer this question if the scheme is using a ‘Pre and post retirement’ discount methodology (DR 2.0).
</v>
      </c>
      <c r="F229" s="98" t="str">
        <f>"
Do not answer this question if the scheme is a small scheme providing a spot rate  ("&amp;Questions!$D$3&amp;").
"</f>
        <v xml:space="preserve">
Do not answer this question if the scheme is a small scheme providing a spot rate  (SH 11.0).
</v>
      </c>
      <c r="G229" s="98" t="str">
        <f t="shared" si="6"/>
        <v xml:space="preserve">
Please state a percentage that is greater than or equal to -10 followed by the % sign
</v>
      </c>
      <c r="H229" s="98" t="str">
        <f t="shared" si="7"/>
        <v xml:space="preserve">
Please state a percentage that is less than or equal to 10 followed by the % sign
</v>
      </c>
      <c r="I229" s="92"/>
      <c r="J229" s="92"/>
    </row>
    <row r="230" spans="1:10" ht="77.5">
      <c r="A230" s="185" t="s">
        <v>3236</v>
      </c>
      <c r="B230"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30" s="98" t="str">
        <f>"
Do not answer this question if the scheme is using a ‘Pre and post retirement’ discount methodology ("&amp;Questions!$D$134&amp;").
"</f>
        <v xml:space="preserve">
Do not answer this question if the scheme is using a ‘Pre and post retirement’ discount methodology (DR 2.0).
</v>
      </c>
      <c r="D230"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30" s="98" t="str">
        <f>"
Do not answer this question if the scheme is using a ‘Pre and post retirement’ discount methodology ("&amp;Questions!$D$134&amp;").
"</f>
        <v xml:space="preserve">
Do not answer this question if the scheme is using a ‘Pre and post retirement’ discount methodology (DR 2.0).
</v>
      </c>
      <c r="F230" s="98" t="str">
        <f>"
Do not answer this question if the scheme is a small scheme providing a spot rate  ("&amp;Questions!$D$3&amp;").
"</f>
        <v xml:space="preserve">
Do not answer this question if the scheme is a small scheme providing a spot rate  (SH 11.0).
</v>
      </c>
      <c r="G230" s="98" t="str">
        <f t="shared" si="6"/>
        <v xml:space="preserve">
Please state a percentage that is greater than or equal to -10 followed by the % sign
</v>
      </c>
      <c r="H230" s="98" t="str">
        <f t="shared" si="7"/>
        <v xml:space="preserve">
Please state a percentage that is less than or equal to 10 followed by the % sign
</v>
      </c>
      <c r="I230" s="92"/>
      <c r="J230" s="92"/>
    </row>
    <row r="231" spans="1:10" ht="77.5">
      <c r="A231" s="185" t="s">
        <v>3237</v>
      </c>
      <c r="B231"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31" s="98" t="str">
        <f>"
Do not answer this question if the scheme is using a ‘Pre and post retirement’ discount methodology ("&amp;Questions!$D$134&amp;").
"</f>
        <v xml:space="preserve">
Do not answer this question if the scheme is using a ‘Pre and post retirement’ discount methodology (DR 2.0).
</v>
      </c>
      <c r="D231"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31" s="98" t="str">
        <f>"
Do not answer this question if the scheme is using a ‘Pre and post retirement’ discount methodology ("&amp;Questions!$D$134&amp;").
"</f>
        <v xml:space="preserve">
Do not answer this question if the scheme is using a ‘Pre and post retirement’ discount methodology (DR 2.0).
</v>
      </c>
      <c r="F231" s="98" t="str">
        <f>"
Do not answer this question if the scheme is a small scheme providing a spot rate  ("&amp;Questions!$D$3&amp;").
"</f>
        <v xml:space="preserve">
Do not answer this question if the scheme is a small scheme providing a spot rate  (SH 11.0).
</v>
      </c>
      <c r="G231" s="98" t="str">
        <f t="shared" si="6"/>
        <v xml:space="preserve">
Please state a percentage that is greater than or equal to -10 followed by the % sign
</v>
      </c>
      <c r="H231" s="98" t="str">
        <f t="shared" si="7"/>
        <v xml:space="preserve">
Please state a percentage that is less than or equal to 10 followed by the % sign
</v>
      </c>
      <c r="I231" s="92"/>
      <c r="J231" s="92"/>
    </row>
    <row r="232" spans="1:10" ht="77.5">
      <c r="A232" s="185" t="s">
        <v>3238</v>
      </c>
      <c r="B232"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32" s="98" t="str">
        <f>"
Do not answer this question if the scheme is using a ‘Pre and post retirement’ discount methodology ("&amp;Questions!$D$134&amp;").
"</f>
        <v xml:space="preserve">
Do not answer this question if the scheme is using a ‘Pre and post retirement’ discount methodology (DR 2.0).
</v>
      </c>
      <c r="D232"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32" s="98" t="str">
        <f>"
Do not answer this question if the scheme is using a ‘Pre and post retirement’ discount methodology ("&amp;Questions!$D$134&amp;").
"</f>
        <v xml:space="preserve">
Do not answer this question if the scheme is using a ‘Pre and post retirement’ discount methodology (DR 2.0).
</v>
      </c>
      <c r="F232" s="98" t="str">
        <f>"
Do not answer this question if the scheme is a small scheme providing a spot rate  ("&amp;Questions!$D$3&amp;").
"</f>
        <v xml:space="preserve">
Do not answer this question if the scheme is a small scheme providing a spot rate  (SH 11.0).
</v>
      </c>
      <c r="G232" s="98" t="str">
        <f t="shared" si="6"/>
        <v xml:space="preserve">
Please state a percentage that is greater than or equal to -10 followed by the % sign
</v>
      </c>
      <c r="H232" s="98" t="str">
        <f t="shared" si="7"/>
        <v xml:space="preserve">
Please state a percentage that is less than or equal to 10 followed by the % sign
</v>
      </c>
      <c r="I232" s="92"/>
      <c r="J232" s="92"/>
    </row>
    <row r="233" spans="1:10" ht="77.5">
      <c r="A233" s="185" t="s">
        <v>3239</v>
      </c>
      <c r="B233"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33" s="98" t="str">
        <f>"
Do not answer this question if the scheme is using a ‘Pre and post retirement’ discount methodology ("&amp;Questions!$D$134&amp;").
"</f>
        <v xml:space="preserve">
Do not answer this question if the scheme is using a ‘Pre and post retirement’ discount methodology (DR 2.0).
</v>
      </c>
      <c r="D233"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33" s="98" t="str">
        <f>"
Do not answer this question if the scheme is using a ‘Pre and post retirement’ discount methodology ("&amp;Questions!$D$134&amp;").
"</f>
        <v xml:space="preserve">
Do not answer this question if the scheme is using a ‘Pre and post retirement’ discount methodology (DR 2.0).
</v>
      </c>
      <c r="F233" s="98" t="str">
        <f>"
Do not answer this question if the scheme is a small scheme providing a spot rate  ("&amp;Questions!$D$3&amp;").
"</f>
        <v xml:space="preserve">
Do not answer this question if the scheme is a small scheme providing a spot rate  (SH 11.0).
</v>
      </c>
      <c r="G233" s="98" t="str">
        <f t="shared" si="6"/>
        <v xml:space="preserve">
Please state a percentage that is greater than or equal to -10 followed by the % sign
</v>
      </c>
      <c r="H233" s="98" t="str">
        <f t="shared" si="7"/>
        <v xml:space="preserve">
Please state a percentage that is less than or equal to 10 followed by the % sign
</v>
      </c>
      <c r="I233" s="92"/>
      <c r="J233" s="92"/>
    </row>
    <row r="234" spans="1:10" ht="77.5">
      <c r="A234" s="185" t="s">
        <v>3240</v>
      </c>
      <c r="B234"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34" s="98" t="str">
        <f>"
Do not answer this question if the scheme is using a ‘Pre and post retirement’ discount methodology ("&amp;Questions!$D$134&amp;").
"</f>
        <v xml:space="preserve">
Do not answer this question if the scheme is using a ‘Pre and post retirement’ discount methodology (DR 2.0).
</v>
      </c>
      <c r="D234"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34" s="98" t="str">
        <f>"
Do not answer this question if the scheme is using a ‘Pre and post retirement’ discount methodology ("&amp;Questions!$D$134&amp;").
"</f>
        <v xml:space="preserve">
Do not answer this question if the scheme is using a ‘Pre and post retirement’ discount methodology (DR 2.0).
</v>
      </c>
      <c r="F234" s="98" t="str">
        <f>"
Do not answer this question if the scheme is a small scheme providing a spot rate  ("&amp;Questions!$D$3&amp;").
"</f>
        <v xml:space="preserve">
Do not answer this question if the scheme is a small scheme providing a spot rate  (SH 11.0).
</v>
      </c>
      <c r="G234" s="98" t="str">
        <f t="shared" si="6"/>
        <v xml:space="preserve">
Please state a percentage that is greater than or equal to -10 followed by the % sign
</v>
      </c>
      <c r="H234" s="98" t="str">
        <f t="shared" si="7"/>
        <v xml:space="preserve">
Please state a percentage that is less than or equal to 10 followed by the % sign
</v>
      </c>
      <c r="I234" s="92"/>
      <c r="J234" s="92"/>
    </row>
    <row r="235" spans="1:10" ht="77.5">
      <c r="A235" s="185" t="s">
        <v>3241</v>
      </c>
      <c r="B235"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35" s="98" t="str">
        <f>"
Do not answer this question if the scheme is using a ‘Pre and post retirement’ discount methodology ("&amp;Questions!$D$134&amp;").
"</f>
        <v xml:space="preserve">
Do not answer this question if the scheme is using a ‘Pre and post retirement’ discount methodology (DR 2.0).
</v>
      </c>
      <c r="D235"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35" s="98" t="str">
        <f>"
Do not answer this question if the scheme is using a ‘Pre and post retirement’ discount methodology ("&amp;Questions!$D$134&amp;").
"</f>
        <v xml:space="preserve">
Do not answer this question if the scheme is using a ‘Pre and post retirement’ discount methodology (DR 2.0).
</v>
      </c>
      <c r="F235" s="98" t="str">
        <f>"
Do not answer this question if the scheme is a small scheme providing a spot rate  ("&amp;Questions!$D$3&amp;").
"</f>
        <v xml:space="preserve">
Do not answer this question if the scheme is a small scheme providing a spot rate  (SH 11.0).
</v>
      </c>
      <c r="G235" s="98" t="str">
        <f t="shared" si="6"/>
        <v xml:space="preserve">
Please state a percentage that is greater than or equal to -10 followed by the % sign
</v>
      </c>
      <c r="H235" s="98" t="str">
        <f t="shared" si="7"/>
        <v xml:space="preserve">
Please state a percentage that is less than or equal to 10 followed by the % sign
</v>
      </c>
      <c r="I235" s="92"/>
      <c r="J235" s="92"/>
    </row>
    <row r="236" spans="1:10" ht="77.5">
      <c r="A236" s="185" t="s">
        <v>3242</v>
      </c>
      <c r="B236"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36" s="98" t="str">
        <f>"
Do not answer this question if the scheme is using a ‘Pre and post retirement’ discount methodology ("&amp;Questions!$D$134&amp;").
"</f>
        <v xml:space="preserve">
Do not answer this question if the scheme is using a ‘Pre and post retirement’ discount methodology (DR 2.0).
</v>
      </c>
      <c r="D236"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36" s="98" t="str">
        <f>"
Do not answer this question if the scheme is using a ‘Pre and post retirement’ discount methodology ("&amp;Questions!$D$134&amp;").
"</f>
        <v xml:space="preserve">
Do not answer this question if the scheme is using a ‘Pre and post retirement’ discount methodology (DR 2.0).
</v>
      </c>
      <c r="F236" s="98" t="str">
        <f>"
Do not answer this question if the scheme is a small scheme providing a spot rate  ("&amp;Questions!$D$3&amp;").
"</f>
        <v xml:space="preserve">
Do not answer this question if the scheme is a small scheme providing a spot rate  (SH 11.0).
</v>
      </c>
      <c r="G236" s="98" t="str">
        <f t="shared" si="6"/>
        <v xml:space="preserve">
Please state a percentage that is greater than or equal to -10 followed by the % sign
</v>
      </c>
      <c r="H236" s="98" t="str">
        <f t="shared" si="7"/>
        <v xml:space="preserve">
Please state a percentage that is less than or equal to 10 followed by the % sign
</v>
      </c>
      <c r="I236" s="92"/>
      <c r="J236" s="92"/>
    </row>
    <row r="237" spans="1:10" ht="77.5">
      <c r="A237" s="185" t="s">
        <v>3243</v>
      </c>
      <c r="B237"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37" s="98" t="str">
        <f>"
Do not answer this question if the scheme is using a ‘Pre and post retirement’ discount methodology ("&amp;Questions!$D$134&amp;").
"</f>
        <v xml:space="preserve">
Do not answer this question if the scheme is using a ‘Pre and post retirement’ discount methodology (DR 2.0).
</v>
      </c>
      <c r="D237"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37" s="98" t="str">
        <f>"
Do not answer this question if the scheme is using a ‘Pre and post retirement’ discount methodology ("&amp;Questions!$D$134&amp;").
"</f>
        <v xml:space="preserve">
Do not answer this question if the scheme is using a ‘Pre and post retirement’ discount methodology (DR 2.0).
</v>
      </c>
      <c r="F237" s="98" t="str">
        <f>"
Do not answer this question if the scheme is a small scheme providing a spot rate  ("&amp;Questions!$D$3&amp;").
"</f>
        <v xml:space="preserve">
Do not answer this question if the scheme is a small scheme providing a spot rate  (SH 11.0).
</v>
      </c>
      <c r="G237" s="98" t="str">
        <f t="shared" si="6"/>
        <v xml:space="preserve">
Please state a percentage that is greater than or equal to -10 followed by the % sign
</v>
      </c>
      <c r="H237" s="98" t="str">
        <f t="shared" si="7"/>
        <v xml:space="preserve">
Please state a percentage that is less than or equal to 10 followed by the % sign
</v>
      </c>
      <c r="I237" s="92"/>
      <c r="J237" s="92"/>
    </row>
    <row r="238" spans="1:10" ht="77.5">
      <c r="A238" s="185" t="s">
        <v>3244</v>
      </c>
      <c r="B238"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38" s="98" t="str">
        <f>"
Do not answer this question if the scheme is using a ‘Pre and post retirement’ discount methodology ("&amp;Questions!$D$134&amp;").
"</f>
        <v xml:space="preserve">
Do not answer this question if the scheme is using a ‘Pre and post retirement’ discount methodology (DR 2.0).
</v>
      </c>
      <c r="D238"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38" s="98" t="str">
        <f>"
Do not answer this question if the scheme is using a ‘Pre and post retirement’ discount methodology ("&amp;Questions!$D$134&amp;").
"</f>
        <v xml:space="preserve">
Do not answer this question if the scheme is using a ‘Pre and post retirement’ discount methodology (DR 2.0).
</v>
      </c>
      <c r="F238" s="98" t="str">
        <f>"
Do not answer this question if the scheme is a small scheme providing a spot rate  ("&amp;Questions!$D$3&amp;").
"</f>
        <v xml:space="preserve">
Do not answer this question if the scheme is a small scheme providing a spot rate  (SH 11.0).
</v>
      </c>
      <c r="G238" s="98" t="str">
        <f t="shared" ref="G238:G253" si="8">"
Please state a percentage that is greater than or equal to -10 followed by the % sign
"</f>
        <v xml:space="preserve">
Please state a percentage that is greater than or equal to -10 followed by the % sign
</v>
      </c>
      <c r="H238" s="98" t="str">
        <f t="shared" ref="H238:H253" si="9">"
Please state a percentage that is less than or equal to 10 followed by the % sign
"</f>
        <v xml:space="preserve">
Please state a percentage that is less than or equal to 10 followed by the % sign
</v>
      </c>
      <c r="I238" s="92"/>
      <c r="J238" s="92"/>
    </row>
    <row r="239" spans="1:10" ht="77.5">
      <c r="A239" s="185" t="s">
        <v>3245</v>
      </c>
      <c r="B239"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39" s="98" t="str">
        <f>"
Do not answer this question if the scheme is using a ‘Pre and post retirement’ discount methodology ("&amp;Questions!$D$134&amp;").
"</f>
        <v xml:space="preserve">
Do not answer this question if the scheme is using a ‘Pre and post retirement’ discount methodology (DR 2.0).
</v>
      </c>
      <c r="D239"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39" s="98" t="str">
        <f>"
Do not answer this question if the scheme is using a ‘Pre and post retirement’ discount methodology ("&amp;Questions!$D$134&amp;").
"</f>
        <v xml:space="preserve">
Do not answer this question if the scheme is using a ‘Pre and post retirement’ discount methodology (DR 2.0).
</v>
      </c>
      <c r="F239" s="98" t="str">
        <f>"
Do not answer this question if the scheme is a small scheme providing a spot rate  ("&amp;Questions!$D$3&amp;").
"</f>
        <v xml:space="preserve">
Do not answer this question if the scheme is a small scheme providing a spot rate  (SH 11.0).
</v>
      </c>
      <c r="G239" s="98" t="str">
        <f t="shared" si="8"/>
        <v xml:space="preserve">
Please state a percentage that is greater than or equal to -10 followed by the % sign
</v>
      </c>
      <c r="H239" s="98" t="str">
        <f t="shared" si="9"/>
        <v xml:space="preserve">
Please state a percentage that is less than or equal to 10 followed by the % sign
</v>
      </c>
      <c r="I239" s="92"/>
      <c r="J239" s="92"/>
    </row>
    <row r="240" spans="1:10" ht="77.5">
      <c r="A240" s="185" t="s">
        <v>3246</v>
      </c>
      <c r="B240"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40" s="98" t="str">
        <f>"
Do not answer this question if the scheme is using a ‘Pre and post retirement’ discount methodology ("&amp;Questions!$D$134&amp;").
"</f>
        <v xml:space="preserve">
Do not answer this question if the scheme is using a ‘Pre and post retirement’ discount methodology (DR 2.0).
</v>
      </c>
      <c r="D240"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40" s="98" t="str">
        <f>"
Do not answer this question if the scheme is using a ‘Pre and post retirement’ discount methodology ("&amp;Questions!$D$134&amp;").
"</f>
        <v xml:space="preserve">
Do not answer this question if the scheme is using a ‘Pre and post retirement’ discount methodology (DR 2.0).
</v>
      </c>
      <c r="F240" s="98" t="str">
        <f>"
Do not answer this question if the scheme is a small scheme providing a spot rate  ("&amp;Questions!$D$3&amp;").
"</f>
        <v xml:space="preserve">
Do not answer this question if the scheme is a small scheme providing a spot rate  (SH 11.0).
</v>
      </c>
      <c r="G240" s="98" t="str">
        <f t="shared" si="8"/>
        <v xml:space="preserve">
Please state a percentage that is greater than or equal to -10 followed by the % sign
</v>
      </c>
      <c r="H240" s="98" t="str">
        <f t="shared" si="9"/>
        <v xml:space="preserve">
Please state a percentage that is less than or equal to 10 followed by the % sign
</v>
      </c>
      <c r="I240" s="92"/>
      <c r="J240" s="92"/>
    </row>
    <row r="241" spans="1:10" ht="77.5">
      <c r="A241" s="185" t="s">
        <v>3247</v>
      </c>
      <c r="B241"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41" s="98" t="str">
        <f>"
Do not answer this question if the scheme is using a ‘Pre and post retirement’ discount methodology ("&amp;Questions!$D$134&amp;").
"</f>
        <v xml:space="preserve">
Do not answer this question if the scheme is using a ‘Pre and post retirement’ discount methodology (DR 2.0).
</v>
      </c>
      <c r="D241"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41" s="98" t="str">
        <f>"
Do not answer this question if the scheme is using a ‘Pre and post retirement’ discount methodology ("&amp;Questions!$D$134&amp;").
"</f>
        <v xml:space="preserve">
Do not answer this question if the scheme is using a ‘Pre and post retirement’ discount methodology (DR 2.0).
</v>
      </c>
      <c r="F241" s="98" t="str">
        <f>"
Do not answer this question if the scheme is a small scheme providing a spot rate  ("&amp;Questions!$D$3&amp;").
"</f>
        <v xml:space="preserve">
Do not answer this question if the scheme is a small scheme providing a spot rate  (SH 11.0).
</v>
      </c>
      <c r="G241" s="98" t="str">
        <f t="shared" si="8"/>
        <v xml:space="preserve">
Please state a percentage that is greater than or equal to -10 followed by the % sign
</v>
      </c>
      <c r="H241" s="98" t="str">
        <f t="shared" si="9"/>
        <v xml:space="preserve">
Please state a percentage that is less than or equal to 10 followed by the % sign
</v>
      </c>
      <c r="I241" s="92"/>
      <c r="J241" s="92"/>
    </row>
    <row r="242" spans="1:10" ht="77.5">
      <c r="A242" s="185" t="s">
        <v>3248</v>
      </c>
      <c r="B242"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42" s="98" t="str">
        <f>"
Do not answer this question if the scheme is using a ‘Pre and post retirement’ discount methodology ("&amp;Questions!$D$134&amp;").
"</f>
        <v xml:space="preserve">
Do not answer this question if the scheme is using a ‘Pre and post retirement’ discount methodology (DR 2.0).
</v>
      </c>
      <c r="D242"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42" s="98" t="str">
        <f>"
Do not answer this question if the scheme is using a ‘Pre and post retirement’ discount methodology ("&amp;Questions!$D$134&amp;").
"</f>
        <v xml:space="preserve">
Do not answer this question if the scheme is using a ‘Pre and post retirement’ discount methodology (DR 2.0).
</v>
      </c>
      <c r="F242" s="98" t="str">
        <f>"
Do not answer this question if the scheme is a small scheme providing a spot rate  ("&amp;Questions!$D$3&amp;").
"</f>
        <v xml:space="preserve">
Do not answer this question if the scheme is a small scheme providing a spot rate  (SH 11.0).
</v>
      </c>
      <c r="G242" s="98" t="str">
        <f t="shared" si="8"/>
        <v xml:space="preserve">
Please state a percentage that is greater than or equal to -10 followed by the % sign
</v>
      </c>
      <c r="H242" s="98" t="str">
        <f t="shared" si="9"/>
        <v xml:space="preserve">
Please state a percentage that is less than or equal to 10 followed by the % sign
</v>
      </c>
      <c r="I242" s="92"/>
      <c r="J242" s="92"/>
    </row>
    <row r="243" spans="1:10" ht="77.5">
      <c r="A243" s="185" t="s">
        <v>3249</v>
      </c>
      <c r="B243"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43" s="98" t="str">
        <f>"
Do not answer this question if the scheme is using a ‘Pre and post retirement’ discount methodology ("&amp;Questions!$D$134&amp;").
"</f>
        <v xml:space="preserve">
Do not answer this question if the scheme is using a ‘Pre and post retirement’ discount methodology (DR 2.0).
</v>
      </c>
      <c r="D243"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43" s="98" t="str">
        <f>"
Do not answer this question if the scheme is using a ‘Pre and post retirement’ discount methodology ("&amp;Questions!$D$134&amp;").
"</f>
        <v xml:space="preserve">
Do not answer this question if the scheme is using a ‘Pre and post retirement’ discount methodology (DR 2.0).
</v>
      </c>
      <c r="F243" s="98" t="str">
        <f>"
Do not answer this question if the scheme is a small scheme providing a spot rate  ("&amp;Questions!$D$3&amp;").
"</f>
        <v xml:space="preserve">
Do not answer this question if the scheme is a small scheme providing a spot rate  (SH 11.0).
</v>
      </c>
      <c r="G243" s="98" t="str">
        <f t="shared" si="8"/>
        <v xml:space="preserve">
Please state a percentage that is greater than or equal to -10 followed by the % sign
</v>
      </c>
      <c r="H243" s="98" t="str">
        <f t="shared" si="9"/>
        <v xml:space="preserve">
Please state a percentage that is less than or equal to 10 followed by the % sign
</v>
      </c>
      <c r="I243" s="92"/>
      <c r="J243" s="92"/>
    </row>
    <row r="244" spans="1:10" ht="77.5">
      <c r="A244" s="185" t="s">
        <v>3250</v>
      </c>
      <c r="B244"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44" s="98" t="str">
        <f>"
Do not answer this question if the scheme is using a ‘Pre and post retirement’ discount methodology ("&amp;Questions!$D$134&amp;").
"</f>
        <v xml:space="preserve">
Do not answer this question if the scheme is using a ‘Pre and post retirement’ discount methodology (DR 2.0).
</v>
      </c>
      <c r="D244"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44" s="98" t="str">
        <f>"
Do not answer this question if the scheme is using a ‘Pre and post retirement’ discount methodology ("&amp;Questions!$D$134&amp;").
"</f>
        <v xml:space="preserve">
Do not answer this question if the scheme is using a ‘Pre and post retirement’ discount methodology (DR 2.0).
</v>
      </c>
      <c r="F244" s="98" t="str">
        <f>"
Do not answer this question if the scheme is a small scheme providing a spot rate  ("&amp;Questions!$D$3&amp;").
"</f>
        <v xml:space="preserve">
Do not answer this question if the scheme is a small scheme providing a spot rate  (SH 11.0).
</v>
      </c>
      <c r="G244" s="98" t="str">
        <f t="shared" si="8"/>
        <v xml:space="preserve">
Please state a percentage that is greater than or equal to -10 followed by the % sign
</v>
      </c>
      <c r="H244" s="98" t="str">
        <f t="shared" si="9"/>
        <v xml:space="preserve">
Please state a percentage that is less than or equal to 10 followed by the % sign
</v>
      </c>
      <c r="I244" s="92"/>
      <c r="J244" s="92"/>
    </row>
    <row r="245" spans="1:10" ht="77.5">
      <c r="A245" s="185" t="s">
        <v>3251</v>
      </c>
      <c r="B245"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45" s="98" t="str">
        <f>"
Do not answer this question if the scheme is using a ‘Pre and post retirement’ discount methodology ("&amp;Questions!$D$134&amp;").
"</f>
        <v xml:space="preserve">
Do not answer this question if the scheme is using a ‘Pre and post retirement’ discount methodology (DR 2.0).
</v>
      </c>
      <c r="D245"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45" s="98" t="str">
        <f>"
Do not answer this question if the scheme is using a ‘Pre and post retirement’ discount methodology ("&amp;Questions!$D$134&amp;").
"</f>
        <v xml:space="preserve">
Do not answer this question if the scheme is using a ‘Pre and post retirement’ discount methodology (DR 2.0).
</v>
      </c>
      <c r="F245" s="98" t="str">
        <f>"
Do not answer this question if the scheme is a small scheme providing a spot rate  ("&amp;Questions!$D$3&amp;").
"</f>
        <v xml:space="preserve">
Do not answer this question if the scheme is a small scheme providing a spot rate  (SH 11.0).
</v>
      </c>
      <c r="G245" s="98" t="str">
        <f t="shared" si="8"/>
        <v xml:space="preserve">
Please state a percentage that is greater than or equal to -10 followed by the % sign
</v>
      </c>
      <c r="H245" s="98" t="str">
        <f t="shared" si="9"/>
        <v xml:space="preserve">
Please state a percentage that is less than or equal to 10 followed by the % sign
</v>
      </c>
      <c r="I245" s="92"/>
      <c r="J245" s="92"/>
    </row>
    <row r="246" spans="1:10" ht="77.5">
      <c r="A246" s="185" t="s">
        <v>3252</v>
      </c>
      <c r="B246"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46" s="98" t="str">
        <f>"
Do not answer this question if the scheme is using a ‘Pre and post retirement’ discount methodology ("&amp;Questions!$D$134&amp;").
"</f>
        <v xml:space="preserve">
Do not answer this question if the scheme is using a ‘Pre and post retirement’ discount methodology (DR 2.0).
</v>
      </c>
      <c r="D246"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46" s="98" t="str">
        <f>"
Do not answer this question if the scheme is using a ‘Pre and post retirement’ discount methodology ("&amp;Questions!$D$134&amp;").
"</f>
        <v xml:space="preserve">
Do not answer this question if the scheme is using a ‘Pre and post retirement’ discount methodology (DR 2.0).
</v>
      </c>
      <c r="F246" s="98" t="str">
        <f>"
Do not answer this question if the scheme is a small scheme providing a spot rate  ("&amp;Questions!$D$3&amp;").
"</f>
        <v xml:space="preserve">
Do not answer this question if the scheme is a small scheme providing a spot rate  (SH 11.0).
</v>
      </c>
      <c r="G246" s="98" t="str">
        <f t="shared" si="8"/>
        <v xml:space="preserve">
Please state a percentage that is greater than or equal to -10 followed by the % sign
</v>
      </c>
      <c r="H246" s="98" t="str">
        <f t="shared" si="9"/>
        <v xml:space="preserve">
Please state a percentage that is less than or equal to 10 followed by the % sign
</v>
      </c>
      <c r="I246" s="92"/>
      <c r="J246" s="92"/>
    </row>
    <row r="247" spans="1:10" ht="77.5">
      <c r="A247" s="185" t="s">
        <v>3253</v>
      </c>
      <c r="B247"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47" s="98" t="str">
        <f>"
Do not answer this question if the scheme is using a ‘Pre and post retirement’ discount methodology ("&amp;Questions!$D$134&amp;").
"</f>
        <v xml:space="preserve">
Do not answer this question if the scheme is using a ‘Pre and post retirement’ discount methodology (DR 2.0).
</v>
      </c>
      <c r="D247"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47" s="98" t="str">
        <f>"
Do not answer this question if the scheme is using a ‘Pre and post retirement’ discount methodology ("&amp;Questions!$D$134&amp;").
"</f>
        <v xml:space="preserve">
Do not answer this question if the scheme is using a ‘Pre and post retirement’ discount methodology (DR 2.0).
</v>
      </c>
      <c r="F247" s="98" t="str">
        <f>"
Do not answer this question if the scheme is a small scheme providing a spot rate  ("&amp;Questions!$D$3&amp;").
"</f>
        <v xml:space="preserve">
Do not answer this question if the scheme is a small scheme providing a spot rate  (SH 11.0).
</v>
      </c>
      <c r="G247" s="98" t="str">
        <f t="shared" si="8"/>
        <v xml:space="preserve">
Please state a percentage that is greater than or equal to -10 followed by the % sign
</v>
      </c>
      <c r="H247" s="98" t="str">
        <f t="shared" si="9"/>
        <v xml:space="preserve">
Please state a percentage that is less than or equal to 10 followed by the % sign
</v>
      </c>
      <c r="I247" s="92"/>
      <c r="J247" s="92"/>
    </row>
    <row r="248" spans="1:10" ht="77.5">
      <c r="A248" s="185" t="s">
        <v>3254</v>
      </c>
      <c r="B248"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48" s="98" t="str">
        <f>"
Do not answer this question if the scheme is using a ‘Pre and post retirement’ discount methodology ("&amp;Questions!$D$134&amp;").
"</f>
        <v xml:space="preserve">
Do not answer this question if the scheme is using a ‘Pre and post retirement’ discount methodology (DR 2.0).
</v>
      </c>
      <c r="D248"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48" s="98" t="str">
        <f>"
Do not answer this question if the scheme is using a ‘Pre and post retirement’ discount methodology ("&amp;Questions!$D$134&amp;").
"</f>
        <v xml:space="preserve">
Do not answer this question if the scheme is using a ‘Pre and post retirement’ discount methodology (DR 2.0).
</v>
      </c>
      <c r="F248" s="98" t="str">
        <f>"
Do not answer this question if the scheme is a small scheme providing a spot rate  ("&amp;Questions!$D$3&amp;").
"</f>
        <v xml:space="preserve">
Do not answer this question if the scheme is a small scheme providing a spot rate  (SH 11.0).
</v>
      </c>
      <c r="G248" s="98" t="str">
        <f t="shared" si="8"/>
        <v xml:space="preserve">
Please state a percentage that is greater than or equal to -10 followed by the % sign
</v>
      </c>
      <c r="H248" s="98" t="str">
        <f t="shared" si="9"/>
        <v xml:space="preserve">
Please state a percentage that is less than or equal to 10 followed by the % sign
</v>
      </c>
      <c r="I248" s="92"/>
      <c r="J248" s="92"/>
    </row>
    <row r="249" spans="1:10" ht="77.5">
      <c r="A249" s="185" t="s">
        <v>3255</v>
      </c>
      <c r="B249"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49" s="98" t="str">
        <f>"
Do not answer this question if the scheme is using a ‘Pre and post retirement’ discount methodology ("&amp;Questions!$D$134&amp;").
"</f>
        <v xml:space="preserve">
Do not answer this question if the scheme is using a ‘Pre and post retirement’ discount methodology (DR 2.0).
</v>
      </c>
      <c r="D249"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49" s="98" t="str">
        <f>"
Do not answer this question if the scheme is using a ‘Pre and post retirement’ discount methodology ("&amp;Questions!$D$134&amp;").
"</f>
        <v xml:space="preserve">
Do not answer this question if the scheme is using a ‘Pre and post retirement’ discount methodology (DR 2.0).
</v>
      </c>
      <c r="F249" s="98" t="str">
        <f>"
Do not answer this question if the scheme is a small scheme providing a spot rate  ("&amp;Questions!$D$3&amp;").
"</f>
        <v xml:space="preserve">
Do not answer this question if the scheme is a small scheme providing a spot rate  (SH 11.0).
</v>
      </c>
      <c r="G249" s="98" t="str">
        <f t="shared" si="8"/>
        <v xml:space="preserve">
Please state a percentage that is greater than or equal to -10 followed by the % sign
</v>
      </c>
      <c r="H249" s="98" t="str">
        <f t="shared" si="9"/>
        <v xml:space="preserve">
Please state a percentage that is less than or equal to 10 followed by the % sign
</v>
      </c>
      <c r="I249" s="92"/>
      <c r="J249" s="92"/>
    </row>
    <row r="250" spans="1:10" ht="77.5">
      <c r="A250" s="185" t="s">
        <v>3256</v>
      </c>
      <c r="B250"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50" s="98" t="str">
        <f>"
Do not answer this question if the scheme is using a ‘Pre and post retirement’ discount methodology ("&amp;Questions!$D$134&amp;").
"</f>
        <v xml:space="preserve">
Do not answer this question if the scheme is using a ‘Pre and post retirement’ discount methodology (DR 2.0).
</v>
      </c>
      <c r="D250"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50" s="98" t="str">
        <f>"
Do not answer this question if the scheme is using a ‘Pre and post retirement’ discount methodology ("&amp;Questions!$D$134&amp;").
"</f>
        <v xml:space="preserve">
Do not answer this question if the scheme is using a ‘Pre and post retirement’ discount methodology (DR 2.0).
</v>
      </c>
      <c r="F250" s="98" t="str">
        <f>"
Do not answer this question if the scheme is a small scheme providing a spot rate  ("&amp;Questions!$D$3&amp;").
"</f>
        <v xml:space="preserve">
Do not answer this question if the scheme is a small scheme providing a spot rate  (SH 11.0).
</v>
      </c>
      <c r="G250" s="98" t="str">
        <f t="shared" si="8"/>
        <v xml:space="preserve">
Please state a percentage that is greater than or equal to -10 followed by the % sign
</v>
      </c>
      <c r="H250" s="98" t="str">
        <f t="shared" si="9"/>
        <v xml:space="preserve">
Please state a percentage that is less than or equal to 10 followed by the % sign
</v>
      </c>
      <c r="I250" s="92"/>
      <c r="J250" s="92"/>
    </row>
    <row r="251" spans="1:10" ht="77.5">
      <c r="A251" s="185" t="s">
        <v>3257</v>
      </c>
      <c r="B251"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51" s="98" t="str">
        <f>"
Do not answer this question if the scheme is using a ‘Pre and post retirement’ discount methodology ("&amp;Questions!$D$134&amp;").
"</f>
        <v xml:space="preserve">
Do not answer this question if the scheme is using a ‘Pre and post retirement’ discount methodology (DR 2.0).
</v>
      </c>
      <c r="D251"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51" s="98" t="str">
        <f>"
Do not answer this question if the scheme is using a ‘Pre and post retirement’ discount methodology ("&amp;Questions!$D$134&amp;").
"</f>
        <v xml:space="preserve">
Do not answer this question if the scheme is using a ‘Pre and post retirement’ discount methodology (DR 2.0).
</v>
      </c>
      <c r="F251" s="98" t="str">
        <f>"
Do not answer this question if the scheme is a small scheme providing a spot rate  ("&amp;Questions!$D$3&amp;").
"</f>
        <v xml:space="preserve">
Do not answer this question if the scheme is a small scheme providing a spot rate  (SH 11.0).
</v>
      </c>
      <c r="G251" s="98" t="str">
        <f t="shared" si="8"/>
        <v xml:space="preserve">
Please state a percentage that is greater than or equal to -10 followed by the % sign
</v>
      </c>
      <c r="H251" s="98" t="str">
        <f t="shared" si="9"/>
        <v xml:space="preserve">
Please state a percentage that is less than or equal to 10 followed by the % sign
</v>
      </c>
      <c r="I251" s="92"/>
      <c r="J251" s="92"/>
    </row>
    <row r="252" spans="1:10" ht="77.5">
      <c r="A252" s="185" t="s">
        <v>3258</v>
      </c>
      <c r="B252"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52" s="98" t="str">
        <f>"
Do not answer this question if the scheme is using a ‘Pre and post retirement’ discount methodology ("&amp;Questions!$D$134&amp;").
"</f>
        <v xml:space="preserve">
Do not answer this question if the scheme is using a ‘Pre and post retirement’ discount methodology (DR 2.0).
</v>
      </c>
      <c r="D252"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52" s="98" t="str">
        <f>"
Do not answer this question if the scheme is using a ‘Pre and post retirement’ discount methodology ("&amp;Questions!$D$134&amp;").
"</f>
        <v xml:space="preserve">
Do not answer this question if the scheme is using a ‘Pre and post retirement’ discount methodology (DR 2.0).
</v>
      </c>
      <c r="F252" s="98" t="str">
        <f>"
Do not answer this question if the scheme is a small scheme providing a spot rate  ("&amp;Questions!$D$3&amp;").
"</f>
        <v xml:space="preserve">
Do not answer this question if the scheme is a small scheme providing a spot rate  (SH 11.0).
</v>
      </c>
      <c r="G252" s="98" t="str">
        <f t="shared" si="8"/>
        <v xml:space="preserve">
Please state a percentage that is greater than or equal to -10 followed by the % sign
</v>
      </c>
      <c r="H252" s="98" t="str">
        <f t="shared" si="9"/>
        <v xml:space="preserve">
Please state a percentage that is less than or equal to 10 followed by the % sign
</v>
      </c>
      <c r="I252" s="92"/>
      <c r="J252" s="92"/>
    </row>
    <row r="253" spans="1:10" ht="77.5">
      <c r="A253" s="185" t="s">
        <v>3259</v>
      </c>
      <c r="B253"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C253" s="98" t="str">
        <f>"
Do not answer this question if the scheme is using a ‘Pre and post retirement’ discount methodology ("&amp;Questions!$D$134&amp;").
"</f>
        <v xml:space="preserve">
Do not answer this question if the scheme is using a ‘Pre and post retirement’ discount methodology (DR 2.0).
</v>
      </c>
      <c r="D253" s="98" t="str">
        <f>"
You must answer this question if the scheme is not using a ‘Pre and post retirement’ discount methodology ("&amp;Questions!$D$134&amp;") (unless it is a small scheme providing a spot rate ("&amp;Questions!$D$3&amp;")).
"</f>
        <v xml:space="preserve">
You must answer this question if the scheme is not using a ‘Pre and post retirement’ discount methodology (DR 2.0) (unless it is a small scheme providing a spot rate (SH 11.0)).
</v>
      </c>
      <c r="E253" s="98" t="str">
        <f>"
Do not answer this question if the scheme is using a ‘Pre and post retirement’ discount methodology ("&amp;Questions!$D$134&amp;").
"</f>
        <v xml:space="preserve">
Do not answer this question if the scheme is using a ‘Pre and post retirement’ discount methodology (DR 2.0).
</v>
      </c>
      <c r="F253" s="98" t="str">
        <f>"
Do not answer this question if the scheme is a small scheme providing a spot rate  ("&amp;Questions!$D$3&amp;").
"</f>
        <v xml:space="preserve">
Do not answer this question if the scheme is a small scheme providing a spot rate  (SH 11.0).
</v>
      </c>
      <c r="G253" s="98" t="str">
        <f t="shared" si="8"/>
        <v xml:space="preserve">
Please state a percentage that is greater than or equal to -10 followed by the % sign
</v>
      </c>
      <c r="H253" s="98" t="str">
        <f t="shared" si="9"/>
        <v xml:space="preserve">
Please state a percentage that is less than or equal to 10 followed by the % sign
</v>
      </c>
      <c r="I253" s="92"/>
      <c r="J253" s="92"/>
    </row>
    <row r="254" spans="1:10" ht="77.5">
      <c r="A254" s="185" t="s">
        <v>3260</v>
      </c>
      <c r="B254" s="9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54" s="98" t="str">
        <f>"
Do not answer this question if there is no benefit revaluation or indexation linked to RPI ("&amp;Questions!$D$138&amp;").
"</f>
        <v xml:space="preserve">
Do not answer this question if there is no benefit revaluation or indexation linked to RPI (OAS 1.0).
</v>
      </c>
      <c r="D254" s="9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54" s="98" t="str">
        <f>"
Do not answer this question if there is no benefit revaluation or indexation linked to RPI ("&amp;Questions!$D$138&amp;").
"</f>
        <v xml:space="preserve">
Do not answer this question if there is no benefit revaluation or indexation linked to RPI (OAS 1.0).
</v>
      </c>
      <c r="F254" s="98" t="str">
        <f>"
Do not answer this question if the scheme is a small scheme providing a spot rate  ("&amp;Questions!$D$3&amp;").
"</f>
        <v xml:space="preserve">
Do not answer this question if the scheme is a small scheme providing a spot rate  (SH 11.0).
</v>
      </c>
      <c r="G254" s="98" t="str">
        <f t="shared" ref="G254:G293" si="10">"
Please state a percentage that is greater than or equal to -25 followed by the % sign
"</f>
        <v xml:space="preserve">
Please state a percentage that is greater than or equal to -25 followed by the % sign
</v>
      </c>
      <c r="H254" s="98" t="str">
        <f t="shared" ref="H254:H293" si="11">"
Please state a percentage that is less than or equal to 25 followed by the % sign
"</f>
        <v xml:space="preserve">
Please state a percentage that is less than or equal to 25 followed by the % sign
</v>
      </c>
      <c r="I254" s="92"/>
      <c r="J254" s="92"/>
    </row>
    <row r="255" spans="1:10" ht="77.5">
      <c r="A255" s="185" t="s">
        <v>3261</v>
      </c>
      <c r="B255" s="9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55" s="98" t="str">
        <f>"
Do not answer this question if there is no benefit revaluation or indexation linked to RPI ("&amp;Questions!$D$138&amp;").
"</f>
        <v xml:space="preserve">
Do not answer this question if there is no benefit revaluation or indexation linked to RPI (OAS 1.0).
</v>
      </c>
      <c r="D255" s="9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55" s="98" t="str">
        <f>"
Do not answer this question if there is no benefit revaluation or indexation linked to RPI ("&amp;Questions!$D$138&amp;").
"</f>
        <v xml:space="preserve">
Do not answer this question if there is no benefit revaluation or indexation linked to RPI (OAS 1.0).
</v>
      </c>
      <c r="F255" s="98" t="str">
        <f>"
Do not answer this question if the scheme is a small scheme providing a spot rate  ("&amp;Questions!$D$3&amp;").
"</f>
        <v xml:space="preserve">
Do not answer this question if the scheme is a small scheme providing a spot rate  (SH 11.0).
</v>
      </c>
      <c r="G255" s="98" t="str">
        <f t="shared" si="10"/>
        <v xml:space="preserve">
Please state a percentage that is greater than or equal to -25 followed by the % sign
</v>
      </c>
      <c r="H255" s="98" t="str">
        <f t="shared" si="11"/>
        <v xml:space="preserve">
Please state a percentage that is less than or equal to 25 followed by the % sign
</v>
      </c>
      <c r="I255" s="92"/>
      <c r="J255" s="92"/>
    </row>
    <row r="256" spans="1:10" ht="77.5">
      <c r="A256" s="185" t="s">
        <v>3262</v>
      </c>
      <c r="B256" s="9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56" s="98" t="str">
        <f>"
Do not answer this question if there is no benefit revaluation or indexation linked to RPI ("&amp;Questions!$D$138&amp;").
"</f>
        <v xml:space="preserve">
Do not answer this question if there is no benefit revaluation or indexation linked to RPI (OAS 1.0).
</v>
      </c>
      <c r="D256" s="9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56" s="98" t="str">
        <f>"
Do not answer this question if there is no benefit revaluation or indexation linked to RPI ("&amp;Questions!$D$138&amp;").
"</f>
        <v xml:space="preserve">
Do not answer this question if there is no benefit revaluation or indexation linked to RPI (OAS 1.0).
</v>
      </c>
      <c r="F256" s="98" t="str">
        <f>"
Do not answer this question if the scheme is a small scheme providing a spot rate  ("&amp;Questions!$D$3&amp;").
"</f>
        <v xml:space="preserve">
Do not answer this question if the scheme is a small scheme providing a spot rate  (SH 11.0).
</v>
      </c>
      <c r="G256" s="98" t="str">
        <f t="shared" si="10"/>
        <v xml:space="preserve">
Please state a percentage that is greater than or equal to -25 followed by the % sign
</v>
      </c>
      <c r="H256" s="98" t="str">
        <f t="shared" si="11"/>
        <v xml:space="preserve">
Please state a percentage that is less than or equal to 25 followed by the % sign
</v>
      </c>
      <c r="I256" s="92"/>
      <c r="J256" s="92"/>
    </row>
    <row r="257" spans="1:10" ht="77.5">
      <c r="A257" s="185" t="s">
        <v>3263</v>
      </c>
      <c r="B257" s="9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57" s="98" t="str">
        <f>"
Do not answer this question if there is no benefit revaluation or indexation linked to RPI ("&amp;Questions!$D$138&amp;").
"</f>
        <v xml:space="preserve">
Do not answer this question if there is no benefit revaluation or indexation linked to RPI (OAS 1.0).
</v>
      </c>
      <c r="D257" s="9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57" s="98" t="str">
        <f>"
Do not answer this question if there is no benefit revaluation or indexation linked to RPI ("&amp;Questions!$D$138&amp;").
"</f>
        <v xml:space="preserve">
Do not answer this question if there is no benefit revaluation or indexation linked to RPI (OAS 1.0).
</v>
      </c>
      <c r="F257" s="98" t="str">
        <f>"
Do not answer this question if the scheme is a small scheme providing a spot rate  ("&amp;Questions!$D$3&amp;").
"</f>
        <v xml:space="preserve">
Do not answer this question if the scheme is a small scheme providing a spot rate  (SH 11.0).
</v>
      </c>
      <c r="G257" s="98" t="str">
        <f t="shared" si="10"/>
        <v xml:space="preserve">
Please state a percentage that is greater than or equal to -25 followed by the % sign
</v>
      </c>
      <c r="H257" s="98" t="str">
        <f t="shared" si="11"/>
        <v xml:space="preserve">
Please state a percentage that is less than or equal to 25 followed by the % sign
</v>
      </c>
      <c r="I257" s="92"/>
      <c r="J257" s="92"/>
    </row>
    <row r="258" spans="1:10" ht="77.5">
      <c r="A258" s="185" t="s">
        <v>3264</v>
      </c>
      <c r="B258" s="9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58" s="98" t="str">
        <f>"
Do not answer this question if there is no benefit revaluation or indexation linked to RPI ("&amp;Questions!$D$138&amp;").
"</f>
        <v xml:space="preserve">
Do not answer this question if there is no benefit revaluation or indexation linked to RPI (OAS 1.0).
</v>
      </c>
      <c r="D258" s="9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58" s="98" t="str">
        <f>"
Do not answer this question if there is no benefit revaluation or indexation linked to RPI ("&amp;Questions!$D$138&amp;").
"</f>
        <v xml:space="preserve">
Do not answer this question if there is no benefit revaluation or indexation linked to RPI (OAS 1.0).
</v>
      </c>
      <c r="F258" s="98" t="str">
        <f>"
Do not answer this question if the scheme is a small scheme providing a spot rate  ("&amp;Questions!$D$3&amp;").
"</f>
        <v xml:space="preserve">
Do not answer this question if the scheme is a small scheme providing a spot rate  (SH 11.0).
</v>
      </c>
      <c r="G258" s="98" t="str">
        <f t="shared" si="10"/>
        <v xml:space="preserve">
Please state a percentage that is greater than or equal to -25 followed by the % sign
</v>
      </c>
      <c r="H258" s="98" t="str">
        <f t="shared" si="11"/>
        <v xml:space="preserve">
Please state a percentage that is less than or equal to 25 followed by the % sign
</v>
      </c>
      <c r="I258" s="92"/>
      <c r="J258" s="92"/>
    </row>
    <row r="259" spans="1:10" ht="77.5">
      <c r="A259" s="185" t="s">
        <v>3265</v>
      </c>
      <c r="B259" s="9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59" s="98" t="str">
        <f>"
Do not answer this question if there is no benefit revaluation or indexation linked to RPI ("&amp;Questions!$D$138&amp;").
"</f>
        <v xml:space="preserve">
Do not answer this question if there is no benefit revaluation or indexation linked to RPI (OAS 1.0).
</v>
      </c>
      <c r="D259" s="9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59" s="98" t="str">
        <f>"
Do not answer this question if there is no benefit revaluation or indexation linked to RPI ("&amp;Questions!$D$138&amp;").
"</f>
        <v xml:space="preserve">
Do not answer this question if there is no benefit revaluation or indexation linked to RPI (OAS 1.0).
</v>
      </c>
      <c r="F259" s="98" t="str">
        <f>"
Do not answer this question if the scheme is a small scheme providing a spot rate  ("&amp;Questions!$D$3&amp;").
"</f>
        <v xml:space="preserve">
Do not answer this question if the scheme is a small scheme providing a spot rate  (SH 11.0).
</v>
      </c>
      <c r="G259" s="98" t="str">
        <f t="shared" si="10"/>
        <v xml:space="preserve">
Please state a percentage that is greater than or equal to -25 followed by the % sign
</v>
      </c>
      <c r="H259" s="98" t="str">
        <f t="shared" si="11"/>
        <v xml:space="preserve">
Please state a percentage that is less than or equal to 25 followed by the % sign
</v>
      </c>
      <c r="I259" s="92"/>
      <c r="J259" s="92"/>
    </row>
    <row r="260" spans="1:10" ht="77.5">
      <c r="A260" s="185" t="s">
        <v>3266</v>
      </c>
      <c r="B260" s="9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60" s="98" t="str">
        <f>"
Do not answer this question if there is no benefit revaluation or indexation linked to RPI ("&amp;Questions!$D$138&amp;").
"</f>
        <v xml:space="preserve">
Do not answer this question if there is no benefit revaluation or indexation linked to RPI (OAS 1.0).
</v>
      </c>
      <c r="D260" s="9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60" s="98" t="str">
        <f>"
Do not answer this question if there is no benefit revaluation or indexation linked to RPI ("&amp;Questions!$D$138&amp;").
"</f>
        <v xml:space="preserve">
Do not answer this question if there is no benefit revaluation or indexation linked to RPI (OAS 1.0).
</v>
      </c>
      <c r="F260" s="98" t="str">
        <f>"
Do not answer this question if the scheme is a small scheme providing a spot rate  ("&amp;Questions!$D$3&amp;").
"</f>
        <v xml:space="preserve">
Do not answer this question if the scheme is a small scheme providing a spot rate  (SH 11.0).
</v>
      </c>
      <c r="G260" s="98" t="str">
        <f t="shared" si="10"/>
        <v xml:space="preserve">
Please state a percentage that is greater than or equal to -25 followed by the % sign
</v>
      </c>
      <c r="H260" s="98" t="str">
        <f t="shared" si="11"/>
        <v xml:space="preserve">
Please state a percentage that is less than or equal to 25 followed by the % sign
</v>
      </c>
      <c r="I260" s="92"/>
      <c r="J260" s="92"/>
    </row>
    <row r="261" spans="1:10" ht="77.5">
      <c r="A261" s="185" t="s">
        <v>3267</v>
      </c>
      <c r="B261" s="9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61" s="98" t="str">
        <f>"
Do not answer this question if there is no benefit revaluation or indexation linked to RPI ("&amp;Questions!$D$138&amp;").
"</f>
        <v xml:space="preserve">
Do not answer this question if there is no benefit revaluation or indexation linked to RPI (OAS 1.0).
</v>
      </c>
      <c r="D261" s="9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61" s="98" t="str">
        <f>"
Do not answer this question if there is no benefit revaluation or indexation linked to RPI ("&amp;Questions!$D$138&amp;").
"</f>
        <v xml:space="preserve">
Do not answer this question if there is no benefit revaluation or indexation linked to RPI (OAS 1.0).
</v>
      </c>
      <c r="F261" s="98" t="str">
        <f>"
Do not answer this question if the scheme is a small scheme providing a spot rate  ("&amp;Questions!$D$3&amp;").
"</f>
        <v xml:space="preserve">
Do not answer this question if the scheme is a small scheme providing a spot rate  (SH 11.0).
</v>
      </c>
      <c r="G261" s="98" t="str">
        <f t="shared" si="10"/>
        <v xml:space="preserve">
Please state a percentage that is greater than or equal to -25 followed by the % sign
</v>
      </c>
      <c r="H261" s="98" t="str">
        <f t="shared" si="11"/>
        <v xml:space="preserve">
Please state a percentage that is less than or equal to 25 followed by the % sign
</v>
      </c>
      <c r="I261" s="92"/>
      <c r="J261" s="92"/>
    </row>
    <row r="262" spans="1:10" ht="77.5">
      <c r="A262" s="185" t="s">
        <v>3268</v>
      </c>
      <c r="B262" s="9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62" s="98" t="str">
        <f>"
Do not answer this question if there is no benefit revaluation or indexation linked to RPI ("&amp;Questions!$D$138&amp;").
"</f>
        <v xml:space="preserve">
Do not answer this question if there is no benefit revaluation or indexation linked to RPI (OAS 1.0).
</v>
      </c>
      <c r="D262" s="9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62" s="98" t="str">
        <f>"
Do not answer this question if there is no benefit revaluation or indexation linked to RPI ("&amp;Questions!$D$138&amp;").
"</f>
        <v xml:space="preserve">
Do not answer this question if there is no benefit revaluation or indexation linked to RPI (OAS 1.0).
</v>
      </c>
      <c r="F262" s="98" t="str">
        <f>"
Do not answer this question if the scheme is a small scheme providing a spot rate  ("&amp;Questions!$D$3&amp;").
"</f>
        <v xml:space="preserve">
Do not answer this question if the scheme is a small scheme providing a spot rate  (SH 11.0).
</v>
      </c>
      <c r="G262" s="98" t="str">
        <f t="shared" si="10"/>
        <v xml:space="preserve">
Please state a percentage that is greater than or equal to -25 followed by the % sign
</v>
      </c>
      <c r="H262" s="98" t="str">
        <f t="shared" si="11"/>
        <v xml:space="preserve">
Please state a percentage that is less than or equal to 25 followed by the % sign
</v>
      </c>
      <c r="I262" s="92"/>
      <c r="J262" s="92"/>
    </row>
    <row r="263" spans="1:10" ht="77.5">
      <c r="A263" s="185" t="s">
        <v>3269</v>
      </c>
      <c r="B263" s="9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63" s="98" t="str">
        <f>"
Do not answer this question if there is no benefit revaluation or indexation linked to RPI ("&amp;Questions!$D$138&amp;").
"</f>
        <v xml:space="preserve">
Do not answer this question if there is no benefit revaluation or indexation linked to RPI (OAS 1.0).
</v>
      </c>
      <c r="D263" s="9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63" s="98" t="str">
        <f>"
Do not answer this question if there is no benefit revaluation or indexation linked to RPI ("&amp;Questions!$D$138&amp;").
"</f>
        <v xml:space="preserve">
Do not answer this question if there is no benefit revaluation or indexation linked to RPI (OAS 1.0).
</v>
      </c>
      <c r="F263" s="98" t="str">
        <f>"
Do not answer this question if the scheme is a small scheme providing a spot rate  ("&amp;Questions!$D$3&amp;").
"</f>
        <v xml:space="preserve">
Do not answer this question if the scheme is a small scheme providing a spot rate  (SH 11.0).
</v>
      </c>
      <c r="G263" s="98" t="str">
        <f t="shared" si="10"/>
        <v xml:space="preserve">
Please state a percentage that is greater than or equal to -25 followed by the % sign
</v>
      </c>
      <c r="H263" s="98" t="str">
        <f t="shared" si="11"/>
        <v xml:space="preserve">
Please state a percentage that is less than or equal to 25 followed by the % sign
</v>
      </c>
      <c r="I263" s="92"/>
      <c r="J263" s="92"/>
    </row>
    <row r="264" spans="1:10" ht="77.5">
      <c r="A264" s="185" t="s">
        <v>3270</v>
      </c>
      <c r="B264" s="9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64" s="98" t="str">
        <f>"
Do not answer this question if there is no benefit revaluation or indexation linked to RPI ("&amp;Questions!$D$138&amp;").
"</f>
        <v xml:space="preserve">
Do not answer this question if there is no benefit revaluation or indexation linked to RPI (OAS 1.0).
</v>
      </c>
      <c r="D264" s="9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64" s="98" t="str">
        <f>"
Do not answer this question if there is no benefit revaluation or indexation linked to RPI ("&amp;Questions!$D$138&amp;").
"</f>
        <v xml:space="preserve">
Do not answer this question if there is no benefit revaluation or indexation linked to RPI (OAS 1.0).
</v>
      </c>
      <c r="F264" s="98" t="str">
        <f>"
Do not answer this question if the scheme is a small scheme providing a spot rate  ("&amp;Questions!$D$3&amp;").
"</f>
        <v xml:space="preserve">
Do not answer this question if the scheme is a small scheme providing a spot rate  (SH 11.0).
</v>
      </c>
      <c r="G264" s="98" t="str">
        <f t="shared" si="10"/>
        <v xml:space="preserve">
Please state a percentage that is greater than or equal to -25 followed by the % sign
</v>
      </c>
      <c r="H264" s="98" t="str">
        <f t="shared" si="11"/>
        <v xml:space="preserve">
Please state a percentage that is less than or equal to 25 followed by the % sign
</v>
      </c>
      <c r="I264" s="92"/>
      <c r="J264" s="92"/>
    </row>
    <row r="265" spans="1:10" ht="77.5">
      <c r="A265" s="185" t="s">
        <v>3271</v>
      </c>
      <c r="B265" s="9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65" s="98" t="str">
        <f>"
Do not answer this question if there is no benefit revaluation or indexation linked to RPI ("&amp;Questions!$D$138&amp;").
"</f>
        <v xml:space="preserve">
Do not answer this question if there is no benefit revaluation or indexation linked to RPI (OAS 1.0).
</v>
      </c>
      <c r="D265" s="9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65" s="98" t="str">
        <f>"
Do not answer this question if there is no benefit revaluation or indexation linked to RPI ("&amp;Questions!$D$138&amp;").
"</f>
        <v xml:space="preserve">
Do not answer this question if there is no benefit revaluation or indexation linked to RPI (OAS 1.0).
</v>
      </c>
      <c r="F265" s="98" t="str">
        <f>"
Do not answer this question if the scheme is a small scheme providing a spot rate  ("&amp;Questions!$D$3&amp;").
"</f>
        <v xml:space="preserve">
Do not answer this question if the scheme is a small scheme providing a spot rate  (SH 11.0).
</v>
      </c>
      <c r="G265" s="98" t="str">
        <f t="shared" si="10"/>
        <v xml:space="preserve">
Please state a percentage that is greater than or equal to -25 followed by the % sign
</v>
      </c>
      <c r="H265" s="98" t="str">
        <f t="shared" si="11"/>
        <v xml:space="preserve">
Please state a percentage that is less than or equal to 25 followed by the % sign
</v>
      </c>
      <c r="I265" s="92"/>
      <c r="J265" s="92"/>
    </row>
    <row r="266" spans="1:10" ht="77.5">
      <c r="A266" s="185" t="s">
        <v>3272</v>
      </c>
      <c r="B266" s="9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66" s="98" t="str">
        <f>"
Do not answer this question if there is no benefit revaluation or indexation linked to RPI ("&amp;Questions!$D$138&amp;").
"</f>
        <v xml:space="preserve">
Do not answer this question if there is no benefit revaluation or indexation linked to RPI (OAS 1.0).
</v>
      </c>
      <c r="D266" s="9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66" s="98" t="str">
        <f>"
Do not answer this question if there is no benefit revaluation or indexation linked to RPI ("&amp;Questions!$D$138&amp;").
"</f>
        <v xml:space="preserve">
Do not answer this question if there is no benefit revaluation or indexation linked to RPI (OAS 1.0).
</v>
      </c>
      <c r="F266" s="98" t="str">
        <f>"
Do not answer this question if the scheme is a small scheme providing a spot rate  ("&amp;Questions!$D$3&amp;").
"</f>
        <v xml:space="preserve">
Do not answer this question if the scheme is a small scheme providing a spot rate  (SH 11.0).
</v>
      </c>
      <c r="G266" s="98" t="str">
        <f t="shared" si="10"/>
        <v xml:space="preserve">
Please state a percentage that is greater than or equal to -25 followed by the % sign
</v>
      </c>
      <c r="H266" s="98" t="str">
        <f t="shared" si="11"/>
        <v xml:space="preserve">
Please state a percentage that is less than or equal to 25 followed by the % sign
</v>
      </c>
      <c r="I266" s="92"/>
      <c r="J266" s="92"/>
    </row>
    <row r="267" spans="1:10" ht="77.5">
      <c r="A267" s="185" t="s">
        <v>3273</v>
      </c>
      <c r="B267" s="9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67" s="98" t="str">
        <f>"
Do not answer this question if there is no benefit revaluation or indexation linked to RPI ("&amp;Questions!$D$138&amp;").
"</f>
        <v xml:space="preserve">
Do not answer this question if there is no benefit revaluation or indexation linked to RPI (OAS 1.0).
</v>
      </c>
      <c r="D267" s="9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67" s="98" t="str">
        <f>"
Do not answer this question if there is no benefit revaluation or indexation linked to RPI ("&amp;Questions!$D$138&amp;").
"</f>
        <v xml:space="preserve">
Do not answer this question if there is no benefit revaluation or indexation linked to RPI (OAS 1.0).
</v>
      </c>
      <c r="F267" s="98" t="str">
        <f>"
Do not answer this question if the scheme is a small scheme providing a spot rate  ("&amp;Questions!$D$3&amp;").
"</f>
        <v xml:space="preserve">
Do not answer this question if the scheme is a small scheme providing a spot rate  (SH 11.0).
</v>
      </c>
      <c r="G267" s="98" t="str">
        <f t="shared" si="10"/>
        <v xml:space="preserve">
Please state a percentage that is greater than or equal to -25 followed by the % sign
</v>
      </c>
      <c r="H267" s="98" t="str">
        <f t="shared" si="11"/>
        <v xml:space="preserve">
Please state a percentage that is less than or equal to 25 followed by the % sign
</v>
      </c>
      <c r="I267" s="92"/>
      <c r="J267" s="92"/>
    </row>
    <row r="268" spans="1:10" ht="77.5">
      <c r="A268" s="185" t="s">
        <v>3274</v>
      </c>
      <c r="B268" s="9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68" s="98" t="str">
        <f>"
Do not answer this question if there is no benefit revaluation or indexation linked to RPI ("&amp;Questions!$D$138&amp;").
"</f>
        <v xml:space="preserve">
Do not answer this question if there is no benefit revaluation or indexation linked to RPI (OAS 1.0).
</v>
      </c>
      <c r="D268" s="9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68" s="98" t="str">
        <f>"
Do not answer this question if there is no benefit revaluation or indexation linked to RPI ("&amp;Questions!$D$138&amp;").
"</f>
        <v xml:space="preserve">
Do not answer this question if there is no benefit revaluation or indexation linked to RPI (OAS 1.0).
</v>
      </c>
      <c r="F268" s="98" t="str">
        <f>"
Do not answer this question if the scheme is a small scheme providing a spot rate  ("&amp;Questions!$D$3&amp;").
"</f>
        <v xml:space="preserve">
Do not answer this question if the scheme is a small scheme providing a spot rate  (SH 11.0).
</v>
      </c>
      <c r="G268" s="98" t="str">
        <f t="shared" si="10"/>
        <v xml:space="preserve">
Please state a percentage that is greater than or equal to -25 followed by the % sign
</v>
      </c>
      <c r="H268" s="98" t="str">
        <f t="shared" si="11"/>
        <v xml:space="preserve">
Please state a percentage that is less than or equal to 25 followed by the % sign
</v>
      </c>
      <c r="I268" s="92"/>
      <c r="J268" s="92"/>
    </row>
    <row r="269" spans="1:10" ht="77.5">
      <c r="A269" s="185" t="s">
        <v>3275</v>
      </c>
      <c r="B269" s="9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69" s="98" t="str">
        <f>"
Do not answer this question if there is no benefit revaluation or indexation linked to RPI ("&amp;Questions!$D$138&amp;").
"</f>
        <v xml:space="preserve">
Do not answer this question if there is no benefit revaluation or indexation linked to RPI (OAS 1.0).
</v>
      </c>
      <c r="D269" s="9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69" s="98" t="str">
        <f>"
Do not answer this question if there is no benefit revaluation or indexation linked to RPI ("&amp;Questions!$D$138&amp;").
"</f>
        <v xml:space="preserve">
Do not answer this question if there is no benefit revaluation or indexation linked to RPI (OAS 1.0).
</v>
      </c>
      <c r="F269" s="98" t="str">
        <f>"
Do not answer this question if the scheme is a small scheme providing a spot rate  ("&amp;Questions!$D$3&amp;").
"</f>
        <v xml:space="preserve">
Do not answer this question if the scheme is a small scheme providing a spot rate  (SH 11.0).
</v>
      </c>
      <c r="G269" s="98" t="str">
        <f t="shared" si="10"/>
        <v xml:space="preserve">
Please state a percentage that is greater than or equal to -25 followed by the % sign
</v>
      </c>
      <c r="H269" s="98" t="str">
        <f t="shared" si="11"/>
        <v xml:space="preserve">
Please state a percentage that is less than or equal to 25 followed by the % sign
</v>
      </c>
      <c r="I269" s="92"/>
      <c r="J269" s="92"/>
    </row>
    <row r="270" spans="1:10" ht="77.5">
      <c r="A270" s="185" t="s">
        <v>3276</v>
      </c>
      <c r="B270" s="9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70" s="98" t="str">
        <f>"
Do not answer this question if there is no benefit revaluation or indexation linked to RPI ("&amp;Questions!$D$138&amp;").
"</f>
        <v xml:space="preserve">
Do not answer this question if there is no benefit revaluation or indexation linked to RPI (OAS 1.0).
</v>
      </c>
      <c r="D270" s="9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70" s="98" t="str">
        <f>"
Do not answer this question if there is no benefit revaluation or indexation linked to RPI ("&amp;Questions!$D$138&amp;").
"</f>
        <v xml:space="preserve">
Do not answer this question if there is no benefit revaluation or indexation linked to RPI (OAS 1.0).
</v>
      </c>
      <c r="F270" s="98" t="str">
        <f>"
Do not answer this question if the scheme is a small scheme providing a spot rate  ("&amp;Questions!$D$3&amp;").
"</f>
        <v xml:space="preserve">
Do not answer this question if the scheme is a small scheme providing a spot rate  (SH 11.0).
</v>
      </c>
      <c r="G270" s="98" t="str">
        <f t="shared" si="10"/>
        <v xml:space="preserve">
Please state a percentage that is greater than or equal to -25 followed by the % sign
</v>
      </c>
      <c r="H270" s="98" t="str">
        <f t="shared" si="11"/>
        <v xml:space="preserve">
Please state a percentage that is less than or equal to 25 followed by the % sign
</v>
      </c>
      <c r="I270" s="92"/>
      <c r="J270" s="92"/>
    </row>
    <row r="271" spans="1:10" ht="77.5">
      <c r="A271" s="185" t="s">
        <v>3277</v>
      </c>
      <c r="B271" s="9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71" s="98" t="str">
        <f>"
Do not answer this question if there is no benefit revaluation or indexation linked to RPI ("&amp;Questions!$D$138&amp;").
"</f>
        <v xml:space="preserve">
Do not answer this question if there is no benefit revaluation or indexation linked to RPI (OAS 1.0).
</v>
      </c>
      <c r="D271" s="9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71" s="98" t="str">
        <f>"
Do not answer this question if there is no benefit revaluation or indexation linked to RPI ("&amp;Questions!$D$138&amp;").
"</f>
        <v xml:space="preserve">
Do not answer this question if there is no benefit revaluation or indexation linked to RPI (OAS 1.0).
</v>
      </c>
      <c r="F271" s="98" t="str">
        <f>"
Do not answer this question if the scheme is a small scheme providing a spot rate  ("&amp;Questions!$D$3&amp;").
"</f>
        <v xml:space="preserve">
Do not answer this question if the scheme is a small scheme providing a spot rate  (SH 11.0).
</v>
      </c>
      <c r="G271" s="98" t="str">
        <f t="shared" si="10"/>
        <v xml:space="preserve">
Please state a percentage that is greater than or equal to -25 followed by the % sign
</v>
      </c>
      <c r="H271" s="98" t="str">
        <f t="shared" si="11"/>
        <v xml:space="preserve">
Please state a percentage that is less than or equal to 25 followed by the % sign
</v>
      </c>
      <c r="I271" s="92"/>
      <c r="J271" s="92"/>
    </row>
    <row r="272" spans="1:10" ht="77.5">
      <c r="A272" s="185" t="s">
        <v>3278</v>
      </c>
      <c r="B272" s="9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72" s="98" t="str">
        <f>"
Do not answer this question if there is no benefit revaluation or indexation linked to RPI ("&amp;Questions!$D$138&amp;").
"</f>
        <v xml:space="preserve">
Do not answer this question if there is no benefit revaluation or indexation linked to RPI (OAS 1.0).
</v>
      </c>
      <c r="D272" s="9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72" s="98" t="str">
        <f>"
Do not answer this question if there is no benefit revaluation or indexation linked to RPI ("&amp;Questions!$D$138&amp;").
"</f>
        <v xml:space="preserve">
Do not answer this question if there is no benefit revaluation or indexation linked to RPI (OAS 1.0).
</v>
      </c>
      <c r="F272" s="98" t="str">
        <f>"
Do not answer this question if the scheme is a small scheme providing a spot rate  ("&amp;Questions!$D$3&amp;").
"</f>
        <v xml:space="preserve">
Do not answer this question if the scheme is a small scheme providing a spot rate  (SH 11.0).
</v>
      </c>
      <c r="G272" s="98" t="str">
        <f t="shared" si="10"/>
        <v xml:space="preserve">
Please state a percentage that is greater than or equal to -25 followed by the % sign
</v>
      </c>
      <c r="H272" s="98" t="str">
        <f t="shared" si="11"/>
        <v xml:space="preserve">
Please state a percentage that is less than or equal to 25 followed by the % sign
</v>
      </c>
      <c r="I272" s="92"/>
      <c r="J272" s="92"/>
    </row>
    <row r="273" spans="1:10" ht="77.5">
      <c r="A273" s="185" t="s">
        <v>3279</v>
      </c>
      <c r="B273" s="9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73" s="98" t="str">
        <f>"
Do not answer this question if there is no benefit revaluation or indexation linked to RPI ("&amp;Questions!$D$138&amp;").
"</f>
        <v xml:space="preserve">
Do not answer this question if there is no benefit revaluation or indexation linked to RPI (OAS 1.0).
</v>
      </c>
      <c r="D273" s="9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73" s="98" t="str">
        <f>"
Do not answer this question if there is no benefit revaluation or indexation linked to RPI ("&amp;Questions!$D$138&amp;").
"</f>
        <v xml:space="preserve">
Do not answer this question if there is no benefit revaluation or indexation linked to RPI (OAS 1.0).
</v>
      </c>
      <c r="F273" s="98" t="str">
        <f>"
Do not answer this question if the scheme is a small scheme providing a spot rate  ("&amp;Questions!$D$3&amp;").
"</f>
        <v xml:space="preserve">
Do not answer this question if the scheme is a small scheme providing a spot rate  (SH 11.0).
</v>
      </c>
      <c r="G273" s="98" t="str">
        <f t="shared" si="10"/>
        <v xml:space="preserve">
Please state a percentage that is greater than or equal to -25 followed by the % sign
</v>
      </c>
      <c r="H273" s="98" t="str">
        <f t="shared" si="11"/>
        <v xml:space="preserve">
Please state a percentage that is less than or equal to 25 followed by the % sign
</v>
      </c>
      <c r="I273" s="92"/>
      <c r="J273" s="92"/>
    </row>
    <row r="274" spans="1:10" ht="77.5">
      <c r="A274" s="185" t="s">
        <v>3280</v>
      </c>
      <c r="B274" s="9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74" s="98" t="str">
        <f>"
Do not answer this question if there is no benefit revaluation or indexation linked to RPI ("&amp;Questions!$D$138&amp;").
"</f>
        <v xml:space="preserve">
Do not answer this question if there is no benefit revaluation or indexation linked to RPI (OAS 1.0).
</v>
      </c>
      <c r="D274" s="9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74" s="98" t="str">
        <f>"
Do not answer this question if there is no benefit revaluation or indexation linked to RPI ("&amp;Questions!$D$138&amp;").
"</f>
        <v xml:space="preserve">
Do not answer this question if there is no benefit revaluation or indexation linked to RPI (OAS 1.0).
</v>
      </c>
      <c r="F274" s="98" t="str">
        <f>"
Do not answer this question if the scheme is a small scheme providing a spot rate  ("&amp;Questions!$D$3&amp;").
"</f>
        <v xml:space="preserve">
Do not answer this question if the scheme is a small scheme providing a spot rate  (SH 11.0).
</v>
      </c>
      <c r="G274" s="98" t="str">
        <f t="shared" si="10"/>
        <v xml:space="preserve">
Please state a percentage that is greater than or equal to -25 followed by the % sign
</v>
      </c>
      <c r="H274" s="98" t="str">
        <f t="shared" si="11"/>
        <v xml:space="preserve">
Please state a percentage that is less than or equal to 25 followed by the % sign
</v>
      </c>
      <c r="I274" s="92"/>
      <c r="J274" s="92"/>
    </row>
    <row r="275" spans="1:10" ht="77.5">
      <c r="A275" s="185" t="s">
        <v>3281</v>
      </c>
      <c r="B275" s="9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75" s="98" t="str">
        <f>"
Do not answer this question if there is no benefit revaluation or indexation linked to RPI ("&amp;Questions!$D$138&amp;").
"</f>
        <v xml:space="preserve">
Do not answer this question if there is no benefit revaluation or indexation linked to RPI (OAS 1.0).
</v>
      </c>
      <c r="D275" s="9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75" s="98" t="str">
        <f>"
Do not answer this question if there is no benefit revaluation or indexation linked to RPI ("&amp;Questions!$D$138&amp;").
"</f>
        <v xml:space="preserve">
Do not answer this question if there is no benefit revaluation or indexation linked to RPI (OAS 1.0).
</v>
      </c>
      <c r="F275" s="98" t="str">
        <f>"
Do not answer this question if the scheme is a small scheme providing a spot rate  ("&amp;Questions!$D$3&amp;").
"</f>
        <v xml:space="preserve">
Do not answer this question if the scheme is a small scheme providing a spot rate  (SH 11.0).
</v>
      </c>
      <c r="G275" s="98" t="str">
        <f t="shared" si="10"/>
        <v xml:space="preserve">
Please state a percentage that is greater than or equal to -25 followed by the % sign
</v>
      </c>
      <c r="H275" s="98" t="str">
        <f t="shared" si="11"/>
        <v xml:space="preserve">
Please state a percentage that is less than or equal to 25 followed by the % sign
</v>
      </c>
      <c r="I275" s="92"/>
      <c r="J275" s="92"/>
    </row>
    <row r="276" spans="1:10" ht="77.5">
      <c r="A276" s="185" t="s">
        <v>3282</v>
      </c>
      <c r="B276" s="9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76" s="98" t="str">
        <f>"
Do not answer this question if there is no benefit revaluation or indexation linked to RPI ("&amp;Questions!$D$138&amp;").
"</f>
        <v xml:space="preserve">
Do not answer this question if there is no benefit revaluation or indexation linked to RPI (OAS 1.0).
</v>
      </c>
      <c r="D276" s="9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76" s="98" t="str">
        <f>"
Do not answer this question if there is no benefit revaluation or indexation linked to RPI ("&amp;Questions!$D$138&amp;").
"</f>
        <v xml:space="preserve">
Do not answer this question if there is no benefit revaluation or indexation linked to RPI (OAS 1.0).
</v>
      </c>
      <c r="F276" s="98" t="str">
        <f>"
Do not answer this question if the scheme is a small scheme providing a spot rate  ("&amp;Questions!$D$3&amp;").
"</f>
        <v xml:space="preserve">
Do not answer this question if the scheme is a small scheme providing a spot rate  (SH 11.0).
</v>
      </c>
      <c r="G276" s="98" t="str">
        <f t="shared" si="10"/>
        <v xml:space="preserve">
Please state a percentage that is greater than or equal to -25 followed by the % sign
</v>
      </c>
      <c r="H276" s="98" t="str">
        <f t="shared" si="11"/>
        <v xml:space="preserve">
Please state a percentage that is less than or equal to 25 followed by the % sign
</v>
      </c>
      <c r="I276" s="92"/>
      <c r="J276" s="92"/>
    </row>
    <row r="277" spans="1:10" ht="77.5">
      <c r="A277" s="185" t="s">
        <v>3283</v>
      </c>
      <c r="B277" s="9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77" s="98" t="str">
        <f>"
Do not answer this question if there is no benefit revaluation or indexation linked to RPI ("&amp;Questions!$D$138&amp;").
"</f>
        <v xml:space="preserve">
Do not answer this question if there is no benefit revaluation or indexation linked to RPI (OAS 1.0).
</v>
      </c>
      <c r="D277" s="9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77" s="98" t="str">
        <f>"
Do not answer this question if there is no benefit revaluation or indexation linked to RPI ("&amp;Questions!$D$138&amp;").
"</f>
        <v xml:space="preserve">
Do not answer this question if there is no benefit revaluation or indexation linked to RPI (OAS 1.0).
</v>
      </c>
      <c r="F277" s="98" t="str">
        <f>"
Do not answer this question if the scheme is a small scheme providing a spot rate  ("&amp;Questions!$D$3&amp;").
"</f>
        <v xml:space="preserve">
Do not answer this question if the scheme is a small scheme providing a spot rate  (SH 11.0).
</v>
      </c>
      <c r="G277" s="98" t="str">
        <f t="shared" si="10"/>
        <v xml:space="preserve">
Please state a percentage that is greater than or equal to -25 followed by the % sign
</v>
      </c>
      <c r="H277" s="98" t="str">
        <f t="shared" si="11"/>
        <v xml:space="preserve">
Please state a percentage that is less than or equal to 25 followed by the % sign
</v>
      </c>
      <c r="I277" s="92"/>
      <c r="J277" s="92"/>
    </row>
    <row r="278" spans="1:10" ht="77.5">
      <c r="A278" s="185" t="s">
        <v>3284</v>
      </c>
      <c r="B278" s="9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78" s="98" t="str">
        <f>"
Do not answer this question if there is no benefit revaluation or indexation linked to RPI ("&amp;Questions!$D$138&amp;").
"</f>
        <v xml:space="preserve">
Do not answer this question if there is no benefit revaluation or indexation linked to RPI (OAS 1.0).
</v>
      </c>
      <c r="D278" s="9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78" s="98" t="str">
        <f>"
Do not answer this question if there is no benefit revaluation or indexation linked to RPI ("&amp;Questions!$D$138&amp;").
"</f>
        <v xml:space="preserve">
Do not answer this question if there is no benefit revaluation or indexation linked to RPI (OAS 1.0).
</v>
      </c>
      <c r="F278" s="98" t="str">
        <f>"
Do not answer this question if the scheme is a small scheme providing a spot rate  ("&amp;Questions!$D$3&amp;").
"</f>
        <v xml:space="preserve">
Do not answer this question if the scheme is a small scheme providing a spot rate  (SH 11.0).
</v>
      </c>
      <c r="G278" s="98" t="str">
        <f t="shared" si="10"/>
        <v xml:space="preserve">
Please state a percentage that is greater than or equal to -25 followed by the % sign
</v>
      </c>
      <c r="H278" s="98" t="str">
        <f t="shared" si="11"/>
        <v xml:space="preserve">
Please state a percentage that is less than or equal to 25 followed by the % sign
</v>
      </c>
      <c r="I278" s="92"/>
      <c r="J278" s="92"/>
    </row>
    <row r="279" spans="1:10" ht="77.5">
      <c r="A279" s="185" t="s">
        <v>3285</v>
      </c>
      <c r="B279" s="9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79" s="98" t="str">
        <f>"
Do not answer this question if there is no benefit revaluation or indexation linked to RPI ("&amp;Questions!$D$138&amp;").
"</f>
        <v xml:space="preserve">
Do not answer this question if there is no benefit revaluation or indexation linked to RPI (OAS 1.0).
</v>
      </c>
      <c r="D279" s="9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79" s="98" t="str">
        <f>"
Do not answer this question if there is no benefit revaluation or indexation linked to RPI ("&amp;Questions!$D$138&amp;").
"</f>
        <v xml:space="preserve">
Do not answer this question if there is no benefit revaluation or indexation linked to RPI (OAS 1.0).
</v>
      </c>
      <c r="F279" s="98" t="str">
        <f>"
Do not answer this question if the scheme is a small scheme providing a spot rate  ("&amp;Questions!$D$3&amp;").
"</f>
        <v xml:space="preserve">
Do not answer this question if the scheme is a small scheme providing a spot rate  (SH 11.0).
</v>
      </c>
      <c r="G279" s="98" t="str">
        <f t="shared" si="10"/>
        <v xml:space="preserve">
Please state a percentage that is greater than or equal to -25 followed by the % sign
</v>
      </c>
      <c r="H279" s="98" t="str">
        <f t="shared" si="11"/>
        <v xml:space="preserve">
Please state a percentage that is less than or equal to 25 followed by the % sign
</v>
      </c>
      <c r="I279" s="92"/>
      <c r="J279" s="92"/>
    </row>
    <row r="280" spans="1:10" ht="77.5">
      <c r="A280" s="185" t="s">
        <v>3286</v>
      </c>
      <c r="B280" s="9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80" s="98" t="str">
        <f>"
Do not answer this question if there is no benefit revaluation or indexation linked to RPI ("&amp;Questions!$D$138&amp;").
"</f>
        <v xml:space="preserve">
Do not answer this question if there is no benefit revaluation or indexation linked to RPI (OAS 1.0).
</v>
      </c>
      <c r="D280" s="9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80" s="98" t="str">
        <f>"
Do not answer this question if there is no benefit revaluation or indexation linked to RPI ("&amp;Questions!$D$138&amp;").
"</f>
        <v xml:space="preserve">
Do not answer this question if there is no benefit revaluation or indexation linked to RPI (OAS 1.0).
</v>
      </c>
      <c r="F280" s="98" t="str">
        <f>"
Do not answer this question if the scheme is a small scheme providing a spot rate  ("&amp;Questions!$D$3&amp;").
"</f>
        <v xml:space="preserve">
Do not answer this question if the scheme is a small scheme providing a spot rate  (SH 11.0).
</v>
      </c>
      <c r="G280" s="98" t="str">
        <f t="shared" si="10"/>
        <v xml:space="preserve">
Please state a percentage that is greater than or equal to -25 followed by the % sign
</v>
      </c>
      <c r="H280" s="98" t="str">
        <f t="shared" si="11"/>
        <v xml:space="preserve">
Please state a percentage that is less than or equal to 25 followed by the % sign
</v>
      </c>
      <c r="I280" s="92"/>
      <c r="J280" s="92"/>
    </row>
    <row r="281" spans="1:10" ht="77.5">
      <c r="A281" s="185" t="s">
        <v>3287</v>
      </c>
      <c r="B281" s="9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81" s="98" t="str">
        <f>"
Do not answer this question if there is no benefit revaluation or indexation linked to RPI ("&amp;Questions!$D$138&amp;").
"</f>
        <v xml:space="preserve">
Do not answer this question if there is no benefit revaluation or indexation linked to RPI (OAS 1.0).
</v>
      </c>
      <c r="D281" s="9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81" s="98" t="str">
        <f>"
Do not answer this question if there is no benefit revaluation or indexation linked to RPI ("&amp;Questions!$D$138&amp;").
"</f>
        <v xml:space="preserve">
Do not answer this question if there is no benefit revaluation or indexation linked to RPI (OAS 1.0).
</v>
      </c>
      <c r="F281" s="98" t="str">
        <f>"
Do not answer this question if the scheme is a small scheme providing a spot rate  ("&amp;Questions!$D$3&amp;").
"</f>
        <v xml:space="preserve">
Do not answer this question if the scheme is a small scheme providing a spot rate  (SH 11.0).
</v>
      </c>
      <c r="G281" s="98" t="str">
        <f t="shared" si="10"/>
        <v xml:space="preserve">
Please state a percentage that is greater than or equal to -25 followed by the % sign
</v>
      </c>
      <c r="H281" s="98" t="str">
        <f t="shared" si="11"/>
        <v xml:space="preserve">
Please state a percentage that is less than or equal to 25 followed by the % sign
</v>
      </c>
      <c r="I281" s="92"/>
      <c r="J281" s="92"/>
    </row>
    <row r="282" spans="1:10" ht="77.5">
      <c r="A282" s="185" t="s">
        <v>3288</v>
      </c>
      <c r="B282" s="9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82" s="98" t="str">
        <f>"
Do not answer this question if there is no benefit revaluation or indexation linked to RPI ("&amp;Questions!$D$138&amp;").
"</f>
        <v xml:space="preserve">
Do not answer this question if there is no benefit revaluation or indexation linked to RPI (OAS 1.0).
</v>
      </c>
      <c r="D282" s="9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82" s="98" t="str">
        <f>"
Do not answer this question if there is no benefit revaluation or indexation linked to RPI ("&amp;Questions!$D$138&amp;").
"</f>
        <v xml:space="preserve">
Do not answer this question if there is no benefit revaluation or indexation linked to RPI (OAS 1.0).
</v>
      </c>
      <c r="F282" s="98" t="str">
        <f>"
Do not answer this question if the scheme is a small scheme providing a spot rate  ("&amp;Questions!$D$3&amp;").
"</f>
        <v xml:space="preserve">
Do not answer this question if the scheme is a small scheme providing a spot rate  (SH 11.0).
</v>
      </c>
      <c r="G282" s="98" t="str">
        <f t="shared" si="10"/>
        <v xml:space="preserve">
Please state a percentage that is greater than or equal to -25 followed by the % sign
</v>
      </c>
      <c r="H282" s="98" t="str">
        <f t="shared" si="11"/>
        <v xml:space="preserve">
Please state a percentage that is less than or equal to 25 followed by the % sign
</v>
      </c>
      <c r="I282" s="92"/>
      <c r="J282" s="92"/>
    </row>
    <row r="283" spans="1:10" ht="77.5">
      <c r="A283" s="185" t="s">
        <v>3289</v>
      </c>
      <c r="B283" s="9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83" s="98" t="str">
        <f>"
Do not answer this question if there is no benefit revaluation or indexation linked to RPI ("&amp;Questions!$D$138&amp;").
"</f>
        <v xml:space="preserve">
Do not answer this question if there is no benefit revaluation or indexation linked to RPI (OAS 1.0).
</v>
      </c>
      <c r="D283" s="9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83" s="98" t="str">
        <f>"
Do not answer this question if there is no benefit revaluation or indexation linked to RPI ("&amp;Questions!$D$138&amp;").
"</f>
        <v xml:space="preserve">
Do not answer this question if there is no benefit revaluation or indexation linked to RPI (OAS 1.0).
</v>
      </c>
      <c r="F283" s="98" t="str">
        <f>"
Do not answer this question if the scheme is a small scheme providing a spot rate  ("&amp;Questions!$D$3&amp;").
"</f>
        <v xml:space="preserve">
Do not answer this question if the scheme is a small scheme providing a spot rate  (SH 11.0).
</v>
      </c>
      <c r="G283" s="98" t="str">
        <f t="shared" si="10"/>
        <v xml:space="preserve">
Please state a percentage that is greater than or equal to -25 followed by the % sign
</v>
      </c>
      <c r="H283" s="98" t="str">
        <f t="shared" si="11"/>
        <v xml:space="preserve">
Please state a percentage that is less than or equal to 25 followed by the % sign
</v>
      </c>
      <c r="I283" s="92"/>
      <c r="J283" s="92"/>
    </row>
    <row r="284" spans="1:10" ht="77.5">
      <c r="A284" s="185" t="s">
        <v>3290</v>
      </c>
      <c r="B284" s="9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84" s="98" t="str">
        <f>"
Do not answer this question if there is no benefit revaluation or indexation linked to RPI ("&amp;Questions!$D$138&amp;").
"</f>
        <v xml:space="preserve">
Do not answer this question if there is no benefit revaluation or indexation linked to RPI (OAS 1.0).
</v>
      </c>
      <c r="D284" s="9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84" s="98" t="str">
        <f>"
Do not answer this question if there is no benefit revaluation or indexation linked to RPI ("&amp;Questions!$D$138&amp;").
"</f>
        <v xml:space="preserve">
Do not answer this question if there is no benefit revaluation or indexation linked to RPI (OAS 1.0).
</v>
      </c>
      <c r="F284" s="98" t="str">
        <f>"
Do not answer this question if the scheme is a small scheme providing a spot rate  ("&amp;Questions!$D$3&amp;").
"</f>
        <v xml:space="preserve">
Do not answer this question if the scheme is a small scheme providing a spot rate  (SH 11.0).
</v>
      </c>
      <c r="G284" s="98" t="str">
        <f t="shared" si="10"/>
        <v xml:space="preserve">
Please state a percentage that is greater than or equal to -25 followed by the % sign
</v>
      </c>
      <c r="H284" s="98" t="str">
        <f t="shared" si="11"/>
        <v xml:space="preserve">
Please state a percentage that is less than or equal to 25 followed by the % sign
</v>
      </c>
      <c r="I284" s="92"/>
      <c r="J284" s="92"/>
    </row>
    <row r="285" spans="1:10" ht="77.5">
      <c r="A285" s="185" t="s">
        <v>3291</v>
      </c>
      <c r="B285" s="9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85" s="98" t="str">
        <f>"
Do not answer this question if there is no benefit revaluation or indexation linked to RPI ("&amp;Questions!$D$138&amp;").
"</f>
        <v xml:space="preserve">
Do not answer this question if there is no benefit revaluation or indexation linked to RPI (OAS 1.0).
</v>
      </c>
      <c r="D285" s="9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85" s="98" t="str">
        <f>"
Do not answer this question if there is no benefit revaluation or indexation linked to RPI ("&amp;Questions!$D$138&amp;").
"</f>
        <v xml:space="preserve">
Do not answer this question if there is no benefit revaluation or indexation linked to RPI (OAS 1.0).
</v>
      </c>
      <c r="F285" s="98" t="str">
        <f>"
Do not answer this question if the scheme is a small scheme providing a spot rate  ("&amp;Questions!$D$3&amp;").
"</f>
        <v xml:space="preserve">
Do not answer this question if the scheme is a small scheme providing a spot rate  (SH 11.0).
</v>
      </c>
      <c r="G285" s="98" t="str">
        <f t="shared" si="10"/>
        <v xml:space="preserve">
Please state a percentage that is greater than or equal to -25 followed by the % sign
</v>
      </c>
      <c r="H285" s="98" t="str">
        <f t="shared" si="11"/>
        <v xml:space="preserve">
Please state a percentage that is less than or equal to 25 followed by the % sign
</v>
      </c>
      <c r="I285" s="92"/>
      <c r="J285" s="92"/>
    </row>
    <row r="286" spans="1:10" ht="77.5">
      <c r="A286" s="185" t="s">
        <v>3292</v>
      </c>
      <c r="B286" s="9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86" s="98" t="str">
        <f>"
Do not answer this question if there is no benefit revaluation or indexation linked to RPI ("&amp;Questions!$D$138&amp;").
"</f>
        <v xml:space="preserve">
Do not answer this question if there is no benefit revaluation or indexation linked to RPI (OAS 1.0).
</v>
      </c>
      <c r="D286" s="9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86" s="98" t="str">
        <f>"
Do not answer this question if there is no benefit revaluation or indexation linked to RPI ("&amp;Questions!$D$138&amp;").
"</f>
        <v xml:space="preserve">
Do not answer this question if there is no benefit revaluation or indexation linked to RPI (OAS 1.0).
</v>
      </c>
      <c r="F286" s="98" t="str">
        <f>"
Do not answer this question if the scheme is a small scheme providing a spot rate  ("&amp;Questions!$D$3&amp;").
"</f>
        <v xml:space="preserve">
Do not answer this question if the scheme is a small scheme providing a spot rate  (SH 11.0).
</v>
      </c>
      <c r="G286" s="98" t="str">
        <f t="shared" si="10"/>
        <v xml:space="preserve">
Please state a percentage that is greater than or equal to -25 followed by the % sign
</v>
      </c>
      <c r="H286" s="98" t="str">
        <f t="shared" si="11"/>
        <v xml:space="preserve">
Please state a percentage that is less than or equal to 25 followed by the % sign
</v>
      </c>
      <c r="I286" s="92"/>
      <c r="J286" s="92"/>
    </row>
    <row r="287" spans="1:10" ht="77.5">
      <c r="A287" s="185" t="s">
        <v>3293</v>
      </c>
      <c r="B287" s="9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87" s="98" t="str">
        <f>"
Do not answer this question if there is no benefit revaluation or indexation linked to RPI ("&amp;Questions!$D$138&amp;").
"</f>
        <v xml:space="preserve">
Do not answer this question if there is no benefit revaluation or indexation linked to RPI (OAS 1.0).
</v>
      </c>
      <c r="D287" s="9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87" s="98" t="str">
        <f>"
Do not answer this question if there is no benefit revaluation or indexation linked to RPI ("&amp;Questions!$D$138&amp;").
"</f>
        <v xml:space="preserve">
Do not answer this question if there is no benefit revaluation or indexation linked to RPI (OAS 1.0).
</v>
      </c>
      <c r="F287" s="98" t="str">
        <f>"
Do not answer this question if the scheme is a small scheme providing a spot rate  ("&amp;Questions!$D$3&amp;").
"</f>
        <v xml:space="preserve">
Do not answer this question if the scheme is a small scheme providing a spot rate  (SH 11.0).
</v>
      </c>
      <c r="G287" s="98" t="str">
        <f t="shared" si="10"/>
        <v xml:space="preserve">
Please state a percentage that is greater than or equal to -25 followed by the % sign
</v>
      </c>
      <c r="H287" s="98" t="str">
        <f t="shared" si="11"/>
        <v xml:space="preserve">
Please state a percentage that is less than or equal to 25 followed by the % sign
</v>
      </c>
      <c r="I287" s="92"/>
      <c r="J287" s="92"/>
    </row>
    <row r="288" spans="1:10" ht="77.5">
      <c r="A288" s="185" t="s">
        <v>3294</v>
      </c>
      <c r="B288" s="9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88" s="98" t="str">
        <f>"
Do not answer this question if there is no benefit revaluation or indexation linked to RPI ("&amp;Questions!$D$138&amp;").
"</f>
        <v xml:space="preserve">
Do not answer this question if there is no benefit revaluation or indexation linked to RPI (OAS 1.0).
</v>
      </c>
      <c r="D288" s="9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88" s="98" t="str">
        <f>"
Do not answer this question if there is no benefit revaluation or indexation linked to RPI ("&amp;Questions!$D$138&amp;").
"</f>
        <v xml:space="preserve">
Do not answer this question if there is no benefit revaluation or indexation linked to RPI (OAS 1.0).
</v>
      </c>
      <c r="F288" s="98" t="str">
        <f>"
Do not answer this question if the scheme is a small scheme providing a spot rate  ("&amp;Questions!$D$3&amp;").
"</f>
        <v xml:space="preserve">
Do not answer this question if the scheme is a small scheme providing a spot rate  (SH 11.0).
</v>
      </c>
      <c r="G288" s="98" t="str">
        <f t="shared" si="10"/>
        <v xml:space="preserve">
Please state a percentage that is greater than or equal to -25 followed by the % sign
</v>
      </c>
      <c r="H288" s="98" t="str">
        <f t="shared" si="11"/>
        <v xml:space="preserve">
Please state a percentage that is less than or equal to 25 followed by the % sign
</v>
      </c>
      <c r="I288" s="92"/>
      <c r="J288" s="92"/>
    </row>
    <row r="289" spans="1:10" ht="77.5">
      <c r="A289" s="185" t="s">
        <v>3295</v>
      </c>
      <c r="B289" s="9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89" s="98" t="str">
        <f>"
Do not answer this question if there is no benefit revaluation or indexation linked to RPI ("&amp;Questions!$D$138&amp;").
"</f>
        <v xml:space="preserve">
Do not answer this question if there is no benefit revaluation or indexation linked to RPI (OAS 1.0).
</v>
      </c>
      <c r="D289" s="9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89" s="98" t="str">
        <f>"
Do not answer this question if there is no benefit revaluation or indexation linked to RPI ("&amp;Questions!$D$138&amp;").
"</f>
        <v xml:space="preserve">
Do not answer this question if there is no benefit revaluation or indexation linked to RPI (OAS 1.0).
</v>
      </c>
      <c r="F289" s="98" t="str">
        <f>"
Do not answer this question if the scheme is a small scheme providing a spot rate  ("&amp;Questions!$D$3&amp;").
"</f>
        <v xml:space="preserve">
Do not answer this question if the scheme is a small scheme providing a spot rate  (SH 11.0).
</v>
      </c>
      <c r="G289" s="98" t="str">
        <f t="shared" si="10"/>
        <v xml:space="preserve">
Please state a percentage that is greater than or equal to -25 followed by the % sign
</v>
      </c>
      <c r="H289" s="98" t="str">
        <f t="shared" si="11"/>
        <v xml:space="preserve">
Please state a percentage that is less than or equal to 25 followed by the % sign
</v>
      </c>
      <c r="I289" s="92"/>
      <c r="J289" s="92"/>
    </row>
    <row r="290" spans="1:10" ht="77.5">
      <c r="A290" s="185" t="s">
        <v>3296</v>
      </c>
      <c r="B290" s="9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90" s="98" t="str">
        <f>"
Do not answer this question if there is no benefit revaluation or indexation linked to RPI ("&amp;Questions!$D$138&amp;").
"</f>
        <v xml:space="preserve">
Do not answer this question if there is no benefit revaluation or indexation linked to RPI (OAS 1.0).
</v>
      </c>
      <c r="D290" s="9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90" s="98" t="str">
        <f>"
Do not answer this question if there is no benefit revaluation or indexation linked to RPI ("&amp;Questions!$D$138&amp;").
"</f>
        <v xml:space="preserve">
Do not answer this question if there is no benefit revaluation or indexation linked to RPI (OAS 1.0).
</v>
      </c>
      <c r="F290" s="98" t="str">
        <f>"
Do not answer this question if the scheme is a small scheme providing a spot rate  ("&amp;Questions!$D$3&amp;").
"</f>
        <v xml:space="preserve">
Do not answer this question if the scheme is a small scheme providing a spot rate  (SH 11.0).
</v>
      </c>
      <c r="G290" s="98" t="str">
        <f t="shared" si="10"/>
        <v xml:space="preserve">
Please state a percentage that is greater than or equal to -25 followed by the % sign
</v>
      </c>
      <c r="H290" s="98" t="str">
        <f t="shared" si="11"/>
        <v xml:space="preserve">
Please state a percentage that is less than or equal to 25 followed by the % sign
</v>
      </c>
      <c r="I290" s="92"/>
      <c r="J290" s="92"/>
    </row>
    <row r="291" spans="1:10" ht="77.5">
      <c r="A291" s="185" t="s">
        <v>3297</v>
      </c>
      <c r="B291" s="9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91" s="98" t="str">
        <f>"
Do not answer this question if there is no benefit revaluation or indexation linked to RPI ("&amp;Questions!$D$138&amp;").
"</f>
        <v xml:space="preserve">
Do not answer this question if there is no benefit revaluation or indexation linked to RPI (OAS 1.0).
</v>
      </c>
      <c r="D291" s="9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91" s="98" t="str">
        <f>"
Do not answer this question if there is no benefit revaluation or indexation linked to RPI ("&amp;Questions!$D$138&amp;").
"</f>
        <v xml:space="preserve">
Do not answer this question if there is no benefit revaluation or indexation linked to RPI (OAS 1.0).
</v>
      </c>
      <c r="F291" s="98" t="str">
        <f>"
Do not answer this question if the scheme is a small scheme providing a spot rate  ("&amp;Questions!$D$3&amp;").
"</f>
        <v xml:space="preserve">
Do not answer this question if the scheme is a small scheme providing a spot rate  (SH 11.0).
</v>
      </c>
      <c r="G291" s="98" t="str">
        <f t="shared" si="10"/>
        <v xml:space="preserve">
Please state a percentage that is greater than or equal to -25 followed by the % sign
</v>
      </c>
      <c r="H291" s="98" t="str">
        <f t="shared" si="11"/>
        <v xml:space="preserve">
Please state a percentage that is less than or equal to 25 followed by the % sign
</v>
      </c>
      <c r="I291" s="92"/>
      <c r="J291" s="92"/>
    </row>
    <row r="292" spans="1:10" ht="77.5">
      <c r="A292" s="185" t="s">
        <v>3298</v>
      </c>
      <c r="B292" s="9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92" s="98" t="str">
        <f>"
Do not answer this question if there is no benefit revaluation or indexation linked to RPI ("&amp;Questions!$D$138&amp;").
"</f>
        <v xml:space="preserve">
Do not answer this question if there is no benefit revaluation or indexation linked to RPI (OAS 1.0).
</v>
      </c>
      <c r="D292" s="9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92" s="98" t="str">
        <f>"
Do not answer this question if there is no benefit revaluation or indexation linked to RPI ("&amp;Questions!$D$138&amp;").
"</f>
        <v xml:space="preserve">
Do not answer this question if there is no benefit revaluation or indexation linked to RPI (OAS 1.0).
</v>
      </c>
      <c r="F292" s="98" t="str">
        <f>"
Do not answer this question if the scheme is a small scheme providing a spot rate  ("&amp;Questions!$D$3&amp;").
"</f>
        <v xml:space="preserve">
Do not answer this question if the scheme is a small scheme providing a spot rate  (SH 11.0).
</v>
      </c>
      <c r="G292" s="98" t="str">
        <f t="shared" si="10"/>
        <v xml:space="preserve">
Please state a percentage that is greater than or equal to -25 followed by the % sign
</v>
      </c>
      <c r="H292" s="98" t="str">
        <f t="shared" si="11"/>
        <v xml:space="preserve">
Please state a percentage that is less than or equal to 25 followed by the % sign
</v>
      </c>
      <c r="I292" s="92"/>
      <c r="J292" s="92"/>
    </row>
    <row r="293" spans="1:10" ht="77.5">
      <c r="A293" s="185" t="s">
        <v>3299</v>
      </c>
      <c r="B293" s="98" t="str">
        <f>"
You must answer this question if there is a benefit revaluation or indexation linked to RPI ("&amp;Questions!$D$138&amp;") (unless it is a small scheme providing a spot rate ("&amp;Questions!$D$3&amp;")).
"</f>
        <v xml:space="preserve">
You must answer this question if there is a benefit revaluation or indexation linked to RPI (OAS 1.0) (unless it is a small scheme providing a spot rate (SH 11.0)).
</v>
      </c>
      <c r="C293" s="98" t="str">
        <f>"
Do not answer this question if there is no benefit revaluation or indexation linked to RPI ("&amp;Questions!$D$138&amp;").
"</f>
        <v xml:space="preserve">
Do not answer this question if there is no benefit revaluation or indexation linked to RPI (OAS 1.0).
</v>
      </c>
      <c r="D293" s="98" t="str">
        <f>"
You must answer this question if the scheme is a small scheme ("&amp;Questions!$D$3&amp;") using a yield curve discount rate ("&amp;Questions!$D$4&amp;") and there is some benefit revaluation or indexation linked to RPI ("&amp;Questions!$D$138&amp;").
"</f>
        <v xml:space="preserve">
You must answer this question if the scheme is a small scheme (SH 11.0) using a yield curve discount rate (DR 1.0) and there is some benefit revaluation or indexation linked to RPI (OAS 1.0).
</v>
      </c>
      <c r="E293" s="98" t="str">
        <f>"
Do not answer this question if there is no benefit revaluation or indexation linked to RPI ("&amp;Questions!$D$138&amp;").
"</f>
        <v xml:space="preserve">
Do not answer this question if there is no benefit revaluation or indexation linked to RPI (OAS 1.0).
</v>
      </c>
      <c r="F293" s="98" t="str">
        <f>"
Do not answer this question if the scheme is a small scheme providing a spot rate  ("&amp;Questions!$D$3&amp;").
"</f>
        <v xml:space="preserve">
Do not answer this question if the scheme is a small scheme providing a spot rate  (SH 11.0).
</v>
      </c>
      <c r="G293" s="98" t="str">
        <f t="shared" si="10"/>
        <v xml:space="preserve">
Please state a percentage that is greater than or equal to -25 followed by the % sign
</v>
      </c>
      <c r="H293" s="98" t="str">
        <f t="shared" si="11"/>
        <v xml:space="preserve">
Please state a percentage that is less than or equal to 25 followed by the % sign
</v>
      </c>
      <c r="I293" s="92"/>
      <c r="J293" s="92"/>
    </row>
    <row r="294" spans="1:10" ht="77.5">
      <c r="A294" s="185" t="s">
        <v>3300</v>
      </c>
      <c r="B294"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294" s="98" t="str">
        <f>"
Do not answer this question if there is no benefit revaluation or indexation linked to CPI ("&amp;Questions!$D$138&amp;").
"</f>
        <v xml:space="preserve">
Do not answer this question if there is no benefit revaluation or indexation linked to CPI (OAS 1.0).
</v>
      </c>
      <c r="D294"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294" s="98" t="str">
        <f>"
Do not answer this question if there is no benefit revaluation or indexation linked to CPI ("&amp;Questions!$D$138&amp;").
"</f>
        <v xml:space="preserve">
Do not answer this question if there is no benefit revaluation or indexation linked to CPI (OAS 1.0).
</v>
      </c>
      <c r="F294" s="98" t="str">
        <f>"
Do not answer this question if the scheme is a small scheme providing a spot rate ("&amp;Questions!$D$3&amp;").
"</f>
        <v xml:space="preserve">
Do not answer this question if the scheme is a small scheme providing a spot rate (SH 11.0).
</v>
      </c>
      <c r="G294" s="98" t="str">
        <f t="shared" ref="G294:G333" si="12">"
Please state a percentage that is greater than or equal to -25 followed by the % sign
"</f>
        <v xml:space="preserve">
Please state a percentage that is greater than or equal to -25 followed by the % sign
</v>
      </c>
      <c r="H294" s="98" t="str">
        <f t="shared" ref="H294:H333" si="13">"
Please state a percentage that is less than or equal to 25 followed by the % sign
"</f>
        <v xml:space="preserve">
Please state a percentage that is less than or equal to 25 followed by the % sign
</v>
      </c>
      <c r="I294" s="92"/>
      <c r="J294" s="92"/>
    </row>
    <row r="295" spans="1:10" ht="77.5">
      <c r="A295" s="185" t="s">
        <v>3301</v>
      </c>
      <c r="B295"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295" s="98" t="str">
        <f>"
Do not answer this question if there is no benefit revaluation or indexation linked to CPI ("&amp;Questions!$D$138&amp;").
"</f>
        <v xml:space="preserve">
Do not answer this question if there is no benefit revaluation or indexation linked to CPI (OAS 1.0).
</v>
      </c>
      <c r="D295"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295" s="98" t="str">
        <f>"
Do not answer this question if there is no benefit revaluation or indexation linked to CPI ("&amp;Questions!$D$138&amp;").
"</f>
        <v xml:space="preserve">
Do not answer this question if there is no benefit revaluation or indexation linked to CPI (OAS 1.0).
</v>
      </c>
      <c r="F295" s="98" t="str">
        <f>"
Do not answer this question if the scheme is a small scheme providing a spot rate ("&amp;Questions!$D$3&amp;").
"</f>
        <v xml:space="preserve">
Do not answer this question if the scheme is a small scheme providing a spot rate (SH 11.0).
</v>
      </c>
      <c r="G295" s="98" t="str">
        <f t="shared" si="12"/>
        <v xml:space="preserve">
Please state a percentage that is greater than or equal to -25 followed by the % sign
</v>
      </c>
      <c r="H295" s="98" t="str">
        <f t="shared" si="13"/>
        <v xml:space="preserve">
Please state a percentage that is less than or equal to 25 followed by the % sign
</v>
      </c>
      <c r="I295" s="92"/>
      <c r="J295" s="92"/>
    </row>
    <row r="296" spans="1:10" ht="77.5">
      <c r="A296" s="185" t="s">
        <v>3302</v>
      </c>
      <c r="B296"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296" s="98" t="str">
        <f>"
Do not answer this question if there is no benefit revaluation or indexation linked to CPI ("&amp;Questions!$D$138&amp;").
"</f>
        <v xml:space="preserve">
Do not answer this question if there is no benefit revaluation or indexation linked to CPI (OAS 1.0).
</v>
      </c>
      <c r="D296"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296" s="98" t="str">
        <f>"
Do not answer this question if there is no benefit revaluation or indexation linked to CPI ("&amp;Questions!$D$138&amp;").
"</f>
        <v xml:space="preserve">
Do not answer this question if there is no benefit revaluation or indexation linked to CPI (OAS 1.0).
</v>
      </c>
      <c r="F296" s="98" t="str">
        <f>"
Do not answer this question if the scheme is a small scheme providing a spot rate ("&amp;Questions!$D$3&amp;").
"</f>
        <v xml:space="preserve">
Do not answer this question if the scheme is a small scheme providing a spot rate (SH 11.0).
</v>
      </c>
      <c r="G296" s="98" t="str">
        <f t="shared" si="12"/>
        <v xml:space="preserve">
Please state a percentage that is greater than or equal to -25 followed by the % sign
</v>
      </c>
      <c r="H296" s="98" t="str">
        <f t="shared" si="13"/>
        <v xml:space="preserve">
Please state a percentage that is less than or equal to 25 followed by the % sign
</v>
      </c>
      <c r="I296" s="92"/>
      <c r="J296" s="92"/>
    </row>
    <row r="297" spans="1:10" ht="77.5">
      <c r="A297" s="185" t="s">
        <v>3303</v>
      </c>
      <c r="B297"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297" s="98" t="str">
        <f>"
Do not answer this question if there is no benefit revaluation or indexation linked to CPI ("&amp;Questions!$D$138&amp;").
"</f>
        <v xml:space="preserve">
Do not answer this question if there is no benefit revaluation or indexation linked to CPI (OAS 1.0).
</v>
      </c>
      <c r="D297"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297" s="98" t="str">
        <f>"
Do not answer this question if there is no benefit revaluation or indexation linked to CPI ("&amp;Questions!$D$138&amp;").
"</f>
        <v xml:space="preserve">
Do not answer this question if there is no benefit revaluation or indexation linked to CPI (OAS 1.0).
</v>
      </c>
      <c r="F297" s="98" t="str">
        <f>"
Do not answer this question if the scheme is a small scheme providing a spot rate ("&amp;Questions!$D$3&amp;").
"</f>
        <v xml:space="preserve">
Do not answer this question if the scheme is a small scheme providing a spot rate (SH 11.0).
</v>
      </c>
      <c r="G297" s="98" t="str">
        <f t="shared" si="12"/>
        <v xml:space="preserve">
Please state a percentage that is greater than or equal to -25 followed by the % sign
</v>
      </c>
      <c r="H297" s="98" t="str">
        <f t="shared" si="13"/>
        <v xml:space="preserve">
Please state a percentage that is less than or equal to 25 followed by the % sign
</v>
      </c>
      <c r="I297" s="92"/>
      <c r="J297" s="92"/>
    </row>
    <row r="298" spans="1:10" ht="77.5">
      <c r="A298" s="185" t="s">
        <v>3304</v>
      </c>
      <c r="B298"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298" s="98" t="str">
        <f>"
Do not answer this question if there is no benefit revaluation or indexation linked to CPI ("&amp;Questions!$D$138&amp;").
"</f>
        <v xml:space="preserve">
Do not answer this question if there is no benefit revaluation or indexation linked to CPI (OAS 1.0).
</v>
      </c>
      <c r="D298"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298" s="98" t="str">
        <f>"
Do not answer this question if there is no benefit revaluation or indexation linked to CPI ("&amp;Questions!$D$138&amp;").
"</f>
        <v xml:space="preserve">
Do not answer this question if there is no benefit revaluation or indexation linked to CPI (OAS 1.0).
</v>
      </c>
      <c r="F298" s="98" t="str">
        <f>"
Do not answer this question if the scheme is a small scheme providing a spot rate ("&amp;Questions!$D$3&amp;").
"</f>
        <v xml:space="preserve">
Do not answer this question if the scheme is a small scheme providing a spot rate (SH 11.0).
</v>
      </c>
      <c r="G298" s="98" t="str">
        <f t="shared" si="12"/>
        <v xml:space="preserve">
Please state a percentage that is greater than or equal to -25 followed by the % sign
</v>
      </c>
      <c r="H298" s="98" t="str">
        <f t="shared" si="13"/>
        <v xml:space="preserve">
Please state a percentage that is less than or equal to 25 followed by the % sign
</v>
      </c>
      <c r="I298" s="92"/>
      <c r="J298" s="92"/>
    </row>
    <row r="299" spans="1:10" ht="77.5">
      <c r="A299" s="185" t="s">
        <v>3305</v>
      </c>
      <c r="B299"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299" s="98" t="str">
        <f>"
Do not answer this question if there is no benefit revaluation or indexation linked to CPI ("&amp;Questions!$D$138&amp;").
"</f>
        <v xml:space="preserve">
Do not answer this question if there is no benefit revaluation or indexation linked to CPI (OAS 1.0).
</v>
      </c>
      <c r="D299"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299" s="98" t="str">
        <f>"
Do not answer this question if there is no benefit revaluation or indexation linked to CPI ("&amp;Questions!$D$138&amp;").
"</f>
        <v xml:space="preserve">
Do not answer this question if there is no benefit revaluation or indexation linked to CPI (OAS 1.0).
</v>
      </c>
      <c r="F299" s="98" t="str">
        <f>"
Do not answer this question if the scheme is a small scheme providing a spot rate ("&amp;Questions!$D$3&amp;").
"</f>
        <v xml:space="preserve">
Do not answer this question if the scheme is a small scheme providing a spot rate (SH 11.0).
</v>
      </c>
      <c r="G299" s="98" t="str">
        <f t="shared" si="12"/>
        <v xml:space="preserve">
Please state a percentage that is greater than or equal to -25 followed by the % sign
</v>
      </c>
      <c r="H299" s="98" t="str">
        <f t="shared" si="13"/>
        <v xml:space="preserve">
Please state a percentage that is less than or equal to 25 followed by the % sign
</v>
      </c>
      <c r="I299" s="92"/>
      <c r="J299" s="92"/>
    </row>
    <row r="300" spans="1:10" ht="77.5">
      <c r="A300" s="185" t="s">
        <v>3306</v>
      </c>
      <c r="B300"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00" s="98" t="str">
        <f>"
Do not answer this question if there is no benefit revaluation or indexation linked to CPI ("&amp;Questions!$D$138&amp;").
"</f>
        <v xml:space="preserve">
Do not answer this question if there is no benefit revaluation or indexation linked to CPI (OAS 1.0).
</v>
      </c>
      <c r="D300"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00" s="98" t="str">
        <f>"
Do not answer this question if there is no benefit revaluation or indexation linked to CPI ("&amp;Questions!$D$138&amp;").
"</f>
        <v xml:space="preserve">
Do not answer this question if there is no benefit revaluation or indexation linked to CPI (OAS 1.0).
</v>
      </c>
      <c r="F300" s="98" t="str">
        <f>"
Do not answer this question if the scheme is a small scheme providing a spot rate ("&amp;Questions!$D$3&amp;").
"</f>
        <v xml:space="preserve">
Do not answer this question if the scheme is a small scheme providing a spot rate (SH 11.0).
</v>
      </c>
      <c r="G300" s="98" t="str">
        <f t="shared" si="12"/>
        <v xml:space="preserve">
Please state a percentage that is greater than or equal to -25 followed by the % sign
</v>
      </c>
      <c r="H300" s="98" t="str">
        <f t="shared" si="13"/>
        <v xml:space="preserve">
Please state a percentage that is less than or equal to 25 followed by the % sign
</v>
      </c>
      <c r="I300" s="92"/>
      <c r="J300" s="92"/>
    </row>
    <row r="301" spans="1:10" ht="77.5">
      <c r="A301" s="185" t="s">
        <v>3307</v>
      </c>
      <c r="B301"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01" s="98" t="str">
        <f>"
Do not answer this question if there is no benefit revaluation or indexation linked to CPI ("&amp;Questions!$D$138&amp;").
"</f>
        <v xml:space="preserve">
Do not answer this question if there is no benefit revaluation or indexation linked to CPI (OAS 1.0).
</v>
      </c>
      <c r="D301"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01" s="98" t="str">
        <f>"
Do not answer this question if there is no benefit revaluation or indexation linked to CPI ("&amp;Questions!$D$138&amp;").
"</f>
        <v xml:space="preserve">
Do not answer this question if there is no benefit revaluation or indexation linked to CPI (OAS 1.0).
</v>
      </c>
      <c r="F301" s="98" t="str">
        <f>"
Do not answer this question if the scheme is a small scheme providing a spot rate ("&amp;Questions!$D$3&amp;").
"</f>
        <v xml:space="preserve">
Do not answer this question if the scheme is a small scheme providing a spot rate (SH 11.0).
</v>
      </c>
      <c r="G301" s="98" t="str">
        <f t="shared" si="12"/>
        <v xml:space="preserve">
Please state a percentage that is greater than or equal to -25 followed by the % sign
</v>
      </c>
      <c r="H301" s="98" t="str">
        <f t="shared" si="13"/>
        <v xml:space="preserve">
Please state a percentage that is less than or equal to 25 followed by the % sign
</v>
      </c>
      <c r="I301" s="92"/>
      <c r="J301" s="92"/>
    </row>
    <row r="302" spans="1:10" ht="77.5">
      <c r="A302" s="185" t="s">
        <v>3308</v>
      </c>
      <c r="B302"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02" s="98" t="str">
        <f>"
Do not answer this question if there is no benefit revaluation or indexation linked to CPI ("&amp;Questions!$D$138&amp;").
"</f>
        <v xml:space="preserve">
Do not answer this question if there is no benefit revaluation or indexation linked to CPI (OAS 1.0).
</v>
      </c>
      <c r="D302"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02" s="98" t="str">
        <f>"
Do not answer this question if there is no benefit revaluation or indexation linked to CPI ("&amp;Questions!$D$138&amp;").
"</f>
        <v xml:space="preserve">
Do not answer this question if there is no benefit revaluation or indexation linked to CPI (OAS 1.0).
</v>
      </c>
      <c r="F302" s="98" t="str">
        <f>"
Do not answer this question if the scheme is a small scheme providing a spot rate ("&amp;Questions!$D$3&amp;").
"</f>
        <v xml:space="preserve">
Do not answer this question if the scheme is a small scheme providing a spot rate (SH 11.0).
</v>
      </c>
      <c r="G302" s="98" t="str">
        <f t="shared" si="12"/>
        <v xml:space="preserve">
Please state a percentage that is greater than or equal to -25 followed by the % sign
</v>
      </c>
      <c r="H302" s="98" t="str">
        <f t="shared" si="13"/>
        <v xml:space="preserve">
Please state a percentage that is less than or equal to 25 followed by the % sign
</v>
      </c>
      <c r="I302" s="92"/>
      <c r="J302" s="92"/>
    </row>
    <row r="303" spans="1:10" ht="77.5">
      <c r="A303" s="185" t="s">
        <v>3309</v>
      </c>
      <c r="B303"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03" s="98" t="str">
        <f>"
Do not answer this question if there is no benefit revaluation or indexation linked to CPI ("&amp;Questions!$D$138&amp;").
"</f>
        <v xml:space="preserve">
Do not answer this question if there is no benefit revaluation or indexation linked to CPI (OAS 1.0).
</v>
      </c>
      <c r="D303"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03" s="98" t="str">
        <f>"
Do not answer this question if there is no benefit revaluation or indexation linked to CPI ("&amp;Questions!$D$138&amp;").
"</f>
        <v xml:space="preserve">
Do not answer this question if there is no benefit revaluation or indexation linked to CPI (OAS 1.0).
</v>
      </c>
      <c r="F303" s="98" t="str">
        <f>"
Do not answer this question if the scheme is a small scheme providing a spot rate ("&amp;Questions!$D$3&amp;").
"</f>
        <v xml:space="preserve">
Do not answer this question if the scheme is a small scheme providing a spot rate (SH 11.0).
</v>
      </c>
      <c r="G303" s="98" t="str">
        <f t="shared" si="12"/>
        <v xml:space="preserve">
Please state a percentage that is greater than or equal to -25 followed by the % sign
</v>
      </c>
      <c r="H303" s="98" t="str">
        <f t="shared" si="13"/>
        <v xml:space="preserve">
Please state a percentage that is less than or equal to 25 followed by the % sign
</v>
      </c>
      <c r="I303" s="92"/>
      <c r="J303" s="92"/>
    </row>
    <row r="304" spans="1:10" ht="77.5">
      <c r="A304" s="185" t="s">
        <v>3310</v>
      </c>
      <c r="B304"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04" s="98" t="str">
        <f>"
Do not answer this question if there is no benefit revaluation or indexation linked to CPI ("&amp;Questions!$D$138&amp;").
"</f>
        <v xml:space="preserve">
Do not answer this question if there is no benefit revaluation or indexation linked to CPI (OAS 1.0).
</v>
      </c>
      <c r="D304"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04" s="98" t="str">
        <f>"
Do not answer this question if there is no benefit revaluation or indexation linked to CPI ("&amp;Questions!$D$138&amp;").
"</f>
        <v xml:space="preserve">
Do not answer this question if there is no benefit revaluation or indexation linked to CPI (OAS 1.0).
</v>
      </c>
      <c r="F304" s="98" t="str">
        <f>"
Do not answer this question if the scheme is a small scheme providing a spot rate ("&amp;Questions!$D$3&amp;").
"</f>
        <v xml:space="preserve">
Do not answer this question if the scheme is a small scheme providing a spot rate (SH 11.0).
</v>
      </c>
      <c r="G304" s="98" t="str">
        <f t="shared" si="12"/>
        <v xml:space="preserve">
Please state a percentage that is greater than or equal to -25 followed by the % sign
</v>
      </c>
      <c r="H304" s="98" t="str">
        <f t="shared" si="13"/>
        <v xml:space="preserve">
Please state a percentage that is less than or equal to 25 followed by the % sign
</v>
      </c>
      <c r="I304" s="92"/>
      <c r="J304" s="92"/>
    </row>
    <row r="305" spans="1:10" ht="77.5">
      <c r="A305" s="185" t="s">
        <v>3311</v>
      </c>
      <c r="B305"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05" s="98" t="str">
        <f>"
Do not answer this question if there is no benefit revaluation or indexation linked to CPI ("&amp;Questions!$D$138&amp;").
"</f>
        <v xml:space="preserve">
Do not answer this question if there is no benefit revaluation or indexation linked to CPI (OAS 1.0).
</v>
      </c>
      <c r="D305"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05" s="98" t="str">
        <f>"
Do not answer this question if there is no benefit revaluation or indexation linked to CPI ("&amp;Questions!$D$138&amp;").
"</f>
        <v xml:space="preserve">
Do not answer this question if there is no benefit revaluation or indexation linked to CPI (OAS 1.0).
</v>
      </c>
      <c r="F305" s="98" t="str">
        <f>"
Do not answer this question if the scheme is a small scheme providing a spot rate ("&amp;Questions!$D$3&amp;").
"</f>
        <v xml:space="preserve">
Do not answer this question if the scheme is a small scheme providing a spot rate (SH 11.0).
</v>
      </c>
      <c r="G305" s="98" t="str">
        <f t="shared" si="12"/>
        <v xml:space="preserve">
Please state a percentage that is greater than or equal to -25 followed by the % sign
</v>
      </c>
      <c r="H305" s="98" t="str">
        <f t="shared" si="13"/>
        <v xml:space="preserve">
Please state a percentage that is less than or equal to 25 followed by the % sign
</v>
      </c>
      <c r="I305" s="92"/>
      <c r="J305" s="92"/>
    </row>
    <row r="306" spans="1:10" ht="77.5">
      <c r="A306" s="185" t="s">
        <v>3312</v>
      </c>
      <c r="B306"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06" s="98" t="str">
        <f>"
Do not answer this question if there is no benefit revaluation or indexation linked to CPI ("&amp;Questions!$D$138&amp;").
"</f>
        <v xml:space="preserve">
Do not answer this question if there is no benefit revaluation or indexation linked to CPI (OAS 1.0).
</v>
      </c>
      <c r="D306"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06" s="98" t="str">
        <f>"
Do not answer this question if there is no benefit revaluation or indexation linked to CPI ("&amp;Questions!$D$138&amp;").
"</f>
        <v xml:space="preserve">
Do not answer this question if there is no benefit revaluation or indexation linked to CPI (OAS 1.0).
</v>
      </c>
      <c r="F306" s="98" t="str">
        <f>"
Do not answer this question if the scheme is a small scheme providing a spot rate ("&amp;Questions!$D$3&amp;").
"</f>
        <v xml:space="preserve">
Do not answer this question if the scheme is a small scheme providing a spot rate (SH 11.0).
</v>
      </c>
      <c r="G306" s="98" t="str">
        <f t="shared" si="12"/>
        <v xml:space="preserve">
Please state a percentage that is greater than or equal to -25 followed by the % sign
</v>
      </c>
      <c r="H306" s="98" t="str">
        <f t="shared" si="13"/>
        <v xml:space="preserve">
Please state a percentage that is less than or equal to 25 followed by the % sign
</v>
      </c>
      <c r="I306" s="92"/>
      <c r="J306" s="92"/>
    </row>
    <row r="307" spans="1:10" ht="77.5">
      <c r="A307" s="185" t="s">
        <v>3313</v>
      </c>
      <c r="B307"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07" s="98" t="str">
        <f>"
Do not answer this question if there is no benefit revaluation or indexation linked to CPI ("&amp;Questions!$D$138&amp;").
"</f>
        <v xml:space="preserve">
Do not answer this question if there is no benefit revaluation or indexation linked to CPI (OAS 1.0).
</v>
      </c>
      <c r="D307"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07" s="98" t="str">
        <f>"
Do not answer this question if there is no benefit revaluation or indexation linked to CPI ("&amp;Questions!$D$138&amp;").
"</f>
        <v xml:space="preserve">
Do not answer this question if there is no benefit revaluation or indexation linked to CPI (OAS 1.0).
</v>
      </c>
      <c r="F307" s="98" t="str">
        <f>"
Do not answer this question if the scheme is a small scheme providing a spot rate ("&amp;Questions!$D$3&amp;").
"</f>
        <v xml:space="preserve">
Do not answer this question if the scheme is a small scheme providing a spot rate (SH 11.0).
</v>
      </c>
      <c r="G307" s="98" t="str">
        <f t="shared" si="12"/>
        <v xml:space="preserve">
Please state a percentage that is greater than or equal to -25 followed by the % sign
</v>
      </c>
      <c r="H307" s="98" t="str">
        <f t="shared" si="13"/>
        <v xml:space="preserve">
Please state a percentage that is less than or equal to 25 followed by the % sign
</v>
      </c>
      <c r="I307" s="92"/>
      <c r="J307" s="92"/>
    </row>
    <row r="308" spans="1:10" ht="77.5">
      <c r="A308" s="185" t="s">
        <v>3314</v>
      </c>
      <c r="B308"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08" s="98" t="str">
        <f>"
Do not answer this question if there is no benefit revaluation or indexation linked to CPI ("&amp;Questions!$D$138&amp;").
"</f>
        <v xml:space="preserve">
Do not answer this question if there is no benefit revaluation or indexation linked to CPI (OAS 1.0).
</v>
      </c>
      <c r="D308"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08" s="98" t="str">
        <f>"
Do not answer this question if there is no benefit revaluation or indexation linked to CPI ("&amp;Questions!$D$138&amp;").
"</f>
        <v xml:space="preserve">
Do not answer this question if there is no benefit revaluation or indexation linked to CPI (OAS 1.0).
</v>
      </c>
      <c r="F308" s="98" t="str">
        <f>"
Do not answer this question if the scheme is a small scheme providing a spot rate ("&amp;Questions!$D$3&amp;").
"</f>
        <v xml:space="preserve">
Do not answer this question if the scheme is a small scheme providing a spot rate (SH 11.0).
</v>
      </c>
      <c r="G308" s="98" t="str">
        <f t="shared" si="12"/>
        <v xml:space="preserve">
Please state a percentage that is greater than or equal to -25 followed by the % sign
</v>
      </c>
      <c r="H308" s="98" t="str">
        <f t="shared" si="13"/>
        <v xml:space="preserve">
Please state a percentage that is less than or equal to 25 followed by the % sign
</v>
      </c>
      <c r="I308" s="92"/>
      <c r="J308" s="92"/>
    </row>
    <row r="309" spans="1:10" ht="77.5">
      <c r="A309" s="185" t="s">
        <v>3315</v>
      </c>
      <c r="B309"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09" s="98" t="str">
        <f>"
Do not answer this question if there is no benefit revaluation or indexation linked to CPI ("&amp;Questions!$D$138&amp;").
"</f>
        <v xml:space="preserve">
Do not answer this question if there is no benefit revaluation or indexation linked to CPI (OAS 1.0).
</v>
      </c>
      <c r="D309"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09" s="98" t="str">
        <f>"
Do not answer this question if there is no benefit revaluation or indexation linked to CPI ("&amp;Questions!$D$138&amp;").
"</f>
        <v xml:space="preserve">
Do not answer this question if there is no benefit revaluation or indexation linked to CPI (OAS 1.0).
</v>
      </c>
      <c r="F309" s="98" t="str">
        <f>"
Do not answer this question if the scheme is a small scheme providing a spot rate ("&amp;Questions!$D$3&amp;").
"</f>
        <v xml:space="preserve">
Do not answer this question if the scheme is a small scheme providing a spot rate (SH 11.0).
</v>
      </c>
      <c r="G309" s="98" t="str">
        <f t="shared" si="12"/>
        <v xml:space="preserve">
Please state a percentage that is greater than or equal to -25 followed by the % sign
</v>
      </c>
      <c r="H309" s="98" t="str">
        <f t="shared" si="13"/>
        <v xml:space="preserve">
Please state a percentage that is less than or equal to 25 followed by the % sign
</v>
      </c>
      <c r="I309" s="92"/>
      <c r="J309" s="92"/>
    </row>
    <row r="310" spans="1:10" ht="77.5">
      <c r="A310" s="185" t="s">
        <v>3316</v>
      </c>
      <c r="B310"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10" s="98" t="str">
        <f>"
Do not answer this question if there is no benefit revaluation or indexation linked to CPI ("&amp;Questions!$D$138&amp;").
"</f>
        <v xml:space="preserve">
Do not answer this question if there is no benefit revaluation or indexation linked to CPI (OAS 1.0).
</v>
      </c>
      <c r="D310"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10" s="98" t="str">
        <f>"
Do not answer this question if there is no benefit revaluation or indexation linked to CPI ("&amp;Questions!$D$138&amp;").
"</f>
        <v xml:space="preserve">
Do not answer this question if there is no benefit revaluation or indexation linked to CPI (OAS 1.0).
</v>
      </c>
      <c r="F310" s="98" t="str">
        <f>"
Do not answer this question if the scheme is a small scheme providing a spot rate ("&amp;Questions!$D$3&amp;").
"</f>
        <v xml:space="preserve">
Do not answer this question if the scheme is a small scheme providing a spot rate (SH 11.0).
</v>
      </c>
      <c r="G310" s="98" t="str">
        <f t="shared" si="12"/>
        <v xml:space="preserve">
Please state a percentage that is greater than or equal to -25 followed by the % sign
</v>
      </c>
      <c r="H310" s="98" t="str">
        <f t="shared" si="13"/>
        <v xml:space="preserve">
Please state a percentage that is less than or equal to 25 followed by the % sign
</v>
      </c>
      <c r="I310" s="92"/>
      <c r="J310" s="92"/>
    </row>
    <row r="311" spans="1:10" ht="77.5">
      <c r="A311" s="185" t="s">
        <v>3317</v>
      </c>
      <c r="B311"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11" s="98" t="str">
        <f>"
Do not answer this question if there is no benefit revaluation or indexation linked to CPI ("&amp;Questions!$D$138&amp;").
"</f>
        <v xml:space="preserve">
Do not answer this question if there is no benefit revaluation or indexation linked to CPI (OAS 1.0).
</v>
      </c>
      <c r="D311"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11" s="98" t="str">
        <f>"
Do not answer this question if there is no benefit revaluation or indexation linked to CPI ("&amp;Questions!$D$138&amp;").
"</f>
        <v xml:space="preserve">
Do not answer this question if there is no benefit revaluation or indexation linked to CPI (OAS 1.0).
</v>
      </c>
      <c r="F311" s="98" t="str">
        <f>"
Do not answer this question if the scheme is a small scheme providing a spot rate ("&amp;Questions!$D$3&amp;").
"</f>
        <v xml:space="preserve">
Do not answer this question if the scheme is a small scheme providing a spot rate (SH 11.0).
</v>
      </c>
      <c r="G311" s="98" t="str">
        <f t="shared" si="12"/>
        <v xml:space="preserve">
Please state a percentage that is greater than or equal to -25 followed by the % sign
</v>
      </c>
      <c r="H311" s="98" t="str">
        <f t="shared" si="13"/>
        <v xml:space="preserve">
Please state a percentage that is less than or equal to 25 followed by the % sign
</v>
      </c>
      <c r="I311" s="92"/>
      <c r="J311" s="92"/>
    </row>
    <row r="312" spans="1:10" ht="77.5">
      <c r="A312" s="185" t="s">
        <v>3318</v>
      </c>
      <c r="B312"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12" s="98" t="str">
        <f>"
Do not answer this question if there is no benefit revaluation or indexation linked to CPI ("&amp;Questions!$D$138&amp;").
"</f>
        <v xml:space="preserve">
Do not answer this question if there is no benefit revaluation or indexation linked to CPI (OAS 1.0).
</v>
      </c>
      <c r="D312"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12" s="98" t="str">
        <f>"
Do not answer this question if there is no benefit revaluation or indexation linked to CPI ("&amp;Questions!$D$138&amp;").
"</f>
        <v xml:space="preserve">
Do not answer this question if there is no benefit revaluation or indexation linked to CPI (OAS 1.0).
</v>
      </c>
      <c r="F312" s="98" t="str">
        <f>"
Do not answer this question if the scheme is a small scheme providing a spot rate ("&amp;Questions!$D$3&amp;").
"</f>
        <v xml:space="preserve">
Do not answer this question if the scheme is a small scheme providing a spot rate (SH 11.0).
</v>
      </c>
      <c r="G312" s="98" t="str">
        <f t="shared" si="12"/>
        <v xml:space="preserve">
Please state a percentage that is greater than or equal to -25 followed by the % sign
</v>
      </c>
      <c r="H312" s="98" t="str">
        <f t="shared" si="13"/>
        <v xml:space="preserve">
Please state a percentage that is less than or equal to 25 followed by the % sign
</v>
      </c>
      <c r="I312" s="92"/>
      <c r="J312" s="92"/>
    </row>
    <row r="313" spans="1:10" ht="77.5">
      <c r="A313" s="185" t="s">
        <v>3319</v>
      </c>
      <c r="B313"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13" s="98" t="str">
        <f>"
Do not answer this question if there is no benefit revaluation or indexation linked to CPI ("&amp;Questions!$D$138&amp;").
"</f>
        <v xml:space="preserve">
Do not answer this question if there is no benefit revaluation or indexation linked to CPI (OAS 1.0).
</v>
      </c>
      <c r="D313"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13" s="98" t="str">
        <f>"
Do not answer this question if there is no benefit revaluation or indexation linked to CPI ("&amp;Questions!$D$138&amp;").
"</f>
        <v xml:space="preserve">
Do not answer this question if there is no benefit revaluation or indexation linked to CPI (OAS 1.0).
</v>
      </c>
      <c r="F313" s="98" t="str">
        <f>"
Do not answer this question if the scheme is a small scheme providing a spot rate ("&amp;Questions!$D$3&amp;").
"</f>
        <v xml:space="preserve">
Do not answer this question if the scheme is a small scheme providing a spot rate (SH 11.0).
</v>
      </c>
      <c r="G313" s="98" t="str">
        <f t="shared" si="12"/>
        <v xml:space="preserve">
Please state a percentage that is greater than or equal to -25 followed by the % sign
</v>
      </c>
      <c r="H313" s="98" t="str">
        <f t="shared" si="13"/>
        <v xml:space="preserve">
Please state a percentage that is less than or equal to 25 followed by the % sign
</v>
      </c>
      <c r="I313" s="92"/>
      <c r="J313" s="92"/>
    </row>
    <row r="314" spans="1:10" ht="77.5">
      <c r="A314" s="185" t="s">
        <v>3320</v>
      </c>
      <c r="B314"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14" s="98" t="str">
        <f>"
Do not answer this question if there is no benefit revaluation or indexation linked to CPI ("&amp;Questions!$D$138&amp;").
"</f>
        <v xml:space="preserve">
Do not answer this question if there is no benefit revaluation or indexation linked to CPI (OAS 1.0).
</v>
      </c>
      <c r="D314"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14" s="98" t="str">
        <f>"
Do not answer this question if there is no benefit revaluation or indexation linked to CPI ("&amp;Questions!$D$138&amp;").
"</f>
        <v xml:space="preserve">
Do not answer this question if there is no benefit revaluation or indexation linked to CPI (OAS 1.0).
</v>
      </c>
      <c r="F314" s="98" t="str">
        <f>"
Do not answer this question if the scheme is a small scheme providing a spot rate ("&amp;Questions!$D$3&amp;").
"</f>
        <v xml:space="preserve">
Do not answer this question if the scheme is a small scheme providing a spot rate (SH 11.0).
</v>
      </c>
      <c r="G314" s="98" t="str">
        <f t="shared" si="12"/>
        <v xml:space="preserve">
Please state a percentage that is greater than or equal to -25 followed by the % sign
</v>
      </c>
      <c r="H314" s="98" t="str">
        <f t="shared" si="13"/>
        <v xml:space="preserve">
Please state a percentage that is less than or equal to 25 followed by the % sign
</v>
      </c>
      <c r="I314" s="92"/>
      <c r="J314" s="92"/>
    </row>
    <row r="315" spans="1:10" ht="77.5">
      <c r="A315" s="185" t="s">
        <v>3321</v>
      </c>
      <c r="B315"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15" s="98" t="str">
        <f>"
Do not answer this question if there is no benefit revaluation or indexation linked to CPI ("&amp;Questions!$D$138&amp;").
"</f>
        <v xml:space="preserve">
Do not answer this question if there is no benefit revaluation or indexation linked to CPI (OAS 1.0).
</v>
      </c>
      <c r="D315"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15" s="98" t="str">
        <f>"
Do not answer this question if there is no benefit revaluation or indexation linked to CPI ("&amp;Questions!$D$138&amp;").
"</f>
        <v xml:space="preserve">
Do not answer this question if there is no benefit revaluation or indexation linked to CPI (OAS 1.0).
</v>
      </c>
      <c r="F315" s="98" t="str">
        <f>"
Do not answer this question if the scheme is a small scheme providing a spot rate ("&amp;Questions!$D$3&amp;").
"</f>
        <v xml:space="preserve">
Do not answer this question if the scheme is a small scheme providing a spot rate (SH 11.0).
</v>
      </c>
      <c r="G315" s="98" t="str">
        <f t="shared" si="12"/>
        <v xml:space="preserve">
Please state a percentage that is greater than or equal to -25 followed by the % sign
</v>
      </c>
      <c r="H315" s="98" t="str">
        <f t="shared" si="13"/>
        <v xml:space="preserve">
Please state a percentage that is less than or equal to 25 followed by the % sign
</v>
      </c>
      <c r="I315" s="92"/>
      <c r="J315" s="92"/>
    </row>
    <row r="316" spans="1:10" ht="77.5">
      <c r="A316" s="185" t="s">
        <v>3322</v>
      </c>
      <c r="B316"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16" s="98" t="str">
        <f>"
Do not answer this question if there is no benefit revaluation or indexation linked to CPI ("&amp;Questions!$D$138&amp;").
"</f>
        <v xml:space="preserve">
Do not answer this question if there is no benefit revaluation or indexation linked to CPI (OAS 1.0).
</v>
      </c>
      <c r="D316"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16" s="98" t="str">
        <f>"
Do not answer this question if there is no benefit revaluation or indexation linked to CPI ("&amp;Questions!$D$138&amp;").
"</f>
        <v xml:space="preserve">
Do not answer this question if there is no benefit revaluation or indexation linked to CPI (OAS 1.0).
</v>
      </c>
      <c r="F316" s="98" t="str">
        <f>"
Do not answer this question if the scheme is a small scheme providing a spot rate ("&amp;Questions!$D$3&amp;").
"</f>
        <v xml:space="preserve">
Do not answer this question if the scheme is a small scheme providing a spot rate (SH 11.0).
</v>
      </c>
      <c r="G316" s="98" t="str">
        <f t="shared" si="12"/>
        <v xml:space="preserve">
Please state a percentage that is greater than or equal to -25 followed by the % sign
</v>
      </c>
      <c r="H316" s="98" t="str">
        <f t="shared" si="13"/>
        <v xml:space="preserve">
Please state a percentage that is less than or equal to 25 followed by the % sign
</v>
      </c>
      <c r="I316" s="92"/>
      <c r="J316" s="92"/>
    </row>
    <row r="317" spans="1:10" ht="77.5">
      <c r="A317" s="185" t="s">
        <v>3323</v>
      </c>
      <c r="B317"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17" s="98" t="str">
        <f>"
Do not answer this question if there is no benefit revaluation or indexation linked to CPI ("&amp;Questions!$D$138&amp;").
"</f>
        <v xml:space="preserve">
Do not answer this question if there is no benefit revaluation or indexation linked to CPI (OAS 1.0).
</v>
      </c>
      <c r="D317"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17" s="98" t="str">
        <f>"
Do not answer this question if there is no benefit revaluation or indexation linked to CPI ("&amp;Questions!$D$138&amp;").
"</f>
        <v xml:space="preserve">
Do not answer this question if there is no benefit revaluation or indexation linked to CPI (OAS 1.0).
</v>
      </c>
      <c r="F317" s="98" t="str">
        <f>"
Do not answer this question if the scheme is a small scheme providing a spot rate ("&amp;Questions!$D$3&amp;").
"</f>
        <v xml:space="preserve">
Do not answer this question if the scheme is a small scheme providing a spot rate (SH 11.0).
</v>
      </c>
      <c r="G317" s="98" t="str">
        <f t="shared" si="12"/>
        <v xml:space="preserve">
Please state a percentage that is greater than or equal to -25 followed by the % sign
</v>
      </c>
      <c r="H317" s="98" t="str">
        <f t="shared" si="13"/>
        <v xml:space="preserve">
Please state a percentage that is less than or equal to 25 followed by the % sign
</v>
      </c>
      <c r="I317" s="92"/>
      <c r="J317" s="92"/>
    </row>
    <row r="318" spans="1:10" ht="77.5">
      <c r="A318" s="185" t="s">
        <v>3324</v>
      </c>
      <c r="B318"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18" s="98" t="str">
        <f>"
Do not answer this question if there is no benefit revaluation or indexation linked to CPI ("&amp;Questions!$D$138&amp;").
"</f>
        <v xml:space="preserve">
Do not answer this question if there is no benefit revaluation or indexation linked to CPI (OAS 1.0).
</v>
      </c>
      <c r="D318"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18" s="98" t="str">
        <f>"
Do not answer this question if there is no benefit revaluation or indexation linked to CPI ("&amp;Questions!$D$138&amp;").
"</f>
        <v xml:space="preserve">
Do not answer this question if there is no benefit revaluation or indexation linked to CPI (OAS 1.0).
</v>
      </c>
      <c r="F318" s="98" t="str">
        <f>"
Do not answer this question if the scheme is a small scheme providing a spot rate ("&amp;Questions!$D$3&amp;").
"</f>
        <v xml:space="preserve">
Do not answer this question if the scheme is a small scheme providing a spot rate (SH 11.0).
</v>
      </c>
      <c r="G318" s="98" t="str">
        <f t="shared" si="12"/>
        <v xml:space="preserve">
Please state a percentage that is greater than or equal to -25 followed by the % sign
</v>
      </c>
      <c r="H318" s="98" t="str">
        <f t="shared" si="13"/>
        <v xml:space="preserve">
Please state a percentage that is less than or equal to 25 followed by the % sign
</v>
      </c>
      <c r="I318" s="92"/>
      <c r="J318" s="92"/>
    </row>
    <row r="319" spans="1:10" ht="77.5">
      <c r="A319" s="185" t="s">
        <v>3325</v>
      </c>
      <c r="B319"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19" s="98" t="str">
        <f>"
Do not answer this question if there is no benefit revaluation or indexation linked to CPI ("&amp;Questions!$D$138&amp;").
"</f>
        <v xml:space="preserve">
Do not answer this question if there is no benefit revaluation or indexation linked to CPI (OAS 1.0).
</v>
      </c>
      <c r="D319"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19" s="98" t="str">
        <f>"
Do not answer this question if there is no benefit revaluation or indexation linked to CPI ("&amp;Questions!$D$138&amp;").
"</f>
        <v xml:space="preserve">
Do not answer this question if there is no benefit revaluation or indexation linked to CPI (OAS 1.0).
</v>
      </c>
      <c r="F319" s="98" t="str">
        <f>"
Do not answer this question if the scheme is a small scheme providing a spot rate ("&amp;Questions!$D$3&amp;").
"</f>
        <v xml:space="preserve">
Do not answer this question if the scheme is a small scheme providing a spot rate (SH 11.0).
</v>
      </c>
      <c r="G319" s="98" t="str">
        <f t="shared" si="12"/>
        <v xml:space="preserve">
Please state a percentage that is greater than or equal to -25 followed by the % sign
</v>
      </c>
      <c r="H319" s="98" t="str">
        <f t="shared" si="13"/>
        <v xml:space="preserve">
Please state a percentage that is less than or equal to 25 followed by the % sign
</v>
      </c>
      <c r="I319" s="92"/>
      <c r="J319" s="92"/>
    </row>
    <row r="320" spans="1:10" ht="77.5">
      <c r="A320" s="185" t="s">
        <v>3326</v>
      </c>
      <c r="B320"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20" s="98" t="str">
        <f>"
Do not answer this question if there is no benefit revaluation or indexation linked to CPI ("&amp;Questions!$D$138&amp;").
"</f>
        <v xml:space="preserve">
Do not answer this question if there is no benefit revaluation or indexation linked to CPI (OAS 1.0).
</v>
      </c>
      <c r="D320"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20" s="98" t="str">
        <f>"
Do not answer this question if there is no benefit revaluation or indexation linked to CPI ("&amp;Questions!$D$138&amp;").
"</f>
        <v xml:space="preserve">
Do not answer this question if there is no benefit revaluation or indexation linked to CPI (OAS 1.0).
</v>
      </c>
      <c r="F320" s="98" t="str">
        <f>"
Do not answer this question if the scheme is a small scheme providing a spot rate ("&amp;Questions!$D$3&amp;").
"</f>
        <v xml:space="preserve">
Do not answer this question if the scheme is a small scheme providing a spot rate (SH 11.0).
</v>
      </c>
      <c r="G320" s="98" t="str">
        <f t="shared" si="12"/>
        <v xml:space="preserve">
Please state a percentage that is greater than or equal to -25 followed by the % sign
</v>
      </c>
      <c r="H320" s="98" t="str">
        <f t="shared" si="13"/>
        <v xml:space="preserve">
Please state a percentage that is less than or equal to 25 followed by the % sign
</v>
      </c>
      <c r="I320" s="92"/>
      <c r="J320" s="92"/>
    </row>
    <row r="321" spans="1:10" ht="77.5">
      <c r="A321" s="185" t="s">
        <v>3327</v>
      </c>
      <c r="B321"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21" s="98" t="str">
        <f>"
Do not answer this question if there is no benefit revaluation or indexation linked to CPI ("&amp;Questions!$D$138&amp;").
"</f>
        <v xml:space="preserve">
Do not answer this question if there is no benefit revaluation or indexation linked to CPI (OAS 1.0).
</v>
      </c>
      <c r="D321"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21" s="98" t="str">
        <f>"
Do not answer this question if there is no benefit revaluation or indexation linked to CPI ("&amp;Questions!$D$138&amp;").
"</f>
        <v xml:space="preserve">
Do not answer this question if there is no benefit revaluation or indexation linked to CPI (OAS 1.0).
</v>
      </c>
      <c r="F321" s="98" t="str">
        <f>"
Do not answer this question if the scheme is a small scheme providing a spot rate ("&amp;Questions!$D$3&amp;").
"</f>
        <v xml:space="preserve">
Do not answer this question if the scheme is a small scheme providing a spot rate (SH 11.0).
</v>
      </c>
      <c r="G321" s="98" t="str">
        <f t="shared" si="12"/>
        <v xml:space="preserve">
Please state a percentage that is greater than or equal to -25 followed by the % sign
</v>
      </c>
      <c r="H321" s="98" t="str">
        <f t="shared" si="13"/>
        <v xml:space="preserve">
Please state a percentage that is less than or equal to 25 followed by the % sign
</v>
      </c>
      <c r="I321" s="92"/>
      <c r="J321" s="92"/>
    </row>
    <row r="322" spans="1:10" ht="77.5">
      <c r="A322" s="185" t="s">
        <v>3328</v>
      </c>
      <c r="B322"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22" s="98" t="str">
        <f>"
Do not answer this question if there is no benefit revaluation or indexation linked to CPI ("&amp;Questions!$D$138&amp;").
"</f>
        <v xml:space="preserve">
Do not answer this question if there is no benefit revaluation or indexation linked to CPI (OAS 1.0).
</v>
      </c>
      <c r="D322"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22" s="98" t="str">
        <f>"
Do not answer this question if there is no benefit revaluation or indexation linked to CPI ("&amp;Questions!$D$138&amp;").
"</f>
        <v xml:space="preserve">
Do not answer this question if there is no benefit revaluation or indexation linked to CPI (OAS 1.0).
</v>
      </c>
      <c r="F322" s="98" t="str">
        <f>"
Do not answer this question if the scheme is a small scheme providing a spot rate ("&amp;Questions!$D$3&amp;").
"</f>
        <v xml:space="preserve">
Do not answer this question if the scheme is a small scheme providing a spot rate (SH 11.0).
</v>
      </c>
      <c r="G322" s="98" t="str">
        <f t="shared" si="12"/>
        <v xml:space="preserve">
Please state a percentage that is greater than or equal to -25 followed by the % sign
</v>
      </c>
      <c r="H322" s="98" t="str">
        <f t="shared" si="13"/>
        <v xml:space="preserve">
Please state a percentage that is less than or equal to 25 followed by the % sign
</v>
      </c>
      <c r="I322" s="92"/>
      <c r="J322" s="92"/>
    </row>
    <row r="323" spans="1:10" ht="77.5">
      <c r="A323" s="185" t="s">
        <v>3329</v>
      </c>
      <c r="B323"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23" s="98" t="str">
        <f>"
Do not answer this question if there is no benefit revaluation or indexation linked to CPI ("&amp;Questions!$D$138&amp;").
"</f>
        <v xml:space="preserve">
Do not answer this question if there is no benefit revaluation or indexation linked to CPI (OAS 1.0).
</v>
      </c>
      <c r="D323"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23" s="98" t="str">
        <f>"
Do not answer this question if there is no benefit revaluation or indexation linked to CPI ("&amp;Questions!$D$138&amp;").
"</f>
        <v xml:space="preserve">
Do not answer this question if there is no benefit revaluation or indexation linked to CPI (OAS 1.0).
</v>
      </c>
      <c r="F323" s="98" t="str">
        <f>"
Do not answer this question if the scheme is a small scheme providing a spot rate ("&amp;Questions!$D$3&amp;").
"</f>
        <v xml:space="preserve">
Do not answer this question if the scheme is a small scheme providing a spot rate (SH 11.0).
</v>
      </c>
      <c r="G323" s="98" t="str">
        <f t="shared" si="12"/>
        <v xml:space="preserve">
Please state a percentage that is greater than or equal to -25 followed by the % sign
</v>
      </c>
      <c r="H323" s="98" t="str">
        <f t="shared" si="13"/>
        <v xml:space="preserve">
Please state a percentage that is less than or equal to 25 followed by the % sign
</v>
      </c>
      <c r="I323" s="92"/>
      <c r="J323" s="92"/>
    </row>
    <row r="324" spans="1:10" ht="77.5">
      <c r="A324" s="185" t="s">
        <v>3330</v>
      </c>
      <c r="B324"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24" s="98" t="str">
        <f>"
Do not answer this question if there is no benefit revaluation or indexation linked to CPI ("&amp;Questions!$D$138&amp;").
"</f>
        <v xml:space="preserve">
Do not answer this question if there is no benefit revaluation or indexation linked to CPI (OAS 1.0).
</v>
      </c>
      <c r="D324"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24" s="98" t="str">
        <f>"
Do not answer this question if there is no benefit revaluation or indexation linked to CPI ("&amp;Questions!$D$138&amp;").
"</f>
        <v xml:space="preserve">
Do not answer this question if there is no benefit revaluation or indexation linked to CPI (OAS 1.0).
</v>
      </c>
      <c r="F324" s="98" t="str">
        <f>"
Do not answer this question if the scheme is a small scheme providing a spot rate ("&amp;Questions!$D$3&amp;").
"</f>
        <v xml:space="preserve">
Do not answer this question if the scheme is a small scheme providing a spot rate (SH 11.0).
</v>
      </c>
      <c r="G324" s="98" t="str">
        <f t="shared" si="12"/>
        <v xml:space="preserve">
Please state a percentage that is greater than or equal to -25 followed by the % sign
</v>
      </c>
      <c r="H324" s="98" t="str">
        <f t="shared" si="13"/>
        <v xml:space="preserve">
Please state a percentage that is less than or equal to 25 followed by the % sign
</v>
      </c>
      <c r="I324" s="92"/>
      <c r="J324" s="92"/>
    </row>
    <row r="325" spans="1:10" ht="77.5">
      <c r="A325" s="185" t="s">
        <v>3331</v>
      </c>
      <c r="B325"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25" s="98" t="str">
        <f>"
Do not answer this question if there is no benefit revaluation or indexation linked to CPI ("&amp;Questions!$D$138&amp;").
"</f>
        <v xml:space="preserve">
Do not answer this question if there is no benefit revaluation or indexation linked to CPI (OAS 1.0).
</v>
      </c>
      <c r="D325"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25" s="98" t="str">
        <f>"
Do not answer this question if there is no benefit revaluation or indexation linked to CPI ("&amp;Questions!$D$138&amp;").
"</f>
        <v xml:space="preserve">
Do not answer this question if there is no benefit revaluation or indexation linked to CPI (OAS 1.0).
</v>
      </c>
      <c r="F325" s="98" t="str">
        <f>"
Do not answer this question if the scheme is a small scheme providing a spot rate ("&amp;Questions!$D$3&amp;").
"</f>
        <v xml:space="preserve">
Do not answer this question if the scheme is a small scheme providing a spot rate (SH 11.0).
</v>
      </c>
      <c r="G325" s="98" t="str">
        <f t="shared" si="12"/>
        <v xml:space="preserve">
Please state a percentage that is greater than or equal to -25 followed by the % sign
</v>
      </c>
      <c r="H325" s="98" t="str">
        <f t="shared" si="13"/>
        <v xml:space="preserve">
Please state a percentage that is less than or equal to 25 followed by the % sign
</v>
      </c>
      <c r="I325" s="92"/>
      <c r="J325" s="92"/>
    </row>
    <row r="326" spans="1:10" ht="77.5">
      <c r="A326" s="185" t="s">
        <v>3332</v>
      </c>
      <c r="B326"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26" s="98" t="str">
        <f>"
Do not answer this question if there is no benefit revaluation or indexation linked to CPI ("&amp;Questions!$D$138&amp;").
"</f>
        <v xml:space="preserve">
Do not answer this question if there is no benefit revaluation or indexation linked to CPI (OAS 1.0).
</v>
      </c>
      <c r="D326"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26" s="98" t="str">
        <f>"
Do not answer this question if there is no benefit revaluation or indexation linked to CPI ("&amp;Questions!$D$138&amp;").
"</f>
        <v xml:space="preserve">
Do not answer this question if there is no benefit revaluation or indexation linked to CPI (OAS 1.0).
</v>
      </c>
      <c r="F326" s="98" t="str">
        <f>"
Do not answer this question if the scheme is a small scheme providing a spot rate ("&amp;Questions!$D$3&amp;").
"</f>
        <v xml:space="preserve">
Do not answer this question if the scheme is a small scheme providing a spot rate (SH 11.0).
</v>
      </c>
      <c r="G326" s="98" t="str">
        <f t="shared" si="12"/>
        <v xml:space="preserve">
Please state a percentage that is greater than or equal to -25 followed by the % sign
</v>
      </c>
      <c r="H326" s="98" t="str">
        <f t="shared" si="13"/>
        <v xml:space="preserve">
Please state a percentage that is less than or equal to 25 followed by the % sign
</v>
      </c>
      <c r="I326" s="92"/>
      <c r="J326" s="92"/>
    </row>
    <row r="327" spans="1:10" ht="77.5">
      <c r="A327" s="185" t="s">
        <v>3333</v>
      </c>
      <c r="B327"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27" s="98" t="str">
        <f>"
Do not answer this question if there is no benefit revaluation or indexation linked to CPI ("&amp;Questions!$D$138&amp;").
"</f>
        <v xml:space="preserve">
Do not answer this question if there is no benefit revaluation or indexation linked to CPI (OAS 1.0).
</v>
      </c>
      <c r="D327"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27" s="98" t="str">
        <f>"
Do not answer this question if there is no benefit revaluation or indexation linked to CPI ("&amp;Questions!$D$138&amp;").
"</f>
        <v xml:space="preserve">
Do not answer this question if there is no benefit revaluation or indexation linked to CPI (OAS 1.0).
</v>
      </c>
      <c r="F327" s="98" t="str">
        <f>"
Do not answer this question if the scheme is a small scheme providing a spot rate ("&amp;Questions!$D$3&amp;").
"</f>
        <v xml:space="preserve">
Do not answer this question if the scheme is a small scheme providing a spot rate (SH 11.0).
</v>
      </c>
      <c r="G327" s="98" t="str">
        <f t="shared" si="12"/>
        <v xml:space="preserve">
Please state a percentage that is greater than or equal to -25 followed by the % sign
</v>
      </c>
      <c r="H327" s="98" t="str">
        <f t="shared" si="13"/>
        <v xml:space="preserve">
Please state a percentage that is less than or equal to 25 followed by the % sign
</v>
      </c>
      <c r="I327" s="92"/>
      <c r="J327" s="92"/>
    </row>
    <row r="328" spans="1:10" ht="77.5">
      <c r="A328" s="185" t="s">
        <v>3334</v>
      </c>
      <c r="B328"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28" s="98" t="str">
        <f>"
Do not answer this question if there is no benefit revaluation or indexation linked to CPI ("&amp;Questions!$D$138&amp;").
"</f>
        <v xml:space="preserve">
Do not answer this question if there is no benefit revaluation or indexation linked to CPI (OAS 1.0).
</v>
      </c>
      <c r="D328"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28" s="98" t="str">
        <f>"
Do not answer this question if there is no benefit revaluation or indexation linked to CPI ("&amp;Questions!$D$138&amp;").
"</f>
        <v xml:space="preserve">
Do not answer this question if there is no benefit revaluation or indexation linked to CPI (OAS 1.0).
</v>
      </c>
      <c r="F328" s="98" t="str">
        <f>"
Do not answer this question if the scheme is a small scheme providing a spot rate ("&amp;Questions!$D$3&amp;").
"</f>
        <v xml:space="preserve">
Do not answer this question if the scheme is a small scheme providing a spot rate (SH 11.0).
</v>
      </c>
      <c r="G328" s="98" t="str">
        <f t="shared" si="12"/>
        <v xml:space="preserve">
Please state a percentage that is greater than or equal to -25 followed by the % sign
</v>
      </c>
      <c r="H328" s="98" t="str">
        <f t="shared" si="13"/>
        <v xml:space="preserve">
Please state a percentage that is less than or equal to 25 followed by the % sign
</v>
      </c>
      <c r="I328" s="92"/>
      <c r="J328" s="92"/>
    </row>
    <row r="329" spans="1:10" ht="77.5">
      <c r="A329" s="185" t="s">
        <v>3335</v>
      </c>
      <c r="B329"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29" s="98" t="str">
        <f>"
Do not answer this question if there is no benefit revaluation or indexation linked to CPI ("&amp;Questions!$D$138&amp;").
"</f>
        <v xml:space="preserve">
Do not answer this question if there is no benefit revaluation or indexation linked to CPI (OAS 1.0).
</v>
      </c>
      <c r="D329"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29" s="98" t="str">
        <f>"
Do not answer this question if there is no benefit revaluation or indexation linked to CPI ("&amp;Questions!$D$138&amp;").
"</f>
        <v xml:space="preserve">
Do not answer this question if there is no benefit revaluation or indexation linked to CPI (OAS 1.0).
</v>
      </c>
      <c r="F329" s="98" t="str">
        <f>"
Do not answer this question if the scheme is a small scheme providing a spot rate ("&amp;Questions!$D$3&amp;").
"</f>
        <v xml:space="preserve">
Do not answer this question if the scheme is a small scheme providing a spot rate (SH 11.0).
</v>
      </c>
      <c r="G329" s="98" t="str">
        <f t="shared" si="12"/>
        <v xml:space="preserve">
Please state a percentage that is greater than or equal to -25 followed by the % sign
</v>
      </c>
      <c r="H329" s="98" t="str">
        <f t="shared" si="13"/>
        <v xml:space="preserve">
Please state a percentage that is less than or equal to 25 followed by the % sign
</v>
      </c>
      <c r="I329" s="92"/>
      <c r="J329" s="92"/>
    </row>
    <row r="330" spans="1:10" ht="77.5">
      <c r="A330" s="185" t="s">
        <v>3336</v>
      </c>
      <c r="B330"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30" s="98" t="str">
        <f>"
Do not answer this question if there is no benefit revaluation or indexation linked to CPI ("&amp;Questions!$D$138&amp;").
"</f>
        <v xml:space="preserve">
Do not answer this question if there is no benefit revaluation or indexation linked to CPI (OAS 1.0).
</v>
      </c>
      <c r="D330"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30" s="98" t="str">
        <f>"
Do not answer this question if there is no benefit revaluation or indexation linked to CPI ("&amp;Questions!$D$138&amp;").
"</f>
        <v xml:space="preserve">
Do not answer this question if there is no benefit revaluation or indexation linked to CPI (OAS 1.0).
</v>
      </c>
      <c r="F330" s="98" t="str">
        <f>"
Do not answer this question if the scheme is a small scheme providing a spot rate ("&amp;Questions!$D$3&amp;").
"</f>
        <v xml:space="preserve">
Do not answer this question if the scheme is a small scheme providing a spot rate (SH 11.0).
</v>
      </c>
      <c r="G330" s="98" t="str">
        <f t="shared" si="12"/>
        <v xml:space="preserve">
Please state a percentage that is greater than or equal to -25 followed by the % sign
</v>
      </c>
      <c r="H330" s="98" t="str">
        <f t="shared" si="13"/>
        <v xml:space="preserve">
Please state a percentage that is less than or equal to 25 followed by the % sign
</v>
      </c>
      <c r="I330" s="92"/>
      <c r="J330" s="92"/>
    </row>
    <row r="331" spans="1:10" ht="77.5">
      <c r="A331" s="185" t="s">
        <v>3337</v>
      </c>
      <c r="B331"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31" s="98" t="str">
        <f>"
Do not answer this question if there is no benefit revaluation or indexation linked to CPI ("&amp;Questions!$D$138&amp;").
"</f>
        <v xml:space="preserve">
Do not answer this question if there is no benefit revaluation or indexation linked to CPI (OAS 1.0).
</v>
      </c>
      <c r="D331"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31" s="98" t="str">
        <f>"
Do not answer this question if there is no benefit revaluation or indexation linked to CPI ("&amp;Questions!$D$138&amp;").
"</f>
        <v xml:space="preserve">
Do not answer this question if there is no benefit revaluation or indexation linked to CPI (OAS 1.0).
</v>
      </c>
      <c r="F331" s="98" t="str">
        <f>"
Do not answer this question if the scheme is a small scheme providing a spot rate ("&amp;Questions!$D$3&amp;").
"</f>
        <v xml:space="preserve">
Do not answer this question if the scheme is a small scheme providing a spot rate (SH 11.0).
</v>
      </c>
      <c r="G331" s="98" t="str">
        <f t="shared" si="12"/>
        <v xml:space="preserve">
Please state a percentage that is greater than or equal to -25 followed by the % sign
</v>
      </c>
      <c r="H331" s="98" t="str">
        <f t="shared" si="13"/>
        <v xml:space="preserve">
Please state a percentage that is less than or equal to 25 followed by the % sign
</v>
      </c>
      <c r="I331" s="92"/>
      <c r="J331" s="92"/>
    </row>
    <row r="332" spans="1:10" ht="77.5">
      <c r="A332" s="185" t="s">
        <v>3338</v>
      </c>
      <c r="B332"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32" s="98" t="str">
        <f>"
Do not answer this question if there is no benefit revaluation or indexation linked to CPI ("&amp;Questions!$D$138&amp;").
"</f>
        <v xml:space="preserve">
Do not answer this question if there is no benefit revaluation or indexation linked to CPI (OAS 1.0).
</v>
      </c>
      <c r="D332"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32" s="98" t="str">
        <f>"
Do not answer this question if there is no benefit revaluation or indexation linked to CPI ("&amp;Questions!$D$138&amp;").
"</f>
        <v xml:space="preserve">
Do not answer this question if there is no benefit revaluation or indexation linked to CPI (OAS 1.0).
</v>
      </c>
      <c r="F332" s="98" t="str">
        <f>"
Do not answer this question if the scheme is a small scheme providing a spot rate ("&amp;Questions!$D$3&amp;").
"</f>
        <v xml:space="preserve">
Do not answer this question if the scheme is a small scheme providing a spot rate (SH 11.0).
</v>
      </c>
      <c r="G332" s="98" t="str">
        <f t="shared" si="12"/>
        <v xml:space="preserve">
Please state a percentage that is greater than or equal to -25 followed by the % sign
</v>
      </c>
      <c r="H332" s="98" t="str">
        <f t="shared" si="13"/>
        <v xml:space="preserve">
Please state a percentage that is less than or equal to 25 followed by the % sign
</v>
      </c>
      <c r="I332" s="92"/>
      <c r="J332" s="92"/>
    </row>
    <row r="333" spans="1:10" ht="77.5">
      <c r="A333" s="185" t="s">
        <v>3339</v>
      </c>
      <c r="B333"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C333" s="98" t="str">
        <f>"
Do not answer this question if there is no benefit revaluation or indexation linked to CPI ("&amp;Questions!$D$138&amp;").
"</f>
        <v xml:space="preserve">
Do not answer this question if there is no benefit revaluation or indexation linked to CPI (OAS 1.0).
</v>
      </c>
      <c r="D333" s="98" t="str">
        <f>"
You must answer this question if there is a benefit revaluation or indexation linked to CPI ("&amp;Questions!$D$138&amp;") (unless the scheme is a small scheme providing a spot rate ("&amp;Questions!$D$3&amp;")).
"</f>
        <v xml:space="preserve">
You must answer this question if there is a benefit revaluation or indexation linked to CPI (OAS 1.0) (unless the scheme is a small scheme providing a spot rate (SH 11.0)).
</v>
      </c>
      <c r="E333" s="98" t="str">
        <f>"
Do not answer this question if there is no benefit revaluation or indexation linked to CPI ("&amp;Questions!$D$138&amp;").
"</f>
        <v xml:space="preserve">
Do not answer this question if there is no benefit revaluation or indexation linked to CPI (OAS 1.0).
</v>
      </c>
      <c r="F333" s="98" t="str">
        <f>"
Do not answer this question if the scheme is a small scheme providing a spot rate ("&amp;Questions!$D$3&amp;").
"</f>
        <v xml:space="preserve">
Do not answer this question if the scheme is a small scheme providing a spot rate (SH 11.0).
</v>
      </c>
      <c r="G333" s="98" t="str">
        <f t="shared" si="12"/>
        <v xml:space="preserve">
Please state a percentage that is greater than or equal to -25 followed by the % sign
</v>
      </c>
      <c r="H333" s="98" t="str">
        <f t="shared" si="13"/>
        <v xml:space="preserve">
Please state a percentage that is less than or equal to 25 followed by the % sign
</v>
      </c>
      <c r="I333" s="92"/>
      <c r="J333" s="92"/>
    </row>
    <row r="334" spans="1:10" ht="77.5">
      <c r="A334" s="185" t="s">
        <v>3340</v>
      </c>
      <c r="B334"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34" s="98" t="str">
        <f>"
Do not answer this question if some benefits do not have a salary link ("&amp;Questions!$D$141&amp;").
"</f>
        <v xml:space="preserve">
Do not answer this question if some benefits do not have a salary link (OAS 4.0).
</v>
      </c>
      <c r="D334"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34" s="98" t="str">
        <f>"
Do not answer this question if some benefits do not have a salary link ("&amp;Questions!$D$141&amp;").
"</f>
        <v xml:space="preserve">
Do not answer this question if some benefits do not have a salary link (OAS 4.0).
</v>
      </c>
      <c r="F334" s="98" t="str">
        <f>"
Do not answer this question if the scheme is a small scheme providing a spot rate ("&amp;Questions!$D$3&amp;").
"</f>
        <v xml:space="preserve">
Do not answer this question if the scheme is a small scheme providing a spot rate (SH 11.0).
</v>
      </c>
      <c r="G334" s="98" t="str">
        <f t="shared" ref="G334:G373" si="14">"
Please state a percentage that is greater than or equal to 0  followed by the % sign
"</f>
        <v xml:space="preserve">
Please state a percentage that is greater than or equal to 0  followed by the % sign
</v>
      </c>
      <c r="H334" s="98" t="str">
        <f t="shared" ref="H334:H373" si="15">"
Please state a percentage that is less than or equal to 25 followed by the % sign
"</f>
        <v xml:space="preserve">
Please state a percentage that is less than or equal to 25 followed by the % sign
</v>
      </c>
      <c r="I334" s="92"/>
      <c r="J334" s="92"/>
    </row>
    <row r="335" spans="1:10" ht="77.5">
      <c r="A335" s="185" t="s">
        <v>3341</v>
      </c>
      <c r="B335"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35" s="98" t="str">
        <f>"
Do not answer this question if some benefits do not have a salary link ("&amp;Questions!$D$141&amp;").
"</f>
        <v xml:space="preserve">
Do not answer this question if some benefits do not have a salary link (OAS 4.0).
</v>
      </c>
      <c r="D335"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35" s="98" t="str">
        <f>"
Do not answer this question if some benefits do not have a salary link ("&amp;Questions!$D$141&amp;").
"</f>
        <v xml:space="preserve">
Do not answer this question if some benefits do not have a salary link (OAS 4.0).
</v>
      </c>
      <c r="F335" s="98" t="str">
        <f>"
Do not answer this question if the scheme is a small scheme providing a spot rate ("&amp;Questions!$D$3&amp;").
"</f>
        <v xml:space="preserve">
Do not answer this question if the scheme is a small scheme providing a spot rate (SH 11.0).
</v>
      </c>
      <c r="G335" s="98" t="str">
        <f t="shared" si="14"/>
        <v xml:space="preserve">
Please state a percentage that is greater than or equal to 0  followed by the % sign
</v>
      </c>
      <c r="H335" s="98" t="str">
        <f t="shared" si="15"/>
        <v xml:space="preserve">
Please state a percentage that is less than or equal to 25 followed by the % sign
</v>
      </c>
      <c r="I335" s="92"/>
      <c r="J335" s="92"/>
    </row>
    <row r="336" spans="1:10" ht="77.5">
      <c r="A336" s="185" t="s">
        <v>3342</v>
      </c>
      <c r="B336"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36" s="98" t="str">
        <f>"
Do not answer this question if some benefits do not have a salary link ("&amp;Questions!$D$141&amp;").
"</f>
        <v xml:space="preserve">
Do not answer this question if some benefits do not have a salary link (OAS 4.0).
</v>
      </c>
      <c r="D336"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36" s="98" t="str">
        <f>"
Do not answer this question if some benefits do not have a salary link ("&amp;Questions!$D$141&amp;").
"</f>
        <v xml:space="preserve">
Do not answer this question if some benefits do not have a salary link (OAS 4.0).
</v>
      </c>
      <c r="F336" s="98" t="str">
        <f>"
Do not answer this question if the scheme is a small scheme providing a spot rate ("&amp;Questions!$D$3&amp;").
"</f>
        <v xml:space="preserve">
Do not answer this question if the scheme is a small scheme providing a spot rate (SH 11.0).
</v>
      </c>
      <c r="G336" s="98" t="str">
        <f t="shared" si="14"/>
        <v xml:space="preserve">
Please state a percentage that is greater than or equal to 0  followed by the % sign
</v>
      </c>
      <c r="H336" s="98" t="str">
        <f t="shared" si="15"/>
        <v xml:space="preserve">
Please state a percentage that is less than or equal to 25 followed by the % sign
</v>
      </c>
      <c r="I336" s="92"/>
      <c r="J336" s="92"/>
    </row>
    <row r="337" spans="1:10" ht="77.5">
      <c r="A337" s="185" t="s">
        <v>3343</v>
      </c>
      <c r="B337"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37" s="98" t="str">
        <f>"
Do not answer this question if some benefits do not have a salary link ("&amp;Questions!$D$141&amp;").
"</f>
        <v xml:space="preserve">
Do not answer this question if some benefits do not have a salary link (OAS 4.0).
</v>
      </c>
      <c r="D337"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37" s="98" t="str">
        <f>"
Do not answer this question if some benefits do not have a salary link ("&amp;Questions!$D$141&amp;").
"</f>
        <v xml:space="preserve">
Do not answer this question if some benefits do not have a salary link (OAS 4.0).
</v>
      </c>
      <c r="F337" s="98" t="str">
        <f>"
Do not answer this question if the scheme is a small scheme providing a spot rate ("&amp;Questions!$D$3&amp;").
"</f>
        <v xml:space="preserve">
Do not answer this question if the scheme is a small scheme providing a spot rate (SH 11.0).
</v>
      </c>
      <c r="G337" s="98" t="str">
        <f t="shared" si="14"/>
        <v xml:space="preserve">
Please state a percentage that is greater than or equal to 0  followed by the % sign
</v>
      </c>
      <c r="H337" s="98" t="str">
        <f t="shared" si="15"/>
        <v xml:space="preserve">
Please state a percentage that is less than or equal to 25 followed by the % sign
</v>
      </c>
      <c r="I337" s="92"/>
      <c r="J337" s="92"/>
    </row>
    <row r="338" spans="1:10" ht="77.5">
      <c r="A338" s="185" t="s">
        <v>3344</v>
      </c>
      <c r="B338"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38" s="98" t="str">
        <f>"
Do not answer this question if some benefits do not have a salary link ("&amp;Questions!$D$141&amp;").
"</f>
        <v xml:space="preserve">
Do not answer this question if some benefits do not have a salary link (OAS 4.0).
</v>
      </c>
      <c r="D338"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38" s="98" t="str">
        <f>"
Do not answer this question if some benefits do not have a salary link ("&amp;Questions!$D$141&amp;").
"</f>
        <v xml:space="preserve">
Do not answer this question if some benefits do not have a salary link (OAS 4.0).
</v>
      </c>
      <c r="F338" s="98" t="str">
        <f>"
Do not answer this question if the scheme is a small scheme providing a spot rate ("&amp;Questions!$D$3&amp;").
"</f>
        <v xml:space="preserve">
Do not answer this question if the scheme is a small scheme providing a spot rate (SH 11.0).
</v>
      </c>
      <c r="G338" s="98" t="str">
        <f t="shared" si="14"/>
        <v xml:space="preserve">
Please state a percentage that is greater than or equal to 0  followed by the % sign
</v>
      </c>
      <c r="H338" s="98" t="str">
        <f t="shared" si="15"/>
        <v xml:space="preserve">
Please state a percentage that is less than or equal to 25 followed by the % sign
</v>
      </c>
      <c r="I338" s="92"/>
      <c r="J338" s="92"/>
    </row>
    <row r="339" spans="1:10" ht="77.5">
      <c r="A339" s="185" t="s">
        <v>3345</v>
      </c>
      <c r="B339"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39" s="98" t="str">
        <f>"
Do not answer this question if some benefits do not have a salary link ("&amp;Questions!$D$141&amp;").
"</f>
        <v xml:space="preserve">
Do not answer this question if some benefits do not have a salary link (OAS 4.0).
</v>
      </c>
      <c r="D339"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39" s="98" t="str">
        <f>"
Do not answer this question if some benefits do not have a salary link ("&amp;Questions!$D$141&amp;").
"</f>
        <v xml:space="preserve">
Do not answer this question if some benefits do not have a salary link (OAS 4.0).
</v>
      </c>
      <c r="F339" s="98" t="str">
        <f>"
Do not answer this question if the scheme is a small scheme providing a spot rate ("&amp;Questions!$D$3&amp;").
"</f>
        <v xml:space="preserve">
Do not answer this question if the scheme is a small scheme providing a spot rate (SH 11.0).
</v>
      </c>
      <c r="G339" s="98" t="str">
        <f t="shared" si="14"/>
        <v xml:space="preserve">
Please state a percentage that is greater than or equal to 0  followed by the % sign
</v>
      </c>
      <c r="H339" s="98" t="str">
        <f t="shared" si="15"/>
        <v xml:space="preserve">
Please state a percentage that is less than or equal to 25 followed by the % sign
</v>
      </c>
      <c r="I339" s="92"/>
      <c r="J339" s="92"/>
    </row>
    <row r="340" spans="1:10" ht="77.5">
      <c r="A340" s="185" t="s">
        <v>3346</v>
      </c>
      <c r="B340"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40" s="98" t="str">
        <f>"
Do not answer this question if some benefits do not have a salary link ("&amp;Questions!$D$141&amp;").
"</f>
        <v xml:space="preserve">
Do not answer this question if some benefits do not have a salary link (OAS 4.0).
</v>
      </c>
      <c r="D340"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40" s="98" t="str">
        <f>"
Do not answer this question if some benefits do not have a salary link ("&amp;Questions!$D$141&amp;").
"</f>
        <v xml:space="preserve">
Do not answer this question if some benefits do not have a salary link (OAS 4.0).
</v>
      </c>
      <c r="F340" s="98" t="str">
        <f>"
Do not answer this question if the scheme is a small scheme providing a spot rate ("&amp;Questions!$D$3&amp;").
"</f>
        <v xml:space="preserve">
Do not answer this question if the scheme is a small scheme providing a spot rate (SH 11.0).
</v>
      </c>
      <c r="G340" s="98" t="str">
        <f t="shared" si="14"/>
        <v xml:space="preserve">
Please state a percentage that is greater than or equal to 0  followed by the % sign
</v>
      </c>
      <c r="H340" s="98" t="str">
        <f t="shared" si="15"/>
        <v xml:space="preserve">
Please state a percentage that is less than or equal to 25 followed by the % sign
</v>
      </c>
      <c r="I340" s="92"/>
      <c r="J340" s="92"/>
    </row>
    <row r="341" spans="1:10" ht="77.5">
      <c r="A341" s="185" t="s">
        <v>3347</v>
      </c>
      <c r="B341"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41" s="98" t="str">
        <f>"
Do not answer this question if some benefits do not have a salary link ("&amp;Questions!$D$141&amp;").
"</f>
        <v xml:space="preserve">
Do not answer this question if some benefits do not have a salary link (OAS 4.0).
</v>
      </c>
      <c r="D341"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41" s="98" t="str">
        <f>"
Do not answer this question if some benefits do not have a salary link ("&amp;Questions!$D$141&amp;").
"</f>
        <v xml:space="preserve">
Do not answer this question if some benefits do not have a salary link (OAS 4.0).
</v>
      </c>
      <c r="F341" s="98" t="str">
        <f>"
Do not answer this question if the scheme is a small scheme providing a spot rate ("&amp;Questions!$D$3&amp;").
"</f>
        <v xml:space="preserve">
Do not answer this question if the scheme is a small scheme providing a spot rate (SH 11.0).
</v>
      </c>
      <c r="G341" s="98" t="str">
        <f t="shared" si="14"/>
        <v xml:space="preserve">
Please state a percentage that is greater than or equal to 0  followed by the % sign
</v>
      </c>
      <c r="H341" s="98" t="str">
        <f t="shared" si="15"/>
        <v xml:space="preserve">
Please state a percentage that is less than or equal to 25 followed by the % sign
</v>
      </c>
      <c r="I341" s="92"/>
      <c r="J341" s="92"/>
    </row>
    <row r="342" spans="1:10" ht="77.5">
      <c r="A342" s="185" t="s">
        <v>3348</v>
      </c>
      <c r="B342"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42" s="98" t="str">
        <f>"
Do not answer this question if some benefits do not have a salary link ("&amp;Questions!$D$141&amp;").
"</f>
        <v xml:space="preserve">
Do not answer this question if some benefits do not have a salary link (OAS 4.0).
</v>
      </c>
      <c r="D342"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42" s="98" t="str">
        <f>"
Do not answer this question if some benefits do not have a salary link ("&amp;Questions!$D$141&amp;").
"</f>
        <v xml:space="preserve">
Do not answer this question if some benefits do not have a salary link (OAS 4.0).
</v>
      </c>
      <c r="F342" s="98" t="str">
        <f>"
Do not answer this question if the scheme is a small scheme providing a spot rate ("&amp;Questions!$D$3&amp;").
"</f>
        <v xml:space="preserve">
Do not answer this question if the scheme is a small scheme providing a spot rate (SH 11.0).
</v>
      </c>
      <c r="G342" s="98" t="str">
        <f t="shared" si="14"/>
        <v xml:space="preserve">
Please state a percentage that is greater than or equal to 0  followed by the % sign
</v>
      </c>
      <c r="H342" s="98" t="str">
        <f t="shared" si="15"/>
        <v xml:space="preserve">
Please state a percentage that is less than or equal to 25 followed by the % sign
</v>
      </c>
      <c r="I342" s="92"/>
      <c r="J342" s="92"/>
    </row>
    <row r="343" spans="1:10" ht="77.5">
      <c r="A343" s="185" t="s">
        <v>3349</v>
      </c>
      <c r="B343"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43" s="98" t="str">
        <f>"
Do not answer this question if some benefits do not have a salary link ("&amp;Questions!$D$141&amp;").
"</f>
        <v xml:space="preserve">
Do not answer this question if some benefits do not have a salary link (OAS 4.0).
</v>
      </c>
      <c r="D343"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43" s="98" t="str">
        <f>"
Do not answer this question if some benefits do not have a salary link ("&amp;Questions!$D$141&amp;").
"</f>
        <v xml:space="preserve">
Do not answer this question if some benefits do not have a salary link (OAS 4.0).
</v>
      </c>
      <c r="F343" s="98" t="str">
        <f>"
Do not answer this question if the scheme is a small scheme providing a spot rate ("&amp;Questions!$D$3&amp;").
"</f>
        <v xml:space="preserve">
Do not answer this question if the scheme is a small scheme providing a spot rate (SH 11.0).
</v>
      </c>
      <c r="G343" s="98" t="str">
        <f t="shared" si="14"/>
        <v xml:space="preserve">
Please state a percentage that is greater than or equal to 0  followed by the % sign
</v>
      </c>
      <c r="H343" s="98" t="str">
        <f t="shared" si="15"/>
        <v xml:space="preserve">
Please state a percentage that is less than or equal to 25 followed by the % sign
</v>
      </c>
      <c r="I343" s="92"/>
      <c r="J343" s="92"/>
    </row>
    <row r="344" spans="1:10" ht="77.5">
      <c r="A344" s="185" t="s">
        <v>3350</v>
      </c>
      <c r="B344"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44" s="98" t="str">
        <f>"
Do not answer this question if some benefits do not have a salary link ("&amp;Questions!$D$141&amp;").
"</f>
        <v xml:space="preserve">
Do not answer this question if some benefits do not have a salary link (OAS 4.0).
</v>
      </c>
      <c r="D344"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44" s="98" t="str">
        <f>"
Do not answer this question if some benefits do not have a salary link ("&amp;Questions!$D$141&amp;").
"</f>
        <v xml:space="preserve">
Do not answer this question if some benefits do not have a salary link (OAS 4.0).
</v>
      </c>
      <c r="F344" s="98" t="str">
        <f>"
Do not answer this question if the scheme is a small scheme providing a spot rate ("&amp;Questions!$D$3&amp;").
"</f>
        <v xml:space="preserve">
Do not answer this question if the scheme is a small scheme providing a spot rate (SH 11.0).
</v>
      </c>
      <c r="G344" s="98" t="str">
        <f t="shared" si="14"/>
        <v xml:space="preserve">
Please state a percentage that is greater than or equal to 0  followed by the % sign
</v>
      </c>
      <c r="H344" s="98" t="str">
        <f t="shared" si="15"/>
        <v xml:space="preserve">
Please state a percentage that is less than or equal to 25 followed by the % sign
</v>
      </c>
      <c r="I344" s="92"/>
      <c r="J344" s="92"/>
    </row>
    <row r="345" spans="1:10" ht="77.5">
      <c r="A345" s="185" t="s">
        <v>3351</v>
      </c>
      <c r="B345"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45" s="98" t="str">
        <f>"
Do not answer this question if some benefits do not have a salary link ("&amp;Questions!$D$141&amp;").
"</f>
        <v xml:space="preserve">
Do not answer this question if some benefits do not have a salary link (OAS 4.0).
</v>
      </c>
      <c r="D345"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45" s="98" t="str">
        <f>"
Do not answer this question if some benefits do not have a salary link ("&amp;Questions!$D$141&amp;").
"</f>
        <v xml:space="preserve">
Do not answer this question if some benefits do not have a salary link (OAS 4.0).
</v>
      </c>
      <c r="F345" s="98" t="str">
        <f>"
Do not answer this question if the scheme is a small scheme providing a spot rate ("&amp;Questions!$D$3&amp;").
"</f>
        <v xml:space="preserve">
Do not answer this question if the scheme is a small scheme providing a spot rate (SH 11.0).
</v>
      </c>
      <c r="G345" s="98" t="str">
        <f t="shared" si="14"/>
        <v xml:space="preserve">
Please state a percentage that is greater than or equal to 0  followed by the % sign
</v>
      </c>
      <c r="H345" s="98" t="str">
        <f t="shared" si="15"/>
        <v xml:space="preserve">
Please state a percentage that is less than or equal to 25 followed by the % sign
</v>
      </c>
      <c r="I345" s="92"/>
      <c r="J345" s="92"/>
    </row>
    <row r="346" spans="1:10" ht="77.5">
      <c r="A346" s="185" t="s">
        <v>3352</v>
      </c>
      <c r="B346"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46" s="98" t="str">
        <f>"
Do not answer this question if some benefits do not have a salary link ("&amp;Questions!$D$141&amp;").
"</f>
        <v xml:space="preserve">
Do not answer this question if some benefits do not have a salary link (OAS 4.0).
</v>
      </c>
      <c r="D346"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46" s="98" t="str">
        <f>"
Do not answer this question if some benefits do not have a salary link ("&amp;Questions!$D$141&amp;").
"</f>
        <v xml:space="preserve">
Do not answer this question if some benefits do not have a salary link (OAS 4.0).
</v>
      </c>
      <c r="F346" s="98" t="str">
        <f>"
Do not answer this question if the scheme is a small scheme providing a spot rate ("&amp;Questions!$D$3&amp;").
"</f>
        <v xml:space="preserve">
Do not answer this question if the scheme is a small scheme providing a spot rate (SH 11.0).
</v>
      </c>
      <c r="G346" s="98" t="str">
        <f t="shared" si="14"/>
        <v xml:space="preserve">
Please state a percentage that is greater than or equal to 0  followed by the % sign
</v>
      </c>
      <c r="H346" s="98" t="str">
        <f t="shared" si="15"/>
        <v xml:space="preserve">
Please state a percentage that is less than or equal to 25 followed by the % sign
</v>
      </c>
      <c r="I346" s="92"/>
      <c r="J346" s="92"/>
    </row>
    <row r="347" spans="1:10" ht="77.5">
      <c r="A347" s="185" t="s">
        <v>3353</v>
      </c>
      <c r="B347"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47" s="98" t="str">
        <f>"
Do not answer this question if some benefits do not have a salary link ("&amp;Questions!$D$141&amp;").
"</f>
        <v xml:space="preserve">
Do not answer this question if some benefits do not have a salary link (OAS 4.0).
</v>
      </c>
      <c r="D347"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47" s="98" t="str">
        <f>"
Do not answer this question if some benefits do not have a salary link ("&amp;Questions!$D$141&amp;").
"</f>
        <v xml:space="preserve">
Do not answer this question if some benefits do not have a salary link (OAS 4.0).
</v>
      </c>
      <c r="F347" s="98" t="str">
        <f>"
Do not answer this question if the scheme is a small scheme providing a spot rate ("&amp;Questions!$D$3&amp;").
"</f>
        <v xml:space="preserve">
Do not answer this question if the scheme is a small scheme providing a spot rate (SH 11.0).
</v>
      </c>
      <c r="G347" s="98" t="str">
        <f t="shared" si="14"/>
        <v xml:space="preserve">
Please state a percentage that is greater than or equal to 0  followed by the % sign
</v>
      </c>
      <c r="H347" s="98" t="str">
        <f t="shared" si="15"/>
        <v xml:space="preserve">
Please state a percentage that is less than or equal to 25 followed by the % sign
</v>
      </c>
      <c r="I347" s="92"/>
      <c r="J347" s="92"/>
    </row>
    <row r="348" spans="1:10" ht="77.5">
      <c r="A348" s="185" t="s">
        <v>3354</v>
      </c>
      <c r="B348"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48" s="98" t="str">
        <f>"
Do not answer this question if some benefits do not have a salary link ("&amp;Questions!$D$141&amp;").
"</f>
        <v xml:space="preserve">
Do not answer this question if some benefits do not have a salary link (OAS 4.0).
</v>
      </c>
      <c r="D348"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48" s="98" t="str">
        <f>"
Do not answer this question if some benefits do not have a salary link ("&amp;Questions!$D$141&amp;").
"</f>
        <v xml:space="preserve">
Do not answer this question if some benefits do not have a salary link (OAS 4.0).
</v>
      </c>
      <c r="F348" s="98" t="str">
        <f>"
Do not answer this question if the scheme is a small scheme providing a spot rate ("&amp;Questions!$D$3&amp;").
"</f>
        <v xml:space="preserve">
Do not answer this question if the scheme is a small scheme providing a spot rate (SH 11.0).
</v>
      </c>
      <c r="G348" s="98" t="str">
        <f t="shared" si="14"/>
        <v xml:space="preserve">
Please state a percentage that is greater than or equal to 0  followed by the % sign
</v>
      </c>
      <c r="H348" s="98" t="str">
        <f t="shared" si="15"/>
        <v xml:space="preserve">
Please state a percentage that is less than or equal to 25 followed by the % sign
</v>
      </c>
      <c r="I348" s="92"/>
      <c r="J348" s="92"/>
    </row>
    <row r="349" spans="1:10" ht="77.5">
      <c r="A349" s="185" t="s">
        <v>3355</v>
      </c>
      <c r="B349"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49" s="98" t="str">
        <f>"
Do not answer this question if some benefits do not have a salary link ("&amp;Questions!$D$141&amp;").
"</f>
        <v xml:space="preserve">
Do not answer this question if some benefits do not have a salary link (OAS 4.0).
</v>
      </c>
      <c r="D349"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49" s="98" t="str">
        <f>"
Do not answer this question if some benefits do not have a salary link ("&amp;Questions!$D$141&amp;").
"</f>
        <v xml:space="preserve">
Do not answer this question if some benefits do not have a salary link (OAS 4.0).
</v>
      </c>
      <c r="F349" s="98" t="str">
        <f>"
Do not answer this question if the scheme is a small scheme providing a spot rate ("&amp;Questions!$D$3&amp;").
"</f>
        <v xml:space="preserve">
Do not answer this question if the scheme is a small scheme providing a spot rate (SH 11.0).
</v>
      </c>
      <c r="G349" s="98" t="str">
        <f t="shared" si="14"/>
        <v xml:space="preserve">
Please state a percentage that is greater than or equal to 0  followed by the % sign
</v>
      </c>
      <c r="H349" s="98" t="str">
        <f t="shared" si="15"/>
        <v xml:space="preserve">
Please state a percentage that is less than or equal to 25 followed by the % sign
</v>
      </c>
      <c r="I349" s="92"/>
      <c r="J349" s="92"/>
    </row>
    <row r="350" spans="1:10" ht="77.5">
      <c r="A350" s="185" t="s">
        <v>3356</v>
      </c>
      <c r="B350"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50" s="98" t="str">
        <f>"
Do not answer this question if some benefits do not have a salary link ("&amp;Questions!$D$141&amp;").
"</f>
        <v xml:space="preserve">
Do not answer this question if some benefits do not have a salary link (OAS 4.0).
</v>
      </c>
      <c r="D350"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50" s="98" t="str">
        <f>"
Do not answer this question if some benefits do not have a salary link ("&amp;Questions!$D$141&amp;").
"</f>
        <v xml:space="preserve">
Do not answer this question if some benefits do not have a salary link (OAS 4.0).
</v>
      </c>
      <c r="F350" s="98" t="str">
        <f>"
Do not answer this question if the scheme is a small scheme providing a spot rate ("&amp;Questions!$D$3&amp;").
"</f>
        <v xml:space="preserve">
Do not answer this question if the scheme is a small scheme providing a spot rate (SH 11.0).
</v>
      </c>
      <c r="G350" s="98" t="str">
        <f t="shared" si="14"/>
        <v xml:space="preserve">
Please state a percentage that is greater than or equal to 0  followed by the % sign
</v>
      </c>
      <c r="H350" s="98" t="str">
        <f t="shared" si="15"/>
        <v xml:space="preserve">
Please state a percentage that is less than or equal to 25 followed by the % sign
</v>
      </c>
      <c r="I350" s="92"/>
      <c r="J350" s="92"/>
    </row>
    <row r="351" spans="1:10" ht="77.5">
      <c r="A351" s="185" t="s">
        <v>3357</v>
      </c>
      <c r="B351"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51" s="98" t="str">
        <f>"
Do not answer this question if some benefits do not have a salary link ("&amp;Questions!$D$141&amp;").
"</f>
        <v xml:space="preserve">
Do not answer this question if some benefits do not have a salary link (OAS 4.0).
</v>
      </c>
      <c r="D351"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51" s="98" t="str">
        <f>"
Do not answer this question if some benefits do not have a salary link ("&amp;Questions!$D$141&amp;").
"</f>
        <v xml:space="preserve">
Do not answer this question if some benefits do not have a salary link (OAS 4.0).
</v>
      </c>
      <c r="F351" s="98" t="str">
        <f>"
Do not answer this question if the scheme is a small scheme providing a spot rate ("&amp;Questions!$D$3&amp;").
"</f>
        <v xml:space="preserve">
Do not answer this question if the scheme is a small scheme providing a spot rate (SH 11.0).
</v>
      </c>
      <c r="G351" s="98" t="str">
        <f t="shared" si="14"/>
        <v xml:space="preserve">
Please state a percentage that is greater than or equal to 0  followed by the % sign
</v>
      </c>
      <c r="H351" s="98" t="str">
        <f t="shared" si="15"/>
        <v xml:space="preserve">
Please state a percentage that is less than or equal to 25 followed by the % sign
</v>
      </c>
      <c r="I351" s="92"/>
      <c r="J351" s="92"/>
    </row>
    <row r="352" spans="1:10" ht="77.5">
      <c r="A352" s="185" t="s">
        <v>3358</v>
      </c>
      <c r="B352"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52" s="98" t="str">
        <f>"
Do not answer this question if some benefits do not have a salary link ("&amp;Questions!$D$141&amp;").
"</f>
        <v xml:space="preserve">
Do not answer this question if some benefits do not have a salary link (OAS 4.0).
</v>
      </c>
      <c r="D352"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52" s="98" t="str">
        <f>"
Do not answer this question if some benefits do not have a salary link ("&amp;Questions!$D$141&amp;").
"</f>
        <v xml:space="preserve">
Do not answer this question if some benefits do not have a salary link (OAS 4.0).
</v>
      </c>
      <c r="F352" s="98" t="str">
        <f>"
Do not answer this question if the scheme is a small scheme providing a spot rate ("&amp;Questions!$D$3&amp;").
"</f>
        <v xml:space="preserve">
Do not answer this question if the scheme is a small scheme providing a spot rate (SH 11.0).
</v>
      </c>
      <c r="G352" s="98" t="str">
        <f t="shared" si="14"/>
        <v xml:space="preserve">
Please state a percentage that is greater than or equal to 0  followed by the % sign
</v>
      </c>
      <c r="H352" s="98" t="str">
        <f t="shared" si="15"/>
        <v xml:space="preserve">
Please state a percentage that is less than or equal to 25 followed by the % sign
</v>
      </c>
      <c r="I352" s="92"/>
      <c r="J352" s="92"/>
    </row>
    <row r="353" spans="1:10" ht="77.5">
      <c r="A353" s="185" t="s">
        <v>3359</v>
      </c>
      <c r="B353"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53" s="98" t="str">
        <f>"
Do not answer this question if some benefits do not have a salary link ("&amp;Questions!$D$141&amp;").
"</f>
        <v xml:space="preserve">
Do not answer this question if some benefits do not have a salary link (OAS 4.0).
</v>
      </c>
      <c r="D353"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53" s="98" t="str">
        <f>"
Do not answer this question if some benefits do not have a salary link ("&amp;Questions!$D$141&amp;").
"</f>
        <v xml:space="preserve">
Do not answer this question if some benefits do not have a salary link (OAS 4.0).
</v>
      </c>
      <c r="F353" s="98" t="str">
        <f>"
Do not answer this question if the scheme is a small scheme providing a spot rate ("&amp;Questions!$D$3&amp;").
"</f>
        <v xml:space="preserve">
Do not answer this question if the scheme is a small scheme providing a spot rate (SH 11.0).
</v>
      </c>
      <c r="G353" s="98" t="str">
        <f t="shared" si="14"/>
        <v xml:space="preserve">
Please state a percentage that is greater than or equal to 0  followed by the % sign
</v>
      </c>
      <c r="H353" s="98" t="str">
        <f t="shared" si="15"/>
        <v xml:space="preserve">
Please state a percentage that is less than or equal to 25 followed by the % sign
</v>
      </c>
      <c r="I353" s="92"/>
      <c r="J353" s="92"/>
    </row>
    <row r="354" spans="1:10" ht="77.5">
      <c r="A354" s="185" t="s">
        <v>3360</v>
      </c>
      <c r="B354"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54" s="98" t="str">
        <f>"
Do not answer this question if some benefits do not have a salary link ("&amp;Questions!$D$141&amp;").
"</f>
        <v xml:space="preserve">
Do not answer this question if some benefits do not have a salary link (OAS 4.0).
</v>
      </c>
      <c r="D354"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54" s="98" t="str">
        <f>"
Do not answer this question if some benefits do not have a salary link ("&amp;Questions!$D$141&amp;").
"</f>
        <v xml:space="preserve">
Do not answer this question if some benefits do not have a salary link (OAS 4.0).
</v>
      </c>
      <c r="F354" s="98" t="str">
        <f>"
Do not answer this question if the scheme is a small scheme providing a spot rate ("&amp;Questions!$D$3&amp;").
"</f>
        <v xml:space="preserve">
Do not answer this question if the scheme is a small scheme providing a spot rate (SH 11.0).
</v>
      </c>
      <c r="G354" s="98" t="str">
        <f t="shared" si="14"/>
        <v xml:space="preserve">
Please state a percentage that is greater than or equal to 0  followed by the % sign
</v>
      </c>
      <c r="H354" s="98" t="str">
        <f t="shared" si="15"/>
        <v xml:space="preserve">
Please state a percentage that is less than or equal to 25 followed by the % sign
</v>
      </c>
      <c r="I354" s="92"/>
      <c r="J354" s="92"/>
    </row>
    <row r="355" spans="1:10" ht="77.5">
      <c r="A355" s="185" t="s">
        <v>3361</v>
      </c>
      <c r="B355"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55" s="98" t="str">
        <f>"
Do not answer this question if some benefits do not have a salary link ("&amp;Questions!$D$141&amp;").
"</f>
        <v xml:space="preserve">
Do not answer this question if some benefits do not have a salary link (OAS 4.0).
</v>
      </c>
      <c r="D355"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55" s="98" t="str">
        <f>"
Do not answer this question if some benefits do not have a salary link ("&amp;Questions!$D$141&amp;").
"</f>
        <v xml:space="preserve">
Do not answer this question if some benefits do not have a salary link (OAS 4.0).
</v>
      </c>
      <c r="F355" s="98" t="str">
        <f>"
Do not answer this question if the scheme is a small scheme providing a spot rate ("&amp;Questions!$D$3&amp;").
"</f>
        <v xml:space="preserve">
Do not answer this question if the scheme is a small scheme providing a spot rate (SH 11.0).
</v>
      </c>
      <c r="G355" s="98" t="str">
        <f t="shared" si="14"/>
        <v xml:space="preserve">
Please state a percentage that is greater than or equal to 0  followed by the % sign
</v>
      </c>
      <c r="H355" s="98" t="str">
        <f t="shared" si="15"/>
        <v xml:space="preserve">
Please state a percentage that is less than or equal to 25 followed by the % sign
</v>
      </c>
      <c r="I355" s="92"/>
      <c r="J355" s="92"/>
    </row>
    <row r="356" spans="1:10" ht="77.5">
      <c r="A356" s="185" t="s">
        <v>3362</v>
      </c>
      <c r="B356"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56" s="98" t="str">
        <f>"
Do not answer this question if some benefits do not have a salary link ("&amp;Questions!$D$141&amp;").
"</f>
        <v xml:space="preserve">
Do not answer this question if some benefits do not have a salary link (OAS 4.0).
</v>
      </c>
      <c r="D356"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56" s="98" t="str">
        <f>"
Do not answer this question if some benefits do not have a salary link ("&amp;Questions!$D$141&amp;").
"</f>
        <v xml:space="preserve">
Do not answer this question if some benefits do not have a salary link (OAS 4.0).
</v>
      </c>
      <c r="F356" s="98" t="str">
        <f>"
Do not answer this question if the scheme is a small scheme providing a spot rate ("&amp;Questions!$D$3&amp;").
"</f>
        <v xml:space="preserve">
Do not answer this question if the scheme is a small scheme providing a spot rate (SH 11.0).
</v>
      </c>
      <c r="G356" s="98" t="str">
        <f t="shared" si="14"/>
        <v xml:space="preserve">
Please state a percentage that is greater than or equal to 0  followed by the % sign
</v>
      </c>
      <c r="H356" s="98" t="str">
        <f t="shared" si="15"/>
        <v xml:space="preserve">
Please state a percentage that is less than or equal to 25 followed by the % sign
</v>
      </c>
      <c r="I356" s="92"/>
      <c r="J356" s="92"/>
    </row>
    <row r="357" spans="1:10" ht="77.5">
      <c r="A357" s="185" t="s">
        <v>3363</v>
      </c>
      <c r="B357"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57" s="98" t="str">
        <f>"
Do not answer this question if some benefits do not have a salary link ("&amp;Questions!$D$141&amp;").
"</f>
        <v xml:space="preserve">
Do not answer this question if some benefits do not have a salary link (OAS 4.0).
</v>
      </c>
      <c r="D357"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57" s="98" t="str">
        <f>"
Do not answer this question if some benefits do not have a salary link ("&amp;Questions!$D$141&amp;").
"</f>
        <v xml:space="preserve">
Do not answer this question if some benefits do not have a salary link (OAS 4.0).
</v>
      </c>
      <c r="F357" s="98" t="str">
        <f>"
Do not answer this question if the scheme is a small scheme providing a spot rate ("&amp;Questions!$D$3&amp;").
"</f>
        <v xml:space="preserve">
Do not answer this question if the scheme is a small scheme providing a spot rate (SH 11.0).
</v>
      </c>
      <c r="G357" s="98" t="str">
        <f t="shared" si="14"/>
        <v xml:space="preserve">
Please state a percentage that is greater than or equal to 0  followed by the % sign
</v>
      </c>
      <c r="H357" s="98" t="str">
        <f t="shared" si="15"/>
        <v xml:space="preserve">
Please state a percentage that is less than or equal to 25 followed by the % sign
</v>
      </c>
      <c r="I357" s="92"/>
      <c r="J357" s="92"/>
    </row>
    <row r="358" spans="1:10" ht="77.5">
      <c r="A358" s="185" t="s">
        <v>3364</v>
      </c>
      <c r="B358"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58" s="98" t="str">
        <f>"
Do not answer this question if some benefits do not have a salary link ("&amp;Questions!$D$141&amp;").
"</f>
        <v xml:space="preserve">
Do not answer this question if some benefits do not have a salary link (OAS 4.0).
</v>
      </c>
      <c r="D358"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58" s="98" t="str">
        <f>"
Do not answer this question if some benefits do not have a salary link ("&amp;Questions!$D$141&amp;").
"</f>
        <v xml:space="preserve">
Do not answer this question if some benefits do not have a salary link (OAS 4.0).
</v>
      </c>
      <c r="F358" s="98" t="str">
        <f>"
Do not answer this question if the scheme is a small scheme providing a spot rate ("&amp;Questions!$D$3&amp;").
"</f>
        <v xml:space="preserve">
Do not answer this question if the scheme is a small scheme providing a spot rate (SH 11.0).
</v>
      </c>
      <c r="G358" s="98" t="str">
        <f t="shared" si="14"/>
        <v xml:space="preserve">
Please state a percentage that is greater than or equal to 0  followed by the % sign
</v>
      </c>
      <c r="H358" s="98" t="str">
        <f t="shared" si="15"/>
        <v xml:space="preserve">
Please state a percentage that is less than or equal to 25 followed by the % sign
</v>
      </c>
      <c r="I358" s="92"/>
      <c r="J358" s="92"/>
    </row>
    <row r="359" spans="1:10" ht="77.5">
      <c r="A359" s="185" t="s">
        <v>3365</v>
      </c>
      <c r="B359"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59" s="98" t="str">
        <f>"
Do not answer this question if some benefits do not have a salary link ("&amp;Questions!$D$141&amp;").
"</f>
        <v xml:space="preserve">
Do not answer this question if some benefits do not have a salary link (OAS 4.0).
</v>
      </c>
      <c r="D359"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59" s="98" t="str">
        <f>"
Do not answer this question if some benefits do not have a salary link ("&amp;Questions!$D$141&amp;").
"</f>
        <v xml:space="preserve">
Do not answer this question if some benefits do not have a salary link (OAS 4.0).
</v>
      </c>
      <c r="F359" s="98" t="str">
        <f>"
Do not answer this question if the scheme is a small scheme providing a spot rate ("&amp;Questions!$D$3&amp;").
"</f>
        <v xml:space="preserve">
Do not answer this question if the scheme is a small scheme providing a spot rate (SH 11.0).
</v>
      </c>
      <c r="G359" s="98" t="str">
        <f t="shared" si="14"/>
        <v xml:space="preserve">
Please state a percentage that is greater than or equal to 0  followed by the % sign
</v>
      </c>
      <c r="H359" s="98" t="str">
        <f t="shared" si="15"/>
        <v xml:space="preserve">
Please state a percentage that is less than or equal to 25 followed by the % sign
</v>
      </c>
      <c r="I359" s="92"/>
      <c r="J359" s="92"/>
    </row>
    <row r="360" spans="1:10" ht="77.5">
      <c r="A360" s="185" t="s">
        <v>3366</v>
      </c>
      <c r="B360"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60" s="98" t="str">
        <f>"
Do not answer this question if some benefits do not have a salary link ("&amp;Questions!$D$141&amp;").
"</f>
        <v xml:space="preserve">
Do not answer this question if some benefits do not have a salary link (OAS 4.0).
</v>
      </c>
      <c r="D360"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60" s="98" t="str">
        <f>"
Do not answer this question if some benefits do not have a salary link ("&amp;Questions!$D$141&amp;").
"</f>
        <v xml:space="preserve">
Do not answer this question if some benefits do not have a salary link (OAS 4.0).
</v>
      </c>
      <c r="F360" s="98" t="str">
        <f>"
Do not answer this question if the scheme is a small scheme providing a spot rate ("&amp;Questions!$D$3&amp;").
"</f>
        <v xml:space="preserve">
Do not answer this question if the scheme is a small scheme providing a spot rate (SH 11.0).
</v>
      </c>
      <c r="G360" s="98" t="str">
        <f t="shared" si="14"/>
        <v xml:space="preserve">
Please state a percentage that is greater than or equal to 0  followed by the % sign
</v>
      </c>
      <c r="H360" s="98" t="str">
        <f t="shared" si="15"/>
        <v xml:space="preserve">
Please state a percentage that is less than or equal to 25 followed by the % sign
</v>
      </c>
      <c r="I360" s="92"/>
      <c r="J360" s="92"/>
    </row>
    <row r="361" spans="1:10" ht="77.5">
      <c r="A361" s="185" t="s">
        <v>3367</v>
      </c>
      <c r="B361"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61" s="98" t="str">
        <f>"
Do not answer this question if some benefits do not have a salary link ("&amp;Questions!$D$141&amp;").
"</f>
        <v xml:space="preserve">
Do not answer this question if some benefits do not have a salary link (OAS 4.0).
</v>
      </c>
      <c r="D361"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61" s="98" t="str">
        <f>"
Do not answer this question if some benefits do not have a salary link ("&amp;Questions!$D$141&amp;").
"</f>
        <v xml:space="preserve">
Do not answer this question if some benefits do not have a salary link (OAS 4.0).
</v>
      </c>
      <c r="F361" s="98" t="str">
        <f>"
Do not answer this question if the scheme is a small scheme providing a spot rate ("&amp;Questions!$D$3&amp;").
"</f>
        <v xml:space="preserve">
Do not answer this question if the scheme is a small scheme providing a spot rate (SH 11.0).
</v>
      </c>
      <c r="G361" s="98" t="str">
        <f t="shared" si="14"/>
        <v xml:space="preserve">
Please state a percentage that is greater than or equal to 0  followed by the % sign
</v>
      </c>
      <c r="H361" s="98" t="str">
        <f t="shared" si="15"/>
        <v xml:space="preserve">
Please state a percentage that is less than or equal to 25 followed by the % sign
</v>
      </c>
      <c r="I361" s="92"/>
      <c r="J361" s="92"/>
    </row>
    <row r="362" spans="1:10" ht="77.5">
      <c r="A362" s="185" t="s">
        <v>3368</v>
      </c>
      <c r="B362"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62" s="98" t="str">
        <f>"
Do not answer this question if some benefits do not have a salary link ("&amp;Questions!$D$141&amp;").
"</f>
        <v xml:space="preserve">
Do not answer this question if some benefits do not have a salary link (OAS 4.0).
</v>
      </c>
      <c r="D362"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62" s="98" t="str">
        <f>"
Do not answer this question if some benefits do not have a salary link ("&amp;Questions!$D$141&amp;").
"</f>
        <v xml:space="preserve">
Do not answer this question if some benefits do not have a salary link (OAS 4.0).
</v>
      </c>
      <c r="F362" s="98" t="str">
        <f>"
Do not answer this question if the scheme is a small scheme providing a spot rate ("&amp;Questions!$D$3&amp;").
"</f>
        <v xml:space="preserve">
Do not answer this question if the scheme is a small scheme providing a spot rate (SH 11.0).
</v>
      </c>
      <c r="G362" s="98" t="str">
        <f t="shared" si="14"/>
        <v xml:space="preserve">
Please state a percentage that is greater than or equal to 0  followed by the % sign
</v>
      </c>
      <c r="H362" s="98" t="str">
        <f t="shared" si="15"/>
        <v xml:space="preserve">
Please state a percentage that is less than or equal to 25 followed by the % sign
</v>
      </c>
      <c r="I362" s="92"/>
      <c r="J362" s="92"/>
    </row>
    <row r="363" spans="1:10" ht="77.5">
      <c r="A363" s="185" t="s">
        <v>3369</v>
      </c>
      <c r="B363"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63" s="98" t="str">
        <f>"
Do not answer this question if some benefits do not have a salary link ("&amp;Questions!$D$141&amp;").
"</f>
        <v xml:space="preserve">
Do not answer this question if some benefits do not have a salary link (OAS 4.0).
</v>
      </c>
      <c r="D363"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63" s="98" t="str">
        <f>"
Do not answer this question if some benefits do not have a salary link ("&amp;Questions!$D$141&amp;").
"</f>
        <v xml:space="preserve">
Do not answer this question if some benefits do not have a salary link (OAS 4.0).
</v>
      </c>
      <c r="F363" s="98" t="str">
        <f>"
Do not answer this question if the scheme is a small scheme providing a spot rate ("&amp;Questions!$D$3&amp;").
"</f>
        <v xml:space="preserve">
Do not answer this question if the scheme is a small scheme providing a spot rate (SH 11.0).
</v>
      </c>
      <c r="G363" s="98" t="str">
        <f t="shared" si="14"/>
        <v xml:space="preserve">
Please state a percentage that is greater than or equal to 0  followed by the % sign
</v>
      </c>
      <c r="H363" s="98" t="str">
        <f t="shared" si="15"/>
        <v xml:space="preserve">
Please state a percentage that is less than or equal to 25 followed by the % sign
</v>
      </c>
      <c r="I363" s="92"/>
      <c r="J363" s="92"/>
    </row>
    <row r="364" spans="1:10" ht="77.5">
      <c r="A364" s="185" t="s">
        <v>3370</v>
      </c>
      <c r="B364"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64" s="98" t="str">
        <f>"
Do not answer this question if some benefits do not have a salary link ("&amp;Questions!$D$141&amp;").
"</f>
        <v xml:space="preserve">
Do not answer this question if some benefits do not have a salary link (OAS 4.0).
</v>
      </c>
      <c r="D364"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64" s="98" t="str">
        <f>"
Do not answer this question if some benefits do not have a salary link ("&amp;Questions!$D$141&amp;").
"</f>
        <v xml:space="preserve">
Do not answer this question if some benefits do not have a salary link (OAS 4.0).
</v>
      </c>
      <c r="F364" s="98" t="str">
        <f>"
Do not answer this question if the scheme is a small scheme providing a spot rate ("&amp;Questions!$D$3&amp;").
"</f>
        <v xml:space="preserve">
Do not answer this question if the scheme is a small scheme providing a spot rate (SH 11.0).
</v>
      </c>
      <c r="G364" s="98" t="str">
        <f t="shared" si="14"/>
        <v xml:space="preserve">
Please state a percentage that is greater than or equal to 0  followed by the % sign
</v>
      </c>
      <c r="H364" s="98" t="str">
        <f t="shared" si="15"/>
        <v xml:space="preserve">
Please state a percentage that is less than or equal to 25 followed by the % sign
</v>
      </c>
      <c r="I364" s="92"/>
      <c r="J364" s="92"/>
    </row>
    <row r="365" spans="1:10" ht="77.5">
      <c r="A365" s="185" t="s">
        <v>3371</v>
      </c>
      <c r="B365"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65" s="98" t="str">
        <f>"
Do not answer this question if some benefits do not have a salary link ("&amp;Questions!$D$141&amp;").
"</f>
        <v xml:space="preserve">
Do not answer this question if some benefits do not have a salary link (OAS 4.0).
</v>
      </c>
      <c r="D365"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65" s="98" t="str">
        <f>"
Do not answer this question if some benefits do not have a salary link ("&amp;Questions!$D$141&amp;").
"</f>
        <v xml:space="preserve">
Do not answer this question if some benefits do not have a salary link (OAS 4.0).
</v>
      </c>
      <c r="F365" s="98" t="str">
        <f>"
Do not answer this question if the scheme is a small scheme providing a spot rate ("&amp;Questions!$D$3&amp;").
"</f>
        <v xml:space="preserve">
Do not answer this question if the scheme is a small scheme providing a spot rate (SH 11.0).
</v>
      </c>
      <c r="G365" s="98" t="str">
        <f t="shared" si="14"/>
        <v xml:space="preserve">
Please state a percentage that is greater than or equal to 0  followed by the % sign
</v>
      </c>
      <c r="H365" s="98" t="str">
        <f t="shared" si="15"/>
        <v xml:space="preserve">
Please state a percentage that is less than or equal to 25 followed by the % sign
</v>
      </c>
      <c r="I365" s="92"/>
      <c r="J365" s="92"/>
    </row>
    <row r="366" spans="1:10" ht="77.5">
      <c r="A366" s="185" t="s">
        <v>3372</v>
      </c>
      <c r="B366"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66" s="98" t="str">
        <f>"
Do not answer this question if some benefits do not have a salary link ("&amp;Questions!$D$141&amp;").
"</f>
        <v xml:space="preserve">
Do not answer this question if some benefits do not have a salary link (OAS 4.0).
</v>
      </c>
      <c r="D366"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66" s="98" t="str">
        <f>"
Do not answer this question if some benefits do not have a salary link ("&amp;Questions!$D$141&amp;").
"</f>
        <v xml:space="preserve">
Do not answer this question if some benefits do not have a salary link (OAS 4.0).
</v>
      </c>
      <c r="F366" s="98" t="str">
        <f>"
Do not answer this question if the scheme is a small scheme providing a spot rate ("&amp;Questions!$D$3&amp;").
"</f>
        <v xml:space="preserve">
Do not answer this question if the scheme is a small scheme providing a spot rate (SH 11.0).
</v>
      </c>
      <c r="G366" s="98" t="str">
        <f t="shared" si="14"/>
        <v xml:space="preserve">
Please state a percentage that is greater than or equal to 0  followed by the % sign
</v>
      </c>
      <c r="H366" s="98" t="str">
        <f t="shared" si="15"/>
        <v xml:space="preserve">
Please state a percentage that is less than or equal to 25 followed by the % sign
</v>
      </c>
      <c r="I366" s="92"/>
      <c r="J366" s="92"/>
    </row>
    <row r="367" spans="1:10" ht="77.5">
      <c r="A367" s="185" t="s">
        <v>3373</v>
      </c>
      <c r="B367"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67" s="98" t="str">
        <f>"
Do not answer this question if some benefits do not have a salary link ("&amp;Questions!$D$141&amp;").
"</f>
        <v xml:space="preserve">
Do not answer this question if some benefits do not have a salary link (OAS 4.0).
</v>
      </c>
      <c r="D367"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67" s="98" t="str">
        <f>"
Do not answer this question if some benefits do not have a salary link ("&amp;Questions!$D$141&amp;").
"</f>
        <v xml:space="preserve">
Do not answer this question if some benefits do not have a salary link (OAS 4.0).
</v>
      </c>
      <c r="F367" s="98" t="str">
        <f>"
Do not answer this question if the scheme is a small scheme providing a spot rate ("&amp;Questions!$D$3&amp;").
"</f>
        <v xml:space="preserve">
Do not answer this question if the scheme is a small scheme providing a spot rate (SH 11.0).
</v>
      </c>
      <c r="G367" s="98" t="str">
        <f t="shared" si="14"/>
        <v xml:space="preserve">
Please state a percentage that is greater than or equal to 0  followed by the % sign
</v>
      </c>
      <c r="H367" s="98" t="str">
        <f t="shared" si="15"/>
        <v xml:space="preserve">
Please state a percentage that is less than or equal to 25 followed by the % sign
</v>
      </c>
      <c r="I367" s="92"/>
      <c r="J367" s="92"/>
    </row>
    <row r="368" spans="1:10" ht="77.5">
      <c r="A368" s="185" t="s">
        <v>3374</v>
      </c>
      <c r="B368"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68" s="98" t="str">
        <f>"
Do not answer this question if some benefits do not have a salary link ("&amp;Questions!$D$141&amp;").
"</f>
        <v xml:space="preserve">
Do not answer this question if some benefits do not have a salary link (OAS 4.0).
</v>
      </c>
      <c r="D368"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68" s="98" t="str">
        <f>"
Do not answer this question if some benefits do not have a salary link ("&amp;Questions!$D$141&amp;").
"</f>
        <v xml:space="preserve">
Do not answer this question if some benefits do not have a salary link (OAS 4.0).
</v>
      </c>
      <c r="F368" s="98" t="str">
        <f>"
Do not answer this question if the scheme is a small scheme providing a spot rate ("&amp;Questions!$D$3&amp;").
"</f>
        <v xml:space="preserve">
Do not answer this question if the scheme is a small scheme providing a spot rate (SH 11.0).
</v>
      </c>
      <c r="G368" s="98" t="str">
        <f t="shared" si="14"/>
        <v xml:space="preserve">
Please state a percentage that is greater than or equal to 0  followed by the % sign
</v>
      </c>
      <c r="H368" s="98" t="str">
        <f t="shared" si="15"/>
        <v xml:space="preserve">
Please state a percentage that is less than or equal to 25 followed by the % sign
</v>
      </c>
      <c r="I368" s="92"/>
      <c r="J368" s="92"/>
    </row>
    <row r="369" spans="1:10" ht="77.5">
      <c r="A369" s="185" t="s">
        <v>3375</v>
      </c>
      <c r="B369"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69" s="98" t="str">
        <f>"
Do not answer this question if some benefits do not have a salary link ("&amp;Questions!$D$141&amp;").
"</f>
        <v xml:space="preserve">
Do not answer this question if some benefits do not have a salary link (OAS 4.0).
</v>
      </c>
      <c r="D369"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69" s="98" t="str">
        <f>"
Do not answer this question if some benefits do not have a salary link ("&amp;Questions!$D$141&amp;").
"</f>
        <v xml:space="preserve">
Do not answer this question if some benefits do not have a salary link (OAS 4.0).
</v>
      </c>
      <c r="F369" s="98" t="str">
        <f>"
Do not answer this question if the scheme is a small scheme providing a spot rate ("&amp;Questions!$D$3&amp;").
"</f>
        <v xml:space="preserve">
Do not answer this question if the scheme is a small scheme providing a spot rate (SH 11.0).
</v>
      </c>
      <c r="G369" s="98" t="str">
        <f t="shared" si="14"/>
        <v xml:space="preserve">
Please state a percentage that is greater than or equal to 0  followed by the % sign
</v>
      </c>
      <c r="H369" s="98" t="str">
        <f t="shared" si="15"/>
        <v xml:space="preserve">
Please state a percentage that is less than or equal to 25 followed by the % sign
</v>
      </c>
      <c r="I369" s="92"/>
      <c r="J369" s="92"/>
    </row>
    <row r="370" spans="1:10" ht="77.5">
      <c r="A370" s="185" t="s">
        <v>3376</v>
      </c>
      <c r="B370"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70" s="98" t="str">
        <f>"
Do not answer this question if some benefits do not have a salary link ("&amp;Questions!$D$141&amp;").
"</f>
        <v xml:space="preserve">
Do not answer this question if some benefits do not have a salary link (OAS 4.0).
</v>
      </c>
      <c r="D370"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70" s="98" t="str">
        <f>"
Do not answer this question if some benefits do not have a salary link ("&amp;Questions!$D$141&amp;").
"</f>
        <v xml:space="preserve">
Do not answer this question if some benefits do not have a salary link (OAS 4.0).
</v>
      </c>
      <c r="F370" s="98" t="str">
        <f>"
Do not answer this question if the scheme is a small scheme providing a spot rate ("&amp;Questions!$D$3&amp;").
"</f>
        <v xml:space="preserve">
Do not answer this question if the scheme is a small scheme providing a spot rate (SH 11.0).
</v>
      </c>
      <c r="G370" s="98" t="str">
        <f t="shared" si="14"/>
        <v xml:space="preserve">
Please state a percentage that is greater than or equal to 0  followed by the % sign
</v>
      </c>
      <c r="H370" s="98" t="str">
        <f t="shared" si="15"/>
        <v xml:space="preserve">
Please state a percentage that is less than or equal to 25 followed by the % sign
</v>
      </c>
      <c r="I370" s="92"/>
      <c r="J370" s="92"/>
    </row>
    <row r="371" spans="1:10" ht="77.5">
      <c r="A371" s="185" t="s">
        <v>3377</v>
      </c>
      <c r="B371"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71" s="98" t="str">
        <f>"
Do not answer this question if some benefits do not have a salary link ("&amp;Questions!$D$141&amp;").
"</f>
        <v xml:space="preserve">
Do not answer this question if some benefits do not have a salary link (OAS 4.0).
</v>
      </c>
      <c r="D371"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71" s="98" t="str">
        <f>"
Do not answer this question if some benefits do not have a salary link ("&amp;Questions!$D$141&amp;").
"</f>
        <v xml:space="preserve">
Do not answer this question if some benefits do not have a salary link (OAS 4.0).
</v>
      </c>
      <c r="F371" s="98" t="str">
        <f>"
Do not answer this question if the scheme is a small scheme providing a spot rate ("&amp;Questions!$D$3&amp;").
"</f>
        <v xml:space="preserve">
Do not answer this question if the scheme is a small scheme providing a spot rate (SH 11.0).
</v>
      </c>
      <c r="G371" s="98" t="str">
        <f t="shared" si="14"/>
        <v xml:space="preserve">
Please state a percentage that is greater than or equal to 0  followed by the % sign
</v>
      </c>
      <c r="H371" s="98" t="str">
        <f t="shared" si="15"/>
        <v xml:space="preserve">
Please state a percentage that is less than or equal to 25 followed by the % sign
</v>
      </c>
      <c r="I371" s="92"/>
      <c r="J371" s="92"/>
    </row>
    <row r="372" spans="1:10" ht="77.5">
      <c r="A372" s="185" t="s">
        <v>3378</v>
      </c>
      <c r="B372"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72" s="98" t="str">
        <f>"
Do not answer this question if some benefits do not have a salary link ("&amp;Questions!$D$141&amp;").
"</f>
        <v xml:space="preserve">
Do not answer this question if some benefits do not have a salary link (OAS 4.0).
</v>
      </c>
      <c r="D372" s="98"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72" s="98" t="str">
        <f>"
Do not answer this question if some benefits do not have a salary link ("&amp;Questions!$D$141&amp;").
"</f>
        <v xml:space="preserve">
Do not answer this question if some benefits do not have a salary link (OAS 4.0).
</v>
      </c>
      <c r="F372" s="98" t="str">
        <f>"
Do not answer this question if the scheme is a small scheme providing a spot rate ("&amp;Questions!$D$3&amp;").
"</f>
        <v xml:space="preserve">
Do not answer this question if the scheme is a small scheme providing a spot rate (SH 11.0).
</v>
      </c>
      <c r="G372" s="98" t="str">
        <f t="shared" si="14"/>
        <v xml:space="preserve">
Please state a percentage that is greater than or equal to 0  followed by the % sign
</v>
      </c>
      <c r="H372" s="98" t="str">
        <f t="shared" si="15"/>
        <v xml:space="preserve">
Please state a percentage that is less than or equal to 25 followed by the % sign
</v>
      </c>
      <c r="I372" s="92"/>
      <c r="J372" s="92"/>
    </row>
    <row r="373" spans="1:10" ht="77.5">
      <c r="A373" s="185" t="s">
        <v>3379</v>
      </c>
      <c r="B373" s="460"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C373" s="460" t="str">
        <f>"
Do not answer this question if some benefits do not have a salary link ("&amp;Questions!$D$141&amp;").
"</f>
        <v xml:space="preserve">
Do not answer this question if some benefits do not have a salary link (OAS 4.0).
</v>
      </c>
      <c r="D373" s="460" t="str">
        <f>"
You must answer this question where some benefits have a salary link ("&amp;Questions!$D$141&amp;") (unless the scheme is a small scheme providing a spot rate ("&amp;Questions!$D$3&amp;")).
"</f>
        <v xml:space="preserve">
You must answer this question where some benefits have a salary link (OAS 4.0) (unless the scheme is a small scheme providing a spot rate (SH 11.0)).
</v>
      </c>
      <c r="E373" s="460" t="str">
        <f>"
Do not answer this question if some benefits do not have a salary link ("&amp;Questions!$D$141&amp;").
"</f>
        <v xml:space="preserve">
Do not answer this question if some benefits do not have a salary link (OAS 4.0).
</v>
      </c>
      <c r="F373" s="460" t="str">
        <f>"
Do not answer this question if the scheme is a small scheme providing a spot rate ("&amp;Questions!$D$3&amp;").
"</f>
        <v xml:space="preserve">
Do not answer this question if the scheme is a small scheme providing a spot rate (SH 11.0).
</v>
      </c>
      <c r="G373" s="454" t="str">
        <f t="shared" si="14"/>
        <v xml:space="preserve">
Please state a percentage that is greater than or equal to 0  followed by the % sign
</v>
      </c>
      <c r="H373" s="455" t="str">
        <f t="shared" si="15"/>
        <v xml:space="preserve">
Please state a percentage that is less than or equal to 25 followed by the % sign
</v>
      </c>
      <c r="I373" s="92"/>
      <c r="J373" s="92"/>
    </row>
    <row r="374" spans="1:10" ht="62">
      <c r="A374" s="185" t="s">
        <v>3380</v>
      </c>
      <c r="B374" s="460" t="str">
        <f>"
Do not answer this question if the scheme follows a Fast Track approach ("&amp;Questions!$D$5&amp;").
"</f>
        <v xml:space="preserve">
Do not answer this question if the scheme follows a Fast Track approach (SH 13.0).
</v>
      </c>
      <c r="C374" s="460" t="str">
        <f>"
Do not answer this question if the scheme does not meet the 'small scheme' definition ("&amp;Questions!$D$3&amp;").
"</f>
        <v xml:space="preserve">
Do not answer this question if the scheme does not meet the 'small scheme' definition (SH 11.0).
</v>
      </c>
      <c r="D374" s="460" t="str">
        <f>"
You must answer this question if the scheme follows a Bespoke approach ("&amp;Questions!$D$5&amp;") and meets the ‘small scheme’ definition ("&amp;Questions!$D$3&amp;").
"</f>
        <v xml:space="preserve">
You must answer this question if the scheme follows a Bespoke approach (SH 13.0) and meets the ‘small scheme’ definition (SH 11.0).
</v>
      </c>
      <c r="E374" s="460" t="str">
        <f>"
Select ‘Yes, the scheme benefits cash flows are provided’ or ‘No, the scheme benefit cash flows are not provided’ from the drop-down list.
"</f>
        <v xml:space="preserve">
Select ‘Yes, the scheme benefits cash flows are provided’ or ‘No, the scheme benefit cash flows are not provided’ from the drop-down list.
</v>
      </c>
      <c r="F374" s="460"/>
      <c r="G374" s="454"/>
      <c r="H374" s="455"/>
      <c r="I374" s="92"/>
      <c r="J374" s="92"/>
    </row>
    <row r="375" spans="1:10" ht="77.5">
      <c r="A375" s="185" t="s">
        <v>3381</v>
      </c>
      <c r="B375" s="460" t="str">
        <f>"
Do not answer this question if the scheme follows a Fast Track approach ("&amp;Questions!$D$5&amp;").
"</f>
        <v xml:space="preserve">
Do not answer this question if the scheme follows a Fast Track approach (SH 13.0).
</v>
      </c>
      <c r="C375" s="460"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75" s="460" t="str">
        <f>"
Do not answer this question if the scheme benefit cash flows are not provided ("&amp;Questions!$D$55&amp;").
"</f>
        <v xml:space="preserve">
Do not answer this question if the scheme benefit cash flows are not provided (SBC 1.0).
</v>
      </c>
      <c r="E375" s="460"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375" s="460" t="s">
        <v>3765</v>
      </c>
      <c r="G375" s="454"/>
      <c r="H375" s="455"/>
      <c r="I375" s="92"/>
      <c r="J375" s="92"/>
    </row>
    <row r="376" spans="1:10" ht="77.5">
      <c r="A376" s="185" t="s">
        <v>3382</v>
      </c>
      <c r="B376" s="92" t="str">
        <f>"
Do not answer this question if the scheme follows a Fast Track approach ("&amp;Questions!$D$5&amp;").
"</f>
        <v xml:space="preserve">
Do not answer this question if the scheme follows a Fast Track approach (SH 13.0).
</v>
      </c>
      <c r="C376"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76"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376"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376" s="92" t="str">
        <f>"
Enter a number that is equal to or greater than 0 and less than 1,000,000,000,000 (1 trillion). It can be accurate to two decimal places.
"</f>
        <v xml:space="preserve">
Enter a number that is equal to or greater than 0 and less than 1,000,000,000,000 (1 trillion). It can be accurate to two decimal places.
</v>
      </c>
      <c r="G376" s="454"/>
      <c r="H376" s="455"/>
      <c r="I376" s="92"/>
      <c r="J376" s="92"/>
    </row>
    <row r="377" spans="1:10" ht="77.5">
      <c r="A377" s="185" t="s">
        <v>3383</v>
      </c>
      <c r="B377" s="92" t="str">
        <f>"
Do not answer this question if the scheme follows a Fast Track approach ("&amp;Questions!$D$5&amp;").
"</f>
        <v xml:space="preserve">
Do not answer this question if the scheme follows a Fast Track approach (SH 13.0).
</v>
      </c>
      <c r="C377"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77"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377"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377" s="92" t="str">
        <f>"
Enter a number that is equal to or greater than 0 and less than 1,000,000,000,000 (1 trillion). It can be accurate to two decimal places.
"</f>
        <v xml:space="preserve">
Enter a number that is equal to or greater than 0 and less than 1,000,000,000,000 (1 trillion). It can be accurate to two decimal places.
</v>
      </c>
      <c r="G377" s="454"/>
      <c r="H377" s="455"/>
      <c r="I377" s="92"/>
      <c r="J377" s="92"/>
    </row>
    <row r="378" spans="1:10" ht="77.5">
      <c r="A378" s="185" t="s">
        <v>3384</v>
      </c>
      <c r="B378" s="92" t="str">
        <f>"
Do not answer this question if the scheme follows a Fast Track approach ("&amp;Questions!$D$5&amp;").
"</f>
        <v xml:space="preserve">
Do not answer this question if the scheme follows a Fast Track approach (SH 13.0).
</v>
      </c>
      <c r="C378"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78"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378"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378" s="92" t="str">
        <f t="shared" ref="F378:F415" si="16">"
Enter a number that is equal to or greater than 0 and less than 1,000,000,000,000 (1 trillion). It can be accurate to two decimal places.
"</f>
        <v xml:space="preserve">
Enter a number that is equal to or greater than 0 and less than 1,000,000,000,000 (1 trillion). It can be accurate to two decimal places.
</v>
      </c>
      <c r="G378" s="454"/>
      <c r="H378" s="455"/>
      <c r="I378" s="92"/>
      <c r="J378" s="92"/>
    </row>
    <row r="379" spans="1:10" ht="77.5">
      <c r="A379" s="185" t="s">
        <v>3385</v>
      </c>
      <c r="B379" s="92" t="str">
        <f>"
Do not answer this question if the scheme follows a Fast Track approach ("&amp;Questions!$D$5&amp;").
"</f>
        <v xml:space="preserve">
Do not answer this question if the scheme follows a Fast Track approach (SH 13.0).
</v>
      </c>
      <c r="C379"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79"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379"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379" s="92" t="str">
        <f t="shared" si="16"/>
        <v xml:space="preserve">
Enter a number that is equal to or greater than 0 and less than 1,000,000,000,000 (1 trillion). It can be accurate to two decimal places.
</v>
      </c>
      <c r="G379" s="454"/>
      <c r="H379" s="455"/>
      <c r="I379" s="92"/>
      <c r="J379" s="92"/>
    </row>
    <row r="380" spans="1:10" ht="77.5">
      <c r="A380" s="185" t="s">
        <v>3386</v>
      </c>
      <c r="B380" s="92" t="str">
        <f>"
Do not answer this question if the scheme follows a Fast Track approach ("&amp;Questions!$D$5&amp;").
"</f>
        <v xml:space="preserve">
Do not answer this question if the scheme follows a Fast Track approach (SH 13.0).
</v>
      </c>
      <c r="C380"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80"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380"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380" s="92" t="str">
        <f t="shared" si="16"/>
        <v xml:space="preserve">
Enter a number that is equal to or greater than 0 and less than 1,000,000,000,000 (1 trillion). It can be accurate to two decimal places.
</v>
      </c>
      <c r="G380" s="454"/>
      <c r="H380" s="455"/>
      <c r="I380" s="92"/>
      <c r="J380" s="92"/>
    </row>
    <row r="381" spans="1:10" ht="77.5">
      <c r="A381" s="185" t="s">
        <v>3387</v>
      </c>
      <c r="B381" s="92" t="str">
        <f>"
Do not answer this question if the scheme follows a Fast Track approach ("&amp;Questions!$D$5&amp;").
"</f>
        <v xml:space="preserve">
Do not answer this question if the scheme follows a Fast Track approach (SH 13.0).
</v>
      </c>
      <c r="C381"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81"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381"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381" s="92" t="str">
        <f t="shared" si="16"/>
        <v xml:space="preserve">
Enter a number that is equal to or greater than 0 and less than 1,000,000,000,000 (1 trillion). It can be accurate to two decimal places.
</v>
      </c>
      <c r="G381" s="454"/>
      <c r="H381" s="455"/>
      <c r="I381" s="92"/>
      <c r="J381" s="92"/>
    </row>
    <row r="382" spans="1:10" ht="77.5">
      <c r="A382" s="185" t="s">
        <v>3388</v>
      </c>
      <c r="B382" s="92" t="str">
        <f>"
Do not answer this question if the scheme follows a Fast Track approach ("&amp;Questions!$D$5&amp;").
"</f>
        <v xml:space="preserve">
Do not answer this question if the scheme follows a Fast Track approach (SH 13.0).
</v>
      </c>
      <c r="C382"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82"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382"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382" s="92" t="str">
        <f t="shared" si="16"/>
        <v xml:space="preserve">
Enter a number that is equal to or greater than 0 and less than 1,000,000,000,000 (1 trillion). It can be accurate to two decimal places.
</v>
      </c>
      <c r="G382" s="454"/>
      <c r="H382" s="455"/>
      <c r="I382" s="92"/>
      <c r="J382" s="92"/>
    </row>
    <row r="383" spans="1:10" ht="77.5">
      <c r="A383" s="185" t="s">
        <v>3389</v>
      </c>
      <c r="B383" s="92" t="str">
        <f>"
Do not answer this question if the scheme follows a Fast Track approach ("&amp;Questions!$D$5&amp;").
"</f>
        <v xml:space="preserve">
Do not answer this question if the scheme follows a Fast Track approach (SH 13.0).
</v>
      </c>
      <c r="C383"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83"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383"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383" s="92" t="str">
        <f t="shared" si="16"/>
        <v xml:space="preserve">
Enter a number that is equal to or greater than 0 and less than 1,000,000,000,000 (1 trillion). It can be accurate to two decimal places.
</v>
      </c>
      <c r="G383" s="454"/>
      <c r="H383" s="455"/>
      <c r="I383" s="92"/>
      <c r="J383" s="92"/>
    </row>
    <row r="384" spans="1:10" ht="77.5">
      <c r="A384" s="185" t="s">
        <v>3390</v>
      </c>
      <c r="B384" s="92" t="str">
        <f>"
Do not answer this question if the scheme follows a Fast Track approach ("&amp;Questions!$D$5&amp;").
"</f>
        <v xml:space="preserve">
Do not answer this question if the scheme follows a Fast Track approach (SH 13.0).
</v>
      </c>
      <c r="C384"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84"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384"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384" s="92" t="str">
        <f t="shared" si="16"/>
        <v xml:space="preserve">
Enter a number that is equal to or greater than 0 and less than 1,000,000,000,000 (1 trillion). It can be accurate to two decimal places.
</v>
      </c>
      <c r="G384" s="454"/>
      <c r="H384" s="455"/>
      <c r="I384" s="92"/>
      <c r="J384" s="92"/>
    </row>
    <row r="385" spans="1:10" ht="77.5">
      <c r="A385" s="185" t="s">
        <v>3391</v>
      </c>
      <c r="B385" s="92" t="str">
        <f>"
Do not answer this question if the scheme follows a Fast Track approach ("&amp;Questions!$D$5&amp;").
"</f>
        <v xml:space="preserve">
Do not answer this question if the scheme follows a Fast Track approach (SH 13.0).
</v>
      </c>
      <c r="C385"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85"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385"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385" s="92" t="str">
        <f t="shared" si="16"/>
        <v xml:space="preserve">
Enter a number that is equal to or greater than 0 and less than 1,000,000,000,000 (1 trillion). It can be accurate to two decimal places.
</v>
      </c>
      <c r="G385" s="454"/>
      <c r="H385" s="455"/>
      <c r="I385" s="92"/>
      <c r="J385" s="92"/>
    </row>
    <row r="386" spans="1:10" ht="77.5">
      <c r="A386" s="185" t="s">
        <v>3392</v>
      </c>
      <c r="B386" s="92" t="str">
        <f>"
Do not answer this question if the scheme follows a Fast Track approach ("&amp;Questions!$D$5&amp;").
"</f>
        <v xml:space="preserve">
Do not answer this question if the scheme follows a Fast Track approach (SH 13.0).
</v>
      </c>
      <c r="C386"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86"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386"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386" s="92" t="str">
        <f t="shared" si="16"/>
        <v xml:space="preserve">
Enter a number that is equal to or greater than 0 and less than 1,000,000,000,000 (1 trillion). It can be accurate to two decimal places.
</v>
      </c>
      <c r="G386" s="454"/>
      <c r="H386" s="455"/>
      <c r="I386" s="92"/>
      <c r="J386" s="92"/>
    </row>
    <row r="387" spans="1:10" ht="77.5">
      <c r="A387" s="185" t="s">
        <v>3393</v>
      </c>
      <c r="B387" s="92" t="str">
        <f>"
Do not answer this question if the scheme follows a Fast Track approach ("&amp;Questions!$D$5&amp;").
"</f>
        <v xml:space="preserve">
Do not answer this question if the scheme follows a Fast Track approach (SH 13.0).
</v>
      </c>
      <c r="C387"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87"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387"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387" s="92" t="str">
        <f t="shared" si="16"/>
        <v xml:space="preserve">
Enter a number that is equal to or greater than 0 and less than 1,000,000,000,000 (1 trillion). It can be accurate to two decimal places.
</v>
      </c>
      <c r="G387" s="454"/>
      <c r="H387" s="455"/>
      <c r="I387" s="92"/>
      <c r="J387" s="92"/>
    </row>
    <row r="388" spans="1:10" ht="77.5">
      <c r="A388" s="185" t="s">
        <v>3394</v>
      </c>
      <c r="B388" s="92" t="str">
        <f>"
Do not answer this question if the scheme follows a Fast Track approach ("&amp;Questions!$D$5&amp;").
"</f>
        <v xml:space="preserve">
Do not answer this question if the scheme follows a Fast Track approach (SH 13.0).
</v>
      </c>
      <c r="C388"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88"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388"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388" s="92" t="str">
        <f t="shared" si="16"/>
        <v xml:space="preserve">
Enter a number that is equal to or greater than 0 and less than 1,000,000,000,000 (1 trillion). It can be accurate to two decimal places.
</v>
      </c>
      <c r="G388" s="454"/>
      <c r="H388" s="455"/>
      <c r="I388" s="92"/>
      <c r="J388" s="92"/>
    </row>
    <row r="389" spans="1:10" ht="77.5">
      <c r="A389" s="185" t="s">
        <v>3395</v>
      </c>
      <c r="B389" s="92" t="str">
        <f>"
Do not answer this question if the scheme follows a Fast Track approach ("&amp;Questions!$D$5&amp;").
"</f>
        <v xml:space="preserve">
Do not answer this question if the scheme follows a Fast Track approach (SH 13.0).
</v>
      </c>
      <c r="C389"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89"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389"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389" s="92" t="str">
        <f t="shared" si="16"/>
        <v xml:space="preserve">
Enter a number that is equal to or greater than 0 and less than 1,000,000,000,000 (1 trillion). It can be accurate to two decimal places.
</v>
      </c>
      <c r="G389" s="454"/>
      <c r="H389" s="455"/>
      <c r="I389" s="92"/>
      <c r="J389" s="92"/>
    </row>
    <row r="390" spans="1:10" ht="77.5">
      <c r="A390" s="185" t="s">
        <v>3396</v>
      </c>
      <c r="B390" s="92" t="str">
        <f>"
Do not answer this question if the scheme follows a Fast Track approach ("&amp;Questions!$D$5&amp;").
"</f>
        <v xml:space="preserve">
Do not answer this question if the scheme follows a Fast Track approach (SH 13.0).
</v>
      </c>
      <c r="C390"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90"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390"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390" s="92" t="str">
        <f t="shared" si="16"/>
        <v xml:space="preserve">
Enter a number that is equal to or greater than 0 and less than 1,000,000,000,000 (1 trillion). It can be accurate to two decimal places.
</v>
      </c>
      <c r="G390" s="454"/>
      <c r="H390" s="455"/>
      <c r="I390" s="92"/>
      <c r="J390" s="92"/>
    </row>
    <row r="391" spans="1:10" ht="77.5">
      <c r="A391" s="185" t="s">
        <v>3397</v>
      </c>
      <c r="B391" s="92" t="str">
        <f>"
Do not answer this question if the scheme follows a Fast Track approach ("&amp;Questions!$D$5&amp;").
"</f>
        <v xml:space="preserve">
Do not answer this question if the scheme follows a Fast Track approach (SH 13.0).
</v>
      </c>
      <c r="C391"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91"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391"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391" s="92" t="str">
        <f t="shared" si="16"/>
        <v xml:space="preserve">
Enter a number that is equal to or greater than 0 and less than 1,000,000,000,000 (1 trillion). It can be accurate to two decimal places.
</v>
      </c>
      <c r="G391" s="454"/>
      <c r="H391" s="455"/>
      <c r="I391" s="92"/>
      <c r="J391" s="92"/>
    </row>
    <row r="392" spans="1:10" ht="77.5">
      <c r="A392" s="185" t="s">
        <v>3398</v>
      </c>
      <c r="B392" s="92" t="str">
        <f>"
Do not answer this question if the scheme follows a Fast Track approach ("&amp;Questions!$D$5&amp;").
"</f>
        <v xml:space="preserve">
Do not answer this question if the scheme follows a Fast Track approach (SH 13.0).
</v>
      </c>
      <c r="C392"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92"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392"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392" s="92" t="str">
        <f t="shared" si="16"/>
        <v xml:space="preserve">
Enter a number that is equal to or greater than 0 and less than 1,000,000,000,000 (1 trillion). It can be accurate to two decimal places.
</v>
      </c>
      <c r="G392" s="454"/>
      <c r="H392" s="455"/>
      <c r="I392" s="92"/>
      <c r="J392" s="92"/>
    </row>
    <row r="393" spans="1:10" ht="77.5">
      <c r="A393" s="185" t="s">
        <v>3399</v>
      </c>
      <c r="B393" s="92" t="str">
        <f>"
Do not answer this question if the scheme follows a Fast Track approach ("&amp;Questions!$D$5&amp;").
"</f>
        <v xml:space="preserve">
Do not answer this question if the scheme follows a Fast Track approach (SH 13.0).
</v>
      </c>
      <c r="C393"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93"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393"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393" s="92" t="str">
        <f t="shared" si="16"/>
        <v xml:space="preserve">
Enter a number that is equal to or greater than 0 and less than 1,000,000,000,000 (1 trillion). It can be accurate to two decimal places.
</v>
      </c>
      <c r="G393" s="454"/>
      <c r="H393" s="455"/>
      <c r="I393" s="92"/>
      <c r="J393" s="92"/>
    </row>
    <row r="394" spans="1:10" ht="77.5">
      <c r="A394" s="185" t="s">
        <v>3400</v>
      </c>
      <c r="B394" s="92" t="str">
        <f>"
Do not answer this question if the scheme follows a Fast Track approach ("&amp;Questions!$D$5&amp;").
"</f>
        <v xml:space="preserve">
Do not answer this question if the scheme follows a Fast Track approach (SH 13.0).
</v>
      </c>
      <c r="C394"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94"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394"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394" s="92" t="str">
        <f t="shared" si="16"/>
        <v xml:space="preserve">
Enter a number that is equal to or greater than 0 and less than 1,000,000,000,000 (1 trillion). It can be accurate to two decimal places.
</v>
      </c>
      <c r="G394" s="454"/>
      <c r="H394" s="455"/>
      <c r="I394" s="92"/>
      <c r="J394" s="92"/>
    </row>
    <row r="395" spans="1:10" ht="77.5">
      <c r="A395" s="185" t="s">
        <v>3401</v>
      </c>
      <c r="B395" s="92" t="str">
        <f>"
Do not answer this question if the scheme follows a Fast Track approach ("&amp;Questions!$D$5&amp;").
"</f>
        <v xml:space="preserve">
Do not answer this question if the scheme follows a Fast Track approach (SH 13.0).
</v>
      </c>
      <c r="C395"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95"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395"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395" s="92" t="str">
        <f t="shared" si="16"/>
        <v xml:space="preserve">
Enter a number that is equal to or greater than 0 and less than 1,000,000,000,000 (1 trillion). It can be accurate to two decimal places.
</v>
      </c>
      <c r="G395" s="454"/>
      <c r="H395" s="455"/>
      <c r="I395" s="92"/>
      <c r="J395" s="92"/>
    </row>
    <row r="396" spans="1:10" ht="77.5">
      <c r="A396" s="185" t="s">
        <v>3402</v>
      </c>
      <c r="B396" s="92" t="str">
        <f>"
Do not answer this question if the scheme follows a Fast Track approach ("&amp;Questions!$D$5&amp;").
"</f>
        <v xml:space="preserve">
Do not answer this question if the scheme follows a Fast Track approach (SH 13.0).
</v>
      </c>
      <c r="C396"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96"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396"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396" s="92" t="str">
        <f t="shared" si="16"/>
        <v xml:space="preserve">
Enter a number that is equal to or greater than 0 and less than 1,000,000,000,000 (1 trillion). It can be accurate to two decimal places.
</v>
      </c>
      <c r="G396" s="454"/>
      <c r="H396" s="455"/>
      <c r="I396" s="92"/>
      <c r="J396" s="92"/>
    </row>
    <row r="397" spans="1:10" ht="77.5">
      <c r="A397" s="185" t="s">
        <v>3403</v>
      </c>
      <c r="B397" s="92" t="str">
        <f>"
Do not answer this question if the scheme follows a Fast Track approach ("&amp;Questions!$D$5&amp;").
"</f>
        <v xml:space="preserve">
Do not answer this question if the scheme follows a Fast Track approach (SH 13.0).
</v>
      </c>
      <c r="C397"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97"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397"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397" s="92" t="str">
        <f t="shared" si="16"/>
        <v xml:space="preserve">
Enter a number that is equal to or greater than 0 and less than 1,000,000,000,000 (1 trillion). It can be accurate to two decimal places.
</v>
      </c>
      <c r="G397" s="454"/>
      <c r="H397" s="455"/>
      <c r="I397" s="92"/>
      <c r="J397" s="92"/>
    </row>
    <row r="398" spans="1:10" ht="77.5">
      <c r="A398" s="185" t="s">
        <v>3404</v>
      </c>
      <c r="B398" s="92" t="str">
        <f>"
Do not answer this question if the scheme follows a Fast Track approach ("&amp;Questions!$D$5&amp;").
"</f>
        <v xml:space="preserve">
Do not answer this question if the scheme follows a Fast Track approach (SH 13.0).
</v>
      </c>
      <c r="C398"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98"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398"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398" s="92" t="str">
        <f t="shared" si="16"/>
        <v xml:space="preserve">
Enter a number that is equal to or greater than 0 and less than 1,000,000,000,000 (1 trillion). It can be accurate to two decimal places.
</v>
      </c>
      <c r="G398" s="454"/>
      <c r="H398" s="455"/>
      <c r="I398" s="92"/>
      <c r="J398" s="92"/>
    </row>
    <row r="399" spans="1:10" ht="77.5">
      <c r="A399" s="185" t="s">
        <v>3405</v>
      </c>
      <c r="B399" s="92" t="str">
        <f>"
Do not answer this question if the scheme follows a Fast Track approach ("&amp;Questions!$D$5&amp;").
"</f>
        <v xml:space="preserve">
Do not answer this question if the scheme follows a Fast Track approach (SH 13.0).
</v>
      </c>
      <c r="C399"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399"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399"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399" s="92" t="str">
        <f t="shared" si="16"/>
        <v xml:space="preserve">
Enter a number that is equal to or greater than 0 and less than 1,000,000,000,000 (1 trillion). It can be accurate to two decimal places.
</v>
      </c>
      <c r="G399" s="454"/>
      <c r="H399" s="455"/>
      <c r="I399" s="92"/>
      <c r="J399" s="92"/>
    </row>
    <row r="400" spans="1:10" ht="77.5">
      <c r="A400" s="185" t="s">
        <v>3406</v>
      </c>
      <c r="B400" s="92" t="str">
        <f>"
Do not answer this question if the scheme follows a Fast Track approach ("&amp;Questions!$D$5&amp;").
"</f>
        <v xml:space="preserve">
Do not answer this question if the scheme follows a Fast Track approach (SH 13.0).
</v>
      </c>
      <c r="C400"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400"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400"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400" s="92" t="str">
        <f t="shared" si="16"/>
        <v xml:space="preserve">
Enter a number that is equal to or greater than 0 and less than 1,000,000,000,000 (1 trillion). It can be accurate to two decimal places.
</v>
      </c>
      <c r="G400" s="454"/>
      <c r="H400" s="455"/>
      <c r="I400" s="92"/>
      <c r="J400" s="92"/>
    </row>
    <row r="401" spans="1:10" ht="77.5">
      <c r="A401" s="185" t="s">
        <v>3407</v>
      </c>
      <c r="B401" s="92" t="str">
        <f>"
Do not answer this question if the scheme follows a Fast Track approach ("&amp;Questions!$D$5&amp;").
"</f>
        <v xml:space="preserve">
Do not answer this question if the scheme follows a Fast Track approach (SH 13.0).
</v>
      </c>
      <c r="C401"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401"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401"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401" s="92" t="str">
        <f t="shared" si="16"/>
        <v xml:space="preserve">
Enter a number that is equal to or greater than 0 and less than 1,000,000,000,000 (1 trillion). It can be accurate to two decimal places.
</v>
      </c>
      <c r="G401" s="454"/>
      <c r="H401" s="455"/>
      <c r="I401" s="92"/>
      <c r="J401" s="92"/>
    </row>
    <row r="402" spans="1:10" ht="77.5">
      <c r="A402" s="185" t="s">
        <v>3408</v>
      </c>
      <c r="B402" s="92" t="str">
        <f>"
Do not answer this question if the scheme follows a Fast Track approach ("&amp;Questions!$D$5&amp;").
"</f>
        <v xml:space="preserve">
Do not answer this question if the scheme follows a Fast Track approach (SH 13.0).
</v>
      </c>
      <c r="C402"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402"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402"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402" s="92" t="str">
        <f t="shared" si="16"/>
        <v xml:space="preserve">
Enter a number that is equal to or greater than 0 and less than 1,000,000,000,000 (1 trillion). It can be accurate to two decimal places.
</v>
      </c>
      <c r="G402" s="454"/>
      <c r="H402" s="455"/>
      <c r="I402" s="92"/>
      <c r="J402" s="92"/>
    </row>
    <row r="403" spans="1:10" ht="77.5">
      <c r="A403" s="185" t="s">
        <v>3409</v>
      </c>
      <c r="B403" s="92" t="str">
        <f>"
Do not answer this question if the scheme follows a Fast Track approach ("&amp;Questions!$D$5&amp;").
"</f>
        <v xml:space="preserve">
Do not answer this question if the scheme follows a Fast Track approach (SH 13.0).
</v>
      </c>
      <c r="C403"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403"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403"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403" s="92" t="str">
        <f t="shared" si="16"/>
        <v xml:space="preserve">
Enter a number that is equal to or greater than 0 and less than 1,000,000,000,000 (1 trillion). It can be accurate to two decimal places.
</v>
      </c>
      <c r="G403" s="454"/>
      <c r="H403" s="455"/>
      <c r="I403" s="92"/>
      <c r="J403" s="92"/>
    </row>
    <row r="404" spans="1:10" ht="77.5">
      <c r="A404" s="185" t="s">
        <v>3410</v>
      </c>
      <c r="B404" s="92" t="str">
        <f>"
Do not answer this question if the scheme follows a Fast Track approach ("&amp;Questions!$D$5&amp;").
"</f>
        <v xml:space="preserve">
Do not answer this question if the scheme follows a Fast Track approach (SH 13.0).
</v>
      </c>
      <c r="C404"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404"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404"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404" s="92" t="str">
        <f t="shared" si="16"/>
        <v xml:space="preserve">
Enter a number that is equal to or greater than 0 and less than 1,000,000,000,000 (1 trillion). It can be accurate to two decimal places.
</v>
      </c>
      <c r="G404" s="454"/>
      <c r="H404" s="455"/>
      <c r="I404" s="92"/>
      <c r="J404" s="92"/>
    </row>
    <row r="405" spans="1:10" ht="77.5">
      <c r="A405" s="185" t="s">
        <v>3411</v>
      </c>
      <c r="B405" s="92" t="str">
        <f>"
Do not answer this question if the scheme follows a Fast Track approach ("&amp;Questions!$D$5&amp;").
"</f>
        <v xml:space="preserve">
Do not answer this question if the scheme follows a Fast Track approach (SH 13.0).
</v>
      </c>
      <c r="C405"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405"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405"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405" s="92" t="str">
        <f t="shared" si="16"/>
        <v xml:space="preserve">
Enter a number that is equal to or greater than 0 and less than 1,000,000,000,000 (1 trillion). It can be accurate to two decimal places.
</v>
      </c>
      <c r="G405" s="454"/>
      <c r="H405" s="455"/>
      <c r="I405" s="92"/>
      <c r="J405" s="92"/>
    </row>
    <row r="406" spans="1:10" ht="77.5">
      <c r="A406" s="185" t="s">
        <v>3412</v>
      </c>
      <c r="B406" s="92" t="str">
        <f>"
Do not answer this question if the scheme follows a Fast Track approach ("&amp;Questions!$D$5&amp;").
"</f>
        <v xml:space="preserve">
Do not answer this question if the scheme follows a Fast Track approach (SH 13.0).
</v>
      </c>
      <c r="C406"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406"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406"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406" s="92" t="str">
        <f t="shared" si="16"/>
        <v xml:space="preserve">
Enter a number that is equal to or greater than 0 and less than 1,000,000,000,000 (1 trillion). It can be accurate to two decimal places.
</v>
      </c>
      <c r="G406" s="454"/>
      <c r="H406" s="455"/>
      <c r="I406" s="92"/>
      <c r="J406" s="92"/>
    </row>
    <row r="407" spans="1:10" ht="77.5">
      <c r="A407" s="185" t="s">
        <v>3413</v>
      </c>
      <c r="B407" s="92" t="str">
        <f>"
Do not answer this question if the scheme follows a Fast Track approach ("&amp;Questions!$D$5&amp;").
"</f>
        <v xml:space="preserve">
Do not answer this question if the scheme follows a Fast Track approach (SH 13.0).
</v>
      </c>
      <c r="C407"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407"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407"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407" s="92" t="str">
        <f t="shared" si="16"/>
        <v xml:space="preserve">
Enter a number that is equal to or greater than 0 and less than 1,000,000,000,000 (1 trillion). It can be accurate to two decimal places.
</v>
      </c>
      <c r="G407" s="454"/>
      <c r="H407" s="455"/>
      <c r="I407" s="92"/>
      <c r="J407" s="92"/>
    </row>
    <row r="408" spans="1:10" ht="77.5">
      <c r="A408" s="185" t="s">
        <v>3414</v>
      </c>
      <c r="B408" s="92" t="str">
        <f>"
Do not answer this question if the scheme follows a Fast Track approach ("&amp;Questions!$D$5&amp;").
"</f>
        <v xml:space="preserve">
Do not answer this question if the scheme follows a Fast Track approach (SH 13.0).
</v>
      </c>
      <c r="C408"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408"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408"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408" s="92" t="str">
        <f t="shared" si="16"/>
        <v xml:space="preserve">
Enter a number that is equal to or greater than 0 and less than 1,000,000,000,000 (1 trillion). It can be accurate to two decimal places.
</v>
      </c>
      <c r="G408" s="454"/>
      <c r="H408" s="455"/>
      <c r="I408" s="92"/>
      <c r="J408" s="92"/>
    </row>
    <row r="409" spans="1:10" ht="77.5">
      <c r="A409" s="185" t="s">
        <v>3415</v>
      </c>
      <c r="B409" s="92" t="str">
        <f>"
Do not answer this question if the scheme follows a Fast Track approach ("&amp;Questions!$D$5&amp;").
"</f>
        <v xml:space="preserve">
Do not answer this question if the scheme follows a Fast Track approach (SH 13.0).
</v>
      </c>
      <c r="C409"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409"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409"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409" s="92" t="str">
        <f t="shared" si="16"/>
        <v xml:space="preserve">
Enter a number that is equal to or greater than 0 and less than 1,000,000,000,000 (1 trillion). It can be accurate to two decimal places.
</v>
      </c>
      <c r="G409" s="454"/>
      <c r="H409" s="455"/>
      <c r="I409" s="92"/>
      <c r="J409" s="92"/>
    </row>
    <row r="410" spans="1:10" ht="77.5">
      <c r="A410" s="185" t="s">
        <v>3416</v>
      </c>
      <c r="B410" s="92" t="str">
        <f>"
Do not answer this question if the scheme follows a Fast Track approach ("&amp;Questions!$D$5&amp;").
"</f>
        <v xml:space="preserve">
Do not answer this question if the scheme follows a Fast Track approach (SH 13.0).
</v>
      </c>
      <c r="C410"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410"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410"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410" s="92" t="str">
        <f t="shared" si="16"/>
        <v xml:space="preserve">
Enter a number that is equal to or greater than 0 and less than 1,000,000,000,000 (1 trillion). It can be accurate to two decimal places.
</v>
      </c>
      <c r="G410" s="454"/>
      <c r="H410" s="455"/>
      <c r="I410" s="92"/>
      <c r="J410" s="92"/>
    </row>
    <row r="411" spans="1:10" ht="77.5">
      <c r="A411" s="185" t="s">
        <v>3417</v>
      </c>
      <c r="B411" s="92" t="str">
        <f>"
Do not answer this question if the scheme follows a Fast Track approach ("&amp;Questions!$D$5&amp;").
"</f>
        <v xml:space="preserve">
Do not answer this question if the scheme follows a Fast Track approach (SH 13.0).
</v>
      </c>
      <c r="C411"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411"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411"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411" s="92" t="str">
        <f t="shared" si="16"/>
        <v xml:space="preserve">
Enter a number that is equal to or greater than 0 and less than 1,000,000,000,000 (1 trillion). It can be accurate to two decimal places.
</v>
      </c>
      <c r="G411" s="454"/>
      <c r="H411" s="455"/>
      <c r="I411" s="92"/>
      <c r="J411" s="92"/>
    </row>
    <row r="412" spans="1:10" ht="77.5">
      <c r="A412" s="185" t="s">
        <v>3418</v>
      </c>
      <c r="B412" s="92" t="str">
        <f>"
Do not answer this question if the scheme follows a Fast Track approach ("&amp;Questions!$D$5&amp;").
"</f>
        <v xml:space="preserve">
Do not answer this question if the scheme follows a Fast Track approach (SH 13.0).
</v>
      </c>
      <c r="C412"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412"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412"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412" s="92" t="str">
        <f t="shared" si="16"/>
        <v xml:space="preserve">
Enter a number that is equal to or greater than 0 and less than 1,000,000,000,000 (1 trillion). It can be accurate to two decimal places.
</v>
      </c>
      <c r="G412" s="454"/>
      <c r="H412" s="455"/>
      <c r="I412" s="92"/>
      <c r="J412" s="92"/>
    </row>
    <row r="413" spans="1:10" ht="77.5">
      <c r="A413" s="185" t="s">
        <v>3419</v>
      </c>
      <c r="B413" s="92" t="str">
        <f>"
Do not answer this question if the scheme follows a Fast Track approach ("&amp;Questions!$D$5&amp;").
"</f>
        <v xml:space="preserve">
Do not answer this question if the scheme follows a Fast Track approach (SH 13.0).
</v>
      </c>
      <c r="C413"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413"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413"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413" s="92" t="str">
        <f t="shared" si="16"/>
        <v xml:space="preserve">
Enter a number that is equal to or greater than 0 and less than 1,000,000,000,000 (1 trillion). It can be accurate to two decimal places.
</v>
      </c>
      <c r="G413" s="454"/>
      <c r="H413" s="455"/>
      <c r="I413" s="92"/>
      <c r="J413" s="92"/>
    </row>
    <row r="414" spans="1:10" ht="77.5">
      <c r="A414" s="185" t="s">
        <v>3420</v>
      </c>
      <c r="B414" s="92" t="str">
        <f>"
Do not answer this question if the scheme follows a Fast Track approach ("&amp;Questions!$D$5&amp;").
"</f>
        <v xml:space="preserve">
Do not answer this question if the scheme follows a Fast Track approach (SH 13.0).
</v>
      </c>
      <c r="C414"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414"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414"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414" s="92" t="str">
        <f t="shared" si="16"/>
        <v xml:space="preserve">
Enter a number that is equal to or greater than 0 and less than 1,000,000,000,000 (1 trillion). It can be accurate to two decimal places.
</v>
      </c>
      <c r="G414" s="454"/>
      <c r="H414" s="455"/>
      <c r="I414" s="92"/>
      <c r="J414" s="92"/>
    </row>
    <row r="415" spans="1:10" ht="77.5">
      <c r="A415" s="185" t="s">
        <v>3421</v>
      </c>
      <c r="B415" s="92" t="str">
        <f>"
Do not answer this question if the scheme follows a Fast Track approach ("&amp;Questions!$D$5&amp;").
"</f>
        <v xml:space="preserve">
Do not answer this question if the scheme follows a Fast Track approach (SH 13.0).
</v>
      </c>
      <c r="C415" s="92" t="str">
        <f>"
You must answer this question if the scheme follows a Bespoke approach ("&amp;Questions!$D$5&amp;") and does not meet the ‘small scheme’ definition ("&amp;Questions!$D$3&amp;").
"</f>
        <v xml:space="preserve">
You must answer this question if the scheme follows a Bespoke approach (SH 13.0) and does not meet the ‘small scheme’ definition (SH 11.0).
</v>
      </c>
      <c r="D415" s="92" t="str">
        <f>"
Do not answer this question if the scheme follows a Bespoke approach ("&amp;Questions!$D$5&amp;"), meets the 'small scheme' definition ("&amp;Questions!$D$3&amp;"), and the scheme benefit cash flows are not provided ("&amp;Questions!$D$55&amp;").
"</f>
        <v xml:space="preserve">
Do not answer this question if the scheme follows a Bespoke approach (SH 13.0), meets the 'small scheme' definition (SH 11.0), and the scheme benefit cash flows are not provided (SBC 1.0).
</v>
      </c>
      <c r="E415" s="92" t="str">
        <f>"
You must answer this question if the scheme follows a Bespoke approach ("&amp;Questions!$D$5&amp;"), meets the ‘small scheme’ definition ("&amp;Questions!$D$3&amp;") and the scheme benefit cash flows are provided ("&amp;Questions!$D$55&amp;").
"</f>
        <v xml:space="preserve">
You must answer this question if the scheme follows a Bespoke approach (SH 13.0), meets the ‘small scheme’ definition (SH 11.0) and the scheme benefit cash flows are provided (SBC 1.0).
</v>
      </c>
      <c r="F415" s="92" t="str">
        <f t="shared" si="16"/>
        <v xml:space="preserve">
Enter a number that is equal to or greater than 0 and less than 1,000,000,000,000 (1 trillion). It can be accurate to two decimal places.
</v>
      </c>
      <c r="G415" s="454"/>
      <c r="H415" s="455"/>
      <c r="I415" s="92"/>
      <c r="J415" s="92"/>
    </row>
    <row r="416" spans="1:10" ht="62">
      <c r="A416" s="185" t="s">
        <v>3422</v>
      </c>
      <c r="B416" s="92" t="str">
        <f>"
Enter a valid date that is less than or equal to today in the format dd/mm/yyyy.
"</f>
        <v xml:space="preserve">
Enter a valid date that is less than or equal to today in the format dd/mm/yyyy.
</v>
      </c>
      <c r="C416" s="92" t="str">
        <f>"
Enter a valid date that is less than or equal to today in the format dd/mm/yyyy.
"</f>
        <v xml:space="preserve">
Enter a valid date that is less than or equal to today in the format dd/mm/yyyy.
</v>
      </c>
      <c r="D416" s="92" t="str">
        <f>"
Enter a valid date that is less than or equal to today in the format dd/mm/yyyy.
"</f>
        <v xml:space="preserve">
Enter a valid date that is less than or equal to today in the format dd/mm/yyyy.
</v>
      </c>
      <c r="E416" s="92"/>
      <c r="F416" s="167"/>
      <c r="G416" s="454"/>
      <c r="H416" s="455"/>
      <c r="I416" s="92"/>
      <c r="J416" s="92"/>
    </row>
    <row r="417" spans="1:10" ht="93">
      <c r="A417" s="185" t="s">
        <v>3423</v>
      </c>
      <c r="B417" s="92" t="str">
        <f>"
Do not answer this question if the scheme follows a Fast Track approach ("&amp;Questions!$D$5&amp;").
"</f>
        <v xml:space="preserve">
Do not answer this question if the scheme follows a Fast Track approach (SH 13.0).
</v>
      </c>
      <c r="C417" s="92" t="str">
        <f>"
You must answer this question if the scheme follows a Bespoke approach ("&amp;Questions!$D$5&amp;") and the valuation is pre-relevant date ("&amp;Questions!$D$14&amp;").
"</f>
        <v xml:space="preserve">
You must answer this question if the scheme follows a Bespoke approach (SH 13.0) and the valuation is pre-relevant date (SH 10.0).
</v>
      </c>
      <c r="D417" s="92" t="str">
        <f>"
Do not answer this question if the scheme valuation is post-relevant date and the scheme meets the 'Bespoke low-risk scheme' requirements definition ("&amp;Questions!$D$6&amp;").
"</f>
        <v xml:space="preserve">
Do not answer this question if the scheme valuation is post-relevant date and the scheme meets the 'Bespoke low-risk scheme' requirements definition (SH 14.0).
</v>
      </c>
      <c r="E417" s="92" t="str">
        <f>"
You must answer this question if the scheme follows a Bespoke approach ("&amp;Questions!$D$5&amp;") and the valuation is post-relevant date ("&amp;Questions!$D$14&amp;") and the scheme does not meet the 'Bespoke low-risk scheme' requirements ("&amp;Questions!$D$6&amp;").  
"</f>
        <v xml:space="preserve">
You must answer this question if the scheme follows a Bespoke approach (SH 13.0) and the valuation is post-relevant date (SH 10.0) and the scheme does not meet the 'Bespoke low-risk scheme' requirements (SH 14.0).  
</v>
      </c>
      <c r="F417" s="92" t="str">
        <f>"
Select ‘Yes’ if professional covenant advice was taken for this valuation, or ‘No’ if it was not.
"</f>
        <v xml:space="preserve">
Select ‘Yes’ if professional covenant advice was taken for this valuation, or ‘No’ if it was not.
</v>
      </c>
      <c r="G417" s="92"/>
      <c r="H417" s="92"/>
      <c r="I417" s="92"/>
      <c r="J417" s="92"/>
    </row>
    <row r="418" spans="1:10" ht="77.5">
      <c r="A418" s="185" t="s">
        <v>3424</v>
      </c>
      <c r="B418" s="92" t="str">
        <f>"
Do not answer this question if the scheme follows a Fast Track approach ("&amp;Questions!$D$5&amp;").
"</f>
        <v xml:space="preserve">
Do not answer this question if the scheme follows a Fast Track approach (SH 13.0).
</v>
      </c>
      <c r="C418" s="92" t="str">
        <f>"
Do not answer this question if you took professional covenant advice for this valuation ("&amp;Questions!$D$244&amp;").
"</f>
        <v xml:space="preserve">
Do not answer this question if you took professional covenant advice for this valuation (CSI 2.0).
</v>
      </c>
      <c r="D418" s="92" t="str">
        <f>"
You must answer this question if the scheme follows a Bespoke approach ("&amp;Questions!$D$5&amp;") and the scheme did not take professional covenant advice for this valuation ("&amp;Questions!$D$244&amp;").
"</f>
        <v xml:space="preserve">
You must answer this question if the scheme follows a Bespoke approach (SH 13.0) and the scheme did not take professional covenant advice for this valuation (CSI 2.0).
</v>
      </c>
      <c r="E418" s="92" t="str">
        <f>"
The answer must be no more than 4000 characters.
"</f>
        <v xml:space="preserve">
The answer must be no more than 4000 characters.
</v>
      </c>
      <c r="F418" s="92"/>
      <c r="G418" s="92"/>
      <c r="H418" s="92"/>
      <c r="I418" s="92"/>
      <c r="J418" s="92"/>
    </row>
    <row r="419" spans="1:10" ht="93">
      <c r="A419" s="185" t="s">
        <v>3425</v>
      </c>
      <c r="B419" s="92" t="str">
        <f>"
Do not answer this question if the scheme follows a Fast Track approach ("&amp;Questions!$D$5&amp;") and meets 'small scheme’ definition ("&amp;Questions!$D$3&amp;").
"</f>
        <v xml:space="preserve">
Do not answer this question if the scheme follows a Fast Track approach (SH 13.0) and meets 'small scheme’ definition (SH 11.0).
</v>
      </c>
      <c r="C419" s="92" t="str">
        <f>"
Do not answer this question if the scheme meets the 'Fast Track low risk scheme’ requirements ("&amp;Questions!$D$7&amp;").
"</f>
        <v xml:space="preserve">
Do not answer this question if the scheme meets the 'Fast Track low risk scheme’ requirements (SH 15.0).
</v>
      </c>
      <c r="D419" s="92" t="str">
        <f>"
You must answer this question if the scheme follows a Fast Track approach ("&amp;Questions!$D$5&amp;"), does not meet the ‘small scheme’ definition ("&amp;Questions!$D$3&amp;") and does not meet the 'Fast Track low-risk scheme' requirements ("&amp;Questions!$D$7&amp;"). 
"</f>
        <v xml:space="preserve">
You must answer this question if the scheme follows a Fast Track approach (SH 13.0), does not meet the ‘small scheme’ definition (SH 11.0) and does not meet the 'Fast Track low-risk scheme' requirements (SH 15.0). 
</v>
      </c>
      <c r="E419" s="92" t="str">
        <f>"
You must answer this question if the scheme follows a Bespoke approach ("&amp;Questions!$D$5&amp;") and the valuation is pre-relevant date ("&amp;Questions!$D$14&amp;").
"</f>
        <v xml:space="preserve">
You must answer this question if the scheme follows a Bespoke approach (SH 13.0) and the valuation is pre-relevant date (SH 10.0).
</v>
      </c>
      <c r="F419" s="92" t="str">
        <f>"
Do not answer this question if the scheme follows a Bespoke approach ("&amp;Questions!$D$5&amp;") and meets the 'Bespoke low-risk scheme' requirements definition ("&amp;Questions!$D$6&amp;").
"</f>
        <v xml:space="preserve">
Do not answer this question if the scheme follows a Bespoke approach (SH 13.0) and meets the 'Bespoke low-risk scheme' requirements definition (SH 14.0).
</v>
      </c>
      <c r="G419" s="92" t="str">
        <f>"
You must answer this question if the scheme follows a Bespoke approach ("&amp;Questions!$D$5&amp;"), the valuation is post-relevant date ("&amp;Questions!$D$14&amp;") and the scheme does not meet the 'Bespoke low-risk scheme' requirements ("&amp;Questions!$D$6&amp;").  
"</f>
        <v xml:space="preserve">
You must answer this question if the scheme follows a Bespoke approach (SH 13.0), the valuation is post-relevant date (SH 10.0) and the scheme does not meet the 'Bespoke low-risk scheme' requirements (SH 14.0).  
</v>
      </c>
      <c r="H419" s="92" t="str">
        <f>"
Select ‘Yes’ if the scheme is a non-segregated non-associated multi-employer scheme, or ‘No’ if it is not.
"</f>
        <v xml:space="preserve">
Select ‘Yes’ if the scheme is a non-segregated non-associated multi-employer scheme, or ‘No’ if it is not.
</v>
      </c>
      <c r="I419" s="92"/>
      <c r="J419" s="92"/>
    </row>
    <row r="420" spans="1:10" ht="93">
      <c r="A420" s="185" t="s">
        <v>3426</v>
      </c>
      <c r="B420" s="92" t="str">
        <f>"
Do not answer this question if the scheme follows a Fast Track approach ("&amp;Questions!$D$5&amp;").
"</f>
        <v xml:space="preserve">
Do not answer this question if the scheme follows a Fast Track approach (SH 13.0).
</v>
      </c>
      <c r="C420" s="92" t="str">
        <f>"
You must answer this question if the scheme follows a Bespoke approach ("&amp;Questions!$D$5&amp;") and the valuation is pre-relevant date ("&amp;Questions!$D$14&amp;").
"</f>
        <v xml:space="preserve">
You must answer this question if the scheme follows a Bespoke approach (SH 13.0) and the valuation is pre-relevant date (SH 10.0).
</v>
      </c>
      <c r="D420" s="92" t="str">
        <f>"
Do not answer this question if the scheme follows a Bespoke approach ("&amp;Questions!$D$5&amp;") and meets the 'Bespoke low-risk scheme' requirements definition ("&amp;Questions!$D$6&amp;").  
"</f>
        <v xml:space="preserve">
Do not answer this question if the scheme follows a Bespoke approach (SH 13.0) and meets the 'Bespoke low-risk scheme' requirements definition (SH 14.0).  
</v>
      </c>
      <c r="E420" s="92" t="str">
        <f>"
You must answer this question if the scheme follows a Bespoke approach ("&amp;Questions!$D$5&amp;") and the valuation is post-relevant date ("&amp;Questions!$D$14&amp;") and the scheme does not meet the 'Bespoke low-risk scheme' requirements ("&amp;Questions!$D$6&amp;").  
"</f>
        <v xml:space="preserve">
You must answer this question if the scheme follows a Bespoke approach (SH 13.0) and the valuation is post-relevant date (SH 10.0) and the scheme does not meet the 'Bespoke low-risk scheme' requirements (SH 14.0).  
</v>
      </c>
      <c r="F420" s="92" t="str">
        <f>"
Select ‘Yes’ if reliance was placed on any entity other than statutory employers and their subsidiaries when determining covenant strength, or ‘No’, if it was not.
"</f>
        <v xml:space="preserve">
Select ‘Yes’ if reliance was placed on any entity other than statutory employers and their subsidiaries when determining covenant strength, or ‘No’, if it was not.
</v>
      </c>
      <c r="G420" s="92"/>
      <c r="H420" s="92"/>
      <c r="I420" s="92"/>
      <c r="J420" s="92"/>
    </row>
    <row r="421" spans="1:10" ht="93">
      <c r="A421" s="185" t="s">
        <v>3427</v>
      </c>
      <c r="B421" s="92" t="str">
        <f>"
Do not answer this question if the scheme follows a Fast Track approach ("&amp;Questions!$D$5&amp;").
"</f>
        <v xml:space="preserve">
Do not answer this question if the scheme follows a Fast Track approach (SH 13.0).
</v>
      </c>
      <c r="C421" s="92" t="str">
        <f>"
Do not answer this question if you do not place reliance on any entity other than statutory employers and their subsidiaries when determining covenant strength ("&amp;Questions!$D$245&amp;").
"</f>
        <v xml:space="preserve">
Do not answer this question if you do not place reliance on any entity other than statutory employers and their subsidiaries when determining covenant strength (CSI 5.0).
</v>
      </c>
      <c r="D421" s="92" t="str">
        <f>"
You must answer this question if the scheme follows a Bespoke approach ("&amp;Questions!$D$5&amp;") and if you place reliance on any entity other than statutory employers and their subsidiaries when determining covenant strength ("&amp;Questions!$D$245&amp;").
"</f>
        <v xml:space="preserve">
You must answer this question if the scheme follows a Bespoke approach (SH 13.0) and if you place reliance on any entity other than statutory employers and their subsidiaries when determining covenant strength (CSI 5.0).
</v>
      </c>
      <c r="E421" s="92" t="str">
        <f>"
Enter a whole number between 0 and 5.
"</f>
        <v xml:space="preserve">
Enter a whole number between 0 and 5.
</v>
      </c>
      <c r="F421" s="92" t="str">
        <f>"
Enter a whole number between 0 and 5.
"</f>
        <v xml:space="preserve">
Enter a whole number between 0 and 5.
</v>
      </c>
      <c r="G421" s="92" t="str">
        <f>"
Enter a whole number between 0 and 5.
"</f>
        <v xml:space="preserve">
Enter a whole number between 0 and 5.
</v>
      </c>
      <c r="H421" s="461" t="str">
        <f>"
Do not answer this question if the scheme follows a Bespoke approach ("&amp;Questions!$D$5&amp;") and meets the 'Bespoke low-risk scheme' requirements definition ("&amp;Questions!$D$6&amp;").  
"</f>
        <v xml:space="preserve">
Do not answer this question if the scheme follows a Bespoke approach (SH 13.0) and meets the 'Bespoke low-risk scheme' requirements definition (SH 14.0).  
</v>
      </c>
      <c r="I421" s="92"/>
      <c r="J421" s="92"/>
    </row>
    <row r="422" spans="1:10" ht="93">
      <c r="A422" s="185" t="s">
        <v>3428</v>
      </c>
      <c r="B422" s="92" t="str">
        <f>"
Do not answer this question if the scheme follows a Fast Track approach ("&amp;Questions!$D$5&amp;").
"</f>
        <v xml:space="preserve">
Do not answer this question if the scheme follows a Fast Track approach (SH 13.0).
</v>
      </c>
      <c r="C422" s="92" t="str">
        <f>"
Do not answer this question if you do not place reliance on any entity other than statutory employers and their subsidiaries when determining covenant strength ("&amp;Questions!$D$245&amp;").
"</f>
        <v xml:space="preserve">
Do not answer this question if you do not place reliance on any entity other than statutory employers and their subsidiaries when determining covenant strength (CSI 5.0).
</v>
      </c>
      <c r="D422" s="92" t="str">
        <f>"
You must answer this question if the scheme follows a Bespoke approach ("&amp;Questions!$D$5&amp;") and if you place reliance on any entity other than statutory employers and their subsidiaries when determining covenant strength ("&amp;Questions!$D$245&amp;").
"</f>
        <v xml:space="preserve">
You must answer this question if the scheme follows a Bespoke approach (SH 13.0) and if you place reliance on any entity other than statutory employers and their subsidiaries when determining covenant strength (CSI 5.0).
</v>
      </c>
      <c r="E422" s="92" t="str">
        <f>"
The answer must be no more than 4000 characters.
"</f>
        <v xml:space="preserve">
The answer must be no more than 4000 characters.
</v>
      </c>
      <c r="F422" s="92" t="str">
        <f>"
Do not answer this question if the scheme follows a Bespoke approach ("&amp;Questions!$D$5&amp;") and meets the 'Bespoke low-risk scheme' requirements definition ("&amp;Questions!$D$6&amp;").  
"</f>
        <v xml:space="preserve">
Do not answer this question if the scheme follows a Bespoke approach (SH 13.0) and meets the 'Bespoke low-risk scheme' requirements definition (SH 14.0).  
</v>
      </c>
      <c r="G422" s="92"/>
      <c r="H422" s="92"/>
      <c r="I422" s="92"/>
      <c r="J422" s="92"/>
    </row>
    <row r="423" spans="1:10" ht="93">
      <c r="A423" s="185" t="s">
        <v>3429</v>
      </c>
      <c r="B423" s="92" t="str">
        <f>"
Do not answer this question if the scheme follows a Fast Track approach ("&amp;Questions!$D$5&amp;").
"</f>
        <v xml:space="preserve">
Do not answer this question if the scheme follows a Fast Track approach (SH 13.0).
</v>
      </c>
      <c r="C423"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23"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23" s="92" t="str">
        <f>"
You must answer this question if the scheme follows a Bespoke approach ("&amp;Questions!$D$5&amp;") and there are one or more entities other than statutory employers on whom covenant reliance is placed ("&amp;Questions!$D$247&amp;").
"</f>
        <v xml:space="preserve">
You must answer this question if the scheme follows a Bespoke approach (SH 13.0) and there are one or more entities other than statutory employers on whom covenant reliance is placed (CSI 6.0).
</v>
      </c>
      <c r="F423" s="92" t="str">
        <f>"
The answer must be no more than 510 characters.
"</f>
        <v xml:space="preserve">
The answer must be no more than 510 characters.
</v>
      </c>
      <c r="G423" s="92"/>
      <c r="H423" s="462"/>
      <c r="I423" s="92"/>
      <c r="J423" s="92"/>
    </row>
    <row r="424" spans="1:10" ht="124">
      <c r="A424" s="185" t="s">
        <v>3430</v>
      </c>
      <c r="B424" s="92" t="str">
        <f>"
Do not answer this question if the scheme follows a Fast Track approach ("&amp;Questions!$D$5&amp;").
"</f>
        <v xml:space="preserve">
Do not answer this question if the scheme follows a Fast Track approach (SH 13.0).
</v>
      </c>
      <c r="C424"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24"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24" s="92" t="s">
        <v>4784</v>
      </c>
      <c r="F424" s="92"/>
      <c r="G424" s="92"/>
      <c r="H424" s="462"/>
      <c r="I424" s="92"/>
      <c r="J424" s="92"/>
    </row>
    <row r="425" spans="1:10" ht="93">
      <c r="A425" s="185" t="s">
        <v>3431</v>
      </c>
      <c r="B425" s="92" t="str">
        <f>"
Do not answer this question if the scheme follows a Fast Track approach ("&amp;Questions!$D$5&amp;").
"</f>
        <v xml:space="preserve">
Do not answer this question if the scheme follows a Fast Track approach (SH 13.0).
</v>
      </c>
      <c r="C425"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25"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25" s="92" t="str">
        <f>"
Do not answer this question if you have provided a Covenant Reliance party Companies House number ("&amp;Questions!$D$626&amp;").
"</f>
        <v xml:space="preserve">
Do not answer this question if you have provided a Covenant Reliance party Companies House number (CSI 9.0/1).
</v>
      </c>
      <c r="F425" s="92" t="str">
        <f>"
The answer must have between 6 and 8 characters.
"</f>
        <v xml:space="preserve">
The answer must have between 6 and 8 characters.
</v>
      </c>
      <c r="G425" s="92"/>
      <c r="H425" s="462"/>
      <c r="I425" s="92"/>
      <c r="J425" s="92"/>
    </row>
    <row r="426" spans="1:10" ht="108.5">
      <c r="A426" s="185" t="s">
        <v>3432</v>
      </c>
      <c r="B426" s="92" t="str">
        <f>"
Do not answer this question if the scheme follows a Fast Track approach ("&amp;Questions!$D$5&amp;").
"</f>
        <v xml:space="preserve">
Do not answer this question if the scheme follows a Fast Track approach (SH 13.0).
</v>
      </c>
      <c r="C426"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26"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26" s="92" t="str">
        <f>"
Do not answer this question if you have provided a Covenant Reliance party Companies House number ("&amp;Questions!$D$626&amp;").
"</f>
        <v xml:space="preserve">
Do not answer this question if you have provided a Covenant Reliance party Companies House number (CSI 9.0/1).
</v>
      </c>
      <c r="F426" s="92" t="str">
        <f>"
Do not answer this question if you have provided a covenant reliance party charity number ("&amp;Questions!$D$627&amp;").
"</f>
        <v xml:space="preserve">
Do not answer this question if you have provided a covenant reliance party charity number (CSI 10.0/1).
</v>
      </c>
      <c r="G426" s="92" t="str">
        <f>"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("&amp;Questions!$D$626&amp;") or a covenant reliance party charity number ("&amp;Questions!$D$627&amp;").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9.0/1) or a covenant reliance party charity number (CSI 10.0/1).
</v>
      </c>
      <c r="H426" s="92" t="str">
        <f>"
The answer must be no more than 510 characters.
"</f>
        <v xml:space="preserve">
The answer must be no more than 510 characters.
</v>
      </c>
      <c r="I426" s="92"/>
      <c r="J426" s="92"/>
    </row>
    <row r="427" spans="1:10" ht="108.5">
      <c r="A427" s="185" t="s">
        <v>3433</v>
      </c>
      <c r="B427" s="92" t="str">
        <f>"
Do not answer this question if the scheme follows a Fast Track approach ("&amp;Questions!$D$5&amp;").
"</f>
        <v xml:space="preserve">
Do not answer this question if the scheme follows a Fast Track approach (SH 13.0).
</v>
      </c>
      <c r="C427"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27"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27" s="92" t="str">
        <f>"
Do not answer this question if you have provided a Covenant Reliance party Companies House number ("&amp;Questions!$D$626&amp;").
"</f>
        <v xml:space="preserve">
Do not answer this question if you have provided a Covenant Reliance party Companies House number (CSI 9.0/1).
</v>
      </c>
      <c r="F427" s="92" t="str">
        <f>"
Do not answer this question if you have provided a covenant reliance party charity number ("&amp;Questions!$D$627&amp;").
"</f>
        <v xml:space="preserve">
Do not answer this question if you have provided a covenant reliance party charity number (CSI 10.0/1).
</v>
      </c>
      <c r="G427" s="92" t="str">
        <f>"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("&amp;Questions!$D$626&amp;") or a covenant reliance party charity number ("&amp;Questions!$D$627&amp;").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9.0/1) or a covenant reliance party charity number (CSI 10.0/1).
</v>
      </c>
      <c r="H427" s="92" t="str">
        <f>"
The answer must be no more than 510 characters.
"</f>
        <v xml:space="preserve">
The answer must be no more than 510 characters.
</v>
      </c>
      <c r="I427" s="92"/>
      <c r="J427" s="92"/>
    </row>
    <row r="428" spans="1:10" ht="93">
      <c r="A428" s="185" t="s">
        <v>3434</v>
      </c>
      <c r="B428" s="92" t="str">
        <f>"
Do not answer this question if the scheme follows a Fast Track approach ("&amp;Questions!$D$5&amp;").
"</f>
        <v xml:space="preserve">
Do not answer this question if the scheme follows a Fast Track approach (SH 13.0).
</v>
      </c>
      <c r="C428"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28"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28" s="92" t="str">
        <f>"
Do not answer this question if you have provided a Covenant Reliance party Companies House number ("&amp;Questions!$D$626&amp;").
"</f>
        <v xml:space="preserve">
Do not answer this question if you have provided a Covenant Reliance party Companies House number (CSI 9.0/1).
</v>
      </c>
      <c r="F428" s="92" t="str">
        <f>"
Do not answer this question if you have provided a covenant reliance party charity number ("&amp;Questions!$D$627&amp;").
"</f>
        <v xml:space="preserve">
Do not answer this question if you have provided a covenant reliance party charity number (CSI 10.0/1).
</v>
      </c>
      <c r="G428" s="92" t="str">
        <f>"
The answer must be no more than 510 characters.
"</f>
        <v xml:space="preserve">
The answer must be no more than 510 characters.
</v>
      </c>
      <c r="H428" s="462"/>
      <c r="I428" s="92"/>
      <c r="J428" s="92"/>
    </row>
    <row r="429" spans="1:10" ht="93">
      <c r="A429" s="185" t="s">
        <v>3435</v>
      </c>
      <c r="B429" s="92" t="str">
        <f>"
Do not answer this question if the scheme follows a Fast Track approach ("&amp;Questions!$D$5&amp;").
"</f>
        <v xml:space="preserve">
Do not answer this question if the scheme follows a Fast Track approach (SH 13.0).
</v>
      </c>
      <c r="C429"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29"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29" s="92" t="str">
        <f>"
Do not answer this question if you have provided a Covenant Reliance party Companies House number ("&amp;Questions!$D$626&amp;").
"</f>
        <v xml:space="preserve">
Do not answer this question if you have provided a Covenant Reliance party Companies House number (CSI 9.0/1).
</v>
      </c>
      <c r="F429" s="92" t="str">
        <f>"
Do not answer this question if you have provided a covenant reliance party charity number ("&amp;Questions!$D$627&amp;").
"</f>
        <v xml:space="preserve">
Do not answer this question if you have provided a covenant reliance party charity number (CSI 10.0/1).
</v>
      </c>
      <c r="G429" s="92" t="str">
        <f>"
The answer must be no more than 510 characters.
"</f>
        <v xml:space="preserve">
The answer must be no more than 510 characters.
</v>
      </c>
      <c r="H429" s="462"/>
      <c r="I429" s="92"/>
      <c r="J429" s="92"/>
    </row>
    <row r="430" spans="1:10" ht="108.5">
      <c r="A430" s="185" t="s">
        <v>3436</v>
      </c>
      <c r="B430" s="92" t="str">
        <f>"
Do not answer this question if the scheme follows a Fast Track approach ("&amp;Questions!$D$5&amp;").
"</f>
        <v xml:space="preserve">
Do not answer this question if the scheme follows a Fast Track approach (SH 13.0).
</v>
      </c>
      <c r="C430"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30"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30" s="92" t="str">
        <f>"
Do not answer this question if you have provided a Covenant Reliance party Companies House number ("&amp;Questions!$D$626&amp;").
"</f>
        <v xml:space="preserve">
Do not answer this question if you have provided a Covenant Reliance party Companies House number (CSI 9.0/1).
</v>
      </c>
      <c r="F430" s="92" t="str">
        <f>"
Do not answer this question if you have provided a covenant reliance party charity number ("&amp;Questions!$D$627&amp;").
"</f>
        <v xml:space="preserve">
Do not answer this question if you have provided a covenant reliance party charity number (CSI 10.0/1).
</v>
      </c>
      <c r="G430" s="92" t="str">
        <f>"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("&amp;Questions!$D$626&amp;") or a covenant reliance party charity number ("&amp;Questions!$D$627&amp;").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9.0/1) or a covenant reliance party charity number (CSI 10.0/1).
</v>
      </c>
      <c r="H430" s="92" t="str">
        <f>"
The answer must be no more than 510 characters.
"</f>
        <v xml:space="preserve">
The answer must be no more than 510 characters.
</v>
      </c>
      <c r="I430" s="92"/>
      <c r="J430" s="92"/>
    </row>
    <row r="431" spans="1:10" ht="108.5">
      <c r="A431" s="185" t="s">
        <v>3437</v>
      </c>
      <c r="B431" s="92" t="str">
        <f>"
Do not answer this question if the scheme follows a Fast Track approach ("&amp;Questions!$D$5&amp;").
"</f>
        <v xml:space="preserve">
Do not answer this question if the scheme follows a Fast Track approach (SH 13.0).
</v>
      </c>
      <c r="C431"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31"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31" s="92" t="str">
        <f>"
Do not answer this question if you have provided a Covenant Reliance party Companies House number ("&amp;Questions!$D$626&amp;").
"</f>
        <v xml:space="preserve">
Do not answer this question if you have provided a Covenant Reliance party Companies House number (CSI 9.0/1).
</v>
      </c>
      <c r="F431" s="92" t="str">
        <f>"
Do not answer this question if you have provided a covenant reliance party charity number ("&amp;Questions!$D$627&amp;").
"</f>
        <v xml:space="preserve">
Do not answer this question if you have provided a covenant reliance party charity number (CSI 10.0/1).
</v>
      </c>
      <c r="G431" s="92" t="str">
        <f>"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("&amp;Questions!$D$626&amp;") or a covenant reliance party charity number ("&amp;Questions!$D$627&amp;").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9.0/1) or a covenant reliance party charity number (CSI 10.0/1).
</v>
      </c>
      <c r="H431" s="462" t="str">
        <f>"
Select 'United Kingdom' if the address is for a UK address, or the relevant country from the drop-down list if not. 
"</f>
        <v xml:space="preserve">
Select 'United Kingdom' if the address is for a UK address, or the relevant country from the drop-down list if not. 
</v>
      </c>
      <c r="I431" s="92"/>
      <c r="J431" s="92"/>
    </row>
    <row r="432" spans="1:10" ht="124">
      <c r="A432" s="185" t="s">
        <v>3438</v>
      </c>
      <c r="B432" s="92" t="str">
        <f>"
Do not answer this question if the scheme follows a Fast Track approach ("&amp;Questions!$D$5&amp;").
"</f>
        <v xml:space="preserve">
Do not answer this question if the scheme follows a Fast Track approach (SH 13.0).
</v>
      </c>
      <c r="C432"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32"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32" s="92" t="str">
        <f>"
Do not answer this question if you have provided a Covenant Reliance party Companies House number ("&amp;Questions!$D$626&amp;").
"</f>
        <v xml:space="preserve">
Do not answer this question if you have provided a Covenant Reliance party Companies House number (CSI 9.0/1).
</v>
      </c>
      <c r="F432" s="92" t="str">
        <f>"
Do not answer this question if you have provided a covenant reliance party charity number ("&amp;Questions!$D$627&amp;").
"</f>
        <v xml:space="preserve">
Do not answer this question if you have provided a covenant reliance party charity number (CSI 10.0/1).
</v>
      </c>
      <c r="G432" s="92" t="str">
        <f>"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("&amp;Questions!$D$626&amp;") or a covenant reliance party charity number ("&amp;Questions!$D$627&amp;") and the country is United Kingdom ("&amp;Questions!D633&amp;").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9.0/1) or a covenant reliance party charity number (CSI 10.0/1) and the country is United Kingdom (CSI 16.0/1).
</v>
      </c>
      <c r="H432" s="462" t="str">
        <f>"
The answer must be a valid postcode with between 5 and 8 characters.
"</f>
        <v xml:space="preserve">
The answer must be a valid postcode with between 5 and 8 characters.
</v>
      </c>
      <c r="I432" s="92"/>
      <c r="J432" s="92"/>
    </row>
    <row r="433" spans="1:10" ht="93">
      <c r="A433" s="185" t="s">
        <v>3439</v>
      </c>
      <c r="B433" s="92" t="str">
        <f>"
Do not answer this question if the scheme follows a Fast Track approach ("&amp;Questions!$D$5&amp;").
"</f>
        <v xml:space="preserve">
Do not answer this question if the scheme follows a Fast Track approach (SH 13.0).
</v>
      </c>
      <c r="C433"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33"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33" s="92" t="str">
        <f>"
You must answer this question if the scheme follows a Bespoke approach ("&amp;Questions!$D$5&amp;") and there are one or more entities other than statutory employers on whom covenant reliance is placed ("&amp;Questions!$D$247&amp;").
"</f>
        <v xml:space="preserve">
You must answer this question if the scheme follows a Bespoke approach (SH 13.0) and there are one or more entities other than statutory employers on whom covenant reliance is placed (CSI 6.0).
</v>
      </c>
      <c r="F433" s="92" t="str">
        <f>"
The answer must be no more than 510 characters.
"</f>
        <v xml:space="preserve">
The answer must be no more than 510 characters.
</v>
      </c>
      <c r="G433" s="92"/>
      <c r="H433" s="462"/>
      <c r="I433" s="92"/>
      <c r="J433" s="92"/>
    </row>
    <row r="434" spans="1:10" ht="124">
      <c r="A434" s="185" t="s">
        <v>3440</v>
      </c>
      <c r="B434" s="92" t="str">
        <f>"
Do not answer this question if the scheme follows a Fast Track approach ("&amp;Questions!$D$5&amp;").
"</f>
        <v xml:space="preserve">
Do not answer this question if the scheme follows a Fast Track approach (SH 13.0).
</v>
      </c>
      <c r="C434"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34"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34" s="92" t="s">
        <v>4784</v>
      </c>
      <c r="F434" s="92"/>
      <c r="G434" s="92"/>
      <c r="H434" s="462"/>
      <c r="I434" s="92"/>
      <c r="J434" s="92"/>
    </row>
    <row r="435" spans="1:10" ht="93">
      <c r="A435" s="185" t="s">
        <v>3441</v>
      </c>
      <c r="B435" s="92" t="str">
        <f>"
Do not answer this question if the scheme follows a Fast Track approach ("&amp;Questions!$D$5&amp;").
"</f>
        <v xml:space="preserve">
Do not answer this question if the scheme follows a Fast Track approach (SH 13.0).
</v>
      </c>
      <c r="C435"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35"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35" s="92" t="str">
        <f>"
Do not answer this question if you have provided a Covenant Reliance party Companies House number ("&amp;Questions!$D$636&amp;").
"</f>
        <v xml:space="preserve">
Do not answer this question if you have provided a Covenant Reliance party Companies House number (CSI 9.0/2).
</v>
      </c>
      <c r="F435" s="92" t="str">
        <f>"
The answer must have between 6 and 8 characters.
"</f>
        <v xml:space="preserve">
The answer must have between 6 and 8 characters.
</v>
      </c>
      <c r="G435" s="92"/>
      <c r="H435" s="462"/>
      <c r="I435" s="92"/>
      <c r="J435" s="92"/>
    </row>
    <row r="436" spans="1:10" ht="108.5">
      <c r="A436" s="185" t="s">
        <v>3442</v>
      </c>
      <c r="B436" s="92" t="str">
        <f>"
Do not answer this question if the scheme follows a Fast Track approach ("&amp;Questions!$D$5&amp;").
"</f>
        <v xml:space="preserve">
Do not answer this question if the scheme follows a Fast Track approach (SH 13.0).
</v>
      </c>
      <c r="C436"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36"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36" s="92" t="str">
        <f>"
Do not answer this question if you have provided a Covenant Reliance party Companies House number ("&amp;Questions!$D$636&amp;").
"</f>
        <v xml:space="preserve">
Do not answer this question if you have provided a Covenant Reliance party Companies House number (CSI 9.0/2).
</v>
      </c>
      <c r="F436" s="92" t="str">
        <f>"
Do not answer this question if you have provided a covenant reliance party charity number ("&amp;Questions!$D$637&amp;").
"</f>
        <v xml:space="preserve">
Do not answer this question if you have provided a covenant reliance party charity number (CSI 10.0/2).
</v>
      </c>
      <c r="G436" s="92" t="str">
        <f>"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("&amp;Questions!$D$636&amp;") or a covenant reliance party charity number ("&amp;Questions!$D$637&amp;").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9.0/2) or a covenant reliance party charity number (CSI 10.0/2).
</v>
      </c>
      <c r="H436" s="92" t="str">
        <f>"
The answer must be no more than 510 characters.
"</f>
        <v xml:space="preserve">
The answer must be no more than 510 characters.
</v>
      </c>
      <c r="I436" s="92"/>
      <c r="J436" s="92"/>
    </row>
    <row r="437" spans="1:10" ht="108.5">
      <c r="A437" s="185" t="s">
        <v>3443</v>
      </c>
      <c r="B437" s="92" t="str">
        <f>"
Do not answer this question if the scheme follows a Fast Track approach ("&amp;Questions!$D$5&amp;").
"</f>
        <v xml:space="preserve">
Do not answer this question if the scheme follows a Fast Track approach (SH 13.0).
</v>
      </c>
      <c r="C437"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37"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37" s="92" t="str">
        <f>"
Do not answer this question if you have provided a Covenant Reliance party Companies House number ("&amp;Questions!$D$636&amp;").
"</f>
        <v xml:space="preserve">
Do not answer this question if you have provided a Covenant Reliance party Companies House number (CSI 9.0/2).
</v>
      </c>
      <c r="F437" s="92" t="str">
        <f>"
Do not answer this question if you have provided a covenant reliance party charity number ("&amp;Questions!$D$637&amp;").
"</f>
        <v xml:space="preserve">
Do not answer this question if you have provided a covenant reliance party charity number (CSI 10.0/2).
</v>
      </c>
      <c r="G437" s="92" t="str">
        <f>"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("&amp;Questions!$D$636&amp;") or a covenant reliance party charity number ("&amp;Questions!$D$637&amp;").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9.0/2) or a covenant reliance party charity number (CSI 10.0/2).
</v>
      </c>
      <c r="H437" s="92" t="str">
        <f>"
The answer must be no more than 510 characters.
"</f>
        <v xml:space="preserve">
The answer must be no more than 510 characters.
</v>
      </c>
      <c r="I437" s="92"/>
      <c r="J437" s="92"/>
    </row>
    <row r="438" spans="1:10" ht="93">
      <c r="A438" s="185" t="s">
        <v>3444</v>
      </c>
      <c r="B438" s="92" t="str">
        <f>"
Do not answer this question if the scheme follows a Fast Track approach ("&amp;Questions!$D$5&amp;").
"</f>
        <v xml:space="preserve">
Do not answer this question if the scheme follows a Fast Track approach (SH 13.0).
</v>
      </c>
      <c r="C438"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38"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38" s="92" t="str">
        <f>"
Do not answer this question if you have provided a Covenant Reliance party Companies House number ("&amp;Questions!$D$636&amp;").
"</f>
        <v xml:space="preserve">
Do not answer this question if you have provided a Covenant Reliance party Companies House number (CSI 9.0/2).
</v>
      </c>
      <c r="F438" s="92" t="str">
        <f>"
Do not answer this question if you have provided a covenant reliance party charity number ("&amp;Questions!$D$637&amp;").
"</f>
        <v xml:space="preserve">
Do not answer this question if you have provided a covenant reliance party charity number (CSI 10.0/2).
</v>
      </c>
      <c r="G438" s="92" t="str">
        <f>"
The answer must be no more than 510 characters.
"</f>
        <v xml:space="preserve">
The answer must be no more than 510 characters.
</v>
      </c>
      <c r="H438" s="462"/>
      <c r="I438" s="92"/>
      <c r="J438" s="92"/>
    </row>
    <row r="439" spans="1:10" ht="93">
      <c r="A439" s="185" t="s">
        <v>3445</v>
      </c>
      <c r="B439" s="92" t="str">
        <f>"
Do not answer this question if the scheme follows a Fast Track approach ("&amp;Questions!$D$5&amp;").
"</f>
        <v xml:space="preserve">
Do not answer this question if the scheme follows a Fast Track approach (SH 13.0).
</v>
      </c>
      <c r="C439"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39"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39" s="92" t="str">
        <f>"
Do not answer this question if you have provided a Covenant Reliance party Companies House number ("&amp;Questions!$D$636&amp;").
"</f>
        <v xml:space="preserve">
Do not answer this question if you have provided a Covenant Reliance party Companies House number (CSI 9.0/2).
</v>
      </c>
      <c r="F439" s="92" t="str">
        <f>"
Do not answer this question if you have provided a covenant reliance party charity number ("&amp;Questions!$D$637&amp;").
"</f>
        <v xml:space="preserve">
Do not answer this question if you have provided a covenant reliance party charity number (CSI 10.0/2).
</v>
      </c>
      <c r="G439" s="92" t="str">
        <f>"
The answer must be no more than 510 characters.
"</f>
        <v xml:space="preserve">
The answer must be no more than 510 characters.
</v>
      </c>
      <c r="H439" s="462"/>
      <c r="I439" s="92"/>
      <c r="J439" s="92"/>
    </row>
    <row r="440" spans="1:10" ht="108.5">
      <c r="A440" s="185" t="s">
        <v>3446</v>
      </c>
      <c r="B440" s="92" t="str">
        <f>"
Do not answer this question if the scheme follows a Fast Track approach ("&amp;Questions!$D$5&amp;").
"</f>
        <v xml:space="preserve">
Do not answer this question if the scheme follows a Fast Track approach (SH 13.0).
</v>
      </c>
      <c r="C440"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40"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40" s="92" t="str">
        <f>"
Do not answer this question if you have provided a Covenant Reliance party Companies House number ("&amp;Questions!$D$636&amp;").
"</f>
        <v xml:space="preserve">
Do not answer this question if you have provided a Covenant Reliance party Companies House number (CSI 9.0/2).
</v>
      </c>
      <c r="F440" s="92" t="str">
        <f>"
Do not answer this question if you have provided a covenant reliance party charity number ("&amp;Questions!$D$637&amp;").
"</f>
        <v xml:space="preserve">
Do not answer this question if you have provided a covenant reliance party charity number (CSI 10.0/2).
</v>
      </c>
      <c r="G440" s="92" t="str">
        <f>"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("&amp;Questions!$D$636&amp;") or a covenant reliance party charity number ("&amp;Questions!$D$637&amp;").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9.0/2) or a covenant reliance party charity number (CSI 10.0/2).
</v>
      </c>
      <c r="H440" s="92" t="str">
        <f>"
The answer must be no more than 510 characters.
"</f>
        <v xml:space="preserve">
The answer must be no more than 510 characters.
</v>
      </c>
      <c r="I440" s="92"/>
      <c r="J440" s="92"/>
    </row>
    <row r="441" spans="1:10" ht="108.5">
      <c r="A441" s="185" t="s">
        <v>3447</v>
      </c>
      <c r="B441" s="92" t="str">
        <f>"
Do not answer this question if the scheme follows a Fast Track approach ("&amp;Questions!$D$5&amp;").
"</f>
        <v xml:space="preserve">
Do not answer this question if the scheme follows a Fast Track approach (SH 13.0).
</v>
      </c>
      <c r="C441"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41"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41" s="92" t="str">
        <f>"
Do not answer this question if you have provided a Covenant Reliance party Companies House number ("&amp;Questions!$D$636&amp;").
"</f>
        <v xml:space="preserve">
Do not answer this question if you have provided a Covenant Reliance party Companies House number (CSI 9.0/2).
</v>
      </c>
      <c r="F441" s="92" t="str">
        <f>"
Do not answer this question if you have provided a covenant reliance party charity number ("&amp;Questions!$D$637&amp;").
"</f>
        <v xml:space="preserve">
Do not answer this question if you have provided a covenant reliance party charity number (CSI 10.0/2).
</v>
      </c>
      <c r="G441" s="92" t="str">
        <f>"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("&amp;Questions!$D$636&amp;") or a covenant reliance party charity number ("&amp;Questions!$D$637&amp;").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9.0/2) or a covenant reliance party charity number (CSI 10.0/2).
</v>
      </c>
      <c r="H441" s="462" t="str">
        <f>"
Select 'United Kingdom' if the address is for a UK address, or the relevant country from the drop-down list if not. 
"</f>
        <v xml:space="preserve">
Select 'United Kingdom' if the address is for a UK address, or the relevant country from the drop-down list if not. 
</v>
      </c>
      <c r="I441" s="92"/>
      <c r="J441" s="92"/>
    </row>
    <row r="442" spans="1:10" ht="124">
      <c r="A442" s="185" t="s">
        <v>3448</v>
      </c>
      <c r="B442" s="92" t="str">
        <f>"
Do not answer this question if the scheme follows a Fast Track approach ("&amp;Questions!$D$5&amp;").
"</f>
        <v xml:space="preserve">
Do not answer this question if the scheme follows a Fast Track approach (SH 13.0).
</v>
      </c>
      <c r="C442"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42"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42" s="92" t="str">
        <f>"
Do not answer this question if you have provided a Covenant Reliance party Companies House number ("&amp;Questions!$D$636&amp;").
"</f>
        <v xml:space="preserve">
Do not answer this question if you have provided a Covenant Reliance party Companies House number (CSI 9.0/2).
</v>
      </c>
      <c r="F442" s="92" t="str">
        <f>"
Do not answer this question if you have provided a covenant reliance party charity number ("&amp;Questions!$D$637&amp;").
"</f>
        <v xml:space="preserve">
Do not answer this question if you have provided a covenant reliance party charity number (CSI 10.0/2).
</v>
      </c>
      <c r="G442" s="92" t="str">
        <f>"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("&amp;Questions!$D$636&amp;") or a covenant reliance party charity number ("&amp;Questions!$D$637&amp;") and the country is United Kingdom ("&amp;Questions!D643&amp;").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9.0/2) or a covenant reliance party charity number (CSI 10.0/2) and the country is United Kingdom (CSI 16.0/2).
</v>
      </c>
      <c r="H442" s="462" t="str">
        <f>"
The answer must be a valid postcode with between 5 and 8 characters.
"</f>
        <v xml:space="preserve">
The answer must be a valid postcode with between 5 and 8 characters.
</v>
      </c>
      <c r="I442" s="92"/>
      <c r="J442" s="92"/>
    </row>
    <row r="443" spans="1:10" ht="93">
      <c r="A443" s="185" t="s">
        <v>3449</v>
      </c>
      <c r="B443" s="92" t="str">
        <f>"
Do not answer this question if the scheme follows a Fast Track approach ("&amp;Questions!$D$5&amp;").
"</f>
        <v xml:space="preserve">
Do not answer this question if the scheme follows a Fast Track approach (SH 13.0).
</v>
      </c>
      <c r="C443"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43"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43" s="92" t="str">
        <f>"
You must answer this question if the scheme follows a Bespoke approach ("&amp;Questions!$D$5&amp;") and there are one or more entities other than statutory employers on whom covenant reliance is placed ("&amp;Questions!$D$247&amp;").
"</f>
        <v xml:space="preserve">
You must answer this question if the scheme follows a Bespoke approach (SH 13.0) and there are one or more entities other than statutory employers on whom covenant reliance is placed (CSI 6.0).
</v>
      </c>
      <c r="F443" s="92" t="str">
        <f>"
The answer must be no more than 510 characters.
"</f>
        <v xml:space="preserve">
The answer must be no more than 510 characters.
</v>
      </c>
      <c r="G443" s="92"/>
      <c r="H443" s="462"/>
      <c r="I443" s="92"/>
      <c r="J443" s="92"/>
    </row>
    <row r="444" spans="1:10" ht="124">
      <c r="A444" s="185" t="s">
        <v>3450</v>
      </c>
      <c r="B444" s="92" t="str">
        <f>"
Do not answer this question if the scheme follows a Fast Track approach ("&amp;Questions!$D$5&amp;").
"</f>
        <v xml:space="preserve">
Do not answer this question if the scheme follows a Fast Track approach (SH 13.0).
</v>
      </c>
      <c r="C444"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44"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44" s="92" t="s">
        <v>4784</v>
      </c>
      <c r="F444" s="92"/>
      <c r="G444" s="92"/>
      <c r="H444" s="462"/>
      <c r="I444" s="92"/>
      <c r="J444" s="92"/>
    </row>
    <row r="445" spans="1:10" ht="93">
      <c r="A445" s="185" t="s">
        <v>3451</v>
      </c>
      <c r="B445" s="92" t="str">
        <f>"
Do not answer this question if the scheme follows a Fast Track approach ("&amp;Questions!$D$5&amp;").
"</f>
        <v xml:space="preserve">
Do not answer this question if the scheme follows a Fast Track approach (SH 13.0).
</v>
      </c>
      <c r="C445"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45"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45" s="92" t="str">
        <f>"
Do not answer this question if you have provided a Covenant Reliance party Companies House number ("&amp;Questions!$D$646&amp;").
"</f>
        <v xml:space="preserve">
Do not answer this question if you have provided a Covenant Reliance party Companies House number (CSI 9.0/3).
</v>
      </c>
      <c r="F445" s="92" t="str">
        <f>"
The answer must have between 6 and 8 characters.
"</f>
        <v xml:space="preserve">
The answer must have between 6 and 8 characters.
</v>
      </c>
      <c r="G445" s="92"/>
      <c r="H445" s="462"/>
      <c r="I445" s="92"/>
      <c r="J445" s="92"/>
    </row>
    <row r="446" spans="1:10" ht="108.5">
      <c r="A446" s="185" t="s">
        <v>3452</v>
      </c>
      <c r="B446" s="92" t="str">
        <f>"
Do not answer this question if the scheme follows a Fast Track approach ("&amp;Questions!$D$5&amp;").
"</f>
        <v xml:space="preserve">
Do not answer this question if the scheme follows a Fast Track approach (SH 13.0).
</v>
      </c>
      <c r="C446"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46"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46" s="92" t="str">
        <f>"
Do not answer this question if you have provided a Covenant Reliance party Companies House number ("&amp;Questions!$D$646&amp;").
"</f>
        <v xml:space="preserve">
Do not answer this question if you have provided a Covenant Reliance party Companies House number (CSI 9.0/3).
</v>
      </c>
      <c r="F446" s="92" t="str">
        <f>"
Do not answer this question if you have provided a covenant reliance party charity number ("&amp;Questions!$D$647&amp;").
"</f>
        <v xml:space="preserve">
Do not answer this question if you have provided a covenant reliance party charity number (CSI 10.0/3).
</v>
      </c>
      <c r="G446" s="92" t="str">
        <f>"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("&amp;Questions!$D$646&amp;") or a covenant reliance party charity number ("&amp;Questions!$D$647&amp;").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9.0/3) or a covenant reliance party charity number (CSI 10.0/3).
</v>
      </c>
      <c r="H446" s="92" t="str">
        <f>"
The answer must be no more than 510 characters.
"</f>
        <v xml:space="preserve">
The answer must be no more than 510 characters.
</v>
      </c>
      <c r="I446" s="92"/>
      <c r="J446" s="92"/>
    </row>
    <row r="447" spans="1:10" ht="108.5">
      <c r="A447" s="185" t="s">
        <v>3453</v>
      </c>
      <c r="B447" s="92" t="str">
        <f>"
Do not answer this question if the scheme follows a Fast Track approach ("&amp;Questions!$D$5&amp;").
"</f>
        <v xml:space="preserve">
Do not answer this question if the scheme follows a Fast Track approach (SH 13.0).
</v>
      </c>
      <c r="C447"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47"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47" s="92" t="str">
        <f>"
Do not answer this question if you have provided a Covenant Reliance party Companies House number ("&amp;Questions!$D$646&amp;").
"</f>
        <v xml:space="preserve">
Do not answer this question if you have provided a Covenant Reliance party Companies House number (CSI 9.0/3).
</v>
      </c>
      <c r="F447" s="92" t="str">
        <f>"
Do not answer this question if you have provided a covenant reliance party charity number ("&amp;Questions!$D$647&amp;").
"</f>
        <v xml:space="preserve">
Do not answer this question if you have provided a covenant reliance party charity number (CSI 10.0/3).
</v>
      </c>
      <c r="G447" s="92" t="str">
        <f>"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("&amp;Questions!$D$646&amp;") or a covenant reliance party charity number ("&amp;Questions!$D$647&amp;").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9.0/3) or a covenant reliance party charity number (CSI 10.0/3).
</v>
      </c>
      <c r="H447" s="92" t="str">
        <f>"
The answer must be no more than 510 characters.
"</f>
        <v xml:space="preserve">
The answer must be no more than 510 characters.
</v>
      </c>
      <c r="I447" s="92"/>
      <c r="J447" s="92"/>
    </row>
    <row r="448" spans="1:10" ht="93">
      <c r="A448" s="185" t="s">
        <v>3454</v>
      </c>
      <c r="B448" s="92" t="str">
        <f>"
Do not answer this question if the scheme follows a Fast Track approach ("&amp;Questions!$D$5&amp;").
"</f>
        <v xml:space="preserve">
Do not answer this question if the scheme follows a Fast Track approach (SH 13.0).
</v>
      </c>
      <c r="C448"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48"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48" s="92" t="str">
        <f>"
Do not answer this question if you have provided a Covenant Reliance party Companies House number ("&amp;Questions!$D$646&amp;").
"</f>
        <v xml:space="preserve">
Do not answer this question if you have provided a Covenant Reliance party Companies House number (CSI 9.0/3).
</v>
      </c>
      <c r="F448" s="92" t="str">
        <f>"
Do not answer this question if you have provided a covenant reliance party charity number ("&amp;Questions!$D$647&amp;").
"</f>
        <v xml:space="preserve">
Do not answer this question if you have provided a covenant reliance party charity number (CSI 10.0/3).
</v>
      </c>
      <c r="G448" s="92" t="str">
        <f>"
The answer must be no more than 510 characters.
"</f>
        <v xml:space="preserve">
The answer must be no more than 510 characters.
</v>
      </c>
      <c r="H448" s="462"/>
      <c r="I448" s="92"/>
      <c r="J448" s="92"/>
    </row>
    <row r="449" spans="1:10" ht="93">
      <c r="A449" s="185" t="s">
        <v>3455</v>
      </c>
      <c r="B449" s="92" t="str">
        <f>"
Do not answer this question if the scheme follows a Fast Track approach ("&amp;Questions!$D$5&amp;").
"</f>
        <v xml:space="preserve">
Do not answer this question if the scheme follows a Fast Track approach (SH 13.0).
</v>
      </c>
      <c r="C449"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49"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49" s="92" t="str">
        <f>"
Do not answer this question if you have provided a Covenant Reliance party Companies House number ("&amp;Questions!$D$646&amp;").
"</f>
        <v xml:space="preserve">
Do not answer this question if you have provided a Covenant Reliance party Companies House number (CSI 9.0/3).
</v>
      </c>
      <c r="F449" s="92" t="str">
        <f>"
Do not answer this question if you have provided a covenant reliance party charity number ("&amp;Questions!$D$647&amp;").
"</f>
        <v xml:space="preserve">
Do not answer this question if you have provided a covenant reliance party charity number (CSI 10.0/3).
</v>
      </c>
      <c r="G449" s="92" t="str">
        <f>"
The answer must be no more than 510 characters.
"</f>
        <v xml:space="preserve">
The answer must be no more than 510 characters.
</v>
      </c>
      <c r="H449" s="462"/>
      <c r="I449" s="92"/>
      <c r="J449" s="92"/>
    </row>
    <row r="450" spans="1:10" ht="108.5">
      <c r="A450" s="185" t="s">
        <v>3456</v>
      </c>
      <c r="B450" s="92" t="str">
        <f>"
Do not answer this question if the scheme follows a Fast Track approach ("&amp;Questions!$D$5&amp;").
"</f>
        <v xml:space="preserve">
Do not answer this question if the scheme follows a Fast Track approach (SH 13.0).
</v>
      </c>
      <c r="C450"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50"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50" s="92" t="str">
        <f>"
Do not answer this question if you have provided a Covenant Reliance party Companies House number ("&amp;Questions!$D$646&amp;").
"</f>
        <v xml:space="preserve">
Do not answer this question if you have provided a Covenant Reliance party Companies House number (CSI 9.0/3).
</v>
      </c>
      <c r="F450" s="92" t="str">
        <f>"
Do not answer this question if you have provided a covenant reliance party charity number ("&amp;Questions!$D$647&amp;").
"</f>
        <v xml:space="preserve">
Do not answer this question if you have provided a covenant reliance party charity number (CSI 10.0/3).
</v>
      </c>
      <c r="G450" s="92" t="str">
        <f>"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("&amp;Questions!$D$646&amp;") or a covenant reliance party charity number ("&amp;Questions!$D$647&amp;").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9.0/3) or a covenant reliance party charity number (CSI 10.0/3).
</v>
      </c>
      <c r="H450" s="92" t="str">
        <f>"
The answer must be no more than 510 characters.
"</f>
        <v xml:space="preserve">
The answer must be no more than 510 characters.
</v>
      </c>
      <c r="I450" s="92"/>
      <c r="J450" s="92"/>
    </row>
    <row r="451" spans="1:10" ht="108.5">
      <c r="A451" s="185" t="s">
        <v>3457</v>
      </c>
      <c r="B451" s="92" t="str">
        <f>"
Do not answer this question if the scheme follows a Fast Track approach ("&amp;Questions!$D$5&amp;").
"</f>
        <v xml:space="preserve">
Do not answer this question if the scheme follows a Fast Track approach (SH 13.0).
</v>
      </c>
      <c r="C451"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51"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51" s="92" t="str">
        <f>"
Do not answer this question if you have provided a Covenant Reliance party Companies House number ("&amp;Questions!$D$646&amp;").
"</f>
        <v xml:space="preserve">
Do not answer this question if you have provided a Covenant Reliance party Companies House number (CSI 9.0/3).
</v>
      </c>
      <c r="F451" s="92" t="str">
        <f>"
Do not answer this question if you have provided a covenant reliance party charity number ("&amp;Questions!$D$647&amp;").
"</f>
        <v xml:space="preserve">
Do not answer this question if you have provided a covenant reliance party charity number (CSI 10.0/3).
</v>
      </c>
      <c r="G451" s="92" t="str">
        <f>"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("&amp;Questions!$D$646&amp;") or a covenant reliance party charity number ("&amp;Questions!$D$647&amp;").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9.0/3) or a covenant reliance party charity number (CSI 10.0/3).
</v>
      </c>
      <c r="H451" s="462" t="str">
        <f>"
Select 'United Kingdom' if the address is for a UK address, or the relevant country from the drop-down list if not. 
"</f>
        <v xml:space="preserve">
Select 'United Kingdom' if the address is for a UK address, or the relevant country from the drop-down list if not. 
</v>
      </c>
      <c r="I451" s="92"/>
      <c r="J451" s="92"/>
    </row>
    <row r="452" spans="1:10" ht="124">
      <c r="A452" s="185" t="s">
        <v>3458</v>
      </c>
      <c r="B452" s="92" t="str">
        <f>"
Do not answer this question if the scheme follows a Fast Track approach ("&amp;Questions!$D$5&amp;").
"</f>
        <v xml:space="preserve">
Do not answer this question if the scheme follows a Fast Track approach (SH 13.0).
</v>
      </c>
      <c r="C452"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52"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52" s="92" t="str">
        <f>"
Do not answer this question if you have provided a Covenant Reliance party Companies House number ("&amp;Questions!$D$646&amp;").
"</f>
        <v xml:space="preserve">
Do not answer this question if you have provided a Covenant Reliance party Companies House number (CSI 9.0/3).
</v>
      </c>
      <c r="F452" s="92" t="str">
        <f>"
Do not answer this question if you have provided a covenant reliance party charity number ("&amp;Questions!$D$647&amp;").
"</f>
        <v xml:space="preserve">
Do not answer this question if you have provided a covenant reliance party charity number (CSI 10.0/3).
</v>
      </c>
      <c r="G452" s="92" t="str">
        <f>"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("&amp;Questions!$D$646&amp;") or a covenant reliance party charity number ("&amp;Questions!$D$647&amp;") and the country is United Kingdom ("&amp;Questions!D653&amp;").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9.0/3) or a covenant reliance party charity number (CSI 10.0/3) and the country is United Kingdom (CSI 16.0/3).
</v>
      </c>
      <c r="H452" s="462" t="str">
        <f>"
The answer must be a valid postcode with between 5 and 8 characters.
"</f>
        <v xml:space="preserve">
The answer must be a valid postcode with between 5 and 8 characters.
</v>
      </c>
      <c r="I452" s="92"/>
      <c r="J452" s="92"/>
    </row>
    <row r="453" spans="1:10" ht="93">
      <c r="A453" s="185" t="s">
        <v>3459</v>
      </c>
      <c r="B453" s="92" t="str">
        <f>"
Do not answer this question if the scheme follows a Fast Track approach ("&amp;Questions!$D$5&amp;").
"</f>
        <v xml:space="preserve">
Do not answer this question if the scheme follows a Fast Track approach (SH 13.0).
</v>
      </c>
      <c r="C453"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53"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53" s="92" t="str">
        <f>"
You must answer this question if the scheme follows a Bespoke approach ("&amp;Questions!$D$5&amp;") and there are one or more entities other than statutory employers on whom covenant reliance is placed ("&amp;Questions!$D$247&amp;").
"</f>
        <v xml:space="preserve">
You must answer this question if the scheme follows a Bespoke approach (SH 13.0) and there are one or more entities other than statutory employers on whom covenant reliance is placed (CSI 6.0).
</v>
      </c>
      <c r="F453" s="92" t="str">
        <f>"
The answer must be no more than 510 characters.
"</f>
        <v xml:space="preserve">
The answer must be no more than 510 characters.
</v>
      </c>
      <c r="G453" s="92"/>
      <c r="H453" s="462"/>
      <c r="I453" s="92"/>
      <c r="J453" s="92"/>
    </row>
    <row r="454" spans="1:10" ht="124">
      <c r="A454" s="185" t="s">
        <v>3460</v>
      </c>
      <c r="B454" s="92" t="str">
        <f>"
Do not answer this question if the scheme follows a Fast Track approach ("&amp;Questions!$D$5&amp;").
"</f>
        <v xml:space="preserve">
Do not answer this question if the scheme follows a Fast Track approach (SH 13.0).
</v>
      </c>
      <c r="C454"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54"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54" s="92" t="s">
        <v>4784</v>
      </c>
      <c r="F454" s="92"/>
      <c r="G454" s="92"/>
      <c r="H454" s="462"/>
      <c r="I454" s="92"/>
      <c r="J454" s="92"/>
    </row>
    <row r="455" spans="1:10" ht="93">
      <c r="A455" s="185" t="s">
        <v>3461</v>
      </c>
      <c r="B455" s="92" t="str">
        <f>"
Do not answer this question if the scheme follows a Fast Track approach ("&amp;Questions!$D$5&amp;").
"</f>
        <v xml:space="preserve">
Do not answer this question if the scheme follows a Fast Track approach (SH 13.0).
</v>
      </c>
      <c r="C455"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55"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55" s="92" t="str">
        <f>"
Do not answer this question if you have provided a Covenant Reliance party Companies House number ("&amp;Questions!$D$656&amp;").
"</f>
        <v xml:space="preserve">
Do not answer this question if you have provided a Covenant Reliance party Companies House number (CSI 9.0/4).
</v>
      </c>
      <c r="F455" s="92" t="str">
        <f>"
The answer must have between 6 and 8 characters.
"</f>
        <v xml:space="preserve">
The answer must have between 6 and 8 characters.
</v>
      </c>
      <c r="G455" s="92"/>
      <c r="H455" s="462"/>
      <c r="I455" s="92"/>
      <c r="J455" s="92"/>
    </row>
    <row r="456" spans="1:10" ht="108.5">
      <c r="A456" s="185" t="s">
        <v>3462</v>
      </c>
      <c r="B456" s="92" t="str">
        <f>"
Do not answer this question if the scheme follows a Fast Track approach ("&amp;Questions!$D$5&amp;").
"</f>
        <v xml:space="preserve">
Do not answer this question if the scheme follows a Fast Track approach (SH 13.0).
</v>
      </c>
      <c r="C456"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56"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56" s="92" t="str">
        <f>"
Do not answer this question if you have provided a Covenant Reliance party Companies House number ("&amp;Questions!$D$656&amp;").
"</f>
        <v xml:space="preserve">
Do not answer this question if you have provided a Covenant Reliance party Companies House number (CSI 9.0/4).
</v>
      </c>
      <c r="F456" s="92" t="str">
        <f>"
Do not answer this question if you have provided a covenant reliance party charity number ("&amp;Questions!$D$657&amp;").
"</f>
        <v xml:space="preserve">
Do not answer this question if you have provided a covenant reliance party charity number (CSI 10.0/4).
</v>
      </c>
      <c r="G456" s="92" t="str">
        <f>"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("&amp;Questions!$D$656&amp;") or a covenant reliance party charity number ("&amp;Questions!$D$657&amp;").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9.0/4) or a covenant reliance party charity number (CSI 10.0/4).
</v>
      </c>
      <c r="H456" s="92" t="str">
        <f>"
The answer must be no more than 510 characters.
"</f>
        <v xml:space="preserve">
The answer must be no more than 510 characters.
</v>
      </c>
      <c r="I456" s="92"/>
      <c r="J456" s="92"/>
    </row>
    <row r="457" spans="1:10" ht="108.5">
      <c r="A457" s="185" t="s">
        <v>3463</v>
      </c>
      <c r="B457" s="92" t="str">
        <f>"
Do not answer this question if the scheme follows a Fast Track approach ("&amp;Questions!$D$5&amp;").
"</f>
        <v xml:space="preserve">
Do not answer this question if the scheme follows a Fast Track approach (SH 13.0).
</v>
      </c>
      <c r="C457"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57"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57" s="92" t="str">
        <f>"
Do not answer this question if you have provided a Covenant Reliance party Companies House number ("&amp;Questions!$D$656&amp;").
"</f>
        <v xml:space="preserve">
Do not answer this question if you have provided a Covenant Reliance party Companies House number (CSI 9.0/4).
</v>
      </c>
      <c r="F457" s="92" t="str">
        <f>"
Do not answer this question if you have provided a covenant reliance party charity number ("&amp;Questions!$D$657&amp;").
"</f>
        <v xml:space="preserve">
Do not answer this question if you have provided a covenant reliance party charity number (CSI 10.0/4).
</v>
      </c>
      <c r="G457" s="92" t="str">
        <f>"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("&amp;Questions!$D$656&amp;") or a covenant reliance party charity number ("&amp;Questions!$D$657&amp;").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9.0/4) or a covenant reliance party charity number (CSI 10.0/4).
</v>
      </c>
      <c r="H457" s="92" t="str">
        <f>"
The answer must be no more than 510 characters.
"</f>
        <v xml:space="preserve">
The answer must be no more than 510 characters.
</v>
      </c>
      <c r="I457" s="92"/>
      <c r="J457" s="92"/>
    </row>
    <row r="458" spans="1:10" ht="93">
      <c r="A458" s="185" t="s">
        <v>3464</v>
      </c>
      <c r="B458" s="92" t="str">
        <f>"
Do not answer this question if the scheme follows a Fast Track approach ("&amp;Questions!$D$5&amp;").
"</f>
        <v xml:space="preserve">
Do not answer this question if the scheme follows a Fast Track approach (SH 13.0).
</v>
      </c>
      <c r="C458"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58"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58" s="92" t="str">
        <f>"
Do not answer this question if you have provided a Covenant Reliance party Companies House number ("&amp;Questions!$D$656&amp;").
"</f>
        <v xml:space="preserve">
Do not answer this question if you have provided a Covenant Reliance party Companies House number (CSI 9.0/4).
</v>
      </c>
      <c r="F458" s="92" t="str">
        <f>"
Do not answer this question if you have provided a covenant reliance party charity number ("&amp;Questions!$D$657&amp;").
"</f>
        <v xml:space="preserve">
Do not answer this question if you have provided a covenant reliance party charity number (CSI 10.0/4).
</v>
      </c>
      <c r="G458" s="92" t="str">
        <f>"
The answer must be no more than 510 characters.
"</f>
        <v xml:space="preserve">
The answer must be no more than 510 characters.
</v>
      </c>
      <c r="H458" s="462"/>
      <c r="I458" s="92"/>
      <c r="J458" s="92"/>
    </row>
    <row r="459" spans="1:10" ht="93">
      <c r="A459" s="185" t="s">
        <v>3465</v>
      </c>
      <c r="B459" s="92" t="str">
        <f>"
Do not answer this question if the scheme follows a Fast Track approach ("&amp;Questions!$D$5&amp;").
"</f>
        <v xml:space="preserve">
Do not answer this question if the scheme follows a Fast Track approach (SH 13.0).
</v>
      </c>
      <c r="C459"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59"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59" s="92" t="str">
        <f>"
Do not answer this question if you have provided a Covenant Reliance party Companies House number ("&amp;Questions!$D$656&amp;").
"</f>
        <v xml:space="preserve">
Do not answer this question if you have provided a Covenant Reliance party Companies House number (CSI 9.0/4).
</v>
      </c>
      <c r="F459" s="92" t="str">
        <f>"
Do not answer this question if you have provided a covenant reliance party charity number ("&amp;Questions!$D$657&amp;").
"</f>
        <v xml:space="preserve">
Do not answer this question if you have provided a covenant reliance party charity number (CSI 10.0/4).
</v>
      </c>
      <c r="G459" s="92" t="str">
        <f>"
The answer must be no more than 510 characters.
"</f>
        <v xml:space="preserve">
The answer must be no more than 510 characters.
</v>
      </c>
      <c r="H459" s="462"/>
      <c r="I459" s="92"/>
      <c r="J459" s="92"/>
    </row>
    <row r="460" spans="1:10" ht="108.5">
      <c r="A460" s="185" t="s">
        <v>3466</v>
      </c>
      <c r="B460" s="92" t="str">
        <f>"
Do not answer this question if the scheme follows a Fast Track approach ("&amp;Questions!$D$5&amp;").
"</f>
        <v xml:space="preserve">
Do not answer this question if the scheme follows a Fast Track approach (SH 13.0).
</v>
      </c>
      <c r="C460"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60"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60" s="92" t="str">
        <f>"
Do not answer this question if you have provided a Covenant Reliance party Companies House number ("&amp;Questions!$D$656&amp;").
"</f>
        <v xml:space="preserve">
Do not answer this question if you have provided a Covenant Reliance party Companies House number (CSI 9.0/4).
</v>
      </c>
      <c r="F460" s="92" t="str">
        <f>"
Do not answer this question if you have provided a covenant reliance party charity number ("&amp;Questions!$D$657&amp;").
"</f>
        <v xml:space="preserve">
Do not answer this question if you have provided a covenant reliance party charity number (CSI 10.0/4).
</v>
      </c>
      <c r="G460" s="92" t="str">
        <f>"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("&amp;Questions!$D$656&amp;") or a covenant reliance party charity number ("&amp;Questions!$D$657&amp;").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9.0/4) or a covenant reliance party charity number (CSI 10.0/4).
</v>
      </c>
      <c r="H460" s="92" t="str">
        <f>"
The answer must be no more than 510 characters.
"</f>
        <v xml:space="preserve">
The answer must be no more than 510 characters.
</v>
      </c>
      <c r="I460" s="92"/>
      <c r="J460" s="92"/>
    </row>
    <row r="461" spans="1:10" ht="108.5">
      <c r="A461" s="185" t="s">
        <v>3467</v>
      </c>
      <c r="B461" s="92" t="str">
        <f>"
Do not answer this question if the scheme follows a Fast Track approach ("&amp;Questions!$D$5&amp;").
"</f>
        <v xml:space="preserve">
Do not answer this question if the scheme follows a Fast Track approach (SH 13.0).
</v>
      </c>
      <c r="C461"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61"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61" s="92" t="str">
        <f>"
Do not answer this question if you have provided a Covenant Reliance party Companies House number ("&amp;Questions!$D$656&amp;").
"</f>
        <v xml:space="preserve">
Do not answer this question if you have provided a Covenant Reliance party Companies House number (CSI 9.0/4).
</v>
      </c>
      <c r="F461" s="92" t="str">
        <f>"
Do not answer this question if you have provided a covenant reliance party charity number ("&amp;Questions!$D$657&amp;").
"</f>
        <v xml:space="preserve">
Do not answer this question if you have provided a covenant reliance party charity number (CSI 10.0/4).
</v>
      </c>
      <c r="G461" s="92" t="str">
        <f>"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("&amp;Questions!$D$656&amp;") or a covenant reliance party charity number ("&amp;Questions!$D$657&amp;").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9.0/4) or a covenant reliance party charity number (CSI 10.0/4).
</v>
      </c>
      <c r="H461" s="462" t="str">
        <f>"
Select 'United Kingdom' if the address is for a UK address, or the relevant country from the drop-down list if not. 
"</f>
        <v xml:space="preserve">
Select 'United Kingdom' if the address is for a UK address, or the relevant country from the drop-down list if not. 
</v>
      </c>
      <c r="I461" s="92"/>
      <c r="J461" s="92"/>
    </row>
    <row r="462" spans="1:10" ht="124">
      <c r="A462" s="185" t="s">
        <v>3468</v>
      </c>
      <c r="B462" s="92" t="str">
        <f>"
Do not answer this question if the scheme follows a Fast Track approach ("&amp;Questions!$D$5&amp;").
"</f>
        <v xml:space="preserve">
Do not answer this question if the scheme follows a Fast Track approach (SH 13.0).
</v>
      </c>
      <c r="C462"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62"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62" s="92" t="str">
        <f>"
Do not answer this question if you have provided a Covenant Reliance party Companies House number ("&amp;Questions!$D$656&amp;").
"</f>
        <v xml:space="preserve">
Do not answer this question if you have provided a Covenant Reliance party Companies House number (CSI 9.0/4).
</v>
      </c>
      <c r="F462" s="92" t="str">
        <f>"
Do not answer this question if you have provided a covenant reliance party charity number ("&amp;Questions!$D$657&amp;").
"</f>
        <v xml:space="preserve">
Do not answer this question if you have provided a covenant reliance party charity number (CSI 10.0/4).
</v>
      </c>
      <c r="G462" s="92" t="str">
        <f>"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("&amp;Questions!$D$656&amp;") or a covenant reliance party charity number ("&amp;Questions!$D$657&amp;") and the country is United Kingdom ("&amp;Questions!D663&amp;").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9.0/4) or a covenant reliance party charity number (CSI 10.0/4) and the country is United Kingdom (CSI 16.0/4).
</v>
      </c>
      <c r="H462" s="462" t="str">
        <f>"
The answer must be a valid postcode with between 5 and 8 characters.
"</f>
        <v xml:space="preserve">
The answer must be a valid postcode with between 5 and 8 characters.
</v>
      </c>
      <c r="I462" s="92"/>
      <c r="J462" s="92"/>
    </row>
    <row r="463" spans="1:10" ht="93">
      <c r="A463" s="185" t="s">
        <v>3469</v>
      </c>
      <c r="B463" s="92" t="str">
        <f>"
Do not answer this question if the scheme follows a Fast Track approach ("&amp;Questions!$D$5&amp;").
"</f>
        <v xml:space="preserve">
Do not answer this question if the scheme follows a Fast Track approach (SH 13.0).
</v>
      </c>
      <c r="C463"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63"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63" s="92" t="str">
        <f>"
You must answer this question if the scheme follows a Bespoke approach ("&amp;Questions!$D$5&amp;") and there are one or more entities other than statutory employers on whom covenant reliance is placed ("&amp;Questions!$D$247&amp;").
"</f>
        <v xml:space="preserve">
You must answer this question if the scheme follows a Bespoke approach (SH 13.0) and there are one or more entities other than statutory employers on whom covenant reliance is placed (CSI 6.0).
</v>
      </c>
      <c r="F463" s="92" t="str">
        <f>"
The answer must be no more than 510 characters.
"</f>
        <v xml:space="preserve">
The answer must be no more than 510 characters.
</v>
      </c>
      <c r="G463" s="92"/>
      <c r="H463" s="462"/>
      <c r="I463" s="92"/>
      <c r="J463" s="92"/>
    </row>
    <row r="464" spans="1:10" ht="124">
      <c r="A464" s="185" t="s">
        <v>3470</v>
      </c>
      <c r="B464" s="92" t="str">
        <f>"
Do not answer this question if the scheme follows a Fast Track approach ("&amp;Questions!$D$5&amp;").
"</f>
        <v xml:space="preserve">
Do not answer this question if the scheme follows a Fast Track approach (SH 13.0).
</v>
      </c>
      <c r="C464"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64"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64" s="92" t="s">
        <v>4784</v>
      </c>
      <c r="F464" s="92"/>
      <c r="G464" s="92"/>
      <c r="H464" s="462"/>
      <c r="I464" s="92"/>
      <c r="J464" s="92"/>
    </row>
    <row r="465" spans="1:10" ht="93">
      <c r="A465" s="185" t="s">
        <v>3471</v>
      </c>
      <c r="B465" s="92" t="str">
        <f>"
Do not answer this question if the scheme follows a Fast Track approach ("&amp;Questions!$D$5&amp;").
"</f>
        <v xml:space="preserve">
Do not answer this question if the scheme follows a Fast Track approach (SH 13.0).
</v>
      </c>
      <c r="C465"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65"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65" s="92" t="str">
        <f>"
Do not answer this question if you have provided a Covenant Reliance party Companies House number ("&amp;Questions!$D$666&amp;").
"</f>
        <v xml:space="preserve">
Do not answer this question if you have provided a Covenant Reliance party Companies House number (CSI 9.0/5).
</v>
      </c>
      <c r="F465" s="92" t="str">
        <f>"
The answer must have between 6 and 8 characters.
"</f>
        <v xml:space="preserve">
The answer must have between 6 and 8 characters.
</v>
      </c>
      <c r="G465" s="92"/>
      <c r="H465" s="462"/>
      <c r="I465" s="92"/>
      <c r="J465" s="92"/>
    </row>
    <row r="466" spans="1:10" ht="108.5">
      <c r="A466" s="185" t="s">
        <v>3472</v>
      </c>
      <c r="B466" s="92" t="str">
        <f>"
Do not answer this question if the scheme follows a Fast Track approach ("&amp;Questions!$D$5&amp;").
"</f>
        <v xml:space="preserve">
Do not answer this question if the scheme follows a Fast Track approach (SH 13.0).
</v>
      </c>
      <c r="C466"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66"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66" s="92" t="str">
        <f>"
Do not answer this question if you have provided a Covenant Reliance party Companies House number ("&amp;Questions!$D$666&amp;").
"</f>
        <v xml:space="preserve">
Do not answer this question if you have provided a Covenant Reliance party Companies House number (CSI 9.0/5).
</v>
      </c>
      <c r="F466" s="92" t="str">
        <f>"
Do not answer this question if you have provided a covenant reliance party charity number ("&amp;Questions!$D$667&amp;").
"</f>
        <v xml:space="preserve">
Do not answer this question if you have provided a covenant reliance party charity number (CSI 10.0/5).
</v>
      </c>
      <c r="G466" s="92" t="str">
        <f>"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("&amp;Questions!$D$666&amp;") or a covenant reliance party charity number ("&amp;Questions!$D$667&amp;").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9.0/5) or a covenant reliance party charity number (CSI 10.0/5).
</v>
      </c>
      <c r="H466" s="92" t="str">
        <f>"
The answer must be no more than 510 characters.
"</f>
        <v xml:space="preserve">
The answer must be no more than 510 characters.
</v>
      </c>
      <c r="I466" s="92"/>
      <c r="J466" s="92"/>
    </row>
    <row r="467" spans="1:10" ht="108.5">
      <c r="A467" s="185" t="s">
        <v>3473</v>
      </c>
      <c r="B467" s="92" t="str">
        <f>"
Do not answer this question if the scheme follows a Fast Track approach ("&amp;Questions!$D$5&amp;").
"</f>
        <v xml:space="preserve">
Do not answer this question if the scheme follows a Fast Track approach (SH 13.0).
</v>
      </c>
      <c r="C467"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67"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67" s="92" t="str">
        <f>"
Do not answer this question if you have provided a Covenant Reliance party Companies House number ("&amp;Questions!$D$666&amp;").
"</f>
        <v xml:space="preserve">
Do not answer this question if you have provided a Covenant Reliance party Companies House number (CSI 9.0/5).
</v>
      </c>
      <c r="F467" s="92" t="str">
        <f>"
Do not answer this question if you have provided a covenant reliance party charity number ("&amp;Questions!$D$667&amp;").
"</f>
        <v xml:space="preserve">
Do not answer this question if you have provided a covenant reliance party charity number (CSI 10.0/5).
</v>
      </c>
      <c r="G467" s="92" t="str">
        <f>"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("&amp;Questions!$D$666&amp;") or a covenant reliance party charity number ("&amp;Questions!$D$667&amp;").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9.0/5) or a covenant reliance party charity number (CSI 10.0/5).
</v>
      </c>
      <c r="H467" s="92" t="str">
        <f>"
The answer must be no more than 510 characters.
"</f>
        <v xml:space="preserve">
The answer must be no more than 510 characters.
</v>
      </c>
      <c r="I467" s="92"/>
      <c r="J467" s="92"/>
    </row>
    <row r="468" spans="1:10" ht="93">
      <c r="A468" s="185" t="s">
        <v>3474</v>
      </c>
      <c r="B468" s="92" t="str">
        <f>"
Do not answer this question if the scheme follows a Fast Track approach ("&amp;Questions!$D$5&amp;").
"</f>
        <v xml:space="preserve">
Do not answer this question if the scheme follows a Fast Track approach (SH 13.0).
</v>
      </c>
      <c r="C468"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68"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68" s="92" t="str">
        <f>"
Do not answer this question if you have provided a Covenant Reliance party Companies House number ("&amp;Questions!$D$666&amp;").
"</f>
        <v xml:space="preserve">
Do not answer this question if you have provided a Covenant Reliance party Companies House number (CSI 9.0/5).
</v>
      </c>
      <c r="F468" s="92" t="str">
        <f>"
Do not answer this question if you have provided a covenant reliance party charity number ("&amp;Questions!$D$667&amp;").
"</f>
        <v xml:space="preserve">
Do not answer this question if you have provided a covenant reliance party charity number (CSI 10.0/5).
</v>
      </c>
      <c r="G468" s="92" t="str">
        <f>"
The answer must be no more than 510 characters.
"</f>
        <v xml:space="preserve">
The answer must be no more than 510 characters.
</v>
      </c>
      <c r="H468" s="462"/>
      <c r="I468" s="92"/>
      <c r="J468" s="92"/>
    </row>
    <row r="469" spans="1:10" ht="93">
      <c r="A469" s="185" t="s">
        <v>3475</v>
      </c>
      <c r="B469" s="92" t="str">
        <f>"
Do not answer this question if the scheme follows a Fast Track approach ("&amp;Questions!$D$5&amp;").
"</f>
        <v xml:space="preserve">
Do not answer this question if the scheme follows a Fast Track approach (SH 13.0).
</v>
      </c>
      <c r="C469"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69"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69" s="92" t="str">
        <f>"
Do not answer this question if you have provided a Covenant Reliance party Companies House number ("&amp;Questions!$D$666&amp;").
"</f>
        <v xml:space="preserve">
Do not answer this question if you have provided a Covenant Reliance party Companies House number (CSI 9.0/5).
</v>
      </c>
      <c r="F469" s="92" t="str">
        <f>"
Do not answer this question if you have provided a covenant reliance party charity number ("&amp;Questions!$D$667&amp;").
"</f>
        <v xml:space="preserve">
Do not answer this question if you have provided a covenant reliance party charity number (CSI 10.0/5).
</v>
      </c>
      <c r="G469" s="92" t="str">
        <f>"
The answer must be no more than 510 characters.
"</f>
        <v xml:space="preserve">
The answer must be no more than 510 characters.
</v>
      </c>
      <c r="H469" s="462"/>
      <c r="I469" s="92"/>
      <c r="J469" s="92"/>
    </row>
    <row r="470" spans="1:10" ht="108.5">
      <c r="A470" s="185" t="s">
        <v>3476</v>
      </c>
      <c r="B470" s="92" t="str">
        <f>"
Do not answer this question if the scheme follows a Fast Track approach ("&amp;Questions!$D$5&amp;").
"</f>
        <v xml:space="preserve">
Do not answer this question if the scheme follows a Fast Track approach (SH 13.0).
</v>
      </c>
      <c r="C470"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70"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70" s="92" t="str">
        <f>"
Do not answer this question if you have provided a Covenant Reliance party Companies House number ("&amp;Questions!$D$666&amp;").
"</f>
        <v xml:space="preserve">
Do not answer this question if you have provided a Covenant Reliance party Companies House number (CSI 9.0/5).
</v>
      </c>
      <c r="F470" s="92" t="str">
        <f>"
Do not answer this question if you have provided a covenant reliance party charity number ("&amp;Questions!$D$667&amp;").
"</f>
        <v xml:space="preserve">
Do not answer this question if you have provided a covenant reliance party charity number (CSI 10.0/5).
</v>
      </c>
      <c r="G470" s="92" t="str">
        <f>"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("&amp;Questions!$D$666&amp;") or a covenant reliance party charity number ("&amp;Questions!$D$667&amp;").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9.0/5) or a covenant reliance party charity number (CSI 10.0/5).
</v>
      </c>
      <c r="H470" s="92" t="str">
        <f>"
The answer must be no more than 510 characters.
"</f>
        <v xml:space="preserve">
The answer must be no more than 510 characters.
</v>
      </c>
      <c r="I470" s="92"/>
      <c r="J470" s="92"/>
    </row>
    <row r="471" spans="1:10" ht="108.5">
      <c r="A471" s="185" t="s">
        <v>3477</v>
      </c>
      <c r="B471" s="92" t="str">
        <f>"
Do not answer this question if the scheme follows a Fast Track approach ("&amp;Questions!$D$5&amp;").
"</f>
        <v xml:space="preserve">
Do not answer this question if the scheme follows a Fast Track approach (SH 13.0).
</v>
      </c>
      <c r="C471"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71"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71" s="92" t="str">
        <f>"
Do not answer this question if you have provided a Covenant Reliance party Companies House number ("&amp;Questions!$D$666&amp;").
"</f>
        <v xml:space="preserve">
Do not answer this question if you have provided a Covenant Reliance party Companies House number (CSI 9.0/5).
</v>
      </c>
      <c r="F471" s="92" t="str">
        <f>"
Do not answer this question if you have provided a covenant reliance party charity number ("&amp;Questions!$D$667&amp;").
"</f>
        <v xml:space="preserve">
Do not answer this question if you have provided a covenant reliance party charity number (CSI 10.0/5).
</v>
      </c>
      <c r="G471" s="92" t="str">
        <f>"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("&amp;Questions!$D$666&amp;") or a covenant reliance party charity number ("&amp;Questions!$D$667&amp;").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9.0/5) or a covenant reliance party charity number (CSI 10.0/5).
</v>
      </c>
      <c r="H471" s="462" t="str">
        <f>"
Select 'United Kingdom' if the address is for a UK address, or the relevant country from the drop-down list if not. 
"</f>
        <v xml:space="preserve">
Select 'United Kingdom' if the address is for a UK address, or the relevant country from the drop-down list if not. 
</v>
      </c>
      <c r="I471" s="92"/>
      <c r="J471" s="92"/>
    </row>
    <row r="472" spans="1:10" ht="124">
      <c r="A472" s="185" t="s">
        <v>3478</v>
      </c>
      <c r="B472" s="92" t="str">
        <f>"
Do not answer this question if the scheme follows a Fast Track approach ("&amp;Questions!$D$5&amp;").
"</f>
        <v xml:space="preserve">
Do not answer this question if the scheme follows a Fast Track approach (SH 13.0).
</v>
      </c>
      <c r="C472" s="92" t="str">
        <f>"
Do not answer this question if the scheme follows a Bespoke approach ("&amp;Questions!$D$5&amp;") and there are no entities other than statutory employers on whom covenant reliance is placed ("&amp;Questions!$D$247&amp;").
"</f>
        <v xml:space="preserve">
Do not answer this question if the scheme follows a Bespoke approach (SH 13.0) and there are no entities other than statutory employers on whom covenant reliance is placed (CSI 6.0).
</v>
      </c>
      <c r="D472" s="92" t="str">
        <f>"
Do not answer this question if the scheme follows a Bespoke approach ("&amp;Questions!$D$5&amp;") and you have already provided the details for the entities other than statutory employers on whom covenant reliance is placed in ("&amp;Questions!$D$247&amp;").
"</f>
        <v xml:space="preserve">
Do not answer this question if the scheme follows a Bespoke approach (SH 13.0) and you have already provided the details for the entities other than statutory employers on whom covenant reliance is placed in (CSI 6.0).
</v>
      </c>
      <c r="E472" s="92" t="str">
        <f>"
Do not answer this question if you have provided a Covenant Reliance party Companies House number ("&amp;Questions!$D$666&amp;").
"</f>
        <v xml:space="preserve">
Do not answer this question if you have provided a Covenant Reliance party Companies House number (CSI 9.0/5).
</v>
      </c>
      <c r="F472" s="92" t="str">
        <f>"
Do not answer this question if you have provided a covenant reliance party charity number ("&amp;Questions!$D$667&amp;").
"</f>
        <v xml:space="preserve">
Do not answer this question if you have provided a covenant reliance party charity number (CSI 10.0/5).
</v>
      </c>
      <c r="G472" s="92" t="str">
        <f>"
You must answer this question if the scheme follows a Bespoke approach ("&amp;Questions!$D$5&amp;"), there are one or more entities other than statutory employers on whom covenant reliance is placed ("&amp;Questions!$D$247&amp;") and you have not provided a covenant reliance party Companies House number ("&amp;Questions!$D$666&amp;") or a covenant reliance party charity number ("&amp;Questions!$D$667&amp;") and the country is United Kingdom ("&amp;Questions!D673&amp;").
"</f>
        <v xml:space="preserve">
You must answer this question if the scheme follows a Bespoke approach (SH 13.0), there are one or more entities other than statutory employers on whom covenant reliance is placed (CSI 6.0) and you have not provided a covenant reliance party Companies House number (CSI 9.0/5) or a covenant reliance party charity number (CSI 10.0/5) and the country is United Kingdom (CSI 16.0/5).
</v>
      </c>
      <c r="H472" s="462" t="str">
        <f>"
The answer must be a valid postcode with between 5 and 8 characters.
"</f>
        <v xml:space="preserve">
The answer must be a valid postcode with between 5 and 8 characters.
</v>
      </c>
      <c r="I472" s="92"/>
      <c r="J472" s="92"/>
    </row>
    <row r="473" spans="1:10" ht="77.5">
      <c r="A473" s="185" t="s">
        <v>3479</v>
      </c>
      <c r="B473" s="92" t="str">
        <f>"
Do not answer this question if the scheme follows a Fast Track approach ("&amp;Questions!$D$5&amp;") and meets the 'small scheme’ definition ("&amp;Questions!$D$3&amp;").
"</f>
        <v xml:space="preserve">
Do not answer this question if the scheme follows a Fast Track approach (SH 13.0) and meets the 'small scheme’ definition (SH 11.0).
</v>
      </c>
      <c r="C473" s="92" t="str">
        <f>"
Do not answer this question if the scheme meets the 'Fast Track low risk scheme’ requirements ("&amp;Questions!$D$7&amp;").
"</f>
        <v xml:space="preserve">
Do not answer this question if the scheme meets the 'Fast Track low risk scheme’ requirements (SH 15.0).
</v>
      </c>
      <c r="D473" s="92" t="str">
        <f>"
You must answer this question if the scheme follows a Fast Track approach ("&amp;Questions!$D$5&amp;"), is not a 'small scheme’ ("&amp;Questions!$D$3&amp;"), and does not meet the 'Fast Track low risk scheme’ requirements ("&amp;Questions!$D$7&amp;").
"</f>
        <v xml:space="preserve">
You must answer this question if the scheme follows a Fast Track approach (SH 13.0), is not a 'small scheme’ (SH 11.0), and does not meet the 'Fast Track low risk scheme’ requirements (SH 15.0).
</v>
      </c>
      <c r="E473" s="92" t="str">
        <f>"
You must answer this question if the scheme follows a Bespoke approach ("&amp;Questions!$D$5&amp;") and the valuation is pre-relevant date ("&amp;Questions!$D$14&amp;").
"</f>
        <v xml:space="preserve">
You must answer this question if the scheme follows a Bespoke approach (SH 13.0) and the valuation is pre-relevant date (SH 10.0).
</v>
      </c>
      <c r="F473" s="92" t="str">
        <f>"
Do not answer this question if the scheme follows a Bespoke approach ("&amp;Questions!$D$5&amp;") and meets the 'Bespoke low-risk scheme' requirements” definition ("&amp;Questions!$D$6&amp;").
"</f>
        <v xml:space="preserve">
Do not answer this question if the scheme follows a Bespoke approach (SH 13.0) and meets the 'Bespoke low-risk scheme' requirements” definition (SH 14.0).
</v>
      </c>
      <c r="G473" s="92" t="str">
        <f>"
You must answer this question if the scheme follows a bespoke approach ("&amp;Questions!$D$5&amp;"), the valuation is post-relevant date ("&amp;Questions!$D$14&amp;") and the scheme does not meet the “Bespoke low-risk scheme” requirements ("&amp;Questions!$D$6&amp;").
"</f>
        <v xml:space="preserve">
You must answer this question if the scheme follows a bespoke approach (SH 13.0), the valuation is post-relevant date (SH 10.0) and the scheme does not meet the “Bespoke low-risk scheme” requirements (SH 14.0).
</v>
      </c>
      <c r="H473" s="462" t="str">
        <f>"
Select ‘Yes’ if the scheme relies on contingent assets to take funding and investment risk above what the employer can support, or ‘No’ if it does not.
"</f>
        <v xml:space="preserve">
Select ‘Yes’ if the scheme relies on contingent assets to take funding and investment risk above what the employer can support, or ‘No’ if it does not.
</v>
      </c>
      <c r="I473" s="92"/>
      <c r="J473" s="92"/>
    </row>
    <row r="474" spans="1:10" ht="201.5">
      <c r="A474" s="185" t="s">
        <v>3480</v>
      </c>
      <c r="B474" s="92" t="str">
        <f>"
Do not answer this question if the scheme does not rely on contingent assets to take funding and investment risk above what the employer can support ("&amp;Questions!$D$236&amp;").
"</f>
        <v xml:space="preserve">
Do not answer this question if the scheme does not rely on contingent assets to take funding and investment risk above what the employer can support (CSI 18.0).
</v>
      </c>
      <c r="C474" s="92" t="str">
        <f>"
You must answer this question if the scheme relies on contingent assets to take funding and investment risk above what the employer can support ("&amp;Questions!$D$236&amp;").
"</f>
        <v xml:space="preserve">
You must answer this question if the scheme relies on contingent assets to take funding and investment risk above what the employer can support (CSI 18.0).
</v>
      </c>
      <c r="D474" s="92" t="str">
        <f t="shared" ref="D474:E476" si="17">"
Enter a whole number greater than or equal to 0.
"</f>
        <v xml:space="preserve">
Enter a whole number greater than or equal to 0.
</v>
      </c>
      <c r="E474" s="92" t="str">
        <f t="shared" si="17"/>
        <v xml:space="preserve">
Enter a whole number greater than or equal to 0.
</v>
      </c>
      <c r="F474" s="92" t="str">
        <f>"
The sum of: 
•    the number of guarantees that the trustees wish to include details about ("&amp;Questions!$D$237&amp;")
•    the number of securities that the trustees wish to include details about ("&amp;Questions!$D$238&amp;")
•    the number of other contingent assets (excl ABCs) that the trustees wish to include details about ("&amp;Questions!$D$239&amp;")
must be greater than 0 when you have answered that the scheme relies on contingent assets to take funding and investment risk above what the employer can support ("&amp;Questions!$D$236&amp;").
"</f>
        <v xml:space="preserve">
The sum of: 
•    the number of guarantees that the trustees wish to include details about (CSI 19.0)
•    the number of securities that the trustees wish to include details about (CSI 20.0)
•    the number of other contingent assets (excl ABCs) that the trustees wish to include details about (CSI 21.0)
must be greater than 0 when you have answered that the scheme relies on contingent assets to take funding and investment risk above what the employer can support (CSI 18.0).
</v>
      </c>
      <c r="G474" s="92" t="str">
        <f>"
Do not answer this question if the scheme follows a Fast Track approach ("&amp;Questions!$D$5&amp;") and meets the 'small scheme’ definition ("&amp;Questions!$D$3&amp;").
"</f>
        <v xml:space="preserve">
Do not answer this question if the scheme follows a Fast Track approach (SH 13.0) and meets the 'small scheme’ definition (SH 11.0).
</v>
      </c>
      <c r="H474" s="92" t="str">
        <f>"
Do not answer this question if the scheme meets the 'Fast Track low risk scheme’ requirements ("&amp;Questions!$D$7&amp;").
"</f>
        <v xml:space="preserve">
Do not answer this question if the scheme meets the 'Fast Track low risk scheme’ requirements (SH 15.0).
</v>
      </c>
      <c r="I474" s="92" t="str">
        <f>"
Do not answer this question if the scheme follows a Bespoke approach ("&amp;Questions!$D$5&amp;") and meets the 'Bespoke low-risk scheme' requirements” definition ("&amp;Questions!$D$6&amp;").
"</f>
        <v xml:space="preserve">
Do not answer this question if the scheme follows a Bespoke approach (SH 13.0) and meets the 'Bespoke low-risk scheme' requirements” definition (SH 14.0).
</v>
      </c>
      <c r="J474" s="92"/>
    </row>
    <row r="475" spans="1:10" ht="201.5">
      <c r="A475" s="185" t="s">
        <v>3481</v>
      </c>
      <c r="B475" s="92" t="str">
        <f>"
Do not answer this question if the scheme does not rely on contingent assets to take funding and investment risk above what the employer can support ("&amp;Questions!$D$236&amp;").
"</f>
        <v xml:space="preserve">
Do not answer this question if the scheme does not rely on contingent assets to take funding and investment risk above what the employer can support (CSI 18.0).
</v>
      </c>
      <c r="C475" s="92" t="str">
        <f>"
You must answer this question if the scheme relies on contingent assets to take funding and investment risk above what the employer can support ("&amp;Questions!$D$236&amp;").
"</f>
        <v xml:space="preserve">
You must answer this question if the scheme relies on contingent assets to take funding and investment risk above what the employer can support (CSI 18.0).
</v>
      </c>
      <c r="D475" s="92" t="str">
        <f t="shared" si="17"/>
        <v xml:space="preserve">
Enter a whole number greater than or equal to 0.
</v>
      </c>
      <c r="E475" s="92" t="str">
        <f t="shared" si="17"/>
        <v xml:space="preserve">
Enter a whole number greater than or equal to 0.
</v>
      </c>
      <c r="F475" s="92" t="str">
        <f>"
The sum of: 
•    the number of guarantees that the trustees wish to include details about ("&amp;Questions!$D$237&amp;")
•    the number of securities that the trustees wish to include details about ("&amp;Questions!$D$238&amp;")
•    the number of other contingent assets (excl ABCs) that the trustees wish to include details about ("&amp;Questions!$D$239&amp;")
must be greater than 0 when you have answered that the scheme relies on contingent assets to take funding and investment risk above what the employer can support ("&amp;Questions!$D$236&amp;").
"</f>
        <v xml:space="preserve">
The sum of: 
•    the number of guarantees that the trustees wish to include details about (CSI 19.0)
•    the number of securities that the trustees wish to include details about (CSI 20.0)
•    the number of other contingent assets (excl ABCs) that the trustees wish to include details about (CSI 21.0)
must be greater than 0 when you have answered that the scheme relies on contingent assets to take funding and investment risk above what the employer can support (CSI 18.0).
</v>
      </c>
      <c r="G475" s="92" t="str">
        <f>"
Do not answer this question if the scheme follows a Fast Track approach ("&amp;Questions!$D$5&amp;") and meets the 'small scheme’ definition ("&amp;Questions!$D$3&amp;").
"</f>
        <v xml:space="preserve">
Do not answer this question if the scheme follows a Fast Track approach (SH 13.0) and meets the 'small scheme’ definition (SH 11.0).
</v>
      </c>
      <c r="H475" s="92" t="str">
        <f>"
Do not answer this question if the scheme meets the 'Fast Track low risk scheme’ requirements ("&amp;Questions!$D$7&amp;").
"</f>
        <v xml:space="preserve">
Do not answer this question if the scheme meets the 'Fast Track low risk scheme’ requirements (SH 15.0).
</v>
      </c>
      <c r="I475" s="92" t="str">
        <f>"
Do not answer this question if the scheme follows a Bespoke approach ("&amp;Questions!$D$5&amp;") and meets the 'Bespoke low-risk scheme' requirements” definition ("&amp;Questions!$D$6&amp;").
"</f>
        <v xml:space="preserve">
Do not answer this question if the scheme follows a Bespoke approach (SH 13.0) and meets the 'Bespoke low-risk scheme' requirements” definition (SH 14.0).
</v>
      </c>
      <c r="J475" s="92"/>
    </row>
    <row r="476" spans="1:10" ht="201.5">
      <c r="A476" s="185" t="s">
        <v>3482</v>
      </c>
      <c r="B476" s="92" t="str">
        <f>"
Do not answer this question if the scheme does not rely on contingent assets to take funding and investment risk above what the employer can support ("&amp;Questions!$D$236&amp;").
"</f>
        <v xml:space="preserve">
Do not answer this question if the scheme does not rely on contingent assets to take funding and investment risk above what the employer can support (CSI 18.0).
</v>
      </c>
      <c r="C476" s="92" t="str">
        <f>"
You must answer this question if the scheme relies on contingent assets to take funding and investment risk above what the employer can support ("&amp;Questions!$D$236&amp;").
"</f>
        <v xml:space="preserve">
You must answer this question if the scheme relies on contingent assets to take funding and investment risk above what the employer can support (CSI 18.0).
</v>
      </c>
      <c r="D476" s="92" t="str">
        <f t="shared" si="17"/>
        <v xml:space="preserve">
Enter a whole number greater than or equal to 0.
</v>
      </c>
      <c r="E476" s="92" t="str">
        <f t="shared" si="17"/>
        <v xml:space="preserve">
Enter a whole number greater than or equal to 0.
</v>
      </c>
      <c r="F476" s="92" t="str">
        <f>"
The sum of: 
•    the number of guarantees that the trustees wish to include details about ("&amp;Questions!$D$237&amp;")
•    the number of securities that the trustees wish to include details about ("&amp;Questions!$D$238&amp;")
•    the number of other contingent assets (excl ABCs) that the trustees wish to include details about ("&amp;Questions!$D$239&amp;")
must be greater than 0 when you have answered that the scheme relies on contingent assets to take funding and investment risk above what the employer can support ("&amp;Questions!$D$236&amp;").
"</f>
        <v xml:space="preserve">
The sum of: 
•    the number of guarantees that the trustees wish to include details about (CSI 19.0)
•    the number of securities that the trustees wish to include details about (CSI 20.0)
•    the number of other contingent assets (excl ABCs) that the trustees wish to include details about (CSI 21.0)
must be greater than 0 when you have answered that the scheme relies on contingent assets to take funding and investment risk above what the employer can support (CSI 18.0).
</v>
      </c>
      <c r="G476" s="92" t="str">
        <f>"
Do not answer this question if the scheme follows a Fast Track approach ("&amp;Questions!$D$5&amp;") and meets the 'small scheme’ definition ("&amp;Questions!$D$3&amp;").
"</f>
        <v xml:space="preserve">
Do not answer this question if the scheme follows a Fast Track approach (SH 13.0) and meets the 'small scheme’ definition (SH 11.0).
</v>
      </c>
      <c r="H476" s="92" t="str">
        <f>"
Do not answer this question if the scheme meets the 'Fast Track low risk scheme’ requirements ("&amp;Questions!$D$7&amp;").
"</f>
        <v xml:space="preserve">
Do not answer this question if the scheme meets the 'Fast Track low risk scheme’ requirements (SH 15.0).
</v>
      </c>
      <c r="I476" s="92" t="str">
        <f>"
Do not answer this question if the scheme follows a Bespoke approach ("&amp;Questions!$D$5&amp;") and meets the 'Bespoke low-risk scheme' requirements” definition ("&amp;Questions!$D$6&amp;").
"</f>
        <v xml:space="preserve">
Do not answer this question if the scheme follows a Bespoke approach (SH 13.0) and meets the 'Bespoke low-risk scheme' requirements” definition (SH 14.0).
</v>
      </c>
      <c r="J476" s="92"/>
    </row>
    <row r="477" spans="1:10" ht="77.5">
      <c r="A477" s="185" t="s">
        <v>3483</v>
      </c>
      <c r="B477" s="92" t="str">
        <f>"
Do not answer this question if the scheme does not rely on contingent assets to take funding and investment risk above what the employer can support ("&amp;Questions!$D$236&amp;").
"</f>
        <v xml:space="preserve">
Do not answer this question if the scheme does not rely on contingent assets to take funding and investment risk above what the employer can support (CSI 18.0).
</v>
      </c>
      <c r="C477" s="92" t="str">
        <f>"
You must answer this question if the scheme relies on contingent assets to take funding and investment risk above what the employer can support ("&amp;Questions!$D$236&amp;").
"</f>
        <v xml:space="preserve">
You must answer this question if the scheme relies on contingent assets to take funding and investment risk above what the employer can support (CSI 18.0).
</v>
      </c>
      <c r="D477" s="92" t="str">
        <f t="shared" ref="D477" si="18">"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E477" s="92" t="str">
        <f t="shared" ref="E477" si="19">"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F477" s="92" t="str">
        <f t="shared" ref="F477" si="20">"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G477" s="92"/>
      <c r="H477" s="462"/>
      <c r="I477" s="92"/>
      <c r="J477" s="92"/>
    </row>
    <row r="478" spans="1:10" ht="77.5">
      <c r="A478" s="185" t="s">
        <v>3484</v>
      </c>
      <c r="B478" s="92" t="str">
        <f>"
Do not answer this question if the scheme follows a Fast Track approach ("&amp;Questions!$D$5&amp;") and is not a 'small scheme' ("&amp;Questions!$D$3&amp;").
"</f>
        <v xml:space="preserve">
Do not answer this question if the scheme follows a Fast Track approach (SH 13.0) and is not a 'small scheme' (SH 11.0).
</v>
      </c>
      <c r="C478" s="92" t="str">
        <f>"
Do not answer this question if the scheme meets the 'Fast Track low risk scheme’ requirements ("&amp;Questions!$D$7&amp;").
"</f>
        <v xml:space="preserve">
Do not answer this question if the scheme meets the 'Fast Track low risk scheme’ requirements (SH 15.0).
</v>
      </c>
      <c r="D478" s="92" t="str">
        <f>"
You must answer this question if the scheme follows a Fast Track approach ("&amp;Questions!$D$5&amp;"), is not a 'small scheme’ ("&amp;Questions!$D$3&amp;"), and does not meet the 'Fast Track low risk scheme’ requirements ("&amp;Questions!$D$7&amp;").
"</f>
        <v xml:space="preserve">
You must answer this question if the scheme follows a Fast Track approach (SH 13.0), is not a 'small scheme’ (SH 11.0), and does not meet the 'Fast Track low risk scheme’ requirements (SH 15.0).
</v>
      </c>
      <c r="E478" s="92" t="str">
        <f>"
You must answer this question if the scheme follows a Bespoke approach ("&amp;Questions!$D$5&amp;") and the valuation is pre-relevant date ("&amp;Questions!$D$14&amp;").
"</f>
        <v xml:space="preserve">
You must answer this question if the scheme follows a Bespoke approach (SH 13.0) and the valuation is pre-relevant date (SH 10.0).
</v>
      </c>
      <c r="F478" s="92" t="str">
        <f>"
Do not answer this question if the scheme follows a Bespoke approach ("&amp;Questions!$D$5&amp;") and meets the 'Bespoke low-risk scheme' requirements” definition ("&amp;Questions!$D$6&amp;").
"</f>
        <v xml:space="preserve">
Do not answer this question if the scheme follows a Bespoke approach (SH 13.0) and meets the 'Bespoke low-risk scheme' requirements” definition (SH 14.0).
</v>
      </c>
      <c r="G478" s="92" t="str">
        <f>"
You must answer this question if the scheme follows a bespoke approach ("&amp;Questions!$D$5&amp;"), the valuation is post-relevant date ("&amp;Questions!$D$14&amp;") and the scheme does not meet the “Bespoke low-risk scheme” requirements ("&amp;Questions!$D$6&amp;").
"</f>
        <v xml:space="preserve">
You must answer this question if the scheme follows a bespoke approach (SH 13.0), the valuation is post-relevant date (SH 10.0) and the scheme does not meet the “Bespoke low-risk scheme” requirements (SH 14.0).
</v>
      </c>
      <c r="H478" s="462" t="str">
        <f>"
Enter a whole number greater than 0.
"</f>
        <v xml:space="preserve">
Enter a whole number greater than 0.
</v>
      </c>
      <c r="I478" s="92"/>
      <c r="J478" s="92"/>
    </row>
    <row r="479" spans="1:10" ht="77.5">
      <c r="A479" s="185" t="s">
        <v>3485</v>
      </c>
      <c r="B479" s="92" t="str">
        <f>"
Do not answer this question if the scheme follows a Fast Track approach ("&amp;Questions!$D$5&amp;") and is not a 'small scheme' ("&amp;Questions!$D$3&amp;").
"</f>
        <v xml:space="preserve">
Do not answer this question if the scheme follows a Fast Track approach (SH 13.0) and is not a 'small scheme' (SH 11.0).
</v>
      </c>
      <c r="C479" s="92" t="str">
        <f>"
Do not answer this question if the scheme meets the 'Fast Track low risk scheme’ requirements ("&amp;Questions!$D$7&amp;").
"</f>
        <v xml:space="preserve">
Do not answer this question if the scheme meets the 'Fast Track low risk scheme’ requirements (SH 15.0).
</v>
      </c>
      <c r="D479" s="92" t="str">
        <f>"
You must answer this question if the scheme follows a Fast Track approach ("&amp;Questions!$D$5&amp;"), is not a 'small scheme’ ("&amp;Questions!$D$3&amp;"), and does not meet the 'Fast Track low risk scheme’ requirements ("&amp;Questions!$D$7&amp;").
"</f>
        <v xml:space="preserve">
You must answer this question if the scheme follows a Fast Track approach (SH 13.0), is not a 'small scheme’ (SH 11.0), and does not meet the 'Fast Track low risk scheme’ requirements (SH 15.0).
</v>
      </c>
      <c r="E479" s="92" t="str">
        <f>"
You must answer this question if the scheme follows a Bespoke approach ("&amp;Questions!$D$5&amp;") and the valuation is pre-relevant date ("&amp;Questions!$D$14&amp;").
"</f>
        <v xml:space="preserve">
You must answer this question if the scheme follows a Bespoke approach (SH 13.0) and the valuation is pre-relevant date (SH 10.0).
</v>
      </c>
      <c r="F479" s="92" t="str">
        <f>"
Do not answer this question if the scheme follows a Bespoke approach ("&amp;Questions!$D$5&amp;") and meets the 'Bespoke low-risk scheme' requirements” definition ("&amp;Questions!$D$6&amp;").
"</f>
        <v xml:space="preserve">
Do not answer this question if the scheme follows a Bespoke approach (SH 13.0) and meets the 'Bespoke low-risk scheme' requirements” definition (SH 14.0).
</v>
      </c>
      <c r="G479" s="92" t="str">
        <f>"
You must answer this question if the scheme follows a bespoke approach ("&amp;Questions!$D$5&amp;"), the valuation is post-relevant date ("&amp;Questions!$D$14&amp;") and the scheme does not meet the “Bespoke low-risk scheme” requirements ("&amp;Questions!$D$6&amp;").
"</f>
        <v xml:space="preserve">
You must answer this question if the scheme follows a bespoke approach (SH 13.0), the valuation is post-relevant date (SH 10.0) and the scheme does not meet the “Bespoke low-risk scheme” requirements (SH 14.0).
</v>
      </c>
      <c r="H479" s="462" t="str">
        <f>"
Enter a whole number greater than 0.
"</f>
        <v xml:space="preserve">
Enter a whole number greater than 0.
</v>
      </c>
      <c r="I479" s="92"/>
      <c r="J479" s="92"/>
    </row>
    <row r="480" spans="1:10" ht="77.5">
      <c r="A480" s="185" t="s">
        <v>3486</v>
      </c>
      <c r="B480" s="92" t="str">
        <f>"
Do not answer this question if the scheme follows a Fast Track approach ("&amp;Questions!$D$5&amp;") and meets the 'small scheme’ definition ("&amp;Questions!$D$3&amp;").
"</f>
        <v xml:space="preserve">
Do not answer this question if the scheme follows a Fast Track approach (SH 13.0) and meets the 'small scheme’ definition (SH 11.0).
</v>
      </c>
      <c r="C480" s="92" t="str">
        <f>"
Do not answer this question if the scheme meets the 'Fast Track low risk scheme’ requirements ("&amp;Questions!$D$7&amp;").
"</f>
        <v xml:space="preserve">
Do not answer this question if the scheme meets the 'Fast Track low risk scheme’ requirements (SH 15.0).
</v>
      </c>
      <c r="D480" s="92"/>
      <c r="E480" s="92" t="str">
        <f>"
Do not answer this question if the scheme follows a Bespoke approach ("&amp;Questions!$D$5&amp;"), is post-relevant date ("&amp;Questions!$D$14&amp;"), and meets the 'Bespoke low-risk scheme' requirements” definition ("&amp;Questions!$D$6&amp;").
"</f>
        <v xml:space="preserve">
Do not answer this question if the scheme follows a Bespoke approach (SH 13.0), is post-relevant date (SH 10.0), and meets the 'Bespoke low-risk scheme' requirements” definition (SH 14.0).
</v>
      </c>
      <c r="F480" s="92" t="str">
        <f>"
The answer must be no more than 4000 characters.
"</f>
        <v xml:space="preserve">
The answer must be no more than 4000 characters.
</v>
      </c>
      <c r="G480" s="92"/>
      <c r="H480" s="462"/>
      <c r="I480" s="92"/>
      <c r="J480" s="92"/>
    </row>
    <row r="481" spans="1:10" ht="93">
      <c r="A481" s="185" t="s">
        <v>3487</v>
      </c>
      <c r="B481" s="92" t="str">
        <f>"
Do not answer this question if the scheme follows a Fast Track approach ("&amp;Questions!$D$5&amp;").
"</f>
        <v xml:space="preserve">
Do not answer this question if the scheme follows a Fast Track approach (SH 13.0).
</v>
      </c>
      <c r="C481" s="92" t="str">
        <f>"
Do not answer this question if the valuation is post-relevant date ("&amp;Questions!$D$14&amp;").
"</f>
        <v xml:space="preserve">
Do not answer this question if the valuation is post-relevant date (SH 10.0).
</v>
      </c>
      <c r="D481" s="92" t="str">
        <f>"
Do not answer this question if the scheme is in surplus ("&amp;Questions!$D$13&amp;").
"</f>
        <v xml:space="preserve">
Do not answer this question if the scheme is in surplus (SH 12.0).
</v>
      </c>
      <c r="E481" s="92" t="str">
        <f>"
Do not answer this question if the scheme is a 'non-segregated non-associated multi-employer scheme' ("&amp;Questions!$D$249&amp;").
"</f>
        <v xml:space="preserve">
Do not answer this question if the scheme is a 'non-segregated non-associated multi-employer scheme' (CSI 4.0).
</v>
      </c>
      <c r="F481" s="92" t="str">
        <f>"
You must answer this question if the scheme follows a Bespoke approach ("&amp;Questions!$D$5&amp;") with a pre-relevant date valuation ("&amp;Questions!$D$14&amp;") that is in deficit ("&amp;Questions!$D$13&amp;") and is not a 'non-segregated non-associated multi-employer scheme' ("&amp;Questions!$D$249&amp;").
"</f>
        <v xml:space="preserve">
You must answer this question if the scheme follows a Bespoke approach (SH 13.0) with a pre-relevant date valuation (SH 10.0) that is in deficit (SH 12.0) and is not a 'non-segregated non-associated multi-employer scheme' (CSI 4.0).
</v>
      </c>
      <c r="G481" s="92" t="str">
        <f>"
Select ‘Yes’ if the recovery plan is longer than the reliability period or more than six years, or ‘No’ if it is not.
"</f>
        <v xml:space="preserve">
Select ‘Yes’ if the recovery plan is longer than the reliability period or more than six years, or ‘No’ if it is not.
</v>
      </c>
      <c r="H481" s="462"/>
      <c r="I481" s="92"/>
      <c r="J481" s="92"/>
    </row>
    <row r="482" spans="1:10" ht="108.5">
      <c r="A482" s="185" t="s">
        <v>3488</v>
      </c>
      <c r="B482" s="92" t="str">
        <f>"
Do not answer this question if the scheme follows a Fast Track approach ("&amp;Questions!$D$5&amp;").
"</f>
        <v xml:space="preserve">
Do not answer this question if the scheme follows a Fast Track approach (SH 13.0).
</v>
      </c>
      <c r="C482" s="92" t="str">
        <f>"
Do not answer this question if the valuation is pre-relevant date ("&amp;Questions!$D$14&amp;").
"</f>
        <v xml:space="preserve">
Do not answer this question if the valuation is pre-relevant date (SH 10.0).
</v>
      </c>
      <c r="D482" s="92" t="str">
        <f>"
Do not answer this question if the scheme is in surplus ("&amp;Questions!$D$13&amp;").
"</f>
        <v xml:space="preserve">
Do not answer this question if the scheme is in surplus (SH 12.0).
</v>
      </c>
      <c r="E482" s="92" t="str">
        <f>"
Do not answer this question if the scheme is a 'non-segregated non-associated multi-employer scheme' ("&amp;Questions!$D$249&amp;").
"</f>
        <v xml:space="preserve">
Do not answer this question if the scheme is a 'non-segregated non-associated multi-employer scheme' (CSI 4.0).
</v>
      </c>
      <c r="F482" s="92" t="str">
        <f>"
You must answer this question if the scheme follows a Bespoke approach ("&amp;Questions!$D$5&amp;") with a post-relevant date valuation ("&amp;Questions!$D$14&amp;") that is in deficit ("&amp;Questions!$D$13&amp;") and is not a 'non-segregated non-associated multi-employer scheme' ("&amp;Questions!$D$249&amp;"), and does not meet the 'Bespoke low-risk scheme' requirements ("&amp;Questions!$D$6&amp;").
"</f>
        <v xml:space="preserve">
You must answer this question if the scheme follows a Bespoke approach (SH 13.0) with a post-relevant date valuation (SH 10.0) that is in deficit (SH 12.0) and is not a 'non-segregated non-associated multi-employer scheme' (CSI 4.0), and does not meet the 'Bespoke low-risk scheme' requirements (SH 14.0).
</v>
      </c>
      <c r="G482" s="92" t="str">
        <f>"
Select ‘Yes’ if the recovery plan is longer than the reliability period or more than three years, or ‘No’ if it is not.
"</f>
        <v xml:space="preserve">
Select ‘Yes’ if the recovery plan is longer than the reliability period or more than three years, or ‘No’ if it is not.
</v>
      </c>
      <c r="H482" s="462" t="str">
        <f>"
Do not answer this question if the scheme meets the 'Bespoke low-risk scheme' requirements ("&amp;Questions!$D$6&amp;").
"</f>
        <v xml:space="preserve">
Do not answer this question if the scheme meets the 'Bespoke low-risk scheme' requirements (SH 14.0).
</v>
      </c>
      <c r="I482" s="92"/>
      <c r="J482" s="92"/>
    </row>
    <row r="483" spans="1:10" ht="108.5">
      <c r="A483" s="185" t="s">
        <v>3489</v>
      </c>
      <c r="B483" s="92" t="str">
        <f>"
Do not answer this question if the scheme follows a Fast Track approach ("&amp;Questions!$D$5&amp;") is not a 'small scheme’ ("&amp;Questions!$D$3&amp;").
"</f>
        <v xml:space="preserve">
Do not answer this question if the scheme follows a Fast Track approach (SH 13.0) is not a 'small scheme’ (SH 11.0).
</v>
      </c>
      <c r="C483" s="92" t="str">
        <f>"
Do not answer this question if the scheme meets the 'Fast Track low risk scheme’ requirements ("&amp;Questions!$D$7&amp;").
"</f>
        <v xml:space="preserve">
Do not answer this question if the scheme meets the 'Fast Track low risk scheme’ requirements (SH 15.0).
</v>
      </c>
      <c r="D483" s="92" t="str">
        <f>"
Do not answer this questions if the scheme is a 'non-segregated non-associated multi-employer scheme' ("&amp;Questions!$D$249&amp;").
"</f>
        <v xml:space="preserve">
Do not answer this questions if the scheme is a 'non-segregated non-associated multi-employer scheme' (CSI 4.0).
</v>
      </c>
      <c r="E483" s="92" t="str">
        <f>"
You must answer this question if the scheme follows a Fast Track approach ("&amp;Questions!$D$5&amp;"), is not a ‘small scheme’ ("&amp;Questions!$D$3&amp;"), does not meet the 'Fast Track low-risk scheme' requirements ("&amp;Questions!$D$7&amp;") and is not a 'non-segregated non-associated multi-employer scheme' ("&amp;Questions!$D$249&amp;").
"</f>
        <v xml:space="preserve">
You must answer this question if the scheme follows a Fast Track approach (SH 13.0), is not a ‘small scheme’ (SH 11.0), does not meet the 'Fast Track low-risk scheme' requirements (SH 15.0) and is not a 'non-segregated non-associated multi-employer scheme' (CSI 4.0).
</v>
      </c>
      <c r="F483" s="92" t="str">
        <f>"
Do not answer this question if the scheme follows a Bespoke approach ("&amp;Questions!$D$5&amp;") and does not meet the 'Bespoke low-risk scheme' requirements definition ("&amp;Questions!$D$6&amp;").
"</f>
        <v xml:space="preserve">
Do not answer this question if the scheme follows a Bespoke approach (SH 13.0) and does not meet the 'Bespoke low-risk scheme' requirements definition (SH 14.0).
</v>
      </c>
      <c r="G483" s="92" t="str">
        <f>"
You must answer this question if the scheme follows a Bespoke approach ("&amp;Questions!$D$5&amp;"), the valuation is pre-relevant date ("&amp;Questions!$D$14&amp;") and is not a 'non-segregated non-associated multi-employer scheme' ("&amp;Questions!$D$249&amp;").
"</f>
        <v xml:space="preserve">
You must answer this question if the scheme follows a Bespoke approach (SH 13.0), the valuation is pre-relevant date (SH 10.0) and is not a 'non-segregated non-associated multi-employer scheme' (CSI 4.0).
</v>
      </c>
      <c r="H483" s="462" t="str">
        <f>"
Do not answer this question if the scheme follows a Bespoke approach ("&amp;Questions!$D$5&amp;") and the valuation is post-relevant date ("&amp;Questions!$D$14&amp;"), the scheme does not meet the 'Bespoke low-risk scheme' requirements ("&amp;Questions!$D$6&amp;") and is a 'non-segregated non-associated multi-employer scheme' ("&amp;Questions!$D$249&amp;").
"</f>
        <v xml:space="preserve">
Do not answer this question if the scheme follows a Bespoke approach (SH 13.0) and the valuation is post-relevant date (SH 10.0), the scheme does not meet the 'Bespoke low-risk scheme' requirements (SH 14.0) and is a 'non-segregated non-associated multi-employer scheme' (CSI 4.0).
</v>
      </c>
      <c r="I483" s="92" t="str">
        <f>"
You must answer this question if the scheme follows a Bespoke approach ("&amp;Questions!$D$5&amp;") and the valuation is post-relevant date ("&amp;Questions!$D$14&amp;") and the scheme does not meet the 'Bespoke low-risk scheme' requirements ("&amp;Questions!$D$6&amp;") and is not a 'non-segregated non-associated multi-employer scheme' ("&amp;Questions!$D$249&amp;"). 
"</f>
        <v xml:space="preserve">
You must answer this question if the scheme follows a Bespoke approach (SH 13.0) and the valuation is post-relevant date (SH 10.0) and the scheme does not meet the 'Bespoke low-risk scheme' requirements (SH 14.0) and is not a 'non-segregated non-associated multi-employer scheme' (CSI 4.0). 
</v>
      </c>
      <c r="J483" s="92" t="str">
        <f>"
Enter a value between - 1,000,000,000,000 and 1,000,000,000,000 (1 trillion).
It can be accurate to two decimal places. 
"</f>
        <v xml:space="preserve">
Enter a value between - 1,000,000,000,000 and 1,000,000,000,000 (1 trillion).
It can be accurate to two decimal places. 
</v>
      </c>
    </row>
    <row r="484" spans="1:10" ht="93">
      <c r="A484" s="185" t="s">
        <v>3490</v>
      </c>
      <c r="B484" s="92" t="str">
        <f>"
Do not answer this question if the scheme follows a Fast Track approach ("&amp;Questions!$D$5&amp;").
"</f>
        <v xml:space="preserve">
Do not answer this question if the scheme follows a Fast Track approach (SH 13.0).
</v>
      </c>
      <c r="C484" s="92" t="str">
        <f>"
Do not answer this question if the valuation is pre-relevant date ("&amp;Questions!$D$14&amp;") and the scheme is a 'non-segregated non-associated multi-employer scheme' ("&amp;Questions!$D$249&amp;").
"</f>
        <v xml:space="preserve">
Do not answer this question if the valuation is pre-relevant date (SH 10.0) and the scheme is a 'non-segregated non-associated multi-employer scheme' (CSI 4.0).
</v>
      </c>
      <c r="D484" s="92" t="str">
        <f>"
Do not answer this question if the valuation is post-relevant date ("&amp;Questions!$D$14&amp;") and the scheme is a 'non-segregated non-associated multi-employer scheme' ("&amp;Questions!$D$249&amp;").
"</f>
        <v xml:space="preserve">
Do not answer this question if the valuation is post-relevant date (SH 10.0) and the scheme is a 'non-segregated non-associated multi-employer scheme' (CSI 4.0).
</v>
      </c>
      <c r="E484" s="92" t="str">
        <f>"
Do not answer this question if the valuation is post-relevant date ("&amp;Questions!$D$14&amp;"), the scheme is a non-segregated non-associated multi-employer scheme ("&amp;Questions!$D$249&amp;") and the scheme meets the ‘Bespoke low-level risk’ requirements ("&amp;Questions!$D$6&amp;").
"</f>
        <v xml:space="preserve">
Do not answer this question if the valuation is post-relevant date (SH 10.0), the scheme is a non-segregated non-associated multi-employer scheme (CSI 4.0) and the scheme meets the ‘Bespoke low-level risk’ requirements (SH 14.0).
</v>
      </c>
      <c r="F484" s="92" t="str">
        <f>"
The answer must be no more than 4000 characters.
"</f>
        <v xml:space="preserve">
The answer must be no more than 4000 characters.
</v>
      </c>
      <c r="G484" s="92"/>
      <c r="H484" s="462"/>
      <c r="I484" s="92"/>
      <c r="J484" s="92"/>
    </row>
    <row r="485" spans="1:10">
      <c r="A485" s="185" t="s">
        <v>3491</v>
      </c>
      <c r="B485" s="454"/>
      <c r="C485" s="454"/>
      <c r="D485" s="454"/>
      <c r="E485" s="454"/>
      <c r="F485" s="454"/>
      <c r="G485" s="454"/>
      <c r="H485" s="455"/>
      <c r="I485" s="92"/>
      <c r="J485" s="92"/>
    </row>
    <row r="486" spans="1:10">
      <c r="A486" s="185" t="s">
        <v>3492</v>
      </c>
      <c r="B486" s="454"/>
      <c r="C486" s="454"/>
      <c r="D486" s="454"/>
      <c r="E486" s="454"/>
      <c r="F486" s="454"/>
      <c r="G486" s="454"/>
      <c r="H486" s="455"/>
      <c r="I486" s="92"/>
      <c r="J486" s="92"/>
    </row>
    <row r="487" spans="1:10" ht="77.5">
      <c r="A487" s="185" t="s">
        <v>3493</v>
      </c>
      <c r="B487" s="456" t="str">
        <f>"
Select ‘Yes’ if the strength of the employer covenant is adequate by reference to the actuarial valuation to which the funding and investment strategy relates, or ‘No’ if it does not.
"</f>
        <v xml:space="preserve">
Select ‘Yes’ if the strength of the employer covenant is adequate by reference to the actuarial valuation to which the funding and investment strategy relates, or ‘No’ if it does not.
</v>
      </c>
      <c r="C487" s="456"/>
      <c r="D487" s="456"/>
      <c r="E487" s="456"/>
      <c r="F487" s="456"/>
      <c r="G487" s="456"/>
      <c r="H487" s="457"/>
      <c r="I487" s="92"/>
      <c r="J487" s="92"/>
    </row>
    <row r="488" spans="1:10" ht="108.5">
      <c r="A488" s="190" t="s">
        <v>612</v>
      </c>
      <c r="B488" s="92" t="str">
        <f>"
Do not answer this question if the scheme follows a Fast Track approach ("&amp;Questions!$D$5&amp;").
"</f>
        <v xml:space="preserve">
Do not answer this question if the scheme follows a Fast Track approach (SH 13.0).
</v>
      </c>
      <c r="C488"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488" s="92" t="str">
        <f>"
You must answer this question if the scheme follows a Bespoke approach ("&amp;Questions!$D$5&amp;") with a pre-relevant date valuation ("&amp;Questions!$D$14&amp;"), and the scheme is not a non-segregated non-associated multi-employer scheme ("&amp;Questions!$D$249&amp;").
"</f>
        <v xml:space="preserve">
You must answer this question if the scheme follows a Bespoke approach (SH 13.0) with a pre-relevant date valuation (SH 10.0), and the scheme is not a non-segregated non-associated multi-employer scheme (CSI 4.0).
</v>
      </c>
      <c r="E488" s="92" t="str">
        <f>"
Do not answer this question if the valuation is post-relevant date ("&amp;Questions!$D$14&amp;") and the scheme is a 'non-segregated non-associated multi-employer scheme' ("&amp;Questions!$D$249&amp;").
"</f>
        <v xml:space="preserve">
Do not answer this question if the valuation is post-relevant date (SH 10.0) and the scheme is a 'non-segregated non-associated multi-employer scheme' (CSI 4.0).
</v>
      </c>
      <c r="F488" s="92" t="str">
        <f>"
Do not answer this question if the valuation is post-relevant date ("&amp;Questions!$D$14&amp;"), the scheme is a 'non-segregated non-associated multi-employer scheme' ("&amp;Questions!$D$249&amp;") and the scheme meets the ‘Bespoke low-level risk’ requirements ("&amp;Questions!$D$6&amp;").
"</f>
        <v xml:space="preserve">
Do not answer this question if the valuation is post-relevant date (SH 10.0), the scheme is a 'non-segregated non-associated multi-employer scheme' (CSI 4.0) and the scheme meets the ‘Bespoke low-level risk’ requirements (SH 14.0).
</v>
      </c>
      <c r="G488" s="92" t="str">
        <f>"
You must answer this question if you are a scheme following a Bespoke approach ("&amp;Questions!$D$5&amp;") with a post-relevant date valuation ("&amp;Questions!$D$14&amp;"), the scheme is not a 'non-segregated non-associated multi-employer scheme' ("&amp;Questions!$D$249&amp;") and the scheme does not meet the ‘Bespoke low-level risk’ requirements ("&amp;Questions!$D$6&amp;").
"</f>
        <v xml:space="preserve">
You must answer this question if you are a scheme following a Bespoke approach (SH 13.0) with a post-relevant date valuation (SH 10.0), the scheme is not a 'non-segregated non-associated multi-employer scheme' (CSI 4.0) and the scheme does not meet the ‘Bespoke low-level risk’ requirements (SH 14.0).
</v>
      </c>
      <c r="H488" s="463" t="str">
        <f>"
Enter a whole number between 0 and 5.
"</f>
        <v xml:space="preserve">
Enter a whole number between 0 and 5.
</v>
      </c>
      <c r="I488" s="92"/>
      <c r="J488" s="92"/>
    </row>
    <row r="489" spans="1:10" ht="108.5">
      <c r="A489" s="190" t="s">
        <v>615</v>
      </c>
      <c r="B489" s="92" t="str">
        <f>"
Do not answer this question if the scheme follows a Fast Track approach ("&amp;Questions!$D$5&amp;").
"</f>
        <v xml:space="preserve">
Do not answer this question if the scheme follows a Fast Track approach (SH 13.0).
</v>
      </c>
      <c r="C489"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489"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489"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489" s="92" t="str">
        <f>"
You must answer this question if the scheme follows a Bespoke approach ("&amp;Questions!$D$5&amp;"), the scheme is not a non-segregated non-associated multi-employer entity ("&amp;Questions!$D$249&amp;") and there are one or more entities that have been considered when determining employer cash flow ("&amp;Questions!$D$725&amp;").
"</f>
        <v xml:space="preserve">
You must answer this question if the scheme follows a Bespoke approach (SH 13.0), the scheme is not a non-segregated non-associated multi-employer entity (CSI 4.0) and there are one or more entities that have been considered when determining employer cash flow (ECI 0.0).
</v>
      </c>
      <c r="G489" s="92" t="str">
        <f>"
The answer must be no more than 510 characters.
"</f>
        <v xml:space="preserve">
The answer must be no more than 510 characters.
</v>
      </c>
      <c r="H489" s="92"/>
      <c r="I489" s="92"/>
      <c r="J489" s="92"/>
    </row>
    <row r="490" spans="1:10" ht="124">
      <c r="A490" s="190" t="s">
        <v>617</v>
      </c>
      <c r="B490" s="92" t="str">
        <f>"
Do not answer this question if the scheme follows a Fast Track approach ("&amp;Questions!$D$5&amp;").
"</f>
        <v xml:space="preserve">
Do not answer this question if the scheme follows a Fast Track approach (SH 13.0).
</v>
      </c>
      <c r="C490"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490"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490"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490" s="92" t="s">
        <v>4784</v>
      </c>
      <c r="G490" s="92"/>
      <c r="H490" s="92"/>
      <c r="I490" s="92"/>
      <c r="J490" s="92"/>
    </row>
    <row r="491" spans="1:10" ht="108.5">
      <c r="A491" s="190" t="s">
        <v>619</v>
      </c>
      <c r="B491" s="92" t="str">
        <f>"
Do not answer this question if the scheme follows a Fast Track approach ("&amp;Questions!$D$5&amp;").
"</f>
        <v xml:space="preserve">
Do not answer this question if the scheme follows a Fast Track approach (SH 13.0).
</v>
      </c>
      <c r="C491"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491"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491"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491" s="92" t="str">
        <f>"
Do not answer this question if you have provided an employer cash flow entity companies house number ("&amp;Questions!$D$727&amp;").
"</f>
        <v xml:space="preserve">
Do not answer this question if you have provided an employer cash flow entity companies house number (ECI 2.0/1).
</v>
      </c>
      <c r="G491" s="92" t="str">
        <f>"
The answer must have between 6 and 8 characters.
"</f>
        <v xml:space="preserve">
The answer must have between 6 and 8 characters.
</v>
      </c>
      <c r="H491" s="92"/>
      <c r="I491" s="92"/>
      <c r="J491" s="92"/>
    </row>
    <row r="492" spans="1:10" ht="124">
      <c r="A492" s="190" t="s">
        <v>621</v>
      </c>
      <c r="B492" s="92" t="str">
        <f>"
Do not answer this question if the scheme follows a Fast Track approach ("&amp;Questions!$D$5&amp;").
"</f>
        <v xml:space="preserve">
Do not answer this question if the scheme follows a Fast Track approach (SH 13.0).
</v>
      </c>
      <c r="C492"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492"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492"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492" s="92" t="str">
        <f>"
Do not answer this question if you have provided an employer cash flow entity companies house number ("&amp;Questions!$D$727&amp;").
"</f>
        <v xml:space="preserve">
Do not answer this question if you have provided an employer cash flow entity companies house number (ECI 2.0/1).
</v>
      </c>
      <c r="G492" s="92" t="str">
        <f>"
Do not answer this question if you have provided an employer cash flow entity charity number ("&amp;Questions!$D$728&amp;").
"</f>
        <v xml:space="preserve">
Do not answer this question if you have provided an employer cash flow entity charity number (ECI 3.0/1).
</v>
      </c>
      <c r="H492" s="92" t="str">
        <f>"
You must answer this question if the scheme follows a Bespoke approach ("&amp;Questions!$D$5&amp;"), the scheme is not a non-segregated non-associated multi-employer entity ("&amp;Questions!$D$249&amp;"), there are one or more entities that have been considered when determining employer cash flow ("&amp;Questions!$D$725&amp;") and you have not provided an employer cash flow entity Companies House number ("&amp;Questions!$D$727&amp;") or an employer cash flow entity charity number ("&amp;Questions!$D$728&amp;").
"</f>
        <v xml:space="preserve">
You must answer this question if the scheme follows a Bespoke approach (SH 13.0), the scheme is not a non-segregated non-associated multi-employer entity (CSI 4.0), there are one or more entities that have been considered when determining employer cash flow (ECI 0.0) and you have not provided an employer cash flow entity Companies House number (ECI 2.0/1) or an employer cash flow entity charity number (ECI 3.0/1).
</v>
      </c>
      <c r="I492" s="92" t="str">
        <f>"
The answer must be no more than 510 characters.
"</f>
        <v xml:space="preserve">
The answer must be no more than 510 characters.
</v>
      </c>
      <c r="J492" s="92"/>
    </row>
    <row r="493" spans="1:10" ht="124">
      <c r="A493" s="190" t="s">
        <v>623</v>
      </c>
      <c r="B493" s="92" t="str">
        <f>"
Do not answer this question if the scheme follows a Fast Track approach ("&amp;Questions!$D$5&amp;").
"</f>
        <v xml:space="preserve">
Do not answer this question if the scheme follows a Fast Track approach (SH 13.0).
</v>
      </c>
      <c r="C493"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493"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493"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493" s="92" t="str">
        <f>"
Do not answer this question if you have provided an employer cash flow entity companies house number ("&amp;Questions!$D$727&amp;").
"</f>
        <v xml:space="preserve">
Do not answer this question if you have provided an employer cash flow entity companies house number (ECI 2.0/1).
</v>
      </c>
      <c r="G493" s="92" t="str">
        <f>"
Do not answer this question if you have provided an employer cash flow entity charity number ("&amp;Questions!$D$728&amp;").
"</f>
        <v xml:space="preserve">
Do not answer this question if you have provided an employer cash flow entity charity number (ECI 3.0/1).
</v>
      </c>
      <c r="H493" s="92" t="str">
        <f>"
You must answer this question if the scheme follows a Bespoke approach ("&amp;Questions!$D$5&amp;"), the scheme is not a non-segregated non-associated multi-employer entity ("&amp;Questions!$D$249&amp;"), there are one or more entities that have been considered when determining employer cash flow ("&amp;Questions!$D$725&amp;") and you have not provided an employer cash flow entity Companies House number ("&amp;Questions!$D$727&amp;") or an employer cash flow entity charity number ("&amp;Questions!$D$728&amp;").
"</f>
        <v xml:space="preserve">
You must answer this question if the scheme follows a Bespoke approach (SH 13.0), the scheme is not a non-segregated non-associated multi-employer entity (CSI 4.0), there are one or more entities that have been considered when determining employer cash flow (ECI 0.0) and you have not provided an employer cash flow entity Companies House number (ECI 2.0/1) or an employer cash flow entity charity number (ECI 3.0/1).
</v>
      </c>
      <c r="I493" s="92" t="str">
        <f>"
The answer must be no more than 510 characters.
"</f>
        <v xml:space="preserve">
The answer must be no more than 510 characters.
</v>
      </c>
      <c r="J493" s="92"/>
    </row>
    <row r="494" spans="1:10" ht="108.5">
      <c r="A494" s="190" t="s">
        <v>625</v>
      </c>
      <c r="B494" s="92" t="str">
        <f>"
Do not answer this question if the scheme follows a Fast Track approach ("&amp;Questions!$D$5&amp;").
"</f>
        <v xml:space="preserve">
Do not answer this question if the scheme follows a Fast Track approach (SH 13.0).
</v>
      </c>
      <c r="C494"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494"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494"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494" s="92" t="str">
        <f>"
Do not answer this question if you have provided an employer cash flow entity companies house number ("&amp;Questions!$D$727&amp;").
"</f>
        <v xml:space="preserve">
Do not answer this question if you have provided an employer cash flow entity companies house number (ECI 2.0/1).
</v>
      </c>
      <c r="G494" s="92" t="str">
        <f>"
Do not answer this question if you have provided an employer cash flow entity charity number ("&amp;Questions!$D$728&amp;").
"</f>
        <v xml:space="preserve">
Do not answer this question if you have provided an employer cash flow entity charity number (ECI 3.0/1).
</v>
      </c>
      <c r="H494" s="92" t="str">
        <f>"
The answer must be no more than 510 characters.
"</f>
        <v xml:space="preserve">
The answer must be no more than 510 characters.
</v>
      </c>
      <c r="I494" s="92"/>
      <c r="J494" s="92"/>
    </row>
    <row r="495" spans="1:10" ht="108.5">
      <c r="A495" s="190" t="s">
        <v>627</v>
      </c>
      <c r="B495" s="92" t="str">
        <f>"
Do not answer this question if the scheme follows a Fast Track approach ("&amp;Questions!$D$5&amp;").
"</f>
        <v xml:space="preserve">
Do not answer this question if the scheme follows a Fast Track approach (SH 13.0).
</v>
      </c>
      <c r="C495"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495"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495"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495" s="92" t="str">
        <f>"
Do not answer this question if you have provided an employer cash flow entity companies house number ("&amp;Questions!$D$727&amp;").
"</f>
        <v xml:space="preserve">
Do not answer this question if you have provided an employer cash flow entity companies house number (ECI 2.0/1).
</v>
      </c>
      <c r="G495" s="92" t="str">
        <f>"
Do not answer this question if you have provided an employer cash flow entity charity number ("&amp;Questions!$D$728&amp;").
"</f>
        <v xml:space="preserve">
Do not answer this question if you have provided an employer cash flow entity charity number (ECI 3.0/1).
</v>
      </c>
      <c r="H495" s="92" t="str">
        <f>"
The answer must be no more than 510 characters.
"</f>
        <v xml:space="preserve">
The answer must be no more than 510 characters.
</v>
      </c>
      <c r="I495" s="92"/>
      <c r="J495" s="92"/>
    </row>
    <row r="496" spans="1:10" ht="124">
      <c r="A496" s="190" t="s">
        <v>629</v>
      </c>
      <c r="B496" s="92" t="str">
        <f>"
Do not answer this question if the scheme follows a Fast Track approach ("&amp;Questions!$D$5&amp;").
"</f>
        <v xml:space="preserve">
Do not answer this question if the scheme follows a Fast Track approach (SH 13.0).
</v>
      </c>
      <c r="C496"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496"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496"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496" s="92" t="str">
        <f>"
Do not answer this question if you have provided an employer cash flow entity companies house number ("&amp;Questions!$D$727&amp;").
"</f>
        <v xml:space="preserve">
Do not answer this question if you have provided an employer cash flow entity companies house number (ECI 2.0/1).
</v>
      </c>
      <c r="G496" s="92" t="str">
        <f>"
Do not answer this question if you have provided an employer cash flow entity charity number ("&amp;Questions!$D$728&amp;").
"</f>
        <v xml:space="preserve">
Do not answer this question if you have provided an employer cash flow entity charity number (ECI 3.0/1).
</v>
      </c>
      <c r="H496" s="92" t="str">
        <f>"
You must answer this question if the scheme follows a Bespoke approach ("&amp;Questions!$D$5&amp;"), the scheme is not a non-segregated non-associated multi-employer entity ("&amp;Questions!$D$249&amp;"), there are one or more entities that have been considered when determining employer cash flow ("&amp;Questions!$D$725&amp;") and you have not provided an employer cash flow entity Companies House number ("&amp;Questions!$D$727&amp;") or an employer cash flow entity charity number ("&amp;Questions!$D$728&amp;").
"</f>
        <v xml:space="preserve">
You must answer this question if the scheme follows a Bespoke approach (SH 13.0), the scheme is not a non-segregated non-associated multi-employer entity (CSI 4.0), there are one or more entities that have been considered when determining employer cash flow (ECI 0.0) and you have not provided an employer cash flow entity Companies House number (ECI 2.0/1) or an employer cash flow entity charity number (ECI 3.0/1).
</v>
      </c>
      <c r="I496" s="92" t="str">
        <f>"
The answer must be no more than 510 characters.
"</f>
        <v xml:space="preserve">
The answer must be no more than 510 characters.
</v>
      </c>
      <c r="J496" s="92"/>
    </row>
    <row r="497" spans="1:10" ht="124">
      <c r="A497" s="190" t="s">
        <v>631</v>
      </c>
      <c r="B497" s="92" t="str">
        <f>"
Do not answer this question if the scheme follows a Fast Track approach ("&amp;Questions!$D$5&amp;").
"</f>
        <v xml:space="preserve">
Do not answer this question if the scheme follows a Fast Track approach (SH 13.0).
</v>
      </c>
      <c r="C497"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497"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497"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497" s="92" t="str">
        <f>"
Do not answer this question if you have provided an employer cash flow entity companies house number ("&amp;Questions!$D$727&amp;").
"</f>
        <v xml:space="preserve">
Do not answer this question if you have provided an employer cash flow entity companies house number (ECI 2.0/1).
</v>
      </c>
      <c r="G497" s="92" t="str">
        <f>"
Do not answer this question if you have provided an employer cash flow entity charity number ("&amp;Questions!$D$728&amp;").
"</f>
        <v xml:space="preserve">
Do not answer this question if you have provided an employer cash flow entity charity number (ECI 3.0/1).
</v>
      </c>
      <c r="H497" s="92" t="str">
        <f>"
You must answer this question if the scheme follows a Bespoke approach ("&amp;Questions!$D$5&amp;"), the scheme is not a non-segregated non-associated multi-employer entity ("&amp;Questions!$D$249&amp;"), there are one or more entities that have been considered when determining employer cash flow ("&amp;Questions!$D$725&amp;") and you have not provided an employer cash flow entity Companies House number ("&amp;Questions!$D$727&amp;") or an employer cash flow entity charity number ("&amp;Questions!$D$728&amp;").
"</f>
        <v xml:space="preserve">
You must answer this question if the scheme follows a Bespoke approach (SH 13.0), the scheme is not a non-segregated non-associated multi-employer entity (CSI 4.0), there are one or more entities that have been considered when determining employer cash flow (ECI 0.0) and you have not provided an employer cash flow entity Companies House number (ECI 2.0/1) or an employer cash flow entity charity number (ECI 3.0/1).
</v>
      </c>
      <c r="I497" s="92" t="str">
        <f>"
Select 'United Kingdom' if the address is for a UK address, or the relevant country from the drop-down list if not. 
"</f>
        <v xml:space="preserve">
Select 'United Kingdom' if the address is for a UK address, or the relevant country from the drop-down list if not. 
</v>
      </c>
      <c r="J497" s="92"/>
    </row>
    <row r="498" spans="1:10" ht="139.5">
      <c r="A498" s="190" t="s">
        <v>633</v>
      </c>
      <c r="B498" s="92" t="str">
        <f>"
Do not answer this question if the scheme follows a Fast Track approach ("&amp;Questions!$D$5&amp;").
"</f>
        <v xml:space="preserve">
Do not answer this question if the scheme follows a Fast Track approach (SH 13.0).
</v>
      </c>
      <c r="C498"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498"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498"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498" s="92" t="str">
        <f>"
Do not answer this question if you have provided an employer cash flow entity companies house number ("&amp;Questions!$D$727&amp;").
"</f>
        <v xml:space="preserve">
Do not answer this question if you have provided an employer cash flow entity companies house number (ECI 2.0/1).
</v>
      </c>
      <c r="G498" s="92" t="str">
        <f>"
Do not answer this question if you have provided an employer cash flow entity charity number ("&amp;Questions!$D$728&amp;").
"</f>
        <v xml:space="preserve">
Do not answer this question if you have provided an employer cash flow entity charity number (ECI 3.0/1).
</v>
      </c>
      <c r="H498" s="92" t="str">
        <f>"
You must answer this question if the scheme follows a Bespoke approach ("&amp;Questions!$D$5&amp;"), the scheme is not a non-segregated non-associated multi-employer entity ("&amp;Questions!$D$249&amp;"), there are one or more entities that have been considered when determining employer cash flow ("&amp;Questions!$D$725&amp;") and you have not provided an employer cash flow entity Companies House number ("&amp;Questions!$D$727&amp;") or an employer cash flow entity charity number ("&amp;Questions!$D$728&amp;") and the country is United Kingdom ("&amp;Questions!$D$734&amp;").
"</f>
        <v xml:space="preserve">
You must answer this question if the scheme follows a Bespoke approach (SH 13.0), the scheme is not a non-segregated non-associated multi-employer entity (CSI 4.0), there are one or more entities that have been considered when determining employer cash flow (ECI 0.0) and you have not provided an employer cash flow entity Companies House number (ECI 2.0/1) or an employer cash flow entity charity number (ECI 3.0/1) and the country is United Kingdom (ECI 9.0/1).
</v>
      </c>
      <c r="I498" s="92" t="str">
        <f>"
The answer must be a valid postcode with between 5 and 8 characters.
"</f>
        <v xml:space="preserve">
The answer must be a valid postcode with between 5 and 8 characters.
</v>
      </c>
      <c r="J498" s="92"/>
    </row>
    <row r="499" spans="1:10" ht="108.5">
      <c r="A499" s="190" t="s">
        <v>636</v>
      </c>
      <c r="B499" s="92" t="str">
        <f>"
Do not answer this question if the scheme follows a Fast Track approach ("&amp;Questions!$D$5&amp;").
"</f>
        <v xml:space="preserve">
Do not answer this question if the scheme follows a Fast Track approach (SH 13.0).
</v>
      </c>
      <c r="C499"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499"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499"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499" s="92" t="str">
        <f>"
You must answer this question if the scheme follows a Bespoke approach ("&amp;Questions!$D$5&amp;"), the scheme is not a non-segregated non-associated multi-employer entity ("&amp;Questions!$D$249&amp;") and there are one or more entities that have been considered when determining employer cash flow ("&amp;Questions!$D$725&amp;").
"</f>
        <v xml:space="preserve">
You must answer this question if the scheme follows a Bespoke approach (SH 13.0), the scheme is not a non-segregated non-associated multi-employer entity (CSI 4.0) and there are one or more entities that have been considered when determining employer cash flow (ECI 0.0).
</v>
      </c>
      <c r="G499" s="92" t="str">
        <f>"
The answer must be no more than 510 characters.
"</f>
        <v xml:space="preserve">
The answer must be no more than 510 characters.
</v>
      </c>
      <c r="H499" s="92"/>
      <c r="I499" s="92"/>
      <c r="J499" s="92"/>
    </row>
    <row r="500" spans="1:10" ht="124">
      <c r="A500" s="190" t="s">
        <v>638</v>
      </c>
      <c r="B500" s="92" t="str">
        <f>"
Do not answer this question if the scheme follows a Fast Track approach ("&amp;Questions!$D$5&amp;").
"</f>
        <v xml:space="preserve">
Do not answer this question if the scheme follows a Fast Track approach (SH 13.0).
</v>
      </c>
      <c r="C500"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00"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00"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00" s="92" t="s">
        <v>4784</v>
      </c>
      <c r="G500" s="92"/>
      <c r="H500" s="92"/>
      <c r="I500" s="92"/>
      <c r="J500" s="92"/>
    </row>
    <row r="501" spans="1:10" ht="108.5">
      <c r="A501" s="190" t="s">
        <v>640</v>
      </c>
      <c r="B501" s="92" t="str">
        <f>"
Do not answer this question if the scheme follows a Fast Track approach ("&amp;Questions!$D$5&amp;").
"</f>
        <v xml:space="preserve">
Do not answer this question if the scheme follows a Fast Track approach (SH 13.0).
</v>
      </c>
      <c r="C501"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01"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01"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01" s="92" t="str">
        <f>"
Do not answer this question if you have provided an employer cash flow entity companies house number ("&amp;Questions!$D$737&amp;").
"</f>
        <v xml:space="preserve">
Do not answer this question if you have provided an employer cash flow entity companies house number (ECI 2.0/2).
</v>
      </c>
      <c r="G501" s="92" t="str">
        <f>"
The answer must have between 6 and 8 characters.
"</f>
        <v xml:space="preserve">
The answer must have between 6 and 8 characters.
</v>
      </c>
      <c r="H501" s="92"/>
      <c r="I501" s="92"/>
      <c r="J501" s="92"/>
    </row>
    <row r="502" spans="1:10" ht="124">
      <c r="A502" s="190" t="s">
        <v>642</v>
      </c>
      <c r="B502" s="92" t="str">
        <f>"
Do not answer this question if the scheme follows a Fast Track approach ("&amp;Questions!$D$5&amp;").
"</f>
        <v xml:space="preserve">
Do not answer this question if the scheme follows a Fast Track approach (SH 13.0).
</v>
      </c>
      <c r="C502"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02"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02"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02" s="92" t="str">
        <f>"
Do not answer this question if you have provided an employer cash flow entity companies house number ("&amp;Questions!$D$737&amp;").
"</f>
        <v xml:space="preserve">
Do not answer this question if you have provided an employer cash flow entity companies house number (ECI 2.0/2).
</v>
      </c>
      <c r="G502" s="92" t="str">
        <f>"
Do not answer this question if you have provided an employer cash flow entity charity number ("&amp;Questions!$D$738&amp;").
"</f>
        <v xml:space="preserve">
Do not answer this question if you have provided an employer cash flow entity charity number (ECI 3.0/2).
</v>
      </c>
      <c r="H502" s="92" t="str">
        <f>"
You must answer this question if the scheme follows a Bespoke approach ("&amp;Questions!$D$5&amp;"), the scheme is not a non-segregated non-associated multi-employer entity ("&amp;Questions!$D$249&amp;"), there are one or more entities that have been considered when determining employer cash flow ("&amp;Questions!$D$725&amp;") and you have not provided an employer cash flow entity Companies House number ("&amp;Questions!$D$737&amp;") or an employer cash flow entity charity number ("&amp;Questions!$D$738&amp;").
"</f>
        <v xml:space="preserve">
You must answer this question if the scheme follows a Bespoke approach (SH 13.0), the scheme is not a non-segregated non-associated multi-employer entity (CSI 4.0), there are one or more entities that have been considered when determining employer cash flow (ECI 0.0) and you have not provided an employer cash flow entity Companies House number (ECI 2.0/2) or an employer cash flow entity charity number (ECI 3.0/2).
</v>
      </c>
      <c r="I502" s="92" t="str">
        <f>"
The answer must be no more than 510 characters.
"</f>
        <v xml:space="preserve">
The answer must be no more than 510 characters.
</v>
      </c>
      <c r="J502" s="92"/>
    </row>
    <row r="503" spans="1:10" ht="124">
      <c r="A503" s="190" t="s">
        <v>644</v>
      </c>
      <c r="B503" s="92" t="str">
        <f>"
Do not answer this question if the scheme follows a Fast Track approach ("&amp;Questions!$D$5&amp;").
"</f>
        <v xml:space="preserve">
Do not answer this question if the scheme follows a Fast Track approach (SH 13.0).
</v>
      </c>
      <c r="C503"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03"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03"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03" s="92" t="str">
        <f>"
Do not answer this question if you have provided an employer cash flow entity companies house number ("&amp;Questions!$D$737&amp;").
"</f>
        <v xml:space="preserve">
Do not answer this question if you have provided an employer cash flow entity companies house number (ECI 2.0/2).
</v>
      </c>
      <c r="G503" s="92" t="str">
        <f>"
Do not answer this question if you have provided an employer cash flow entity charity number ("&amp;Questions!$D$738&amp;").
"</f>
        <v xml:space="preserve">
Do not answer this question if you have provided an employer cash flow entity charity number (ECI 3.0/2).
</v>
      </c>
      <c r="H503" s="92" t="str">
        <f>"
You must answer this question if the scheme follows a Bespoke approach ("&amp;Questions!$D$5&amp;"), the scheme is not a non-segregated non-associated multi-employer entity ("&amp;Questions!$D$249&amp;"), there are one or more entities that have been considered when determining employer cash flow ("&amp;Questions!$D$725&amp;") and you have not provided an employer cash flow entity Companies House number ("&amp;Questions!$D$737&amp;") or an employer cash flow entity charity number ("&amp;Questions!$D$738&amp;").
"</f>
        <v xml:space="preserve">
You must answer this question if the scheme follows a Bespoke approach (SH 13.0), the scheme is not a non-segregated non-associated multi-employer entity (CSI 4.0), there are one or more entities that have been considered when determining employer cash flow (ECI 0.0) and you have not provided an employer cash flow entity Companies House number (ECI 2.0/2) or an employer cash flow entity charity number (ECI 3.0/2).
</v>
      </c>
      <c r="I503" s="92" t="str">
        <f>"
The answer must be no more than 510 characters.
"</f>
        <v xml:space="preserve">
The answer must be no more than 510 characters.
</v>
      </c>
      <c r="J503" s="92"/>
    </row>
    <row r="504" spans="1:10" ht="108.5">
      <c r="A504" s="190" t="s">
        <v>646</v>
      </c>
      <c r="B504" s="92" t="str">
        <f>"
Do not answer this question if the scheme follows a Fast Track approach ("&amp;Questions!$D$5&amp;").
"</f>
        <v xml:space="preserve">
Do not answer this question if the scheme follows a Fast Track approach (SH 13.0).
</v>
      </c>
      <c r="C504"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04"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04"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04" s="92" t="str">
        <f>"
Do not answer this question if you have provided an employer cash flow entity companies house number ("&amp;Questions!$D$737&amp;").
"</f>
        <v xml:space="preserve">
Do not answer this question if you have provided an employer cash flow entity companies house number (ECI 2.0/2).
</v>
      </c>
      <c r="G504" s="92" t="str">
        <f>"
Do not answer this question if you have provided an employer cash flow entity charity number ("&amp;Questions!$D$738&amp;").
"</f>
        <v xml:space="preserve">
Do not answer this question if you have provided an employer cash flow entity charity number (ECI 3.0/2).
</v>
      </c>
      <c r="H504" s="92" t="str">
        <f>"
The answer must be no more than 510 characters.
"</f>
        <v xml:space="preserve">
The answer must be no more than 510 characters.
</v>
      </c>
      <c r="I504" s="92"/>
      <c r="J504" s="92"/>
    </row>
    <row r="505" spans="1:10" ht="108.5">
      <c r="A505" s="190" t="s">
        <v>648</v>
      </c>
      <c r="B505" s="92" t="str">
        <f>"
Do not answer this question if the scheme follows a Fast Track approach ("&amp;Questions!$D$5&amp;").
"</f>
        <v xml:space="preserve">
Do not answer this question if the scheme follows a Fast Track approach (SH 13.0).
</v>
      </c>
      <c r="C505"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05"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05"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05" s="92" t="str">
        <f>"
Do not answer this question if you have provided an employer cash flow entity companies house number ("&amp;Questions!$D$737&amp;").
"</f>
        <v xml:space="preserve">
Do not answer this question if you have provided an employer cash flow entity companies house number (ECI 2.0/2).
</v>
      </c>
      <c r="G505" s="92" t="str">
        <f>"
Do not answer this question if you have provided an employer cash flow entity charity number ("&amp;Questions!$D$738&amp;").
"</f>
        <v xml:space="preserve">
Do not answer this question if you have provided an employer cash flow entity charity number (ECI 3.0/2).
</v>
      </c>
      <c r="H505" s="92" t="str">
        <f>"
The answer must be no more than 510 characters.
"</f>
        <v xml:space="preserve">
The answer must be no more than 510 characters.
</v>
      </c>
      <c r="I505" s="92"/>
      <c r="J505" s="92"/>
    </row>
    <row r="506" spans="1:10" ht="124">
      <c r="A506" s="190" t="s">
        <v>650</v>
      </c>
      <c r="B506" s="92" t="str">
        <f>"
Do not answer this question if the scheme follows a Fast Track approach ("&amp;Questions!$D$5&amp;").
"</f>
        <v xml:space="preserve">
Do not answer this question if the scheme follows a Fast Track approach (SH 13.0).
</v>
      </c>
      <c r="C506"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06"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06"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06" s="92" t="str">
        <f>"
Do not answer this question if you have provided an employer cash flow entity companies house number ("&amp;Questions!$D$737&amp;").
"</f>
        <v xml:space="preserve">
Do not answer this question if you have provided an employer cash flow entity companies house number (ECI 2.0/2).
</v>
      </c>
      <c r="G506" s="92" t="str">
        <f>"
Do not answer this question if you have provided an employer cash flow entity charity number ("&amp;Questions!$D$738&amp;").
"</f>
        <v xml:space="preserve">
Do not answer this question if you have provided an employer cash flow entity charity number (ECI 3.0/2).
</v>
      </c>
      <c r="H506" s="92" t="str">
        <f>"
You must answer this question if the scheme follows a Bespoke approach ("&amp;Questions!$D$5&amp;"), the scheme is not a non-segregated non-associated multi-employer entity ("&amp;Questions!$D$249&amp;"), there are one or more entities that have been considered when determining employer cash flow ("&amp;Questions!$D$725&amp;") and you have not provided an employer cash flow entity Companies House number ("&amp;Questions!$D$737&amp;") or an employer cash flow entity charity number ("&amp;Questions!$D$738&amp;").
"</f>
        <v xml:space="preserve">
You must answer this question if the scheme follows a Bespoke approach (SH 13.0), the scheme is not a non-segregated non-associated multi-employer entity (CSI 4.0), there are one or more entities that have been considered when determining employer cash flow (ECI 0.0) and you have not provided an employer cash flow entity Companies House number (ECI 2.0/2) or an employer cash flow entity charity number (ECI 3.0/2).
</v>
      </c>
      <c r="I506" s="92" t="str">
        <f>"
The answer must be no more than 510 characters.
"</f>
        <v xml:space="preserve">
The answer must be no more than 510 characters.
</v>
      </c>
      <c r="J506" s="92"/>
    </row>
    <row r="507" spans="1:10" ht="124">
      <c r="A507" s="190" t="s">
        <v>652</v>
      </c>
      <c r="B507" s="92" t="str">
        <f>"
Do not answer this question if the scheme follows a Fast Track approach ("&amp;Questions!$D$5&amp;").
"</f>
        <v xml:space="preserve">
Do not answer this question if the scheme follows a Fast Track approach (SH 13.0).
</v>
      </c>
      <c r="C507"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07"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07"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07" s="92" t="str">
        <f>"
Do not answer this question if you have provided an employer cash flow entity companies house number ("&amp;Questions!$D$737&amp;").
"</f>
        <v xml:space="preserve">
Do not answer this question if you have provided an employer cash flow entity companies house number (ECI 2.0/2).
</v>
      </c>
      <c r="G507" s="92" t="str">
        <f>"
Do not answer this question if you have provided an employer cash flow entity charity number ("&amp;Questions!$D$738&amp;").
"</f>
        <v xml:space="preserve">
Do not answer this question if you have provided an employer cash flow entity charity number (ECI 3.0/2).
</v>
      </c>
      <c r="H507" s="92" t="str">
        <f>"
You must answer this question if the scheme follows a Bespoke approach ("&amp;Questions!$D$5&amp;"), the scheme is not a non-segregated non-associated multi-employer entity ("&amp;Questions!$D$249&amp;"), there are one or more entities that have been considered when determining employer cash flow ("&amp;Questions!$D$725&amp;") and you have not provided an employer cash flow entity Companies House number ("&amp;Questions!$D$737&amp;") or an employer cash flow entity charity number ("&amp;Questions!$D$738&amp;").
"</f>
        <v xml:space="preserve">
You must answer this question if the scheme follows a Bespoke approach (SH 13.0), the scheme is not a non-segregated non-associated multi-employer entity (CSI 4.0), there are one or more entities that have been considered when determining employer cash flow (ECI 0.0) and you have not provided an employer cash flow entity Companies House number (ECI 2.0/2) or an employer cash flow entity charity number (ECI 3.0/2).
</v>
      </c>
      <c r="I507" s="92" t="str">
        <f>"
Select 'United Kingdom' if the address is for a UK address, or the relevant country from the drop-down list if not. 
"</f>
        <v xml:space="preserve">
Select 'United Kingdom' if the address is for a UK address, or the relevant country from the drop-down list if not. 
</v>
      </c>
      <c r="J507" s="92"/>
    </row>
    <row r="508" spans="1:10" ht="139.5">
      <c r="A508" s="190" t="s">
        <v>654</v>
      </c>
      <c r="B508" s="92" t="str">
        <f>"
Do not answer this question if the scheme follows a Fast Track approach ("&amp;Questions!$D$5&amp;").
"</f>
        <v xml:space="preserve">
Do not answer this question if the scheme follows a Fast Track approach (SH 13.0).
</v>
      </c>
      <c r="C508"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08"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08"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08" s="92" t="str">
        <f>"
Do not answer this question if you have provided an employer cash flow entity companies house number ("&amp;Questions!$D$737&amp;").
"</f>
        <v xml:space="preserve">
Do not answer this question if you have provided an employer cash flow entity companies house number (ECI 2.0/2).
</v>
      </c>
      <c r="G508" s="92" t="str">
        <f>"
Do not answer this question if you have provided an employer cash flow entity charity number ("&amp;Questions!$D$738&amp;").
"</f>
        <v xml:space="preserve">
Do not answer this question if you have provided an employer cash flow entity charity number (ECI 3.0/2).
</v>
      </c>
      <c r="H508" s="92" t="str">
        <f>"
You must answer this question if the scheme follows a Bespoke approach ("&amp;Questions!$D$5&amp;"), the scheme is not a non-segregated non-associated multi-employer entity ("&amp;Questions!$D$249&amp;"), there are one or more entities that have been considered when determining employer cash flow ("&amp;Questions!$D$725&amp;") and you have not provided an employer cash flow entity Companies House number ("&amp;Questions!$D$727&amp;") or an employer cash flow entity charity number ("&amp;Questions!$D$728&amp;") and the country is United Kingdom ("&amp;Questions!$D$744&amp;").
"</f>
        <v xml:space="preserve">
You must answer this question if the scheme follows a Bespoke approach (SH 13.0), the scheme is not a non-segregated non-associated multi-employer entity (CSI 4.0), there are one or more entities that have been considered when determining employer cash flow (ECI 0.0) and you have not provided an employer cash flow entity Companies House number (ECI 2.0/1) or an employer cash flow entity charity number (ECI 3.0/1) and the country is United Kingdom (ECI 9.0/2).
</v>
      </c>
      <c r="I508" s="92" t="str">
        <f>"
The answer must be a valid postcode with between 5 and 8 characters.
"</f>
        <v xml:space="preserve">
The answer must be a valid postcode with between 5 and 8 characters.
</v>
      </c>
      <c r="J508" s="92"/>
    </row>
    <row r="509" spans="1:10" ht="108.5">
      <c r="A509" s="190" t="s">
        <v>657</v>
      </c>
      <c r="B509" s="92" t="str">
        <f>"
Do not answer this question if the scheme follows a Fast Track approach ("&amp;Questions!$D$5&amp;").
"</f>
        <v xml:space="preserve">
Do not answer this question if the scheme follows a Fast Track approach (SH 13.0).
</v>
      </c>
      <c r="C509"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09"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09"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09" s="92" t="str">
        <f>"
You must answer this question if the scheme follows a Bespoke approach ("&amp;Questions!$D$5&amp;"), the scheme is not a non-segregated non-associated multi-employer entity ("&amp;Questions!$D$249&amp;") and there are one or more entities that have been considered when determining employer cash flow ("&amp;Questions!$D$725&amp;").
"</f>
        <v xml:space="preserve">
You must answer this question if the scheme follows a Bespoke approach (SH 13.0), the scheme is not a non-segregated non-associated multi-employer entity (CSI 4.0) and there are one or more entities that have been considered when determining employer cash flow (ECI 0.0).
</v>
      </c>
      <c r="G509" s="92" t="str">
        <f>"
The answer must be no more than 510 characters.
"</f>
        <v xml:space="preserve">
The answer must be no more than 510 characters.
</v>
      </c>
      <c r="H509" s="92"/>
      <c r="I509" s="92"/>
      <c r="J509" s="92"/>
    </row>
    <row r="510" spans="1:10" ht="124">
      <c r="A510" s="190" t="s">
        <v>659</v>
      </c>
      <c r="B510" s="92" t="str">
        <f>"
Do not answer this question if the scheme follows a Fast Track approach ("&amp;Questions!$D$5&amp;").
"</f>
        <v xml:space="preserve">
Do not answer this question if the scheme follows a Fast Track approach (SH 13.0).
</v>
      </c>
      <c r="C510"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10"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10"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10" s="92" t="s">
        <v>4784</v>
      </c>
      <c r="G510" s="92"/>
      <c r="H510" s="92"/>
      <c r="I510" s="92"/>
      <c r="J510" s="92"/>
    </row>
    <row r="511" spans="1:10" ht="108.5">
      <c r="A511" s="190" t="s">
        <v>661</v>
      </c>
      <c r="B511" s="92" t="str">
        <f>"
Do not answer this question if the scheme follows a Fast Track approach ("&amp;Questions!$D$5&amp;").
"</f>
        <v xml:space="preserve">
Do not answer this question if the scheme follows a Fast Track approach (SH 13.0).
</v>
      </c>
      <c r="C511"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11"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11"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11" s="92" t="str">
        <f>"
Do not answer this question if you have provided an employer cash flow entity companies house number ("&amp;Questions!$D$747&amp;").
"</f>
        <v xml:space="preserve">
Do not answer this question if you have provided an employer cash flow entity companies house number (ECI 2.0/3).
</v>
      </c>
      <c r="G511" s="92" t="str">
        <f>"
The answer must have between 6 and 8 characters.
"</f>
        <v xml:space="preserve">
The answer must have between 6 and 8 characters.
</v>
      </c>
      <c r="H511" s="92"/>
      <c r="I511" s="92"/>
      <c r="J511" s="92"/>
    </row>
    <row r="512" spans="1:10" ht="124">
      <c r="A512" s="190" t="s">
        <v>663</v>
      </c>
      <c r="B512" s="92" t="str">
        <f>"
Do not answer this question if the scheme follows a Fast Track approach ("&amp;Questions!$D$5&amp;").
"</f>
        <v xml:space="preserve">
Do not answer this question if the scheme follows a Fast Track approach (SH 13.0).
</v>
      </c>
      <c r="C512"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12"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12"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12" s="92" t="str">
        <f>"
Do not answer this question if you have provided an employer cash flow entity companies house number ("&amp;Questions!$D$747&amp;").
"</f>
        <v xml:space="preserve">
Do not answer this question if you have provided an employer cash flow entity companies house number (ECI 2.0/3).
</v>
      </c>
      <c r="G512" s="92" t="str">
        <f>"
Do not answer this question if you have provided an employer cash flow entity charity number ("&amp;Questions!$D$748&amp;").
"</f>
        <v xml:space="preserve">
Do not answer this question if you have provided an employer cash flow entity charity number (ECI 3.0/3).
</v>
      </c>
      <c r="H512" s="92" t="str">
        <f>"
You must answer this question if the scheme follows a Bespoke approach ("&amp;Questions!$D$5&amp;"), the scheme is not a non-segregated non-associated multi-employer entity ("&amp;Questions!$D$249&amp;"), there are one or more entities that have been considered when determining employer cash flow ("&amp;Questions!$D$725&amp;") and you have not provided an employer cash flow entity Companies House number ("&amp;Questions!$D$747&amp;") or an employer cash flow entity charity number ("&amp;Questions!$D$748&amp;").
"</f>
        <v xml:space="preserve">
You must answer this question if the scheme follows a Bespoke approach (SH 13.0), the scheme is not a non-segregated non-associated multi-employer entity (CSI 4.0), there are one or more entities that have been considered when determining employer cash flow (ECI 0.0) and you have not provided an employer cash flow entity Companies House number (ECI 2.0/3) or an employer cash flow entity charity number (ECI 3.0/3).
</v>
      </c>
      <c r="I512" s="92" t="str">
        <f>"
The answer must be no more than 510 characters.
"</f>
        <v xml:space="preserve">
The answer must be no more than 510 characters.
</v>
      </c>
      <c r="J512" s="92"/>
    </row>
    <row r="513" spans="1:10" ht="124">
      <c r="A513" s="190" t="s">
        <v>665</v>
      </c>
      <c r="B513" s="92" t="str">
        <f>"
Do not answer this question if the scheme follows a Fast Track approach ("&amp;Questions!$D$5&amp;").
"</f>
        <v xml:space="preserve">
Do not answer this question if the scheme follows a Fast Track approach (SH 13.0).
</v>
      </c>
      <c r="C513"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13"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13"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13" s="92" t="str">
        <f>"
Do not answer this question if you have provided an employer cash flow entity companies house number ("&amp;Questions!$D$747&amp;").
"</f>
        <v xml:space="preserve">
Do not answer this question if you have provided an employer cash flow entity companies house number (ECI 2.0/3).
</v>
      </c>
      <c r="G513" s="92" t="str">
        <f>"
Do not answer this question if you have provided an employer cash flow entity charity number ("&amp;Questions!$D$748&amp;").
"</f>
        <v xml:space="preserve">
Do not answer this question if you have provided an employer cash flow entity charity number (ECI 3.0/3).
</v>
      </c>
      <c r="H513" s="92" t="str">
        <f>"
You must answer this question if the scheme follows a Bespoke approach ("&amp;Questions!$D$5&amp;"), the scheme is not a non-segregated non-associated multi-employer entity ("&amp;Questions!$D$249&amp;"), there are one or more entities that have been considered when determining employer cash flow ("&amp;Questions!$D$725&amp;") and you have not provided an employer cash flow entity Companies House number ("&amp;Questions!$D$747&amp;") or an employer cash flow entity charity number ("&amp;Questions!$D$748&amp;").
"</f>
        <v xml:space="preserve">
You must answer this question if the scheme follows a Bespoke approach (SH 13.0), the scheme is not a non-segregated non-associated multi-employer entity (CSI 4.0), there are one or more entities that have been considered when determining employer cash flow (ECI 0.0) and you have not provided an employer cash flow entity Companies House number (ECI 2.0/3) or an employer cash flow entity charity number (ECI 3.0/3).
</v>
      </c>
      <c r="I513" s="92" t="str">
        <f>"
The answer must be no more than 510 characters.
"</f>
        <v xml:space="preserve">
The answer must be no more than 510 characters.
</v>
      </c>
      <c r="J513" s="92"/>
    </row>
    <row r="514" spans="1:10" ht="108.5">
      <c r="A514" s="190" t="s">
        <v>667</v>
      </c>
      <c r="B514" s="92" t="str">
        <f>"
Do not answer this question if the scheme follows a Fast Track approach ("&amp;Questions!$D$5&amp;").
"</f>
        <v xml:space="preserve">
Do not answer this question if the scheme follows a Fast Track approach (SH 13.0).
</v>
      </c>
      <c r="C514"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14"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14"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14" s="92" t="str">
        <f>"
Do not answer this question if you have provided an employer cash flow entity companies house number ("&amp;Questions!$D$747&amp;").
"</f>
        <v xml:space="preserve">
Do not answer this question if you have provided an employer cash flow entity companies house number (ECI 2.0/3).
</v>
      </c>
      <c r="G514" s="92" t="str">
        <f>"
Do not answer this question if you have provided an employer cash flow entity charity number ("&amp;Questions!$D$748&amp;").
"</f>
        <v xml:space="preserve">
Do not answer this question if you have provided an employer cash flow entity charity number (ECI 3.0/3).
</v>
      </c>
      <c r="H514" s="92" t="str">
        <f>"
The answer must be no more than 510 characters.
"</f>
        <v xml:space="preserve">
The answer must be no more than 510 characters.
</v>
      </c>
      <c r="I514" s="92"/>
      <c r="J514" s="92"/>
    </row>
    <row r="515" spans="1:10" ht="108.5">
      <c r="A515" s="190" t="s">
        <v>669</v>
      </c>
      <c r="B515" s="92" t="str">
        <f>"
Do not answer this question if the scheme follows a Fast Track approach ("&amp;Questions!$D$5&amp;").
"</f>
        <v xml:space="preserve">
Do not answer this question if the scheme follows a Fast Track approach (SH 13.0).
</v>
      </c>
      <c r="C515"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15"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15"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15" s="92" t="str">
        <f>"
Do not answer this question if you have provided an employer cash flow entity companies house number ("&amp;Questions!$D$747&amp;").
"</f>
        <v xml:space="preserve">
Do not answer this question if you have provided an employer cash flow entity companies house number (ECI 2.0/3).
</v>
      </c>
      <c r="G515" s="92" t="str">
        <f>"
Do not answer this question if you have provided an employer cash flow entity charity number ("&amp;Questions!$D$748&amp;").
"</f>
        <v xml:space="preserve">
Do not answer this question if you have provided an employer cash flow entity charity number (ECI 3.0/3).
</v>
      </c>
      <c r="H515" s="92" t="str">
        <f>"
The answer must be no more than 510 characters.
"</f>
        <v xml:space="preserve">
The answer must be no more than 510 characters.
</v>
      </c>
      <c r="I515" s="92"/>
      <c r="J515" s="92"/>
    </row>
    <row r="516" spans="1:10" ht="124">
      <c r="A516" s="190" t="s">
        <v>671</v>
      </c>
      <c r="B516" s="92" t="str">
        <f>"
Do not answer this question if the scheme follows a Fast Track approach ("&amp;Questions!$D$5&amp;").
"</f>
        <v xml:space="preserve">
Do not answer this question if the scheme follows a Fast Track approach (SH 13.0).
</v>
      </c>
      <c r="C516"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16"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16"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16" s="92" t="str">
        <f>"
Do not answer this question if you have provided an employer cash flow entity companies house number ("&amp;Questions!$D$747&amp;").
"</f>
        <v xml:space="preserve">
Do not answer this question if you have provided an employer cash flow entity companies house number (ECI 2.0/3).
</v>
      </c>
      <c r="G516" s="92" t="str">
        <f>"
Do not answer this question if you have provided an employer cash flow entity charity number ("&amp;Questions!$D$748&amp;").
"</f>
        <v xml:space="preserve">
Do not answer this question if you have provided an employer cash flow entity charity number (ECI 3.0/3).
</v>
      </c>
      <c r="H516" s="92" t="str">
        <f>"
You must answer this question if the scheme follows a Bespoke approach ("&amp;Questions!$D$5&amp;"), the scheme is not a non-segregated non-associated multi-employer entity ("&amp;Questions!$D$249&amp;"), there are one or more entities that have been considered when determining employer cash flow ("&amp;Questions!$D$725&amp;") and you have not provided an employer cash flow entity Companies House number ("&amp;Questions!$D$747&amp;") or an employer cash flow entity charity number ("&amp;Questions!$D$748&amp;").
"</f>
        <v xml:space="preserve">
You must answer this question if the scheme follows a Bespoke approach (SH 13.0), the scheme is not a non-segregated non-associated multi-employer entity (CSI 4.0), there are one or more entities that have been considered when determining employer cash flow (ECI 0.0) and you have not provided an employer cash flow entity Companies House number (ECI 2.0/3) or an employer cash flow entity charity number (ECI 3.0/3).
</v>
      </c>
      <c r="I516" s="92" t="str">
        <f>"
The answer must be no more than 510 characters.
"</f>
        <v xml:space="preserve">
The answer must be no more than 510 characters.
</v>
      </c>
      <c r="J516" s="92"/>
    </row>
    <row r="517" spans="1:10" ht="124">
      <c r="A517" s="190" t="s">
        <v>673</v>
      </c>
      <c r="B517" s="92" t="str">
        <f>"
Do not answer this question if the scheme follows a Fast Track approach ("&amp;Questions!$D$5&amp;").
"</f>
        <v xml:space="preserve">
Do not answer this question if the scheme follows a Fast Track approach (SH 13.0).
</v>
      </c>
      <c r="C517"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17"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17"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17" s="92" t="str">
        <f>"
Do not answer this question if you have provided an employer cash flow entity companies house number ("&amp;Questions!$D$747&amp;").
"</f>
        <v xml:space="preserve">
Do not answer this question if you have provided an employer cash flow entity companies house number (ECI 2.0/3).
</v>
      </c>
      <c r="G517" s="92" t="str">
        <f>"
Do not answer this question if you have provided an employer cash flow entity charity number ("&amp;Questions!$D$748&amp;").
"</f>
        <v xml:space="preserve">
Do not answer this question if you have provided an employer cash flow entity charity number (ECI 3.0/3).
</v>
      </c>
      <c r="H517" s="92" t="str">
        <f>"
You must answer this question if the scheme follows a Bespoke approach ("&amp;Questions!$D$5&amp;"), the scheme is not a non-segregated non-associated multi-employer entity ("&amp;Questions!$D$249&amp;"), there are one or more entities that have been considered when determining employer cash flow ("&amp;Questions!$D$725&amp;") and you have not provided an employer cash flow entity Companies House number ("&amp;Questions!$D$747&amp;") or an employer cash flow entity charity number ("&amp;Questions!$D$748&amp;").
"</f>
        <v xml:space="preserve">
You must answer this question if the scheme follows a Bespoke approach (SH 13.0), the scheme is not a non-segregated non-associated multi-employer entity (CSI 4.0), there are one or more entities that have been considered when determining employer cash flow (ECI 0.0) and you have not provided an employer cash flow entity Companies House number (ECI 2.0/3) or an employer cash flow entity charity number (ECI 3.0/3).
</v>
      </c>
      <c r="I517" s="92" t="str">
        <f>"
Select 'United Kingdom' if the address is for a UK address, or the relevant country from the drop-down list if not. 
"</f>
        <v xml:space="preserve">
Select 'United Kingdom' if the address is for a UK address, or the relevant country from the drop-down list if not. 
</v>
      </c>
      <c r="J517" s="92"/>
    </row>
    <row r="518" spans="1:10" ht="139.5">
      <c r="A518" s="190" t="s">
        <v>675</v>
      </c>
      <c r="B518" s="92" t="str">
        <f>"
Do not answer this question if the scheme follows a Fast Track approach ("&amp;Questions!$D$5&amp;").
"</f>
        <v xml:space="preserve">
Do not answer this question if the scheme follows a Fast Track approach (SH 13.0).
</v>
      </c>
      <c r="C518"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18"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18"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18" s="92" t="str">
        <f>"
Do not answer this question if you have provided an employer cash flow entity companies house number ("&amp;Questions!$D$747&amp;").
"</f>
        <v xml:space="preserve">
Do not answer this question if you have provided an employer cash flow entity companies house number (ECI 2.0/3).
</v>
      </c>
      <c r="G518" s="92" t="str">
        <f>"
Do not answer this question if you have provided an employer cash flow entity charity number ("&amp;Questions!$D$748&amp;").
"</f>
        <v xml:space="preserve">
Do not answer this question if you have provided an employer cash flow entity charity number (ECI 3.0/3).
</v>
      </c>
      <c r="H518" s="92" t="str">
        <f>"
You must answer this question if the scheme follows a Bespoke approach ("&amp;Questions!$D$5&amp;"), the scheme is not a non-segregated non-associated multi-employer entity ("&amp;Questions!$D$249&amp;"), there are one or more entities that have been considered when determining employer cash flow ("&amp;Questions!$D$725&amp;") and you have not provided an employer cash flow entity Companies House number ("&amp;Questions!$D$727&amp;") or an employer cash flow entity charity number ("&amp;Questions!$D$728&amp;") and the country is United Kingdom ("&amp;Questions!$D$754&amp;").
"</f>
        <v xml:space="preserve">
You must answer this question if the scheme follows a Bespoke approach (SH 13.0), the scheme is not a non-segregated non-associated multi-employer entity (CSI 4.0), there are one or more entities that have been considered when determining employer cash flow (ECI 0.0) and you have not provided an employer cash flow entity Companies House number (ECI 2.0/1) or an employer cash flow entity charity number (ECI 3.0/1) and the country is United Kingdom (ECI 9.0/3).
</v>
      </c>
      <c r="I518" s="92" t="str">
        <f>"
The answer must be a valid postcode with between 5 and 8 characters.
"</f>
        <v xml:space="preserve">
The answer must be a valid postcode with between 5 and 8 characters.
</v>
      </c>
      <c r="J518" s="92"/>
    </row>
    <row r="519" spans="1:10" ht="108.5">
      <c r="A519" s="190" t="s">
        <v>678</v>
      </c>
      <c r="B519" s="92" t="str">
        <f>"
Do not answer this question if the scheme follows a Fast Track approach ("&amp;Questions!$D$5&amp;").
"</f>
        <v xml:space="preserve">
Do not answer this question if the scheme follows a Fast Track approach (SH 13.0).
</v>
      </c>
      <c r="C519"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19"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19"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19" s="92" t="str">
        <f>"
You must answer this question if the scheme follows a Bespoke approach ("&amp;Questions!$D$5&amp;"), the scheme is not a non-segregated non-associated multi-employer entity ("&amp;Questions!$D$249&amp;") and there are one or more entities that have been considered when determining employer cash flow ("&amp;Questions!$D$725&amp;").
"</f>
        <v xml:space="preserve">
You must answer this question if the scheme follows a Bespoke approach (SH 13.0), the scheme is not a non-segregated non-associated multi-employer entity (CSI 4.0) and there are one or more entities that have been considered when determining employer cash flow (ECI 0.0).
</v>
      </c>
      <c r="G519" s="92" t="str">
        <f>"
The answer must be no more than 510 characters.
"</f>
        <v xml:space="preserve">
The answer must be no more than 510 characters.
</v>
      </c>
      <c r="H519" s="92"/>
      <c r="I519" s="92"/>
      <c r="J519" s="92"/>
    </row>
    <row r="520" spans="1:10" ht="124">
      <c r="A520" s="190" t="s">
        <v>680</v>
      </c>
      <c r="B520" s="92" t="str">
        <f>"
Do not answer this question if the scheme follows a Fast Track approach ("&amp;Questions!$D$5&amp;").
"</f>
        <v xml:space="preserve">
Do not answer this question if the scheme follows a Fast Track approach (SH 13.0).
</v>
      </c>
      <c r="C520"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20"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20"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20" s="92" t="s">
        <v>4784</v>
      </c>
      <c r="G520" s="92"/>
      <c r="H520" s="92"/>
      <c r="I520" s="92"/>
      <c r="J520" s="92"/>
    </row>
    <row r="521" spans="1:10" ht="108.5">
      <c r="A521" s="190" t="s">
        <v>682</v>
      </c>
      <c r="B521" s="92" t="str">
        <f>"
Do not answer this question if the scheme follows a Fast Track approach ("&amp;Questions!$D$5&amp;").
"</f>
        <v xml:space="preserve">
Do not answer this question if the scheme follows a Fast Track approach (SH 13.0).
</v>
      </c>
      <c r="C521"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21"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21"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21" s="92" t="str">
        <f>"
Do not answer this question if you have provided an employer cash flow entity companies house number ("&amp;Questions!$D$757&amp;").
"</f>
        <v xml:space="preserve">
Do not answer this question if you have provided an employer cash flow entity companies house number (ECI 2.0/4).
</v>
      </c>
      <c r="G521" s="92" t="str">
        <f>"
The answer must have between 6 and 8 characters.
"</f>
        <v xml:space="preserve">
The answer must have between 6 and 8 characters.
</v>
      </c>
      <c r="H521" s="92"/>
      <c r="I521" s="92"/>
      <c r="J521" s="92"/>
    </row>
    <row r="522" spans="1:10" ht="124">
      <c r="A522" s="190" t="s">
        <v>684</v>
      </c>
      <c r="B522" s="92" t="str">
        <f>"
Do not answer this question if the scheme follows a Fast Track approach ("&amp;Questions!$D$5&amp;").
"</f>
        <v xml:space="preserve">
Do not answer this question if the scheme follows a Fast Track approach (SH 13.0).
</v>
      </c>
      <c r="C522"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22"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22"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22" s="92" t="str">
        <f>"
Do not answer this question if you have provided an employer cash flow entity companies house number ("&amp;Questions!$D$757&amp;").
"</f>
        <v xml:space="preserve">
Do not answer this question if you have provided an employer cash flow entity companies house number (ECI 2.0/4).
</v>
      </c>
      <c r="G522" s="92" t="str">
        <f>"
Do not answer this question if you have provided an employer cash flow entity charity number ("&amp;Questions!$D$758&amp;").
"</f>
        <v xml:space="preserve">
Do not answer this question if you have provided an employer cash flow entity charity number (ECI 3.0/4).
</v>
      </c>
      <c r="H522" s="92" t="str">
        <f>"
You must answer this question if the scheme follows a Bespoke approach ("&amp;Questions!$D$5&amp;"), the scheme is not a non-segregated non-associated multi-employer entity ("&amp;Questions!$D$249&amp;"), there are one or more entities that have been considered when determining employer cash flow ("&amp;Questions!$D$725&amp;") and you have not provided an employer cash flow entity Companies House number ("&amp;Questions!$D$757&amp;") or an employer cash flow entity charity number ("&amp;Questions!$D$758&amp;").
"</f>
        <v xml:space="preserve">
You must answer this question if the scheme follows a Bespoke approach (SH 13.0), the scheme is not a non-segregated non-associated multi-employer entity (CSI 4.0), there are one or more entities that have been considered when determining employer cash flow (ECI 0.0) and you have not provided an employer cash flow entity Companies House number (ECI 2.0/4) or an employer cash flow entity charity number (ECI 3.0/4).
</v>
      </c>
      <c r="I522" s="92" t="str">
        <f>"
The answer must be no more than 510 characters.
"</f>
        <v xml:space="preserve">
The answer must be no more than 510 characters.
</v>
      </c>
      <c r="J522" s="92"/>
    </row>
    <row r="523" spans="1:10" ht="124">
      <c r="A523" s="190" t="s">
        <v>686</v>
      </c>
      <c r="B523" s="92" t="str">
        <f>"
Do not answer this question if the scheme follows a Fast Track approach ("&amp;Questions!$D$5&amp;").
"</f>
        <v xml:space="preserve">
Do not answer this question if the scheme follows a Fast Track approach (SH 13.0).
</v>
      </c>
      <c r="C523"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23"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23"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23" s="92" t="str">
        <f>"
Do not answer this question if you have provided an employer cash flow entity companies house number ("&amp;Questions!$D$757&amp;").
"</f>
        <v xml:space="preserve">
Do not answer this question if you have provided an employer cash flow entity companies house number (ECI 2.0/4).
</v>
      </c>
      <c r="G523" s="92" t="str">
        <f>"
Do not answer this question if you have provided an employer cash flow entity charity number ("&amp;Questions!$D$758&amp;").
"</f>
        <v xml:space="preserve">
Do not answer this question if you have provided an employer cash flow entity charity number (ECI 3.0/4).
</v>
      </c>
      <c r="H523" s="92" t="str">
        <f>"
You must answer this question if the scheme follows a Bespoke approach ("&amp;Questions!$D$5&amp;"), the scheme is not a non-segregated non-associated multi-employer entity ("&amp;Questions!$D$249&amp;"), there are one or more entities that have been considered when determining employer cash flow ("&amp;Questions!$D$725&amp;") and you have not provided an employer cash flow entity Companies House number ("&amp;Questions!$D$757&amp;") or an employer cash flow entity charity number ("&amp;Questions!$D$758&amp;").
"</f>
        <v xml:space="preserve">
You must answer this question if the scheme follows a Bespoke approach (SH 13.0), the scheme is not a non-segregated non-associated multi-employer entity (CSI 4.0), there are one or more entities that have been considered when determining employer cash flow (ECI 0.0) and you have not provided an employer cash flow entity Companies House number (ECI 2.0/4) or an employer cash flow entity charity number (ECI 3.0/4).
</v>
      </c>
      <c r="I523" s="92" t="str">
        <f>"
The answer must be no more than 510 characters.
"</f>
        <v xml:space="preserve">
The answer must be no more than 510 characters.
</v>
      </c>
      <c r="J523" s="92"/>
    </row>
    <row r="524" spans="1:10" ht="108.5">
      <c r="A524" s="190" t="s">
        <v>688</v>
      </c>
      <c r="B524" s="92" t="str">
        <f>"
Do not answer this question if the scheme follows a Fast Track approach ("&amp;Questions!$D$5&amp;").
"</f>
        <v xml:space="preserve">
Do not answer this question if the scheme follows a Fast Track approach (SH 13.0).
</v>
      </c>
      <c r="C524"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24"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24"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24" s="92" t="str">
        <f>"
Do not answer this question if you have provided an employer cash flow entity companies house number ("&amp;Questions!$D$757&amp;").
"</f>
        <v xml:space="preserve">
Do not answer this question if you have provided an employer cash flow entity companies house number (ECI 2.0/4).
</v>
      </c>
      <c r="G524" s="92" t="str">
        <f>"
Do not answer this question if you have provided an employer cash flow entity charity number ("&amp;Questions!$D$758&amp;").
"</f>
        <v xml:space="preserve">
Do not answer this question if you have provided an employer cash flow entity charity number (ECI 3.0/4).
</v>
      </c>
      <c r="H524" s="92" t="str">
        <f>"
The answer must be no more than 510 characters.
"</f>
        <v xml:space="preserve">
The answer must be no more than 510 characters.
</v>
      </c>
      <c r="I524" s="92"/>
      <c r="J524" s="92"/>
    </row>
    <row r="525" spans="1:10" ht="108.5">
      <c r="A525" s="190" t="s">
        <v>690</v>
      </c>
      <c r="B525" s="92" t="str">
        <f>"
Do not answer this question if the scheme follows a Fast Track approach ("&amp;Questions!$D$5&amp;").
"</f>
        <v xml:space="preserve">
Do not answer this question if the scheme follows a Fast Track approach (SH 13.0).
</v>
      </c>
      <c r="C525"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25"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25"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25" s="92" t="str">
        <f>"
Do not answer this question if you have provided an employer cash flow entity companies house number ("&amp;Questions!$D$757&amp;").
"</f>
        <v xml:space="preserve">
Do not answer this question if you have provided an employer cash flow entity companies house number (ECI 2.0/4).
</v>
      </c>
      <c r="G525" s="92" t="str">
        <f>"
Do not answer this question if you have provided an employer cash flow entity charity number ("&amp;Questions!$D$758&amp;").
"</f>
        <v xml:space="preserve">
Do not answer this question if you have provided an employer cash flow entity charity number (ECI 3.0/4).
</v>
      </c>
      <c r="H525" s="92" t="str">
        <f>"
The answer must be no more than 510 characters.
"</f>
        <v xml:space="preserve">
The answer must be no more than 510 characters.
</v>
      </c>
      <c r="I525" s="92"/>
      <c r="J525" s="92"/>
    </row>
    <row r="526" spans="1:10" ht="124">
      <c r="A526" s="190" t="s">
        <v>692</v>
      </c>
      <c r="B526" s="92" t="str">
        <f>"
Do not answer this question if the scheme follows a Fast Track approach ("&amp;Questions!$D$5&amp;").
"</f>
        <v xml:space="preserve">
Do not answer this question if the scheme follows a Fast Track approach (SH 13.0).
</v>
      </c>
      <c r="C526"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26"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26"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26" s="92" t="str">
        <f>"
Do not answer this question if you have provided an employer cash flow entity companies house number ("&amp;Questions!$D$757&amp;").
"</f>
        <v xml:space="preserve">
Do not answer this question if you have provided an employer cash flow entity companies house number (ECI 2.0/4).
</v>
      </c>
      <c r="G526" s="92" t="str">
        <f>"
Do not answer this question if you have provided an employer cash flow entity charity number ("&amp;Questions!$D$758&amp;").
"</f>
        <v xml:space="preserve">
Do not answer this question if you have provided an employer cash flow entity charity number (ECI 3.0/4).
</v>
      </c>
      <c r="H526" s="92" t="str">
        <f>"
You must answer this question if the scheme follows a Bespoke approach ("&amp;Questions!$D$5&amp;"), the scheme is not a non-segregated non-associated multi-employer entity ("&amp;Questions!$D$249&amp;"), there are one or more entities that have been considered when determining employer cash flow ("&amp;Questions!$D$725&amp;") and you have not provided an employer cash flow entity Companies House number ("&amp;Questions!$D$757&amp;") or an employer cash flow entity charity number ("&amp;Questions!$D$758&amp;").
"</f>
        <v xml:space="preserve">
You must answer this question if the scheme follows a Bespoke approach (SH 13.0), the scheme is not a non-segregated non-associated multi-employer entity (CSI 4.0), there are one or more entities that have been considered when determining employer cash flow (ECI 0.0) and you have not provided an employer cash flow entity Companies House number (ECI 2.0/4) or an employer cash flow entity charity number (ECI 3.0/4).
</v>
      </c>
      <c r="I526" s="92" t="str">
        <f>"
The answer must be no more than 510 characters.
"</f>
        <v xml:space="preserve">
The answer must be no more than 510 characters.
</v>
      </c>
      <c r="J526" s="92"/>
    </row>
    <row r="527" spans="1:10" ht="124">
      <c r="A527" s="190" t="s">
        <v>694</v>
      </c>
      <c r="B527" s="92" t="str">
        <f>"
Do not answer this question if the scheme follows a Fast Track approach ("&amp;Questions!$D$5&amp;").
"</f>
        <v xml:space="preserve">
Do not answer this question if the scheme follows a Fast Track approach (SH 13.0).
</v>
      </c>
      <c r="C527"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27"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27"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27" s="92" t="str">
        <f>"
Do not answer this question if you have provided an employer cash flow entity companies house number ("&amp;Questions!$D$757&amp;").
"</f>
        <v xml:space="preserve">
Do not answer this question if you have provided an employer cash flow entity companies house number (ECI 2.0/4).
</v>
      </c>
      <c r="G527" s="92" t="str">
        <f>"
Do not answer this question if you have provided an employer cash flow entity charity number ("&amp;Questions!$D$758&amp;").
"</f>
        <v xml:space="preserve">
Do not answer this question if you have provided an employer cash flow entity charity number (ECI 3.0/4).
</v>
      </c>
      <c r="H527" s="92" t="str">
        <f>"
You must answer this question if the scheme follows a Bespoke approach ("&amp;Questions!$D$5&amp;"), the scheme is not a non-segregated non-associated multi-employer entity ("&amp;Questions!$D$249&amp;"), there are one or more entities that have been considered when determining employer cash flow ("&amp;Questions!$D$725&amp;") and you have not provided an employer cash flow entity Companies House number ("&amp;Questions!$D$757&amp;") or an employer cash flow entity charity number ("&amp;Questions!$D$758&amp;").
"</f>
        <v xml:space="preserve">
You must answer this question if the scheme follows a Bespoke approach (SH 13.0), the scheme is not a non-segregated non-associated multi-employer entity (CSI 4.0), there are one or more entities that have been considered when determining employer cash flow (ECI 0.0) and you have not provided an employer cash flow entity Companies House number (ECI 2.0/4) or an employer cash flow entity charity number (ECI 3.0/4).
</v>
      </c>
      <c r="I527" s="92" t="str">
        <f>"
Select 'United Kingdom' if the address is for a UK address, or the relevant country from the drop-down list if not. 
"</f>
        <v xml:space="preserve">
Select 'United Kingdom' if the address is for a UK address, or the relevant country from the drop-down list if not. 
</v>
      </c>
      <c r="J527" s="92"/>
    </row>
    <row r="528" spans="1:10" ht="139.5">
      <c r="A528" s="190" t="s">
        <v>696</v>
      </c>
      <c r="B528" s="92" t="str">
        <f>"
Do not answer this question if the scheme follows a Fast Track approach ("&amp;Questions!$D$5&amp;").
"</f>
        <v xml:space="preserve">
Do not answer this question if the scheme follows a Fast Track approach (SH 13.0).
</v>
      </c>
      <c r="C528"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28"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28"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28" s="92" t="str">
        <f>"
Do not answer this question if you have provided an employer cash flow entity companies house number ("&amp;Questions!$D$757&amp;").
"</f>
        <v xml:space="preserve">
Do not answer this question if you have provided an employer cash flow entity companies house number (ECI 2.0/4).
</v>
      </c>
      <c r="G528" s="92" t="str">
        <f>"
Do not answer this question if you have provided an employer cash flow entity charity number ("&amp;Questions!$D$758&amp;").
"</f>
        <v xml:space="preserve">
Do not answer this question if you have provided an employer cash flow entity charity number (ECI 3.0/4).
</v>
      </c>
      <c r="H528" s="92" t="str">
        <f>"
You must answer this question if the scheme follows a Bespoke approach ("&amp;Questions!$D$5&amp;"), the scheme is not a non-segregated non-associated multi-employer entity ("&amp;Questions!$D$249&amp;"), there are one or more entities that have been considered when determining employer cash flow ("&amp;Questions!$D$725&amp;") and you have not provided an employer cash flow entity Companies House number ("&amp;Questions!$D$727&amp;") or an employer cash flow entity charity number ("&amp;Questions!$D$728&amp;") and the country is United Kingdom ("&amp;Questions!$D$764&amp;").
"</f>
        <v xml:space="preserve">
You must answer this question if the scheme follows a Bespoke approach (SH 13.0), the scheme is not a non-segregated non-associated multi-employer entity (CSI 4.0), there are one or more entities that have been considered when determining employer cash flow (ECI 0.0) and you have not provided an employer cash flow entity Companies House number (ECI 2.0/1) or an employer cash flow entity charity number (ECI 3.0/1) and the country is United Kingdom (ECI 9.0/4).
</v>
      </c>
      <c r="I528" s="92" t="str">
        <f>"
The answer must be a valid postcode with between 5 and 8 characters.
"</f>
        <v xml:space="preserve">
The answer must be a valid postcode with between 5 and 8 characters.
</v>
      </c>
      <c r="J528" s="92"/>
    </row>
    <row r="529" spans="1:10" ht="108.5">
      <c r="A529" s="190" t="s">
        <v>699</v>
      </c>
      <c r="B529" s="92" t="str">
        <f>"
Do not answer this question if the scheme follows a Fast Track approach ("&amp;Questions!$D$5&amp;").
"</f>
        <v xml:space="preserve">
Do not answer this question if the scheme follows a Fast Track approach (SH 13.0).
</v>
      </c>
      <c r="C529"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29"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29"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29" s="92" t="str">
        <f>"
You must answer this question if the scheme follows a Bespoke approach ("&amp;Questions!$D$5&amp;"), the scheme is not a non-segregated non-associated multi-employer entity ("&amp;Questions!$D$249&amp;") and there are one or more entities that have been considered when determining employer cash flow ("&amp;Questions!$D$725&amp;").
"</f>
        <v xml:space="preserve">
You must answer this question if the scheme follows a Bespoke approach (SH 13.0), the scheme is not a non-segregated non-associated multi-employer entity (CSI 4.0) and there are one or more entities that have been considered when determining employer cash flow (ECI 0.0).
</v>
      </c>
      <c r="G529" s="92" t="str">
        <f>"
The answer must be no more than 510 characters.
"</f>
        <v xml:space="preserve">
The answer must be no more than 510 characters.
</v>
      </c>
      <c r="H529" s="92"/>
      <c r="I529" s="92"/>
      <c r="J529" s="92"/>
    </row>
    <row r="530" spans="1:10" ht="124">
      <c r="A530" s="190" t="s">
        <v>701</v>
      </c>
      <c r="B530" s="92" t="str">
        <f>"
Do not answer this question if the scheme follows a Fast Track approach ("&amp;Questions!$D$5&amp;").
"</f>
        <v xml:space="preserve">
Do not answer this question if the scheme follows a Fast Track approach (SH 13.0).
</v>
      </c>
      <c r="C530"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30"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30"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30" s="92" t="s">
        <v>4784</v>
      </c>
      <c r="G530" s="92"/>
      <c r="H530" s="92"/>
      <c r="I530" s="92"/>
      <c r="J530" s="92"/>
    </row>
    <row r="531" spans="1:10" ht="108.5">
      <c r="A531" s="190" t="s">
        <v>703</v>
      </c>
      <c r="B531" s="92" t="str">
        <f>"
Do not answer this question if the scheme follows a Fast Track approach ("&amp;Questions!$D$5&amp;").
"</f>
        <v xml:space="preserve">
Do not answer this question if the scheme follows a Fast Track approach (SH 13.0).
</v>
      </c>
      <c r="C531"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31"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31"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31" s="92" t="str">
        <f>"
Do not answer this question if you have provided an employer cash flow entity companies house number ("&amp;Questions!$D$767&amp;").
"</f>
        <v xml:space="preserve">
Do not answer this question if you have provided an employer cash flow entity companies house number (ECI 2.0/5).
</v>
      </c>
      <c r="G531" s="92" t="str">
        <f>"
The answer must have between 6 and 8 characters.
"</f>
        <v xml:space="preserve">
The answer must have between 6 and 8 characters.
</v>
      </c>
      <c r="H531" s="92"/>
      <c r="I531" s="92"/>
      <c r="J531" s="92"/>
    </row>
    <row r="532" spans="1:10" ht="124">
      <c r="A532" s="190" t="s">
        <v>705</v>
      </c>
      <c r="B532" s="92" t="str">
        <f>"
Do not answer this question if the scheme follows a Fast Track approach ("&amp;Questions!$D$5&amp;").
"</f>
        <v xml:space="preserve">
Do not answer this question if the scheme follows a Fast Track approach (SH 13.0).
</v>
      </c>
      <c r="C532"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32"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32"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32" s="92" t="str">
        <f>"
Do not answer this question if you have provided an employer cash flow entity companies house number ("&amp;Questions!$D$767&amp;").
"</f>
        <v xml:space="preserve">
Do not answer this question if you have provided an employer cash flow entity companies house number (ECI 2.0/5).
</v>
      </c>
      <c r="G532" s="92" t="str">
        <f>"
Do not answer this question if you have provided an employer cash flow entity charity number ("&amp;Questions!$D$768&amp;").
"</f>
        <v xml:space="preserve">
Do not answer this question if you have provided an employer cash flow entity charity number (ECI 3.0/5).
</v>
      </c>
      <c r="H532" s="92" t="str">
        <f>"
You must answer this question if the scheme follows a Bespoke approach ("&amp;Questions!$D$5&amp;"), the scheme is not a non-segregated non-associated multi-employer entity ("&amp;Questions!$D$249&amp;"), there are one or more entities that have been considered when determining employer cash flow ("&amp;Questions!$D$725&amp;") and you have not provided an employer cash flow entity Companies House number ("&amp;Questions!$D$767&amp;") or an employer cash flow entity charity number ("&amp;Questions!$D$768&amp;").
"</f>
        <v xml:space="preserve">
You must answer this question if the scheme follows a Bespoke approach (SH 13.0), the scheme is not a non-segregated non-associated multi-employer entity (CSI 4.0), there are one or more entities that have been considered when determining employer cash flow (ECI 0.0) and you have not provided an employer cash flow entity Companies House number (ECI 2.0/5) or an employer cash flow entity charity number (ECI 3.0/5).
</v>
      </c>
      <c r="I532" s="92" t="str">
        <f>"
The answer must be no more than 510 characters.
"</f>
        <v xml:space="preserve">
The answer must be no more than 510 characters.
</v>
      </c>
      <c r="J532" s="92"/>
    </row>
    <row r="533" spans="1:10" ht="124">
      <c r="A533" s="190" t="s">
        <v>707</v>
      </c>
      <c r="B533" s="92" t="str">
        <f>"
Do not answer this question if the scheme follows a Fast Track approach ("&amp;Questions!$D$5&amp;").
"</f>
        <v xml:space="preserve">
Do not answer this question if the scheme follows a Fast Track approach (SH 13.0).
</v>
      </c>
      <c r="C533"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33"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33"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33" s="92" t="str">
        <f>"
Do not answer this question if you have provided an employer cash flow entity companies house number ("&amp;Questions!$D$767&amp;").
"</f>
        <v xml:space="preserve">
Do not answer this question if you have provided an employer cash flow entity companies house number (ECI 2.0/5).
</v>
      </c>
      <c r="G533" s="92" t="str">
        <f>"
Do not answer this question if you have provided an employer cash flow entity charity number ("&amp;Questions!$D$768&amp;").
"</f>
        <v xml:space="preserve">
Do not answer this question if you have provided an employer cash flow entity charity number (ECI 3.0/5).
</v>
      </c>
      <c r="H533" s="92" t="str">
        <f>"
You must answer this question if the scheme follows a Bespoke approach ("&amp;Questions!$D$5&amp;"), the scheme is not a non-segregated non-associated multi-employer entity ("&amp;Questions!$D$249&amp;"), there are one or more entities that have been considered when determining employer cash flow ("&amp;Questions!$D$725&amp;") and you have not provided an employer cash flow entity Companies House number ("&amp;Questions!$D$767&amp;") or an employer cash flow entity charity number ("&amp;Questions!$D$768&amp;").
"</f>
        <v xml:space="preserve">
You must answer this question if the scheme follows a Bespoke approach (SH 13.0), the scheme is not a non-segregated non-associated multi-employer entity (CSI 4.0), there are one or more entities that have been considered when determining employer cash flow (ECI 0.0) and you have not provided an employer cash flow entity Companies House number (ECI 2.0/5) or an employer cash flow entity charity number (ECI 3.0/5).
</v>
      </c>
      <c r="I533" s="92" t="str">
        <f>"
The answer must be no more than 510 characters.
"</f>
        <v xml:space="preserve">
The answer must be no more than 510 characters.
</v>
      </c>
      <c r="J533" s="92"/>
    </row>
    <row r="534" spans="1:10" ht="108.5">
      <c r="A534" s="190" t="s">
        <v>709</v>
      </c>
      <c r="B534" s="92" t="str">
        <f>"
Do not answer this question if the scheme follows a Fast Track approach ("&amp;Questions!$D$5&amp;").
"</f>
        <v xml:space="preserve">
Do not answer this question if the scheme follows a Fast Track approach (SH 13.0).
</v>
      </c>
      <c r="C534"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34"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34"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34" s="92" t="str">
        <f>"
Do not answer this question if you have provided an employer cash flow entity companies house number ("&amp;Questions!$D$767&amp;").
"</f>
        <v xml:space="preserve">
Do not answer this question if you have provided an employer cash flow entity companies house number (ECI 2.0/5).
</v>
      </c>
      <c r="G534" s="92" t="str">
        <f>"
Do not answer this question if you have provided an employer cash flow entity charity number ("&amp;Questions!$D$768&amp;").
"</f>
        <v xml:space="preserve">
Do not answer this question if you have provided an employer cash flow entity charity number (ECI 3.0/5).
</v>
      </c>
      <c r="H534" s="92" t="str">
        <f>"
The answer must be no more than 510 characters.
"</f>
        <v xml:space="preserve">
The answer must be no more than 510 characters.
</v>
      </c>
      <c r="I534" s="92"/>
      <c r="J534" s="92"/>
    </row>
    <row r="535" spans="1:10" ht="108.5">
      <c r="A535" s="190" t="s">
        <v>711</v>
      </c>
      <c r="B535" s="92" t="str">
        <f>"
Do not answer this question if the scheme follows a Fast Track approach ("&amp;Questions!$D$5&amp;").
"</f>
        <v xml:space="preserve">
Do not answer this question if the scheme follows a Fast Track approach (SH 13.0).
</v>
      </c>
      <c r="C535"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35"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35"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35" s="92" t="str">
        <f>"
Do not answer this question if you have provided an employer cash flow entity companies house number ("&amp;Questions!$D$767&amp;").
"</f>
        <v xml:space="preserve">
Do not answer this question if you have provided an employer cash flow entity companies house number (ECI 2.0/5).
</v>
      </c>
      <c r="G535" s="92" t="str">
        <f>"
Do not answer this question if you have provided an employer cash flow entity charity number ("&amp;Questions!$D$768&amp;").
"</f>
        <v xml:space="preserve">
Do not answer this question if you have provided an employer cash flow entity charity number (ECI 3.0/5).
</v>
      </c>
      <c r="H535" s="92" t="str">
        <f>"
The answer must be no more than 510 characters.
"</f>
        <v xml:space="preserve">
The answer must be no more than 510 characters.
</v>
      </c>
      <c r="I535" s="92"/>
      <c r="J535" s="92"/>
    </row>
    <row r="536" spans="1:10" ht="124">
      <c r="A536" s="190" t="s">
        <v>713</v>
      </c>
      <c r="B536" s="92" t="str">
        <f>"
Do not answer this question if the scheme follows a Fast Track approach ("&amp;Questions!$D$5&amp;").
"</f>
        <v xml:space="preserve">
Do not answer this question if the scheme follows a Fast Track approach (SH 13.0).
</v>
      </c>
      <c r="C536"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36"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36"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36" s="92" t="str">
        <f>"
Do not answer this question if you have provided an employer cash flow entity companies house number ("&amp;Questions!$D$767&amp;").
"</f>
        <v xml:space="preserve">
Do not answer this question if you have provided an employer cash flow entity companies house number (ECI 2.0/5).
</v>
      </c>
      <c r="G536" s="92" t="str">
        <f>"
Do not answer this question if you have provided an employer cash flow entity charity number ("&amp;Questions!$D$768&amp;").
"</f>
        <v xml:space="preserve">
Do not answer this question if you have provided an employer cash flow entity charity number (ECI 3.0/5).
</v>
      </c>
      <c r="H536" s="92" t="str">
        <f>"
You must answer this question if the scheme follows a Bespoke approach ("&amp;Questions!$D$5&amp;"), the scheme is not a non-segregated non-associated multi-employer entity ("&amp;Questions!$D$249&amp;"), there are one or more entities that have been considered when determining employer cash flow ("&amp;Questions!$D$725&amp;") and you have not provided an employer cash flow entity Companies House number ("&amp;Questions!$D$767&amp;") or an employer cash flow entity charity number ("&amp;Questions!$D$768&amp;").
"</f>
        <v xml:space="preserve">
You must answer this question if the scheme follows a Bespoke approach (SH 13.0), the scheme is not a non-segregated non-associated multi-employer entity (CSI 4.0), there are one or more entities that have been considered when determining employer cash flow (ECI 0.0) and you have not provided an employer cash flow entity Companies House number (ECI 2.0/5) or an employer cash flow entity charity number (ECI 3.0/5).
</v>
      </c>
      <c r="I536" s="92" t="str">
        <f>"
The answer must be no more than 510 characters.
"</f>
        <v xml:space="preserve">
The answer must be no more than 510 characters.
</v>
      </c>
      <c r="J536" s="92"/>
    </row>
    <row r="537" spans="1:10" ht="124">
      <c r="A537" s="190" t="s">
        <v>715</v>
      </c>
      <c r="B537" s="92" t="str">
        <f>"
Do not answer this question if the scheme follows a Fast Track approach ("&amp;Questions!$D$5&amp;").
"</f>
        <v xml:space="preserve">
Do not answer this question if the scheme follows a Fast Track approach (SH 13.0).
</v>
      </c>
      <c r="C537"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37"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37"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37" s="92" t="str">
        <f>"
Do not answer this question if you have provided an employer cash flow entity companies house number ("&amp;Questions!$D$767&amp;").
"</f>
        <v xml:space="preserve">
Do not answer this question if you have provided an employer cash flow entity companies house number (ECI 2.0/5).
</v>
      </c>
      <c r="G537" s="92" t="str">
        <f>"
Do not answer this question if you have provided an employer cash flow entity charity number ("&amp;Questions!$D$768&amp;").
"</f>
        <v xml:space="preserve">
Do not answer this question if you have provided an employer cash flow entity charity number (ECI 3.0/5).
</v>
      </c>
      <c r="H537" s="92" t="str">
        <f>"
You must answer this question if the scheme follows a Bespoke approach ("&amp;Questions!$D$5&amp;"), the scheme is not a non-segregated non-associated multi-employer entity ("&amp;Questions!$D$249&amp;"), there are one or more entities that have been considered when determining employer cash flow ("&amp;Questions!$D$725&amp;") and you have not provided an employer cash flow entity Companies House number ("&amp;Questions!$D$767&amp;") or an employer cash flow entity charity number ("&amp;Questions!$D$768&amp;").
"</f>
        <v xml:space="preserve">
You must answer this question if the scheme follows a Bespoke approach (SH 13.0), the scheme is not a non-segregated non-associated multi-employer entity (CSI 4.0), there are one or more entities that have been considered when determining employer cash flow (ECI 0.0) and you have not provided an employer cash flow entity Companies House number (ECI 2.0/5) or an employer cash flow entity charity number (ECI 3.0/5).
</v>
      </c>
      <c r="I537" s="92" t="str">
        <f>"
Select 'United Kingdom' if the address is for a UK address, or the relevant country from the drop-down list if not. 
"</f>
        <v xml:space="preserve">
Select 'United Kingdom' if the address is for a UK address, or the relevant country from the drop-down list if not. 
</v>
      </c>
      <c r="J537" s="92"/>
    </row>
    <row r="538" spans="1:10" ht="139.5">
      <c r="A538" s="190" t="s">
        <v>717</v>
      </c>
      <c r="B538" s="92" t="str">
        <f>"
Do not answer this question if the scheme follows a Fast Track approach ("&amp;Questions!$D$5&amp;").
"</f>
        <v xml:space="preserve">
Do not answer this question if the scheme follows a Fast Track approach (SH 13.0).
</v>
      </c>
      <c r="C538" s="92" t="str">
        <f>"
Do not answer this question if the scheme follows a Bespoke approach ("&amp;Questions!$D$5&amp;") and the scheme is a non-segregated non-associated multi-employer entity ("&amp;Questions!$D$249&amp;").
"</f>
        <v xml:space="preserve">
Do not answer this question if the scheme follows a Bespoke approach (SH 13.0) and the scheme is a non-segregated non-associated multi-employer entity (CSI 4.0).
</v>
      </c>
      <c r="D538" s="92" t="str">
        <f>"
Do not answer this question if the scheme follows a Bespoke approach ("&amp;Questions!$D$5&amp;"), the scheme is not a non-segregated non-associated multi-employer entity ("&amp;Questions!$D$249&amp;") and there are no entities that have been considered when determining employer cash flow ("&amp;Questions!$D$725&amp;").
"</f>
        <v xml:space="preserve">
Do not answer this question if the scheme follows a Bespoke approach (SH 13.0), the scheme is not a non-segregated non-associated multi-employer entity (CSI 4.0) and there are no entities that have been considered when determining employer cash flow (ECI 0.0).
</v>
      </c>
      <c r="E538" s="92" t="str">
        <f>"
Do not answer this question if the scheme follows a Bespoke approach ("&amp;Questions!$D$5&amp;"), the scheme is not a non-segregated non-associated multi-employer entity ("&amp;Questions!$D$249&amp;") and you have already provided the details for the entities that have been considered when determining employer cash flow in ("&amp;Questions!$D$725&amp;").
"</f>
        <v xml:space="preserve">
Do not answer this question if the scheme follows a Bespoke approach (SH 13.0), the scheme is not a non-segregated non-associated multi-employer entity (CSI 4.0) and you have already provided the details for the entities that have been considered when determining employer cash flow in (ECI 0.0).
</v>
      </c>
      <c r="F538" s="92" t="str">
        <f>"
Do not answer this question if you have provided an employer cash flow entity companies house number ("&amp;Questions!$D$767&amp;").
"</f>
        <v xml:space="preserve">
Do not answer this question if you have provided an employer cash flow entity companies house number (ECI 2.0/5).
</v>
      </c>
      <c r="G538" s="92" t="str">
        <f>"
Do not answer this question if you have provided an employer cash flow entity charity number ("&amp;Questions!$D$768&amp;").
"</f>
        <v xml:space="preserve">
Do not answer this question if you have provided an employer cash flow entity charity number (ECI 3.0/5).
</v>
      </c>
      <c r="H538" s="92" t="str">
        <f>"
You must answer this question if the scheme follows a Bespoke approach ("&amp;Questions!$D$5&amp;"), the scheme is not a non-segregated non-associated multi-employer entity ("&amp;Questions!$D$249&amp;"), there are one or more entities that have been considered when determining employer cash flow ("&amp;Questions!$D$725&amp;") and you have not provided an employer cash flow entity Companies House number ("&amp;Questions!$D$727&amp;") or an employer cash flow entity charity number ("&amp;Questions!$D$728&amp;") and the country is United Kingdom ("&amp;Questions!$D$774&amp;").
"</f>
        <v xml:space="preserve">
You must answer this question if the scheme follows a Bespoke approach (SH 13.0), the scheme is not a non-segregated non-associated multi-employer entity (CSI 4.0), there are one or more entities that have been considered when determining employer cash flow (ECI 0.0) and you have not provided an employer cash flow entity Companies House number (ECI 2.0/1) or an employer cash flow entity charity number (ECI 3.0/1) and the country is United Kingdom (ECI 9.0/5).
</v>
      </c>
      <c r="I538" s="92" t="str">
        <f>"
The answer must be a valid postcode with between 5 and 8 characters.
"</f>
        <v xml:space="preserve">
The answer must be a valid postcode with between 5 and 8 characters.
</v>
      </c>
      <c r="J538" s="92"/>
    </row>
    <row r="539" spans="1:10" ht="108.5">
      <c r="A539" s="190" t="s">
        <v>3494</v>
      </c>
      <c r="B539" s="92" t="str">
        <f>"
Do not answer this question if the scheme follows a Fast Track approach ("&amp;Questions!$D$5&amp;").
"</f>
        <v xml:space="preserve">
Do not answer this question if the scheme follows a Fast Track approach (SH 13.0).
</v>
      </c>
      <c r="C539" s="92" t="str">
        <f>"
Do not answer this question if the valuation is pre-relevant date ("&amp;Questions!$D$14&amp;") and the scheme is a 'non-segregated non-associated multi-employer scheme' ("&amp;Questions!$D$249&amp;").
"</f>
        <v xml:space="preserve">
Do not answer this question if the valuation is pre-relevant date (SH 10.0) and the scheme is a 'non-segregated non-associated multi-employer scheme' (CSI 4.0).
</v>
      </c>
      <c r="D539" s="92" t="str">
        <f>"
You must answer this question if you are a scheme following a Bespoke approach ("&amp;Questions!$D$5&amp;") with a pre-relevant date valuation ("&amp;Questions!$D$14&amp;") and the scheme is not a 'non-segregated non-associated multi employer scheme' ("&amp;Questions!$D$249&amp;").
"</f>
        <v xml:space="preserve">
You must answer this question if you are a scheme following a Bespoke approach (SH 13.0) with a pre-relevant date valuation (SH 10.0) and the scheme is not a 'non-segregated non-associated multi employer scheme' (CSI 4.0).
</v>
      </c>
      <c r="E539" s="92" t="str">
        <f>"
Do not answer this question if the valuation is post-relevant date ("&amp;Questions!$D$14&amp;") and the scheme is a 'non-segregated non-associated multi-employer scheme' ("&amp;Questions!$D$249&amp;").
"</f>
        <v xml:space="preserve">
Do not answer this question if the valuation is post-relevant date (SH 10.0) and the scheme is a 'non-segregated non-associated multi-employer scheme' (CSI 4.0).
</v>
      </c>
      <c r="F539" s="92" t="str">
        <f>"
Do not answer this question if the valuation is post-relevant date ("&amp;Questions!$D$14&amp;"), the scheme is not a 'non-segregated non-associated multi-employer scheme' ("&amp;Questions!$D$249&amp;") and the scheme meets the ‘Bespoke low-level risk’ requirements ("&amp;Questions!$D$6&amp;").
"</f>
        <v xml:space="preserve">
Do not answer this question if the valuation is post-relevant date (SH 10.0), the scheme is not a 'non-segregated non-associated multi-employer scheme' (CSI 4.0) and the scheme meets the ‘Bespoke low-level risk’ requirements (SH 14.0).
</v>
      </c>
      <c r="G539" s="92" t="str">
        <f>"
You must answer this question if you are a scheme following a Bespoke approach ("&amp;Questions!$D$5&amp;") with a post-relevant date valuation ("&amp;Questions!$D$14&amp;"), the scheme does not meet the ‘Bespoke low-level risk’ requirements ("&amp;Questions!$D$6&amp;"), and  the scheme is not a 'non-segregated non-associated multi-employer scheme' ("&amp;Questions!$D$249&amp;").
"</f>
        <v xml:space="preserve">
You must answer this question if you are a scheme following a Bespoke approach (SH 13.0) with a post-relevant date valuation (SH 10.0), the scheme does not meet the ‘Bespoke low-level risk’ requirements (SH 14.0), and  the scheme is not a 'non-segregated non-associated multi-employer scheme' (CSI 4.0).
</v>
      </c>
      <c r="H539" s="92" t="str">
        <f>"
Select one of the following options form the drop-down list:
•            Adjusted cash flows
•            Adjusted profit before tax
•            Adjusted EBITDA
•            Other
"</f>
        <v xml:space="preserve">
Select one of the following options form the drop-down list:
•            Adjusted cash flows
•            Adjusted profit before tax
•            Adjusted EBITDA
•            Other
</v>
      </c>
      <c r="I539" s="92"/>
      <c r="J539" s="92"/>
    </row>
    <row r="540" spans="1:10" ht="62">
      <c r="A540" s="190" t="s">
        <v>3495</v>
      </c>
      <c r="B540" s="92" t="str">
        <f>"
This field is only required when ‘Other’ has been selected as the Employer cash flow: basis of assessment  ("&amp;Questions!$D$212&amp;").
"</f>
        <v xml:space="preserve">
This field is only required when ‘Other’ has been selected as the Employer cash flow: basis of assessment  (ECI 11.0).
</v>
      </c>
      <c r="C540" s="92" t="str">
        <f>"
You must answer this question if you selected ‘Other’ as the Employer cash flow: basis of assessment ("&amp;Questions!$D$212&amp;").
"</f>
        <v xml:space="preserve">
You must answer this question if you selected ‘Other’ as the Employer cash flow: basis of assessment (ECI 11.0).
</v>
      </c>
      <c r="D540" s="92" t="str">
        <f>"
The answer must be no more than 4000 characters.
"</f>
        <v xml:space="preserve">
The answer must be no more than 4000 characters.
</v>
      </c>
      <c r="E540" s="92"/>
      <c r="F540" s="92"/>
      <c r="G540" s="92"/>
      <c r="H540" s="92"/>
      <c r="I540" s="92"/>
      <c r="J540" s="92"/>
    </row>
    <row r="541" spans="1:10" ht="108.5">
      <c r="A541" s="190" t="s">
        <v>3496</v>
      </c>
      <c r="B541" s="92" t="str">
        <f>"
Do not answer this question if the scheme follows a Fast Track approach ("&amp;Questions!$D$5&amp;").
"</f>
        <v xml:space="preserve">
Do not answer this question if the scheme follows a Fast Track approach (SH 13.0).
</v>
      </c>
      <c r="C541" s="92" t="str">
        <f>"
Do not answer this question if the valuation is pre-relevant date ("&amp;Questions!$D$14&amp;") and the scheme is a 'non-segregated non-associated multi-employer scheme' ("&amp;Questions!$D$249&amp;").
"</f>
        <v xml:space="preserve">
Do not answer this question if the valuation is pre-relevant date (SH 10.0) and the scheme is a 'non-segregated non-associated multi-employer scheme' (CSI 4.0).
</v>
      </c>
      <c r="D541" s="92" t="str">
        <f>"
You must answer this question if you are a scheme following a Bespoke approach ("&amp;Questions!$D$5&amp;") with a pre-relevant date valuation ("&amp;Questions!$D$14&amp;") and the scheme is not a 'non-segregated non-associated multi employer scheme' ("&amp;Questions!$D$249&amp;").
"</f>
        <v xml:space="preserve">
You must answer this question if you are a scheme following a Bespoke approach (SH 13.0) with a pre-relevant date valuation (SH 10.0) and the scheme is not a 'non-segregated non-associated multi employer scheme' (CSI 4.0).
</v>
      </c>
      <c r="E541" s="92" t="str">
        <f>"
Do not answer this question if the valuation is post-relevant date ("&amp;Questions!$D$14&amp;") and the scheme is a 'non-segregated non-associated multi-employer scheme' ("&amp;Questions!$D$249&amp;").
"</f>
        <v xml:space="preserve">
Do not answer this question if the valuation is post-relevant date (SH 10.0) and the scheme is a 'non-segregated non-associated multi-employer scheme' (CSI 4.0).
</v>
      </c>
      <c r="F541" s="92" t="str">
        <f>"
Do not answer this question if the valuation is post-relevant date ("&amp;Questions!$D$14&amp;") and the scheme meets the ‘Bespoke low-level risk’ requirements ("&amp;Questions!$D$6&amp;").
"</f>
        <v xml:space="preserve">
Do not answer this question if the valuation is post-relevant date (SH 10.0) and the scheme meets the ‘Bespoke low-level risk’ requirements (SH 14.0).
</v>
      </c>
      <c r="G541" s="92" t="str">
        <f>"
You must answer this question if you are a scheme following a Bespoke approach ("&amp;Questions!$D$5&amp;") with a post-relevant date valuation ("&amp;Questions!$D$14&amp;"), the scheme does not meet the ‘Bespoke low-level risk’ requirements ("&amp;Questions!$D$6&amp;"), and  the scheme is not a 'non-segregated non-associated multi-employer scheme' ("&amp;Questions!$D$249&amp;").
"</f>
        <v xml:space="preserve">
You must answer this question if you are a scheme following a Bespoke approach (SH 13.0) with a post-relevant date valuation (SH 10.0), the scheme does not meet the ‘Bespoke low-level risk’ requirements (SH 14.0), and  the scheme is not a 'non-segregated non-associated multi-employer scheme' (CSI 4.0).
</v>
      </c>
      <c r="H541" s="92" t="str">
        <f>"
Enter a value greater than - 1,000,000,000,000 (minus 1 trillion) and less than 1,000,000,000,000 (1 trillion). It can be accurate to two decimal places. "</f>
        <v xml:space="preserve">
Enter a value greater than - 1,000,000,000,000 (minus 1 trillion) and less than 1,000,000,000,000 (1 trillion). It can be accurate to two decimal places. </v>
      </c>
      <c r="I541" s="92"/>
      <c r="J541" s="92"/>
    </row>
    <row r="542" spans="1:10" ht="108.5">
      <c r="A542" s="190" t="s">
        <v>3497</v>
      </c>
      <c r="B542" s="92" t="str">
        <f>"
Do not answer this question if the scheme follows a Fast Track approach ("&amp;Questions!$D$5&amp;").
"</f>
        <v xml:space="preserve">
Do not answer this question if the scheme follows a Fast Track approach (SH 13.0).
</v>
      </c>
      <c r="C542" s="92" t="str">
        <f>"
Do not answer this question if the valuation is pre-relevant date ("&amp;Questions!$D$14&amp;") and the scheme is a 'non-segregated non-associated multi-employer scheme' ("&amp;Questions!$D$249&amp;").
"</f>
        <v xml:space="preserve">
Do not answer this question if the valuation is pre-relevant date (SH 10.0) and the scheme is a 'non-segregated non-associated multi-employer scheme' (CSI 4.0).
</v>
      </c>
      <c r="D542" s="92" t="str">
        <f>"
You must answer this question if you are a scheme following a Bespoke approach ("&amp;Questions!$D$5&amp;") with a pre-relevant date valuation ("&amp;Questions!$D$14&amp;") and the scheme is not a 'non-segregated non-associated multi employer scheme' ("&amp;Questions!$D$249&amp;").
"</f>
        <v xml:space="preserve">
You must answer this question if you are a scheme following a Bespoke approach (SH 13.0) with a pre-relevant date valuation (SH 10.0) and the scheme is not a 'non-segregated non-associated multi employer scheme' (CSI 4.0).
</v>
      </c>
      <c r="E542" s="92" t="str">
        <f>"
Do not answer this question if the valuation is post-relevant date ("&amp;Questions!$D$14&amp;") and the scheme is a 'non-segregated non-associated multi-employer scheme' ("&amp;Questions!$D$249&amp;").
"</f>
        <v xml:space="preserve">
Do not answer this question if the valuation is post-relevant date (SH 10.0) and the scheme is a 'non-segregated non-associated multi-employer scheme' (CSI 4.0).
</v>
      </c>
      <c r="F542" s="92" t="str">
        <f>"
Do not answer this question if the valuation is post-relevant date ("&amp;Questions!$D$14&amp;"), the scheme is not a 'non-segregated non-associated multi-employer scheme' ("&amp;Questions!$D$249&amp;") and the scheme meets the ‘Bespoke low-level risk’ requirements ("&amp;Questions!$D$6&amp;").
"</f>
        <v xml:space="preserve">
Do not answer this question if the valuation is post-relevant date (SH 10.0), the scheme is not a 'non-segregated non-associated multi-employer scheme' (CSI 4.0) and the scheme meets the ‘Bespoke low-level risk’ requirements (SH 14.0).
</v>
      </c>
      <c r="G542" s="92" t="str">
        <f>"
You must answer this question if you are a scheme following a Bespoke approach ("&amp;Questions!$D$5&amp;") with a post-relevant date valuation ("&amp;Questions!$D$14&amp;"), the scheme does not meet the ‘Bespoke low-level risk’ requirements ("&amp;Questions!$D$6&amp;"), and  the scheme is not a 'non-segregated non-associated multi-employer scheme' ("&amp;Questions!$D$249&amp;").
"</f>
        <v xml:space="preserve">
You must answer this question if you are a scheme following a Bespoke approach (SH 13.0) with a post-relevant date valuation (SH 10.0), the scheme does not meet the ‘Bespoke low-level risk’ requirements (SH 14.0), and  the scheme is not a 'non-segregated non-associated multi-employer scheme' (CSI 4.0).
</v>
      </c>
      <c r="H542" s="92" t="str">
        <f>"
Enter a value greater than - 1,000,000,000,000 (minus 1 trillion) and less than 1,000,000,000,000 (1 trillion). It can be accurate to two decimal places. 
"</f>
        <v xml:space="preserve">
Enter a value greater than - 1,000,000,000,000 (minus 1 trillion) and less than 1,000,000,000,000 (1 trillion). It can be accurate to two decimal places. 
</v>
      </c>
      <c r="I542" s="92"/>
      <c r="J542" s="92"/>
    </row>
    <row r="543" spans="1:10" ht="108.5">
      <c r="A543" s="190" t="s">
        <v>3498</v>
      </c>
      <c r="B543" s="92" t="str">
        <f>"
Do not answer this question if the scheme follows a Fast Track approach ("&amp;Questions!$D$5&amp;").
"</f>
        <v xml:space="preserve">
Do not answer this question if the scheme follows a Fast Track approach (SH 13.0).
</v>
      </c>
      <c r="C543" s="92" t="str">
        <f>"
Do not answer this question if the valuation is pre-relevant date ("&amp;Questions!$D$14&amp;") and the scheme is a 'non-segregated non-associated multi-employer scheme' ("&amp;Questions!$D$249&amp;").
"</f>
        <v xml:space="preserve">
Do not answer this question if the valuation is pre-relevant date (SH 10.0) and the scheme is a 'non-segregated non-associated multi-employer scheme' (CSI 4.0).
</v>
      </c>
      <c r="D543" s="92" t="str">
        <f>"
You must answer this question if you are a scheme following a Bespoke approach ("&amp;Questions!$D$5&amp;") with a pre-relevant date valuation ("&amp;Questions!$D$14&amp;") and the scheme is not a 'non-segregated non-associated multi employer scheme' ("&amp;Questions!$D$249&amp;").
"</f>
        <v xml:space="preserve">
You must answer this question if you are a scheme following a Bespoke approach (SH 13.0) with a pre-relevant date valuation (SH 10.0) and the scheme is not a 'non-segregated non-associated multi employer scheme' (CSI 4.0).
</v>
      </c>
      <c r="E543" s="92" t="str">
        <f>"
Do not answer this question if the valuation is post-relevant date ("&amp;Questions!$D$14&amp;") and the scheme is a 'non-segregated non-associated multi-employer scheme' ("&amp;Questions!$D$249&amp;").
"</f>
        <v xml:space="preserve">
Do not answer this question if the valuation is post-relevant date (SH 10.0) and the scheme is a 'non-segregated non-associated multi-employer scheme' (CSI 4.0).
</v>
      </c>
      <c r="F543" s="92" t="str">
        <f>"
Do not answer this question if the valuation is post-relevant date ("&amp;Questions!$D$14&amp;"), the scheme is not a 'non-segregated non-associated multi-employer scheme' ("&amp;Questions!$D$249&amp;") and the scheme meets the ‘Bespoke low-level risk’ requirements ("&amp;Questions!$D$6&amp;").
"</f>
        <v xml:space="preserve">
Do not answer this question if the valuation is post-relevant date (SH 10.0), the scheme is not a 'non-segregated non-associated multi-employer scheme' (CSI 4.0) and the scheme meets the ‘Bespoke low-level risk’ requirements (SH 14.0).
</v>
      </c>
      <c r="G543" s="92" t="str">
        <f>"
You must answer this question if you are a scheme following a Bespoke approach ("&amp;Questions!$D$5&amp;") with a post-relevant date valuation ("&amp;Questions!$D$14&amp;"), the scheme does not meet the ‘Bespoke low-level risk’ requirements ("&amp;Questions!$D$6&amp;"), and  the scheme is not a 'non-segregated non-associated multi-employer scheme' ("&amp;Questions!$D$249&amp;").
"</f>
        <v xml:space="preserve">
You must answer this question if you are a scheme following a Bespoke approach (SH 13.0) with a post-relevant date valuation (SH 10.0), the scheme does not meet the ‘Bespoke low-level risk’ requirements (SH 14.0), and  the scheme is not a 'non-segregated non-associated multi-employer scheme' (CSI 4.0).
</v>
      </c>
      <c r="H543" s="92" t="str">
        <f>"
Enter a value greater than - 1,000,000,000,000 (minus 1 trillion) and less than 1,000,000,000,000 (1 trillion). It can be accurate to two decimal places. 
"</f>
        <v xml:space="preserve">
Enter a value greater than - 1,000,000,000,000 (minus 1 trillion) and less than 1,000,000,000,000 (1 trillion). It can be accurate to two decimal places. 
</v>
      </c>
      <c r="I543" s="92"/>
      <c r="J543" s="92"/>
    </row>
    <row r="544" spans="1:10" ht="93">
      <c r="A544" s="190" t="s">
        <v>3499</v>
      </c>
      <c r="B544" s="92" t="str">
        <f>"
Do not answer this question if the scheme follows a Fast Track approach ("&amp;Questions!$D$5&amp;").
"</f>
        <v xml:space="preserve">
Do not answer this question if the scheme follows a Fast Track approach (SH 13.0).
</v>
      </c>
      <c r="C544" s="92" t="str">
        <f>"
Do not answer this question if the valuation is pre-relevant date ("&amp;Questions!$D$14&amp;") and the recovery plan is not longer than the reliability period or more than six years ("&amp;Questions!$D$215&amp;").
"</f>
        <v xml:space="preserve">
Do not answer this question if the valuation is pre-relevant date (SH 10.0) and the recovery plan is not longer than the reliability period or more than six years (CSI 26.0).
</v>
      </c>
      <c r="D544" s="92" t="str">
        <f>"
You must answer this question if you are a scheme follows a Bespoke approach ("&amp;Questions!$D$5&amp;") with a pre-relevant date valuation ("&amp;Questions!$D$14&amp;") and the recovery plan is longer than the reliability period or more than six years  ("&amp;Questions!$D$215&amp;"). 
"</f>
        <v xml:space="preserve">
You must answer this question if you are a scheme follows a Bespoke approach (SH 13.0) with a pre-relevant date valuation (SH 10.0) and the recovery plan is longer than the reliability period or more than six years  (CSI 26.0). 
</v>
      </c>
      <c r="E544" s="92" t="str">
        <f>"
Do not answer this question if the valuation is post-relevant date ("&amp;Questions!$D$14&amp;") and the recovery plan is not longer than the reliability period or more than three years ("&amp;Questions!$D$216&amp;").
"</f>
        <v xml:space="preserve">
Do not answer this question if the valuation is post-relevant date (SH 10.0) and the recovery plan is not longer than the reliability period or more than three years (CSI 27.0).
</v>
      </c>
      <c r="F544" s="92" t="str">
        <f>"
You must answer this question if the scheme follows a Bespoke approach ("&amp;Questions!$D$5&amp;") with a post-relevant date valuation ("&amp;Questions!$D$14&amp;") and the recovery plan is longer than the reliability period or more than three years ("&amp;Questions!$D$216&amp;"). 
"</f>
        <v xml:space="preserve">
You must answer this question if the scheme follows a Bespoke approach (SH 13.0) with a post-relevant date valuation (SH 10.0) and the recovery plan is longer than the reliability period or more than three years (CSI 27.0). 
</v>
      </c>
      <c r="G544" s="92" t="str">
        <f>"
Enter a value greater than -1,000,000,000, 000 (minus 1 trillion) and less than or equal to 0. It can be accurate to two decimal places. 
"</f>
        <v xml:space="preserve">
Enter a value greater than -1,000,000,000, 000 (minus 1 trillion) and less than or equal to 0. It can be accurate to two decimal places. 
</v>
      </c>
      <c r="H544" s="92"/>
      <c r="I544" s="92"/>
      <c r="J544" s="92"/>
    </row>
    <row r="545" spans="1:10" ht="93">
      <c r="A545" s="190" t="s">
        <v>3500</v>
      </c>
      <c r="B545" s="92" t="str">
        <f>"
Do not answer this question if the scheme follows a Fast Track approach ("&amp;Questions!$D$5&amp;").
"</f>
        <v xml:space="preserve">
Do not answer this question if the scheme follows a Fast Track approach (SH 13.0).
</v>
      </c>
      <c r="C545" s="92" t="str">
        <f>"
Do not answer this question if the valuation is pre-relevant date ("&amp;Questions!$D$14&amp;") and the recovery plan is not longer than the reliability period or more than six years ("&amp;Questions!$D$215&amp;").
"</f>
        <v xml:space="preserve">
Do not answer this question if the valuation is pre-relevant date (SH 10.0) and the recovery plan is not longer than the reliability period or more than six years (CSI 26.0).
</v>
      </c>
      <c r="D545" s="92" t="str">
        <f>"
You must answer this question if you are a scheme follows a Bespoke approach ("&amp;Questions!$D$5&amp;") with a pre-relevant date valuation ("&amp;Questions!$D$14&amp;") and the recovery plan is longer than the reliability period or more than six years  ("&amp;Questions!$D$215&amp;"). 
"</f>
        <v xml:space="preserve">
You must answer this question if you are a scheme follows a Bespoke approach (SH 13.0) with a pre-relevant date valuation (SH 10.0) and the recovery plan is longer than the reliability period or more than six years  (CSI 26.0). 
</v>
      </c>
      <c r="E545" s="92" t="str">
        <f>"
Do not answer this question if the valuation is post-relevant date ("&amp;Questions!$D$14&amp;") and the recovery plan is not longer than the reliability period or more than three years ("&amp;Questions!$D$216&amp;").
"</f>
        <v xml:space="preserve">
Do not answer this question if the valuation is post-relevant date (SH 10.0) and the recovery plan is not longer than the reliability period or more than three years (CSI 27.0).
</v>
      </c>
      <c r="F545" s="92" t="str">
        <f>"
You must answer this question if the scheme follows a Bespoke approach ("&amp;Questions!$D$5&amp;") with a post-relevant date valuation ("&amp;Questions!$D$14&amp;") and the recovery plan is longer than the reliability period or more than three years ("&amp;Questions!$D$216&amp;"). 
"</f>
        <v xml:space="preserve">
You must answer this question if the scheme follows a Bespoke approach (SH 13.0) with a post-relevant date valuation (SH 10.0) and the recovery plan is longer than the reliability period or more than three years (CSI 27.0). 
</v>
      </c>
      <c r="G545" s="92" t="str">
        <f t="shared" ref="G545:G549" si="21">"
Enter a value greater than -1,000,000,000, 000 (minus 1 trillion) and less than or equal to 0. It can be accurate to two decimal places. 
"</f>
        <v xml:space="preserve">
Enter a value greater than -1,000,000,000, 000 (minus 1 trillion) and less than or equal to 0. It can be accurate to two decimal places. 
</v>
      </c>
      <c r="H545" s="92"/>
      <c r="I545" s="92"/>
      <c r="J545" s="92"/>
    </row>
    <row r="546" spans="1:10" ht="93">
      <c r="A546" s="190" t="s">
        <v>3501</v>
      </c>
      <c r="B546" s="92" t="str">
        <f>"
Do not answer this question if the scheme follows a Fast Track approach ("&amp;Questions!$D$5&amp;").
"</f>
        <v xml:space="preserve">
Do not answer this question if the scheme follows a Fast Track approach (SH 13.0).
</v>
      </c>
      <c r="C546" s="92" t="str">
        <f>"
Do not answer this question if the valuation is pre-relevant date ("&amp;Questions!$D$14&amp;") and the recovery plan is not longer than the reliability period or more than six years ("&amp;Questions!$D$215&amp;").
"</f>
        <v xml:space="preserve">
Do not answer this question if the valuation is pre-relevant date (SH 10.0) and the recovery plan is not longer than the reliability period or more than six years (CSI 26.0).
</v>
      </c>
      <c r="D546" s="92" t="str">
        <f>"
You must answer this question if you are a scheme follows a Bespoke approach ("&amp;Questions!$D$5&amp;") with a pre-relevant date valuation ("&amp;Questions!$D$14&amp;") and the recovery plan is longer than the reliability period or more than six years  ("&amp;Questions!$D$215&amp;"). 
"</f>
        <v xml:space="preserve">
You must answer this question if you are a scheme follows a Bespoke approach (SH 13.0) with a pre-relevant date valuation (SH 10.0) and the recovery plan is longer than the reliability period or more than six years  (CSI 26.0). 
</v>
      </c>
      <c r="E546" s="92" t="str">
        <f>"
Do not answer this question if the valuation is post-relevant date ("&amp;Questions!$D$14&amp;") and the recovery plan is not longer than the reliability period or more than three years ("&amp;Questions!$D$216&amp;").
"</f>
        <v xml:space="preserve">
Do not answer this question if the valuation is post-relevant date (SH 10.0) and the recovery plan is not longer than the reliability period or more than three years (CSI 27.0).
</v>
      </c>
      <c r="F546" s="92" t="str">
        <f>"
You must answer this question if the scheme follows a Bespoke approach ("&amp;Questions!$D$5&amp;") with a post-relevant date valuation ("&amp;Questions!$D$14&amp;") and the recovery plan is longer than the reliability period or more than three years ("&amp;Questions!$D$216&amp;"). 
"</f>
        <v xml:space="preserve">
You must answer this question if the scheme follows a Bespoke approach (SH 13.0) with a post-relevant date valuation (SH 10.0) and the recovery plan is longer than the reliability period or more than three years (CSI 27.0). 
</v>
      </c>
      <c r="G546" s="92" t="str">
        <f t="shared" si="21"/>
        <v xml:space="preserve">
Enter a value greater than -1,000,000,000, 000 (minus 1 trillion) and less than or equal to 0. It can be accurate to two decimal places. 
</v>
      </c>
      <c r="H546" s="92"/>
      <c r="I546" s="92"/>
      <c r="J546" s="92"/>
    </row>
    <row r="547" spans="1:10" ht="93">
      <c r="A547" s="190" t="s">
        <v>3502</v>
      </c>
      <c r="B547" s="92" t="str">
        <f>"
Do not answer this question if the scheme follows a Fast Track approach ("&amp;Questions!$D$5&amp;").
"</f>
        <v xml:space="preserve">
Do not answer this question if the scheme follows a Fast Track approach (SH 13.0).
</v>
      </c>
      <c r="C547" s="92" t="str">
        <f>"
Do not answer this question if the valuation is pre-relevant date ("&amp;Questions!$D$14&amp;") and the recovery plan is not longer than the reliability period or more than six years ("&amp;Questions!$D$215&amp;").
"</f>
        <v xml:space="preserve">
Do not answer this question if the valuation is pre-relevant date (SH 10.0) and the recovery plan is not longer than the reliability period or more than six years (CSI 26.0).
</v>
      </c>
      <c r="D547" s="92" t="str">
        <f>"
You must answer this question if you are a scheme follows a Bespoke approach ("&amp;Questions!$D$5&amp;") with a pre-relevant date valuation ("&amp;Questions!$D$14&amp;") and the recovery plan is longer than the reliability period or more than six years  ("&amp;Questions!$D$215&amp;"). 
"</f>
        <v xml:space="preserve">
You must answer this question if you are a scheme follows a Bespoke approach (SH 13.0) with a pre-relevant date valuation (SH 10.0) and the recovery plan is longer than the reliability period or more than six years  (CSI 26.0). 
</v>
      </c>
      <c r="E547" s="92" t="str">
        <f>"
Do not answer this question if the valuation is post-relevant date ("&amp;Questions!$D$14&amp;") and the recovery plan is not longer than the reliability period or more than three years ("&amp;Questions!$D$216&amp;").
"</f>
        <v xml:space="preserve">
Do not answer this question if the valuation is post-relevant date (SH 10.0) and the recovery plan is not longer than the reliability period or more than three years (CSI 27.0).
</v>
      </c>
      <c r="F547" s="92" t="str">
        <f>"
You must answer this question if the scheme follows a Bespoke approach ("&amp;Questions!$D$5&amp;") with a post-relevant date valuation ("&amp;Questions!$D$14&amp;") and the recovery plan is longer than the reliability period or more than three years ("&amp;Questions!$D$216&amp;"). 
"</f>
        <v xml:space="preserve">
You must answer this question if the scheme follows a Bespoke approach (SH 13.0) with a post-relevant date valuation (SH 10.0) and the recovery plan is longer than the reliability period or more than three years (CSI 27.0). 
</v>
      </c>
      <c r="G547" s="92" t="str">
        <f t="shared" si="21"/>
        <v xml:space="preserve">
Enter a value greater than -1,000,000,000, 000 (minus 1 trillion) and less than or equal to 0. It can be accurate to two decimal places. 
</v>
      </c>
      <c r="H547" s="92"/>
      <c r="I547" s="92"/>
      <c r="J547" s="92"/>
    </row>
    <row r="548" spans="1:10" ht="93">
      <c r="A548" s="190" t="s">
        <v>3503</v>
      </c>
      <c r="B548" s="92" t="str">
        <f>"
Do not answer this question if the scheme follows a Fast Track approach ("&amp;Questions!$D$5&amp;").
"</f>
        <v xml:space="preserve">
Do not answer this question if the scheme follows a Fast Track approach (SH 13.0).
</v>
      </c>
      <c r="C548" s="92" t="str">
        <f>"
Do not answer this question if the valuation is pre-relevant date ("&amp;Questions!$D$14&amp;") and the recovery plan is not longer than the reliability period or more than six years ("&amp;Questions!$D$215&amp;").
"</f>
        <v xml:space="preserve">
Do not answer this question if the valuation is pre-relevant date (SH 10.0) and the recovery plan is not longer than the reliability period or more than six years (CSI 26.0).
</v>
      </c>
      <c r="D548" s="92" t="str">
        <f>"
You must answer this question if you are a scheme follows a Bespoke approach ("&amp;Questions!$D$5&amp;") with a pre-relevant date valuation ("&amp;Questions!$D$14&amp;") and the recovery plan is longer than the reliability period or more than six years  ("&amp;Questions!$D$215&amp;"). 
"</f>
        <v xml:space="preserve">
You must answer this question if you are a scheme follows a Bespoke approach (SH 13.0) with a pre-relevant date valuation (SH 10.0) and the recovery plan is longer than the reliability period or more than six years  (CSI 26.0). 
</v>
      </c>
      <c r="E548" s="92" t="str">
        <f>"
Do not answer this question if the valuation is post-relevant date ("&amp;Questions!$D$14&amp;") and the recovery plan is not longer than the reliability period or more than three years ("&amp;Questions!$D$216&amp;").
"</f>
        <v xml:space="preserve">
Do not answer this question if the valuation is post-relevant date (SH 10.0) and the recovery plan is not longer than the reliability period or more than three years (CSI 27.0).
</v>
      </c>
      <c r="F548" s="92" t="str">
        <f>"
You must answer this question if the scheme follows a Bespoke approach ("&amp;Questions!$D$5&amp;") with a post-relevant date valuation ("&amp;Questions!$D$14&amp;") and the recovery plan is longer than the reliability period or more than three years ("&amp;Questions!$D$216&amp;"). 
"</f>
        <v xml:space="preserve">
You must answer this question if the scheme follows a Bespoke approach (SH 13.0) with a post-relevant date valuation (SH 10.0) and the recovery plan is longer than the reliability period or more than three years (CSI 27.0). 
</v>
      </c>
      <c r="G548" s="92" t="str">
        <f t="shared" si="21"/>
        <v xml:space="preserve">
Enter a value greater than -1,000,000,000, 000 (minus 1 trillion) and less than or equal to 0. It can be accurate to two decimal places. 
</v>
      </c>
      <c r="H548" s="92"/>
      <c r="I548" s="92"/>
      <c r="J548" s="92"/>
    </row>
    <row r="549" spans="1:10" ht="93">
      <c r="A549" s="190" t="s">
        <v>3504</v>
      </c>
      <c r="B549" s="92" t="str">
        <f>"
Do not answer this question if the scheme follows a Fast Track approach ("&amp;Questions!$D$5&amp;").
"</f>
        <v xml:space="preserve">
Do not answer this question if the scheme follows a Fast Track approach (SH 13.0).
</v>
      </c>
      <c r="C549" s="92" t="str">
        <f>"
Do not answer this question if the valuation is pre-relevant date ("&amp;Questions!$D$14&amp;") and the recovery plan is not longer than the reliability period or more than six years ("&amp;Questions!$D$215&amp;").
"</f>
        <v xml:space="preserve">
Do not answer this question if the valuation is pre-relevant date (SH 10.0) and the recovery plan is not longer than the reliability period or more than six years (CSI 26.0).
</v>
      </c>
      <c r="D549" s="92" t="str">
        <f>"
You must answer this question if you are a scheme follows a Bespoke approach ("&amp;Questions!$D$5&amp;") with a pre-relevant date valuation ("&amp;Questions!$D$14&amp;") and the recovery plan is longer than the reliability period or more than six years  ("&amp;Questions!$D$215&amp;"). 
"</f>
        <v xml:space="preserve">
You must answer this question if you are a scheme follows a Bespoke approach (SH 13.0) with a pre-relevant date valuation (SH 10.0) and the recovery plan is longer than the reliability period or more than six years  (CSI 26.0). 
</v>
      </c>
      <c r="E549" s="92" t="str">
        <f>"
Do not answer this question if the valuation is post-relevant date ("&amp;Questions!$D$14&amp;") and the recovery plan is not longer than the reliability period or more than three years ("&amp;Questions!$D$216&amp;").
"</f>
        <v xml:space="preserve">
Do not answer this question if the valuation is post-relevant date (SH 10.0) and the recovery plan is not longer than the reliability period or more than three years (CSI 27.0).
</v>
      </c>
      <c r="F549" s="92" t="str">
        <f>"
You must answer this question if the scheme follows a Bespoke approach ("&amp;Questions!$D$5&amp;") with a post-relevant date valuation ("&amp;Questions!$D$14&amp;") and the recovery plan is longer than the reliability period or more than three years ("&amp;Questions!$D$216&amp;"). 
"</f>
        <v xml:space="preserve">
You must answer this question if the scheme follows a Bespoke approach (SH 13.0) with a post-relevant date valuation (SH 10.0) and the recovery plan is longer than the reliability period or more than three years (CSI 27.0). 
</v>
      </c>
      <c r="G549" s="92" t="str">
        <f t="shared" si="21"/>
        <v xml:space="preserve">
Enter a value greater than -1,000,000,000, 000 (minus 1 trillion) and less than or equal to 0. It can be accurate to two decimal places. 
</v>
      </c>
      <c r="H549" s="92"/>
      <c r="I549" s="92"/>
      <c r="J549" s="92"/>
    </row>
    <row r="550" spans="1:10" ht="93">
      <c r="A550" s="190" t="s">
        <v>3505</v>
      </c>
      <c r="B550" s="92" t="str">
        <f>"
Do not answer this question if the scheme follows a Fast Track approach ("&amp;Questions!$D$5&amp;").
"</f>
        <v xml:space="preserve">
Do not answer this question if the scheme follows a Fast Track approach (SH 13.0).
</v>
      </c>
      <c r="C550" s="92" t="str">
        <f>"
Do not answer this question if the valuation is pre-relevant date ("&amp;Questions!$D$14&amp;") and the recovery plan is not longer than the reliability period or more than six years ("&amp;Questions!$D$215&amp;").
"</f>
        <v xml:space="preserve">
Do not answer this question if the valuation is pre-relevant date (SH 10.0) and the recovery plan is not longer than the reliability period or more than six years (CSI 26.0).
</v>
      </c>
      <c r="D550" s="92" t="str">
        <f>"
You must answer this question if the scheme follows a Bespoke approach ("&amp;Questions!$D$5&amp;") with a pre-relevant date valuation ("&amp;Questions!$D$14&amp;") and the recovery plan is longer than the reliability period or more than six years ("&amp;Questions!$D$215&amp;"). 
"</f>
        <v xml:space="preserve">
You must answer this question if the scheme follows a Bespoke approach (SH 13.0) with a pre-relevant date valuation (SH 10.0) and the recovery plan is longer than the reliability period or more than six years (CSI 26.0). 
</v>
      </c>
      <c r="E550" s="92" t="str">
        <f>"
Do not answer this question if the valuation is post-relevant date ("&amp;Questions!$D$14&amp;") and the recovery plan is not longer than the reliability period or more than three years ("&amp;Questions!$D$216&amp;").
"</f>
        <v xml:space="preserve">
Do not answer this question if the valuation is post-relevant date (SH 10.0) and the recovery plan is not longer than the reliability period or more than three years (CSI 27.0).
</v>
      </c>
      <c r="F550" s="92" t="str">
        <f>"
You must answer this question if the scheme follows a Bespoke approach ("&amp;Questions!$D$5&amp;") with a post-relevant date valuation ("&amp;Questions!$D$14&amp;") and the recovery plan is longer than the reliability period or more than three years ("&amp;Questions!$D$216&amp;"). 
"</f>
        <v xml:space="preserve">
You must answer this question if the scheme follows a Bespoke approach (SH 13.0) with a post-relevant date valuation (SH 10.0) and the recovery plan is longer than the reliability period or more than three years (CSI 27.0). 
</v>
      </c>
      <c r="G550" s="92" t="str">
        <f>"
Enter a value greater than -1,000,000,000, 000 (minus 1 trillion) and less than or equal to 0. It can be accurate to two decimal places.
"</f>
        <v xml:space="preserve">
Enter a value greater than -1,000,000,000, 000 (minus 1 trillion) and less than or equal to 0. It can be accurate to two decimal places.
</v>
      </c>
      <c r="H550" s="92"/>
      <c r="I550" s="92"/>
      <c r="J550" s="92"/>
    </row>
    <row r="551" spans="1:10" ht="93">
      <c r="A551" s="190" t="s">
        <v>3506</v>
      </c>
      <c r="B551" s="92" t="str">
        <f>"
Do not answer this question if the scheme follows a Fast Track approach ("&amp;Questions!$D$5&amp;").
"</f>
        <v xml:space="preserve">
Do not answer this question if the scheme follows a Fast Track approach (SH 13.0).
</v>
      </c>
      <c r="C551" s="92" t="str">
        <f>"
Do not answer this question if the valuation is pre-relevant date ("&amp;Questions!$D$14&amp;") and the recovery plan is not longer than the reliability period or more than six years ("&amp;Questions!$D$215&amp;").
"</f>
        <v xml:space="preserve">
Do not answer this question if the valuation is pre-relevant date (SH 10.0) and the recovery plan is not longer than the reliability period or more than six years (CSI 26.0).
</v>
      </c>
      <c r="D551" s="92" t="str">
        <f>"
You must answer this question if the scheme follows a Bespoke approach ("&amp;Questions!$D$5&amp;") with a pre-relevant date valuation ("&amp;Questions!$D$14&amp;") and the recovery plan is longer than the reliability period or more than six years ("&amp;Questions!$D$215&amp;"). 
"</f>
        <v xml:space="preserve">
You must answer this question if the scheme follows a Bespoke approach (SH 13.0) with a pre-relevant date valuation (SH 10.0) and the recovery plan is longer than the reliability period or more than six years (CSI 26.0). 
</v>
      </c>
      <c r="E551" s="92" t="str">
        <f>"
Do not answer this question if the valuation is post-relevant date ("&amp;Questions!$D$14&amp;") and the recovery plan is not longer than the reliability period or more than three years ("&amp;Questions!$D$216&amp;").
"</f>
        <v xml:space="preserve">
Do not answer this question if the valuation is post-relevant date (SH 10.0) and the recovery plan is not longer than the reliability period or more than three years (CSI 27.0).
</v>
      </c>
      <c r="F551" s="92" t="str">
        <f>"
You must answer this question if the scheme follows a Bespoke approach ("&amp;Questions!$D$5&amp;") with a post-relevant date valuation ("&amp;Questions!$D$14&amp;") and the recovery plan is longer than the reliability period or more than three years ("&amp;Questions!$D$216&amp;"). 
"</f>
        <v xml:space="preserve">
You must answer this question if the scheme follows a Bespoke approach (SH 13.0) with a post-relevant date valuation (SH 10.0) and the recovery plan is longer than the reliability period or more than three years (CSI 27.0). 
</v>
      </c>
      <c r="G551" s="92" t="str">
        <f>"
Enter a value greater than -1,000,000,000, 000 (minus 1 trillion) and less than or equal to 0. It can be accurate to two decimal places.
"</f>
        <v xml:space="preserve">
Enter a value greater than -1,000,000,000, 000 (minus 1 trillion) and less than or equal to 0. It can be accurate to two decimal places.
</v>
      </c>
      <c r="H551" s="92"/>
      <c r="I551" s="92"/>
      <c r="J551" s="92"/>
    </row>
    <row r="552" spans="1:10" ht="93">
      <c r="A552" s="190" t="s">
        <v>3507</v>
      </c>
      <c r="B552" s="92" t="str">
        <f>"
Do not answer this question if the scheme follows a Fast Track approach ("&amp;Questions!$D$5&amp;").
"</f>
        <v xml:space="preserve">
Do not answer this question if the scheme follows a Fast Track approach (SH 13.0).
</v>
      </c>
      <c r="C552" s="92" t="str">
        <f>"
Do not answer this question if the valuation is pre-relevant date ("&amp;Questions!$D$14&amp;") and the recovery plan is not longer than the reliability period or more than six years ("&amp;Questions!$D$215&amp;").
"</f>
        <v xml:space="preserve">
Do not answer this question if the valuation is pre-relevant date (SH 10.0) and the recovery plan is not longer than the reliability period or more than six years (CSI 26.0).
</v>
      </c>
      <c r="D552" s="92" t="str">
        <f>"
You must answer this question if the scheme follows a Bespoke approach ("&amp;Questions!$D$5&amp;") with a pre-relevant date valuation ("&amp;Questions!$D$14&amp;") and the recovery plan is longer than the reliability period or more than six years ("&amp;Questions!$D$215&amp;"). 
"</f>
        <v xml:space="preserve">
You must answer this question if the scheme follows a Bespoke approach (SH 13.0) with a pre-relevant date valuation (SH 10.0) and the recovery plan is longer than the reliability period or more than six years (CSI 26.0). 
</v>
      </c>
      <c r="E552" s="92" t="str">
        <f>"
Do not answer this question if the valuation is post-relevant date ("&amp;Questions!$D$14&amp;") and the recovery plan is not longer than the reliability period or more than three years ("&amp;Questions!$D$216&amp;").
"</f>
        <v xml:space="preserve">
Do not answer this question if the valuation is post-relevant date (SH 10.0) and the recovery plan is not longer than the reliability period or more than three years (CSI 27.0).
</v>
      </c>
      <c r="F552" s="92" t="str">
        <f>"
You must answer this question if the scheme follows a Bespoke approach ("&amp;Questions!$D$5&amp;") with a post-relevant date valuation ("&amp;Questions!$D$14&amp;") and the recovery plan is longer than the reliability period or more than three years ("&amp;Questions!$D$216&amp;"). 
"</f>
        <v xml:space="preserve">
You must answer this question if the scheme follows a Bespoke approach (SH 13.0) with a post-relevant date valuation (SH 10.0) and the recovery plan is longer than the reliability period or more than three years (CSI 27.0). 
</v>
      </c>
      <c r="G552" s="92" t="str">
        <f>"
Enter a value greater than -1,000,000,000, 000 (minus 1 trillion) and less than or equal to 0. It can be accurate to two decimal places.
"</f>
        <v xml:space="preserve">
Enter a value greater than -1,000,000,000, 000 (minus 1 trillion) and less than or equal to 0. It can be accurate to two decimal places.
</v>
      </c>
      <c r="H552" s="92"/>
      <c r="I552" s="92"/>
      <c r="J552" s="92"/>
    </row>
    <row r="553" spans="1:10" ht="93">
      <c r="A553" s="190" t="s">
        <v>3508</v>
      </c>
      <c r="B553" s="92" t="str">
        <f>"
Do not answer this question if the scheme follows a Fast Track approach ("&amp;Questions!$D$5&amp;").
"</f>
        <v xml:space="preserve">
Do not answer this question if the scheme follows a Fast Track approach (SH 13.0).
</v>
      </c>
      <c r="C553" s="92" t="str">
        <f>"
Do not answer this question if the valuation is pre-relevant date ("&amp;Questions!$D$14&amp;") and the recovery plan is not longer than the reliability period or more than six years ("&amp;Questions!$D$215&amp;").
"</f>
        <v xml:space="preserve">
Do not answer this question if the valuation is pre-relevant date (SH 10.0) and the recovery plan is not longer than the reliability period or more than six years (CSI 26.0).
</v>
      </c>
      <c r="D553" s="92" t="str">
        <f>"
You must answer this question if the scheme follows a Bespoke approach ("&amp;Questions!$D$5&amp;") with a pre-relevant date valuation ("&amp;Questions!$D$14&amp;") and the recovery plan is longer than the reliability period or more than six years ("&amp;Questions!$D$215&amp;"). 
"</f>
        <v xml:space="preserve">
You must answer this question if the scheme follows a Bespoke approach (SH 13.0) with a pre-relevant date valuation (SH 10.0) and the recovery plan is longer than the reliability period or more than six years (CSI 26.0). 
</v>
      </c>
      <c r="E553" s="92" t="str">
        <f>"
Do not answer this question if the valuation is post-relevant date ("&amp;Questions!$D$14&amp;") and the recovery plan is not longer than the reliability period or more than three years ("&amp;Questions!$D$216&amp;").
"</f>
        <v xml:space="preserve">
Do not answer this question if the valuation is post-relevant date (SH 10.0) and the recovery plan is not longer than the reliability period or more than three years (CSI 27.0).
</v>
      </c>
      <c r="F553" s="92" t="str">
        <f>"
You must answer this question if the scheme follows a Bespoke approach ("&amp;Questions!$D$5&amp;") with a post-relevant date valuation ("&amp;Questions!$D$14&amp;") and the recovery plan is longer than the reliability period or more than three years ("&amp;Questions!$D$216&amp;"). 
"</f>
        <v xml:space="preserve">
You must answer this question if the scheme follows a Bespoke approach (SH 13.0) with a post-relevant date valuation (SH 10.0) and the recovery plan is longer than the reliability period or more than three years (CSI 27.0). 
</v>
      </c>
      <c r="G553" s="92" t="str">
        <f t="shared" ref="G553:G555" si="22">"
Enter a value greater than -1,000,000,000, 000 (minus 1 trillion) and less than or equal to 0. It can be accurate to two decimal places.
"</f>
        <v xml:space="preserve">
Enter a value greater than -1,000,000,000, 000 (minus 1 trillion) and less than or equal to 0. It can be accurate to two decimal places.
</v>
      </c>
      <c r="H553" s="92"/>
      <c r="I553" s="92"/>
      <c r="J553" s="92"/>
    </row>
    <row r="554" spans="1:10" ht="93">
      <c r="A554" s="190" t="s">
        <v>3509</v>
      </c>
      <c r="B554" s="92" t="str">
        <f>"
Do not answer this question if the scheme follows a Fast Track approach ("&amp;Questions!$D$5&amp;").
"</f>
        <v xml:space="preserve">
Do not answer this question if the scheme follows a Fast Track approach (SH 13.0).
</v>
      </c>
      <c r="C554" s="92" t="str">
        <f>"
Do not answer this question if the valuation is pre-relevant date ("&amp;Questions!$D$14&amp;") and the recovery plan is not longer than the reliability period or more than six years ("&amp;Questions!$D$215&amp;").
"</f>
        <v xml:space="preserve">
Do not answer this question if the valuation is pre-relevant date (SH 10.0) and the recovery plan is not longer than the reliability period or more than six years (CSI 26.0).
</v>
      </c>
      <c r="D554" s="92" t="str">
        <f>"
You must answer this question if the scheme follows a Bespoke approach ("&amp;Questions!$D$5&amp;") with a pre-relevant date valuation ("&amp;Questions!$D$14&amp;") and the recovery plan is longer than the reliability period or more than six years ("&amp;Questions!$D$215&amp;"). 
"</f>
        <v xml:space="preserve">
You must answer this question if the scheme follows a Bespoke approach (SH 13.0) with a pre-relevant date valuation (SH 10.0) and the recovery plan is longer than the reliability period or more than six years (CSI 26.0). 
</v>
      </c>
      <c r="E554" s="92" t="str">
        <f>"
Do not answer this question if the valuation is post-relevant date ("&amp;Questions!$D$14&amp;") and the recovery plan is not longer than the reliability period or more than three years ("&amp;Questions!$D$216&amp;").
"</f>
        <v xml:space="preserve">
Do not answer this question if the valuation is post-relevant date (SH 10.0) and the recovery plan is not longer than the reliability period or more than three years (CSI 27.0).
</v>
      </c>
      <c r="F554" s="92" t="str">
        <f>"
You must answer this question if the scheme follows a Bespoke approach ("&amp;Questions!$D$5&amp;") with a post-relevant date valuation ("&amp;Questions!$D$14&amp;") and the recovery plan is longer than the reliability period or more than three years ("&amp;Questions!$D$216&amp;"). 
"</f>
        <v xml:space="preserve">
You must answer this question if the scheme follows a Bespoke approach (SH 13.0) with a post-relevant date valuation (SH 10.0) and the recovery plan is longer than the reliability period or more than three years (CSI 27.0). 
</v>
      </c>
      <c r="G554" s="92" t="str">
        <f t="shared" si="22"/>
        <v xml:space="preserve">
Enter a value greater than -1,000,000,000, 000 (minus 1 trillion) and less than or equal to 0. It can be accurate to two decimal places.
</v>
      </c>
      <c r="H554" s="92"/>
      <c r="I554" s="92"/>
      <c r="J554" s="92"/>
    </row>
    <row r="555" spans="1:10" ht="93">
      <c r="A555" s="190" t="s">
        <v>3510</v>
      </c>
      <c r="B555" s="92" t="str">
        <f>"
Do not answer this question if the scheme follows a Fast Track approach ("&amp;Questions!$D$5&amp;").
"</f>
        <v xml:space="preserve">
Do not answer this question if the scheme follows a Fast Track approach (SH 13.0).
</v>
      </c>
      <c r="C555" s="92" t="str">
        <f>"
Do not answer this question if the valuation is pre-relevant date ("&amp;Questions!$D$14&amp;") and the recovery plan is not longer than the reliability period or more than six years ("&amp;Questions!$D$215&amp;").
"</f>
        <v xml:space="preserve">
Do not answer this question if the valuation is pre-relevant date (SH 10.0) and the recovery plan is not longer than the reliability period or more than six years (CSI 26.0).
</v>
      </c>
      <c r="D555" s="92" t="str">
        <f>"
You must answer this question if the scheme follows a Bespoke approach ("&amp;Questions!$D$5&amp;") with a pre-relevant date valuation ("&amp;Questions!$D$14&amp;") and the recovery plan is longer than the reliability period or more than six years ("&amp;Questions!$D$215&amp;"). 
"</f>
        <v xml:space="preserve">
You must answer this question if the scheme follows a Bespoke approach (SH 13.0) with a pre-relevant date valuation (SH 10.0) and the recovery plan is longer than the reliability period or more than six years (CSI 26.0). 
</v>
      </c>
      <c r="E555" s="92" t="str">
        <f>"
Do not answer this question if the valuation is post-relevant date ("&amp;Questions!$D$14&amp;") and the recovery plan is not longer than the reliability period or more than three years ("&amp;Questions!$D$216&amp;").
"</f>
        <v xml:space="preserve">
Do not answer this question if the valuation is post-relevant date (SH 10.0) and the recovery plan is not longer than the reliability period or more than three years (CSI 27.0).
</v>
      </c>
      <c r="F555" s="92" t="str">
        <f>"
You must answer this question if the scheme follows a Bespoke approach ("&amp;Questions!$D$5&amp;") with a post-relevant date valuation ("&amp;Questions!$D$14&amp;") and the recovery plan is longer than the reliability period or more than three years ("&amp;Questions!$D$216&amp;"). 
"</f>
        <v xml:space="preserve">
You must answer this question if the scheme follows a Bespoke approach (SH 13.0) with a post-relevant date valuation (SH 10.0) and the recovery plan is longer than the reliability period or more than three years (CSI 27.0). 
</v>
      </c>
      <c r="G555" s="92" t="str">
        <f t="shared" si="22"/>
        <v xml:space="preserve">
Enter a value greater than -1,000,000,000, 000 (minus 1 trillion) and less than or equal to 0. It can be accurate to two decimal places.
</v>
      </c>
      <c r="H555" s="92"/>
      <c r="I555" s="92"/>
      <c r="J555" s="92"/>
    </row>
    <row r="556" spans="1:10" ht="93">
      <c r="A556" s="190" t="s">
        <v>3511</v>
      </c>
      <c r="B556" s="92" t="str">
        <f>"
Do not answer this question if the scheme follows a Fast Track approach ("&amp;Questions!$D$5&amp;").
"</f>
        <v xml:space="preserve">
Do not answer this question if the scheme follows a Fast Track approach (SH 13.0).
</v>
      </c>
      <c r="C556" s="92" t="str">
        <f>"
Do not answer this question if the valuation is pre-relevant date ("&amp;Questions!$D$14&amp;") and the recovery plan is not longer than the reliability period or more than six years ("&amp;Questions!$D$215&amp;").
"</f>
        <v xml:space="preserve">
Do not answer this question if the valuation is pre-relevant date (SH 10.0) and the recovery plan is not longer than the reliability period or more than six years (CSI 26.0).
</v>
      </c>
      <c r="D556" s="92" t="str">
        <f>"
You must answer this question if the scheme follows a Bespoke approach ("&amp;Questions!$D$5&amp;") with a pre-relevant date valuation ("&amp;Questions!$D$14&amp;") and the recovery plan is longer than the reliability period or more than six years ("&amp;Questions!$D$215&amp;"). 
"</f>
        <v xml:space="preserve">
You must answer this question if the scheme follows a Bespoke approach (SH 13.0) with a pre-relevant date valuation (SH 10.0) and the recovery plan is longer than the reliability period or more than six years (CSI 26.0). 
</v>
      </c>
      <c r="E556" s="92" t="str">
        <f>"
Do not answer this question if the valuation is post-relevant date ("&amp;Questions!$D$14&amp;") and the recovery plan is not longer than the reliability period or more than three years ("&amp;Questions!$D$216&amp;").
"</f>
        <v xml:space="preserve">
Do not answer this question if the valuation is post-relevant date (SH 10.0) and the recovery plan is not longer than the reliability period or more than three years (CSI 27.0).
</v>
      </c>
      <c r="F556" s="92" t="str">
        <f>"
You must answer this question if the scheme follows a Bespoke approach ("&amp;Questions!$D$5&amp;") with a post-relevant date valuation ("&amp;Questions!$D$14&amp;") and the recovery plan is longer than the reliability period or more than three years ("&amp;Questions!$D$216&amp;"). 
"</f>
        <v xml:space="preserve">
You must answer this question if the scheme follows a Bespoke approach (SH 13.0) with a post-relevant date valuation (SH 10.0) and the recovery plan is longer than the reliability period or more than three years (CSI 27.0). 
</v>
      </c>
      <c r="G556" s="92" t="str">
        <f>"
Enter a value greater than -1,000,000,000, 000 (minus 1 trillion) and less than 1,000,000,000,000 (1 trillion). It can be accurate to two decimal places.
"</f>
        <v xml:space="preserve">
Enter a value greater than -1,000,000,000, 000 (minus 1 trillion) and less than 1,000,000,000,000 (1 trillion). It can be accurate to two decimal places.
</v>
      </c>
      <c r="H556" s="92"/>
      <c r="I556" s="92"/>
      <c r="J556" s="92"/>
    </row>
    <row r="557" spans="1:10" ht="77.5">
      <c r="A557" s="190" t="s">
        <v>3512</v>
      </c>
      <c r="B557" s="92" t="str">
        <f>"
Do not answer this question if the scheme follows a Fast Track approach ("&amp;Questions!$D$5&amp;").
"</f>
        <v xml:space="preserve">
Do not answer this question if the scheme follows a Fast Track approach (SH 13.0).
</v>
      </c>
      <c r="C557" s="92" t="str">
        <f>"
Do not answer this question if the valuation is pre-relevant date ("&amp;Questions!$D$14&amp;") and the recovery plan is not longer than the reliability period or more than six years ("&amp;Questions!$D$215&amp;").
"</f>
        <v xml:space="preserve">
Do not answer this question if the valuation is pre-relevant date (SH 10.0) and the recovery plan is not longer than the reliability period or more than six years (CSI 26.0).
</v>
      </c>
      <c r="D557" s="92" t="str">
        <f>"
Do not answer this question if the valuation is post-relevant date ("&amp;Questions!$D$5&amp;") and the recovery plan is not longer than the reliability period or more than three years ("&amp;Questions!$D$215&amp;").
"</f>
        <v xml:space="preserve">
Do not answer this question if the valuation is post-relevant date (SH 13.0) and the recovery plan is not longer than the reliability period or more than three years (CSI 26.0).
</v>
      </c>
      <c r="E557" s="92" t="str">
        <f>"
The answer must be no more than 4000 characters.
"</f>
        <v xml:space="preserve">
The answer must be no more than 4000 characters.
</v>
      </c>
      <c r="F557" s="92"/>
      <c r="G557" s="92"/>
      <c r="H557" s="92"/>
      <c r="I557" s="92"/>
      <c r="J557" s="92"/>
    </row>
    <row r="558" spans="1:10" ht="46.5">
      <c r="A558" s="190" t="s">
        <v>3513</v>
      </c>
      <c r="B558" s="92" t="str">
        <f>"
The answer must be no more than 4000 characters.
"</f>
        <v xml:space="preserve">
The answer must be no more than 4000 characters.
</v>
      </c>
      <c r="C558" s="92"/>
      <c r="D558" s="92"/>
      <c r="E558" s="92"/>
      <c r="F558" s="92"/>
      <c r="G558" s="92"/>
      <c r="H558" s="92"/>
      <c r="I558" s="92"/>
      <c r="J558" s="92"/>
    </row>
    <row r="559" spans="1:10" ht="62">
      <c r="A559" s="190" t="s">
        <v>3514</v>
      </c>
      <c r="B559" s="92" t="str">
        <f>"
Select 'Yes’ if the trustees have consulted the employer in the preparation or revision of part 2 of the statement of strategy, or ‘No’ if they have not.
"</f>
        <v xml:space="preserve">
Select 'Yes’ if the trustees have consulted the employer in the preparation or revision of part 2 of the statement of strategy, or ‘No’ if they have not.
</v>
      </c>
      <c r="C559" s="92" t="str">
        <f>"
Select 'Yes’ if the trustees have consulted the employer in the preparation or revision of part 2 of the statement of strategy, or ‘No’ if they have not.
"</f>
        <v xml:space="preserve">
Select 'Yes’ if the trustees have consulted the employer in the preparation or revision of part 2 of the statement of strategy, or ‘No’ if they have not.
</v>
      </c>
      <c r="D559" s="92"/>
      <c r="E559" s="92"/>
      <c r="F559" s="92"/>
      <c r="G559" s="92"/>
      <c r="H559" s="92"/>
      <c r="I559" s="92"/>
      <c r="J559" s="92"/>
    </row>
    <row r="560" spans="1:10" ht="62">
      <c r="A560" s="190" t="s">
        <v>3515</v>
      </c>
      <c r="B560" s="92" t="str">
        <f>"
Select ‘Yes’ if the employer has asked for comments to be included in the document, or ‘No’ if they have not.
"</f>
        <v xml:space="preserve">
Select ‘Yes’ if the employer has asked for comments to be included in the document, or ‘No’ if they have not.
</v>
      </c>
      <c r="C560" s="92" t="str">
        <f>"
Select ‘Yes’ if the employer has asked for comments to be included in the document, or ‘No’ if they have not.
"</f>
        <v xml:space="preserve">
Select ‘Yes’ if the employer has asked for comments to be included in the document, or ‘No’ if they have not.
</v>
      </c>
      <c r="D560" s="92"/>
      <c r="E560" s="92"/>
      <c r="F560" s="92"/>
      <c r="G560" s="92"/>
      <c r="H560" s="92"/>
      <c r="I560" s="92"/>
      <c r="J560" s="92"/>
    </row>
    <row r="561" spans="1:10" ht="62">
      <c r="A561" s="190" t="s">
        <v>3516</v>
      </c>
      <c r="B561" s="92" t="str">
        <f>"
Do not answer this question if the employer has not asked for any comments to be included in the document ("&amp;Questions!$D$386&amp;").
"</f>
        <v xml:space="preserve">
Do not answer this question if the employer has not asked for any comments to be included in the document (ECI 22.0).
</v>
      </c>
      <c r="C561" s="92" t="str">
        <f>"
You must answer this question if the employer has asked for comments to be included in the document ("&amp;Questions!$D$386&amp;").
"</f>
        <v xml:space="preserve">
You must answer this question if the employer has asked for comments to be included in the document (ECI 22.0).
</v>
      </c>
      <c r="D561" s="92" t="str">
        <f>"
The answer must be no more than 4000 characters.
"</f>
        <v xml:space="preserve">
The answer must be no more than 4000 characters.
</v>
      </c>
      <c r="E561" s="92"/>
      <c r="F561" s="92"/>
      <c r="G561" s="92"/>
      <c r="H561" s="92"/>
      <c r="I561" s="92"/>
      <c r="J561" s="92"/>
    </row>
    <row r="562" spans="1:10" ht="62">
      <c r="A562" s="190" t="s">
        <v>741</v>
      </c>
      <c r="B562" s="92" t="str">
        <f>"
Do not answer this question if there are no guarantees the trustees wish to include details about ("&amp;Questions!$D$237&amp;").
"</f>
        <v xml:space="preserve">
Do not answer this question if there are no guarantees the trustees wish to include details about (CSI 19.0).
</v>
      </c>
      <c r="C562"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562" s="92" t="str">
        <f>"
You must answer this question if there are one or more guarantees the trustees wish to include details about ("&amp;Questions!$D$237&amp;").
"</f>
        <v xml:space="preserve">
You must answer this question if there are one or more guarantees the trustees wish to include details about (CSI 19.0).
</v>
      </c>
      <c r="E562" s="92" t="str">
        <f>"
The answer must be no more than 510 characters.
"</f>
        <v xml:space="preserve">
The answer must be no more than 510 characters.
</v>
      </c>
      <c r="F562" s="92"/>
      <c r="G562" s="92"/>
      <c r="H562" s="92"/>
      <c r="I562" s="92"/>
      <c r="J562" s="92"/>
    </row>
    <row r="563" spans="1:10" ht="124">
      <c r="A563" s="190" t="s">
        <v>743</v>
      </c>
      <c r="B563" s="92" t="str">
        <f>"
Do not answer this question if there are no guarantees the trustees wish to include details about ("&amp;Questions!$D$237&amp;").
"</f>
        <v xml:space="preserve">
Do not answer this question if there are no guarantees the trustees wish to include details about (CSI 19.0).
</v>
      </c>
      <c r="C563"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563" s="92" t="s">
        <v>4784</v>
      </c>
      <c r="E563" s="92"/>
      <c r="F563" s="92"/>
      <c r="G563" s="92"/>
      <c r="H563" s="92"/>
      <c r="I563" s="92"/>
      <c r="J563" s="92"/>
    </row>
    <row r="564" spans="1:10" ht="62">
      <c r="A564" s="190" t="s">
        <v>745</v>
      </c>
      <c r="B564" s="92" t="str">
        <f>"
Do not answer this question if there are no guarantees the trustees wish to include details about ("&amp;Questions!$D$237&amp;").
"</f>
        <v xml:space="preserve">
Do not answer this question if there are no guarantees the trustees wish to include details about (CSI 19.0).
</v>
      </c>
      <c r="C564"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564" s="92" t="str">
        <f>"
Do not answer this question if you have provided a contingent asset guarantee companies house number ("&amp;Questions!$D$401&amp;").
"</f>
        <v xml:space="preserve">
Do not answer this question if you have provided a contingent asset guarantee companies house number (GTE 2.0/1).
</v>
      </c>
      <c r="E564" s="92" t="s">
        <v>3766</v>
      </c>
      <c r="F564" s="92"/>
      <c r="G564" s="92"/>
      <c r="H564" s="92"/>
      <c r="I564" s="92"/>
      <c r="J564" s="92"/>
    </row>
    <row r="565" spans="1:10" ht="93">
      <c r="A565" s="190" t="s">
        <v>747</v>
      </c>
      <c r="B565" s="92" t="str">
        <f>"
Do not answer this question if there are no guarantees the trustees wish to include details about ("&amp;Questions!$D$237&amp;").
"</f>
        <v xml:space="preserve">
Do not answer this question if there are no guarantees the trustees wish to include details about (CSI 19.0).
</v>
      </c>
      <c r="C565"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565" s="92" t="str">
        <f>"
Do not answer this question if you have provided a contingent asset guarantee Companies House number ("&amp;Questions!$D$401&amp;").
"</f>
        <v xml:space="preserve">
Do not answer this question if you have provided a contingent asset guarantee Companies House number (GTE 2.0/1).
</v>
      </c>
      <c r="E565" s="92" t="str">
        <f>"
Do not answer this question if you have provided a contingent asset guarantee charity number ("&amp;Questions!$D$402&amp;").
"</f>
        <v xml:space="preserve">
Do not answer this question if you have provided a contingent asset guarantee charity number (GTE 3.0/1).
</v>
      </c>
      <c r="F565" s="92" t="str">
        <f>"
You must answer this question if there are one or more guarantees the trustees wish to include details about ("&amp;Questions!$D$237&amp;") and you have not provided a contingent asset guarantee Companies House number ("&amp;Questions!D401&amp;") or a contingent asset guarantee charity number ("&amp;Questions!D402&amp;").
"</f>
        <v xml:space="preserve">
You must answer this question if there are one or more guarantees the trustees wish to include details about (CSI 19.0) and you have not provided a contingent asset guarantee Companies House number (GTE 2.0/1) or a contingent asset guarantee charity number (GTE 3.0/1).
</v>
      </c>
      <c r="G565" s="92" t="str">
        <f>"
The answer must be no more than 510 characters.
"</f>
        <v xml:space="preserve">
The answer must be no more than 510 characters.
</v>
      </c>
      <c r="H565" s="92"/>
      <c r="I565" s="92"/>
      <c r="J565" s="92"/>
    </row>
    <row r="566" spans="1:10" ht="93">
      <c r="A566" s="190" t="s">
        <v>749</v>
      </c>
      <c r="B566" s="92" t="str">
        <f>"
Do not answer this question if there are no guarantees the trustees wish to include details about ("&amp;Questions!$D$237&amp;").
"</f>
        <v xml:space="preserve">
Do not answer this question if there are no guarantees the trustees wish to include details about (CSI 19.0).
</v>
      </c>
      <c r="C566"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566" s="92" t="str">
        <f>"
Do not answer this question if you have provided a contingent asset guarantee Companies House number ("&amp;Questions!$D$401&amp;").
"</f>
        <v xml:space="preserve">
Do not answer this question if you have provided a contingent asset guarantee Companies House number (GTE 2.0/1).
</v>
      </c>
      <c r="E566" s="92" t="str">
        <f>"
Do not answer this question if you have provided a contingent asset guarantee charity number ("&amp;Questions!$D$402&amp;").
"</f>
        <v xml:space="preserve">
Do not answer this question if you have provided a contingent asset guarantee charity number (GTE 3.0/1).
</v>
      </c>
      <c r="F566" s="92" t="str">
        <f>"
You must answer this question if there are one or more guarantees the trustees wish to include details about ("&amp;Questions!$D$237&amp;") and you have not provided a contingent asset guarantee Companies House number ("&amp;Questions!D402&amp;") or a contingent asset guarantee charity number ("&amp;Questions!D403&amp;").
"</f>
        <v xml:space="preserve">
You must answer this question if there are one or more guarantees the trustees wish to include details about (CSI 19.0) and you have not provided a contingent asset guarantee Companies House number (GTE 3.0/1) or a contingent asset guarantee charity number (GTE 4.0/1).
</v>
      </c>
      <c r="G566" s="92" t="str">
        <f>"
The answer must be no more than 510 characters.
"</f>
        <v xml:space="preserve">
The answer must be no more than 510 characters.
</v>
      </c>
      <c r="H566" s="92"/>
      <c r="I566" s="92"/>
      <c r="J566" s="92"/>
    </row>
    <row r="567" spans="1:10" ht="62">
      <c r="A567" s="190" t="s">
        <v>751</v>
      </c>
      <c r="B567" s="92" t="str">
        <f>"
Do not answer this question if there are no guarantees the trustees wish to include details about ("&amp;Questions!$D$237&amp;").
"</f>
        <v xml:space="preserve">
Do not answer this question if there are no guarantees the trustees wish to include details about (CSI 19.0).
</v>
      </c>
      <c r="C567"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567" s="92" t="str">
        <f>"
Do not answer this question if you have provided a contingent asset guarantee Companies House number ("&amp;Questions!$D$401&amp;").
"</f>
        <v xml:space="preserve">
Do not answer this question if you have provided a contingent asset guarantee Companies House number (GTE 2.0/1).
</v>
      </c>
      <c r="E567" s="92" t="str">
        <f>"
Do not answer this question if you have provided a contingent asset guarantee charity number ("&amp;Questions!$D$402&amp;").
"</f>
        <v xml:space="preserve">
Do not answer this question if you have provided a contingent asset guarantee charity number (GTE 3.0/1).
</v>
      </c>
      <c r="F567" s="92" t="str">
        <f>"
The answer must be no more than 510 characters.
"</f>
        <v xml:space="preserve">
The answer must be no more than 510 characters.
</v>
      </c>
      <c r="G567" s="92"/>
      <c r="H567" s="92"/>
      <c r="I567" s="92"/>
      <c r="J567" s="92"/>
    </row>
    <row r="568" spans="1:10" ht="62">
      <c r="A568" s="190" t="s">
        <v>753</v>
      </c>
      <c r="B568" s="92" t="str">
        <f>"
Do not answer this question if there are no guarantees the trustees wish to include details about ("&amp;Questions!$D$237&amp;").
"</f>
        <v xml:space="preserve">
Do not answer this question if there are no guarantees the trustees wish to include details about (CSI 19.0).
</v>
      </c>
      <c r="C568"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568" s="92" t="str">
        <f>"
Do not answer this question if you have provided a contingent asset guarantee Companies House number ("&amp;Questions!$D$401&amp;").
"</f>
        <v xml:space="preserve">
Do not answer this question if you have provided a contingent asset guarantee Companies House number (GTE 2.0/1).
</v>
      </c>
      <c r="E568" s="92" t="str">
        <f>"
Do not answer this question if you have provided a contingent asset guarantee charity number ("&amp;Questions!$D$402&amp;").
"</f>
        <v xml:space="preserve">
Do not answer this question if you have provided a contingent asset guarantee charity number (GTE 3.0/1).
</v>
      </c>
      <c r="F568" s="92" t="str">
        <f>"
The answer must be no more than 510 characters.
"</f>
        <v xml:space="preserve">
The answer must be no more than 510 characters.
</v>
      </c>
      <c r="G568" s="92"/>
      <c r="H568" s="92"/>
      <c r="I568" s="92"/>
      <c r="J568" s="92"/>
    </row>
    <row r="569" spans="1:10" ht="93">
      <c r="A569" s="190" t="s">
        <v>755</v>
      </c>
      <c r="B569" s="92" t="str">
        <f>"
Do not answer this question if there are no guarantees the trustees wish to include details about ("&amp;Questions!$D$237&amp;").
"</f>
        <v xml:space="preserve">
Do not answer this question if there are no guarantees the trustees wish to include details about (CSI 19.0).
</v>
      </c>
      <c r="C569"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569" s="92" t="str">
        <f>"
Do not answer this question if you have provided a contingent asset guarantee Companies House number ("&amp;Questions!$D$401&amp;").
"</f>
        <v xml:space="preserve">
Do not answer this question if you have provided a contingent asset guarantee Companies House number (GTE 2.0/1).
</v>
      </c>
      <c r="E569" s="92" t="str">
        <f>"
Do not answer this question if you have provided a contingent asset guarantee charity number ("&amp;Questions!$D$402&amp;").
"</f>
        <v xml:space="preserve">
Do not answer this question if you have provided a contingent asset guarantee charity number (GTE 3.0/1).
</v>
      </c>
      <c r="F569" s="92" t="str">
        <f>"
You must answer this question if there are one or more guarantees the trustees wish to include details about ("&amp;Questions!$D$237&amp;") and you have not provided a contingent asset guarantee Companies House number ("&amp;Questions!D405&amp;") or a contingent asset guarantee charity number ("&amp;Questions!D406&amp;").
"</f>
        <v xml:space="preserve">
You must answer this question if there are one or more guarantees the trustees wish to include details about (CSI 19.0) and you have not provided a contingent asset guarantee Companies House number (GTE 6.0/1) or a contingent asset guarantee charity number (GTE 7.0/1).
</v>
      </c>
      <c r="G569" s="92" t="str">
        <f>"
The answer must be no more than 510 characters.
"</f>
        <v xml:space="preserve">
The answer must be no more than 510 characters.
</v>
      </c>
      <c r="H569" s="92"/>
      <c r="I569" s="92"/>
      <c r="J569" s="92"/>
    </row>
    <row r="570" spans="1:10" ht="93">
      <c r="A570" s="190" t="s">
        <v>757</v>
      </c>
      <c r="B570" s="92" t="str">
        <f>"
Do not answer this question if there are no guarantees the trustees wish to include details about ("&amp;Questions!$D$237&amp;").
"</f>
        <v xml:space="preserve">
Do not answer this question if there are no guarantees the trustees wish to include details about (CSI 19.0).
</v>
      </c>
      <c r="C570"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570" s="92" t="str">
        <f>"
Do not answer this question if you have provided a contingent asset guarantee Companies House number ("&amp;Questions!$D$401&amp;").
"</f>
        <v xml:space="preserve">
Do not answer this question if you have provided a contingent asset guarantee Companies House number (GTE 2.0/1).
</v>
      </c>
      <c r="E570" s="92" t="str">
        <f>"
Do not answer this question if you have provided a contingent asset guarantee charity number ("&amp;Questions!$D$402&amp;").
"</f>
        <v xml:space="preserve">
Do not answer this question if you have provided a contingent asset guarantee charity number (GTE 3.0/1).
</v>
      </c>
      <c r="F570" s="92" t="str">
        <f>"
You must answer this question if there are one or more guarantees the trustees wish to include details about ("&amp;Questions!$D$237&amp;") and you have not provided a contingent asset guarantee Companies House number ("&amp;Questions!D406&amp;") or a contingent asset guarantee charity number ("&amp;Questions!D407&amp;").
"</f>
        <v xml:space="preserve">
You must answer this question if there are one or more guarantees the trustees wish to include details about (CSI 19.0) and you have not provided a contingent asset guarantee Companies House number (GTE 7.0/1) or a contingent asset guarantee charity number (GTE 8.0/1).
</v>
      </c>
      <c r="G570" s="92" t="str">
        <f>"
Select 'United Kingdom' if the address is for a UK address, or the relevant country from the drop down list if not.
"</f>
        <v xml:space="preserve">
Select 'United Kingdom' if the address is for a UK address, or the relevant country from the drop down list if not.
</v>
      </c>
      <c r="H570" s="92"/>
      <c r="I570" s="92"/>
      <c r="J570" s="92"/>
    </row>
    <row r="571" spans="1:10" ht="108.5">
      <c r="A571" s="190" t="s">
        <v>759</v>
      </c>
      <c r="B571" s="92" t="str">
        <f>"
Do not answer this question if there are no guarantees the trustees wish to include details about ("&amp;Questions!$D$237&amp;").
"</f>
        <v xml:space="preserve">
Do not answer this question if there are no guarantees the trustees wish to include details about (CSI 19.0).
</v>
      </c>
      <c r="C571"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571" s="92" t="str">
        <f>"
Do not answer this question if you have provided a contingent asset guarantee Companies House number ("&amp;Questions!$D$401&amp;").
"</f>
        <v xml:space="preserve">
Do not answer this question if you have provided a contingent asset guarantee Companies House number (GTE 2.0/1).
</v>
      </c>
      <c r="E571" s="92" t="str">
        <f>"
Do not answer this question if you have provided a contingent asset guarantee charity number ("&amp;Questions!$D$402&amp;").
"</f>
        <v xml:space="preserve">
Do not answer this question if you have provided a contingent asset guarantee charity number (GTE 3.0/1).
</v>
      </c>
      <c r="F571" s="92" t="str">
        <f>"
You must answer this question if there are one or more guarantees the trustees wish to include details about ("&amp;Questions!$D$237&amp;") and you have not provided a contingent asset guarantee Companies House number ("&amp;Questions!D401&amp;") or a contingent asset guarantee charity number ("&amp;Questions!D402&amp;") and the country is United Kingdom ("&amp;Questions!D408&amp;").
"</f>
        <v xml:space="preserve">
You must answer this question if there are one or more guarantees the trustees wish to include details about (CSI 19.0) and you have not provided a contingent asset guarantee Companies House number (GTE 2.0/1) or a contingent asset guarantee charity number (GTE 3.0/1) and the country is United Kingdom (GTE 9.0/1).
</v>
      </c>
      <c r="G571" s="92" t="str">
        <f>"
The answer must be a valid postcode with between 5 and 8 characters.
"</f>
        <v xml:space="preserve">
The answer must be a valid postcode with between 5 and 8 characters.
</v>
      </c>
      <c r="H571" s="92"/>
      <c r="I571" s="92"/>
      <c r="J571" s="92"/>
    </row>
    <row r="572" spans="1:10" ht="93">
      <c r="A572" s="190" t="s">
        <v>761</v>
      </c>
      <c r="B572" s="92" t="str">
        <f>"
Do not answer this question if the scheme follows a Fast Track approach ("&amp;Questions!$D$5&amp;").
"</f>
        <v xml:space="preserve">
Do not answer this question if the scheme follows a Fast Track approach (SH 13.0).
</v>
      </c>
      <c r="C572" s="92" t="str">
        <f>"
Do not answer this question if there are no guarantees the trustees wish to include details about ("&amp;Questions!$D$237&amp;").
"</f>
        <v xml:space="preserve">
Do not answer this question if there are no guarantees the trustees wish to include details about (CSI 19.0).
</v>
      </c>
      <c r="D572"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572" s="92" t="str">
        <f>"
You must answer this question if the scheme follows a Bespoke approach ("&amp;Questions!$D$5&amp;"), is post-relevant date ("&amp;Questions!$D$14&amp;"), does not meet the 'Bespoke low-risk scheme' requirements ("&amp;Questions!$D$6&amp;") and there are one or more guarantees the trustees wish to include details about ("&amp;Questions!$D$237&amp;").
"</f>
        <v xml:space="preserve">
You must answer this question if the scheme follows a Bespoke approach (SH 13.0), is post-relevant date (SH 10.0), does not meet the 'Bespoke low-risk scheme' requirements (SH 14.0) and there are one or more guarantees the trustees wish to include details about (CSI 19.0).
</v>
      </c>
      <c r="F572" s="92" t="str">
        <f>"
Select ‘Yes’ if the guarantor of the contingent asset guarantee is an associated company, or ‘No’ if not
"</f>
        <v xml:space="preserve">
Select ‘Yes’ if the guarantor of the contingent asset guarantee is an associated company, or ‘No’ if not
</v>
      </c>
      <c r="G572" s="92" t="str">
        <f>"
Do not answer this question if the scheme follows a Bespoke approach ("&amp;Questions!$D$5&amp;"), the scheme is post-relevant date ("&amp;Questions!$D$14&amp;") and the scheme meets the 'Bespoke low-risk scheme' requirements' ("&amp;Questions!$D$6&amp;").
"</f>
        <v xml:space="preserve">
Do not answer this question if the scheme follows a Bespoke approach (SH 13.0), the scheme is post-relevant date (SH 10.0) and the scheme meets the 'Bespoke low-risk scheme' requirements' (SH 14.0).
</v>
      </c>
      <c r="H572" s="92" t="str">
        <f>"
You must answer this question if the scheme follows a Bespoke approach ("&amp;Questions!$D$5&amp;"), is pre-relevant date ("&amp;Questions!$D$14&amp;")  and there are one or more guarantees the trustees wish to include details about ("&amp;Questions!$D$237&amp;").
"</f>
        <v xml:space="preserve">
You must answer this question if the scheme follows a Bespoke approach (SH 13.0), is pre-relevant date (SH 10.0)  and there are one or more guarantees the trustees wish to include details about (CSI 19.0).
</v>
      </c>
      <c r="I572" s="92"/>
      <c r="J572" s="92"/>
    </row>
    <row r="573" spans="1:10" ht="124">
      <c r="A573" s="190" t="s">
        <v>764</v>
      </c>
      <c r="B573" s="92" t="str">
        <f>"
Do not answer this question if there are no guarantees the trustees wish to include details about ("&amp;Questions!$D$237&amp;").
"</f>
        <v xml:space="preserve">
Do not answer this question if there are no guarantees the trustees wish to include details about (CSI 19.0).
</v>
      </c>
      <c r="C573"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573" s="92" t="str">
        <f>"
You must answer this question if there are one or more guarantees the trustees wish to include details about ("&amp;Questions!$D$237&amp;").
"</f>
        <v xml:space="preserve">
You must answer this question if there are one or more guarantees the trustees wish to include details about (CSI 19.0).
</v>
      </c>
      <c r="E573" s="92" t="str">
        <f>"
Select one of the following options from the drop-down list:
• Formal look-through guarantee
• Look-through guarantee subject to limitation
• Non look-through guarantee
• Other
"</f>
        <v xml:space="preserve">
Select one of the following options from the drop-down list:
• Formal look-through guarantee
• Look-through guarantee subject to limitation
• Non look-through guarantee
• Other
</v>
      </c>
      <c r="F573" s="92"/>
      <c r="G573" s="92"/>
      <c r="H573" s="92"/>
      <c r="I573" s="92"/>
      <c r="J573" s="92"/>
    </row>
    <row r="574" spans="1:10" ht="77.5">
      <c r="A574" s="190" t="s">
        <v>766</v>
      </c>
      <c r="B574" s="92" t="str">
        <f>"
Do not answer this question if there are no guarantees the trustees wish to include details about ("&amp;Questions!$D$237&amp;").
"</f>
        <v xml:space="preserve">
Do not answer this question if there are no guarantees the trustees wish to include details about (CSI 19.0).
</v>
      </c>
      <c r="C574"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574" s="92" t="str">
        <f>"
Do not answer this question if there are one or more guarantees the trustees wish to include details about ("&amp;Questions!$D$237&amp;") and you have not answered Other to the type of guarantee ("&amp;Questions!$D$439&amp;").
"</f>
        <v xml:space="preserve">
Do not answer this question if there are one or more guarantees the trustees wish to include details about (CSI 19.0) and you have not answered Other to the type of guarantee (GTE 12.0/2).
</v>
      </c>
      <c r="E574" s="92" t="str">
        <f>"
You must answer this question if you have answered “Other” to the type of guarantee ("&amp;Questions!$D$439&amp;").
"</f>
        <v xml:space="preserve">
You must answer this question if you have answered “Other” to the type of guarantee (GTE 12.0/2).
</v>
      </c>
      <c r="F574" s="92" t="str">
        <f>"
The answer must be no more than 4000 characters.
"</f>
        <v xml:space="preserve">
The answer must be no more than 4000 characters.
</v>
      </c>
      <c r="G574" s="92"/>
      <c r="H574" s="92"/>
      <c r="I574" s="92"/>
      <c r="J574" s="92"/>
    </row>
    <row r="575" spans="1:10" ht="93">
      <c r="A575" s="190" t="s">
        <v>768</v>
      </c>
      <c r="B575" s="92" t="str">
        <f>"
Do not answer this question if the scheme follows a Fast Track approach ("&amp;Questions!$D$5&amp;").
"</f>
        <v xml:space="preserve">
Do not answer this question if the scheme follows a Fast Track approach (SH 13.0).
</v>
      </c>
      <c r="C575" s="92" t="str">
        <f>"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575" s="92" t="str">
        <f>"
Do not answer this question if there are no guarantees the trustees wish to include details about ("&amp;Questions!$D$237&amp;").
"</f>
        <v xml:space="preserve">
Do not answer this question if there are no guarantees the trustees wish to include details about (CSI 19.0).
</v>
      </c>
      <c r="E575" s="92" t="str">
        <f>"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575" s="92" t="str">
        <f>"
Select one of the following options from the drop-down list:
• Evergreen
• Fixed expiry with a maturity date
• Other"</f>
        <v xml:space="preserve">
Select one of the following options from the drop-down list:
• Evergreen
• Fixed expiry with a maturity date
• Other</v>
      </c>
      <c r="G575" s="92"/>
      <c r="H575" s="92"/>
      <c r="I575" s="92"/>
      <c r="J575" s="92"/>
    </row>
    <row r="576" spans="1:10" ht="93">
      <c r="A576" s="190" t="s">
        <v>771</v>
      </c>
      <c r="B576" s="92" t="str">
        <f>"
Do not answer this question if the scheme follows a Fast Track approach ("&amp;Questions!$D$5&amp;").
"</f>
        <v xml:space="preserve">
Do not answer this question if the scheme follows a Fast Track approach (SH 13.0).
</v>
      </c>
      <c r="C576" s="92" t="str">
        <f>"
Do not answer this question if there are no guarantees the trustees wish to include details about ("&amp;Questions!$D$237&amp;").
"</f>
        <v xml:space="preserve">
Do not answer this question if there are no guarantees the trustees wish to include details about (CSI 19.0).
</v>
      </c>
      <c r="D576"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576" s="92" t="str">
        <f>"
Do not answer this question if the contingent asset guarantee is Evergreen or Other ("&amp;Questions!D411&amp;").
"</f>
        <v xml:space="preserve">
Do not answer this question if the contingent asset guarantee is Evergreen or Other (GTE 12.0/1).
</v>
      </c>
      <c r="F576" s="92" t="str">
        <f>"
You must answer this question if the scheme follows a Bespoke approach ("&amp;Questions!$D$5&amp;"), there are one or more guarantees the trustees wish to include details about ("&amp;Questions!$D$237&amp;") and the contingent asset guarantee maturity type is Fixed expiry with a maturity date ("&amp;Questions!D411&amp;").
"</f>
        <v xml:space="preserve">
You must answer this question if the scheme follows a Bespoke approach (SH 13.0), there are one or more guarantees the trustees wish to include details about (CSI 19.0) and the contingent asset guarantee maturity type is Fixed expiry with a maturity date (GTE 12.0/1).
</v>
      </c>
      <c r="G576" s="92" t="str">
        <f>"
Enter a valid date in the format dd/mm/yyyy 
"</f>
        <v xml:space="preserve">
Enter a valid date in the format dd/mm/yyyy 
</v>
      </c>
      <c r="H576" s="92" t="str">
        <f>"
This date cannot be less than the effective date of the actuarial validation ("&amp;Questions!$D$2&amp;")
"</f>
        <v xml:space="preserve">
This date cannot be less than the effective date of the actuarial validation (SH 8.0)
</v>
      </c>
      <c r="I576" s="92"/>
      <c r="J576" s="92"/>
    </row>
    <row r="577" spans="1:10" ht="93">
      <c r="A577" s="190" t="s">
        <v>773</v>
      </c>
      <c r="B577" s="92" t="str">
        <f>"
Do not answer this question if the scheme follows a Fast Track approach ("&amp;Questions!$D$5&amp;").
"</f>
        <v xml:space="preserve">
Do not answer this question if the scheme follows a Fast Track approach (SH 13.0).
</v>
      </c>
      <c r="C577" s="92" t="str">
        <f>"
Do not answer this question if there are no guarantees the trustees wish to include details about ("&amp;Questions!$D$237&amp;").
"</f>
        <v xml:space="preserve">
Do not answer this question if there are no guarantees the trustees wish to include details about (CSI 19.0).
</v>
      </c>
      <c r="D577"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577" s="92" t="str">
        <f>"
Do not answer this question if the contingent asset guarantee is not Other ("&amp;Questions!D411&amp;").
"</f>
        <v xml:space="preserve">
Do not answer this question if the contingent asset guarantee is not Other (GTE 12.0/1).
</v>
      </c>
      <c r="F577" s="92" t="str">
        <f>"
You must answer this question if the scheme follows a Bespoke approach ("&amp;Questions!$D$5&amp;"), there are one or more guarantees the trustees wish to include details about ("&amp;Questions!$D$237&amp;") and the contingent asset guarantee maturity type is Other ("&amp;Questions!D411&amp;").
"</f>
        <v xml:space="preserve">
You must answer this question if the scheme follows a Bespoke approach (SH 13.0), there are one or more guarantees the trustees wish to include details about (CSI 19.0) and the contingent asset guarantee maturity type is Other (GTE 12.0/1).
</v>
      </c>
      <c r="G577" s="92" t="str">
        <f>"
The answer must be no more than 4000 characters.
"</f>
        <v xml:space="preserve">
The answer must be no more than 4000 characters.
</v>
      </c>
      <c r="H577" s="92"/>
      <c r="I577" s="92"/>
      <c r="J577" s="92"/>
    </row>
    <row r="578" spans="1:10" ht="62">
      <c r="A578" s="190" t="s">
        <v>775</v>
      </c>
      <c r="B578" s="92" t="str">
        <f>"
Do not answer this question if there are no guarantees the trustees wish to include details about ("&amp;Questions!$D$237&amp;").
"</f>
        <v xml:space="preserve">
Do not answer this question if there are no guarantees the trustees wish to include details about (CSI 19.0).
</v>
      </c>
      <c r="C578"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578" s="92" t="str">
        <f>"
You must answer this question if there are one or more guarantees the trustees wish to include details about ("&amp;Questions!$D$237&amp;").
"</f>
        <v xml:space="preserve">
You must answer this question if there are one or more guarantees the trustees wish to include details about (CSI 19.0).
</v>
      </c>
      <c r="E578" s="92" t="str">
        <f>"
Enter a value greater than or equal to 0 and less than 1,000,000,000,000 (1 trillion). It can be accurate to two decimal places.
"</f>
        <v xml:space="preserve">
Enter a value greater than or equal to 0 and less than 1,000,000,000,000 (1 trillion). It can be accurate to two decimal places.
</v>
      </c>
      <c r="F578" s="92"/>
      <c r="G578" s="92"/>
      <c r="H578" s="92"/>
      <c r="I578" s="92"/>
      <c r="J578" s="92"/>
    </row>
    <row r="579" spans="1:10" ht="62">
      <c r="A579" s="190" t="s">
        <v>777</v>
      </c>
      <c r="B579" s="92" t="str">
        <f>"
Do not answer this question if there are no guarantees the trustees wish to include details about ("&amp;Questions!$D$237&amp;").
"</f>
        <v xml:space="preserve">
Do not answer this question if there are no guarantees the trustees wish to include details about (CSI 19.0).
</v>
      </c>
      <c r="C579"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579" s="92" t="str">
        <f>"
You must answer this question if there are one or more guarantees the trustees wish to include details about ("&amp;Questions!$D$237&amp;").
"</f>
        <v xml:space="preserve">
You must answer this question if there are one or more guarantees the trustees wish to include details about (CSI 19.0).
</v>
      </c>
      <c r="E579" s="92" t="str">
        <f>"
Enter a valid date that is less than or equal to today in the format dd/mm/yyyy 
"</f>
        <v xml:space="preserve">
Enter a valid date that is less than or equal to today in the format dd/mm/yyyy 
</v>
      </c>
      <c r="F579" s="92" t="str">
        <f>"
Enter a valid date that is less than or equal to today in the format dd/mm/yyyy 
"</f>
        <v xml:space="preserve">
Enter a valid date that is less than or equal to today in the format dd/mm/yyyy 
</v>
      </c>
      <c r="G579" s="92"/>
      <c r="H579" s="92"/>
      <c r="I579" s="92"/>
      <c r="J579" s="92"/>
    </row>
    <row r="580" spans="1:10" ht="155">
      <c r="A580" s="190" t="s">
        <v>779</v>
      </c>
      <c r="B580" s="92" t="str">
        <f>"
Do not answer this question if the scheme follows a Fast Track approach ("&amp;Questions!$D$5&amp;").
"</f>
        <v xml:space="preserve">
Do not answer this question if the scheme follows a Fast Track approach (SH 13.0).
</v>
      </c>
      <c r="C580" s="92" t="str">
        <f>"
Do not answer this question if there are no guarantees the trustees wish to include details about ("&amp;Questions!$D$237&amp;").
"</f>
        <v xml:space="preserve">
Do not answer this question if there are no guarantees the trustees wish to include details about (CSI 19.0).
</v>
      </c>
      <c r="D580"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580" s="92" t="str">
        <f>"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580" s="92" t="s">
        <v>3767</v>
      </c>
      <c r="G580" s="92"/>
      <c r="H580" s="92"/>
      <c r="I580" s="92"/>
      <c r="J580" s="92"/>
    </row>
    <row r="581" spans="1:10" ht="93">
      <c r="A581" s="190" t="s">
        <v>781</v>
      </c>
      <c r="B581" s="92" t="str">
        <f>"
Do not answer this question if the scheme follows a Fast Track approach ("&amp;Questions!$D$5&amp;").
"</f>
        <v xml:space="preserve">
Do not answer this question if the scheme follows a Fast Track approach (SH 13.0).
</v>
      </c>
      <c r="C581" s="92" t="str">
        <f>"
Do not answer this question if there are no guarantees the trustees wish to include details about ("&amp;Questions!$D$237&amp;").
"</f>
        <v xml:space="preserve">
Do not answer this question if there are no guarantees the trustees wish to include details about (CSI 19.0).
</v>
      </c>
      <c r="D581"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581" s="92" t="str">
        <f>"
Do not answer this question if the contingent asset guarantee value cap is not Other ("&amp;Questions!D411&amp;").
"</f>
        <v xml:space="preserve">
Do not answer this question if the contingent asset guarantee value cap is not Other (GTE 12.0/1).
</v>
      </c>
      <c r="F581" s="92" t="str">
        <f>"
You must answer this question if the scheme follows a Bespoke approach ("&amp;Questions!$D$5&amp;"), there are one or more guarantees the trustees wish to include details about ("&amp;Questions!$D$237&amp;") and the contingent asset guarantee value cap is Other ("&amp;Questions!D411&amp;").
"</f>
        <v xml:space="preserve">
You must answer this question if the scheme follows a Bespoke approach (SH 13.0), there are one or more guarantees the trustees wish to include details about (CSI 19.0) and the contingent asset guarantee value cap is Other (GTE 12.0/1).
</v>
      </c>
      <c r="G581" s="92" t="str">
        <f>"
The answer must be no more than 4000 characters.
"</f>
        <v xml:space="preserve">
The answer must be no more than 4000 characters.
</v>
      </c>
      <c r="H581" s="92"/>
      <c r="I581" s="92"/>
      <c r="J581" s="92"/>
    </row>
    <row r="582" spans="1:10" ht="62">
      <c r="A582" s="190" t="s">
        <v>783</v>
      </c>
      <c r="B582" s="92" t="str">
        <f>"
Do not answer this question if the scheme follows a Fast Track approach ("&amp;Questions!$D$5&amp;").
"</f>
        <v xml:space="preserve">
Do not answer this question if the scheme follows a Fast Track approach (SH 13.0).
</v>
      </c>
      <c r="C582" s="92" t="str">
        <f>"
Do not answer this question if there are no guarantees the trustees wish to include details about ("&amp;Questions!$D$237&amp;").
"</f>
        <v xml:space="preserve">
Do not answer this question if there are no guarantees the trustees wish to include details about (CSI 19.0).
</v>
      </c>
      <c r="D582"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582" s="92" t="str">
        <f>"
Do not answer this question if the contingent asset guarantee value cap is not Fixed Cap ("&amp;Questions!$D$237&amp;").
"</f>
        <v xml:space="preserve">
Do not answer this question if the contingent asset guarantee value cap is not Fixed Cap (CSI 19.0).
</v>
      </c>
      <c r="F582" s="92" t="str">
        <f>"
You must answer this question if the contingent asset guarantee value cap is Fixed Cap ("&amp;Questions!$D$237&amp;").
"</f>
        <v xml:space="preserve">
You must answer this question if the contingent asset guarantee value cap is Fixed Cap (CSI 19.0).
</v>
      </c>
      <c r="G582" s="92" t="str">
        <f>"
Enter a value greater than or equal to 0 and less than 1,000,000,000,000 (1 trillion). It can be accurate to two decimal places.
"</f>
        <v xml:space="preserve">
Enter a value greater than or equal to 0 and less than 1,000,000,000,000 (1 trillion). It can be accurate to two decimal places.
</v>
      </c>
      <c r="H582" s="92"/>
      <c r="I582" s="92"/>
      <c r="J582" s="92"/>
    </row>
    <row r="583" spans="1:10" ht="77.5">
      <c r="A583" s="190" t="s">
        <v>786</v>
      </c>
      <c r="B583" s="92" t="str">
        <f>"
Do not answer this question if the scheme follows a Fast Track approach ("&amp;Questions!$D$5&amp;").
"</f>
        <v xml:space="preserve">
Do not answer this question if the scheme follows a Fast Track approach (SH 13.0).
</v>
      </c>
      <c r="C583" s="92" t="str">
        <f>"
Do not answer this question if there are no guarantees the trustees wish to include details about ("&amp;Questions!$D$237&amp;").
"</f>
        <v xml:space="preserve">
Do not answer this question if there are no guarantees the trustees wish to include details about (CSI 19.0).
</v>
      </c>
      <c r="D583"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583" s="92" t="str">
        <f>"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583" s="92" t="str">
        <f>"
Select ‘Yes’ if participating employer insolvency is a trigger for access to value, or ‘No’ if not
"</f>
        <v xml:space="preserve">
Select ‘Yes’ if participating employer insolvency is a trigger for access to value, or ‘No’ if not
</v>
      </c>
      <c r="G583" s="92"/>
      <c r="H583" s="92"/>
      <c r="I583" s="92"/>
      <c r="J583" s="92"/>
    </row>
    <row r="584" spans="1:10" ht="77.5">
      <c r="A584" s="190" t="s">
        <v>789</v>
      </c>
      <c r="B584" s="92" t="str">
        <f>"
Do not answer this question if the scheme follows a Fast Track approach ("&amp;Questions!$D$5&amp;").
"</f>
        <v xml:space="preserve">
Do not answer this question if the scheme follows a Fast Track approach (SH 13.0).
</v>
      </c>
      <c r="C584" s="92" t="str">
        <f>"
Do not answer this question if there are no guarantees the trustees wish to include details about ("&amp;Questions!$D$237&amp;").
"</f>
        <v xml:space="preserve">
Do not answer this question if there are no guarantees the trustees wish to include details about (CSI 19.0).
</v>
      </c>
      <c r="D584"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584" s="92" t="str">
        <f>"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584" s="92" t="str">
        <f>"
Select ‘Yes’ if the insolvency of an associated company is a trigger for access to value, or ‘No’ if not
"</f>
        <v xml:space="preserve">
Select ‘Yes’ if the insolvency of an associated company is a trigger for access to value, or ‘No’ if not
</v>
      </c>
      <c r="G584" s="92"/>
      <c r="H584" s="92"/>
      <c r="I584" s="92"/>
      <c r="J584" s="92"/>
    </row>
    <row r="585" spans="1:10" ht="77.5">
      <c r="A585" s="190" t="s">
        <v>791</v>
      </c>
      <c r="B585" s="92" t="str">
        <f>"
Do not answer this question if the scheme follows a Fast Track approach ("&amp;Questions!$D$5&amp;").
"</f>
        <v xml:space="preserve">
Do not answer this question if the scheme follows a Fast Track approach (SH 13.0).
</v>
      </c>
      <c r="C585" s="92" t="str">
        <f>"
Do not answer this question if there are no guarantees the trustees wish to include details about ("&amp;Questions!$D$237&amp;").
"</f>
        <v xml:space="preserve">
Do not answer this question if there are no guarantees the trustees wish to include details about (CSI 19.0).
</v>
      </c>
      <c r="D585" s="92" t="str">
        <f>"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585" s="92" t="str">
        <f>"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585" s="92" t="str">
        <f>"
Select ‘Yes’ if non payment of contributions is a trigger for access to value, or ‘No’ if not
"</f>
        <v xml:space="preserve">
Select ‘Yes’ if non payment of contributions is a trigger for access to value, or ‘No’ if not
</v>
      </c>
      <c r="G585" s="92"/>
      <c r="H585" s="92"/>
      <c r="I585" s="92"/>
      <c r="J585" s="92"/>
    </row>
    <row r="586" spans="1:10" ht="77.5">
      <c r="A586" s="190" t="s">
        <v>793</v>
      </c>
      <c r="B586" s="92" t="str">
        <f>"
Do not answer this question if the scheme follows a Fast Track approach ("&amp;Questions!$D$5&amp;").
"</f>
        <v xml:space="preserve">
Do not answer this question if the scheme follows a Fast Track approach (SH 13.0).
</v>
      </c>
      <c r="C586" s="92" t="str">
        <f>"
Do not answer this question if there are no guarantees the trustees wish to include details about ("&amp;Questions!$D$237&amp;").
"</f>
        <v xml:space="preserve">
Do not answer this question if there are no guarantees the trustees wish to include details about (CSI 19.0).
</v>
      </c>
      <c r="D586"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586"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586" s="92" t="str">
        <f>"
Select ‘Yes’ if crystallisation of investment risk is a trigger for access to value, or ‘No’ if not
"</f>
        <v xml:space="preserve">
Select ‘Yes’ if crystallisation of investment risk is a trigger for access to value, or ‘No’ if not
</v>
      </c>
      <c r="G586" s="92"/>
      <c r="H586" s="92"/>
      <c r="I586" s="92"/>
      <c r="J586" s="92"/>
    </row>
    <row r="587" spans="1:10" ht="77.5">
      <c r="A587" s="190" t="s">
        <v>795</v>
      </c>
      <c r="B587" s="92" t="str">
        <f>"
Do not answer this question if the scheme follows a Fast Track approach ("&amp;Questions!$D$5&amp;").
"</f>
        <v xml:space="preserve">
Do not answer this question if the scheme follows a Fast Track approach (SH 13.0).
</v>
      </c>
      <c r="C587" s="92" t="str">
        <f>"
Do not answer this question if there are no guarantees the trustees wish to include details about ("&amp;Questions!$D$237&amp;").
"</f>
        <v xml:space="preserve">
Do not answer this question if there are no guarantees the trustees wish to include details about (CSI 19.0).
</v>
      </c>
      <c r="D587"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587" s="92" t="str">
        <f>"
You must answer this question if the scheme follows a Bespoke approach ("&amp;Questions!$D$5&amp;") and there are one or more contingent assets the trustees wish to include details about ("&amp;Questions!$D$237&amp;").
"</f>
        <v xml:space="preserve">
You must answer this question if the scheme follows a Bespoke approach (SH 13.0) and there are one or more contingent assets the trustees wish to include details about (CSI 19.0).
</v>
      </c>
      <c r="F587" s="92" t="str">
        <f>"
Select ‘Yes’ if Other is a trigger for access to value, or ‘No’ if not
"</f>
        <v xml:space="preserve">
Select ‘Yes’ if Other is a trigger for access to value, or ‘No’ if not
</v>
      </c>
      <c r="G587" s="92"/>
      <c r="H587" s="92"/>
      <c r="I587" s="92"/>
      <c r="J587" s="92"/>
    </row>
    <row r="588" spans="1:10" ht="93">
      <c r="A588" s="190" t="s">
        <v>797</v>
      </c>
      <c r="B588" s="92" t="str">
        <f>"
Do not answer this question if the scheme follows a Fast Track approach ("&amp;Questions!$D$5&amp;").
"</f>
        <v xml:space="preserve">
Do not answer this question if the scheme follows a Fast Track approach (SH 13.0).
</v>
      </c>
      <c r="C588" s="92" t="str">
        <f>"
Do not answer this question if there are no guarantees the trustees wish to include details about ("&amp;Questions!$D$237&amp;").
"</f>
        <v xml:space="preserve">
Do not answer this question if there are no guarantees the trustees wish to include details about (CSI 19.0).
</v>
      </c>
      <c r="D588"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588" s="92" t="str">
        <f>"
Do not answer this question if Other is not a trigger for access to value ("&amp;Questions!D425&amp;").
"</f>
        <v xml:space="preserve">
Do not answer this question if Other is not a trigger for access to value (GTE 26.0/1).
</v>
      </c>
      <c r="F588" s="92" t="str">
        <f>"
You must answer this question if the scheme follows a Bespoke approach ("&amp;Questions!$D$5&amp;"), there are one or more guarantees the trustees wish to include details about ("&amp;Questions!$D$237&amp;") and Other is a trigger for access to value ("&amp;Questions!D425&amp;").
"</f>
        <v xml:space="preserve">
You must answer this question if the scheme follows a Bespoke approach (SH 13.0), there are one or more guarantees the trustees wish to include details about (CSI 19.0) and Other is a trigger for access to value (GTE 26.0/1).
</v>
      </c>
      <c r="G588" s="92" t="str">
        <f>"
The answer must be no more than 4000 characters.
"</f>
        <v xml:space="preserve">
The answer must be no more than 4000 characters.
</v>
      </c>
      <c r="H588" s="92"/>
      <c r="I588" s="92"/>
      <c r="J588" s="92"/>
    </row>
    <row r="589" spans="1:10" ht="77.5">
      <c r="A589" s="190" t="s">
        <v>799</v>
      </c>
      <c r="B589" s="92" t="str">
        <f>"
Do not answer this question if the scheme follows a Fast Track approach ("&amp;Questions!$D$5&amp;").
"</f>
        <v xml:space="preserve">
Do not answer this question if the scheme follows a Fast Track approach (SH 13.0).
</v>
      </c>
      <c r="C589" s="92" t="str">
        <f>"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589"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589" s="92" t="str">
        <f>"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589" s="92" t="str">
        <f>"
The answer must be no more than 4000 characters.
"</f>
        <v xml:space="preserve">
The answer must be no more than 4000 characters.
</v>
      </c>
      <c r="G589" s="92"/>
      <c r="H589" s="92"/>
      <c r="I589" s="92"/>
      <c r="J589" s="92"/>
    </row>
    <row r="590" spans="1:10" ht="62">
      <c r="A590" s="190" t="s">
        <v>802</v>
      </c>
      <c r="B590" s="92" t="str">
        <f>"
Do not answer this question if there are no guarantees the trustees wish to include details about ("&amp;Questions!$D$237&amp;").
"</f>
        <v xml:space="preserve">
Do not answer this question if there are no guarantees the trustees wish to include details about (CSI 19.0).
</v>
      </c>
      <c r="C590"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590" s="92" t="str">
        <f>"
You must answer this question if there are one or more guarantees the trustees wish to include details about ("&amp;Questions!$D$237&amp;").
"</f>
        <v xml:space="preserve">
You must answer this question if there are one or more guarantees the trustees wish to include details about (CSI 19.0).
</v>
      </c>
      <c r="E590" s="92" t="str">
        <f>"
The answer must be no more than 510 characters.
"</f>
        <v xml:space="preserve">
The answer must be no more than 510 characters.
</v>
      </c>
      <c r="F590" s="92"/>
      <c r="G590" s="92"/>
      <c r="H590" s="92"/>
      <c r="I590" s="92"/>
      <c r="J590" s="92"/>
    </row>
    <row r="591" spans="1:10" ht="124">
      <c r="A591" s="190" t="s">
        <v>804</v>
      </c>
      <c r="B591" s="92" t="str">
        <f>"
Do not answer this question if there are no guarantees the trustees wish to include details about ("&amp;Questions!$D$237&amp;").
"</f>
        <v xml:space="preserve">
Do not answer this question if there are no guarantees the trustees wish to include details about (CSI 19.0).
</v>
      </c>
      <c r="C591"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591" s="92" t="s">
        <v>4784</v>
      </c>
      <c r="E591" s="92"/>
      <c r="F591" s="92"/>
      <c r="G591" s="92"/>
      <c r="H591" s="92"/>
      <c r="I591" s="92"/>
      <c r="J591" s="92"/>
    </row>
    <row r="592" spans="1:10" ht="62">
      <c r="A592" s="190" t="s">
        <v>806</v>
      </c>
      <c r="B592" s="92" t="str">
        <f>"
Do not answer this question if there are no guarantees the trustees wish to include details about ("&amp;Questions!$D$237&amp;").
"</f>
        <v xml:space="preserve">
Do not answer this question if there are no guarantees the trustees wish to include details about (CSI 19.0).
</v>
      </c>
      <c r="C592"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592" s="92" t="str">
        <f>"
Do not answer this question if you have provided a contingent asset guarantee Companies House number ("&amp;Questions!$D$429&amp;").
"</f>
        <v xml:space="preserve">
Do not answer this question if you have provided a contingent asset guarantee Companies House number (GTE 2.0/2).
</v>
      </c>
      <c r="E592" s="92" t="s">
        <v>3766</v>
      </c>
      <c r="F592" s="92"/>
      <c r="G592" s="92"/>
      <c r="H592" s="92"/>
      <c r="I592" s="92"/>
      <c r="J592" s="92"/>
    </row>
    <row r="593" spans="1:10" ht="93">
      <c r="A593" s="190" t="s">
        <v>808</v>
      </c>
      <c r="B593" s="92" t="str">
        <f>"
Do not answer this question if there are no guarantees the trustees wish to include details about ("&amp;Questions!$D$237&amp;").
"</f>
        <v xml:space="preserve">
Do not answer this question if there are no guarantees the trustees wish to include details about (CSI 19.0).
</v>
      </c>
      <c r="C593"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593" s="92" t="str">
        <f>"
Do not answer this question if you have provided a contingent asset guarantee Companies House number ("&amp;Questions!$D$429&amp;").
"</f>
        <v xml:space="preserve">
Do not answer this question if you have provided a contingent asset guarantee Companies House number (GTE 2.0/2).
</v>
      </c>
      <c r="E593" s="92" t="str">
        <f>"
Do not answer this question if you have provided a contingent asset guarantee charity number ("&amp;Questions!$D$430&amp;").
"</f>
        <v xml:space="preserve">
Do not answer this question if you have provided a contingent asset guarantee charity number (GTE 3.0/2).
</v>
      </c>
      <c r="F593" s="92" t="str">
        <f>"
You must answer this question if there are one or more guarantees the trustees wish to include details about ("&amp;Questions!$D$237&amp;") and you have not provided a contingent asset guarantee Companies House number ("&amp;Questions!$D$429&amp;") or a contingent asset guarantee charity number ("&amp;Questions!$D$430&amp;").
"</f>
        <v xml:space="preserve">
You must answer this question if there are one or more guarantees the trustees wish to include details about (CSI 19.0) and you have not provided a contingent asset guarantee Companies House number (GTE 2.0/2) or a contingent asset guarantee charity number (GTE 3.0/2).
</v>
      </c>
      <c r="G593" s="92" t="str">
        <f>"
The answer must be no more than 510 characters.
"</f>
        <v xml:space="preserve">
The answer must be no more than 510 characters.
</v>
      </c>
      <c r="H593" s="92"/>
      <c r="I593" s="92"/>
      <c r="J593" s="92"/>
    </row>
    <row r="594" spans="1:10" ht="93">
      <c r="A594" s="190" t="s">
        <v>810</v>
      </c>
      <c r="B594" s="92" t="str">
        <f>"
Do not answer this question if there are no guarantees the trustees wish to include details about ("&amp;Questions!$D$237&amp;").
"</f>
        <v xml:space="preserve">
Do not answer this question if there are no guarantees the trustees wish to include details about (CSI 19.0).
</v>
      </c>
      <c r="C594"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594" s="92" t="str">
        <f>"
Do not answer this question if you have provided a contingent asset guarantee Companies House number ("&amp;Questions!$D$429&amp;").
"</f>
        <v xml:space="preserve">
Do not answer this question if you have provided a contingent asset guarantee Companies House number (GTE 2.0/2).
</v>
      </c>
      <c r="E594" s="92" t="str">
        <f>"
Do not answer this question if you have provided a contingent asset guarantee charity number ("&amp;Questions!$D$430&amp;").
"</f>
        <v xml:space="preserve">
Do not answer this question if you have provided a contingent asset guarantee charity number (GTE 3.0/2).
</v>
      </c>
      <c r="F594" s="92" t="str">
        <f>"
You must answer this question if there are one or more guarantees the trustees wish to include details about ("&amp;Questions!$D$237&amp;") and you have not provided a contingent asset guarantee Companies House number ("&amp;Questions!$D$429&amp;") or a contingent asset guarantee charity number ("&amp;Questions!$D$430&amp;").
"</f>
        <v xml:space="preserve">
You must answer this question if there are one or more guarantees the trustees wish to include details about (CSI 19.0) and you have not provided a contingent asset guarantee Companies House number (GTE 2.0/2) or a contingent asset guarantee charity number (GTE 3.0/2).
</v>
      </c>
      <c r="G594" s="92" t="str">
        <f>"
The answer must be no more than 510 characters.
"</f>
        <v xml:space="preserve">
The answer must be no more than 510 characters.
</v>
      </c>
      <c r="H594" s="92"/>
      <c r="I594" s="92"/>
      <c r="J594" s="92"/>
    </row>
    <row r="595" spans="1:10" ht="62">
      <c r="A595" s="190" t="s">
        <v>812</v>
      </c>
      <c r="B595" s="92" t="str">
        <f>"
Do not answer this question if there are no guarantees the trustees wish to include details about ("&amp;Questions!$D$237&amp;").
"</f>
        <v xml:space="preserve">
Do not answer this question if there are no guarantees the trustees wish to include details about (CSI 19.0).
</v>
      </c>
      <c r="C595"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595" s="92" t="str">
        <f>"
Do not answer this question if you have provided a contingent asset guarantee Companies House number ("&amp;Questions!$D$429&amp;").
"</f>
        <v xml:space="preserve">
Do not answer this question if you have provided a contingent asset guarantee Companies House number (GTE 2.0/2).
</v>
      </c>
      <c r="E595" s="92" t="str">
        <f>"
Do not answer this question if you have provided a contingent asset guarantee charity number ("&amp;Questions!$D$430&amp;").
"</f>
        <v xml:space="preserve">
Do not answer this question if you have provided a contingent asset guarantee charity number (GTE 3.0/2).
</v>
      </c>
      <c r="F595" s="92" t="str">
        <f>"
The answer must be no more than 510 characters.
"</f>
        <v xml:space="preserve">
The answer must be no more than 510 characters.
</v>
      </c>
      <c r="G595" s="92"/>
      <c r="H595" s="92"/>
      <c r="I595" s="92"/>
      <c r="J595" s="92"/>
    </row>
    <row r="596" spans="1:10" ht="62">
      <c r="A596" s="190" t="s">
        <v>814</v>
      </c>
      <c r="B596" s="92" t="str">
        <f>"
Do not answer this question if there are no guarantees the trustees wish to include details about ("&amp;Questions!$D$237&amp;").
"</f>
        <v xml:space="preserve">
Do not answer this question if there are no guarantees the trustees wish to include details about (CSI 19.0).
</v>
      </c>
      <c r="C596"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596" s="92" t="str">
        <f>"
Do not answer this question if you have provided a contingent asset guarantee Companies House number ("&amp;Questions!$D$429&amp;").
"</f>
        <v xml:space="preserve">
Do not answer this question if you have provided a contingent asset guarantee Companies House number (GTE 2.0/2).
</v>
      </c>
      <c r="E596" s="92" t="str">
        <f>"
Do not answer this question if you have provided a contingent asset guarantee charity number ("&amp;Questions!$D$430&amp;").
"</f>
        <v xml:space="preserve">
Do not answer this question if you have provided a contingent asset guarantee charity number (GTE 3.0/2).
</v>
      </c>
      <c r="F596" s="92" t="str">
        <f>"
The answer must be no more than 510 characters.
"</f>
        <v xml:space="preserve">
The answer must be no more than 510 characters.
</v>
      </c>
      <c r="G596" s="92"/>
      <c r="H596" s="92"/>
      <c r="I596" s="92"/>
      <c r="J596" s="92"/>
    </row>
    <row r="597" spans="1:10" ht="93">
      <c r="A597" s="190" t="s">
        <v>816</v>
      </c>
      <c r="B597" s="92" t="str">
        <f>"
Do not answer this question if there are no guarantees the trustees wish to include details about ("&amp;Questions!$D$237&amp;").
"</f>
        <v xml:space="preserve">
Do not answer this question if there are no guarantees the trustees wish to include details about (CSI 19.0).
</v>
      </c>
      <c r="C597"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597" s="92" t="str">
        <f>"
Do not answer this question if you have provided a contingent asset guarantee Companies House number ("&amp;Questions!$D$429&amp;").
"</f>
        <v xml:space="preserve">
Do not answer this question if you have provided a contingent asset guarantee Companies House number (GTE 2.0/2).
</v>
      </c>
      <c r="E597" s="92" t="str">
        <f>"
Do not answer this question if you have provided a contingent asset guarantee charity number ("&amp;Questions!$D$430&amp;").
"</f>
        <v xml:space="preserve">
Do not answer this question if you have provided a contingent asset guarantee charity number (GTE 3.0/2).
</v>
      </c>
      <c r="F597" s="92" t="str">
        <f>"
You must answer this question if there are one or more guarantees the trustees wish to include details about ("&amp;Questions!$D$237&amp;") and you have not provided a contingent asset guarantee Companies House number ("&amp;Questions!$D$429&amp;") or a contingent asset guarantee charity number ("&amp;Questions!$D$430&amp;").
"</f>
        <v xml:space="preserve">
You must answer this question if there are one or more guarantees the trustees wish to include details about (CSI 19.0) and you have not provided a contingent asset guarantee Companies House number (GTE 2.0/2) or a contingent asset guarantee charity number (GTE 3.0/2).
</v>
      </c>
      <c r="G597" s="92" t="str">
        <f>"
The answer must be no more than 510 characters.
"</f>
        <v xml:space="preserve">
The answer must be no more than 510 characters.
</v>
      </c>
      <c r="H597" s="92"/>
      <c r="I597" s="92"/>
      <c r="J597" s="92"/>
    </row>
    <row r="598" spans="1:10" ht="93">
      <c r="A598" s="190" t="s">
        <v>818</v>
      </c>
      <c r="B598" s="92" t="str">
        <f>"
Do not answer this question if there are no guarantees the trustees wish to include details about ("&amp;Questions!$D$237&amp;").
"</f>
        <v xml:space="preserve">
Do not answer this question if there are no guarantees the trustees wish to include details about (CSI 19.0).
</v>
      </c>
      <c r="C598"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598" s="92" t="str">
        <f>"
Do not answer this question if you have provided a contingent asset guarantee Companies House number ("&amp;Questions!$D$429&amp;").
"</f>
        <v xml:space="preserve">
Do not answer this question if you have provided a contingent asset guarantee Companies House number (GTE 2.0/2).
</v>
      </c>
      <c r="E598" s="92" t="str">
        <f>"
Do not answer this question if you have provided a contingent asset guarantee charity number ("&amp;Questions!$D$430&amp;").
"</f>
        <v xml:space="preserve">
Do not answer this question if you have provided a contingent asset guarantee charity number (GTE 3.0/2).
</v>
      </c>
      <c r="F598" s="92" t="str">
        <f>"
You must answer this question if there are one or more guarantees the trustees wish to include details about ("&amp;Questions!$D$237&amp;") and you have not provided a contingent asset guarantee Companies House number ("&amp;Questions!$D$429&amp;") or a contingent asset guarantee charity number ("&amp;Questions!$D$430&amp;").
"</f>
        <v xml:space="preserve">
You must answer this question if there are one or more guarantees the trustees wish to include details about (CSI 19.0) and you have not provided a contingent asset guarantee Companies House number (GTE 2.0/2) or a contingent asset guarantee charity number (GTE 3.0/2).
</v>
      </c>
      <c r="G598" s="92" t="str">
        <f>"
Select 'United Kingdom' if the address is for a UK address, or the relevant country from the drop down list if not.
"</f>
        <v xml:space="preserve">
Select 'United Kingdom' if the address is for a UK address, or the relevant country from the drop down list if not.
</v>
      </c>
      <c r="H598" s="92"/>
      <c r="I598" s="92"/>
      <c r="J598" s="92"/>
    </row>
    <row r="599" spans="1:10" ht="108.5">
      <c r="A599" s="190" t="s">
        <v>821</v>
      </c>
      <c r="B599" s="92" t="str">
        <f>"
Do not answer this question if there are no guarantees the trustees wish to include details about ("&amp;Questions!$D$237&amp;").
"</f>
        <v xml:space="preserve">
Do not answer this question if there are no guarantees the trustees wish to include details about (CSI 19.0).
</v>
      </c>
      <c r="C599"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599" s="92" t="str">
        <f>"
Do not answer this question if you have provided a contingent asset guarantee Companies House number ("&amp;Questions!$D$429&amp;").
"</f>
        <v xml:space="preserve">
Do not answer this question if you have provided a contingent asset guarantee Companies House number (GTE 2.0/2).
</v>
      </c>
      <c r="E599" s="92" t="str">
        <f>"
Do not answer this question if you have provided a contingent asset guarantee charity number ("&amp;Questions!$D$430&amp;").
"</f>
        <v xml:space="preserve">
Do not answer this question if you have provided a contingent asset guarantee charity number (GTE 3.0/2).
</v>
      </c>
      <c r="F599" s="92" t="str">
        <f>"
You must answer this question if there are one or more guarantees the trustees wish to include details about ("&amp;Questions!$D$237&amp;") and you have not provided a contingent asset guarantee Companies House number ("&amp;Questions!$D$429&amp;") or a contingent asset guarantee charity number ("&amp;Questions!$D$430&amp;"), and the country is United Kingdom ("&amp;Questions!$D$436&amp;").
"</f>
        <v xml:space="preserve">
You must answer this question if there are one or more guarantees the trustees wish to include details about (CSI 19.0) and you have not provided a contingent asset guarantee Companies House number (GTE 2.0/2) or a contingent asset guarantee charity number (GTE 3.0/2), and the country is United Kingdom (GTE 9.0/2).
</v>
      </c>
      <c r="G599" s="92" t="str">
        <f>"
The answer must be a valid postcode with between 5 and 8 characters.
"</f>
        <v xml:space="preserve">
The answer must be a valid postcode with between 5 and 8 characters.
</v>
      </c>
      <c r="H599" s="92"/>
      <c r="I599" s="92"/>
      <c r="J599" s="92"/>
    </row>
    <row r="600" spans="1:10" ht="93">
      <c r="A600" s="190" t="s">
        <v>823</v>
      </c>
      <c r="B600" s="92" t="str">
        <f>"
Do not answer this question if the scheme follows a Fast Track approach ("&amp;Questions!$D$5&amp;").
"</f>
        <v xml:space="preserve">
Do not answer this question if the scheme follows a Fast Track approach (SH 13.0).
</v>
      </c>
      <c r="C600" s="92" t="str">
        <f>"
Do not answer this question if there are no guarantees the trustees wish to include details about ("&amp;Questions!$D$237&amp;").
"</f>
        <v xml:space="preserve">
Do not answer this question if there are no guarantees the trustees wish to include details about (CSI 19.0).
</v>
      </c>
      <c r="D600"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00" s="92" t="str">
        <f>"
You must answer this question if the scheme follows a Bespoke approach ("&amp;Questions!$D$5&amp;"), is post-relevant date ("&amp;Questions!$D$14&amp;"), does not meet the 'Bespoke low-risk scheme' requirements ("&amp;Questions!$D$6&amp;") and there are one or more guarantees the trustees wish to include details about ("&amp;Questions!$D$237&amp;").
"</f>
        <v xml:space="preserve">
You must answer this question if the scheme follows a Bespoke approach (SH 13.0), is post-relevant date (SH 10.0), does not meet the 'Bespoke low-risk scheme' requirements (SH 14.0) and there are one or more guarantees the trustees wish to include details about (CSI 19.0).
</v>
      </c>
      <c r="F600" s="92" t="str">
        <f>"
Select ‘Yes’ if the guarantor of the contingent asset guarantee is an associated company, or ‘No’ if not
"</f>
        <v xml:space="preserve">
Select ‘Yes’ if the guarantor of the contingent asset guarantee is an associated company, or ‘No’ if not
</v>
      </c>
      <c r="G600" s="92" t="str">
        <f>"
Do not answer this question if the scheme follows a Bespoke approach ("&amp;Questions!$D$5&amp;"), the scheme is post-relevant date ("&amp;Questions!$D$14&amp;") and the scheme meets the 'Bespoke low-risk scheme' requirements' ("&amp;Questions!$D$6&amp;").
"</f>
        <v xml:space="preserve">
Do not answer this question if the scheme follows a Bespoke approach (SH 13.0), the scheme is post-relevant date (SH 10.0) and the scheme meets the 'Bespoke low-risk scheme' requirements' (SH 14.0).
</v>
      </c>
      <c r="H600" s="92" t="str">
        <f>"
You must answer this question if the scheme follows a Bespoke approach ("&amp;Questions!$D$5&amp;"), is pre-relevant date ("&amp;Questions!$D$14&amp;")  and there are one or more guarantees the trustees wish to include details about ("&amp;Questions!$D$237&amp;").
"</f>
        <v xml:space="preserve">
You must answer this question if the scheme follows a Bespoke approach (SH 13.0), is pre-relevant date (SH 10.0)  and there are one or more guarantees the trustees wish to include details about (CSI 19.0).
</v>
      </c>
      <c r="I600" s="92"/>
      <c r="J600" s="92"/>
    </row>
    <row r="601" spans="1:10" ht="124">
      <c r="A601" s="190" t="s">
        <v>826</v>
      </c>
      <c r="B601" s="92" t="str">
        <f>"
Do not answer this question if there are no guarantees the trustees wish to include details about ("&amp;Questions!$D$237&amp;").
"</f>
        <v xml:space="preserve">
Do not answer this question if there are no guarantees the trustees wish to include details about (CSI 19.0).
</v>
      </c>
      <c r="C601"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01" s="92" t="str">
        <f>"
You must answer this question if there are one or more guarantees the trustees wish to include details about ("&amp;Questions!$D$237&amp;").
"</f>
        <v xml:space="preserve">
You must answer this question if there are one or more guarantees the trustees wish to include details about (CSI 19.0).
</v>
      </c>
      <c r="E601" s="92" t="str">
        <f>"
Select one of the following options from the drop-down list:
• Formal look-through guarantee
• Look-through guarantee subject to limitation
• Non look-through guarantee
• Other
"</f>
        <v xml:space="preserve">
Select one of the following options from the drop-down list:
• Formal look-through guarantee
• Look-through guarantee subject to limitation
• Non look-through guarantee
• Other
</v>
      </c>
      <c r="F601" s="92"/>
      <c r="G601" s="92"/>
      <c r="H601" s="92"/>
      <c r="I601" s="92"/>
      <c r="J601" s="92"/>
    </row>
    <row r="602" spans="1:10" ht="77.5">
      <c r="A602" s="190" t="s">
        <v>828</v>
      </c>
      <c r="B602" s="92" t="str">
        <f>"
Do not answer this question if there are no guarantees the trustees wish to include details about ("&amp;Questions!$D$237&amp;").
"</f>
        <v xml:space="preserve">
Do not answer this question if there are no guarantees the trustees wish to include details about (CSI 19.0).
</v>
      </c>
      <c r="C602"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02" s="92" t="str">
        <f>"
Do not answer this question if there are one or more guarantees the trustees wish to include details about ("&amp;Questions!$D$237&amp;") and you have not answered Other to the type of guarantee ("&amp;Questions!$D$439&amp;").
"</f>
        <v xml:space="preserve">
Do not answer this question if there are one or more guarantees the trustees wish to include details about (CSI 19.0) and you have not answered Other to the type of guarantee (GTE 12.0/2).
</v>
      </c>
      <c r="E602" s="92" t="str">
        <f>"
You must answer this question if you have answered “Other” to the type of guarantee ("&amp;Questions!$D$439&amp;").
"</f>
        <v xml:space="preserve">
You must answer this question if you have answered “Other” to the type of guarantee (GTE 12.0/2).
</v>
      </c>
      <c r="F602" s="92" t="str">
        <f>"
The answer must be no more than 4000 characters.
"</f>
        <v xml:space="preserve">
The answer must be no more than 4000 characters.
</v>
      </c>
      <c r="G602" s="92"/>
      <c r="H602" s="92"/>
      <c r="I602" s="92"/>
      <c r="J602" s="92"/>
    </row>
    <row r="603" spans="1:10" ht="93">
      <c r="A603" s="190" t="s">
        <v>830</v>
      </c>
      <c r="B603" s="92" t="str">
        <f>"
Do not answer this question if the scheme follows a Fast Track approach ("&amp;Questions!$D$5&amp;").
"</f>
        <v xml:space="preserve">
Do not answer this question if the scheme follows a Fast Track approach (SH 13.0).
</v>
      </c>
      <c r="C603" s="92" t="str">
        <f>"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603" s="92" t="str">
        <f>"
Do not answer this question if there are no guarantees the trustees wish to include details about ("&amp;Questions!$D$237&amp;").
"</f>
        <v xml:space="preserve">
Do not answer this question if there are no guarantees the trustees wish to include details about (CSI 19.0).
</v>
      </c>
      <c r="E603" s="92" t="str">
        <f>"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03" s="92" t="str">
        <f>"
Select one of the following options from the drop-down list:
• Evergreen
• Fixed expiry with a maturity date
• Other"</f>
        <v xml:space="preserve">
Select one of the following options from the drop-down list:
• Evergreen
• Fixed expiry with a maturity date
• Other</v>
      </c>
      <c r="G603" s="92"/>
      <c r="H603" s="92"/>
      <c r="I603" s="92"/>
      <c r="J603" s="92"/>
    </row>
    <row r="604" spans="1:10" ht="93">
      <c r="A604" s="190" t="s">
        <v>832</v>
      </c>
      <c r="B604" s="92" t="str">
        <f>"
Do not answer this question if the scheme follows a Fast Track approach ("&amp;Questions!$D$5&amp;").
"</f>
        <v xml:space="preserve">
Do not answer this question if the scheme follows a Fast Track approach (SH 13.0).
</v>
      </c>
      <c r="C604" s="92" t="str">
        <f>"
Do not answer this question if there are no guarantees the trustees wish to include details about ("&amp;Questions!$D$237&amp;").
"</f>
        <v xml:space="preserve">
Do not answer this question if there are no guarantees the trustees wish to include details about (CSI 19.0).
</v>
      </c>
      <c r="D604"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04" s="92" t="str">
        <f>"
Do not answer this question if the contingent asset guarantee is Evergreen or Other ("&amp;Questions!D439&amp;").
"</f>
        <v xml:space="preserve">
Do not answer this question if the contingent asset guarantee is Evergreen or Other (GTE 12.0/2).
</v>
      </c>
      <c r="F604" s="92" t="str">
        <f>"
You must answer this question if the scheme follows a Bespoke approach ("&amp;Questions!$D$5&amp;"), there are one or more guarantees the trustees wish to include details about ("&amp;Questions!$D$237&amp;") and the contingent asset guarantee maturity type is Fixed expiry with a maturity date ("&amp;Questions!D439&amp;").
"</f>
        <v xml:space="preserve">
You must answer this question if the scheme follows a Bespoke approach (SH 13.0), there are one or more guarantees the trustees wish to include details about (CSI 19.0) and the contingent asset guarantee maturity type is Fixed expiry with a maturity date (GTE 12.0/2).
</v>
      </c>
      <c r="G604" s="92" t="str">
        <f>"
Enter a valid date in the format dd/mm/yyyy 
"</f>
        <v xml:space="preserve">
Enter a valid date in the format dd/mm/yyyy 
</v>
      </c>
      <c r="H604" s="92" t="str">
        <f>"
This date cannot be less than the effective date of the actuarial validation ("&amp;Questions!$D$2&amp;")
"</f>
        <v xml:space="preserve">
This date cannot be less than the effective date of the actuarial validation (SH 8.0)
</v>
      </c>
      <c r="I604" s="92"/>
      <c r="J604" s="92"/>
    </row>
    <row r="605" spans="1:10" ht="93">
      <c r="A605" s="190" t="s">
        <v>834</v>
      </c>
      <c r="B605" s="92" t="str">
        <f>"
Do not answer this question if the scheme follows a Fast Track approach ("&amp;Questions!$D$5&amp;").
"</f>
        <v xml:space="preserve">
Do not answer this question if the scheme follows a Fast Track approach (SH 13.0).
</v>
      </c>
      <c r="C605" s="92" t="str">
        <f>"
Do not answer this question if there are no guarantees the trustees wish to include details about ("&amp;Questions!$D$237&amp;").
"</f>
        <v xml:space="preserve">
Do not answer this question if there are no guarantees the trustees wish to include details about (CSI 19.0).
</v>
      </c>
      <c r="D605"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05" s="92" t="str">
        <f>"
Do not answer this question if the contingent asset guarantee is not Other ("&amp;Questions!D439&amp;").
"</f>
        <v xml:space="preserve">
Do not answer this question if the contingent asset guarantee is not Other (GTE 12.0/2).
</v>
      </c>
      <c r="F605" s="92" t="str">
        <f>"
You must answer this question if the scheme follows a Bespoke approach ("&amp;Questions!$D$5&amp;"), there are one or more guarantees the trustees wish to include details about ("&amp;Questions!$D$237&amp;") and the contingent asset guarantee maturity type is Other ("&amp;Questions!D439&amp;").
"</f>
        <v xml:space="preserve">
You must answer this question if the scheme follows a Bespoke approach (SH 13.0), there are one or more guarantees the trustees wish to include details about (CSI 19.0) and the contingent asset guarantee maturity type is Other (GTE 12.0/2).
</v>
      </c>
      <c r="G605" s="92" t="str">
        <f>"
The answer must be no more than 4000 characters.
"</f>
        <v xml:space="preserve">
The answer must be no more than 4000 characters.
</v>
      </c>
      <c r="H605" s="92"/>
      <c r="I605" s="92"/>
      <c r="J605" s="92"/>
    </row>
    <row r="606" spans="1:10" ht="62">
      <c r="A606" s="190" t="s">
        <v>836</v>
      </c>
      <c r="B606" s="92" t="str">
        <f>"
Do not answer this question if there are no guarantees the trustees wish to include details about ("&amp;Questions!$D$237&amp;").
"</f>
        <v xml:space="preserve">
Do not answer this question if there are no guarantees the trustees wish to include details about (CSI 19.0).
</v>
      </c>
      <c r="C606"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06" s="92" t="str">
        <f>"
You must answer this question if there are one or more guarantees the trustees wish to include details about ("&amp;Questions!$D$237&amp;").
"</f>
        <v xml:space="preserve">
You must answer this question if there are one or more guarantees the trustees wish to include details about (CSI 19.0).
</v>
      </c>
      <c r="E606" s="92" t="str">
        <f>"
Enter a value greater than or equal to 0 and less than 1,000,000,000,000 (1 trillion). It can be accurate to two decimal places.
"</f>
        <v xml:space="preserve">
Enter a value greater than or equal to 0 and less than 1,000,000,000,000 (1 trillion). It can be accurate to two decimal places.
</v>
      </c>
      <c r="F606" s="92"/>
      <c r="G606" s="92"/>
      <c r="H606" s="92"/>
      <c r="I606" s="92"/>
      <c r="J606" s="92"/>
    </row>
    <row r="607" spans="1:10" ht="62">
      <c r="A607" s="190" t="s">
        <v>838</v>
      </c>
      <c r="B607" s="92" t="str">
        <f>"
Do not answer this question if there are no guarantees the trustees wish to include details about ("&amp;Questions!$D$237&amp;").
"</f>
        <v xml:space="preserve">
Do not answer this question if there are no guarantees the trustees wish to include details about (CSI 19.0).
</v>
      </c>
      <c r="C607"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07" s="92" t="str">
        <f>"
You must answer this question if there are one or more guarantees the trustees wish to include details about ("&amp;Questions!$D$237&amp;").
"</f>
        <v xml:space="preserve">
You must answer this question if there are one or more guarantees the trustees wish to include details about (CSI 19.0).
</v>
      </c>
      <c r="E607" s="92" t="str">
        <f>"
Enter a valid date that is less than or equal to today in the format dd/mm/yyyy 
"</f>
        <v xml:space="preserve">
Enter a valid date that is less than or equal to today in the format dd/mm/yyyy 
</v>
      </c>
      <c r="F607" s="92" t="str">
        <f>"
Enter a valid date that is less than or equal to today in the format dd/mm/yyyy 
"</f>
        <v xml:space="preserve">
Enter a valid date that is less than or equal to today in the format dd/mm/yyyy 
</v>
      </c>
      <c r="G607" s="92"/>
      <c r="H607" s="92"/>
      <c r="I607" s="92"/>
      <c r="J607" s="92"/>
    </row>
    <row r="608" spans="1:10" ht="155">
      <c r="A608" s="190" t="s">
        <v>840</v>
      </c>
      <c r="B608" s="92" t="str">
        <f>"
Do not answer this question if the scheme follows a Fast Track approach ("&amp;Questions!$D$5&amp;").
"</f>
        <v xml:space="preserve">
Do not answer this question if the scheme follows a Fast Track approach (SH 13.0).
</v>
      </c>
      <c r="C608" s="92" t="str">
        <f>"
Do not answer this question if there are no guarantees the trustees wish to include details about ("&amp;Questions!$D$237&amp;").
"</f>
        <v xml:space="preserve">
Do not answer this question if there are no guarantees the trustees wish to include details about (CSI 19.0).
</v>
      </c>
      <c r="D608"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08" s="92" t="str">
        <f>"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08" s="92" t="s">
        <v>3767</v>
      </c>
      <c r="G608" s="92"/>
      <c r="H608" s="92"/>
      <c r="I608" s="92"/>
      <c r="J608" s="92"/>
    </row>
    <row r="609" spans="1:10" ht="93">
      <c r="A609" s="190" t="s">
        <v>843</v>
      </c>
      <c r="B609" s="92" t="str">
        <f>"
Do not answer this question if the scheme follows a Fast Track approach ("&amp;Questions!$D$5&amp;").
"</f>
        <v xml:space="preserve">
Do not answer this question if the scheme follows a Fast Track approach (SH 13.0).
</v>
      </c>
      <c r="C609" s="92" t="str">
        <f>"
Do not answer this question if there are no guarantees the trustees wish to include details about ("&amp;Questions!$D$237&amp;").
"</f>
        <v xml:space="preserve">
Do not answer this question if there are no guarantees the trustees wish to include details about (CSI 19.0).
</v>
      </c>
      <c r="D609"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09" s="92" t="str">
        <f>"
Do not answer this question if the contingent asset guarantee value cap is not Other ("&amp;Questions!D439&amp;").
"</f>
        <v xml:space="preserve">
Do not answer this question if the contingent asset guarantee value cap is not Other (GTE 12.0/2).
</v>
      </c>
      <c r="F609" s="92" t="str">
        <f>"
You must answer this question if the scheme follows a Bespoke approach ("&amp;Questions!$D$5&amp;"), there are one or more guarantees the trustees wish to include details about ("&amp;Questions!$D$237&amp;") and the contingent asset guarantee value cap is Other ("&amp;Questions!$D$446&amp;").
"</f>
        <v xml:space="preserve">
You must answer this question if the scheme follows a Bespoke approach (SH 13.0), there are one or more guarantees the trustees wish to include details about (CSI 19.0) and the contingent asset guarantee value cap is Other (GTE 19.0/2).
</v>
      </c>
      <c r="G609" s="92" t="str">
        <f>"
The answer must be no more than 4000 characters.
"</f>
        <v xml:space="preserve">
The answer must be no more than 4000 characters.
</v>
      </c>
      <c r="H609" s="92"/>
      <c r="I609" s="92"/>
      <c r="J609" s="92"/>
    </row>
    <row r="610" spans="1:10" ht="62">
      <c r="A610" s="190" t="s">
        <v>845</v>
      </c>
      <c r="B610" s="92" t="str">
        <f>"
Do not answer this question if the scheme follows a Fast Track approach ("&amp;Questions!$D$5&amp;").
"</f>
        <v xml:space="preserve">
Do not answer this question if the scheme follows a Fast Track approach (SH 13.0).
</v>
      </c>
      <c r="C610" s="92" t="str">
        <f>"
Do not answer this question if there are no guarantees the trustees wish to include details about ("&amp;Questions!$D$237&amp;").
"</f>
        <v xml:space="preserve">
Do not answer this question if there are no guarantees the trustees wish to include details about (CSI 19.0).
</v>
      </c>
      <c r="D610"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10" s="92" t="str">
        <f>"
Do not answer this question if the contingent asset guarantee value cap is not Fixed Cap ("&amp;Questions!$D$237&amp;").
"</f>
        <v xml:space="preserve">
Do not answer this question if the contingent asset guarantee value cap is not Fixed Cap (CSI 19.0).
</v>
      </c>
      <c r="F610" s="92" t="str">
        <f>"
You must answer this question if the contingent asset guarantee value cap is Fixed Cap ("&amp;Questions!$D$446&amp;").
"</f>
        <v xml:space="preserve">
You must answer this question if the contingent asset guarantee value cap is Fixed Cap (GTE 19.0/2).
</v>
      </c>
      <c r="G610" s="92" t="str">
        <f>"
Enter a value greater than or equal to 0 and less than 1,000,000,000,000 (1 trillion). It can be accurate to two decimal places.
"</f>
        <v xml:space="preserve">
Enter a value greater than or equal to 0 and less than 1,000,000,000,000 (1 trillion). It can be accurate to two decimal places.
</v>
      </c>
      <c r="H610" s="92"/>
      <c r="I610" s="92"/>
      <c r="J610" s="92"/>
    </row>
    <row r="611" spans="1:10" ht="77.5">
      <c r="A611" s="190" t="s">
        <v>848</v>
      </c>
      <c r="B611" s="92" t="str">
        <f>"
Do not answer this question if the scheme follows a Fast Track approach ("&amp;Questions!$D$5&amp;").
"</f>
        <v xml:space="preserve">
Do not answer this question if the scheme follows a Fast Track approach (SH 13.0).
</v>
      </c>
      <c r="C611" s="92" t="str">
        <f>"
Do not answer this question if there are no guarantees the trustees wish to include details about ("&amp;Questions!$D$237&amp;").
"</f>
        <v xml:space="preserve">
Do not answer this question if there are no guarantees the trustees wish to include details about (CSI 19.0).
</v>
      </c>
      <c r="D611"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11" s="92" t="str">
        <f>"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11" s="92" t="str">
        <f>"
Select ‘Yes’ if participating employer insolvency is a trigger for access to value, or ‘No’ if not
"</f>
        <v xml:space="preserve">
Select ‘Yes’ if participating employer insolvency is a trigger for access to value, or ‘No’ if not
</v>
      </c>
      <c r="G611" s="92"/>
      <c r="H611" s="92"/>
      <c r="I611" s="92"/>
      <c r="J611" s="92"/>
    </row>
    <row r="612" spans="1:10" ht="77.5">
      <c r="A612" s="190" t="s">
        <v>851</v>
      </c>
      <c r="B612" s="92" t="str">
        <f>"
Do not answer this question if the scheme follows a Fast Track approach ("&amp;Questions!$D$5&amp;").
"</f>
        <v xml:space="preserve">
Do not answer this question if the scheme follows a Fast Track approach (SH 13.0).
</v>
      </c>
      <c r="C612" s="92" t="str">
        <f>"
Do not answer this question if there are no guarantees the trustees wish to include details about ("&amp;Questions!$D$237&amp;").
"</f>
        <v xml:space="preserve">
Do not answer this question if there are no guarantees the trustees wish to include details about (CSI 19.0).
</v>
      </c>
      <c r="D612"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12" s="92" t="str">
        <f>"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12" s="92" t="str">
        <f>"
Select ‘Yes’ if the insolvency of an associated company is a trigger for access to value, or ‘No’ if not
"</f>
        <v xml:space="preserve">
Select ‘Yes’ if the insolvency of an associated company is a trigger for access to value, or ‘No’ if not
</v>
      </c>
      <c r="G612" s="92"/>
      <c r="H612" s="92"/>
      <c r="I612" s="92"/>
      <c r="J612" s="92"/>
    </row>
    <row r="613" spans="1:10" ht="77.5">
      <c r="A613" s="190" t="s">
        <v>853</v>
      </c>
      <c r="B613" s="92" t="str">
        <f>"
Do not answer this question if the scheme follows a Fast Track approach ("&amp;Questions!$D$5&amp;").
"</f>
        <v xml:space="preserve">
Do not answer this question if the scheme follows a Fast Track approach (SH 13.0).
</v>
      </c>
      <c r="C613" s="92" t="str">
        <f>"
Do not answer this question if there are no guarantees the trustees wish to include details about ("&amp;Questions!$D$237&amp;").
"</f>
        <v xml:space="preserve">
Do not answer this question if there are no guarantees the trustees wish to include details about (CSI 19.0).
</v>
      </c>
      <c r="D613" s="92" t="str">
        <f>"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613" s="92" t="str">
        <f>"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13" s="92" t="str">
        <f>"
Select ‘Yes’ if non payment of contributions is a trigger for access to value, or ‘No’ if not
"</f>
        <v xml:space="preserve">
Select ‘Yes’ if non payment of contributions is a trigger for access to value, or ‘No’ if not
</v>
      </c>
      <c r="G613" s="92"/>
      <c r="H613" s="92"/>
      <c r="I613" s="92"/>
      <c r="J613" s="92"/>
    </row>
    <row r="614" spans="1:10" ht="77.5">
      <c r="A614" s="190" t="s">
        <v>855</v>
      </c>
      <c r="B614" s="92" t="str">
        <f>"
Do not answer this question if the scheme follows a Fast Track approach ("&amp;Questions!$D$5&amp;").
"</f>
        <v xml:space="preserve">
Do not answer this question if the scheme follows a Fast Track approach (SH 13.0).
</v>
      </c>
      <c r="C614" s="92" t="str">
        <f>"
Do not answer this question if there are no guarantees the trustees wish to include details about ("&amp;Questions!$D$237&amp;").
"</f>
        <v xml:space="preserve">
Do not answer this question if there are no guarantees the trustees wish to include details about (CSI 19.0).
</v>
      </c>
      <c r="D614"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14"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614" s="92" t="str">
        <f>"
Select ‘Yes’ if crystallisation of investment risk is a trigger for access to value, or ‘No’ if not
"</f>
        <v xml:space="preserve">
Select ‘Yes’ if crystallisation of investment risk is a trigger for access to value, or ‘No’ if not
</v>
      </c>
      <c r="G614" s="92"/>
      <c r="H614" s="92"/>
      <c r="I614" s="92"/>
      <c r="J614" s="92"/>
    </row>
    <row r="615" spans="1:10" ht="77.5">
      <c r="A615" s="190" t="s">
        <v>857</v>
      </c>
      <c r="B615" s="92" t="str">
        <f>"
Do not answer this question if the scheme follows a Fast Track approach ("&amp;Questions!$D$5&amp;").
"</f>
        <v xml:space="preserve">
Do not answer this question if the scheme follows a Fast Track approach (SH 13.0).
</v>
      </c>
      <c r="C615" s="92" t="str">
        <f>"
Do not answer this question if there are no guarantees the trustees wish to include details about ("&amp;Questions!$D$237&amp;").
"</f>
        <v xml:space="preserve">
Do not answer this question if there are no guarantees the trustees wish to include details about (CSI 19.0).
</v>
      </c>
      <c r="D615"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15" s="92" t="str">
        <f>"
You must answer this question if the scheme follows a Bespoke approach ("&amp;Questions!$D$5&amp;") and there are one or more contingent assets the trustees wish to include details about ("&amp;Questions!$D$237&amp;").
"</f>
        <v xml:space="preserve">
You must answer this question if the scheme follows a Bespoke approach (SH 13.0) and there are one or more contingent assets the trustees wish to include details about (CSI 19.0).
</v>
      </c>
      <c r="F615" s="92" t="str">
        <f>"
Select ‘Yes’ if Other is a trigger for access to value, or ‘No’ if not
"</f>
        <v xml:space="preserve">
Select ‘Yes’ if Other is a trigger for access to value, or ‘No’ if not
</v>
      </c>
      <c r="G615" s="92"/>
      <c r="H615" s="92"/>
      <c r="I615" s="92"/>
      <c r="J615" s="92"/>
    </row>
    <row r="616" spans="1:10" ht="93">
      <c r="A616" s="190" t="s">
        <v>859</v>
      </c>
      <c r="B616" s="92" t="str">
        <f>"
Do not answer this question if the scheme follows a Fast Track approach ("&amp;Questions!$D$5&amp;").
"</f>
        <v xml:space="preserve">
Do not answer this question if the scheme follows a Fast Track approach (SH 13.0).
</v>
      </c>
      <c r="C616" s="92" t="str">
        <f>"
Do not answer this question if there are no guarantees the trustees wish to include details about ("&amp;Questions!$D$237&amp;").
"</f>
        <v xml:space="preserve">
Do not answer this question if there are no guarantees the trustees wish to include details about (CSI 19.0).
</v>
      </c>
      <c r="D616"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16" s="92" t="str">
        <f>"
Do not answer this question if Other is not a trigger for access to value ("&amp;Questions!D453&amp;").
"</f>
        <v xml:space="preserve">
Do not answer this question if Other is not a trigger for access to value (GTE 26.0/2).
</v>
      </c>
      <c r="F616" s="92" t="str">
        <f>"
You must answer this question if the scheme follows a Bespoke approach ("&amp;Questions!$D$5&amp;"), there are one or more guarantees the trustees wish to include details about ("&amp;Questions!$D$237&amp;") and Other is a trigger for access to value ("&amp;Questions!$D$453&amp;").
"</f>
        <v xml:space="preserve">
You must answer this question if the scheme follows a Bespoke approach (SH 13.0), there are one or more guarantees the trustees wish to include details about (CSI 19.0) and Other is a trigger for access to value (GTE 26.0/2).
</v>
      </c>
      <c r="G616" s="92" t="str">
        <f>"
The answer must be no more than 4000 characters.
"</f>
        <v xml:space="preserve">
The answer must be no more than 4000 characters.
</v>
      </c>
      <c r="H616" s="92"/>
      <c r="I616" s="92"/>
      <c r="J616" s="92"/>
    </row>
    <row r="617" spans="1:10" ht="77.5">
      <c r="A617" s="190" t="s">
        <v>861</v>
      </c>
      <c r="B617" s="92" t="str">
        <f>"
Do not answer this question if the scheme follows a Fast Track approach ("&amp;Questions!$D$5&amp;").
"</f>
        <v xml:space="preserve">
Do not answer this question if the scheme follows a Fast Track approach (SH 13.0).
</v>
      </c>
      <c r="C617" s="92" t="str">
        <f>"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617"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17" s="92" t="str">
        <f>"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17" s="92" t="str">
        <f>"
The answer must be no more than 4000 characters.
"</f>
        <v xml:space="preserve">
The answer must be no more than 4000 characters.
</v>
      </c>
      <c r="G617" s="92"/>
      <c r="H617" s="92"/>
      <c r="I617" s="92"/>
      <c r="J617" s="92"/>
    </row>
    <row r="618" spans="1:10" ht="62">
      <c r="A618" s="190" t="s">
        <v>864</v>
      </c>
      <c r="B618" s="92" t="str">
        <f>"
Do not answer this question if there are no guarantees the trustees wish to include details about ("&amp;Questions!$D$237&amp;").
"</f>
        <v xml:space="preserve">
Do not answer this question if there are no guarantees the trustees wish to include details about (CSI 19.0).
</v>
      </c>
      <c r="C618"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18" s="92" t="str">
        <f>"
You must answer this question if there are one or more guarantees the trustees wish to include details about ("&amp;Questions!$D$237&amp;").
"</f>
        <v xml:space="preserve">
You must answer this question if there are one or more guarantees the trustees wish to include details about (CSI 19.0).
</v>
      </c>
      <c r="E618" s="92" t="str">
        <f>"
The answer must be no more than 510 characters.
"</f>
        <v xml:space="preserve">
The answer must be no more than 510 characters.
</v>
      </c>
      <c r="F618" s="92"/>
      <c r="G618" s="92"/>
      <c r="H618" s="92"/>
      <c r="I618" s="92"/>
      <c r="J618" s="92"/>
    </row>
    <row r="619" spans="1:10" ht="124">
      <c r="A619" s="190" t="s">
        <v>866</v>
      </c>
      <c r="B619" s="92" t="str">
        <f>"
Do not answer this question if there are no guarantees the trustees wish to include details about ("&amp;Questions!$D$237&amp;").
"</f>
        <v xml:space="preserve">
Do not answer this question if there are no guarantees the trustees wish to include details about (CSI 19.0).
</v>
      </c>
      <c r="C619"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19" s="92" t="s">
        <v>4784</v>
      </c>
      <c r="E619" s="92"/>
      <c r="F619" s="92"/>
      <c r="G619" s="92"/>
      <c r="H619" s="92"/>
      <c r="I619" s="92"/>
      <c r="J619" s="92"/>
    </row>
    <row r="620" spans="1:10" ht="62">
      <c r="A620" s="190" t="s">
        <v>868</v>
      </c>
      <c r="B620" s="92" t="str">
        <f>"
Do not answer this question if there are no guarantees the trustees wish to include details about ("&amp;Questions!$D$237&amp;").
"</f>
        <v xml:space="preserve">
Do not answer this question if there are no guarantees the trustees wish to include details about (CSI 19.0).
</v>
      </c>
      <c r="C620"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20" s="92" t="str">
        <f>"
Do not answer this question if you have provided a contingent asset guarantee Companies House number ("&amp;Questions!$D$457&amp;").
"</f>
        <v xml:space="preserve">
Do not answer this question if you have provided a contingent asset guarantee Companies House number (GTE 2.0/3).
</v>
      </c>
      <c r="E620" s="92" t="s">
        <v>3766</v>
      </c>
      <c r="F620" s="92"/>
      <c r="G620" s="92"/>
      <c r="H620" s="92"/>
      <c r="I620" s="92"/>
      <c r="J620" s="92"/>
    </row>
    <row r="621" spans="1:10" ht="93">
      <c r="A621" s="190" t="s">
        <v>870</v>
      </c>
      <c r="B621" s="92" t="str">
        <f>"
Do not answer this question if there are no guarantees the trustees wish to include details about ("&amp;Questions!$D$237&amp;").
"</f>
        <v xml:space="preserve">
Do not answer this question if there are no guarantees the trustees wish to include details about (CSI 19.0).
</v>
      </c>
      <c r="C621"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21" s="92" t="str">
        <f>"
Do not answer this question if you have provided a contingent asset guarantee Companies House number ("&amp;Questions!$D$457&amp;").
"</f>
        <v xml:space="preserve">
Do not answer this question if you have provided a contingent asset guarantee Companies House number (GTE 2.0/3).
</v>
      </c>
      <c r="E621" s="92" t="str">
        <f>"
Do not answer this question if you have provided a contingent asset guarantee charity number ("&amp;Questions!$D$458&amp;").
"</f>
        <v xml:space="preserve">
Do not answer this question if you have provided a contingent asset guarantee charity number (GTE 3.0/3).
</v>
      </c>
      <c r="F621" s="92" t="str">
        <f>"
You must answer this question if there are one or more guarantees the trustees wish to include details about ("&amp;Questions!$D$237&amp;") and you have not provided a contingent asset guarantee Companies House number ("&amp;Questions!$D$457&amp;") or a contingent asset guarantee charity number ("&amp;Questions!$D$458&amp;").
"</f>
        <v xml:space="preserve">
You must answer this question if there are one or more guarantees the trustees wish to include details about (CSI 19.0) and you have not provided a contingent asset guarantee Companies House number (GTE 2.0/3) or a contingent asset guarantee charity number (GTE 3.0/3).
</v>
      </c>
      <c r="G621" s="92" t="str">
        <f>"
The answer must be no more than 510 characters.
"</f>
        <v xml:space="preserve">
The answer must be no more than 510 characters.
</v>
      </c>
      <c r="H621" s="92"/>
      <c r="I621" s="92"/>
      <c r="J621" s="92"/>
    </row>
    <row r="622" spans="1:10" ht="93">
      <c r="A622" s="190" t="s">
        <v>872</v>
      </c>
      <c r="B622" s="92" t="str">
        <f>"
Do not answer this question if there are no guarantees the trustees wish to include details about ("&amp;Questions!$D$237&amp;").
"</f>
        <v xml:space="preserve">
Do not answer this question if there are no guarantees the trustees wish to include details about (CSI 19.0).
</v>
      </c>
      <c r="C622"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22" s="92" t="str">
        <f>"
Do not answer this question if you have provided a contingent asset guarantee Companies House number ("&amp;Questions!$D$457&amp;").
"</f>
        <v xml:space="preserve">
Do not answer this question if you have provided a contingent asset guarantee Companies House number (GTE 2.0/3).
</v>
      </c>
      <c r="E622" s="92" t="str">
        <f>"
Do not answer this question if you have provided a contingent asset guarantee charity number ("&amp;Questions!$D$458&amp;").
"</f>
        <v xml:space="preserve">
Do not answer this question if you have provided a contingent asset guarantee charity number (GTE 3.0/3).
</v>
      </c>
      <c r="F622" s="92" t="str">
        <f>"
You must answer this question if there are one or more guarantees the trustees wish to include details about ("&amp;Questions!$D$237&amp;") and you have not provided a contingent asset guarantee Companies House number ("&amp;Questions!$D$457&amp;") or a contingent asset guarantee charity number ("&amp;Questions!$D$458&amp;").
"</f>
        <v xml:space="preserve">
You must answer this question if there are one or more guarantees the trustees wish to include details about (CSI 19.0) and you have not provided a contingent asset guarantee Companies House number (GTE 2.0/3) or a contingent asset guarantee charity number (GTE 3.0/3).
</v>
      </c>
      <c r="G622" s="92" t="str">
        <f>"
The answer must be no more than 510 characters.
"</f>
        <v xml:space="preserve">
The answer must be no more than 510 characters.
</v>
      </c>
      <c r="H622" s="92"/>
      <c r="I622" s="92"/>
      <c r="J622" s="92"/>
    </row>
    <row r="623" spans="1:10" ht="62">
      <c r="A623" s="190" t="s">
        <v>874</v>
      </c>
      <c r="B623" s="92" t="str">
        <f>"
Do not answer this question if there are no guarantees the trustees wish to include details about ("&amp;Questions!$D$237&amp;").
"</f>
        <v xml:space="preserve">
Do not answer this question if there are no guarantees the trustees wish to include details about (CSI 19.0).
</v>
      </c>
      <c r="C623"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23" s="92" t="str">
        <f>"
Do not answer this question if you have provided a contingent asset guarantee Companies House number ("&amp;Questions!$D$457&amp;").
"</f>
        <v xml:space="preserve">
Do not answer this question if you have provided a contingent asset guarantee Companies House number (GTE 2.0/3).
</v>
      </c>
      <c r="E623" s="92" t="str">
        <f>"
Do not answer this question if you have provided a contingent asset guarantee charity number ("&amp;Questions!$D$458&amp;").
"</f>
        <v xml:space="preserve">
Do not answer this question if you have provided a contingent asset guarantee charity number (GTE 3.0/3).
</v>
      </c>
      <c r="F623" s="92" t="str">
        <f>"
The answer must be no more than 510 characters.
"</f>
        <v xml:space="preserve">
The answer must be no more than 510 characters.
</v>
      </c>
      <c r="G623" s="92"/>
      <c r="H623" s="92"/>
      <c r="I623" s="92"/>
      <c r="J623" s="92"/>
    </row>
    <row r="624" spans="1:10" ht="62">
      <c r="A624" s="190" t="s">
        <v>876</v>
      </c>
      <c r="B624" s="92" t="str">
        <f>"
Do not answer this question if there are no guarantees the trustees wish to include details about ("&amp;Questions!$D$237&amp;").
"</f>
        <v xml:space="preserve">
Do not answer this question if there are no guarantees the trustees wish to include details about (CSI 19.0).
</v>
      </c>
      <c r="C624"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24" s="92" t="str">
        <f>"
Do not answer this question if you have provided a contingent asset guarantee Companies House number ("&amp;Questions!$D$457&amp;").
"</f>
        <v xml:space="preserve">
Do not answer this question if you have provided a contingent asset guarantee Companies House number (GTE 2.0/3).
</v>
      </c>
      <c r="E624" s="92" t="str">
        <f>"
Do not answer this question if you have provided a contingent asset guarantee charity number ("&amp;Questions!$D$458&amp;").
"</f>
        <v xml:space="preserve">
Do not answer this question if you have provided a contingent asset guarantee charity number (GTE 3.0/3).
</v>
      </c>
      <c r="F624" s="92" t="str">
        <f>"
The answer must be no more than 510 characters.
"</f>
        <v xml:space="preserve">
The answer must be no more than 510 characters.
</v>
      </c>
      <c r="G624" s="92"/>
      <c r="H624" s="92"/>
      <c r="I624" s="92"/>
      <c r="J624" s="92"/>
    </row>
    <row r="625" spans="1:10" ht="93">
      <c r="A625" s="190" t="s">
        <v>878</v>
      </c>
      <c r="B625" s="92" t="str">
        <f>"
Do not answer this question if there are no guarantees the trustees wish to include details about ("&amp;Questions!$D$237&amp;").
"</f>
        <v xml:space="preserve">
Do not answer this question if there are no guarantees the trustees wish to include details about (CSI 19.0).
</v>
      </c>
      <c r="C625"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25" s="92" t="str">
        <f>"
Do not answer this question if you have provided a contingent asset guarantee Companies House number ("&amp;Questions!$D$457&amp;").
"</f>
        <v xml:space="preserve">
Do not answer this question if you have provided a contingent asset guarantee Companies House number (GTE 2.0/3).
</v>
      </c>
      <c r="E625" s="92" t="str">
        <f>"
Do not answer this question if you have provided a contingent asset guarantee charity number ("&amp;Questions!$D$458&amp;").
"</f>
        <v xml:space="preserve">
Do not answer this question if you have provided a contingent asset guarantee charity number (GTE 3.0/3).
</v>
      </c>
      <c r="F625" s="92" t="str">
        <f>"
You must answer this question if there are one or more guarantees the trustees wish to include details about ("&amp;Questions!$D$237&amp;") and you have not provided a contingent asset guarantee Companies House number ("&amp;Questions!$D$457&amp;") or a contingent asset guarantee charity number ("&amp;Questions!$D$458&amp;").
"</f>
        <v xml:space="preserve">
You must answer this question if there are one or more guarantees the trustees wish to include details about (CSI 19.0) and you have not provided a contingent asset guarantee Companies House number (GTE 2.0/3) or a contingent asset guarantee charity number (GTE 3.0/3).
</v>
      </c>
      <c r="G625" s="92" t="str">
        <f>"
The answer must be no more than 510 characters.
"</f>
        <v xml:space="preserve">
The answer must be no more than 510 characters.
</v>
      </c>
      <c r="H625" s="92"/>
      <c r="I625" s="92"/>
      <c r="J625" s="92"/>
    </row>
    <row r="626" spans="1:10" ht="93">
      <c r="A626" s="190" t="s">
        <v>880</v>
      </c>
      <c r="B626" s="92" t="str">
        <f>"
Do not answer this question if there are no guarantees the trustees wish to include details about ("&amp;Questions!$D$237&amp;").
"</f>
        <v xml:space="preserve">
Do not answer this question if there are no guarantees the trustees wish to include details about (CSI 19.0).
</v>
      </c>
      <c r="C626"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26" s="92" t="str">
        <f>"
Do not answer this question if you have provided a contingent asset guarantee Companies House number ("&amp;Questions!$D$457&amp;").
"</f>
        <v xml:space="preserve">
Do not answer this question if you have provided a contingent asset guarantee Companies House number (GTE 2.0/3).
</v>
      </c>
      <c r="E626" s="92" t="str">
        <f>"
Do not answer this question if you have provided a contingent asset guarantee charity number ("&amp;Questions!$D$458&amp;").
"</f>
        <v xml:space="preserve">
Do not answer this question if you have provided a contingent asset guarantee charity number (GTE 3.0/3).
</v>
      </c>
      <c r="F626" s="92" t="str">
        <f>"
You must answer this question if there are one or more guarantees the trustees wish to include details about ("&amp;Questions!$D$237&amp;") and you have not provided a contingent asset guarantee Companies House number ("&amp;Questions!$D$457&amp;") or a contingent asset guarantee charity number ("&amp;Questions!$D$458&amp;").
"</f>
        <v xml:space="preserve">
You must answer this question if there are one or more guarantees the trustees wish to include details about (CSI 19.0) and you have not provided a contingent asset guarantee Companies House number (GTE 2.0/3) or a contingent asset guarantee charity number (GTE 3.0/3).
</v>
      </c>
      <c r="G626" s="92" t="str">
        <f>"
Select 'United Kingdom' if the address is for a UK address, or the relevant country from the drop down list if not.
"</f>
        <v xml:space="preserve">
Select 'United Kingdom' if the address is for a UK address, or the relevant country from the drop down list if not.
</v>
      </c>
      <c r="H626" s="92"/>
      <c r="I626" s="92"/>
      <c r="J626" s="92"/>
    </row>
    <row r="627" spans="1:10" ht="108.5">
      <c r="A627" s="190" t="s">
        <v>882</v>
      </c>
      <c r="B627" s="92" t="str">
        <f>"
Do not answer this question if there are no guarantees the trustees wish to include details about ("&amp;Questions!$D$237&amp;").
"</f>
        <v xml:space="preserve">
Do not answer this question if there are no guarantees the trustees wish to include details about (CSI 19.0).
</v>
      </c>
      <c r="C627"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27" s="92" t="str">
        <f>"
Do not answer this question if you have provided a contingent asset guarantee Companies House number ("&amp;Questions!$D$457&amp;").
"</f>
        <v xml:space="preserve">
Do not answer this question if you have provided a contingent asset guarantee Companies House number (GTE 2.0/3).
</v>
      </c>
      <c r="E627" s="92" t="str">
        <f>"
Do not answer this question if you have provided a contingent asset guarantee charity number ("&amp;Questions!$D$458&amp;").
"</f>
        <v xml:space="preserve">
Do not answer this question if you have provided a contingent asset guarantee charity number (GTE 3.0/3).
</v>
      </c>
      <c r="F627" s="92" t="str">
        <f>"
You must answer this question if there are one or more guarantees the trustees wish to include details about ("&amp;Questions!$D$237&amp;") and you have not provided a contingent asset guarantee Companies House number ("&amp;Questions!$D$457&amp;") or a contingent asset guarantee charity number ("&amp;Questions!$D$458&amp;"), and the country is United Kingdom ("&amp;Questions!$D$464&amp;").
"</f>
        <v xml:space="preserve">
You must answer this question if there are one or more guarantees the trustees wish to include details about (CSI 19.0) and you have not provided a contingent asset guarantee Companies House number (GTE 2.0/3) or a contingent asset guarantee charity number (GTE 3.0/3), and the country is United Kingdom (GTE 9.0/3).
</v>
      </c>
      <c r="G627" s="92" t="str">
        <f>"
The answer must be a valid postcode with between 5 and 8 characters.
"</f>
        <v xml:space="preserve">
The answer must be a valid postcode with between 5 and 8 characters.
</v>
      </c>
      <c r="H627" s="92"/>
      <c r="I627" s="92"/>
      <c r="J627" s="92"/>
    </row>
    <row r="628" spans="1:10" ht="93">
      <c r="A628" s="190" t="s">
        <v>884</v>
      </c>
      <c r="B628" s="92" t="str">
        <f>"
Do not answer this question if the scheme follows a Fast Track approach ("&amp;Questions!$D$5&amp;").
"</f>
        <v xml:space="preserve">
Do not answer this question if the scheme follows a Fast Track approach (SH 13.0).
</v>
      </c>
      <c r="C628" s="92" t="str">
        <f>"
Do not answer this question if there are no guarantees the trustees wish to include details about ("&amp;Questions!$D$237&amp;").
"</f>
        <v xml:space="preserve">
Do not answer this question if there are no guarantees the trustees wish to include details about (CSI 19.0).
</v>
      </c>
      <c r="D628"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28" s="92" t="str">
        <f>"
You must answer this question if the scheme follows a Bespoke approach ("&amp;Questions!$D$5&amp;"), is post-relevant date ("&amp;Questions!$D$14&amp;"), does not meet the 'Bespoke low-risk scheme' requirements ("&amp;Questions!$D$6&amp;") and there are one or more guarantees the trustees wish to include details about ("&amp;Questions!$D$237&amp;").
"</f>
        <v xml:space="preserve">
You must answer this question if the scheme follows a Bespoke approach (SH 13.0), is post-relevant date (SH 10.0), does not meet the 'Bespoke low-risk scheme' requirements (SH 14.0) and there are one or more guarantees the trustees wish to include details about (CSI 19.0).
</v>
      </c>
      <c r="F628" s="92" t="str">
        <f>"
Select ‘Yes’ if the guarantor of the contingent asset guarantee is an associated company, or ‘No’ if not
"</f>
        <v xml:space="preserve">
Select ‘Yes’ if the guarantor of the contingent asset guarantee is an associated company, or ‘No’ if not
</v>
      </c>
      <c r="G628" s="92" t="str">
        <f>"
Do not answer this question if the scheme follows a Bespoke approach ("&amp;Questions!$D$5&amp;"), the scheme is post-relevant date ("&amp;Questions!$D$14&amp;") and the scheme meets the 'Bespoke low-risk scheme' requirements' ("&amp;Questions!$D$6&amp;").
"</f>
        <v xml:space="preserve">
Do not answer this question if the scheme follows a Bespoke approach (SH 13.0), the scheme is post-relevant date (SH 10.0) and the scheme meets the 'Bespoke low-risk scheme' requirements' (SH 14.0).
</v>
      </c>
      <c r="H628" s="92" t="str">
        <f>"
You must answer this question if the scheme follows a Bespoke approach ("&amp;Questions!$D$5&amp;"), is pre-relevant date ("&amp;Questions!$D$14&amp;")  and there are one or more guarantees the trustees wish to include details about ("&amp;Questions!$D$237&amp;").
"</f>
        <v xml:space="preserve">
You must answer this question if the scheme follows a Bespoke approach (SH 13.0), is pre-relevant date (SH 10.0)  and there are one or more guarantees the trustees wish to include details about (CSI 19.0).
</v>
      </c>
      <c r="I628" s="92"/>
      <c r="J628" s="92"/>
    </row>
    <row r="629" spans="1:10" ht="124">
      <c r="A629" s="190" t="s">
        <v>886</v>
      </c>
      <c r="B629" s="92" t="str">
        <f>"
Do not answer this question if there are no guarantees the trustees wish to include details about ("&amp;Questions!$D$237&amp;").
"</f>
        <v xml:space="preserve">
Do not answer this question if there are no guarantees the trustees wish to include details about (CSI 19.0).
</v>
      </c>
      <c r="C629"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29" s="92" t="str">
        <f>"
You must answer this question if there are one or more guarantees the trustees wish to include details about ("&amp;Questions!$D$237&amp;").
"</f>
        <v xml:space="preserve">
You must answer this question if there are one or more guarantees the trustees wish to include details about (CSI 19.0).
</v>
      </c>
      <c r="E629" s="92" t="str">
        <f>"
Select one of the following options from the drop-down list:
• Formal look-through guarantee
• Look-through guarantee subject to limitation
• Non look-through guarantee
• Other
"</f>
        <v xml:space="preserve">
Select one of the following options from the drop-down list:
• Formal look-through guarantee
• Look-through guarantee subject to limitation
• Non look-through guarantee
• Other
</v>
      </c>
      <c r="F629" s="92"/>
      <c r="G629" s="92"/>
      <c r="H629" s="92"/>
      <c r="I629" s="92"/>
      <c r="J629" s="92"/>
    </row>
    <row r="630" spans="1:10" ht="77.5">
      <c r="A630" s="190" t="s">
        <v>888</v>
      </c>
      <c r="B630" s="92" t="str">
        <f>"
Do not answer this question if there are no guarantees the trustees wish to include details about ("&amp;Questions!$D$237&amp;").
"</f>
        <v xml:space="preserve">
Do not answer this question if there are no guarantees the trustees wish to include details about (CSI 19.0).
</v>
      </c>
      <c r="C630"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30" s="92" t="str">
        <f>"
Do not answer this question if there are one or more guarantees the trustees wish to include details about ("&amp;Questions!$D$237&amp;") and you have not answered Other to the type of guarantee ("&amp;Questions!$D$467&amp;").
"</f>
        <v xml:space="preserve">
Do not answer this question if there are one or more guarantees the trustees wish to include details about (CSI 19.0) and you have not answered Other to the type of guarantee (GTE 12.0/3).
</v>
      </c>
      <c r="E630" s="92" t="str">
        <f>"
You must answer this question if you have answered “Other” to the type of guarantee ("&amp;Questions!$D$439&amp;").
"</f>
        <v xml:space="preserve">
You must answer this question if you have answered “Other” to the type of guarantee (GTE 12.0/2).
</v>
      </c>
      <c r="F630" s="92" t="str">
        <f>"
The answer must be no more than 4000 characters.
"</f>
        <v xml:space="preserve">
The answer must be no more than 4000 characters.
</v>
      </c>
      <c r="G630" s="92"/>
      <c r="H630" s="92"/>
      <c r="I630" s="92"/>
      <c r="J630" s="92"/>
    </row>
    <row r="631" spans="1:10" ht="93">
      <c r="A631" s="190" t="s">
        <v>890</v>
      </c>
      <c r="B631" s="92" t="str">
        <f>"
Do not answer this question if the scheme follows a Fast Track approach ("&amp;Questions!$D$5&amp;").
"</f>
        <v xml:space="preserve">
Do not answer this question if the scheme follows a Fast Track approach (SH 13.0).
</v>
      </c>
      <c r="C631" s="92" t="str">
        <f>"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631" s="92" t="str">
        <f>"
Do not answer this question if there are no guarantees the trustees wish to include details about ("&amp;Questions!$D$237&amp;").
"</f>
        <v xml:space="preserve">
Do not answer this question if there are no guarantees the trustees wish to include details about (CSI 19.0).
</v>
      </c>
      <c r="E631" s="92" t="str">
        <f>"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31" s="92" t="str">
        <f>"
Select one of the following options from the drop-down list:
• Evergreen
• Fixed expiry with a maturity date
• Other"</f>
        <v xml:space="preserve">
Select one of the following options from the drop-down list:
• Evergreen
• Fixed expiry with a maturity date
• Other</v>
      </c>
      <c r="G631" s="92"/>
      <c r="H631" s="92"/>
      <c r="I631" s="92"/>
      <c r="J631" s="92"/>
    </row>
    <row r="632" spans="1:10" ht="93">
      <c r="A632" s="190" t="s">
        <v>892</v>
      </c>
      <c r="B632" s="92" t="str">
        <f>"
Do not answer this question if the scheme follows a Fast Track approach ("&amp;Questions!$D$5&amp;").
"</f>
        <v xml:space="preserve">
Do not answer this question if the scheme follows a Fast Track approach (SH 13.0).
</v>
      </c>
      <c r="C632" s="92" t="str">
        <f>"
Do not answer this question if there are no guarantees the trustees wish to include details about ("&amp;Questions!$D$237&amp;").
"</f>
        <v xml:space="preserve">
Do not answer this question if there are no guarantees the trustees wish to include details about (CSI 19.0).
</v>
      </c>
      <c r="D632"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32" s="92" t="str">
        <f>"
Do not answer this question if the contingent asset guarantee is Evergreen or Other ("&amp;Questions!D467&amp;").
"</f>
        <v xml:space="preserve">
Do not answer this question if the contingent asset guarantee is Evergreen or Other (GTE 12.0/3).
</v>
      </c>
      <c r="F632" s="92" t="str">
        <f>"
You must answer this question if the scheme follows a Bespoke approach ("&amp;Questions!$D$5&amp;"), there are one or more guarantees the trustees wish to include details about ("&amp;Questions!$D$237&amp;") and the contingent asset guarantee maturity type is Fixed expiry with a maturity date ("&amp;Questions!D467&amp;").
"</f>
        <v xml:space="preserve">
You must answer this question if the scheme follows a Bespoke approach (SH 13.0), there are one or more guarantees the trustees wish to include details about (CSI 19.0) and the contingent asset guarantee maturity type is Fixed expiry with a maturity date (GTE 12.0/3).
</v>
      </c>
      <c r="G632" s="92" t="str">
        <f>"
Enter a valid date in the format dd/mm/yyyy 
"</f>
        <v xml:space="preserve">
Enter a valid date in the format dd/mm/yyyy 
</v>
      </c>
      <c r="H632" s="92" t="str">
        <f>"
This date cannot be less than the effective date of the actuarial validation ("&amp;Questions!$D$2&amp;")
"</f>
        <v xml:space="preserve">
This date cannot be less than the effective date of the actuarial validation (SH 8.0)
</v>
      </c>
      <c r="I632" s="92"/>
      <c r="J632" s="92"/>
    </row>
    <row r="633" spans="1:10" ht="93">
      <c r="A633" s="190" t="s">
        <v>894</v>
      </c>
      <c r="B633" s="92" t="str">
        <f>"
Do not answer this question if the scheme follows a Fast Track approach ("&amp;Questions!$D$5&amp;").
"</f>
        <v xml:space="preserve">
Do not answer this question if the scheme follows a Fast Track approach (SH 13.0).
</v>
      </c>
      <c r="C633" s="92" t="str">
        <f>"
Do not answer this question if there are no guarantees the trustees wish to include details about ("&amp;Questions!$D$237&amp;").
"</f>
        <v xml:space="preserve">
Do not answer this question if there are no guarantees the trustees wish to include details about (CSI 19.0).
</v>
      </c>
      <c r="D633"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33" s="92" t="str">
        <f>"
Do not answer this question if the contingent asset guarantee is not Other ("&amp;Questions!D467&amp;").
"</f>
        <v xml:space="preserve">
Do not answer this question if the contingent asset guarantee is not Other (GTE 12.0/3).
</v>
      </c>
      <c r="F633" s="92" t="str">
        <f>"
You must answer this question if the scheme follows a Bespoke approach ("&amp;Questions!$D$5&amp;"), there are one or more guarantees the trustees wish to include details about ("&amp;Questions!$D$237&amp;") and the contingent asset guarantee maturity type is Other ("&amp;Questions!D467&amp;").
"</f>
        <v xml:space="preserve">
You must answer this question if the scheme follows a Bespoke approach (SH 13.0), there are one or more guarantees the trustees wish to include details about (CSI 19.0) and the contingent asset guarantee maturity type is Other (GTE 12.0/3).
</v>
      </c>
      <c r="G633" s="92" t="str">
        <f>"
The answer must be no more than 4000 characters.
"</f>
        <v xml:space="preserve">
The answer must be no more than 4000 characters.
</v>
      </c>
      <c r="H633" s="92"/>
      <c r="I633" s="92"/>
      <c r="J633" s="92"/>
    </row>
    <row r="634" spans="1:10" ht="62">
      <c r="A634" s="190" t="s">
        <v>896</v>
      </c>
      <c r="B634" s="92" t="str">
        <f>"
Do not answer this question if there are no guarantees the trustees wish to include details about ("&amp;Questions!$D$237&amp;").
"</f>
        <v xml:space="preserve">
Do not answer this question if there are no guarantees the trustees wish to include details about (CSI 19.0).
</v>
      </c>
      <c r="C634"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34" s="92" t="str">
        <f>"
You must answer this question if there are one or more guarantees the trustees wish to include details about ("&amp;Questions!$D$237&amp;").
"</f>
        <v xml:space="preserve">
You must answer this question if there are one or more guarantees the trustees wish to include details about (CSI 19.0).
</v>
      </c>
      <c r="E634" s="92" t="str">
        <f>"
Enter a value greater than or equal to 0 and less than 1,000,000,000,000 (1 trillion). It can be accurate to two decimal places.
"</f>
        <v xml:space="preserve">
Enter a value greater than or equal to 0 and less than 1,000,000,000,000 (1 trillion). It can be accurate to two decimal places.
</v>
      </c>
      <c r="F634" s="92"/>
      <c r="G634" s="92"/>
      <c r="H634" s="92"/>
      <c r="I634" s="92"/>
      <c r="J634" s="92"/>
    </row>
    <row r="635" spans="1:10" ht="62">
      <c r="A635" s="190" t="s">
        <v>898</v>
      </c>
      <c r="B635" s="92" t="str">
        <f>"
Do not answer this question if there are no guarantees the trustees wish to include details about ("&amp;Questions!$D$237&amp;").
"</f>
        <v xml:space="preserve">
Do not answer this question if there are no guarantees the trustees wish to include details about (CSI 19.0).
</v>
      </c>
      <c r="C635"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35" s="92" t="str">
        <f>"
You must answer this question if there are one or more guarantees the trustees wish to include details about ("&amp;Questions!$D$237&amp;").
"</f>
        <v xml:space="preserve">
You must answer this question if there are one or more guarantees the trustees wish to include details about (CSI 19.0).
</v>
      </c>
      <c r="E635" s="92" t="str">
        <f>"
Enter a valid date that is less than or equal to today in the format dd/mm/yyyy 
"</f>
        <v xml:space="preserve">
Enter a valid date that is less than or equal to today in the format dd/mm/yyyy 
</v>
      </c>
      <c r="F635" s="92" t="str">
        <f>"
Enter a valid date that is less than or equal to today in the format dd/mm/yyyy 
"</f>
        <v xml:space="preserve">
Enter a valid date that is less than or equal to today in the format dd/mm/yyyy 
</v>
      </c>
      <c r="G635" s="92"/>
      <c r="H635" s="92"/>
      <c r="I635" s="92"/>
      <c r="J635" s="92"/>
    </row>
    <row r="636" spans="1:10" ht="155">
      <c r="A636" s="190" t="s">
        <v>900</v>
      </c>
      <c r="B636" s="92" t="str">
        <f>"
Do not answer this question if the scheme follows a Fast Track approach ("&amp;Questions!$D$5&amp;").
"</f>
        <v xml:space="preserve">
Do not answer this question if the scheme follows a Fast Track approach (SH 13.0).
</v>
      </c>
      <c r="C636" s="92" t="str">
        <f>"
Do not answer this question if there are no guarantees the trustees wish to include details about ("&amp;Questions!$D$237&amp;").
"</f>
        <v xml:space="preserve">
Do not answer this question if there are no guarantees the trustees wish to include details about (CSI 19.0).
</v>
      </c>
      <c r="D636"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36" s="92" t="str">
        <f>"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36" s="92" t="s">
        <v>3767</v>
      </c>
      <c r="G636" s="92"/>
      <c r="H636" s="92"/>
      <c r="I636" s="92"/>
      <c r="J636" s="92"/>
    </row>
    <row r="637" spans="1:10" ht="93">
      <c r="A637" s="190" t="s">
        <v>902</v>
      </c>
      <c r="B637" s="92" t="str">
        <f>"
Do not answer this question if the scheme follows a Fast Track approach ("&amp;Questions!$D$5&amp;").
"</f>
        <v xml:space="preserve">
Do not answer this question if the scheme follows a Fast Track approach (SH 13.0).
</v>
      </c>
      <c r="C637" s="92" t="str">
        <f>"
Do not answer this question if there are no guarantees the trustees wish to include details about ("&amp;Questions!$D$237&amp;").
"</f>
        <v xml:space="preserve">
Do not answer this question if there are no guarantees the trustees wish to include details about (CSI 19.0).
</v>
      </c>
      <c r="D637"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37" s="92" t="str">
        <f>"
Do not answer this question if the contingent asset guarantee value cap is not Other ("&amp;Questions!D467&amp;").
"</f>
        <v xml:space="preserve">
Do not answer this question if the contingent asset guarantee value cap is not Other (GTE 12.0/3).
</v>
      </c>
      <c r="F637" s="92" t="str">
        <f>"
You must answer this question if the scheme follows a Bespoke approach ("&amp;Questions!$D$5&amp;"), there are one or more guarantees the trustees wish to include details about ("&amp;Questions!$D$237&amp;") and the contingent asset guarantee value cap is Other ("&amp;Questions!$D$474&amp;").
"</f>
        <v xml:space="preserve">
You must answer this question if the scheme follows a Bespoke approach (SH 13.0), there are one or more guarantees the trustees wish to include details about (CSI 19.0) and the contingent asset guarantee value cap is Other (GTE 19.0/3).
</v>
      </c>
      <c r="G637" s="92" t="str">
        <f>"
The answer must be no more than 4000 characters.
"</f>
        <v xml:space="preserve">
The answer must be no more than 4000 characters.
</v>
      </c>
      <c r="H637" s="92"/>
      <c r="I637" s="92"/>
      <c r="J637" s="92"/>
    </row>
    <row r="638" spans="1:10" ht="62">
      <c r="A638" s="190" t="s">
        <v>904</v>
      </c>
      <c r="B638" s="92" t="str">
        <f>"
Do not answer this question if the scheme follows a Fast Track approach ("&amp;Questions!$D$5&amp;").
"</f>
        <v xml:space="preserve">
Do not answer this question if the scheme follows a Fast Track approach (SH 13.0).
</v>
      </c>
      <c r="C638" s="92" t="str">
        <f>"
Do not answer this question if there are no guarantees the trustees wish to include details about ("&amp;Questions!$D$237&amp;").
"</f>
        <v xml:space="preserve">
Do not answer this question if there are no guarantees the trustees wish to include details about (CSI 19.0).
</v>
      </c>
      <c r="D638"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38" s="92" t="str">
        <f>"
Do not answer this question if the contingent asset guarantee value cap is not Fixed Cap ("&amp;Questions!$D$237&amp;").
"</f>
        <v xml:space="preserve">
Do not answer this question if the contingent asset guarantee value cap is not Fixed Cap (CSI 19.0).
</v>
      </c>
      <c r="F638" s="92" t="str">
        <f>"
You must answer this question if the contingent asset guarantee value cap is Fixed Cap ("&amp;Questions!$D$474&amp;").
"</f>
        <v xml:space="preserve">
You must answer this question if the contingent asset guarantee value cap is Fixed Cap (GTE 19.0/3).
</v>
      </c>
      <c r="G638" s="92" t="str">
        <f>"
Enter a value greater than or equal to 0 and less than 1,000,000,000,000 (1 trillion). It can be accurate to two decimal places.
"</f>
        <v xml:space="preserve">
Enter a value greater than or equal to 0 and less than 1,000,000,000,000 (1 trillion). It can be accurate to two decimal places.
</v>
      </c>
      <c r="H638" s="92"/>
      <c r="I638" s="92"/>
      <c r="J638" s="92"/>
    </row>
    <row r="639" spans="1:10" ht="77.5">
      <c r="A639" s="190" t="s">
        <v>907</v>
      </c>
      <c r="B639" s="92" t="str">
        <f>"
Do not answer this question if the scheme follows a Fast Track approach ("&amp;Questions!$D$5&amp;").
"</f>
        <v xml:space="preserve">
Do not answer this question if the scheme follows a Fast Track approach (SH 13.0).
</v>
      </c>
      <c r="C639" s="92" t="str">
        <f>"
Do not answer this question if there are no guarantees the trustees wish to include details about ("&amp;Questions!$D$237&amp;").
"</f>
        <v xml:space="preserve">
Do not answer this question if there are no guarantees the trustees wish to include details about (CSI 19.0).
</v>
      </c>
      <c r="D639"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39" s="92" t="str">
        <f>"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39" s="92" t="str">
        <f>"
Select ‘Yes’ if participating employer insolvency is a trigger for access to value, or ‘No’ if not
"</f>
        <v xml:space="preserve">
Select ‘Yes’ if participating employer insolvency is a trigger for access to value, or ‘No’ if not
</v>
      </c>
      <c r="G639" s="92"/>
      <c r="H639" s="92"/>
      <c r="I639" s="92"/>
      <c r="J639" s="92"/>
    </row>
    <row r="640" spans="1:10" ht="77.5">
      <c r="A640" s="190" t="s">
        <v>909</v>
      </c>
      <c r="B640" s="92" t="str">
        <f>"
Do not answer this question if the scheme follows a Fast Track approach ("&amp;Questions!$D$5&amp;").
"</f>
        <v xml:space="preserve">
Do not answer this question if the scheme follows a Fast Track approach (SH 13.0).
</v>
      </c>
      <c r="C640" s="92" t="str">
        <f>"
Do not answer this question if there are no guarantees the trustees wish to include details about ("&amp;Questions!$D$237&amp;").
"</f>
        <v xml:space="preserve">
Do not answer this question if there are no guarantees the trustees wish to include details about (CSI 19.0).
</v>
      </c>
      <c r="D640"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40" s="92" t="str">
        <f>"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40" s="92" t="str">
        <f>"
Select ‘Yes’ if the insolvency of an associated company is a trigger for access to value, or ‘No’ if not
"</f>
        <v xml:space="preserve">
Select ‘Yes’ if the insolvency of an associated company is a trigger for access to value, or ‘No’ if not
</v>
      </c>
      <c r="G640" s="92"/>
      <c r="H640" s="92"/>
      <c r="I640" s="92"/>
      <c r="J640" s="92"/>
    </row>
    <row r="641" spans="1:10" ht="77.5">
      <c r="A641" s="190" t="s">
        <v>911</v>
      </c>
      <c r="B641" s="92" t="str">
        <f>"
Do not answer this question if the scheme follows a Fast Track approach ("&amp;Questions!$D$5&amp;").
"</f>
        <v xml:space="preserve">
Do not answer this question if the scheme follows a Fast Track approach (SH 13.0).
</v>
      </c>
      <c r="C641" s="92" t="str">
        <f>"
Do not answer this question if there are no guarantees the trustees wish to include details about ("&amp;Questions!$D$237&amp;").
"</f>
        <v xml:space="preserve">
Do not answer this question if there are no guarantees the trustees wish to include details about (CSI 19.0).
</v>
      </c>
      <c r="D641" s="92" t="str">
        <f>"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641" s="92" t="str">
        <f>"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41" s="92" t="str">
        <f>"
Select ‘Yes’ if non payment of contributions is a trigger for access to value, or ‘No’ if not
"</f>
        <v xml:space="preserve">
Select ‘Yes’ if non payment of contributions is a trigger for access to value, or ‘No’ if not
</v>
      </c>
      <c r="G641" s="92"/>
      <c r="H641" s="92"/>
      <c r="I641" s="92"/>
      <c r="J641" s="92"/>
    </row>
    <row r="642" spans="1:10" ht="77.5">
      <c r="A642" s="190" t="s">
        <v>913</v>
      </c>
      <c r="B642" s="92" t="str">
        <f>"
Do not answer this question if the scheme follows a Fast Track approach ("&amp;Questions!$D$5&amp;").
"</f>
        <v xml:space="preserve">
Do not answer this question if the scheme follows a Fast Track approach (SH 13.0).
</v>
      </c>
      <c r="C642" s="92" t="str">
        <f>"
Do not answer this question if there are no guarantees the trustees wish to include details about ("&amp;Questions!$D$237&amp;").
"</f>
        <v xml:space="preserve">
Do not answer this question if there are no guarantees the trustees wish to include details about (CSI 19.0).
</v>
      </c>
      <c r="D642"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42"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642" s="92" t="str">
        <f>"
Select ‘Yes’ if crystallisation of investment risk is a trigger for access to value, or ‘No’ if not
"</f>
        <v xml:space="preserve">
Select ‘Yes’ if crystallisation of investment risk is a trigger for access to value, or ‘No’ if not
</v>
      </c>
      <c r="G642" s="92"/>
      <c r="H642" s="92"/>
      <c r="I642" s="92"/>
      <c r="J642" s="92"/>
    </row>
    <row r="643" spans="1:10" ht="77.5">
      <c r="A643" s="190" t="s">
        <v>915</v>
      </c>
      <c r="B643" s="92" t="str">
        <f>"
Do not answer this question if the scheme follows a Fast Track approach ("&amp;Questions!$D$5&amp;").
"</f>
        <v xml:space="preserve">
Do not answer this question if the scheme follows a Fast Track approach (SH 13.0).
</v>
      </c>
      <c r="C643" s="92" t="str">
        <f>"
Do not answer this question if there are no guarantees the trustees wish to include details about ("&amp;Questions!$D$237&amp;").
"</f>
        <v xml:space="preserve">
Do not answer this question if there are no guarantees the trustees wish to include details about (CSI 19.0).
</v>
      </c>
      <c r="D643"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43" s="92" t="str">
        <f>"
You must answer this question if the scheme follows a Bespoke approach ("&amp;Questions!$D$5&amp;") and there are one or more contingent assets the trustees wish to include details about ("&amp;Questions!$D$237&amp;").
"</f>
        <v xml:space="preserve">
You must answer this question if the scheme follows a Bespoke approach (SH 13.0) and there are one or more contingent assets the trustees wish to include details about (CSI 19.0).
</v>
      </c>
      <c r="F643" s="92" t="str">
        <f>"
Select ‘Yes’ if Other is a trigger for access to value, or ‘No’ if not
"</f>
        <v xml:space="preserve">
Select ‘Yes’ if Other is a trigger for access to value, or ‘No’ if not
</v>
      </c>
      <c r="G643" s="92"/>
      <c r="H643" s="92"/>
      <c r="I643" s="92"/>
      <c r="J643" s="92"/>
    </row>
    <row r="644" spans="1:10" ht="93">
      <c r="A644" s="190" t="s">
        <v>917</v>
      </c>
      <c r="B644" s="92" t="str">
        <f>"
Do not answer this question if the scheme follows a Fast Track approach ("&amp;Questions!$D$5&amp;").
"</f>
        <v xml:space="preserve">
Do not answer this question if the scheme follows a Fast Track approach (SH 13.0).
</v>
      </c>
      <c r="C644" s="92" t="str">
        <f>"
Do not answer this question if there are no guarantees the trustees wish to include details about ("&amp;Questions!$D$237&amp;").
"</f>
        <v xml:space="preserve">
Do not answer this question if there are no guarantees the trustees wish to include details about (CSI 19.0).
</v>
      </c>
      <c r="D644"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44" s="92" t="str">
        <f>"
Do not answer this question if Other is not a trigger for access to value ("&amp;Questions!D481&amp;").
"</f>
        <v xml:space="preserve">
Do not answer this question if Other is not a trigger for access to value (GTE 26.0/3).
</v>
      </c>
      <c r="F644" s="92" t="str">
        <f>"
You must answer this question if the scheme follows a Bespoke approach ("&amp;Questions!$D$5&amp;"), there are one or more guarantees the trustees wish to include details about ("&amp;Questions!$D$237&amp;") and Other is a trigger for access to value ("&amp;Questions!$D$481&amp;").
"</f>
        <v xml:space="preserve">
You must answer this question if the scheme follows a Bespoke approach (SH 13.0), there are one or more guarantees the trustees wish to include details about (CSI 19.0) and Other is a trigger for access to value (GTE 26.0/3).
</v>
      </c>
      <c r="G644" s="92" t="str">
        <f>"
The answer must be no more than 4000 characters.
"</f>
        <v xml:space="preserve">
The answer must be no more than 4000 characters.
</v>
      </c>
      <c r="H644" s="92"/>
      <c r="I644" s="92"/>
      <c r="J644" s="92"/>
    </row>
    <row r="645" spans="1:10" ht="77.5">
      <c r="A645" s="190" t="s">
        <v>919</v>
      </c>
      <c r="B645" s="92" t="str">
        <f>"
Do not answer this question if the scheme follows a Fast Track approach ("&amp;Questions!$D$5&amp;").
"</f>
        <v xml:space="preserve">
Do not answer this question if the scheme follows a Fast Track approach (SH 13.0).
</v>
      </c>
      <c r="C645" s="92" t="str">
        <f>"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645"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45" s="92" t="str">
        <f>"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45" s="92" t="str">
        <f>"
The answer must be no more than 4000 characters.
"</f>
        <v xml:space="preserve">
The answer must be no more than 4000 characters.
</v>
      </c>
      <c r="G645" s="92"/>
      <c r="H645" s="92"/>
      <c r="I645" s="92"/>
      <c r="J645" s="92"/>
    </row>
    <row r="646" spans="1:10" ht="62">
      <c r="A646" s="190" t="s">
        <v>922</v>
      </c>
      <c r="B646" s="92" t="str">
        <f>"
Do not answer this question if there are no guarantees the trustees wish to include details about ("&amp;Questions!$D$237&amp;").
"</f>
        <v xml:space="preserve">
Do not answer this question if there are no guarantees the trustees wish to include details about (CSI 19.0).
</v>
      </c>
      <c r="C646"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46" s="92" t="str">
        <f>"
You must answer this question if there are one or more guarantees the trustees wish to include details about ("&amp;Questions!$D$237&amp;").
"</f>
        <v xml:space="preserve">
You must answer this question if there are one or more guarantees the trustees wish to include details about (CSI 19.0).
</v>
      </c>
      <c r="E646" s="92" t="str">
        <f>"
The answer must be no more than 510 characters.
"</f>
        <v xml:space="preserve">
The answer must be no more than 510 characters.
</v>
      </c>
      <c r="F646" s="92"/>
      <c r="G646" s="92"/>
      <c r="H646" s="92"/>
      <c r="I646" s="92"/>
      <c r="J646" s="92"/>
    </row>
    <row r="647" spans="1:10" ht="124">
      <c r="A647" s="190" t="s">
        <v>924</v>
      </c>
      <c r="B647" s="92" t="str">
        <f>"
Do not answer this question if there are no guarantees the trustees wish to include details about ("&amp;Questions!$D$237&amp;").
"</f>
        <v xml:space="preserve">
Do not answer this question if there are no guarantees the trustees wish to include details about (CSI 19.0).
</v>
      </c>
      <c r="C647"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47" s="92" t="s">
        <v>4784</v>
      </c>
      <c r="E647" s="92"/>
      <c r="F647" s="92"/>
      <c r="G647" s="92"/>
      <c r="H647" s="92"/>
      <c r="I647" s="92"/>
      <c r="J647" s="92"/>
    </row>
    <row r="648" spans="1:10" ht="62">
      <c r="A648" s="190" t="s">
        <v>926</v>
      </c>
      <c r="B648" s="92" t="str">
        <f>"
Do not answer this question if there are no guarantees the trustees wish to include details about ("&amp;Questions!$D$237&amp;").
"</f>
        <v xml:space="preserve">
Do not answer this question if there are no guarantees the trustees wish to include details about (CSI 19.0).
</v>
      </c>
      <c r="C648"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48" s="92" t="str">
        <f>"
Do not answer this question if you have provided a contingent asset guarantee Companies House number ("&amp;Questions!$D$485&amp;").
"</f>
        <v xml:space="preserve">
Do not answer this question if you have provided a contingent asset guarantee Companies House number (GTE 2.0/4).
</v>
      </c>
      <c r="E648" s="92" t="s">
        <v>3766</v>
      </c>
      <c r="F648" s="92"/>
      <c r="G648" s="92"/>
      <c r="H648" s="92"/>
      <c r="I648" s="92"/>
      <c r="J648" s="92"/>
    </row>
    <row r="649" spans="1:10" ht="93">
      <c r="A649" s="190" t="s">
        <v>928</v>
      </c>
      <c r="B649" s="92" t="str">
        <f>"
Do not answer this question if there are no guarantees the trustees wish to include details about ("&amp;Questions!$D$237&amp;").
"</f>
        <v xml:space="preserve">
Do not answer this question if there are no guarantees the trustees wish to include details about (CSI 19.0).
</v>
      </c>
      <c r="C649"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49" s="92" t="str">
        <f>"
Do not answer this question if you have provided a contingent asset guarantee Companies House number ("&amp;Questions!$D$485&amp;").
"</f>
        <v xml:space="preserve">
Do not answer this question if you have provided a contingent asset guarantee Companies House number (GTE 2.0/4).
</v>
      </c>
      <c r="E649" s="92" t="str">
        <f>"
Do not answer this question if you have provided a contingent asset guarantee charity number ("&amp;Questions!$D$486&amp;").
"</f>
        <v xml:space="preserve">
Do not answer this question if you have provided a contingent asset guarantee charity number (GTE 3.0/4).
</v>
      </c>
      <c r="F649" s="92" t="str">
        <f>"
You must answer this question if there are one or more guarantees the trustees wish to include details about ("&amp;Questions!$D$237&amp;") and you have not provided a contingent asset guarantee Companies House number ("&amp;Questions!$D$485&amp;") or a contingent asset guarantee charity number ("&amp;Questions!$D$486&amp;").
"</f>
        <v xml:space="preserve">
You must answer this question if there are one or more guarantees the trustees wish to include details about (CSI 19.0) and you have not provided a contingent asset guarantee Companies House number (GTE 2.0/4) or a contingent asset guarantee charity number (GTE 3.0/4).
</v>
      </c>
      <c r="G649" s="92" t="str">
        <f>"
The answer must be no more than 510 characters.
"</f>
        <v xml:space="preserve">
The answer must be no more than 510 characters.
</v>
      </c>
      <c r="H649" s="92"/>
      <c r="I649" s="92"/>
      <c r="J649" s="92"/>
    </row>
    <row r="650" spans="1:10" ht="93">
      <c r="A650" s="190" t="s">
        <v>930</v>
      </c>
      <c r="B650" s="92" t="str">
        <f>"
Do not answer this question if there are no guarantees the trustees wish to include details about ("&amp;Questions!$D$237&amp;").
"</f>
        <v xml:space="preserve">
Do not answer this question if there are no guarantees the trustees wish to include details about (CSI 19.0).
</v>
      </c>
      <c r="C650"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50" s="92" t="str">
        <f>"
Do not answer this question if you have provided a contingent asset guarantee Companies House number ("&amp;Questions!$D$485&amp;").
"</f>
        <v xml:space="preserve">
Do not answer this question if you have provided a contingent asset guarantee Companies House number (GTE 2.0/4).
</v>
      </c>
      <c r="E650" s="92" t="str">
        <f>"
Do not answer this question if you have provided a contingent asset guarantee charity number ("&amp;Questions!$D$486&amp;").
"</f>
        <v xml:space="preserve">
Do not answer this question if you have provided a contingent asset guarantee charity number (GTE 3.0/4).
</v>
      </c>
      <c r="F650" s="92" t="str">
        <f>"
You must answer this question if there are one or more guarantees the trustees wish to include details about ("&amp;Questions!$D$237&amp;") and you have not provided a contingent asset guarantee Companies House number ("&amp;Questions!$D$485&amp;") or a contingent asset guarantee charity number ("&amp;Questions!$D$486&amp;").
"</f>
        <v xml:space="preserve">
You must answer this question if there are one or more guarantees the trustees wish to include details about (CSI 19.0) and you have not provided a contingent asset guarantee Companies House number (GTE 2.0/4) or a contingent asset guarantee charity number (GTE 3.0/4).
</v>
      </c>
      <c r="G650" s="92" t="str">
        <f>"
The answer must be no more than 510 characters.
"</f>
        <v xml:space="preserve">
The answer must be no more than 510 characters.
</v>
      </c>
      <c r="H650" s="92"/>
      <c r="I650" s="92"/>
      <c r="J650" s="92"/>
    </row>
    <row r="651" spans="1:10" ht="62">
      <c r="A651" s="190" t="s">
        <v>932</v>
      </c>
      <c r="B651" s="92" t="str">
        <f>"
Do not answer this question if there are no guarantees the trustees wish to include details about ("&amp;Questions!$D$237&amp;").
"</f>
        <v xml:space="preserve">
Do not answer this question if there are no guarantees the trustees wish to include details about (CSI 19.0).
</v>
      </c>
      <c r="C651"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51" s="92" t="str">
        <f>"
Do not answer this question if you have provided a contingent asset guarantee Companies House number ("&amp;Questions!$D$485&amp;").
"</f>
        <v xml:space="preserve">
Do not answer this question if you have provided a contingent asset guarantee Companies House number (GTE 2.0/4).
</v>
      </c>
      <c r="E651" s="92" t="str">
        <f>"
Do not answer this question if you have provided a contingent asset guarantee charity number ("&amp;Questions!$D$486&amp;").
"</f>
        <v xml:space="preserve">
Do not answer this question if you have provided a contingent asset guarantee charity number (GTE 3.0/4).
</v>
      </c>
      <c r="F651" s="92" t="str">
        <f>"
The answer must be no more than 510 characters.
"</f>
        <v xml:space="preserve">
The answer must be no more than 510 characters.
</v>
      </c>
      <c r="G651" s="92"/>
      <c r="H651" s="92"/>
      <c r="I651" s="92"/>
      <c r="J651" s="92"/>
    </row>
    <row r="652" spans="1:10" ht="62">
      <c r="A652" s="190" t="s">
        <v>934</v>
      </c>
      <c r="B652" s="92" t="str">
        <f>"
Do not answer this question if there are no guarantees the trustees wish to include details about ("&amp;Questions!$D$237&amp;").
"</f>
        <v xml:space="preserve">
Do not answer this question if there are no guarantees the trustees wish to include details about (CSI 19.0).
</v>
      </c>
      <c r="C652"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52" s="92" t="str">
        <f>"
Do not answer this question if you have provided a contingent asset guarantee Companies House number ("&amp;Questions!$D$485&amp;").
"</f>
        <v xml:space="preserve">
Do not answer this question if you have provided a contingent asset guarantee Companies House number (GTE 2.0/4).
</v>
      </c>
      <c r="E652" s="92" t="str">
        <f>"
Do not answer this question if you have provided a contingent asset guarantee charity number ("&amp;Questions!$D$486&amp;").
"</f>
        <v xml:space="preserve">
Do not answer this question if you have provided a contingent asset guarantee charity number (GTE 3.0/4).
</v>
      </c>
      <c r="F652" s="92" t="str">
        <f>"
The answer must be no more than 510 characters.
"</f>
        <v xml:space="preserve">
The answer must be no more than 510 characters.
</v>
      </c>
      <c r="G652" s="92"/>
      <c r="H652" s="92"/>
      <c r="I652" s="92"/>
      <c r="J652" s="92"/>
    </row>
    <row r="653" spans="1:10" ht="93">
      <c r="A653" s="190" t="s">
        <v>936</v>
      </c>
      <c r="B653" s="92" t="str">
        <f>"
Do not answer this question if there are no guarantees the trustees wish to include details about ("&amp;Questions!$D$237&amp;").
"</f>
        <v xml:space="preserve">
Do not answer this question if there are no guarantees the trustees wish to include details about (CSI 19.0).
</v>
      </c>
      <c r="C653"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53" s="92" t="str">
        <f>"
Do not answer this question if you have provided a contingent asset guarantee Companies House number ("&amp;Questions!$D$485&amp;").
"</f>
        <v xml:space="preserve">
Do not answer this question if you have provided a contingent asset guarantee Companies House number (GTE 2.0/4).
</v>
      </c>
      <c r="E653" s="92" t="str">
        <f>"
Do not answer this question if you have provided a contingent asset guarantee charity number ("&amp;Questions!$D$486&amp;").
"</f>
        <v xml:space="preserve">
Do not answer this question if you have provided a contingent asset guarantee charity number (GTE 3.0/4).
</v>
      </c>
      <c r="F653" s="92" t="str">
        <f>"
You must answer this question if there are one or more guarantees the trustees wish to include details about ("&amp;Questions!$D$237&amp;") and you have not provided a contingent asset guarantee Companies House number ("&amp;Questions!$D$485&amp;") or a contingent asset guarantee charity number ("&amp;Questions!$D$486&amp;").
"</f>
        <v xml:space="preserve">
You must answer this question if there are one or more guarantees the trustees wish to include details about (CSI 19.0) and you have not provided a contingent asset guarantee Companies House number (GTE 2.0/4) or a contingent asset guarantee charity number (GTE 3.0/4).
</v>
      </c>
      <c r="G653" s="92" t="str">
        <f>"
The answer must be no more than 510 characters.
"</f>
        <v xml:space="preserve">
The answer must be no more than 510 characters.
</v>
      </c>
      <c r="H653" s="92"/>
      <c r="I653" s="92"/>
      <c r="J653" s="92"/>
    </row>
    <row r="654" spans="1:10" ht="93">
      <c r="A654" s="190" t="s">
        <v>938</v>
      </c>
      <c r="B654" s="92" t="str">
        <f>"
Do not answer this question if there are no guarantees the trustees wish to include details about ("&amp;Questions!$D$237&amp;").
"</f>
        <v xml:space="preserve">
Do not answer this question if there are no guarantees the trustees wish to include details about (CSI 19.0).
</v>
      </c>
      <c r="C654"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54" s="92" t="str">
        <f>"
Do not answer this question if you have provided a contingent asset guarantee Companies House number ("&amp;Questions!$D$485&amp;").
"</f>
        <v xml:space="preserve">
Do not answer this question if you have provided a contingent asset guarantee Companies House number (GTE 2.0/4).
</v>
      </c>
      <c r="E654" s="92" t="str">
        <f>"
Do not answer this question if you have provided a contingent asset guarantee charity number ("&amp;Questions!$D$486&amp;").
"</f>
        <v xml:space="preserve">
Do not answer this question if you have provided a contingent asset guarantee charity number (GTE 3.0/4).
</v>
      </c>
      <c r="F654" s="92" t="str">
        <f>"
You must answer this question if there are one or more guarantees the trustees wish to include details about ("&amp;Questions!$D$237&amp;") and you have not provided a contingent asset guarantee Companies House number ("&amp;Questions!$D$485&amp;") or a contingent asset guarantee charity number ("&amp;Questions!$D$486&amp;").
"</f>
        <v xml:space="preserve">
You must answer this question if there are one or more guarantees the trustees wish to include details about (CSI 19.0) and you have not provided a contingent asset guarantee Companies House number (GTE 2.0/4) or a contingent asset guarantee charity number (GTE 3.0/4).
</v>
      </c>
      <c r="G654" s="92" t="str">
        <f>"
Select 'United Kingdom' if the address is for a UK address, or the relevant country from the drop down list if not.
"</f>
        <v xml:space="preserve">
Select 'United Kingdom' if the address is for a UK address, or the relevant country from the drop down list if not.
</v>
      </c>
      <c r="H654" s="92"/>
      <c r="I654" s="92"/>
      <c r="J654" s="92"/>
    </row>
    <row r="655" spans="1:10" ht="108.5">
      <c r="A655" s="190" t="s">
        <v>940</v>
      </c>
      <c r="B655" s="92" t="str">
        <f>"
Do not answer this question if there are no guarantees the trustees wish to include details about ("&amp;Questions!$D$237&amp;").
"</f>
        <v xml:space="preserve">
Do not answer this question if there are no guarantees the trustees wish to include details about (CSI 19.0).
</v>
      </c>
      <c r="C655"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55" s="92" t="str">
        <f>"
Do not answer this question if you have provided a contingent asset guarantee Companies House number ("&amp;Questions!$D$485&amp;").
"</f>
        <v xml:space="preserve">
Do not answer this question if you have provided a contingent asset guarantee Companies House number (GTE 2.0/4).
</v>
      </c>
      <c r="E655" s="92" t="str">
        <f>"
Do not answer this question if you have provided a contingent asset guarantee charity number ("&amp;Questions!$D$486&amp;").
"</f>
        <v xml:space="preserve">
Do not answer this question if you have provided a contingent asset guarantee charity number (GTE 3.0/4).
</v>
      </c>
      <c r="F655" s="92" t="str">
        <f>"
You must answer this question if there are one or more guarantees the trustees wish to include details about ("&amp;Questions!$D$237&amp;") and you have not provided a contingent asset guarantee Companies House number ("&amp;Questions!$D$485&amp;") or a contingent asset guarantee charity number ("&amp;Questions!$D$486&amp;"), and the country is United Kingdom ("&amp;Questions!$D$492&amp;").
"</f>
        <v xml:space="preserve">
You must answer this question if there are one or more guarantees the trustees wish to include details about (CSI 19.0) and you have not provided a contingent asset guarantee Companies House number (GTE 2.0/4) or a contingent asset guarantee charity number (GTE 3.0/4), and the country is United Kingdom (GTE 9.0/4).
</v>
      </c>
      <c r="G655" s="92" t="str">
        <f>"
The answer must be a valid postcode with between 5 and 8 characters.
"</f>
        <v xml:space="preserve">
The answer must be a valid postcode with between 5 and 8 characters.
</v>
      </c>
      <c r="H655" s="92"/>
      <c r="I655" s="92"/>
      <c r="J655" s="92"/>
    </row>
    <row r="656" spans="1:10" ht="93">
      <c r="A656" s="190" t="s">
        <v>942</v>
      </c>
      <c r="B656" s="92" t="str">
        <f>"
Do not answer this question if the scheme follows a Fast Track approach ("&amp;Questions!$D$5&amp;").
"</f>
        <v xml:space="preserve">
Do not answer this question if the scheme follows a Fast Track approach (SH 13.0).
</v>
      </c>
      <c r="C656" s="92" t="str">
        <f>"
Do not answer this question if there are no guarantees the trustees wish to include details about ("&amp;Questions!$D$237&amp;").
"</f>
        <v xml:space="preserve">
Do not answer this question if there are no guarantees the trustees wish to include details about (CSI 19.0).
</v>
      </c>
      <c r="D656"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56" s="92" t="str">
        <f>"
You must answer this question if the scheme follows a Bespoke approach ("&amp;Questions!$D$5&amp;"), is post-relevant date ("&amp;Questions!$D$14&amp;"), does not meet the 'Bespoke low-risk scheme' requirements ("&amp;Questions!$D$6&amp;") and there are one or more guarantees the trustees wish to include details about ("&amp;Questions!$D$237&amp;").
"</f>
        <v xml:space="preserve">
You must answer this question if the scheme follows a Bespoke approach (SH 13.0), is post-relevant date (SH 10.0), does not meet the 'Bespoke low-risk scheme' requirements (SH 14.0) and there are one or more guarantees the trustees wish to include details about (CSI 19.0).
</v>
      </c>
      <c r="F656" s="92" t="str">
        <f>"
Select ‘Yes’ if the guarantor of the contingent asset guarantee is an associated company, or ‘No’ if not
"</f>
        <v xml:space="preserve">
Select ‘Yes’ if the guarantor of the contingent asset guarantee is an associated company, or ‘No’ if not
</v>
      </c>
      <c r="G656" s="92" t="str">
        <f>"
Do not answer this question if the scheme follows a Bespoke approach ("&amp;Questions!$D$5&amp;"), the scheme is post-relevant date ("&amp;Questions!$D$14&amp;") and the scheme meets the 'Bespoke low-risk scheme' requirements' ("&amp;Questions!$D$6&amp;").
"</f>
        <v xml:space="preserve">
Do not answer this question if the scheme follows a Bespoke approach (SH 13.0), the scheme is post-relevant date (SH 10.0) and the scheme meets the 'Bespoke low-risk scheme' requirements' (SH 14.0).
</v>
      </c>
      <c r="H656" s="92" t="str">
        <f>"
You must answer this question if the scheme follows a Bespoke approach ("&amp;Questions!$D$5&amp;"), is pre-relevant date ("&amp;Questions!$D$14&amp;")  and there are one or more guarantees the trustees wish to include details about ("&amp;Questions!$D$237&amp;").
"</f>
        <v xml:space="preserve">
You must answer this question if the scheme follows a Bespoke approach (SH 13.0), is pre-relevant date (SH 10.0)  and there are one or more guarantees the trustees wish to include details about (CSI 19.0).
</v>
      </c>
      <c r="I656" s="92"/>
      <c r="J656" s="92"/>
    </row>
    <row r="657" spans="1:10" ht="124">
      <c r="A657" s="190" t="s">
        <v>944</v>
      </c>
      <c r="B657" s="92" t="str">
        <f>"
Do not answer this question if there are no guarantees the trustees wish to include details about ("&amp;Questions!$D$237&amp;").
"</f>
        <v xml:space="preserve">
Do not answer this question if there are no guarantees the trustees wish to include details about (CSI 19.0).
</v>
      </c>
      <c r="C657"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57" s="92" t="str">
        <f>"
You must answer this question if there are one or more guarantees the trustees wish to include details about ("&amp;Questions!$D$237&amp;").
"</f>
        <v xml:space="preserve">
You must answer this question if there are one or more guarantees the trustees wish to include details about (CSI 19.0).
</v>
      </c>
      <c r="E657" s="92" t="str">
        <f>"
Select one of the following options from the drop-down list:
• Formal look-through guarantee
• Look-through guarantee subject to limitation
• Non look-through guarantee
• Other
"</f>
        <v xml:space="preserve">
Select one of the following options from the drop-down list:
• Formal look-through guarantee
• Look-through guarantee subject to limitation
• Non look-through guarantee
• Other
</v>
      </c>
      <c r="F657" s="92"/>
      <c r="G657" s="92"/>
      <c r="H657" s="92"/>
      <c r="I657" s="92"/>
      <c r="J657" s="92"/>
    </row>
    <row r="658" spans="1:10" ht="77.5">
      <c r="A658" s="190" t="s">
        <v>947</v>
      </c>
      <c r="B658" s="92" t="str">
        <f>"
Do not answer this question if there are no guarantees the trustees wish to include details about ("&amp;Questions!$D$237&amp;").
"</f>
        <v xml:space="preserve">
Do not answer this question if there are no guarantees the trustees wish to include details about (CSI 19.0).
</v>
      </c>
      <c r="C658"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58" s="92" t="str">
        <f>"
Do not answer this question if there are one or more guarantees the trustees wish to include details about ("&amp;Questions!$D$237&amp;") and you have not answered Other to the type of guarantee ("&amp;Questions!$D$495&amp;").
"</f>
        <v xml:space="preserve">
Do not answer this question if there are one or more guarantees the trustees wish to include details about (CSI 19.0) and you have not answered Other to the type of guarantee (GTE 12.0/4).
</v>
      </c>
      <c r="E658" s="92" t="str">
        <f>"
You must answer this question if you have answered “Other” to the type of guarantee ("&amp;Questions!$D$439&amp;").
"</f>
        <v xml:space="preserve">
You must answer this question if you have answered “Other” to the type of guarantee (GTE 12.0/2).
</v>
      </c>
      <c r="F658" s="92" t="str">
        <f>"
The answer must be no more than 4000 characters.
"</f>
        <v xml:space="preserve">
The answer must be no more than 4000 characters.
</v>
      </c>
      <c r="G658" s="92"/>
      <c r="H658" s="92"/>
      <c r="I658" s="92"/>
      <c r="J658" s="92"/>
    </row>
    <row r="659" spans="1:10" ht="93">
      <c r="A659" s="190" t="s">
        <v>949</v>
      </c>
      <c r="B659" s="92" t="str">
        <f>"
Do not answer this question if the scheme follows a Fast Track approach ("&amp;Questions!$D$5&amp;").
"</f>
        <v xml:space="preserve">
Do not answer this question if the scheme follows a Fast Track approach (SH 13.0).
</v>
      </c>
      <c r="C659" s="92" t="str">
        <f>"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659" s="92" t="str">
        <f>"
Do not answer this question if there are no guarantees the trustees wish to include details about ("&amp;Questions!$D$237&amp;").
"</f>
        <v xml:space="preserve">
Do not answer this question if there are no guarantees the trustees wish to include details about (CSI 19.0).
</v>
      </c>
      <c r="E659" s="92" t="str">
        <f>"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59" s="92" t="str">
        <f>"
Select one of the following options from the drop-down list:
• Evergreen
• Fixed expiry with a maturity date
• Other"</f>
        <v xml:space="preserve">
Select one of the following options from the drop-down list:
• Evergreen
• Fixed expiry with a maturity date
• Other</v>
      </c>
      <c r="G659" s="92"/>
      <c r="H659" s="92"/>
      <c r="I659" s="92"/>
      <c r="J659" s="92"/>
    </row>
    <row r="660" spans="1:10" ht="93">
      <c r="A660" s="190" t="s">
        <v>951</v>
      </c>
      <c r="B660" s="92" t="str">
        <f>"
Do not answer this question if the scheme follows a Fast Track approach ("&amp;Questions!$D$5&amp;").
"</f>
        <v xml:space="preserve">
Do not answer this question if the scheme follows a Fast Track approach (SH 13.0).
</v>
      </c>
      <c r="C660" s="92" t="str">
        <f>"
Do not answer this question if there are no guarantees the trustees wish to include details about ("&amp;Questions!$D$237&amp;").
"</f>
        <v xml:space="preserve">
Do not answer this question if there are no guarantees the trustees wish to include details about (CSI 19.0).
</v>
      </c>
      <c r="D660"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60" s="92" t="str">
        <f>"
Do not answer this question if the contingent asset guarantee is Evergreen or Other ("&amp;Questions!D495&amp;").
"</f>
        <v xml:space="preserve">
Do not answer this question if the contingent asset guarantee is Evergreen or Other (GTE 12.0/4).
</v>
      </c>
      <c r="F660" s="92" t="str">
        <f>"
You must answer this question if the scheme follows a Bespoke approach ("&amp;Questions!$D$5&amp;"), there are one or more guarantees the trustees wish to include details about ("&amp;Questions!$D$237&amp;") and the contingent asset guarantee maturity type is Fixed expiry with a maturity date ("&amp;Questions!D495&amp;").
"</f>
        <v xml:space="preserve">
You must answer this question if the scheme follows a Bespoke approach (SH 13.0), there are one or more guarantees the trustees wish to include details about (CSI 19.0) and the contingent asset guarantee maturity type is Fixed expiry with a maturity date (GTE 12.0/4).
</v>
      </c>
      <c r="G660" s="92" t="str">
        <f>"
Enter a valid date in the format dd/mm/yyyy 
"</f>
        <v xml:space="preserve">
Enter a valid date in the format dd/mm/yyyy 
</v>
      </c>
      <c r="H660" s="92" t="str">
        <f>"
This date cannot be less than the effective date of the actuarial validation ("&amp;Questions!$D$2&amp;")
"</f>
        <v xml:space="preserve">
This date cannot be less than the effective date of the actuarial validation (SH 8.0)
</v>
      </c>
      <c r="I660" s="92"/>
      <c r="J660" s="92"/>
    </row>
    <row r="661" spans="1:10" ht="93">
      <c r="A661" s="190" t="s">
        <v>953</v>
      </c>
      <c r="B661" s="92" t="str">
        <f>"
Do not answer this question if the scheme follows a Fast Track approach ("&amp;Questions!$D$5&amp;").
"</f>
        <v xml:space="preserve">
Do not answer this question if the scheme follows a Fast Track approach (SH 13.0).
</v>
      </c>
      <c r="C661" s="92" t="str">
        <f>"
Do not answer this question if there are no guarantees the trustees wish to include details about ("&amp;Questions!$D$237&amp;").
"</f>
        <v xml:space="preserve">
Do not answer this question if there are no guarantees the trustees wish to include details about (CSI 19.0).
</v>
      </c>
      <c r="D661"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61" s="92" t="str">
        <f>"
Do not answer this question if the contingent asset guarantee is not Other ("&amp;Questions!D495&amp;").
"</f>
        <v xml:space="preserve">
Do not answer this question if the contingent asset guarantee is not Other (GTE 12.0/4).
</v>
      </c>
      <c r="F661" s="92" t="str">
        <f>"
You must answer this question if the scheme follows a Bespoke approach ("&amp;Questions!$D$5&amp;"), there are one or more guarantees the trustees wish to include details about ("&amp;Questions!$D$237&amp;") and the contingent asset guarantee maturity type is Other ("&amp;Questions!D495&amp;").
"</f>
        <v xml:space="preserve">
You must answer this question if the scheme follows a Bespoke approach (SH 13.0), there are one or more guarantees the trustees wish to include details about (CSI 19.0) and the contingent asset guarantee maturity type is Other (GTE 12.0/4).
</v>
      </c>
      <c r="G661" s="92" t="str">
        <f>"
The answer must be no more than 4000 characters.
"</f>
        <v xml:space="preserve">
The answer must be no more than 4000 characters.
</v>
      </c>
      <c r="H661" s="92"/>
      <c r="I661" s="92"/>
      <c r="J661" s="92"/>
    </row>
    <row r="662" spans="1:10" ht="62">
      <c r="A662" s="190" t="s">
        <v>955</v>
      </c>
      <c r="B662" s="92" t="str">
        <f>"
Do not answer this question if there are no guarantees the trustees wish to include details about ("&amp;Questions!$D$237&amp;").
"</f>
        <v xml:space="preserve">
Do not answer this question if there are no guarantees the trustees wish to include details about (CSI 19.0).
</v>
      </c>
      <c r="C662"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62" s="92" t="str">
        <f>"
You must answer this question if there are one or more guarantees the trustees wish to include details about ("&amp;Questions!$D$237&amp;").
"</f>
        <v xml:space="preserve">
You must answer this question if there are one or more guarantees the trustees wish to include details about (CSI 19.0).
</v>
      </c>
      <c r="E662" s="92" t="str">
        <f>"
Enter a value greater than or equal to 0 and less than 1,000,000,000,000 (1 trillion). It can be accurate to two decimal places.
"</f>
        <v xml:space="preserve">
Enter a value greater than or equal to 0 and less than 1,000,000,000,000 (1 trillion). It can be accurate to two decimal places.
</v>
      </c>
      <c r="F662" s="92"/>
      <c r="G662" s="92"/>
      <c r="H662" s="92"/>
      <c r="I662" s="92"/>
      <c r="J662" s="92"/>
    </row>
    <row r="663" spans="1:10" ht="62">
      <c r="A663" s="190" t="s">
        <v>957</v>
      </c>
      <c r="B663" s="92" t="str">
        <f>"
Do not answer this question if there are no guarantees the trustees wish to include details about ("&amp;Questions!$D$237&amp;").
"</f>
        <v xml:space="preserve">
Do not answer this question if there are no guarantees the trustees wish to include details about (CSI 19.0).
</v>
      </c>
      <c r="C663"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63" s="92" t="str">
        <f>"
You must answer this question if there are one or more guarantees the trustees wish to include details about ("&amp;Questions!$D$237&amp;").
"</f>
        <v xml:space="preserve">
You must answer this question if there are one or more guarantees the trustees wish to include details about (CSI 19.0).
</v>
      </c>
      <c r="E663" s="92" t="str">
        <f>"
Enter a valid date that is less than or equal to today in the format dd/mm/yyyy 
"</f>
        <v xml:space="preserve">
Enter a valid date that is less than or equal to today in the format dd/mm/yyyy 
</v>
      </c>
      <c r="F663" s="92" t="str">
        <f>"
Enter a valid date that is less than or equal to today in the format dd/mm/yyyy 
"</f>
        <v xml:space="preserve">
Enter a valid date that is less than or equal to today in the format dd/mm/yyyy 
</v>
      </c>
      <c r="G663" s="92"/>
      <c r="H663" s="92"/>
      <c r="I663" s="92"/>
      <c r="J663" s="92"/>
    </row>
    <row r="664" spans="1:10" ht="155">
      <c r="A664" s="190" t="s">
        <v>959</v>
      </c>
      <c r="B664" s="92" t="str">
        <f>"
Do not answer this question if the scheme follows a Fast Track approach ("&amp;Questions!$D$5&amp;").
"</f>
        <v xml:space="preserve">
Do not answer this question if the scheme follows a Fast Track approach (SH 13.0).
</v>
      </c>
      <c r="C664" s="92" t="str">
        <f>"
Do not answer this question if there are no guarantees the trustees wish to include details about ("&amp;Questions!$D$237&amp;").
"</f>
        <v xml:space="preserve">
Do not answer this question if there are no guarantees the trustees wish to include details about (CSI 19.0).
</v>
      </c>
      <c r="D664"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64" s="92" t="str">
        <f>"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64" s="92" t="s">
        <v>3767</v>
      </c>
      <c r="G664" s="92"/>
      <c r="H664" s="92"/>
      <c r="I664" s="92"/>
      <c r="J664" s="92"/>
    </row>
    <row r="665" spans="1:10" ht="93">
      <c r="A665" s="190" t="s">
        <v>961</v>
      </c>
      <c r="B665" s="92" t="str">
        <f>"
Do not answer this question if the scheme follows a Fast Track approach ("&amp;Questions!$D$5&amp;").
"</f>
        <v xml:space="preserve">
Do not answer this question if the scheme follows a Fast Track approach (SH 13.0).
</v>
      </c>
      <c r="C665" s="92" t="str">
        <f>"
Do not answer this question if there are no guarantees the trustees wish to include details about ("&amp;Questions!$D$237&amp;").
"</f>
        <v xml:space="preserve">
Do not answer this question if there are no guarantees the trustees wish to include details about (CSI 19.0).
</v>
      </c>
      <c r="D665"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65" s="92" t="str">
        <f>"
Do not answer this question if the contingent asset guarantee value cap is not Other ("&amp;Questions!D495&amp;").
"</f>
        <v xml:space="preserve">
Do not answer this question if the contingent asset guarantee value cap is not Other (GTE 12.0/4).
</v>
      </c>
      <c r="F665" s="92" t="str">
        <f>"
You must answer this question if the scheme follows a Bespoke approach ("&amp;Questions!$D$5&amp;"), there are one or more guarantees the trustees wish to include details about ("&amp;Questions!$D$237&amp;") and the contingent asset guarantee value cap is Other ("&amp;Questions!$D$502&amp;").
"</f>
        <v xml:space="preserve">
You must answer this question if the scheme follows a Bespoke approach (SH 13.0), there are one or more guarantees the trustees wish to include details about (CSI 19.0) and the contingent asset guarantee value cap is Other (GTE 19.0/4).
</v>
      </c>
      <c r="G665" s="92" t="str">
        <f>"
The answer must be no more than 4000 characters.
"</f>
        <v xml:space="preserve">
The answer must be no more than 4000 characters.
</v>
      </c>
      <c r="H665" s="92"/>
      <c r="I665" s="92"/>
      <c r="J665" s="92"/>
    </row>
    <row r="666" spans="1:10" ht="62">
      <c r="A666" s="190" t="s">
        <v>963</v>
      </c>
      <c r="B666" s="92" t="str">
        <f>"
Do not answer this question if the scheme follows a Fast Track approach ("&amp;Questions!$D$5&amp;").
"</f>
        <v xml:space="preserve">
Do not answer this question if the scheme follows a Fast Track approach (SH 13.0).
</v>
      </c>
      <c r="C666" s="92" t="str">
        <f>"
Do not answer this question if there are no guarantees the trustees wish to include details about ("&amp;Questions!$D$237&amp;").
"</f>
        <v xml:space="preserve">
Do not answer this question if there are no guarantees the trustees wish to include details about (CSI 19.0).
</v>
      </c>
      <c r="D666"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66" s="92" t="str">
        <f>"
Do not answer this question if the contingent asset guarantee value cap is not Fixed Cap ("&amp;Questions!$D$237&amp;").
"</f>
        <v xml:space="preserve">
Do not answer this question if the contingent asset guarantee value cap is not Fixed Cap (CSI 19.0).
</v>
      </c>
      <c r="F666" s="92" t="str">
        <f>"
You must answer this question if the contingent asset guarantee value cap is Fixed Cap ("&amp;Questions!$D$502&amp;").
"</f>
        <v xml:space="preserve">
You must answer this question if the contingent asset guarantee value cap is Fixed Cap (GTE 19.0/4).
</v>
      </c>
      <c r="G666" s="92" t="str">
        <f>"
Enter a value greater than or equal to 0 and less than 1,000,000,000,000 (1 trillion). It can be accurate to two decimal places.
"</f>
        <v xml:space="preserve">
Enter a value greater than or equal to 0 and less than 1,000,000,000,000 (1 trillion). It can be accurate to two decimal places.
</v>
      </c>
      <c r="H666" s="92"/>
      <c r="I666" s="92"/>
      <c r="J666" s="92"/>
    </row>
    <row r="667" spans="1:10" ht="77.5">
      <c r="A667" s="190" t="s">
        <v>966</v>
      </c>
      <c r="B667" s="92" t="str">
        <f>"
Do not answer this question if the scheme follows a Fast Track approach ("&amp;Questions!$D$5&amp;").
"</f>
        <v xml:space="preserve">
Do not answer this question if the scheme follows a Fast Track approach (SH 13.0).
</v>
      </c>
      <c r="C667" s="92" t="str">
        <f>"
Do not answer this question if there are no guarantees the trustees wish to include details about ("&amp;Questions!$D$237&amp;").
"</f>
        <v xml:space="preserve">
Do not answer this question if there are no guarantees the trustees wish to include details about (CSI 19.0).
</v>
      </c>
      <c r="D667"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67" s="92" t="str">
        <f>"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67" s="92" t="str">
        <f>"
Select ‘Yes’ if participating employer insolvency is a trigger for access to value, or ‘No’ if not
"</f>
        <v xml:space="preserve">
Select ‘Yes’ if participating employer insolvency is a trigger for access to value, or ‘No’ if not
</v>
      </c>
      <c r="G667" s="92"/>
      <c r="H667" s="92"/>
      <c r="I667" s="92"/>
      <c r="J667" s="92"/>
    </row>
    <row r="668" spans="1:10" ht="77.5">
      <c r="A668" s="190" t="s">
        <v>968</v>
      </c>
      <c r="B668" s="92" t="str">
        <f>"
Do not answer this question if the scheme follows a Fast Track approach ("&amp;Questions!$D$5&amp;").
"</f>
        <v xml:space="preserve">
Do not answer this question if the scheme follows a Fast Track approach (SH 13.0).
</v>
      </c>
      <c r="C668" s="92" t="str">
        <f>"
Do not answer this question if there are no guarantees the trustees wish to include details about ("&amp;Questions!$D$237&amp;").
"</f>
        <v xml:space="preserve">
Do not answer this question if there are no guarantees the trustees wish to include details about (CSI 19.0).
</v>
      </c>
      <c r="D668"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68" s="92" t="str">
        <f>"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68" s="92" t="str">
        <f>"
Select ‘Yes’ if the insolvency of an associated company is a trigger for access to value, or ‘No’ if not
"</f>
        <v xml:space="preserve">
Select ‘Yes’ if the insolvency of an associated company is a trigger for access to value, or ‘No’ if not
</v>
      </c>
      <c r="G668" s="92"/>
      <c r="H668" s="92"/>
      <c r="I668" s="92"/>
      <c r="J668" s="92"/>
    </row>
    <row r="669" spans="1:10" ht="77.5">
      <c r="A669" s="190" t="s">
        <v>970</v>
      </c>
      <c r="B669" s="92" t="str">
        <f>"
Do not answer this question if the scheme follows a Fast Track approach ("&amp;Questions!$D$5&amp;").
"</f>
        <v xml:space="preserve">
Do not answer this question if the scheme follows a Fast Track approach (SH 13.0).
</v>
      </c>
      <c r="C669" s="92" t="str">
        <f>"
Do not answer this question if there are no guarantees the trustees wish to include details about ("&amp;Questions!$D$237&amp;").
"</f>
        <v xml:space="preserve">
Do not answer this question if there are no guarantees the trustees wish to include details about (CSI 19.0).
</v>
      </c>
      <c r="D669" s="92" t="str">
        <f>"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669" s="92" t="str">
        <f>"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69" s="92" t="str">
        <f>"
Select ‘Yes’ if non payment of contributions is a trigger for access to value, or ‘No’ if not
"</f>
        <v xml:space="preserve">
Select ‘Yes’ if non payment of contributions is a trigger for access to value, or ‘No’ if not
</v>
      </c>
      <c r="G669" s="92"/>
      <c r="H669" s="92"/>
      <c r="I669" s="92"/>
      <c r="J669" s="92"/>
    </row>
    <row r="670" spans="1:10" ht="77.5">
      <c r="A670" s="190" t="s">
        <v>972</v>
      </c>
      <c r="B670" s="92" t="str">
        <f>"
Do not answer this question if the scheme follows a Fast Track approach ("&amp;Questions!$D$5&amp;").
"</f>
        <v xml:space="preserve">
Do not answer this question if the scheme follows a Fast Track approach (SH 13.0).
</v>
      </c>
      <c r="C670" s="92" t="str">
        <f>"
Do not answer this question if there are no guarantees the trustees wish to include details about ("&amp;Questions!$D$237&amp;").
"</f>
        <v xml:space="preserve">
Do not answer this question if there are no guarantees the trustees wish to include details about (CSI 19.0).
</v>
      </c>
      <c r="D670"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70"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670" s="92" t="str">
        <f>"
Select ‘Yes’ if crystallisation of investment risk is a trigger for access to value, or ‘No’ if not
"</f>
        <v xml:space="preserve">
Select ‘Yes’ if crystallisation of investment risk is a trigger for access to value, or ‘No’ if not
</v>
      </c>
      <c r="G670" s="92"/>
      <c r="H670" s="92"/>
      <c r="I670" s="92"/>
      <c r="J670" s="92"/>
    </row>
    <row r="671" spans="1:10" ht="77.5">
      <c r="A671" s="190" t="s">
        <v>974</v>
      </c>
      <c r="B671" s="92" t="str">
        <f>"
Do not answer this question if the scheme follows a Fast Track approach ("&amp;Questions!$D$5&amp;").
"</f>
        <v xml:space="preserve">
Do not answer this question if the scheme follows a Fast Track approach (SH 13.0).
</v>
      </c>
      <c r="C671" s="92" t="str">
        <f>"
Do not answer this question if there are no guarantees the trustees wish to include details about ("&amp;Questions!$D$237&amp;").
"</f>
        <v xml:space="preserve">
Do not answer this question if there are no guarantees the trustees wish to include details about (CSI 19.0).
</v>
      </c>
      <c r="D671"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71" s="92" t="str">
        <f>"
You must answer this question if the scheme follows a Bespoke approach ("&amp;Questions!$D$5&amp;") and there are one or more contingent assets the trustees wish to include details about ("&amp;Questions!$D$237&amp;").
"</f>
        <v xml:space="preserve">
You must answer this question if the scheme follows a Bespoke approach (SH 13.0) and there are one or more contingent assets the trustees wish to include details about (CSI 19.0).
</v>
      </c>
      <c r="F671" s="92" t="str">
        <f>"
Select ‘Yes’ if Other is a trigger for access to value, or ‘No’ if not
"</f>
        <v xml:space="preserve">
Select ‘Yes’ if Other is a trigger for access to value, or ‘No’ if not
</v>
      </c>
      <c r="G671" s="92"/>
      <c r="H671" s="92"/>
      <c r="I671" s="92"/>
      <c r="J671" s="92"/>
    </row>
    <row r="672" spans="1:10" ht="93">
      <c r="A672" s="190" t="s">
        <v>976</v>
      </c>
      <c r="B672" s="92" t="str">
        <f>"
Do not answer this question if the scheme follows a Fast Track approach ("&amp;Questions!$D$5&amp;").
"</f>
        <v xml:space="preserve">
Do not answer this question if the scheme follows a Fast Track approach (SH 13.0).
</v>
      </c>
      <c r="C672" s="92" t="str">
        <f>"
Do not answer this question if there are no guarantees the trustees wish to include details about ("&amp;Questions!$D$237&amp;").
"</f>
        <v xml:space="preserve">
Do not answer this question if there are no guarantees the trustees wish to include details about (CSI 19.0).
</v>
      </c>
      <c r="D672"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72" s="92" t="str">
        <f>"
Do not answer this question if Other is not a trigger for access to value ("&amp;Questions!D509&amp;").
"</f>
        <v xml:space="preserve">
Do not answer this question if Other is not a trigger for access to value (GTE 26.0/4).
</v>
      </c>
      <c r="F672" s="92" t="str">
        <f>"
You must answer this question if the scheme follows a Bespoke approach ("&amp;Questions!$D$5&amp;"), there are one or more guarantees the trustees wish to include details about ("&amp;Questions!$D$237&amp;") and Other is a trigger for access to value ("&amp;Questions!$D$509&amp;").
"</f>
        <v xml:space="preserve">
You must answer this question if the scheme follows a Bespoke approach (SH 13.0), there are one or more guarantees the trustees wish to include details about (CSI 19.0) and Other is a trigger for access to value (GTE 26.0/4).
</v>
      </c>
      <c r="G672" s="92" t="str">
        <f>"
The answer must be no more than 4000 characters.
"</f>
        <v xml:space="preserve">
The answer must be no more than 4000 characters.
</v>
      </c>
      <c r="H672" s="92"/>
      <c r="I672" s="92"/>
      <c r="J672" s="92"/>
    </row>
    <row r="673" spans="1:10" ht="77.5">
      <c r="A673" s="190" t="s">
        <v>978</v>
      </c>
      <c r="B673" s="92" t="str">
        <f>"
Do not answer this question if the scheme follows a Fast Track approach ("&amp;Questions!$D$5&amp;").
"</f>
        <v xml:space="preserve">
Do not answer this question if the scheme follows a Fast Track approach (SH 13.0).
</v>
      </c>
      <c r="C673" s="92" t="str">
        <f>"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673"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73" s="92" t="str">
        <f>"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73" s="92" t="str">
        <f>"
The answer must be no more than 4000 characters.
"</f>
        <v xml:space="preserve">
The answer must be no more than 4000 characters.
</v>
      </c>
      <c r="G673" s="92"/>
      <c r="H673" s="92"/>
      <c r="I673" s="92"/>
      <c r="J673" s="92"/>
    </row>
    <row r="674" spans="1:10" ht="62">
      <c r="A674" s="190" t="s">
        <v>981</v>
      </c>
      <c r="B674" s="92" t="str">
        <f>"
Do not answer this question if there are no guarantees the trustees wish to include details about ("&amp;Questions!$D$237&amp;").
"</f>
        <v xml:space="preserve">
Do not answer this question if there are no guarantees the trustees wish to include details about (CSI 19.0).
</v>
      </c>
      <c r="C674"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74" s="92" t="str">
        <f>"
You must answer this question if there are one or more guarantees the trustees wish to include details about ("&amp;Questions!$D$237&amp;").
"</f>
        <v xml:space="preserve">
You must answer this question if there are one or more guarantees the trustees wish to include details about (CSI 19.0).
</v>
      </c>
      <c r="E674" s="92" t="str">
        <f>"
The answer must be no more than 510 characters.
"</f>
        <v xml:space="preserve">
The answer must be no more than 510 characters.
</v>
      </c>
      <c r="F674" s="92"/>
      <c r="G674" s="92"/>
      <c r="H674" s="92"/>
      <c r="I674" s="92"/>
      <c r="J674" s="92"/>
    </row>
    <row r="675" spans="1:10" ht="124">
      <c r="A675" s="190" t="s">
        <v>983</v>
      </c>
      <c r="B675" s="92" t="str">
        <f>"
Do not answer this question if there are no guarantees the trustees wish to include details about ("&amp;Questions!$D$237&amp;").
"</f>
        <v xml:space="preserve">
Do not answer this question if there are no guarantees the trustees wish to include details about (CSI 19.0).
</v>
      </c>
      <c r="C675"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75" s="92" t="s">
        <v>4784</v>
      </c>
      <c r="E675" s="92"/>
      <c r="F675" s="92"/>
      <c r="G675" s="92"/>
      <c r="H675" s="92"/>
      <c r="I675" s="92"/>
      <c r="J675" s="92"/>
    </row>
    <row r="676" spans="1:10" ht="62">
      <c r="A676" s="190" t="s">
        <v>985</v>
      </c>
      <c r="B676" s="92" t="str">
        <f>"
Do not answer this question if there are no guarantees the trustees wish to include details about ("&amp;Questions!$D$237&amp;").
"</f>
        <v xml:space="preserve">
Do not answer this question if there are no guarantees the trustees wish to include details about (CSI 19.0).
</v>
      </c>
      <c r="C676"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76" s="92" t="str">
        <f>"
Do not answer this question if you have provided a contingent asset guarantee Companies House number ("&amp;Questions!$D$513&amp;").
"</f>
        <v xml:space="preserve">
Do not answer this question if you have provided a contingent asset guarantee Companies House number (GTE 2.0/5).
</v>
      </c>
      <c r="E676" s="92" t="s">
        <v>3766</v>
      </c>
      <c r="F676" s="92"/>
      <c r="G676" s="92"/>
      <c r="H676" s="92"/>
      <c r="I676" s="92"/>
      <c r="J676" s="92"/>
    </row>
    <row r="677" spans="1:10" ht="93">
      <c r="A677" s="190" t="s">
        <v>987</v>
      </c>
      <c r="B677" s="92" t="str">
        <f>"
Do not answer this question if there are no guarantees the trustees wish to include details about ("&amp;Questions!$D$237&amp;").
"</f>
        <v xml:space="preserve">
Do not answer this question if there are no guarantees the trustees wish to include details about (CSI 19.0).
</v>
      </c>
      <c r="C677"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77" s="92" t="str">
        <f>"
Do not answer this question if you have provided a contingent asset guarantee Companies House number ("&amp;Questions!$D$513&amp;").
"</f>
        <v xml:space="preserve">
Do not answer this question if you have provided a contingent asset guarantee Companies House number (GTE 2.0/5).
</v>
      </c>
      <c r="E677" s="92" t="str">
        <f>"
Do not answer this question if you have provided a contingent asset guarantee charity number ("&amp;Questions!$D$514&amp;").
"</f>
        <v xml:space="preserve">
Do not answer this question if you have provided a contingent asset guarantee charity number (GTE 3.0/5).
</v>
      </c>
      <c r="F677" s="92" t="str">
        <f>"
You must answer this question if there are one or more guarantees the trustees wish to include details about ("&amp;Questions!$D$237&amp;") and you have not provided a contingent asset guarantee Companies House number ("&amp;Questions!$D$513&amp;") or a contingent asset guarantee charity number ("&amp;Questions!$D$514&amp;").
"</f>
        <v xml:space="preserve">
You must answer this question if there are one or more guarantees the trustees wish to include details about (CSI 19.0) and you have not provided a contingent asset guarantee Companies House number (GTE 2.0/5) or a contingent asset guarantee charity number (GTE 3.0/5).
</v>
      </c>
      <c r="G677" s="92" t="str">
        <f>"
The answer must be no more than 510 characters.
"</f>
        <v xml:space="preserve">
The answer must be no more than 510 characters.
</v>
      </c>
      <c r="H677" s="92"/>
      <c r="I677" s="92"/>
      <c r="J677" s="92"/>
    </row>
    <row r="678" spans="1:10" ht="93">
      <c r="A678" s="190" t="s">
        <v>989</v>
      </c>
      <c r="B678" s="92" t="str">
        <f>"
Do not answer this question if there are no guarantees the trustees wish to include details about ("&amp;Questions!$D$237&amp;").
"</f>
        <v xml:space="preserve">
Do not answer this question if there are no guarantees the trustees wish to include details about (CSI 19.0).
</v>
      </c>
      <c r="C678"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78" s="92" t="str">
        <f>"
Do not answer this question if you have provided a contingent asset guarantee Companies House number ("&amp;Questions!$D$513&amp;").
"</f>
        <v xml:space="preserve">
Do not answer this question if you have provided a contingent asset guarantee Companies House number (GTE 2.0/5).
</v>
      </c>
      <c r="E678" s="92" t="str">
        <f>"
Do not answer this question if you have provided a contingent asset guarantee charity number ("&amp;Questions!$D$514&amp;").
"</f>
        <v xml:space="preserve">
Do not answer this question if you have provided a contingent asset guarantee charity number (GTE 3.0/5).
</v>
      </c>
      <c r="F678" s="92" t="str">
        <f>"
You must answer this question if there are one or more guarantees the trustees wish to include details about ("&amp;Questions!$D$237&amp;") and you have not provided a contingent asset guarantee Companies House number ("&amp;Questions!$D$513&amp;") or a contingent asset guarantee charity number ("&amp;Questions!$D$514&amp;").
"</f>
        <v xml:space="preserve">
You must answer this question if there are one or more guarantees the trustees wish to include details about (CSI 19.0) and you have not provided a contingent asset guarantee Companies House number (GTE 2.0/5) or a contingent asset guarantee charity number (GTE 3.0/5).
</v>
      </c>
      <c r="G678" s="92" t="str">
        <f>"
The answer must be no more than 510 characters.
"</f>
        <v xml:space="preserve">
The answer must be no more than 510 characters.
</v>
      </c>
      <c r="H678" s="92"/>
      <c r="I678" s="92"/>
      <c r="J678" s="92"/>
    </row>
    <row r="679" spans="1:10" ht="62">
      <c r="A679" s="190" t="s">
        <v>991</v>
      </c>
      <c r="B679" s="92" t="str">
        <f>"
Do not answer this question if there are no guarantees the trustees wish to include details about ("&amp;Questions!$D$237&amp;").
"</f>
        <v xml:space="preserve">
Do not answer this question if there are no guarantees the trustees wish to include details about (CSI 19.0).
</v>
      </c>
      <c r="C679"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79" s="92" t="str">
        <f>"
Do not answer this question if you have provided a contingent asset guarantee Companies House number ("&amp;Questions!$D$513&amp;").
"</f>
        <v xml:space="preserve">
Do not answer this question if you have provided a contingent asset guarantee Companies House number (GTE 2.0/5).
</v>
      </c>
      <c r="E679" s="92" t="str">
        <f>"
Do not answer this question if you have provided a contingent asset guarantee charity number ("&amp;Questions!$D$514&amp;").
"</f>
        <v xml:space="preserve">
Do not answer this question if you have provided a contingent asset guarantee charity number (GTE 3.0/5).
</v>
      </c>
      <c r="F679" s="92" t="str">
        <f>"
The answer must be no more than 510 characters.
"</f>
        <v xml:space="preserve">
The answer must be no more than 510 characters.
</v>
      </c>
      <c r="G679" s="92"/>
      <c r="H679" s="92"/>
      <c r="I679" s="92"/>
      <c r="J679" s="92"/>
    </row>
    <row r="680" spans="1:10" ht="62">
      <c r="A680" s="190" t="s">
        <v>993</v>
      </c>
      <c r="B680" s="92" t="str">
        <f>"
Do not answer this question if there are no guarantees the trustees wish to include details about ("&amp;Questions!$D$237&amp;").
"</f>
        <v xml:space="preserve">
Do not answer this question if there are no guarantees the trustees wish to include details about (CSI 19.0).
</v>
      </c>
      <c r="C680"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80" s="92" t="str">
        <f>"
Do not answer this question if you have provided a contingent asset guarantee Companies House number ("&amp;Questions!$D$513&amp;").
"</f>
        <v xml:space="preserve">
Do not answer this question if you have provided a contingent asset guarantee Companies House number (GTE 2.0/5).
</v>
      </c>
      <c r="E680" s="92" t="str">
        <f>"
Do not answer this question if you have provided a contingent asset guarantee charity number ("&amp;Questions!$D$514&amp;").
"</f>
        <v xml:space="preserve">
Do not answer this question if you have provided a contingent asset guarantee charity number (GTE 3.0/5).
</v>
      </c>
      <c r="F680" s="92" t="str">
        <f>"
The answer must be no more than 510 characters.
"</f>
        <v xml:space="preserve">
The answer must be no more than 510 characters.
</v>
      </c>
      <c r="G680" s="92"/>
      <c r="H680" s="92"/>
      <c r="I680" s="92"/>
      <c r="J680" s="92"/>
    </row>
    <row r="681" spans="1:10" ht="93">
      <c r="A681" s="190" t="s">
        <v>995</v>
      </c>
      <c r="B681" s="92" t="str">
        <f>"
Do not answer this question if there are no guarantees the trustees wish to include details about ("&amp;Questions!$D$237&amp;").
"</f>
        <v xml:space="preserve">
Do not answer this question if there are no guarantees the trustees wish to include details about (CSI 19.0).
</v>
      </c>
      <c r="C681"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81" s="92" t="str">
        <f>"
Do not answer this question if you have provided a contingent asset guarantee Companies House number ("&amp;Questions!$D$513&amp;").
"</f>
        <v xml:space="preserve">
Do not answer this question if you have provided a contingent asset guarantee Companies House number (GTE 2.0/5).
</v>
      </c>
      <c r="E681" s="92" t="str">
        <f>"
Do not answer this question if you have provided a contingent asset guarantee charity number ("&amp;Questions!$D$514&amp;").
"</f>
        <v xml:space="preserve">
Do not answer this question if you have provided a contingent asset guarantee charity number (GTE 3.0/5).
</v>
      </c>
      <c r="F681" s="92" t="str">
        <f>"
You must answer this question if there are one or more guarantees the trustees wish to include details about ("&amp;Questions!$D$237&amp;") and you have not provided a contingent asset guarantee Companies House number ("&amp;Questions!$D$513&amp;") or a contingent asset guarantee charity number ("&amp;Questions!$D$514&amp;").
"</f>
        <v xml:space="preserve">
You must answer this question if there are one or more guarantees the trustees wish to include details about (CSI 19.0) and you have not provided a contingent asset guarantee Companies House number (GTE 2.0/5) or a contingent asset guarantee charity number (GTE 3.0/5).
</v>
      </c>
      <c r="G681" s="92" t="str">
        <f>"
The answer must be no more than 510 characters.
"</f>
        <v xml:space="preserve">
The answer must be no more than 510 characters.
</v>
      </c>
      <c r="H681" s="92"/>
      <c r="I681" s="92"/>
      <c r="J681" s="92"/>
    </row>
    <row r="682" spans="1:10" ht="93">
      <c r="A682" s="190" t="s">
        <v>997</v>
      </c>
      <c r="B682" s="92" t="str">
        <f>"
Do not answer this question if there are no guarantees the trustees wish to include details about ("&amp;Questions!$D$237&amp;").
"</f>
        <v xml:space="preserve">
Do not answer this question if there are no guarantees the trustees wish to include details about (CSI 19.0).
</v>
      </c>
      <c r="C682"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82" s="92" t="str">
        <f>"
Do not answer this question if you have provided a contingent asset guarantee Companies House number ("&amp;Questions!$D$513&amp;").
"</f>
        <v xml:space="preserve">
Do not answer this question if you have provided a contingent asset guarantee Companies House number (GTE 2.0/5).
</v>
      </c>
      <c r="E682" s="92" t="str">
        <f>"
Do not answer this question if you have provided a contingent asset guarantee charity number ("&amp;Questions!$D$514&amp;").
"</f>
        <v xml:space="preserve">
Do not answer this question if you have provided a contingent asset guarantee charity number (GTE 3.0/5).
</v>
      </c>
      <c r="F682" s="92" t="str">
        <f>"
You must answer this question if there are one or more guarantees the trustees wish to include details about ("&amp;Questions!$D$237&amp;") and you have not provided a contingent asset guarantee Companies House number ("&amp;Questions!$D$513&amp;") or a contingent asset guarantee charity number ("&amp;Questions!$D$514&amp;").
"</f>
        <v xml:space="preserve">
You must answer this question if there are one or more guarantees the trustees wish to include details about (CSI 19.0) and you have not provided a contingent asset guarantee Companies House number (GTE 2.0/5) or a contingent asset guarantee charity number (GTE 3.0/5).
</v>
      </c>
      <c r="G682" s="92" t="str">
        <f>"
Select 'United Kingdom' if the address is for a UK address, or the relevant country from the drop down list if not.
"</f>
        <v xml:space="preserve">
Select 'United Kingdom' if the address is for a UK address, or the relevant country from the drop down list if not.
</v>
      </c>
      <c r="H682" s="92"/>
      <c r="I682" s="92"/>
      <c r="J682" s="92"/>
    </row>
    <row r="683" spans="1:10" ht="108.5">
      <c r="A683" s="190" t="s">
        <v>999</v>
      </c>
      <c r="B683" s="92" t="str">
        <f>"
Do not answer this question if there are no guarantees the trustees wish to include details about ("&amp;Questions!$D$237&amp;").
"</f>
        <v xml:space="preserve">
Do not answer this question if there are no guarantees the trustees wish to include details about (CSI 19.0).
</v>
      </c>
      <c r="C683"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83" s="92" t="str">
        <f>"
Do not answer this question if you have provided a contingent asset guarantee Companies House number ("&amp;Questions!$D$513&amp;").
"</f>
        <v xml:space="preserve">
Do not answer this question if you have provided a contingent asset guarantee Companies House number (GTE 2.0/5).
</v>
      </c>
      <c r="E683" s="92" t="str">
        <f>"
Do not answer this question if you have provided a contingent asset guarantee charity number ("&amp;Questions!$D$514&amp;").
"</f>
        <v xml:space="preserve">
Do not answer this question if you have provided a contingent asset guarantee charity number (GTE 3.0/5).
</v>
      </c>
      <c r="F683" s="92" t="str">
        <f>"
You must answer this question if there are one or more guarantees the trustees wish to include details about ("&amp;Questions!$D$237&amp;") and you have not provided a contingent asset guarantee Companies House number ("&amp;Questions!$D$513&amp;") or a contingent asset guarantee charity number ("&amp;Questions!$D$514&amp;"), and the country is United Kingdom ("&amp;Questions!$D$520&amp;").
"</f>
        <v xml:space="preserve">
You must answer this question if there are one or more guarantees the trustees wish to include details about (CSI 19.0) and you have not provided a contingent asset guarantee Companies House number (GTE 2.0/5) or a contingent asset guarantee charity number (GTE 3.0/5), and the country is United Kingdom (GTE 9.0/5).
</v>
      </c>
      <c r="G683" s="92" t="str">
        <f>"
The answer must be a valid postcode with between 5 and 8 characters.
"</f>
        <v xml:space="preserve">
The answer must be a valid postcode with between 5 and 8 characters.
</v>
      </c>
      <c r="H683" s="92"/>
      <c r="I683" s="92"/>
      <c r="J683" s="92"/>
    </row>
    <row r="684" spans="1:10" ht="93">
      <c r="A684" s="190" t="s">
        <v>1001</v>
      </c>
      <c r="B684" s="92" t="str">
        <f>"
Do not answer this question if the scheme follows a Fast Track approach ("&amp;Questions!$D$5&amp;").
"</f>
        <v xml:space="preserve">
Do not answer this question if the scheme follows a Fast Track approach (SH 13.0).
</v>
      </c>
      <c r="C684" s="92" t="str">
        <f>"
Do not answer this question if there are no guarantees the trustees wish to include details about ("&amp;Questions!$D$237&amp;").
"</f>
        <v xml:space="preserve">
Do not answer this question if there are no guarantees the trustees wish to include details about (CSI 19.0).
</v>
      </c>
      <c r="D684"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84" s="92" t="str">
        <f>"
You must answer this question if the scheme follows a Bespoke approach ("&amp;Questions!$D$5&amp;"), is post-relevant date ("&amp;Questions!$D$14&amp;"), does not meet the 'Bespoke low-risk scheme' requirements ("&amp;Questions!$D$6&amp;") and there are one or more guarantees the trustees wish to include details about ("&amp;Questions!$D$237&amp;").
"</f>
        <v xml:space="preserve">
You must answer this question if the scheme follows a Bespoke approach (SH 13.0), is post-relevant date (SH 10.0), does not meet the 'Bespoke low-risk scheme' requirements (SH 14.0) and there are one or more guarantees the trustees wish to include details about (CSI 19.0).
</v>
      </c>
      <c r="F684" s="92" t="str">
        <f>"
Select ‘Yes’ if the guarantor of the contingent asset guarantee is an associated company, or ‘No’ if not
"</f>
        <v xml:space="preserve">
Select ‘Yes’ if the guarantor of the contingent asset guarantee is an associated company, or ‘No’ if not
</v>
      </c>
      <c r="G684" s="92" t="str">
        <f>"
Do not answer this question if the scheme follows a Bespoke approach ("&amp;Questions!$D$5&amp;"), the scheme is post-relevant date ("&amp;Questions!$D$14&amp;") and the scheme meets the 'Bespoke low-risk scheme' requirements' ("&amp;Questions!$D$6&amp;").
"</f>
        <v xml:space="preserve">
Do not answer this question if the scheme follows a Bespoke approach (SH 13.0), the scheme is post-relevant date (SH 10.0) and the scheme meets the 'Bespoke low-risk scheme' requirements' (SH 14.0).
</v>
      </c>
      <c r="H684" s="92" t="str">
        <f>"
You must answer this question if the scheme follows a Bespoke approach ("&amp;Questions!$D$5&amp;"), is pre-relevant date ("&amp;Questions!$D$14&amp;")  and there are one or more guarantees the trustees wish to include details about ("&amp;Questions!$D$237&amp;").
"</f>
        <v xml:space="preserve">
You must answer this question if the scheme follows a Bespoke approach (SH 13.0), is pre-relevant date (SH 10.0)  and there are one or more guarantees the trustees wish to include details about (CSI 19.0).
</v>
      </c>
      <c r="I684" s="92"/>
      <c r="J684" s="92"/>
    </row>
    <row r="685" spans="1:10" ht="124">
      <c r="A685" s="190" t="s">
        <v>1003</v>
      </c>
      <c r="B685" s="92" t="str">
        <f>"
Do not answer this question if there are no guarantees the trustees wish to include details about ("&amp;Questions!$D$237&amp;").
"</f>
        <v xml:space="preserve">
Do not answer this question if there are no guarantees the trustees wish to include details about (CSI 19.0).
</v>
      </c>
      <c r="C685"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85" s="92" t="str">
        <f>"
You must answer this question if there are one or more guarantees the trustees wish to include details about ("&amp;Questions!$D$237&amp;").
"</f>
        <v xml:space="preserve">
You must answer this question if there are one or more guarantees the trustees wish to include details about (CSI 19.0).
</v>
      </c>
      <c r="E685" s="92" t="str">
        <f>"
Select one of the following options from the drop-down list:
• Formal look-through guarantee
• Look-through guarantee subject to limitation
• Non look-through guarantee
• Other
"</f>
        <v xml:space="preserve">
Select one of the following options from the drop-down list:
• Formal look-through guarantee
• Look-through guarantee subject to limitation
• Non look-through guarantee
• Other
</v>
      </c>
      <c r="F685" s="92"/>
      <c r="G685" s="92"/>
      <c r="H685" s="92"/>
      <c r="I685" s="92"/>
      <c r="J685" s="92"/>
    </row>
    <row r="686" spans="1:10" ht="77.5">
      <c r="A686" s="190" t="s">
        <v>1005</v>
      </c>
      <c r="B686" s="92" t="str">
        <f>"
Do not answer this question if there are no guarantees the trustees wish to include details about ("&amp;Questions!$D$237&amp;").
"</f>
        <v xml:space="preserve">
Do not answer this question if there are no guarantees the trustees wish to include details about (CSI 19.0).
</v>
      </c>
      <c r="C686"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86" s="92" t="str">
        <f>"
Do not answer this question if there are one or more guarantees the trustees wish to include details about ("&amp;Questions!$D$237&amp;") and you have not answered Other to the type of guarantee ("&amp;Questions!$D$523&amp;").
"</f>
        <v xml:space="preserve">
Do not answer this question if there are one or more guarantees the trustees wish to include details about (CSI 19.0) and you have not answered Other to the type of guarantee (GTE 12.0/5).
</v>
      </c>
      <c r="E686" s="92" t="str">
        <f>"
You must answer this question if you have answered “Other” to the type of guarantee ("&amp;Questions!$D$439&amp;").
"</f>
        <v xml:space="preserve">
You must answer this question if you have answered “Other” to the type of guarantee (GTE 12.0/2).
</v>
      </c>
      <c r="F686" s="92" t="str">
        <f>"
The answer must be no more than 4000 characters.
"</f>
        <v xml:space="preserve">
The answer must be no more than 4000 characters.
</v>
      </c>
      <c r="G686" s="92"/>
      <c r="H686" s="92"/>
      <c r="I686" s="92"/>
      <c r="J686" s="92"/>
    </row>
    <row r="687" spans="1:10" ht="93">
      <c r="A687" s="190" t="s">
        <v>1007</v>
      </c>
      <c r="B687" s="92" t="str">
        <f>"
Do not answer this question if the scheme follows a Fast Track approach ("&amp;Questions!$D$5&amp;").
"</f>
        <v xml:space="preserve">
Do not answer this question if the scheme follows a Fast Track approach (SH 13.0).
</v>
      </c>
      <c r="C687" s="92" t="str">
        <f>"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687" s="92" t="str">
        <f>"
Do not answer this question if there are no guarantees the trustees wish to include details about ("&amp;Questions!$D$237&amp;").
"</f>
        <v xml:space="preserve">
Do not answer this question if there are no guarantees the trustees wish to include details about (CSI 19.0).
</v>
      </c>
      <c r="E687" s="92" t="str">
        <f>"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87" s="92" t="str">
        <f>"
Select one of the following options from the drop-down list:
• Evergreen
• Fixed expiry with a maturity date
• Other"</f>
        <v xml:space="preserve">
Select one of the following options from the drop-down list:
• Evergreen
• Fixed expiry with a maturity date
• Other</v>
      </c>
      <c r="G687" s="92"/>
      <c r="H687" s="92"/>
      <c r="I687" s="92"/>
      <c r="J687" s="92"/>
    </row>
    <row r="688" spans="1:10" ht="93">
      <c r="A688" s="190" t="s">
        <v>1009</v>
      </c>
      <c r="B688" s="92" t="str">
        <f>"
Do not answer this question if the scheme follows a Fast Track approach ("&amp;Questions!$D$5&amp;").
"</f>
        <v xml:space="preserve">
Do not answer this question if the scheme follows a Fast Track approach (SH 13.0).
</v>
      </c>
      <c r="C688" s="92" t="str">
        <f>"
Do not answer this question if there are no guarantees the trustees wish to include details about ("&amp;Questions!$D$237&amp;").
"</f>
        <v xml:space="preserve">
Do not answer this question if there are no guarantees the trustees wish to include details about (CSI 19.0).
</v>
      </c>
      <c r="D688"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88" s="92" t="str">
        <f>"
Do not answer this question if the contingent asset guarantee is Evergreen or Other ("&amp;Questions!D523&amp;").
"</f>
        <v xml:space="preserve">
Do not answer this question if the contingent asset guarantee is Evergreen or Other (GTE 12.0/5).
</v>
      </c>
      <c r="F688" s="92" t="str">
        <f>"
You must answer this question if the scheme follows a Bespoke approach ("&amp;Questions!$D$5&amp;"), there are one or more guarantees the trustees wish to include details about ("&amp;Questions!$D$237&amp;") and the contingent asset guarantee maturity type is Fixed expiry with a maturity date ("&amp;Questions!D523&amp;").
"</f>
        <v xml:space="preserve">
You must answer this question if the scheme follows a Bespoke approach (SH 13.0), there are one or more guarantees the trustees wish to include details about (CSI 19.0) and the contingent asset guarantee maturity type is Fixed expiry with a maturity date (GTE 12.0/5).
</v>
      </c>
      <c r="G688" s="92" t="str">
        <f>"
Enter a valid date in the format dd/mm/yyyy 
"</f>
        <v xml:space="preserve">
Enter a valid date in the format dd/mm/yyyy 
</v>
      </c>
      <c r="H688" s="92" t="str">
        <f>"
This date cannot be less than the effective date of the actuarial validation ("&amp;Questions!$D$2&amp;")
"</f>
        <v xml:space="preserve">
This date cannot be less than the effective date of the actuarial validation (SH 8.0)
</v>
      </c>
      <c r="I688" s="92"/>
      <c r="J688" s="92"/>
    </row>
    <row r="689" spans="1:10" ht="93">
      <c r="A689" s="190" t="s">
        <v>1011</v>
      </c>
      <c r="B689" s="92" t="str">
        <f>"
Do not answer this question if the scheme follows a Fast Track approach ("&amp;Questions!$D$5&amp;").
"</f>
        <v xml:space="preserve">
Do not answer this question if the scheme follows a Fast Track approach (SH 13.0).
</v>
      </c>
      <c r="C689" s="92" t="str">
        <f>"
Do not answer this question if there are no guarantees the trustees wish to include details about ("&amp;Questions!$D$237&amp;").
"</f>
        <v xml:space="preserve">
Do not answer this question if there are no guarantees the trustees wish to include details about (CSI 19.0).
</v>
      </c>
      <c r="D689"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89" s="92" t="str">
        <f>"
Do not answer this question if the contingent asset guarantee is not Other ("&amp;Questions!D523&amp;").
"</f>
        <v xml:space="preserve">
Do not answer this question if the contingent asset guarantee is not Other (GTE 12.0/5).
</v>
      </c>
      <c r="F689" s="92" t="str">
        <f>"
You must answer this question if the scheme follows a Bespoke approach ("&amp;Questions!$D$5&amp;"), there are one or more guarantees the trustees wish to include details about ("&amp;Questions!$D$237&amp;") and the contingent asset guarantee maturity type is Other ("&amp;Questions!D523&amp;").
"</f>
        <v xml:space="preserve">
You must answer this question if the scheme follows a Bespoke approach (SH 13.0), there are one or more guarantees the trustees wish to include details about (CSI 19.0) and the contingent asset guarantee maturity type is Other (GTE 12.0/5).
</v>
      </c>
      <c r="G689" s="92" t="str">
        <f>"
The answer must be no more than 4000 characters.
"</f>
        <v xml:space="preserve">
The answer must be no more than 4000 characters.
</v>
      </c>
      <c r="H689" s="92"/>
      <c r="I689" s="92"/>
      <c r="J689" s="92"/>
    </row>
    <row r="690" spans="1:10" ht="62">
      <c r="A690" s="190" t="s">
        <v>1013</v>
      </c>
      <c r="B690" s="92" t="str">
        <f>"
Do not answer this question if there are no guarantees the trustees wish to include details about ("&amp;Questions!$D$237&amp;").
"</f>
        <v xml:space="preserve">
Do not answer this question if there are no guarantees the trustees wish to include details about (CSI 19.0).
</v>
      </c>
      <c r="C690"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90" s="92" t="str">
        <f>"
You must answer this question if there are one or more guarantees the trustees wish to include details about ("&amp;Questions!$D$237&amp;").
"</f>
        <v xml:space="preserve">
You must answer this question if there are one or more guarantees the trustees wish to include details about (CSI 19.0).
</v>
      </c>
      <c r="E690" s="92" t="str">
        <f>"
Enter a value greater than or equal to 0 and less than 1,000,000,000,000 (1 trillion). It can be accurate to two decimal places.
"</f>
        <v xml:space="preserve">
Enter a value greater than or equal to 0 and less than 1,000,000,000,000 (1 trillion). It can be accurate to two decimal places.
</v>
      </c>
      <c r="F690" s="92"/>
      <c r="G690" s="92"/>
      <c r="H690" s="92"/>
      <c r="I690" s="92"/>
      <c r="J690" s="92"/>
    </row>
    <row r="691" spans="1:10" ht="62">
      <c r="A691" s="190" t="s">
        <v>1015</v>
      </c>
      <c r="B691" s="92" t="str">
        <f>"
Do not answer this question if there are no guarantees the trustees wish to include details about ("&amp;Questions!$D$237&amp;").
"</f>
        <v xml:space="preserve">
Do not answer this question if there are no guarantees the trustees wish to include details about (CSI 19.0).
</v>
      </c>
      <c r="C691"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D691" s="92" t="str">
        <f>"
You must answer this question if there are one or more guarantees the trustees wish to include details about ("&amp;Questions!$D$237&amp;").
"</f>
        <v xml:space="preserve">
You must answer this question if there are one or more guarantees the trustees wish to include details about (CSI 19.0).
</v>
      </c>
      <c r="E691" s="92" t="str">
        <f>"
Enter a valid date that is less than or equal to today in the format dd/mm/yyyy 
"</f>
        <v xml:space="preserve">
Enter a valid date that is less than or equal to today in the format dd/mm/yyyy 
</v>
      </c>
      <c r="F691" s="92" t="str">
        <f>"
Enter a valid date that is less than or equal to today in the format dd/mm/yyyy 
"</f>
        <v xml:space="preserve">
Enter a valid date that is less than or equal to today in the format dd/mm/yyyy 
</v>
      </c>
      <c r="G691" s="92"/>
      <c r="H691" s="92"/>
      <c r="I691" s="92"/>
      <c r="J691" s="92"/>
    </row>
    <row r="692" spans="1:10" ht="155">
      <c r="A692" s="190" t="s">
        <v>1017</v>
      </c>
      <c r="B692" s="92" t="str">
        <f>"
Do not answer this question if the scheme follows a Fast Track approach ("&amp;Questions!$D$5&amp;").
"</f>
        <v xml:space="preserve">
Do not answer this question if the scheme follows a Fast Track approach (SH 13.0).
</v>
      </c>
      <c r="C692" s="92" t="str">
        <f>"
Do not answer this question if there are no guarantees the trustees wish to include details about ("&amp;Questions!$D$237&amp;").
"</f>
        <v xml:space="preserve">
Do not answer this question if there are no guarantees the trustees wish to include details about (CSI 19.0).
</v>
      </c>
      <c r="D692"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92" s="92" t="str">
        <f>"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92" s="92" t="s">
        <v>3767</v>
      </c>
      <c r="G692" s="92"/>
      <c r="H692" s="92"/>
      <c r="I692" s="92"/>
      <c r="J692" s="92"/>
    </row>
    <row r="693" spans="1:10" ht="93">
      <c r="A693" s="190" t="s">
        <v>1019</v>
      </c>
      <c r="B693" s="92" t="str">
        <f>"
Do not answer this question if the scheme follows a Fast Track approach ("&amp;Questions!$D$5&amp;").
"</f>
        <v xml:space="preserve">
Do not answer this question if the scheme follows a Fast Track approach (SH 13.0).
</v>
      </c>
      <c r="C693" s="92" t="str">
        <f>"
Do not answer this question if there are no guarantees the trustees wish to include details about ("&amp;Questions!$D$237&amp;").
"</f>
        <v xml:space="preserve">
Do not answer this question if there are no guarantees the trustees wish to include details about (CSI 19.0).
</v>
      </c>
      <c r="D693"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93" s="92" t="str">
        <f>"
Do not answer this question if the contingent asset guarantee value cap is not Other ("&amp;Questions!D523&amp;").
"</f>
        <v xml:space="preserve">
Do not answer this question if the contingent asset guarantee value cap is not Other (GTE 12.0/5).
</v>
      </c>
      <c r="F693" s="92" t="str">
        <f>"
You must answer this question if the scheme follows a Bespoke approach ("&amp;Questions!$D$5&amp;"), there are one or more guarantees the trustees wish to include details about ("&amp;Questions!$D$237&amp;") and the contingent asset guarantee value cap is Other ("&amp;Questions!$D$530&amp;").
"</f>
        <v xml:space="preserve">
You must answer this question if the scheme follows a Bespoke approach (SH 13.0), there are one or more guarantees the trustees wish to include details about (CSI 19.0) and the contingent asset guarantee value cap is Other (GTE 19.0/5).
</v>
      </c>
      <c r="G693" s="92" t="str">
        <f>"
The answer must be no more than 4000 characters.
"</f>
        <v xml:space="preserve">
The answer must be no more than 4000 characters.
</v>
      </c>
      <c r="H693" s="92"/>
      <c r="I693" s="92"/>
      <c r="J693" s="92"/>
    </row>
    <row r="694" spans="1:10" ht="62">
      <c r="A694" s="190" t="s">
        <v>1021</v>
      </c>
      <c r="B694" s="92" t="str">
        <f>"
Do not answer this question if the scheme follows a Fast Track approach ("&amp;Questions!$D$5&amp;").
"</f>
        <v xml:space="preserve">
Do not answer this question if the scheme follows a Fast Track approach (SH 13.0).
</v>
      </c>
      <c r="C694" s="92" t="str">
        <f>"
Do not answer this question if there are no guarantees the trustees wish to include details about ("&amp;Questions!$D$237&amp;").
"</f>
        <v xml:space="preserve">
Do not answer this question if there are no guarantees the trustees wish to include details about (CSI 19.0).
</v>
      </c>
      <c r="D694"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94" s="92" t="str">
        <f>"
Do not answer this question if the contingent asset guarantee value cap is not Fixed Cap ("&amp;Questions!$D$237&amp;").
"</f>
        <v xml:space="preserve">
Do not answer this question if the contingent asset guarantee value cap is not Fixed Cap (CSI 19.0).
</v>
      </c>
      <c r="F694" s="92" t="str">
        <f>"
You must answer this question if the contingent asset guarantee value cap is Fixed Cap ("&amp;Questions!$D$530&amp;").
"</f>
        <v xml:space="preserve">
You must answer this question if the contingent asset guarantee value cap is Fixed Cap (GTE 19.0/5).
</v>
      </c>
      <c r="G694" s="92" t="str">
        <f>"
Enter a value greater than or equal to 0 and less than 1,000,000,000,000 (1 trillion). It can be accurate to two decimal places.
"</f>
        <v xml:space="preserve">
Enter a value greater than or equal to 0 and less than 1,000,000,000,000 (1 trillion). It can be accurate to two decimal places.
</v>
      </c>
      <c r="H694" s="92"/>
      <c r="I694" s="92"/>
      <c r="J694" s="92"/>
    </row>
    <row r="695" spans="1:10" ht="77.5">
      <c r="A695" s="190" t="s">
        <v>1024</v>
      </c>
      <c r="B695" s="92" t="str">
        <f>"
Do not answer this question if the scheme follows a Fast Track approach ("&amp;Questions!$D$5&amp;").
"</f>
        <v xml:space="preserve">
Do not answer this question if the scheme follows a Fast Track approach (SH 13.0).
</v>
      </c>
      <c r="C695" s="92" t="str">
        <f>"
Do not answer this question if there are no guarantees the trustees wish to include details about ("&amp;Questions!$D$237&amp;").
"</f>
        <v xml:space="preserve">
Do not answer this question if there are no guarantees the trustees wish to include details about (CSI 19.0).
</v>
      </c>
      <c r="D695"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95" s="92" t="str">
        <f>"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95" s="92" t="str">
        <f>"
Select ‘Yes’ if participating employer insolvency is a trigger for access to value, or ‘No’ if not
"</f>
        <v xml:space="preserve">
Select ‘Yes’ if participating employer insolvency is a trigger for access to value, or ‘No’ if not
</v>
      </c>
      <c r="G695" s="92"/>
      <c r="H695" s="92"/>
      <c r="I695" s="92"/>
      <c r="J695" s="92"/>
    </row>
    <row r="696" spans="1:10" ht="77.5">
      <c r="A696" s="190" t="s">
        <v>1026</v>
      </c>
      <c r="B696" s="92" t="str">
        <f>"
Do not answer this question if the scheme follows a Fast Track approach ("&amp;Questions!$D$5&amp;").
"</f>
        <v xml:space="preserve">
Do not answer this question if the scheme follows a Fast Track approach (SH 13.0).
</v>
      </c>
      <c r="C696" s="92" t="str">
        <f>"
Do not answer this question if there are no guarantees the trustees wish to include details about ("&amp;Questions!$D$237&amp;").
"</f>
        <v xml:space="preserve">
Do not answer this question if there are no guarantees the trustees wish to include details about (CSI 19.0).
</v>
      </c>
      <c r="D696"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96" s="92" t="str">
        <f>"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96" s="92" t="str">
        <f>"
Select ‘Yes’ if the insolvency of an associated company is a trigger for access to value, or ‘No’ if not
"</f>
        <v xml:space="preserve">
Select ‘Yes’ if the insolvency of an associated company is a trigger for access to value, or ‘No’ if not
</v>
      </c>
      <c r="G696" s="92"/>
      <c r="H696" s="92"/>
      <c r="I696" s="92"/>
      <c r="J696" s="92"/>
    </row>
    <row r="697" spans="1:10" ht="77.5">
      <c r="A697" s="190" t="s">
        <v>1028</v>
      </c>
      <c r="B697" s="92" t="str">
        <f>"
Do not answer this question if the scheme follows a Fast Track approach ("&amp;Questions!$D$5&amp;").
"</f>
        <v xml:space="preserve">
Do not answer this question if the scheme follows a Fast Track approach (SH 13.0).
</v>
      </c>
      <c r="C697" s="92" t="str">
        <f>"
Do not answer this question if there are no guarantees the trustees wish to include details about ("&amp;Questions!$D$237&amp;").
"</f>
        <v xml:space="preserve">
Do not answer this question if there are no guarantees the trustees wish to include details about (CSI 19.0).
</v>
      </c>
      <c r="D697" s="92" t="str">
        <f>"
Do not answer this question if the scheme follows a Bespoke approach ("&amp;Questions!$D$5&amp;") and you have already provided the details for the number of guarantees the trustees wish to include details about in ("&amp;Questions!$D$237&amp;").
"</f>
        <v xml:space="preserve">
Do not answer this question if the scheme follows a Bespoke approach (SH 13.0) and you have already provided the details for the number of guarantees the trustees wish to include details about in (CSI 19.0).
</v>
      </c>
      <c r="E697" s="92" t="str">
        <f>"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697" s="92" t="str">
        <f>"
Select ‘Yes’ if non payment of contributions is a trigger for access to value, or ‘No’ if not
"</f>
        <v xml:space="preserve">
Select ‘Yes’ if non payment of contributions is a trigger for access to value, or ‘No’ if not
</v>
      </c>
      <c r="G697" s="92"/>
      <c r="H697" s="92"/>
      <c r="I697" s="92"/>
      <c r="J697" s="92"/>
    </row>
    <row r="698" spans="1:10" ht="77.5">
      <c r="A698" s="190" t="s">
        <v>1030</v>
      </c>
      <c r="B698" s="92" t="str">
        <f>"
Do not answer this question if the scheme follows a Fast Track approach ("&amp;Questions!$D$5&amp;").
"</f>
        <v xml:space="preserve">
Do not answer this question if the scheme follows a Fast Track approach (SH 13.0).
</v>
      </c>
      <c r="C698" s="92" t="str">
        <f>"
Do not answer this question if there are no guarantees the trustees wish to include details about ("&amp;Questions!$D$237&amp;").
"</f>
        <v xml:space="preserve">
Do not answer this question if there are no guarantees the trustees wish to include details about (CSI 19.0).
</v>
      </c>
      <c r="D698"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98"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698" s="92" t="str">
        <f>"
Select ‘Yes’ if crystallisation of investment risk is a trigger for access to value, or ‘No’ if not
"</f>
        <v xml:space="preserve">
Select ‘Yes’ if crystallisation of investment risk is a trigger for access to value, or ‘No’ if not
</v>
      </c>
      <c r="G698" s="92"/>
      <c r="H698" s="92"/>
      <c r="I698" s="92"/>
      <c r="J698" s="92"/>
    </row>
    <row r="699" spans="1:10" ht="77.5">
      <c r="A699" s="190" t="s">
        <v>1032</v>
      </c>
      <c r="B699" s="92" t="str">
        <f>"
Do not answer this question if the scheme follows a Fast Track approach ("&amp;Questions!$D$5&amp;").
"</f>
        <v xml:space="preserve">
Do not answer this question if the scheme follows a Fast Track approach (SH 13.0).
</v>
      </c>
      <c r="C699" s="92" t="str">
        <f>"
Do not answer this question if there are no guarantees the trustees wish to include details about ("&amp;Questions!$D$237&amp;").
"</f>
        <v xml:space="preserve">
Do not answer this question if there are no guarantees the trustees wish to include details about (CSI 19.0).
</v>
      </c>
      <c r="D699"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699" s="92" t="str">
        <f>"
You must answer this question if the scheme follows a Bespoke approach ("&amp;Questions!$D$5&amp;") and there are one or more contingent assets the trustees wish to include details about ("&amp;Questions!$D$237&amp;").
"</f>
        <v xml:space="preserve">
You must answer this question if the scheme follows a Bespoke approach (SH 13.0) and there are one or more contingent assets the trustees wish to include details about (CSI 19.0).
</v>
      </c>
      <c r="F699" s="92" t="str">
        <f>"
Select ‘Yes’ if Other is a trigger for access to value, or ‘No’ if not
"</f>
        <v xml:space="preserve">
Select ‘Yes’ if Other is a trigger for access to value, or ‘No’ if not
</v>
      </c>
      <c r="G699" s="92"/>
      <c r="H699" s="92"/>
      <c r="I699" s="92"/>
      <c r="J699" s="92"/>
    </row>
    <row r="700" spans="1:10" ht="93">
      <c r="A700" s="190" t="s">
        <v>1034</v>
      </c>
      <c r="B700" s="92" t="str">
        <f>"
Do not answer this question if the scheme follows a Fast Track approach ("&amp;Questions!$D$5&amp;").
"</f>
        <v xml:space="preserve">
Do not answer this question if the scheme follows a Fast Track approach (SH 13.0).
</v>
      </c>
      <c r="C700" s="92" t="str">
        <f>"
Do not answer this question if there are no guarantees the trustees wish to include details about ("&amp;Questions!$D$237&amp;").
"</f>
        <v xml:space="preserve">
Do not answer this question if there are no guarantees the trustees wish to include details about (CSI 19.0).
</v>
      </c>
      <c r="D700"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700" s="92" t="str">
        <f>"
Do not answer this question if Other is not a trigger for access to value ("&amp;Questions!D537&amp;").
"</f>
        <v xml:space="preserve">
Do not answer this question if Other is not a trigger for access to value (GTE 26.0/5).
</v>
      </c>
      <c r="F700" s="92" t="str">
        <f>"
You must answer this question if the scheme follows a Bespoke approach ("&amp;Questions!$D$5&amp;"), there are one or more guarantees the trustees wish to include details about ("&amp;Questions!$D$237&amp;") and Other is a trigger for access to value ("&amp;Questions!$D$537&amp;").
"</f>
        <v xml:space="preserve">
You must answer this question if the scheme follows a Bespoke approach (SH 13.0), there are one or more guarantees the trustees wish to include details about (CSI 19.0) and Other is a trigger for access to value (GTE 26.0/5).
</v>
      </c>
      <c r="G700" s="92" t="str">
        <f>"
The answer must be no more than 4000 characters.
"</f>
        <v xml:space="preserve">
The answer must be no more than 4000 characters.
</v>
      </c>
      <c r="H700" s="92"/>
      <c r="I700" s="92"/>
      <c r="J700" s="92"/>
    </row>
    <row r="701" spans="1:10" ht="77.5">
      <c r="A701" s="190" t="s">
        <v>1036</v>
      </c>
      <c r="B701" s="92" t="str">
        <f>"
Do not answer this question if the scheme follows a Fast Track approach ("&amp;Questions!$D$5&amp;").
"</f>
        <v xml:space="preserve">
Do not answer this question if the scheme follows a Fast Track approach (SH 13.0).
</v>
      </c>
      <c r="C701" s="92" t="str">
        <f>"
Do not answer this question if the scheme follows a Bespoke approach ("&amp;Questions!$D$5&amp;") and there are no guarantees the trustees wish to include details about ("&amp;Questions!$D$237&amp;").
"</f>
        <v xml:space="preserve">
Do not answer this question if the scheme follows a Bespoke approach (SH 13.0) and there are no guarantees the trustees wish to include details about (CSI 19.0).
</v>
      </c>
      <c r="D701" s="92" t="str">
        <f>"
Do not answer this question if you have already provided the details on the guarantees for which the trustees wish to include details ("&amp;Questions!$D$237&amp;").
"</f>
        <v xml:space="preserve">
Do not answer this question if you have already provided the details on the guarantees for which the trustees wish to include details (CSI 19.0).
</v>
      </c>
      <c r="E701" s="92" t="str">
        <f>"
You must answer this question if the scheme follows a Bespoke approach ("&amp;Questions!$D$5&amp;") and there are one or more guarantees the trustees wish to include details about ("&amp;Questions!$D$237&amp;").
"</f>
        <v xml:space="preserve">
You must answer this question if the scheme follows a Bespoke approach (SH 13.0) and there are one or more guarantees the trustees wish to include details about (CSI 19.0).
</v>
      </c>
      <c r="F701" s="92" t="str">
        <f>"
The answer must be no more than 4000 characters.
"</f>
        <v xml:space="preserve">
The answer must be no more than 4000 characters.
</v>
      </c>
      <c r="G701" s="92"/>
      <c r="H701" s="92"/>
      <c r="I701" s="92"/>
      <c r="J701" s="92"/>
    </row>
    <row r="702" spans="1:10" ht="155">
      <c r="A702" s="190" t="s">
        <v>1041</v>
      </c>
      <c r="B702" s="92" t="str">
        <f>"
Do not answer this question if there are no securities the trustees wish to include details about ("&amp;Questions!$D$238&amp;").
"</f>
        <v xml:space="preserve">
Do not answer this question if there are no securities the trustees wish to include details about (CSI 20.0).
</v>
      </c>
      <c r="C702"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D702" s="92" t="str">
        <f>"
You must answer this question if there are one or more securities the trustees wish to include details about ("&amp;Questions!$D$238&amp;").
"</f>
        <v xml:space="preserve">
You must answer this question if there are one or more securities the trustees wish to include details about (CSI 20.0).
</v>
      </c>
      <c r="E702" s="92" t="str">
        <f>"
Select one of the following options from the drop-down list:
• Security over property
• Security over other tangible assets
• Security over intangible assets
• Security over receivable balances
• Cash in escrow
• Co-investment vehicle
• Other
"</f>
        <v xml:space="preserve">
Select one of the following options from the drop-down list:
• Security over property
• Security over other tangible assets
• Security over intangible assets
• Security over receivable balances
• Cash in escrow
• Co-investment vehicle
• Other
</v>
      </c>
      <c r="F702" s="92"/>
      <c r="G702" s="92"/>
      <c r="H702" s="92"/>
      <c r="I702" s="92"/>
      <c r="J702" s="92"/>
    </row>
    <row r="703" spans="1:10" ht="77.5">
      <c r="A703" s="190" t="s">
        <v>1044</v>
      </c>
      <c r="B703" s="92" t="str">
        <f>"
Do not answer this question if there are no securities the trustees wish to include details about ("&amp;Questions!$D$238&amp;").
"</f>
        <v xml:space="preserve">
Do not answer this question if there are no securities the trustees wish to include details about (CSI 20.0).
</v>
      </c>
      <c r="C703"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D703" s="92" t="str">
        <f>"
You must answer this question if there are one or more securities the trustees wish to include details about ("&amp;Questions!$D$238&amp;").
"</f>
        <v xml:space="preserve">
You must answer this question if there are one or more securities the trustees wish to include details about (CSI 20.0).
</v>
      </c>
      <c r="E703" s="92" t="str">
        <f>"
The answer must be no more than 4000 characters
"</f>
        <v xml:space="preserve">
The answer must be no more than 4000 characters
</v>
      </c>
      <c r="F703" s="92"/>
      <c r="G703" s="92"/>
      <c r="H703" s="92"/>
      <c r="I703" s="92"/>
      <c r="J703" s="92"/>
    </row>
    <row r="704" spans="1:10" ht="93">
      <c r="A704" s="190" t="s">
        <v>1046</v>
      </c>
      <c r="B704" s="92" t="str">
        <f>"
Do not answer this question if the scheme follows a Fast Track approach ("&amp;Questions!$D$5&amp;").
"</f>
        <v xml:space="preserve">
Do not answer this question if the scheme follows a Fast Track approach (SH 13.0).
</v>
      </c>
      <c r="C704" s="92" t="str">
        <f>"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04" s="92" t="str">
        <f>"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04"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04" s="92" t="str">
        <f>"
Select one of the following options from the drop-down list:
• Evergreen
• Fixed expiry with a maturity date
• Other
"</f>
        <v xml:space="preserve">
Select one of the following options from the drop-down list:
• Evergreen
• Fixed expiry with a maturity date
• Other
</v>
      </c>
      <c r="G704" s="92"/>
      <c r="H704" s="92"/>
      <c r="I704" s="92"/>
      <c r="J704" s="92"/>
    </row>
    <row r="705" spans="1:10" ht="93">
      <c r="A705" s="190" t="s">
        <v>1048</v>
      </c>
      <c r="B705" s="92" t="str">
        <f>"
Do not answer this question if the scheme follows a Fast Track approach ("&amp;Questions!$D$5&amp;").
"</f>
        <v xml:space="preserve">
Do not answer this question if the scheme follows a Fast Track approach (SH 13.0).
</v>
      </c>
      <c r="C705" s="92" t="str">
        <f>"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05" s="92" t="str">
        <f>"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05" s="92" t="str">
        <f>"
Do not answer this question if the scheme follows a Bespoke approach ("&amp;Questions!$D$5&amp;"), there are one or more securities the trustees wish to include details about ("&amp;Questions!$D$238&amp;") and the contingent asset security is Evergreen or Other ("&amp;Questions!$D$257&amp;").
"</f>
        <v xml:space="preserve">
Do not answer this question if the scheme follows a Bespoke approach (SH 13.0), there are one or more securities the trustees wish to include details about (CSI 20.0) and the contingent asset security is Evergreen or Other (SEC 3.0/1).
</v>
      </c>
      <c r="F705" s="92" t="str">
        <f>"
You must answer this question if the scheme follows a Bespoke approach ("&amp;Questions!$D$5&amp;"), there are one or more securities the trustees wish to include details about ("&amp;Questions!$D$238&amp;") and the contingent asset security maturity date is Fixed expiry with a maturity date ("&amp;Questions!$D$257&amp;").
"</f>
        <v xml:space="preserve">
You must answer this question if the scheme follows a Bespoke approach (SH 13.0), there are one or more securities the trustees wish to include details about (CSI 20.0) and the contingent asset security maturity date is Fixed expiry with a maturity date (SEC 3.0/1).
</v>
      </c>
      <c r="G705" s="92" t="str">
        <f>"
Enter a valid date in the format dd/mm/yyyy 
"</f>
        <v xml:space="preserve">
Enter a valid date in the format dd/mm/yyyy 
</v>
      </c>
      <c r="H705" s="92" t="str">
        <f>"
This date cannot be less than the effective date of the actuarial validation ("&amp;Questions!$D$2&amp;")
"</f>
        <v xml:space="preserve">
This date cannot be less than the effective date of the actuarial validation (SH 8.0)
</v>
      </c>
      <c r="I705" s="92"/>
      <c r="J705" s="92"/>
    </row>
    <row r="706" spans="1:10" ht="93">
      <c r="A706" s="190" t="s">
        <v>1050</v>
      </c>
      <c r="B706" s="92" t="str">
        <f>"
Do not answer this question if the scheme follows a Fast Track approach ("&amp;Questions!$D$5&amp;").
"</f>
        <v xml:space="preserve">
Do not answer this question if the scheme follows a Fast Track approach (SH 13.0).
</v>
      </c>
      <c r="C706" s="92" t="str">
        <f>"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06" s="92" t="str">
        <f>"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06" s="92" t="str">
        <f>"
Do not answer this question if the scheme follows a Bespoke approach ("&amp;Questions!$D$5&amp;"), there are one or more securities the trustees wish to include details about ("&amp;Questions!$D$238&amp;") and the contingent asset security is not Other ("&amp;Questions!$D$257&amp;").
"</f>
        <v xml:space="preserve">
Do not answer this question if the scheme follows a Bespoke approach (SH 13.0), there are one or more securities the trustees wish to include details about (CSI 20.0) and the contingent asset security is not Other (SEC 3.0/1).
</v>
      </c>
      <c r="F706" s="92" t="str">
        <f>"
You must answer this question if the scheme follows a Bespoke approach ("&amp;Questions!$D$5&amp;"), there are one or more securities the trustees wish to include details about ("&amp;Questions!$D$238&amp;") and the contingent asset security maturity date is Other ("&amp;Questions!$D$257&amp;").
"</f>
        <v xml:space="preserve">
You must answer this question if the scheme follows a Bespoke approach (SH 13.0), there are one or more securities the trustees wish to include details about (CSI 20.0) and the contingent asset security maturity date is Other (SEC 3.0/1).
</v>
      </c>
      <c r="G706" s="92" t="str">
        <f>"
The answer must be no more than 4000 characters
"</f>
        <v xml:space="preserve">
The answer must be no more than 4000 characters
</v>
      </c>
      <c r="H706" s="92"/>
      <c r="I706" s="92"/>
      <c r="J706" s="92"/>
    </row>
    <row r="707" spans="1:10" ht="77.5">
      <c r="A707" s="190" t="s">
        <v>1052</v>
      </c>
      <c r="B707" s="92" t="str">
        <f>"
Do not answer this question if there are no securities the trustees wish to include details about ("&amp;Questions!$D$238&amp;").
"</f>
        <v xml:space="preserve">
Do not answer this question if there are no securities the trustees wish to include details about (CSI 20.0).
</v>
      </c>
      <c r="C707"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D707" s="92" t="str">
        <f>"
You must answer this question if there are one or more securities the trustees wish to include details about ("&amp;Questions!$D$238&amp;").
"</f>
        <v xml:space="preserve">
You must answer this question if there are one or more securities the trustees wish to include details about (CSI 20.0).
</v>
      </c>
      <c r="E707" s="92" t="str">
        <f t="shared" ref="E707" si="23">"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F707" s="92"/>
      <c r="G707" s="92"/>
      <c r="H707" s="92"/>
      <c r="I707" s="92"/>
      <c r="J707" s="92"/>
    </row>
    <row r="708" spans="1:10" ht="77.5">
      <c r="A708" s="190" t="s">
        <v>1054</v>
      </c>
      <c r="B708" s="92" t="str">
        <f>"
Do not answer this question if there are no securities the trustees wish to include details about ("&amp;Questions!$D$238&amp;").
"</f>
        <v xml:space="preserve">
Do not answer this question if there are no securities the trustees wish to include details about (CSI 20.0).
</v>
      </c>
      <c r="C708"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D708" s="92" t="str">
        <f>"
You must answer this question if there are one or more securities the trustees wish to include details about ("&amp;Questions!$D$238&amp;").
"</f>
        <v xml:space="preserve">
You must answer this question if there are one or more securities the trustees wish to include details about (CSI 20.0).
</v>
      </c>
      <c r="E708" s="92" t="str">
        <f>"
Enter a valid date that is less than or equal to today in the format dd/mm/yyyy 
"</f>
        <v xml:space="preserve">
Enter a valid date that is less than or equal to today in the format dd/mm/yyyy 
</v>
      </c>
      <c r="F708" s="92" t="str">
        <f>"
Enter a valid date that is less than or equal to today in the format dd/mm/yyyy
"</f>
        <v xml:space="preserve">
Enter a valid date that is less than or equal to today in the format dd/mm/yyyy
</v>
      </c>
      <c r="G708" s="92"/>
      <c r="H708" s="92"/>
      <c r="I708" s="92"/>
      <c r="J708" s="92"/>
    </row>
    <row r="709" spans="1:10" ht="124">
      <c r="A709" s="190" t="s">
        <v>1056</v>
      </c>
      <c r="B709" s="92" t="str">
        <f>"
Do not answer this question if the scheme follows a Fast Track approach ("&amp;Questions!$D$5&amp;").
"</f>
        <v xml:space="preserve">
Do not answer this question if the scheme follows a Fast Track approach (SH 13.0).
</v>
      </c>
      <c r="C709" s="92" t="str">
        <f>"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09" s="92" t="str">
        <f>"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09"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09" s="92" t="s">
        <v>3768</v>
      </c>
      <c r="G709" s="92"/>
      <c r="H709" s="92"/>
      <c r="I709" s="92"/>
      <c r="J709" s="92"/>
    </row>
    <row r="710" spans="1:10" ht="93">
      <c r="A710" s="190" t="s">
        <v>1058</v>
      </c>
      <c r="B710" s="92" t="str">
        <f>"
Do not answer this question if the scheme follows a Fast Track approach ("&amp;Questions!$D$5&amp;").
"</f>
        <v xml:space="preserve">
Do not answer this question if the scheme follows a Fast Track approach (SH 13.0).
</v>
      </c>
      <c r="C710" s="92" t="str">
        <f>"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10" s="92" t="str">
        <f>"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10" s="92" t="str">
        <f>"
Do not answer this question if the scheme follows a Bespoke approach ("&amp;Questions!$D$5&amp;"), there are one or more securities the trustees wish to include details about ("&amp;Questions!$D$238&amp;") and the contingent asset security is not Other ("&amp;Questions!$D$262&amp;").
"</f>
        <v xml:space="preserve">
Do not answer this question if the scheme follows a Bespoke approach (SH 13.0), there are one or more securities the trustees wish to include details about (CSI 20.0) and the contingent asset security is not Other (SEC 8.0/1).
</v>
      </c>
      <c r="F710" s="92" t="str">
        <f>"
You must answer this question if the scheme follows a Bespoke approach ("&amp;Questions!$D$5&amp;"), there are one or more securities the trustees wish to include details about ("&amp;Questions!$D$238&amp;") and the contingent asset security value cap is Other ("&amp;Questions!$D$262&amp;").
"</f>
        <v xml:space="preserve">
You must answer this question if the scheme follows a Bespoke approach (SH 13.0), there are one or more securities the trustees wish to include details about (CSI 20.0) and the contingent asset security value cap is Other (SEC 8.0/1).
</v>
      </c>
      <c r="G710" s="92" t="str">
        <f>"
The answer must be no more than 4000 characters
"</f>
        <v xml:space="preserve">
The answer must be no more than 4000 characters
</v>
      </c>
      <c r="H710" s="92"/>
      <c r="I710" s="92"/>
      <c r="J710" s="92"/>
    </row>
    <row r="711" spans="1:10" ht="77.5">
      <c r="A711" s="190" t="s">
        <v>1060</v>
      </c>
      <c r="B711" s="92" t="str">
        <f>"
Do not answer this question if the scheme follows a Fast Track approach ("&amp;Questions!$D$5&amp;").
"</f>
        <v xml:space="preserve">
Do not answer this question if the scheme follows a Fast Track approach (SH 13.0).
</v>
      </c>
      <c r="C711" s="92" t="str">
        <f>"
Do not answer this question if the scheme has no contingent asset securities for which the trustees wish to include details ("&amp;Questions!$D$238&amp;").
"</f>
        <v xml:space="preserve">
Do not answer this question if the scheme has no contingent asset securities for which the trustees wish to include details (CSI 20.0).
</v>
      </c>
      <c r="D711" s="92" t="str">
        <f>"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11" s="92" t="str">
        <f>"
Do not answer this question if the contingent asset security value cap is not Fixed Cap ("&amp;Questions!$D$262&amp;").
"</f>
        <v xml:space="preserve">
Do not answer this question if the contingent asset security value cap is not Fixed Cap (SEC 8.0/1).
</v>
      </c>
      <c r="F711" s="92" t="str">
        <f>"
You must answer this question if the contingent asset security value cap is Fixed Cap  ("&amp;Questions!$D$262&amp;").
"</f>
        <v xml:space="preserve">
You must answer this question if the contingent asset security value cap is Fixed Cap  (SEC 8.0/1).
</v>
      </c>
      <c r="G711" s="92" t="str">
        <f t="shared" ref="G711" si="24">"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H711" s="92"/>
      <c r="I711" s="92"/>
      <c r="J711" s="92"/>
    </row>
    <row r="712" spans="1:10" ht="77.5">
      <c r="A712" s="190" t="s">
        <v>1062</v>
      </c>
      <c r="B712" s="92" t="str">
        <f>"
Do not answer this question if the scheme follows a Fast Track approach ("&amp;Questions!$D$5&amp;").
"</f>
        <v xml:space="preserve">
Do not answer this question if the scheme follows a Fast Track approach (SH 13.0).
</v>
      </c>
      <c r="C712" s="92" t="str">
        <f>"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12" s="92" t="str">
        <f>"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12"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12" s="92" t="str">
        <f>"
Select ‘Yes’ if participating employer insolvency is a trigger for access to value, or ‘No’ if not
"</f>
        <v xml:space="preserve">
Select ‘Yes’ if participating employer insolvency is a trigger for access to value, or ‘No’ if not
</v>
      </c>
      <c r="G712" s="92"/>
      <c r="H712" s="92"/>
      <c r="I712" s="92"/>
      <c r="J712" s="92"/>
    </row>
    <row r="713" spans="1:10" ht="77.5">
      <c r="A713" s="190" t="s">
        <v>1064</v>
      </c>
      <c r="B713" s="92" t="str">
        <f>"
Do not answer this question if the scheme follows a Fast Track approach ("&amp;Questions!$D$5&amp;").
"</f>
        <v xml:space="preserve">
Do not answer this question if the scheme follows a Fast Track approach (SH 13.0).
</v>
      </c>
      <c r="C713" s="92" t="str">
        <f>"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13" s="92" t="str">
        <f>"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13"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13" s="92" t="str">
        <f>"
Select ‘Yes’ if the insolvency of an associated company is a trigger for access to value, or ‘No’ if not
"</f>
        <v xml:space="preserve">
Select ‘Yes’ if the insolvency of an associated company is a trigger for access to value, or ‘No’ if not
</v>
      </c>
      <c r="G713" s="92"/>
      <c r="H713" s="92"/>
      <c r="I713" s="92"/>
      <c r="J713" s="92"/>
    </row>
    <row r="714" spans="1:10" ht="77.5">
      <c r="A714" s="190" t="s">
        <v>1066</v>
      </c>
      <c r="B714" s="92" t="str">
        <f>"
Do not answer this question if the scheme follows a Fast Track approach ("&amp;Questions!$D$5&amp;").
"</f>
        <v xml:space="preserve">
Do not answer this question if the scheme follows a Fast Track approach (SH 13.0).
</v>
      </c>
      <c r="C714" s="92" t="str">
        <f>"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14" s="92" t="str">
        <f>"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14"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14" s="92" t="str">
        <f>"
Select ‘Yes’ if non payment of contributions is a trigger for access to value, or ‘No’ if not
"</f>
        <v xml:space="preserve">
Select ‘Yes’ if non payment of contributions is a trigger for access to value, or ‘No’ if not
</v>
      </c>
      <c r="G714" s="92"/>
      <c r="H714" s="92"/>
      <c r="I714" s="92"/>
      <c r="J714" s="92"/>
    </row>
    <row r="715" spans="1:10" ht="77.5">
      <c r="A715" s="190" t="s">
        <v>1068</v>
      </c>
      <c r="B715" s="92" t="str">
        <f>"
Do not answer this question if the scheme follows a Fast Track approach ("&amp;Questions!$D$5&amp;").
"</f>
        <v xml:space="preserve">
Do not answer this question if the scheme follows a Fast Track approach (SH 13.0).
</v>
      </c>
      <c r="C715" s="92" t="str">
        <f>"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15" s="92" t="str">
        <f>"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15"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15" s="92" t="str">
        <f>"
Select ‘Yes’ if crystallisation of investment risk is a trigger for access to value, or ‘No’ if not
"</f>
        <v xml:space="preserve">
Select ‘Yes’ if crystallisation of investment risk is a trigger for access to value, or ‘No’ if not
</v>
      </c>
      <c r="G715" s="92"/>
      <c r="H715" s="92"/>
      <c r="I715" s="92"/>
      <c r="J715" s="92"/>
    </row>
    <row r="716" spans="1:10" ht="77.5">
      <c r="A716" s="190" t="s">
        <v>1070</v>
      </c>
      <c r="B716" s="92" t="str">
        <f>"
Do not answer this question if the scheme follows a Fast Track approach ("&amp;Questions!$D$5&amp;").
"</f>
        <v xml:space="preserve">
Do not answer this question if the scheme follows a Fast Track approach (SH 13.0).
</v>
      </c>
      <c r="C716" s="92" t="str">
        <f>"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16" s="92" t="str">
        <f>"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16"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16" s="92" t="str">
        <f>"
Select ‘Yes’ if Other is a trigger for access to value, or ‘No’ if not
"</f>
        <v xml:space="preserve">
Select ‘Yes’ if Other is a trigger for access to value, or ‘No’ if not
</v>
      </c>
      <c r="G716" s="92"/>
      <c r="H716" s="92"/>
      <c r="I716" s="92"/>
      <c r="J716" s="92"/>
    </row>
    <row r="717" spans="1:10" ht="93">
      <c r="A717" s="190" t="s">
        <v>1072</v>
      </c>
      <c r="B717" s="92" t="str">
        <f>"
Do not answer this question if the scheme follows a Fast Track approach ("&amp;Questions!$D$5&amp;").
"</f>
        <v xml:space="preserve">
Do not answer this question if the scheme follows a Fast Track approach (SH 13.0).
</v>
      </c>
      <c r="C717" s="92" t="str">
        <f>"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17" s="92" t="str">
        <f>"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17" s="92" t="str">
        <f>"
Do not answer this question if the scheme follows a Bespoke approach ("&amp;Questions!$D$5&amp;"), there are one or more securities the trustees wish to include details about ("&amp;Questions!$D$238&amp;") and Other is not a trigger for access to value ("&amp;Questions!$D$269&amp;").
"</f>
        <v xml:space="preserve">
Do not answer this question if the scheme follows a Bespoke approach (SH 13.0), there are one or more securities the trustees wish to include details about (CSI 20.0) and Other is not a trigger for access to value (SEC 15.0/1).
</v>
      </c>
      <c r="F717" s="92" t="str">
        <f>"
You must answer this question if the scheme follows a Bespoke approach ("&amp;Questions!$D$5&amp;"), there are one or more securities the trustees wish to include details about ("&amp;Questions!$D$238&amp;") and Other is a trigger for access to value ("&amp;Questions!$D$269&amp;").
"</f>
        <v xml:space="preserve">
You must answer this question if the scheme follows a Bespoke approach (SH 13.0), there are one or more securities the trustees wish to include details about (CSI 20.0) and Other is a trigger for access to value (SEC 15.0/1).
</v>
      </c>
      <c r="G717" s="92" t="str">
        <f>"
The answer must be no more than 4000 characters
"</f>
        <v xml:space="preserve">
The answer must be no more than 4000 characters
</v>
      </c>
      <c r="H717" s="92"/>
      <c r="I717" s="92"/>
      <c r="J717" s="92"/>
    </row>
    <row r="718" spans="1:10" ht="77.5">
      <c r="A718" s="190" t="s">
        <v>1074</v>
      </c>
      <c r="B718" s="92" t="str">
        <f>"
Do not answer this question if the scheme follows a Fast Track approach ("&amp;Questions!$D$5&amp;").
"</f>
        <v xml:space="preserve">
Do not answer this question if the scheme follows a Fast Track approach (SH 13.0).
</v>
      </c>
      <c r="C718" s="92" t="str">
        <f>"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18" s="92" t="str">
        <f>"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18"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18" s="92" t="str">
        <f>"
The answer must be no more than 4000 characters
"</f>
        <v xml:space="preserve">
The answer must be no more than 4000 characters
</v>
      </c>
      <c r="G718" s="92"/>
      <c r="H718" s="92"/>
      <c r="I718" s="92"/>
      <c r="J718" s="92"/>
    </row>
    <row r="719" spans="1:10" ht="155">
      <c r="A719" s="190" t="s">
        <v>1077</v>
      </c>
      <c r="B719" s="92" t="str">
        <f>"
Do not answer this question if there are no securities the trustees wish to include details about ("&amp;Questions!$D$238&amp;").
"</f>
        <v xml:space="preserve">
Do not answer this question if there are no securities the trustees wish to include details about (CSI 20.0).
</v>
      </c>
      <c r="C719"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D719" s="92" t="str">
        <f>"
You must answer this question if there are one or more securities the trustees wish to include details about ("&amp;Questions!$D$238&amp;").
"</f>
        <v xml:space="preserve">
You must answer this question if there are one or more securities the trustees wish to include details about (CSI 20.0).
</v>
      </c>
      <c r="E719" s="92" t="str">
        <f>"
Select one of the following options from the drop-down list:
• Security over property
• Security over other tangible assets
• Security over intangible assets
• Security over receivable balances
• Cash in escrow
• Co-investment vehicle
• Other
"</f>
        <v xml:space="preserve">
Select one of the following options from the drop-down list:
• Security over property
• Security over other tangible assets
• Security over intangible assets
• Security over receivable balances
• Cash in escrow
• Co-investment vehicle
• Other
</v>
      </c>
      <c r="F719" s="92"/>
      <c r="G719" s="92"/>
      <c r="H719" s="92"/>
      <c r="I719" s="92"/>
      <c r="J719" s="92"/>
    </row>
    <row r="720" spans="1:10" ht="77.5">
      <c r="A720" s="190" t="s">
        <v>1079</v>
      </c>
      <c r="B720" s="92" t="str">
        <f>"
Do not answer this question if there are no securities the trustees wish to include details about ("&amp;Questions!$D$238&amp;").
"</f>
        <v xml:space="preserve">
Do not answer this question if there are no securities the trustees wish to include details about (CSI 20.0).
</v>
      </c>
      <c r="C720"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D720" s="92" t="str">
        <f>"
You must answer this question if there are one or more securities the trustees wish to include details about ("&amp;Questions!$D$238&amp;").
"</f>
        <v xml:space="preserve">
You must answer this question if there are one or more securities the trustees wish to include details about (CSI 20.0).
</v>
      </c>
      <c r="E720" s="92" t="str">
        <f>"
The answer must be no more than 4000 characters
"</f>
        <v xml:space="preserve">
The answer must be no more than 4000 characters
</v>
      </c>
      <c r="F720" s="92"/>
      <c r="G720" s="92"/>
      <c r="H720" s="92"/>
      <c r="I720" s="92"/>
      <c r="J720" s="92"/>
    </row>
    <row r="721" spans="1:10" ht="93">
      <c r="A721" s="190" t="s">
        <v>1081</v>
      </c>
      <c r="B721" s="92" t="str">
        <f>"
Do not answer this question if the scheme follows a Fast Track approach ("&amp;Questions!$D$5&amp;").
"</f>
        <v xml:space="preserve">
Do not answer this question if the scheme follows a Fast Track approach (SH 13.0).
</v>
      </c>
      <c r="C721" s="92" t="str">
        <f>"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21" s="92" t="str">
        <f>"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21"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21" s="92" t="str">
        <f>"
Select one of the following options from the drop-down list:
• Evergreen
• Fixed expiry with a maturity date
• Other
"</f>
        <v xml:space="preserve">
Select one of the following options from the drop-down list:
• Evergreen
• Fixed expiry with a maturity date
• Other
</v>
      </c>
      <c r="G721" s="92"/>
      <c r="H721" s="92"/>
      <c r="I721" s="92"/>
      <c r="J721" s="92"/>
    </row>
    <row r="722" spans="1:10" ht="93">
      <c r="A722" s="190" t="s">
        <v>1083</v>
      </c>
      <c r="B722" s="92" t="str">
        <f>"
Do not answer this question if the scheme follows a Fast Track approach ("&amp;Questions!$D$5&amp;").
"</f>
        <v xml:space="preserve">
Do not answer this question if the scheme follows a Fast Track approach (SH 13.0).
</v>
      </c>
      <c r="C722" s="92" t="str">
        <f>"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22" s="92" t="str">
        <f>"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22" s="92" t="str">
        <f>"
Do not answer this question if the scheme follows a Bespoke approach ("&amp;Questions!$D$5&amp;"), there are one or more securities the trustees wish to include details about ("&amp;Questions!$D$238&amp;") and the contingent asset security is Evergreen or Other ("&amp;Questions!$D$274&amp;").
"</f>
        <v xml:space="preserve">
Do not answer this question if the scheme follows a Bespoke approach (SH 13.0), there are one or more securities the trustees wish to include details about (CSI 20.0) and the contingent asset security is Evergreen or Other (SEC 3.0/2).
</v>
      </c>
      <c r="F722" s="92" t="str">
        <f>"
You must answer this question if the scheme follows a Bespoke approach ("&amp;Questions!$D$5&amp;"), there are one or more securities the trustees wish to include details about ("&amp;Questions!$D$238&amp;") and the contingent asset security maturity date is Fixed expiry with a maturity date ("&amp;Questions!$D$274&amp;").
"</f>
        <v xml:space="preserve">
You must answer this question if the scheme follows a Bespoke approach (SH 13.0), there are one or more securities the trustees wish to include details about (CSI 20.0) and the contingent asset security maturity date is Fixed expiry with a maturity date (SEC 3.0/2).
</v>
      </c>
      <c r="G722" s="92" t="str">
        <f>"
Enter a valid date in the format dd/mm/yyyy 
"</f>
        <v xml:space="preserve">
Enter a valid date in the format dd/mm/yyyy 
</v>
      </c>
      <c r="H722" s="92" t="str">
        <f>"
This date cannot be less than the effective date of the actuarial validation ("&amp;Questions!$D$2&amp;")
"</f>
        <v xml:space="preserve">
This date cannot be less than the effective date of the actuarial validation (SH 8.0)
</v>
      </c>
      <c r="I722" s="92"/>
      <c r="J722" s="92"/>
    </row>
    <row r="723" spans="1:10" ht="93">
      <c r="A723" s="190" t="s">
        <v>1085</v>
      </c>
      <c r="B723" s="92" t="str">
        <f>"
Do not answer this question if the scheme follows a Fast Track approach ("&amp;Questions!$D$5&amp;").
"</f>
        <v xml:space="preserve">
Do not answer this question if the scheme follows a Fast Track approach (SH 13.0).
</v>
      </c>
      <c r="C723" s="92" t="str">
        <f>"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23" s="92" t="str">
        <f>"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23" s="92" t="str">
        <f>"
Do not answer this question if the scheme follows a Bespoke approach ("&amp;Questions!$D$5&amp;"), there are one or more securities the trustees wish to include details about ("&amp;Questions!$D$238&amp;") and the contingent asset security is not Other ("&amp;Questions!$D$274&amp;").
"</f>
        <v xml:space="preserve">
Do not answer this question if the scheme follows a Bespoke approach (SH 13.0), there are one or more securities the trustees wish to include details about (CSI 20.0) and the contingent asset security is not Other (SEC 3.0/2).
</v>
      </c>
      <c r="F723" s="92" t="str">
        <f>"
You must answer this question if the scheme follows a Bespoke approach ("&amp;Questions!$D$5&amp;"), there are one or more securities the trustees wish to include details about ("&amp;Questions!$D$238&amp;") and the contingent asset security maturity date is Other ("&amp;Questions!$D$274&amp;").
"</f>
        <v xml:space="preserve">
You must answer this question if the scheme follows a Bespoke approach (SH 13.0), there are one or more securities the trustees wish to include details about (CSI 20.0) and the contingent asset security maturity date is Other (SEC 3.0/2).
</v>
      </c>
      <c r="G723" s="92" t="str">
        <f>"
The answer must be no more than 4000 characters
"</f>
        <v xml:space="preserve">
The answer must be no more than 4000 characters
</v>
      </c>
      <c r="H723" s="92"/>
      <c r="I723" s="92"/>
      <c r="J723" s="92"/>
    </row>
    <row r="724" spans="1:10" ht="77.5">
      <c r="A724" s="190" t="s">
        <v>1087</v>
      </c>
      <c r="B724" s="92" t="str">
        <f>"
Do not answer this question if there are no securities the trustees wish to include details about ("&amp;Questions!$D$238&amp;").
"</f>
        <v xml:space="preserve">
Do not answer this question if there are no securities the trustees wish to include details about (CSI 20.0).
</v>
      </c>
      <c r="C724"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D724" s="92" t="str">
        <f>"
You must answer this question if there are one or more securities the trustees wish to include details about ("&amp;Questions!$D$238&amp;").
"</f>
        <v xml:space="preserve">
You must answer this question if there are one or more securities the trustees wish to include details about (CSI 20.0).
</v>
      </c>
      <c r="E724" s="92" t="str">
        <f t="shared" ref="E724" si="25">"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F724" s="92"/>
      <c r="G724" s="92"/>
      <c r="H724" s="92"/>
      <c r="I724" s="92"/>
      <c r="J724" s="92"/>
    </row>
    <row r="725" spans="1:10" ht="77.5">
      <c r="A725" s="190" t="s">
        <v>1089</v>
      </c>
      <c r="B725" s="92" t="str">
        <f>"
Do not answer this question if there are no securities the trustees wish to include details about ("&amp;Questions!$D$238&amp;").
"</f>
        <v xml:space="preserve">
Do not answer this question if there are no securities the trustees wish to include details about (CSI 20.0).
</v>
      </c>
      <c r="C725"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D725" s="92" t="str">
        <f>"
You must answer this question if there are one or more securities the trustees wish to include details about ("&amp;Questions!$D$238&amp;").
"</f>
        <v xml:space="preserve">
You must answer this question if there are one or more securities the trustees wish to include details about (CSI 20.0).
</v>
      </c>
      <c r="E725" s="92" t="str">
        <f>"
Enter a valid date that is less than or equal to today in the format dd/mm/yyyy 
"</f>
        <v xml:space="preserve">
Enter a valid date that is less than or equal to today in the format dd/mm/yyyy 
</v>
      </c>
      <c r="F725" s="92" t="str">
        <f>"
Enter a valid date that is less than or equal to today in the format dd/mm/yyyy
"</f>
        <v xml:space="preserve">
Enter a valid date that is less than or equal to today in the format dd/mm/yyyy
</v>
      </c>
      <c r="G725" s="92"/>
      <c r="H725" s="92"/>
      <c r="I725" s="92"/>
      <c r="J725" s="92"/>
    </row>
    <row r="726" spans="1:10" ht="124">
      <c r="A726" s="190" t="s">
        <v>1091</v>
      </c>
      <c r="B726" s="92" t="str">
        <f>"
Do not answer this question if the scheme follows a Fast Track approach ("&amp;Questions!$D$5&amp;").
"</f>
        <v xml:space="preserve">
Do not answer this question if the scheme follows a Fast Track approach (SH 13.0).
</v>
      </c>
      <c r="C726" s="92" t="str">
        <f>"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26" s="92" t="str">
        <f>"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26"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26" s="92" t="s">
        <v>3768</v>
      </c>
      <c r="G726" s="92"/>
      <c r="H726" s="92"/>
      <c r="I726" s="92"/>
      <c r="J726" s="92"/>
    </row>
    <row r="727" spans="1:10" ht="93">
      <c r="A727" s="190" t="s">
        <v>1093</v>
      </c>
      <c r="B727" s="92" t="str">
        <f>"
Do not answer this question if the scheme follows a Fast Track approach ("&amp;Questions!$D$5&amp;").
"</f>
        <v xml:space="preserve">
Do not answer this question if the scheme follows a Fast Track approach (SH 13.0).
</v>
      </c>
      <c r="C727" s="92" t="str">
        <f>"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27" s="92" t="str">
        <f>"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27" s="92" t="str">
        <f>"
Do not answer this question if the scheme follows a Bespoke approach ("&amp;Questions!$D$5&amp;"), there are one or more securities the trustees wish to include details about ("&amp;Questions!$D$238&amp;") and the contingent asset security is not Other ("&amp;Questions!$D$279&amp;").
"</f>
        <v xml:space="preserve">
Do not answer this question if the scheme follows a Bespoke approach (SH 13.0), there are one or more securities the trustees wish to include details about (CSI 20.0) and the contingent asset security is not Other (SEC 8.0/2).
</v>
      </c>
      <c r="F727" s="92" t="str">
        <f>"
You must answer this question if the scheme follows a Bespoke approach ("&amp;Questions!$D$5&amp;"), there are one or more securities the trustees wish to include details about ("&amp;Questions!$D$238&amp;") and the contingent asset security value cap is Other ("&amp;Questions!$D$279&amp;").
"</f>
        <v xml:space="preserve">
You must answer this question if the scheme follows a Bespoke approach (SH 13.0), there are one or more securities the trustees wish to include details about (CSI 20.0) and the contingent asset security value cap is Other (SEC 8.0/2).
</v>
      </c>
      <c r="G727" s="92" t="str">
        <f>"
The answer must be no more than 4000 characters
"</f>
        <v xml:space="preserve">
The answer must be no more than 4000 characters
</v>
      </c>
      <c r="H727" s="92"/>
      <c r="I727" s="92"/>
      <c r="J727" s="92"/>
    </row>
    <row r="728" spans="1:10" ht="77.5">
      <c r="A728" s="190" t="s">
        <v>1095</v>
      </c>
      <c r="B728" s="92" t="str">
        <f>"
Do not answer this question if the scheme follows a Fast Track approach ("&amp;Questions!$D$5&amp;").
"</f>
        <v xml:space="preserve">
Do not answer this question if the scheme follows a Fast Track approach (SH 13.0).
</v>
      </c>
      <c r="C728" s="92" t="str">
        <f>"
Do not answer this question if the scheme has no contingent asset securities for which the trustees wish to include details ("&amp;Questions!$D$238&amp;").
"</f>
        <v xml:space="preserve">
Do not answer this question if the scheme has no contingent asset securities for which the trustees wish to include details (CSI 20.0).
</v>
      </c>
      <c r="D728" s="92" t="str">
        <f>"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28" s="92" t="str">
        <f>"
Do not answer this question if the contingent asset security value cap is not Fixed Cap ("&amp;Questions!$D$279&amp;").
"</f>
        <v xml:space="preserve">
Do not answer this question if the contingent asset security value cap is not Fixed Cap (SEC 8.0/2).
</v>
      </c>
      <c r="F728" s="92" t="str">
        <f>"
You must answer this question if the contingent asset security value cap is Fixed Cap ("&amp;Questions!$D$279&amp;").
"</f>
        <v xml:space="preserve">
You must answer this question if the contingent asset security value cap is Fixed Cap (SEC 8.0/2).
</v>
      </c>
      <c r="G728" s="92" t="str">
        <f t="shared" ref="G728" si="26">"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H728" s="92"/>
      <c r="I728" s="92"/>
      <c r="J728" s="92"/>
    </row>
    <row r="729" spans="1:10" ht="77.5">
      <c r="A729" s="190" t="s">
        <v>1097</v>
      </c>
      <c r="B729" s="92" t="str">
        <f>"
Do not answer this question if the scheme follows a Fast Track approach ("&amp;Questions!$D$5&amp;").
"</f>
        <v xml:space="preserve">
Do not answer this question if the scheme follows a Fast Track approach (SH 13.0).
</v>
      </c>
      <c r="C729" s="92" t="str">
        <f>"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29" s="92" t="str">
        <f>"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29"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29" s="92" t="str">
        <f>"
Select ‘Yes’ if participating employer insolvency is a trigger for access to value, or ‘No’ if not
"</f>
        <v xml:space="preserve">
Select ‘Yes’ if participating employer insolvency is a trigger for access to value, or ‘No’ if not
</v>
      </c>
      <c r="G729" s="92"/>
      <c r="H729" s="92"/>
      <c r="I729" s="92"/>
      <c r="J729" s="92"/>
    </row>
    <row r="730" spans="1:10" ht="77.5">
      <c r="A730" s="190" t="s">
        <v>1099</v>
      </c>
      <c r="B730" s="92" t="str">
        <f>"
Do not answer this question if the scheme follows a Fast Track approach ("&amp;Questions!$D$5&amp;").
"</f>
        <v xml:space="preserve">
Do not answer this question if the scheme follows a Fast Track approach (SH 13.0).
</v>
      </c>
      <c r="C730" s="92" t="str">
        <f>"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30" s="92" t="str">
        <f>"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30"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30" s="92" t="str">
        <f>"
Select ‘Yes’ if the insolvency of an associated company is a trigger for access to value, or ‘No’ if not
"</f>
        <v xml:space="preserve">
Select ‘Yes’ if the insolvency of an associated company is a trigger for access to value, or ‘No’ if not
</v>
      </c>
      <c r="G730" s="92"/>
      <c r="H730" s="92"/>
      <c r="I730" s="92"/>
      <c r="J730" s="92"/>
    </row>
    <row r="731" spans="1:10" ht="77.5">
      <c r="A731" s="190" t="s">
        <v>1101</v>
      </c>
      <c r="B731" s="92" t="str">
        <f>"
Do not answer this question if the scheme follows a Fast Track approach ("&amp;Questions!$D$5&amp;").
"</f>
        <v xml:space="preserve">
Do not answer this question if the scheme follows a Fast Track approach (SH 13.0).
</v>
      </c>
      <c r="C731" s="92" t="str">
        <f>"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31" s="92" t="str">
        <f>"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31"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31" s="92" t="str">
        <f>"
Select ‘Yes’ if non payment of contributions is a trigger for access to value, or ‘No’ if not
"</f>
        <v xml:space="preserve">
Select ‘Yes’ if non payment of contributions is a trigger for access to value, or ‘No’ if not
</v>
      </c>
      <c r="G731" s="92"/>
      <c r="H731" s="92"/>
      <c r="I731" s="92"/>
      <c r="J731" s="92"/>
    </row>
    <row r="732" spans="1:10" ht="77.5">
      <c r="A732" s="190" t="s">
        <v>1103</v>
      </c>
      <c r="B732" s="92" t="str">
        <f>"
Do not answer this question if the scheme follows a Fast Track approach ("&amp;Questions!$D$5&amp;").
"</f>
        <v xml:space="preserve">
Do not answer this question if the scheme follows a Fast Track approach (SH 13.0).
</v>
      </c>
      <c r="C732" s="92" t="str">
        <f>"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32" s="92" t="str">
        <f>"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32"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32" s="92" t="str">
        <f>"
Select ‘Yes’ if crystallisation of investment risk is a trigger for access to value, or ‘No’ if not
"</f>
        <v xml:space="preserve">
Select ‘Yes’ if crystallisation of investment risk is a trigger for access to value, or ‘No’ if not
</v>
      </c>
      <c r="G732" s="92"/>
      <c r="H732" s="92"/>
      <c r="I732" s="92"/>
      <c r="J732" s="92"/>
    </row>
    <row r="733" spans="1:10" ht="77.5">
      <c r="A733" s="190" t="s">
        <v>1105</v>
      </c>
      <c r="B733" s="92" t="str">
        <f>"
Do not answer this question if the scheme follows a Fast Track approach ("&amp;Questions!$D$5&amp;").
"</f>
        <v xml:space="preserve">
Do not answer this question if the scheme follows a Fast Track approach (SH 13.0).
</v>
      </c>
      <c r="C733" s="92" t="str">
        <f>"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33" s="92" t="str">
        <f>"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33"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33" s="92" t="str">
        <f>"
Select ‘Yes’ if Other is a trigger for access to value, or ‘No’ if not
"</f>
        <v xml:space="preserve">
Select ‘Yes’ if Other is a trigger for access to value, or ‘No’ if not
</v>
      </c>
      <c r="G733" s="92"/>
      <c r="H733" s="92"/>
      <c r="I733" s="92"/>
      <c r="J733" s="92"/>
    </row>
    <row r="734" spans="1:10" ht="93">
      <c r="A734" s="190" t="s">
        <v>1107</v>
      </c>
      <c r="B734" s="92" t="str">
        <f>"
Do not answer this question if the scheme follows a Fast Track approach ("&amp;Questions!$D$5&amp;").
"</f>
        <v xml:space="preserve">
Do not answer this question if the scheme follows a Fast Track approach (SH 13.0).
</v>
      </c>
      <c r="C734" s="92" t="str">
        <f>"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34" s="92" t="str">
        <f>"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34" s="92" t="str">
        <f>"
Do not answer this question if the scheme follows a Bespoke approach ("&amp;Questions!$D$5&amp;"), there are one or more securities the trustees wish to include details about ("&amp;Questions!$D$238&amp;") and Other is not a trigger for access to value ("&amp;Questions!$D$286&amp;").
"</f>
        <v xml:space="preserve">
Do not answer this question if the scheme follows a Bespoke approach (SH 13.0), there are one or more securities the trustees wish to include details about (CSI 20.0) and Other is not a trigger for access to value (SEC 15.0/2).
</v>
      </c>
      <c r="F734" s="92" t="str">
        <f>"
You must answer this question if the scheme follows a Bespoke approach ("&amp;Questions!$D$5&amp;"), there are one or more securities the trustees wish to include details about ("&amp;Questions!$D$238&amp;") and Other is a trigger for access to value ("&amp;Questions!$D$286&amp;").
"</f>
        <v xml:space="preserve">
You must answer this question if the scheme follows a Bespoke approach (SH 13.0), there are one or more securities the trustees wish to include details about (CSI 20.0) and Other is a trigger for access to value (SEC 15.0/2).
</v>
      </c>
      <c r="G734" s="92" t="str">
        <f>"
The answer must be no more than 4000 characters
"</f>
        <v xml:space="preserve">
The answer must be no more than 4000 characters
</v>
      </c>
      <c r="H734" s="92"/>
      <c r="I734" s="92"/>
      <c r="J734" s="92"/>
    </row>
    <row r="735" spans="1:10" ht="77.5">
      <c r="A735" s="190" t="s">
        <v>1109</v>
      </c>
      <c r="B735" s="92" t="str">
        <f>"
Do not answer this question if the scheme follows a Fast Track approach ("&amp;Questions!$D$5&amp;").
"</f>
        <v xml:space="preserve">
Do not answer this question if the scheme follows a Fast Track approach (SH 13.0).
</v>
      </c>
      <c r="C735" s="92" t="str">
        <f>"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35" s="92" t="str">
        <f>"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35"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35" s="92" t="str">
        <f>"
The answer must be no more than 4000 characters
"</f>
        <v xml:space="preserve">
The answer must be no more than 4000 characters
</v>
      </c>
      <c r="G735" s="92"/>
      <c r="H735" s="92"/>
      <c r="I735" s="92"/>
      <c r="J735" s="92"/>
    </row>
    <row r="736" spans="1:10" ht="155">
      <c r="A736" s="190" t="s">
        <v>1112</v>
      </c>
      <c r="B736" s="92" t="str">
        <f>"
Do not answer this question if there are no securities the trustees wish to include details about ("&amp;Questions!$D$238&amp;").
"</f>
        <v xml:space="preserve">
Do not answer this question if there are no securities the trustees wish to include details about (CSI 20.0).
</v>
      </c>
      <c r="C736"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D736" s="92" t="str">
        <f>"
You must answer this question if there are one or more securities the trustees wish to include details about ("&amp;Questions!$D$238&amp;").
"</f>
        <v xml:space="preserve">
You must answer this question if there are one or more securities the trustees wish to include details about (CSI 20.0).
</v>
      </c>
      <c r="E736" s="92" t="str">
        <f>"
Select one of the following options from the drop-down list:
• Security over property
• Security over other tangible assets
• Security over intangible assets
• Security over receivable balances
• Cash in escrow
• Co-investment vehicle
• Other
"</f>
        <v xml:space="preserve">
Select one of the following options from the drop-down list:
• Security over property
• Security over other tangible assets
• Security over intangible assets
• Security over receivable balances
• Cash in escrow
• Co-investment vehicle
• Other
</v>
      </c>
      <c r="F736" s="92"/>
      <c r="G736" s="92"/>
      <c r="H736" s="92"/>
      <c r="I736" s="92"/>
      <c r="J736" s="92"/>
    </row>
    <row r="737" spans="1:10" ht="77.5">
      <c r="A737" s="190" t="s">
        <v>1115</v>
      </c>
      <c r="B737" s="92" t="str">
        <f>"
Do not answer this question if there are no securities the trustees wish to include details about ("&amp;Questions!$D$238&amp;").
"</f>
        <v xml:space="preserve">
Do not answer this question if there are no securities the trustees wish to include details about (CSI 20.0).
</v>
      </c>
      <c r="C737"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D737" s="92" t="str">
        <f>"
You must answer this question if there are one or more securities the trustees wish to include details about ("&amp;Questions!$D$238&amp;").
"</f>
        <v xml:space="preserve">
You must answer this question if there are one or more securities the trustees wish to include details about (CSI 20.0).
</v>
      </c>
      <c r="E737" s="92" t="str">
        <f>"
The answer must be no more than 4000 characters
"</f>
        <v xml:space="preserve">
The answer must be no more than 4000 characters
</v>
      </c>
      <c r="F737" s="92"/>
      <c r="G737" s="92"/>
      <c r="H737" s="92"/>
      <c r="I737" s="92"/>
      <c r="J737" s="92"/>
    </row>
    <row r="738" spans="1:10" ht="93">
      <c r="A738" s="190" t="s">
        <v>1117</v>
      </c>
      <c r="B738" s="92" t="str">
        <f>"
Do not answer this question if the scheme follows a Fast Track approach ("&amp;Questions!$D$5&amp;").
"</f>
        <v xml:space="preserve">
Do not answer this question if the scheme follows a Fast Track approach (SH 13.0).
</v>
      </c>
      <c r="C738" s="92" t="str">
        <f>"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38" s="92" t="str">
        <f>"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38"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38" s="92" t="str">
        <f>"
Select one of the following options from the drop-down list:
• Evergreen
• Fixed expiry with a maturity date
• Other
"</f>
        <v xml:space="preserve">
Select one of the following options from the drop-down list:
• Evergreen
• Fixed expiry with a maturity date
• Other
</v>
      </c>
      <c r="G738" s="92"/>
      <c r="H738" s="92"/>
      <c r="I738" s="92"/>
      <c r="J738" s="92"/>
    </row>
    <row r="739" spans="1:10" ht="93">
      <c r="A739" s="190" t="s">
        <v>1119</v>
      </c>
      <c r="B739" s="92" t="str">
        <f>"
Do not answer this question if the scheme follows a Fast Track approach ("&amp;Questions!$D$5&amp;").
"</f>
        <v xml:space="preserve">
Do not answer this question if the scheme follows a Fast Track approach (SH 13.0).
</v>
      </c>
      <c r="C739" s="92" t="str">
        <f>"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39" s="92" t="str">
        <f>"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39" s="92" t="str">
        <f>"
Do not answer this question if the scheme follows a Bespoke approach ("&amp;Questions!$D$5&amp;"), there are one or more securities the trustees wish to include details about ("&amp;Questions!$D$238&amp;") and the contingent asset security is Evergreen or Other ("&amp;Questions!$D$291&amp;").
"</f>
        <v xml:space="preserve">
Do not answer this question if the scheme follows a Bespoke approach (SH 13.0), there are one or more securities the trustees wish to include details about (CSI 20.0) and the contingent asset security is Evergreen or Other (SEC 3.0/3).
</v>
      </c>
      <c r="F739" s="92" t="str">
        <f>"
You must answer this question if the scheme follows a Bespoke approach ("&amp;Questions!$D$5&amp;"), there are one or more securities the trustees wish to include details about ("&amp;Questions!$D$238&amp;") and the contingent asset security maturity date is Fixed expiry with a maturity date ("&amp;Questions!$D$291&amp;").
"</f>
        <v xml:space="preserve">
You must answer this question if the scheme follows a Bespoke approach (SH 13.0), there are one or more securities the trustees wish to include details about (CSI 20.0) and the contingent asset security maturity date is Fixed expiry with a maturity date (SEC 3.0/3).
</v>
      </c>
      <c r="G739" s="92" t="str">
        <f>"
Enter a valid date in the format dd/mm/yyyy 
"</f>
        <v xml:space="preserve">
Enter a valid date in the format dd/mm/yyyy 
</v>
      </c>
      <c r="H739" s="92" t="str">
        <f>"
This date cannot be less than the effective date of the actuarial validation ("&amp;Questions!$D$2&amp;")
"</f>
        <v xml:space="preserve">
This date cannot be less than the effective date of the actuarial validation (SH 8.0)
</v>
      </c>
      <c r="I739" s="92"/>
      <c r="J739" s="92"/>
    </row>
    <row r="740" spans="1:10" ht="93">
      <c r="A740" s="190" t="s">
        <v>1121</v>
      </c>
      <c r="B740" s="92" t="str">
        <f>"
Do not answer this question if the scheme follows a Fast Track approach ("&amp;Questions!$D$5&amp;").
"</f>
        <v xml:space="preserve">
Do not answer this question if the scheme follows a Fast Track approach (SH 13.0).
</v>
      </c>
      <c r="C740" s="92" t="str">
        <f>"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40" s="92" t="str">
        <f>"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40" s="92" t="str">
        <f>"
Do not answer this question if the scheme follows a Bespoke approach ("&amp;Questions!$D$5&amp;"), there are one or more securities the trustees wish to include details about ("&amp;Questions!$D$238&amp;") and the contingent asset security is not Other ("&amp;Questions!$D$291&amp;").
"</f>
        <v xml:space="preserve">
Do not answer this question if the scheme follows a Bespoke approach (SH 13.0), there are one or more securities the trustees wish to include details about (CSI 20.0) and the contingent asset security is not Other (SEC 3.0/3).
</v>
      </c>
      <c r="F740" s="92" t="str">
        <f>"
You must answer this question if the scheme follows a Bespoke approach ("&amp;Questions!$D$5&amp;"), there are one or more securities the trustees wish to include details about ("&amp;Questions!$D$238&amp;") and the contingent asset security maturity date is Other ("&amp;Questions!$D$291&amp;").
"</f>
        <v xml:space="preserve">
You must answer this question if the scheme follows a Bespoke approach (SH 13.0), there are one or more securities the trustees wish to include details about (CSI 20.0) and the contingent asset security maturity date is Other (SEC 3.0/3).
</v>
      </c>
      <c r="G740" s="92" t="str">
        <f>"
The answer must be no more than 4000 characters
"</f>
        <v xml:space="preserve">
The answer must be no more than 4000 characters
</v>
      </c>
      <c r="H740" s="92"/>
      <c r="I740" s="92"/>
      <c r="J740" s="92"/>
    </row>
    <row r="741" spans="1:10" ht="77.5">
      <c r="A741" s="190" t="s">
        <v>1123</v>
      </c>
      <c r="B741" s="92" t="str">
        <f>"
Do not answer this question if there are no securities the trustees wish to include details about ("&amp;Questions!$D$238&amp;").
"</f>
        <v xml:space="preserve">
Do not answer this question if there are no securities the trustees wish to include details about (CSI 20.0).
</v>
      </c>
      <c r="C741"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D741" s="92" t="str">
        <f>"
You must answer this question if there are one or more securities the trustees wish to include details about ("&amp;Questions!$D$238&amp;").
"</f>
        <v xml:space="preserve">
You must answer this question if there are one or more securities the trustees wish to include details about (CSI 20.0).
</v>
      </c>
      <c r="E741" s="92" t="str">
        <f t="shared" ref="E741" si="27">"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F741" s="92"/>
      <c r="G741" s="92"/>
      <c r="H741" s="92"/>
      <c r="I741" s="92"/>
      <c r="J741" s="92"/>
    </row>
    <row r="742" spans="1:10" ht="77.5">
      <c r="A742" s="190" t="s">
        <v>1125</v>
      </c>
      <c r="B742" s="92" t="str">
        <f>"
Do not answer this question if there are no securities the trustees wish to include details about ("&amp;Questions!$D$238&amp;").
"</f>
        <v xml:space="preserve">
Do not answer this question if there are no securities the trustees wish to include details about (CSI 20.0).
</v>
      </c>
      <c r="C742"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D742" s="92" t="str">
        <f>"
You must answer this question if there are one or more securities the trustees wish to include details about ("&amp;Questions!$D$238&amp;").
"</f>
        <v xml:space="preserve">
You must answer this question if there are one or more securities the trustees wish to include details about (CSI 20.0).
</v>
      </c>
      <c r="E742" s="92" t="str">
        <f>"
Enter a valid date that is less than or equal to today in the format dd/mm/yyyy 
"</f>
        <v xml:space="preserve">
Enter a valid date that is less than or equal to today in the format dd/mm/yyyy 
</v>
      </c>
      <c r="F742" s="92" t="str">
        <f>"
Enter a valid date that is less than or equal to today in the format dd/mm/yyyy
"</f>
        <v xml:space="preserve">
Enter a valid date that is less than or equal to today in the format dd/mm/yyyy
</v>
      </c>
      <c r="G742" s="92"/>
      <c r="H742" s="92"/>
      <c r="I742" s="92"/>
      <c r="J742" s="92"/>
    </row>
    <row r="743" spans="1:10" ht="124">
      <c r="A743" s="190" t="s">
        <v>1127</v>
      </c>
      <c r="B743" s="92" t="str">
        <f>"
Do not answer this question if the scheme follows a Fast Track approach ("&amp;Questions!$D$5&amp;").
"</f>
        <v xml:space="preserve">
Do not answer this question if the scheme follows a Fast Track approach (SH 13.0).
</v>
      </c>
      <c r="C743" s="92" t="str">
        <f>"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43" s="92" t="str">
        <f>"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43"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43" s="92" t="s">
        <v>3768</v>
      </c>
      <c r="G743" s="92"/>
      <c r="H743" s="92"/>
      <c r="I743" s="92"/>
      <c r="J743" s="92"/>
    </row>
    <row r="744" spans="1:10" ht="93">
      <c r="A744" s="190" t="s">
        <v>1129</v>
      </c>
      <c r="B744" s="92" t="str">
        <f>"
Do not answer this question if the scheme follows a Fast Track approach ("&amp;Questions!$D$5&amp;").
"</f>
        <v xml:space="preserve">
Do not answer this question if the scheme follows a Fast Track approach (SH 13.0).
</v>
      </c>
      <c r="C744" s="92" t="str">
        <f>"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44" s="92" t="str">
        <f>"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44" s="92" t="str">
        <f>"
Do not answer this question if the scheme follows a Bespoke approach ("&amp;Questions!$D$5&amp;"), there are one or more securities the trustees wish to include details about ("&amp;Questions!$D$238&amp;") and the contingent asset security is not Other ("&amp;Questions!$D$296&amp;").
"</f>
        <v xml:space="preserve">
Do not answer this question if the scheme follows a Bespoke approach (SH 13.0), there are one or more securities the trustees wish to include details about (CSI 20.0) and the contingent asset security is not Other (SEC 8.0/3).
</v>
      </c>
      <c r="F744" s="92" t="str">
        <f>"
You must answer this question if the scheme follows a Bespoke approach ("&amp;Questions!$D$5&amp;"), there are one or more securities the trustees wish to include details about ("&amp;Questions!$D$238&amp;") and the contingent asset security value cap is Other ("&amp;Questions!$D$296&amp;").
"</f>
        <v xml:space="preserve">
You must answer this question if the scheme follows a Bespoke approach (SH 13.0), there are one or more securities the trustees wish to include details about (CSI 20.0) and the contingent asset security value cap is Other (SEC 8.0/3).
</v>
      </c>
      <c r="G744" s="92" t="str">
        <f>"
The answer must be no more than 4000 characters
"</f>
        <v xml:space="preserve">
The answer must be no more than 4000 characters
</v>
      </c>
      <c r="H744" s="92"/>
      <c r="I744" s="92"/>
      <c r="J744" s="92"/>
    </row>
    <row r="745" spans="1:10" ht="77.5">
      <c r="A745" s="190" t="s">
        <v>1131</v>
      </c>
      <c r="B745" s="92" t="str">
        <f>"
Do not answer this question if the scheme follows a Fast Track approach ("&amp;Questions!$D$5&amp;").
"</f>
        <v xml:space="preserve">
Do not answer this question if the scheme follows a Fast Track approach (SH 13.0).
</v>
      </c>
      <c r="C745" s="92" t="str">
        <f>"
Do not answer this question if the scheme has no contingent asset securities for which the trustees wish to include details ("&amp;Questions!$D$238&amp;").
"</f>
        <v xml:space="preserve">
Do not answer this question if the scheme has no contingent asset securities for which the trustees wish to include details (CSI 20.0).
</v>
      </c>
      <c r="D745" s="92" t="str">
        <f>"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45" s="92" t="str">
        <f>"
Do not answer this question if the contingent asset security value cap is not Fixed Cap ("&amp;Questions!$D$296&amp;").
"</f>
        <v xml:space="preserve">
Do not answer this question if the contingent asset security value cap is not Fixed Cap (SEC 8.0/3).
</v>
      </c>
      <c r="F745" s="92" t="str">
        <f>"
You must answer this question if the contingent asset security value cap is Fixed Cap ("&amp;Questions!$D$296&amp;").
"</f>
        <v xml:space="preserve">
You must answer this question if the contingent asset security value cap is Fixed Cap (SEC 8.0/3).
</v>
      </c>
      <c r="G745" s="92" t="str">
        <f t="shared" ref="G745" si="28">"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H745" s="92"/>
      <c r="I745" s="92"/>
      <c r="J745" s="92"/>
    </row>
    <row r="746" spans="1:10" ht="77.5">
      <c r="A746" s="190" t="s">
        <v>1133</v>
      </c>
      <c r="B746" s="92" t="str">
        <f>"
Do not answer this question if the scheme follows a Fast Track approach ("&amp;Questions!$D$5&amp;").
"</f>
        <v xml:space="preserve">
Do not answer this question if the scheme follows a Fast Track approach (SH 13.0).
</v>
      </c>
      <c r="C746" s="92" t="str">
        <f>"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46" s="92" t="str">
        <f>"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46"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46" s="92" t="str">
        <f>"
Select ‘Yes’ if participating employer insolvency is a trigger for access to value, or ‘No’ if not
"</f>
        <v xml:space="preserve">
Select ‘Yes’ if participating employer insolvency is a trigger for access to value, or ‘No’ if not
</v>
      </c>
      <c r="G746" s="92"/>
      <c r="H746" s="92"/>
      <c r="I746" s="92"/>
      <c r="J746" s="92"/>
    </row>
    <row r="747" spans="1:10" ht="77.5">
      <c r="A747" s="190" t="s">
        <v>1135</v>
      </c>
      <c r="B747" s="92" t="str">
        <f>"
Do not answer this question if the scheme follows a Fast Track approach ("&amp;Questions!$D$5&amp;").
"</f>
        <v xml:space="preserve">
Do not answer this question if the scheme follows a Fast Track approach (SH 13.0).
</v>
      </c>
      <c r="C747" s="92" t="str">
        <f>"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47" s="92" t="str">
        <f>"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47"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47" s="92" t="str">
        <f>"
Select ‘Yes’ if the insolvency of an associated company is a trigger for access to value, or ‘No’ if not
"</f>
        <v xml:space="preserve">
Select ‘Yes’ if the insolvency of an associated company is a trigger for access to value, or ‘No’ if not
</v>
      </c>
      <c r="G747" s="92"/>
      <c r="H747" s="92"/>
      <c r="I747" s="92"/>
      <c r="J747" s="92"/>
    </row>
    <row r="748" spans="1:10" ht="77.5">
      <c r="A748" s="190" t="s">
        <v>1137</v>
      </c>
      <c r="B748" s="92" t="str">
        <f>"
Do not answer this question if the scheme follows a Fast Track approach ("&amp;Questions!$D$5&amp;").
"</f>
        <v xml:space="preserve">
Do not answer this question if the scheme follows a Fast Track approach (SH 13.0).
</v>
      </c>
      <c r="C748" s="92" t="str">
        <f>"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48" s="92" t="str">
        <f>"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48"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48" s="92" t="str">
        <f>"
Select ‘Yes’ if non payment of contributions is a trigger for access to value, or ‘No’ if not
"</f>
        <v xml:space="preserve">
Select ‘Yes’ if non payment of contributions is a trigger for access to value, or ‘No’ if not
</v>
      </c>
      <c r="G748" s="92"/>
      <c r="H748" s="92"/>
      <c r="I748" s="92"/>
      <c r="J748" s="92"/>
    </row>
    <row r="749" spans="1:10" ht="77.5">
      <c r="A749" s="190" t="s">
        <v>1139</v>
      </c>
      <c r="B749" s="92" t="str">
        <f>"
Do not answer this question if the scheme follows a Fast Track approach ("&amp;Questions!$D$5&amp;").
"</f>
        <v xml:space="preserve">
Do not answer this question if the scheme follows a Fast Track approach (SH 13.0).
</v>
      </c>
      <c r="C749" s="92" t="str">
        <f>"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49" s="92" t="str">
        <f>"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49"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49" s="92" t="str">
        <f>"
Select ‘Yes’ if crystallisation of investment risk is a trigger for access to value, or ‘No’ if not
"</f>
        <v xml:space="preserve">
Select ‘Yes’ if crystallisation of investment risk is a trigger for access to value, or ‘No’ if not
</v>
      </c>
      <c r="G749" s="92"/>
      <c r="H749" s="92"/>
      <c r="I749" s="92"/>
      <c r="J749" s="92"/>
    </row>
    <row r="750" spans="1:10" ht="77.5">
      <c r="A750" s="190" t="s">
        <v>1141</v>
      </c>
      <c r="B750" s="92" t="str">
        <f>"
Do not answer this question if the scheme follows a Fast Track approach ("&amp;Questions!$D$5&amp;").
"</f>
        <v xml:space="preserve">
Do not answer this question if the scheme follows a Fast Track approach (SH 13.0).
</v>
      </c>
      <c r="C750" s="92" t="str">
        <f>"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50" s="92" t="str">
        <f>"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50"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50" s="92" t="str">
        <f>"
Select ‘Yes’ if Other is a trigger for access to value, or ‘No’ if not
"</f>
        <v xml:space="preserve">
Select ‘Yes’ if Other is a trigger for access to value, or ‘No’ if not
</v>
      </c>
      <c r="G750" s="92"/>
      <c r="H750" s="92"/>
      <c r="I750" s="92"/>
      <c r="J750" s="92"/>
    </row>
    <row r="751" spans="1:10" ht="93">
      <c r="A751" s="190" t="s">
        <v>1143</v>
      </c>
      <c r="B751" s="92" t="str">
        <f>"
Do not answer this question if the scheme follows a Fast Track approach ("&amp;Questions!$D$5&amp;").
"</f>
        <v xml:space="preserve">
Do not answer this question if the scheme follows a Fast Track approach (SH 13.0).
</v>
      </c>
      <c r="C751" s="92" t="str">
        <f>"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51" s="92" t="str">
        <f>"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51" s="92" t="str">
        <f>"
Do not answer this question if the scheme follows a Bespoke approach ("&amp;Questions!$D$5&amp;"), there are one or more securities the trustees wish to include details about ("&amp;Questions!$D$238&amp;") and Other is not a trigger for access to value ("&amp;Questions!$D$303&amp;").
"</f>
        <v xml:space="preserve">
Do not answer this question if the scheme follows a Bespoke approach (SH 13.0), there are one or more securities the trustees wish to include details about (CSI 20.0) and Other is not a trigger for access to value (SEC 15.0/3).
</v>
      </c>
      <c r="F751" s="92" t="str">
        <f>"
You must answer this question if the scheme follows a Bespoke approach ("&amp;Questions!$D$5&amp;"), there are one or more securities the trustees wish to include details about ("&amp;Questions!$D$238&amp;") and Other is a trigger for access to value ("&amp;Questions!$D$303&amp;").
"</f>
        <v xml:space="preserve">
You must answer this question if the scheme follows a Bespoke approach (SH 13.0), there are one or more securities the trustees wish to include details about (CSI 20.0) and Other is a trigger for access to value (SEC 15.0/3).
</v>
      </c>
      <c r="G751" s="92" t="str">
        <f>"
The answer must be no more than 4000 characters
"</f>
        <v xml:space="preserve">
The answer must be no more than 4000 characters
</v>
      </c>
      <c r="H751" s="92"/>
      <c r="I751" s="92"/>
      <c r="J751" s="92"/>
    </row>
    <row r="752" spans="1:10" ht="77.5">
      <c r="A752" s="190" t="s">
        <v>1145</v>
      </c>
      <c r="B752" s="92" t="str">
        <f>"
Do not answer this question if the scheme follows a Fast Track approach ("&amp;Questions!$D$5&amp;").
"</f>
        <v xml:space="preserve">
Do not answer this question if the scheme follows a Fast Track approach (SH 13.0).
</v>
      </c>
      <c r="C752" s="92" t="str">
        <f>"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52" s="92" t="str">
        <f>"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52"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52" s="92" t="str">
        <f>"
The answer must be no more than 4000 characters
"</f>
        <v xml:space="preserve">
The answer must be no more than 4000 characters
</v>
      </c>
      <c r="G752" s="92"/>
      <c r="H752" s="92"/>
      <c r="I752" s="92"/>
      <c r="J752" s="92"/>
    </row>
    <row r="753" spans="1:10" ht="155">
      <c r="A753" s="190" t="s">
        <v>1148</v>
      </c>
      <c r="B753" s="92" t="str">
        <f>"
Do not answer this question if there are no securities the trustees wish to include details about ("&amp;Questions!$D$238&amp;").
"</f>
        <v xml:space="preserve">
Do not answer this question if there are no securities the trustees wish to include details about (CSI 20.0).
</v>
      </c>
      <c r="C753"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D753" s="92" t="str">
        <f>"
You must answer this question if there are one or more securities the trustees wish to include details about ("&amp;Questions!$D$238&amp;").
"</f>
        <v xml:space="preserve">
You must answer this question if there are one or more securities the trustees wish to include details about (CSI 20.0).
</v>
      </c>
      <c r="E753" s="92" t="str">
        <f>"
Select one of the following options from the drop-down list:
• Security over property
• Security over other tangible assets
• Security over intangible assets
• Security over receivable balances
• Cash in escrow
• Co-investment vehicle
• Other
"</f>
        <v xml:space="preserve">
Select one of the following options from the drop-down list:
• Security over property
• Security over other tangible assets
• Security over intangible assets
• Security over receivable balances
• Cash in escrow
• Co-investment vehicle
• Other
</v>
      </c>
      <c r="F753" s="92"/>
      <c r="G753" s="92"/>
      <c r="H753" s="92"/>
      <c r="I753" s="92"/>
      <c r="J753" s="92"/>
    </row>
    <row r="754" spans="1:10" ht="77.5">
      <c r="A754" s="190" t="s">
        <v>1150</v>
      </c>
      <c r="B754" s="92" t="str">
        <f>"
Do not answer this question if there are no securities the trustees wish to include details about ("&amp;Questions!$D$238&amp;").
"</f>
        <v xml:space="preserve">
Do not answer this question if there are no securities the trustees wish to include details about (CSI 20.0).
</v>
      </c>
      <c r="C754"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D754" s="92" t="str">
        <f>"
You must answer this question if there are one or more securities the trustees wish to include details about ("&amp;Questions!$D$238&amp;").
"</f>
        <v xml:space="preserve">
You must answer this question if there are one or more securities the trustees wish to include details about (CSI 20.0).
</v>
      </c>
      <c r="E754" s="92" t="str">
        <f>"
The answer must be no more than 4000 characters
"</f>
        <v xml:space="preserve">
The answer must be no more than 4000 characters
</v>
      </c>
      <c r="F754" s="92"/>
      <c r="G754" s="92"/>
      <c r="H754" s="92"/>
      <c r="I754" s="92"/>
      <c r="J754" s="92"/>
    </row>
    <row r="755" spans="1:10" ht="93">
      <c r="A755" s="190" t="s">
        <v>1152</v>
      </c>
      <c r="B755" s="92" t="str">
        <f>"
Do not answer this question if the scheme follows a Fast Track approach ("&amp;Questions!$D$5&amp;").
"</f>
        <v xml:space="preserve">
Do not answer this question if the scheme follows a Fast Track approach (SH 13.0).
</v>
      </c>
      <c r="C755" s="92" t="str">
        <f>"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55" s="92" t="str">
        <f>"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55"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55" s="92" t="str">
        <f>"
Select one of the following options from the drop-down list:
• Evergreen
• Fixed expiry with a maturity date
• Other
"</f>
        <v xml:space="preserve">
Select one of the following options from the drop-down list:
• Evergreen
• Fixed expiry with a maturity date
• Other
</v>
      </c>
      <c r="G755" s="92"/>
      <c r="H755" s="92"/>
      <c r="I755" s="92"/>
      <c r="J755" s="92"/>
    </row>
    <row r="756" spans="1:10" ht="93">
      <c r="A756" s="190" t="s">
        <v>1154</v>
      </c>
      <c r="B756" s="92" t="str">
        <f>"
Do not answer this question if the scheme follows a Fast Track approach ("&amp;Questions!$D$5&amp;").
"</f>
        <v xml:space="preserve">
Do not answer this question if the scheme follows a Fast Track approach (SH 13.0).
</v>
      </c>
      <c r="C756" s="92" t="str">
        <f>"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56" s="92" t="str">
        <f>"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56" s="92" t="str">
        <f>"
Do not answer this question if the scheme follows a Bespoke approach ("&amp;Questions!$D$5&amp;"), there are one or more securities the trustees wish to include details about ("&amp;Questions!$D$238&amp;") and the contingent asset security is Evergreen or Other ("&amp;Questions!$D$308&amp;").
"</f>
        <v xml:space="preserve">
Do not answer this question if the scheme follows a Bespoke approach (SH 13.0), there are one or more securities the trustees wish to include details about (CSI 20.0) and the contingent asset security is Evergreen or Other (SEC 3.0/4).
</v>
      </c>
      <c r="F756" s="92" t="str">
        <f>"
You must answer this question if the scheme follows a Bespoke approach ("&amp;Questions!$D$5&amp;"), there are one or more securities the trustees wish to include details about ("&amp;Questions!$D$238&amp;") and the contingent asset security maturity date is Fixed expiry with a maturity date ("&amp;Questions!$D$308&amp;").
"</f>
        <v xml:space="preserve">
You must answer this question if the scheme follows a Bespoke approach (SH 13.0), there are one or more securities the trustees wish to include details about (CSI 20.0) and the contingent asset security maturity date is Fixed expiry with a maturity date (SEC 3.0/4).
</v>
      </c>
      <c r="G756" s="92" t="str">
        <f>"
Enter a valid date in the format dd/mm/yyyy 
"</f>
        <v xml:space="preserve">
Enter a valid date in the format dd/mm/yyyy 
</v>
      </c>
      <c r="H756" s="92" t="str">
        <f>"
This date cannot be less than the effective date of the actuarial validation ("&amp;Questions!$D$2&amp;")
"</f>
        <v xml:space="preserve">
This date cannot be less than the effective date of the actuarial validation (SH 8.0)
</v>
      </c>
      <c r="I756" s="92"/>
      <c r="J756" s="92"/>
    </row>
    <row r="757" spans="1:10" ht="93">
      <c r="A757" s="190" t="s">
        <v>1156</v>
      </c>
      <c r="B757" s="92" t="str">
        <f>"
Do not answer this question if the scheme follows a Fast Track approach ("&amp;Questions!$D$5&amp;").
"</f>
        <v xml:space="preserve">
Do not answer this question if the scheme follows a Fast Track approach (SH 13.0).
</v>
      </c>
      <c r="C757" s="92" t="str">
        <f>"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57" s="92" t="str">
        <f>"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57" s="92" t="str">
        <f>"
Do not answer this question if the scheme follows a Bespoke approach ("&amp;Questions!$D$5&amp;"), there are one or more securities the trustees wish to include details about ("&amp;Questions!$D$238&amp;") and the contingent asset security is not Other ("&amp;Questions!$D$308&amp;").
"</f>
        <v xml:space="preserve">
Do not answer this question if the scheme follows a Bespoke approach (SH 13.0), there are one or more securities the trustees wish to include details about (CSI 20.0) and the contingent asset security is not Other (SEC 3.0/4).
</v>
      </c>
      <c r="F757" s="92" t="str">
        <f>"
You must answer this question if the scheme follows a Bespoke approach ("&amp;Questions!$D$5&amp;"), there are one or more securities the trustees wish to include details about ("&amp;Questions!$D$238&amp;") and the contingent asset security maturity date is Other ("&amp;Questions!$D$308&amp;").
"</f>
        <v xml:space="preserve">
You must answer this question if the scheme follows a Bespoke approach (SH 13.0), there are one or more securities the trustees wish to include details about (CSI 20.0) and the contingent asset security maturity date is Other (SEC 3.0/4).
</v>
      </c>
      <c r="G757" s="92" t="str">
        <f>"
The answer must be no more than 4000 characters
"</f>
        <v xml:space="preserve">
The answer must be no more than 4000 characters
</v>
      </c>
      <c r="H757" s="92"/>
      <c r="I757" s="92"/>
      <c r="J757" s="92"/>
    </row>
    <row r="758" spans="1:10" ht="77.5">
      <c r="A758" s="190" t="s">
        <v>1158</v>
      </c>
      <c r="B758" s="92" t="str">
        <f>"
Do not answer this question if there are no securities the trustees wish to include details about ("&amp;Questions!$D$238&amp;").
"</f>
        <v xml:space="preserve">
Do not answer this question if there are no securities the trustees wish to include details about (CSI 20.0).
</v>
      </c>
      <c r="C758"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D758" s="92" t="str">
        <f>"
You must answer this question if there are one or more securities the trustees wish to include details about ("&amp;Questions!$D$238&amp;").
"</f>
        <v xml:space="preserve">
You must answer this question if there are one or more securities the trustees wish to include details about (CSI 20.0).
</v>
      </c>
      <c r="E758" s="92" t="str">
        <f t="shared" ref="E758" si="29">"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F758" s="92"/>
      <c r="G758" s="92"/>
      <c r="H758" s="92"/>
      <c r="I758" s="92"/>
      <c r="J758" s="92"/>
    </row>
    <row r="759" spans="1:10" ht="77.5">
      <c r="A759" s="190" t="s">
        <v>1160</v>
      </c>
      <c r="B759" s="92" t="str">
        <f>"
Do not answer this question if there are no securities the trustees wish to include details about ("&amp;Questions!$D$238&amp;").
"</f>
        <v xml:space="preserve">
Do not answer this question if there are no securities the trustees wish to include details about (CSI 20.0).
</v>
      </c>
      <c r="C759"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D759" s="92" t="str">
        <f>"
You must answer this question if there are one or more securities the trustees wish to include details about ("&amp;Questions!$D$238&amp;").
"</f>
        <v xml:space="preserve">
You must answer this question if there are one or more securities the trustees wish to include details about (CSI 20.0).
</v>
      </c>
      <c r="E759" s="92" t="str">
        <f>"
Enter a valid date that is less than or equal to today in the format dd/mm/yyyy 
"</f>
        <v xml:space="preserve">
Enter a valid date that is less than or equal to today in the format dd/mm/yyyy 
</v>
      </c>
      <c r="F759" s="92" t="str">
        <f>"
Enter a valid date that is less than or equal to today in the format dd/mm/yyyy
"</f>
        <v xml:space="preserve">
Enter a valid date that is less than or equal to today in the format dd/mm/yyyy
</v>
      </c>
      <c r="G759" s="92"/>
      <c r="H759" s="92"/>
      <c r="I759" s="92"/>
      <c r="J759" s="92"/>
    </row>
    <row r="760" spans="1:10" ht="124">
      <c r="A760" s="190" t="s">
        <v>1162</v>
      </c>
      <c r="B760" s="92" t="str">
        <f>"
Do not answer this question if the scheme follows a Fast Track approach ("&amp;Questions!$D$5&amp;").
"</f>
        <v xml:space="preserve">
Do not answer this question if the scheme follows a Fast Track approach (SH 13.0).
</v>
      </c>
      <c r="C760" s="92" t="str">
        <f>"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60" s="92" t="str">
        <f>"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60"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60" s="92" t="s">
        <v>3768</v>
      </c>
      <c r="G760" s="92"/>
      <c r="H760" s="92"/>
      <c r="I760" s="92"/>
      <c r="J760" s="92"/>
    </row>
    <row r="761" spans="1:10" ht="93">
      <c r="A761" s="190" t="s">
        <v>1164</v>
      </c>
      <c r="B761" s="92" t="str">
        <f>"
Do not answer this question if the scheme follows a Fast Track approach ("&amp;Questions!$D$5&amp;").
"</f>
        <v xml:space="preserve">
Do not answer this question if the scheme follows a Fast Track approach (SH 13.0).
</v>
      </c>
      <c r="C761" s="92" t="str">
        <f>"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61" s="92" t="str">
        <f>"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61" s="92" t="str">
        <f>"
Do not answer this question if the scheme follows a Bespoke approach ("&amp;Questions!$D$5&amp;"), there are one or more securities the trustees wish to include details about ("&amp;Questions!$D$238&amp;") and the contingent asset security is not Other ("&amp;Questions!$D$313&amp;").
"</f>
        <v xml:space="preserve">
Do not answer this question if the scheme follows a Bespoke approach (SH 13.0), there are one or more securities the trustees wish to include details about (CSI 20.0) and the contingent asset security is not Other (SEC 8.0/4).
</v>
      </c>
      <c r="F761" s="92" t="str">
        <f>"
You must answer this question if the scheme follows a Bespoke approach ("&amp;Questions!$D$5&amp;"), there are one or more securities the trustees wish to include details about ("&amp;Questions!$D$238&amp;") and the contingent asset security value cap is Other ("&amp;Questions!$D$313&amp;").
"</f>
        <v xml:space="preserve">
You must answer this question if the scheme follows a Bespoke approach (SH 13.0), there are one or more securities the trustees wish to include details about (CSI 20.0) and the contingent asset security value cap is Other (SEC 8.0/4).
</v>
      </c>
      <c r="G761" s="92" t="str">
        <f>"
The answer must be no more than 4000 characters
"</f>
        <v xml:space="preserve">
The answer must be no more than 4000 characters
</v>
      </c>
      <c r="H761" s="92"/>
      <c r="I761" s="92"/>
      <c r="J761" s="92"/>
    </row>
    <row r="762" spans="1:10" ht="77.5">
      <c r="A762" s="190" t="s">
        <v>1166</v>
      </c>
      <c r="B762" s="92" t="str">
        <f>"
Do not answer this question if the scheme follows a Fast Track approach ("&amp;Questions!$D$5&amp;").
"</f>
        <v xml:space="preserve">
Do not answer this question if the scheme follows a Fast Track approach (SH 13.0).
</v>
      </c>
      <c r="C762" s="92" t="str">
        <f>"
Do not answer this question if the scheme has no contingent asset securities for which the trustees wish to include details ("&amp;Questions!$D$238&amp;").
"</f>
        <v xml:space="preserve">
Do not answer this question if the scheme has no contingent asset securities for which the trustees wish to include details (CSI 20.0).
</v>
      </c>
      <c r="D762" s="92" t="str">
        <f>"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62" s="92" t="str">
        <f>"
Do not answer this question if the contingent asset security value cap is not Fixed Cap ("&amp;Questions!$D$313&amp;").
"</f>
        <v xml:space="preserve">
Do not answer this question if the contingent asset security value cap is not Fixed Cap (SEC 8.0/4).
</v>
      </c>
      <c r="F762" s="92" t="str">
        <f>"
You must answer this question if the contingent asset security value cap is Fixed Cap ("&amp;Questions!$D$313&amp;").
"</f>
        <v xml:space="preserve">
You must answer this question if the contingent asset security value cap is Fixed Cap (SEC 8.0/4).
</v>
      </c>
      <c r="G762" s="92" t="str">
        <f t="shared" ref="G762" si="30">"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H762" s="92"/>
      <c r="I762" s="92"/>
      <c r="J762" s="92"/>
    </row>
    <row r="763" spans="1:10" ht="77.5">
      <c r="A763" s="190" t="s">
        <v>1168</v>
      </c>
      <c r="B763" s="92" t="str">
        <f>"
Do not answer this question if the scheme follows a Fast Track approach ("&amp;Questions!$D$5&amp;").
"</f>
        <v xml:space="preserve">
Do not answer this question if the scheme follows a Fast Track approach (SH 13.0).
</v>
      </c>
      <c r="C763" s="92" t="str">
        <f>"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63" s="92" t="str">
        <f>"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63"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63" s="92" t="str">
        <f>"
Select ‘Yes’ if participating employer insolvency is a trigger for access to value, or ‘No’ if not
"</f>
        <v xml:space="preserve">
Select ‘Yes’ if participating employer insolvency is a trigger for access to value, or ‘No’ if not
</v>
      </c>
      <c r="G763" s="92"/>
      <c r="H763" s="92"/>
      <c r="I763" s="92"/>
      <c r="J763" s="92"/>
    </row>
    <row r="764" spans="1:10" ht="77.5">
      <c r="A764" s="190" t="s">
        <v>1170</v>
      </c>
      <c r="B764" s="92" t="str">
        <f>"
Do not answer this question if the scheme follows a Fast Track approach ("&amp;Questions!$D$5&amp;").
"</f>
        <v xml:space="preserve">
Do not answer this question if the scheme follows a Fast Track approach (SH 13.0).
</v>
      </c>
      <c r="C764" s="92" t="str">
        <f>"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64" s="92" t="str">
        <f>"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64"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64" s="92" t="str">
        <f>"
Select ‘Yes’ if the insolvency of an associated company is a trigger for access to value, or ‘No’ if not
"</f>
        <v xml:space="preserve">
Select ‘Yes’ if the insolvency of an associated company is a trigger for access to value, or ‘No’ if not
</v>
      </c>
      <c r="G764" s="92"/>
      <c r="H764" s="92"/>
      <c r="I764" s="92"/>
      <c r="J764" s="92"/>
    </row>
    <row r="765" spans="1:10" ht="77.5">
      <c r="A765" s="190" t="s">
        <v>1172</v>
      </c>
      <c r="B765" s="92" t="str">
        <f>"
Do not answer this question if the scheme follows a Fast Track approach ("&amp;Questions!$D$5&amp;").
"</f>
        <v xml:space="preserve">
Do not answer this question if the scheme follows a Fast Track approach (SH 13.0).
</v>
      </c>
      <c r="C765" s="92" t="str">
        <f>"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65" s="92" t="str">
        <f>"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65"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65" s="92" t="str">
        <f>"
Select ‘Yes’ if non payment of contributions is a trigger for access to value, or ‘No’ if not
"</f>
        <v xml:space="preserve">
Select ‘Yes’ if non payment of contributions is a trigger for access to value, or ‘No’ if not
</v>
      </c>
      <c r="G765" s="92"/>
      <c r="H765" s="92"/>
      <c r="I765" s="92"/>
      <c r="J765" s="92"/>
    </row>
    <row r="766" spans="1:10" ht="77.5">
      <c r="A766" s="190" t="s">
        <v>1174</v>
      </c>
      <c r="B766" s="92" t="str">
        <f>"
Do not answer this question if the scheme follows a Fast Track approach ("&amp;Questions!$D$5&amp;").
"</f>
        <v xml:space="preserve">
Do not answer this question if the scheme follows a Fast Track approach (SH 13.0).
</v>
      </c>
      <c r="C766" s="92" t="str">
        <f>"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66" s="92" t="str">
        <f>"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66"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66" s="92" t="str">
        <f>"
Select ‘Yes’ if crystallisation of investment risk is a trigger for access to value, or ‘No’ if not
"</f>
        <v xml:space="preserve">
Select ‘Yes’ if crystallisation of investment risk is a trigger for access to value, or ‘No’ if not
</v>
      </c>
      <c r="G766" s="92"/>
      <c r="H766" s="92"/>
      <c r="I766" s="92"/>
      <c r="J766" s="92"/>
    </row>
    <row r="767" spans="1:10" ht="77.5">
      <c r="A767" s="190" t="s">
        <v>1176</v>
      </c>
      <c r="B767" s="92" t="str">
        <f>"
Do not answer this question if the scheme follows a Fast Track approach ("&amp;Questions!$D$5&amp;").
"</f>
        <v xml:space="preserve">
Do not answer this question if the scheme follows a Fast Track approach (SH 13.0).
</v>
      </c>
      <c r="C767" s="92" t="str">
        <f>"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67" s="92" t="str">
        <f>"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67"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67" s="92" t="str">
        <f>"
Select ‘Yes’ if Other is a trigger for access to value, or ‘No’ if not
"</f>
        <v xml:space="preserve">
Select ‘Yes’ if Other is a trigger for access to value, or ‘No’ if not
</v>
      </c>
      <c r="G767" s="92"/>
      <c r="H767" s="92"/>
      <c r="I767" s="92"/>
      <c r="J767" s="92"/>
    </row>
    <row r="768" spans="1:10" ht="93">
      <c r="A768" s="190" t="s">
        <v>1178</v>
      </c>
      <c r="B768" s="92" t="str">
        <f>"
Do not answer this question if the scheme follows a Fast Track approach ("&amp;Questions!$D$5&amp;").
"</f>
        <v xml:space="preserve">
Do not answer this question if the scheme follows a Fast Track approach (SH 13.0).
</v>
      </c>
      <c r="C768" s="92" t="str">
        <f>"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68" s="92" t="str">
        <f>"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68" s="92" t="str">
        <f>"
Do not answer this question if the scheme follows a Bespoke approach ("&amp;Questions!$D$5&amp;"), there are one or more securities the trustees wish to include details about ("&amp;Questions!$D$238&amp;") and Other is not a trigger for access to value ("&amp;Questions!$D$320&amp;").
"</f>
        <v xml:space="preserve">
Do not answer this question if the scheme follows a Bespoke approach (SH 13.0), there are one or more securities the trustees wish to include details about (CSI 20.0) and Other is not a trigger for access to value (SEC 15.0/4).
</v>
      </c>
      <c r="F768" s="92" t="str">
        <f>"
You must answer this question if the scheme follows a Bespoke approach ("&amp;Questions!$D$5&amp;"), there are one or more securities the trustees wish to include details about ("&amp;Questions!$D$238&amp;") and Other is a trigger for access to value ("&amp;Questions!$D$320&amp;").
"</f>
        <v xml:space="preserve">
You must answer this question if the scheme follows a Bespoke approach (SH 13.0), there are one or more securities the trustees wish to include details about (CSI 20.0) and Other is a trigger for access to value (SEC 15.0/4).
</v>
      </c>
      <c r="G768" s="92" t="str">
        <f>"
The answer must be no more than 4000 characters
"</f>
        <v xml:space="preserve">
The answer must be no more than 4000 characters
</v>
      </c>
      <c r="H768" s="92"/>
      <c r="I768" s="92"/>
      <c r="J768" s="92"/>
    </row>
    <row r="769" spans="1:10" ht="77.5">
      <c r="A769" s="190" t="s">
        <v>1180</v>
      </c>
      <c r="B769" s="92" t="str">
        <f>"
Do not answer this question if the scheme follows a Fast Track approach ("&amp;Questions!$D$5&amp;").
"</f>
        <v xml:space="preserve">
Do not answer this question if the scheme follows a Fast Track approach (SH 13.0).
</v>
      </c>
      <c r="C769" s="92" t="str">
        <f>"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69" s="92" t="str">
        <f>"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69"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69" s="92" t="str">
        <f>"
The answer must be no more than 4000 characters
"</f>
        <v xml:space="preserve">
The answer must be no more than 4000 characters
</v>
      </c>
      <c r="G769" s="92"/>
      <c r="H769" s="92"/>
      <c r="I769" s="92"/>
      <c r="J769" s="92"/>
    </row>
    <row r="770" spans="1:10" ht="155">
      <c r="A770" s="190" t="s">
        <v>3517</v>
      </c>
      <c r="B770" s="92" t="str">
        <f>"
Do not answer this question if there are no securities the trustees wish to include details about ("&amp;Questions!$D$238&amp;").
"</f>
        <v xml:space="preserve">
Do not answer this question if there are no securities the trustees wish to include details about (CSI 20.0).
</v>
      </c>
      <c r="C770"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D770" s="92" t="str">
        <f>"
You must answer this question if there are one or more securities the trustees wish to include details about ("&amp;Questions!$D$238&amp;").
"</f>
        <v xml:space="preserve">
You must answer this question if there are one or more securities the trustees wish to include details about (CSI 20.0).
</v>
      </c>
      <c r="E770" s="92" t="str">
        <f>"
Select one of the following options from the drop-down list:
• Security over property
• Security over other tangible assets
• Security over intangible assets
• Security over receivable balances
• Cash in escrow
• Co-investment vehicle
• Other
"</f>
        <v xml:space="preserve">
Select one of the following options from the drop-down list:
• Security over property
• Security over other tangible assets
• Security over intangible assets
• Security over receivable balances
• Cash in escrow
• Co-investment vehicle
• Other
</v>
      </c>
      <c r="F770" s="92"/>
      <c r="G770" s="92"/>
      <c r="H770" s="92"/>
      <c r="I770" s="92"/>
      <c r="J770" s="92"/>
    </row>
    <row r="771" spans="1:10" ht="77.5">
      <c r="A771" s="190" t="s">
        <v>1184</v>
      </c>
      <c r="B771" s="92" t="str">
        <f>"
Do not answer this question if there are no securities the trustees wish to include details about ("&amp;Questions!$D$238&amp;").
"</f>
        <v xml:space="preserve">
Do not answer this question if there are no securities the trustees wish to include details about (CSI 20.0).
</v>
      </c>
      <c r="C771"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D771" s="92" t="str">
        <f>"
You must answer this question if there are one or more securities the trustees wish to include details about ("&amp;Questions!$D$238&amp;").
"</f>
        <v xml:space="preserve">
You must answer this question if there are one or more securities the trustees wish to include details about (CSI 20.0).
</v>
      </c>
      <c r="E771" s="92" t="str">
        <f>"
The answer must be no more than 4000 characters
"</f>
        <v xml:space="preserve">
The answer must be no more than 4000 characters
</v>
      </c>
      <c r="F771" s="92"/>
      <c r="G771" s="92"/>
      <c r="H771" s="92"/>
      <c r="I771" s="92"/>
      <c r="J771" s="92"/>
    </row>
    <row r="772" spans="1:10" ht="93">
      <c r="A772" s="190" t="s">
        <v>1186</v>
      </c>
      <c r="B772" s="92" t="str">
        <f>"
Do not answer this question if the scheme follows a Fast Track approach ("&amp;Questions!$D$5&amp;").
"</f>
        <v xml:space="preserve">
Do not answer this question if the scheme follows a Fast Track approach (SH 13.0).
</v>
      </c>
      <c r="C772" s="92" t="str">
        <f>"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72" s="92" t="str">
        <f>"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72"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72" s="92" t="str">
        <f>"
Select one of the following options from the drop-down list:
• Evergreen
• Fixed expiry with a maturity date
• Other
"</f>
        <v xml:space="preserve">
Select one of the following options from the drop-down list:
• Evergreen
• Fixed expiry with a maturity date
• Other
</v>
      </c>
      <c r="G772" s="92"/>
      <c r="H772" s="92"/>
      <c r="I772" s="92"/>
      <c r="J772" s="92"/>
    </row>
    <row r="773" spans="1:10" ht="93">
      <c r="A773" s="190" t="s">
        <v>1188</v>
      </c>
      <c r="B773" s="92" t="str">
        <f>"
Do not answer this question if the scheme follows a Fast Track approach ("&amp;Questions!$D$5&amp;").
"</f>
        <v xml:space="preserve">
Do not answer this question if the scheme follows a Fast Track approach (SH 13.0).
</v>
      </c>
      <c r="C773" s="92" t="str">
        <f>"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73" s="92" t="str">
        <f>"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73" s="92" t="str">
        <f>"
Do not answer this question if the scheme follows a Bespoke approach ("&amp;Questions!$D$5&amp;"), there are one or more securities the trustees wish to include details about ("&amp;Questions!$D$238&amp;") and the contingent asset security is Evergreen or Other ("&amp;Questions!$D$325&amp;").
"</f>
        <v xml:space="preserve">
Do not answer this question if the scheme follows a Bespoke approach (SH 13.0), there are one or more securities the trustees wish to include details about (CSI 20.0) and the contingent asset security is Evergreen or Other (SEC 3.0/5).
</v>
      </c>
      <c r="F773" s="92" t="str">
        <f>"
You must answer this question if the scheme follows a Bespoke approach ("&amp;Questions!$D$5&amp;"), there are one or more securities the trustees wish to include details about ("&amp;Questions!$D$238&amp;") and the contingent asset security maturity date is Fixed expiry with a maturity date ("&amp;Questions!$D$325&amp;").
"</f>
        <v xml:space="preserve">
You must answer this question if the scheme follows a Bespoke approach (SH 13.0), there are one or more securities the trustees wish to include details about (CSI 20.0) and the contingent asset security maturity date is Fixed expiry with a maturity date (SEC 3.0/5).
</v>
      </c>
      <c r="G773" s="92" t="str">
        <f>"
Enter a valid date in the format dd/mm/yyyy 
"</f>
        <v xml:space="preserve">
Enter a valid date in the format dd/mm/yyyy 
</v>
      </c>
      <c r="H773" s="92" t="str">
        <f>"
This date cannot be less than the effective date of the actuarial validation ("&amp;Questions!$D$2&amp;")
"</f>
        <v xml:space="preserve">
This date cannot be less than the effective date of the actuarial validation (SH 8.0)
</v>
      </c>
      <c r="I773" s="92"/>
      <c r="J773" s="92"/>
    </row>
    <row r="774" spans="1:10" ht="93">
      <c r="A774" s="190" t="s">
        <v>1190</v>
      </c>
      <c r="B774" s="92" t="str">
        <f>"
Do not answer this question if the scheme follows a Fast Track approach ("&amp;Questions!$D$5&amp;").
"</f>
        <v xml:space="preserve">
Do not answer this question if the scheme follows a Fast Track approach (SH 13.0).
</v>
      </c>
      <c r="C774" s="92" t="str">
        <f>"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74" s="92" t="str">
        <f>"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74" s="92" t="str">
        <f>"
Do not answer this question if the scheme follows a Bespoke approach ("&amp;Questions!$D$5&amp;"), there are one or more securities the trustees wish to include details about ("&amp;Questions!$D$238&amp;") and the contingent asset security is not Other ("&amp;Questions!$D$325&amp;").
"</f>
        <v xml:space="preserve">
Do not answer this question if the scheme follows a Bespoke approach (SH 13.0), there are one or more securities the trustees wish to include details about (CSI 20.0) and the contingent asset security is not Other (SEC 3.0/5).
</v>
      </c>
      <c r="F774" s="92" t="str">
        <f>"
You must answer this question if the scheme follows a Bespoke approach ("&amp;Questions!$D$5&amp;"), there are one or more securities the trustees wish to include details about ("&amp;Questions!$D$238&amp;") and the contingent asset security maturity date is Other ("&amp;Questions!$D$325&amp;").
"</f>
        <v xml:space="preserve">
You must answer this question if the scheme follows a Bespoke approach (SH 13.0), there are one or more securities the trustees wish to include details about (CSI 20.0) and the contingent asset security maturity date is Other (SEC 3.0/5).
</v>
      </c>
      <c r="G774" s="92" t="str">
        <f>"
The answer must be no more than 4000 characters
"</f>
        <v xml:space="preserve">
The answer must be no more than 4000 characters
</v>
      </c>
      <c r="H774" s="92"/>
      <c r="I774" s="92"/>
      <c r="J774" s="92"/>
    </row>
    <row r="775" spans="1:10" ht="77.5">
      <c r="A775" s="190" t="s">
        <v>1192</v>
      </c>
      <c r="B775" s="92" t="str">
        <f>"
Do not answer this question if there are no securities the trustees wish to include details about ("&amp;Questions!$D$238&amp;").
"</f>
        <v xml:space="preserve">
Do not answer this question if there are no securities the trustees wish to include details about (CSI 20.0).
</v>
      </c>
      <c r="C775"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D775" s="92" t="str">
        <f>"
You must answer this question if there are one or more securities the trustees wish to include details about ("&amp;Questions!$D$238&amp;").
"</f>
        <v xml:space="preserve">
You must answer this question if there are one or more securities the trustees wish to include details about (CSI 20.0).
</v>
      </c>
      <c r="E775" s="92" t="str">
        <f t="shared" ref="E775" si="31">"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F775" s="92"/>
      <c r="G775" s="92"/>
      <c r="H775" s="92"/>
      <c r="I775" s="92"/>
      <c r="J775" s="92"/>
    </row>
    <row r="776" spans="1:10" ht="77.5">
      <c r="A776" s="190" t="s">
        <v>1194</v>
      </c>
      <c r="B776" s="92" t="str">
        <f>"
Do not answer this question if there are no securities the trustees wish to include details about ("&amp;Questions!$D$238&amp;").
"</f>
        <v xml:space="preserve">
Do not answer this question if there are no securities the trustees wish to include details about (CSI 20.0).
</v>
      </c>
      <c r="C776" s="92" t="str">
        <f>"
Do not answer this question if you have already provided the details for the number of securities the trustees wish to include details about in ("&amp;Questions!$D$238&amp;").
"</f>
        <v xml:space="preserve">
Do not answer this question if you have already provided the details for the number of securities the trustees wish to include details about in (CSI 20.0).
</v>
      </c>
      <c r="D776" s="92" t="str">
        <f>"
You must answer this question if there are one or more securities the trustees wish to include details about ("&amp;Questions!$D$238&amp;").
"</f>
        <v xml:space="preserve">
You must answer this question if there are one or more securities the trustees wish to include details about (CSI 20.0).
</v>
      </c>
      <c r="E776" s="92" t="str">
        <f>"
Enter a valid date that is less than or equal to today in the format dd/mm/yyyy 
"</f>
        <v xml:space="preserve">
Enter a valid date that is less than or equal to today in the format dd/mm/yyyy 
</v>
      </c>
      <c r="F776" s="92" t="str">
        <f>"
Enter a valid date that is less than or equal to today in the format dd/mm/yyyy
"</f>
        <v xml:space="preserve">
Enter a valid date that is less than or equal to today in the format dd/mm/yyyy
</v>
      </c>
      <c r="G776" s="92"/>
      <c r="H776" s="92"/>
      <c r="I776" s="92"/>
      <c r="J776" s="92"/>
    </row>
    <row r="777" spans="1:10" ht="124">
      <c r="A777" s="190" t="s">
        <v>1196</v>
      </c>
      <c r="B777" s="92" t="str">
        <f>"
Do not answer this question if the scheme follows a Fast Track approach ("&amp;Questions!$D$5&amp;").
"</f>
        <v xml:space="preserve">
Do not answer this question if the scheme follows a Fast Track approach (SH 13.0).
</v>
      </c>
      <c r="C777" s="92" t="str">
        <f>"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77" s="92" t="str">
        <f>"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77"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77" s="92" t="s">
        <v>3768</v>
      </c>
      <c r="G777" s="92"/>
      <c r="H777" s="92"/>
      <c r="I777" s="92"/>
      <c r="J777" s="92"/>
    </row>
    <row r="778" spans="1:10" ht="93">
      <c r="A778" s="190" t="s">
        <v>1198</v>
      </c>
      <c r="B778" s="92" t="str">
        <f>"
Do not answer this question if the scheme follows a Fast Track approach ("&amp;Questions!$D$5&amp;").
"</f>
        <v xml:space="preserve">
Do not answer this question if the scheme follows a Fast Track approach (SH 13.0).
</v>
      </c>
      <c r="C778" s="92" t="str">
        <f>"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78" s="92" t="str">
        <f>"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78" s="92" t="str">
        <f>"
Do not answer this question if the scheme follows a Bespoke approach ("&amp;Questions!$D$5&amp;"), there are one or more securities the trustees wish to include details about ("&amp;Questions!$D$238&amp;") and the contingent asset security is not Other ("&amp;Questions!$D$330&amp;").
"</f>
        <v xml:space="preserve">
Do not answer this question if the scheme follows a Bespoke approach (SH 13.0), there are one or more securities the trustees wish to include details about (CSI 20.0) and the contingent asset security is not Other (SEC 8.0/5).
</v>
      </c>
      <c r="F778" s="92" t="str">
        <f>"
You must answer this question if the scheme follows a Bespoke approach ("&amp;Questions!$D$5&amp;"), there are one or more securities the trustees wish to include details about ("&amp;Questions!$D$238&amp;") and the contingent asset security value cap is Other ("&amp;Questions!$D$330&amp;").
"</f>
        <v xml:space="preserve">
You must answer this question if the scheme follows a Bespoke approach (SH 13.0), there are one or more securities the trustees wish to include details about (CSI 20.0) and the contingent asset security value cap is Other (SEC 8.0/5).
</v>
      </c>
      <c r="G778" s="92" t="str">
        <f>"
The answer must be no more than 4000 characters
"</f>
        <v xml:space="preserve">
The answer must be no more than 4000 characters
</v>
      </c>
      <c r="H778" s="92"/>
      <c r="I778" s="92"/>
      <c r="J778" s="92"/>
    </row>
    <row r="779" spans="1:10" ht="77.5">
      <c r="A779" s="190" t="s">
        <v>1200</v>
      </c>
      <c r="B779" s="92" t="str">
        <f>"
Do not answer this question if the scheme follows a Fast Track approach ("&amp;Questions!$D$5&amp;").
"</f>
        <v xml:space="preserve">
Do not answer this question if the scheme follows a Fast Track approach (SH 13.0).
</v>
      </c>
      <c r="C779" s="92" t="str">
        <f>"
Do not answer this question if the scheme has no contingent asset securities for which the trustees wish to include details ("&amp;Questions!$D$238&amp;").
"</f>
        <v xml:space="preserve">
Do not answer this question if the scheme has no contingent asset securities for which the trustees wish to include details (CSI 20.0).
</v>
      </c>
      <c r="D779" s="92" t="str">
        <f>"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79" s="92" t="str">
        <f>"
Do not answer this question if the contingent asset security value cap is not Fixed Cap ("&amp;Questions!$D$330&amp;").
"</f>
        <v xml:space="preserve">
Do not answer this question if the contingent asset security value cap is not Fixed Cap (SEC 8.0/5).
</v>
      </c>
      <c r="F779" s="92" t="str">
        <f>"
You must answer this question if the contingent asset security value cap is Fixed Cap ("&amp;Questions!$D$330&amp;").
"</f>
        <v xml:space="preserve">
You must answer this question if the contingent asset security value cap is Fixed Cap (SEC 8.0/5).
</v>
      </c>
      <c r="G779" s="92" t="str">
        <f t="shared" ref="G779" si="32">"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H779" s="92"/>
      <c r="I779" s="92"/>
      <c r="J779" s="92"/>
    </row>
    <row r="780" spans="1:10" ht="77.5">
      <c r="A780" s="190" t="s">
        <v>1202</v>
      </c>
      <c r="B780" s="92" t="str">
        <f>"
Do not answer this question if the scheme follows a Fast Track approach ("&amp;Questions!$D$5&amp;").
"</f>
        <v xml:space="preserve">
Do not answer this question if the scheme follows a Fast Track approach (SH 13.0).
</v>
      </c>
      <c r="C780" s="92" t="str">
        <f>"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80" s="92" t="str">
        <f>"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80"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80" s="92" t="str">
        <f>"
Select ‘Yes’ if participating employer insolvency is a trigger for access to value, or ‘No’ if not
"</f>
        <v xml:space="preserve">
Select ‘Yes’ if participating employer insolvency is a trigger for access to value, or ‘No’ if not
</v>
      </c>
      <c r="G780" s="92"/>
      <c r="H780" s="92"/>
      <c r="I780" s="92"/>
      <c r="J780" s="92"/>
    </row>
    <row r="781" spans="1:10" ht="77.5">
      <c r="A781" s="190" t="s">
        <v>1204</v>
      </c>
      <c r="B781" s="92" t="str">
        <f>"
Do not answer this question if the scheme follows a Fast Track approach ("&amp;Questions!$D$5&amp;").
"</f>
        <v xml:space="preserve">
Do not answer this question if the scheme follows a Fast Track approach (SH 13.0).
</v>
      </c>
      <c r="C781" s="92" t="str">
        <f>"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81" s="92" t="str">
        <f>"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81"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81" s="92" t="str">
        <f>"
Select ‘Yes’ if the insolvency of an associated company is a trigger for access to value, or ‘No’ if not
"</f>
        <v xml:space="preserve">
Select ‘Yes’ if the insolvency of an associated company is a trigger for access to value, or ‘No’ if not
</v>
      </c>
      <c r="G781" s="92"/>
      <c r="H781" s="92"/>
      <c r="I781" s="92"/>
      <c r="J781" s="92"/>
    </row>
    <row r="782" spans="1:10" ht="77.5">
      <c r="A782" s="190" t="s">
        <v>1206</v>
      </c>
      <c r="B782" s="92" t="str">
        <f>"
Do not answer this question if the scheme follows a Fast Track approach ("&amp;Questions!$D$5&amp;").
"</f>
        <v xml:space="preserve">
Do not answer this question if the scheme follows a Fast Track approach (SH 13.0).
</v>
      </c>
      <c r="C782" s="92" t="str">
        <f>"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82" s="92" t="str">
        <f>"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82"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82" s="92" t="str">
        <f>"
Select ‘Yes’ if non payment of contributions is a trigger for access to value, or ‘No’ if not
"</f>
        <v xml:space="preserve">
Select ‘Yes’ if non payment of contributions is a trigger for access to value, or ‘No’ if not
</v>
      </c>
      <c r="G782" s="92"/>
      <c r="H782" s="92"/>
      <c r="I782" s="92"/>
      <c r="J782" s="92"/>
    </row>
    <row r="783" spans="1:10" ht="77.5">
      <c r="A783" s="190" t="s">
        <v>1208</v>
      </c>
      <c r="B783" s="92" t="str">
        <f>"
Do not answer this question if the scheme follows a Fast Track approach ("&amp;Questions!$D$5&amp;").
"</f>
        <v xml:space="preserve">
Do not answer this question if the scheme follows a Fast Track approach (SH 13.0).
</v>
      </c>
      <c r="C783" s="92" t="str">
        <f>"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83" s="92" t="str">
        <f>"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83"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83" s="92" t="str">
        <f>"
Select ‘Yes’ if crystallisation of investment risk is a trigger for access to value, or ‘No’ if not
"</f>
        <v xml:space="preserve">
Select ‘Yes’ if crystallisation of investment risk is a trigger for access to value, or ‘No’ if not
</v>
      </c>
      <c r="G783" s="92"/>
      <c r="H783" s="92"/>
      <c r="I783" s="92"/>
      <c r="J783" s="92"/>
    </row>
    <row r="784" spans="1:10" ht="77.5">
      <c r="A784" s="190" t="s">
        <v>1210</v>
      </c>
      <c r="B784" s="92" t="str">
        <f>"
Do not answer this question if the scheme follows a Fast Track approach ("&amp;Questions!$D$5&amp;").
"</f>
        <v xml:space="preserve">
Do not answer this question if the scheme follows a Fast Track approach (SH 13.0).
</v>
      </c>
      <c r="C784" s="92" t="str">
        <f>"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84" s="92" t="str">
        <f>"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84"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84" s="92" t="str">
        <f>"
Select ‘Yes’ if Other is a trigger for access to value, or ‘No’ if not
"</f>
        <v xml:space="preserve">
Select ‘Yes’ if Other is a trigger for access to value, or ‘No’ if not
</v>
      </c>
      <c r="G784" s="92"/>
      <c r="H784" s="92"/>
      <c r="I784" s="92"/>
      <c r="J784" s="92"/>
    </row>
    <row r="785" spans="1:10" ht="93">
      <c r="A785" s="190" t="s">
        <v>1212</v>
      </c>
      <c r="B785" s="92" t="str">
        <f>"
Do not answer this question if the scheme follows a Fast Track approach ("&amp;Questions!$D$5&amp;").
"</f>
        <v xml:space="preserve">
Do not answer this question if the scheme follows a Fast Track approach (SH 13.0).
</v>
      </c>
      <c r="C785" s="92" t="str">
        <f>"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85" s="92" t="str">
        <f>"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85" s="92" t="str">
        <f>"
Do not answer this question if the scheme follows a Bespoke approach ("&amp;Questions!$D$5&amp;"), there are one or more securities the trustees wish to include details about ("&amp;Questions!$D$238&amp;") and Other is not a trigger for access to value ("&amp;Questions!$D$337&amp;").
"</f>
        <v xml:space="preserve">
Do not answer this question if the scheme follows a Bespoke approach (SH 13.0), there are one or more securities the trustees wish to include details about (CSI 20.0) and Other is not a trigger for access to value (SEC 15.0/5).
</v>
      </c>
      <c r="F785" s="92" t="str">
        <f>"
You must answer this question if the scheme follows a Bespoke approach ("&amp;Questions!$D$5&amp;"), there are one or more securities the trustees wish to include details about ("&amp;Questions!$D$238&amp;") and Other is a trigger for access to value ("&amp;Questions!$D$337&amp;").
"</f>
        <v xml:space="preserve">
You must answer this question if the scheme follows a Bespoke approach (SH 13.0), there are one or more securities the trustees wish to include details about (CSI 20.0) and Other is a trigger for access to value (SEC 15.0/5).
</v>
      </c>
      <c r="G785" s="92" t="str">
        <f>"
The answer must be no more than 4000 characters
"</f>
        <v xml:space="preserve">
The answer must be no more than 4000 characters
</v>
      </c>
      <c r="H785" s="92"/>
      <c r="I785" s="92"/>
      <c r="J785" s="92"/>
    </row>
    <row r="786" spans="1:10" ht="77.5">
      <c r="A786" s="190" t="s">
        <v>1214</v>
      </c>
      <c r="B786" s="92" t="str">
        <f>"
Do not answer this question if the scheme follows a Fast Track approach ("&amp;Questions!$D$5&amp;").
"</f>
        <v xml:space="preserve">
Do not answer this question if the scheme follows a Fast Track approach (SH 13.0).
</v>
      </c>
      <c r="C786" s="92" t="str">
        <f>"
Do not answer this question if the scheme follows a Bespoke approach ("&amp;Questions!$D$5&amp;") and there are no securities the trustees wish to include details about ("&amp;Questions!$D$238&amp;").
"</f>
        <v xml:space="preserve">
Do not answer this question if the scheme follows a Bespoke approach (SH 13.0) and there are no securities the trustees wish to include details about (CSI 20.0).
</v>
      </c>
      <c r="D786" s="92" t="str">
        <f>"
Do not answer this question if the scheme follows a Bespoke approach ("&amp;Questions!$D$5&amp;") and you have already provided the details for the number of securities the trustees wish to include details about in ("&amp;Questions!$D$238&amp;").
"</f>
        <v xml:space="preserve">
Do not answer this question if the scheme follows a Bespoke approach (SH 13.0) and you have already provided the details for the number of securities the trustees wish to include details about in (CSI 20.0).
</v>
      </c>
      <c r="E786" s="92" t="str">
        <f>"
You must answer this question if the scheme follows a Bespoke approach ("&amp;Questions!$D$5&amp;") and there are one or more securities the trustees wish to include details about ("&amp;Questions!$D$238&amp;").
"</f>
        <v xml:space="preserve">
You must answer this question if the scheme follows a Bespoke approach (SH 13.0) and there are one or more securities the trustees wish to include details about (CSI 20.0).
</v>
      </c>
      <c r="F786" s="92" t="str">
        <f>"
The answer must be no more than 4000 characters
"</f>
        <v xml:space="preserve">
The answer must be no more than 4000 characters
</v>
      </c>
      <c r="G786" s="92"/>
      <c r="H786" s="92"/>
      <c r="I786" s="92"/>
      <c r="J786" s="92"/>
    </row>
    <row r="787" spans="1:10" ht="124">
      <c r="A787" s="190" t="s">
        <v>1219</v>
      </c>
      <c r="B787" s="92" t="str">
        <f>"
Do not answer this question if there are no contingent assets the trustees wish to include details about ("&amp;Questions!$D$239&amp;").
"</f>
        <v xml:space="preserve">
Do not answer this question if there are no contingent assets the trustees wish to include details about (CSI 21.0).
</v>
      </c>
      <c r="C787" s="92"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D787" s="92" t="str">
        <f>"
You must answer this question if there are one or more contingent assets the trustees wish to include details about ("&amp;Questions!$D$239&amp;").
"</f>
        <v xml:space="preserve">
You must answer this question if there are one or more contingent assets the trustees wish to include details about (CSI 21.0).
</v>
      </c>
      <c r="E787" s="92" t="str">
        <f>"
Select one of the following options from the drop-down list:
• Letter of credit
• Bank guarantee
• Surety bond
• Contingent funding mechanism from a third party
• Other
"</f>
        <v xml:space="preserve">
Select one of the following options from the drop-down list:
• Letter of credit
• Bank guarantee
• Surety bond
• Contingent funding mechanism from a third party
• Other
</v>
      </c>
      <c r="F787" s="92"/>
      <c r="G787" s="92"/>
      <c r="H787" s="92"/>
      <c r="I787" s="92"/>
      <c r="J787" s="92"/>
    </row>
    <row r="788" spans="1:10" ht="93">
      <c r="A788" s="190" t="s">
        <v>1221</v>
      </c>
      <c r="B788" s="92" t="str">
        <f>"
Do not answer this question if there are no contingent assets the trustees wish to include details about ("&amp;Questions!$D$239&amp;").
"</f>
        <v xml:space="preserve">
Do not answer this question if there are no contingent assets the trustees wish to include details about (CSI 21.0).
</v>
      </c>
      <c r="C788" s="92" t="str">
        <f>"
Do not answer this question if you have already provided the details for the number of contingent assets the trustees wish to include details about ("&amp;Questions!$D$239&amp;").
"</f>
        <v xml:space="preserve">
Do not answer this question if you have already provided the details for the number of contingent assets the trustees wish to include details about (CSI 21.0).
</v>
      </c>
      <c r="D788" s="92" t="str">
        <f>"
Do not answer this question if there are one or more contingent assets the trustees wish to include details about ("&amp;Questions!$D$238&amp;") and the contingent asset is not 'Contingent funding mechanism from a third party' or 'Other' ("&amp;Questions!$D$540&amp;").
"</f>
        <v xml:space="preserve">
Do not answer this question if there are one or more contingent assets the trustees wish to include details about (CSI 20.0) and the contingent asset is not 'Contingent funding mechanism from a third party' or 'Other' (OA 1.0/1).
</v>
      </c>
      <c r="E788" s="92" t="str">
        <f>"
You must answer this question if  there are one or more securities the trustees wish to include details about ("&amp;Questions!$D$238&amp;") and the contingent asset is 'Contingent funding mechanism from a third party' or 'Other' ("&amp;Questions!$D$540&amp;").
"</f>
        <v xml:space="preserve">
You must answer this question if  there are one or more securities the trustees wish to include details about (CSI 20.0) and the contingent asset is 'Contingent funding mechanism from a third party' or 'Other' (OA 1.0/1).
</v>
      </c>
      <c r="F788" s="92" t="str">
        <f>"
The answer must be no more than 4000 characters.
"</f>
        <v xml:space="preserve">
The answer must be no more than 4000 characters.
</v>
      </c>
      <c r="G788" s="92"/>
      <c r="H788" s="92"/>
      <c r="I788" s="92"/>
      <c r="J788" s="92"/>
    </row>
    <row r="789" spans="1:10" ht="93">
      <c r="A789" s="190" t="s">
        <v>1223</v>
      </c>
      <c r="B789" s="92" t="str">
        <f>"
Do not answer this question if the scheme follows a Fast Track approach ("&amp;Questions!$D$5&amp;").
"</f>
        <v xml:space="preserve">
Do not answer this question if the scheme follows a Fast Track approach (SH 13.0).
</v>
      </c>
      <c r="C789" s="92" t="str">
        <f>"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789" s="92" t="str">
        <f>"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789"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789" s="92" t="str">
        <f>"
Select one of the following options from the drop-down list:
• Evergreen
• Fixed expiry with a maturity date
• Other
"</f>
        <v xml:space="preserve">
Select one of the following options from the drop-down list:
• Evergreen
• Fixed expiry with a maturity date
• Other
</v>
      </c>
      <c r="G789" s="92"/>
      <c r="H789" s="92"/>
      <c r="I789" s="92"/>
      <c r="J789" s="92"/>
    </row>
    <row r="790" spans="1:10" ht="93">
      <c r="A790" s="190" t="s">
        <v>1226</v>
      </c>
      <c r="B790" s="92" t="str">
        <f>"
Do not answer this question if the scheme follows a Fast Track approach ("&amp;Questions!$D$5&amp;").
"</f>
        <v xml:space="preserve">
Do not answer this question if the scheme follows a Fast Track approach (SH 13.0).
</v>
      </c>
      <c r="C790" s="92" t="str">
        <f>"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790" s="92" t="str">
        <f>"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790" s="92" t="str">
        <f>"
Do not answer this question if the scheme follows a Bespoke approach ("&amp;Questions!$D$5&amp;"), there are one or more contingent assets the trustees wish to include details about ("&amp;Questions!$D$239&amp;") and the contingent asset security is Evergreen or Other ("&amp;Questions!$D$542&amp;").
"</f>
        <v xml:space="preserve">
Do not answer this question if the scheme follows a Bespoke approach (SH 13.0), there are one or more contingent assets the trustees wish to include details about (CSI 21.0) and the contingent asset security is Evergreen or Other (OA 3.0/1).
</v>
      </c>
      <c r="F790" s="92" t="str">
        <f>"
You must answer this question if the scheme follows a Bespoke approach ("&amp;Questions!$D$5&amp;"), there are one or more contingent assets the trustees wish to include details about ("&amp;Questions!$D$239&amp;") and the contingent asset security maturity date is Fixed expiry with a maturity date ("&amp;Questions!$D$542&amp;").
"</f>
        <v xml:space="preserve">
You must answer this question if the scheme follows a Bespoke approach (SH 13.0), there are one or more contingent assets the trustees wish to include details about (CSI 21.0) and the contingent asset security maturity date is Fixed expiry with a maturity date (OA 3.0/1).
</v>
      </c>
      <c r="G790" s="92" t="str">
        <f>"
Enter a valid date in the format dd/mm/yyyy 
"</f>
        <v xml:space="preserve">
Enter a valid date in the format dd/mm/yyyy 
</v>
      </c>
      <c r="H790" s="92" t="str">
        <f>"
This date cannot be less than the effective date of the actuarial validation ("&amp;Questions!$D$2&amp;")
"</f>
        <v xml:space="preserve">
This date cannot be less than the effective date of the actuarial validation (SH 8.0)
</v>
      </c>
      <c r="I790" s="92"/>
      <c r="J790" s="92"/>
    </row>
    <row r="791" spans="1:10" ht="93">
      <c r="A791" s="190" t="s">
        <v>1228</v>
      </c>
      <c r="B791" s="92" t="str">
        <f>"
Do not answer this question if the scheme follows a Fast Track approach ("&amp;Questions!$D$5&amp;").
"</f>
        <v xml:space="preserve">
Do not answer this question if the scheme follows a Fast Track approach (SH 13.0).
</v>
      </c>
      <c r="C791" s="92" t="str">
        <f>"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791" s="92" t="str">
        <f>"
Do not answer this question if the scheme follows a Bespoke approach ("&amp;Questions!$D$5&amp;") and you have already provided the details for the number of contingent assets the trustees wish to include details about ("&amp;Questions!$D$239&amp;").
"</f>
        <v xml:space="preserve">
Do not answer this question if the scheme follows a Bespoke approach (SH 13.0) and you have already provided the details for the number of contingent assets the trustees wish to include details about (CSI 21.0).
</v>
      </c>
      <c r="E791" s="92" t="str">
        <f>"
Do not answer this question if the scheme follows a Bespoke approach ("&amp;Questions!$D$5&amp;"), there are one or more contingent assets the trustees wish to include details about ("&amp;Questions!$D$239&amp;") and the contingent asset security is not Other ("&amp;Questions!$D$542&amp;").
"</f>
        <v xml:space="preserve">
Do not answer this question if the scheme follows a Bespoke approach (SH 13.0), there are one or more contingent assets the trustees wish to include details about (CSI 21.0) and the contingent asset security is not Other (OA 3.0/1).
</v>
      </c>
      <c r="F791" s="92" t="str">
        <f>"
You must answer this question if the scheme follows a Bespoke approach ("&amp;Questions!$D$5&amp;"), there are one or more contingent assets the trustees wish to include details about ("&amp;Questions!$D$239&amp;") and the contingent asset security maturity date is Other ("&amp;Questions!$D$542&amp;").
"</f>
        <v xml:space="preserve">
You must answer this question if the scheme follows a Bespoke approach (SH 13.0), there are one or more contingent assets the trustees wish to include details about (CSI 21.0) and the contingent asset security maturity date is Other (OA 3.0/1).
</v>
      </c>
      <c r="G791" s="92" t="str">
        <f>"
The answer must be no more than 4000 characters.
"</f>
        <v xml:space="preserve">
The answer must be no more than 4000 characters.
</v>
      </c>
      <c r="H791" s="92"/>
      <c r="I791" s="92"/>
      <c r="J791" s="92"/>
    </row>
    <row r="792" spans="1:10" ht="77.5">
      <c r="A792" s="190" t="s">
        <v>1230</v>
      </c>
      <c r="B792" s="92" t="str">
        <f>"
Do not answer this question if there are no contingent assets the trustees wish to include details about ("&amp;Questions!$D$239&amp;").
"</f>
        <v xml:space="preserve">
Do not answer this question if there are no contingent assets the trustees wish to include details about (CSI 21.0).
</v>
      </c>
      <c r="C792" s="92" t="str">
        <f>"
Do not answer this question if you have already provided the details for the number of contingent assets the trustees wish to include details about ("&amp;Questions!$D$239&amp;").
"</f>
        <v xml:space="preserve">
Do not answer this question if you have already provided the details for the number of contingent assets the trustees wish to include details about (CSI 21.0).
</v>
      </c>
      <c r="D792" s="92" t="str">
        <f>"
You must answer this question if there are one or more contingent assets the trustees wish to include details about ("&amp;Questions!$D$239&amp;").
"</f>
        <v xml:space="preserve">
You must answer this question if there are one or more contingent assets the trustees wish to include details about (CSI 21.0).
</v>
      </c>
      <c r="E792" s="92" t="str">
        <f>"
Enter a value greater than or equal to 0 and less than 1,000,000,000,000 (1 trillion). It can be accurate to two decimal places.  
"</f>
        <v xml:space="preserve">
Enter a value greater than or equal to 0 and less than 1,000,000,000,000 (1 trillion). It can be accurate to two decimal places.  
</v>
      </c>
      <c r="F792" s="92"/>
      <c r="G792" s="92"/>
      <c r="H792" s="92"/>
      <c r="I792" s="92"/>
      <c r="J792" s="92"/>
    </row>
    <row r="793" spans="1:10" ht="77.5">
      <c r="A793" s="190" t="s">
        <v>1232</v>
      </c>
      <c r="B793" s="92" t="str">
        <f>"
Do not answer this question if there are no contingent assets the trustees wish to include details about ("&amp;Questions!$D$239&amp;").
"</f>
        <v xml:space="preserve">
Do not answer this question if there are no contingent assets the trustees wish to include details about (CSI 21.0).
</v>
      </c>
      <c r="C793" s="92"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D793" s="92" t="str">
        <f>"
You must answer this question if there are one or more contingent assets the trustees wish to include details about ("&amp;Questions!$D$239&amp;").
"</f>
        <v xml:space="preserve">
You must answer this question if there are one or more contingent assets the trustees wish to include details about (CSI 21.0).
</v>
      </c>
      <c r="E793" s="92" t="str">
        <f>"
Enter a valid date that is less than or equal to today in the format dd/mm/yyyy 
"</f>
        <v xml:space="preserve">
Enter a valid date that is less than or equal to today in the format dd/mm/yyyy 
</v>
      </c>
      <c r="F793" s="92" t="str">
        <f>"
Enter a valid date that is less than or equal to today in the format dd/mm/yyyy 
"</f>
        <v xml:space="preserve">
Enter a valid date that is less than or equal to today in the format dd/mm/yyyy 
</v>
      </c>
      <c r="G793" s="92"/>
      <c r="H793" s="92"/>
      <c r="I793" s="92"/>
      <c r="J793" s="92"/>
    </row>
    <row r="794" spans="1:10" ht="155">
      <c r="A794" s="190" t="s">
        <v>1234</v>
      </c>
      <c r="B794" s="336" t="str">
        <f>"
Do not answer this question if the scheme follows a Fast Track approach ("&amp;Questions!$D$5&amp;").
"</f>
        <v xml:space="preserve">
Do not answer this question if the scheme follows a Fast Track approach (SH 13.0).
</v>
      </c>
      <c r="C794" s="336" t="str">
        <f>"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794" s="336" t="str">
        <f>"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794" s="336"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794" s="336" t="str">
        <f>"
Select one of the following options from the drop-down list:
• None
• Full s.75 (solvency) deficit
• 105% of PPF (s.179) deficit  
• Low dependency deficit
• Technical provisions deficit        
• Fixed cap
• Other
"</f>
        <v xml:space="preserve">
Select one of the following options from the drop-down list:
• None
• Full s.75 (solvency) deficit
• 105% of PPF (s.179) deficit  
• Low dependency deficit
• Technical provisions deficit        
• Fixed cap
• Other
</v>
      </c>
      <c r="G794" s="92"/>
      <c r="H794" s="92"/>
      <c r="I794" s="92"/>
      <c r="J794" s="92"/>
    </row>
    <row r="795" spans="1:10" ht="93">
      <c r="A795" s="190" t="s">
        <v>1236</v>
      </c>
      <c r="B795" s="92" t="str">
        <f>"
Do not answer this question if the scheme follows a Fast Track approach ("&amp;Questions!$D$5&amp;").
"</f>
        <v xml:space="preserve">
Do not answer this question if the scheme follows a Fast Track approach (SH 13.0).
</v>
      </c>
      <c r="C795" s="92" t="str">
        <f>"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795" s="92" t="str">
        <f>"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795" s="92" t="str">
        <f>"
Do not answer this question if the scheme follows a Bespoke approach ("&amp;Questions!$D$5&amp;"), there are one or more contingent assets the trustees wish to include details about ("&amp;Questions!$D$239&amp;") and the contingent asset security value cap is not Other ("&amp;Questions!$D$547&amp;").
"</f>
        <v xml:space="preserve">
Do not answer this question if the scheme follows a Bespoke approach (SH 13.0), there are one or more contingent assets the trustees wish to include details about (CSI 21.0) and the contingent asset security value cap is not Other (OA 8.0/1).
</v>
      </c>
      <c r="F795" s="92" t="str">
        <f>"
You must answer this question if the scheme follows a Bespoke approach ("&amp;Questions!$D$5&amp;"), there are one or more contingent assets the trustees wish to include details about ("&amp;Questions!$D$239&amp;") and the contingent asset security value cap is Other ("&amp;Questions!$D$547&amp;").
"</f>
        <v xml:space="preserve">
You must answer this question if the scheme follows a Bespoke approach (SH 13.0), there are one or more contingent assets the trustees wish to include details about (CSI 21.0) and the contingent asset security value cap is Other (OA 8.0/1).
</v>
      </c>
      <c r="G795" s="92" t="str">
        <f>"
The answer must be no more than 4000 characters.
"</f>
        <v xml:space="preserve">
The answer must be no more than 4000 characters.
</v>
      </c>
      <c r="H795" s="92"/>
      <c r="I795" s="92"/>
      <c r="J795" s="92"/>
    </row>
    <row r="796" spans="1:10" ht="77.5">
      <c r="A796" s="190" t="s">
        <v>1238</v>
      </c>
      <c r="B796" s="92" t="str">
        <f>"
Do not answer this question if the scheme follows a Fast Track approach ("&amp;Questions!$D$5&amp;").
"</f>
        <v xml:space="preserve">
Do not answer this question if the scheme follows a Fast Track approach (SH 13.0).
</v>
      </c>
      <c r="C796" s="92" t="str">
        <f>"
Do not answer this question if the scheme has no contingent asset other asset for which the trustees wish to include details ("&amp;Questions!$D$239&amp;").
"</f>
        <v xml:space="preserve">
Do not answer this question if the scheme has no contingent asset other asset for which the trustees wish to include details (CSI 21.0).
</v>
      </c>
      <c r="D796" s="92" t="str">
        <f>"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796" s="92" t="str">
        <f>"
Do not answer this question if the contingent asset other value cap is not Fixed Cap ("&amp;Questions!$D$547&amp;").
"</f>
        <v xml:space="preserve">
Do not answer this question if the contingent asset other value cap is not Fixed Cap (OA 8.0/1).
</v>
      </c>
      <c r="F796" s="92" t="str">
        <f>"
You must answer this question if the contingent asset other value cap is Fixed Cap ("&amp;Questions!$D$547&amp;").
"</f>
        <v xml:space="preserve">
You must answer this question if the contingent asset other value cap is Fixed Cap (OA 8.0/1).
</v>
      </c>
      <c r="G796" s="92" t="str">
        <f>"
Enter a value greater than or equal to 0 and less than 1,000,000,000,000 (1 trillion). It can be accurate to two decimal places. 
"</f>
        <v xml:space="preserve">
Enter a value greater than or equal to 0 and less than 1,000,000,000,000 (1 trillion). It can be accurate to two decimal places. 
</v>
      </c>
      <c r="H796" s="92"/>
      <c r="I796" s="92"/>
      <c r="J796" s="92"/>
    </row>
    <row r="797" spans="1:10" ht="77.5">
      <c r="A797" s="190" t="s">
        <v>1240</v>
      </c>
      <c r="B797" s="92" t="str">
        <f>"
Do not answer this question if the scheme follows a Fast Track approach ("&amp;Questions!$D$5&amp;").
"</f>
        <v xml:space="preserve">
Do not answer this question if the scheme follows a Fast Track approach (SH 13.0).
</v>
      </c>
      <c r="C797" s="92" t="str">
        <f>"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797" s="92" t="str">
        <f>"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797"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797" s="92" t="str">
        <f>"
Select ‘Yes’ if participating employer insolvency is a trigger for access to value, or ‘No’ if not
"</f>
        <v xml:space="preserve">
Select ‘Yes’ if participating employer insolvency is a trigger for access to value, or ‘No’ if not
</v>
      </c>
      <c r="G797" s="92"/>
      <c r="H797" s="92"/>
      <c r="I797" s="92"/>
      <c r="J797" s="92"/>
    </row>
    <row r="798" spans="1:10" ht="77.5">
      <c r="A798" s="190" t="s">
        <v>1242</v>
      </c>
      <c r="B798" s="92" t="str">
        <f>"
Do not answer this question if the scheme follows a Fast Track approach ("&amp;Questions!$D$5&amp;").
"</f>
        <v xml:space="preserve">
Do not answer this question if the scheme follows a Fast Track approach (SH 13.0).
</v>
      </c>
      <c r="C798" s="92" t="str">
        <f>"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798" s="92" t="str">
        <f>"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798"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798" s="92" t="str">
        <f>"
Select ‘Yes’ if the insolvency of an associated company is a trigger for access to value, or ‘No’ if not
"</f>
        <v xml:space="preserve">
Select ‘Yes’ if the insolvency of an associated company is a trigger for access to value, or ‘No’ if not
</v>
      </c>
      <c r="G798" s="92"/>
      <c r="H798" s="92"/>
      <c r="I798" s="92"/>
      <c r="J798" s="92"/>
    </row>
    <row r="799" spans="1:10" ht="77.5">
      <c r="A799" s="190" t="s">
        <v>1244</v>
      </c>
      <c r="B799" s="92" t="str">
        <f>"
Do not answer this question if the scheme follows a Fast Track approach ("&amp;Questions!$D$5&amp;").
"</f>
        <v xml:space="preserve">
Do not answer this question if the scheme follows a Fast Track approach (SH 13.0).
</v>
      </c>
      <c r="C799" s="92" t="str">
        <f>"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799" s="92" t="str">
        <f>"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799"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799" s="92" t="str">
        <f>"
Select ‘Yes’ if non payment of contributions is a trigger for access to value, or ‘No’ if not
"</f>
        <v xml:space="preserve">
Select ‘Yes’ if non payment of contributions is a trigger for access to value, or ‘No’ if not
</v>
      </c>
      <c r="G799" s="92"/>
      <c r="H799" s="92"/>
      <c r="I799" s="92"/>
      <c r="J799" s="92"/>
    </row>
    <row r="800" spans="1:10" ht="77.5">
      <c r="A800" s="190" t="s">
        <v>1246</v>
      </c>
      <c r="B800" s="92" t="str">
        <f>"
Do not answer this question if the scheme follows a Fast Track approach ("&amp;Questions!$D$5&amp;").
"</f>
        <v xml:space="preserve">
Do not answer this question if the scheme follows a Fast Track approach (SH 13.0).
</v>
      </c>
      <c r="C800" s="92" t="str">
        <f>"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00" s="92" t="str">
        <f>"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00"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00" s="92" t="str">
        <f>"
Select ‘Yes’ if crystallisation of investment risk is a trigger for access to value, or ‘No’ if not
"</f>
        <v xml:space="preserve">
Select ‘Yes’ if crystallisation of investment risk is a trigger for access to value, or ‘No’ if not
</v>
      </c>
      <c r="G800" s="92"/>
      <c r="H800" s="92"/>
      <c r="I800" s="92"/>
      <c r="J800" s="92"/>
    </row>
    <row r="801" spans="1:10" ht="77.5">
      <c r="A801" s="190" t="s">
        <v>1248</v>
      </c>
      <c r="B801" s="92" t="str">
        <f>"
Do not answer this question if the scheme follows a Fast Track approach ("&amp;Questions!$D$5&amp;").
"</f>
        <v xml:space="preserve">
Do not answer this question if the scheme follows a Fast Track approach (SH 13.0).
</v>
      </c>
      <c r="C801" s="92" t="str">
        <f>"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01" s="92" t="str">
        <f>"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01"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01" s="92" t="str">
        <f>"
Select ‘Yes’ if Other is a trigger for access to value, or ‘No’ if not
"</f>
        <v xml:space="preserve">
Select ‘Yes’ if Other is a trigger for access to value, or ‘No’ if not
</v>
      </c>
      <c r="G801" s="92"/>
      <c r="H801" s="92"/>
      <c r="I801" s="92"/>
      <c r="J801" s="92"/>
    </row>
    <row r="802" spans="1:10" ht="93">
      <c r="A802" s="190" t="s">
        <v>1250</v>
      </c>
      <c r="B802" s="92" t="str">
        <f>"
Do not answer this question if the scheme follows a Fast Track approach ("&amp;Questions!$D$5&amp;").
"</f>
        <v xml:space="preserve">
Do not answer this question if the scheme follows a Fast Track approach (SH 13.0).
</v>
      </c>
      <c r="C802" s="92" t="str">
        <f>"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02" s="92" t="str">
        <f>"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02" s="92" t="str">
        <f>"
Do not answer this question if the scheme follows a Bespoke approach ("&amp;Questions!$D$5&amp;"), there are one or more contingent assets the trustees wish to include details about ("&amp;Questions!$D$239&amp;") and Other is not a trigger for access to value ("&amp;Questions!$D$554&amp;").
"</f>
        <v xml:space="preserve">
Do not answer this question if the scheme follows a Bespoke approach (SH 13.0), there are one or more contingent assets the trustees wish to include details about (CSI 21.0) and Other is not a trigger for access to value (OA 15.0/1).
</v>
      </c>
      <c r="F802" s="92" t="str">
        <f>"
You must answer this question if the scheme follows a Bespoke approach ("&amp;Questions!$D$5&amp;"), there are one or more contingent assets the trustees wish to include details about ("&amp;Questions!$D$239&amp;") and Other is a trigger for access to value ("&amp;Questions!$D$554&amp;").
"</f>
        <v xml:space="preserve">
You must answer this question if the scheme follows a Bespoke approach (SH 13.0), there are one or more contingent assets the trustees wish to include details about (CSI 21.0) and Other is a trigger for access to value (OA 15.0/1).
</v>
      </c>
      <c r="G802" s="92" t="str">
        <f>"
The answer must be no more than 4000 characters.
"</f>
        <v xml:space="preserve">
The answer must be no more than 4000 characters.
</v>
      </c>
      <c r="H802" s="92"/>
      <c r="I802" s="92"/>
      <c r="J802" s="92"/>
    </row>
    <row r="803" spans="1:10" ht="77.5">
      <c r="A803" s="190" t="s">
        <v>1252</v>
      </c>
      <c r="B803" s="92" t="str">
        <f>"
Do not answer this question if the scheme follows a Fast Track approach ("&amp;Questions!$D$5&amp;").
"</f>
        <v xml:space="preserve">
Do not answer this question if the scheme follows a Fast Track approach (SH 13.0).
</v>
      </c>
      <c r="C803" s="92" t="str">
        <f>"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03" s="92" t="str">
        <f>"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03"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03" s="92" t="str">
        <f>"
The answer must be no more than 4000 characters.
"</f>
        <v xml:space="preserve">
The answer must be no more than 4000 characters.
</v>
      </c>
      <c r="G803" s="92"/>
      <c r="H803" s="92"/>
      <c r="I803" s="92"/>
      <c r="J803" s="92"/>
    </row>
    <row r="804" spans="1:10" ht="124">
      <c r="A804" s="190" t="s">
        <v>1255</v>
      </c>
      <c r="B804" s="92" t="str">
        <f>"
Do not answer this question if there are no contingent assets the trustees wish to include details about ("&amp;Questions!$D$239&amp;").
"</f>
        <v xml:space="preserve">
Do not answer this question if there are no contingent assets the trustees wish to include details about (CSI 21.0).
</v>
      </c>
      <c r="C804" s="92"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D804" s="92" t="str">
        <f>"
You must answer this question if there are one or more contingent assets the trustees wish to include details about ("&amp;Questions!$D$239&amp;").
"</f>
        <v xml:space="preserve">
You must answer this question if there are one or more contingent assets the trustees wish to include details about (CSI 21.0).
</v>
      </c>
      <c r="E804" s="92" t="str">
        <f>"
Select one of the following options from the drop-down list:
• Letter of credit
• Bank guarantee
• Surety bond
• Contingent funding mechanism from a third party
• Other
"</f>
        <v xml:space="preserve">
Select one of the following options from the drop-down list:
• Letter of credit
• Bank guarantee
• Surety bond
• Contingent funding mechanism from a third party
• Other
</v>
      </c>
      <c r="F804" s="92"/>
      <c r="G804" s="92"/>
      <c r="H804" s="92"/>
      <c r="I804" s="92"/>
      <c r="J804" s="92"/>
    </row>
    <row r="805" spans="1:10" ht="93">
      <c r="A805" s="190" t="s">
        <v>1258</v>
      </c>
      <c r="B805" s="92" t="str">
        <f>"
Do not answer this question if there are no contingent assets the trustees wish to include details about ("&amp;Questions!$D$239&amp;").
"</f>
        <v xml:space="preserve">
Do not answer this question if there are no contingent assets the trustees wish to include details about (CSI 21.0).
</v>
      </c>
      <c r="C805" s="92" t="str">
        <f>"
Do not answer this question if you have already provided the details for the number of contingent assets the trustees wish to include details about ("&amp;Questions!$D$239&amp;").
"</f>
        <v xml:space="preserve">
Do not answer this question if you have already provided the details for the number of contingent assets the trustees wish to include details about (CSI 21.0).
</v>
      </c>
      <c r="D805" s="92" t="str">
        <f>"
Do not answer this question if the scheme follows a Bespoke approach ("&amp;Questions!$D$5&amp;"), there are one or more contingent assets the trustees wish to include details about ("&amp;Questions!$D$238&amp;") and the contingent asset is not 'Contingent funding mechanism from a third party' or 'Other' ("&amp;Questions!$D$557&amp;").
"</f>
        <v xml:space="preserve">
Do not answer this question if the scheme follows a Bespoke approach (SH 13.0), there are one or more contingent assets the trustees wish to include details about (CSI 20.0) and the contingent asset is not 'Contingent funding mechanism from a third party' or 'Other' (OA 1.0/2).
</v>
      </c>
      <c r="E805" s="92" t="str">
        <f>"
You must answer this question if  there are one or more securities the trustees wish to include details about ("&amp;Questions!$D$238&amp;") and the contingent asset is 'Contingent funding mechanism from a third party' or 'Other' ("&amp;Questions!$D$540&amp;").
"</f>
        <v xml:space="preserve">
You must answer this question if  there are one or more securities the trustees wish to include details about (CSI 20.0) and the contingent asset is 'Contingent funding mechanism from a third party' or 'Other' (OA 1.0/1).
</v>
      </c>
      <c r="F805" s="92" t="str">
        <f>"
The answer must be no more than 4000 characters.
"</f>
        <v xml:space="preserve">
The answer must be no more than 4000 characters.
</v>
      </c>
      <c r="G805" s="92"/>
      <c r="H805" s="92"/>
      <c r="I805" s="92"/>
      <c r="J805" s="92"/>
    </row>
    <row r="806" spans="1:10" ht="93">
      <c r="A806" s="190" t="s">
        <v>1260</v>
      </c>
      <c r="B806" s="92" t="str">
        <f>"
Do not answer this question if the scheme follows a Fast Track approach ("&amp;Questions!$D$5&amp;").
"</f>
        <v xml:space="preserve">
Do not answer this question if the scheme follows a Fast Track approach (SH 13.0).
</v>
      </c>
      <c r="C806" s="92" t="str">
        <f>"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06" s="92" t="str">
        <f>"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06"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06" s="92" t="str">
        <f>"
Select one of the following options from the drop-down list:
• Evergreen
• Fixed expiry with a maturity date
• Other
"</f>
        <v xml:space="preserve">
Select one of the following options from the drop-down list:
• Evergreen
• Fixed expiry with a maturity date
• Other
</v>
      </c>
      <c r="G806" s="92"/>
      <c r="H806" s="92"/>
      <c r="I806" s="92"/>
      <c r="J806" s="92"/>
    </row>
    <row r="807" spans="1:10" ht="93">
      <c r="A807" s="190" t="s">
        <v>1262</v>
      </c>
      <c r="B807" s="92" t="str">
        <f>"
Do not answer this question if the scheme follows a Fast Track approach ("&amp;Questions!$D$5&amp;").
"</f>
        <v xml:space="preserve">
Do not answer this question if the scheme follows a Fast Track approach (SH 13.0).
</v>
      </c>
      <c r="C807" s="92" t="str">
        <f>"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07" s="92" t="str">
        <f>"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07" s="92" t="str">
        <f>"
Do not answer this question if the scheme follows a Bespoke approach ("&amp;Questions!$D$5&amp;"), there are one or more contingent assets the trustees wish to include details about ("&amp;Questions!$D$239&amp;") and the contingent asset security is Evergreen or Other ("&amp;Questions!$D$559&amp;").
"</f>
        <v xml:space="preserve">
Do not answer this question if the scheme follows a Bespoke approach (SH 13.0), there are one or more contingent assets the trustees wish to include details about (CSI 21.0) and the contingent asset security is Evergreen or Other (OA 3.0/2).
</v>
      </c>
      <c r="F807" s="92" t="str">
        <f>"
You must answer this question if the scheme follows a Bespoke approach ("&amp;Questions!$D$5&amp;"), there are one or more contingent assets the trustees wish to include details about ("&amp;Questions!$D$239&amp;") and the contingent asset security maturity date is Fixed expiry with a maturity date ("&amp;Questions!$D$559&amp;").
"</f>
        <v xml:space="preserve">
You must answer this question if the scheme follows a Bespoke approach (SH 13.0), there are one or more contingent assets the trustees wish to include details about (CSI 21.0) and the contingent asset security maturity date is Fixed expiry with a maturity date (OA 3.0/2).
</v>
      </c>
      <c r="G807" s="92" t="str">
        <f>"
Enter a valid date in the format dd/mm/yyyy 
"</f>
        <v xml:space="preserve">
Enter a valid date in the format dd/mm/yyyy 
</v>
      </c>
      <c r="H807" s="92" t="str">
        <f>"
This date cannot be less than the effective date of the actuarial validation ("&amp;Questions!$D$2&amp;")
"</f>
        <v xml:space="preserve">
This date cannot be less than the effective date of the actuarial validation (SH 8.0)
</v>
      </c>
      <c r="I807" s="92"/>
      <c r="J807" s="92"/>
    </row>
    <row r="808" spans="1:10" ht="93">
      <c r="A808" s="190" t="s">
        <v>1264</v>
      </c>
      <c r="B808" s="92" t="str">
        <f>"
Do not answer this question if the scheme follows a Fast Track approach ("&amp;Questions!$D$5&amp;").
"</f>
        <v xml:space="preserve">
Do not answer this question if the scheme follows a Fast Track approach (SH 13.0).
</v>
      </c>
      <c r="C808" s="92" t="str">
        <f>"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08" s="92" t="str">
        <f>"
Do not answer this question if the scheme follows a Bespoke approach ("&amp;Questions!$D$5&amp;") and you have already provided the details for the number of contingent assets the trustees wish to include details about ("&amp;Questions!$D$239&amp;").
"</f>
        <v xml:space="preserve">
Do not answer this question if the scheme follows a Bespoke approach (SH 13.0) and you have already provided the details for the number of contingent assets the trustees wish to include details about (CSI 21.0).
</v>
      </c>
      <c r="E808" s="92" t="str">
        <f>"
Do not answer this question if the scheme follows a Bespoke approach ("&amp;Questions!$D$5&amp;"), there are one or more contingent assets the trustees wish to include details about ("&amp;Questions!$D$239&amp;") and the contingent asset security is not Other ("&amp;Questions!$D$559&amp;").
"</f>
        <v xml:space="preserve">
Do not answer this question if the scheme follows a Bespoke approach (SH 13.0), there are one or more contingent assets the trustees wish to include details about (CSI 21.0) and the contingent asset security is not Other (OA 3.0/2).
</v>
      </c>
      <c r="F808" s="92" t="str">
        <f>"
You must answer this question if the scheme follows a Bespoke approach ("&amp;Questions!$D$5&amp;"), there are one or more contingent assets the trustees wish to include details about ("&amp;Questions!$D$239&amp;") and the contingent asset security maturity date is Other ("&amp;Questions!$D$559&amp;").
"</f>
        <v xml:space="preserve">
You must answer this question if the scheme follows a Bespoke approach (SH 13.0), there are one or more contingent assets the trustees wish to include details about (CSI 21.0) and the contingent asset security maturity date is Other (OA 3.0/2).
</v>
      </c>
      <c r="G808" s="92" t="str">
        <f>"
The answer must be no more than 4000 characters.
"</f>
        <v xml:space="preserve">
The answer must be no more than 4000 characters.
</v>
      </c>
      <c r="H808" s="92"/>
      <c r="I808" s="92"/>
      <c r="J808" s="92"/>
    </row>
    <row r="809" spans="1:10" ht="77.5">
      <c r="A809" s="190" t="s">
        <v>1266</v>
      </c>
      <c r="B809" s="92" t="str">
        <f>"
Do not answer this question if there are no contingent assets the trustees wish to include details about ("&amp;Questions!$D$239&amp;").
"</f>
        <v xml:space="preserve">
Do not answer this question if there are no contingent assets the trustees wish to include details about (CSI 21.0).
</v>
      </c>
      <c r="C809" s="92" t="str">
        <f>"
Do not answer this question if you have already provided the details for the number of contingent assets the trustees wish to include details about ("&amp;Questions!$D$239&amp;").
"</f>
        <v xml:space="preserve">
Do not answer this question if you have already provided the details for the number of contingent assets the trustees wish to include details about (CSI 21.0).
</v>
      </c>
      <c r="D809" s="92" t="str">
        <f>"
You must answer this question if there are one or more contingent assets the trustees wish to include details about ("&amp;Questions!$D$239&amp;").
"</f>
        <v xml:space="preserve">
You must answer this question if there are one or more contingent assets the trustees wish to include details about (CSI 21.0).
</v>
      </c>
      <c r="E809" s="92" t="str">
        <f>"
Enter a value greater than or equal to 0 and less than 1,000,000,000,000 (1 trillion). It can be accurate to two decimal places.  
"</f>
        <v xml:space="preserve">
Enter a value greater than or equal to 0 and less than 1,000,000,000,000 (1 trillion). It can be accurate to two decimal places.  
</v>
      </c>
      <c r="F809" s="92"/>
      <c r="G809" s="92"/>
      <c r="H809" s="92"/>
      <c r="I809" s="92"/>
      <c r="J809" s="92"/>
    </row>
    <row r="810" spans="1:10" ht="77.5">
      <c r="A810" s="190" t="s">
        <v>1268</v>
      </c>
      <c r="B810" s="92" t="str">
        <f>"
Do not answer this question if there are no contingent assets the trustees wish to include details about ("&amp;Questions!$D$239&amp;").
"</f>
        <v xml:space="preserve">
Do not answer this question if there are no contingent assets the trustees wish to include details about (CSI 21.0).
</v>
      </c>
      <c r="C810" s="92"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D810" s="92" t="str">
        <f>"
You must answer this question if there are one or more contingent assets the trustees wish to include details about ("&amp;Questions!$D$239&amp;").
"</f>
        <v xml:space="preserve">
You must answer this question if there are one or more contingent assets the trustees wish to include details about (CSI 21.0).
</v>
      </c>
      <c r="E810" s="92" t="str">
        <f>"
Enter a valid date that is less than or equal to today in the format dd/mm/yyyy 
"</f>
        <v xml:space="preserve">
Enter a valid date that is less than or equal to today in the format dd/mm/yyyy 
</v>
      </c>
      <c r="F810" s="92" t="str">
        <f>"
Enter a valid date that is less than or equal to today in the format dd/mm/yyyy 
"</f>
        <v xml:space="preserve">
Enter a valid date that is less than or equal to today in the format dd/mm/yyyy 
</v>
      </c>
      <c r="G810" s="92"/>
      <c r="H810" s="92"/>
      <c r="I810" s="92"/>
      <c r="J810" s="92"/>
    </row>
    <row r="811" spans="1:10" ht="155">
      <c r="A811" s="190" t="s">
        <v>1270</v>
      </c>
      <c r="B811" s="336" t="str">
        <f>"
Do not answer this question if the scheme follows a Fast Track approach ("&amp;Questions!$D$5&amp;").
"</f>
        <v xml:space="preserve">
Do not answer this question if the scheme follows a Fast Track approach (SH 13.0).
</v>
      </c>
      <c r="C811" s="336" t="str">
        <f>"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11" s="336" t="str">
        <f>"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11" s="336"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11" s="336" t="str">
        <f>"
Select one of the following options from the drop-down list:
• None
• Full s.75 (solvency) deficit
• 105% of PPF (s.179) deficit  
• Low dependency deficit
• Technical provisions deficit        
• Fixed cap
• Other
"</f>
        <v xml:space="preserve">
Select one of the following options from the drop-down list:
• None
• Full s.75 (solvency) deficit
• 105% of PPF (s.179) deficit  
• Low dependency deficit
• Technical provisions deficit        
• Fixed cap
• Other
</v>
      </c>
      <c r="G811" s="92"/>
      <c r="H811" s="92"/>
      <c r="I811" s="92"/>
      <c r="J811" s="92"/>
    </row>
    <row r="812" spans="1:10" ht="93">
      <c r="A812" s="190" t="s">
        <v>1272</v>
      </c>
      <c r="B812" s="92" t="str">
        <f>"
Do not answer this question if the scheme follows a Fast Track approach ("&amp;Questions!$D$5&amp;").
"</f>
        <v xml:space="preserve">
Do not answer this question if the scheme follows a Fast Track approach (SH 13.0).
</v>
      </c>
      <c r="C812" s="92" t="str">
        <f>"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12" s="92" t="str">
        <f>"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12" s="92" t="str">
        <f>"
Do not answer this question if the scheme follows a Bespoke approach ("&amp;Questions!$D$5&amp;"), there are one or more contingent assets the trustees wish to include details about ("&amp;Questions!$D$239&amp;") and the contingent asset security value cap is not Other ("&amp;Questions!$D$564&amp;").
"</f>
        <v xml:space="preserve">
Do not answer this question if the scheme follows a Bespoke approach (SH 13.0), there are one or more contingent assets the trustees wish to include details about (CSI 21.0) and the contingent asset security value cap is not Other (OA 8.0/2).
</v>
      </c>
      <c r="F812" s="92" t="str">
        <f>"
You must answer this question if the scheme follows a Bespoke approach ("&amp;Questions!$D$5&amp;"), there are one or more contingent assets the trustees wish to include details about ("&amp;Questions!$D$239&amp;") and the contingent asset security value cap is Other ("&amp;Questions!$D$564&amp;").
"</f>
        <v xml:space="preserve">
You must answer this question if the scheme follows a Bespoke approach (SH 13.0), there are one or more contingent assets the trustees wish to include details about (CSI 21.0) and the contingent asset security value cap is Other (OA 8.0/2).
</v>
      </c>
      <c r="G812" s="92" t="str">
        <f>"
The answer must be no more than 4000 characters.
"</f>
        <v xml:space="preserve">
The answer must be no more than 4000 characters.
</v>
      </c>
      <c r="H812" s="92"/>
      <c r="I812" s="92"/>
      <c r="J812" s="92"/>
    </row>
    <row r="813" spans="1:10" ht="77.5">
      <c r="A813" s="190" t="s">
        <v>1274</v>
      </c>
      <c r="B813" s="92" t="str">
        <f>"
Do not answer this question if the scheme follows a Fast Track approach ("&amp;Questions!$D$5&amp;").
"</f>
        <v xml:space="preserve">
Do not answer this question if the scheme follows a Fast Track approach (SH 13.0).
</v>
      </c>
      <c r="C813" s="92" t="str">
        <f>"
Do not answer this question if the scheme has no contingent asset other asset for which the trustees wish to include details ("&amp;Questions!$D$239&amp;").
"</f>
        <v xml:space="preserve">
Do not answer this question if the scheme has no contingent asset other asset for which the trustees wish to include details (CSI 21.0).
</v>
      </c>
      <c r="D813" s="92" t="str">
        <f>"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13" s="92" t="str">
        <f>"
Do not answer this question if the contingent asset other value cap is not Fixed Cap ("&amp;Questions!$D$564&amp;").
"</f>
        <v xml:space="preserve">
Do not answer this question if the contingent asset other value cap is not Fixed Cap (OA 8.0/2).
</v>
      </c>
      <c r="F813" s="92" t="str">
        <f>"
You must answer this question if the contingent asset other value cap is Fixed Cap ("&amp;Questions!$D$564&amp;").
"</f>
        <v xml:space="preserve">
You must answer this question if the contingent asset other value cap is Fixed Cap (OA 8.0/2).
</v>
      </c>
      <c r="G813" s="92" t="str">
        <f>"
Enter a value greater than or equal to 0 and less than 1,000,000,000,000 (1 trillion). It can be accurate to two decimal places. 
"</f>
        <v xml:space="preserve">
Enter a value greater than or equal to 0 and less than 1,000,000,000,000 (1 trillion). It can be accurate to two decimal places. 
</v>
      </c>
      <c r="H813" s="92"/>
      <c r="I813" s="92"/>
      <c r="J813" s="92"/>
    </row>
    <row r="814" spans="1:10" ht="77.5">
      <c r="A814" s="190" t="s">
        <v>1276</v>
      </c>
      <c r="B814" s="92" t="str">
        <f>"
Do not answer this question if the scheme follows a Fast Track approach ("&amp;Questions!$D$5&amp;").
"</f>
        <v xml:space="preserve">
Do not answer this question if the scheme follows a Fast Track approach (SH 13.0).
</v>
      </c>
      <c r="C814" s="92" t="str">
        <f>"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14" s="92" t="str">
        <f>"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14"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14" s="92" t="str">
        <f>"
Select ‘Yes’ if participating employer insolvency is a trigger for access to value, or ‘No’ if not
"</f>
        <v xml:space="preserve">
Select ‘Yes’ if participating employer insolvency is a trigger for access to value, or ‘No’ if not
</v>
      </c>
      <c r="G814" s="92"/>
      <c r="H814" s="92"/>
      <c r="I814" s="92"/>
      <c r="J814" s="92"/>
    </row>
    <row r="815" spans="1:10" ht="77.5">
      <c r="A815" s="190" t="s">
        <v>1278</v>
      </c>
      <c r="B815" s="92" t="str">
        <f>"
Do not answer this question if the scheme follows a Fast Track approach ("&amp;Questions!$D$5&amp;").
"</f>
        <v xml:space="preserve">
Do not answer this question if the scheme follows a Fast Track approach (SH 13.0).
</v>
      </c>
      <c r="C815" s="92" t="str">
        <f>"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15" s="92" t="str">
        <f>"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15"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15" s="92" t="str">
        <f>"
Select ‘Yes’ if the insolvency of an associated company is a trigger for access to value, or ‘No’ if not
"</f>
        <v xml:space="preserve">
Select ‘Yes’ if the insolvency of an associated company is a trigger for access to value, or ‘No’ if not
</v>
      </c>
      <c r="G815" s="92"/>
      <c r="H815" s="92"/>
      <c r="I815" s="92"/>
      <c r="J815" s="92"/>
    </row>
    <row r="816" spans="1:10" ht="77.5">
      <c r="A816" s="190" t="s">
        <v>1280</v>
      </c>
      <c r="B816" s="92" t="str">
        <f>"
Do not answer this question if the scheme follows a Fast Track approach ("&amp;Questions!$D$5&amp;").
"</f>
        <v xml:space="preserve">
Do not answer this question if the scheme follows a Fast Track approach (SH 13.0).
</v>
      </c>
      <c r="C816" s="92" t="str">
        <f>"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16" s="92" t="str">
        <f>"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16"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16" s="92" t="str">
        <f>"
Select ‘Yes’ if non payment of contributions is a trigger for access to value, or ‘No’ if not
"</f>
        <v xml:space="preserve">
Select ‘Yes’ if non payment of contributions is a trigger for access to value, or ‘No’ if not
</v>
      </c>
      <c r="G816" s="92"/>
      <c r="H816" s="92"/>
      <c r="I816" s="92"/>
      <c r="J816" s="92"/>
    </row>
    <row r="817" spans="1:10" ht="77.5">
      <c r="A817" s="190" t="s">
        <v>1282</v>
      </c>
      <c r="B817" s="92" t="str">
        <f>"
Do not answer this question if the scheme follows a Fast Track approach ("&amp;Questions!$D$5&amp;").
"</f>
        <v xml:space="preserve">
Do not answer this question if the scheme follows a Fast Track approach (SH 13.0).
</v>
      </c>
      <c r="C817" s="92" t="str">
        <f>"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17" s="92" t="str">
        <f>"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17"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17" s="92" t="str">
        <f>"
Select ‘Yes’ if crystallisation of investment risk is a trigger for access to value, or ‘No’ if not
"</f>
        <v xml:space="preserve">
Select ‘Yes’ if crystallisation of investment risk is a trigger for access to value, or ‘No’ if not
</v>
      </c>
      <c r="G817" s="92"/>
      <c r="H817" s="92"/>
      <c r="I817" s="92"/>
      <c r="J817" s="92"/>
    </row>
    <row r="818" spans="1:10" ht="77.5">
      <c r="A818" s="190" t="s">
        <v>1284</v>
      </c>
      <c r="B818" s="92" t="str">
        <f>"
Do not answer this question if the scheme follows a Fast Track approach ("&amp;Questions!$D$5&amp;").
"</f>
        <v xml:space="preserve">
Do not answer this question if the scheme follows a Fast Track approach (SH 13.0).
</v>
      </c>
      <c r="C818" s="92" t="str">
        <f>"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18" s="92" t="str">
        <f>"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18"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18" s="92" t="str">
        <f>"
Select ‘Yes’ if Other is a trigger for access to value, or ‘No’ if not
"</f>
        <v xml:space="preserve">
Select ‘Yes’ if Other is a trigger for access to value, or ‘No’ if not
</v>
      </c>
      <c r="G818" s="92"/>
      <c r="H818" s="92"/>
      <c r="I818" s="92"/>
      <c r="J818" s="92"/>
    </row>
    <row r="819" spans="1:10" ht="93">
      <c r="A819" s="190" t="s">
        <v>1286</v>
      </c>
      <c r="B819" s="92" t="str">
        <f>"
Do not answer this question if the scheme follows a Fast Track approach ("&amp;Questions!$D$5&amp;").
"</f>
        <v xml:space="preserve">
Do not answer this question if the scheme follows a Fast Track approach (SH 13.0).
</v>
      </c>
      <c r="C819" s="92" t="str">
        <f>"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19" s="92" t="str">
        <f>"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19" s="92" t="str">
        <f>"
Do not answer this question if the scheme follows a Bespoke approach ("&amp;Questions!$D$5&amp;"), there are one or more contingent assets the trustees wish to include details about ("&amp;Questions!$D$239&amp;") and Other is not a trigger for access to value ("&amp;Questions!$D$571&amp;").
"</f>
        <v xml:space="preserve">
Do not answer this question if the scheme follows a Bespoke approach (SH 13.0), there are one or more contingent assets the trustees wish to include details about (CSI 21.0) and Other is not a trigger for access to value (OA 15.0/2).
</v>
      </c>
      <c r="F819" s="92" t="str">
        <f>"
You must answer this question if the scheme follows a Bespoke approach ("&amp;Questions!$D$5&amp;"), there are one or more contingent assets the trustees wish to include details about ("&amp;Questions!$D$239&amp;") and Other is a trigger for access to value ("&amp;Questions!$D$571&amp;").
"</f>
        <v xml:space="preserve">
You must answer this question if the scheme follows a Bespoke approach (SH 13.0), there are one or more contingent assets the trustees wish to include details about (CSI 21.0) and Other is a trigger for access to value (OA 15.0/2).
</v>
      </c>
      <c r="G819" s="92" t="str">
        <f>"
The answer must be no more than 4000 characters.
"</f>
        <v xml:space="preserve">
The answer must be no more than 4000 characters.
</v>
      </c>
      <c r="H819" s="92"/>
      <c r="I819" s="92"/>
      <c r="J819" s="92"/>
    </row>
    <row r="820" spans="1:10" ht="77.5">
      <c r="A820" s="190" t="s">
        <v>1288</v>
      </c>
      <c r="B820" s="92" t="str">
        <f>"
Do not answer this question if the scheme follows a Fast Track approach ("&amp;Questions!$D$5&amp;").
"</f>
        <v xml:space="preserve">
Do not answer this question if the scheme follows a Fast Track approach (SH 13.0).
</v>
      </c>
      <c r="C820" s="92" t="str">
        <f>"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20" s="92" t="str">
        <f>"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20"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20" s="92" t="str">
        <f>"
The answer must be no more than 4000 characters.
"</f>
        <v xml:space="preserve">
The answer must be no more than 4000 characters.
</v>
      </c>
      <c r="G820" s="92"/>
      <c r="H820" s="92"/>
      <c r="I820" s="92"/>
      <c r="J820" s="92"/>
    </row>
    <row r="821" spans="1:10" ht="124">
      <c r="A821" s="190" t="s">
        <v>1291</v>
      </c>
      <c r="B821" s="92" t="str">
        <f>"
Do not answer this question if there are no contingent assets the trustees wish to include details about ("&amp;Questions!$D$239&amp;").
"</f>
        <v xml:space="preserve">
Do not answer this question if there are no contingent assets the trustees wish to include details about (CSI 21.0).
</v>
      </c>
      <c r="C821" s="92"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D821" s="92" t="str">
        <f>"
You must answer this question if there are one or more contingent assets the trustees wish to include details about ("&amp;Questions!$D$239&amp;").
"</f>
        <v xml:space="preserve">
You must answer this question if there are one or more contingent assets the trustees wish to include details about (CSI 21.0).
</v>
      </c>
      <c r="E821" s="92" t="str">
        <f>"
Select one of the following options from the drop-down list:
• Letter of credit
• Bank guarantee
• Surety bond
• Contingent funding mechanism from a third party
• Other
"</f>
        <v xml:space="preserve">
Select one of the following options from the drop-down list:
• Letter of credit
• Bank guarantee
• Surety bond
• Contingent funding mechanism from a third party
• Other
</v>
      </c>
      <c r="F821" s="92"/>
      <c r="G821" s="92"/>
      <c r="H821" s="92"/>
      <c r="I821" s="92"/>
      <c r="J821" s="92"/>
    </row>
    <row r="822" spans="1:10" ht="93">
      <c r="A822" s="190" t="s">
        <v>1294</v>
      </c>
      <c r="B822" s="92" t="str">
        <f>"
Do not answer this question if there are no contingent assets the trustees wish to include details about ("&amp;Questions!$D$239&amp;").
"</f>
        <v xml:space="preserve">
Do not answer this question if there are no contingent assets the trustees wish to include details about (CSI 21.0).
</v>
      </c>
      <c r="C822" s="92" t="str">
        <f>"
Do not answer this question if you have already provided the details for the number of contingent assets the trustees wish to include details about ("&amp;Questions!$D$239&amp;").
"</f>
        <v xml:space="preserve">
Do not answer this question if you have already provided the details for the number of contingent assets the trustees wish to include details about (CSI 21.0).
</v>
      </c>
      <c r="D822" s="92" t="str">
        <f>"
Do not answer this question if the scheme follows a Bespoke approach ("&amp;Questions!$D$5&amp;"), there are one or more contingent assets the trustees wish to include details about ("&amp;Questions!$D$238&amp;") and the contingent asset is not 'Contingent funding mechanism from a third party' or 'Other' ("&amp;Questions!$D$574&amp;").
"</f>
        <v xml:space="preserve">
Do not answer this question if the scheme follows a Bespoke approach (SH 13.0), there are one or more contingent assets the trustees wish to include details about (CSI 20.0) and the contingent asset is not 'Contingent funding mechanism from a third party' or 'Other' (OA 1.0/3).
</v>
      </c>
      <c r="E822" s="92" t="str">
        <f>"
You must answer this question if  there are one or more securities the trustees wish to include details about ("&amp;Questions!$D$238&amp;") and the contingent asset is 'Contingent funding mechanism from a third party' or 'Other' ("&amp;Questions!$D$540&amp;").
"</f>
        <v xml:space="preserve">
You must answer this question if  there are one or more securities the trustees wish to include details about (CSI 20.0) and the contingent asset is 'Contingent funding mechanism from a third party' or 'Other' (OA 1.0/1).
</v>
      </c>
      <c r="F822" s="92" t="str">
        <f>"
The answer must be no more than 4000 characters.
"</f>
        <v xml:space="preserve">
The answer must be no more than 4000 characters.
</v>
      </c>
      <c r="G822" s="92"/>
      <c r="H822" s="92"/>
      <c r="I822" s="92"/>
      <c r="J822" s="92"/>
    </row>
    <row r="823" spans="1:10" ht="93">
      <c r="A823" s="190" t="s">
        <v>1296</v>
      </c>
      <c r="B823" s="92" t="str">
        <f>"
Do not answer this question if the scheme follows a Fast Track approach ("&amp;Questions!$D$5&amp;").
"</f>
        <v xml:space="preserve">
Do not answer this question if the scheme follows a Fast Track approach (SH 13.0).
</v>
      </c>
      <c r="C823" s="92" t="str">
        <f>"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23" s="92" t="str">
        <f>"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23"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23" s="92" t="str">
        <f>"
Select one of the following options from the drop-down list:
• Evergreen
• Fixed expiry with a maturity date
• Other
"</f>
        <v xml:space="preserve">
Select one of the following options from the drop-down list:
• Evergreen
• Fixed expiry with a maturity date
• Other
</v>
      </c>
      <c r="G823" s="92"/>
      <c r="H823" s="92"/>
      <c r="I823" s="92"/>
      <c r="J823" s="92"/>
    </row>
    <row r="824" spans="1:10" ht="93">
      <c r="A824" s="190" t="s">
        <v>1298</v>
      </c>
      <c r="B824" s="92" t="str">
        <f>"
Do not answer this question if the scheme follows a Fast Track approach ("&amp;Questions!$D$5&amp;").
"</f>
        <v xml:space="preserve">
Do not answer this question if the scheme follows a Fast Track approach (SH 13.0).
</v>
      </c>
      <c r="C824" s="92" t="str">
        <f>"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24" s="92" t="str">
        <f>"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24" s="92" t="str">
        <f>"
Do not answer this question if the scheme follows a Bespoke approach ("&amp;Questions!$D$5&amp;"), there are one or more contingent assets the trustees wish to include details about ("&amp;Questions!$D$239&amp;") and the contingent asset security is Evergreen or Other ("&amp;Questions!$D$576&amp;").
"</f>
        <v xml:space="preserve">
Do not answer this question if the scheme follows a Bespoke approach (SH 13.0), there are one or more contingent assets the trustees wish to include details about (CSI 21.0) and the contingent asset security is Evergreen or Other (OA 3.0/3).
</v>
      </c>
      <c r="F824" s="92" t="str">
        <f>"
You must answer this question if the scheme follows a Bespoke approach ("&amp;Questions!$D$5&amp;"), there are one or more contingent assets the trustees wish to include details about ("&amp;Questions!$D$239&amp;") and the contingent asset security maturity date is Fixed expiry with a maturity date ("&amp;Questions!$D$576&amp;").
"</f>
        <v xml:space="preserve">
You must answer this question if the scheme follows a Bespoke approach (SH 13.0), there are one or more contingent assets the trustees wish to include details about (CSI 21.0) and the contingent asset security maturity date is Fixed expiry with a maturity date (OA 3.0/3).
</v>
      </c>
      <c r="G824" s="92" t="str">
        <f>"
Enter a valid date in the format dd/mm/yyyy 
"</f>
        <v xml:space="preserve">
Enter a valid date in the format dd/mm/yyyy 
</v>
      </c>
      <c r="H824" s="92" t="str">
        <f>"
This date cannot be less than the effective date of the actuarial validation ("&amp;Questions!$D$2&amp;")
"</f>
        <v xml:space="preserve">
This date cannot be less than the effective date of the actuarial validation (SH 8.0)
</v>
      </c>
      <c r="I824" s="92"/>
      <c r="J824" s="92"/>
    </row>
    <row r="825" spans="1:10" ht="93">
      <c r="A825" s="190" t="s">
        <v>1300</v>
      </c>
      <c r="B825" s="92" t="str">
        <f>"
Do not answer this question if the scheme follows a Fast Track approach ("&amp;Questions!$D$5&amp;").
"</f>
        <v xml:space="preserve">
Do not answer this question if the scheme follows a Fast Track approach (SH 13.0).
</v>
      </c>
      <c r="C825" s="92" t="str">
        <f>"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25" s="92" t="str">
        <f>"
Do not answer this question if the scheme follows a Bespoke approach ("&amp;Questions!$D$5&amp;") and you have already provided the details for the number of contingent assets the trustees wish to include details about ("&amp;Questions!$D$239&amp;").
"</f>
        <v xml:space="preserve">
Do not answer this question if the scheme follows a Bespoke approach (SH 13.0) and you have already provided the details for the number of contingent assets the trustees wish to include details about (CSI 21.0).
</v>
      </c>
      <c r="E825" s="92" t="str">
        <f>"
Do not answer this question if the scheme follows a Bespoke approach ("&amp;Questions!$D$5&amp;"), there are one or more contingent assets the trustees wish to include details about ("&amp;Questions!$D$239&amp;") and the contingent asset security is not Other ("&amp;Questions!$D$542&amp;").
"</f>
        <v xml:space="preserve">
Do not answer this question if the scheme follows a Bespoke approach (SH 13.0), there are one or more contingent assets the trustees wish to include details about (CSI 21.0) and the contingent asset security is not Other (OA 3.0/1).
</v>
      </c>
      <c r="F825" s="92" t="str">
        <f>"
You must answer this question if the scheme follows a Bespoke approach ("&amp;Questions!$D$5&amp;"), there are one or more contingent assets the trustees wish to include details about ("&amp;Questions!$D$239&amp;") and the contingent asset security maturity date is Other ("&amp;Questions!$D$542&amp;").
"</f>
        <v xml:space="preserve">
You must answer this question if the scheme follows a Bespoke approach (SH 13.0), there are one or more contingent assets the trustees wish to include details about (CSI 21.0) and the contingent asset security maturity date is Other (OA 3.0/1).
</v>
      </c>
      <c r="G825" s="92" t="str">
        <f>"
The answer must be no more than 4000 characters.
"</f>
        <v xml:space="preserve">
The answer must be no more than 4000 characters.
</v>
      </c>
      <c r="H825" s="92"/>
      <c r="I825" s="92"/>
      <c r="J825" s="92"/>
    </row>
    <row r="826" spans="1:10" ht="77.5">
      <c r="A826" s="190" t="s">
        <v>1302</v>
      </c>
      <c r="B826" s="92" t="str">
        <f>"
Do not answer this question if there are no contingent assets the trustees wish to include details about ("&amp;Questions!$D$239&amp;").
"</f>
        <v xml:space="preserve">
Do not answer this question if there are no contingent assets the trustees wish to include details about (CSI 21.0).
</v>
      </c>
      <c r="C826" s="92" t="str">
        <f>"
Do not answer this question if you have already provided the details for the number of contingent assets the trustees wish to include details about ("&amp;Questions!$D$239&amp;").
"</f>
        <v xml:space="preserve">
Do not answer this question if you have already provided the details for the number of contingent assets the trustees wish to include details about (CSI 21.0).
</v>
      </c>
      <c r="D826" s="92" t="str">
        <f>"
You must answer this question if there are one or more contingent assets the trustees wish to include details about ("&amp;Questions!$D$239&amp;").
"</f>
        <v xml:space="preserve">
You must answer this question if there are one or more contingent assets the trustees wish to include details about (CSI 21.0).
</v>
      </c>
      <c r="E826" s="92" t="str">
        <f>"
Enter a value greater than or equal to 0 and less than 1,000,000,000,000 (1 trillion). It can be accurate to two decimal places.  
"</f>
        <v xml:space="preserve">
Enter a value greater than or equal to 0 and less than 1,000,000,000,000 (1 trillion). It can be accurate to two decimal places.  
</v>
      </c>
      <c r="F826" s="92"/>
      <c r="G826" s="92"/>
      <c r="H826" s="92"/>
      <c r="I826" s="92"/>
      <c r="J826" s="92"/>
    </row>
    <row r="827" spans="1:10" ht="77.5">
      <c r="A827" s="190" t="s">
        <v>1304</v>
      </c>
      <c r="B827" s="92" t="str">
        <f>"
Do not answer this question if there are no contingent assets the trustees wish to include details about ("&amp;Questions!$D$239&amp;").
"</f>
        <v xml:space="preserve">
Do not answer this question if there are no contingent assets the trustees wish to include details about (CSI 21.0).
</v>
      </c>
      <c r="C827" s="92"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D827" s="92" t="str">
        <f>"
You must answer this question if there are one or more contingent assets the trustees wish to include details about ("&amp;Questions!$D$239&amp;").
"</f>
        <v xml:space="preserve">
You must answer this question if there are one or more contingent assets the trustees wish to include details about (CSI 21.0).
</v>
      </c>
      <c r="E827" s="92" t="str">
        <f>"
Enter a valid date that is less than or equal to today in the format dd/mm/yyyy 
"</f>
        <v xml:space="preserve">
Enter a valid date that is less than or equal to today in the format dd/mm/yyyy 
</v>
      </c>
      <c r="F827" s="92" t="str">
        <f>"
Enter a valid date that is less than or equal to today in the format dd/mm/yyyy 
"</f>
        <v xml:space="preserve">
Enter a valid date that is less than or equal to today in the format dd/mm/yyyy 
</v>
      </c>
      <c r="G827" s="92"/>
      <c r="H827" s="92"/>
      <c r="I827" s="92"/>
      <c r="J827" s="92"/>
    </row>
    <row r="828" spans="1:10" ht="155">
      <c r="A828" s="190" t="s">
        <v>1306</v>
      </c>
      <c r="B828" s="336" t="str">
        <f>"
Do not answer this question if the scheme follows a Fast Track approach ("&amp;Questions!$D$5&amp;").
"</f>
        <v xml:space="preserve">
Do not answer this question if the scheme follows a Fast Track approach (SH 13.0).
</v>
      </c>
      <c r="C828" s="336" t="str">
        <f>"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28" s="336" t="str">
        <f>"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28" s="336"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28" s="336" t="str">
        <f>"
Select one of the following options from the drop-down list:
• None
• Full s.75 (solvency) deficit
• 105% of PPF (s.179) deficit  
• Low dependency deficit
• Technical provisions deficit        
• Fixed cap
• Other
"</f>
        <v xml:space="preserve">
Select one of the following options from the drop-down list:
• None
• Full s.75 (solvency) deficit
• 105% of PPF (s.179) deficit  
• Low dependency deficit
• Technical provisions deficit        
• Fixed cap
• Other
</v>
      </c>
      <c r="G828" s="92"/>
      <c r="H828" s="92"/>
      <c r="I828" s="92"/>
      <c r="J828" s="92"/>
    </row>
    <row r="829" spans="1:10" ht="93">
      <c r="A829" s="190" t="s">
        <v>1308</v>
      </c>
      <c r="B829" s="92" t="str">
        <f>"
Do not answer this question if the scheme follows a Fast Track approach ("&amp;Questions!$D$5&amp;").
"</f>
        <v xml:space="preserve">
Do not answer this question if the scheme follows a Fast Track approach (SH 13.0).
</v>
      </c>
      <c r="C829" s="92" t="str">
        <f>"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29" s="92" t="str">
        <f>"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29" s="92" t="str">
        <f>"
Do not answer this question if the scheme follows a Bespoke approach ("&amp;Questions!$D$5&amp;"), there are one or more contingent assets the trustees wish to include details about ("&amp;Questions!$D$239&amp;") and the contingent asset security value cap is not Other ("&amp;Questions!$D$581&amp;").
"</f>
        <v xml:space="preserve">
Do not answer this question if the scheme follows a Bespoke approach (SH 13.0), there are one or more contingent assets the trustees wish to include details about (CSI 21.0) and the contingent asset security value cap is not Other (OA 8.0/3).
</v>
      </c>
      <c r="F829" s="92" t="str">
        <f>"
You must answer this question if the scheme follows a Bespoke approach ("&amp;Questions!$D$5&amp;"), there are one or more contingent assets the trustees wish to include details about ("&amp;Questions!$D$239&amp;") and the contingent asset security value cap is Other ("&amp;Questions!$D$581&amp;").
"</f>
        <v xml:space="preserve">
You must answer this question if the scheme follows a Bespoke approach (SH 13.0), there are one or more contingent assets the trustees wish to include details about (CSI 21.0) and the contingent asset security value cap is Other (OA 8.0/3).
</v>
      </c>
      <c r="G829" s="92" t="str">
        <f>"
The answer must be no more than 4000 characters.
"</f>
        <v xml:space="preserve">
The answer must be no more than 4000 characters.
</v>
      </c>
      <c r="H829" s="92"/>
      <c r="I829" s="92"/>
      <c r="J829" s="92"/>
    </row>
    <row r="830" spans="1:10" ht="77.5">
      <c r="A830" s="190" t="s">
        <v>1310</v>
      </c>
      <c r="B830" s="92" t="str">
        <f>"
Do not answer this question if the scheme follows a Fast Track approach ("&amp;Questions!$D$5&amp;").
"</f>
        <v xml:space="preserve">
Do not answer this question if the scheme follows a Fast Track approach (SH 13.0).
</v>
      </c>
      <c r="C830" s="92" t="str">
        <f>"
Do not answer this question if the scheme has no contingent asset other asset for which the trustees wish to include details ("&amp;Questions!$D$239&amp;").
"</f>
        <v xml:space="preserve">
Do not answer this question if the scheme has no contingent asset other asset for which the trustees wish to include details (CSI 21.0).
</v>
      </c>
      <c r="D830" s="92" t="str">
        <f>"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30" s="92" t="str">
        <f>"
Do not answer this question if the contingent asset other value cap is not Fixed Cap ("&amp;Questions!$D$581&amp;").
"</f>
        <v xml:space="preserve">
Do not answer this question if the contingent asset other value cap is not Fixed Cap (OA 8.0/3).
</v>
      </c>
      <c r="F830" s="92" t="str">
        <f>"
You must answer this question if the contingent asset other value cap is Fixed Cap ("&amp;Questions!$D$581&amp;").
"</f>
        <v xml:space="preserve">
You must answer this question if the contingent asset other value cap is Fixed Cap (OA 8.0/3).
</v>
      </c>
      <c r="G830" s="92" t="str">
        <f>"
Enter a value greater than or equal to 0 and less than 1,000,000,000,000 (1 trillion). It can be accurate to two decimal places. 
"</f>
        <v xml:space="preserve">
Enter a value greater than or equal to 0 and less than 1,000,000,000,000 (1 trillion). It can be accurate to two decimal places. 
</v>
      </c>
      <c r="H830" s="92"/>
      <c r="I830" s="92"/>
      <c r="J830" s="92"/>
    </row>
    <row r="831" spans="1:10" ht="77.5">
      <c r="A831" s="190" t="s">
        <v>1312</v>
      </c>
      <c r="B831" s="92" t="str">
        <f>"
Do not answer this question if the scheme follows a Fast Track approach ("&amp;Questions!$D$5&amp;").
"</f>
        <v xml:space="preserve">
Do not answer this question if the scheme follows a Fast Track approach (SH 13.0).
</v>
      </c>
      <c r="C831" s="92" t="str">
        <f>"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31" s="92" t="str">
        <f>"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31"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31" s="92" t="str">
        <f>"
Select ‘Yes’ if participating employer insolvency is a trigger for access to value, or ‘No’ if not
"</f>
        <v xml:space="preserve">
Select ‘Yes’ if participating employer insolvency is a trigger for access to value, or ‘No’ if not
</v>
      </c>
      <c r="G831" s="92"/>
      <c r="H831" s="92"/>
      <c r="I831" s="92"/>
      <c r="J831" s="92"/>
    </row>
    <row r="832" spans="1:10" ht="77.5">
      <c r="A832" s="190" t="s">
        <v>1314</v>
      </c>
      <c r="B832" s="92" t="str">
        <f>"
Do not answer this question if the scheme follows a Fast Track approach ("&amp;Questions!$D$5&amp;").
"</f>
        <v xml:space="preserve">
Do not answer this question if the scheme follows a Fast Track approach (SH 13.0).
</v>
      </c>
      <c r="C832" s="92" t="str">
        <f>"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32" s="92" t="str">
        <f>"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32"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32" s="92" t="str">
        <f>"
Select ‘Yes’ if the insolvency of an associated company is a trigger for access to value, or ‘No’ if not
"</f>
        <v xml:space="preserve">
Select ‘Yes’ if the insolvency of an associated company is a trigger for access to value, or ‘No’ if not
</v>
      </c>
      <c r="G832" s="92"/>
      <c r="H832" s="92"/>
      <c r="I832" s="92"/>
      <c r="J832" s="92"/>
    </row>
    <row r="833" spans="1:10" ht="77.5">
      <c r="A833" s="190" t="s">
        <v>1316</v>
      </c>
      <c r="B833" s="92" t="str">
        <f>"
Do not answer this question if the scheme follows a Fast Track approach ("&amp;Questions!$D$5&amp;").
"</f>
        <v xml:space="preserve">
Do not answer this question if the scheme follows a Fast Track approach (SH 13.0).
</v>
      </c>
      <c r="C833" s="92" t="str">
        <f>"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33" s="92" t="str">
        <f>"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33"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33" s="92" t="str">
        <f>"
Select ‘Yes’ if non payment of contributions is a trigger for access to value, or ‘No’ if not
"</f>
        <v xml:space="preserve">
Select ‘Yes’ if non payment of contributions is a trigger for access to value, or ‘No’ if not
</v>
      </c>
      <c r="G833" s="92"/>
      <c r="H833" s="92"/>
      <c r="I833" s="92"/>
      <c r="J833" s="92"/>
    </row>
    <row r="834" spans="1:10" ht="77.5">
      <c r="A834" s="190" t="s">
        <v>1318</v>
      </c>
      <c r="B834" s="92" t="str">
        <f>"
Do not answer this question if the scheme follows a Fast Track approach ("&amp;Questions!$D$5&amp;").
"</f>
        <v xml:space="preserve">
Do not answer this question if the scheme follows a Fast Track approach (SH 13.0).
</v>
      </c>
      <c r="C834" s="92" t="str">
        <f>"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34" s="92" t="str">
        <f>"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34"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34" s="92" t="str">
        <f>"
Select ‘Yes’ if crystallisation of investment risk is a trigger for access to value, or ‘No’ if not
"</f>
        <v xml:space="preserve">
Select ‘Yes’ if crystallisation of investment risk is a trigger for access to value, or ‘No’ if not
</v>
      </c>
      <c r="G834" s="92"/>
      <c r="H834" s="92"/>
      <c r="I834" s="92"/>
      <c r="J834" s="92"/>
    </row>
    <row r="835" spans="1:10" ht="77.5">
      <c r="A835" s="190" t="s">
        <v>1320</v>
      </c>
      <c r="B835" s="92" t="str">
        <f>"
Do not answer this question if the scheme follows a Fast Track approach ("&amp;Questions!$D$5&amp;").
"</f>
        <v xml:space="preserve">
Do not answer this question if the scheme follows a Fast Track approach (SH 13.0).
</v>
      </c>
      <c r="C835" s="92" t="str">
        <f>"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35" s="92" t="str">
        <f>"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35"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35" s="92" t="str">
        <f>"
Select ‘Yes’ if Other is a trigger for access to value, or ‘No’ if not
"</f>
        <v xml:space="preserve">
Select ‘Yes’ if Other is a trigger for access to value, or ‘No’ if not
</v>
      </c>
      <c r="G835" s="92"/>
      <c r="H835" s="92"/>
      <c r="I835" s="92"/>
      <c r="J835" s="92"/>
    </row>
    <row r="836" spans="1:10" ht="93">
      <c r="A836" s="190" t="s">
        <v>1322</v>
      </c>
      <c r="B836" s="92" t="str">
        <f>"
Do not answer this question if the scheme follows a Fast Track approach ("&amp;Questions!$D$5&amp;").
"</f>
        <v xml:space="preserve">
Do not answer this question if the scheme follows a Fast Track approach (SH 13.0).
</v>
      </c>
      <c r="C836" s="92" t="str">
        <f>"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36" s="92" t="str">
        <f>"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36" s="92" t="str">
        <f>"
Do not answer this question if the scheme follows a Bespoke approach ("&amp;Questions!$D$5&amp;"), there are one or more contingent assets the trustees wish to include details about ("&amp;Questions!$D$239&amp;") and Other is not a trigger for access to value ("&amp;Questions!$D$588&amp;").
"</f>
        <v xml:space="preserve">
Do not answer this question if the scheme follows a Bespoke approach (SH 13.0), there are one or more contingent assets the trustees wish to include details about (CSI 21.0) and Other is not a trigger for access to value (OA 15.0/3).
</v>
      </c>
      <c r="F836" s="92" t="str">
        <f>"
You must answer this question if the scheme follows a Bespoke approach ("&amp;Questions!$D$5&amp;"), there are one or more contingent assets the trustees wish to include details about ("&amp;Questions!$D$239&amp;") and Other is a trigger for access to value ("&amp;Questions!$D$588&amp;").
"</f>
        <v xml:space="preserve">
You must answer this question if the scheme follows a Bespoke approach (SH 13.0), there are one or more contingent assets the trustees wish to include details about (CSI 21.0) and Other is a trigger for access to value (OA 15.0/3).
</v>
      </c>
      <c r="G836" s="92" t="str">
        <f>"
The answer must be no more than 4000 characters.
"</f>
        <v xml:space="preserve">
The answer must be no more than 4000 characters.
</v>
      </c>
      <c r="H836" s="92"/>
      <c r="I836" s="92"/>
      <c r="J836" s="92"/>
    </row>
    <row r="837" spans="1:10" ht="77.5">
      <c r="A837" s="190" t="s">
        <v>1324</v>
      </c>
      <c r="B837" s="92" t="str">
        <f>"
Do not answer this question if the scheme follows a Fast Track approach ("&amp;Questions!$D$5&amp;").
"</f>
        <v xml:space="preserve">
Do not answer this question if the scheme follows a Fast Track approach (SH 13.0).
</v>
      </c>
      <c r="C837" s="92" t="str">
        <f>"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37" s="92" t="str">
        <f>"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37"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37" s="92" t="str">
        <f>"
The answer must be no more than 4000 characters.
"</f>
        <v xml:space="preserve">
The answer must be no more than 4000 characters.
</v>
      </c>
      <c r="G837" s="92"/>
      <c r="H837" s="92"/>
      <c r="I837" s="92"/>
      <c r="J837" s="92"/>
    </row>
    <row r="838" spans="1:10" ht="124">
      <c r="A838" s="190" t="s">
        <v>1327</v>
      </c>
      <c r="B838" s="92" t="str">
        <f>"
Do not answer this question if there are no contingent assets the trustees wish to include details about ("&amp;Questions!$D$239&amp;").
"</f>
        <v xml:space="preserve">
Do not answer this question if there are no contingent assets the trustees wish to include details about (CSI 21.0).
</v>
      </c>
      <c r="C838" s="92"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D838" s="92" t="str">
        <f>"
You must answer this question if there are one or more contingent assets the trustees wish to include details about ("&amp;Questions!$D$239&amp;").
"</f>
        <v xml:space="preserve">
You must answer this question if there are one or more contingent assets the trustees wish to include details about (CSI 21.0).
</v>
      </c>
      <c r="E838" s="92" t="str">
        <f>"
Select one of the following options from the drop-down list:
• Letter of credit
• Bank guarantee
• Surety bond
• Contingent funding mechanism from a third party
• Other
"</f>
        <v xml:space="preserve">
Select one of the following options from the drop-down list:
• Letter of credit
• Bank guarantee
• Surety bond
• Contingent funding mechanism from a third party
• Other
</v>
      </c>
      <c r="F838" s="92"/>
      <c r="G838" s="92"/>
      <c r="H838" s="92"/>
      <c r="I838" s="92"/>
      <c r="J838" s="92"/>
    </row>
    <row r="839" spans="1:10" ht="93">
      <c r="A839" s="190" t="s">
        <v>1330</v>
      </c>
      <c r="B839" s="92" t="str">
        <f>"
Do not answer this question if there are no contingent assets the trustees wish to include details about ("&amp;Questions!$D$239&amp;").
"</f>
        <v xml:space="preserve">
Do not answer this question if there are no contingent assets the trustees wish to include details about (CSI 21.0).
</v>
      </c>
      <c r="C839" s="92" t="str">
        <f>"
Do not answer this question if you have already provided the details for the number of contingent assets the trustees wish to include details about ("&amp;Questions!$D$239&amp;").
"</f>
        <v xml:space="preserve">
Do not answer this question if you have already provided the details for the number of contingent assets the trustees wish to include details about (CSI 21.0).
</v>
      </c>
      <c r="D839" s="92" t="str">
        <f>"
Do not answer this question if the scheme follows a Bespoke approach ("&amp;Questions!$D$5&amp;"), there are one or more contingent assets the trustees wish to include details about ("&amp;Questions!$D$238&amp;") and the contingent asset is not 'Contingent funding mechanism from a third party' or 'Other' ("&amp;Questions!$D$591&amp;").
"</f>
        <v xml:space="preserve">
Do not answer this question if the scheme follows a Bespoke approach (SH 13.0), there are one or more contingent assets the trustees wish to include details about (CSI 20.0) and the contingent asset is not 'Contingent funding mechanism from a third party' or 'Other' (OA 1.0/4).
</v>
      </c>
      <c r="E839" s="92" t="str">
        <f>"
You must answer this question if  there are one or more securities the trustees wish to include details about ("&amp;Questions!$D$238&amp;") and the contingent asset is 'Contingent funding mechanism from a third party' or 'Other' ("&amp;Questions!$D$540&amp;").
"</f>
        <v xml:space="preserve">
You must answer this question if  there are one or more securities the trustees wish to include details about (CSI 20.0) and the contingent asset is 'Contingent funding mechanism from a third party' or 'Other' (OA 1.0/1).
</v>
      </c>
      <c r="F839" s="92" t="str">
        <f>"
The answer must be no more than 4000 characters.
"</f>
        <v xml:space="preserve">
The answer must be no more than 4000 characters.
</v>
      </c>
      <c r="G839" s="92"/>
      <c r="H839" s="92"/>
      <c r="I839" s="92"/>
      <c r="J839" s="92"/>
    </row>
    <row r="840" spans="1:10" ht="93">
      <c r="A840" s="190" t="s">
        <v>1332</v>
      </c>
      <c r="B840" s="92" t="str">
        <f>"
Do not answer this question if the scheme follows a Fast Track approach ("&amp;Questions!$D$5&amp;").
"</f>
        <v xml:space="preserve">
Do not answer this question if the scheme follows a Fast Track approach (SH 13.0).
</v>
      </c>
      <c r="C840" s="92" t="str">
        <f>"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40" s="92" t="str">
        <f>"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40"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40" s="92" t="str">
        <f>"
Select one of the following options from the drop-down list:
• Evergreen
• Fixed expiry with a maturity date
• Other
"</f>
        <v xml:space="preserve">
Select one of the following options from the drop-down list:
• Evergreen
• Fixed expiry with a maturity date
• Other
</v>
      </c>
      <c r="G840" s="92"/>
      <c r="H840" s="92"/>
      <c r="I840" s="92"/>
      <c r="J840" s="92"/>
    </row>
    <row r="841" spans="1:10" ht="93">
      <c r="A841" s="190" t="s">
        <v>1334</v>
      </c>
      <c r="B841" s="92" t="str">
        <f>"
Do not answer this question if the scheme follows a Fast Track approach ("&amp;Questions!$D$5&amp;").
"</f>
        <v xml:space="preserve">
Do not answer this question if the scheme follows a Fast Track approach (SH 13.0).
</v>
      </c>
      <c r="C841" s="92" t="str">
        <f>"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41" s="92" t="str">
        <f>"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41" s="92" t="str">
        <f>"
Do not answer this question if the scheme follows a Bespoke approach ("&amp;Questions!$D$5&amp;"), there are one or more contingent assets the trustees wish to include details about ("&amp;Questions!$D$239&amp;") and the contingent asset security is Evergreen or Other ("&amp;Questions!$D$593&amp;").
"</f>
        <v xml:space="preserve">
Do not answer this question if the scheme follows a Bespoke approach (SH 13.0), there are one or more contingent assets the trustees wish to include details about (CSI 21.0) and the contingent asset security is Evergreen or Other (OA 3.0/4).
</v>
      </c>
      <c r="F841" s="92" t="str">
        <f>"
You must answer this question if the scheme follows a Bespoke approach ("&amp;Questions!$D$5&amp;"), there are one or more contingent assets the trustees wish to include details about ("&amp;Questions!$D$239&amp;") and the contingent asset security maturity date is Fixed expiry with a maturity date ("&amp;Questions!$D$593&amp;").
"</f>
        <v xml:space="preserve">
You must answer this question if the scheme follows a Bespoke approach (SH 13.0), there are one or more contingent assets the trustees wish to include details about (CSI 21.0) and the contingent asset security maturity date is Fixed expiry with a maturity date (OA 3.0/4).
</v>
      </c>
      <c r="G841" s="92" t="str">
        <f>"
Enter a valid date in the format dd/mm/yyyy 
"</f>
        <v xml:space="preserve">
Enter a valid date in the format dd/mm/yyyy 
</v>
      </c>
      <c r="H841" s="92" t="str">
        <f>"
This date cannot be less than the effective date of the actuarial validation ("&amp;Questions!$D$2&amp;")
"</f>
        <v xml:space="preserve">
This date cannot be less than the effective date of the actuarial validation (SH 8.0)
</v>
      </c>
      <c r="I841" s="92"/>
      <c r="J841" s="92"/>
    </row>
    <row r="842" spans="1:10" ht="93">
      <c r="A842" s="190" t="s">
        <v>1336</v>
      </c>
      <c r="B842" s="92" t="str">
        <f>"
Do not answer this question if the scheme follows a Fast Track approach ("&amp;Questions!$D$5&amp;").
"</f>
        <v xml:space="preserve">
Do not answer this question if the scheme follows a Fast Track approach (SH 13.0).
</v>
      </c>
      <c r="C842" s="92" t="str">
        <f>"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42" s="92" t="str">
        <f>"
Do not answer this question if the scheme follows a Bespoke approach ("&amp;Questions!$D$5&amp;") and you have already provided the details for the number of contingent assets the trustees wish to include details about ("&amp;Questions!$D$239&amp;").
"</f>
        <v xml:space="preserve">
Do not answer this question if the scheme follows a Bespoke approach (SH 13.0) and you have already provided the details for the number of contingent assets the trustees wish to include details about (CSI 21.0).
</v>
      </c>
      <c r="E842" s="92" t="str">
        <f>"
Do not answer this question if the scheme follows a Bespoke approach ("&amp;Questions!$D$5&amp;"), there are one or more contingent assets the trustees wish to include details about ("&amp;Questions!$D$239&amp;") and the contingent asset security is not Other ("&amp;Questions!$D$593&amp;").
"</f>
        <v xml:space="preserve">
Do not answer this question if the scheme follows a Bespoke approach (SH 13.0), there are one or more contingent assets the trustees wish to include details about (CSI 21.0) and the contingent asset security is not Other (OA 3.0/4).
</v>
      </c>
      <c r="F842" s="92" t="str">
        <f>"
You must answer this question if the scheme follows a Bespoke approach ("&amp;Questions!$D$5&amp;"), there are one or more contingent assets the trustees wish to include details about ("&amp;Questions!$D$239&amp;") and the contingent asset security maturity date is Other ("&amp;Questions!$D$593&amp;").
"</f>
        <v xml:space="preserve">
You must answer this question if the scheme follows a Bespoke approach (SH 13.0), there are one or more contingent assets the trustees wish to include details about (CSI 21.0) and the contingent asset security maturity date is Other (OA 3.0/4).
</v>
      </c>
      <c r="G842" s="92" t="str">
        <f>"
The answer must be no more than 4000 characters.
"</f>
        <v xml:space="preserve">
The answer must be no more than 4000 characters.
</v>
      </c>
      <c r="H842" s="92"/>
      <c r="I842" s="92"/>
      <c r="J842" s="92"/>
    </row>
    <row r="843" spans="1:10" ht="77.5">
      <c r="A843" s="190" t="s">
        <v>1338</v>
      </c>
      <c r="B843" s="92" t="str">
        <f>"
Do not answer this question if there are no contingent assets the trustees wish to include details about ("&amp;Questions!$D$239&amp;").
"</f>
        <v xml:space="preserve">
Do not answer this question if there are no contingent assets the trustees wish to include details about (CSI 21.0).
</v>
      </c>
      <c r="C843" s="92" t="str">
        <f>"
Do not answer this question if you have already provided the details for the number of contingent assets the trustees wish to include details about ("&amp;Questions!$D$239&amp;").
"</f>
        <v xml:space="preserve">
Do not answer this question if you have already provided the details for the number of contingent assets the trustees wish to include details about (CSI 21.0).
</v>
      </c>
      <c r="D843" s="92" t="str">
        <f>"
You must answer this question if there are one or more contingent assets the trustees wish to include details about ("&amp;Questions!$D$239&amp;").
"</f>
        <v xml:space="preserve">
You must answer this question if there are one or more contingent assets the trustees wish to include details about (CSI 21.0).
</v>
      </c>
      <c r="E843" s="92" t="str">
        <f>"
Enter a value greater than or equal to 0 and less than 1,000,000,000,000 (1 trillion). It can be accurate to two decimal places.  
"</f>
        <v xml:space="preserve">
Enter a value greater than or equal to 0 and less than 1,000,000,000,000 (1 trillion). It can be accurate to two decimal places.  
</v>
      </c>
      <c r="F843" s="92"/>
      <c r="G843" s="92"/>
      <c r="H843" s="92"/>
      <c r="I843" s="92"/>
      <c r="J843" s="92"/>
    </row>
    <row r="844" spans="1:10" ht="77.5">
      <c r="A844" s="190" t="s">
        <v>1340</v>
      </c>
      <c r="B844" s="92" t="str">
        <f>"
Do not answer this question if there are no contingent assets the trustees wish to include details about ("&amp;Questions!$D$239&amp;").
"</f>
        <v xml:space="preserve">
Do not answer this question if there are no contingent assets the trustees wish to include details about (CSI 21.0).
</v>
      </c>
      <c r="C844" s="92"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D844" s="92" t="str">
        <f>"
You must answer this question if there are one or more contingent assets the trustees wish to include details about ("&amp;Questions!$D$239&amp;").
"</f>
        <v xml:space="preserve">
You must answer this question if there are one or more contingent assets the trustees wish to include details about (CSI 21.0).
</v>
      </c>
      <c r="E844" s="92" t="str">
        <f>"
Enter a valid date that is less than or equal to today in the format dd/mm/yyyy 
"</f>
        <v xml:space="preserve">
Enter a valid date that is less than or equal to today in the format dd/mm/yyyy 
</v>
      </c>
      <c r="F844" s="92" t="str">
        <f>"
Enter a valid date that is less than or equal to today in the format dd/mm/yyyy 
"</f>
        <v xml:space="preserve">
Enter a valid date that is less than or equal to today in the format dd/mm/yyyy 
</v>
      </c>
      <c r="G844" s="92"/>
      <c r="H844" s="92"/>
      <c r="I844" s="92"/>
      <c r="J844" s="92"/>
    </row>
    <row r="845" spans="1:10" ht="155">
      <c r="A845" s="190" t="s">
        <v>1342</v>
      </c>
      <c r="B845" s="336" t="str">
        <f>"
Do not answer this question if the scheme follows a Fast Track approach ("&amp;Questions!$D$5&amp;").
"</f>
        <v xml:space="preserve">
Do not answer this question if the scheme follows a Fast Track approach (SH 13.0).
</v>
      </c>
      <c r="C845" s="336" t="str">
        <f>"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45" s="336" t="str">
        <f>"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45" s="336"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45" s="336" t="str">
        <f>"
Select one of the following options from the drop-down list:
• None
• Full s.75 (solvency) deficit
• 105% of PPF (s.179) deficit  
• Low dependency deficit
• Technical provisions deficit        
• Fixed cap
• Other
"</f>
        <v xml:space="preserve">
Select one of the following options from the drop-down list:
• None
• Full s.75 (solvency) deficit
• 105% of PPF (s.179) deficit  
• Low dependency deficit
• Technical provisions deficit        
• Fixed cap
• Other
</v>
      </c>
      <c r="G845" s="92"/>
      <c r="H845" s="92"/>
      <c r="I845" s="92"/>
      <c r="J845" s="92"/>
    </row>
    <row r="846" spans="1:10" ht="93">
      <c r="A846" s="190" t="s">
        <v>1344</v>
      </c>
      <c r="B846" s="92" t="str">
        <f>"
Do not answer this question if the scheme follows a Fast Track approach ("&amp;Questions!$D$5&amp;").
"</f>
        <v xml:space="preserve">
Do not answer this question if the scheme follows a Fast Track approach (SH 13.0).
</v>
      </c>
      <c r="C846" s="92" t="str">
        <f>"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46" s="92" t="str">
        <f>"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46" s="92" t="str">
        <f>"
Do not answer this question if the scheme follows a Bespoke approach ("&amp;Questions!$D$5&amp;"), there are one or more contingent assets the trustees wish to include details about ("&amp;Questions!$D$239&amp;") and the contingent asset security value cap is not Other ("&amp;Questions!$D$598&amp;").
"</f>
        <v xml:space="preserve">
Do not answer this question if the scheme follows a Bespoke approach (SH 13.0), there are one or more contingent assets the trustees wish to include details about (CSI 21.0) and the contingent asset security value cap is not Other (OA 8.0/4).
</v>
      </c>
      <c r="F846" s="92" t="str">
        <f>"
You must answer this question if the scheme follows a Bespoke approach ("&amp;Questions!$D$5&amp;"), there are one or more contingent assets the trustees wish to include details about ("&amp;Questions!$D$239&amp;") and the contingent asset security value cap is Other ("&amp;Questions!$D$598&amp;").
"</f>
        <v xml:space="preserve">
You must answer this question if the scheme follows a Bespoke approach (SH 13.0), there are one or more contingent assets the trustees wish to include details about (CSI 21.0) and the contingent asset security value cap is Other (OA 8.0/4).
</v>
      </c>
      <c r="G846" s="92" t="str">
        <f>"
The answer must be no more than 4000 characters.
"</f>
        <v xml:space="preserve">
The answer must be no more than 4000 characters.
</v>
      </c>
      <c r="H846" s="92"/>
      <c r="I846" s="92"/>
      <c r="J846" s="92"/>
    </row>
    <row r="847" spans="1:10" ht="77.5">
      <c r="A847" s="190" t="s">
        <v>1346</v>
      </c>
      <c r="B847" s="92" t="str">
        <f>"
Do not answer this question if the scheme follows a Fast Track approach ("&amp;Questions!$D$5&amp;").
"</f>
        <v xml:space="preserve">
Do not answer this question if the scheme follows a Fast Track approach (SH 13.0).
</v>
      </c>
      <c r="C847" s="92" t="str">
        <f>"
Do not answer this question if the scheme has no contingent asset other asset for which the trustees wish to include details ("&amp;Questions!$D$239&amp;").
"</f>
        <v xml:space="preserve">
Do not answer this question if the scheme has no contingent asset other asset for which the trustees wish to include details (CSI 21.0).
</v>
      </c>
      <c r="D847" s="92" t="str">
        <f>"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47" s="92" t="str">
        <f>"
Do not answer this question if the contingent asset other value cap is not Fixed Cap ("&amp;Questions!$D$598&amp;").
"</f>
        <v xml:space="preserve">
Do not answer this question if the contingent asset other value cap is not Fixed Cap (OA 8.0/4).
</v>
      </c>
      <c r="F847" s="92" t="str">
        <f>"
You must answer this question if the contingent asset other value cap is Fixed Cap ("&amp;Questions!$D$598&amp;").
"</f>
        <v xml:space="preserve">
You must answer this question if the contingent asset other value cap is Fixed Cap (OA 8.0/4).
</v>
      </c>
      <c r="G847" s="92" t="str">
        <f>"
Enter a value greater than or equal to 0 and less than 1,000,000,000,000 (1 trillion). It can be accurate to two decimal places. 
"</f>
        <v xml:space="preserve">
Enter a value greater than or equal to 0 and less than 1,000,000,000,000 (1 trillion). It can be accurate to two decimal places. 
</v>
      </c>
      <c r="H847" s="92"/>
      <c r="I847" s="92"/>
      <c r="J847" s="92"/>
    </row>
    <row r="848" spans="1:10" ht="77.5">
      <c r="A848" s="190" t="s">
        <v>1348</v>
      </c>
      <c r="B848" s="92" t="str">
        <f>"
Do not answer this question if the scheme follows a Fast Track approach ("&amp;Questions!$D$5&amp;").
"</f>
        <v xml:space="preserve">
Do not answer this question if the scheme follows a Fast Track approach (SH 13.0).
</v>
      </c>
      <c r="C848" s="92" t="str">
        <f>"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48" s="92" t="str">
        <f>"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48"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48" s="92" t="str">
        <f>"
Select ‘Yes’ if participating employer insolvency is a trigger for access to value, or ‘No’ if not
"</f>
        <v xml:space="preserve">
Select ‘Yes’ if participating employer insolvency is a trigger for access to value, or ‘No’ if not
</v>
      </c>
      <c r="G848" s="92"/>
      <c r="H848" s="92"/>
      <c r="I848" s="92"/>
      <c r="J848" s="92"/>
    </row>
    <row r="849" spans="1:10" ht="77.5">
      <c r="A849" s="190" t="s">
        <v>1350</v>
      </c>
      <c r="B849" s="92" t="str">
        <f>"
Do not answer this question if the scheme follows a Fast Track approach ("&amp;Questions!$D$5&amp;").
"</f>
        <v xml:space="preserve">
Do not answer this question if the scheme follows a Fast Track approach (SH 13.0).
</v>
      </c>
      <c r="C849" s="92" t="str">
        <f>"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49" s="92" t="str">
        <f>"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49"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49" s="92" t="str">
        <f>"
Select ‘Yes’ if the insolvency of an associated company is a trigger for access to value, or ‘No’ if not
"</f>
        <v xml:space="preserve">
Select ‘Yes’ if the insolvency of an associated company is a trigger for access to value, or ‘No’ if not
</v>
      </c>
      <c r="G849" s="92"/>
      <c r="H849" s="92"/>
      <c r="I849" s="92"/>
      <c r="J849" s="92"/>
    </row>
    <row r="850" spans="1:10" ht="77.5">
      <c r="A850" s="190" t="s">
        <v>1352</v>
      </c>
      <c r="B850" s="92" t="str">
        <f>"
Do not answer this question if the scheme follows a Fast Track approach ("&amp;Questions!$D$5&amp;").
"</f>
        <v xml:space="preserve">
Do not answer this question if the scheme follows a Fast Track approach (SH 13.0).
</v>
      </c>
      <c r="C850" s="92" t="str">
        <f>"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50" s="92" t="str">
        <f>"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50"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50" s="92" t="str">
        <f>"
Select ‘Yes’ if non payment of contributions is a trigger for access to value, or ‘No’ if not
"</f>
        <v xml:space="preserve">
Select ‘Yes’ if non payment of contributions is a trigger for access to value, or ‘No’ if not
</v>
      </c>
      <c r="G850" s="92"/>
      <c r="H850" s="92"/>
      <c r="I850" s="92"/>
      <c r="J850" s="92"/>
    </row>
    <row r="851" spans="1:10" ht="77.5">
      <c r="A851" s="190" t="s">
        <v>1354</v>
      </c>
      <c r="B851" s="92" t="str">
        <f>"
Do not answer this question if the scheme follows a Fast Track approach ("&amp;Questions!$D$5&amp;").
"</f>
        <v xml:space="preserve">
Do not answer this question if the scheme follows a Fast Track approach (SH 13.0).
</v>
      </c>
      <c r="C851" s="92" t="str">
        <f>"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51" s="92" t="str">
        <f>"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51"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51" s="92" t="str">
        <f>"
Select ‘Yes’ if crystallisation of investment risk is a trigger for access to value, or ‘No’ if not
"</f>
        <v xml:space="preserve">
Select ‘Yes’ if crystallisation of investment risk is a trigger for access to value, or ‘No’ if not
</v>
      </c>
      <c r="G851" s="92"/>
      <c r="H851" s="92"/>
      <c r="I851" s="92"/>
      <c r="J851" s="92"/>
    </row>
    <row r="852" spans="1:10" ht="77.5">
      <c r="A852" s="190" t="s">
        <v>1356</v>
      </c>
      <c r="B852" s="92" t="str">
        <f>"
Do not answer this question if the scheme follows a Fast Track approach ("&amp;Questions!$D$5&amp;").
"</f>
        <v xml:space="preserve">
Do not answer this question if the scheme follows a Fast Track approach (SH 13.0).
</v>
      </c>
      <c r="C852" s="92" t="str">
        <f>"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52" s="92" t="str">
        <f>"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52"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52" s="92" t="str">
        <f>"
Select ‘Yes’ if Other is a trigger for access to value, or ‘No’ if not
"</f>
        <v xml:space="preserve">
Select ‘Yes’ if Other is a trigger for access to value, or ‘No’ if not
</v>
      </c>
      <c r="G852" s="92"/>
      <c r="H852" s="92"/>
      <c r="I852" s="92"/>
      <c r="J852" s="92"/>
    </row>
    <row r="853" spans="1:10" ht="93">
      <c r="A853" s="190" t="s">
        <v>1358</v>
      </c>
      <c r="B853" s="92" t="str">
        <f>"
Do not answer this question if the scheme follows a Fast Track approach ("&amp;Questions!$D$5&amp;").
"</f>
        <v xml:space="preserve">
Do not answer this question if the scheme follows a Fast Track approach (SH 13.0).
</v>
      </c>
      <c r="C853" s="92" t="str">
        <f>"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53" s="92" t="str">
        <f>"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53" s="92" t="str">
        <f>"
Do not answer this question if the scheme follows a Bespoke approach ("&amp;Questions!$D$5&amp;"), there are one or more contingent assets the trustees wish to include details about ("&amp;Questions!$D$239&amp;") and Other is not a trigger for access to value ("&amp;Questions!$D$605&amp;").
"</f>
        <v xml:space="preserve">
Do not answer this question if the scheme follows a Bespoke approach (SH 13.0), there are one or more contingent assets the trustees wish to include details about (CSI 21.0) and Other is not a trigger for access to value (OA 15.0/4).
</v>
      </c>
      <c r="F853" s="92" t="str">
        <f>"
You must answer this question if the scheme follows a Bespoke approach ("&amp;Questions!$D$5&amp;"), there are one or more contingent assets the trustees wish to include details about ("&amp;Questions!$D$239&amp;") and Other is a trigger for access to value ("&amp;Questions!$D$605&amp;").
"</f>
        <v xml:space="preserve">
You must answer this question if the scheme follows a Bespoke approach (SH 13.0), there are one or more contingent assets the trustees wish to include details about (CSI 21.0) and Other is a trigger for access to value (OA 15.0/4).
</v>
      </c>
      <c r="G853" s="92" t="str">
        <f>"
The answer must be no more than 4000 characters.
"</f>
        <v xml:space="preserve">
The answer must be no more than 4000 characters.
</v>
      </c>
      <c r="H853" s="92"/>
      <c r="I853" s="92"/>
      <c r="J853" s="92"/>
    </row>
    <row r="854" spans="1:10" ht="77.5">
      <c r="A854" s="190" t="s">
        <v>1360</v>
      </c>
      <c r="B854" s="92" t="str">
        <f>"
Do not answer this question if the scheme follows a Fast Track approach ("&amp;Questions!$D$5&amp;").
"</f>
        <v xml:space="preserve">
Do not answer this question if the scheme follows a Fast Track approach (SH 13.0).
</v>
      </c>
      <c r="C854" s="92" t="str">
        <f>"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54" s="92" t="str">
        <f>"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54"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54" s="92" t="str">
        <f>"
The answer must be no more than 4000 characters.
"</f>
        <v xml:space="preserve">
The answer must be no more than 4000 characters.
</v>
      </c>
      <c r="G854" s="92"/>
      <c r="H854" s="92"/>
      <c r="I854" s="92"/>
      <c r="J854" s="92"/>
    </row>
    <row r="855" spans="1:10" ht="124">
      <c r="A855" s="190" t="s">
        <v>1363</v>
      </c>
      <c r="B855" s="92" t="str">
        <f>"
Do not answer this question if there are no contingent assets the trustees wish to include details about ("&amp;Questions!$D$239&amp;").
"</f>
        <v xml:space="preserve">
Do not answer this question if there are no contingent assets the trustees wish to include details about (CSI 21.0).
</v>
      </c>
      <c r="C855" s="92"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D855" s="92" t="str">
        <f>"
You must answer this question if there are one or more contingent assets the trustees wish to include details about ("&amp;Questions!$D$239&amp;").
"</f>
        <v xml:space="preserve">
You must answer this question if there are one or more contingent assets the trustees wish to include details about (CSI 21.0).
</v>
      </c>
      <c r="E855" s="92" t="str">
        <f>"
Select one of the following options from the drop-down list:
• Letter of credit
• Bank guarantee
• Surety bond
• Contingent funding mechanism from a third party
• Other
"</f>
        <v xml:space="preserve">
Select one of the following options from the drop-down list:
• Letter of credit
• Bank guarantee
• Surety bond
• Contingent funding mechanism from a third party
• Other
</v>
      </c>
      <c r="F855" s="92"/>
      <c r="G855" s="92"/>
      <c r="H855" s="92"/>
      <c r="I855" s="92"/>
      <c r="J855" s="92"/>
    </row>
    <row r="856" spans="1:10" ht="93">
      <c r="A856" s="190" t="s">
        <v>1365</v>
      </c>
      <c r="B856" s="92" t="str">
        <f>"
Do not answer this question if there are no contingent assets the trustees wish to include details about ("&amp;Questions!$D$239&amp;").
"</f>
        <v xml:space="preserve">
Do not answer this question if there are no contingent assets the trustees wish to include details about (CSI 21.0).
</v>
      </c>
      <c r="C856" s="92" t="str">
        <f>"
Do not answer this question if you have already provided the details for the number of contingent assets the trustees wish to include details about ("&amp;Questions!$D$239&amp;").
"</f>
        <v xml:space="preserve">
Do not answer this question if you have already provided the details for the number of contingent assets the trustees wish to include details about (CSI 21.0).
</v>
      </c>
      <c r="D856" s="92" t="str">
        <f>"
Do not answer this question if the scheme follows a Bespoke approach ("&amp;Questions!$D$5&amp;"), there are one or more contingent assets the trustees wish to include details about ("&amp;Questions!$D$238&amp;") and the contingent asset is not 'Contingent funding mechanism from a third party' or 'Other' ("&amp;Questions!$D$608&amp;").
"</f>
        <v xml:space="preserve">
Do not answer this question if the scheme follows a Bespoke approach (SH 13.0), there are one or more contingent assets the trustees wish to include details about (CSI 20.0) and the contingent asset is not 'Contingent funding mechanism from a third party' or 'Other' (OA 1.0/5).
</v>
      </c>
      <c r="E856" s="92" t="str">
        <f>"
You must answer this question if  there are one or more securities the trustees wish to include details about ("&amp;Questions!$D$238&amp;") and the contingent asset is 'Contingent funding mechanism from a third party' or 'Other' ("&amp;Questions!$D$540&amp;").
"</f>
        <v xml:space="preserve">
You must answer this question if  there are one or more securities the trustees wish to include details about (CSI 20.0) and the contingent asset is 'Contingent funding mechanism from a third party' or 'Other' (OA 1.0/1).
</v>
      </c>
      <c r="F856" s="92" t="str">
        <f>"
The answer must be no more than 4000 characters.
"</f>
        <v xml:space="preserve">
The answer must be no more than 4000 characters.
</v>
      </c>
      <c r="G856" s="92"/>
      <c r="H856" s="92"/>
      <c r="I856" s="92"/>
      <c r="J856" s="92"/>
    </row>
    <row r="857" spans="1:10" ht="93">
      <c r="A857" s="190" t="s">
        <v>1367</v>
      </c>
      <c r="B857" s="92" t="str">
        <f>"
Do not answer this question if the scheme follows a Fast Track approach ("&amp;Questions!$D$5&amp;").
"</f>
        <v xml:space="preserve">
Do not answer this question if the scheme follows a Fast Track approach (SH 13.0).
</v>
      </c>
      <c r="C857" s="92" t="str">
        <f>"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57" s="92" t="str">
        <f>"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57"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57" s="92" t="str">
        <f>"
Select one of the following options from the drop-down list:
• Evergreen
• Fixed expiry with a maturity date
• Other
"</f>
        <v xml:space="preserve">
Select one of the following options from the drop-down list:
• Evergreen
• Fixed expiry with a maturity date
• Other
</v>
      </c>
      <c r="G857" s="92"/>
      <c r="H857" s="92"/>
      <c r="I857" s="92"/>
      <c r="J857" s="92"/>
    </row>
    <row r="858" spans="1:10" ht="93">
      <c r="A858" s="190" t="s">
        <v>1369</v>
      </c>
      <c r="B858" s="92" t="str">
        <f>"
Do not answer this question if the scheme follows a Fast Track approach ("&amp;Questions!$D$5&amp;").
"</f>
        <v xml:space="preserve">
Do not answer this question if the scheme follows a Fast Track approach (SH 13.0).
</v>
      </c>
      <c r="C858" s="92" t="str">
        <f>"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58" s="92" t="str">
        <f>"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58" s="92" t="str">
        <f>"
Do not answer this question if the scheme follows a Bespoke approach ("&amp;Questions!$D$5&amp;"), there are one or more contingent assets the trustees wish to include details about ("&amp;Questions!$D$239&amp;") and the contingent asset security is Evergreen or Other ("&amp;Questions!$D$610&amp;").
"</f>
        <v xml:space="preserve">
Do not answer this question if the scheme follows a Bespoke approach (SH 13.0), there are one or more contingent assets the trustees wish to include details about (CSI 21.0) and the contingent asset security is Evergreen or Other (OA 3.0/5).
</v>
      </c>
      <c r="F858" s="92" t="str">
        <f>"
You must answer this question if the scheme follows a Bespoke approach ("&amp;Questions!$D$5&amp;"), there are one or more contingent assets the trustees wish to include details about ("&amp;Questions!$D$239&amp;") and the contingent asset security maturity date is Fixed expiry with a maturity date ("&amp;Questions!$D$610&amp;").
"</f>
        <v xml:space="preserve">
You must answer this question if the scheme follows a Bespoke approach (SH 13.0), there are one or more contingent assets the trustees wish to include details about (CSI 21.0) and the contingent asset security maturity date is Fixed expiry with a maturity date (OA 3.0/5).
</v>
      </c>
      <c r="G858" s="92" t="str">
        <f>"
Enter a valid date in the format dd/mm/yyyy 
"</f>
        <v xml:space="preserve">
Enter a valid date in the format dd/mm/yyyy 
</v>
      </c>
      <c r="H858" s="92" t="str">
        <f>"
This date cannot be less than the effective date of the actuarial validation ("&amp;Questions!$D$2&amp;")
"</f>
        <v xml:space="preserve">
This date cannot be less than the effective date of the actuarial validation (SH 8.0)
</v>
      </c>
      <c r="I858" s="92"/>
      <c r="J858" s="92"/>
    </row>
    <row r="859" spans="1:10" ht="93">
      <c r="A859" s="190" t="s">
        <v>1371</v>
      </c>
      <c r="B859" s="92" t="str">
        <f>"
Do not answer this question if the scheme follows a Fast Track approach ("&amp;Questions!$D$5&amp;").
"</f>
        <v xml:space="preserve">
Do not answer this question if the scheme follows a Fast Track approach (SH 13.0).
</v>
      </c>
      <c r="C859" s="92" t="str">
        <f>"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59" s="92" t="str">
        <f>"
Do not answer this question if the scheme follows a Bespoke approach ("&amp;Questions!$D$5&amp;") and you have already provided the details for the number of contingent assets the trustees wish to include details about ("&amp;Questions!$D$239&amp;").
"</f>
        <v xml:space="preserve">
Do not answer this question if the scheme follows a Bespoke approach (SH 13.0) and you have already provided the details for the number of contingent assets the trustees wish to include details about (CSI 21.0).
</v>
      </c>
      <c r="E859" s="92" t="str">
        <f>"
Do not answer this question if the scheme follows a Bespoke approach ("&amp;Questions!$D$5&amp;"), there are one or more contingent assets the trustees wish to include details about ("&amp;Questions!$D$239&amp;") and the contingent asset security is not Other ("&amp;Questions!$D$610&amp;").
"</f>
        <v xml:space="preserve">
Do not answer this question if the scheme follows a Bespoke approach (SH 13.0), there are one or more contingent assets the trustees wish to include details about (CSI 21.0) and the contingent asset security is not Other (OA 3.0/5).
</v>
      </c>
      <c r="F859" s="92" t="str">
        <f>"
You must answer this question if the scheme follows a Bespoke approach ("&amp;Questions!$D$5&amp;"), there are one or more contingent assets the trustees wish to include details about ("&amp;Questions!$D$239&amp;") and the contingent asset security maturity date is Other ("&amp;Questions!$D$610&amp;").
"</f>
        <v xml:space="preserve">
You must answer this question if the scheme follows a Bespoke approach (SH 13.0), there are one or more contingent assets the trustees wish to include details about (CSI 21.0) and the contingent asset security maturity date is Other (OA 3.0/5).
</v>
      </c>
      <c r="G859" s="92" t="str">
        <f>"
The answer must be no more than 4000 characters.
"</f>
        <v xml:space="preserve">
The answer must be no more than 4000 characters.
</v>
      </c>
      <c r="H859" s="92"/>
      <c r="I859" s="92"/>
      <c r="J859" s="92"/>
    </row>
    <row r="860" spans="1:10" ht="77.5">
      <c r="A860" s="190" t="s">
        <v>1373</v>
      </c>
      <c r="B860" s="92" t="str">
        <f>"
Do not answer this question if there are no contingent assets the trustees wish to include details about ("&amp;Questions!$D$239&amp;").
"</f>
        <v xml:space="preserve">
Do not answer this question if there are no contingent assets the trustees wish to include details about (CSI 21.0).
</v>
      </c>
      <c r="C860" s="92" t="str">
        <f>"
Do not answer this question if you have already provided the details for the number of contingent assets the trustees wish to include details about ("&amp;Questions!$D$239&amp;").
"</f>
        <v xml:space="preserve">
Do not answer this question if you have already provided the details for the number of contingent assets the trustees wish to include details about (CSI 21.0).
</v>
      </c>
      <c r="D860" s="92" t="str">
        <f>"
You must answer this question if there are one or more contingent assets the trustees wish to include details about ("&amp;Questions!$D$239&amp;").
"</f>
        <v xml:space="preserve">
You must answer this question if there are one or more contingent assets the trustees wish to include details about (CSI 21.0).
</v>
      </c>
      <c r="E860" s="92" t="str">
        <f>"
Enter a value greater than or equal to 0 and less than 1,000,000,000,000 (1 trillion). It can be accurate to two decimal places.  
"</f>
        <v xml:space="preserve">
Enter a value greater than or equal to 0 and less than 1,000,000,000,000 (1 trillion). It can be accurate to two decimal places.  
</v>
      </c>
      <c r="F860" s="92"/>
      <c r="G860" s="92"/>
      <c r="H860" s="92"/>
      <c r="I860" s="92"/>
      <c r="J860" s="92"/>
    </row>
    <row r="861" spans="1:10" ht="77.5">
      <c r="A861" s="190" t="s">
        <v>1375</v>
      </c>
      <c r="B861" s="92" t="str">
        <f>"
Do not answer this question if there are no contingent assets the trustees wish to include details about ("&amp;Questions!$D$239&amp;").
"</f>
        <v xml:space="preserve">
Do not answer this question if there are no contingent assets the trustees wish to include details about (CSI 21.0).
</v>
      </c>
      <c r="C861" s="92" t="str">
        <f>"
Do not answer this question if you have already provided the details for the number of contingent assets the trustees wish to include details about in ("&amp;Questions!$D$239&amp;").
"</f>
        <v xml:space="preserve">
Do not answer this question if you have already provided the details for the number of contingent assets the trustees wish to include details about in (CSI 21.0).
</v>
      </c>
      <c r="D861" s="92" t="str">
        <f>"
You must answer this question if there are one or more contingent assets the trustees wish to include details about ("&amp;Questions!$D$239&amp;").
"</f>
        <v xml:space="preserve">
You must answer this question if there are one or more contingent assets the trustees wish to include details about (CSI 21.0).
</v>
      </c>
      <c r="E861" s="92" t="str">
        <f>"
Enter a valid date that is less than or equal to today in the format dd/mm/yyyy 
"</f>
        <v xml:space="preserve">
Enter a valid date that is less than or equal to today in the format dd/mm/yyyy 
</v>
      </c>
      <c r="F861" s="92" t="str">
        <f>"
Enter a valid date that is less than or equal to today in the format dd/mm/yyyy 
"</f>
        <v xml:space="preserve">
Enter a valid date that is less than or equal to today in the format dd/mm/yyyy 
</v>
      </c>
      <c r="G861" s="92"/>
      <c r="H861" s="92"/>
      <c r="I861" s="92"/>
      <c r="J861" s="92"/>
    </row>
    <row r="862" spans="1:10" ht="155">
      <c r="A862" s="190" t="s">
        <v>1377</v>
      </c>
      <c r="B862" s="336" t="str">
        <f>"
Do not answer this question if the scheme follows a Fast Track approach ("&amp;Questions!$D$5&amp;").
"</f>
        <v xml:space="preserve">
Do not answer this question if the scheme follows a Fast Track approach (SH 13.0).
</v>
      </c>
      <c r="C862" s="336" t="str">
        <f>"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62" s="336" t="str">
        <f>"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62" s="336"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62" s="336" t="str">
        <f>"
Select one of the following options from the drop-down list:
• None
• Full s.75 (solvency) deficit
• 105% of PPF (s.179) deficit  
• Low dependency deficit
• Technical provisions deficit        
• Fixed cap
• Other
"</f>
        <v xml:space="preserve">
Select one of the following options from the drop-down list:
• None
• Full s.75 (solvency) deficit
• 105% of PPF (s.179) deficit  
• Low dependency deficit
• Technical provisions deficit        
• Fixed cap
• Other
</v>
      </c>
      <c r="G862" s="92"/>
      <c r="H862" s="92"/>
      <c r="I862" s="92"/>
      <c r="J862" s="92"/>
    </row>
    <row r="863" spans="1:10" ht="93">
      <c r="A863" s="190" t="s">
        <v>1379</v>
      </c>
      <c r="B863" s="92" t="str">
        <f>"
Do not answer this question if the scheme follows a Fast Track approach ("&amp;Questions!$D$5&amp;").
"</f>
        <v xml:space="preserve">
Do not answer this question if the scheme follows a Fast Track approach (SH 13.0).
</v>
      </c>
      <c r="C863" s="92" t="str">
        <f>"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63" s="92" t="str">
        <f>"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63" s="92" t="str">
        <f>"
Do not answer this question if the scheme follows a Bespoke approach ("&amp;Questions!$D$5&amp;"), there are one or more contingent assets the trustees wish to include details about ("&amp;Questions!$D$239&amp;") and the contingent asset security value cap is not Other ("&amp;Questions!$D$615&amp;").
"</f>
        <v xml:space="preserve">
Do not answer this question if the scheme follows a Bespoke approach (SH 13.0), there are one or more contingent assets the trustees wish to include details about (CSI 21.0) and the contingent asset security value cap is not Other (OA 8.0/5).
</v>
      </c>
      <c r="F863" s="92" t="str">
        <f>"
You must answer this question if the scheme follows a Bespoke approach ("&amp;Questions!$D$5&amp;"), there are one or more contingent assets the trustees wish to include details about ("&amp;Questions!$D$239&amp;") and the contingent asset security value cap is Other ("&amp;Questions!$D$615&amp;").
"</f>
        <v xml:space="preserve">
You must answer this question if the scheme follows a Bespoke approach (SH 13.0), there are one or more contingent assets the trustees wish to include details about (CSI 21.0) and the contingent asset security value cap is Other (OA 8.0/5).
</v>
      </c>
      <c r="G863" s="92" t="str">
        <f>"
The answer must be no more than 4000 characters.
"</f>
        <v xml:space="preserve">
The answer must be no more than 4000 characters.
</v>
      </c>
      <c r="H863" s="92"/>
      <c r="I863" s="92"/>
      <c r="J863" s="92"/>
    </row>
    <row r="864" spans="1:10" ht="77.5">
      <c r="A864" s="190" t="s">
        <v>1381</v>
      </c>
      <c r="B864" s="92" t="str">
        <f>"
Do not answer this question if the scheme follows a Fast Track approach ("&amp;Questions!$D$5&amp;").
"</f>
        <v xml:space="preserve">
Do not answer this question if the scheme follows a Fast Track approach (SH 13.0).
</v>
      </c>
      <c r="C864" s="92" t="str">
        <f>"
Do not answer this question if the scheme has no contingent asset other asset for which the trustees wish to include details ("&amp;Questions!$D$239&amp;").
"</f>
        <v xml:space="preserve">
Do not answer this question if the scheme has no contingent asset other asset for which the trustees wish to include details (CSI 21.0).
</v>
      </c>
      <c r="D864" s="92" t="str">
        <f>"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64" s="92" t="str">
        <f>"
Do not answer this question if the contingent asset other value cap is not Fixed Cap ("&amp;Questions!$D$615&amp;").
"</f>
        <v xml:space="preserve">
Do not answer this question if the contingent asset other value cap is not Fixed Cap (OA 8.0/5).
</v>
      </c>
      <c r="F864" s="92" t="str">
        <f>"
You must answer this question if the contingent asset other value cap is Fixed Cap ("&amp;Questions!$D$615&amp;").
"</f>
        <v xml:space="preserve">
You must answer this question if the contingent asset other value cap is Fixed Cap (OA 8.0/5).
</v>
      </c>
      <c r="G864" s="92" t="str">
        <f>"
Enter a value greater than or equal to 0 and less than 1,000,000,000,000 (1 trillion). It can be accurate to two decimal places. 
"</f>
        <v xml:space="preserve">
Enter a value greater than or equal to 0 and less than 1,000,000,000,000 (1 trillion). It can be accurate to two decimal places. 
</v>
      </c>
      <c r="H864" s="92"/>
      <c r="I864" s="92"/>
      <c r="J864" s="92"/>
    </row>
    <row r="865" spans="1:10" ht="77.5">
      <c r="A865" s="190" t="s">
        <v>1383</v>
      </c>
      <c r="B865" s="92" t="str">
        <f>"
Do not answer this question if the scheme follows a Fast Track approach ("&amp;Questions!$D$5&amp;").
"</f>
        <v xml:space="preserve">
Do not answer this question if the scheme follows a Fast Track approach (SH 13.0).
</v>
      </c>
      <c r="C865" s="92" t="str">
        <f>"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65" s="92" t="str">
        <f>"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65"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65" s="92" t="str">
        <f>"
Select ‘Yes’ if participating employer insolvency is a trigger for access to value, or ‘No’ if not
"</f>
        <v xml:space="preserve">
Select ‘Yes’ if participating employer insolvency is a trigger for access to value, or ‘No’ if not
</v>
      </c>
      <c r="G865" s="92"/>
      <c r="H865" s="92"/>
      <c r="I865" s="92"/>
      <c r="J865" s="92"/>
    </row>
    <row r="866" spans="1:10" ht="77.5">
      <c r="A866" s="190" t="s">
        <v>1385</v>
      </c>
      <c r="B866" s="92" t="str">
        <f>"
Do not answer this question if the scheme follows a Fast Track approach ("&amp;Questions!$D$5&amp;").
"</f>
        <v xml:space="preserve">
Do not answer this question if the scheme follows a Fast Track approach (SH 13.0).
</v>
      </c>
      <c r="C866" s="92" t="str">
        <f>"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66" s="92" t="str">
        <f>"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66"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66" s="92" t="str">
        <f>"
Select ‘Yes’ if the insolvency of an associated company is a trigger for access to value, or ‘No’ if not
"</f>
        <v xml:space="preserve">
Select ‘Yes’ if the insolvency of an associated company is a trigger for access to value, or ‘No’ if not
</v>
      </c>
      <c r="G866" s="92"/>
      <c r="H866" s="92"/>
      <c r="I866" s="92"/>
      <c r="J866" s="92"/>
    </row>
    <row r="867" spans="1:10" ht="77.5">
      <c r="A867" s="190" t="s">
        <v>1387</v>
      </c>
      <c r="B867" s="92" t="str">
        <f>"
Do not answer this question if the scheme follows a Fast Track approach ("&amp;Questions!$D$5&amp;").
"</f>
        <v xml:space="preserve">
Do not answer this question if the scheme follows a Fast Track approach (SH 13.0).
</v>
      </c>
      <c r="C867" s="92" t="str">
        <f>"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67" s="92" t="str">
        <f>"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67"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67" s="92" t="str">
        <f>"
Select ‘Yes’ if non payment of contributions is a trigger for access to value, or ‘No’ if not
"</f>
        <v xml:space="preserve">
Select ‘Yes’ if non payment of contributions is a trigger for access to value, or ‘No’ if not
</v>
      </c>
      <c r="G867" s="92"/>
      <c r="H867" s="92"/>
      <c r="I867" s="92"/>
      <c r="J867" s="92"/>
    </row>
    <row r="868" spans="1:10" ht="77.5">
      <c r="A868" s="190" t="s">
        <v>1389</v>
      </c>
      <c r="B868" s="92" t="str">
        <f>"
Do not answer this question if the scheme follows a Fast Track approach ("&amp;Questions!$D$5&amp;").
"</f>
        <v xml:space="preserve">
Do not answer this question if the scheme follows a Fast Track approach (SH 13.0).
</v>
      </c>
      <c r="C868" s="92" t="str">
        <f>"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68" s="92" t="str">
        <f>"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68"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68" s="92" t="str">
        <f>"
Select ‘Yes’ if crystallisation of investment risk is a trigger for access to value, or ‘No’ if not
"</f>
        <v xml:space="preserve">
Select ‘Yes’ if crystallisation of investment risk is a trigger for access to value, or ‘No’ if not
</v>
      </c>
      <c r="G868" s="92"/>
      <c r="H868" s="92"/>
      <c r="I868" s="92"/>
      <c r="J868" s="92"/>
    </row>
    <row r="869" spans="1:10" ht="77.5">
      <c r="A869" s="190" t="s">
        <v>1391</v>
      </c>
      <c r="B869" s="92" t="str">
        <f>"
Do not answer this question if the scheme follows a Fast Track approach ("&amp;Questions!$D$5&amp;").
"</f>
        <v xml:space="preserve">
Do not answer this question if the scheme follows a Fast Track approach (SH 13.0).
</v>
      </c>
      <c r="C869" s="92" t="str">
        <f>"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69" s="92" t="str">
        <f>"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69"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69" s="92" t="str">
        <f>"
Select ‘Yes’ if Other is a trigger for access to value, or ‘No’ if not
"</f>
        <v xml:space="preserve">
Select ‘Yes’ if Other is a trigger for access to value, or ‘No’ if not
</v>
      </c>
      <c r="G869" s="92"/>
      <c r="H869" s="92"/>
      <c r="I869" s="92"/>
      <c r="J869" s="92"/>
    </row>
    <row r="870" spans="1:10" ht="93">
      <c r="A870" s="190" t="s">
        <v>1393</v>
      </c>
      <c r="B870" s="92" t="str">
        <f>"
Do not answer this question if the scheme follows a Fast Track approach ("&amp;Questions!$D$5&amp;").
"</f>
        <v xml:space="preserve">
Do not answer this question if the scheme follows a Fast Track approach (SH 13.0).
</v>
      </c>
      <c r="C870" s="92" t="str">
        <f>"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70" s="92" t="str">
        <f>"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70" s="92" t="str">
        <f>"
Do not answer this question if the scheme follows a Bespoke approach ("&amp;Questions!$D$5&amp;"), there are one or more contingent assets the trustees wish to include details about ("&amp;Questions!$D$239&amp;") and Other is not a trigger for access to value ("&amp;Questions!$D$622&amp;").
"</f>
        <v xml:space="preserve">
Do not answer this question if the scheme follows a Bespoke approach (SH 13.0), there are one or more contingent assets the trustees wish to include details about (CSI 21.0) and Other is not a trigger for access to value (OA 15.0/5).
</v>
      </c>
      <c r="F870" s="92" t="str">
        <f>"
You must answer this question if the scheme follows a Bespoke approach ("&amp;Questions!$D$5&amp;"), there are one or more contingent assets the trustees wish to include details about ("&amp;Questions!$D$239&amp;") and Other is a trigger for access to value ("&amp;Questions!$D$622&amp;").
"</f>
        <v xml:space="preserve">
You must answer this question if the scheme follows a Bespoke approach (SH 13.0), there are one or more contingent assets the trustees wish to include details about (CSI 21.0) and Other is a trigger for access to value (OA 15.0/5).
</v>
      </c>
      <c r="G870" s="92" t="str">
        <f>"
The answer must be no more than 4000 characters.
"</f>
        <v xml:space="preserve">
The answer must be no more than 4000 characters.
</v>
      </c>
      <c r="H870" s="92"/>
      <c r="I870" s="92"/>
      <c r="J870" s="92"/>
    </row>
    <row r="871" spans="1:10" ht="77.5">
      <c r="A871" s="190" t="s">
        <v>1395</v>
      </c>
      <c r="B871" s="92" t="str">
        <f>"
Do not answer this question if the scheme follows a Fast Track approach ("&amp;Questions!$D$5&amp;").
"</f>
        <v xml:space="preserve">
Do not answer this question if the scheme follows a Fast Track approach (SH 13.0).
</v>
      </c>
      <c r="C871" s="92" t="str">
        <f>"
Do not answer this question if the scheme follows a Bespoke approach ("&amp;Questions!$D$5&amp;") and there are no contingent assets the trustees wish to include details about ("&amp;Questions!$D$239&amp;").
"</f>
        <v xml:space="preserve">
Do not answer this question if the scheme follows a Bespoke approach (SH 13.0) and there are no contingent assets the trustees wish to include details about (CSI 21.0).
</v>
      </c>
      <c r="D871" s="92" t="str">
        <f>"
Do not answer this question if the scheme follows a Bespoke approach ("&amp;Questions!$D$5&amp;") and you have already provided the details for the number of contingent assets the trustees wish to include details about in ("&amp;Questions!$D$239&amp;").
"</f>
        <v xml:space="preserve">
Do not answer this question if the scheme follows a Bespoke approach (SH 13.0) and you have already provided the details for the number of contingent assets the trustees wish to include details about in (CSI 21.0).
</v>
      </c>
      <c r="E871" s="92" t="str">
        <f>"
You must answer this question if the scheme follows a Bespoke approach ("&amp;Questions!$D$5&amp;") and there are one or more contingent assets the trustees wish to include details about ("&amp;Questions!$D$239&amp;").
"</f>
        <v xml:space="preserve">
You must answer this question if the scheme follows a Bespoke approach (SH 13.0) and there are one or more contingent assets the trustees wish to include details about (CSI 21.0).
</v>
      </c>
      <c r="F871" s="92" t="str">
        <f>"
The answer must be no more than 4000 characters.
"</f>
        <v xml:space="preserve">
The answer must be no more than 4000 characters.
</v>
      </c>
      <c r="G871" s="92"/>
      <c r="H871" s="92"/>
      <c r="I871" s="92"/>
      <c r="J871" s="92"/>
    </row>
    <row r="872" spans="1:10" ht="46.5">
      <c r="A872" s="190" t="s">
        <v>3518</v>
      </c>
      <c r="B872" s="92" t="str">
        <f>"
Enter a whole number greater than or equal to 0.
"</f>
        <v xml:space="preserve">
Enter a whole number greater than or equal to 0.
</v>
      </c>
      <c r="C872" s="92"/>
      <c r="D872" s="92"/>
      <c r="E872" s="92"/>
      <c r="F872" s="92"/>
      <c r="G872" s="92"/>
      <c r="H872" s="92"/>
      <c r="I872" s="92"/>
      <c r="J872" s="92"/>
    </row>
    <row r="873" spans="1:10" ht="108.5">
      <c r="A873" s="190" t="s">
        <v>3519</v>
      </c>
      <c r="B873" s="92" t="str">
        <f>"
Do not answer this question if the trustees wish to include details about one or more asset-back contributions ("&amp;Questions!$D$240&amp;").
"</f>
        <v xml:space="preserve">
Do not answer this question if the trustees wish to include details about one or more asset-back contributions (ABC 1.0).
</v>
      </c>
      <c r="C873" s="92" t="str">
        <f>"
Do not answer this question if the scheme follows a Fast Track approach ("&amp;Questions!$D$5&amp;") and does not meet the 'small scheme’ definition ("&amp;Questions!$D$3&amp;").
"</f>
        <v xml:space="preserve">
Do not answer this question if the scheme follows a Fast Track approach (SH 13.0) and does not meet the 'small scheme’ definition (SH 11.0).
</v>
      </c>
      <c r="D873" s="92" t="str">
        <f>"
Do not answer this question if the scheme meets the 'Fast Track low risk scheme’ requirements ("&amp;Questions!$D$7&amp;").
"</f>
        <v xml:space="preserve">
Do not answer this question if the scheme meets the 'Fast Track low risk scheme’ requirements (SH 15.0).
</v>
      </c>
      <c r="E873" s="92" t="str">
        <f>"
You must answer this question if the scheme follows a Fast Track approach ("&amp;Questions!$D$5&amp;"), does not meet the 'small scheme’ definition ("&amp;Questions!$D$3&amp;"), does not meet the 'Fast Track low risk scheme’ requirements ("&amp;Questions!$D$7&amp;"), and has one or more asset-backed contribution (ABC) arrangements that the trustees wish to include details about ("&amp;Questions!$D$240&amp;").
"</f>
        <v xml:space="preserve">
You must answer this question if the scheme follows a Fast Track approach (SH 13.0), does not meet the 'small scheme’ definition (SH 11.0), does not meet the 'Fast Track low risk scheme’ requirements (SH 15.0), and has one or more asset-backed contribution (ABC) arrangements that the trustees wish to include details about (ABC 1.0).
</v>
      </c>
      <c r="F873" s="92" t="str">
        <f>"
You must answer this question if the scheme follows a Bespoke approach ("&amp;Questions!$D$5&amp;"), the valuation is pre-relevant date ("&amp;Questions!$D$14&amp;"), and has one or more asset-backed contribution (ABC) arrangements that the trustees wish to include details about ("&amp;Questions!$D$240&amp;").
"</f>
        <v xml:space="preserve">
You must answer this question if the scheme follows a Bespoke approach (SH 13.0), the valuation is pre-relevant date (SH 10.0), and has one or more asset-backed contribution (ABC) arrangements that the trustees wish to include details about (ABC 1.0).
</v>
      </c>
      <c r="G873" s="92" t="str">
        <f>"
Do not answer this question if the scheme follows a Bespoke approach ("&amp;Questions!$D$5&amp;") and meets the 'Bespoke low-risk scheme' requirements” definition ("&amp;Questions!$D$6&amp;").
"</f>
        <v xml:space="preserve">
Do not answer this question if the scheme follows a Bespoke approach (SH 13.0) and meets the 'Bespoke low-risk scheme' requirements” definition (SH 14.0).
</v>
      </c>
      <c r="H873" s="92" t="str">
        <f>"
You must answer this question if the scheme follows a Bespoke approach ("&amp;Questions!$D$5&amp;"), the valuation is post-relevant date ("&amp;Questions!$D$14&amp;"), the scheme does not meet the 'Bespoke low-risk scheme' requirements ("&amp;Questions!$D$6&amp;"), and has one or more asset-backed contribution (ABC) arrangements about which the trustees wish to include details ("&amp;Questions!$D$240&amp;").
"</f>
        <v xml:space="preserve">
You must answer this question if the scheme follows a Bespoke approach (SH 13.0), the valuation is post-relevant date (SH 10.0), the scheme does not meet the 'Bespoke low-risk scheme' requirements (SH 14.0), and has one or more asset-backed contribution (ABC) arrangements about which the trustees wish to include details (ABC 1.0).
</v>
      </c>
      <c r="I873" s="92" t="str">
        <f>"
Enter a value greater than or equal to 0 and less than 1,000,000,000,000.00 (1 trillion). It can be accurate to two decimal places.
"</f>
        <v xml:space="preserve">
Enter a value greater than or equal to 0 and less than 1,000,000,000,000.00 (1 trillion). It can be accurate to two decimal places.
</v>
      </c>
      <c r="J873" s="92"/>
    </row>
    <row r="874" spans="1:10" ht="139.5">
      <c r="A874" s="190" t="s">
        <v>3520</v>
      </c>
      <c r="B874"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74"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874" s="92" t="str">
        <f>"
You must answer this question if the scheme has asset backed contribution (ABC) arrangements for which the trustees wish to include details ("&amp;Questions!$D$240&amp;").
"</f>
        <v xml:space="preserve">
You must answer this question if the scheme has asset backed contribution (ABC) arrangements for which the trustees wish to include details (ABC 1.0).
</v>
      </c>
      <c r="E874" s="92" t="str">
        <f>"
Select one of the following options from the drop-down list:
• Security over property
• Security over other tangible assets
• Security over intangible assets
• Security over receivable balances
• Cash
• Other
"</f>
        <v xml:space="preserve">
Select one of the following options from the drop-down list:
• Security over property
• Security over other tangible assets
• Security over intangible assets
• Security over receivable balances
• Cash
• Other
</v>
      </c>
      <c r="F874" s="92"/>
      <c r="G874" s="92"/>
      <c r="H874" s="92"/>
      <c r="I874" s="92"/>
      <c r="J874" s="92"/>
    </row>
    <row r="875" spans="1:10" ht="77.5">
      <c r="A875" s="190" t="s">
        <v>3521</v>
      </c>
      <c r="B875"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75"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875" s="92" t="str">
        <f>"
You must answer this question if the scheme has asset backed contribution (ABC) arrangements for which the trustees wish to include details ("&amp;Questions!$D$240&amp;").
"</f>
        <v xml:space="preserve">
You must answer this question if the scheme has asset backed contribution (ABC) arrangements for which the trustees wish to include details (ABC 1.0).
</v>
      </c>
      <c r="E875" s="92" t="str">
        <f>"
The answer must be no more than 4000 characters.
"</f>
        <v xml:space="preserve">
The answer must be no more than 4000 characters.
</v>
      </c>
      <c r="F875" s="92"/>
      <c r="G875" s="92"/>
      <c r="H875" s="92"/>
      <c r="I875" s="92"/>
      <c r="J875" s="92"/>
    </row>
    <row r="876" spans="1:10" ht="93">
      <c r="A876" s="190" t="s">
        <v>3522</v>
      </c>
      <c r="B876"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76"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876"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876" s="92" t="str">
        <f>"
Select one of the following options from the drop-down list:
• Evergreen
• Fixed expiry with a maturity date
• Other
"</f>
        <v xml:space="preserve">
Select one of the following options from the drop-down list:
• Evergreen
• Fixed expiry with a maturity date
• Other
</v>
      </c>
      <c r="F876" s="92"/>
      <c r="G876" s="92"/>
      <c r="H876" s="92"/>
      <c r="I876" s="92"/>
      <c r="J876" s="92"/>
    </row>
    <row r="877" spans="1:10" ht="93">
      <c r="A877" s="190" t="s">
        <v>3523</v>
      </c>
      <c r="B877"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77" s="92" t="str">
        <f>"
Do not answer this question if there are one or more asset-backed contribution (ABC) arrangements for which the trustees wish to include details ("&amp;Questions!$D$240&amp;") and the contingent asset security is Evergreen or Other ("&amp;Questions!$D$677&amp;").
"</f>
        <v xml:space="preserve">
Do not answer this question if there are one or more asset-backed contribution (ABC) arrangements for which the trustees wish to include details (ABC 1.0) and the contingent asset security is Evergreen or Other (ABC 5.0/1).
</v>
      </c>
      <c r="D877" s="92" t="str">
        <f>"
Do not answer this question if there are one or more asset-backed contribution (ABC) arrangements for which the trustees wish to include details ("&amp;Questions!$D$240&amp;") and the contingent asset security is Evergreen or Other ("&amp;Questions!$D$677&amp;").
"</f>
        <v xml:space="preserve">
Do not answer this question if there are one or more asset-backed contribution (ABC) arrangements for which the trustees wish to include details (ABC 1.0) and the contingent asset security is Evergreen or Other (ABC 5.0/1).
</v>
      </c>
      <c r="E877" s="92" t="str">
        <f>"
You must answer this question if there are one or more asset-backed contribution (ABC) arrangements for which the trustees wish to include details ("&amp;Questions!$D$240&amp;") and the contingent asset security maturity date is Fixed expiry with a maturity date ("&amp;Questions!$D$677&amp;").
"</f>
        <v xml:space="preserve">
You must answer this question if there are one or more asset-backed contribution (ABC) arrangements for which the trustees wish to include details (ABC 1.0) and the contingent asset security maturity date is Fixed expiry with a maturity date (ABC 5.0/1).
</v>
      </c>
      <c r="F877" s="92" t="str">
        <f>"
Enter a valid date in the format dd/mm/yyyy.
"</f>
        <v xml:space="preserve">
Enter a valid date in the format dd/mm/yyyy.
</v>
      </c>
      <c r="G877" s="92" t="str">
        <f>"
This date cannot be less than the effective date of the actuarial validation  ("&amp;Questions!$D$2&amp;")
"</f>
        <v xml:space="preserve">
This date cannot be less than the effective date of the actuarial validation  (SH 8.0)
</v>
      </c>
      <c r="H877" s="92"/>
      <c r="I877" s="92"/>
      <c r="J877" s="92"/>
    </row>
    <row r="878" spans="1:10" ht="93">
      <c r="A878" s="190" t="s">
        <v>3524</v>
      </c>
      <c r="B878"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78"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878" s="92" t="str">
        <f>"
Do not answer this question if there are one or more asset-backed contribution (ABC) arrangements for which the trustees wish to include details ("&amp;Questions!$D$240&amp;") and the contingent asset security is not Other ("&amp;Questions!$D$677&amp;").
"</f>
        <v xml:space="preserve">
Do not answer this question if there are one or more asset-backed contribution (ABC) arrangements for which the trustees wish to include details (ABC 1.0) and the contingent asset security is not Other (ABC 5.0/1).
</v>
      </c>
      <c r="E878" s="92" t="str">
        <f>"
You must answer this question if there are one or more asset-backed contribution (ABC) arrangements for which the trustees wish to include details ("&amp;Questions!$D$240&amp;") and the contingent asset security maturity date is Other ("&amp;Questions!$D$677&amp;").
"</f>
        <v xml:space="preserve">
You must answer this question if there are one or more asset-backed contribution (ABC) arrangements for which the trustees wish to include details (ABC 1.0) and the contingent asset security maturity date is Other (ABC 5.0/1).
</v>
      </c>
      <c r="F878" s="92" t="str">
        <f>"
The answer must be no more than 4000 characters.
"</f>
        <v xml:space="preserve">
The answer must be no more than 4000 characters.
</v>
      </c>
      <c r="G878" s="92"/>
      <c r="H878" s="92"/>
      <c r="I878" s="92"/>
      <c r="J878" s="92"/>
    </row>
    <row r="879" spans="1:10" ht="77.5">
      <c r="A879" s="190" t="s">
        <v>3525</v>
      </c>
      <c r="B879"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79"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879"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879" s="92" t="str">
        <f>"
Enter a value greater than or equal to 0 and less than 1,000,000,000,000.00 (1 trillion). It can be accurate to two decimal places.
"</f>
        <v xml:space="preserve">
Enter a value greater than or equal to 0 and less than 1,000,000,000,000.00 (1 trillion). It can be accurate to two decimal places.
</v>
      </c>
      <c r="F879" s="92" t="str">
        <f>"
Enter a value greater than or equal to 0 and less than 1,000,000,000,000.00 (1 trillion). It can be accurate to two decimal places.
"</f>
        <v xml:space="preserve">
Enter a value greater than or equal to 0 and less than 1,000,000,000,000.00 (1 trillion). It can be accurate to two decimal places.
</v>
      </c>
      <c r="G879" s="92" t="str">
        <f>"
Enter a value greater than or equal to 0 and less than 1,000,000,000,000.00 (1 trillion). It can be accurate to two decimal places.
"</f>
        <v xml:space="preserve">
Enter a value greater than or equal to 0 and less than 1,000,000,000,000.00 (1 trillion). It can be accurate to two decimal places.
</v>
      </c>
      <c r="H879" s="92"/>
      <c r="I879" s="92"/>
      <c r="J879" s="92"/>
    </row>
    <row r="880" spans="1:10" ht="77.5">
      <c r="A880" s="190" t="s">
        <v>3526</v>
      </c>
      <c r="B880"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80"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880"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880" s="92" t="str">
        <f>"
Enter a date that is not in the future and in the format dd/mm/yyyy. 
"</f>
        <v xml:space="preserve">
Enter a date that is not in the future and in the format dd/mm/yyyy. 
</v>
      </c>
      <c r="F880" s="92" t="str">
        <f>"
Enter a date that is not in the future and in the format dd/mm/yyyy. 
"</f>
        <v xml:space="preserve">
Enter a date that is not in the future and in the format dd/mm/yyyy. 
</v>
      </c>
      <c r="G880" s="92"/>
      <c r="H880" s="92"/>
      <c r="I880" s="92"/>
      <c r="J880" s="92"/>
    </row>
    <row r="881" spans="1:10" ht="77.5">
      <c r="A881" s="190" t="s">
        <v>3527</v>
      </c>
      <c r="B881"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81"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881" s="92" t="str">
        <f>"
Enter a value greater than or equal to 0 and less than 1,000,000,000,000.00 (1 trillion). It can be accurate to two decimal places.
"</f>
        <v xml:space="preserve">
Enter a value greater than or equal to 0 and less than 1,000,000,000,000.00 (1 trillion). It can be accurate to two decimal places.
</v>
      </c>
      <c r="E881" s="92" t="str">
        <f>"
Enter a value greater than or equal to 0 and less than 1,000,000,000,000.00 (1 trillion). It can be accurate to two decimal places.
"</f>
        <v xml:space="preserve">
Enter a value greater than or equal to 0 and less than 1,000,000,000,000.00 (1 trillion). It can be accurate to two decimal places.
</v>
      </c>
      <c r="F881" s="92" t="str">
        <f>"
Enter a value greater than or equal to 0 and less than 1,000,000,000,000.00 (1 trillion). It can be accurate to two decimal places.
"</f>
        <v xml:space="preserve">
Enter a value greater than or equal to 0 and less than 1,000,000,000,000.00 (1 trillion). It can be accurate to two decimal places.
</v>
      </c>
      <c r="G881" s="92"/>
      <c r="H881" s="92"/>
      <c r="I881" s="92"/>
      <c r="J881" s="92"/>
    </row>
    <row r="882" spans="1:10" ht="77.5">
      <c r="A882" s="190" t="s">
        <v>3528</v>
      </c>
      <c r="B882"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82"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882" s="92" t="str">
        <f>"
Enter a date that is not in the future and in the format dd/mm/yyyy. 
"</f>
        <v xml:space="preserve">
Enter a date that is not in the future and in the format dd/mm/yyyy. 
</v>
      </c>
      <c r="E882" s="92" t="str">
        <f>"
Enter a date that is not in the future and in the format dd/mm/yyyy. 
"</f>
        <v xml:space="preserve">
Enter a date that is not in the future and in the format dd/mm/yyyy. 
</v>
      </c>
      <c r="F882" s="92"/>
      <c r="G882" s="92"/>
      <c r="H882" s="92"/>
      <c r="I882" s="92"/>
      <c r="J882" s="92"/>
    </row>
    <row r="883" spans="1:10" ht="93">
      <c r="A883" s="190" t="s">
        <v>3529</v>
      </c>
      <c r="B883" s="92" t="str">
        <f>"
Do not answer this question if the scheme follows a Fast Track approach ("&amp;Questions!$D$5&amp;").
"</f>
        <v xml:space="preserve">
Do not answer this question if the scheme follows a Fast Track approach (SH 13.0).
</v>
      </c>
      <c r="C883" s="92" t="str">
        <f>"
Do not answer this question if the scheme follows a Bespoke approach ("&amp;Questions!$D$5&amp;") and there are no asset backed contribution (ABC) arrangements for which the trustees wish to include details ("&amp;Questions!$D$240&amp;").
"</f>
        <v xml:space="preserve">
Do not answer this question if the scheme follows a Bespoke approach (SH 13.0) and there are no asset backed contribution (ABC) arrangements for which the trustees wish to include details (ABC 1.0).
</v>
      </c>
      <c r="D883" s="92" t="str">
        <f>"
Do not answer this question if the scheme follows a Bespoke approach ("&amp;Questions!$D$5&amp;") and you have already provided the details for the number of asset-backed contribution (ABC) arrangements the trustees wish to include details about in ("&amp;Questions!$D$240&amp;").
"</f>
        <v xml:space="preserve">
Do not answer this question if the scheme follows a Bespoke approach (SH 13.0) and you have already provided the details for the number of asset-backed contribution (ABC) arrangements the trustees wish to include details about in (ABC 1.0).
</v>
      </c>
      <c r="E883" s="92" t="str">
        <f>"
You must answer this question if the scheme follows a Bespoke approach ("&amp;Questions!$D$5&amp;") and there are asset-backed contribution (ABC) arrangements for which the trustees wish to include details ("&amp;Questions!$D$240&amp;").
"</f>
        <v xml:space="preserve">
You must answer this question if the scheme follows a Bespoke approach (SH 13.0) and there are asset-backed contribution (ABC) arrangements for which the trustees wish to include details (ABC 1.0).
</v>
      </c>
      <c r="F883" s="92" t="str">
        <f>"
The answer must be no more than 4000 characters.
"</f>
        <v xml:space="preserve">
The answer must be no more than 4000 characters.
</v>
      </c>
      <c r="G883" s="92"/>
      <c r="H883" s="92"/>
      <c r="I883" s="92"/>
      <c r="J883" s="92"/>
    </row>
    <row r="884" spans="1:10" ht="139.5">
      <c r="A884" s="190" t="s">
        <v>3530</v>
      </c>
      <c r="B884"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84"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884" s="92" t="str">
        <f>"
You must answer this question if the scheme has asset backed contribution (ABC) arrangements for which the trustees wish to include details ("&amp;Questions!$D$240&amp;").
"</f>
        <v xml:space="preserve">
You must answer this question if the scheme has asset backed contribution (ABC) arrangements for which the trustees wish to include details (ABC 1.0).
</v>
      </c>
      <c r="E884" s="92" t="str">
        <f>"
Select one of the following options from the drop-down list:
• Security over property
• Security over other tangible assets
• Security over intangible assets
• Security over receivable balances
• Cash
• Other
"</f>
        <v xml:space="preserve">
Select one of the following options from the drop-down list:
• Security over property
• Security over other tangible assets
• Security over intangible assets
• Security over receivable balances
• Cash
• Other
</v>
      </c>
      <c r="F884" s="92"/>
      <c r="G884" s="92"/>
      <c r="H884" s="92"/>
      <c r="I884" s="92"/>
      <c r="J884" s="92"/>
    </row>
    <row r="885" spans="1:10" ht="77.5">
      <c r="A885" s="190" t="s">
        <v>3531</v>
      </c>
      <c r="B885"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85"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885" s="92" t="str">
        <f>"
You must answer this question if the scheme has asset backed contribution (ABC) arrangements for which the trustees wish to include details ("&amp;Questions!$D$240&amp;").
"</f>
        <v xml:space="preserve">
You must answer this question if the scheme has asset backed contribution (ABC) arrangements for which the trustees wish to include details (ABC 1.0).
</v>
      </c>
      <c r="E885" s="92" t="str">
        <f>"
The answer must be no more than 4000 characters.
"</f>
        <v xml:space="preserve">
The answer must be no more than 4000 characters.
</v>
      </c>
      <c r="F885" s="92"/>
      <c r="G885" s="92"/>
      <c r="H885" s="92"/>
      <c r="I885" s="92"/>
      <c r="J885" s="92"/>
    </row>
    <row r="886" spans="1:10" ht="93">
      <c r="A886" s="190" t="s">
        <v>3532</v>
      </c>
      <c r="B886"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86"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886"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886" s="92" t="str">
        <f>"
Select one of the following options from the drop-down list:
• Evergreen
• Fixed expiry with a maturity date
• Other
"</f>
        <v xml:space="preserve">
Select one of the following options from the drop-down list:
• Evergreen
• Fixed expiry with a maturity date
• Other
</v>
      </c>
      <c r="F886" s="92"/>
      <c r="G886" s="92"/>
      <c r="H886" s="92"/>
      <c r="I886" s="92"/>
      <c r="J886" s="92"/>
    </row>
    <row r="887" spans="1:10" ht="93">
      <c r="A887" s="190" t="s">
        <v>3533</v>
      </c>
      <c r="B887"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87" s="92" t="str">
        <f>"
Do not answer this question if there are one or more asset-backed contribution (ABC) arrangements for which the trustees wish to include details ("&amp;Questions!$D$240&amp;") and the contingent asset security is Evergreen or Other ("&amp;Questions!$D$687&amp;").
"</f>
        <v xml:space="preserve">
Do not answer this question if there are one or more asset-backed contribution (ABC) arrangements for which the trustees wish to include details (ABC 1.0) and the contingent asset security is Evergreen or Other (ABC 5.0/2).
</v>
      </c>
      <c r="D887" s="92" t="str">
        <f>"
Do not answer this question if there are one or more asset-backed contribution (ABC) arrangements for which the trustees wish to include details ("&amp;Questions!$D$240&amp;") and the contingent asset security is Evergreen or Other ("&amp;Questions!$D$687&amp;").
"</f>
        <v xml:space="preserve">
Do not answer this question if there are one or more asset-backed contribution (ABC) arrangements for which the trustees wish to include details (ABC 1.0) and the contingent asset security is Evergreen or Other (ABC 5.0/2).
</v>
      </c>
      <c r="E887" s="92" t="str">
        <f>"
You must answer this question if there are one or more asset-backed contribution (ABC) arrangements for which  the trustees wish to include details ("&amp;Questions!$D$240&amp;") and the contingent asset security maturity date is Fixed expiry with a maturity date ("&amp;Questions!$D$687&amp;").
"</f>
        <v xml:space="preserve">
You must answer this question if there are one or more asset-backed contribution (ABC) arrangements for which  the trustees wish to include details (ABC 1.0) and the contingent asset security maturity date is Fixed expiry with a maturity date (ABC 5.0/2).
</v>
      </c>
      <c r="F887" s="92" t="str">
        <f>"
Enter a valid date in the format dd/mm/yyyy.
"</f>
        <v xml:space="preserve">
Enter a valid date in the format dd/mm/yyyy.
</v>
      </c>
      <c r="G887" s="92" t="str">
        <f>"
This date cannot be less than the effective date of the actuarial validation  ("&amp;Questions!$D$2&amp;")
"</f>
        <v xml:space="preserve">
This date cannot be less than the effective date of the actuarial validation  (SH 8.0)
</v>
      </c>
      <c r="H887" s="92"/>
      <c r="I887" s="92"/>
      <c r="J887" s="92"/>
    </row>
    <row r="888" spans="1:10" ht="93">
      <c r="A888" s="190" t="s">
        <v>3534</v>
      </c>
      <c r="B888"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88"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888" s="92" t="str">
        <f>"
Do not answer this question if there are one or more asset-backed contribution (ABC) arrangements for which the trustees wish to include details ("&amp;Questions!$D$240&amp;") and the contingent asset security is not Other ("&amp;Questions!$D$687&amp;").
"</f>
        <v xml:space="preserve">
Do not answer this question if there are one or more asset-backed contribution (ABC) arrangements for which the trustees wish to include details (ABC 1.0) and the contingent asset security is not Other (ABC 5.0/2).
</v>
      </c>
      <c r="E888" s="92" t="str">
        <f>"
You must answer this question if there are one or more asset-backed contribution (ABC) arrangements for which the trustees wish to include details ("&amp;Questions!$D$240&amp;") and the contingent asset security maturity date is Other ("&amp;Questions!$D$687&amp;").
"</f>
        <v xml:space="preserve">
You must answer this question if there are one or more asset-backed contribution (ABC) arrangements for which the trustees wish to include details (ABC 1.0) and the contingent asset security maturity date is Other (ABC 5.0/2).
</v>
      </c>
      <c r="F888" s="92" t="str">
        <f>"
The answer must be no more than 4000 characters.
"</f>
        <v xml:space="preserve">
The answer must be no more than 4000 characters.
</v>
      </c>
      <c r="G888" s="92"/>
      <c r="H888" s="92"/>
      <c r="I888" s="92"/>
      <c r="J888" s="92"/>
    </row>
    <row r="889" spans="1:10" ht="77.5">
      <c r="A889" s="190" t="s">
        <v>3535</v>
      </c>
      <c r="B889"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89"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889"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889" s="92" t="str">
        <f t="shared" ref="E889:F889" si="33">"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F889" s="92" t="str">
        <f t="shared" si="33"/>
        <v xml:space="preserve">
You must enter a number greater than or equal to 0 and less than 1,000,000,000,000.00 (1 trillion). It can be accurate to two decimal places.
</v>
      </c>
      <c r="G889" s="92" t="str">
        <f t="shared" ref="G889" si="34">"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H889" s="92"/>
      <c r="I889" s="92"/>
      <c r="J889" s="92"/>
    </row>
    <row r="890" spans="1:10" ht="77.5">
      <c r="A890" s="190" t="s">
        <v>3536</v>
      </c>
      <c r="B890"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90"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890"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890" s="92" t="str">
        <f>"
Enter a date that is not in the future and in the format dd/mm/yyyy. 
"</f>
        <v xml:space="preserve">
Enter a date that is not in the future and in the format dd/mm/yyyy. 
</v>
      </c>
      <c r="F890" s="92" t="str">
        <f>"
Enter a date that is not in the future and in the format dd/mm/yyyy. 
"</f>
        <v xml:space="preserve">
Enter a date that is not in the future and in the format dd/mm/yyyy. 
</v>
      </c>
      <c r="G890" s="92"/>
      <c r="H890" s="92"/>
      <c r="I890" s="92"/>
      <c r="J890" s="92"/>
    </row>
    <row r="891" spans="1:10" ht="77.5">
      <c r="A891" s="190" t="s">
        <v>3537</v>
      </c>
      <c r="B891"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91"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891" s="92" t="str">
        <f t="shared" ref="D891:E891" si="35">"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E891" s="92" t="str">
        <f t="shared" si="35"/>
        <v xml:space="preserve">
You must enter a number greater than or equal to 0 and less than 1,000,000,000,000.00 (1 trillion). It can be accurate to two decimal places.
</v>
      </c>
      <c r="F891" s="92" t="str">
        <f t="shared" ref="F891" si="36">"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G891" s="92"/>
      <c r="H891" s="92"/>
      <c r="I891" s="92"/>
      <c r="J891" s="92"/>
    </row>
    <row r="892" spans="1:10" ht="77.5">
      <c r="A892" s="190" t="s">
        <v>3538</v>
      </c>
      <c r="B892"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92"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892" s="92" t="str">
        <f>"
Enter a date that is not in the future and in the format dd/mm/yyyy. 
"</f>
        <v xml:space="preserve">
Enter a date that is not in the future and in the format dd/mm/yyyy. 
</v>
      </c>
      <c r="E892" s="92" t="str">
        <f>"
Enter a date that is not in the future and in the format dd/mm/yyyy. 
"</f>
        <v xml:space="preserve">
Enter a date that is not in the future and in the format dd/mm/yyyy. 
</v>
      </c>
      <c r="F892" s="92"/>
      <c r="G892" s="92"/>
      <c r="H892" s="92"/>
      <c r="I892" s="92"/>
      <c r="J892" s="92"/>
    </row>
    <row r="893" spans="1:10" ht="93">
      <c r="A893" s="190" t="s">
        <v>3539</v>
      </c>
      <c r="B893" s="92" t="str">
        <f>"
Do not answer this question if the scheme follows a Fast Track approach ("&amp;Questions!$D$5&amp;").
"</f>
        <v xml:space="preserve">
Do not answer this question if the scheme follows a Fast Track approach (SH 13.0).
</v>
      </c>
      <c r="C893" s="92" t="str">
        <f>"
Do not answer this question if the scheme follows a Bespoke approach ("&amp;Questions!$D$5&amp;") and there are no asset backed contribution (ABC) arrangements for which the trustees wish to include details ("&amp;Questions!$D$240&amp;").
"</f>
        <v xml:space="preserve">
Do not answer this question if the scheme follows a Bespoke approach (SH 13.0) and there are no asset backed contribution (ABC) arrangements for which the trustees wish to include details (ABC 1.0).
</v>
      </c>
      <c r="D893" s="92" t="str">
        <f>"
Do not answer this question if the scheme follows a Bespoke approach ("&amp;Questions!$D$5&amp;") and you have already provided the details for the number of asset-backed contribution (ABC) arrangements the trustees wish to include details about in ("&amp;Questions!$D$240&amp;").
"</f>
        <v xml:space="preserve">
Do not answer this question if the scheme follows a Bespoke approach (SH 13.0) and you have already provided the details for the number of asset-backed contribution (ABC) arrangements the trustees wish to include details about in (ABC 1.0).
</v>
      </c>
      <c r="E893" s="92" t="str">
        <f>"
You must answer this question if the scheme follows a Bespoke approach ("&amp;Questions!$D$5&amp;") and there are asset-backed contribution (ABC) arrangements for which the trustees wish to include details ("&amp;Questions!$D$240&amp;").
"</f>
        <v xml:space="preserve">
You must answer this question if the scheme follows a Bespoke approach (SH 13.0) and there are asset-backed contribution (ABC) arrangements for which the trustees wish to include details (ABC 1.0).
</v>
      </c>
      <c r="F893" s="92" t="str">
        <f>"
The answer must be no more than 4000 characters.
"</f>
        <v xml:space="preserve">
The answer must be no more than 4000 characters.
</v>
      </c>
      <c r="G893" s="92"/>
      <c r="H893" s="92"/>
      <c r="I893" s="92"/>
      <c r="J893" s="92"/>
    </row>
    <row r="894" spans="1:10" ht="139.5">
      <c r="A894" s="190" t="s">
        <v>3540</v>
      </c>
      <c r="B894"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94"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894" s="92" t="str">
        <f>"
You must answer this question if the scheme has asset backed contribution (ABC) arrangements for which the trustees wish to include details ("&amp;Questions!$D$240&amp;").
"</f>
        <v xml:space="preserve">
You must answer this question if the scheme has asset backed contribution (ABC) arrangements for which the trustees wish to include details (ABC 1.0).
</v>
      </c>
      <c r="E894" s="92" t="str">
        <f>"
Select one of the following options from the drop-down list:
• Security over property
• Security over other tangible assets
• Security over intangible assets
• Security over receivable balances
• Cash
• Other
"</f>
        <v xml:space="preserve">
Select one of the following options from the drop-down list:
• Security over property
• Security over other tangible assets
• Security over intangible assets
• Security over receivable balances
• Cash
• Other
</v>
      </c>
      <c r="F894" s="92"/>
      <c r="G894" s="92"/>
      <c r="H894" s="92"/>
      <c r="I894" s="92"/>
      <c r="J894" s="92"/>
    </row>
    <row r="895" spans="1:10" ht="77.5">
      <c r="A895" s="190" t="s">
        <v>3541</v>
      </c>
      <c r="B895"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95"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895" s="92" t="str">
        <f>"
You must answer this question if the scheme has asset backed contribution (ABC) arrangements for which the trustees wish to include details ("&amp;Questions!$D$240&amp;").
"</f>
        <v xml:space="preserve">
You must answer this question if the scheme has asset backed contribution (ABC) arrangements for which the trustees wish to include details (ABC 1.0).
</v>
      </c>
      <c r="E895" s="92" t="str">
        <f>"
The answer must be no more than 4000 characters.
"</f>
        <v xml:space="preserve">
The answer must be no more than 4000 characters.
</v>
      </c>
      <c r="F895" s="92"/>
      <c r="G895" s="92"/>
      <c r="H895" s="92"/>
      <c r="I895" s="92"/>
      <c r="J895" s="92"/>
    </row>
    <row r="896" spans="1:10" ht="93">
      <c r="A896" s="190" t="s">
        <v>3542</v>
      </c>
      <c r="B896"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96"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896"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896" s="92" t="str">
        <f>"
Select one of the following options from the drop-down list:
• Evergreen
• Fixed expiry with a maturity date
• Other
"</f>
        <v xml:space="preserve">
Select one of the following options from the drop-down list:
• Evergreen
• Fixed expiry with a maturity date
• Other
</v>
      </c>
      <c r="F896" s="92"/>
      <c r="G896" s="92"/>
      <c r="H896" s="92"/>
      <c r="I896" s="92"/>
      <c r="J896" s="92"/>
    </row>
    <row r="897" spans="1:10" ht="93">
      <c r="A897" s="190" t="s">
        <v>3543</v>
      </c>
      <c r="B897"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97" s="92" t="str">
        <f>"
Do not answer this question if there are one or more asset-backed contribution (ABC) arrangements for which the trustees wish to include details ("&amp;Questions!$D$240&amp;") and the contingent asset security is Evergreen or Other ("&amp;Questions!$D$697&amp;").
"</f>
        <v xml:space="preserve">
Do not answer this question if there are one or more asset-backed contribution (ABC) arrangements for which the trustees wish to include details (ABC 1.0) and the contingent asset security is Evergreen or Other (ABC 5.0/3).
</v>
      </c>
      <c r="D897" s="92" t="str">
        <f>"
Do not answer this question if there are one or more asset-backed contribution (ABC) arrangements for which the trustees wish to include details ("&amp;Questions!$D$240&amp;") and the contingent asset security is Evergreen or Other ("&amp;Questions!$D$697&amp;").
"</f>
        <v xml:space="preserve">
Do not answer this question if there are one or more asset-backed contribution (ABC) arrangements for which the trustees wish to include details (ABC 1.0) and the contingent asset security is Evergreen or Other (ABC 5.0/3).
</v>
      </c>
      <c r="E897" s="92" t="str">
        <f>"
You must answer this question if there are one or more asset-backed contribution (ABC) arrangements for which  the trustees wish to include details ("&amp;Questions!$D$240&amp;") and the contingent asset security maturity date is Fixed expiry with a maturity date ("&amp;Questions!$D$697&amp;").
"</f>
        <v xml:space="preserve">
You must answer this question if there are one or more asset-backed contribution (ABC) arrangements for which  the trustees wish to include details (ABC 1.0) and the contingent asset security maturity date is Fixed expiry with a maturity date (ABC 5.0/3).
</v>
      </c>
      <c r="F897" s="92" t="str">
        <f>"
Enter a valid date in the format dd/mm/yyyy.
"</f>
        <v xml:space="preserve">
Enter a valid date in the format dd/mm/yyyy.
</v>
      </c>
      <c r="G897" s="92" t="str">
        <f>"
This date cannot be less than the effective date of the actuarial validation  ("&amp;Questions!$D$2&amp;")
"</f>
        <v xml:space="preserve">
This date cannot be less than the effective date of the actuarial validation  (SH 8.0)
</v>
      </c>
      <c r="H897" s="92"/>
      <c r="I897" s="92"/>
      <c r="J897" s="92"/>
    </row>
    <row r="898" spans="1:10" ht="93">
      <c r="A898" s="190" t="s">
        <v>3544</v>
      </c>
      <c r="B898"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98"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898" s="92" t="str">
        <f>"
Do not answer this question if there are one or more asset-backed contribution (ABC) arrangements for which the trustees wish to include details ("&amp;Questions!$D$240&amp;") and the contingent asset security is not Other ("&amp;Questions!$D$697&amp;").
"</f>
        <v xml:space="preserve">
Do not answer this question if there are one or more asset-backed contribution (ABC) arrangements for which the trustees wish to include details (ABC 1.0) and the contingent asset security is not Other (ABC 5.0/3).
</v>
      </c>
      <c r="E898" s="92" t="str">
        <f>"
You must answer this question if there are one or more asset-backed contribution (ABC) arrangements for which the trustees wish to include details ("&amp;Questions!$D$240&amp;") and the contingent asset security maturity date is Other ("&amp;Questions!$D$697&amp;").
"</f>
        <v xml:space="preserve">
You must answer this question if there are one or more asset-backed contribution (ABC) arrangements for which the trustees wish to include details (ABC 1.0) and the contingent asset security maturity date is Other (ABC 5.0/3).
</v>
      </c>
      <c r="F898" s="92" t="str">
        <f>"
The answer must be no more than 4000 characters.
"</f>
        <v xml:space="preserve">
The answer must be no more than 4000 characters.
</v>
      </c>
      <c r="G898" s="92"/>
      <c r="H898" s="92"/>
      <c r="I898" s="92"/>
      <c r="J898" s="92"/>
    </row>
    <row r="899" spans="1:10" ht="77.5">
      <c r="A899" s="190" t="s">
        <v>3545</v>
      </c>
      <c r="B899"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899"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899"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899" s="92" t="str">
        <f t="shared" ref="E899:F899" si="37">"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F899" s="92" t="str">
        <f t="shared" si="37"/>
        <v xml:space="preserve">
You must enter a number greater than or equal to 0 and less than 1,000,000,000,000.00 (1 trillion). It can be accurate to two decimal places.
</v>
      </c>
      <c r="G899" s="92" t="str">
        <f t="shared" ref="G899" si="38">"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H899" s="92"/>
      <c r="I899" s="92"/>
      <c r="J899" s="92"/>
    </row>
    <row r="900" spans="1:10" ht="77.5">
      <c r="A900" s="190" t="s">
        <v>3546</v>
      </c>
      <c r="B900"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00"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00"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00" s="92" t="str">
        <f>"
Enter a date that is not in the future and in the format dd/mm/yyyy. 
"</f>
        <v xml:space="preserve">
Enter a date that is not in the future and in the format dd/mm/yyyy. 
</v>
      </c>
      <c r="F900" s="92" t="str">
        <f>"
Enter a date that is not in the future and in the format dd/mm/yyyy. 
"</f>
        <v xml:space="preserve">
Enter a date that is not in the future and in the format dd/mm/yyyy. 
</v>
      </c>
      <c r="G900" s="92"/>
      <c r="H900" s="92"/>
      <c r="I900" s="92"/>
      <c r="J900" s="92"/>
    </row>
    <row r="901" spans="1:10" ht="77.5">
      <c r="A901" s="190" t="s">
        <v>3547</v>
      </c>
      <c r="B901"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01"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01" s="92" t="str">
        <f t="shared" ref="D901:E901" si="39">"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E901" s="92" t="str">
        <f t="shared" si="39"/>
        <v xml:space="preserve">
You must enter a number greater than or equal to 0 and less than 1,000,000,000,000.00 (1 trillion). It can be accurate to two decimal places.
</v>
      </c>
      <c r="F901" s="92" t="str">
        <f t="shared" ref="F901" si="40">"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G901" s="92"/>
      <c r="H901" s="92"/>
      <c r="I901" s="92"/>
      <c r="J901" s="92"/>
    </row>
    <row r="902" spans="1:10" ht="77.5">
      <c r="A902" s="190" t="s">
        <v>3548</v>
      </c>
      <c r="B902"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02"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02" s="92" t="str">
        <f>"
Enter a date that is not in the future and in the format dd/mm/yyyy. 
"</f>
        <v xml:space="preserve">
Enter a date that is not in the future and in the format dd/mm/yyyy. 
</v>
      </c>
      <c r="E902" s="92" t="str">
        <f>"
Enter a date that is not in the future and in the format dd/mm/yyyy. 
"</f>
        <v xml:space="preserve">
Enter a date that is not in the future and in the format dd/mm/yyyy. 
</v>
      </c>
      <c r="F902" s="92"/>
      <c r="G902" s="92"/>
      <c r="H902" s="92"/>
      <c r="I902" s="92"/>
      <c r="J902" s="92"/>
    </row>
    <row r="903" spans="1:10" ht="93">
      <c r="A903" s="190" t="s">
        <v>3549</v>
      </c>
      <c r="B903" s="92" t="str">
        <f>"
Do not answer this question if the scheme follows a Fast Track approach ("&amp;Questions!$D$5&amp;").
"</f>
        <v xml:space="preserve">
Do not answer this question if the scheme follows a Fast Track approach (SH 13.0).
</v>
      </c>
      <c r="C903" s="92" t="str">
        <f>"
Do not answer this question if the scheme follows a Bespoke approach ("&amp;Questions!$D$5&amp;") and there are no asset backed contribution (ABC) arrangements for which the trustees wish to include details ("&amp;Questions!$D$240&amp;").
"</f>
        <v xml:space="preserve">
Do not answer this question if the scheme follows a Bespoke approach (SH 13.0) and there are no asset backed contribution (ABC) arrangements for which the trustees wish to include details (ABC 1.0).
</v>
      </c>
      <c r="D903" s="92" t="str">
        <f>"
Do not answer this question if the scheme follows a Bespoke approach ("&amp;Questions!$D$5&amp;") and you have already provided the details for the number of asset-backed contribution (ABC) arrangements the trustees wish to include details about in ("&amp;Questions!$D$240&amp;").
"</f>
        <v xml:space="preserve">
Do not answer this question if the scheme follows a Bespoke approach (SH 13.0) and you have already provided the details for the number of asset-backed contribution (ABC) arrangements the trustees wish to include details about in (ABC 1.0).
</v>
      </c>
      <c r="E903" s="92" t="str">
        <f>"
You must answer this question if the scheme follows a Bespoke approach ("&amp;Questions!$D$5&amp;") and there are asset-backed contribution (ABC) arrangements for which the trustees wish to include details ("&amp;Questions!$D$240&amp;").
"</f>
        <v xml:space="preserve">
You must answer this question if the scheme follows a Bespoke approach (SH 13.0) and there are asset-backed contribution (ABC) arrangements for which the trustees wish to include details (ABC 1.0).
</v>
      </c>
      <c r="F903" s="92" t="str">
        <f>"
The answer must be no more than 4000 characters.
"</f>
        <v xml:space="preserve">
The answer must be no more than 4000 characters.
</v>
      </c>
      <c r="G903" s="92"/>
      <c r="H903" s="92"/>
      <c r="I903" s="92"/>
      <c r="J903" s="92"/>
    </row>
    <row r="904" spans="1:10" ht="139.5">
      <c r="A904" s="190" t="s">
        <v>3550</v>
      </c>
      <c r="B904"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04"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04" s="92" t="str">
        <f>"
You must answer this question if the scheme has asset backed contribution (ABC) arrangements for which the trustees wish to include details ("&amp;Questions!$D$240&amp;").
"</f>
        <v xml:space="preserve">
You must answer this question if the scheme has asset backed contribution (ABC) arrangements for which the trustees wish to include details (ABC 1.0).
</v>
      </c>
      <c r="E904" s="92" t="str">
        <f>"
Select one of the following options from the drop-down list:
• Security over property
• Security over other tangible assets
• Security over intangible assets
• Security over receivable balances
• Cash
• Other
"</f>
        <v xml:space="preserve">
Select one of the following options from the drop-down list:
• Security over property
• Security over other tangible assets
• Security over intangible assets
• Security over receivable balances
• Cash
• Other
</v>
      </c>
      <c r="F904" s="92"/>
      <c r="G904" s="92"/>
      <c r="H904" s="92"/>
      <c r="I904" s="92"/>
      <c r="J904" s="92"/>
    </row>
    <row r="905" spans="1:10" ht="77.5">
      <c r="A905" s="190" t="s">
        <v>3551</v>
      </c>
      <c r="B905"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05"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05" s="92" t="str">
        <f>"
You must answer this question if the scheme has asset backed contribution (ABC) arrangements for which the trustees wish to include details ("&amp;Questions!$D$240&amp;").
"</f>
        <v xml:space="preserve">
You must answer this question if the scheme has asset backed contribution (ABC) arrangements for which the trustees wish to include details (ABC 1.0).
</v>
      </c>
      <c r="E905" s="92" t="str">
        <f>"
The answer must be no more than 4000 characters.
"</f>
        <v xml:space="preserve">
The answer must be no more than 4000 characters.
</v>
      </c>
      <c r="F905" s="92"/>
      <c r="G905" s="92"/>
      <c r="H905" s="92"/>
      <c r="I905" s="92"/>
      <c r="J905" s="92"/>
    </row>
    <row r="906" spans="1:10" ht="93">
      <c r="A906" s="190" t="s">
        <v>3552</v>
      </c>
      <c r="B906"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06"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06"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06" s="92" t="str">
        <f>"
Select one of the following options from the drop-down list:
• Evergreen
• Fixed expiry with a maturity date
• Other
"</f>
        <v xml:space="preserve">
Select one of the following options from the drop-down list:
• Evergreen
• Fixed expiry with a maturity date
• Other
</v>
      </c>
      <c r="F906" s="92"/>
      <c r="G906" s="92"/>
      <c r="H906" s="92"/>
      <c r="I906" s="92"/>
      <c r="J906" s="92"/>
    </row>
    <row r="907" spans="1:10" ht="93">
      <c r="A907" s="190" t="s">
        <v>3553</v>
      </c>
      <c r="B907"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07" s="92" t="str">
        <f>"
Do not answer this question if there are one or more asset-backed contribution (ABC) arrangements for which the trustees wish to include details ("&amp;Questions!$D$240&amp;") and the contingent asset security is Evergreen or Other ("&amp;Questions!$D$707&amp;").
"</f>
        <v xml:space="preserve">
Do not answer this question if there are one or more asset-backed contribution (ABC) arrangements for which the trustees wish to include details (ABC 1.0) and the contingent asset security is Evergreen or Other (ABC 5.0/4).
</v>
      </c>
      <c r="D907" s="92" t="str">
        <f>"
Do not answer this question if there are one or more asset-backed contribution (ABC) arrangements for which the trustees wish to include details ("&amp;Questions!$D$240&amp;") and the contingent asset security is Evergreen or Other ("&amp;Questions!$D$707&amp;").
"</f>
        <v xml:space="preserve">
Do not answer this question if there are one or more asset-backed contribution (ABC) arrangements for which the trustees wish to include details (ABC 1.0) and the contingent asset security is Evergreen or Other (ABC 5.0/4).
</v>
      </c>
      <c r="E907" s="92" t="str">
        <f>"
You must answer this question if there are one or more asset-backed contribution (ABC) arrangements for which  the trustees wish to include details ("&amp;Questions!$D$240&amp;") and the contingent asset security maturity date is Fixed expiry with a maturity date ("&amp;Questions!$D$707&amp;").
"</f>
        <v xml:space="preserve">
You must answer this question if there are one or more asset-backed contribution (ABC) arrangements for which  the trustees wish to include details (ABC 1.0) and the contingent asset security maturity date is Fixed expiry with a maturity date (ABC 5.0/4).
</v>
      </c>
      <c r="F907" s="92" t="str">
        <f>"
Enter a valid date in the format dd/mm/yyyy.
"</f>
        <v xml:space="preserve">
Enter a valid date in the format dd/mm/yyyy.
</v>
      </c>
      <c r="G907" s="92" t="str">
        <f>"
This date cannot be less than the effective date of the actuarial validation  ("&amp;Questions!$D$2&amp;")
"</f>
        <v xml:space="preserve">
This date cannot be less than the effective date of the actuarial validation  (SH 8.0)
</v>
      </c>
      <c r="H907" s="92"/>
      <c r="I907" s="92"/>
      <c r="J907" s="92"/>
    </row>
    <row r="908" spans="1:10" ht="93">
      <c r="A908" s="190" t="s">
        <v>3554</v>
      </c>
      <c r="B908"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08"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08" s="92" t="str">
        <f>"
Do not answer this question if there are one or more asset-backed contribution (ABC) arrangements for which the trustees wish to include details ("&amp;Questions!$D$240&amp;") and the contingent asset security is not Other ("&amp;Questions!$D$707&amp;").
"</f>
        <v xml:space="preserve">
Do not answer this question if there are one or more asset-backed contribution (ABC) arrangements for which the trustees wish to include details (ABC 1.0) and the contingent asset security is not Other (ABC 5.0/4).
</v>
      </c>
      <c r="E908" s="92" t="str">
        <f>"
You must answer this question if there are one or more asset-backed contribution (ABC) arrangements for which the trustees wish to include details ("&amp;Questions!$D$240&amp;") and the contingent asset security maturity date is Other ("&amp;Questions!$D$707&amp;").
"</f>
        <v xml:space="preserve">
You must answer this question if there are one or more asset-backed contribution (ABC) arrangements for which the trustees wish to include details (ABC 1.0) and the contingent asset security maturity date is Other (ABC 5.0/4).
</v>
      </c>
      <c r="F908" s="92" t="str">
        <f>"
The answer must be no more than 4000 characters.
"</f>
        <v xml:space="preserve">
The answer must be no more than 4000 characters.
</v>
      </c>
      <c r="G908" s="92"/>
      <c r="H908" s="92"/>
      <c r="I908" s="92"/>
      <c r="J908" s="92"/>
    </row>
    <row r="909" spans="1:10" ht="77.5">
      <c r="A909" s="190" t="s">
        <v>3555</v>
      </c>
      <c r="B909"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09"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09"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09" s="92" t="str">
        <f t="shared" ref="E909:F909" si="41">"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F909" s="92" t="str">
        <f t="shared" si="41"/>
        <v xml:space="preserve">
You must enter a number greater than or equal to 0 and less than 1,000,000,000,000.00 (1 trillion). It can be accurate to two decimal places.
</v>
      </c>
      <c r="G909" s="92" t="str">
        <f t="shared" ref="G909" si="42">"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H909" s="92"/>
      <c r="I909" s="92"/>
      <c r="J909" s="92"/>
    </row>
    <row r="910" spans="1:10" ht="77.5">
      <c r="A910" s="190" t="s">
        <v>3556</v>
      </c>
      <c r="B910"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10"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10"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10" s="92" t="str">
        <f>"
Enter a date that is not in the future and in the format dd/mm/yyyy. 
"</f>
        <v xml:space="preserve">
Enter a date that is not in the future and in the format dd/mm/yyyy. 
</v>
      </c>
      <c r="F910" s="92" t="str">
        <f>"
Enter a date that is not in the future and in the format dd/mm/yyyy. 
"</f>
        <v xml:space="preserve">
Enter a date that is not in the future and in the format dd/mm/yyyy. 
</v>
      </c>
      <c r="G910" s="92"/>
      <c r="H910" s="92"/>
      <c r="I910" s="92"/>
      <c r="J910" s="92"/>
    </row>
    <row r="911" spans="1:10" ht="77.5">
      <c r="A911" s="190" t="s">
        <v>3557</v>
      </c>
      <c r="B911"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11"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11" s="92" t="str">
        <f t="shared" ref="D911:E911" si="43">"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E911" s="92" t="str">
        <f t="shared" si="43"/>
        <v xml:space="preserve">
You must enter a number greater than or equal to 0 and less than 1,000,000,000,000.00 (1 trillion). It can be accurate to two decimal places.
</v>
      </c>
      <c r="F911" s="92" t="str">
        <f t="shared" ref="F911" si="44">"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G911" s="92"/>
      <c r="H911" s="92"/>
      <c r="I911" s="92"/>
      <c r="J911" s="92"/>
    </row>
    <row r="912" spans="1:10" ht="77.5">
      <c r="A912" s="190" t="s">
        <v>3558</v>
      </c>
      <c r="B912"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12"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12" s="92" t="str">
        <f>"
Enter a date that is not in the future and in the format dd/mm/yyyy. 
"</f>
        <v xml:space="preserve">
Enter a date that is not in the future and in the format dd/mm/yyyy. 
</v>
      </c>
      <c r="E912" s="92" t="str">
        <f>"
Enter a date that is not in the future and in the format dd/mm/yyyy. 
"</f>
        <v xml:space="preserve">
Enter a date that is not in the future and in the format dd/mm/yyyy. 
</v>
      </c>
      <c r="F912" s="92"/>
      <c r="G912" s="92"/>
      <c r="H912" s="92"/>
      <c r="I912" s="92"/>
      <c r="J912" s="92"/>
    </row>
    <row r="913" spans="1:10" ht="93">
      <c r="A913" s="190" t="s">
        <v>3559</v>
      </c>
      <c r="B913" s="92" t="str">
        <f>"
Do not answer this question if the scheme follows a Fast Track approach ("&amp;Questions!$D$5&amp;").
"</f>
        <v xml:space="preserve">
Do not answer this question if the scheme follows a Fast Track approach (SH 13.0).
</v>
      </c>
      <c r="C913" s="92" t="str">
        <f>"
Do not answer this question if the scheme follows a Bespoke approach ("&amp;Questions!$D$5&amp;") and there are no asset backed contribution (ABC) arrangements for which the trustees wish to include details ("&amp;Questions!$D$240&amp;").
"</f>
        <v xml:space="preserve">
Do not answer this question if the scheme follows a Bespoke approach (SH 13.0) and there are no asset backed contribution (ABC) arrangements for which the trustees wish to include details (ABC 1.0).
</v>
      </c>
      <c r="D913" s="92" t="str">
        <f>"
Do not answer this question if the scheme follows a Bespoke approach ("&amp;Questions!$D$5&amp;") and you have already provided the details for the number of asset-backed contribution (ABC) arrangements the trustees wish to include details about in ("&amp;Questions!$D$240&amp;").
"</f>
        <v xml:space="preserve">
Do not answer this question if the scheme follows a Bespoke approach (SH 13.0) and you have already provided the details for the number of asset-backed contribution (ABC) arrangements the trustees wish to include details about in (ABC 1.0).
</v>
      </c>
      <c r="E913" s="92" t="str">
        <f>"
You must answer this question if the scheme follows a Bespoke approach ("&amp;Questions!$D$5&amp;") and there are asset-backed contribution (ABC) arrangements for which the trustees wish to include details ("&amp;Questions!$D$240&amp;").
"</f>
        <v xml:space="preserve">
You must answer this question if the scheme follows a Bespoke approach (SH 13.0) and there are asset-backed contribution (ABC) arrangements for which the trustees wish to include details (ABC 1.0).
</v>
      </c>
      <c r="F913" s="92" t="str">
        <f>"
The answer must be no more than 4000 characters.
"</f>
        <v xml:space="preserve">
The answer must be no more than 4000 characters.
</v>
      </c>
      <c r="G913" s="92"/>
      <c r="H913" s="92"/>
      <c r="I913" s="92"/>
      <c r="J913" s="92"/>
    </row>
    <row r="914" spans="1:10" ht="139.5">
      <c r="A914" s="190" t="s">
        <v>3560</v>
      </c>
      <c r="B914"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14"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14" s="92" t="str">
        <f>"
You must answer this question if the scheme has asset backed contribution (ABC) arrangements for which the trustees wish to include details ("&amp;Questions!$D$240&amp;").
"</f>
        <v xml:space="preserve">
You must answer this question if the scheme has asset backed contribution (ABC) arrangements for which the trustees wish to include details (ABC 1.0).
</v>
      </c>
      <c r="E914" s="92" t="str">
        <f>"
Select one of the following options from the drop-down list:
• Security over property
• Security over other tangible assets
• Security over intangible assets
• Security over receivable balances
• Cash
• Other
"</f>
        <v xml:space="preserve">
Select one of the following options from the drop-down list:
• Security over property
• Security over other tangible assets
• Security over intangible assets
• Security over receivable balances
• Cash
• Other
</v>
      </c>
      <c r="F914" s="92"/>
      <c r="G914" s="92"/>
      <c r="H914" s="92"/>
      <c r="I914" s="92"/>
      <c r="J914" s="92"/>
    </row>
    <row r="915" spans="1:10" ht="77.5">
      <c r="A915" s="190" t="s">
        <v>3561</v>
      </c>
      <c r="B915"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15"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15" s="92" t="str">
        <f>"
You must answer this question if the scheme has asset backed contribution (ABC) arrangements for which the trustees wish to include details ("&amp;Questions!$D$240&amp;").
"</f>
        <v xml:space="preserve">
You must answer this question if the scheme has asset backed contribution (ABC) arrangements for which the trustees wish to include details (ABC 1.0).
</v>
      </c>
      <c r="E915" s="92" t="str">
        <f>"
The answer must be no more than 4000 characters.
"</f>
        <v xml:space="preserve">
The answer must be no more than 4000 characters.
</v>
      </c>
      <c r="F915" s="92"/>
      <c r="G915" s="92"/>
      <c r="H915" s="92"/>
      <c r="I915" s="92"/>
      <c r="J915" s="92"/>
    </row>
    <row r="916" spans="1:10" ht="93">
      <c r="A916" s="190" t="s">
        <v>3562</v>
      </c>
      <c r="B916"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16"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16"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16" s="92" t="str">
        <f>"
Select one of the following options from the drop-down list:
• Evergreen
• Fixed expiry with a maturity date
• Other
"</f>
        <v xml:space="preserve">
Select one of the following options from the drop-down list:
• Evergreen
• Fixed expiry with a maturity date
• Other
</v>
      </c>
      <c r="F916" s="92"/>
      <c r="G916" s="92"/>
      <c r="H916" s="92"/>
      <c r="I916" s="92"/>
      <c r="J916" s="92"/>
    </row>
    <row r="917" spans="1:10" ht="93">
      <c r="A917" s="190" t="s">
        <v>3563</v>
      </c>
      <c r="B917"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17" s="92" t="str">
        <f>"
Do not answer this question if there are one or more asset-backed contribution (ABC) arrangements for which the trustees wish to include details ("&amp;Questions!$D$240&amp;") and the contingent asset security is Evergreen or Other ("&amp;Questions!$D$717&amp;").
"</f>
        <v xml:space="preserve">
Do not answer this question if there are one or more asset-backed contribution (ABC) arrangements for which the trustees wish to include details (ABC 1.0) and the contingent asset security is Evergreen or Other (ABC 5.0/5).
</v>
      </c>
      <c r="D917" s="92" t="str">
        <f>"
Do not answer this question if there are one or more asset-backed contribution (ABC) arrangements for which the trustees wish to include details ("&amp;Questions!$D$240&amp;") and the contingent asset security is Evergreen or Other ("&amp;Questions!$D$717&amp;").
"</f>
        <v xml:space="preserve">
Do not answer this question if there are one or more asset-backed contribution (ABC) arrangements for which the trustees wish to include details (ABC 1.0) and the contingent asset security is Evergreen or Other (ABC 5.0/5).
</v>
      </c>
      <c r="E917" s="92" t="str">
        <f>"
You must answer this question if there are one or more asset-backed contribution (ABC) arrangements for which  the trustees wish to include details ("&amp;Questions!$D$240&amp;") and the contingent asset security maturity date is Fixed expiry with a maturity date ("&amp;Questions!$D$717&amp;").
"</f>
        <v xml:space="preserve">
You must answer this question if there are one or more asset-backed contribution (ABC) arrangements for which  the trustees wish to include details (ABC 1.0) and the contingent asset security maturity date is Fixed expiry with a maturity date (ABC 5.0/5).
</v>
      </c>
      <c r="F917" s="92" t="str">
        <f>"
Enter a valid date in the format dd/mm/yyyy.
"</f>
        <v xml:space="preserve">
Enter a valid date in the format dd/mm/yyyy.
</v>
      </c>
      <c r="G917" s="92" t="str">
        <f>"
This date cannot be less than the effective date of the actuarial validation  ("&amp;Questions!$D$2&amp;")
"</f>
        <v xml:space="preserve">
This date cannot be less than the effective date of the actuarial validation  (SH 8.0)
</v>
      </c>
      <c r="H917" s="92"/>
      <c r="I917" s="92"/>
      <c r="J917" s="92"/>
    </row>
    <row r="918" spans="1:10" ht="93">
      <c r="A918" s="190" t="s">
        <v>3564</v>
      </c>
      <c r="B918"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18"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18" s="92" t="str">
        <f>"
Do not answer this question if there are one or more asset-backed contribution (ABC) arrangements for which the trustees wish to include details ("&amp;Questions!$D$240&amp;") and the contingent asset security is not Other ("&amp;Questions!$D$717&amp;").
"</f>
        <v xml:space="preserve">
Do not answer this question if there are one or more asset-backed contribution (ABC) arrangements for which the trustees wish to include details (ABC 1.0) and the contingent asset security is not Other (ABC 5.0/5).
</v>
      </c>
      <c r="E918" s="92" t="str">
        <f>"
You must answer this question if there are one or more asset-backed contribution (ABC) arrangements for which the trustees wish to include details ("&amp;Questions!$D$240&amp;") and the contingent asset security maturity date is Other ("&amp;Questions!$D$717&amp;").
"</f>
        <v xml:space="preserve">
You must answer this question if there are one or more asset-backed contribution (ABC) arrangements for which the trustees wish to include details (ABC 1.0) and the contingent asset security maturity date is Other (ABC 5.0/5).
</v>
      </c>
      <c r="F918" s="92" t="str">
        <f>"
The answer must be no more than 4000 characters.
"</f>
        <v xml:space="preserve">
The answer must be no more than 4000 characters.
</v>
      </c>
      <c r="G918" s="92"/>
      <c r="H918" s="92"/>
      <c r="I918" s="92"/>
      <c r="J918" s="92"/>
    </row>
    <row r="919" spans="1:10" ht="77.5">
      <c r="A919" s="190" t="s">
        <v>3565</v>
      </c>
      <c r="B919"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19"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19"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19" s="92" t="str">
        <f t="shared" ref="E919:G919" si="45">"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F919" s="92" t="str">
        <f t="shared" si="45"/>
        <v xml:space="preserve">
You must enter a number greater than or equal to 0 and less than 1,000,000,000,000.00 (1 trillion). It can be accurate to two decimal places.
</v>
      </c>
      <c r="G919" s="92" t="str">
        <f t="shared" si="45"/>
        <v xml:space="preserve">
You must enter a number greater than or equal to 0 and less than 1,000,000,000,000.00 (1 trillion). It can be accurate to two decimal places.
</v>
      </c>
      <c r="H919" s="92"/>
      <c r="I919" s="92"/>
      <c r="J919" s="92"/>
    </row>
    <row r="920" spans="1:10" ht="77.5">
      <c r="A920" s="190" t="s">
        <v>3566</v>
      </c>
      <c r="B920"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20"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20"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20" s="92" t="str">
        <f>"
Enter a date that is not in the future and in the format dd/mm/yyyy. 
"</f>
        <v xml:space="preserve">
Enter a date that is not in the future and in the format dd/mm/yyyy. 
</v>
      </c>
      <c r="F920" s="92" t="str">
        <f>"
Enter a date that is not in the future and in the format dd/mm/yyyy. 
"</f>
        <v xml:space="preserve">
Enter a date that is not in the future and in the format dd/mm/yyyy. 
</v>
      </c>
      <c r="G920" s="92"/>
      <c r="H920" s="92"/>
      <c r="I920" s="92"/>
      <c r="J920" s="92"/>
    </row>
    <row r="921" spans="1:10" ht="77.5">
      <c r="A921" s="190" t="s">
        <v>3567</v>
      </c>
      <c r="B921"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21"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21" s="92" t="str">
        <f t="shared" ref="D921" si="46">"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E921" s="92" t="str">
        <f t="shared" ref="E921" si="47">"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F921" s="92" t="str">
        <f t="shared" ref="F921" si="48">"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G921" s="92"/>
      <c r="H921" s="92"/>
      <c r="I921" s="92"/>
      <c r="J921" s="92"/>
    </row>
    <row r="922" spans="1:10" ht="77.5">
      <c r="A922" s="190" t="s">
        <v>3568</v>
      </c>
      <c r="B922"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22" s="92" t="str">
        <f>"
Do not answer this question if you have already provided the details for the number of asset-backed contribution (ABC) arrangements the trustees wish to include details about in ("&amp;Questions!$D$240&amp;").
"</f>
        <v xml:space="preserve">
Do not answer this question if you have already provided the details for the number of asset-backed contribution (ABC) arrangements the trustees wish to include details about in (ABC 1.0).
</v>
      </c>
      <c r="D922" s="92" t="str">
        <f>"
Enter a date that is not in the future and in the format dd/mm/yyyy. 
"</f>
        <v xml:space="preserve">
Enter a date that is not in the future and in the format dd/mm/yyyy. 
</v>
      </c>
      <c r="E922" s="92" t="str">
        <f>"
Enter a date that is not in the future and in the format dd/mm/yyyy. 
"</f>
        <v xml:space="preserve">
Enter a date that is not in the future and in the format dd/mm/yyyy. 
</v>
      </c>
      <c r="F922" s="92"/>
      <c r="G922" s="92"/>
      <c r="H922" s="92"/>
      <c r="I922" s="92"/>
      <c r="J922" s="92"/>
    </row>
    <row r="923" spans="1:10" ht="93">
      <c r="A923" s="190" t="s">
        <v>3569</v>
      </c>
      <c r="B923" s="92" t="str">
        <f>"
Do not answer this question if the scheme follows a Fast Track approach ("&amp;Questions!$D$5&amp;").
"</f>
        <v xml:space="preserve">
Do not answer this question if the scheme follows a Fast Track approach (SH 13.0).
</v>
      </c>
      <c r="C923" s="92" t="str">
        <f>"
Do not answer this question if the scheme follows a Bespoke approach ("&amp;Questions!$D$5&amp;") and there are no asset backed contribution (ABC) arrangements for which the trustees wish to include details ("&amp;Questions!$D$240&amp;").
"</f>
        <v xml:space="preserve">
Do not answer this question if the scheme follows a Bespoke approach (SH 13.0) and there are no asset backed contribution (ABC) arrangements for which the trustees wish to include details (ABC 1.0).
</v>
      </c>
      <c r="D923" s="92" t="str">
        <f>"
Do not answer this question if the scheme follows a Bespoke approach ("&amp;Questions!$D$5&amp;") and you have already provided the details for the number of asset-backed contribution (ABC) arrangements the trustees wish to include details about in ("&amp;Questions!$D$240&amp;").
"</f>
        <v xml:space="preserve">
Do not answer this question if the scheme follows a Bespoke approach (SH 13.0) and you have already provided the details for the number of asset-backed contribution (ABC) arrangements the trustees wish to include details about in (ABC 1.0).
</v>
      </c>
      <c r="E923" s="92" t="str">
        <f>"
You must answer this question if the scheme follows a Bespoke approach ("&amp;Questions!$D$5&amp;") and there are asset-backed contribution (ABC) arrangements for which the trustees wish to include details ("&amp;Questions!$D$240&amp;").
"</f>
        <v xml:space="preserve">
You must answer this question if the scheme follows a Bespoke approach (SH 13.0) and there are asset-backed contribution (ABC) arrangements for which the trustees wish to include details (ABC 1.0).
</v>
      </c>
      <c r="F923" s="92" t="str">
        <f>"
The answer must be no more than 4000 characters.
"</f>
        <v xml:space="preserve">
The answer must be no more than 4000 characters.
</v>
      </c>
      <c r="G923" s="92"/>
      <c r="H923" s="92"/>
      <c r="I923" s="92"/>
      <c r="J923" s="92"/>
    </row>
    <row r="924" spans="1:10" ht="77.5">
      <c r="A924" s="190" t="s">
        <v>3570</v>
      </c>
      <c r="B924"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24"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24"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24" s="92" t="str">
        <f t="shared" ref="E924:E987" si="49">"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F924" s="92"/>
      <c r="G924" s="92"/>
      <c r="H924" s="92"/>
      <c r="I924" s="92"/>
      <c r="J924" s="92"/>
    </row>
    <row r="925" spans="1:10" ht="77.5">
      <c r="A925" s="190" t="s">
        <v>3571</v>
      </c>
      <c r="B925"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25"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25"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25" s="92" t="str">
        <f t="shared" si="49"/>
        <v xml:space="preserve">
You must enter a number greater than or equal to 0 and less than 1,000,000,000,000.00 (1 trillion). It can be accurate to two decimal places.
</v>
      </c>
      <c r="F925" s="92"/>
      <c r="G925" s="92"/>
      <c r="H925" s="92"/>
      <c r="I925" s="92"/>
      <c r="J925" s="92"/>
    </row>
    <row r="926" spans="1:10" ht="77.5">
      <c r="A926" s="190" t="s">
        <v>3572</v>
      </c>
      <c r="B926"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26"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26"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26" s="92" t="str">
        <f t="shared" si="49"/>
        <v xml:space="preserve">
You must enter a number greater than or equal to 0 and less than 1,000,000,000,000.00 (1 trillion). It can be accurate to two decimal places.
</v>
      </c>
      <c r="F926" s="92"/>
      <c r="G926" s="92"/>
      <c r="H926" s="92"/>
      <c r="I926" s="92"/>
      <c r="J926" s="92"/>
    </row>
    <row r="927" spans="1:10" ht="77.5">
      <c r="A927" s="190" t="s">
        <v>3573</v>
      </c>
      <c r="B927"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27"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27"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27" s="92" t="str">
        <f t="shared" si="49"/>
        <v xml:space="preserve">
You must enter a number greater than or equal to 0 and less than 1,000,000,000,000.00 (1 trillion). It can be accurate to two decimal places.
</v>
      </c>
      <c r="F927" s="92"/>
      <c r="G927" s="92"/>
      <c r="H927" s="92"/>
      <c r="I927" s="92"/>
      <c r="J927" s="92"/>
    </row>
    <row r="928" spans="1:10" ht="77.5">
      <c r="A928" s="190" t="s">
        <v>3574</v>
      </c>
      <c r="B928"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28"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28"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28" s="92" t="str">
        <f t="shared" si="49"/>
        <v xml:space="preserve">
You must enter a number greater than or equal to 0 and less than 1,000,000,000,000.00 (1 trillion). It can be accurate to two decimal places.
</v>
      </c>
      <c r="F928" s="92"/>
      <c r="G928" s="92"/>
      <c r="H928" s="92"/>
      <c r="I928" s="92"/>
      <c r="J928" s="92"/>
    </row>
    <row r="929" spans="1:10" ht="77.5">
      <c r="A929" s="190" t="s">
        <v>3575</v>
      </c>
      <c r="B929"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29"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29"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29" s="92" t="str">
        <f t="shared" si="49"/>
        <v xml:space="preserve">
You must enter a number greater than or equal to 0 and less than 1,000,000,000,000.00 (1 trillion). It can be accurate to two decimal places.
</v>
      </c>
      <c r="F929" s="92"/>
      <c r="G929" s="92"/>
      <c r="H929" s="92"/>
      <c r="I929" s="92"/>
      <c r="J929" s="92"/>
    </row>
    <row r="930" spans="1:10" ht="77.5">
      <c r="A930" s="190" t="s">
        <v>3576</v>
      </c>
      <c r="B930"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30"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30"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30" s="92" t="str">
        <f t="shared" si="49"/>
        <v xml:space="preserve">
You must enter a number greater than or equal to 0 and less than 1,000,000,000,000.00 (1 trillion). It can be accurate to two decimal places.
</v>
      </c>
      <c r="F930" s="92"/>
      <c r="G930" s="92"/>
      <c r="H930" s="92"/>
      <c r="I930" s="92"/>
      <c r="J930" s="92"/>
    </row>
    <row r="931" spans="1:10" ht="77.5">
      <c r="A931" s="190" t="s">
        <v>3577</v>
      </c>
      <c r="B931"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31"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31"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31" s="92" t="str">
        <f t="shared" si="49"/>
        <v xml:space="preserve">
You must enter a number greater than or equal to 0 and less than 1,000,000,000,000.00 (1 trillion). It can be accurate to two decimal places.
</v>
      </c>
      <c r="F931" s="92"/>
      <c r="G931" s="92"/>
      <c r="H931" s="92"/>
      <c r="I931" s="92"/>
      <c r="J931" s="92"/>
    </row>
    <row r="932" spans="1:10" ht="77.5">
      <c r="A932" s="190" t="s">
        <v>3578</v>
      </c>
      <c r="B932"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32"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32"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32" s="92" t="str">
        <f t="shared" si="49"/>
        <v xml:space="preserve">
You must enter a number greater than or equal to 0 and less than 1,000,000,000,000.00 (1 trillion). It can be accurate to two decimal places.
</v>
      </c>
      <c r="F932" s="92"/>
      <c r="G932" s="92"/>
      <c r="H932" s="92"/>
      <c r="I932" s="92"/>
      <c r="J932" s="92"/>
    </row>
    <row r="933" spans="1:10" ht="77.5">
      <c r="A933" s="190" t="s">
        <v>3579</v>
      </c>
      <c r="B933"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33"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33"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33" s="92" t="str">
        <f t="shared" si="49"/>
        <v xml:space="preserve">
You must enter a number greater than or equal to 0 and less than 1,000,000,000,000.00 (1 trillion). It can be accurate to two decimal places.
</v>
      </c>
      <c r="F933" s="92"/>
      <c r="G933" s="92"/>
      <c r="H933" s="92"/>
      <c r="I933" s="92"/>
      <c r="J933" s="92"/>
    </row>
    <row r="934" spans="1:10" ht="77.5">
      <c r="A934" s="190" t="s">
        <v>3580</v>
      </c>
      <c r="B934"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34"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34"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34" s="92" t="str">
        <f t="shared" si="49"/>
        <v xml:space="preserve">
You must enter a number greater than or equal to 0 and less than 1,000,000,000,000.00 (1 trillion). It can be accurate to two decimal places.
</v>
      </c>
      <c r="F934" s="92"/>
      <c r="G934" s="92"/>
      <c r="H934" s="92"/>
      <c r="I934" s="92"/>
      <c r="J934" s="92"/>
    </row>
    <row r="935" spans="1:10" ht="77.5">
      <c r="A935" s="190" t="s">
        <v>3581</v>
      </c>
      <c r="B935"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35"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35"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35" s="92" t="str">
        <f t="shared" si="49"/>
        <v xml:space="preserve">
You must enter a number greater than or equal to 0 and less than 1,000,000,000,000.00 (1 trillion). It can be accurate to two decimal places.
</v>
      </c>
      <c r="F935" s="92"/>
      <c r="G935" s="92"/>
      <c r="H935" s="92"/>
      <c r="I935" s="92"/>
      <c r="J935" s="92"/>
    </row>
    <row r="936" spans="1:10" ht="77.5">
      <c r="A936" s="190" t="s">
        <v>3582</v>
      </c>
      <c r="B936"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36"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36"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36" s="92" t="str">
        <f t="shared" si="49"/>
        <v xml:space="preserve">
You must enter a number greater than or equal to 0 and less than 1,000,000,000,000.00 (1 trillion). It can be accurate to two decimal places.
</v>
      </c>
      <c r="F936" s="92"/>
      <c r="G936" s="92"/>
      <c r="H936" s="92"/>
      <c r="I936" s="92"/>
      <c r="J936" s="92"/>
    </row>
    <row r="937" spans="1:10" ht="77.5">
      <c r="A937" s="190" t="s">
        <v>3583</v>
      </c>
      <c r="B937"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37"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37"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37" s="92" t="str">
        <f t="shared" si="49"/>
        <v xml:space="preserve">
You must enter a number greater than or equal to 0 and less than 1,000,000,000,000.00 (1 trillion). It can be accurate to two decimal places.
</v>
      </c>
      <c r="F937" s="92"/>
      <c r="G937" s="92"/>
      <c r="H937" s="92"/>
      <c r="I937" s="92"/>
      <c r="J937" s="92"/>
    </row>
    <row r="938" spans="1:10" ht="77.5">
      <c r="A938" s="190" t="s">
        <v>3584</v>
      </c>
      <c r="B938"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38"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38"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38" s="92" t="str">
        <f t="shared" si="49"/>
        <v xml:space="preserve">
You must enter a number greater than or equal to 0 and less than 1,000,000,000,000.00 (1 trillion). It can be accurate to two decimal places.
</v>
      </c>
      <c r="F938" s="92"/>
      <c r="G938" s="92"/>
      <c r="H938" s="92"/>
      <c r="I938" s="92"/>
      <c r="J938" s="92"/>
    </row>
    <row r="939" spans="1:10" ht="77.5">
      <c r="A939" s="190" t="s">
        <v>3585</v>
      </c>
      <c r="B939"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39"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39"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39" s="92" t="str">
        <f t="shared" si="49"/>
        <v xml:space="preserve">
You must enter a number greater than or equal to 0 and less than 1,000,000,000,000.00 (1 trillion). It can be accurate to two decimal places.
</v>
      </c>
      <c r="F939" s="92"/>
      <c r="G939" s="92"/>
      <c r="H939" s="92"/>
      <c r="I939" s="92"/>
      <c r="J939" s="92"/>
    </row>
    <row r="940" spans="1:10" ht="77.5">
      <c r="A940" s="190" t="s">
        <v>3586</v>
      </c>
      <c r="B940"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40"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40"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40" s="92" t="str">
        <f t="shared" si="49"/>
        <v xml:space="preserve">
You must enter a number greater than or equal to 0 and less than 1,000,000,000,000.00 (1 trillion). It can be accurate to two decimal places.
</v>
      </c>
      <c r="F940" s="92"/>
      <c r="G940" s="92"/>
      <c r="H940" s="92"/>
      <c r="I940" s="92"/>
      <c r="J940" s="92"/>
    </row>
    <row r="941" spans="1:10" ht="77.5">
      <c r="A941" s="190" t="s">
        <v>3587</v>
      </c>
      <c r="B941"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41"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41"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41" s="92" t="str">
        <f t="shared" si="49"/>
        <v xml:space="preserve">
You must enter a number greater than or equal to 0 and less than 1,000,000,000,000.00 (1 trillion). It can be accurate to two decimal places.
</v>
      </c>
      <c r="F941" s="92"/>
      <c r="G941" s="92"/>
      <c r="H941" s="92"/>
      <c r="I941" s="92"/>
      <c r="J941" s="92"/>
    </row>
    <row r="942" spans="1:10" ht="77.5">
      <c r="A942" s="190" t="s">
        <v>3588</v>
      </c>
      <c r="B942"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42"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42"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42" s="92" t="str">
        <f t="shared" si="49"/>
        <v xml:space="preserve">
You must enter a number greater than or equal to 0 and less than 1,000,000,000,000.00 (1 trillion). It can be accurate to two decimal places.
</v>
      </c>
      <c r="F942" s="92"/>
      <c r="G942" s="92"/>
      <c r="H942" s="92"/>
      <c r="I942" s="92"/>
      <c r="J942" s="92"/>
    </row>
    <row r="943" spans="1:10" ht="77.5">
      <c r="A943" s="190" t="s">
        <v>3589</v>
      </c>
      <c r="B943"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43"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43"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43" s="92" t="str">
        <f t="shared" si="49"/>
        <v xml:space="preserve">
You must enter a number greater than or equal to 0 and less than 1,000,000,000,000.00 (1 trillion). It can be accurate to two decimal places.
</v>
      </c>
      <c r="F943" s="92"/>
      <c r="G943" s="92"/>
      <c r="H943" s="92"/>
      <c r="I943" s="92"/>
      <c r="J943" s="92"/>
    </row>
    <row r="944" spans="1:10" ht="77.5">
      <c r="A944" s="190" t="s">
        <v>3590</v>
      </c>
      <c r="B944"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44"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44"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44" s="92" t="str">
        <f t="shared" si="49"/>
        <v xml:space="preserve">
You must enter a number greater than or equal to 0 and less than 1,000,000,000,000.00 (1 trillion). It can be accurate to two decimal places.
</v>
      </c>
      <c r="F944" s="92"/>
      <c r="G944" s="92"/>
      <c r="H944" s="92"/>
      <c r="I944" s="92"/>
      <c r="J944" s="92"/>
    </row>
    <row r="945" spans="1:10" ht="77.5">
      <c r="A945" s="190" t="s">
        <v>3591</v>
      </c>
      <c r="B945"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45"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45"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45" s="92" t="str">
        <f t="shared" si="49"/>
        <v xml:space="preserve">
You must enter a number greater than or equal to 0 and less than 1,000,000,000,000.00 (1 trillion). It can be accurate to two decimal places.
</v>
      </c>
      <c r="F945" s="92"/>
      <c r="G945" s="92"/>
      <c r="H945" s="92"/>
      <c r="I945" s="92"/>
      <c r="J945" s="92"/>
    </row>
    <row r="946" spans="1:10" ht="77.5">
      <c r="A946" s="190" t="s">
        <v>3592</v>
      </c>
      <c r="B946"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46"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46"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46" s="92" t="str">
        <f t="shared" si="49"/>
        <v xml:space="preserve">
You must enter a number greater than or equal to 0 and less than 1,000,000,000,000.00 (1 trillion). It can be accurate to two decimal places.
</v>
      </c>
      <c r="F946" s="92"/>
      <c r="G946" s="92"/>
      <c r="H946" s="92"/>
      <c r="I946" s="92"/>
      <c r="J946" s="92"/>
    </row>
    <row r="947" spans="1:10" ht="77.5">
      <c r="A947" s="190" t="s">
        <v>3593</v>
      </c>
      <c r="B947"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47"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47"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47" s="92" t="str">
        <f t="shared" si="49"/>
        <v xml:space="preserve">
You must enter a number greater than or equal to 0 and less than 1,000,000,000,000.00 (1 trillion). It can be accurate to two decimal places.
</v>
      </c>
      <c r="F947" s="92"/>
      <c r="G947" s="92"/>
      <c r="H947" s="92"/>
      <c r="I947" s="92"/>
      <c r="J947" s="92"/>
    </row>
    <row r="948" spans="1:10" ht="77.5">
      <c r="A948" s="190" t="s">
        <v>3594</v>
      </c>
      <c r="B948"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48"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48"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48" s="92" t="str">
        <f t="shared" si="49"/>
        <v xml:space="preserve">
You must enter a number greater than or equal to 0 and less than 1,000,000,000,000.00 (1 trillion). It can be accurate to two decimal places.
</v>
      </c>
      <c r="F948" s="92"/>
      <c r="G948" s="92"/>
      <c r="H948" s="92"/>
      <c r="I948" s="92"/>
      <c r="J948" s="92"/>
    </row>
    <row r="949" spans="1:10" ht="77.5">
      <c r="A949" s="190" t="s">
        <v>3595</v>
      </c>
      <c r="B949"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49"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49"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49" s="92" t="str">
        <f t="shared" si="49"/>
        <v xml:space="preserve">
You must enter a number greater than or equal to 0 and less than 1,000,000,000,000.00 (1 trillion). It can be accurate to two decimal places.
</v>
      </c>
      <c r="F949" s="92"/>
      <c r="G949" s="92"/>
      <c r="H949" s="92"/>
      <c r="I949" s="92"/>
      <c r="J949" s="92"/>
    </row>
    <row r="950" spans="1:10" ht="77.5">
      <c r="A950" s="190" t="s">
        <v>3596</v>
      </c>
      <c r="B950"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50"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50"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50" s="92" t="str">
        <f t="shared" si="49"/>
        <v xml:space="preserve">
You must enter a number greater than or equal to 0 and less than 1,000,000,000,000.00 (1 trillion). It can be accurate to two decimal places.
</v>
      </c>
      <c r="F950" s="92"/>
      <c r="G950" s="92"/>
      <c r="H950" s="92"/>
      <c r="I950" s="92"/>
      <c r="J950" s="92"/>
    </row>
    <row r="951" spans="1:10" ht="77.5">
      <c r="A951" s="190" t="s">
        <v>3597</v>
      </c>
      <c r="B951"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51"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51"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51" s="92" t="str">
        <f t="shared" si="49"/>
        <v xml:space="preserve">
You must enter a number greater than or equal to 0 and less than 1,000,000,000,000.00 (1 trillion). It can be accurate to two decimal places.
</v>
      </c>
      <c r="F951" s="92"/>
      <c r="G951" s="92"/>
      <c r="H951" s="92"/>
      <c r="I951" s="92"/>
      <c r="J951" s="92"/>
    </row>
    <row r="952" spans="1:10" ht="77.5">
      <c r="A952" s="190" t="s">
        <v>3598</v>
      </c>
      <c r="B952"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52"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52"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52" s="92" t="str">
        <f t="shared" si="49"/>
        <v xml:space="preserve">
You must enter a number greater than or equal to 0 and less than 1,000,000,000,000.00 (1 trillion). It can be accurate to two decimal places.
</v>
      </c>
      <c r="F952" s="92"/>
      <c r="G952" s="92"/>
      <c r="H952" s="92"/>
      <c r="I952" s="92"/>
      <c r="J952" s="92"/>
    </row>
    <row r="953" spans="1:10" ht="77.5">
      <c r="A953" s="190" t="s">
        <v>3599</v>
      </c>
      <c r="B953"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53"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53"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53" s="92" t="str">
        <f t="shared" si="49"/>
        <v xml:space="preserve">
You must enter a number greater than or equal to 0 and less than 1,000,000,000,000.00 (1 trillion). It can be accurate to two decimal places.
</v>
      </c>
      <c r="F953" s="92"/>
      <c r="G953" s="92"/>
      <c r="H953" s="92"/>
      <c r="I953" s="92"/>
      <c r="J953" s="92"/>
    </row>
    <row r="954" spans="1:10" ht="77.5">
      <c r="A954" s="190" t="s">
        <v>3600</v>
      </c>
      <c r="B954"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54"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54"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54" s="92" t="str">
        <f t="shared" si="49"/>
        <v xml:space="preserve">
You must enter a number greater than or equal to 0 and less than 1,000,000,000,000.00 (1 trillion). It can be accurate to two decimal places.
</v>
      </c>
      <c r="F954" s="92"/>
      <c r="G954" s="92"/>
      <c r="H954" s="92"/>
      <c r="I954" s="92"/>
      <c r="J954" s="92"/>
    </row>
    <row r="955" spans="1:10" ht="77.5">
      <c r="A955" s="190" t="s">
        <v>3601</v>
      </c>
      <c r="B955"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55"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55"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55" s="92" t="str">
        <f t="shared" si="49"/>
        <v xml:space="preserve">
You must enter a number greater than or equal to 0 and less than 1,000,000,000,000.00 (1 trillion). It can be accurate to two decimal places.
</v>
      </c>
      <c r="F955" s="92"/>
      <c r="G955" s="92"/>
      <c r="H955" s="92"/>
      <c r="I955" s="92"/>
      <c r="J955" s="92"/>
    </row>
    <row r="956" spans="1:10" ht="77.5">
      <c r="A956" s="190" t="s">
        <v>3602</v>
      </c>
      <c r="B956"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56"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56"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56" s="92" t="str">
        <f t="shared" si="49"/>
        <v xml:space="preserve">
You must enter a number greater than or equal to 0 and less than 1,000,000,000,000.00 (1 trillion). It can be accurate to two decimal places.
</v>
      </c>
      <c r="F956" s="92"/>
      <c r="G956" s="92"/>
      <c r="H956" s="92"/>
      <c r="I956" s="92"/>
      <c r="J956" s="92"/>
    </row>
    <row r="957" spans="1:10" ht="77.5">
      <c r="A957" s="190" t="s">
        <v>3603</v>
      </c>
      <c r="B957"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57"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57"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57" s="92" t="str">
        <f t="shared" si="49"/>
        <v xml:space="preserve">
You must enter a number greater than or equal to 0 and less than 1,000,000,000,000.00 (1 trillion). It can be accurate to two decimal places.
</v>
      </c>
      <c r="F957" s="92"/>
      <c r="G957" s="92"/>
      <c r="H957" s="92"/>
      <c r="I957" s="92"/>
      <c r="J957" s="92"/>
    </row>
    <row r="958" spans="1:10" ht="77.5">
      <c r="A958" s="190" t="s">
        <v>3604</v>
      </c>
      <c r="B958"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58"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58"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58" s="92" t="str">
        <f t="shared" si="49"/>
        <v xml:space="preserve">
You must enter a number greater than or equal to 0 and less than 1,000,000,000,000.00 (1 trillion). It can be accurate to two decimal places.
</v>
      </c>
      <c r="F958" s="92"/>
      <c r="G958" s="92"/>
      <c r="H958" s="92"/>
      <c r="I958" s="92"/>
      <c r="J958" s="92"/>
    </row>
    <row r="959" spans="1:10" ht="77.5">
      <c r="A959" s="190" t="s">
        <v>3605</v>
      </c>
      <c r="B959"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59"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59"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59" s="92" t="str">
        <f t="shared" si="49"/>
        <v xml:space="preserve">
You must enter a number greater than or equal to 0 and less than 1,000,000,000,000.00 (1 trillion). It can be accurate to two decimal places.
</v>
      </c>
      <c r="F959" s="92"/>
      <c r="G959" s="92"/>
      <c r="H959" s="92"/>
      <c r="I959" s="92"/>
      <c r="J959" s="92"/>
    </row>
    <row r="960" spans="1:10" ht="77.5">
      <c r="A960" s="190" t="s">
        <v>3606</v>
      </c>
      <c r="B960"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60"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60"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60" s="92" t="str">
        <f t="shared" si="49"/>
        <v xml:space="preserve">
You must enter a number greater than or equal to 0 and less than 1,000,000,000,000.00 (1 trillion). It can be accurate to two decimal places.
</v>
      </c>
      <c r="F960" s="92"/>
      <c r="G960" s="92"/>
      <c r="H960" s="92"/>
      <c r="I960" s="92"/>
      <c r="J960" s="92"/>
    </row>
    <row r="961" spans="1:10" ht="77.5">
      <c r="A961" s="190" t="s">
        <v>3607</v>
      </c>
      <c r="B961"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61"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61"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61" s="92" t="str">
        <f t="shared" si="49"/>
        <v xml:space="preserve">
You must enter a number greater than or equal to 0 and less than 1,000,000,000,000.00 (1 trillion). It can be accurate to two decimal places.
</v>
      </c>
      <c r="F961" s="92"/>
      <c r="G961" s="92"/>
      <c r="H961" s="92"/>
      <c r="I961" s="92"/>
      <c r="J961" s="92"/>
    </row>
    <row r="962" spans="1:10" ht="77.5">
      <c r="A962" s="190" t="s">
        <v>3608</v>
      </c>
      <c r="B962"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62"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62"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62" s="92" t="str">
        <f t="shared" si="49"/>
        <v xml:space="preserve">
You must enter a number greater than or equal to 0 and less than 1,000,000,000,000.00 (1 trillion). It can be accurate to two decimal places.
</v>
      </c>
      <c r="F962" s="92"/>
      <c r="G962" s="92"/>
      <c r="H962" s="92"/>
      <c r="I962" s="92"/>
      <c r="J962" s="92"/>
    </row>
    <row r="963" spans="1:10" ht="77.5">
      <c r="A963" s="190" t="s">
        <v>3609</v>
      </c>
      <c r="B963"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63"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63"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63" s="92" t="str">
        <f t="shared" si="49"/>
        <v xml:space="preserve">
You must enter a number greater than or equal to 0 and less than 1,000,000,000,000.00 (1 trillion). It can be accurate to two decimal places.
</v>
      </c>
      <c r="F963" s="92"/>
      <c r="G963" s="92"/>
      <c r="H963" s="92"/>
      <c r="I963" s="92"/>
      <c r="J963" s="92"/>
    </row>
    <row r="964" spans="1:10" ht="77.5">
      <c r="A964" s="190" t="s">
        <v>3610</v>
      </c>
      <c r="B964"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64"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64"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64" s="92" t="str">
        <f t="shared" si="49"/>
        <v xml:space="preserve">
You must enter a number greater than or equal to 0 and less than 1,000,000,000,000.00 (1 trillion). It can be accurate to two decimal places.
</v>
      </c>
      <c r="F964" s="92"/>
      <c r="G964" s="92"/>
      <c r="H964" s="92"/>
      <c r="I964" s="92"/>
      <c r="J964" s="92"/>
    </row>
    <row r="965" spans="1:10" ht="77.5">
      <c r="A965" s="190" t="s">
        <v>3611</v>
      </c>
      <c r="B965"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65"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65"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65" s="92" t="str">
        <f t="shared" si="49"/>
        <v xml:space="preserve">
You must enter a number greater than or equal to 0 and less than 1,000,000,000,000.00 (1 trillion). It can be accurate to two decimal places.
</v>
      </c>
      <c r="F965" s="92"/>
      <c r="G965" s="92"/>
      <c r="H965" s="92"/>
      <c r="I965" s="92"/>
      <c r="J965" s="92"/>
    </row>
    <row r="966" spans="1:10" ht="77.5">
      <c r="A966" s="190" t="s">
        <v>3612</v>
      </c>
      <c r="B966"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66"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66"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66" s="92" t="str">
        <f t="shared" si="49"/>
        <v xml:space="preserve">
You must enter a number greater than or equal to 0 and less than 1,000,000,000,000.00 (1 trillion). It can be accurate to two decimal places.
</v>
      </c>
      <c r="F966" s="92"/>
      <c r="G966" s="92"/>
      <c r="H966" s="92"/>
      <c r="I966" s="92"/>
      <c r="J966" s="92"/>
    </row>
    <row r="967" spans="1:10" ht="77.5">
      <c r="A967" s="190" t="s">
        <v>3613</v>
      </c>
      <c r="B967"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67"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67"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67" s="92" t="str">
        <f t="shared" si="49"/>
        <v xml:space="preserve">
You must enter a number greater than or equal to 0 and less than 1,000,000,000,000.00 (1 trillion). It can be accurate to two decimal places.
</v>
      </c>
      <c r="F967" s="92"/>
      <c r="G967" s="92"/>
      <c r="H967" s="92"/>
      <c r="I967" s="92"/>
      <c r="J967" s="92"/>
    </row>
    <row r="968" spans="1:10" ht="77.5">
      <c r="A968" s="190" t="s">
        <v>3614</v>
      </c>
      <c r="B968"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68"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68"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68" s="92" t="str">
        <f t="shared" si="49"/>
        <v xml:space="preserve">
You must enter a number greater than or equal to 0 and less than 1,000,000,000,000.00 (1 trillion). It can be accurate to two decimal places.
</v>
      </c>
      <c r="F968" s="92"/>
      <c r="G968" s="92"/>
      <c r="H968" s="92"/>
      <c r="I968" s="92"/>
      <c r="J968" s="92"/>
    </row>
    <row r="969" spans="1:10" ht="77.5">
      <c r="A969" s="190" t="s">
        <v>3615</v>
      </c>
      <c r="B969"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69"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69"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69" s="92" t="str">
        <f t="shared" si="49"/>
        <v xml:space="preserve">
You must enter a number greater than or equal to 0 and less than 1,000,000,000,000.00 (1 trillion). It can be accurate to two decimal places.
</v>
      </c>
      <c r="F969" s="92"/>
      <c r="G969" s="92"/>
      <c r="H969" s="92"/>
      <c r="I969" s="92"/>
      <c r="J969" s="92"/>
    </row>
    <row r="970" spans="1:10" ht="77.5">
      <c r="A970" s="190" t="s">
        <v>3616</v>
      </c>
      <c r="B970"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70"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70"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70" s="92" t="str">
        <f t="shared" si="49"/>
        <v xml:space="preserve">
You must enter a number greater than or equal to 0 and less than 1,000,000,000,000.00 (1 trillion). It can be accurate to two decimal places.
</v>
      </c>
      <c r="F970" s="92"/>
      <c r="G970" s="92"/>
      <c r="H970" s="92"/>
      <c r="I970" s="92"/>
      <c r="J970" s="92"/>
    </row>
    <row r="971" spans="1:10" ht="77.5">
      <c r="A971" s="190" t="s">
        <v>3617</v>
      </c>
      <c r="B971"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71"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71"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71" s="92" t="str">
        <f t="shared" si="49"/>
        <v xml:space="preserve">
You must enter a number greater than or equal to 0 and less than 1,000,000,000,000.00 (1 trillion). It can be accurate to two decimal places.
</v>
      </c>
      <c r="F971" s="92"/>
      <c r="G971" s="92"/>
      <c r="H971" s="92"/>
      <c r="I971" s="92"/>
      <c r="J971" s="92"/>
    </row>
    <row r="972" spans="1:10" ht="77.5">
      <c r="A972" s="190" t="s">
        <v>3618</v>
      </c>
      <c r="B972"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72"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72"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72" s="92" t="str">
        <f t="shared" si="49"/>
        <v xml:space="preserve">
You must enter a number greater than or equal to 0 and less than 1,000,000,000,000.00 (1 trillion). It can be accurate to two decimal places.
</v>
      </c>
      <c r="F972" s="92"/>
      <c r="G972" s="92"/>
      <c r="H972" s="92"/>
      <c r="I972" s="92"/>
      <c r="J972" s="92"/>
    </row>
    <row r="973" spans="1:10" ht="77.5">
      <c r="A973" s="190" t="s">
        <v>3619</v>
      </c>
      <c r="B973"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73"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73"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73" s="92" t="str">
        <f t="shared" si="49"/>
        <v xml:space="preserve">
You must enter a number greater than or equal to 0 and less than 1,000,000,000,000.00 (1 trillion). It can be accurate to two decimal places.
</v>
      </c>
      <c r="F973" s="92"/>
      <c r="G973" s="92"/>
      <c r="H973" s="92"/>
      <c r="I973" s="92"/>
      <c r="J973" s="92"/>
    </row>
    <row r="974" spans="1:10" ht="77.5">
      <c r="A974" s="190" t="s">
        <v>3620</v>
      </c>
      <c r="B974"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74"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74"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74" s="92" t="str">
        <f t="shared" si="49"/>
        <v xml:space="preserve">
You must enter a number greater than or equal to 0 and less than 1,000,000,000,000.00 (1 trillion). It can be accurate to two decimal places.
</v>
      </c>
      <c r="F974" s="92"/>
      <c r="G974" s="92"/>
      <c r="H974" s="92"/>
      <c r="I974" s="92"/>
      <c r="J974" s="92"/>
    </row>
    <row r="975" spans="1:10" ht="77.5">
      <c r="A975" s="190" t="s">
        <v>3621</v>
      </c>
      <c r="B975"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75"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75"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75" s="92" t="str">
        <f t="shared" si="49"/>
        <v xml:space="preserve">
You must enter a number greater than or equal to 0 and less than 1,000,000,000,000.00 (1 trillion). It can be accurate to two decimal places.
</v>
      </c>
      <c r="F975" s="92"/>
      <c r="G975" s="92"/>
      <c r="H975" s="92"/>
      <c r="I975" s="92"/>
      <c r="J975" s="92"/>
    </row>
    <row r="976" spans="1:10" ht="77.5">
      <c r="A976" s="190" t="s">
        <v>3622</v>
      </c>
      <c r="B976"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76"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76"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76" s="92" t="str">
        <f t="shared" si="49"/>
        <v xml:space="preserve">
You must enter a number greater than or equal to 0 and less than 1,000,000,000,000.00 (1 trillion). It can be accurate to two decimal places.
</v>
      </c>
      <c r="F976" s="92"/>
      <c r="G976" s="92"/>
      <c r="H976" s="92"/>
      <c r="I976" s="92"/>
      <c r="J976" s="92"/>
    </row>
    <row r="977" spans="1:10" ht="77.5">
      <c r="A977" s="190" t="s">
        <v>3623</v>
      </c>
      <c r="B977"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77"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77"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77" s="92" t="str">
        <f t="shared" si="49"/>
        <v xml:space="preserve">
You must enter a number greater than or equal to 0 and less than 1,000,000,000,000.00 (1 trillion). It can be accurate to two decimal places.
</v>
      </c>
      <c r="F977" s="92"/>
      <c r="G977" s="92"/>
      <c r="H977" s="92"/>
      <c r="I977" s="92"/>
      <c r="J977" s="92"/>
    </row>
    <row r="978" spans="1:10" ht="77.5">
      <c r="A978" s="190" t="s">
        <v>3624</v>
      </c>
      <c r="B978"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78"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78"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78" s="92" t="str">
        <f t="shared" si="49"/>
        <v xml:space="preserve">
You must enter a number greater than or equal to 0 and less than 1,000,000,000,000.00 (1 trillion). It can be accurate to two decimal places.
</v>
      </c>
      <c r="F978" s="92"/>
      <c r="G978" s="92"/>
      <c r="H978" s="92"/>
      <c r="I978" s="92"/>
      <c r="J978" s="92"/>
    </row>
    <row r="979" spans="1:10" ht="77.5">
      <c r="A979" s="190" t="s">
        <v>3625</v>
      </c>
      <c r="B979"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79"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79"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79" s="92" t="str">
        <f t="shared" si="49"/>
        <v xml:space="preserve">
You must enter a number greater than or equal to 0 and less than 1,000,000,000,000.00 (1 trillion). It can be accurate to two decimal places.
</v>
      </c>
      <c r="F979" s="92"/>
      <c r="G979" s="92"/>
      <c r="H979" s="92"/>
      <c r="I979" s="92"/>
      <c r="J979" s="92"/>
    </row>
    <row r="980" spans="1:10" ht="77.5">
      <c r="A980" s="190" t="s">
        <v>3626</v>
      </c>
      <c r="B980"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80"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80"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80" s="92" t="str">
        <f t="shared" si="49"/>
        <v xml:space="preserve">
You must enter a number greater than or equal to 0 and less than 1,000,000,000,000.00 (1 trillion). It can be accurate to two decimal places.
</v>
      </c>
      <c r="F980" s="92"/>
      <c r="G980" s="92"/>
      <c r="H980" s="92"/>
      <c r="I980" s="92"/>
      <c r="J980" s="92"/>
    </row>
    <row r="981" spans="1:10" ht="77.5">
      <c r="A981" s="190" t="s">
        <v>3627</v>
      </c>
      <c r="B981"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81"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81"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81" s="92" t="str">
        <f t="shared" si="49"/>
        <v xml:space="preserve">
You must enter a number greater than or equal to 0 and less than 1,000,000,000,000.00 (1 trillion). It can be accurate to two decimal places.
</v>
      </c>
      <c r="F981" s="92"/>
      <c r="G981" s="92"/>
      <c r="H981" s="92"/>
      <c r="I981" s="92"/>
      <c r="J981" s="92"/>
    </row>
    <row r="982" spans="1:10" ht="77.5">
      <c r="A982" s="190" t="s">
        <v>3628</v>
      </c>
      <c r="B982"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82"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82"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82" s="92" t="str">
        <f t="shared" si="49"/>
        <v xml:space="preserve">
You must enter a number greater than or equal to 0 and less than 1,000,000,000,000.00 (1 trillion). It can be accurate to two decimal places.
</v>
      </c>
      <c r="F982" s="92"/>
      <c r="G982" s="92"/>
      <c r="H982" s="92"/>
      <c r="I982" s="92"/>
      <c r="J982" s="92"/>
    </row>
    <row r="983" spans="1:10" ht="77.5">
      <c r="A983" s="190" t="s">
        <v>3629</v>
      </c>
      <c r="B983"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83"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83"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83" s="92" t="str">
        <f t="shared" si="49"/>
        <v xml:space="preserve">
You must enter a number greater than or equal to 0 and less than 1,000,000,000,000.00 (1 trillion). It can be accurate to two decimal places.
</v>
      </c>
      <c r="F983" s="92"/>
      <c r="G983" s="92"/>
      <c r="H983" s="92"/>
      <c r="I983" s="92"/>
      <c r="J983" s="92"/>
    </row>
    <row r="984" spans="1:10" ht="77.5">
      <c r="A984" s="190" t="s">
        <v>3630</v>
      </c>
      <c r="B984"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84"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84"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84" s="92" t="str">
        <f t="shared" si="49"/>
        <v xml:space="preserve">
You must enter a number greater than or equal to 0 and less than 1,000,000,000,000.00 (1 trillion). It can be accurate to two decimal places.
</v>
      </c>
      <c r="F984" s="92"/>
      <c r="G984" s="92"/>
      <c r="H984" s="92"/>
      <c r="I984" s="92"/>
      <c r="J984" s="92"/>
    </row>
    <row r="985" spans="1:10" ht="77.5">
      <c r="A985" s="190" t="s">
        <v>3631</v>
      </c>
      <c r="B985"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85"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85"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85" s="92" t="str">
        <f t="shared" si="49"/>
        <v xml:space="preserve">
You must enter a number greater than or equal to 0 and less than 1,000,000,000,000.00 (1 trillion). It can be accurate to two decimal places.
</v>
      </c>
      <c r="F985" s="92"/>
      <c r="G985" s="92"/>
      <c r="H985" s="92"/>
      <c r="I985" s="92"/>
      <c r="J985" s="92"/>
    </row>
    <row r="986" spans="1:10" ht="77.5">
      <c r="A986" s="190" t="s">
        <v>3632</v>
      </c>
      <c r="B986"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86"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86"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86" s="92" t="str">
        <f t="shared" si="49"/>
        <v xml:space="preserve">
You must enter a number greater than or equal to 0 and less than 1,000,000,000,000.00 (1 trillion). It can be accurate to two decimal places.
</v>
      </c>
      <c r="F986" s="92"/>
      <c r="G986" s="92"/>
      <c r="H986" s="92"/>
      <c r="I986" s="92"/>
      <c r="J986" s="92"/>
    </row>
    <row r="987" spans="1:10" ht="77.5">
      <c r="A987" s="190" t="s">
        <v>3633</v>
      </c>
      <c r="B987"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87"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87"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87" s="92" t="str">
        <f t="shared" si="49"/>
        <v xml:space="preserve">
You must enter a number greater than or equal to 0 and less than 1,000,000,000,000.00 (1 trillion). It can be accurate to two decimal places.
</v>
      </c>
      <c r="F987" s="92"/>
      <c r="G987" s="92"/>
      <c r="H987" s="92"/>
      <c r="I987" s="92"/>
      <c r="J987" s="92"/>
    </row>
    <row r="988" spans="1:10" ht="77.5">
      <c r="A988" s="190" t="s">
        <v>3634</v>
      </c>
      <c r="B988"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88"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88"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88" s="92" t="str">
        <f t="shared" ref="E988:E1028" si="50">"
You must enter a number greater than or equal to 0 and less than 1,000,000,000,000.00 (1 trillion). It can be accurate to two decimal places.
"</f>
        <v xml:space="preserve">
You must enter a number greater than or equal to 0 and less than 1,000,000,000,000.00 (1 trillion). It can be accurate to two decimal places.
</v>
      </c>
      <c r="F988" s="92"/>
      <c r="G988" s="92"/>
      <c r="H988" s="92"/>
      <c r="I988" s="92"/>
      <c r="J988" s="92"/>
    </row>
    <row r="989" spans="1:10" ht="77.5">
      <c r="A989" s="190" t="s">
        <v>3635</v>
      </c>
      <c r="B989"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89"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89"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89" s="92" t="str">
        <f t="shared" si="50"/>
        <v xml:space="preserve">
You must enter a number greater than or equal to 0 and less than 1,000,000,000,000.00 (1 trillion). It can be accurate to two decimal places.
</v>
      </c>
      <c r="F989" s="92"/>
      <c r="G989" s="92"/>
      <c r="H989" s="92"/>
      <c r="I989" s="92"/>
      <c r="J989" s="92"/>
    </row>
    <row r="990" spans="1:10" ht="77.5">
      <c r="A990" s="190" t="s">
        <v>3636</v>
      </c>
      <c r="B990"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90"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90"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90" s="92" t="str">
        <f t="shared" si="50"/>
        <v xml:space="preserve">
You must enter a number greater than or equal to 0 and less than 1,000,000,000,000.00 (1 trillion). It can be accurate to two decimal places.
</v>
      </c>
      <c r="F990" s="92"/>
      <c r="G990" s="92"/>
      <c r="H990" s="92"/>
      <c r="I990" s="92"/>
      <c r="J990" s="92"/>
    </row>
    <row r="991" spans="1:10" ht="77.5">
      <c r="A991" s="190" t="s">
        <v>3637</v>
      </c>
      <c r="B991"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91"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91"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91" s="92" t="str">
        <f t="shared" si="50"/>
        <v xml:space="preserve">
You must enter a number greater than or equal to 0 and less than 1,000,000,000,000.00 (1 trillion). It can be accurate to two decimal places.
</v>
      </c>
      <c r="F991" s="92"/>
      <c r="G991" s="92"/>
      <c r="H991" s="92"/>
      <c r="I991" s="92"/>
      <c r="J991" s="92"/>
    </row>
    <row r="992" spans="1:10" ht="77.5">
      <c r="A992" s="190" t="s">
        <v>3638</v>
      </c>
      <c r="B992"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92"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92"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92" s="92" t="str">
        <f t="shared" si="50"/>
        <v xml:space="preserve">
You must enter a number greater than or equal to 0 and less than 1,000,000,000,000.00 (1 trillion). It can be accurate to two decimal places.
</v>
      </c>
      <c r="F992" s="92"/>
      <c r="G992" s="92"/>
      <c r="H992" s="92"/>
      <c r="I992" s="92"/>
      <c r="J992" s="92"/>
    </row>
    <row r="993" spans="1:10" ht="77.5">
      <c r="A993" s="190" t="s">
        <v>3639</v>
      </c>
      <c r="B993"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93"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93"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93" s="92" t="str">
        <f t="shared" si="50"/>
        <v xml:space="preserve">
You must enter a number greater than or equal to 0 and less than 1,000,000,000,000.00 (1 trillion). It can be accurate to two decimal places.
</v>
      </c>
      <c r="F993" s="92"/>
      <c r="G993" s="92"/>
      <c r="H993" s="92"/>
      <c r="I993" s="92"/>
      <c r="J993" s="92"/>
    </row>
    <row r="994" spans="1:10" ht="77.5">
      <c r="A994" s="190" t="s">
        <v>3640</v>
      </c>
      <c r="B994"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94"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94"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94" s="92" t="str">
        <f t="shared" si="50"/>
        <v xml:space="preserve">
You must enter a number greater than or equal to 0 and less than 1,000,000,000,000.00 (1 trillion). It can be accurate to two decimal places.
</v>
      </c>
      <c r="F994" s="92"/>
      <c r="G994" s="92"/>
      <c r="H994" s="92"/>
      <c r="I994" s="92"/>
      <c r="J994" s="92"/>
    </row>
    <row r="995" spans="1:10" ht="77.5">
      <c r="A995" s="190" t="s">
        <v>3641</v>
      </c>
      <c r="B995"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95"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95"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95" s="92" t="str">
        <f t="shared" si="50"/>
        <v xml:space="preserve">
You must enter a number greater than or equal to 0 and less than 1,000,000,000,000.00 (1 trillion). It can be accurate to two decimal places.
</v>
      </c>
      <c r="F995" s="92"/>
      <c r="G995" s="92"/>
      <c r="H995" s="92"/>
      <c r="I995" s="92"/>
      <c r="J995" s="92"/>
    </row>
    <row r="996" spans="1:10" ht="77.5">
      <c r="A996" s="190" t="s">
        <v>3642</v>
      </c>
      <c r="B996"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96"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96"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96" s="92" t="str">
        <f t="shared" si="50"/>
        <v xml:space="preserve">
You must enter a number greater than or equal to 0 and less than 1,000,000,000,000.00 (1 trillion). It can be accurate to two decimal places.
</v>
      </c>
      <c r="F996" s="92"/>
      <c r="G996" s="92"/>
      <c r="H996" s="92"/>
      <c r="I996" s="92"/>
      <c r="J996" s="92"/>
    </row>
    <row r="997" spans="1:10" ht="77.5">
      <c r="A997" s="190" t="s">
        <v>3643</v>
      </c>
      <c r="B997"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97"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97"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97" s="92" t="str">
        <f t="shared" si="50"/>
        <v xml:space="preserve">
You must enter a number greater than or equal to 0 and less than 1,000,000,000,000.00 (1 trillion). It can be accurate to two decimal places.
</v>
      </c>
      <c r="F997" s="92"/>
      <c r="G997" s="92"/>
      <c r="H997" s="92"/>
      <c r="I997" s="92"/>
      <c r="J997" s="92"/>
    </row>
    <row r="998" spans="1:10" ht="77.5">
      <c r="A998" s="190" t="s">
        <v>3644</v>
      </c>
      <c r="B998"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98"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98"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98" s="92" t="str">
        <f t="shared" si="50"/>
        <v xml:space="preserve">
You must enter a number greater than or equal to 0 and less than 1,000,000,000,000.00 (1 trillion). It can be accurate to two decimal places.
</v>
      </c>
      <c r="F998" s="92"/>
      <c r="G998" s="92"/>
      <c r="H998" s="92"/>
      <c r="I998" s="92"/>
      <c r="J998" s="92"/>
    </row>
    <row r="999" spans="1:10" ht="77.5">
      <c r="A999" s="190" t="s">
        <v>3645</v>
      </c>
      <c r="B999"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999"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999"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999" s="92" t="str">
        <f t="shared" si="50"/>
        <v xml:space="preserve">
You must enter a number greater than or equal to 0 and less than 1,000,000,000,000.00 (1 trillion). It can be accurate to two decimal places.
</v>
      </c>
      <c r="F999" s="92"/>
      <c r="G999" s="92"/>
      <c r="H999" s="92"/>
      <c r="I999" s="92"/>
      <c r="J999" s="92"/>
    </row>
    <row r="1000" spans="1:10" ht="77.5">
      <c r="A1000" s="190" t="s">
        <v>3646</v>
      </c>
      <c r="B1000"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00"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1000"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00" s="92" t="str">
        <f t="shared" si="50"/>
        <v xml:space="preserve">
You must enter a number greater than or equal to 0 and less than 1,000,000,000,000.00 (1 trillion). It can be accurate to two decimal places.
</v>
      </c>
      <c r="F1000" s="92"/>
      <c r="G1000" s="92"/>
      <c r="H1000" s="92"/>
      <c r="I1000" s="92"/>
      <c r="J1000" s="92"/>
    </row>
    <row r="1001" spans="1:10" ht="77.5">
      <c r="A1001" s="190" t="s">
        <v>3647</v>
      </c>
      <c r="B1001"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01"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1001"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01" s="92" t="str">
        <f t="shared" si="50"/>
        <v xml:space="preserve">
You must enter a number greater than or equal to 0 and less than 1,000,000,000,000.00 (1 trillion). It can be accurate to two decimal places.
</v>
      </c>
      <c r="F1001" s="92"/>
      <c r="G1001" s="92"/>
      <c r="H1001" s="92"/>
      <c r="I1001" s="92"/>
      <c r="J1001" s="92"/>
    </row>
    <row r="1002" spans="1:10" ht="77.5">
      <c r="A1002" s="190" t="s">
        <v>3648</v>
      </c>
      <c r="B1002"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02"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1002"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02" s="92" t="str">
        <f t="shared" si="50"/>
        <v xml:space="preserve">
You must enter a number greater than or equal to 0 and less than 1,000,000,000,000.00 (1 trillion). It can be accurate to two decimal places.
</v>
      </c>
      <c r="F1002" s="92"/>
      <c r="G1002" s="92"/>
      <c r="H1002" s="92"/>
      <c r="I1002" s="92"/>
      <c r="J1002" s="92"/>
    </row>
    <row r="1003" spans="1:10" ht="77.5">
      <c r="A1003" s="190" t="s">
        <v>3649</v>
      </c>
      <c r="B1003"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03"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1003"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03" s="92" t="str">
        <f t="shared" si="50"/>
        <v xml:space="preserve">
You must enter a number greater than or equal to 0 and less than 1,000,000,000,000.00 (1 trillion). It can be accurate to two decimal places.
</v>
      </c>
      <c r="F1003" s="92"/>
      <c r="G1003" s="92"/>
      <c r="H1003" s="92"/>
      <c r="I1003" s="92"/>
      <c r="J1003" s="92"/>
    </row>
    <row r="1004" spans="1:10" ht="77.5">
      <c r="A1004" s="190" t="s">
        <v>3650</v>
      </c>
      <c r="B1004"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04"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1004"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04" s="92" t="str">
        <f t="shared" si="50"/>
        <v xml:space="preserve">
You must enter a number greater than or equal to 0 and less than 1,000,000,000,000.00 (1 trillion). It can be accurate to two decimal places.
</v>
      </c>
      <c r="F1004" s="92"/>
      <c r="G1004" s="92"/>
      <c r="H1004" s="92"/>
      <c r="I1004" s="92"/>
      <c r="J1004" s="92"/>
    </row>
    <row r="1005" spans="1:10" ht="77.5">
      <c r="A1005" s="190" t="s">
        <v>3651</v>
      </c>
      <c r="B1005"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05"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1005"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05" s="92" t="str">
        <f t="shared" si="50"/>
        <v xml:space="preserve">
You must enter a number greater than or equal to 0 and less than 1,000,000,000,000.00 (1 trillion). It can be accurate to two decimal places.
</v>
      </c>
      <c r="F1005" s="92"/>
      <c r="G1005" s="92"/>
      <c r="H1005" s="92"/>
      <c r="I1005" s="92"/>
      <c r="J1005" s="92"/>
    </row>
    <row r="1006" spans="1:10" ht="77.5">
      <c r="A1006" s="190" t="s">
        <v>3652</v>
      </c>
      <c r="B1006"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06"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1006"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06" s="92" t="str">
        <f t="shared" si="50"/>
        <v xml:space="preserve">
You must enter a number greater than or equal to 0 and less than 1,000,000,000,000.00 (1 trillion). It can be accurate to two decimal places.
</v>
      </c>
      <c r="F1006" s="92"/>
      <c r="G1006" s="92"/>
      <c r="H1006" s="92"/>
      <c r="I1006" s="92"/>
      <c r="J1006" s="92"/>
    </row>
    <row r="1007" spans="1:10" ht="77.5">
      <c r="A1007" s="190" t="s">
        <v>3653</v>
      </c>
      <c r="B1007"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07"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1007"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07" s="92" t="str">
        <f t="shared" si="50"/>
        <v xml:space="preserve">
You must enter a number greater than or equal to 0 and less than 1,000,000,000,000.00 (1 trillion). It can be accurate to two decimal places.
</v>
      </c>
      <c r="F1007" s="92"/>
      <c r="G1007" s="92"/>
      <c r="H1007" s="92"/>
      <c r="I1007" s="92"/>
      <c r="J1007" s="92"/>
    </row>
    <row r="1008" spans="1:10" ht="77.5">
      <c r="A1008" s="190" t="s">
        <v>3654</v>
      </c>
      <c r="B1008"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08"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1008"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08" s="92" t="str">
        <f t="shared" si="50"/>
        <v xml:space="preserve">
You must enter a number greater than or equal to 0 and less than 1,000,000,000,000.00 (1 trillion). It can be accurate to two decimal places.
</v>
      </c>
      <c r="F1008" s="92"/>
      <c r="G1008" s="92"/>
      <c r="H1008" s="92"/>
      <c r="I1008" s="92"/>
      <c r="J1008" s="92"/>
    </row>
    <row r="1009" spans="1:10" ht="77.5">
      <c r="A1009" s="190" t="s">
        <v>3655</v>
      </c>
      <c r="B1009"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09"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1009"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09" s="92" t="str">
        <f t="shared" si="50"/>
        <v xml:space="preserve">
You must enter a number greater than or equal to 0 and less than 1,000,000,000,000.00 (1 trillion). It can be accurate to two decimal places.
</v>
      </c>
      <c r="F1009" s="92"/>
      <c r="G1009" s="92"/>
      <c r="H1009" s="92"/>
      <c r="I1009" s="92"/>
      <c r="J1009" s="92"/>
    </row>
    <row r="1010" spans="1:10" ht="77.5">
      <c r="A1010" s="190" t="s">
        <v>3656</v>
      </c>
      <c r="B1010"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10"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1010"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10" s="92" t="str">
        <f t="shared" si="50"/>
        <v xml:space="preserve">
You must enter a number greater than or equal to 0 and less than 1,000,000,000,000.00 (1 trillion). It can be accurate to two decimal places.
</v>
      </c>
      <c r="F1010" s="92"/>
      <c r="G1010" s="92"/>
      <c r="H1010" s="92"/>
      <c r="I1010" s="92"/>
      <c r="J1010" s="92"/>
    </row>
    <row r="1011" spans="1:10" ht="77.5">
      <c r="A1011" s="190" t="s">
        <v>3657</v>
      </c>
      <c r="B1011"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11"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1011"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11" s="92" t="str">
        <f t="shared" si="50"/>
        <v xml:space="preserve">
You must enter a number greater than or equal to 0 and less than 1,000,000,000,000.00 (1 trillion). It can be accurate to two decimal places.
</v>
      </c>
      <c r="F1011" s="92"/>
      <c r="G1011" s="92"/>
      <c r="H1011" s="92"/>
      <c r="I1011" s="92"/>
      <c r="J1011" s="92"/>
    </row>
    <row r="1012" spans="1:10" ht="77.5">
      <c r="A1012" s="190" t="s">
        <v>3658</v>
      </c>
      <c r="B1012"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12"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1012"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12" s="92" t="str">
        <f t="shared" si="50"/>
        <v xml:space="preserve">
You must enter a number greater than or equal to 0 and less than 1,000,000,000,000.00 (1 trillion). It can be accurate to two decimal places.
</v>
      </c>
      <c r="F1012" s="92"/>
      <c r="G1012" s="92"/>
      <c r="H1012" s="92"/>
      <c r="I1012" s="92"/>
      <c r="J1012" s="92"/>
    </row>
    <row r="1013" spans="1:10" ht="77.5">
      <c r="A1013" s="190" t="s">
        <v>3659</v>
      </c>
      <c r="B1013"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13"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1013"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13" s="92" t="str">
        <f t="shared" si="50"/>
        <v xml:space="preserve">
You must enter a number greater than or equal to 0 and less than 1,000,000,000,000.00 (1 trillion). It can be accurate to two decimal places.
</v>
      </c>
      <c r="F1013" s="92"/>
      <c r="G1013" s="92"/>
      <c r="H1013" s="92"/>
      <c r="I1013" s="92"/>
      <c r="J1013" s="92"/>
    </row>
    <row r="1014" spans="1:10" ht="77.5">
      <c r="A1014" s="190" t="s">
        <v>3660</v>
      </c>
      <c r="B1014"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14"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1014"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14" s="92" t="str">
        <f t="shared" si="50"/>
        <v xml:space="preserve">
You must enter a number greater than or equal to 0 and less than 1,000,000,000,000.00 (1 trillion). It can be accurate to two decimal places.
</v>
      </c>
      <c r="F1014" s="92"/>
      <c r="G1014" s="92"/>
      <c r="H1014" s="92"/>
      <c r="I1014" s="92"/>
      <c r="J1014" s="92"/>
    </row>
    <row r="1015" spans="1:10" ht="77.5">
      <c r="A1015" s="190" t="s">
        <v>3661</v>
      </c>
      <c r="B1015"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15"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1015"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15" s="92" t="str">
        <f t="shared" si="50"/>
        <v xml:space="preserve">
You must enter a number greater than or equal to 0 and less than 1,000,000,000,000.00 (1 trillion). It can be accurate to two decimal places.
</v>
      </c>
      <c r="F1015" s="92"/>
      <c r="G1015" s="92"/>
      <c r="H1015" s="92"/>
      <c r="I1015" s="92"/>
      <c r="J1015" s="92"/>
    </row>
    <row r="1016" spans="1:10" ht="77.5">
      <c r="A1016" s="190" t="s">
        <v>3662</v>
      </c>
      <c r="B1016"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16"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1016"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16" s="92" t="str">
        <f t="shared" si="50"/>
        <v xml:space="preserve">
You must enter a number greater than or equal to 0 and less than 1,000,000,000,000.00 (1 trillion). It can be accurate to two decimal places.
</v>
      </c>
      <c r="F1016" s="92"/>
      <c r="G1016" s="92"/>
      <c r="H1016" s="92"/>
      <c r="I1016" s="92"/>
      <c r="J1016" s="92"/>
    </row>
    <row r="1017" spans="1:10" ht="77.5">
      <c r="A1017" s="190" t="s">
        <v>3663</v>
      </c>
      <c r="B1017"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17"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1017"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17" s="92" t="str">
        <f t="shared" si="50"/>
        <v xml:space="preserve">
You must enter a number greater than or equal to 0 and less than 1,000,000,000,000.00 (1 trillion). It can be accurate to two decimal places.
</v>
      </c>
      <c r="F1017" s="92"/>
      <c r="G1017" s="92"/>
      <c r="H1017" s="92"/>
      <c r="I1017" s="92"/>
      <c r="J1017" s="92"/>
    </row>
    <row r="1018" spans="1:10" ht="77.5">
      <c r="A1018" s="190" t="s">
        <v>3664</v>
      </c>
      <c r="B1018"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18"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1018"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18" s="92" t="str">
        <f t="shared" si="50"/>
        <v xml:space="preserve">
You must enter a number greater than or equal to 0 and less than 1,000,000,000,000.00 (1 trillion). It can be accurate to two decimal places.
</v>
      </c>
      <c r="F1018" s="92"/>
      <c r="G1018" s="92"/>
      <c r="H1018" s="92"/>
      <c r="I1018" s="92"/>
      <c r="J1018" s="92"/>
    </row>
    <row r="1019" spans="1:10" ht="77.5">
      <c r="A1019" s="190" t="s">
        <v>3665</v>
      </c>
      <c r="B1019"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19"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1019"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19" s="92" t="str">
        <f t="shared" si="50"/>
        <v xml:space="preserve">
You must enter a number greater than or equal to 0 and less than 1,000,000,000,000.00 (1 trillion). It can be accurate to two decimal places.
</v>
      </c>
      <c r="F1019" s="92"/>
      <c r="G1019" s="92"/>
      <c r="H1019" s="92"/>
      <c r="I1019" s="92"/>
      <c r="J1019" s="92"/>
    </row>
    <row r="1020" spans="1:10" ht="77.5">
      <c r="A1020" s="190" t="s">
        <v>3666</v>
      </c>
      <c r="B1020"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20"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1020"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20" s="92" t="str">
        <f t="shared" si="50"/>
        <v xml:space="preserve">
You must enter a number greater than or equal to 0 and less than 1,000,000,000,000.00 (1 trillion). It can be accurate to two decimal places.
</v>
      </c>
      <c r="F1020" s="92"/>
      <c r="G1020" s="92"/>
      <c r="H1020" s="92"/>
      <c r="I1020" s="92"/>
      <c r="J1020" s="92"/>
    </row>
    <row r="1021" spans="1:10" ht="77.5">
      <c r="A1021" s="190" t="s">
        <v>3667</v>
      </c>
      <c r="B1021"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21"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1021"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21" s="92" t="str">
        <f t="shared" si="50"/>
        <v xml:space="preserve">
You must enter a number greater than or equal to 0 and less than 1,000,000,000,000.00 (1 trillion). It can be accurate to two decimal places.
</v>
      </c>
      <c r="F1021" s="92"/>
      <c r="G1021" s="92"/>
      <c r="H1021" s="92"/>
      <c r="I1021" s="92"/>
      <c r="J1021" s="92"/>
    </row>
    <row r="1022" spans="1:10" ht="77.5">
      <c r="A1022" s="190" t="s">
        <v>3668</v>
      </c>
      <c r="B1022"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22"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1022"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22" s="92" t="str">
        <f t="shared" si="50"/>
        <v xml:space="preserve">
You must enter a number greater than or equal to 0 and less than 1,000,000,000,000.00 (1 trillion). It can be accurate to two decimal places.
</v>
      </c>
      <c r="F1022" s="92"/>
      <c r="G1022" s="92"/>
      <c r="H1022" s="92"/>
      <c r="I1022" s="92"/>
      <c r="J1022" s="92"/>
    </row>
    <row r="1023" spans="1:10" ht="77.5">
      <c r="A1023" s="190" t="s">
        <v>3669</v>
      </c>
      <c r="B1023"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23"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1023"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23" s="92" t="str">
        <f t="shared" si="50"/>
        <v xml:space="preserve">
You must enter a number greater than or equal to 0 and less than 1,000,000,000,000.00 (1 trillion). It can be accurate to two decimal places.
</v>
      </c>
      <c r="F1023" s="92"/>
      <c r="G1023" s="92"/>
      <c r="H1023" s="92"/>
      <c r="I1023" s="92"/>
      <c r="J1023" s="92"/>
    </row>
    <row r="1024" spans="1:10" ht="77.5">
      <c r="A1024" s="190" t="s">
        <v>3670</v>
      </c>
      <c r="B1024"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24"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1024"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24" s="92" t="str">
        <f t="shared" si="50"/>
        <v xml:space="preserve">
You must enter a number greater than or equal to 0 and less than 1,000,000,000,000.00 (1 trillion). It can be accurate to two decimal places.
</v>
      </c>
      <c r="F1024" s="92"/>
      <c r="G1024" s="92"/>
      <c r="H1024" s="92"/>
      <c r="I1024" s="92"/>
      <c r="J1024" s="92"/>
    </row>
    <row r="1025" spans="1:10" ht="77.5">
      <c r="A1025" s="190" t="s">
        <v>3671</v>
      </c>
      <c r="B1025"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25"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1025"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25" s="92" t="str">
        <f t="shared" si="50"/>
        <v xml:space="preserve">
You must enter a number greater than or equal to 0 and less than 1,000,000,000,000.00 (1 trillion). It can be accurate to two decimal places.
</v>
      </c>
      <c r="F1025" s="92"/>
      <c r="G1025" s="92"/>
      <c r="H1025" s="92"/>
      <c r="I1025" s="92"/>
      <c r="J1025" s="92"/>
    </row>
    <row r="1026" spans="1:10" ht="77.5">
      <c r="A1026" s="190" t="s">
        <v>3672</v>
      </c>
      <c r="B1026"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26"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1026"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26" s="92" t="str">
        <f t="shared" si="50"/>
        <v xml:space="preserve">
You must enter a number greater than or equal to 0 and less than 1,000,000,000,000.00 (1 trillion). It can be accurate to two decimal places.
</v>
      </c>
      <c r="F1026" s="92"/>
      <c r="G1026" s="92"/>
      <c r="H1026" s="92"/>
      <c r="I1026" s="92"/>
      <c r="J1026" s="92"/>
    </row>
    <row r="1027" spans="1:10" ht="77.5">
      <c r="A1027" s="190" t="s">
        <v>3673</v>
      </c>
      <c r="B1027"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27"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1027"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27" s="92" t="str">
        <f t="shared" si="50"/>
        <v xml:space="preserve">
You must enter a number greater than or equal to 0 and less than 1,000,000,000,000.00 (1 trillion). It can be accurate to two decimal places.
</v>
      </c>
      <c r="F1027" s="92"/>
      <c r="G1027" s="92"/>
      <c r="H1027" s="92"/>
      <c r="I1027" s="92"/>
      <c r="J1027" s="92"/>
    </row>
    <row r="1028" spans="1:10" ht="77.5">
      <c r="A1028" s="190" t="s">
        <v>3674</v>
      </c>
      <c r="B1028" s="92" t="str">
        <f>"
Do not answer this question if the scheme has no asset-backed contribution (ABC) arrangements for which the trustees wish to include details ("&amp;Questions!$D$240&amp;").
"</f>
        <v xml:space="preserve">
Do not answer this question if the scheme has no asset-backed contribution (ABC) arrangements for which the trustees wish to include details (ABC 1.0).
</v>
      </c>
      <c r="C1028" s="92" t="str">
        <f>"
Do not answer this question if you have already provided the details for the number of asset-backed contribution (ABC) arrangements that the trustees wish to include details about ("&amp;Questions!$D$240&amp;").
"</f>
        <v xml:space="preserve">
Do not answer this question if you have already provided the details for the number of asset-backed contribution (ABC) arrangements that the trustees wish to include details about (ABC 1.0).
</v>
      </c>
      <c r="D1028" s="92" t="str">
        <f>"
You must answer this question if the scheme has asset-backed contribution (ABC) arrangements for which the trustees wish to include details ("&amp;Questions!$D$240&amp;").
"</f>
        <v xml:space="preserve">
You must answer this question if the scheme has asset-backed contribution (ABC) arrangements for which the trustees wish to include details (ABC 1.0).
</v>
      </c>
      <c r="E1028" s="92" t="str">
        <f t="shared" si="50"/>
        <v xml:space="preserve">
You must enter a number greater than or equal to 0 and less than 1,000,000,000,000.00 (1 trillion). It can be accurate to two decimal places.
</v>
      </c>
      <c r="F1028" s="92"/>
      <c r="G1028" s="92"/>
      <c r="H1028" s="92"/>
      <c r="I1028" s="92"/>
      <c r="J1028" s="92"/>
    </row>
    <row r="1029" spans="1:10" ht="62">
      <c r="A1029" s="190" t="s">
        <v>3675</v>
      </c>
      <c r="B1029" s="92" t="str">
        <f>"
Do not answer this question if the scheme follows a Bespoke approach ("&amp;Questions!D5&amp;").
"</f>
        <v xml:space="preserve">
Do not answer this question if the scheme follows a Bespoke approach (SH 13.0).
</v>
      </c>
      <c r="C1029" s="92" t="str">
        <f>"
You must answer this question if the scheme follows a Fast Track approach ("&amp;Questions!D5&amp;").
"</f>
        <v xml:space="preserve">
You must answer this question if the scheme follows a Fast Track approach (SH 13.0).
</v>
      </c>
      <c r="D1029" s="92" t="str">
        <f>"
Enter a percentage value between 0 and 100.
"</f>
        <v xml:space="preserve">
Enter a percentage value between 0 and 100.
</v>
      </c>
      <c r="E1029" s="92"/>
      <c r="F1029" s="92"/>
      <c r="G1029" s="92"/>
      <c r="H1029" s="92"/>
      <c r="I1029" s="92"/>
      <c r="J1029" s="92"/>
    </row>
    <row r="1030" spans="1:10" ht="77.5">
      <c r="A1030" s="190" t="s">
        <v>3676</v>
      </c>
      <c r="B1030" s="92" t="str">
        <f>"
Do not answer this question if the scheme follows a Fast Track approach ("&amp;Questions!D5&amp;").
"</f>
        <v xml:space="preserve">
Do not answer this question if the scheme follows a Fast Track approach (SH 13.0).
</v>
      </c>
      <c r="C1030" s="92" t="str">
        <f>"
You must answer this question if the scheme follows a Bespoke approach ("&amp;Questions!D5&amp;").
"</f>
        <v xml:space="preserve">
You must answer this question if the scheme follows a Bespoke approach (SH 13.0).
</v>
      </c>
      <c r="D1030" s="92" t="str">
        <f>"
Enter a value greater than -1,000,000,000,000 (minus 1 trillion) and less than or equal to 0. It can be accurate to two decimal places. 
"</f>
        <v xml:space="preserve">
Enter a value greater than -1,000,000,000,000 (minus 1 trillion) and less than or equal to 0. It can be accurate to two decimal places. 
</v>
      </c>
      <c r="E1030" s="92" t="str">
        <f>"
You must enter a number greater than -1,000,000,000,000.00 (minus 1 trillion) and less than or equal to 0. It can be accurate to two decimal places.
"</f>
        <v xml:space="preserve">
You must enter a number greater than -1,000,000,000,000.00 (minus 1 trillion) and less than or equal to 0. It can be accurate to two decimal places.
</v>
      </c>
      <c r="F1030" s="92"/>
      <c r="G1030" s="454"/>
      <c r="H1030" s="454"/>
      <c r="I1030" s="92"/>
      <c r="J1030" s="92"/>
    </row>
    <row r="1031" spans="1:10" ht="62">
      <c r="A1031" s="190" t="s">
        <v>3677</v>
      </c>
      <c r="B1031" s="92" t="str">
        <f>"
Do not answer this question if the scheme's valuation is pre-relevant date ("&amp;Questions!D14&amp;").
"</f>
        <v xml:space="preserve">
Do not answer this question if the scheme's valuation is pre-relevant date (SH 10.0).
</v>
      </c>
      <c r="C1031" s="92" t="str">
        <f>"
You must answer this question if the scheme's valuation is post-relevant date ("&amp;Questions!D14&amp;").
"</f>
        <v xml:space="preserve">
You must answer this question if the scheme's valuation is post-relevant date (SH 10.0).
</v>
      </c>
      <c r="D1031" s="92" t="str">
        <f>"
The answer must be no more than 4000 characters.
"</f>
        <v xml:space="preserve">
The answer must be no more than 4000 characters.
</v>
      </c>
      <c r="E1031" s="92"/>
      <c r="F1031" s="92"/>
      <c r="G1031" s="454"/>
      <c r="H1031" s="454"/>
      <c r="I1031" s="92"/>
      <c r="J1031" s="92"/>
    </row>
    <row r="1032" spans="1:10" ht="108.5">
      <c r="A1032" s="190" t="s">
        <v>3678</v>
      </c>
      <c r="B1032" s="92" t="str">
        <f>"
Do not answer this question if the scheme follows a Fast Track approach ("&amp;Questions!$D$5&amp;").
"</f>
        <v xml:space="preserve">
Do not answer this question if the scheme follows a Fast Track approach (SH 13.0).
</v>
      </c>
      <c r="C1032" s="92" t="str">
        <f>"
You must answer this question if the scheme follows a Bespoke approach ("&amp;Questions!D5&amp;").
"</f>
        <v xml:space="preserve">
You must answer this question if the scheme follows a Bespoke approach (SH 13.0).
</v>
      </c>
      <c r="D1032" s="92" t="str">
        <f>"
Select one of the following options from the drop-down list:
• TPR Fast Track Stress Test
• Value at Risk (VAR)
• Conditional Value at Risk (CVAR)
• Other
"</f>
        <v xml:space="preserve">
Select one of the following options from the drop-down list:
• TPR Fast Track Stress Test
• Value at Risk (VAR)
• Conditional Value at Risk (CVAR)
• Other
</v>
      </c>
      <c r="E1032" s="92"/>
      <c r="F1032" s="92"/>
      <c r="G1032" s="92"/>
      <c r="H1032" s="454"/>
      <c r="I1032" s="92"/>
      <c r="J1032" s="92"/>
    </row>
    <row r="1033" spans="1:10" ht="77.5">
      <c r="A1033" s="190" t="s">
        <v>3679</v>
      </c>
      <c r="B1033" s="92" t="str">
        <f>"
Do not answer this question unless you selected ‘Other’ in the question ""How has the current level of risk in the scheme's notional investment strategy been determined?""  ("&amp;Questions!D152&amp;").
"</f>
        <v xml:space="preserve">
Do not answer this question unless you selected ‘Other’ in the question "How has the current level of risk in the scheme's notional investment strategy been determined?"  (IRC 4.0).
</v>
      </c>
      <c r="C1033" s="92" t="str">
        <f>"
You must answer this question if you selected ‘Other’ in the question ""How has the current level of risk in the scheme's notional investment strategy been determined?"" ("&amp;Questions!D152&amp;").
"</f>
        <v xml:space="preserve">
You must answer this question if you selected ‘Other’ in the question "How has the current level of risk in the scheme's notional investment strategy been determined?" (IRC 4.0).
</v>
      </c>
      <c r="D1033" s="92" t="str">
        <f>"
The answer must be no more than 4000 characters.
"</f>
        <v xml:space="preserve">
The answer must be no more than 4000 characters.
</v>
      </c>
      <c r="E1033" s="92"/>
      <c r="F1033" s="92"/>
      <c r="G1033" s="92"/>
      <c r="H1033" s="454"/>
      <c r="I1033" s="92"/>
      <c r="J1033" s="92"/>
    </row>
    <row r="1034" spans="1:10" ht="124">
      <c r="A1034" s="190" t="s">
        <v>3680</v>
      </c>
      <c r="B1034" s="92" t="str">
        <f>"
Do not answer this question if the scheme follows a Fast Track approach ("&amp;Questions!$D$5&amp;").
"</f>
        <v xml:space="preserve">
Do not answer this question if the scheme follows a Fast Track approach (SH 13.0).
</v>
      </c>
      <c r="C1034" s="92" t="str">
        <f>"
Do not answer this question if you indicated that the current level of risk in the scheme's notional investment strategy has been determined by 'TPR Fast Track stress test' or 'Other’ ("&amp;Questions!$D$152&amp;").
"</f>
        <v xml:space="preserve">
Do not answer this question if you indicated that the current level of risk in the scheme's notional investment strategy has been determined by 'TPR Fast Track stress test' or 'Other’ (IRC 4.0).
</v>
      </c>
      <c r="D1034" s="92" t="str">
        <f>"
You must answer this question if the scheme follows a Bespoke approach and you selected one of the following two options in the question ""How has the current level of risk in the scheme's notional investment strategy been determined?"""" ("&amp;Questions!D152&amp;"): 
• Value at Risk (VAR)
• Conditional Value at Risk (CVAR)
"</f>
        <v xml:space="preserve">
You must answer this question if the scheme follows a Bespoke approach and you selected one of the following two options in the question "How has the current level of risk in the scheme's notional investment strategy been determined?"" (IRC 4.0): 
• Value at Risk (VAR)
• Conditional Value at Risk (CVAR)
</v>
      </c>
      <c r="E1034" s="92" t="str">
        <f>"
Select ‘Liabilities and assets’ or ’Assets only’ from the drop-down list.
"</f>
        <v xml:space="preserve">
Select ‘Liabilities and assets’ or ’Assets only’ from the drop-down list.
</v>
      </c>
      <c r="F1034" s="92"/>
      <c r="G1034" s="92"/>
      <c r="H1034" s="454"/>
      <c r="I1034" s="92"/>
      <c r="J1034" s="92"/>
    </row>
    <row r="1035" spans="1:10" ht="124">
      <c r="A1035" s="190" t="s">
        <v>3681</v>
      </c>
      <c r="B1035" s="454" t="str">
        <f>"
Do not answer this question if the scheme follows a Fast Track approach ("&amp;Questions!$D$5&amp;").
"</f>
        <v xml:space="preserve">
Do not answer this question if the scheme follows a Fast Track approach (SH 13.0).
</v>
      </c>
      <c r="C1035" s="454" t="str">
        <f>"
Do not answer this question if you indicated that the current level of risk in the scheme's notional investment strategy has been determined by 'TPR Fast Track stress test' or 'Other’ ("&amp;Questions!$D$152&amp;").
"</f>
        <v xml:space="preserve">
Do not answer this question if you indicated that the current level of risk in the scheme's notional investment strategy has been determined by 'TPR Fast Track stress test' or 'Other’ (IRC 4.0).
</v>
      </c>
      <c r="D1035" s="454" t="str">
        <f>"
Do not answer this question if the investment risk calculation has been based on assets only ("&amp;Questions!$D$154&amp;").
"</f>
        <v xml:space="preserve">
Do not answer this question if the investment risk calculation has been based on assets only (IRC 6.0).
</v>
      </c>
      <c r="E1035" s="454" t="str">
        <f>"
You must answer this question if the investment risk calculation has been based on liabilities and assets ("&amp;Questions!$D$154&amp;").
"</f>
        <v xml:space="preserve">
You must answer this question if the investment risk calculation has been based on liabilities and assets (IRC 6.0).
</v>
      </c>
      <c r="F1035" s="454" t="str">
        <f>"
Select one of the following options from the drop-down list:
• Technical provisions
• Low dependency funding
• Gilts/margin over gilts
• Swaps/margin over swaps
• Other
"</f>
        <v xml:space="preserve">
Select one of the following options from the drop-down list:
• Technical provisions
• Low dependency funding
• Gilts/margin over gilts
• Swaps/margin over swaps
• Other
</v>
      </c>
      <c r="G1035" s="454"/>
      <c r="H1035" s="454"/>
      <c r="I1035" s="92"/>
      <c r="J1035" s="92"/>
    </row>
    <row r="1036" spans="1:10" ht="77.5">
      <c r="A1036" s="190" t="s">
        <v>3682</v>
      </c>
      <c r="B1036" s="454" t="str">
        <f>"
Do not answer this question if the scheme follows a Fast Track approach ("&amp;Questions!$D$5&amp;").
"</f>
        <v xml:space="preserve">
Do not answer this question if the scheme follows a Fast Track approach (SH 13.0).
</v>
      </c>
      <c r="C1036" s="454" t="str">
        <f>"
Do not answer this question if you indicated that the current level of risk in the scheme's notional investment strategy has been determined by 'TPR Fast Track stress test' or 'Other’ ("&amp;Questions!$D$152&amp;").
"</f>
        <v xml:space="preserve">
Do not answer this question if you indicated that the current level of risk in the scheme's notional investment strategy has been determined by 'TPR Fast Track stress test' or 'Other’ (IRC 4.0).
</v>
      </c>
      <c r="D1036" s="454" t="str">
        <f>"
Do not answer this question if the investment risk calculation has been based on assets only ("&amp;Questions!$D$154&amp;").
"</f>
        <v xml:space="preserve">
Do not answer this question if the investment risk calculation has been based on assets only (IRC 6.0).
</v>
      </c>
      <c r="E1036" s="454" t="str">
        <f>"
You must answer this question if the investment risk calculation has been based on liabilities and assets ("&amp;Questions!$D$154&amp;").
"</f>
        <v xml:space="preserve">
You must answer this question if the investment risk calculation has been based on liabilities and assets (IRC 6.0).
</v>
      </c>
      <c r="F1036" s="454" t="str">
        <f>"
Do not answer this question if you have not indicated that the liability basis is gilts/margin over gilts ("&amp;Questions!$D$155&amp;").
"</f>
        <v xml:space="preserve">
Do not answer this question if you have not indicated that the liability basis is gilts/margin over gilts (IRC 7.0).
</v>
      </c>
      <c r="G1036" s="454" t="str">
        <f>"
You must answer this question if you have indicated that the liability basis gilts/margin over gilts ("&amp;Questions!$D$155&amp;").
"</f>
        <v xml:space="preserve">
You must answer this question if you have indicated that the liability basis gilts/margin over gilts (IRC 7.0).
</v>
      </c>
      <c r="H1036" s="454" t="str">
        <f>"
Enter a percentage value between -10 and 10.
"</f>
        <v xml:space="preserve">
Enter a percentage value between -10 and 10.
</v>
      </c>
      <c r="I1036" s="92"/>
      <c r="J1036" s="92"/>
    </row>
    <row r="1037" spans="1:10" ht="77.5">
      <c r="A1037" s="190" t="s">
        <v>3683</v>
      </c>
      <c r="B1037" s="454" t="str">
        <f>"
Do not answer this question if the scheme follows a Fast Track approach ("&amp;Questions!$D$5&amp;").
"</f>
        <v xml:space="preserve">
Do not answer this question if the scheme follows a Fast Track approach (SH 13.0).
</v>
      </c>
      <c r="C1037" s="454" t="str">
        <f>"
Do not answer this question if you indicated that the current level of risk in the scheme's notional investment strategy has been determined by 'TPR Fast Track stress test' or 'Other’  ("&amp;Questions!$D$152&amp;").
"</f>
        <v xml:space="preserve">
Do not answer this question if you indicated that the current level of risk in the scheme's notional investment strategy has been determined by 'TPR Fast Track stress test' or 'Other’  (IRC 4.0).
</v>
      </c>
      <c r="D1037" s="454" t="str">
        <f>"
Do not answer this question if the investment risk calculation has been based on assets only ("&amp;Questions!$D$154&amp;").
"</f>
        <v xml:space="preserve">
Do not answer this question if the investment risk calculation has been based on assets only (IRC 6.0).
</v>
      </c>
      <c r="E1037" s="454" t="str">
        <f>"
You must answer this question if the investment risk calculation has been based on liabilities and assets ("&amp;Questions!$D$154&amp;").
"</f>
        <v xml:space="preserve">
You must answer this question if the investment risk calculation has been based on liabilities and assets (IRC 6.0).
</v>
      </c>
      <c r="F1037" s="454" t="str">
        <f>"
Do not answer this question if you have not indicated that the liability basis is swaps/margin over swaps
"</f>
        <v xml:space="preserve">
Do not answer this question if you have not indicated that the liability basis is swaps/margin over swaps
</v>
      </c>
      <c r="G1037" s="454" t="str">
        <f>"
You must answer this question if you have indicated that the liability basis swaps/margin over swaps ("&amp;Questions!$D$155&amp;").
"</f>
        <v xml:space="preserve">
You must answer this question if you have indicated that the liability basis swaps/margin over swaps (IRC 7.0).
</v>
      </c>
      <c r="H1037" s="454" t="str">
        <f>"
Enter a percentage value between -10 and 10.
"</f>
        <v xml:space="preserve">
Enter a percentage value between -10 and 10.
</v>
      </c>
      <c r="I1037" s="92"/>
      <c r="J1037" s="92"/>
    </row>
    <row r="1038" spans="1:10" ht="77.5">
      <c r="A1038" s="190" t="s">
        <v>3684</v>
      </c>
      <c r="B1038" s="454" t="str">
        <f>"
Do not answer this question if the scheme follows a Fast Track approach ("&amp;Questions!$D$5&amp;").
"</f>
        <v xml:space="preserve">
Do not answer this question if the scheme follows a Fast Track approach (SH 13.0).
</v>
      </c>
      <c r="C1038" s="454" t="str">
        <f>"
Do not answer this question if you indicated that the current level of risk in the scheme's notional investment strategy has been determined by 'TPR Fast Track stress test' or 'Other’ ("&amp;Questions!$D$152&amp;").
"</f>
        <v xml:space="preserve">
Do not answer this question if you indicated that the current level of risk in the scheme's notional investment strategy has been determined by 'TPR Fast Track stress test' or 'Other’ (IRC 4.0).
</v>
      </c>
      <c r="D1038" s="454" t="str">
        <f>"
Do not answer this question if the investment risk calculation has been based on assets only ("&amp;Questions!$D$154&amp;").
"</f>
        <v xml:space="preserve">
Do not answer this question if the investment risk calculation has been based on assets only (IRC 6.0).
</v>
      </c>
      <c r="E1038" s="454" t="str">
        <f>"
You must answer this question if the investment risk calculation has been based on liabilities and assets ("&amp;Questions!$D$154&amp;").
"</f>
        <v xml:space="preserve">
You must answer this question if the investment risk calculation has been based on liabilities and assets (IRC 6.0).
</v>
      </c>
      <c r="F1038" s="454" t="str">
        <f>"
Do not answer this question if you have not indicated that the liability basis is 'Other'.
"</f>
        <v xml:space="preserve">
Do not answer this question if you have not indicated that the liability basis is 'Other'.
</v>
      </c>
      <c r="G1038" s="92" t="str">
        <f>"
You must answer this question if you have indicated that the liability basis is Other ("&amp;Questions!D155&amp;").
"</f>
        <v xml:space="preserve">
You must answer this question if you have indicated that the liability basis is Other (IRC 7.0).
</v>
      </c>
      <c r="H1038" s="92" t="str">
        <f>"
The answer must be no more than 4000 characters.
"</f>
        <v xml:space="preserve">
The answer must be no more than 4000 characters.
</v>
      </c>
      <c r="I1038" s="92"/>
      <c r="J1038" s="92"/>
    </row>
    <row r="1039" spans="1:10" ht="124">
      <c r="A1039" s="190" t="s">
        <v>3685</v>
      </c>
      <c r="B1039" s="92" t="str">
        <f>"
Do not answer this question if the scheme follows a Fast Track approach ("&amp;Questions!$D$5&amp;").
"</f>
        <v xml:space="preserve">
Do not answer this question if the scheme follows a Fast Track approach (SH 13.0).
</v>
      </c>
      <c r="C1039" s="92" t="str">
        <f>"
Do not answer this question if you indicated that the current level of risk in the scheme's notional investment strategy has been determined by 'TPR Fast Track stress test' or 'Other’  ("&amp;Questions!$D$152&amp;").
"</f>
        <v xml:space="preserve">
Do not answer this question if you indicated that the current level of risk in the scheme's notional investment strategy has been determined by 'TPR Fast Track stress test' or 'Other’  (IRC 4.0).
</v>
      </c>
      <c r="D1039" s="92" t="str">
        <f>"
You must answer this question if the scheme follows a Bespoke approach and you selected one of the following two options in the question ""How has the current level of risk in the scheme's notional investment strategy been determined?"""" ("&amp;Questions!D152&amp;"): 
• Value at Risk (VAR)
• Conditional Value at Risk (CVAR)
"</f>
        <v xml:space="preserve">
You must answer this question if the scheme follows a Bespoke approach and you selected one of the following two options in the question "How has the current level of risk in the scheme's notional investment strategy been determined?"" (IRC 4.0): 
• Value at Risk (VAR)
• Conditional Value at Risk (CVAR)
</v>
      </c>
      <c r="E1039" s="92" t="str">
        <f>"
Enter a percentage value between 0 and 100.
"</f>
        <v xml:space="preserve">
Enter a percentage value between 0 and 100.
</v>
      </c>
      <c r="F1039" s="92"/>
      <c r="G1039" s="92"/>
      <c r="H1039" s="92"/>
      <c r="I1039" s="92"/>
      <c r="J1039" s="92"/>
    </row>
    <row r="1040" spans="1:10" ht="124">
      <c r="A1040" s="190" t="s">
        <v>3686</v>
      </c>
      <c r="B1040" s="92" t="str">
        <f>"
Do not answer this question if the scheme follows a Fast Track approach ("&amp;Questions!$D$5&amp;").
"</f>
        <v xml:space="preserve">
Do not answer this question if the scheme follows a Fast Track approach (SH 13.0).
</v>
      </c>
      <c r="C1040" s="92" t="str">
        <f>"
Do not answer this question if you indicated that the current level of risk in the scheme's notional investment strategy has been determined by 'TPR Fast Track stress test' or 'Other’  ("&amp;Questions!$D$152&amp;").
"</f>
        <v xml:space="preserve">
Do not answer this question if you indicated that the current level of risk in the scheme's notional investment strategy has been determined by 'TPR Fast Track stress test' or 'Other’  (IRC 4.0).
</v>
      </c>
      <c r="D1040" s="92" t="str">
        <f>"
You must answer this question if the scheme follows a Bespoke approach and you selected one of the following two options in the question ""How has the current level of risk in the scheme's notional investment strategy been determined?"""" ("&amp;Questions!D152&amp;"): 
• Value at Risk (VAR)
• Conditional Value at Risk (CVAR)
"</f>
        <v xml:space="preserve">
You must answer this question if the scheme follows a Bespoke approach and you selected one of the following two options in the question "How has the current level of risk in the scheme's notional investment strategy been determined?"" (IRC 4.0): 
• Value at Risk (VAR)
• Conditional Value at Risk (CVAR)
</v>
      </c>
      <c r="E1040" s="92" t="str">
        <f>"
Enter a number (in years) between 1 and 10.
"</f>
        <v xml:space="preserve">
Enter a number (in years) between 1 and 10.
</v>
      </c>
      <c r="F1040" s="92" t="str">
        <f>"
Enter a number (in years) between 1 and 10.
"</f>
        <v xml:space="preserve">
Enter a number (in years) between 1 and 10.
</v>
      </c>
      <c r="G1040" s="92"/>
      <c r="H1040" s="92"/>
      <c r="I1040" s="92"/>
      <c r="J1040" s="92"/>
    </row>
    <row r="1041" spans="1:10" ht="62">
      <c r="A1041" s="190" t="s">
        <v>3687</v>
      </c>
      <c r="B1041" s="92" t="str">
        <f>"
Do not answer this question if the scheme follows a Fast Track approach ("&amp;Questions!$D$5&amp;").
"</f>
        <v xml:space="preserve">
Do not answer this question if the scheme follows a Fast Track approach (SH 13.0).
</v>
      </c>
      <c r="C1041" s="92" t="str">
        <f>"
You must answer this question if the scheme follows a Bespoke approach ("&amp;Questions!$D$5&amp;").
"</f>
        <v xml:space="preserve">
You must answer this question if the scheme follows a Bespoke approach (SH 13.0).
</v>
      </c>
      <c r="D1041" s="92" t="str">
        <f>"
Select 'Nominal value' or 'Margin over gilts' from the drop-down menu.
"</f>
        <v xml:space="preserve">
Select 'Nominal value' or 'Margin over gilts' from the drop-down menu.
</v>
      </c>
      <c r="E1041" s="92"/>
      <c r="F1041" s="92"/>
      <c r="G1041" s="92"/>
      <c r="H1041" s="92"/>
      <c r="I1041" s="92"/>
      <c r="J1041" s="92"/>
    </row>
    <row r="1042" spans="1:10" ht="62">
      <c r="A1042" s="190" t="s">
        <v>3688</v>
      </c>
      <c r="B1042" s="92" t="str">
        <f>"
Do not answer this question if the scheme follows a Fast Track approach ("&amp;Questions!$D$5&amp;").
"</f>
        <v xml:space="preserve">
Do not answer this question if the scheme follows a Fast Track approach (SH 13.0).
</v>
      </c>
      <c r="C1042" s="92" t="str">
        <f xml:space="preserve"> "
Do not answer this question if the expected long-term return is not expressed as margin over gilts ("&amp;Questions!$D$161&amp;")
"</f>
        <v xml:space="preserve">
Do not answer this question if the expected long-term return is not expressed as margin over gilts (IRC 13.0)
</v>
      </c>
      <c r="D1042" s="92" t="str">
        <f xml:space="preserve"> "
You must answer this question if the expected long-term return is expressed as margin over gilts ("&amp;Questions!$D$161&amp;")
"</f>
        <v xml:space="preserve">
You must answer this question if the expected long-term return is expressed as margin over gilts (IRC 13.0)
</v>
      </c>
      <c r="E1042" s="92" t="str">
        <f>"
Enter a percentage value that is equal to or greater than 0.
"</f>
        <v xml:space="preserve">
Enter a percentage value that is equal to or greater than 0.
</v>
      </c>
      <c r="F1042" s="92"/>
      <c r="G1042" s="92"/>
      <c r="H1042" s="92"/>
      <c r="I1042" s="92"/>
      <c r="J1042" s="92"/>
    </row>
    <row r="1043" spans="1:10" ht="62">
      <c r="A1043" s="190" t="s">
        <v>3689</v>
      </c>
      <c r="B1043" s="92" t="str">
        <f>"
Do not answer this question if the scheme follows a Fast Track approach ("&amp;Questions!$D$5&amp;").
"</f>
        <v xml:space="preserve">
Do not answer this question if the scheme follows a Fast Track approach (SH 13.0).
</v>
      </c>
      <c r="C1043" s="92" t="str">
        <f>"
Do not answer this question if you have not indicated that the long term return is not expressed as Nominal value ("&amp;Questions!$D$161&amp;")
"</f>
        <v xml:space="preserve">
Do not answer this question if you have not indicated that the long term return is not expressed as Nominal value (IRC 13.0)
</v>
      </c>
      <c r="D1043" s="92" t="str">
        <f xml:space="preserve"> "
You must answer this question if the expected long-term return is expressed as a nominal value ("&amp;Questions!$D$161&amp;")
"</f>
        <v xml:space="preserve">
You must answer this question if the expected long-term return is expressed as a nominal value (IRC 13.0)
</v>
      </c>
      <c r="E1043" s="92" t="str">
        <f>"
Enter a percentage value that is equal to or greater than 0.
"</f>
        <v xml:space="preserve">
Enter a percentage value that is equal to or greater than 0.
</v>
      </c>
      <c r="F1043" s="92"/>
      <c r="G1043" s="92"/>
      <c r="H1043" s="92"/>
      <c r="I1043" s="92"/>
      <c r="J1043" s="92"/>
    </row>
    <row r="1044" spans="1:10" ht="62">
      <c r="A1044" s="190" t="s">
        <v>3690</v>
      </c>
      <c r="B1044" s="92" t="str">
        <f t="shared" ref="B1044:D1047" si="51">"
Enter a percentage value between -200 and 300."</f>
        <v xml:space="preserve">
Enter a percentage value between -200 and 300.</v>
      </c>
      <c r="C1044" s="92" t="str">
        <f t="shared" si="51"/>
        <v xml:space="preserve">
Enter a percentage value between -200 and 300.</v>
      </c>
      <c r="D1044" s="92" t="str">
        <f t="shared" si="51"/>
        <v xml:space="preserve">
Enter a percentage value between -200 and 300.</v>
      </c>
      <c r="E1044" s="92" t="s">
        <v>3769</v>
      </c>
      <c r="F1044" s="92"/>
      <c r="G1044" s="92"/>
      <c r="H1044" s="92"/>
      <c r="I1044" s="92"/>
      <c r="J1044" s="92"/>
    </row>
    <row r="1045" spans="1:10" ht="62">
      <c r="A1045" s="190" t="s">
        <v>3691</v>
      </c>
      <c r="B1045" s="92" t="str">
        <f t="shared" si="51"/>
        <v xml:space="preserve">
Enter a percentage value between -200 and 300.</v>
      </c>
      <c r="C1045" s="92" t="str">
        <f t="shared" si="51"/>
        <v xml:space="preserve">
Enter a percentage value between -200 and 300.</v>
      </c>
      <c r="D1045" s="92" t="str">
        <f t="shared" si="51"/>
        <v xml:space="preserve">
Enter a percentage value between -200 and 300.</v>
      </c>
      <c r="E1045" s="92" t="s">
        <v>3769</v>
      </c>
      <c r="F1045" s="92"/>
      <c r="G1045" s="92"/>
      <c r="H1045" s="92"/>
      <c r="I1045" s="92"/>
      <c r="J1045" s="92"/>
    </row>
    <row r="1046" spans="1:10" ht="62">
      <c r="A1046" s="190" t="s">
        <v>3692</v>
      </c>
      <c r="B1046" s="92" t="str">
        <f t="shared" si="51"/>
        <v xml:space="preserve">
Enter a percentage value between -200 and 300.</v>
      </c>
      <c r="C1046" s="92" t="str">
        <f t="shared" si="51"/>
        <v xml:space="preserve">
Enter a percentage value between -200 and 300.</v>
      </c>
      <c r="D1046" s="92" t="str">
        <f t="shared" si="51"/>
        <v xml:space="preserve">
Enter a percentage value between -200 and 300.</v>
      </c>
      <c r="E1046" s="92" t="s">
        <v>3769</v>
      </c>
      <c r="F1046" s="92"/>
      <c r="G1046" s="92"/>
      <c r="H1046" s="92"/>
      <c r="I1046" s="92"/>
      <c r="J1046" s="92"/>
    </row>
    <row r="1047" spans="1:10" ht="62">
      <c r="A1047" s="190" t="s">
        <v>3693</v>
      </c>
      <c r="B1047" s="92" t="str">
        <f t="shared" si="51"/>
        <v xml:space="preserve">
Enter a percentage value between -200 and 300.</v>
      </c>
      <c r="C1047" s="92" t="str">
        <f t="shared" si="51"/>
        <v xml:space="preserve">
Enter a percentage value between -200 and 300.</v>
      </c>
      <c r="D1047" s="92" t="str">
        <f t="shared" si="51"/>
        <v xml:space="preserve">
Enter a percentage value between -200 and 300.</v>
      </c>
      <c r="E1047" s="92" t="s">
        <v>3769</v>
      </c>
      <c r="F1047" s="92"/>
      <c r="G1047" s="92"/>
      <c r="H1047" s="92"/>
      <c r="I1047" s="92"/>
      <c r="J1047" s="92"/>
    </row>
    <row r="1048" spans="1:10" ht="62">
      <c r="A1048" s="190" t="s">
        <v>3694</v>
      </c>
      <c r="B1048" s="92" t="str">
        <f>"
Enter a percentage value between -200 and 200."</f>
        <v xml:space="preserve">
Enter a percentage value between -200 and 200.</v>
      </c>
      <c r="C1048" s="92" t="str">
        <f>"
Enter a percentage value between -200 and 200."</f>
        <v xml:space="preserve">
Enter a percentage value between -200 and 200.</v>
      </c>
      <c r="D1048" s="92" t="str">
        <f>"
Enter a percentage value between -200 and 200."</f>
        <v xml:space="preserve">
Enter a percentage value between -200 and 200.</v>
      </c>
      <c r="E1048" s="92" t="s">
        <v>3769</v>
      </c>
      <c r="F1048" s="92"/>
      <c r="G1048" s="92"/>
      <c r="H1048" s="92"/>
      <c r="I1048" s="92"/>
      <c r="J1048" s="92"/>
    </row>
    <row r="1049" spans="1:10" ht="62">
      <c r="A1049" s="190" t="s">
        <v>3695</v>
      </c>
      <c r="B1049" s="92" t="str">
        <f t="shared" ref="B1049:D1056" si="52">"
Enter a percentage value between -200 and 200."</f>
        <v xml:space="preserve">
Enter a percentage value between -200 and 200.</v>
      </c>
      <c r="C1049" s="92" t="str">
        <f t="shared" si="52"/>
        <v xml:space="preserve">
Enter a percentage value between -200 and 200.</v>
      </c>
      <c r="D1049" s="92" t="str">
        <f t="shared" si="52"/>
        <v xml:space="preserve">
Enter a percentage value between -200 and 200.</v>
      </c>
      <c r="E1049" s="92" t="s">
        <v>3769</v>
      </c>
      <c r="F1049" s="92"/>
      <c r="G1049" s="92"/>
      <c r="H1049" s="92"/>
      <c r="I1049" s="92"/>
      <c r="J1049" s="92"/>
    </row>
    <row r="1050" spans="1:10" ht="62">
      <c r="A1050" s="190" t="s">
        <v>3696</v>
      </c>
      <c r="B1050" s="92" t="str">
        <f t="shared" si="52"/>
        <v xml:space="preserve">
Enter a percentage value between -200 and 200.</v>
      </c>
      <c r="C1050" s="92" t="str">
        <f t="shared" si="52"/>
        <v xml:space="preserve">
Enter a percentage value between -200 and 200.</v>
      </c>
      <c r="D1050" s="92" t="str">
        <f t="shared" si="52"/>
        <v xml:space="preserve">
Enter a percentage value between -200 and 200.</v>
      </c>
      <c r="E1050" s="92" t="s">
        <v>3769</v>
      </c>
      <c r="F1050" s="92"/>
      <c r="G1050" s="92"/>
      <c r="H1050" s="92"/>
      <c r="I1050" s="92"/>
      <c r="J1050" s="92"/>
    </row>
    <row r="1051" spans="1:10" ht="62">
      <c r="A1051" s="190" t="s">
        <v>3697</v>
      </c>
      <c r="B1051" s="92" t="str">
        <f t="shared" si="52"/>
        <v xml:space="preserve">
Enter a percentage value between -200 and 200.</v>
      </c>
      <c r="C1051" s="92" t="str">
        <f t="shared" si="52"/>
        <v xml:space="preserve">
Enter a percentage value between -200 and 200.</v>
      </c>
      <c r="D1051" s="92" t="str">
        <f t="shared" si="52"/>
        <v xml:space="preserve">
Enter a percentage value between -200 and 200.</v>
      </c>
      <c r="E1051" s="92" t="s">
        <v>3769</v>
      </c>
      <c r="F1051" s="92"/>
      <c r="G1051" s="92"/>
      <c r="H1051" s="92"/>
      <c r="I1051" s="92"/>
      <c r="J1051" s="92"/>
    </row>
    <row r="1052" spans="1:10" ht="62">
      <c r="A1052" s="190" t="s">
        <v>3698</v>
      </c>
      <c r="B1052" s="92" t="str">
        <f t="shared" si="52"/>
        <v xml:space="preserve">
Enter a percentage value between -200 and 200.</v>
      </c>
      <c r="C1052" s="92" t="str">
        <f t="shared" si="52"/>
        <v xml:space="preserve">
Enter a percentage value between -200 and 200.</v>
      </c>
      <c r="D1052" s="92" t="str">
        <f t="shared" si="52"/>
        <v xml:space="preserve">
Enter a percentage value between -200 and 200.</v>
      </c>
      <c r="E1052" s="92" t="s">
        <v>3769</v>
      </c>
      <c r="F1052" s="92"/>
      <c r="G1052" s="92"/>
      <c r="H1052" s="92"/>
      <c r="I1052" s="92"/>
      <c r="J1052" s="92"/>
    </row>
    <row r="1053" spans="1:10" ht="62">
      <c r="A1053" s="190" t="s">
        <v>3699</v>
      </c>
      <c r="B1053" s="92" t="str">
        <f t="shared" si="52"/>
        <v xml:space="preserve">
Enter a percentage value between -200 and 200.</v>
      </c>
      <c r="C1053" s="92" t="str">
        <f t="shared" si="52"/>
        <v xml:space="preserve">
Enter a percentage value between -200 and 200.</v>
      </c>
      <c r="D1053" s="92" t="str">
        <f t="shared" si="52"/>
        <v xml:space="preserve">
Enter a percentage value between -200 and 200.</v>
      </c>
      <c r="E1053" s="92" t="s">
        <v>3769</v>
      </c>
      <c r="F1053" s="92"/>
      <c r="G1053" s="92"/>
      <c r="H1053" s="92"/>
      <c r="I1053" s="92"/>
      <c r="J1053" s="92"/>
    </row>
    <row r="1054" spans="1:10" ht="62">
      <c r="A1054" s="190" t="s">
        <v>3700</v>
      </c>
      <c r="B1054" s="92" t="str">
        <f t="shared" si="52"/>
        <v xml:space="preserve">
Enter a percentage value between -200 and 200.</v>
      </c>
      <c r="C1054" s="92" t="str">
        <f t="shared" si="52"/>
        <v xml:space="preserve">
Enter a percentage value between -200 and 200.</v>
      </c>
      <c r="D1054" s="92" t="str">
        <f t="shared" si="52"/>
        <v xml:space="preserve">
Enter a percentage value between -200 and 200.</v>
      </c>
      <c r="E1054" s="92" t="s">
        <v>3769</v>
      </c>
      <c r="F1054" s="92"/>
      <c r="G1054" s="92"/>
      <c r="H1054" s="92"/>
      <c r="I1054" s="92"/>
      <c r="J1054" s="92"/>
    </row>
    <row r="1055" spans="1:10" ht="62">
      <c r="A1055" s="190" t="s">
        <v>3701</v>
      </c>
      <c r="B1055" s="92" t="str">
        <f t="shared" si="52"/>
        <v xml:space="preserve">
Enter a percentage value between -200 and 200.</v>
      </c>
      <c r="C1055" s="92" t="str">
        <f t="shared" si="52"/>
        <v xml:space="preserve">
Enter a percentage value between -200 and 200.</v>
      </c>
      <c r="D1055" s="92" t="str">
        <f t="shared" si="52"/>
        <v xml:space="preserve">
Enter a percentage value between -200 and 200.</v>
      </c>
      <c r="E1055" s="92" t="s">
        <v>3769</v>
      </c>
      <c r="F1055" s="92"/>
      <c r="G1055" s="92"/>
      <c r="H1055" s="92"/>
      <c r="I1055" s="92"/>
      <c r="J1055" s="92"/>
    </row>
    <row r="1056" spans="1:10" ht="62">
      <c r="A1056" s="190" t="s">
        <v>3702</v>
      </c>
      <c r="B1056" s="92" t="str">
        <f t="shared" si="52"/>
        <v xml:space="preserve">
Enter a percentage value between -200 and 200.</v>
      </c>
      <c r="C1056" s="92" t="str">
        <f t="shared" si="52"/>
        <v xml:space="preserve">
Enter a percentage value between -200 and 200.</v>
      </c>
      <c r="D1056" s="92" t="str">
        <f t="shared" si="52"/>
        <v xml:space="preserve">
Enter a percentage value between -200 and 200.</v>
      </c>
      <c r="E1056" s="92" t="s">
        <v>3769</v>
      </c>
      <c r="F1056" s="92"/>
      <c r="G1056" s="92"/>
      <c r="H1056" s="92"/>
      <c r="I1056" s="92"/>
      <c r="J1056" s="92"/>
    </row>
    <row r="1057" spans="1:10" ht="62">
      <c r="A1057" s="190" t="s">
        <v>3703</v>
      </c>
      <c r="B1057" s="92" t="str">
        <f>"
Do not answer this question if the scheme follows a Fast Track approach ("&amp;Questions!$D$5&amp;").
"</f>
        <v xml:space="preserve">
Do not answer this question if the scheme follows a Fast Track approach (SH 13.0).
</v>
      </c>
      <c r="C1057" s="92" t="str">
        <f>"
You must answer this question if the scheme follows a Bespoke approach ("&amp;Questions!$D$5&amp;").
"</f>
        <v xml:space="preserve">
You must answer this question if the scheme follows a Bespoke approach (SH 13.0).
</v>
      </c>
      <c r="D1057" s="92" t="str">
        <f>"
Select 'Yes' if the scheme does currently have an explicit interest rate or inflation-hedging target and 'No' if it does not.
"</f>
        <v xml:space="preserve">
Select 'Yes' if the scheme does currently have an explicit interest rate or inflation-hedging target and 'No' if it does not.
</v>
      </c>
      <c r="E1057" s="92"/>
      <c r="F1057" s="92"/>
      <c r="G1057" s="92"/>
      <c r="H1057" s="92"/>
      <c r="I1057" s="92"/>
      <c r="J1057" s="92"/>
    </row>
    <row r="1058" spans="1:10" ht="108.5">
      <c r="A1058" s="190" t="s">
        <v>3704</v>
      </c>
      <c r="B1058" s="92" t="str">
        <f>"
Do not answer this question if the scheme follows a Fast Track approach ("&amp;Questions!$D$5&amp;").
"</f>
        <v xml:space="preserve">
Do not answer this question if the scheme follows a Fast Track approach (SH 13.0).
</v>
      </c>
      <c r="C1058" s="92" t="str">
        <f>"
Do not answer this question if the scheme does not have an explicit interest rate or inflation hedging target ("&amp;Questions!$D$177&amp;").
"</f>
        <v xml:space="preserve">
Do not answer this question if the scheme does not have an explicit interest rate or inflation hedging target (IRC 29.0).
</v>
      </c>
      <c r="D1058" s="92" t="str">
        <f>"
You must answer this question if the scheme has an explicit interest rate or inflation hedging target ("&amp;Questions!$D$177&amp;").
"</f>
        <v xml:space="preserve">
You must answer this question if the scheme has an explicit interest rate or inflation hedging target (IRC 29.0).
</v>
      </c>
      <c r="E1058" s="92" t="str">
        <f>"
Select one of the following options from the drop-down list:
•  Assets (funded liabilities)
•  Technical provisions liabilities
•  Low dependency liabilities
•  Other
"</f>
        <v xml:space="preserve">
Select one of the following options from the drop-down list:
•  Assets (funded liabilities)
•  Technical provisions liabilities
•  Low dependency liabilities
•  Other
</v>
      </c>
      <c r="F1058" s="92"/>
      <c r="G1058" s="92"/>
      <c r="H1058" s="92"/>
      <c r="I1058" s="92"/>
      <c r="J1058" s="92"/>
    </row>
    <row r="1059" spans="1:10" ht="77.5">
      <c r="A1059" s="190" t="s">
        <v>3705</v>
      </c>
      <c r="B1059" s="92" t="str">
        <f>"
Do not answer this question if the scheme follows a Fast Track approach ("&amp;Questions!$D$5&amp;").
"</f>
        <v xml:space="preserve">
Do not answer this question if the scheme follows a Fast Track approach (SH 13.0).
</v>
      </c>
      <c r="C1059" s="92" t="str">
        <f>"
Do not answer this question if the scheme does not have an explicit interest rate or inflation hedging target ("&amp;Questions!$D$177&amp;").
"</f>
        <v xml:space="preserve">
Do not answer this question if the scheme does not have an explicit interest rate or inflation hedging target (IRC 29.0).
</v>
      </c>
      <c r="D1059" s="92" t="str">
        <f>"
Do not answer this question unless you selected 'Other' for the question 'What are the current hedging targets measured as a proportion of?'  ("&amp;Questions!$D$178&amp;").
"</f>
        <v xml:space="preserve">
Do not answer this question unless you selected 'Other' for the question 'What are the current hedging targets measured as a proportion of?'  (IRC 30.0).
</v>
      </c>
      <c r="E1059" s="92" t="str">
        <f>"
You must answer this question if you selected 'Other' for the question ""What are the current hedging targets measured as a proportion of?"" ("&amp;Questions!$D$178&amp;").
"</f>
        <v xml:space="preserve">
You must answer this question if you selected 'Other' for the question "What are the current hedging targets measured as a proportion of?" (IRC 30.0).
</v>
      </c>
      <c r="F1059" s="92" t="str">
        <f>"
The answer must be no more than 4000 characters.
"</f>
        <v xml:space="preserve">
The answer must be no more than 4000 characters.
</v>
      </c>
      <c r="G1059" s="92"/>
      <c r="H1059" s="92"/>
      <c r="I1059" s="92"/>
      <c r="J1059" s="92"/>
    </row>
    <row r="1060" spans="1:10" ht="62">
      <c r="A1060" s="190" t="s">
        <v>3706</v>
      </c>
      <c r="B1060" s="92" t="str">
        <f>"
Do not answer this question if the scheme follows a Fast Track approach ("&amp;Questions!$D$5&amp;").
"</f>
        <v xml:space="preserve">
Do not answer this question if the scheme follows a Fast Track approach (SH 13.0).
</v>
      </c>
      <c r="C1060" s="92" t="str">
        <f>"
Do not answer this question if the scheme does not have an explicit interest rate or inflation hedging target ("&amp;Questions!$D$177&amp;").
"</f>
        <v xml:space="preserve">
Do not answer this question if the scheme does not have an explicit interest rate or inflation hedging target (IRC 29.0).
</v>
      </c>
      <c r="D1060" s="92" t="str">
        <f>"
You must answer this question if the scheme has an explicit interest rate or inflation hedging target ("&amp;Questions!$D$177&amp;").
"</f>
        <v xml:space="preserve">
You must answer this question if the scheme has an explicit interest rate or inflation hedging target (IRC 29.0).
</v>
      </c>
      <c r="E1060" s="92" t="str">
        <f>"
Select 'Yes' if the the current target interest and inflation hedging ratios include insured annuities and 'No' if they do not.
"</f>
        <v xml:space="preserve">
Select 'Yes' if the the current target interest and inflation hedging ratios include insured annuities and 'No' if they do not.
</v>
      </c>
      <c r="F1060" s="92"/>
      <c r="G1060" s="92"/>
      <c r="H1060" s="92"/>
      <c r="I1060" s="92"/>
      <c r="J1060" s="92"/>
    </row>
    <row r="1061" spans="1:10" ht="62">
      <c r="A1061" s="190" t="s">
        <v>3707</v>
      </c>
      <c r="B1061" s="92" t="str">
        <f>"
Do not answer this question if the scheme follows a Fast Track approach ("&amp;Questions!$D$5&amp;").
"</f>
        <v xml:space="preserve">
Do not answer this question if the scheme follows a Fast Track approach (SH 13.0).
</v>
      </c>
      <c r="C1061" s="92" t="str">
        <f>"
Do not answer this question if the valuation is 'post-relevant date' ("&amp;Questions!$D$14&amp;").
"</f>
        <v xml:space="preserve">
Do not answer this question if the valuation is 'post-relevant date' (SH 10.0).
</v>
      </c>
      <c r="D1061" s="92" t="str">
        <f>"
Do not answer this question if the scheme does not have an explicit interest rate or inflation hedging target ("&amp;Questions!$D$177&amp;").
"</f>
        <v xml:space="preserve">
Do not answer this question if the scheme does not have an explicit interest rate or inflation hedging target (IRC 29.0).
</v>
      </c>
      <c r="E1061" s="92" t="str">
        <f>"
You must answer this question if the scheme has an explicit interest rate or inflation hedging target ("&amp;Questions!$D$177&amp;").
"</f>
        <v xml:space="preserve">
You must answer this question if the scheme has an explicit interest rate or inflation hedging target (IRC 29.0).
</v>
      </c>
      <c r="F1061" s="92" t="str">
        <f>"
Enter a percentage value that is equal to or greater than 0.
"</f>
        <v xml:space="preserve">
Enter a percentage value that is equal to or greater than 0.
</v>
      </c>
      <c r="G1061" s="92"/>
      <c r="H1061" s="92"/>
      <c r="I1061" s="92"/>
      <c r="J1061" s="92"/>
    </row>
    <row r="1062" spans="1:10" ht="62">
      <c r="A1062" s="190" t="s">
        <v>3708</v>
      </c>
      <c r="B1062" s="92" t="str">
        <f>"
Do not answer this question if the scheme follows a Fast Track approach ("&amp;Questions!$D$5&amp;").
"</f>
        <v xml:space="preserve">
Do not answer this question if the scheme follows a Fast Track approach (SH 13.0).
</v>
      </c>
      <c r="C1062" s="92" t="str">
        <f>"
Do not answer this question if the valuation is 'post-relevant date' ("&amp;Questions!$D$14&amp;").
"</f>
        <v xml:space="preserve">
Do not answer this question if the valuation is 'post-relevant date' (SH 10.0).
</v>
      </c>
      <c r="D1062" s="92" t="str">
        <f>"
Do not answer this question if the scheme does not have an explicit interest rate or inflation hedging target ("&amp;Questions!$D$177&amp;").
"</f>
        <v xml:space="preserve">
Do not answer this question if the scheme does not have an explicit interest rate or inflation hedging target (IRC 29.0).
</v>
      </c>
      <c r="E1062" s="92" t="str">
        <f>"
You must answer this question if the scheme has an explicit interest rate or inflation hedging target ("&amp;Questions!$D$177&amp;").
"</f>
        <v xml:space="preserve">
You must answer this question if the scheme has an explicit interest rate or inflation hedging target (IRC 29.0).
</v>
      </c>
      <c r="F1062" s="92" t="str">
        <f>"
Enter a percentage value that is equal to or greater than 0.
"</f>
        <v xml:space="preserve">
Enter a percentage value that is equal to or greater than 0.
</v>
      </c>
      <c r="G1062" s="92"/>
      <c r="H1062" s="92"/>
      <c r="I1062" s="92"/>
      <c r="J1062" s="92"/>
    </row>
    <row r="1063" spans="1:10" ht="62">
      <c r="A1063" s="190" t="s">
        <v>3709</v>
      </c>
      <c r="B1063" s="92" t="str">
        <f>"
Enter a percentage value between 0 and 100.
"</f>
        <v xml:space="preserve">
Enter a percentage value between 0 and 100.
</v>
      </c>
      <c r="C1063" s="92" t="str">
        <f>"
Enter a percentage value between -100% and 100%. In addition, the total liquid and illiquid investments ("&amp;Questions!$D$184&amp;") cannot be more than 100%.
"</f>
        <v xml:space="preserve">
Enter a percentage value between -100% and 100%. In addition, the total liquid and illiquid investments (LIQ 2.0) cannot be more than 100%.
</v>
      </c>
      <c r="D1063" s="92" t="str">
        <f>"
Enter a percentage value between -100% and 100%. In addition, the total liquid and illiquid investments ("&amp;Questions!$D$184&amp;") cannot be more than 100%.
"</f>
        <v xml:space="preserve">
Enter a percentage value between -100% and 100%. In addition, the total liquid and illiquid investments (LIQ 2.0) cannot be more than 100%.
</v>
      </c>
      <c r="E1063" s="92" t="str">
        <f>"
The percentage of highly liquid investments and the percentage of illiquid investments ("&amp;Questions!$D$184&amp;") cannot total more than 100%.
"</f>
        <v xml:space="preserve">
The percentage of highly liquid investments and the percentage of illiquid investments (LIQ 2.0) cannot total more than 100%.
</v>
      </c>
      <c r="F1063" s="92"/>
      <c r="G1063" s="92"/>
      <c r="H1063" s="92"/>
      <c r="I1063" s="92"/>
      <c r="J1063" s="92"/>
    </row>
    <row r="1064" spans="1:10" ht="77.5">
      <c r="A1064" s="190" t="s">
        <v>3710</v>
      </c>
      <c r="B1064" s="92" t="str">
        <f>"
Enter a percentage value between 0 and 100.
"</f>
        <v xml:space="preserve">
Enter a percentage value between 0 and 100.
</v>
      </c>
      <c r="C1064" s="92" t="str">
        <f>"
Enter a percentage value between 0% and 100%. In addition, the percentage of highly liquid investments ("&amp;Questions!$D$183&amp;") and the percentage of illiquid investments cannot total more than 100%.
"</f>
        <v xml:space="preserve">
Enter a percentage value between 0% and 100%. In addition, the percentage of highly liquid investments (LIQ 1.0) and the percentage of illiquid investments cannot total more than 100%.
</v>
      </c>
      <c r="D1064" s="92" t="str">
        <f>"
Enter a percentage value between 0% and 100%. In addition, the percentage of highly liquid investments ("&amp;Questions!$D$183&amp;") and the percentage of illiquid investments cannot total more than 100%.
"</f>
        <v xml:space="preserve">
Enter a percentage value between 0% and 100%. In addition, the percentage of highly liquid investments (LIQ 1.0) and the percentage of illiquid investments cannot total more than 100%.
</v>
      </c>
      <c r="E1064" s="92" t="str">
        <f>"
The percentage of highly liquid investments ("&amp;Questions!$D$183&amp;") and the percentage of illiquid investments cannot total more than 100%.
"</f>
        <v xml:space="preserve">
The percentage of highly liquid investments (LIQ 1.0) and the percentage of illiquid investments cannot total more than 100%.
</v>
      </c>
      <c r="F1064" s="92"/>
      <c r="G1064" s="92"/>
      <c r="H1064" s="92"/>
      <c r="I1064" s="92"/>
      <c r="J1064" s="92"/>
    </row>
    <row r="1065" spans="1:10" ht="77.5">
      <c r="A1065" s="190" t="s">
        <v>3711</v>
      </c>
      <c r="B1065" s="92" t="str">
        <f>"
Do not answer this question if the scheme follows a Fast Track approach ("&amp;Questions!$D$5&amp;").
"</f>
        <v xml:space="preserve">
Do not answer this question if the scheme follows a Fast Track approach (SH 13.0).
</v>
      </c>
      <c r="C1065" s="92" t="str">
        <f>"
You must answer this question if the scheme follows a Bespoke approach ("&amp;Questions!$D$5&amp;").
"</f>
        <v xml:space="preserve">
You must answer this question if the scheme follows a Bespoke approach (SH 13.0).
</v>
      </c>
      <c r="D1065" s="92" t="str">
        <f>"
Select 'Yes' if the scheme’s notional investment allocation includes leveraged investments that could result in unexpected demands on liquidity from the rest of the scheme’s assets and 'No' if it does not.
"</f>
        <v xml:space="preserve">
Select 'Yes' if the scheme’s notional investment allocation includes leveraged investments that could result in unexpected demands on liquidity from the rest of the scheme’s assets and 'No' if it does not.
</v>
      </c>
      <c r="E1065" s="92"/>
      <c r="F1065" s="92"/>
      <c r="G1065" s="92"/>
      <c r="H1065" s="92"/>
      <c r="I1065" s="92"/>
      <c r="J1065" s="92"/>
    </row>
    <row r="1066" spans="1:10" ht="62">
      <c r="A1066" s="190" t="s">
        <v>3712</v>
      </c>
      <c r="B1066" s="92" t="str">
        <f>"
Do not answer this question if the scheme follows a Fast Track approach ("&amp;Questions!$D$5&amp;").
"</f>
        <v xml:space="preserve">
Do not answer this question if the scheme follows a Fast Track approach (SH 13.0).
</v>
      </c>
      <c r="C1066" s="92" t="str">
        <f>"
Do not answer this question if the valuation is 'post-relevant date' ("&amp;Questions!$D$14&amp;").
"</f>
        <v xml:space="preserve">
Do not answer this question if the valuation is 'post-relevant date' (SH 10.0).
</v>
      </c>
      <c r="D1066" s="92" t="str">
        <f>"
You must answer this question if the scheme follows a Bespoke approach and the valuation is 'pre-relevant date' ("&amp;Questions!$D$14&amp;").
"</f>
        <v xml:space="preserve">
You must answer this question if the scheme follows a Bespoke approach and the valuation is 'pre-relevant date' (SH 10.0).
</v>
      </c>
      <c r="E1066" s="92" t="str">
        <f>"
Enter a percentage value between 0 and 100.
"</f>
        <v xml:space="preserve">
Enter a percentage value between 0 and 100.
</v>
      </c>
      <c r="F1066" s="92"/>
      <c r="G1066" s="92"/>
      <c r="H1066" s="92"/>
      <c r="I1066" s="92"/>
      <c r="J1066" s="92"/>
    </row>
    <row r="1067" spans="1:10" ht="124">
      <c r="A1067" s="190" t="s">
        <v>3713</v>
      </c>
      <c r="B1067" s="92" t="str">
        <f>"
Do not answer this question if the scheme follows a Fast Track approach ("&amp;Questions!$D$5&amp;").
"</f>
        <v xml:space="preserve">
Do not answer this question if the scheme follows a Fast Track approach (SH 13.0).
</v>
      </c>
      <c r="C1067" s="92" t="str">
        <f>"
Do not answer this question if the valuation is 'post-relevant date' ("&amp;Questions!$D$14&amp;").
"</f>
        <v xml:space="preserve">
Do not answer this question if the valuation is 'post-relevant date' (SH 10.0).
</v>
      </c>
      <c r="D1067" s="92" t="str">
        <f>"
You must answer this question if the scheme follows a Bespoke approach and the valuation is 'pre-relevant date' ("&amp;Questions!$D$14&amp;").
"</f>
        <v xml:space="preserve">
You must answer this question if the scheme follows a Bespoke approach and the valuation is 'pre-relevant date' (SH 10.0).
</v>
      </c>
      <c r="E1067" s="92" t="str">
        <f>"
Select one of the following options from the drop down list:
• A linear evolution
• A linear evolution from the end of the reliability period
• A stepped evolution" &amp; "
• A stepped evolution from the end of the reliability period
• No change from current notional investment allocation
"</f>
        <v xml:space="preserve">
Select one of the following options from the drop down list:
• A linear evolution
• A linear evolution from the end of the reliability period
• A stepped evolution
• A stepped evolution from the end of the reliability period
• No change from current notional investment allocation
</v>
      </c>
      <c r="F1067" s="92"/>
      <c r="G1067" s="92"/>
      <c r="H1067" s="92"/>
      <c r="I1067" s="92"/>
      <c r="J1067" s="92"/>
    </row>
    <row r="1068" spans="1:10" ht="62">
      <c r="A1068" s="190" t="s">
        <v>3714</v>
      </c>
      <c r="B1068" s="92" t="str">
        <f>"
Do not answer this question if the scheme follows a Fast Track approach ("&amp;Questions!$D$5&amp;").
"</f>
        <v xml:space="preserve">
Do not answer this question if the scheme follows a Fast Track approach (SH 13.0).
</v>
      </c>
      <c r="C1068" s="92" t="str">
        <f>"
Do not answer this question if the valuation is 'post-relevant date' ("&amp;Questions!$D$14&amp;").
"</f>
        <v xml:space="preserve">
Do not answer this question if the valuation is 'post-relevant date' (SH 10.0).
</v>
      </c>
      <c r="D1068" s="92" t="str">
        <f>"
The answer must be no more than 4000 characters.
"</f>
        <v xml:space="preserve">
The answer must be no more than 4000 characters.
</v>
      </c>
      <c r="E1068" s="92"/>
      <c r="F1068" s="92"/>
      <c r="G1068" s="92"/>
      <c r="H1068" s="92"/>
      <c r="I1068" s="92"/>
      <c r="J1068" s="92"/>
    </row>
    <row r="1069" spans="1:10" ht="62">
      <c r="A1069" s="190" t="s">
        <v>3715</v>
      </c>
      <c r="B1069" s="92" t="str">
        <f>"
Do not answer this question if the scheme follows a Fast Track approach ("&amp;Questions!$D$5&amp;").
"</f>
        <v xml:space="preserve">
Do not answer this question if the scheme follows a Fast Track approach (SH 13.0).
</v>
      </c>
      <c r="C1069" s="92" t="str">
        <f>"
Do not answer this question if the valuation is 'post-relevant date' ("&amp;Questions!$D$14&amp;").
"</f>
        <v xml:space="preserve">
Do not answer this question if the valuation is 'post-relevant date' (SH 10.0).
</v>
      </c>
      <c r="D1069" s="92" t="str">
        <f>"
You must answer this question if the scheme follows a Bespoke approach and the valuation is 'pre-relevant date' ("&amp;Questions!$D$14&amp;").
"</f>
        <v xml:space="preserve">
You must answer this question if the scheme follows a Bespoke approach and the valuation is 'pre-relevant date' (SH 10.0).
</v>
      </c>
      <c r="E1069" s="92" t="str">
        <f>"
Select 'Yes' if the scheme has an explicit interest rate or inflation hedging target at the relevant date or 'No' if it does not.
"</f>
        <v xml:space="preserve">
Select 'Yes' if the scheme has an explicit interest rate or inflation hedging target at the relevant date or 'No' if it does not.
</v>
      </c>
      <c r="F1069" s="92"/>
      <c r="G1069" s="92"/>
      <c r="H1069" s="92"/>
      <c r="I1069" s="92"/>
      <c r="J1069" s="92"/>
    </row>
    <row r="1070" spans="1:10" ht="108.5">
      <c r="A1070" s="190" t="s">
        <v>3716</v>
      </c>
      <c r="B1070" s="92" t="str">
        <f>"
Do not answer this question if the scheme follows a Fast Track approach ("&amp;Questions!$D$5&amp;").
"</f>
        <v xml:space="preserve">
Do not answer this question if the scheme follows a Fast Track approach (SH 13.0).
</v>
      </c>
      <c r="C1070" s="92" t="str">
        <f>"
Do not answer this question if the valuation is 'post-relevant date' ("&amp;Questions!$D$14&amp;").
"</f>
        <v xml:space="preserve">
Do not answer this question if the valuation is 'post-relevant date' (SH 10.0).
</v>
      </c>
      <c r="D1070" s="92" t="str">
        <f>"
Do not answer this question if you have indicated the scheme does not have an explicit interest rate or inflation hedging target at the relevant date
"</f>
        <v xml:space="preserve">
Do not answer this question if you have indicated the scheme does not have an explicit interest rate or inflation hedging target at the relevant date
</v>
      </c>
      <c r="E1070" s="92" t="str">
        <f>"
You must answer this question if the scheme has an explicit interest rate or inflation hedging target at the relevant date ("&amp;Questions!$D$189&amp;").
"</f>
        <v xml:space="preserve">
You must answer this question if the scheme has an explicit interest rate or inflation hedging target at the relevant date (IJP 4.0).
</v>
      </c>
      <c r="F1070" s="92" t="str">
        <f>"
You must select one of the following options from the drop-down list:
• Assets (funded liabilities)
• Technical provisions liabilities
• Low dependency liabilities
• Other
"</f>
        <v xml:space="preserve">
You must select one of the following options from the drop-down list:
• Assets (funded liabilities)
• Technical provisions liabilities
• Low dependency liabilities
• Other
</v>
      </c>
      <c r="G1070" s="92"/>
      <c r="H1070" s="92"/>
      <c r="I1070" s="92"/>
      <c r="J1070" s="92"/>
    </row>
    <row r="1071" spans="1:10" ht="77.5">
      <c r="A1071" s="190" t="s">
        <v>3717</v>
      </c>
      <c r="B1071" s="92" t="str">
        <f>"
Do not answer this question if the scheme follows a Fast Track approach ("&amp;Questions!$D$5&amp;").
"</f>
        <v xml:space="preserve">
Do not answer this question if the scheme follows a Fast Track approach (SH 13.0).
</v>
      </c>
      <c r="C1071" s="92" t="str">
        <f>"
Do not answer this question if the valuation is 'post-relevant date' ("&amp;Questions!$D$14&amp;").
"</f>
        <v xml:space="preserve">
Do not answer this question if the valuation is 'post-relevant date' (SH 10.0).
</v>
      </c>
      <c r="D1071" s="92" t="str">
        <f>"
Do not answer this question if you have indicated the scheme does not have an explicit interest rate or inflation hedging target at the relevant date ("&amp;Questions!$D$14&amp;")
"</f>
        <v xml:space="preserve">
Do not answer this question if you have indicated the scheme does not have an explicit interest rate or inflation hedging target at the relevant date (SH 10.0)
</v>
      </c>
      <c r="E1071" s="92" t="str">
        <f>"
Do not answer this question unless you answered the question 'What are the relevant date hedging targets measured as a proportion of?' with 'Other'.
"</f>
        <v xml:space="preserve">
Do not answer this question unless you answered the question 'What are the relevant date hedging targets measured as a proportion of?' with 'Other'.
</v>
      </c>
      <c r="F1071" s="92" t="str">
        <f>"
You must answer this question if you answered the question 'What are the relevant date hedging targets measured as a proportion of?' with Other.
"</f>
        <v xml:space="preserve">
You must answer this question if you answered the question 'What are the relevant date hedging targets measured as a proportion of?' with Other.
</v>
      </c>
      <c r="G1071" s="92" t="str">
        <f>"
The answer must be no more than 4000 characters.
"</f>
        <v xml:space="preserve">
The answer must be no more than 4000 characters.
</v>
      </c>
      <c r="H1071" s="92"/>
      <c r="I1071" s="92"/>
      <c r="J1071" s="92"/>
    </row>
    <row r="1072" spans="1:10" ht="77.5">
      <c r="A1072" s="190" t="s">
        <v>3718</v>
      </c>
      <c r="B1072" s="92" t="str">
        <f>"
Do not answer this question if the scheme follows a Fast Track approach ("&amp;Questions!$D$5&amp;").
"</f>
        <v xml:space="preserve">
Do not answer this question if the scheme follows a Fast Track approach (SH 13.0).
</v>
      </c>
      <c r="C1072" s="92" t="str">
        <f>"
Do not answer this question if the valuation is 'post-relevant date' ("&amp;Questions!$D$14&amp;").
"</f>
        <v xml:space="preserve">
Do not answer this question if the valuation is 'post-relevant date' (SH 10.0).
</v>
      </c>
      <c r="D1072" s="92" t="str">
        <f>"
Do not answer this question if you have indicated the scheme does not have an explicit interest rate or inflation hedging target at the relevant date ("&amp;Questions!$D$189&amp;")
"</f>
        <v xml:space="preserve">
Do not answer this question if you have indicated the scheme does not have an explicit interest rate or inflation hedging target at the relevant date (IJP 4.0)
</v>
      </c>
      <c r="E1072" s="92" t="str">
        <f>"
You must answer this question if the scheme has an explicit interest rate or inflation hedging target at the relevant date ("&amp;Questions!$D$189&amp;").
"</f>
        <v xml:space="preserve">
You must answer this question if the scheme has an explicit interest rate or inflation hedging target at the relevant date (IJP 4.0).
</v>
      </c>
      <c r="F1072" s="92" t="str">
        <f>"
Select 'Yes' if the target interest rate and inflation hedging ratios include insured annuities at the relevant date and 'No' if they do not.
"</f>
        <v xml:space="preserve">
Select 'Yes' if the target interest rate and inflation hedging ratios include insured annuities at the relevant date and 'No' if they do not.
</v>
      </c>
      <c r="G1072" s="92"/>
      <c r="H1072" s="92"/>
      <c r="I1072" s="92"/>
      <c r="J1072" s="92"/>
    </row>
    <row r="1073" spans="1:10" ht="77.5">
      <c r="A1073" s="190" t="s">
        <v>3719</v>
      </c>
      <c r="B1073" s="92" t="str">
        <f>"
Do not answer this question if the scheme follows a Fast Track approach ("&amp;Questions!$D$5&amp;").
"</f>
        <v xml:space="preserve">
Do not answer this question if the scheme follows a Fast Track approach (SH 13.0).
</v>
      </c>
      <c r="C1073" s="92" t="str">
        <f>"
Do not answer this question if the valuation is 'post-relevant date' ("&amp;Questions!$D$14&amp;").
"</f>
        <v xml:space="preserve">
Do not answer this question if the valuation is 'post-relevant date' (SH 10.0).
</v>
      </c>
      <c r="D1073" s="92" t="str">
        <f>"
Do not answer this question if you have indicated the scheme does not have an explicit interest rate or inflation hedging target at the relevant date ("&amp;Questions!$D$189&amp;")
"</f>
        <v xml:space="preserve">
Do not answer this question if you have indicated the scheme does not have an explicit interest rate or inflation hedging target at the relevant date (IJP 4.0)
</v>
      </c>
      <c r="E1073" s="92" t="str">
        <f>"
You must answer this question if the scheme has an explicit interest rate or inflation hedging target at the relevant date ("&amp;Questions!$D$189&amp;").
"</f>
        <v xml:space="preserve">
You must answer this question if the scheme has an explicit interest rate or inflation hedging target at the relevant date (IJP 4.0).
</v>
      </c>
      <c r="F1073" s="92" t="str">
        <f>"
Enter a percentage value that is equal to or greater than 0.
"</f>
        <v xml:space="preserve">
Enter a percentage value that is equal to or greater than 0.
</v>
      </c>
      <c r="G1073" s="92"/>
      <c r="H1073" s="92"/>
      <c r="I1073" s="92"/>
      <c r="J1073" s="92"/>
    </row>
    <row r="1074" spans="1:10" ht="77.5">
      <c r="A1074" s="190" t="s">
        <v>3720</v>
      </c>
      <c r="B1074" s="92" t="str">
        <f>"
Do not answer this question if the scheme follows a Fast Track approach ("&amp;Questions!$D$5&amp;").
"</f>
        <v xml:space="preserve">
Do not answer this question if the scheme follows a Fast Track approach (SH 13.0).
</v>
      </c>
      <c r="C1074" s="92" t="str">
        <f>"
Do not answer this question if the valuation is 'post-relevant date' ("&amp;Questions!$D$14&amp;").
"</f>
        <v xml:space="preserve">
Do not answer this question if the valuation is 'post-relevant date' (SH 10.0).
</v>
      </c>
      <c r="D1074" s="92" t="str">
        <f>"
Do not answer this question if you have indicated the scheme does not have an explicit interest rate or inflation hedging target at the relevant date ("&amp;Questions!$D$189&amp;")
"</f>
        <v xml:space="preserve">
Do not answer this question if you have indicated the scheme does not have an explicit interest rate or inflation hedging target at the relevant date (IJP 4.0)
</v>
      </c>
      <c r="E1074" s="92" t="str">
        <f>"
You must answer this question if the scheme has an explicit interest rate or inflation hedging target at the relevant date ("&amp;Questions!$D$189&amp;").
"</f>
        <v xml:space="preserve">
You must answer this question if the scheme has an explicit interest rate or inflation hedging target at the relevant date (IJP 4.0).
</v>
      </c>
      <c r="F1074" s="92" t="str">
        <f>"
Enter a percentage value that is equal to or greater than 0.
"</f>
        <v xml:space="preserve">
Enter a percentage value that is equal to or greater than 0.
</v>
      </c>
      <c r="G1074" s="92"/>
      <c r="H1074" s="92"/>
      <c r="I1074" s="92"/>
      <c r="J1074" s="92"/>
    </row>
    <row r="1075" spans="1:10" ht="62">
      <c r="A1075" s="190" t="s">
        <v>3721</v>
      </c>
      <c r="B1075" s="92" t="str">
        <f>"
Do not answer this question if the scheme follows a Fast Track approach ("&amp;Questions!$D$5&amp;").
"</f>
        <v xml:space="preserve">
Do not answer this question if the scheme follows a Fast Track approach (SH 13.0).
</v>
      </c>
      <c r="C1075" s="92" t="str">
        <f>"
Do not answer this question if the valuation is 'post-relevant date' ("&amp;Questions!$D$14&amp;").
"</f>
        <v xml:space="preserve">
Do not answer this question if the valuation is 'post-relevant date' (SH 10.0).
</v>
      </c>
      <c r="D1075" s="92" t="str">
        <f>"
You must answer this question if the scheme follows a Bespoke approach ("&amp;Questions!$D$5&amp;") and the valuation is 'pre-relevant date' ("&amp;Questions!$D$14&amp;").
"</f>
        <v xml:space="preserve">
You must answer this question if the scheme follows a Bespoke approach (SH 13.0) and the valuation is 'pre-relevant date' (SH 10.0).
</v>
      </c>
      <c r="E1075" s="92" t="str">
        <f>"
The answer must be no more than 4000 characters.
"</f>
        <v xml:space="preserve">
The answer must be no more than 4000 characters.
</v>
      </c>
      <c r="F1075" s="92"/>
      <c r="G1075" s="92"/>
      <c r="H1075" s="92"/>
      <c r="I1075" s="92"/>
      <c r="J1075" s="92"/>
    </row>
    <row r="1076" spans="1:10" ht="108.5">
      <c r="A1076" s="190" t="s">
        <v>3722</v>
      </c>
      <c r="B1076" s="92" t="str">
        <f>"
Do not answer this question if the scheme follows a Fast Track approach ("&amp;Questions!$D$5&amp;").
"</f>
        <v xml:space="preserve">
Do not answer this question if the scheme follows a Fast Track approach (SH 13.0).
</v>
      </c>
      <c r="C1076" s="92" t="str">
        <f>"
Do not answer this question if the valuation is 'post-relevant date' ("&amp;Questions!$D$14&amp;").
"</f>
        <v xml:space="preserve">
Do not answer this question if the valuation is 'post-relevant date' (SH 10.0).
</v>
      </c>
      <c r="D1076" s="92" t="str">
        <f>"
You must answer this question if the scheme follows a Bespoke approach ("&amp;Questions!$D$5&amp;") and the valuation is 'pre-relevant date' ("&amp;Questions!$D$14&amp;").
"</f>
        <v xml:space="preserve">
You must answer this question if the scheme follows a Bespoke approach (SH 13.0) and the valuation is 'pre-relevant date' (SH 10.0).
</v>
      </c>
      <c r="E1076" s="92" t="str">
        <f>"
You must select one of the following options from the drop down list:
• TPR Fast Track stress test
• Value at Risk (VAR)
• Conditional Value at Risk (CVAR)
• Other
"</f>
        <v xml:space="preserve">
You must select one of the following options from the drop down list:
• TPR Fast Track stress test
• Value at Risk (VAR)
• Conditional Value at Risk (CVAR)
• Other
</v>
      </c>
      <c r="F1076" s="92"/>
      <c r="G1076" s="92"/>
      <c r="H1076" s="92"/>
      <c r="I1076" s="92"/>
      <c r="J1076" s="92"/>
    </row>
    <row r="1077" spans="1:10" ht="77.5">
      <c r="A1077" s="190" t="s">
        <v>3723</v>
      </c>
      <c r="B1077" s="92" t="str">
        <f>"
Do not answer this question if the scheme follows a Fast Track approach ("&amp;Questions!$D$5&amp;").
"</f>
        <v xml:space="preserve">
Do not answer this question if the scheme follows a Fast Track approach (SH 13.0).
</v>
      </c>
      <c r="C1077" s="92" t="str">
        <f>"
Do not answer this question if the valuation is 'post-relevant date' ("&amp;Questions!$D$14&amp;").
"</f>
        <v xml:space="preserve">
Do not answer this question if the valuation is 'post-relevant date' (SH 10.0).
</v>
      </c>
      <c r="D1077" s="92" t="str">
        <f>"
Do not answer this question if you unless you have selected ‘Other’ as the determination method for the level of investment risk at the relevant date ("&amp;Questions!$D$196&amp;").
"</f>
        <v xml:space="preserve">
Do not answer this question if you unless you have selected ‘Other’ as the determination method for the level of investment risk at the relevant date (IJP 11.0).
</v>
      </c>
      <c r="E1077" s="92" t="str">
        <f>"
You must answer this question if you selected ‘Other’ as the determination method for the level of investment risk at the relevant date ("&amp;Questions!$D$196&amp;").
"</f>
        <v xml:space="preserve">
You must answer this question if you selected ‘Other’ as the determination method for the level of investment risk at the relevant date (IJP 11.0).
</v>
      </c>
      <c r="F1077" s="92" t="str">
        <f>"
The answer must be no more than 4000 characters.
"</f>
        <v xml:space="preserve">
The answer must be no more than 4000 characters.
</v>
      </c>
      <c r="G1077" s="92"/>
      <c r="H1077" s="92"/>
      <c r="I1077" s="92"/>
      <c r="J1077" s="92"/>
    </row>
    <row r="1078" spans="1:10" ht="77.5">
      <c r="A1078" s="190" t="s">
        <v>3724</v>
      </c>
      <c r="B1078" s="92" t="str">
        <f>"
Do not answer this question if the scheme follows a Fast Track approach ("&amp;Questions!$D$5&amp;").
"</f>
        <v xml:space="preserve">
Do not answer this question if the scheme follows a Fast Track approach (SH 13.0).
</v>
      </c>
      <c r="C1078" s="92" t="str">
        <f>"
Do not answer this question if the valuation is 'post-relevant date' ("&amp;Questions!$D$14&amp;").
"</f>
        <v xml:space="preserve">
Do not answer this question if the valuation is 'post-relevant date' (SH 10.0).
</v>
      </c>
      <c r="D1078" s="92" t="str">
        <f>"
Do not answer this question if you selected ‘TPR Fast Track stress test’ or ‘Other’ as the determination method for the level of investment risk at the relevant date ("&amp;Questions!$D$196&amp;").
"</f>
        <v xml:space="preserve">
Do not answer this question if you selected ‘TPR Fast Track stress test’ or ‘Other’ as the determination method for the level of investment risk at the relevant date (IJP 11.0).
</v>
      </c>
      <c r="E1078" s="92" t="str">
        <f>"
You must answer this question if you selected 'Value at Risk (VAR)’ or ’Conditional Value at Risk (CVAR)’ as the determination method for the level of investment risk at the relevant date ("&amp;Questions!$D$196&amp;").
"</f>
        <v xml:space="preserve">
You must answer this question if you selected 'Value at Risk (VAR)’ or ’Conditional Value at Risk (CVAR)’ as the determination method for the level of investment risk at the relevant date (IJP 11.0).
</v>
      </c>
      <c r="F1078" s="92" t="str">
        <f>"
You must select one of the following options from the drop down list:
• Liabilities and assets
• Assets only
"</f>
        <v xml:space="preserve">
You must select one of the following options from the drop down list:
• Liabilities and assets
• Assets only
</v>
      </c>
      <c r="G1078" s="92"/>
      <c r="H1078" s="92"/>
      <c r="I1078" s="92"/>
      <c r="J1078" s="92"/>
    </row>
    <row r="1079" spans="1:10" ht="124">
      <c r="A1079" s="190" t="s">
        <v>3725</v>
      </c>
      <c r="B1079" s="92" t="str">
        <f>"
Do not answer this question if the scheme follows a Fast Track approach ("&amp;Questions!$D$5&amp;").
"</f>
        <v xml:space="preserve">
Do not answer this question if the scheme follows a Fast Track approach (SH 13.0).
</v>
      </c>
      <c r="C1079" s="92" t="str">
        <f>"
Do not answer this question if the valuation is 'post-relevant date' ("&amp;Questions!$D$14&amp;").
"</f>
        <v xml:space="preserve">
Do not answer this question if the valuation is 'post-relevant date' (SH 10.0).
</v>
      </c>
      <c r="D1079" s="92" t="str">
        <f>"
Do not answer this question if you selected ‘TPR Fast Track stress test’ or ‘Other’ as the determination method for the level of investment risk at the relevant date ("&amp;Questions!$D$196&amp;").
"</f>
        <v xml:space="preserve">
Do not answer this question if you selected ‘TPR Fast Track stress test’ or ‘Other’ as the determination method for the level of investment risk at the relevant date (IJP 11.0).
</v>
      </c>
      <c r="E1079" s="92" t="str">
        <f>"
Do not answer this question if the investment risk calculation has been on assets only ("&amp;Questions!$D$198&amp;").
"</f>
        <v xml:space="preserve">
Do not answer this question if the investment risk calculation has been on assets only (IJP 13.0).
</v>
      </c>
      <c r="F1079" s="92" t="str">
        <f>"
You must answer this question if the investment risk calculation has been based on liabilities and assets ("&amp;Questions!$D$198&amp;").
"</f>
        <v xml:space="preserve">
You must answer this question if the investment risk calculation has been based on liabilities and assets (IJP 13.0).
</v>
      </c>
      <c r="G1079" s="92" t="str">
        <f>"
Select one of the following options from the drop down list:
• Technical provisions
• Low dependency funding
• Gilts/ Margin over gilts
• Swaps/ Margin over swaps
• Other
"</f>
        <v xml:space="preserve">
Select one of the following options from the drop down list:
• Technical provisions
• Low dependency funding
• Gilts/ Margin over gilts
• Swaps/ Margin over swaps
• Other
</v>
      </c>
      <c r="H1079" s="92"/>
      <c r="I1079" s="92"/>
      <c r="J1079" s="92"/>
    </row>
    <row r="1080" spans="1:10" ht="77.5">
      <c r="A1080" s="190" t="s">
        <v>3726</v>
      </c>
      <c r="B1080" s="92" t="str">
        <f>"
Do not answer this question if the scheme follows a Fast Track approach ("&amp;Questions!$D$5&amp;").
"</f>
        <v xml:space="preserve">
Do not answer this question if the scheme follows a Fast Track approach (SH 13.0).
</v>
      </c>
      <c r="C1080" s="92" t="str">
        <f>"
Do not answer this question if the valuation is 'post-relevant date' ("&amp;Questions!$D$14&amp;").
"</f>
        <v xml:space="preserve">
Do not answer this question if the valuation is 'post-relevant date' (SH 10.0).
</v>
      </c>
      <c r="D1080" s="92" t="str">
        <f>"
Do not answer this question if you selected ‘TPR Fast Track stress test’ or ‘Other’ as the determination method for the level of investment risk at the relevant date ("&amp;Questions!$D$196&amp;").
"</f>
        <v xml:space="preserve">
Do not answer this question if you selected ‘TPR Fast Track stress test’ or ‘Other’ as the determination method for the level of investment risk at the relevant date (IJP 11.0).
</v>
      </c>
      <c r="E1080" s="92" t="str">
        <f>"
Do not answer this question if the investment risk calculation has been on assets only ("&amp;Questions!$D$198&amp;").
"</f>
        <v xml:space="preserve">
Do not answer this question if the investment risk calculation has been on assets only (IJP 13.0).
</v>
      </c>
      <c r="F1080" s="92" t="str">
        <f>"
Do not answer this question if the liability basis used is not ‘Gilts/margins over gilts' ("&amp;Questions!$D$199&amp;").
"</f>
        <v xml:space="preserve">
Do not answer this question if the liability basis used is not ‘Gilts/margins over gilts' (IJP 14.0).
</v>
      </c>
      <c r="G1080" s="98" t="str">
        <f>"
You must answer this question if the liability basis used is ‘Gilts/margins over gilts’ ("&amp;Questions!$D$199&amp;").
"</f>
        <v xml:space="preserve">
You must answer this question if the liability basis used is ‘Gilts/margins over gilts’ (IJP 14.0).
</v>
      </c>
      <c r="H1080" s="92" t="str">
        <f>"
Enter a percentage value between -10 and 10.
"</f>
        <v xml:space="preserve">
Enter a percentage value between -10 and 10.
</v>
      </c>
      <c r="I1080" s="92"/>
      <c r="J1080" s="92"/>
    </row>
    <row r="1081" spans="1:10" ht="77.5">
      <c r="A1081" s="190" t="s">
        <v>3727</v>
      </c>
      <c r="B1081" s="92" t="str">
        <f>"
Do not answer this question if the scheme follows a Fast Track approach ("&amp;Questions!$D$5&amp;").
"</f>
        <v xml:space="preserve">
Do not answer this question if the scheme follows a Fast Track approach (SH 13.0).
</v>
      </c>
      <c r="C1081" s="92" t="str">
        <f>"
Do not answer this question if the valuation is 'post-relevant date' ("&amp;Questions!$D$14&amp;").
"</f>
        <v xml:space="preserve">
Do not answer this question if the valuation is 'post-relevant date' (SH 10.0).
</v>
      </c>
      <c r="D1081" s="92" t="str">
        <f>"
Do not answer this question if you selected ‘TPR Fast Track stress test’ or ‘Other’ as the determination method for the level of investment risk at the relevant date ("&amp;Questions!$D$196&amp;").
"</f>
        <v xml:space="preserve">
Do not answer this question if you selected ‘TPR Fast Track stress test’ or ‘Other’ as the determination method for the level of investment risk at the relevant date (IJP 11.0).
</v>
      </c>
      <c r="E1081" s="92" t="str">
        <f>"
Do not answer this question if the investment risk calculation has been on assets only ("&amp;Questions!$D$198&amp;").
"</f>
        <v xml:space="preserve">
Do not answer this question if the investment risk calculation has been on assets only (IJP 13.0).
</v>
      </c>
      <c r="F1081" s="92" t="str">
        <f>"
Do not answer this question if the liability basis used is not ‘Swaps/margins over swaps’ ("&amp;Questions!$D$199&amp;").
"</f>
        <v xml:space="preserve">
Do not answer this question if the liability basis used is not ‘Swaps/margins over swaps’ (IJP 14.0).
</v>
      </c>
      <c r="G1081" s="92" t="str">
        <f>"
You must answer this question if the liability basis used is ‘Swaps/margins over swaps’ ("&amp;Questions!$D$199&amp;").
"</f>
        <v xml:space="preserve">
You must answer this question if the liability basis used is ‘Swaps/margins over swaps’ (IJP 14.0).
</v>
      </c>
      <c r="H1081" s="92" t="str">
        <f>"
Enter a percentage value between 0 and 100.
"</f>
        <v xml:space="preserve">
Enter a percentage value between 0 and 100.
</v>
      </c>
      <c r="I1081" s="92"/>
      <c r="J1081" s="92"/>
    </row>
    <row r="1082" spans="1:10" ht="77.5">
      <c r="A1082" s="190" t="s">
        <v>3728</v>
      </c>
      <c r="B1082" s="92" t="str">
        <f>"
Do not answer this question if the scheme follows a Fast Track approach ("&amp;Questions!$D$5&amp;").
"</f>
        <v xml:space="preserve">
Do not answer this question if the scheme follows a Fast Track approach (SH 13.0).
</v>
      </c>
      <c r="C1082" s="92" t="str">
        <f>"
Do not answer this question if the valuation is 'post-relevant date' ("&amp;Questions!$D$14&amp;").
"</f>
        <v xml:space="preserve">
Do not answer this question if the valuation is 'post-relevant date' (SH 10.0).
</v>
      </c>
      <c r="D1082" s="92" t="str">
        <f>"
Do not answer this question if you selected ‘TPR Fast Track stress test’ or ‘Other’ as the determination method for the level of investment risk at the relevant date ("&amp;Questions!$D$196&amp;").
"</f>
        <v xml:space="preserve">
Do not answer this question if you selected ‘TPR Fast Track stress test’ or ‘Other’ as the determination method for the level of investment risk at the relevant date (IJP 11.0).
</v>
      </c>
      <c r="E1082" s="92" t="str">
        <f>"
Do not answer this question if the investment risk calculation has been on assets only ("&amp;Questions!$D$198&amp;").
"</f>
        <v xml:space="preserve">
Do not answer this question if the investment risk calculation has been on assets only (IJP 13.0).
</v>
      </c>
      <c r="F1082" s="92" t="str">
        <f>"
Do not answer this question if the liability used is not ‘Other’ ("&amp;Questions!$D$199&amp;").
"</f>
        <v xml:space="preserve">
Do not answer this question if the liability used is not ‘Other’ (IJP 14.0).
</v>
      </c>
      <c r="G1082" s="92" t="str">
        <f>"
The answer must be no more than 4000 characters.
"</f>
        <v xml:space="preserve">
The answer must be no more than 4000 characters.
</v>
      </c>
      <c r="H1082" s="92" t="str">
        <f>"
The answer must be no more than 4000 characters.
"</f>
        <v xml:space="preserve">
The answer must be no more than 4000 characters.
</v>
      </c>
      <c r="I1082" s="92"/>
      <c r="J1082" s="92"/>
    </row>
    <row r="1083" spans="1:10" ht="77.5">
      <c r="A1083" s="190" t="s">
        <v>3729</v>
      </c>
      <c r="B1083" s="92" t="str">
        <f>"
Do not answer this question if the scheme follows a Fast Track approach ("&amp;Questions!$D$5&amp;").
"</f>
        <v xml:space="preserve">
Do not answer this question if the scheme follows a Fast Track approach (SH 13.0).
</v>
      </c>
      <c r="C1083" s="92" t="str">
        <f>"
Do not answer this question if the valuation is 'post-relevant date' ("&amp;Questions!$D$14&amp;").
"</f>
        <v xml:space="preserve">
Do not answer this question if the valuation is 'post-relevant date' (SH 10.0).
</v>
      </c>
      <c r="D1083" s="92" t="str">
        <f>"
Do not answer this question if you selected ‘TPR Fast Track stress test’ or ‘Other’ as the determination method for the level of investment risk at the relevant date ("&amp;Questions!$D$196&amp;").
"</f>
        <v xml:space="preserve">
Do not answer this question if you selected ‘TPR Fast Track stress test’ or ‘Other’ as the determination method for the level of investment risk at the relevant date (IJP 11.0).
</v>
      </c>
      <c r="E1083" s="92" t="str">
        <f>"
You must answer this question if you selected 'Value at Risk (VAR)’ or ’Conditional Value at Risk (CVAR)’ as the determination method for the level of investment risk at the relevant date ("&amp;Questions!$D$196&amp;").
"</f>
        <v xml:space="preserve">
You must answer this question if you selected 'Value at Risk (VAR)’ or ’Conditional Value at Risk (CVAR)’ as the determination method for the level of investment risk at the relevant date (IJP 11.0).
</v>
      </c>
      <c r="F1083" s="92" t="str">
        <f>"
Enter a percentage value that is between 0 and 100.
"</f>
        <v xml:space="preserve">
Enter a percentage value that is between 0 and 100.
</v>
      </c>
      <c r="G1083" s="92"/>
      <c r="H1083" s="92"/>
      <c r="I1083" s="92"/>
      <c r="J1083" s="92"/>
    </row>
    <row r="1084" spans="1:10" ht="77.5">
      <c r="A1084" s="190" t="s">
        <v>3730</v>
      </c>
      <c r="B1084" s="92" t="str">
        <f>"
Do not answer this question if the scheme follows a Fast Track approach ("&amp;Questions!$D$5&amp;").
"</f>
        <v xml:space="preserve">
Do not answer this question if the scheme follows a Fast Track approach (SH 13.0).
</v>
      </c>
      <c r="C1084" s="92" t="str">
        <f>"
Do not answer this question if the valuation is 'post-relevant date' ("&amp;Questions!$D$14&amp;").
"</f>
        <v xml:space="preserve">
Do not answer this question if the valuation is 'post-relevant date' (SH 10.0).
</v>
      </c>
      <c r="D1084" s="92" t="str">
        <f>"
Do not answer this question if you selected ‘TPR Fast Track stress test’ or ‘Other’ as the determination method for the level of investment risk at the relevant date ("&amp;Questions!$D$196&amp;").
"</f>
        <v xml:space="preserve">
Do not answer this question if you selected ‘TPR Fast Track stress test’ or ‘Other’ as the determination method for the level of investment risk at the relevant date (IJP 11.0).
</v>
      </c>
      <c r="E1084" s="92" t="str">
        <f>"
You must answer this question if you selected 'Value at Risk (VAR)’ or ’Conditional Value at Risk (CVAR)’ as the determination method for the level of investment risk at the relevant date ("&amp;Questions!$D$196&amp;").
"</f>
        <v xml:space="preserve">
You must answer this question if you selected 'Value at Risk (VAR)’ or ’Conditional Value at Risk (CVAR)’ as the determination method for the level of investment risk at the relevant date (IJP 11.0).
</v>
      </c>
      <c r="F1084" s="92" t="str">
        <f>"
Enter a whole number between 1 and 10.
"</f>
        <v xml:space="preserve">
Enter a whole number between 1 and 10.
</v>
      </c>
      <c r="G1084" s="92" t="str">
        <f t="shared" ref="G1084:H1084" si="53">"
Enter a whole number between 1 and 10.
"</f>
        <v xml:space="preserve">
Enter a whole number between 1 and 10.
</v>
      </c>
      <c r="H1084" s="92" t="str">
        <f t="shared" si="53"/>
        <v xml:space="preserve">
Enter a whole number between 1 and 10.
</v>
      </c>
      <c r="I1084" s="92"/>
      <c r="J1084" s="92"/>
    </row>
    <row r="1085" spans="1:10" ht="62">
      <c r="A1085" s="190" t="s">
        <v>3731</v>
      </c>
      <c r="B1085" s="92" t="str">
        <f>"
Do not answer this question if the scheme follows a Fast Track approach ("&amp;Questions!$D$5&amp;").
"</f>
        <v xml:space="preserve">
Do not answer this question if the scheme follows a Fast Track approach (SH 13.0).
</v>
      </c>
      <c r="C1085" s="92" t="str">
        <f>"
Do not answer this question if the valuation is 'post-relevant date' ("&amp;Questions!$D$14&amp;").
"</f>
        <v xml:space="preserve">
Do not answer this question if the valuation is 'post-relevant date' (SH 10.0).
</v>
      </c>
      <c r="D1085" s="92" t="str">
        <f>"
You must answer this question if the scheme follows a Bespoke approach ("&amp;Questions!$D$5&amp;") and the valuation is 'pre-relevant date' ("&amp;Questions!$D$14&amp;").
"</f>
        <v xml:space="preserve">
You must answer this question if the scheme follows a Bespoke approach (SH 13.0) and the valuation is 'pre-relevant date' (SH 10.0).
</v>
      </c>
      <c r="E1085" s="92" t="str">
        <f>"
Select ‘Margin over gilts’ or ‘Nominal’ from the drop down list.
"</f>
        <v xml:space="preserve">
Select ‘Margin over gilts’ or ‘Nominal’ from the drop down list.
</v>
      </c>
      <c r="F1085" s="92"/>
      <c r="G1085" s="92"/>
      <c r="H1085" s="92"/>
      <c r="I1085" s="92"/>
      <c r="J1085" s="92"/>
    </row>
    <row r="1086" spans="1:10" ht="77.5">
      <c r="A1086" s="190" t="s">
        <v>3732</v>
      </c>
      <c r="B1086" s="92" t="str">
        <f>"
Do not answer this question if the scheme follows a Fast Track approach ("&amp;Questions!$D$5&amp;").
"</f>
        <v xml:space="preserve">
Do not answer this question if the scheme follows a Fast Track approach (SH 13.0).
</v>
      </c>
      <c r="C1086" s="92" t="str">
        <f>"
Do not answer this question if the valuation is 'post-relevant date' ("&amp;Questions!$D$14&amp;").
"</f>
        <v xml:space="preserve">
Do not answer this question if the valuation is 'post-relevant date' (SH 10.0).
</v>
      </c>
      <c r="D1086" s="92" t="str">
        <f>"
Do not answer this question if the expected long-term return that the intended investment allocation at the relevant date is assumed to provide is expressed as a nominal value ("&amp;Questions!$D$205&amp;").
"</f>
        <v xml:space="preserve">
Do not answer this question if the expected long-term return that the intended investment allocation at the relevant date is assumed to provide is expressed as a nominal value (IJP 20.0).
</v>
      </c>
      <c r="E1086" s="92" t="str">
        <f>"
You must answer this question if the expected long-term return that the intended investment allocation at the relevant date is assumed to provide is expressed as a margin over gilts ("&amp;Questions!$D$205&amp;").
"</f>
        <v xml:space="preserve">
You must answer this question if the expected long-term return that the intended investment allocation at the relevant date is assumed to provide is expressed as a margin over gilts (IJP 20.0).
</v>
      </c>
      <c r="F1086" s="92" t="str">
        <f>"
Enter a percentage value that is equal to or greater than 0.
"</f>
        <v xml:space="preserve">
Enter a percentage value that is equal to or greater than 0.
</v>
      </c>
      <c r="G1086" s="92"/>
      <c r="H1086" s="92"/>
      <c r="I1086" s="92"/>
      <c r="J1086" s="92"/>
    </row>
    <row r="1087" spans="1:10" ht="77.5">
      <c r="A1087" s="190" t="s">
        <v>3733</v>
      </c>
      <c r="B1087" s="92" t="str">
        <f>"
Do not answer this question if the scheme follows a Fast Track approach ("&amp;Questions!$D$5&amp;").
"</f>
        <v xml:space="preserve">
Do not answer this question if the scheme follows a Fast Track approach (SH 13.0).
</v>
      </c>
      <c r="C1087" s="92" t="str">
        <f>"
Do not answer this question if the valuation is 'post-relevant date' ("&amp;Questions!$D$14&amp;").
"</f>
        <v xml:space="preserve">
Do not answer this question if the valuation is 'post-relevant date' (SH 10.0).
</v>
      </c>
      <c r="D1087" s="92" t="str">
        <f>"
Do not answer this question if the expected long-term return that the intended investment allocation at the relevant date is assumed to provide is expressed as a margin over gilts ("&amp;Questions!$D$205&amp;").
"</f>
        <v xml:space="preserve">
Do not answer this question if the expected long-term return that the intended investment allocation at the relevant date is assumed to provide is expressed as a margin over gilts (IJP 20.0).
</v>
      </c>
      <c r="E1087" s="92" t="str">
        <f>"
You must answer this question if the expected long-term return that the intended investment allocation at the relevant date is assumed to provide is expressed as a nominal value ("&amp;Questions!$D$205&amp;").
"</f>
        <v xml:space="preserve">
You must answer this question if the expected long-term return that the intended investment allocation at the relevant date is assumed to provide is expressed as a nominal value (IJP 20.0).
</v>
      </c>
      <c r="F1087" s="92" t="str">
        <f>"
Enter a percentage value that is equal to or greater than 0.
"</f>
        <v xml:space="preserve">
Enter a percentage value that is equal to or greater than 0.
</v>
      </c>
      <c r="G1087" s="92"/>
      <c r="H1087" s="92"/>
      <c r="I1087" s="92"/>
      <c r="J1087" s="92"/>
    </row>
    <row r="1088" spans="1:10" ht="46.5">
      <c r="A1088" s="190" t="s">
        <v>3734</v>
      </c>
      <c r="B1088" s="92" t="s">
        <v>3770</v>
      </c>
      <c r="C1088" s="92"/>
      <c r="D1088" s="92"/>
      <c r="E1088" s="92"/>
      <c r="F1088" s="92"/>
      <c r="G1088" s="92"/>
      <c r="H1088" s="92"/>
      <c r="I1088" s="92"/>
      <c r="J1088" s="92"/>
    </row>
  </sheetData>
  <sheetProtection algorithmName="SHA-512" hashValue="JmbRcrUHdsQE0IblKp6cAH+RiOuFtka6zzsU7XSZO4Qo95pHbh8H+zlTZXFdPxqpN7wQN7xFoQ+oPiAuIaeWJw==" saltValue="aDLScDdGdinp0bko+O+PJg==" spinCount="100000" sheet="1" objects="1" scenarios="1"/>
  <phoneticPr fontId="1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4425D-0AB9-4B8F-9BD6-6E8F8FDF07BB}">
  <sheetPr codeName="Sheet5">
    <tabColor rgb="FF404040"/>
  </sheetPr>
  <dimension ref="A1:XFC47"/>
  <sheetViews>
    <sheetView zoomScaleNormal="100" workbookViewId="0">
      <selection activeCell="B3" sqref="B3"/>
    </sheetView>
  </sheetViews>
  <sheetFormatPr defaultRowHeight="20.149999999999999" customHeight="1" zeroHeight="1"/>
  <cols>
    <col min="1" max="1" width="62.69140625" style="20" customWidth="1"/>
    <col min="2" max="2" width="62.69140625" style="47" customWidth="1"/>
    <col min="3" max="3" width="2.69140625" style="20" hidden="1" customWidth="1"/>
    <col min="4" max="4" width="11.07421875" style="47" hidden="1" customWidth="1"/>
    <col min="5" max="16383" width="0" style="47" hidden="1" customWidth="1"/>
    <col min="16384" max="16384" width="7.07421875" style="47" hidden="1" customWidth="1"/>
  </cols>
  <sheetData>
    <row r="1" spans="1:7" s="30" customFormat="1" ht="50.15" customHeight="1" thickBot="1">
      <c r="A1" s="571" t="s">
        <v>119</v>
      </c>
      <c r="B1" s="13"/>
      <c r="C1" s="20"/>
    </row>
    <row r="2" spans="1:7" s="30" customFormat="1" ht="50.15" customHeight="1" thickTop="1" thickBot="1">
      <c r="A2" s="57" t="s">
        <v>1</v>
      </c>
      <c r="B2" s="57"/>
      <c r="C2" s="20"/>
    </row>
    <row r="3" spans="1:7" s="30" customFormat="1" ht="202.5" thickTop="1" thickBot="1">
      <c r="A3" s="34" t="s">
        <v>120</v>
      </c>
      <c r="B3" s="22"/>
      <c r="C3" s="20"/>
    </row>
    <row r="4" spans="1:7" s="30" customFormat="1" ht="50.15" customHeight="1" thickBot="1">
      <c r="A4" s="57" t="s">
        <v>121</v>
      </c>
      <c r="B4" s="57"/>
      <c r="C4" s="24"/>
    </row>
    <row r="5" spans="1:7" s="30" customFormat="1" ht="36" customHeight="1" thickTop="1">
      <c r="A5" s="12" t="s">
        <v>122</v>
      </c>
      <c r="B5" s="12" t="s">
        <v>123</v>
      </c>
      <c r="C5" s="24"/>
    </row>
    <row r="6" spans="1:7" s="30" customFormat="1" ht="50.15" customHeight="1">
      <c r="A6" s="1" t="s">
        <v>30</v>
      </c>
      <c r="B6" s="5" t="str">
        <f>'Table of Contents'!B11</f>
        <v xml:space="preserve">Data and information relating to the scheme's long-term funding and investment strategy and the trustees’ assessment of it. </v>
      </c>
      <c r="C6" s="20"/>
    </row>
    <row r="7" spans="1:7" s="30" customFormat="1" ht="50.15" customHeight="1">
      <c r="A7" s="1" t="s">
        <v>32</v>
      </c>
      <c r="B7" s="63" t="str">
        <f>'Table of Contents'!B12</f>
        <v>A summary of the funding position of the scheme as set out in the actuarial valuation.</v>
      </c>
      <c r="C7" s="20"/>
    </row>
    <row r="8" spans="1:7" s="30" customFormat="1" ht="50.15" customHeight="1">
      <c r="A8" s="1" t="s">
        <v>34</v>
      </c>
      <c r="B8" s="5" t="str">
        <f>'Table of Contents'!B13</f>
        <v xml:space="preserve">For schemes in deficit, data relating to the scheme’s recovery plan. </v>
      </c>
      <c r="C8" s="20"/>
    </row>
    <row r="9" spans="1:7" s="30" customFormat="1" ht="50.15" customHeight="1">
      <c r="A9" s="1" t="s">
        <v>36</v>
      </c>
      <c r="B9" s="63" t="str">
        <f>'Table of Contents'!B14</f>
        <v>For schemes in deficit, the annual deficit repair contributions relating to the recovery plan.</v>
      </c>
      <c r="C9" s="20"/>
    </row>
    <row r="10" spans="1:7" s="30" customFormat="1" ht="50.15" customHeight="1">
      <c r="A10" s="1" t="s">
        <v>38</v>
      </c>
      <c r="B10" s="5" t="str">
        <f>'Table of Contents'!B15</f>
        <v xml:space="preserve">Data and information about the discount rate methodology used to calculate the technical provisions. </v>
      </c>
      <c r="C10" s="20"/>
    </row>
    <row r="11" spans="1:7" s="30" customFormat="1" ht="50.15" customHeight="1">
      <c r="A11" s="1" t="s">
        <v>40</v>
      </c>
      <c r="B11" s="63" t="str">
        <f>'Table of Contents'!B16</f>
        <v>Data and information about the other assumptions used to calculate the technical provisions and the low dependency liabilities.</v>
      </c>
      <c r="C11" s="20"/>
    </row>
    <row r="12" spans="1:7" s="30" customFormat="1" ht="50.15" customHeight="1">
      <c r="A12" s="1" t="s">
        <v>42</v>
      </c>
      <c r="B12" s="5" t="str">
        <f>'Table of Contents'!B17</f>
        <v>The scheme’s term-dependant financial assumptions over the next 40 years used to calculate the technical provisions and the low dependency liabilities.</v>
      </c>
      <c r="C12" s="20"/>
    </row>
    <row r="13" spans="1:7" s="30" customFormat="1" ht="50.15" customHeight="1">
      <c r="A13" s="1" t="s">
        <v>44</v>
      </c>
      <c r="B13" s="63" t="str">
        <f>'Table of Contents'!B18</f>
        <v xml:space="preserve">Information about the scheme's cash flow separation. </v>
      </c>
      <c r="C13" s="20"/>
    </row>
    <row r="14" spans="1:7" s="30" customFormat="1" ht="50.15" customHeight="1" thickBot="1">
      <c r="A14" s="1" t="s">
        <v>46</v>
      </c>
      <c r="B14" s="5" t="str">
        <f>'Table of Contents'!B19</f>
        <v>Scheme benefit cash flows over the next 40  years based on the assumptions underlying the low dependency basis but not discounted.</v>
      </c>
      <c r="C14" s="20"/>
    </row>
    <row r="15" spans="1:7" s="439" customFormat="1" ht="50.25" customHeight="1">
      <c r="A15" s="441"/>
      <c r="C15" s="255"/>
      <c r="G15" s="442"/>
    </row>
    <row r="16" spans="1:7" ht="20.149999999999999" hidden="1" customHeight="1">
      <c r="A16" s="52"/>
    </row>
    <row r="18" spans="1:1" ht="20.149999999999999" hidden="1" customHeight="1">
      <c r="A18" s="51"/>
    </row>
    <row r="19" spans="1:1" ht="20.149999999999999" hidden="1" customHeight="1">
      <c r="A19" s="53"/>
    </row>
    <row r="20" spans="1:1" ht="20.149999999999999" hidden="1" customHeight="1">
      <c r="A20" s="51"/>
    </row>
    <row r="21" spans="1:1" ht="20.149999999999999" hidden="1" customHeight="1">
      <c r="A21" s="53"/>
    </row>
    <row r="22" spans="1:1" ht="20.149999999999999" hidden="1" customHeight="1">
      <c r="A22" s="51"/>
    </row>
    <row r="24" spans="1:1" ht="20.149999999999999" hidden="1" customHeight="1">
      <c r="A24" s="51"/>
    </row>
    <row r="25" spans="1:1" ht="20.149999999999999" hidden="1" customHeight="1">
      <c r="A25" s="52"/>
    </row>
    <row r="26" spans="1:1" ht="20.149999999999999" hidden="1" customHeight="1">
      <c r="A26" s="53"/>
    </row>
    <row r="27" spans="1:1" ht="20.149999999999999" hidden="1" customHeight="1">
      <c r="A27" s="51"/>
    </row>
    <row r="33" spans="1:2" ht="20.149999999999999" hidden="1" customHeight="1">
      <c r="A33" s="51"/>
    </row>
    <row r="34" spans="1:2" ht="20.149999999999999" hidden="1" customHeight="1">
      <c r="A34" s="52"/>
    </row>
    <row r="35" spans="1:2" ht="20.149999999999999" hidden="1" customHeight="1">
      <c r="A35" s="52"/>
    </row>
    <row r="36" spans="1:2" ht="20.149999999999999" hidden="1" customHeight="1">
      <c r="A36" s="53"/>
    </row>
    <row r="37" spans="1:2" ht="20.149999999999999" hidden="1" customHeight="1">
      <c r="A37" s="52"/>
    </row>
    <row r="38" spans="1:2" ht="20.149999999999999" hidden="1" customHeight="1">
      <c r="A38" s="53"/>
    </row>
    <row r="39" spans="1:2" ht="20.149999999999999" hidden="1" customHeight="1">
      <c r="A39" s="52"/>
    </row>
    <row r="40" spans="1:2" ht="20.149999999999999" hidden="1" customHeight="1">
      <c r="A40" s="53"/>
    </row>
    <row r="44" spans="1:2" s="20" customFormat="1" ht="20.149999999999999" hidden="1" customHeight="1">
      <c r="B44" s="47"/>
    </row>
    <row r="45" spans="1:2" s="20" customFormat="1" ht="20.149999999999999" hidden="1" customHeight="1">
      <c r="B45" s="47"/>
    </row>
    <row r="46" spans="1:2" s="20" customFormat="1" ht="20.149999999999999" hidden="1" customHeight="1">
      <c r="B46" s="47"/>
    </row>
    <row r="47" spans="1:2" s="20" customFormat="1" ht="20.149999999999999" hidden="1" customHeight="1">
      <c r="B47" s="47"/>
    </row>
  </sheetData>
  <sheetProtection algorithmName="SHA-512" hashValue="NYH8kHpLQ1gw5sqHspavR/yIhBsB8h3FJxEegF0xEWmrO2cFwquYfD1TIKH0GeMKb5FzJCVCQIZfEjjem310PA==" saltValue="EsC21QiHA+hFu+pq8oCpTQ==" spinCount="100000" sheet="1" objects="1" scenarios="1"/>
  <phoneticPr fontId="11" type="noConversion"/>
  <hyperlinks>
    <hyperlink ref="A10" location="'Discount rates'!A1" display="Discount rates" xr:uid="{B34F82F5-91DC-4A4D-85F4-368A364130EE}"/>
    <hyperlink ref="A11" location="'Other assumptions'!A1" display="Other assumptions" xr:uid="{9E2A38DF-20F9-438C-9898-6B78903DF68F}"/>
    <hyperlink ref="A12" location="'40-year assumptions'!A1" display="Scheme assumptions over the next 40 years" xr:uid="{B08237C7-E03D-4EDD-BAF2-580D12F84453}"/>
    <hyperlink ref="A7" location="'Summary of Actuarial Valuation'!A1" display="Summary of actuarial valuation" xr:uid="{2FF03564-587C-4964-930E-7B1016ACD434}"/>
    <hyperlink ref="A6" location="'Funding and investment strategy'!A1" display="Funding and investment strategy" xr:uid="{511CFA4E-A7D1-4030-8521-0DF666805607}"/>
    <hyperlink ref="A8" location="'Summary of recovery plan'!A1" display="Summary of recovery plan" xr:uid="{BD666AE4-5898-40DC-8454-5E7BAFA46D17}"/>
    <hyperlink ref="A9" location="'Deficit repair contributions'!A1" display="Deficit repair contributions" xr:uid="{926B4D86-8AC3-4AAE-B651-63B64B338132}"/>
    <hyperlink ref="A13" location="'Scheme benefit cash flow'!A1" display="Scheme benefit cashflow" xr:uid="{B3E841CB-14D7-4FC5-9DF1-1D1AF7809E71}"/>
    <hyperlink ref="A14" location="'Annual scheme cash flows'!A1" display="Annual scheme cashflows" xr:uid="{BBACA8A6-D256-4BEA-B8B0-B73C537A84EF}"/>
  </hyperlinks>
  <pageMargins left="0.70000000000000007" right="0.70000000000000007" top="0.75" bottom="0.75" header="0.30000000000000004" footer="0.30000000000000004"/>
  <pageSetup paperSize="9" fitToWidth="0" fitToHeight="0" orientation="portrait" r:id="rId1"/>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E9A87-37BD-4BF0-BEBF-ECFFA32631FE}">
  <sheetPr codeName="Sheet42"/>
  <dimension ref="A1:C443"/>
  <sheetViews>
    <sheetView zoomScaleNormal="100" workbookViewId="0"/>
  </sheetViews>
  <sheetFormatPr defaultColWidth="0" defaultRowHeight="15.5"/>
  <cols>
    <col min="1" max="1" width="34.23046875" bestFit="1" customWidth="1"/>
    <col min="2" max="2" width="59.69140625" customWidth="1"/>
    <col min="3" max="3" width="54.07421875" customWidth="1"/>
    <col min="4" max="16384" width="9.23046875" hidden="1"/>
  </cols>
  <sheetData>
    <row r="1" spans="1:3">
      <c r="A1" s="105" t="s">
        <v>3771</v>
      </c>
      <c r="B1" s="82" t="s">
        <v>3772</v>
      </c>
      <c r="C1" s="82" t="s">
        <v>3773</v>
      </c>
    </row>
    <row r="2" spans="1:3">
      <c r="A2" s="92" t="s">
        <v>3774</v>
      </c>
      <c r="B2" s="80" t="s">
        <v>3775</v>
      </c>
      <c r="C2" s="80"/>
    </row>
    <row r="3" spans="1:3">
      <c r="A3" s="92" t="s">
        <v>3776</v>
      </c>
      <c r="B3" s="80" t="b">
        <v>0</v>
      </c>
      <c r="C3" s="80" t="s">
        <v>3777</v>
      </c>
    </row>
    <row r="4" spans="1:3">
      <c r="A4" s="92" t="s">
        <v>3015</v>
      </c>
      <c r="B4" s="80" t="s">
        <v>3778</v>
      </c>
      <c r="C4" s="80"/>
    </row>
    <row r="5" spans="1:3">
      <c r="A5" s="92" t="s">
        <v>3015</v>
      </c>
      <c r="B5" s="80" t="s">
        <v>109</v>
      </c>
      <c r="C5" s="80"/>
    </row>
    <row r="6" spans="1:3">
      <c r="A6" s="102" t="s">
        <v>3012</v>
      </c>
      <c r="B6" s="81">
        <v>45557</v>
      </c>
      <c r="C6" s="80"/>
    </row>
    <row r="7" spans="1:3">
      <c r="A7" s="92" t="s">
        <v>3110</v>
      </c>
      <c r="B7" s="80" t="s">
        <v>251</v>
      </c>
      <c r="C7" s="80" t="str">
        <f>IF(OR('Start here'!$C$24=RefData!$B$4, 'Start here'!$C$24=""), RefData!$B7, "")</f>
        <v>Spot rate</v>
      </c>
    </row>
    <row r="8" spans="1:3">
      <c r="A8" s="92" t="s">
        <v>3110</v>
      </c>
      <c r="B8" s="80" t="s">
        <v>3779</v>
      </c>
      <c r="C8" s="80" t="str">
        <f>IF(OR('Start here'!$C$24=RefData!$B$4, 'Start here'!$C$24=""), RefData!$B8, "")</f>
        <v>Yield curve discount rate</v>
      </c>
    </row>
    <row r="9" spans="1:3">
      <c r="A9" s="92" t="s">
        <v>3017</v>
      </c>
      <c r="B9" s="80" t="s">
        <v>3780</v>
      </c>
      <c r="C9" s="80"/>
    </row>
    <row r="10" spans="1:3">
      <c r="A10" s="92" t="s">
        <v>3017</v>
      </c>
      <c r="B10" s="80" t="s">
        <v>113</v>
      </c>
      <c r="C10" s="80"/>
    </row>
    <row r="11" spans="1:3" ht="31">
      <c r="A11" s="92" t="s">
        <v>3018</v>
      </c>
      <c r="B11" s="80" t="s">
        <v>3781</v>
      </c>
      <c r="C11" s="80" t="str">
        <f>IF(OR(AND('Start here'!$C$26=RefData!$B$10,'Start here'!$C$23=RefData!$B$17), 'Start here'!$C$25=""), RefData!$B11, "")</f>
        <v>Yes, the scheme meets the 'Bespoke low-risk scheme' requirements</v>
      </c>
    </row>
    <row r="12" spans="1:3" ht="31">
      <c r="A12" s="92" t="s">
        <v>3018</v>
      </c>
      <c r="B12" s="80" t="s">
        <v>3782</v>
      </c>
      <c r="C12" s="80" t="str">
        <f>IF(OR(AND('Start here'!$C$26=RefData!$B$10,'Start here'!$C$23=RefData!$B$17), 'Start here'!$C$25=""), RefData!$B12, "")</f>
        <v>No, the scheme does not meet the 'Bespoke low-risk scheme' requirements</v>
      </c>
    </row>
    <row r="13" spans="1:3" ht="31">
      <c r="A13" s="92" t="s">
        <v>3019</v>
      </c>
      <c r="B13" s="80" t="s">
        <v>116</v>
      </c>
      <c r="C13" s="80"/>
    </row>
    <row r="14" spans="1:3" ht="31">
      <c r="A14" s="92" t="s">
        <v>3019</v>
      </c>
      <c r="B14" s="80" t="s">
        <v>3783</v>
      </c>
      <c r="C14" s="80"/>
    </row>
    <row r="15" spans="1:3">
      <c r="A15" s="92" t="s">
        <v>3016</v>
      </c>
      <c r="B15" s="80" t="s">
        <v>111</v>
      </c>
      <c r="C15" s="80"/>
    </row>
    <row r="16" spans="1:3">
      <c r="A16" s="92" t="s">
        <v>3016</v>
      </c>
      <c r="B16" s="80" t="s">
        <v>3784</v>
      </c>
      <c r="C16" s="80"/>
    </row>
    <row r="17" spans="1:3">
      <c r="A17" s="92" t="s">
        <v>3014</v>
      </c>
      <c r="B17" s="80" t="s">
        <v>3785</v>
      </c>
      <c r="C17" s="80"/>
    </row>
    <row r="18" spans="1:3">
      <c r="A18" s="92" t="s">
        <v>3014</v>
      </c>
      <c r="B18" s="80" t="s">
        <v>3786</v>
      </c>
      <c r="C18" s="80"/>
    </row>
    <row r="19" spans="1:3" ht="46.5">
      <c r="A19" s="92" t="s">
        <v>3043</v>
      </c>
      <c r="B19" s="80" t="s">
        <v>3787</v>
      </c>
      <c r="C19" s="80"/>
    </row>
    <row r="20" spans="1:3" ht="46.5">
      <c r="A20" s="92" t="s">
        <v>3043</v>
      </c>
      <c r="B20" s="80" t="s">
        <v>165</v>
      </c>
      <c r="C20" s="80"/>
    </row>
    <row r="21" spans="1:3">
      <c r="A21" s="92" t="s">
        <v>3044</v>
      </c>
      <c r="B21" s="80" t="s">
        <v>167</v>
      </c>
      <c r="C21" s="80"/>
    </row>
    <row r="22" spans="1:3">
      <c r="A22" s="92" t="s">
        <v>3044</v>
      </c>
      <c r="B22" s="80" t="s">
        <v>3788</v>
      </c>
      <c r="C22" s="80"/>
    </row>
    <row r="23" spans="1:3">
      <c r="A23" s="92" t="s">
        <v>3021</v>
      </c>
      <c r="B23" s="80" t="s">
        <v>129</v>
      </c>
      <c r="C23" s="80"/>
    </row>
    <row r="24" spans="1:3">
      <c r="A24" s="92" t="s">
        <v>3021</v>
      </c>
      <c r="B24" s="80" t="s">
        <v>3789</v>
      </c>
      <c r="C24" s="80"/>
    </row>
    <row r="25" spans="1:3">
      <c r="A25" s="92" t="s">
        <v>3380</v>
      </c>
      <c r="B25" s="80" t="s">
        <v>3790</v>
      </c>
      <c r="C25" s="80"/>
    </row>
    <row r="26" spans="1:3">
      <c r="A26" s="92" t="s">
        <v>3380</v>
      </c>
      <c r="B26" s="80" t="s">
        <v>3791</v>
      </c>
      <c r="C26" s="80"/>
    </row>
    <row r="27" spans="1:3" ht="31">
      <c r="A27" s="92" t="s">
        <v>3381</v>
      </c>
      <c r="B27" s="80" t="s">
        <v>3792</v>
      </c>
      <c r="C27" s="80"/>
    </row>
    <row r="28" spans="1:3" ht="31">
      <c r="A28" s="92" t="s">
        <v>3381</v>
      </c>
      <c r="B28" s="80" t="s">
        <v>383</v>
      </c>
      <c r="C28" s="80"/>
    </row>
    <row r="29" spans="1:3">
      <c r="A29" s="92" t="s">
        <v>3084</v>
      </c>
      <c r="B29" s="80" t="s">
        <v>450</v>
      </c>
      <c r="C29" s="80"/>
    </row>
    <row r="30" spans="1:3">
      <c r="A30" s="92" t="s">
        <v>3084</v>
      </c>
      <c r="B30" s="80" t="s">
        <v>216</v>
      </c>
      <c r="C30" s="80"/>
    </row>
    <row r="31" spans="1:3">
      <c r="A31" s="92" t="s">
        <v>3087</v>
      </c>
      <c r="B31" s="80" t="s">
        <v>220</v>
      </c>
      <c r="C31" s="80"/>
    </row>
    <row r="32" spans="1:3">
      <c r="A32" s="92" t="s">
        <v>3087</v>
      </c>
      <c r="B32" s="80" t="s">
        <v>3793</v>
      </c>
      <c r="C32" s="80"/>
    </row>
    <row r="33" spans="1:3" ht="46.5">
      <c r="A33" s="92" t="s">
        <v>3035</v>
      </c>
      <c r="B33" s="80" t="s">
        <v>150</v>
      </c>
      <c r="C33" s="80"/>
    </row>
    <row r="34" spans="1:3" ht="31">
      <c r="A34" s="92" t="s">
        <v>3035</v>
      </c>
      <c r="B34" s="80" t="s">
        <v>3794</v>
      </c>
      <c r="C34" s="80"/>
    </row>
    <row r="35" spans="1:3">
      <c r="A35" s="92" t="s">
        <v>3111</v>
      </c>
      <c r="B35" s="80" t="s">
        <v>3795</v>
      </c>
      <c r="C35" s="80"/>
    </row>
    <row r="36" spans="1:3">
      <c r="A36" s="92" t="s">
        <v>3111</v>
      </c>
      <c r="B36" s="80" t="s">
        <v>253</v>
      </c>
      <c r="C36" s="80"/>
    </row>
    <row r="37" spans="1:3">
      <c r="A37" s="92" t="s">
        <v>3111</v>
      </c>
      <c r="B37" s="80" t="s">
        <v>3796</v>
      </c>
      <c r="C37" s="80"/>
    </row>
    <row r="38" spans="1:3">
      <c r="A38" s="92" t="s">
        <v>3111</v>
      </c>
      <c r="B38" s="80" t="s">
        <v>3797</v>
      </c>
      <c r="C38" s="80"/>
    </row>
    <row r="39" spans="1:3">
      <c r="A39" s="92" t="s">
        <v>3111</v>
      </c>
      <c r="B39" s="80" t="s">
        <v>3798</v>
      </c>
      <c r="C39" s="80"/>
    </row>
    <row r="40" spans="1:3">
      <c r="A40" s="92" t="s">
        <v>3111</v>
      </c>
      <c r="B40" s="80" t="s">
        <v>257</v>
      </c>
      <c r="C40" s="80"/>
    </row>
    <row r="41" spans="1:3">
      <c r="A41" s="92" t="s">
        <v>3114</v>
      </c>
      <c r="B41" s="80" t="s">
        <v>3799</v>
      </c>
      <c r="C41" s="80"/>
    </row>
    <row r="42" spans="1:3">
      <c r="A42" s="92" t="s">
        <v>3114</v>
      </c>
      <c r="B42" s="80" t="s">
        <v>3800</v>
      </c>
      <c r="C42" s="80"/>
    </row>
    <row r="43" spans="1:3">
      <c r="A43" s="92" t="s">
        <v>3114</v>
      </c>
      <c r="B43" s="80" t="s">
        <v>3801</v>
      </c>
      <c r="C43" s="80"/>
    </row>
    <row r="44" spans="1:3">
      <c r="A44" s="92" t="s">
        <v>3114</v>
      </c>
      <c r="B44" s="80" t="s">
        <v>3802</v>
      </c>
      <c r="C44" s="80"/>
    </row>
    <row r="45" spans="1:3">
      <c r="A45" s="92" t="s">
        <v>3114</v>
      </c>
      <c r="B45" s="80" t="s">
        <v>257</v>
      </c>
      <c r="C45" s="80"/>
    </row>
    <row r="46" spans="1:3" ht="31">
      <c r="A46" s="92" t="s">
        <v>3125</v>
      </c>
      <c r="B46" s="80" t="s">
        <v>272</v>
      </c>
      <c r="C46" s="80"/>
    </row>
    <row r="47" spans="1:3">
      <c r="A47" s="92" t="s">
        <v>3125</v>
      </c>
      <c r="B47" s="80" t="s">
        <v>3803</v>
      </c>
      <c r="C47" s="80"/>
    </row>
    <row r="48" spans="1:3">
      <c r="A48" s="92" t="s">
        <v>3125</v>
      </c>
      <c r="B48" s="80" t="s">
        <v>3804</v>
      </c>
      <c r="C48" s="80"/>
    </row>
    <row r="49" spans="1:3">
      <c r="A49" s="92" t="s">
        <v>3125</v>
      </c>
      <c r="B49" s="80" t="s">
        <v>3805</v>
      </c>
      <c r="C49" s="80"/>
    </row>
    <row r="50" spans="1:3">
      <c r="A50" s="92" t="s">
        <v>3128</v>
      </c>
      <c r="B50" s="80" t="s">
        <v>276</v>
      </c>
      <c r="C50" s="80"/>
    </row>
    <row r="51" spans="1:3">
      <c r="A51" s="92" t="s">
        <v>3128</v>
      </c>
      <c r="B51" s="80" t="s">
        <v>3806</v>
      </c>
      <c r="C51" s="80"/>
    </row>
    <row r="52" spans="1:3">
      <c r="A52" s="92" t="s">
        <v>3807</v>
      </c>
      <c r="B52" s="80">
        <f>SUM('Deficit repair contributions'!C7:C27)</f>
        <v>0</v>
      </c>
      <c r="C52" s="80"/>
    </row>
    <row r="53" spans="1:3">
      <c r="A53" s="92" t="s">
        <v>3678</v>
      </c>
      <c r="B53" s="80" t="s">
        <v>3808</v>
      </c>
      <c r="C53" s="80"/>
    </row>
    <row r="54" spans="1:3">
      <c r="A54" s="92" t="s">
        <v>3678</v>
      </c>
      <c r="B54" s="80" t="s">
        <v>438</v>
      </c>
      <c r="C54" s="80"/>
    </row>
    <row r="55" spans="1:3">
      <c r="A55" s="92" t="s">
        <v>3678</v>
      </c>
      <c r="B55" s="80" t="s">
        <v>3809</v>
      </c>
      <c r="C55" s="80"/>
    </row>
    <row r="56" spans="1:3">
      <c r="A56" s="92" t="s">
        <v>3678</v>
      </c>
      <c r="B56" s="80" t="s">
        <v>257</v>
      </c>
      <c r="C56" s="80"/>
    </row>
    <row r="57" spans="1:3">
      <c r="A57" s="92" t="s">
        <v>3680</v>
      </c>
      <c r="B57" s="80" t="s">
        <v>441</v>
      </c>
      <c r="C57" s="80"/>
    </row>
    <row r="58" spans="1:3">
      <c r="A58" s="92" t="s">
        <v>3680</v>
      </c>
      <c r="B58" s="80" t="s">
        <v>3810</v>
      </c>
      <c r="C58" s="80"/>
    </row>
    <row r="59" spans="1:3">
      <c r="A59" s="92" t="s">
        <v>3681</v>
      </c>
      <c r="B59" s="80" t="s">
        <v>1600</v>
      </c>
      <c r="C59" s="80"/>
    </row>
    <row r="60" spans="1:3">
      <c r="A60" s="92" t="s">
        <v>3681</v>
      </c>
      <c r="B60" s="80" t="s">
        <v>3811</v>
      </c>
      <c r="C60" s="80"/>
    </row>
    <row r="61" spans="1:3">
      <c r="A61" s="92" t="s">
        <v>3681</v>
      </c>
      <c r="B61" s="80" t="s">
        <v>3812</v>
      </c>
      <c r="C61" s="80"/>
    </row>
    <row r="62" spans="1:3">
      <c r="A62" s="92" t="s">
        <v>3681</v>
      </c>
      <c r="B62" s="80" t="s">
        <v>3813</v>
      </c>
      <c r="C62" s="80"/>
    </row>
    <row r="63" spans="1:3">
      <c r="A63" s="92" t="s">
        <v>3681</v>
      </c>
      <c r="B63" s="80" t="s">
        <v>257</v>
      </c>
      <c r="C63" s="80"/>
    </row>
    <row r="64" spans="1:3">
      <c r="A64" s="92" t="s">
        <v>3687</v>
      </c>
      <c r="B64" s="80" t="s">
        <v>450</v>
      </c>
      <c r="C64" s="80"/>
    </row>
    <row r="65" spans="1:3">
      <c r="A65" s="92" t="s">
        <v>3687</v>
      </c>
      <c r="B65" s="80" t="s">
        <v>216</v>
      </c>
      <c r="C65" s="80"/>
    </row>
    <row r="66" spans="1:3" ht="46.5">
      <c r="A66" s="92" t="s">
        <v>3711</v>
      </c>
      <c r="B66" s="80" t="s">
        <v>3814</v>
      </c>
      <c r="C66" s="80"/>
    </row>
    <row r="67" spans="1:3" ht="46.5">
      <c r="A67" s="92" t="s">
        <v>3711</v>
      </c>
      <c r="B67" s="80" t="s">
        <v>3815</v>
      </c>
      <c r="C67" s="80"/>
    </row>
    <row r="68" spans="1:3">
      <c r="A68" s="92" t="s">
        <v>3713</v>
      </c>
      <c r="B68" s="80" t="s">
        <v>3816</v>
      </c>
      <c r="C68" s="80"/>
    </row>
    <row r="69" spans="1:3">
      <c r="A69" s="92" t="s">
        <v>3713</v>
      </c>
      <c r="B69" s="80" t="s">
        <v>3817</v>
      </c>
      <c r="C69" s="80"/>
    </row>
    <row r="70" spans="1:3">
      <c r="A70" s="92" t="s">
        <v>3713</v>
      </c>
      <c r="B70" s="80" t="s">
        <v>3818</v>
      </c>
      <c r="C70" s="80"/>
    </row>
    <row r="71" spans="1:3">
      <c r="A71" s="92" t="s">
        <v>3713</v>
      </c>
      <c r="B71" s="80" t="s">
        <v>3819</v>
      </c>
      <c r="C71" s="80"/>
    </row>
    <row r="72" spans="1:3">
      <c r="A72" s="92" t="s">
        <v>3713</v>
      </c>
      <c r="B72" s="80" t="s">
        <v>3820</v>
      </c>
      <c r="C72" s="80"/>
    </row>
    <row r="73" spans="1:3" ht="31">
      <c r="A73" s="92" t="s">
        <v>3715</v>
      </c>
      <c r="B73" s="80" t="s">
        <v>487</v>
      </c>
      <c r="C73" s="80"/>
    </row>
    <row r="74" spans="1:3" ht="31">
      <c r="A74" s="92" t="s">
        <v>3715</v>
      </c>
      <c r="B74" s="80" t="s">
        <v>3821</v>
      </c>
      <c r="C74" s="80"/>
    </row>
    <row r="75" spans="1:3">
      <c r="A75" s="92" t="s">
        <v>3716</v>
      </c>
      <c r="B75" s="80" t="s">
        <v>3822</v>
      </c>
      <c r="C75" s="92"/>
    </row>
    <row r="76" spans="1:3">
      <c r="A76" s="92" t="s">
        <v>3716</v>
      </c>
      <c r="B76" s="80" t="s">
        <v>3823</v>
      </c>
      <c r="C76" s="92"/>
    </row>
    <row r="77" spans="1:3">
      <c r="A77" s="92" t="s">
        <v>3716</v>
      </c>
      <c r="B77" s="80" t="s">
        <v>489</v>
      </c>
      <c r="C77" s="92"/>
    </row>
    <row r="78" spans="1:3">
      <c r="A78" s="92" t="s">
        <v>3716</v>
      </c>
      <c r="B78" s="80" t="s">
        <v>257</v>
      </c>
      <c r="C78" s="92"/>
    </row>
    <row r="79" spans="1:3" ht="31">
      <c r="A79" s="92" t="s">
        <v>3718</v>
      </c>
      <c r="B79" s="80" t="s">
        <v>492</v>
      </c>
      <c r="C79" s="92"/>
    </row>
    <row r="80" spans="1:3" ht="31">
      <c r="A80" s="92" t="s">
        <v>3718</v>
      </c>
      <c r="B80" s="80" t="s">
        <v>3824</v>
      </c>
      <c r="C80" s="92"/>
    </row>
    <row r="81" spans="1:3" ht="31">
      <c r="A81" s="92" t="s">
        <v>3703</v>
      </c>
      <c r="B81" s="80" t="s">
        <v>467</v>
      </c>
      <c r="C81" s="92"/>
    </row>
    <row r="82" spans="1:3" ht="31">
      <c r="A82" s="92" t="s">
        <v>3703</v>
      </c>
      <c r="B82" s="80" t="s">
        <v>3825</v>
      </c>
      <c r="C82" s="92"/>
    </row>
    <row r="83" spans="1:3">
      <c r="A83" s="92" t="s">
        <v>3704</v>
      </c>
      <c r="B83" s="80" t="s">
        <v>3822</v>
      </c>
      <c r="C83" s="92"/>
    </row>
    <row r="84" spans="1:3">
      <c r="A84" s="92" t="s">
        <v>3704</v>
      </c>
      <c r="B84" s="80" t="s">
        <v>3823</v>
      </c>
      <c r="C84" s="92"/>
    </row>
    <row r="85" spans="1:3">
      <c r="A85" s="92" t="s">
        <v>3704</v>
      </c>
      <c r="B85" s="80" t="s">
        <v>489</v>
      </c>
      <c r="C85" s="92"/>
    </row>
    <row r="86" spans="1:3">
      <c r="A86" s="92" t="s">
        <v>3704</v>
      </c>
      <c r="B86" s="80" t="s">
        <v>257</v>
      </c>
      <c r="C86" s="92"/>
    </row>
    <row r="87" spans="1:3" ht="31">
      <c r="A87" s="92" t="s">
        <v>3706</v>
      </c>
      <c r="B87" s="80" t="s">
        <v>3826</v>
      </c>
      <c r="C87" s="92"/>
    </row>
    <row r="88" spans="1:3" ht="31">
      <c r="A88" s="92" t="s">
        <v>3706</v>
      </c>
      <c r="B88" s="80" t="s">
        <v>471</v>
      </c>
      <c r="C88" s="92"/>
    </row>
    <row r="89" spans="1:3">
      <c r="A89" s="92" t="s">
        <v>3722</v>
      </c>
      <c r="B89" s="80" t="s">
        <v>3808</v>
      </c>
      <c r="C89" s="92"/>
    </row>
    <row r="90" spans="1:3">
      <c r="A90" s="92" t="s">
        <v>3722</v>
      </c>
      <c r="B90" s="80" t="s">
        <v>438</v>
      </c>
      <c r="C90" s="92"/>
    </row>
    <row r="91" spans="1:3">
      <c r="A91" s="92" t="s">
        <v>3722</v>
      </c>
      <c r="B91" s="80" t="s">
        <v>3809</v>
      </c>
      <c r="C91" s="92"/>
    </row>
    <row r="92" spans="1:3">
      <c r="A92" s="92" t="s">
        <v>3722</v>
      </c>
      <c r="B92" s="80" t="s">
        <v>257</v>
      </c>
      <c r="C92" s="92"/>
    </row>
    <row r="93" spans="1:3">
      <c r="A93" s="92" t="s">
        <v>3724</v>
      </c>
      <c r="B93" s="80" t="s">
        <v>441</v>
      </c>
      <c r="C93" s="92"/>
    </row>
    <row r="94" spans="1:3">
      <c r="A94" s="92" t="s">
        <v>3724</v>
      </c>
      <c r="B94" s="80" t="s">
        <v>3810</v>
      </c>
      <c r="C94" s="92"/>
    </row>
    <row r="95" spans="1:3">
      <c r="A95" s="92" t="s">
        <v>3725</v>
      </c>
      <c r="B95" s="80" t="s">
        <v>1600</v>
      </c>
      <c r="C95" s="92"/>
    </row>
    <row r="96" spans="1:3">
      <c r="A96" s="92" t="s">
        <v>3725</v>
      </c>
      <c r="B96" s="80" t="s">
        <v>3811</v>
      </c>
      <c r="C96" s="92"/>
    </row>
    <row r="97" spans="1:3">
      <c r="A97" s="92" t="s">
        <v>3725</v>
      </c>
      <c r="B97" s="80" t="s">
        <v>3827</v>
      </c>
      <c r="C97" s="92"/>
    </row>
    <row r="98" spans="1:3">
      <c r="A98" s="92" t="s">
        <v>3725</v>
      </c>
      <c r="B98" s="80" t="s">
        <v>3828</v>
      </c>
      <c r="C98" s="92"/>
    </row>
    <row r="99" spans="1:3">
      <c r="A99" s="92" t="s">
        <v>3725</v>
      </c>
      <c r="B99" s="80" t="s">
        <v>257</v>
      </c>
      <c r="C99" s="92"/>
    </row>
    <row r="100" spans="1:3">
      <c r="A100" s="92" t="s">
        <v>3731</v>
      </c>
      <c r="B100" s="80" t="s">
        <v>216</v>
      </c>
      <c r="C100" s="92"/>
    </row>
    <row r="101" spans="1:3">
      <c r="A101" s="92" t="s">
        <v>3731</v>
      </c>
      <c r="B101" s="80" t="s">
        <v>450</v>
      </c>
      <c r="C101" s="92"/>
    </row>
    <row r="102" spans="1:3" ht="31">
      <c r="A102" s="92" t="s">
        <v>3037</v>
      </c>
      <c r="B102" s="80" t="s">
        <v>3829</v>
      </c>
      <c r="C102" s="92"/>
    </row>
    <row r="103" spans="1:3" ht="31">
      <c r="A103" s="92" t="s">
        <v>3037</v>
      </c>
      <c r="B103" s="80" t="s">
        <v>3830</v>
      </c>
      <c r="C103" s="92"/>
    </row>
    <row r="104" spans="1:3">
      <c r="A104" s="92" t="s">
        <v>3494</v>
      </c>
      <c r="B104" s="80" t="s">
        <v>3831</v>
      </c>
      <c r="C104" s="92"/>
    </row>
    <row r="105" spans="1:3">
      <c r="A105" s="92" t="s">
        <v>3494</v>
      </c>
      <c r="B105" s="80" t="s">
        <v>3832</v>
      </c>
      <c r="C105" s="92"/>
    </row>
    <row r="106" spans="1:3">
      <c r="A106" s="92" t="s">
        <v>3494</v>
      </c>
      <c r="B106" s="80" t="s">
        <v>3833</v>
      </c>
      <c r="C106" s="92"/>
    </row>
    <row r="107" spans="1:3">
      <c r="A107" s="92" t="s">
        <v>3494</v>
      </c>
      <c r="B107" s="80" t="s">
        <v>257</v>
      </c>
      <c r="C107" s="92"/>
    </row>
    <row r="108" spans="1:3" ht="31">
      <c r="A108" s="92" t="s">
        <v>3487</v>
      </c>
      <c r="B108" s="80" t="s">
        <v>596</v>
      </c>
      <c r="C108" s="92"/>
    </row>
    <row r="109" spans="1:3" ht="31">
      <c r="A109" s="92" t="s">
        <v>3487</v>
      </c>
      <c r="B109" s="80" t="s">
        <v>3834</v>
      </c>
      <c r="C109" s="92"/>
    </row>
    <row r="110" spans="1:3" ht="31">
      <c r="A110" s="92" t="s">
        <v>3488</v>
      </c>
      <c r="B110" s="80" t="s">
        <v>3835</v>
      </c>
      <c r="C110" s="92"/>
    </row>
    <row r="111" spans="1:3" ht="31">
      <c r="A111" s="92" t="s">
        <v>3488</v>
      </c>
      <c r="B111" s="80" t="s">
        <v>3836</v>
      </c>
      <c r="C111" s="92"/>
    </row>
    <row r="112" spans="1:3" ht="31">
      <c r="A112" s="92" t="s">
        <v>3479</v>
      </c>
      <c r="B112" s="80" t="s">
        <v>3837</v>
      </c>
      <c r="C112" s="92"/>
    </row>
    <row r="113" spans="1:3" ht="31">
      <c r="A113" s="92" t="s">
        <v>3479</v>
      </c>
      <c r="B113" s="80" t="s">
        <v>584</v>
      </c>
      <c r="C113" s="92"/>
    </row>
    <row r="114" spans="1:3">
      <c r="A114" s="92" t="s">
        <v>3423</v>
      </c>
      <c r="B114" s="80" t="s">
        <v>3838</v>
      </c>
      <c r="C114" s="92"/>
    </row>
    <row r="115" spans="1:3">
      <c r="A115" s="92" t="s">
        <v>3423</v>
      </c>
      <c r="B115" s="80" t="s">
        <v>517</v>
      </c>
      <c r="C115" s="92"/>
    </row>
    <row r="116" spans="1:3" ht="31">
      <c r="A116" s="92" t="s">
        <v>3426</v>
      </c>
      <c r="B116" s="80" t="s">
        <v>522</v>
      </c>
      <c r="C116" s="92"/>
    </row>
    <row r="117" spans="1:3" ht="31">
      <c r="A117" s="92" t="s">
        <v>3426</v>
      </c>
      <c r="B117" s="80" t="s">
        <v>3839</v>
      </c>
      <c r="C117" s="92"/>
    </row>
    <row r="118" spans="1:3" ht="31">
      <c r="A118" s="92" t="s">
        <v>3425</v>
      </c>
      <c r="B118" s="80" t="s">
        <v>3840</v>
      </c>
      <c r="C118" s="92"/>
    </row>
    <row r="119" spans="1:3" ht="31">
      <c r="A119" s="92" t="s">
        <v>3425</v>
      </c>
      <c r="B119" s="80" t="s">
        <v>520</v>
      </c>
      <c r="C119" s="92"/>
    </row>
    <row r="120" spans="1:3" ht="46.5">
      <c r="A120" s="92" t="s">
        <v>3493</v>
      </c>
      <c r="B120" s="80" t="s">
        <v>3841</v>
      </c>
      <c r="C120" s="92"/>
    </row>
    <row r="121" spans="1:3" ht="46.5">
      <c r="A121" s="92" t="s">
        <v>3493</v>
      </c>
      <c r="B121" s="80" t="s">
        <v>606</v>
      </c>
      <c r="C121" s="92"/>
    </row>
    <row r="122" spans="1:3" ht="31">
      <c r="A122" s="92" t="s">
        <v>3041</v>
      </c>
      <c r="B122" s="80" t="s">
        <v>157</v>
      </c>
      <c r="C122" s="80"/>
    </row>
    <row r="123" spans="1:3" ht="31">
      <c r="A123" s="92" t="s">
        <v>3041</v>
      </c>
      <c r="B123" s="80" t="s">
        <v>3842</v>
      </c>
      <c r="C123" s="80"/>
    </row>
    <row r="124" spans="1:3" ht="31">
      <c r="A124" s="92" t="s">
        <v>3843</v>
      </c>
      <c r="B124" s="80" t="s">
        <v>763</v>
      </c>
      <c r="C124" s="92"/>
    </row>
    <row r="125" spans="1:3" ht="31">
      <c r="A125" s="92" t="s">
        <v>3843</v>
      </c>
      <c r="B125" s="80" t="s">
        <v>825</v>
      </c>
      <c r="C125" s="92"/>
    </row>
    <row r="126" spans="1:3">
      <c r="A126" s="92" t="s">
        <v>3844</v>
      </c>
      <c r="B126" s="80" t="s">
        <v>3845</v>
      </c>
      <c r="C126" s="92"/>
    </row>
    <row r="127" spans="1:3">
      <c r="A127" s="92" t="s">
        <v>3844</v>
      </c>
      <c r="B127" s="80" t="s">
        <v>946</v>
      </c>
      <c r="C127" s="92"/>
    </row>
    <row r="128" spans="1:3">
      <c r="A128" s="92" t="s">
        <v>3844</v>
      </c>
      <c r="B128" s="80" t="s">
        <v>3846</v>
      </c>
      <c r="C128" s="92"/>
    </row>
    <row r="129" spans="1:3">
      <c r="A129" s="92" t="s">
        <v>3844</v>
      </c>
      <c r="B129" s="80" t="s">
        <v>257</v>
      </c>
      <c r="C129" s="92"/>
    </row>
    <row r="130" spans="1:3">
      <c r="A130" s="92" t="s">
        <v>3847</v>
      </c>
      <c r="B130" s="80" t="s">
        <v>1225</v>
      </c>
      <c r="C130" s="92"/>
    </row>
    <row r="131" spans="1:3">
      <c r="A131" s="92" t="s">
        <v>3847</v>
      </c>
      <c r="B131" s="80" t="s">
        <v>770</v>
      </c>
      <c r="C131" s="92"/>
    </row>
    <row r="132" spans="1:3">
      <c r="A132" s="92" t="s">
        <v>3847</v>
      </c>
      <c r="B132" s="80" t="s">
        <v>257</v>
      </c>
      <c r="C132" s="92"/>
    </row>
    <row r="133" spans="1:3">
      <c r="A133" s="92" t="s">
        <v>3848</v>
      </c>
      <c r="B133" s="80" t="s">
        <v>3849</v>
      </c>
      <c r="C133" s="92"/>
    </row>
    <row r="134" spans="1:3">
      <c r="A134" s="92" t="s">
        <v>3848</v>
      </c>
      <c r="B134" s="80" t="s">
        <v>3850</v>
      </c>
      <c r="C134" s="92"/>
    </row>
    <row r="135" spans="1:3">
      <c r="A135" s="92" t="s">
        <v>3848</v>
      </c>
      <c r="B135" s="80" t="s">
        <v>3851</v>
      </c>
      <c r="C135" s="92"/>
    </row>
    <row r="136" spans="1:3">
      <c r="A136" s="92" t="s">
        <v>3848</v>
      </c>
      <c r="B136" s="80" t="s">
        <v>3852</v>
      </c>
      <c r="C136" s="92"/>
    </row>
    <row r="137" spans="1:3">
      <c r="A137" s="92" t="s">
        <v>3848</v>
      </c>
      <c r="B137" s="80" t="s">
        <v>3853</v>
      </c>
      <c r="C137" s="92"/>
    </row>
    <row r="138" spans="1:3">
      <c r="A138" s="92" t="s">
        <v>3848</v>
      </c>
      <c r="B138" s="80" t="s">
        <v>842</v>
      </c>
      <c r="C138" s="92"/>
    </row>
    <row r="139" spans="1:3">
      <c r="A139" s="92" t="s">
        <v>3848</v>
      </c>
      <c r="B139" s="80" t="s">
        <v>257</v>
      </c>
      <c r="C139" s="92"/>
    </row>
    <row r="140" spans="1:3">
      <c r="A140" s="92" t="s">
        <v>3854</v>
      </c>
      <c r="B140" s="80" t="s">
        <v>788</v>
      </c>
      <c r="C140" s="92"/>
    </row>
    <row r="141" spans="1:3">
      <c r="A141" s="92" t="s">
        <v>3854</v>
      </c>
      <c r="B141" s="80" t="s">
        <v>850</v>
      </c>
      <c r="C141" s="92"/>
    </row>
    <row r="142" spans="1:3">
      <c r="A142" s="92" t="s">
        <v>3855</v>
      </c>
      <c r="B142" s="80" t="s">
        <v>1114</v>
      </c>
      <c r="C142" s="92"/>
    </row>
    <row r="143" spans="1:3">
      <c r="A143" s="92" t="s">
        <v>3855</v>
      </c>
      <c r="B143" s="80" t="s">
        <v>1427</v>
      </c>
      <c r="C143" s="92"/>
    </row>
    <row r="144" spans="1:3">
      <c r="A144" s="92" t="s">
        <v>3855</v>
      </c>
      <c r="B144" s="80" t="s">
        <v>1043</v>
      </c>
      <c r="C144" s="92"/>
    </row>
    <row r="145" spans="1:3">
      <c r="A145" s="92" t="s">
        <v>3855</v>
      </c>
      <c r="B145" s="80" t="s">
        <v>1450</v>
      </c>
      <c r="C145" s="92"/>
    </row>
    <row r="146" spans="1:3">
      <c r="A146" s="92" t="s">
        <v>3855</v>
      </c>
      <c r="B146" s="80" t="s">
        <v>3856</v>
      </c>
      <c r="C146" s="92"/>
    </row>
    <row r="147" spans="1:3">
      <c r="A147" s="92" t="s">
        <v>3855</v>
      </c>
      <c r="B147" s="80" t="s">
        <v>3857</v>
      </c>
      <c r="C147" s="92"/>
    </row>
    <row r="148" spans="1:3">
      <c r="A148" s="92" t="s">
        <v>3855</v>
      </c>
      <c r="B148" s="80" t="s">
        <v>257</v>
      </c>
      <c r="C148" s="92"/>
    </row>
    <row r="149" spans="1:3">
      <c r="A149" s="92" t="s">
        <v>3858</v>
      </c>
      <c r="B149" s="80" t="s">
        <v>1225</v>
      </c>
      <c r="C149" s="92"/>
    </row>
    <row r="150" spans="1:3">
      <c r="A150" s="92" t="s">
        <v>3858</v>
      </c>
      <c r="B150" s="80" t="s">
        <v>770</v>
      </c>
      <c r="C150" s="92"/>
    </row>
    <row r="151" spans="1:3">
      <c r="A151" s="92" t="s">
        <v>3858</v>
      </c>
      <c r="B151" s="80" t="s">
        <v>257</v>
      </c>
      <c r="C151" s="92"/>
    </row>
    <row r="152" spans="1:3">
      <c r="A152" s="92" t="s">
        <v>3859</v>
      </c>
      <c r="B152" s="80" t="s">
        <v>3849</v>
      </c>
      <c r="C152" s="92"/>
    </row>
    <row r="153" spans="1:3">
      <c r="A153" s="92" t="s">
        <v>3859</v>
      </c>
      <c r="B153" s="80" t="s">
        <v>3850</v>
      </c>
      <c r="C153" s="92"/>
    </row>
    <row r="154" spans="1:3">
      <c r="A154" s="92" t="s">
        <v>3859</v>
      </c>
      <c r="B154" s="80" t="s">
        <v>3851</v>
      </c>
      <c r="C154" s="92"/>
    </row>
    <row r="155" spans="1:3">
      <c r="A155" s="92" t="s">
        <v>3859</v>
      </c>
      <c r="B155" s="80" t="s">
        <v>3852</v>
      </c>
      <c r="C155" s="92"/>
    </row>
    <row r="156" spans="1:3">
      <c r="A156" s="92" t="s">
        <v>3859</v>
      </c>
      <c r="B156" s="80" t="s">
        <v>3853</v>
      </c>
      <c r="C156" s="92"/>
    </row>
    <row r="157" spans="1:3">
      <c r="A157" s="92" t="s">
        <v>3859</v>
      </c>
      <c r="B157" s="80" t="s">
        <v>842</v>
      </c>
      <c r="C157" s="92"/>
    </row>
    <row r="158" spans="1:3">
      <c r="A158" s="92" t="s">
        <v>3859</v>
      </c>
      <c r="B158" s="80" t="s">
        <v>257</v>
      </c>
      <c r="C158" s="92"/>
    </row>
    <row r="159" spans="1:3">
      <c r="A159" s="92" t="s">
        <v>3860</v>
      </c>
      <c r="B159" s="80" t="s">
        <v>788</v>
      </c>
      <c r="C159" s="92"/>
    </row>
    <row r="160" spans="1:3">
      <c r="A160" s="92" t="s">
        <v>3860</v>
      </c>
      <c r="B160" s="80" t="s">
        <v>850</v>
      </c>
      <c r="C160" s="92"/>
    </row>
    <row r="161" spans="1:3">
      <c r="A161" s="92" t="s">
        <v>3861</v>
      </c>
      <c r="B161" s="80" t="s">
        <v>1293</v>
      </c>
      <c r="C161" s="80"/>
    </row>
    <row r="162" spans="1:3">
      <c r="A162" s="92" t="s">
        <v>3861</v>
      </c>
      <c r="B162" s="80" t="s">
        <v>1329</v>
      </c>
      <c r="C162" s="80"/>
    </row>
    <row r="163" spans="1:3">
      <c r="A163" s="92" t="s">
        <v>3861</v>
      </c>
      <c r="B163" s="80" t="s">
        <v>1257</v>
      </c>
      <c r="C163" s="80"/>
    </row>
    <row r="164" spans="1:3">
      <c r="A164" s="92" t="s">
        <v>3861</v>
      </c>
      <c r="B164" s="80" t="s">
        <v>3862</v>
      </c>
      <c r="C164" s="80"/>
    </row>
    <row r="165" spans="1:3">
      <c r="A165" s="92" t="s">
        <v>3861</v>
      </c>
      <c r="B165" s="80" t="s">
        <v>257</v>
      </c>
      <c r="C165" s="80"/>
    </row>
    <row r="166" spans="1:3">
      <c r="A166" s="92" t="s">
        <v>3863</v>
      </c>
      <c r="B166" s="80" t="s">
        <v>1225</v>
      </c>
      <c r="C166" s="80"/>
    </row>
    <row r="167" spans="1:3">
      <c r="A167" s="92" t="s">
        <v>3863</v>
      </c>
      <c r="B167" s="80" t="s">
        <v>770</v>
      </c>
      <c r="C167" s="80"/>
    </row>
    <row r="168" spans="1:3">
      <c r="A168" s="92" t="s">
        <v>3863</v>
      </c>
      <c r="B168" s="80" t="s">
        <v>257</v>
      </c>
      <c r="C168" s="80"/>
    </row>
    <row r="169" spans="1:3">
      <c r="A169" s="92" t="s">
        <v>3864</v>
      </c>
      <c r="B169" s="80" t="s">
        <v>3849</v>
      </c>
      <c r="C169" s="80"/>
    </row>
    <row r="170" spans="1:3">
      <c r="A170" s="92" t="s">
        <v>3864</v>
      </c>
      <c r="B170" s="80" t="s">
        <v>3850</v>
      </c>
      <c r="C170" s="80"/>
    </row>
    <row r="171" spans="1:3">
      <c r="A171" s="92" t="s">
        <v>3864</v>
      </c>
      <c r="B171" s="80" t="s">
        <v>3851</v>
      </c>
      <c r="C171" s="80"/>
    </row>
    <row r="172" spans="1:3">
      <c r="A172" s="92" t="s">
        <v>3864</v>
      </c>
      <c r="B172" s="80" t="s">
        <v>3852</v>
      </c>
      <c r="C172" s="80"/>
    </row>
    <row r="173" spans="1:3">
      <c r="A173" s="92" t="s">
        <v>3864</v>
      </c>
      <c r="B173" s="80" t="s">
        <v>3853</v>
      </c>
      <c r="C173" s="80"/>
    </row>
    <row r="174" spans="1:3">
      <c r="A174" s="92" t="s">
        <v>3864</v>
      </c>
      <c r="B174" s="80" t="s">
        <v>842</v>
      </c>
      <c r="C174" s="80"/>
    </row>
    <row r="175" spans="1:3">
      <c r="A175" s="92" t="s">
        <v>3864</v>
      </c>
      <c r="B175" s="80" t="s">
        <v>257</v>
      </c>
      <c r="C175" s="80"/>
    </row>
    <row r="176" spans="1:3">
      <c r="A176" s="167" t="s">
        <v>3865</v>
      </c>
      <c r="B176" s="168" t="s">
        <v>3866</v>
      </c>
      <c r="C176" s="80"/>
    </row>
    <row r="177" spans="1:3">
      <c r="A177" s="167" t="s">
        <v>3865</v>
      </c>
      <c r="B177" s="168" t="s">
        <v>3867</v>
      </c>
      <c r="C177" s="80"/>
    </row>
    <row r="178" spans="1:3">
      <c r="A178" s="167" t="s">
        <v>3865</v>
      </c>
      <c r="B178" s="168" t="s">
        <v>3868</v>
      </c>
      <c r="C178" s="80"/>
    </row>
    <row r="179" spans="1:3">
      <c r="A179" s="167" t="s">
        <v>3865</v>
      </c>
      <c r="B179" s="168" t="s">
        <v>3869</v>
      </c>
      <c r="C179" s="80"/>
    </row>
    <row r="180" spans="1:3">
      <c r="A180" s="167" t="s">
        <v>3865</v>
      </c>
      <c r="B180" s="168" t="s">
        <v>257</v>
      </c>
      <c r="C180" s="80"/>
    </row>
    <row r="181" spans="1:3">
      <c r="A181" s="92" t="s">
        <v>3870</v>
      </c>
      <c r="B181" s="80" t="s">
        <v>1114</v>
      </c>
      <c r="C181" s="80"/>
    </row>
    <row r="182" spans="1:3">
      <c r="A182" s="92" t="s">
        <v>3870</v>
      </c>
      <c r="B182" s="80" t="s">
        <v>1427</v>
      </c>
      <c r="C182" s="80"/>
    </row>
    <row r="183" spans="1:3">
      <c r="A183" s="92" t="s">
        <v>3870</v>
      </c>
      <c r="B183" s="80" t="s">
        <v>1043</v>
      </c>
      <c r="C183" s="80"/>
    </row>
    <row r="184" spans="1:3">
      <c r="A184" s="92" t="s">
        <v>3870</v>
      </c>
      <c r="B184" s="80" t="s">
        <v>1450</v>
      </c>
      <c r="C184" s="80"/>
    </row>
    <row r="185" spans="1:3">
      <c r="A185" s="92" t="s">
        <v>3870</v>
      </c>
      <c r="B185" s="80" t="s">
        <v>1415</v>
      </c>
      <c r="C185" s="80"/>
    </row>
    <row r="186" spans="1:3">
      <c r="A186" s="92" t="s">
        <v>3870</v>
      </c>
      <c r="B186" s="80" t="s">
        <v>257</v>
      </c>
      <c r="C186" s="80"/>
    </row>
    <row r="187" spans="1:3">
      <c r="A187" s="92" t="s">
        <v>3871</v>
      </c>
      <c r="B187" s="80" t="s">
        <v>1225</v>
      </c>
      <c r="C187" s="80"/>
    </row>
    <row r="188" spans="1:3">
      <c r="A188" s="92" t="s">
        <v>3871</v>
      </c>
      <c r="B188" s="80" t="s">
        <v>770</v>
      </c>
      <c r="C188" s="80"/>
    </row>
    <row r="189" spans="1:3">
      <c r="A189" s="92" t="s">
        <v>3871</v>
      </c>
      <c r="B189" s="80" t="s">
        <v>257</v>
      </c>
      <c r="C189" s="80"/>
    </row>
    <row r="190" spans="1:3" ht="31">
      <c r="A190" s="167" t="s">
        <v>3491</v>
      </c>
      <c r="B190" s="168" t="s">
        <v>3872</v>
      </c>
      <c r="C190" s="168"/>
    </row>
    <row r="191" spans="1:3" ht="31">
      <c r="A191" s="167" t="s">
        <v>3491</v>
      </c>
      <c r="B191" s="168" t="s">
        <v>3873</v>
      </c>
      <c r="C191" s="168"/>
    </row>
    <row r="192" spans="1:3" ht="31">
      <c r="A192" s="167" t="s">
        <v>3492</v>
      </c>
      <c r="B192" s="168" t="s">
        <v>3874</v>
      </c>
      <c r="C192" s="168"/>
    </row>
    <row r="193" spans="1:3" ht="31">
      <c r="A193" s="167" t="s">
        <v>3492</v>
      </c>
      <c r="B193" s="168" t="s">
        <v>3875</v>
      </c>
      <c r="C193" s="168"/>
    </row>
    <row r="194" spans="1:3" ht="46.5">
      <c r="A194" s="92" t="s">
        <v>3025</v>
      </c>
      <c r="B194" s="80" t="s">
        <v>3876</v>
      </c>
      <c r="C194" s="80"/>
    </row>
    <row r="195" spans="1:3" ht="46.5">
      <c r="A195" s="92" t="s">
        <v>3025</v>
      </c>
      <c r="B195" s="80" t="s">
        <v>135</v>
      </c>
      <c r="C195" s="80"/>
    </row>
    <row r="196" spans="1:3" ht="31">
      <c r="A196" s="92" t="s">
        <v>3130</v>
      </c>
      <c r="B196" s="80" t="s">
        <v>280</v>
      </c>
      <c r="C196" s="80"/>
    </row>
    <row r="197" spans="1:3" ht="46.5">
      <c r="A197" s="92" t="s">
        <v>3130</v>
      </c>
      <c r="B197" s="80" t="s">
        <v>3877</v>
      </c>
      <c r="C197" s="80"/>
    </row>
    <row r="198" spans="1:3" ht="31">
      <c r="A198" s="92" t="s">
        <v>3136</v>
      </c>
      <c r="B198" s="80" t="s">
        <v>3878</v>
      </c>
      <c r="C198" s="80"/>
    </row>
    <row r="199" spans="1:3" ht="31">
      <c r="A199" s="92" t="s">
        <v>3136</v>
      </c>
      <c r="B199" s="80" t="s">
        <v>288</v>
      </c>
      <c r="C199" s="80"/>
    </row>
    <row r="200" spans="1:3" ht="31">
      <c r="A200" s="92" t="s">
        <v>3137</v>
      </c>
      <c r="B200" s="80" t="s">
        <v>290</v>
      </c>
      <c r="C200" s="80"/>
    </row>
    <row r="201" spans="1:3" ht="31">
      <c r="A201" s="92" t="s">
        <v>3137</v>
      </c>
      <c r="B201" s="80" t="s">
        <v>3879</v>
      </c>
      <c r="C201" s="80"/>
    </row>
    <row r="202" spans="1:3" ht="31">
      <c r="A202" s="92" t="s">
        <v>3138</v>
      </c>
      <c r="B202" s="80" t="s">
        <v>292</v>
      </c>
      <c r="C202" s="80"/>
    </row>
    <row r="203" spans="1:3" ht="31">
      <c r="A203" s="92" t="s">
        <v>3138</v>
      </c>
      <c r="B203" s="80" t="s">
        <v>3880</v>
      </c>
      <c r="C203" s="80"/>
    </row>
    <row r="204" spans="1:3">
      <c r="A204" s="92" t="s">
        <v>3865</v>
      </c>
      <c r="B204" s="80" t="s">
        <v>788</v>
      </c>
      <c r="C204" s="80"/>
    </row>
    <row r="205" spans="1:3">
      <c r="A205" s="92" t="s">
        <v>3865</v>
      </c>
      <c r="B205" s="80" t="s">
        <v>850</v>
      </c>
      <c r="C205" s="80"/>
    </row>
    <row r="206" spans="1:3">
      <c r="A206" s="92" t="s">
        <v>3881</v>
      </c>
      <c r="B206" s="80" t="s">
        <v>580</v>
      </c>
      <c r="C206" s="80"/>
    </row>
    <row r="207" spans="1:3">
      <c r="A207" s="92" t="s">
        <v>3881</v>
      </c>
      <c r="B207" s="80" t="s">
        <v>3882</v>
      </c>
      <c r="C207" s="80"/>
    </row>
    <row r="208" spans="1:3">
      <c r="A208" s="92" t="s">
        <v>3881</v>
      </c>
      <c r="B208" s="80" t="s">
        <v>3883</v>
      </c>
      <c r="C208" s="80"/>
    </row>
    <row r="209" spans="1:3">
      <c r="A209" s="92" t="s">
        <v>3881</v>
      </c>
      <c r="B209" s="80" t="s">
        <v>3884</v>
      </c>
      <c r="C209" s="80"/>
    </row>
    <row r="210" spans="1:3">
      <c r="A210" s="92" t="s">
        <v>3881</v>
      </c>
      <c r="B210" s="80" t="s">
        <v>3885</v>
      </c>
      <c r="C210" s="80"/>
    </row>
    <row r="211" spans="1:3">
      <c r="A211" s="92" t="s">
        <v>3881</v>
      </c>
      <c r="B211" s="80" t="s">
        <v>3886</v>
      </c>
      <c r="C211" s="80"/>
    </row>
    <row r="212" spans="1:3">
      <c r="A212" s="92" t="s">
        <v>3881</v>
      </c>
      <c r="B212" s="80" t="s">
        <v>3887</v>
      </c>
      <c r="C212" s="80"/>
    </row>
    <row r="213" spans="1:3">
      <c r="A213" s="92" t="s">
        <v>3881</v>
      </c>
      <c r="B213" s="80" t="s">
        <v>3888</v>
      </c>
      <c r="C213" s="80"/>
    </row>
    <row r="214" spans="1:3">
      <c r="A214" s="92" t="s">
        <v>3881</v>
      </c>
      <c r="B214" s="80" t="s">
        <v>3889</v>
      </c>
      <c r="C214" s="80"/>
    </row>
    <row r="215" spans="1:3">
      <c r="A215" s="92" t="s">
        <v>3881</v>
      </c>
      <c r="B215" s="80" t="s">
        <v>3890</v>
      </c>
      <c r="C215" s="80"/>
    </row>
    <row r="216" spans="1:3">
      <c r="A216" s="92" t="s">
        <v>3881</v>
      </c>
      <c r="B216" s="80" t="s">
        <v>3891</v>
      </c>
      <c r="C216" s="80"/>
    </row>
    <row r="217" spans="1:3">
      <c r="A217" s="92" t="s">
        <v>3881</v>
      </c>
      <c r="B217" s="80" t="s">
        <v>557</v>
      </c>
      <c r="C217" s="80"/>
    </row>
    <row r="218" spans="1:3">
      <c r="A218" s="92" t="s">
        <v>3881</v>
      </c>
      <c r="B218" s="80" t="s">
        <v>3892</v>
      </c>
      <c r="C218" s="80"/>
    </row>
    <row r="219" spans="1:3">
      <c r="A219" s="92" t="s">
        <v>3881</v>
      </c>
      <c r="B219" s="80" t="s">
        <v>3893</v>
      </c>
      <c r="C219" s="80"/>
    </row>
    <row r="220" spans="1:3">
      <c r="A220" s="92" t="s">
        <v>3881</v>
      </c>
      <c r="B220" s="80" t="s">
        <v>3894</v>
      </c>
      <c r="C220" s="80"/>
    </row>
    <row r="221" spans="1:3">
      <c r="A221" s="92" t="s">
        <v>3881</v>
      </c>
      <c r="B221" s="80" t="s">
        <v>3895</v>
      </c>
      <c r="C221" s="80"/>
    </row>
    <row r="222" spans="1:3">
      <c r="A222" s="92" t="s">
        <v>3881</v>
      </c>
      <c r="B222" s="80" t="s">
        <v>3896</v>
      </c>
      <c r="C222" s="80"/>
    </row>
    <row r="223" spans="1:3">
      <c r="A223" s="92" t="s">
        <v>3881</v>
      </c>
      <c r="B223" s="80" t="s">
        <v>3897</v>
      </c>
      <c r="C223" s="80"/>
    </row>
    <row r="224" spans="1:3">
      <c r="A224" s="92" t="s">
        <v>3881</v>
      </c>
      <c r="B224" s="80" t="s">
        <v>3898</v>
      </c>
      <c r="C224" s="80"/>
    </row>
    <row r="225" spans="1:3">
      <c r="A225" s="92" t="s">
        <v>3881</v>
      </c>
      <c r="B225" s="80" t="s">
        <v>3899</v>
      </c>
      <c r="C225" s="80"/>
    </row>
    <row r="226" spans="1:3">
      <c r="A226" s="92" t="s">
        <v>3881</v>
      </c>
      <c r="B226" s="80" t="s">
        <v>3900</v>
      </c>
      <c r="C226" s="80"/>
    </row>
    <row r="227" spans="1:3">
      <c r="A227" s="92" t="s">
        <v>3881</v>
      </c>
      <c r="B227" s="80" t="s">
        <v>3901</v>
      </c>
      <c r="C227" s="80"/>
    </row>
    <row r="228" spans="1:3">
      <c r="A228" s="92" t="s">
        <v>3881</v>
      </c>
      <c r="B228" s="80" t="s">
        <v>3902</v>
      </c>
      <c r="C228" s="80"/>
    </row>
    <row r="229" spans="1:3">
      <c r="A229" s="92" t="s">
        <v>3881</v>
      </c>
      <c r="B229" s="80" t="s">
        <v>3903</v>
      </c>
      <c r="C229" s="80"/>
    </row>
    <row r="230" spans="1:3">
      <c r="A230" s="92" t="s">
        <v>3881</v>
      </c>
      <c r="B230" s="80" t="s">
        <v>3904</v>
      </c>
      <c r="C230" s="80"/>
    </row>
    <row r="231" spans="1:3">
      <c r="A231" s="92" t="s">
        <v>3881</v>
      </c>
      <c r="B231" s="80" t="s">
        <v>3905</v>
      </c>
      <c r="C231" s="80"/>
    </row>
    <row r="232" spans="1:3">
      <c r="A232" s="92" t="s">
        <v>3881</v>
      </c>
      <c r="B232" s="80" t="s">
        <v>3906</v>
      </c>
      <c r="C232" s="80"/>
    </row>
    <row r="233" spans="1:3">
      <c r="A233" s="92" t="s">
        <v>3881</v>
      </c>
      <c r="B233" s="80" t="s">
        <v>3907</v>
      </c>
      <c r="C233" s="80"/>
    </row>
    <row r="234" spans="1:3">
      <c r="A234" s="92" t="s">
        <v>3881</v>
      </c>
      <c r="B234" s="80" t="s">
        <v>3908</v>
      </c>
      <c r="C234" s="80"/>
    </row>
    <row r="235" spans="1:3">
      <c r="A235" s="92" t="s">
        <v>3881</v>
      </c>
      <c r="B235" s="80" t="s">
        <v>3909</v>
      </c>
      <c r="C235" s="80"/>
    </row>
    <row r="236" spans="1:3">
      <c r="A236" s="92" t="s">
        <v>3881</v>
      </c>
      <c r="B236" s="80" t="s">
        <v>3910</v>
      </c>
      <c r="C236" s="80"/>
    </row>
    <row r="237" spans="1:3">
      <c r="A237" s="92" t="s">
        <v>3881</v>
      </c>
      <c r="B237" s="80" t="s">
        <v>3911</v>
      </c>
      <c r="C237" s="80"/>
    </row>
    <row r="238" spans="1:3">
      <c r="A238" s="92" t="s">
        <v>3881</v>
      </c>
      <c r="B238" s="80" t="s">
        <v>3912</v>
      </c>
      <c r="C238" s="80"/>
    </row>
    <row r="239" spans="1:3">
      <c r="A239" s="92" t="s">
        <v>3881</v>
      </c>
      <c r="B239" s="80" t="s">
        <v>3913</v>
      </c>
      <c r="C239" s="80"/>
    </row>
    <row r="240" spans="1:3">
      <c r="A240" s="92" t="s">
        <v>3881</v>
      </c>
      <c r="B240" s="80" t="s">
        <v>3914</v>
      </c>
      <c r="C240" s="80"/>
    </row>
    <row r="241" spans="1:3">
      <c r="A241" s="92" t="s">
        <v>3881</v>
      </c>
      <c r="B241" s="80" t="s">
        <v>3915</v>
      </c>
      <c r="C241" s="80"/>
    </row>
    <row r="242" spans="1:3">
      <c r="A242" s="92" t="s">
        <v>3881</v>
      </c>
      <c r="B242" s="80" t="s">
        <v>3916</v>
      </c>
      <c r="C242" s="80"/>
    </row>
    <row r="243" spans="1:3">
      <c r="A243" s="92" t="s">
        <v>3881</v>
      </c>
      <c r="B243" s="80" t="s">
        <v>3917</v>
      </c>
      <c r="C243" s="80"/>
    </row>
    <row r="244" spans="1:3">
      <c r="A244" s="92" t="s">
        <v>3881</v>
      </c>
      <c r="B244" s="80" t="s">
        <v>3918</v>
      </c>
      <c r="C244" s="80"/>
    </row>
    <row r="245" spans="1:3">
      <c r="A245" s="92" t="s">
        <v>3881</v>
      </c>
      <c r="B245" s="80" t="s">
        <v>3919</v>
      </c>
      <c r="C245" s="80"/>
    </row>
    <row r="246" spans="1:3">
      <c r="A246" s="92" t="s">
        <v>3881</v>
      </c>
      <c r="B246" s="80" t="s">
        <v>3920</v>
      </c>
      <c r="C246" s="80"/>
    </row>
    <row r="247" spans="1:3">
      <c r="A247" s="92" t="s">
        <v>3881</v>
      </c>
      <c r="B247" s="80" t="s">
        <v>3921</v>
      </c>
      <c r="C247" s="80"/>
    </row>
    <row r="248" spans="1:3">
      <c r="A248" s="92" t="s">
        <v>3881</v>
      </c>
      <c r="B248" s="80" t="s">
        <v>3922</v>
      </c>
      <c r="C248" s="80"/>
    </row>
    <row r="249" spans="1:3">
      <c r="A249" s="92" t="s">
        <v>3881</v>
      </c>
      <c r="B249" s="80" t="s">
        <v>3923</v>
      </c>
      <c r="C249" s="80"/>
    </row>
    <row r="250" spans="1:3">
      <c r="A250" s="92" t="s">
        <v>3881</v>
      </c>
      <c r="B250" s="80" t="s">
        <v>3924</v>
      </c>
      <c r="C250" s="80"/>
    </row>
    <row r="251" spans="1:3">
      <c r="A251" s="92" t="s">
        <v>3881</v>
      </c>
      <c r="B251" s="80" t="s">
        <v>3925</v>
      </c>
      <c r="C251" s="80"/>
    </row>
    <row r="252" spans="1:3">
      <c r="A252" s="92" t="s">
        <v>3881</v>
      </c>
      <c r="B252" s="80" t="s">
        <v>3926</v>
      </c>
      <c r="C252" s="80"/>
    </row>
    <row r="253" spans="1:3">
      <c r="A253" s="92" t="s">
        <v>3881</v>
      </c>
      <c r="B253" s="80" t="s">
        <v>3927</v>
      </c>
      <c r="C253" s="80"/>
    </row>
    <row r="254" spans="1:3">
      <c r="A254" s="92" t="s">
        <v>3881</v>
      </c>
      <c r="B254" s="80" t="s">
        <v>3928</v>
      </c>
      <c r="C254" s="80"/>
    </row>
    <row r="255" spans="1:3">
      <c r="A255" s="92" t="s">
        <v>3881</v>
      </c>
      <c r="B255" s="80" t="s">
        <v>3929</v>
      </c>
      <c r="C255" s="80"/>
    </row>
    <row r="256" spans="1:3">
      <c r="A256" s="92" t="s">
        <v>3881</v>
      </c>
      <c r="B256" s="80" t="s">
        <v>3930</v>
      </c>
      <c r="C256" s="80"/>
    </row>
    <row r="257" spans="1:3">
      <c r="A257" s="92" t="s">
        <v>3881</v>
      </c>
      <c r="B257" s="80" t="s">
        <v>3931</v>
      </c>
      <c r="C257" s="80"/>
    </row>
    <row r="258" spans="1:3">
      <c r="A258" s="92" t="s">
        <v>3881</v>
      </c>
      <c r="B258" s="80" t="s">
        <v>3932</v>
      </c>
      <c r="C258" s="80"/>
    </row>
    <row r="259" spans="1:3">
      <c r="A259" s="92" t="s">
        <v>3881</v>
      </c>
      <c r="B259" s="80" t="s">
        <v>3933</v>
      </c>
      <c r="C259" s="80"/>
    </row>
    <row r="260" spans="1:3">
      <c r="A260" s="92" t="s">
        <v>3881</v>
      </c>
      <c r="B260" s="80" t="s">
        <v>3934</v>
      </c>
      <c r="C260" s="80"/>
    </row>
    <row r="261" spans="1:3">
      <c r="A261" s="92" t="s">
        <v>3881</v>
      </c>
      <c r="B261" s="80" t="s">
        <v>3935</v>
      </c>
      <c r="C261" s="80"/>
    </row>
    <row r="262" spans="1:3">
      <c r="A262" s="92" t="s">
        <v>3881</v>
      </c>
      <c r="B262" s="80" t="s">
        <v>3936</v>
      </c>
      <c r="C262" s="80"/>
    </row>
    <row r="263" spans="1:3">
      <c r="A263" s="92" t="s">
        <v>3881</v>
      </c>
      <c r="B263" s="80" t="s">
        <v>3937</v>
      </c>
      <c r="C263" s="80"/>
    </row>
    <row r="264" spans="1:3">
      <c r="A264" s="92" t="s">
        <v>3881</v>
      </c>
      <c r="B264" s="80" t="s">
        <v>3938</v>
      </c>
      <c r="C264" s="80"/>
    </row>
    <row r="265" spans="1:3">
      <c r="A265" s="92" t="s">
        <v>3881</v>
      </c>
      <c r="B265" s="80" t="s">
        <v>3939</v>
      </c>
      <c r="C265" s="80"/>
    </row>
    <row r="266" spans="1:3">
      <c r="A266" s="92" t="s">
        <v>3881</v>
      </c>
      <c r="B266" s="80" t="s">
        <v>3940</v>
      </c>
      <c r="C266" s="80"/>
    </row>
    <row r="267" spans="1:3">
      <c r="A267" s="92" t="s">
        <v>3881</v>
      </c>
      <c r="B267" s="80" t="s">
        <v>3941</v>
      </c>
      <c r="C267" s="80"/>
    </row>
    <row r="268" spans="1:3">
      <c r="A268" s="92" t="s">
        <v>3881</v>
      </c>
      <c r="B268" s="80" t="s">
        <v>3942</v>
      </c>
      <c r="C268" s="80"/>
    </row>
    <row r="269" spans="1:3">
      <c r="A269" s="92" t="s">
        <v>3881</v>
      </c>
      <c r="B269" s="80" t="s">
        <v>3943</v>
      </c>
      <c r="C269" s="80"/>
    </row>
    <row r="270" spans="1:3">
      <c r="A270" s="92" t="s">
        <v>3881</v>
      </c>
      <c r="B270" s="80" t="s">
        <v>3944</v>
      </c>
      <c r="C270" s="80"/>
    </row>
    <row r="271" spans="1:3">
      <c r="A271" s="92" t="s">
        <v>3881</v>
      </c>
      <c r="B271" s="80" t="s">
        <v>3945</v>
      </c>
      <c r="C271" s="80"/>
    </row>
    <row r="272" spans="1:3">
      <c r="A272" s="92" t="s">
        <v>3881</v>
      </c>
      <c r="B272" s="80" t="s">
        <v>3946</v>
      </c>
      <c r="C272" s="80"/>
    </row>
    <row r="273" spans="1:3">
      <c r="A273" s="92" t="s">
        <v>3881</v>
      </c>
      <c r="B273" s="80" t="s">
        <v>3947</v>
      </c>
      <c r="C273" s="80"/>
    </row>
    <row r="274" spans="1:3">
      <c r="A274" s="92" t="s">
        <v>3881</v>
      </c>
      <c r="B274" s="80" t="s">
        <v>3948</v>
      </c>
      <c r="C274" s="80"/>
    </row>
    <row r="275" spans="1:3">
      <c r="A275" s="92" t="s">
        <v>3881</v>
      </c>
      <c r="B275" s="80" t="s">
        <v>3949</v>
      </c>
      <c r="C275" s="80"/>
    </row>
    <row r="276" spans="1:3">
      <c r="A276" s="92" t="s">
        <v>3881</v>
      </c>
      <c r="B276" s="80" t="s">
        <v>3950</v>
      </c>
      <c r="C276" s="80"/>
    </row>
    <row r="277" spans="1:3">
      <c r="A277" s="92" t="s">
        <v>3881</v>
      </c>
      <c r="B277" s="80" t="s">
        <v>3951</v>
      </c>
      <c r="C277" s="80"/>
    </row>
    <row r="278" spans="1:3">
      <c r="A278" s="92" t="s">
        <v>3881</v>
      </c>
      <c r="B278" s="80" t="s">
        <v>3952</v>
      </c>
      <c r="C278" s="80"/>
    </row>
    <row r="279" spans="1:3">
      <c r="A279" s="92" t="s">
        <v>3881</v>
      </c>
      <c r="B279" s="80" t="s">
        <v>3953</v>
      </c>
      <c r="C279" s="80"/>
    </row>
    <row r="280" spans="1:3">
      <c r="A280" s="92" t="s">
        <v>3881</v>
      </c>
      <c r="B280" s="80" t="s">
        <v>3954</v>
      </c>
      <c r="C280" s="80"/>
    </row>
    <row r="281" spans="1:3">
      <c r="A281" s="92" t="s">
        <v>3881</v>
      </c>
      <c r="B281" s="80" t="s">
        <v>3955</v>
      </c>
      <c r="C281" s="80"/>
    </row>
    <row r="282" spans="1:3">
      <c r="A282" s="92" t="s">
        <v>3881</v>
      </c>
      <c r="B282" s="80" t="s">
        <v>3956</v>
      </c>
      <c r="C282" s="80"/>
    </row>
    <row r="283" spans="1:3">
      <c r="A283" s="92" t="s">
        <v>3881</v>
      </c>
      <c r="B283" s="80" t="s">
        <v>3957</v>
      </c>
      <c r="C283" s="80"/>
    </row>
    <row r="284" spans="1:3">
      <c r="A284" s="92" t="s">
        <v>3881</v>
      </c>
      <c r="B284" s="80" t="s">
        <v>3958</v>
      </c>
      <c r="C284" s="80"/>
    </row>
    <row r="285" spans="1:3">
      <c r="A285" s="92" t="s">
        <v>3881</v>
      </c>
      <c r="B285" s="80" t="s">
        <v>3959</v>
      </c>
      <c r="C285" s="80"/>
    </row>
    <row r="286" spans="1:3">
      <c r="A286" s="92" t="s">
        <v>3881</v>
      </c>
      <c r="B286" s="80" t="s">
        <v>3960</v>
      </c>
      <c r="C286" s="80"/>
    </row>
    <row r="287" spans="1:3">
      <c r="A287" s="92" t="s">
        <v>3881</v>
      </c>
      <c r="B287" s="80" t="s">
        <v>3961</v>
      </c>
      <c r="C287" s="80"/>
    </row>
    <row r="288" spans="1:3">
      <c r="A288" s="92" t="s">
        <v>3881</v>
      </c>
      <c r="B288" s="80" t="s">
        <v>3962</v>
      </c>
      <c r="C288" s="80"/>
    </row>
    <row r="289" spans="1:3">
      <c r="A289" s="92" t="s">
        <v>3881</v>
      </c>
      <c r="B289" s="80" t="s">
        <v>3963</v>
      </c>
      <c r="C289" s="80"/>
    </row>
    <row r="290" spans="1:3">
      <c r="A290" s="92" t="s">
        <v>3881</v>
      </c>
      <c r="B290" s="80" t="s">
        <v>3964</v>
      </c>
      <c r="C290" s="80"/>
    </row>
    <row r="291" spans="1:3">
      <c r="A291" s="92" t="s">
        <v>3881</v>
      </c>
      <c r="B291" s="80" t="s">
        <v>3965</v>
      </c>
      <c r="C291" s="80"/>
    </row>
    <row r="292" spans="1:3">
      <c r="A292" s="92" t="s">
        <v>3881</v>
      </c>
      <c r="B292" s="80" t="s">
        <v>3966</v>
      </c>
      <c r="C292" s="80"/>
    </row>
    <row r="293" spans="1:3">
      <c r="A293" s="92" t="s">
        <v>3881</v>
      </c>
      <c r="B293" s="80" t="s">
        <v>3967</v>
      </c>
      <c r="C293" s="80"/>
    </row>
    <row r="294" spans="1:3">
      <c r="A294" s="92" t="s">
        <v>3881</v>
      </c>
      <c r="B294" s="80" t="s">
        <v>3968</v>
      </c>
      <c r="C294" s="80"/>
    </row>
    <row r="295" spans="1:3">
      <c r="A295" s="92" t="s">
        <v>3881</v>
      </c>
      <c r="B295" s="80" t="s">
        <v>3969</v>
      </c>
      <c r="C295" s="80"/>
    </row>
    <row r="296" spans="1:3">
      <c r="A296" s="92" t="s">
        <v>3881</v>
      </c>
      <c r="B296" s="80" t="s">
        <v>3970</v>
      </c>
      <c r="C296" s="80"/>
    </row>
    <row r="297" spans="1:3">
      <c r="A297" s="92" t="s">
        <v>3881</v>
      </c>
      <c r="B297" s="80" t="s">
        <v>3971</v>
      </c>
      <c r="C297" s="80"/>
    </row>
    <row r="298" spans="1:3">
      <c r="A298" s="92" t="s">
        <v>3881</v>
      </c>
      <c r="B298" s="80" t="s">
        <v>3972</v>
      </c>
      <c r="C298" s="80"/>
    </row>
    <row r="299" spans="1:3">
      <c r="A299" s="92" t="s">
        <v>3881</v>
      </c>
      <c r="B299" s="80" t="s">
        <v>3973</v>
      </c>
      <c r="C299" s="80"/>
    </row>
    <row r="300" spans="1:3">
      <c r="A300" s="92" t="s">
        <v>3881</v>
      </c>
      <c r="B300" s="80" t="s">
        <v>3974</v>
      </c>
      <c r="C300" s="80"/>
    </row>
    <row r="301" spans="1:3">
      <c r="A301" s="92" t="s">
        <v>3881</v>
      </c>
      <c r="B301" s="80" t="s">
        <v>3975</v>
      </c>
      <c r="C301" s="80"/>
    </row>
    <row r="302" spans="1:3">
      <c r="A302" s="92" t="s">
        <v>3881</v>
      </c>
      <c r="B302" s="80" t="s">
        <v>3976</v>
      </c>
      <c r="C302" s="80"/>
    </row>
    <row r="303" spans="1:3">
      <c r="A303" s="92" t="s">
        <v>3881</v>
      </c>
      <c r="B303" s="80" t="s">
        <v>3977</v>
      </c>
      <c r="C303" s="80"/>
    </row>
    <row r="304" spans="1:3">
      <c r="A304" s="92" t="s">
        <v>3881</v>
      </c>
      <c r="B304" s="80" t="s">
        <v>3978</v>
      </c>
      <c r="C304" s="80"/>
    </row>
    <row r="305" spans="1:3">
      <c r="A305" s="92" t="s">
        <v>3881</v>
      </c>
      <c r="B305" s="80" t="s">
        <v>3979</v>
      </c>
      <c r="C305" s="80"/>
    </row>
    <row r="306" spans="1:3">
      <c r="A306" s="92" t="s">
        <v>3881</v>
      </c>
      <c r="B306" s="80" t="s">
        <v>3980</v>
      </c>
      <c r="C306" s="80"/>
    </row>
    <row r="307" spans="1:3">
      <c r="A307" s="92" t="s">
        <v>3881</v>
      </c>
      <c r="B307" s="80" t="s">
        <v>3981</v>
      </c>
      <c r="C307" s="80"/>
    </row>
    <row r="308" spans="1:3">
      <c r="A308" s="92" t="s">
        <v>3881</v>
      </c>
      <c r="B308" s="80" t="s">
        <v>3982</v>
      </c>
      <c r="C308" s="80"/>
    </row>
    <row r="309" spans="1:3">
      <c r="A309" s="92" t="s">
        <v>3881</v>
      </c>
      <c r="B309" s="80" t="s">
        <v>3983</v>
      </c>
      <c r="C309" s="80"/>
    </row>
    <row r="310" spans="1:3">
      <c r="A310" s="92" t="s">
        <v>3881</v>
      </c>
      <c r="B310" s="80" t="s">
        <v>3984</v>
      </c>
      <c r="C310" s="80"/>
    </row>
    <row r="311" spans="1:3">
      <c r="A311" s="92" t="s">
        <v>3881</v>
      </c>
      <c r="B311" s="80" t="s">
        <v>3985</v>
      </c>
      <c r="C311" s="80"/>
    </row>
    <row r="312" spans="1:3">
      <c r="A312" s="92" t="s">
        <v>3881</v>
      </c>
      <c r="B312" s="80" t="s">
        <v>3986</v>
      </c>
      <c r="C312" s="80"/>
    </row>
    <row r="313" spans="1:3">
      <c r="A313" s="92" t="s">
        <v>3881</v>
      </c>
      <c r="B313" s="80" t="s">
        <v>3987</v>
      </c>
      <c r="C313" s="80"/>
    </row>
    <row r="314" spans="1:3">
      <c r="A314" s="92" t="s">
        <v>3881</v>
      </c>
      <c r="B314" s="80" t="s">
        <v>3988</v>
      </c>
      <c r="C314" s="80"/>
    </row>
    <row r="315" spans="1:3">
      <c r="A315" s="92" t="s">
        <v>3881</v>
      </c>
      <c r="B315" s="80" t="s">
        <v>3989</v>
      </c>
      <c r="C315" s="80"/>
    </row>
    <row r="316" spans="1:3">
      <c r="A316" s="92" t="s">
        <v>3881</v>
      </c>
      <c r="B316" s="80" t="s">
        <v>3990</v>
      </c>
      <c r="C316" s="80"/>
    </row>
    <row r="317" spans="1:3">
      <c r="A317" s="92" t="s">
        <v>3881</v>
      </c>
      <c r="B317" s="80" t="s">
        <v>3991</v>
      </c>
      <c r="C317" s="80"/>
    </row>
    <row r="318" spans="1:3">
      <c r="A318" s="92" t="s">
        <v>3881</v>
      </c>
      <c r="B318" s="80" t="s">
        <v>3992</v>
      </c>
      <c r="C318" s="80"/>
    </row>
    <row r="319" spans="1:3">
      <c r="A319" s="92" t="s">
        <v>3881</v>
      </c>
      <c r="B319" s="80" t="s">
        <v>3993</v>
      </c>
      <c r="C319" s="80"/>
    </row>
    <row r="320" spans="1:3">
      <c r="A320" s="92" t="s">
        <v>3881</v>
      </c>
      <c r="B320" s="80" t="s">
        <v>3994</v>
      </c>
      <c r="C320" s="80"/>
    </row>
    <row r="321" spans="1:3">
      <c r="A321" s="92" t="s">
        <v>3881</v>
      </c>
      <c r="B321" s="80" t="s">
        <v>3995</v>
      </c>
      <c r="C321" s="80"/>
    </row>
    <row r="322" spans="1:3">
      <c r="A322" s="92" t="s">
        <v>3881</v>
      </c>
      <c r="B322" s="80" t="s">
        <v>3996</v>
      </c>
      <c r="C322" s="80"/>
    </row>
    <row r="323" spans="1:3">
      <c r="A323" s="92" t="s">
        <v>3881</v>
      </c>
      <c r="B323" s="80" t="s">
        <v>3997</v>
      </c>
      <c r="C323" s="80"/>
    </row>
    <row r="324" spans="1:3">
      <c r="A324" s="92" t="s">
        <v>3881</v>
      </c>
      <c r="B324" s="80" t="s">
        <v>3998</v>
      </c>
      <c r="C324" s="80"/>
    </row>
    <row r="325" spans="1:3">
      <c r="A325" s="92" t="s">
        <v>3881</v>
      </c>
      <c r="B325" s="80" t="s">
        <v>3999</v>
      </c>
      <c r="C325" s="80"/>
    </row>
    <row r="326" spans="1:3">
      <c r="A326" s="92" t="s">
        <v>3881</v>
      </c>
      <c r="B326" s="80" t="s">
        <v>4000</v>
      </c>
      <c r="C326" s="80"/>
    </row>
    <row r="327" spans="1:3">
      <c r="A327" s="92" t="s">
        <v>3881</v>
      </c>
      <c r="B327" s="80" t="s">
        <v>4001</v>
      </c>
      <c r="C327" s="80"/>
    </row>
    <row r="328" spans="1:3">
      <c r="A328" s="92" t="s">
        <v>3881</v>
      </c>
      <c r="B328" s="80" t="s">
        <v>4002</v>
      </c>
      <c r="C328" s="80"/>
    </row>
    <row r="329" spans="1:3">
      <c r="A329" s="92" t="s">
        <v>3881</v>
      </c>
      <c r="B329" s="80" t="s">
        <v>4003</v>
      </c>
      <c r="C329" s="80"/>
    </row>
    <row r="330" spans="1:3">
      <c r="A330" s="92" t="s">
        <v>3881</v>
      </c>
      <c r="B330" s="80" t="s">
        <v>4004</v>
      </c>
      <c r="C330" s="80"/>
    </row>
    <row r="331" spans="1:3">
      <c r="A331" s="92" t="s">
        <v>3881</v>
      </c>
      <c r="B331" s="80" t="s">
        <v>4005</v>
      </c>
      <c r="C331" s="80"/>
    </row>
    <row r="332" spans="1:3">
      <c r="A332" s="92" t="s">
        <v>3881</v>
      </c>
      <c r="B332" s="80" t="s">
        <v>4006</v>
      </c>
      <c r="C332" s="80"/>
    </row>
    <row r="333" spans="1:3">
      <c r="A333" s="92" t="s">
        <v>3881</v>
      </c>
      <c r="B333" s="80" t="s">
        <v>4007</v>
      </c>
      <c r="C333" s="80"/>
    </row>
    <row r="334" spans="1:3">
      <c r="A334" s="92" t="s">
        <v>3881</v>
      </c>
      <c r="B334" s="80" t="s">
        <v>4008</v>
      </c>
      <c r="C334" s="80"/>
    </row>
    <row r="335" spans="1:3">
      <c r="A335" s="92" t="s">
        <v>3881</v>
      </c>
      <c r="B335" s="80" t="s">
        <v>4009</v>
      </c>
      <c r="C335" s="80"/>
    </row>
    <row r="336" spans="1:3">
      <c r="A336" s="92" t="s">
        <v>3881</v>
      </c>
      <c r="B336" s="80" t="s">
        <v>4010</v>
      </c>
      <c r="C336" s="80"/>
    </row>
    <row r="337" spans="1:3">
      <c r="A337" s="92" t="s">
        <v>3881</v>
      </c>
      <c r="B337" s="80" t="s">
        <v>4011</v>
      </c>
      <c r="C337" s="80"/>
    </row>
    <row r="338" spans="1:3">
      <c r="A338" s="92" t="s">
        <v>3881</v>
      </c>
      <c r="B338" s="80" t="s">
        <v>4012</v>
      </c>
      <c r="C338" s="80"/>
    </row>
    <row r="339" spans="1:3">
      <c r="A339" s="92" t="s">
        <v>3881</v>
      </c>
      <c r="B339" s="80" t="s">
        <v>4013</v>
      </c>
      <c r="C339" s="80"/>
    </row>
    <row r="340" spans="1:3">
      <c r="A340" s="92" t="s">
        <v>3881</v>
      </c>
      <c r="B340" s="80" t="s">
        <v>4014</v>
      </c>
      <c r="C340" s="80"/>
    </row>
    <row r="341" spans="1:3">
      <c r="A341" s="92" t="s">
        <v>3881</v>
      </c>
      <c r="B341" s="80" t="s">
        <v>4015</v>
      </c>
      <c r="C341" s="80"/>
    </row>
    <row r="342" spans="1:3">
      <c r="A342" s="92" t="s">
        <v>3881</v>
      </c>
      <c r="B342" s="80" t="s">
        <v>4016</v>
      </c>
      <c r="C342" s="80"/>
    </row>
    <row r="343" spans="1:3">
      <c r="A343" s="92" t="s">
        <v>3881</v>
      </c>
      <c r="B343" s="80" t="s">
        <v>4017</v>
      </c>
      <c r="C343" s="80"/>
    </row>
    <row r="344" spans="1:3">
      <c r="A344" s="92" t="s">
        <v>3881</v>
      </c>
      <c r="B344" s="80" t="s">
        <v>4018</v>
      </c>
      <c r="C344" s="80"/>
    </row>
    <row r="345" spans="1:3">
      <c r="A345" s="92" t="s">
        <v>3881</v>
      </c>
      <c r="B345" s="80" t="s">
        <v>4019</v>
      </c>
      <c r="C345" s="80"/>
    </row>
    <row r="346" spans="1:3">
      <c r="A346" s="92" t="s">
        <v>3881</v>
      </c>
      <c r="B346" s="80" t="s">
        <v>4020</v>
      </c>
      <c r="C346" s="80"/>
    </row>
    <row r="347" spans="1:3">
      <c r="A347" s="92" t="s">
        <v>3881</v>
      </c>
      <c r="B347" s="80" t="s">
        <v>4021</v>
      </c>
      <c r="C347" s="80"/>
    </row>
    <row r="348" spans="1:3">
      <c r="A348" s="92" t="s">
        <v>3881</v>
      </c>
      <c r="B348" s="80" t="s">
        <v>4022</v>
      </c>
      <c r="C348" s="80"/>
    </row>
    <row r="349" spans="1:3">
      <c r="A349" s="92" t="s">
        <v>3881</v>
      </c>
      <c r="B349" s="80" t="s">
        <v>4023</v>
      </c>
      <c r="C349" s="80"/>
    </row>
    <row r="350" spans="1:3">
      <c r="A350" s="92" t="s">
        <v>3881</v>
      </c>
      <c r="B350" s="80" t="s">
        <v>4024</v>
      </c>
      <c r="C350" s="80"/>
    </row>
    <row r="351" spans="1:3">
      <c r="A351" s="92" t="s">
        <v>3881</v>
      </c>
      <c r="B351" s="80" t="s">
        <v>820</v>
      </c>
      <c r="C351" s="80"/>
    </row>
    <row r="352" spans="1:3">
      <c r="A352" s="92" t="s">
        <v>3881</v>
      </c>
      <c r="B352" s="80" t="s">
        <v>4025</v>
      </c>
      <c r="C352" s="80"/>
    </row>
    <row r="353" spans="1:3">
      <c r="A353" s="92" t="s">
        <v>3881</v>
      </c>
      <c r="B353" s="80" t="s">
        <v>4026</v>
      </c>
      <c r="C353" s="80"/>
    </row>
    <row r="354" spans="1:3">
      <c r="A354" s="92" t="s">
        <v>3881</v>
      </c>
      <c r="B354" s="80" t="s">
        <v>4027</v>
      </c>
      <c r="C354" s="80"/>
    </row>
    <row r="355" spans="1:3">
      <c r="A355" s="92" t="s">
        <v>3881</v>
      </c>
      <c r="B355" s="80" t="s">
        <v>4028</v>
      </c>
      <c r="C355" s="80"/>
    </row>
    <row r="356" spans="1:3">
      <c r="A356" s="92" t="s">
        <v>3881</v>
      </c>
      <c r="B356" s="80" t="s">
        <v>4029</v>
      </c>
      <c r="C356" s="80"/>
    </row>
    <row r="357" spans="1:3">
      <c r="A357" s="92" t="s">
        <v>3881</v>
      </c>
      <c r="B357" s="80" t="s">
        <v>4030</v>
      </c>
      <c r="C357" s="80"/>
    </row>
    <row r="358" spans="1:3">
      <c r="A358" s="92" t="s">
        <v>3881</v>
      </c>
      <c r="B358" s="80" t="s">
        <v>4031</v>
      </c>
      <c r="C358" s="80"/>
    </row>
    <row r="359" spans="1:3">
      <c r="A359" s="92" t="s">
        <v>3881</v>
      </c>
      <c r="B359" s="80" t="s">
        <v>4032</v>
      </c>
      <c r="C359" s="80"/>
    </row>
    <row r="360" spans="1:3">
      <c r="A360" s="92" t="s">
        <v>3881</v>
      </c>
      <c r="B360" s="80" t="s">
        <v>4033</v>
      </c>
      <c r="C360" s="80"/>
    </row>
    <row r="361" spans="1:3">
      <c r="A361" s="92" t="s">
        <v>3881</v>
      </c>
      <c r="B361" s="80" t="s">
        <v>4034</v>
      </c>
      <c r="C361" s="80"/>
    </row>
    <row r="362" spans="1:3">
      <c r="A362" s="92" t="s">
        <v>3881</v>
      </c>
      <c r="B362" s="80" t="s">
        <v>4035</v>
      </c>
      <c r="C362" s="80"/>
    </row>
    <row r="363" spans="1:3">
      <c r="A363" s="92" t="s">
        <v>3881</v>
      </c>
      <c r="B363" s="80" t="s">
        <v>4036</v>
      </c>
      <c r="C363" s="80"/>
    </row>
    <row r="364" spans="1:3">
      <c r="A364" s="92" t="s">
        <v>3881</v>
      </c>
      <c r="B364" s="80" t="s">
        <v>4037</v>
      </c>
      <c r="C364" s="80"/>
    </row>
    <row r="365" spans="1:3">
      <c r="A365" s="92" t="s">
        <v>3881</v>
      </c>
      <c r="B365" s="80" t="s">
        <v>4038</v>
      </c>
      <c r="C365" s="80"/>
    </row>
    <row r="366" spans="1:3">
      <c r="A366" s="92" t="s">
        <v>3881</v>
      </c>
      <c r="B366" s="80" t="s">
        <v>4039</v>
      </c>
      <c r="C366" s="80"/>
    </row>
    <row r="367" spans="1:3">
      <c r="A367" s="92" t="s">
        <v>3881</v>
      </c>
      <c r="B367" s="80" t="s">
        <v>4040</v>
      </c>
      <c r="C367" s="80"/>
    </row>
    <row r="368" spans="1:3">
      <c r="A368" s="92" t="s">
        <v>3881</v>
      </c>
      <c r="B368" s="80" t="s">
        <v>4041</v>
      </c>
      <c r="C368" s="80"/>
    </row>
    <row r="369" spans="1:3">
      <c r="A369" s="92" t="s">
        <v>3881</v>
      </c>
      <c r="B369" s="80" t="s">
        <v>4042</v>
      </c>
      <c r="C369" s="80"/>
    </row>
    <row r="370" spans="1:3">
      <c r="A370" s="92" t="s">
        <v>3881</v>
      </c>
      <c r="B370" s="80" t="s">
        <v>4043</v>
      </c>
      <c r="C370" s="80"/>
    </row>
    <row r="371" spans="1:3">
      <c r="A371" s="92" t="s">
        <v>3881</v>
      </c>
      <c r="B371" s="80" t="s">
        <v>4044</v>
      </c>
      <c r="C371" s="80"/>
    </row>
    <row r="372" spans="1:3">
      <c r="A372" s="92" t="s">
        <v>3881</v>
      </c>
      <c r="B372" s="80" t="s">
        <v>4045</v>
      </c>
      <c r="C372" s="80"/>
    </row>
    <row r="373" spans="1:3">
      <c r="A373" s="92" t="s">
        <v>3881</v>
      </c>
      <c r="B373" s="80" t="s">
        <v>4046</v>
      </c>
      <c r="C373" s="80"/>
    </row>
    <row r="374" spans="1:3">
      <c r="A374" s="92" t="s">
        <v>3881</v>
      </c>
      <c r="B374" s="80" t="s">
        <v>4047</v>
      </c>
      <c r="C374" s="80"/>
    </row>
    <row r="375" spans="1:3">
      <c r="A375" s="92" t="s">
        <v>3881</v>
      </c>
      <c r="B375" s="80" t="s">
        <v>4048</v>
      </c>
      <c r="C375" s="80"/>
    </row>
    <row r="376" spans="1:3">
      <c r="A376" s="92" t="s">
        <v>3881</v>
      </c>
      <c r="B376" s="80" t="s">
        <v>4049</v>
      </c>
      <c r="C376" s="80"/>
    </row>
    <row r="377" spans="1:3">
      <c r="A377" s="92" t="s">
        <v>3881</v>
      </c>
      <c r="B377" s="80" t="s">
        <v>4050</v>
      </c>
      <c r="C377" s="80"/>
    </row>
    <row r="378" spans="1:3">
      <c r="A378" s="92" t="s">
        <v>3881</v>
      </c>
      <c r="B378" s="80" t="s">
        <v>4051</v>
      </c>
      <c r="C378" s="80"/>
    </row>
    <row r="379" spans="1:3">
      <c r="A379" s="92" t="s">
        <v>3881</v>
      </c>
      <c r="B379" s="80" t="s">
        <v>4052</v>
      </c>
      <c r="C379" s="80"/>
    </row>
    <row r="380" spans="1:3">
      <c r="A380" s="92" t="s">
        <v>3881</v>
      </c>
      <c r="B380" s="80" t="s">
        <v>4053</v>
      </c>
      <c r="C380" s="80"/>
    </row>
    <row r="381" spans="1:3">
      <c r="A381" s="92" t="s">
        <v>3881</v>
      </c>
      <c r="B381" s="80" t="s">
        <v>4054</v>
      </c>
      <c r="C381" s="80"/>
    </row>
    <row r="382" spans="1:3">
      <c r="A382" s="92" t="s">
        <v>3881</v>
      </c>
      <c r="B382" s="80" t="s">
        <v>4055</v>
      </c>
      <c r="C382" s="80"/>
    </row>
    <row r="383" spans="1:3">
      <c r="A383" s="92" t="s">
        <v>3881</v>
      </c>
      <c r="B383" s="80" t="s">
        <v>4056</v>
      </c>
      <c r="C383" s="80"/>
    </row>
    <row r="384" spans="1:3">
      <c r="A384" s="92" t="s">
        <v>3881</v>
      </c>
      <c r="B384" s="80" t="s">
        <v>4057</v>
      </c>
      <c r="C384" s="80"/>
    </row>
    <row r="385" spans="1:3">
      <c r="A385" s="92" t="s">
        <v>3881</v>
      </c>
      <c r="B385" s="80" t="s">
        <v>4058</v>
      </c>
      <c r="C385" s="80"/>
    </row>
    <row r="386" spans="1:3">
      <c r="A386" s="92" t="s">
        <v>3881</v>
      </c>
      <c r="B386" s="80" t="s">
        <v>4059</v>
      </c>
      <c r="C386" s="80"/>
    </row>
    <row r="387" spans="1:3">
      <c r="A387" s="92" t="s">
        <v>3881</v>
      </c>
      <c r="B387" s="80" t="s">
        <v>4060</v>
      </c>
      <c r="C387" s="80"/>
    </row>
    <row r="388" spans="1:3">
      <c r="A388" s="92" t="s">
        <v>3881</v>
      </c>
      <c r="B388" s="80" t="s">
        <v>4061</v>
      </c>
      <c r="C388" s="80"/>
    </row>
    <row r="389" spans="1:3">
      <c r="A389" s="92" t="s">
        <v>3881</v>
      </c>
      <c r="B389" s="80" t="s">
        <v>4062</v>
      </c>
      <c r="C389" s="80"/>
    </row>
    <row r="390" spans="1:3">
      <c r="A390" s="92" t="s">
        <v>3881</v>
      </c>
      <c r="B390" s="80" t="s">
        <v>4063</v>
      </c>
      <c r="C390" s="80"/>
    </row>
    <row r="391" spans="1:3">
      <c r="A391" s="92" t="s">
        <v>3881</v>
      </c>
      <c r="B391" s="80" t="s">
        <v>4064</v>
      </c>
      <c r="C391" s="80"/>
    </row>
    <row r="392" spans="1:3">
      <c r="A392" s="92" t="s">
        <v>3881</v>
      </c>
      <c r="B392" s="80" t="s">
        <v>4065</v>
      </c>
      <c r="C392" s="80"/>
    </row>
    <row r="393" spans="1:3">
      <c r="A393" s="92" t="s">
        <v>3881</v>
      </c>
      <c r="B393" s="80" t="s">
        <v>4066</v>
      </c>
      <c r="C393" s="80"/>
    </row>
    <row r="394" spans="1:3">
      <c r="A394" s="92" t="s">
        <v>3881</v>
      </c>
      <c r="B394" s="80" t="s">
        <v>4067</v>
      </c>
      <c r="C394" s="80"/>
    </row>
    <row r="395" spans="1:3">
      <c r="A395" s="92" t="s">
        <v>3881</v>
      </c>
      <c r="B395" s="80" t="s">
        <v>4068</v>
      </c>
      <c r="C395" s="80"/>
    </row>
    <row r="396" spans="1:3">
      <c r="A396" s="92" t="s">
        <v>3881</v>
      </c>
      <c r="B396" s="80" t="s">
        <v>4069</v>
      </c>
      <c r="C396" s="80"/>
    </row>
    <row r="397" spans="1:3">
      <c r="A397" s="92" t="s">
        <v>3881</v>
      </c>
      <c r="B397" s="80" t="s">
        <v>4070</v>
      </c>
      <c r="C397" s="80"/>
    </row>
    <row r="398" spans="1:3">
      <c r="A398" s="92" t="s">
        <v>3881</v>
      </c>
      <c r="B398" s="80" t="s">
        <v>4071</v>
      </c>
      <c r="C398" s="80"/>
    </row>
    <row r="399" spans="1:3">
      <c r="A399" s="92" t="s">
        <v>3881</v>
      </c>
      <c r="B399" s="80" t="s">
        <v>4072</v>
      </c>
      <c r="C399" s="80"/>
    </row>
    <row r="400" spans="1:3">
      <c r="A400" s="92" t="s">
        <v>3881</v>
      </c>
      <c r="B400" s="80" t="s">
        <v>4073</v>
      </c>
      <c r="C400" s="80"/>
    </row>
    <row r="401" spans="1:3" ht="46.5">
      <c r="A401" s="92" t="s">
        <v>3514</v>
      </c>
      <c r="B401" s="80" t="s">
        <v>4074</v>
      </c>
      <c r="C401" s="80"/>
    </row>
    <row r="402" spans="1:3" ht="46.5">
      <c r="A402" s="92" t="s">
        <v>3514</v>
      </c>
      <c r="B402" s="80" t="s">
        <v>4075</v>
      </c>
      <c r="C402" s="80"/>
    </row>
    <row r="403" spans="1:3" ht="31">
      <c r="A403" s="92" t="s">
        <v>3515</v>
      </c>
      <c r="B403" s="80" t="s">
        <v>736</v>
      </c>
      <c r="C403" s="80"/>
    </row>
    <row r="404" spans="1:3" ht="31">
      <c r="A404" s="92" t="s">
        <v>3515</v>
      </c>
      <c r="B404" s="80" t="s">
        <v>4076</v>
      </c>
      <c r="C404" s="80"/>
    </row>
    <row r="405" spans="1:3" ht="46.5">
      <c r="A405" s="83" t="s">
        <v>3030</v>
      </c>
      <c r="B405" s="80" t="s">
        <v>142</v>
      </c>
      <c r="C405" s="80"/>
    </row>
    <row r="406" spans="1:3" ht="46.5">
      <c r="A406" s="83" t="s">
        <v>3030</v>
      </c>
      <c r="B406" s="80" t="s">
        <v>4077</v>
      </c>
      <c r="C406" s="80"/>
    </row>
    <row r="407" spans="1:3">
      <c r="A407" s="80" t="s">
        <v>4078</v>
      </c>
      <c r="B407" s="80" t="s">
        <v>4079</v>
      </c>
      <c r="C407" s="80"/>
    </row>
    <row r="408" spans="1:3">
      <c r="A408" s="80" t="s">
        <v>4080</v>
      </c>
      <c r="B408" s="80" t="s">
        <v>1600</v>
      </c>
      <c r="C408" s="80"/>
    </row>
    <row r="409" spans="1:3">
      <c r="A409" s="80" t="s">
        <v>4081</v>
      </c>
      <c r="B409" s="80" t="s">
        <v>1601</v>
      </c>
      <c r="C409" s="80"/>
    </row>
    <row r="410" spans="1:3">
      <c r="A410" s="80" t="s">
        <v>4082</v>
      </c>
      <c r="B410" s="80" t="s">
        <v>4083</v>
      </c>
      <c r="C410" s="80"/>
    </row>
    <row r="411" spans="1:3">
      <c r="A411" s="80" t="s">
        <v>4084</v>
      </c>
      <c r="B411" s="80" t="s">
        <v>4085</v>
      </c>
      <c r="C411" s="80"/>
    </row>
    <row r="412" spans="1:3">
      <c r="A412" s="80" t="s">
        <v>4086</v>
      </c>
      <c r="B412" s="80" t="s">
        <v>4087</v>
      </c>
      <c r="C412" s="80"/>
    </row>
    <row r="413" spans="1:3">
      <c r="A413" s="80" t="s">
        <v>4088</v>
      </c>
      <c r="B413" s="80" t="s">
        <v>2708</v>
      </c>
      <c r="C413" s="80"/>
    </row>
    <row r="414" spans="1:3">
      <c r="A414" s="80" t="s">
        <v>4088</v>
      </c>
      <c r="B414" s="80" t="s">
        <v>2724</v>
      </c>
      <c r="C414" s="80"/>
    </row>
    <row r="415" spans="1:3">
      <c r="A415" s="80" t="s">
        <v>4088</v>
      </c>
      <c r="B415" s="80" t="s">
        <v>2735</v>
      </c>
      <c r="C415" s="80"/>
    </row>
    <row r="416" spans="1:3">
      <c r="A416" s="80" t="s">
        <v>4088</v>
      </c>
      <c r="B416" s="80" t="s">
        <v>2746</v>
      </c>
      <c r="C416" s="80"/>
    </row>
    <row r="417" spans="1:3">
      <c r="A417" s="80" t="s">
        <v>4088</v>
      </c>
      <c r="B417" s="80" t="s">
        <v>2757</v>
      </c>
      <c r="C417" s="80"/>
    </row>
    <row r="418" spans="1:3">
      <c r="A418" s="80" t="s">
        <v>4089</v>
      </c>
      <c r="B418" s="80" t="s">
        <v>4090</v>
      </c>
      <c r="C418" s="80"/>
    </row>
    <row r="419" spans="1:3">
      <c r="A419" s="80" t="s">
        <v>4089</v>
      </c>
      <c r="B419" s="80" t="s">
        <v>4091</v>
      </c>
      <c r="C419" s="80"/>
    </row>
    <row r="420" spans="1:3">
      <c r="A420" s="80" t="s">
        <v>4089</v>
      </c>
      <c r="B420" s="80" t="s">
        <v>4092</v>
      </c>
      <c r="C420" s="80"/>
    </row>
    <row r="421" spans="1:3">
      <c r="A421" s="80" t="s">
        <v>4089</v>
      </c>
      <c r="B421" s="80" t="s">
        <v>4093</v>
      </c>
      <c r="C421" s="80"/>
    </row>
    <row r="422" spans="1:3">
      <c r="A422" s="80" t="s">
        <v>79</v>
      </c>
      <c r="B422" s="80" t="s">
        <v>4094</v>
      </c>
      <c r="C422" s="80" t="str">
        <f ca="1">IF(COUNTIF('Reconciliation report'!$J$2:$J$1088,"&lt;&gt;FALSE")=0,RefData!B422,"")</f>
        <v/>
      </c>
    </row>
    <row r="423" spans="1:3">
      <c r="A423" s="80" t="s">
        <v>4089</v>
      </c>
      <c r="B423" s="80" t="str">
        <f>"0.00##%"</f>
        <v>0.00##%</v>
      </c>
      <c r="C423" s="80" t="s">
        <v>4095</v>
      </c>
    </row>
    <row r="424" spans="1:3">
      <c r="A424" s="80" t="s">
        <v>4089</v>
      </c>
      <c r="B424" s="80" t="s">
        <v>4096</v>
      </c>
      <c r="C424" s="80" t="s">
        <v>4097</v>
      </c>
    </row>
    <row r="425" spans="1:3">
      <c r="A425" s="80" t="s">
        <v>4089</v>
      </c>
      <c r="B425" s="80" t="s">
        <v>4098</v>
      </c>
      <c r="C425" s="80" t="s">
        <v>4099</v>
      </c>
    </row>
    <row r="426" spans="1:3">
      <c r="A426" s="80" t="s">
        <v>4100</v>
      </c>
      <c r="B426" s="80" t="s">
        <v>4101</v>
      </c>
      <c r="C426" s="80" t="s">
        <v>4103</v>
      </c>
    </row>
    <row r="427" spans="1:3">
      <c r="A427" s="80" t="s">
        <v>4102</v>
      </c>
      <c r="B427" s="80" t="s">
        <v>4103</v>
      </c>
      <c r="C427" s="80" t="s">
        <v>4781</v>
      </c>
    </row>
    <row r="428" spans="1:3">
      <c r="A428" s="80" t="s">
        <v>4089</v>
      </c>
      <c r="B428" s="80" t="s">
        <v>4104</v>
      </c>
      <c r="C428" s="80"/>
    </row>
    <row r="429" spans="1:3">
      <c r="A429" s="80" t="s">
        <v>4089</v>
      </c>
      <c r="B429" s="80" t="s">
        <v>4105</v>
      </c>
      <c r="C429" s="80"/>
    </row>
    <row r="430" spans="1:3">
      <c r="A430" s="80" t="s">
        <v>4089</v>
      </c>
      <c r="B430" s="80" t="s">
        <v>4106</v>
      </c>
      <c r="C430" s="80"/>
    </row>
    <row r="431" spans="1:3">
      <c r="A431" s="80" t="s">
        <v>4089</v>
      </c>
      <c r="B431" s="80" t="s">
        <v>4107</v>
      </c>
      <c r="C431" s="80"/>
    </row>
    <row r="432" spans="1:3">
      <c r="A432" s="80" t="s">
        <v>4089</v>
      </c>
      <c r="B432" s="644" t="s">
        <v>4108</v>
      </c>
      <c r="C432" s="80" t="s">
        <v>4109</v>
      </c>
    </row>
    <row r="433" spans="1:3" s="464" customFormat="1">
      <c r="A433" s="168" t="s">
        <v>4110</v>
      </c>
      <c r="B433" s="686" t="s">
        <v>4111</v>
      </c>
      <c r="C433" s="168"/>
    </row>
    <row r="434" spans="1:3" s="464" customFormat="1">
      <c r="A434" s="168" t="s">
        <v>4110</v>
      </c>
      <c r="B434" s="686" t="s">
        <v>4112</v>
      </c>
      <c r="C434" s="168"/>
    </row>
    <row r="435" spans="1:3" s="464" customFormat="1">
      <c r="A435" s="168" t="s">
        <v>4110</v>
      </c>
      <c r="B435" s="686" t="s">
        <v>4113</v>
      </c>
      <c r="C435" s="168"/>
    </row>
    <row r="436" spans="1:3" s="464" customFormat="1">
      <c r="A436" s="168" t="s">
        <v>4114</v>
      </c>
      <c r="B436" s="686" t="s">
        <v>4115</v>
      </c>
      <c r="C436" s="168"/>
    </row>
    <row r="437" spans="1:3">
      <c r="A437" s="80" t="s">
        <v>4114</v>
      </c>
      <c r="B437" s="644" t="s">
        <v>4116</v>
      </c>
      <c r="C437" s="80"/>
    </row>
    <row r="438" spans="1:3">
      <c r="A438" s="80" t="s">
        <v>4114</v>
      </c>
      <c r="B438" s="644" t="s">
        <v>4117</v>
      </c>
      <c r="C438" s="80"/>
    </row>
    <row r="439" spans="1:3" s="464" customFormat="1">
      <c r="A439" s="168" t="s">
        <v>4114</v>
      </c>
      <c r="B439" s="686" t="s">
        <v>4118</v>
      </c>
      <c r="C439" s="168"/>
    </row>
    <row r="440" spans="1:3">
      <c r="A440" s="80" t="s">
        <v>4114</v>
      </c>
      <c r="B440" s="644" t="s">
        <v>4119</v>
      </c>
      <c r="C440" s="80"/>
    </row>
    <row r="441" spans="1:3" s="464" customFormat="1">
      <c r="A441" s="168" t="s">
        <v>4114</v>
      </c>
      <c r="B441" s="686" t="s">
        <v>4120</v>
      </c>
      <c r="C441" s="168"/>
    </row>
    <row r="442" spans="1:3" s="464" customFormat="1">
      <c r="A442" s="168" t="s">
        <v>4114</v>
      </c>
      <c r="B442" s="686" t="s">
        <v>4121</v>
      </c>
      <c r="C442" s="168"/>
    </row>
    <row r="443" spans="1:3">
      <c r="A443" s="80" t="s">
        <v>4114</v>
      </c>
      <c r="B443" s="644" t="s">
        <v>4122</v>
      </c>
      <c r="C443" s="80"/>
    </row>
  </sheetData>
  <sheetProtection algorithmName="SHA-512" hashValue="68n5O59VDWdcSagj/iEpR4gSaZRmmMY07u3mSlcYvm0G0iqqwHCJhl9htiglxtC9u7yXyrzQolviawNZNGzcfQ==" saltValue="hfU2JLG/K38ci/U4TR6Rvw==" spinCount="100000" sheet="1" objects="1" scenarios="1"/>
  <phoneticPr fontId="11"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53C13-BF15-49DB-9064-8BD97DB06ED1}">
  <sheetPr codeName="Sheet43"/>
  <dimension ref="A1:F776"/>
  <sheetViews>
    <sheetView zoomScaleNormal="100" workbookViewId="0">
      <selection activeCell="C6" sqref="C6"/>
    </sheetView>
  </sheetViews>
  <sheetFormatPr defaultColWidth="0" defaultRowHeight="15.5" zeroHeight="1"/>
  <cols>
    <col min="1" max="1" width="27.07421875" customWidth="1"/>
    <col min="2" max="2" width="60.53515625" bestFit="1" customWidth="1"/>
    <col min="3" max="3" width="66.07421875" customWidth="1"/>
    <col min="4" max="4" width="27.07421875" bestFit="1" customWidth="1"/>
    <col min="5" max="6" width="0" hidden="1" customWidth="1"/>
    <col min="7" max="16384" width="9.23046875" hidden="1"/>
  </cols>
  <sheetData>
    <row r="1" spans="1:4">
      <c r="A1" s="82" t="s">
        <v>1502</v>
      </c>
      <c r="B1" s="82" t="s">
        <v>4123</v>
      </c>
      <c r="C1" s="82" t="s">
        <v>4124</v>
      </c>
      <c r="D1" s="82" t="s">
        <v>2988</v>
      </c>
    </row>
    <row r="2" spans="1:4" ht="93">
      <c r="A2" s="80" t="s">
        <v>3012</v>
      </c>
      <c r="B2" s="80" t="s">
        <v>4125</v>
      </c>
      <c r="C2" s="80" t="str">
        <f>"
"&amp;B2&amp;"
"</f>
        <v xml:space="preserve">
What is the effective date of the actuarial valuation this statement of strategy relates to? (dd/mm/yyyy)
</v>
      </c>
      <c r="D2" s="80" t="s">
        <v>105</v>
      </c>
    </row>
    <row r="3" spans="1:4" ht="46.5">
      <c r="A3" s="80" t="s">
        <v>3015</v>
      </c>
      <c r="B3" s="80" t="s">
        <v>4126</v>
      </c>
      <c r="C3" s="80"/>
      <c r="D3" s="80" t="s">
        <v>108</v>
      </c>
    </row>
    <row r="4" spans="1:4" ht="46.5">
      <c r="A4" s="83" t="s">
        <v>3110</v>
      </c>
      <c r="B4" s="83" t="s">
        <v>4127</v>
      </c>
      <c r="C4" s="80" t="str">
        <f>IF('Start here'!C24=RefData!B5, "
"&amp;RefData!$B$2&amp;"
"&amp; Questions!B4, Questions!B4)</f>
        <v xml:space="preserve">
Are you providing yield curve information or a spot rate?
</v>
      </c>
      <c r="D4" s="83" t="s">
        <v>250</v>
      </c>
    </row>
    <row r="5" spans="1:4" ht="46.5">
      <c r="A5" s="83" t="s">
        <v>3017</v>
      </c>
      <c r="B5" s="83" t="s">
        <v>4128</v>
      </c>
      <c r="C5" s="80"/>
      <c r="D5" s="83" t="s">
        <v>112</v>
      </c>
    </row>
    <row r="6" spans="1:4" ht="72.650000000000006" customHeight="1">
      <c r="A6" s="83" t="s">
        <v>3018</v>
      </c>
      <c r="B6" s="83" t="s">
        <v>4129</v>
      </c>
      <c r="C6" s="80" t="str">
        <f>IF(OR(AND('Start here'!C23=RefData!B17, 'Start here'!C26=RefData!B10), 'Start here'!C23="",  'Start here'!C26=""),Questions!B6,RefData!$B$2&amp;"
"&amp; Questions!B6)</f>
        <v xml:space="preserve">
Does the scheme meet the 'Bespoke low-risk scheme' requirements?
</v>
      </c>
      <c r="D6" s="83" t="s">
        <v>114</v>
      </c>
    </row>
    <row r="7" spans="1:4" ht="58.5" customHeight="1">
      <c r="A7" s="83" t="s">
        <v>3019</v>
      </c>
      <c r="B7" s="83" t="s">
        <v>4130</v>
      </c>
      <c r="C7" s="80" t="str">
        <f>IF('Start here'!C26=RefData!B10, RefData!$B$2&amp;"
"&amp; Questions!B7, Questions!B7)</f>
        <v xml:space="preserve">
Does the scheme meet the 'Fast Track low-risk scheme' requirements?
</v>
      </c>
      <c r="D7" s="83" t="s">
        <v>115</v>
      </c>
    </row>
    <row r="8" spans="1:4" ht="58.5" customHeight="1">
      <c r="A8" s="83" t="s">
        <v>3065</v>
      </c>
      <c r="B8" s="83" t="s">
        <v>4131</v>
      </c>
      <c r="C8" s="80"/>
      <c r="D8" s="83" t="s">
        <v>192</v>
      </c>
    </row>
    <row r="9" spans="1:4" ht="77.5">
      <c r="A9" s="83" t="s">
        <v>3020</v>
      </c>
      <c r="B9" s="83" t="s">
        <v>4132</v>
      </c>
      <c r="C9" s="80"/>
      <c r="D9" s="83" t="s">
        <v>127</v>
      </c>
    </row>
    <row r="10" spans="1:4" ht="58.5" customHeight="1">
      <c r="A10" s="83" t="s">
        <v>3021</v>
      </c>
      <c r="B10" s="83" t="s">
        <v>4133</v>
      </c>
      <c r="C10" s="80"/>
      <c r="D10" s="83" t="s">
        <v>128</v>
      </c>
    </row>
    <row r="11" spans="1:4" ht="62">
      <c r="A11" s="83" t="s">
        <v>3022</v>
      </c>
      <c r="B11" s="83" t="s">
        <v>4134</v>
      </c>
      <c r="C11" s="80" t="str">
        <f>IF('Funding and investment strategy'!$C$8=RefData!$B$24, RefData!$B$2&amp;"
"&amp; Questions!B11, Questions!B11)</f>
        <v xml:space="preserve">
When estimating the date of significant maturity, what are the number of years included in the allowance for future accrual?
</v>
      </c>
      <c r="D11" s="83" t="s">
        <v>130</v>
      </c>
    </row>
    <row r="12" spans="1:4" ht="77.5">
      <c r="A12" s="83" t="s">
        <v>3023</v>
      </c>
      <c r="B12" s="83" t="s">
        <v>4135</v>
      </c>
      <c r="C12" s="80" t="str">
        <f>IF('Funding and investment strategy'!$C$8=RefData!$B$24, RefData!$B$2&amp;"
"&amp; Questions!B12, Questions!B12)</f>
        <v xml:space="preserve">
Including any allowance for future accrual, what is the scheme actuary's estimate of the maturity (duration) of the scheme as at the effective date of the valuation?
</v>
      </c>
      <c r="D12" s="83" t="s">
        <v>131</v>
      </c>
    </row>
    <row r="13" spans="1:4" ht="62">
      <c r="A13" s="83" t="s">
        <v>3016</v>
      </c>
      <c r="B13" s="83" t="s">
        <v>4136</v>
      </c>
      <c r="C13" s="80"/>
      <c r="D13" s="83" t="s">
        <v>110</v>
      </c>
    </row>
    <row r="14" spans="1:4" ht="77.5">
      <c r="A14" s="83" t="s">
        <v>3014</v>
      </c>
      <c r="B14" s="83" t="s">
        <v>4137</v>
      </c>
      <c r="C14" s="80"/>
      <c r="D14" s="83" t="s">
        <v>107</v>
      </c>
    </row>
    <row r="15" spans="1:4" ht="46.5">
      <c r="A15" s="83" t="s">
        <v>3013</v>
      </c>
      <c r="B15" s="83" t="s">
        <v>4138</v>
      </c>
      <c r="C15" s="80" t="str">
        <f>B15</f>
        <v xml:space="preserve">
What is the scheme's relevant date? (dd/mm/yyyy)
</v>
      </c>
      <c r="D15" s="83" t="s">
        <v>106</v>
      </c>
    </row>
    <row r="16" spans="1:4" ht="46.5">
      <c r="A16" s="83" t="s">
        <v>3009</v>
      </c>
      <c r="B16" s="83" t="s">
        <v>4139</v>
      </c>
      <c r="C16" s="80"/>
      <c r="D16" s="83" t="s">
        <v>99</v>
      </c>
    </row>
    <row r="17" spans="1:4" ht="46.5">
      <c r="A17" s="83" t="s">
        <v>3008</v>
      </c>
      <c r="B17" s="83" t="s">
        <v>4140</v>
      </c>
      <c r="C17" s="80"/>
      <c r="D17" s="83" t="s">
        <v>98</v>
      </c>
    </row>
    <row r="18" spans="1:4" ht="46.5">
      <c r="A18" s="83" t="s">
        <v>3026</v>
      </c>
      <c r="B18" s="83" t="s">
        <v>4141</v>
      </c>
      <c r="C18" s="83" t="str">
        <f>IF('Start here'!C23=RefData!B17, RefData!$B$2&amp;"
"&amp; B18,B18)</f>
        <v xml:space="preserve">
What is the scheme's date of significant maturity?
</v>
      </c>
      <c r="D18" s="83" t="s">
        <v>136</v>
      </c>
    </row>
    <row r="19" spans="1:4" ht="46.5">
      <c r="A19" s="83" t="s">
        <v>3045</v>
      </c>
      <c r="B19" s="83" t="s">
        <v>4142</v>
      </c>
      <c r="C19" s="80"/>
      <c r="D19" s="83" t="s">
        <v>169</v>
      </c>
    </row>
    <row r="20" spans="1:4" ht="46.5">
      <c r="A20" s="83" t="s">
        <v>3046</v>
      </c>
      <c r="B20" s="83" t="s">
        <v>4143</v>
      </c>
      <c r="C20" s="80"/>
      <c r="D20" s="83" t="s">
        <v>170</v>
      </c>
    </row>
    <row r="21" spans="1:4" ht="46.5">
      <c r="A21" s="83" t="s">
        <v>3047</v>
      </c>
      <c r="B21" s="83" t="s">
        <v>4144</v>
      </c>
      <c r="C21" s="80"/>
      <c r="D21" s="83" t="s">
        <v>171</v>
      </c>
    </row>
    <row r="22" spans="1:4" ht="46.5">
      <c r="A22" s="83" t="s">
        <v>3048</v>
      </c>
      <c r="B22" s="83" t="s">
        <v>4145</v>
      </c>
      <c r="C22" s="80"/>
      <c r="D22" s="83" t="s">
        <v>172</v>
      </c>
    </row>
    <row r="23" spans="1:4" ht="46.5">
      <c r="A23" s="83" t="s">
        <v>3049</v>
      </c>
      <c r="B23" s="83" t="s">
        <v>4146</v>
      </c>
      <c r="C23" s="80"/>
      <c r="D23" s="83" t="s">
        <v>173</v>
      </c>
    </row>
    <row r="24" spans="1:4" ht="46.5">
      <c r="A24" s="83" t="s">
        <v>3050</v>
      </c>
      <c r="B24" s="83" t="s">
        <v>4147</v>
      </c>
      <c r="C24" s="83" t="str">
        <f>IF('Summary of actuarial valuation'!$C$7=RefData!$B$20, RefData!$B$2&amp;"
"&amp; B24,B24)</f>
        <v xml:space="preserve">
Technical provisions basis: DC liabilities (£)
</v>
      </c>
      <c r="D24" s="83" t="s">
        <v>174</v>
      </c>
    </row>
    <row r="25" spans="1:4" ht="46.5">
      <c r="A25" s="83" t="s">
        <v>3051</v>
      </c>
      <c r="B25" s="83" t="s">
        <v>4148</v>
      </c>
      <c r="C25" s="83" t="str">
        <f>IF('Summary of actuarial valuation'!$C$8=RefData!$B$22, RefData!$B$2&amp;"
"&amp; B25,B25)</f>
        <v xml:space="preserve">
Technical Provisions basis: cash balance liabilities (£)
</v>
      </c>
      <c r="D25" s="83" t="s">
        <v>175</v>
      </c>
    </row>
    <row r="26" spans="1:4" ht="46.5">
      <c r="A26" s="83" t="s">
        <v>3052</v>
      </c>
      <c r="B26" s="83" t="s">
        <v>4149</v>
      </c>
      <c r="C26" s="80"/>
      <c r="D26" s="83" t="s">
        <v>176</v>
      </c>
    </row>
    <row r="27" spans="1:4" ht="46.5">
      <c r="A27" s="83" t="s">
        <v>3053</v>
      </c>
      <c r="B27" s="83" t="s">
        <v>4150</v>
      </c>
      <c r="C27" s="80"/>
      <c r="D27" s="83" t="s">
        <v>177</v>
      </c>
    </row>
    <row r="28" spans="1:4" ht="77.5">
      <c r="A28" s="83" t="s">
        <v>3043</v>
      </c>
      <c r="B28" s="83" t="s">
        <v>4151</v>
      </c>
      <c r="C28" s="80"/>
      <c r="D28" s="83" t="s">
        <v>164</v>
      </c>
    </row>
    <row r="29" spans="1:4" ht="46.5">
      <c r="A29" s="83" t="s">
        <v>3044</v>
      </c>
      <c r="B29" s="83" t="s">
        <v>4152</v>
      </c>
      <c r="C29" s="80"/>
      <c r="D29" s="83" t="s">
        <v>166</v>
      </c>
    </row>
    <row r="30" spans="1:4" ht="62">
      <c r="A30" s="83" t="s">
        <v>3054</v>
      </c>
      <c r="B30" s="83" t="s">
        <v>4153</v>
      </c>
      <c r="C30" s="83" t="str">
        <f>IF('Funding and investment strategy'!$C$8=RefData!$B$24, RefData!$B$2&amp;"
"&amp; B30,B30)</f>
        <v xml:space="preserve">
What is the future service contribution rate on an ongoing basis as a percentage of pensionable salary? (%)
</v>
      </c>
      <c r="D30" s="83" t="s">
        <v>180</v>
      </c>
    </row>
    <row r="31" spans="1:4" ht="62">
      <c r="A31" s="83" t="s">
        <v>3055</v>
      </c>
      <c r="B31" s="83" t="s">
        <v>4154</v>
      </c>
      <c r="C31" s="83" t="str">
        <f>IF('Funding and investment strategy'!$C$8=RefData!$B$24, RefData!$B$2&amp;"
"&amp; B31,B31)</f>
        <v xml:space="preserve">
What is the total annual pensionable salary at the effective date of the valuation? (£)
</v>
      </c>
      <c r="D31" s="83" t="s">
        <v>181</v>
      </c>
    </row>
    <row r="32" spans="1:4" ht="46.5">
      <c r="A32" s="83" t="s">
        <v>3056</v>
      </c>
      <c r="B32" s="83" t="s">
        <v>4155</v>
      </c>
      <c r="C32" s="83"/>
      <c r="D32" s="83" t="s">
        <v>183</v>
      </c>
    </row>
    <row r="33" spans="1:4" ht="46.5">
      <c r="A33" s="83" t="s">
        <v>3057</v>
      </c>
      <c r="B33" s="83" t="s">
        <v>4156</v>
      </c>
      <c r="C33" s="83"/>
      <c r="D33" s="83" t="s">
        <v>184</v>
      </c>
    </row>
    <row r="34" spans="1:4" ht="46.5">
      <c r="A34" s="83" t="s">
        <v>3058</v>
      </c>
      <c r="B34" s="83" t="s">
        <v>4157</v>
      </c>
      <c r="C34" s="83"/>
      <c r="D34" s="83" t="s">
        <v>185</v>
      </c>
    </row>
    <row r="35" spans="1:4" ht="46.5">
      <c r="A35" s="83" t="s">
        <v>3059</v>
      </c>
      <c r="B35" s="83" t="s">
        <v>4158</v>
      </c>
      <c r="C35" s="83"/>
      <c r="D35" s="83" t="s">
        <v>186</v>
      </c>
    </row>
    <row r="36" spans="1:4" ht="46.5">
      <c r="A36" s="83" t="s">
        <v>3060</v>
      </c>
      <c r="B36" s="83" t="s">
        <v>4159</v>
      </c>
      <c r="C36" s="83"/>
      <c r="D36" s="83" t="s">
        <v>187</v>
      </c>
    </row>
    <row r="37" spans="1:4" ht="46.5">
      <c r="A37" s="83" t="s">
        <v>3061</v>
      </c>
      <c r="B37" s="83" t="s">
        <v>4160</v>
      </c>
      <c r="C37" s="83" t="str">
        <f>IF('Summary of actuarial valuation'!$C$7=RefData!$B$20, RefData!$B$2&amp;"
"&amp; B37,B37)</f>
        <v xml:space="preserve">
Low dependency basis: DC liabilities (£)
</v>
      </c>
      <c r="D37" s="83" t="s">
        <v>188</v>
      </c>
    </row>
    <row r="38" spans="1:4" ht="46.5">
      <c r="A38" s="83" t="s">
        <v>3062</v>
      </c>
      <c r="B38" s="83" t="s">
        <v>4161</v>
      </c>
      <c r="C38" s="83" t="str">
        <f>IF('Summary of actuarial valuation'!$C$8=RefData!$B$22, RefData!$B$2&amp;"
"&amp; B38,B38)</f>
        <v xml:space="preserve">
Low dependency basis: cash balance liabilities (£)
</v>
      </c>
      <c r="D38" s="83" t="s">
        <v>189</v>
      </c>
    </row>
    <row r="39" spans="1:4" ht="46.5">
      <c r="A39" s="83" t="s">
        <v>3063</v>
      </c>
      <c r="B39" s="83" t="s">
        <v>4162</v>
      </c>
      <c r="C39" s="83"/>
      <c r="D39" s="83" t="s">
        <v>190</v>
      </c>
    </row>
    <row r="40" spans="1:4" ht="46.5">
      <c r="A40" s="83" t="s">
        <v>3064</v>
      </c>
      <c r="B40" s="83" t="s">
        <v>4163</v>
      </c>
      <c r="C40" s="83"/>
      <c r="D40" s="83" t="s">
        <v>191</v>
      </c>
    </row>
    <row r="41" spans="1:4" ht="46.5">
      <c r="A41" s="83" t="s">
        <v>3067</v>
      </c>
      <c r="B41" s="83" t="s">
        <v>4164</v>
      </c>
      <c r="C41" s="83"/>
      <c r="D41" s="83" t="s">
        <v>194</v>
      </c>
    </row>
    <row r="42" spans="1:4" ht="46.5">
      <c r="A42" s="83" t="s">
        <v>3068</v>
      </c>
      <c r="B42" s="83" t="s">
        <v>4165</v>
      </c>
      <c r="C42" s="83"/>
      <c r="D42" s="83" t="s">
        <v>195</v>
      </c>
    </row>
    <row r="43" spans="1:4" ht="46.5">
      <c r="A43" s="83" t="s">
        <v>3069</v>
      </c>
      <c r="B43" s="83" t="s">
        <v>4166</v>
      </c>
      <c r="C43" s="83"/>
      <c r="D43" s="83" t="s">
        <v>196</v>
      </c>
    </row>
    <row r="44" spans="1:4" ht="46.5">
      <c r="A44" s="83" t="s">
        <v>3070</v>
      </c>
      <c r="B44" s="83" t="s">
        <v>4167</v>
      </c>
      <c r="C44" s="83"/>
      <c r="D44" s="83" t="s">
        <v>197</v>
      </c>
    </row>
    <row r="45" spans="1:4" ht="46.5">
      <c r="A45" s="83" t="s">
        <v>3071</v>
      </c>
      <c r="B45" s="83" t="s">
        <v>4168</v>
      </c>
      <c r="C45" s="83"/>
      <c r="D45" s="83" t="s">
        <v>198</v>
      </c>
    </row>
    <row r="46" spans="1:4" ht="46.5">
      <c r="A46" s="83" t="s">
        <v>3072</v>
      </c>
      <c r="B46" s="83" t="s">
        <v>4169</v>
      </c>
      <c r="C46" s="83" t="str">
        <f>IF('Summary of actuarial valuation'!$C$7=RefData!$B$20, RefData!$B$2&amp;"
"&amp; B46,B46)</f>
        <v xml:space="preserve">
Solvency basis: DC liabilities (£)
</v>
      </c>
      <c r="D46" s="83" t="s">
        <v>199</v>
      </c>
    </row>
    <row r="47" spans="1:4" ht="46.5">
      <c r="A47" s="83" t="s">
        <v>3073</v>
      </c>
      <c r="B47" s="83" t="s">
        <v>4170</v>
      </c>
      <c r="C47" s="83" t="str">
        <f>IF('Summary of actuarial valuation'!$C$8=RefData!$B$22, RefData!$B$2&amp;"
"&amp; B47,B47)</f>
        <v xml:space="preserve">
Solvency basis: cash balance liabilities (£)
</v>
      </c>
      <c r="D47" s="83" t="s">
        <v>200</v>
      </c>
    </row>
    <row r="48" spans="1:4" ht="46.5">
      <c r="A48" s="83" t="s">
        <v>3074</v>
      </c>
      <c r="B48" s="83" t="s">
        <v>4171</v>
      </c>
      <c r="C48" s="83"/>
      <c r="D48" s="83" t="s">
        <v>201</v>
      </c>
    </row>
    <row r="49" spans="1:4" ht="46.5">
      <c r="A49" s="83" t="s">
        <v>3075</v>
      </c>
      <c r="B49" s="83" t="s">
        <v>4172</v>
      </c>
      <c r="C49" s="83"/>
      <c r="D49" s="83" t="s">
        <v>202</v>
      </c>
    </row>
    <row r="50" spans="1:4" ht="46.5">
      <c r="A50" s="83" t="s">
        <v>3076</v>
      </c>
      <c r="B50" s="83" t="s">
        <v>4173</v>
      </c>
      <c r="C50" s="83"/>
      <c r="D50" s="83" t="s">
        <v>203</v>
      </c>
    </row>
    <row r="51" spans="1:4" ht="62">
      <c r="A51" s="83" t="s">
        <v>3077</v>
      </c>
      <c r="B51" s="83" t="s">
        <v>4174</v>
      </c>
      <c r="C51" s="83"/>
      <c r="D51" s="83" t="s">
        <v>205</v>
      </c>
    </row>
    <row r="52" spans="1:4" ht="62">
      <c r="A52" s="83" t="s">
        <v>3078</v>
      </c>
      <c r="B52" s="83" t="s">
        <v>4175</v>
      </c>
      <c r="C52" s="83"/>
      <c r="D52" s="83" t="s">
        <v>207</v>
      </c>
    </row>
    <row r="53" spans="1:4" ht="77.5">
      <c r="A53" s="83" t="s">
        <v>3079</v>
      </c>
      <c r="B53" s="83" t="s">
        <v>4176</v>
      </c>
      <c r="C53" s="83"/>
      <c r="D53" s="83" t="s">
        <v>208</v>
      </c>
    </row>
    <row r="54" spans="1:4" ht="62">
      <c r="A54" s="83" t="s">
        <v>3080</v>
      </c>
      <c r="B54" s="83" t="s">
        <v>4177</v>
      </c>
      <c r="C54" s="83"/>
      <c r="D54" s="83" t="s">
        <v>209</v>
      </c>
    </row>
    <row r="55" spans="1:4" ht="46.5">
      <c r="A55" s="83" t="s">
        <v>3380</v>
      </c>
      <c r="B55" s="83" t="s">
        <v>4178</v>
      </c>
      <c r="C55" s="83" t="str">
        <f>IF(OR('Start here'!$C$26=RefData!$B$9, AND('Start here'!$C$26=RefData!$B$10, 'Start here'!$C$24=RefData!$B$5)), RefData!$B$2&amp;"
"&amp; B55,B55)</f>
        <v xml:space="preserve">
Are you providing scheme benefit cash flow information?
</v>
      </c>
      <c r="D55" s="83" t="s">
        <v>381</v>
      </c>
    </row>
    <row r="56" spans="1:4" ht="62">
      <c r="A56" s="83" t="s">
        <v>3381</v>
      </c>
      <c r="B56" s="83" t="s">
        <v>4179</v>
      </c>
      <c r="C56" s="83" t="str">
        <f>IF(OR('Start here'!$C$26=RefData!$B$9, AND('Start here'!$C$26=RefData!$B$10, 'Start here'!$C$24=RefData!$B$4, 'Scheme benefit cash flow'!$C$7=RefData!$B$26)), RefData!$B$2&amp;"
"&amp; B56,B56)</f>
        <v xml:space="preserve">
Do the cash flows include insured benefits where these are included in the calculation of technical provisions liabilities?
</v>
      </c>
      <c r="D56" s="83" t="s">
        <v>382</v>
      </c>
    </row>
    <row r="57" spans="1:4" ht="46.5">
      <c r="A57" s="83" t="s">
        <v>3382</v>
      </c>
      <c r="B57" s="83" t="s">
        <v>4180</v>
      </c>
      <c r="C57" s="83" t="str">
        <f>IF(OR('Start here'!$C$26=RefData!$B$9,'Scheme benefit cash flow'!$C$7=RefData!$B$26), RefData!$B$2&amp;"
"&amp; B57,B57)</f>
        <v xml:space="preserve">
Year 1
</v>
      </c>
      <c r="D57" s="83" t="s">
        <v>389</v>
      </c>
    </row>
    <row r="58" spans="1:4" ht="46.5">
      <c r="A58" s="83" t="s">
        <v>3383</v>
      </c>
      <c r="B58" s="83" t="s">
        <v>4181</v>
      </c>
      <c r="C58" s="83" t="str">
        <f>IF(OR('Start here'!$C$26=RefData!$B$9,'Scheme benefit cash flow'!$C$7=RefData!$B$26), RefData!$B$2&amp;"
"&amp; B58,B58)</f>
        <v xml:space="preserve">
Year 2
</v>
      </c>
      <c r="D58" s="83" t="s">
        <v>390</v>
      </c>
    </row>
    <row r="59" spans="1:4" ht="46.5">
      <c r="A59" s="83" t="s">
        <v>3384</v>
      </c>
      <c r="B59" s="83" t="s">
        <v>4182</v>
      </c>
      <c r="C59" s="83" t="str">
        <f>IF(OR('Start here'!$C$26=RefData!$B$9,'Scheme benefit cash flow'!$C$7=RefData!$B$26), RefData!$B$2&amp;"
"&amp; B59,B59)</f>
        <v xml:space="preserve">
Year 3
</v>
      </c>
      <c r="D59" s="83" t="s">
        <v>391</v>
      </c>
    </row>
    <row r="60" spans="1:4" ht="46.5">
      <c r="A60" s="83" t="s">
        <v>3385</v>
      </c>
      <c r="B60" s="83" t="s">
        <v>4183</v>
      </c>
      <c r="C60" s="83" t="str">
        <f>IF(OR('Start here'!$C$26=RefData!$B$9,'Scheme benefit cash flow'!$C$7=RefData!$B$26), RefData!$B$2&amp;"
"&amp; B60,B60)</f>
        <v xml:space="preserve">
Year 4
</v>
      </c>
      <c r="D60" s="83" t="s">
        <v>392</v>
      </c>
    </row>
    <row r="61" spans="1:4" ht="46.5">
      <c r="A61" s="83" t="s">
        <v>3386</v>
      </c>
      <c r="B61" s="83" t="s">
        <v>4184</v>
      </c>
      <c r="C61" s="83" t="str">
        <f>IF(OR('Start here'!$C$26=RefData!$B$9,'Scheme benefit cash flow'!$C$7=RefData!$B$26), RefData!$B$2&amp;"
"&amp; B61,B61)</f>
        <v xml:space="preserve">
Year 5
</v>
      </c>
      <c r="D61" s="83" t="s">
        <v>393</v>
      </c>
    </row>
    <row r="62" spans="1:4" ht="46.5">
      <c r="A62" s="83" t="s">
        <v>3387</v>
      </c>
      <c r="B62" s="83" t="s">
        <v>4185</v>
      </c>
      <c r="C62" s="83" t="str">
        <f>IF(OR('Start here'!$C$26=RefData!$B$9,'Scheme benefit cash flow'!$C$7=RefData!$B$26), RefData!$B$2&amp;"
"&amp; B62,B62)</f>
        <v xml:space="preserve">
Year 6
</v>
      </c>
      <c r="D62" s="83" t="s">
        <v>394</v>
      </c>
    </row>
    <row r="63" spans="1:4" ht="46.5">
      <c r="A63" s="83" t="s">
        <v>3388</v>
      </c>
      <c r="B63" s="83" t="s">
        <v>4186</v>
      </c>
      <c r="C63" s="83" t="str">
        <f>IF(OR('Start here'!$C$26=RefData!$B$9,'Scheme benefit cash flow'!$C$7=RefData!$B$26), RefData!$B$2&amp;"
"&amp; B63,B63)</f>
        <v xml:space="preserve">
Year 7
</v>
      </c>
      <c r="D63" s="83" t="s">
        <v>395</v>
      </c>
    </row>
    <row r="64" spans="1:4" ht="46.5">
      <c r="A64" s="83" t="s">
        <v>3389</v>
      </c>
      <c r="B64" s="83" t="s">
        <v>4187</v>
      </c>
      <c r="C64" s="83" t="str">
        <f>IF(OR('Start here'!$C$26=RefData!$B$9,'Scheme benefit cash flow'!$C$7=RefData!$B$26), RefData!$B$2&amp;"
"&amp; B64,B64)</f>
        <v xml:space="preserve">
Year 8
</v>
      </c>
      <c r="D64" s="83" t="s">
        <v>396</v>
      </c>
    </row>
    <row r="65" spans="1:4" ht="46.5">
      <c r="A65" s="83" t="s">
        <v>3390</v>
      </c>
      <c r="B65" s="83" t="s">
        <v>4188</v>
      </c>
      <c r="C65" s="83" t="str">
        <f>IF(OR('Start here'!$C$26=RefData!$B$9,'Scheme benefit cash flow'!$C$7=RefData!$B$26), RefData!$B$2&amp;"
"&amp; B65,B65)</f>
        <v xml:space="preserve">
Year 9
</v>
      </c>
      <c r="D65" s="83" t="s">
        <v>397</v>
      </c>
    </row>
    <row r="66" spans="1:4" ht="46.5">
      <c r="A66" s="83" t="s">
        <v>3391</v>
      </c>
      <c r="B66" s="83" t="s">
        <v>4189</v>
      </c>
      <c r="C66" s="83" t="str">
        <f>IF(OR('Start here'!$C$26=RefData!$B$9,'Scheme benefit cash flow'!$C$7=RefData!$B$26), RefData!$B$2&amp;"
"&amp; B66,B66)</f>
        <v xml:space="preserve">
Year 10
</v>
      </c>
      <c r="D66" s="83" t="s">
        <v>398</v>
      </c>
    </row>
    <row r="67" spans="1:4" ht="46.5">
      <c r="A67" s="83" t="s">
        <v>3392</v>
      </c>
      <c r="B67" s="83" t="s">
        <v>4190</v>
      </c>
      <c r="C67" s="83" t="str">
        <f>IF(OR('Start here'!$C$26=RefData!$B$9,'Scheme benefit cash flow'!$C$7=RefData!$B$26), RefData!$B$2&amp;"
"&amp; B67,B67)</f>
        <v xml:space="preserve">
Year 11
</v>
      </c>
      <c r="D67" s="83" t="s">
        <v>399</v>
      </c>
    </row>
    <row r="68" spans="1:4" ht="46.5">
      <c r="A68" s="83" t="s">
        <v>3393</v>
      </c>
      <c r="B68" s="83" t="s">
        <v>4191</v>
      </c>
      <c r="C68" s="83" t="str">
        <f>IF(OR('Start here'!$C$26=RefData!$B$9,'Scheme benefit cash flow'!$C$7=RefData!$B$26), RefData!$B$2&amp;"
"&amp; B68,B68)</f>
        <v xml:space="preserve">
Year 12
</v>
      </c>
      <c r="D68" s="83" t="s">
        <v>400</v>
      </c>
    </row>
    <row r="69" spans="1:4" ht="46.5">
      <c r="A69" s="83" t="s">
        <v>3394</v>
      </c>
      <c r="B69" s="83" t="s">
        <v>4192</v>
      </c>
      <c r="C69" s="83" t="str">
        <f>IF(OR('Start here'!$C$26=RefData!$B$9,'Scheme benefit cash flow'!$C$7=RefData!$B$26), RefData!$B$2&amp;"
"&amp; B69,B69)</f>
        <v xml:space="preserve">
Year 13
</v>
      </c>
      <c r="D69" s="83" t="s">
        <v>401</v>
      </c>
    </row>
    <row r="70" spans="1:4" ht="46.5">
      <c r="A70" s="83" t="s">
        <v>3395</v>
      </c>
      <c r="B70" s="83" t="s">
        <v>4193</v>
      </c>
      <c r="C70" s="83" t="str">
        <f>IF(OR('Start here'!$C$26=RefData!$B$9,'Scheme benefit cash flow'!$C$7=RefData!$B$26), RefData!$B$2&amp;"
"&amp; B70,B70)</f>
        <v xml:space="preserve">
Year 14
</v>
      </c>
      <c r="D70" s="83" t="s">
        <v>402</v>
      </c>
    </row>
    <row r="71" spans="1:4" ht="46.5">
      <c r="A71" s="83" t="s">
        <v>3396</v>
      </c>
      <c r="B71" s="83" t="s">
        <v>4194</v>
      </c>
      <c r="C71" s="83" t="str">
        <f>IF(OR('Start here'!$C$26=RefData!$B$9,'Scheme benefit cash flow'!$C$7=RefData!$B$26), RefData!$B$2&amp;"
"&amp; B71,B71)</f>
        <v xml:space="preserve">
Year 15
</v>
      </c>
      <c r="D71" s="83" t="s">
        <v>403</v>
      </c>
    </row>
    <row r="72" spans="1:4" ht="46.5">
      <c r="A72" s="83" t="s">
        <v>3397</v>
      </c>
      <c r="B72" s="83" t="s">
        <v>4195</v>
      </c>
      <c r="C72" s="83" t="str">
        <f>IF(OR('Start here'!$C$26=RefData!$B$9,'Scheme benefit cash flow'!$C$7=RefData!$B$26), RefData!$B$2&amp;"
"&amp; B72,B72)</f>
        <v xml:space="preserve">
Year 16
</v>
      </c>
      <c r="D72" s="83" t="s">
        <v>404</v>
      </c>
    </row>
    <row r="73" spans="1:4" ht="46.5">
      <c r="A73" s="83" t="s">
        <v>3398</v>
      </c>
      <c r="B73" s="83" t="s">
        <v>4196</v>
      </c>
      <c r="C73" s="83" t="str">
        <f>IF(OR('Start here'!$C$26=RefData!$B$9,'Scheme benefit cash flow'!$C$7=RefData!$B$26), RefData!$B$2&amp;"
"&amp; B73,B73)</f>
        <v xml:space="preserve">
Year 17
</v>
      </c>
      <c r="D73" s="83" t="s">
        <v>405</v>
      </c>
    </row>
    <row r="74" spans="1:4" ht="46.5">
      <c r="A74" s="83" t="s">
        <v>3399</v>
      </c>
      <c r="B74" s="83" t="s">
        <v>4197</v>
      </c>
      <c r="C74" s="83" t="str">
        <f>IF(OR('Start here'!$C$26=RefData!$B$9,'Scheme benefit cash flow'!$C$7=RefData!$B$26), RefData!$B$2&amp;"
"&amp; B74,B74)</f>
        <v xml:space="preserve">
Year 18
</v>
      </c>
      <c r="D74" s="83" t="s">
        <v>406</v>
      </c>
    </row>
    <row r="75" spans="1:4" ht="46.5">
      <c r="A75" s="83" t="s">
        <v>3400</v>
      </c>
      <c r="B75" s="83" t="s">
        <v>4198</v>
      </c>
      <c r="C75" s="83" t="str">
        <f>IF(OR('Start here'!$C$26=RefData!$B$9,'Scheme benefit cash flow'!$C$7=RefData!$B$26), RefData!$B$2&amp;"
"&amp; B75,B75)</f>
        <v xml:space="preserve">
Year 19
</v>
      </c>
      <c r="D75" s="83" t="s">
        <v>407</v>
      </c>
    </row>
    <row r="76" spans="1:4" ht="46.5">
      <c r="A76" s="83" t="s">
        <v>3401</v>
      </c>
      <c r="B76" s="83" t="s">
        <v>4199</v>
      </c>
      <c r="C76" s="83" t="str">
        <f>IF(OR('Start here'!$C$26=RefData!$B$9,'Scheme benefit cash flow'!$C$7=RefData!$B$26), RefData!$B$2&amp;"
"&amp; B76,B76)</f>
        <v xml:space="preserve">
Year 20
</v>
      </c>
      <c r="D76" s="83" t="s">
        <v>408</v>
      </c>
    </row>
    <row r="77" spans="1:4" ht="46.5">
      <c r="A77" s="83" t="s">
        <v>3402</v>
      </c>
      <c r="B77" s="83" t="s">
        <v>4200</v>
      </c>
      <c r="C77" s="83" t="str">
        <f>IF(OR('Start here'!$C$26=RefData!$B$9,'Scheme benefit cash flow'!$C$7=RefData!$B$26), RefData!$B$2&amp;"
"&amp; B77,B77)</f>
        <v xml:space="preserve">
Year 21
</v>
      </c>
      <c r="D77" s="83" t="s">
        <v>409</v>
      </c>
    </row>
    <row r="78" spans="1:4" ht="46.5">
      <c r="A78" s="83" t="s">
        <v>3403</v>
      </c>
      <c r="B78" s="83" t="s">
        <v>4201</v>
      </c>
      <c r="C78" s="83" t="str">
        <f>IF(OR('Start here'!$C$26=RefData!$B$9,'Scheme benefit cash flow'!$C$7=RefData!$B$26), RefData!$B$2&amp;"
"&amp; B78,B78)</f>
        <v xml:space="preserve">
Year 22
</v>
      </c>
      <c r="D78" s="83" t="s">
        <v>410</v>
      </c>
    </row>
    <row r="79" spans="1:4" ht="46.5">
      <c r="A79" s="83" t="s">
        <v>3404</v>
      </c>
      <c r="B79" s="83" t="s">
        <v>4202</v>
      </c>
      <c r="C79" s="83" t="str">
        <f>IF(OR('Start here'!$C$26=RefData!$B$9,'Scheme benefit cash flow'!$C$7=RefData!$B$26), RefData!$B$2&amp;"
"&amp; B79,B79)</f>
        <v xml:space="preserve">
Year 23
</v>
      </c>
      <c r="D79" s="83" t="s">
        <v>411</v>
      </c>
    </row>
    <row r="80" spans="1:4" ht="46.5">
      <c r="A80" s="83" t="s">
        <v>3405</v>
      </c>
      <c r="B80" s="83" t="s">
        <v>4203</v>
      </c>
      <c r="C80" s="83" t="str">
        <f>IF(OR('Start here'!$C$26=RefData!$B$9,'Scheme benefit cash flow'!$C$7=RefData!$B$26), RefData!$B$2&amp;"
"&amp; B80,B80)</f>
        <v xml:space="preserve">
Year 24
</v>
      </c>
      <c r="D80" s="83" t="s">
        <v>412</v>
      </c>
    </row>
    <row r="81" spans="1:4" ht="46.5">
      <c r="A81" s="83" t="s">
        <v>3406</v>
      </c>
      <c r="B81" s="83" t="s">
        <v>4204</v>
      </c>
      <c r="C81" s="83" t="str">
        <f>IF(OR('Start here'!$C$26=RefData!$B$9,'Scheme benefit cash flow'!$C$7=RefData!$B$26), RefData!$B$2&amp;"
"&amp; B81,B81)</f>
        <v xml:space="preserve">
Year 25
</v>
      </c>
      <c r="D81" s="83" t="s">
        <v>413</v>
      </c>
    </row>
    <row r="82" spans="1:4" ht="46.5">
      <c r="A82" s="83" t="s">
        <v>3407</v>
      </c>
      <c r="B82" s="83" t="s">
        <v>4205</v>
      </c>
      <c r="C82" s="83" t="str">
        <f>IF(OR('Start here'!$C$26=RefData!$B$9,'Scheme benefit cash flow'!$C$7=RefData!$B$26), RefData!$B$2&amp;"
"&amp; B82,B82)</f>
        <v xml:space="preserve">
Year 26
</v>
      </c>
      <c r="D82" s="83" t="s">
        <v>414</v>
      </c>
    </row>
    <row r="83" spans="1:4" ht="46.5">
      <c r="A83" s="83" t="s">
        <v>3408</v>
      </c>
      <c r="B83" s="83" t="s">
        <v>4206</v>
      </c>
      <c r="C83" s="83" t="str">
        <f>IF(OR('Start here'!$C$26=RefData!$B$9,'Scheme benefit cash flow'!$C$7=RefData!$B$26), RefData!$B$2&amp;"
"&amp; B83,B83)</f>
        <v xml:space="preserve">
Year 27
</v>
      </c>
      <c r="D83" s="83" t="s">
        <v>415</v>
      </c>
    </row>
    <row r="84" spans="1:4" ht="46.5">
      <c r="A84" s="83" t="s">
        <v>3409</v>
      </c>
      <c r="B84" s="83" t="s">
        <v>4207</v>
      </c>
      <c r="C84" s="83" t="str">
        <f>IF(OR('Start here'!$C$26=RefData!$B$9,'Scheme benefit cash flow'!$C$7=RefData!$B$26), RefData!$B$2&amp;"
"&amp; B84,B84)</f>
        <v xml:space="preserve">
Year 28
</v>
      </c>
      <c r="D84" s="83" t="s">
        <v>416</v>
      </c>
    </row>
    <row r="85" spans="1:4" ht="46.5">
      <c r="A85" s="83" t="s">
        <v>3410</v>
      </c>
      <c r="B85" s="83" t="s">
        <v>4208</v>
      </c>
      <c r="C85" s="83" t="str">
        <f>IF(OR('Start here'!$C$26=RefData!$B$9,'Scheme benefit cash flow'!$C$7=RefData!$B$26), RefData!$B$2&amp;"
"&amp; B85,B85)</f>
        <v xml:space="preserve">
Year 29
</v>
      </c>
      <c r="D85" s="83" t="s">
        <v>417</v>
      </c>
    </row>
    <row r="86" spans="1:4" ht="46.5">
      <c r="A86" s="83" t="s">
        <v>3411</v>
      </c>
      <c r="B86" s="83" t="s">
        <v>4209</v>
      </c>
      <c r="C86" s="83" t="str">
        <f>IF(OR('Start here'!$C$26=RefData!$B$9,'Scheme benefit cash flow'!$C$7=RefData!$B$26), RefData!$B$2&amp;"
"&amp; B86,B86)</f>
        <v xml:space="preserve">
Year 30
</v>
      </c>
      <c r="D86" s="83" t="s">
        <v>418</v>
      </c>
    </row>
    <row r="87" spans="1:4" ht="46.5">
      <c r="A87" s="83" t="s">
        <v>3412</v>
      </c>
      <c r="B87" s="83" t="s">
        <v>4210</v>
      </c>
      <c r="C87" s="83" t="str">
        <f>IF(OR('Start here'!$C$26=RefData!$B$9,'Scheme benefit cash flow'!$C$7=RefData!$B$26), RefData!$B$2&amp;"
"&amp; B87,B87)</f>
        <v xml:space="preserve">
Year 31
</v>
      </c>
      <c r="D87" s="83" t="s">
        <v>419</v>
      </c>
    </row>
    <row r="88" spans="1:4" ht="46.5">
      <c r="A88" s="83" t="s">
        <v>3413</v>
      </c>
      <c r="B88" s="83" t="s">
        <v>4211</v>
      </c>
      <c r="C88" s="83" t="str">
        <f>IF(OR('Start here'!$C$26=RefData!$B$9,'Scheme benefit cash flow'!$C$7=RefData!$B$26), RefData!$B$2&amp;"
"&amp; B88,B88)</f>
        <v xml:space="preserve">
Year 32
</v>
      </c>
      <c r="D88" s="83" t="s">
        <v>420</v>
      </c>
    </row>
    <row r="89" spans="1:4" ht="46.5">
      <c r="A89" s="83" t="s">
        <v>3414</v>
      </c>
      <c r="B89" s="83" t="s">
        <v>4212</v>
      </c>
      <c r="C89" s="83" t="str">
        <f>IF(OR('Start here'!$C$26=RefData!$B$9,'Scheme benefit cash flow'!$C$7=RefData!$B$26), RefData!$B$2&amp;"
"&amp; B89,B89)</f>
        <v xml:space="preserve">
Year 33
</v>
      </c>
      <c r="D89" s="83" t="s">
        <v>421</v>
      </c>
    </row>
    <row r="90" spans="1:4" ht="46.5">
      <c r="A90" s="83" t="s">
        <v>3415</v>
      </c>
      <c r="B90" s="83" t="s">
        <v>4213</v>
      </c>
      <c r="C90" s="83" t="str">
        <f>IF(OR('Start here'!$C$26=RefData!$B$9,'Scheme benefit cash flow'!$C$7=RefData!$B$26), RefData!$B$2&amp;"
"&amp; B90,B90)</f>
        <v xml:space="preserve">
Year 34
</v>
      </c>
      <c r="D90" s="83" t="s">
        <v>422</v>
      </c>
    </row>
    <row r="91" spans="1:4" ht="46.5">
      <c r="A91" s="83" t="s">
        <v>3416</v>
      </c>
      <c r="B91" s="83" t="s">
        <v>4214</v>
      </c>
      <c r="C91" s="83" t="str">
        <f>IF(OR('Start here'!$C$26=RefData!$B$9,'Scheme benefit cash flow'!$C$7=RefData!$B$26), RefData!$B$2&amp;"
"&amp; B91,B91)</f>
        <v xml:space="preserve">
Year 35
</v>
      </c>
      <c r="D91" s="83" t="s">
        <v>423</v>
      </c>
    </row>
    <row r="92" spans="1:4" ht="46.5">
      <c r="A92" s="83" t="s">
        <v>3417</v>
      </c>
      <c r="B92" s="83" t="s">
        <v>4215</v>
      </c>
      <c r="C92" s="83" t="str">
        <f>IF(OR('Start here'!$C$26=RefData!$B$9,'Scheme benefit cash flow'!$C$7=RefData!$B$26), RefData!$B$2&amp;"
"&amp; B92,B92)</f>
        <v xml:space="preserve">
Year 36
</v>
      </c>
      <c r="D92" s="83" t="s">
        <v>424</v>
      </c>
    </row>
    <row r="93" spans="1:4" ht="46.5">
      <c r="A93" s="83" t="s">
        <v>3418</v>
      </c>
      <c r="B93" s="83" t="s">
        <v>4216</v>
      </c>
      <c r="C93" s="83" t="str">
        <f>IF(OR('Start here'!$C$26=RefData!$B$9,'Scheme benefit cash flow'!$C$7=RefData!$B$26), RefData!$B$2&amp;"
"&amp; B93,B93)</f>
        <v xml:space="preserve">
Year 37
</v>
      </c>
      <c r="D93" s="83" t="s">
        <v>425</v>
      </c>
    </row>
    <row r="94" spans="1:4" ht="46.5">
      <c r="A94" s="83" t="s">
        <v>3419</v>
      </c>
      <c r="B94" s="83" t="s">
        <v>4217</v>
      </c>
      <c r="C94" s="83" t="str">
        <f>IF(OR('Start here'!$C$26=RefData!$B$9,'Scheme benefit cash flow'!$C$7=RefData!$B$26), RefData!$B$2&amp;"
"&amp; B94,B94)</f>
        <v xml:space="preserve">
Year 38
</v>
      </c>
      <c r="D94" s="83" t="s">
        <v>426</v>
      </c>
    </row>
    <row r="95" spans="1:4" ht="46.5">
      <c r="A95" s="83" t="s">
        <v>3420</v>
      </c>
      <c r="B95" s="83" t="s">
        <v>4218</v>
      </c>
      <c r="C95" s="83" t="str">
        <f>IF(OR('Start here'!$C$26=RefData!$B$9,'Scheme benefit cash flow'!$C$7=RefData!$B$26), RefData!$B$2&amp;"
"&amp; B95,B95)</f>
        <v xml:space="preserve">
Year 39
</v>
      </c>
      <c r="D95" s="83" t="s">
        <v>427</v>
      </c>
    </row>
    <row r="96" spans="1:4" ht="46.5">
      <c r="A96" s="83" t="s">
        <v>3421</v>
      </c>
      <c r="B96" s="83" t="s">
        <v>4219</v>
      </c>
      <c r="C96" s="83" t="str">
        <f>IF(OR('Start here'!$C$26=RefData!$B$9,'Scheme benefit cash flow'!$C$7=RefData!$B$26), RefData!$B$2&amp;"
"&amp; B96,B96)</f>
        <v xml:space="preserve">
Year 40
</v>
      </c>
      <c r="D96" s="83" t="s">
        <v>428</v>
      </c>
    </row>
    <row r="97" spans="1:4" ht="46.5">
      <c r="A97" s="83" t="s">
        <v>3081</v>
      </c>
      <c r="B97" s="83" t="s">
        <v>4220</v>
      </c>
      <c r="C97" s="83" t="str">
        <f>IF(OR('Start here'!$C$25=RefData!$B$15), RefData!$B$2&amp;"
"&amp; B97,B97)</f>
        <v xml:space="preserve">
Recovery plan commencement date
</v>
      </c>
      <c r="D97" s="83" t="s">
        <v>212</v>
      </c>
    </row>
    <row r="98" spans="1:4" ht="46.5">
      <c r="A98" s="83" t="s">
        <v>3082</v>
      </c>
      <c r="B98" s="83" t="s">
        <v>4221</v>
      </c>
      <c r="C98" s="83" t="str">
        <f>IF(OR('Start here'!$C$25=RefData!$B$15), RefData!$B$2&amp;"
"&amp; B98,B98)</f>
        <v xml:space="preserve">
Recovery plan end date
</v>
      </c>
      <c r="D98" s="83" t="s">
        <v>213</v>
      </c>
    </row>
    <row r="99" spans="1:4" ht="46.5">
      <c r="A99" s="83" t="s">
        <v>3083</v>
      </c>
      <c r="B99" s="83" t="s">
        <v>4222</v>
      </c>
      <c r="C99" s="83" t="str">
        <f>IF(OR('Start here'!$C$25=RefData!$B$15), RefData!$B$2&amp;"
"&amp; B99,B99)</f>
        <v xml:space="preserve">
What is the technical provision deficit at the valuation date? (£)
</v>
      </c>
      <c r="D99" s="83" t="s">
        <v>214</v>
      </c>
    </row>
    <row r="100" spans="1:4" ht="77.5">
      <c r="A100" s="83" t="s">
        <v>3084</v>
      </c>
      <c r="B100" s="83" t="s">
        <v>4223</v>
      </c>
      <c r="C100" s="83" t="str">
        <f>IF(OR('Start here'!$C$26=RefData!$B$9,'Start here'!$C$25=RefData!$B$15), RefData!$B$2&amp;"
"&amp; B100,B100)</f>
        <v xml:space="preserve">
Is the assumed expected return on assets for the purposes of the recovery plan expressed as a nominal value or as a margin over gilts?
</v>
      </c>
      <c r="D100" s="83" t="s">
        <v>215</v>
      </c>
    </row>
    <row r="101" spans="1:4" ht="62">
      <c r="A101" s="83" t="s">
        <v>3085</v>
      </c>
      <c r="B101" s="83" t="s">
        <v>4224</v>
      </c>
      <c r="C101" s="83" t="str">
        <f>IF(OR('Start here'!$C$26=RefData!$B$9,'Start here'!$C$25=RefData!$B$15, 'Summary of recovery plan'!$C$9=RefData!B29), RefData!$B$2&amp;"
"&amp; B101,B101)</f>
        <v xml:space="preserve">
What is the assumed investment return over recovery plan expressed as a margin over gilts? (%)
</v>
      </c>
      <c r="D101" s="83" t="s">
        <v>217</v>
      </c>
    </row>
    <row r="102" spans="1:4" ht="62">
      <c r="A102" s="83" t="s">
        <v>3086</v>
      </c>
      <c r="B102" s="83" t="s">
        <v>4225</v>
      </c>
      <c r="C102" s="83" t="str">
        <f>IF(OR('Start here'!$C$26=RefData!$B$9,'Start here'!$C$25=RefData!$B$15, 'Summary of recovery plan'!$C$9=RefData!$B$30), RefData!$B$2&amp;"
"&amp; B102,B102)</f>
        <v xml:space="preserve">
What is the assumed investment return over recovery plan expressed as a nominal value? (%)
</v>
      </c>
      <c r="D102" s="83" t="s">
        <v>218</v>
      </c>
    </row>
    <row r="103" spans="1:4" ht="46.5">
      <c r="A103" s="83" t="s">
        <v>3087</v>
      </c>
      <c r="B103" s="83" t="s">
        <v>4226</v>
      </c>
      <c r="C103" s="83" t="str">
        <f>IF(OR('Start here'!$C$25=RefData!$B$15), RefData!$B$2&amp;"
"&amp; B103,B103)</f>
        <v xml:space="preserve">
Has any allowance been made for post-valuation experience?
</v>
      </c>
      <c r="D103" s="83" t="s">
        <v>219</v>
      </c>
    </row>
    <row r="104" spans="1:4" ht="62">
      <c r="A104" s="83" t="s">
        <v>3088</v>
      </c>
      <c r="B104" s="83" t="s">
        <v>4227</v>
      </c>
      <c r="C104" s="83" t="str">
        <f>IF(OR('Start here'!$C$25=RefData!$B$15, 'Summary of recovery plan'!$C$12=RefData!$B$32), RefData!$B$2&amp;"
"&amp; B104,B104)</f>
        <v xml:space="preserve">
What is the estimated technical provisions deficit used for recovery plan purposes? (£)
</v>
      </c>
      <c r="D104" s="83" t="s">
        <v>221</v>
      </c>
    </row>
    <row r="105" spans="1:4" ht="62">
      <c r="A105" s="83" t="s">
        <v>3024</v>
      </c>
      <c r="B105" s="83" t="s">
        <v>4228</v>
      </c>
      <c r="C105" s="83" t="str">
        <f>IF('Start here'!C23=RefData!B17, RefData!$B$2&amp;"
"&amp; B105,B105)</f>
        <v xml:space="preserve">
What is the expected maturity at the relevant date expressed in years of duration?
</v>
      </c>
      <c r="D105" s="83" t="s">
        <v>132</v>
      </c>
    </row>
    <row r="106" spans="1:4" ht="62">
      <c r="A106" s="83" t="s">
        <v>3027</v>
      </c>
      <c r="B106" s="83" t="s">
        <v>4229</v>
      </c>
      <c r="C106" s="83"/>
      <c r="D106" s="83" t="s">
        <v>137</v>
      </c>
    </row>
    <row r="107" spans="1:4" ht="31">
      <c r="A107" s="83" t="s">
        <v>3034</v>
      </c>
      <c r="B107" s="83" t="s">
        <v>4230</v>
      </c>
      <c r="C107" s="83"/>
      <c r="D107" s="83" t="s">
        <v>147</v>
      </c>
    </row>
    <row r="108" spans="1:4" ht="77.5">
      <c r="A108" s="83" t="s">
        <v>3035</v>
      </c>
      <c r="B108" s="83" t="s">
        <v>4231</v>
      </c>
      <c r="C108" s="83"/>
      <c r="D108" s="83" t="s">
        <v>149</v>
      </c>
    </row>
    <row r="109" spans="1:4" ht="77.5">
      <c r="A109" s="83" t="s">
        <v>3036</v>
      </c>
      <c r="B109" s="83" t="s">
        <v>4232</v>
      </c>
      <c r="C109" s="83" t="str">
        <f>IF(NOT('Start here'!$C$26=RefData!$B$10), RefData!$B$2&amp;"
"&amp; B109,B109)</f>
        <v xml:space="preserve">No answer required
To what extent does the funding and investment strategy remain appropriate? Please provide detail about the trustees' conclusion.
</v>
      </c>
      <c r="D109" s="83" t="s">
        <v>151</v>
      </c>
    </row>
    <row r="110" spans="1:4" ht="77.5">
      <c r="A110" s="83" t="s">
        <v>3037</v>
      </c>
      <c r="B110" s="83" t="s">
        <v>4233</v>
      </c>
      <c r="C110" s="83" t="str">
        <f>IF(AND('Start here'!$C$23=RefData!$B$17,'Start here'!$C$25=RefData!$B$15),B110,
IF('Start here'!C23=RefData!B18,B110,
RefData!$B$2&amp;"
"&amp;B110))</f>
        <v xml:space="preserve">No answer required
Do the trustees consider that the funding and investment strategy is being successfully implemented in all respects?
</v>
      </c>
      <c r="D110" s="83" t="s">
        <v>152</v>
      </c>
    </row>
    <row r="111" spans="1:4" ht="77.5">
      <c r="A111" s="83" t="s">
        <v>3038</v>
      </c>
      <c r="B111" s="83" t="s">
        <v>4234</v>
      </c>
      <c r="C111" s="83" t="str">
        <f>IF(AND('Start here'!$C$23=RefData!$B$17,'Start here'!$C$25=RefData!$B$16), B111,
IF('Funding and investment strategy'!$C$36=RefData!$B$103,B111,
RefData!$B$2&amp;"
"&amp;B111))</f>
        <v xml:space="preserve">No answer required
Describe the elements of the funding and investment strategy that are being successfully implemented and those that are not.
</v>
      </c>
      <c r="D111" s="83" t="s">
        <v>153</v>
      </c>
    </row>
    <row r="112" spans="1:4" ht="77.5">
      <c r="A112" s="83" t="s">
        <v>3039</v>
      </c>
      <c r="B112" s="83" t="s">
        <v>4235</v>
      </c>
      <c r="C112" s="83" t="str">
        <f>IF(AND('Start here'!$C$23=RefData!$B$17,'Start here'!$C$25=RefData!$B$16), B112,
IF('Funding and investment strategy'!$C$36=RefData!$B$103,B112,
RefData!$B$2&amp;"
"&amp;B112))</f>
        <v xml:space="preserve">No answer required
What steps (including timings) do the trustees intend to take to remedy the position?
</v>
      </c>
      <c r="D112" s="83" t="s">
        <v>154</v>
      </c>
    </row>
    <row r="113" spans="1:4" ht="46.5">
      <c r="A113" s="83" t="s">
        <v>3089</v>
      </c>
      <c r="B113" s="83" t="s">
        <v>4180</v>
      </c>
      <c r="C113" s="83" t="str">
        <f>IF('Start here'!$C$25=RefData!$B$15, RefData!$B$2&amp;"
"&amp; B113,B113)</f>
        <v xml:space="preserve">
Year 1
</v>
      </c>
      <c r="D113" s="83" t="s">
        <v>226</v>
      </c>
    </row>
    <row r="114" spans="1:4" ht="46.5">
      <c r="A114" s="83" t="s">
        <v>3090</v>
      </c>
      <c r="B114" s="83" t="s">
        <v>4181</v>
      </c>
      <c r="C114" s="83" t="str">
        <f>IF('Start here'!$C$25=RefData!$B$15, RefData!$B$2&amp;"
"&amp; B114,B114)</f>
        <v xml:space="preserve">
Year 2
</v>
      </c>
      <c r="D114" s="83" t="s">
        <v>227</v>
      </c>
    </row>
    <row r="115" spans="1:4" ht="46.5">
      <c r="A115" s="83" t="s">
        <v>3091</v>
      </c>
      <c r="B115" s="83" t="s">
        <v>4182</v>
      </c>
      <c r="C115" s="83" t="str">
        <f>IF('Start here'!$C$25=RefData!$B$15, RefData!$B$2&amp;"
"&amp; B115,B115)</f>
        <v xml:space="preserve">
Year 3
</v>
      </c>
      <c r="D115" s="83" t="s">
        <v>228</v>
      </c>
    </row>
    <row r="116" spans="1:4" ht="62.9" customHeight="1">
      <c r="A116" s="83" t="s">
        <v>3092</v>
      </c>
      <c r="B116" s="83" t="s">
        <v>4183</v>
      </c>
      <c r="C116" s="83" t="str">
        <f>IF(OR('Start here'!$C$25=RefData!$B$15,AND('Start here'!$C$26=RefData!$B$9,'Start here'!$C$25=RefData!$B$16,'Start here'!$C$23=RefData!$B$17)), RefData!$B$2&amp;"
"&amp; B116,B116)</f>
        <v xml:space="preserve">
Year 4
</v>
      </c>
      <c r="D116" s="83" t="s">
        <v>229</v>
      </c>
    </row>
    <row r="117" spans="1:4" ht="62.9" customHeight="1">
      <c r="A117" s="83" t="s">
        <v>3093</v>
      </c>
      <c r="B117" s="83" t="s">
        <v>4184</v>
      </c>
      <c r="C117" s="83" t="str">
        <f>IF(OR('Start here'!$C$25=RefData!$B$15,AND('Start here'!$C$26=RefData!$B$9,'Start here'!$C$25=RefData!$B$16,'Start here'!$C$23=RefData!$B$17)), RefData!$B$2&amp;"
"&amp; B117,B117)</f>
        <v xml:space="preserve">
Year 5
</v>
      </c>
      <c r="D117" s="83" t="s">
        <v>230</v>
      </c>
    </row>
    <row r="118" spans="1:4" ht="46.5">
      <c r="A118" s="83" t="s">
        <v>3094</v>
      </c>
      <c r="B118" s="83" t="s">
        <v>4185</v>
      </c>
      <c r="C118" s="83" t="str">
        <f>IF(OR('Start here'!$C$25=RefData!$B$15,AND('Start here'!$C$26=RefData!$B$9,'Start here'!$C$25=RefData!$B$16,'Start here'!$C$23=RefData!$B$17)), RefData!$B$2&amp;"
"&amp; B118,B118)</f>
        <v xml:space="preserve">
Year 6
</v>
      </c>
      <c r="D118" s="83" t="s">
        <v>231</v>
      </c>
    </row>
    <row r="119" spans="1:4" ht="46.5">
      <c r="A119" s="83" t="s">
        <v>3095</v>
      </c>
      <c r="B119" s="83" t="s">
        <v>4186</v>
      </c>
      <c r="C119" s="83" t="str">
        <f>IF(OR('Start here'!$C$25=RefData!$B$15,AND('Start here'!$C$26=RefData!$B$9,'Start here'!$C$25=RefData!$B$16,'Start here'!$C$23=RefData!$B$17),AND('Start here'!$C$26=RefData!$B$9,'Start here'!$C$25=RefData!$B$16,'Start here'!$C$23=RefData!$B$18)), RefData!$B$2&amp;"
"&amp; B119,B119)</f>
        <v xml:space="preserve">
Year 7
</v>
      </c>
      <c r="D119" s="83" t="s">
        <v>232</v>
      </c>
    </row>
    <row r="120" spans="1:4" ht="46.5">
      <c r="A120" s="83" t="s">
        <v>3096</v>
      </c>
      <c r="B120" s="83" t="s">
        <v>4187</v>
      </c>
      <c r="C120" s="83" t="str">
        <f>IF(OR('Start here'!$C$25=RefData!$B$15,AND('Start here'!$C$26=RefData!$B$9,'Start here'!$C$25=RefData!$B$16,'Start here'!$C$23=RefData!$B$17),AND('Start here'!$C$26=RefData!$B$9,'Start here'!$C$25=RefData!$B$16,'Start here'!$C$23=RefData!$B$18)), RefData!$B$2&amp;"
"&amp; B120,B120)</f>
        <v xml:space="preserve">
Year 8
</v>
      </c>
      <c r="D120" s="83" t="s">
        <v>233</v>
      </c>
    </row>
    <row r="121" spans="1:4" ht="46.5">
      <c r="A121" s="83" t="s">
        <v>3097</v>
      </c>
      <c r="B121" s="83" t="s">
        <v>4188</v>
      </c>
      <c r="C121" s="83" t="str">
        <f>IF(OR('Start here'!$C$25=RefData!$B$15,AND('Start here'!$C$26=RefData!$B$9,'Start here'!$C$25=RefData!$B$16,'Start here'!$C$23=RefData!$B$17),AND('Start here'!$C$26=RefData!$B$9,'Start here'!$C$25=RefData!$B$16,'Start here'!$C$23=RefData!$B$18)), RefData!$B$2&amp;"
"&amp; B121,B121)</f>
        <v xml:space="preserve">
Year 9
</v>
      </c>
      <c r="D121" s="83" t="s">
        <v>234</v>
      </c>
    </row>
    <row r="122" spans="1:4" ht="46.5">
      <c r="A122" s="83" t="s">
        <v>3098</v>
      </c>
      <c r="B122" s="83" t="s">
        <v>4189</v>
      </c>
      <c r="C122" s="83" t="str">
        <f>IF(OR('Start here'!$C$25=RefData!$B$15,AND('Start here'!$C$26=RefData!$B$9,'Start here'!$C$25=RefData!$B$16,'Start here'!$C$23=RefData!$B$17),AND('Start here'!$C$26=RefData!$B$9,'Start here'!$C$25=RefData!$B$16,'Start here'!$C$23=RefData!$B$18)), RefData!$B$2&amp;"
"&amp; B122,B122)</f>
        <v xml:space="preserve">
Year 10
</v>
      </c>
      <c r="D122" s="83" t="s">
        <v>235</v>
      </c>
    </row>
    <row r="123" spans="1:4" ht="46.5">
      <c r="A123" s="83" t="s">
        <v>3099</v>
      </c>
      <c r="B123" s="83" t="s">
        <v>4190</v>
      </c>
      <c r="C123" s="83" t="str">
        <f>IF(OR('Start here'!$C$25=RefData!$B$15,AND('Start here'!$C$26=RefData!$B$9,'Start here'!$C$25=RefData!$B$16,'Start here'!$C$23=RefData!$B$17),AND('Start here'!$C$26=RefData!$B$9,'Start here'!$C$25=RefData!$B$16,'Start here'!$C$23=RefData!$B$18)), RefData!$B$2&amp;"
"&amp; B123,B123)</f>
        <v xml:space="preserve">
Year 11
</v>
      </c>
      <c r="D123" s="83" t="s">
        <v>236</v>
      </c>
    </row>
    <row r="124" spans="1:4" ht="46.5">
      <c r="A124" s="83" t="s">
        <v>3100</v>
      </c>
      <c r="B124" s="83" t="s">
        <v>4191</v>
      </c>
      <c r="C124" s="83" t="str">
        <f>IF(OR('Start here'!$C$25=RefData!$B$15,AND('Start here'!$C$26=RefData!$B$9,'Start here'!$C$25=RefData!$B$16,'Start here'!$C$23=RefData!$B$17),AND('Start here'!$C$26=RefData!$B$9,'Start here'!$C$25=RefData!$B$16,'Start here'!$C$23=RefData!$B$18)), RefData!$B$2&amp;"
"&amp; B124,B124)</f>
        <v xml:space="preserve">
Year 12
</v>
      </c>
      <c r="D124" s="83" t="s">
        <v>237</v>
      </c>
    </row>
    <row r="125" spans="1:4" ht="46.5">
      <c r="A125" s="83" t="s">
        <v>3101</v>
      </c>
      <c r="B125" s="83" t="s">
        <v>4192</v>
      </c>
      <c r="C125" s="83" t="str">
        <f>IF(OR('Start here'!$C$25=RefData!$B$15,AND('Start here'!$C$26=RefData!$B$9,'Start here'!$C$25=RefData!$B$16,'Start here'!$C$23=RefData!$B$17),AND('Start here'!$C$26=RefData!$B$9,'Start here'!$C$25=RefData!$B$16,'Start here'!$C$23=RefData!$B$18)), RefData!$B$2&amp;"
"&amp; B125,B125)</f>
        <v xml:space="preserve">
Year 13
</v>
      </c>
      <c r="D125" s="83" t="s">
        <v>238</v>
      </c>
    </row>
    <row r="126" spans="1:4" ht="46.5">
      <c r="A126" s="83" t="s">
        <v>3102</v>
      </c>
      <c r="B126" s="83" t="s">
        <v>4193</v>
      </c>
      <c r="C126" s="83" t="str">
        <f>IF(OR('Start here'!$C$25=RefData!$B$15,AND('Start here'!$C$26=RefData!$B$9,'Start here'!$C$25=RefData!$B$16,'Start here'!$C$23=RefData!$B$17),AND('Start here'!$C$26=RefData!$B$9,'Start here'!$C$25=RefData!$B$16,'Start here'!$C$23=RefData!$B$18)), RefData!$B$2&amp;"
"&amp; B126,B126)</f>
        <v xml:space="preserve">
Year 14
</v>
      </c>
      <c r="D126" s="83" t="s">
        <v>239</v>
      </c>
    </row>
    <row r="127" spans="1:4" ht="46.5">
      <c r="A127" s="83" t="s">
        <v>3103</v>
      </c>
      <c r="B127" s="83" t="s">
        <v>4194</v>
      </c>
      <c r="C127" s="83" t="str">
        <f>IF(OR('Start here'!$C$25=RefData!$B$15,AND('Start here'!$C$26=RefData!$B$9,'Start here'!$C$25=RefData!$B$16,'Start here'!$C$23=RefData!$B$17),AND('Start here'!$C$26=RefData!$B$9,'Start here'!$C$25=RefData!$B$16,'Start here'!$C$23=RefData!$B$18)), RefData!$B$2&amp;"
"&amp; B127,B127)</f>
        <v xml:space="preserve">
Year 15
</v>
      </c>
      <c r="D127" s="83" t="s">
        <v>240</v>
      </c>
    </row>
    <row r="128" spans="1:4" ht="46.5">
      <c r="A128" s="83" t="s">
        <v>3104</v>
      </c>
      <c r="B128" s="83" t="s">
        <v>4195</v>
      </c>
      <c r="C128" s="83" t="str">
        <f>IF(OR('Start here'!$C$25=RefData!$B$15,AND('Start here'!$C$26=RefData!$B$9,'Start here'!$C$25=RefData!$B$16,'Start here'!$C$23=RefData!$B$17),AND('Start here'!$C$26=RefData!$B$9,'Start here'!$C$25=RefData!$B$16,'Start here'!$C$23=RefData!$B$18)), RefData!$B$2&amp;"
"&amp; B128,B128)</f>
        <v xml:space="preserve">
Year 16
</v>
      </c>
      <c r="D128" s="83" t="s">
        <v>241</v>
      </c>
    </row>
    <row r="129" spans="1:4" ht="46.5">
      <c r="A129" s="83" t="s">
        <v>3105</v>
      </c>
      <c r="B129" s="83" t="s">
        <v>4196</v>
      </c>
      <c r="C129" s="83" t="str">
        <f>IF(OR('Start here'!$C$25=RefData!$B$15,AND('Start here'!$C$26=RefData!$B$9,'Start here'!$C$25=RefData!$B$16,'Start here'!$C$23=RefData!$B$17),AND('Start here'!$C$26=RefData!$B$9,'Start here'!$C$25=RefData!$B$16,'Start here'!$C$23=RefData!$B$18)), RefData!$B$2&amp;"
"&amp; B129,B129)</f>
        <v xml:space="preserve">
Year 17
</v>
      </c>
      <c r="D129" s="83" t="s">
        <v>242</v>
      </c>
    </row>
    <row r="130" spans="1:4" ht="46.5">
      <c r="A130" s="83" t="s">
        <v>3106</v>
      </c>
      <c r="B130" s="83" t="s">
        <v>4197</v>
      </c>
      <c r="C130" s="83" t="str">
        <f>IF(OR('Start here'!$C$25=RefData!$B$15,AND('Start here'!$C$26=RefData!$B$9,'Start here'!$C$25=RefData!$B$16,'Start here'!$C$23=RefData!$B$17),AND('Start here'!$C$26=RefData!$B$9,'Start here'!$C$25=RefData!$B$16,'Start here'!$C$23=RefData!$B$18)), RefData!$B$2&amp;"
"&amp; B130,B130)</f>
        <v xml:space="preserve">
Year 18
</v>
      </c>
      <c r="D130" s="83" t="s">
        <v>243</v>
      </c>
    </row>
    <row r="131" spans="1:4" ht="46.5">
      <c r="A131" s="83" t="s">
        <v>3107</v>
      </c>
      <c r="B131" s="83" t="s">
        <v>4198</v>
      </c>
      <c r="C131" s="83" t="str">
        <f>IF(OR('Start here'!$C$25=RefData!$B$15,AND('Start here'!$C$26=RefData!$B$9,'Start here'!$C$25=RefData!$B$16,'Start here'!$C$23=RefData!$B$17),AND('Start here'!$C$26=RefData!$B$9,'Start here'!$C$25=RefData!$B$16,'Start here'!$C$23=RefData!$B$18)), RefData!$B$2&amp;"
"&amp; B131,B131)</f>
        <v xml:space="preserve">
Year 19
</v>
      </c>
      <c r="D131" s="83" t="s">
        <v>244</v>
      </c>
    </row>
    <row r="132" spans="1:4" ht="46.5">
      <c r="A132" s="83" t="s">
        <v>3108</v>
      </c>
      <c r="B132" s="83" t="s">
        <v>4199</v>
      </c>
      <c r="C132" s="83" t="str">
        <f>IF(OR('Start here'!$C$25=RefData!$B$15,AND('Start here'!$C$26=RefData!$B$9,'Start here'!$C$25=RefData!$B$16,'Start here'!$C$23=RefData!$B$17),AND('Start here'!$C$26=RefData!$B$9,'Start here'!$C$25=RefData!$B$16,'Start here'!$C$23=RefData!$B$18)), RefData!$B$2&amp;"
"&amp; B132,B132)</f>
        <v xml:space="preserve">
Year 20
</v>
      </c>
      <c r="D132" s="83" t="s">
        <v>245</v>
      </c>
    </row>
    <row r="133" spans="1:4" ht="46.5">
      <c r="A133" s="83" t="s">
        <v>3109</v>
      </c>
      <c r="B133" s="83" t="s">
        <v>4236</v>
      </c>
      <c r="C133" s="83" t="str">
        <f>IF(OR('Start here'!$C$25=RefData!$B$15,AND('Start here'!$C$26=RefData!$B$9,'Start here'!$C$25=RefData!$B$16,'Start here'!$C$23=RefData!$B$17),AND('Start here'!$C$26=RefData!$B$9,'Start here'!$C$25=RefData!$B$16,'Start here'!$C$23=RefData!$B$18)), RefData!$B$2&amp;"
"&amp; B133,B133)</f>
        <v xml:space="preserve">
Year 21+
</v>
      </c>
      <c r="D133" s="83" t="s">
        <v>246</v>
      </c>
    </row>
    <row r="134" spans="1:4" ht="62">
      <c r="A134" s="83" t="s">
        <v>3111</v>
      </c>
      <c r="B134" s="83" t="s">
        <v>4237</v>
      </c>
      <c r="C134" s="83"/>
      <c r="D134" s="83" t="s">
        <v>252</v>
      </c>
    </row>
    <row r="135" spans="1:4" ht="62">
      <c r="A135" s="83" t="s">
        <v>3112</v>
      </c>
      <c r="B135" s="83" t="s">
        <v>4238</v>
      </c>
      <c r="C135" s="83" t="str">
        <f>IF('Discount rates'!C8&lt;&gt;RefData!B40, RefData!$B$2&amp;"
"&amp; B135,B135)</f>
        <v xml:space="preserve">No answer required
Describe the discount rate methodology used.
</v>
      </c>
      <c r="D135" s="83" t="s">
        <v>254</v>
      </c>
    </row>
    <row r="136" spans="1:4" ht="46.5">
      <c r="A136" s="83" t="s">
        <v>3114</v>
      </c>
      <c r="B136" s="83" t="s">
        <v>4239</v>
      </c>
      <c r="C136" s="83" t="str">
        <f>IF('Start here'!$C$26=RefData!$B$9, RefData!$B$2&amp;"
"&amp; B136,B136)</f>
        <v xml:space="preserve">
How is the discount rate derived?
</v>
      </c>
      <c r="D136" s="83" t="s">
        <v>256</v>
      </c>
    </row>
    <row r="137" spans="1:4" ht="62">
      <c r="A137" s="83" t="s">
        <v>3115</v>
      </c>
      <c r="B137" s="83" t="s">
        <v>4240</v>
      </c>
      <c r="C137" s="83" t="str">
        <f>IF('Discount rates'!C11&lt;&gt;RefData!B45, RefData!$B$2&amp;"
"&amp; B137,B137)</f>
        <v xml:space="preserve">No answer required
Describe how the discount rate is derived
</v>
      </c>
      <c r="D137" s="83" t="s">
        <v>258</v>
      </c>
    </row>
    <row r="138" spans="1:4" ht="51" customHeight="1">
      <c r="A138" s="83" t="s">
        <v>3125</v>
      </c>
      <c r="B138" s="83" t="s">
        <v>4241</v>
      </c>
      <c r="C138" s="83"/>
      <c r="D138" s="83" t="s">
        <v>271</v>
      </c>
    </row>
    <row r="139" spans="1:4" ht="62">
      <c r="A139" s="83" t="s">
        <v>3126</v>
      </c>
      <c r="B139" s="83" t="s">
        <v>4242</v>
      </c>
      <c r="C139" s="83" t="str">
        <f>IF(AND('Start here'!$C$24=RefData!$B$4, 'Discount rates'!$C$7=RefData!$B$7,OR('Other assumptions'!$C$7=RefData!$B$46, 'Other assumptions'!$C$7=RefData!$B$48)),B139, RefData!$B$2&amp;"
"&amp; B139)</f>
        <v xml:space="preserve">No answer required
What is the single equivalent RPI assumption?
</v>
      </c>
      <c r="D139" s="83" t="s">
        <v>273</v>
      </c>
    </row>
    <row r="140" spans="1:4" ht="62">
      <c r="A140" s="83" t="s">
        <v>3127</v>
      </c>
      <c r="B140" s="83" t="s">
        <v>4243</v>
      </c>
      <c r="C140" s="83" t="str">
        <f>IF(AND('Start here'!$C$24=RefData!$B$4, 'Discount rates'!$C$7=RefData!$B$7,OR('Other assumptions'!$C$7=RefData!$B$46, 'Other assumptions'!$C$7=RefData!$B$47)),B140, RefData!$B$2&amp;"
"&amp; B140)</f>
        <v xml:space="preserve">No answer required
What is the single equivalent CPI assumption?
</v>
      </c>
      <c r="D140" s="83" t="s">
        <v>274</v>
      </c>
    </row>
    <row r="141" spans="1:4" ht="51" customHeight="1">
      <c r="A141" s="83" t="s">
        <v>3128</v>
      </c>
      <c r="B141" s="83" t="s">
        <v>4244</v>
      </c>
      <c r="C141" s="83"/>
      <c r="D141" s="83" t="s">
        <v>275</v>
      </c>
    </row>
    <row r="142" spans="1:4" ht="62">
      <c r="A142" s="83" t="s">
        <v>3129</v>
      </c>
      <c r="B142" s="83" t="s">
        <v>4245</v>
      </c>
      <c r="C142" s="83" t="str">
        <f>IF(AND('Start here'!C24=RefData!B4, 'Discount rates'!C7=RefData!B7, 'Other assumptions'!C10=RefData!B50),B142, RefData!$B$2&amp;"
"&amp; B142)</f>
        <v xml:space="preserve">No answer required
Pay increases: active members (excluding promotional scale).
</v>
      </c>
      <c r="D142" s="83" t="s">
        <v>277</v>
      </c>
    </row>
    <row r="143" spans="1:4" ht="62">
      <c r="A143" s="83" t="s">
        <v>4078</v>
      </c>
      <c r="B143" s="83" t="s">
        <v>4246</v>
      </c>
      <c r="C143" s="83" t="str">
        <f>IF(AND('Start here'!$C$24=RefData!$B$4,'Discount rates'!$C$7=RefData!$B$7), RefData!$B$2&amp;"
"&amp; $B143,$B143)</f>
        <v xml:space="preserve">
Underlying yield curve: forward discount rates over the next 40 years (%)
</v>
      </c>
      <c r="D143" s="83" t="e">
        <v>#N/A</v>
      </c>
    </row>
    <row r="144" spans="1:4" ht="62">
      <c r="A144" s="83" t="s">
        <v>4080</v>
      </c>
      <c r="B144" s="83" t="s">
        <v>4247</v>
      </c>
      <c r="C144" s="83" t="str">
        <f>IF(OR(AND('Start here'!$C$24=RefData!$B$4,'Discount rates'!$C$7=RefData!$B$7),'Discount rates'!$C$8=RefData!$B$35), RefData!$B$2&amp;"
"&amp; $B144,$B144)</f>
        <v xml:space="preserve">
Technical provisions discount rate addition to the curve over the next 40 years (%)
</v>
      </c>
      <c r="D144" s="83" t="e">
        <v>#N/A</v>
      </c>
    </row>
    <row r="145" spans="1:4" ht="62">
      <c r="A145" s="83" t="s">
        <v>4081</v>
      </c>
      <c r="B145" s="83" t="s">
        <v>4248</v>
      </c>
      <c r="C145" s="83" t="str">
        <f>IF(OR(AND('Start here'!$C$24=RefData!$B$4,'Discount rates'!$C$7=RefData!$B$7),'Discount rates'!$C$8=RefData!$B$35), RefData!$B$2&amp;"
"&amp; $B145,$B145)</f>
        <v xml:space="preserve">
Low dependency discount rate addition to the curve over the next 40 years (%)
</v>
      </c>
      <c r="D145" s="83" t="e">
        <v>#N/A</v>
      </c>
    </row>
    <row r="146" spans="1:4" ht="46.5">
      <c r="A146" s="83" t="s">
        <v>4082</v>
      </c>
      <c r="B146" s="83" t="s">
        <v>4249</v>
      </c>
      <c r="C146" s="83" t="str">
        <f>IF(OR(AND('Start here'!$C$24=RefData!$B$4,'Discount rates'!$C$7=RefData!$B$7),OR('Other assumptions'!$C$7=RefData!$B$49,'Other assumptions'!$C$7=RefData!$B$47)), RefData!$B$2&amp;"
"&amp; $B146,$B146)</f>
        <v xml:space="preserve">
RPI assumptions forward curve over the next 40 years (%)
</v>
      </c>
      <c r="D146" s="83" t="e">
        <v>#N/A</v>
      </c>
    </row>
    <row r="147" spans="1:4" ht="46.5">
      <c r="A147" s="83" t="s">
        <v>4084</v>
      </c>
      <c r="B147" s="83" t="s">
        <v>4250</v>
      </c>
      <c r="C147" s="83" t="str">
        <f>IF(OR(AND('Start here'!$C$24=RefData!$B$4,'Discount rates'!$C$7=RefData!$B$7),OR('Other assumptions'!$C$7=RefData!$B$49,'Other assumptions'!$C$7=RefData!$B$48)), RefData!$B$2&amp;"
"&amp; $B147,$B147)</f>
        <v xml:space="preserve">
CPI assumptions forward curve over the next 40 years (%)
</v>
      </c>
      <c r="D147" s="83" t="e">
        <v>#N/A</v>
      </c>
    </row>
    <row r="148" spans="1:4" ht="46.5">
      <c r="A148" s="83" t="s">
        <v>4086</v>
      </c>
      <c r="B148" s="83" t="s">
        <v>4251</v>
      </c>
      <c r="C148" s="83" t="str">
        <f>IF(OR(AND('Start here'!$C$24=RefData!$B$4,'Discount rates'!$C$7=RefData!$B$7),'Other assumptions'!$C$10=RefData!$B$51), RefData!$B$2&amp;"
"&amp; $B148,$B148)</f>
        <v xml:space="preserve">
Pay increase assumptions forward curve over the next 40 years (%)
</v>
      </c>
      <c r="D148" s="83" t="e">
        <v>#N/A</v>
      </c>
    </row>
    <row r="149" spans="1:4" ht="77.5">
      <c r="A149" s="83" t="s">
        <v>3675</v>
      </c>
      <c r="B149" s="83" t="s">
        <v>4252</v>
      </c>
      <c r="C149" s="83" t="str">
        <f>IF('Start here'!$C$26&lt;&gt;RefData!$B$10,B149, RefData!$B$2&amp;"
"&amp; B149)</f>
        <v xml:space="preserve">
What is the scheme's current level of investment risk calculated according to the Fast Track stress test expressed as a percentage? (%)
</v>
      </c>
      <c r="D149" s="83" t="s">
        <v>433</v>
      </c>
    </row>
    <row r="150" spans="1:4" ht="62">
      <c r="A150" s="83" t="s">
        <v>3676</v>
      </c>
      <c r="B150" s="83" t="s">
        <v>4253</v>
      </c>
      <c r="C150" s="83" t="str">
        <f>IF('Start here'!$C$26&lt;&gt;RefData!$B$9,B150, RefData!$B$2&amp;"
"&amp; B150)</f>
        <v xml:space="preserve">
What is the scheme's current level of investment risk expressed as a pound value? (£)
</v>
      </c>
      <c r="D150" s="83" t="s">
        <v>434</v>
      </c>
    </row>
    <row r="151" spans="1:4" ht="108.5">
      <c r="A151" s="83" t="s">
        <v>3677</v>
      </c>
      <c r="B151" s="83" t="s">
        <v>4254</v>
      </c>
      <c r="C151" s="83" t="str">
        <f>IF('Start here'!C23&lt;&gt;RefData!B18,B151, RefData!$B$2&amp;"
"&amp; B151)</f>
        <v xml:space="preserve">
How does the scheme's intended investment allocation at the relevant date comply with the objective that assets of at least the value of the scheme's liabilities (calculated on a low dependency funding basis) are invested in accordance with a low dependency investment allocation?
</v>
      </c>
      <c r="D151" s="83" t="s">
        <v>435</v>
      </c>
    </row>
    <row r="152" spans="1:4" ht="62">
      <c r="A152" s="83" t="s">
        <v>3678</v>
      </c>
      <c r="B152" s="83" t="s">
        <v>4255</v>
      </c>
      <c r="C152" s="83" t="str">
        <f>IF('Start here'!$C$26&lt;&gt;RefData!$B$9,B152, RefData!$B$2&amp;"
"&amp; B152)</f>
        <v xml:space="preserve">
How has the current level of risk in the scheme's notional investment strategy been determined?
</v>
      </c>
      <c r="D152" s="83" t="s">
        <v>437</v>
      </c>
    </row>
    <row r="153" spans="1:4" ht="62">
      <c r="A153" s="83" t="s">
        <v>3679</v>
      </c>
      <c r="B153" s="83" t="s">
        <v>4256</v>
      </c>
      <c r="C153" s="83" t="str">
        <f>IF(AND('Investment risk - current level'!C14=RefData!B56, 'Start here'!$C$26=RefData!$B$10),B153, RefData!$B$2&amp;"
"&amp; B153)</f>
        <v xml:space="preserve">No answer required
Explain how the level of risk has been determined.
</v>
      </c>
      <c r="D153" s="83" t="s">
        <v>439</v>
      </c>
    </row>
    <row r="154" spans="1:4" ht="77.5">
      <c r="A154" s="83" t="s">
        <v>3680</v>
      </c>
      <c r="B154" s="83" t="s">
        <v>4257</v>
      </c>
      <c r="C154" s="83" t="str">
        <f>IF(AND('Start here'!$C$26&lt;&gt;RefData!$B$9,OR('Investment risk - current level'!$C$14=RefData!$B$54,'Investment risk - current level'!$C$14=RefData!$B$55)),B154, RefData!$B$2&amp;"
"&amp; B154)</f>
        <v xml:space="preserve">No answer required
Has the investment risk calculation been based on liabilities and assets or assets only?
</v>
      </c>
      <c r="D154" s="83" t="s">
        <v>440</v>
      </c>
    </row>
    <row r="155" spans="1:4" ht="46.5">
      <c r="A155" s="83" t="s">
        <v>3681</v>
      </c>
      <c r="B155" s="83" t="s">
        <v>4258</v>
      </c>
      <c r="C155" s="83" t="str">
        <f>IF(OR('Start here'!$C$26=RefData!$B$9, 'Investment risk - current level'!$C$16=RefData!$B$58, AND('Start here'!$C$26=RefData!$B$10, OR('Investment risk - current level'!$C$14=RefData!$B$53, 'Investment risk - current level'!$C$14=RefData!$B$56))), RefData!$B$2&amp;"
"&amp; B155, B155)</f>
        <v xml:space="preserve">
What liability basis has been used?
</v>
      </c>
      <c r="D155" s="83" t="s">
        <v>442</v>
      </c>
    </row>
    <row r="156" spans="1:4" ht="62">
      <c r="A156" s="83" t="s">
        <v>3682</v>
      </c>
      <c r="B156" s="83" t="s">
        <v>4259</v>
      </c>
      <c r="C156" s="83" t="str">
        <f>IF(OR('Start here'!$C$26=RefData!$B$9, 'Investment risk - current level'!$C$16=RefData!$B$58, 'Investment risk - current level'!$C$17&lt;&gt;RefData!$B$61, AND('Start here'!$C$26=RefData!$B$10, OR('Investment risk - current level'!$C$14=RefData!$B$53, 'Investment risk - current level'!$C$14=RefData!$B$56))), RefData!$B$2&amp;"
"&amp; B156, B156)</f>
        <v xml:space="preserve">No answer required
What margin over gilts has been used? (%)
</v>
      </c>
      <c r="D156" s="83" t="s">
        <v>443</v>
      </c>
    </row>
    <row r="157" spans="1:4" ht="62">
      <c r="A157" s="83" t="s">
        <v>3683</v>
      </c>
      <c r="B157" s="83" t="s">
        <v>4260</v>
      </c>
      <c r="C157" s="83" t="str">
        <f>IF(OR('Start here'!$C$26=RefData!$B$9, 'Investment risk - current level'!$C$16=RefData!$B$58, 'Investment risk - current level'!$C$17&lt;&gt;RefData!$B$62, AND('Start here'!$C$26=RefData!$B$10, OR('Investment risk - current level'!$C$14=RefData!$B$53, 'Investment risk - current level'!$C$14=RefData!$B$56))), RefData!$B$2&amp;"
"&amp; B157, B157)</f>
        <v xml:space="preserve">No answer required
What margin over swaps has been used? (%)
</v>
      </c>
      <c r="D157" s="83" t="s">
        <v>444</v>
      </c>
    </row>
    <row r="158" spans="1:4" ht="62">
      <c r="A158" s="83" t="s">
        <v>3684</v>
      </c>
      <c r="B158" s="83" t="s">
        <v>4261</v>
      </c>
      <c r="C158" s="83" t="str">
        <f>IF(OR('Start here'!$C$26=RefData!$B$9, 'Investment risk - current level'!$C$16=RefData!$B$58, 'Investment risk - current level'!$C$17&lt;&gt;RefData!$B$63, AND('Start here'!$C$26=RefData!$B$10, OR('Investment risk - current level'!$C$14=RefData!$B$53, 'Investment risk - current level'!$C$14=RefData!$B$56))), RefData!$B$2&amp;"
"&amp; B158, B158)</f>
        <v xml:space="preserve">No answer required
Describe the liability basis.
</v>
      </c>
      <c r="D158" s="83" t="s">
        <v>445</v>
      </c>
    </row>
    <row r="159" spans="1:4" ht="62">
      <c r="A159" s="83" t="s">
        <v>3685</v>
      </c>
      <c r="B159" s="83" t="s">
        <v>4262</v>
      </c>
      <c r="C159" s="83" t="str">
        <f>IF(OR('Start here'!$C$26=RefData!$B$9, AND('Start here'!$C$26=RefData!$B$10, OR('Investment risk - current level'!$C$14=RefData!$B$53, 'Investment risk - current level'!$C$14=RefData!$B$56))), RefData!$B$2&amp;"
"&amp; B159, B159)</f>
        <v xml:space="preserve">
At or to which percentile point has the investment risk been calculated? (%)
</v>
      </c>
      <c r="D159" s="83" t="s">
        <v>446</v>
      </c>
    </row>
    <row r="160" spans="1:4" ht="46.5">
      <c r="A160" s="83" t="s">
        <v>3686</v>
      </c>
      <c r="B160" s="83" t="s">
        <v>4263</v>
      </c>
      <c r="C160" s="83" t="str">
        <f>IF(OR('Start here'!$C$26=RefData!$B$9, AND('Start here'!$C$26=RefData!$B$10, OR('Investment risk - current level'!$C$14=RefData!$B$53, 'Investment risk - current level'!$C$14=RefData!$B$56))), RefData!$B$2&amp;"
"&amp; B160, B160)</f>
        <v xml:space="preserve">
Over what period has the investment risk been calculated?
</v>
      </c>
      <c r="D160" s="83" t="s">
        <v>447</v>
      </c>
    </row>
    <row r="161" spans="1:4" ht="77.5">
      <c r="A161" s="83" t="s">
        <v>3687</v>
      </c>
      <c r="B161" s="83" t="s">
        <v>4264</v>
      </c>
      <c r="C161" s="83" t="str">
        <f>IF('Start here'!$C$26=RefData!$B$9, RefData!$B$2&amp;"
"&amp; B161, B161)</f>
        <v xml:space="preserve">
Is the expected long-term return that the notional investment allocation is assumed to provide expressed as a nominal value or as a margin over gilts?
</v>
      </c>
      <c r="D161" s="83" t="s">
        <v>449</v>
      </c>
    </row>
    <row r="162" spans="1:4" ht="77.5">
      <c r="A162" s="83" t="s">
        <v>3688</v>
      </c>
      <c r="B162" s="83" t="s">
        <v>4265</v>
      </c>
      <c r="C162" s="83" t="str">
        <f>IF(OR('Start here'!$C$26=RefData!$B$9, 'Investment risk - current level'!$C$26&lt;&gt;RefData!$B$65), RefData!$B$2&amp;"
"&amp; B162, B162)</f>
        <v xml:space="preserve">No answer required
What is the expected long-term return that the notional investment allocation is assumed to provide, expressed as a margin over gilts? (%)
</v>
      </c>
      <c r="D162" s="83" t="s">
        <v>451</v>
      </c>
    </row>
    <row r="163" spans="1:4" ht="77.5">
      <c r="A163" s="83" t="s">
        <v>3689</v>
      </c>
      <c r="B163" s="83" t="s">
        <v>4266</v>
      </c>
      <c r="C163" s="83" t="str">
        <f>IF(OR('Start here'!$C$26=RefData!$B$9, 'Investment risk - current level'!$C$26&lt;&gt;RefData!$B$64), RefData!$B$2&amp;"
"&amp; B163, B163)</f>
        <v xml:space="preserve">No answer required
What is the expected long-term return that the notional investment allocation is assumed to provide expressed as a nominal value?
</v>
      </c>
      <c r="D163" s="83" t="s">
        <v>452</v>
      </c>
    </row>
    <row r="164" spans="1:4" ht="62">
      <c r="A164" s="83" t="s">
        <v>3690</v>
      </c>
      <c r="B164" s="83" t="s">
        <v>4267</v>
      </c>
      <c r="C164" s="83"/>
      <c r="D164" s="83" t="s">
        <v>453</v>
      </c>
    </row>
    <row r="165" spans="1:4" ht="62">
      <c r="A165" s="83" t="s">
        <v>3691</v>
      </c>
      <c r="B165" s="83" t="s">
        <v>4268</v>
      </c>
      <c r="C165" s="83"/>
      <c r="D165" s="83" t="s">
        <v>454</v>
      </c>
    </row>
    <row r="166" spans="1:4" ht="62">
      <c r="A166" s="83" t="s">
        <v>3692</v>
      </c>
      <c r="B166" s="83" t="s">
        <v>4269</v>
      </c>
      <c r="C166" s="83"/>
      <c r="D166" s="83" t="s">
        <v>455</v>
      </c>
    </row>
    <row r="167" spans="1:4" ht="62">
      <c r="A167" s="83" t="s">
        <v>3693</v>
      </c>
      <c r="B167" s="83" t="s">
        <v>4270</v>
      </c>
      <c r="C167" s="83"/>
      <c r="D167" s="83" t="s">
        <v>456</v>
      </c>
    </row>
    <row r="168" spans="1:4" ht="46.5">
      <c r="A168" s="83" t="s">
        <v>3694</v>
      </c>
      <c r="B168" s="83" t="s">
        <v>4271</v>
      </c>
      <c r="C168" s="83"/>
      <c r="D168" s="83" t="s">
        <v>457</v>
      </c>
    </row>
    <row r="169" spans="1:4" ht="46.5">
      <c r="A169" s="83" t="s">
        <v>3695</v>
      </c>
      <c r="B169" s="83" t="s">
        <v>4272</v>
      </c>
      <c r="C169" s="83"/>
      <c r="D169" s="83" t="s">
        <v>458</v>
      </c>
    </row>
    <row r="170" spans="1:4" ht="46.5">
      <c r="A170" s="83" t="s">
        <v>3696</v>
      </c>
      <c r="B170" s="83" t="s">
        <v>4273</v>
      </c>
      <c r="C170" s="83"/>
      <c r="D170" s="83" t="s">
        <v>459</v>
      </c>
    </row>
    <row r="171" spans="1:4" ht="46.5">
      <c r="A171" s="83" t="s">
        <v>3697</v>
      </c>
      <c r="B171" s="83" t="s">
        <v>4274</v>
      </c>
      <c r="C171" s="83"/>
      <c r="D171" s="83" t="s">
        <v>460</v>
      </c>
    </row>
    <row r="172" spans="1:4" ht="62">
      <c r="A172" s="83" t="s">
        <v>3698</v>
      </c>
      <c r="B172" s="83" t="s">
        <v>4275</v>
      </c>
      <c r="C172" s="83"/>
      <c r="D172" s="83" t="s">
        <v>461</v>
      </c>
    </row>
    <row r="173" spans="1:4" ht="46.5">
      <c r="A173" s="83" t="s">
        <v>3699</v>
      </c>
      <c r="B173" s="83" t="s">
        <v>4276</v>
      </c>
      <c r="C173" s="83"/>
      <c r="D173" s="83" t="s">
        <v>462</v>
      </c>
    </row>
    <row r="174" spans="1:4" ht="46.5">
      <c r="A174" s="83" t="s">
        <v>3700</v>
      </c>
      <c r="B174" s="83" t="s">
        <v>4277</v>
      </c>
      <c r="C174" s="83"/>
      <c r="D174" s="83" t="s">
        <v>463</v>
      </c>
    </row>
    <row r="175" spans="1:4" ht="62">
      <c r="A175" s="83" t="s">
        <v>3701</v>
      </c>
      <c r="B175" s="83" t="s">
        <v>4278</v>
      </c>
      <c r="C175" s="83"/>
      <c r="D175" s="83" t="s">
        <v>464</v>
      </c>
    </row>
    <row r="176" spans="1:4" ht="46.5">
      <c r="A176" s="83" t="s">
        <v>3702</v>
      </c>
      <c r="B176" s="83" t="s">
        <v>4279</v>
      </c>
      <c r="C176" s="83"/>
      <c r="D176" s="83" t="s">
        <v>465</v>
      </c>
    </row>
    <row r="177" spans="1:4" ht="62">
      <c r="A177" s="83" t="s">
        <v>3703</v>
      </c>
      <c r="B177" s="83" t="s">
        <v>4280</v>
      </c>
      <c r="C177" s="83" t="str">
        <f>IF('Start here'!$C$26=RefData!$B$9, RefData!$B$2&amp;"
"&amp; B177, B177)</f>
        <v xml:space="preserve">
Does the scheme currently have an explicit interest rate or inflation-hedging target?
</v>
      </c>
      <c r="D177" s="83" t="s">
        <v>466</v>
      </c>
    </row>
    <row r="178" spans="1:4" ht="46.5">
      <c r="A178" s="83" t="s">
        <v>3704</v>
      </c>
      <c r="B178" s="83" t="s">
        <v>4281</v>
      </c>
      <c r="C178" s="83" t="str">
        <f>IF(OR('Start here'!$C$26=RefData!$B$9, 'Investment risk - current level'!$C$43=RefData!$B$82), RefData!$B$2&amp;"
"&amp; B178, B178)</f>
        <v xml:space="preserve">
What are the current hedging targets measured as a proportion of?
</v>
      </c>
      <c r="D178" s="83" t="s">
        <v>468</v>
      </c>
    </row>
    <row r="179" spans="1:4" ht="77.5">
      <c r="A179" s="83" t="s">
        <v>3705</v>
      </c>
      <c r="B179" s="83" t="s">
        <v>4282</v>
      </c>
      <c r="C179" s="83" t="str">
        <f>IF(OR('Start here'!$C$26=RefData!$B$9, 'Investment risk - current level'!$C$43=RefData!$B$82, 'Investment risk - current level'!C44&lt;&gt;RefData!B86), RefData!$B$2&amp;"
"&amp; B179, B179)</f>
        <v xml:space="preserve">No answer required
Explain what the scheme's interest and/or inflation hedging targets are measured against.
</v>
      </c>
      <c r="D179" s="83" t="s">
        <v>469</v>
      </c>
    </row>
    <row r="180" spans="1:4" ht="62">
      <c r="A180" s="83" t="s">
        <v>3706</v>
      </c>
      <c r="B180" s="83" t="s">
        <v>4283</v>
      </c>
      <c r="C180" s="83" t="str">
        <f>IF(OR('Start here'!$C$26=RefData!$B$9, 'Investment risk - current level'!$C$43=RefData!$B$82), RefData!$B$2&amp;"
"&amp; B180, B180)</f>
        <v xml:space="preserve">
Do the current target interest and inflation hedging ratios include insured annuities?
</v>
      </c>
      <c r="D180" s="83" t="s">
        <v>470</v>
      </c>
    </row>
    <row r="181" spans="1:4" ht="46.5">
      <c r="A181" s="83" t="s">
        <v>3707</v>
      </c>
      <c r="B181" s="83" t="s">
        <v>4284</v>
      </c>
      <c r="C181" s="83" t="str">
        <f>IF(OR('Start here'!$C$26=RefData!$B$9, 'Investment risk - current level'!$C$43=RefData!$B$82), RefData!$B$2&amp;"
"&amp; B181, B181)</f>
        <v xml:space="preserve">
What is the target interest rate hedging ratio? (%)
</v>
      </c>
      <c r="D181" s="83" t="s">
        <v>472</v>
      </c>
    </row>
    <row r="182" spans="1:4" ht="46.5">
      <c r="A182" s="83" t="s">
        <v>3708</v>
      </c>
      <c r="B182" s="83" t="s">
        <v>4285</v>
      </c>
      <c r="C182" s="83" t="str">
        <f>IF(OR('Start here'!$C$26=RefData!$B$9, 'Investment risk - current level'!$C$43=RefData!$B$82), RefData!$B$2&amp;"
"&amp; B182, B182)</f>
        <v xml:space="preserve">
What is the target inflation rate hedging ratio? (%)
</v>
      </c>
      <c r="D182" s="83" t="s">
        <v>473</v>
      </c>
    </row>
    <row r="183" spans="1:4" ht="46.5">
      <c r="A183" s="83" t="s">
        <v>3709</v>
      </c>
      <c r="B183" s="83" t="s">
        <v>4286</v>
      </c>
      <c r="C183" s="83"/>
      <c r="D183" s="83" t="s">
        <v>476</v>
      </c>
    </row>
    <row r="184" spans="1:4" ht="46.5">
      <c r="A184" s="83" t="s">
        <v>3710</v>
      </c>
      <c r="B184" s="83" t="s">
        <v>4287</v>
      </c>
      <c r="C184" s="83"/>
      <c r="D184" s="83" t="s">
        <v>477</v>
      </c>
    </row>
    <row r="185" spans="1:4" ht="77.5">
      <c r="A185" s="83" t="s">
        <v>3711</v>
      </c>
      <c r="B185" s="83" t="s">
        <v>4288</v>
      </c>
      <c r="C185" s="83" t="str">
        <f>IF('Start here'!$C$26=RefData!$B$9, RefData!$B$2&amp;"
"&amp; B185, B185)</f>
        <v xml:space="preserve">
Does the scheme’s notional investment allocation include leveraged investments that could result in unexpected demands on liquidity from the rest of the scheme’s assets?
</v>
      </c>
      <c r="D185" s="83" t="s">
        <v>478</v>
      </c>
    </row>
    <row r="186" spans="1:4" ht="62">
      <c r="A186" s="83" t="s">
        <v>3712</v>
      </c>
      <c r="B186" s="83" t="s">
        <v>4289</v>
      </c>
      <c r="C186" s="83" t="str">
        <f>IF(OR('Start here'!$C$26=RefData!$B$9,  AND('Start here'!$C$26=RefData!$B$10, 'Start here'!$C$23=RefData!$B$17)), RefData!$B$2&amp;"
"&amp; B186, B186)</f>
        <v xml:space="preserve">
What will be the intended investment risk at the relevant date expressed as a percentage drop in funding level? (%)
</v>
      </c>
      <c r="D186" s="83" t="s">
        <v>482</v>
      </c>
    </row>
    <row r="187" spans="1:4" ht="46.5">
      <c r="A187" s="83" t="s">
        <v>3713</v>
      </c>
      <c r="B187" s="83" t="s">
        <v>4290</v>
      </c>
      <c r="C187" s="83" t="str">
        <f>IF(OR('Start here'!$C$26=RefData!$B$9,  AND('Start here'!$C$26=RefData!$B$10, 'Start here'!$C$23=RefData!$B$17)), RefData!$B$2&amp;"
"&amp; B187, B187)</f>
        <v xml:space="preserve">
What is the scheme's de-risking approach?
</v>
      </c>
      <c r="D187" s="83" t="s">
        <v>483</v>
      </c>
    </row>
    <row r="188" spans="1:4" ht="62">
      <c r="A188" s="83" t="s">
        <v>3714</v>
      </c>
      <c r="B188" s="83" t="s">
        <v>4291</v>
      </c>
      <c r="C188" s="83" t="str">
        <f>IF(OR('Start here'!$C$26=RefData!$B$9,  AND('Start here'!$C$26=RefData!$B$10, 'Start here'!$C$23=RefData!$B$17)), RefData!$B$2&amp;"
"&amp; B188, B188)</f>
        <v xml:space="preserve">
Provide further information that may be helpful to understand the level of risk in the journey plan. (Optional)
</v>
      </c>
      <c r="D188" s="83" t="s">
        <v>484</v>
      </c>
    </row>
    <row r="189" spans="1:4" ht="62">
      <c r="A189" s="83" t="s">
        <v>3715</v>
      </c>
      <c r="B189" s="83" t="s">
        <v>4292</v>
      </c>
      <c r="C189" s="83" t="str">
        <f>IF(OR('Start here'!$C$26=RefData!$B$9, 'Start here'!$C$23=RefData!$B$17), RefData!$B$2&amp;"
"&amp; B189, B189)</f>
        <v xml:space="preserve">
Does the scheme have an explicit interest rate or inflation hedging target at the relevant date?
</v>
      </c>
      <c r="D189" s="83" t="s">
        <v>486</v>
      </c>
    </row>
    <row r="190" spans="1:4" ht="62">
      <c r="A190" s="83" t="s">
        <v>3716</v>
      </c>
      <c r="B190" s="83" t="s">
        <v>4293</v>
      </c>
      <c r="C190" s="83" t="str">
        <f>IF(OR('Start here'!$C$26=RefData!$B$9, 'Start here'!$C$23=RefData!$B$17, 'Invest journey plan-risk level'!$C$13=RefData!$B$74), RefData!$B$2&amp;"
"&amp; B190, B190)</f>
        <v xml:space="preserve">
What are the relevant date hedging targets measured as a proportion of?
</v>
      </c>
      <c r="D190" s="83" t="s">
        <v>488</v>
      </c>
    </row>
    <row r="191" spans="1:4" ht="77.5">
      <c r="A191" s="83" t="s">
        <v>3717</v>
      </c>
      <c r="B191" s="83" t="s">
        <v>4294</v>
      </c>
      <c r="C191" s="83" t="str">
        <f>IF(OR('Start here'!$C$26=RefData!$B$9, 'Start here'!$C$23=RefData!$B$17, 'Invest journey plan-risk level'!$C$13=RefData!$B$74, 'Invest journey plan-risk level'!$C$14&lt;&gt;RefData!$B$78), RefData!$B$2&amp;"
"&amp; B191, B191)</f>
        <v xml:space="preserve">No answer required
Describe what the scheme's interest rate or inflation hedging targets at relevant date are measured against.
</v>
      </c>
      <c r="D191" s="83" t="s">
        <v>490</v>
      </c>
    </row>
    <row r="192" spans="1:4" ht="62">
      <c r="A192" s="83" t="s">
        <v>3718</v>
      </c>
      <c r="B192" s="83" t="s">
        <v>4295</v>
      </c>
      <c r="C192" s="83" t="str">
        <f>IF(OR('Start here'!$C$26=RefData!$B$9,'Start here'!$C$23=RefData!$B$17, 'Invest journey plan-risk level'!$C$13=RefData!$B$74), RefData!$B$2&amp;"
"&amp; B192, B192)</f>
        <v xml:space="preserve">
Do the target interest rate and inflation hedging ratios include insured annuities at the relevant date?
</v>
      </c>
      <c r="D192" s="83" t="s">
        <v>491</v>
      </c>
    </row>
    <row r="193" spans="1:4" ht="62">
      <c r="A193" s="83" t="s">
        <v>3719</v>
      </c>
      <c r="B193" s="83" t="s">
        <v>4296</v>
      </c>
      <c r="C193" s="83" t="str">
        <f>IF(OR('Start here'!$C$26=RefData!$B$9, 'Start here'!$C$23=RefData!$B$17, 'Invest journey plan-risk level'!$C$13=RefData!$B$74), RefData!$B$2&amp;"
"&amp; B193, B193)</f>
        <v xml:space="preserve">
What is the scheme's intended interest rate hedging as a proportion of liabilities at the relevant date? (%)
</v>
      </c>
      <c r="D193" s="83" t="s">
        <v>493</v>
      </c>
    </row>
    <row r="194" spans="1:4" ht="62">
      <c r="A194" s="83" t="s">
        <v>3720</v>
      </c>
      <c r="B194" s="83" t="s">
        <v>4297</v>
      </c>
      <c r="C194" s="83" t="str">
        <f>IF(OR('Start here'!$C$26=RefData!$B$9, 'Start here'!$C$23=RefData!$B$17, 'Invest journey plan-risk level'!$C$13=RefData!$B$74), RefData!$B$2&amp;"
"&amp; B194, B194)</f>
        <v xml:space="preserve">
What is the scheme's intended inflation hedging as a proportion of liabilities at the relevant date? (%)
</v>
      </c>
      <c r="D194" s="83" t="s">
        <v>494</v>
      </c>
    </row>
    <row r="195" spans="1:4" ht="93">
      <c r="A195" s="83" t="s">
        <v>3721</v>
      </c>
      <c r="B195" s="83" t="s">
        <v>4298</v>
      </c>
      <c r="C195" s="83" t="str">
        <f>IF(OR('Start here'!$C$26=RefData!$B$9, 'Start here'!$C$23=RefData!$B$17), RefData!$B$2&amp;"
"&amp; B195, B195)</f>
        <v xml:space="preserve">
How do the trustees intend to achieve the objective that the assets underpinning the minimum funding level are invested in accordance with a low dependency investment allocation on and after the relevant date?
</v>
      </c>
      <c r="D195" s="83" t="s">
        <v>495</v>
      </c>
    </row>
    <row r="196" spans="1:4" ht="62">
      <c r="A196" s="83" t="s">
        <v>3722</v>
      </c>
      <c r="B196" s="83" t="s">
        <v>4299</v>
      </c>
      <c r="C196" s="83" t="str">
        <f>IF(OR('Start here'!$C$26=RefData!$B$9, 'Start here'!$C$23=RefData!$B$17), RefData!$B$2&amp;"
"&amp; B196, B196)</f>
        <v xml:space="preserve">
How has the level of investment risk at the relevant date been determined?
</v>
      </c>
      <c r="D196" s="83" t="s">
        <v>497</v>
      </c>
    </row>
    <row r="197" spans="1:4" ht="62">
      <c r="A197" s="83" t="s">
        <v>3723</v>
      </c>
      <c r="B197" s="83" t="s">
        <v>4300</v>
      </c>
      <c r="C197" s="83" t="str">
        <f>IF(OR('Start here'!$C$26=RefData!$B$9, 'Start here'!$C$23=RefData!$B$17, 'Invest journey plan-risk level'!$C$23&lt;&gt;RefData!$B$92), RefData!$B$2&amp;"
"&amp; B197, B197)</f>
        <v xml:space="preserve">No answer required
Explain how the level of risk at the relevant date has been determined.
</v>
      </c>
      <c r="D197" s="83" t="s">
        <v>498</v>
      </c>
    </row>
    <row r="198" spans="1:4" ht="62">
      <c r="A198" s="83" t="s">
        <v>3724</v>
      </c>
      <c r="B198" s="83" t="s">
        <v>4301</v>
      </c>
      <c r="C198" s="83" t="str">
        <f>IF(OR('Start here'!$C$26=RefData!$B$9, 'Start here'!$C$23=RefData!$B$17, 'Invest journey plan-risk level'!$C$23=RefData!$B$89, 'Invest journey plan-risk level'!$C$23=RefData!$B$92), RefData!$B$2&amp;"
"&amp; B198, B198)</f>
        <v xml:space="preserve">
Has the investment risk calculation at the relevant date been based on liabilities and assets or assets only?
</v>
      </c>
      <c r="D198" s="83" t="s">
        <v>499</v>
      </c>
    </row>
    <row r="199" spans="1:4" ht="46.5">
      <c r="A199" s="83" t="s">
        <v>3725</v>
      </c>
      <c r="B199" s="83" t="s">
        <v>4258</v>
      </c>
      <c r="C199" s="83" t="str">
        <f>IF(OR('Start here'!$C$26=RefData!$B$9, 'Start here'!$C$23=RefData!$B$17, 'Invest journey plan-risk level'!$C$23=RefData!$B$89, 'Invest journey plan-risk level'!$C$23=RefData!$B$92, 'Invest journey plan-risk level'!$C$25=RefData!$B$94), RefData!$B$2&amp;"
"&amp; B199, B199)</f>
        <v xml:space="preserve">
What liability basis has been used?
</v>
      </c>
      <c r="D199" s="83" t="s">
        <v>500</v>
      </c>
    </row>
    <row r="200" spans="1:4" ht="62">
      <c r="A200" s="83" t="s">
        <v>3726</v>
      </c>
      <c r="B200" s="83" t="s">
        <v>4302</v>
      </c>
      <c r="C200" s="83" t="str">
        <f>IF(OR('Start here'!$C$26=RefData!$B$9, 'Start here'!$C$23=RefData!$B$17, 'Invest journey plan-risk level'!$C$23=RefData!$B$89, 'Invest journey plan-risk level'!$C$23=RefData!$B$92, 'Invest journey plan-risk level'!$C$25=RefData!$B$94, 'Invest journey plan-risk level'!$C$26&lt;&gt;RefData!$B$97), RefData!$B$2&amp;"
"&amp; B200, B200)</f>
        <v xml:space="preserve">No answer required
What margin over gilts has been used? (%)
</v>
      </c>
      <c r="D200" s="83" t="s">
        <v>501</v>
      </c>
    </row>
    <row r="201" spans="1:4" ht="62">
      <c r="A201" s="83" t="s">
        <v>3727</v>
      </c>
      <c r="B201" s="83" t="s">
        <v>4303</v>
      </c>
      <c r="C201" s="83" t="str">
        <f>IF(OR('Start here'!$C$26=RefData!$B$9, 'Start here'!$C$23=RefData!$B$17, 'Invest journey plan-risk level'!$C$23=RefData!$B$89, 'Invest journey plan-risk level'!$C$23=RefData!$B$92, 'Invest journey plan-risk level'!$C$25=RefData!$B$94, 'Invest journey plan-risk level'!$C$26&lt;&gt;RefData!$B$98), RefData!$B$2&amp;"
"&amp; B201, B201)</f>
        <v xml:space="preserve">No answer required
What margin over swaps has been used? (%)
</v>
      </c>
      <c r="D201" s="83" t="s">
        <v>502</v>
      </c>
    </row>
    <row r="202" spans="1:4" ht="62">
      <c r="A202" s="83" t="s">
        <v>3728</v>
      </c>
      <c r="B202" s="83" t="s">
        <v>4304</v>
      </c>
      <c r="C202" s="83" t="str">
        <f>IF(OR('Start here'!$C$26=RefData!$B$9, 'Start here'!$C$23=RefData!$B$17, 'Invest journey plan-risk level'!$C$23=RefData!$B$89, 'Invest journey plan-risk level'!$C$23=RefData!$B$92, 'Invest journey plan-risk level'!$C$25=RefData!$B$94, 'Invest journey plan-risk level'!$C$26&lt;&gt;RefData!$B$99), RefData!$B$2&amp;"
"&amp; B202, B202)</f>
        <v xml:space="preserve">No answer required
Describe the liability basis.
</v>
      </c>
      <c r="D202" s="83" t="s">
        <v>503</v>
      </c>
    </row>
    <row r="203" spans="1:4" ht="62">
      <c r="A203" s="83" t="s">
        <v>3729</v>
      </c>
      <c r="B203" s="83" t="s">
        <v>4305</v>
      </c>
      <c r="C203" s="83" t="str">
        <f>IF(OR('Start here'!$C$26=RefData!$B$9, 'Start here'!$C$23=RefData!$B$17, 'Invest journey plan-risk level'!$C$23=RefData!$B$89, 'Invest journey plan-risk level'!$C$23=RefData!$B$92), RefData!$B$2&amp;"
"&amp; B203, B203)</f>
        <v xml:space="preserve">
At or to which percentile point has the investment risk been calculated? (%)
</v>
      </c>
      <c r="D203" s="83" t="s">
        <v>504</v>
      </c>
    </row>
    <row r="204" spans="1:4" ht="46.5">
      <c r="A204" s="83" t="s">
        <v>3730</v>
      </c>
      <c r="B204" s="83" t="s">
        <v>4306</v>
      </c>
      <c r="C204" s="83" t="str">
        <f>IF(OR('Start here'!$C$26=RefData!$B$9, 'Start here'!$C$23=RefData!$B$17, 'Invest journey plan-risk level'!$C$23=RefData!$B$89, 'Invest journey plan-risk level'!$C$23=RefData!$B$92), RefData!$B$2&amp;"
"&amp; B204, B204)</f>
        <v xml:space="preserve">
Over what period has the investment risk been calculated?
</v>
      </c>
      <c r="D204" s="83" t="s">
        <v>505</v>
      </c>
    </row>
    <row r="205" spans="1:4" ht="77.5">
      <c r="A205" s="83" t="s">
        <v>3731</v>
      </c>
      <c r="B205" s="83" t="s">
        <v>4307</v>
      </c>
      <c r="C205" s="83" t="str">
        <f>IF(OR('Start here'!$C$26=RefData!$B$9, 'Start here'!$C$23=RefData!$B$17), RefData!$B$2&amp;"
"&amp; B205, B205)</f>
        <v xml:space="preserve">
Is the expected long-term return that the intended investment allocation at the relevant date is assumed to provide expressed as a nominal value or as a margin over gilts?
</v>
      </c>
      <c r="D205" s="83" t="s">
        <v>506</v>
      </c>
    </row>
    <row r="206" spans="1:4" ht="93">
      <c r="A206" s="83" t="s">
        <v>3732</v>
      </c>
      <c r="B206" s="83" t="s">
        <v>4308</v>
      </c>
      <c r="C206" s="83" t="str">
        <f>IF(OR('Start here'!$C$26=RefData!$B$9, 'Start here'!$C$23=RefData!$B$17, 'Invest journey plan-risk level'!$C$32&lt;&gt;RefData!$B$100), RefData!$B$2&amp;"
"&amp; B206, B206)</f>
        <v xml:space="preserve">No answer required
What is the expected long-term return that the intended investment allocation at the relevant date is assumed to provide expressed as a margin over gilts? (%)
</v>
      </c>
      <c r="D206" s="83" t="s">
        <v>507</v>
      </c>
    </row>
    <row r="207" spans="1:4" ht="93">
      <c r="A207" s="83" t="s">
        <v>3733</v>
      </c>
      <c r="B207" s="83" t="s">
        <v>4309</v>
      </c>
      <c r="C207" s="83" t="str">
        <f>IF(OR('Start here'!$C$26=RefData!$B$9, 'Start here'!$C$23=RefData!$B$17, 'Invest journey plan-risk level'!$C$32&lt;&gt;RefData!$B$101), RefData!$B$2&amp;"
"&amp; B207, B207)</f>
        <v xml:space="preserve">No answer required
What is the expected long-term return that the intended investment allocation at the relevant date is assumed to provide expressed a nominal value? (%)
</v>
      </c>
      <c r="D207" s="83" t="s">
        <v>508</v>
      </c>
    </row>
    <row r="208" spans="1:4" ht="62">
      <c r="A208" s="83" t="s">
        <v>4310</v>
      </c>
      <c r="B208" s="83" t="s">
        <v>4311</v>
      </c>
      <c r="C208" s="83" t="str">
        <f>IF(NOT(OR(AND('Start here'!$C$26=RefData!$B$10,'Start here'!$C$23=RefData!$B$18,'Covenant summary information'!$C$10=RefData!$B$119),AND('Start here'!$C$26=RefData!$B$10,'Start here'!$C$23=RefData!$B$17,'Covenant summary information'!$C$10=RefData!$B$119,'Start here'!$C$27=RefData!$B$12))),RefData!$B$2&amp;"
"&amp;B208,B208)</f>
        <v xml:space="preserve">No answer required
Employer free cash flows (FCF)
</v>
      </c>
      <c r="D208" s="83" t="e">
        <v>#N/A</v>
      </c>
    </row>
    <row r="209" spans="1:4" ht="46.5">
      <c r="A209" s="83" t="s">
        <v>3496</v>
      </c>
      <c r="B209" s="83" t="s">
        <v>4312</v>
      </c>
      <c r="C209" s="83"/>
      <c r="D209" s="83" t="s">
        <v>723</v>
      </c>
    </row>
    <row r="210" spans="1:4" ht="46.5">
      <c r="A210" s="83" t="s">
        <v>3497</v>
      </c>
      <c r="B210" s="83" t="s">
        <v>4313</v>
      </c>
      <c r="C210" s="83"/>
      <c r="D210" s="83" t="s">
        <v>723</v>
      </c>
    </row>
    <row r="211" spans="1:4" ht="46.5">
      <c r="A211" s="83" t="s">
        <v>3498</v>
      </c>
      <c r="B211" s="83" t="s">
        <v>4314</v>
      </c>
      <c r="C211" s="83"/>
      <c r="D211" s="83" t="s">
        <v>723</v>
      </c>
    </row>
    <row r="212" spans="1:4" ht="62">
      <c r="A212" s="83" t="s">
        <v>3494</v>
      </c>
      <c r="B212" s="83" t="s">
        <v>4315</v>
      </c>
      <c r="C212" s="83" t="str">
        <f>IF(NOT(OR(AND('Start here'!$C$26=RefData!$B$10,'Start here'!$C$23=RefData!$B$18,'Covenant summary information'!$C$10=RefData!$B$119),AND('Start here'!$C$26=RefData!$B$10,'Start here'!$C$23=RefData!$B$17,'Covenant summary information'!$C$10=RefData!$B$119,'Start here'!$C$27=RefData!$B$12))),RefData!$B$2&amp;"
"&amp;B212,B212)</f>
        <v xml:space="preserve">No answer required
Employer cash flow: basis of assessment
</v>
      </c>
      <c r="D212" s="83" t="s">
        <v>720</v>
      </c>
    </row>
    <row r="213" spans="1:4" ht="62">
      <c r="A213" s="83" t="s">
        <v>3495</v>
      </c>
      <c r="B213" s="83" t="s">
        <v>4316</v>
      </c>
      <c r="C213" s="83" t="str">
        <f>IF(AND(OR(AND('Start here'!$C$26=RefData!$B$10,'Start here'!$C$23=RefData!$B$18,'Covenant summary information'!$C$10=RefData!$B$119),AND('Start here'!$C$26=RefData!$B$10,'Start here'!$C$23=RefData!$B$17,'Covenant summary information'!$C$10=RefData!$B$119,'Start here'!$C$27=RefData!$B$12)),'Employer CF and liquid assets'!$D$76=RefData!$B$107),B213,RefData!$B$2&amp;"
"&amp;B213)</f>
        <v xml:space="preserve">No answer required
Describe the basis of assessment of employer cash flow.
</v>
      </c>
      <c r="D213" s="83" t="s">
        <v>721</v>
      </c>
    </row>
    <row r="214" spans="1:4" ht="108.5">
      <c r="A214" s="83" t="s">
        <v>3490</v>
      </c>
      <c r="B214" s="83" t="s">
        <v>4317</v>
      </c>
      <c r="C214" s="83" t="str">
        <f>IF(OR(AND('Start here'!$C$26=RefData!$B$10,'Start here'!$C$23=RefData!$B$18,'Covenant summary information'!$C$10=RefData!$B$119),AND('Start here'!$C$26=RefData!$B$10,'Start here'!$C$23=RefData!$B$17,'Covenant summary information'!$C$10=RefData!$B$119,'Start here'!$C$27=RefData!$B$12)),B214,"
"&amp;RefData!$B$2&amp;"
"&amp; B214)</f>
        <v xml:space="preserve">
No answer required
Add any additional information that will help us understand trustees' approach to assessing employer cash flows or maximum affordable contributions or both. (Optional)
</v>
      </c>
      <c r="D214" s="83" t="s">
        <v>600</v>
      </c>
    </row>
    <row r="215" spans="1:4" ht="62">
      <c r="A215" s="83" t="s">
        <v>3487</v>
      </c>
      <c r="B215" s="83" t="s">
        <v>4318</v>
      </c>
      <c r="C215" s="83" t="str">
        <f>IF(OR('Start here'!$C$26=RefData!$B$9, AND('Start here'!$C$26=RefData!$B$10, 'Start here'!$C$23=RefData!$B$17), 'Start here'!$C$25=RefData!$B$15, 'Covenant summary information'!$C$10=RefData!$B$118),RefData!$B$2&amp;"
"&amp;B215,B215)</f>
        <v xml:space="preserve">
Is the recovery plan longer than the reliability period or more than 6 years?
</v>
      </c>
      <c r="D215" s="83" t="s">
        <v>595</v>
      </c>
    </row>
    <row r="216" spans="1:4" ht="62">
      <c r="A216" s="83" t="s">
        <v>3488</v>
      </c>
      <c r="B216" s="83" t="s">
        <v>4319</v>
      </c>
      <c r="C216" s="83" t="str">
        <f>IF(OR('Start here'!$C$26=RefData!$B$9, AND('Start here'!$C$26=RefData!$B$10, 'Start here'!$C$23=RefData!$B$18), 'Start here'!$C$25=RefData!$B$15, 'Covenant summary information'!$C$10=RefData!$B$118, 'Start here'!$C$27=RefData!$B$11),RefData!$B$2&amp;"
"&amp;B216,B216)</f>
        <v xml:space="preserve">
Is the recovery plan longer than the reliability period or more than 3 years?
</v>
      </c>
      <c r="D216" s="83" t="s">
        <v>597</v>
      </c>
    </row>
    <row r="217" spans="1:4" ht="62">
      <c r="A217" s="83" t="s">
        <v>4320</v>
      </c>
      <c r="B217" s="83" t="s">
        <v>4321</v>
      </c>
      <c r="C217" s="83" t="str">
        <f>IF(NOT(OR(AND('Start here'!$C$26=RefData!$B$10,'Start here'!$C$23=RefData!$B$18,'Covenant summary information'!$C$96=RefData!$B$108),AND('Start here'!$C$26=RefData!$B$10,'Start here'!$C$23=RefData!$B$17,'Covenant summary information'!$C$97=RefData!$B$110))),RefData!$B$2&amp;"
"&amp;B217,B217)</f>
        <v xml:space="preserve">No answer required
Employer Investment in sustainable growth
</v>
      </c>
      <c r="D217" s="83" t="e">
        <v>#N/A</v>
      </c>
    </row>
    <row r="218" spans="1:4" ht="62">
      <c r="A218" s="83" t="s">
        <v>3499</v>
      </c>
      <c r="B218" s="83" t="s">
        <v>4322</v>
      </c>
      <c r="C218" s="83" t="str">
        <f>IF(NOT(OR(AND('Start here'!$C$26=RefData!$B$10,'Start here'!$C$23=RefData!$B$18,'Covenant summary information'!$C$96=RefData!$B$108),AND('Start here'!$C$26=RefData!$B$10,'Start here'!$C$23=RefData!$B$17,'Covenant summary information'!$C$97=RefData!$B$110))),RefData!$B$2&amp;"
"&amp;B218,B218)</f>
        <v xml:space="preserve">No answer required
Employer Investment in sustainable growth: prior year actuals (£)
</v>
      </c>
      <c r="D218" s="83" t="s">
        <v>724</v>
      </c>
    </row>
    <row r="219" spans="1:4" ht="62">
      <c r="A219" s="83" t="s">
        <v>3500</v>
      </c>
      <c r="B219" s="83" t="s">
        <v>4323</v>
      </c>
      <c r="C219" s="83" t="str">
        <f>IF(NOT(OR(AND('Start here'!$C$26=RefData!$B$10,'Start here'!$C$23=RefData!$B$18,'Covenant summary information'!$C$96=RefData!$B$108),AND('Start here'!$C$26=RefData!$B$10,'Start here'!$C$23=RefData!$B$17,'Covenant summary information'!$C$97=RefData!$B$110))),RefData!$B$2&amp;"
"&amp;B219,B219)</f>
        <v xml:space="preserve">No answer required
Employer Investment in sustainable growth: current year forecasts (£)
</v>
      </c>
      <c r="D219" s="83" t="s">
        <v>724</v>
      </c>
    </row>
    <row r="220" spans="1:4" ht="62">
      <c r="A220" s="83" t="s">
        <v>3501</v>
      </c>
      <c r="B220" s="83" t="s">
        <v>4324</v>
      </c>
      <c r="C220" s="83" t="str">
        <f>IF(NOT(OR(AND('Start here'!$C$26=RefData!$B$10,'Start here'!$C$23=RefData!$B$18,'Covenant summary information'!$C$96=RefData!$B$108),AND('Start here'!$C$26=RefData!$B$10,'Start here'!$C$23=RefData!$B$17,'Covenant summary information'!$C$97=RefData!$B$110))),RefData!$B$2&amp;"
"&amp;B220,B220)</f>
        <v xml:space="preserve">No answer required
Employer Investment in sustainable growth: year 1 forecasts (£)
</v>
      </c>
      <c r="D220" s="83" t="s">
        <v>724</v>
      </c>
    </row>
    <row r="221" spans="1:4" ht="62">
      <c r="A221" s="83" t="s">
        <v>4325</v>
      </c>
      <c r="B221" s="83" t="s">
        <v>4326</v>
      </c>
      <c r="C221" s="83" t="str">
        <f>IF(NOT(OR(AND('Start here'!$C$26=RefData!$B$10,'Start here'!$C$23=RefData!$B$18,'Covenant summary information'!$C$96=RefData!$B$108),AND('Start here'!$C$26=RefData!$B$10,'Start here'!$C$23=RefData!$B$17,'Covenant summary information'!$C$97=RefData!$B$110))),RefData!$B$2&amp;"
"&amp;B221,B221)</f>
        <v xml:space="preserve">No answer required
Shareholder returns
</v>
      </c>
      <c r="D221" s="83" t="e">
        <v>#N/A</v>
      </c>
    </row>
    <row r="222" spans="1:4" ht="46.5">
      <c r="A222" s="83" t="s">
        <v>3502</v>
      </c>
      <c r="B222" s="83" t="s">
        <v>4327</v>
      </c>
      <c r="C222" s="83"/>
      <c r="D222" s="83" t="s">
        <v>725</v>
      </c>
    </row>
    <row r="223" spans="1:4" ht="46.5">
      <c r="A223" s="83" t="s">
        <v>3503</v>
      </c>
      <c r="B223" s="83" t="s">
        <v>4328</v>
      </c>
      <c r="C223" s="83"/>
      <c r="D223" s="83" t="s">
        <v>725</v>
      </c>
    </row>
    <row r="224" spans="1:4" ht="46.5">
      <c r="A224" s="83" t="s">
        <v>3504</v>
      </c>
      <c r="B224" s="83" t="s">
        <v>4329</v>
      </c>
      <c r="C224" s="83"/>
      <c r="D224" s="83" t="s">
        <v>725</v>
      </c>
    </row>
    <row r="225" spans="1:4" ht="62">
      <c r="A225" s="83" t="s">
        <v>4330</v>
      </c>
      <c r="B225" s="83" t="s">
        <v>4331</v>
      </c>
      <c r="C225" s="83" t="str">
        <f>IF(NOT(OR(AND('Start here'!$C$26=RefData!$B$10,'Start here'!$C$23=RefData!$B$18,'Covenant summary information'!$C$96=RefData!$B$108),AND('Start here'!$C$26=RefData!$B$10,'Start here'!$C$23=RefData!$B$17,'Covenant summary information'!$C$97=RefData!$B$110))),RefData!$B$2&amp;"
"&amp;B225,B225)</f>
        <v xml:space="preserve">No answer required
Employer payments to other DB schemes
</v>
      </c>
      <c r="D225" s="83" t="e">
        <v>#N/A</v>
      </c>
    </row>
    <row r="226" spans="1:4" ht="46.5">
      <c r="A226" s="83" t="s">
        <v>3505</v>
      </c>
      <c r="B226" s="83" t="s">
        <v>4327</v>
      </c>
      <c r="C226" s="83"/>
      <c r="D226" s="83" t="s">
        <v>726</v>
      </c>
    </row>
    <row r="227" spans="1:4" ht="46.5">
      <c r="A227" s="83" t="s">
        <v>3506</v>
      </c>
      <c r="B227" s="83" t="s">
        <v>4328</v>
      </c>
      <c r="C227" s="83"/>
      <c r="D227" s="83" t="s">
        <v>726</v>
      </c>
    </row>
    <row r="228" spans="1:4" ht="46.5">
      <c r="A228" s="83" t="s">
        <v>3507</v>
      </c>
      <c r="B228" s="83" t="s">
        <v>4329</v>
      </c>
      <c r="C228" s="83"/>
      <c r="D228" s="83" t="s">
        <v>726</v>
      </c>
    </row>
    <row r="229" spans="1:4" ht="62">
      <c r="A229" s="83" t="s">
        <v>4332</v>
      </c>
      <c r="B229" s="83" t="s">
        <v>4333</v>
      </c>
      <c r="C229" s="83" t="str">
        <f>IF(NOT(OR(AND('Start here'!$C$26=RefData!$B$10,'Start here'!$C$23=RefData!$B$18,'Covenant summary information'!$C$96=RefData!$B$108),AND('Start here'!$C$26=RefData!$B$10,'Start here'!$C$23=RefData!$B$17,'Covenant summary information'!$C$97=RefData!$B$110))),RefData!$B$2&amp;"
"&amp;B229,B229)</f>
        <v xml:space="preserve">No answer required
Other alternative uses of cash by employer
</v>
      </c>
      <c r="D229" s="83" t="e">
        <v>#N/A</v>
      </c>
    </row>
    <row r="230" spans="1:4" ht="46.5">
      <c r="A230" s="83" t="s">
        <v>3508</v>
      </c>
      <c r="B230" s="83" t="s">
        <v>4327</v>
      </c>
      <c r="C230" s="83"/>
      <c r="D230" s="83" t="s">
        <v>727</v>
      </c>
    </row>
    <row r="231" spans="1:4" ht="46.5">
      <c r="A231" s="83" t="s">
        <v>3509</v>
      </c>
      <c r="B231" s="83" t="s">
        <v>4328</v>
      </c>
      <c r="C231" s="83"/>
      <c r="D231" s="83" t="s">
        <v>727</v>
      </c>
    </row>
    <row r="232" spans="1:4" ht="46.5">
      <c r="A232" s="83" t="s">
        <v>3510</v>
      </c>
      <c r="B232" s="83" t="s">
        <v>4329</v>
      </c>
      <c r="C232" s="83"/>
      <c r="D232" s="83" t="s">
        <v>727</v>
      </c>
    </row>
    <row r="233" spans="1:4" ht="77.5">
      <c r="A233" s="83" t="s">
        <v>3511</v>
      </c>
      <c r="B233" s="83" t="s">
        <v>4334</v>
      </c>
      <c r="C233" s="83" t="str">
        <f>IF(NOT(OR(AND('Start here'!$C$26=RefData!$B$10,'Start here'!$C$23=RefData!$B$18,'Covenant summary information'!$C$96=RefData!$B$108),AND('Start here'!$C$26=RefData!$B$10,'Start here'!$C$23=RefData!$B$17,'Covenant summary information'!$C$97=RefData!$B$110))),RefData!$B$2&amp;"
"&amp;B233,B233)</f>
        <v xml:space="preserve">No answer required
What is the value of the employer(s) liquid assets at the time of agreeing the recovery plan? (£)
</v>
      </c>
      <c r="D233" s="83" t="s">
        <v>729</v>
      </c>
    </row>
    <row r="234" spans="1:4" ht="77.5">
      <c r="A234" s="83" t="s">
        <v>3512</v>
      </c>
      <c r="B234" s="83" t="s">
        <v>4335</v>
      </c>
      <c r="C234" s="83" t="str">
        <f>IF(NOT(OR(AND('Start here'!$C$26=RefData!$B$10,'Start here'!$C$23=RefData!$B$18,'Covenant summary information'!$C$96=RefData!$B$108),AND('Start here'!$C$26=RefData!$B$10,'Start here'!$C$23=RefData!$B$17,'Covenant summary information'!$C$97=RefData!$B$110))),RefData!$B$2&amp;"
"&amp;B234,B234)</f>
        <v xml:space="preserve">No answer required
Provide any further information on the alternative uses of cash and liquid assets. (Optional)
</v>
      </c>
      <c r="D234" s="83" t="s">
        <v>731</v>
      </c>
    </row>
    <row r="235" spans="1:4" ht="62">
      <c r="A235" s="83" t="s">
        <v>3513</v>
      </c>
      <c r="B235" s="83" t="s">
        <v>4336</v>
      </c>
      <c r="C235" s="83"/>
      <c r="D235" s="83" t="s">
        <v>732</v>
      </c>
    </row>
    <row r="236" spans="1:4" ht="77.5">
      <c r="A236" s="83" t="s">
        <v>3479</v>
      </c>
      <c r="B236" s="83" t="s">
        <v>4337</v>
      </c>
      <c r="C236" s="83" t="str">
        <f>IF(AND('Start here'!$C$26=RefData!$B$9,'Start here'!$C$24=RefData!$B$5,'Start here'!$C$28=RefData!$B$14),B236,
IF(AND('Start here'!$C$26=RefData!$B$10,'Start here'!$C$23=RefData!$B$18),B236,
IF(AND('Start here'!$C$26=RefData!$B$10,'Start here'!$C$23=RefData!$B$17,'Start here'!$C$27=RefData!$B$12),B236,
RefData!$B$2&amp;"
"&amp;B236)))</f>
        <v xml:space="preserve">No answer required
Does the scheme rely on contingent assets to take funding and investment risk above what the employer can support?
</v>
      </c>
      <c r="D236" s="83" t="s">
        <v>583</v>
      </c>
    </row>
    <row r="237" spans="1:4" ht="70.25" customHeight="1">
      <c r="A237" s="83" t="s">
        <v>3480</v>
      </c>
      <c r="B237" s="83" t="s">
        <v>4338</v>
      </c>
      <c r="C237" s="83" t="str">
        <f>IF(OR(NOT('Covenant summary information'!$C$82=RefData!$B$112), , ISNUMBER(SEARCH(RefData!$B$2,$C$236))), RefData!$B$2&amp;"
"&amp; B237, B237)</f>
        <v xml:space="preserve">No answer required
How many guarantees do the trustees wish to include details about?
</v>
      </c>
      <c r="D237" s="83" t="s">
        <v>585</v>
      </c>
    </row>
    <row r="238" spans="1:4" ht="62">
      <c r="A238" s="83" t="s">
        <v>3481</v>
      </c>
      <c r="B238" s="83" t="s">
        <v>4339</v>
      </c>
      <c r="C238" s="83" t="str">
        <f>IF(OR(NOT('Covenant summary information'!$C$82=RefData!$B$112), ISNUMBER(SEARCH(RefData!$B$2,$C$236))), RefData!$B$2&amp;"
"&amp; B238, B238)</f>
        <v xml:space="preserve">No answer required
How many securities do the trustees wish to include details about?
</v>
      </c>
      <c r="D238" s="83" t="s">
        <v>586</v>
      </c>
    </row>
    <row r="239" spans="1:4" ht="77.5">
      <c r="A239" s="83" t="s">
        <v>3482</v>
      </c>
      <c r="B239" s="83" t="s">
        <v>4340</v>
      </c>
      <c r="C239" s="83" t="str">
        <f>IF(OR(NOT('Covenant summary information'!$C$82=RefData!$B$112), ISNUMBER(SEARCH(RefData!$B$2,$C$236))), RefData!$B$2&amp;"
"&amp; B239, B239)</f>
        <v xml:space="preserve">No answer required
How many other contingent assets do the trustees wish to include details about (excl ABCs)?
</v>
      </c>
      <c r="D239" s="83" t="s">
        <v>587</v>
      </c>
    </row>
    <row r="240" spans="1:4" ht="62">
      <c r="A240" s="83" t="s">
        <v>3518</v>
      </c>
      <c r="B240" s="83" t="s">
        <v>4341</v>
      </c>
      <c r="C240" s="83"/>
      <c r="D240" s="83" t="s">
        <v>1400</v>
      </c>
    </row>
    <row r="241" spans="1:4" ht="62">
      <c r="A241" s="83" t="s">
        <v>3483</v>
      </c>
      <c r="B241" s="83" t="s">
        <v>4342</v>
      </c>
      <c r="C241" s="83" t="str">
        <f>IF(NOT('Covenant summary information'!$C$82=RefData!$B$112), RefData!$B$2&amp;"
"&amp; B241, B241)</f>
        <v xml:space="preserve">No answer required
What is the total value ascribed to contingent assets? (£)
</v>
      </c>
      <c r="D241" s="83" t="s">
        <v>588</v>
      </c>
    </row>
    <row r="242" spans="1:4" ht="77.5">
      <c r="A242" s="83" t="s">
        <v>3519</v>
      </c>
      <c r="B242" s="83" t="s">
        <v>4343</v>
      </c>
      <c r="C242" s="83" t="str">
        <f>IF(OR('Asset-backed contributions'!C7=0, AND('Start here'!C26=RefData!B9, 'Start here'!C24=RefData!B4), AND('Start here'!C26=RefData!B9, 'Start here'!C24=RefData!B5,'Start here'!C28=RefData!B13), AND('Start here'!C26=RefData!B10, 'Start here'!C23=RefData!B17, 'Start here'!C27=RefData!B11)),RefData!$B$2&amp;"
"&amp;B242,B242)</f>
        <v xml:space="preserve">No answer required
What is the total value of scheme's interest in any ABC (also known as net present value)? (£)
</v>
      </c>
      <c r="D242" s="83" t="s">
        <v>1401</v>
      </c>
    </row>
    <row r="243" spans="1:4" ht="46.5">
      <c r="A243" s="83" t="s">
        <v>3422</v>
      </c>
      <c r="B243" s="83" t="s">
        <v>4344</v>
      </c>
      <c r="C243" s="83"/>
      <c r="D243" s="83" t="s">
        <v>515</v>
      </c>
    </row>
    <row r="244" spans="1:4" ht="46.5">
      <c r="A244" s="83" t="s">
        <v>3423</v>
      </c>
      <c r="B244" s="83" t="s">
        <v>4345</v>
      </c>
      <c r="C244" s="83" t="str">
        <f>IF(OR('Start here'!$C$26=RefData!$B$9, AND('Start here'!$C$26=RefData!$B$10, 'Start here'!$C$23=RefData!$B$17, 'Start here'!$C$27=RefData!$B$11)), RefData!$B$2&amp;"
"&amp; B244, B244)</f>
        <v xml:space="preserve">
Was professional covenant advice taken for this valuation?
</v>
      </c>
      <c r="D244" s="83" t="s">
        <v>516</v>
      </c>
    </row>
    <row r="245" spans="1:4" ht="62">
      <c r="A245" s="83" t="s">
        <v>3426</v>
      </c>
      <c r="B245" s="83" t="s">
        <v>4346</v>
      </c>
      <c r="C245" s="83" t="str">
        <f>IF(OR('Start here'!$C$26=RefData!$B$9, AND('Start here'!$C$26=RefData!$B$10, 'Start here'!$C$23=RefData!$B$17, 'Start here'!$C$27=RefData!$B$11)), RefData!$B$2&amp;"
"&amp; B245, B245)</f>
        <v xml:space="preserve">
In determining covenant strength, do you place reliance on any entity other than statutory employers and their subsidiaries?
</v>
      </c>
      <c r="D245" s="83" t="s">
        <v>521</v>
      </c>
    </row>
    <row r="246" spans="1:4" ht="62">
      <c r="A246" s="83" t="s">
        <v>3424</v>
      </c>
      <c r="B246" s="83" t="s">
        <v>4347</v>
      </c>
      <c r="C246" s="83" t="str">
        <f>IF(OR('Start here'!$C$26=RefData!$B$9, AND('Start here'!$C$26=RefData!$B$10, 'Covenant summary information'!$C$8=RefData!$B$114), ISNUMBER(SEARCH(RefData!$B$2,C244))), RefData!$B$2&amp;"
"&amp; B246, B246)</f>
        <v xml:space="preserve">
What experience do the trustees have to enable them to assess covenant without professional covenant advice?
</v>
      </c>
      <c r="D246" s="83" t="s">
        <v>518</v>
      </c>
    </row>
    <row r="247" spans="1:4" ht="62">
      <c r="A247" s="83" t="s">
        <v>3427</v>
      </c>
      <c r="B247" s="83" t="s">
        <v>4348</v>
      </c>
      <c r="C247" s="83" t="str">
        <f>IF(OR('Start here'!$C$26=RefData!$B$9, AND('Start here'!$C$26=RefData!$B$10,'Start here'!$C$23=RefData!$B$17, 'Start here'!$C$27=RefData!$B$11), 'Covenant summary information'!$C$11=RefData!$B$117), RefData!$B$2&amp;"
"&amp; B247, B247)</f>
        <v xml:space="preserve">
Upon how many entities other than statutory employers is covenant reliance placed?
</v>
      </c>
      <c r="D247" s="83" t="s">
        <v>523</v>
      </c>
    </row>
    <row r="248" spans="1:4" ht="77.5">
      <c r="A248" s="83" t="s">
        <v>3428</v>
      </c>
      <c r="B248" s="83" t="s">
        <v>4349</v>
      </c>
      <c r="C248" s="83" t="str">
        <f>IF(OR('Start here'!$C$26=RefData!$B$9, AND('Start here'!$C$26=RefData!$B$10,'Start here'!$C$23=RefData!$B$17, 'Start here'!$C$27=RefData!$B$11), 'Covenant summary information'!$C$11=RefData!$B$117), RefData!$B$2&amp;"
"&amp; B248, B248)</f>
        <v xml:space="preserve">
For what reason or reasons is it appropriate to place reliance on the entities (other than statutory employers) on which covenant reliance is placed?
</v>
      </c>
      <c r="D248" s="83" t="s">
        <v>524</v>
      </c>
    </row>
    <row r="249" spans="1:4" ht="62">
      <c r="A249" s="83" t="s">
        <v>3425</v>
      </c>
      <c r="B249" s="83" t="s">
        <v>4350</v>
      </c>
      <c r="C249" s="83" t="str">
        <f>IF(OR(AND('Start here'!$C$26=RefData!$B$9, 'Start here'!$C$24=RefData!$B$4), AND('Start here'!$C$26=RefData!$B$9, 'Start here'!$C$24=RefData!$B$5, 'Start here'!$C$28=RefData!$B$13), AND('Start here'!$C$26=RefData!$B$10, 'Start here'!$C$23=RefData!$B$17, 'Start here'!$C$27=RefData!$B$11)), RefData!$B$2&amp;"
"&amp; B249, B249)</f>
        <v xml:space="preserve">
Is the scheme a non-segregated non-associated multi-employer scheme?
</v>
      </c>
      <c r="D249" s="83" t="s">
        <v>519</v>
      </c>
    </row>
    <row r="250" spans="1:4" ht="46.5">
      <c r="A250" s="83" t="s">
        <v>3484</v>
      </c>
      <c r="B250" s="83" t="s">
        <v>4351</v>
      </c>
      <c r="C250" s="83" t="str">
        <f>IF(OR(AND('Start here'!$C$26=RefData!$B$9, 'Start here'!$C$24=RefData!$B$4), AND('Start here'!$C$26=RefData!$B$9, 'Start here'!$C$24=RefData!$B$5, 'Start here'!$C$28=RefData!$B$13), AND('Start here'!$C$26=RefData!$B$10, 'Start here'!$C$23=RefData!$B$17, 'Start here'!$C$27=RefData!$B$11)), RefData!$B$2&amp;"
"&amp; B250, B250)</f>
        <v xml:space="preserve">
What is the reliability period?
</v>
      </c>
      <c r="D250" s="83" t="s">
        <v>591</v>
      </c>
    </row>
    <row r="251" spans="1:4" ht="46.5">
      <c r="A251" s="83" t="s">
        <v>3485</v>
      </c>
      <c r="B251" s="83" t="s">
        <v>4352</v>
      </c>
      <c r="C251" s="83" t="str">
        <f>IF(OR(AND('Start here'!$C$26=RefData!$B$9, 'Start here'!$C$24=RefData!$B$4), AND('Start here'!$C$26=RefData!$B$9, 'Start here'!$C$24=RefData!$B$5, 'Start here'!$C$28=RefData!$B$13), AND('Start here'!$C$26=RefData!$B$10, 'Start here'!$C$23=RefData!$B$17, 'Start here'!$C$27=RefData!$B$11)), RefData!$B$2&amp;"
"&amp; B251, B251)</f>
        <v xml:space="preserve">
What is the covenant longevity? 
</v>
      </c>
      <c r="D251" s="83" t="s">
        <v>592</v>
      </c>
    </row>
    <row r="252" spans="1:4" ht="77.5">
      <c r="A252" s="83" t="s">
        <v>3486</v>
      </c>
      <c r="B252" s="83" t="s">
        <v>4353</v>
      </c>
      <c r="C252" s="83" t="str">
        <f>IF(OR(AND('Start here'!$C$26=RefData!$B$9, 'Start here'!$C$24=RefData!$B$4), AND('Start here'!$C$26=RefData!$B$9, 'Start here'!$C$24=RefData!$B$5, 'Start here'!$C$28=RefData!$B$13), AND('Start here'!$C$26=RefData!$B$10, 'Start here'!$C$23=RefData!$B$17, 'Start here'!$C$27=RefData!$B$11)), RefData!$B$2&amp;"
"&amp; B252, B252)</f>
        <v xml:space="preserve">
Add any additional information that will help us understand the trustees' approach to assessing reliability and longevity periods. (Optional)
</v>
      </c>
      <c r="D252" s="83" t="s">
        <v>593</v>
      </c>
    </row>
    <row r="253" spans="1:4" ht="77.5">
      <c r="A253" s="83" t="s">
        <v>3493</v>
      </c>
      <c r="B253" s="83" t="s">
        <v>4354</v>
      </c>
      <c r="C253" s="83"/>
      <c r="D253" s="83" t="s">
        <v>605</v>
      </c>
    </row>
    <row r="254" spans="1:4" ht="77.5">
      <c r="A254" s="83" t="s">
        <v>4355</v>
      </c>
      <c r="B254" s="83" t="s">
        <v>4356</v>
      </c>
      <c r="C254" s="83"/>
      <c r="D254" s="83" t="e">
        <v>#N/A</v>
      </c>
    </row>
    <row r="255" spans="1:4" ht="77.5">
      <c r="A255" s="83" t="s">
        <v>1041</v>
      </c>
      <c r="B255" s="83" t="s">
        <v>4357</v>
      </c>
      <c r="C255" s="83" t="str">
        <f>IF(OR('Covenant summary information'!$C$84&lt;1, ISNUMBER(SEARCH(RefData!$B$2,$C$238))),"
"&amp;RefData!$B$2&amp;"
"&amp; B255,B255)</f>
        <v xml:space="preserve">
No answer required
What is the type of underlying asset that the scheme has security over?
</v>
      </c>
      <c r="D255" s="83" t="s">
        <v>1042</v>
      </c>
    </row>
    <row r="256" spans="1:4" ht="77.5">
      <c r="A256" s="83" t="s">
        <v>1044</v>
      </c>
      <c r="B256" s="83" t="s">
        <v>4358</v>
      </c>
      <c r="C256" s="83" t="str">
        <f>IF(OR('Covenant summary information'!$C$84&lt;1, ISNUMBER(SEARCH(RefData!$B$2,$C$238))),"
"&amp;RefData!$B$2&amp;"
"&amp; B256,B256)</f>
        <v xml:space="preserve">
No answer required
Provide specific details of the underlying asset
</v>
      </c>
      <c r="D256" s="83" t="s">
        <v>1045</v>
      </c>
    </row>
    <row r="257" spans="1:4" ht="77.5">
      <c r="A257" s="83" t="s">
        <v>1046</v>
      </c>
      <c r="B257" s="83" t="s">
        <v>4359</v>
      </c>
      <c r="C257" s="83" t="str">
        <f>IF(OR(NOT('Start here'!$C$26=RefData!$B$10),'Covenant summary information'!$C$84&lt;1, ISNUMBER(SEARCH(RefData!$B$2,$C$238))),"
"&amp;RefData!$B$2&amp;"
"&amp; B257,B257)</f>
        <v xml:space="preserve">
No answer required
Type of maturity
</v>
      </c>
      <c r="D257" s="83" t="s">
        <v>1047</v>
      </c>
    </row>
    <row r="258" spans="1:4" ht="77.5">
      <c r="A258" s="83" t="s">
        <v>1048</v>
      </c>
      <c r="B258" s="83" t="s">
        <v>4360</v>
      </c>
      <c r="C258" s="83" t="str">
        <f>IF(OR(NOT('Start here'!$C$26=RefData!$B$10),NOT(Securities!$C$9=RefData!$B$150),'Covenant summary information'!$C$84&lt;1, ISNUMBER(SEARCH(RefData!$B$2,$C$238))),"
"&amp;RefData!$B$2&amp;"
"&amp; B258,B258)</f>
        <v xml:space="preserve">
No answer required
Date of maturity
</v>
      </c>
      <c r="D258" s="83" t="s">
        <v>1049</v>
      </c>
    </row>
    <row r="259" spans="1:4" ht="77.5">
      <c r="A259" s="83" t="s">
        <v>1050</v>
      </c>
      <c r="B259" s="83" t="s">
        <v>4361</v>
      </c>
      <c r="C259" s="83" t="str">
        <f>IF(OR(NOT('Start here'!$C$26=RefData!$B$10),NOT(Securities!$C$9=RefData!$B$151),'Covenant summary information'!$C$84&lt;1, ISNUMBER(SEARCH(RefData!$B$2,$C$238))),"
"&amp;RefData!$B$2&amp;"
"&amp; B259,B259)</f>
        <v xml:space="preserve">
No answer required
Maturity date narrative
</v>
      </c>
      <c r="D259" s="83" t="s">
        <v>1051</v>
      </c>
    </row>
    <row r="260" spans="1:4" ht="77.5">
      <c r="A260" s="83" t="s">
        <v>1052</v>
      </c>
      <c r="B260" s="83" t="s">
        <v>4362</v>
      </c>
      <c r="C260" s="83" t="str">
        <f>IF(OR('Covenant summary information'!$C$84&lt;1, ISNUMBER(SEARCH(RefData!$B$2,$C$238))),"
"&amp;RefData!$B$2&amp;"
"&amp; B260,B260)</f>
        <v xml:space="preserve">
No answer required
Value ascribed (£)
</v>
      </c>
      <c r="D260" s="83" t="s">
        <v>1053</v>
      </c>
    </row>
    <row r="261" spans="1:4" ht="77.5">
      <c r="A261" s="83" t="s">
        <v>1054</v>
      </c>
      <c r="B261" s="83" t="s">
        <v>4363</v>
      </c>
      <c r="C261" s="83" t="str">
        <f>IF(OR('Covenant summary information'!$C$84&lt;1, ISNUMBER(SEARCH(RefData!$B$2,$C$238))),"
"&amp;RefData!$B$2&amp;"
"&amp; B261,B261)</f>
        <v xml:space="preserve">
No answer required
Date of valuation
</v>
      </c>
      <c r="D261" s="83" t="s">
        <v>1055</v>
      </c>
    </row>
    <row r="262" spans="1:4" ht="77.5">
      <c r="A262" s="83" t="s">
        <v>1056</v>
      </c>
      <c r="B262" s="83" t="s">
        <v>4364</v>
      </c>
      <c r="C262" s="83" t="str">
        <f>IF(OR('Start here'!$C$26=RefData!$B$9, AND('Start here'!$C$26=RefData!$B$10, 'Covenant summary information'!$C$84&lt;1), ISNUMBER(SEARCH(RefData!$B$2,$C$238))),"
"&amp;RefData!$B$2&amp;"
"&amp; B262,B262)</f>
        <v xml:space="preserve">
No answer required
Value cap
</v>
      </c>
      <c r="D262" s="83" t="s">
        <v>1057</v>
      </c>
    </row>
    <row r="263" spans="1:4" ht="77.5">
      <c r="A263" s="83" t="s">
        <v>1058</v>
      </c>
      <c r="B263" s="83" t="s">
        <v>4365</v>
      </c>
      <c r="C263" s="83" t="str">
        <f>IF(OR(NOT('Start here'!$C$26=RefData!$B$10),NOT(Securities!$C$14=RefData!$B$158),'Covenant summary information'!$C$84&lt;1, ISNUMBER(SEARCH(RefData!$B$2,$C$238))),"
"&amp;RefData!$B$2&amp;"
"&amp; B263,B263)</f>
        <v xml:space="preserve">
No answer required
Narrative regarding value cap
</v>
      </c>
      <c r="D263" s="83" t="s">
        <v>1059</v>
      </c>
    </row>
    <row r="264" spans="1:4" ht="77.5">
      <c r="A264" s="83" t="s">
        <v>1060</v>
      </c>
      <c r="B264" s="83" t="s">
        <v>4366</v>
      </c>
      <c r="C264" s="83" t="str">
        <f>IF(OR(NOT('Start here'!$C$26=RefData!$B$10),NOT(Securities!$C$14=RefData!$B$157),'Covenant summary information'!$C$84&lt;1, ISNUMBER(SEARCH(RefData!$B$2,$C$238))),"
"&amp;RefData!$B$2&amp;"
"&amp; B264,B264)</f>
        <v xml:space="preserve">
No answer required
Fixed cap amount (£)
</v>
      </c>
      <c r="D264" s="83" t="s">
        <v>1061</v>
      </c>
    </row>
    <row r="265" spans="1:4" ht="77.5">
      <c r="A265" s="83" t="s">
        <v>1062</v>
      </c>
      <c r="B265" s="83" t="s">
        <v>4367</v>
      </c>
      <c r="C265" s="83" t="str">
        <f>IF(OR('Start here'!$C$26=RefData!$B$9,
(AND('Start here'!$C$26=RefData!$B$10,'Covenant summary information'!$C$84=0)),
(AND('Start here'!$C$26=RefData!$B$10,'Covenant summary information'!$C$84&lt;1)), ISNUMBER(SEARCH(RefData!$B$2,$C$238))
),"
"&amp;RefData!$B$2&amp;"
"&amp; B265,B265)</f>
        <v xml:space="preserve">
No answer required
Participating employer insolvency
</v>
      </c>
      <c r="D265" s="83" t="s">
        <v>1063</v>
      </c>
    </row>
    <row r="266" spans="1:4" s="464" customFormat="1" ht="77.5">
      <c r="A266" s="543" t="s">
        <v>1066</v>
      </c>
      <c r="B266" s="177" t="s">
        <v>4368</v>
      </c>
      <c r="C266" s="177" t="str">
        <f>IF(OR('Start here'!$C$26=RefData!$B$9,
(AND('Start here'!$C$26=RefData!$B$10,'Covenant summary information'!$C$84=0)),
(AND('Start here'!$C$26=RefData!$B$10,'Covenant summary information'!$C$84&lt;1)), ISNUMBER(SEARCH(RefData!$B$2,$C$238))
),"
"&amp;RefData!$B$2&amp;"
"&amp; B266,B266)</f>
        <v xml:space="preserve">
No answer required
Insolvency of associated company
</v>
      </c>
      <c r="D266" s="177" t="s">
        <v>1065</v>
      </c>
    </row>
    <row r="267" spans="1:4" ht="77.5">
      <c r="A267" s="83" t="s">
        <v>1066</v>
      </c>
      <c r="B267" s="83" t="s">
        <v>4369</v>
      </c>
      <c r="C267" s="83" t="str">
        <f>IF(OR('Start here'!$C$26=RefData!$B$9,
(AND('Start here'!$C$26=RefData!$B$10,'Covenant summary information'!$C$84=0)),
(AND('Start here'!$C$26=RefData!$B$10,'Covenant summary information'!$C$84&lt;1)), ISNUMBER(SEARCH(RefData!$B$2,$C$238))
),"
"&amp;RefData!$B$2&amp;"
"&amp; B267,B267)</f>
        <v xml:space="preserve">
No answer required
Non payment of contributions
</v>
      </c>
      <c r="D267" s="83" t="s">
        <v>1067</v>
      </c>
    </row>
    <row r="268" spans="1:4" ht="77.5">
      <c r="A268" s="83" t="s">
        <v>1068</v>
      </c>
      <c r="B268" s="83" t="s">
        <v>4370</v>
      </c>
      <c r="C268" s="83" t="str">
        <f>IF(OR('Start here'!$C$26=RefData!$B$9,
(AND('Start here'!$C$26=RefData!$B$10,'Covenant summary information'!$C$84=0)),
(AND('Start here'!$C$26=RefData!$B$10,'Covenant summary information'!$C$84&lt;1)), ISNUMBER(SEARCH(RefData!$B$2,$C$238))
),"
"&amp;RefData!$B$2&amp;"
"&amp; B268,B268)</f>
        <v xml:space="preserve">
No answer required
Crystallisation of investment risk
</v>
      </c>
      <c r="D268" s="83" t="s">
        <v>1069</v>
      </c>
    </row>
    <row r="269" spans="1:4" ht="77.5">
      <c r="A269" s="83" t="s">
        <v>1070</v>
      </c>
      <c r="B269" s="83" t="s">
        <v>4371</v>
      </c>
      <c r="C269" s="83" t="str">
        <f>IF(OR('Start here'!$C$26=RefData!$B$9,
(AND('Start here'!$C$26=RefData!$B$10,'Covenant summary information'!$C$84=0)),
(AND('Start here'!$C$26=RefData!$B$10,'Covenant summary information'!$C$84&lt;1)), ISNUMBER(SEARCH(RefData!$B$2,$C$238))
),"
"&amp;RefData!$B$2&amp;"
"&amp; B269,B269)</f>
        <v xml:space="preserve">
No answer required
Other
</v>
      </c>
      <c r="D269" s="83" t="s">
        <v>1071</v>
      </c>
    </row>
    <row r="270" spans="1:4" ht="77.5">
      <c r="A270" s="83" t="s">
        <v>1072</v>
      </c>
      <c r="B270" s="83" t="s">
        <v>4372</v>
      </c>
      <c r="C270" s="83" t="str">
        <f>IF(OR('Start here'!$C$26=RefData!$B$9,
(AND('Start here'!$C$26=RefData!$B$10,'Covenant summary information'!$C$84=0)),
(AND('Start here'!$C$26=RefData!$B$10,'Covenant summary information'!$C$84&lt;1)),
(AND('Start here'!$C$26=RefData!$B$10,'Covenant summary information'!$C$84&gt;=1,Securities!$C$24=RefData!$B$160)), ISNUMBER(SEARCH(RefData!$B$2,$C$238))
),"
"&amp;RefData!$B$2&amp;"
"&amp; B270,B270)</f>
        <v xml:space="preserve">
No answer required
Describe the other triggers for access to value
</v>
      </c>
      <c r="D270" s="83" t="s">
        <v>1073</v>
      </c>
    </row>
    <row r="271" spans="1:4" ht="77.5">
      <c r="A271" s="83" t="s">
        <v>1074</v>
      </c>
      <c r="B271" s="83" t="s">
        <v>4373</v>
      </c>
      <c r="C271" s="83" t="str">
        <f>IF(OR('Start here'!$C$26=RefData!$B$9,
(AND('Start here'!$C$26=RefData!$B$10,'Covenant summary information'!$C$84=0)),
(AND('Start here'!$C$26=RefData!$B$10,'Covenant summary information'!$C$84&lt;1)), ISNUMBER(SEARCH(RefData!$B$2,$C$238))
),"
"&amp;RefData!$B$2&amp;"
"&amp; B271,B271)</f>
        <v xml:space="preserve">
No answer required
Triggers for termination
</v>
      </c>
      <c r="D271" s="83" t="s">
        <v>1075</v>
      </c>
    </row>
    <row r="272" spans="1:4" ht="77.5">
      <c r="A272" s="83" t="s">
        <v>1077</v>
      </c>
      <c r="B272" s="83" t="s">
        <v>4357</v>
      </c>
      <c r="C272" s="83" t="str">
        <f>IF(OR('Covenant summary information'!$C$84&lt;2, ISNUMBER(SEARCH(RefData!$B$2,$C$238))),"
"&amp;RefData!$B$2&amp;"
"&amp; B272,B272)</f>
        <v xml:space="preserve">
No answer required
What is the type of underlying asset that the scheme has security over?
</v>
      </c>
      <c r="D272" s="83" t="s">
        <v>1078</v>
      </c>
    </row>
    <row r="273" spans="1:4" ht="77.5">
      <c r="A273" s="83" t="s">
        <v>1079</v>
      </c>
      <c r="B273" s="83" t="s">
        <v>4358</v>
      </c>
      <c r="C273" s="83" t="str">
        <f>IF(OR('Covenant summary information'!$C$84&lt;2, ISNUMBER(SEARCH(RefData!$B$2,$C$238))),"
"&amp;RefData!$B$2&amp;"
"&amp; B273,B273)</f>
        <v xml:space="preserve">
No answer required
Provide specific details of the underlying asset
</v>
      </c>
      <c r="D273" s="83" t="s">
        <v>1080</v>
      </c>
    </row>
    <row r="274" spans="1:4" ht="77.5">
      <c r="A274" s="83" t="s">
        <v>1081</v>
      </c>
      <c r="B274" s="83" t="s">
        <v>4359</v>
      </c>
      <c r="C274" s="83" t="str">
        <f>IF(OR(NOT('Start here'!$C$26=RefData!$B$10),'Covenant summary information'!$C$84&lt;2, ISNUMBER(SEARCH(RefData!$B$2,$C$238))),"
"&amp;RefData!$B$2&amp;"
"&amp; B274,B274)</f>
        <v xml:space="preserve">
No answer required
Type of maturity
</v>
      </c>
      <c r="D274" s="83" t="s">
        <v>1082</v>
      </c>
    </row>
    <row r="275" spans="1:4" ht="77.5">
      <c r="A275" s="83" t="s">
        <v>1083</v>
      </c>
      <c r="B275" s="83" t="s">
        <v>4360</v>
      </c>
      <c r="C275" s="83" t="str">
        <f>IF(OR(NOT('Start here'!$C$26=RefData!$B$10),NOT(Securities!$C$32=RefData!$B$150),'Covenant summary information'!$C$84&lt;2, ISNUMBER(SEARCH(RefData!$B$2,$C$238))),"
"&amp;RefData!$B$2&amp;"
"&amp; B275,B275)</f>
        <v xml:space="preserve">
No answer required
Date of maturity
</v>
      </c>
      <c r="D275" s="83" t="s">
        <v>1084</v>
      </c>
    </row>
    <row r="276" spans="1:4" ht="77.5">
      <c r="A276" s="83" t="s">
        <v>1085</v>
      </c>
      <c r="B276" s="83" t="s">
        <v>4361</v>
      </c>
      <c r="C276" s="83" t="str">
        <f>IF(OR(NOT('Start here'!$C$26=RefData!$B$10),NOT(Securities!$C$32=RefData!$B$151),'Covenant summary information'!$C$84&lt;2, ISNUMBER(SEARCH(RefData!$B$2,$C$238))),"
"&amp;RefData!$B$2&amp;"
"&amp; B276,B276)</f>
        <v xml:space="preserve">
No answer required
Maturity date narrative
</v>
      </c>
      <c r="D276" s="83" t="s">
        <v>1086</v>
      </c>
    </row>
    <row r="277" spans="1:4" ht="77.5">
      <c r="A277" s="83" t="s">
        <v>1087</v>
      </c>
      <c r="B277" s="83" t="s">
        <v>4362</v>
      </c>
      <c r="C277" s="83" t="str">
        <f>IF(OR('Covenant summary information'!$C$84&lt;2, ISNUMBER(SEARCH(RefData!$B$2,$C$238))),"
"&amp;RefData!$B$2&amp;"
"&amp; B277,B277)</f>
        <v xml:space="preserve">
No answer required
Value ascribed (£)
</v>
      </c>
      <c r="D277" s="83" t="s">
        <v>1088</v>
      </c>
    </row>
    <row r="278" spans="1:4" ht="77.5">
      <c r="A278" s="83" t="s">
        <v>1089</v>
      </c>
      <c r="B278" s="83" t="s">
        <v>4363</v>
      </c>
      <c r="C278" s="83" t="str">
        <f>IF(OR('Covenant summary information'!$C$84&lt;2, ISNUMBER(SEARCH(RefData!$B$2,$C$238))),"
"&amp;RefData!$B$2&amp;"
"&amp; B278,B278)</f>
        <v xml:space="preserve">
No answer required
Date of valuation
</v>
      </c>
      <c r="D278" s="83" t="s">
        <v>1090</v>
      </c>
    </row>
    <row r="279" spans="1:4" ht="77.5">
      <c r="A279" s="83" t="s">
        <v>1091</v>
      </c>
      <c r="B279" s="83" t="s">
        <v>4364</v>
      </c>
      <c r="C279" s="83" t="str">
        <f>IF(OR('Start here'!$C$26=RefData!$B$9, AND('Start here'!$C$26=RefData!$B$10, 'Covenant summary information'!$C$84&lt;2), ISNUMBER(SEARCH(RefData!$B$2,$C$238))),"
"&amp;RefData!$B$2&amp;"
"&amp; B279,B279)</f>
        <v xml:space="preserve">
No answer required
Value cap
</v>
      </c>
      <c r="D279" s="83" t="s">
        <v>1092</v>
      </c>
    </row>
    <row r="280" spans="1:4" ht="77.5">
      <c r="A280" s="83" t="s">
        <v>1093</v>
      </c>
      <c r="B280" s="83" t="s">
        <v>4365</v>
      </c>
      <c r="C280" s="83" t="str">
        <f>IF(OR(NOT('Start here'!$C$26=RefData!$B$10),NOT(Securities!$C$37=RefData!$B$158),'Covenant summary information'!$C$84&lt;2, ISNUMBER(SEARCH(RefData!$B$2,$C$238))),"
"&amp;RefData!$B$2&amp;"
"&amp; B280,B280)</f>
        <v xml:space="preserve">
No answer required
Narrative regarding value cap
</v>
      </c>
      <c r="D280" s="83" t="s">
        <v>1094</v>
      </c>
    </row>
    <row r="281" spans="1:4" ht="44.15" customHeight="1">
      <c r="A281" s="83" t="s">
        <v>1095</v>
      </c>
      <c r="B281" s="83" t="s">
        <v>4366</v>
      </c>
      <c r="C281" s="83" t="str">
        <f>IF(OR(NOT('Start here'!$C$26=RefData!$B$10),NOT(Securities!$C$37=RefData!$B$157),'Covenant summary information'!$C$84&lt;2, ISNUMBER(SEARCH(RefData!$B$2,$C$238))),"
"&amp;RefData!$B$2&amp;"
"&amp; B281,B281)</f>
        <v xml:space="preserve">
No answer required
Fixed cap amount (£)
</v>
      </c>
      <c r="D281" s="83" t="s">
        <v>1096</v>
      </c>
    </row>
    <row r="282" spans="1:4" ht="77.5">
      <c r="A282" s="83" t="s">
        <v>1097</v>
      </c>
      <c r="B282" s="83" t="s">
        <v>4367</v>
      </c>
      <c r="C282" s="83" t="str">
        <f>IF(OR('Start here'!$C$26=RefData!$B$9,
(AND('Start here'!$C$26=RefData!$B$10,'Covenant summary information'!$C$84=0)),
(AND('Start here'!$C$26=RefData!$B$10,'Covenant summary information'!$C$84&lt;2)), ISNUMBER(SEARCH(RefData!$B$2,$C$238))
),"
"&amp;RefData!$B$2&amp;"
"&amp; B282,B282)</f>
        <v xml:space="preserve">
No answer required
Participating employer insolvency
</v>
      </c>
      <c r="D282" s="83" t="s">
        <v>1098</v>
      </c>
    </row>
    <row r="283" spans="1:4" ht="77.5">
      <c r="A283" s="83" t="s">
        <v>1099</v>
      </c>
      <c r="B283" s="83" t="s">
        <v>4368</v>
      </c>
      <c r="C283" s="83" t="str">
        <f>IF(OR('Start here'!$C$26=RefData!$B$9,
(AND('Start here'!$C$26=RefData!$B$10,'Covenant summary information'!$C$84=0)),
(AND('Start here'!$C$26=RefData!$B$10,'Covenant summary information'!$C$84&lt;2)), ISNUMBER(SEARCH(RefData!$B$2,$C$238))
),"
"&amp;RefData!$B$2&amp;"
"&amp; B283,B283)</f>
        <v xml:space="preserve">
No answer required
Insolvency of associated company
</v>
      </c>
      <c r="D283" s="83" t="s">
        <v>1100</v>
      </c>
    </row>
    <row r="284" spans="1:4" ht="77.5">
      <c r="A284" s="83" t="s">
        <v>1101</v>
      </c>
      <c r="B284" s="83" t="s">
        <v>4369</v>
      </c>
      <c r="C284" s="83" t="str">
        <f>IF(OR('Start here'!$C$26=RefData!$B$9,
(AND('Start here'!$C$26=RefData!$B$10,'Covenant summary information'!$C$84=0)),
(AND('Start here'!$C$26=RefData!$B$10,'Covenant summary information'!$C$84&lt;2)), ISNUMBER(SEARCH(RefData!$B$2,$C$238))
),"
"&amp;RefData!$B$2&amp;"
"&amp; B284,B284)</f>
        <v xml:space="preserve">
No answer required
Non payment of contributions
</v>
      </c>
      <c r="D284" s="83" t="s">
        <v>1102</v>
      </c>
    </row>
    <row r="285" spans="1:4" ht="77.5">
      <c r="A285" s="83" t="s">
        <v>1103</v>
      </c>
      <c r="B285" s="83" t="s">
        <v>4370</v>
      </c>
      <c r="C285" s="83" t="str">
        <f>IF(OR('Start here'!$C$26=RefData!$B$9,
(AND('Start here'!$C$26=RefData!$B$10,'Covenant summary information'!$C$84=0)),
(AND('Start here'!$C$26=RefData!$B$10,'Covenant summary information'!$C$84&lt;2)), ISNUMBER(SEARCH(RefData!$B$2,$C$238))
),"
"&amp;RefData!$B$2&amp;"
"&amp; B285,B285)</f>
        <v xml:space="preserve">
No answer required
Crystallisation of investment risk
</v>
      </c>
      <c r="D285" s="83" t="s">
        <v>1104</v>
      </c>
    </row>
    <row r="286" spans="1:4" ht="77.5">
      <c r="A286" s="83" t="s">
        <v>1105</v>
      </c>
      <c r="B286" s="83" t="s">
        <v>4371</v>
      </c>
      <c r="C286" s="83" t="str">
        <f>IF(OR('Start here'!$C$26=RefData!$B$9,
(AND('Start here'!$C$26=RefData!$B$10,'Covenant summary information'!$C$84=0)),
(AND('Start here'!$C$26=RefData!$B$10,'Covenant summary information'!$C$84&lt;2)), ISNUMBER(SEARCH(RefData!$B$2,$C$238))
),"
"&amp;RefData!$B$2&amp;"
"&amp; B286,B286)</f>
        <v xml:space="preserve">
No answer required
Other
</v>
      </c>
      <c r="D286" s="83" t="s">
        <v>1106</v>
      </c>
    </row>
    <row r="287" spans="1:4" ht="77.5">
      <c r="A287" s="83" t="s">
        <v>1107</v>
      </c>
      <c r="B287" s="83" t="s">
        <v>4372</v>
      </c>
      <c r="C287" s="83" t="str">
        <f>IF(OR('Start here'!$C$26=RefData!$B$9,
(AND('Start here'!$C$26=RefData!$B$10,'Covenant summary information'!$C$84=0)),
(AND('Start here'!$C$26=RefData!$B$10,'Covenant summary information'!$C$84&lt;2)),
(AND('Start here'!$C$26=RefData!$B$10,'Covenant summary information'!$C$84&gt;=2,Securities!$C$47=RefData!$B$160)), ISNUMBER(SEARCH(RefData!$B$2,$C$238))
),"
"&amp;RefData!$B$2&amp;"
"&amp; B287,B287)</f>
        <v xml:space="preserve">
No answer required
Describe the other triggers for access to value
</v>
      </c>
      <c r="D287" s="83" t="s">
        <v>1108</v>
      </c>
    </row>
    <row r="288" spans="1:4" ht="77.5">
      <c r="A288" s="83" t="s">
        <v>1109</v>
      </c>
      <c r="B288" s="83" t="s">
        <v>4373</v>
      </c>
      <c r="C288" s="83" t="str">
        <f>IF(OR('Start here'!$C$26=RefData!$B$9,
(AND('Start here'!$C$26=RefData!$B$10,'Covenant summary information'!$C$84=0)),
(AND('Start here'!$C$26=RefData!$B$10,'Covenant summary information'!$C$84&lt;2)), ISNUMBER(SEARCH(RefData!$B$2,$C$238))
),"
"&amp;RefData!$B$2&amp;"
"&amp; B288,B288)</f>
        <v xml:space="preserve">
No answer required
Triggers for termination
</v>
      </c>
      <c r="D288" s="83" t="s">
        <v>1110</v>
      </c>
    </row>
    <row r="289" spans="1:4" ht="77.5">
      <c r="A289" s="83" t="s">
        <v>1112</v>
      </c>
      <c r="B289" s="83" t="s">
        <v>4357</v>
      </c>
      <c r="C289" s="83" t="str">
        <f>IF(OR('Covenant summary information'!$C$84&lt;3, ISNUMBER(SEARCH(RefData!$B$2,$C$238))),"
"&amp;RefData!$B$2&amp;"
"&amp; B289,B289)</f>
        <v xml:space="preserve">
No answer required
What is the type of underlying asset that the scheme has security over?
</v>
      </c>
      <c r="D289" s="83" t="s">
        <v>1113</v>
      </c>
    </row>
    <row r="290" spans="1:4" ht="77.5">
      <c r="A290" s="83" t="s">
        <v>1115</v>
      </c>
      <c r="B290" s="83" t="s">
        <v>4358</v>
      </c>
      <c r="C290" s="83" t="str">
        <f>IF(OR('Covenant summary information'!$C$84&lt;3, ISNUMBER(SEARCH(RefData!$B$2,$C$238))),"
"&amp;RefData!$B$2&amp;"
"&amp; B290,B290)</f>
        <v xml:space="preserve">
No answer required
Provide specific details of the underlying asset
</v>
      </c>
      <c r="D290" s="83" t="s">
        <v>1116</v>
      </c>
    </row>
    <row r="291" spans="1:4" ht="77.5">
      <c r="A291" s="83" t="s">
        <v>1117</v>
      </c>
      <c r="B291" s="83" t="s">
        <v>4359</v>
      </c>
      <c r="C291" s="83" t="str">
        <f>IF(OR(NOT('Start here'!$C$26=RefData!$B$10),'Covenant summary information'!$C$84&lt;3, ISNUMBER(SEARCH(RefData!$B$2,$C$238))),"
"&amp;RefData!$B$2&amp;"
"&amp; B291,B291)</f>
        <v xml:space="preserve">
No answer required
Type of maturity
</v>
      </c>
      <c r="D291" s="83" t="s">
        <v>1118</v>
      </c>
    </row>
    <row r="292" spans="1:4" ht="77.5">
      <c r="A292" s="83" t="s">
        <v>1119</v>
      </c>
      <c r="B292" s="83" t="s">
        <v>4360</v>
      </c>
      <c r="C292" s="83" t="str">
        <f>IF(OR(NOT('Start here'!$C$26=RefData!$B$10),NOT(Securities!$C$55=RefData!$B$150),'Covenant summary information'!$C$84&lt;3, ISNUMBER(SEARCH(RefData!$B$2,$C$238))),"
"&amp;RefData!$B$2&amp;"
"&amp; B292,B292)</f>
        <v xml:space="preserve">
No answer required
Date of maturity
</v>
      </c>
      <c r="D292" s="83" t="s">
        <v>1120</v>
      </c>
    </row>
    <row r="293" spans="1:4" ht="77.5">
      <c r="A293" s="83" t="s">
        <v>1121</v>
      </c>
      <c r="B293" s="83" t="s">
        <v>4361</v>
      </c>
      <c r="C293" s="83" t="str">
        <f>IF(OR(NOT('Start here'!$C$26=RefData!$B$10),NOT(Securities!$C$55=RefData!$B$151),'Covenant summary information'!$C$84&lt;3, ISNUMBER(SEARCH(RefData!$B$2,$C$238))),"
"&amp;RefData!$B$2&amp;"
"&amp; B293,B293)</f>
        <v xml:space="preserve">
No answer required
Maturity date narrative
</v>
      </c>
      <c r="D293" s="83" t="s">
        <v>1122</v>
      </c>
    </row>
    <row r="294" spans="1:4" ht="77.5">
      <c r="A294" s="83" t="s">
        <v>1123</v>
      </c>
      <c r="B294" s="83" t="s">
        <v>4362</v>
      </c>
      <c r="C294" s="83" t="str">
        <f>IF(OR('Covenant summary information'!$C$84&lt;3, ISNUMBER(SEARCH(RefData!$B$2,$C$238))),"
"&amp;RefData!$B$2&amp;"
"&amp; B294,B294)</f>
        <v xml:space="preserve">
No answer required
Value ascribed (£)
</v>
      </c>
      <c r="D294" s="83" t="s">
        <v>1124</v>
      </c>
    </row>
    <row r="295" spans="1:4" ht="77.5">
      <c r="A295" s="83" t="s">
        <v>1125</v>
      </c>
      <c r="B295" s="83" t="s">
        <v>4363</v>
      </c>
      <c r="C295" s="83" t="str">
        <f>IF(OR('Covenant summary information'!$C$84&lt;3, ISNUMBER(SEARCH(RefData!$B$2,$C$238))),"
"&amp;RefData!$B$2&amp;"
"&amp; B295,B295)</f>
        <v xml:space="preserve">
No answer required
Date of valuation
</v>
      </c>
      <c r="D295" s="83" t="s">
        <v>1126</v>
      </c>
    </row>
    <row r="296" spans="1:4" ht="77.5">
      <c r="A296" s="83" t="s">
        <v>1127</v>
      </c>
      <c r="B296" s="83" t="s">
        <v>4364</v>
      </c>
      <c r="C296" s="83" t="str">
        <f>IF(OR('Start here'!$C$26=RefData!$B$9, AND('Start here'!$C$26=RefData!$B$10, 'Covenant summary information'!$C$84&lt;3), ISNUMBER(SEARCH(RefData!$B$2,$C$238))),"
"&amp;RefData!$B$2&amp;"
"&amp; B296,B296)</f>
        <v xml:space="preserve">
No answer required
Value cap
</v>
      </c>
      <c r="D296" s="83" t="s">
        <v>1128</v>
      </c>
    </row>
    <row r="297" spans="1:4" ht="77.5">
      <c r="A297" s="83" t="s">
        <v>1129</v>
      </c>
      <c r="B297" s="83" t="s">
        <v>4365</v>
      </c>
      <c r="C297" s="83" t="str">
        <f>IF(OR(NOT('Start here'!$C$26=RefData!$B$10),NOT(Securities!$C$60=RefData!$B$158),'Covenant summary information'!$C$84&lt;3, ISNUMBER(SEARCH(RefData!$B$2,$C$238))),"
"&amp;RefData!$B$2&amp;"
"&amp; B297,B297)</f>
        <v xml:space="preserve">
No answer required
Narrative regarding value cap
</v>
      </c>
      <c r="D297" s="83" t="s">
        <v>1130</v>
      </c>
    </row>
    <row r="298" spans="1:4" ht="77.5">
      <c r="A298" s="83" t="s">
        <v>1131</v>
      </c>
      <c r="B298" s="83" t="s">
        <v>4366</v>
      </c>
      <c r="C298" s="83" t="str">
        <f>IF(OR(NOT('Start here'!$C$26=RefData!$B$10),NOT(Securities!$C$60=RefData!$B$157),'Covenant summary information'!$C$84&lt;3, ISNUMBER(SEARCH(RefData!$B$2,$C$238))),"
"&amp;RefData!$B$2&amp;"
"&amp; B298,B298)</f>
        <v xml:space="preserve">
No answer required
Fixed cap amount (£)
</v>
      </c>
      <c r="D298" s="83" t="s">
        <v>1132</v>
      </c>
    </row>
    <row r="299" spans="1:4" ht="77.5">
      <c r="A299" s="83" t="s">
        <v>1133</v>
      </c>
      <c r="B299" s="83" t="s">
        <v>4367</v>
      </c>
      <c r="C299" s="83" t="str">
        <f>IF(OR('Start here'!$C$26=RefData!$B$9,
(AND('Start here'!$C$26=RefData!$B$10,'Covenant summary information'!$C$84=0)),
(AND('Start here'!$C$26=RefData!$B$10,'Covenant summary information'!$C$84&lt;3)), ISNUMBER(SEARCH(RefData!$B$2,$C$238))
),"
"&amp;RefData!$B$2&amp;"
"&amp; B299,B299)</f>
        <v xml:space="preserve">
No answer required
Participating employer insolvency
</v>
      </c>
      <c r="D299" s="83" t="s">
        <v>1134</v>
      </c>
    </row>
    <row r="300" spans="1:4" ht="77.5">
      <c r="A300" s="83" t="s">
        <v>1135</v>
      </c>
      <c r="B300" s="83" t="s">
        <v>4368</v>
      </c>
      <c r="C300" s="83" t="str">
        <f>IF(OR('Start here'!$C$26=RefData!$B$9,
(AND('Start here'!$C$26=RefData!$B$10,'Covenant summary information'!$C$84=0)),
(AND('Start here'!$C$26=RefData!$B$10,'Covenant summary information'!$C$84&lt;3)), ISNUMBER(SEARCH(RefData!$B$2,$C$238))
),"
"&amp;RefData!$B$2&amp;"
"&amp; B300,B300)</f>
        <v xml:space="preserve">
No answer required
Insolvency of associated company
</v>
      </c>
      <c r="D300" s="83" t="s">
        <v>1136</v>
      </c>
    </row>
    <row r="301" spans="1:4" ht="77.5">
      <c r="A301" s="83" t="s">
        <v>1137</v>
      </c>
      <c r="B301" s="83" t="s">
        <v>4369</v>
      </c>
      <c r="C301" s="83" t="str">
        <f>IF(OR('Start here'!$C$26=RefData!$B$9,
(AND('Start here'!$C$26=RefData!$B$10,'Covenant summary information'!$C$84=0)),
(AND('Start here'!$C$26=RefData!$B$10,'Covenant summary information'!$C$84&lt;3)), ISNUMBER(SEARCH(RefData!$B$2,$C$238))
),"
"&amp;RefData!$B$2&amp;"
"&amp; B301,B301)</f>
        <v xml:space="preserve">
No answer required
Non payment of contributions
</v>
      </c>
      <c r="D301" s="83" t="s">
        <v>1138</v>
      </c>
    </row>
    <row r="302" spans="1:4" ht="77.5">
      <c r="A302" s="83" t="s">
        <v>1139</v>
      </c>
      <c r="B302" s="83" t="s">
        <v>4370</v>
      </c>
      <c r="C302" s="83" t="str">
        <f>IF(OR('Start here'!$C$26=RefData!$B$9,
(AND('Start here'!$C$26=RefData!$B$10,'Covenant summary information'!$C$84=0)),
(AND('Start here'!$C$26=RefData!$B$10,'Covenant summary information'!$C$84&lt;3)), ISNUMBER(SEARCH(RefData!$B$2,$C$238))
),"
"&amp;RefData!$B$2&amp;"
"&amp; B302,B302)</f>
        <v xml:space="preserve">
No answer required
Crystallisation of investment risk
</v>
      </c>
      <c r="D302" s="83" t="s">
        <v>1140</v>
      </c>
    </row>
    <row r="303" spans="1:4" ht="77.5">
      <c r="A303" s="83" t="s">
        <v>1141</v>
      </c>
      <c r="B303" s="83" t="s">
        <v>4371</v>
      </c>
      <c r="C303" s="83" t="str">
        <f>IF(OR('Start here'!$C$26=RefData!$B$9,
(AND('Start here'!$C$26=RefData!$B$10,'Covenant summary information'!$C$84=0)),
(AND('Start here'!$C$26=RefData!$B$10,'Covenant summary information'!$C$84&lt;3)), ISNUMBER(SEARCH(RefData!$B$2,$C$238))
),"
"&amp;RefData!$B$2&amp;"
"&amp; B303,B303)</f>
        <v xml:space="preserve">
No answer required
Other
</v>
      </c>
      <c r="D303" s="83" t="s">
        <v>1142</v>
      </c>
    </row>
    <row r="304" spans="1:4" ht="77.5">
      <c r="A304" s="83" t="s">
        <v>1143</v>
      </c>
      <c r="B304" s="83" t="s">
        <v>4372</v>
      </c>
      <c r="C304" s="83" t="str">
        <f>IF(OR('Start here'!$C$26=RefData!$B$9,
(AND('Start here'!$C$26=RefData!$B$10,'Covenant summary information'!$C$84=0)),
(AND('Start here'!$C$26=RefData!$B$10,'Covenant summary information'!$C$84&lt;3)),
(AND('Start here'!$C$26=RefData!$B$10,'Covenant summary information'!$C$84&gt;=3,Securities!$C$70=RefData!$B$160)), ISNUMBER(SEARCH(RefData!$B$2,$C$238))
),"
"&amp;RefData!$B$2&amp;"
"&amp; B304,B304)</f>
        <v xml:space="preserve">
No answer required
Describe the other triggers for access to value
</v>
      </c>
      <c r="D304" s="83" t="s">
        <v>1144</v>
      </c>
    </row>
    <row r="305" spans="1:4" ht="77.5">
      <c r="A305" s="83" t="s">
        <v>1145</v>
      </c>
      <c r="B305" s="83" t="s">
        <v>4373</v>
      </c>
      <c r="C305" s="83" t="str">
        <f>IF(OR('Start here'!$C$26=RefData!$B$9,
(AND('Start here'!$C$26=RefData!$B$10,'Covenant summary information'!$C$84=0)),
(AND('Start here'!$C$26=RefData!$B$10,'Covenant summary information'!$C$84&lt;3)), ISNUMBER(SEARCH(RefData!$B$2,$C$238))
),"
"&amp;RefData!$B$2&amp;"
"&amp; B305,B305)</f>
        <v xml:space="preserve">
No answer required
Triggers for termination
</v>
      </c>
      <c r="D305" s="83" t="s">
        <v>1146</v>
      </c>
    </row>
    <row r="306" spans="1:4" ht="77.5">
      <c r="A306" s="83" t="s">
        <v>1148</v>
      </c>
      <c r="B306" s="83" t="s">
        <v>4357</v>
      </c>
      <c r="C306" s="83" t="str">
        <f>IF(OR('Covenant summary information'!$C$84&lt;4, ISNUMBER(SEARCH(RefData!$B$2,$C$238))),"
"&amp;RefData!$B$2&amp;"
"&amp; B306,B306)</f>
        <v xml:space="preserve">
No answer required
What is the type of underlying asset that the scheme has security over?
</v>
      </c>
      <c r="D306" s="83" t="s">
        <v>1149</v>
      </c>
    </row>
    <row r="307" spans="1:4" ht="77.5">
      <c r="A307" s="83" t="s">
        <v>1150</v>
      </c>
      <c r="B307" s="83" t="s">
        <v>4358</v>
      </c>
      <c r="C307" s="83" t="str">
        <f>IF(OR('Covenant summary information'!$C$84&lt;4, ISNUMBER(SEARCH(RefData!$B$2,$C$238))),"
"&amp;RefData!$B$2&amp;"
"&amp; B307,B307)</f>
        <v xml:space="preserve">
No answer required
Provide specific details of the underlying asset
</v>
      </c>
      <c r="D307" s="83" t="s">
        <v>1151</v>
      </c>
    </row>
    <row r="308" spans="1:4" ht="77.5">
      <c r="A308" s="83" t="s">
        <v>1152</v>
      </c>
      <c r="B308" s="83" t="s">
        <v>4359</v>
      </c>
      <c r="C308" s="83" t="str">
        <f>IF(OR(NOT('Start here'!$C$26=RefData!$B$10),'Covenant summary information'!$C$84&lt;4, ISNUMBER(SEARCH(RefData!$B$2,$C$238))),"
"&amp;RefData!$B$2&amp;"
"&amp; B308,B308)</f>
        <v xml:space="preserve">
No answer required
Type of maturity
</v>
      </c>
      <c r="D308" s="83" t="s">
        <v>1153</v>
      </c>
    </row>
    <row r="309" spans="1:4" ht="77.5">
      <c r="A309" s="83" t="s">
        <v>1154</v>
      </c>
      <c r="B309" s="83" t="s">
        <v>4360</v>
      </c>
      <c r="C309" s="83" t="str">
        <f>IF(OR(NOT('Start here'!$C$26=RefData!$B$10),NOT(Securities!$C$78=RefData!$B$150),'Covenant summary information'!$C$84&lt;4, ISNUMBER(SEARCH(RefData!$B$2,$C$238))),"
"&amp;RefData!$B$2&amp;"
"&amp; B309,B309)</f>
        <v xml:space="preserve">
No answer required
Date of maturity
</v>
      </c>
      <c r="D309" s="83" t="s">
        <v>1155</v>
      </c>
    </row>
    <row r="310" spans="1:4" ht="77.5">
      <c r="A310" s="83" t="s">
        <v>1156</v>
      </c>
      <c r="B310" s="83" t="s">
        <v>4361</v>
      </c>
      <c r="C310" s="83" t="str">
        <f>IF(OR(NOT('Start here'!$C$26=RefData!$B$10),NOT(Securities!$C$78=RefData!$B$151),'Covenant summary information'!$C$84&lt;4, ISNUMBER(SEARCH(RefData!$B$2,$C$238))),"
"&amp;RefData!$B$2&amp;"
"&amp; B310,B310)</f>
        <v xml:space="preserve">
No answer required
Maturity date narrative
</v>
      </c>
      <c r="D310" s="83" t="s">
        <v>1157</v>
      </c>
    </row>
    <row r="311" spans="1:4" ht="77.5">
      <c r="A311" s="83" t="s">
        <v>1158</v>
      </c>
      <c r="B311" s="83" t="s">
        <v>4362</v>
      </c>
      <c r="C311" s="83" t="str">
        <f>IF(OR('Covenant summary information'!$C$84&lt;4, ISNUMBER(SEARCH(RefData!$B$2,$C$238))),"
"&amp;RefData!$B$2&amp;"
"&amp; B311,B311)</f>
        <v xml:space="preserve">
No answer required
Value ascribed (£)
</v>
      </c>
      <c r="D311" s="83" t="s">
        <v>1159</v>
      </c>
    </row>
    <row r="312" spans="1:4" ht="77.5">
      <c r="A312" s="83" t="s">
        <v>1160</v>
      </c>
      <c r="B312" s="83" t="s">
        <v>4363</v>
      </c>
      <c r="C312" s="83" t="str">
        <f>IF(OR('Covenant summary information'!$C$84&lt;4, ISNUMBER(SEARCH(RefData!$B$2,$C$238))),"
"&amp;RefData!$B$2&amp;"
"&amp; B312,B312)</f>
        <v xml:space="preserve">
No answer required
Date of valuation
</v>
      </c>
      <c r="D312" s="83" t="s">
        <v>1161</v>
      </c>
    </row>
    <row r="313" spans="1:4" ht="77.5">
      <c r="A313" s="83" t="s">
        <v>1162</v>
      </c>
      <c r="B313" s="83" t="s">
        <v>4364</v>
      </c>
      <c r="C313" s="83" t="str">
        <f>IF(OR('Start here'!$C$26=RefData!$B$9, AND('Start here'!$C$26=RefData!$B$10, 'Covenant summary information'!$C$84&lt;4), ISNUMBER(SEARCH(RefData!$B$2,$C$238))),"
"&amp;RefData!$B$2&amp;"
"&amp; B313,B313)</f>
        <v xml:space="preserve">
No answer required
Value cap
</v>
      </c>
      <c r="D313" s="83" t="s">
        <v>1163</v>
      </c>
    </row>
    <row r="314" spans="1:4" ht="77.5">
      <c r="A314" s="83" t="s">
        <v>1164</v>
      </c>
      <c r="B314" s="83" t="s">
        <v>4365</v>
      </c>
      <c r="C314" s="83" t="str">
        <f>IF(OR(NOT('Start here'!$C$26=RefData!$B$10),NOT(Securities!$C$83=RefData!$B$158),'Covenant summary information'!$C$84&lt;4, ISNUMBER(SEARCH(RefData!$B$2,$C$238))),"
"&amp;RefData!$B$2&amp;"
"&amp; B314,B314)</f>
        <v xml:space="preserve">
No answer required
Narrative regarding value cap
</v>
      </c>
      <c r="D314" s="83" t="s">
        <v>1165</v>
      </c>
    </row>
    <row r="315" spans="1:4" ht="77.5">
      <c r="A315" s="83" t="s">
        <v>1166</v>
      </c>
      <c r="B315" s="83" t="s">
        <v>4366</v>
      </c>
      <c r="C315" s="83" t="str">
        <f>IF(OR(NOT('Start here'!$C$26=RefData!$B$10),NOT(Securities!$C$83=RefData!$B$157),'Covenant summary information'!$C$84&lt;4, ISNUMBER(SEARCH(RefData!$B$2,$C$238))),"
"&amp;RefData!$B$2&amp;"
"&amp; B315,B315)</f>
        <v xml:space="preserve">
No answer required
Fixed cap amount (£)
</v>
      </c>
      <c r="D315" s="83" t="s">
        <v>1167</v>
      </c>
    </row>
    <row r="316" spans="1:4" ht="77.5">
      <c r="A316" s="83" t="s">
        <v>1168</v>
      </c>
      <c r="B316" s="83" t="s">
        <v>4367</v>
      </c>
      <c r="C316" s="83" t="str">
        <f>IF(OR('Start here'!$C$26=RefData!$B$9,
(AND('Start here'!$C$26=RefData!$B$10,'Covenant summary information'!$C$84=0)),
(AND('Start here'!$C$26=RefData!$B$10,'Covenant summary information'!$C$84&lt;4)), ISNUMBER(SEARCH(RefData!$B$2,$C$238))
),"
"&amp;RefData!$B$2&amp;"
"&amp; B316,B316)</f>
        <v xml:space="preserve">
No answer required
Participating employer insolvency
</v>
      </c>
      <c r="D316" s="83" t="s">
        <v>1169</v>
      </c>
    </row>
    <row r="317" spans="1:4" ht="77.5">
      <c r="A317" s="83" t="s">
        <v>1170</v>
      </c>
      <c r="B317" s="83" t="s">
        <v>4368</v>
      </c>
      <c r="C317" s="83" t="str">
        <f>IF(OR('Start here'!$C$26=RefData!$B$9,
(AND('Start here'!$C$26=RefData!$B$10,'Covenant summary information'!$C$84=0)),
(AND('Start here'!$C$26=RefData!$B$10,'Covenant summary information'!$C$84&lt;4)), ISNUMBER(SEARCH(RefData!$B$2,$C$238))
),"
"&amp;RefData!$B$2&amp;"
"&amp; B317,B317)</f>
        <v xml:space="preserve">
No answer required
Insolvency of associated company
</v>
      </c>
      <c r="D317" s="83" t="s">
        <v>1171</v>
      </c>
    </row>
    <row r="318" spans="1:4" ht="77.5">
      <c r="A318" s="83" t="s">
        <v>1172</v>
      </c>
      <c r="B318" s="83" t="s">
        <v>4369</v>
      </c>
      <c r="C318" s="83" t="str">
        <f>IF(OR('Start here'!$C$26=RefData!$B$9,
(AND('Start here'!$C$26=RefData!$B$10,'Covenant summary information'!$C$84=0)),
(AND('Start here'!$C$26=RefData!$B$10,'Covenant summary information'!$C$84&lt;4)), ISNUMBER(SEARCH(RefData!$B$2,$C$238))
),"
"&amp;RefData!$B$2&amp;"
"&amp; B318,B318)</f>
        <v xml:space="preserve">
No answer required
Non payment of contributions
</v>
      </c>
      <c r="D318" s="83" t="s">
        <v>1173</v>
      </c>
    </row>
    <row r="319" spans="1:4" ht="77.5">
      <c r="A319" s="83" t="s">
        <v>1174</v>
      </c>
      <c r="B319" s="83" t="s">
        <v>4370</v>
      </c>
      <c r="C319" s="83" t="str">
        <f>IF(OR('Start here'!$C$26=RefData!$B$9,
(AND('Start here'!$C$26=RefData!$B$10,'Covenant summary information'!$C$84=0)),
(AND('Start here'!$C$26=RefData!$B$10,'Covenant summary information'!$C$84&lt;4)), ISNUMBER(SEARCH(RefData!$B$2,$C$238))
),"
"&amp;RefData!$B$2&amp;"
"&amp; B319,B319)</f>
        <v xml:space="preserve">
No answer required
Crystallisation of investment risk
</v>
      </c>
      <c r="D319" s="83" t="s">
        <v>1175</v>
      </c>
    </row>
    <row r="320" spans="1:4" ht="77.5">
      <c r="A320" s="83" t="s">
        <v>1176</v>
      </c>
      <c r="B320" s="83" t="s">
        <v>4371</v>
      </c>
      <c r="C320" s="83" t="str">
        <f>IF(OR('Start here'!$C$26=RefData!$B$9,
(AND('Start here'!$C$26=RefData!$B$10,'Covenant summary information'!$C$84=0)),
(AND('Start here'!$C$26=RefData!$B$10,'Covenant summary information'!$C$84&lt;4)), ISNUMBER(SEARCH(RefData!$B$2,$C$238))
),"
"&amp;RefData!$B$2&amp;"
"&amp; B320,B320)</f>
        <v xml:space="preserve">
No answer required
Other
</v>
      </c>
      <c r="D320" s="83" t="s">
        <v>1177</v>
      </c>
    </row>
    <row r="321" spans="1:4" ht="77.5">
      <c r="A321" s="83" t="s">
        <v>1178</v>
      </c>
      <c r="B321" s="83" t="s">
        <v>4372</v>
      </c>
      <c r="C321" s="83" t="str">
        <f>IF(OR('Start here'!$C$26=RefData!$B$9,
(AND('Start here'!$C$26=RefData!$B$10,'Covenant summary information'!$C$84=0)),
(AND('Start here'!$C$26=RefData!$B$10,'Covenant summary information'!$C$84&lt;4)),
(AND('Start here'!$C$26=RefData!$B$10,'Covenant summary information'!$C$84&gt;=4,Securities!$C$93=RefData!$B$160)), ISNUMBER(SEARCH(RefData!$B$2,$C$238))
),"
"&amp;RefData!$B$2&amp;"
"&amp; B321,B321)</f>
        <v xml:space="preserve">
No answer required
Describe the other triggers for access to value
</v>
      </c>
      <c r="D321" s="83" t="s">
        <v>1179</v>
      </c>
    </row>
    <row r="322" spans="1:4" ht="77.5">
      <c r="A322" s="83" t="s">
        <v>1180</v>
      </c>
      <c r="B322" s="83" t="s">
        <v>4373</v>
      </c>
      <c r="C322" s="83" t="str">
        <f>IF(OR('Start here'!$C$26=RefData!$B$9,
(AND('Start here'!$C$26=RefData!$B$10,'Covenant summary information'!$C$84=0)),
(AND('Start here'!$C$26=RefData!$B$10,'Covenant summary information'!$C$84&lt;4)), ISNUMBER(SEARCH(RefData!$B$2,$C$238))
),"
"&amp;RefData!$B$2&amp;"
"&amp; B322,B322)</f>
        <v xml:space="preserve">
No answer required
Triggers for termination
</v>
      </c>
      <c r="D322" s="83" t="s">
        <v>1181</v>
      </c>
    </row>
    <row r="323" spans="1:4" ht="77.5">
      <c r="A323" s="83" t="s">
        <v>3517</v>
      </c>
      <c r="B323" s="83" t="s">
        <v>4357</v>
      </c>
      <c r="C323" s="83" t="str">
        <f>IF(OR('Covenant summary information'!$C$84&lt;5, ISNUMBER(SEARCH(RefData!$B$2,$C$238))),"
"&amp;RefData!$B$2&amp;"
"&amp; B323,B323)</f>
        <v xml:space="preserve">
No answer required
What is the type of underlying asset that the scheme has security over?
</v>
      </c>
      <c r="D323" s="83" t="s">
        <v>1183</v>
      </c>
    </row>
    <row r="324" spans="1:4" ht="77.5">
      <c r="A324" s="83" t="s">
        <v>1184</v>
      </c>
      <c r="B324" s="83" t="s">
        <v>4358</v>
      </c>
      <c r="C324" s="83" t="str">
        <f>IF(OR('Covenant summary information'!$C$84&lt;5, ISNUMBER(SEARCH(RefData!$B$2,$C$238))),"
"&amp;RefData!$B$2&amp;"
"&amp; B324,B324)</f>
        <v xml:space="preserve">
No answer required
Provide specific details of the underlying asset
</v>
      </c>
      <c r="D324" s="83" t="s">
        <v>1185</v>
      </c>
    </row>
    <row r="325" spans="1:4" ht="77.5">
      <c r="A325" s="83" t="s">
        <v>1186</v>
      </c>
      <c r="B325" s="83" t="s">
        <v>4359</v>
      </c>
      <c r="C325" s="83" t="str">
        <f>IF(OR(NOT('Start here'!$C$26=RefData!$B$10),'Covenant summary information'!$C$84&lt;5, ISNUMBER(SEARCH(RefData!$B$2,$C$238))),"
"&amp;RefData!$B$2&amp;"
"&amp; B325,B325)</f>
        <v xml:space="preserve">
No answer required
Type of maturity
</v>
      </c>
      <c r="D325" s="83" t="s">
        <v>1187</v>
      </c>
    </row>
    <row r="326" spans="1:4" ht="77.5">
      <c r="A326" s="83" t="s">
        <v>1188</v>
      </c>
      <c r="B326" s="83" t="s">
        <v>4360</v>
      </c>
      <c r="C326" s="83" t="str">
        <f>IF(OR(NOT('Start here'!$C$26=RefData!$B$10),NOT(Securities!$C$101=RefData!$B$150),'Covenant summary information'!$C$84&lt;5, ISNUMBER(SEARCH(RefData!$B$2,$C$238))),"
"&amp;RefData!$B$2&amp;"
"&amp; B326,B326)</f>
        <v xml:space="preserve">
No answer required
Date of maturity
</v>
      </c>
      <c r="D326" s="83" t="s">
        <v>1189</v>
      </c>
    </row>
    <row r="327" spans="1:4" ht="77.5">
      <c r="A327" s="83" t="s">
        <v>1190</v>
      </c>
      <c r="B327" s="83" t="s">
        <v>4361</v>
      </c>
      <c r="C327" s="83" t="str">
        <f>IF(OR(NOT('Start here'!$C$26=RefData!$B$10),NOT(Securities!$C$101=RefData!$B$151),'Covenant summary information'!$C$84&lt;5, ISNUMBER(SEARCH(RefData!$B$2,$C$238))),"
"&amp;RefData!$B$2&amp;"
"&amp; B327,B327)</f>
        <v xml:space="preserve">
No answer required
Maturity date narrative
</v>
      </c>
      <c r="D327" s="83" t="s">
        <v>1191</v>
      </c>
    </row>
    <row r="328" spans="1:4" ht="77.5">
      <c r="A328" s="83" t="s">
        <v>1192</v>
      </c>
      <c r="B328" s="83" t="s">
        <v>4362</v>
      </c>
      <c r="C328" s="83" t="str">
        <f>IF(OR('Covenant summary information'!$C$84&lt;5, ISNUMBER(SEARCH(RefData!$B$2,$C$238))),"
"&amp;RefData!$B$2&amp;"
"&amp; B328,B328)</f>
        <v xml:space="preserve">
No answer required
Value ascribed (£)
</v>
      </c>
      <c r="D328" s="83" t="s">
        <v>1193</v>
      </c>
    </row>
    <row r="329" spans="1:4" ht="77.5">
      <c r="A329" s="83" t="s">
        <v>1194</v>
      </c>
      <c r="B329" s="83" t="s">
        <v>4363</v>
      </c>
      <c r="C329" s="83" t="str">
        <f>IF(OR('Covenant summary information'!$C$84&lt;5, ISNUMBER(SEARCH(RefData!$B$2,$C$238))),"
"&amp;RefData!$B$2&amp;"
"&amp; B329,B329)</f>
        <v xml:space="preserve">
No answer required
Date of valuation
</v>
      </c>
      <c r="D329" s="83" t="s">
        <v>1195</v>
      </c>
    </row>
    <row r="330" spans="1:4" ht="77.5">
      <c r="A330" s="83" t="s">
        <v>1196</v>
      </c>
      <c r="B330" s="83" t="s">
        <v>4364</v>
      </c>
      <c r="C330" s="83" t="str">
        <f>IF(OR('Start here'!$C$26=RefData!$B$9, AND('Start here'!$C$26=RefData!$B$10, 'Covenant summary information'!$C$84&lt;5), ISNUMBER(SEARCH(RefData!$B$2,$C$238))),"
"&amp;RefData!$B$2&amp;"
"&amp; B330,B330)</f>
        <v xml:space="preserve">
No answer required
Value cap
</v>
      </c>
      <c r="D330" s="83" t="s">
        <v>1197</v>
      </c>
    </row>
    <row r="331" spans="1:4" ht="77.5">
      <c r="A331" s="83" t="s">
        <v>1198</v>
      </c>
      <c r="B331" s="83" t="s">
        <v>4365</v>
      </c>
      <c r="C331" s="83" t="str">
        <f>IF(OR(NOT('Start here'!$C$26=RefData!$B$10),NOT(Securities!$C$106=RefData!$B$158),'Covenant summary information'!$C$84&lt;5, ISNUMBER(SEARCH(RefData!$B$2,$C$238))),"
"&amp;RefData!$B$2&amp;"
"&amp; B331,B331)</f>
        <v xml:space="preserve">
No answer required
Narrative regarding value cap
</v>
      </c>
      <c r="D331" s="83" t="s">
        <v>1199</v>
      </c>
    </row>
    <row r="332" spans="1:4" ht="77.5">
      <c r="A332" s="83" t="s">
        <v>1200</v>
      </c>
      <c r="B332" s="83" t="s">
        <v>4366</v>
      </c>
      <c r="C332" s="83" t="str">
        <f>IF(OR(NOT('Start here'!$C$26=RefData!$B$10),NOT(Securities!$C$106=RefData!$B$157),'Covenant summary information'!$C$84&lt;5, ISNUMBER(SEARCH(RefData!$B$2,$C$238))),"
"&amp;RefData!$B$2&amp;"
"&amp; B332,B332)</f>
        <v xml:space="preserve">
No answer required
Fixed cap amount (£)
</v>
      </c>
      <c r="D332" s="83" t="s">
        <v>1201</v>
      </c>
    </row>
    <row r="333" spans="1:4" ht="77.5">
      <c r="A333" s="83" t="s">
        <v>1202</v>
      </c>
      <c r="B333" s="83" t="s">
        <v>4367</v>
      </c>
      <c r="C333" s="83" t="str">
        <f>IF(OR('Start here'!$C$26=RefData!$B$9,
(AND('Start here'!$C$26=RefData!$B$10,'Covenant summary information'!$C$84=0)),
(AND('Start here'!$C$26=RefData!$B$10,'Covenant summary information'!$C$84&lt;5)), ISNUMBER(SEARCH(RefData!$B$2,$C$238))
),"
"&amp;RefData!$B$2&amp;"
"&amp; B333,B333)</f>
        <v xml:space="preserve">
No answer required
Participating employer insolvency
</v>
      </c>
      <c r="D333" s="83" t="s">
        <v>1203</v>
      </c>
    </row>
    <row r="334" spans="1:4" ht="77.5">
      <c r="A334" s="83" t="s">
        <v>1204</v>
      </c>
      <c r="B334" s="83" t="s">
        <v>4368</v>
      </c>
      <c r="C334" s="83" t="str">
        <f>IF(OR('Start here'!$C$26=RefData!$B$9,
(AND('Start here'!$C$26=RefData!$B$10,'Covenant summary information'!$C$84=0)),
(AND('Start here'!$C$26=RefData!$B$10,'Covenant summary information'!$C$84&lt;5)), ISNUMBER(SEARCH(RefData!$B$2,$C$238))
),"
"&amp;RefData!$B$2&amp;"
"&amp; B334,B334)</f>
        <v xml:space="preserve">
No answer required
Insolvency of associated company
</v>
      </c>
      <c r="D334" s="83" t="s">
        <v>1205</v>
      </c>
    </row>
    <row r="335" spans="1:4" ht="77.5">
      <c r="A335" s="83" t="s">
        <v>1206</v>
      </c>
      <c r="B335" s="83" t="s">
        <v>4369</v>
      </c>
      <c r="C335" s="83" t="str">
        <f>IF(OR('Start here'!$C$26=RefData!$B$9,
(AND('Start here'!$C$26=RefData!$B$10,'Covenant summary information'!$C$84=0)),
(AND('Start here'!$C$26=RefData!$B$10,'Covenant summary information'!$C$84&lt;5)), ISNUMBER(SEARCH(RefData!$B$2,$C$238))
),"
"&amp;RefData!$B$2&amp;"
"&amp; B335,B335)</f>
        <v xml:space="preserve">
No answer required
Non payment of contributions
</v>
      </c>
      <c r="D335" s="83" t="s">
        <v>1207</v>
      </c>
    </row>
    <row r="336" spans="1:4" ht="77.5">
      <c r="A336" s="83" t="s">
        <v>1208</v>
      </c>
      <c r="B336" s="83" t="s">
        <v>4370</v>
      </c>
      <c r="C336" s="83" t="str">
        <f>IF(OR('Start here'!$C$26=RefData!$B$9,
(AND('Start here'!$C$26=RefData!$B$10,'Covenant summary information'!$C$84=0)),
(AND('Start here'!$C$26=RefData!$B$10,'Covenant summary information'!$C$84&lt;5)), ISNUMBER(SEARCH(RefData!$B$2,$C$238))
),"
"&amp;RefData!$B$2&amp;"
"&amp; B336,B336)</f>
        <v xml:space="preserve">
No answer required
Crystallisation of investment risk
</v>
      </c>
      <c r="D336" s="83" t="s">
        <v>1209</v>
      </c>
    </row>
    <row r="337" spans="1:4" ht="77.5">
      <c r="A337" s="83" t="s">
        <v>1210</v>
      </c>
      <c r="B337" s="83" t="s">
        <v>4371</v>
      </c>
      <c r="C337" s="83" t="str">
        <f>IF(OR('Start here'!$C$26=RefData!$B$9,
(AND('Start here'!$C$26=RefData!$B$10,'Covenant summary information'!$C$84=0)),
(AND('Start here'!$C$26=RefData!$B$10,'Covenant summary information'!$C$84&lt;5)), ISNUMBER(SEARCH(RefData!$B$2,$C$238))
),"
"&amp;RefData!$B$2&amp;"
"&amp; B337,B337)</f>
        <v xml:space="preserve">
No answer required
Other
</v>
      </c>
      <c r="D337" s="83" t="s">
        <v>1211</v>
      </c>
    </row>
    <row r="338" spans="1:4" ht="77.5">
      <c r="A338" s="83" t="s">
        <v>1212</v>
      </c>
      <c r="B338" s="83" t="s">
        <v>4372</v>
      </c>
      <c r="C338" s="83" t="str">
        <f>IF(OR('Start here'!$C$26=RefData!$B$9,
(AND('Start here'!$C$26=RefData!$B$10,'Covenant summary information'!$C$84=0)),
(AND('Start here'!$C$26=RefData!$B$10,'Covenant summary information'!$C$84&lt;5)),
(AND('Start here'!$C$26=RefData!$B$10,'Covenant summary information'!$C$84&gt;=5,Securities!$C$116=RefData!$B$160)), ISNUMBER(SEARCH(RefData!$B$2,$C$238))
),"
"&amp;RefData!$B$2&amp;"
"&amp; B338,B338)</f>
        <v xml:space="preserve">
No answer required
Describe the other triggers for access to value
</v>
      </c>
      <c r="D338" s="83" t="s">
        <v>1213</v>
      </c>
    </row>
    <row r="339" spans="1:4" ht="77.5">
      <c r="A339" s="83" t="s">
        <v>1214</v>
      </c>
      <c r="B339" s="83" t="s">
        <v>4373</v>
      </c>
      <c r="C339" s="83" t="str">
        <f>IF(OR('Start here'!$C$26=RefData!$B$9,
(AND('Start here'!$C$26=RefData!$B$10,'Covenant summary information'!$C$84=0)),
(AND('Start here'!$C$26=RefData!$B$10,'Covenant summary information'!$C$84&lt;5)), ISNUMBER(SEARCH(RefData!$B$2,$C$238))
),"
"&amp;RefData!$B$2&amp;"
"&amp; B339,B339)</f>
        <v xml:space="preserve">
No answer required
Triggers for termination
</v>
      </c>
      <c r="D339" s="83" t="s">
        <v>1215</v>
      </c>
    </row>
    <row r="340" spans="1:4" ht="93">
      <c r="A340" s="83" t="s">
        <v>3489</v>
      </c>
      <c r="B340" s="83" t="s">
        <v>4374</v>
      </c>
      <c r="C340" s="83" t="str">
        <f>IF(OR(AND('Start here'!$C$26=RefData!$B$9,'Start here'!$C$24=RefData!$B$5,'Start here'!$C$28=RefData!$B$14,'Covenant summary information'!$C$10=RefData!$B$119),AND('Start here'!$C$26=RefData!$B$10,'Start here'!$C$23=RefData!$B$18,'Covenant summary information'!$C$10=RefData!$B$119),AND('Start here'!$C$26=RefData!$B$10,'Start here'!$C$23=RefData!$B$17,'Start here'!$C$27=RefData!$B$12,'Covenant summary information'!$C$10=RefData!$B$119)),B340,"
"&amp;RefData!$B$2&amp;"
"&amp; B340)</f>
        <v xml:space="preserve">
No answer required
What are the maximum affordable contributions over the reliability period after deficit repair contributions (DRCs)? (£)
</v>
      </c>
      <c r="D340" s="83" t="s">
        <v>599</v>
      </c>
    </row>
    <row r="341" spans="1:4" ht="93">
      <c r="A341" s="83" t="s">
        <v>3491</v>
      </c>
      <c r="B341" s="83" t="s">
        <v>4375</v>
      </c>
      <c r="C341" s="83" t="str">
        <f>IF(NOT(OR(AND('Start here'!$C$26=RefData!$B$9,'Start here'!$C$24=RefData!$B$5,'Start here'!$C$28=RefData!$B$14,'Covenant summary information'!$C$10=RefData!$B$118),AND('Start here'!$C$26=RefData!$B$10,'Start here'!$C$23=RefData!$B$18,'Covenant summary information'!$C$10=RefData!$B$118),AND('Start here'!$C$26=RefData!$B$10,'Start here'!$C$23=RefData!$B$17,'Start here'!$C$27=RefData!$B$12,'Covenant summary information'!$C$10=RefData!$B$118))),"
"&amp;RefData!$B$2&amp;"
"&amp; B341,B341)</f>
        <v xml:space="preserve">
No answer required
You are required to upload a PDF document showing a summary of the trustees' assessment of supportable risk over the reliability period
</v>
      </c>
      <c r="D341" s="83" t="s">
        <v>602</v>
      </c>
    </row>
    <row r="342" spans="1:4" ht="93">
      <c r="A342" s="83" t="s">
        <v>3492</v>
      </c>
      <c r="B342" t="s">
        <v>4376</v>
      </c>
      <c r="C342" s="83" t="str">
        <f>IF(NOT(OR(AND('Start here'!$C$26=RefData!$B$10,'Start here'!$C$23=RefData!$B$18,'Covenant summary information'!$C$10=RefData!$B$119),AND('Start here'!$C$26=RefData!$B$10,'Start here'!$C$23=RefData!$B$17,'Start here'!$C$27=RefData!$B$12,'Covenant summary information'!$C$10=RefData!$B$119))),"
"&amp;RefData!$B$2&amp;"
"&amp; B342,B342)</f>
        <v xml:space="preserve">
No answer required
You are required to upload a PDF document showing a summary of the trustees' analysis of maximum affordable contributions
</v>
      </c>
      <c r="D342" s="83" t="s">
        <v>603</v>
      </c>
    </row>
    <row r="343" spans="1:4" ht="77.5">
      <c r="A343" s="83" t="s">
        <v>4377</v>
      </c>
      <c r="B343" s="83" t="s">
        <v>4180</v>
      </c>
      <c r="C343" s="83" t="str">
        <f>IF('Asset-backed contributions'!$C$7=0,"
"&amp;RefData!$B$2&amp;"
"&amp; B343,B343)</f>
        <v xml:space="preserve">
No answer required
Year 1
</v>
      </c>
      <c r="D343" s="83" t="e">
        <v>#N/A</v>
      </c>
    </row>
    <row r="344" spans="1:4" ht="77.5">
      <c r="A344" s="83" t="s">
        <v>4378</v>
      </c>
      <c r="B344" s="83" t="s">
        <v>4181</v>
      </c>
      <c r="C344" s="83" t="str">
        <f>IF('Asset-backed contributions'!$C$7=0,"
"&amp;RefData!$B$2&amp;"
"&amp; B344,B344)</f>
        <v xml:space="preserve">
No answer required
Year 2
</v>
      </c>
      <c r="D344" s="83" t="e">
        <v>#N/A</v>
      </c>
    </row>
    <row r="345" spans="1:4" ht="77.5">
      <c r="A345" s="83" t="s">
        <v>4379</v>
      </c>
      <c r="B345" s="83" t="s">
        <v>4182</v>
      </c>
      <c r="C345" s="83" t="str">
        <f>IF('Asset-backed contributions'!$C$7=0,"
"&amp;RefData!$B$2&amp;"
"&amp; B345,B345)</f>
        <v xml:space="preserve">
No answer required
Year 3
</v>
      </c>
      <c r="D345" s="83" t="e">
        <v>#N/A</v>
      </c>
    </row>
    <row r="346" spans="1:4" ht="77.5">
      <c r="A346" s="83" t="s">
        <v>4380</v>
      </c>
      <c r="B346" s="83" t="s">
        <v>4183</v>
      </c>
      <c r="C346" s="83" t="str">
        <f>IF('Asset-backed contributions'!$C$7=0,"
"&amp;RefData!$B$2&amp;"
"&amp; B346,B346)</f>
        <v xml:space="preserve">
No answer required
Year 4
</v>
      </c>
      <c r="D346" s="83" t="e">
        <v>#N/A</v>
      </c>
    </row>
    <row r="347" spans="1:4" ht="77.5">
      <c r="A347" s="83" t="s">
        <v>4381</v>
      </c>
      <c r="B347" s="83" t="s">
        <v>4184</v>
      </c>
      <c r="C347" s="83" t="str">
        <f>IF('Asset-backed contributions'!$C$7=0,"
"&amp;RefData!$B$2&amp;"
"&amp; B347,B347)</f>
        <v xml:space="preserve">
No answer required
Year 5
</v>
      </c>
      <c r="D347" s="83" t="e">
        <v>#N/A</v>
      </c>
    </row>
    <row r="348" spans="1:4" ht="77.5">
      <c r="A348" s="83" t="s">
        <v>4382</v>
      </c>
      <c r="B348" s="83" t="s">
        <v>4185</v>
      </c>
      <c r="C348" s="83" t="str">
        <f>IF('Asset-backed contributions'!$C$7=0,"
"&amp;RefData!$B$2&amp;"
"&amp; B348,B348)</f>
        <v xml:space="preserve">
No answer required
Year 6
</v>
      </c>
      <c r="D348" s="83" t="e">
        <v>#N/A</v>
      </c>
    </row>
    <row r="349" spans="1:4" ht="77.5">
      <c r="A349" s="83" t="s">
        <v>4383</v>
      </c>
      <c r="B349" s="83" t="s">
        <v>4186</v>
      </c>
      <c r="C349" s="83" t="str">
        <f>IF('Asset-backed contributions'!$C$7=0,"
"&amp;RefData!$B$2&amp;"
"&amp; B349,B349)</f>
        <v xml:space="preserve">
No answer required
Year 7
</v>
      </c>
      <c r="D349" s="83" t="e">
        <v>#N/A</v>
      </c>
    </row>
    <row r="350" spans="1:4" ht="77.5">
      <c r="A350" s="83" t="s">
        <v>4384</v>
      </c>
      <c r="B350" s="83" t="s">
        <v>4187</v>
      </c>
      <c r="C350" s="83" t="str">
        <f>IF('Asset-backed contributions'!$C$7=0,"
"&amp;RefData!$B$2&amp;"
"&amp; B350,B350)</f>
        <v xml:space="preserve">
No answer required
Year 8
</v>
      </c>
      <c r="D350" s="83" t="e">
        <v>#N/A</v>
      </c>
    </row>
    <row r="351" spans="1:4" ht="77.5">
      <c r="A351" s="83" t="s">
        <v>4385</v>
      </c>
      <c r="B351" s="83" t="s">
        <v>4188</v>
      </c>
      <c r="C351" s="83" t="str">
        <f>IF('Asset-backed contributions'!$C$7=0,"
"&amp;RefData!$B$2&amp;"
"&amp; B351,B351)</f>
        <v xml:space="preserve">
No answer required
Year 9
</v>
      </c>
      <c r="D351" s="83" t="e">
        <v>#N/A</v>
      </c>
    </row>
    <row r="352" spans="1:4" ht="77.5">
      <c r="A352" s="83" t="s">
        <v>4386</v>
      </c>
      <c r="B352" s="83" t="s">
        <v>4189</v>
      </c>
      <c r="C352" s="83" t="str">
        <f>IF('Asset-backed contributions'!$C$7=0,"
"&amp;RefData!$B$2&amp;"
"&amp; B352,B352)</f>
        <v xml:space="preserve">
No answer required
Year 10
</v>
      </c>
      <c r="D352" s="83" t="e">
        <v>#N/A</v>
      </c>
    </row>
    <row r="353" spans="1:4" ht="77.5">
      <c r="A353" s="83" t="s">
        <v>4387</v>
      </c>
      <c r="B353" s="83" t="s">
        <v>4190</v>
      </c>
      <c r="C353" s="83" t="str">
        <f>IF('Asset-backed contributions'!$C$7=0,"
"&amp;RefData!$B$2&amp;"
"&amp; B353,B353)</f>
        <v xml:space="preserve">
No answer required
Year 11
</v>
      </c>
      <c r="D353" s="83" t="e">
        <v>#N/A</v>
      </c>
    </row>
    <row r="354" spans="1:4" ht="77.5">
      <c r="A354" s="83" t="s">
        <v>4388</v>
      </c>
      <c r="B354" s="83" t="s">
        <v>4191</v>
      </c>
      <c r="C354" s="83" t="str">
        <f>IF('Asset-backed contributions'!$C$7=0,"
"&amp;RefData!$B$2&amp;"
"&amp; B354,B354)</f>
        <v xml:space="preserve">
No answer required
Year 12
</v>
      </c>
      <c r="D354" s="83" t="e">
        <v>#N/A</v>
      </c>
    </row>
    <row r="355" spans="1:4" ht="77.5">
      <c r="A355" s="83" t="s">
        <v>4389</v>
      </c>
      <c r="B355" s="83" t="s">
        <v>4192</v>
      </c>
      <c r="C355" s="83" t="str">
        <f>IF('Asset-backed contributions'!$C$7=0,"
"&amp;RefData!$B$2&amp;"
"&amp; B355,B355)</f>
        <v xml:space="preserve">
No answer required
Year 13
</v>
      </c>
      <c r="D355" s="83" t="e">
        <v>#N/A</v>
      </c>
    </row>
    <row r="356" spans="1:4" ht="77.5">
      <c r="A356" s="83" t="s">
        <v>4390</v>
      </c>
      <c r="B356" s="83" t="s">
        <v>4193</v>
      </c>
      <c r="C356" s="83" t="str">
        <f>IF('Asset-backed contributions'!$C$7=0,"
"&amp;RefData!$B$2&amp;"
"&amp; B356,B356)</f>
        <v xml:space="preserve">
No answer required
Year 14
</v>
      </c>
      <c r="D356" s="83" t="e">
        <v>#N/A</v>
      </c>
    </row>
    <row r="357" spans="1:4" ht="77.5">
      <c r="A357" s="83" t="s">
        <v>4391</v>
      </c>
      <c r="B357" s="83" t="s">
        <v>4194</v>
      </c>
      <c r="C357" s="83" t="str">
        <f>IF('Asset-backed contributions'!$C$7=0,"
"&amp;RefData!$B$2&amp;"
"&amp; B357,B357)</f>
        <v xml:space="preserve">
No answer required
Year 15
</v>
      </c>
      <c r="D357" s="83" t="e">
        <v>#N/A</v>
      </c>
    </row>
    <row r="358" spans="1:4" ht="77.5">
      <c r="A358" s="83" t="s">
        <v>4392</v>
      </c>
      <c r="B358" s="83" t="s">
        <v>4195</v>
      </c>
      <c r="C358" s="83" t="str">
        <f>IF('Asset-backed contributions'!$C$7=0,"
"&amp;RefData!$B$2&amp;"
"&amp; B358,B358)</f>
        <v xml:space="preserve">
No answer required
Year 16
</v>
      </c>
      <c r="D358" s="83" t="e">
        <v>#N/A</v>
      </c>
    </row>
    <row r="359" spans="1:4" ht="77.5">
      <c r="A359" s="83" t="s">
        <v>4393</v>
      </c>
      <c r="B359" s="83" t="s">
        <v>4196</v>
      </c>
      <c r="C359" s="83" t="str">
        <f>IF('Asset-backed contributions'!$C$7=0,"
"&amp;RefData!$B$2&amp;"
"&amp; B359,B359)</f>
        <v xml:space="preserve">
No answer required
Year 17
</v>
      </c>
      <c r="D359" s="83" t="e">
        <v>#N/A</v>
      </c>
    </row>
    <row r="360" spans="1:4" ht="77.5">
      <c r="A360" s="83" t="s">
        <v>4394</v>
      </c>
      <c r="B360" s="83" t="s">
        <v>4197</v>
      </c>
      <c r="C360" s="83" t="str">
        <f>IF('Asset-backed contributions'!$C$7=0,"
"&amp;RefData!$B$2&amp;"
"&amp; B360,B360)</f>
        <v xml:space="preserve">
No answer required
Year 18
</v>
      </c>
      <c r="D360" s="83" t="e">
        <v>#N/A</v>
      </c>
    </row>
    <row r="361" spans="1:4" ht="77.5">
      <c r="A361" s="83" t="s">
        <v>4395</v>
      </c>
      <c r="B361" s="83" t="s">
        <v>4198</v>
      </c>
      <c r="C361" s="83" t="str">
        <f>IF('Asset-backed contributions'!$C$7=0,"
"&amp;RefData!$B$2&amp;"
"&amp; B361,B361)</f>
        <v xml:space="preserve">
No answer required
Year 19
</v>
      </c>
      <c r="D361" s="83" t="e">
        <v>#N/A</v>
      </c>
    </row>
    <row r="362" spans="1:4" ht="77.5">
      <c r="A362" s="83" t="s">
        <v>4396</v>
      </c>
      <c r="B362" s="83" t="s">
        <v>4199</v>
      </c>
      <c r="C362" s="83" t="str">
        <f>IF('Asset-backed contributions'!$C$7=0,"
"&amp;RefData!$B$2&amp;"
"&amp; B362,B362)</f>
        <v xml:space="preserve">
No answer required
Year 20
</v>
      </c>
      <c r="D362" s="83" t="e">
        <v>#N/A</v>
      </c>
    </row>
    <row r="363" spans="1:4" ht="77.5">
      <c r="A363" s="83" t="s">
        <v>4397</v>
      </c>
      <c r="B363" s="83" t="s">
        <v>4236</v>
      </c>
      <c r="C363" s="83" t="str">
        <f>IF('Asset-backed contributions'!$C$7=0,"
"&amp;RefData!$B$2&amp;"
"&amp; B363,B363)</f>
        <v xml:space="preserve">
No answer required
Year 21+
</v>
      </c>
      <c r="D363" s="83" t="e">
        <v>#N/A</v>
      </c>
    </row>
    <row r="364" spans="1:4" ht="77.5">
      <c r="A364" s="83" t="s">
        <v>3116</v>
      </c>
      <c r="B364" s="83" t="s">
        <v>4398</v>
      </c>
      <c r="C364" s="83" t="str">
        <f>IF(NOT('Discount rates'!$C$7=RefData!$B$7),"
"&amp;RefData!$B$2&amp;"
"&amp; B364,B364)</f>
        <v xml:space="preserve">
No answer required
What is the spot rate associated with the underlying yield curve? (%)
</v>
      </c>
      <c r="D364" s="83" t="s">
        <v>259</v>
      </c>
    </row>
    <row r="365" spans="1:4" ht="93">
      <c r="A365" s="83" t="s">
        <v>3117</v>
      </c>
      <c r="B365" s="83" t="s">
        <v>4399</v>
      </c>
      <c r="C365" s="83" t="str">
        <f>IF(OR(NOT('Start here'!$C$24=RefData!$B$4),NOT('Discount rates'!$C$7=RefData!$B$7),NOT(OR('Discount rates'!$C$8=RefData!$B$36,'Discount rates'!$C$8=RefData!$B$37))),"
"&amp;RefData!$B$2&amp;"
"&amp; B365,B365)</f>
        <v xml:space="preserve">
No answer required
At what date does the discount rate premium apply under a horizon method?
</v>
      </c>
      <c r="D365" s="83" t="s">
        <v>260</v>
      </c>
    </row>
    <row r="366" spans="1:4" ht="93">
      <c r="A366" s="83" t="s">
        <v>3118</v>
      </c>
      <c r="B366" s="83" t="s">
        <v>4400</v>
      </c>
      <c r="C366" s="83" t="str">
        <f>IF(OR(NOT('Start here'!$C$24=RefData!$B$4),NOT('Discount rates'!$C$7=RefData!$B$7),NOT(OR('Discount rates'!$C$8=RefData!$B$36,'Discount rates'!$C$8=RefData!$B$37))),"
"&amp;RefData!$B$2&amp;"
"&amp; B366,B366)</f>
        <v xml:space="preserve">
No answer required
What are the pre-horizon discount rate premiums on a technical provisions basis? (%)
</v>
      </c>
      <c r="D366" s="83" t="s">
        <v>261</v>
      </c>
    </row>
    <row r="367" spans="1:4" ht="93">
      <c r="A367" s="83" t="s">
        <v>3119</v>
      </c>
      <c r="B367" s="83" t="s">
        <v>4401</v>
      </c>
      <c r="C367" s="83" t="str">
        <f>IF(OR(NOT('Start here'!$C$24=RefData!$B$4),NOT('Discount rates'!$C$7=RefData!$B$7),NOT(OR('Discount rates'!$C$8=RefData!$B$36,'Discount rates'!$C$8=RefData!$B$37))),"
"&amp;RefData!$B$2&amp;"
"&amp; B367,B367)</f>
        <v xml:space="preserve">
No answer required
What is the post-horizon date discount rate premium on a technical provisions basis? (%)
</v>
      </c>
      <c r="D367" s="83" t="s">
        <v>262</v>
      </c>
    </row>
    <row r="368" spans="1:4" ht="77.5">
      <c r="A368" s="83" t="s">
        <v>3120</v>
      </c>
      <c r="B368" s="83" t="s">
        <v>4402</v>
      </c>
      <c r="C368" s="83" t="str">
        <f>IF(OR(AND('Start here'!$C$24=RefData!$B$4,'Discount rates'!$C$7=RefData!$B$7),'Discount rates'!$C$8=RefData!$B$35),B368,"
"&amp;RefData!$B$2&amp;"
"&amp; B368)</f>
        <v xml:space="preserve">
No answer required
What is the discount rate premium on a low-dependency basis? (%)
</v>
      </c>
      <c r="D368" s="83" t="s">
        <v>263</v>
      </c>
    </row>
    <row r="369" spans="1:4" ht="93">
      <c r="A369" s="83" t="s">
        <v>3121</v>
      </c>
      <c r="B369" s="83" t="s">
        <v>4403</v>
      </c>
      <c r="C369" s="83" t="str">
        <f>IF(OR(NOT('Start here'!$C$24=RefData!$B$4),NOT('Discount rates'!$C$7=RefData!$B$7),NOT(OR('Discount rates'!$C$8=RefData!$B$38,'Discount rates'!$C$8=RefData!$B$39,'Discount rates'!$C$8=RefData!$B$40))),"
"&amp;RefData!$B$2&amp;"
"&amp; B369,B369)</f>
        <v xml:space="preserve">
No answer required
What is the single equivalent discount rate premium on a technical provisions basis? (%)
</v>
      </c>
      <c r="D369" s="83" t="s">
        <v>264</v>
      </c>
    </row>
    <row r="370" spans="1:4" ht="93">
      <c r="A370" s="83" t="s">
        <v>3122</v>
      </c>
      <c r="B370" s="83" t="s">
        <v>4404</v>
      </c>
      <c r="C370" s="83" t="str">
        <f>IF(NOT('Discount rates'!$C$8=RefData!$B$35),"
"&amp;RefData!$B$2&amp;"
"&amp; B370,B370)</f>
        <v xml:space="preserve">
No answer required
What is the pre-retirement discount rate premium on a technical provisions basis? (%)
</v>
      </c>
      <c r="D370" s="83" t="s">
        <v>265</v>
      </c>
    </row>
    <row r="371" spans="1:4" ht="93">
      <c r="A371" s="83" t="s">
        <v>3123</v>
      </c>
      <c r="B371" s="83" t="s">
        <v>4405</v>
      </c>
      <c r="C371" s="83" t="str">
        <f>IF(NOT('Discount rates'!$C$8=RefData!$B$35),"
"&amp;RefData!$B$2&amp;"
"&amp; B371,B371)</f>
        <v xml:space="preserve">
No answer required
What is the post-retirement discount rate premium on a technical provisions basis? (%)
</v>
      </c>
      <c r="D371" s="83" t="s">
        <v>266</v>
      </c>
    </row>
    <row r="372" spans="1:4" ht="93">
      <c r="A372" s="83" t="s">
        <v>3124</v>
      </c>
      <c r="B372" s="83" t="s">
        <v>4406</v>
      </c>
      <c r="C372" s="83" t="str">
        <f>IF(NOT('Discount rates'!$C$8=RefData!$B$35),"
"&amp;RefData!$B$2&amp;"
"&amp; B372,B372)</f>
        <v xml:space="preserve">
No answer required
What is the current pensioner discount rate premium on a technical provisions basis? (%)
</v>
      </c>
      <c r="D372" s="83" t="s">
        <v>267</v>
      </c>
    </row>
    <row r="373" spans="1:4" ht="62">
      <c r="A373" s="83" t="s">
        <v>3066</v>
      </c>
      <c r="B373" s="83" t="s">
        <v>4407</v>
      </c>
      <c r="C373" s="83"/>
      <c r="D373" s="83" t="s">
        <v>178</v>
      </c>
    </row>
    <row r="374" spans="1:4" ht="93">
      <c r="A374" s="83" t="s">
        <v>3025</v>
      </c>
      <c r="B374" s="83" t="s">
        <v>4408</v>
      </c>
      <c r="C374" s="83" t="str">
        <f>IF('Funding and investment strategy'!$C$8=RefData!$B$24,"
"&amp;RefData!$B$2&amp;"
"&amp; B374,B374)</f>
        <v xml:space="preserve">
Do all active members belong to both:
- a section that provides cash balance benefits
- a section which is a collective money purchase scheme?
</v>
      </c>
      <c r="D374" s="83" t="s">
        <v>134</v>
      </c>
    </row>
    <row r="375" spans="1:4" ht="62">
      <c r="A375" s="83" t="s">
        <v>3130</v>
      </c>
      <c r="B375" s="83" t="s">
        <v>4409</v>
      </c>
      <c r="C375" s="83"/>
      <c r="D375" s="83" t="s">
        <v>279</v>
      </c>
    </row>
    <row r="376" spans="1:4" ht="107.9" customHeight="1">
      <c r="A376" s="83" t="s">
        <v>3131</v>
      </c>
      <c r="B376" s="83" t="s">
        <v>4410</v>
      </c>
      <c r="C376" s="83" t="str">
        <f>IF(NOT('Other assumptions'!$C$15=RefData!B196),"
"&amp;RefData!$B$2&amp;"
"&amp; B376,B376)</f>
        <v xml:space="preserve">
No answer required
What is the assumed increase in the technical provisions liabilities if there were no allowance for commutation? (£)</v>
      </c>
      <c r="D376" s="83" t="s">
        <v>281</v>
      </c>
    </row>
    <row r="377" spans="1:4" ht="62">
      <c r="A377" s="83" t="s">
        <v>3132</v>
      </c>
      <c r="B377" s="83" t="s">
        <v>4411</v>
      </c>
      <c r="C377" s="83"/>
      <c r="D377" s="83" t="s">
        <v>282</v>
      </c>
    </row>
    <row r="378" spans="1:4" ht="62">
      <c r="A378" s="83" t="s">
        <v>3133</v>
      </c>
      <c r="B378" s="83" t="s">
        <v>4412</v>
      </c>
      <c r="D378" s="83" t="s">
        <v>283</v>
      </c>
    </row>
    <row r="379" spans="1:4" ht="77.5">
      <c r="A379" s="83" t="s">
        <v>3134</v>
      </c>
      <c r="B379" s="83" t="s">
        <v>4413</v>
      </c>
      <c r="C379" s="83"/>
      <c r="D379" s="83" t="s">
        <v>284</v>
      </c>
    </row>
    <row r="380" spans="1:4" ht="77.5">
      <c r="A380" s="83" t="s">
        <v>3135</v>
      </c>
      <c r="B380" s="83" t="s">
        <v>4414</v>
      </c>
      <c r="C380" s="83"/>
      <c r="D380" s="83" t="s">
        <v>285</v>
      </c>
    </row>
    <row r="381" spans="1:4" ht="62">
      <c r="A381" s="83" t="s">
        <v>3136</v>
      </c>
      <c r="B381" s="83" t="s">
        <v>4415</v>
      </c>
      <c r="C381" s="83"/>
      <c r="D381" s="83" t="s">
        <v>287</v>
      </c>
    </row>
    <row r="382" spans="1:4" ht="62">
      <c r="A382" s="83" t="s">
        <v>3137</v>
      </c>
      <c r="B382" s="83" t="s">
        <v>4416</v>
      </c>
      <c r="C382" s="83" t="str">
        <f>IF('Other assumptions'!$C$24=RefData!$B$198,"
"&amp;RefData!$B$2&amp;"
"&amp; B382,B382)</f>
        <v xml:space="preserve">
Has the same underlying yield curve been used for the low dependency basis and the technical provisions basis?
</v>
      </c>
      <c r="D382" s="83" t="s">
        <v>289</v>
      </c>
    </row>
    <row r="383" spans="1:4" ht="62">
      <c r="A383" s="83" t="s">
        <v>3138</v>
      </c>
      <c r="B383" s="83" t="s">
        <v>4417</v>
      </c>
      <c r="C383" s="83" t="str">
        <f>IF('Other assumptions'!$C$24=RefData!$B$198,"
"&amp;RefData!$B$2&amp;"
"&amp; B383,B383)</f>
        <v xml:space="preserve">
Excluding discount rates, is your technical provisions basis the same as your low dependency funding basis?
</v>
      </c>
      <c r="D383" s="83" t="s">
        <v>291</v>
      </c>
    </row>
    <row r="384" spans="1:4" ht="108.5">
      <c r="A384" s="83" t="s">
        <v>3139</v>
      </c>
      <c r="B384" s="83" t="s">
        <v>4418</v>
      </c>
      <c r="C384" s="83" t="str">
        <f>IF(OR('Other assumptions'!$C$24=RefData!$B$198,AND('Other assumptions'!$C$25&lt;&gt;RefData!$B$201, 'Other assumptions'!$C$26&lt;&gt;RefData!$B$203)),"
"&amp;RefData!$B$2&amp;"
"&amp; B384,B384)</f>
        <v xml:space="preserve">
No answer required
Explain the differences between the technical provisions assumptions and the low dependency assumptions (with the exception of discount rate premiums).
</v>
      </c>
      <c r="D384" s="83" t="s">
        <v>293</v>
      </c>
    </row>
    <row r="385" spans="1:4" ht="77.5">
      <c r="A385" s="83" t="s">
        <v>3514</v>
      </c>
      <c r="B385" s="83" t="s">
        <v>4419</v>
      </c>
      <c r="C385" s="83"/>
      <c r="D385" s="83" t="s">
        <v>734</v>
      </c>
    </row>
    <row r="386" spans="1:4" ht="62">
      <c r="A386" s="83" t="s">
        <v>3515</v>
      </c>
      <c r="B386" s="83" t="s">
        <v>4420</v>
      </c>
      <c r="C386" s="83"/>
      <c r="D386" s="83" t="s">
        <v>735</v>
      </c>
    </row>
    <row r="387" spans="1:4" ht="46.5">
      <c r="A387" s="83" t="s">
        <v>3516</v>
      </c>
      <c r="B387" s="83" t="s">
        <v>4421</v>
      </c>
      <c r="C387" s="83" t="str">
        <f>IF('Employer CF and liquid assets'!$D$99=RefData!$B$404,"
"&amp;RefData!$B$2&amp;"
"&amp; B387,B387)</f>
        <v xml:space="preserve">
Add the comments the employer has asked to be included.
</v>
      </c>
      <c r="D387" s="83" t="s">
        <v>737</v>
      </c>
    </row>
    <row r="388" spans="1:4" ht="46.5">
      <c r="A388" s="83" t="s">
        <v>3010</v>
      </c>
      <c r="B388" s="83" t="s">
        <v>4422</v>
      </c>
      <c r="C388" s="83"/>
      <c r="D388" s="83" t="s">
        <v>101</v>
      </c>
    </row>
    <row r="389" spans="1:4" ht="46.5">
      <c r="A389" s="83" t="s">
        <v>3011</v>
      </c>
      <c r="B389" s="83" t="s">
        <v>4423</v>
      </c>
      <c r="C389" s="83"/>
      <c r="D389" s="83" t="s">
        <v>102</v>
      </c>
    </row>
    <row r="390" spans="1:4" ht="93">
      <c r="A390" s="83" t="s">
        <v>3040</v>
      </c>
      <c r="B390" s="83" t="s">
        <v>4424</v>
      </c>
      <c r="C390" s="83"/>
      <c r="D390" s="83" t="s">
        <v>155</v>
      </c>
    </row>
    <row r="391" spans="1:4" ht="62">
      <c r="A391" s="83" t="s">
        <v>3041</v>
      </c>
      <c r="B391" s="83" t="s">
        <v>4425</v>
      </c>
      <c r="C391" s="83"/>
      <c r="D391" s="83" t="s">
        <v>156</v>
      </c>
    </row>
    <row r="392" spans="1:4" ht="77.5">
      <c r="A392" s="83" t="s">
        <v>3042</v>
      </c>
      <c r="B392" s="83" t="s">
        <v>4426</v>
      </c>
      <c r="C392" s="83" t="str">
        <f>IF('Funding and investment strategy'!$C$40=RefData!$B$123, RefData!$B$2&amp;"
"&amp; B392,B392)</f>
        <v xml:space="preserve">
Describe these significant past decisions. What are the trustees' reflections on them, including any lessons learned that have or may affect other decisions?
</v>
      </c>
      <c r="D392" s="83" t="s">
        <v>159</v>
      </c>
    </row>
    <row r="393" spans="1:4" ht="62">
      <c r="A393" s="83" t="s">
        <v>3033</v>
      </c>
      <c r="B393" s="83" t="s">
        <v>4427</v>
      </c>
      <c r="C393" s="83"/>
      <c r="D393" s="83" t="s">
        <v>145</v>
      </c>
    </row>
    <row r="394" spans="1:4" ht="62">
      <c r="A394" s="83" t="s">
        <v>3028</v>
      </c>
      <c r="B394" s="83" t="s">
        <v>4428</v>
      </c>
      <c r="C394" s="83"/>
      <c r="D394" s="83" t="s">
        <v>139</v>
      </c>
    </row>
    <row r="395" spans="1:4" ht="62">
      <c r="A395" s="83" t="s">
        <v>3029</v>
      </c>
      <c r="B395" s="83" t="s">
        <v>4429</v>
      </c>
      <c r="C395" s="83"/>
      <c r="D395" s="83" t="s">
        <v>140</v>
      </c>
    </row>
    <row r="396" spans="1:4" ht="62">
      <c r="A396" s="83" t="s">
        <v>3030</v>
      </c>
      <c r="B396" s="83" t="s">
        <v>4430</v>
      </c>
      <c r="C396" s="83"/>
      <c r="D396" s="83" t="s">
        <v>141</v>
      </c>
    </row>
    <row r="397" spans="1:4" ht="62">
      <c r="A397" s="83" t="s">
        <v>3031</v>
      </c>
      <c r="B397" s="83" t="s">
        <v>4431</v>
      </c>
      <c r="C397" s="83" t="str">
        <f>IF('Funding and investment strategy'!$C$23=RefData!$B$406, RefData!$B$2&amp;"
"&amp; B397,B397)</f>
        <v xml:space="preserve">
What is the intended investment allocation to growth assets at the relevant date for the surplus allocation? (%) (Optional)
</v>
      </c>
      <c r="D397" s="83" t="s">
        <v>143</v>
      </c>
    </row>
    <row r="398" spans="1:4" ht="62">
      <c r="A398" s="83" t="s">
        <v>3032</v>
      </c>
      <c r="B398" s="83" t="s">
        <v>4432</v>
      </c>
      <c r="C398" s="83" t="str">
        <f>IF('Funding and investment strategy'!$C$23=RefData!$B$406, RefData!$B$2&amp;"
"&amp; B398,B398)</f>
        <v xml:space="preserve">
What is the intended investment allocation to matching assets at the relevant date for the surplus allocation? (%) (Optional)
</v>
      </c>
      <c r="D398" s="83" t="s">
        <v>144</v>
      </c>
    </row>
    <row r="399" spans="1:4" ht="62">
      <c r="A399" s="83" t="s">
        <v>3113</v>
      </c>
      <c r="B399" s="83" t="s">
        <v>4433</v>
      </c>
      <c r="C399" s="83" t="str">
        <f>IF(OR(AND('Start here'!C24=RefData!B5,'Discount rates'!C8&lt;&gt;RefData!B35), AND('Start here'!C24=RefData!B4, 'Discount rates'!C7=RefData!B8, 'Discount rates'!C8&lt;&gt;RefData!B35)),RefData!$B$2&amp;"
"&amp;B399,B399)</f>
        <v xml:space="preserve">
Briefly explain how the trustees expect the discount rate to change over time?
</v>
      </c>
      <c r="D399" s="83" t="s">
        <v>255</v>
      </c>
    </row>
    <row r="400" spans="1:4" ht="77.5">
      <c r="A400" s="80" t="s">
        <v>741</v>
      </c>
      <c r="B400" s="80" t="s">
        <v>4434</v>
      </c>
      <c r="C400" s="83" t="str">
        <f>IF(OR('Covenant summary information'!$C$83&lt;1, ISNUMBER(SEARCH(RefData!$B$2,$C$237))),"
"&amp;RefData!$B$2&amp;"
"&amp; B400,B400)</f>
        <v xml:space="preserve">
No answer required
Legal name
</v>
      </c>
      <c r="D400" s="80" t="s">
        <v>742</v>
      </c>
    </row>
    <row r="401" spans="1:4" ht="77.5">
      <c r="A401" s="80" t="s">
        <v>743</v>
      </c>
      <c r="B401" s="83" t="s">
        <v>4435</v>
      </c>
      <c r="C401" s="83" t="str">
        <f>IF(OR('Covenant summary information'!$C$83&lt;1, ISNUMBER(SEARCH(RefData!$B$2,$C$237))),"
"&amp;RefData!$B$2&amp;"
"&amp; B401,B401)</f>
        <v xml:space="preserve">
No answer required
Companies House number (if applicable)
</v>
      </c>
      <c r="D401" s="80" t="s">
        <v>744</v>
      </c>
    </row>
    <row r="402" spans="1:4" ht="77.5">
      <c r="A402" s="80" t="s">
        <v>745</v>
      </c>
      <c r="B402" s="83" t="s">
        <v>4436</v>
      </c>
      <c r="C402" s="83" t="str">
        <f>IF(OR('Covenant summary information'!$C$83&lt;1, NOT(TRIM(Guarantees!$C$8)=""), ISNUMBER(SEARCH(RefData!$B$2,$C$237))),"
"&amp;RefData!$B$2&amp;"
"&amp; B402,B402)</f>
        <v xml:space="preserve">
No answer required
Charity number (if applicable)
</v>
      </c>
      <c r="D402" s="80" t="s">
        <v>746</v>
      </c>
    </row>
    <row r="403" spans="1:4" ht="77.5">
      <c r="A403" s="80" t="s">
        <v>747</v>
      </c>
      <c r="B403" s="83" t="s">
        <v>4437</v>
      </c>
      <c r="C403" s="83" t="str">
        <f>IF(OR('Covenant summary information'!$C$83&lt;1, NOT(TRIM(Guarantees!$C$8)=""), NOT(ISBLANK(Guarantees!$C$9)), ISNUMBER(SEARCH(RefData!$B$2,$C$237))),"
"&amp;RefData!$B$2&amp;"
"&amp; B403,B403)</f>
        <v xml:space="preserve">
No answer required
Trading name
</v>
      </c>
      <c r="D403" s="80" t="s">
        <v>748</v>
      </c>
    </row>
    <row r="404" spans="1:4" ht="77.5">
      <c r="A404" s="80" t="s">
        <v>749</v>
      </c>
      <c r="B404" s="83" t="s">
        <v>4438</v>
      </c>
      <c r="C404" s="83" t="str">
        <f>IF(OR('Covenant summary information'!$C$83&lt;1, NOT(TRIM(Guarantees!$C$8)=""), NOT(ISBLANK(Guarantees!$C$9)), ISNUMBER(SEARCH(RefData!$B$2,$C$237))),"
"&amp;RefData!$B$2&amp;"
"&amp; B404,B404)</f>
        <v xml:space="preserve">
No answer required
Address line 1
</v>
      </c>
      <c r="D404" s="80" t="s">
        <v>750</v>
      </c>
    </row>
    <row r="405" spans="1:4" ht="77.5">
      <c r="A405" s="80" t="s">
        <v>751</v>
      </c>
      <c r="B405" s="83" t="s">
        <v>4439</v>
      </c>
      <c r="C405" s="83" t="str">
        <f>IF(OR('Covenant summary information'!$C$83&lt;1, NOT(TRIM(Guarantees!$C$8)=""), NOT(ISBLANK(Guarantees!$C$9)), ISNUMBER(SEARCH(RefData!$B$2,$C$237))),"
"&amp;RefData!$B$2&amp;"
"&amp; B405,B405)</f>
        <v xml:space="preserve">
No answer required
Address line 2 (optional)
</v>
      </c>
      <c r="D405" s="80" t="s">
        <v>752</v>
      </c>
    </row>
    <row r="406" spans="1:4" ht="77.5">
      <c r="A406" s="80" t="s">
        <v>753</v>
      </c>
      <c r="B406" s="83" t="s">
        <v>4440</v>
      </c>
      <c r="C406" s="83" t="str">
        <f>IF(OR('Covenant summary information'!$C$83&lt;1, NOT(TRIM(Guarantees!$C$8)=""), NOT(ISBLANK(Guarantees!$C$9)), ISNUMBER(SEARCH(RefData!$B$2,$C$237))),"
"&amp;RefData!$B$2&amp;"
"&amp; B406,B406)</f>
        <v xml:space="preserve">
No answer required
Address line 3 (optional)
</v>
      </c>
      <c r="D406" s="80" t="s">
        <v>754</v>
      </c>
    </row>
    <row r="407" spans="1:4" ht="77.5">
      <c r="A407" s="80" t="s">
        <v>755</v>
      </c>
      <c r="B407" s="83" t="s">
        <v>4441</v>
      </c>
      <c r="C407" s="83" t="str">
        <f>IF(OR('Covenant summary information'!$C$83&lt;1, NOT(TRIM(Guarantees!$C$8)=""), NOT(ISBLANK(Guarantees!$C$9)), ISNUMBER(SEARCH(RefData!$B$2,$C$237))),"
"&amp;RefData!$B$2&amp;"
"&amp; B407,B407)</f>
        <v xml:space="preserve">
No answer required
Post town or city
</v>
      </c>
      <c r="D407" s="80" t="s">
        <v>756</v>
      </c>
    </row>
    <row r="408" spans="1:4" ht="77.5">
      <c r="A408" s="80" t="s">
        <v>757</v>
      </c>
      <c r="B408" s="83" t="s">
        <v>4442</v>
      </c>
      <c r="C408" s="83" t="str">
        <f>IF(OR('Covenant summary information'!$C$83&lt;1, NOT(TRIM(Guarantees!$C$8)=""), NOT(ISBLANK(Guarantees!$C$9)), ISNUMBER(SEARCH(RefData!$B$2,$C$237))),"
"&amp;RefData!$B$2&amp;"
"&amp; B408,B408)</f>
        <v xml:space="preserve">
No answer required
Country
</v>
      </c>
      <c r="D408" s="80" t="s">
        <v>758</v>
      </c>
    </row>
    <row r="409" spans="1:4" ht="77.5">
      <c r="A409" s="80" t="s">
        <v>759</v>
      </c>
      <c r="B409" s="83" t="s">
        <v>4443</v>
      </c>
      <c r="C409" s="83" t="str">
        <f>IF(OR('Covenant summary information'!$C$83&lt;1, NOT(TRIM(Guarantees!$C$8)=""), NOT(ISBLANK(Guarantees!$C$9)), ISNUMBER(SEARCH(RefData!$B$2,$C$237))),"
"&amp;RefData!$B$2&amp;"
"&amp; B409,B409)</f>
        <v xml:space="preserve">
No answer required
Postcode
</v>
      </c>
      <c r="D409" s="80" t="s">
        <v>760</v>
      </c>
    </row>
    <row r="410" spans="1:4" ht="77.5">
      <c r="A410" s="80" t="s">
        <v>761</v>
      </c>
      <c r="B410" s="83" t="s">
        <v>4444</v>
      </c>
      <c r="C410" s="83" t="str">
        <f>IF(
    OR(
        AND(
            'Start here'!$C$26=RefData!$B$10,
            'Start here'!$C$23=RefData!$B$17,
            'Start here'!$C$27=RefData!$B$12,
            'Covenant summary information'!$C$82=RefData!$B$112,
            'Covenant summary information'!$C$83&gt;=1
        ),
        AND(
            'Start here'!$C$26=RefData!$B$10,
            'Start here'!$C$23=RefData!$B$18,
            'Covenant summary information'!$C$82=RefData!$B$112,
            'Covenant summary information'!$C$83&gt;=1
        )
    ),
    B410,
    "
"&amp;RefData!$B$2&amp;"
"&amp;B410
)</f>
        <v xml:space="preserve">
No answer required
Is the guarantor an associated company?
</v>
      </c>
      <c r="D410" s="80" t="s">
        <v>762</v>
      </c>
    </row>
    <row r="411" spans="1:4" ht="77.5">
      <c r="A411" s="80" t="s">
        <v>764</v>
      </c>
      <c r="B411" s="83" t="s">
        <v>4445</v>
      </c>
      <c r="C411" s="83" t="str">
        <f>IF(OR('Covenant summary information'!$C$83&lt;1, ISNUMBER(SEARCH(RefData!$B$2,$C$237))),"
"&amp;RefData!$B$2&amp;"
"&amp; B411,B411)</f>
        <v xml:space="preserve">
No answer required
What is type of guarantee?
</v>
      </c>
      <c r="D411" s="80" t="s">
        <v>765</v>
      </c>
    </row>
    <row r="412" spans="1:4" ht="77.5">
      <c r="A412" s="80" t="s">
        <v>766</v>
      </c>
      <c r="B412" s="83" t="s">
        <v>4446</v>
      </c>
      <c r="C412" s="83" t="str">
        <f>IF(OR('Covenant summary information'!$C$83&lt;1,NOT(Guarantees!$C$18=RefData!$B$129), ISNUMBER(SEARCH(RefData!$B$2,$C$237))),"
"&amp;RefData!$B$2&amp;"
"&amp; B412,B412)</f>
        <v xml:space="preserve">
No answer required
Describe the other type of guarantee.
</v>
      </c>
      <c r="D412" s="80" t="s">
        <v>767</v>
      </c>
    </row>
    <row r="413" spans="1:4" ht="77.5">
      <c r="A413" s="80" t="s">
        <v>768</v>
      </c>
      <c r="B413" s="83" t="s">
        <v>4359</v>
      </c>
      <c r="C413" s="83" t="str">
        <f>IF(OR(NOT('Start here'!$C$26=RefData!$B$10),'Covenant summary information'!$C$83&lt;1, ISNUMBER(SEARCH(RefData!$B$2,$C$237))),"
"&amp;RefData!$B$2&amp;"
"&amp; B413,B413)</f>
        <v xml:space="preserve">
No answer required
Type of maturity
</v>
      </c>
      <c r="D413" s="80" t="s">
        <v>769</v>
      </c>
    </row>
    <row r="414" spans="1:4" ht="77.5">
      <c r="A414" s="80" t="s">
        <v>771</v>
      </c>
      <c r="B414" s="83" t="s">
        <v>4360</v>
      </c>
      <c r="C414" s="83" t="str">
        <f>IF(OR(NOT('Start here'!$C$26=RefData!$B$10),NOT(Guarantees!$C$20=RefData!$B$131),'Covenant summary information'!$C$83&lt;1, ISNUMBER(SEARCH(RefData!$B$2,$C$237))),"
"&amp;RefData!$B$2&amp;"
"&amp; B414,B414)</f>
        <v xml:space="preserve">
No answer required
Date of maturity
</v>
      </c>
      <c r="D414" s="80" t="s">
        <v>772</v>
      </c>
    </row>
    <row r="415" spans="1:4" ht="77.5">
      <c r="A415" s="80" t="s">
        <v>773</v>
      </c>
      <c r="B415" s="83" t="s">
        <v>4361</v>
      </c>
      <c r="C415" s="83" t="str">
        <f>IF(OR(NOT('Start here'!$C$26=RefData!$B$10),NOT(Guarantees!$C$20=RefData!$B$132),'Covenant summary information'!$C$83&lt;1, ISNUMBER(SEARCH(RefData!$B$2,$C$237))),"
"&amp;RefData!$B$2&amp;"
"&amp; B415,B415)</f>
        <v xml:space="preserve">
No answer required
Maturity date narrative
</v>
      </c>
      <c r="D415" s="80" t="s">
        <v>774</v>
      </c>
    </row>
    <row r="416" spans="1:4" ht="77.5">
      <c r="A416" s="80" t="s">
        <v>775</v>
      </c>
      <c r="B416" s="83" t="s">
        <v>4362</v>
      </c>
      <c r="C416" s="83" t="str">
        <f>IF(OR('Covenant summary information'!$C$83&lt;1, ISNUMBER(SEARCH(RefData!$B$2,$C$237))),"
"&amp;RefData!$B$2&amp;"
"&amp; B416,B416)</f>
        <v xml:space="preserve">
No answer required
Value ascribed (£)
</v>
      </c>
      <c r="D416" s="80" t="s">
        <v>776</v>
      </c>
    </row>
    <row r="417" spans="1:4" ht="77.5">
      <c r="A417" s="80" t="s">
        <v>777</v>
      </c>
      <c r="B417" s="83" t="s">
        <v>4363</v>
      </c>
      <c r="C417" s="83" t="str">
        <f>IF(OR('Covenant summary information'!$C$83&lt;1, ISNUMBER(SEARCH(RefData!$B$2,$C$237))),"
"&amp;RefData!$B$2&amp;"
"&amp; B417,B417)</f>
        <v xml:space="preserve">
No answer required
Date of valuation
</v>
      </c>
      <c r="D417" s="80" t="s">
        <v>778</v>
      </c>
    </row>
    <row r="418" spans="1:4" ht="77.5">
      <c r="A418" s="80" t="s">
        <v>779</v>
      </c>
      <c r="B418" s="83" t="s">
        <v>4364</v>
      </c>
      <c r="C418" s="83" t="str">
        <f>IF(OR('Start here'!$C$26=RefData!$B$9, AND('Start here'!$C$26=RefData!$B$10, 'Covenant summary information'!$C$83=0), ISNUMBER(SEARCH(RefData!$B$2,$C$237))),"
"&amp;RefData!$B$2&amp;"
"&amp; B418,B418)</f>
        <v xml:space="preserve">
No answer required
Value cap
</v>
      </c>
      <c r="D418" s="80" t="s">
        <v>780</v>
      </c>
    </row>
    <row r="419" spans="1:4" ht="77.5">
      <c r="A419" s="80" t="s">
        <v>781</v>
      </c>
      <c r="B419" s="83" t="s">
        <v>4365</v>
      </c>
      <c r="C419" s="83" t="str">
        <f>IF(OR(NOT('Start here'!$C$26=RefData!$B$10),NOT(Guarantees!$C$25=RefData!$B$139),'Covenant summary information'!$C$83&lt;1, ISNUMBER(SEARCH(RefData!$B$2,$C$237))),"
"&amp;RefData!$B$2&amp;"
"&amp; B419,B419)</f>
        <v xml:space="preserve">
No answer required
Narrative regarding value cap
</v>
      </c>
      <c r="D419" s="80" t="s">
        <v>782</v>
      </c>
    </row>
    <row r="420" spans="1:4" ht="77.5">
      <c r="A420" s="80" t="s">
        <v>783</v>
      </c>
      <c r="B420" s="83" t="s">
        <v>4366</v>
      </c>
      <c r="C420" s="83" t="str">
        <f>IF(OR(NOT('Start here'!$C$26=RefData!$B$10),NOT(Guarantees!$C25=RefData!$B$138),'Covenant summary information'!$C$83&lt;1, ISNUMBER(SEARCH(RefData!$B$2,$C$237))),"
"&amp;RefData!$B$2&amp;"
"&amp; B420,B420)</f>
        <v xml:space="preserve">
No answer required
Fixed cap amount (£)
</v>
      </c>
      <c r="D420" s="80" t="s">
        <v>784</v>
      </c>
    </row>
    <row r="421" spans="1:4" ht="46.5">
      <c r="A421" s="80" t="s">
        <v>786</v>
      </c>
      <c r="B421" s="83" t="s">
        <v>4367</v>
      </c>
      <c r="C421" s="83" t="str">
        <f>IF(OR('Start here'!$C$26=RefData!$B$9,
(AND('Start here'!$C$26=RefData!$B$10,'Covenant summary information'!$C$83=0)),
(AND('Start here'!$C$26=RefData!$B$10,'Covenant summary information'!$C$83&lt;1))
),"
"&amp;RefData!$B$2&amp;"
"&amp; B421,B421)</f>
        <v xml:space="preserve">
Participating employer insolvency
</v>
      </c>
      <c r="D421" s="80" t="s">
        <v>787</v>
      </c>
    </row>
    <row r="422" spans="1:4" ht="46.5">
      <c r="A422" s="80" t="s">
        <v>789</v>
      </c>
      <c r="B422" s="83" t="s">
        <v>4368</v>
      </c>
      <c r="C422" s="83" t="str">
        <f>IF(OR('Start here'!$C$26=RefData!$B$9,
(AND('Start here'!$C$26=RefData!$B$10,'Covenant summary information'!$C$83=0)),
(AND('Start here'!$C$26=RefData!$B$10,'Covenant summary information'!$C$83&lt;1))
),"
"&amp;RefData!$B$2&amp;"
"&amp; B422,B422)</f>
        <v xml:space="preserve">
Insolvency of associated company
</v>
      </c>
      <c r="D422" s="80" t="s">
        <v>790</v>
      </c>
    </row>
    <row r="423" spans="1:4" ht="46.5">
      <c r="A423" s="80" t="s">
        <v>791</v>
      </c>
      <c r="B423" s="83" t="s">
        <v>4369</v>
      </c>
      <c r="C423" s="83" t="str">
        <f>IF(OR('Start here'!$C$26=RefData!$B$9,
(AND('Start here'!$C$26=RefData!$B$10,'Covenant summary information'!$C$83=0)),
(AND('Start here'!$C$26=RefData!$B$10,'Covenant summary information'!$C$83&lt;1))
),"
"&amp;RefData!$B$2&amp;"
"&amp; B423,B423)</f>
        <v xml:space="preserve">
Non payment of contributions
</v>
      </c>
      <c r="D423" s="80" t="s">
        <v>792</v>
      </c>
    </row>
    <row r="424" spans="1:4" ht="46.5">
      <c r="A424" s="80" t="s">
        <v>793</v>
      </c>
      <c r="B424" s="83" t="s">
        <v>4370</v>
      </c>
      <c r="C424" s="83" t="str">
        <f>IF(OR('Start here'!$C$26=RefData!$B$9,
(AND('Start here'!$C$26=RefData!$B$10,'Covenant summary information'!$C$83=0)),
(AND('Start here'!$C$26=RefData!$B$10,'Covenant summary information'!$C$83&lt;1))
),"
"&amp;RefData!$B$2&amp;"
"&amp; B424,B424)</f>
        <v xml:space="preserve">
Crystallisation of investment risk
</v>
      </c>
      <c r="D424" s="80" t="s">
        <v>794</v>
      </c>
    </row>
    <row r="425" spans="1:4" ht="46.5">
      <c r="A425" s="80" t="s">
        <v>795</v>
      </c>
      <c r="B425" s="83" t="s">
        <v>4371</v>
      </c>
      <c r="C425" s="83" t="str">
        <f>IF(OR('Start here'!$C$26=RefData!$B$9,
(AND('Start here'!$C$26=RefData!$B$10,'Covenant summary information'!$C$83=0)),
(AND('Start here'!$C$26=RefData!$B$10,'Covenant summary information'!$C$83&lt;1))
),"
"&amp;RefData!$B$2&amp;"
"&amp; B425,B425)</f>
        <v xml:space="preserve">
Other
</v>
      </c>
      <c r="D425" s="80" t="s">
        <v>796</v>
      </c>
    </row>
    <row r="426" spans="1:4" ht="46.5">
      <c r="A426" s="80" t="s">
        <v>797</v>
      </c>
      <c r="B426" s="83" t="s">
        <v>4372</v>
      </c>
      <c r="C426" s="83" t="str">
        <f>IF(OR('Start here'!$C$26=RefData!$B$9,
(AND('Start here'!$C$26=RefData!$B$10,'Covenant summary information'!$C$83=0)),
(AND('Start here'!$C$26=RefData!$B$10,'Covenant summary information'!$C$83&lt;1)),
(AND('Start here'!$C$26=RefData!$B$10,'Covenant summary information'!$C$83&gt;=1,Guarantees!$C$35&lt;&gt;RefData!$B$140))
),"
"&amp;RefData!$B$2&amp;"
"&amp; B426,B426)</f>
        <v xml:space="preserve">
Describe the other triggers for access to value
</v>
      </c>
      <c r="D426" s="80" t="s">
        <v>798</v>
      </c>
    </row>
    <row r="427" spans="1:4" ht="46.5">
      <c r="A427" s="80" t="s">
        <v>799</v>
      </c>
      <c r="B427" s="83" t="s">
        <v>4373</v>
      </c>
      <c r="C427" s="83" t="str">
        <f>IF(OR('Start here'!$C$26=RefData!$B$9,
(AND('Start here'!$C$26=RefData!$B$10,'Covenant summary information'!$C$83=0)),
(AND('Start here'!$C$26=RefData!$B$10,'Covenant summary information'!$C$83&lt;1))
),"
"&amp;RefData!$B$2&amp;"
"&amp; B427,B427)</f>
        <v xml:space="preserve">
Triggers for termination
</v>
      </c>
      <c r="D427" s="80" t="s">
        <v>800</v>
      </c>
    </row>
    <row r="428" spans="1:4" ht="77.5">
      <c r="A428" s="80" t="s">
        <v>802</v>
      </c>
      <c r="B428" s="80" t="s">
        <v>4434</v>
      </c>
      <c r="C428" s="83" t="str">
        <f>IF(OR('Covenant summary information'!$C$83&lt;2, ISNUMBER(SEARCH(RefData!$B$2,$C$237))),"
"&amp;RefData!$B$2&amp;"
"&amp; B428,B428)</f>
        <v xml:space="preserve">
No answer required
Legal name
</v>
      </c>
      <c r="D428" s="80" t="s">
        <v>803</v>
      </c>
    </row>
    <row r="429" spans="1:4" ht="77.5">
      <c r="A429" s="80" t="s">
        <v>804</v>
      </c>
      <c r="B429" s="83" t="s">
        <v>4435</v>
      </c>
      <c r="C429" s="83" t="str">
        <f>IF(OR('Covenant summary information'!$C$83&lt;2, ISNUMBER(SEARCH(RefData!$B$2,$C$237))),"
"&amp;RefData!$B$2&amp;"
"&amp; B429,B429)</f>
        <v xml:space="preserve">
No answer required
Companies House number (if applicable)
</v>
      </c>
      <c r="D429" s="80" t="s">
        <v>805</v>
      </c>
    </row>
    <row r="430" spans="1:4" ht="77.5">
      <c r="A430" s="80" t="s">
        <v>806</v>
      </c>
      <c r="B430" s="83" t="s">
        <v>4436</v>
      </c>
      <c r="C430" s="83" t="str">
        <f>IF(OR('Covenant summary information'!$C$83&lt;2, NOT(TRIM(Guarantees!$C$42)=""), ISNUMBER(SEARCH(RefData!$B$2,$C$237))),"
"&amp;RefData!$B$2&amp;"
"&amp; B430,B430)</f>
        <v xml:space="preserve">
No answer required
Charity number (if applicable)
</v>
      </c>
      <c r="D430" s="80" t="s">
        <v>807</v>
      </c>
    </row>
    <row r="431" spans="1:4" ht="77.5">
      <c r="A431" s="80" t="s">
        <v>808</v>
      </c>
      <c r="B431" s="83" t="s">
        <v>4437</v>
      </c>
      <c r="C431" s="83" t="str">
        <f>IF(OR('Covenant summary information'!$C$83&lt;2, NOT(TRIM(Guarantees!$C$42)=""), NOT(ISBLANK(Guarantees!$C$43)), ISNUMBER(SEARCH(RefData!$B$2,$C$237))),"
"&amp;RefData!$B$2&amp;"
"&amp; B431,B431)</f>
        <v xml:space="preserve">
No answer required
Trading name
</v>
      </c>
      <c r="D431" s="80" t="s">
        <v>809</v>
      </c>
    </row>
    <row r="432" spans="1:4" ht="77.5">
      <c r="A432" s="80" t="s">
        <v>810</v>
      </c>
      <c r="B432" s="83" t="s">
        <v>4438</v>
      </c>
      <c r="C432" s="83" t="str">
        <f>IF(OR('Covenant summary information'!$C$83&lt;2, NOT(TRIM(Guarantees!$C$42)=""), NOT(ISBLANK(Guarantees!$C$43)), ISNUMBER(SEARCH(RefData!$B$2,$C$237))),"
"&amp;RefData!$B$2&amp;"
"&amp; B432,B432)</f>
        <v xml:space="preserve">
No answer required
Address line 1
</v>
      </c>
      <c r="D432" s="80" t="s">
        <v>811</v>
      </c>
    </row>
    <row r="433" spans="1:4" ht="77.5">
      <c r="A433" s="80" t="s">
        <v>812</v>
      </c>
      <c r="B433" s="83" t="s">
        <v>4439</v>
      </c>
      <c r="C433" s="83" t="str">
        <f>IF(OR('Covenant summary information'!$C$83&lt;2, NOT(TRIM(Guarantees!$C$42)=""), NOT(ISBLANK(Guarantees!$C$43)), ISNUMBER(SEARCH(RefData!$B$2,$C$237))),"
"&amp;RefData!$B$2&amp;"
"&amp; B433,B433)</f>
        <v xml:space="preserve">
No answer required
Address line 2 (optional)
</v>
      </c>
      <c r="D433" s="80" t="s">
        <v>813</v>
      </c>
    </row>
    <row r="434" spans="1:4" ht="77.5">
      <c r="A434" s="80" t="s">
        <v>814</v>
      </c>
      <c r="B434" s="83" t="s">
        <v>4440</v>
      </c>
      <c r="C434" s="83" t="str">
        <f>IF(OR('Covenant summary information'!$C$83&lt;2, NOT(TRIM(Guarantees!$C$42)=""), NOT(ISBLANK(Guarantees!$C$43)), ISNUMBER(SEARCH(RefData!$B$2,$C$237))),"
"&amp;RefData!$B$2&amp;"
"&amp; B434,B434)</f>
        <v xml:space="preserve">
No answer required
Address line 3 (optional)
</v>
      </c>
      <c r="D434" s="80" t="s">
        <v>815</v>
      </c>
    </row>
    <row r="435" spans="1:4" ht="77.5">
      <c r="A435" s="80" t="s">
        <v>816</v>
      </c>
      <c r="B435" s="83" t="s">
        <v>4441</v>
      </c>
      <c r="C435" s="83" t="str">
        <f>IF(OR('Covenant summary information'!$C$83&lt;2, NOT(TRIM(Guarantees!$C$42)=""), NOT(ISBLANK(Guarantees!$C$43)), ISNUMBER(SEARCH(RefData!$B$2,$C$237))),"
"&amp;RefData!$B$2&amp;"
"&amp; B435,B435)</f>
        <v xml:space="preserve">
No answer required
Post town or city
</v>
      </c>
      <c r="D435" s="80" t="s">
        <v>817</v>
      </c>
    </row>
    <row r="436" spans="1:4" ht="77.5">
      <c r="A436" s="80" t="s">
        <v>818</v>
      </c>
      <c r="B436" s="83" t="s">
        <v>4442</v>
      </c>
      <c r="C436" s="83" t="str">
        <f>IF(OR('Covenant summary information'!$C$83&lt;2, NOT(TRIM(Guarantees!$C$42)=""), NOT(ISBLANK(Guarantees!$C$43)), ISNUMBER(SEARCH(RefData!$B$2,$C$237))),"
"&amp;RefData!$B$2&amp;"
"&amp; B436,B436)</f>
        <v xml:space="preserve">
No answer required
Country
</v>
      </c>
      <c r="D436" s="80" t="s">
        <v>819</v>
      </c>
    </row>
    <row r="437" spans="1:4" ht="77.5">
      <c r="A437" s="80" t="s">
        <v>821</v>
      </c>
      <c r="B437" s="83" t="s">
        <v>4443</v>
      </c>
      <c r="C437" s="83" t="str">
        <f>IF(OR('Covenant summary information'!$C$83&lt;2, NOT(TRIM(Guarantees!$C$42)=""), NOT(ISBLANK(Guarantees!$C$43)), ISNUMBER(SEARCH(RefData!$B$2,$C$237))),"
"&amp;RefData!$B$2&amp;"
"&amp; B437,B437)</f>
        <v xml:space="preserve">
No answer required
Postcode
</v>
      </c>
      <c r="D437" s="80" t="s">
        <v>822</v>
      </c>
    </row>
    <row r="438" spans="1:4" ht="77.5">
      <c r="A438" s="80" t="s">
        <v>823</v>
      </c>
      <c r="B438" s="83" t="s">
        <v>4444</v>
      </c>
      <c r="C438" s="83" t="str">
        <f>IF(OR(AND('Start here'!$C$26=RefData!$B$10,'Start here'!$C$23=RefData!$B$17,'Start here'!$C$27=RefData!$B$12,'Covenant summary information'!$C$82=RefData!$B$112,'Covenant summary information'!$C$83&gt;=2),AND('Start here'!$C$26=RefData!$B$10,'Start here'!$C$23=RefData!$B$18,'Covenant summary information'!$C$82=RefData!$B$112,'Covenant summary information'!$C$83&gt;=2)),B438,"
"&amp;RefData!$B$2&amp;"
"&amp;B438)</f>
        <v xml:space="preserve">
No answer required
Is the guarantor an associated company?
</v>
      </c>
      <c r="D438" s="80" t="s">
        <v>824</v>
      </c>
    </row>
    <row r="439" spans="1:4" ht="77.5">
      <c r="A439" s="80" t="s">
        <v>826</v>
      </c>
      <c r="B439" s="83" t="s">
        <v>4445</v>
      </c>
      <c r="C439" s="83" t="str">
        <f>IF(OR('Covenant summary information'!$C$83&lt;2, ISNUMBER(SEARCH(RefData!$B$2,$C$237))),"
"&amp;RefData!$B$2&amp;"
"&amp; B439,B439)</f>
        <v xml:space="preserve">
No answer required
What is type of guarantee?
</v>
      </c>
      <c r="D439" s="80" t="s">
        <v>827</v>
      </c>
    </row>
    <row r="440" spans="1:4" ht="77.5">
      <c r="A440" s="80" t="s">
        <v>828</v>
      </c>
      <c r="B440" s="83" t="s">
        <v>4446</v>
      </c>
      <c r="C440" s="83" t="str">
        <f>IF(OR('Covenant summary information'!$C$83&lt;2,NOT(Guarantees!$C$52=RefData!$B$129), ISNUMBER(SEARCH(RefData!$B$2,$C$237))),"
"&amp;RefData!$B$2&amp;"
"&amp; B440,B440)</f>
        <v xml:space="preserve">
No answer required
Describe the other type of guarantee.
</v>
      </c>
      <c r="D440" s="80" t="s">
        <v>829</v>
      </c>
    </row>
    <row r="441" spans="1:4" ht="77.5">
      <c r="A441" s="80" t="s">
        <v>830</v>
      </c>
      <c r="B441" s="83" t="s">
        <v>4359</v>
      </c>
      <c r="C441" s="83" t="str">
        <f>IF(OR(NOT('Start here'!$C$26=RefData!$B$10),'Covenant summary information'!$C$83&lt;2, ISNUMBER(SEARCH(RefData!$B$2,$C$237))),"
"&amp;RefData!$B$2&amp;"
"&amp; B441,B441)</f>
        <v xml:space="preserve">
No answer required
Type of maturity
</v>
      </c>
      <c r="D441" s="80" t="s">
        <v>831</v>
      </c>
    </row>
    <row r="442" spans="1:4" ht="77.5">
      <c r="A442" s="80" t="s">
        <v>832</v>
      </c>
      <c r="B442" s="83" t="s">
        <v>4360</v>
      </c>
      <c r="C442" s="83" t="str">
        <f>IF(OR(NOT('Start here'!$C$26=RefData!$B$10),NOT(Guarantees!$C$54=RefData!$B$131),'Covenant summary information'!$C$83&lt;2, ISNUMBER(SEARCH(RefData!$B$2,$C$237))),"
"&amp;RefData!$B$2&amp;"
"&amp; B442,B442)</f>
        <v xml:space="preserve">
No answer required
Date of maturity
</v>
      </c>
      <c r="D442" s="80" t="s">
        <v>833</v>
      </c>
    </row>
    <row r="443" spans="1:4" ht="77.5">
      <c r="A443" s="80" t="s">
        <v>834</v>
      </c>
      <c r="B443" s="83" t="s">
        <v>4361</v>
      </c>
      <c r="C443" s="83" t="str">
        <f>IF(OR(NOT('Start here'!$C$26=RefData!$B$10),NOT(Guarantees!$C$54=RefData!$B$132),'Covenant summary information'!$C$83&lt;2, ISNUMBER(SEARCH(RefData!$B$2,$C$237))),"
"&amp;RefData!$B$2&amp;"
"&amp; B443,B443)</f>
        <v xml:space="preserve">
No answer required
Maturity date narrative
</v>
      </c>
      <c r="D443" s="80" t="s">
        <v>835</v>
      </c>
    </row>
    <row r="444" spans="1:4" ht="77.5">
      <c r="A444" s="80" t="s">
        <v>836</v>
      </c>
      <c r="B444" s="83" t="s">
        <v>4362</v>
      </c>
      <c r="C444" s="83" t="str">
        <f>IF(OR('Covenant summary information'!$C$83&lt;2, ISNUMBER(SEARCH(RefData!$B$2,$C$237))),"
"&amp;RefData!$B$2&amp;"
"&amp; B444,B444)</f>
        <v xml:space="preserve">
No answer required
Value ascribed (£)
</v>
      </c>
      <c r="D444" s="80" t="s">
        <v>837</v>
      </c>
    </row>
    <row r="445" spans="1:4" ht="77.5">
      <c r="A445" s="80" t="s">
        <v>838</v>
      </c>
      <c r="B445" s="83" t="s">
        <v>4363</v>
      </c>
      <c r="C445" s="83" t="str">
        <f>IF(OR('Covenant summary information'!$C$83&lt;2, ISNUMBER(SEARCH(RefData!$B$2,$C$237))),"
"&amp;RefData!$B$2&amp;"
"&amp; B445,B445)</f>
        <v xml:space="preserve">
No answer required
Date of valuation
</v>
      </c>
      <c r="D445" s="80" t="s">
        <v>839</v>
      </c>
    </row>
    <row r="446" spans="1:4" ht="77.5">
      <c r="A446" s="80" t="s">
        <v>840</v>
      </c>
      <c r="B446" s="83" t="s">
        <v>4364</v>
      </c>
      <c r="C446" s="83" t="str">
        <f>IF(OR('Start here'!$C$26=RefData!$B$9, AND('Start here'!$C$26=RefData!$B$10, 'Covenant summary information'!$C$83&lt;2), ISNUMBER(SEARCH(RefData!$B$2,$C$237))),"
"&amp;RefData!$B$2&amp;"
"&amp; B446,B446)</f>
        <v xml:space="preserve">
No answer required
Value cap
</v>
      </c>
      <c r="D446" s="80" t="s">
        <v>841</v>
      </c>
    </row>
    <row r="447" spans="1:4" ht="77.5">
      <c r="A447" s="80" t="s">
        <v>843</v>
      </c>
      <c r="B447" s="83" t="s">
        <v>4365</v>
      </c>
      <c r="C447" s="83" t="str">
        <f>IF(OR(NOT('Start here'!$C$26=RefData!$B$10),NOT(Guarantees!$C$59=RefData!$B$139),'Covenant summary information'!$C$83&lt;2, ISNUMBER(SEARCH(RefData!$B$2,$C$237))),"
"&amp;RefData!$B$2&amp;"
"&amp; B447,B447)</f>
        <v xml:space="preserve">
No answer required
Narrative regarding value cap
</v>
      </c>
      <c r="D447" s="80" t="s">
        <v>844</v>
      </c>
    </row>
    <row r="448" spans="1:4" ht="47.15" customHeight="1">
      <c r="A448" s="80" t="s">
        <v>845</v>
      </c>
      <c r="B448" s="83" t="s">
        <v>4366</v>
      </c>
      <c r="C448" s="83" t="str">
        <f>IF(OR(NOT('Start here'!$C$26=RefData!$B$10),NOT(Guarantees!$C$59=RefData!$B$138),'Covenant summary information'!$C$83&lt;2, ISNUMBER(SEARCH(RefData!$B$2,$C$237))),"
"&amp;RefData!$B$2&amp;"
"&amp; B448,B448)</f>
        <v xml:space="preserve">
No answer required
Fixed cap amount (£)
</v>
      </c>
      <c r="D448" s="80" t="s">
        <v>846</v>
      </c>
    </row>
    <row r="449" spans="1:4" ht="46.5">
      <c r="A449" s="80" t="s">
        <v>848</v>
      </c>
      <c r="B449" s="83" t="s">
        <v>4367</v>
      </c>
      <c r="C449" s="83" t="str">
        <f>IF(OR('Start here'!$C$26=RefData!$B$9,
(AND('Start here'!$C$26=RefData!$B$10,'Covenant summary information'!$C$83=0)),
(AND('Start here'!$C$26=RefData!$B$10,'Covenant summary information'!$C$83&lt;2))
),"
"&amp;RefData!$B$2&amp;"
"&amp; B449,B449)</f>
        <v xml:space="preserve">
Participating employer insolvency
</v>
      </c>
      <c r="D449" s="80" t="s">
        <v>849</v>
      </c>
    </row>
    <row r="450" spans="1:4" ht="46.5">
      <c r="A450" s="80" t="s">
        <v>851</v>
      </c>
      <c r="B450" s="83" t="s">
        <v>4368</v>
      </c>
      <c r="C450" s="83" t="str">
        <f>IF(OR('Start here'!$C$26=RefData!$B$9,
(AND('Start here'!$C$26=RefData!$B$10,'Covenant summary information'!$C$83=0)),
(AND('Start here'!$C$26=RefData!$B$10,'Covenant summary information'!$C$83&lt;2))
),"
"&amp;RefData!$B$2&amp;"
"&amp; B450,B450)</f>
        <v xml:space="preserve">
Insolvency of associated company
</v>
      </c>
      <c r="D450" s="80" t="s">
        <v>852</v>
      </c>
    </row>
    <row r="451" spans="1:4" ht="46.5">
      <c r="A451" s="80" t="s">
        <v>853</v>
      </c>
      <c r="B451" s="83" t="s">
        <v>4369</v>
      </c>
      <c r="C451" s="83" t="str">
        <f>IF(OR('Start here'!$C$26=RefData!$B$9,
(AND('Start here'!$C$26=RefData!$B$10,'Covenant summary information'!$C$83=0)),
(AND('Start here'!$C$26=RefData!$B$10,'Covenant summary information'!$C$83&lt;2))
),"
"&amp;RefData!$B$2&amp;"
"&amp; B451,B451)</f>
        <v xml:space="preserve">
Non payment of contributions
</v>
      </c>
      <c r="D451" s="80" t="s">
        <v>854</v>
      </c>
    </row>
    <row r="452" spans="1:4" ht="46.5">
      <c r="A452" s="80" t="s">
        <v>855</v>
      </c>
      <c r="B452" s="83" t="s">
        <v>4370</v>
      </c>
      <c r="C452" s="83" t="str">
        <f>IF(OR('Start here'!$C$26=RefData!$B$9,
(AND('Start here'!$C$26=RefData!$B$10,'Covenant summary information'!$C$83=0)),
(AND('Start here'!$C$26=RefData!$B$10,'Covenant summary information'!$C$83&lt;2))
),"
"&amp;RefData!$B$2&amp;"
"&amp; B452,B452)</f>
        <v xml:space="preserve">
Crystallisation of investment risk
</v>
      </c>
      <c r="D452" s="80" t="s">
        <v>856</v>
      </c>
    </row>
    <row r="453" spans="1:4" ht="46.5">
      <c r="A453" s="80" t="s">
        <v>857</v>
      </c>
      <c r="B453" s="83" t="s">
        <v>4371</v>
      </c>
      <c r="C453" s="83" t="str">
        <f>IF(OR('Start here'!$C$26=RefData!$B$9,
(AND('Start here'!$C$26=RefData!$B$10,'Covenant summary information'!$C$83=0)),
(AND('Start here'!$C$26=RefData!$B$10,'Covenant summary information'!$C$83&lt;2))
),"
"&amp;RefData!$B$2&amp;"
"&amp; B453,B453)</f>
        <v xml:space="preserve">
Other
</v>
      </c>
      <c r="D453" s="80" t="s">
        <v>858</v>
      </c>
    </row>
    <row r="454" spans="1:4" ht="46.5">
      <c r="A454" s="80" t="s">
        <v>859</v>
      </c>
      <c r="B454" s="83" t="s">
        <v>4372</v>
      </c>
      <c r="C454" s="83" t="str">
        <f>IF(OR('Start here'!$C$26=RefData!$B$9,
(AND('Start here'!$C$26=RefData!$B$10,'Covenant summary information'!$C$83=0)),
(AND('Start here'!$C$26=RefData!$B$10,'Covenant summary information'!$C$83&lt;2)),
(AND('Start here'!$C$26=RefData!$B$10,'Covenant summary information'!$C$83&gt;=2,Guarantees!$C69&lt;&gt;RefData!$B$140))
),"
"&amp;RefData!$B$2&amp;"
"&amp; B454,B454)</f>
        <v xml:space="preserve">
Describe the other triggers for access to value
</v>
      </c>
      <c r="D454" s="80" t="s">
        <v>860</v>
      </c>
    </row>
    <row r="455" spans="1:4" ht="46.5">
      <c r="A455" s="80" t="s">
        <v>861</v>
      </c>
      <c r="B455" s="83" t="s">
        <v>4373</v>
      </c>
      <c r="C455" s="83" t="str">
        <f>IF(OR('Start here'!$C$26=RefData!$B$9,
(AND('Start here'!$C$26=RefData!$B$10,'Covenant summary information'!$C$83=0)),
(AND('Start here'!$C$26=RefData!$B$10,'Covenant summary information'!$C$83&lt;2))
),"
"&amp;RefData!$B$2&amp;"
"&amp; B455,B455)</f>
        <v xml:space="preserve">
Triggers for termination
</v>
      </c>
      <c r="D455" s="80" t="s">
        <v>862</v>
      </c>
    </row>
    <row r="456" spans="1:4" ht="77.5">
      <c r="A456" s="80" t="s">
        <v>864</v>
      </c>
      <c r="B456" s="80" t="s">
        <v>4434</v>
      </c>
      <c r="C456" s="83" t="str">
        <f>IF(OR('Covenant summary information'!$C$83&lt;3, ISNUMBER(SEARCH(RefData!$B$2,$C$237))),"
"&amp;RefData!$B$2&amp;"
"&amp; B456,B456)</f>
        <v xml:space="preserve">
No answer required
Legal name
</v>
      </c>
      <c r="D456" s="80" t="s">
        <v>865</v>
      </c>
    </row>
    <row r="457" spans="1:4" ht="77.5">
      <c r="A457" s="80" t="s">
        <v>866</v>
      </c>
      <c r="B457" s="83" t="s">
        <v>4435</v>
      </c>
      <c r="C457" s="83" t="str">
        <f>IF(OR('Covenant summary information'!$C$83&lt;3, ISNUMBER(SEARCH(RefData!$B$2,$C$237))),"
"&amp;RefData!$B$2&amp;"
"&amp; B457,B457)</f>
        <v xml:space="preserve">
No answer required
Companies House number (if applicable)
</v>
      </c>
      <c r="D457" s="80" t="s">
        <v>867</v>
      </c>
    </row>
    <row r="458" spans="1:4" ht="77.5">
      <c r="A458" s="80" t="s">
        <v>868</v>
      </c>
      <c r="B458" s="83" t="s">
        <v>4436</v>
      </c>
      <c r="C458" s="83" t="str">
        <f>IF(OR('Covenant summary information'!$C$83&lt;3, NOT(TRIM(Guarantees!$C$76)=""), ISNUMBER(SEARCH(RefData!$B$2,$C$237))),"
"&amp;RefData!$B$2&amp;"
"&amp; B458,B458)</f>
        <v xml:space="preserve">
No answer required
Charity number (if applicable)
</v>
      </c>
      <c r="D458" s="80" t="s">
        <v>869</v>
      </c>
    </row>
    <row r="459" spans="1:4" ht="77.5">
      <c r="A459" s="80" t="s">
        <v>870</v>
      </c>
      <c r="B459" s="83" t="s">
        <v>4437</v>
      </c>
      <c r="C459" s="83" t="str">
        <f>IF(OR('Covenant summary information'!$C$83&lt;3, NOT(TRIM(Guarantees!$C$76)=""), NOT(ISBLANK(Guarantees!$C$77)), ISNUMBER(SEARCH(RefData!$B$2,$C$237))),"
"&amp;RefData!$B$2&amp;"
"&amp; B459,B459)</f>
        <v xml:space="preserve">
No answer required
Trading name
</v>
      </c>
      <c r="D459" s="80" t="s">
        <v>871</v>
      </c>
    </row>
    <row r="460" spans="1:4" ht="77.5">
      <c r="A460" s="80" t="s">
        <v>872</v>
      </c>
      <c r="B460" s="83" t="s">
        <v>4438</v>
      </c>
      <c r="C460" s="83" t="str">
        <f>IF(OR('Covenant summary information'!$C$83&lt;3, NOT(TRIM(Guarantees!$C$76)=""), NOT(ISBLANK(Guarantees!$C$77)), ISNUMBER(SEARCH(RefData!$B$2,$C$237))),"
"&amp;RefData!$B$2&amp;"
"&amp; B460,B460)</f>
        <v xml:space="preserve">
No answer required
Address line 1
</v>
      </c>
      <c r="D460" s="80" t="s">
        <v>873</v>
      </c>
    </row>
    <row r="461" spans="1:4" ht="77.5">
      <c r="A461" s="80" t="s">
        <v>874</v>
      </c>
      <c r="B461" s="83" t="s">
        <v>4439</v>
      </c>
      <c r="C461" s="83" t="str">
        <f>IF(OR('Covenant summary information'!$C$83&lt;3, NOT(TRIM(Guarantees!$C$76)=""), NOT(ISBLANK(Guarantees!$C$77)), ISNUMBER(SEARCH(RefData!$B$2,$C$237))),"
"&amp;RefData!$B$2&amp;"
"&amp; B461,B461)</f>
        <v xml:space="preserve">
No answer required
Address line 2 (optional)
</v>
      </c>
      <c r="D461" s="80" t="s">
        <v>875</v>
      </c>
    </row>
    <row r="462" spans="1:4" ht="77.5">
      <c r="A462" s="80" t="s">
        <v>876</v>
      </c>
      <c r="B462" s="83" t="s">
        <v>4440</v>
      </c>
      <c r="C462" s="83" t="str">
        <f>IF(OR('Covenant summary information'!$C$83&lt;3, NOT(TRIM(Guarantees!$C$76)=""), NOT(ISBLANK(Guarantees!$C$77)), ISNUMBER(SEARCH(RefData!$B$2,$C$237))),"
"&amp;RefData!$B$2&amp;"
"&amp; B462,B462)</f>
        <v xml:space="preserve">
No answer required
Address line 3 (optional)
</v>
      </c>
      <c r="D462" s="80" t="s">
        <v>877</v>
      </c>
    </row>
    <row r="463" spans="1:4" ht="77.5">
      <c r="A463" s="80" t="s">
        <v>878</v>
      </c>
      <c r="B463" s="83" t="s">
        <v>4441</v>
      </c>
      <c r="C463" s="83" t="str">
        <f>IF(OR('Covenant summary information'!$C$83&lt;3, NOT(TRIM(Guarantees!$C$76)=""), NOT(ISBLANK(Guarantees!$C$77)), ISNUMBER(SEARCH(RefData!$B$2,$C$237))),"
"&amp;RefData!$B$2&amp;"
"&amp; B463,B463)</f>
        <v xml:space="preserve">
No answer required
Post town or city
</v>
      </c>
      <c r="D463" s="80" t="s">
        <v>879</v>
      </c>
    </row>
    <row r="464" spans="1:4" ht="77.5">
      <c r="A464" s="80" t="s">
        <v>880</v>
      </c>
      <c r="B464" s="83" t="s">
        <v>4442</v>
      </c>
      <c r="C464" s="83" t="str">
        <f>IF(OR('Covenant summary information'!$C$83&lt;3, NOT(TRIM(Guarantees!$C$76)=""), NOT(ISBLANK(Guarantees!$C$77)), ISNUMBER(SEARCH(RefData!$B$2,$C$237))),"
"&amp;RefData!$B$2&amp;"
"&amp; B464,B464)</f>
        <v xml:space="preserve">
No answer required
Country
</v>
      </c>
      <c r="D464" s="80" t="s">
        <v>881</v>
      </c>
    </row>
    <row r="465" spans="1:4" ht="77.5">
      <c r="A465" s="80" t="s">
        <v>882</v>
      </c>
      <c r="B465" s="83" t="s">
        <v>4443</v>
      </c>
      <c r="C465" s="83" t="str">
        <f>IF(OR('Covenant summary information'!$C$83&lt;3, NOT(TRIM(Guarantees!$C$76)=""), NOT(ISBLANK(Guarantees!$C$77)), ISNUMBER(SEARCH(RefData!$B$2,$C$237))),"
"&amp;RefData!$B$2&amp;"
"&amp; B465,B465)</f>
        <v xml:space="preserve">
No answer required
Postcode
</v>
      </c>
      <c r="D465" s="80" t="s">
        <v>883</v>
      </c>
    </row>
    <row r="466" spans="1:4" ht="77.5">
      <c r="A466" s="80" t="s">
        <v>884</v>
      </c>
      <c r="B466" s="83" t="s">
        <v>4444</v>
      </c>
      <c r="C466" s="83" t="str">
        <f>IF(OR(AND('Start here'!$C$26=RefData!$B$10,'Start here'!$C$23=RefData!$B$17,'Start here'!$C$27=RefData!$B$12,'Covenant summary information'!$C$82=RefData!$B$112,'Covenant summary information'!$C$83&gt;=3),AND('Start here'!$C$26=RefData!$B$10,'Start here'!$C$23=RefData!$B$18,'Covenant summary information'!$C$82=RefData!$B$112,'Covenant summary information'!$C$83&gt;=3)),B466,"
"&amp;RefData!$B$2&amp;"
"&amp;B466)</f>
        <v xml:space="preserve">
No answer required
Is the guarantor an associated company?
</v>
      </c>
      <c r="D466" s="80" t="s">
        <v>885</v>
      </c>
    </row>
    <row r="467" spans="1:4" ht="77.5">
      <c r="A467" s="80" t="s">
        <v>886</v>
      </c>
      <c r="B467" s="83" t="s">
        <v>4445</v>
      </c>
      <c r="C467" s="83" t="str">
        <f>IF(OR('Covenant summary information'!$C$83&lt;3, ISNUMBER(SEARCH(RefData!$B$2,$C$237))),"
"&amp;RefData!$B$2&amp;"
"&amp; B467,B467)</f>
        <v xml:space="preserve">
No answer required
What is type of guarantee?
</v>
      </c>
      <c r="D467" s="80" t="s">
        <v>887</v>
      </c>
    </row>
    <row r="468" spans="1:4" ht="77.5">
      <c r="A468" s="80" t="s">
        <v>888</v>
      </c>
      <c r="B468" s="83" t="s">
        <v>4446</v>
      </c>
      <c r="C468" s="83" t="str">
        <f>IF(OR('Covenant summary information'!$C$83&lt;3,NOT(Guarantees!$C$86=RefData!$B$129), ISNUMBER(SEARCH(RefData!$B$2,$C$237))),"
"&amp;RefData!$B$2&amp;"
"&amp; B468,B468)</f>
        <v xml:space="preserve">
No answer required
Describe the other type of guarantee.
</v>
      </c>
      <c r="D468" s="80" t="s">
        <v>889</v>
      </c>
    </row>
    <row r="469" spans="1:4" ht="77.5">
      <c r="A469" s="80" t="s">
        <v>890</v>
      </c>
      <c r="B469" s="83" t="s">
        <v>4359</v>
      </c>
      <c r="C469" s="83" t="str">
        <f>IF(OR(NOT('Start here'!$C$26=RefData!$B$10),'Covenant summary information'!$C$83&lt;3, ISNUMBER(SEARCH(RefData!$B$2,$C$237))),"
"&amp;RefData!$B$2&amp;"
"&amp; B469,B469)</f>
        <v xml:space="preserve">
No answer required
Type of maturity
</v>
      </c>
      <c r="D469" s="80" t="s">
        <v>891</v>
      </c>
    </row>
    <row r="470" spans="1:4" ht="77.5">
      <c r="A470" s="80" t="s">
        <v>892</v>
      </c>
      <c r="B470" s="83" t="s">
        <v>4360</v>
      </c>
      <c r="C470" s="83" t="str">
        <f>IF(OR(NOT('Start here'!$C$26=RefData!$B$10),NOT(Guarantees!$C$88=RefData!$B$131),'Covenant summary information'!$C$83&lt;3, ISNUMBER(SEARCH(RefData!$B$2,$C$237))),"
"&amp;RefData!$B$2&amp;"
"&amp; B470,B470)</f>
        <v xml:space="preserve">
No answer required
Date of maturity
</v>
      </c>
      <c r="D470" s="80" t="s">
        <v>893</v>
      </c>
    </row>
    <row r="471" spans="1:4" ht="77.5">
      <c r="A471" s="80" t="s">
        <v>894</v>
      </c>
      <c r="B471" s="83" t="s">
        <v>4361</v>
      </c>
      <c r="C471" s="83" t="str">
        <f>IF(OR(NOT('Start here'!$C$26=RefData!$B$10),NOT(Guarantees!$C$88=RefData!$B$132),'Covenant summary information'!$C$83&lt;3, ISNUMBER(SEARCH(RefData!$B$2,$C$237))),"
"&amp;RefData!$B$2&amp;"
"&amp; B471,B471)</f>
        <v xml:space="preserve">
No answer required
Maturity date narrative
</v>
      </c>
      <c r="D471" s="80" t="s">
        <v>895</v>
      </c>
    </row>
    <row r="472" spans="1:4" ht="77.5">
      <c r="A472" s="80" t="s">
        <v>896</v>
      </c>
      <c r="B472" s="83" t="s">
        <v>4362</v>
      </c>
      <c r="C472" s="83" t="str">
        <f>IF(OR('Covenant summary information'!$C$83&lt;3, ISNUMBER(SEARCH(RefData!$B$2,$C$237))),"
"&amp;RefData!$B$2&amp;"
"&amp; B472,B472)</f>
        <v xml:space="preserve">
No answer required
Value ascribed (£)
</v>
      </c>
      <c r="D472" s="80" t="s">
        <v>897</v>
      </c>
    </row>
    <row r="473" spans="1:4" ht="77.5">
      <c r="A473" s="80" t="s">
        <v>898</v>
      </c>
      <c r="B473" s="83" t="s">
        <v>4363</v>
      </c>
      <c r="C473" s="83" t="str">
        <f>IF(OR('Covenant summary information'!$C$83&lt;3, ISNUMBER(SEARCH(RefData!$B$2,$C$237))),"
"&amp;RefData!$B$2&amp;"
"&amp; B473,B473)</f>
        <v xml:space="preserve">
No answer required
Date of valuation
</v>
      </c>
      <c r="D473" s="80" t="s">
        <v>899</v>
      </c>
    </row>
    <row r="474" spans="1:4" ht="77.5">
      <c r="A474" s="80" t="s">
        <v>900</v>
      </c>
      <c r="B474" s="83" t="s">
        <v>4364</v>
      </c>
      <c r="C474" s="83" t="str">
        <f>IF(OR('Start here'!$C$26=RefData!$B$9, AND('Start here'!$C$26=RefData!$B$10, 'Covenant summary information'!$C$83&lt;3), ISNUMBER(SEARCH(RefData!$B$2,$C$237))),"
"&amp;RefData!$B$2&amp;"
"&amp; B474,B474)</f>
        <v xml:space="preserve">
No answer required
Value cap
</v>
      </c>
      <c r="D474" s="80" t="s">
        <v>901</v>
      </c>
    </row>
    <row r="475" spans="1:4" ht="77.5">
      <c r="A475" s="80" t="s">
        <v>902</v>
      </c>
      <c r="B475" s="83" t="s">
        <v>4365</v>
      </c>
      <c r="C475" s="83" t="str">
        <f>IF(OR(NOT('Start here'!$C$26=RefData!$B$10),NOT(Guarantees!$C$93=RefData!$B$139),'Covenant summary information'!$C$83&lt;3, ISNUMBER(SEARCH(RefData!$B$2,$C$237))),"
"&amp;RefData!$B$2&amp;"
"&amp; B475,B475)</f>
        <v xml:space="preserve">
No answer required
Narrative regarding value cap
</v>
      </c>
      <c r="D475" s="80" t="s">
        <v>903</v>
      </c>
    </row>
    <row r="476" spans="1:4" ht="47.15" customHeight="1">
      <c r="A476" s="80" t="s">
        <v>904</v>
      </c>
      <c r="B476" s="83" t="s">
        <v>4366</v>
      </c>
      <c r="C476" s="83" t="str">
        <f>IF(OR(NOT('Start here'!$C$26=RefData!$B$10),NOT(Guarantees!$C$93=RefData!$B$138),'Covenant summary information'!$C$83&lt;3, ISNUMBER(SEARCH(RefData!$B$2,$C$237))),"
"&amp;RefData!$B$2&amp;"
"&amp; B476,B476)</f>
        <v xml:space="preserve">
No answer required
Fixed cap amount (£)
</v>
      </c>
      <c r="D476" s="80" t="s">
        <v>905</v>
      </c>
    </row>
    <row r="477" spans="1:4" ht="46.5">
      <c r="A477" s="80" t="s">
        <v>907</v>
      </c>
      <c r="B477" s="83" t="s">
        <v>4367</v>
      </c>
      <c r="C477" s="83" t="str">
        <f>IF(OR('Start here'!$C$26=RefData!$B$9,
(AND('Start here'!$C$26=RefData!$B$10,'Covenant summary information'!$C$83=0)),
(AND('Start here'!$C$26=RefData!$B$10,'Covenant summary information'!$C$83&lt;3))
),"
"&amp;RefData!$B$2&amp;"
"&amp; B477,B477)</f>
        <v xml:space="preserve">
Participating employer insolvency
</v>
      </c>
      <c r="D477" s="80" t="s">
        <v>908</v>
      </c>
    </row>
    <row r="478" spans="1:4" ht="46.5">
      <c r="A478" s="80" t="s">
        <v>909</v>
      </c>
      <c r="B478" s="83" t="s">
        <v>4368</v>
      </c>
      <c r="C478" s="83" t="str">
        <f>IF(OR('Start here'!$C$26=RefData!$B$9,
(AND('Start here'!$C$26=RefData!$B$10,'Covenant summary information'!$C$83=0)),
(AND('Start here'!$C$26=RefData!$B$10,'Covenant summary information'!$C$83&lt;3))
),"
"&amp;RefData!$B$2&amp;"
"&amp; B478,B478)</f>
        <v xml:space="preserve">
Insolvency of associated company
</v>
      </c>
      <c r="D478" s="80" t="s">
        <v>910</v>
      </c>
    </row>
    <row r="479" spans="1:4" ht="46.5">
      <c r="A479" s="80" t="s">
        <v>911</v>
      </c>
      <c r="B479" s="83" t="s">
        <v>4369</v>
      </c>
      <c r="C479" s="83" t="str">
        <f>IF(OR('Start here'!$C$26=RefData!$B$9,
(AND('Start here'!$C$26=RefData!$B$10,'Covenant summary information'!$C$83=0)),
(AND('Start here'!$C$26=RefData!$B$10,'Covenant summary information'!$C$83&lt;3))
),"
"&amp;RefData!$B$2&amp;"
"&amp; B479,B479)</f>
        <v xml:space="preserve">
Non payment of contributions
</v>
      </c>
      <c r="D479" s="80" t="s">
        <v>912</v>
      </c>
    </row>
    <row r="480" spans="1:4" ht="46.5">
      <c r="A480" s="80" t="s">
        <v>913</v>
      </c>
      <c r="B480" s="83" t="s">
        <v>4370</v>
      </c>
      <c r="C480" s="83" t="str">
        <f>IF(OR('Start here'!$C$26=RefData!$B$9,
(AND('Start here'!$C$26=RefData!$B$10,'Covenant summary information'!$C$83=0)),
(AND('Start here'!$C$26=RefData!$B$10,'Covenant summary information'!$C$83&lt;3))
),"
"&amp;RefData!$B$2&amp;"
"&amp; B480,B480)</f>
        <v xml:space="preserve">
Crystallisation of investment risk
</v>
      </c>
      <c r="D480" s="80" t="s">
        <v>914</v>
      </c>
    </row>
    <row r="481" spans="1:4" ht="46.5">
      <c r="A481" s="80" t="s">
        <v>915</v>
      </c>
      <c r="B481" s="83" t="s">
        <v>4371</v>
      </c>
      <c r="C481" s="83" t="str">
        <f>IF(OR('Start here'!$C$26=RefData!$B$9,
(AND('Start here'!$C$26=RefData!$B$10,'Covenant summary information'!$C$83=0)),
(AND('Start here'!$C$26=RefData!$B$10,'Covenant summary information'!$C$83&lt;3))
),"
"&amp;RefData!$B$2&amp;"
"&amp; B481,B481)</f>
        <v xml:space="preserve">
Other
</v>
      </c>
      <c r="D481" s="80" t="s">
        <v>916</v>
      </c>
    </row>
    <row r="482" spans="1:4" ht="46.5">
      <c r="A482" s="80" t="s">
        <v>917</v>
      </c>
      <c r="B482" s="83" t="s">
        <v>4372</v>
      </c>
      <c r="C482" s="83" t="str">
        <f>IF(OR('Start here'!$C$26=RefData!$B$9,
(AND('Start here'!$C$26=RefData!$B$10,'Covenant summary information'!$C$83=0)),
(AND('Start here'!$C$26=RefData!$B$10,'Covenant summary information'!$C$83&lt;3)),
(AND('Start here'!$C$26=RefData!$B$10,'Covenant summary information'!$C$83&gt;=3,Guarantees!$C103&lt;&gt;RefData!$B$140))
),"
"&amp;RefData!$B$2&amp;"
"&amp; B482,B482)</f>
        <v xml:space="preserve">
Describe the other triggers for access to value
</v>
      </c>
      <c r="D482" s="80" t="s">
        <v>918</v>
      </c>
    </row>
    <row r="483" spans="1:4" ht="46.5">
      <c r="A483" s="80" t="s">
        <v>919</v>
      </c>
      <c r="B483" s="83" t="s">
        <v>4373</v>
      </c>
      <c r="C483" s="83" t="str">
        <f>IF(OR('Start here'!$C$26=RefData!$B$9,
(AND('Start here'!$C$26=RefData!$B$10,'Covenant summary information'!$C$83=0)),
(AND('Start here'!$C$26=RefData!$B$10,'Covenant summary information'!$C$83&lt;3))
),"
"&amp;RefData!$B$2&amp;"
"&amp; B483,B483)</f>
        <v xml:space="preserve">
Triggers for termination
</v>
      </c>
      <c r="D483" s="80" t="s">
        <v>920</v>
      </c>
    </row>
    <row r="484" spans="1:4" ht="77.5">
      <c r="A484" s="80" t="s">
        <v>922</v>
      </c>
      <c r="B484" s="345" t="s">
        <v>4434</v>
      </c>
      <c r="C484" s="83" t="str">
        <f>IF(OR('Covenant summary information'!$C$83&lt;4, ISNUMBER(SEARCH(RefData!$B$2,$C$237))),"
"&amp;RefData!$B$2&amp;"
"&amp; B484,B484)</f>
        <v xml:space="preserve">
No answer required
Legal name
</v>
      </c>
      <c r="D484" s="80" t="s">
        <v>923</v>
      </c>
    </row>
    <row r="485" spans="1:4" ht="77.5">
      <c r="A485" s="80" t="s">
        <v>924</v>
      </c>
      <c r="B485" s="83" t="s">
        <v>4435</v>
      </c>
      <c r="C485" s="83" t="str">
        <f>IF(OR('Covenant summary information'!$C$83&lt;4, ISNUMBER(SEARCH(RefData!$B$2,$C$237))),"
"&amp;RefData!$B$2&amp;"
"&amp; B485,B485)</f>
        <v xml:space="preserve">
No answer required
Companies House number (if applicable)
</v>
      </c>
      <c r="D485" s="80" t="s">
        <v>925</v>
      </c>
    </row>
    <row r="486" spans="1:4" ht="77.5">
      <c r="A486" s="80" t="s">
        <v>926</v>
      </c>
      <c r="B486" s="83" t="s">
        <v>4436</v>
      </c>
      <c r="C486" s="83" t="str">
        <f>IF(OR('Covenant summary information'!$C$83&lt;4, NOT(TRIM(Guarantees!$C$110)=""), ISNUMBER(SEARCH(RefData!$B$2,$C$237))),"
"&amp;RefData!$B$2&amp;"
"&amp; B486,B486)</f>
        <v xml:space="preserve">
No answer required
Charity number (if applicable)
</v>
      </c>
      <c r="D486" s="80" t="s">
        <v>927</v>
      </c>
    </row>
    <row r="487" spans="1:4" ht="77.5">
      <c r="A487" s="80" t="s">
        <v>928</v>
      </c>
      <c r="B487" s="83" t="s">
        <v>4437</v>
      </c>
      <c r="C487" s="83" t="str">
        <f>IF(OR('Covenant summary information'!$C$83&lt;4, NOT(TRIM(Guarantees!$C$110)=""), NOT(ISBLANK(Guarantees!$C$111)), ISNUMBER(SEARCH(RefData!$B$2,$C$237))),"
"&amp;RefData!$B$2&amp;"
"&amp; B487,B487)</f>
        <v xml:space="preserve">
No answer required
Trading name
</v>
      </c>
      <c r="D487" s="80" t="s">
        <v>929</v>
      </c>
    </row>
    <row r="488" spans="1:4" ht="77.5">
      <c r="A488" s="80" t="s">
        <v>930</v>
      </c>
      <c r="B488" s="83" t="s">
        <v>4438</v>
      </c>
      <c r="C488" s="83" t="str">
        <f>IF(OR('Covenant summary information'!$C$83&lt;4, NOT(TRIM(Guarantees!$C$110)=""), NOT(ISBLANK(Guarantees!$C$111)), ISNUMBER(SEARCH(RefData!$B$2,$C$237))),"
"&amp;RefData!$B$2&amp;"
"&amp; B488,B488)</f>
        <v xml:space="preserve">
No answer required
Address line 1
</v>
      </c>
      <c r="D488" s="80" t="s">
        <v>931</v>
      </c>
    </row>
    <row r="489" spans="1:4" ht="77.5">
      <c r="A489" s="80" t="s">
        <v>932</v>
      </c>
      <c r="B489" s="83" t="s">
        <v>4439</v>
      </c>
      <c r="C489" s="83" t="str">
        <f>IF(OR('Covenant summary information'!$C$83&lt;4, NOT(TRIM(Guarantees!$C$110)=""), NOT(ISBLANK(Guarantees!$C$111)), ISNUMBER(SEARCH(RefData!$B$2,$C$237))),"
"&amp;RefData!$B$2&amp;"
"&amp; B489,B489)</f>
        <v xml:space="preserve">
No answer required
Address line 2 (optional)
</v>
      </c>
      <c r="D489" s="80" t="s">
        <v>933</v>
      </c>
    </row>
    <row r="490" spans="1:4" ht="77.5">
      <c r="A490" s="80" t="s">
        <v>934</v>
      </c>
      <c r="B490" s="83" t="s">
        <v>4440</v>
      </c>
      <c r="C490" s="83" t="str">
        <f>IF(OR('Covenant summary information'!$C$83&lt;4, NOT(TRIM(Guarantees!$C$110)=""), NOT(ISBLANK(Guarantees!$C$111)), ISNUMBER(SEARCH(RefData!$B$2,$C$237))),"
"&amp;RefData!$B$2&amp;"
"&amp; B490,B490)</f>
        <v xml:space="preserve">
No answer required
Address line 3 (optional)
</v>
      </c>
      <c r="D490" s="80" t="s">
        <v>935</v>
      </c>
    </row>
    <row r="491" spans="1:4" ht="77.5">
      <c r="A491" s="80" t="s">
        <v>936</v>
      </c>
      <c r="B491" s="83" t="s">
        <v>4441</v>
      </c>
      <c r="C491" s="83" t="str">
        <f>IF(OR('Covenant summary information'!$C$83&lt;4, NOT(TRIM(Guarantees!$C$110)=""), NOT(ISBLANK(Guarantees!$C$111)), ISNUMBER(SEARCH(RefData!$B$2,$C$237))),"
"&amp;RefData!$B$2&amp;"
"&amp; B491,B491)</f>
        <v xml:space="preserve">
No answer required
Post town or city
</v>
      </c>
      <c r="D491" s="80" t="s">
        <v>937</v>
      </c>
    </row>
    <row r="492" spans="1:4" ht="77.5">
      <c r="A492" s="80" t="s">
        <v>938</v>
      </c>
      <c r="B492" s="83" t="s">
        <v>4442</v>
      </c>
      <c r="C492" s="83" t="str">
        <f>IF(OR('Covenant summary information'!$C$83&lt;4, NOT(TRIM(Guarantees!$C$110)=""), NOT(ISBLANK(Guarantees!$C$111)), ISNUMBER(SEARCH(RefData!$B$2,$C$237))),"
"&amp;RefData!$B$2&amp;"
"&amp; B492,B492)</f>
        <v xml:space="preserve">
No answer required
Country
</v>
      </c>
      <c r="D492" s="80" t="s">
        <v>939</v>
      </c>
    </row>
    <row r="493" spans="1:4" ht="77.5">
      <c r="A493" s="80" t="s">
        <v>940</v>
      </c>
      <c r="B493" s="83" t="s">
        <v>4443</v>
      </c>
      <c r="C493" s="83" t="str">
        <f>IF(OR('Covenant summary information'!$C$83&lt;4, NOT(TRIM(Guarantees!$C$110)=""), NOT(ISBLANK(Guarantees!$C$111)), ISNUMBER(SEARCH(RefData!$B$2,$C$237))),"
"&amp;RefData!$B$2&amp;"
"&amp; B493,B493)</f>
        <v xml:space="preserve">
No answer required
Postcode
</v>
      </c>
      <c r="D493" s="80" t="s">
        <v>941</v>
      </c>
    </row>
    <row r="494" spans="1:4" ht="77.5">
      <c r="A494" s="80" t="s">
        <v>942</v>
      </c>
      <c r="B494" s="83" t="s">
        <v>4444</v>
      </c>
      <c r="C494" s="83" t="str">
        <f>IF(OR(AND('Start here'!$C$26=RefData!$B$10,'Start here'!$C$23=RefData!$B$17,'Start here'!$C$27=RefData!$B$12,'Covenant summary information'!$C$82=RefData!$B$112,'Covenant summary information'!$C$83&gt;=4),AND('Start here'!$C$26=RefData!$B$10,'Start here'!$C$23=RefData!$B$18,'Covenant summary information'!$C$82=RefData!$B$112,'Covenant summary information'!$C$83&gt;=4)),B494,"
"&amp;RefData!$B$2&amp;"
"&amp;B494)</f>
        <v xml:space="preserve">
No answer required
Is the guarantor an associated company?
</v>
      </c>
      <c r="D494" s="80" t="s">
        <v>943</v>
      </c>
    </row>
    <row r="495" spans="1:4" ht="77.5">
      <c r="A495" s="80" t="s">
        <v>944</v>
      </c>
      <c r="B495" s="83" t="s">
        <v>4445</v>
      </c>
      <c r="C495" s="83" t="str">
        <f>IF(OR('Covenant summary information'!$C$83&lt;4, ISNUMBER(SEARCH(RefData!$B$2,$C$237))),"
"&amp;RefData!$B$2&amp;"
"&amp; B495,B495)</f>
        <v xml:space="preserve">
No answer required
What is type of guarantee?
</v>
      </c>
      <c r="D495" s="80" t="s">
        <v>945</v>
      </c>
    </row>
    <row r="496" spans="1:4" ht="77.5">
      <c r="A496" s="80" t="s">
        <v>947</v>
      </c>
      <c r="B496" s="83" t="s">
        <v>4446</v>
      </c>
      <c r="C496" s="83" t="str">
        <f>IF(OR('Covenant summary information'!$C$83&lt;4,NOT(Guarantees!$C$120=RefData!$B$129), ISNUMBER(SEARCH(RefData!$B$2,$C$237))),"
"&amp;RefData!$B$2&amp;"
"&amp; B496,B496)</f>
        <v xml:space="preserve">
No answer required
Describe the other type of guarantee.
</v>
      </c>
      <c r="D496" s="80" t="s">
        <v>948</v>
      </c>
    </row>
    <row r="497" spans="1:4" ht="77.5">
      <c r="A497" s="80" t="s">
        <v>949</v>
      </c>
      <c r="B497" s="83" t="s">
        <v>4359</v>
      </c>
      <c r="C497" s="83" t="str">
        <f>IF(OR(NOT('Start here'!$C$26=RefData!$B$10),'Covenant summary information'!$C$83&lt;4, ISNUMBER(SEARCH(RefData!$B$2,$C$237))),"
"&amp;RefData!$B$2&amp;"
"&amp; B497,B497)</f>
        <v xml:space="preserve">
No answer required
Type of maturity
</v>
      </c>
      <c r="D497" s="80" t="s">
        <v>950</v>
      </c>
    </row>
    <row r="498" spans="1:4" ht="77.5">
      <c r="A498" s="80" t="s">
        <v>951</v>
      </c>
      <c r="B498" s="83" t="s">
        <v>4360</v>
      </c>
      <c r="C498" s="83" t="str">
        <f>IF(OR(NOT('Start here'!$C$26=RefData!$B$10),NOT(Guarantees!$C$122=RefData!$B$131),'Covenant summary information'!$C$83&lt;4, ISNUMBER(SEARCH(RefData!$B$2,$C$237))),"
"&amp;RefData!$B$2&amp;"
"&amp; B498,B498)</f>
        <v xml:space="preserve">
No answer required
Date of maturity
</v>
      </c>
      <c r="D498" s="80" t="s">
        <v>952</v>
      </c>
    </row>
    <row r="499" spans="1:4" ht="77.5">
      <c r="A499" s="80" t="s">
        <v>953</v>
      </c>
      <c r="B499" s="83" t="s">
        <v>4361</v>
      </c>
      <c r="C499" s="83" t="str">
        <f>IF(OR(NOT('Start here'!$C$26=RefData!$B$10),NOT(Guarantees!$C$122=RefData!$B$132),'Covenant summary information'!$C$83&lt;4, ISNUMBER(SEARCH(RefData!$B$2,$C$237))),"
"&amp;RefData!$B$2&amp;"
"&amp; B499,B499)</f>
        <v xml:space="preserve">
No answer required
Maturity date narrative
</v>
      </c>
      <c r="D499" s="80" t="s">
        <v>954</v>
      </c>
    </row>
    <row r="500" spans="1:4" ht="77.5">
      <c r="A500" s="80" t="s">
        <v>955</v>
      </c>
      <c r="B500" s="83" t="s">
        <v>4362</v>
      </c>
      <c r="C500" s="83" t="str">
        <f>IF(OR('Covenant summary information'!$C$83&lt;4, ISNUMBER(SEARCH(RefData!$B$2,$C$237))),"
"&amp;RefData!$B$2&amp;"
"&amp; B500,B500)</f>
        <v xml:space="preserve">
No answer required
Value ascribed (£)
</v>
      </c>
      <c r="D500" s="80" t="s">
        <v>956</v>
      </c>
    </row>
    <row r="501" spans="1:4" ht="77.5">
      <c r="A501" s="80" t="s">
        <v>957</v>
      </c>
      <c r="B501" s="83" t="s">
        <v>4363</v>
      </c>
      <c r="C501" s="83" t="str">
        <f>IF(OR('Covenant summary information'!$C$83&lt;4, ISNUMBER(SEARCH(RefData!$B$2,$C$237))),"
"&amp;RefData!$B$2&amp;"
"&amp; B501,B501)</f>
        <v xml:space="preserve">
No answer required
Date of valuation
</v>
      </c>
      <c r="D501" s="80" t="s">
        <v>958</v>
      </c>
    </row>
    <row r="502" spans="1:4" ht="77.5">
      <c r="A502" s="80" t="s">
        <v>959</v>
      </c>
      <c r="B502" s="83" t="s">
        <v>4364</v>
      </c>
      <c r="C502" s="83" t="str">
        <f>IF(OR('Start here'!$C$26=RefData!$B$9, AND('Start here'!$C$26=RefData!$B$10, 'Covenant summary information'!$C$83&lt;4), ISNUMBER(SEARCH(RefData!$B$2,$C$237))),"
"&amp;RefData!$B$2&amp;"
"&amp; B502,B502)</f>
        <v xml:space="preserve">
No answer required
Value cap
</v>
      </c>
      <c r="D502" s="80" t="s">
        <v>960</v>
      </c>
    </row>
    <row r="503" spans="1:4" ht="77.5">
      <c r="A503" s="80" t="s">
        <v>961</v>
      </c>
      <c r="B503" s="83" t="s">
        <v>4365</v>
      </c>
      <c r="C503" s="83" t="str">
        <f>IF(OR(NOT('Start here'!$C$26=RefData!$B$10),NOT(Guarantees!$C$127=RefData!$B$139),'Covenant summary information'!$C$83&lt;4, ISNUMBER(SEARCH(RefData!$B$2,$C$237))),"
"&amp;RefData!$B$2&amp;"
"&amp; B503,B503)</f>
        <v xml:space="preserve">
No answer required
Narrative regarding value cap
</v>
      </c>
      <c r="D503" s="80" t="s">
        <v>962</v>
      </c>
    </row>
    <row r="504" spans="1:4" ht="47.15" customHeight="1">
      <c r="A504" s="80" t="s">
        <v>963</v>
      </c>
      <c r="B504" s="83" t="s">
        <v>4366</v>
      </c>
      <c r="C504" s="83" t="str">
        <f>IF(OR(NOT('Start here'!$C$26=RefData!$B$10),NOT(Guarantees!$C$127=RefData!$B$138),'Covenant summary information'!$C$83&lt;4, ISNUMBER(SEARCH(RefData!$B$2,$C$237))),"
"&amp;RefData!$B$2&amp;"
"&amp; B504,B504)</f>
        <v xml:space="preserve">
No answer required
Fixed cap amount (£)
</v>
      </c>
      <c r="D504" s="80" t="s">
        <v>964</v>
      </c>
    </row>
    <row r="505" spans="1:4" ht="46.5">
      <c r="A505" s="80" t="s">
        <v>966</v>
      </c>
      <c r="B505" s="83" t="s">
        <v>4367</v>
      </c>
      <c r="C505" s="83" t="str">
        <f>IF(OR('Start here'!$C$26=RefData!$B$9,
(AND('Start here'!$C$26=RefData!$B$10,'Covenant summary information'!$C$83=0)),
(AND('Start here'!$C$26=RefData!$B$10,'Covenant summary information'!$C$83&lt;4))
),"
"&amp;RefData!$B$2&amp;"
"&amp; B505,B505)</f>
        <v xml:space="preserve">
Participating employer insolvency
</v>
      </c>
      <c r="D505" s="80" t="s">
        <v>967</v>
      </c>
    </row>
    <row r="506" spans="1:4" ht="46.5">
      <c r="A506" s="80" t="s">
        <v>968</v>
      </c>
      <c r="B506" s="83" t="s">
        <v>4368</v>
      </c>
      <c r="C506" s="83" t="str">
        <f>IF(OR('Start here'!$C$26=RefData!$B$9,
(AND('Start here'!$C$26=RefData!$B$10,'Covenant summary information'!$C$83=0)),
(AND('Start here'!$C$26=RefData!$B$10,'Covenant summary information'!$C$83&lt;4))
),"
"&amp;RefData!$B$2&amp;"
"&amp; B506,B506)</f>
        <v xml:space="preserve">
Insolvency of associated company
</v>
      </c>
      <c r="D506" s="80" t="s">
        <v>969</v>
      </c>
    </row>
    <row r="507" spans="1:4" ht="46.5">
      <c r="A507" s="80" t="s">
        <v>970</v>
      </c>
      <c r="B507" s="83" t="s">
        <v>4369</v>
      </c>
      <c r="C507" s="83" t="str">
        <f>IF(OR('Start here'!$C$26=RefData!$B$9,
(AND('Start here'!$C$26=RefData!$B$10,'Covenant summary information'!$C$83=0)),
(AND('Start here'!$C$26=RefData!$B$10,'Covenant summary information'!$C$83&lt;4))
),"
"&amp;RefData!$B$2&amp;"
"&amp; B507,B507)</f>
        <v xml:space="preserve">
Non payment of contributions
</v>
      </c>
      <c r="D507" s="80" t="s">
        <v>971</v>
      </c>
    </row>
    <row r="508" spans="1:4" ht="46.5">
      <c r="A508" s="80" t="s">
        <v>972</v>
      </c>
      <c r="B508" s="83" t="s">
        <v>4370</v>
      </c>
      <c r="C508" s="83" t="str">
        <f>IF(OR('Start here'!$C$26=RefData!$B$9,
(AND('Start here'!$C$26=RefData!$B$10,'Covenant summary information'!$C$83=0)),
(AND('Start here'!$C$26=RefData!$B$10,'Covenant summary information'!$C$83&lt;4))
),"
"&amp;RefData!$B$2&amp;"
"&amp; B508,B508)</f>
        <v xml:space="preserve">
Crystallisation of investment risk
</v>
      </c>
      <c r="D508" s="80" t="s">
        <v>973</v>
      </c>
    </row>
    <row r="509" spans="1:4" ht="46.5">
      <c r="A509" s="80" t="s">
        <v>974</v>
      </c>
      <c r="B509" s="83" t="s">
        <v>4371</v>
      </c>
      <c r="C509" s="83" t="str">
        <f>IF(OR('Start here'!$C$26=RefData!$B$9,
(AND('Start here'!$C$26=RefData!$B$10,'Covenant summary information'!$C$83=0)),
(AND('Start here'!$C$26=RefData!$B$10,'Covenant summary information'!$C$83&lt;4))
),"
"&amp;RefData!$B$2&amp;"
"&amp; B509,B509)</f>
        <v xml:space="preserve">
Other
</v>
      </c>
      <c r="D509" s="80" t="s">
        <v>975</v>
      </c>
    </row>
    <row r="510" spans="1:4" ht="46.5">
      <c r="A510" s="80" t="s">
        <v>976</v>
      </c>
      <c r="B510" s="83" t="s">
        <v>4372</v>
      </c>
      <c r="C510" s="83" t="str">
        <f>IF(OR('Start here'!$C$26=RefData!$B$9,
(AND('Start here'!$C$26=RefData!$B$10,'Covenant summary information'!$C$83=0)),
(AND('Start here'!$C$26=RefData!$B$10,'Covenant summary information'!$C$83&lt;4)),
(AND('Start here'!$C$26=RefData!$B$10,'Covenant summary information'!$C$83&gt;=4,Guarantees!$C137&lt;&gt;RefData!$B$140))
),"
"&amp;RefData!$B$2&amp;"
"&amp; B510,B510)</f>
        <v xml:space="preserve">
Describe the other triggers for access to value
</v>
      </c>
      <c r="D510" s="80" t="s">
        <v>977</v>
      </c>
    </row>
    <row r="511" spans="1:4" ht="46.5">
      <c r="A511" s="80" t="s">
        <v>978</v>
      </c>
      <c r="B511" s="83" t="s">
        <v>4373</v>
      </c>
      <c r="C511" s="83" t="str">
        <f>IF(OR('Start here'!$C$26=RefData!$B$9,
(AND('Start here'!$C$26=RefData!$B$10,'Covenant summary information'!$C$83=0)),
(AND('Start here'!$C$26=RefData!$B$10,'Covenant summary information'!$C$83&lt;4))
),"
"&amp;RefData!$B$2&amp;"
"&amp; B511,B511)</f>
        <v xml:space="preserve">
Triggers for termination
</v>
      </c>
      <c r="D511" s="80" t="s">
        <v>979</v>
      </c>
    </row>
    <row r="512" spans="1:4" ht="77.5">
      <c r="A512" s="80" t="s">
        <v>981</v>
      </c>
      <c r="B512" s="345" t="s">
        <v>4434</v>
      </c>
      <c r="C512" s="83" t="str">
        <f>IF(OR('Covenant summary information'!$C$83&lt;5, ISNUMBER(SEARCH(RefData!$B$2,$C$237))),"
"&amp;RefData!$B$2&amp;"
"&amp; B512,B512)</f>
        <v xml:space="preserve">
No answer required
Legal name
</v>
      </c>
      <c r="D512" s="80" t="s">
        <v>982</v>
      </c>
    </row>
    <row r="513" spans="1:4" ht="77.5">
      <c r="A513" s="80" t="s">
        <v>983</v>
      </c>
      <c r="B513" s="83" t="s">
        <v>4435</v>
      </c>
      <c r="C513" s="83" t="str">
        <f>IF(OR('Covenant summary information'!$C$83&lt;5, ISNUMBER(SEARCH(RefData!$B$2,$C$237))),"
"&amp;RefData!$B$2&amp;"
"&amp; B513,B513)</f>
        <v xml:space="preserve">
No answer required
Companies House number (if applicable)
</v>
      </c>
      <c r="D513" s="80" t="s">
        <v>984</v>
      </c>
    </row>
    <row r="514" spans="1:4" ht="77.5">
      <c r="A514" s="80" t="s">
        <v>985</v>
      </c>
      <c r="B514" s="83" t="s">
        <v>4436</v>
      </c>
      <c r="C514" s="83" t="str">
        <f>IF(OR('Covenant summary information'!$C$83&lt;5, NOT(TRIM(Guarantees!$C$144)=""), ISNUMBER(SEARCH(RefData!$B$2,$C$237))),"
"&amp;RefData!$B$2&amp;"
"&amp; B514,B514)</f>
        <v xml:space="preserve">
No answer required
Charity number (if applicable)
</v>
      </c>
      <c r="D514" s="80" t="s">
        <v>986</v>
      </c>
    </row>
    <row r="515" spans="1:4" ht="77.5">
      <c r="A515" s="80" t="s">
        <v>987</v>
      </c>
      <c r="B515" s="83" t="s">
        <v>4437</v>
      </c>
      <c r="C515" s="83" t="str">
        <f>IF(OR('Covenant summary information'!$C$83&lt;5, NOT(TRIM(Guarantees!$C$144)=""), NOT(ISBLANK(Guarantees!$C$145)), ISNUMBER(SEARCH(RefData!$B$2,$C$237))),"
"&amp;RefData!$B$2&amp;"
"&amp; B515,B515)</f>
        <v xml:space="preserve">
No answer required
Trading name
</v>
      </c>
      <c r="D515" s="80" t="s">
        <v>988</v>
      </c>
    </row>
    <row r="516" spans="1:4" ht="77.5">
      <c r="A516" s="80" t="s">
        <v>989</v>
      </c>
      <c r="B516" s="83" t="s">
        <v>4438</v>
      </c>
      <c r="C516" s="83" t="str">
        <f>IF(OR('Covenant summary information'!$C$83&lt;5, NOT(TRIM(Guarantees!$C$144)=""), NOT(ISBLANK(Guarantees!$C$145)), ISNUMBER(SEARCH(RefData!$B$2,$C$237))),"
"&amp;RefData!$B$2&amp;"
"&amp; B516,B516)</f>
        <v xml:space="preserve">
No answer required
Address line 1
</v>
      </c>
      <c r="D516" s="80" t="s">
        <v>990</v>
      </c>
    </row>
    <row r="517" spans="1:4" ht="77.5">
      <c r="A517" s="80" t="s">
        <v>991</v>
      </c>
      <c r="B517" s="83" t="s">
        <v>4439</v>
      </c>
      <c r="C517" s="83" t="str">
        <f>IF(OR('Covenant summary information'!$C$83&lt;5, NOT(TRIM(Guarantees!$C$144)=""), NOT(ISBLANK(Guarantees!$C$145)), ISNUMBER(SEARCH(RefData!$B$2,$C$237))),"
"&amp;RefData!$B$2&amp;"
"&amp; B517,B517)</f>
        <v xml:space="preserve">
No answer required
Address line 2 (optional)
</v>
      </c>
      <c r="D517" s="80" t="s">
        <v>992</v>
      </c>
    </row>
    <row r="518" spans="1:4" ht="77.5">
      <c r="A518" s="80" t="s">
        <v>993</v>
      </c>
      <c r="B518" s="83" t="s">
        <v>4440</v>
      </c>
      <c r="C518" s="83" t="str">
        <f>IF(OR('Covenant summary information'!$C$83&lt;5, NOT(TRIM(Guarantees!$C$144)=""), NOT(ISBLANK(Guarantees!$C$145)), ISNUMBER(SEARCH(RefData!$B$2,$C$237))),"
"&amp;RefData!$B$2&amp;"
"&amp; B518,B518)</f>
        <v xml:space="preserve">
No answer required
Address line 3 (optional)
</v>
      </c>
      <c r="D518" s="80" t="s">
        <v>994</v>
      </c>
    </row>
    <row r="519" spans="1:4" ht="77.5">
      <c r="A519" s="80" t="s">
        <v>995</v>
      </c>
      <c r="B519" s="83" t="s">
        <v>4441</v>
      </c>
      <c r="C519" s="83" t="str">
        <f>IF(OR('Covenant summary information'!$C$83&lt;5, NOT(TRIM(Guarantees!$C$144)=""), NOT(ISBLANK(Guarantees!$C$145)), ISNUMBER(SEARCH(RefData!$B$2,$C$237))),"
"&amp;RefData!$B$2&amp;"
"&amp; B519,B519)</f>
        <v xml:space="preserve">
No answer required
Post town or city
</v>
      </c>
      <c r="D519" s="80" t="s">
        <v>996</v>
      </c>
    </row>
    <row r="520" spans="1:4" ht="77.5">
      <c r="A520" s="80" t="s">
        <v>997</v>
      </c>
      <c r="B520" s="83" t="s">
        <v>4442</v>
      </c>
      <c r="C520" s="83" t="str">
        <f>IF(OR('Covenant summary information'!$C$83&lt;5, NOT(TRIM(Guarantees!$C$144)=""), NOT(ISBLANK(Guarantees!$C$145)), ISNUMBER(SEARCH(RefData!$B$2,$C$237))),"
"&amp;RefData!$B$2&amp;"
"&amp; B520,B520)</f>
        <v xml:space="preserve">
No answer required
Country
</v>
      </c>
      <c r="D520" s="80" t="s">
        <v>998</v>
      </c>
    </row>
    <row r="521" spans="1:4" ht="77.5">
      <c r="A521" s="80" t="s">
        <v>999</v>
      </c>
      <c r="B521" s="83" t="s">
        <v>4443</v>
      </c>
      <c r="C521" s="83" t="str">
        <f>IF(OR('Covenant summary information'!$C$83&lt;5, NOT(TRIM(Guarantees!$C$144)=""), NOT(ISBLANK(Guarantees!$C$145)), ISNUMBER(SEARCH(RefData!$B$2,$C$237))),"
"&amp;RefData!$B$2&amp;"
"&amp; B521,B521)</f>
        <v xml:space="preserve">
No answer required
Postcode
</v>
      </c>
      <c r="D521" s="80" t="s">
        <v>1000</v>
      </c>
    </row>
    <row r="522" spans="1:4" ht="77.5">
      <c r="A522" s="80" t="s">
        <v>1001</v>
      </c>
      <c r="B522" s="83" t="s">
        <v>4444</v>
      </c>
      <c r="C522" s="83" t="str">
        <f>IF(OR(AND('Start here'!$C$26=RefData!$B$10,'Start here'!$C$23=RefData!$B$17,'Start here'!$C$27=RefData!$B$12,'Covenant summary information'!$C$82=RefData!$B$112,'Covenant summary information'!$C$83&gt;=5),AND('Start here'!$C$26=RefData!$B$10,'Start here'!$C$23=RefData!$B$18,'Covenant summary information'!$C$82=RefData!$B$112,'Covenant summary information'!$C$83&gt;=5)),B522,"
"&amp;RefData!$B$2&amp;"
"&amp;B522)</f>
        <v xml:space="preserve">
No answer required
Is the guarantor an associated company?
</v>
      </c>
      <c r="D522" s="80" t="s">
        <v>1002</v>
      </c>
    </row>
    <row r="523" spans="1:4" ht="77.5">
      <c r="A523" s="80" t="s">
        <v>1003</v>
      </c>
      <c r="B523" s="83" t="s">
        <v>4445</v>
      </c>
      <c r="C523" s="83" t="str">
        <f>IF(OR('Covenant summary information'!$C$83&lt;5, ISNUMBER(SEARCH(RefData!$B$2,$C$237))),"
"&amp;RefData!$B$2&amp;"
"&amp; B523,B523)</f>
        <v xml:space="preserve">
No answer required
What is type of guarantee?
</v>
      </c>
      <c r="D523" s="80" t="s">
        <v>1004</v>
      </c>
    </row>
    <row r="524" spans="1:4" ht="77.5">
      <c r="A524" s="80" t="s">
        <v>1005</v>
      </c>
      <c r="B524" s="83" t="s">
        <v>4446</v>
      </c>
      <c r="C524" s="83" t="str">
        <f>IF(OR('Covenant summary information'!$C$83&lt;5,NOT(Guarantees!$C$154=RefData!$B$129), ISNUMBER(SEARCH(RefData!$B$2,$C$237))),"
"&amp;RefData!$B$2&amp;"
"&amp; B524,B524)</f>
        <v xml:space="preserve">
No answer required
Describe the other type of guarantee.
</v>
      </c>
      <c r="D524" s="80" t="s">
        <v>1006</v>
      </c>
    </row>
    <row r="525" spans="1:4" ht="77.5">
      <c r="A525" s="80" t="s">
        <v>1007</v>
      </c>
      <c r="B525" s="83" t="s">
        <v>4359</v>
      </c>
      <c r="C525" s="83" t="str">
        <f>IF(OR(NOT('Start here'!$C$26=RefData!$B$10),'Covenant summary information'!$C$83&lt;5, ISNUMBER(SEARCH(RefData!$B$2,$C$237))),"
"&amp;RefData!$B$2&amp;"
"&amp; B525,B525)</f>
        <v xml:space="preserve">
No answer required
Type of maturity
</v>
      </c>
      <c r="D525" s="80" t="s">
        <v>1008</v>
      </c>
    </row>
    <row r="526" spans="1:4" ht="77.5">
      <c r="A526" s="80" t="s">
        <v>1009</v>
      </c>
      <c r="B526" s="83" t="s">
        <v>4360</v>
      </c>
      <c r="C526" s="83" t="str">
        <f>IF(OR(NOT('Start here'!$C$26=RefData!$B$10),NOT(Guarantees!$C$156=RefData!$B$131),'Covenant summary information'!$C$83&lt;5, ISNUMBER(SEARCH(RefData!$B$2,$C$237))),"
"&amp;RefData!$B$2&amp;"
"&amp; B526,B526)</f>
        <v xml:space="preserve">
No answer required
Date of maturity
</v>
      </c>
      <c r="D526" s="80" t="s">
        <v>1010</v>
      </c>
    </row>
    <row r="527" spans="1:4" ht="77.5">
      <c r="A527" s="80" t="s">
        <v>1011</v>
      </c>
      <c r="B527" s="83" t="s">
        <v>4361</v>
      </c>
      <c r="C527" s="83" t="str">
        <f>IF(OR(NOT('Start here'!$C$26=RefData!$B$10),NOT(Guarantees!$C$156=RefData!$B$132),'Covenant summary information'!$C$83&lt;5, ISNUMBER(SEARCH(RefData!$B$2,$C$237))),"
"&amp;RefData!$B$2&amp;"
"&amp; B527,B527)</f>
        <v xml:space="preserve">
No answer required
Maturity date narrative
</v>
      </c>
      <c r="D527" s="80" t="s">
        <v>1012</v>
      </c>
    </row>
    <row r="528" spans="1:4" ht="77.5">
      <c r="A528" s="80" t="s">
        <v>1013</v>
      </c>
      <c r="B528" s="83" t="s">
        <v>4362</v>
      </c>
      <c r="C528" s="83" t="str">
        <f>IF(OR('Covenant summary information'!$C$83&lt;5, ISNUMBER(SEARCH(RefData!$B$2,$C$237))),"
"&amp;RefData!$B$2&amp;"
"&amp; B528,B528)</f>
        <v xml:space="preserve">
No answer required
Value ascribed (£)
</v>
      </c>
      <c r="D528" s="80" t="s">
        <v>1014</v>
      </c>
    </row>
    <row r="529" spans="1:4" ht="77.5">
      <c r="A529" s="80" t="s">
        <v>1015</v>
      </c>
      <c r="B529" s="83" t="s">
        <v>4363</v>
      </c>
      <c r="C529" s="83" t="str">
        <f>IF(OR('Covenant summary information'!$C$83&lt;5, ISNUMBER(SEARCH(RefData!$B$2,$C$237))),"
"&amp;RefData!$B$2&amp;"
"&amp; B529,B529)</f>
        <v xml:space="preserve">
No answer required
Date of valuation
</v>
      </c>
      <c r="D529" s="80" t="s">
        <v>1016</v>
      </c>
    </row>
    <row r="530" spans="1:4" ht="77.5">
      <c r="A530" s="80" t="s">
        <v>1017</v>
      </c>
      <c r="B530" s="83" t="s">
        <v>4364</v>
      </c>
      <c r="C530" s="83" t="str">
        <f>IF(OR('Start here'!$C$26=RefData!$B$9, AND('Start here'!$C$26=RefData!$B$10, 'Covenant summary information'!$C$83&lt;5), ISNUMBER(SEARCH(RefData!$B$2,$C$237))),"
"&amp;RefData!$B$2&amp;"
"&amp; B530,B530)</f>
        <v xml:space="preserve">
No answer required
Value cap
</v>
      </c>
      <c r="D530" s="80" t="s">
        <v>1018</v>
      </c>
    </row>
    <row r="531" spans="1:4" ht="77.5">
      <c r="A531" s="80" t="s">
        <v>1019</v>
      </c>
      <c r="B531" s="83" t="s">
        <v>4365</v>
      </c>
      <c r="C531" s="83" t="str">
        <f>IF(OR(NOT('Start here'!$C$26=RefData!$B$10),NOT(Guarantees!$C$161=RefData!$B$139),'Covenant summary information'!$C$83&lt;5, ISNUMBER(SEARCH(RefData!$B$2,$C$237))),"
"&amp;RefData!$B$2&amp;"
"&amp; B531,B531)</f>
        <v xml:space="preserve">
No answer required
Narrative regarding value cap
</v>
      </c>
      <c r="D531" s="80" t="s">
        <v>1020</v>
      </c>
    </row>
    <row r="532" spans="1:4" ht="47.15" customHeight="1">
      <c r="A532" s="80" t="s">
        <v>1021</v>
      </c>
      <c r="B532" s="83" t="s">
        <v>4366</v>
      </c>
      <c r="C532" s="83" t="str">
        <f>IF(OR(NOT('Start here'!$C$26=RefData!$B$10),NOT(Guarantees!$C$161=RefData!$B$138),'Covenant summary information'!$C$83&lt;5, ISNUMBER(SEARCH(RefData!$B$2,$C$237))),"
"&amp;RefData!$B$2&amp;"
"&amp; B532,B532)</f>
        <v xml:space="preserve">
No answer required
Fixed cap amount (£)
</v>
      </c>
      <c r="D532" s="80" t="s">
        <v>1022</v>
      </c>
    </row>
    <row r="533" spans="1:4" ht="46.5">
      <c r="A533" s="80" t="s">
        <v>1024</v>
      </c>
      <c r="B533" s="83" t="s">
        <v>4367</v>
      </c>
      <c r="C533" s="83" t="str">
        <f>IF(OR('Start here'!$C$26=RefData!$B$9,
(AND('Start here'!$C$26=RefData!$B$10,'Covenant summary information'!$C$83=0)),
(AND('Start here'!$C$26=RefData!$B$10,'Covenant summary information'!$C$83&lt;5))
),"
"&amp;RefData!$B$2&amp;"
"&amp; B533,B533)</f>
        <v xml:space="preserve">
Participating employer insolvency
</v>
      </c>
      <c r="D533" s="80" t="s">
        <v>1025</v>
      </c>
    </row>
    <row r="534" spans="1:4" ht="46.5">
      <c r="A534" s="80" t="s">
        <v>1026</v>
      </c>
      <c r="B534" s="83" t="s">
        <v>4368</v>
      </c>
      <c r="C534" s="83" t="str">
        <f>IF(OR('Start here'!$C$26=RefData!$B$9,
(AND('Start here'!$C$26=RefData!$B$10,'Covenant summary information'!$C$83=0)),
(AND('Start here'!$C$26=RefData!$B$10,'Covenant summary information'!$C$83&lt;5))
),"
"&amp;RefData!$B$2&amp;"
"&amp; B534,B534)</f>
        <v xml:space="preserve">
Insolvency of associated company
</v>
      </c>
      <c r="D534" s="80" t="s">
        <v>1027</v>
      </c>
    </row>
    <row r="535" spans="1:4" ht="46.5">
      <c r="A535" s="80" t="s">
        <v>1028</v>
      </c>
      <c r="B535" s="83" t="s">
        <v>4369</v>
      </c>
      <c r="C535" s="83" t="str">
        <f>IF(OR('Start here'!$C$26=RefData!$B$9,
(AND('Start here'!$C$26=RefData!$B$10,'Covenant summary information'!$C$83=0)),
(AND('Start here'!$C$26=RefData!$B$10,'Covenant summary information'!$C$83&lt;5))
),"
"&amp;RefData!$B$2&amp;"
"&amp; B535,B535)</f>
        <v xml:space="preserve">
Non payment of contributions
</v>
      </c>
      <c r="D535" s="80" t="s">
        <v>1029</v>
      </c>
    </row>
    <row r="536" spans="1:4" ht="46.5">
      <c r="A536" s="80" t="s">
        <v>1030</v>
      </c>
      <c r="B536" s="83" t="s">
        <v>4370</v>
      </c>
      <c r="C536" s="83" t="str">
        <f>IF(OR('Start here'!$C$26=RefData!$B$9,
(AND('Start here'!$C$26=RefData!$B$10,'Covenant summary information'!$C$83=0)),
(AND('Start here'!$C$26=RefData!$B$10,'Covenant summary information'!$C$83&lt;5))
),"
"&amp;RefData!$B$2&amp;"
"&amp; B536,B536)</f>
        <v xml:space="preserve">
Crystallisation of investment risk
</v>
      </c>
      <c r="D536" s="80" t="s">
        <v>1031</v>
      </c>
    </row>
    <row r="537" spans="1:4" ht="46.5">
      <c r="A537" s="80" t="s">
        <v>1032</v>
      </c>
      <c r="B537" s="83" t="s">
        <v>4371</v>
      </c>
      <c r="C537" s="83" t="str">
        <f>IF(OR('Start here'!$C$26=RefData!$B$9,
(AND('Start here'!$C$26=RefData!$B$10,'Covenant summary information'!$C$83=0)),
(AND('Start here'!$C$26=RefData!$B$10,'Covenant summary information'!$C$83&lt;5))
),"
"&amp;RefData!$B$2&amp;"
"&amp; B537,B537)</f>
        <v xml:space="preserve">
Other
</v>
      </c>
      <c r="D537" s="80" t="s">
        <v>1033</v>
      </c>
    </row>
    <row r="538" spans="1:4" ht="46.5">
      <c r="A538" s="80" t="s">
        <v>1034</v>
      </c>
      <c r="B538" s="83" t="s">
        <v>4372</v>
      </c>
      <c r="C538" s="83" t="str">
        <f>IF(OR('Start here'!$C$26=RefData!$B$9,
(AND('Start here'!$C$26=RefData!$B$10,'Covenant summary information'!$C$83=0)),
(AND('Start here'!$C$26=RefData!$B$10,'Covenant summary information'!$C$83&lt;5)),
(AND('Start here'!$C$26=RefData!$B$10,'Covenant summary information'!$C$83&gt;=5,Guarantees!$C171&lt;&gt;RefData!$B$140))
),"
"&amp;RefData!$B$2&amp;"
"&amp; B538,B538)</f>
        <v xml:space="preserve">
Describe the other triggers for access to value
</v>
      </c>
      <c r="D538" s="80" t="s">
        <v>1035</v>
      </c>
    </row>
    <row r="539" spans="1:4" ht="46.5">
      <c r="A539" s="80" t="s">
        <v>1036</v>
      </c>
      <c r="B539" s="83" t="s">
        <v>4373</v>
      </c>
      <c r="C539" s="83" t="str">
        <f>IF(OR('Start here'!$C$26=RefData!$B$9,
(AND('Start here'!$C$26=RefData!$B$10,'Covenant summary information'!$C$83=0)),
(AND('Start here'!$C$26=RefData!$B$10,'Covenant summary information'!$C$83&lt;5))
),"
"&amp;RefData!$B$2&amp;"
"&amp; B539,B539)</f>
        <v xml:space="preserve">
Triggers for termination
</v>
      </c>
      <c r="D539" s="80" t="s">
        <v>1037</v>
      </c>
    </row>
    <row r="540" spans="1:4" ht="77.5">
      <c r="A540" s="388" t="s">
        <v>1219</v>
      </c>
      <c r="B540" s="83" t="s">
        <v>4447</v>
      </c>
      <c r="C540" s="83" t="str">
        <f>IF(OR('Covenant summary information'!$C$85&lt;1, ISNUMBER(SEARCH(RefData!$B$2,$C$239))),"
"&amp;RefData!$B$2&amp;"
"&amp; B540,B540)</f>
        <v xml:space="preserve">
No answer required
What is the type of contingent asset?
</v>
      </c>
      <c r="D540" s="83" t="s">
        <v>1220</v>
      </c>
    </row>
    <row r="541" spans="1:4" ht="77.5">
      <c r="A541" s="388" t="s">
        <v>1221</v>
      </c>
      <c r="B541" s="83" t="s">
        <v>4448</v>
      </c>
      <c r="C541" s="83" t="str">
        <f>IF(OR('Covenant summary information'!$C$85&lt;1, ISNUMBER(MATCH('Other contingent assets'!$C$7, RefData!$B$161:$B$163, 0)), ISNUMBER(SEARCH(RefData!$B$2,$C$239))),"
"&amp;RefData!$B$2&amp;"
"&amp; B541,B541)</f>
        <v xml:space="preserve">
No answer required
Provide specific details of the contingent asset
</v>
      </c>
      <c r="D541" s="83" t="s">
        <v>1222</v>
      </c>
    </row>
    <row r="542" spans="1:4" ht="77.5">
      <c r="A542" s="388" t="s">
        <v>1223</v>
      </c>
      <c r="B542" s="83" t="s">
        <v>4449</v>
      </c>
      <c r="C542" s="83" t="str">
        <f>IF(OR('Start here'!$C$26=RefData!$B$9,'Covenant summary information'!$C$85&lt;1, ISNUMBER(SEARCH(RefData!$B$2,$C$239))),"
"&amp;RefData!$B$2&amp;"
"&amp; B542,B542)</f>
        <v xml:space="preserve">
No answer required
Maturity type
</v>
      </c>
      <c r="D542" s="83" t="s">
        <v>1224</v>
      </c>
    </row>
    <row r="543" spans="1:4" ht="77.5">
      <c r="A543" s="388" t="s">
        <v>1226</v>
      </c>
      <c r="B543" s="83" t="s">
        <v>4450</v>
      </c>
      <c r="C543" s="83" t="str">
        <f>IF(OR('Start here'!$C$26=RefData!$B$9,'Covenant summary information'!$C$85&lt;1,NOT('Other contingent assets'!$C$9=RefData!$B$167), ISNUMBER(SEARCH(RefData!$B$2,$C$239))),"
"&amp;RefData!$B$2&amp;"
"&amp; B543,B543)</f>
        <v xml:space="preserve">
No answer required
Date of Maturity
</v>
      </c>
      <c r="D543" s="83" t="s">
        <v>1227</v>
      </c>
    </row>
    <row r="544" spans="1:4" ht="77.5">
      <c r="A544" s="388" t="s">
        <v>1228</v>
      </c>
      <c r="B544" s="83" t="s">
        <v>4361</v>
      </c>
      <c r="C544" s="83" t="str">
        <f>IF(OR('Covenant summary information'!$C$85&lt;1,NOT('Other contingent assets'!$C$9=RefData!$B$168), ISNUMBER(SEARCH(RefData!$B$2,$C$239))),"
"&amp;RefData!$B$2&amp;"
"&amp; B544,B544)</f>
        <v xml:space="preserve">
No answer required
Maturity date narrative
</v>
      </c>
      <c r="D544" s="83" t="s">
        <v>1229</v>
      </c>
    </row>
    <row r="545" spans="1:4" ht="77.5">
      <c r="A545" s="388" t="s">
        <v>1230</v>
      </c>
      <c r="B545" s="83" t="s">
        <v>4362</v>
      </c>
      <c r="C545" s="83" t="str">
        <f>IF(OR('Covenant summary information'!$C$85&lt;1, ISNUMBER(SEARCH(RefData!$B$2,$C$239))),"
"&amp;RefData!$B$2&amp;"
"&amp; B545,B545)</f>
        <v xml:space="preserve">
No answer required
Value ascribed (£)
</v>
      </c>
      <c r="D545" s="83" t="s">
        <v>1231</v>
      </c>
    </row>
    <row r="546" spans="1:4" ht="77.5">
      <c r="A546" s="388" t="s">
        <v>1232</v>
      </c>
      <c r="B546" s="83" t="s">
        <v>4363</v>
      </c>
      <c r="C546" s="83" t="str">
        <f>IF(OR('Covenant summary information'!$C$85&lt;1, ISNUMBER(SEARCH(RefData!$B$2,$C$239))),"
"&amp;RefData!$B$2&amp;"
"&amp; B546,B546)</f>
        <v xml:space="preserve">
No answer required
Date of valuation
</v>
      </c>
      <c r="D546" s="83" t="s">
        <v>1233</v>
      </c>
    </row>
    <row r="547" spans="1:4" ht="77.5">
      <c r="A547" s="388" t="s">
        <v>1234</v>
      </c>
      <c r="B547" s="83" t="s">
        <v>4364</v>
      </c>
      <c r="C547" s="83" t="str">
        <f>IF(OR('Start here'!$C$26=RefData!$B$9, AND('Start here'!$C$26=RefData!$B$10, 'Covenant summary information'!$C$85&lt;1), ISNUMBER(SEARCH(RefData!$B$2,$C$239))),"
"&amp;RefData!$B$2&amp;"
"&amp; B547,B547)</f>
        <v xml:space="preserve">
No answer required
Value cap
</v>
      </c>
      <c r="D547" s="83" t="s">
        <v>1235</v>
      </c>
    </row>
    <row r="548" spans="1:4" ht="77.5">
      <c r="A548" t="s">
        <v>1236</v>
      </c>
      <c r="B548" s="83" t="s">
        <v>4365</v>
      </c>
      <c r="C548" s="83" t="str">
        <f>IF(OR('Covenant summary information'!$C$85&lt;1,NOT('Other contingent assets'!$C$14=RefData!$B$175), ISNUMBER(SEARCH(RefData!$B$2,$C$239))),"
"&amp;RefData!$B$2&amp;"
"&amp; B548,B548)</f>
        <v xml:space="preserve">
No answer required
Narrative regarding value cap
</v>
      </c>
      <c r="D548" s="83" t="s">
        <v>1237</v>
      </c>
    </row>
    <row r="549" spans="1:4" ht="77.5">
      <c r="A549" t="s">
        <v>1238</v>
      </c>
      <c r="B549" s="83" t="s">
        <v>4366</v>
      </c>
      <c r="C549" s="83" t="str">
        <f>IF(OR('Covenant summary information'!$C$85&lt;1,NOT(OR('Other contingent assets'!$C$14=RefData!$B$174)), ISNUMBER(SEARCH(RefData!$B$2,$C$239))),"
"&amp;RefData!$B$2&amp;"
"&amp; B549,B549)</f>
        <v xml:space="preserve">
No answer required
Fixed cap amount (£)
</v>
      </c>
      <c r="D549" s="83" t="s">
        <v>1239</v>
      </c>
    </row>
    <row r="550" spans="1:4" ht="77.5">
      <c r="A550" t="s">
        <v>1240</v>
      </c>
      <c r="B550" s="83" t="s">
        <v>4367</v>
      </c>
      <c r="C550" s="83" t="str">
        <f>IF(OR('Start here'!$C$26=RefData!$B$9,
(AND('Start here'!$C$26=RefData!$B$10,'Covenant summary information'!$C$85=0)),
(AND('Start here'!$C$26=RefData!$B$10,'Covenant summary information'!$C$85&lt;1)), ISNUMBER(SEARCH(RefData!$B$2,$C$239))
),"
"&amp;RefData!$B$2&amp;"
"&amp; B550,B550)</f>
        <v xml:space="preserve">
No answer required
Participating employer insolvency
</v>
      </c>
      <c r="D550" s="83" t="s">
        <v>1241</v>
      </c>
    </row>
    <row r="551" spans="1:4" ht="77.5">
      <c r="A551" t="s">
        <v>1242</v>
      </c>
      <c r="B551" s="83" t="s">
        <v>4368</v>
      </c>
      <c r="C551" s="83" t="str">
        <f>IF(OR('Start here'!$C$26=RefData!$B$9,
(AND('Start here'!$C$26=RefData!$B$10,'Covenant summary information'!$C$85=0)),
(AND('Start here'!$C$26=RefData!$B$10,'Covenant summary information'!$C$85&lt;1)), ISNUMBER(SEARCH(RefData!$B$2,$C$239))
),"
"&amp;RefData!$B$2&amp;"
"&amp; B551,B551)</f>
        <v xml:space="preserve">
No answer required
Insolvency of associated company
</v>
      </c>
      <c r="D551" s="83" t="s">
        <v>1243</v>
      </c>
    </row>
    <row r="552" spans="1:4" ht="77.5">
      <c r="A552" t="s">
        <v>1244</v>
      </c>
      <c r="B552" s="83" t="s">
        <v>4369</v>
      </c>
      <c r="C552" s="83" t="str">
        <f>IF(OR('Start here'!$C$26=RefData!$B$9,
(AND('Start here'!$C$26=RefData!$B$10,'Covenant summary information'!$C$85=0)),
(AND('Start here'!$C$26=RefData!$B$10,'Covenant summary information'!$C$85&lt;1)), ISNUMBER(SEARCH(RefData!$B$2,$C$239))
),"
"&amp;RefData!$B$2&amp;"
"&amp; B552,B552)</f>
        <v xml:space="preserve">
No answer required
Non payment of contributions
</v>
      </c>
      <c r="D552" s="83" t="s">
        <v>1245</v>
      </c>
    </row>
    <row r="553" spans="1:4" ht="77.5">
      <c r="A553" t="s">
        <v>1246</v>
      </c>
      <c r="B553" s="83" t="s">
        <v>4370</v>
      </c>
      <c r="C553" s="83" t="str">
        <f>IF(OR('Start here'!$C$26=RefData!$B$9,
(AND('Start here'!$C$26=RefData!$B$10,'Covenant summary information'!$C$85=0)),
(AND('Start here'!$C$26=RefData!$B$10,'Covenant summary information'!$C$85&lt;1)), ISNUMBER(SEARCH(RefData!$B$2,$C$239))
),"
"&amp;RefData!$B$2&amp;"
"&amp; B553,B553)</f>
        <v xml:space="preserve">
No answer required
Crystallisation of investment risk
</v>
      </c>
      <c r="D553" s="83" t="s">
        <v>1247</v>
      </c>
    </row>
    <row r="554" spans="1:4" ht="77.5">
      <c r="A554" t="s">
        <v>1248</v>
      </c>
      <c r="B554" s="83" t="s">
        <v>4371</v>
      </c>
      <c r="C554" s="83" t="str">
        <f>IF(OR('Start here'!$C$26=RefData!$B$9,
(AND('Start here'!$C$26=RefData!$B$10,'Covenant summary information'!$C$85=0)),
(AND('Start here'!$C$26=RefData!$B$10,'Covenant summary information'!$C$85&lt;1)), ISNUMBER(SEARCH(RefData!$B$2,$C$239))
),"
"&amp;RefData!$B$2&amp;"
"&amp; B554,B554)</f>
        <v xml:space="preserve">
No answer required
Other
</v>
      </c>
      <c r="D554" s="83" t="s">
        <v>1249</v>
      </c>
    </row>
    <row r="555" spans="1:4" ht="77.5">
      <c r="A555" t="s">
        <v>1250</v>
      </c>
      <c r="B555" s="83" t="s">
        <v>4451</v>
      </c>
      <c r="C555" s="83" t="str">
        <f>IF(OR('Start here'!$C$26=RefData!$B$9,
(AND('Start here'!$C$26=RefData!$B$10,'Covenant summary information'!$C$85=0)),
(AND('Start here'!$C$26=RefData!$B$10,'Covenant summary information'!$C$85&lt;1)),
(AND('Start here'!$C$26=RefData!$B$10,'Covenant summary information'!$C$85&gt;=1,'Other contingent assets'!$C$24&lt;&gt;RefData!$B$204)), ISNUMBER(SEARCH(RefData!$B$2,$C$239))
),"
"&amp;RefData!$B$2&amp;"
"&amp; B555,B555)</f>
        <v xml:space="preserve">
No answer required
Narrative regarding triggers for access to value
</v>
      </c>
      <c r="D555" s="83" t="s">
        <v>1251</v>
      </c>
    </row>
    <row r="556" spans="1:4" ht="77.5">
      <c r="A556" t="s">
        <v>1252</v>
      </c>
      <c r="B556" s="83" t="s">
        <v>4373</v>
      </c>
      <c r="C556" s="83" t="str">
        <f>IF(OR('Start here'!$C$26=RefData!$B$9,
(AND('Start here'!$C$26=RefData!$B$10,'Covenant summary information'!$C$85=0)),
(AND('Start here'!$C$26=RefData!$B$10,'Covenant summary information'!$C$85&lt;1)), ISNUMBER(SEARCH(RefData!$B$2,$C$239))
),"
"&amp;RefData!$B$2&amp;"
"&amp; B556,B556)</f>
        <v xml:space="preserve">
No answer required
Triggers for termination
</v>
      </c>
      <c r="D556" s="83" t="s">
        <v>1253</v>
      </c>
    </row>
    <row r="557" spans="1:4" ht="77.5">
      <c r="A557" s="388" t="s">
        <v>1255</v>
      </c>
      <c r="B557" s="83" t="s">
        <v>4447</v>
      </c>
      <c r="C557" s="83" t="str">
        <f>IF(OR('Covenant summary information'!$C$85&lt;2, ISNUMBER(SEARCH(RefData!$B$2,$C$239))),"
"&amp;RefData!$B$2&amp;"
"&amp; B557,B557)</f>
        <v xml:space="preserve">
No answer required
What is the type of contingent asset?
</v>
      </c>
      <c r="D557" s="83" t="s">
        <v>1256</v>
      </c>
    </row>
    <row r="558" spans="1:4" ht="77.5">
      <c r="A558" s="388" t="s">
        <v>1258</v>
      </c>
      <c r="B558" s="83" t="s">
        <v>4448</v>
      </c>
      <c r="C558" s="83" t="str">
        <f>IF(OR('Covenant summary information'!$C$85&lt;2, ISNUMBER(MATCH('Other contingent assets'!$C$30, RefData!$B$161:$B$163, 0)), ISNUMBER(SEARCH(RefData!$B$2,$C$239))),"
"&amp;RefData!$B$2&amp;"
"&amp; B558,B558)</f>
        <v xml:space="preserve">
No answer required
Provide specific details of the contingent asset
</v>
      </c>
      <c r="D558" s="83" t="s">
        <v>1259</v>
      </c>
    </row>
    <row r="559" spans="1:4" ht="77.5">
      <c r="A559" s="388" t="s">
        <v>1260</v>
      </c>
      <c r="B559" s="83" t="s">
        <v>4449</v>
      </c>
      <c r="C559" s="83" t="str">
        <f>IF(OR('Start here'!$C$26=RefData!$B$9,'Covenant summary information'!$C$85&lt;2, ISNUMBER(SEARCH(RefData!$B$2,$C$239))),"
"&amp;RefData!$B$2&amp;"
"&amp; B559,B559)</f>
        <v xml:space="preserve">
No answer required
Maturity type
</v>
      </c>
      <c r="D559" s="83" t="s">
        <v>1261</v>
      </c>
    </row>
    <row r="560" spans="1:4" ht="77.5">
      <c r="A560" s="388" t="s">
        <v>1262</v>
      </c>
      <c r="B560" s="83" t="s">
        <v>4450</v>
      </c>
      <c r="C560" s="83" t="str">
        <f>IF(OR('Start here'!$C$26=RefData!$B$9,'Covenant summary information'!$C$85&lt;2,NOT('Other contingent assets'!$C$32=RefData!$B$167), ISNUMBER(SEARCH(RefData!$B$2,$C$239))),"
"&amp;RefData!$B$2&amp;"
"&amp; B560,B560)</f>
        <v xml:space="preserve">
No answer required
Date of Maturity
</v>
      </c>
      <c r="D560" s="83" t="s">
        <v>1263</v>
      </c>
    </row>
    <row r="561" spans="1:4" ht="77.5">
      <c r="A561" s="388" t="s">
        <v>1264</v>
      </c>
      <c r="B561" s="83" t="s">
        <v>4361</v>
      </c>
      <c r="C561" s="83" t="str">
        <f>IF(OR('Covenant summary information'!$C$85&lt;2,NOT('Other contingent assets'!$C$32=RefData!$B$168), ISNUMBER(SEARCH(RefData!$B$2,$C$239))),"
"&amp;RefData!$B$2&amp;"
"&amp; B561,B561)</f>
        <v xml:space="preserve">
No answer required
Maturity date narrative
</v>
      </c>
      <c r="D561" s="83" t="s">
        <v>1265</v>
      </c>
    </row>
    <row r="562" spans="1:4" ht="77.5">
      <c r="A562" s="388" t="s">
        <v>1266</v>
      </c>
      <c r="B562" s="83" t="s">
        <v>4362</v>
      </c>
      <c r="C562" s="83" t="str">
        <f>IF(OR('Covenant summary information'!$C$85&lt;2, ISNUMBER(SEARCH(RefData!$B$2,$C$239))),"
"&amp;RefData!$B$2&amp;"
"&amp; B562,B562)</f>
        <v xml:space="preserve">
No answer required
Value ascribed (£)
</v>
      </c>
      <c r="D562" s="83" t="s">
        <v>1267</v>
      </c>
    </row>
    <row r="563" spans="1:4" ht="77.5">
      <c r="A563" s="388" t="s">
        <v>1268</v>
      </c>
      <c r="B563" s="83" t="s">
        <v>4363</v>
      </c>
      <c r="C563" s="83" t="str">
        <f>IF(OR('Covenant summary information'!$C$85&lt;2, ISNUMBER(SEARCH(RefData!$B$2,$C$239))),"
"&amp;RefData!$B$2&amp;"
"&amp; B563,B563)</f>
        <v xml:space="preserve">
No answer required
Date of valuation
</v>
      </c>
      <c r="D563" s="83" t="s">
        <v>1269</v>
      </c>
    </row>
    <row r="564" spans="1:4" ht="77.5">
      <c r="A564" s="388" t="s">
        <v>1270</v>
      </c>
      <c r="B564" s="83" t="s">
        <v>4364</v>
      </c>
      <c r="C564" s="83" t="str">
        <f>IF(OR('Start here'!$C$26=RefData!$B$9, AND('Start here'!$C$26=RefData!$B$10, 'Covenant summary information'!$C$85&lt;2), ISNUMBER(SEARCH(RefData!$B$2,$C$239))),"
"&amp;RefData!$B$2&amp;"
"&amp; B564,B564)</f>
        <v xml:space="preserve">
No answer required
Value cap
</v>
      </c>
      <c r="D564" s="83" t="s">
        <v>1271</v>
      </c>
    </row>
    <row r="565" spans="1:4" ht="77.5">
      <c r="A565" t="s">
        <v>1272</v>
      </c>
      <c r="B565" s="83" t="s">
        <v>4365</v>
      </c>
      <c r="C565" s="83" t="str">
        <f>IF(OR('Covenant summary information'!$C$85&lt;2,NOT('Other contingent assets'!$C$37=RefData!$B$175), ISNUMBER(SEARCH(RefData!$B$2,$C$239))),"
"&amp;RefData!$B$2&amp;"
"&amp; B565,B565)</f>
        <v xml:space="preserve">
No answer required
Narrative regarding value cap
</v>
      </c>
      <c r="D565" s="83" t="s">
        <v>1273</v>
      </c>
    </row>
    <row r="566" spans="1:4" ht="77.5">
      <c r="A566" t="s">
        <v>1274</v>
      </c>
      <c r="B566" s="83" t="s">
        <v>4366</v>
      </c>
      <c r="C566" s="83" t="str">
        <f>IF(OR('Covenant summary information'!$C$85&lt;2,NOT(OR('Other contingent assets'!$C$37=RefData!$B$174)), ISNUMBER(SEARCH(RefData!$B$2,$C$239))),"
"&amp;RefData!$B$2&amp;"
"&amp; B566,B566)</f>
        <v xml:space="preserve">
No answer required
Fixed cap amount (£)
</v>
      </c>
      <c r="D566" s="83" t="s">
        <v>1275</v>
      </c>
    </row>
    <row r="567" spans="1:4" ht="77.5">
      <c r="A567" t="s">
        <v>1276</v>
      </c>
      <c r="B567" s="83" t="s">
        <v>4367</v>
      </c>
      <c r="C567" s="83" t="str">
        <f>IF(OR('Start here'!$C$26=RefData!$B$9,
(AND('Start here'!$C$26=RefData!$B$10,'Covenant summary information'!$C$85=0)),
(AND('Start here'!$C$26=RefData!$B$10,'Covenant summary information'!$C$85&lt;2)), ISNUMBER(SEARCH(RefData!$B$2,$C$239))
),"
"&amp;RefData!$B$2&amp;"
"&amp; B567,B567)</f>
        <v xml:space="preserve">
No answer required
Participating employer insolvency
</v>
      </c>
      <c r="D567" s="83" t="s">
        <v>1277</v>
      </c>
    </row>
    <row r="568" spans="1:4" ht="77.5">
      <c r="A568" t="s">
        <v>1278</v>
      </c>
      <c r="B568" s="83" t="s">
        <v>4368</v>
      </c>
      <c r="C568" s="83" t="str">
        <f>IF(OR('Start here'!$C$26=RefData!$B$9,
(AND('Start here'!$C$26=RefData!$B$10,'Covenant summary information'!$C$85=0)),
(AND('Start here'!$C$26=RefData!$B$10,'Covenant summary information'!$C$85&lt;2)), ISNUMBER(SEARCH(RefData!$B$2,$C$239))
),"
"&amp;RefData!$B$2&amp;"
"&amp; B568,B568)</f>
        <v xml:space="preserve">
No answer required
Insolvency of associated company
</v>
      </c>
      <c r="D568" s="83" t="s">
        <v>1279</v>
      </c>
    </row>
    <row r="569" spans="1:4" ht="77.5">
      <c r="A569" t="s">
        <v>1280</v>
      </c>
      <c r="B569" s="83" t="s">
        <v>4369</v>
      </c>
      <c r="C569" s="83" t="str">
        <f>IF(OR('Start here'!$C$26=RefData!$B$9,
(AND('Start here'!$C$26=RefData!$B$10,'Covenant summary information'!$C$85=0)),
(AND('Start here'!$C$26=RefData!$B$10,'Covenant summary information'!$C$85&lt;2)), ISNUMBER(SEARCH(RefData!$B$2,$C$239))
),"
"&amp;RefData!$B$2&amp;"
"&amp; B569,B569)</f>
        <v xml:space="preserve">
No answer required
Non payment of contributions
</v>
      </c>
      <c r="D569" s="83" t="s">
        <v>1281</v>
      </c>
    </row>
    <row r="570" spans="1:4" ht="77.5">
      <c r="A570" t="s">
        <v>1282</v>
      </c>
      <c r="B570" s="83" t="s">
        <v>4370</v>
      </c>
      <c r="C570" s="83" t="str">
        <f>IF(OR('Start here'!$C$26=RefData!$B$9,
(AND('Start here'!$C$26=RefData!$B$10,'Covenant summary information'!$C$85=0)),
(AND('Start here'!$C$26=RefData!$B$10,'Covenant summary information'!$C$85&lt;2)), ISNUMBER(SEARCH(RefData!$B$2,$C$239))
),"
"&amp;RefData!$B$2&amp;"
"&amp; B570,B570)</f>
        <v xml:space="preserve">
No answer required
Crystallisation of investment risk
</v>
      </c>
      <c r="D570" s="83" t="s">
        <v>1283</v>
      </c>
    </row>
    <row r="571" spans="1:4" ht="77.5">
      <c r="A571" t="s">
        <v>1284</v>
      </c>
      <c r="B571" s="83" t="s">
        <v>4371</v>
      </c>
      <c r="C571" s="83" t="str">
        <f>IF(OR('Start here'!$C$26=RefData!$B$9,
(AND('Start here'!$C$26=RefData!$B$10,'Covenant summary information'!$C$85=0)),
(AND('Start here'!$C$26=RefData!$B$10,'Covenant summary information'!$C$85&lt;2)), ISNUMBER(SEARCH(RefData!$B$2,$C$239))
),"
"&amp;RefData!$B$2&amp;"
"&amp; B571,B571)</f>
        <v xml:space="preserve">
No answer required
Other
</v>
      </c>
      <c r="D571" s="83" t="s">
        <v>1285</v>
      </c>
    </row>
    <row r="572" spans="1:4" ht="77.5">
      <c r="A572" t="s">
        <v>1286</v>
      </c>
      <c r="B572" s="83" t="s">
        <v>4451</v>
      </c>
      <c r="C572" s="83" t="str">
        <f>IF(OR('Start here'!$C$26=RefData!$B$9,
(AND('Start here'!$C$26=RefData!$B$10,'Covenant summary information'!$C$85=0)),
(AND('Start here'!$C$26=RefData!$B$10,'Covenant summary information'!$C$85&lt;2)),
(AND('Start here'!$C$26=RefData!$B$10,'Covenant summary information'!$C$85&gt;=2,'Other contingent assets'!$C$47&lt;&gt;RefData!$B$204)), ISNUMBER(SEARCH(RefData!$B$2,$C$239))
),"
"&amp;RefData!$B$2&amp;"
"&amp; B572,B572)</f>
        <v xml:space="preserve">
No answer required
Narrative regarding triggers for access to value
</v>
      </c>
      <c r="D572" s="83" t="s">
        <v>1287</v>
      </c>
    </row>
    <row r="573" spans="1:4" ht="77.5">
      <c r="A573" t="s">
        <v>1288</v>
      </c>
      <c r="B573" s="83" t="s">
        <v>4373</v>
      </c>
      <c r="C573" s="83" t="str">
        <f>IF(OR('Start here'!$C$26=RefData!$B$9,
(AND('Start here'!$C$26=RefData!$B$10,'Covenant summary information'!$C$85=0)),
(AND('Start here'!$C$26=RefData!$B$10,'Covenant summary information'!$C$85&lt;2)), ISNUMBER(SEARCH(RefData!$B$2,$C$239))
),"
"&amp;RefData!$B$2&amp;"
"&amp; B573,B573)</f>
        <v xml:space="preserve">
No answer required
Triggers for termination
</v>
      </c>
      <c r="D573" s="83" t="s">
        <v>1289</v>
      </c>
    </row>
    <row r="574" spans="1:4" ht="77.5">
      <c r="A574" s="388" t="s">
        <v>1291</v>
      </c>
      <c r="B574" s="83" t="s">
        <v>4447</v>
      </c>
      <c r="C574" s="83" t="str">
        <f>IF(OR('Covenant summary information'!$C$85&lt;3, ISNUMBER(SEARCH(RefData!$B$2,$C$239))),"
"&amp;RefData!$B$2&amp;"
"&amp; B574,B574)</f>
        <v xml:space="preserve">
No answer required
What is the type of contingent asset?
</v>
      </c>
      <c r="D574" s="83" t="s">
        <v>1292</v>
      </c>
    </row>
    <row r="575" spans="1:4" ht="77.5">
      <c r="A575" s="388" t="s">
        <v>1294</v>
      </c>
      <c r="B575" s="83" t="s">
        <v>4448</v>
      </c>
      <c r="C575" s="83" t="str">
        <f>IF(OR('Covenant summary information'!$C$85&lt;3, ISNUMBER(MATCH('Other contingent assets'!$C$53, RefData!$B$161:$B$163, 0)), ISNUMBER(SEARCH(RefData!$B$2,$C$239))),"
"&amp;RefData!$B$2&amp;"
"&amp; B575,B575)</f>
        <v xml:space="preserve">
No answer required
Provide specific details of the contingent asset
</v>
      </c>
      <c r="D575" s="83" t="s">
        <v>1295</v>
      </c>
    </row>
    <row r="576" spans="1:4" ht="77.5">
      <c r="A576" s="388" t="s">
        <v>1296</v>
      </c>
      <c r="B576" s="83" t="s">
        <v>4449</v>
      </c>
      <c r="C576" s="83" t="str">
        <f>IF(OR('Start here'!$C$26=RefData!$B$9,'Covenant summary information'!$C$85&lt;3, ISNUMBER(SEARCH(RefData!$B$2,$C$239))),"
"&amp;RefData!$B$2&amp;"
"&amp; B576,B576)</f>
        <v xml:space="preserve">
No answer required
Maturity type
</v>
      </c>
      <c r="D576" s="83" t="s">
        <v>1297</v>
      </c>
    </row>
    <row r="577" spans="1:4" ht="77.5">
      <c r="A577" s="388" t="s">
        <v>1298</v>
      </c>
      <c r="B577" s="83" t="s">
        <v>4450</v>
      </c>
      <c r="C577" s="83" t="str">
        <f>IF(OR('Start here'!$C$26=RefData!$B$9,'Covenant summary information'!$C$85&lt;3,NOT('Other contingent assets'!$C$55=RefData!$B$167), ISNUMBER(SEARCH(RefData!$B$2,$C$239))),"
"&amp;RefData!$B$2&amp;"
"&amp; B577,B577)</f>
        <v xml:space="preserve">
No answer required
Date of Maturity
</v>
      </c>
      <c r="D577" s="83" t="s">
        <v>1299</v>
      </c>
    </row>
    <row r="578" spans="1:4" ht="77.5">
      <c r="A578" s="388" t="s">
        <v>1300</v>
      </c>
      <c r="B578" s="83" t="s">
        <v>4361</v>
      </c>
      <c r="C578" s="83" t="str">
        <f>IF(OR('Covenant summary information'!$C$85&lt;3,NOT('Other contingent assets'!$C$55=RefData!$B$168), ISNUMBER(SEARCH(RefData!$B$2,$C$239))),"
"&amp;RefData!$B$2&amp;"
"&amp; B578,B578)</f>
        <v xml:space="preserve">
No answer required
Maturity date narrative
</v>
      </c>
      <c r="D578" s="83" t="s">
        <v>1301</v>
      </c>
    </row>
    <row r="579" spans="1:4" ht="77.5">
      <c r="A579" s="388" t="s">
        <v>1302</v>
      </c>
      <c r="B579" s="83" t="s">
        <v>4362</v>
      </c>
      <c r="C579" s="83" t="str">
        <f>IF(OR('Covenant summary information'!$C$85&lt;3, ISNUMBER(SEARCH(RefData!$B$2,$C$239))),"
"&amp;RefData!$B$2&amp;"
"&amp; B579,B579)</f>
        <v xml:space="preserve">
No answer required
Value ascribed (£)
</v>
      </c>
      <c r="D579" s="83" t="s">
        <v>1303</v>
      </c>
    </row>
    <row r="580" spans="1:4" ht="77.5">
      <c r="A580" s="388" t="s">
        <v>1304</v>
      </c>
      <c r="B580" s="83" t="s">
        <v>4363</v>
      </c>
      <c r="C580" s="83" t="str">
        <f>IF(OR('Covenant summary information'!$C$85&lt;3, ISNUMBER(SEARCH(RefData!$B$2,$C$239))),"
"&amp;RefData!$B$2&amp;"
"&amp; B580,B580)</f>
        <v xml:space="preserve">
No answer required
Date of valuation
</v>
      </c>
      <c r="D580" s="83" t="s">
        <v>1305</v>
      </c>
    </row>
    <row r="581" spans="1:4" ht="77.5">
      <c r="A581" s="388" t="s">
        <v>1306</v>
      </c>
      <c r="B581" s="83" t="s">
        <v>4364</v>
      </c>
      <c r="C581" s="83" t="str">
        <f>IF(OR('Start here'!$C$26=RefData!$B$9, AND('Start here'!$C$26=RefData!$B$10, 'Covenant summary information'!$C$85&lt;3), ISNUMBER(SEARCH(RefData!$B$2,$C$239))),"
"&amp;RefData!$B$2&amp;"
"&amp; B581,B581)</f>
        <v xml:space="preserve">
No answer required
Value cap
</v>
      </c>
      <c r="D581" s="83" t="s">
        <v>1307</v>
      </c>
    </row>
    <row r="582" spans="1:4" ht="77.5">
      <c r="A582" t="s">
        <v>1308</v>
      </c>
      <c r="B582" s="83" t="s">
        <v>4365</v>
      </c>
      <c r="C582" s="83" t="str">
        <f>IF(OR('Covenant summary information'!$C$85&lt;3,NOT('Other contingent assets'!$C$60=RefData!$B$175), ISNUMBER(SEARCH(RefData!$B$2,$C$239))),"
"&amp;RefData!$B$2&amp;"
"&amp; B582,B582)</f>
        <v xml:space="preserve">
No answer required
Narrative regarding value cap
</v>
      </c>
      <c r="D582" s="83" t="s">
        <v>1309</v>
      </c>
    </row>
    <row r="583" spans="1:4" ht="77.5">
      <c r="A583" t="s">
        <v>1310</v>
      </c>
      <c r="B583" s="83" t="s">
        <v>4366</v>
      </c>
      <c r="C583" s="83" t="str">
        <f>IF(OR('Covenant summary information'!$C$85&lt;3,NOT(OR('Other contingent assets'!$C$60=RefData!$B$174)), ISNUMBER(SEARCH(RefData!$B$2,$C$239))),"
"&amp;RefData!$B$2&amp;"
"&amp; B583,B583)</f>
        <v xml:space="preserve">
No answer required
Fixed cap amount (£)
</v>
      </c>
      <c r="D583" s="83" t="s">
        <v>1311</v>
      </c>
    </row>
    <row r="584" spans="1:4" ht="77.5">
      <c r="A584" t="s">
        <v>1312</v>
      </c>
      <c r="B584" s="83" t="s">
        <v>4367</v>
      </c>
      <c r="C584" s="83" t="str">
        <f>IF(OR('Start here'!$C$26=RefData!$B$9,
(AND('Start here'!$C$26=RefData!$B$10,'Covenant summary information'!$C$85=0)),
(AND('Start here'!$C$26=RefData!$B$10,'Covenant summary information'!$C$85&lt;3)), ISNUMBER(SEARCH(RefData!$B$2,$C$239))
),"
"&amp;RefData!$B$2&amp;"
"&amp; B584,B584)</f>
        <v xml:space="preserve">
No answer required
Participating employer insolvency
</v>
      </c>
      <c r="D584" s="83" t="s">
        <v>1313</v>
      </c>
    </row>
    <row r="585" spans="1:4" ht="77.5">
      <c r="A585" t="s">
        <v>1314</v>
      </c>
      <c r="B585" s="83" t="s">
        <v>4368</v>
      </c>
      <c r="C585" s="83" t="str">
        <f>IF(OR('Start here'!$C$26=RefData!$B$9,
(AND('Start here'!$C$26=RefData!$B$10,'Covenant summary information'!$C$85=0)),
(AND('Start here'!$C$26=RefData!$B$10,'Covenant summary information'!$C$85&lt;3)), ISNUMBER(SEARCH(RefData!$B$2,$C$239))
),"
"&amp;RefData!$B$2&amp;"
"&amp; B585,B585)</f>
        <v xml:space="preserve">
No answer required
Insolvency of associated company
</v>
      </c>
      <c r="D585" s="83" t="s">
        <v>1315</v>
      </c>
    </row>
    <row r="586" spans="1:4" ht="77.5">
      <c r="A586" t="s">
        <v>1316</v>
      </c>
      <c r="B586" s="83" t="s">
        <v>4369</v>
      </c>
      <c r="C586" s="83" t="str">
        <f>IF(OR('Start here'!$C$26=RefData!$B$9,
(AND('Start here'!$C$26=RefData!$B$10,'Covenant summary information'!$C$85=0)),
(AND('Start here'!$C$26=RefData!$B$10,'Covenant summary information'!$C$85&lt;3)), ISNUMBER(SEARCH(RefData!$B$2,$C$239))
),"
"&amp;RefData!$B$2&amp;"
"&amp; B586,B586)</f>
        <v xml:space="preserve">
No answer required
Non payment of contributions
</v>
      </c>
      <c r="D586" s="83" t="s">
        <v>1317</v>
      </c>
    </row>
    <row r="587" spans="1:4" ht="77.5">
      <c r="A587" t="s">
        <v>1318</v>
      </c>
      <c r="B587" s="83" t="s">
        <v>4370</v>
      </c>
      <c r="C587" s="83" t="str">
        <f>IF(OR('Start here'!$C$26=RefData!$B$9,
(AND('Start here'!$C$26=RefData!$B$10,'Covenant summary information'!$C$85=0)),
(AND('Start here'!$C$26=RefData!$B$10,'Covenant summary information'!$C$85&lt;3)), ISNUMBER(SEARCH(RefData!$B$2,$C$239))
),"
"&amp;RefData!$B$2&amp;"
"&amp; B587,B587)</f>
        <v xml:space="preserve">
No answer required
Crystallisation of investment risk
</v>
      </c>
      <c r="D587" s="83" t="s">
        <v>1319</v>
      </c>
    </row>
    <row r="588" spans="1:4" ht="77.5">
      <c r="A588" t="s">
        <v>1320</v>
      </c>
      <c r="B588" s="83" t="s">
        <v>4371</v>
      </c>
      <c r="C588" s="83" t="str">
        <f>IF(OR('Start here'!$C$26=RefData!$B$9,
(AND('Start here'!$C$26=RefData!$B$10,'Covenant summary information'!$C$85=0)),
(AND('Start here'!$C$26=RefData!$B$10,'Covenant summary information'!$C$85&lt;3)), ISNUMBER(SEARCH(RefData!$B$2,$C$239))
),"
"&amp;RefData!$B$2&amp;"
"&amp; B588,B588)</f>
        <v xml:space="preserve">
No answer required
Other
</v>
      </c>
      <c r="D588" s="83" t="s">
        <v>1321</v>
      </c>
    </row>
    <row r="589" spans="1:4" ht="77.5">
      <c r="A589" t="s">
        <v>1322</v>
      </c>
      <c r="B589" s="83" t="s">
        <v>4451</v>
      </c>
      <c r="C589" s="83" t="str">
        <f>IF(OR('Start here'!$C$26=RefData!$B$9,
(AND('Start here'!$C$26=RefData!$B$10,'Covenant summary information'!$C$85=0)),
(AND('Start here'!$C$26=RefData!$B$10,'Covenant summary information'!$C$85&lt;3)),
(AND('Start here'!$C$26=RefData!$B$10,'Covenant summary information'!$C$85&gt;=3,'Other contingent assets'!$C$70&lt;&gt;RefData!$B$204)), ISNUMBER(SEARCH(RefData!$B$2,$C$239))
),"
"&amp;RefData!$B$2&amp;"
"&amp; B589,B589)</f>
        <v xml:space="preserve">
No answer required
Narrative regarding triggers for access to value
</v>
      </c>
      <c r="D589" s="83" t="s">
        <v>1323</v>
      </c>
    </row>
    <row r="590" spans="1:4" ht="77.5">
      <c r="A590" t="s">
        <v>1324</v>
      </c>
      <c r="B590" s="83" t="s">
        <v>4373</v>
      </c>
      <c r="C590" s="83" t="str">
        <f>IF(OR('Start here'!$C$26=RefData!$B$9,
(AND('Start here'!$C$26=RefData!$B$10,'Covenant summary information'!$C$85=0)),
(AND('Start here'!$C$26=RefData!$B$10,'Covenant summary information'!$C$85&lt;3)), ISNUMBER(SEARCH(RefData!$B$2,$C$239))
),"
"&amp;RefData!$B$2&amp;"
"&amp; B590,B590)</f>
        <v xml:space="preserve">
No answer required
Triggers for termination
</v>
      </c>
      <c r="D590" s="83" t="s">
        <v>1325</v>
      </c>
    </row>
    <row r="591" spans="1:4" ht="77.5">
      <c r="A591" s="388" t="s">
        <v>1327</v>
      </c>
      <c r="B591" s="83" t="s">
        <v>4447</v>
      </c>
      <c r="C591" s="83" t="str">
        <f>IF(OR('Covenant summary information'!$C$85&lt;4, ISNUMBER(SEARCH(RefData!$B$2,$C$239))),"
"&amp;RefData!$B$2&amp;"
"&amp; B591,B591)</f>
        <v xml:space="preserve">
No answer required
What is the type of contingent asset?
</v>
      </c>
      <c r="D591" s="83" t="s">
        <v>1328</v>
      </c>
    </row>
    <row r="592" spans="1:4" ht="77.5">
      <c r="A592" s="388" t="s">
        <v>1330</v>
      </c>
      <c r="B592" s="83" t="s">
        <v>4448</v>
      </c>
      <c r="C592" s="83" t="str">
        <f>IF(OR('Covenant summary information'!$C$85&lt;4, ISNUMBER(MATCH('Other contingent assets'!$C$76, RefData!$B$161:$B$163, 0)), ISNUMBER(SEARCH(RefData!$B$2,$C$239))),"
"&amp;RefData!$B$2&amp;"
"&amp; B592,B592)</f>
        <v xml:space="preserve">
No answer required
Provide specific details of the contingent asset
</v>
      </c>
      <c r="D592" s="83" t="s">
        <v>1331</v>
      </c>
    </row>
    <row r="593" spans="1:4" ht="77.5">
      <c r="A593" s="388" t="s">
        <v>1332</v>
      </c>
      <c r="B593" s="83" t="s">
        <v>4449</v>
      </c>
      <c r="C593" s="83" t="str">
        <f>IF(OR('Start here'!$C$26=RefData!$B$9,'Covenant summary information'!$C$85&lt;4, ISNUMBER(SEARCH(RefData!$B$2,$C$239))),"
"&amp;RefData!$B$2&amp;"
"&amp; B593,B593)</f>
        <v xml:space="preserve">
No answer required
Maturity type
</v>
      </c>
      <c r="D593" s="83" t="s">
        <v>1333</v>
      </c>
    </row>
    <row r="594" spans="1:4" ht="77.5">
      <c r="A594" s="388" t="s">
        <v>1334</v>
      </c>
      <c r="B594" s="83" t="s">
        <v>4450</v>
      </c>
      <c r="C594" s="83" t="str">
        <f>IF(OR('Start here'!$C$26=RefData!$B$9,'Covenant summary information'!$C$85&lt;4,NOT('Other contingent assets'!$C$78=RefData!$B$167), ISNUMBER(SEARCH(RefData!$B$2,$C$239))),"
"&amp;RefData!$B$2&amp;"
"&amp; B594,B594)</f>
        <v xml:space="preserve">
No answer required
Date of Maturity
</v>
      </c>
      <c r="D594" s="83" t="s">
        <v>1335</v>
      </c>
    </row>
    <row r="595" spans="1:4" ht="77.5">
      <c r="A595" s="388" t="s">
        <v>1336</v>
      </c>
      <c r="B595" s="83" t="s">
        <v>4361</v>
      </c>
      <c r="C595" s="83" t="str">
        <f>IF(OR('Covenant summary information'!$C$85&lt;4,NOT('Other contingent assets'!$C$78=RefData!$B$168), ISNUMBER(SEARCH(RefData!$B$2,$C$239))),"
"&amp;RefData!$B$2&amp;"
"&amp; B595,B595)</f>
        <v xml:space="preserve">
No answer required
Maturity date narrative
</v>
      </c>
      <c r="D595" s="83" t="s">
        <v>1337</v>
      </c>
    </row>
    <row r="596" spans="1:4" ht="77.5">
      <c r="A596" s="388" t="s">
        <v>1338</v>
      </c>
      <c r="B596" s="83" t="s">
        <v>4362</v>
      </c>
      <c r="C596" s="83" t="str">
        <f>IF(OR('Covenant summary information'!$C$85&lt;4, ISNUMBER(SEARCH(RefData!$B$2,$C$239))),"
"&amp;RefData!$B$2&amp;"
"&amp; B596,B596)</f>
        <v xml:space="preserve">
No answer required
Value ascribed (£)
</v>
      </c>
      <c r="D596" s="83" t="s">
        <v>1339</v>
      </c>
    </row>
    <row r="597" spans="1:4" ht="77.5">
      <c r="A597" s="388" t="s">
        <v>1340</v>
      </c>
      <c r="B597" s="83" t="s">
        <v>4363</v>
      </c>
      <c r="C597" s="83" t="str">
        <f>IF(OR('Covenant summary information'!$C$85&lt;4, ISNUMBER(SEARCH(RefData!$B$2,$C$239))),"
"&amp;RefData!$B$2&amp;"
"&amp; B597,B597)</f>
        <v xml:space="preserve">
No answer required
Date of valuation
</v>
      </c>
      <c r="D597" s="83" t="s">
        <v>1341</v>
      </c>
    </row>
    <row r="598" spans="1:4" ht="77.5">
      <c r="A598" s="388" t="s">
        <v>1342</v>
      </c>
      <c r="B598" s="83" t="s">
        <v>4364</v>
      </c>
      <c r="C598" s="83" t="str">
        <f>IF(OR('Start here'!$C$26=RefData!$B$9, AND('Start here'!$C$26=RefData!$B$10, 'Covenant summary information'!$C$85&lt;4), ISNUMBER(SEARCH(RefData!$B$2,$C$239))),"
"&amp;RefData!$B$2&amp;"
"&amp; B598,B598)</f>
        <v xml:space="preserve">
No answer required
Value cap
</v>
      </c>
      <c r="D598" s="83" t="s">
        <v>1343</v>
      </c>
    </row>
    <row r="599" spans="1:4" ht="77.5">
      <c r="A599" t="s">
        <v>1344</v>
      </c>
      <c r="B599" s="83" t="s">
        <v>4365</v>
      </c>
      <c r="C599" s="83" t="str">
        <f>IF(OR('Covenant summary information'!$C$85&lt;4,NOT('Other contingent assets'!$C$83=RefData!$B$175), ISNUMBER(SEARCH(RefData!$B$2,$C$239))),"
"&amp;RefData!$B$2&amp;"
"&amp; B599,B599)</f>
        <v xml:space="preserve">
No answer required
Narrative regarding value cap
</v>
      </c>
      <c r="D599" s="83" t="s">
        <v>1345</v>
      </c>
    </row>
    <row r="600" spans="1:4" ht="77.5">
      <c r="A600" t="s">
        <v>1346</v>
      </c>
      <c r="B600" s="83" t="s">
        <v>4366</v>
      </c>
      <c r="C600" s="83" t="str">
        <f>IF(OR('Covenant summary information'!$C$85&lt;3,NOT(OR('Other contingent assets'!$C$83=RefData!$B$174)), ISNUMBER(SEARCH(RefData!$B$2,$C$239))),"
"&amp;RefData!$B$2&amp;"
"&amp; B600,B600)</f>
        <v xml:space="preserve">
No answer required
Fixed cap amount (£)
</v>
      </c>
      <c r="D600" s="83" t="s">
        <v>1347</v>
      </c>
    </row>
    <row r="601" spans="1:4" ht="77.5">
      <c r="A601" t="s">
        <v>1348</v>
      </c>
      <c r="B601" s="83" t="s">
        <v>4367</v>
      </c>
      <c r="C601" s="83" t="str">
        <f>IF(OR('Start here'!$C$26=RefData!$B$9,
(AND('Start here'!$C$26=RefData!$B$10,'Covenant summary information'!$C$85=0)),
(AND('Start here'!$C$26=RefData!$B$10,'Covenant summary information'!$C$85&lt;4)), ISNUMBER(SEARCH(RefData!$B$2,$C$239))
),"
"&amp;RefData!$B$2&amp;"
"&amp; B601,B601)</f>
        <v xml:space="preserve">
No answer required
Participating employer insolvency
</v>
      </c>
      <c r="D601" s="83" t="s">
        <v>1349</v>
      </c>
    </row>
    <row r="602" spans="1:4" ht="77.5">
      <c r="A602" t="s">
        <v>1350</v>
      </c>
      <c r="B602" s="83" t="s">
        <v>4368</v>
      </c>
      <c r="C602" s="83" t="str">
        <f>IF(OR('Start here'!$C$26=RefData!$B$9,
(AND('Start here'!$C$26=RefData!$B$10,'Covenant summary information'!$C$85=0)),
(AND('Start here'!$C$26=RefData!$B$10,'Covenant summary information'!$C$85&lt;4)), ISNUMBER(SEARCH(RefData!$B$2,$C$239))
),"
"&amp;RefData!$B$2&amp;"
"&amp; B602,B602)</f>
        <v xml:space="preserve">
No answer required
Insolvency of associated company
</v>
      </c>
      <c r="D602" s="83" t="s">
        <v>1351</v>
      </c>
    </row>
    <row r="603" spans="1:4" ht="77.5">
      <c r="A603" t="s">
        <v>1352</v>
      </c>
      <c r="B603" s="83" t="s">
        <v>4369</v>
      </c>
      <c r="C603" s="83" t="str">
        <f>IF(OR('Start here'!$C$26=RefData!$B$9,
(AND('Start here'!$C$26=RefData!$B$10,'Covenant summary information'!$C$85=0)),
(AND('Start here'!$C$26=RefData!$B$10,'Covenant summary information'!$C$85&lt;4)), ISNUMBER(SEARCH(RefData!$B$2,$C$239))
),"
"&amp;RefData!$B$2&amp;"
"&amp; B603,B603)</f>
        <v xml:space="preserve">
No answer required
Non payment of contributions
</v>
      </c>
      <c r="D603" s="83" t="s">
        <v>1353</v>
      </c>
    </row>
    <row r="604" spans="1:4" ht="77.5">
      <c r="A604" t="s">
        <v>1354</v>
      </c>
      <c r="B604" s="83" t="s">
        <v>4370</v>
      </c>
      <c r="C604" s="83" t="str">
        <f>IF(OR('Start here'!$C$26=RefData!$B$9,
(AND('Start here'!$C$26=RefData!$B$10,'Covenant summary information'!$C$85=0)),
(AND('Start here'!$C$26=RefData!$B$10,'Covenant summary information'!$C$85&lt;4)), ISNUMBER(SEARCH(RefData!$B$2,$C$239))
),"
"&amp;RefData!$B$2&amp;"
"&amp; B604,B604)</f>
        <v xml:space="preserve">
No answer required
Crystallisation of investment risk
</v>
      </c>
      <c r="D604" s="83" t="s">
        <v>1355</v>
      </c>
    </row>
    <row r="605" spans="1:4" ht="77.5">
      <c r="A605" t="s">
        <v>1356</v>
      </c>
      <c r="B605" s="83" t="s">
        <v>4371</v>
      </c>
      <c r="C605" s="83" t="str">
        <f>IF(OR('Start here'!$C$26=RefData!$B$9,
(AND('Start here'!$C$26=RefData!$B$10,'Covenant summary information'!$C$85=0)),
(AND('Start here'!$C$26=RefData!$B$10,'Covenant summary information'!$C$85&lt;4)), ISNUMBER(SEARCH(RefData!$B$2,$C$239))
),"
"&amp;RefData!$B$2&amp;"
"&amp; B605,B605)</f>
        <v xml:space="preserve">
No answer required
Other
</v>
      </c>
      <c r="D605" s="83" t="s">
        <v>1357</v>
      </c>
    </row>
    <row r="606" spans="1:4" ht="77.5">
      <c r="A606" t="s">
        <v>1358</v>
      </c>
      <c r="B606" s="83" t="s">
        <v>4451</v>
      </c>
      <c r="C606" s="83" t="str">
        <f>IF(OR('Start here'!$C$26=RefData!$B$9,
(AND('Start here'!$C$26=RefData!$B$10,'Covenant summary information'!$C$85=0)),
(AND('Start here'!$C$26=RefData!$B$10,'Covenant summary information'!$C$85&lt;4)),
(AND('Start here'!$C$26=RefData!$B$10,'Covenant summary information'!$C$85&gt;=4,'Other contingent assets'!$C$93&lt;&gt;RefData!$B$204)), ISNUMBER(SEARCH(RefData!$B$2,$C$239))
),"
"&amp;RefData!$B$2&amp;"
"&amp; B606,B606)</f>
        <v xml:space="preserve">
No answer required
Narrative regarding triggers for access to value
</v>
      </c>
      <c r="D606" s="83" t="s">
        <v>1359</v>
      </c>
    </row>
    <row r="607" spans="1:4" ht="77.5">
      <c r="A607" t="s">
        <v>1360</v>
      </c>
      <c r="B607" s="83" t="s">
        <v>4373</v>
      </c>
      <c r="C607" s="83" t="str">
        <f>IF(OR('Start here'!$C$26=RefData!$B$9,
(AND('Start here'!$C$26=RefData!$B$10,'Covenant summary information'!$C$85=0)),
(AND('Start here'!$C$26=RefData!$B$10,'Covenant summary information'!$C$85&lt;4)), ISNUMBER(SEARCH(RefData!$B$2,$C$239))
),"
"&amp;RefData!$B$2&amp;"
"&amp; B607,B607)</f>
        <v xml:space="preserve">
No answer required
Triggers for termination
</v>
      </c>
      <c r="D607" s="83" t="s">
        <v>1361</v>
      </c>
    </row>
    <row r="608" spans="1:4" ht="77.5">
      <c r="A608" s="388" t="s">
        <v>1363</v>
      </c>
      <c r="B608" s="83" t="s">
        <v>4447</v>
      </c>
      <c r="C608" s="83" t="str">
        <f>IF(OR('Covenant summary information'!$C$85&lt;5, ISNUMBER(SEARCH(RefData!$B$2,$C$239))),"
"&amp;RefData!$B$2&amp;"
"&amp; B608,B608)</f>
        <v xml:space="preserve">
No answer required
What is the type of contingent asset?
</v>
      </c>
      <c r="D608" s="83" t="s">
        <v>1364</v>
      </c>
    </row>
    <row r="609" spans="1:4" ht="77.5">
      <c r="A609" s="388" t="s">
        <v>1365</v>
      </c>
      <c r="B609" s="83" t="s">
        <v>4448</v>
      </c>
      <c r="C609" s="83" t="str">
        <f>IF(OR('Covenant summary information'!$C$85&lt;5, ISNUMBER(MATCH('Other contingent assets'!$C$99, RefData!$B$161:$B$163, 0)), ISNUMBER(SEARCH(RefData!$B$2,$C$239))),"
"&amp;RefData!$B$2&amp;"
"&amp; B609,B609)</f>
        <v xml:space="preserve">
No answer required
Provide specific details of the contingent asset
</v>
      </c>
      <c r="D609" s="83" t="s">
        <v>1366</v>
      </c>
    </row>
    <row r="610" spans="1:4" ht="77.5">
      <c r="A610" s="388" t="s">
        <v>1367</v>
      </c>
      <c r="B610" s="83" t="s">
        <v>4449</v>
      </c>
      <c r="C610" s="83" t="str">
        <f>IF(OR('Start here'!$C$26=RefData!$B$9,'Covenant summary information'!$C$85&lt;5, ISNUMBER(SEARCH(RefData!$B$2,$C$239))),"
"&amp;RefData!$B$2&amp;"
"&amp; B610,B610)</f>
        <v xml:space="preserve">
No answer required
Maturity type
</v>
      </c>
      <c r="D610" s="83" t="s">
        <v>1368</v>
      </c>
    </row>
    <row r="611" spans="1:4" ht="77.5">
      <c r="A611" s="388" t="s">
        <v>1369</v>
      </c>
      <c r="B611" s="83" t="s">
        <v>4450</v>
      </c>
      <c r="C611" s="83" t="str">
        <f>IF(OR('Start here'!$C$26=RefData!$B$9,'Covenant summary information'!$C$85&lt;5,NOT('Other contingent assets'!$C$101=RefData!$B$167), ISNUMBER(SEARCH(RefData!$B$2,$C$239))),"
"&amp;RefData!$B$2&amp;"
"&amp; B611,B611)</f>
        <v xml:space="preserve">
No answer required
Date of Maturity
</v>
      </c>
      <c r="D611" s="83" t="s">
        <v>1370</v>
      </c>
    </row>
    <row r="612" spans="1:4" ht="77.5">
      <c r="A612" s="388" t="s">
        <v>1371</v>
      </c>
      <c r="B612" s="83" t="s">
        <v>4361</v>
      </c>
      <c r="C612" s="83" t="str">
        <f>IF(OR('Covenant summary information'!$C$85&lt;5,NOT('Other contingent assets'!$C$101=RefData!$B$168), ISNUMBER(SEARCH(RefData!$B$2,$C$239))),"
"&amp;RefData!$B$2&amp;"
"&amp; B612,B612)</f>
        <v xml:space="preserve">
No answer required
Maturity date narrative
</v>
      </c>
      <c r="D612" s="83" t="s">
        <v>1372</v>
      </c>
    </row>
    <row r="613" spans="1:4" ht="77.5">
      <c r="A613" s="388" t="s">
        <v>1373</v>
      </c>
      <c r="B613" s="83" t="s">
        <v>4362</v>
      </c>
      <c r="C613" s="83" t="str">
        <f>IF(OR('Covenant summary information'!$C$85&lt;5, ISNUMBER(SEARCH(RefData!$B$2,$C$239))),"
"&amp;RefData!$B$2&amp;"
"&amp; B613,B613)</f>
        <v xml:space="preserve">
No answer required
Value ascribed (£)
</v>
      </c>
      <c r="D613" s="83" t="s">
        <v>1374</v>
      </c>
    </row>
    <row r="614" spans="1:4" ht="77.5">
      <c r="A614" s="388" t="s">
        <v>1375</v>
      </c>
      <c r="B614" s="83" t="s">
        <v>4363</v>
      </c>
      <c r="C614" s="83" t="str">
        <f>IF(OR('Covenant summary information'!$C$85&lt;5, ISNUMBER(SEARCH(RefData!$B$2,$C$239))),"
"&amp;RefData!$B$2&amp;"
"&amp; B614,B614)</f>
        <v xml:space="preserve">
No answer required
Date of valuation
</v>
      </c>
      <c r="D614" s="83" t="s">
        <v>1376</v>
      </c>
    </row>
    <row r="615" spans="1:4" ht="77.5">
      <c r="A615" s="388" t="s">
        <v>1377</v>
      </c>
      <c r="B615" s="83" t="s">
        <v>4364</v>
      </c>
      <c r="C615" s="83" t="str">
        <f>IF(OR('Start here'!$C$26=RefData!$B$9, AND('Start here'!$C$26=RefData!$B$10, 'Covenant summary information'!$C$85&lt;5), ISNUMBER(SEARCH(RefData!$B$2,$C$239))),"
"&amp;RefData!$B$2&amp;"
"&amp; B615,B615)</f>
        <v xml:space="preserve">
No answer required
Value cap
</v>
      </c>
      <c r="D615" s="83" t="s">
        <v>1378</v>
      </c>
    </row>
    <row r="616" spans="1:4" ht="77.5">
      <c r="A616" t="s">
        <v>1379</v>
      </c>
      <c r="B616" s="83" t="s">
        <v>4365</v>
      </c>
      <c r="C616" s="83" t="str">
        <f>IF(OR('Covenant summary information'!$C$85&lt;5,NOT('Other contingent assets'!$C$106=RefData!$B$175), ISNUMBER(SEARCH(RefData!$B$2,$C$239))),"
"&amp;RefData!$B$2&amp;"
"&amp; B616,B616)</f>
        <v xml:space="preserve">
No answer required
Narrative regarding value cap
</v>
      </c>
      <c r="D616" s="83" t="s">
        <v>1380</v>
      </c>
    </row>
    <row r="617" spans="1:4" ht="77.5">
      <c r="A617" t="s">
        <v>1381</v>
      </c>
      <c r="B617" s="83" t="s">
        <v>4366</v>
      </c>
      <c r="C617" s="83" t="str">
        <f>IF(OR('Covenant summary information'!$C$85&lt;3,NOT(OR('Other contingent assets'!$C$106=RefData!$B$174)), ISNUMBER(SEARCH(RefData!$B$2,$C$239))),"
"&amp;RefData!$B$2&amp;"
"&amp; B617,B617)</f>
        <v xml:space="preserve">
No answer required
Fixed cap amount (£)
</v>
      </c>
      <c r="D617" s="83" t="s">
        <v>1382</v>
      </c>
    </row>
    <row r="618" spans="1:4" ht="77.5">
      <c r="A618" t="s">
        <v>1383</v>
      </c>
      <c r="B618" s="83" t="s">
        <v>4367</v>
      </c>
      <c r="C618" s="83" t="str">
        <f>IF(OR('Start here'!$C$26=RefData!$B$9,
(AND('Start here'!$C$26=RefData!$B$10,'Covenant summary information'!$C$85=0)),
(AND('Start here'!$C$26=RefData!$B$10,'Covenant summary information'!$C$85&lt;5)), ISNUMBER(SEARCH(RefData!$B$2,$C$239))
),"
"&amp;RefData!$B$2&amp;"
"&amp; B618,B618)</f>
        <v xml:space="preserve">
No answer required
Participating employer insolvency
</v>
      </c>
      <c r="D618" s="83" t="s">
        <v>1384</v>
      </c>
    </row>
    <row r="619" spans="1:4" ht="77.5">
      <c r="A619" t="s">
        <v>1385</v>
      </c>
      <c r="B619" s="83" t="s">
        <v>4368</v>
      </c>
      <c r="C619" s="83" t="str">
        <f>IF(OR('Start here'!$C$26=RefData!$B$9,
(AND('Start here'!$C$26=RefData!$B$10,'Covenant summary information'!$C$85=0)),
(AND('Start here'!$C$26=RefData!$B$10,'Covenant summary information'!$C$85&lt;5)), ISNUMBER(SEARCH(RefData!$B$2,$C$239))
),"
"&amp;RefData!$B$2&amp;"
"&amp; B619,B619)</f>
        <v xml:space="preserve">
No answer required
Insolvency of associated company
</v>
      </c>
      <c r="D619" s="83" t="s">
        <v>1386</v>
      </c>
    </row>
    <row r="620" spans="1:4" ht="77.5">
      <c r="A620" t="s">
        <v>1387</v>
      </c>
      <c r="B620" s="83" t="s">
        <v>4369</v>
      </c>
      <c r="C620" s="83" t="str">
        <f>IF(OR('Start here'!$C$26=RefData!$B$9,
(AND('Start here'!$C$26=RefData!$B$10,'Covenant summary information'!$C$85=0)),
(AND('Start here'!$C$26=RefData!$B$10,'Covenant summary information'!$C$85&lt;5)), ISNUMBER(SEARCH(RefData!$B$2,$C$239))
),"
"&amp;RefData!$B$2&amp;"
"&amp; B620,B620)</f>
        <v xml:space="preserve">
No answer required
Non payment of contributions
</v>
      </c>
      <c r="D620" s="83" t="s">
        <v>1388</v>
      </c>
    </row>
    <row r="621" spans="1:4" ht="77.5">
      <c r="A621" t="s">
        <v>1389</v>
      </c>
      <c r="B621" s="83" t="s">
        <v>4370</v>
      </c>
      <c r="C621" s="83" t="str">
        <f>IF(OR('Start here'!$C$26=RefData!$B$9,
(AND('Start here'!$C$26=RefData!$B$10,'Covenant summary information'!$C$85=0)),
(AND('Start here'!$C$26=RefData!$B$10,'Covenant summary information'!$C$85&lt;5)), ISNUMBER(SEARCH(RefData!$B$2,$C$239))
),"
"&amp;RefData!$B$2&amp;"
"&amp; B621,B621)</f>
        <v xml:space="preserve">
No answer required
Crystallisation of investment risk
</v>
      </c>
      <c r="D621" s="83" t="s">
        <v>1390</v>
      </c>
    </row>
    <row r="622" spans="1:4" ht="77.5">
      <c r="A622" t="s">
        <v>1391</v>
      </c>
      <c r="B622" s="83" t="s">
        <v>4371</v>
      </c>
      <c r="C622" s="83" t="str">
        <f>IF(OR('Start here'!$C$26=RefData!$B$9,
(AND('Start here'!$C$26=RefData!$B$10,'Covenant summary information'!$C$85=0)),
(AND('Start here'!$C$26=RefData!$B$10,'Covenant summary information'!$C$85&lt;5)), ISNUMBER(SEARCH(RefData!$B$2,$C$239))
),"
"&amp;RefData!$B$2&amp;"
"&amp; B622,B622)</f>
        <v xml:space="preserve">
No answer required
Other
</v>
      </c>
      <c r="D622" s="83" t="s">
        <v>1392</v>
      </c>
    </row>
    <row r="623" spans="1:4" ht="77.5">
      <c r="A623" t="s">
        <v>1393</v>
      </c>
      <c r="B623" s="83" t="s">
        <v>4451</v>
      </c>
      <c r="C623" s="83" t="str">
        <f>IF(OR('Start here'!$C$26=RefData!$B$9,
(AND('Start here'!$C$26=RefData!$B$10,'Covenant summary information'!$C$85=0)),
(AND('Start here'!$C$26=RefData!$B$10,'Covenant summary information'!$C$85&lt;5)),
(AND('Start here'!$C$26=RefData!$B$10,'Covenant summary information'!$C$85&gt;=5,'Other contingent assets'!$C$116&lt;&gt;RefData!$B$204)), ISNUMBER(SEARCH(RefData!$B$2,$C$239))
),"
"&amp;RefData!$B$2&amp;"
"&amp; B623,B623)</f>
        <v xml:space="preserve">
No answer required
Narrative regarding triggers for access to value
</v>
      </c>
      <c r="D623" s="83" t="s">
        <v>1394</v>
      </c>
    </row>
    <row r="624" spans="1:4" ht="77.5">
      <c r="A624" t="s">
        <v>1395</v>
      </c>
      <c r="B624" s="83" t="s">
        <v>4373</v>
      </c>
      <c r="C624" s="83" t="str">
        <f>IF(OR('Start here'!$C$26=RefData!$B$9,
(AND('Start here'!$C$26=RefData!$B$10,'Covenant summary information'!$C$85=0)),
(AND('Start here'!$C$26=RefData!$B$10,'Covenant summary information'!$C$85&lt;5)), ISNUMBER(SEARCH(RefData!$B$2,$C$239))
),"
"&amp;RefData!$B$2&amp;"
"&amp; B624,B624)</f>
        <v xml:space="preserve">
No answer required
Triggers for termination
</v>
      </c>
      <c r="D624" s="83" t="s">
        <v>1396</v>
      </c>
    </row>
    <row r="625" spans="1:4" ht="77.5">
      <c r="A625" s="83" t="s">
        <v>3429</v>
      </c>
      <c r="B625" s="83" t="s">
        <v>4434</v>
      </c>
      <c r="C625" s="83" t="str">
        <f>IF(OR('Start here'!$C$26=RefData!$B$9, 'Covenant summary information'!$C$12&lt;1, ISNUMBER(SEARCH(RefData!$B$2,$C$247))),"
"&amp;RefData!$B$2&amp;"
"&amp; B625,B625)</f>
        <v xml:space="preserve">
No answer required
Legal name
</v>
      </c>
      <c r="D625" s="83" t="s">
        <v>526</v>
      </c>
    </row>
    <row r="626" spans="1:4" ht="77.5">
      <c r="A626" s="83" t="s">
        <v>3430</v>
      </c>
      <c r="B626" s="83" t="s">
        <v>4435</v>
      </c>
      <c r="C626" s="83" t="str">
        <f>IF(OR('Start here'!$C$26=RefData!$B$9, 'Covenant summary information'!$C$12&lt;1, ISNUMBER(SEARCH(RefData!$B$2,$C$247))),"
"&amp;RefData!$B$2&amp;"
"&amp; B626,B626)</f>
        <v xml:space="preserve">
No answer required
Companies House number (if applicable)
</v>
      </c>
      <c r="D626" s="83" t="s">
        <v>527</v>
      </c>
    </row>
    <row r="627" spans="1:4" ht="77.5">
      <c r="A627" s="83" t="s">
        <v>3431</v>
      </c>
      <c r="B627" s="83" t="s">
        <v>4436</v>
      </c>
      <c r="C627" s="83" t="str">
        <f>IF(OR('Start here'!$C$26=RefData!$B$9,'Covenant summary information'!$C$12&lt;1,NOT(TRIM('Covenant summary information'!$C18)=""), ISNUMBER(SEARCH(RefData!$B$2,$C$247))),"
"&amp;RefData!$B$2&amp;"
"&amp; B627,B627)</f>
        <v xml:space="preserve">
No answer required
Charity number (if applicable)
</v>
      </c>
      <c r="D627" s="83" t="s">
        <v>528</v>
      </c>
    </row>
    <row r="628" spans="1:4" ht="77.5">
      <c r="A628" s="83" t="s">
        <v>3432</v>
      </c>
      <c r="B628" s="83" t="s">
        <v>4437</v>
      </c>
      <c r="C628" s="83" t="str">
        <f>IF(OR('Start here'!$C$26=RefData!$B$9,'Covenant summary information'!$C$12&lt;1,NOT(TRIM('Covenant summary information'!$C$18)=""),NOT(ISBLANK('Covenant summary information'!$C$19)), ISNUMBER(SEARCH(RefData!$B$2,$C$247))),"
"&amp;RefData!$B$2&amp;"
"&amp; B628,B628)</f>
        <v xml:space="preserve">
No answer required
Trading name
</v>
      </c>
      <c r="D628" s="83" t="s">
        <v>529</v>
      </c>
    </row>
    <row r="629" spans="1:4" ht="77.5">
      <c r="A629" s="83" t="s">
        <v>3433</v>
      </c>
      <c r="B629" s="83" t="s">
        <v>4438</v>
      </c>
      <c r="C629" s="83" t="str">
        <f>IF(OR('Start here'!$C$26=RefData!$B$9,'Covenant summary information'!$C$12&lt;1,NOT(TRIM('Covenant summary information'!$C$18)=""),NOT(ISBLANK('Covenant summary information'!$C$19)), ISNUMBER(SEARCH(RefData!$B$2,$C$247))),"
"&amp;RefData!$B$2&amp;"
"&amp; B629,B629)</f>
        <v xml:space="preserve">
No answer required
Address line 1
</v>
      </c>
      <c r="D629" s="83" t="s">
        <v>530</v>
      </c>
    </row>
    <row r="630" spans="1:4" ht="77.5">
      <c r="A630" s="83" t="s">
        <v>3434</v>
      </c>
      <c r="B630" s="83" t="s">
        <v>4439</v>
      </c>
      <c r="C630" s="83" t="str">
        <f>IF(OR('Start here'!$C$26=RefData!$B$9,'Covenant summary information'!$C$12&lt;1,NOT(TRIM('Covenant summary information'!$C$18)=""),NOT(ISBLANK('Covenant summary information'!$C$19)), ISNUMBER(SEARCH(RefData!$B$2,$C$247))),"
"&amp;RefData!$B$2&amp;"
"&amp; B630,B630)</f>
        <v xml:space="preserve">
No answer required
Address line 2 (optional)
</v>
      </c>
      <c r="D630" s="83" t="s">
        <v>531</v>
      </c>
    </row>
    <row r="631" spans="1:4" ht="77.5">
      <c r="A631" s="83" t="s">
        <v>3435</v>
      </c>
      <c r="B631" s="83" t="s">
        <v>4440</v>
      </c>
      <c r="C631" s="83" t="str">
        <f>IF(OR('Start here'!$C$26=RefData!$B$9,'Covenant summary information'!$C$12&lt;1,NOT(TRIM('Covenant summary information'!$C$18)=""),NOT(ISBLANK('Covenant summary information'!$C$19)), ISNUMBER(SEARCH(RefData!$B$2,$C$247))),"
"&amp;RefData!$B$2&amp;"
"&amp; B631,B631)</f>
        <v xml:space="preserve">
No answer required
Address line 3 (optional)
</v>
      </c>
      <c r="D631" s="83" t="s">
        <v>532</v>
      </c>
    </row>
    <row r="632" spans="1:4" ht="77.5">
      <c r="A632" s="83" t="s">
        <v>3436</v>
      </c>
      <c r="B632" s="83" t="s">
        <v>4441</v>
      </c>
      <c r="C632" s="83" t="str">
        <f>IF(OR('Start here'!$C$26=RefData!$B$9,'Covenant summary information'!$C$12&lt;1,NOT(TRIM('Covenant summary information'!$C$18)=""),NOT(ISBLANK('Covenant summary information'!$C$19)), ISNUMBER(SEARCH(RefData!$B$2,$C$247))),"
"&amp;RefData!$B$2&amp;"
"&amp; B632,B632)</f>
        <v xml:space="preserve">
No answer required
Post town or city
</v>
      </c>
      <c r="D632" s="83" t="s">
        <v>533</v>
      </c>
    </row>
    <row r="633" spans="1:4" ht="77.5">
      <c r="A633" s="83" t="s">
        <v>3437</v>
      </c>
      <c r="B633" s="83" t="s">
        <v>4442</v>
      </c>
      <c r="C633" s="83" t="str">
        <f>IF(OR('Start here'!$C$26=RefData!$B$9,'Covenant summary information'!$C$12&lt;1,NOT(TRIM('Covenant summary information'!$C$18)=""),NOT(ISBLANK('Covenant summary information'!$C$19)), ISNUMBER(SEARCH(RefData!$B$2,$C$247))),"
"&amp;RefData!$B$2&amp;"
"&amp; B633,B633)</f>
        <v xml:space="preserve">
No answer required
Country
</v>
      </c>
      <c r="D633" s="83" t="s">
        <v>534</v>
      </c>
    </row>
    <row r="634" spans="1:4" ht="77.5">
      <c r="A634" s="83" t="s">
        <v>3438</v>
      </c>
      <c r="B634" s="83" t="s">
        <v>4443</v>
      </c>
      <c r="C634" s="83" t="str">
        <f>IF(OR('Start here'!$C$26=RefData!$B$9,,'Covenant summary information'!$C$12&lt;1,NOT(TRIM('Covenant summary information'!$C$18)=""),NOT(ISBLANK('Covenant summary information'!$C$19)), ISNUMBER(SEARCH(RefData!$B$2,$C$247))),"
"&amp;RefData!$B$2&amp;"
"&amp; B634,B634)</f>
        <v xml:space="preserve">
No answer required
Postcode
</v>
      </c>
      <c r="D634" s="83" t="s">
        <v>535</v>
      </c>
    </row>
    <row r="635" spans="1:4" ht="77.5">
      <c r="A635" s="83" t="s">
        <v>3439</v>
      </c>
      <c r="B635" s="83" t="s">
        <v>4434</v>
      </c>
      <c r="C635" s="83" t="str">
        <f>IF(OR('Start here'!$C$26=RefData!$B$9, 'Covenant summary information'!$C$12&lt;2, ISNUMBER(SEARCH(RefData!$B$2,$C$247))),"
"&amp;RefData!$B$2&amp;"
"&amp; B635,B635)</f>
        <v xml:space="preserve">
No answer required
Legal name
</v>
      </c>
      <c r="D635" s="83" t="s">
        <v>537</v>
      </c>
    </row>
    <row r="636" spans="1:4" ht="77.5">
      <c r="A636" s="83" t="s">
        <v>3440</v>
      </c>
      <c r="B636" s="83" t="s">
        <v>4435</v>
      </c>
      <c r="C636" s="83" t="str">
        <f>IF(OR('Start here'!$C$26=RefData!$B$9, 'Covenant summary information'!$C$12&lt;2, ISNUMBER(SEARCH(RefData!$B$2,$C$247))),"
"&amp;RefData!$B$2&amp;"
"&amp; B636,B636)</f>
        <v xml:space="preserve">
No answer required
Companies House number (if applicable)
</v>
      </c>
      <c r="D636" s="83" t="s">
        <v>538</v>
      </c>
    </row>
    <row r="637" spans="1:4" ht="77.5">
      <c r="A637" s="83" t="s">
        <v>3441</v>
      </c>
      <c r="B637" s="83" t="s">
        <v>4436</v>
      </c>
      <c r="C637" s="83" t="str">
        <f>IF(OR('Start here'!$C$26=RefData!$B$9,'Covenant summary information'!$C$12&lt;2,NOT(TRIM('Covenant summary information'!$C31)=""), ISNUMBER(SEARCH(RefData!$B$2,$C$247))),"
"&amp;RefData!$B$2&amp;"
"&amp; B637,B637)</f>
        <v xml:space="preserve">
No answer required
Charity number (if applicable)
</v>
      </c>
      <c r="D637" s="83" t="s">
        <v>539</v>
      </c>
    </row>
    <row r="638" spans="1:4" ht="77.5">
      <c r="A638" s="83" t="s">
        <v>3442</v>
      </c>
      <c r="B638" s="83" t="s">
        <v>4437</v>
      </c>
      <c r="C638" s="83" t="str">
        <f>IF(OR('Start here'!$C$26=RefData!$B$9,'Covenant summary information'!$C$12&lt;2,NOT(TRIM('Covenant summary information'!$C$31)=""),NOT(ISBLANK('Covenant summary information'!$C$32)), ISNUMBER(SEARCH(RefData!$B$2,$C$247))),"
"&amp;RefData!$B$2&amp;"
"&amp; B638,B638)</f>
        <v xml:space="preserve">
No answer required
Trading name
</v>
      </c>
      <c r="D638" s="83" t="s">
        <v>540</v>
      </c>
    </row>
    <row r="639" spans="1:4" ht="77.5">
      <c r="A639" s="83" t="s">
        <v>3443</v>
      </c>
      <c r="B639" s="83" t="s">
        <v>4438</v>
      </c>
      <c r="C639" s="83" t="str">
        <f>IF(OR('Start here'!$C$26=RefData!$B$9,'Covenant summary information'!$C$12&lt;2,NOT(TRIM('Covenant summary information'!$C$31)=""),NOT(ISBLANK('Covenant summary information'!$C$32)), ISNUMBER(SEARCH(RefData!$B$2,$C$247))),"
"&amp;RefData!$B$2&amp;"
"&amp; B639,B639)</f>
        <v xml:space="preserve">
No answer required
Address line 1
</v>
      </c>
      <c r="D639" s="83" t="s">
        <v>541</v>
      </c>
    </row>
    <row r="640" spans="1:4" ht="77.5">
      <c r="A640" s="83" t="s">
        <v>3444</v>
      </c>
      <c r="B640" s="83" t="s">
        <v>4439</v>
      </c>
      <c r="C640" s="83" t="str">
        <f>IF(OR('Start here'!$C$26=RefData!$B$9,'Covenant summary information'!$C$12&lt;2,NOT(TRIM('Covenant summary information'!$C$31)=""),NOT(ISBLANK('Covenant summary information'!$C$32)), ISNUMBER(SEARCH(RefData!$B$2,$C$247))),"
"&amp;RefData!$B$2&amp;"
"&amp; B640,B640)</f>
        <v xml:space="preserve">
No answer required
Address line 2 (optional)
</v>
      </c>
      <c r="D640" s="83" t="s">
        <v>542</v>
      </c>
    </row>
    <row r="641" spans="1:4" ht="77.5">
      <c r="A641" s="83" t="s">
        <v>3445</v>
      </c>
      <c r="B641" s="83" t="s">
        <v>4440</v>
      </c>
      <c r="C641" s="83" t="str">
        <f>IF(OR('Start here'!$C$26=RefData!$B$9,'Covenant summary information'!$C$12&lt;2,NOT(TRIM('Covenant summary information'!$C$31)=""),NOT(ISBLANK('Covenant summary information'!$C$32)), ISNUMBER(SEARCH(RefData!$B$2,$C$247))),"
"&amp;RefData!$B$2&amp;"
"&amp; B641,B641)</f>
        <v xml:space="preserve">
No answer required
Address line 3 (optional)
</v>
      </c>
      <c r="D641" s="83" t="s">
        <v>543</v>
      </c>
    </row>
    <row r="642" spans="1:4" ht="35.75" customHeight="1">
      <c r="A642" s="83" t="s">
        <v>3446</v>
      </c>
      <c r="B642" s="83" t="s">
        <v>4441</v>
      </c>
      <c r="C642" s="83" t="str">
        <f>IF(OR('Start here'!$C$26=RefData!$B$9,'Covenant summary information'!$C$12&lt;2,NOT(TRIM('Covenant summary information'!$C$31)=""),NOT(ISBLANK('Covenant summary information'!$C$32)), ISNUMBER(SEARCH(RefData!$B$2,$C$247))),"
"&amp;RefData!$B$2&amp;"
"&amp; B642,B642)</f>
        <v xml:space="preserve">
No answer required
Post town or city
</v>
      </c>
      <c r="D642" s="83" t="s">
        <v>544</v>
      </c>
    </row>
    <row r="643" spans="1:4" ht="77.5">
      <c r="A643" s="83" t="s">
        <v>3447</v>
      </c>
      <c r="B643" s="83" t="s">
        <v>4442</v>
      </c>
      <c r="C643" s="83" t="str">
        <f>IF(OR('Start here'!$C$26=RefData!$B$9,'Covenant summary information'!$C$12&lt;2,NOT(TRIM('Covenant summary information'!$C$31)=""),NOT(ISBLANK('Covenant summary information'!$C$32)), ISNUMBER(SEARCH(RefData!$B$2,$C$247))),"
"&amp;RefData!$B$2&amp;"
"&amp; B643,B643)</f>
        <v xml:space="preserve">
No answer required
Country
</v>
      </c>
      <c r="D643" s="83" t="s">
        <v>545</v>
      </c>
    </row>
    <row r="644" spans="1:4" ht="77.5">
      <c r="A644" s="83" t="s">
        <v>3448</v>
      </c>
      <c r="B644" s="83" t="s">
        <v>4443</v>
      </c>
      <c r="C644" s="83" t="str">
        <f>IF(OR('Start here'!$C$26=RefData!$B$9,,'Covenant summary information'!$C$12&lt;2,NOT(TRIM('Covenant summary information'!$C$31)=""),NOT(ISBLANK('Covenant summary information'!$C$32)), ISNUMBER(SEARCH(RefData!$B$2,$C$247))),"
"&amp;RefData!$B$2&amp;"
"&amp; B644,B644)</f>
        <v xml:space="preserve">
No answer required
Postcode
</v>
      </c>
      <c r="D644" s="83" t="s">
        <v>546</v>
      </c>
    </row>
    <row r="645" spans="1:4" ht="77.5">
      <c r="A645" s="83" t="s">
        <v>3449</v>
      </c>
      <c r="B645" s="83" t="s">
        <v>4434</v>
      </c>
      <c r="C645" s="83" t="str">
        <f>IF(OR('Start here'!$C$26=RefData!$B$9, 'Covenant summary information'!$C$12&lt;3, ISNUMBER(SEARCH(RefData!$B$2,$C$247))),"
"&amp;RefData!$B$2&amp;"
"&amp; B645,B645)</f>
        <v xml:space="preserve">
No answer required
Legal name
</v>
      </c>
      <c r="D645" s="83" t="s">
        <v>548</v>
      </c>
    </row>
    <row r="646" spans="1:4" ht="77.5">
      <c r="A646" s="83" t="s">
        <v>3450</v>
      </c>
      <c r="B646" s="83" t="s">
        <v>4435</v>
      </c>
      <c r="C646" s="83" t="str">
        <f>IF(OR('Start here'!$C$26=RefData!$B$9, 'Covenant summary information'!$C$12&lt;3, ISNUMBER(SEARCH(RefData!$B$2,$C$247))),"
"&amp;RefData!$B$2&amp;"
"&amp; B646,B646)</f>
        <v xml:space="preserve">
No answer required
Companies House number (if applicable)
</v>
      </c>
      <c r="D646" s="83" t="s">
        <v>549</v>
      </c>
    </row>
    <row r="647" spans="1:4" ht="77.5">
      <c r="A647" s="83" t="s">
        <v>3451</v>
      </c>
      <c r="B647" s="83" t="s">
        <v>4436</v>
      </c>
      <c r="C647" s="83" t="str">
        <f>IF(OR('Start here'!$C$26=RefData!$B$9,'Covenant summary information'!$C$12&lt;3,NOT(TRIM('Covenant summary information'!$C44)=""), ISNUMBER(SEARCH(RefData!$B$2,$C$247))),"
"&amp;RefData!$B$2&amp;"
"&amp; B647,B647)</f>
        <v xml:space="preserve">
No answer required
Charity number (if applicable)
</v>
      </c>
      <c r="D647" s="83" t="s">
        <v>550</v>
      </c>
    </row>
    <row r="648" spans="1:4" ht="77.5">
      <c r="A648" s="83" t="s">
        <v>3452</v>
      </c>
      <c r="B648" s="83" t="s">
        <v>4437</v>
      </c>
      <c r="C648" s="83" t="str">
        <f>IF(OR('Start here'!$C$26=RefData!$B$9,'Covenant summary information'!$C$12&lt;3,NOT(TRIM('Covenant summary information'!$C$44)=""),NOT(ISBLANK('Covenant summary information'!$C$45)), ISNUMBER(SEARCH(RefData!$B$2,$C$247))),"
"&amp;RefData!$B$2&amp;"
"&amp; B648,B648)</f>
        <v xml:space="preserve">
No answer required
Trading name
</v>
      </c>
      <c r="D648" s="83" t="s">
        <v>551</v>
      </c>
    </row>
    <row r="649" spans="1:4" ht="77.5">
      <c r="A649" s="83" t="s">
        <v>3453</v>
      </c>
      <c r="B649" s="83" t="s">
        <v>4438</v>
      </c>
      <c r="C649" s="83" t="str">
        <f>IF(OR('Start here'!$C$26=RefData!$B$9,'Covenant summary information'!$C$12&lt;3,NOT(TRIM('Covenant summary information'!$C$44)=""),NOT(ISBLANK('Covenant summary information'!$C$45)), ISNUMBER(SEARCH(RefData!$B$2,$C$247))),"
"&amp;RefData!$B$2&amp;"
"&amp; B649,B649)</f>
        <v xml:space="preserve">
No answer required
Address line 1
</v>
      </c>
      <c r="D649" s="83" t="s">
        <v>552</v>
      </c>
    </row>
    <row r="650" spans="1:4" ht="77.5">
      <c r="A650" s="83" t="s">
        <v>3454</v>
      </c>
      <c r="B650" s="83" t="s">
        <v>4439</v>
      </c>
      <c r="C650" s="83" t="str">
        <f>IF(OR('Start here'!$C$26=RefData!$B$9,'Covenant summary information'!$C$12&lt;3,NOT(TRIM('Covenant summary information'!$C$44)=""),NOT(ISBLANK('Covenant summary information'!$C$45)), ISNUMBER(SEARCH(RefData!$B$2,$C$247))),"
"&amp;RefData!$B$2&amp;"
"&amp; B650,B650)</f>
        <v xml:space="preserve">
No answer required
Address line 2 (optional)
</v>
      </c>
      <c r="D650" s="83" t="s">
        <v>553</v>
      </c>
    </row>
    <row r="651" spans="1:4" ht="77.5">
      <c r="A651" s="83" t="s">
        <v>3455</v>
      </c>
      <c r="B651" s="83" t="s">
        <v>4440</v>
      </c>
      <c r="C651" s="83" t="str">
        <f>IF(OR('Start here'!$C$26=RefData!$B$9,'Covenant summary information'!$C$12&lt;3,NOT(TRIM('Covenant summary information'!$C$44)=""),NOT(ISBLANK('Covenant summary information'!$C$45)), ISNUMBER(SEARCH(RefData!$B$2,$C$247))),"
"&amp;RefData!$B$2&amp;"
"&amp; B651,B651)</f>
        <v xml:space="preserve">
No answer required
Address line 3 (optional)
</v>
      </c>
      <c r="D651" s="83" t="s">
        <v>554</v>
      </c>
    </row>
    <row r="652" spans="1:4" ht="77.5">
      <c r="A652" s="83" t="s">
        <v>3456</v>
      </c>
      <c r="B652" s="83" t="s">
        <v>4441</v>
      </c>
      <c r="C652" s="83" t="str">
        <f>IF(OR('Start here'!$C$26=RefData!$B$9,'Covenant summary information'!$C$12&lt;3,NOT(TRIM('Covenant summary information'!$C$44)=""),NOT(ISBLANK('Covenant summary information'!$C$45)), ISNUMBER(SEARCH(RefData!$B$2,$C$247))),"
"&amp;RefData!$B$2&amp;"
"&amp; B652,B652)</f>
        <v xml:space="preserve">
No answer required
Post town or city
</v>
      </c>
      <c r="D652" s="83" t="s">
        <v>555</v>
      </c>
    </row>
    <row r="653" spans="1:4" ht="77.5">
      <c r="A653" s="83" t="s">
        <v>3457</v>
      </c>
      <c r="B653" s="83" t="s">
        <v>4442</v>
      </c>
      <c r="C653" s="83" t="str">
        <f>IF(OR('Start here'!$C$26=RefData!$B$9,'Covenant summary information'!$C$12&lt;3,NOT(TRIM('Covenant summary information'!$C$44)=""),NOT(ISBLANK('Covenant summary information'!$C$45)), ISNUMBER(SEARCH(RefData!$B$2,$C$247))),"
"&amp;RefData!$B$2&amp;"
"&amp; B653,B653)</f>
        <v xml:space="preserve">
No answer required
Country
</v>
      </c>
      <c r="D653" s="83" t="s">
        <v>556</v>
      </c>
    </row>
    <row r="654" spans="1:4" ht="77.5">
      <c r="A654" s="83" t="s">
        <v>3458</v>
      </c>
      <c r="B654" s="83" t="s">
        <v>4443</v>
      </c>
      <c r="C654" s="83" t="str">
        <f>IF(OR('Start here'!$C$26=RefData!$B$9,,'Covenant summary information'!$C$12&lt;3,NOT(TRIM('Covenant summary information'!$C$44)=""),NOT(ISBLANK('Covenant summary information'!$C$45)), ISNUMBER(SEARCH(RefData!$B$2,$C$247))),"
"&amp;RefData!$B$2&amp;"
"&amp; B654,B654)</f>
        <v xml:space="preserve">
No answer required
Postcode
</v>
      </c>
      <c r="D654" s="83" t="s">
        <v>558</v>
      </c>
    </row>
    <row r="655" spans="1:4" ht="77.5">
      <c r="A655" s="83" t="s">
        <v>3459</v>
      </c>
      <c r="B655" s="83" t="s">
        <v>4434</v>
      </c>
      <c r="C655" s="83" t="str">
        <f>IF(OR('Start here'!$C$26=RefData!$B$9, 'Covenant summary information'!$C$12&lt;4, ISNUMBER(SEARCH(RefData!$B$2,$C$247))),"
"&amp;RefData!$B$2&amp;"
"&amp; B655,B655)</f>
        <v xml:space="preserve">
No answer required
Legal name
</v>
      </c>
      <c r="D655" s="83" t="s">
        <v>560</v>
      </c>
    </row>
    <row r="656" spans="1:4" ht="77.5">
      <c r="A656" s="83" t="s">
        <v>3460</v>
      </c>
      <c r="B656" s="83" t="s">
        <v>4435</v>
      </c>
      <c r="C656" s="83" t="str">
        <f>IF(OR('Start here'!$C$26=RefData!$B$9, 'Covenant summary information'!$C$12&lt;4, ISNUMBER(SEARCH(RefData!$B$2,$C$247))),"
"&amp;RefData!$B$2&amp;"
"&amp; B656,B656)</f>
        <v xml:space="preserve">
No answer required
Companies House number (if applicable)
</v>
      </c>
      <c r="D656" s="83" t="s">
        <v>561</v>
      </c>
    </row>
    <row r="657" spans="1:4" ht="77.5">
      <c r="A657" s="83" t="s">
        <v>3461</v>
      </c>
      <c r="B657" s="83" t="s">
        <v>4436</v>
      </c>
      <c r="C657" s="83" t="str">
        <f>IF(OR('Start here'!$C$26=RefData!$B$9,'Covenant summary information'!$C$12&lt;4,NOT(TRIM('Covenant summary information'!$C57)=""), ISNUMBER(SEARCH(RefData!$B$2,$C$247))),"
"&amp;RefData!$B$2&amp;"
"&amp; B657,B657)</f>
        <v xml:space="preserve">
No answer required
Charity number (if applicable)
</v>
      </c>
      <c r="D657" s="83" t="s">
        <v>562</v>
      </c>
    </row>
    <row r="658" spans="1:4" ht="77.5">
      <c r="A658" s="83" t="s">
        <v>3462</v>
      </c>
      <c r="B658" s="83" t="s">
        <v>4437</v>
      </c>
      <c r="C658" s="83" t="str">
        <f>IF(OR('Start here'!$C$26=RefData!$B$9,'Covenant summary information'!$C$12&lt;4,NOT(TRIM('Covenant summary information'!$C$57)=""),NOT(ISBLANK('Covenant summary information'!$C$58)), ISNUMBER(SEARCH(RefData!$B$2,$C$247))),"
"&amp;RefData!$B$2&amp;"
"&amp; B658,B658)</f>
        <v xml:space="preserve">
No answer required
Trading name
</v>
      </c>
      <c r="D658" s="83" t="s">
        <v>563</v>
      </c>
    </row>
    <row r="659" spans="1:4" ht="77.5">
      <c r="A659" s="83" t="s">
        <v>3463</v>
      </c>
      <c r="B659" s="83" t="s">
        <v>4438</v>
      </c>
      <c r="C659" s="83" t="str">
        <f>IF(OR('Start here'!$C$26=RefData!$B$9,'Covenant summary information'!$C$12&lt;4,NOT(TRIM('Covenant summary information'!$C$57)=""),NOT(ISBLANK('Covenant summary information'!$C$58)), ISNUMBER(SEARCH(RefData!$B$2,$C$247))),"
"&amp;RefData!$B$2&amp;"
"&amp; B659,B659)</f>
        <v xml:space="preserve">
No answer required
Address line 1
</v>
      </c>
      <c r="D659" s="83" t="s">
        <v>564</v>
      </c>
    </row>
    <row r="660" spans="1:4" ht="77.5">
      <c r="A660" s="83" t="s">
        <v>3464</v>
      </c>
      <c r="B660" s="83" t="s">
        <v>4439</v>
      </c>
      <c r="C660" s="83" t="str">
        <f>IF(OR('Start here'!$C$26=RefData!$B$9,'Covenant summary information'!$C$12&lt;4,NOT(TRIM('Covenant summary information'!$C$57)=""),NOT(ISBLANK('Covenant summary information'!$C$58)), ISNUMBER(SEARCH(RefData!$B$2,$C$247))),"
"&amp;RefData!$B$2&amp;"
"&amp; B660,B660)</f>
        <v xml:space="preserve">
No answer required
Address line 2 (optional)
</v>
      </c>
      <c r="D660" s="83" t="s">
        <v>565</v>
      </c>
    </row>
    <row r="661" spans="1:4" ht="77.5">
      <c r="A661" s="83" t="s">
        <v>3465</v>
      </c>
      <c r="B661" s="83" t="s">
        <v>4440</v>
      </c>
      <c r="C661" s="83" t="str">
        <f>IF(OR('Start here'!$C$26=RefData!$B$9,'Covenant summary information'!$C$12&lt;4,NOT(TRIM('Covenant summary information'!$C$57)=""),NOT(ISBLANK('Covenant summary information'!$C$58)), ISNUMBER(SEARCH(RefData!$B$2,$C$247))),"
"&amp;RefData!$B$2&amp;"
"&amp; B661,B661)</f>
        <v xml:space="preserve">
No answer required
Address line 3 (optional)
</v>
      </c>
      <c r="D661" s="83" t="s">
        <v>566</v>
      </c>
    </row>
    <row r="662" spans="1:4" ht="77.5">
      <c r="A662" s="83" t="s">
        <v>3466</v>
      </c>
      <c r="B662" s="83" t="s">
        <v>4441</v>
      </c>
      <c r="C662" s="83" t="str">
        <f>IF(OR('Start here'!$C$26=RefData!$B$9,'Covenant summary information'!$C$12&lt;4,NOT(TRIM('Covenant summary information'!$C$57)=""),NOT(ISBLANK('Covenant summary information'!$C$58)), ISNUMBER(SEARCH(RefData!$B$2,$C$247))),"
"&amp;RefData!$B$2&amp;"
"&amp; B662,B662)</f>
        <v xml:space="preserve">
No answer required
Post town or city
</v>
      </c>
      <c r="D662" s="83" t="s">
        <v>567</v>
      </c>
    </row>
    <row r="663" spans="1:4" ht="77.5">
      <c r="A663" s="83" t="s">
        <v>3467</v>
      </c>
      <c r="B663" s="83" t="s">
        <v>4442</v>
      </c>
      <c r="C663" s="83" t="str">
        <f>IF(OR('Start here'!$C$26=RefData!$B$9,'Covenant summary information'!$C$12&lt;4,NOT(TRIM('Covenant summary information'!$C$57)=""),NOT(ISBLANK('Covenant summary information'!$C$58)), ISNUMBER(SEARCH(RefData!$B$2,$C$247))),"
"&amp;RefData!$B$2&amp;"
"&amp; B663,B663)</f>
        <v xml:space="preserve">
No answer required
Country
</v>
      </c>
      <c r="D663" s="83" t="s">
        <v>568</v>
      </c>
    </row>
    <row r="664" spans="1:4" ht="77.5">
      <c r="A664" s="83" t="s">
        <v>3468</v>
      </c>
      <c r="B664" s="83" t="s">
        <v>4443</v>
      </c>
      <c r="C664" s="83" t="str">
        <f>IF(OR('Start here'!$C$26=RefData!$B$9,,'Covenant summary information'!$C$12&lt;4,NOT(TRIM('Covenant summary information'!$C$57)=""),NOT(ISBLANK('Covenant summary information'!$C$58)), ISNUMBER(SEARCH(RefData!$B$2,$C$247))),"
"&amp;RefData!$B$2&amp;"
"&amp; B664,B664)</f>
        <v xml:space="preserve">
No answer required
Postcode
</v>
      </c>
      <c r="D664" s="83" t="s">
        <v>569</v>
      </c>
    </row>
    <row r="665" spans="1:4" ht="77.5">
      <c r="A665" s="83" t="s">
        <v>3469</v>
      </c>
      <c r="B665" s="83" t="s">
        <v>4434</v>
      </c>
      <c r="C665" s="83" t="str">
        <f>IF(OR('Start here'!$C$26=RefData!$B$9, 'Covenant summary information'!$C$12&lt;5, ISNUMBER(SEARCH(RefData!$B$2,$C$247))),"
"&amp;RefData!$B$2&amp;"
"&amp; B665,B665)</f>
        <v xml:space="preserve">
No answer required
Legal name
</v>
      </c>
      <c r="D665" s="83" t="s">
        <v>571</v>
      </c>
    </row>
    <row r="666" spans="1:4" ht="77.5">
      <c r="A666" s="83" t="s">
        <v>3470</v>
      </c>
      <c r="B666" s="83" t="s">
        <v>4435</v>
      </c>
      <c r="C666" s="83" t="str">
        <f>IF(OR('Start here'!$C$26=RefData!$B$9, 'Covenant summary information'!$C$12&lt;5, ISNUMBER(SEARCH(RefData!$B$2,$C$247))),"
"&amp;RefData!$B$2&amp;"
"&amp; B666,B666)</f>
        <v xml:space="preserve">
No answer required
Companies House number (if applicable)
</v>
      </c>
      <c r="D666" s="83" t="s">
        <v>572</v>
      </c>
    </row>
    <row r="667" spans="1:4" ht="77.5">
      <c r="A667" s="83" t="s">
        <v>3471</v>
      </c>
      <c r="B667" s="83" t="s">
        <v>4436</v>
      </c>
      <c r="C667" s="83" t="str">
        <f>IF(OR('Start here'!$C$26=RefData!$B$9,'Covenant summary information'!$C$12&lt;5,NOT(TRIM('Covenant summary information'!$C70)=""), ISNUMBER(SEARCH(RefData!$B$2,$C$247))),"
"&amp;RefData!$B$2&amp;"
"&amp; B667,B667)</f>
        <v xml:space="preserve">
No answer required
Charity number (if applicable)
</v>
      </c>
      <c r="D667" s="83" t="s">
        <v>573</v>
      </c>
    </row>
    <row r="668" spans="1:4" ht="77.5">
      <c r="A668" s="83" t="s">
        <v>3472</v>
      </c>
      <c r="B668" s="83" t="s">
        <v>4437</v>
      </c>
      <c r="C668" s="83" t="str">
        <f>IF(OR('Start here'!$C$26=RefData!$B$9,'Covenant summary information'!$C$12&lt;5,NOT(TRIM('Covenant summary information'!$C$70)=""),NOT(ISBLANK('Covenant summary information'!$C$71)), ISNUMBER(SEARCH(RefData!$B$2,$C$247))),"
"&amp;RefData!$B$2&amp;"
"&amp; B668,B668)</f>
        <v xml:space="preserve">
No answer required
Trading name
</v>
      </c>
      <c r="D668" s="83" t="s">
        <v>574</v>
      </c>
    </row>
    <row r="669" spans="1:4" ht="77.5">
      <c r="A669" s="83" t="s">
        <v>3473</v>
      </c>
      <c r="B669" s="83" t="s">
        <v>4438</v>
      </c>
      <c r="C669" s="83" t="str">
        <f>IF(OR('Start here'!$C$26=RefData!$B$9,'Covenant summary information'!$C$12&lt;5,NOT(TRIM('Covenant summary information'!$C$70)=""),NOT(ISBLANK('Covenant summary information'!$C$71)), ISNUMBER(SEARCH(RefData!$B$2,$C$247))),"
"&amp;RefData!$B$2&amp;"
"&amp; B669,B669)</f>
        <v xml:space="preserve">
No answer required
Address line 1
</v>
      </c>
      <c r="D669" s="83" t="s">
        <v>575</v>
      </c>
    </row>
    <row r="670" spans="1:4" ht="77.5">
      <c r="A670" s="83" t="s">
        <v>3474</v>
      </c>
      <c r="B670" s="83" t="s">
        <v>4439</v>
      </c>
      <c r="C670" s="83" t="str">
        <f>IF(OR('Start here'!$C$26=RefData!$B$9,'Covenant summary information'!$C$12&lt;5,NOT(TRIM('Covenant summary information'!$C$70)=""),NOT(ISBLANK('Covenant summary information'!$C$71)), ISNUMBER(SEARCH(RefData!$B$2,$C$247))),"
"&amp;RefData!$B$2&amp;"
"&amp; B670,B670)</f>
        <v xml:space="preserve">
No answer required
Address line 2 (optional)
</v>
      </c>
      <c r="D670" s="83" t="s">
        <v>576</v>
      </c>
    </row>
    <row r="671" spans="1:4" ht="77.5">
      <c r="A671" s="83" t="s">
        <v>3475</v>
      </c>
      <c r="B671" s="83" t="s">
        <v>4440</v>
      </c>
      <c r="C671" s="83" t="str">
        <f>IF(OR('Start here'!$C$26=RefData!$B$9,'Covenant summary information'!$C$12&lt;5,NOT(TRIM('Covenant summary information'!$C$70)=""),NOT(ISBLANK('Covenant summary information'!$C$71)), ISNUMBER(SEARCH(RefData!$B$2,$C$247))),"
"&amp;RefData!$B$2&amp;"
"&amp; B671,B671)</f>
        <v xml:space="preserve">
No answer required
Address line 3 (optional)
</v>
      </c>
      <c r="D671" s="83" t="s">
        <v>577</v>
      </c>
    </row>
    <row r="672" spans="1:4" ht="77.5">
      <c r="A672" s="83" t="s">
        <v>3476</v>
      </c>
      <c r="B672" s="83" t="s">
        <v>4441</v>
      </c>
      <c r="C672" s="83" t="str">
        <f>IF(OR('Start here'!$C$26=RefData!$B$9,'Covenant summary information'!$C$12&lt;5,NOT(TRIM('Covenant summary information'!$C$70)=""),NOT(ISBLANK('Covenant summary information'!$C$71)), ISNUMBER(SEARCH(RefData!$B$2,$C$247))),"
"&amp;RefData!$B$2&amp;"
"&amp; B672,B672)</f>
        <v xml:space="preserve">
No answer required
Post town or city
</v>
      </c>
      <c r="D672" s="83" t="s">
        <v>578</v>
      </c>
    </row>
    <row r="673" spans="1:4" ht="77.5">
      <c r="A673" s="83" t="s">
        <v>3477</v>
      </c>
      <c r="B673" s="83" t="s">
        <v>4442</v>
      </c>
      <c r="C673" s="83" t="str">
        <f>IF(OR('Start here'!$C$26=RefData!$B$9,'Covenant summary information'!$C$12&lt;5,NOT(TRIM('Covenant summary information'!$C$70)=""),NOT(ISBLANK('Covenant summary information'!$C$71)), ISNUMBER(SEARCH(RefData!$B$2,$C$247))),"
"&amp;RefData!$B$2&amp;"
"&amp; B673,B673)</f>
        <v xml:space="preserve">
No answer required
Country
</v>
      </c>
      <c r="D673" s="83" t="s">
        <v>579</v>
      </c>
    </row>
    <row r="674" spans="1:4" ht="77.5">
      <c r="A674" s="83" t="s">
        <v>3478</v>
      </c>
      <c r="B674" s="83" t="s">
        <v>4443</v>
      </c>
      <c r="C674" s="83" t="str">
        <f>IF(OR('Start here'!$C$26=RefData!$B$9,,'Covenant summary information'!$C$12&lt;5,NOT(TRIM('Covenant summary information'!$C$70)=""),NOT(ISBLANK('Covenant summary information'!$C$71)), ISNUMBER(SEARCH(RefData!$B$2,$C$247))),"
"&amp;RefData!$B$2&amp;"
"&amp; B674,B674)</f>
        <v xml:space="preserve">
No answer required
Postcode
</v>
      </c>
      <c r="D674" s="83" t="s">
        <v>581</v>
      </c>
    </row>
    <row r="675" spans="1:4" ht="93">
      <c r="A675" s="83" t="s">
        <v>3520</v>
      </c>
      <c r="B675" s="83" t="s">
        <v>4452</v>
      </c>
      <c r="C675" s="83" t="str">
        <f>IF('Asset-backed contributions'!$C$7&lt;1,"
"&amp;RefData!$B$2&amp;"
"&amp; B675,B675)</f>
        <v xml:space="preserve">
No answer required
What is the type of security underlying the asset backed contribution arrangement?
</v>
      </c>
      <c r="D675" s="83" t="s">
        <v>1403</v>
      </c>
    </row>
    <row r="676" spans="1:4" ht="77.5">
      <c r="A676" s="83" t="s">
        <v>3521</v>
      </c>
      <c r="B676" s="83" t="s">
        <v>4453</v>
      </c>
      <c r="C676" s="83" t="str">
        <f>IF('Asset-backed contributions'!$C$7&lt;1,"
"&amp;RefData!$B$2&amp;"
"&amp; B676,B676)</f>
        <v xml:space="preserve">
No answer required
A summary of the underlying asset
</v>
      </c>
      <c r="D676" s="83" t="s">
        <v>1404</v>
      </c>
    </row>
    <row r="677" spans="1:4" ht="77.5">
      <c r="A677" s="83" t="s">
        <v>3522</v>
      </c>
      <c r="B677" s="83" t="s">
        <v>4449</v>
      </c>
      <c r="C677" s="83" t="str">
        <f>IF('Asset-backed contributions'!$C$7&lt;1,"
"&amp;RefData!$B$2&amp;"
"&amp; B677,B677)</f>
        <v xml:space="preserve">
No answer required
Maturity type
</v>
      </c>
      <c r="D677" s="83" t="s">
        <v>1405</v>
      </c>
    </row>
    <row r="678" spans="1:4" ht="77.5">
      <c r="A678" s="83" t="s">
        <v>3523</v>
      </c>
      <c r="B678" s="83" t="s">
        <v>4360</v>
      </c>
      <c r="C678" s="83" t="str">
        <f>IF(OR('Asset-backed contributions'!$C$7&lt;1,NOT('Asset-backed contributions'!$C$14=RefData!$B$188)),"
"&amp;RefData!$B$2&amp;"
"&amp; B678,B678)</f>
        <v xml:space="preserve">
No answer required
Date of maturity
</v>
      </c>
      <c r="D678" s="83" t="s">
        <v>1406</v>
      </c>
    </row>
    <row r="679" spans="1:4" ht="77.5">
      <c r="A679" s="83" t="s">
        <v>3524</v>
      </c>
      <c r="B679" s="83" t="s">
        <v>4361</v>
      </c>
      <c r="C679" s="83" t="str">
        <f>IF(OR('Asset-backed contributions'!$C$7&lt;1,NOT('Asset-backed contributions'!$C$14=RefData!$B$189)),"
"&amp;RefData!$B$2&amp;"
"&amp; B679,B679)</f>
        <v xml:space="preserve">
No answer required
Maturity date narrative
</v>
      </c>
      <c r="D679" s="83" t="s">
        <v>1407</v>
      </c>
    </row>
    <row r="680" spans="1:4" ht="77.5">
      <c r="A680" s="83" t="s">
        <v>3525</v>
      </c>
      <c r="B680" s="83" t="s">
        <v>4454</v>
      </c>
      <c r="C680" s="83" t="str">
        <f>IF('Asset-backed contributions'!$C$7&lt;1,"
"&amp;RefData!$B$2&amp;"
"&amp; B680,B680)</f>
        <v xml:space="preserve">
No answer required
Net present value (NPV) (£)
</v>
      </c>
      <c r="D680" s="83" t="s">
        <v>1408</v>
      </c>
    </row>
    <row r="681" spans="1:4" ht="77.5">
      <c r="A681" s="83" t="s">
        <v>3526</v>
      </c>
      <c r="B681" s="83" t="s">
        <v>4455</v>
      </c>
      <c r="C681" s="83" t="str">
        <f>IF('Asset-backed contributions'!$C$7&lt;1,"
"&amp;RefData!$B$2&amp;"
"&amp; B681,B681)</f>
        <v xml:space="preserve">
No answer required
Date NPV calculated
</v>
      </c>
      <c r="D681" s="83" t="s">
        <v>1409</v>
      </c>
    </row>
    <row r="682" spans="1:4" ht="77.5">
      <c r="A682" s="83" t="s">
        <v>3527</v>
      </c>
      <c r="B682" s="83" t="s">
        <v>4456</v>
      </c>
      <c r="C682" s="83" t="str">
        <f>IF('Asset-backed contributions'!$C$7&lt;1,"
"&amp;RefData!$B$2&amp;"
"&amp; B682,B682)</f>
        <v xml:space="preserve">
No answer required
Value of underlying asset (£) (optional)
</v>
      </c>
      <c r="D682" s="83" t="s">
        <v>1410</v>
      </c>
    </row>
    <row r="683" spans="1:4" ht="77.5">
      <c r="A683" s="83" t="s">
        <v>3528</v>
      </c>
      <c r="B683" s="83" t="s">
        <v>4457</v>
      </c>
      <c r="C683" s="83" t="str">
        <f>IF('Asset-backed contributions'!$C$7&lt;1,"
"&amp;RefData!$B$2&amp;"
"&amp; B683,B683)</f>
        <v xml:space="preserve">
No answer required
Date of valuation of underlying asset (optional)
</v>
      </c>
      <c r="D683" s="83" t="s">
        <v>1411</v>
      </c>
    </row>
    <row r="684" spans="1:4" ht="62">
      <c r="A684" s="83" t="s">
        <v>3529</v>
      </c>
      <c r="B684" s="83" t="s">
        <v>4458</v>
      </c>
      <c r="C684" s="83" t="str">
        <f>IF(OR('Start here'!$C$26=RefData!$B$9, AND('Start here'!$C$26=RefData!$B$10, 'Asset-backed contributions'!$C$7&lt;1)),"
"&amp;RefData!$B$2&amp;"
"&amp; B684,B684)</f>
        <v xml:space="preserve">
Triggers for any cessation of payment schedule, or for termination of ABC
</v>
      </c>
      <c r="D684" s="83" t="s">
        <v>1412</v>
      </c>
    </row>
    <row r="685" spans="1:4" ht="93">
      <c r="A685" s="83" t="s">
        <v>3530</v>
      </c>
      <c r="B685" s="83" t="s">
        <v>4452</v>
      </c>
      <c r="C685" s="83" t="str">
        <f>IF('Asset-backed contributions'!$C$7&lt;2,"
"&amp;RefData!$B$2&amp;"
"&amp; B685,B685)</f>
        <v xml:space="preserve">
No answer required
What is the type of security underlying the asset backed contribution arrangement?
</v>
      </c>
      <c r="D685" s="83" t="s">
        <v>1414</v>
      </c>
    </row>
    <row r="686" spans="1:4" ht="77.5">
      <c r="A686" s="83" t="s">
        <v>3531</v>
      </c>
      <c r="B686" s="83" t="s">
        <v>4453</v>
      </c>
      <c r="C686" s="83" t="str">
        <f>IF('Asset-backed contributions'!$C$7&lt;2,"
"&amp;RefData!$B$2&amp;"
"&amp; B686,B686)</f>
        <v xml:space="preserve">
No answer required
A summary of the underlying asset
</v>
      </c>
      <c r="D686" s="83" t="s">
        <v>1416</v>
      </c>
    </row>
    <row r="687" spans="1:4" ht="77.5">
      <c r="A687" s="83" t="s">
        <v>3532</v>
      </c>
      <c r="B687" s="83" t="s">
        <v>4449</v>
      </c>
      <c r="C687" s="83" t="str">
        <f>IF('Asset-backed contributions'!$C$7&lt;2,"
"&amp;RefData!$B$2&amp;"
"&amp; B687,B687)</f>
        <v xml:space="preserve">
No answer required
Maturity type
</v>
      </c>
      <c r="D687" s="83" t="s">
        <v>1417</v>
      </c>
    </row>
    <row r="688" spans="1:4" ht="77.5">
      <c r="A688" s="83" t="s">
        <v>3533</v>
      </c>
      <c r="B688" s="83" t="s">
        <v>4360</v>
      </c>
      <c r="C688" s="83" t="str">
        <f>IF(OR('Asset-backed contributions'!$C$7&lt;2,NOT('Asset-backed contributions'!$C$27=RefData!$B$188)),"
"&amp;RefData!$B$2&amp;"
"&amp; B688,B688)</f>
        <v xml:space="preserve">
No answer required
Date of maturity
</v>
      </c>
      <c r="D688" s="83" t="s">
        <v>1418</v>
      </c>
    </row>
    <row r="689" spans="1:4" ht="77.5">
      <c r="A689" s="83" t="s">
        <v>3534</v>
      </c>
      <c r="B689" s="83" t="s">
        <v>4361</v>
      </c>
      <c r="C689" s="83" t="str">
        <f>IF(OR('Asset-backed contributions'!$C$7&lt;2,NOT('Asset-backed contributions'!$C$27=RefData!$B$189)),"
"&amp;RefData!$B$2&amp;"
"&amp; B689,B689)</f>
        <v xml:space="preserve">
No answer required
Maturity date narrative
</v>
      </c>
      <c r="D689" s="83" t="s">
        <v>1419</v>
      </c>
    </row>
    <row r="690" spans="1:4" ht="77.5">
      <c r="A690" s="83" t="s">
        <v>3535</v>
      </c>
      <c r="B690" s="83" t="s">
        <v>4454</v>
      </c>
      <c r="C690" s="83" t="str">
        <f>IF('Asset-backed contributions'!$C$7&lt;2,"
"&amp;RefData!$B$2&amp;"
"&amp; B690,B690)</f>
        <v xml:space="preserve">
No answer required
Net present value (NPV) (£)
</v>
      </c>
      <c r="D690" s="83" t="s">
        <v>1420</v>
      </c>
    </row>
    <row r="691" spans="1:4" ht="77.5">
      <c r="A691" s="83" t="s">
        <v>3536</v>
      </c>
      <c r="B691" s="83" t="s">
        <v>4455</v>
      </c>
      <c r="C691" s="83" t="str">
        <f>IF('Asset-backed contributions'!$C$7&lt;2,"
"&amp;RefData!$B$2&amp;"
"&amp; B691,B691)</f>
        <v xml:space="preserve">
No answer required
Date NPV calculated
</v>
      </c>
      <c r="D691" s="83" t="s">
        <v>1421</v>
      </c>
    </row>
    <row r="692" spans="1:4" ht="77.5">
      <c r="A692" s="83" t="s">
        <v>3537</v>
      </c>
      <c r="B692" s="83" t="s">
        <v>4456</v>
      </c>
      <c r="C692" s="83" t="str">
        <f>IF('Asset-backed contributions'!$C$7&lt;2,"
"&amp;RefData!$B$2&amp;"
"&amp; B692,B692)</f>
        <v xml:space="preserve">
No answer required
Value of underlying asset (£) (optional)
</v>
      </c>
      <c r="D692" s="83" t="s">
        <v>1422</v>
      </c>
    </row>
    <row r="693" spans="1:4" ht="77.5">
      <c r="A693" s="83" t="s">
        <v>3538</v>
      </c>
      <c r="B693" s="83" t="s">
        <v>4457</v>
      </c>
      <c r="C693" s="83" t="str">
        <f>IF('Asset-backed contributions'!$C$7&lt;2,"
"&amp;RefData!$B$2&amp;"
"&amp; B693,B693)</f>
        <v xml:space="preserve">
No answer required
Date of valuation of underlying asset (optional)
</v>
      </c>
      <c r="D693" s="83" t="s">
        <v>1423</v>
      </c>
    </row>
    <row r="694" spans="1:4" ht="62">
      <c r="A694" s="83" t="s">
        <v>3539</v>
      </c>
      <c r="B694" s="83" t="s">
        <v>4458</v>
      </c>
      <c r="C694" s="83" t="str">
        <f>IF(OR('Start here'!$C$26=RefData!$B$9, AND('Start here'!$C$26=RefData!$B$10, 'Asset-backed contributions'!$C$7&lt;2)),"
"&amp;RefData!$B$2&amp;"
"&amp; B694,B694)</f>
        <v xml:space="preserve">
Triggers for any cessation of payment schedule, or for termination of ABC
</v>
      </c>
      <c r="D694" s="83" t="s">
        <v>1424</v>
      </c>
    </row>
    <row r="695" spans="1:4" ht="93">
      <c r="A695" s="83" t="s">
        <v>3540</v>
      </c>
      <c r="B695" s="83" t="s">
        <v>4452</v>
      </c>
      <c r="C695" s="83" t="str">
        <f>IF('Asset-backed contributions'!$C$7&lt;3,"
"&amp;RefData!$B$2&amp;"
"&amp; B695,B695)</f>
        <v xml:space="preserve">
No answer required
What is the type of security underlying the asset backed contribution arrangement?
</v>
      </c>
      <c r="D695" s="83" t="s">
        <v>1426</v>
      </c>
    </row>
    <row r="696" spans="1:4" ht="77.5">
      <c r="A696" s="83" t="s">
        <v>3541</v>
      </c>
      <c r="B696" s="83" t="s">
        <v>4453</v>
      </c>
      <c r="C696" s="83" t="str">
        <f>IF('Asset-backed contributions'!$C$7&lt;3,"
"&amp;RefData!$B$2&amp;"
"&amp; B696,B696)</f>
        <v xml:space="preserve">
No answer required
A summary of the underlying asset
</v>
      </c>
      <c r="D696" s="83" t="s">
        <v>1428</v>
      </c>
    </row>
    <row r="697" spans="1:4" ht="77.5">
      <c r="A697" s="83" t="s">
        <v>3542</v>
      </c>
      <c r="B697" s="83" t="s">
        <v>4449</v>
      </c>
      <c r="C697" s="83" t="str">
        <f>IF('Asset-backed contributions'!$C$7&lt;3,"
"&amp;RefData!$B$2&amp;"
"&amp; B697,B697)</f>
        <v xml:space="preserve">
No answer required
Maturity type
</v>
      </c>
      <c r="D697" s="83" t="s">
        <v>1429</v>
      </c>
    </row>
    <row r="698" spans="1:4" ht="77.5">
      <c r="A698" s="83" t="s">
        <v>3543</v>
      </c>
      <c r="B698" s="83" t="s">
        <v>4360</v>
      </c>
      <c r="C698" s="83" t="str">
        <f>IF(OR('Asset-backed contributions'!$C$7&lt;3,NOT('Asset-backed contributions'!$C$40=RefData!$B$188)),"
"&amp;RefData!$B$2&amp;"
"&amp; B698,B698)</f>
        <v xml:space="preserve">
No answer required
Date of maturity
</v>
      </c>
      <c r="D698" s="83" t="s">
        <v>1430</v>
      </c>
    </row>
    <row r="699" spans="1:4" ht="77.5">
      <c r="A699" s="83" t="s">
        <v>3544</v>
      </c>
      <c r="B699" s="83" t="s">
        <v>4361</v>
      </c>
      <c r="C699" s="83" t="str">
        <f>IF(OR('Asset-backed contributions'!$C$7&lt;3,NOT('Asset-backed contributions'!$C$40=RefData!$B$189)),"
"&amp;RefData!$B$2&amp;"
"&amp; B699,B699)</f>
        <v xml:space="preserve">
No answer required
Maturity date narrative
</v>
      </c>
      <c r="D699" s="83" t="s">
        <v>1431</v>
      </c>
    </row>
    <row r="700" spans="1:4" ht="77.5">
      <c r="A700" s="83" t="s">
        <v>3545</v>
      </c>
      <c r="B700" s="83" t="s">
        <v>4454</v>
      </c>
      <c r="C700" s="83" t="str">
        <f>IF('Asset-backed contributions'!$C$7&lt;3,"
"&amp;RefData!$B$2&amp;"
"&amp; B700,B700)</f>
        <v xml:space="preserve">
No answer required
Net present value (NPV) (£)
</v>
      </c>
      <c r="D700" s="83" t="s">
        <v>1432</v>
      </c>
    </row>
    <row r="701" spans="1:4" ht="77.5">
      <c r="A701" s="83" t="s">
        <v>3546</v>
      </c>
      <c r="B701" s="83" t="s">
        <v>4455</v>
      </c>
      <c r="C701" s="83" t="str">
        <f>IF('Asset-backed contributions'!$C$7&lt;3,"
"&amp;RefData!$B$2&amp;"
"&amp; B701,B701)</f>
        <v xml:space="preserve">
No answer required
Date NPV calculated
</v>
      </c>
      <c r="D701" s="83" t="s">
        <v>1433</v>
      </c>
    </row>
    <row r="702" spans="1:4" ht="77.5">
      <c r="A702" s="83" t="s">
        <v>3547</v>
      </c>
      <c r="B702" s="83" t="s">
        <v>4456</v>
      </c>
      <c r="C702" s="83" t="str">
        <f>IF('Asset-backed contributions'!$C$7&lt;3,"
"&amp;RefData!$B$2&amp;"
"&amp; B702,B702)</f>
        <v xml:space="preserve">
No answer required
Value of underlying asset (£) (optional)
</v>
      </c>
      <c r="D702" s="83" t="s">
        <v>1434</v>
      </c>
    </row>
    <row r="703" spans="1:4" ht="77.5">
      <c r="A703" s="83" t="s">
        <v>3548</v>
      </c>
      <c r="B703" s="83" t="s">
        <v>4457</v>
      </c>
      <c r="C703" s="83" t="str">
        <f>IF('Asset-backed contributions'!$C$7&lt;3,"
"&amp;RefData!$B$2&amp;"
"&amp; B703,B703)</f>
        <v xml:space="preserve">
No answer required
Date of valuation of underlying asset (optional)
</v>
      </c>
      <c r="D703" s="83" t="s">
        <v>1435</v>
      </c>
    </row>
    <row r="704" spans="1:4" ht="62">
      <c r="A704" s="83" t="s">
        <v>3549</v>
      </c>
      <c r="B704" s="83" t="s">
        <v>4458</v>
      </c>
      <c r="C704" s="83" t="str">
        <f>IF(OR('Start here'!$C$26=RefData!$B$9, AND('Start here'!$C$26=RefData!$B$10, 'Asset-backed contributions'!$C$7&lt;3)),"
"&amp;RefData!$B$2&amp;"
"&amp; B704,B704)</f>
        <v xml:space="preserve">
Triggers for any cessation of payment schedule, or for termination of ABC
</v>
      </c>
      <c r="D704" s="83" t="s">
        <v>1436</v>
      </c>
    </row>
    <row r="705" spans="1:4" ht="93">
      <c r="A705" s="83" t="s">
        <v>3550</v>
      </c>
      <c r="B705" s="83" t="s">
        <v>4452</v>
      </c>
      <c r="C705" s="83" t="str">
        <f>IF('Asset-backed contributions'!$C$7&lt;4,"
"&amp;RefData!$B$2&amp;"
"&amp; B705,B705)</f>
        <v xml:space="preserve">
No answer required
What is the type of security underlying the asset backed contribution arrangement?
</v>
      </c>
      <c r="D705" s="83" t="s">
        <v>1438</v>
      </c>
    </row>
    <row r="706" spans="1:4" ht="77.5">
      <c r="A706" s="83" t="s">
        <v>3551</v>
      </c>
      <c r="B706" s="83" t="s">
        <v>4453</v>
      </c>
      <c r="C706" s="83" t="str">
        <f>IF('Asset-backed contributions'!$C$7&lt;4,"
"&amp;RefData!$B$2&amp;"
"&amp; B706,B706)</f>
        <v xml:space="preserve">
No answer required
A summary of the underlying asset
</v>
      </c>
      <c r="D706" s="83" t="s">
        <v>1439</v>
      </c>
    </row>
    <row r="707" spans="1:4" ht="77.5">
      <c r="A707" s="83" t="s">
        <v>3552</v>
      </c>
      <c r="B707" s="83" t="s">
        <v>4449</v>
      </c>
      <c r="C707" s="83" t="str">
        <f>IF('Asset-backed contributions'!$C$7&lt;4,"
"&amp;RefData!$B$2&amp;"
"&amp; B707,B707)</f>
        <v xml:space="preserve">
No answer required
Maturity type
</v>
      </c>
      <c r="D707" s="83" t="s">
        <v>1440</v>
      </c>
    </row>
    <row r="708" spans="1:4" ht="77.5">
      <c r="A708" s="83" t="s">
        <v>3553</v>
      </c>
      <c r="B708" s="83" t="s">
        <v>4360</v>
      </c>
      <c r="C708" s="83" t="str">
        <f>IF(OR('Asset-backed contributions'!$C$7&lt;4,NOT('Asset-backed contributions'!$C$53=RefData!$B$188)),"
"&amp;RefData!$B$2&amp;"
"&amp; B708,B708)</f>
        <v xml:space="preserve">
No answer required
Date of maturity
</v>
      </c>
      <c r="D708" s="83" t="s">
        <v>1441</v>
      </c>
    </row>
    <row r="709" spans="1:4" ht="77.5">
      <c r="A709" s="83" t="s">
        <v>3554</v>
      </c>
      <c r="B709" s="83" t="s">
        <v>4361</v>
      </c>
      <c r="C709" s="83" t="str">
        <f>IF(OR('Asset-backed contributions'!$C$7&lt;4,NOT('Asset-backed contributions'!$C$53=RefData!$B$189)),"
"&amp;RefData!$B$2&amp;"
"&amp; B709,B709)</f>
        <v xml:space="preserve">
No answer required
Maturity date narrative
</v>
      </c>
      <c r="D709" s="83" t="s">
        <v>1442</v>
      </c>
    </row>
    <row r="710" spans="1:4" ht="77.5">
      <c r="A710" s="83" t="s">
        <v>3555</v>
      </c>
      <c r="B710" s="83" t="s">
        <v>4454</v>
      </c>
      <c r="C710" s="83" t="str">
        <f>IF('Asset-backed contributions'!$C$7&lt;4,"
"&amp;RefData!$B$2&amp;"
"&amp; B710,B710)</f>
        <v xml:space="preserve">
No answer required
Net present value (NPV) (£)
</v>
      </c>
      <c r="D710" s="83" t="s">
        <v>1443</v>
      </c>
    </row>
    <row r="711" spans="1:4" ht="77.5">
      <c r="A711" s="83" t="s">
        <v>3556</v>
      </c>
      <c r="B711" s="83" t="s">
        <v>4455</v>
      </c>
      <c r="C711" s="83" t="str">
        <f>IF('Asset-backed contributions'!$C$7&lt;4,"
"&amp;RefData!$B$2&amp;"
"&amp; B711,B711)</f>
        <v xml:space="preserve">
No answer required
Date NPV calculated
</v>
      </c>
      <c r="D711" s="83" t="s">
        <v>1444</v>
      </c>
    </row>
    <row r="712" spans="1:4" ht="77.5">
      <c r="A712" s="83" t="s">
        <v>3557</v>
      </c>
      <c r="B712" s="83" t="s">
        <v>4456</v>
      </c>
      <c r="C712" s="83" t="str">
        <f>IF('Asset-backed contributions'!$C$7&lt;4,"
"&amp;RefData!$B$2&amp;"
"&amp; B712,B712)</f>
        <v xml:space="preserve">
No answer required
Value of underlying asset (£) (optional)
</v>
      </c>
      <c r="D712" s="83" t="s">
        <v>1445</v>
      </c>
    </row>
    <row r="713" spans="1:4" ht="77.5">
      <c r="A713" s="83" t="s">
        <v>3558</v>
      </c>
      <c r="B713" s="83" t="s">
        <v>4457</v>
      </c>
      <c r="C713" s="83" t="str">
        <f>IF('Asset-backed contributions'!$C$7&lt;4,"
"&amp;RefData!$B$2&amp;"
"&amp; B713,B713)</f>
        <v xml:space="preserve">
No answer required
Date of valuation of underlying asset (optional)
</v>
      </c>
      <c r="D713" s="83" t="s">
        <v>1446</v>
      </c>
    </row>
    <row r="714" spans="1:4" ht="62">
      <c r="A714" s="83" t="s">
        <v>3559</v>
      </c>
      <c r="B714" s="83" t="s">
        <v>4458</v>
      </c>
      <c r="C714" s="83" t="str">
        <f>IF(OR('Start here'!$C$26=RefData!$B$9, AND('Start here'!$C$26=RefData!$B$10, 'Asset-backed contributions'!$C$7&lt;4)),"
"&amp;RefData!$B$2&amp;"
"&amp; B714,B714)</f>
        <v xml:space="preserve">
Triggers for any cessation of payment schedule, or for termination of ABC
</v>
      </c>
      <c r="D714" s="83" t="s">
        <v>1447</v>
      </c>
    </row>
    <row r="715" spans="1:4" ht="93">
      <c r="A715" s="83" t="s">
        <v>3560</v>
      </c>
      <c r="B715" s="83" t="s">
        <v>4452</v>
      </c>
      <c r="C715" s="83" t="str">
        <f>IF('Asset-backed contributions'!$C$7&lt;5,"
"&amp;RefData!$B$2&amp;"
"&amp; B715,B715)</f>
        <v xml:space="preserve">
No answer required
What is the type of security underlying the asset backed contribution arrangement?
</v>
      </c>
      <c r="D715" s="83" t="s">
        <v>1449</v>
      </c>
    </row>
    <row r="716" spans="1:4" ht="77.5">
      <c r="A716" s="83" t="s">
        <v>3561</v>
      </c>
      <c r="B716" s="83" t="s">
        <v>4453</v>
      </c>
      <c r="C716" s="83" t="str">
        <f>IF('Asset-backed contributions'!$C$7&lt;5,"
"&amp;RefData!$B$2&amp;"
"&amp; B716,B716)</f>
        <v xml:space="preserve">
No answer required
A summary of the underlying asset
</v>
      </c>
      <c r="D716" s="83" t="s">
        <v>1451</v>
      </c>
    </row>
    <row r="717" spans="1:4" ht="77.5">
      <c r="A717" s="83" t="s">
        <v>3562</v>
      </c>
      <c r="B717" s="83" t="s">
        <v>4449</v>
      </c>
      <c r="C717" s="83" t="str">
        <f>IF('Asset-backed contributions'!$C$7&lt;5,"
"&amp;RefData!$B$2&amp;"
"&amp; B717,B717)</f>
        <v xml:space="preserve">
No answer required
Maturity type
</v>
      </c>
      <c r="D717" s="83" t="s">
        <v>1452</v>
      </c>
    </row>
    <row r="718" spans="1:4" ht="77.5">
      <c r="A718" s="83" t="s">
        <v>3563</v>
      </c>
      <c r="B718" s="83" t="s">
        <v>4360</v>
      </c>
      <c r="C718" s="83" t="str">
        <f>IF(OR('Asset-backed contributions'!$C$7&lt;5,NOT('Asset-backed contributions'!$C$66=RefData!$B$188)),"
"&amp;RefData!$B$2&amp;"
"&amp; B718,B718)</f>
        <v xml:space="preserve">
No answer required
Date of maturity
</v>
      </c>
      <c r="D718" s="83" t="s">
        <v>1453</v>
      </c>
    </row>
    <row r="719" spans="1:4" ht="77.5">
      <c r="A719" s="83" t="s">
        <v>3564</v>
      </c>
      <c r="B719" s="83" t="s">
        <v>4361</v>
      </c>
      <c r="C719" s="83" t="str">
        <f>IF(OR('Asset-backed contributions'!$C$7&lt;5,NOT('Asset-backed contributions'!$C$66=RefData!$B$189)),"
"&amp;RefData!$B$2&amp;"
"&amp; B719,B719)</f>
        <v xml:space="preserve">
No answer required
Maturity date narrative
</v>
      </c>
      <c r="D719" s="83" t="s">
        <v>1454</v>
      </c>
    </row>
    <row r="720" spans="1:4" ht="77.5">
      <c r="A720" s="83" t="s">
        <v>3565</v>
      </c>
      <c r="B720" s="83" t="s">
        <v>4454</v>
      </c>
      <c r="C720" s="83" t="str">
        <f>IF('Asset-backed contributions'!$C$7&lt;5,"
"&amp;RefData!$B$2&amp;"
"&amp; B720,B720)</f>
        <v xml:space="preserve">
No answer required
Net present value (NPV) (£)
</v>
      </c>
      <c r="D720" s="83" t="s">
        <v>1455</v>
      </c>
    </row>
    <row r="721" spans="1:4" ht="77.5">
      <c r="A721" s="83" t="s">
        <v>3566</v>
      </c>
      <c r="B721" s="83" t="s">
        <v>4455</v>
      </c>
      <c r="C721" s="83" t="str">
        <f>IF('Asset-backed contributions'!$C$7&lt;5,"
"&amp;RefData!$B$2&amp;"
"&amp; B721,B721)</f>
        <v xml:space="preserve">
No answer required
Date NPV calculated
</v>
      </c>
      <c r="D721" s="83" t="s">
        <v>1456</v>
      </c>
    </row>
    <row r="722" spans="1:4" ht="77.5">
      <c r="A722" s="83" t="s">
        <v>3567</v>
      </c>
      <c r="B722" s="83" t="s">
        <v>4456</v>
      </c>
      <c r="C722" s="83" t="str">
        <f>IF('Asset-backed contributions'!$C$7&lt;5,"
"&amp;RefData!$B$2&amp;"
"&amp; B722,B722)</f>
        <v xml:space="preserve">
No answer required
Value of underlying asset (£) (optional)
</v>
      </c>
      <c r="D722" s="83" t="s">
        <v>1457</v>
      </c>
    </row>
    <row r="723" spans="1:4" ht="77.5">
      <c r="A723" s="83" t="s">
        <v>3568</v>
      </c>
      <c r="B723" s="83" t="s">
        <v>4457</v>
      </c>
      <c r="C723" s="83" t="str">
        <f>IF('Asset-backed contributions'!$C$7&lt;5,"
"&amp;RefData!$B$2&amp;"
"&amp; B723,B723)</f>
        <v xml:space="preserve">
No answer required
Date of valuation of underlying asset (optional)
</v>
      </c>
      <c r="D723" s="83" t="s">
        <v>1458</v>
      </c>
    </row>
    <row r="724" spans="1:4" ht="62">
      <c r="A724" s="83" t="s">
        <v>3569</v>
      </c>
      <c r="B724" s="83" t="s">
        <v>4458</v>
      </c>
      <c r="C724" s="83" t="str">
        <f>IF(OR('Start here'!$C$26=RefData!$B$9, AND('Start here'!$C$26=RefData!$B$10, 'Asset-backed contributions'!$C$7&lt;5)),"
"&amp;RefData!$B$2&amp;"
"&amp; B724,B724)</f>
        <v xml:space="preserve">
Triggers for any cessation of payment schedule, or for termination of ABC
</v>
      </c>
      <c r="D724" s="83" t="s">
        <v>1459</v>
      </c>
    </row>
    <row r="725" spans="1:4" ht="77.5">
      <c r="A725" s="83" t="s">
        <v>612</v>
      </c>
      <c r="B725" s="83" t="s">
        <v>4459</v>
      </c>
      <c r="C725" s="83" t="str">
        <f>IF(NOT(OR(AND('Start here'!$C$26=RefData!$B$10,'Start here'!$C$23=RefData!$B$18,'Covenant summary information'!$C$10=RefData!$B$119),AND('Start here'!$C$26=RefData!$B$10,'Start here'!$C$23=RefData!$B$17,'Covenant summary information'!$C$10=RefData!$B$119,'Start here'!$C$27=RefData!$B$12))),RefData!$B$2&amp;"
"&amp;B725,B725)</f>
        <v xml:space="preserve">No answer required
How many entities have been considered when determining the employer cash flow?
</v>
      </c>
      <c r="D725" s="83" t="s">
        <v>613</v>
      </c>
    </row>
    <row r="726" spans="1:4" ht="86.75" customHeight="1">
      <c r="A726" s="83" t="s">
        <v>615</v>
      </c>
      <c r="B726" s="83" t="s">
        <v>4434</v>
      </c>
      <c r="C726" s="83" t="str">
        <f>IF(OR('Start here'!$C$26=RefData!$B$9,'Employer CF and liquid assets'!$D$7&lt;1, ISNUMBER(SEARCH(RefData!$B$2,$C$725))),"
"&amp;RefData!$B$2&amp;"
"&amp; B726,B726)</f>
        <v xml:space="preserve">
No answer required
Legal name
</v>
      </c>
      <c r="D726" s="83" t="s">
        <v>616</v>
      </c>
    </row>
    <row r="727" spans="1:4" ht="77.5">
      <c r="A727" s="83" t="s">
        <v>617</v>
      </c>
      <c r="B727" s="83" t="s">
        <v>4435</v>
      </c>
      <c r="C727" s="83" t="str">
        <f>IF(OR('Start here'!$C$26=RefData!$B$9, 'Employer CF and liquid assets'!$D$7&lt;1, ISNUMBER(SEARCH(RefData!$B$2,$C$725))),"
"&amp;RefData!$B$2&amp;"
"&amp; B727,B727)</f>
        <v xml:space="preserve">
No answer required
Companies House number (if applicable)
</v>
      </c>
      <c r="D727" s="83" t="s">
        <v>618</v>
      </c>
    </row>
    <row r="728" spans="1:4" ht="77.5">
      <c r="A728" s="83" t="s">
        <v>619</v>
      </c>
      <c r="B728" s="83" t="s">
        <v>4436</v>
      </c>
      <c r="C728" s="83" t="str">
        <f>IF(OR('Start here'!$C$26=RefData!$B$9,'Employer CF and liquid assets'!$D$7&lt;1,NOT(TRIM('Employer CF and liquid assets'!$D$12)=""), ISNUMBER(SEARCH(RefData!$B$2,$C$725))),"
"&amp;RefData!$B$2&amp;"
"&amp; B728,B728)</f>
        <v xml:space="preserve">
No answer required
Charity number (if applicable)
</v>
      </c>
      <c r="D728" s="83" t="s">
        <v>620</v>
      </c>
    </row>
    <row r="729" spans="1:4" ht="77.5">
      <c r="A729" s="83" t="s">
        <v>621</v>
      </c>
      <c r="B729" s="83" t="s">
        <v>4437</v>
      </c>
      <c r="C729" s="83" t="str">
        <f>IF(OR('Start here'!$C$26=RefData!$B$9,'Employer CF and liquid assets'!$D$7&lt;1,NOT(TRIM('Employer CF and liquid assets'!$D$12)=""),NOT(ISBLANK('Employer CF and liquid assets'!$D$13)), ISNUMBER(SEARCH(RefData!$B$2,$C$725))),"
"&amp;RefData!$B$2&amp;"
"&amp; B729,B729)</f>
        <v xml:space="preserve">
No answer required
Trading name
</v>
      </c>
      <c r="D729" s="83" t="s">
        <v>622</v>
      </c>
    </row>
    <row r="730" spans="1:4" ht="77.5">
      <c r="A730" s="83" t="s">
        <v>623</v>
      </c>
      <c r="B730" s="83" t="s">
        <v>4438</v>
      </c>
      <c r="C730" s="83" t="str">
        <f>IF(OR('Start here'!$C$26=RefData!$B$9,'Employer CF and liquid assets'!$D$7&lt;1,NOT(TRIM('Employer CF and liquid assets'!$D$12)=""),NOT(ISBLANK('Employer CF and liquid assets'!$D$13)), ISNUMBER(SEARCH(RefData!$B$2,$C$725))),"
"&amp;RefData!$B$2&amp;"
"&amp; B730,B730)</f>
        <v xml:space="preserve">
No answer required
Address line 1
</v>
      </c>
      <c r="D730" s="83" t="s">
        <v>624</v>
      </c>
    </row>
    <row r="731" spans="1:4" ht="77.5">
      <c r="A731" s="83" t="s">
        <v>625</v>
      </c>
      <c r="B731" s="83" t="s">
        <v>4439</v>
      </c>
      <c r="C731" s="83" t="str">
        <f>IF(OR('Start here'!$C$26=RefData!$B$9,'Employer CF and liquid assets'!$D$7&lt;1,NOT(TRIM('Employer CF and liquid assets'!$D$12)=""),NOT(ISBLANK('Employer CF and liquid assets'!$D$13)), ISNUMBER(SEARCH(RefData!$B$2,$C$725))),"
"&amp;RefData!$B$2&amp;"
"&amp; B731,B731)</f>
        <v xml:space="preserve">
No answer required
Address line 2 (optional)
</v>
      </c>
      <c r="D731" s="83" t="s">
        <v>626</v>
      </c>
    </row>
    <row r="732" spans="1:4" ht="77.5">
      <c r="A732" s="83" t="s">
        <v>627</v>
      </c>
      <c r="B732" s="83" t="s">
        <v>4440</v>
      </c>
      <c r="C732" s="83" t="str">
        <f>IF(OR('Start here'!$C$26=RefData!$B$9,'Employer CF and liquid assets'!$D$7&lt;1,NOT(TRIM('Employer CF and liquid assets'!$D$12)=""),NOT(ISBLANK('Employer CF and liquid assets'!$D$13)), ISNUMBER(SEARCH(RefData!$B$2,$C$725))),"
"&amp;RefData!$B$2&amp;"
"&amp; B732,B732)</f>
        <v xml:space="preserve">
No answer required
Address line 3 (optional)
</v>
      </c>
      <c r="D732" s="83" t="s">
        <v>628</v>
      </c>
    </row>
    <row r="733" spans="1:4" ht="77.5">
      <c r="A733" s="83" t="s">
        <v>629</v>
      </c>
      <c r="B733" s="83" t="s">
        <v>4441</v>
      </c>
      <c r="C733" s="83" t="str">
        <f>IF(OR('Start here'!$C$26=RefData!$B$9,'Employer CF and liquid assets'!$D$7&lt;1,NOT(TRIM('Employer CF and liquid assets'!$D$12)=""),NOT(ISBLANK('Employer CF and liquid assets'!$D$13)), ISNUMBER(SEARCH(RefData!$B$2,$C$725))),"
"&amp;RefData!$B$2&amp;"
"&amp; B733,B733)</f>
        <v xml:space="preserve">
No answer required
Post town or city
</v>
      </c>
      <c r="D733" s="83" t="s">
        <v>630</v>
      </c>
    </row>
    <row r="734" spans="1:4" ht="77.5">
      <c r="A734" s="83" t="s">
        <v>631</v>
      </c>
      <c r="B734" s="83" t="s">
        <v>4442</v>
      </c>
      <c r="C734" s="83" t="str">
        <f>IF(OR('Start here'!$C$26=RefData!$B$9,'Employer CF and liquid assets'!$D$7&lt;1,NOT(TRIM('Employer CF and liquid assets'!$D$12)=""),NOT(ISBLANK('Employer CF and liquid assets'!$D$13)), ISNUMBER(SEARCH(RefData!$B$2,$C$725))),"
"&amp;RefData!$B$2&amp;"
"&amp; B734,B734)</f>
        <v xml:space="preserve">
No answer required
Country
</v>
      </c>
      <c r="D734" s="83" t="s">
        <v>632</v>
      </c>
    </row>
    <row r="735" spans="1:4" ht="77.5">
      <c r="A735" s="83" t="s">
        <v>633</v>
      </c>
      <c r="B735" s="83" t="s">
        <v>4443</v>
      </c>
      <c r="C735" s="83" t="str">
        <f>IF(OR('Start here'!$C$26=RefData!$B$9,'Employer CF and liquid assets'!$D$7&lt;1,NOT(TRIM('Employer CF and liquid assets'!$D$12)=""),NOT(ISBLANK('Employer CF and liquid assets'!$D$13)), ISNUMBER(SEARCH(RefData!$B$2,$C$725))),"
"&amp;RefData!$B$2&amp;"
"&amp; B735,B735)</f>
        <v xml:space="preserve">
No answer required
Postcode
</v>
      </c>
      <c r="D735" s="83" t="s">
        <v>634</v>
      </c>
    </row>
    <row r="736" spans="1:4" ht="77.5">
      <c r="A736" s="83" t="s">
        <v>636</v>
      </c>
      <c r="B736" s="83" t="s">
        <v>4434</v>
      </c>
      <c r="C736" s="83" t="str">
        <f>IF(OR('Start here'!$C$26=RefData!$B$9,'Employer CF and liquid assets'!$D$7&lt;2, ISNUMBER(SEARCH(RefData!$B$2,$C$725))),"
"&amp;RefData!$B$2&amp;"
"&amp; B736,B736)</f>
        <v xml:space="preserve">
No answer required
Legal name
</v>
      </c>
      <c r="D736" s="83" t="s">
        <v>637</v>
      </c>
    </row>
    <row r="737" spans="1:4" ht="77.5">
      <c r="A737" s="83" t="s">
        <v>638</v>
      </c>
      <c r="B737" s="83" t="s">
        <v>4435</v>
      </c>
      <c r="C737" s="83" t="str">
        <f>IF(OR('Start here'!$C$26=RefData!$B$9, 'Employer CF and liquid assets'!$D$7&lt;2, ISNUMBER(SEARCH(RefData!$B$2,$C$725))),"
"&amp;RefData!$B$2&amp;"
"&amp; B737,B737)</f>
        <v xml:space="preserve">
No answer required
Companies House number (if applicable)
</v>
      </c>
      <c r="D737" s="83" t="s">
        <v>639</v>
      </c>
    </row>
    <row r="738" spans="1:4" ht="77.5">
      <c r="A738" s="83" t="s">
        <v>640</v>
      </c>
      <c r="B738" s="83" t="s">
        <v>4436</v>
      </c>
      <c r="C738" s="83" t="str">
        <f>IF(OR('Start here'!$C$26=RefData!$B$9,'Employer CF and liquid assets'!$D$7&lt;2,NOT(TRIM('Employer CF and liquid assets'!$D$25)=""), ISNUMBER(SEARCH(RefData!$B$2,$C$725))),"
"&amp;RefData!$B$2&amp;"
"&amp; B738,B738)</f>
        <v xml:space="preserve">
No answer required
Charity number (if applicable)
</v>
      </c>
      <c r="D738" s="83" t="s">
        <v>641</v>
      </c>
    </row>
    <row r="739" spans="1:4" ht="77.5">
      <c r="A739" s="83" t="s">
        <v>642</v>
      </c>
      <c r="B739" s="83" t="s">
        <v>4437</v>
      </c>
      <c r="C739" s="83" t="str">
        <f>IF(OR('Start here'!$C$26=RefData!$B$9,'Employer CF and liquid assets'!$D$7&lt;2,NOT(TRIM('Employer CF and liquid assets'!$D$25)=""),NOT(ISBLANK('Employer CF and liquid assets'!$D$26)), ISNUMBER(SEARCH(RefData!$B$2,$C$725))),"
"&amp;RefData!$B$2&amp;"
"&amp; B739,B739)</f>
        <v xml:space="preserve">
No answer required
Trading name
</v>
      </c>
      <c r="D739" s="83" t="s">
        <v>643</v>
      </c>
    </row>
    <row r="740" spans="1:4" ht="77.5">
      <c r="A740" s="83" t="s">
        <v>644</v>
      </c>
      <c r="B740" s="83" t="s">
        <v>4438</v>
      </c>
      <c r="C740" s="83" t="str">
        <f>IF(OR('Start here'!$C$26=RefData!$B$9,'Employer CF and liquid assets'!$D$7&lt;2,NOT(TRIM('Employer CF and liquid assets'!$D$25)=""),NOT(ISBLANK('Employer CF and liquid assets'!$D$26)), ISNUMBER(SEARCH(RefData!$B$2,$C$725))),"
"&amp;RefData!$B$2&amp;"
"&amp; B740,B740)</f>
        <v xml:space="preserve">
No answer required
Address line 1
</v>
      </c>
      <c r="D740" s="83" t="s">
        <v>645</v>
      </c>
    </row>
    <row r="741" spans="1:4" ht="77.5">
      <c r="A741" s="83" t="s">
        <v>646</v>
      </c>
      <c r="B741" s="83" t="s">
        <v>4439</v>
      </c>
      <c r="C741" s="83" t="str">
        <f>IF(OR('Start here'!$C$26=RefData!$B$9,'Employer CF and liquid assets'!$D$7&lt;2,NOT(TRIM('Employer CF and liquid assets'!$D$25)=""),NOT(ISBLANK('Employer CF and liquid assets'!$D$26)), ISNUMBER(SEARCH(RefData!$B$2,$C$725))),"
"&amp;RefData!$B$2&amp;"
"&amp; B741,B741)</f>
        <v xml:space="preserve">
No answer required
Address line 2 (optional)
</v>
      </c>
      <c r="D741" s="83" t="s">
        <v>647</v>
      </c>
    </row>
    <row r="742" spans="1:4" ht="77.5">
      <c r="A742" s="83" t="s">
        <v>648</v>
      </c>
      <c r="B742" s="83" t="s">
        <v>4440</v>
      </c>
      <c r="C742" s="83" t="str">
        <f>IF(OR('Start here'!$C$26=RefData!$B$9,'Employer CF and liquid assets'!$D$7&lt;2,NOT(TRIM('Employer CF and liquid assets'!$D$25)=""),NOT(ISBLANK('Employer CF and liquid assets'!$D$26)), ISNUMBER(SEARCH(RefData!$B$2,$C$725))),"
"&amp;RefData!$B$2&amp;"
"&amp; B742,B742)</f>
        <v xml:space="preserve">
No answer required
Address line 3 (optional)
</v>
      </c>
      <c r="D742" s="83" t="s">
        <v>649</v>
      </c>
    </row>
    <row r="743" spans="1:4" ht="77.5">
      <c r="A743" s="83" t="s">
        <v>650</v>
      </c>
      <c r="B743" s="83" t="s">
        <v>4441</v>
      </c>
      <c r="C743" s="83" t="str">
        <f>IF(OR('Start here'!$C$26=RefData!$B$9,'Employer CF and liquid assets'!$D$7&lt;2,NOT(TRIM('Employer CF and liquid assets'!$D$25)=""),NOT(ISBLANK('Employer CF and liquid assets'!$D$26)), ISNUMBER(SEARCH(RefData!$B$2,$C$725))),"
"&amp;RefData!$B$2&amp;"
"&amp; B743,B743)</f>
        <v xml:space="preserve">
No answer required
Post town or city
</v>
      </c>
      <c r="D743" s="83" t="s">
        <v>651</v>
      </c>
    </row>
    <row r="744" spans="1:4" ht="77.5">
      <c r="A744" s="83" t="s">
        <v>652</v>
      </c>
      <c r="B744" s="83" t="s">
        <v>4442</v>
      </c>
      <c r="C744" s="83" t="str">
        <f>IF(OR('Start here'!$C$26=RefData!$B$9,'Employer CF and liquid assets'!$D$7&lt;2,NOT(TRIM('Employer CF and liquid assets'!$D$25)=""),NOT(ISBLANK('Employer CF and liquid assets'!$D$26)), ISNUMBER(SEARCH(RefData!$B$2,$C$725))),"
"&amp;RefData!$B$2&amp;"
"&amp; B744,B744)</f>
        <v xml:space="preserve">
No answer required
Country
</v>
      </c>
      <c r="D744" s="83" t="s">
        <v>653</v>
      </c>
    </row>
    <row r="745" spans="1:4" ht="77.5">
      <c r="A745" s="83" t="s">
        <v>654</v>
      </c>
      <c r="B745" s="83" t="s">
        <v>4443</v>
      </c>
      <c r="C745" s="83" t="str">
        <f>IF(OR('Start here'!$C$26=RefData!$B$9,'Employer CF and liquid assets'!$D$7&lt;2,NOT(TRIM('Employer CF and liquid assets'!$D$25)=""),NOT(ISBLANK('Employer CF and liquid assets'!$D$26)), ISNUMBER(SEARCH(RefData!$B$2,$C$725))),"
"&amp;RefData!$B$2&amp;"
"&amp; B745,B745)</f>
        <v xml:space="preserve">
No answer required
Postcode
</v>
      </c>
      <c r="D745" s="83" t="s">
        <v>655</v>
      </c>
    </row>
    <row r="746" spans="1:4" ht="77.5">
      <c r="A746" s="83" t="s">
        <v>657</v>
      </c>
      <c r="B746" s="83" t="s">
        <v>4434</v>
      </c>
      <c r="C746" s="83" t="str">
        <f>IF(OR('Start here'!$C$26=RefData!$B$9,'Employer CF and liquid assets'!$D$7&lt;3, ISNUMBER(SEARCH(RefData!$B$2,$C$725))),"
"&amp;RefData!$B$2&amp;"
"&amp; B746,B746)</f>
        <v xml:space="preserve">
No answer required
Legal name
</v>
      </c>
      <c r="D746" s="83" t="s">
        <v>658</v>
      </c>
    </row>
    <row r="747" spans="1:4" ht="77.5">
      <c r="A747" s="83" t="s">
        <v>659</v>
      </c>
      <c r="B747" s="83" t="s">
        <v>4435</v>
      </c>
      <c r="C747" s="83" t="str">
        <f>IF(OR('Start here'!$C$26=RefData!$B$9, 'Employer CF and liquid assets'!$D$7&lt;3,ISNUMBER(SEARCH(RefData!$B$2,$C$725))),"
"&amp;RefData!$B$2&amp;"
"&amp; B747,B747)</f>
        <v xml:space="preserve">
No answer required
Companies House number (if applicable)
</v>
      </c>
      <c r="D747" s="83" t="s">
        <v>660</v>
      </c>
    </row>
    <row r="748" spans="1:4" ht="77.5">
      <c r="A748" s="83" t="s">
        <v>661</v>
      </c>
      <c r="B748" s="83" t="s">
        <v>4436</v>
      </c>
      <c r="C748" s="83" t="str">
        <f>IF(OR('Start here'!$C$26=RefData!$B$9,'Employer CF and liquid assets'!$D$7&lt;3,NOT(TRIM('Employer CF and liquid assets'!$D$38)=""), ISNUMBER(SEARCH(RefData!$B$2,$C$725))),"
"&amp;RefData!$B$2&amp;"
"&amp; B748,B748)</f>
        <v xml:space="preserve">
No answer required
Charity number (if applicable)
</v>
      </c>
      <c r="D748" s="83" t="s">
        <v>662</v>
      </c>
    </row>
    <row r="749" spans="1:4" ht="77.5">
      <c r="A749" s="83" t="s">
        <v>663</v>
      </c>
      <c r="B749" s="83" t="s">
        <v>4437</v>
      </c>
      <c r="C749" s="83" t="str">
        <f>IF(OR('Start here'!$C$26=RefData!$B$9,'Employer CF and liquid assets'!$D$7&lt;3,NOT(TRIM('Employer CF and liquid assets'!$D$38)=""),NOT(ISBLANK('Employer CF and liquid assets'!$D$39)), ISNUMBER(SEARCH(RefData!$B$2,$C$725))),"
"&amp;RefData!$B$2&amp;"
"&amp; B749,B749)</f>
        <v xml:space="preserve">
No answer required
Trading name
</v>
      </c>
      <c r="D749" s="83" t="s">
        <v>664</v>
      </c>
    </row>
    <row r="750" spans="1:4" ht="77.5">
      <c r="A750" s="83" t="s">
        <v>665</v>
      </c>
      <c r="B750" s="83" t="s">
        <v>4438</v>
      </c>
      <c r="C750" s="83" t="str">
        <f>IF(OR('Start here'!$C$26=RefData!$B$9,'Employer CF and liquid assets'!$D$7&lt;3,NOT(TRIM('Employer CF and liquid assets'!$D$38)=""),NOT(ISBLANK('Employer CF and liquid assets'!$D$39)), ISNUMBER(SEARCH(RefData!$B$2,$C$725))),"
"&amp;RefData!$B$2&amp;"
"&amp; B750,B750)</f>
        <v xml:space="preserve">
No answer required
Address line 1
</v>
      </c>
      <c r="D750" s="83" t="s">
        <v>666</v>
      </c>
    </row>
    <row r="751" spans="1:4" ht="77.5">
      <c r="A751" s="83" t="s">
        <v>667</v>
      </c>
      <c r="B751" s="83" t="s">
        <v>4439</v>
      </c>
      <c r="C751" s="83" t="str">
        <f>IF(OR('Start here'!$C$26=RefData!$B$9,'Employer CF and liquid assets'!$D$7&lt;3,NOT(TRIM('Employer CF and liquid assets'!$D$38)=""),NOT(ISBLANK('Employer CF and liquid assets'!$D$39)), ISNUMBER(SEARCH(RefData!$B$2,$C$725))),"
"&amp;RefData!$B$2&amp;"
"&amp; B751,B751)</f>
        <v xml:space="preserve">
No answer required
Address line 2 (optional)
</v>
      </c>
      <c r="D751" s="83" t="s">
        <v>668</v>
      </c>
    </row>
    <row r="752" spans="1:4" ht="77.5">
      <c r="A752" s="83" t="s">
        <v>669</v>
      </c>
      <c r="B752" s="83" t="s">
        <v>4440</v>
      </c>
      <c r="C752" s="83" t="str">
        <f>IF(OR('Start here'!$C$26=RefData!$B$9,'Employer CF and liquid assets'!$D$7&lt;3,NOT(TRIM('Employer CF and liquid assets'!$D$38)=""),NOT(ISBLANK('Employer CF and liquid assets'!$D$39)), ISNUMBER(SEARCH(RefData!$B$2,$C$725))),"
"&amp;RefData!$B$2&amp;"
"&amp; B752,B752)</f>
        <v xml:space="preserve">
No answer required
Address line 3 (optional)
</v>
      </c>
      <c r="D752" s="83" t="s">
        <v>670</v>
      </c>
    </row>
    <row r="753" spans="1:4" ht="77.5">
      <c r="A753" s="83" t="s">
        <v>671</v>
      </c>
      <c r="B753" s="83" t="s">
        <v>4441</v>
      </c>
      <c r="C753" s="83" t="str">
        <f>IF(OR('Start here'!$C$26=RefData!$B$9,'Employer CF and liquid assets'!$D$7&lt;3,NOT(TRIM('Employer CF and liquid assets'!$D$38)=""),NOT(ISBLANK('Employer CF and liquid assets'!$D$39)), ISNUMBER(SEARCH(RefData!$B$2,$C$725))),"
"&amp;RefData!$B$2&amp;"
"&amp; B753,B753)</f>
        <v xml:space="preserve">
No answer required
Post town or city
</v>
      </c>
      <c r="D753" s="83" t="s">
        <v>672</v>
      </c>
    </row>
    <row r="754" spans="1:4" ht="77.5">
      <c r="A754" s="83" t="s">
        <v>673</v>
      </c>
      <c r="B754" s="83" t="s">
        <v>4442</v>
      </c>
      <c r="C754" s="83" t="str">
        <f>IF(OR('Start here'!$C$26=RefData!$B$9,'Employer CF and liquid assets'!$D$7&lt;3,NOT(TRIM('Employer CF and liquid assets'!$D$38)=""),NOT(ISBLANK('Employer CF and liquid assets'!$D$39)), ISNUMBER(SEARCH(RefData!$B$2,$C$725))),"
"&amp;RefData!$B$2&amp;"
"&amp; B754,B754)</f>
        <v xml:space="preserve">
No answer required
Country
</v>
      </c>
      <c r="D754" s="83" t="s">
        <v>674</v>
      </c>
    </row>
    <row r="755" spans="1:4" ht="77.5">
      <c r="A755" s="83" t="s">
        <v>675</v>
      </c>
      <c r="B755" s="83" t="s">
        <v>4443</v>
      </c>
      <c r="C755" s="83" t="str">
        <f>IF(OR('Start here'!$C$26=RefData!$B$9,'Employer CF and liquid assets'!$D$7&lt;3,NOT(TRIM('Employer CF and liquid assets'!$D$38)=""),NOT(ISBLANK('Employer CF and liquid assets'!$D$39)), ISNUMBER(SEARCH(RefData!$B$2,$C$725))),"
"&amp;RefData!$B$2&amp;"
"&amp; B755,B755)</f>
        <v xml:space="preserve">
No answer required
Postcode
</v>
      </c>
      <c r="D755" s="83" t="s">
        <v>676</v>
      </c>
    </row>
    <row r="756" spans="1:4" ht="77.5">
      <c r="A756" s="83" t="s">
        <v>678</v>
      </c>
      <c r="B756" s="83" t="s">
        <v>4434</v>
      </c>
      <c r="C756" s="83" t="str">
        <f>IF(OR('Start here'!$C$26=RefData!$B$9,'Employer CF and liquid assets'!$D$7&lt;4, ISNUMBER(SEARCH(RefData!$B$2,$C$725))),"
"&amp;RefData!$B$2&amp;"
"&amp; B756,B756)</f>
        <v xml:space="preserve">
No answer required
Legal name
</v>
      </c>
      <c r="D756" s="83" t="s">
        <v>679</v>
      </c>
    </row>
    <row r="757" spans="1:4" ht="77.5">
      <c r="A757" s="83" t="s">
        <v>680</v>
      </c>
      <c r="B757" s="83" t="s">
        <v>4435</v>
      </c>
      <c r="C757" s="83" t="str">
        <f>IF(OR('Start here'!$C$26=RefData!$B$9, 'Employer CF and liquid assets'!$D$7&lt;4, ISNUMBER(SEARCH(RefData!$B$2,$C$725))),"
"&amp;RefData!$B$2&amp;"
"&amp; B757,B757)</f>
        <v xml:space="preserve">
No answer required
Companies House number (if applicable)
</v>
      </c>
      <c r="D757" s="83" t="s">
        <v>681</v>
      </c>
    </row>
    <row r="758" spans="1:4" ht="77.5">
      <c r="A758" s="83" t="s">
        <v>682</v>
      </c>
      <c r="B758" s="83" t="s">
        <v>4436</v>
      </c>
      <c r="C758" s="83" t="str">
        <f>IF(OR('Start here'!$C$26=RefData!$B$9,'Employer CF and liquid assets'!$D$7&lt;4,NOT(TRIM('Employer CF and liquid assets'!$D$51)=""), ISNUMBER(SEARCH(RefData!$B$2,$C$725))),"
"&amp;RefData!$B$2&amp;"
"&amp; B758,B758)</f>
        <v xml:space="preserve">
No answer required
Charity number (if applicable)
</v>
      </c>
      <c r="D758" s="83" t="s">
        <v>683</v>
      </c>
    </row>
    <row r="759" spans="1:4" ht="77.5">
      <c r="A759" s="83" t="s">
        <v>684</v>
      </c>
      <c r="B759" s="83" t="s">
        <v>4437</v>
      </c>
      <c r="C759" s="83" t="str">
        <f>IF(OR('Start here'!$C$26=RefData!$B$9,'Employer CF and liquid assets'!$D$7&lt;4,NOT(TRIM('Employer CF and liquid assets'!$D$51)=""),NOT(ISBLANK('Employer CF and liquid assets'!$D$52)), ISNUMBER(SEARCH(RefData!$B$2,$C$725))),"
"&amp;RefData!$B$2&amp;"
"&amp; B759,B759)</f>
        <v xml:space="preserve">
No answer required
Trading name
</v>
      </c>
      <c r="D759" s="83" t="s">
        <v>685</v>
      </c>
    </row>
    <row r="760" spans="1:4" ht="77.5">
      <c r="A760" s="83" t="s">
        <v>686</v>
      </c>
      <c r="B760" s="83" t="s">
        <v>4438</v>
      </c>
      <c r="C760" s="83" t="str">
        <f>IF(OR('Start here'!$C$26=RefData!$B$9,'Employer CF and liquid assets'!$D$7&lt;4,NOT(TRIM('Employer CF and liquid assets'!$D$51)=""),NOT(ISBLANK('Employer CF and liquid assets'!$D$52)), ISNUMBER(SEARCH(RefData!$B$2,$C$725))),"
"&amp;RefData!$B$2&amp;"
"&amp; B760,B760)</f>
        <v xml:space="preserve">
No answer required
Address line 1
</v>
      </c>
      <c r="D760" s="83" t="s">
        <v>687</v>
      </c>
    </row>
    <row r="761" spans="1:4" ht="77.5">
      <c r="A761" s="83" t="s">
        <v>688</v>
      </c>
      <c r="B761" s="83" t="s">
        <v>4439</v>
      </c>
      <c r="C761" s="83" t="str">
        <f>IF(OR('Start here'!$C$26=RefData!$B$9,'Employer CF and liquid assets'!$D$7&lt;4,NOT(TRIM('Employer CF and liquid assets'!$D$51)=""),NOT(ISBLANK('Employer CF and liquid assets'!$D$52)), ISNUMBER(SEARCH(RefData!$B$2,$C$725))),"
"&amp;RefData!$B$2&amp;"
"&amp; B761,B761)</f>
        <v xml:space="preserve">
No answer required
Address line 2 (optional)
</v>
      </c>
      <c r="D761" s="83" t="s">
        <v>689</v>
      </c>
    </row>
    <row r="762" spans="1:4" ht="77.5">
      <c r="A762" s="83" t="s">
        <v>690</v>
      </c>
      <c r="B762" s="83" t="s">
        <v>4440</v>
      </c>
      <c r="C762" s="83" t="str">
        <f>IF(OR('Start here'!$C$26=RefData!$B$9,'Employer CF and liquid assets'!$D$7&lt;4,NOT(TRIM('Employer CF and liquid assets'!$D$51)=""),NOT(ISBLANK('Employer CF and liquid assets'!$D$52)), ISNUMBER(SEARCH(RefData!$B$2,$C$725))),"
"&amp;RefData!$B$2&amp;"
"&amp; B762,B762)</f>
        <v xml:space="preserve">
No answer required
Address line 3 (optional)
</v>
      </c>
      <c r="D762" s="83" t="s">
        <v>691</v>
      </c>
    </row>
    <row r="763" spans="1:4" ht="77.5">
      <c r="A763" s="83" t="s">
        <v>692</v>
      </c>
      <c r="B763" s="83" t="s">
        <v>4441</v>
      </c>
      <c r="C763" s="83" t="str">
        <f>IF(OR('Start here'!$C$26=RefData!$B$9,'Employer CF and liquid assets'!$D$7&lt;4,NOT(TRIM('Employer CF and liquid assets'!$D$51)=""),NOT(ISBLANK('Employer CF and liquid assets'!$D$52)), ISNUMBER(SEARCH(RefData!$B$2,$C$725))),"
"&amp;RefData!$B$2&amp;"
"&amp; B763,B763)</f>
        <v xml:space="preserve">
No answer required
Post town or city
</v>
      </c>
      <c r="D763" s="83" t="s">
        <v>693</v>
      </c>
    </row>
    <row r="764" spans="1:4" ht="77.5">
      <c r="A764" s="83" t="s">
        <v>694</v>
      </c>
      <c r="B764" s="83" t="s">
        <v>4442</v>
      </c>
      <c r="C764" s="83" t="str">
        <f>IF(OR('Start here'!$C$26=RefData!$B$9,'Employer CF and liquid assets'!$D$7&lt;4,NOT(TRIM('Employer CF and liquid assets'!$D$51)=""),NOT(ISBLANK('Employer CF and liquid assets'!$D$52)), ISNUMBER(SEARCH(RefData!$B$2,$C$725))),"
"&amp;RefData!$B$2&amp;"
"&amp; B764,B764)</f>
        <v xml:space="preserve">
No answer required
Country
</v>
      </c>
      <c r="D764" s="83" t="s">
        <v>695</v>
      </c>
    </row>
    <row r="765" spans="1:4" ht="77.5">
      <c r="A765" s="83" t="s">
        <v>696</v>
      </c>
      <c r="B765" s="83" t="s">
        <v>4443</v>
      </c>
      <c r="C765" s="83" t="str">
        <f>IF(OR('Start here'!$C$26=RefData!$B$9,'Employer CF and liquid assets'!$D$7&lt;4,NOT(TRIM('Employer CF and liquid assets'!$D$51)=""),NOT(ISBLANK('Employer CF and liquid assets'!$D$52)), ISNUMBER(SEARCH(RefData!$B$2,$C$725))),"
"&amp;RefData!$B$2&amp;"
"&amp; B765,B765)</f>
        <v xml:space="preserve">
No answer required
Postcode
</v>
      </c>
      <c r="D765" s="83" t="s">
        <v>697</v>
      </c>
    </row>
    <row r="766" spans="1:4" ht="77.5">
      <c r="A766" s="83" t="s">
        <v>699</v>
      </c>
      <c r="B766" s="83" t="s">
        <v>4434</v>
      </c>
      <c r="C766" s="83" t="str">
        <f>IF(OR('Start here'!$C$26=RefData!$B$9,'Employer CF and liquid assets'!$D$7&lt;5, ISNUMBER(SEARCH(RefData!$B$2,$C$725))),"
"&amp;RefData!$B$2&amp;"
"&amp; B766,B766)</f>
        <v xml:space="preserve">
No answer required
Legal name
</v>
      </c>
      <c r="D766" s="83" t="s">
        <v>700</v>
      </c>
    </row>
    <row r="767" spans="1:4" ht="77.5">
      <c r="A767" s="83" t="s">
        <v>701</v>
      </c>
      <c r="B767" s="83" t="s">
        <v>4435</v>
      </c>
      <c r="C767" s="83" t="str">
        <f>IF(OR('Start here'!$C$26=RefData!$B$9, 'Employer CF and liquid assets'!$D$7&lt;5, ISNUMBER(SEARCH(RefData!$B$2,$C$725))),"
"&amp;RefData!$B$2&amp;"
"&amp; B767,B767)</f>
        <v xml:space="preserve">
No answer required
Companies House number (if applicable)
</v>
      </c>
      <c r="D767" s="83" t="s">
        <v>702</v>
      </c>
    </row>
    <row r="768" spans="1:4" ht="77.5">
      <c r="A768" s="83" t="s">
        <v>703</v>
      </c>
      <c r="B768" s="83" t="s">
        <v>4436</v>
      </c>
      <c r="C768" s="83" t="str">
        <f>IF(OR('Start here'!$C$26=RefData!$B$9,'Employer CF and liquid assets'!$D$7&lt;5,NOT(TRIM('Employer CF and liquid assets'!$D$64)=""), ISNUMBER(SEARCH(RefData!$B$2,$C$725))),"
"&amp;RefData!$B$2&amp;"
"&amp; B768,B768)</f>
        <v xml:space="preserve">
No answer required
Charity number (if applicable)
</v>
      </c>
      <c r="D768" s="83" t="s">
        <v>704</v>
      </c>
    </row>
    <row r="769" spans="1:4" ht="77.5">
      <c r="A769" s="83" t="s">
        <v>705</v>
      </c>
      <c r="B769" s="83" t="s">
        <v>4437</v>
      </c>
      <c r="C769" s="83" t="str">
        <f>IF(OR('Start here'!$C$26=RefData!$B$9,'Employer CF and liquid assets'!$D$7&lt;5,NOT(TRIM('Employer CF and liquid assets'!$D$64)=""),NOT(ISBLANK('Employer CF and liquid assets'!$D$65)), ISNUMBER(SEARCH(RefData!$B$2,$C$725))),"
"&amp;RefData!$B$2&amp;"
"&amp; B769,B769)</f>
        <v xml:space="preserve">
No answer required
Trading name
</v>
      </c>
      <c r="D769" s="83" t="s">
        <v>706</v>
      </c>
    </row>
    <row r="770" spans="1:4" ht="77.5">
      <c r="A770" s="83" t="s">
        <v>707</v>
      </c>
      <c r="B770" s="83" t="s">
        <v>4438</v>
      </c>
      <c r="C770" s="83" t="str">
        <f>IF(OR('Start here'!$C$26=RefData!$B$9,'Employer CF and liquid assets'!$D$7&lt;5,NOT(TRIM('Employer CF and liquid assets'!$D$64)=""),NOT(ISBLANK('Employer CF and liquid assets'!$D$65)), ISNUMBER(SEARCH(RefData!$B$2,$C$725))),"
"&amp;RefData!$B$2&amp;"
"&amp; B770,B770)</f>
        <v xml:space="preserve">
No answer required
Address line 1
</v>
      </c>
      <c r="D770" s="83" t="s">
        <v>708</v>
      </c>
    </row>
    <row r="771" spans="1:4" ht="77.5">
      <c r="A771" s="83" t="s">
        <v>709</v>
      </c>
      <c r="B771" s="83" t="s">
        <v>4439</v>
      </c>
      <c r="C771" s="83" t="str">
        <f>IF(OR('Start here'!$C$26=RefData!$B$9,'Employer CF and liquid assets'!$D$7&lt;5,NOT(TRIM('Employer CF and liquid assets'!$D$64)=""),NOT(ISBLANK('Employer CF and liquid assets'!$D$65)), ISNUMBER(SEARCH(RefData!$B$2,$C$725))),"
"&amp;RefData!$B$2&amp;"
"&amp; B771,B771)</f>
        <v xml:space="preserve">
No answer required
Address line 2 (optional)
</v>
      </c>
      <c r="D771" s="83" t="s">
        <v>710</v>
      </c>
    </row>
    <row r="772" spans="1:4" ht="77.5">
      <c r="A772" s="83" t="s">
        <v>711</v>
      </c>
      <c r="B772" s="83" t="s">
        <v>4440</v>
      </c>
      <c r="C772" s="83" t="str">
        <f>IF(OR('Start here'!$C$26=RefData!$B$9,'Employer CF and liquid assets'!$D$7&lt;5,NOT(TRIM('Employer CF and liquid assets'!$D$64)=""),NOT(ISBLANK('Employer CF and liquid assets'!$D$65)), ISNUMBER(SEARCH(RefData!$B$2,$C$725))),"
"&amp;RefData!$B$2&amp;"
"&amp; B772,B772)</f>
        <v xml:space="preserve">
No answer required
Address line 3 (optional)
</v>
      </c>
      <c r="D772" s="83" t="s">
        <v>712</v>
      </c>
    </row>
    <row r="773" spans="1:4" ht="77.5">
      <c r="A773" s="83" t="s">
        <v>713</v>
      </c>
      <c r="B773" s="83" t="s">
        <v>4441</v>
      </c>
      <c r="C773" s="83" t="str">
        <f>IF(OR('Start here'!$C$26=RefData!$B$9,'Employer CF and liquid assets'!$D$7&lt;5,NOT(TRIM('Employer CF and liquid assets'!$D$64)=""),NOT(ISBLANK('Employer CF and liquid assets'!$D$65)), ISNUMBER(SEARCH(RefData!$B$2,$C$725))),"
"&amp;RefData!$B$2&amp;"
"&amp; B773,B773)</f>
        <v xml:space="preserve">
No answer required
Post town or city
</v>
      </c>
      <c r="D773" s="83" t="s">
        <v>714</v>
      </c>
    </row>
    <row r="774" spans="1:4" ht="77.5">
      <c r="A774" s="83" t="s">
        <v>715</v>
      </c>
      <c r="B774" s="83" t="s">
        <v>4442</v>
      </c>
      <c r="C774" s="83" t="str">
        <f>IF(OR('Start here'!$C$26=RefData!$B$9,'Employer CF and liquid assets'!$D$7&lt;5,NOT(TRIM('Employer CF and liquid assets'!$D$64)=""),NOT(ISBLANK('Employer CF and liquid assets'!$D$65)), ISNUMBER(SEARCH(RefData!$B$2,$C$725))),"
"&amp;RefData!$B$2&amp;"
"&amp; B774,B774)</f>
        <v xml:space="preserve">
No answer required
Country
</v>
      </c>
      <c r="D774" s="83" t="s">
        <v>716</v>
      </c>
    </row>
    <row r="775" spans="1:4" ht="74.5" customHeight="1">
      <c r="A775" s="83" t="s">
        <v>717</v>
      </c>
      <c r="B775" s="83" t="s">
        <v>4443</v>
      </c>
      <c r="C775" s="83" t="str">
        <f>IF(OR('Start here'!$C$26=RefData!$B$9,'Employer CF and liquid assets'!$D$7&lt;5,NOT(TRIM('Employer CF and liquid assets'!$D$64)=""),NOT(ISBLANK('Employer CF and liquid assets'!$D$65)), ISNUMBER(SEARCH(RefData!$B$2,$C$725))),"
"&amp;RefData!$B$2&amp;"
"&amp; B775,B775)</f>
        <v xml:space="preserve">
No answer required
Postcode
</v>
      </c>
      <c r="D775" s="83" t="s">
        <v>718</v>
      </c>
    </row>
    <row r="776" spans="1:4" ht="74.5" customHeight="1">
      <c r="A776" s="83" t="s">
        <v>3734</v>
      </c>
      <c r="B776" s="83" t="s">
        <v>4460</v>
      </c>
      <c r="C776" s="83"/>
      <c r="D776" s="83" t="s">
        <v>4461</v>
      </c>
    </row>
  </sheetData>
  <sheetProtection algorithmName="SHA-512" hashValue="uZyIFwxAKbFjLtoqdyxUMhmXeJyDPxZSYoVp2/Dh9WEBme40VxUVjgcYII4z9aDDFj0uFRuaoKww15V3gqAcog==" saltValue="Zdi9CDs+30hPmmBQTlMR4Q==" spinCount="100000" sheet="1" objects="1" scenarios="1"/>
  <phoneticPr fontId="11" type="noConversion"/>
  <pageMargins left="0.7" right="0.7" top="0.75" bottom="0.75" header="0.3" footer="0.3"/>
  <pageSetup paperSize="9" orientation="portrait" r:id="rId1"/>
  <ignoredErrors>
    <ignoredError sqref="C156 C151" formula="1"/>
  </ignoredErrors>
  <extLst>
    <ext xmlns:x14="http://schemas.microsoft.com/office/spreadsheetml/2009/9/main" uri="{78C0D931-6437-407d-A8EE-F0AAD7539E65}">
      <x14:conditionalFormattings>
        <x14:conditionalFormatting xmlns:xm="http://schemas.microsoft.com/office/excel/2006/main">
          <x14:cfRule type="expression" priority="1" id="{6FCF7CFB-D759-4C50-912A-4DAC373C1C5E}">
            <xm:f>SEARCH(RefData!$B$2,$C$22)</xm:f>
            <x14:dxf>
              <fill>
                <patternFill>
                  <bgColor theme="0" tint="-0.14996795556505021"/>
                </patternFill>
              </fill>
            </x14:dxf>
          </x14:cfRule>
          <xm:sqref>A266</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81FF3-014C-442C-80DB-54B027CF85F4}">
  <sheetPr codeName="Sheet44"/>
  <dimension ref="A1:B289"/>
  <sheetViews>
    <sheetView topLeftCell="A83" zoomScaleNormal="100" workbookViewId="0">
      <selection activeCell="A85" sqref="A85"/>
    </sheetView>
  </sheetViews>
  <sheetFormatPr defaultColWidth="0" defaultRowHeight="15.5" zeroHeight="1"/>
  <cols>
    <col min="1" max="1" width="20.07421875" bestFit="1" customWidth="1"/>
    <col min="2" max="2" width="78.69140625" customWidth="1"/>
    <col min="3" max="16384" width="9.23046875" hidden="1"/>
  </cols>
  <sheetData>
    <row r="1" spans="1:2" ht="16" thickBot="1">
      <c r="A1" s="101" t="s">
        <v>3771</v>
      </c>
      <c r="B1" s="78" t="s">
        <v>4123</v>
      </c>
    </row>
    <row r="2" spans="1:2" ht="62">
      <c r="A2" s="83" t="s">
        <v>3012</v>
      </c>
      <c r="B2" t="s">
        <v>4462</v>
      </c>
    </row>
    <row r="3" spans="1:2" ht="155">
      <c r="A3" s="83" t="s">
        <v>3015</v>
      </c>
      <c r="B3" t="s">
        <v>4463</v>
      </c>
    </row>
    <row r="4" spans="1:2" ht="124">
      <c r="A4" s="83" t="s">
        <v>3110</v>
      </c>
      <c r="B4" s="83" t="s">
        <v>4464</v>
      </c>
    </row>
    <row r="5" spans="1:2" ht="62">
      <c r="A5" s="83" t="s">
        <v>3017</v>
      </c>
      <c r="B5" s="83" t="s">
        <v>4465</v>
      </c>
    </row>
    <row r="6" spans="1:2" ht="155">
      <c r="A6" s="83" t="s">
        <v>3018</v>
      </c>
      <c r="B6" s="83" t="s">
        <v>4466</v>
      </c>
    </row>
    <row r="7" spans="1:2" ht="248">
      <c r="A7" s="83" t="s">
        <v>3019</v>
      </c>
      <c r="B7" s="83" t="s">
        <v>4467</v>
      </c>
    </row>
    <row r="8" spans="1:2" ht="62">
      <c r="A8" s="83" t="s">
        <v>3016</v>
      </c>
      <c r="B8" s="83" t="s">
        <v>4468</v>
      </c>
    </row>
    <row r="9" spans="1:2" ht="108.5">
      <c r="A9" s="83" t="s">
        <v>3014</v>
      </c>
      <c r="B9" s="83" t="s">
        <v>4469</v>
      </c>
    </row>
    <row r="10" spans="1:2" ht="77.5">
      <c r="A10" s="83" t="s">
        <v>3013</v>
      </c>
      <c r="B10" s="83" t="s">
        <v>4470</v>
      </c>
    </row>
    <row r="11" spans="1:2" ht="62">
      <c r="A11" s="83" t="s">
        <v>3045</v>
      </c>
      <c r="B11" s="83" t="s">
        <v>4471</v>
      </c>
    </row>
    <row r="12" spans="1:2" ht="62">
      <c r="A12" s="83" t="s">
        <v>3046</v>
      </c>
      <c r="B12" s="83" t="s">
        <v>4472</v>
      </c>
    </row>
    <row r="13" spans="1:2" ht="62">
      <c r="A13" s="83" t="s">
        <v>3047</v>
      </c>
      <c r="B13" s="83" t="s">
        <v>4473</v>
      </c>
    </row>
    <row r="14" spans="1:2" ht="62">
      <c r="A14" s="83" t="s">
        <v>3048</v>
      </c>
      <c r="B14" s="83" t="s">
        <v>4474</v>
      </c>
    </row>
    <row r="15" spans="1:2" ht="62">
      <c r="A15" s="83" t="s">
        <v>3049</v>
      </c>
      <c r="B15" s="83" t="s">
        <v>4475</v>
      </c>
    </row>
    <row r="16" spans="1:2" ht="62">
      <c r="A16" s="83" t="s">
        <v>3050</v>
      </c>
      <c r="B16" s="83" t="s">
        <v>4476</v>
      </c>
    </row>
    <row r="17" spans="1:2" ht="77.5">
      <c r="A17" s="83" t="s">
        <v>3051</v>
      </c>
      <c r="B17" s="83" t="s">
        <v>4477</v>
      </c>
    </row>
    <row r="18" spans="1:2" ht="62">
      <c r="A18" s="83" t="s">
        <v>3052</v>
      </c>
      <c r="B18" s="83" t="s">
        <v>4478</v>
      </c>
    </row>
    <row r="19" spans="1:2" ht="62">
      <c r="A19" s="83" t="s">
        <v>3053</v>
      </c>
      <c r="B19" s="83" t="s">
        <v>4479</v>
      </c>
    </row>
    <row r="20" spans="1:2" ht="62">
      <c r="A20" s="83" t="s">
        <v>3043</v>
      </c>
      <c r="B20" s="83" t="s">
        <v>4480</v>
      </c>
    </row>
    <row r="21" spans="1:2" ht="93">
      <c r="A21" s="83" t="s">
        <v>3044</v>
      </c>
      <c r="B21" s="83" t="s">
        <v>4481</v>
      </c>
    </row>
    <row r="22" spans="1:2" ht="62">
      <c r="A22" s="83" t="s">
        <v>3054</v>
      </c>
      <c r="B22" s="83" t="s">
        <v>4482</v>
      </c>
    </row>
    <row r="23" spans="1:2" ht="77.5">
      <c r="A23" s="83" t="s">
        <v>3055</v>
      </c>
      <c r="B23" s="83" t="s">
        <v>4483</v>
      </c>
    </row>
    <row r="24" spans="1:2" ht="62">
      <c r="A24" s="83" t="s">
        <v>3056</v>
      </c>
      <c r="B24" s="83" t="s">
        <v>4484</v>
      </c>
    </row>
    <row r="25" spans="1:2" ht="62">
      <c r="A25" s="83" t="s">
        <v>3057</v>
      </c>
      <c r="B25" s="83" t="s">
        <v>4485</v>
      </c>
    </row>
    <row r="26" spans="1:2" ht="62">
      <c r="A26" s="83" t="s">
        <v>3058</v>
      </c>
      <c r="B26" s="83" t="s">
        <v>4486</v>
      </c>
    </row>
    <row r="27" spans="1:2" ht="62">
      <c r="A27" s="83" t="s">
        <v>3059</v>
      </c>
      <c r="B27" s="83" t="s">
        <v>4487</v>
      </c>
    </row>
    <row r="28" spans="1:2" ht="62">
      <c r="A28" s="83" t="s">
        <v>3060</v>
      </c>
      <c r="B28" s="83" t="s">
        <v>4488</v>
      </c>
    </row>
    <row r="29" spans="1:2" ht="62">
      <c r="A29" s="83" t="s">
        <v>3061</v>
      </c>
      <c r="B29" s="83" t="s">
        <v>4489</v>
      </c>
    </row>
    <row r="30" spans="1:2" ht="77.5">
      <c r="A30" s="83" t="s">
        <v>3062</v>
      </c>
      <c r="B30" s="83" t="s">
        <v>4490</v>
      </c>
    </row>
    <row r="31" spans="1:2" ht="62">
      <c r="A31" s="83" t="s">
        <v>3063</v>
      </c>
      <c r="B31" s="83" t="s">
        <v>4491</v>
      </c>
    </row>
    <row r="32" spans="1:2" ht="62">
      <c r="A32" s="83" t="s">
        <v>3064</v>
      </c>
      <c r="B32" s="83" t="s">
        <v>4492</v>
      </c>
    </row>
    <row r="33" spans="1:2" ht="62">
      <c r="A33" s="83" t="s">
        <v>3067</v>
      </c>
      <c r="B33" s="83" t="s">
        <v>4493</v>
      </c>
    </row>
    <row r="34" spans="1:2" ht="62">
      <c r="A34" s="83" t="s">
        <v>3068</v>
      </c>
      <c r="B34" s="83" t="s">
        <v>4494</v>
      </c>
    </row>
    <row r="35" spans="1:2" ht="62">
      <c r="A35" s="83" t="s">
        <v>3069</v>
      </c>
      <c r="B35" s="83" t="s">
        <v>4495</v>
      </c>
    </row>
    <row r="36" spans="1:2" ht="62">
      <c r="A36" s="83" t="s">
        <v>3070</v>
      </c>
      <c r="B36" s="83" t="s">
        <v>4496</v>
      </c>
    </row>
    <row r="37" spans="1:2" ht="62">
      <c r="A37" s="83" t="s">
        <v>3071</v>
      </c>
      <c r="B37" s="83" t="s">
        <v>4497</v>
      </c>
    </row>
    <row r="38" spans="1:2" ht="46.5">
      <c r="A38" s="83" t="s">
        <v>3072</v>
      </c>
      <c r="B38" s="83" t="s">
        <v>4498</v>
      </c>
    </row>
    <row r="39" spans="1:2" ht="77.5">
      <c r="A39" s="83" t="s">
        <v>3073</v>
      </c>
      <c r="B39" s="83" t="s">
        <v>4499</v>
      </c>
    </row>
    <row r="40" spans="1:2" ht="46.5">
      <c r="A40" s="83" t="s">
        <v>3074</v>
      </c>
      <c r="B40" s="83" t="s">
        <v>4500</v>
      </c>
    </row>
    <row r="41" spans="1:2" ht="62">
      <c r="A41" s="83" t="s">
        <v>3075</v>
      </c>
      <c r="B41" s="83" t="s">
        <v>4501</v>
      </c>
    </row>
    <row r="42" spans="1:2" ht="46.5">
      <c r="A42" s="83" t="s">
        <v>3076</v>
      </c>
      <c r="B42" s="83" t="s">
        <v>4502</v>
      </c>
    </row>
    <row r="43" spans="1:2" ht="46.5">
      <c r="A43" s="83" t="s">
        <v>3077</v>
      </c>
      <c r="B43" s="83" t="s">
        <v>4503</v>
      </c>
    </row>
    <row r="44" spans="1:2" ht="46.5">
      <c r="A44" s="83" t="s">
        <v>3078</v>
      </c>
      <c r="B44" s="83" t="s">
        <v>4504</v>
      </c>
    </row>
    <row r="45" spans="1:2" ht="62">
      <c r="A45" s="83" t="s">
        <v>3079</v>
      </c>
      <c r="B45" s="83" t="s">
        <v>4505</v>
      </c>
    </row>
    <row r="46" spans="1:2" ht="62">
      <c r="A46" s="83" t="s">
        <v>3080</v>
      </c>
      <c r="B46" s="83" t="s">
        <v>4506</v>
      </c>
    </row>
    <row r="47" spans="1:2" ht="108.5">
      <c r="A47" s="83" t="s">
        <v>4507</v>
      </c>
      <c r="B47" s="83" t="s">
        <v>388</v>
      </c>
    </row>
    <row r="48" spans="1:2" ht="62">
      <c r="A48" s="83" t="s">
        <v>3065</v>
      </c>
      <c r="B48" s="83" t="s">
        <v>4508</v>
      </c>
    </row>
    <row r="49" spans="1:2" ht="124">
      <c r="A49" s="83" t="s">
        <v>3020</v>
      </c>
      <c r="B49" s="83" t="s">
        <v>4509</v>
      </c>
    </row>
    <row r="50" spans="1:2" ht="139.5">
      <c r="A50" s="83" t="s">
        <v>3021</v>
      </c>
      <c r="B50" s="83" t="s">
        <v>4510</v>
      </c>
    </row>
    <row r="51" spans="1:2" ht="93">
      <c r="A51" s="83" t="s">
        <v>3022</v>
      </c>
      <c r="B51" s="83" t="s">
        <v>4511</v>
      </c>
    </row>
    <row r="52" spans="1:2" ht="217">
      <c r="A52" s="83" t="s">
        <v>3023</v>
      </c>
      <c r="B52" s="83" t="s">
        <v>4512</v>
      </c>
    </row>
    <row r="53" spans="1:2" ht="77.5">
      <c r="A53" s="83" t="s">
        <v>3081</v>
      </c>
      <c r="B53" s="83" t="s">
        <v>4513</v>
      </c>
    </row>
    <row r="54" spans="1:2" ht="77.5">
      <c r="A54" s="83" t="s">
        <v>3082</v>
      </c>
      <c r="B54" s="83" t="s">
        <v>4514</v>
      </c>
    </row>
    <row r="55" spans="1:2" ht="93">
      <c r="A55" s="83" t="s">
        <v>3083</v>
      </c>
      <c r="B55" s="83" t="s">
        <v>4515</v>
      </c>
    </row>
    <row r="56" spans="1:2" ht="62">
      <c r="A56" s="83" t="s">
        <v>3084</v>
      </c>
      <c r="B56" s="83" t="s">
        <v>4516</v>
      </c>
    </row>
    <row r="57" spans="1:2" ht="62">
      <c r="A57" s="83" t="s">
        <v>3085</v>
      </c>
      <c r="B57" s="83" t="s">
        <v>4517</v>
      </c>
    </row>
    <row r="58" spans="1:2" ht="62">
      <c r="A58" s="83" t="s">
        <v>3086</v>
      </c>
      <c r="B58" s="83" t="s">
        <v>4518</v>
      </c>
    </row>
    <row r="59" spans="1:2" ht="62">
      <c r="A59" s="83" t="s">
        <v>3087</v>
      </c>
      <c r="B59" s="83" t="s">
        <v>4519</v>
      </c>
    </row>
    <row r="60" spans="1:2" ht="77.5">
      <c r="A60" s="83" t="s">
        <v>3088</v>
      </c>
      <c r="B60" s="83" t="s">
        <v>4520</v>
      </c>
    </row>
    <row r="61" spans="1:2" ht="62">
      <c r="A61" s="83" t="s">
        <v>3024</v>
      </c>
      <c r="B61" s="83" t="s">
        <v>4521</v>
      </c>
    </row>
    <row r="62" spans="1:2" ht="130.25" customHeight="1">
      <c r="A62" s="83" t="s">
        <v>3027</v>
      </c>
      <c r="B62" s="83" t="s">
        <v>4522</v>
      </c>
    </row>
    <row r="63" spans="1:2" ht="186">
      <c r="A63" s="83" t="s">
        <v>3034</v>
      </c>
      <c r="B63" s="83" t="s">
        <v>4523</v>
      </c>
    </row>
    <row r="64" spans="1:2" ht="77.5">
      <c r="A64" s="83" t="s">
        <v>3035</v>
      </c>
      <c r="B64" s="83" t="s">
        <v>4524</v>
      </c>
    </row>
    <row r="65" spans="1:2" ht="77.5">
      <c r="A65" s="83" t="s">
        <v>3036</v>
      </c>
      <c r="B65" s="83" t="s">
        <v>4525</v>
      </c>
    </row>
    <row r="66" spans="1:2">
      <c r="A66" s="83" t="s">
        <v>3037</v>
      </c>
      <c r="B66" s="83"/>
    </row>
    <row r="67" spans="1:2" ht="124">
      <c r="A67" s="83" t="s">
        <v>3038</v>
      </c>
      <c r="B67" s="83" t="s">
        <v>4526</v>
      </c>
    </row>
    <row r="68" spans="1:2" ht="124">
      <c r="A68" s="83" t="s">
        <v>3039</v>
      </c>
      <c r="B68" s="83" t="s">
        <v>4527</v>
      </c>
    </row>
    <row r="69" spans="1:2" ht="108.5">
      <c r="A69" s="83" t="s">
        <v>4528</v>
      </c>
      <c r="B69" s="83" t="s">
        <v>4529</v>
      </c>
    </row>
    <row r="70" spans="1:2" ht="108.5">
      <c r="A70" s="83" t="s">
        <v>3111</v>
      </c>
      <c r="B70" s="83" t="s">
        <v>4530</v>
      </c>
    </row>
    <row r="71" spans="1:2" ht="46.5">
      <c r="A71" s="83" t="s">
        <v>3112</v>
      </c>
      <c r="B71" s="83" t="s">
        <v>4531</v>
      </c>
    </row>
    <row r="72" spans="1:2" ht="139.5">
      <c r="A72" s="83" t="s">
        <v>3114</v>
      </c>
      <c r="B72" s="83" t="s">
        <v>4532</v>
      </c>
    </row>
    <row r="73" spans="1:2">
      <c r="A73" s="83" t="s">
        <v>3115</v>
      </c>
      <c r="B73" s="83" t="s">
        <v>4533</v>
      </c>
    </row>
    <row r="74" spans="1:2" ht="62">
      <c r="A74" s="83" t="s">
        <v>3125</v>
      </c>
      <c r="B74" s="83" t="s">
        <v>4534</v>
      </c>
    </row>
    <row r="75" spans="1:2" ht="62">
      <c r="A75" s="83" t="s">
        <v>3126</v>
      </c>
      <c r="B75" s="83" t="s">
        <v>4535</v>
      </c>
    </row>
    <row r="76" spans="1:2" ht="31">
      <c r="A76" s="83" t="s">
        <v>3127</v>
      </c>
      <c r="B76" s="83" t="s">
        <v>4536</v>
      </c>
    </row>
    <row r="77" spans="1:2" ht="93">
      <c r="A77" s="83" t="s">
        <v>3128</v>
      </c>
      <c r="B77" s="83" t="s">
        <v>4537</v>
      </c>
    </row>
    <row r="78" spans="1:2" ht="77.5">
      <c r="A78" s="83" t="s">
        <v>3129</v>
      </c>
      <c r="B78" s="83" t="s">
        <v>4538</v>
      </c>
    </row>
    <row r="79" spans="1:2" ht="108.5">
      <c r="A79" s="83" t="s">
        <v>4078</v>
      </c>
      <c r="B79" s="83" t="s">
        <v>4539</v>
      </c>
    </row>
    <row r="80" spans="1:2" ht="108.5">
      <c r="A80" s="83" t="s">
        <v>4080</v>
      </c>
      <c r="B80" s="83" t="s">
        <v>4540</v>
      </c>
    </row>
    <row r="81" spans="1:2" ht="77.5">
      <c r="A81" s="83" t="s">
        <v>4081</v>
      </c>
      <c r="B81" s="83" t="s">
        <v>4541</v>
      </c>
    </row>
    <row r="82" spans="1:2" ht="139.5">
      <c r="A82" s="83" t="s">
        <v>4082</v>
      </c>
      <c r="B82" s="83" t="s">
        <v>4542</v>
      </c>
    </row>
    <row r="83" spans="1:2" ht="124">
      <c r="A83" s="83" t="s">
        <v>4084</v>
      </c>
      <c r="B83" s="83" t="s">
        <v>4543</v>
      </c>
    </row>
    <row r="84" spans="1:2" ht="139.5">
      <c r="A84" s="83" t="s">
        <v>4086</v>
      </c>
      <c r="B84" s="83" t="s">
        <v>4544</v>
      </c>
    </row>
    <row r="85" spans="1:2" ht="232.5">
      <c r="A85" s="83" t="s">
        <v>3675</v>
      </c>
      <c r="B85" s="83" t="s">
        <v>4783</v>
      </c>
    </row>
    <row r="86" spans="1:2" ht="108.5">
      <c r="A86" s="83" t="s">
        <v>3676</v>
      </c>
      <c r="B86" s="83" t="s">
        <v>4545</v>
      </c>
    </row>
    <row r="87" spans="1:2" ht="93">
      <c r="A87" s="83" t="s">
        <v>3677</v>
      </c>
      <c r="B87" s="83" t="s">
        <v>4546</v>
      </c>
    </row>
    <row r="88" spans="1:2" ht="62">
      <c r="A88" s="83" t="s">
        <v>3678</v>
      </c>
      <c r="B88" s="83" t="s">
        <v>4547</v>
      </c>
    </row>
    <row r="89" spans="1:2" ht="108.5">
      <c r="A89" s="83" t="s">
        <v>3679</v>
      </c>
      <c r="B89" s="83" t="s">
        <v>4548</v>
      </c>
    </row>
    <row r="90" spans="1:2" ht="93">
      <c r="A90" s="83" t="s">
        <v>3680</v>
      </c>
      <c r="B90" s="83" t="s">
        <v>4549</v>
      </c>
    </row>
    <row r="91" spans="1:2" ht="77.5">
      <c r="A91" s="83" t="s">
        <v>3681</v>
      </c>
      <c r="B91" s="83" t="s">
        <v>4550</v>
      </c>
    </row>
    <row r="92" spans="1:2" ht="77.5">
      <c r="A92" s="83" t="s">
        <v>3682</v>
      </c>
      <c r="B92" s="83" t="s">
        <v>4551</v>
      </c>
    </row>
    <row r="93" spans="1:2" ht="77.5">
      <c r="A93" s="83" t="s">
        <v>3683</v>
      </c>
      <c r="B93" s="83" t="s">
        <v>4552</v>
      </c>
    </row>
    <row r="94" spans="1:2" ht="77.5">
      <c r="A94" s="83" t="s">
        <v>3684</v>
      </c>
      <c r="B94" s="83" t="s">
        <v>4553</v>
      </c>
    </row>
    <row r="95" spans="1:2" ht="93">
      <c r="A95" s="83" t="s">
        <v>3685</v>
      </c>
      <c r="B95" s="83" t="s">
        <v>4554</v>
      </c>
    </row>
    <row r="96" spans="1:2" ht="62">
      <c r="A96" s="83" t="s">
        <v>3686</v>
      </c>
      <c r="B96" s="83" t="s">
        <v>4555</v>
      </c>
    </row>
    <row r="97" spans="1:2" ht="170.5">
      <c r="A97" s="83" t="s">
        <v>3687</v>
      </c>
      <c r="B97" s="83" t="s">
        <v>4556</v>
      </c>
    </row>
    <row r="98" spans="1:2" ht="124">
      <c r="A98" s="83" t="s">
        <v>3688</v>
      </c>
      <c r="B98" s="83" t="s">
        <v>4557</v>
      </c>
    </row>
    <row r="99" spans="1:2" ht="62">
      <c r="A99" s="83" t="s">
        <v>3689</v>
      </c>
      <c r="B99" s="83" t="s">
        <v>4558</v>
      </c>
    </row>
    <row r="100" spans="1:2" ht="124">
      <c r="A100" s="83" t="s">
        <v>3690</v>
      </c>
      <c r="B100" s="83" t="s">
        <v>4559</v>
      </c>
    </row>
    <row r="101" spans="1:2" ht="341">
      <c r="A101" s="83" t="s">
        <v>3691</v>
      </c>
      <c r="B101" s="83" t="s">
        <v>4560</v>
      </c>
    </row>
    <row r="102" spans="1:2" ht="201.5">
      <c r="A102" s="83" t="s">
        <v>3692</v>
      </c>
      <c r="B102" s="83" t="s">
        <v>4561</v>
      </c>
    </row>
    <row r="103" spans="1:2" ht="77.5">
      <c r="A103" s="83" t="s">
        <v>3693</v>
      </c>
      <c r="B103" s="83" t="s">
        <v>4562</v>
      </c>
    </row>
    <row r="104" spans="1:2" ht="217">
      <c r="A104" s="83" t="s">
        <v>3694</v>
      </c>
      <c r="B104" s="83" t="s">
        <v>4563</v>
      </c>
    </row>
    <row r="105" spans="1:2" ht="77.5">
      <c r="A105" s="83" t="s">
        <v>3695</v>
      </c>
      <c r="B105" s="83" t="s">
        <v>4564</v>
      </c>
    </row>
    <row r="106" spans="1:2" ht="201.5">
      <c r="A106" s="83" t="s">
        <v>3696</v>
      </c>
      <c r="B106" s="83" t="s">
        <v>4565</v>
      </c>
    </row>
    <row r="107" spans="1:2" ht="279">
      <c r="A107" s="83" t="s">
        <v>3697</v>
      </c>
      <c r="B107" s="83" t="s">
        <v>4566</v>
      </c>
    </row>
    <row r="108" spans="1:2" ht="170.5">
      <c r="A108" s="83" t="s">
        <v>3698</v>
      </c>
      <c r="B108" s="83" t="s">
        <v>4567</v>
      </c>
    </row>
    <row r="109" spans="1:2" ht="409.5">
      <c r="A109" s="83" t="s">
        <v>3699</v>
      </c>
      <c r="B109" s="83" t="s">
        <v>4568</v>
      </c>
    </row>
    <row r="110" spans="1:2" ht="139.5">
      <c r="A110" s="83" t="s">
        <v>3700</v>
      </c>
      <c r="B110" s="83" t="s">
        <v>4569</v>
      </c>
    </row>
    <row r="111" spans="1:2" ht="93">
      <c r="A111" s="83" t="s">
        <v>3701</v>
      </c>
      <c r="B111" s="83" t="s">
        <v>4570</v>
      </c>
    </row>
    <row r="112" spans="1:2" ht="310">
      <c r="A112" s="83" t="s">
        <v>3702</v>
      </c>
      <c r="B112" s="83" t="s">
        <v>4571</v>
      </c>
    </row>
    <row r="113" spans="1:2" ht="93">
      <c r="A113" s="83" t="s">
        <v>3703</v>
      </c>
      <c r="B113" s="83" t="s">
        <v>4572</v>
      </c>
    </row>
    <row r="114" spans="1:2" ht="77.5">
      <c r="A114" s="83" t="s">
        <v>3704</v>
      </c>
      <c r="B114" s="83" t="s">
        <v>4573</v>
      </c>
    </row>
    <row r="115" spans="1:2" ht="62">
      <c r="A115" s="83" t="s">
        <v>3705</v>
      </c>
      <c r="B115" s="83" t="s">
        <v>4574</v>
      </c>
    </row>
    <row r="116" spans="1:2" ht="186">
      <c r="A116" s="83" t="s">
        <v>3706</v>
      </c>
      <c r="B116" s="83" t="s">
        <v>4575</v>
      </c>
    </row>
    <row r="117" spans="1:2" ht="155">
      <c r="A117" s="83" t="s">
        <v>3707</v>
      </c>
      <c r="B117" s="83" t="s">
        <v>4576</v>
      </c>
    </row>
    <row r="118" spans="1:2" ht="155">
      <c r="A118" s="83" t="s">
        <v>3708</v>
      </c>
      <c r="B118" s="83" t="s">
        <v>4576</v>
      </c>
    </row>
    <row r="119" spans="1:2" ht="139.5">
      <c r="A119" s="83" t="s">
        <v>3709</v>
      </c>
      <c r="B119" s="83" t="s">
        <v>4577</v>
      </c>
    </row>
    <row r="120" spans="1:2" ht="155">
      <c r="A120" s="83" t="s">
        <v>3710</v>
      </c>
      <c r="B120" s="83" t="s">
        <v>4578</v>
      </c>
    </row>
    <row r="121" spans="1:2" ht="294.5">
      <c r="A121" s="83" t="s">
        <v>3711</v>
      </c>
      <c r="B121" s="83" t="s">
        <v>4579</v>
      </c>
    </row>
    <row r="122" spans="1:2" ht="93">
      <c r="A122" s="83" t="s">
        <v>3712</v>
      </c>
      <c r="B122" s="83" t="s">
        <v>4580</v>
      </c>
    </row>
    <row r="123" spans="1:2" ht="341">
      <c r="A123" s="83" t="s">
        <v>3713</v>
      </c>
      <c r="B123" s="83" t="s">
        <v>4581</v>
      </c>
    </row>
    <row r="124" spans="1:2" ht="201.5">
      <c r="A124" s="83" t="s">
        <v>3714</v>
      </c>
      <c r="B124" s="83" t="s">
        <v>4582</v>
      </c>
    </row>
    <row r="125" spans="1:2" ht="124">
      <c r="A125" s="83" t="s">
        <v>3715</v>
      </c>
      <c r="B125" s="83" t="s">
        <v>4583</v>
      </c>
    </row>
    <row r="126" spans="1:2" ht="77.5">
      <c r="A126" s="83" t="s">
        <v>3716</v>
      </c>
      <c r="B126" s="83" t="s">
        <v>4584</v>
      </c>
    </row>
    <row r="127" spans="1:2" ht="62">
      <c r="A127" s="83" t="s">
        <v>3717</v>
      </c>
      <c r="B127" s="83" t="s">
        <v>4585</v>
      </c>
    </row>
    <row r="128" spans="1:2" ht="186">
      <c r="A128" s="83" t="s">
        <v>3718</v>
      </c>
      <c r="B128" s="83" t="s">
        <v>4575</v>
      </c>
    </row>
    <row r="129" spans="1:2" ht="108.5">
      <c r="A129" s="83" t="s">
        <v>3719</v>
      </c>
      <c r="B129" s="83" t="s">
        <v>4586</v>
      </c>
    </row>
    <row r="130" spans="1:2" ht="108.5">
      <c r="A130" s="83" t="s">
        <v>3720</v>
      </c>
      <c r="B130" s="83" t="s">
        <v>4586</v>
      </c>
    </row>
    <row r="131" spans="1:2" ht="356.5">
      <c r="A131" s="83" t="s">
        <v>3721</v>
      </c>
      <c r="B131" s="83" t="s">
        <v>4587</v>
      </c>
    </row>
    <row r="132" spans="1:2" ht="155">
      <c r="A132" s="83" t="s">
        <v>3722</v>
      </c>
      <c r="B132" s="83" t="s">
        <v>4588</v>
      </c>
    </row>
    <row r="133" spans="1:2" ht="93">
      <c r="A133" s="83" t="s">
        <v>3723</v>
      </c>
      <c r="B133" s="83" t="s">
        <v>4589</v>
      </c>
    </row>
    <row r="134" spans="1:2" ht="124">
      <c r="A134" s="83" t="s">
        <v>3724</v>
      </c>
      <c r="B134" s="83" t="s">
        <v>4590</v>
      </c>
    </row>
    <row r="135" spans="1:2" ht="77.5">
      <c r="A135" s="83" t="s">
        <v>3725</v>
      </c>
      <c r="B135" s="83" t="s">
        <v>4591</v>
      </c>
    </row>
    <row r="136" spans="1:2" ht="77.5">
      <c r="A136" s="83" t="s">
        <v>3726</v>
      </c>
      <c r="B136" s="83" t="s">
        <v>4551</v>
      </c>
    </row>
    <row r="137" spans="1:2" ht="77.5">
      <c r="A137" s="83" t="s">
        <v>3727</v>
      </c>
      <c r="B137" s="83" t="s">
        <v>4592</v>
      </c>
    </row>
    <row r="138" spans="1:2" ht="77.5">
      <c r="A138" s="83" t="s">
        <v>3728</v>
      </c>
      <c r="B138" s="83" t="s">
        <v>4593</v>
      </c>
    </row>
    <row r="139" spans="1:2" ht="93">
      <c r="A139" s="83" t="s">
        <v>3729</v>
      </c>
      <c r="B139" s="83" t="s">
        <v>4594</v>
      </c>
    </row>
    <row r="140" spans="1:2" ht="62">
      <c r="A140" s="83" t="s">
        <v>3730</v>
      </c>
      <c r="B140" s="83" t="s">
        <v>4595</v>
      </c>
    </row>
    <row r="141" spans="1:2" ht="124">
      <c r="A141" s="83" t="s">
        <v>3731</v>
      </c>
      <c r="B141" s="83" t="s">
        <v>4596</v>
      </c>
    </row>
    <row r="142" spans="1:2" ht="46.5">
      <c r="A142" s="83" t="s">
        <v>3732</v>
      </c>
      <c r="B142" s="83" t="s">
        <v>4597</v>
      </c>
    </row>
    <row r="143" spans="1:2" ht="77.5">
      <c r="A143" s="83" t="s">
        <v>3733</v>
      </c>
      <c r="B143" s="83" t="s">
        <v>4598</v>
      </c>
    </row>
    <row r="144" spans="1:2" ht="108.5">
      <c r="A144" t="s">
        <v>4310</v>
      </c>
      <c r="B144" s="83" t="s">
        <v>4599</v>
      </c>
    </row>
    <row r="145" spans="1:2" ht="139.5">
      <c r="A145" s="83" t="s">
        <v>3494</v>
      </c>
      <c r="B145" s="83" t="s">
        <v>4600</v>
      </c>
    </row>
    <row r="146" spans="1:2" ht="77.5">
      <c r="A146" s="83" t="s">
        <v>3495</v>
      </c>
      <c r="B146" s="83" t="s">
        <v>4601</v>
      </c>
    </row>
    <row r="147" spans="1:2" ht="77.5">
      <c r="A147" s="83" t="s">
        <v>3490</v>
      </c>
      <c r="B147" s="83" t="s">
        <v>4602</v>
      </c>
    </row>
    <row r="148" spans="1:2" ht="46.5">
      <c r="A148" s="83" t="s">
        <v>3487</v>
      </c>
      <c r="B148" s="83" t="s">
        <v>4603</v>
      </c>
    </row>
    <row r="149" spans="1:2" ht="46.5">
      <c r="A149" s="83" t="s">
        <v>3488</v>
      </c>
      <c r="B149" s="83" t="s">
        <v>4604</v>
      </c>
    </row>
    <row r="150" spans="1:2" ht="108.5">
      <c r="A150" s="83" t="s">
        <v>4320</v>
      </c>
      <c r="B150" s="83" t="s">
        <v>4605</v>
      </c>
    </row>
    <row r="151" spans="1:2" ht="62">
      <c r="A151" s="83" t="s">
        <v>4325</v>
      </c>
      <c r="B151" s="83" t="s">
        <v>4606</v>
      </c>
    </row>
    <row r="152" spans="1:2" ht="62">
      <c r="A152" s="83" t="s">
        <v>4330</v>
      </c>
      <c r="B152" s="83" t="s">
        <v>4607</v>
      </c>
    </row>
    <row r="153" spans="1:2" ht="124">
      <c r="A153" s="83" t="s">
        <v>4332</v>
      </c>
      <c r="B153" s="83" t="s">
        <v>4608</v>
      </c>
    </row>
    <row r="154" spans="1:2" ht="139.5">
      <c r="A154" s="83" t="s">
        <v>3511</v>
      </c>
      <c r="B154" s="83" t="s">
        <v>4609</v>
      </c>
    </row>
    <row r="155" spans="1:2" ht="62">
      <c r="A155" s="83" t="s">
        <v>3512</v>
      </c>
      <c r="B155" s="83" t="s">
        <v>4610</v>
      </c>
    </row>
    <row r="156" spans="1:2" ht="46.5">
      <c r="A156" s="83" t="s">
        <v>3513</v>
      </c>
      <c r="B156" s="83" t="s">
        <v>4611</v>
      </c>
    </row>
    <row r="157" spans="1:2" ht="124">
      <c r="A157" s="83" t="s">
        <v>3479</v>
      </c>
      <c r="B157" s="83" t="s">
        <v>4612</v>
      </c>
    </row>
    <row r="158" spans="1:2" ht="108.5">
      <c r="A158" s="83" t="s">
        <v>3480</v>
      </c>
      <c r="B158" s="83" t="s">
        <v>4613</v>
      </c>
    </row>
    <row r="159" spans="1:2" ht="93">
      <c r="A159" s="83" t="s">
        <v>3481</v>
      </c>
      <c r="B159" s="83" t="s">
        <v>4614</v>
      </c>
    </row>
    <row r="160" spans="1:2" ht="139.5">
      <c r="A160" s="83" t="s">
        <v>3482</v>
      </c>
      <c r="B160" s="83" t="s">
        <v>4615</v>
      </c>
    </row>
    <row r="161" spans="1:2">
      <c r="A161" s="83" t="s">
        <v>3518</v>
      </c>
      <c r="B161" s="83"/>
    </row>
    <row r="162" spans="1:2" ht="77.5">
      <c r="A162" s="83" t="s">
        <v>3483</v>
      </c>
      <c r="B162" s="83" t="s">
        <v>4616</v>
      </c>
    </row>
    <row r="163" spans="1:2" ht="46.5">
      <c r="A163" s="83" t="s">
        <v>3519</v>
      </c>
      <c r="B163" s="83" t="s">
        <v>4617</v>
      </c>
    </row>
    <row r="164" spans="1:2" ht="62">
      <c r="A164" s="83" t="s">
        <v>3422</v>
      </c>
      <c r="B164" s="83" t="s">
        <v>4618</v>
      </c>
    </row>
    <row r="165" spans="1:2">
      <c r="A165" s="83" t="s">
        <v>3423</v>
      </c>
      <c r="B165" s="83"/>
    </row>
    <row r="166" spans="1:2" ht="93">
      <c r="A166" s="83" t="s">
        <v>3426</v>
      </c>
      <c r="B166" s="83" t="s">
        <v>4619</v>
      </c>
    </row>
    <row r="167" spans="1:2" ht="62">
      <c r="A167" s="83" t="s">
        <v>3424</v>
      </c>
      <c r="B167" s="83" t="s">
        <v>4620</v>
      </c>
    </row>
    <row r="168" spans="1:2" ht="77.5">
      <c r="A168" s="83" t="s">
        <v>3427</v>
      </c>
      <c r="B168" s="83" t="s">
        <v>4621</v>
      </c>
    </row>
    <row r="169" spans="1:2" ht="62">
      <c r="A169" s="83" t="s">
        <v>3428</v>
      </c>
      <c r="B169" s="83" t="s">
        <v>4622</v>
      </c>
    </row>
    <row r="170" spans="1:2" ht="93">
      <c r="A170" s="83" t="s">
        <v>3425</v>
      </c>
      <c r="B170" s="83" t="s">
        <v>4623</v>
      </c>
    </row>
    <row r="171" spans="1:2" ht="217">
      <c r="A171" s="83" t="s">
        <v>3484</v>
      </c>
      <c r="B171" s="83" t="s">
        <v>4624</v>
      </c>
    </row>
    <row r="172" spans="1:2" ht="201.5">
      <c r="A172" s="83" t="s">
        <v>3485</v>
      </c>
      <c r="B172" s="83" t="s">
        <v>4625</v>
      </c>
    </row>
    <row r="173" spans="1:2" ht="77.5">
      <c r="A173" s="83" t="s">
        <v>3493</v>
      </c>
      <c r="B173" s="83" t="s">
        <v>4626</v>
      </c>
    </row>
    <row r="174" spans="1:2" ht="46.5">
      <c r="A174" s="83" t="s">
        <v>4627</v>
      </c>
      <c r="B174" s="83" t="str">
        <f>"
Full legal name of the guarantor.
"</f>
        <v xml:space="preserve">
Full legal name of the guarantor.
</v>
      </c>
    </row>
    <row r="175" spans="1:2" ht="62">
      <c r="A175" s="135" t="s">
        <v>4628</v>
      </c>
      <c r="B175" s="83" t="s">
        <v>4629</v>
      </c>
    </row>
    <row r="176" spans="1:2" ht="77.5">
      <c r="A176" s="83" t="s">
        <v>3843</v>
      </c>
      <c r="B176" s="83" t="s">
        <v>4630</v>
      </c>
    </row>
    <row r="177" spans="1:2" ht="201.5">
      <c r="A177" s="83" t="s">
        <v>3844</v>
      </c>
      <c r="B177" s="83" t="s">
        <v>4631</v>
      </c>
    </row>
    <row r="178" spans="1:2">
      <c r="A178" s="83" t="s">
        <v>4632</v>
      </c>
      <c r="B178" s="83" t="str">
        <f>" "</f>
        <v xml:space="preserve"> </v>
      </c>
    </row>
    <row r="179" spans="1:2" ht="93">
      <c r="A179" s="83" t="s">
        <v>3847</v>
      </c>
      <c r="B179" s="83" t="s">
        <v>4633</v>
      </c>
    </row>
    <row r="180" spans="1:2">
      <c r="A180" s="83" t="s">
        <v>4634</v>
      </c>
      <c r="B180" s="83" t="str">
        <f>" "</f>
        <v xml:space="preserve"> </v>
      </c>
    </row>
    <row r="181" spans="1:2" ht="62">
      <c r="A181" s="83" t="s">
        <v>4635</v>
      </c>
      <c r="B181" s="83" t="s">
        <v>4636</v>
      </c>
    </row>
    <row r="182" spans="1:2" ht="139.5">
      <c r="A182" s="83" t="s">
        <v>4637</v>
      </c>
      <c r="B182" s="83" t="s">
        <v>4638</v>
      </c>
    </row>
    <row r="183" spans="1:2" ht="46.5">
      <c r="A183" s="83" t="s">
        <v>4639</v>
      </c>
      <c r="B183" s="83" t="s">
        <v>4640</v>
      </c>
    </row>
    <row r="184" spans="1:2" ht="62">
      <c r="A184" s="83" t="s">
        <v>3848</v>
      </c>
      <c r="B184" s="83" t="s">
        <v>4641</v>
      </c>
    </row>
    <row r="185" spans="1:2" ht="46.5">
      <c r="A185" s="83" t="s">
        <v>4642</v>
      </c>
      <c r="B185" s="83" t="s">
        <v>4643</v>
      </c>
    </row>
    <row r="186" spans="1:2" ht="62">
      <c r="A186" s="83" t="s">
        <v>4644</v>
      </c>
      <c r="B186" s="83" t="s">
        <v>4645</v>
      </c>
    </row>
    <row r="187" spans="1:2" ht="62">
      <c r="A187" s="83" t="s">
        <v>4646</v>
      </c>
      <c r="B187" s="83" t="s">
        <v>4647</v>
      </c>
    </row>
    <row r="188" spans="1:2" ht="62">
      <c r="A188" s="83" t="s">
        <v>4648</v>
      </c>
      <c r="B188" s="83" t="s">
        <v>4649</v>
      </c>
    </row>
    <row r="189" spans="1:2" ht="62">
      <c r="A189" s="83" t="s">
        <v>4650</v>
      </c>
      <c r="B189" s="83" t="s">
        <v>4651</v>
      </c>
    </row>
    <row r="190" spans="1:2" ht="62">
      <c r="A190" s="83" t="s">
        <v>4652</v>
      </c>
      <c r="B190" s="83" t="s">
        <v>4653</v>
      </c>
    </row>
    <row r="191" spans="1:2" ht="62">
      <c r="A191" s="83" t="s">
        <v>4654</v>
      </c>
      <c r="B191" s="83" t="s">
        <v>4655</v>
      </c>
    </row>
    <row r="192" spans="1:2" ht="62">
      <c r="A192" s="83" t="s">
        <v>4656</v>
      </c>
      <c r="B192" s="83" t="s">
        <v>4657</v>
      </c>
    </row>
    <row r="193" spans="1:2" ht="46.5">
      <c r="A193" s="83" t="s">
        <v>3861</v>
      </c>
      <c r="B193" s="83" t="s">
        <v>4658</v>
      </c>
    </row>
    <row r="194" spans="1:2" ht="62">
      <c r="A194" s="83" t="s">
        <v>4659</v>
      </c>
      <c r="B194" s="83" t="s">
        <v>4660</v>
      </c>
    </row>
    <row r="195" spans="1:2" ht="93">
      <c r="A195" s="83" t="s">
        <v>3863</v>
      </c>
      <c r="B195" s="83" t="s">
        <v>4661</v>
      </c>
    </row>
    <row r="196" spans="1:2" ht="46.5">
      <c r="A196" s="83" t="s">
        <v>4662</v>
      </c>
      <c r="B196" s="83" t="s">
        <v>84</v>
      </c>
    </row>
    <row r="197" spans="1:2" ht="62">
      <c r="A197" s="83" t="s">
        <v>4663</v>
      </c>
      <c r="B197" s="83" t="s">
        <v>4664</v>
      </c>
    </row>
    <row r="198" spans="1:2" ht="93">
      <c r="A198" s="83" t="s">
        <v>4665</v>
      </c>
      <c r="B198" s="83" t="s">
        <v>4666</v>
      </c>
    </row>
    <row r="199" spans="1:2" ht="46.5">
      <c r="A199" s="83" t="s">
        <v>4667</v>
      </c>
      <c r="B199" s="83" t="s">
        <v>4668</v>
      </c>
    </row>
    <row r="200" spans="1:2" ht="62">
      <c r="A200" s="83" t="s">
        <v>3864</v>
      </c>
      <c r="B200" s="83" t="s">
        <v>4669</v>
      </c>
    </row>
    <row r="201" spans="1:2" ht="46.5">
      <c r="A201" s="83" t="s">
        <v>4670</v>
      </c>
      <c r="B201" s="83" t="s">
        <v>4643</v>
      </c>
    </row>
    <row r="202" spans="1:2" ht="62">
      <c r="A202" s="83" t="s">
        <v>4671</v>
      </c>
      <c r="B202" s="83" t="s">
        <v>4672</v>
      </c>
    </row>
    <row r="203" spans="1:2" ht="77.5">
      <c r="A203" s="83" t="s">
        <v>4673</v>
      </c>
      <c r="B203" s="83" t="s">
        <v>4674</v>
      </c>
    </row>
    <row r="204" spans="1:2" ht="62">
      <c r="A204" s="83" t="s">
        <v>4675</v>
      </c>
      <c r="B204" s="83" t="s">
        <v>4676</v>
      </c>
    </row>
    <row r="205" spans="1:2" ht="62">
      <c r="A205" s="83" t="s">
        <v>4677</v>
      </c>
      <c r="B205" s="83" t="s">
        <v>4678</v>
      </c>
    </row>
    <row r="206" spans="1:2" ht="62">
      <c r="A206" s="83" t="s">
        <v>4679</v>
      </c>
      <c r="B206" s="83" t="s">
        <v>4680</v>
      </c>
    </row>
    <row r="207" spans="1:2" ht="62">
      <c r="A207" s="83" t="s">
        <v>4681</v>
      </c>
      <c r="B207" s="83" t="s">
        <v>4682</v>
      </c>
    </row>
    <row r="208" spans="1:2" ht="62">
      <c r="A208" s="83" t="s">
        <v>4683</v>
      </c>
      <c r="B208" s="83" t="s">
        <v>4684</v>
      </c>
    </row>
    <row r="209" spans="1:2" ht="46.5">
      <c r="A209" s="83" t="s">
        <v>3870</v>
      </c>
      <c r="B209" s="83" t="s">
        <v>4685</v>
      </c>
    </row>
    <row r="210" spans="1:2" ht="46.5">
      <c r="A210" s="83" t="s">
        <v>4686</v>
      </c>
      <c r="B210" s="83" t="s">
        <v>4687</v>
      </c>
    </row>
    <row r="211" spans="1:2" ht="62">
      <c r="A211" s="83" t="s">
        <v>3871</v>
      </c>
      <c r="B211" s="83" t="s">
        <v>4688</v>
      </c>
    </row>
    <row r="212" spans="1:2" ht="46.5">
      <c r="A212" s="83" t="s">
        <v>4689</v>
      </c>
      <c r="B212" s="83" t="s">
        <v>4690</v>
      </c>
    </row>
    <row r="213" spans="1:2">
      <c r="A213" s="83" t="s">
        <v>4691</v>
      </c>
      <c r="B213" s="83"/>
    </row>
    <row r="214" spans="1:2" ht="77.5">
      <c r="A214" s="83" t="s">
        <v>4692</v>
      </c>
      <c r="B214" s="83" t="s">
        <v>4693</v>
      </c>
    </row>
    <row r="215" spans="1:2" ht="62">
      <c r="A215" s="83" t="s">
        <v>4694</v>
      </c>
      <c r="B215" s="83" t="s">
        <v>4695</v>
      </c>
    </row>
    <row r="216" spans="1:2" ht="62">
      <c r="A216" s="83" t="s">
        <v>4696</v>
      </c>
      <c r="B216" s="83" t="s">
        <v>4697</v>
      </c>
    </row>
    <row r="217" spans="1:2" ht="62">
      <c r="A217" s="83" t="s">
        <v>4698</v>
      </c>
      <c r="B217" s="83" t="s">
        <v>4699</v>
      </c>
    </row>
    <row r="218" spans="1:2" ht="77.5">
      <c r="A218" s="83" t="s">
        <v>4355</v>
      </c>
      <c r="B218" s="83" t="s">
        <v>4700</v>
      </c>
    </row>
    <row r="219" spans="1:2" ht="62">
      <c r="A219" s="83" t="s">
        <v>3855</v>
      </c>
      <c r="B219" s="83" t="s">
        <v>4701</v>
      </c>
    </row>
    <row r="220" spans="1:2" ht="46.5">
      <c r="A220" s="83" t="s">
        <v>4702</v>
      </c>
      <c r="B220" s="83" t="s">
        <v>4703</v>
      </c>
    </row>
    <row r="221" spans="1:2" ht="93">
      <c r="A221" s="83" t="s">
        <v>3858</v>
      </c>
      <c r="B221" s="83" t="s">
        <v>4704</v>
      </c>
    </row>
    <row r="222" spans="1:2">
      <c r="A222" s="83" t="s">
        <v>4705</v>
      </c>
      <c r="B222" s="83" t="str">
        <f>""</f>
        <v/>
      </c>
    </row>
    <row r="223" spans="1:2" ht="62">
      <c r="A223" s="83" t="s">
        <v>4706</v>
      </c>
      <c r="B223" s="83" t="s">
        <v>4707</v>
      </c>
    </row>
    <row r="224" spans="1:2" ht="124">
      <c r="A224" s="83" t="s">
        <v>4708</v>
      </c>
      <c r="B224" s="83" t="s">
        <v>4709</v>
      </c>
    </row>
    <row r="225" spans="1:2" ht="46.5">
      <c r="A225" s="83" t="s">
        <v>4710</v>
      </c>
      <c r="B225" s="83" t="s">
        <v>4711</v>
      </c>
    </row>
    <row r="226" spans="1:2" ht="62">
      <c r="A226" s="83" t="s">
        <v>3859</v>
      </c>
      <c r="B226" s="83" t="s">
        <v>4712</v>
      </c>
    </row>
    <row r="227" spans="1:2" ht="46.5">
      <c r="A227" s="83" t="s">
        <v>4713</v>
      </c>
      <c r="B227" s="83" t="s">
        <v>4643</v>
      </c>
    </row>
    <row r="228" spans="1:2" ht="62">
      <c r="A228" s="83" t="s">
        <v>4714</v>
      </c>
      <c r="B228" s="83" t="s">
        <v>4715</v>
      </c>
    </row>
    <row r="229" spans="1:2" ht="62">
      <c r="A229" s="83" t="s">
        <v>4716</v>
      </c>
      <c r="B229" s="83" t="s">
        <v>4717</v>
      </c>
    </row>
    <row r="230" spans="1:2" ht="62">
      <c r="A230" s="83" t="s">
        <v>4718</v>
      </c>
      <c r="B230" s="83" t="s">
        <v>4719</v>
      </c>
    </row>
    <row r="231" spans="1:2" ht="62">
      <c r="A231" s="83" t="s">
        <v>4720</v>
      </c>
      <c r="B231" s="83" t="s">
        <v>4721</v>
      </c>
    </row>
    <row r="232" spans="1:2" ht="62">
      <c r="A232" s="83" t="s">
        <v>4722</v>
      </c>
      <c r="B232" s="83" t="s">
        <v>4723</v>
      </c>
    </row>
    <row r="233" spans="1:2" ht="62">
      <c r="A233" s="83" t="s">
        <v>4724</v>
      </c>
      <c r="B233" s="83" t="s">
        <v>4725</v>
      </c>
    </row>
    <row r="234" spans="1:2" ht="62">
      <c r="A234" s="83" t="s">
        <v>4726</v>
      </c>
      <c r="B234" s="83" t="s">
        <v>4727</v>
      </c>
    </row>
    <row r="235" spans="1:2" ht="93">
      <c r="A235" s="83" t="s">
        <v>3489</v>
      </c>
      <c r="B235" s="83" t="s">
        <v>4728</v>
      </c>
    </row>
    <row r="236" spans="1:2" ht="77.5">
      <c r="A236" s="83" t="s">
        <v>3491</v>
      </c>
      <c r="B236" s="83" t="s">
        <v>4729</v>
      </c>
    </row>
    <row r="237" spans="1:2" ht="77.5">
      <c r="A237" s="177" t="s">
        <v>3492</v>
      </c>
      <c r="B237" s="177" t="s">
        <v>4730</v>
      </c>
    </row>
    <row r="238" spans="1:2" ht="108.5">
      <c r="A238" s="83" t="s">
        <v>3116</v>
      </c>
      <c r="B238" s="83" t="s">
        <v>4731</v>
      </c>
    </row>
    <row r="239" spans="1:2" ht="93">
      <c r="A239" s="83" t="s">
        <v>3117</v>
      </c>
      <c r="B239" s="83" t="s">
        <v>4732</v>
      </c>
    </row>
    <row r="240" spans="1:2" ht="217">
      <c r="A240" s="83" t="s">
        <v>3118</v>
      </c>
      <c r="B240" s="83" t="s">
        <v>4733</v>
      </c>
    </row>
    <row r="241" spans="1:2" ht="217">
      <c r="A241" s="83" t="s">
        <v>3119</v>
      </c>
      <c r="B241" s="83" t="s">
        <v>4733</v>
      </c>
    </row>
    <row r="242" spans="1:2" ht="155">
      <c r="A242" s="83" t="s">
        <v>3120</v>
      </c>
      <c r="B242" s="83" t="s">
        <v>4734</v>
      </c>
    </row>
    <row r="243" spans="1:2" ht="232.5">
      <c r="A243" s="83" t="s">
        <v>3121</v>
      </c>
      <c r="B243" s="83" t="s">
        <v>4735</v>
      </c>
    </row>
    <row r="244" spans="1:2" ht="232.5">
      <c r="A244" s="83" t="s">
        <v>3122</v>
      </c>
      <c r="B244" s="83" t="s">
        <v>4735</v>
      </c>
    </row>
    <row r="245" spans="1:2" ht="186">
      <c r="A245" s="83" t="s">
        <v>3123</v>
      </c>
      <c r="B245" s="83" t="s">
        <v>4736</v>
      </c>
    </row>
    <row r="246" spans="1:2" ht="201.5">
      <c r="A246" s="83" t="s">
        <v>3124</v>
      </c>
      <c r="B246" s="83" t="s">
        <v>4737</v>
      </c>
    </row>
    <row r="247" spans="1:2" ht="62">
      <c r="A247" s="83" t="s">
        <v>3066</v>
      </c>
      <c r="B247" s="83" t="s">
        <v>4738</v>
      </c>
    </row>
    <row r="248" spans="1:2" ht="62">
      <c r="A248" s="83" t="s">
        <v>3025</v>
      </c>
      <c r="B248" s="83" t="s">
        <v>4739</v>
      </c>
    </row>
    <row r="249" spans="1:2" ht="93">
      <c r="A249" s="83" t="s">
        <v>3130</v>
      </c>
      <c r="B249" s="83" t="s">
        <v>4740</v>
      </c>
    </row>
    <row r="250" spans="1:2" ht="77.5">
      <c r="A250" s="83" t="s">
        <v>3131</v>
      </c>
      <c r="B250" s="83" t="s">
        <v>4741</v>
      </c>
    </row>
    <row r="251" spans="1:2" ht="155">
      <c r="A251" s="83" t="s">
        <v>3132</v>
      </c>
      <c r="B251" s="83" t="s">
        <v>4742</v>
      </c>
    </row>
    <row r="252" spans="1:2" ht="155">
      <c r="A252" s="83" t="s">
        <v>3133</v>
      </c>
      <c r="B252" s="83" t="s">
        <v>4743</v>
      </c>
    </row>
    <row r="253" spans="1:2" ht="201.5">
      <c r="A253" s="83" t="s">
        <v>3134</v>
      </c>
      <c r="B253" s="83" t="s">
        <v>4744</v>
      </c>
    </row>
    <row r="254" spans="1:2" ht="201.5">
      <c r="A254" s="83" t="s">
        <v>3135</v>
      </c>
      <c r="B254" s="83" t="s">
        <v>4745</v>
      </c>
    </row>
    <row r="255" spans="1:2" ht="93">
      <c r="A255" s="83" t="s">
        <v>3136</v>
      </c>
      <c r="B255" s="83" t="s">
        <v>4746</v>
      </c>
    </row>
    <row r="256" spans="1:2" ht="124">
      <c r="A256" s="83" t="s">
        <v>3137</v>
      </c>
      <c r="B256" s="83" t="s">
        <v>4747</v>
      </c>
    </row>
    <row r="257" spans="1:2" ht="108.5">
      <c r="A257" s="83" t="s">
        <v>3138</v>
      </c>
      <c r="B257" s="83" t="s">
        <v>4748</v>
      </c>
    </row>
    <row r="258" spans="1:2" ht="46.5">
      <c r="A258" s="83" t="s">
        <v>3139</v>
      </c>
      <c r="B258" s="83" t="s">
        <v>4749</v>
      </c>
    </row>
    <row r="259" spans="1:2" ht="62">
      <c r="A259" s="83" t="s">
        <v>4750</v>
      </c>
      <c r="B259" s="83" t="s">
        <v>4751</v>
      </c>
    </row>
    <row r="260" spans="1:2" ht="62">
      <c r="A260" s="83" t="s">
        <v>4752</v>
      </c>
      <c r="B260" s="83" t="s">
        <v>4753</v>
      </c>
    </row>
    <row r="261" spans="1:2" ht="46.5">
      <c r="A261" s="83" t="s">
        <v>4754</v>
      </c>
      <c r="B261" s="83" t="s">
        <v>4755</v>
      </c>
    </row>
    <row r="262" spans="1:2" ht="62">
      <c r="A262" s="83" t="s">
        <v>4756</v>
      </c>
      <c r="B262" s="83" t="s">
        <v>4629</v>
      </c>
    </row>
    <row r="263" spans="1:2" ht="62">
      <c r="A263" s="83" t="s">
        <v>4757</v>
      </c>
      <c r="B263" s="83" t="s">
        <v>4751</v>
      </c>
    </row>
    <row r="264" spans="1:2" ht="62">
      <c r="A264" s="83" t="s">
        <v>4758</v>
      </c>
      <c r="B264" s="83" t="s">
        <v>4753</v>
      </c>
    </row>
    <row r="265" spans="1:2">
      <c r="A265" s="83" t="s">
        <v>4759</v>
      </c>
      <c r="B265" s="83"/>
    </row>
    <row r="266" spans="1:2">
      <c r="A266" s="83" t="s">
        <v>4760</v>
      </c>
      <c r="B266" s="83"/>
    </row>
    <row r="267" spans="1:2">
      <c r="A267" s="83" t="s">
        <v>4761</v>
      </c>
      <c r="B267" s="83"/>
    </row>
    <row r="268" spans="1:2">
      <c r="A268" s="83" t="s">
        <v>4762</v>
      </c>
      <c r="B268" s="83"/>
    </row>
    <row r="269" spans="1:2">
      <c r="A269" s="83" t="s">
        <v>4763</v>
      </c>
      <c r="B269" s="83"/>
    </row>
    <row r="270" spans="1:2">
      <c r="A270" s="83" t="s">
        <v>4764</v>
      </c>
      <c r="B270" s="83"/>
    </row>
    <row r="271" spans="1:2">
      <c r="A271" s="83" t="s">
        <v>3514</v>
      </c>
      <c r="B271" s="83"/>
    </row>
    <row r="272" spans="1:2">
      <c r="A272" s="83" t="s">
        <v>3515</v>
      </c>
      <c r="B272" s="83"/>
    </row>
    <row r="273" spans="1:2">
      <c r="A273" s="83" t="s">
        <v>3516</v>
      </c>
      <c r="B273" s="83"/>
    </row>
    <row r="274" spans="1:2" ht="77.5">
      <c r="A274" s="83" t="s">
        <v>3040</v>
      </c>
      <c r="B274" s="83" t="s">
        <v>4765</v>
      </c>
    </row>
    <row r="275" spans="1:2" ht="62">
      <c r="A275" s="83" t="s">
        <v>3041</v>
      </c>
      <c r="B275" s="83" t="s">
        <v>158</v>
      </c>
    </row>
    <row r="276" spans="1:2" ht="124">
      <c r="A276" s="83" t="s">
        <v>3042</v>
      </c>
      <c r="B276" s="83" t="s">
        <v>160</v>
      </c>
    </row>
    <row r="277" spans="1:2" ht="108.5">
      <c r="A277" s="83" t="s">
        <v>3033</v>
      </c>
      <c r="B277" s="83" t="s">
        <v>4766</v>
      </c>
    </row>
    <row r="278" spans="1:2" ht="403">
      <c r="A278" s="83" t="s">
        <v>3029</v>
      </c>
      <c r="B278" s="83" t="s">
        <v>4767</v>
      </c>
    </row>
    <row r="279" spans="1:2" ht="409.5">
      <c r="A279" s="83" t="s">
        <v>3028</v>
      </c>
      <c r="B279" s="83" t="s">
        <v>4768</v>
      </c>
    </row>
    <row r="280" spans="1:2" ht="93">
      <c r="A280" s="83" t="s">
        <v>3030</v>
      </c>
      <c r="B280" s="83" t="s">
        <v>4769</v>
      </c>
    </row>
    <row r="281" spans="1:2" ht="403">
      <c r="A281" s="83" t="s">
        <v>3031</v>
      </c>
      <c r="B281" s="83" t="s">
        <v>4770</v>
      </c>
    </row>
    <row r="282" spans="1:2" ht="409.5">
      <c r="A282" s="83" t="s">
        <v>3032</v>
      </c>
      <c r="B282" s="83" t="s">
        <v>4771</v>
      </c>
    </row>
    <row r="283" spans="1:2" ht="108.5">
      <c r="A283" s="83" t="s">
        <v>3113</v>
      </c>
      <c r="B283" s="83" t="s">
        <v>4772</v>
      </c>
    </row>
    <row r="284" spans="1:2" ht="62">
      <c r="A284" s="83" t="s">
        <v>3026</v>
      </c>
      <c r="B284" s="83" t="s">
        <v>4773</v>
      </c>
    </row>
    <row r="285" spans="1:2" ht="139.5">
      <c r="A285" s="83" t="s">
        <v>3486</v>
      </c>
      <c r="B285" s="83" t="s">
        <v>4774</v>
      </c>
    </row>
    <row r="286" spans="1:2" ht="93">
      <c r="A286" s="83" t="s">
        <v>612</v>
      </c>
      <c r="B286" s="83" t="s">
        <v>4775</v>
      </c>
    </row>
    <row r="287" spans="1:2" ht="42" customHeight="1">
      <c r="A287" s="83" t="s">
        <v>4776</v>
      </c>
      <c r="B287" s="80" t="s">
        <v>4777</v>
      </c>
    </row>
    <row r="288" spans="1:2" ht="124">
      <c r="A288" s="83" t="s">
        <v>3380</v>
      </c>
      <c r="B288" s="83" t="s">
        <v>4778</v>
      </c>
    </row>
    <row r="289" spans="1:2" ht="108.5">
      <c r="A289" s="83" t="s">
        <v>3381</v>
      </c>
      <c r="B289" s="83" t="s">
        <v>4779</v>
      </c>
    </row>
  </sheetData>
  <sheetProtection algorithmName="SHA-512" hashValue="JBB5o2+Vs/MCcUbpOgoDsmvljY3shkJr4AyrYRQOOncYvxbO7yH6MF64XMoP+k1S6t8E2rU/9KRWxmoeziWBGg==" saltValue="vKLqVZu+bvjbIzg21y0byg==" spinCount="100000" sheet="1" objects="1" scenarios="1"/>
  <phoneticPr fontId="11"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7804F-65BC-4E41-803E-C5F28A246695}">
  <sheetPr codeName="Sheet6"/>
  <dimension ref="A1:I46"/>
  <sheetViews>
    <sheetView zoomScaleNormal="100" workbookViewId="0">
      <selection sqref="A1:B1"/>
    </sheetView>
  </sheetViews>
  <sheetFormatPr defaultColWidth="0" defaultRowHeight="0" customHeight="1" zeroHeight="1"/>
  <cols>
    <col min="1" max="1" width="13.69140625" style="20" customWidth="1"/>
    <col min="2" max="2" width="62.69140625" style="20" customWidth="1"/>
    <col min="3" max="3" width="28.69140625" style="20" customWidth="1"/>
    <col min="4" max="4" width="62.69140625" style="20" customWidth="1"/>
    <col min="5" max="7" width="62.69140625" style="201" customWidth="1"/>
    <col min="8" max="8" width="2.69140625" style="20" hidden="1" customWidth="1"/>
    <col min="9" max="9" width="10.07421875" style="20" hidden="1" customWidth="1"/>
    <col min="10" max="16384" width="10.07421875" style="20" hidden="1"/>
  </cols>
  <sheetData>
    <row r="1" spans="1:8" ht="50.15" customHeight="1" thickBot="1">
      <c r="A1" s="748" t="s">
        <v>124</v>
      </c>
      <c r="B1" s="748"/>
      <c r="C1" s="13"/>
      <c r="D1" s="13"/>
      <c r="E1" s="210"/>
      <c r="F1" s="210"/>
      <c r="G1" s="210"/>
    </row>
    <row r="2" spans="1:8" ht="50.15" customHeight="1" thickTop="1" thickBot="1">
      <c r="A2" s="764" t="s">
        <v>85</v>
      </c>
      <c r="B2" s="743"/>
      <c r="C2" s="57"/>
      <c r="D2" s="57"/>
      <c r="E2" s="196"/>
      <c r="F2" s="196"/>
      <c r="G2" s="196"/>
    </row>
    <row r="3" spans="1:8" ht="313.25" customHeight="1" thickTop="1" thickBot="1">
      <c r="A3" s="765" t="s">
        <v>125</v>
      </c>
      <c r="B3" s="766"/>
      <c r="C3" s="209"/>
      <c r="D3" s="211"/>
      <c r="E3" s="202"/>
      <c r="F3" s="197"/>
      <c r="G3" s="197"/>
    </row>
    <row r="4" spans="1:8" s="30" customFormat="1" ht="20.149999999999999" customHeight="1" thickBot="1">
      <c r="A4" s="75"/>
      <c r="B4" s="75"/>
      <c r="C4" s="75" t="s">
        <v>23</v>
      </c>
      <c r="D4" s="99"/>
      <c r="E4" s="200"/>
      <c r="F4" s="200"/>
      <c r="G4" s="200"/>
      <c r="H4" s="49"/>
    </row>
    <row r="5" spans="1:8" s="195" customFormat="1" ht="50.15" customHeight="1" thickBot="1">
      <c r="A5" s="750" t="s">
        <v>126</v>
      </c>
      <c r="B5" s="751"/>
      <c r="C5" s="751"/>
      <c r="D5" s="194"/>
      <c r="E5" s="198"/>
      <c r="F5" s="198"/>
      <c r="G5" s="198"/>
      <c r="H5" s="9"/>
    </row>
    <row r="6" spans="1:8" s="47" customFormat="1" ht="36" customHeight="1" thickTop="1" thickBot="1">
      <c r="A6" s="8" t="s">
        <v>89</v>
      </c>
      <c r="B6" s="8" t="s">
        <v>90</v>
      </c>
      <c r="C6" s="8" t="s">
        <v>91</v>
      </c>
      <c r="D6" s="8" t="s">
        <v>92</v>
      </c>
      <c r="E6" s="761" t="s">
        <v>104</v>
      </c>
      <c r="F6" s="753"/>
      <c r="G6" s="199" t="s">
        <v>93</v>
      </c>
      <c r="H6" s="17"/>
    </row>
    <row r="7" spans="1:8" s="5" customFormat="1" ht="98.75" customHeight="1" thickTop="1" thickBot="1">
      <c r="A7" s="5" t="s">
        <v>127</v>
      </c>
      <c r="B7" s="29" t="str">
        <f>Questions!B9</f>
        <v xml:space="preserve">
For past service benefits only, what is the scheme actuary's estimate of the maturity of the scheme expressed in years of duration as at the effective date of the valuation?
</v>
      </c>
      <c r="C7" s="399"/>
      <c r="D7" s="350" t="str">
        <f ca="1">'Reconciliation report'!D14</f>
        <v xml:space="preserve">
Enter a value greater than 0. It can be accurate to one decimal place.
</v>
      </c>
      <c r="E7" s="762" t="str">
        <f>Guidance!B49</f>
        <v xml:space="preserve">
The actuary's estimate of the maturity of the scheme as at the effective date of the valuation, as set out in that valuation, expressed as a duration in years. This represents the mean term of the liabilities weighted by the value of the scheme’s future cash flows. This calculation is in respect of accrued past service benefits only.
Further detail about calculating the duration is set out in the DB funding code.
</v>
      </c>
      <c r="F7" s="758"/>
      <c r="G7" s="206"/>
      <c r="H7" s="24"/>
    </row>
    <row r="8" spans="1:8" s="5" customFormat="1" ht="103.5" customHeight="1" thickBot="1">
      <c r="A8" s="5" t="s">
        <v>128</v>
      </c>
      <c r="B8" s="46" t="str">
        <f>Questions!B10</f>
        <v xml:space="preserve">
Is the scheme open to accrual?
</v>
      </c>
      <c r="C8" s="343"/>
      <c r="D8" s="350" t="str">
        <f ca="1">'Reconciliation report'!D15</f>
        <v xml:space="preserve">
'Select ‘Yes’ if the scheme is open to accrual and 'No' if it is not.
</v>
      </c>
      <c r="E8" s="763" t="str">
        <f>Guidance!B50</f>
        <v xml:space="preserve">
We'll need to know if the scheme is 'open to accrual' for the purposes of asking the correct information.
Open to accrual includes scheme that are:
- open to new entrants and future accrual
- closed to new entrants but still have active members who accrue additional pension benefits.
</v>
      </c>
      <c r="F8" s="760"/>
      <c r="G8" s="173"/>
      <c r="H8" s="24"/>
    </row>
    <row r="9" spans="1:8" s="30" customFormat="1" ht="108.65" customHeight="1">
      <c r="A9" s="5" t="s">
        <v>130</v>
      </c>
      <c r="B9" s="29" t="str">
        <f>Questions!C11</f>
        <v xml:space="preserve">
When estimating the date of significant maturity, what are the number of years included in the allowance for future accrual?
</v>
      </c>
      <c r="C9" s="398"/>
      <c r="D9" s="350" t="str">
        <f ca="1">'Reconciliation report'!D16</f>
        <v/>
      </c>
      <c r="E9" s="759" t="str">
        <f>Guidance!B51</f>
        <v xml:space="preserve">
We will ask this question if you have indicated that your scheme is open to future accrual.
Further details about allowance for future accrual for open scheme are set out in the DB funding code.
</v>
      </c>
      <c r="F9" s="760"/>
      <c r="G9" s="173"/>
      <c r="H9" s="49"/>
    </row>
    <row r="10" spans="1:8" s="30" customFormat="1" ht="233.75" customHeight="1">
      <c r="A10" s="29" t="s">
        <v>131</v>
      </c>
      <c r="B10" s="29" t="str">
        <f>Questions!C12</f>
        <v xml:space="preserve">
Including any allowance for future accrual, what is the scheme actuary's estimate of the maturity (duration) of the scheme as at the effective date of the valuation?
</v>
      </c>
      <c r="C10" s="400"/>
      <c r="D10" s="350" t="str">
        <f ca="1">'Reconciliation report'!D17</f>
        <v/>
      </c>
      <c r="E10" s="763" t="str">
        <f>Guidance!B52</f>
        <v xml:space="preserve">
We will ask this question if you have indicated that your scheme is open to future accrual.
The actuary's estimate of the maturity of the scheme as at the effective date of the valuation, as set out in that valuation, expressed as a duration in years, with allowance for future accrual. This represents the mean term of the liabilities weighted by the value of the scheme’s future cash flows. This calculation is in respect to accrued past service benefits plus future service benefits over the number of years that are included in the estimate of the date of significant maturity.
Further detail about calculating the duration is set out in the DB funding code.
This is optional for bespoke schemes, as the figure may not be readily available.
</v>
      </c>
      <c r="F10" s="760"/>
      <c r="G10" s="173"/>
      <c r="H10" s="49"/>
    </row>
    <row r="11" spans="1:8" s="30" customFormat="1" ht="62.5" thickBot="1">
      <c r="A11" s="5" t="s">
        <v>132</v>
      </c>
      <c r="B11" s="41" t="str">
        <f>Questions!C105</f>
        <v xml:space="preserve">
What is the expected maturity at the relevant date expressed in years of duration?
</v>
      </c>
      <c r="C11" s="401"/>
      <c r="D11" s="350" t="str">
        <f ca="1">'Reconciliation report'!D18</f>
        <v/>
      </c>
      <c r="E11" s="756" t="str">
        <f>Guidance!B61</f>
        <v xml:space="preserve">
The scheme actuary will need to estimate the duration of the scheme as at the relevant date. Detailed information about calculating the duration is set out in the DB funding code.
</v>
      </c>
      <c r="F11" s="745"/>
      <c r="G11" s="173"/>
      <c r="H11" s="49"/>
    </row>
    <row r="12" spans="1:8" s="30" customFormat="1" ht="20.149999999999999" customHeight="1" thickBot="1">
      <c r="A12" s="75"/>
      <c r="B12" s="75"/>
      <c r="C12" s="75" t="s">
        <v>23</v>
      </c>
      <c r="D12" s="99"/>
      <c r="E12" s="200"/>
      <c r="F12" s="200"/>
      <c r="G12" s="200"/>
      <c r="H12" s="49"/>
    </row>
    <row r="13" spans="1:8" s="30" customFormat="1" ht="50.15" customHeight="1" thickBot="1">
      <c r="A13" s="750" t="s">
        <v>133</v>
      </c>
      <c r="B13" s="751"/>
      <c r="C13" s="57"/>
      <c r="D13" s="57"/>
      <c r="E13" s="196"/>
      <c r="F13" s="196"/>
      <c r="G13" s="196"/>
      <c r="H13" s="16"/>
    </row>
    <row r="14" spans="1:8" s="47" customFormat="1" ht="36" customHeight="1" thickTop="1" thickBot="1">
      <c r="A14" s="8" t="s">
        <v>89</v>
      </c>
      <c r="B14" s="8" t="s">
        <v>90</v>
      </c>
      <c r="C14" s="8" t="s">
        <v>91</v>
      </c>
      <c r="D14" s="8" t="s">
        <v>92</v>
      </c>
      <c r="E14" s="761" t="s">
        <v>104</v>
      </c>
      <c r="F14" s="753"/>
      <c r="G14" s="199" t="s">
        <v>93</v>
      </c>
      <c r="H14" s="17"/>
    </row>
    <row r="15" spans="1:8" s="5" customFormat="1" ht="125.15" customHeight="1" thickTop="1" thickBot="1">
      <c r="A15" s="5" t="s">
        <v>134</v>
      </c>
      <c r="B15" s="103" t="str">
        <f>Questions!C374</f>
        <v xml:space="preserve">
Do all active members belong to both:
- a section that provides cash balance benefits
- a section which is a collective money purchase scheme?
</v>
      </c>
      <c r="C15" s="187"/>
      <c r="D15" s="350" t="str">
        <f ca="1">'Reconciliation report'!D19</f>
        <v/>
      </c>
      <c r="E15" s="757" t="str">
        <f>Guidance!B248</f>
        <v xml:space="preserve">
We'll need to know whether these provisions apply for the purposes of applying the cash balance exemption.
</v>
      </c>
      <c r="F15" s="758"/>
      <c r="G15" s="173"/>
      <c r="H15" s="20"/>
    </row>
    <row r="16" spans="1:8" s="5" customFormat="1" ht="53.75" customHeight="1">
      <c r="A16" s="5" t="s">
        <v>136</v>
      </c>
      <c r="B16" s="5" t="str">
        <f>Questions!C18</f>
        <v xml:space="preserve">
What is the scheme's date of significant maturity?
</v>
      </c>
      <c r="C16" s="425"/>
      <c r="D16" s="350" t="str">
        <f ca="1">'Reconciliation report'!D20</f>
        <v/>
      </c>
      <c r="E16" s="759" t="str">
        <f>Guidance!B284</f>
        <v xml:space="preserve">
The date at which the scheme is expected to reach significant maturity, which is defined by reference to duration in years as defined by The Pensions Regulator.
</v>
      </c>
      <c r="F16" s="760"/>
      <c r="G16" s="173"/>
      <c r="H16" s="24"/>
    </row>
    <row r="17" spans="1:8" s="5" customFormat="1" ht="111.65" customHeight="1" thickBot="1">
      <c r="A17" s="5" t="s">
        <v>137</v>
      </c>
      <c r="B17" s="5" t="str">
        <f>Questions!B106</f>
        <v xml:space="preserve">
What is the funding level which is or was intended to be achieved at the relevant date expressed as a percentage? (%)
</v>
      </c>
      <c r="C17" s="545"/>
      <c r="D17" s="350" t="str">
        <f ca="1">'Reconciliation report'!D21</f>
        <v>Enter a percentage value that is equal to or greater than 100.</v>
      </c>
      <c r="E17" s="756" t="str">
        <f>Guidance!B62</f>
        <v>For schemes that are pre relevant date, this is the funding level which is intended to be achieved at the relevant date as a ratio of assets to low dependency liabilities.
For schemes that are post relevant date, this is the funding level the trustees intended to be achieved at the relevant date. In this context, ‘post relevant date’ means on or after the relevant date.</v>
      </c>
      <c r="F17" s="745"/>
      <c r="G17" s="215"/>
      <c r="H17" s="24"/>
    </row>
    <row r="18" spans="1:8" s="30" customFormat="1" ht="20.149999999999999" customHeight="1" thickBot="1">
      <c r="A18" s="75"/>
      <c r="B18" s="75"/>
      <c r="C18" s="75" t="s">
        <v>23</v>
      </c>
      <c r="D18" s="99"/>
      <c r="E18" s="200"/>
      <c r="F18" s="200"/>
      <c r="G18" s="200"/>
      <c r="H18" s="49"/>
    </row>
    <row r="19" spans="1:8" ht="50.15" customHeight="1" thickBot="1">
      <c r="A19" s="750" t="s">
        <v>138</v>
      </c>
      <c r="B19" s="751"/>
      <c r="C19" s="57"/>
      <c r="D19" s="57"/>
      <c r="E19" s="196"/>
      <c r="F19" s="196"/>
      <c r="G19" s="196"/>
    </row>
    <row r="20" spans="1:8" s="47" customFormat="1" ht="36" customHeight="1" thickTop="1" thickBot="1">
      <c r="A20" s="8" t="s">
        <v>89</v>
      </c>
      <c r="B20" s="8" t="s">
        <v>90</v>
      </c>
      <c r="C20" s="8" t="s">
        <v>91</v>
      </c>
      <c r="D20" s="8" t="s">
        <v>92</v>
      </c>
      <c r="E20" s="761" t="s">
        <v>104</v>
      </c>
      <c r="F20" s="753"/>
      <c r="G20" s="199" t="s">
        <v>93</v>
      </c>
      <c r="H20" s="17"/>
    </row>
    <row r="21" spans="1:8" ht="409.5" customHeight="1" thickTop="1">
      <c r="A21" s="103" t="s">
        <v>139</v>
      </c>
      <c r="B21" s="103" t="str">
        <f>Questions!B394</f>
        <v xml:space="preserve">
What is the intended investment allocation to matching assets at the relevant date? (%)
</v>
      </c>
      <c r="C21" s="546"/>
      <c r="D21" s="476" t="str">
        <f ca="1">'Reconciliation report'!D22</f>
        <v xml:space="preserve">
Enter a percentage value between 0 and 100.
</v>
      </c>
      <c r="E21" s="767" t="str">
        <f>Guidance!B279</f>
        <v xml:space="preserve">
The percentage of matching assets that the trustees are targeting within their investments at the relevant date.
Matching assets are either cash and money market instruments or assets with fixed or inflation-linked cash flows which have a high degree of certainty. Examples include fixed interest gilts, index-linked gilts and sterling-denominated investment grade corporate bonds.
In relation to derivatives, as stated in the guidance for growth assets, the general principles to be followed  is to consider the anticipated exposures to growth and matching assets of any derivatives (rather than their values).  Derivatives which provide exposure to nominal or real interest rates (including gilt repos) to help match the liabilities of the scheme may be included to the value of the derivative, rather than the exposure.  This may, at first, sound odd, but it allows for the offsetting of a cash position against an exposure to a matching asset.
Other types of assets may be included where they still provide stable and predictable (fixed or inflation-linked) cash flows. These could, for example, include property or infrastructure assets which have been constructed to provide stable cash flows and where there is no uncertainty in timing and/or amount of sale proceeds provided that there are no defaults. While we would expect matching assets to be heavily weighted towards investment grade assets, some sub-investment grade bonds may also be included as matching assets.
Where pension schemes invest in multi-asset pooled funds, there may be elements of the pooled funds which are matching in nature. If the proportions of these assets are:
- fairly static (so that the actual split within the pooled funds gives a reasonable indication of the strategic split); and
- the fund is exposed to the beta of those asset classes (so that there is a consistent beta exposure)
it would be acceptable to consider the notional investment allocation to include those allocations.
Where the notional investment strategy includes an allocation to DGFs within which the allocations are static in nature, whilst it can be argued that even the bonds within the fund are there for return-seeking reasons rather than for matching, we will allow up to 20% of the allocation to be considered matching in nature.
</v>
      </c>
      <c r="F21" s="758"/>
      <c r="G21" s="470"/>
    </row>
    <row r="22" spans="1:8" ht="294.64999999999998" customHeight="1" thickBot="1">
      <c r="A22" s="5" t="s">
        <v>140</v>
      </c>
      <c r="B22" s="5" t="str">
        <f>Questions!B395</f>
        <v xml:space="preserve">
What is the intended investment allocation to growth assets at the relevant date? (%)
</v>
      </c>
      <c r="C22" s="547"/>
      <c r="D22" s="477" t="str">
        <f ca="1">'Reconciliation report'!D23</f>
        <v xml:space="preserve">
Enter a percentage value between 0 and 100.
</v>
      </c>
      <c r="E22" s="768" t="str">
        <f>Guidance!B278</f>
        <v xml:space="preserve">
The percentage of growth assets that the trustees are targeting within their investments at the relevant date.
Any target allocations which cannot justifiably be included in matching assets should be included in growth assets, so it is worth reading the guidance on matching assets first.
However, in essence growth assets are assets which are not cash and money market instruments and do not have stable and predictable cash flows (in either nominal or real terms). Examples are: equity portfolios, absolute return funds, other hedge funds, most property assets and many infrastructure assets. Cash and money market instruments need not be included here even though it may be argued that their cash flows are uncertain.
Note that, even if a hedge fund is based on bonds, because the constituents within the fund are not used for matching purposes, they should not be classed as matching assets. There are other bond portfolios, some or all of which should not be included here. These could be due to duration mismatching, high use of active management, highly uncertain cash flows (for example, because of very low credit ratings or currency mismatching) or other reasons which make it hard to justify the inclusion of some or all of a bond portfolio as a matching asset.
Where derivatives which are linked to growth assets are included within the intended investment allocation at the relevant date, allowance should be made for the exposures to growth and matching asset categories created by those derivatives (and whether positive or negative).
</v>
      </c>
      <c r="F22" s="760"/>
      <c r="G22" s="215"/>
    </row>
    <row r="23" spans="1:8" ht="89.25" customHeight="1" thickBot="1">
      <c r="A23" s="5" t="s">
        <v>141</v>
      </c>
      <c r="B23" s="5" t="str">
        <f>Questions!B396</f>
        <v xml:space="preserve">
Is there a plan to allocate surplus investments at the relevant date in a different way to those which relate to the minimum funding level?
</v>
      </c>
      <c r="C23" s="487"/>
      <c r="D23" s="350" t="str">
        <f ca="1">'Reconciliation report'!D24</f>
        <v xml:space="preserve">
Select ‘Yes’ if there is a plan to allocate surplus investments at the relevant date in a different way to those that relate to the minimum funding level, or ‘No’ if there is not.
</v>
      </c>
      <c r="E23" s="759" t="str">
        <f>Guidance!B280</f>
        <v xml:space="preserve">
Where trustees do not expect there to be any surplus over and above the minimum funding level at the relevant date, or expect that any such surplus investments would be invested in accordance with the objective of low dependency investment allocation, the answer should be 'No'.
</v>
      </c>
      <c r="F23" s="759"/>
      <c r="G23" s="173"/>
    </row>
    <row r="24" spans="1:8" ht="314.75" customHeight="1">
      <c r="A24" s="5" t="s">
        <v>143</v>
      </c>
      <c r="B24" s="5" t="str">
        <f>Questions!C397</f>
        <v xml:space="preserve">
What is the intended investment allocation to growth assets at the relevant date for the surplus allocation? (%) (Optional)
</v>
      </c>
      <c r="C24" s="547"/>
      <c r="D24" s="477" t="str">
        <f ca="1">'Reconciliation report'!D25</f>
        <v/>
      </c>
      <c r="E24" s="759" t="str">
        <f>Guidance!B281</f>
        <v xml:space="preserve">
The percentage of growth assets that the trustees are targeting within their investments at the relevant date. 
Any target allocations which cannot justifiably be included in matching assets should be included in growth assets, so it is worth reading the guidance on matching assets first.
However, in essence growth assets are assets which are not cash and money market instruments and do not have stable and predictable cash flows (in either nominal or real terms). Examples include equity portfolios, absolute return funds, other hedge funds, most property assets and many infrastructure assets. Cash and money market instruments need not be included here even though it may be argued that their cash flows are uncertain.
Note that, even if a hedge fund is based on bonds, because the constituents within the fund are not used for matching purposes, they should not be classed as matching assets. There are other bond portfolios, some or all of which should not be included here. These could be due to duration mismatching, high use of active management, highly uncertain cash flows (for example, because of very low credit ratings or currency mismatching) or other reasons which make it hard to justify the inclusion of some or all of a bond portfolio as a matching asset.
Where derivatives which are linked to growth assets are included within the intended investment allocation at the relevant date, allowance should be made for the exposures to growth and matching asset categories created by those derivatives (and whether positive or negative).
</v>
      </c>
      <c r="F24" s="760"/>
      <c r="G24" s="173"/>
    </row>
    <row r="25" spans="1:8" ht="409.5" customHeight="1">
      <c r="A25" s="5" t="s">
        <v>144</v>
      </c>
      <c r="B25" s="5" t="str">
        <f>Questions!C398</f>
        <v xml:space="preserve">
What is the intended investment allocation to matching assets at the relevant date for the surplus allocation? (%) (Optional)
</v>
      </c>
      <c r="C25" s="547"/>
      <c r="D25" s="477" t="str">
        <f ca="1">'Reconciliation report'!D26</f>
        <v/>
      </c>
      <c r="E25" s="759" t="str">
        <f>Guidance!B282</f>
        <v xml:space="preserve">
The level of matching assets that the trustees are targeting at the relevant date for any surplus investments.
Matching assets are either cash and money market instruments or assets with fixed or inflation-linked cash flows which have a high degree of certainty. Examples include fixed interest gilts, index-linked gilts and sterling-denominated investment grade corporate bonds.
In relation to derivatives, as stated in the guidance for growth assets, the general principles to be followed is to consider the anticipated exposures to growth and matching assets of any derivatives (rather than their values). Derivatives which provide exposure to nominal or real interest rates (including gilt repos) to help match the liabilities of the scheme may be included to the value of the derivative, rather than the exposure.  This may, at first, sound odd, but it allows for the offsetting of a cash position against an exposure to a matching asset.
Other types of assets may be included where they still provide stable and predictable (fixed or inflation-linked) cash flows. These could, for example, include property or infrastructure assets which have been constructed to provide stable cash flows and where there is no uncertainty in timing and/or amount of sale proceeds provided that there are no defaults. While we would expect matching assets to be heavily weighted towards investment grade assets, some sub-investment grade bonds may also be included as matching assets.
Where pension schemes invest in multi-asset pooled funds, there may be elements of the pooled funds which are matching in nature. If the proportions of these assets are:
- fairly static (so that the actual split within the pooled funds gives a reasonable indication of the strategic split); and
- the fund is exposed to the beta of those asset classes (so that there is a consistent beta exposure)
it would be acceptable to consider the notional investment allocation to include those allocations.
Where the notional investment strategy includes an allocation to DGFs within which the allocations are static in nature, whilst it can be argued that even the bonds within the fund are there for return-seeking reasons rather than for matching, we will allow up to 20% of the allocation to be considered matching in nature.
</v>
      </c>
      <c r="F25" s="760"/>
      <c r="G25" s="173"/>
    </row>
    <row r="26" spans="1:8" ht="77.75" customHeight="1" thickBot="1">
      <c r="A26" s="5" t="s">
        <v>145</v>
      </c>
      <c r="B26" s="5" t="str">
        <f>Questions!B393</f>
        <v xml:space="preserve">
Any additional comments on the funding journey plan or long term funding strategy. (Optional)
</v>
      </c>
      <c r="C26" s="582"/>
      <c r="D26" s="350" t="str">
        <f ca="1">'Reconciliation report'!D27</f>
        <v/>
      </c>
      <c r="E26" s="756" t="str">
        <f>Guidance!B277</f>
        <v xml:space="preserve">
An optional narrative description of additional details regarding the funding journey plan, for those schemes that have not yet reached relevant date, or long-term funding strategy for those schemes that have. We expect that most trustees will not need to provide further commentary as the standard wording in the proposed statement of strategy template will be sufficient.
</v>
      </c>
      <c r="F26" s="745"/>
      <c r="G26" s="215"/>
    </row>
    <row r="27" spans="1:8" s="30" customFormat="1" ht="20.149999999999999" customHeight="1" thickBot="1">
      <c r="A27" s="75"/>
      <c r="B27" s="75"/>
      <c r="C27" s="75" t="s">
        <v>23</v>
      </c>
      <c r="D27" s="99"/>
      <c r="E27" s="200"/>
      <c r="F27" s="200"/>
      <c r="G27" s="200"/>
      <c r="H27" s="49"/>
    </row>
    <row r="28" spans="1:8" ht="50.15" customHeight="1" thickBot="1">
      <c r="A28" s="750" t="s">
        <v>146</v>
      </c>
      <c r="B28" s="751"/>
      <c r="C28" s="57"/>
      <c r="D28" s="57"/>
      <c r="E28" s="196"/>
      <c r="F28" s="196"/>
      <c r="G28" s="196"/>
    </row>
    <row r="29" spans="1:8" s="47" customFormat="1" ht="36" customHeight="1" thickTop="1" thickBot="1">
      <c r="A29" s="8" t="s">
        <v>89</v>
      </c>
      <c r="B29" s="8" t="s">
        <v>90</v>
      </c>
      <c r="C29" s="8" t="s">
        <v>91</v>
      </c>
      <c r="D29" s="8" t="s">
        <v>92</v>
      </c>
      <c r="E29" s="761" t="s">
        <v>104</v>
      </c>
      <c r="F29" s="753"/>
      <c r="G29" s="199" t="s">
        <v>93</v>
      </c>
      <c r="H29" s="17"/>
    </row>
    <row r="30" spans="1:8" ht="148.5" customHeight="1" thickTop="1" thickBot="1">
      <c r="A30" s="5" t="s">
        <v>147</v>
      </c>
      <c r="B30" s="5" t="str">
        <f>Questions!B107</f>
        <v>What is the way the trustees intend benefits to be provided over the long term?</v>
      </c>
      <c r="C30" s="349"/>
      <c r="D30" s="350" t="str">
        <f ca="1">'Reconciliation report'!D28</f>
        <v xml:space="preserve">
The answer must be no more than 4000 characters.
</v>
      </c>
      <c r="E30" s="779" t="str">
        <f>Guidance!B63</f>
        <v xml:space="preserve">
A description of the way the trustees intend to provide benefits over the long term (known as the long-term objective). In describing the long-term objective, we would usually expect trustees to include a summary of the desired funding target within the description.
For schemes that are open to new entrants, this description can be expanded to include details regarding expectations of whether the scheme will reach significantly maturity and the low dependency target.
Further guidance can be found in the DB funding code, in respect of providing benefits over the long term, including guidance for open schemes.
</v>
      </c>
      <c r="F30" s="780"/>
      <c r="G30" s="215"/>
    </row>
    <row r="31" spans="1:8" ht="20.149999999999999" customHeight="1" thickBot="1">
      <c r="A31" s="75"/>
      <c r="B31" s="75"/>
      <c r="C31" s="75" t="s">
        <v>23</v>
      </c>
      <c r="D31" s="99"/>
      <c r="E31" s="200"/>
      <c r="F31" s="200"/>
      <c r="G31" s="200"/>
    </row>
    <row r="32" spans="1:8" ht="50.15" customHeight="1" thickBot="1">
      <c r="A32" s="750" t="s">
        <v>148</v>
      </c>
      <c r="B32" s="751"/>
      <c r="C32" s="57"/>
      <c r="D32" s="57"/>
      <c r="E32" s="196"/>
      <c r="F32" s="196"/>
      <c r="G32" s="196"/>
    </row>
    <row r="33" spans="1:9" s="47" customFormat="1" ht="36" customHeight="1" thickTop="1" thickBot="1">
      <c r="A33" s="8" t="s">
        <v>89</v>
      </c>
      <c r="B33" s="8" t="s">
        <v>90</v>
      </c>
      <c r="C33" s="8" t="s">
        <v>91</v>
      </c>
      <c r="D33" s="8" t="s">
        <v>92</v>
      </c>
      <c r="E33" s="761" t="s">
        <v>104</v>
      </c>
      <c r="F33" s="753"/>
      <c r="G33" s="199" t="s">
        <v>93</v>
      </c>
      <c r="H33" s="17"/>
    </row>
    <row r="34" spans="1:9" ht="102.65" customHeight="1" thickTop="1" thickBot="1">
      <c r="A34" s="5" t="s">
        <v>149</v>
      </c>
      <c r="B34" s="5" t="str">
        <f>Questions!B108</f>
        <v xml:space="preserve">
Are the rates of contributions determined unilaterally by the trustees and only the trustees can reduce those rates or suspend payment of contributions?
</v>
      </c>
      <c r="C34" s="187"/>
      <c r="D34" s="350" t="str">
        <f ca="1">'Reconciliation report'!D29</f>
        <v xml:space="preserve">
Select ‘Yes’ if the rates of contributions are determined unilaterally by the trustees and only the trustees can reduce those rates or suspend payment of contributions or ‘No’ if they are not.
</v>
      </c>
      <c r="E34" s="767" t="str">
        <f>Guidance!B64</f>
        <v xml:space="preserve">
We will need to know whether the funding and investment strategy needs to be agreed with the employer or only needs employer consultation, which is only possible if the trustees have the unilateral power to set, reduce or suspend contributions.
</v>
      </c>
      <c r="F34" s="758"/>
      <c r="G34" s="173"/>
    </row>
    <row r="35" spans="1:9" ht="93.65" customHeight="1" thickBot="1">
      <c r="A35" s="183" t="s">
        <v>151</v>
      </c>
      <c r="B35" s="183" t="str">
        <f>Questions!C109</f>
        <v xml:space="preserve">No answer required
To what extent does the funding and investment strategy remain appropriate? Please provide detail about the trustees' conclusion.
</v>
      </c>
      <c r="C35" s="205"/>
      <c r="D35" s="350" t="str">
        <f ca="1">'Reconciliation report'!D30</f>
        <v/>
      </c>
      <c r="E35" s="769" t="str">
        <f>Guidance!B65</f>
        <v xml:space="preserve">
Trustees and scheme managers must explain the extent to which the funding and investment strategy is, or remains, appropriate. Trustees will need to show they have considered this matter carefully and provide detail about their conclusion.
</v>
      </c>
      <c r="F35" s="770"/>
      <c r="G35" s="173"/>
    </row>
    <row r="36" spans="1:9" ht="95.15" customHeight="1" thickBot="1">
      <c r="A36" s="156" t="s">
        <v>152</v>
      </c>
      <c r="B36" s="117" t="str">
        <f>Questions!C110</f>
        <v xml:space="preserve">No answer required
Do the trustees consider that the funding and investment strategy is being successfully implemented in all respects?
</v>
      </c>
      <c r="C36" s="487"/>
      <c r="D36" s="350" t="str">
        <f ca="1">'Reconciliation report'!D31</f>
        <v/>
      </c>
      <c r="E36" s="777" t="str">
        <f>Guidance!B287</f>
        <v>Guidance is not required for this question.</v>
      </c>
      <c r="F36" s="778"/>
      <c r="G36" s="207"/>
    </row>
    <row r="37" spans="1:9" ht="93" customHeight="1">
      <c r="A37" s="152" t="s">
        <v>153</v>
      </c>
      <c r="B37" s="116" t="str">
        <f>Questions!C111</f>
        <v xml:space="preserve">No answer required
Describe the elements of the funding and investment strategy that are being successfully implemented and those that are not.
</v>
      </c>
      <c r="C37" s="673"/>
      <c r="D37" s="350" t="str">
        <f ca="1">'Reconciliation report'!D32</f>
        <v/>
      </c>
      <c r="E37" s="777" t="str">
        <f>Guidance!B67</f>
        <v xml:space="preserve">
Trustees should describe which elements are being successfully implemented and which are not. They can provide further reflections on what has or has not been successfully implemented and why they consider this to be the case if they wish.  Please note that we will always expect to see an answer here if there is a deficit after the relevant date, as this should not be the case if the funding and investment strategy had been successfully implemented in all respects.
</v>
      </c>
      <c r="F37" s="778"/>
      <c r="G37" s="207"/>
    </row>
    <row r="38" spans="1:9" ht="155.15" customHeight="1">
      <c r="A38" s="182" t="s">
        <v>154</v>
      </c>
      <c r="B38" s="116" t="str">
        <f>Questions!C112</f>
        <v xml:space="preserve">No answer required
What steps (including timings) do the trustees intend to take to remedy the position?
</v>
      </c>
      <c r="C38" s="674"/>
      <c r="D38" s="350" t="str">
        <f ca="1">'Reconciliation report'!D33</f>
        <v/>
      </c>
      <c r="E38" s="777" t="str">
        <f>Guidance!B68</f>
        <v xml:space="preserve">
You will be asked this question if you answer 'No' to the question 'do the trustees consider that the funding and investment strategy is being successfully implemented in all respects?', or if you have a deficit after the relevant date.
Describe the steps trustees propose to take to remedy the elements that are not being successfully implemented. Include timings in your answer.
</v>
      </c>
      <c r="F38" s="778"/>
      <c r="G38" s="207"/>
    </row>
    <row r="39" spans="1:9" ht="155.75" customHeight="1" thickBot="1">
      <c r="A39" s="156" t="s">
        <v>155</v>
      </c>
      <c r="B39" s="156" t="str">
        <f>Questions!B390</f>
        <v xml:space="preserve">
Describe the main risks faced by the scheme in implementing the funding and investment strategy. Provide details of how the trustees intend to mitigate and/or manage the risks in the event they materialise.
</v>
      </c>
      <c r="C39" s="349"/>
      <c r="D39" s="350" t="str">
        <f ca="1">'Reconciliation report'!D34</f>
        <v xml:space="preserve">
You must answer this question. The answer must be no more than 4000 characters.
</v>
      </c>
      <c r="E39" s="771" t="str">
        <f>Guidance!B274</f>
        <v xml:space="preserve">
Describe the main risks faced by the trustees in implementing the funding and investment strategy and any management or mitigation plans. We would expect the detail provided by the trustees to reflect the level and complexity of the risk being taken
</v>
      </c>
      <c r="F39" s="772"/>
      <c r="G39" s="207"/>
    </row>
    <row r="40" spans="1:9" ht="78" customHeight="1" thickBot="1">
      <c r="A40" s="156" t="s">
        <v>156</v>
      </c>
      <c r="B40" s="156" t="str">
        <f>Questions!B391</f>
        <v xml:space="preserve">
Are there any significant past decisions relevant to the funding and investment strategy?
</v>
      </c>
      <c r="C40" s="487"/>
      <c r="D40" s="350" t="str">
        <f ca="1">'Reconciliation report'!D35</f>
        <v xml:space="preserve">
Select ‘Yes’ if there are significant past decisions relevant to the funding and investment strategy, or ‘No’ if there are not.
</v>
      </c>
      <c r="E40" s="773" t="str">
        <f>Guidance!B275</f>
        <v xml:space="preserve">
We'll need to know the answer to this question for the purposes of asking for the right information and providing the correct narrative in the statement of strategy
</v>
      </c>
      <c r="F40" s="774"/>
      <c r="G40" s="207"/>
      <c r="I40" s="20" t="s">
        <v>158</v>
      </c>
    </row>
    <row r="41" spans="1:9" ht="132.65" customHeight="1" thickBot="1">
      <c r="A41" s="182" t="s">
        <v>159</v>
      </c>
      <c r="B41" s="182" t="str">
        <f>Questions!C392</f>
        <v xml:space="preserve">
Describe these significant past decisions. What are the trustees' reflections on them, including any lessons learned that have or may affect other decisions?
</v>
      </c>
      <c r="C41" s="438"/>
      <c r="D41" s="350" t="str">
        <f ca="1">'Reconciliation report'!D36</f>
        <v/>
      </c>
      <c r="E41" s="775" t="str">
        <f>Guidance!B276</f>
        <v xml:space="preserve">
We would expect to see narrative here where the funding and investment strategy is not consistent with previous funding and investments strategies. Trustees should describe significant past decisions which have impacted the funding and investment strategy, whether positively or negatively. This should include why the decision was justified and considered to be in the best interests of members, and any lessons which have been learnt as a result of these significant past decisions.
</v>
      </c>
      <c r="F41" s="776"/>
      <c r="G41" s="479"/>
      <c r="I41" s="20" t="s">
        <v>160</v>
      </c>
    </row>
    <row r="42" spans="1:9" ht="20.149999999999999" hidden="1" customHeight="1" thickBot="1">
      <c r="A42" s="75"/>
      <c r="B42" s="75"/>
      <c r="C42" s="75" t="s">
        <v>23</v>
      </c>
      <c r="D42" s="99"/>
      <c r="E42" s="200"/>
      <c r="F42" s="200"/>
      <c r="G42" s="200"/>
    </row>
    <row r="43" spans="1:9" ht="50.15" hidden="1" customHeight="1" thickBot="1">
      <c r="A43" s="750" t="s">
        <v>117</v>
      </c>
      <c r="B43" s="751"/>
      <c r="C43" s="57"/>
      <c r="D43" s="57"/>
      <c r="E43" s="57"/>
      <c r="F43" s="57"/>
      <c r="G43" s="57"/>
    </row>
    <row r="44" spans="1:9" s="47" customFormat="1" ht="36" hidden="1" customHeight="1" thickTop="1" thickBot="1">
      <c r="A44" s="752" t="s">
        <v>90</v>
      </c>
      <c r="B44" s="753"/>
      <c r="C44" s="668" t="s">
        <v>91</v>
      </c>
      <c r="D44" s="669"/>
      <c r="E44" s="667"/>
      <c r="F44" s="667"/>
      <c r="G44" s="667"/>
      <c r="H44" s="17"/>
    </row>
    <row r="45" spans="1:9" ht="86" hidden="1" customHeight="1" thickTop="1" thickBot="1">
      <c r="A45" s="744" t="s">
        <v>118</v>
      </c>
      <c r="B45" s="754"/>
      <c r="C45" s="683"/>
      <c r="D45" s="62"/>
      <c r="E45" s="667"/>
      <c r="F45" s="667"/>
      <c r="G45" s="667"/>
    </row>
    <row r="46" spans="1:9" s="672" customFormat="1" ht="50.25" customHeight="1" thickTop="1">
      <c r="A46" s="439"/>
      <c r="B46" s="255"/>
      <c r="C46" s="439"/>
      <c r="D46" s="439"/>
      <c r="E46" s="439"/>
      <c r="F46" s="439"/>
      <c r="G46" s="439"/>
    </row>
  </sheetData>
  <sheetProtection algorithmName="SHA-512" hashValue="gmhlgvyosvEiPLUPJikXiSWxH7QbBCq9wC1pO1sVX4t8Tt3UlK7/qTgnYM5XrY08iMzL2Gex86VA4VDhrxcnhQ==" saltValue="UHxNpJS70uwoJ4sGPoDEUQ==" spinCount="100000" sheet="1" objects="1" scenarios="1" sort="0" autoFilter="0"/>
  <mergeCells count="39">
    <mergeCell ref="E23:F23"/>
    <mergeCell ref="E39:F39"/>
    <mergeCell ref="E40:F40"/>
    <mergeCell ref="E41:F41"/>
    <mergeCell ref="E37:F37"/>
    <mergeCell ref="E38:F38"/>
    <mergeCell ref="E30:F30"/>
    <mergeCell ref="E34:F34"/>
    <mergeCell ref="E36:F36"/>
    <mergeCell ref="E29:F29"/>
    <mergeCell ref="E24:F24"/>
    <mergeCell ref="E25:F25"/>
    <mergeCell ref="A43:B43"/>
    <mergeCell ref="A45:B45"/>
    <mergeCell ref="A44:B44"/>
    <mergeCell ref="E26:F26"/>
    <mergeCell ref="A28:B28"/>
    <mergeCell ref="A32:B32"/>
    <mergeCell ref="E33:F33"/>
    <mergeCell ref="E35:F35"/>
    <mergeCell ref="E17:F17"/>
    <mergeCell ref="E14:F14"/>
    <mergeCell ref="E20:F20"/>
    <mergeCell ref="E21:F21"/>
    <mergeCell ref="E22:F22"/>
    <mergeCell ref="A1:B1"/>
    <mergeCell ref="A2:B2"/>
    <mergeCell ref="A3:B3"/>
    <mergeCell ref="A13:B13"/>
    <mergeCell ref="A19:B19"/>
    <mergeCell ref="A5:C5"/>
    <mergeCell ref="E11:F11"/>
    <mergeCell ref="E15:F15"/>
    <mergeCell ref="E16:F16"/>
    <mergeCell ref="E6:F6"/>
    <mergeCell ref="E7:F7"/>
    <mergeCell ref="E8:F8"/>
    <mergeCell ref="E9:F9"/>
    <mergeCell ref="E10:F10"/>
  </mergeCells>
  <conditionalFormatting sqref="C45">
    <cfRule type="expression" dxfId="744" priority="1">
      <formula>$C$45=""</formula>
    </cfRule>
  </conditionalFormatting>
  <conditionalFormatting sqref="D7:D11 D15:D17 D21:D26 D30 D34:D41">
    <cfRule type="notContainsBlanks" dxfId="741" priority="8">
      <formula>LEN(TRIM(D7))&gt;0</formula>
    </cfRule>
  </conditionalFormatting>
  <dataValidations xWindow="654" yWindow="692" count="12">
    <dataValidation allowBlank="1" showInputMessage="1" showErrorMessage="1" error="Select from the list." sqref="C46" xr:uid="{E2C594E1-73AE-48C6-821F-3BA9E2FF2760}"/>
    <dataValidation type="whole" allowBlank="1" showInputMessage="1" showErrorMessage="1" errorTitle="There is a problem" error="You must enter a number between 0 and 40." promptTitle="Enter a number" prompt="Enter a number between 0 and 40" sqref="C10" xr:uid="{5A3E7F74-D075-429A-ADD8-7F77E6D3FDBF}">
      <formula1>0</formula1>
      <formula2>40</formula2>
    </dataValidation>
    <dataValidation type="custom" operator="greaterThan" allowBlank="1" showInputMessage="1" showErrorMessage="1" errorTitle="There is a problem" error="You must enter a value greater than 0 with no more than 1 decimal place." promptTitle="Enter a value" prompt="Enter a number" sqref="C11" xr:uid="{1A028CCB-5DCB-4DA0-A70F-53F0588760DE}">
      <formula1>C11-ROUND(C11,1)=0</formula1>
    </dataValidation>
    <dataValidation type="textLength" operator="lessThan" allowBlank="1" showInputMessage="1" showErrorMessage="1" errorTitle="There is a problem" error="Your answer must not exceed 4000 characters." promptTitle="Add your answer" prompt="Answer this question in 4000 characters or less" sqref="C26" xr:uid="{B4509436-47E7-42F7-8ACB-7461383A6FEA}">
      <formula1>4000</formula1>
    </dataValidation>
    <dataValidation type="decimal" allowBlank="1" showInputMessage="1" showErrorMessage="1" errorTitle="There is a problem" error="You must enter a percentage value that is between 0 and 100." promptTitle="Enter a percentage" prompt="Enter a percentage value" sqref="C21:C22 C24:C25" xr:uid="{B1C8B773-93A0-4584-8CDB-C035D4D04A7E}">
      <formula1>0</formula1>
      <formula2>1</formula2>
    </dataValidation>
    <dataValidation type="custom" allowBlank="1" showInputMessage="1" showErrorMessage="1" errorTitle="There is a problem" error="You must enter a number greater than 0. It can be accurate to one decimal place." promptTitle="Enter a value" prompt="Enter the number of years" sqref="C7" xr:uid="{2EED9394-65DE-4514-B7EE-D4818CE362A2}">
      <formula1>AND(VALUE(C$7)-ROUND(VALUE(C$7),1)=0,C$7&gt;0)</formula1>
    </dataValidation>
    <dataValidation type="textLength" operator="lessThan" allowBlank="1" showInputMessage="1" showErrorMessage="1" errorTitle="There is a problem" error="Your answer must not exceed 4000 characters." promptTitle="Add your answer" prompt="Answer this question in 4000 characters or less." sqref="C35 C37:C39" xr:uid="{ECE60E27-2C9B-4E00-AC07-ECFC1B64B84D}">
      <formula1>4000</formula1>
    </dataValidation>
    <dataValidation type="textLength" operator="lessThanOrEqual" allowBlank="1" showInputMessage="1" showErrorMessage="1" errorTitle="There is a problem" error="You must answer this question in 4000 characters or less." promptTitle="Add your answer" prompt="Answer this question in 4000 characters or less." sqref="C30" xr:uid="{5EA0CF37-4EBF-423F-A9F4-C274271D9C24}">
      <formula1>4000</formula1>
    </dataValidation>
    <dataValidation type="textLength" operator="lessThanOrEqual" allowBlank="1" showInputMessage="1" showErrorMessage="1" errorTitle="There is a problem" error="Your answer must not exceed 4000 characters." promptTitle="Add your answer" prompt="Answer this question in 4000 characters or less" sqref="C41" xr:uid="{6936223F-C5A4-4AB7-A6E9-71961E9AA8DC}">
      <formula1>4000</formula1>
    </dataValidation>
    <dataValidation type="whole" allowBlank="1" showInputMessage="1" showErrorMessage="1" errorTitle="There is a problem" error="You must enter a number between 0 and 99." promptTitle="Enter a number" prompt="Enter a number between 0 and 99" sqref="C9" xr:uid="{5CB3D778-52FE-45CC-A918-54F45D017BCD}">
      <formula1>0</formula1>
      <formula2>99</formula2>
    </dataValidation>
    <dataValidation type="date" operator="greaterThanOrEqual" allowBlank="1" showInputMessage="1" showErrorMessage="1" errorTitle="There is a problem" error="Enter a date in the the format dd/mm/yyyy." promptTitle="Enter a date" prompt="Enter a date (dd/mm/yyyy)" sqref="C16" xr:uid="{C78FCFBB-F23B-46F3-B61D-6DE2294F53EB}">
      <formula1>1</formula1>
    </dataValidation>
    <dataValidation type="decimal" operator="greaterThanOrEqual" allowBlank="1" showInputMessage="1" showErrorMessage="1" errorTitle="There is a problem" error="You must enter a percentage value that is greater than or equal to 100%." promptTitle="Enter a percentage" prompt="Enter a percentage value" sqref="C17" xr:uid="{2E134FE9-0D40-4131-9E0F-637B191340A5}">
      <formula1>1</formula1>
    </dataValidation>
  </dataValidations>
  <pageMargins left="0.70000000000000007" right="0.70000000000000007" top="0.75" bottom="0.75" header="0.30000000000000004" footer="0.30000000000000004"/>
  <pageSetup paperSize="9" fitToWidth="0"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32" id="{A963C078-A6D8-4682-B102-D25BD7CF8FBA}">
            <xm:f>SEARCH(RefData!$B$2,$B$7)</xm:f>
            <x14:dxf>
              <fill>
                <patternFill>
                  <bgColor theme="0" tint="-0.14996795556505021"/>
                </patternFill>
              </fill>
            </x14:dxf>
          </x14:cfRule>
          <xm:sqref>A7:E7 G7</xm:sqref>
        </x14:conditionalFormatting>
        <x14:conditionalFormatting xmlns:xm="http://schemas.microsoft.com/office/excel/2006/main">
          <x14:cfRule type="expression" priority="31" id="{757583EC-FAC6-420C-865B-E0D46AF61D45}">
            <xm:f>SEARCH(RefData!$B$2,$B$8)</xm:f>
            <x14:dxf>
              <fill>
                <patternFill>
                  <bgColor theme="0" tint="-0.14996795556505021"/>
                </patternFill>
              </fill>
            </x14:dxf>
          </x14:cfRule>
          <xm:sqref>A8:E8 G8</xm:sqref>
        </x14:conditionalFormatting>
        <x14:conditionalFormatting xmlns:xm="http://schemas.microsoft.com/office/excel/2006/main">
          <x14:cfRule type="expression" priority="30" id="{33932504-642E-4F57-8240-37A3AD4F6F01}">
            <xm:f>SEARCH(RefData!$B$2,$B$9)</xm:f>
            <x14:dxf>
              <fill>
                <patternFill>
                  <bgColor theme="0" tint="-0.14996795556505021"/>
                </patternFill>
              </fill>
            </x14:dxf>
          </x14:cfRule>
          <xm:sqref>A9:E9 G9</xm:sqref>
        </x14:conditionalFormatting>
        <x14:conditionalFormatting xmlns:xm="http://schemas.microsoft.com/office/excel/2006/main">
          <x14:cfRule type="expression" priority="29" id="{418DB449-41D5-41E6-BC91-AD4BFB677292}">
            <xm:f>SEARCH(RefData!$B$2,$B$10)</xm:f>
            <x14:dxf>
              <fill>
                <patternFill>
                  <bgColor theme="0" tint="-0.14996795556505021"/>
                </patternFill>
              </fill>
            </x14:dxf>
          </x14:cfRule>
          <xm:sqref>A10:E10 G10</xm:sqref>
        </x14:conditionalFormatting>
        <x14:conditionalFormatting xmlns:xm="http://schemas.microsoft.com/office/excel/2006/main">
          <x14:cfRule type="expression" priority="28" id="{F619B0F3-B307-484F-B7C8-1322058E4B11}">
            <xm:f>SEARCH(RefData!$B$2,$B$11)</xm:f>
            <x14:dxf>
              <fill>
                <patternFill>
                  <bgColor theme="0" tint="-0.14996795556505021"/>
                </patternFill>
              </fill>
            </x14:dxf>
          </x14:cfRule>
          <xm:sqref>A11:E11 G11</xm:sqref>
        </x14:conditionalFormatting>
        <x14:conditionalFormatting xmlns:xm="http://schemas.microsoft.com/office/excel/2006/main">
          <x14:cfRule type="expression" priority="27" id="{A7E76F37-32F6-47A9-ACF4-6E0D32B40652}">
            <xm:f>SEARCH(RefData!$B$2,$B$15)</xm:f>
            <x14:dxf>
              <fill>
                <patternFill>
                  <bgColor theme="0" tint="-0.14996795556505021"/>
                </patternFill>
              </fill>
            </x14:dxf>
          </x14:cfRule>
          <xm:sqref>A15:E15 G15</xm:sqref>
        </x14:conditionalFormatting>
        <x14:conditionalFormatting xmlns:xm="http://schemas.microsoft.com/office/excel/2006/main">
          <x14:cfRule type="expression" priority="25" id="{5D0F90BC-A214-4AD4-97FA-17C2F3355398}">
            <xm:f>SEARCH(RefData!$B$2,$B$16)</xm:f>
            <x14:dxf>
              <fill>
                <patternFill>
                  <bgColor theme="0" tint="-0.14996795556505021"/>
                </patternFill>
              </fill>
            </x14:dxf>
          </x14:cfRule>
          <xm:sqref>A16:E16 G16</xm:sqref>
        </x14:conditionalFormatting>
        <x14:conditionalFormatting xmlns:xm="http://schemas.microsoft.com/office/excel/2006/main">
          <x14:cfRule type="expression" priority="23" id="{02744784-2FCB-4DF1-BA1B-719F6756647B}">
            <xm:f>SEARCH(RefData!$B$2,$B$21)</xm:f>
            <x14:dxf>
              <fill>
                <patternFill>
                  <bgColor theme="0" tint="-0.14996795556505021"/>
                </patternFill>
              </fill>
            </x14:dxf>
          </x14:cfRule>
          <xm:sqref>A21:E21 G21</xm:sqref>
        </x14:conditionalFormatting>
        <x14:conditionalFormatting xmlns:xm="http://schemas.microsoft.com/office/excel/2006/main">
          <x14:cfRule type="expression" priority="22" id="{02AED4A0-3FDF-4A86-B8F9-05E343E505A5}">
            <xm:f>SEARCH(RefData!$B$2,$B$22)</xm:f>
            <x14:dxf>
              <fill>
                <patternFill>
                  <bgColor theme="0" tint="-0.14996795556505021"/>
                </patternFill>
              </fill>
            </x14:dxf>
          </x14:cfRule>
          <xm:sqref>A22:E22 G22</xm:sqref>
        </x14:conditionalFormatting>
        <x14:conditionalFormatting xmlns:xm="http://schemas.microsoft.com/office/excel/2006/main">
          <x14:cfRule type="expression" priority="21" id="{911C5C64-5FE2-42C9-BE58-15CA9D73EDBE}">
            <xm:f>SEARCH(RefData!$B$2,$B$23)</xm:f>
            <x14:dxf>
              <fill>
                <patternFill>
                  <bgColor theme="0" tint="-0.14996795556505021"/>
                </patternFill>
              </fill>
            </x14:dxf>
          </x14:cfRule>
          <xm:sqref>A23:E23 G23</xm:sqref>
        </x14:conditionalFormatting>
        <x14:conditionalFormatting xmlns:xm="http://schemas.microsoft.com/office/excel/2006/main">
          <x14:cfRule type="expression" priority="20" id="{9ABA6427-9FE0-46E1-9A0B-5741BFD279A7}">
            <xm:f>SEARCH(RefData!$B$2,$B$24)</xm:f>
            <x14:dxf>
              <fill>
                <patternFill>
                  <bgColor theme="0" tint="-0.14996795556505021"/>
                </patternFill>
              </fill>
            </x14:dxf>
          </x14:cfRule>
          <xm:sqref>A24:E24 G24</xm:sqref>
        </x14:conditionalFormatting>
        <x14:conditionalFormatting xmlns:xm="http://schemas.microsoft.com/office/excel/2006/main">
          <x14:cfRule type="expression" priority="19" id="{EF556500-8CC7-4B21-985A-863E69183FCF}">
            <xm:f>SEARCH(RefData!$B$2,$B$25)</xm:f>
            <x14:dxf>
              <fill>
                <patternFill>
                  <bgColor theme="0" tint="-0.14996795556505021"/>
                </patternFill>
              </fill>
            </x14:dxf>
          </x14:cfRule>
          <xm:sqref>A25:E25 G25</xm:sqref>
        </x14:conditionalFormatting>
        <x14:conditionalFormatting xmlns:xm="http://schemas.microsoft.com/office/excel/2006/main">
          <x14:cfRule type="expression" priority="18" id="{9B370422-BD1D-43A4-BC66-B0009F388445}">
            <xm:f>SEARCH(RefData!$B$2,$B$26)</xm:f>
            <x14:dxf>
              <fill>
                <patternFill>
                  <bgColor theme="0" tint="-0.14996795556505021"/>
                </patternFill>
              </fill>
            </x14:dxf>
          </x14:cfRule>
          <xm:sqref>A26:E26 G26</xm:sqref>
        </x14:conditionalFormatting>
        <x14:conditionalFormatting xmlns:xm="http://schemas.microsoft.com/office/excel/2006/main">
          <x14:cfRule type="expression" priority="17" id="{9E87116F-8E5A-4C7F-9917-354501FA6FEE}">
            <xm:f>SEARCH(RefData!$B$2,$B$30)</xm:f>
            <x14:dxf>
              <fill>
                <patternFill>
                  <bgColor theme="0" tint="-0.14996795556505021"/>
                </patternFill>
              </fill>
            </x14:dxf>
          </x14:cfRule>
          <xm:sqref>A30:E30 G30</xm:sqref>
        </x14:conditionalFormatting>
        <x14:conditionalFormatting xmlns:xm="http://schemas.microsoft.com/office/excel/2006/main">
          <x14:cfRule type="expression" priority="16" id="{1FBB671C-C4C1-4ABB-9C11-4560B26C84F9}">
            <xm:f>SEARCH(RefData!$B$2,$B$34)</xm:f>
            <x14:dxf>
              <fill>
                <patternFill>
                  <bgColor theme="0" tint="-0.14996795556505021"/>
                </patternFill>
              </fill>
            </x14:dxf>
          </x14:cfRule>
          <xm:sqref>A34:E34 G34</xm:sqref>
        </x14:conditionalFormatting>
        <x14:conditionalFormatting xmlns:xm="http://schemas.microsoft.com/office/excel/2006/main">
          <x14:cfRule type="expression" priority="15" id="{97A7E835-83D5-4E51-B3AC-9227621336A7}">
            <xm:f>SEARCH(RefData!$B$2,$B$35)</xm:f>
            <x14:dxf>
              <fill>
                <patternFill>
                  <bgColor theme="0" tint="-0.14996795556505021"/>
                </patternFill>
              </fill>
            </x14:dxf>
          </x14:cfRule>
          <xm:sqref>A35:E35 G35</xm:sqref>
        </x14:conditionalFormatting>
        <x14:conditionalFormatting xmlns:xm="http://schemas.microsoft.com/office/excel/2006/main">
          <x14:cfRule type="expression" priority="14" id="{C35659AA-4271-49B9-8930-72610E276663}">
            <xm:f>SEARCH(RefData!$B$2,$B$36)</xm:f>
            <x14:dxf>
              <fill>
                <patternFill>
                  <bgColor theme="0" tint="-0.14996795556505021"/>
                </patternFill>
              </fill>
            </x14:dxf>
          </x14:cfRule>
          <xm:sqref>A36:E36 G36</xm:sqref>
        </x14:conditionalFormatting>
        <x14:conditionalFormatting xmlns:xm="http://schemas.microsoft.com/office/excel/2006/main">
          <x14:cfRule type="expression" priority="13" id="{E3D384A9-23CD-452C-BAE7-656BBE059122}">
            <xm:f>SEARCH(RefData!$B$2,$B$37)</xm:f>
            <x14:dxf>
              <fill>
                <patternFill>
                  <bgColor theme="0" tint="-0.14996795556505021"/>
                </patternFill>
              </fill>
            </x14:dxf>
          </x14:cfRule>
          <xm:sqref>A37:E37 G37</xm:sqref>
        </x14:conditionalFormatting>
        <x14:conditionalFormatting xmlns:xm="http://schemas.microsoft.com/office/excel/2006/main">
          <x14:cfRule type="expression" priority="11" id="{CD718004-9757-4F4B-B8B0-88F4AB2A948B}">
            <xm:f>SEARCH(RefData!$B$2,$B$39)</xm:f>
            <x14:dxf>
              <fill>
                <patternFill>
                  <bgColor theme="0" tint="-0.14996795556505021"/>
                </patternFill>
              </fill>
            </x14:dxf>
          </x14:cfRule>
          <xm:sqref>A39:E39 G39</xm:sqref>
        </x14:conditionalFormatting>
        <x14:conditionalFormatting xmlns:xm="http://schemas.microsoft.com/office/excel/2006/main">
          <x14:cfRule type="expression" priority="10" id="{0FE56AE8-4A58-4572-9584-0D66120D626E}">
            <xm:f>SEARCH(RefData!$B$2,$B$40)</xm:f>
            <x14:dxf>
              <fill>
                <patternFill>
                  <bgColor theme="0" tint="-0.14996795556505021"/>
                </patternFill>
              </fill>
            </x14:dxf>
          </x14:cfRule>
          <xm:sqref>A40:E40 G40</xm:sqref>
        </x14:conditionalFormatting>
        <x14:conditionalFormatting xmlns:xm="http://schemas.microsoft.com/office/excel/2006/main">
          <x14:cfRule type="expression" priority="9" id="{381356A5-A3FC-406B-B198-87DDD64F5EBF}">
            <xm:f>SEARCH(RefData!$B$2,$B$41)</xm:f>
            <x14:dxf>
              <fill>
                <patternFill>
                  <bgColor theme="0" tint="-0.14996795556505021"/>
                </patternFill>
              </fill>
            </x14:dxf>
          </x14:cfRule>
          <xm:sqref>A41:E41 G41</xm:sqref>
        </x14:conditionalFormatting>
        <x14:conditionalFormatting xmlns:xm="http://schemas.microsoft.com/office/excel/2006/main">
          <x14:cfRule type="expression" priority="6" id="{B19320BC-0579-4668-AB11-782A089834E4}">
            <xm:f>SEARCH(RefData!$B$2,$B$37)</xm:f>
            <x14:dxf>
              <fill>
                <patternFill>
                  <bgColor theme="0" tint="-0.14996795556505021"/>
                </patternFill>
              </fill>
            </x14:dxf>
          </x14:cfRule>
          <xm:sqref>B38:C38</xm:sqref>
        </x14:conditionalFormatting>
        <x14:conditionalFormatting xmlns:xm="http://schemas.microsoft.com/office/excel/2006/main">
          <x14:cfRule type="expression" priority="2" id="{4FF5095D-048E-4E79-A51B-868CF01C6594}">
            <xm:f>$C$45=RefData!$B$433</xm:f>
            <x14:dxf>
              <fill>
                <patternFill>
                  <bgColor rgb="FFEFF5FA"/>
                </patternFill>
              </fill>
            </x14:dxf>
          </x14:cfRule>
          <x14:cfRule type="expression" priority="3" id="{F7221B14-2ED3-4924-961F-28CF64AD6427}">
            <xm:f>$C$45=RefData!$B$434</xm:f>
            <x14:dxf>
              <fill>
                <patternFill>
                  <bgColor rgb="FFEFF5FA"/>
                </patternFill>
              </fill>
            </x14:dxf>
          </x14:cfRule>
          <xm:sqref>C45</xm:sqref>
        </x14:conditionalFormatting>
        <x14:conditionalFormatting xmlns:xm="http://schemas.microsoft.com/office/excel/2006/main">
          <x14:cfRule type="expression" priority="24" id="{FEAC3D45-DC9E-4353-99E5-AF7E0CADBAED}">
            <xm:f>SEARCH(RefData!$B$2,$B$17)</xm:f>
            <x14:dxf>
              <fill>
                <patternFill>
                  <bgColor theme="0" tint="-0.14996795556505021"/>
                </patternFill>
              </fill>
            </x14:dxf>
          </x14:cfRule>
          <xm:sqref>D17:E17 A17:B17 G17</xm:sqref>
        </x14:conditionalFormatting>
        <x14:conditionalFormatting xmlns:xm="http://schemas.microsoft.com/office/excel/2006/main">
          <x14:cfRule type="expression" priority="12" id="{AF6D9ED6-68C3-4B37-8834-A6BF15A08287}">
            <xm:f>SEARCH(RefData!$B$2,$B$38)</xm:f>
            <x14:dxf>
              <fill>
                <patternFill>
                  <bgColor theme="0" tint="-0.14996795556505021"/>
                </patternFill>
              </fill>
            </x14:dxf>
          </x14:cfRule>
          <xm:sqref>D38:E38 A38 G38</xm:sqref>
        </x14:conditionalFormatting>
      </x14:conditionalFormattings>
    </ext>
    <ext xmlns:x14="http://schemas.microsoft.com/office/spreadsheetml/2009/9/main" uri="{CCE6A557-97BC-4b89-ADB6-D9C93CAAB3DF}">
      <x14:dataValidations xmlns:xm="http://schemas.microsoft.com/office/excel/2006/main" xWindow="654" yWindow="692" count="7">
        <x14:dataValidation type="list" allowBlank="1" showInputMessage="1" showErrorMessage="1" errorTitle="There is a problem" error="You must select 'Yes' or 'No' from the dropdown list." promptTitle="Select an answer" prompt="Choose from the list provided." xr:uid="{F26D404A-92B0-4742-808E-C7FE751C8843}">
          <x14:formula1>
            <xm:f>RefData!$B$23:$B$24</xm:f>
          </x14:formula1>
          <xm:sqref>C8</xm:sqref>
        </x14:dataValidation>
        <x14:dataValidation type="list" allowBlank="1" showInputMessage="1" showErrorMessage="1" errorTitle="There is a problem" error="You must select 'Yes' or 'No' from the drop-down list." promptTitle="Select an answer" prompt="Choose from the list provided." xr:uid="{1309457A-186B-4955-8609-C45E2062C420}">
          <x14:formula1>
            <xm:f>RefData!$B$33:$B$34</xm:f>
          </x14:formula1>
          <xm:sqref>C34</xm:sqref>
        </x14:dataValidation>
        <x14:dataValidation type="list" allowBlank="1" showInputMessage="1" showErrorMessage="1" errorTitle="There is a problem" error="You must select your answer from the drop-down list." promptTitle="Select an answer" prompt="Choose from the list provided." xr:uid="{134F3FA5-FC4D-41FB-B387-4F90F008F76F}">
          <x14:formula1>
            <xm:f>RefData!$B$102:$B$103</xm:f>
          </x14:formula1>
          <xm:sqref>C36</xm:sqref>
        </x14:dataValidation>
        <x14:dataValidation type="list" allowBlank="1" showInputMessage="1" showErrorMessage="1" errorTitle="There is a problem" error="You must select 'Yes' or 'No' from the list provided." promptTitle="Select an answer" prompt="Choose from the list provided" xr:uid="{A1CF9BCB-5918-478B-BF70-CCDB34322A2B}">
          <x14:formula1>
            <xm:f>RefData!$B$194:$B$195</xm:f>
          </x14:formula1>
          <xm:sqref>C15</xm:sqref>
        </x14:dataValidation>
        <x14:dataValidation type="list" allowBlank="1" showInputMessage="1" showErrorMessage="1" errorTitle="There is a problem" error="You must select your answer from the drop-down list." promptTitle="Select an answer" prompt="Choose from the list provided." xr:uid="{0D777E3C-15C4-4547-BACE-B69B581F93F1}">
          <x14:formula1>
            <xm:f>RefData!$B$122:$B$123</xm:f>
          </x14:formula1>
          <xm:sqref>C40</xm:sqref>
        </x14:dataValidation>
        <x14:dataValidation type="list" allowBlank="1" showInputMessage="1" showErrorMessage="1" errorTitle="There is a problem" error="You must select your answer from the drop-down list." promptTitle="Select an answer" prompt="Choose from the list provided." xr:uid="{8B7ADAB6-2129-44F2-A81A-28E70705BF5B}">
          <x14:formula1>
            <xm:f>RefData!$B$405:$B$406</xm:f>
          </x14:formula1>
          <xm:sqref>C23</xm:sqref>
        </x14:dataValidation>
        <x14:dataValidation type="list" allowBlank="1" showInputMessage="1" showErrorMessage="1" xr:uid="{2F4C9A9B-3466-47F4-A493-DBDDF07D58B5}">
          <x14:formula1>
            <xm:f>RefData!$B$433:$B$435</xm:f>
          </x14:formula1>
          <xm:sqref>C45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8045C-8BC4-43A3-86C1-B7C4B4467092}">
  <sheetPr codeName="Sheet7"/>
  <dimension ref="A1:H67"/>
  <sheetViews>
    <sheetView zoomScaleNormal="100" workbookViewId="0">
      <selection sqref="A1:B1"/>
    </sheetView>
  </sheetViews>
  <sheetFormatPr defaultColWidth="0" defaultRowHeight="0" customHeight="1" zeroHeight="1"/>
  <cols>
    <col min="1" max="1" width="12.69140625" style="36" customWidth="1"/>
    <col min="2" max="2" width="62.69140625" style="36" customWidth="1"/>
    <col min="3" max="3" width="28.69140625" style="20" customWidth="1"/>
    <col min="4" max="6" width="62.69140625" style="36" customWidth="1"/>
    <col min="7" max="16384" width="8.69140625" style="36" hidden="1"/>
  </cols>
  <sheetData>
    <row r="1" spans="1:7" s="32" customFormat="1" ht="50.15" customHeight="1" thickBot="1">
      <c r="A1" s="747" t="s">
        <v>161</v>
      </c>
      <c r="B1" s="748"/>
      <c r="C1" s="13"/>
      <c r="D1" s="13"/>
      <c r="E1" s="13"/>
      <c r="F1" s="13"/>
    </row>
    <row r="2" spans="1:7" s="32" customFormat="1" ht="50.15" customHeight="1" thickTop="1" thickBot="1">
      <c r="A2" s="781" t="s">
        <v>162</v>
      </c>
      <c r="B2" s="782"/>
      <c r="C2" s="57"/>
      <c r="D2" s="57"/>
      <c r="E2" s="57"/>
      <c r="F2" s="57"/>
    </row>
    <row r="3" spans="1:7" s="32" customFormat="1" ht="300" customHeight="1" thickTop="1" thickBot="1">
      <c r="A3" s="783" t="s">
        <v>163</v>
      </c>
      <c r="B3" s="784"/>
      <c r="C3" s="209"/>
      <c r="D3" s="22"/>
      <c r="E3" s="22"/>
      <c r="F3" s="22"/>
    </row>
    <row r="4" spans="1:7" s="20" customFormat="1" ht="20.149999999999999" customHeight="1" thickBot="1">
      <c r="A4" s="69"/>
      <c r="B4" s="69"/>
      <c r="C4" s="69" t="s">
        <v>23</v>
      </c>
      <c r="D4" s="69"/>
      <c r="E4" s="69"/>
      <c r="F4" s="69"/>
    </row>
    <row r="5" spans="1:7" s="32" customFormat="1" ht="50.15" customHeight="1" thickBot="1">
      <c r="A5" s="785" t="s">
        <v>32</v>
      </c>
      <c r="B5" s="751"/>
      <c r="C5" s="57"/>
      <c r="D5" s="57"/>
      <c r="E5" s="57"/>
      <c r="F5" s="57"/>
    </row>
    <row r="6" spans="1:7" s="47" customFormat="1" ht="36" customHeight="1" thickTop="1" thickBot="1">
      <c r="A6" s="8" t="s">
        <v>89</v>
      </c>
      <c r="B6" s="8" t="s">
        <v>90</v>
      </c>
      <c r="C6" s="8" t="s">
        <v>91</v>
      </c>
      <c r="D6" s="8" t="s">
        <v>92</v>
      </c>
      <c r="E6" s="199" t="s">
        <v>104</v>
      </c>
      <c r="F6" s="199" t="s">
        <v>93</v>
      </c>
      <c r="G6" s="17"/>
    </row>
    <row r="7" spans="1:7" s="32" customFormat="1" ht="115.4" customHeight="1" thickTop="1" thickBot="1">
      <c r="A7" s="77" t="s">
        <v>164</v>
      </c>
      <c r="B7" s="77" t="str">
        <f>Questions!B28</f>
        <v xml:space="preserve">
Does the scheme have any defined contributions (DC) liabilities or DC additional voluntary contributions (AVC) that have been included in the actuarial valuation?
</v>
      </c>
      <c r="C7" s="187"/>
      <c r="D7" s="347" t="str">
        <f ca="1">'Reconciliation report'!D37</f>
        <v>Select ‘Yes’ if the scheme has defined contributions (DC) liabilities or DC additional voluntary contributions (AVC) that have been included in the actuarial valuation or ‘No’ if it does not.</v>
      </c>
      <c r="E7" s="287" t="str">
        <f>Guidance!B20</f>
        <v xml:space="preserve">
We'll need to know the answer to this question for the purposes of asking for the right information and providing the correct format in the statement of strategy.
</v>
      </c>
      <c r="F7" s="214"/>
    </row>
    <row r="8" spans="1:7" s="32" customFormat="1" ht="92.9" customHeight="1" thickBot="1">
      <c r="A8" s="77" t="s">
        <v>166</v>
      </c>
      <c r="B8" s="77" t="str">
        <f>Questions!B29</f>
        <v xml:space="preserve">
Does the valuation include any cash balance liabilities?
</v>
      </c>
      <c r="C8" s="529"/>
      <c r="D8" s="347" t="str">
        <f ca="1">'Reconciliation report'!D38</f>
        <v xml:space="preserve">
Select ‘Yes' if the valuation includes cash balance liabilities’ or ‘No' if it does not.
</v>
      </c>
      <c r="E8" s="287" t="str">
        <f>Guidance!B21</f>
        <v xml:space="preserve">
These are liabilities in relation to cash balance benefits.
We'll need to know the answer to this question for the purposes of asking for the right information and providing the correct format in the statement of strategy.
</v>
      </c>
      <c r="F8" s="214"/>
    </row>
    <row r="9" spans="1:7" s="535" customFormat="1" ht="20.149999999999999" customHeight="1" thickBot="1">
      <c r="A9" s="71"/>
      <c r="B9" s="71"/>
      <c r="C9" s="71" t="s">
        <v>23</v>
      </c>
      <c r="D9" s="534"/>
      <c r="E9" s="71"/>
      <c r="F9" s="71"/>
    </row>
    <row r="10" spans="1:7" s="32" customFormat="1" ht="50.15" customHeight="1" thickBot="1">
      <c r="A10" s="750" t="s">
        <v>168</v>
      </c>
      <c r="B10" s="751"/>
      <c r="C10" s="57"/>
      <c r="D10" s="57"/>
      <c r="E10" s="57"/>
      <c r="F10" s="57"/>
    </row>
    <row r="11" spans="1:7" s="47" customFormat="1" ht="36" customHeight="1" thickTop="1" thickBot="1">
      <c r="A11" s="8" t="s">
        <v>89</v>
      </c>
      <c r="B11" s="8" t="s">
        <v>90</v>
      </c>
      <c r="C11" s="8" t="s">
        <v>91</v>
      </c>
      <c r="D11" s="8" t="s">
        <v>92</v>
      </c>
      <c r="E11" s="199" t="s">
        <v>104</v>
      </c>
      <c r="F11" s="199" t="s">
        <v>93</v>
      </c>
      <c r="G11" s="17"/>
    </row>
    <row r="12" spans="1:7" s="32" customFormat="1" ht="94.5" customHeight="1" thickTop="1">
      <c r="A12" s="5" t="s">
        <v>169</v>
      </c>
      <c r="B12" s="5" t="str">
        <f>Questions!B19</f>
        <v xml:space="preserve">
Technical provisions basis: total scheme assets (£)
</v>
      </c>
      <c r="C12" s="33"/>
      <c r="D12" s="347" t="str">
        <f ca="1">'Reconciliation report'!D39</f>
        <v xml:space="preserve">
Enter a value equal to or greater than 0 and less than 1,000,000,000,000 (1 trillion). It can be accurate to two decimal places.
</v>
      </c>
      <c r="E12" s="5" t="str">
        <f>Guidance!B11</f>
        <v xml:space="preserve">
The market value of scheme assets on a technical provisions basis as recorded in the valuation report.
</v>
      </c>
      <c r="F12" s="215"/>
    </row>
    <row r="13" spans="1:7" s="32" customFormat="1" ht="95.15" customHeight="1">
      <c r="A13" s="5" t="s">
        <v>170</v>
      </c>
      <c r="B13" s="5" t="str">
        <f>Questions!B20</f>
        <v xml:space="preserve">
Technical provisions basis: active member liabilities (£)
</v>
      </c>
      <c r="C13" s="33"/>
      <c r="D13" s="347" t="str">
        <f ca="1">'Reconciliation report'!D40</f>
        <v xml:space="preserve">
Enter a value equal to or greater than 0 and less than 1,000,000,000,000 (1 trillion). It can be accurate to two decimal places.
</v>
      </c>
      <c r="E13" s="5" t="str">
        <f>Guidance!B12</f>
        <v xml:space="preserve">
The value of the active member liabilities on a technical provisions basis as recorded in the valuation report.
</v>
      </c>
      <c r="F13" s="215"/>
    </row>
    <row r="14" spans="1:7" s="32" customFormat="1" ht="95.15" customHeight="1">
      <c r="A14" s="5" t="s">
        <v>171</v>
      </c>
      <c r="B14" s="5" t="str">
        <f>Questions!B21</f>
        <v xml:space="preserve">
Technical provisions basis: deferred member liabilities (£)
</v>
      </c>
      <c r="C14" s="33"/>
      <c r="D14" s="347" t="str">
        <f ca="1">'Reconciliation report'!D41</f>
        <v xml:space="preserve">
Enter a value equal to or greater than 0 and less than 1,000,000,000,000 (1 trillion). It can be accurate to two decimal places.
</v>
      </c>
      <c r="E14" s="5" t="str">
        <f>Guidance!B13</f>
        <v xml:space="preserve">
The value of the deferred member liabilities on a technical provisions basis as recorded in the valuation report.
</v>
      </c>
      <c r="F14" s="215"/>
    </row>
    <row r="15" spans="1:7" s="32" customFormat="1" ht="95.15" customHeight="1">
      <c r="A15" s="5" t="s">
        <v>172</v>
      </c>
      <c r="B15" s="5" t="str">
        <f>Questions!B22</f>
        <v xml:space="preserve">
Technical provisions basis: pensioner member liabilities (£)
</v>
      </c>
      <c r="C15" s="33"/>
      <c r="D15" s="347" t="str">
        <f ca="1">'Reconciliation report'!D42</f>
        <v xml:space="preserve">
Enter a value equal to or greater than 0 and less than 1,000,000,000,000 (1 trillion). It can be accurate to two decimal places.
</v>
      </c>
      <c r="E15" s="5" t="str">
        <f>Guidance!B14</f>
        <v xml:space="preserve">
The value of the pensioner member liabilities on a technical provisions basis as recorded in the valuation report.
</v>
      </c>
      <c r="F15" s="215"/>
    </row>
    <row r="16" spans="1:7" s="32" customFormat="1" ht="95.15" customHeight="1">
      <c r="A16" s="5" t="s">
        <v>173</v>
      </c>
      <c r="B16" s="5" t="str">
        <f>Questions!B23</f>
        <v xml:space="preserve">
Technical provisions basis: insured member liabilities (£)
</v>
      </c>
      <c r="C16" s="33"/>
      <c r="D16" s="347" t="str">
        <f ca="1">'Reconciliation report'!D43</f>
        <v xml:space="preserve">
Enter a value equal to or greater than 0 and less than 1,000,000,000,000 (1 trillion). It can be accurate to two decimal places.
</v>
      </c>
      <c r="E16" s="5" t="str">
        <f>Guidance!B15</f>
        <v xml:space="preserve">
The value of the insured member liabilities on a technical provisions basis as recorded in the valuation report.
</v>
      </c>
      <c r="F16" s="215"/>
    </row>
    <row r="17" spans="1:7" s="32" customFormat="1" ht="95.15" customHeight="1">
      <c r="A17" s="5" t="s">
        <v>174</v>
      </c>
      <c r="B17" s="5" t="str">
        <f>Questions!C24</f>
        <v xml:space="preserve">
Technical provisions basis: DC liabilities (£)
</v>
      </c>
      <c r="C17" s="33"/>
      <c r="D17" s="347" t="str">
        <f ca="1">'Reconciliation report'!D44</f>
        <v/>
      </c>
      <c r="E17" s="85" t="str">
        <f>Guidance!B16</f>
        <v xml:space="preserve">
The value of the DC liabilities on a technical provisions basis as recorded in the valuation report.
</v>
      </c>
      <c r="F17" s="48"/>
    </row>
    <row r="18" spans="1:7" s="32" customFormat="1" ht="95.15" customHeight="1">
      <c r="A18" s="5" t="s">
        <v>175</v>
      </c>
      <c r="B18" s="5" t="str">
        <f>Questions!C25</f>
        <v xml:space="preserve">
Technical Provisions basis: cash balance liabilities (£)
</v>
      </c>
      <c r="C18" s="33"/>
      <c r="D18" s="347" t="str">
        <f ca="1">'Reconciliation report'!D45</f>
        <v/>
      </c>
      <c r="E18" s="85" t="str">
        <f>Guidance!B17</f>
        <v xml:space="preserve">
The value of the cash balance liabilities on a technical provisions basis as recorded in the valuation report. This should include the total of active and deferred cash balance liabilities. Cash balance liabilities should not be included elsewhere.
</v>
      </c>
      <c r="F18" s="48"/>
    </row>
    <row r="19" spans="1:7" s="32" customFormat="1" ht="95.15" customHeight="1">
      <c r="A19" s="5" t="s">
        <v>176</v>
      </c>
      <c r="B19" s="5" t="str">
        <f>Questions!B26</f>
        <v xml:space="preserve">
Technical provisions basis: expense reserves (£)
</v>
      </c>
      <c r="C19" s="33"/>
      <c r="D19" s="347" t="str">
        <f ca="1">'Reconciliation report'!D46</f>
        <v xml:space="preserve">
Enter a value equal to or greater than 0 and less than 1,000,000,000,000 (1 trillion). It can be accurate to two decimal places.
</v>
      </c>
      <c r="E19" s="5" t="str">
        <f>Guidance!B18</f>
        <v xml:space="preserve">
The value of the expense reserve on a technical provisions basis as recorded in the valuation report.
</v>
      </c>
      <c r="F19" s="215"/>
    </row>
    <row r="20" spans="1:7" s="32" customFormat="1" ht="95.15" customHeight="1">
      <c r="A20" s="5" t="s">
        <v>177</v>
      </c>
      <c r="B20" s="5" t="str">
        <f>Questions!B27</f>
        <v xml:space="preserve">
Technical provisions basis: total liabilities (£)
</v>
      </c>
      <c r="C20" s="33"/>
      <c r="D20" s="347" t="str">
        <f ca="1">'Reconciliation report'!D47</f>
        <v xml:space="preserve">
Enter a value equal to or greater than 0 and less than 1,000,000,000,000 (1 trillion). It can be accurate to two decimal places.
</v>
      </c>
      <c r="E20" s="5" t="str">
        <f>Guidance!B19</f>
        <v xml:space="preserve">
The value of the sum of the liabilities on a technical provisions basis as recorded in the valuation report.
</v>
      </c>
      <c r="F20" s="215"/>
    </row>
    <row r="21" spans="1:7" s="5" customFormat="1" ht="95.15" customHeight="1" thickBot="1">
      <c r="A21" s="29" t="s">
        <v>178</v>
      </c>
      <c r="B21" s="41" t="str">
        <f>Questions!B373</f>
        <v xml:space="preserve">
What is the technical provisions funding level at the effective date of the actuarial valuation? (%)
</v>
      </c>
      <c r="C21" s="569"/>
      <c r="D21" s="363" t="str">
        <f ca="1">'Reconciliation report'!D60</f>
        <v xml:space="preserve">
Enter a percentage value that is greater than or equal to 0. It can be accurate to two decimal places.
</v>
      </c>
      <c r="E21" s="34" t="str">
        <f>Guidance!B247</f>
        <v xml:space="preserve">
The technical provisions funding level is the scheme assets divided by the liabilities, calculated on a technical provisions basis. The answer is expressed as a percentage.
</v>
      </c>
      <c r="F21" s="474"/>
    </row>
    <row r="22" spans="1:7" s="32" customFormat="1" ht="20.149999999999999" customHeight="1" thickBot="1">
      <c r="A22" s="75"/>
      <c r="B22" s="69"/>
      <c r="C22" s="75" t="s">
        <v>23</v>
      </c>
      <c r="D22" s="68"/>
      <c r="E22" s="68"/>
      <c r="F22" s="68"/>
    </row>
    <row r="23" spans="1:7" s="32" customFormat="1" ht="50.15" customHeight="1" thickBot="1">
      <c r="A23" s="750" t="s">
        <v>179</v>
      </c>
      <c r="B23" s="751"/>
      <c r="C23" s="57"/>
      <c r="D23" s="57"/>
      <c r="E23" s="57"/>
      <c r="F23" s="57"/>
    </row>
    <row r="24" spans="1:7" s="47" customFormat="1" ht="36" customHeight="1" thickTop="1" thickBot="1">
      <c r="A24" s="8" t="s">
        <v>89</v>
      </c>
      <c r="B24" s="8" t="s">
        <v>90</v>
      </c>
      <c r="C24" s="8" t="s">
        <v>91</v>
      </c>
      <c r="D24" s="8" t="s">
        <v>92</v>
      </c>
      <c r="E24" s="199" t="s">
        <v>104</v>
      </c>
      <c r="F24" s="199" t="s">
        <v>93</v>
      </c>
      <c r="G24" s="17"/>
    </row>
    <row r="25" spans="1:7" s="32" customFormat="1" ht="95.75" customHeight="1" thickTop="1">
      <c r="A25" s="5" t="s">
        <v>180</v>
      </c>
      <c r="B25" s="5" t="str">
        <f>Questions!C30</f>
        <v xml:space="preserve">
What is the future service contribution rate on an ongoing basis as a percentage of pensionable salary? (%)
</v>
      </c>
      <c r="C25" s="567"/>
      <c r="D25" s="347" t="str">
        <f ca="1">'Reconciliation report'!D48</f>
        <v/>
      </c>
      <c r="E25" s="5" t="str">
        <f>Guidance!B22</f>
        <v xml:space="preserve">
The annual cost of future service benefits as a percentage of pensionable salaries, calculated on the future service basis assumptions at the effective date of the valuation.
</v>
      </c>
      <c r="F25" s="215"/>
    </row>
    <row r="26" spans="1:7" s="32" customFormat="1" ht="78" customHeight="1" thickBot="1">
      <c r="A26" s="5" t="s">
        <v>181</v>
      </c>
      <c r="B26" s="5" t="str">
        <f>Questions!C31</f>
        <v xml:space="preserve">
What is the total annual pensionable salary at the effective date of the valuation? (£)
</v>
      </c>
      <c r="C26" s="33"/>
      <c r="D26" s="363" t="str">
        <f ca="1">'Reconciliation report'!D49</f>
        <v/>
      </c>
      <c r="E26" s="5" t="str">
        <f>Guidance!B23</f>
        <v xml:space="preserve">
The total of active members' annual pensionable salaries at the effective date of the valuation (which can be called pensionable pay, earnings or other definitions within the scheme's rules).
</v>
      </c>
      <c r="F26" s="215"/>
    </row>
    <row r="27" spans="1:7" s="32" customFormat="1" ht="20.149999999999999" customHeight="1" thickBot="1">
      <c r="A27" s="75"/>
      <c r="B27" s="75"/>
      <c r="C27" s="75" t="s">
        <v>23</v>
      </c>
      <c r="D27" s="346"/>
      <c r="E27" s="213"/>
      <c r="F27" s="213"/>
    </row>
    <row r="28" spans="1:7" s="32" customFormat="1" ht="50.15" customHeight="1" thickBot="1">
      <c r="A28" s="750" t="s">
        <v>182</v>
      </c>
      <c r="B28" s="751"/>
      <c r="C28" s="57"/>
      <c r="D28" s="57"/>
      <c r="E28" s="57"/>
      <c r="F28" s="57"/>
    </row>
    <row r="29" spans="1:7" s="47" customFormat="1" ht="36" customHeight="1" thickTop="1" thickBot="1">
      <c r="A29" s="8" t="s">
        <v>89</v>
      </c>
      <c r="B29" s="8" t="s">
        <v>90</v>
      </c>
      <c r="C29" s="8" t="s">
        <v>91</v>
      </c>
      <c r="D29" s="8" t="s">
        <v>92</v>
      </c>
      <c r="E29" s="199" t="s">
        <v>104</v>
      </c>
      <c r="F29" s="199" t="s">
        <v>93</v>
      </c>
      <c r="G29" s="17"/>
    </row>
    <row r="30" spans="1:7" s="32" customFormat="1" ht="78" thickTop="1">
      <c r="A30" s="5" t="s">
        <v>183</v>
      </c>
      <c r="B30" s="5" t="str">
        <f>Questions!B32</f>
        <v xml:space="preserve">
Low dependency basis: total scheme assets (£)
</v>
      </c>
      <c r="C30" s="33"/>
      <c r="D30" s="347" t="str">
        <f ca="1">'Reconciliation report'!D50</f>
        <v xml:space="preserve">
Enter a value equal to or greater than 0 and less than 1,000,000,000,000 (1 trillion). It can be accurate to two decimal places.
</v>
      </c>
      <c r="E30" s="5" t="str">
        <f>Guidance!B24</f>
        <v xml:space="preserve">
The market value of scheme assets on a low dependency basis as recorded in the valuation report.
</v>
      </c>
      <c r="F30" s="215"/>
    </row>
    <row r="31" spans="1:7" s="32" customFormat="1" ht="77.5">
      <c r="A31" s="5" t="s">
        <v>184</v>
      </c>
      <c r="B31" s="5" t="str">
        <f>Questions!B33</f>
        <v xml:space="preserve">
Low dependency basis: active member liabilities (£)
</v>
      </c>
      <c r="C31" s="33"/>
      <c r="D31" s="347" t="str">
        <f ca="1">'Reconciliation report'!D51</f>
        <v xml:space="preserve">
Enter a value equal to or greater than 0 and less than 1,000,000,000,000 (1 trillion). It can be accurate to two decimal places.
</v>
      </c>
      <c r="E31" s="5" t="str">
        <f>Guidance!B25</f>
        <v xml:space="preserve">
The value of the active member liabilities on a low dependency basis as recorded in the valuation report.
</v>
      </c>
      <c r="F31" s="215"/>
    </row>
    <row r="32" spans="1:7" s="32" customFormat="1" ht="77.5">
      <c r="A32" s="5" t="s">
        <v>185</v>
      </c>
      <c r="B32" s="5" t="str">
        <f>Questions!B34</f>
        <v xml:space="preserve">
Low dependency basis: deferred member liabilities (£)
</v>
      </c>
      <c r="C32" s="33"/>
      <c r="D32" s="347" t="str">
        <f ca="1">'Reconciliation report'!D52</f>
        <v xml:space="preserve">
Enter a value equal to or greater than 0 and less than 1,000,000,000,000 (1 trillion). It can be accurate to two decimal places.
</v>
      </c>
      <c r="E32" s="5" t="str">
        <f>Guidance!B26</f>
        <v xml:space="preserve">
The value of the deferred member liabilities on a low dependency basis as recorded in the valuation report.
</v>
      </c>
      <c r="F32" s="215"/>
    </row>
    <row r="33" spans="1:7" s="32" customFormat="1" ht="77.5">
      <c r="A33" s="5" t="s">
        <v>186</v>
      </c>
      <c r="B33" s="5" t="str">
        <f>Questions!B35</f>
        <v xml:space="preserve">
Low dependency basis: pensioner member liabilities (£)
</v>
      </c>
      <c r="C33" s="33"/>
      <c r="D33" s="347" t="str">
        <f ca="1">'Reconciliation report'!D53</f>
        <v xml:space="preserve">
Enter a value equal to or greater than 0 and less than 1,000,000,000,000 (1 trillion). It can be accurate to two decimal places.
</v>
      </c>
      <c r="E33" s="5" t="str">
        <f>Guidance!B27</f>
        <v xml:space="preserve">
The value of the pensioner member liabilities on a low dependency basis as recorded in the valuation report.
</v>
      </c>
      <c r="F33" s="215"/>
    </row>
    <row r="34" spans="1:7" s="32" customFormat="1" ht="77.5">
      <c r="A34" s="5" t="s">
        <v>187</v>
      </c>
      <c r="B34" s="5" t="str">
        <f>Questions!B36</f>
        <v xml:space="preserve">
Low dependency basis: insured member liabilities (£)
</v>
      </c>
      <c r="C34" s="33"/>
      <c r="D34" s="347" t="str">
        <f ca="1">'Reconciliation report'!D54</f>
        <v xml:space="preserve">
Enter a value equal to or greater than 0 and less than 1,000,000,000,000 (1 trillion). It can be accurate to two decimal places.
</v>
      </c>
      <c r="E34" s="5" t="str">
        <f>Guidance!B28</f>
        <v xml:space="preserve">
The value of the insured member liabilities on a low dependency basis as recorded in the valuation report.
</v>
      </c>
      <c r="F34" s="215"/>
    </row>
    <row r="35" spans="1:7" s="32" customFormat="1" ht="62">
      <c r="A35" s="5" t="s">
        <v>188</v>
      </c>
      <c r="B35" s="5" t="str">
        <f>Questions!C37</f>
        <v xml:space="preserve">
Low dependency basis: DC liabilities (£)
</v>
      </c>
      <c r="C35" s="33"/>
      <c r="D35" s="347" t="str">
        <f ca="1">'Reconciliation report'!D55</f>
        <v/>
      </c>
      <c r="E35" s="85" t="str">
        <f>Guidance!B29</f>
        <v xml:space="preserve">
The value of the DC liabilities on a low dependency basis as recorded in the valuation report.
</v>
      </c>
      <c r="F35" s="215"/>
    </row>
    <row r="36" spans="1:7" s="32" customFormat="1" ht="93">
      <c r="A36" s="5" t="s">
        <v>189</v>
      </c>
      <c r="B36" s="5" t="str">
        <f>Questions!C38</f>
        <v xml:space="preserve">
Low dependency basis: cash balance liabilities (£)
</v>
      </c>
      <c r="C36" s="33"/>
      <c r="D36" s="347" t="str">
        <f ca="1">'Reconciliation report'!D56</f>
        <v/>
      </c>
      <c r="E36" s="85" t="str">
        <f>Guidance!B30</f>
        <v xml:space="preserve">
The value of the cash balance liabilities on a low dependency basis as recorded in the valuation report. This should include the total of active and deferred cash balance liabilities. Cash balance liabilities should not be included elsewhere.
</v>
      </c>
      <c r="F36" s="48"/>
    </row>
    <row r="37" spans="1:7" s="32" customFormat="1" ht="62">
      <c r="A37" s="5" t="s">
        <v>190</v>
      </c>
      <c r="B37" s="5" t="str">
        <f>Questions!B39</f>
        <v xml:space="preserve">
Low dependency basis: expense reserves (£)
</v>
      </c>
      <c r="C37" s="33"/>
      <c r="D37" s="347" t="str">
        <f ca="1">'Reconciliation report'!D57</f>
        <v xml:space="preserve">
Enter a value between 0 and 1,000,000,000,000 (1 trillion). It can be accurate to two decimal places.
</v>
      </c>
      <c r="E37" s="5" t="str">
        <f>Guidance!B31</f>
        <v xml:space="preserve">
The value of the expense reserve on a low dependency basis as recorded in the valuation report.
</v>
      </c>
      <c r="F37" s="215"/>
    </row>
    <row r="38" spans="1:7" s="32" customFormat="1" ht="62">
      <c r="A38" s="5" t="s">
        <v>191</v>
      </c>
      <c r="B38" s="5" t="str">
        <f>Questions!B40</f>
        <v xml:space="preserve">
Low dependency basis: total liabilities (£)
</v>
      </c>
      <c r="C38" s="33"/>
      <c r="D38" s="347" t="str">
        <f ca="1">'Reconciliation report'!D58</f>
        <v xml:space="preserve">
Enter a value between 0 and 1,000,000,000,000 (1 trillion). It can be accurate to two decimal places.
</v>
      </c>
      <c r="E38" s="59" t="str">
        <f>Guidance!B32</f>
        <v xml:space="preserve">
The value of the sum of the liabilities on a low dependency basis as recorded in the valuation report.
</v>
      </c>
      <c r="F38" s="291"/>
    </row>
    <row r="39" spans="1:7" s="32" customFormat="1" ht="78" thickBot="1">
      <c r="A39" s="5" t="s">
        <v>192</v>
      </c>
      <c r="B39" s="5" t="str">
        <f>Questions!B8</f>
        <v xml:space="preserve">
What is the low dependency funding level at the effective date of the actuarial valuation? (%)
</v>
      </c>
      <c r="C39" s="568"/>
      <c r="D39" s="347" t="str">
        <f ca="1">'Reconciliation report'!D59</f>
        <v xml:space="preserve">
Enter a percentage value that is equal to or greater than 0.
</v>
      </c>
      <c r="E39" s="59" t="str">
        <f>Guidance!B48</f>
        <v xml:space="preserve">
The low dependency funding level is the scheme assets divided by the liabilities, calculated on a low dependency basis. The answer is expressed as a percentage.
</v>
      </c>
      <c r="F39" s="291"/>
    </row>
    <row r="40" spans="1:7" s="32" customFormat="1" ht="20.149999999999999" customHeight="1" thickBot="1">
      <c r="A40" s="75"/>
      <c r="B40" s="75"/>
      <c r="C40" s="75" t="s">
        <v>23</v>
      </c>
      <c r="D40" s="99"/>
      <c r="E40" s="213"/>
      <c r="F40" s="213"/>
    </row>
    <row r="41" spans="1:7" s="32" customFormat="1" ht="50.15" customHeight="1" thickBot="1">
      <c r="A41" s="750" t="s">
        <v>193</v>
      </c>
      <c r="B41" s="751"/>
      <c r="C41" s="57"/>
      <c r="D41" s="57"/>
      <c r="E41" s="57"/>
      <c r="F41" s="57"/>
    </row>
    <row r="42" spans="1:7" s="47" customFormat="1" ht="36" customHeight="1" thickTop="1" thickBot="1">
      <c r="A42" s="8" t="s">
        <v>89</v>
      </c>
      <c r="B42" s="8" t="s">
        <v>90</v>
      </c>
      <c r="C42" s="8" t="s">
        <v>91</v>
      </c>
      <c r="D42" s="8" t="s">
        <v>92</v>
      </c>
      <c r="E42" s="199" t="s">
        <v>104</v>
      </c>
      <c r="F42" s="199" t="s">
        <v>93</v>
      </c>
      <c r="G42" s="17"/>
    </row>
    <row r="43" spans="1:7" s="35" customFormat="1" ht="78" thickTop="1">
      <c r="A43" s="29" t="s">
        <v>194</v>
      </c>
      <c r="B43" s="29" t="str">
        <f>Questions!B41</f>
        <v xml:space="preserve">
Solvency basis: total scheme assets (£)
</v>
      </c>
      <c r="C43" s="33"/>
      <c r="D43" s="389" t="str">
        <f ca="1">'Reconciliation report'!D61</f>
        <v xml:space="preserve">
Enter a value equal to or greater than 0 and less than 1,000,000,000,000 (1 trillion). It can be accurate to two decimal places.
</v>
      </c>
      <c r="E43" s="288" t="str">
        <f>Guidance!B33</f>
        <v xml:space="preserve">
The market value of scheme assets on a solvency basis as recorded in the valuation report.
</v>
      </c>
      <c r="F43" s="292"/>
    </row>
    <row r="44" spans="1:7" s="35" customFormat="1" ht="77.5">
      <c r="A44" s="29" t="s">
        <v>195</v>
      </c>
      <c r="B44" s="29" t="str">
        <f>Questions!B42</f>
        <v xml:space="preserve">
Solvency basis: active member liabilities (£)
</v>
      </c>
      <c r="C44" s="33"/>
      <c r="D44" s="347" t="str">
        <f ca="1">'Reconciliation report'!D62</f>
        <v xml:space="preserve">
Enter a value equal to or greater than 0 and less than 1,000,000,000,000 (1 trillion). It can be accurate to two decimal places.
</v>
      </c>
      <c r="E44" s="288" t="str">
        <f>Guidance!B34</f>
        <v xml:space="preserve">
The value of the active member liabilities on a solvency basis as recorded in the valuation report.
</v>
      </c>
      <c r="F44" s="292"/>
    </row>
    <row r="45" spans="1:7" s="35" customFormat="1" ht="77.5">
      <c r="A45" s="29" t="s">
        <v>196</v>
      </c>
      <c r="B45" s="29" t="str">
        <f>Questions!B43</f>
        <v xml:space="preserve">
Solvency basis: deferred member liabilities (£)
</v>
      </c>
      <c r="C45" s="33"/>
      <c r="D45" s="347" t="str">
        <f ca="1">'Reconciliation report'!D63</f>
        <v xml:space="preserve">
Enter a value equal to or greater than 0 and less than 1,000,000,000,000 (1 trillion). It can be accurate to two decimal places.
</v>
      </c>
      <c r="E45" s="288" t="str">
        <f>Guidance!B35</f>
        <v xml:space="preserve">
The value of the deferred member liabilities on a solvency basis as recorded in the valuation report.
</v>
      </c>
      <c r="F45" s="292"/>
    </row>
    <row r="46" spans="1:7" s="35" customFormat="1" ht="77.5">
      <c r="A46" s="29" t="s">
        <v>197</v>
      </c>
      <c r="B46" s="29" t="str">
        <f>Questions!B44</f>
        <v xml:space="preserve">
Solvency basis: pensioner member liabilities (£)
</v>
      </c>
      <c r="C46" s="33"/>
      <c r="D46" s="347" t="str">
        <f ca="1">'Reconciliation report'!D64</f>
        <v xml:space="preserve">
Enter a value equal to or greater than 0 and less than 1,000,000,000,000 (1 trillion). It can be accurate to two decimal places.
</v>
      </c>
      <c r="E46" s="288" t="str">
        <f>Guidance!B36</f>
        <v xml:space="preserve">
The value of the pensioner member liabilities on a solvency basis as recorded in the valuation report.
</v>
      </c>
      <c r="F46" s="292"/>
    </row>
    <row r="47" spans="1:7" s="35" customFormat="1" ht="77.5">
      <c r="A47" s="29" t="s">
        <v>198</v>
      </c>
      <c r="B47" s="29" t="str">
        <f>Questions!B45</f>
        <v xml:space="preserve">
Solvency basis: insured member liabilities (£)
</v>
      </c>
      <c r="C47" s="33"/>
      <c r="D47" s="347" t="str">
        <f ca="1">'Reconciliation report'!D65</f>
        <v xml:space="preserve">
Enter a value equal to or greater than 0 and less than 1,000,000,000,000 (1 trillion). It can be accurate to two decimal places.
</v>
      </c>
      <c r="E47" s="288" t="str">
        <f>Guidance!B37</f>
        <v xml:space="preserve">
The value of the insured member liabilities on a solvency basis as recorded in the valuation report.
</v>
      </c>
      <c r="F47" s="292"/>
    </row>
    <row r="48" spans="1:7" s="35" customFormat="1" ht="93" customHeight="1">
      <c r="A48" s="5" t="s">
        <v>199</v>
      </c>
      <c r="B48" s="5" t="str">
        <f>Questions!C46</f>
        <v xml:space="preserve">
Solvency basis: DC liabilities (£)
</v>
      </c>
      <c r="C48" s="33"/>
      <c r="D48" s="347" t="str">
        <f ca="1">'Reconciliation report'!D66</f>
        <v/>
      </c>
      <c r="E48" s="85" t="str">
        <f>Guidance!B38</f>
        <v xml:space="preserve">
The value of the DC liabilities on a solvency basis as recorded in the valuation report.
</v>
      </c>
      <c r="F48" s="48"/>
    </row>
    <row r="49" spans="1:7" s="35" customFormat="1" ht="93">
      <c r="A49" s="5" t="s">
        <v>200</v>
      </c>
      <c r="B49" s="5" t="str">
        <f>Questions!C47</f>
        <v xml:space="preserve">
Solvency basis: cash balance liabilities (£)
</v>
      </c>
      <c r="C49" s="33"/>
      <c r="D49" s="347" t="str">
        <f ca="1">'Reconciliation report'!D67</f>
        <v/>
      </c>
      <c r="E49" s="85" t="str">
        <f>Guidance!B39</f>
        <v xml:space="preserve">
The value of the cash balance liabilities on a solvency basis as recorded in the valuation report. This should include the total of active and deferred cash balance liabilities. Cash balance liabilities should not be included elsewhere.
</v>
      </c>
      <c r="F49" s="48"/>
    </row>
    <row r="50" spans="1:7" s="35" customFormat="1" ht="77.5">
      <c r="A50" s="29" t="s">
        <v>201</v>
      </c>
      <c r="B50" s="29" t="str">
        <f>Questions!B48</f>
        <v xml:space="preserve">
Solvency basis: expense reserve (£)
</v>
      </c>
      <c r="C50" s="33"/>
      <c r="D50" s="347" t="str">
        <f ca="1">'Reconciliation report'!D68</f>
        <v xml:space="preserve">
Enter a value equal to or greater than 0 and less than 1,000,000,000,000 (1 trillion). It can be accurate to two decimal places.
</v>
      </c>
      <c r="E50" s="288" t="str">
        <f>Guidance!B40</f>
        <v xml:space="preserve">
The value of the expense reserve on a solvency basis as recorded in the valuation report.
</v>
      </c>
      <c r="F50" s="292"/>
    </row>
    <row r="51" spans="1:7" s="35" customFormat="1" ht="77.5">
      <c r="A51" s="29" t="s">
        <v>202</v>
      </c>
      <c r="B51" s="29" t="str">
        <f>Questions!B49</f>
        <v xml:space="preserve">
Solvency basis: total liabilities (£)
</v>
      </c>
      <c r="C51" s="33"/>
      <c r="D51" s="347" t="str">
        <f ca="1">'Reconciliation report'!D69</f>
        <v xml:space="preserve">
Enter a value equal to or greater than 0 and less than 1,000,000,000,000 (1 trillion). It can be accurate to two decimal places.
</v>
      </c>
      <c r="E51" s="288" t="str">
        <f>Guidance!B41</f>
        <v xml:space="preserve">
The value of the sum of the liabilities on a solvency basis as recorded in the valuation report.
</v>
      </c>
      <c r="F51" s="466"/>
    </row>
    <row r="52" spans="1:7" ht="93.65" customHeight="1" thickBot="1">
      <c r="A52" s="50" t="s">
        <v>203</v>
      </c>
      <c r="B52" s="50" t="str">
        <f>Questions!B50</f>
        <v xml:space="preserve">
Solvency basis: funding level (%)
</v>
      </c>
      <c r="C52" s="569"/>
      <c r="D52" s="347" t="str">
        <f ca="1">'Reconciliation report'!D70</f>
        <v xml:space="preserve">
Enter a percentage value that is equal to or greater than 0. 
</v>
      </c>
      <c r="E52" s="289" t="str">
        <f>Guidance!B42</f>
        <v xml:space="preserve">
The ratio of assets to total liabilities on a solvency basis.
</v>
      </c>
      <c r="F52" s="293"/>
    </row>
    <row r="53" spans="1:7" s="32" customFormat="1" ht="20.149999999999999" customHeight="1" thickBot="1">
      <c r="A53" s="75"/>
      <c r="B53" s="75"/>
      <c r="C53" s="75" t="s">
        <v>23</v>
      </c>
      <c r="D53" s="99"/>
      <c r="E53" s="213"/>
      <c r="F53" s="213"/>
    </row>
    <row r="54" spans="1:7" s="32" customFormat="1" ht="50.15" customHeight="1" thickBot="1">
      <c r="A54" s="750" t="s">
        <v>204</v>
      </c>
      <c r="B54" s="751"/>
      <c r="C54" s="337"/>
      <c r="D54" s="57"/>
      <c r="E54" s="57"/>
      <c r="F54" s="57"/>
    </row>
    <row r="55" spans="1:7" s="47" customFormat="1" ht="36" customHeight="1" thickTop="1" thickBot="1">
      <c r="A55" s="8" t="s">
        <v>89</v>
      </c>
      <c r="B55" s="8" t="s">
        <v>90</v>
      </c>
      <c r="C55" s="8" t="s">
        <v>91</v>
      </c>
      <c r="D55" s="8" t="s">
        <v>92</v>
      </c>
      <c r="E55" s="199" t="s">
        <v>104</v>
      </c>
      <c r="F55" s="199" t="s">
        <v>93</v>
      </c>
      <c r="G55" s="17"/>
    </row>
    <row r="56" spans="1:7" s="35" customFormat="1" ht="102" customHeight="1" thickTop="1" thickBot="1">
      <c r="A56" s="50" t="s">
        <v>205</v>
      </c>
      <c r="B56" s="50" t="str">
        <f>Questions!B51</f>
        <v xml:space="preserve">
Any additional comments the trustees have in relation to expense reserves (optional)
</v>
      </c>
      <c r="C56" s="488"/>
      <c r="D56" s="347" t="str">
        <f ca="1">'Reconciliation report'!D71</f>
        <v/>
      </c>
      <c r="E56" s="289" t="str">
        <f>Guidance!B43</f>
        <v xml:space="preserve">
Any additional comments the trustees have in relation to expense reserves.
</v>
      </c>
      <c r="F56" s="293"/>
    </row>
    <row r="57" spans="1:7" s="32" customFormat="1" ht="20.149999999999999" customHeight="1" thickBot="1">
      <c r="A57" s="75"/>
      <c r="B57" s="75"/>
      <c r="C57" s="75" t="s">
        <v>23</v>
      </c>
      <c r="D57" s="99"/>
      <c r="E57" s="213"/>
      <c r="F57" s="213"/>
    </row>
    <row r="58" spans="1:7" s="32" customFormat="1" ht="50.15" customHeight="1" thickBot="1">
      <c r="A58" s="750" t="s">
        <v>206</v>
      </c>
      <c r="B58" s="751"/>
      <c r="C58" s="57"/>
      <c r="D58" s="57"/>
      <c r="E58" s="57"/>
      <c r="F58" s="57"/>
    </row>
    <row r="59" spans="1:7" s="47" customFormat="1" ht="36" customHeight="1" thickTop="1" thickBot="1">
      <c r="A59" s="8" t="s">
        <v>89</v>
      </c>
      <c r="B59" s="8" t="s">
        <v>90</v>
      </c>
      <c r="C59" s="8" t="s">
        <v>91</v>
      </c>
      <c r="D59" s="8" t="s">
        <v>92</v>
      </c>
      <c r="E59" s="199" t="s">
        <v>104</v>
      </c>
      <c r="F59" s="199" t="s">
        <v>93</v>
      </c>
      <c r="G59" s="17"/>
    </row>
    <row r="60" spans="1:7" s="35" customFormat="1" ht="62.5" thickTop="1">
      <c r="A60" s="29" t="s">
        <v>207</v>
      </c>
      <c r="B60" s="29" t="str">
        <f>Questions!B52</f>
        <v xml:space="preserve">
What proportion of the liabilities on a low dependency basis are linked to inflation? (%)
</v>
      </c>
      <c r="C60" s="568"/>
      <c r="D60" s="347" t="str">
        <f ca="1">'Reconciliation report'!D72</f>
        <v xml:space="preserve">
Enter a percentage value between 0 and 100.
</v>
      </c>
      <c r="E60" s="103" t="str">
        <f>Guidance!B44</f>
        <v xml:space="preserve">
The proportion of liabilities, on a low dependency basis, which are linked to inflation.
</v>
      </c>
      <c r="F60" s="294"/>
    </row>
    <row r="61" spans="1:7" s="35" customFormat="1" ht="77.5">
      <c r="A61" s="29" t="s">
        <v>208</v>
      </c>
      <c r="B61" s="29" t="str">
        <f>Questions!B53</f>
        <v xml:space="preserve">
What is the assumed change in retail price index (RPI) and consumer price index (CPI) – underpinning the related assumptions – for the inflation rate sensitivity? (Basis points)
</v>
      </c>
      <c r="C61" s="420"/>
      <c r="D61" s="347" t="str">
        <f ca="1">'Reconciliation report'!D73</f>
        <v xml:space="preserve">
Enter a basis point value between -25 and 25.
</v>
      </c>
      <c r="E61" s="5" t="str">
        <f>Guidance!B45</f>
        <v xml:space="preserve">
This is the basis point change used within the sensitivity calculation for the inflation assumption.
</v>
      </c>
      <c r="F61" s="295"/>
    </row>
    <row r="62" spans="1:7" s="35" customFormat="1" ht="78" thickBot="1">
      <c r="A62" s="41" t="s">
        <v>209</v>
      </c>
      <c r="B62" s="50" t="str">
        <f>Questions!B54</f>
        <v xml:space="preserve">
What is the change in the technical provisions liabilities given this inflation sensitivity? (£)
</v>
      </c>
      <c r="C62" s="402"/>
      <c r="D62" s="347" t="str">
        <f ca="1">'Reconciliation report'!D74</f>
        <v xml:space="preserve">
You must enter a number greater than -1,000,000,000,000 (minus 1 trillion) and less than ​1,000,000,000,000 (1 trillion). It can be accurate to two decimal places. 
</v>
      </c>
      <c r="E62" s="23" t="str">
        <f>Guidance!B46</f>
        <v xml:space="preserve">
This is the change (£) amount to the technical provisions as a result of the inflation sensitivity calculation.
</v>
      </c>
      <c r="F62" s="296"/>
    </row>
    <row r="63" spans="1:7" s="20" customFormat="1" ht="20.149999999999999" hidden="1" customHeight="1" thickBot="1">
      <c r="A63" s="75"/>
      <c r="B63" s="75"/>
      <c r="C63" s="75" t="s">
        <v>23</v>
      </c>
      <c r="D63" s="99"/>
      <c r="E63" s="200"/>
      <c r="F63" s="200"/>
      <c r="G63" s="200"/>
    </row>
    <row r="64" spans="1:7" s="20" customFormat="1" ht="50.15" hidden="1" customHeight="1" thickBot="1">
      <c r="A64" s="750" t="s">
        <v>117</v>
      </c>
      <c r="B64" s="751"/>
      <c r="C64" s="57"/>
      <c r="D64" s="57"/>
      <c r="E64" s="57"/>
      <c r="F64" s="57"/>
      <c r="G64" s="57"/>
    </row>
    <row r="65" spans="1:8" s="47" customFormat="1" ht="36" hidden="1" customHeight="1" thickTop="1" thickBot="1">
      <c r="A65" s="752" t="s">
        <v>90</v>
      </c>
      <c r="B65" s="753"/>
      <c r="C65" s="668" t="s">
        <v>91</v>
      </c>
      <c r="D65" s="669"/>
      <c r="E65" s="667"/>
      <c r="F65" s="667"/>
      <c r="G65" s="667"/>
      <c r="H65" s="17"/>
    </row>
    <row r="66" spans="1:8" s="20" customFormat="1" ht="86" hidden="1" customHeight="1" thickTop="1" thickBot="1">
      <c r="A66" s="744" t="s">
        <v>118</v>
      </c>
      <c r="B66" s="754"/>
      <c r="C66" s="683"/>
      <c r="D66" s="62"/>
      <c r="E66" s="667"/>
      <c r="F66" s="667"/>
      <c r="G66" s="196"/>
    </row>
    <row r="67" spans="1:8" s="47" customFormat="1" ht="50.25" customHeight="1">
      <c r="A67" s="439"/>
      <c r="B67" s="255"/>
      <c r="C67" s="439"/>
      <c r="D67" s="439"/>
      <c r="E67" s="439"/>
      <c r="F67" s="439"/>
    </row>
  </sheetData>
  <sheetProtection algorithmName="SHA-512" hashValue="LK7HnbbwWSHZD7nVEg0aFyALr8bvIcafVQ37ZDDpmUAVfI9eMMeRn7mnAskspwIkZKf5l2LXedIDjQFko6z5ww==" saltValue="N7KA7EAfFy3rVlPhweIXMA==" spinCount="100000" sheet="1" objects="1" scenarios="1" sort="0" autoFilter="0"/>
  <mergeCells count="13">
    <mergeCell ref="A64:B64"/>
    <mergeCell ref="A65:B65"/>
    <mergeCell ref="A66:B66"/>
    <mergeCell ref="A28:B28"/>
    <mergeCell ref="A41:B41"/>
    <mergeCell ref="A54:B54"/>
    <mergeCell ref="A58:B58"/>
    <mergeCell ref="A23:B23"/>
    <mergeCell ref="A1:B1"/>
    <mergeCell ref="A2:B2"/>
    <mergeCell ref="A3:B3"/>
    <mergeCell ref="A5:B5"/>
    <mergeCell ref="A10:B10"/>
  </mergeCells>
  <phoneticPr fontId="11" type="noConversion"/>
  <conditionalFormatting sqref="C66">
    <cfRule type="expression" dxfId="737" priority="1">
      <formula>$C$66=""</formula>
    </cfRule>
  </conditionalFormatting>
  <conditionalFormatting sqref="D7:D8 D12:D21 D25:D26 D30:D39 D43:D52 D56 D60:D62">
    <cfRule type="notContainsBlanks" dxfId="734" priority="14">
      <formula>LEN(TRIM(D7))&gt;0</formula>
    </cfRule>
  </conditionalFormatting>
  <dataValidations count="15">
    <dataValidation type="textLength" operator="lessThanOrEqual" allowBlank="1" showInputMessage="1" showErrorMessage="1" errorTitle="There is a problem." error="Your answer must not exceed 4000 characters." promptTitle="Add your answer" prompt="Answer this question in 4000 characters or less." sqref="C56" xr:uid="{C6763116-6930-407E-B0A1-3BA259C4BE25}">
      <formula1>4000</formula1>
    </dataValidation>
    <dataValidation type="custom" operator="equal" allowBlank="1" showInputMessage="1" showErrorMessage="1" errorTitle="There is a problem" error="Enter a value between 0 and 1,000,000,000,000 (1 trillion). It can be accurate to two decimal places. " promptTitle="Enter a value" prompt="Enter a number (£)" sqref="C51" xr:uid="{F377935B-4C4A-4684-92D4-5A928F240D93}">
      <formula1>AND(C51=SUM(C44:C50), ISNUMBER(VALUE(C51)), VALUE(C51)&gt;=0, VALUE(C51)&lt;=999999999999.99, IF(ISERROR(FIND(".", C51)), VALUE(C51)=INT(VALUE(C51)), LEN(C51)-FIND(".", C51)&lt;=2))</formula1>
    </dataValidation>
    <dataValidation type="custom" allowBlank="1" showInputMessage="1" showErrorMessage="1" errorTitle="There is a problem" error="You must enter a number greater than or equal to 0.00 and less than 1,000,000,000,000 (1 trillion) with up to two decimal places." promptTitle="Enter a value" prompt="Enter a number (£)" sqref="C26 C43:C50 C30:C36 C12:C19" xr:uid="{7176B06D-BA2D-4AD7-83D1-C046B75D67FC}">
      <formula1>AND(ISNUMBER(VALUE(C12)), VALUE(C12)&gt;=0, VALUE(C12)&lt;=999999999999.99, IF(ISERROR(FIND(".", C12)), VALUE(C12)=INT(VALUE(C12)), LEN(C12)-FIND(".", C12)&lt;=2))</formula1>
    </dataValidation>
    <dataValidation type="decimal" operator="greaterThanOrEqual" allowBlank="1" showInputMessage="1" showErrorMessage="1" errorTitle="There is a problem" error="You must enter a percentage value equal to or greater than 0 with up to two decimal places." promptTitle="Enter a percentage" prompt="Enter a percentage value" sqref="C21 C39" xr:uid="{4CADFAC9-4A1F-4A56-AB30-83EC66004A89}">
      <formula1>0</formula1>
    </dataValidation>
    <dataValidation type="custom" allowBlank="1" showInputMessage="1" showErrorMessage="1" errorTitle="There is a problem" error="Enter a percentage greater than or equal to 0." promptTitle="Enter a value" prompt="Enter a number (%)" sqref="C21" xr:uid="{1096EC45-2451-43EF-BC3E-9EA97E3A7232}">
      <formula1>AND(ISNUMBER(VALUE(C21)), VALUE(C21)&gt;=0, IF(ISERROR(FIND(".", C21)), VALUE(C21)=INT(VALUE(C21)), LEN(C21)-FIND(".", C21)&lt;=2))</formula1>
    </dataValidation>
    <dataValidation type="decimal" operator="greaterThanOrEqual" allowBlank="1" showInputMessage="1" showErrorMessage="1" errorTitle="There is a problem" error="You must enter a percentage value greater than or equal to 0 with up to two decimal places." promptTitle="Enter a percentage" prompt="Enter a percentage value" sqref="C52" xr:uid="{013D9E10-E3EE-4C12-8C02-7781ED4B693D}">
      <formula1>0</formula1>
    </dataValidation>
    <dataValidation type="custom" operator="equal" showInputMessage="1" showErrorMessage="1" errorTitle="There is a problem" error="You must enter a number greater than or equal to 0.00 and less than 1,000,000,000,000 (1 trillion) with up to two decimal places." promptTitle="Enter a value" prompt="Enter a number (£)" sqref="C20" xr:uid="{82265413-BDC8-41F5-9275-B8F8C77D412D}">
      <formula1>AND(C20=SUM(C13:C19), ISNUMBER(VALUE(C20)), VALUE(C20)&gt;=0, VALUE(C20)&lt;=999999999999.99, IF(ISERROR(FIND(".", C20)), VALUE(C20)=INT(VALUE(C20)), LEN(C20)-FIND(".", C20)&lt;=2))</formula1>
    </dataValidation>
    <dataValidation allowBlank="1" showInputMessage="1" showErrorMessage="1" errorTitle="There is a problem" sqref="E4 E9" xr:uid="{55F114CF-00B7-41A1-A465-6FA54816852C}"/>
    <dataValidation type="custom" allowBlank="1" showInputMessage="1" showErrorMessage="1" errorTitle="There is a problem" error="You must enter a number greater than - 1,000,000,000,000 (minus 1 trillion) and less than ​1,000,000,000,000 (1 trillion). It can be accurate to two decimal places. " promptTitle="Enter a value" prompt="Enter a number (£)" sqref="C62" xr:uid="{C348C1A7-293C-4573-84B0-4B6697638E50}">
      <formula1>AND(ISNUMBER(VALUE(C62)), VALUE(C62)&gt;=-999999999999.99, VALUE(C62)&lt;=999999999999.99, IF(ISERROR(FIND(".", C62)), VALUE(C62)=INT(VALUE(C62)), LEN(C62)-FIND(".", C62)&lt;=2))</formula1>
    </dataValidation>
    <dataValidation type="custom" operator="equal" allowBlank="1" showInputMessage="1" showErrorMessage="1" errorTitle="There is a problem" error="The amount entered must be greater than or equal to 0 and less than 1 trillion and match the sum of the amounts entered for the low dependency liabilities and expenses categories." promptTitle="Enter a value" prompt="Enter a number (£)" sqref="C38" xr:uid="{3653F7B3-B2E1-4B1A-A1C9-610B4643F0C3}">
      <formula1>AND(C38=SUM(C31:C37), ISNUMBER(VALUE(C38)), VALUE(C38)&gt;=0, VALUE(C38)&lt;=999999999999.99, IF(ISERROR(FIND(".", C38)), VALUE(C38)=INT(VALUE(C38)), LEN(C38)-FIND(".", C38)&lt;=2))</formula1>
    </dataValidation>
    <dataValidation type="custom" operator="equal" allowBlank="1" showInputMessage="1" showErrorMessage="1" errorTitle="There is a problem" error="You must enter a number greater than or equal to 0.00 and less than 1,000,000,000,000 (1 trillion) with up to two decimal places." promptTitle="Enter a value" prompt="Enter a number (£)" sqref="C37" xr:uid="{8AD205C7-3BF1-473C-A296-618EB8BB451B}">
      <formula1>AND(ISNUMBER(VALUE(C37)), VALUE(C37)&gt;=0, VALUE(C37)&lt;=999999999999.99, IF(ISERROR(FIND(".", C37)), VALUE(C37)=INT(VALUE(C37)), LEN(C37)-FIND(".", C37)&lt;=2))</formula1>
    </dataValidation>
    <dataValidation type="custom" allowBlank="1" showInputMessage="1" showErrorMessage="1" errorTitle="There is a problem" error="You must enter a percentage value between 0 and 100." promptTitle="Enter a value" prompt="Enter a percentage value" sqref="C60" xr:uid="{FE6788E6-3C76-4E9B-A708-9DDBB22007A2}">
      <formula1>AND(VALUE(C60)&gt;=0,VALUE(C60)&lt;=1)</formula1>
    </dataValidation>
    <dataValidation type="decimal" operator="greaterThanOrEqual" allowBlank="1" showInputMessage="1" showErrorMessage="1" errorTitle="There is a problem" error="You must enter a percentage value equal to or greater than 0 with up to 2 decimal places." promptTitle="Enter a percentage" prompt="Enter a percentage value" sqref="C25" xr:uid="{3FCCAE90-9CB1-4A63-A984-24EAFFFC24EB}">
      <formula1>0</formula1>
    </dataValidation>
    <dataValidation type="decimal" operator="greaterThanOrEqual" allowBlank="1" showInputMessage="1" showErrorMessage="1" errorTitle="There is a problem" error="You must enter a percentage value equal to or greater than 0 with up to 2 decimal places." sqref="C25" xr:uid="{55CDE97F-7147-4BF1-AA81-7DFAFCCE0DE0}">
      <formula1>0</formula1>
    </dataValidation>
    <dataValidation allowBlank="1" showInputMessage="1" showErrorMessage="1" error="Select from the list." sqref="C67" xr:uid="{124F1FD2-1D0A-4E24-AC9D-7C9BFB05334B}"/>
  </dataValidations>
  <pageMargins left="0.70000000000000007" right="0.70000000000000007" top="0.75" bottom="0.75" header="0.30000000000000004" footer="0.30000000000000004"/>
  <pageSetup paperSize="9" fitToWidth="0"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582" id="{BF98D5C1-FAAB-48D5-8AE9-C4F31B8C78A9}">
            <xm:f>SEARCH(RefData!$B$2,$B17)</xm:f>
            <x14:dxf>
              <font>
                <color rgb="FF5F5F5F"/>
              </font>
              <fill>
                <patternFill>
                  <bgColor theme="0" tint="-0.14996795556505021"/>
                </patternFill>
              </fill>
            </x14:dxf>
          </x14:cfRule>
          <xm:sqref>A17:F18 A25:F26 A35:F36 A48:F49</xm:sqref>
        </x14:conditionalFormatting>
        <x14:conditionalFormatting xmlns:xm="http://schemas.microsoft.com/office/excel/2006/main">
          <x14:cfRule type="expression" priority="2" id="{404ECDDC-C44E-4713-89AF-B3422B511B0D}">
            <xm:f>$C$66=RefData!$B$433</xm:f>
            <x14:dxf>
              <fill>
                <patternFill>
                  <bgColor rgb="FFEFF5FA"/>
                </patternFill>
              </fill>
            </x14:dxf>
          </x14:cfRule>
          <x14:cfRule type="expression" priority="3" id="{5FACAB09-3EBD-4321-9C6D-79C599B6977D}">
            <xm:f>$C$66=RefData!$B$434</xm:f>
            <x14:dxf>
              <fill>
                <patternFill>
                  <bgColor rgb="FFEFF5FA"/>
                </patternFill>
              </fill>
            </x14:dxf>
          </x14:cfRule>
          <xm:sqref>C66</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errorTitle="There is a problem" error="You must select 'Yes' or 'No' from the dropdown list." promptTitle="Select an answer" prompt="Choose from the list provided." xr:uid="{B05263BD-4DF3-4E54-992B-BD35C329957F}">
          <x14:formula1>
            <xm:f>RefData!$B$19:$B$20</xm:f>
          </x14:formula1>
          <xm:sqref>C7</xm:sqref>
        </x14:dataValidation>
        <x14:dataValidation type="list" allowBlank="1" showInputMessage="1" showErrorMessage="1" errorTitle="There is a problem" error="You must select 'Yes' or 'No' from the dropdown list._x000a__x000a_Select ‘Yes’ if the scheme valuation does include any cash balance liabilities or ‘No’ if it is does not." promptTitle="Select an answer" prompt="Choose from the list provided." xr:uid="{A3E2EA60-A51A-4E7F-BA81-B8A964EF6BE3}">
          <x14:formula1>
            <xm:f>RefData!$B$21:$B$22</xm:f>
          </x14:formula1>
          <xm:sqref>C8</xm:sqref>
        </x14:dataValidation>
        <x14:dataValidation type="list" allowBlank="1" showInputMessage="1" showErrorMessage="1" xr:uid="{686087C1-54C5-4BB3-BBA3-D6D899A4666F}">
          <x14:formula1>
            <xm:f>RefData!$B$433:$B$435</xm:f>
          </x14:formula1>
          <xm:sqref>C66</xm:sqref>
        </x14:dataValidation>
        <x14:dataValidation type="custom" allowBlank="1" showInputMessage="1" showErrorMessage="1" errorTitle="There is a problem" error="You must enter a basis point number between -25 and 25." promptTitle="Enter a value" prompt="Enter a number" xr:uid="{18057F4E-4A24-4872-AF91-BB3A9AA2097B}">
          <x14:formula1>
            <xm:f>NOT($D61=ErrorMsgs!C73)</xm:f>
          </x14:formula1>
          <xm:sqref>C61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D5E88-0ABE-45F1-8AC2-85A7CDFC4FDB}">
  <sheetPr codeName="Sheet8"/>
  <dimension ref="A1:XFC18"/>
  <sheetViews>
    <sheetView zoomScaleNormal="100" workbookViewId="0">
      <selection sqref="A1:B1"/>
    </sheetView>
  </sheetViews>
  <sheetFormatPr defaultColWidth="0" defaultRowHeight="0" customHeight="1" zeroHeight="1"/>
  <cols>
    <col min="1" max="1" width="15.53515625" style="20" customWidth="1"/>
    <col min="2" max="2" width="50" style="20" customWidth="1"/>
    <col min="3" max="3" width="40.4609375" style="20" customWidth="1"/>
    <col min="4" max="6" width="62.69140625" style="20" customWidth="1"/>
    <col min="7" max="104" width="11.69140625" style="20" hidden="1" customWidth="1"/>
    <col min="105" max="105" width="2.69140625" style="20" hidden="1" customWidth="1"/>
    <col min="106" max="16381" width="11.69140625" style="20" hidden="1"/>
    <col min="16382" max="16383" width="0" style="20" hidden="1"/>
    <col min="16384" max="16384" width="11.69140625" style="20" hidden="1"/>
  </cols>
  <sheetData>
    <row r="1" spans="1:103" ht="50.15" customHeight="1" thickBot="1">
      <c r="A1" s="747" t="s">
        <v>210</v>
      </c>
      <c r="B1" s="786"/>
      <c r="C1" s="37"/>
      <c r="D1" s="37"/>
      <c r="E1" s="37"/>
      <c r="F1" s="37"/>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row>
    <row r="2" spans="1:103" ht="50.15" customHeight="1" thickTop="1" thickBot="1">
      <c r="A2" s="742" t="s">
        <v>85</v>
      </c>
      <c r="B2" s="743"/>
      <c r="C2" s="57"/>
      <c r="D2" s="57"/>
      <c r="E2" s="57"/>
      <c r="F2" s="57"/>
    </row>
    <row r="3" spans="1:103" ht="329.75" customHeight="1" thickTop="1" thickBot="1">
      <c r="A3" s="765" t="s">
        <v>211</v>
      </c>
      <c r="B3" s="787"/>
      <c r="C3" s="25"/>
      <c r="D3" s="26"/>
      <c r="E3" s="26"/>
      <c r="F3" s="26"/>
    </row>
    <row r="4" spans="1:103" ht="20.149999999999999" customHeight="1" thickBot="1">
      <c r="A4" s="75"/>
      <c r="B4" s="69"/>
      <c r="C4" s="75" t="s">
        <v>23</v>
      </c>
      <c r="D4" s="69"/>
      <c r="E4" s="69"/>
      <c r="F4" s="69"/>
    </row>
    <row r="5" spans="1:103" s="47" customFormat="1" ht="36" customHeight="1" thickBot="1">
      <c r="A5" s="8" t="s">
        <v>89</v>
      </c>
      <c r="B5" s="8" t="s">
        <v>90</v>
      </c>
      <c r="C5" s="8" t="s">
        <v>91</v>
      </c>
      <c r="D5" s="8" t="s">
        <v>92</v>
      </c>
      <c r="E5" s="199" t="s">
        <v>104</v>
      </c>
      <c r="F5" s="199" t="s">
        <v>93</v>
      </c>
      <c r="G5" s="17"/>
    </row>
    <row r="6" spans="1:103" ht="93.5" thickTop="1">
      <c r="A6" s="5" t="s">
        <v>212</v>
      </c>
      <c r="B6" s="5" t="str">
        <f>Questions!C97</f>
        <v xml:space="preserve">
Recovery plan commencement date
</v>
      </c>
      <c r="C6" s="425"/>
      <c r="D6" s="350" t="str">
        <f ca="1">'Reconciliation report'!D75</f>
        <v/>
      </c>
      <c r="E6" s="212" t="str">
        <f>Guidance!B53</f>
        <v xml:space="preserve">
We will ask this question if you have indicated that your scheme is in deficit.
The date the recovery plan starts.
</v>
      </c>
      <c r="F6" s="335"/>
    </row>
    <row r="7" spans="1:103" ht="93">
      <c r="A7" s="5" t="s">
        <v>213</v>
      </c>
      <c r="B7" s="5" t="str">
        <f>Questions!C98</f>
        <v xml:space="preserve">
Recovery plan end date
</v>
      </c>
      <c r="C7" s="425"/>
      <c r="D7" s="350" t="str">
        <f ca="1">'Reconciliation report'!D76</f>
        <v/>
      </c>
      <c r="E7" s="212" t="str">
        <f>Guidance!B54</f>
        <v xml:space="preserve">
We will ask this question if you have indicated that your scheme is in deficit.
The date that the recovery plan is expected to end.
</v>
      </c>
      <c r="F7" s="392"/>
    </row>
    <row r="8" spans="1:103" ht="109" thickBot="1">
      <c r="A8" s="5" t="s">
        <v>214</v>
      </c>
      <c r="B8" s="5" t="str">
        <f>Questions!C99</f>
        <v xml:space="preserve">
What is the technical provision deficit at the valuation date? (£)
</v>
      </c>
      <c r="C8" s="33"/>
      <c r="D8" s="350" t="str">
        <f ca="1">'Reconciliation report'!D77</f>
        <v/>
      </c>
      <c r="E8" s="212" t="str">
        <f>Guidance!B55</f>
        <v xml:space="preserve">
We will ask this question if you have indicated that your scheme is in deficit.
This will be the TP liabilities at the date of valuation minus the TP assets at the date of valuation.
</v>
      </c>
      <c r="F8" s="297"/>
    </row>
    <row r="9" spans="1:103" ht="93.65" customHeight="1" thickBot="1">
      <c r="A9" s="5" t="s">
        <v>215</v>
      </c>
      <c r="B9" s="5" t="str">
        <f>Questions!C100</f>
        <v xml:space="preserve">
Is the assumed expected return on assets for the purposes of the recovery plan expressed as a nominal value or as a margin over gilts?
</v>
      </c>
      <c r="C9" s="343"/>
      <c r="D9" s="350" t="str">
        <f ca="1">'Reconciliation report'!D78</f>
        <v/>
      </c>
      <c r="E9" s="212" t="str">
        <f>Guidance!B56</f>
        <v xml:space="preserve">
We'll need to know the answer to this question for the purposes of asking for the right information.
</v>
      </c>
      <c r="F9" s="297"/>
    </row>
    <row r="10" spans="1:103" ht="77.75" customHeight="1">
      <c r="A10" s="5" t="s">
        <v>217</v>
      </c>
      <c r="B10" s="5" t="str">
        <f>Questions!C101</f>
        <v xml:space="preserve">
What is the assumed investment return over recovery plan expressed as a margin over gilts? (%)
</v>
      </c>
      <c r="C10" s="549"/>
      <c r="D10" s="350" t="str">
        <f ca="1">'Reconciliation report'!D79</f>
        <v/>
      </c>
      <c r="E10" s="212" t="str">
        <f>Guidance!B57</f>
        <v xml:space="preserve">
The overall assumed investment return expected over the recovery plan period, expressed as a margin over gilts.
</v>
      </c>
      <c r="F10" s="297"/>
    </row>
    <row r="11" spans="1:103" ht="78" customHeight="1" thickBot="1">
      <c r="A11" s="5" t="s">
        <v>218</v>
      </c>
      <c r="B11" s="5" t="str">
        <f>Questions!C102</f>
        <v xml:space="preserve">
What is the assumed investment return over recovery plan expressed as a nominal value? (%)
</v>
      </c>
      <c r="C11" s="549"/>
      <c r="D11" s="350" t="str">
        <f ca="1">'Reconciliation report'!D80</f>
        <v/>
      </c>
      <c r="E11" s="212" t="str">
        <f>Guidance!B58</f>
        <v xml:space="preserve">
The overall assumed investment return expected over the recovery plan period, expressed as a nominal value.
</v>
      </c>
      <c r="F11" s="297"/>
    </row>
    <row r="12" spans="1:103" ht="62.5" thickBot="1">
      <c r="A12" s="5" t="s">
        <v>219</v>
      </c>
      <c r="B12" s="5" t="str">
        <f>Questions!C103</f>
        <v xml:space="preserve">
Has any allowance been made for post-valuation experience?
</v>
      </c>
      <c r="C12" s="343"/>
      <c r="D12" s="350" t="str">
        <f ca="1">'Reconciliation report'!D81</f>
        <v/>
      </c>
      <c r="E12" s="212" t="str">
        <f>Guidance!B59</f>
        <v xml:space="preserve">
Whether allowance has been made for post-valuation experience when determining the recovery plan.
</v>
      </c>
      <c r="F12" s="297"/>
    </row>
    <row r="13" spans="1:103" ht="78" thickBot="1">
      <c r="A13" s="34" t="s">
        <v>221</v>
      </c>
      <c r="B13" s="34" t="str">
        <f>Questions!C104</f>
        <v xml:space="preserve">
What is the estimated technical provisions deficit used for recovery plan purposes? (£)
</v>
      </c>
      <c r="C13" s="402"/>
      <c r="D13" s="352" t="str">
        <f ca="1">'Reconciliation report'!D82</f>
        <v/>
      </c>
      <c r="E13" s="132" t="str">
        <f>Guidance!B60</f>
        <v xml:space="preserve">
Where the trustees have made allowance for post-valuation experience, the technical provisions deficit allowed for when determining the recovery plan and certifying the schedule of contributions.
</v>
      </c>
      <c r="F13" s="224"/>
    </row>
    <row r="14" spans="1:103" ht="20.149999999999999" hidden="1" customHeight="1" thickBot="1">
      <c r="A14" s="75"/>
      <c r="B14" s="75"/>
      <c r="C14" s="75" t="s">
        <v>23</v>
      </c>
      <c r="D14" s="99"/>
      <c r="E14" s="200"/>
      <c r="F14" s="200"/>
      <c r="G14" s="200"/>
    </row>
    <row r="15" spans="1:103" ht="50.15" hidden="1" customHeight="1" thickBot="1">
      <c r="A15" s="750" t="s">
        <v>117</v>
      </c>
      <c r="B15" s="751"/>
      <c r="C15" s="57"/>
      <c r="D15" s="57"/>
      <c r="E15" s="57"/>
      <c r="F15" s="57"/>
      <c r="G15" s="57"/>
    </row>
    <row r="16" spans="1:103" s="47" customFormat="1" ht="36" hidden="1" customHeight="1" thickTop="1" thickBot="1">
      <c r="A16" s="752" t="s">
        <v>90</v>
      </c>
      <c r="B16" s="753"/>
      <c r="C16" s="668" t="s">
        <v>91</v>
      </c>
      <c r="D16" s="669"/>
      <c r="E16" s="667"/>
      <c r="F16" s="667"/>
      <c r="G16" s="667"/>
      <c r="H16" s="17"/>
    </row>
    <row r="17" spans="1:7" ht="86" hidden="1" customHeight="1" thickTop="1" thickBot="1">
      <c r="A17" s="744" t="s">
        <v>118</v>
      </c>
      <c r="B17" s="754"/>
      <c r="C17" s="683"/>
      <c r="D17" s="62"/>
      <c r="E17" s="667"/>
      <c r="F17" s="667"/>
      <c r="G17" s="196"/>
    </row>
    <row r="18" spans="1:7" s="47" customFormat="1" ht="50.25" customHeight="1">
      <c r="A18" s="439"/>
      <c r="B18" s="255"/>
      <c r="C18" s="439"/>
      <c r="D18" s="439"/>
      <c r="E18" s="439"/>
      <c r="F18" s="439"/>
    </row>
  </sheetData>
  <sheetProtection algorithmName="SHA-512" hashValue="YRQiCAjPi0Dk3FLmmN5F4Yl/ChX4gBnw3TbUechpRcFELJuOc44iEx9RMMhP17+AICkTDSgAPA5WGeJwxYiscA==" saltValue="fd5mRpnX0TJZNe8CbXAO0g==" spinCount="100000" sheet="1" objects="1" scenarios="1" sort="0" autoFilter="0"/>
  <mergeCells count="6">
    <mergeCell ref="A17:B17"/>
    <mergeCell ref="A1:B1"/>
    <mergeCell ref="A2:B2"/>
    <mergeCell ref="A3:B3"/>
    <mergeCell ref="A15:B15"/>
    <mergeCell ref="A16:B16"/>
  </mergeCells>
  <conditionalFormatting sqref="C17">
    <cfRule type="expression" dxfId="725" priority="1">
      <formula>$C$17=""</formula>
    </cfRule>
  </conditionalFormatting>
  <conditionalFormatting sqref="D6:D13">
    <cfRule type="notContainsBlanks" dxfId="722" priority="4">
      <formula>LEN(TRIM(D6))&gt;0</formula>
    </cfRule>
  </conditionalFormatting>
  <dataValidations count="8">
    <dataValidation type="custom" allowBlank="1" showInputMessage="1" showErrorMessage="1" errorTitle="There is a problem" error="Enter the recovery plan commencement date in the the format dd/mm/yyyy. For example, 31/10/2024." promptTitle="Enter a date" prompt="Enter a date (dd/mm/yyyy)" sqref="C7" xr:uid="{6644709E-2AEE-4747-8B99-D6CB669E7CD0}">
      <formula1>AND(ISNUMBER(C7),C6+(25*365.25)&gt;=C7,C7&gt;=C6)</formula1>
    </dataValidation>
    <dataValidation type="custom" allowBlank="1" showInputMessage="1" showErrorMessage="1" errorTitle="There is a problem" error="You must enter a number greater than or equal to 0.00 and less than 1,000,000,000,000 (1 trillion) with up to two decimal places." promptTitle="Enter a value" prompt="Enter a number (£)" sqref="C8" xr:uid="{FAEB0491-E113-44B6-B88C-3C4C93FDEDF1}">
      <formula1>AND(ISNUMBER(VALUE(C8)), VALUE(C8)&gt;=0, VALUE(C8)&lt;=999999999999.99, IF(ISERROR(FIND(".", C8)), VALUE(C8)=INT(VALUE(C8)), LEN(C8)-FIND(".", C8)&lt;=2))</formula1>
    </dataValidation>
    <dataValidation type="decimal" allowBlank="1" showInputMessage="1" showErrorMessage="1" errorTitle="There is a problem" error="You must enter a number between 0 and 100." promptTitle="Enter a number" prompt="Enter a percentage value" sqref="C10" xr:uid="{9674A6AA-CB02-4C6F-87D3-54E3FB0E00A8}">
      <formula1>0</formula1>
      <formula2>1</formula2>
    </dataValidation>
    <dataValidation type="decimal" allowBlank="1" showInputMessage="1" showErrorMessage="1" errorTitle="There is a problem" error="You must enter a number between 0 and 100." promptTitle="Select an answer" prompt="Enter a percentage value" sqref="C11" xr:uid="{C6961E9C-AEF2-4D9C-BA70-A423B4CE704C}">
      <formula1>0</formula1>
      <formula2>1</formula2>
    </dataValidation>
    <dataValidation allowBlank="1" showInputMessage="1" showErrorMessage="1" errorTitle="There is a problem" sqref="E4" xr:uid="{944B3F6C-6DDD-4135-9481-69A5EC1DFF47}"/>
    <dataValidation type="custom" allowBlank="1" showInputMessage="1" showErrorMessage="1" errorTitle="There is a problem" error="Enter the recovery plan commencement date in the the format dd/mm/yyyy. For example, 31/10/2024." promptTitle="Enter a date" prompt="Enter a date (dd/mm/yyyy)" sqref="C6" xr:uid="{47943868-6879-4904-B271-C1E9603A5C50}">
      <formula1>AND(ISNUMBER(C6),C6&lt;=C7)</formula1>
    </dataValidation>
    <dataValidation type="custom" allowBlank="1" showInputMessage="1" showErrorMessage="1" errorTitle="There is a problem" error="You must enter a number greater than - 1,000,000,000,000 (minus 1 trillion) and less than ​1,000,000,000,000 (1 trillion). It can be accurate to two decimal places." promptTitle="Enter a value" prompt="Enter a number (£)" sqref="C13" xr:uid="{318BD6B5-2084-49BB-A789-8A5415B35B51}">
      <formula1>AND(ISNUMBER(VALUE(C13)), VALUE(C13)&gt;=-999999999999.99, VALUE(C13)&lt;=999999999999.99, IF(ISERROR(FIND(".", C13)), VALUE(C13)=INT(VALUE(C13)), LEN(C13)-FIND(".", C13)&lt;=2))</formula1>
    </dataValidation>
    <dataValidation allowBlank="1" showInputMessage="1" showErrorMessage="1" error="Select from the list." sqref="C18" xr:uid="{60A585EC-9BF9-430F-957D-B09EA0DFCAA5}"/>
  </dataValidations>
  <pageMargins left="0.70000000000000007" right="0.70000000000000007" top="0.75" bottom="0.75" header="0.30000000000000004" footer="0.30000000000000004"/>
  <pageSetup paperSize="9" fitToWidth="0"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583" id="{58341021-3E22-4958-B31B-E1B6CC6FBCC9}">
            <xm:f>SEARCH(RefData!$B$2,$B$6)</xm:f>
            <x14:dxf>
              <font>
                <color rgb="FF5F5F5F"/>
              </font>
              <fill>
                <patternFill>
                  <bgColor theme="0" tint="-0.14996795556505021"/>
                </patternFill>
              </fill>
            </x14:dxf>
          </x14:cfRule>
          <xm:sqref>A6:F6</xm:sqref>
        </x14:conditionalFormatting>
        <x14:conditionalFormatting xmlns:xm="http://schemas.microsoft.com/office/excel/2006/main">
          <x14:cfRule type="expression" priority="584" id="{B64C364F-F3B4-4F23-9F5A-7BDC2A372BBD}">
            <xm:f>SEARCH(RefData!$B$2,$B$7)</xm:f>
            <x14:dxf>
              <font>
                <color rgb="FF5F5F5F"/>
              </font>
              <fill>
                <patternFill>
                  <bgColor theme="0" tint="-0.14996795556505021"/>
                </patternFill>
              </fill>
            </x14:dxf>
          </x14:cfRule>
          <xm:sqref>A7:F7</xm:sqref>
        </x14:conditionalFormatting>
        <x14:conditionalFormatting xmlns:xm="http://schemas.microsoft.com/office/excel/2006/main">
          <x14:cfRule type="expression" priority="585" id="{E64045E5-E6BE-42F9-8F81-0A2035D36E8D}">
            <xm:f>SEARCH(RefData!$B$2,$B$8)</xm:f>
            <x14:dxf>
              <font>
                <color rgb="FF5F5F5F"/>
              </font>
              <fill>
                <patternFill>
                  <bgColor theme="0" tint="-0.14996795556505021"/>
                </patternFill>
              </fill>
            </x14:dxf>
          </x14:cfRule>
          <xm:sqref>A8:F8</xm:sqref>
        </x14:conditionalFormatting>
        <x14:conditionalFormatting xmlns:xm="http://schemas.microsoft.com/office/excel/2006/main">
          <x14:cfRule type="expression" priority="586" id="{44D46C58-A30B-4BF0-8867-168D1E2E5215}">
            <xm:f>SEARCH(RefData!$B$2,$B$9)</xm:f>
            <x14:dxf>
              <font>
                <color rgb="FF5F5F5F"/>
              </font>
              <fill>
                <patternFill>
                  <bgColor theme="0" tint="-0.14996795556505021"/>
                </patternFill>
              </fill>
            </x14:dxf>
          </x14:cfRule>
          <xm:sqref>A9:F9</xm:sqref>
        </x14:conditionalFormatting>
        <x14:conditionalFormatting xmlns:xm="http://schemas.microsoft.com/office/excel/2006/main">
          <x14:cfRule type="expression" priority="587" id="{495F8861-2612-4E83-BEF9-0191E2440BB0}">
            <xm:f>SEARCH(RefData!$B$2,$B$10)</xm:f>
            <x14:dxf>
              <font>
                <color rgb="FF5F5F5F"/>
              </font>
              <fill>
                <patternFill>
                  <bgColor theme="0" tint="-0.14996795556505021"/>
                </patternFill>
              </fill>
            </x14:dxf>
          </x14:cfRule>
          <xm:sqref>A10:F10</xm:sqref>
        </x14:conditionalFormatting>
        <x14:conditionalFormatting xmlns:xm="http://schemas.microsoft.com/office/excel/2006/main">
          <x14:cfRule type="expression" priority="588" id="{80C4D65F-CF8D-47D6-8035-B63DD9C77D60}">
            <xm:f>SEARCH(RefData!$B$2,$B$11)</xm:f>
            <x14:dxf>
              <font>
                <color rgb="FF5F5F5F"/>
              </font>
              <fill>
                <patternFill>
                  <bgColor theme="0" tint="-0.14996795556505021"/>
                </patternFill>
              </fill>
            </x14:dxf>
          </x14:cfRule>
          <xm:sqref>A11:F11</xm:sqref>
        </x14:conditionalFormatting>
        <x14:conditionalFormatting xmlns:xm="http://schemas.microsoft.com/office/excel/2006/main">
          <x14:cfRule type="expression" priority="589" id="{DD5CE6CE-AC7F-4640-B788-715315572F5F}">
            <xm:f>SEARCH(RefData!$B$2,$B$12)</xm:f>
            <x14:dxf>
              <font>
                <color rgb="FF5F5F5F"/>
              </font>
              <fill>
                <patternFill>
                  <bgColor theme="0" tint="-0.14996795556505021"/>
                </patternFill>
              </fill>
            </x14:dxf>
          </x14:cfRule>
          <xm:sqref>A12:F12</xm:sqref>
        </x14:conditionalFormatting>
        <x14:conditionalFormatting xmlns:xm="http://schemas.microsoft.com/office/excel/2006/main">
          <x14:cfRule type="expression" priority="590" id="{61F1DBBF-9775-41CE-9DF9-04956B3505F3}">
            <xm:f>SEARCH(RefData!$B$2,$B$13)</xm:f>
            <x14:dxf>
              <font>
                <color rgb="FF5F5F5F"/>
              </font>
              <fill>
                <patternFill>
                  <bgColor theme="0" tint="-0.14996795556505021"/>
                </patternFill>
              </fill>
            </x14:dxf>
          </x14:cfRule>
          <xm:sqref>A13:F13</xm:sqref>
        </x14:conditionalFormatting>
        <x14:conditionalFormatting xmlns:xm="http://schemas.microsoft.com/office/excel/2006/main">
          <x14:cfRule type="expression" priority="2" id="{E68E5A12-64B1-43A5-A992-45CF54E8B536}">
            <xm:f>$C$17=RefData!$B$433</xm:f>
            <x14:dxf>
              <fill>
                <patternFill>
                  <bgColor rgb="FFEFF5FA"/>
                </patternFill>
              </fill>
            </x14:dxf>
          </x14:cfRule>
          <x14:cfRule type="expression" priority="3" id="{AE156DAE-04CF-49E2-B3D9-F88798C6FD02}">
            <xm:f>$C$17=RefData!$B$434</xm:f>
            <x14:dxf>
              <fill>
                <patternFill>
                  <bgColor rgb="FFEFF5FA"/>
                </patternFill>
              </fill>
            </x14:dxf>
          </x14:cfRule>
          <xm:sqref>C17</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errorTitle="There is a problem" error="You must select your answer from the drop-down list." promptTitle="Select an answer" prompt="Choose from the list provided." xr:uid="{8293C17D-1992-4FD6-BB9A-3C4F4FA4EBB5}">
          <x14:formula1>
            <xm:f>RefData!$B$29:$B$30</xm:f>
          </x14:formula1>
          <xm:sqref>C9</xm:sqref>
        </x14:dataValidation>
        <x14:dataValidation type="list" allowBlank="1" showInputMessage="1" showErrorMessage="1" errorTitle="There is a problem" error="You must select 'Yes' or 'No' from the dropdown list." promptTitle="Select an answer" prompt="Choose from the list provided." xr:uid="{12C2D561-BDE3-4253-A6B7-379ED5C95BA2}">
          <x14:formula1>
            <xm:f>RefData!$B$31:$B$32</xm:f>
          </x14:formula1>
          <xm:sqref>C12</xm:sqref>
        </x14:dataValidation>
        <x14:dataValidation type="list" allowBlank="1" showInputMessage="1" showErrorMessage="1" xr:uid="{D746F717-4DF5-4925-8E06-7C5418B86C20}">
          <x14:formula1>
            <xm:f>RefData!$B$433:$B$435</xm:f>
          </x14:formula1>
          <xm:sqref>C17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7391B-D12B-4900-B986-5546E2D089F8}">
  <sheetPr codeName="Sheet9"/>
  <dimension ref="A1:J32"/>
  <sheetViews>
    <sheetView zoomScaleNormal="100" workbookViewId="0">
      <selection sqref="A1:B1"/>
    </sheetView>
  </sheetViews>
  <sheetFormatPr defaultColWidth="0" defaultRowHeight="0" customHeight="1" zeroHeight="1"/>
  <cols>
    <col min="1" max="1" width="17.4609375" style="256" customWidth="1"/>
    <col min="2" max="2" width="56.69140625" style="20" customWidth="1"/>
    <col min="3" max="3" width="47.07421875" style="20" customWidth="1"/>
    <col min="4" max="4" width="51.69140625" style="20" customWidth="1"/>
    <col min="5" max="5" width="25.69140625" style="20" customWidth="1"/>
    <col min="6" max="8" width="7.69140625" style="20" hidden="1" customWidth="1"/>
    <col min="9" max="10" width="0" style="20" hidden="1" customWidth="1"/>
    <col min="11" max="16384" width="7.69140625" style="20" hidden="1"/>
  </cols>
  <sheetData>
    <row r="1" spans="1:6" ht="50.15" customHeight="1" thickBot="1">
      <c r="A1" s="747" t="s">
        <v>222</v>
      </c>
      <c r="B1" s="788"/>
      <c r="C1" s="37"/>
      <c r="D1" s="13"/>
    </row>
    <row r="2" spans="1:6" ht="50.15" customHeight="1" thickTop="1" thickBot="1">
      <c r="A2" s="742" t="s">
        <v>85</v>
      </c>
      <c r="B2" s="789"/>
      <c r="C2" s="57"/>
      <c r="D2" s="57"/>
      <c r="E2" s="218"/>
    </row>
    <row r="3" spans="1:6" ht="342.65" customHeight="1" thickTop="1" thickBot="1">
      <c r="A3" s="765" t="s">
        <v>223</v>
      </c>
      <c r="B3" s="766"/>
      <c r="C3" s="3"/>
      <c r="D3" s="3"/>
      <c r="E3" s="3"/>
    </row>
    <row r="4" spans="1:6" ht="20.149999999999999" customHeight="1" thickBot="1">
      <c r="A4" s="257"/>
      <c r="B4" s="69"/>
      <c r="C4" s="257" t="s">
        <v>23</v>
      </c>
      <c r="D4" s="69"/>
      <c r="E4" s="69"/>
      <c r="F4" s="69"/>
    </row>
    <row r="5" spans="1:6" s="32" customFormat="1" ht="50.15" customHeight="1" thickBot="1">
      <c r="A5" s="750" t="s">
        <v>224</v>
      </c>
      <c r="B5" s="751"/>
      <c r="C5" s="57" t="s">
        <v>225</v>
      </c>
      <c r="D5" s="94"/>
      <c r="E5" s="57"/>
    </row>
    <row r="6" spans="1:6" s="39" customFormat="1" ht="133.5" customHeight="1" thickTop="1" thickBot="1">
      <c r="A6" s="199" t="s">
        <v>89</v>
      </c>
      <c r="B6" s="219" t="s">
        <v>104</v>
      </c>
      <c r="C6" s="220" t="str">
        <f>Guidance!B69</f>
        <v xml:space="preserve">
The amount of contributions payable in each year of the recovery plan by, or on behalf of, the employer (and where applicable, scheme members) in respect of the technical provisions deficit. This is for all years following the effective date of the valuation (even if you are allowing for post-valuation experience) as recorded in the recovery plan and schedule of contributions.
</v>
      </c>
      <c r="D6" s="199" t="s">
        <v>92</v>
      </c>
      <c r="E6" s="199" t="s">
        <v>93</v>
      </c>
    </row>
    <row r="7" spans="1:6" ht="78" customHeight="1" thickTop="1">
      <c r="A7" s="140" t="s">
        <v>226</v>
      </c>
      <c r="B7" s="216" t="str">
        <f>Questions!C113</f>
        <v xml:space="preserve">
Year 1
</v>
      </c>
      <c r="C7" s="403"/>
      <c r="D7" s="356" t="str">
        <f ca="1">'Reconciliation report'!D83</f>
        <v/>
      </c>
      <c r="E7" s="353"/>
    </row>
    <row r="8" spans="1:6" ht="78" customHeight="1">
      <c r="A8" s="140" t="s">
        <v>227</v>
      </c>
      <c r="B8" s="216" t="str">
        <f>Questions!C114</f>
        <v xml:space="preserve">
Year 2
</v>
      </c>
      <c r="C8" s="304"/>
      <c r="D8" s="356" t="str">
        <f ca="1">'Reconciliation report'!D84</f>
        <v/>
      </c>
      <c r="E8" s="354"/>
    </row>
    <row r="9" spans="1:6" ht="78" customHeight="1">
      <c r="A9" s="140" t="s">
        <v>228</v>
      </c>
      <c r="B9" s="216" t="str">
        <f>Questions!C115</f>
        <v xml:space="preserve">
Year 3
</v>
      </c>
      <c r="C9" s="404"/>
      <c r="D9" s="356" t="str">
        <f ca="1">'Reconciliation report'!D85</f>
        <v/>
      </c>
      <c r="E9" s="578"/>
    </row>
    <row r="10" spans="1:6" ht="78" customHeight="1">
      <c r="A10" s="140" t="s">
        <v>229</v>
      </c>
      <c r="B10" s="216" t="str">
        <f>Questions!C116</f>
        <v xml:space="preserve">
Year 4
</v>
      </c>
      <c r="C10" s="304"/>
      <c r="D10" s="356" t="str">
        <f ca="1">'Reconciliation report'!D86</f>
        <v/>
      </c>
      <c r="E10" s="354"/>
    </row>
    <row r="11" spans="1:6" ht="78" customHeight="1">
      <c r="A11" s="140" t="s">
        <v>230</v>
      </c>
      <c r="B11" s="216" t="str">
        <f>Questions!C117</f>
        <v xml:space="preserve">
Year 5
</v>
      </c>
      <c r="C11" s="304"/>
      <c r="D11" s="356" t="str">
        <f ca="1">'Reconciliation report'!D87</f>
        <v/>
      </c>
      <c r="E11" s="354"/>
    </row>
    <row r="12" spans="1:6" ht="78" customHeight="1">
      <c r="A12" s="140" t="s">
        <v>231</v>
      </c>
      <c r="B12" s="216" t="str">
        <f>Questions!C118</f>
        <v xml:space="preserve">
Year 6
</v>
      </c>
      <c r="C12" s="304"/>
      <c r="D12" s="356" t="str">
        <f ca="1">'Reconciliation report'!D88</f>
        <v/>
      </c>
      <c r="E12" s="354"/>
    </row>
    <row r="13" spans="1:6" ht="78" customHeight="1">
      <c r="A13" s="140" t="s">
        <v>232</v>
      </c>
      <c r="B13" s="216" t="str">
        <f>Questions!C119</f>
        <v xml:space="preserve">
Year 7
</v>
      </c>
      <c r="C13" s="304"/>
      <c r="D13" s="356" t="str">
        <f ca="1">'Reconciliation report'!D89</f>
        <v/>
      </c>
      <c r="E13" s="354"/>
    </row>
    <row r="14" spans="1:6" ht="78" customHeight="1">
      <c r="A14" s="140" t="s">
        <v>233</v>
      </c>
      <c r="B14" s="216" t="str">
        <f>Questions!C120</f>
        <v xml:space="preserve">
Year 8
</v>
      </c>
      <c r="C14" s="304"/>
      <c r="D14" s="356" t="str">
        <f ca="1">'Reconciliation report'!D90</f>
        <v/>
      </c>
      <c r="E14" s="354"/>
    </row>
    <row r="15" spans="1:6" ht="78" customHeight="1">
      <c r="A15" s="140" t="s">
        <v>234</v>
      </c>
      <c r="B15" s="216" t="str">
        <f>Questions!C121</f>
        <v xml:space="preserve">
Year 9
</v>
      </c>
      <c r="C15" s="304"/>
      <c r="D15" s="356" t="str">
        <f ca="1">'Reconciliation report'!D91</f>
        <v/>
      </c>
      <c r="E15" s="354"/>
    </row>
    <row r="16" spans="1:6" s="24" customFormat="1" ht="78" customHeight="1">
      <c r="A16" s="140" t="s">
        <v>235</v>
      </c>
      <c r="B16" s="216" t="str">
        <f>Questions!C122</f>
        <v xml:space="preserve">
Year 10
</v>
      </c>
      <c r="C16" s="304"/>
      <c r="D16" s="356" t="str">
        <f ca="1">'Reconciliation report'!D92</f>
        <v/>
      </c>
      <c r="E16" s="354"/>
    </row>
    <row r="17" spans="1:8" s="24" customFormat="1" ht="78" customHeight="1">
      <c r="A17" s="140" t="s">
        <v>236</v>
      </c>
      <c r="B17" s="216" t="str">
        <f>Questions!C123</f>
        <v xml:space="preserve">
Year 11
</v>
      </c>
      <c r="C17" s="304"/>
      <c r="D17" s="356" t="str">
        <f ca="1">'Reconciliation report'!D93</f>
        <v/>
      </c>
      <c r="E17" s="354"/>
    </row>
    <row r="18" spans="1:8" s="24" customFormat="1" ht="78" customHeight="1">
      <c r="A18" s="140" t="s">
        <v>237</v>
      </c>
      <c r="B18" s="216" t="str">
        <f>Questions!C124</f>
        <v xml:space="preserve">
Year 12
</v>
      </c>
      <c r="C18" s="304"/>
      <c r="D18" s="356" t="str">
        <f ca="1">'Reconciliation report'!D94</f>
        <v/>
      </c>
      <c r="E18" s="354"/>
    </row>
    <row r="19" spans="1:8" s="24" customFormat="1" ht="78" customHeight="1">
      <c r="A19" s="140" t="s">
        <v>238</v>
      </c>
      <c r="B19" s="216" t="str">
        <f>Questions!C125</f>
        <v xml:space="preserve">
Year 13
</v>
      </c>
      <c r="C19" s="304"/>
      <c r="D19" s="356" t="str">
        <f ca="1">'Reconciliation report'!D95</f>
        <v/>
      </c>
      <c r="E19" s="354"/>
    </row>
    <row r="20" spans="1:8" s="24" customFormat="1" ht="78" customHeight="1">
      <c r="A20" s="140" t="s">
        <v>239</v>
      </c>
      <c r="B20" s="216" t="str">
        <f>Questions!C126</f>
        <v xml:space="preserve">
Year 14
</v>
      </c>
      <c r="C20" s="304"/>
      <c r="D20" s="356" t="str">
        <f ca="1">'Reconciliation report'!D96</f>
        <v/>
      </c>
      <c r="E20" s="354"/>
    </row>
    <row r="21" spans="1:8" s="24" customFormat="1" ht="78" customHeight="1">
      <c r="A21" s="140" t="s">
        <v>240</v>
      </c>
      <c r="B21" s="216" t="str">
        <f>Questions!C127</f>
        <v xml:space="preserve">
Year 15
</v>
      </c>
      <c r="C21" s="304"/>
      <c r="D21" s="356" t="str">
        <f ca="1">'Reconciliation report'!D97</f>
        <v/>
      </c>
      <c r="E21" s="354"/>
    </row>
    <row r="22" spans="1:8" s="24" customFormat="1" ht="78" customHeight="1">
      <c r="A22" s="140" t="s">
        <v>241</v>
      </c>
      <c r="B22" s="216" t="str">
        <f>Questions!C128</f>
        <v xml:space="preserve">
Year 16
</v>
      </c>
      <c r="C22" s="304"/>
      <c r="D22" s="356" t="str">
        <f ca="1">'Reconciliation report'!D98</f>
        <v/>
      </c>
      <c r="E22" s="354"/>
    </row>
    <row r="23" spans="1:8" s="24" customFormat="1" ht="78" customHeight="1">
      <c r="A23" s="140" t="s">
        <v>242</v>
      </c>
      <c r="B23" s="216" t="str">
        <f>Questions!C129</f>
        <v xml:space="preserve">
Year 17
</v>
      </c>
      <c r="C23" s="304"/>
      <c r="D23" s="356" t="str">
        <f ca="1">'Reconciliation report'!D99</f>
        <v/>
      </c>
      <c r="E23" s="354"/>
    </row>
    <row r="24" spans="1:8" s="24" customFormat="1" ht="78" customHeight="1">
      <c r="A24" s="140" t="s">
        <v>243</v>
      </c>
      <c r="B24" s="216" t="str">
        <f>Questions!C130</f>
        <v xml:space="preserve">
Year 18
</v>
      </c>
      <c r="C24" s="304"/>
      <c r="D24" s="356" t="str">
        <f ca="1">'Reconciliation report'!D100</f>
        <v/>
      </c>
      <c r="E24" s="354"/>
    </row>
    <row r="25" spans="1:8" s="24" customFormat="1" ht="78" customHeight="1">
      <c r="A25" s="140" t="s">
        <v>244</v>
      </c>
      <c r="B25" s="216" t="str">
        <f>Questions!C131</f>
        <v xml:space="preserve">
Year 19
</v>
      </c>
      <c r="C25" s="304"/>
      <c r="D25" s="356" t="str">
        <f ca="1">'Reconciliation report'!D101</f>
        <v/>
      </c>
      <c r="E25" s="354"/>
    </row>
    <row r="26" spans="1:8" s="24" customFormat="1" ht="78" customHeight="1">
      <c r="A26" s="140" t="s">
        <v>245</v>
      </c>
      <c r="B26" s="216" t="str">
        <f>Questions!C132</f>
        <v xml:space="preserve">
Year 20
</v>
      </c>
      <c r="C26" s="304"/>
      <c r="D26" s="356" t="str">
        <f ca="1">'Reconciliation report'!D102</f>
        <v/>
      </c>
      <c r="E26" s="354"/>
    </row>
    <row r="27" spans="1:8" s="24" customFormat="1" ht="78" customHeight="1" thickBot="1">
      <c r="A27" s="41" t="s">
        <v>246</v>
      </c>
      <c r="B27" s="217" t="str">
        <f>Questions!C133</f>
        <v xml:space="preserve">
Year 21+
</v>
      </c>
      <c r="C27" s="405"/>
      <c r="D27" s="357" t="str">
        <f ca="1">'Reconciliation report'!D103</f>
        <v/>
      </c>
      <c r="E27" s="355"/>
    </row>
    <row r="28" spans="1:8" ht="20.149999999999999" hidden="1" customHeight="1" thickBot="1">
      <c r="A28" s="75"/>
      <c r="B28" s="75"/>
      <c r="C28" s="75" t="s">
        <v>23</v>
      </c>
      <c r="D28" s="99"/>
      <c r="E28" s="200"/>
      <c r="F28" s="200"/>
      <c r="G28" s="200"/>
    </row>
    <row r="29" spans="1:8" ht="50.15" hidden="1" customHeight="1" thickBot="1">
      <c r="A29" s="750" t="s">
        <v>117</v>
      </c>
      <c r="B29" s="751"/>
      <c r="C29" s="57"/>
      <c r="D29" s="57"/>
      <c r="E29" s="57"/>
      <c r="F29" s="57"/>
      <c r="G29" s="57"/>
    </row>
    <row r="30" spans="1:8" s="47" customFormat="1" ht="36" hidden="1" customHeight="1" thickTop="1" thickBot="1">
      <c r="A30" s="752" t="s">
        <v>90</v>
      </c>
      <c r="B30" s="753"/>
      <c r="C30" s="668" t="s">
        <v>91</v>
      </c>
      <c r="D30" s="669"/>
      <c r="E30" s="667"/>
      <c r="F30" s="667"/>
      <c r="G30" s="667"/>
      <c r="H30" s="17"/>
    </row>
    <row r="31" spans="1:8" ht="86" hidden="1" customHeight="1" thickTop="1" thickBot="1">
      <c r="A31" s="744" t="s">
        <v>118</v>
      </c>
      <c r="B31" s="754"/>
      <c r="C31" s="683"/>
      <c r="D31" s="62"/>
      <c r="E31" s="667"/>
      <c r="F31" s="196"/>
      <c r="G31" s="196"/>
    </row>
    <row r="32" spans="1:8" s="47" customFormat="1" ht="50.25" customHeight="1">
      <c r="A32" s="439"/>
      <c r="B32" s="255"/>
      <c r="C32" s="439"/>
      <c r="D32" s="439"/>
      <c r="E32" s="439"/>
    </row>
  </sheetData>
  <sheetProtection algorithmName="SHA-512" hashValue="rd2JoFt9CCuN7/VdluEsXnl7ehn2Ilhmiv/gHFXUYfOyS1H9jWsZv+KL/mD8w+jLI8nlwh2SbrL/XzfUTzak/g==" saltValue="8Xr9J6NW+SULlTREjB+/+A==" spinCount="100000" sheet="1" objects="1" scenarios="1" sort="0" autoFilter="0"/>
  <mergeCells count="7">
    <mergeCell ref="A30:B30"/>
    <mergeCell ref="A31:B31"/>
    <mergeCell ref="A1:B1"/>
    <mergeCell ref="A2:B2"/>
    <mergeCell ref="A3:B3"/>
    <mergeCell ref="A5:B5"/>
    <mergeCell ref="A29:B29"/>
  </mergeCells>
  <conditionalFormatting sqref="C31">
    <cfRule type="expression" dxfId="701" priority="1">
      <formula>$C$31=""</formula>
    </cfRule>
  </conditionalFormatting>
  <conditionalFormatting sqref="D7:D27">
    <cfRule type="notContainsBlanks" dxfId="698" priority="4">
      <formula>LEN(TRIM(D7))&gt;0</formula>
    </cfRule>
  </conditionalFormatting>
  <dataValidations count="3">
    <dataValidation allowBlank="1" showInputMessage="1" showErrorMessage="1" errorTitle="There is a problem" sqref="E4" xr:uid="{5485947F-F99D-4E2F-AC09-E5EA5B3FD866}"/>
    <dataValidation type="custom" allowBlank="1" showInputMessage="1" showErrorMessage="1" errorTitle="There is a problem" error="You must enter a number greater than or equal to 0.00 and less than 1,000,000,000,000 (1 trillion) with up to two decimal places." promptTitle="Enter a value" prompt="Enter a number (£)" sqref="C7:C27" xr:uid="{7F54D379-4B3D-476C-9EC1-D923EF93AB27}">
      <formula1>AND(ISNUMBER(VALUE(C7)), VALUE(C7)&gt;=0, VALUE(C7)&lt;=999999999999.99, IF(ISERROR(FIND(".", C7)), VALUE(C7)=INT(VALUE(C7)), LEN(C7)-FIND(".", C7)&lt;=2))</formula1>
    </dataValidation>
    <dataValidation allowBlank="1" showInputMessage="1" showErrorMessage="1" error="Select from the list." sqref="C32" xr:uid="{35DBBCAC-16F0-4E8B-9C02-951B6FD89B55}"/>
  </dataValidations>
  <pageMargins left="0.70000000000000007" right="0.70000000000000007" top="0.75" bottom="0.75" header="0.30000000000000004" footer="0.30000000000000004"/>
  <pageSetup paperSize="9" fitToWidth="0"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591" id="{F195CB4C-CDB7-48F9-8905-BC5C68CA0DE7}">
            <xm:f>SEARCH(RefData!$B$2,$B$7)</xm:f>
            <x14:dxf>
              <font>
                <color rgb="FF5F5F5F"/>
              </font>
              <fill>
                <patternFill>
                  <bgColor theme="0" tint="-0.14996795556505021"/>
                </patternFill>
              </fill>
            </x14:dxf>
          </x14:cfRule>
          <xm:sqref>A7:E7</xm:sqref>
        </x14:conditionalFormatting>
        <x14:conditionalFormatting xmlns:xm="http://schemas.microsoft.com/office/excel/2006/main">
          <x14:cfRule type="expression" priority="592" id="{C6717CFE-2265-45B4-8616-E8FC59A45688}">
            <xm:f>SEARCH(RefData!$B$2,$B$8)</xm:f>
            <x14:dxf>
              <font>
                <color rgb="FF5F5F5F"/>
              </font>
              <fill>
                <patternFill>
                  <bgColor theme="0" tint="-0.14996795556505021"/>
                </patternFill>
              </fill>
            </x14:dxf>
          </x14:cfRule>
          <xm:sqref>A8:E8</xm:sqref>
        </x14:conditionalFormatting>
        <x14:conditionalFormatting xmlns:xm="http://schemas.microsoft.com/office/excel/2006/main">
          <x14:cfRule type="expression" priority="593" id="{E489E77A-9490-48A8-916B-0A6413D8F1B8}">
            <xm:f>SEARCH(RefData!$B$2,$B$9)</xm:f>
            <x14:dxf>
              <font>
                <color rgb="FF5F5F5F"/>
              </font>
              <fill>
                <patternFill>
                  <bgColor theme="0" tint="-0.14996795556505021"/>
                </patternFill>
              </fill>
            </x14:dxf>
          </x14:cfRule>
          <xm:sqref>A9:E9</xm:sqref>
        </x14:conditionalFormatting>
        <x14:conditionalFormatting xmlns:xm="http://schemas.microsoft.com/office/excel/2006/main">
          <x14:cfRule type="expression" priority="594" id="{CEF643A1-2EBB-45E0-A2E5-BBB38C8D47F7}">
            <xm:f>SEARCH(RefData!$B$2,$B$10)</xm:f>
            <x14:dxf>
              <font>
                <color rgb="FF5F5F5F"/>
              </font>
              <fill>
                <patternFill>
                  <bgColor theme="0" tint="-0.14996795556505021"/>
                </patternFill>
              </fill>
            </x14:dxf>
          </x14:cfRule>
          <xm:sqref>A10:E10</xm:sqref>
        </x14:conditionalFormatting>
        <x14:conditionalFormatting xmlns:xm="http://schemas.microsoft.com/office/excel/2006/main">
          <x14:cfRule type="expression" priority="34" id="{F16C5CD0-493D-4859-92FB-3E7D2C9E31F7}">
            <xm:f>SEARCH(RefData!$B$2,$B$11)</xm:f>
            <x14:dxf>
              <font>
                <color rgb="FF5F5F5F"/>
              </font>
              <fill>
                <patternFill>
                  <bgColor theme="0" tint="-0.14996795556505021"/>
                </patternFill>
              </fill>
            </x14:dxf>
          </x14:cfRule>
          <xm:sqref>A11:E11 C12</xm:sqref>
        </x14:conditionalFormatting>
        <x14:conditionalFormatting xmlns:xm="http://schemas.microsoft.com/office/excel/2006/main">
          <x14:cfRule type="expression" priority="596" id="{D03868D9-C714-4DF6-A1B1-BE9028CFD345}">
            <xm:f>SEARCH(RefData!$B$2,$B$13)</xm:f>
            <x14:dxf>
              <font>
                <color rgb="FF5F5F5F"/>
              </font>
              <fill>
                <patternFill>
                  <bgColor theme="0" tint="-0.14996795556505021"/>
                </patternFill>
              </fill>
            </x14:dxf>
          </x14:cfRule>
          <xm:sqref>A13:E13</xm:sqref>
        </x14:conditionalFormatting>
        <x14:conditionalFormatting xmlns:xm="http://schemas.microsoft.com/office/excel/2006/main">
          <x14:cfRule type="expression" priority="597" id="{A9977FAC-9611-4767-A2FC-2D0FB0BFAD23}">
            <xm:f>SEARCH(RefData!$B$2,$B$14)</xm:f>
            <x14:dxf>
              <font>
                <color rgb="FF5F5F5F"/>
              </font>
              <fill>
                <patternFill>
                  <bgColor theme="0" tint="-0.14996795556505021"/>
                </patternFill>
              </fill>
            </x14:dxf>
          </x14:cfRule>
          <xm:sqref>A14:E14</xm:sqref>
        </x14:conditionalFormatting>
        <x14:conditionalFormatting xmlns:xm="http://schemas.microsoft.com/office/excel/2006/main">
          <x14:cfRule type="expression" priority="598" id="{9875967E-C375-4F8A-B16B-FF6ABFFCEC86}">
            <xm:f>SEARCH(RefData!$B$2,$B$15)</xm:f>
            <x14:dxf>
              <font>
                <color rgb="FF5F5F5F"/>
              </font>
              <fill>
                <patternFill>
                  <bgColor theme="0" tint="-0.14996795556505021"/>
                </patternFill>
              </fill>
            </x14:dxf>
          </x14:cfRule>
          <xm:sqref>A15:E15</xm:sqref>
        </x14:conditionalFormatting>
        <x14:conditionalFormatting xmlns:xm="http://schemas.microsoft.com/office/excel/2006/main">
          <x14:cfRule type="expression" priority="599" id="{FDF3C10D-6B48-43E8-B52C-5493D2FF5791}">
            <xm:f>SEARCH(RefData!$B$2,$B$16)</xm:f>
            <x14:dxf>
              <font>
                <color rgb="FF5F5F5F"/>
              </font>
              <fill>
                <patternFill>
                  <bgColor theme="0" tint="-0.14996795556505021"/>
                </patternFill>
              </fill>
            </x14:dxf>
          </x14:cfRule>
          <xm:sqref>A16:E16</xm:sqref>
        </x14:conditionalFormatting>
        <x14:conditionalFormatting xmlns:xm="http://schemas.microsoft.com/office/excel/2006/main">
          <x14:cfRule type="expression" priority="600" id="{0E53377D-55A2-438E-8A74-B569556DDDDE}">
            <xm:f>SEARCH(RefData!$B$2,$B$17)</xm:f>
            <x14:dxf>
              <font>
                <color rgb="FF5F5F5F"/>
              </font>
              <fill>
                <patternFill>
                  <bgColor theme="0" tint="-0.14996795556505021"/>
                </patternFill>
              </fill>
            </x14:dxf>
          </x14:cfRule>
          <xm:sqref>A17:E17</xm:sqref>
        </x14:conditionalFormatting>
        <x14:conditionalFormatting xmlns:xm="http://schemas.microsoft.com/office/excel/2006/main">
          <x14:cfRule type="expression" priority="601" id="{2E9DF71D-C38E-4897-BCEB-99AD389EB664}">
            <xm:f>SEARCH(RefData!$B$2,$B$18)</xm:f>
            <x14:dxf>
              <font>
                <color rgb="FF5F5F5F"/>
              </font>
              <fill>
                <patternFill>
                  <bgColor theme="0" tint="-0.14996795556505021"/>
                </patternFill>
              </fill>
            </x14:dxf>
          </x14:cfRule>
          <xm:sqref>A18:E18</xm:sqref>
        </x14:conditionalFormatting>
        <x14:conditionalFormatting xmlns:xm="http://schemas.microsoft.com/office/excel/2006/main">
          <x14:cfRule type="expression" priority="602" id="{A2D1DD8A-C890-416F-8057-B1F9A2E2BB48}">
            <xm:f>SEARCH(RefData!$B$2,$B$19)</xm:f>
            <x14:dxf>
              <font>
                <color rgb="FF5F5F5F"/>
              </font>
              <fill>
                <patternFill>
                  <bgColor theme="0" tint="-0.14996795556505021"/>
                </patternFill>
              </fill>
            </x14:dxf>
          </x14:cfRule>
          <xm:sqref>A19:E19</xm:sqref>
        </x14:conditionalFormatting>
        <x14:conditionalFormatting xmlns:xm="http://schemas.microsoft.com/office/excel/2006/main">
          <x14:cfRule type="expression" priority="603" id="{43EE1289-61BC-4E9E-A5C5-7FB81B08E5BE}">
            <xm:f>SEARCH(RefData!$B$2,$B$20)</xm:f>
            <x14:dxf>
              <font>
                <color rgb="FF5F5F5F"/>
              </font>
              <fill>
                <patternFill>
                  <bgColor theme="0" tint="-0.14996795556505021"/>
                </patternFill>
              </fill>
            </x14:dxf>
          </x14:cfRule>
          <xm:sqref>A20:E20</xm:sqref>
        </x14:conditionalFormatting>
        <x14:conditionalFormatting xmlns:xm="http://schemas.microsoft.com/office/excel/2006/main">
          <x14:cfRule type="expression" priority="604" id="{E8AEF49F-03F4-4969-894A-FC3BF8438144}">
            <xm:f>SEARCH(RefData!$B$2,$B$21)</xm:f>
            <x14:dxf>
              <font>
                <color rgb="FF5F5F5F"/>
              </font>
              <fill>
                <patternFill>
                  <bgColor theme="0" tint="-0.14996795556505021"/>
                </patternFill>
              </fill>
            </x14:dxf>
          </x14:cfRule>
          <xm:sqref>A21:E21</xm:sqref>
        </x14:conditionalFormatting>
        <x14:conditionalFormatting xmlns:xm="http://schemas.microsoft.com/office/excel/2006/main">
          <x14:cfRule type="expression" priority="605" id="{1DF07032-425C-43C1-B27D-6BA2BB1CE56A}">
            <xm:f>SEARCH(RefData!$B$2,$B$22)</xm:f>
            <x14:dxf>
              <font>
                <color rgb="FF5F5F5F"/>
              </font>
              <fill>
                <patternFill>
                  <bgColor theme="0" tint="-0.14996795556505021"/>
                </patternFill>
              </fill>
            </x14:dxf>
          </x14:cfRule>
          <xm:sqref>A22:E22</xm:sqref>
        </x14:conditionalFormatting>
        <x14:conditionalFormatting xmlns:xm="http://schemas.microsoft.com/office/excel/2006/main">
          <x14:cfRule type="expression" priority="606" id="{A5C93F05-987B-4987-A043-B95C2DC15B80}">
            <xm:f>SEARCH(RefData!$B$2,$B$23)</xm:f>
            <x14:dxf>
              <font>
                <color rgb="FF5F5F5F"/>
              </font>
              <fill>
                <patternFill>
                  <bgColor theme="0" tint="-0.14996795556505021"/>
                </patternFill>
              </fill>
            </x14:dxf>
          </x14:cfRule>
          <xm:sqref>A23:E23</xm:sqref>
        </x14:conditionalFormatting>
        <x14:conditionalFormatting xmlns:xm="http://schemas.microsoft.com/office/excel/2006/main">
          <x14:cfRule type="expression" priority="607" id="{3C4A9768-1256-4709-9837-60B26678054F}">
            <xm:f>SEARCH(RefData!$B$2,$B$24)</xm:f>
            <x14:dxf>
              <font>
                <color rgb="FF5F5F5F"/>
              </font>
              <fill>
                <patternFill>
                  <bgColor theme="0" tint="-0.14996795556505021"/>
                </patternFill>
              </fill>
            </x14:dxf>
          </x14:cfRule>
          <xm:sqref>A24:E24</xm:sqref>
        </x14:conditionalFormatting>
        <x14:conditionalFormatting xmlns:xm="http://schemas.microsoft.com/office/excel/2006/main">
          <x14:cfRule type="expression" priority="608" id="{91BA01AD-5BA7-41EE-BBED-F51183B48E16}">
            <xm:f>SEARCH(RefData!$B$2,$B$25)</xm:f>
            <x14:dxf>
              <font>
                <color rgb="FF5F5F5F"/>
              </font>
              <fill>
                <patternFill>
                  <bgColor theme="0" tint="-0.14996795556505021"/>
                </patternFill>
              </fill>
            </x14:dxf>
          </x14:cfRule>
          <xm:sqref>A25:E25</xm:sqref>
        </x14:conditionalFormatting>
        <x14:conditionalFormatting xmlns:xm="http://schemas.microsoft.com/office/excel/2006/main">
          <x14:cfRule type="expression" priority="609" id="{17538394-AF4F-4BB4-807E-B6291519CD68}">
            <xm:f>SEARCH(RefData!$B$2,$B$26)</xm:f>
            <x14:dxf>
              <font>
                <color rgb="FF5F5F5F"/>
              </font>
              <fill>
                <patternFill>
                  <bgColor theme="0" tint="-0.14996795556505021"/>
                </patternFill>
              </fill>
            </x14:dxf>
          </x14:cfRule>
          <xm:sqref>A26:E26</xm:sqref>
        </x14:conditionalFormatting>
        <x14:conditionalFormatting xmlns:xm="http://schemas.microsoft.com/office/excel/2006/main">
          <x14:cfRule type="expression" priority="610" id="{BCE0A158-40CF-40E1-9758-A4E0BCFA3523}">
            <xm:f>SEARCH(RefData!$B$2,$B$27)</xm:f>
            <x14:dxf>
              <font>
                <color rgb="FF5F5F5F"/>
              </font>
              <fill>
                <patternFill>
                  <bgColor theme="0" tint="-0.14996795556505021"/>
                </patternFill>
              </fill>
            </x14:dxf>
          </x14:cfRule>
          <xm:sqref>A27:E27</xm:sqref>
        </x14:conditionalFormatting>
        <x14:conditionalFormatting xmlns:xm="http://schemas.microsoft.com/office/excel/2006/main">
          <x14:cfRule type="expression" priority="2" id="{D96DD2D3-A909-41E5-BE37-CD89FD39CA6F}">
            <xm:f>$C$31=RefData!$B$433</xm:f>
            <x14:dxf>
              <fill>
                <patternFill>
                  <bgColor rgb="FFEFF5FA"/>
                </patternFill>
              </fill>
            </x14:dxf>
          </x14:cfRule>
          <x14:cfRule type="expression" priority="3" id="{398AD646-1B1E-40A8-A247-61537BBCB532}">
            <xm:f>$C$31=RefData!$B$434</xm:f>
            <x14:dxf>
              <fill>
                <patternFill>
                  <bgColor rgb="FFEFF5FA"/>
                </patternFill>
              </fill>
            </x14:dxf>
          </x14:cfRule>
          <xm:sqref>C31</xm:sqref>
        </x14:conditionalFormatting>
        <x14:conditionalFormatting xmlns:xm="http://schemas.microsoft.com/office/excel/2006/main">
          <x14:cfRule type="expression" priority="33" id="{8F2843B9-0138-4099-B423-3407EEBB0D4A}">
            <xm:f>SEARCH(RefData!$B$2,$B$12)</xm:f>
            <x14:dxf>
              <font>
                <color rgb="FF5F5F5F"/>
              </font>
              <fill>
                <patternFill>
                  <bgColor theme="0" tint="-0.14996795556505021"/>
                </patternFill>
              </fill>
            </x14:dxf>
          </x14:cfRule>
          <xm:sqref>D12:E12 A12:B12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DB12364-FEBB-45E0-874F-D705D085FE5A}">
          <x14:formula1>
            <xm:f>RefData!$B$433:$B$435</xm:f>
          </x14:formula1>
          <xm:sqref>C31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BC99-677E-41D1-AE33-496E0B460B9D}">
  <sheetPr codeName="Sheet10"/>
  <dimension ref="A1:XFC26"/>
  <sheetViews>
    <sheetView topLeftCell="A8" zoomScaleNormal="100" workbookViewId="0">
      <selection sqref="A1:B1"/>
    </sheetView>
  </sheetViews>
  <sheetFormatPr defaultColWidth="0" defaultRowHeight="0" customHeight="1" zeroHeight="1"/>
  <cols>
    <col min="1" max="1" width="13.07421875" style="20" customWidth="1"/>
    <col min="2" max="2" width="62.69140625" style="20" customWidth="1"/>
    <col min="3" max="3" width="28.69140625" style="20" customWidth="1"/>
    <col min="4" max="6" width="62.69140625" style="20" customWidth="1"/>
    <col min="7" max="13" width="33.69140625" style="20" hidden="1" customWidth="1"/>
    <col min="14" max="14" width="8.69140625" style="20" hidden="1" customWidth="1"/>
    <col min="15" max="16381" width="8.69140625" style="20" hidden="1"/>
    <col min="16382" max="16383" width="6" style="20" hidden="1"/>
    <col min="16384" max="16384" width="20.07421875" style="20" hidden="1"/>
  </cols>
  <sheetData>
    <row r="1" spans="1:7" s="27" customFormat="1" ht="50.15" customHeight="1" thickBot="1">
      <c r="A1" s="747" t="s">
        <v>247</v>
      </c>
      <c r="B1" s="786"/>
      <c r="C1" s="13"/>
      <c r="D1" s="13"/>
      <c r="E1" s="13"/>
      <c r="F1" s="13"/>
    </row>
    <row r="2" spans="1:7" s="27" customFormat="1" ht="50.15" customHeight="1" thickTop="1" thickBot="1">
      <c r="A2" s="742" t="s">
        <v>85</v>
      </c>
      <c r="B2" s="743"/>
      <c r="C2" s="57"/>
      <c r="D2" s="57"/>
      <c r="E2" s="57"/>
      <c r="F2" s="57"/>
    </row>
    <row r="3" spans="1:7" s="27" customFormat="1" ht="300" customHeight="1" thickTop="1" thickBot="1">
      <c r="A3" s="744" t="s">
        <v>248</v>
      </c>
      <c r="B3" s="790"/>
      <c r="C3" s="22"/>
      <c r="D3" s="54"/>
      <c r="E3" s="54"/>
      <c r="F3" s="54"/>
    </row>
    <row r="4" spans="1:7" ht="20.149999999999999" customHeight="1" thickBot="1">
      <c r="A4" s="75"/>
      <c r="B4" s="75"/>
      <c r="C4" s="75" t="s">
        <v>23</v>
      </c>
      <c r="D4" s="69"/>
      <c r="E4" s="69"/>
      <c r="F4" s="69"/>
    </row>
    <row r="5" spans="1:7" s="27" customFormat="1" ht="50.15" customHeight="1" thickBot="1">
      <c r="A5" s="750" t="s">
        <v>249</v>
      </c>
      <c r="B5" s="751"/>
      <c r="C5" s="57"/>
      <c r="D5" s="57"/>
      <c r="E5" s="57"/>
      <c r="F5" s="57"/>
    </row>
    <row r="6" spans="1:7" s="47" customFormat="1" ht="36" customHeight="1" thickTop="1" thickBot="1">
      <c r="A6" s="8" t="s">
        <v>89</v>
      </c>
      <c r="B6" s="8" t="s">
        <v>90</v>
      </c>
      <c r="C6" s="8" t="s">
        <v>91</v>
      </c>
      <c r="D6" s="199" t="s">
        <v>92</v>
      </c>
      <c r="E6" s="199" t="s">
        <v>104</v>
      </c>
      <c r="F6" s="199" t="s">
        <v>93</v>
      </c>
      <c r="G6" s="17"/>
    </row>
    <row r="7" spans="1:7" s="27" customFormat="1" ht="156" thickTop="1" thickBot="1">
      <c r="A7" s="85" t="s">
        <v>250</v>
      </c>
      <c r="B7" s="84" t="str">
        <f>Questions!C4</f>
        <v xml:space="preserve">
Are you providing yield curve information or a spot rate?
</v>
      </c>
      <c r="C7" s="489"/>
      <c r="D7" s="351" t="str">
        <f ca="1">'Reconciliation report'!D104</f>
        <v/>
      </c>
      <c r="E7" s="298" t="str">
        <f>Guidance!B4</f>
        <v xml:space="preserve">
Schemes have the option to provide either single equivalent discount rates (and spot rates) or provide full yield curve based discount rates in their funding and investment strategy. However, schemes other than small schemes will be asked to provide a full yield curve as part of the summary of the actuarial valuation. Our expectation is therefore that all schemes other than small schemes will also provide them here as otherwise they will be giving us two sets of data where they only need to give us one.
</v>
      </c>
      <c r="F7" s="223"/>
    </row>
    <row r="8" spans="1:7" s="27" customFormat="1" ht="140" thickBot="1">
      <c r="A8" s="29" t="s">
        <v>252</v>
      </c>
      <c r="B8" s="46" t="str">
        <f>Questions!B134</f>
        <v xml:space="preserve">
What is the discount rate methodology used to calculate the technical provisions?
</v>
      </c>
      <c r="C8" s="343"/>
      <c r="D8" s="351" t="str">
        <f ca="1">'Reconciliation report'!D105</f>
        <v xml:space="preserve">
Select one of the following options from the drop-down list.
- Pre and post retirement
- Horizon method
- Multiple horizon
- Dynamic
- Constant addition
- Other
</v>
      </c>
      <c r="E8" s="5" t="str">
        <f>Guidance!B70</f>
        <v xml:space="preserve">
These options are intended to cover the majority of discount rate approaches. Linear or stepped de-risking strategies fall under the 'Multiple horizon' method.  Single or constant discount rates fall under 'Constant addition'. For guidance on dynamic discount rates please see the DB funding code. If you use more than one method, please choose 'other' and describe the approaches used.
</v>
      </c>
      <c r="F8" s="215"/>
    </row>
    <row r="9" spans="1:7" s="27" customFormat="1" ht="62">
      <c r="A9" s="118" t="s">
        <v>254</v>
      </c>
      <c r="B9" s="118" t="str">
        <f>Questions!C135</f>
        <v xml:space="preserve">No answer required
Describe the discount rate methodology used.
</v>
      </c>
      <c r="C9" s="490"/>
      <c r="D9" s="351" t="str">
        <f ca="1">'Reconciliation report'!D106</f>
        <v/>
      </c>
      <c r="E9" s="5" t="str">
        <f>Guidance!B71</f>
        <v xml:space="preserve">
If 'Other' is chosen, narrative to explain the discount rate methodology used.
</v>
      </c>
      <c r="F9" s="215"/>
    </row>
    <row r="10" spans="1:7" s="27" customFormat="1" ht="124.5" thickBot="1">
      <c r="A10" s="29" t="s">
        <v>255</v>
      </c>
      <c r="B10" s="118" t="str">
        <f>Questions!C399</f>
        <v xml:space="preserve">
Briefly explain how the trustees expect the discount rate to change over time?
</v>
      </c>
      <c r="C10" s="193"/>
      <c r="D10" s="351" t="str">
        <f ca="1">'Reconciliation report'!D107</f>
        <v/>
      </c>
      <c r="E10" s="5" t="str">
        <f>Guidance!B283</f>
        <v xml:space="preserve">
A description of how the trustees expect the assumptions used to calculate the technical provisions will change over time. For schemes that have not yet reached their relevant date, we expect this to illustrate how the assumptions used to calculate the technical provisions will move to be consistent with full funding on a low dependency funding basis by the relevant date.
</v>
      </c>
      <c r="F10" s="215"/>
    </row>
    <row r="11" spans="1:7" s="5" customFormat="1" ht="174.65" customHeight="1" thickBot="1">
      <c r="A11" s="29" t="s">
        <v>256</v>
      </c>
      <c r="B11" s="140" t="str">
        <f>Questions!C136</f>
        <v xml:space="preserve">
How is the discount rate derived?
</v>
      </c>
      <c r="C11" s="343"/>
      <c r="D11" s="351" t="str">
        <f ca="1">'Reconciliation report'!D108</f>
        <v xml:space="preserve">
Select one of the following options from the dropdown list.
• Applying a premium to gilt yields
• Applying a premium to swap yields
• Applying a premium to inflation yields
• Applying a premium to composite yields
• Other
</v>
      </c>
      <c r="E11" s="5" t="str">
        <f>Guidance!B72</f>
        <v xml:space="preserve">
The underlying curve or yield from which the total discount rates are constructed.
We do not expect the use of an inflation curve to be one of the main approaches trustees take when setting the discounting assumptions. If the scheme uses this option, it may face difficulty in planning for and demonstrating the convergence of the technical provisions with the low-dependency funding basis.
If a scheme uses a composite approach (for example based on a mixture of different indices such as gilts and bonds) then this should be captured under the composite option.
</v>
      </c>
      <c r="F11" s="215"/>
    </row>
    <row r="12" spans="1:7" s="5" customFormat="1" ht="70.400000000000006" customHeight="1">
      <c r="A12" s="118" t="s">
        <v>258</v>
      </c>
      <c r="B12" s="118" t="str">
        <f>Questions!C137</f>
        <v xml:space="preserve">No answer required
Describe how the discount rate is derived
</v>
      </c>
      <c r="C12" s="491"/>
      <c r="D12" s="351" t="str">
        <f ca="1">'Reconciliation report'!D109</f>
        <v/>
      </c>
      <c r="E12" s="119" t="str">
        <f>Guidance!B73</f>
        <v>If 'Other' is chosen, narrative to explain the discount rate is derived.</v>
      </c>
      <c r="F12" s="128"/>
    </row>
    <row r="13" spans="1:7" s="5" customFormat="1" ht="124">
      <c r="A13" s="221" t="s">
        <v>259</v>
      </c>
      <c r="B13" s="153" t="str">
        <f>Questions!C364</f>
        <v xml:space="preserve">
No answer required
What is the spot rate associated with the underlying yield curve? (%)
</v>
      </c>
      <c r="C13" s="550"/>
      <c r="D13" s="351" t="str">
        <f ca="1">'Reconciliation report'!D110</f>
        <v/>
      </c>
      <c r="E13" s="152" t="str">
        <f>Guidance!B238</f>
        <v xml:space="preserve">
This single yield should be the underlying yield for which the overall discount rate is determined. For example, if schemes use a discount rate approach that is equivalent to gilts + 1% p.a., the figure should be the appropriate gilt yield.
If the discount rate is not derived by reference to an underlying figure, this can be entered as 0.
</v>
      </c>
      <c r="F13" s="169"/>
    </row>
    <row r="14" spans="1:7" s="5" customFormat="1" ht="108.5">
      <c r="A14" s="221" t="s">
        <v>260</v>
      </c>
      <c r="B14" s="153" t="str">
        <f>Questions!C365</f>
        <v xml:space="preserve">
No answer required
At what date does the discount rate premium apply under a horizon method?
</v>
      </c>
      <c r="C14" s="527"/>
      <c r="D14" s="351" t="str">
        <f ca="1">'Reconciliation report'!D111</f>
        <v/>
      </c>
      <c r="E14" s="299" t="str">
        <f>Guidance!B239</f>
        <v xml:space="preserve">
For schemes with multiple horizon dates and various premiums applying to those different periods, for example, linear de-risking, stepped de-risking approaches, please use the date that the last horizon period ends and calculate the 'average' addition/premium over the whole period from the valuation date to the end horizon date.
</v>
      </c>
      <c r="F14" s="154"/>
    </row>
    <row r="15" spans="1:7" s="5" customFormat="1" ht="248">
      <c r="A15" s="221" t="s">
        <v>261</v>
      </c>
      <c r="B15" s="153" t="str">
        <f>Questions!C366</f>
        <v xml:space="preserve">
No answer required
What are the pre-horizon discount rate premiums on a technical provisions basis? (%)
</v>
      </c>
      <c r="C15" s="551"/>
      <c r="D15" s="351" t="str">
        <f ca="1">'Reconciliation report'!D112</f>
        <v/>
      </c>
      <c r="E15" s="299" t="str">
        <f>Guidance!B240</f>
        <v xml:space="preserve">
For schemes with multiple horizon dates and various premiums applying to those different periods, for example, linear de-risking, stepped de-risking approaches, please use the date that the last horizon period ends and calculate the 'average' addition/premium over the whole period from the valuation date to the end horizon date.  
This figure added to any underlying yield provided should equal the total discount rate.
For schemes that have followed a horizon or multiple horizon discount rate methodology but have not given values for an underlying spot rate then please enter the total discount rate.
For schemes which have provided underlying yields or spot rates we simply request the discount rate premium above these.
</v>
      </c>
      <c r="F15" s="154"/>
    </row>
    <row r="16" spans="1:7" s="5" customFormat="1" ht="248">
      <c r="A16" s="221" t="s">
        <v>262</v>
      </c>
      <c r="B16" s="153" t="str">
        <f>Questions!C367</f>
        <v xml:space="preserve">
No answer required
What is the post-horizon date discount rate premium on a technical provisions basis? (%)
</v>
      </c>
      <c r="C16" s="551"/>
      <c r="D16" s="351" t="str">
        <f ca="1">'Reconciliation report'!D113</f>
        <v/>
      </c>
      <c r="E16" s="299" t="str">
        <f>Guidance!B241</f>
        <v xml:space="preserve">
For schemes with multiple horizon dates and various premiums applying to those different periods, for example, linear de-risking, stepped de-risking approaches, please use the date that the last horizon period ends and calculate the 'average' addition/premium over the whole period from the valuation date to the end horizon date.  
This figure added to any underlying yield provided should equal the total discount rate.
For schemes that have followed a horizon or multiple horizon discount rate methodology but have not given values for an underlying spot rate then please enter the total discount rate.
For schemes which have provided underlying yields or spot rates we simply request the discount rate premium above these.
</v>
      </c>
      <c r="F16" s="154"/>
    </row>
    <row r="17" spans="1:8" s="5" customFormat="1" ht="170.5">
      <c r="A17" s="221" t="s">
        <v>263</v>
      </c>
      <c r="B17" s="153" t="str">
        <f>Questions!C368</f>
        <v xml:space="preserve">
No answer required
What is the discount rate premium on a low-dependency basis? (%)
</v>
      </c>
      <c r="C17" s="551"/>
      <c r="D17" s="351" t="str">
        <f ca="1">'Reconciliation report'!D114</f>
        <v/>
      </c>
      <c r="E17" s="299" t="str">
        <f>Guidance!B242</f>
        <v xml:space="preserve">
This figure added to any underlying yield provided should equal the total discount rate in the calculation of the low dependency liabilities.
For schemes that have not given values for an underlying spot rate then please enter the total low dependency discount rate.
For schemes which have provided underlying yields or spot rates we simply request the low dependency discount rate premium above these.
</v>
      </c>
      <c r="F17" s="154"/>
    </row>
    <row r="18" spans="1:8" s="5" customFormat="1" ht="263.5">
      <c r="A18" s="221" t="s">
        <v>264</v>
      </c>
      <c r="B18" s="153" t="str">
        <f>Questions!C369</f>
        <v xml:space="preserve">
No answer required
What is the single equivalent discount rate premium on a technical provisions basis? (%)
</v>
      </c>
      <c r="C18" s="551"/>
      <c r="D18" s="351" t="str">
        <f ca="1">'Reconciliation report'!D115</f>
        <v/>
      </c>
      <c r="E18" s="299" t="str">
        <f>Guidance!B243</f>
        <v xml:space="preserve">
For schemes adopting a single equivalent approach, we request the premium to the underlying yield that has been used to determine the discount rate.
For schemes following a dynamic discount rate or other discount rate approach, we request the premium is calculated as the difference between the single equivalent discount rate and the underlying spot yield on a technical provisions basis.
This figure, added to any underlying yield, should equal the total discount rate. Therefore, for schemes that have not given values for an underlying spot rate, please enter the total discount rate.
For schemes which have provided underlying spot rates, we simply request the discount rate premium above these.
</v>
      </c>
      <c r="F18" s="154"/>
    </row>
    <row r="19" spans="1:8" s="5" customFormat="1" ht="263.5">
      <c r="A19" s="221" t="s">
        <v>265</v>
      </c>
      <c r="B19" s="153" t="str">
        <f>Questions!C370</f>
        <v xml:space="preserve">
No answer required
What is the pre-retirement discount rate premium on a technical provisions basis? (%)
</v>
      </c>
      <c r="C19" s="551"/>
      <c r="D19" s="351" t="str">
        <f ca="1">'Reconciliation report'!D116</f>
        <v/>
      </c>
      <c r="E19" s="299" t="str">
        <f>Guidance!B244</f>
        <v xml:space="preserve">
For schemes adopting a single equivalent approach, we request the premium to the underlying yield that has been used to determine the discount rate.
For schemes following a dynamic discount rate or other discount rate approach, we request the premium is calculated as the difference between the single equivalent discount rate and the underlying spot yield on a technical provisions basis.
This figure, added to any underlying yield, should equal the total discount rate. Therefore, for schemes that have not given values for an underlying spot rate, please enter the total discount rate.
For schemes which have provided underlying spot rates, we simply request the discount rate premium above these.
</v>
      </c>
      <c r="F19" s="154"/>
    </row>
    <row r="20" spans="1:8" s="5" customFormat="1" ht="192.65" customHeight="1">
      <c r="A20" s="222" t="s">
        <v>266</v>
      </c>
      <c r="B20" s="153" t="str">
        <f>Questions!C371</f>
        <v xml:space="preserve">
No answer required
What is the post-retirement discount rate premium on a technical provisions basis? (%)
</v>
      </c>
      <c r="C20" s="551"/>
      <c r="D20" s="351" t="str">
        <f ca="1">'Reconciliation report'!D117</f>
        <v/>
      </c>
      <c r="E20" s="300" t="str">
        <f>Guidance!B245</f>
        <v xml:space="preserve">
The premium applied to the yield curve for post-retirement discount rate with respect to the technical provisions discount rates. 
This figure, added to any underlying yield, should equal the total discount rate. 
For schemes that have not given values for an underlying spot rate or yields, please enter the total discount rate. 
For schemes which have provided underlying yields or spot rates, we simply request the discount rate premium above these. 
</v>
      </c>
      <c r="F20" s="151"/>
    </row>
    <row r="21" spans="1:8" s="5" customFormat="1" ht="192" customHeight="1" thickBot="1">
      <c r="A21" s="137" t="s">
        <v>267</v>
      </c>
      <c r="B21" s="149" t="str">
        <f>Questions!C372</f>
        <v xml:space="preserve">
No answer required
What is the current pensioner discount rate premium on a technical provisions basis? (%)
</v>
      </c>
      <c r="C21" s="552"/>
      <c r="D21" s="351" t="str">
        <f ca="1">'Reconciliation report'!D118</f>
        <v/>
      </c>
      <c r="E21" s="132" t="str">
        <f>Guidance!B246</f>
        <v xml:space="preserve">
The premium applied to the yield curve for the current pensioner discount rate with respect to the technical provisions discount rates.
This figure, added to any underlying yield, should equal the total discount rate. 
For schemes that have not given values for an underlying spot rate or yields, please enter the total discount rate. 
For schemes which have provided underlying yields or spot rates, we simply request the discount rate premium above these.  
</v>
      </c>
      <c r="F21" s="224"/>
    </row>
    <row r="22" spans="1:8" ht="20.149999999999999" hidden="1" customHeight="1" thickBot="1">
      <c r="A22" s="75"/>
      <c r="B22" s="75"/>
      <c r="C22" s="75" t="s">
        <v>23</v>
      </c>
      <c r="D22" s="99"/>
      <c r="E22" s="200"/>
      <c r="F22" s="200"/>
      <c r="G22" s="200"/>
    </row>
    <row r="23" spans="1:8" ht="50.15" hidden="1" customHeight="1" thickBot="1">
      <c r="A23" s="750" t="s">
        <v>117</v>
      </c>
      <c r="B23" s="751"/>
      <c r="C23" s="57"/>
      <c r="D23" s="57"/>
      <c r="E23" s="57"/>
      <c r="F23" s="57"/>
      <c r="G23" s="57"/>
    </row>
    <row r="24" spans="1:8" s="47" customFormat="1" ht="36" hidden="1" customHeight="1" thickTop="1" thickBot="1">
      <c r="A24" s="752" t="s">
        <v>90</v>
      </c>
      <c r="B24" s="753"/>
      <c r="C24" s="668" t="s">
        <v>91</v>
      </c>
      <c r="D24" s="669"/>
      <c r="E24" s="667"/>
      <c r="F24" s="667"/>
      <c r="G24" s="667"/>
      <c r="H24" s="17"/>
    </row>
    <row r="25" spans="1:8" ht="86" hidden="1" customHeight="1" thickTop="1" thickBot="1">
      <c r="A25" s="744" t="s">
        <v>118</v>
      </c>
      <c r="B25" s="754"/>
      <c r="C25" s="683"/>
      <c r="D25" s="62"/>
      <c r="E25" s="667"/>
      <c r="F25" s="667"/>
      <c r="G25" s="196"/>
    </row>
    <row r="26" spans="1:8" s="47" customFormat="1" ht="50.25" customHeight="1">
      <c r="A26" s="439"/>
      <c r="B26" s="255"/>
      <c r="C26" s="439"/>
      <c r="D26" s="439"/>
      <c r="E26" s="439"/>
      <c r="F26" s="439"/>
    </row>
  </sheetData>
  <sheetProtection algorithmName="SHA-512" hashValue="+kIgzdJcu8C3biJm7R2EyuOWgMDyTvAq7f+eQYYx8Kx10ysJh4nPZZcTv1jc9nyYmjNqaC4efjCj1qHJPo9cqw==" saltValue="LpMzwnlloX+xUsJFUe6IIA==" spinCount="100000" sheet="1" objects="1" scenarios="1" sort="0" autoFilter="0"/>
  <mergeCells count="7">
    <mergeCell ref="A24:B24"/>
    <mergeCell ref="A25:B25"/>
    <mergeCell ref="A1:B1"/>
    <mergeCell ref="A2:B2"/>
    <mergeCell ref="A3:B3"/>
    <mergeCell ref="A5:B5"/>
    <mergeCell ref="A23:B23"/>
  </mergeCells>
  <conditionalFormatting sqref="C25">
    <cfRule type="expression" dxfId="682" priority="1">
      <formula>$C$25=""</formula>
    </cfRule>
  </conditionalFormatting>
  <conditionalFormatting sqref="D7:D21">
    <cfRule type="notContainsBlanks" dxfId="679" priority="4">
      <formula>LEN(TRIM(D7))&gt;0</formula>
    </cfRule>
  </conditionalFormatting>
  <dataValidations count="8">
    <dataValidation type="textLength" operator="lessThanOrEqual" allowBlank="1" showInputMessage="1" showErrorMessage="1" errorTitle="There is a problem" error="You must answer this question with no more than 4000 characters." promptTitle="Add your answer" prompt="Answer this question in 4000 characters or less" sqref="C9:C10" xr:uid="{00000000-0002-0000-0200-000001000000}">
      <formula1>4000</formula1>
    </dataValidation>
    <dataValidation type="textLength" operator="lessThanOrEqual" allowBlank="1" showInputMessage="1" showErrorMessage="1" errorTitle="There is a problem" error="Your answer must not exceed 4000 characters" promptTitle="Add your answer" prompt="Answer this question in 4000 characters or less" sqref="C12" xr:uid="{00000000-0002-0000-0200-000000000000}">
      <formula1>4000</formula1>
    </dataValidation>
    <dataValidation type="decimal" allowBlank="1" showInputMessage="1" showErrorMessage="1" errorTitle="There is a problem" error="You must enter a percentage value between -10 and 10" promptTitle="Enter a value" prompt="Enter a percentage value" sqref="C13" xr:uid="{FF3E7A33-71D6-47D8-A09A-44F88C3B5E31}">
      <formula1>-0.1</formula1>
      <formula2>0.1</formula2>
    </dataValidation>
    <dataValidation type="decimal" allowBlank="1" showInputMessage="1" showErrorMessage="1" errorTitle="There is a problem" error="You must enter a percentage value that is between -10 and 10." promptTitle="Enter a value" prompt="Enter a percentage value" sqref="C15" xr:uid="{14641B12-C49C-4B5F-9F29-973956373C6F}">
      <formula1>-0.1</formula1>
      <formula2>0.1</formula2>
    </dataValidation>
    <dataValidation type="date" allowBlank="1" showInputMessage="1" showErrorMessage="1" errorTitle="There is a problem" error="Enter a date later in the format dd/mm/yyyy" promptTitle="Enter a date" prompt="Enter a date (dd/mm/yyyy)" sqref="C14" xr:uid="{670488EF-420D-42D4-90C0-874EC371E808}">
      <formula1>18629</formula1>
      <formula2>767376</formula2>
    </dataValidation>
    <dataValidation type="decimal" allowBlank="1" showInputMessage="1" showErrorMessage="1" errorTitle="There is a problem" error="You must enter a percentage value that is between -10 and 10" promptTitle="Enter a value" prompt="Enter a percentage value" sqref="C16:C21" xr:uid="{7EB4E09B-54CD-4D8E-95D4-786714D8F13C}">
      <formula1>-0.1</formula1>
      <formula2>0.1</formula2>
    </dataValidation>
    <dataValidation allowBlank="1" showInputMessage="1" showErrorMessage="1" errorTitle="There is a problem" sqref="E4" xr:uid="{091D2803-CDF8-4FC9-A225-B1B2285C051E}"/>
    <dataValidation allowBlank="1" showInputMessage="1" showErrorMessage="1" error="Select from the list." sqref="C26" xr:uid="{6920296F-A258-4476-AA51-DA287EEFD78D}"/>
  </dataValidations>
  <pageMargins left="0.70000000000000007" right="0.70000000000000007" top="0.75" bottom="0.75" header="0.30000000000000004" footer="0.30000000000000004"/>
  <pageSetup paperSize="9" orientation="portrait" r:id="rId1"/>
  <cellWatches>
    <cellWatch r="B17"/>
  </cellWatches>
  <extLst>
    <ext xmlns:x14="http://schemas.microsoft.com/office/spreadsheetml/2009/9/main" uri="{78C0D931-6437-407d-A8EE-F0AAD7539E65}">
      <x14:conditionalFormattings>
        <x14:conditionalFormatting xmlns:xm="http://schemas.microsoft.com/office/excel/2006/main">
          <x14:cfRule type="expression" priority="611" id="{C172787D-F1FE-48D6-9E21-45FAA62EED89}">
            <xm:f>SEARCH(RefData!$B$2,$B$7)</xm:f>
            <x14:dxf>
              <font>
                <color rgb="FF5F5F5F"/>
              </font>
              <fill>
                <patternFill>
                  <bgColor theme="0" tint="-0.14996795556505021"/>
                </patternFill>
              </fill>
            </x14:dxf>
          </x14:cfRule>
          <xm:sqref>A7:F7</xm:sqref>
        </x14:conditionalFormatting>
        <x14:conditionalFormatting xmlns:xm="http://schemas.microsoft.com/office/excel/2006/main">
          <x14:cfRule type="expression" priority="612" id="{7F7FD13D-73F2-4B15-8EB1-2C83765A8EBB}">
            <xm:f>SEARCH(RefData!$B$2,$B$9)</xm:f>
            <x14:dxf>
              <font>
                <strike val="0"/>
                <color rgb="FF5F5F5F"/>
              </font>
              <fill>
                <patternFill>
                  <bgColor theme="0" tint="-0.14996795556505021"/>
                </patternFill>
              </fill>
            </x14:dxf>
          </x14:cfRule>
          <xm:sqref>A9:F9</xm:sqref>
        </x14:conditionalFormatting>
        <x14:conditionalFormatting xmlns:xm="http://schemas.microsoft.com/office/excel/2006/main">
          <x14:cfRule type="expression" priority="613" id="{D8D42F48-308C-4894-AE72-E2710AC74BFF}">
            <xm:f>SEARCH(RefData!$B$2,$B$10)</xm:f>
            <x14:dxf>
              <font>
                <strike val="0"/>
                <color rgb="FF5F5F5F"/>
              </font>
              <fill>
                <patternFill>
                  <bgColor theme="0" tint="-0.14996795556505021"/>
                </patternFill>
              </fill>
            </x14:dxf>
          </x14:cfRule>
          <xm:sqref>A10:F10</xm:sqref>
        </x14:conditionalFormatting>
        <x14:conditionalFormatting xmlns:xm="http://schemas.microsoft.com/office/excel/2006/main">
          <x14:cfRule type="expression" priority="614" id="{E8CBEF7F-EFCC-4750-A6F7-1899C7100515}">
            <xm:f>SEARCH(RefData!$B$2,$B$11)</xm:f>
            <x14:dxf>
              <font>
                <strike val="0"/>
                <color rgb="FF5F5F5F"/>
              </font>
              <fill>
                <patternFill>
                  <bgColor theme="0" tint="-0.14996795556505021"/>
                </patternFill>
              </fill>
            </x14:dxf>
          </x14:cfRule>
          <xm:sqref>A11:F11</xm:sqref>
        </x14:conditionalFormatting>
        <x14:conditionalFormatting xmlns:xm="http://schemas.microsoft.com/office/excel/2006/main">
          <x14:cfRule type="expression" priority="615" id="{00000000-000E-0000-0700-000009000000}">
            <xm:f>SEARCH(RefData!$B$2,$B$12)</xm:f>
            <x14:dxf>
              <font>
                <strike val="0"/>
                <color rgb="FF5F5F5F"/>
              </font>
              <fill>
                <patternFill>
                  <bgColor theme="0" tint="-0.14996795556505021"/>
                </patternFill>
              </fill>
            </x14:dxf>
          </x14:cfRule>
          <xm:sqref>A12:F12</xm:sqref>
        </x14:conditionalFormatting>
        <x14:conditionalFormatting xmlns:xm="http://schemas.microsoft.com/office/excel/2006/main">
          <x14:cfRule type="expression" priority="616" id="{5A170A52-2177-4FAF-B084-CAC0A486DACD}">
            <xm:f>SEARCH(RefData!$B$2,$B$13)</xm:f>
            <x14:dxf>
              <font>
                <strike val="0"/>
                <color rgb="FF5F5F5F"/>
              </font>
              <fill>
                <patternFill>
                  <bgColor theme="0" tint="-0.14996795556505021"/>
                </patternFill>
              </fill>
            </x14:dxf>
          </x14:cfRule>
          <xm:sqref>A13:F13</xm:sqref>
        </x14:conditionalFormatting>
        <x14:conditionalFormatting xmlns:xm="http://schemas.microsoft.com/office/excel/2006/main">
          <x14:cfRule type="expression" priority="617" id="{2D44F45C-F1DC-4ACC-9A7E-3F54AF986D3B}">
            <xm:f>SEARCH(RefData!$B$2,$B$14)</xm:f>
            <x14:dxf>
              <font>
                <strike val="0"/>
                <color rgb="FF5F5F5F"/>
              </font>
              <fill>
                <patternFill>
                  <bgColor theme="0" tint="-0.14996795556505021"/>
                </patternFill>
              </fill>
            </x14:dxf>
          </x14:cfRule>
          <xm:sqref>A14:F14</xm:sqref>
        </x14:conditionalFormatting>
        <x14:conditionalFormatting xmlns:xm="http://schemas.microsoft.com/office/excel/2006/main">
          <x14:cfRule type="expression" priority="618" id="{F41D06BF-70C1-4C4F-A2A2-81788535A754}">
            <xm:f>SEARCH(RefData!$B$2,$B$15)</xm:f>
            <x14:dxf>
              <font>
                <strike val="0"/>
                <color rgb="FF5F5F5F"/>
              </font>
              <fill>
                <patternFill>
                  <bgColor theme="0" tint="-0.14996795556505021"/>
                </patternFill>
              </fill>
            </x14:dxf>
          </x14:cfRule>
          <xm:sqref>A15:F15</xm:sqref>
        </x14:conditionalFormatting>
        <x14:conditionalFormatting xmlns:xm="http://schemas.microsoft.com/office/excel/2006/main">
          <x14:cfRule type="expression" priority="619" id="{1DD876E9-A35F-46C8-B0CC-BD4652C5481E}">
            <xm:f>SEARCH(RefData!$B$2,$B$16)</xm:f>
            <x14:dxf>
              <font>
                <strike val="0"/>
                <color rgb="FF5F5F5F"/>
              </font>
              <fill>
                <patternFill>
                  <bgColor theme="0" tint="-0.14996795556505021"/>
                </patternFill>
              </fill>
            </x14:dxf>
          </x14:cfRule>
          <xm:sqref>A16:F16</xm:sqref>
        </x14:conditionalFormatting>
        <x14:conditionalFormatting xmlns:xm="http://schemas.microsoft.com/office/excel/2006/main">
          <x14:cfRule type="expression" priority="620" id="{F21182A2-6ADD-4B27-AE12-E44EAFC46C55}">
            <xm:f>SEARCH(RefData!$B$2,$B$17)</xm:f>
            <x14:dxf>
              <font>
                <strike val="0"/>
                <color rgb="FF5F5F5F"/>
              </font>
              <fill>
                <patternFill>
                  <bgColor theme="0" tint="-0.14996795556505021"/>
                </patternFill>
              </fill>
            </x14:dxf>
          </x14:cfRule>
          <xm:sqref>A17:F17</xm:sqref>
        </x14:conditionalFormatting>
        <x14:conditionalFormatting xmlns:xm="http://schemas.microsoft.com/office/excel/2006/main">
          <x14:cfRule type="expression" priority="621" id="{9815BD68-432A-41BC-9EEA-26A5459F0527}">
            <xm:f>SEARCH(RefData!$B$2,$B$18)</xm:f>
            <x14:dxf>
              <font>
                <strike val="0"/>
                <color rgb="FF5F5F5F"/>
              </font>
              <fill>
                <patternFill>
                  <bgColor theme="0" tint="-0.14996795556505021"/>
                </patternFill>
              </fill>
            </x14:dxf>
          </x14:cfRule>
          <xm:sqref>A18:F18</xm:sqref>
        </x14:conditionalFormatting>
        <x14:conditionalFormatting xmlns:xm="http://schemas.microsoft.com/office/excel/2006/main">
          <x14:cfRule type="expression" priority="622" id="{90C722EB-11FD-476C-8673-C96F04B44011}">
            <xm:f>SEARCH(RefData!$B$2,$B$19)</xm:f>
            <x14:dxf>
              <font>
                <strike val="0"/>
                <color rgb="FF5F5F5F"/>
              </font>
              <fill>
                <patternFill>
                  <bgColor theme="0" tint="-0.14996795556505021"/>
                </patternFill>
              </fill>
            </x14:dxf>
          </x14:cfRule>
          <xm:sqref>A19:F19</xm:sqref>
        </x14:conditionalFormatting>
        <x14:conditionalFormatting xmlns:xm="http://schemas.microsoft.com/office/excel/2006/main">
          <x14:cfRule type="expression" priority="623" id="{3DAA0DA6-E316-4EEB-8DC5-8089D1744244}">
            <xm:f>SEARCH(RefData!$B$2,$B$20)</xm:f>
            <x14:dxf>
              <font>
                <strike val="0"/>
                <color rgb="FF5F5F5F"/>
              </font>
              <fill>
                <patternFill>
                  <bgColor theme="0" tint="-0.14996795556505021"/>
                </patternFill>
              </fill>
            </x14:dxf>
          </x14:cfRule>
          <xm:sqref>A20:F20</xm:sqref>
        </x14:conditionalFormatting>
        <x14:conditionalFormatting xmlns:xm="http://schemas.microsoft.com/office/excel/2006/main">
          <x14:cfRule type="expression" priority="624" id="{CAD19B52-28AB-4418-8939-E227DA1E2315}">
            <xm:f>SEARCH(RefData!$B$2,$B$21)</xm:f>
            <x14:dxf>
              <font>
                <strike val="0"/>
                <color rgb="FF5F5F5F"/>
              </font>
              <fill>
                <patternFill>
                  <bgColor theme="0" tint="-0.14996795556505021"/>
                </patternFill>
              </fill>
            </x14:dxf>
          </x14:cfRule>
          <xm:sqref>A21:F21</xm:sqref>
        </x14:conditionalFormatting>
        <x14:conditionalFormatting xmlns:xm="http://schemas.microsoft.com/office/excel/2006/main">
          <x14:cfRule type="expression" priority="2" id="{51DA8496-43FE-40C1-A1BB-3D2BBC5958DC}">
            <xm:f>$C$25=RefData!$B$433</xm:f>
            <x14:dxf>
              <fill>
                <patternFill>
                  <bgColor rgb="FFEFF5FA"/>
                </patternFill>
              </fill>
            </x14:dxf>
          </x14:cfRule>
          <x14:cfRule type="expression" priority="3" id="{A9899400-FA60-433E-9F72-60E154A5225D}">
            <xm:f>$C$25=RefData!$B$434</xm:f>
            <x14:dxf>
              <fill>
                <patternFill>
                  <bgColor rgb="FFEFF5FA"/>
                </patternFill>
              </fill>
            </x14:dxf>
          </x14:cfRule>
          <xm:sqref>C25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errorTitle="There is a problem" error="You must select your answer from the drop-down list below." promptTitle="Select an answer" prompt="Choose from the list provided." xr:uid="{34112DC5-5C5F-4B09-877B-6890BF46D250}">
          <x14:formula1>
            <xm:f>RefData!$B$41:$B$45</xm:f>
          </x14:formula1>
          <xm:sqref>C11</xm:sqref>
        </x14:dataValidation>
        <x14:dataValidation type="list" allowBlank="1" showInputMessage="1" showErrorMessage="1" errorTitle="There is a problem" error="You must select your answer from the dropdown list." promptTitle="Select an answer" prompt="Choose from the list provided." xr:uid="{0A4B1C73-3A8C-4116-BEC0-6F2FF7200FD5}">
          <x14:formula1>
            <xm:f>RefData!$B$35:$B$40</xm:f>
          </x14:formula1>
          <xm:sqref>C8</xm:sqref>
        </x14:dataValidation>
        <x14:dataValidation type="list" allowBlank="1" showInputMessage="1" showErrorMessage="1" xr:uid="{FCBC6208-ABD3-42E4-A99F-9BBD9F880048}">
          <x14:formula1>
            <xm:f>RefData!$B$433:$B$435</xm:f>
          </x14:formula1>
          <xm:sqref>C25</xm:sqref>
        </x14:dataValidation>
        <x14:dataValidation type="list" allowBlank="1" showInputMessage="1" showErrorMessage="1" errorTitle="There is a problem" error="Do not answer this question if you indicated in the Cover sheet that the scheme does not meet the small scheme definition._x000a__x000a_If it does meet the small scheme definition, select 'Yield curve discount rate' or 'Spot rate'." promptTitle=" Select an answer" prompt="Choose from the list provided." xr:uid="{A03C68F5-FC3A-49A8-8556-67B39393BC54}">
          <x14:formula1>
            <xm:f>RefData!$B7:B8</xm:f>
          </x14:formula1>
          <xm:sqref>C7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5662D-210A-4E58-AFD0-77DB8305DEDC}">
  <sheetPr codeName="Sheet11"/>
  <dimension ref="A1:N32"/>
  <sheetViews>
    <sheetView zoomScaleNormal="100" workbookViewId="0">
      <selection sqref="A1:B1"/>
    </sheetView>
  </sheetViews>
  <sheetFormatPr defaultColWidth="0" defaultRowHeight="0" customHeight="1" zeroHeight="1"/>
  <cols>
    <col min="1" max="1" width="13.07421875" style="20" customWidth="1"/>
    <col min="2" max="2" width="62.69140625" style="20" customWidth="1"/>
    <col min="3" max="3" width="30.69140625" style="20" customWidth="1"/>
    <col min="4" max="6" width="62.69140625" style="20" customWidth="1"/>
    <col min="7" max="14" width="33.69140625" style="20" hidden="1" customWidth="1"/>
    <col min="15" max="16384" width="8.69140625" style="20" hidden="1"/>
  </cols>
  <sheetData>
    <row r="1" spans="1:7" s="40" customFormat="1" ht="50.15" customHeight="1" thickBot="1">
      <c r="A1" s="747" t="s">
        <v>268</v>
      </c>
      <c r="B1" s="786"/>
      <c r="C1" s="13"/>
      <c r="D1" s="13"/>
      <c r="E1" s="13"/>
      <c r="F1" s="13"/>
    </row>
    <row r="2" spans="1:7" s="40" customFormat="1" ht="50.15" customHeight="1" thickTop="1" thickBot="1">
      <c r="A2" s="742" t="s">
        <v>85</v>
      </c>
      <c r="B2" s="791"/>
      <c r="C2" s="742"/>
      <c r="D2" s="791"/>
      <c r="E2" s="742"/>
      <c r="F2" s="791"/>
    </row>
    <row r="3" spans="1:7" s="40" customFormat="1" ht="300" customHeight="1" thickTop="1" thickBot="1">
      <c r="A3" s="744" t="s">
        <v>269</v>
      </c>
      <c r="B3" s="790"/>
      <c r="C3" s="22"/>
      <c r="D3" s="54"/>
      <c r="E3" s="54"/>
      <c r="F3" s="54"/>
    </row>
    <row r="4" spans="1:7" ht="20.149999999999999" customHeight="1" thickBot="1">
      <c r="A4" s="75"/>
      <c r="B4" s="75"/>
      <c r="C4" s="75" t="s">
        <v>23</v>
      </c>
      <c r="D4" s="69"/>
      <c r="E4" s="69"/>
      <c r="F4" s="69"/>
    </row>
    <row r="5" spans="1:7" ht="50.15" customHeight="1" thickBot="1">
      <c r="A5" s="750" t="s">
        <v>270</v>
      </c>
      <c r="B5" s="751"/>
      <c r="C5" s="57"/>
      <c r="D5" s="57"/>
      <c r="E5" s="57"/>
      <c r="F5" s="57"/>
    </row>
    <row r="6" spans="1:7" s="47" customFormat="1" ht="36" customHeight="1" thickTop="1" thickBot="1">
      <c r="A6" s="8" t="s">
        <v>89</v>
      </c>
      <c r="B6" s="8" t="s">
        <v>90</v>
      </c>
      <c r="C6" s="8" t="s">
        <v>91</v>
      </c>
      <c r="D6" s="199" t="s">
        <v>92</v>
      </c>
      <c r="E6" s="199" t="s">
        <v>104</v>
      </c>
      <c r="F6" s="199" t="s">
        <v>93</v>
      </c>
      <c r="G6" s="17"/>
    </row>
    <row r="7" spans="1:7" ht="140.15" customHeight="1" thickTop="1">
      <c r="A7" s="20" t="s">
        <v>271</v>
      </c>
      <c r="B7" s="162" t="str">
        <f>Questions!B138</f>
        <v xml:space="preserve">
Is any benefit revaluation or indexation linked to inflation?
</v>
      </c>
      <c r="C7" s="536"/>
      <c r="D7" s="351" t="str">
        <f ca="1">'Reconciliation report'!D119</f>
        <v xml:space="preserve">
Select the option from the drop down list that describes whether any benefit revaluation or indexation is linked to inflation.
</v>
      </c>
      <c r="E7" s="124" t="str">
        <f>Guidance!B74</f>
        <v xml:space="preserve">
We'll need to know if the scheme benefits are linked to inflation for the purposes of asking for the appropriate RPI and/or CPI information.
</v>
      </c>
      <c r="F7" s="226"/>
    </row>
    <row r="8" spans="1:7" ht="77.5">
      <c r="A8" s="20" t="s">
        <v>273</v>
      </c>
      <c r="B8" s="119" t="str">
        <f>Questions!C139</f>
        <v xml:space="preserve">No answer required
What is the single equivalent RPI assumption?
</v>
      </c>
      <c r="C8" s="553"/>
      <c r="D8" s="351" t="str">
        <f ca="1">'Reconciliation report'!D120</f>
        <v/>
      </c>
      <c r="E8" s="119" t="str">
        <f>Guidance!B75</f>
        <v xml:space="preserve">
For small schemes, we only require the single RPI spot rate, however small schemes using a yield curve approach can instead provide the next 40 years RPI forward rates.
</v>
      </c>
      <c r="F8" s="128"/>
    </row>
    <row r="9" spans="1:7" ht="78" customHeight="1" thickBot="1">
      <c r="A9" s="20" t="s">
        <v>274</v>
      </c>
      <c r="B9" s="119" t="str">
        <f>Questions!C140</f>
        <v xml:space="preserve">No answer required
What is the single equivalent CPI assumption?
</v>
      </c>
      <c r="C9" s="554"/>
      <c r="D9" s="351" t="str">
        <f ca="1">'Reconciliation report'!D121</f>
        <v/>
      </c>
      <c r="E9" s="119" t="str">
        <f>Guidance!B76</f>
        <v>For small schemes, we only require the single CPI spot rate, however small schemes using a yield curve approach can instead provide the next 40 years CPI forward rates.</v>
      </c>
      <c r="F9" s="128"/>
    </row>
    <row r="10" spans="1:7" ht="93.5" thickBot="1">
      <c r="A10" s="20" t="s">
        <v>275</v>
      </c>
      <c r="B10" s="156" t="str">
        <f>Questions!B141</f>
        <v xml:space="preserve">
Do any benefits have a salary link?
</v>
      </c>
      <c r="C10" s="343"/>
      <c r="D10" s="351" t="str">
        <f ca="1">'Reconciliation report'!D122</f>
        <v xml:space="preserve">
Select ‘Yes' if some benefits have a salary link or ‘No' if they do not.
</v>
      </c>
      <c r="E10" s="122" t="str">
        <f>Guidance!B77</f>
        <v xml:space="preserve">
We'll need to know if any scheme benefits are linked to salary increases to determine whether salary increase rates need to be provided. Benefits linked to salary increases include both any future accrual, and any deferred benefits that remain linked to salary increases.
</v>
      </c>
      <c r="F10" s="227"/>
    </row>
    <row r="11" spans="1:7" ht="81" customHeight="1" thickBot="1">
      <c r="A11" s="20" t="s">
        <v>277</v>
      </c>
      <c r="B11" s="149" t="str">
        <f>Questions!C142</f>
        <v xml:space="preserve">No answer required
Pay increases: active members (excluding promotional scale).
</v>
      </c>
      <c r="C11" s="555"/>
      <c r="D11" s="351" t="str">
        <f ca="1">'Reconciliation report'!D123</f>
        <v/>
      </c>
      <c r="E11" s="149" t="str">
        <f>Guidance!B78</f>
        <v xml:space="preserve">
For small schemes, we will only require the single salary increase rate, however small schemes using a yield curve approach can provide the next 40 years salary increase forward rates.
</v>
      </c>
      <c r="F11" s="171"/>
    </row>
    <row r="12" spans="1:7" ht="20.149999999999999" customHeight="1" thickBot="1">
      <c r="A12" s="75"/>
      <c r="B12" s="69"/>
      <c r="C12" s="75" t="s">
        <v>23</v>
      </c>
      <c r="D12" s="69"/>
      <c r="E12" s="69"/>
      <c r="F12" s="69"/>
    </row>
    <row r="13" spans="1:7" s="40" customFormat="1" ht="50.15" customHeight="1" thickBot="1">
      <c r="A13" s="750" t="s">
        <v>278</v>
      </c>
      <c r="B13" s="751"/>
      <c r="C13" s="57"/>
      <c r="D13" s="57"/>
      <c r="E13" s="57"/>
      <c r="F13" s="57"/>
    </row>
    <row r="14" spans="1:7" s="47" customFormat="1" ht="36" customHeight="1" thickTop="1" thickBot="1">
      <c r="A14" s="8" t="s">
        <v>89</v>
      </c>
      <c r="B14" s="8" t="s">
        <v>90</v>
      </c>
      <c r="C14" s="8" t="s">
        <v>91</v>
      </c>
      <c r="D14" s="199" t="s">
        <v>92</v>
      </c>
      <c r="E14" s="199" t="s">
        <v>104</v>
      </c>
      <c r="F14" s="199" t="s">
        <v>93</v>
      </c>
      <c r="G14" s="17"/>
    </row>
    <row r="15" spans="1:7" s="27" customFormat="1" ht="109.5" thickTop="1" thickBot="1">
      <c r="A15" s="161" t="s">
        <v>279</v>
      </c>
      <c r="B15" s="121" t="str">
        <f>Questions!B375</f>
        <v xml:space="preserve">
Has allowance been made for pensions to be commuted for tax-free cash on retirement within the calculation of technical provisions?
</v>
      </c>
      <c r="C15" s="343"/>
      <c r="D15" s="351" t="str">
        <f ca="1">'Reconciliation report'!D124</f>
        <v xml:space="preserve">
Select ‘Yes' if allowance has been made for pensions to be commuted for tax-free cash on retirement within the calculation of technical provisions’ or ‘No' if it has not.
</v>
      </c>
      <c r="E15" s="158" t="str">
        <f>Guidance!B249</f>
        <v xml:space="preserve">
We need to know whether allowance has been made for pensions to be commuted for tax free cash on retirement within the calculation of technical provisions. This is only when pension is commuted for cash lump sums (it is not including allowances for cash benefits paid separately/in addition).
</v>
      </c>
      <c r="F15" s="228"/>
    </row>
    <row r="16" spans="1:7" s="27" customFormat="1" ht="93">
      <c r="A16" s="225" t="s">
        <v>281</v>
      </c>
      <c r="B16" s="152" t="str">
        <f>Questions!C376</f>
        <v xml:space="preserve">
No answer required
What is the assumed increase in the technical provisions liabilities if there were no allowance for commutation? (£)</v>
      </c>
      <c r="C16" s="406"/>
      <c r="D16" s="351" t="str">
        <f ca="1">'Reconciliation report'!D125</f>
        <v/>
      </c>
      <c r="E16" s="163" t="str">
        <f>Guidance!B250</f>
        <v xml:space="preserve">
For those schemes who make allowance for cash commutation, given the variety of commutation factors that might be applied in the valuation, we simply ask for the impact (increase) in the value technical provisions if no allowance for commutation was made.
</v>
      </c>
      <c r="F16" s="229"/>
    </row>
    <row r="17" spans="1:8" s="27" customFormat="1" ht="186">
      <c r="A17" s="161" t="s">
        <v>282</v>
      </c>
      <c r="B17" s="119" t="str">
        <f>Questions!B377</f>
        <v xml:space="preserve">
What is the male cohort expected age of death, for current pensioners aged 65 at valuation date on a technical provisions basis?
</v>
      </c>
      <c r="C17" s="478"/>
      <c r="D17" s="351" t="str">
        <f ca="1">'Reconciliation report'!D126</f>
        <v xml:space="preserve">
Enter a number between 65 and 125 to 1 decimal place.
</v>
      </c>
      <c r="E17" s="157" t="str">
        <f>Guidance!B251</f>
        <v xml:space="preserve">
The expected age of death for male members aged 65 at the valuation date.  
This should be calculated using the mortality assumptions used in the calculation of the pensioner liabilities for the technical provisions.  
Where individual mortality assumptions are applied to each member when calculating the technical provisions, we expect this answer to be in line with the mortality assumption which best represents the male pensioner cohort as a whole. 
</v>
      </c>
      <c r="F17" s="230"/>
    </row>
    <row r="18" spans="1:8" s="27" customFormat="1" ht="186">
      <c r="A18" s="161" t="s">
        <v>283</v>
      </c>
      <c r="B18" s="119" t="str">
        <f>Questions!B378</f>
        <v xml:space="preserve">
What is the female cohort expected age of death, for current pensioners aged 65 at valuation date on a technical provisions basis?
</v>
      </c>
      <c r="C18" s="478"/>
      <c r="D18" s="351" t="str">
        <f ca="1">'Reconciliation report'!D127</f>
        <v xml:space="preserve">
Enter a number between 65 and 125 to 1 decimal place.
</v>
      </c>
      <c r="E18" s="157" t="str">
        <f>Guidance!B252</f>
        <v xml:space="preserve">
The expected age of death for female members aged 65 at the valuation date.  
This should be calculated using the mortality assumptions used in the calculation of the pensioner liabilities for the technical provisions.  
Where individual mortality assumptions are applied to each member when calculating the technical provisions, we expect this answer to be in line with the mortality assumption which best represents the female pensioner cohort as a whole.
</v>
      </c>
      <c r="F18" s="230"/>
    </row>
    <row r="19" spans="1:8" s="27" customFormat="1" ht="217">
      <c r="A19" s="161" t="s">
        <v>284</v>
      </c>
      <c r="B19" s="119" t="str">
        <f>Questions!B379</f>
        <v xml:space="preserve">
What is the male cohort expected age of death, for future pensioners aged 45 at valuation date on a technical provisions basis, assuming they survive to age 65?
</v>
      </c>
      <c r="C19" s="478"/>
      <c r="D19" s="351" t="str">
        <f ca="1">'Reconciliation report'!D128</f>
        <v xml:space="preserve">
Enter a number between 65 and 125 to 1 decimal place.
</v>
      </c>
      <c r="E19" s="157" t="str">
        <f>Guidance!B253</f>
        <v xml:space="preserve">
The expected future age of death for male members currently aged 45 at the valuation date, when they reach age 65. For these purposes assume that the member survives to age 65 (i.e. make no allowance for pre retirement mortality between the ages of 45 and 65).
This should be calculated using the mortality assumptions used in the calculation of the technical provisions.  
Where individual mortality assumptions are applied to each member when calculating the technical provisions, we expect this answer to be in line with the mortality assumption which best represents the Male non-pensioner cohort as a whole.
</v>
      </c>
      <c r="F19" s="230"/>
    </row>
    <row r="20" spans="1:8" s="27" customFormat="1" ht="217.5" thickBot="1">
      <c r="A20" s="225" t="s">
        <v>285</v>
      </c>
      <c r="B20" s="149" t="str">
        <f>Questions!B380</f>
        <v xml:space="preserve">
What is the female cohort expected age of death, for future pensioners aged 45 at valuation date on a technical provisions basis, assuming they survive to age 65?
</v>
      </c>
      <c r="C20" s="484"/>
      <c r="D20" s="351" t="str">
        <f ca="1">'Reconciliation report'!D129</f>
        <v xml:space="preserve">
Enter a number between 65 and 125 to 1 decimal place.
</v>
      </c>
      <c r="E20" s="159" t="str">
        <f>Guidance!B254</f>
        <v xml:space="preserve">
The expected future age of death for female members currently aged 45 at the valuation date, when they reach age 65. For these purposes assume that the member survives to age 65 (i.e. make no allowance for pre retirement mortality between the ages of 45 and 65).
This should be calculated using the mortality assumptions used in the calculation of the technical provisions.  
Where individual mortality assumptions are applied to each member when calculating the technical provisions, we expect this answer to be in line with the mortality assumption which best represents the Female non-pensioner cohort as a whole.
</v>
      </c>
      <c r="F20" s="231"/>
    </row>
    <row r="21" spans="1:8" ht="20.149999999999999" customHeight="1" thickBot="1">
      <c r="A21" s="75"/>
      <c r="B21" s="69"/>
      <c r="C21" s="75" t="s">
        <v>23</v>
      </c>
      <c r="D21" s="69"/>
      <c r="E21" s="69"/>
      <c r="F21" s="69"/>
    </row>
    <row r="22" spans="1:8" ht="50.15" customHeight="1" thickBot="1">
      <c r="A22" s="750" t="s">
        <v>286</v>
      </c>
      <c r="B22" s="751"/>
      <c r="C22" s="57"/>
      <c r="D22" s="57"/>
      <c r="E22" s="57"/>
      <c r="F22" s="57"/>
    </row>
    <row r="23" spans="1:8" s="47" customFormat="1" ht="36" customHeight="1" thickTop="1" thickBot="1">
      <c r="A23" s="8" t="s">
        <v>89</v>
      </c>
      <c r="B23" s="8" t="s">
        <v>90</v>
      </c>
      <c r="C23" s="8" t="s">
        <v>91</v>
      </c>
      <c r="D23" s="199" t="s">
        <v>92</v>
      </c>
      <c r="E23" s="199" t="s">
        <v>104</v>
      </c>
      <c r="F23" s="199" t="s">
        <v>93</v>
      </c>
      <c r="G23" s="17"/>
    </row>
    <row r="24" spans="1:8" s="5" customFormat="1" ht="109.5" thickTop="1" thickBot="1">
      <c r="A24" s="5" t="s">
        <v>287</v>
      </c>
      <c r="B24" s="189" t="str">
        <f>Questions!B381</f>
        <v xml:space="preserve">
Is the technical provisions basis the same as the low dependency basis in all aspects?
</v>
      </c>
      <c r="C24" s="492"/>
      <c r="D24" s="351" t="str">
        <f ca="1">'Reconciliation report'!D130</f>
        <v xml:space="preserve">
Select ‘Yes' if the technical provisions basis is the same as the low dependency basis in all respects and ‘No' if it is not.
</v>
      </c>
      <c r="E24" s="164" t="str">
        <f>Guidance!B255</f>
        <v xml:space="preserve">
We need to know if the technical provisions basis is the same as the low dependency basis in all respects (i.e. whether all financial and demographic assumptions are the same). This is for the purposes of determining the appropriate wording in this section of the statement of strategy.
</v>
      </c>
      <c r="F24" s="232"/>
    </row>
    <row r="25" spans="1:8" s="5" customFormat="1" ht="140" thickBot="1">
      <c r="A25" s="5" t="s">
        <v>289</v>
      </c>
      <c r="B25" s="188" t="str">
        <f>Questions!C382</f>
        <v xml:space="preserve">
Has the same underlying yield curve been used for the low dependency basis and the technical provisions basis?
</v>
      </c>
      <c r="C25" s="343"/>
      <c r="D25" s="351" t="str">
        <f ca="1">'Reconciliation report'!D131</f>
        <v/>
      </c>
      <c r="E25" s="165" t="str">
        <f>Guidance!B256</f>
        <v xml:space="preserve">
We'll need to know the answer to this question for the purposes of determining the appropriate wording in this section of the statement of strategy.
Exclude any discount rate premiums applied when determining whether the same underlying yield curve is used for both technical provisions and the low dependency liabilities.
</v>
      </c>
      <c r="F25" s="233"/>
    </row>
    <row r="26" spans="1:8" ht="124.5" thickBot="1">
      <c r="A26" s="5" t="s">
        <v>291</v>
      </c>
      <c r="B26" s="188" t="str">
        <f>Questions!C383</f>
        <v xml:space="preserve">
Excluding discount rates, is your technical provisions basis the same as your low dependency funding basis?
</v>
      </c>
      <c r="C26" s="487"/>
      <c r="D26" s="351" t="str">
        <f ca="1">'Reconciliation report'!D132</f>
        <v/>
      </c>
      <c r="E26" s="165" t="str">
        <f>Guidance!B257</f>
        <v xml:space="preserve">
We'll need to know the answer to this question for the purposes of determining the appropriate wording in this section of the statement of strategy.
Include all other financial assumptions and all demographic assumptions when answering this question.
</v>
      </c>
      <c r="F26" s="233"/>
    </row>
    <row r="27" spans="1:8" ht="86.9" customHeight="1" thickBot="1">
      <c r="A27" s="132" t="s">
        <v>293</v>
      </c>
      <c r="B27" s="149" t="str">
        <f>Questions!C384</f>
        <v xml:space="preserve">
No answer required
Explain the differences between the technical provisions assumptions and the low dependency assumptions (with the exception of discount rate premiums).
</v>
      </c>
      <c r="C27" s="493"/>
      <c r="D27" s="351" t="str">
        <f ca="1">'Reconciliation report'!D133</f>
        <v/>
      </c>
      <c r="E27" s="166" t="str">
        <f>Guidance!B258</f>
        <v xml:space="preserve">
List any assumptions which are different and in each case briefly explain the differences.
</v>
      </c>
      <c r="F27" s="234"/>
    </row>
    <row r="28" spans="1:8" ht="20.149999999999999" hidden="1" customHeight="1" thickBot="1">
      <c r="A28" s="75"/>
      <c r="B28" s="75"/>
      <c r="C28" s="75" t="s">
        <v>23</v>
      </c>
      <c r="D28" s="99"/>
      <c r="E28" s="200"/>
      <c r="F28" s="200"/>
      <c r="G28" s="200"/>
    </row>
    <row r="29" spans="1:8" ht="50.15" hidden="1" customHeight="1" thickBot="1">
      <c r="A29" s="750" t="s">
        <v>117</v>
      </c>
      <c r="B29" s="751"/>
      <c r="C29" s="57"/>
      <c r="D29" s="57"/>
      <c r="E29" s="57"/>
      <c r="F29" s="57"/>
      <c r="G29" s="57"/>
    </row>
    <row r="30" spans="1:8" s="47" customFormat="1" ht="36" hidden="1" customHeight="1" thickTop="1" thickBot="1">
      <c r="A30" s="752" t="s">
        <v>90</v>
      </c>
      <c r="B30" s="753"/>
      <c r="C30" s="668" t="s">
        <v>91</v>
      </c>
      <c r="D30" s="669"/>
      <c r="E30" s="667"/>
      <c r="F30" s="667"/>
      <c r="G30" s="667"/>
      <c r="H30" s="17"/>
    </row>
    <row r="31" spans="1:8" ht="86" hidden="1" customHeight="1" thickTop="1" thickBot="1">
      <c r="A31" s="744" t="s">
        <v>118</v>
      </c>
      <c r="B31" s="754"/>
      <c r="C31" s="683"/>
      <c r="D31" s="62"/>
      <c r="E31" s="667"/>
      <c r="F31" s="667"/>
      <c r="G31" s="196"/>
    </row>
    <row r="32" spans="1:8" s="47" customFormat="1" ht="50.25" customHeight="1">
      <c r="A32" s="439"/>
      <c r="B32" s="255"/>
      <c r="C32" s="439"/>
      <c r="D32" s="439"/>
      <c r="E32" s="439"/>
      <c r="F32" s="439"/>
    </row>
  </sheetData>
  <sheetProtection algorithmName="SHA-512" hashValue="cwMsS9fdch8UBjjKLSYKxxHr0SrUdhb++fmwNQ+dTyKmfEjiAXHH+dySR5hreE9//R5H7yvRvySzrBon4jDa4w==" saltValue="Uh/7Sq8Bkd+qY2imzpMINg==" spinCount="100000" sheet="1" objects="1" scenarios="1" sort="0" autoFilter="0"/>
  <mergeCells count="11">
    <mergeCell ref="A31:B31"/>
    <mergeCell ref="A1:B1"/>
    <mergeCell ref="A2:B2"/>
    <mergeCell ref="A3:B3"/>
    <mergeCell ref="A29:B29"/>
    <mergeCell ref="A30:B30"/>
    <mergeCell ref="C2:D2"/>
    <mergeCell ref="E2:F2"/>
    <mergeCell ref="A5:B5"/>
    <mergeCell ref="A13:B13"/>
    <mergeCell ref="A22:B22"/>
  </mergeCells>
  <conditionalFormatting sqref="C31">
    <cfRule type="expression" dxfId="671" priority="1">
      <formula>$C$31=""</formula>
    </cfRule>
  </conditionalFormatting>
  <conditionalFormatting sqref="D7:D11 D15:D20 D24:D27">
    <cfRule type="notContainsBlanks" dxfId="668" priority="4">
      <formula>LEN(TRIM(D7))&gt;0</formula>
    </cfRule>
  </conditionalFormatting>
  <dataValidations xWindow="938" yWindow="686" count="7">
    <dataValidation type="decimal" allowBlank="1" showInputMessage="1" showErrorMessage="1" errorTitle="There is a problem" error="You must enter a percentage value that is between 0 and 25." promptTitle="Enter a value" prompt="Enter a percentage value" sqref="C11" xr:uid="{B6BC1D35-29E9-48E7-83B5-68F6109DBB72}">
      <formula1>0</formula1>
      <formula2>0.25</formula2>
    </dataValidation>
    <dataValidation type="custom" allowBlank="1" showInputMessage="1" showErrorMessage="1" errorTitle="There is a problem" error="You must enter a value between -1,000,000,000,000 and 1,000,000,000,000 (1 trillion) with up to two decimal places." promptTitle="Enter a value" prompt="Enter a number (£)" sqref="C16" xr:uid="{CD0523B7-092D-4B03-89F6-D73B4B02A2F7}">
      <formula1>AND(ISNUMBER(VALUE(C16)), VALUE(C16)&gt;=-999999999999.99, VALUE(C16)&lt;=999999999999.99, IF(ISERROR(FIND(".", C16)), VALUE(C16)=INT(VALUE(C16)), LEN(C16)-FIND(".", C16)&lt;=2))</formula1>
    </dataValidation>
    <dataValidation type="decimal" allowBlank="1" showInputMessage="1" showErrorMessage="1" errorTitle="There is a problem" error="You must enter a number between 65 and 125 to 1 decimal place." promptTitle="Enter a value" prompt="Enter a number" sqref="C17:C20" xr:uid="{3A740BB7-927E-4760-919B-CEB6EAB3E16F}">
      <formula1>65</formula1>
      <formula2>125</formula2>
    </dataValidation>
    <dataValidation allowBlank="1" showInputMessage="1" showErrorMessage="1" errorTitle="There is a problem" sqref="E21 E12 E4" xr:uid="{D63A1492-2E4C-4104-B850-4B9A8428D556}"/>
    <dataValidation type="decimal" allowBlank="1" showInputMessage="1" showErrorMessage="1" errorTitle="There is a problem" error="You must enter a percentage value that is between -25 and 25." promptTitle="Enter a value" prompt="Enter a percentage value" sqref="C8:C9" xr:uid="{EB3049E0-9B0A-4E7E-882D-4BADA90CE0DA}">
      <formula1>-0.25</formula1>
      <formula2>0.25</formula2>
    </dataValidation>
    <dataValidation type="textLength" operator="lessThanOrEqual" allowBlank="1" showInputMessage="1" showErrorMessage="1" errorTitle="There is a problem" error="Your answer must not exceed 4000 characters" promptTitle="Add your answer" prompt="Answer this question in 4000 characters or less" sqref="C27" xr:uid="{63D21570-448E-44A4-9B76-1CF61A0DF7F0}">
      <formula1>4000</formula1>
    </dataValidation>
    <dataValidation allowBlank="1" showInputMessage="1" showErrorMessage="1" error="Select from the list." sqref="C32" xr:uid="{2BECEB06-F0C4-4F72-A318-B2992A81F985}"/>
  </dataValidations>
  <pageMargins left="0.70000000000000007" right="0.70000000000000007" top="0.75" bottom="0.75" header="0.30000000000000004" footer="0.30000000000000004"/>
  <pageSetup paperSize="9" fitToWidth="0"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625" id="{A57B1357-56B6-4429-BF04-44B8017B264E}">
            <xm:f>SEARCH(RefData!$B$2,$B$8)</xm:f>
            <x14:dxf>
              <fill>
                <patternFill>
                  <bgColor theme="0" tint="-0.14996795556505021"/>
                </patternFill>
              </fill>
            </x14:dxf>
          </x14:cfRule>
          <xm:sqref>A8:F8</xm:sqref>
        </x14:conditionalFormatting>
        <x14:conditionalFormatting xmlns:xm="http://schemas.microsoft.com/office/excel/2006/main">
          <x14:cfRule type="expression" priority="626" id="{06A88554-2823-4A03-8F38-CC6404188765}">
            <xm:f>SEARCH(RefData!$B$2,$B$9)</xm:f>
            <x14:dxf>
              <fill>
                <patternFill>
                  <bgColor theme="0" tint="-0.14996795556505021"/>
                </patternFill>
              </fill>
            </x14:dxf>
          </x14:cfRule>
          <xm:sqref>A9:F9</xm:sqref>
        </x14:conditionalFormatting>
        <x14:conditionalFormatting xmlns:xm="http://schemas.microsoft.com/office/excel/2006/main">
          <x14:cfRule type="expression" priority="627" id="{68CC6A83-1643-4EF3-8A36-568B5ADBD067}">
            <xm:f>SEARCH(RefData!$B$2,$B$11)</xm:f>
            <x14:dxf>
              <fill>
                <patternFill>
                  <bgColor theme="0" tint="-0.14996795556505021"/>
                </patternFill>
              </fill>
            </x14:dxf>
          </x14:cfRule>
          <xm:sqref>A11:F11</xm:sqref>
        </x14:conditionalFormatting>
        <x14:conditionalFormatting xmlns:xm="http://schemas.microsoft.com/office/excel/2006/main">
          <x14:cfRule type="expression" priority="628" id="{F2A420BC-3C22-4A50-9E53-F9C29A4ACA33}">
            <xm:f>SEARCH(RefData!$B$2,$B$16)</xm:f>
            <x14:dxf>
              <fill>
                <patternFill>
                  <bgColor theme="0" tint="-0.14996795556505021"/>
                </patternFill>
              </fill>
            </x14:dxf>
          </x14:cfRule>
          <xm:sqref>A16:F16</xm:sqref>
        </x14:conditionalFormatting>
        <x14:conditionalFormatting xmlns:xm="http://schemas.microsoft.com/office/excel/2006/main">
          <x14:cfRule type="expression" priority="629" id="{C83389AF-7646-47F3-BB21-65B4F0A7A532}">
            <xm:f>SEARCH(RefData!$B$2,$B$25)</xm:f>
            <x14:dxf>
              <fill>
                <patternFill>
                  <bgColor theme="0" tint="-0.14996795556505021"/>
                </patternFill>
              </fill>
            </x14:dxf>
          </x14:cfRule>
          <xm:sqref>A25:F25</xm:sqref>
        </x14:conditionalFormatting>
        <x14:conditionalFormatting xmlns:xm="http://schemas.microsoft.com/office/excel/2006/main">
          <x14:cfRule type="expression" priority="630" id="{7948FC70-DA5D-4DF8-B5E3-5751341C5A70}">
            <xm:f>SEARCH(RefData!$B$2,$B$26)</xm:f>
            <x14:dxf>
              <fill>
                <patternFill>
                  <bgColor theme="0" tint="-0.14996795556505021"/>
                </patternFill>
              </fill>
            </x14:dxf>
          </x14:cfRule>
          <xm:sqref>A26:F26</xm:sqref>
        </x14:conditionalFormatting>
        <x14:conditionalFormatting xmlns:xm="http://schemas.microsoft.com/office/excel/2006/main">
          <x14:cfRule type="expression" priority="631" id="{890E6EC3-F9A9-4224-AA9B-ECED8ADA38EA}">
            <xm:f>SEARCH(RefData!$B$2,$B$27)</xm:f>
            <x14:dxf>
              <fill>
                <patternFill>
                  <bgColor theme="0" tint="-0.14996795556505021"/>
                </patternFill>
              </fill>
            </x14:dxf>
          </x14:cfRule>
          <xm:sqref>A27:F27</xm:sqref>
        </x14:conditionalFormatting>
        <x14:conditionalFormatting xmlns:xm="http://schemas.microsoft.com/office/excel/2006/main">
          <x14:cfRule type="expression" priority="2" id="{D727C484-C217-4543-99B3-E42A8D2239DA}">
            <xm:f>$C$31=RefData!$B$433</xm:f>
            <x14:dxf>
              <fill>
                <patternFill>
                  <bgColor rgb="FFEFF5FA"/>
                </patternFill>
              </fill>
            </x14:dxf>
          </x14:cfRule>
          <x14:cfRule type="expression" priority="3" id="{2F8533A1-80C6-4BBD-9CDD-86FB00848401}">
            <xm:f>$C$31=RefData!$B$434</xm:f>
            <x14:dxf>
              <fill>
                <patternFill>
                  <bgColor rgb="FFEFF5FA"/>
                </patternFill>
              </fill>
            </x14:dxf>
          </x14:cfRule>
          <xm:sqref>C31</xm:sqref>
        </x14:conditionalFormatting>
      </x14:conditionalFormattings>
    </ext>
    <ext xmlns:x14="http://schemas.microsoft.com/office/spreadsheetml/2009/9/main" uri="{CCE6A557-97BC-4b89-ADB6-D9C93CAAB3DF}">
      <x14:dataValidations xmlns:xm="http://schemas.microsoft.com/office/excel/2006/main" xWindow="938" yWindow="686" count="7">
        <x14:dataValidation type="list" operator="lessThanOrEqual" allowBlank="1" showInputMessage="1" showErrorMessage="1" errorTitle="There is a problem" error="You must select your answer from the drop down list" promptTitle="Select an answer" prompt="Choose from the list provided" xr:uid="{944C8A8D-7B0D-41A0-A64A-8E592E84B55C}">
          <x14:formula1>
            <xm:f>RefData!$B$200:$B$201</xm:f>
          </x14:formula1>
          <xm:sqref>C25</xm:sqref>
        </x14:dataValidation>
        <x14:dataValidation type="list" allowBlank="1" showInputMessage="1" showErrorMessage="1" errorTitle="There is a problem" error="You must select your answer from the drop-down list." promptTitle="Select an answer" prompt="Choose from the list provided." xr:uid="{0E761FCD-ACB9-46FE-9DED-2D81CC389EE3}">
          <x14:formula1>
            <xm:f>RefData!$B$198:$B$199</xm:f>
          </x14:formula1>
          <xm:sqref>C24</xm:sqref>
        </x14:dataValidation>
        <x14:dataValidation type="list" allowBlank="1" showInputMessage="1" showErrorMessage="1" errorTitle="There is a problem" error="You must select 'Yes' or 'No' from the drop-down list." promptTitle="Select an answer" prompt="Choose from the list provided." xr:uid="{4F3321F3-1C6E-4136-979D-98A538C80188}">
          <x14:formula1>
            <xm:f>RefData!$B$50:$B$51</xm:f>
          </x14:formula1>
          <xm:sqref>C10</xm:sqref>
        </x14:dataValidation>
        <x14:dataValidation type="list" allowBlank="1" showInputMessage="1" showErrorMessage="1" errorTitle="There is a problem" error="You must select 'Yes' or 'No' from the drop-down list." promptTitle="Select an answer" prompt="Choose from the list provided." xr:uid="{2339C455-23C6-48C1-A43A-940A3DC9D440}">
          <x14:formula1>
            <xm:f>RefData!$B$196:$B$197</xm:f>
          </x14:formula1>
          <xm:sqref>C15</xm:sqref>
        </x14:dataValidation>
        <x14:dataValidation type="list" allowBlank="1" showInputMessage="1" showErrorMessage="1" errorTitle="There is a problem" error="You must select your answer from the drop down list" promptTitle="Select an answer" prompt="Choose from the list provided" xr:uid="{EE99AF5B-79CB-4B60-84F5-E9B0EDC52851}">
          <x14:formula1>
            <xm:f>RefData!$B$202:$B$203</xm:f>
          </x14:formula1>
          <xm:sqref>C26</xm:sqref>
        </x14:dataValidation>
        <x14:dataValidation type="list" allowBlank="1" showInputMessage="1" showErrorMessage="1" errorTitle="There is a problem" error="You must select your answer from the drop down list" promptTitle="Select an answer" prompt="Choose from the list provided" xr:uid="{4DB550B8-AD94-4662-9829-16FE9F3272B5}">
          <x14:formula1>
            <xm:f>RefData!$B$46:$B$49</xm:f>
          </x14:formula1>
          <xm:sqref>C7</xm:sqref>
        </x14:dataValidation>
        <x14:dataValidation type="list" allowBlank="1" showInputMessage="1" showErrorMessage="1" xr:uid="{BCDC5600-7594-42D3-B7C4-F198FD6DE413}">
          <x14:formula1>
            <xm:f>RefData!$B$433:$B$435</xm:f>
          </x14:formula1>
          <xm:sqref>C31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9840de0-e29d-4f57-8068-a923dc0207cb" xsi:nil="true"/>
    <DocCategory xmlns="585f37f1-aef8-4c1d-af75-018a233f1c74" xsi:nil="true"/>
    <lcf76f155ced4ddcb4097134ff3c332f xmlns="585f37f1-aef8-4c1d-af75-018a233f1c74">
      <Terms xmlns="http://schemas.microsoft.com/office/infopath/2007/PartnerControls"/>
    </lcf76f155ced4ddcb4097134ff3c332f>
    <SharedWithUsers xmlns="a82043e3-cdda-48c9-b0fe-cf8edc2d9d9d">
      <UserInfo>
        <DisplayName>McNamara, Martin</DisplayName>
        <AccountId>184</AccountId>
        <AccountType/>
      </UserInfo>
      <UserInfo>
        <DisplayName>Marty, Emily</DisplayName>
        <AccountId>1233</AccountId>
        <AccountType/>
      </UserInfo>
      <UserInfo>
        <DisplayName>Mason, Chris</DisplayName>
        <AccountId>450</AccountId>
        <AccountType/>
      </UserInfo>
    </SharedWithUsers>
  </documentManagement>
</p:properties>
</file>

<file path=customXml/item2.xml>��< ? x m l   v e r s i o n = " 1 . 0 "   e n c o d i n g = " u t f - 1 6 " ? > < D a t a M a s h u p   x m l n s = " h t t p : / / s c h e m a s . m i c r o s o f t . c o m / D a t a M a s h u p " > A A A A A B U D A A B Q S w M E F A A C A A g A Z Q O p W q W A m j u l A A A A 9 g A A A B I A H A B D b 2 5 m a W c v U G F j a 2 F n Z S 5 4 b W w g o h g A K K A U A A A A A A A A A A A A A A A A A A A A A A A A A A A A h Y + x D o I w G I R f h X S n L W U h 5 K c m O r h I Y m J i X B u o 0 A g / h h b L u z n 4 S L 6 C G E X d H O / u u + T u f r 3 B Y m y b 4 K J 7 a z r M S E Q 5 C T Q W X W m w y s j g j m F C F h K 2 q j i p S g c T j D Y d r c l I 7 d w 5 Z c x 7 T 3 1 M u 7 5 i g v O I H f L N r q h 1 q 0 K D 1 i k s N P m 0 y v 8 t I m H / G i M F j W J B Y 5 F Q D m w 2 I T f 4 B c S 0 9 5 n + m L A a G j f 0 W m o M 1 0 t g s w T 2 / i A f U E s D B B Q A A g A I A G U D q V 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l A 6 l a K I p H u A 4 A A A A R A A A A E w A c A E Z v c m 1 1 b G F z L 1 N l Y 3 R p b 2 4 x L m 0 g o h g A K K A U A A A A A A A A A A A A A A A A A A A A A A A A A A A A K 0 5 N L s n M z 1 M I h t C G 1 g B Q S w E C L Q A U A A I A C A B l A 6 l a p Y C a O 6 U A A A D 2 A A A A E g A A A A A A A A A A A A A A A A A A A A A A Q 2 9 u Z m l n L 1 B h Y 2 t h Z 2 U u e G 1 s U E s B A i 0 A F A A C A A g A Z Q O p W g / K 6 a u k A A A A 6 Q A A A B M A A A A A A A A A A A A A A A A A 8 Q A A A F t D b 2 5 0 Z W 5 0 X 1 R 5 c G V z X S 5 4 b W x Q S w E C L Q A U A A I A C A B l A 6 l a 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m c G N b d 2 w a k a L 9 5 u g 8 U / x p A A A A A A C A A A A A A A D Z g A A w A A A A B A A A A C k D D V L o S h y n S 9 q z e h e F a t e A A A A A A S A A A C g A A A A E A A A A F S K S b H 1 x o B y j l 1 i 9 u / O j N B Q A A A A Z g Q S A O R G M b S d 3 + h s j H y V G U 4 1 5 D b Y h z f A V J u u 9 Q / e T I M B 8 6 g s v 8 c B c D L u w U x p p 7 B X u E e i W u 1 T V U g A z e q W m x 0 0 O d u l 3 Y h t n Q R v U E O v / O N / S e I U A A A A M 7 N V p 4 B E 3 0 m a Q q d R f c + O F b 1 v 3 W I = < / D a t a M a s h u p > 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6BB62355F773014E9666B916CB8D0C5F" ma:contentTypeVersion="15" ma:contentTypeDescription="Create a new document." ma:contentTypeScope="" ma:versionID="511feb589a96db84a5c190bf707bad03">
  <xsd:schema xmlns:xsd="http://www.w3.org/2001/XMLSchema" xmlns:xs="http://www.w3.org/2001/XMLSchema" xmlns:p="http://schemas.microsoft.com/office/2006/metadata/properties" xmlns:ns2="585f37f1-aef8-4c1d-af75-018a233f1c74" xmlns:ns3="a82043e3-cdda-48c9-b0fe-cf8edc2d9d9d" xmlns:ns4="d9840de0-e29d-4f57-8068-a923dc0207cb" targetNamespace="http://schemas.microsoft.com/office/2006/metadata/properties" ma:root="true" ma:fieldsID="17e442d39e85087e95a6d5fb5b83769a" ns2:_="" ns3:_="" ns4:_="">
    <xsd:import namespace="585f37f1-aef8-4c1d-af75-018a233f1c74"/>
    <xsd:import namespace="a82043e3-cdda-48c9-b0fe-cf8edc2d9d9d"/>
    <xsd:import namespace="d9840de0-e29d-4f57-8068-a923dc0207c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LengthInSeconds" minOccurs="0"/>
                <xsd:element ref="ns2:lcf76f155ced4ddcb4097134ff3c332f" minOccurs="0"/>
                <xsd:element ref="ns4:TaxCatchAll" minOccurs="0"/>
                <xsd:element ref="ns2:MediaServiceGenerationTime" minOccurs="0"/>
                <xsd:element ref="ns2:MediaServiceEventHashCode" minOccurs="0"/>
                <xsd:element ref="ns2:MediaServiceOCR" minOccurs="0"/>
                <xsd:element ref="ns2:DocCategory"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85f37f1-aef8-4c1d-af75-018a233f1c7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334a9f70-b992-4aed-8adb-f341fff9786c"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DocCategory" ma:index="20" nillable="true" ma:displayName="Document Classification" ma:format="Dropdown" ma:internalName="DocCategory">
      <xsd:simpleType>
        <xsd:restriction base="dms:Choice">
          <xsd:enumeration value="Research"/>
          <xsd:enumeration value="Interviews"/>
          <xsd:enumeration value="Status Reports"/>
        </xsd:restrictio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82043e3-cdda-48c9-b0fe-cf8edc2d9d9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9840de0-e29d-4f57-8068-a923dc0207cb"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5794b6f4-742c-49be-bdd1-4497878b72c3}" ma:internalName="TaxCatchAll" ma:showField="CatchAllData" ma:web="a82043e3-cdda-48c9-b0fe-cf8edc2d9d9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732B71A-A248-4B66-BA30-1243E0DBCF92}">
  <ds:schemaRefs>
    <ds:schemaRef ds:uri="http://purl.org/dc/elements/1.1/"/>
    <ds:schemaRef ds:uri="d9840de0-e29d-4f57-8068-a923dc0207cb"/>
    <ds:schemaRef ds:uri="http://schemas.microsoft.com/office/2006/documentManagement/types"/>
    <ds:schemaRef ds:uri="http://schemas.microsoft.com/office/2006/metadata/properties"/>
    <ds:schemaRef ds:uri="http://schemas.microsoft.com/office/infopath/2007/PartnerControls"/>
    <ds:schemaRef ds:uri="http://purl.org/dc/dcmitype/"/>
    <ds:schemaRef ds:uri="http://www.w3.org/XML/1998/namespace"/>
    <ds:schemaRef ds:uri="http://schemas.openxmlformats.org/package/2006/metadata/core-properties"/>
    <ds:schemaRef ds:uri="a82043e3-cdda-48c9-b0fe-cf8edc2d9d9d"/>
    <ds:schemaRef ds:uri="585f37f1-aef8-4c1d-af75-018a233f1c74"/>
    <ds:schemaRef ds:uri="http://purl.org/dc/terms/"/>
  </ds:schemaRefs>
</ds:datastoreItem>
</file>

<file path=customXml/itemProps2.xml><?xml version="1.0" encoding="utf-8"?>
<ds:datastoreItem xmlns:ds="http://schemas.openxmlformats.org/officeDocument/2006/customXml" ds:itemID="{37FC4555-B8F2-4EC0-B5AE-DC3CC8898305}">
  <ds:schemaRefs>
    <ds:schemaRef ds:uri="http://schemas.microsoft.com/DataMashup"/>
  </ds:schemaRefs>
</ds:datastoreItem>
</file>

<file path=customXml/itemProps3.xml><?xml version="1.0" encoding="utf-8"?>
<ds:datastoreItem xmlns:ds="http://schemas.openxmlformats.org/officeDocument/2006/customXml" ds:itemID="{997C7053-DFDF-4FFE-947F-AE5B531A82B9}">
  <ds:schemaRefs>
    <ds:schemaRef ds:uri="http://schemas.microsoft.com/sharepoint/v3/contenttype/forms"/>
  </ds:schemaRefs>
</ds:datastoreItem>
</file>

<file path=customXml/itemProps4.xml><?xml version="1.0" encoding="utf-8"?>
<ds:datastoreItem xmlns:ds="http://schemas.openxmlformats.org/officeDocument/2006/customXml" ds:itemID="{51803C1C-B84F-4FC0-B2E9-F0825AAA3AF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85f37f1-aef8-4c1d-af75-018a233f1c74"/>
    <ds:schemaRef ds:uri="a82043e3-cdda-48c9-b0fe-cf8edc2d9d9d"/>
    <ds:schemaRef ds:uri="d9840de0-e29d-4f57-8068-a923dc0207c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f05d05b1-7db3-4dfe-8822-8e71c1898bf6}" enabled="0" method="" siteId="{f05d05b1-7db3-4dfe-8822-8e71c1898bf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57</vt:i4>
      </vt:variant>
    </vt:vector>
  </HeadingPairs>
  <TitlesOfParts>
    <vt:vector size="89" baseType="lpstr">
      <vt:lpstr>Table of Contents</vt:lpstr>
      <vt:lpstr>Start here</vt:lpstr>
      <vt:lpstr>Actuarial info &gt;&gt;</vt:lpstr>
      <vt:lpstr>Funding and investment strategy</vt:lpstr>
      <vt:lpstr>Summary of actuarial valuation</vt:lpstr>
      <vt:lpstr>Summary of recovery plan</vt:lpstr>
      <vt:lpstr>Deficit repair contributions</vt:lpstr>
      <vt:lpstr>Discount rates</vt:lpstr>
      <vt:lpstr>Other assumptions</vt:lpstr>
      <vt:lpstr>40-year assumptions</vt:lpstr>
      <vt:lpstr>Scheme benefit cash flow</vt:lpstr>
      <vt:lpstr>Annual scheme cash flows</vt:lpstr>
      <vt:lpstr>Investment info &gt;&gt;&gt;</vt:lpstr>
      <vt:lpstr>Investment risk - current level</vt:lpstr>
      <vt:lpstr>Liquidity</vt:lpstr>
      <vt:lpstr>Invest journey plan-risk level</vt:lpstr>
      <vt:lpstr>Covenant info &gt;&gt;&gt;</vt:lpstr>
      <vt:lpstr>Covenant summary information</vt:lpstr>
      <vt:lpstr>Employer CF and liquid assets</vt:lpstr>
      <vt:lpstr>Guarantees</vt:lpstr>
      <vt:lpstr>Securities</vt:lpstr>
      <vt:lpstr>Other contingent assets</vt:lpstr>
      <vt:lpstr>Asset-backed contributions</vt:lpstr>
      <vt:lpstr>ABC income stream</vt:lpstr>
      <vt:lpstr>Error report</vt:lpstr>
      <vt:lpstr>Statement of strategy</vt:lpstr>
      <vt:lpstr>All Statement of strategy (D)</vt:lpstr>
      <vt:lpstr>Reconciliation report</vt:lpstr>
      <vt:lpstr>ErrorMsgs</vt:lpstr>
      <vt:lpstr>RefData</vt:lpstr>
      <vt:lpstr>Questions</vt:lpstr>
      <vt:lpstr>Guidance</vt:lpstr>
      <vt:lpstr>'Start here'!AboutThisDataFileSECTION</vt:lpstr>
      <vt:lpstr>'Actuarial info &gt;&gt;'!AboutThisSectionACTUARIAL</vt:lpstr>
      <vt:lpstr>'Covenant info &gt;&gt;&gt;'!AboutThisSectionCOVENANT</vt:lpstr>
      <vt:lpstr>'Investment info &gt;&gt;&gt;'!AboutThisSectionINVESTMENT</vt:lpstr>
      <vt:lpstr>'40-year assumptions'!AboutThisWorksheet</vt:lpstr>
      <vt:lpstr>'Actuarial info &gt;&gt;'!ActuarialInformationContentsHEADING</vt:lpstr>
      <vt:lpstr>'Actuarial info &gt;&gt;'!ActuarialInformationOverviewTITLE</vt:lpstr>
      <vt:lpstr>'ABC income stream'!AdviceAndOutlookTITLE</vt:lpstr>
      <vt:lpstr>'Asset-backed contributions'!AdviceAndOutlookTITLE</vt:lpstr>
      <vt:lpstr>'Covenant summary information'!AdviceAndOutlookTITLE</vt:lpstr>
      <vt:lpstr>Guarantees!AdviceAndOutlookTITLE</vt:lpstr>
      <vt:lpstr>'Other contingent assets'!AdviceAndOutlookTITLE</vt:lpstr>
      <vt:lpstr>Securities!AdviceAndOutlookTITLE</vt:lpstr>
      <vt:lpstr>'Asset-backed contributions'!AdviceSECTION</vt:lpstr>
      <vt:lpstr>'Covenant summary information'!AdviceSECTION</vt:lpstr>
      <vt:lpstr>'Employer CF and liquid assets'!AdviceSECTION</vt:lpstr>
      <vt:lpstr>Guarantees!AdviceSECTION</vt:lpstr>
      <vt:lpstr>'Other contingent assets'!AdviceSECTION</vt:lpstr>
      <vt:lpstr>Securities!AdviceSECTION</vt:lpstr>
      <vt:lpstr>'Funding and investment strategy'!ApplicableDatesSECTION</vt:lpstr>
      <vt:lpstr>'Other assumptions'!BasisComparisonSECTION</vt:lpstr>
      <vt:lpstr>'Summary of actuarial valuation'!BuyoutBasisSECTION</vt:lpstr>
      <vt:lpstr>'Other assumptions'!CommutationSECTION</vt:lpstr>
      <vt:lpstr>'Covenant info &gt;&gt;&gt;'!CovenantInformationOverviewTITLE</vt:lpstr>
      <vt:lpstr>'Investment risk - current level'!CurrentLevelTITLE</vt:lpstr>
      <vt:lpstr>'Discount rates'!DiscountRatesTITLE</vt:lpstr>
      <vt:lpstr>'ABC income stream'!HelpToCompleteThisWorksheet</vt:lpstr>
      <vt:lpstr>'Annual scheme cash flows'!HelpToCompleteThisWorksheet</vt:lpstr>
      <vt:lpstr>'Asset-backed contributions'!HelpToCompleteThisWorksheet</vt:lpstr>
      <vt:lpstr>'Covenant summary information'!HelpToCompleteThisWorksheet</vt:lpstr>
      <vt:lpstr>'Deficit repair contributions'!HelpToCompleteThisWorksheet</vt:lpstr>
      <vt:lpstr>'Discount rates'!HelpToCompleteThisWorksheet</vt:lpstr>
      <vt:lpstr>'Funding and investment strategy'!HelpToCompleteThisWorksheet</vt:lpstr>
      <vt:lpstr>Guarantees!HelpToCompleteThisWorksheet</vt:lpstr>
      <vt:lpstr>'Investment risk - current level'!HelpToCompleteThisWorksheet</vt:lpstr>
      <vt:lpstr>'Other assumptions'!HelpToCompleteThisWorksheet</vt:lpstr>
      <vt:lpstr>'Other contingent assets'!HelpToCompleteThisWorksheet</vt:lpstr>
      <vt:lpstr>Securities!HelpToCompleteThisWorksheet</vt:lpstr>
      <vt:lpstr>'Summary of actuarial valuation'!HelpToCompleteThisWorksheet</vt:lpstr>
      <vt:lpstr>'Investment info &gt;&gt;&gt;'!InvestmentInformationContentsHEADING</vt:lpstr>
      <vt:lpstr>'Investment info &gt;&gt;&gt;'!InvestmentInformationOverviewTITLE</vt:lpstr>
      <vt:lpstr>'Investment risk - current level'!InvestmentRiskSECTION</vt:lpstr>
      <vt:lpstr>'Funding and investment strategy'!LongTermFundingStrategyTITLE</vt:lpstr>
      <vt:lpstr>'Summary of actuarial valuation'!LowDependencyBasisSECTION</vt:lpstr>
      <vt:lpstr>'Discount rates'!MethodologyYieldCurveAndChangeOverTimeSECTION</vt:lpstr>
      <vt:lpstr>OtherAssumptions</vt:lpstr>
      <vt:lpstr>'Other assumptions'!OtherAssumptionsTITLE</vt:lpstr>
      <vt:lpstr>'Statement of strategy'!Print_Area</vt:lpstr>
      <vt:lpstr>'40-year assumptions'!SchemeAssumptionsOverNext100YearsTITLE</vt:lpstr>
      <vt:lpstr>'Annual scheme cash flows'!SchemeCashflowsOverNext100YearsTITLE</vt:lpstr>
      <vt:lpstr>'Deficit repair contributions'!SchemeCashflowsOverNext100YearsTITLE</vt:lpstr>
      <vt:lpstr>'Funding and investment strategy'!SchemeMaturitySECTION</vt:lpstr>
      <vt:lpstr>'Start here'!SubmitYourSchemeValuationDataTITLE</vt:lpstr>
      <vt:lpstr>'Table of Contents'!SubmitYourSchemeValuationDataTITLE</vt:lpstr>
      <vt:lpstr>'Summary of actuarial valuation'!SummaryOfActuarialValuationTITLE</vt:lpstr>
      <vt:lpstr>'Summary of actuarial valuation'!TechnicalProvisionsBasisSECTION</vt:lpstr>
      <vt:lpstr>TemplateHelpAndGuidance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Scheme-valuation_Statement_of_strategy_2024_2</dc:title>
  <dc:subject/>
  <dc:creator>Lutful.Khan@tpr.gov.uk;Paul.Armstrong2@tpr.gov.uk;Jodi.Bennett@tpr.gov.uk</dc:creator>
  <cp:keywords/>
  <dc:description/>
  <cp:lastModifiedBy>Devlin, Brian</cp:lastModifiedBy>
  <cp:revision/>
  <dcterms:created xsi:type="dcterms:W3CDTF">2023-12-12T12:17:33Z</dcterms:created>
  <dcterms:modified xsi:type="dcterms:W3CDTF">2025-11-05T09:09:50Z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0x0101006BB62355F773014E9666B916CB8D0C5F</vt:lpwstr>
  </property>
  <property fmtid="{D5CDD505-2E9C-101B-9397-08002B2CF9AE}" pid="3" name="MediaServiceImageTags">
    <vt:lpwstr/>
  </property>
</Properties>
</file>